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erver2\общие документы\Питание школьников\Питание школы 2023\"/>
    </mc:Choice>
  </mc:AlternateContent>
  <bookViews>
    <workbookView xWindow="0" yWindow="0" windowWidth="23040" windowHeight="8028" tabRatio="806"/>
  </bookViews>
  <sheets>
    <sheet name="цены" sheetId="87" r:id="rId1"/>
    <sheet name="детодни" sheetId="310" r:id="rId2"/>
    <sheet name="блюда" sheetId="147" r:id="rId3"/>
    <sheet name="меню 7 дней завтрак и обед " sheetId="489" r:id="rId4"/>
    <sheet name="меню сжатый " sheetId="93" r:id="rId5"/>
    <sheet name="1-бутерброд с маслом" sheetId="137" r:id="rId6"/>
    <sheet name="2-бутерброд с джемом" sheetId="161" r:id="rId7"/>
    <sheet name="3-бутерброд с сыром" sheetId="160" r:id="rId8"/>
    <sheet name="6-бутерброд с колбасой" sheetId="162" r:id="rId9"/>
    <sheet name="7-бутерброд горяч. с сыром" sheetId="163" r:id="rId10"/>
    <sheet name="8-бутерброд горяч. с колбас." sheetId="164" r:id="rId11"/>
    <sheet name="11-гамбургер с сосиской" sheetId="113" r:id="rId12"/>
    <sheet name="13-чизбургер" sheetId="277" r:id="rId13"/>
    <sheet name="14-масло" sheetId="278" r:id="rId14"/>
    <sheet name="15-сыр (30)" sheetId="280" r:id="rId15"/>
    <sheet name="15-сыр (15)" sheetId="340" r:id="rId16"/>
    <sheet name="15-сыр (20)" sheetId="493" r:id="rId17"/>
    <sheet name="16-колбаса" sheetId="279" r:id="rId18"/>
    <sheet name="17-салат зеленый" sheetId="276" r:id="rId19"/>
    <sheet name="18-салат с огурцами" sheetId="281" r:id="rId20"/>
    <sheet name="19-салат с огурцами и помидор" sheetId="282" r:id="rId21"/>
    <sheet name="20-салат из огурцов" sheetId="283" r:id="rId22"/>
    <sheet name="23-салат из помидоров" sheetId="284" r:id="rId23"/>
    <sheet name="23-салат из помидоров (2)" sheetId="312" r:id="rId24"/>
    <sheet name="24-салат из помидор и огурцов" sheetId="285" r:id="rId25"/>
    <sheet name="24-салат помидор и огурц 20" sheetId="311" r:id="rId26"/>
    <sheet name="28-салат весна" sheetId="287" r:id="rId27"/>
    <sheet name="29-салат из сырых овощей" sheetId="286" r:id="rId28"/>
    <sheet name="31-салат из редиса" sheetId="288" r:id="rId29"/>
    <sheet name="34-салат летний" sheetId="307" r:id="rId30"/>
    <sheet name="39-салат с кукурузой" sheetId="308" r:id="rId31"/>
    <sheet name="40-салат картоф. с морк. и гор." sheetId="313" r:id="rId32"/>
    <sheet name="41-салат картоф. с капустой" sheetId="314" r:id="rId33"/>
    <sheet name="43-салат из овощей" sheetId="315" r:id="rId34"/>
    <sheet name="45-салат из капусты" sheetId="316" r:id="rId35"/>
    <sheet name="45-салат из капусты новой 30" sheetId="393" r:id="rId36"/>
    <sheet name="48-салат витаминный" sheetId="317" r:id="rId37"/>
    <sheet name="52-салат из свеклы отварной" sheetId="318" r:id="rId38"/>
    <sheet name="53-салат из свеклы с горошком" sheetId="441" r:id="rId39"/>
    <sheet name="54-салат из свеклы с яблоками" sheetId="442" r:id="rId40"/>
    <sheet name="56-салат овощной с яблоками" sheetId="443" r:id="rId41"/>
    <sheet name="62-салат из моркови" sheetId="306" r:id="rId42"/>
    <sheet name=" 65-салат из моркови и яблок" sheetId="437" r:id="rId43"/>
    <sheet name="67-винегрет" sheetId="290" r:id="rId44"/>
    <sheet name="67-винегрет с капустой" sheetId="292" r:id="rId45"/>
    <sheet name="68-винегрет с фасолью" sheetId="291" r:id="rId46"/>
    <sheet name="70-помидоры сол." sheetId="293" r:id="rId47"/>
    <sheet name="70-огурцы сол." sheetId="294" r:id="rId48"/>
    <sheet name="71-помидоры" sheetId="295" r:id="rId49"/>
    <sheet name="71-огурцы " sheetId="296" r:id="rId50"/>
    <sheet name="71-огурцы и помидоры" sheetId="429" r:id="rId51"/>
    <sheet name="77-сельдь" sheetId="297" r:id="rId52"/>
    <sheet name="82-борщ с капустой" sheetId="120" r:id="rId53"/>
    <sheet name="83-борщ с картофелем" sheetId="396" r:id="rId54"/>
    <sheet name="84-борщ с фасолью" sheetId="165" r:id="rId55"/>
    <sheet name="85-борщ зеленый" sheetId="298" r:id="rId56"/>
    <sheet name="бн-свекольник" sheetId="446" r:id="rId57"/>
    <sheet name="87-щи из капусты" sheetId="397" r:id="rId58"/>
    <sheet name="88-щи из картофеля" sheetId="398" r:id="rId59"/>
    <sheet name="89-щи зеленые" sheetId="399" r:id="rId60"/>
    <sheet name="92-щи кваш. капуста 50" sheetId="400" r:id="rId61"/>
    <sheet name="94-рассольник" sheetId="434" r:id="rId62"/>
    <sheet name="96-рассольник ленинград" sheetId="435" r:id="rId63"/>
    <sheet name="97-суп картофельный " sheetId="166" r:id="rId64"/>
    <sheet name="98-суп крестьян. рис" sheetId="401" r:id="rId65"/>
    <sheet name="98-суп крестьян. овсянка" sheetId="402" r:id="rId66"/>
    <sheet name="98-суп крестьян. перловка" sheetId="403" r:id="rId67"/>
    <sheet name="98-суп крестьян. пшеничная" sheetId="404" r:id="rId68"/>
    <sheet name="98-суп крестьян. пшено" sheetId="405" r:id="rId69"/>
    <sheet name="98-суп крестьян. хлопья" sheetId="427" r:id="rId70"/>
    <sheet name="99-суп из овощей" sheetId="406" r:id="rId71"/>
    <sheet name="101-суп картофельный с перлов." sheetId="167" r:id="rId72"/>
    <sheet name="101-суп картофельный с пшено" sheetId="407" r:id="rId73"/>
    <sheet name="101-суп картофель рис " sheetId="408" r:id="rId74"/>
    <sheet name="101-суп картофельный овсянка" sheetId="409" r:id="rId75"/>
    <sheet name="101-суп картофельный пшенич" sheetId="410" r:id="rId76"/>
    <sheet name="101-суп картофельный хлопья" sheetId="428" r:id="rId77"/>
    <sheet name="102-суп картофельный с горохом" sheetId="168" r:id="rId78"/>
    <sheet name="102-суп картофельный с фасоль" sheetId="411" r:id="rId79"/>
    <sheet name="102-суп картофельный чечевица" sheetId="412" r:id="rId80"/>
    <sheet name="103-суп картофельный с вермиш." sheetId="169" r:id="rId81"/>
    <sheet name="104-суп с фрикадель" sheetId="103" r:id="rId82"/>
    <sheet name="105-фрикадельки 70" sheetId="102" r:id="rId83"/>
    <sheet name="106-суп фрикад. рыб." sheetId="413" r:id="rId84"/>
    <sheet name="107-фрикадельки рыб." sheetId="414" r:id="rId85"/>
    <sheet name="108-суп с клёцками" sheetId="416" r:id="rId86"/>
    <sheet name="109-клёцки" sheetId="415" r:id="rId87"/>
    <sheet name="111-суп макарон" sheetId="92" r:id="rId88"/>
    <sheet name="113-суп-лапша" sheetId="300" r:id="rId89"/>
    <sheet name="114-лапша" sheetId="301" r:id="rId90"/>
    <sheet name="115-суп с рисом" sheetId="417" r:id="rId91"/>
    <sheet name="115-суп с перловкой" sheetId="418" r:id="rId92"/>
    <sheet name="115-суп с овсянкой 80" sheetId="419" r:id="rId93"/>
    <sheet name="115-суп с ячневой" sheetId="420" r:id="rId94"/>
    <sheet name="115-суп с пшеничной" sheetId="421" r:id="rId95"/>
    <sheet name="115-суп с пшено" sheetId="422" r:id="rId96"/>
    <sheet name="120-суп молочный" sheetId="322" r:id="rId97"/>
    <sheet name="121-суп с рисом" sheetId="323" r:id="rId98"/>
    <sheet name="121-суп с гречкой" sheetId="324" r:id="rId99"/>
    <sheet name="121-суп с перловкой" sheetId="325" r:id="rId100"/>
    <sheet name="121-суп с кукурузной" sheetId="423" r:id="rId101"/>
    <sheet name="121-суп хлопья" sheetId="424" r:id="rId102"/>
    <sheet name="121-суп с манкой 90" sheetId="425" r:id="rId103"/>
    <sheet name=" 121-суп с пшеном " sheetId="426" r:id="rId104"/>
    <sheet name="125-картофель" sheetId="171" r:id="rId105"/>
    <sheet name="126-картофель с луком" sheetId="172" r:id="rId106"/>
    <sheet name="127-картофель в молоке" sheetId="173" r:id="rId107"/>
    <sheet name="128-пюре" sheetId="97" r:id="rId108"/>
    <sheet name="139-капуста туш." sheetId="174" r:id="rId109"/>
    <sheet name="140-свекла тушен." sheetId="175" r:id="rId110"/>
    <sheet name="142-картофель и овощи" sheetId="176" r:id="rId111"/>
    <sheet name="143-рагу" sheetId="326" r:id="rId112"/>
    <sheet name="145-картофель тушен." sheetId="177" r:id="rId113"/>
    <sheet name="147-картофель жарен.100" sheetId="179" r:id="rId114"/>
    <sheet name="167-голубцы овощ." sheetId="180" r:id="rId115"/>
    <sheet name="168-перец овощ." sheetId="181" r:id="rId116"/>
    <sheet name="171-каша греч рассып. " sheetId="370" r:id="rId117"/>
    <sheet name="171-каша греч рассып. сах" sheetId="129" r:id="rId118"/>
    <sheet name="171-каша рис рассып." sheetId="371" r:id="rId119"/>
    <sheet name="171-каша рис рассып.сах" sheetId="182" r:id="rId120"/>
    <sheet name="171-каша перловка рассып." sheetId="372" r:id="rId121"/>
    <sheet name="171-каша перловка рассып.сах" sheetId="183" r:id="rId122"/>
    <sheet name="171-каша пшенная рассып." sheetId="373" r:id="rId123"/>
    <sheet name="171-каша пшенная рассып.сах110" sheetId="184" r:id="rId124"/>
    <sheet name="173-каша гречневая вязк." sheetId="185" r:id="rId125"/>
    <sheet name="173-каша пшенная вязк." sheetId="186" r:id="rId126"/>
    <sheet name="173-каша ясно солнышко" sheetId="445" r:id="rId127"/>
    <sheet name="174-каша рисовая вяз." sheetId="123" r:id="rId128"/>
    <sheet name="174-каша перловая вяз." sheetId="187" r:id="rId129"/>
    <sheet name="177-каша пшенная с изюм" sheetId="395" r:id="rId130"/>
    <sheet name="181- каша манная жид. " sheetId="142" r:id="rId131"/>
    <sheet name="182- каша пшенная жид." sheetId="159" r:id="rId132"/>
    <sheet name="182- каша рисовая жид." sheetId="320" r:id="rId133"/>
    <sheet name="182- каша перловая жид. " sheetId="321" r:id="rId134"/>
    <sheet name="182- каша овсяная жид.120" sheetId="319" r:id="rId135"/>
    <sheet name="182- каша ячневая жид." sheetId="339" r:id="rId136"/>
    <sheet name="183-каша гречневая жид." sheetId="1" r:id="rId137"/>
    <sheet name="184-крупеник гречка" sheetId="430" r:id="rId138"/>
    <sheet name="184-крупеник гречка йогурт" sheetId="431" r:id="rId139"/>
    <sheet name="184-крупеник пшенич." sheetId="432" r:id="rId140"/>
    <sheet name="184-крупеник пшенич.йог." sheetId="433" r:id="rId141"/>
    <sheet name="185-запеканка манка с маслом" sheetId="334" r:id="rId142"/>
    <sheet name="185-запеканка манка со сгущ." sheetId="335" r:id="rId143"/>
    <sheet name="185-запеканка рис с маслом" sheetId="342" r:id="rId144"/>
    <sheet name="185-запеканка рис со сгущ." sheetId="341" r:id="rId145"/>
    <sheet name="186-запеканка манка с изюмом" sheetId="495" r:id="rId146"/>
    <sheet name="202-макароны отвар" sheetId="134" r:id="rId147"/>
    <sheet name="202-макароны отвар (150)" sheetId="480" r:id="rId148"/>
    <sheet name="203-макароны" sheetId="327" r:id="rId149"/>
    <sheet name="204-макароны с сыр" sheetId="133" r:id="rId150"/>
    <sheet name="205-макароны с овощ 130" sheetId="188" r:id="rId151"/>
    <sheet name="209-яйца" sheetId="189" r:id="rId152"/>
    <sheet name="210-омлет" sheetId="190" r:id="rId153"/>
    <sheet name="211-омлет с сыром" sheetId="191" r:id="rId154"/>
    <sheet name="213-омлет с картофелем" sheetId="490" r:id="rId155"/>
    <sheet name="219-сырники" sheetId="192" r:id="rId156"/>
    <sheet name="222-пудинг" sheetId="336" r:id="rId157"/>
    <sheet name="222-пудинг (120)" sheetId="472" r:id="rId158"/>
    <sheet name="223-запеканка творог" sheetId="337" r:id="rId159"/>
    <sheet name="224-запеканка творог морковь" sheetId="492" r:id="rId160"/>
    <sheet name="225-оладьи из творога" sheetId="193" r:id="rId161"/>
    <sheet name="227-рыба припущ." sheetId="194" r:id="rId162"/>
    <sheet name="229-рыба тушен." sheetId="378" r:id="rId163"/>
    <sheet name="229-рыба тушен. хек 140" sheetId="387" r:id="rId164"/>
    <sheet name="229-рыба тушен. минтай филе" sheetId="388" r:id="rId165"/>
    <sheet name="230-рыба жареная" sheetId="122" r:id="rId166"/>
    <sheet name="230-рыба жареная (2)" sheetId="234" r:id="rId167"/>
    <sheet name="241-мясо отвар" sheetId="121" r:id="rId168"/>
    <sheet name="243-сосиски" sheetId="135" r:id="rId169"/>
    <sheet name="244-плов из говядины" sheetId="196" r:id="rId170"/>
    <sheet name="244-плов из говядины (2)" sheetId="235" r:id="rId171"/>
    <sheet name="245-бефстроганов" sheetId="197" r:id="rId172"/>
    <sheet name="245-бефстроганов (2)" sheetId="232" r:id="rId173"/>
    <sheet name="246-гуляш 150" sheetId="349" r:id="rId174"/>
    <sheet name="247-мясо крупное" sheetId="350" r:id="rId175"/>
    <sheet name="247-мясо крупное (2)" sheetId="376" r:id="rId176"/>
    <sheet name="249-антрекот" sheetId="352" r:id="rId177"/>
    <sheet name="250-бефстроганов жар." sheetId="353" r:id="rId178"/>
    <sheet name="251-поджарка" sheetId="354" r:id="rId179"/>
    <sheet name="251-поджарка (2)" sheetId="374" r:id="rId180"/>
    <sheet name="252-сосиски жареные" sheetId="198" r:id="rId181"/>
    <sheet name="256-мясо туш." sheetId="200" r:id="rId182"/>
    <sheet name="256-мясо туш. (2)" sheetId="228" r:id="rId183"/>
    <sheet name="258-мясо духовое" sheetId="201" r:id="rId184"/>
    <sheet name="259-жаркое" sheetId="202" r:id="rId185"/>
    <sheet name="259-жаркое (2)" sheetId="377" r:id="rId186"/>
    <sheet name="260-гуляш" sheetId="138" r:id="rId187"/>
    <sheet name="260-гуляш (2)" sheetId="375" r:id="rId188"/>
    <sheet name="264-говядина тушеная" sheetId="299" r:id="rId189"/>
    <sheet name="265-плов" sheetId="355" r:id="rId190"/>
    <sheet name="267-шницель" sheetId="386" r:id="rId191"/>
    <sheet name="268-котлеты" sheetId="204" r:id="rId192"/>
    <sheet name="268-котлеты с соусом" sheetId="439" r:id="rId193"/>
    <sheet name="268-котлеты (80)" sheetId="479" r:id="rId194"/>
    <sheet name="271-котлеты дом " sheetId="89" r:id="rId195"/>
    <sheet name="273-котлеты с соусом" sheetId="205" r:id="rId196"/>
    <sheet name="278-тефтели (1)" sheetId="309" r:id="rId197"/>
    <sheet name="279-тефтели (60х2)" sheetId="506" r:id="rId198"/>
    <sheet name="279-тефтели 80)" sheetId="207" r:id="rId199"/>
    <sheet name="279-тефтели (120)" sheetId="481" r:id="rId200"/>
    <sheet name="280 фрикадельки в соусе" sheetId="208" r:id="rId201"/>
    <sheet name="285-макаронник с мясом" sheetId="496" r:id="rId202"/>
    <sheet name="287-Голубцы с мясом и рисом" sheetId="213" r:id="rId203"/>
    <sheet name="288-птица отвар" sheetId="91" r:id="rId204"/>
    <sheet name="288-птица отвар окор." sheetId="382" r:id="rId205"/>
    <sheet name="288-птица отвар филе" sheetId="383" r:id="rId206"/>
    <sheet name="289 Рагу из окорочка" sheetId="222" r:id="rId207"/>
    <sheet name="289 Рагу из птицы " sheetId="380" r:id="rId208"/>
    <sheet name="290 птица туш.окор." sheetId="214" r:id="rId209"/>
    <sheet name="290 птица туш." sheetId="391" r:id="rId210"/>
    <sheet name="290 птица туш. 120г" sheetId="482" r:id="rId211"/>
    <sheet name="291-плов из окорочков" sheetId="107" r:id="rId212"/>
    <sheet name="291-плов из курицы" sheetId="356" r:id="rId213"/>
    <sheet name="292 окорочка тушенная в соусе" sheetId="215" r:id="rId214"/>
    <sheet name="292 птица тушенная в соусе" sheetId="366" r:id="rId215"/>
    <sheet name="293 птица жареная" sheetId="216" r:id="rId216"/>
    <sheet name="294 котлеты из птицы" sheetId="389" r:id="rId217"/>
    <sheet name="294 котлеты куриные окорочка" sheetId="218" r:id="rId218"/>
    <sheet name="294 котлеты из филе птицы " sheetId="438" r:id="rId219"/>
    <sheet name="294 котлеты из птицы " sheetId="469" r:id="rId220"/>
    <sheet name="296 котлеты рубленные из кур" sheetId="219" r:id="rId221"/>
    <sheet name="296 котлеты рубленные из окор" sheetId="390" r:id="rId222"/>
    <sheet name="297 фрикадельки из кур" sheetId="220" r:id="rId223"/>
    <sheet name="297 фрикадельки из кур окор" sheetId="392" r:id="rId224"/>
    <sheet name="298 Зразы из кур" sheetId="221" r:id="rId225"/>
    <sheet name="302-каша греч гарнир" sheetId="131" r:id="rId226"/>
    <sheet name="302-каша рис гарнир" sheetId="233" r:id="rId227"/>
    <sheet name="302-каша пшено гарнир" sheetId="358" r:id="rId228"/>
    <sheet name="304-рис отварной" sheetId="436" r:id="rId229"/>
    <sheet name="305-рис припущенный" sheetId="511" r:id="rId230"/>
    <sheet name="309-макаронные" sheetId="139" r:id="rId231"/>
    <sheet name="310-картофель" sheetId="302" r:id="rId232"/>
    <sheet name="310-картофель молодой" sheetId="303" r:id="rId233"/>
    <sheet name="312-пюре 200" sheetId="229" r:id="rId234"/>
    <sheet name="314-картофель жар." sheetId="230" r:id="rId235"/>
    <sheet name="321-капуста тушеная" sheetId="231" r:id="rId236"/>
    <sheet name="326-соус молочный" sheetId="351" r:id="rId237"/>
    <sheet name="326-соус молочный 30" sheetId="359" r:id="rId238"/>
    <sheet name="льезон" sheetId="203" r:id="rId239"/>
    <sheet name="329 соус молочный густой" sheetId="206" r:id="rId240"/>
    <sheet name="330-соус сметанный" sheetId="90" r:id="rId241"/>
    <sheet name="330-соус сметанный (2)" sheetId="328" r:id="rId242"/>
    <sheet name="330-соус сметанный (3)" sheetId="329" r:id="rId243"/>
    <sheet name="330-соус сметанный (4)" sheetId="338" r:id="rId244"/>
    <sheet name="331-соус с томатом" sheetId="178" r:id="rId245"/>
    <sheet name="331-соус с томатом (30)" sheetId="361" r:id="rId246"/>
    <sheet name="331-соус с томатом (50)" sheetId="363" r:id="rId247"/>
    <sheet name="332-соус с луком" sheetId="199" r:id="rId248"/>
    <sheet name="332-соус с луком (30)" sheetId="360" r:id="rId249"/>
    <sheet name="332-соус с луком (50)" sheetId="364" r:id="rId250"/>
    <sheet name="333-соус с томатом и лук" sheetId="95" r:id="rId251"/>
    <sheet name="333-соус с томатом и лук (30)" sheetId="362" r:id="rId252"/>
    <sheet name="334-соус малиновый" sheetId="365" r:id="rId253"/>
    <sheet name="335-соус абрикосовый" sheetId="457" r:id="rId254"/>
    <sheet name="335-соус абрикос курага" sheetId="458" r:id="rId255"/>
    <sheet name="336-соус черносмородин" sheetId="459" r:id="rId256"/>
    <sheet name="337-соус яблочный" sheetId="460" r:id="rId257"/>
    <sheet name="338-яблоки" sheetId="264" r:id="rId258"/>
    <sheet name="338-яблоки (150)" sheetId="470" r:id="rId259"/>
    <sheet name="338-груши" sheetId="265" r:id="rId260"/>
    <sheet name="338-груши (150)" sheetId="507" r:id="rId261"/>
    <sheet name="338-абрикосы" sheetId="268" r:id="rId262"/>
    <sheet name="338-персики" sheetId="269" r:id="rId263"/>
    <sheet name="338-бананы" sheetId="266" r:id="rId264"/>
    <sheet name="338-бананы (2)" sheetId="475" r:id="rId265"/>
    <sheet name="338-виноград" sheetId="267" r:id="rId266"/>
    <sheet name="339-черешня" sheetId="270" r:id="rId267"/>
    <sheet name="339-земляника" sheetId="272" r:id="rId268"/>
    <sheet name="340-арбуз" sheetId="271" r:id="rId269"/>
    <sheet name="340-дыня" sheetId="273" r:id="rId270"/>
    <sheet name="341-апельсин" sheetId="274" r:id="rId271"/>
    <sheet name="341-мандарины" sheetId="275" r:id="rId272"/>
    <sheet name="342-компот яблок" sheetId="333" r:id="rId273"/>
    <sheet name="342-компот вишня" sheetId="500" r:id="rId274"/>
    <sheet name="342-компот абрикос" sheetId="501" r:id="rId275"/>
    <sheet name="344-компот яблок и слив" sheetId="99" r:id="rId276"/>
    <sheet name="346-компот апельсины" sheetId="502" r:id="rId277"/>
    <sheet name="346-компот мандарины" sheetId="503" r:id="rId278"/>
    <sheet name="347-компот из плодов консер виш" sheetId="497" r:id="rId279"/>
    <sheet name="347-компот консерв персик" sheetId="209" r:id="rId280"/>
    <sheet name="348-компот сушеной кураги" sheetId="504" r:id="rId281"/>
    <sheet name="349-компот сухофрукт" sheetId="101" r:id="rId282"/>
    <sheet name="352-кисель ябл" sheetId="105" r:id="rId283"/>
    <sheet name="354-кисель ябл суш" sheetId="132" r:id="rId284"/>
    <sheet name="357-кисель шиповн" sheetId="106" r:id="rId285"/>
    <sheet name="375-чай заварка" sheetId="94" r:id="rId286"/>
    <sheet name="376-чай сахар" sheetId="96" r:id="rId287"/>
    <sheet name="376-чай с вареньем" sheetId="494" r:id="rId288"/>
    <sheet name="377-чай с лимон" sheetId="98" r:id="rId289"/>
    <sheet name="378-чай с молоком" sheetId="108" r:id="rId290"/>
    <sheet name="379-кофейный напиток с молоком" sheetId="109" r:id="rId291"/>
    <sheet name="380-кофейный напиток со сгущ" sheetId="104" r:id="rId292"/>
    <sheet name="382-какао с молоком" sheetId="110" r:id="rId293"/>
    <sheet name="383-какао с сгущ" sheetId="111" r:id="rId294"/>
    <sheet name="385-молоко" sheetId="227" r:id="rId295"/>
    <sheet name="388-напиток из шипов" sheetId="112" r:id="rId296"/>
    <sheet name="393 тесто для вареников" sheetId="211" r:id="rId297"/>
    <sheet name="394 Вареники с творожным фаршем" sheetId="212" r:id="rId298"/>
    <sheet name="396-Блины с маслом " sheetId="210" r:id="rId299"/>
    <sheet name="396-Блины  с повидлом" sheetId="330" r:id="rId300"/>
    <sheet name="396-Блины  с медом" sheetId="331" r:id="rId301"/>
    <sheet name="396-Блины  со сгущ." sheetId="332" r:id="rId302"/>
    <sheet name="400-тесто для оладий" sheetId="305" r:id="rId303"/>
    <sheet name="401-оладьи варенье" sheetId="394" r:id="rId304"/>
    <sheet name="404-оладьи с маслом" sheetId="304" r:id="rId305"/>
    <sheet name="405-тесто дрожжевое" sheetId="116" r:id="rId306"/>
    <sheet name="405-тесто сдобное" sheetId="117" r:id="rId307"/>
    <sheet name="405-тесто ватрушки" sheetId="118" r:id="rId308"/>
    <sheet name="406-пирожки картоф" sheetId="127" r:id="rId309"/>
    <sheet name="406-пирожки капуст" sheetId="130" r:id="rId310"/>
    <sheet name="406-пирожки мясные" sheetId="128" r:id="rId311"/>
    <sheet name="410-ватрушка" sheetId="115" r:id="rId312"/>
    <sheet name="426-булочка с повидл" sheetId="100" r:id="rId313"/>
    <sheet name="426-булочка с повидл (2)" sheetId="357" r:id="rId314"/>
    <sheet name="428-булочка школьная 30г" sheetId="114" r:id="rId315"/>
    <sheet name="428-булочка школьная 50г" sheetId="236" r:id="rId316"/>
    <sheet name="428-булочка школьная 100г" sheetId="384" r:id="rId317"/>
    <sheet name="429-булочка веснушка 50г" sheetId="226" r:id="rId318"/>
    <sheet name="429-булочка веснушка 100г" sheetId="385" r:id="rId319"/>
    <sheet name="440-булочка творожная" sheetId="510" r:id="rId320"/>
    <sheet name="446-кекс" sheetId="136" r:id="rId321"/>
    <sheet name="456-корж" sheetId="379" r:id="rId322"/>
    <sheet name="457-фарш мясной" sheetId="124" r:id="rId323"/>
    <sheet name="461-фарш из капусты" sheetId="125" r:id="rId324"/>
    <sheet name="467-фарш картоф" sheetId="126" r:id="rId325"/>
    <sheet name="468-фарш творож" sheetId="119" r:id="rId326"/>
    <sheet name="каша дружба 54-16к-2020" sheetId="471" r:id="rId327"/>
    <sheet name="54-11р-рыба тушен. минтай филе" sheetId="474" r:id="rId328"/>
    <sheet name="соус томатный 462" sheetId="478" r:id="rId329"/>
    <sheet name="соус томатный" sheetId="477" r:id="rId330"/>
    <sheet name="рыба с овощами" sheetId="473" r:id="rId331"/>
    <sheet name="кисель" sheetId="29" r:id="rId332"/>
    <sheet name="мониторинг" sheetId="488" r:id="rId333"/>
    <sheet name="вес блюда" sheetId="491" r:id="rId334"/>
    <sheet name="объем блюд" sheetId="462" r:id="rId335"/>
    <sheet name="режим питания" sheetId="466" r:id="rId336"/>
    <sheet name="обед" sheetId="467" r:id="rId337"/>
    <sheet name="завтрак" sheetId="465" r:id="rId338"/>
    <sheet name="масса порций" sheetId="461" r:id="rId339"/>
    <sheet name="санпин с 7" sheetId="157" r:id="rId340"/>
  </sheets>
  <definedNames>
    <definedName name="_xlnm.Print_Titles" localSheetId="3">'меню 7 дней завтрак и обед '!$13:$15</definedName>
    <definedName name="_xlnm.Print_Titles" localSheetId="4">'меню сжатый '!$13:$15</definedName>
    <definedName name="_xlnm.Print_Area" localSheetId="103">' 121-суп с пшеном '!$A$1:$J$34</definedName>
    <definedName name="_xlnm.Print_Area" localSheetId="42">' 65-салат из моркови и яблок'!$A$1:$J$33</definedName>
    <definedName name="_xlnm.Print_Area" localSheetId="73">'101-суп картофель рис '!$A$1:$J$39</definedName>
    <definedName name="_xlnm.Print_Area" localSheetId="74">'101-суп картофельный овсянка'!$A$1:$J$39</definedName>
    <definedName name="_xlnm.Print_Area" localSheetId="75">'101-суп картофельный пшенич'!$A$1:$J$39</definedName>
    <definedName name="_xlnm.Print_Area" localSheetId="71">'101-суп картофельный с перлов.'!$A$1:$J$39</definedName>
    <definedName name="_xlnm.Print_Area" localSheetId="72">'101-суп картофельный с пшено'!$A$1:$J$39</definedName>
    <definedName name="_xlnm.Print_Area" localSheetId="76">'101-суп картофельный хлопья'!$A$1:$J$39</definedName>
    <definedName name="_xlnm.Print_Area" localSheetId="77">'102-суп картофельный с горохом'!$A$1:$J$40</definedName>
    <definedName name="_xlnm.Print_Area" localSheetId="78">'102-суп картофельный с фасоль'!$A$1:$J$40</definedName>
    <definedName name="_xlnm.Print_Area" localSheetId="79">'102-суп картофельный чечевица'!$A$1:$J$40</definedName>
    <definedName name="_xlnm.Print_Area" localSheetId="80">'103-суп картофельный с вермиш.'!$A$1:$J$38</definedName>
    <definedName name="_xlnm.Print_Area" localSheetId="81">'104-суп с фрикадель'!$A$1:$J$41</definedName>
    <definedName name="_xlnm.Print_Area" localSheetId="82">'105-фрикадельки 70'!$A$1:$J$34</definedName>
    <definedName name="_xlnm.Print_Area" localSheetId="83">'106-суп фрикад. рыб.'!$A$1:$J$41</definedName>
    <definedName name="_xlnm.Print_Area" localSheetId="84">'107-фрикадельки рыб.'!$A$1:$J$34</definedName>
    <definedName name="_xlnm.Print_Area" localSheetId="85">'108-суп с клёцками'!$A$1:$J$39</definedName>
    <definedName name="_xlnm.Print_Area" localSheetId="86">'109-клёцки'!$A$1:$J$35</definedName>
    <definedName name="_xlnm.Print_Area" localSheetId="87">'111-суп макарон'!$A$1:$J$39</definedName>
    <definedName name="_xlnm.Print_Area" localSheetId="88">'113-суп-лапша'!$A$1:$J$36</definedName>
    <definedName name="_xlnm.Print_Area" localSheetId="89">'114-лапша'!$A$1:$J$34</definedName>
    <definedName name="_xlnm.Print_Area" localSheetId="92">'115-суп с овсянкой 80'!$A$1:$J$38</definedName>
    <definedName name="_xlnm.Print_Area" localSheetId="91">'115-суп с перловкой'!$A$1:$J$38</definedName>
    <definedName name="_xlnm.Print_Area" localSheetId="94">'115-суп с пшеничной'!$A$1:$J$38</definedName>
    <definedName name="_xlnm.Print_Area" localSheetId="95">'115-суп с пшено'!$A$1:$J$38</definedName>
    <definedName name="_xlnm.Print_Area" localSheetId="90">'115-суп с рисом'!$A$1:$J$38</definedName>
    <definedName name="_xlnm.Print_Area" localSheetId="93">'115-суп с ячневой'!$A$1:$J$38</definedName>
    <definedName name="_xlnm.Print_Area" localSheetId="11">'11-гамбургер с сосиской'!$A$1:$J$33</definedName>
    <definedName name="_xlnm.Print_Area" localSheetId="96">'120-суп молочный'!$A$1:$J$34</definedName>
    <definedName name="_xlnm.Print_Area" localSheetId="98">'121-суп с гречкой'!$A$1:$J$34</definedName>
    <definedName name="_xlnm.Print_Area" localSheetId="100">'121-суп с кукурузной'!$A$1:$J$34</definedName>
    <definedName name="_xlnm.Print_Area" localSheetId="102">'121-суп с манкой 90'!$A$1:$J$34</definedName>
    <definedName name="_xlnm.Print_Area" localSheetId="99">'121-суп с перловкой'!$A$1:$J$34</definedName>
    <definedName name="_xlnm.Print_Area" localSheetId="97">'121-суп с рисом'!$A$1:$J$34</definedName>
    <definedName name="_xlnm.Print_Area" localSheetId="101">'121-суп хлопья'!$A$1:$J$34</definedName>
    <definedName name="_xlnm.Print_Area" localSheetId="104">'125-картофель'!$A$1:$J$35</definedName>
    <definedName name="_xlnm.Print_Area" localSheetId="105">'126-картофель с луком'!$A$1:$J$37</definedName>
    <definedName name="_xlnm.Print_Area" localSheetId="106">'127-картофель в молоке'!$A$1:$J$35</definedName>
    <definedName name="_xlnm.Print_Area" localSheetId="107">'128-пюре'!$A$1:$J$39</definedName>
    <definedName name="_xlnm.Print_Area" localSheetId="108">'139-капуста туш.'!$A$1:$J$41</definedName>
    <definedName name="_xlnm.Print_Area" localSheetId="12">'13-чизбургер'!$A$1:$J$35</definedName>
    <definedName name="_xlnm.Print_Area" localSheetId="109">'140-свекла тушен.'!$A$1:$J$35</definedName>
    <definedName name="_xlnm.Print_Area" localSheetId="110">'142-картофель и овощи'!$A$1:$J$36</definedName>
    <definedName name="_xlnm.Print_Area" localSheetId="111">'143-рагу'!$A$1:$J$41</definedName>
    <definedName name="_xlnm.Print_Area" localSheetId="112">'145-картофель тушен.'!$A$1:$J$37</definedName>
    <definedName name="_xlnm.Print_Area" localSheetId="113">'147-картофель жарен.100'!$A$1:$J$33</definedName>
    <definedName name="_xlnm.Print_Area" localSheetId="13">'14-масло'!$A$1:$J$30</definedName>
    <definedName name="_xlnm.Print_Area" localSheetId="15">'15-сыр (15)'!$A$1:$J$30</definedName>
    <definedName name="_xlnm.Print_Area" localSheetId="16">'15-сыр (20)'!$A$1:$J$30</definedName>
    <definedName name="_xlnm.Print_Area" localSheetId="14">'15-сыр (30)'!$A$1:$J$31</definedName>
    <definedName name="_xlnm.Print_Area" localSheetId="114">'167-голубцы овощ.'!$A$1:$J$40</definedName>
    <definedName name="_xlnm.Print_Area" localSheetId="115">'168-перец овощ.'!$A$1:$J$40</definedName>
    <definedName name="_xlnm.Print_Area" localSheetId="17">'16-колбаса'!$A$1:$J$30</definedName>
    <definedName name="_xlnm.Print_Area" localSheetId="116">'171-каша греч рассып. '!$A$1:$J$34</definedName>
    <definedName name="_xlnm.Print_Area" localSheetId="117">'171-каша греч рассып. сах'!$A$1:$J$35</definedName>
    <definedName name="_xlnm.Print_Area" localSheetId="120">'171-каша перловка рассып.'!$A$1:$J$34</definedName>
    <definedName name="_xlnm.Print_Area" localSheetId="121">'171-каша перловка рассып.сах'!$A$1:$J$35</definedName>
    <definedName name="_xlnm.Print_Area" localSheetId="122">'171-каша пшенная рассып.'!$A$1:$J$34</definedName>
    <definedName name="_xlnm.Print_Area" localSheetId="123">'171-каша пшенная рассып.сах110'!$A$1:$J$35</definedName>
    <definedName name="_xlnm.Print_Area" localSheetId="118">'171-каша рис рассып.'!$A$1:$J$34</definedName>
    <definedName name="_xlnm.Print_Area" localSheetId="119">'171-каша рис рассып.сах'!$A$1:$J$35</definedName>
    <definedName name="_xlnm.Print_Area" localSheetId="124">'173-каша гречневая вязк.'!$A$1:$J$37</definedName>
    <definedName name="_xlnm.Print_Area" localSheetId="125">'173-каша пшенная вязк.'!$A$1:$J$37</definedName>
    <definedName name="_xlnm.Print_Area" localSheetId="126">'173-каша ясно солнышко'!$A$1:$J$37</definedName>
    <definedName name="_xlnm.Print_Area" localSheetId="128">'174-каша перловая вяз.'!$A$1:$J$37</definedName>
    <definedName name="_xlnm.Print_Area" localSheetId="127">'174-каша рисовая вяз.'!$A$1:$J$37</definedName>
    <definedName name="_xlnm.Print_Area" localSheetId="129">'177-каша пшенная с изюм'!$A$1:$J$36</definedName>
    <definedName name="_xlnm.Print_Area" localSheetId="18">'17-салат зеленый'!$A$1:$J$32</definedName>
    <definedName name="_xlnm.Print_Area" localSheetId="130">'181- каша манная жид. '!$A$1:$J$36</definedName>
    <definedName name="_xlnm.Print_Area" localSheetId="134">'182- каша овсяная жид.120'!$A$1:$J$36</definedName>
    <definedName name="_xlnm.Print_Area" localSheetId="133">'182- каша перловая жид. '!$A$1:$J$36</definedName>
    <definedName name="_xlnm.Print_Area" localSheetId="131">'182- каша пшенная жид.'!$A$1:$J$36</definedName>
    <definedName name="_xlnm.Print_Area" localSheetId="132">'182- каша рисовая жид.'!$A$1:$J$36</definedName>
    <definedName name="_xlnm.Print_Area" localSheetId="135">'182- каша ячневая жид.'!$A$1:$J$36</definedName>
    <definedName name="_xlnm.Print_Area" localSheetId="136">'183-каша гречневая жид.'!$A$1:$J$37</definedName>
    <definedName name="_xlnm.Print_Area" localSheetId="137">'184-крупеник гречка'!$A$1:$J$41</definedName>
    <definedName name="_xlnm.Print_Area" localSheetId="138">'184-крупеник гречка йогурт'!$A$1:$J$41</definedName>
    <definedName name="_xlnm.Print_Area" localSheetId="139">'184-крупеник пшенич.'!$A$1:$J$41</definedName>
    <definedName name="_xlnm.Print_Area" localSheetId="140">'184-крупеник пшенич.йог.'!$A$1:$J$41</definedName>
    <definedName name="_xlnm.Print_Area" localSheetId="141">'185-запеканка манка с маслом'!$A$1:$J$40</definedName>
    <definedName name="_xlnm.Print_Area" localSheetId="142">'185-запеканка манка со сгущ.'!$A$1:$J$40</definedName>
    <definedName name="_xlnm.Print_Area" localSheetId="143">'185-запеканка рис с маслом'!$A$1:$J$40</definedName>
    <definedName name="_xlnm.Print_Area" localSheetId="144">'185-запеканка рис со сгущ.'!$A$1:$J$40</definedName>
    <definedName name="_xlnm.Print_Area" localSheetId="145">'186-запеканка манка с изюмом'!$A$1:$J$42</definedName>
    <definedName name="_xlnm.Print_Area" localSheetId="19">'18-салат с огурцами'!$A$1:$J$33</definedName>
    <definedName name="_xlnm.Print_Area" localSheetId="20">'19-салат с огурцами и помидор'!$A$1:$J$34</definedName>
    <definedName name="_xlnm.Print_Area" localSheetId="5">'1-бутерброд с маслом'!$A$1:$J$31</definedName>
    <definedName name="_xlnm.Print_Area" localSheetId="146">'202-макароны отвар'!$A$1:$J$32</definedName>
    <definedName name="_xlnm.Print_Area" localSheetId="147">'202-макароны отвар (150)'!$A$1:$J$32</definedName>
    <definedName name="_xlnm.Print_Area" localSheetId="148">'203-макароны'!$A$1:$J$31</definedName>
    <definedName name="_xlnm.Print_Area" localSheetId="149">'204-макароны с сыр'!$A$1:$J$32</definedName>
    <definedName name="_xlnm.Print_Area" localSheetId="150">'205-макароны с овощ 130'!$A$1:$J$36</definedName>
    <definedName name="_xlnm.Print_Area" localSheetId="151">'209-яйца'!$A$1:$J$32</definedName>
    <definedName name="_xlnm.Print_Area" localSheetId="21">'20-салат из огурцов'!$A$1:$J$32</definedName>
    <definedName name="_xlnm.Print_Area" localSheetId="152">'210-омлет'!$A$1:$J$38</definedName>
    <definedName name="_xlnm.Print_Area" localSheetId="153">'211-омлет с сыром'!$A$1:$J$36</definedName>
    <definedName name="_xlnm.Print_Area" localSheetId="154">'213-омлет с картофелем'!$A$1:$J$36</definedName>
    <definedName name="_xlnm.Print_Area" localSheetId="155">'219-сырники'!$A$1:$J$36</definedName>
    <definedName name="_xlnm.Print_Area" localSheetId="156">'222-пудинг'!$A$1:$J$40</definedName>
    <definedName name="_xlnm.Print_Area" localSheetId="157">'222-пудинг (120)'!$A$1:$J$40</definedName>
    <definedName name="_xlnm.Print_Area" localSheetId="158">'223-запеканка творог'!$A$1:$J$38</definedName>
    <definedName name="_xlnm.Print_Area" localSheetId="159">'224-запеканка творог морковь'!$A$1:$J$40</definedName>
    <definedName name="_xlnm.Print_Area" localSheetId="160">'225-оладьи из творога'!$A$1:$J$38</definedName>
    <definedName name="_xlnm.Print_Area" localSheetId="161">'227-рыба припущ.'!$A$1:$J$37</definedName>
    <definedName name="_xlnm.Print_Area" localSheetId="162">'229-рыба тушен.'!$A$1:$J$43</definedName>
    <definedName name="_xlnm.Print_Area" localSheetId="164">'229-рыба тушен. минтай филе'!$A$1:$J$43</definedName>
    <definedName name="_xlnm.Print_Area" localSheetId="163">'229-рыба тушен. хек 140'!$A$1:$J$43</definedName>
    <definedName name="_xlnm.Print_Area" localSheetId="165">'230-рыба жареная'!$A$1:$J$38</definedName>
    <definedName name="_xlnm.Print_Area" localSheetId="166">'230-рыба жареная (2)'!$A$1:$J$38</definedName>
    <definedName name="_xlnm.Print_Area" localSheetId="22">'23-салат из помидоров'!$A$1:$J$33</definedName>
    <definedName name="_xlnm.Print_Area" localSheetId="23">'23-салат из помидоров (2)'!$A$1:$J$33</definedName>
    <definedName name="_xlnm.Print_Area" localSheetId="167">'241-мясо отвар'!$A$1:$J$39</definedName>
    <definedName name="_xlnm.Print_Area" localSheetId="168">'243-сосиски'!$A$1:$J$33</definedName>
    <definedName name="_xlnm.Print_Area" localSheetId="169">'244-плов из говядины'!$A$1:$J$38</definedName>
    <definedName name="_xlnm.Print_Area" localSheetId="170">'244-плов из говядины (2)'!$A$1:$J$39</definedName>
    <definedName name="_xlnm.Print_Area" localSheetId="171">'245-бефстроганов'!$A$1:$J$40</definedName>
    <definedName name="_xlnm.Print_Area" localSheetId="172">'245-бефстроганов (2)'!$A$1:$J$40</definedName>
    <definedName name="_xlnm.Print_Area" localSheetId="173">'246-гуляш 150'!$A$1:$J$42</definedName>
    <definedName name="_xlnm.Print_Area" localSheetId="174">'247-мясо крупное'!$A$1:$J$39</definedName>
    <definedName name="_xlnm.Print_Area" localSheetId="175">'247-мясо крупное (2)'!$A$1:$J$38</definedName>
    <definedName name="_xlnm.Print_Area" localSheetId="176">'249-антрекот'!$A$1:$J$37</definedName>
    <definedName name="_xlnm.Print_Area" localSheetId="24">'24-салат из помидор и огурцов'!$A$1:$J$34</definedName>
    <definedName name="_xlnm.Print_Area" localSheetId="25">'24-салат помидор и огурц 20'!$A$1:$J$34</definedName>
    <definedName name="_xlnm.Print_Area" localSheetId="177">'250-бефстроганов жар.'!$A$1:$J$43</definedName>
    <definedName name="_xlnm.Print_Area" localSheetId="178">'251-поджарка'!$A$1:$J$42</definedName>
    <definedName name="_xlnm.Print_Area" localSheetId="179">'251-поджарка (2)'!$A$1:$J$41</definedName>
    <definedName name="_xlnm.Print_Area" localSheetId="180">'252-сосиски жареные'!$A$1:$J$36</definedName>
    <definedName name="_xlnm.Print_Area" localSheetId="181">'256-мясо туш.'!$A$1:$J$42</definedName>
    <definedName name="_xlnm.Print_Area" localSheetId="182">'256-мясо туш. (2)'!$A$1:$J$43</definedName>
    <definedName name="_xlnm.Print_Area" localSheetId="183">'258-мясо духовое'!$A$1:$J$43</definedName>
    <definedName name="_xlnm.Print_Area" localSheetId="184">'259-жаркое'!$A$1:$J$40</definedName>
    <definedName name="_xlnm.Print_Area" localSheetId="185">'259-жаркое (2)'!$A$1:$J$40</definedName>
    <definedName name="_xlnm.Print_Area" localSheetId="186">'260-гуляш'!$A$1:$J$42</definedName>
    <definedName name="_xlnm.Print_Area" localSheetId="187">'260-гуляш (2)'!$A$1:$J$44</definedName>
    <definedName name="_xlnm.Print_Area" localSheetId="188">'264-говядина тушеная'!$A$1:$J$42</definedName>
    <definedName name="_xlnm.Print_Area" localSheetId="189">'265-плов'!$A$1:$J$41</definedName>
    <definedName name="_xlnm.Print_Area" localSheetId="190">'267-шницель'!$A$1:$J$41</definedName>
    <definedName name="_xlnm.Print_Area" localSheetId="191">'268-котлеты'!$A$1:$J$40</definedName>
    <definedName name="_xlnm.Print_Area" localSheetId="193">'268-котлеты (80)'!$A$1:$J$40</definedName>
    <definedName name="_xlnm.Print_Area" localSheetId="192">'268-котлеты с соусом'!$A$1:$J$40</definedName>
    <definedName name="_xlnm.Print_Area" localSheetId="194">'271-котлеты дом '!$A$1:$J$43</definedName>
    <definedName name="_xlnm.Print_Area" localSheetId="195">'273-котлеты с соусом'!$A$1:$J$45</definedName>
    <definedName name="_xlnm.Print_Area" localSheetId="196">'278-тефтели (1)'!$A$1:$J$46</definedName>
    <definedName name="_xlnm.Print_Area" localSheetId="199">'279-тефтели (120)'!$A$1:$J$45</definedName>
    <definedName name="_xlnm.Print_Area" localSheetId="197">'279-тефтели (60х2)'!$A$1:$J$46</definedName>
    <definedName name="_xlnm.Print_Area" localSheetId="198">'279-тефтели 80)'!$A$1:$J$46</definedName>
    <definedName name="_xlnm.Print_Area" localSheetId="200">'280 фрикадельки в соусе'!$A$1:$J$43</definedName>
    <definedName name="_xlnm.Print_Area" localSheetId="201">'285-макаронник с мясом'!$A$1:$J$43</definedName>
    <definedName name="_xlnm.Print_Area" localSheetId="202">'287-Голубцы с мясом и рисом'!$A$1:$J$41</definedName>
    <definedName name="_xlnm.Print_Area" localSheetId="203">'288-птица отвар'!$A$1:$J$39</definedName>
    <definedName name="_xlnm.Print_Area" localSheetId="204">'288-птица отвар окор.'!$A$1:$J$39</definedName>
    <definedName name="_xlnm.Print_Area" localSheetId="205">'288-птица отвар филе'!$A$1:$J$39</definedName>
    <definedName name="_xlnm.Print_Area" localSheetId="206">'289 Рагу из окорочка'!$A$1:$J$43</definedName>
    <definedName name="_xlnm.Print_Area" localSheetId="207">'289 Рагу из птицы '!$A$1:$J$43</definedName>
    <definedName name="_xlnm.Print_Area" localSheetId="26">'28-салат весна'!$A$1:$J$36</definedName>
    <definedName name="_xlnm.Print_Area" localSheetId="209">'290 птица туш.'!$A$1:$J$38</definedName>
    <definedName name="_xlnm.Print_Area" localSheetId="210">'290 птица туш. 120г'!$A$1:$J$38</definedName>
    <definedName name="_xlnm.Print_Area" localSheetId="208">'290 птица туш.окор.'!$A$1:$J$38</definedName>
    <definedName name="_xlnm.Print_Area" localSheetId="212">'291-плов из курицы'!$A$1:$J$38</definedName>
    <definedName name="_xlnm.Print_Area" localSheetId="211">'291-плов из окорочков'!$A$1:$J$38</definedName>
    <definedName name="_xlnm.Print_Area" localSheetId="213">'292 окорочка тушенная в соусе'!$A$1:$J$41</definedName>
    <definedName name="_xlnm.Print_Area" localSheetId="214">'292 птица тушенная в соусе'!$A$1:$J$41</definedName>
    <definedName name="_xlnm.Print_Area" localSheetId="215">'293 птица жареная'!$A$1:$J$39</definedName>
    <definedName name="_xlnm.Print_Area" localSheetId="216">'294 котлеты из птицы'!$A$1:$J$41</definedName>
    <definedName name="_xlnm.Print_Area" localSheetId="219">'294 котлеты из птицы '!$A$1:$J$41</definedName>
    <definedName name="_xlnm.Print_Area" localSheetId="218">'294 котлеты из филе птицы '!$A$1:$J$41</definedName>
    <definedName name="_xlnm.Print_Area" localSheetId="217">'294 котлеты куриные окорочка'!$A$1:$J$41</definedName>
    <definedName name="_xlnm.Print_Area" localSheetId="220">'296 котлеты рубленные из кур'!$A$1:$J$44</definedName>
    <definedName name="_xlnm.Print_Area" localSheetId="221">'296 котлеты рубленные из окор'!$A$1:$J$44</definedName>
    <definedName name="_xlnm.Print_Area" localSheetId="222">'297 фрикадельки из кур'!$A$1:$J$39</definedName>
    <definedName name="_xlnm.Print_Area" localSheetId="223">'297 фрикадельки из кур окор'!$A$1:$J$39</definedName>
    <definedName name="_xlnm.Print_Area" localSheetId="224">'298 Зразы из кур'!$A$1:$J$46</definedName>
    <definedName name="_xlnm.Print_Area" localSheetId="27">'29-салат из сырых овощей'!$A$1:$J$35</definedName>
    <definedName name="_xlnm.Print_Area" localSheetId="6">'2-бутерброд с джемом'!$A$1:$J$32</definedName>
    <definedName name="_xlnm.Print_Area" localSheetId="225">'302-каша греч гарнир'!$A$1:$J$31</definedName>
    <definedName name="_xlnm.Print_Area" localSheetId="227">'302-каша пшено гарнир'!$A$1:$J$33</definedName>
    <definedName name="_xlnm.Print_Area" localSheetId="226">'302-каша рис гарнир'!$A$1:$J$33</definedName>
    <definedName name="_xlnm.Print_Area" localSheetId="228">'304-рис отварной'!$A$1:$J$34</definedName>
    <definedName name="_xlnm.Print_Area" localSheetId="229">'305-рис припущенный'!$A$1:$J$35</definedName>
    <definedName name="_xlnm.Print_Area" localSheetId="230">'309-макаронные'!$A$1:$J$31</definedName>
    <definedName name="_xlnm.Print_Area" localSheetId="231">'310-картофель'!$A$1:$J$31</definedName>
    <definedName name="_xlnm.Print_Area" localSheetId="232">'310-картофель молодой'!$A$1:$J$31</definedName>
    <definedName name="_xlnm.Print_Area" localSheetId="233">'312-пюре 200'!$A$1:$J$33</definedName>
    <definedName name="_xlnm.Print_Area" localSheetId="234">'314-картофель жар.'!$A$1:$J$33</definedName>
    <definedName name="_xlnm.Print_Area" localSheetId="28">'31-салат из редиса'!$A$1:$J$34</definedName>
    <definedName name="_xlnm.Print_Area" localSheetId="235">'321-капуста тушеная'!$A$1:$J$41</definedName>
    <definedName name="_xlnm.Print_Area" localSheetId="236">'326-соус молочный'!$A$1:$J$36</definedName>
    <definedName name="_xlnm.Print_Area" localSheetId="237">'326-соус молочный 30'!$A$1:$J$36</definedName>
    <definedName name="_xlnm.Print_Area" localSheetId="239">'329 соус молочный густой'!$A$1:$J$35</definedName>
    <definedName name="_xlnm.Print_Area" localSheetId="240">'330-соус сметанный'!$A$1:$J$35</definedName>
    <definedName name="_xlnm.Print_Area" localSheetId="241">'330-соус сметанный (2)'!$A$1:$J$35</definedName>
    <definedName name="_xlnm.Print_Area" localSheetId="242">'330-соус сметанный (3)'!$A$1:$J$35</definedName>
    <definedName name="_xlnm.Print_Area" localSheetId="243">'330-соус сметанный (4)'!$A$1:$J$35</definedName>
    <definedName name="_xlnm.Print_Area" localSheetId="244">'331-соус с томатом'!$A$1:$J$37</definedName>
    <definedName name="_xlnm.Print_Area" localSheetId="245">'331-соус с томатом (30)'!$A$1:$J$37</definedName>
    <definedName name="_xlnm.Print_Area" localSheetId="246">'331-соус с томатом (50)'!$A$1:$J$37</definedName>
    <definedName name="_xlnm.Print_Area" localSheetId="247">'332-соус с луком'!$A$1:$J$32</definedName>
    <definedName name="_xlnm.Print_Area" localSheetId="248">'332-соус с луком (30)'!$A$1:$J$32</definedName>
    <definedName name="_xlnm.Print_Area" localSheetId="249">'332-соус с луком (50)'!$A$1:$J$32</definedName>
    <definedName name="_xlnm.Print_Area" localSheetId="250">'333-соус с томатом и лук'!$A$1:$J$33</definedName>
    <definedName name="_xlnm.Print_Area" localSheetId="251">'333-соус с томатом и лук (30)'!$A$1:$J$33</definedName>
    <definedName name="_xlnm.Print_Area" localSheetId="252">'334-соус малиновый'!$A$1:$J$31</definedName>
    <definedName name="_xlnm.Print_Area" localSheetId="254">'335-соус абрикос курага'!$A$1:$J$32</definedName>
    <definedName name="_xlnm.Print_Area" localSheetId="253">'335-соус абрикосовый'!$A$1:$J$32</definedName>
    <definedName name="_xlnm.Print_Area" localSheetId="255">'336-соус черносмородин'!$A$1:$J$32</definedName>
    <definedName name="_xlnm.Print_Area" localSheetId="256">'337-соус яблочный'!$A$1:$J$35</definedName>
    <definedName name="_xlnm.Print_Area" localSheetId="261">'338-абрикосы'!$A$1:$J$30</definedName>
    <definedName name="_xlnm.Print_Area" localSheetId="263">'338-бананы'!$A$1:$J$30</definedName>
    <definedName name="_xlnm.Print_Area" localSheetId="264">'338-бананы (2)'!$A$1:$J$30</definedName>
    <definedName name="_xlnm.Print_Area" localSheetId="265">'338-виноград'!$A$1:$J$30</definedName>
    <definedName name="_xlnm.Print_Area" localSheetId="259">'338-груши'!$A$1:$J$30</definedName>
    <definedName name="_xlnm.Print_Area" localSheetId="260">'338-груши (150)'!$A$1:$J$30</definedName>
    <definedName name="_xlnm.Print_Area" localSheetId="262">'338-персики'!$A$1:$J$30</definedName>
    <definedName name="_xlnm.Print_Area" localSheetId="257">'338-яблоки'!$A$1:$J$30</definedName>
    <definedName name="_xlnm.Print_Area" localSheetId="258">'338-яблоки (150)'!$A$1:$J$30</definedName>
    <definedName name="_xlnm.Print_Area" localSheetId="267">'339-земляника'!$A$1:$J$31</definedName>
    <definedName name="_xlnm.Print_Area" localSheetId="266">'339-черешня'!$A$1:$J$31</definedName>
    <definedName name="_xlnm.Print_Area" localSheetId="268">'340-арбуз'!$A$1:$J$30</definedName>
    <definedName name="_xlnm.Print_Area" localSheetId="269">'340-дыня'!$A$1:$J$30</definedName>
    <definedName name="_xlnm.Print_Area" localSheetId="270">'341-апельсин'!$A$1:$J$31</definedName>
    <definedName name="_xlnm.Print_Area" localSheetId="271">'341-мандарины'!$A$1:$J$31</definedName>
    <definedName name="_xlnm.Print_Area" localSheetId="274">'342-компот абрикос'!$A$1:$J$33</definedName>
    <definedName name="_xlnm.Print_Area" localSheetId="273">'342-компот вишня'!$A$1:$J$33</definedName>
    <definedName name="_xlnm.Print_Area" localSheetId="272">'342-компот яблок'!$A$1:$J$33</definedName>
    <definedName name="_xlnm.Print_Area" localSheetId="275">'344-компот яблок и слив'!$A$1:$J$34</definedName>
    <definedName name="_xlnm.Print_Area" localSheetId="276">'346-компот апельсины'!$A$1:$J$33</definedName>
    <definedName name="_xlnm.Print_Area" localSheetId="277">'346-компот мандарины'!$A$1:$J$33</definedName>
    <definedName name="_xlnm.Print_Area" localSheetId="278">'347-компот из плодов консер виш'!$A$1:$J$33</definedName>
    <definedName name="_xlnm.Print_Area" localSheetId="279">'347-компот консерв персик'!$A$1:$J$33</definedName>
    <definedName name="_xlnm.Print_Area" localSheetId="280">'348-компот сушеной кураги'!$A$1:$J$33</definedName>
    <definedName name="_xlnm.Print_Area" localSheetId="281">'349-компот сухофрукт'!$A$1:$J$33</definedName>
    <definedName name="_xlnm.Print_Area" localSheetId="29">'34-салат летний'!$A$1:$J$36</definedName>
    <definedName name="_xlnm.Print_Area" localSheetId="282">'352-кисель ябл'!$A$1:$J$34</definedName>
    <definedName name="_xlnm.Print_Area" localSheetId="283">'354-кисель ябл суш'!$A$1:$J$34</definedName>
    <definedName name="_xlnm.Print_Area" localSheetId="284">'357-кисель шиповн'!$A$1:$J$34</definedName>
    <definedName name="_xlnm.Print_Area" localSheetId="285">'375-чай заварка'!$A$1:$J$31</definedName>
    <definedName name="_xlnm.Print_Area" localSheetId="287">'376-чай с вареньем'!$A$1:$J$32</definedName>
    <definedName name="_xlnm.Print_Area" localSheetId="286">'376-чай сахар'!$A$1:$J$32</definedName>
    <definedName name="_xlnm.Print_Area" localSheetId="288">'377-чай с лимон'!$A$1:$J$33</definedName>
    <definedName name="_xlnm.Print_Area" localSheetId="289">'378-чай с молоком'!$A$1:$J$33</definedName>
    <definedName name="_xlnm.Print_Area" localSheetId="290">'379-кофейный напиток с молоком'!$A$1:$J$33</definedName>
    <definedName name="_xlnm.Print_Area" localSheetId="291">'380-кофейный напиток со сгущ'!$A$1:$J$32</definedName>
    <definedName name="_xlnm.Print_Area" localSheetId="292">'382-какао с молоком'!$A$1:$J$33</definedName>
    <definedName name="_xlnm.Print_Area" localSheetId="293">'383-какао с сгущ'!$A$1:$J$33</definedName>
    <definedName name="_xlnm.Print_Area" localSheetId="294">'385-молоко'!$A$1:$J$30</definedName>
    <definedName name="_xlnm.Print_Area" localSheetId="295">'388-напиток из шипов'!$A$1:$J$32</definedName>
    <definedName name="_xlnm.Print_Area" localSheetId="296">'393 тесто для вареников'!$A$1:$J$34</definedName>
    <definedName name="_xlnm.Print_Area" localSheetId="297">'394 Вареники с творожным фаршем'!$A$1:$J$35</definedName>
    <definedName name="_xlnm.Print_Area" localSheetId="300">'396-Блины  с медом'!$A$1:$J$38</definedName>
    <definedName name="_xlnm.Print_Area" localSheetId="299">'396-Блины  с повидлом'!$A$1:$J$38</definedName>
    <definedName name="_xlnm.Print_Area" localSheetId="301">'396-Блины  со сгущ.'!$A$1:$J$38</definedName>
    <definedName name="_xlnm.Print_Area" localSheetId="298">'396-Блины с маслом '!$A$1:$J$38</definedName>
    <definedName name="_xlnm.Print_Area" localSheetId="30">'39-салат с кукурузой'!$A$1:$J$35</definedName>
    <definedName name="_xlnm.Print_Area" localSheetId="7">'3-бутерброд с сыром'!$A$1:$J$32</definedName>
    <definedName name="_xlnm.Print_Area" localSheetId="302">'400-тесто для оладий'!$A$1:$J$36</definedName>
    <definedName name="_xlnm.Print_Area" localSheetId="303">'401-оладьи варенье'!$A$1:$J$33</definedName>
    <definedName name="_xlnm.Print_Area" localSheetId="304">'404-оладьи с маслом'!$A$1:$J$35</definedName>
    <definedName name="_xlnm.Print_Area" localSheetId="307">'405-тесто ватрушки'!$A$1:$J$37</definedName>
    <definedName name="_xlnm.Print_Area" localSheetId="305">'405-тесто дрожжевое'!$A$1:$J$36</definedName>
    <definedName name="_xlnm.Print_Area" localSheetId="306">'405-тесто сдобное'!$A$1:$J$37</definedName>
    <definedName name="_xlnm.Print_Area" localSheetId="309">'406-пирожки капуст'!$A$1:$J$34</definedName>
    <definedName name="_xlnm.Print_Area" localSheetId="308">'406-пирожки картоф'!$A$1:$J$34</definedName>
    <definedName name="_xlnm.Print_Area" localSheetId="310">'406-пирожки мясные'!$A$1:$J$34</definedName>
    <definedName name="_xlnm.Print_Area" localSheetId="31">'40-салат картоф. с морк. и гор.'!$A$1:$J$35</definedName>
    <definedName name="_xlnm.Print_Area" localSheetId="311">'410-ватрушка'!$A$1:$J$34</definedName>
    <definedName name="_xlnm.Print_Area" localSheetId="32">'41-салат картоф. с капустой'!$A$1:$J$34</definedName>
    <definedName name="_xlnm.Print_Area" localSheetId="312">'426-булочка с повидл'!$A$1:$J$39</definedName>
    <definedName name="_xlnm.Print_Area" localSheetId="313">'426-булочка с повидл (2)'!$A$1:$J$39</definedName>
    <definedName name="_xlnm.Print_Area" localSheetId="316">'428-булочка школьная 100г'!$A$1:$J$38</definedName>
    <definedName name="_xlnm.Print_Area" localSheetId="314">'428-булочка школьная 30г'!$A$1:$J$38</definedName>
    <definedName name="_xlnm.Print_Area" localSheetId="315">'428-булочка школьная 50г'!$A$1:$J$38</definedName>
    <definedName name="_xlnm.Print_Area" localSheetId="318">'429-булочка веснушка 100г'!$A$1:$J$38</definedName>
    <definedName name="_xlnm.Print_Area" localSheetId="317">'429-булочка веснушка 50г'!$A$1:$J$38</definedName>
    <definedName name="_xlnm.Print_Area" localSheetId="33">'43-салат из овощей'!$A$1:$J$35</definedName>
    <definedName name="_xlnm.Print_Area" localSheetId="319">'440-булочка творожная'!$A$1:$J$42</definedName>
    <definedName name="_xlnm.Print_Area" localSheetId="320">'446-кекс'!$A$1:$J$39</definedName>
    <definedName name="_xlnm.Print_Area" localSheetId="321">'456-корж'!$A$1:$J$40</definedName>
    <definedName name="_xlnm.Print_Area" localSheetId="322">'457-фарш мясной'!$A$1:$J$37</definedName>
    <definedName name="_xlnm.Print_Area" localSheetId="34">'45-салат из капусты'!$A$1:$J$37</definedName>
    <definedName name="_xlnm.Print_Area" localSheetId="35">'45-салат из капусты новой 30'!$A$1:$J$37</definedName>
    <definedName name="_xlnm.Print_Area" localSheetId="323">'461-фарш из капусты'!$A$1:$J$37</definedName>
    <definedName name="_xlnm.Print_Area" localSheetId="324">'467-фарш картоф'!$A$1:$J$34</definedName>
    <definedName name="_xlnm.Print_Area" localSheetId="325">'468-фарш творож'!$A$1:$J$34</definedName>
    <definedName name="_xlnm.Print_Area" localSheetId="36">'48-салат витаминный'!$A$1:$J$36</definedName>
    <definedName name="_xlnm.Print_Area" localSheetId="37">'52-салат из свеклы отварной'!$A$1:$J$32</definedName>
    <definedName name="_xlnm.Print_Area" localSheetId="38">'53-салат из свеклы с горошком'!$A$1:$J$35</definedName>
    <definedName name="_xlnm.Print_Area" localSheetId="327">'54-11р-рыба тушен. минтай филе'!$A$1:$J$41</definedName>
    <definedName name="_xlnm.Print_Area" localSheetId="39">'54-салат из свеклы с яблоками'!$A$1:$J$33</definedName>
    <definedName name="_xlnm.Print_Area" localSheetId="40">'56-салат овощной с яблоками'!$A$1:$J$34</definedName>
    <definedName name="_xlnm.Print_Area" localSheetId="41">'62-салат из моркови'!$A$1:$J$31</definedName>
    <definedName name="_xlnm.Print_Area" localSheetId="43">'67-винегрет'!$A$1:$J$37</definedName>
    <definedName name="_xlnm.Print_Area" localSheetId="44">'67-винегрет с капустой'!$A$1:$J$37</definedName>
    <definedName name="_xlnm.Print_Area" localSheetId="45">'68-винегрет с фасолью'!$A$1:$J$31</definedName>
    <definedName name="_xlnm.Print_Area" localSheetId="8">'6-бутерброд с колбасой'!$A$1:$J$31</definedName>
    <definedName name="_xlnm.Print_Area" localSheetId="47">'70-огурцы сол.'!$A$1:$J$30</definedName>
    <definedName name="_xlnm.Print_Area" localSheetId="46">'70-помидоры сол.'!$A$1:$J$30</definedName>
    <definedName name="_xlnm.Print_Area" localSheetId="49">'71-огурцы '!$A$1:$J$30</definedName>
    <definedName name="_xlnm.Print_Area" localSheetId="50">'71-огурцы и помидоры'!$A$1:$J$31</definedName>
    <definedName name="_xlnm.Print_Area" localSheetId="48">'71-помидоры'!$A$1:$J$30</definedName>
    <definedName name="_xlnm.Print_Area" localSheetId="51">'77-сельдь'!$A$1:$J$32</definedName>
    <definedName name="_xlnm.Print_Area" localSheetId="9">'7-бутерброд горяч. с сыром'!$A$1:$J$32</definedName>
    <definedName name="_xlnm.Print_Area" localSheetId="52">'82-борщ с капустой'!$A$1:$J$43</definedName>
    <definedName name="_xlnm.Print_Area" localSheetId="53">'83-борщ с картофелем'!$A$1:$J$43</definedName>
    <definedName name="_xlnm.Print_Area" localSheetId="54">'84-борщ с фасолью'!$A$1:$J$44</definedName>
    <definedName name="_xlnm.Print_Area" localSheetId="55">'85-борщ зеленый'!$A$1:$J$42</definedName>
    <definedName name="_xlnm.Print_Area" localSheetId="57">'87-щи из капусты'!$A$1:$J$40</definedName>
    <definedName name="_xlnm.Print_Area" localSheetId="58">'88-щи из картофеля'!$A$1:$J$40</definedName>
    <definedName name="_xlnm.Print_Area" localSheetId="59">'89-щи зеленые'!$A$1:$J$39</definedName>
    <definedName name="_xlnm.Print_Area" localSheetId="10">'8-бутерброд горяч. с колбас.'!$A$1:$J$33</definedName>
    <definedName name="_xlnm.Print_Area" localSheetId="60">'92-щи кваш. капуста 50'!$A$1:$J$39</definedName>
    <definedName name="_xlnm.Print_Area" localSheetId="61">'94-рассольник'!$A$1:$J$35</definedName>
    <definedName name="_xlnm.Print_Area" localSheetId="62">'96-рассольник ленинград'!$A$1:$J$37</definedName>
    <definedName name="_xlnm.Print_Area" localSheetId="63">'97-суп картофельный '!$A$1:$J$38</definedName>
    <definedName name="_xlnm.Print_Area" localSheetId="65">'98-суп крестьян. овсянка'!$A$1:$J$40</definedName>
    <definedName name="_xlnm.Print_Area" localSheetId="66">'98-суп крестьян. перловка'!$A$1:$J$40</definedName>
    <definedName name="_xlnm.Print_Area" localSheetId="67">'98-суп крестьян. пшеничная'!$A$1:$J$40</definedName>
    <definedName name="_xlnm.Print_Area" localSheetId="68">'98-суп крестьян. пшено'!$A$1:$J$40</definedName>
    <definedName name="_xlnm.Print_Area" localSheetId="64">'98-суп крестьян. рис'!$A$1:$J$40</definedName>
    <definedName name="_xlnm.Print_Area" localSheetId="69">'98-суп крестьян. хлопья'!$A$1:$J$40</definedName>
    <definedName name="_xlnm.Print_Area" localSheetId="70">'99-суп из овощей'!$A$1:$J$40</definedName>
    <definedName name="_xlnm.Print_Area" localSheetId="2">блюда!$A$1:$EY$759</definedName>
    <definedName name="_xlnm.Print_Area" localSheetId="56">'бн-свекольник'!$A$1:$J$40</definedName>
    <definedName name="_xlnm.Print_Area" localSheetId="326">'каша дружба 54-16к-2020'!$A$1:$J$36</definedName>
    <definedName name="_xlnm.Print_Area" localSheetId="331">кисель!$A$1:$R$38</definedName>
    <definedName name="_xlnm.Print_Area" localSheetId="238">льезон!$A$1:$J$33</definedName>
    <definedName name="_xlnm.Print_Area" localSheetId="3">'меню 7 дней завтрак и обед '!$A$1:$EY$1268</definedName>
    <definedName name="_xlnm.Print_Area" localSheetId="4">'меню сжатый '!$A$1:$I$301</definedName>
    <definedName name="_xlnm.Print_Area" localSheetId="328">'соус томатный 462'!$A$1:$J$39</definedName>
    <definedName name="_xlnm.Print_Area" localSheetId="0">цены!$A$1:$F$162</definedName>
  </definedNames>
  <calcPr calcId="162913" fullPrecision="0"/>
</workbook>
</file>

<file path=xl/calcChain.xml><?xml version="1.0" encoding="utf-8"?>
<calcChain xmlns="http://schemas.openxmlformats.org/spreadsheetml/2006/main">
  <c r="C139" i="489" l="1"/>
  <c r="D139" i="489"/>
  <c r="E139" i="489"/>
  <c r="F139" i="489"/>
  <c r="G139" i="489"/>
  <c r="H139" i="489"/>
  <c r="I139" i="489"/>
  <c r="J139" i="489"/>
  <c r="K139" i="489"/>
  <c r="L139" i="489"/>
  <c r="M139" i="489"/>
  <c r="N139" i="489"/>
  <c r="O139" i="489"/>
  <c r="P139" i="489"/>
  <c r="Q139" i="489"/>
  <c r="R139" i="489"/>
  <c r="S139" i="489"/>
  <c r="T139" i="489"/>
  <c r="U139" i="489"/>
  <c r="V139" i="489"/>
  <c r="W139" i="489"/>
  <c r="X139" i="489"/>
  <c r="Y139" i="489"/>
  <c r="Z139" i="489"/>
  <c r="AA139" i="489"/>
  <c r="AB139" i="489"/>
  <c r="AC139" i="489"/>
  <c r="AD139" i="489"/>
  <c r="AE139" i="489"/>
  <c r="AF139" i="489"/>
  <c r="AG139" i="489"/>
  <c r="AH139" i="489"/>
  <c r="AI139" i="489"/>
  <c r="AJ139" i="489"/>
  <c r="AK139" i="489"/>
  <c r="AL139" i="489"/>
  <c r="AM139" i="489"/>
  <c r="AN139" i="489"/>
  <c r="AO139" i="489"/>
  <c r="AP139" i="489"/>
  <c r="AQ139" i="489"/>
  <c r="AR139" i="489"/>
  <c r="AS139" i="489"/>
  <c r="AT139" i="489"/>
  <c r="AU139" i="489"/>
  <c r="AV139" i="489"/>
  <c r="AW139" i="489"/>
  <c r="AX139" i="489"/>
  <c r="AY139" i="489"/>
  <c r="AZ139" i="489"/>
  <c r="BA139" i="489"/>
  <c r="BB139" i="489"/>
  <c r="BC139" i="489"/>
  <c r="BD139" i="489"/>
  <c r="BE139" i="489"/>
  <c r="BF139" i="489"/>
  <c r="BG139" i="489"/>
  <c r="BH139" i="489"/>
  <c r="BI139" i="489"/>
  <c r="BJ139" i="489"/>
  <c r="BK139" i="489"/>
  <c r="BL139" i="489"/>
  <c r="BM139" i="489"/>
  <c r="BN139" i="489"/>
  <c r="BO139" i="489"/>
  <c r="BP139" i="489"/>
  <c r="BQ139" i="489"/>
  <c r="BR139" i="489"/>
  <c r="BS139" i="489"/>
  <c r="BT139" i="489"/>
  <c r="BU139" i="489"/>
  <c r="BV139" i="489"/>
  <c r="BW139" i="489"/>
  <c r="BX139" i="489"/>
  <c r="BY139" i="489"/>
  <c r="BZ139" i="489"/>
  <c r="CA139" i="489"/>
  <c r="CB139" i="489"/>
  <c r="CC139" i="489"/>
  <c r="CD139" i="489"/>
  <c r="CE139" i="489"/>
  <c r="CF139" i="489"/>
  <c r="CG139" i="489"/>
  <c r="CH139" i="489"/>
  <c r="CI139" i="489"/>
  <c r="CJ139" i="489"/>
  <c r="CK139" i="489"/>
  <c r="CL139" i="489"/>
  <c r="CM139" i="489"/>
  <c r="CN139" i="489"/>
  <c r="CO139" i="489"/>
  <c r="CP139" i="489"/>
  <c r="CQ139" i="489"/>
  <c r="CR139" i="489"/>
  <c r="CS139" i="489"/>
  <c r="CT139" i="489"/>
  <c r="CU139" i="489"/>
  <c r="CV139" i="489"/>
  <c r="CW139" i="489"/>
  <c r="CX139" i="489"/>
  <c r="CY139" i="489"/>
  <c r="CZ139" i="489"/>
  <c r="DA139" i="489"/>
  <c r="DB139" i="489"/>
  <c r="DC139" i="489"/>
  <c r="DD139" i="489"/>
  <c r="DE139" i="489"/>
  <c r="DF139" i="489"/>
  <c r="DG139" i="489"/>
  <c r="DH139" i="489"/>
  <c r="DI139" i="489"/>
  <c r="DJ139" i="489"/>
  <c r="DK139" i="489"/>
  <c r="DL139" i="489"/>
  <c r="DM139" i="489"/>
  <c r="DN139" i="489"/>
  <c r="DO139" i="489"/>
  <c r="DP139" i="489"/>
  <c r="DQ139" i="489"/>
  <c r="DR139" i="489"/>
  <c r="DS139" i="489"/>
  <c r="DT139" i="489"/>
  <c r="DU139" i="489"/>
  <c r="DV139" i="489"/>
  <c r="DW139" i="489"/>
  <c r="DX139" i="489"/>
  <c r="DY139" i="489"/>
  <c r="DZ139" i="489"/>
  <c r="EA139" i="489"/>
  <c r="EB139" i="489"/>
  <c r="EC139" i="489"/>
  <c r="ED139" i="489"/>
  <c r="EE139" i="489"/>
  <c r="EF139" i="489"/>
  <c r="EG139" i="489"/>
  <c r="EH139" i="489"/>
  <c r="EI139" i="489"/>
  <c r="EJ139" i="489"/>
  <c r="EK139" i="489"/>
  <c r="EL139" i="489"/>
  <c r="EM139" i="489"/>
  <c r="EN139" i="489"/>
  <c r="EO139" i="489"/>
  <c r="EP139" i="489"/>
  <c r="EQ139" i="489"/>
  <c r="ER139" i="489"/>
  <c r="ES139" i="489"/>
  <c r="ET139" i="489"/>
  <c r="EU139" i="489"/>
  <c r="EV139" i="489"/>
  <c r="EW139" i="489"/>
  <c r="EX139" i="489"/>
  <c r="C140" i="489"/>
  <c r="D140" i="489"/>
  <c r="E140" i="489"/>
  <c r="F140" i="489"/>
  <c r="G140" i="489"/>
  <c r="H140" i="489"/>
  <c r="I140" i="489"/>
  <c r="J140" i="489"/>
  <c r="K140" i="489"/>
  <c r="L140" i="489"/>
  <c r="M140" i="489"/>
  <c r="N140" i="489"/>
  <c r="O140" i="489"/>
  <c r="P140" i="489"/>
  <c r="Q140" i="489"/>
  <c r="R140" i="489"/>
  <c r="S140" i="489"/>
  <c r="T140" i="489"/>
  <c r="U140" i="489"/>
  <c r="V140" i="489"/>
  <c r="W140" i="489"/>
  <c r="X140" i="489"/>
  <c r="Y140" i="489"/>
  <c r="Z140" i="489"/>
  <c r="AA140" i="489"/>
  <c r="AB140" i="489"/>
  <c r="AC140" i="489"/>
  <c r="AD140" i="489"/>
  <c r="AE140" i="489"/>
  <c r="AF140" i="489"/>
  <c r="AG140" i="489"/>
  <c r="AH140" i="489"/>
  <c r="AI140" i="489"/>
  <c r="AJ140" i="489"/>
  <c r="AK140" i="489"/>
  <c r="AL140" i="489"/>
  <c r="AM140" i="489"/>
  <c r="AN140" i="489"/>
  <c r="AO140" i="489"/>
  <c r="AP140" i="489"/>
  <c r="AQ140" i="489"/>
  <c r="AR140" i="489"/>
  <c r="AS140" i="489"/>
  <c r="AT140" i="489"/>
  <c r="AU140" i="489"/>
  <c r="AV140" i="489"/>
  <c r="AW140" i="489"/>
  <c r="AX140" i="489"/>
  <c r="AY140" i="489"/>
  <c r="AZ140" i="489"/>
  <c r="BA140" i="489"/>
  <c r="BB140" i="489"/>
  <c r="BC140" i="489"/>
  <c r="BD140" i="489"/>
  <c r="BE140" i="489"/>
  <c r="BF140" i="489"/>
  <c r="BG140" i="489"/>
  <c r="BH140" i="489"/>
  <c r="BI140" i="489"/>
  <c r="BJ140" i="489"/>
  <c r="BK140" i="489"/>
  <c r="BL140" i="489"/>
  <c r="BM140" i="489"/>
  <c r="BN140" i="489"/>
  <c r="BO140" i="489"/>
  <c r="BP140" i="489"/>
  <c r="BQ140" i="489"/>
  <c r="BR140" i="489"/>
  <c r="BS140" i="489"/>
  <c r="BT140" i="489"/>
  <c r="BU140" i="489"/>
  <c r="BV140" i="489"/>
  <c r="BW140" i="489"/>
  <c r="BX140" i="489"/>
  <c r="BY140" i="489"/>
  <c r="BZ140" i="489"/>
  <c r="CA140" i="489"/>
  <c r="CB140" i="489"/>
  <c r="CC140" i="489"/>
  <c r="CD140" i="489"/>
  <c r="CE140" i="489"/>
  <c r="CF140" i="489"/>
  <c r="CG140" i="489"/>
  <c r="CH140" i="489"/>
  <c r="CI140" i="489"/>
  <c r="CJ140" i="489"/>
  <c r="CK140" i="489"/>
  <c r="CL140" i="489"/>
  <c r="CM140" i="489"/>
  <c r="CN140" i="489"/>
  <c r="CO140" i="489"/>
  <c r="CP140" i="489"/>
  <c r="CQ140" i="489"/>
  <c r="CR140" i="489"/>
  <c r="CS140" i="489"/>
  <c r="CT140" i="489"/>
  <c r="CU140" i="489"/>
  <c r="CV140" i="489"/>
  <c r="CW140" i="489"/>
  <c r="CX140" i="489"/>
  <c r="CY140" i="489"/>
  <c r="CZ140" i="489"/>
  <c r="DA140" i="489"/>
  <c r="DB140" i="489"/>
  <c r="DC140" i="489"/>
  <c r="DD140" i="489"/>
  <c r="DE140" i="489"/>
  <c r="DF140" i="489"/>
  <c r="DG140" i="489"/>
  <c r="DH140" i="489"/>
  <c r="DI140" i="489"/>
  <c r="DJ140" i="489"/>
  <c r="DK140" i="489"/>
  <c r="DL140" i="489"/>
  <c r="DM140" i="489"/>
  <c r="DN140" i="489"/>
  <c r="DO140" i="489"/>
  <c r="DP140" i="489"/>
  <c r="DQ140" i="489"/>
  <c r="DR140" i="489"/>
  <c r="DS140" i="489"/>
  <c r="DT140" i="489"/>
  <c r="DU140" i="489"/>
  <c r="DV140" i="489"/>
  <c r="DW140" i="489"/>
  <c r="DX140" i="489"/>
  <c r="DY140" i="489"/>
  <c r="DZ140" i="489"/>
  <c r="EA140" i="489"/>
  <c r="EB140" i="489"/>
  <c r="EC140" i="489"/>
  <c r="ED140" i="489"/>
  <c r="EE140" i="489"/>
  <c r="EF140" i="489"/>
  <c r="EG140" i="489"/>
  <c r="EH140" i="489"/>
  <c r="EI140" i="489"/>
  <c r="EJ140" i="489"/>
  <c r="EK140" i="489"/>
  <c r="EL140" i="489"/>
  <c r="EM140" i="489"/>
  <c r="EN140" i="489"/>
  <c r="EO140" i="489"/>
  <c r="EP140" i="489"/>
  <c r="EQ140" i="489"/>
  <c r="ER140" i="489"/>
  <c r="ES140" i="489"/>
  <c r="ET140" i="489"/>
  <c r="EU140" i="489"/>
  <c r="EV140" i="489"/>
  <c r="EW140" i="489"/>
  <c r="EX140" i="489"/>
  <c r="C141" i="489"/>
  <c r="D141" i="489"/>
  <c r="E141" i="489"/>
  <c r="F141" i="489"/>
  <c r="G141" i="489"/>
  <c r="H141" i="489"/>
  <c r="I141" i="489"/>
  <c r="J141" i="489"/>
  <c r="K141" i="489"/>
  <c r="L141" i="489"/>
  <c r="M141" i="489"/>
  <c r="N141" i="489"/>
  <c r="O141" i="489"/>
  <c r="P141" i="489"/>
  <c r="Q141" i="489"/>
  <c r="R141" i="489"/>
  <c r="S141" i="489"/>
  <c r="T141" i="489"/>
  <c r="U141" i="489"/>
  <c r="V141" i="489"/>
  <c r="W141" i="489"/>
  <c r="X141" i="489"/>
  <c r="Y141" i="489"/>
  <c r="Z141" i="489"/>
  <c r="AA141" i="489"/>
  <c r="AB141" i="489"/>
  <c r="AC141" i="489"/>
  <c r="AD141" i="489"/>
  <c r="AE141" i="489"/>
  <c r="AF141" i="489"/>
  <c r="AG141" i="489"/>
  <c r="AH141" i="489"/>
  <c r="AI141" i="489"/>
  <c r="AJ141" i="489"/>
  <c r="AK141" i="489"/>
  <c r="AL141" i="489"/>
  <c r="AM141" i="489"/>
  <c r="AN141" i="489"/>
  <c r="AO141" i="489"/>
  <c r="AP141" i="489"/>
  <c r="AQ141" i="489"/>
  <c r="AR141" i="489"/>
  <c r="AS141" i="489"/>
  <c r="AT141" i="489"/>
  <c r="AU141" i="489"/>
  <c r="AV141" i="489"/>
  <c r="AW141" i="489"/>
  <c r="AX141" i="489"/>
  <c r="AY141" i="489"/>
  <c r="AZ141" i="489"/>
  <c r="BA141" i="489"/>
  <c r="BB141" i="489"/>
  <c r="BC141" i="489"/>
  <c r="BD141" i="489"/>
  <c r="BE141" i="489"/>
  <c r="BF141" i="489"/>
  <c r="BG141" i="489"/>
  <c r="BH141" i="489"/>
  <c r="BI141" i="489"/>
  <c r="BJ141" i="489"/>
  <c r="BK141" i="489"/>
  <c r="BL141" i="489"/>
  <c r="BM141" i="489"/>
  <c r="BN141" i="489"/>
  <c r="BO141" i="489"/>
  <c r="BP141" i="489"/>
  <c r="BQ141" i="489"/>
  <c r="BR141" i="489"/>
  <c r="BS141" i="489"/>
  <c r="BT141" i="489"/>
  <c r="BU141" i="489"/>
  <c r="BV141" i="489"/>
  <c r="BW141" i="489"/>
  <c r="BX141" i="489"/>
  <c r="BY141" i="489"/>
  <c r="BZ141" i="489"/>
  <c r="CA141" i="489"/>
  <c r="CB141" i="489"/>
  <c r="CC141" i="489"/>
  <c r="CD141" i="489"/>
  <c r="CE141" i="489"/>
  <c r="CF141" i="489"/>
  <c r="CG141" i="489"/>
  <c r="CH141" i="489"/>
  <c r="CI141" i="489"/>
  <c r="CJ141" i="489"/>
  <c r="CK141" i="489"/>
  <c r="CL141" i="489"/>
  <c r="CM141" i="489"/>
  <c r="CN141" i="489"/>
  <c r="CO141" i="489"/>
  <c r="CP141" i="489"/>
  <c r="CQ141" i="489"/>
  <c r="CR141" i="489"/>
  <c r="CS141" i="489"/>
  <c r="CT141" i="489"/>
  <c r="CU141" i="489"/>
  <c r="CV141" i="489"/>
  <c r="CW141" i="489"/>
  <c r="CX141" i="489"/>
  <c r="CY141" i="489"/>
  <c r="CZ141" i="489"/>
  <c r="DA141" i="489"/>
  <c r="DB141" i="489"/>
  <c r="DC141" i="489"/>
  <c r="DD141" i="489"/>
  <c r="DE141" i="489"/>
  <c r="DF141" i="489"/>
  <c r="DG141" i="489"/>
  <c r="DH141" i="489"/>
  <c r="DI141" i="489"/>
  <c r="DJ141" i="489"/>
  <c r="DK141" i="489"/>
  <c r="DL141" i="489"/>
  <c r="DM141" i="489"/>
  <c r="DN141" i="489"/>
  <c r="DO141" i="489"/>
  <c r="DP141" i="489"/>
  <c r="DQ141" i="489"/>
  <c r="DR141" i="489"/>
  <c r="DS141" i="489"/>
  <c r="DT141" i="489"/>
  <c r="DU141" i="489"/>
  <c r="DV141" i="489"/>
  <c r="DW141" i="489"/>
  <c r="DX141" i="489"/>
  <c r="DY141" i="489"/>
  <c r="DZ141" i="489"/>
  <c r="EA141" i="489"/>
  <c r="EB141" i="489"/>
  <c r="EC141" i="489"/>
  <c r="ED141" i="489"/>
  <c r="EE141" i="489"/>
  <c r="EF141" i="489"/>
  <c r="EG141" i="489"/>
  <c r="EH141" i="489"/>
  <c r="EI141" i="489"/>
  <c r="EJ141" i="489"/>
  <c r="EK141" i="489"/>
  <c r="EL141" i="489"/>
  <c r="EM141" i="489"/>
  <c r="EN141" i="489"/>
  <c r="EO141" i="489"/>
  <c r="EP141" i="489"/>
  <c r="EQ141" i="489"/>
  <c r="ER141" i="489"/>
  <c r="ES141" i="489"/>
  <c r="ET141" i="489"/>
  <c r="EU141" i="489"/>
  <c r="EV141" i="489"/>
  <c r="EW141" i="489"/>
  <c r="EX141" i="489"/>
  <c r="C142" i="489"/>
  <c r="D142" i="489"/>
  <c r="E142" i="489"/>
  <c r="F142" i="489"/>
  <c r="G142" i="489"/>
  <c r="H142" i="489"/>
  <c r="I142" i="489"/>
  <c r="J142" i="489"/>
  <c r="K142" i="489"/>
  <c r="L142" i="489"/>
  <c r="M142" i="489"/>
  <c r="N142" i="489"/>
  <c r="O142" i="489"/>
  <c r="P142" i="489"/>
  <c r="Q142" i="489"/>
  <c r="R142" i="489"/>
  <c r="S142" i="489"/>
  <c r="T142" i="489"/>
  <c r="U142" i="489"/>
  <c r="V142" i="489"/>
  <c r="W142" i="489"/>
  <c r="X142" i="489"/>
  <c r="Y142" i="489"/>
  <c r="Z142" i="489"/>
  <c r="AA142" i="489"/>
  <c r="AB142" i="489"/>
  <c r="AC142" i="489"/>
  <c r="AD142" i="489"/>
  <c r="AE142" i="489"/>
  <c r="AF142" i="489"/>
  <c r="AG142" i="489"/>
  <c r="AH142" i="489"/>
  <c r="AI142" i="489"/>
  <c r="AJ142" i="489"/>
  <c r="AK142" i="489"/>
  <c r="AL142" i="489"/>
  <c r="AM142" i="489"/>
  <c r="AN142" i="489"/>
  <c r="AO142" i="489"/>
  <c r="AP142" i="489"/>
  <c r="AQ142" i="489"/>
  <c r="AR142" i="489"/>
  <c r="AS142" i="489"/>
  <c r="AT142" i="489"/>
  <c r="AU142" i="489"/>
  <c r="AV142" i="489"/>
  <c r="AW142" i="489"/>
  <c r="AX142" i="489"/>
  <c r="AY142" i="489"/>
  <c r="AZ142" i="489"/>
  <c r="BA142" i="489"/>
  <c r="BB142" i="489"/>
  <c r="BC142" i="489"/>
  <c r="BD142" i="489"/>
  <c r="BE142" i="489"/>
  <c r="BF142" i="489"/>
  <c r="BG142" i="489"/>
  <c r="BH142" i="489"/>
  <c r="BI142" i="489"/>
  <c r="BJ142" i="489"/>
  <c r="BK142" i="489"/>
  <c r="BL142" i="489"/>
  <c r="BM142" i="489"/>
  <c r="BN142" i="489"/>
  <c r="BO142" i="489"/>
  <c r="BP142" i="489"/>
  <c r="BQ142" i="489"/>
  <c r="BR142" i="489"/>
  <c r="BS142" i="489"/>
  <c r="BT142" i="489"/>
  <c r="BU142" i="489"/>
  <c r="BV142" i="489"/>
  <c r="BW142" i="489"/>
  <c r="BX142" i="489"/>
  <c r="BY142" i="489"/>
  <c r="BZ142" i="489"/>
  <c r="CA142" i="489"/>
  <c r="CB142" i="489"/>
  <c r="CC142" i="489"/>
  <c r="CD142" i="489"/>
  <c r="CE142" i="489"/>
  <c r="CF142" i="489"/>
  <c r="CG142" i="489"/>
  <c r="CH142" i="489"/>
  <c r="CI142" i="489"/>
  <c r="CJ142" i="489"/>
  <c r="CK142" i="489"/>
  <c r="CL142" i="489"/>
  <c r="CM142" i="489"/>
  <c r="CN142" i="489"/>
  <c r="CO142" i="489"/>
  <c r="CP142" i="489"/>
  <c r="CQ142" i="489"/>
  <c r="CR142" i="489"/>
  <c r="CS142" i="489"/>
  <c r="CT142" i="489"/>
  <c r="CU142" i="489"/>
  <c r="CV142" i="489"/>
  <c r="CW142" i="489"/>
  <c r="CX142" i="489"/>
  <c r="CY142" i="489"/>
  <c r="CZ142" i="489"/>
  <c r="DA142" i="489"/>
  <c r="DB142" i="489"/>
  <c r="DC142" i="489"/>
  <c r="DD142" i="489"/>
  <c r="DE142" i="489"/>
  <c r="DF142" i="489"/>
  <c r="DG142" i="489"/>
  <c r="DH142" i="489"/>
  <c r="DI142" i="489"/>
  <c r="DJ142" i="489"/>
  <c r="DK142" i="489"/>
  <c r="DL142" i="489"/>
  <c r="DM142" i="489"/>
  <c r="DN142" i="489"/>
  <c r="DO142" i="489"/>
  <c r="DP142" i="489"/>
  <c r="DQ142" i="489"/>
  <c r="DR142" i="489"/>
  <c r="DS142" i="489"/>
  <c r="DT142" i="489"/>
  <c r="DU142" i="489"/>
  <c r="DV142" i="489"/>
  <c r="DW142" i="489"/>
  <c r="DX142" i="489"/>
  <c r="DY142" i="489"/>
  <c r="DZ142" i="489"/>
  <c r="EA142" i="489"/>
  <c r="EB142" i="489"/>
  <c r="EC142" i="489"/>
  <c r="ED142" i="489"/>
  <c r="EE142" i="489"/>
  <c r="EF142" i="489"/>
  <c r="EG142" i="489"/>
  <c r="EH142" i="489"/>
  <c r="EI142" i="489"/>
  <c r="EJ142" i="489"/>
  <c r="EK142" i="489"/>
  <c r="EL142" i="489"/>
  <c r="EM142" i="489"/>
  <c r="EN142" i="489"/>
  <c r="EO142" i="489"/>
  <c r="EP142" i="489"/>
  <c r="EQ142" i="489"/>
  <c r="ER142" i="489"/>
  <c r="ES142" i="489"/>
  <c r="ET142" i="489"/>
  <c r="EU142" i="489"/>
  <c r="EV142" i="489"/>
  <c r="EW142" i="489"/>
  <c r="EX142" i="489"/>
  <c r="B140" i="489"/>
  <c r="B141" i="489"/>
  <c r="B142" i="489"/>
  <c r="I205" i="93" l="1"/>
  <c r="I206" i="93"/>
  <c r="I207" i="93"/>
  <c r="I208" i="93"/>
  <c r="I209" i="93"/>
  <c r="I177" i="93"/>
  <c r="I178" i="93"/>
  <c r="I179" i="93"/>
  <c r="I180" i="93"/>
  <c r="I181" i="93"/>
  <c r="I149" i="93"/>
  <c r="I150" i="93"/>
  <c r="I151" i="93"/>
  <c r="I152" i="93"/>
  <c r="I153" i="93"/>
  <c r="I121" i="93"/>
  <c r="I122" i="93"/>
  <c r="I123" i="93"/>
  <c r="I124" i="93"/>
  <c r="I125" i="93"/>
  <c r="I93" i="93"/>
  <c r="I94" i="93"/>
  <c r="I95" i="93"/>
  <c r="I96" i="93"/>
  <c r="I97" i="93"/>
  <c r="I65" i="93"/>
  <c r="I66" i="93"/>
  <c r="I67" i="93"/>
  <c r="I68" i="93"/>
  <c r="I69" i="93"/>
  <c r="I37" i="93"/>
  <c r="I38" i="93"/>
  <c r="I39" i="93"/>
  <c r="I40" i="93"/>
  <c r="I41" i="93"/>
  <c r="I52" i="93"/>
  <c r="I53" i="93"/>
  <c r="I63" i="93"/>
  <c r="I80" i="93"/>
  <c r="I81" i="93"/>
  <c r="I90" i="93"/>
  <c r="I91" i="93"/>
  <c r="I106" i="93"/>
  <c r="I107" i="93"/>
  <c r="I108" i="93"/>
  <c r="I109" i="93"/>
  <c r="I119" i="93"/>
  <c r="I134" i="93"/>
  <c r="I135" i="93"/>
  <c r="I136" i="93"/>
  <c r="I137" i="93"/>
  <c r="I145" i="93"/>
  <c r="I146" i="93"/>
  <c r="I147" i="93"/>
  <c r="I164" i="93"/>
  <c r="I165" i="93"/>
  <c r="I175" i="93"/>
  <c r="I192" i="93"/>
  <c r="I193" i="93"/>
  <c r="I202" i="93"/>
  <c r="I203" i="93"/>
  <c r="I213" i="93"/>
  <c r="I214" i="93"/>
  <c r="I215" i="93"/>
  <c r="I216" i="93"/>
  <c r="I217" i="93"/>
  <c r="I218" i="93"/>
  <c r="I219" i="93"/>
  <c r="I220" i="93"/>
  <c r="I221" i="93"/>
  <c r="I223" i="93"/>
  <c r="I224" i="93"/>
  <c r="I225" i="93"/>
  <c r="I226" i="93"/>
  <c r="I227" i="93"/>
  <c r="I228" i="93"/>
  <c r="I229" i="93"/>
  <c r="I230" i="93"/>
  <c r="I231" i="93"/>
  <c r="I233" i="93"/>
  <c r="I234" i="93"/>
  <c r="I235" i="93"/>
  <c r="I236" i="93"/>
  <c r="I237" i="93"/>
  <c r="I241" i="93"/>
  <c r="I242" i="93"/>
  <c r="I243" i="93"/>
  <c r="I244" i="93"/>
  <c r="I245" i="93"/>
  <c r="I246" i="93"/>
  <c r="I247" i="93"/>
  <c r="I248" i="93"/>
  <c r="I249" i="93"/>
  <c r="I251" i="93"/>
  <c r="I252" i="93"/>
  <c r="I253" i="93"/>
  <c r="I254" i="93"/>
  <c r="I255" i="93"/>
  <c r="I256" i="93"/>
  <c r="I257" i="93"/>
  <c r="I258" i="93"/>
  <c r="I259" i="93"/>
  <c r="I261" i="93"/>
  <c r="I262" i="93"/>
  <c r="I263" i="93"/>
  <c r="I264" i="93"/>
  <c r="I265" i="93"/>
  <c r="I269" i="93"/>
  <c r="I270" i="93"/>
  <c r="I271" i="93"/>
  <c r="I272" i="93"/>
  <c r="I273" i="93"/>
  <c r="I274" i="93"/>
  <c r="I275" i="93"/>
  <c r="I276" i="93"/>
  <c r="I277" i="93"/>
  <c r="I279" i="93"/>
  <c r="I280" i="93"/>
  <c r="I281" i="93"/>
  <c r="I282" i="93"/>
  <c r="I283" i="93"/>
  <c r="I284" i="93"/>
  <c r="I285" i="93"/>
  <c r="I286" i="93"/>
  <c r="I287" i="93"/>
  <c r="I289" i="93"/>
  <c r="I290" i="93"/>
  <c r="I291" i="93"/>
  <c r="I292" i="93"/>
  <c r="I293" i="93"/>
  <c r="I24" i="93"/>
  <c r="I25" i="93"/>
  <c r="I34" i="93"/>
  <c r="I35" i="93"/>
  <c r="D3" i="93"/>
  <c r="J207" i="489"/>
  <c r="K207" i="489"/>
  <c r="L207" i="489"/>
  <c r="M207" i="489"/>
  <c r="N207" i="489"/>
  <c r="O207" i="489"/>
  <c r="P207" i="489"/>
  <c r="Q207" i="489"/>
  <c r="R207" i="489"/>
  <c r="S207" i="489"/>
  <c r="T207" i="489"/>
  <c r="U207" i="489"/>
  <c r="V207" i="489"/>
  <c r="W207" i="489"/>
  <c r="X207" i="489"/>
  <c r="Y207" i="489"/>
  <c r="Z207" i="489"/>
  <c r="AA207" i="489"/>
  <c r="AB207" i="489"/>
  <c r="AC207" i="489"/>
  <c r="AD207" i="489"/>
  <c r="AE207" i="489"/>
  <c r="AF207" i="489"/>
  <c r="AG207" i="489"/>
  <c r="AH207" i="489"/>
  <c r="AI207" i="489"/>
  <c r="AJ207" i="489"/>
  <c r="AK207" i="489"/>
  <c r="AL207" i="489"/>
  <c r="AM207" i="489"/>
  <c r="AP207" i="489"/>
  <c r="AQ207" i="489"/>
  <c r="AR207" i="489"/>
  <c r="AS207" i="489"/>
  <c r="AT207" i="489"/>
  <c r="AU207" i="489"/>
  <c r="AV207" i="489"/>
  <c r="AW207" i="489"/>
  <c r="AX207" i="489"/>
  <c r="AY207" i="489"/>
  <c r="AZ207" i="489"/>
  <c r="BA207" i="489"/>
  <c r="BB207" i="489"/>
  <c r="BC207" i="489"/>
  <c r="BD207" i="489"/>
  <c r="BE207" i="489"/>
  <c r="BF207" i="489"/>
  <c r="BG207" i="489"/>
  <c r="BH207" i="489"/>
  <c r="BI207" i="489"/>
  <c r="BJ207" i="489"/>
  <c r="BK207" i="489"/>
  <c r="BL207" i="489"/>
  <c r="BM207" i="489"/>
  <c r="BN207" i="489"/>
  <c r="BO207" i="489"/>
  <c r="BP207" i="489"/>
  <c r="BQ207" i="489"/>
  <c r="BR207" i="489"/>
  <c r="BS207" i="489"/>
  <c r="BT207" i="489"/>
  <c r="BU207" i="489"/>
  <c r="BV207" i="489"/>
  <c r="BW207" i="489"/>
  <c r="BX207" i="489"/>
  <c r="BY207" i="489"/>
  <c r="BZ207" i="489"/>
  <c r="CA207" i="489"/>
  <c r="CB207" i="489"/>
  <c r="CC207" i="489"/>
  <c r="CD207" i="489"/>
  <c r="CE207" i="489"/>
  <c r="CF207" i="489"/>
  <c r="CG207" i="489"/>
  <c r="CH207" i="489"/>
  <c r="CI207" i="489"/>
  <c r="CJ207" i="489"/>
  <c r="CK207" i="489"/>
  <c r="CL207" i="489"/>
  <c r="CM207" i="489"/>
  <c r="CN207" i="489"/>
  <c r="CO207" i="489"/>
  <c r="CP207" i="489"/>
  <c r="CQ207" i="489"/>
  <c r="CR207" i="489"/>
  <c r="CS207" i="489"/>
  <c r="CT207" i="489"/>
  <c r="CU207" i="489"/>
  <c r="CV207" i="489"/>
  <c r="CW207" i="489"/>
  <c r="CX207" i="489"/>
  <c r="CY207" i="489"/>
  <c r="CZ207" i="489"/>
  <c r="DA207" i="489"/>
  <c r="DB207" i="489"/>
  <c r="DC207" i="489"/>
  <c r="DD207" i="489"/>
  <c r="DE207" i="489"/>
  <c r="DF207" i="489"/>
  <c r="DG207" i="489"/>
  <c r="DH207" i="489"/>
  <c r="DI207" i="489"/>
  <c r="DJ207" i="489"/>
  <c r="DK207" i="489"/>
  <c r="DL207" i="489"/>
  <c r="DM207" i="489"/>
  <c r="DN207" i="489"/>
  <c r="DO207" i="489"/>
  <c r="DP207" i="489"/>
  <c r="DQ207" i="489"/>
  <c r="DR207" i="489"/>
  <c r="DS207" i="489"/>
  <c r="DT207" i="489"/>
  <c r="DU207" i="489"/>
  <c r="DV207" i="489"/>
  <c r="DW207" i="489"/>
  <c r="DX207" i="489"/>
  <c r="DY207" i="489"/>
  <c r="DZ207" i="489"/>
  <c r="EA207" i="489"/>
  <c r="EB207" i="489"/>
  <c r="EC207" i="489"/>
  <c r="ED207" i="489"/>
  <c r="EE207" i="489"/>
  <c r="EF207" i="489"/>
  <c r="EG207" i="489"/>
  <c r="EH207" i="489"/>
  <c r="EI207" i="489"/>
  <c r="EJ207" i="489"/>
  <c r="EK207" i="489"/>
  <c r="EL207" i="489"/>
  <c r="EM207" i="489"/>
  <c r="EN207" i="489"/>
  <c r="EO207" i="489"/>
  <c r="EP207" i="489"/>
  <c r="EQ207" i="489"/>
  <c r="ER207" i="489"/>
  <c r="ES207" i="489"/>
  <c r="ET207" i="489"/>
  <c r="EU207" i="489"/>
  <c r="EV207" i="489"/>
  <c r="EW207" i="489"/>
  <c r="EX207" i="489"/>
  <c r="J208" i="489"/>
  <c r="K208" i="489"/>
  <c r="L208" i="489"/>
  <c r="M208" i="489"/>
  <c r="N208" i="489"/>
  <c r="O208" i="489"/>
  <c r="P208" i="489"/>
  <c r="Q208" i="489"/>
  <c r="R208" i="489"/>
  <c r="S208" i="489"/>
  <c r="T208" i="489"/>
  <c r="U208" i="489"/>
  <c r="V208" i="489"/>
  <c r="W208" i="489"/>
  <c r="X208" i="489"/>
  <c r="Z208" i="489"/>
  <c r="AA208" i="489"/>
  <c r="AB208" i="489"/>
  <c r="AC208" i="489"/>
  <c r="AD208" i="489"/>
  <c r="AE208" i="489"/>
  <c r="AG208" i="489"/>
  <c r="AI208" i="489"/>
  <c r="AJ208" i="489"/>
  <c r="AL208" i="489"/>
  <c r="AM208" i="489"/>
  <c r="AN208" i="489"/>
  <c r="AO208" i="489"/>
  <c r="AP208" i="489"/>
  <c r="AR208" i="489"/>
  <c r="AS208" i="489"/>
  <c r="AV208" i="489"/>
  <c r="AW208" i="489"/>
  <c r="AY208" i="489"/>
  <c r="AZ208" i="489"/>
  <c r="BA208" i="489"/>
  <c r="BB208" i="489"/>
  <c r="BC208" i="489"/>
  <c r="BD208" i="489"/>
  <c r="BE208" i="489"/>
  <c r="BF208" i="489"/>
  <c r="BG208" i="489"/>
  <c r="BH208" i="489"/>
  <c r="BI208" i="489"/>
  <c r="BJ208" i="489"/>
  <c r="BK208" i="489"/>
  <c r="BL208" i="489"/>
  <c r="BM208" i="489"/>
  <c r="BN208" i="489"/>
  <c r="BO208" i="489"/>
  <c r="BP208" i="489"/>
  <c r="BQ208" i="489"/>
  <c r="BR208" i="489"/>
  <c r="BT208" i="489"/>
  <c r="BU208" i="489"/>
  <c r="BV208" i="489"/>
  <c r="BW208" i="489"/>
  <c r="BX208" i="489"/>
  <c r="BY208" i="489"/>
  <c r="BZ208" i="489"/>
  <c r="CA208" i="489"/>
  <c r="CB208" i="489"/>
  <c r="CC208" i="489"/>
  <c r="CD208" i="489"/>
  <c r="CE208" i="489"/>
  <c r="CG208" i="489"/>
  <c r="CH208" i="489"/>
  <c r="CI208" i="489"/>
  <c r="CJ208" i="489"/>
  <c r="CK208" i="489"/>
  <c r="CL208" i="489"/>
  <c r="CM208" i="489"/>
  <c r="CN208" i="489"/>
  <c r="CO208" i="489"/>
  <c r="CP208" i="489"/>
  <c r="CQ208" i="489"/>
  <c r="CR208" i="489"/>
  <c r="CS208" i="489"/>
  <c r="CT208" i="489"/>
  <c r="CU208" i="489"/>
  <c r="CV208" i="489"/>
  <c r="CW208" i="489"/>
  <c r="CX208" i="489"/>
  <c r="CY208" i="489"/>
  <c r="DA208" i="489"/>
  <c r="DB208" i="489"/>
  <c r="DD208" i="489"/>
  <c r="DE208" i="489"/>
  <c r="DG208" i="489"/>
  <c r="DH208" i="489"/>
  <c r="DI208" i="489"/>
  <c r="DJ208" i="489"/>
  <c r="DK208" i="489"/>
  <c r="DL208" i="489"/>
  <c r="DM208" i="489"/>
  <c r="DN208" i="489"/>
  <c r="DO208" i="489"/>
  <c r="DP208" i="489"/>
  <c r="DQ208" i="489"/>
  <c r="DR208" i="489"/>
  <c r="DS208" i="489"/>
  <c r="DT208" i="489"/>
  <c r="DU208" i="489"/>
  <c r="DV208" i="489"/>
  <c r="DW208" i="489"/>
  <c r="DX208" i="489"/>
  <c r="DY208" i="489"/>
  <c r="DZ208" i="489"/>
  <c r="EA208" i="489"/>
  <c r="EB208" i="489"/>
  <c r="EC208" i="489"/>
  <c r="ED208" i="489"/>
  <c r="EE208" i="489"/>
  <c r="EF208" i="489"/>
  <c r="EG208" i="489"/>
  <c r="EH208" i="489"/>
  <c r="EI208" i="489"/>
  <c r="EJ208" i="489"/>
  <c r="EK208" i="489"/>
  <c r="EL208" i="489"/>
  <c r="EM208" i="489"/>
  <c r="EN208" i="489"/>
  <c r="EO208" i="489"/>
  <c r="EP208" i="489"/>
  <c r="EQ208" i="489"/>
  <c r="ER208" i="489"/>
  <c r="ES208" i="489"/>
  <c r="ET208" i="489"/>
  <c r="EU208" i="489"/>
  <c r="EV208" i="489"/>
  <c r="EW208" i="489"/>
  <c r="EX208" i="489"/>
  <c r="K209" i="489"/>
  <c r="L209" i="489"/>
  <c r="M209" i="489"/>
  <c r="N209" i="489"/>
  <c r="O209" i="489"/>
  <c r="P209" i="489"/>
  <c r="Q209" i="489"/>
  <c r="R209" i="489"/>
  <c r="S209" i="489"/>
  <c r="T209" i="489"/>
  <c r="U209" i="489"/>
  <c r="V209" i="489"/>
  <c r="W209" i="489"/>
  <c r="X209" i="489"/>
  <c r="Z209" i="489"/>
  <c r="AA209" i="489"/>
  <c r="AB209" i="489"/>
  <c r="AC209" i="489"/>
  <c r="AD209" i="489"/>
  <c r="AE209" i="489"/>
  <c r="AF209" i="489"/>
  <c r="AG209" i="489"/>
  <c r="AH209" i="489"/>
  <c r="AI209" i="489"/>
  <c r="AJ209" i="489"/>
  <c r="AM209" i="489"/>
  <c r="AN209" i="489"/>
  <c r="AO209" i="489"/>
  <c r="AP209" i="489"/>
  <c r="AQ209" i="489"/>
  <c r="AR209" i="489"/>
  <c r="AS209" i="489"/>
  <c r="AT209" i="489"/>
  <c r="AV209" i="489"/>
  <c r="AW209" i="489"/>
  <c r="AX209" i="489"/>
  <c r="AY209" i="489"/>
  <c r="AZ209" i="489"/>
  <c r="BA209" i="489"/>
  <c r="BB209" i="489"/>
  <c r="BC209" i="489"/>
  <c r="BD209" i="489"/>
  <c r="BE209" i="489"/>
  <c r="BF209" i="489"/>
  <c r="BG209" i="489"/>
  <c r="BH209" i="489"/>
  <c r="BI209" i="489"/>
  <c r="BJ209" i="489"/>
  <c r="BK209" i="489"/>
  <c r="BL209" i="489"/>
  <c r="BM209" i="489"/>
  <c r="BN209" i="489"/>
  <c r="BO209" i="489"/>
  <c r="BP209" i="489"/>
  <c r="BQ209" i="489"/>
  <c r="BR209" i="489"/>
  <c r="BT209" i="489"/>
  <c r="BU209" i="489"/>
  <c r="BV209" i="489"/>
  <c r="BW209" i="489"/>
  <c r="BX209" i="489"/>
  <c r="BY209" i="489"/>
  <c r="BZ209" i="489"/>
  <c r="CA209" i="489"/>
  <c r="CB209" i="489"/>
  <c r="CC209" i="489"/>
  <c r="CD209" i="489"/>
  <c r="CE209" i="489"/>
  <c r="CG209" i="489"/>
  <c r="CH209" i="489"/>
  <c r="CI209" i="489"/>
  <c r="CJ209" i="489"/>
  <c r="CK209" i="489"/>
  <c r="CL209" i="489"/>
  <c r="CM209" i="489"/>
  <c r="CN209" i="489"/>
  <c r="CO209" i="489"/>
  <c r="CP209" i="489"/>
  <c r="CQ209" i="489"/>
  <c r="CR209" i="489"/>
  <c r="CT209" i="489"/>
  <c r="CU209" i="489"/>
  <c r="CV209" i="489"/>
  <c r="CW209" i="489"/>
  <c r="CX209" i="489"/>
  <c r="CY209" i="489"/>
  <c r="CZ209" i="489"/>
  <c r="DA209" i="489"/>
  <c r="DB209" i="489"/>
  <c r="DD209" i="489"/>
  <c r="DE209" i="489"/>
  <c r="DG209" i="489"/>
  <c r="DH209" i="489"/>
  <c r="DI209" i="489"/>
  <c r="DJ209" i="489"/>
  <c r="DK209" i="489"/>
  <c r="DL209" i="489"/>
  <c r="DM209" i="489"/>
  <c r="DN209" i="489"/>
  <c r="DO209" i="489"/>
  <c r="DP209" i="489"/>
  <c r="DQ209" i="489"/>
  <c r="DR209" i="489"/>
  <c r="DS209" i="489"/>
  <c r="DT209" i="489"/>
  <c r="DU209" i="489"/>
  <c r="DV209" i="489"/>
  <c r="DW209" i="489"/>
  <c r="DX209" i="489"/>
  <c r="DY209" i="489"/>
  <c r="DZ209" i="489"/>
  <c r="EA209" i="489"/>
  <c r="EB209" i="489"/>
  <c r="EC209" i="489"/>
  <c r="ED209" i="489"/>
  <c r="EE209" i="489"/>
  <c r="EF209" i="489"/>
  <c r="EG209" i="489"/>
  <c r="EH209" i="489"/>
  <c r="EI209" i="489"/>
  <c r="EJ209" i="489"/>
  <c r="EK209" i="489"/>
  <c r="EL209" i="489"/>
  <c r="EM209" i="489"/>
  <c r="EN209" i="489"/>
  <c r="EO209" i="489"/>
  <c r="EP209" i="489"/>
  <c r="EQ209" i="489"/>
  <c r="ER209" i="489"/>
  <c r="ES209" i="489"/>
  <c r="ET209" i="489"/>
  <c r="EU209" i="489"/>
  <c r="EV209" i="489"/>
  <c r="EW209" i="489"/>
  <c r="EX209" i="489"/>
  <c r="J210" i="489"/>
  <c r="K210" i="489"/>
  <c r="L210" i="489"/>
  <c r="M210" i="489"/>
  <c r="N210" i="489"/>
  <c r="O210" i="489"/>
  <c r="P210" i="489"/>
  <c r="Q210" i="489"/>
  <c r="R210" i="489"/>
  <c r="S210" i="489"/>
  <c r="T210" i="489"/>
  <c r="U210" i="489"/>
  <c r="W210" i="489"/>
  <c r="X210" i="489"/>
  <c r="Y210" i="489"/>
  <c r="Z210" i="489"/>
  <c r="AA210" i="489"/>
  <c r="AB210" i="489"/>
  <c r="AC210" i="489"/>
  <c r="AD210" i="489"/>
  <c r="AE210" i="489"/>
  <c r="AF210" i="489"/>
  <c r="AG210" i="489"/>
  <c r="AH210" i="489"/>
  <c r="AI210" i="489"/>
  <c r="AJ210" i="489"/>
  <c r="AK210" i="489"/>
  <c r="AL210" i="489"/>
  <c r="AM210" i="489"/>
  <c r="AN210" i="489"/>
  <c r="AO210" i="489"/>
  <c r="AP210" i="489"/>
  <c r="AQ210" i="489"/>
  <c r="AR210" i="489"/>
  <c r="AS210" i="489"/>
  <c r="AT210" i="489"/>
  <c r="AU210" i="489"/>
  <c r="AV210" i="489"/>
  <c r="AW210" i="489"/>
  <c r="AX210" i="489"/>
  <c r="AY210" i="489"/>
  <c r="AZ210" i="489"/>
  <c r="BA210" i="489"/>
  <c r="BB210" i="489"/>
  <c r="BC210" i="489"/>
  <c r="BD210" i="489"/>
  <c r="BE210" i="489"/>
  <c r="BF210" i="489"/>
  <c r="BG210" i="489"/>
  <c r="BH210" i="489"/>
  <c r="BI210" i="489"/>
  <c r="BJ210" i="489"/>
  <c r="BK210" i="489"/>
  <c r="BL210" i="489"/>
  <c r="BM210" i="489"/>
  <c r="BN210" i="489"/>
  <c r="BO210" i="489"/>
  <c r="BP210" i="489"/>
  <c r="BQ210" i="489"/>
  <c r="BR210" i="489"/>
  <c r="BS210" i="489"/>
  <c r="BU210" i="489"/>
  <c r="BV210" i="489"/>
  <c r="BW210" i="489"/>
  <c r="BX210" i="489"/>
  <c r="BY210" i="489"/>
  <c r="BZ210" i="489"/>
  <c r="CA210" i="489"/>
  <c r="CB210" i="489"/>
  <c r="CC210" i="489"/>
  <c r="CD210" i="489"/>
  <c r="CE210" i="489"/>
  <c r="CF210" i="489"/>
  <c r="CG210" i="489"/>
  <c r="CH210" i="489"/>
  <c r="CI210" i="489"/>
  <c r="CJ210" i="489"/>
  <c r="CK210" i="489"/>
  <c r="CL210" i="489"/>
  <c r="CM210" i="489"/>
  <c r="CN210" i="489"/>
  <c r="CO210" i="489"/>
  <c r="CP210" i="489"/>
  <c r="CQ210" i="489"/>
  <c r="CR210" i="489"/>
  <c r="CS210" i="489"/>
  <c r="CT210" i="489"/>
  <c r="CU210" i="489"/>
  <c r="CV210" i="489"/>
  <c r="CW210" i="489"/>
  <c r="CX210" i="489"/>
  <c r="CY210" i="489"/>
  <c r="CZ210" i="489"/>
  <c r="DA210" i="489"/>
  <c r="DB210" i="489"/>
  <c r="DD210" i="489"/>
  <c r="DE210" i="489"/>
  <c r="DF210" i="489"/>
  <c r="DG210" i="489"/>
  <c r="DH210" i="489"/>
  <c r="DI210" i="489"/>
  <c r="DJ210" i="489"/>
  <c r="DK210" i="489"/>
  <c r="DL210" i="489"/>
  <c r="DM210" i="489"/>
  <c r="DN210" i="489"/>
  <c r="DO210" i="489"/>
  <c r="DP210" i="489"/>
  <c r="DQ210" i="489"/>
  <c r="DR210" i="489"/>
  <c r="DS210" i="489"/>
  <c r="DT210" i="489"/>
  <c r="DU210" i="489"/>
  <c r="DV210" i="489"/>
  <c r="DW210" i="489"/>
  <c r="DX210" i="489"/>
  <c r="DY210" i="489"/>
  <c r="DZ210" i="489"/>
  <c r="EA210" i="489"/>
  <c r="EB210" i="489"/>
  <c r="EC210" i="489"/>
  <c r="ED210" i="489"/>
  <c r="EE210" i="489"/>
  <c r="EF210" i="489"/>
  <c r="EG210" i="489"/>
  <c r="EH210" i="489"/>
  <c r="EI210" i="489"/>
  <c r="EJ210" i="489"/>
  <c r="EK210" i="489"/>
  <c r="EL210" i="489"/>
  <c r="EM210" i="489"/>
  <c r="EN210" i="489"/>
  <c r="EO210" i="489"/>
  <c r="EP210" i="489"/>
  <c r="EQ210" i="489"/>
  <c r="ER210" i="489"/>
  <c r="ES210" i="489"/>
  <c r="ET210" i="489"/>
  <c r="EU210" i="489"/>
  <c r="EV210" i="489"/>
  <c r="EW210" i="489"/>
  <c r="EX210" i="489"/>
  <c r="J211" i="489"/>
  <c r="K211" i="489"/>
  <c r="L211" i="489"/>
  <c r="M211" i="489"/>
  <c r="N211" i="489"/>
  <c r="O211" i="489"/>
  <c r="P211" i="489"/>
  <c r="Q211" i="489"/>
  <c r="R211" i="489"/>
  <c r="S211" i="489"/>
  <c r="T211" i="489"/>
  <c r="U211" i="489"/>
  <c r="V211" i="489"/>
  <c r="W211" i="489"/>
  <c r="X211" i="489"/>
  <c r="Y211" i="489"/>
  <c r="Z211" i="489"/>
  <c r="AA211" i="489"/>
  <c r="AB211" i="489"/>
  <c r="AC211" i="489"/>
  <c r="AD211" i="489"/>
  <c r="AE211" i="489"/>
  <c r="AF211" i="489"/>
  <c r="AG211" i="489"/>
  <c r="AH211" i="489"/>
  <c r="AI211" i="489"/>
  <c r="AJ211" i="489"/>
  <c r="AK211" i="489"/>
  <c r="AL211" i="489"/>
  <c r="AM211" i="489"/>
  <c r="AN211" i="489"/>
  <c r="AO211" i="489"/>
  <c r="AP211" i="489"/>
  <c r="AQ211" i="489"/>
  <c r="AR211" i="489"/>
  <c r="AS211" i="489"/>
  <c r="AT211" i="489"/>
  <c r="AU211" i="489"/>
  <c r="AV211" i="489"/>
  <c r="AW211" i="489"/>
  <c r="AX211" i="489"/>
  <c r="AY211" i="489"/>
  <c r="AZ211" i="489"/>
  <c r="BA211" i="489"/>
  <c r="BB211" i="489"/>
  <c r="BC211" i="489"/>
  <c r="BD211" i="489"/>
  <c r="BE211" i="489"/>
  <c r="BF211" i="489"/>
  <c r="BG211" i="489"/>
  <c r="BH211" i="489"/>
  <c r="BI211" i="489"/>
  <c r="BJ211" i="489"/>
  <c r="BK211" i="489"/>
  <c r="BL211" i="489"/>
  <c r="BM211" i="489"/>
  <c r="BN211" i="489"/>
  <c r="BO211" i="489"/>
  <c r="BP211" i="489"/>
  <c r="BQ211" i="489"/>
  <c r="BR211" i="489"/>
  <c r="BS211" i="489"/>
  <c r="BT211" i="489"/>
  <c r="BU211" i="489"/>
  <c r="BV211" i="489"/>
  <c r="BW211" i="489"/>
  <c r="BX211" i="489"/>
  <c r="BY211" i="489"/>
  <c r="BZ211" i="489"/>
  <c r="CA211" i="489"/>
  <c r="CB211" i="489"/>
  <c r="CC211" i="489"/>
  <c r="CD211" i="489"/>
  <c r="CE211" i="489"/>
  <c r="CF211" i="489"/>
  <c r="CG211" i="489"/>
  <c r="CH211" i="489"/>
  <c r="CI211" i="489"/>
  <c r="CJ211" i="489"/>
  <c r="CK211" i="489"/>
  <c r="CL211" i="489"/>
  <c r="CM211" i="489"/>
  <c r="CN211" i="489"/>
  <c r="CO211" i="489"/>
  <c r="CP211" i="489"/>
  <c r="CR211" i="489"/>
  <c r="CS211" i="489"/>
  <c r="CT211" i="489"/>
  <c r="CU211" i="489"/>
  <c r="CV211" i="489"/>
  <c r="CW211" i="489"/>
  <c r="CX211" i="489"/>
  <c r="CY211" i="489"/>
  <c r="DA211" i="489"/>
  <c r="DB211" i="489"/>
  <c r="DC211" i="489"/>
  <c r="DD211" i="489"/>
  <c r="DF211" i="489"/>
  <c r="DG211" i="489"/>
  <c r="DH211" i="489"/>
  <c r="DI211" i="489"/>
  <c r="DJ211" i="489"/>
  <c r="DK211" i="489"/>
  <c r="DL211" i="489"/>
  <c r="DM211" i="489"/>
  <c r="DN211" i="489"/>
  <c r="DO211" i="489"/>
  <c r="DP211" i="489"/>
  <c r="DQ211" i="489"/>
  <c r="DR211" i="489"/>
  <c r="DS211" i="489"/>
  <c r="DT211" i="489"/>
  <c r="DU211" i="489"/>
  <c r="DV211" i="489"/>
  <c r="DW211" i="489"/>
  <c r="DX211" i="489"/>
  <c r="DY211" i="489"/>
  <c r="DZ211" i="489"/>
  <c r="EA211" i="489"/>
  <c r="EB211" i="489"/>
  <c r="EC211" i="489"/>
  <c r="ED211" i="489"/>
  <c r="EE211" i="489"/>
  <c r="EF211" i="489"/>
  <c r="EG211" i="489"/>
  <c r="EH211" i="489"/>
  <c r="EI211" i="489"/>
  <c r="EJ211" i="489"/>
  <c r="EK211" i="489"/>
  <c r="EL211" i="489"/>
  <c r="EM211" i="489"/>
  <c r="EN211" i="489"/>
  <c r="EO211" i="489"/>
  <c r="EP211" i="489"/>
  <c r="EQ211" i="489"/>
  <c r="ER211" i="489"/>
  <c r="ES211" i="489"/>
  <c r="ET211" i="489"/>
  <c r="EU211" i="489"/>
  <c r="EV211" i="489"/>
  <c r="EW211" i="489"/>
  <c r="EX211" i="489"/>
  <c r="C212" i="489"/>
  <c r="H212" i="489"/>
  <c r="J212" i="489"/>
  <c r="K212" i="489"/>
  <c r="L212" i="489"/>
  <c r="M212" i="489"/>
  <c r="N212" i="489"/>
  <c r="O212" i="489"/>
  <c r="P212" i="489"/>
  <c r="Q212" i="489"/>
  <c r="R212" i="489"/>
  <c r="S212" i="489"/>
  <c r="T212" i="489"/>
  <c r="U212" i="489"/>
  <c r="V212" i="489"/>
  <c r="W212" i="489"/>
  <c r="X212" i="489"/>
  <c r="Y212" i="489"/>
  <c r="Z212" i="489"/>
  <c r="AA212" i="489"/>
  <c r="AB212" i="489"/>
  <c r="AC212" i="489"/>
  <c r="AD212" i="489"/>
  <c r="AE212" i="489"/>
  <c r="AF212" i="489"/>
  <c r="AG212" i="489"/>
  <c r="AH212" i="489"/>
  <c r="AI212" i="489"/>
  <c r="AJ212" i="489"/>
  <c r="AK212" i="489"/>
  <c r="AL212" i="489"/>
  <c r="AM212" i="489"/>
  <c r="AN212" i="489"/>
  <c r="AO212" i="489"/>
  <c r="AP212" i="489"/>
  <c r="AQ212" i="489"/>
  <c r="AR212" i="489"/>
  <c r="AS212" i="489"/>
  <c r="AT212" i="489"/>
  <c r="AU212" i="489"/>
  <c r="AV212" i="489"/>
  <c r="AW212" i="489"/>
  <c r="AX212" i="489"/>
  <c r="AY212" i="489"/>
  <c r="AZ212" i="489"/>
  <c r="BA212" i="489"/>
  <c r="BB212" i="489"/>
  <c r="BC212" i="489"/>
  <c r="BD212" i="489"/>
  <c r="BE212" i="489"/>
  <c r="BF212" i="489"/>
  <c r="BG212" i="489"/>
  <c r="BH212" i="489"/>
  <c r="BI212" i="489"/>
  <c r="BJ212" i="489"/>
  <c r="BK212" i="489"/>
  <c r="BL212" i="489"/>
  <c r="BM212" i="489"/>
  <c r="BN212" i="489"/>
  <c r="BO212" i="489"/>
  <c r="BP212" i="489"/>
  <c r="BQ212" i="489"/>
  <c r="BR212" i="489"/>
  <c r="BS212" i="489"/>
  <c r="BT212" i="489"/>
  <c r="BU212" i="489"/>
  <c r="BV212" i="489"/>
  <c r="BW212" i="489"/>
  <c r="BX212" i="489"/>
  <c r="BY212" i="489"/>
  <c r="BZ212" i="489"/>
  <c r="CA212" i="489"/>
  <c r="CB212" i="489"/>
  <c r="CC212" i="489"/>
  <c r="CD212" i="489"/>
  <c r="CE212" i="489"/>
  <c r="CF212" i="489"/>
  <c r="CG212" i="489"/>
  <c r="CH212" i="489"/>
  <c r="CI212" i="489"/>
  <c r="CJ212" i="489"/>
  <c r="CK212" i="489"/>
  <c r="CL212" i="489"/>
  <c r="CM212" i="489"/>
  <c r="CN212" i="489"/>
  <c r="CO212" i="489"/>
  <c r="CP212" i="489"/>
  <c r="CQ212" i="489"/>
  <c r="CR212" i="489"/>
  <c r="CS212" i="489"/>
  <c r="CT212" i="489"/>
  <c r="CU212" i="489"/>
  <c r="CV212" i="489"/>
  <c r="CW212" i="489"/>
  <c r="CX212" i="489"/>
  <c r="CY212" i="489"/>
  <c r="CZ212" i="489"/>
  <c r="DA212" i="489"/>
  <c r="DB212" i="489"/>
  <c r="DC212" i="489"/>
  <c r="DD212" i="489"/>
  <c r="DE212" i="489"/>
  <c r="DF212" i="489"/>
  <c r="DG212" i="489"/>
  <c r="DH212" i="489"/>
  <c r="DI212" i="489"/>
  <c r="DJ212" i="489"/>
  <c r="DK212" i="489"/>
  <c r="DL212" i="489"/>
  <c r="DM212" i="489"/>
  <c r="DN212" i="489"/>
  <c r="DO212" i="489"/>
  <c r="DP212" i="489"/>
  <c r="DQ212" i="489"/>
  <c r="DR212" i="489"/>
  <c r="DS212" i="489"/>
  <c r="DT212" i="489"/>
  <c r="DU212" i="489"/>
  <c r="DV212" i="489"/>
  <c r="DW212" i="489"/>
  <c r="DX212" i="489"/>
  <c r="DY212" i="489"/>
  <c r="DZ212" i="489"/>
  <c r="EA212" i="489"/>
  <c r="EB212" i="489"/>
  <c r="EC212" i="489"/>
  <c r="ED212" i="489"/>
  <c r="EE212" i="489"/>
  <c r="EF212" i="489"/>
  <c r="EG212" i="489"/>
  <c r="EH212" i="489"/>
  <c r="EI212" i="489"/>
  <c r="EJ212" i="489"/>
  <c r="EK212" i="489"/>
  <c r="EL212" i="489"/>
  <c r="EM212" i="489"/>
  <c r="EN212" i="489"/>
  <c r="EO212" i="489"/>
  <c r="EP212" i="489"/>
  <c r="EQ212" i="489"/>
  <c r="ER212" i="489"/>
  <c r="ES212" i="489"/>
  <c r="ET212" i="489"/>
  <c r="EU212" i="489"/>
  <c r="EW212" i="489"/>
  <c r="EX212" i="489"/>
  <c r="C213" i="489"/>
  <c r="H213" i="489"/>
  <c r="J213" i="489"/>
  <c r="K213" i="489"/>
  <c r="L213" i="489"/>
  <c r="M213" i="489"/>
  <c r="N213" i="489"/>
  <c r="O213" i="489"/>
  <c r="P213" i="489"/>
  <c r="Q213" i="489"/>
  <c r="R213" i="489"/>
  <c r="S213" i="489"/>
  <c r="T213" i="489"/>
  <c r="U213" i="489"/>
  <c r="V213" i="489"/>
  <c r="W213" i="489"/>
  <c r="X213" i="489"/>
  <c r="Y213" i="489"/>
  <c r="Z213" i="489"/>
  <c r="AA213" i="489"/>
  <c r="AB213" i="489"/>
  <c r="AC213" i="489"/>
  <c r="AD213" i="489"/>
  <c r="AE213" i="489"/>
  <c r="AF213" i="489"/>
  <c r="AG213" i="489"/>
  <c r="AH213" i="489"/>
  <c r="AI213" i="489"/>
  <c r="AJ213" i="489"/>
  <c r="AK213" i="489"/>
  <c r="AL213" i="489"/>
  <c r="AM213" i="489"/>
  <c r="AN213" i="489"/>
  <c r="AO213" i="489"/>
  <c r="AP213" i="489"/>
  <c r="AQ213" i="489"/>
  <c r="AR213" i="489"/>
  <c r="AS213" i="489"/>
  <c r="AT213" i="489"/>
  <c r="AU213" i="489"/>
  <c r="AV213" i="489"/>
  <c r="AW213" i="489"/>
  <c r="AX213" i="489"/>
  <c r="AY213" i="489"/>
  <c r="AZ213" i="489"/>
  <c r="BA213" i="489"/>
  <c r="BB213" i="489"/>
  <c r="BC213" i="489"/>
  <c r="BD213" i="489"/>
  <c r="BE213" i="489"/>
  <c r="BF213" i="489"/>
  <c r="BG213" i="489"/>
  <c r="BH213" i="489"/>
  <c r="BI213" i="489"/>
  <c r="BJ213" i="489"/>
  <c r="BK213" i="489"/>
  <c r="BL213" i="489"/>
  <c r="BM213" i="489"/>
  <c r="BN213" i="489"/>
  <c r="BO213" i="489"/>
  <c r="BP213" i="489"/>
  <c r="BQ213" i="489"/>
  <c r="BR213" i="489"/>
  <c r="BS213" i="489"/>
  <c r="BT213" i="489"/>
  <c r="BU213" i="489"/>
  <c r="BV213" i="489"/>
  <c r="BW213" i="489"/>
  <c r="BX213" i="489"/>
  <c r="BY213" i="489"/>
  <c r="BZ213" i="489"/>
  <c r="CA213" i="489"/>
  <c r="CB213" i="489"/>
  <c r="CC213" i="489"/>
  <c r="CD213" i="489"/>
  <c r="CE213" i="489"/>
  <c r="CF213" i="489"/>
  <c r="CG213" i="489"/>
  <c r="CH213" i="489"/>
  <c r="CI213" i="489"/>
  <c r="CJ213" i="489"/>
  <c r="CK213" i="489"/>
  <c r="CL213" i="489"/>
  <c r="CM213" i="489"/>
  <c r="CN213" i="489"/>
  <c r="CO213" i="489"/>
  <c r="CP213" i="489"/>
  <c r="CQ213" i="489"/>
  <c r="CR213" i="489"/>
  <c r="CS213" i="489"/>
  <c r="CT213" i="489"/>
  <c r="CU213" i="489"/>
  <c r="CV213" i="489"/>
  <c r="CW213" i="489"/>
  <c r="CX213" i="489"/>
  <c r="CY213" i="489"/>
  <c r="CZ213" i="489"/>
  <c r="DA213" i="489"/>
  <c r="DB213" i="489"/>
  <c r="DC213" i="489"/>
  <c r="DD213" i="489"/>
  <c r="DE213" i="489"/>
  <c r="DF213" i="489"/>
  <c r="DG213" i="489"/>
  <c r="DH213" i="489"/>
  <c r="DI213" i="489"/>
  <c r="DJ213" i="489"/>
  <c r="DK213" i="489"/>
  <c r="DL213" i="489"/>
  <c r="DM213" i="489"/>
  <c r="DN213" i="489"/>
  <c r="DO213" i="489"/>
  <c r="DP213" i="489"/>
  <c r="DQ213" i="489"/>
  <c r="DR213" i="489"/>
  <c r="DS213" i="489"/>
  <c r="DT213" i="489"/>
  <c r="DU213" i="489"/>
  <c r="DV213" i="489"/>
  <c r="DW213" i="489"/>
  <c r="DX213" i="489"/>
  <c r="DY213" i="489"/>
  <c r="DZ213" i="489"/>
  <c r="EA213" i="489"/>
  <c r="EB213" i="489"/>
  <c r="EC213" i="489"/>
  <c r="ED213" i="489"/>
  <c r="EE213" i="489"/>
  <c r="EF213" i="489"/>
  <c r="EG213" i="489"/>
  <c r="EH213" i="489"/>
  <c r="EI213" i="489"/>
  <c r="EJ213" i="489"/>
  <c r="EK213" i="489"/>
  <c r="EL213" i="489"/>
  <c r="EM213" i="489"/>
  <c r="EN213" i="489"/>
  <c r="EO213" i="489"/>
  <c r="EP213" i="489"/>
  <c r="EQ213" i="489"/>
  <c r="ER213" i="489"/>
  <c r="ES213" i="489"/>
  <c r="ET213" i="489"/>
  <c r="EU213" i="489"/>
  <c r="EV213" i="489"/>
  <c r="EX213" i="489"/>
  <c r="J197" i="489"/>
  <c r="K197" i="489"/>
  <c r="L197" i="489"/>
  <c r="M197" i="489"/>
  <c r="N197" i="489"/>
  <c r="O197" i="489"/>
  <c r="P197" i="489"/>
  <c r="Q197" i="489"/>
  <c r="R197" i="489"/>
  <c r="S197" i="489"/>
  <c r="T197" i="489"/>
  <c r="U197" i="489"/>
  <c r="W197" i="489"/>
  <c r="AA197" i="489"/>
  <c r="AB197" i="489"/>
  <c r="AC197" i="489"/>
  <c r="AD197" i="489"/>
  <c r="AF197" i="489"/>
  <c r="AG197" i="489"/>
  <c r="AH197" i="489"/>
  <c r="AI197" i="489"/>
  <c r="AJ197" i="489"/>
  <c r="AK197" i="489"/>
  <c r="AL197" i="489"/>
  <c r="AM197" i="489"/>
  <c r="AN197" i="489"/>
  <c r="AO197" i="489"/>
  <c r="AP197" i="489"/>
  <c r="AQ197" i="489"/>
  <c r="AR197" i="489"/>
  <c r="AS197" i="489"/>
  <c r="AT197" i="489"/>
  <c r="AU197" i="489"/>
  <c r="AV197" i="489"/>
  <c r="AW197" i="489"/>
  <c r="AX197" i="489"/>
  <c r="AY197" i="489"/>
  <c r="AZ197" i="489"/>
  <c r="BA197" i="489"/>
  <c r="BB197" i="489"/>
  <c r="BC197" i="489"/>
  <c r="BD197" i="489"/>
  <c r="BE197" i="489"/>
  <c r="BF197" i="489"/>
  <c r="BG197" i="489"/>
  <c r="BH197" i="489"/>
  <c r="BI197" i="489"/>
  <c r="BJ197" i="489"/>
  <c r="BK197" i="489"/>
  <c r="BL197" i="489"/>
  <c r="BM197" i="489"/>
  <c r="BN197" i="489"/>
  <c r="BO197" i="489"/>
  <c r="BP197" i="489"/>
  <c r="BQ197" i="489"/>
  <c r="BR197" i="489"/>
  <c r="BS197" i="489"/>
  <c r="BT197" i="489"/>
  <c r="BV197" i="489"/>
  <c r="BW197" i="489"/>
  <c r="BX197" i="489"/>
  <c r="BY197" i="489"/>
  <c r="BZ197" i="489"/>
  <c r="CA197" i="489"/>
  <c r="CB197" i="489"/>
  <c r="CC197" i="489"/>
  <c r="CD197" i="489"/>
  <c r="CE197" i="489"/>
  <c r="CF197" i="489"/>
  <c r="CG197" i="489"/>
  <c r="CH197" i="489"/>
  <c r="CJ197" i="489"/>
  <c r="CK197" i="489"/>
  <c r="CL197" i="489"/>
  <c r="CN197" i="489"/>
  <c r="CO197" i="489"/>
  <c r="CP197" i="489"/>
  <c r="CQ197" i="489"/>
  <c r="CR197" i="489"/>
  <c r="CS197" i="489"/>
  <c r="CT197" i="489"/>
  <c r="CU197" i="489"/>
  <c r="CV197" i="489"/>
  <c r="CW197" i="489"/>
  <c r="CX197" i="489"/>
  <c r="CY197" i="489"/>
  <c r="DA197" i="489"/>
  <c r="DB197" i="489"/>
  <c r="DC197" i="489"/>
  <c r="DE197" i="489"/>
  <c r="DF197" i="489"/>
  <c r="DG197" i="489"/>
  <c r="DH197" i="489"/>
  <c r="DI197" i="489"/>
  <c r="DJ197" i="489"/>
  <c r="DK197" i="489"/>
  <c r="DL197" i="489"/>
  <c r="DM197" i="489"/>
  <c r="DN197" i="489"/>
  <c r="DO197" i="489"/>
  <c r="DP197" i="489"/>
  <c r="DQ197" i="489"/>
  <c r="DR197" i="489"/>
  <c r="DS197" i="489"/>
  <c r="DT197" i="489"/>
  <c r="DU197" i="489"/>
  <c r="DV197" i="489"/>
  <c r="DW197" i="489"/>
  <c r="DX197" i="489"/>
  <c r="DY197" i="489"/>
  <c r="DZ197" i="489"/>
  <c r="EA197" i="489"/>
  <c r="EB197" i="489"/>
  <c r="EC197" i="489"/>
  <c r="ED197" i="489"/>
  <c r="EE197" i="489"/>
  <c r="EF197" i="489"/>
  <c r="EG197" i="489"/>
  <c r="EH197" i="489"/>
  <c r="EI197" i="489"/>
  <c r="EJ197" i="489"/>
  <c r="EK197" i="489"/>
  <c r="EL197" i="489"/>
  <c r="EM197" i="489"/>
  <c r="EN197" i="489"/>
  <c r="EO197" i="489"/>
  <c r="EP197" i="489"/>
  <c r="EQ197" i="489"/>
  <c r="ER197" i="489"/>
  <c r="ES197" i="489"/>
  <c r="ET197" i="489"/>
  <c r="EU197" i="489"/>
  <c r="EV197" i="489"/>
  <c r="EW197" i="489"/>
  <c r="EX197" i="489"/>
  <c r="J198" i="489"/>
  <c r="K198" i="489"/>
  <c r="L198" i="489"/>
  <c r="M198" i="489"/>
  <c r="N198" i="489"/>
  <c r="O198" i="489"/>
  <c r="P198" i="489"/>
  <c r="Q198" i="489"/>
  <c r="R198" i="489"/>
  <c r="S198" i="489"/>
  <c r="T198" i="489"/>
  <c r="U198" i="489"/>
  <c r="W198" i="489"/>
  <c r="X198" i="489"/>
  <c r="Y198" i="489"/>
  <c r="Z198" i="489"/>
  <c r="AA198" i="489"/>
  <c r="AB198" i="489"/>
  <c r="AC198" i="489"/>
  <c r="AD198" i="489"/>
  <c r="AE198" i="489"/>
  <c r="AF198" i="489"/>
  <c r="AG198" i="489"/>
  <c r="AH198" i="489"/>
  <c r="AI198" i="489"/>
  <c r="AJ198" i="489"/>
  <c r="AK198" i="489"/>
  <c r="AL198" i="489"/>
  <c r="AM198" i="489"/>
  <c r="AN198" i="489"/>
  <c r="AO198" i="489"/>
  <c r="AP198" i="489"/>
  <c r="AQ198" i="489"/>
  <c r="AR198" i="489"/>
  <c r="AS198" i="489"/>
  <c r="AT198" i="489"/>
  <c r="AU198" i="489"/>
  <c r="AV198" i="489"/>
  <c r="AW198" i="489"/>
  <c r="AX198" i="489"/>
  <c r="AY198" i="489"/>
  <c r="AZ198" i="489"/>
  <c r="BA198" i="489"/>
  <c r="BB198" i="489"/>
  <c r="BC198" i="489"/>
  <c r="BD198" i="489"/>
  <c r="BE198" i="489"/>
  <c r="BF198" i="489"/>
  <c r="BG198" i="489"/>
  <c r="BH198" i="489"/>
  <c r="BI198" i="489"/>
  <c r="BJ198" i="489"/>
  <c r="BK198" i="489"/>
  <c r="BL198" i="489"/>
  <c r="BM198" i="489"/>
  <c r="BN198" i="489"/>
  <c r="BO198" i="489"/>
  <c r="BP198" i="489"/>
  <c r="BQ198" i="489"/>
  <c r="BR198" i="489"/>
  <c r="BS198" i="489"/>
  <c r="BT198" i="489"/>
  <c r="BU198" i="489"/>
  <c r="BV198" i="489"/>
  <c r="BW198" i="489"/>
  <c r="BX198" i="489"/>
  <c r="BY198" i="489"/>
  <c r="BZ198" i="489"/>
  <c r="CA198" i="489"/>
  <c r="CB198" i="489"/>
  <c r="CC198" i="489"/>
  <c r="CD198" i="489"/>
  <c r="CE198" i="489"/>
  <c r="CF198" i="489"/>
  <c r="CG198" i="489"/>
  <c r="CH198" i="489"/>
  <c r="CI198" i="489"/>
  <c r="CJ198" i="489"/>
  <c r="CK198" i="489"/>
  <c r="CL198" i="489"/>
  <c r="CM198" i="489"/>
  <c r="CN198" i="489"/>
  <c r="CO198" i="489"/>
  <c r="CP198" i="489"/>
  <c r="CQ198" i="489"/>
  <c r="CR198" i="489"/>
  <c r="CS198" i="489"/>
  <c r="CT198" i="489"/>
  <c r="CU198" i="489"/>
  <c r="CV198" i="489"/>
  <c r="CW198" i="489"/>
  <c r="CX198" i="489"/>
  <c r="CY198" i="489"/>
  <c r="CZ198" i="489"/>
  <c r="DA198" i="489"/>
  <c r="DB198" i="489"/>
  <c r="DC198" i="489"/>
  <c r="DD198" i="489"/>
  <c r="DE198" i="489"/>
  <c r="DF198" i="489"/>
  <c r="DG198" i="489"/>
  <c r="DH198" i="489"/>
  <c r="DI198" i="489"/>
  <c r="DJ198" i="489"/>
  <c r="DK198" i="489"/>
  <c r="DL198" i="489"/>
  <c r="DM198" i="489"/>
  <c r="DN198" i="489"/>
  <c r="DO198" i="489"/>
  <c r="DP198" i="489"/>
  <c r="DQ198" i="489"/>
  <c r="DR198" i="489"/>
  <c r="DS198" i="489"/>
  <c r="DT198" i="489"/>
  <c r="DU198" i="489"/>
  <c r="DV198" i="489"/>
  <c r="DW198" i="489"/>
  <c r="DX198" i="489"/>
  <c r="DY198" i="489"/>
  <c r="DZ198" i="489"/>
  <c r="EA198" i="489"/>
  <c r="EB198" i="489"/>
  <c r="EC198" i="489"/>
  <c r="ED198" i="489"/>
  <c r="EE198" i="489"/>
  <c r="EF198" i="489"/>
  <c r="EG198" i="489"/>
  <c r="EH198" i="489"/>
  <c r="EI198" i="489"/>
  <c r="EJ198" i="489"/>
  <c r="EK198" i="489"/>
  <c r="EL198" i="489"/>
  <c r="EM198" i="489"/>
  <c r="EN198" i="489"/>
  <c r="EO198" i="489"/>
  <c r="EP198" i="489"/>
  <c r="EQ198" i="489"/>
  <c r="ER198" i="489"/>
  <c r="ES198" i="489"/>
  <c r="ET198" i="489"/>
  <c r="EU198" i="489"/>
  <c r="EV198" i="489"/>
  <c r="EW198" i="489"/>
  <c r="EX198" i="489"/>
  <c r="F199" i="489"/>
  <c r="J199" i="489"/>
  <c r="K199" i="489"/>
  <c r="L199" i="489"/>
  <c r="M199" i="489"/>
  <c r="N199" i="489"/>
  <c r="O199" i="489"/>
  <c r="P199" i="489"/>
  <c r="Q199" i="489"/>
  <c r="R199" i="489"/>
  <c r="S199" i="489"/>
  <c r="T199" i="489"/>
  <c r="U199" i="489"/>
  <c r="V199" i="489"/>
  <c r="X199" i="489"/>
  <c r="Y199" i="489"/>
  <c r="Z199" i="489"/>
  <c r="AA199" i="489"/>
  <c r="AB199" i="489"/>
  <c r="AC199" i="489"/>
  <c r="AD199" i="489"/>
  <c r="AE199" i="489"/>
  <c r="AF199" i="489"/>
  <c r="AG199" i="489"/>
  <c r="AH199" i="489"/>
  <c r="AI199" i="489"/>
  <c r="AJ199" i="489"/>
  <c r="AK199" i="489"/>
  <c r="AL199" i="489"/>
  <c r="AM199" i="489"/>
  <c r="AN199" i="489"/>
  <c r="AO199" i="489"/>
  <c r="AP199" i="489"/>
  <c r="AQ199" i="489"/>
  <c r="AR199" i="489"/>
  <c r="AS199" i="489"/>
  <c r="AT199" i="489"/>
  <c r="AU199" i="489"/>
  <c r="AV199" i="489"/>
  <c r="AW199" i="489"/>
  <c r="AX199" i="489"/>
  <c r="AY199" i="489"/>
  <c r="AZ199" i="489"/>
  <c r="BA199" i="489"/>
  <c r="BB199" i="489"/>
  <c r="BC199" i="489"/>
  <c r="BD199" i="489"/>
  <c r="BE199" i="489"/>
  <c r="BF199" i="489"/>
  <c r="BG199" i="489"/>
  <c r="BH199" i="489"/>
  <c r="BI199" i="489"/>
  <c r="BJ199" i="489"/>
  <c r="BK199" i="489"/>
  <c r="BL199" i="489"/>
  <c r="BM199" i="489"/>
  <c r="BN199" i="489"/>
  <c r="BO199" i="489"/>
  <c r="BP199" i="489"/>
  <c r="BQ199" i="489"/>
  <c r="BR199" i="489"/>
  <c r="BS199" i="489"/>
  <c r="BT199" i="489"/>
  <c r="BU199" i="489"/>
  <c r="BV199" i="489"/>
  <c r="BW199" i="489"/>
  <c r="BX199" i="489"/>
  <c r="BY199" i="489"/>
  <c r="BZ199" i="489"/>
  <c r="CA199" i="489"/>
  <c r="CB199" i="489"/>
  <c r="CC199" i="489"/>
  <c r="CD199" i="489"/>
  <c r="CE199" i="489"/>
  <c r="CF199" i="489"/>
  <c r="CG199" i="489"/>
  <c r="CH199" i="489"/>
  <c r="CI199" i="489"/>
  <c r="CJ199" i="489"/>
  <c r="CK199" i="489"/>
  <c r="CL199" i="489"/>
  <c r="CM199" i="489"/>
  <c r="CN199" i="489"/>
  <c r="CO199" i="489"/>
  <c r="CP199" i="489"/>
  <c r="CQ199" i="489"/>
  <c r="CR199" i="489"/>
  <c r="CS199" i="489"/>
  <c r="CT199" i="489"/>
  <c r="CU199" i="489"/>
  <c r="CV199" i="489"/>
  <c r="CW199" i="489"/>
  <c r="CX199" i="489"/>
  <c r="CY199" i="489"/>
  <c r="CZ199" i="489"/>
  <c r="DA199" i="489"/>
  <c r="DB199" i="489"/>
  <c r="DC199" i="489"/>
  <c r="DD199" i="489"/>
  <c r="DE199" i="489"/>
  <c r="DF199" i="489"/>
  <c r="DG199" i="489"/>
  <c r="DH199" i="489"/>
  <c r="DI199" i="489"/>
  <c r="DJ199" i="489"/>
  <c r="DK199" i="489"/>
  <c r="DL199" i="489"/>
  <c r="DM199" i="489"/>
  <c r="DN199" i="489"/>
  <c r="DO199" i="489"/>
  <c r="DP199" i="489"/>
  <c r="DQ199" i="489"/>
  <c r="DR199" i="489"/>
  <c r="DS199" i="489"/>
  <c r="DT199" i="489"/>
  <c r="DU199" i="489"/>
  <c r="DV199" i="489"/>
  <c r="DW199" i="489"/>
  <c r="DX199" i="489"/>
  <c r="DY199" i="489"/>
  <c r="DZ199" i="489"/>
  <c r="EA199" i="489"/>
  <c r="EB199" i="489"/>
  <c r="EC199" i="489"/>
  <c r="ED199" i="489"/>
  <c r="EE199" i="489"/>
  <c r="EF199" i="489"/>
  <c r="EG199" i="489"/>
  <c r="EH199" i="489"/>
  <c r="EI199" i="489"/>
  <c r="EJ199" i="489"/>
  <c r="EK199" i="489"/>
  <c r="EL199" i="489"/>
  <c r="EM199" i="489"/>
  <c r="EN199" i="489"/>
  <c r="EO199" i="489"/>
  <c r="EP199" i="489"/>
  <c r="EQ199" i="489"/>
  <c r="ER199" i="489"/>
  <c r="ES199" i="489"/>
  <c r="ET199" i="489"/>
  <c r="EU199" i="489"/>
  <c r="EV199" i="489"/>
  <c r="EW199" i="489"/>
  <c r="EX199" i="489"/>
  <c r="C200" i="489"/>
  <c r="H200" i="489"/>
  <c r="J200" i="489"/>
  <c r="K200" i="489"/>
  <c r="L200" i="489"/>
  <c r="M200" i="489"/>
  <c r="N200" i="489"/>
  <c r="O200" i="489"/>
  <c r="P200" i="489"/>
  <c r="Q200" i="489"/>
  <c r="R200" i="489"/>
  <c r="S200" i="489"/>
  <c r="T200" i="489"/>
  <c r="U200" i="489"/>
  <c r="V200" i="489"/>
  <c r="W200" i="489"/>
  <c r="X200" i="489"/>
  <c r="Y200" i="489"/>
  <c r="Z200" i="489"/>
  <c r="AA200" i="489"/>
  <c r="AB200" i="489"/>
  <c r="AC200" i="489"/>
  <c r="AD200" i="489"/>
  <c r="AE200" i="489"/>
  <c r="AF200" i="489"/>
  <c r="AG200" i="489"/>
  <c r="AH200" i="489"/>
  <c r="AI200" i="489"/>
  <c r="AJ200" i="489"/>
  <c r="AK200" i="489"/>
  <c r="AL200" i="489"/>
  <c r="AM200" i="489"/>
  <c r="AN200" i="489"/>
  <c r="AO200" i="489"/>
  <c r="AP200" i="489"/>
  <c r="AQ200" i="489"/>
  <c r="AR200" i="489"/>
  <c r="AS200" i="489"/>
  <c r="AT200" i="489"/>
  <c r="AU200" i="489"/>
  <c r="AV200" i="489"/>
  <c r="AW200" i="489"/>
  <c r="AX200" i="489"/>
  <c r="AY200" i="489"/>
  <c r="AZ200" i="489"/>
  <c r="BA200" i="489"/>
  <c r="BB200" i="489"/>
  <c r="BC200" i="489"/>
  <c r="BD200" i="489"/>
  <c r="BE200" i="489"/>
  <c r="BF200" i="489"/>
  <c r="BG200" i="489"/>
  <c r="BH200" i="489"/>
  <c r="BI200" i="489"/>
  <c r="BJ200" i="489"/>
  <c r="BK200" i="489"/>
  <c r="BL200" i="489"/>
  <c r="BM200" i="489"/>
  <c r="BN200" i="489"/>
  <c r="BO200" i="489"/>
  <c r="BP200" i="489"/>
  <c r="BQ200" i="489"/>
  <c r="BR200" i="489"/>
  <c r="BS200" i="489"/>
  <c r="BT200" i="489"/>
  <c r="BU200" i="489"/>
  <c r="BV200" i="489"/>
  <c r="BW200" i="489"/>
  <c r="BX200" i="489"/>
  <c r="BY200" i="489"/>
  <c r="BZ200" i="489"/>
  <c r="CA200" i="489"/>
  <c r="CB200" i="489"/>
  <c r="CC200" i="489"/>
  <c r="CD200" i="489"/>
  <c r="CE200" i="489"/>
  <c r="CF200" i="489"/>
  <c r="CG200" i="489"/>
  <c r="CH200" i="489"/>
  <c r="CI200" i="489"/>
  <c r="CJ200" i="489"/>
  <c r="CK200" i="489"/>
  <c r="CL200" i="489"/>
  <c r="CM200" i="489"/>
  <c r="CN200" i="489"/>
  <c r="CO200" i="489"/>
  <c r="CP200" i="489"/>
  <c r="CQ200" i="489"/>
  <c r="CR200" i="489"/>
  <c r="CS200" i="489"/>
  <c r="CT200" i="489"/>
  <c r="CU200" i="489"/>
  <c r="CV200" i="489"/>
  <c r="CW200" i="489"/>
  <c r="CX200" i="489"/>
  <c r="CY200" i="489"/>
  <c r="CZ200" i="489"/>
  <c r="DA200" i="489"/>
  <c r="DB200" i="489"/>
  <c r="DC200" i="489"/>
  <c r="DD200" i="489"/>
  <c r="DE200" i="489"/>
  <c r="DF200" i="489"/>
  <c r="DG200" i="489"/>
  <c r="DH200" i="489"/>
  <c r="DI200" i="489"/>
  <c r="DJ200" i="489"/>
  <c r="DK200" i="489"/>
  <c r="DL200" i="489"/>
  <c r="DM200" i="489"/>
  <c r="DN200" i="489"/>
  <c r="DO200" i="489"/>
  <c r="DP200" i="489"/>
  <c r="DQ200" i="489"/>
  <c r="DR200" i="489"/>
  <c r="DS200" i="489"/>
  <c r="DT200" i="489"/>
  <c r="DU200" i="489"/>
  <c r="DV200" i="489"/>
  <c r="DW200" i="489"/>
  <c r="DX200" i="489"/>
  <c r="DY200" i="489"/>
  <c r="DZ200" i="489"/>
  <c r="EA200" i="489"/>
  <c r="EB200" i="489"/>
  <c r="EC200" i="489"/>
  <c r="ED200" i="489"/>
  <c r="EE200" i="489"/>
  <c r="EF200" i="489"/>
  <c r="EG200" i="489"/>
  <c r="EH200" i="489"/>
  <c r="EI200" i="489"/>
  <c r="EJ200" i="489"/>
  <c r="EK200" i="489"/>
  <c r="EL200" i="489"/>
  <c r="EM200" i="489"/>
  <c r="EN200" i="489"/>
  <c r="EO200" i="489"/>
  <c r="EP200" i="489"/>
  <c r="EQ200" i="489"/>
  <c r="ER200" i="489"/>
  <c r="ES200" i="489"/>
  <c r="ET200" i="489"/>
  <c r="EU200" i="489"/>
  <c r="EW200" i="489"/>
  <c r="EX200" i="489"/>
  <c r="C201" i="489"/>
  <c r="H201" i="489"/>
  <c r="J201" i="489"/>
  <c r="K201" i="489"/>
  <c r="L201" i="489"/>
  <c r="M201" i="489"/>
  <c r="N201" i="489"/>
  <c r="O201" i="489"/>
  <c r="P201" i="489"/>
  <c r="Q201" i="489"/>
  <c r="R201" i="489"/>
  <c r="S201" i="489"/>
  <c r="T201" i="489"/>
  <c r="U201" i="489"/>
  <c r="V201" i="489"/>
  <c r="W201" i="489"/>
  <c r="X201" i="489"/>
  <c r="Y201" i="489"/>
  <c r="Z201" i="489"/>
  <c r="AA201" i="489"/>
  <c r="AB201" i="489"/>
  <c r="AC201" i="489"/>
  <c r="AD201" i="489"/>
  <c r="AE201" i="489"/>
  <c r="AF201" i="489"/>
  <c r="AG201" i="489"/>
  <c r="AH201" i="489"/>
  <c r="AI201" i="489"/>
  <c r="AJ201" i="489"/>
  <c r="AK201" i="489"/>
  <c r="AL201" i="489"/>
  <c r="AM201" i="489"/>
  <c r="AN201" i="489"/>
  <c r="AO201" i="489"/>
  <c r="AP201" i="489"/>
  <c r="AQ201" i="489"/>
  <c r="AR201" i="489"/>
  <c r="AS201" i="489"/>
  <c r="AT201" i="489"/>
  <c r="AU201" i="489"/>
  <c r="AV201" i="489"/>
  <c r="AW201" i="489"/>
  <c r="AX201" i="489"/>
  <c r="AY201" i="489"/>
  <c r="AZ201" i="489"/>
  <c r="BA201" i="489"/>
  <c r="BB201" i="489"/>
  <c r="BC201" i="489"/>
  <c r="BD201" i="489"/>
  <c r="BE201" i="489"/>
  <c r="BF201" i="489"/>
  <c r="BG201" i="489"/>
  <c r="BH201" i="489"/>
  <c r="BI201" i="489"/>
  <c r="BJ201" i="489"/>
  <c r="BK201" i="489"/>
  <c r="BL201" i="489"/>
  <c r="BM201" i="489"/>
  <c r="BN201" i="489"/>
  <c r="BO201" i="489"/>
  <c r="BP201" i="489"/>
  <c r="BQ201" i="489"/>
  <c r="BR201" i="489"/>
  <c r="BS201" i="489"/>
  <c r="BT201" i="489"/>
  <c r="BU201" i="489"/>
  <c r="BV201" i="489"/>
  <c r="BW201" i="489"/>
  <c r="BX201" i="489"/>
  <c r="BY201" i="489"/>
  <c r="BZ201" i="489"/>
  <c r="CA201" i="489"/>
  <c r="CB201" i="489"/>
  <c r="CC201" i="489"/>
  <c r="CD201" i="489"/>
  <c r="CE201" i="489"/>
  <c r="CF201" i="489"/>
  <c r="CG201" i="489"/>
  <c r="CH201" i="489"/>
  <c r="CI201" i="489"/>
  <c r="CJ201" i="489"/>
  <c r="CK201" i="489"/>
  <c r="CL201" i="489"/>
  <c r="CM201" i="489"/>
  <c r="CN201" i="489"/>
  <c r="CO201" i="489"/>
  <c r="CP201" i="489"/>
  <c r="CQ201" i="489"/>
  <c r="CR201" i="489"/>
  <c r="CS201" i="489"/>
  <c r="CT201" i="489"/>
  <c r="CU201" i="489"/>
  <c r="CV201" i="489"/>
  <c r="CW201" i="489"/>
  <c r="CX201" i="489"/>
  <c r="CY201" i="489"/>
  <c r="CZ201" i="489"/>
  <c r="DA201" i="489"/>
  <c r="DB201" i="489"/>
  <c r="DC201" i="489"/>
  <c r="DD201" i="489"/>
  <c r="DE201" i="489"/>
  <c r="DF201" i="489"/>
  <c r="DG201" i="489"/>
  <c r="DH201" i="489"/>
  <c r="DI201" i="489"/>
  <c r="DJ201" i="489"/>
  <c r="DK201" i="489"/>
  <c r="DL201" i="489"/>
  <c r="DM201" i="489"/>
  <c r="DN201" i="489"/>
  <c r="DO201" i="489"/>
  <c r="DP201" i="489"/>
  <c r="DQ201" i="489"/>
  <c r="DR201" i="489"/>
  <c r="DS201" i="489"/>
  <c r="DT201" i="489"/>
  <c r="DU201" i="489"/>
  <c r="DV201" i="489"/>
  <c r="DW201" i="489"/>
  <c r="DX201" i="489"/>
  <c r="DY201" i="489"/>
  <c r="DZ201" i="489"/>
  <c r="EA201" i="489"/>
  <c r="EB201" i="489"/>
  <c r="EC201" i="489"/>
  <c r="ED201" i="489"/>
  <c r="EE201" i="489"/>
  <c r="EF201" i="489"/>
  <c r="EG201" i="489"/>
  <c r="EH201" i="489"/>
  <c r="EI201" i="489"/>
  <c r="EJ201" i="489"/>
  <c r="EK201" i="489"/>
  <c r="EL201" i="489"/>
  <c r="EM201" i="489"/>
  <c r="EN201" i="489"/>
  <c r="EO201" i="489"/>
  <c r="EP201" i="489"/>
  <c r="EQ201" i="489"/>
  <c r="ER201" i="489"/>
  <c r="ES201" i="489"/>
  <c r="ET201" i="489"/>
  <c r="EU201" i="489"/>
  <c r="EV201" i="489"/>
  <c r="EX201" i="489"/>
  <c r="J202" i="489"/>
  <c r="K202" i="489"/>
  <c r="L202" i="489"/>
  <c r="M202" i="489"/>
  <c r="N202" i="489"/>
  <c r="O202" i="489"/>
  <c r="P202" i="489"/>
  <c r="Q202" i="489"/>
  <c r="R202" i="489"/>
  <c r="S202" i="489"/>
  <c r="T202" i="489"/>
  <c r="U202" i="489"/>
  <c r="V202" i="489"/>
  <c r="W202" i="489"/>
  <c r="X202" i="489"/>
  <c r="Y202" i="489"/>
  <c r="Z202" i="489"/>
  <c r="AA202" i="489"/>
  <c r="AB202" i="489"/>
  <c r="AC202" i="489"/>
  <c r="AD202" i="489"/>
  <c r="AE202" i="489"/>
  <c r="AF202" i="489"/>
  <c r="AG202" i="489"/>
  <c r="AH202" i="489"/>
  <c r="AI202" i="489"/>
  <c r="AJ202" i="489"/>
  <c r="AK202" i="489"/>
  <c r="AL202" i="489"/>
  <c r="AM202" i="489"/>
  <c r="AN202" i="489"/>
  <c r="AO202" i="489"/>
  <c r="AP202" i="489"/>
  <c r="AQ202" i="489"/>
  <c r="AR202" i="489"/>
  <c r="AS202" i="489"/>
  <c r="AT202" i="489"/>
  <c r="AU202" i="489"/>
  <c r="AV202" i="489"/>
  <c r="AW202" i="489"/>
  <c r="AX202" i="489"/>
  <c r="AY202" i="489"/>
  <c r="AZ202" i="489"/>
  <c r="BA202" i="489"/>
  <c r="BB202" i="489"/>
  <c r="BC202" i="489"/>
  <c r="BD202" i="489"/>
  <c r="BE202" i="489"/>
  <c r="BF202" i="489"/>
  <c r="BG202" i="489"/>
  <c r="BH202" i="489"/>
  <c r="BI202" i="489"/>
  <c r="BJ202" i="489"/>
  <c r="BK202" i="489"/>
  <c r="BL202" i="489"/>
  <c r="BM202" i="489"/>
  <c r="BN202" i="489"/>
  <c r="BO202" i="489"/>
  <c r="BP202" i="489"/>
  <c r="BQ202" i="489"/>
  <c r="BR202" i="489"/>
  <c r="BS202" i="489"/>
  <c r="BT202" i="489"/>
  <c r="BU202" i="489"/>
  <c r="BV202" i="489"/>
  <c r="BW202" i="489"/>
  <c r="BX202" i="489"/>
  <c r="BY202" i="489"/>
  <c r="BZ202" i="489"/>
  <c r="CA202" i="489"/>
  <c r="CB202" i="489"/>
  <c r="CC202" i="489"/>
  <c r="CD202" i="489"/>
  <c r="CE202" i="489"/>
  <c r="CF202" i="489"/>
  <c r="CG202" i="489"/>
  <c r="CH202" i="489"/>
  <c r="CI202" i="489"/>
  <c r="CJ202" i="489"/>
  <c r="CK202" i="489"/>
  <c r="CL202" i="489"/>
  <c r="CM202" i="489"/>
  <c r="CN202" i="489"/>
  <c r="CO202" i="489"/>
  <c r="CP202" i="489"/>
  <c r="CQ202" i="489"/>
  <c r="CR202" i="489"/>
  <c r="CS202" i="489"/>
  <c r="CT202" i="489"/>
  <c r="CU202" i="489"/>
  <c r="CV202" i="489"/>
  <c r="CW202" i="489"/>
  <c r="CX202" i="489"/>
  <c r="CY202" i="489"/>
  <c r="DA202" i="489"/>
  <c r="DB202" i="489"/>
  <c r="DC202" i="489"/>
  <c r="DD202" i="489"/>
  <c r="DE202" i="489"/>
  <c r="DF202" i="489"/>
  <c r="DG202" i="489"/>
  <c r="DH202" i="489"/>
  <c r="DI202" i="489"/>
  <c r="DJ202" i="489"/>
  <c r="DK202" i="489"/>
  <c r="DL202" i="489"/>
  <c r="DM202" i="489"/>
  <c r="DN202" i="489"/>
  <c r="DO202" i="489"/>
  <c r="DP202" i="489"/>
  <c r="DQ202" i="489"/>
  <c r="DS202" i="489"/>
  <c r="DT202" i="489"/>
  <c r="DU202" i="489"/>
  <c r="DV202" i="489"/>
  <c r="DW202" i="489"/>
  <c r="DX202" i="489"/>
  <c r="DY202" i="489"/>
  <c r="DZ202" i="489"/>
  <c r="EA202" i="489"/>
  <c r="EB202" i="489"/>
  <c r="EC202" i="489"/>
  <c r="ED202" i="489"/>
  <c r="EE202" i="489"/>
  <c r="EF202" i="489"/>
  <c r="EG202" i="489"/>
  <c r="EH202" i="489"/>
  <c r="EI202" i="489"/>
  <c r="EJ202" i="489"/>
  <c r="EK202" i="489"/>
  <c r="EL202" i="489"/>
  <c r="EM202" i="489"/>
  <c r="EN202" i="489"/>
  <c r="EO202" i="489"/>
  <c r="EP202" i="489"/>
  <c r="EQ202" i="489"/>
  <c r="ER202" i="489"/>
  <c r="ES202" i="489"/>
  <c r="ET202" i="489"/>
  <c r="EU202" i="489"/>
  <c r="EV202" i="489"/>
  <c r="EW202" i="489"/>
  <c r="EX202" i="489"/>
  <c r="C203" i="489"/>
  <c r="D203" i="489"/>
  <c r="E203" i="489"/>
  <c r="F203" i="489"/>
  <c r="G203" i="489"/>
  <c r="H203" i="489"/>
  <c r="J203" i="489"/>
  <c r="K203" i="489"/>
  <c r="L203" i="489"/>
  <c r="M203" i="489"/>
  <c r="N203" i="489"/>
  <c r="O203" i="489"/>
  <c r="P203" i="489"/>
  <c r="Q203" i="489"/>
  <c r="R203" i="489"/>
  <c r="S203" i="489"/>
  <c r="T203" i="489"/>
  <c r="U203" i="489"/>
  <c r="V203" i="489"/>
  <c r="W203" i="489"/>
  <c r="X203" i="489"/>
  <c r="Y203" i="489"/>
  <c r="Z203" i="489"/>
  <c r="AA203" i="489"/>
  <c r="AB203" i="489"/>
  <c r="AC203" i="489"/>
  <c r="AD203" i="489"/>
  <c r="AE203" i="489"/>
  <c r="AF203" i="489"/>
  <c r="AG203" i="489"/>
  <c r="AH203" i="489"/>
  <c r="AI203" i="489"/>
  <c r="AJ203" i="489"/>
  <c r="AK203" i="489"/>
  <c r="AL203" i="489"/>
  <c r="AM203" i="489"/>
  <c r="AN203" i="489"/>
  <c r="AO203" i="489"/>
  <c r="AP203" i="489"/>
  <c r="AQ203" i="489"/>
  <c r="AR203" i="489"/>
  <c r="AS203" i="489"/>
  <c r="AT203" i="489"/>
  <c r="AU203" i="489"/>
  <c r="AV203" i="489"/>
  <c r="AW203" i="489"/>
  <c r="AX203" i="489"/>
  <c r="AY203" i="489"/>
  <c r="AZ203" i="489"/>
  <c r="BA203" i="489"/>
  <c r="BB203" i="489"/>
  <c r="BC203" i="489"/>
  <c r="BD203" i="489"/>
  <c r="BE203" i="489"/>
  <c r="BF203" i="489"/>
  <c r="BG203" i="489"/>
  <c r="BH203" i="489"/>
  <c r="BI203" i="489"/>
  <c r="BJ203" i="489"/>
  <c r="BK203" i="489"/>
  <c r="BL203" i="489"/>
  <c r="BM203" i="489"/>
  <c r="BN203" i="489"/>
  <c r="BO203" i="489"/>
  <c r="BP203" i="489"/>
  <c r="BQ203" i="489"/>
  <c r="BR203" i="489"/>
  <c r="BS203" i="489"/>
  <c r="BT203" i="489"/>
  <c r="BU203" i="489"/>
  <c r="BV203" i="489"/>
  <c r="BW203" i="489"/>
  <c r="BX203" i="489"/>
  <c r="BY203" i="489"/>
  <c r="BZ203" i="489"/>
  <c r="CA203" i="489"/>
  <c r="CB203" i="489"/>
  <c r="CC203" i="489"/>
  <c r="CD203" i="489"/>
  <c r="CE203" i="489"/>
  <c r="CF203" i="489"/>
  <c r="CG203" i="489"/>
  <c r="CH203" i="489"/>
  <c r="CI203" i="489"/>
  <c r="CJ203" i="489"/>
  <c r="CK203" i="489"/>
  <c r="CL203" i="489"/>
  <c r="CM203" i="489"/>
  <c r="CN203" i="489"/>
  <c r="CO203" i="489"/>
  <c r="CP203" i="489"/>
  <c r="CQ203" i="489"/>
  <c r="CR203" i="489"/>
  <c r="CS203" i="489"/>
  <c r="CT203" i="489"/>
  <c r="CU203" i="489"/>
  <c r="CV203" i="489"/>
  <c r="CW203" i="489"/>
  <c r="CX203" i="489"/>
  <c r="CY203" i="489"/>
  <c r="CZ203" i="489"/>
  <c r="DA203" i="489"/>
  <c r="DB203" i="489"/>
  <c r="DC203" i="489"/>
  <c r="DD203" i="489"/>
  <c r="DE203" i="489"/>
  <c r="DF203" i="489"/>
  <c r="DG203" i="489"/>
  <c r="DH203" i="489"/>
  <c r="DI203" i="489"/>
  <c r="DJ203" i="489"/>
  <c r="DK203" i="489"/>
  <c r="DL203" i="489"/>
  <c r="DM203" i="489"/>
  <c r="DN203" i="489"/>
  <c r="DO203" i="489"/>
  <c r="DP203" i="489"/>
  <c r="DQ203" i="489"/>
  <c r="DR203" i="489"/>
  <c r="DS203" i="489"/>
  <c r="DT203" i="489"/>
  <c r="DU203" i="489"/>
  <c r="DV203" i="489"/>
  <c r="DW203" i="489"/>
  <c r="DX203" i="489"/>
  <c r="DY203" i="489"/>
  <c r="DZ203" i="489"/>
  <c r="EA203" i="489"/>
  <c r="EC203" i="489"/>
  <c r="ED203" i="489"/>
  <c r="EE203" i="489"/>
  <c r="EF203" i="489"/>
  <c r="EG203" i="489"/>
  <c r="EH203" i="489"/>
  <c r="EI203" i="489"/>
  <c r="EJ203" i="489"/>
  <c r="EK203" i="489"/>
  <c r="EL203" i="489"/>
  <c r="EM203" i="489"/>
  <c r="EN203" i="489"/>
  <c r="EO203" i="489"/>
  <c r="EP203" i="489"/>
  <c r="EQ203" i="489"/>
  <c r="ER203" i="489"/>
  <c r="ES203" i="489"/>
  <c r="ET203" i="489"/>
  <c r="EU203" i="489"/>
  <c r="EV203" i="489"/>
  <c r="EW203" i="489"/>
  <c r="EX203" i="489"/>
  <c r="J177" i="489"/>
  <c r="K177" i="489"/>
  <c r="L177" i="489"/>
  <c r="M177" i="489"/>
  <c r="N177" i="489"/>
  <c r="O177" i="489"/>
  <c r="P177" i="489"/>
  <c r="Q177" i="489"/>
  <c r="R177" i="489"/>
  <c r="S177" i="489"/>
  <c r="T177" i="489"/>
  <c r="U177" i="489"/>
  <c r="V177" i="489"/>
  <c r="W177" i="489"/>
  <c r="X177" i="489"/>
  <c r="Y177" i="489"/>
  <c r="Z177" i="489"/>
  <c r="AA177" i="489"/>
  <c r="AB177" i="489"/>
  <c r="AC177" i="489"/>
  <c r="AD177" i="489"/>
  <c r="AE177" i="489"/>
  <c r="AF177" i="489"/>
  <c r="AG177" i="489"/>
  <c r="AI177" i="489"/>
  <c r="AJ177" i="489"/>
  <c r="AK177" i="489"/>
  <c r="AM177" i="489"/>
  <c r="AN177" i="489"/>
  <c r="AO177" i="489"/>
  <c r="AP177" i="489"/>
  <c r="AR177" i="489"/>
  <c r="AS177" i="489"/>
  <c r="AT177" i="489"/>
  <c r="AU177" i="489"/>
  <c r="AV177" i="489"/>
  <c r="AW177" i="489"/>
  <c r="AY177" i="489"/>
  <c r="AZ177" i="489"/>
  <c r="BA177" i="489"/>
  <c r="BB177" i="489"/>
  <c r="BC177" i="489"/>
  <c r="BD177" i="489"/>
  <c r="BE177" i="489"/>
  <c r="BF177" i="489"/>
  <c r="BG177" i="489"/>
  <c r="BH177" i="489"/>
  <c r="BI177" i="489"/>
  <c r="BJ177" i="489"/>
  <c r="BK177" i="489"/>
  <c r="BL177" i="489"/>
  <c r="BM177" i="489"/>
  <c r="BN177" i="489"/>
  <c r="BO177" i="489"/>
  <c r="BP177" i="489"/>
  <c r="BQ177" i="489"/>
  <c r="BR177" i="489"/>
  <c r="BS177" i="489"/>
  <c r="BT177" i="489"/>
  <c r="BU177" i="489"/>
  <c r="BV177" i="489"/>
  <c r="BW177" i="489"/>
  <c r="BX177" i="489"/>
  <c r="BY177" i="489"/>
  <c r="BZ177" i="489"/>
  <c r="CA177" i="489"/>
  <c r="CB177" i="489"/>
  <c r="CC177" i="489"/>
  <c r="CD177" i="489"/>
  <c r="CE177" i="489"/>
  <c r="CG177" i="489"/>
  <c r="CH177" i="489"/>
  <c r="CI177" i="489"/>
  <c r="CJ177" i="489"/>
  <c r="CK177" i="489"/>
  <c r="CL177" i="489"/>
  <c r="CM177" i="489"/>
  <c r="CN177" i="489"/>
  <c r="CO177" i="489"/>
  <c r="CP177" i="489"/>
  <c r="CQ177" i="489"/>
  <c r="CR177" i="489"/>
  <c r="CS177" i="489"/>
  <c r="CU177" i="489"/>
  <c r="CV177" i="489"/>
  <c r="CW177" i="489"/>
  <c r="CX177" i="489"/>
  <c r="CY177" i="489"/>
  <c r="CZ177" i="489"/>
  <c r="DA177" i="489"/>
  <c r="DB177" i="489"/>
  <c r="DD177" i="489"/>
  <c r="DE177" i="489"/>
  <c r="DF177" i="489"/>
  <c r="DG177" i="489"/>
  <c r="DH177" i="489"/>
  <c r="DI177" i="489"/>
  <c r="DJ177" i="489"/>
  <c r="DK177" i="489"/>
  <c r="DL177" i="489"/>
  <c r="DM177" i="489"/>
  <c r="DN177" i="489"/>
  <c r="DO177" i="489"/>
  <c r="DP177" i="489"/>
  <c r="DQ177" i="489"/>
  <c r="DR177" i="489"/>
  <c r="DS177" i="489"/>
  <c r="DT177" i="489"/>
  <c r="DV177" i="489"/>
  <c r="DW177" i="489"/>
  <c r="DX177" i="489"/>
  <c r="DY177" i="489"/>
  <c r="DZ177" i="489"/>
  <c r="EA177" i="489"/>
  <c r="EB177" i="489"/>
  <c r="EC177" i="489"/>
  <c r="ED177" i="489"/>
  <c r="EE177" i="489"/>
  <c r="EF177" i="489"/>
  <c r="EG177" i="489"/>
  <c r="EH177" i="489"/>
  <c r="EI177" i="489"/>
  <c r="EJ177" i="489"/>
  <c r="EK177" i="489"/>
  <c r="EL177" i="489"/>
  <c r="EM177" i="489"/>
  <c r="EN177" i="489"/>
  <c r="EO177" i="489"/>
  <c r="EP177" i="489"/>
  <c r="EQ177" i="489"/>
  <c r="ER177" i="489"/>
  <c r="ES177" i="489"/>
  <c r="ET177" i="489"/>
  <c r="EU177" i="489"/>
  <c r="EV177" i="489"/>
  <c r="EW177" i="489"/>
  <c r="EX177" i="489"/>
  <c r="J178" i="489"/>
  <c r="K178" i="489"/>
  <c r="L178" i="489"/>
  <c r="M178" i="489"/>
  <c r="N178" i="489"/>
  <c r="O178" i="489"/>
  <c r="P178" i="489"/>
  <c r="Q178" i="489"/>
  <c r="R178" i="489"/>
  <c r="S178" i="489"/>
  <c r="T178" i="489"/>
  <c r="U178" i="489"/>
  <c r="V178" i="489"/>
  <c r="W178" i="489"/>
  <c r="X178" i="489"/>
  <c r="Z178" i="489"/>
  <c r="AA178" i="489"/>
  <c r="AB178" i="489"/>
  <c r="AC178" i="489"/>
  <c r="AD178" i="489"/>
  <c r="AE178" i="489"/>
  <c r="AF178" i="489"/>
  <c r="AG178" i="489"/>
  <c r="AI178" i="489"/>
  <c r="AJ178" i="489"/>
  <c r="AL178" i="489"/>
  <c r="AM178" i="489"/>
  <c r="AN178" i="489"/>
  <c r="AO178" i="489"/>
  <c r="AP178" i="489"/>
  <c r="AR178" i="489"/>
  <c r="AS178" i="489"/>
  <c r="AT178" i="489"/>
  <c r="AU178" i="489"/>
  <c r="AV178" i="489"/>
  <c r="AW178" i="489"/>
  <c r="AX178" i="489"/>
  <c r="AY178" i="489"/>
  <c r="AZ178" i="489"/>
  <c r="BA178" i="489"/>
  <c r="BB178" i="489"/>
  <c r="BC178" i="489"/>
  <c r="BD178" i="489"/>
  <c r="BE178" i="489"/>
  <c r="BF178" i="489"/>
  <c r="BG178" i="489"/>
  <c r="BH178" i="489"/>
  <c r="BI178" i="489"/>
  <c r="BJ178" i="489"/>
  <c r="BK178" i="489"/>
  <c r="BL178" i="489"/>
  <c r="BM178" i="489"/>
  <c r="BN178" i="489"/>
  <c r="BO178" i="489"/>
  <c r="BP178" i="489"/>
  <c r="BQ178" i="489"/>
  <c r="BR178" i="489"/>
  <c r="BS178" i="489"/>
  <c r="BT178" i="489"/>
  <c r="BU178" i="489"/>
  <c r="BV178" i="489"/>
  <c r="BW178" i="489"/>
  <c r="BX178" i="489"/>
  <c r="BY178" i="489"/>
  <c r="BZ178" i="489"/>
  <c r="CA178" i="489"/>
  <c r="CC178" i="489"/>
  <c r="CD178" i="489"/>
  <c r="CE178" i="489"/>
  <c r="CG178" i="489"/>
  <c r="CH178" i="489"/>
  <c r="CI178" i="489"/>
  <c r="CJ178" i="489"/>
  <c r="CK178" i="489"/>
  <c r="CL178" i="489"/>
  <c r="CM178" i="489"/>
  <c r="CN178" i="489"/>
  <c r="CO178" i="489"/>
  <c r="CP178" i="489"/>
  <c r="CQ178" i="489"/>
  <c r="CR178" i="489"/>
  <c r="CS178" i="489"/>
  <c r="CU178" i="489"/>
  <c r="CV178" i="489"/>
  <c r="CW178" i="489"/>
  <c r="CX178" i="489"/>
  <c r="CY178" i="489"/>
  <c r="CZ178" i="489"/>
  <c r="DA178" i="489"/>
  <c r="DB178" i="489"/>
  <c r="DC178" i="489"/>
  <c r="DD178" i="489"/>
  <c r="DE178" i="489"/>
  <c r="DF178" i="489"/>
  <c r="DG178" i="489"/>
  <c r="DH178" i="489"/>
  <c r="DI178" i="489"/>
  <c r="DJ178" i="489"/>
  <c r="DK178" i="489"/>
  <c r="DL178" i="489"/>
  <c r="DM178" i="489"/>
  <c r="DN178" i="489"/>
  <c r="DO178" i="489"/>
  <c r="DP178" i="489"/>
  <c r="DQ178" i="489"/>
  <c r="DR178" i="489"/>
  <c r="DS178" i="489"/>
  <c r="DT178" i="489"/>
  <c r="DU178" i="489"/>
  <c r="DV178" i="489"/>
  <c r="DW178" i="489"/>
  <c r="DX178" i="489"/>
  <c r="DY178" i="489"/>
  <c r="DZ178" i="489"/>
  <c r="EA178" i="489"/>
  <c r="EB178" i="489"/>
  <c r="EC178" i="489"/>
  <c r="ED178" i="489"/>
  <c r="EE178" i="489"/>
  <c r="EF178" i="489"/>
  <c r="EG178" i="489"/>
  <c r="EH178" i="489"/>
  <c r="EI178" i="489"/>
  <c r="EJ178" i="489"/>
  <c r="EK178" i="489"/>
  <c r="EL178" i="489"/>
  <c r="EM178" i="489"/>
  <c r="EN178" i="489"/>
  <c r="EO178" i="489"/>
  <c r="EP178" i="489"/>
  <c r="EQ178" i="489"/>
  <c r="ER178" i="489"/>
  <c r="ES178" i="489"/>
  <c r="ET178" i="489"/>
  <c r="EU178" i="489"/>
  <c r="EV178" i="489"/>
  <c r="EW178" i="489"/>
  <c r="EX178" i="489"/>
  <c r="J179" i="489"/>
  <c r="K179" i="489"/>
  <c r="L179" i="489"/>
  <c r="N179" i="489"/>
  <c r="O179" i="489"/>
  <c r="Q179" i="489"/>
  <c r="R179" i="489"/>
  <c r="S179" i="489"/>
  <c r="T179" i="489"/>
  <c r="W179" i="489"/>
  <c r="X179" i="489"/>
  <c r="Z179" i="489"/>
  <c r="AA179" i="489"/>
  <c r="AB179" i="489"/>
  <c r="AC179" i="489"/>
  <c r="AD179" i="489"/>
  <c r="AE179" i="489"/>
  <c r="AF179" i="489"/>
  <c r="AG179" i="489"/>
  <c r="AH179" i="489"/>
  <c r="AI179" i="489"/>
  <c r="AJ179" i="489"/>
  <c r="AL179" i="489"/>
  <c r="AM179" i="489"/>
  <c r="AN179" i="489"/>
  <c r="AO179" i="489"/>
  <c r="AP179" i="489"/>
  <c r="AQ179" i="489"/>
  <c r="AR179" i="489"/>
  <c r="AS179" i="489"/>
  <c r="AT179" i="489"/>
  <c r="AU179" i="489"/>
  <c r="AV179" i="489"/>
  <c r="AW179" i="489"/>
  <c r="AX179" i="489"/>
  <c r="AY179" i="489"/>
  <c r="AZ179" i="489"/>
  <c r="BA179" i="489"/>
  <c r="BB179" i="489"/>
  <c r="BC179" i="489"/>
  <c r="BD179" i="489"/>
  <c r="BE179" i="489"/>
  <c r="BF179" i="489"/>
  <c r="BG179" i="489"/>
  <c r="BH179" i="489"/>
  <c r="BI179" i="489"/>
  <c r="BJ179" i="489"/>
  <c r="BK179" i="489"/>
  <c r="BL179" i="489"/>
  <c r="BM179" i="489"/>
  <c r="BN179" i="489"/>
  <c r="BO179" i="489"/>
  <c r="BP179" i="489"/>
  <c r="BQ179" i="489"/>
  <c r="BR179" i="489"/>
  <c r="BT179" i="489"/>
  <c r="BU179" i="489"/>
  <c r="BV179" i="489"/>
  <c r="BW179" i="489"/>
  <c r="BX179" i="489"/>
  <c r="BY179" i="489"/>
  <c r="BZ179" i="489"/>
  <c r="CA179" i="489"/>
  <c r="CB179" i="489"/>
  <c r="CC179" i="489"/>
  <c r="CD179" i="489"/>
  <c r="CE179" i="489"/>
  <c r="CG179" i="489"/>
  <c r="CH179" i="489"/>
  <c r="CI179" i="489"/>
  <c r="CJ179" i="489"/>
  <c r="CK179" i="489"/>
  <c r="CL179" i="489"/>
  <c r="CM179" i="489"/>
  <c r="CN179" i="489"/>
  <c r="CO179" i="489"/>
  <c r="CP179" i="489"/>
  <c r="CQ179" i="489"/>
  <c r="CR179" i="489"/>
  <c r="CT179" i="489"/>
  <c r="CU179" i="489"/>
  <c r="CV179" i="489"/>
  <c r="CW179" i="489"/>
  <c r="CX179" i="489"/>
  <c r="CY179" i="489"/>
  <c r="CZ179" i="489"/>
  <c r="DA179" i="489"/>
  <c r="DB179" i="489"/>
  <c r="DE179" i="489"/>
  <c r="DG179" i="489"/>
  <c r="DH179" i="489"/>
  <c r="DI179" i="489"/>
  <c r="DJ179" i="489"/>
  <c r="DK179" i="489"/>
  <c r="DL179" i="489"/>
  <c r="DM179" i="489"/>
  <c r="DN179" i="489"/>
  <c r="DO179" i="489"/>
  <c r="DP179" i="489"/>
  <c r="DQ179" i="489"/>
  <c r="DR179" i="489"/>
  <c r="DS179" i="489"/>
  <c r="DT179" i="489"/>
  <c r="DU179" i="489"/>
  <c r="DV179" i="489"/>
  <c r="DW179" i="489"/>
  <c r="DX179" i="489"/>
  <c r="DY179" i="489"/>
  <c r="DZ179" i="489"/>
  <c r="EA179" i="489"/>
  <c r="EB179" i="489"/>
  <c r="EC179" i="489"/>
  <c r="ED179" i="489"/>
  <c r="EE179" i="489"/>
  <c r="EF179" i="489"/>
  <c r="EG179" i="489"/>
  <c r="EH179" i="489"/>
  <c r="EI179" i="489"/>
  <c r="EJ179" i="489"/>
  <c r="EK179" i="489"/>
  <c r="EL179" i="489"/>
  <c r="EM179" i="489"/>
  <c r="EN179" i="489"/>
  <c r="EO179" i="489"/>
  <c r="EP179" i="489"/>
  <c r="EQ179" i="489"/>
  <c r="ER179" i="489"/>
  <c r="ES179" i="489"/>
  <c r="ET179" i="489"/>
  <c r="EU179" i="489"/>
  <c r="EW179" i="489"/>
  <c r="EX179" i="489"/>
  <c r="J180" i="489"/>
  <c r="K180" i="489"/>
  <c r="L180" i="489"/>
  <c r="M180" i="489"/>
  <c r="N180" i="489"/>
  <c r="O180" i="489"/>
  <c r="P180" i="489"/>
  <c r="Q180" i="489"/>
  <c r="R180" i="489"/>
  <c r="S180" i="489"/>
  <c r="T180" i="489"/>
  <c r="U180" i="489"/>
  <c r="W180" i="489"/>
  <c r="X180" i="489"/>
  <c r="Y180" i="489"/>
  <c r="Z180" i="489"/>
  <c r="AA180" i="489"/>
  <c r="AB180" i="489"/>
  <c r="AC180" i="489"/>
  <c r="AD180" i="489"/>
  <c r="AE180" i="489"/>
  <c r="AF180" i="489"/>
  <c r="AG180" i="489"/>
  <c r="AH180" i="489"/>
  <c r="AI180" i="489"/>
  <c r="AJ180" i="489"/>
  <c r="AK180" i="489"/>
  <c r="AL180" i="489"/>
  <c r="AM180" i="489"/>
  <c r="AN180" i="489"/>
  <c r="AO180" i="489"/>
  <c r="AP180" i="489"/>
  <c r="AQ180" i="489"/>
  <c r="AR180" i="489"/>
  <c r="AS180" i="489"/>
  <c r="AT180" i="489"/>
  <c r="AU180" i="489"/>
  <c r="AV180" i="489"/>
  <c r="AW180" i="489"/>
  <c r="AX180" i="489"/>
  <c r="AY180" i="489"/>
  <c r="AZ180" i="489"/>
  <c r="BA180" i="489"/>
  <c r="BB180" i="489"/>
  <c r="BC180" i="489"/>
  <c r="BD180" i="489"/>
  <c r="BE180" i="489"/>
  <c r="BF180" i="489"/>
  <c r="BG180" i="489"/>
  <c r="BH180" i="489"/>
  <c r="BI180" i="489"/>
  <c r="BJ180" i="489"/>
  <c r="BK180" i="489"/>
  <c r="BL180" i="489"/>
  <c r="BM180" i="489"/>
  <c r="BN180" i="489"/>
  <c r="BO180" i="489"/>
  <c r="BP180" i="489"/>
  <c r="BQ180" i="489"/>
  <c r="BR180" i="489"/>
  <c r="BS180" i="489"/>
  <c r="BT180" i="489"/>
  <c r="BU180" i="489"/>
  <c r="BV180" i="489"/>
  <c r="BW180" i="489"/>
  <c r="BX180" i="489"/>
  <c r="BY180" i="489"/>
  <c r="BZ180" i="489"/>
  <c r="CA180" i="489"/>
  <c r="CB180" i="489"/>
  <c r="CC180" i="489"/>
  <c r="CD180" i="489"/>
  <c r="CE180" i="489"/>
  <c r="CF180" i="489"/>
  <c r="CH180" i="489"/>
  <c r="CI180" i="489"/>
  <c r="CJ180" i="489"/>
  <c r="CK180" i="489"/>
  <c r="CL180" i="489"/>
  <c r="CM180" i="489"/>
  <c r="CN180" i="489"/>
  <c r="CO180" i="489"/>
  <c r="CP180" i="489"/>
  <c r="CQ180" i="489"/>
  <c r="CR180" i="489"/>
  <c r="CS180" i="489"/>
  <c r="CT180" i="489"/>
  <c r="CU180" i="489"/>
  <c r="CV180" i="489"/>
  <c r="CW180" i="489"/>
  <c r="CX180" i="489"/>
  <c r="CY180" i="489"/>
  <c r="CZ180" i="489"/>
  <c r="DA180" i="489"/>
  <c r="DB180" i="489"/>
  <c r="DD180" i="489"/>
  <c r="DE180" i="489"/>
  <c r="DF180" i="489"/>
  <c r="DG180" i="489"/>
  <c r="DH180" i="489"/>
  <c r="DI180" i="489"/>
  <c r="DJ180" i="489"/>
  <c r="DK180" i="489"/>
  <c r="DL180" i="489"/>
  <c r="DM180" i="489"/>
  <c r="DN180" i="489"/>
  <c r="DO180" i="489"/>
  <c r="DP180" i="489"/>
  <c r="DQ180" i="489"/>
  <c r="DR180" i="489"/>
  <c r="DS180" i="489"/>
  <c r="DT180" i="489"/>
  <c r="DU180" i="489"/>
  <c r="DV180" i="489"/>
  <c r="DW180" i="489"/>
  <c r="DX180" i="489"/>
  <c r="DY180" i="489"/>
  <c r="DZ180" i="489"/>
  <c r="EA180" i="489"/>
  <c r="EB180" i="489"/>
  <c r="EC180" i="489"/>
  <c r="ED180" i="489"/>
  <c r="EE180" i="489"/>
  <c r="EF180" i="489"/>
  <c r="EG180" i="489"/>
  <c r="EH180" i="489"/>
  <c r="EI180" i="489"/>
  <c r="EJ180" i="489"/>
  <c r="EK180" i="489"/>
  <c r="EL180" i="489"/>
  <c r="EM180" i="489"/>
  <c r="EN180" i="489"/>
  <c r="EO180" i="489"/>
  <c r="EP180" i="489"/>
  <c r="EQ180" i="489"/>
  <c r="ER180" i="489"/>
  <c r="ES180" i="489"/>
  <c r="ET180" i="489"/>
  <c r="EU180" i="489"/>
  <c r="EV180" i="489"/>
  <c r="EW180" i="489"/>
  <c r="EX180" i="489"/>
  <c r="J181" i="489"/>
  <c r="K181" i="489"/>
  <c r="L181" i="489"/>
  <c r="M181" i="489"/>
  <c r="N181" i="489"/>
  <c r="O181" i="489"/>
  <c r="P181" i="489"/>
  <c r="Q181" i="489"/>
  <c r="R181" i="489"/>
  <c r="S181" i="489"/>
  <c r="T181" i="489"/>
  <c r="U181" i="489"/>
  <c r="V181" i="489"/>
  <c r="W181" i="489"/>
  <c r="X181" i="489"/>
  <c r="Y181" i="489"/>
  <c r="Z181" i="489"/>
  <c r="AA181" i="489"/>
  <c r="AB181" i="489"/>
  <c r="AC181" i="489"/>
  <c r="AD181" i="489"/>
  <c r="AE181" i="489"/>
  <c r="AF181" i="489"/>
  <c r="AG181" i="489"/>
  <c r="AH181" i="489"/>
  <c r="AI181" i="489"/>
  <c r="AJ181" i="489"/>
  <c r="AK181" i="489"/>
  <c r="AL181" i="489"/>
  <c r="AM181" i="489"/>
  <c r="AN181" i="489"/>
  <c r="AO181" i="489"/>
  <c r="AP181" i="489"/>
  <c r="AQ181" i="489"/>
  <c r="AR181" i="489"/>
  <c r="AS181" i="489"/>
  <c r="AT181" i="489"/>
  <c r="AU181" i="489"/>
  <c r="AV181" i="489"/>
  <c r="AW181" i="489"/>
  <c r="AX181" i="489"/>
  <c r="AY181" i="489"/>
  <c r="AZ181" i="489"/>
  <c r="BA181" i="489"/>
  <c r="BB181" i="489"/>
  <c r="BC181" i="489"/>
  <c r="BD181" i="489"/>
  <c r="BE181" i="489"/>
  <c r="BF181" i="489"/>
  <c r="BG181" i="489"/>
  <c r="BH181" i="489"/>
  <c r="BI181" i="489"/>
  <c r="BJ181" i="489"/>
  <c r="BK181" i="489"/>
  <c r="BL181" i="489"/>
  <c r="BM181" i="489"/>
  <c r="BN181" i="489"/>
  <c r="BO181" i="489"/>
  <c r="BP181" i="489"/>
  <c r="BQ181" i="489"/>
  <c r="BS181" i="489"/>
  <c r="BT181" i="489"/>
  <c r="BU181" i="489"/>
  <c r="BV181" i="489"/>
  <c r="BW181" i="489"/>
  <c r="BX181" i="489"/>
  <c r="BY181" i="489"/>
  <c r="BZ181" i="489"/>
  <c r="CA181" i="489"/>
  <c r="CB181" i="489"/>
  <c r="CC181" i="489"/>
  <c r="CD181" i="489"/>
  <c r="CE181" i="489"/>
  <c r="CF181" i="489"/>
  <c r="CG181" i="489"/>
  <c r="CH181" i="489"/>
  <c r="CI181" i="489"/>
  <c r="CJ181" i="489"/>
  <c r="CK181" i="489"/>
  <c r="CL181" i="489"/>
  <c r="CM181" i="489"/>
  <c r="CN181" i="489"/>
  <c r="CO181" i="489"/>
  <c r="CP181" i="489"/>
  <c r="CR181" i="489"/>
  <c r="CS181" i="489"/>
  <c r="CT181" i="489"/>
  <c r="CU181" i="489"/>
  <c r="CV181" i="489"/>
  <c r="CW181" i="489"/>
  <c r="CX181" i="489"/>
  <c r="CY181" i="489"/>
  <c r="DA181" i="489"/>
  <c r="DB181" i="489"/>
  <c r="DC181" i="489"/>
  <c r="DD181" i="489"/>
  <c r="DE181" i="489"/>
  <c r="DF181" i="489"/>
  <c r="DG181" i="489"/>
  <c r="DH181" i="489"/>
  <c r="DI181" i="489"/>
  <c r="DJ181" i="489"/>
  <c r="DK181" i="489"/>
  <c r="DL181" i="489"/>
  <c r="DM181" i="489"/>
  <c r="DN181" i="489"/>
  <c r="DO181" i="489"/>
  <c r="DP181" i="489"/>
  <c r="DQ181" i="489"/>
  <c r="DR181" i="489"/>
  <c r="DS181" i="489"/>
  <c r="DT181" i="489"/>
  <c r="DU181" i="489"/>
  <c r="DV181" i="489"/>
  <c r="DW181" i="489"/>
  <c r="DX181" i="489"/>
  <c r="DY181" i="489"/>
  <c r="DZ181" i="489"/>
  <c r="EA181" i="489"/>
  <c r="EB181" i="489"/>
  <c r="EC181" i="489"/>
  <c r="ED181" i="489"/>
  <c r="EE181" i="489"/>
  <c r="EF181" i="489"/>
  <c r="EG181" i="489"/>
  <c r="EH181" i="489"/>
  <c r="EI181" i="489"/>
  <c r="EJ181" i="489"/>
  <c r="EK181" i="489"/>
  <c r="EL181" i="489"/>
  <c r="EM181" i="489"/>
  <c r="EN181" i="489"/>
  <c r="EO181" i="489"/>
  <c r="EP181" i="489"/>
  <c r="EQ181" i="489"/>
  <c r="ER181" i="489"/>
  <c r="ES181" i="489"/>
  <c r="ET181" i="489"/>
  <c r="EU181" i="489"/>
  <c r="EV181" i="489"/>
  <c r="EW181" i="489"/>
  <c r="EX181" i="489"/>
  <c r="C182" i="489"/>
  <c r="H182" i="489"/>
  <c r="J182" i="489"/>
  <c r="K182" i="489"/>
  <c r="L182" i="489"/>
  <c r="M182" i="489"/>
  <c r="N182" i="489"/>
  <c r="O182" i="489"/>
  <c r="P182" i="489"/>
  <c r="Q182" i="489"/>
  <c r="R182" i="489"/>
  <c r="S182" i="489"/>
  <c r="T182" i="489"/>
  <c r="U182" i="489"/>
  <c r="V182" i="489"/>
  <c r="W182" i="489"/>
  <c r="X182" i="489"/>
  <c r="Y182" i="489"/>
  <c r="Z182" i="489"/>
  <c r="AA182" i="489"/>
  <c r="AB182" i="489"/>
  <c r="AC182" i="489"/>
  <c r="AD182" i="489"/>
  <c r="AE182" i="489"/>
  <c r="AF182" i="489"/>
  <c r="AG182" i="489"/>
  <c r="AH182" i="489"/>
  <c r="AI182" i="489"/>
  <c r="AJ182" i="489"/>
  <c r="AK182" i="489"/>
  <c r="AL182" i="489"/>
  <c r="AM182" i="489"/>
  <c r="AN182" i="489"/>
  <c r="AO182" i="489"/>
  <c r="AP182" i="489"/>
  <c r="AQ182" i="489"/>
  <c r="AR182" i="489"/>
  <c r="AS182" i="489"/>
  <c r="AT182" i="489"/>
  <c r="AU182" i="489"/>
  <c r="AV182" i="489"/>
  <c r="AW182" i="489"/>
  <c r="AX182" i="489"/>
  <c r="AY182" i="489"/>
  <c r="AZ182" i="489"/>
  <c r="BA182" i="489"/>
  <c r="BB182" i="489"/>
  <c r="BC182" i="489"/>
  <c r="BD182" i="489"/>
  <c r="BE182" i="489"/>
  <c r="BF182" i="489"/>
  <c r="BG182" i="489"/>
  <c r="BH182" i="489"/>
  <c r="BI182" i="489"/>
  <c r="BJ182" i="489"/>
  <c r="BK182" i="489"/>
  <c r="BL182" i="489"/>
  <c r="BM182" i="489"/>
  <c r="BN182" i="489"/>
  <c r="BO182" i="489"/>
  <c r="BP182" i="489"/>
  <c r="BQ182" i="489"/>
  <c r="BR182" i="489"/>
  <c r="BS182" i="489"/>
  <c r="BT182" i="489"/>
  <c r="BU182" i="489"/>
  <c r="BV182" i="489"/>
  <c r="BW182" i="489"/>
  <c r="BX182" i="489"/>
  <c r="BY182" i="489"/>
  <c r="BZ182" i="489"/>
  <c r="CA182" i="489"/>
  <c r="CB182" i="489"/>
  <c r="CC182" i="489"/>
  <c r="CD182" i="489"/>
  <c r="CE182" i="489"/>
  <c r="CF182" i="489"/>
  <c r="CG182" i="489"/>
  <c r="CH182" i="489"/>
  <c r="CI182" i="489"/>
  <c r="CJ182" i="489"/>
  <c r="CK182" i="489"/>
  <c r="CL182" i="489"/>
  <c r="CM182" i="489"/>
  <c r="CN182" i="489"/>
  <c r="CO182" i="489"/>
  <c r="CP182" i="489"/>
  <c r="CQ182" i="489"/>
  <c r="CR182" i="489"/>
  <c r="CS182" i="489"/>
  <c r="CT182" i="489"/>
  <c r="CU182" i="489"/>
  <c r="CV182" i="489"/>
  <c r="CW182" i="489"/>
  <c r="CX182" i="489"/>
  <c r="CY182" i="489"/>
  <c r="CZ182" i="489"/>
  <c r="DA182" i="489"/>
  <c r="DB182" i="489"/>
  <c r="DC182" i="489"/>
  <c r="DD182" i="489"/>
  <c r="DE182" i="489"/>
  <c r="DF182" i="489"/>
  <c r="DG182" i="489"/>
  <c r="DH182" i="489"/>
  <c r="DI182" i="489"/>
  <c r="DJ182" i="489"/>
  <c r="DK182" i="489"/>
  <c r="DL182" i="489"/>
  <c r="DM182" i="489"/>
  <c r="DN182" i="489"/>
  <c r="DO182" i="489"/>
  <c r="DP182" i="489"/>
  <c r="DQ182" i="489"/>
  <c r="DR182" i="489"/>
  <c r="DS182" i="489"/>
  <c r="DT182" i="489"/>
  <c r="DU182" i="489"/>
  <c r="DV182" i="489"/>
  <c r="DW182" i="489"/>
  <c r="DX182" i="489"/>
  <c r="DY182" i="489"/>
  <c r="DZ182" i="489"/>
  <c r="EA182" i="489"/>
  <c r="EB182" i="489"/>
  <c r="EC182" i="489"/>
  <c r="ED182" i="489"/>
  <c r="EE182" i="489"/>
  <c r="EF182" i="489"/>
  <c r="EG182" i="489"/>
  <c r="EH182" i="489"/>
  <c r="EI182" i="489"/>
  <c r="EJ182" i="489"/>
  <c r="EK182" i="489"/>
  <c r="EL182" i="489"/>
  <c r="EM182" i="489"/>
  <c r="EN182" i="489"/>
  <c r="EO182" i="489"/>
  <c r="EP182" i="489"/>
  <c r="EQ182" i="489"/>
  <c r="ER182" i="489"/>
  <c r="ES182" i="489"/>
  <c r="ET182" i="489"/>
  <c r="EU182" i="489"/>
  <c r="EW182" i="489"/>
  <c r="EX182" i="489"/>
  <c r="C183" i="489"/>
  <c r="H183" i="489"/>
  <c r="J183" i="489"/>
  <c r="K183" i="489"/>
  <c r="L183" i="489"/>
  <c r="M183" i="489"/>
  <c r="N183" i="489"/>
  <c r="O183" i="489"/>
  <c r="P183" i="489"/>
  <c r="Q183" i="489"/>
  <c r="R183" i="489"/>
  <c r="S183" i="489"/>
  <c r="T183" i="489"/>
  <c r="U183" i="489"/>
  <c r="V183" i="489"/>
  <c r="W183" i="489"/>
  <c r="X183" i="489"/>
  <c r="Y183" i="489"/>
  <c r="Z183" i="489"/>
  <c r="AA183" i="489"/>
  <c r="AB183" i="489"/>
  <c r="AC183" i="489"/>
  <c r="AD183" i="489"/>
  <c r="AE183" i="489"/>
  <c r="AF183" i="489"/>
  <c r="AG183" i="489"/>
  <c r="AH183" i="489"/>
  <c r="AI183" i="489"/>
  <c r="AJ183" i="489"/>
  <c r="AK183" i="489"/>
  <c r="AL183" i="489"/>
  <c r="AM183" i="489"/>
  <c r="AN183" i="489"/>
  <c r="AO183" i="489"/>
  <c r="AP183" i="489"/>
  <c r="AQ183" i="489"/>
  <c r="AR183" i="489"/>
  <c r="AS183" i="489"/>
  <c r="AT183" i="489"/>
  <c r="AU183" i="489"/>
  <c r="AV183" i="489"/>
  <c r="AW183" i="489"/>
  <c r="AX183" i="489"/>
  <c r="AY183" i="489"/>
  <c r="AZ183" i="489"/>
  <c r="BA183" i="489"/>
  <c r="BB183" i="489"/>
  <c r="BC183" i="489"/>
  <c r="BD183" i="489"/>
  <c r="BE183" i="489"/>
  <c r="BF183" i="489"/>
  <c r="BG183" i="489"/>
  <c r="BH183" i="489"/>
  <c r="BI183" i="489"/>
  <c r="BJ183" i="489"/>
  <c r="BK183" i="489"/>
  <c r="BL183" i="489"/>
  <c r="BM183" i="489"/>
  <c r="BN183" i="489"/>
  <c r="BO183" i="489"/>
  <c r="BP183" i="489"/>
  <c r="BQ183" i="489"/>
  <c r="BR183" i="489"/>
  <c r="BS183" i="489"/>
  <c r="BT183" i="489"/>
  <c r="BU183" i="489"/>
  <c r="BV183" i="489"/>
  <c r="BW183" i="489"/>
  <c r="BX183" i="489"/>
  <c r="BY183" i="489"/>
  <c r="BZ183" i="489"/>
  <c r="CA183" i="489"/>
  <c r="CB183" i="489"/>
  <c r="CC183" i="489"/>
  <c r="CD183" i="489"/>
  <c r="CE183" i="489"/>
  <c r="CF183" i="489"/>
  <c r="CG183" i="489"/>
  <c r="CH183" i="489"/>
  <c r="CI183" i="489"/>
  <c r="CJ183" i="489"/>
  <c r="CK183" i="489"/>
  <c r="CL183" i="489"/>
  <c r="CM183" i="489"/>
  <c r="CN183" i="489"/>
  <c r="CO183" i="489"/>
  <c r="CP183" i="489"/>
  <c r="CQ183" i="489"/>
  <c r="CR183" i="489"/>
  <c r="CS183" i="489"/>
  <c r="CT183" i="489"/>
  <c r="CU183" i="489"/>
  <c r="CV183" i="489"/>
  <c r="CW183" i="489"/>
  <c r="CX183" i="489"/>
  <c r="CY183" i="489"/>
  <c r="CZ183" i="489"/>
  <c r="DA183" i="489"/>
  <c r="DB183" i="489"/>
  <c r="DC183" i="489"/>
  <c r="DD183" i="489"/>
  <c r="DE183" i="489"/>
  <c r="DF183" i="489"/>
  <c r="DG183" i="489"/>
  <c r="DH183" i="489"/>
  <c r="DI183" i="489"/>
  <c r="DJ183" i="489"/>
  <c r="DK183" i="489"/>
  <c r="DL183" i="489"/>
  <c r="DM183" i="489"/>
  <c r="DN183" i="489"/>
  <c r="DO183" i="489"/>
  <c r="DP183" i="489"/>
  <c r="DQ183" i="489"/>
  <c r="DR183" i="489"/>
  <c r="DS183" i="489"/>
  <c r="DT183" i="489"/>
  <c r="DU183" i="489"/>
  <c r="DV183" i="489"/>
  <c r="DW183" i="489"/>
  <c r="DX183" i="489"/>
  <c r="DY183" i="489"/>
  <c r="DZ183" i="489"/>
  <c r="EA183" i="489"/>
  <c r="EB183" i="489"/>
  <c r="EC183" i="489"/>
  <c r="ED183" i="489"/>
  <c r="EE183" i="489"/>
  <c r="EF183" i="489"/>
  <c r="EG183" i="489"/>
  <c r="EH183" i="489"/>
  <c r="EI183" i="489"/>
  <c r="EJ183" i="489"/>
  <c r="EK183" i="489"/>
  <c r="EL183" i="489"/>
  <c r="EM183" i="489"/>
  <c r="EN183" i="489"/>
  <c r="EO183" i="489"/>
  <c r="EP183" i="489"/>
  <c r="EQ183" i="489"/>
  <c r="ER183" i="489"/>
  <c r="ES183" i="489"/>
  <c r="ET183" i="489"/>
  <c r="EU183" i="489"/>
  <c r="EV183" i="489"/>
  <c r="EX183" i="489"/>
  <c r="C184" i="489"/>
  <c r="H184" i="489"/>
  <c r="J184" i="489"/>
  <c r="K184" i="489"/>
  <c r="L184" i="489"/>
  <c r="M184" i="489"/>
  <c r="N184" i="489"/>
  <c r="O184" i="489"/>
  <c r="P184" i="489"/>
  <c r="Q184" i="489"/>
  <c r="R184" i="489"/>
  <c r="S184" i="489"/>
  <c r="T184" i="489"/>
  <c r="U184" i="489"/>
  <c r="V184" i="489"/>
  <c r="W184" i="489"/>
  <c r="X184" i="489"/>
  <c r="Y184" i="489"/>
  <c r="Z184" i="489"/>
  <c r="AA184" i="489"/>
  <c r="AB184" i="489"/>
  <c r="AC184" i="489"/>
  <c r="AD184" i="489"/>
  <c r="AE184" i="489"/>
  <c r="AF184" i="489"/>
  <c r="AG184" i="489"/>
  <c r="AH184" i="489"/>
  <c r="AI184" i="489"/>
  <c r="AJ184" i="489"/>
  <c r="AK184" i="489"/>
  <c r="AL184" i="489"/>
  <c r="AM184" i="489"/>
  <c r="AN184" i="489"/>
  <c r="AO184" i="489"/>
  <c r="AP184" i="489"/>
  <c r="AQ184" i="489"/>
  <c r="AR184" i="489"/>
  <c r="AS184" i="489"/>
  <c r="AT184" i="489"/>
  <c r="AU184" i="489"/>
  <c r="AV184" i="489"/>
  <c r="AW184" i="489"/>
  <c r="AX184" i="489"/>
  <c r="AY184" i="489"/>
  <c r="AZ184" i="489"/>
  <c r="BA184" i="489"/>
  <c r="BB184" i="489"/>
  <c r="BC184" i="489"/>
  <c r="BD184" i="489"/>
  <c r="BE184" i="489"/>
  <c r="BF184" i="489"/>
  <c r="BG184" i="489"/>
  <c r="BH184" i="489"/>
  <c r="BI184" i="489"/>
  <c r="BJ184" i="489"/>
  <c r="BK184" i="489"/>
  <c r="BL184" i="489"/>
  <c r="BM184" i="489"/>
  <c r="BN184" i="489"/>
  <c r="BO184" i="489"/>
  <c r="BP184" i="489"/>
  <c r="BQ184" i="489"/>
  <c r="BR184" i="489"/>
  <c r="BS184" i="489"/>
  <c r="BT184" i="489"/>
  <c r="BU184" i="489"/>
  <c r="BV184" i="489"/>
  <c r="BW184" i="489"/>
  <c r="BX184" i="489"/>
  <c r="BY184" i="489"/>
  <c r="BZ184" i="489"/>
  <c r="CA184" i="489"/>
  <c r="CB184" i="489"/>
  <c r="CC184" i="489"/>
  <c r="CD184" i="489"/>
  <c r="CE184" i="489"/>
  <c r="CF184" i="489"/>
  <c r="CG184" i="489"/>
  <c r="CH184" i="489"/>
  <c r="CI184" i="489"/>
  <c r="CJ184" i="489"/>
  <c r="CK184" i="489"/>
  <c r="CL184" i="489"/>
  <c r="CM184" i="489"/>
  <c r="CN184" i="489"/>
  <c r="CO184" i="489"/>
  <c r="CP184" i="489"/>
  <c r="CQ184" i="489"/>
  <c r="CR184" i="489"/>
  <c r="CS184" i="489"/>
  <c r="CT184" i="489"/>
  <c r="CU184" i="489"/>
  <c r="CV184" i="489"/>
  <c r="CW184" i="489"/>
  <c r="CX184" i="489"/>
  <c r="CY184" i="489"/>
  <c r="CZ184" i="489"/>
  <c r="DA184" i="489"/>
  <c r="DB184" i="489"/>
  <c r="DC184" i="489"/>
  <c r="DD184" i="489"/>
  <c r="DE184" i="489"/>
  <c r="DF184" i="489"/>
  <c r="DG184" i="489"/>
  <c r="DH184" i="489"/>
  <c r="DI184" i="489"/>
  <c r="DJ184" i="489"/>
  <c r="DK184" i="489"/>
  <c r="DL184" i="489"/>
  <c r="DM184" i="489"/>
  <c r="DN184" i="489"/>
  <c r="DO184" i="489"/>
  <c r="DP184" i="489"/>
  <c r="DQ184" i="489"/>
  <c r="DR184" i="489"/>
  <c r="DS184" i="489"/>
  <c r="DT184" i="489"/>
  <c r="DU184" i="489"/>
  <c r="DV184" i="489"/>
  <c r="DW184" i="489"/>
  <c r="DX184" i="489"/>
  <c r="DY184" i="489"/>
  <c r="DZ184" i="489"/>
  <c r="EB184" i="489"/>
  <c r="EC184" i="489"/>
  <c r="ED184" i="489"/>
  <c r="EE184" i="489"/>
  <c r="EF184" i="489"/>
  <c r="EG184" i="489"/>
  <c r="EH184" i="489"/>
  <c r="EI184" i="489"/>
  <c r="EJ184" i="489"/>
  <c r="EK184" i="489"/>
  <c r="EL184" i="489"/>
  <c r="EM184" i="489"/>
  <c r="EN184" i="489"/>
  <c r="EO184" i="489"/>
  <c r="EP184" i="489"/>
  <c r="EQ184" i="489"/>
  <c r="ER184" i="489"/>
  <c r="ES184" i="489"/>
  <c r="ET184" i="489"/>
  <c r="EU184" i="489"/>
  <c r="EV184" i="489"/>
  <c r="EW184" i="489"/>
  <c r="EX184" i="489"/>
  <c r="J167" i="489"/>
  <c r="K167" i="489"/>
  <c r="L167" i="489"/>
  <c r="M167" i="489"/>
  <c r="N167" i="489"/>
  <c r="O167" i="489"/>
  <c r="P167" i="489"/>
  <c r="Q167" i="489"/>
  <c r="R167" i="489"/>
  <c r="S167" i="489"/>
  <c r="T167" i="489"/>
  <c r="W167" i="489"/>
  <c r="X167" i="489"/>
  <c r="Y167" i="489"/>
  <c r="Z167" i="489"/>
  <c r="AA167" i="489"/>
  <c r="AB167" i="489"/>
  <c r="AC167" i="489"/>
  <c r="AD167" i="489"/>
  <c r="AE167" i="489"/>
  <c r="AF167" i="489"/>
  <c r="AG167" i="489"/>
  <c r="AH167" i="489"/>
  <c r="AI167" i="489"/>
  <c r="AJ167" i="489"/>
  <c r="AK167" i="489"/>
  <c r="AL167" i="489"/>
  <c r="AM167" i="489"/>
  <c r="AN167" i="489"/>
  <c r="AO167" i="489"/>
  <c r="AP167" i="489"/>
  <c r="AQ167" i="489"/>
  <c r="AR167" i="489"/>
  <c r="AS167" i="489"/>
  <c r="AT167" i="489"/>
  <c r="AU167" i="489"/>
  <c r="AV167" i="489"/>
  <c r="AW167" i="489"/>
  <c r="AX167" i="489"/>
  <c r="AY167" i="489"/>
  <c r="AZ167" i="489"/>
  <c r="BA167" i="489"/>
  <c r="BB167" i="489"/>
  <c r="BC167" i="489"/>
  <c r="BD167" i="489"/>
  <c r="BE167" i="489"/>
  <c r="BF167" i="489"/>
  <c r="BG167" i="489"/>
  <c r="BH167" i="489"/>
  <c r="BI167" i="489"/>
  <c r="BJ167" i="489"/>
  <c r="BK167" i="489"/>
  <c r="BL167" i="489"/>
  <c r="BM167" i="489"/>
  <c r="BN167" i="489"/>
  <c r="BO167" i="489"/>
  <c r="BP167" i="489"/>
  <c r="BQ167" i="489"/>
  <c r="BR167" i="489"/>
  <c r="BS167" i="489"/>
  <c r="BT167" i="489"/>
  <c r="BV167" i="489"/>
  <c r="BW167" i="489"/>
  <c r="BX167" i="489"/>
  <c r="BY167" i="489"/>
  <c r="BZ167" i="489"/>
  <c r="CA167" i="489"/>
  <c r="CB167" i="489"/>
  <c r="CC167" i="489"/>
  <c r="CD167" i="489"/>
  <c r="CE167" i="489"/>
  <c r="CF167" i="489"/>
  <c r="CG167" i="489"/>
  <c r="CH167" i="489"/>
  <c r="CI167" i="489"/>
  <c r="CJ167" i="489"/>
  <c r="CK167" i="489"/>
  <c r="CL167" i="489"/>
  <c r="CM167" i="489"/>
  <c r="CN167" i="489"/>
  <c r="CO167" i="489"/>
  <c r="CP167" i="489"/>
  <c r="CQ167" i="489"/>
  <c r="CR167" i="489"/>
  <c r="CS167" i="489"/>
  <c r="CT167" i="489"/>
  <c r="CU167" i="489"/>
  <c r="CV167" i="489"/>
  <c r="CW167" i="489"/>
  <c r="CX167" i="489"/>
  <c r="CY167" i="489"/>
  <c r="DA167" i="489"/>
  <c r="DB167" i="489"/>
  <c r="DC167" i="489"/>
  <c r="DD167" i="489"/>
  <c r="DE167" i="489"/>
  <c r="DF167" i="489"/>
  <c r="DG167" i="489"/>
  <c r="DH167" i="489"/>
  <c r="DI167" i="489"/>
  <c r="DJ167" i="489"/>
  <c r="DK167" i="489"/>
  <c r="DL167" i="489"/>
  <c r="DM167" i="489"/>
  <c r="DN167" i="489"/>
  <c r="DO167" i="489"/>
  <c r="DP167" i="489"/>
  <c r="DQ167" i="489"/>
  <c r="DR167" i="489"/>
  <c r="DS167" i="489"/>
  <c r="DT167" i="489"/>
  <c r="DU167" i="489"/>
  <c r="DV167" i="489"/>
  <c r="DW167" i="489"/>
  <c r="DX167" i="489"/>
  <c r="DY167" i="489"/>
  <c r="DZ167" i="489"/>
  <c r="EA167" i="489"/>
  <c r="EB167" i="489"/>
  <c r="EC167" i="489"/>
  <c r="ED167" i="489"/>
  <c r="EE167" i="489"/>
  <c r="EF167" i="489"/>
  <c r="EG167" i="489"/>
  <c r="EH167" i="489"/>
  <c r="EI167" i="489"/>
  <c r="EJ167" i="489"/>
  <c r="EK167" i="489"/>
  <c r="EL167" i="489"/>
  <c r="EM167" i="489"/>
  <c r="EN167" i="489"/>
  <c r="EO167" i="489"/>
  <c r="EP167" i="489"/>
  <c r="EQ167" i="489"/>
  <c r="ER167" i="489"/>
  <c r="ES167" i="489"/>
  <c r="ET167" i="489"/>
  <c r="EU167" i="489"/>
  <c r="EV167" i="489"/>
  <c r="EW167" i="489"/>
  <c r="EX167" i="489"/>
  <c r="J168" i="489"/>
  <c r="K168" i="489"/>
  <c r="L168" i="489"/>
  <c r="M168" i="489"/>
  <c r="N168" i="489"/>
  <c r="O168" i="489"/>
  <c r="P168" i="489"/>
  <c r="Q168" i="489"/>
  <c r="R168" i="489"/>
  <c r="S168" i="489"/>
  <c r="T168" i="489"/>
  <c r="U168" i="489"/>
  <c r="W168" i="489"/>
  <c r="X168" i="489"/>
  <c r="Y168" i="489"/>
  <c r="Z168" i="489"/>
  <c r="AA168" i="489"/>
  <c r="AB168" i="489"/>
  <c r="AC168" i="489"/>
  <c r="AD168" i="489"/>
  <c r="AE168" i="489"/>
  <c r="AF168" i="489"/>
  <c r="AG168" i="489"/>
  <c r="AH168" i="489"/>
  <c r="AI168" i="489"/>
  <c r="AJ168" i="489"/>
  <c r="AK168" i="489"/>
  <c r="AL168" i="489"/>
  <c r="AM168" i="489"/>
  <c r="AN168" i="489"/>
  <c r="AO168" i="489"/>
  <c r="AP168" i="489"/>
  <c r="AQ168" i="489"/>
  <c r="AR168" i="489"/>
  <c r="AS168" i="489"/>
  <c r="AT168" i="489"/>
  <c r="AU168" i="489"/>
  <c r="AV168" i="489"/>
  <c r="AW168" i="489"/>
  <c r="AX168" i="489"/>
  <c r="AY168" i="489"/>
  <c r="AZ168" i="489"/>
  <c r="BA168" i="489"/>
  <c r="BB168" i="489"/>
  <c r="BC168" i="489"/>
  <c r="BD168" i="489"/>
  <c r="BE168" i="489"/>
  <c r="BF168" i="489"/>
  <c r="BG168" i="489"/>
  <c r="BH168" i="489"/>
  <c r="BI168" i="489"/>
  <c r="BJ168" i="489"/>
  <c r="BK168" i="489"/>
  <c r="BL168" i="489"/>
  <c r="BM168" i="489"/>
  <c r="BN168" i="489"/>
  <c r="BO168" i="489"/>
  <c r="BP168" i="489"/>
  <c r="BQ168" i="489"/>
  <c r="BR168" i="489"/>
  <c r="BS168" i="489"/>
  <c r="BT168" i="489"/>
  <c r="BU168" i="489"/>
  <c r="BV168" i="489"/>
  <c r="BW168" i="489"/>
  <c r="BX168" i="489"/>
  <c r="BY168" i="489"/>
  <c r="BZ168" i="489"/>
  <c r="CA168" i="489"/>
  <c r="CB168" i="489"/>
  <c r="CC168" i="489"/>
  <c r="CD168" i="489"/>
  <c r="CE168" i="489"/>
  <c r="CF168" i="489"/>
  <c r="CG168" i="489"/>
  <c r="CH168" i="489"/>
  <c r="CI168" i="489"/>
  <c r="CJ168" i="489"/>
  <c r="CK168" i="489"/>
  <c r="CL168" i="489"/>
  <c r="CM168" i="489"/>
  <c r="CN168" i="489"/>
  <c r="CO168" i="489"/>
  <c r="CP168" i="489"/>
  <c r="CQ168" i="489"/>
  <c r="CR168" i="489"/>
  <c r="CS168" i="489"/>
  <c r="CT168" i="489"/>
  <c r="CU168" i="489"/>
  <c r="CV168" i="489"/>
  <c r="CW168" i="489"/>
  <c r="CX168" i="489"/>
  <c r="CY168" i="489"/>
  <c r="CZ168" i="489"/>
  <c r="DA168" i="489"/>
  <c r="DB168" i="489"/>
  <c r="DC168" i="489"/>
  <c r="DD168" i="489"/>
  <c r="DE168" i="489"/>
  <c r="DF168" i="489"/>
  <c r="DG168" i="489"/>
  <c r="DH168" i="489"/>
  <c r="DI168" i="489"/>
  <c r="DJ168" i="489"/>
  <c r="DK168" i="489"/>
  <c r="DL168" i="489"/>
  <c r="DM168" i="489"/>
  <c r="DN168" i="489"/>
  <c r="DO168" i="489"/>
  <c r="DP168" i="489"/>
  <c r="DQ168" i="489"/>
  <c r="DR168" i="489"/>
  <c r="DS168" i="489"/>
  <c r="DT168" i="489"/>
  <c r="DU168" i="489"/>
  <c r="DV168" i="489"/>
  <c r="DW168" i="489"/>
  <c r="DX168" i="489"/>
  <c r="DY168" i="489"/>
  <c r="DZ168" i="489"/>
  <c r="EA168" i="489"/>
  <c r="EB168" i="489"/>
  <c r="EC168" i="489"/>
  <c r="ED168" i="489"/>
  <c r="EE168" i="489"/>
  <c r="EF168" i="489"/>
  <c r="EG168" i="489"/>
  <c r="EH168" i="489"/>
  <c r="EI168" i="489"/>
  <c r="EJ168" i="489"/>
  <c r="EK168" i="489"/>
  <c r="EL168" i="489"/>
  <c r="EM168" i="489"/>
  <c r="EN168" i="489"/>
  <c r="EO168" i="489"/>
  <c r="EP168" i="489"/>
  <c r="EQ168" i="489"/>
  <c r="ER168" i="489"/>
  <c r="ES168" i="489"/>
  <c r="ET168" i="489"/>
  <c r="EU168" i="489"/>
  <c r="EV168" i="489"/>
  <c r="EW168" i="489"/>
  <c r="EX168" i="489"/>
  <c r="F169" i="489"/>
  <c r="J169" i="489"/>
  <c r="K169" i="489"/>
  <c r="L169" i="489"/>
  <c r="M169" i="489"/>
  <c r="N169" i="489"/>
  <c r="O169" i="489"/>
  <c r="P169" i="489"/>
  <c r="Q169" i="489"/>
  <c r="R169" i="489"/>
  <c r="S169" i="489"/>
  <c r="T169" i="489"/>
  <c r="U169" i="489"/>
  <c r="V169" i="489"/>
  <c r="X169" i="489"/>
  <c r="Y169" i="489"/>
  <c r="Z169" i="489"/>
  <c r="AA169" i="489"/>
  <c r="AB169" i="489"/>
  <c r="AC169" i="489"/>
  <c r="AD169" i="489"/>
  <c r="AE169" i="489"/>
  <c r="AF169" i="489"/>
  <c r="AG169" i="489"/>
  <c r="AH169" i="489"/>
  <c r="AI169" i="489"/>
  <c r="AJ169" i="489"/>
  <c r="AK169" i="489"/>
  <c r="AL169" i="489"/>
  <c r="AM169" i="489"/>
  <c r="AN169" i="489"/>
  <c r="AO169" i="489"/>
  <c r="AP169" i="489"/>
  <c r="AQ169" i="489"/>
  <c r="AR169" i="489"/>
  <c r="AS169" i="489"/>
  <c r="AT169" i="489"/>
  <c r="AU169" i="489"/>
  <c r="AV169" i="489"/>
  <c r="AW169" i="489"/>
  <c r="AX169" i="489"/>
  <c r="AY169" i="489"/>
  <c r="AZ169" i="489"/>
  <c r="BA169" i="489"/>
  <c r="BB169" i="489"/>
  <c r="BC169" i="489"/>
  <c r="BD169" i="489"/>
  <c r="BE169" i="489"/>
  <c r="BF169" i="489"/>
  <c r="BG169" i="489"/>
  <c r="BH169" i="489"/>
  <c r="BI169" i="489"/>
  <c r="BJ169" i="489"/>
  <c r="BK169" i="489"/>
  <c r="BL169" i="489"/>
  <c r="BM169" i="489"/>
  <c r="BN169" i="489"/>
  <c r="BO169" i="489"/>
  <c r="BP169" i="489"/>
  <c r="BQ169" i="489"/>
  <c r="BR169" i="489"/>
  <c r="BS169" i="489"/>
  <c r="BT169" i="489"/>
  <c r="BU169" i="489"/>
  <c r="BV169" i="489"/>
  <c r="BW169" i="489"/>
  <c r="BX169" i="489"/>
  <c r="BY169" i="489"/>
  <c r="BZ169" i="489"/>
  <c r="CA169" i="489"/>
  <c r="CB169" i="489"/>
  <c r="CC169" i="489"/>
  <c r="CD169" i="489"/>
  <c r="CE169" i="489"/>
  <c r="CF169" i="489"/>
  <c r="CG169" i="489"/>
  <c r="CH169" i="489"/>
  <c r="CI169" i="489"/>
  <c r="CJ169" i="489"/>
  <c r="CK169" i="489"/>
  <c r="CL169" i="489"/>
  <c r="CM169" i="489"/>
  <c r="CN169" i="489"/>
  <c r="CO169" i="489"/>
  <c r="CP169" i="489"/>
  <c r="CQ169" i="489"/>
  <c r="CR169" i="489"/>
  <c r="CS169" i="489"/>
  <c r="CT169" i="489"/>
  <c r="CU169" i="489"/>
  <c r="CV169" i="489"/>
  <c r="CW169" i="489"/>
  <c r="CX169" i="489"/>
  <c r="CY169" i="489"/>
  <c r="CZ169" i="489"/>
  <c r="DA169" i="489"/>
  <c r="DB169" i="489"/>
  <c r="DC169" i="489"/>
  <c r="DD169" i="489"/>
  <c r="DE169" i="489"/>
  <c r="DF169" i="489"/>
  <c r="DG169" i="489"/>
  <c r="DH169" i="489"/>
  <c r="DI169" i="489"/>
  <c r="DJ169" i="489"/>
  <c r="DK169" i="489"/>
  <c r="DL169" i="489"/>
  <c r="DM169" i="489"/>
  <c r="DN169" i="489"/>
  <c r="DO169" i="489"/>
  <c r="DP169" i="489"/>
  <c r="DQ169" i="489"/>
  <c r="DR169" i="489"/>
  <c r="DS169" i="489"/>
  <c r="DT169" i="489"/>
  <c r="DU169" i="489"/>
  <c r="DV169" i="489"/>
  <c r="DW169" i="489"/>
  <c r="DX169" i="489"/>
  <c r="DY169" i="489"/>
  <c r="DZ169" i="489"/>
  <c r="EA169" i="489"/>
  <c r="EB169" i="489"/>
  <c r="EC169" i="489"/>
  <c r="ED169" i="489"/>
  <c r="EE169" i="489"/>
  <c r="EF169" i="489"/>
  <c r="EG169" i="489"/>
  <c r="EH169" i="489"/>
  <c r="EI169" i="489"/>
  <c r="EJ169" i="489"/>
  <c r="EK169" i="489"/>
  <c r="EL169" i="489"/>
  <c r="EM169" i="489"/>
  <c r="EN169" i="489"/>
  <c r="EO169" i="489"/>
  <c r="EP169" i="489"/>
  <c r="EQ169" i="489"/>
  <c r="ER169" i="489"/>
  <c r="ES169" i="489"/>
  <c r="ET169" i="489"/>
  <c r="EU169" i="489"/>
  <c r="EV169" i="489"/>
  <c r="EW169" i="489"/>
  <c r="EX169" i="489"/>
  <c r="C170" i="489"/>
  <c r="H170" i="489"/>
  <c r="J170" i="489"/>
  <c r="K170" i="489"/>
  <c r="L170" i="489"/>
  <c r="M170" i="489"/>
  <c r="N170" i="489"/>
  <c r="O170" i="489"/>
  <c r="P170" i="489"/>
  <c r="Q170" i="489"/>
  <c r="R170" i="489"/>
  <c r="S170" i="489"/>
  <c r="T170" i="489"/>
  <c r="U170" i="489"/>
  <c r="V170" i="489"/>
  <c r="W170" i="489"/>
  <c r="X170" i="489"/>
  <c r="Y170" i="489"/>
  <c r="Z170" i="489"/>
  <c r="AA170" i="489"/>
  <c r="AB170" i="489"/>
  <c r="AC170" i="489"/>
  <c r="AD170" i="489"/>
  <c r="AE170" i="489"/>
  <c r="AF170" i="489"/>
  <c r="AG170" i="489"/>
  <c r="AH170" i="489"/>
  <c r="AI170" i="489"/>
  <c r="AJ170" i="489"/>
  <c r="AK170" i="489"/>
  <c r="AL170" i="489"/>
  <c r="AM170" i="489"/>
  <c r="AN170" i="489"/>
  <c r="AO170" i="489"/>
  <c r="AP170" i="489"/>
  <c r="AQ170" i="489"/>
  <c r="AR170" i="489"/>
  <c r="AS170" i="489"/>
  <c r="AT170" i="489"/>
  <c r="AU170" i="489"/>
  <c r="AV170" i="489"/>
  <c r="AW170" i="489"/>
  <c r="AX170" i="489"/>
  <c r="AY170" i="489"/>
  <c r="AZ170" i="489"/>
  <c r="BA170" i="489"/>
  <c r="BB170" i="489"/>
  <c r="BC170" i="489"/>
  <c r="BD170" i="489"/>
  <c r="BE170" i="489"/>
  <c r="BF170" i="489"/>
  <c r="BG170" i="489"/>
  <c r="BH170" i="489"/>
  <c r="BI170" i="489"/>
  <c r="BJ170" i="489"/>
  <c r="BK170" i="489"/>
  <c r="BL170" i="489"/>
  <c r="BM170" i="489"/>
  <c r="BN170" i="489"/>
  <c r="BO170" i="489"/>
  <c r="BP170" i="489"/>
  <c r="BQ170" i="489"/>
  <c r="BR170" i="489"/>
  <c r="BS170" i="489"/>
  <c r="BT170" i="489"/>
  <c r="BU170" i="489"/>
  <c r="BV170" i="489"/>
  <c r="BW170" i="489"/>
  <c r="BX170" i="489"/>
  <c r="BY170" i="489"/>
  <c r="BZ170" i="489"/>
  <c r="CA170" i="489"/>
  <c r="CB170" i="489"/>
  <c r="CC170" i="489"/>
  <c r="CD170" i="489"/>
  <c r="CE170" i="489"/>
  <c r="CF170" i="489"/>
  <c r="CG170" i="489"/>
  <c r="CH170" i="489"/>
  <c r="CI170" i="489"/>
  <c r="CJ170" i="489"/>
  <c r="CK170" i="489"/>
  <c r="CL170" i="489"/>
  <c r="CM170" i="489"/>
  <c r="CN170" i="489"/>
  <c r="CO170" i="489"/>
  <c r="CP170" i="489"/>
  <c r="CQ170" i="489"/>
  <c r="CR170" i="489"/>
  <c r="CS170" i="489"/>
  <c r="CT170" i="489"/>
  <c r="CU170" i="489"/>
  <c r="CV170" i="489"/>
  <c r="CW170" i="489"/>
  <c r="CX170" i="489"/>
  <c r="CY170" i="489"/>
  <c r="CZ170" i="489"/>
  <c r="DA170" i="489"/>
  <c r="DB170" i="489"/>
  <c r="DC170" i="489"/>
  <c r="DD170" i="489"/>
  <c r="DE170" i="489"/>
  <c r="DF170" i="489"/>
  <c r="DG170" i="489"/>
  <c r="DH170" i="489"/>
  <c r="DI170" i="489"/>
  <c r="DJ170" i="489"/>
  <c r="DK170" i="489"/>
  <c r="DL170" i="489"/>
  <c r="DM170" i="489"/>
  <c r="DN170" i="489"/>
  <c r="DO170" i="489"/>
  <c r="DP170" i="489"/>
  <c r="DQ170" i="489"/>
  <c r="DR170" i="489"/>
  <c r="DS170" i="489"/>
  <c r="DT170" i="489"/>
  <c r="DU170" i="489"/>
  <c r="DV170" i="489"/>
  <c r="DW170" i="489"/>
  <c r="DX170" i="489"/>
  <c r="DY170" i="489"/>
  <c r="DZ170" i="489"/>
  <c r="EA170" i="489"/>
  <c r="EB170" i="489"/>
  <c r="EC170" i="489"/>
  <c r="ED170" i="489"/>
  <c r="EE170" i="489"/>
  <c r="EF170" i="489"/>
  <c r="EG170" i="489"/>
  <c r="EH170" i="489"/>
  <c r="EI170" i="489"/>
  <c r="EJ170" i="489"/>
  <c r="EK170" i="489"/>
  <c r="EL170" i="489"/>
  <c r="EM170" i="489"/>
  <c r="EN170" i="489"/>
  <c r="EO170" i="489"/>
  <c r="EP170" i="489"/>
  <c r="EQ170" i="489"/>
  <c r="ER170" i="489"/>
  <c r="ES170" i="489"/>
  <c r="ET170" i="489"/>
  <c r="EU170" i="489"/>
  <c r="EW170" i="489"/>
  <c r="EX170" i="489"/>
  <c r="C171" i="489"/>
  <c r="H171" i="489"/>
  <c r="J171" i="489"/>
  <c r="K171" i="489"/>
  <c r="L171" i="489"/>
  <c r="M171" i="489"/>
  <c r="N171" i="489"/>
  <c r="O171" i="489"/>
  <c r="P171" i="489"/>
  <c r="Q171" i="489"/>
  <c r="R171" i="489"/>
  <c r="S171" i="489"/>
  <c r="T171" i="489"/>
  <c r="U171" i="489"/>
  <c r="V171" i="489"/>
  <c r="W171" i="489"/>
  <c r="X171" i="489"/>
  <c r="Y171" i="489"/>
  <c r="Z171" i="489"/>
  <c r="AA171" i="489"/>
  <c r="AB171" i="489"/>
  <c r="AC171" i="489"/>
  <c r="AD171" i="489"/>
  <c r="AE171" i="489"/>
  <c r="AF171" i="489"/>
  <c r="AG171" i="489"/>
  <c r="AH171" i="489"/>
  <c r="AI171" i="489"/>
  <c r="AJ171" i="489"/>
  <c r="AK171" i="489"/>
  <c r="AL171" i="489"/>
  <c r="AM171" i="489"/>
  <c r="AN171" i="489"/>
  <c r="AO171" i="489"/>
  <c r="AP171" i="489"/>
  <c r="AQ171" i="489"/>
  <c r="AR171" i="489"/>
  <c r="AS171" i="489"/>
  <c r="AT171" i="489"/>
  <c r="AU171" i="489"/>
  <c r="AV171" i="489"/>
  <c r="AW171" i="489"/>
  <c r="AX171" i="489"/>
  <c r="AY171" i="489"/>
  <c r="AZ171" i="489"/>
  <c r="BA171" i="489"/>
  <c r="BB171" i="489"/>
  <c r="BC171" i="489"/>
  <c r="BD171" i="489"/>
  <c r="BE171" i="489"/>
  <c r="BF171" i="489"/>
  <c r="BG171" i="489"/>
  <c r="BH171" i="489"/>
  <c r="BI171" i="489"/>
  <c r="BJ171" i="489"/>
  <c r="BK171" i="489"/>
  <c r="BL171" i="489"/>
  <c r="BM171" i="489"/>
  <c r="BN171" i="489"/>
  <c r="BO171" i="489"/>
  <c r="BP171" i="489"/>
  <c r="BQ171" i="489"/>
  <c r="BR171" i="489"/>
  <c r="BS171" i="489"/>
  <c r="BT171" i="489"/>
  <c r="BU171" i="489"/>
  <c r="BV171" i="489"/>
  <c r="BW171" i="489"/>
  <c r="BX171" i="489"/>
  <c r="BY171" i="489"/>
  <c r="BZ171" i="489"/>
  <c r="CA171" i="489"/>
  <c r="CB171" i="489"/>
  <c r="CC171" i="489"/>
  <c r="CD171" i="489"/>
  <c r="CE171" i="489"/>
  <c r="CF171" i="489"/>
  <c r="CG171" i="489"/>
  <c r="CH171" i="489"/>
  <c r="CI171" i="489"/>
  <c r="CJ171" i="489"/>
  <c r="CK171" i="489"/>
  <c r="CL171" i="489"/>
  <c r="CM171" i="489"/>
  <c r="CN171" i="489"/>
  <c r="CO171" i="489"/>
  <c r="CP171" i="489"/>
  <c r="CQ171" i="489"/>
  <c r="CR171" i="489"/>
  <c r="CS171" i="489"/>
  <c r="CT171" i="489"/>
  <c r="CU171" i="489"/>
  <c r="CV171" i="489"/>
  <c r="CW171" i="489"/>
  <c r="CX171" i="489"/>
  <c r="CY171" i="489"/>
  <c r="CZ171" i="489"/>
  <c r="DA171" i="489"/>
  <c r="DB171" i="489"/>
  <c r="DC171" i="489"/>
  <c r="DD171" i="489"/>
  <c r="DE171" i="489"/>
  <c r="DF171" i="489"/>
  <c r="DG171" i="489"/>
  <c r="DH171" i="489"/>
  <c r="DI171" i="489"/>
  <c r="DJ171" i="489"/>
  <c r="DK171" i="489"/>
  <c r="DL171" i="489"/>
  <c r="DM171" i="489"/>
  <c r="DN171" i="489"/>
  <c r="DO171" i="489"/>
  <c r="DP171" i="489"/>
  <c r="DQ171" i="489"/>
  <c r="DR171" i="489"/>
  <c r="DS171" i="489"/>
  <c r="DT171" i="489"/>
  <c r="DU171" i="489"/>
  <c r="DV171" i="489"/>
  <c r="DW171" i="489"/>
  <c r="DX171" i="489"/>
  <c r="DY171" i="489"/>
  <c r="DZ171" i="489"/>
  <c r="EA171" i="489"/>
  <c r="EB171" i="489"/>
  <c r="EC171" i="489"/>
  <c r="ED171" i="489"/>
  <c r="EE171" i="489"/>
  <c r="EF171" i="489"/>
  <c r="EG171" i="489"/>
  <c r="EH171" i="489"/>
  <c r="EI171" i="489"/>
  <c r="EJ171" i="489"/>
  <c r="EK171" i="489"/>
  <c r="EL171" i="489"/>
  <c r="EM171" i="489"/>
  <c r="EN171" i="489"/>
  <c r="EO171" i="489"/>
  <c r="EP171" i="489"/>
  <c r="EQ171" i="489"/>
  <c r="ER171" i="489"/>
  <c r="ES171" i="489"/>
  <c r="ET171" i="489"/>
  <c r="EU171" i="489"/>
  <c r="EV171" i="489"/>
  <c r="EX171" i="489"/>
  <c r="J172" i="489"/>
  <c r="K172" i="489"/>
  <c r="L172" i="489"/>
  <c r="M172" i="489"/>
  <c r="N172" i="489"/>
  <c r="O172" i="489"/>
  <c r="P172" i="489"/>
  <c r="Q172" i="489"/>
  <c r="R172" i="489"/>
  <c r="S172" i="489"/>
  <c r="T172" i="489"/>
  <c r="U172" i="489"/>
  <c r="V172" i="489"/>
  <c r="W172" i="489"/>
  <c r="X172" i="489"/>
  <c r="Y172" i="489"/>
  <c r="Z172" i="489"/>
  <c r="AA172" i="489"/>
  <c r="AB172" i="489"/>
  <c r="AC172" i="489"/>
  <c r="AD172" i="489"/>
  <c r="AE172" i="489"/>
  <c r="AF172" i="489"/>
  <c r="AG172" i="489"/>
  <c r="AH172" i="489"/>
  <c r="AI172" i="489"/>
  <c r="AJ172" i="489"/>
  <c r="AK172" i="489"/>
  <c r="AL172" i="489"/>
  <c r="AM172" i="489"/>
  <c r="AN172" i="489"/>
  <c r="AO172" i="489"/>
  <c r="AP172" i="489"/>
  <c r="AQ172" i="489"/>
  <c r="AR172" i="489"/>
  <c r="AS172" i="489"/>
  <c r="AT172" i="489"/>
  <c r="AU172" i="489"/>
  <c r="AV172" i="489"/>
  <c r="AW172" i="489"/>
  <c r="AX172" i="489"/>
  <c r="AY172" i="489"/>
  <c r="AZ172" i="489"/>
  <c r="BA172" i="489"/>
  <c r="BB172" i="489"/>
  <c r="BC172" i="489"/>
  <c r="BD172" i="489"/>
  <c r="BE172" i="489"/>
  <c r="BF172" i="489"/>
  <c r="BG172" i="489"/>
  <c r="BH172" i="489"/>
  <c r="BI172" i="489"/>
  <c r="BJ172" i="489"/>
  <c r="BK172" i="489"/>
  <c r="BL172" i="489"/>
  <c r="BM172" i="489"/>
  <c r="BN172" i="489"/>
  <c r="BO172" i="489"/>
  <c r="BP172" i="489"/>
  <c r="BQ172" i="489"/>
  <c r="BR172" i="489"/>
  <c r="BS172" i="489"/>
  <c r="BT172" i="489"/>
  <c r="BU172" i="489"/>
  <c r="BV172" i="489"/>
  <c r="BW172" i="489"/>
  <c r="BX172" i="489"/>
  <c r="BY172" i="489"/>
  <c r="BZ172" i="489"/>
  <c r="CA172" i="489"/>
  <c r="CB172" i="489"/>
  <c r="CC172" i="489"/>
  <c r="CD172" i="489"/>
  <c r="CE172" i="489"/>
  <c r="CF172" i="489"/>
  <c r="CG172" i="489"/>
  <c r="CH172" i="489"/>
  <c r="CI172" i="489"/>
  <c r="CJ172" i="489"/>
  <c r="CK172" i="489"/>
  <c r="CL172" i="489"/>
  <c r="CM172" i="489"/>
  <c r="CN172" i="489"/>
  <c r="CO172" i="489"/>
  <c r="CP172" i="489"/>
  <c r="CQ172" i="489"/>
  <c r="CR172" i="489"/>
  <c r="CS172" i="489"/>
  <c r="CT172" i="489"/>
  <c r="CU172" i="489"/>
  <c r="CV172" i="489"/>
  <c r="CW172" i="489"/>
  <c r="CX172" i="489"/>
  <c r="CY172" i="489"/>
  <c r="DA172" i="489"/>
  <c r="DB172" i="489"/>
  <c r="DC172" i="489"/>
  <c r="DD172" i="489"/>
  <c r="DE172" i="489"/>
  <c r="DF172" i="489"/>
  <c r="DG172" i="489"/>
  <c r="DH172" i="489"/>
  <c r="DI172" i="489"/>
  <c r="DJ172" i="489"/>
  <c r="DK172" i="489"/>
  <c r="DL172" i="489"/>
  <c r="DM172" i="489"/>
  <c r="DN172" i="489"/>
  <c r="DO172" i="489"/>
  <c r="DP172" i="489"/>
  <c r="DQ172" i="489"/>
  <c r="DS172" i="489"/>
  <c r="DT172" i="489"/>
  <c r="DU172" i="489"/>
  <c r="DV172" i="489"/>
  <c r="DW172" i="489"/>
  <c r="DX172" i="489"/>
  <c r="DY172" i="489"/>
  <c r="DZ172" i="489"/>
  <c r="EA172" i="489"/>
  <c r="EB172" i="489"/>
  <c r="EC172" i="489"/>
  <c r="ED172" i="489"/>
  <c r="EE172" i="489"/>
  <c r="EF172" i="489"/>
  <c r="EG172" i="489"/>
  <c r="EH172" i="489"/>
  <c r="EI172" i="489"/>
  <c r="EJ172" i="489"/>
  <c r="EK172" i="489"/>
  <c r="EL172" i="489"/>
  <c r="EM172" i="489"/>
  <c r="EN172" i="489"/>
  <c r="EO172" i="489"/>
  <c r="EP172" i="489"/>
  <c r="EQ172" i="489"/>
  <c r="ER172" i="489"/>
  <c r="ES172" i="489"/>
  <c r="ET172" i="489"/>
  <c r="EU172" i="489"/>
  <c r="EV172" i="489"/>
  <c r="EW172" i="489"/>
  <c r="EX172" i="489"/>
  <c r="C173" i="489"/>
  <c r="D173" i="489"/>
  <c r="E173" i="489"/>
  <c r="F173" i="489"/>
  <c r="G173" i="489"/>
  <c r="H173" i="489"/>
  <c r="J173" i="489"/>
  <c r="K173" i="489"/>
  <c r="L173" i="489"/>
  <c r="M173" i="489"/>
  <c r="N173" i="489"/>
  <c r="O173" i="489"/>
  <c r="P173" i="489"/>
  <c r="Q173" i="489"/>
  <c r="R173" i="489"/>
  <c r="S173" i="489"/>
  <c r="T173" i="489"/>
  <c r="U173" i="489"/>
  <c r="V173" i="489"/>
  <c r="W173" i="489"/>
  <c r="X173" i="489"/>
  <c r="Y173" i="489"/>
  <c r="Z173" i="489"/>
  <c r="AA173" i="489"/>
  <c r="AB173" i="489"/>
  <c r="AC173" i="489"/>
  <c r="AD173" i="489"/>
  <c r="AE173" i="489"/>
  <c r="AF173" i="489"/>
  <c r="AG173" i="489"/>
  <c r="AH173" i="489"/>
  <c r="AI173" i="489"/>
  <c r="AJ173" i="489"/>
  <c r="AK173" i="489"/>
  <c r="AL173" i="489"/>
  <c r="AM173" i="489"/>
  <c r="AN173" i="489"/>
  <c r="AO173" i="489"/>
  <c r="AP173" i="489"/>
  <c r="AQ173" i="489"/>
  <c r="AR173" i="489"/>
  <c r="AS173" i="489"/>
  <c r="AT173" i="489"/>
  <c r="AU173" i="489"/>
  <c r="AV173" i="489"/>
  <c r="AW173" i="489"/>
  <c r="AX173" i="489"/>
  <c r="AY173" i="489"/>
  <c r="AZ173" i="489"/>
  <c r="BA173" i="489"/>
  <c r="BB173" i="489"/>
  <c r="BC173" i="489"/>
  <c r="BD173" i="489"/>
  <c r="BE173" i="489"/>
  <c r="BF173" i="489"/>
  <c r="BG173" i="489"/>
  <c r="BH173" i="489"/>
  <c r="BI173" i="489"/>
  <c r="BJ173" i="489"/>
  <c r="BK173" i="489"/>
  <c r="BL173" i="489"/>
  <c r="BM173" i="489"/>
  <c r="BN173" i="489"/>
  <c r="BO173" i="489"/>
  <c r="BP173" i="489"/>
  <c r="BQ173" i="489"/>
  <c r="BR173" i="489"/>
  <c r="BS173" i="489"/>
  <c r="BT173" i="489"/>
  <c r="BU173" i="489"/>
  <c r="BV173" i="489"/>
  <c r="BW173" i="489"/>
  <c r="BX173" i="489"/>
  <c r="BY173" i="489"/>
  <c r="BZ173" i="489"/>
  <c r="CA173" i="489"/>
  <c r="CB173" i="489"/>
  <c r="CC173" i="489"/>
  <c r="CD173" i="489"/>
  <c r="CE173" i="489"/>
  <c r="CF173" i="489"/>
  <c r="CG173" i="489"/>
  <c r="CH173" i="489"/>
  <c r="CI173" i="489"/>
  <c r="CJ173" i="489"/>
  <c r="CK173" i="489"/>
  <c r="CL173" i="489"/>
  <c r="CM173" i="489"/>
  <c r="CN173" i="489"/>
  <c r="CO173" i="489"/>
  <c r="CP173" i="489"/>
  <c r="CQ173" i="489"/>
  <c r="CR173" i="489"/>
  <c r="CS173" i="489"/>
  <c r="CT173" i="489"/>
  <c r="CU173" i="489"/>
  <c r="CV173" i="489"/>
  <c r="CW173" i="489"/>
  <c r="CX173" i="489"/>
  <c r="CY173" i="489"/>
  <c r="CZ173" i="489"/>
  <c r="DA173" i="489"/>
  <c r="DB173" i="489"/>
  <c r="DC173" i="489"/>
  <c r="DD173" i="489"/>
  <c r="DE173" i="489"/>
  <c r="DF173" i="489"/>
  <c r="DG173" i="489"/>
  <c r="DH173" i="489"/>
  <c r="DI173" i="489"/>
  <c r="DJ173" i="489"/>
  <c r="DK173" i="489"/>
  <c r="DL173" i="489"/>
  <c r="DM173" i="489"/>
  <c r="DN173" i="489"/>
  <c r="DO173" i="489"/>
  <c r="DP173" i="489"/>
  <c r="DQ173" i="489"/>
  <c r="DR173" i="489"/>
  <c r="DS173" i="489"/>
  <c r="DT173" i="489"/>
  <c r="DU173" i="489"/>
  <c r="DV173" i="489"/>
  <c r="DW173" i="489"/>
  <c r="DX173" i="489"/>
  <c r="DY173" i="489"/>
  <c r="DZ173" i="489"/>
  <c r="EA173" i="489"/>
  <c r="EC173" i="489"/>
  <c r="ED173" i="489"/>
  <c r="EE173" i="489"/>
  <c r="EF173" i="489"/>
  <c r="EG173" i="489"/>
  <c r="EH173" i="489"/>
  <c r="EI173" i="489"/>
  <c r="EJ173" i="489"/>
  <c r="EK173" i="489"/>
  <c r="EL173" i="489"/>
  <c r="EM173" i="489"/>
  <c r="EN173" i="489"/>
  <c r="EO173" i="489"/>
  <c r="EP173" i="489"/>
  <c r="EQ173" i="489"/>
  <c r="ER173" i="489"/>
  <c r="ES173" i="489"/>
  <c r="ET173" i="489"/>
  <c r="EU173" i="489"/>
  <c r="EV173" i="489"/>
  <c r="EW173" i="489"/>
  <c r="EX173" i="489"/>
  <c r="J137" i="489"/>
  <c r="K137" i="489"/>
  <c r="L137" i="489"/>
  <c r="M137" i="489"/>
  <c r="N137" i="489"/>
  <c r="O137" i="489"/>
  <c r="P137" i="489"/>
  <c r="Q137" i="489"/>
  <c r="R137" i="489"/>
  <c r="S137" i="489"/>
  <c r="T137" i="489"/>
  <c r="W137" i="489"/>
  <c r="X137" i="489"/>
  <c r="Y137" i="489"/>
  <c r="Z137" i="489"/>
  <c r="AA137" i="489"/>
  <c r="AB137" i="489"/>
  <c r="AC137" i="489"/>
  <c r="AD137" i="489"/>
  <c r="AE137" i="489"/>
  <c r="AF137" i="489"/>
  <c r="AG137" i="489"/>
  <c r="AH137" i="489"/>
  <c r="AI137" i="489"/>
  <c r="AJ137" i="489"/>
  <c r="AK137" i="489"/>
  <c r="AL137" i="489"/>
  <c r="AM137" i="489"/>
  <c r="AN137" i="489"/>
  <c r="AO137" i="489"/>
  <c r="AP137" i="489"/>
  <c r="AQ137" i="489"/>
  <c r="AR137" i="489"/>
  <c r="AS137" i="489"/>
  <c r="AT137" i="489"/>
  <c r="AU137" i="489"/>
  <c r="AV137" i="489"/>
  <c r="AW137" i="489"/>
  <c r="AX137" i="489"/>
  <c r="AY137" i="489"/>
  <c r="AZ137" i="489"/>
  <c r="BA137" i="489"/>
  <c r="BB137" i="489"/>
  <c r="BC137" i="489"/>
  <c r="BD137" i="489"/>
  <c r="BE137" i="489"/>
  <c r="BF137" i="489"/>
  <c r="BG137" i="489"/>
  <c r="BH137" i="489"/>
  <c r="BI137" i="489"/>
  <c r="BJ137" i="489"/>
  <c r="BK137" i="489"/>
  <c r="BL137" i="489"/>
  <c r="BM137" i="489"/>
  <c r="BN137" i="489"/>
  <c r="BO137" i="489"/>
  <c r="BP137" i="489"/>
  <c r="BQ137" i="489"/>
  <c r="BR137" i="489"/>
  <c r="BS137" i="489"/>
  <c r="BT137" i="489"/>
  <c r="BU137" i="489"/>
  <c r="BV137" i="489"/>
  <c r="BW137" i="489"/>
  <c r="BX137" i="489"/>
  <c r="BY137" i="489"/>
  <c r="BZ137" i="489"/>
  <c r="CC137" i="489"/>
  <c r="CD137" i="489"/>
  <c r="CE137" i="489"/>
  <c r="CF137" i="489"/>
  <c r="CG137" i="489"/>
  <c r="CH137" i="489"/>
  <c r="CI137" i="489"/>
  <c r="CJ137" i="489"/>
  <c r="CK137" i="489"/>
  <c r="CL137" i="489"/>
  <c r="CM137" i="489"/>
  <c r="CN137" i="489"/>
  <c r="CO137" i="489"/>
  <c r="CP137" i="489"/>
  <c r="CQ137" i="489"/>
  <c r="CR137" i="489"/>
  <c r="CS137" i="489"/>
  <c r="CT137" i="489"/>
  <c r="CU137" i="489"/>
  <c r="CV137" i="489"/>
  <c r="CW137" i="489"/>
  <c r="CX137" i="489"/>
  <c r="CY137" i="489"/>
  <c r="DA137" i="489"/>
  <c r="DB137" i="489"/>
  <c r="DD137" i="489"/>
  <c r="DE137" i="489"/>
  <c r="DF137" i="489"/>
  <c r="DG137" i="489"/>
  <c r="DH137" i="489"/>
  <c r="DI137" i="489"/>
  <c r="DJ137" i="489"/>
  <c r="DK137" i="489"/>
  <c r="DL137" i="489"/>
  <c r="DM137" i="489"/>
  <c r="DN137" i="489"/>
  <c r="DO137" i="489"/>
  <c r="DP137" i="489"/>
  <c r="DQ137" i="489"/>
  <c r="DR137" i="489"/>
  <c r="DS137" i="489"/>
  <c r="DT137" i="489"/>
  <c r="DU137" i="489"/>
  <c r="DV137" i="489"/>
  <c r="DW137" i="489"/>
  <c r="DX137" i="489"/>
  <c r="DY137" i="489"/>
  <c r="DZ137" i="489"/>
  <c r="EA137" i="489"/>
  <c r="EB137" i="489"/>
  <c r="EC137" i="489"/>
  <c r="ED137" i="489"/>
  <c r="EE137" i="489"/>
  <c r="EF137" i="489"/>
  <c r="EG137" i="489"/>
  <c r="EH137" i="489"/>
  <c r="EI137" i="489"/>
  <c r="EJ137" i="489"/>
  <c r="EK137" i="489"/>
  <c r="EL137" i="489"/>
  <c r="EM137" i="489"/>
  <c r="EN137" i="489"/>
  <c r="EO137" i="489"/>
  <c r="EP137" i="489"/>
  <c r="EQ137" i="489"/>
  <c r="ER137" i="489"/>
  <c r="ES137" i="489"/>
  <c r="ET137" i="489"/>
  <c r="EU137" i="489"/>
  <c r="EV137" i="489"/>
  <c r="EW137" i="489"/>
  <c r="EX137" i="489"/>
  <c r="J138" i="489"/>
  <c r="K138" i="489"/>
  <c r="L138" i="489"/>
  <c r="M138" i="489"/>
  <c r="N138" i="489"/>
  <c r="O138" i="489"/>
  <c r="P138" i="489"/>
  <c r="Q138" i="489"/>
  <c r="R138" i="489"/>
  <c r="S138" i="489"/>
  <c r="T138" i="489"/>
  <c r="U138" i="489"/>
  <c r="W138" i="489"/>
  <c r="X138" i="489"/>
  <c r="Y138" i="489"/>
  <c r="Z138" i="489"/>
  <c r="AA138" i="489"/>
  <c r="AB138" i="489"/>
  <c r="AC138" i="489"/>
  <c r="AD138" i="489"/>
  <c r="AE138" i="489"/>
  <c r="AF138" i="489"/>
  <c r="AG138" i="489"/>
  <c r="AH138" i="489"/>
  <c r="AI138" i="489"/>
  <c r="AJ138" i="489"/>
  <c r="AK138" i="489"/>
  <c r="AL138" i="489"/>
  <c r="AM138" i="489"/>
  <c r="AN138" i="489"/>
  <c r="AO138" i="489"/>
  <c r="AP138" i="489"/>
  <c r="AQ138" i="489"/>
  <c r="AR138" i="489"/>
  <c r="AS138" i="489"/>
  <c r="AT138" i="489"/>
  <c r="AU138" i="489"/>
  <c r="AV138" i="489"/>
  <c r="AW138" i="489"/>
  <c r="AX138" i="489"/>
  <c r="AY138" i="489"/>
  <c r="AZ138" i="489"/>
  <c r="BA138" i="489"/>
  <c r="BB138" i="489"/>
  <c r="BC138" i="489"/>
  <c r="BD138" i="489"/>
  <c r="BE138" i="489"/>
  <c r="BF138" i="489"/>
  <c r="BG138" i="489"/>
  <c r="BH138" i="489"/>
  <c r="BI138" i="489"/>
  <c r="BJ138" i="489"/>
  <c r="BK138" i="489"/>
  <c r="BL138" i="489"/>
  <c r="BM138" i="489"/>
  <c r="BN138" i="489"/>
  <c r="BO138" i="489"/>
  <c r="BP138" i="489"/>
  <c r="BQ138" i="489"/>
  <c r="BR138" i="489"/>
  <c r="BS138" i="489"/>
  <c r="BT138" i="489"/>
  <c r="BU138" i="489"/>
  <c r="BV138" i="489"/>
  <c r="BW138" i="489"/>
  <c r="BX138" i="489"/>
  <c r="BY138" i="489"/>
  <c r="BZ138" i="489"/>
  <c r="CA138" i="489"/>
  <c r="CB138" i="489"/>
  <c r="CC138" i="489"/>
  <c r="CD138" i="489"/>
  <c r="CE138" i="489"/>
  <c r="CF138" i="489"/>
  <c r="CG138" i="489"/>
  <c r="CH138" i="489"/>
  <c r="CI138" i="489"/>
  <c r="CJ138" i="489"/>
  <c r="CK138" i="489"/>
  <c r="CL138" i="489"/>
  <c r="CM138" i="489"/>
  <c r="CN138" i="489"/>
  <c r="CO138" i="489"/>
  <c r="CP138" i="489"/>
  <c r="CQ138" i="489"/>
  <c r="CR138" i="489"/>
  <c r="CS138" i="489"/>
  <c r="CT138" i="489"/>
  <c r="CU138" i="489"/>
  <c r="CV138" i="489"/>
  <c r="CW138" i="489"/>
  <c r="CX138" i="489"/>
  <c r="CY138" i="489"/>
  <c r="CZ138" i="489"/>
  <c r="DA138" i="489"/>
  <c r="DB138" i="489"/>
  <c r="DC138" i="489"/>
  <c r="DD138" i="489"/>
  <c r="DE138" i="489"/>
  <c r="DF138" i="489"/>
  <c r="DG138" i="489"/>
  <c r="DH138" i="489"/>
  <c r="DI138" i="489"/>
  <c r="DJ138" i="489"/>
  <c r="DK138" i="489"/>
  <c r="DL138" i="489"/>
  <c r="DM138" i="489"/>
  <c r="DN138" i="489"/>
  <c r="DO138" i="489"/>
  <c r="DP138" i="489"/>
  <c r="DQ138" i="489"/>
  <c r="DR138" i="489"/>
  <c r="DS138" i="489"/>
  <c r="DT138" i="489"/>
  <c r="DU138" i="489"/>
  <c r="DV138" i="489"/>
  <c r="DW138" i="489"/>
  <c r="DX138" i="489"/>
  <c r="DY138" i="489"/>
  <c r="DZ138" i="489"/>
  <c r="EA138" i="489"/>
  <c r="EB138" i="489"/>
  <c r="EC138" i="489"/>
  <c r="ED138" i="489"/>
  <c r="EE138" i="489"/>
  <c r="EF138" i="489"/>
  <c r="EG138" i="489"/>
  <c r="EH138" i="489"/>
  <c r="EI138" i="489"/>
  <c r="EJ138" i="489"/>
  <c r="EK138" i="489"/>
  <c r="EL138" i="489"/>
  <c r="EM138" i="489"/>
  <c r="EN138" i="489"/>
  <c r="EO138" i="489"/>
  <c r="EP138" i="489"/>
  <c r="EQ138" i="489"/>
  <c r="ER138" i="489"/>
  <c r="ES138" i="489"/>
  <c r="ET138" i="489"/>
  <c r="EU138" i="489"/>
  <c r="EV138" i="489"/>
  <c r="EW138" i="489"/>
  <c r="EX138" i="489"/>
  <c r="J147" i="489"/>
  <c r="K147" i="489"/>
  <c r="L147" i="489"/>
  <c r="M147" i="489"/>
  <c r="N147" i="489"/>
  <c r="O147" i="489"/>
  <c r="P147" i="489"/>
  <c r="Q147" i="489"/>
  <c r="R147" i="489"/>
  <c r="S147" i="489"/>
  <c r="T147" i="489"/>
  <c r="U147" i="489"/>
  <c r="V147" i="489"/>
  <c r="W147" i="489"/>
  <c r="X147" i="489"/>
  <c r="Y147" i="489"/>
  <c r="Z147" i="489"/>
  <c r="AA147" i="489"/>
  <c r="AB147" i="489"/>
  <c r="AC147" i="489"/>
  <c r="AD147" i="489"/>
  <c r="AE147" i="489"/>
  <c r="AF147" i="489"/>
  <c r="AG147" i="489"/>
  <c r="AH147" i="489"/>
  <c r="AI147" i="489"/>
  <c r="AJ147" i="489"/>
  <c r="AK147" i="489"/>
  <c r="AL147" i="489"/>
  <c r="AM147" i="489"/>
  <c r="AN147" i="489"/>
  <c r="AP147" i="489"/>
  <c r="AQ147" i="489"/>
  <c r="AR147" i="489"/>
  <c r="AS147" i="489"/>
  <c r="AT147" i="489"/>
  <c r="AU147" i="489"/>
  <c r="AV147" i="489"/>
  <c r="AW147" i="489"/>
  <c r="AX147" i="489"/>
  <c r="AY147" i="489"/>
  <c r="AZ147" i="489"/>
  <c r="BA147" i="489"/>
  <c r="BB147" i="489"/>
  <c r="BC147" i="489"/>
  <c r="BD147" i="489"/>
  <c r="BE147" i="489"/>
  <c r="BF147" i="489"/>
  <c r="BG147" i="489"/>
  <c r="BH147" i="489"/>
  <c r="BI147" i="489"/>
  <c r="BJ147" i="489"/>
  <c r="BK147" i="489"/>
  <c r="BL147" i="489"/>
  <c r="BM147" i="489"/>
  <c r="BN147" i="489"/>
  <c r="BO147" i="489"/>
  <c r="BP147" i="489"/>
  <c r="BQ147" i="489"/>
  <c r="BR147" i="489"/>
  <c r="BS147" i="489"/>
  <c r="BT147" i="489"/>
  <c r="BU147" i="489"/>
  <c r="BV147" i="489"/>
  <c r="BW147" i="489"/>
  <c r="BX147" i="489"/>
  <c r="BY147" i="489"/>
  <c r="BZ147" i="489"/>
  <c r="CA147" i="489"/>
  <c r="CB147" i="489"/>
  <c r="CC147" i="489"/>
  <c r="CD147" i="489"/>
  <c r="CE147" i="489"/>
  <c r="CG147" i="489"/>
  <c r="CH147" i="489"/>
  <c r="CI147" i="489"/>
  <c r="CJ147" i="489"/>
  <c r="CK147" i="489"/>
  <c r="CL147" i="489"/>
  <c r="CM147" i="489"/>
  <c r="CN147" i="489"/>
  <c r="CO147" i="489"/>
  <c r="CP147" i="489"/>
  <c r="CQ147" i="489"/>
  <c r="CR147" i="489"/>
  <c r="CS147" i="489"/>
  <c r="CT147" i="489"/>
  <c r="CU147" i="489"/>
  <c r="CV147" i="489"/>
  <c r="CW147" i="489"/>
  <c r="CX147" i="489"/>
  <c r="CY147" i="489"/>
  <c r="CZ147" i="489"/>
  <c r="DA147" i="489"/>
  <c r="DB147" i="489"/>
  <c r="DD147" i="489"/>
  <c r="DE147" i="489"/>
  <c r="DF147" i="489"/>
  <c r="DG147" i="489"/>
  <c r="DH147" i="489"/>
  <c r="DI147" i="489"/>
  <c r="DJ147" i="489"/>
  <c r="DK147" i="489"/>
  <c r="DL147" i="489"/>
  <c r="DM147" i="489"/>
  <c r="DN147" i="489"/>
  <c r="DO147" i="489"/>
  <c r="DP147" i="489"/>
  <c r="DQ147" i="489"/>
  <c r="DR147" i="489"/>
  <c r="DS147" i="489"/>
  <c r="DT147" i="489"/>
  <c r="DU147" i="489"/>
  <c r="DV147" i="489"/>
  <c r="DW147" i="489"/>
  <c r="DX147" i="489"/>
  <c r="DY147" i="489"/>
  <c r="DZ147" i="489"/>
  <c r="EA147" i="489"/>
  <c r="EB147" i="489"/>
  <c r="EC147" i="489"/>
  <c r="ED147" i="489"/>
  <c r="EE147" i="489"/>
  <c r="EF147" i="489"/>
  <c r="EG147" i="489"/>
  <c r="EH147" i="489"/>
  <c r="EI147" i="489"/>
  <c r="EJ147" i="489"/>
  <c r="EK147" i="489"/>
  <c r="EL147" i="489"/>
  <c r="EM147" i="489"/>
  <c r="EN147" i="489"/>
  <c r="EO147" i="489"/>
  <c r="EP147" i="489"/>
  <c r="EQ147" i="489"/>
  <c r="ER147" i="489"/>
  <c r="ES147" i="489"/>
  <c r="ET147" i="489"/>
  <c r="EU147" i="489"/>
  <c r="EV147" i="489"/>
  <c r="EW147" i="489"/>
  <c r="EX147" i="489"/>
  <c r="J148" i="489"/>
  <c r="K148" i="489"/>
  <c r="L148" i="489"/>
  <c r="M148" i="489"/>
  <c r="N148" i="489"/>
  <c r="O148" i="489"/>
  <c r="P148" i="489"/>
  <c r="Q148" i="489"/>
  <c r="R148" i="489"/>
  <c r="S148" i="489"/>
  <c r="T148" i="489"/>
  <c r="U148" i="489"/>
  <c r="W148" i="489"/>
  <c r="X148" i="489"/>
  <c r="Z148" i="489"/>
  <c r="AA148" i="489"/>
  <c r="AB148" i="489"/>
  <c r="AC148" i="489"/>
  <c r="AD148" i="489"/>
  <c r="AF148" i="489"/>
  <c r="AG148" i="489"/>
  <c r="AI148" i="489"/>
  <c r="AJ148" i="489"/>
  <c r="AL148" i="489"/>
  <c r="AM148" i="489"/>
  <c r="AN148" i="489"/>
  <c r="AO148" i="489"/>
  <c r="AP148" i="489"/>
  <c r="AR148" i="489"/>
  <c r="AS148" i="489"/>
  <c r="AT148" i="489"/>
  <c r="AV148" i="489"/>
  <c r="AW148" i="489"/>
  <c r="AY148" i="489"/>
  <c r="AZ148" i="489"/>
  <c r="BA148" i="489"/>
  <c r="BB148" i="489"/>
  <c r="BC148" i="489"/>
  <c r="BD148" i="489"/>
  <c r="BE148" i="489"/>
  <c r="BF148" i="489"/>
  <c r="BG148" i="489"/>
  <c r="BH148" i="489"/>
  <c r="BI148" i="489"/>
  <c r="BJ148" i="489"/>
  <c r="BK148" i="489"/>
  <c r="BL148" i="489"/>
  <c r="BM148" i="489"/>
  <c r="BN148" i="489"/>
  <c r="BO148" i="489"/>
  <c r="BP148" i="489"/>
  <c r="BQ148" i="489"/>
  <c r="BR148" i="489"/>
  <c r="BS148" i="489"/>
  <c r="BT148" i="489"/>
  <c r="BU148" i="489"/>
  <c r="BV148" i="489"/>
  <c r="BW148" i="489"/>
  <c r="BX148" i="489"/>
  <c r="BY148" i="489"/>
  <c r="BZ148" i="489"/>
  <c r="CA148" i="489"/>
  <c r="CB148" i="489"/>
  <c r="CC148" i="489"/>
  <c r="CD148" i="489"/>
  <c r="CE148" i="489"/>
  <c r="CF148" i="489"/>
  <c r="CG148" i="489"/>
  <c r="CH148" i="489"/>
  <c r="CI148" i="489"/>
  <c r="CJ148" i="489"/>
  <c r="CK148" i="489"/>
  <c r="CL148" i="489"/>
  <c r="CM148" i="489"/>
  <c r="CN148" i="489"/>
  <c r="CO148" i="489"/>
  <c r="CP148" i="489"/>
  <c r="CQ148" i="489"/>
  <c r="CR148" i="489"/>
  <c r="CS148" i="489"/>
  <c r="CT148" i="489"/>
  <c r="CU148" i="489"/>
  <c r="CV148" i="489"/>
  <c r="CW148" i="489"/>
  <c r="CX148" i="489"/>
  <c r="CY148" i="489"/>
  <c r="CZ148" i="489"/>
  <c r="DA148" i="489"/>
  <c r="DB148" i="489"/>
  <c r="DD148" i="489"/>
  <c r="DE148" i="489"/>
  <c r="DG148" i="489"/>
  <c r="DH148" i="489"/>
  <c r="DI148" i="489"/>
  <c r="DJ148" i="489"/>
  <c r="DK148" i="489"/>
  <c r="DL148" i="489"/>
  <c r="DM148" i="489"/>
  <c r="DN148" i="489"/>
  <c r="DO148" i="489"/>
  <c r="DP148" i="489"/>
  <c r="DQ148" i="489"/>
  <c r="DR148" i="489"/>
  <c r="DS148" i="489"/>
  <c r="DT148" i="489"/>
  <c r="DU148" i="489"/>
  <c r="DV148" i="489"/>
  <c r="DW148" i="489"/>
  <c r="DX148" i="489"/>
  <c r="DY148" i="489"/>
  <c r="DZ148" i="489"/>
  <c r="EA148" i="489"/>
  <c r="EB148" i="489"/>
  <c r="EC148" i="489"/>
  <c r="ED148" i="489"/>
  <c r="EE148" i="489"/>
  <c r="EF148" i="489"/>
  <c r="EG148" i="489"/>
  <c r="EH148" i="489"/>
  <c r="EI148" i="489"/>
  <c r="EJ148" i="489"/>
  <c r="EK148" i="489"/>
  <c r="EL148" i="489"/>
  <c r="EM148" i="489"/>
  <c r="EN148" i="489"/>
  <c r="EO148" i="489"/>
  <c r="EP148" i="489"/>
  <c r="EQ148" i="489"/>
  <c r="ER148" i="489"/>
  <c r="ES148" i="489"/>
  <c r="ET148" i="489"/>
  <c r="EU148" i="489"/>
  <c r="EV148" i="489"/>
  <c r="EW148" i="489"/>
  <c r="EX148" i="489"/>
  <c r="J149" i="489"/>
  <c r="L149" i="489"/>
  <c r="M149" i="489"/>
  <c r="N149" i="489"/>
  <c r="O149" i="489"/>
  <c r="P149" i="489"/>
  <c r="Q149" i="489"/>
  <c r="R149" i="489"/>
  <c r="S149" i="489"/>
  <c r="T149" i="489"/>
  <c r="U149" i="489"/>
  <c r="V149" i="489"/>
  <c r="W149" i="489"/>
  <c r="X149" i="489"/>
  <c r="Y149" i="489"/>
  <c r="Z149" i="489"/>
  <c r="AA149" i="489"/>
  <c r="AB149" i="489"/>
  <c r="AC149" i="489"/>
  <c r="AD149" i="489"/>
  <c r="AE149" i="489"/>
  <c r="AF149" i="489"/>
  <c r="AG149" i="489"/>
  <c r="AH149" i="489"/>
  <c r="AI149" i="489"/>
  <c r="AJ149" i="489"/>
  <c r="AL149" i="489"/>
  <c r="AM149" i="489"/>
  <c r="AN149" i="489"/>
  <c r="AO149" i="489"/>
  <c r="AP149" i="489"/>
  <c r="AR149" i="489"/>
  <c r="AS149" i="489"/>
  <c r="AT149" i="489"/>
  <c r="AU149" i="489"/>
  <c r="AV149" i="489"/>
  <c r="AW149" i="489"/>
  <c r="AX149" i="489"/>
  <c r="AY149" i="489"/>
  <c r="AZ149" i="489"/>
  <c r="BA149" i="489"/>
  <c r="BB149" i="489"/>
  <c r="BC149" i="489"/>
  <c r="BD149" i="489"/>
  <c r="BE149" i="489"/>
  <c r="BF149" i="489"/>
  <c r="BG149" i="489"/>
  <c r="BH149" i="489"/>
  <c r="BI149" i="489"/>
  <c r="BJ149" i="489"/>
  <c r="BK149" i="489"/>
  <c r="BL149" i="489"/>
  <c r="BM149" i="489"/>
  <c r="BN149" i="489"/>
  <c r="BO149" i="489"/>
  <c r="BP149" i="489"/>
  <c r="BQ149" i="489"/>
  <c r="BR149" i="489"/>
  <c r="BS149" i="489"/>
  <c r="BT149" i="489"/>
  <c r="BU149" i="489"/>
  <c r="BV149" i="489"/>
  <c r="BW149" i="489"/>
  <c r="BX149" i="489"/>
  <c r="BY149" i="489"/>
  <c r="BZ149" i="489"/>
  <c r="CA149" i="489"/>
  <c r="CC149" i="489"/>
  <c r="CD149" i="489"/>
  <c r="CE149" i="489"/>
  <c r="CG149" i="489"/>
  <c r="CH149" i="489"/>
  <c r="CI149" i="489"/>
  <c r="CJ149" i="489"/>
  <c r="CK149" i="489"/>
  <c r="CL149" i="489"/>
  <c r="CM149" i="489"/>
  <c r="CN149" i="489"/>
  <c r="CO149" i="489"/>
  <c r="CP149" i="489"/>
  <c r="CQ149" i="489"/>
  <c r="CR149" i="489"/>
  <c r="CS149" i="489"/>
  <c r="CT149" i="489"/>
  <c r="CU149" i="489"/>
  <c r="CV149" i="489"/>
  <c r="CW149" i="489"/>
  <c r="CX149" i="489"/>
  <c r="CY149" i="489"/>
  <c r="CZ149" i="489"/>
  <c r="DA149" i="489"/>
  <c r="DB149" i="489"/>
  <c r="DD149" i="489"/>
  <c r="DE149" i="489"/>
  <c r="DG149" i="489"/>
  <c r="DH149" i="489"/>
  <c r="DI149" i="489"/>
  <c r="DJ149" i="489"/>
  <c r="DK149" i="489"/>
  <c r="DL149" i="489"/>
  <c r="DM149" i="489"/>
  <c r="DN149" i="489"/>
  <c r="DO149" i="489"/>
  <c r="DP149" i="489"/>
  <c r="DQ149" i="489"/>
  <c r="DR149" i="489"/>
  <c r="DS149" i="489"/>
  <c r="DT149" i="489"/>
  <c r="DU149" i="489"/>
  <c r="DV149" i="489"/>
  <c r="DW149" i="489"/>
  <c r="DX149" i="489"/>
  <c r="DY149" i="489"/>
  <c r="DZ149" i="489"/>
  <c r="EA149" i="489"/>
  <c r="EB149" i="489"/>
  <c r="EC149" i="489"/>
  <c r="ED149" i="489"/>
  <c r="EE149" i="489"/>
  <c r="EF149" i="489"/>
  <c r="EG149" i="489"/>
  <c r="EH149" i="489"/>
  <c r="EI149" i="489"/>
  <c r="EJ149" i="489"/>
  <c r="EK149" i="489"/>
  <c r="EL149" i="489"/>
  <c r="EM149" i="489"/>
  <c r="EN149" i="489"/>
  <c r="EO149" i="489"/>
  <c r="EP149" i="489"/>
  <c r="EQ149" i="489"/>
  <c r="ER149" i="489"/>
  <c r="ES149" i="489"/>
  <c r="ET149" i="489"/>
  <c r="EU149" i="489"/>
  <c r="EV149" i="489"/>
  <c r="EW149" i="489"/>
  <c r="EX149" i="489"/>
  <c r="J150" i="489"/>
  <c r="K150" i="489"/>
  <c r="L150" i="489"/>
  <c r="M150" i="489"/>
  <c r="N150" i="489"/>
  <c r="O150" i="489"/>
  <c r="P150" i="489"/>
  <c r="Q150" i="489"/>
  <c r="R150" i="489"/>
  <c r="S150" i="489"/>
  <c r="T150" i="489"/>
  <c r="U150" i="489"/>
  <c r="V150" i="489"/>
  <c r="W150" i="489"/>
  <c r="X150" i="489"/>
  <c r="Y150" i="489"/>
  <c r="Z150" i="489"/>
  <c r="AA150" i="489"/>
  <c r="AB150" i="489"/>
  <c r="AC150" i="489"/>
  <c r="AD150" i="489"/>
  <c r="AE150" i="489"/>
  <c r="AF150" i="489"/>
  <c r="AG150" i="489"/>
  <c r="AH150" i="489"/>
  <c r="AI150" i="489"/>
  <c r="AJ150" i="489"/>
  <c r="AK150" i="489"/>
  <c r="AL150" i="489"/>
  <c r="AM150" i="489"/>
  <c r="AN150" i="489"/>
  <c r="AO150" i="489"/>
  <c r="AP150" i="489"/>
  <c r="AQ150" i="489"/>
  <c r="AR150" i="489"/>
  <c r="AS150" i="489"/>
  <c r="AT150" i="489"/>
  <c r="AU150" i="489"/>
  <c r="AV150" i="489"/>
  <c r="AW150" i="489"/>
  <c r="AX150" i="489"/>
  <c r="AY150" i="489"/>
  <c r="AZ150" i="489"/>
  <c r="BA150" i="489"/>
  <c r="BB150" i="489"/>
  <c r="BC150" i="489"/>
  <c r="BD150" i="489"/>
  <c r="BE150" i="489"/>
  <c r="BF150" i="489"/>
  <c r="BG150" i="489"/>
  <c r="BH150" i="489"/>
  <c r="BI150" i="489"/>
  <c r="BJ150" i="489"/>
  <c r="BK150" i="489"/>
  <c r="BL150" i="489"/>
  <c r="BM150" i="489"/>
  <c r="BN150" i="489"/>
  <c r="BO150" i="489"/>
  <c r="BP150" i="489"/>
  <c r="BQ150" i="489"/>
  <c r="BR150" i="489"/>
  <c r="BS150" i="489"/>
  <c r="BT150" i="489"/>
  <c r="BU150" i="489"/>
  <c r="BV150" i="489"/>
  <c r="BW150" i="489"/>
  <c r="BX150" i="489"/>
  <c r="BY150" i="489"/>
  <c r="BZ150" i="489"/>
  <c r="CA150" i="489"/>
  <c r="CB150" i="489"/>
  <c r="CC150" i="489"/>
  <c r="CD150" i="489"/>
  <c r="CE150" i="489"/>
  <c r="CF150" i="489"/>
  <c r="CG150" i="489"/>
  <c r="CH150" i="489"/>
  <c r="CI150" i="489"/>
  <c r="CJ150" i="489"/>
  <c r="CK150" i="489"/>
  <c r="CL150" i="489"/>
  <c r="CM150" i="489"/>
  <c r="CN150" i="489"/>
  <c r="CO150" i="489"/>
  <c r="CP150" i="489"/>
  <c r="CR150" i="489"/>
  <c r="CS150" i="489"/>
  <c r="CT150" i="489"/>
  <c r="CU150" i="489"/>
  <c r="CV150" i="489"/>
  <c r="CW150" i="489"/>
  <c r="CX150" i="489"/>
  <c r="CY150" i="489"/>
  <c r="DA150" i="489"/>
  <c r="DB150" i="489"/>
  <c r="DC150" i="489"/>
  <c r="DD150" i="489"/>
  <c r="DF150" i="489"/>
  <c r="DG150" i="489"/>
  <c r="DH150" i="489"/>
  <c r="DI150" i="489"/>
  <c r="DJ150" i="489"/>
  <c r="DK150" i="489"/>
  <c r="DL150" i="489"/>
  <c r="DM150" i="489"/>
  <c r="DN150" i="489"/>
  <c r="DO150" i="489"/>
  <c r="DP150" i="489"/>
  <c r="DQ150" i="489"/>
  <c r="DR150" i="489"/>
  <c r="DS150" i="489"/>
  <c r="DT150" i="489"/>
  <c r="DU150" i="489"/>
  <c r="DV150" i="489"/>
  <c r="DW150" i="489"/>
  <c r="DX150" i="489"/>
  <c r="DY150" i="489"/>
  <c r="DZ150" i="489"/>
  <c r="EA150" i="489"/>
  <c r="EB150" i="489"/>
  <c r="EC150" i="489"/>
  <c r="ED150" i="489"/>
  <c r="EE150" i="489"/>
  <c r="EF150" i="489"/>
  <c r="EG150" i="489"/>
  <c r="EH150" i="489"/>
  <c r="EI150" i="489"/>
  <c r="EJ150" i="489"/>
  <c r="EK150" i="489"/>
  <c r="EL150" i="489"/>
  <c r="EM150" i="489"/>
  <c r="EN150" i="489"/>
  <c r="EO150" i="489"/>
  <c r="EP150" i="489"/>
  <c r="EQ150" i="489"/>
  <c r="ER150" i="489"/>
  <c r="ES150" i="489"/>
  <c r="ET150" i="489"/>
  <c r="EU150" i="489"/>
  <c r="EV150" i="489"/>
  <c r="EW150" i="489"/>
  <c r="EX150" i="489"/>
  <c r="C151" i="489"/>
  <c r="H151" i="489"/>
  <c r="J151" i="489"/>
  <c r="K151" i="489"/>
  <c r="L151" i="489"/>
  <c r="M151" i="489"/>
  <c r="N151" i="489"/>
  <c r="O151" i="489"/>
  <c r="P151" i="489"/>
  <c r="Q151" i="489"/>
  <c r="R151" i="489"/>
  <c r="S151" i="489"/>
  <c r="T151" i="489"/>
  <c r="U151" i="489"/>
  <c r="V151" i="489"/>
  <c r="W151" i="489"/>
  <c r="X151" i="489"/>
  <c r="Y151" i="489"/>
  <c r="Z151" i="489"/>
  <c r="AA151" i="489"/>
  <c r="AB151" i="489"/>
  <c r="AC151" i="489"/>
  <c r="AD151" i="489"/>
  <c r="AE151" i="489"/>
  <c r="AF151" i="489"/>
  <c r="AG151" i="489"/>
  <c r="AH151" i="489"/>
  <c r="AI151" i="489"/>
  <c r="AJ151" i="489"/>
  <c r="AK151" i="489"/>
  <c r="AL151" i="489"/>
  <c r="AM151" i="489"/>
  <c r="AN151" i="489"/>
  <c r="AO151" i="489"/>
  <c r="AP151" i="489"/>
  <c r="AQ151" i="489"/>
  <c r="AR151" i="489"/>
  <c r="AS151" i="489"/>
  <c r="AT151" i="489"/>
  <c r="AU151" i="489"/>
  <c r="AV151" i="489"/>
  <c r="AW151" i="489"/>
  <c r="AX151" i="489"/>
  <c r="AY151" i="489"/>
  <c r="AZ151" i="489"/>
  <c r="BA151" i="489"/>
  <c r="BB151" i="489"/>
  <c r="BC151" i="489"/>
  <c r="BD151" i="489"/>
  <c r="BE151" i="489"/>
  <c r="BF151" i="489"/>
  <c r="BG151" i="489"/>
  <c r="BH151" i="489"/>
  <c r="BI151" i="489"/>
  <c r="BJ151" i="489"/>
  <c r="BK151" i="489"/>
  <c r="BL151" i="489"/>
  <c r="BM151" i="489"/>
  <c r="BN151" i="489"/>
  <c r="BO151" i="489"/>
  <c r="BP151" i="489"/>
  <c r="BQ151" i="489"/>
  <c r="BR151" i="489"/>
  <c r="BS151" i="489"/>
  <c r="BT151" i="489"/>
  <c r="BU151" i="489"/>
  <c r="BV151" i="489"/>
  <c r="BW151" i="489"/>
  <c r="BX151" i="489"/>
  <c r="BY151" i="489"/>
  <c r="BZ151" i="489"/>
  <c r="CA151" i="489"/>
  <c r="CB151" i="489"/>
  <c r="CC151" i="489"/>
  <c r="CD151" i="489"/>
  <c r="CE151" i="489"/>
  <c r="CF151" i="489"/>
  <c r="CG151" i="489"/>
  <c r="CH151" i="489"/>
  <c r="CI151" i="489"/>
  <c r="CJ151" i="489"/>
  <c r="CK151" i="489"/>
  <c r="CL151" i="489"/>
  <c r="CM151" i="489"/>
  <c r="CN151" i="489"/>
  <c r="CO151" i="489"/>
  <c r="CP151" i="489"/>
  <c r="CQ151" i="489"/>
  <c r="CR151" i="489"/>
  <c r="CS151" i="489"/>
  <c r="CT151" i="489"/>
  <c r="CU151" i="489"/>
  <c r="CV151" i="489"/>
  <c r="CW151" i="489"/>
  <c r="CX151" i="489"/>
  <c r="CY151" i="489"/>
  <c r="CZ151" i="489"/>
  <c r="DA151" i="489"/>
  <c r="DB151" i="489"/>
  <c r="DC151" i="489"/>
  <c r="DD151" i="489"/>
  <c r="DE151" i="489"/>
  <c r="DF151" i="489"/>
  <c r="DG151" i="489"/>
  <c r="DH151" i="489"/>
  <c r="DI151" i="489"/>
  <c r="DJ151" i="489"/>
  <c r="DK151" i="489"/>
  <c r="DL151" i="489"/>
  <c r="DM151" i="489"/>
  <c r="DN151" i="489"/>
  <c r="DO151" i="489"/>
  <c r="DP151" i="489"/>
  <c r="DQ151" i="489"/>
  <c r="DR151" i="489"/>
  <c r="DS151" i="489"/>
  <c r="DT151" i="489"/>
  <c r="DU151" i="489"/>
  <c r="DV151" i="489"/>
  <c r="DW151" i="489"/>
  <c r="DX151" i="489"/>
  <c r="DY151" i="489"/>
  <c r="DZ151" i="489"/>
  <c r="EA151" i="489"/>
  <c r="EB151" i="489"/>
  <c r="EC151" i="489"/>
  <c r="ED151" i="489"/>
  <c r="EE151" i="489"/>
  <c r="EF151" i="489"/>
  <c r="EG151" i="489"/>
  <c r="EH151" i="489"/>
  <c r="EI151" i="489"/>
  <c r="EJ151" i="489"/>
  <c r="EK151" i="489"/>
  <c r="EL151" i="489"/>
  <c r="EM151" i="489"/>
  <c r="EN151" i="489"/>
  <c r="EO151" i="489"/>
  <c r="EP151" i="489"/>
  <c r="EQ151" i="489"/>
  <c r="ER151" i="489"/>
  <c r="ES151" i="489"/>
  <c r="ET151" i="489"/>
  <c r="EU151" i="489"/>
  <c r="EW151" i="489"/>
  <c r="EX151" i="489"/>
  <c r="C152" i="489"/>
  <c r="H152" i="489"/>
  <c r="J152" i="489"/>
  <c r="K152" i="489"/>
  <c r="L152" i="489"/>
  <c r="M152" i="489"/>
  <c r="N152" i="489"/>
  <c r="O152" i="489"/>
  <c r="P152" i="489"/>
  <c r="Q152" i="489"/>
  <c r="R152" i="489"/>
  <c r="S152" i="489"/>
  <c r="T152" i="489"/>
  <c r="U152" i="489"/>
  <c r="V152" i="489"/>
  <c r="W152" i="489"/>
  <c r="X152" i="489"/>
  <c r="Y152" i="489"/>
  <c r="Z152" i="489"/>
  <c r="AA152" i="489"/>
  <c r="AB152" i="489"/>
  <c r="AC152" i="489"/>
  <c r="AD152" i="489"/>
  <c r="AE152" i="489"/>
  <c r="AF152" i="489"/>
  <c r="AG152" i="489"/>
  <c r="AH152" i="489"/>
  <c r="AI152" i="489"/>
  <c r="AJ152" i="489"/>
  <c r="AK152" i="489"/>
  <c r="AL152" i="489"/>
  <c r="AM152" i="489"/>
  <c r="AN152" i="489"/>
  <c r="AO152" i="489"/>
  <c r="AP152" i="489"/>
  <c r="AQ152" i="489"/>
  <c r="AR152" i="489"/>
  <c r="AS152" i="489"/>
  <c r="AT152" i="489"/>
  <c r="AU152" i="489"/>
  <c r="AV152" i="489"/>
  <c r="AW152" i="489"/>
  <c r="AX152" i="489"/>
  <c r="AY152" i="489"/>
  <c r="AZ152" i="489"/>
  <c r="BA152" i="489"/>
  <c r="BB152" i="489"/>
  <c r="BC152" i="489"/>
  <c r="BD152" i="489"/>
  <c r="BE152" i="489"/>
  <c r="BF152" i="489"/>
  <c r="BG152" i="489"/>
  <c r="BH152" i="489"/>
  <c r="BI152" i="489"/>
  <c r="BJ152" i="489"/>
  <c r="BK152" i="489"/>
  <c r="BL152" i="489"/>
  <c r="BM152" i="489"/>
  <c r="BN152" i="489"/>
  <c r="BO152" i="489"/>
  <c r="BP152" i="489"/>
  <c r="BQ152" i="489"/>
  <c r="BR152" i="489"/>
  <c r="BS152" i="489"/>
  <c r="BT152" i="489"/>
  <c r="BU152" i="489"/>
  <c r="BV152" i="489"/>
  <c r="BW152" i="489"/>
  <c r="BX152" i="489"/>
  <c r="BY152" i="489"/>
  <c r="BZ152" i="489"/>
  <c r="CA152" i="489"/>
  <c r="CB152" i="489"/>
  <c r="CC152" i="489"/>
  <c r="CD152" i="489"/>
  <c r="CE152" i="489"/>
  <c r="CF152" i="489"/>
  <c r="CG152" i="489"/>
  <c r="CH152" i="489"/>
  <c r="CI152" i="489"/>
  <c r="CJ152" i="489"/>
  <c r="CK152" i="489"/>
  <c r="CL152" i="489"/>
  <c r="CM152" i="489"/>
  <c r="CN152" i="489"/>
  <c r="CO152" i="489"/>
  <c r="CP152" i="489"/>
  <c r="CQ152" i="489"/>
  <c r="CR152" i="489"/>
  <c r="CS152" i="489"/>
  <c r="CT152" i="489"/>
  <c r="CU152" i="489"/>
  <c r="CV152" i="489"/>
  <c r="CW152" i="489"/>
  <c r="CX152" i="489"/>
  <c r="CY152" i="489"/>
  <c r="CZ152" i="489"/>
  <c r="DA152" i="489"/>
  <c r="DB152" i="489"/>
  <c r="DC152" i="489"/>
  <c r="DD152" i="489"/>
  <c r="DE152" i="489"/>
  <c r="DF152" i="489"/>
  <c r="DG152" i="489"/>
  <c r="DH152" i="489"/>
  <c r="DI152" i="489"/>
  <c r="DJ152" i="489"/>
  <c r="DK152" i="489"/>
  <c r="DL152" i="489"/>
  <c r="DM152" i="489"/>
  <c r="DN152" i="489"/>
  <c r="DO152" i="489"/>
  <c r="DP152" i="489"/>
  <c r="DQ152" i="489"/>
  <c r="DR152" i="489"/>
  <c r="DS152" i="489"/>
  <c r="DT152" i="489"/>
  <c r="DU152" i="489"/>
  <c r="DV152" i="489"/>
  <c r="DW152" i="489"/>
  <c r="DX152" i="489"/>
  <c r="DY152" i="489"/>
  <c r="DZ152" i="489"/>
  <c r="EA152" i="489"/>
  <c r="EB152" i="489"/>
  <c r="EC152" i="489"/>
  <c r="ED152" i="489"/>
  <c r="EE152" i="489"/>
  <c r="EF152" i="489"/>
  <c r="EG152" i="489"/>
  <c r="EH152" i="489"/>
  <c r="EI152" i="489"/>
  <c r="EJ152" i="489"/>
  <c r="EK152" i="489"/>
  <c r="EL152" i="489"/>
  <c r="EM152" i="489"/>
  <c r="EN152" i="489"/>
  <c r="EO152" i="489"/>
  <c r="EP152" i="489"/>
  <c r="EQ152" i="489"/>
  <c r="ER152" i="489"/>
  <c r="ES152" i="489"/>
  <c r="ET152" i="489"/>
  <c r="EU152" i="489"/>
  <c r="EV152" i="489"/>
  <c r="EX152" i="489"/>
  <c r="J117" i="489"/>
  <c r="K117" i="489"/>
  <c r="L117" i="489"/>
  <c r="M117" i="489"/>
  <c r="N117" i="489"/>
  <c r="O117" i="489"/>
  <c r="P117" i="489"/>
  <c r="Q117" i="489"/>
  <c r="R117" i="489"/>
  <c r="S117" i="489"/>
  <c r="T117" i="489"/>
  <c r="U117" i="489"/>
  <c r="V117" i="489"/>
  <c r="W117" i="489"/>
  <c r="X117" i="489"/>
  <c r="Y117" i="489"/>
  <c r="Z117" i="489"/>
  <c r="AA117" i="489"/>
  <c r="AB117" i="489"/>
  <c r="AC117" i="489"/>
  <c r="AD117" i="489"/>
  <c r="AE117" i="489"/>
  <c r="AG117" i="489"/>
  <c r="AH117" i="489"/>
  <c r="AI117" i="489"/>
  <c r="AJ117" i="489"/>
  <c r="AK117" i="489"/>
  <c r="AL117" i="489"/>
  <c r="AM117" i="489"/>
  <c r="AN117" i="489"/>
  <c r="AO117" i="489"/>
  <c r="AP117" i="489"/>
  <c r="AR117" i="489"/>
  <c r="AS117" i="489"/>
  <c r="AT117" i="489"/>
  <c r="AU117" i="489"/>
  <c r="AV117" i="489"/>
  <c r="AW117" i="489"/>
  <c r="AX117" i="489"/>
  <c r="AY117" i="489"/>
  <c r="AZ117" i="489"/>
  <c r="BA117" i="489"/>
  <c r="BB117" i="489"/>
  <c r="BC117" i="489"/>
  <c r="BD117" i="489"/>
  <c r="BE117" i="489"/>
  <c r="BF117" i="489"/>
  <c r="BG117" i="489"/>
  <c r="BH117" i="489"/>
  <c r="BI117" i="489"/>
  <c r="BJ117" i="489"/>
  <c r="BK117" i="489"/>
  <c r="BL117" i="489"/>
  <c r="BM117" i="489"/>
  <c r="BN117" i="489"/>
  <c r="BO117" i="489"/>
  <c r="BP117" i="489"/>
  <c r="BQ117" i="489"/>
  <c r="BR117" i="489"/>
  <c r="BS117" i="489"/>
  <c r="BT117" i="489"/>
  <c r="BU117" i="489"/>
  <c r="BV117" i="489"/>
  <c r="BW117" i="489"/>
  <c r="BX117" i="489"/>
  <c r="BY117" i="489"/>
  <c r="BZ117" i="489"/>
  <c r="CA117" i="489"/>
  <c r="CB117" i="489"/>
  <c r="CC117" i="489"/>
  <c r="CD117" i="489"/>
  <c r="CE117" i="489"/>
  <c r="CG117" i="489"/>
  <c r="CH117" i="489"/>
  <c r="CI117" i="489"/>
  <c r="CJ117" i="489"/>
  <c r="CK117" i="489"/>
  <c r="CL117" i="489"/>
  <c r="CM117" i="489"/>
  <c r="CN117" i="489"/>
  <c r="CO117" i="489"/>
  <c r="CP117" i="489"/>
  <c r="CR117" i="489"/>
  <c r="CS117" i="489"/>
  <c r="CT117" i="489"/>
  <c r="CU117" i="489"/>
  <c r="CV117" i="489"/>
  <c r="CW117" i="489"/>
  <c r="CX117" i="489"/>
  <c r="CY117" i="489"/>
  <c r="DA117" i="489"/>
  <c r="DB117" i="489"/>
  <c r="DD117" i="489"/>
  <c r="DE117" i="489"/>
  <c r="DF117" i="489"/>
  <c r="DG117" i="489"/>
  <c r="DH117" i="489"/>
  <c r="DI117" i="489"/>
  <c r="DJ117" i="489"/>
  <c r="DK117" i="489"/>
  <c r="DL117" i="489"/>
  <c r="DM117" i="489"/>
  <c r="DN117" i="489"/>
  <c r="DO117" i="489"/>
  <c r="DP117" i="489"/>
  <c r="DQ117" i="489"/>
  <c r="DR117" i="489"/>
  <c r="DS117" i="489"/>
  <c r="DT117" i="489"/>
  <c r="DU117" i="489"/>
  <c r="DV117" i="489"/>
  <c r="DW117" i="489"/>
  <c r="DX117" i="489"/>
  <c r="DY117" i="489"/>
  <c r="DZ117" i="489"/>
  <c r="EA117" i="489"/>
  <c r="EB117" i="489"/>
  <c r="EC117" i="489"/>
  <c r="ED117" i="489"/>
  <c r="EE117" i="489"/>
  <c r="EF117" i="489"/>
  <c r="EG117" i="489"/>
  <c r="EH117" i="489"/>
  <c r="EI117" i="489"/>
  <c r="EJ117" i="489"/>
  <c r="EK117" i="489"/>
  <c r="EL117" i="489"/>
  <c r="EM117" i="489"/>
  <c r="EN117" i="489"/>
  <c r="EO117" i="489"/>
  <c r="EP117" i="489"/>
  <c r="EQ117" i="489"/>
  <c r="ER117" i="489"/>
  <c r="ES117" i="489"/>
  <c r="ET117" i="489"/>
  <c r="EU117" i="489"/>
  <c r="EV117" i="489"/>
  <c r="EW117" i="489"/>
  <c r="EX117" i="489"/>
  <c r="J118" i="489"/>
  <c r="K118" i="489"/>
  <c r="L118" i="489"/>
  <c r="M118" i="489"/>
  <c r="N118" i="489"/>
  <c r="O118" i="489"/>
  <c r="P118" i="489"/>
  <c r="Q118" i="489"/>
  <c r="R118" i="489"/>
  <c r="S118" i="489"/>
  <c r="T118" i="489"/>
  <c r="U118" i="489"/>
  <c r="V118" i="489"/>
  <c r="W118" i="489"/>
  <c r="X118" i="489"/>
  <c r="Z118" i="489"/>
  <c r="AA118" i="489"/>
  <c r="AB118" i="489"/>
  <c r="AC118" i="489"/>
  <c r="AD118" i="489"/>
  <c r="AE118" i="489"/>
  <c r="AF118" i="489"/>
  <c r="AG118" i="489"/>
  <c r="AI118" i="489"/>
  <c r="AJ118" i="489"/>
  <c r="AL118" i="489"/>
  <c r="AM118" i="489"/>
  <c r="AN118" i="489"/>
  <c r="AO118" i="489"/>
  <c r="AP118" i="489"/>
  <c r="AR118" i="489"/>
  <c r="AS118" i="489"/>
  <c r="AT118" i="489"/>
  <c r="AU118" i="489"/>
  <c r="AV118" i="489"/>
  <c r="AW118" i="489"/>
  <c r="AX118" i="489"/>
  <c r="AY118" i="489"/>
  <c r="AZ118" i="489"/>
  <c r="BA118" i="489"/>
  <c r="BB118" i="489"/>
  <c r="BC118" i="489"/>
  <c r="BD118" i="489"/>
  <c r="BE118" i="489"/>
  <c r="BF118" i="489"/>
  <c r="BG118" i="489"/>
  <c r="BH118" i="489"/>
  <c r="BI118" i="489"/>
  <c r="BJ118" i="489"/>
  <c r="BK118" i="489"/>
  <c r="BL118" i="489"/>
  <c r="BM118" i="489"/>
  <c r="BN118" i="489"/>
  <c r="BO118" i="489"/>
  <c r="BP118" i="489"/>
  <c r="BQ118" i="489"/>
  <c r="BR118" i="489"/>
  <c r="BS118" i="489"/>
  <c r="BT118" i="489"/>
  <c r="BU118" i="489"/>
  <c r="BV118" i="489"/>
  <c r="BW118" i="489"/>
  <c r="BX118" i="489"/>
  <c r="BY118" i="489"/>
  <c r="BZ118" i="489"/>
  <c r="CA118" i="489"/>
  <c r="CC118" i="489"/>
  <c r="CD118" i="489"/>
  <c r="CE118" i="489"/>
  <c r="CG118" i="489"/>
  <c r="CH118" i="489"/>
  <c r="CI118" i="489"/>
  <c r="CJ118" i="489"/>
  <c r="CK118" i="489"/>
  <c r="CL118" i="489"/>
  <c r="CM118" i="489"/>
  <c r="CN118" i="489"/>
  <c r="CO118" i="489"/>
  <c r="CP118" i="489"/>
  <c r="CQ118" i="489"/>
  <c r="CR118" i="489"/>
  <c r="CS118" i="489"/>
  <c r="CU118" i="489"/>
  <c r="CV118" i="489"/>
  <c r="CW118" i="489"/>
  <c r="CX118" i="489"/>
  <c r="CY118" i="489"/>
  <c r="CZ118" i="489"/>
  <c r="DA118" i="489"/>
  <c r="DB118" i="489"/>
  <c r="DC118" i="489"/>
  <c r="DD118" i="489"/>
  <c r="DE118" i="489"/>
  <c r="DF118" i="489"/>
  <c r="DG118" i="489"/>
  <c r="DH118" i="489"/>
  <c r="DI118" i="489"/>
  <c r="DJ118" i="489"/>
  <c r="DK118" i="489"/>
  <c r="DL118" i="489"/>
  <c r="DM118" i="489"/>
  <c r="DN118" i="489"/>
  <c r="DO118" i="489"/>
  <c r="DP118" i="489"/>
  <c r="DQ118" i="489"/>
  <c r="DR118" i="489"/>
  <c r="DS118" i="489"/>
  <c r="DT118" i="489"/>
  <c r="DU118" i="489"/>
  <c r="DV118" i="489"/>
  <c r="DW118" i="489"/>
  <c r="DX118" i="489"/>
  <c r="DY118" i="489"/>
  <c r="DZ118" i="489"/>
  <c r="EA118" i="489"/>
  <c r="EB118" i="489"/>
  <c r="EC118" i="489"/>
  <c r="ED118" i="489"/>
  <c r="EE118" i="489"/>
  <c r="EF118" i="489"/>
  <c r="EG118" i="489"/>
  <c r="EH118" i="489"/>
  <c r="EI118" i="489"/>
  <c r="EJ118" i="489"/>
  <c r="EK118" i="489"/>
  <c r="EL118" i="489"/>
  <c r="EM118" i="489"/>
  <c r="EN118" i="489"/>
  <c r="EO118" i="489"/>
  <c r="EP118" i="489"/>
  <c r="EQ118" i="489"/>
  <c r="ER118" i="489"/>
  <c r="ES118" i="489"/>
  <c r="ET118" i="489"/>
  <c r="EU118" i="489"/>
  <c r="EV118" i="489"/>
  <c r="EW118" i="489"/>
  <c r="EX118" i="489"/>
  <c r="J119" i="489"/>
  <c r="K119" i="489"/>
  <c r="L119" i="489"/>
  <c r="M119" i="489"/>
  <c r="N119" i="489"/>
  <c r="O119" i="489"/>
  <c r="P119" i="489"/>
  <c r="Q119" i="489"/>
  <c r="R119" i="489"/>
  <c r="T119" i="489"/>
  <c r="U119" i="489"/>
  <c r="V119" i="489"/>
  <c r="W119" i="489"/>
  <c r="X119" i="489"/>
  <c r="Y119" i="489"/>
  <c r="Z119" i="489"/>
  <c r="AA119" i="489"/>
  <c r="AB119" i="489"/>
  <c r="AC119" i="489"/>
  <c r="AD119" i="489"/>
  <c r="AE119" i="489"/>
  <c r="AF119" i="489"/>
  <c r="AG119" i="489"/>
  <c r="AH119" i="489"/>
  <c r="AI119" i="489"/>
  <c r="AJ119" i="489"/>
  <c r="AL119" i="489"/>
  <c r="AM119" i="489"/>
  <c r="AN119" i="489"/>
  <c r="AO119" i="489"/>
  <c r="AP119" i="489"/>
  <c r="AR119" i="489"/>
  <c r="AS119" i="489"/>
  <c r="AU119" i="489"/>
  <c r="AV119" i="489"/>
  <c r="AW119" i="489"/>
  <c r="AX119" i="489"/>
  <c r="AY119" i="489"/>
  <c r="AZ119" i="489"/>
  <c r="BA119" i="489"/>
  <c r="BB119" i="489"/>
  <c r="BC119" i="489"/>
  <c r="BD119" i="489"/>
  <c r="BE119" i="489"/>
  <c r="BF119" i="489"/>
  <c r="BG119" i="489"/>
  <c r="BH119" i="489"/>
  <c r="BI119" i="489"/>
  <c r="BJ119" i="489"/>
  <c r="BK119" i="489"/>
  <c r="BL119" i="489"/>
  <c r="BM119" i="489"/>
  <c r="BN119" i="489"/>
  <c r="BO119" i="489"/>
  <c r="BP119" i="489"/>
  <c r="BQ119" i="489"/>
  <c r="BR119" i="489"/>
  <c r="BS119" i="489"/>
  <c r="BT119" i="489"/>
  <c r="BU119" i="489"/>
  <c r="BV119" i="489"/>
  <c r="BW119" i="489"/>
  <c r="BX119" i="489"/>
  <c r="BY119" i="489"/>
  <c r="BZ119" i="489"/>
  <c r="CA119" i="489"/>
  <c r="CB119" i="489"/>
  <c r="CC119" i="489"/>
  <c r="CD119" i="489"/>
  <c r="CE119" i="489"/>
  <c r="CG119" i="489"/>
  <c r="CH119" i="489"/>
  <c r="CI119" i="489"/>
  <c r="CJ119" i="489"/>
  <c r="CK119" i="489"/>
  <c r="CL119" i="489"/>
  <c r="CM119" i="489"/>
  <c r="CN119" i="489"/>
  <c r="CO119" i="489"/>
  <c r="CP119" i="489"/>
  <c r="CQ119" i="489"/>
  <c r="CR119" i="489"/>
  <c r="CS119" i="489"/>
  <c r="CT119" i="489"/>
  <c r="CU119" i="489"/>
  <c r="CV119" i="489"/>
  <c r="CW119" i="489"/>
  <c r="CX119" i="489"/>
  <c r="CY119" i="489"/>
  <c r="DA119" i="489"/>
  <c r="DB119" i="489"/>
  <c r="DD119" i="489"/>
  <c r="DE119" i="489"/>
  <c r="DG119" i="489"/>
  <c r="DH119" i="489"/>
  <c r="DI119" i="489"/>
  <c r="DJ119" i="489"/>
  <c r="DK119" i="489"/>
  <c r="DL119" i="489"/>
  <c r="DM119" i="489"/>
  <c r="DN119" i="489"/>
  <c r="DO119" i="489"/>
  <c r="DP119" i="489"/>
  <c r="DQ119" i="489"/>
  <c r="DR119" i="489"/>
  <c r="DS119" i="489"/>
  <c r="DT119" i="489"/>
  <c r="DU119" i="489"/>
  <c r="DV119" i="489"/>
  <c r="DW119" i="489"/>
  <c r="DX119" i="489"/>
  <c r="DY119" i="489"/>
  <c r="DZ119" i="489"/>
  <c r="EA119" i="489"/>
  <c r="EB119" i="489"/>
  <c r="EC119" i="489"/>
  <c r="ED119" i="489"/>
  <c r="EE119" i="489"/>
  <c r="EF119" i="489"/>
  <c r="EG119" i="489"/>
  <c r="EH119" i="489"/>
  <c r="EI119" i="489"/>
  <c r="EJ119" i="489"/>
  <c r="EK119" i="489"/>
  <c r="EL119" i="489"/>
  <c r="EM119" i="489"/>
  <c r="EN119" i="489"/>
  <c r="EO119" i="489"/>
  <c r="EP119" i="489"/>
  <c r="EQ119" i="489"/>
  <c r="ER119" i="489"/>
  <c r="ES119" i="489"/>
  <c r="ET119" i="489"/>
  <c r="EU119" i="489"/>
  <c r="EV119" i="489"/>
  <c r="EW119" i="489"/>
  <c r="EX119" i="489"/>
  <c r="J120" i="489"/>
  <c r="K120" i="489"/>
  <c r="L120" i="489"/>
  <c r="M120" i="489"/>
  <c r="N120" i="489"/>
  <c r="O120" i="489"/>
  <c r="P120" i="489"/>
  <c r="Q120" i="489"/>
  <c r="R120" i="489"/>
  <c r="S120" i="489"/>
  <c r="T120" i="489"/>
  <c r="W120" i="489"/>
  <c r="X120" i="489"/>
  <c r="Y120" i="489"/>
  <c r="Z120" i="489"/>
  <c r="AA120" i="489"/>
  <c r="AB120" i="489"/>
  <c r="AC120" i="489"/>
  <c r="AD120" i="489"/>
  <c r="AE120" i="489"/>
  <c r="AF120" i="489"/>
  <c r="AG120" i="489"/>
  <c r="AI120" i="489"/>
  <c r="AJ120" i="489"/>
  <c r="AK120" i="489"/>
  <c r="AL120" i="489"/>
  <c r="AM120" i="489"/>
  <c r="AN120" i="489"/>
  <c r="AO120" i="489"/>
  <c r="AP120" i="489"/>
  <c r="AQ120" i="489"/>
  <c r="AR120" i="489"/>
  <c r="AS120" i="489"/>
  <c r="AT120" i="489"/>
  <c r="AU120" i="489"/>
  <c r="AV120" i="489"/>
  <c r="AW120" i="489"/>
  <c r="AX120" i="489"/>
  <c r="AY120" i="489"/>
  <c r="AZ120" i="489"/>
  <c r="BA120" i="489"/>
  <c r="BB120" i="489"/>
  <c r="BC120" i="489"/>
  <c r="BD120" i="489"/>
  <c r="BE120" i="489"/>
  <c r="BF120" i="489"/>
  <c r="BG120" i="489"/>
  <c r="BH120" i="489"/>
  <c r="BI120" i="489"/>
  <c r="BJ120" i="489"/>
  <c r="BK120" i="489"/>
  <c r="BL120" i="489"/>
  <c r="BM120" i="489"/>
  <c r="BN120" i="489"/>
  <c r="BO120" i="489"/>
  <c r="BP120" i="489"/>
  <c r="BQ120" i="489"/>
  <c r="BR120" i="489"/>
  <c r="BS120" i="489"/>
  <c r="BT120" i="489"/>
  <c r="BU120" i="489"/>
  <c r="BV120" i="489"/>
  <c r="BW120" i="489"/>
  <c r="BX120" i="489"/>
  <c r="BY120" i="489"/>
  <c r="BZ120" i="489"/>
  <c r="CA120" i="489"/>
  <c r="CB120" i="489"/>
  <c r="CC120" i="489"/>
  <c r="CD120" i="489"/>
  <c r="CE120" i="489"/>
  <c r="CF120" i="489"/>
  <c r="CG120" i="489"/>
  <c r="CH120" i="489"/>
  <c r="CI120" i="489"/>
  <c r="CJ120" i="489"/>
  <c r="CK120" i="489"/>
  <c r="CL120" i="489"/>
  <c r="CM120" i="489"/>
  <c r="CN120" i="489"/>
  <c r="CO120" i="489"/>
  <c r="CP120" i="489"/>
  <c r="CQ120" i="489"/>
  <c r="CR120" i="489"/>
  <c r="CS120" i="489"/>
  <c r="CT120" i="489"/>
  <c r="CU120" i="489"/>
  <c r="CV120" i="489"/>
  <c r="CW120" i="489"/>
  <c r="CX120" i="489"/>
  <c r="CY120" i="489"/>
  <c r="CZ120" i="489"/>
  <c r="DA120" i="489"/>
  <c r="DB120" i="489"/>
  <c r="DC120" i="489"/>
  <c r="DD120" i="489"/>
  <c r="DE120" i="489"/>
  <c r="DF120" i="489"/>
  <c r="DG120" i="489"/>
  <c r="DH120" i="489"/>
  <c r="DI120" i="489"/>
  <c r="DJ120" i="489"/>
  <c r="DK120" i="489"/>
  <c r="DL120" i="489"/>
  <c r="DM120" i="489"/>
  <c r="DN120" i="489"/>
  <c r="DO120" i="489"/>
  <c r="DP120" i="489"/>
  <c r="DQ120" i="489"/>
  <c r="DR120" i="489"/>
  <c r="DS120" i="489"/>
  <c r="DT120" i="489"/>
  <c r="DU120" i="489"/>
  <c r="DV120" i="489"/>
  <c r="DW120" i="489"/>
  <c r="DX120" i="489"/>
  <c r="DY120" i="489"/>
  <c r="DZ120" i="489"/>
  <c r="EA120" i="489"/>
  <c r="EB120" i="489"/>
  <c r="EC120" i="489"/>
  <c r="ED120" i="489"/>
  <c r="EE120" i="489"/>
  <c r="EF120" i="489"/>
  <c r="EG120" i="489"/>
  <c r="EH120" i="489"/>
  <c r="EI120" i="489"/>
  <c r="EJ120" i="489"/>
  <c r="EK120" i="489"/>
  <c r="EL120" i="489"/>
  <c r="EM120" i="489"/>
  <c r="EN120" i="489"/>
  <c r="EO120" i="489"/>
  <c r="EP120" i="489"/>
  <c r="EQ120" i="489"/>
  <c r="ER120" i="489"/>
  <c r="ES120" i="489"/>
  <c r="ET120" i="489"/>
  <c r="EU120" i="489"/>
  <c r="EV120" i="489"/>
  <c r="EW120" i="489"/>
  <c r="EX120" i="489"/>
  <c r="J121" i="489"/>
  <c r="K121" i="489"/>
  <c r="L121" i="489"/>
  <c r="M121" i="489"/>
  <c r="N121" i="489"/>
  <c r="O121" i="489"/>
  <c r="P121" i="489"/>
  <c r="Q121" i="489"/>
  <c r="R121" i="489"/>
  <c r="S121" i="489"/>
  <c r="T121" i="489"/>
  <c r="U121" i="489"/>
  <c r="V121" i="489"/>
  <c r="W121" i="489"/>
  <c r="X121" i="489"/>
  <c r="Y121" i="489"/>
  <c r="Z121" i="489"/>
  <c r="AA121" i="489"/>
  <c r="AB121" i="489"/>
  <c r="AC121" i="489"/>
  <c r="AD121" i="489"/>
  <c r="AE121" i="489"/>
  <c r="AF121" i="489"/>
  <c r="AG121" i="489"/>
  <c r="AH121" i="489"/>
  <c r="AI121" i="489"/>
  <c r="AJ121" i="489"/>
  <c r="AK121" i="489"/>
  <c r="AL121" i="489"/>
  <c r="AM121" i="489"/>
  <c r="AN121" i="489"/>
  <c r="AO121" i="489"/>
  <c r="AP121" i="489"/>
  <c r="AQ121" i="489"/>
  <c r="AR121" i="489"/>
  <c r="AS121" i="489"/>
  <c r="AT121" i="489"/>
  <c r="AU121" i="489"/>
  <c r="AV121" i="489"/>
  <c r="AW121" i="489"/>
  <c r="AX121" i="489"/>
  <c r="AY121" i="489"/>
  <c r="AZ121" i="489"/>
  <c r="BA121" i="489"/>
  <c r="BB121" i="489"/>
  <c r="BC121" i="489"/>
  <c r="BD121" i="489"/>
  <c r="BE121" i="489"/>
  <c r="BF121" i="489"/>
  <c r="BG121" i="489"/>
  <c r="BH121" i="489"/>
  <c r="BI121" i="489"/>
  <c r="BJ121" i="489"/>
  <c r="BK121" i="489"/>
  <c r="BL121" i="489"/>
  <c r="BM121" i="489"/>
  <c r="BN121" i="489"/>
  <c r="BO121" i="489"/>
  <c r="BP121" i="489"/>
  <c r="BQ121" i="489"/>
  <c r="BR121" i="489"/>
  <c r="BS121" i="489"/>
  <c r="BT121" i="489"/>
  <c r="BU121" i="489"/>
  <c r="BV121" i="489"/>
  <c r="BW121" i="489"/>
  <c r="BX121" i="489"/>
  <c r="BY121" i="489"/>
  <c r="BZ121" i="489"/>
  <c r="CA121" i="489"/>
  <c r="CB121" i="489"/>
  <c r="CC121" i="489"/>
  <c r="CD121" i="489"/>
  <c r="CE121" i="489"/>
  <c r="CF121" i="489"/>
  <c r="CG121" i="489"/>
  <c r="CH121" i="489"/>
  <c r="CI121" i="489"/>
  <c r="CJ121" i="489"/>
  <c r="CK121" i="489"/>
  <c r="CL121" i="489"/>
  <c r="CM121" i="489"/>
  <c r="CN121" i="489"/>
  <c r="CO121" i="489"/>
  <c r="CP121" i="489"/>
  <c r="CR121" i="489"/>
  <c r="CS121" i="489"/>
  <c r="CT121" i="489"/>
  <c r="CU121" i="489"/>
  <c r="CV121" i="489"/>
  <c r="CW121" i="489"/>
  <c r="CX121" i="489"/>
  <c r="CY121" i="489"/>
  <c r="DA121" i="489"/>
  <c r="DB121" i="489"/>
  <c r="DC121" i="489"/>
  <c r="DD121" i="489"/>
  <c r="DF121" i="489"/>
  <c r="DG121" i="489"/>
  <c r="DH121" i="489"/>
  <c r="DI121" i="489"/>
  <c r="DJ121" i="489"/>
  <c r="DK121" i="489"/>
  <c r="DL121" i="489"/>
  <c r="DM121" i="489"/>
  <c r="DN121" i="489"/>
  <c r="DO121" i="489"/>
  <c r="DP121" i="489"/>
  <c r="DQ121" i="489"/>
  <c r="DR121" i="489"/>
  <c r="DS121" i="489"/>
  <c r="DT121" i="489"/>
  <c r="DU121" i="489"/>
  <c r="DV121" i="489"/>
  <c r="DW121" i="489"/>
  <c r="DX121" i="489"/>
  <c r="DY121" i="489"/>
  <c r="DZ121" i="489"/>
  <c r="EA121" i="489"/>
  <c r="EB121" i="489"/>
  <c r="EC121" i="489"/>
  <c r="ED121" i="489"/>
  <c r="EE121" i="489"/>
  <c r="EF121" i="489"/>
  <c r="EG121" i="489"/>
  <c r="EH121" i="489"/>
  <c r="EI121" i="489"/>
  <c r="EJ121" i="489"/>
  <c r="EK121" i="489"/>
  <c r="EL121" i="489"/>
  <c r="EM121" i="489"/>
  <c r="EN121" i="489"/>
  <c r="EO121" i="489"/>
  <c r="EP121" i="489"/>
  <c r="EQ121" i="489"/>
  <c r="ER121" i="489"/>
  <c r="ES121" i="489"/>
  <c r="ET121" i="489"/>
  <c r="EU121" i="489"/>
  <c r="EV121" i="489"/>
  <c r="EW121" i="489"/>
  <c r="EX121" i="489"/>
  <c r="C122" i="489"/>
  <c r="H122" i="489"/>
  <c r="J122" i="489"/>
  <c r="K122" i="489"/>
  <c r="L122" i="489"/>
  <c r="M122" i="489"/>
  <c r="N122" i="489"/>
  <c r="O122" i="489"/>
  <c r="P122" i="489"/>
  <c r="Q122" i="489"/>
  <c r="R122" i="489"/>
  <c r="S122" i="489"/>
  <c r="T122" i="489"/>
  <c r="U122" i="489"/>
  <c r="V122" i="489"/>
  <c r="W122" i="489"/>
  <c r="X122" i="489"/>
  <c r="Y122" i="489"/>
  <c r="Z122" i="489"/>
  <c r="AA122" i="489"/>
  <c r="AB122" i="489"/>
  <c r="AC122" i="489"/>
  <c r="AD122" i="489"/>
  <c r="AE122" i="489"/>
  <c r="AF122" i="489"/>
  <c r="AG122" i="489"/>
  <c r="AH122" i="489"/>
  <c r="AI122" i="489"/>
  <c r="AJ122" i="489"/>
  <c r="AK122" i="489"/>
  <c r="AL122" i="489"/>
  <c r="AM122" i="489"/>
  <c r="AN122" i="489"/>
  <c r="AO122" i="489"/>
  <c r="AP122" i="489"/>
  <c r="AQ122" i="489"/>
  <c r="AR122" i="489"/>
  <c r="AS122" i="489"/>
  <c r="AT122" i="489"/>
  <c r="AU122" i="489"/>
  <c r="AV122" i="489"/>
  <c r="AW122" i="489"/>
  <c r="AX122" i="489"/>
  <c r="AY122" i="489"/>
  <c r="AZ122" i="489"/>
  <c r="BA122" i="489"/>
  <c r="BB122" i="489"/>
  <c r="BC122" i="489"/>
  <c r="BD122" i="489"/>
  <c r="BE122" i="489"/>
  <c r="BF122" i="489"/>
  <c r="BG122" i="489"/>
  <c r="BH122" i="489"/>
  <c r="BI122" i="489"/>
  <c r="BJ122" i="489"/>
  <c r="BK122" i="489"/>
  <c r="BL122" i="489"/>
  <c r="BM122" i="489"/>
  <c r="BN122" i="489"/>
  <c r="BO122" i="489"/>
  <c r="BP122" i="489"/>
  <c r="BQ122" i="489"/>
  <c r="BR122" i="489"/>
  <c r="BS122" i="489"/>
  <c r="BT122" i="489"/>
  <c r="BU122" i="489"/>
  <c r="BV122" i="489"/>
  <c r="BW122" i="489"/>
  <c r="BX122" i="489"/>
  <c r="BY122" i="489"/>
  <c r="BZ122" i="489"/>
  <c r="CA122" i="489"/>
  <c r="CB122" i="489"/>
  <c r="CC122" i="489"/>
  <c r="CD122" i="489"/>
  <c r="CE122" i="489"/>
  <c r="CF122" i="489"/>
  <c r="CG122" i="489"/>
  <c r="CH122" i="489"/>
  <c r="CI122" i="489"/>
  <c r="CJ122" i="489"/>
  <c r="CK122" i="489"/>
  <c r="CL122" i="489"/>
  <c r="CM122" i="489"/>
  <c r="CN122" i="489"/>
  <c r="CO122" i="489"/>
  <c r="CP122" i="489"/>
  <c r="CQ122" i="489"/>
  <c r="CR122" i="489"/>
  <c r="CS122" i="489"/>
  <c r="CT122" i="489"/>
  <c r="CU122" i="489"/>
  <c r="CV122" i="489"/>
  <c r="CW122" i="489"/>
  <c r="CX122" i="489"/>
  <c r="CY122" i="489"/>
  <c r="CZ122" i="489"/>
  <c r="DA122" i="489"/>
  <c r="DB122" i="489"/>
  <c r="DC122" i="489"/>
  <c r="DD122" i="489"/>
  <c r="DE122" i="489"/>
  <c r="DF122" i="489"/>
  <c r="DG122" i="489"/>
  <c r="DH122" i="489"/>
  <c r="DI122" i="489"/>
  <c r="DJ122" i="489"/>
  <c r="DK122" i="489"/>
  <c r="DL122" i="489"/>
  <c r="DM122" i="489"/>
  <c r="DN122" i="489"/>
  <c r="DO122" i="489"/>
  <c r="DP122" i="489"/>
  <c r="DQ122" i="489"/>
  <c r="DR122" i="489"/>
  <c r="DS122" i="489"/>
  <c r="DT122" i="489"/>
  <c r="DU122" i="489"/>
  <c r="DV122" i="489"/>
  <c r="DW122" i="489"/>
  <c r="DX122" i="489"/>
  <c r="DY122" i="489"/>
  <c r="DZ122" i="489"/>
  <c r="EA122" i="489"/>
  <c r="EB122" i="489"/>
  <c r="EC122" i="489"/>
  <c r="ED122" i="489"/>
  <c r="EE122" i="489"/>
  <c r="EF122" i="489"/>
  <c r="EG122" i="489"/>
  <c r="EH122" i="489"/>
  <c r="EI122" i="489"/>
  <c r="EJ122" i="489"/>
  <c r="EK122" i="489"/>
  <c r="EL122" i="489"/>
  <c r="EM122" i="489"/>
  <c r="EN122" i="489"/>
  <c r="EO122" i="489"/>
  <c r="EP122" i="489"/>
  <c r="EQ122" i="489"/>
  <c r="ER122" i="489"/>
  <c r="ES122" i="489"/>
  <c r="ET122" i="489"/>
  <c r="EU122" i="489"/>
  <c r="EW122" i="489"/>
  <c r="EX122" i="489"/>
  <c r="C123" i="489"/>
  <c r="H123" i="489"/>
  <c r="J123" i="489"/>
  <c r="K123" i="489"/>
  <c r="L123" i="489"/>
  <c r="M123" i="489"/>
  <c r="N123" i="489"/>
  <c r="O123" i="489"/>
  <c r="P123" i="489"/>
  <c r="Q123" i="489"/>
  <c r="R123" i="489"/>
  <c r="S123" i="489"/>
  <c r="T123" i="489"/>
  <c r="U123" i="489"/>
  <c r="V123" i="489"/>
  <c r="W123" i="489"/>
  <c r="X123" i="489"/>
  <c r="Y123" i="489"/>
  <c r="Z123" i="489"/>
  <c r="AA123" i="489"/>
  <c r="AB123" i="489"/>
  <c r="AC123" i="489"/>
  <c r="AD123" i="489"/>
  <c r="AE123" i="489"/>
  <c r="AF123" i="489"/>
  <c r="AG123" i="489"/>
  <c r="AH123" i="489"/>
  <c r="AI123" i="489"/>
  <c r="AJ123" i="489"/>
  <c r="AK123" i="489"/>
  <c r="AL123" i="489"/>
  <c r="AM123" i="489"/>
  <c r="AN123" i="489"/>
  <c r="AO123" i="489"/>
  <c r="AP123" i="489"/>
  <c r="AQ123" i="489"/>
  <c r="AR123" i="489"/>
  <c r="AS123" i="489"/>
  <c r="AT123" i="489"/>
  <c r="AU123" i="489"/>
  <c r="AV123" i="489"/>
  <c r="AW123" i="489"/>
  <c r="AX123" i="489"/>
  <c r="AY123" i="489"/>
  <c r="AZ123" i="489"/>
  <c r="BA123" i="489"/>
  <c r="BB123" i="489"/>
  <c r="BC123" i="489"/>
  <c r="BD123" i="489"/>
  <c r="BE123" i="489"/>
  <c r="BF123" i="489"/>
  <c r="BG123" i="489"/>
  <c r="BH123" i="489"/>
  <c r="BI123" i="489"/>
  <c r="BJ123" i="489"/>
  <c r="BK123" i="489"/>
  <c r="BL123" i="489"/>
  <c r="BM123" i="489"/>
  <c r="BN123" i="489"/>
  <c r="BO123" i="489"/>
  <c r="BP123" i="489"/>
  <c r="BQ123" i="489"/>
  <c r="BR123" i="489"/>
  <c r="BS123" i="489"/>
  <c r="BT123" i="489"/>
  <c r="BU123" i="489"/>
  <c r="BV123" i="489"/>
  <c r="BW123" i="489"/>
  <c r="BX123" i="489"/>
  <c r="BY123" i="489"/>
  <c r="BZ123" i="489"/>
  <c r="CA123" i="489"/>
  <c r="CB123" i="489"/>
  <c r="CC123" i="489"/>
  <c r="CD123" i="489"/>
  <c r="CE123" i="489"/>
  <c r="CF123" i="489"/>
  <c r="CG123" i="489"/>
  <c r="CH123" i="489"/>
  <c r="CI123" i="489"/>
  <c r="CJ123" i="489"/>
  <c r="CK123" i="489"/>
  <c r="CL123" i="489"/>
  <c r="CM123" i="489"/>
  <c r="CN123" i="489"/>
  <c r="CO123" i="489"/>
  <c r="CP123" i="489"/>
  <c r="CQ123" i="489"/>
  <c r="CR123" i="489"/>
  <c r="CS123" i="489"/>
  <c r="CT123" i="489"/>
  <c r="CU123" i="489"/>
  <c r="CV123" i="489"/>
  <c r="CW123" i="489"/>
  <c r="CX123" i="489"/>
  <c r="CY123" i="489"/>
  <c r="CZ123" i="489"/>
  <c r="DA123" i="489"/>
  <c r="DB123" i="489"/>
  <c r="DC123" i="489"/>
  <c r="DD123" i="489"/>
  <c r="DE123" i="489"/>
  <c r="DF123" i="489"/>
  <c r="DG123" i="489"/>
  <c r="DH123" i="489"/>
  <c r="DI123" i="489"/>
  <c r="DJ123" i="489"/>
  <c r="DK123" i="489"/>
  <c r="DL123" i="489"/>
  <c r="DM123" i="489"/>
  <c r="DN123" i="489"/>
  <c r="DO123" i="489"/>
  <c r="DP123" i="489"/>
  <c r="DQ123" i="489"/>
  <c r="DR123" i="489"/>
  <c r="DS123" i="489"/>
  <c r="DT123" i="489"/>
  <c r="DU123" i="489"/>
  <c r="DV123" i="489"/>
  <c r="DW123" i="489"/>
  <c r="DX123" i="489"/>
  <c r="DY123" i="489"/>
  <c r="DZ123" i="489"/>
  <c r="EA123" i="489"/>
  <c r="EB123" i="489"/>
  <c r="EC123" i="489"/>
  <c r="ED123" i="489"/>
  <c r="EE123" i="489"/>
  <c r="EF123" i="489"/>
  <c r="EG123" i="489"/>
  <c r="EH123" i="489"/>
  <c r="EI123" i="489"/>
  <c r="EJ123" i="489"/>
  <c r="EK123" i="489"/>
  <c r="EL123" i="489"/>
  <c r="EM123" i="489"/>
  <c r="EN123" i="489"/>
  <c r="EO123" i="489"/>
  <c r="EP123" i="489"/>
  <c r="EQ123" i="489"/>
  <c r="ER123" i="489"/>
  <c r="ES123" i="489"/>
  <c r="ET123" i="489"/>
  <c r="EU123" i="489"/>
  <c r="EV123" i="489"/>
  <c r="EX123" i="489"/>
  <c r="C124" i="489"/>
  <c r="H124" i="489"/>
  <c r="J124" i="489"/>
  <c r="K124" i="489"/>
  <c r="L124" i="489"/>
  <c r="M124" i="489"/>
  <c r="N124" i="489"/>
  <c r="O124" i="489"/>
  <c r="P124" i="489"/>
  <c r="Q124" i="489"/>
  <c r="R124" i="489"/>
  <c r="S124" i="489"/>
  <c r="T124" i="489"/>
  <c r="U124" i="489"/>
  <c r="V124" i="489"/>
  <c r="W124" i="489"/>
  <c r="X124" i="489"/>
  <c r="Y124" i="489"/>
  <c r="Z124" i="489"/>
  <c r="AA124" i="489"/>
  <c r="AB124" i="489"/>
  <c r="AC124" i="489"/>
  <c r="AD124" i="489"/>
  <c r="AE124" i="489"/>
  <c r="AF124" i="489"/>
  <c r="AG124" i="489"/>
  <c r="AH124" i="489"/>
  <c r="AI124" i="489"/>
  <c r="AJ124" i="489"/>
  <c r="AK124" i="489"/>
  <c r="AL124" i="489"/>
  <c r="AM124" i="489"/>
  <c r="AN124" i="489"/>
  <c r="AO124" i="489"/>
  <c r="AP124" i="489"/>
  <c r="AQ124" i="489"/>
  <c r="AR124" i="489"/>
  <c r="AS124" i="489"/>
  <c r="AT124" i="489"/>
  <c r="AU124" i="489"/>
  <c r="AV124" i="489"/>
  <c r="AW124" i="489"/>
  <c r="AX124" i="489"/>
  <c r="AY124" i="489"/>
  <c r="AZ124" i="489"/>
  <c r="BA124" i="489"/>
  <c r="BB124" i="489"/>
  <c r="BC124" i="489"/>
  <c r="BD124" i="489"/>
  <c r="BE124" i="489"/>
  <c r="BF124" i="489"/>
  <c r="BG124" i="489"/>
  <c r="BH124" i="489"/>
  <c r="BI124" i="489"/>
  <c r="BJ124" i="489"/>
  <c r="BK124" i="489"/>
  <c r="BL124" i="489"/>
  <c r="BM124" i="489"/>
  <c r="BN124" i="489"/>
  <c r="BO124" i="489"/>
  <c r="BP124" i="489"/>
  <c r="BQ124" i="489"/>
  <c r="BR124" i="489"/>
  <c r="BS124" i="489"/>
  <c r="BT124" i="489"/>
  <c r="BU124" i="489"/>
  <c r="BV124" i="489"/>
  <c r="BW124" i="489"/>
  <c r="BX124" i="489"/>
  <c r="BY124" i="489"/>
  <c r="BZ124" i="489"/>
  <c r="CA124" i="489"/>
  <c r="CB124" i="489"/>
  <c r="CC124" i="489"/>
  <c r="CD124" i="489"/>
  <c r="CE124" i="489"/>
  <c r="CF124" i="489"/>
  <c r="CG124" i="489"/>
  <c r="CH124" i="489"/>
  <c r="CI124" i="489"/>
  <c r="CJ124" i="489"/>
  <c r="CK124" i="489"/>
  <c r="CL124" i="489"/>
  <c r="CM124" i="489"/>
  <c r="CN124" i="489"/>
  <c r="CO124" i="489"/>
  <c r="CP124" i="489"/>
  <c r="CQ124" i="489"/>
  <c r="CR124" i="489"/>
  <c r="CS124" i="489"/>
  <c r="CT124" i="489"/>
  <c r="CU124" i="489"/>
  <c r="CV124" i="489"/>
  <c r="CW124" i="489"/>
  <c r="CX124" i="489"/>
  <c r="CY124" i="489"/>
  <c r="CZ124" i="489"/>
  <c r="DA124" i="489"/>
  <c r="DB124" i="489"/>
  <c r="DC124" i="489"/>
  <c r="DD124" i="489"/>
  <c r="DE124" i="489"/>
  <c r="DF124" i="489"/>
  <c r="DG124" i="489"/>
  <c r="DH124" i="489"/>
  <c r="DI124" i="489"/>
  <c r="DJ124" i="489"/>
  <c r="DK124" i="489"/>
  <c r="DL124" i="489"/>
  <c r="DM124" i="489"/>
  <c r="DN124" i="489"/>
  <c r="DO124" i="489"/>
  <c r="DP124" i="489"/>
  <c r="DQ124" i="489"/>
  <c r="DR124" i="489"/>
  <c r="DS124" i="489"/>
  <c r="DT124" i="489"/>
  <c r="DU124" i="489"/>
  <c r="DV124" i="489"/>
  <c r="DW124" i="489"/>
  <c r="DX124" i="489"/>
  <c r="DY124" i="489"/>
  <c r="DZ124" i="489"/>
  <c r="EB124" i="489"/>
  <c r="EC124" i="489"/>
  <c r="ED124" i="489"/>
  <c r="EE124" i="489"/>
  <c r="EF124" i="489"/>
  <c r="EG124" i="489"/>
  <c r="EH124" i="489"/>
  <c r="EI124" i="489"/>
  <c r="EJ124" i="489"/>
  <c r="EK124" i="489"/>
  <c r="EL124" i="489"/>
  <c r="EM124" i="489"/>
  <c r="EN124" i="489"/>
  <c r="EO124" i="489"/>
  <c r="EP124" i="489"/>
  <c r="EQ124" i="489"/>
  <c r="ER124" i="489"/>
  <c r="ES124" i="489"/>
  <c r="ET124" i="489"/>
  <c r="EU124" i="489"/>
  <c r="EV124" i="489"/>
  <c r="EW124" i="489"/>
  <c r="EX124" i="489"/>
  <c r="J107" i="489"/>
  <c r="K107" i="489"/>
  <c r="L107" i="489"/>
  <c r="M107" i="489"/>
  <c r="N107" i="489"/>
  <c r="O107" i="489"/>
  <c r="P107" i="489"/>
  <c r="Q107" i="489"/>
  <c r="R107" i="489"/>
  <c r="S107" i="489"/>
  <c r="T107" i="489"/>
  <c r="W107" i="489"/>
  <c r="X107" i="489"/>
  <c r="Y107" i="489"/>
  <c r="Z107" i="489"/>
  <c r="AA107" i="489"/>
  <c r="AB107" i="489"/>
  <c r="AC107" i="489"/>
  <c r="AD107" i="489"/>
  <c r="AE107" i="489"/>
  <c r="AF107" i="489"/>
  <c r="AG107" i="489"/>
  <c r="AH107" i="489"/>
  <c r="AI107" i="489"/>
  <c r="AJ107" i="489"/>
  <c r="AK107" i="489"/>
  <c r="AL107" i="489"/>
  <c r="AM107" i="489"/>
  <c r="AN107" i="489"/>
  <c r="AO107" i="489"/>
  <c r="AP107" i="489"/>
  <c r="AQ107" i="489"/>
  <c r="AR107" i="489"/>
  <c r="AS107" i="489"/>
  <c r="AT107" i="489"/>
  <c r="AU107" i="489"/>
  <c r="AV107" i="489"/>
  <c r="AW107" i="489"/>
  <c r="AX107" i="489"/>
  <c r="AY107" i="489"/>
  <c r="AZ107" i="489"/>
  <c r="BA107" i="489"/>
  <c r="BB107" i="489"/>
  <c r="BC107" i="489"/>
  <c r="BD107" i="489"/>
  <c r="BE107" i="489"/>
  <c r="BF107" i="489"/>
  <c r="BG107" i="489"/>
  <c r="BH107" i="489"/>
  <c r="BI107" i="489"/>
  <c r="BJ107" i="489"/>
  <c r="BK107" i="489"/>
  <c r="BL107" i="489"/>
  <c r="BM107" i="489"/>
  <c r="BN107" i="489"/>
  <c r="BO107" i="489"/>
  <c r="BP107" i="489"/>
  <c r="BQ107" i="489"/>
  <c r="BR107" i="489"/>
  <c r="BS107" i="489"/>
  <c r="BT107" i="489"/>
  <c r="BU107" i="489"/>
  <c r="BV107" i="489"/>
  <c r="BW107" i="489"/>
  <c r="BX107" i="489"/>
  <c r="BY107" i="489"/>
  <c r="BZ107" i="489"/>
  <c r="CB107" i="489"/>
  <c r="CC107" i="489"/>
  <c r="CD107" i="489"/>
  <c r="CE107" i="489"/>
  <c r="CF107" i="489"/>
  <c r="CG107" i="489"/>
  <c r="CH107" i="489"/>
  <c r="CI107" i="489"/>
  <c r="CJ107" i="489"/>
  <c r="CK107" i="489"/>
  <c r="CL107" i="489"/>
  <c r="CM107" i="489"/>
  <c r="CN107" i="489"/>
  <c r="CO107" i="489"/>
  <c r="CP107" i="489"/>
  <c r="CQ107" i="489"/>
  <c r="CR107" i="489"/>
  <c r="CS107" i="489"/>
  <c r="CT107" i="489"/>
  <c r="CU107" i="489"/>
  <c r="CV107" i="489"/>
  <c r="CW107" i="489"/>
  <c r="CX107" i="489"/>
  <c r="CY107" i="489"/>
  <c r="DA107" i="489"/>
  <c r="DB107" i="489"/>
  <c r="DC107" i="489"/>
  <c r="DD107" i="489"/>
  <c r="DE107" i="489"/>
  <c r="DF107" i="489"/>
  <c r="DG107" i="489"/>
  <c r="DH107" i="489"/>
  <c r="DI107" i="489"/>
  <c r="DJ107" i="489"/>
  <c r="DK107" i="489"/>
  <c r="DL107" i="489"/>
  <c r="DM107" i="489"/>
  <c r="DN107" i="489"/>
  <c r="DO107" i="489"/>
  <c r="DP107" i="489"/>
  <c r="DQ107" i="489"/>
  <c r="DR107" i="489"/>
  <c r="DS107" i="489"/>
  <c r="DT107" i="489"/>
  <c r="DU107" i="489"/>
  <c r="DV107" i="489"/>
  <c r="DW107" i="489"/>
  <c r="DX107" i="489"/>
  <c r="DY107" i="489"/>
  <c r="DZ107" i="489"/>
  <c r="EA107" i="489"/>
  <c r="EB107" i="489"/>
  <c r="EC107" i="489"/>
  <c r="ED107" i="489"/>
  <c r="EE107" i="489"/>
  <c r="EF107" i="489"/>
  <c r="EG107" i="489"/>
  <c r="EH107" i="489"/>
  <c r="EI107" i="489"/>
  <c r="EJ107" i="489"/>
  <c r="EK107" i="489"/>
  <c r="EL107" i="489"/>
  <c r="EM107" i="489"/>
  <c r="EN107" i="489"/>
  <c r="EO107" i="489"/>
  <c r="EP107" i="489"/>
  <c r="EQ107" i="489"/>
  <c r="ER107" i="489"/>
  <c r="ES107" i="489"/>
  <c r="ET107" i="489"/>
  <c r="EU107" i="489"/>
  <c r="EV107" i="489"/>
  <c r="EW107" i="489"/>
  <c r="EX107" i="489"/>
  <c r="J108" i="489"/>
  <c r="K108" i="489"/>
  <c r="L108" i="489"/>
  <c r="M108" i="489"/>
  <c r="N108" i="489"/>
  <c r="O108" i="489"/>
  <c r="P108" i="489"/>
  <c r="Q108" i="489"/>
  <c r="R108" i="489"/>
  <c r="S108" i="489"/>
  <c r="T108" i="489"/>
  <c r="U108" i="489"/>
  <c r="W108" i="489"/>
  <c r="X108" i="489"/>
  <c r="Y108" i="489"/>
  <c r="Z108" i="489"/>
  <c r="AA108" i="489"/>
  <c r="AB108" i="489"/>
  <c r="AC108" i="489"/>
  <c r="AD108" i="489"/>
  <c r="AE108" i="489"/>
  <c r="AF108" i="489"/>
  <c r="AG108" i="489"/>
  <c r="AH108" i="489"/>
  <c r="AI108" i="489"/>
  <c r="AJ108" i="489"/>
  <c r="AK108" i="489"/>
  <c r="AL108" i="489"/>
  <c r="AM108" i="489"/>
  <c r="AN108" i="489"/>
  <c r="AO108" i="489"/>
  <c r="AP108" i="489"/>
  <c r="AQ108" i="489"/>
  <c r="AR108" i="489"/>
  <c r="AS108" i="489"/>
  <c r="AT108" i="489"/>
  <c r="AU108" i="489"/>
  <c r="AV108" i="489"/>
  <c r="AW108" i="489"/>
  <c r="AX108" i="489"/>
  <c r="AY108" i="489"/>
  <c r="AZ108" i="489"/>
  <c r="BA108" i="489"/>
  <c r="BB108" i="489"/>
  <c r="BC108" i="489"/>
  <c r="BD108" i="489"/>
  <c r="BE108" i="489"/>
  <c r="BF108" i="489"/>
  <c r="BG108" i="489"/>
  <c r="BH108" i="489"/>
  <c r="BI108" i="489"/>
  <c r="BJ108" i="489"/>
  <c r="BK108" i="489"/>
  <c r="BL108" i="489"/>
  <c r="BM108" i="489"/>
  <c r="BN108" i="489"/>
  <c r="BO108" i="489"/>
  <c r="BP108" i="489"/>
  <c r="BQ108" i="489"/>
  <c r="BR108" i="489"/>
  <c r="BS108" i="489"/>
  <c r="BT108" i="489"/>
  <c r="BU108" i="489"/>
  <c r="BV108" i="489"/>
  <c r="BW108" i="489"/>
  <c r="BX108" i="489"/>
  <c r="BY108" i="489"/>
  <c r="BZ108" i="489"/>
  <c r="CA108" i="489"/>
  <c r="CB108" i="489"/>
  <c r="CC108" i="489"/>
  <c r="CD108" i="489"/>
  <c r="CE108" i="489"/>
  <c r="CF108" i="489"/>
  <c r="CG108" i="489"/>
  <c r="CH108" i="489"/>
  <c r="CI108" i="489"/>
  <c r="CJ108" i="489"/>
  <c r="CK108" i="489"/>
  <c r="CL108" i="489"/>
  <c r="CM108" i="489"/>
  <c r="CN108" i="489"/>
  <c r="CO108" i="489"/>
  <c r="CP108" i="489"/>
  <c r="CQ108" i="489"/>
  <c r="CR108" i="489"/>
  <c r="CS108" i="489"/>
  <c r="CT108" i="489"/>
  <c r="CU108" i="489"/>
  <c r="CV108" i="489"/>
  <c r="CW108" i="489"/>
  <c r="CX108" i="489"/>
  <c r="CY108" i="489"/>
  <c r="CZ108" i="489"/>
  <c r="DA108" i="489"/>
  <c r="DB108" i="489"/>
  <c r="DC108" i="489"/>
  <c r="DD108" i="489"/>
  <c r="DE108" i="489"/>
  <c r="DF108" i="489"/>
  <c r="DG108" i="489"/>
  <c r="DH108" i="489"/>
  <c r="DI108" i="489"/>
  <c r="DJ108" i="489"/>
  <c r="DK108" i="489"/>
  <c r="DL108" i="489"/>
  <c r="DM108" i="489"/>
  <c r="DN108" i="489"/>
  <c r="DO108" i="489"/>
  <c r="DP108" i="489"/>
  <c r="DQ108" i="489"/>
  <c r="DR108" i="489"/>
  <c r="DS108" i="489"/>
  <c r="DT108" i="489"/>
  <c r="DU108" i="489"/>
  <c r="DV108" i="489"/>
  <c r="DW108" i="489"/>
  <c r="DX108" i="489"/>
  <c r="DY108" i="489"/>
  <c r="DZ108" i="489"/>
  <c r="EA108" i="489"/>
  <c r="EB108" i="489"/>
  <c r="EC108" i="489"/>
  <c r="ED108" i="489"/>
  <c r="EE108" i="489"/>
  <c r="EF108" i="489"/>
  <c r="EG108" i="489"/>
  <c r="EH108" i="489"/>
  <c r="EI108" i="489"/>
  <c r="EJ108" i="489"/>
  <c r="EK108" i="489"/>
  <c r="EL108" i="489"/>
  <c r="EM108" i="489"/>
  <c r="EN108" i="489"/>
  <c r="EO108" i="489"/>
  <c r="EP108" i="489"/>
  <c r="EQ108" i="489"/>
  <c r="ER108" i="489"/>
  <c r="ES108" i="489"/>
  <c r="ET108" i="489"/>
  <c r="EU108" i="489"/>
  <c r="EV108" i="489"/>
  <c r="EW108" i="489"/>
  <c r="EX108" i="489"/>
  <c r="C109" i="489"/>
  <c r="H109" i="489"/>
  <c r="J109" i="489"/>
  <c r="K109" i="489"/>
  <c r="L109" i="489"/>
  <c r="M109" i="489"/>
  <c r="N109" i="489"/>
  <c r="O109" i="489"/>
  <c r="P109" i="489"/>
  <c r="Q109" i="489"/>
  <c r="R109" i="489"/>
  <c r="S109" i="489"/>
  <c r="T109" i="489"/>
  <c r="U109" i="489"/>
  <c r="V109" i="489"/>
  <c r="W109" i="489"/>
  <c r="X109" i="489"/>
  <c r="Y109" i="489"/>
  <c r="Z109" i="489"/>
  <c r="AA109" i="489"/>
  <c r="AB109" i="489"/>
  <c r="AC109" i="489"/>
  <c r="AD109" i="489"/>
  <c r="AE109" i="489"/>
  <c r="AF109" i="489"/>
  <c r="AG109" i="489"/>
  <c r="AH109" i="489"/>
  <c r="AI109" i="489"/>
  <c r="AJ109" i="489"/>
  <c r="AK109" i="489"/>
  <c r="AL109" i="489"/>
  <c r="AM109" i="489"/>
  <c r="AN109" i="489"/>
  <c r="AO109" i="489"/>
  <c r="AP109" i="489"/>
  <c r="AQ109" i="489"/>
  <c r="AR109" i="489"/>
  <c r="AS109" i="489"/>
  <c r="AT109" i="489"/>
  <c r="AU109" i="489"/>
  <c r="AV109" i="489"/>
  <c r="AW109" i="489"/>
  <c r="AX109" i="489"/>
  <c r="AY109" i="489"/>
  <c r="AZ109" i="489"/>
  <c r="BA109" i="489"/>
  <c r="BB109" i="489"/>
  <c r="BC109" i="489"/>
  <c r="BD109" i="489"/>
  <c r="BE109" i="489"/>
  <c r="BF109" i="489"/>
  <c r="BG109" i="489"/>
  <c r="BH109" i="489"/>
  <c r="BI109" i="489"/>
  <c r="BJ109" i="489"/>
  <c r="BK109" i="489"/>
  <c r="BL109" i="489"/>
  <c r="BM109" i="489"/>
  <c r="BN109" i="489"/>
  <c r="BO109" i="489"/>
  <c r="BP109" i="489"/>
  <c r="BQ109" i="489"/>
  <c r="BR109" i="489"/>
  <c r="BS109" i="489"/>
  <c r="BT109" i="489"/>
  <c r="BU109" i="489"/>
  <c r="BV109" i="489"/>
  <c r="BW109" i="489"/>
  <c r="BX109" i="489"/>
  <c r="BY109" i="489"/>
  <c r="BZ109" i="489"/>
  <c r="CA109" i="489"/>
  <c r="CB109" i="489"/>
  <c r="CC109" i="489"/>
  <c r="CD109" i="489"/>
  <c r="CE109" i="489"/>
  <c r="CF109" i="489"/>
  <c r="CG109" i="489"/>
  <c r="CH109" i="489"/>
  <c r="CI109" i="489"/>
  <c r="CJ109" i="489"/>
  <c r="CK109" i="489"/>
  <c r="CL109" i="489"/>
  <c r="CM109" i="489"/>
  <c r="CN109" i="489"/>
  <c r="CO109" i="489"/>
  <c r="CP109" i="489"/>
  <c r="CQ109" i="489"/>
  <c r="CR109" i="489"/>
  <c r="CS109" i="489"/>
  <c r="CT109" i="489"/>
  <c r="CU109" i="489"/>
  <c r="CV109" i="489"/>
  <c r="CW109" i="489"/>
  <c r="CX109" i="489"/>
  <c r="CY109" i="489"/>
  <c r="CZ109" i="489"/>
  <c r="DA109" i="489"/>
  <c r="DB109" i="489"/>
  <c r="DC109" i="489"/>
  <c r="DD109" i="489"/>
  <c r="DE109" i="489"/>
  <c r="DF109" i="489"/>
  <c r="DG109" i="489"/>
  <c r="DH109" i="489"/>
  <c r="DI109" i="489"/>
  <c r="DJ109" i="489"/>
  <c r="DK109" i="489"/>
  <c r="DL109" i="489"/>
  <c r="DM109" i="489"/>
  <c r="DN109" i="489"/>
  <c r="DO109" i="489"/>
  <c r="DP109" i="489"/>
  <c r="DQ109" i="489"/>
  <c r="DR109" i="489"/>
  <c r="DS109" i="489"/>
  <c r="DT109" i="489"/>
  <c r="DU109" i="489"/>
  <c r="DV109" i="489"/>
  <c r="DW109" i="489"/>
  <c r="DX109" i="489"/>
  <c r="DY109" i="489"/>
  <c r="DZ109" i="489"/>
  <c r="EA109" i="489"/>
  <c r="EB109" i="489"/>
  <c r="EC109" i="489"/>
  <c r="ED109" i="489"/>
  <c r="EE109" i="489"/>
  <c r="EF109" i="489"/>
  <c r="EG109" i="489"/>
  <c r="EH109" i="489"/>
  <c r="EI109" i="489"/>
  <c r="EJ109" i="489"/>
  <c r="EK109" i="489"/>
  <c r="EL109" i="489"/>
  <c r="EM109" i="489"/>
  <c r="EN109" i="489"/>
  <c r="EO109" i="489"/>
  <c r="EP109" i="489"/>
  <c r="EQ109" i="489"/>
  <c r="ER109" i="489"/>
  <c r="ES109" i="489"/>
  <c r="ET109" i="489"/>
  <c r="EU109" i="489"/>
  <c r="EV109" i="489"/>
  <c r="EX109" i="489"/>
  <c r="J110" i="489"/>
  <c r="K110" i="489"/>
  <c r="L110" i="489"/>
  <c r="M110" i="489"/>
  <c r="N110" i="489"/>
  <c r="O110" i="489"/>
  <c r="P110" i="489"/>
  <c r="Q110" i="489"/>
  <c r="R110" i="489"/>
  <c r="S110" i="489"/>
  <c r="T110" i="489"/>
  <c r="U110" i="489"/>
  <c r="V110" i="489"/>
  <c r="W110" i="489"/>
  <c r="X110" i="489"/>
  <c r="Y110" i="489"/>
  <c r="Z110" i="489"/>
  <c r="AA110" i="489"/>
  <c r="AB110" i="489"/>
  <c r="AC110" i="489"/>
  <c r="AD110" i="489"/>
  <c r="AE110" i="489"/>
  <c r="AF110" i="489"/>
  <c r="AG110" i="489"/>
  <c r="AH110" i="489"/>
  <c r="AI110" i="489"/>
  <c r="AJ110" i="489"/>
  <c r="AK110" i="489"/>
  <c r="AL110" i="489"/>
  <c r="AM110" i="489"/>
  <c r="AN110" i="489"/>
  <c r="AO110" i="489"/>
  <c r="AP110" i="489"/>
  <c r="AQ110" i="489"/>
  <c r="AR110" i="489"/>
  <c r="AS110" i="489"/>
  <c r="AT110" i="489"/>
  <c r="AU110" i="489"/>
  <c r="AV110" i="489"/>
  <c r="AW110" i="489"/>
  <c r="AX110" i="489"/>
  <c r="AY110" i="489"/>
  <c r="AZ110" i="489"/>
  <c r="BA110" i="489"/>
  <c r="BB110" i="489"/>
  <c r="BC110" i="489"/>
  <c r="BD110" i="489"/>
  <c r="BE110" i="489"/>
  <c r="BF110" i="489"/>
  <c r="BG110" i="489"/>
  <c r="BH110" i="489"/>
  <c r="BI110" i="489"/>
  <c r="BJ110" i="489"/>
  <c r="BK110" i="489"/>
  <c r="BL110" i="489"/>
  <c r="BM110" i="489"/>
  <c r="BN110" i="489"/>
  <c r="BO110" i="489"/>
  <c r="BP110" i="489"/>
  <c r="BQ110" i="489"/>
  <c r="BR110" i="489"/>
  <c r="BS110" i="489"/>
  <c r="BT110" i="489"/>
  <c r="BU110" i="489"/>
  <c r="BV110" i="489"/>
  <c r="BW110" i="489"/>
  <c r="BX110" i="489"/>
  <c r="BY110" i="489"/>
  <c r="BZ110" i="489"/>
  <c r="CA110" i="489"/>
  <c r="CB110" i="489"/>
  <c r="CC110" i="489"/>
  <c r="CD110" i="489"/>
  <c r="CE110" i="489"/>
  <c r="CF110" i="489"/>
  <c r="CG110" i="489"/>
  <c r="CH110" i="489"/>
  <c r="CI110" i="489"/>
  <c r="CJ110" i="489"/>
  <c r="CK110" i="489"/>
  <c r="CL110" i="489"/>
  <c r="CM110" i="489"/>
  <c r="CN110" i="489"/>
  <c r="CO110" i="489"/>
  <c r="CP110" i="489"/>
  <c r="CQ110" i="489"/>
  <c r="CR110" i="489"/>
  <c r="CS110" i="489"/>
  <c r="CT110" i="489"/>
  <c r="CU110" i="489"/>
  <c r="CV110" i="489"/>
  <c r="CW110" i="489"/>
  <c r="CX110" i="489"/>
  <c r="CY110" i="489"/>
  <c r="DA110" i="489"/>
  <c r="DB110" i="489"/>
  <c r="DC110" i="489"/>
  <c r="DD110" i="489"/>
  <c r="DE110" i="489"/>
  <c r="DF110" i="489"/>
  <c r="DG110" i="489"/>
  <c r="DH110" i="489"/>
  <c r="DI110" i="489"/>
  <c r="DJ110" i="489"/>
  <c r="DK110" i="489"/>
  <c r="DL110" i="489"/>
  <c r="DM110" i="489"/>
  <c r="DN110" i="489"/>
  <c r="DO110" i="489"/>
  <c r="DP110" i="489"/>
  <c r="DQ110" i="489"/>
  <c r="DS110" i="489"/>
  <c r="DT110" i="489"/>
  <c r="DU110" i="489"/>
  <c r="DV110" i="489"/>
  <c r="DW110" i="489"/>
  <c r="DX110" i="489"/>
  <c r="DY110" i="489"/>
  <c r="DZ110" i="489"/>
  <c r="EA110" i="489"/>
  <c r="EB110" i="489"/>
  <c r="EC110" i="489"/>
  <c r="ED110" i="489"/>
  <c r="EE110" i="489"/>
  <c r="EF110" i="489"/>
  <c r="EG110" i="489"/>
  <c r="EH110" i="489"/>
  <c r="EI110" i="489"/>
  <c r="EJ110" i="489"/>
  <c r="EK110" i="489"/>
  <c r="EL110" i="489"/>
  <c r="EM110" i="489"/>
  <c r="EN110" i="489"/>
  <c r="EO110" i="489"/>
  <c r="EP110" i="489"/>
  <c r="EQ110" i="489"/>
  <c r="ER110" i="489"/>
  <c r="ES110" i="489"/>
  <c r="ET110" i="489"/>
  <c r="EU110" i="489"/>
  <c r="EV110" i="489"/>
  <c r="EW110" i="489"/>
  <c r="EX110" i="489"/>
  <c r="C111" i="489"/>
  <c r="D111" i="489"/>
  <c r="E111" i="489"/>
  <c r="F111" i="489"/>
  <c r="G111" i="489"/>
  <c r="H111" i="489"/>
  <c r="J111" i="489"/>
  <c r="K111" i="489"/>
  <c r="L111" i="489"/>
  <c r="M111" i="489"/>
  <c r="N111" i="489"/>
  <c r="O111" i="489"/>
  <c r="P111" i="489"/>
  <c r="Q111" i="489"/>
  <c r="R111" i="489"/>
  <c r="S111" i="489"/>
  <c r="T111" i="489"/>
  <c r="U111" i="489"/>
  <c r="V111" i="489"/>
  <c r="W111" i="489"/>
  <c r="X111" i="489"/>
  <c r="Y111" i="489"/>
  <c r="Z111" i="489"/>
  <c r="AA111" i="489"/>
  <c r="AB111" i="489"/>
  <c r="AC111" i="489"/>
  <c r="AD111" i="489"/>
  <c r="AE111" i="489"/>
  <c r="AF111" i="489"/>
  <c r="AG111" i="489"/>
  <c r="AH111" i="489"/>
  <c r="AI111" i="489"/>
  <c r="AJ111" i="489"/>
  <c r="AK111" i="489"/>
  <c r="AL111" i="489"/>
  <c r="AM111" i="489"/>
  <c r="AN111" i="489"/>
  <c r="AO111" i="489"/>
  <c r="AP111" i="489"/>
  <c r="AQ111" i="489"/>
  <c r="AR111" i="489"/>
  <c r="AS111" i="489"/>
  <c r="AT111" i="489"/>
  <c r="AU111" i="489"/>
  <c r="AV111" i="489"/>
  <c r="AW111" i="489"/>
  <c r="AX111" i="489"/>
  <c r="AY111" i="489"/>
  <c r="AZ111" i="489"/>
  <c r="BA111" i="489"/>
  <c r="BB111" i="489"/>
  <c r="BC111" i="489"/>
  <c r="BD111" i="489"/>
  <c r="BE111" i="489"/>
  <c r="BF111" i="489"/>
  <c r="BG111" i="489"/>
  <c r="BH111" i="489"/>
  <c r="BI111" i="489"/>
  <c r="BJ111" i="489"/>
  <c r="BK111" i="489"/>
  <c r="BL111" i="489"/>
  <c r="BM111" i="489"/>
  <c r="BN111" i="489"/>
  <c r="BO111" i="489"/>
  <c r="BP111" i="489"/>
  <c r="BQ111" i="489"/>
  <c r="BR111" i="489"/>
  <c r="BS111" i="489"/>
  <c r="BT111" i="489"/>
  <c r="BU111" i="489"/>
  <c r="BV111" i="489"/>
  <c r="BW111" i="489"/>
  <c r="BX111" i="489"/>
  <c r="BY111" i="489"/>
  <c r="BZ111" i="489"/>
  <c r="CA111" i="489"/>
  <c r="CB111" i="489"/>
  <c r="CC111" i="489"/>
  <c r="CD111" i="489"/>
  <c r="CE111" i="489"/>
  <c r="CF111" i="489"/>
  <c r="CG111" i="489"/>
  <c r="CH111" i="489"/>
  <c r="CI111" i="489"/>
  <c r="CJ111" i="489"/>
  <c r="CK111" i="489"/>
  <c r="CL111" i="489"/>
  <c r="CM111" i="489"/>
  <c r="CN111" i="489"/>
  <c r="CO111" i="489"/>
  <c r="CP111" i="489"/>
  <c r="CQ111" i="489"/>
  <c r="CR111" i="489"/>
  <c r="CS111" i="489"/>
  <c r="CT111" i="489"/>
  <c r="CU111" i="489"/>
  <c r="CV111" i="489"/>
  <c r="CW111" i="489"/>
  <c r="CX111" i="489"/>
  <c r="CY111" i="489"/>
  <c r="CZ111" i="489"/>
  <c r="DA111" i="489"/>
  <c r="DB111" i="489"/>
  <c r="DC111" i="489"/>
  <c r="DD111" i="489"/>
  <c r="DE111" i="489"/>
  <c r="DF111" i="489"/>
  <c r="DG111" i="489"/>
  <c r="DH111" i="489"/>
  <c r="DI111" i="489"/>
  <c r="DJ111" i="489"/>
  <c r="DK111" i="489"/>
  <c r="DL111" i="489"/>
  <c r="DM111" i="489"/>
  <c r="DN111" i="489"/>
  <c r="DO111" i="489"/>
  <c r="DP111" i="489"/>
  <c r="DQ111" i="489"/>
  <c r="DR111" i="489"/>
  <c r="DS111" i="489"/>
  <c r="DT111" i="489"/>
  <c r="DU111" i="489"/>
  <c r="DV111" i="489"/>
  <c r="DW111" i="489"/>
  <c r="DX111" i="489"/>
  <c r="DY111" i="489"/>
  <c r="DZ111" i="489"/>
  <c r="EA111" i="489"/>
  <c r="EC111" i="489"/>
  <c r="ED111" i="489"/>
  <c r="EE111" i="489"/>
  <c r="EF111" i="489"/>
  <c r="EG111" i="489"/>
  <c r="EH111" i="489"/>
  <c r="EI111" i="489"/>
  <c r="EJ111" i="489"/>
  <c r="EK111" i="489"/>
  <c r="EL111" i="489"/>
  <c r="EM111" i="489"/>
  <c r="EN111" i="489"/>
  <c r="EO111" i="489"/>
  <c r="EP111" i="489"/>
  <c r="EQ111" i="489"/>
  <c r="ER111" i="489"/>
  <c r="ES111" i="489"/>
  <c r="ET111" i="489"/>
  <c r="EU111" i="489"/>
  <c r="EV111" i="489"/>
  <c r="EW111" i="489"/>
  <c r="EX111" i="489"/>
  <c r="C83" i="489"/>
  <c r="D83" i="489"/>
  <c r="E83" i="489"/>
  <c r="F83" i="489"/>
  <c r="G83" i="489"/>
  <c r="H83" i="489"/>
  <c r="J83" i="489"/>
  <c r="K83" i="489"/>
  <c r="L83" i="489"/>
  <c r="M83" i="489"/>
  <c r="N83" i="489"/>
  <c r="O83" i="489"/>
  <c r="P83" i="489"/>
  <c r="Q83" i="489"/>
  <c r="R83" i="489"/>
  <c r="S83" i="489"/>
  <c r="T83" i="489"/>
  <c r="U83" i="489"/>
  <c r="V83" i="489"/>
  <c r="W83" i="489"/>
  <c r="X83" i="489"/>
  <c r="Y83" i="489"/>
  <c r="Z83" i="489"/>
  <c r="AA83" i="489"/>
  <c r="AB83" i="489"/>
  <c r="AC83" i="489"/>
  <c r="AD83" i="489"/>
  <c r="AE83" i="489"/>
  <c r="AF83" i="489"/>
  <c r="AG83" i="489"/>
  <c r="AH83" i="489"/>
  <c r="AI83" i="489"/>
  <c r="AJ83" i="489"/>
  <c r="AK83" i="489"/>
  <c r="AL83" i="489"/>
  <c r="AM83" i="489"/>
  <c r="AN83" i="489"/>
  <c r="AO83" i="489"/>
  <c r="AP83" i="489"/>
  <c r="AQ83" i="489"/>
  <c r="AR83" i="489"/>
  <c r="AS83" i="489"/>
  <c r="AT83" i="489"/>
  <c r="AU83" i="489"/>
  <c r="AV83" i="489"/>
  <c r="AW83" i="489"/>
  <c r="AX83" i="489"/>
  <c r="AY83" i="489"/>
  <c r="AZ83" i="489"/>
  <c r="BA83" i="489"/>
  <c r="BB83" i="489"/>
  <c r="BC83" i="489"/>
  <c r="BD83" i="489"/>
  <c r="BE83" i="489"/>
  <c r="BF83" i="489"/>
  <c r="BG83" i="489"/>
  <c r="BH83" i="489"/>
  <c r="BI83" i="489"/>
  <c r="BJ83" i="489"/>
  <c r="BK83" i="489"/>
  <c r="BL83" i="489"/>
  <c r="BM83" i="489"/>
  <c r="BN83" i="489"/>
  <c r="BO83" i="489"/>
  <c r="BP83" i="489"/>
  <c r="BQ83" i="489"/>
  <c r="BR83" i="489"/>
  <c r="BS83" i="489"/>
  <c r="BT83" i="489"/>
  <c r="BU83" i="489"/>
  <c r="BV83" i="489"/>
  <c r="BW83" i="489"/>
  <c r="BX83" i="489"/>
  <c r="BY83" i="489"/>
  <c r="BZ83" i="489"/>
  <c r="CA83" i="489"/>
  <c r="CB83" i="489"/>
  <c r="CC83" i="489"/>
  <c r="CD83" i="489"/>
  <c r="CE83" i="489"/>
  <c r="CF83" i="489"/>
  <c r="CG83" i="489"/>
  <c r="CH83" i="489"/>
  <c r="CI83" i="489"/>
  <c r="CJ83" i="489"/>
  <c r="CK83" i="489"/>
  <c r="CL83" i="489"/>
  <c r="CM83" i="489"/>
  <c r="CN83" i="489"/>
  <c r="CO83" i="489"/>
  <c r="CP83" i="489"/>
  <c r="CQ83" i="489"/>
  <c r="CR83" i="489"/>
  <c r="CS83" i="489"/>
  <c r="CT83" i="489"/>
  <c r="CU83" i="489"/>
  <c r="CV83" i="489"/>
  <c r="CW83" i="489"/>
  <c r="CX83" i="489"/>
  <c r="CY83" i="489"/>
  <c r="CZ83" i="489"/>
  <c r="DA83" i="489"/>
  <c r="DB83" i="489"/>
  <c r="DC83" i="489"/>
  <c r="DD83" i="489"/>
  <c r="DE83" i="489"/>
  <c r="DF83" i="489"/>
  <c r="DG83" i="489"/>
  <c r="DH83" i="489"/>
  <c r="DI83" i="489"/>
  <c r="DJ83" i="489"/>
  <c r="DK83" i="489"/>
  <c r="DL83" i="489"/>
  <c r="DM83" i="489"/>
  <c r="DN83" i="489"/>
  <c r="DO83" i="489"/>
  <c r="DP83" i="489"/>
  <c r="DQ83" i="489"/>
  <c r="DR83" i="489"/>
  <c r="DS83" i="489"/>
  <c r="DT83" i="489"/>
  <c r="DU83" i="489"/>
  <c r="DV83" i="489"/>
  <c r="DW83" i="489"/>
  <c r="DX83" i="489"/>
  <c r="DY83" i="489"/>
  <c r="DZ83" i="489"/>
  <c r="EA83" i="489"/>
  <c r="EC83" i="489"/>
  <c r="ED83" i="489"/>
  <c r="EE83" i="489"/>
  <c r="EF83" i="489"/>
  <c r="EG83" i="489"/>
  <c r="EH83" i="489"/>
  <c r="EI83" i="489"/>
  <c r="EJ83" i="489"/>
  <c r="EK83" i="489"/>
  <c r="EL83" i="489"/>
  <c r="EM83" i="489"/>
  <c r="EN83" i="489"/>
  <c r="EO83" i="489"/>
  <c r="EP83" i="489"/>
  <c r="EQ83" i="489"/>
  <c r="ER83" i="489"/>
  <c r="ES83" i="489"/>
  <c r="ET83" i="489"/>
  <c r="EU83" i="489"/>
  <c r="EV83" i="489"/>
  <c r="EW83" i="489"/>
  <c r="EX83" i="489"/>
  <c r="C64" i="489"/>
  <c r="H64" i="489"/>
  <c r="J64" i="489"/>
  <c r="K64" i="489"/>
  <c r="L64" i="489"/>
  <c r="M64" i="489"/>
  <c r="N64" i="489"/>
  <c r="O64" i="489"/>
  <c r="P64" i="489"/>
  <c r="Q64" i="489"/>
  <c r="R64" i="489"/>
  <c r="S64" i="489"/>
  <c r="T64" i="489"/>
  <c r="U64" i="489"/>
  <c r="V64" i="489"/>
  <c r="W64" i="489"/>
  <c r="X64" i="489"/>
  <c r="Y64" i="489"/>
  <c r="Z64" i="489"/>
  <c r="AA64" i="489"/>
  <c r="AB64" i="489"/>
  <c r="AC64" i="489"/>
  <c r="AD64" i="489"/>
  <c r="AE64" i="489"/>
  <c r="AF64" i="489"/>
  <c r="AG64" i="489"/>
  <c r="AH64" i="489"/>
  <c r="AI64" i="489"/>
  <c r="AJ64" i="489"/>
  <c r="AK64" i="489"/>
  <c r="AL64" i="489"/>
  <c r="AM64" i="489"/>
  <c r="AN64" i="489"/>
  <c r="AO64" i="489"/>
  <c r="AP64" i="489"/>
  <c r="AQ64" i="489"/>
  <c r="AR64" i="489"/>
  <c r="AS64" i="489"/>
  <c r="AT64" i="489"/>
  <c r="AU64" i="489"/>
  <c r="AV64" i="489"/>
  <c r="AW64" i="489"/>
  <c r="AX64" i="489"/>
  <c r="AY64" i="489"/>
  <c r="AZ64" i="489"/>
  <c r="BA64" i="489"/>
  <c r="BB64" i="489"/>
  <c r="BC64" i="489"/>
  <c r="BD64" i="489"/>
  <c r="BE64" i="489"/>
  <c r="BF64" i="489"/>
  <c r="BG64" i="489"/>
  <c r="BH64" i="489"/>
  <c r="BI64" i="489"/>
  <c r="BJ64" i="489"/>
  <c r="BK64" i="489"/>
  <c r="BL64" i="489"/>
  <c r="BM64" i="489"/>
  <c r="BN64" i="489"/>
  <c r="BO64" i="489"/>
  <c r="BP64" i="489"/>
  <c r="BQ64" i="489"/>
  <c r="BR64" i="489"/>
  <c r="BS64" i="489"/>
  <c r="BT64" i="489"/>
  <c r="BU64" i="489"/>
  <c r="BV64" i="489"/>
  <c r="BW64" i="489"/>
  <c r="BX64" i="489"/>
  <c r="BY64" i="489"/>
  <c r="BZ64" i="489"/>
  <c r="CA64" i="489"/>
  <c r="CB64" i="489"/>
  <c r="CC64" i="489"/>
  <c r="CD64" i="489"/>
  <c r="CE64" i="489"/>
  <c r="CF64" i="489"/>
  <c r="CG64" i="489"/>
  <c r="CH64" i="489"/>
  <c r="CI64" i="489"/>
  <c r="CJ64" i="489"/>
  <c r="CK64" i="489"/>
  <c r="CL64" i="489"/>
  <c r="CM64" i="489"/>
  <c r="CN64" i="489"/>
  <c r="CO64" i="489"/>
  <c r="CP64" i="489"/>
  <c r="CQ64" i="489"/>
  <c r="CR64" i="489"/>
  <c r="CS64" i="489"/>
  <c r="CT64" i="489"/>
  <c r="CU64" i="489"/>
  <c r="CV64" i="489"/>
  <c r="CW64" i="489"/>
  <c r="CX64" i="489"/>
  <c r="CY64" i="489"/>
  <c r="CZ64" i="489"/>
  <c r="DA64" i="489"/>
  <c r="DB64" i="489"/>
  <c r="DC64" i="489"/>
  <c r="DD64" i="489"/>
  <c r="DE64" i="489"/>
  <c r="DF64" i="489"/>
  <c r="DG64" i="489"/>
  <c r="DH64" i="489"/>
  <c r="DI64" i="489"/>
  <c r="DJ64" i="489"/>
  <c r="DK64" i="489"/>
  <c r="DL64" i="489"/>
  <c r="DM64" i="489"/>
  <c r="DN64" i="489"/>
  <c r="DO64" i="489"/>
  <c r="DP64" i="489"/>
  <c r="DQ64" i="489"/>
  <c r="DR64" i="489"/>
  <c r="DS64" i="489"/>
  <c r="DT64" i="489"/>
  <c r="DU64" i="489"/>
  <c r="DV64" i="489"/>
  <c r="DW64" i="489"/>
  <c r="DX64" i="489"/>
  <c r="DY64" i="489"/>
  <c r="DZ64" i="489"/>
  <c r="EB64" i="489"/>
  <c r="EC64" i="489"/>
  <c r="ED64" i="489"/>
  <c r="EE64" i="489"/>
  <c r="EF64" i="489"/>
  <c r="EG64" i="489"/>
  <c r="EH64" i="489"/>
  <c r="EI64" i="489"/>
  <c r="EJ64" i="489"/>
  <c r="EK64" i="489"/>
  <c r="EL64" i="489"/>
  <c r="EM64" i="489"/>
  <c r="EN64" i="489"/>
  <c r="EO64" i="489"/>
  <c r="EP64" i="489"/>
  <c r="EQ64" i="489"/>
  <c r="ER64" i="489"/>
  <c r="ES64" i="489"/>
  <c r="ET64" i="489"/>
  <c r="EU64" i="489"/>
  <c r="EV64" i="489"/>
  <c r="EW64" i="489"/>
  <c r="EX64" i="489"/>
  <c r="J47" i="489"/>
  <c r="K47" i="489"/>
  <c r="L47" i="489"/>
  <c r="M47" i="489"/>
  <c r="N47" i="489"/>
  <c r="O47" i="489"/>
  <c r="P47" i="489"/>
  <c r="Q47" i="489"/>
  <c r="R47" i="489"/>
  <c r="S47" i="489"/>
  <c r="T47" i="489"/>
  <c r="W47" i="489"/>
  <c r="X47" i="489"/>
  <c r="Y47" i="489"/>
  <c r="Z47" i="489"/>
  <c r="AA47" i="489"/>
  <c r="AB47" i="489"/>
  <c r="AC47" i="489"/>
  <c r="AD47" i="489"/>
  <c r="AF47" i="489"/>
  <c r="AG47" i="489"/>
  <c r="AH47" i="489"/>
  <c r="AI47" i="489"/>
  <c r="AJ47" i="489"/>
  <c r="AK47" i="489"/>
  <c r="AM47" i="489"/>
  <c r="AN47" i="489"/>
  <c r="AO47" i="489"/>
  <c r="AP47" i="489"/>
  <c r="AQ47" i="489"/>
  <c r="AR47" i="489"/>
  <c r="AS47" i="489"/>
  <c r="AT47" i="489"/>
  <c r="AV47" i="489"/>
  <c r="AW47" i="489"/>
  <c r="AX47" i="489"/>
  <c r="AY47" i="489"/>
  <c r="AZ47" i="489"/>
  <c r="BA47" i="489"/>
  <c r="BB47" i="489"/>
  <c r="BC47" i="489"/>
  <c r="BD47" i="489"/>
  <c r="BE47" i="489"/>
  <c r="BF47" i="489"/>
  <c r="BG47" i="489"/>
  <c r="BH47" i="489"/>
  <c r="BI47" i="489"/>
  <c r="BJ47" i="489"/>
  <c r="BK47" i="489"/>
  <c r="BL47" i="489"/>
  <c r="BM47" i="489"/>
  <c r="BN47" i="489"/>
  <c r="BO47" i="489"/>
  <c r="BP47" i="489"/>
  <c r="BQ47" i="489"/>
  <c r="BR47" i="489"/>
  <c r="BS47" i="489"/>
  <c r="BT47" i="489"/>
  <c r="BU47" i="489"/>
  <c r="BV47" i="489"/>
  <c r="BW47" i="489"/>
  <c r="BX47" i="489"/>
  <c r="BY47" i="489"/>
  <c r="BZ47" i="489"/>
  <c r="CA47" i="489"/>
  <c r="CB47" i="489"/>
  <c r="CC47" i="489"/>
  <c r="CD47" i="489"/>
  <c r="CE47" i="489"/>
  <c r="CF47" i="489"/>
  <c r="CG47" i="489"/>
  <c r="CH47" i="489"/>
  <c r="CI47" i="489"/>
  <c r="CJ47" i="489"/>
  <c r="CK47" i="489"/>
  <c r="CL47" i="489"/>
  <c r="CM47" i="489"/>
  <c r="CN47" i="489"/>
  <c r="CO47" i="489"/>
  <c r="CP47" i="489"/>
  <c r="CQ47" i="489"/>
  <c r="CR47" i="489"/>
  <c r="CS47" i="489"/>
  <c r="CT47" i="489"/>
  <c r="CU47" i="489"/>
  <c r="CV47" i="489"/>
  <c r="CW47" i="489"/>
  <c r="CX47" i="489"/>
  <c r="CY47" i="489"/>
  <c r="CZ47" i="489"/>
  <c r="DA47" i="489"/>
  <c r="DB47" i="489"/>
  <c r="DD47" i="489"/>
  <c r="DE47" i="489"/>
  <c r="DF47" i="489"/>
  <c r="DG47" i="489"/>
  <c r="DH47" i="489"/>
  <c r="DI47" i="489"/>
  <c r="DJ47" i="489"/>
  <c r="DK47" i="489"/>
  <c r="DL47" i="489"/>
  <c r="DM47" i="489"/>
  <c r="DN47" i="489"/>
  <c r="DO47" i="489"/>
  <c r="DP47" i="489"/>
  <c r="DQ47" i="489"/>
  <c r="DR47" i="489"/>
  <c r="DS47" i="489"/>
  <c r="DT47" i="489"/>
  <c r="DU47" i="489"/>
  <c r="DV47" i="489"/>
  <c r="DW47" i="489"/>
  <c r="DX47" i="489"/>
  <c r="DY47" i="489"/>
  <c r="DZ47" i="489"/>
  <c r="EA47" i="489"/>
  <c r="EB47" i="489"/>
  <c r="EC47" i="489"/>
  <c r="ED47" i="489"/>
  <c r="EE47" i="489"/>
  <c r="EF47" i="489"/>
  <c r="EG47" i="489"/>
  <c r="EH47" i="489"/>
  <c r="EI47" i="489"/>
  <c r="EJ47" i="489"/>
  <c r="EK47" i="489"/>
  <c r="EL47" i="489"/>
  <c r="EM47" i="489"/>
  <c r="EN47" i="489"/>
  <c r="EO47" i="489"/>
  <c r="EP47" i="489"/>
  <c r="EQ47" i="489"/>
  <c r="ER47" i="489"/>
  <c r="ES47" i="489"/>
  <c r="ET47" i="489"/>
  <c r="EU47" i="489"/>
  <c r="EV47" i="489"/>
  <c r="EW47" i="489"/>
  <c r="EX47" i="489"/>
  <c r="C48" i="489"/>
  <c r="H48" i="489"/>
  <c r="J48" i="489"/>
  <c r="K48" i="489"/>
  <c r="L48" i="489"/>
  <c r="M48" i="489"/>
  <c r="N48" i="489"/>
  <c r="O48" i="489"/>
  <c r="P48" i="489"/>
  <c r="Q48" i="489"/>
  <c r="R48" i="489"/>
  <c r="S48" i="489"/>
  <c r="T48" i="489"/>
  <c r="U48" i="489"/>
  <c r="V48" i="489"/>
  <c r="W48" i="489"/>
  <c r="X48" i="489"/>
  <c r="Y48" i="489"/>
  <c r="Z48" i="489"/>
  <c r="AA48" i="489"/>
  <c r="AB48" i="489"/>
  <c r="AC48" i="489"/>
  <c r="AD48" i="489"/>
  <c r="AE48" i="489"/>
  <c r="AF48" i="489"/>
  <c r="AG48" i="489"/>
  <c r="AH48" i="489"/>
  <c r="AI48" i="489"/>
  <c r="AJ48" i="489"/>
  <c r="AK48" i="489"/>
  <c r="AL48" i="489"/>
  <c r="AM48" i="489"/>
  <c r="AN48" i="489"/>
  <c r="AO48" i="489"/>
  <c r="AP48" i="489"/>
  <c r="AQ48" i="489"/>
  <c r="AR48" i="489"/>
  <c r="AS48" i="489"/>
  <c r="AT48" i="489"/>
  <c r="AU48" i="489"/>
  <c r="AV48" i="489"/>
  <c r="AW48" i="489"/>
  <c r="AX48" i="489"/>
  <c r="AY48" i="489"/>
  <c r="AZ48" i="489"/>
  <c r="BA48" i="489"/>
  <c r="BB48" i="489"/>
  <c r="BC48" i="489"/>
  <c r="BD48" i="489"/>
  <c r="BE48" i="489"/>
  <c r="BF48" i="489"/>
  <c r="BG48" i="489"/>
  <c r="BH48" i="489"/>
  <c r="BI48" i="489"/>
  <c r="BJ48" i="489"/>
  <c r="BK48" i="489"/>
  <c r="BL48" i="489"/>
  <c r="BM48" i="489"/>
  <c r="BN48" i="489"/>
  <c r="BO48" i="489"/>
  <c r="BP48" i="489"/>
  <c r="BQ48" i="489"/>
  <c r="BR48" i="489"/>
  <c r="BS48" i="489"/>
  <c r="BT48" i="489"/>
  <c r="BU48" i="489"/>
  <c r="BV48" i="489"/>
  <c r="BW48" i="489"/>
  <c r="BX48" i="489"/>
  <c r="BY48" i="489"/>
  <c r="BZ48" i="489"/>
  <c r="CA48" i="489"/>
  <c r="CB48" i="489"/>
  <c r="CC48" i="489"/>
  <c r="CD48" i="489"/>
  <c r="CE48" i="489"/>
  <c r="CF48" i="489"/>
  <c r="CG48" i="489"/>
  <c r="CH48" i="489"/>
  <c r="CI48" i="489"/>
  <c r="CJ48" i="489"/>
  <c r="CK48" i="489"/>
  <c r="CL48" i="489"/>
  <c r="CM48" i="489"/>
  <c r="CN48" i="489"/>
  <c r="CO48" i="489"/>
  <c r="CP48" i="489"/>
  <c r="CQ48" i="489"/>
  <c r="CR48" i="489"/>
  <c r="CS48" i="489"/>
  <c r="CT48" i="489"/>
  <c r="CU48" i="489"/>
  <c r="CV48" i="489"/>
  <c r="CW48" i="489"/>
  <c r="CX48" i="489"/>
  <c r="CY48" i="489"/>
  <c r="CZ48" i="489"/>
  <c r="DA48" i="489"/>
  <c r="DB48" i="489"/>
  <c r="DC48" i="489"/>
  <c r="DD48" i="489"/>
  <c r="DE48" i="489"/>
  <c r="DF48" i="489"/>
  <c r="DG48" i="489"/>
  <c r="DH48" i="489"/>
  <c r="DI48" i="489"/>
  <c r="DJ48" i="489"/>
  <c r="DK48" i="489"/>
  <c r="DL48" i="489"/>
  <c r="DM48" i="489"/>
  <c r="DN48" i="489"/>
  <c r="DO48" i="489"/>
  <c r="DP48" i="489"/>
  <c r="DQ48" i="489"/>
  <c r="DR48" i="489"/>
  <c r="DS48" i="489"/>
  <c r="DT48" i="489"/>
  <c r="DV48" i="489"/>
  <c r="DW48" i="489"/>
  <c r="DX48" i="489"/>
  <c r="DY48" i="489"/>
  <c r="DZ48" i="489"/>
  <c r="EA48" i="489"/>
  <c r="EB48" i="489"/>
  <c r="EC48" i="489"/>
  <c r="ED48" i="489"/>
  <c r="EE48" i="489"/>
  <c r="EF48" i="489"/>
  <c r="EG48" i="489"/>
  <c r="EH48" i="489"/>
  <c r="EI48" i="489"/>
  <c r="EJ48" i="489"/>
  <c r="EK48" i="489"/>
  <c r="EL48" i="489"/>
  <c r="EM48" i="489"/>
  <c r="EN48" i="489"/>
  <c r="EO48" i="489"/>
  <c r="EP48" i="489"/>
  <c r="EQ48" i="489"/>
  <c r="ER48" i="489"/>
  <c r="ES48" i="489"/>
  <c r="ET48" i="489"/>
  <c r="EU48" i="489"/>
  <c r="EV48" i="489"/>
  <c r="EW48" i="489"/>
  <c r="EX48" i="489"/>
  <c r="J49" i="489"/>
  <c r="K49" i="489"/>
  <c r="L49" i="489"/>
  <c r="M49" i="489"/>
  <c r="N49" i="489"/>
  <c r="O49" i="489"/>
  <c r="P49" i="489"/>
  <c r="Q49" i="489"/>
  <c r="R49" i="489"/>
  <c r="S49" i="489"/>
  <c r="T49" i="489"/>
  <c r="U49" i="489"/>
  <c r="V49" i="489"/>
  <c r="W49" i="489"/>
  <c r="X49" i="489"/>
  <c r="Y49" i="489"/>
  <c r="Z49" i="489"/>
  <c r="AA49" i="489"/>
  <c r="AB49" i="489"/>
  <c r="AC49" i="489"/>
  <c r="AD49" i="489"/>
  <c r="AE49" i="489"/>
  <c r="AF49" i="489"/>
  <c r="AG49" i="489"/>
  <c r="AH49" i="489"/>
  <c r="AI49" i="489"/>
  <c r="AJ49" i="489"/>
  <c r="AK49" i="489"/>
  <c r="AL49" i="489"/>
  <c r="AM49" i="489"/>
  <c r="AN49" i="489"/>
  <c r="AO49" i="489"/>
  <c r="AP49" i="489"/>
  <c r="AQ49" i="489"/>
  <c r="AR49" i="489"/>
  <c r="AS49" i="489"/>
  <c r="AT49" i="489"/>
  <c r="AU49" i="489"/>
  <c r="AV49" i="489"/>
  <c r="AW49" i="489"/>
  <c r="AX49" i="489"/>
  <c r="AY49" i="489"/>
  <c r="AZ49" i="489"/>
  <c r="BA49" i="489"/>
  <c r="BB49" i="489"/>
  <c r="BC49" i="489"/>
  <c r="BD49" i="489"/>
  <c r="BE49" i="489"/>
  <c r="BF49" i="489"/>
  <c r="BG49" i="489"/>
  <c r="BH49" i="489"/>
  <c r="BI49" i="489"/>
  <c r="BJ49" i="489"/>
  <c r="BK49" i="489"/>
  <c r="BL49" i="489"/>
  <c r="BM49" i="489"/>
  <c r="BN49" i="489"/>
  <c r="BO49" i="489"/>
  <c r="BP49" i="489"/>
  <c r="BQ49" i="489"/>
  <c r="BR49" i="489"/>
  <c r="BS49" i="489"/>
  <c r="BT49" i="489"/>
  <c r="BU49" i="489"/>
  <c r="BV49" i="489"/>
  <c r="BW49" i="489"/>
  <c r="BX49" i="489"/>
  <c r="BY49" i="489"/>
  <c r="BZ49" i="489"/>
  <c r="CA49" i="489"/>
  <c r="CB49" i="489"/>
  <c r="CC49" i="489"/>
  <c r="CD49" i="489"/>
  <c r="CE49" i="489"/>
  <c r="CF49" i="489"/>
  <c r="CG49" i="489"/>
  <c r="CH49" i="489"/>
  <c r="CI49" i="489"/>
  <c r="CJ49" i="489"/>
  <c r="CK49" i="489"/>
  <c r="CL49" i="489"/>
  <c r="CM49" i="489"/>
  <c r="CN49" i="489"/>
  <c r="CO49" i="489"/>
  <c r="CP49" i="489"/>
  <c r="CQ49" i="489"/>
  <c r="CR49" i="489"/>
  <c r="CS49" i="489"/>
  <c r="CT49" i="489"/>
  <c r="CU49" i="489"/>
  <c r="CV49" i="489"/>
  <c r="CW49" i="489"/>
  <c r="CX49" i="489"/>
  <c r="CY49" i="489"/>
  <c r="DA49" i="489"/>
  <c r="DB49" i="489"/>
  <c r="DC49" i="489"/>
  <c r="DD49" i="489"/>
  <c r="DE49" i="489"/>
  <c r="DF49" i="489"/>
  <c r="DG49" i="489"/>
  <c r="DH49" i="489"/>
  <c r="DI49" i="489"/>
  <c r="DJ49" i="489"/>
  <c r="DK49" i="489"/>
  <c r="DL49" i="489"/>
  <c r="DM49" i="489"/>
  <c r="DN49" i="489"/>
  <c r="DO49" i="489"/>
  <c r="DP49" i="489"/>
  <c r="DQ49" i="489"/>
  <c r="DS49" i="489"/>
  <c r="DT49" i="489"/>
  <c r="DU49" i="489"/>
  <c r="DV49" i="489"/>
  <c r="DW49" i="489"/>
  <c r="DX49" i="489"/>
  <c r="DY49" i="489"/>
  <c r="DZ49" i="489"/>
  <c r="EA49" i="489"/>
  <c r="EB49" i="489"/>
  <c r="EC49" i="489"/>
  <c r="ED49" i="489"/>
  <c r="EE49" i="489"/>
  <c r="EF49" i="489"/>
  <c r="EG49" i="489"/>
  <c r="EH49" i="489"/>
  <c r="EI49" i="489"/>
  <c r="EJ49" i="489"/>
  <c r="EK49" i="489"/>
  <c r="EL49" i="489"/>
  <c r="EM49" i="489"/>
  <c r="EN49" i="489"/>
  <c r="EO49" i="489"/>
  <c r="EP49" i="489"/>
  <c r="EQ49" i="489"/>
  <c r="ER49" i="489"/>
  <c r="ES49" i="489"/>
  <c r="ET49" i="489"/>
  <c r="EU49" i="489"/>
  <c r="EV49" i="489"/>
  <c r="EW49" i="489"/>
  <c r="EX49" i="489"/>
  <c r="C50" i="489"/>
  <c r="H50" i="489"/>
  <c r="J50" i="489"/>
  <c r="K50" i="489"/>
  <c r="L50" i="489"/>
  <c r="M50" i="489"/>
  <c r="N50" i="489"/>
  <c r="O50" i="489"/>
  <c r="P50" i="489"/>
  <c r="Q50" i="489"/>
  <c r="R50" i="489"/>
  <c r="S50" i="489"/>
  <c r="T50" i="489"/>
  <c r="U50" i="489"/>
  <c r="V50" i="489"/>
  <c r="W50" i="489"/>
  <c r="X50" i="489"/>
  <c r="Y50" i="489"/>
  <c r="Z50" i="489"/>
  <c r="AA50" i="489"/>
  <c r="AB50" i="489"/>
  <c r="AC50" i="489"/>
  <c r="AD50" i="489"/>
  <c r="AE50" i="489"/>
  <c r="AF50" i="489"/>
  <c r="AG50" i="489"/>
  <c r="AH50" i="489"/>
  <c r="AI50" i="489"/>
  <c r="AJ50" i="489"/>
  <c r="AK50" i="489"/>
  <c r="AL50" i="489"/>
  <c r="AM50" i="489"/>
  <c r="AN50" i="489"/>
  <c r="AO50" i="489"/>
  <c r="AP50" i="489"/>
  <c r="AQ50" i="489"/>
  <c r="AR50" i="489"/>
  <c r="AS50" i="489"/>
  <c r="AT50" i="489"/>
  <c r="AU50" i="489"/>
  <c r="AV50" i="489"/>
  <c r="AW50" i="489"/>
  <c r="AX50" i="489"/>
  <c r="AY50" i="489"/>
  <c r="AZ50" i="489"/>
  <c r="BA50" i="489"/>
  <c r="BB50" i="489"/>
  <c r="BC50" i="489"/>
  <c r="BD50" i="489"/>
  <c r="BE50" i="489"/>
  <c r="BF50" i="489"/>
  <c r="BG50" i="489"/>
  <c r="BH50" i="489"/>
  <c r="BI50" i="489"/>
  <c r="BJ50" i="489"/>
  <c r="BK50" i="489"/>
  <c r="BL50" i="489"/>
  <c r="BM50" i="489"/>
  <c r="BN50" i="489"/>
  <c r="BO50" i="489"/>
  <c r="BP50" i="489"/>
  <c r="BQ50" i="489"/>
  <c r="BR50" i="489"/>
  <c r="BS50" i="489"/>
  <c r="BT50" i="489"/>
  <c r="BU50" i="489"/>
  <c r="BV50" i="489"/>
  <c r="BW50" i="489"/>
  <c r="BX50" i="489"/>
  <c r="BY50" i="489"/>
  <c r="BZ50" i="489"/>
  <c r="CA50" i="489"/>
  <c r="CB50" i="489"/>
  <c r="CC50" i="489"/>
  <c r="CD50" i="489"/>
  <c r="CE50" i="489"/>
  <c r="CF50" i="489"/>
  <c r="CG50" i="489"/>
  <c r="CH50" i="489"/>
  <c r="CI50" i="489"/>
  <c r="CJ50" i="489"/>
  <c r="CK50" i="489"/>
  <c r="CL50" i="489"/>
  <c r="CM50" i="489"/>
  <c r="CN50" i="489"/>
  <c r="CO50" i="489"/>
  <c r="CP50" i="489"/>
  <c r="CQ50" i="489"/>
  <c r="CR50" i="489"/>
  <c r="CS50" i="489"/>
  <c r="CT50" i="489"/>
  <c r="CU50" i="489"/>
  <c r="CV50" i="489"/>
  <c r="CW50" i="489"/>
  <c r="CX50" i="489"/>
  <c r="CY50" i="489"/>
  <c r="CZ50" i="489"/>
  <c r="DA50" i="489"/>
  <c r="DB50" i="489"/>
  <c r="DC50" i="489"/>
  <c r="DD50" i="489"/>
  <c r="DE50" i="489"/>
  <c r="DF50" i="489"/>
  <c r="DG50" i="489"/>
  <c r="DH50" i="489"/>
  <c r="DI50" i="489"/>
  <c r="DJ50" i="489"/>
  <c r="DK50" i="489"/>
  <c r="DL50" i="489"/>
  <c r="DM50" i="489"/>
  <c r="DN50" i="489"/>
  <c r="DO50" i="489"/>
  <c r="DP50" i="489"/>
  <c r="DQ50" i="489"/>
  <c r="DR50" i="489"/>
  <c r="DS50" i="489"/>
  <c r="DT50" i="489"/>
  <c r="DU50" i="489"/>
  <c r="DV50" i="489"/>
  <c r="DW50" i="489"/>
  <c r="DX50" i="489"/>
  <c r="DY50" i="489"/>
  <c r="DZ50" i="489"/>
  <c r="EA50" i="489"/>
  <c r="EB50" i="489"/>
  <c r="EC50" i="489"/>
  <c r="ED50" i="489"/>
  <c r="EE50" i="489"/>
  <c r="EF50" i="489"/>
  <c r="EG50" i="489"/>
  <c r="EH50" i="489"/>
  <c r="EI50" i="489"/>
  <c r="EJ50" i="489"/>
  <c r="EK50" i="489"/>
  <c r="EL50" i="489"/>
  <c r="EM50" i="489"/>
  <c r="EN50" i="489"/>
  <c r="EO50" i="489"/>
  <c r="EP50" i="489"/>
  <c r="EQ50" i="489"/>
  <c r="ER50" i="489"/>
  <c r="ES50" i="489"/>
  <c r="ET50" i="489"/>
  <c r="EU50" i="489"/>
  <c r="EW50" i="489"/>
  <c r="EX50" i="489"/>
  <c r="C51" i="489"/>
  <c r="H51" i="489"/>
  <c r="J51" i="489"/>
  <c r="K51" i="489"/>
  <c r="L51" i="489"/>
  <c r="M51" i="489"/>
  <c r="N51" i="489"/>
  <c r="O51" i="489"/>
  <c r="P51" i="489"/>
  <c r="Q51" i="489"/>
  <c r="R51" i="489"/>
  <c r="S51" i="489"/>
  <c r="T51" i="489"/>
  <c r="U51" i="489"/>
  <c r="V51" i="489"/>
  <c r="W51" i="489"/>
  <c r="X51" i="489"/>
  <c r="Y51" i="489"/>
  <c r="Z51" i="489"/>
  <c r="AA51" i="489"/>
  <c r="AB51" i="489"/>
  <c r="AC51" i="489"/>
  <c r="AD51" i="489"/>
  <c r="AE51" i="489"/>
  <c r="AF51" i="489"/>
  <c r="AG51" i="489"/>
  <c r="AH51" i="489"/>
  <c r="AI51" i="489"/>
  <c r="AJ51" i="489"/>
  <c r="AK51" i="489"/>
  <c r="AL51" i="489"/>
  <c r="AM51" i="489"/>
  <c r="AN51" i="489"/>
  <c r="AO51" i="489"/>
  <c r="AP51" i="489"/>
  <c r="AQ51" i="489"/>
  <c r="AR51" i="489"/>
  <c r="AS51" i="489"/>
  <c r="AT51" i="489"/>
  <c r="AU51" i="489"/>
  <c r="AV51" i="489"/>
  <c r="AW51" i="489"/>
  <c r="AX51" i="489"/>
  <c r="AY51" i="489"/>
  <c r="AZ51" i="489"/>
  <c r="BA51" i="489"/>
  <c r="BB51" i="489"/>
  <c r="BC51" i="489"/>
  <c r="BD51" i="489"/>
  <c r="BE51" i="489"/>
  <c r="BF51" i="489"/>
  <c r="BG51" i="489"/>
  <c r="BH51" i="489"/>
  <c r="BI51" i="489"/>
  <c r="BJ51" i="489"/>
  <c r="BK51" i="489"/>
  <c r="BL51" i="489"/>
  <c r="BM51" i="489"/>
  <c r="BN51" i="489"/>
  <c r="BO51" i="489"/>
  <c r="BP51" i="489"/>
  <c r="BQ51" i="489"/>
  <c r="BR51" i="489"/>
  <c r="BS51" i="489"/>
  <c r="BT51" i="489"/>
  <c r="BU51" i="489"/>
  <c r="BV51" i="489"/>
  <c r="BW51" i="489"/>
  <c r="BX51" i="489"/>
  <c r="BY51" i="489"/>
  <c r="BZ51" i="489"/>
  <c r="CA51" i="489"/>
  <c r="CB51" i="489"/>
  <c r="CC51" i="489"/>
  <c r="CD51" i="489"/>
  <c r="CE51" i="489"/>
  <c r="CF51" i="489"/>
  <c r="CG51" i="489"/>
  <c r="CH51" i="489"/>
  <c r="CI51" i="489"/>
  <c r="CJ51" i="489"/>
  <c r="CK51" i="489"/>
  <c r="CL51" i="489"/>
  <c r="CM51" i="489"/>
  <c r="CN51" i="489"/>
  <c r="CO51" i="489"/>
  <c r="CP51" i="489"/>
  <c r="CQ51" i="489"/>
  <c r="CR51" i="489"/>
  <c r="CS51" i="489"/>
  <c r="CT51" i="489"/>
  <c r="CU51" i="489"/>
  <c r="CV51" i="489"/>
  <c r="CW51" i="489"/>
  <c r="CX51" i="489"/>
  <c r="CY51" i="489"/>
  <c r="CZ51" i="489"/>
  <c r="DA51" i="489"/>
  <c r="DB51" i="489"/>
  <c r="DC51" i="489"/>
  <c r="DD51" i="489"/>
  <c r="DE51" i="489"/>
  <c r="DF51" i="489"/>
  <c r="DG51" i="489"/>
  <c r="DH51" i="489"/>
  <c r="DI51" i="489"/>
  <c r="DJ51" i="489"/>
  <c r="DK51" i="489"/>
  <c r="DL51" i="489"/>
  <c r="DM51" i="489"/>
  <c r="DN51" i="489"/>
  <c r="DO51" i="489"/>
  <c r="DP51" i="489"/>
  <c r="DQ51" i="489"/>
  <c r="DR51" i="489"/>
  <c r="DS51" i="489"/>
  <c r="DT51" i="489"/>
  <c r="DU51" i="489"/>
  <c r="DV51" i="489"/>
  <c r="DW51" i="489"/>
  <c r="DX51" i="489"/>
  <c r="DY51" i="489"/>
  <c r="DZ51" i="489"/>
  <c r="EA51" i="489"/>
  <c r="EB51" i="489"/>
  <c r="EC51" i="489"/>
  <c r="ED51" i="489"/>
  <c r="EE51" i="489"/>
  <c r="EF51" i="489"/>
  <c r="EG51" i="489"/>
  <c r="EH51" i="489"/>
  <c r="EI51" i="489"/>
  <c r="EJ51" i="489"/>
  <c r="EK51" i="489"/>
  <c r="EL51" i="489"/>
  <c r="EM51" i="489"/>
  <c r="EN51" i="489"/>
  <c r="EO51" i="489"/>
  <c r="EP51" i="489"/>
  <c r="EQ51" i="489"/>
  <c r="ER51" i="489"/>
  <c r="ES51" i="489"/>
  <c r="ET51" i="489"/>
  <c r="EU51" i="489"/>
  <c r="EV51" i="489"/>
  <c r="EX51" i="489"/>
  <c r="J52" i="489"/>
  <c r="K52" i="489"/>
  <c r="L52" i="489"/>
  <c r="M52" i="489"/>
  <c r="N52" i="489"/>
  <c r="O52" i="489"/>
  <c r="P52" i="489"/>
  <c r="Q52" i="489"/>
  <c r="R52" i="489"/>
  <c r="S52" i="489"/>
  <c r="T52" i="489"/>
  <c r="U52" i="489"/>
  <c r="W52" i="489"/>
  <c r="X52" i="489"/>
  <c r="Y52" i="489"/>
  <c r="Z52" i="489"/>
  <c r="AA52" i="489"/>
  <c r="AB52" i="489"/>
  <c r="AC52" i="489"/>
  <c r="AD52" i="489"/>
  <c r="AE52" i="489"/>
  <c r="AF52" i="489"/>
  <c r="AG52" i="489"/>
  <c r="AH52" i="489"/>
  <c r="AI52" i="489"/>
  <c r="AJ52" i="489"/>
  <c r="AK52" i="489"/>
  <c r="AL52" i="489"/>
  <c r="AM52" i="489"/>
  <c r="AN52" i="489"/>
  <c r="AO52" i="489"/>
  <c r="AP52" i="489"/>
  <c r="AQ52" i="489"/>
  <c r="AR52" i="489"/>
  <c r="AS52" i="489"/>
  <c r="AT52" i="489"/>
  <c r="AU52" i="489"/>
  <c r="AV52" i="489"/>
  <c r="AW52" i="489"/>
  <c r="AX52" i="489"/>
  <c r="AY52" i="489"/>
  <c r="AZ52" i="489"/>
  <c r="BA52" i="489"/>
  <c r="BB52" i="489"/>
  <c r="BC52" i="489"/>
  <c r="BD52" i="489"/>
  <c r="BE52" i="489"/>
  <c r="BF52" i="489"/>
  <c r="BG52" i="489"/>
  <c r="BH52" i="489"/>
  <c r="BI52" i="489"/>
  <c r="BJ52" i="489"/>
  <c r="BK52" i="489"/>
  <c r="BL52" i="489"/>
  <c r="BM52" i="489"/>
  <c r="BN52" i="489"/>
  <c r="BO52" i="489"/>
  <c r="BP52" i="489"/>
  <c r="BQ52" i="489"/>
  <c r="BR52" i="489"/>
  <c r="BS52" i="489"/>
  <c r="BT52" i="489"/>
  <c r="BU52" i="489"/>
  <c r="BV52" i="489"/>
  <c r="BW52" i="489"/>
  <c r="BX52" i="489"/>
  <c r="BY52" i="489"/>
  <c r="BZ52" i="489"/>
  <c r="CA52" i="489"/>
  <c r="CB52" i="489"/>
  <c r="CC52" i="489"/>
  <c r="CD52" i="489"/>
  <c r="CE52" i="489"/>
  <c r="CF52" i="489"/>
  <c r="CG52" i="489"/>
  <c r="CH52" i="489"/>
  <c r="CI52" i="489"/>
  <c r="CJ52" i="489"/>
  <c r="CK52" i="489"/>
  <c r="CL52" i="489"/>
  <c r="CM52" i="489"/>
  <c r="CN52" i="489"/>
  <c r="CO52" i="489"/>
  <c r="CP52" i="489"/>
  <c r="CQ52" i="489"/>
  <c r="CR52" i="489"/>
  <c r="CS52" i="489"/>
  <c r="CT52" i="489"/>
  <c r="CU52" i="489"/>
  <c r="CV52" i="489"/>
  <c r="CW52" i="489"/>
  <c r="CX52" i="489"/>
  <c r="CY52" i="489"/>
  <c r="CZ52" i="489"/>
  <c r="DA52" i="489"/>
  <c r="DB52" i="489"/>
  <c r="DC52" i="489"/>
  <c r="DD52" i="489"/>
  <c r="DE52" i="489"/>
  <c r="DF52" i="489"/>
  <c r="DG52" i="489"/>
  <c r="DH52" i="489"/>
  <c r="DI52" i="489"/>
  <c r="DJ52" i="489"/>
  <c r="DK52" i="489"/>
  <c r="DL52" i="489"/>
  <c r="DM52" i="489"/>
  <c r="DN52" i="489"/>
  <c r="DO52" i="489"/>
  <c r="DP52" i="489"/>
  <c r="DQ52" i="489"/>
  <c r="DR52" i="489"/>
  <c r="DS52" i="489"/>
  <c r="DT52" i="489"/>
  <c r="DU52" i="489"/>
  <c r="DV52" i="489"/>
  <c r="DW52" i="489"/>
  <c r="DX52" i="489"/>
  <c r="DY52" i="489"/>
  <c r="DZ52" i="489"/>
  <c r="EA52" i="489"/>
  <c r="EB52" i="489"/>
  <c r="EC52" i="489"/>
  <c r="ED52" i="489"/>
  <c r="EE52" i="489"/>
  <c r="EF52" i="489"/>
  <c r="EG52" i="489"/>
  <c r="EH52" i="489"/>
  <c r="EI52" i="489"/>
  <c r="EJ52" i="489"/>
  <c r="EK52" i="489"/>
  <c r="EL52" i="489"/>
  <c r="EM52" i="489"/>
  <c r="EN52" i="489"/>
  <c r="EO52" i="489"/>
  <c r="EP52" i="489"/>
  <c r="EQ52" i="489"/>
  <c r="ER52" i="489"/>
  <c r="ES52" i="489"/>
  <c r="ET52" i="489"/>
  <c r="EU52" i="489"/>
  <c r="EV52" i="489"/>
  <c r="EW52" i="489"/>
  <c r="EX52" i="489"/>
  <c r="C53" i="489"/>
  <c r="D53" i="489"/>
  <c r="E53" i="489"/>
  <c r="F53" i="489"/>
  <c r="G53" i="489"/>
  <c r="H53" i="489"/>
  <c r="J53" i="489"/>
  <c r="K53" i="489"/>
  <c r="L53" i="489"/>
  <c r="M53" i="489"/>
  <c r="N53" i="489"/>
  <c r="O53" i="489"/>
  <c r="P53" i="489"/>
  <c r="Q53" i="489"/>
  <c r="R53" i="489"/>
  <c r="S53" i="489"/>
  <c r="T53" i="489"/>
  <c r="U53" i="489"/>
  <c r="V53" i="489"/>
  <c r="W53" i="489"/>
  <c r="X53" i="489"/>
  <c r="Y53" i="489"/>
  <c r="Z53" i="489"/>
  <c r="AA53" i="489"/>
  <c r="AB53" i="489"/>
  <c r="AC53" i="489"/>
  <c r="AD53" i="489"/>
  <c r="AE53" i="489"/>
  <c r="AF53" i="489"/>
  <c r="AG53" i="489"/>
  <c r="AH53" i="489"/>
  <c r="AI53" i="489"/>
  <c r="AJ53" i="489"/>
  <c r="AK53" i="489"/>
  <c r="AL53" i="489"/>
  <c r="AM53" i="489"/>
  <c r="AN53" i="489"/>
  <c r="AO53" i="489"/>
  <c r="AP53" i="489"/>
  <c r="AQ53" i="489"/>
  <c r="AR53" i="489"/>
  <c r="AS53" i="489"/>
  <c r="AT53" i="489"/>
  <c r="AU53" i="489"/>
  <c r="AV53" i="489"/>
  <c r="AW53" i="489"/>
  <c r="AX53" i="489"/>
  <c r="AY53" i="489"/>
  <c r="AZ53" i="489"/>
  <c r="BA53" i="489"/>
  <c r="BB53" i="489"/>
  <c r="BC53" i="489"/>
  <c r="BD53" i="489"/>
  <c r="BE53" i="489"/>
  <c r="BF53" i="489"/>
  <c r="BG53" i="489"/>
  <c r="BH53" i="489"/>
  <c r="BI53" i="489"/>
  <c r="BJ53" i="489"/>
  <c r="BK53" i="489"/>
  <c r="BL53" i="489"/>
  <c r="BM53" i="489"/>
  <c r="BN53" i="489"/>
  <c r="BO53" i="489"/>
  <c r="BP53" i="489"/>
  <c r="BQ53" i="489"/>
  <c r="BR53" i="489"/>
  <c r="BS53" i="489"/>
  <c r="BT53" i="489"/>
  <c r="BU53" i="489"/>
  <c r="BV53" i="489"/>
  <c r="BW53" i="489"/>
  <c r="BX53" i="489"/>
  <c r="BY53" i="489"/>
  <c r="BZ53" i="489"/>
  <c r="CA53" i="489"/>
  <c r="CB53" i="489"/>
  <c r="CC53" i="489"/>
  <c r="CD53" i="489"/>
  <c r="CE53" i="489"/>
  <c r="CF53" i="489"/>
  <c r="CG53" i="489"/>
  <c r="CH53" i="489"/>
  <c r="CI53" i="489"/>
  <c r="CJ53" i="489"/>
  <c r="CK53" i="489"/>
  <c r="CL53" i="489"/>
  <c r="CM53" i="489"/>
  <c r="CN53" i="489"/>
  <c r="CO53" i="489"/>
  <c r="CP53" i="489"/>
  <c r="CQ53" i="489"/>
  <c r="CR53" i="489"/>
  <c r="CS53" i="489"/>
  <c r="CT53" i="489"/>
  <c r="CU53" i="489"/>
  <c r="CV53" i="489"/>
  <c r="CW53" i="489"/>
  <c r="CX53" i="489"/>
  <c r="CY53" i="489"/>
  <c r="CZ53" i="489"/>
  <c r="DA53" i="489"/>
  <c r="DB53" i="489"/>
  <c r="DC53" i="489"/>
  <c r="DD53" i="489"/>
  <c r="DE53" i="489"/>
  <c r="DF53" i="489"/>
  <c r="DG53" i="489"/>
  <c r="DH53" i="489"/>
  <c r="DI53" i="489"/>
  <c r="DJ53" i="489"/>
  <c r="DK53" i="489"/>
  <c r="DL53" i="489"/>
  <c r="DM53" i="489"/>
  <c r="DN53" i="489"/>
  <c r="DO53" i="489"/>
  <c r="DP53" i="489"/>
  <c r="DQ53" i="489"/>
  <c r="DR53" i="489"/>
  <c r="DS53" i="489"/>
  <c r="DT53" i="489"/>
  <c r="DU53" i="489"/>
  <c r="DV53" i="489"/>
  <c r="DW53" i="489"/>
  <c r="DX53" i="489"/>
  <c r="DY53" i="489"/>
  <c r="DZ53" i="489"/>
  <c r="EA53" i="489"/>
  <c r="EC53" i="489"/>
  <c r="ED53" i="489"/>
  <c r="EE53" i="489"/>
  <c r="EF53" i="489"/>
  <c r="EG53" i="489"/>
  <c r="EH53" i="489"/>
  <c r="EI53" i="489"/>
  <c r="EJ53" i="489"/>
  <c r="EK53" i="489"/>
  <c r="EL53" i="489"/>
  <c r="EM53" i="489"/>
  <c r="EN53" i="489"/>
  <c r="EO53" i="489"/>
  <c r="EP53" i="489"/>
  <c r="EQ53" i="489"/>
  <c r="ER53" i="489"/>
  <c r="ES53" i="489"/>
  <c r="ET53" i="489"/>
  <c r="EU53" i="489"/>
  <c r="EV53" i="489"/>
  <c r="EW53" i="489"/>
  <c r="EX53" i="489"/>
  <c r="C23" i="489"/>
  <c r="D23" i="489"/>
  <c r="E23" i="489"/>
  <c r="F23" i="489"/>
  <c r="G23" i="489"/>
  <c r="H23" i="489"/>
  <c r="J23" i="489"/>
  <c r="K23" i="489"/>
  <c r="L23" i="489"/>
  <c r="M23" i="489"/>
  <c r="N23" i="489"/>
  <c r="O23" i="489"/>
  <c r="P23" i="489"/>
  <c r="Q23" i="489"/>
  <c r="R23" i="489"/>
  <c r="S23" i="489"/>
  <c r="T23" i="489"/>
  <c r="U23" i="489"/>
  <c r="V23" i="489"/>
  <c r="W23" i="489"/>
  <c r="X23" i="489"/>
  <c r="Y23" i="489"/>
  <c r="Z23" i="489"/>
  <c r="AA23" i="489"/>
  <c r="AB23" i="489"/>
  <c r="AC23" i="489"/>
  <c r="AD23" i="489"/>
  <c r="AE23" i="489"/>
  <c r="AF23" i="489"/>
  <c r="AG23" i="489"/>
  <c r="AH23" i="489"/>
  <c r="AI23" i="489"/>
  <c r="AJ23" i="489"/>
  <c r="AK23" i="489"/>
  <c r="AL23" i="489"/>
  <c r="AM23" i="489"/>
  <c r="AN23" i="489"/>
  <c r="AO23" i="489"/>
  <c r="AP23" i="489"/>
  <c r="AQ23" i="489"/>
  <c r="AR23" i="489"/>
  <c r="AS23" i="489"/>
  <c r="AT23" i="489"/>
  <c r="AU23" i="489"/>
  <c r="AV23" i="489"/>
  <c r="AW23" i="489"/>
  <c r="AX23" i="489"/>
  <c r="AY23" i="489"/>
  <c r="AZ23" i="489"/>
  <c r="BA23" i="489"/>
  <c r="BB23" i="489"/>
  <c r="BC23" i="489"/>
  <c r="BD23" i="489"/>
  <c r="BE23" i="489"/>
  <c r="BF23" i="489"/>
  <c r="BG23" i="489"/>
  <c r="BH23" i="489"/>
  <c r="BI23" i="489"/>
  <c r="BJ23" i="489"/>
  <c r="BK23" i="489"/>
  <c r="BL23" i="489"/>
  <c r="BM23" i="489"/>
  <c r="BN23" i="489"/>
  <c r="BO23" i="489"/>
  <c r="BP23" i="489"/>
  <c r="BQ23" i="489"/>
  <c r="BR23" i="489"/>
  <c r="BS23" i="489"/>
  <c r="BT23" i="489"/>
  <c r="BU23" i="489"/>
  <c r="BV23" i="489"/>
  <c r="BW23" i="489"/>
  <c r="BX23" i="489"/>
  <c r="BY23" i="489"/>
  <c r="BZ23" i="489"/>
  <c r="CA23" i="489"/>
  <c r="CB23" i="489"/>
  <c r="CC23" i="489"/>
  <c r="CD23" i="489"/>
  <c r="CE23" i="489"/>
  <c r="CF23" i="489"/>
  <c r="CG23" i="489"/>
  <c r="CH23" i="489"/>
  <c r="CI23" i="489"/>
  <c r="CJ23" i="489"/>
  <c r="CK23" i="489"/>
  <c r="CL23" i="489"/>
  <c r="CM23" i="489"/>
  <c r="CN23" i="489"/>
  <c r="CO23" i="489"/>
  <c r="CP23" i="489"/>
  <c r="CQ23" i="489"/>
  <c r="CR23" i="489"/>
  <c r="CS23" i="489"/>
  <c r="CT23" i="489"/>
  <c r="CU23" i="489"/>
  <c r="CV23" i="489"/>
  <c r="CW23" i="489"/>
  <c r="CX23" i="489"/>
  <c r="CY23" i="489"/>
  <c r="CZ23" i="489"/>
  <c r="DA23" i="489"/>
  <c r="DB23" i="489"/>
  <c r="DC23" i="489"/>
  <c r="DD23" i="489"/>
  <c r="DE23" i="489"/>
  <c r="DF23" i="489"/>
  <c r="DG23" i="489"/>
  <c r="DH23" i="489"/>
  <c r="DI23" i="489"/>
  <c r="DJ23" i="489"/>
  <c r="DK23" i="489"/>
  <c r="DL23" i="489"/>
  <c r="DM23" i="489"/>
  <c r="DN23" i="489"/>
  <c r="DO23" i="489"/>
  <c r="DP23" i="489"/>
  <c r="DQ23" i="489"/>
  <c r="DR23" i="489"/>
  <c r="DS23" i="489"/>
  <c r="DT23" i="489"/>
  <c r="DU23" i="489"/>
  <c r="DV23" i="489"/>
  <c r="DW23" i="489"/>
  <c r="DX23" i="489"/>
  <c r="DY23" i="489"/>
  <c r="DZ23" i="489"/>
  <c r="EA23" i="489"/>
  <c r="EC23" i="489"/>
  <c r="ED23" i="489"/>
  <c r="EE23" i="489"/>
  <c r="EF23" i="489"/>
  <c r="EG23" i="489"/>
  <c r="EH23" i="489"/>
  <c r="EI23" i="489"/>
  <c r="EJ23" i="489"/>
  <c r="EK23" i="489"/>
  <c r="EL23" i="489"/>
  <c r="EM23" i="489"/>
  <c r="EN23" i="489"/>
  <c r="EO23" i="489"/>
  <c r="EP23" i="489"/>
  <c r="EQ23" i="489"/>
  <c r="ER23" i="489"/>
  <c r="ES23" i="489"/>
  <c r="ET23" i="489"/>
  <c r="EU23" i="489"/>
  <c r="EV23" i="489"/>
  <c r="EW23" i="489"/>
  <c r="EX23" i="489"/>
  <c r="J88" i="489"/>
  <c r="K88" i="489"/>
  <c r="L88" i="489"/>
  <c r="M88" i="489"/>
  <c r="N88" i="489"/>
  <c r="O88" i="489"/>
  <c r="P88" i="489"/>
  <c r="Q88" i="489"/>
  <c r="R88" i="489"/>
  <c r="S88" i="489"/>
  <c r="T88" i="489"/>
  <c r="U88" i="489"/>
  <c r="V88" i="489"/>
  <c r="W88" i="489"/>
  <c r="X88" i="489"/>
  <c r="Z88" i="489"/>
  <c r="AA88" i="489"/>
  <c r="AB88" i="489"/>
  <c r="AC88" i="489"/>
  <c r="AD88" i="489"/>
  <c r="AE88" i="489"/>
  <c r="AF88" i="489"/>
  <c r="AG88" i="489"/>
  <c r="AI88" i="489"/>
  <c r="AJ88" i="489"/>
  <c r="AL88" i="489"/>
  <c r="AN88" i="489"/>
  <c r="AO88" i="489"/>
  <c r="AP88" i="489"/>
  <c r="AR88" i="489"/>
  <c r="AS88" i="489"/>
  <c r="AV88" i="489"/>
  <c r="AW88" i="489"/>
  <c r="AY88" i="489"/>
  <c r="AZ88" i="489"/>
  <c r="BA88" i="489"/>
  <c r="BB88" i="489"/>
  <c r="BC88" i="489"/>
  <c r="BD88" i="489"/>
  <c r="BE88" i="489"/>
  <c r="BF88" i="489"/>
  <c r="BG88" i="489"/>
  <c r="BH88" i="489"/>
  <c r="BI88" i="489"/>
  <c r="BJ88" i="489"/>
  <c r="BK88" i="489"/>
  <c r="BL88" i="489"/>
  <c r="BM88" i="489"/>
  <c r="BN88" i="489"/>
  <c r="BO88" i="489"/>
  <c r="BP88" i="489"/>
  <c r="BQ88" i="489"/>
  <c r="BR88" i="489"/>
  <c r="BT88" i="489"/>
  <c r="BU88" i="489"/>
  <c r="BV88" i="489"/>
  <c r="BW88" i="489"/>
  <c r="BX88" i="489"/>
  <c r="BY88" i="489"/>
  <c r="BZ88" i="489"/>
  <c r="CA88" i="489"/>
  <c r="CB88" i="489"/>
  <c r="CC88" i="489"/>
  <c r="CD88" i="489"/>
  <c r="CE88" i="489"/>
  <c r="CG88" i="489"/>
  <c r="CH88" i="489"/>
  <c r="CI88" i="489"/>
  <c r="CJ88" i="489"/>
  <c r="CK88" i="489"/>
  <c r="CL88" i="489"/>
  <c r="CM88" i="489"/>
  <c r="CN88" i="489"/>
  <c r="CO88" i="489"/>
  <c r="CP88" i="489"/>
  <c r="CQ88" i="489"/>
  <c r="CR88" i="489"/>
  <c r="CS88" i="489"/>
  <c r="CT88" i="489"/>
  <c r="CU88" i="489"/>
  <c r="CV88" i="489"/>
  <c r="CW88" i="489"/>
  <c r="CX88" i="489"/>
  <c r="CY88" i="489"/>
  <c r="DA88" i="489"/>
  <c r="DB88" i="489"/>
  <c r="DD88" i="489"/>
  <c r="DE88" i="489"/>
  <c r="DG88" i="489"/>
  <c r="DH88" i="489"/>
  <c r="DI88" i="489"/>
  <c r="DJ88" i="489"/>
  <c r="DK88" i="489"/>
  <c r="DL88" i="489"/>
  <c r="DN88" i="489"/>
  <c r="DO88" i="489"/>
  <c r="DP88" i="489"/>
  <c r="DQ88" i="489"/>
  <c r="DR88" i="489"/>
  <c r="DS88" i="489"/>
  <c r="DT88" i="489"/>
  <c r="DU88" i="489"/>
  <c r="DV88" i="489"/>
  <c r="DW88" i="489"/>
  <c r="DX88" i="489"/>
  <c r="DY88" i="489"/>
  <c r="DZ88" i="489"/>
  <c r="EA88" i="489"/>
  <c r="EB88" i="489"/>
  <c r="EC88" i="489"/>
  <c r="ED88" i="489"/>
  <c r="EE88" i="489"/>
  <c r="EF88" i="489"/>
  <c r="EG88" i="489"/>
  <c r="EH88" i="489"/>
  <c r="EI88" i="489"/>
  <c r="EJ88" i="489"/>
  <c r="EK88" i="489"/>
  <c r="EL88" i="489"/>
  <c r="EM88" i="489"/>
  <c r="EN88" i="489"/>
  <c r="EO88" i="489"/>
  <c r="EP88" i="489"/>
  <c r="EQ88" i="489"/>
  <c r="ER88" i="489"/>
  <c r="ES88" i="489"/>
  <c r="ET88" i="489"/>
  <c r="EU88" i="489"/>
  <c r="EV88" i="489"/>
  <c r="EW88" i="489"/>
  <c r="EX88" i="489"/>
  <c r="J82" i="489"/>
  <c r="K82" i="489"/>
  <c r="L82" i="489"/>
  <c r="M82" i="489"/>
  <c r="N82" i="489"/>
  <c r="O82" i="489"/>
  <c r="P82" i="489"/>
  <c r="Q82" i="489"/>
  <c r="R82" i="489"/>
  <c r="S82" i="489"/>
  <c r="T82" i="489"/>
  <c r="U82" i="489"/>
  <c r="V82" i="489"/>
  <c r="W82" i="489"/>
  <c r="X82" i="489"/>
  <c r="Y82" i="489"/>
  <c r="Z82" i="489"/>
  <c r="AA82" i="489"/>
  <c r="AB82" i="489"/>
  <c r="AC82" i="489"/>
  <c r="AD82" i="489"/>
  <c r="AE82" i="489"/>
  <c r="AF82" i="489"/>
  <c r="AG82" i="489"/>
  <c r="AH82" i="489"/>
  <c r="AI82" i="489"/>
  <c r="AJ82" i="489"/>
  <c r="AK82" i="489"/>
  <c r="AL82" i="489"/>
  <c r="AM82" i="489"/>
  <c r="AN82" i="489"/>
  <c r="AO82" i="489"/>
  <c r="AP82" i="489"/>
  <c r="AQ82" i="489"/>
  <c r="AR82" i="489"/>
  <c r="AS82" i="489"/>
  <c r="AT82" i="489"/>
  <c r="AU82" i="489"/>
  <c r="AV82" i="489"/>
  <c r="AW82" i="489"/>
  <c r="AX82" i="489"/>
  <c r="AY82" i="489"/>
  <c r="AZ82" i="489"/>
  <c r="BA82" i="489"/>
  <c r="BB82" i="489"/>
  <c r="BC82" i="489"/>
  <c r="BD82" i="489"/>
  <c r="BE82" i="489"/>
  <c r="BF82" i="489"/>
  <c r="BG82" i="489"/>
  <c r="BH82" i="489"/>
  <c r="BI82" i="489"/>
  <c r="BJ82" i="489"/>
  <c r="BK82" i="489"/>
  <c r="BL82" i="489"/>
  <c r="BM82" i="489"/>
  <c r="BN82" i="489"/>
  <c r="BO82" i="489"/>
  <c r="BP82" i="489"/>
  <c r="BQ82" i="489"/>
  <c r="BS82" i="489"/>
  <c r="BT82" i="489"/>
  <c r="BU82" i="489"/>
  <c r="BV82" i="489"/>
  <c r="BW82" i="489"/>
  <c r="BX82" i="489"/>
  <c r="BY82" i="489"/>
  <c r="BZ82" i="489"/>
  <c r="CA82" i="489"/>
  <c r="CB82" i="489"/>
  <c r="CC82" i="489"/>
  <c r="CD82" i="489"/>
  <c r="CE82" i="489"/>
  <c r="CF82" i="489"/>
  <c r="CG82" i="489"/>
  <c r="CH82" i="489"/>
  <c r="CI82" i="489"/>
  <c r="CJ82" i="489"/>
  <c r="CK82" i="489"/>
  <c r="CL82" i="489"/>
  <c r="CM82" i="489"/>
  <c r="CN82" i="489"/>
  <c r="CO82" i="489"/>
  <c r="CP82" i="489"/>
  <c r="CQ82" i="489"/>
  <c r="CR82" i="489"/>
  <c r="CS82" i="489"/>
  <c r="CT82" i="489"/>
  <c r="CU82" i="489"/>
  <c r="CV82" i="489"/>
  <c r="CW82" i="489"/>
  <c r="CX82" i="489"/>
  <c r="CY82" i="489"/>
  <c r="CZ82" i="489"/>
  <c r="DA82" i="489"/>
  <c r="DB82" i="489"/>
  <c r="DC82" i="489"/>
  <c r="DD82" i="489"/>
  <c r="DE82" i="489"/>
  <c r="DF82" i="489"/>
  <c r="DG82" i="489"/>
  <c r="DH82" i="489"/>
  <c r="DI82" i="489"/>
  <c r="DJ82" i="489"/>
  <c r="DK82" i="489"/>
  <c r="DL82" i="489"/>
  <c r="DM82" i="489"/>
  <c r="DN82" i="489"/>
  <c r="DO82" i="489"/>
  <c r="DP82" i="489"/>
  <c r="DQ82" i="489"/>
  <c r="DR82" i="489"/>
  <c r="DS82" i="489"/>
  <c r="DT82" i="489"/>
  <c r="DU82" i="489"/>
  <c r="DV82" i="489"/>
  <c r="DW82" i="489"/>
  <c r="DX82" i="489"/>
  <c r="DY82" i="489"/>
  <c r="DZ82" i="489"/>
  <c r="EA82" i="489"/>
  <c r="EB82" i="489"/>
  <c r="EC82" i="489"/>
  <c r="ED82" i="489"/>
  <c r="EE82" i="489"/>
  <c r="EF82" i="489"/>
  <c r="EG82" i="489"/>
  <c r="EH82" i="489"/>
  <c r="EI82" i="489"/>
  <c r="EJ82" i="489"/>
  <c r="EK82" i="489"/>
  <c r="EL82" i="489"/>
  <c r="EM82" i="489"/>
  <c r="EN82" i="489"/>
  <c r="EO82" i="489"/>
  <c r="EP82" i="489"/>
  <c r="EQ82" i="489"/>
  <c r="ER82" i="489"/>
  <c r="ES82" i="489"/>
  <c r="ET82" i="489"/>
  <c r="EU82" i="489"/>
  <c r="EV82" i="489"/>
  <c r="EW82" i="489"/>
  <c r="EX82" i="489"/>
  <c r="J77" i="489"/>
  <c r="K77" i="489"/>
  <c r="L77" i="489"/>
  <c r="M77" i="489"/>
  <c r="N77" i="489"/>
  <c r="O77" i="489"/>
  <c r="P77" i="489"/>
  <c r="Q77" i="489"/>
  <c r="R77" i="489"/>
  <c r="S77" i="489"/>
  <c r="T77" i="489"/>
  <c r="W77" i="489"/>
  <c r="X77" i="489"/>
  <c r="Y77" i="489"/>
  <c r="Z77" i="489"/>
  <c r="AA77" i="489"/>
  <c r="AB77" i="489"/>
  <c r="AC77" i="489"/>
  <c r="AD77" i="489"/>
  <c r="AE77" i="489"/>
  <c r="AF77" i="489"/>
  <c r="AG77" i="489"/>
  <c r="AH77" i="489"/>
  <c r="AI77" i="489"/>
  <c r="AJ77" i="489"/>
  <c r="AK77" i="489"/>
  <c r="AL77" i="489"/>
  <c r="AM77" i="489"/>
  <c r="AN77" i="489"/>
  <c r="AO77" i="489"/>
  <c r="AP77" i="489"/>
  <c r="AQ77" i="489"/>
  <c r="AR77" i="489"/>
  <c r="AS77" i="489"/>
  <c r="AT77" i="489"/>
  <c r="AU77" i="489"/>
  <c r="AV77" i="489"/>
  <c r="AW77" i="489"/>
  <c r="AX77" i="489"/>
  <c r="AY77" i="489"/>
  <c r="AZ77" i="489"/>
  <c r="BA77" i="489"/>
  <c r="BB77" i="489"/>
  <c r="BC77" i="489"/>
  <c r="BD77" i="489"/>
  <c r="BE77" i="489"/>
  <c r="BF77" i="489"/>
  <c r="BG77" i="489"/>
  <c r="BH77" i="489"/>
  <c r="BI77" i="489"/>
  <c r="BJ77" i="489"/>
  <c r="BK77" i="489"/>
  <c r="BL77" i="489"/>
  <c r="BM77" i="489"/>
  <c r="BN77" i="489"/>
  <c r="BO77" i="489"/>
  <c r="BP77" i="489"/>
  <c r="BQ77" i="489"/>
  <c r="BR77" i="489"/>
  <c r="BS77" i="489"/>
  <c r="BT77" i="489"/>
  <c r="BU77" i="489"/>
  <c r="BV77" i="489"/>
  <c r="BW77" i="489"/>
  <c r="BX77" i="489"/>
  <c r="BY77" i="489"/>
  <c r="BZ77" i="489"/>
  <c r="CA77" i="489"/>
  <c r="CB77" i="489"/>
  <c r="CC77" i="489"/>
  <c r="CD77" i="489"/>
  <c r="CE77" i="489"/>
  <c r="CF77" i="489"/>
  <c r="CH77" i="489"/>
  <c r="CI77" i="489"/>
  <c r="CJ77" i="489"/>
  <c r="CK77" i="489"/>
  <c r="CL77" i="489"/>
  <c r="CM77" i="489"/>
  <c r="CN77" i="489"/>
  <c r="CO77" i="489"/>
  <c r="CP77" i="489"/>
  <c r="CQ77" i="489"/>
  <c r="CR77" i="489"/>
  <c r="CS77" i="489"/>
  <c r="CT77" i="489"/>
  <c r="CU77" i="489"/>
  <c r="CV77" i="489"/>
  <c r="CW77" i="489"/>
  <c r="CX77" i="489"/>
  <c r="CY77" i="489"/>
  <c r="DA77" i="489"/>
  <c r="DB77" i="489"/>
  <c r="DC77" i="489"/>
  <c r="DD77" i="489"/>
  <c r="DE77" i="489"/>
  <c r="DF77" i="489"/>
  <c r="DG77" i="489"/>
  <c r="DH77" i="489"/>
  <c r="DI77" i="489"/>
  <c r="DJ77" i="489"/>
  <c r="DK77" i="489"/>
  <c r="DL77" i="489"/>
  <c r="DM77" i="489"/>
  <c r="DN77" i="489"/>
  <c r="DO77" i="489"/>
  <c r="DP77" i="489"/>
  <c r="DQ77" i="489"/>
  <c r="DR77" i="489"/>
  <c r="DS77" i="489"/>
  <c r="DT77" i="489"/>
  <c r="DU77" i="489"/>
  <c r="DV77" i="489"/>
  <c r="DW77" i="489"/>
  <c r="DX77" i="489"/>
  <c r="DY77" i="489"/>
  <c r="DZ77" i="489"/>
  <c r="EA77" i="489"/>
  <c r="EB77" i="489"/>
  <c r="EC77" i="489"/>
  <c r="ED77" i="489"/>
  <c r="EE77" i="489"/>
  <c r="EF77" i="489"/>
  <c r="EG77" i="489"/>
  <c r="EH77" i="489"/>
  <c r="EI77" i="489"/>
  <c r="EJ77" i="489"/>
  <c r="EK77" i="489"/>
  <c r="EL77" i="489"/>
  <c r="EM77" i="489"/>
  <c r="EN77" i="489"/>
  <c r="EO77" i="489"/>
  <c r="EP77" i="489"/>
  <c r="EQ77" i="489"/>
  <c r="ER77" i="489"/>
  <c r="ES77" i="489"/>
  <c r="ET77" i="489"/>
  <c r="EU77" i="489"/>
  <c r="EV77" i="489"/>
  <c r="EW77" i="489"/>
  <c r="EX77" i="489"/>
  <c r="F78" i="489"/>
  <c r="J78" i="489"/>
  <c r="K78" i="489"/>
  <c r="L78" i="489"/>
  <c r="M78" i="489"/>
  <c r="N78" i="489"/>
  <c r="O78" i="489"/>
  <c r="P78" i="489"/>
  <c r="Q78" i="489"/>
  <c r="R78" i="489"/>
  <c r="S78" i="489"/>
  <c r="T78" i="489"/>
  <c r="U78" i="489"/>
  <c r="V78" i="489"/>
  <c r="X78" i="489"/>
  <c r="Y78" i="489"/>
  <c r="Z78" i="489"/>
  <c r="AA78" i="489"/>
  <c r="AB78" i="489"/>
  <c r="AC78" i="489"/>
  <c r="AD78" i="489"/>
  <c r="AE78" i="489"/>
  <c r="AF78" i="489"/>
  <c r="AG78" i="489"/>
  <c r="AH78" i="489"/>
  <c r="AI78" i="489"/>
  <c r="AJ78" i="489"/>
  <c r="AK78" i="489"/>
  <c r="AL78" i="489"/>
  <c r="AM78" i="489"/>
  <c r="AN78" i="489"/>
  <c r="AO78" i="489"/>
  <c r="AP78" i="489"/>
  <c r="AQ78" i="489"/>
  <c r="AR78" i="489"/>
  <c r="AS78" i="489"/>
  <c r="AT78" i="489"/>
  <c r="AU78" i="489"/>
  <c r="AV78" i="489"/>
  <c r="AW78" i="489"/>
  <c r="AX78" i="489"/>
  <c r="AY78" i="489"/>
  <c r="AZ78" i="489"/>
  <c r="BA78" i="489"/>
  <c r="BB78" i="489"/>
  <c r="BC78" i="489"/>
  <c r="BD78" i="489"/>
  <c r="BE78" i="489"/>
  <c r="BF78" i="489"/>
  <c r="BG78" i="489"/>
  <c r="BH78" i="489"/>
  <c r="BI78" i="489"/>
  <c r="BJ78" i="489"/>
  <c r="BK78" i="489"/>
  <c r="BL78" i="489"/>
  <c r="BM78" i="489"/>
  <c r="BN78" i="489"/>
  <c r="BO78" i="489"/>
  <c r="BP78" i="489"/>
  <c r="BQ78" i="489"/>
  <c r="BR78" i="489"/>
  <c r="BS78" i="489"/>
  <c r="BT78" i="489"/>
  <c r="BU78" i="489"/>
  <c r="BV78" i="489"/>
  <c r="BW78" i="489"/>
  <c r="BX78" i="489"/>
  <c r="BY78" i="489"/>
  <c r="BZ78" i="489"/>
  <c r="CA78" i="489"/>
  <c r="CB78" i="489"/>
  <c r="CC78" i="489"/>
  <c r="CD78" i="489"/>
  <c r="CE78" i="489"/>
  <c r="CF78" i="489"/>
  <c r="CG78" i="489"/>
  <c r="CH78" i="489"/>
  <c r="CI78" i="489"/>
  <c r="CJ78" i="489"/>
  <c r="CK78" i="489"/>
  <c r="CL78" i="489"/>
  <c r="CM78" i="489"/>
  <c r="CN78" i="489"/>
  <c r="CO78" i="489"/>
  <c r="CP78" i="489"/>
  <c r="CQ78" i="489"/>
  <c r="CR78" i="489"/>
  <c r="CS78" i="489"/>
  <c r="CT78" i="489"/>
  <c r="CU78" i="489"/>
  <c r="CV78" i="489"/>
  <c r="CW78" i="489"/>
  <c r="CX78" i="489"/>
  <c r="CY78" i="489"/>
  <c r="CZ78" i="489"/>
  <c r="DA78" i="489"/>
  <c r="DB78" i="489"/>
  <c r="DC78" i="489"/>
  <c r="DD78" i="489"/>
  <c r="DE78" i="489"/>
  <c r="DF78" i="489"/>
  <c r="DG78" i="489"/>
  <c r="DH78" i="489"/>
  <c r="DI78" i="489"/>
  <c r="DJ78" i="489"/>
  <c r="DK78" i="489"/>
  <c r="DL78" i="489"/>
  <c r="DM78" i="489"/>
  <c r="DN78" i="489"/>
  <c r="DO78" i="489"/>
  <c r="DP78" i="489"/>
  <c r="DQ78" i="489"/>
  <c r="DR78" i="489"/>
  <c r="DS78" i="489"/>
  <c r="DT78" i="489"/>
  <c r="DU78" i="489"/>
  <c r="DV78" i="489"/>
  <c r="DW78" i="489"/>
  <c r="DX78" i="489"/>
  <c r="DY78" i="489"/>
  <c r="DZ78" i="489"/>
  <c r="EA78" i="489"/>
  <c r="EB78" i="489"/>
  <c r="EC78" i="489"/>
  <c r="ED78" i="489"/>
  <c r="EE78" i="489"/>
  <c r="EF78" i="489"/>
  <c r="EG78" i="489"/>
  <c r="EH78" i="489"/>
  <c r="EI78" i="489"/>
  <c r="EJ78" i="489"/>
  <c r="EK78" i="489"/>
  <c r="EL78" i="489"/>
  <c r="EM78" i="489"/>
  <c r="EN78" i="489"/>
  <c r="EO78" i="489"/>
  <c r="EP78" i="489"/>
  <c r="EQ78" i="489"/>
  <c r="ER78" i="489"/>
  <c r="ES78" i="489"/>
  <c r="ET78" i="489"/>
  <c r="EU78" i="489"/>
  <c r="EV78" i="489"/>
  <c r="EW78" i="489"/>
  <c r="EX78" i="489"/>
  <c r="J79" i="489"/>
  <c r="K79" i="489"/>
  <c r="L79" i="489"/>
  <c r="M79" i="489"/>
  <c r="N79" i="489"/>
  <c r="O79" i="489"/>
  <c r="P79" i="489"/>
  <c r="Q79" i="489"/>
  <c r="R79" i="489"/>
  <c r="S79" i="489"/>
  <c r="T79" i="489"/>
  <c r="U79" i="489"/>
  <c r="W79" i="489"/>
  <c r="X79" i="489"/>
  <c r="Y79" i="489"/>
  <c r="Z79" i="489"/>
  <c r="AA79" i="489"/>
  <c r="AB79" i="489"/>
  <c r="AC79" i="489"/>
  <c r="AD79" i="489"/>
  <c r="AE79" i="489"/>
  <c r="AF79" i="489"/>
  <c r="AG79" i="489"/>
  <c r="AH79" i="489"/>
  <c r="AI79" i="489"/>
  <c r="AJ79" i="489"/>
  <c r="AK79" i="489"/>
  <c r="AL79" i="489"/>
  <c r="AM79" i="489"/>
  <c r="AN79" i="489"/>
  <c r="AO79" i="489"/>
  <c r="AP79" i="489"/>
  <c r="AQ79" i="489"/>
  <c r="AR79" i="489"/>
  <c r="AS79" i="489"/>
  <c r="AT79" i="489"/>
  <c r="AU79" i="489"/>
  <c r="AV79" i="489"/>
  <c r="AW79" i="489"/>
  <c r="AX79" i="489"/>
  <c r="AY79" i="489"/>
  <c r="AZ79" i="489"/>
  <c r="BA79" i="489"/>
  <c r="BB79" i="489"/>
  <c r="BC79" i="489"/>
  <c r="BD79" i="489"/>
  <c r="BE79" i="489"/>
  <c r="BF79" i="489"/>
  <c r="BG79" i="489"/>
  <c r="BH79" i="489"/>
  <c r="BI79" i="489"/>
  <c r="BJ79" i="489"/>
  <c r="BK79" i="489"/>
  <c r="BL79" i="489"/>
  <c r="BM79" i="489"/>
  <c r="BN79" i="489"/>
  <c r="BO79" i="489"/>
  <c r="BP79" i="489"/>
  <c r="BQ79" i="489"/>
  <c r="BR79" i="489"/>
  <c r="BS79" i="489"/>
  <c r="BT79" i="489"/>
  <c r="BU79" i="489"/>
  <c r="BV79" i="489"/>
  <c r="BW79" i="489"/>
  <c r="BX79" i="489"/>
  <c r="BY79" i="489"/>
  <c r="BZ79" i="489"/>
  <c r="CA79" i="489"/>
  <c r="CB79" i="489"/>
  <c r="CC79" i="489"/>
  <c r="CD79" i="489"/>
  <c r="CE79" i="489"/>
  <c r="CF79" i="489"/>
  <c r="CG79" i="489"/>
  <c r="CH79" i="489"/>
  <c r="CI79" i="489"/>
  <c r="CJ79" i="489"/>
  <c r="CK79" i="489"/>
  <c r="CL79" i="489"/>
  <c r="CM79" i="489"/>
  <c r="CN79" i="489"/>
  <c r="CO79" i="489"/>
  <c r="CP79" i="489"/>
  <c r="CQ79" i="489"/>
  <c r="CR79" i="489"/>
  <c r="CS79" i="489"/>
  <c r="CT79" i="489"/>
  <c r="CU79" i="489"/>
  <c r="CV79" i="489"/>
  <c r="CW79" i="489"/>
  <c r="CX79" i="489"/>
  <c r="CY79" i="489"/>
  <c r="CZ79" i="489"/>
  <c r="DA79" i="489"/>
  <c r="DB79" i="489"/>
  <c r="DC79" i="489"/>
  <c r="DD79" i="489"/>
  <c r="DE79" i="489"/>
  <c r="DF79" i="489"/>
  <c r="DG79" i="489"/>
  <c r="DH79" i="489"/>
  <c r="DI79" i="489"/>
  <c r="DJ79" i="489"/>
  <c r="DK79" i="489"/>
  <c r="DL79" i="489"/>
  <c r="DM79" i="489"/>
  <c r="DN79" i="489"/>
  <c r="DO79" i="489"/>
  <c r="DP79" i="489"/>
  <c r="DQ79" i="489"/>
  <c r="DR79" i="489"/>
  <c r="DS79" i="489"/>
  <c r="DT79" i="489"/>
  <c r="DU79" i="489"/>
  <c r="DV79" i="489"/>
  <c r="DW79" i="489"/>
  <c r="DX79" i="489"/>
  <c r="DY79" i="489"/>
  <c r="DZ79" i="489"/>
  <c r="EA79" i="489"/>
  <c r="EB79" i="489"/>
  <c r="EC79" i="489"/>
  <c r="ED79" i="489"/>
  <c r="EE79" i="489"/>
  <c r="EF79" i="489"/>
  <c r="EG79" i="489"/>
  <c r="EH79" i="489"/>
  <c r="EI79" i="489"/>
  <c r="EJ79" i="489"/>
  <c r="EK79" i="489"/>
  <c r="EL79" i="489"/>
  <c r="EM79" i="489"/>
  <c r="EN79" i="489"/>
  <c r="EO79" i="489"/>
  <c r="EP79" i="489"/>
  <c r="EQ79" i="489"/>
  <c r="ER79" i="489"/>
  <c r="ES79" i="489"/>
  <c r="ET79" i="489"/>
  <c r="EU79" i="489"/>
  <c r="EV79" i="489"/>
  <c r="EW79" i="489"/>
  <c r="EX79" i="489"/>
  <c r="C80" i="489"/>
  <c r="H80" i="489"/>
  <c r="J80" i="489"/>
  <c r="K80" i="489"/>
  <c r="L80" i="489"/>
  <c r="M80" i="489"/>
  <c r="N80" i="489"/>
  <c r="O80" i="489"/>
  <c r="P80" i="489"/>
  <c r="Q80" i="489"/>
  <c r="R80" i="489"/>
  <c r="S80" i="489"/>
  <c r="T80" i="489"/>
  <c r="U80" i="489"/>
  <c r="V80" i="489"/>
  <c r="W80" i="489"/>
  <c r="X80" i="489"/>
  <c r="Y80" i="489"/>
  <c r="Z80" i="489"/>
  <c r="AA80" i="489"/>
  <c r="AB80" i="489"/>
  <c r="AC80" i="489"/>
  <c r="AD80" i="489"/>
  <c r="AE80" i="489"/>
  <c r="AF80" i="489"/>
  <c r="AG80" i="489"/>
  <c r="AH80" i="489"/>
  <c r="AI80" i="489"/>
  <c r="AJ80" i="489"/>
  <c r="AK80" i="489"/>
  <c r="AL80" i="489"/>
  <c r="AM80" i="489"/>
  <c r="AN80" i="489"/>
  <c r="AO80" i="489"/>
  <c r="AP80" i="489"/>
  <c r="AQ80" i="489"/>
  <c r="AR80" i="489"/>
  <c r="AS80" i="489"/>
  <c r="AT80" i="489"/>
  <c r="AU80" i="489"/>
  <c r="AV80" i="489"/>
  <c r="AW80" i="489"/>
  <c r="AX80" i="489"/>
  <c r="AY80" i="489"/>
  <c r="AZ80" i="489"/>
  <c r="BA80" i="489"/>
  <c r="BB80" i="489"/>
  <c r="BC80" i="489"/>
  <c r="BD80" i="489"/>
  <c r="BE80" i="489"/>
  <c r="BF80" i="489"/>
  <c r="BG80" i="489"/>
  <c r="BH80" i="489"/>
  <c r="BI80" i="489"/>
  <c r="BJ80" i="489"/>
  <c r="BK80" i="489"/>
  <c r="BL80" i="489"/>
  <c r="BM80" i="489"/>
  <c r="BN80" i="489"/>
  <c r="BO80" i="489"/>
  <c r="BP80" i="489"/>
  <c r="BQ80" i="489"/>
  <c r="BR80" i="489"/>
  <c r="BS80" i="489"/>
  <c r="BT80" i="489"/>
  <c r="BU80" i="489"/>
  <c r="BV80" i="489"/>
  <c r="BW80" i="489"/>
  <c r="BX80" i="489"/>
  <c r="BY80" i="489"/>
  <c r="BZ80" i="489"/>
  <c r="CA80" i="489"/>
  <c r="CB80" i="489"/>
  <c r="CC80" i="489"/>
  <c r="CD80" i="489"/>
  <c r="CE80" i="489"/>
  <c r="CF80" i="489"/>
  <c r="CG80" i="489"/>
  <c r="CH80" i="489"/>
  <c r="CI80" i="489"/>
  <c r="CJ80" i="489"/>
  <c r="CK80" i="489"/>
  <c r="CL80" i="489"/>
  <c r="CM80" i="489"/>
  <c r="CN80" i="489"/>
  <c r="CO80" i="489"/>
  <c r="CP80" i="489"/>
  <c r="CQ80" i="489"/>
  <c r="CR80" i="489"/>
  <c r="CS80" i="489"/>
  <c r="CT80" i="489"/>
  <c r="CU80" i="489"/>
  <c r="CV80" i="489"/>
  <c r="CW80" i="489"/>
  <c r="CX80" i="489"/>
  <c r="CY80" i="489"/>
  <c r="CZ80" i="489"/>
  <c r="DA80" i="489"/>
  <c r="DB80" i="489"/>
  <c r="DC80" i="489"/>
  <c r="DD80" i="489"/>
  <c r="DE80" i="489"/>
  <c r="DF80" i="489"/>
  <c r="DG80" i="489"/>
  <c r="DH80" i="489"/>
  <c r="DI80" i="489"/>
  <c r="DJ80" i="489"/>
  <c r="DK80" i="489"/>
  <c r="DL80" i="489"/>
  <c r="DM80" i="489"/>
  <c r="DN80" i="489"/>
  <c r="DO80" i="489"/>
  <c r="DP80" i="489"/>
  <c r="DQ80" i="489"/>
  <c r="DR80" i="489"/>
  <c r="DS80" i="489"/>
  <c r="DT80" i="489"/>
  <c r="DU80" i="489"/>
  <c r="DV80" i="489"/>
  <c r="DW80" i="489"/>
  <c r="DX80" i="489"/>
  <c r="DY80" i="489"/>
  <c r="DZ80" i="489"/>
  <c r="EA80" i="489"/>
  <c r="EB80" i="489"/>
  <c r="EC80" i="489"/>
  <c r="ED80" i="489"/>
  <c r="EE80" i="489"/>
  <c r="EF80" i="489"/>
  <c r="EG80" i="489"/>
  <c r="EH80" i="489"/>
  <c r="EI80" i="489"/>
  <c r="EJ80" i="489"/>
  <c r="EK80" i="489"/>
  <c r="EL80" i="489"/>
  <c r="EM80" i="489"/>
  <c r="EN80" i="489"/>
  <c r="EO80" i="489"/>
  <c r="EP80" i="489"/>
  <c r="EQ80" i="489"/>
  <c r="ER80" i="489"/>
  <c r="ES80" i="489"/>
  <c r="ET80" i="489"/>
  <c r="EU80" i="489"/>
  <c r="EV80" i="489"/>
  <c r="EX80" i="489"/>
  <c r="J81" i="489"/>
  <c r="K81" i="489"/>
  <c r="L81" i="489"/>
  <c r="M81" i="489"/>
  <c r="N81" i="489"/>
  <c r="O81" i="489"/>
  <c r="P81" i="489"/>
  <c r="Q81" i="489"/>
  <c r="R81" i="489"/>
  <c r="S81" i="489"/>
  <c r="T81" i="489"/>
  <c r="U81" i="489"/>
  <c r="V81" i="489"/>
  <c r="W81" i="489"/>
  <c r="X81" i="489"/>
  <c r="Y81" i="489"/>
  <c r="Z81" i="489"/>
  <c r="AA81" i="489"/>
  <c r="AB81" i="489"/>
  <c r="AC81" i="489"/>
  <c r="AD81" i="489"/>
  <c r="AE81" i="489"/>
  <c r="AF81" i="489"/>
  <c r="AG81" i="489"/>
  <c r="AH81" i="489"/>
  <c r="AI81" i="489"/>
  <c r="AJ81" i="489"/>
  <c r="AK81" i="489"/>
  <c r="AL81" i="489"/>
  <c r="AM81" i="489"/>
  <c r="AN81" i="489"/>
  <c r="AO81" i="489"/>
  <c r="AP81" i="489"/>
  <c r="AQ81" i="489"/>
  <c r="AR81" i="489"/>
  <c r="AS81" i="489"/>
  <c r="AT81" i="489"/>
  <c r="AU81" i="489"/>
  <c r="AV81" i="489"/>
  <c r="AW81" i="489"/>
  <c r="AX81" i="489"/>
  <c r="AY81" i="489"/>
  <c r="AZ81" i="489"/>
  <c r="BA81" i="489"/>
  <c r="BB81" i="489"/>
  <c r="BC81" i="489"/>
  <c r="BD81" i="489"/>
  <c r="BE81" i="489"/>
  <c r="BF81" i="489"/>
  <c r="BG81" i="489"/>
  <c r="BH81" i="489"/>
  <c r="BI81" i="489"/>
  <c r="BJ81" i="489"/>
  <c r="BK81" i="489"/>
  <c r="BL81" i="489"/>
  <c r="BM81" i="489"/>
  <c r="BN81" i="489"/>
  <c r="BO81" i="489"/>
  <c r="BP81" i="489"/>
  <c r="BQ81" i="489"/>
  <c r="BR81" i="489"/>
  <c r="BS81" i="489"/>
  <c r="BT81" i="489"/>
  <c r="BU81" i="489"/>
  <c r="BV81" i="489"/>
  <c r="BW81" i="489"/>
  <c r="BX81" i="489"/>
  <c r="BY81" i="489"/>
  <c r="BZ81" i="489"/>
  <c r="CA81" i="489"/>
  <c r="CB81" i="489"/>
  <c r="CC81" i="489"/>
  <c r="CD81" i="489"/>
  <c r="CE81" i="489"/>
  <c r="CF81" i="489"/>
  <c r="CG81" i="489"/>
  <c r="CH81" i="489"/>
  <c r="CI81" i="489"/>
  <c r="CJ81" i="489"/>
  <c r="CK81" i="489"/>
  <c r="CL81" i="489"/>
  <c r="CM81" i="489"/>
  <c r="CN81" i="489"/>
  <c r="CO81" i="489"/>
  <c r="CP81" i="489"/>
  <c r="CQ81" i="489"/>
  <c r="CR81" i="489"/>
  <c r="CS81" i="489"/>
  <c r="CT81" i="489"/>
  <c r="CU81" i="489"/>
  <c r="CV81" i="489"/>
  <c r="CW81" i="489"/>
  <c r="CX81" i="489"/>
  <c r="CY81" i="489"/>
  <c r="DA81" i="489"/>
  <c r="DB81" i="489"/>
  <c r="DC81" i="489"/>
  <c r="DD81" i="489"/>
  <c r="DE81" i="489"/>
  <c r="DF81" i="489"/>
  <c r="DG81" i="489"/>
  <c r="DH81" i="489"/>
  <c r="DI81" i="489"/>
  <c r="DJ81" i="489"/>
  <c r="DK81" i="489"/>
  <c r="DL81" i="489"/>
  <c r="DM81" i="489"/>
  <c r="DN81" i="489"/>
  <c r="DO81" i="489"/>
  <c r="DP81" i="489"/>
  <c r="DQ81" i="489"/>
  <c r="DS81" i="489"/>
  <c r="DT81" i="489"/>
  <c r="DU81" i="489"/>
  <c r="DV81" i="489"/>
  <c r="DW81" i="489"/>
  <c r="DX81" i="489"/>
  <c r="DY81" i="489"/>
  <c r="DZ81" i="489"/>
  <c r="EA81" i="489"/>
  <c r="EB81" i="489"/>
  <c r="EC81" i="489"/>
  <c r="ED81" i="489"/>
  <c r="EE81" i="489"/>
  <c r="EF81" i="489"/>
  <c r="EG81" i="489"/>
  <c r="EH81" i="489"/>
  <c r="EI81" i="489"/>
  <c r="EJ81" i="489"/>
  <c r="EK81" i="489"/>
  <c r="EL81" i="489"/>
  <c r="EM81" i="489"/>
  <c r="EN81" i="489"/>
  <c r="EO81" i="489"/>
  <c r="EP81" i="489"/>
  <c r="EQ81" i="489"/>
  <c r="ER81" i="489"/>
  <c r="ES81" i="489"/>
  <c r="ET81" i="489"/>
  <c r="EU81" i="489"/>
  <c r="EV81" i="489"/>
  <c r="EW81" i="489"/>
  <c r="EX81" i="489"/>
  <c r="I70" i="93" l="1"/>
  <c r="I182" i="93"/>
  <c r="I210" i="93"/>
  <c r="I154" i="93"/>
  <c r="I126" i="93"/>
  <c r="I98" i="93"/>
  <c r="I42" i="93"/>
  <c r="I298" i="93" l="1"/>
  <c r="J87" i="489"/>
  <c r="K87" i="489"/>
  <c r="L87" i="489"/>
  <c r="M87" i="489"/>
  <c r="N87" i="489"/>
  <c r="O87" i="489"/>
  <c r="P87" i="489"/>
  <c r="Q87" i="489"/>
  <c r="R87" i="489"/>
  <c r="S87" i="489"/>
  <c r="T87" i="489"/>
  <c r="U87" i="489"/>
  <c r="V87" i="489"/>
  <c r="W87" i="489"/>
  <c r="X87" i="489"/>
  <c r="Y87" i="489"/>
  <c r="Z87" i="489"/>
  <c r="AA87" i="489"/>
  <c r="AB87" i="489"/>
  <c r="AC87" i="489"/>
  <c r="AD87" i="489"/>
  <c r="AE87" i="489"/>
  <c r="AF87" i="489"/>
  <c r="AG87" i="489"/>
  <c r="AH87" i="489"/>
  <c r="AI87" i="489"/>
  <c r="AJ87" i="489"/>
  <c r="AK87" i="489"/>
  <c r="AL87" i="489"/>
  <c r="AM87" i="489"/>
  <c r="AP87" i="489"/>
  <c r="AQ87" i="489"/>
  <c r="AR87" i="489"/>
  <c r="AS87" i="489"/>
  <c r="AT87" i="489"/>
  <c r="AU87" i="489"/>
  <c r="AV87" i="489"/>
  <c r="AW87" i="489"/>
  <c r="AX87" i="489"/>
  <c r="AY87" i="489"/>
  <c r="AZ87" i="489"/>
  <c r="BA87" i="489"/>
  <c r="BB87" i="489"/>
  <c r="BC87" i="489"/>
  <c r="BD87" i="489"/>
  <c r="BE87" i="489"/>
  <c r="BF87" i="489"/>
  <c r="BG87" i="489"/>
  <c r="BH87" i="489"/>
  <c r="BI87" i="489"/>
  <c r="BJ87" i="489"/>
  <c r="BK87" i="489"/>
  <c r="BL87" i="489"/>
  <c r="BM87" i="489"/>
  <c r="BN87" i="489"/>
  <c r="BO87" i="489"/>
  <c r="BP87" i="489"/>
  <c r="BQ87" i="489"/>
  <c r="BR87" i="489"/>
  <c r="BS87" i="489"/>
  <c r="BT87" i="489"/>
  <c r="BU87" i="489"/>
  <c r="BV87" i="489"/>
  <c r="BW87" i="489"/>
  <c r="BX87" i="489"/>
  <c r="BY87" i="489"/>
  <c r="BZ87" i="489"/>
  <c r="CA87" i="489"/>
  <c r="CB87" i="489"/>
  <c r="CC87" i="489"/>
  <c r="CD87" i="489"/>
  <c r="CE87" i="489"/>
  <c r="CF87" i="489"/>
  <c r="CG87" i="489"/>
  <c r="CH87" i="489"/>
  <c r="CI87" i="489"/>
  <c r="CJ87" i="489"/>
  <c r="CK87" i="489"/>
  <c r="CL87" i="489"/>
  <c r="CM87" i="489"/>
  <c r="CN87" i="489"/>
  <c r="CO87" i="489"/>
  <c r="CP87" i="489"/>
  <c r="CQ87" i="489"/>
  <c r="CR87" i="489"/>
  <c r="CS87" i="489"/>
  <c r="CT87" i="489"/>
  <c r="CU87" i="489"/>
  <c r="CV87" i="489"/>
  <c r="CW87" i="489"/>
  <c r="CX87" i="489"/>
  <c r="CY87" i="489"/>
  <c r="CZ87" i="489"/>
  <c r="DA87" i="489"/>
  <c r="DB87" i="489"/>
  <c r="DC87" i="489"/>
  <c r="DD87" i="489"/>
  <c r="DE87" i="489"/>
  <c r="DF87" i="489"/>
  <c r="DG87" i="489"/>
  <c r="DH87" i="489"/>
  <c r="DI87" i="489"/>
  <c r="DJ87" i="489"/>
  <c r="DK87" i="489"/>
  <c r="DL87" i="489"/>
  <c r="DM87" i="489"/>
  <c r="DN87" i="489"/>
  <c r="DO87" i="489"/>
  <c r="DP87" i="489"/>
  <c r="DQ87" i="489"/>
  <c r="DR87" i="489"/>
  <c r="DS87" i="489"/>
  <c r="DT87" i="489"/>
  <c r="DU87" i="489"/>
  <c r="DV87" i="489"/>
  <c r="DW87" i="489"/>
  <c r="DX87" i="489"/>
  <c r="DY87" i="489"/>
  <c r="DZ87" i="489"/>
  <c r="EA87" i="489"/>
  <c r="EB87" i="489"/>
  <c r="EC87" i="489"/>
  <c r="ED87" i="489"/>
  <c r="EE87" i="489"/>
  <c r="EF87" i="489"/>
  <c r="EG87" i="489"/>
  <c r="EH87" i="489"/>
  <c r="EI87" i="489"/>
  <c r="EJ87" i="489"/>
  <c r="EK87" i="489"/>
  <c r="EL87" i="489"/>
  <c r="EM87" i="489"/>
  <c r="EN87" i="489"/>
  <c r="EO87" i="489"/>
  <c r="EP87" i="489"/>
  <c r="EQ87" i="489"/>
  <c r="ER87" i="489"/>
  <c r="ES87" i="489"/>
  <c r="ET87" i="489"/>
  <c r="EU87" i="489"/>
  <c r="EV87" i="489"/>
  <c r="EW87" i="489"/>
  <c r="EX87" i="489"/>
  <c r="K89" i="489"/>
  <c r="L89" i="489"/>
  <c r="M89" i="489"/>
  <c r="N89" i="489"/>
  <c r="O89" i="489"/>
  <c r="P89" i="489"/>
  <c r="Q89" i="489"/>
  <c r="R89" i="489"/>
  <c r="S89" i="489"/>
  <c r="T89" i="489"/>
  <c r="U89" i="489"/>
  <c r="V89" i="489"/>
  <c r="W89" i="489"/>
  <c r="X89" i="489"/>
  <c r="Z89" i="489"/>
  <c r="AA89" i="489"/>
  <c r="AB89" i="489"/>
  <c r="AC89" i="489"/>
  <c r="AD89" i="489"/>
  <c r="AE89" i="489"/>
  <c r="AF89" i="489"/>
  <c r="AG89" i="489"/>
  <c r="AH89" i="489"/>
  <c r="AI89" i="489"/>
  <c r="AJ89" i="489"/>
  <c r="AL89" i="489"/>
  <c r="AM89" i="489"/>
  <c r="AN89" i="489"/>
  <c r="AO89" i="489"/>
  <c r="AP89" i="489"/>
  <c r="AQ89" i="489"/>
  <c r="AR89" i="489"/>
  <c r="AS89" i="489"/>
  <c r="AT89" i="489"/>
  <c r="AV89" i="489"/>
  <c r="AW89" i="489"/>
  <c r="AX89" i="489"/>
  <c r="AY89" i="489"/>
  <c r="AZ89" i="489"/>
  <c r="BA89" i="489"/>
  <c r="BB89" i="489"/>
  <c r="BC89" i="489"/>
  <c r="BD89" i="489"/>
  <c r="BE89" i="489"/>
  <c r="BF89" i="489"/>
  <c r="BG89" i="489"/>
  <c r="BH89" i="489"/>
  <c r="BI89" i="489"/>
  <c r="BJ89" i="489"/>
  <c r="BK89" i="489"/>
  <c r="BL89" i="489"/>
  <c r="BM89" i="489"/>
  <c r="BN89" i="489"/>
  <c r="BO89" i="489"/>
  <c r="BP89" i="489"/>
  <c r="BQ89" i="489"/>
  <c r="BR89" i="489"/>
  <c r="BT89" i="489"/>
  <c r="BU89" i="489"/>
  <c r="BV89" i="489"/>
  <c r="BW89" i="489"/>
  <c r="BX89" i="489"/>
  <c r="BY89" i="489"/>
  <c r="BZ89" i="489"/>
  <c r="CA89" i="489"/>
  <c r="CC89" i="489"/>
  <c r="CD89" i="489"/>
  <c r="CE89" i="489"/>
  <c r="CG89" i="489"/>
  <c r="CH89" i="489"/>
  <c r="CI89" i="489"/>
  <c r="CJ89" i="489"/>
  <c r="CK89" i="489"/>
  <c r="CL89" i="489"/>
  <c r="CM89" i="489"/>
  <c r="CN89" i="489"/>
  <c r="CO89" i="489"/>
  <c r="CP89" i="489"/>
  <c r="CQ89" i="489"/>
  <c r="CR89" i="489"/>
  <c r="CT89" i="489"/>
  <c r="CU89" i="489"/>
  <c r="CV89" i="489"/>
  <c r="CW89" i="489"/>
  <c r="CX89" i="489"/>
  <c r="CY89" i="489"/>
  <c r="CZ89" i="489"/>
  <c r="DA89" i="489"/>
  <c r="DB89" i="489"/>
  <c r="DD89" i="489"/>
  <c r="DE89" i="489"/>
  <c r="DG89" i="489"/>
  <c r="DH89" i="489"/>
  <c r="DI89" i="489"/>
  <c r="DJ89" i="489"/>
  <c r="DK89" i="489"/>
  <c r="DL89" i="489"/>
  <c r="DM89" i="489"/>
  <c r="DN89" i="489"/>
  <c r="DO89" i="489"/>
  <c r="DP89" i="489"/>
  <c r="DQ89" i="489"/>
  <c r="DR89" i="489"/>
  <c r="DS89" i="489"/>
  <c r="DT89" i="489"/>
  <c r="DU89" i="489"/>
  <c r="DV89" i="489"/>
  <c r="DW89" i="489"/>
  <c r="DX89" i="489"/>
  <c r="DY89" i="489"/>
  <c r="DZ89" i="489"/>
  <c r="EA89" i="489"/>
  <c r="EB89" i="489"/>
  <c r="EC89" i="489"/>
  <c r="ED89" i="489"/>
  <c r="EE89" i="489"/>
  <c r="EF89" i="489"/>
  <c r="EG89" i="489"/>
  <c r="EH89" i="489"/>
  <c r="EI89" i="489"/>
  <c r="EJ89" i="489"/>
  <c r="EK89" i="489"/>
  <c r="EL89" i="489"/>
  <c r="EM89" i="489"/>
  <c r="EN89" i="489"/>
  <c r="EO89" i="489"/>
  <c r="EP89" i="489"/>
  <c r="EQ89" i="489"/>
  <c r="ER89" i="489"/>
  <c r="ES89" i="489"/>
  <c r="ET89" i="489"/>
  <c r="EU89" i="489"/>
  <c r="EV89" i="489"/>
  <c r="EW89" i="489"/>
  <c r="EX89" i="489"/>
  <c r="J90" i="489"/>
  <c r="K90" i="489"/>
  <c r="L90" i="489"/>
  <c r="M90" i="489"/>
  <c r="N90" i="489"/>
  <c r="O90" i="489"/>
  <c r="P90" i="489"/>
  <c r="Q90" i="489"/>
  <c r="R90" i="489"/>
  <c r="S90" i="489"/>
  <c r="T90" i="489"/>
  <c r="U90" i="489"/>
  <c r="W90" i="489"/>
  <c r="X90" i="489"/>
  <c r="Y90" i="489"/>
  <c r="Z90" i="489"/>
  <c r="AA90" i="489"/>
  <c r="AB90" i="489"/>
  <c r="AC90" i="489"/>
  <c r="AD90" i="489"/>
  <c r="AE90" i="489"/>
  <c r="AF90" i="489"/>
  <c r="AG90" i="489"/>
  <c r="AI90" i="489"/>
  <c r="AJ90" i="489"/>
  <c r="AK90" i="489"/>
  <c r="AL90" i="489"/>
  <c r="AM90" i="489"/>
  <c r="AN90" i="489"/>
  <c r="AO90" i="489"/>
  <c r="AP90" i="489"/>
  <c r="AQ90" i="489"/>
  <c r="AR90" i="489"/>
  <c r="AS90" i="489"/>
  <c r="AT90" i="489"/>
  <c r="AU90" i="489"/>
  <c r="AV90" i="489"/>
  <c r="AW90" i="489"/>
  <c r="AX90" i="489"/>
  <c r="AY90" i="489"/>
  <c r="AZ90" i="489"/>
  <c r="BA90" i="489"/>
  <c r="BB90" i="489"/>
  <c r="BC90" i="489"/>
  <c r="BD90" i="489"/>
  <c r="BE90" i="489"/>
  <c r="BF90" i="489"/>
  <c r="BG90" i="489"/>
  <c r="BH90" i="489"/>
  <c r="BI90" i="489"/>
  <c r="BJ90" i="489"/>
  <c r="BK90" i="489"/>
  <c r="BL90" i="489"/>
  <c r="BM90" i="489"/>
  <c r="BN90" i="489"/>
  <c r="BO90" i="489"/>
  <c r="BP90" i="489"/>
  <c r="BQ90" i="489"/>
  <c r="BR90" i="489"/>
  <c r="BS90" i="489"/>
  <c r="BT90" i="489"/>
  <c r="BU90" i="489"/>
  <c r="BV90" i="489"/>
  <c r="BW90" i="489"/>
  <c r="BX90" i="489"/>
  <c r="BY90" i="489"/>
  <c r="BZ90" i="489"/>
  <c r="CA90" i="489"/>
  <c r="CB90" i="489"/>
  <c r="CC90" i="489"/>
  <c r="CD90" i="489"/>
  <c r="CE90" i="489"/>
  <c r="CF90" i="489"/>
  <c r="CG90" i="489"/>
  <c r="CH90" i="489"/>
  <c r="CI90" i="489"/>
  <c r="CJ90" i="489"/>
  <c r="CK90" i="489"/>
  <c r="CL90" i="489"/>
  <c r="CM90" i="489"/>
  <c r="CN90" i="489"/>
  <c r="CO90" i="489"/>
  <c r="CP90" i="489"/>
  <c r="CQ90" i="489"/>
  <c r="CR90" i="489"/>
  <c r="CS90" i="489"/>
  <c r="CT90" i="489"/>
  <c r="CU90" i="489"/>
  <c r="CV90" i="489"/>
  <c r="CW90" i="489"/>
  <c r="CX90" i="489"/>
  <c r="CY90" i="489"/>
  <c r="CZ90" i="489"/>
  <c r="DA90" i="489"/>
  <c r="DB90" i="489"/>
  <c r="DC90" i="489"/>
  <c r="DD90" i="489"/>
  <c r="DE90" i="489"/>
  <c r="DF90" i="489"/>
  <c r="DG90" i="489"/>
  <c r="DH90" i="489"/>
  <c r="DI90" i="489"/>
  <c r="DJ90" i="489"/>
  <c r="DK90" i="489"/>
  <c r="DL90" i="489"/>
  <c r="DM90" i="489"/>
  <c r="DN90" i="489"/>
  <c r="DO90" i="489"/>
  <c r="DP90" i="489"/>
  <c r="DQ90" i="489"/>
  <c r="DR90" i="489"/>
  <c r="DS90" i="489"/>
  <c r="DT90" i="489"/>
  <c r="DU90" i="489"/>
  <c r="DV90" i="489"/>
  <c r="DW90" i="489"/>
  <c r="DX90" i="489"/>
  <c r="DY90" i="489"/>
  <c r="DZ90" i="489"/>
  <c r="EA90" i="489"/>
  <c r="EB90" i="489"/>
  <c r="EC90" i="489"/>
  <c r="ED90" i="489"/>
  <c r="EE90" i="489"/>
  <c r="EF90" i="489"/>
  <c r="EG90" i="489"/>
  <c r="EH90" i="489"/>
  <c r="EI90" i="489"/>
  <c r="EJ90" i="489"/>
  <c r="EK90" i="489"/>
  <c r="EL90" i="489"/>
  <c r="EM90" i="489"/>
  <c r="EN90" i="489"/>
  <c r="EO90" i="489"/>
  <c r="EP90" i="489"/>
  <c r="EQ90" i="489"/>
  <c r="ER90" i="489"/>
  <c r="ES90" i="489"/>
  <c r="ET90" i="489"/>
  <c r="EU90" i="489"/>
  <c r="EV90" i="489"/>
  <c r="EW90" i="489"/>
  <c r="EX90" i="489"/>
  <c r="J91" i="489"/>
  <c r="K91" i="489"/>
  <c r="L91" i="489"/>
  <c r="M91" i="489"/>
  <c r="N91" i="489"/>
  <c r="O91" i="489"/>
  <c r="P91" i="489"/>
  <c r="Q91" i="489"/>
  <c r="R91" i="489"/>
  <c r="S91" i="489"/>
  <c r="T91" i="489"/>
  <c r="U91" i="489"/>
  <c r="V91" i="489"/>
  <c r="W91" i="489"/>
  <c r="X91" i="489"/>
  <c r="Y91" i="489"/>
  <c r="Z91" i="489"/>
  <c r="AA91" i="489"/>
  <c r="AB91" i="489"/>
  <c r="AC91" i="489"/>
  <c r="AD91" i="489"/>
  <c r="AE91" i="489"/>
  <c r="AF91" i="489"/>
  <c r="AG91" i="489"/>
  <c r="AH91" i="489"/>
  <c r="AI91" i="489"/>
  <c r="AJ91" i="489"/>
  <c r="AK91" i="489"/>
  <c r="AL91" i="489"/>
  <c r="AM91" i="489"/>
  <c r="AN91" i="489"/>
  <c r="AO91" i="489"/>
  <c r="AP91" i="489"/>
  <c r="AQ91" i="489"/>
  <c r="AR91" i="489"/>
  <c r="AS91" i="489"/>
  <c r="AT91" i="489"/>
  <c r="AU91" i="489"/>
  <c r="AV91" i="489"/>
  <c r="AW91" i="489"/>
  <c r="AX91" i="489"/>
  <c r="AY91" i="489"/>
  <c r="AZ91" i="489"/>
  <c r="BA91" i="489"/>
  <c r="BB91" i="489"/>
  <c r="BC91" i="489"/>
  <c r="BD91" i="489"/>
  <c r="BE91" i="489"/>
  <c r="BF91" i="489"/>
  <c r="BG91" i="489"/>
  <c r="BH91" i="489"/>
  <c r="BI91" i="489"/>
  <c r="BJ91" i="489"/>
  <c r="BK91" i="489"/>
  <c r="BL91" i="489"/>
  <c r="BM91" i="489"/>
  <c r="BN91" i="489"/>
  <c r="BO91" i="489"/>
  <c r="BP91" i="489"/>
  <c r="BQ91" i="489"/>
  <c r="BS91" i="489"/>
  <c r="BT91" i="489"/>
  <c r="BU91" i="489"/>
  <c r="BV91" i="489"/>
  <c r="BW91" i="489"/>
  <c r="BX91" i="489"/>
  <c r="BY91" i="489"/>
  <c r="BZ91" i="489"/>
  <c r="CA91" i="489"/>
  <c r="CB91" i="489"/>
  <c r="CC91" i="489"/>
  <c r="CD91" i="489"/>
  <c r="CE91" i="489"/>
  <c r="CF91" i="489"/>
  <c r="CG91" i="489"/>
  <c r="CH91" i="489"/>
  <c r="CI91" i="489"/>
  <c r="CJ91" i="489"/>
  <c r="CK91" i="489"/>
  <c r="CL91" i="489"/>
  <c r="CM91" i="489"/>
  <c r="CN91" i="489"/>
  <c r="CO91" i="489"/>
  <c r="CP91" i="489"/>
  <c r="CR91" i="489"/>
  <c r="CS91" i="489"/>
  <c r="CT91" i="489"/>
  <c r="CU91" i="489"/>
  <c r="CV91" i="489"/>
  <c r="CW91" i="489"/>
  <c r="CX91" i="489"/>
  <c r="CY91" i="489"/>
  <c r="DA91" i="489"/>
  <c r="DB91" i="489"/>
  <c r="DC91" i="489"/>
  <c r="DD91" i="489"/>
  <c r="DE91" i="489"/>
  <c r="DF91" i="489"/>
  <c r="DG91" i="489"/>
  <c r="DH91" i="489"/>
  <c r="DI91" i="489"/>
  <c r="DJ91" i="489"/>
  <c r="DK91" i="489"/>
  <c r="DL91" i="489"/>
  <c r="DM91" i="489"/>
  <c r="DN91" i="489"/>
  <c r="DO91" i="489"/>
  <c r="DP91" i="489"/>
  <c r="DQ91" i="489"/>
  <c r="DR91" i="489"/>
  <c r="DS91" i="489"/>
  <c r="DT91" i="489"/>
  <c r="DU91" i="489"/>
  <c r="DV91" i="489"/>
  <c r="DW91" i="489"/>
  <c r="DX91" i="489"/>
  <c r="DY91" i="489"/>
  <c r="DZ91" i="489"/>
  <c r="EA91" i="489"/>
  <c r="EB91" i="489"/>
  <c r="EC91" i="489"/>
  <c r="ED91" i="489"/>
  <c r="EE91" i="489"/>
  <c r="EF91" i="489"/>
  <c r="EG91" i="489"/>
  <c r="EH91" i="489"/>
  <c r="EI91" i="489"/>
  <c r="EJ91" i="489"/>
  <c r="EK91" i="489"/>
  <c r="EL91" i="489"/>
  <c r="EM91" i="489"/>
  <c r="EN91" i="489"/>
  <c r="EO91" i="489"/>
  <c r="EP91" i="489"/>
  <c r="EQ91" i="489"/>
  <c r="ER91" i="489"/>
  <c r="ES91" i="489"/>
  <c r="ET91" i="489"/>
  <c r="EU91" i="489"/>
  <c r="EV91" i="489"/>
  <c r="EW91" i="489"/>
  <c r="EX91" i="489"/>
  <c r="C92" i="489"/>
  <c r="H92" i="489"/>
  <c r="J92" i="489"/>
  <c r="K92" i="489"/>
  <c r="L92" i="489"/>
  <c r="M92" i="489"/>
  <c r="N92" i="489"/>
  <c r="O92" i="489"/>
  <c r="P92" i="489"/>
  <c r="Q92" i="489"/>
  <c r="R92" i="489"/>
  <c r="S92" i="489"/>
  <c r="T92" i="489"/>
  <c r="U92" i="489"/>
  <c r="V92" i="489"/>
  <c r="W92" i="489"/>
  <c r="X92" i="489"/>
  <c r="Y92" i="489"/>
  <c r="Z92" i="489"/>
  <c r="AA92" i="489"/>
  <c r="AB92" i="489"/>
  <c r="AC92" i="489"/>
  <c r="AD92" i="489"/>
  <c r="AE92" i="489"/>
  <c r="AF92" i="489"/>
  <c r="AG92" i="489"/>
  <c r="AH92" i="489"/>
  <c r="AI92" i="489"/>
  <c r="AJ92" i="489"/>
  <c r="AK92" i="489"/>
  <c r="AL92" i="489"/>
  <c r="AM92" i="489"/>
  <c r="AN92" i="489"/>
  <c r="AO92" i="489"/>
  <c r="AP92" i="489"/>
  <c r="AQ92" i="489"/>
  <c r="AR92" i="489"/>
  <c r="AS92" i="489"/>
  <c r="AT92" i="489"/>
  <c r="AU92" i="489"/>
  <c r="AV92" i="489"/>
  <c r="AW92" i="489"/>
  <c r="AX92" i="489"/>
  <c r="AY92" i="489"/>
  <c r="AZ92" i="489"/>
  <c r="BA92" i="489"/>
  <c r="BB92" i="489"/>
  <c r="BC92" i="489"/>
  <c r="BD92" i="489"/>
  <c r="BE92" i="489"/>
  <c r="BF92" i="489"/>
  <c r="BG92" i="489"/>
  <c r="BH92" i="489"/>
  <c r="BI92" i="489"/>
  <c r="BJ92" i="489"/>
  <c r="BK92" i="489"/>
  <c r="BL92" i="489"/>
  <c r="BM92" i="489"/>
  <c r="BN92" i="489"/>
  <c r="BO92" i="489"/>
  <c r="BP92" i="489"/>
  <c r="BQ92" i="489"/>
  <c r="BR92" i="489"/>
  <c r="BS92" i="489"/>
  <c r="BT92" i="489"/>
  <c r="BU92" i="489"/>
  <c r="BV92" i="489"/>
  <c r="BW92" i="489"/>
  <c r="BX92" i="489"/>
  <c r="BY92" i="489"/>
  <c r="BZ92" i="489"/>
  <c r="CA92" i="489"/>
  <c r="CB92" i="489"/>
  <c r="CC92" i="489"/>
  <c r="CD92" i="489"/>
  <c r="CE92" i="489"/>
  <c r="CF92" i="489"/>
  <c r="CG92" i="489"/>
  <c r="CH92" i="489"/>
  <c r="CI92" i="489"/>
  <c r="CJ92" i="489"/>
  <c r="CK92" i="489"/>
  <c r="CL92" i="489"/>
  <c r="CM92" i="489"/>
  <c r="CN92" i="489"/>
  <c r="CO92" i="489"/>
  <c r="CP92" i="489"/>
  <c r="CQ92" i="489"/>
  <c r="CR92" i="489"/>
  <c r="CS92" i="489"/>
  <c r="CT92" i="489"/>
  <c r="CU92" i="489"/>
  <c r="CV92" i="489"/>
  <c r="CW92" i="489"/>
  <c r="CX92" i="489"/>
  <c r="CY92" i="489"/>
  <c r="CZ92" i="489"/>
  <c r="DA92" i="489"/>
  <c r="DB92" i="489"/>
  <c r="DC92" i="489"/>
  <c r="DD92" i="489"/>
  <c r="DE92" i="489"/>
  <c r="DF92" i="489"/>
  <c r="DG92" i="489"/>
  <c r="DH92" i="489"/>
  <c r="DI92" i="489"/>
  <c r="DJ92" i="489"/>
  <c r="DK92" i="489"/>
  <c r="DL92" i="489"/>
  <c r="DM92" i="489"/>
  <c r="DN92" i="489"/>
  <c r="DO92" i="489"/>
  <c r="DP92" i="489"/>
  <c r="DQ92" i="489"/>
  <c r="DR92" i="489"/>
  <c r="DS92" i="489"/>
  <c r="DT92" i="489"/>
  <c r="DU92" i="489"/>
  <c r="DV92" i="489"/>
  <c r="DW92" i="489"/>
  <c r="DX92" i="489"/>
  <c r="DY92" i="489"/>
  <c r="DZ92" i="489"/>
  <c r="EA92" i="489"/>
  <c r="EB92" i="489"/>
  <c r="EC92" i="489"/>
  <c r="ED92" i="489"/>
  <c r="EE92" i="489"/>
  <c r="EF92" i="489"/>
  <c r="EG92" i="489"/>
  <c r="EH92" i="489"/>
  <c r="EI92" i="489"/>
  <c r="EJ92" i="489"/>
  <c r="EK92" i="489"/>
  <c r="EL92" i="489"/>
  <c r="EM92" i="489"/>
  <c r="EN92" i="489"/>
  <c r="EO92" i="489"/>
  <c r="EP92" i="489"/>
  <c r="EQ92" i="489"/>
  <c r="ER92" i="489"/>
  <c r="ES92" i="489"/>
  <c r="ET92" i="489"/>
  <c r="EU92" i="489"/>
  <c r="EW92" i="489"/>
  <c r="EX92" i="489"/>
  <c r="C93" i="489"/>
  <c r="H93" i="489"/>
  <c r="J93" i="489"/>
  <c r="K93" i="489"/>
  <c r="L93" i="489"/>
  <c r="M93" i="489"/>
  <c r="N93" i="489"/>
  <c r="O93" i="489"/>
  <c r="P93" i="489"/>
  <c r="Q93" i="489"/>
  <c r="R93" i="489"/>
  <c r="S93" i="489"/>
  <c r="T93" i="489"/>
  <c r="U93" i="489"/>
  <c r="V93" i="489"/>
  <c r="W93" i="489"/>
  <c r="X93" i="489"/>
  <c r="Y93" i="489"/>
  <c r="Z93" i="489"/>
  <c r="AA93" i="489"/>
  <c r="AB93" i="489"/>
  <c r="AC93" i="489"/>
  <c r="AD93" i="489"/>
  <c r="AE93" i="489"/>
  <c r="AF93" i="489"/>
  <c r="AG93" i="489"/>
  <c r="AH93" i="489"/>
  <c r="AI93" i="489"/>
  <c r="AJ93" i="489"/>
  <c r="AK93" i="489"/>
  <c r="AL93" i="489"/>
  <c r="AM93" i="489"/>
  <c r="AN93" i="489"/>
  <c r="AO93" i="489"/>
  <c r="AP93" i="489"/>
  <c r="AQ93" i="489"/>
  <c r="AR93" i="489"/>
  <c r="AS93" i="489"/>
  <c r="AT93" i="489"/>
  <c r="AU93" i="489"/>
  <c r="AV93" i="489"/>
  <c r="AW93" i="489"/>
  <c r="AX93" i="489"/>
  <c r="AY93" i="489"/>
  <c r="AZ93" i="489"/>
  <c r="BA93" i="489"/>
  <c r="BB93" i="489"/>
  <c r="BC93" i="489"/>
  <c r="BD93" i="489"/>
  <c r="BE93" i="489"/>
  <c r="BF93" i="489"/>
  <c r="BG93" i="489"/>
  <c r="BH93" i="489"/>
  <c r="BI93" i="489"/>
  <c r="BJ93" i="489"/>
  <c r="BK93" i="489"/>
  <c r="BL93" i="489"/>
  <c r="BM93" i="489"/>
  <c r="BN93" i="489"/>
  <c r="BO93" i="489"/>
  <c r="BP93" i="489"/>
  <c r="BQ93" i="489"/>
  <c r="BR93" i="489"/>
  <c r="BS93" i="489"/>
  <c r="BT93" i="489"/>
  <c r="BU93" i="489"/>
  <c r="BV93" i="489"/>
  <c r="BW93" i="489"/>
  <c r="BX93" i="489"/>
  <c r="BY93" i="489"/>
  <c r="BZ93" i="489"/>
  <c r="CA93" i="489"/>
  <c r="CB93" i="489"/>
  <c r="CC93" i="489"/>
  <c r="CD93" i="489"/>
  <c r="CE93" i="489"/>
  <c r="CF93" i="489"/>
  <c r="CG93" i="489"/>
  <c r="CH93" i="489"/>
  <c r="CI93" i="489"/>
  <c r="CJ93" i="489"/>
  <c r="CK93" i="489"/>
  <c r="CL93" i="489"/>
  <c r="CM93" i="489"/>
  <c r="CN93" i="489"/>
  <c r="CO93" i="489"/>
  <c r="CP93" i="489"/>
  <c r="CQ93" i="489"/>
  <c r="CR93" i="489"/>
  <c r="CS93" i="489"/>
  <c r="CT93" i="489"/>
  <c r="CU93" i="489"/>
  <c r="CV93" i="489"/>
  <c r="CW93" i="489"/>
  <c r="CX93" i="489"/>
  <c r="CY93" i="489"/>
  <c r="CZ93" i="489"/>
  <c r="DA93" i="489"/>
  <c r="DB93" i="489"/>
  <c r="DC93" i="489"/>
  <c r="DD93" i="489"/>
  <c r="DE93" i="489"/>
  <c r="DF93" i="489"/>
  <c r="DG93" i="489"/>
  <c r="DH93" i="489"/>
  <c r="DI93" i="489"/>
  <c r="DJ93" i="489"/>
  <c r="DK93" i="489"/>
  <c r="DL93" i="489"/>
  <c r="DM93" i="489"/>
  <c r="DN93" i="489"/>
  <c r="DO93" i="489"/>
  <c r="DP93" i="489"/>
  <c r="DQ93" i="489"/>
  <c r="DR93" i="489"/>
  <c r="DS93" i="489"/>
  <c r="DT93" i="489"/>
  <c r="DU93" i="489"/>
  <c r="DV93" i="489"/>
  <c r="DW93" i="489"/>
  <c r="DX93" i="489"/>
  <c r="DY93" i="489"/>
  <c r="DZ93" i="489"/>
  <c r="EA93" i="489"/>
  <c r="EB93" i="489"/>
  <c r="EC93" i="489"/>
  <c r="ED93" i="489"/>
  <c r="EE93" i="489"/>
  <c r="EF93" i="489"/>
  <c r="EG93" i="489"/>
  <c r="EH93" i="489"/>
  <c r="EI93" i="489"/>
  <c r="EJ93" i="489"/>
  <c r="EK93" i="489"/>
  <c r="EL93" i="489"/>
  <c r="EM93" i="489"/>
  <c r="EN93" i="489"/>
  <c r="EO93" i="489"/>
  <c r="EP93" i="489"/>
  <c r="EQ93" i="489"/>
  <c r="ER93" i="489"/>
  <c r="ES93" i="489"/>
  <c r="ET93" i="489"/>
  <c r="EU93" i="489"/>
  <c r="EV93" i="489"/>
  <c r="EX93" i="489"/>
  <c r="C57" i="489"/>
  <c r="H57" i="489"/>
  <c r="J57" i="489"/>
  <c r="K57" i="489"/>
  <c r="L57" i="489"/>
  <c r="M57" i="489"/>
  <c r="N57" i="489"/>
  <c r="O57" i="489"/>
  <c r="P57" i="489"/>
  <c r="Q57" i="489"/>
  <c r="R57" i="489"/>
  <c r="S57" i="489"/>
  <c r="T57" i="489"/>
  <c r="U57" i="489"/>
  <c r="V57" i="489"/>
  <c r="W57" i="489"/>
  <c r="X57" i="489"/>
  <c r="Y57" i="489"/>
  <c r="Z57" i="489"/>
  <c r="AA57" i="489"/>
  <c r="AB57" i="489"/>
  <c r="AC57" i="489"/>
  <c r="AD57" i="489"/>
  <c r="AE57" i="489"/>
  <c r="AF57" i="489"/>
  <c r="AG57" i="489"/>
  <c r="AH57" i="489"/>
  <c r="AI57" i="489"/>
  <c r="AJ57" i="489"/>
  <c r="AK57" i="489"/>
  <c r="AL57" i="489"/>
  <c r="AM57" i="489"/>
  <c r="AO57" i="489"/>
  <c r="AP57" i="489"/>
  <c r="AQ57" i="489"/>
  <c r="AR57" i="489"/>
  <c r="AS57" i="489"/>
  <c r="AT57" i="489"/>
  <c r="AU57" i="489"/>
  <c r="AV57" i="489"/>
  <c r="AW57" i="489"/>
  <c r="AX57" i="489"/>
  <c r="AY57" i="489"/>
  <c r="AZ57" i="489"/>
  <c r="BA57" i="489"/>
  <c r="BB57" i="489"/>
  <c r="BC57" i="489"/>
  <c r="BD57" i="489"/>
  <c r="BE57" i="489"/>
  <c r="BF57" i="489"/>
  <c r="BG57" i="489"/>
  <c r="BH57" i="489"/>
  <c r="BI57" i="489"/>
  <c r="BJ57" i="489"/>
  <c r="BK57" i="489"/>
  <c r="BL57" i="489"/>
  <c r="BM57" i="489"/>
  <c r="BN57" i="489"/>
  <c r="BO57" i="489"/>
  <c r="BP57" i="489"/>
  <c r="BQ57" i="489"/>
  <c r="BR57" i="489"/>
  <c r="BS57" i="489"/>
  <c r="BT57" i="489"/>
  <c r="BU57" i="489"/>
  <c r="BV57" i="489"/>
  <c r="BW57" i="489"/>
  <c r="BX57" i="489"/>
  <c r="BY57" i="489"/>
  <c r="BZ57" i="489"/>
  <c r="CA57" i="489"/>
  <c r="CB57" i="489"/>
  <c r="CC57" i="489"/>
  <c r="CD57" i="489"/>
  <c r="CE57" i="489"/>
  <c r="CF57" i="489"/>
  <c r="CG57" i="489"/>
  <c r="CH57" i="489"/>
  <c r="CI57" i="489"/>
  <c r="CJ57" i="489"/>
  <c r="CK57" i="489"/>
  <c r="CL57" i="489"/>
  <c r="CM57" i="489"/>
  <c r="CN57" i="489"/>
  <c r="CO57" i="489"/>
  <c r="CP57" i="489"/>
  <c r="CQ57" i="489"/>
  <c r="CR57" i="489"/>
  <c r="CS57" i="489"/>
  <c r="CT57" i="489"/>
  <c r="CU57" i="489"/>
  <c r="CV57" i="489"/>
  <c r="CW57" i="489"/>
  <c r="CX57" i="489"/>
  <c r="CY57" i="489"/>
  <c r="CZ57" i="489"/>
  <c r="DA57" i="489"/>
  <c r="DB57" i="489"/>
  <c r="DC57" i="489"/>
  <c r="DD57" i="489"/>
  <c r="DE57" i="489"/>
  <c r="DF57" i="489"/>
  <c r="DG57" i="489"/>
  <c r="DH57" i="489"/>
  <c r="DI57" i="489"/>
  <c r="DJ57" i="489"/>
  <c r="DK57" i="489"/>
  <c r="DL57" i="489"/>
  <c r="DM57" i="489"/>
  <c r="DN57" i="489"/>
  <c r="DO57" i="489"/>
  <c r="DP57" i="489"/>
  <c r="DQ57" i="489"/>
  <c r="DR57" i="489"/>
  <c r="DS57" i="489"/>
  <c r="DT57" i="489"/>
  <c r="DU57" i="489"/>
  <c r="DV57" i="489"/>
  <c r="DW57" i="489"/>
  <c r="DX57" i="489"/>
  <c r="DY57" i="489"/>
  <c r="DZ57" i="489"/>
  <c r="EA57" i="489"/>
  <c r="EB57" i="489"/>
  <c r="EC57" i="489"/>
  <c r="ED57" i="489"/>
  <c r="EE57" i="489"/>
  <c r="EF57" i="489"/>
  <c r="EG57" i="489"/>
  <c r="EH57" i="489"/>
  <c r="EI57" i="489"/>
  <c r="EJ57" i="489"/>
  <c r="EK57" i="489"/>
  <c r="EL57" i="489"/>
  <c r="EM57" i="489"/>
  <c r="EN57" i="489"/>
  <c r="EO57" i="489"/>
  <c r="EP57" i="489"/>
  <c r="EQ57" i="489"/>
  <c r="ER57" i="489"/>
  <c r="ES57" i="489"/>
  <c r="ET57" i="489"/>
  <c r="EU57" i="489"/>
  <c r="EV57" i="489"/>
  <c r="EW57" i="489"/>
  <c r="EX57" i="489"/>
  <c r="J58" i="489"/>
  <c r="K58" i="489"/>
  <c r="L58" i="489"/>
  <c r="M58" i="489"/>
  <c r="N58" i="489"/>
  <c r="O58" i="489"/>
  <c r="P58" i="489"/>
  <c r="Q58" i="489"/>
  <c r="R58" i="489"/>
  <c r="S58" i="489"/>
  <c r="T58" i="489"/>
  <c r="U58" i="489"/>
  <c r="V58" i="489"/>
  <c r="W58" i="489"/>
  <c r="X58" i="489"/>
  <c r="Z58" i="489"/>
  <c r="AA58" i="489"/>
  <c r="AB58" i="489"/>
  <c r="AC58" i="489"/>
  <c r="AD58" i="489"/>
  <c r="AE58" i="489"/>
  <c r="AG58" i="489"/>
  <c r="AI58" i="489"/>
  <c r="AJ58" i="489"/>
  <c r="AL58" i="489"/>
  <c r="AM58" i="489"/>
  <c r="AN58" i="489"/>
  <c r="AO58" i="489"/>
  <c r="AP58" i="489"/>
  <c r="AR58" i="489"/>
  <c r="AS58" i="489"/>
  <c r="AT58" i="489"/>
  <c r="AV58" i="489"/>
  <c r="AW58" i="489"/>
  <c r="AX58" i="489"/>
  <c r="AY58" i="489"/>
  <c r="AZ58" i="489"/>
  <c r="BA58" i="489"/>
  <c r="BB58" i="489"/>
  <c r="BC58" i="489"/>
  <c r="BD58" i="489"/>
  <c r="BE58" i="489"/>
  <c r="BF58" i="489"/>
  <c r="BG58" i="489"/>
  <c r="BH58" i="489"/>
  <c r="BI58" i="489"/>
  <c r="BJ58" i="489"/>
  <c r="BK58" i="489"/>
  <c r="BL58" i="489"/>
  <c r="BM58" i="489"/>
  <c r="BN58" i="489"/>
  <c r="BO58" i="489"/>
  <c r="BP58" i="489"/>
  <c r="BQ58" i="489"/>
  <c r="BR58" i="489"/>
  <c r="BS58" i="489"/>
  <c r="BT58" i="489"/>
  <c r="BU58" i="489"/>
  <c r="BV58" i="489"/>
  <c r="BW58" i="489"/>
  <c r="BX58" i="489"/>
  <c r="BY58" i="489"/>
  <c r="BZ58" i="489"/>
  <c r="CA58" i="489"/>
  <c r="CC58" i="489"/>
  <c r="CD58" i="489"/>
  <c r="CE58" i="489"/>
  <c r="CG58" i="489"/>
  <c r="CH58" i="489"/>
  <c r="CI58" i="489"/>
  <c r="CJ58" i="489"/>
  <c r="CK58" i="489"/>
  <c r="CL58" i="489"/>
  <c r="CM58" i="489"/>
  <c r="CN58" i="489"/>
  <c r="CO58" i="489"/>
  <c r="CP58" i="489"/>
  <c r="CQ58" i="489"/>
  <c r="CR58" i="489"/>
  <c r="CT58" i="489"/>
  <c r="CU58" i="489"/>
  <c r="CV58" i="489"/>
  <c r="CW58" i="489"/>
  <c r="CX58" i="489"/>
  <c r="CY58" i="489"/>
  <c r="CZ58" i="489"/>
  <c r="DA58" i="489"/>
  <c r="DB58" i="489"/>
  <c r="DD58" i="489"/>
  <c r="DE58" i="489"/>
  <c r="DF58" i="489"/>
  <c r="DG58" i="489"/>
  <c r="DH58" i="489"/>
  <c r="DI58" i="489"/>
  <c r="DJ58" i="489"/>
  <c r="DK58" i="489"/>
  <c r="DL58" i="489"/>
  <c r="DM58" i="489"/>
  <c r="DN58" i="489"/>
  <c r="DO58" i="489"/>
  <c r="DP58" i="489"/>
  <c r="DQ58" i="489"/>
  <c r="DR58" i="489"/>
  <c r="DS58" i="489"/>
  <c r="DT58" i="489"/>
  <c r="DU58" i="489"/>
  <c r="DV58" i="489"/>
  <c r="DW58" i="489"/>
  <c r="DX58" i="489"/>
  <c r="DY58" i="489"/>
  <c r="DZ58" i="489"/>
  <c r="EA58" i="489"/>
  <c r="EB58" i="489"/>
  <c r="EC58" i="489"/>
  <c r="ED58" i="489"/>
  <c r="EE58" i="489"/>
  <c r="EF58" i="489"/>
  <c r="EG58" i="489"/>
  <c r="EH58" i="489"/>
  <c r="EI58" i="489"/>
  <c r="EJ58" i="489"/>
  <c r="EK58" i="489"/>
  <c r="EL58" i="489"/>
  <c r="EM58" i="489"/>
  <c r="EN58" i="489"/>
  <c r="EO58" i="489"/>
  <c r="EP58" i="489"/>
  <c r="EQ58" i="489"/>
  <c r="ER58" i="489"/>
  <c r="ES58" i="489"/>
  <c r="ET58" i="489"/>
  <c r="EU58" i="489"/>
  <c r="EV58" i="489"/>
  <c r="EW58" i="489"/>
  <c r="EX58" i="489"/>
  <c r="J59" i="489"/>
  <c r="K59" i="489"/>
  <c r="L59" i="489"/>
  <c r="N59" i="489"/>
  <c r="O59" i="489"/>
  <c r="Q59" i="489"/>
  <c r="R59" i="489"/>
  <c r="S59" i="489"/>
  <c r="T59" i="489"/>
  <c r="W59" i="489"/>
  <c r="X59" i="489"/>
  <c r="Z59" i="489"/>
  <c r="AA59" i="489"/>
  <c r="AB59" i="489"/>
  <c r="AC59" i="489"/>
  <c r="AD59" i="489"/>
  <c r="AE59" i="489"/>
  <c r="AF59" i="489"/>
  <c r="AG59" i="489"/>
  <c r="AH59" i="489"/>
  <c r="AI59" i="489"/>
  <c r="AJ59" i="489"/>
  <c r="AL59" i="489"/>
  <c r="AM59" i="489"/>
  <c r="AN59" i="489"/>
  <c r="AO59" i="489"/>
  <c r="AP59" i="489"/>
  <c r="AQ59" i="489"/>
  <c r="AR59" i="489"/>
  <c r="AS59" i="489"/>
  <c r="AT59" i="489"/>
  <c r="AU59" i="489"/>
  <c r="AV59" i="489"/>
  <c r="AW59" i="489"/>
  <c r="AX59" i="489"/>
  <c r="AY59" i="489"/>
  <c r="AZ59" i="489"/>
  <c r="BA59" i="489"/>
  <c r="BB59" i="489"/>
  <c r="BC59" i="489"/>
  <c r="BD59" i="489"/>
  <c r="BE59" i="489"/>
  <c r="BF59" i="489"/>
  <c r="BG59" i="489"/>
  <c r="BH59" i="489"/>
  <c r="BI59" i="489"/>
  <c r="BJ59" i="489"/>
  <c r="BK59" i="489"/>
  <c r="BL59" i="489"/>
  <c r="BM59" i="489"/>
  <c r="BN59" i="489"/>
  <c r="BO59" i="489"/>
  <c r="BP59" i="489"/>
  <c r="BQ59" i="489"/>
  <c r="BR59" i="489"/>
  <c r="BT59" i="489"/>
  <c r="BU59" i="489"/>
  <c r="BV59" i="489"/>
  <c r="BW59" i="489"/>
  <c r="BX59" i="489"/>
  <c r="BY59" i="489"/>
  <c r="BZ59" i="489"/>
  <c r="CA59" i="489"/>
  <c r="CB59" i="489"/>
  <c r="CC59" i="489"/>
  <c r="CD59" i="489"/>
  <c r="CE59" i="489"/>
  <c r="CG59" i="489"/>
  <c r="CH59" i="489"/>
  <c r="CI59" i="489"/>
  <c r="CJ59" i="489"/>
  <c r="CK59" i="489"/>
  <c r="CL59" i="489"/>
  <c r="CM59" i="489"/>
  <c r="CN59" i="489"/>
  <c r="CO59" i="489"/>
  <c r="CP59" i="489"/>
  <c r="CQ59" i="489"/>
  <c r="CR59" i="489"/>
  <c r="CT59" i="489"/>
  <c r="CU59" i="489"/>
  <c r="CV59" i="489"/>
  <c r="CW59" i="489"/>
  <c r="CX59" i="489"/>
  <c r="CY59" i="489"/>
  <c r="CZ59" i="489"/>
  <c r="DA59" i="489"/>
  <c r="DB59" i="489"/>
  <c r="DE59" i="489"/>
  <c r="DG59" i="489"/>
  <c r="DH59" i="489"/>
  <c r="DI59" i="489"/>
  <c r="DJ59" i="489"/>
  <c r="DK59" i="489"/>
  <c r="DL59" i="489"/>
  <c r="DM59" i="489"/>
  <c r="DN59" i="489"/>
  <c r="DO59" i="489"/>
  <c r="DP59" i="489"/>
  <c r="DQ59" i="489"/>
  <c r="DR59" i="489"/>
  <c r="DS59" i="489"/>
  <c r="DT59" i="489"/>
  <c r="DU59" i="489"/>
  <c r="DV59" i="489"/>
  <c r="DW59" i="489"/>
  <c r="DX59" i="489"/>
  <c r="DY59" i="489"/>
  <c r="DZ59" i="489"/>
  <c r="EA59" i="489"/>
  <c r="EB59" i="489"/>
  <c r="EC59" i="489"/>
  <c r="ED59" i="489"/>
  <c r="EE59" i="489"/>
  <c r="EF59" i="489"/>
  <c r="EG59" i="489"/>
  <c r="EH59" i="489"/>
  <c r="EI59" i="489"/>
  <c r="EJ59" i="489"/>
  <c r="EK59" i="489"/>
  <c r="EL59" i="489"/>
  <c r="EM59" i="489"/>
  <c r="EN59" i="489"/>
  <c r="EO59" i="489"/>
  <c r="EP59" i="489"/>
  <c r="EQ59" i="489"/>
  <c r="ER59" i="489"/>
  <c r="ES59" i="489"/>
  <c r="ET59" i="489"/>
  <c r="EU59" i="489"/>
  <c r="EW59" i="489"/>
  <c r="EX59" i="489"/>
  <c r="J60" i="489"/>
  <c r="K60" i="489"/>
  <c r="L60" i="489"/>
  <c r="M60" i="489"/>
  <c r="N60" i="489"/>
  <c r="O60" i="489"/>
  <c r="P60" i="489"/>
  <c r="Q60" i="489"/>
  <c r="R60" i="489"/>
  <c r="S60" i="489"/>
  <c r="T60" i="489"/>
  <c r="W60" i="489"/>
  <c r="X60" i="489"/>
  <c r="Y60" i="489"/>
  <c r="Z60" i="489"/>
  <c r="AA60" i="489"/>
  <c r="AB60" i="489"/>
  <c r="AC60" i="489"/>
  <c r="AD60" i="489"/>
  <c r="AE60" i="489"/>
  <c r="AF60" i="489"/>
  <c r="AG60" i="489"/>
  <c r="AI60" i="489"/>
  <c r="AJ60" i="489"/>
  <c r="AK60" i="489"/>
  <c r="AL60" i="489"/>
  <c r="AM60" i="489"/>
  <c r="AN60" i="489"/>
  <c r="AO60" i="489"/>
  <c r="AP60" i="489"/>
  <c r="AQ60" i="489"/>
  <c r="AR60" i="489"/>
  <c r="AS60" i="489"/>
  <c r="AT60" i="489"/>
  <c r="AU60" i="489"/>
  <c r="AV60" i="489"/>
  <c r="AW60" i="489"/>
  <c r="AX60" i="489"/>
  <c r="AY60" i="489"/>
  <c r="AZ60" i="489"/>
  <c r="BA60" i="489"/>
  <c r="BB60" i="489"/>
  <c r="BC60" i="489"/>
  <c r="BD60" i="489"/>
  <c r="BE60" i="489"/>
  <c r="BF60" i="489"/>
  <c r="BG60" i="489"/>
  <c r="BH60" i="489"/>
  <c r="BI60" i="489"/>
  <c r="BJ60" i="489"/>
  <c r="BK60" i="489"/>
  <c r="BL60" i="489"/>
  <c r="BM60" i="489"/>
  <c r="BN60" i="489"/>
  <c r="BO60" i="489"/>
  <c r="BP60" i="489"/>
  <c r="BQ60" i="489"/>
  <c r="BR60" i="489"/>
  <c r="BS60" i="489"/>
  <c r="BT60" i="489"/>
  <c r="BU60" i="489"/>
  <c r="BV60" i="489"/>
  <c r="BW60" i="489"/>
  <c r="BX60" i="489"/>
  <c r="BY60" i="489"/>
  <c r="BZ60" i="489"/>
  <c r="CA60" i="489"/>
  <c r="CB60" i="489"/>
  <c r="CC60" i="489"/>
  <c r="CD60" i="489"/>
  <c r="CE60" i="489"/>
  <c r="CF60" i="489"/>
  <c r="CG60" i="489"/>
  <c r="CH60" i="489"/>
  <c r="CI60" i="489"/>
  <c r="CJ60" i="489"/>
  <c r="CK60" i="489"/>
  <c r="CL60" i="489"/>
  <c r="CM60" i="489"/>
  <c r="CN60" i="489"/>
  <c r="CO60" i="489"/>
  <c r="CP60" i="489"/>
  <c r="CQ60" i="489"/>
  <c r="CR60" i="489"/>
  <c r="CS60" i="489"/>
  <c r="CT60" i="489"/>
  <c r="CU60" i="489"/>
  <c r="CV60" i="489"/>
  <c r="CW60" i="489"/>
  <c r="CX60" i="489"/>
  <c r="CY60" i="489"/>
  <c r="CZ60" i="489"/>
  <c r="DA60" i="489"/>
  <c r="DB60" i="489"/>
  <c r="DC60" i="489"/>
  <c r="DD60" i="489"/>
  <c r="DE60" i="489"/>
  <c r="DF60" i="489"/>
  <c r="DG60" i="489"/>
  <c r="DH60" i="489"/>
  <c r="DI60" i="489"/>
  <c r="DJ60" i="489"/>
  <c r="DK60" i="489"/>
  <c r="DL60" i="489"/>
  <c r="DM60" i="489"/>
  <c r="DN60" i="489"/>
  <c r="DO60" i="489"/>
  <c r="DP60" i="489"/>
  <c r="DQ60" i="489"/>
  <c r="DR60" i="489"/>
  <c r="DS60" i="489"/>
  <c r="DT60" i="489"/>
  <c r="DU60" i="489"/>
  <c r="DV60" i="489"/>
  <c r="DW60" i="489"/>
  <c r="DX60" i="489"/>
  <c r="DY60" i="489"/>
  <c r="DZ60" i="489"/>
  <c r="EA60" i="489"/>
  <c r="EB60" i="489"/>
  <c r="EC60" i="489"/>
  <c r="ED60" i="489"/>
  <c r="EE60" i="489"/>
  <c r="EF60" i="489"/>
  <c r="EG60" i="489"/>
  <c r="EH60" i="489"/>
  <c r="EI60" i="489"/>
  <c r="EJ60" i="489"/>
  <c r="EK60" i="489"/>
  <c r="EL60" i="489"/>
  <c r="EM60" i="489"/>
  <c r="EN60" i="489"/>
  <c r="EO60" i="489"/>
  <c r="EP60" i="489"/>
  <c r="EQ60" i="489"/>
  <c r="ER60" i="489"/>
  <c r="ES60" i="489"/>
  <c r="ET60" i="489"/>
  <c r="EU60" i="489"/>
  <c r="EV60" i="489"/>
  <c r="EW60" i="489"/>
  <c r="EX60" i="489"/>
  <c r="J61" i="489"/>
  <c r="K61" i="489"/>
  <c r="L61" i="489"/>
  <c r="M61" i="489"/>
  <c r="N61" i="489"/>
  <c r="O61" i="489"/>
  <c r="P61" i="489"/>
  <c r="Q61" i="489"/>
  <c r="R61" i="489"/>
  <c r="S61" i="489"/>
  <c r="T61" i="489"/>
  <c r="U61" i="489"/>
  <c r="V61" i="489"/>
  <c r="W61" i="489"/>
  <c r="X61" i="489"/>
  <c r="Y61" i="489"/>
  <c r="Z61" i="489"/>
  <c r="AA61" i="489"/>
  <c r="AB61" i="489"/>
  <c r="AC61" i="489"/>
  <c r="AD61" i="489"/>
  <c r="AE61" i="489"/>
  <c r="AF61" i="489"/>
  <c r="AG61" i="489"/>
  <c r="AH61" i="489"/>
  <c r="AI61" i="489"/>
  <c r="AJ61" i="489"/>
  <c r="AK61" i="489"/>
  <c r="AL61" i="489"/>
  <c r="AM61" i="489"/>
  <c r="AN61" i="489"/>
  <c r="AO61" i="489"/>
  <c r="AP61" i="489"/>
  <c r="AQ61" i="489"/>
  <c r="AR61" i="489"/>
  <c r="AS61" i="489"/>
  <c r="AT61" i="489"/>
  <c r="AU61" i="489"/>
  <c r="AV61" i="489"/>
  <c r="AW61" i="489"/>
  <c r="AX61" i="489"/>
  <c r="AY61" i="489"/>
  <c r="AZ61" i="489"/>
  <c r="BA61" i="489"/>
  <c r="BB61" i="489"/>
  <c r="BC61" i="489"/>
  <c r="BD61" i="489"/>
  <c r="BE61" i="489"/>
  <c r="BF61" i="489"/>
  <c r="BG61" i="489"/>
  <c r="BH61" i="489"/>
  <c r="BI61" i="489"/>
  <c r="BJ61" i="489"/>
  <c r="BK61" i="489"/>
  <c r="BL61" i="489"/>
  <c r="BM61" i="489"/>
  <c r="BN61" i="489"/>
  <c r="BO61" i="489"/>
  <c r="BP61" i="489"/>
  <c r="BQ61" i="489"/>
  <c r="BS61" i="489"/>
  <c r="BT61" i="489"/>
  <c r="BU61" i="489"/>
  <c r="BV61" i="489"/>
  <c r="BW61" i="489"/>
  <c r="BX61" i="489"/>
  <c r="BY61" i="489"/>
  <c r="BZ61" i="489"/>
  <c r="CA61" i="489"/>
  <c r="CB61" i="489"/>
  <c r="CC61" i="489"/>
  <c r="CD61" i="489"/>
  <c r="CE61" i="489"/>
  <c r="CF61" i="489"/>
  <c r="CG61" i="489"/>
  <c r="CH61" i="489"/>
  <c r="CI61" i="489"/>
  <c r="CJ61" i="489"/>
  <c r="CK61" i="489"/>
  <c r="CL61" i="489"/>
  <c r="CM61" i="489"/>
  <c r="CN61" i="489"/>
  <c r="CO61" i="489"/>
  <c r="CP61" i="489"/>
  <c r="CR61" i="489"/>
  <c r="CS61" i="489"/>
  <c r="CT61" i="489"/>
  <c r="CU61" i="489"/>
  <c r="CV61" i="489"/>
  <c r="CW61" i="489"/>
  <c r="CX61" i="489"/>
  <c r="CY61" i="489"/>
  <c r="DA61" i="489"/>
  <c r="DB61" i="489"/>
  <c r="DC61" i="489"/>
  <c r="DD61" i="489"/>
  <c r="DE61" i="489"/>
  <c r="DF61" i="489"/>
  <c r="DG61" i="489"/>
  <c r="DH61" i="489"/>
  <c r="DI61" i="489"/>
  <c r="DJ61" i="489"/>
  <c r="DK61" i="489"/>
  <c r="DL61" i="489"/>
  <c r="DM61" i="489"/>
  <c r="DN61" i="489"/>
  <c r="DO61" i="489"/>
  <c r="DP61" i="489"/>
  <c r="DQ61" i="489"/>
  <c r="DR61" i="489"/>
  <c r="DS61" i="489"/>
  <c r="DT61" i="489"/>
  <c r="DU61" i="489"/>
  <c r="DV61" i="489"/>
  <c r="DW61" i="489"/>
  <c r="DX61" i="489"/>
  <c r="DY61" i="489"/>
  <c r="DZ61" i="489"/>
  <c r="EA61" i="489"/>
  <c r="EB61" i="489"/>
  <c r="EC61" i="489"/>
  <c r="ED61" i="489"/>
  <c r="EE61" i="489"/>
  <c r="EF61" i="489"/>
  <c r="EG61" i="489"/>
  <c r="EH61" i="489"/>
  <c r="EI61" i="489"/>
  <c r="EJ61" i="489"/>
  <c r="EK61" i="489"/>
  <c r="EL61" i="489"/>
  <c r="EM61" i="489"/>
  <c r="EN61" i="489"/>
  <c r="EO61" i="489"/>
  <c r="EP61" i="489"/>
  <c r="EQ61" i="489"/>
  <c r="ER61" i="489"/>
  <c r="ES61" i="489"/>
  <c r="ET61" i="489"/>
  <c r="EU61" i="489"/>
  <c r="EV61" i="489"/>
  <c r="EW61" i="489"/>
  <c r="EX61" i="489"/>
  <c r="C62" i="489"/>
  <c r="H62" i="489"/>
  <c r="J62" i="489"/>
  <c r="K62" i="489"/>
  <c r="L62" i="489"/>
  <c r="M62" i="489"/>
  <c r="N62" i="489"/>
  <c r="O62" i="489"/>
  <c r="P62" i="489"/>
  <c r="Q62" i="489"/>
  <c r="R62" i="489"/>
  <c r="S62" i="489"/>
  <c r="T62" i="489"/>
  <c r="U62" i="489"/>
  <c r="V62" i="489"/>
  <c r="W62" i="489"/>
  <c r="X62" i="489"/>
  <c r="Y62" i="489"/>
  <c r="Z62" i="489"/>
  <c r="AA62" i="489"/>
  <c r="AB62" i="489"/>
  <c r="AC62" i="489"/>
  <c r="AD62" i="489"/>
  <c r="AE62" i="489"/>
  <c r="AF62" i="489"/>
  <c r="AG62" i="489"/>
  <c r="AH62" i="489"/>
  <c r="AI62" i="489"/>
  <c r="AJ62" i="489"/>
  <c r="AK62" i="489"/>
  <c r="AL62" i="489"/>
  <c r="AM62" i="489"/>
  <c r="AN62" i="489"/>
  <c r="AO62" i="489"/>
  <c r="AP62" i="489"/>
  <c r="AQ62" i="489"/>
  <c r="AR62" i="489"/>
  <c r="AS62" i="489"/>
  <c r="AT62" i="489"/>
  <c r="AU62" i="489"/>
  <c r="AV62" i="489"/>
  <c r="AW62" i="489"/>
  <c r="AX62" i="489"/>
  <c r="AY62" i="489"/>
  <c r="AZ62" i="489"/>
  <c r="BA62" i="489"/>
  <c r="BB62" i="489"/>
  <c r="BC62" i="489"/>
  <c r="BD62" i="489"/>
  <c r="BE62" i="489"/>
  <c r="BF62" i="489"/>
  <c r="BG62" i="489"/>
  <c r="BH62" i="489"/>
  <c r="BI62" i="489"/>
  <c r="BJ62" i="489"/>
  <c r="BK62" i="489"/>
  <c r="BL62" i="489"/>
  <c r="BM62" i="489"/>
  <c r="BN62" i="489"/>
  <c r="BO62" i="489"/>
  <c r="BP62" i="489"/>
  <c r="BQ62" i="489"/>
  <c r="BR62" i="489"/>
  <c r="BS62" i="489"/>
  <c r="BT62" i="489"/>
  <c r="BU62" i="489"/>
  <c r="BV62" i="489"/>
  <c r="BW62" i="489"/>
  <c r="BX62" i="489"/>
  <c r="BY62" i="489"/>
  <c r="BZ62" i="489"/>
  <c r="CA62" i="489"/>
  <c r="CB62" i="489"/>
  <c r="CC62" i="489"/>
  <c r="CD62" i="489"/>
  <c r="CE62" i="489"/>
  <c r="CF62" i="489"/>
  <c r="CG62" i="489"/>
  <c r="CH62" i="489"/>
  <c r="CI62" i="489"/>
  <c r="CJ62" i="489"/>
  <c r="CK62" i="489"/>
  <c r="CL62" i="489"/>
  <c r="CM62" i="489"/>
  <c r="CN62" i="489"/>
  <c r="CO62" i="489"/>
  <c r="CP62" i="489"/>
  <c r="CQ62" i="489"/>
  <c r="CR62" i="489"/>
  <c r="CS62" i="489"/>
  <c r="CT62" i="489"/>
  <c r="CU62" i="489"/>
  <c r="CV62" i="489"/>
  <c r="CW62" i="489"/>
  <c r="CX62" i="489"/>
  <c r="CY62" i="489"/>
  <c r="CZ62" i="489"/>
  <c r="DA62" i="489"/>
  <c r="DB62" i="489"/>
  <c r="DC62" i="489"/>
  <c r="DD62" i="489"/>
  <c r="DE62" i="489"/>
  <c r="DF62" i="489"/>
  <c r="DG62" i="489"/>
  <c r="DH62" i="489"/>
  <c r="DI62" i="489"/>
  <c r="DJ62" i="489"/>
  <c r="DK62" i="489"/>
  <c r="DL62" i="489"/>
  <c r="DM62" i="489"/>
  <c r="DN62" i="489"/>
  <c r="DO62" i="489"/>
  <c r="DP62" i="489"/>
  <c r="DQ62" i="489"/>
  <c r="DR62" i="489"/>
  <c r="DS62" i="489"/>
  <c r="DT62" i="489"/>
  <c r="DU62" i="489"/>
  <c r="DV62" i="489"/>
  <c r="DW62" i="489"/>
  <c r="DX62" i="489"/>
  <c r="DY62" i="489"/>
  <c r="DZ62" i="489"/>
  <c r="EA62" i="489"/>
  <c r="EB62" i="489"/>
  <c r="EC62" i="489"/>
  <c r="ED62" i="489"/>
  <c r="EE62" i="489"/>
  <c r="EF62" i="489"/>
  <c r="EG62" i="489"/>
  <c r="EH62" i="489"/>
  <c r="EI62" i="489"/>
  <c r="EJ62" i="489"/>
  <c r="EK62" i="489"/>
  <c r="EL62" i="489"/>
  <c r="EM62" i="489"/>
  <c r="EN62" i="489"/>
  <c r="EO62" i="489"/>
  <c r="EP62" i="489"/>
  <c r="EQ62" i="489"/>
  <c r="ER62" i="489"/>
  <c r="ES62" i="489"/>
  <c r="ET62" i="489"/>
  <c r="EU62" i="489"/>
  <c r="EW62" i="489"/>
  <c r="EX62" i="489"/>
  <c r="C63" i="489"/>
  <c r="H63" i="489"/>
  <c r="J63" i="489"/>
  <c r="K63" i="489"/>
  <c r="L63" i="489"/>
  <c r="M63" i="489"/>
  <c r="N63" i="489"/>
  <c r="O63" i="489"/>
  <c r="P63" i="489"/>
  <c r="Q63" i="489"/>
  <c r="R63" i="489"/>
  <c r="S63" i="489"/>
  <c r="T63" i="489"/>
  <c r="U63" i="489"/>
  <c r="V63" i="489"/>
  <c r="W63" i="489"/>
  <c r="X63" i="489"/>
  <c r="Y63" i="489"/>
  <c r="Z63" i="489"/>
  <c r="AA63" i="489"/>
  <c r="AB63" i="489"/>
  <c r="AC63" i="489"/>
  <c r="AD63" i="489"/>
  <c r="AE63" i="489"/>
  <c r="AF63" i="489"/>
  <c r="AG63" i="489"/>
  <c r="AH63" i="489"/>
  <c r="AI63" i="489"/>
  <c r="AJ63" i="489"/>
  <c r="AK63" i="489"/>
  <c r="AL63" i="489"/>
  <c r="AM63" i="489"/>
  <c r="AN63" i="489"/>
  <c r="AO63" i="489"/>
  <c r="AP63" i="489"/>
  <c r="AQ63" i="489"/>
  <c r="AR63" i="489"/>
  <c r="AS63" i="489"/>
  <c r="AT63" i="489"/>
  <c r="AU63" i="489"/>
  <c r="AV63" i="489"/>
  <c r="AW63" i="489"/>
  <c r="AX63" i="489"/>
  <c r="AY63" i="489"/>
  <c r="AZ63" i="489"/>
  <c r="BA63" i="489"/>
  <c r="BB63" i="489"/>
  <c r="BC63" i="489"/>
  <c r="BD63" i="489"/>
  <c r="BE63" i="489"/>
  <c r="BF63" i="489"/>
  <c r="BG63" i="489"/>
  <c r="BH63" i="489"/>
  <c r="BI63" i="489"/>
  <c r="BJ63" i="489"/>
  <c r="BK63" i="489"/>
  <c r="BL63" i="489"/>
  <c r="BM63" i="489"/>
  <c r="BN63" i="489"/>
  <c r="BO63" i="489"/>
  <c r="BP63" i="489"/>
  <c r="BQ63" i="489"/>
  <c r="BR63" i="489"/>
  <c r="BS63" i="489"/>
  <c r="BT63" i="489"/>
  <c r="BU63" i="489"/>
  <c r="BV63" i="489"/>
  <c r="BW63" i="489"/>
  <c r="BX63" i="489"/>
  <c r="BY63" i="489"/>
  <c r="BZ63" i="489"/>
  <c r="CA63" i="489"/>
  <c r="CB63" i="489"/>
  <c r="CC63" i="489"/>
  <c r="CD63" i="489"/>
  <c r="CE63" i="489"/>
  <c r="CF63" i="489"/>
  <c r="CG63" i="489"/>
  <c r="CH63" i="489"/>
  <c r="CI63" i="489"/>
  <c r="CJ63" i="489"/>
  <c r="CK63" i="489"/>
  <c r="CL63" i="489"/>
  <c r="CM63" i="489"/>
  <c r="CN63" i="489"/>
  <c r="CO63" i="489"/>
  <c r="CP63" i="489"/>
  <c r="CQ63" i="489"/>
  <c r="CR63" i="489"/>
  <c r="CS63" i="489"/>
  <c r="CT63" i="489"/>
  <c r="CU63" i="489"/>
  <c r="CV63" i="489"/>
  <c r="CW63" i="489"/>
  <c r="CX63" i="489"/>
  <c r="CY63" i="489"/>
  <c r="CZ63" i="489"/>
  <c r="DA63" i="489"/>
  <c r="DB63" i="489"/>
  <c r="DC63" i="489"/>
  <c r="DD63" i="489"/>
  <c r="DE63" i="489"/>
  <c r="DF63" i="489"/>
  <c r="DG63" i="489"/>
  <c r="DH63" i="489"/>
  <c r="DI63" i="489"/>
  <c r="DJ63" i="489"/>
  <c r="DK63" i="489"/>
  <c r="DL63" i="489"/>
  <c r="DM63" i="489"/>
  <c r="DN63" i="489"/>
  <c r="DO63" i="489"/>
  <c r="DP63" i="489"/>
  <c r="DQ63" i="489"/>
  <c r="DR63" i="489"/>
  <c r="DS63" i="489"/>
  <c r="DT63" i="489"/>
  <c r="DU63" i="489"/>
  <c r="DV63" i="489"/>
  <c r="DW63" i="489"/>
  <c r="DX63" i="489"/>
  <c r="DY63" i="489"/>
  <c r="DZ63" i="489"/>
  <c r="EA63" i="489"/>
  <c r="EB63" i="489"/>
  <c r="EC63" i="489"/>
  <c r="ED63" i="489"/>
  <c r="EE63" i="489"/>
  <c r="EF63" i="489"/>
  <c r="EG63" i="489"/>
  <c r="EH63" i="489"/>
  <c r="EI63" i="489"/>
  <c r="EJ63" i="489"/>
  <c r="EK63" i="489"/>
  <c r="EL63" i="489"/>
  <c r="EM63" i="489"/>
  <c r="EN63" i="489"/>
  <c r="EO63" i="489"/>
  <c r="EP63" i="489"/>
  <c r="EQ63" i="489"/>
  <c r="ER63" i="489"/>
  <c r="ES63" i="489"/>
  <c r="ET63" i="489"/>
  <c r="EU63" i="489"/>
  <c r="EV63" i="489"/>
  <c r="EX63" i="489"/>
  <c r="B57" i="489"/>
  <c r="J17" i="489"/>
  <c r="K17" i="489"/>
  <c r="L17" i="489"/>
  <c r="M17" i="489"/>
  <c r="N17" i="489"/>
  <c r="O17" i="489"/>
  <c r="P17" i="489"/>
  <c r="Q17" i="489"/>
  <c r="R17" i="489"/>
  <c r="S17" i="489"/>
  <c r="T17" i="489"/>
  <c r="W17" i="489"/>
  <c r="X17" i="489"/>
  <c r="Y17" i="489"/>
  <c r="Z17" i="489"/>
  <c r="AA17" i="489"/>
  <c r="AB17" i="489"/>
  <c r="AC17" i="489"/>
  <c r="AD17" i="489"/>
  <c r="AE17" i="489"/>
  <c r="AF17" i="489"/>
  <c r="AG17" i="489"/>
  <c r="AH17" i="489"/>
  <c r="AI17" i="489"/>
  <c r="AJ17" i="489"/>
  <c r="AK17" i="489"/>
  <c r="AL17" i="489"/>
  <c r="AM17" i="489"/>
  <c r="AN17" i="489"/>
  <c r="AO17" i="489"/>
  <c r="AP17" i="489"/>
  <c r="AQ17" i="489"/>
  <c r="AR17" i="489"/>
  <c r="AS17" i="489"/>
  <c r="AT17" i="489"/>
  <c r="AU17" i="489"/>
  <c r="AV17" i="489"/>
  <c r="AW17" i="489"/>
  <c r="AX17" i="489"/>
  <c r="AY17" i="489"/>
  <c r="AZ17" i="489"/>
  <c r="BA17" i="489"/>
  <c r="BB17" i="489"/>
  <c r="BC17" i="489"/>
  <c r="BD17" i="489"/>
  <c r="BE17" i="489"/>
  <c r="BF17" i="489"/>
  <c r="BG17" i="489"/>
  <c r="BH17" i="489"/>
  <c r="BI17" i="489"/>
  <c r="BJ17" i="489"/>
  <c r="BK17" i="489"/>
  <c r="BL17" i="489"/>
  <c r="BM17" i="489"/>
  <c r="BN17" i="489"/>
  <c r="BO17" i="489"/>
  <c r="BP17" i="489"/>
  <c r="BQ17" i="489"/>
  <c r="BR17" i="489"/>
  <c r="BS17" i="489"/>
  <c r="BU17" i="489"/>
  <c r="BV17" i="489"/>
  <c r="BW17" i="489"/>
  <c r="BX17" i="489"/>
  <c r="BY17" i="489"/>
  <c r="BZ17" i="489"/>
  <c r="CA17" i="489"/>
  <c r="CB17" i="489"/>
  <c r="CC17" i="489"/>
  <c r="CD17" i="489"/>
  <c r="CE17" i="489"/>
  <c r="CF17" i="489"/>
  <c r="CG17" i="489"/>
  <c r="CH17" i="489"/>
  <c r="CI17" i="489"/>
  <c r="CJ17" i="489"/>
  <c r="CK17" i="489"/>
  <c r="CL17" i="489"/>
  <c r="CM17" i="489"/>
  <c r="CN17" i="489"/>
  <c r="CO17" i="489"/>
  <c r="CP17" i="489"/>
  <c r="CQ17" i="489"/>
  <c r="CR17" i="489"/>
  <c r="CS17" i="489"/>
  <c r="CT17" i="489"/>
  <c r="CU17" i="489"/>
  <c r="CV17" i="489"/>
  <c r="CW17" i="489"/>
  <c r="CX17" i="489"/>
  <c r="CY17" i="489"/>
  <c r="DA17" i="489"/>
  <c r="DB17" i="489"/>
  <c r="DD17" i="489"/>
  <c r="DE17" i="489"/>
  <c r="DF17" i="489"/>
  <c r="DG17" i="489"/>
  <c r="DH17" i="489"/>
  <c r="DI17" i="489"/>
  <c r="DJ17" i="489"/>
  <c r="DK17" i="489"/>
  <c r="DL17" i="489"/>
  <c r="DM17" i="489"/>
  <c r="DN17" i="489"/>
  <c r="DO17" i="489"/>
  <c r="DP17" i="489"/>
  <c r="DQ17" i="489"/>
  <c r="DR17" i="489"/>
  <c r="DS17" i="489"/>
  <c r="DT17" i="489"/>
  <c r="DU17" i="489"/>
  <c r="DV17" i="489"/>
  <c r="DW17" i="489"/>
  <c r="DX17" i="489"/>
  <c r="DY17" i="489"/>
  <c r="DZ17" i="489"/>
  <c r="EA17" i="489"/>
  <c r="EB17" i="489"/>
  <c r="EC17" i="489"/>
  <c r="ED17" i="489"/>
  <c r="EE17" i="489"/>
  <c r="EF17" i="489"/>
  <c r="EG17" i="489"/>
  <c r="EH17" i="489"/>
  <c r="EI17" i="489"/>
  <c r="EJ17" i="489"/>
  <c r="EK17" i="489"/>
  <c r="EL17" i="489"/>
  <c r="EM17" i="489"/>
  <c r="EN17" i="489"/>
  <c r="EO17" i="489"/>
  <c r="EP17" i="489"/>
  <c r="EQ17" i="489"/>
  <c r="ER17" i="489"/>
  <c r="ES17" i="489"/>
  <c r="ET17" i="489"/>
  <c r="EU17" i="489"/>
  <c r="EV17" i="489"/>
  <c r="EW17" i="489"/>
  <c r="EX17" i="489"/>
  <c r="J18" i="489"/>
  <c r="K18" i="489"/>
  <c r="L18" i="489"/>
  <c r="M18" i="489"/>
  <c r="N18" i="489"/>
  <c r="O18" i="489"/>
  <c r="P18" i="489"/>
  <c r="Q18" i="489"/>
  <c r="R18" i="489"/>
  <c r="S18" i="489"/>
  <c r="T18" i="489"/>
  <c r="U18" i="489"/>
  <c r="V18" i="489"/>
  <c r="W18" i="489"/>
  <c r="X18" i="489"/>
  <c r="Y18" i="489"/>
  <c r="Z18" i="489"/>
  <c r="AA18" i="489"/>
  <c r="AB18" i="489"/>
  <c r="AC18" i="489"/>
  <c r="AD18" i="489"/>
  <c r="AE18" i="489"/>
  <c r="AF18" i="489"/>
  <c r="AG18" i="489"/>
  <c r="AH18" i="489"/>
  <c r="AI18" i="489"/>
  <c r="AJ18" i="489"/>
  <c r="AK18" i="489"/>
  <c r="AL18" i="489"/>
  <c r="AM18" i="489"/>
  <c r="AN18" i="489"/>
  <c r="AO18" i="489"/>
  <c r="AP18" i="489"/>
  <c r="AQ18" i="489"/>
  <c r="AR18" i="489"/>
  <c r="AS18" i="489"/>
  <c r="AT18" i="489"/>
  <c r="AU18" i="489"/>
  <c r="AV18" i="489"/>
  <c r="AW18" i="489"/>
  <c r="AX18" i="489"/>
  <c r="AY18" i="489"/>
  <c r="AZ18" i="489"/>
  <c r="BA18" i="489"/>
  <c r="BB18" i="489"/>
  <c r="BC18" i="489"/>
  <c r="BD18" i="489"/>
  <c r="BE18" i="489"/>
  <c r="BF18" i="489"/>
  <c r="BG18" i="489"/>
  <c r="BH18" i="489"/>
  <c r="BI18" i="489"/>
  <c r="BJ18" i="489"/>
  <c r="BK18" i="489"/>
  <c r="BL18" i="489"/>
  <c r="BM18" i="489"/>
  <c r="BN18" i="489"/>
  <c r="BO18" i="489"/>
  <c r="BP18" i="489"/>
  <c r="BQ18" i="489"/>
  <c r="BR18" i="489"/>
  <c r="BS18" i="489"/>
  <c r="BT18" i="489"/>
  <c r="BU18" i="489"/>
  <c r="BV18" i="489"/>
  <c r="BW18" i="489"/>
  <c r="BX18" i="489"/>
  <c r="BY18" i="489"/>
  <c r="BZ18" i="489"/>
  <c r="CA18" i="489"/>
  <c r="CB18" i="489"/>
  <c r="CC18" i="489"/>
  <c r="CD18" i="489"/>
  <c r="CE18" i="489"/>
  <c r="CF18" i="489"/>
  <c r="CG18" i="489"/>
  <c r="CH18" i="489"/>
  <c r="CI18" i="489"/>
  <c r="CJ18" i="489"/>
  <c r="CK18" i="489"/>
  <c r="CL18" i="489"/>
  <c r="CM18" i="489"/>
  <c r="CN18" i="489"/>
  <c r="CO18" i="489"/>
  <c r="CP18" i="489"/>
  <c r="CQ18" i="489"/>
  <c r="CR18" i="489"/>
  <c r="CS18" i="489"/>
  <c r="CT18" i="489"/>
  <c r="CU18" i="489"/>
  <c r="CV18" i="489"/>
  <c r="CW18" i="489"/>
  <c r="CX18" i="489"/>
  <c r="CY18" i="489"/>
  <c r="DA18" i="489"/>
  <c r="DB18" i="489"/>
  <c r="DC18" i="489"/>
  <c r="DD18" i="489"/>
  <c r="DE18" i="489"/>
  <c r="DF18" i="489"/>
  <c r="DG18" i="489"/>
  <c r="DH18" i="489"/>
  <c r="DI18" i="489"/>
  <c r="DJ18" i="489"/>
  <c r="DK18" i="489"/>
  <c r="DL18" i="489"/>
  <c r="DM18" i="489"/>
  <c r="DN18" i="489"/>
  <c r="DO18" i="489"/>
  <c r="DP18" i="489"/>
  <c r="DQ18" i="489"/>
  <c r="DS18" i="489"/>
  <c r="DT18" i="489"/>
  <c r="DU18" i="489"/>
  <c r="DV18" i="489"/>
  <c r="DW18" i="489"/>
  <c r="DX18" i="489"/>
  <c r="DY18" i="489"/>
  <c r="DZ18" i="489"/>
  <c r="EA18" i="489"/>
  <c r="EB18" i="489"/>
  <c r="EC18" i="489"/>
  <c r="ED18" i="489"/>
  <c r="EE18" i="489"/>
  <c r="EF18" i="489"/>
  <c r="EG18" i="489"/>
  <c r="EH18" i="489"/>
  <c r="EI18" i="489"/>
  <c r="EJ18" i="489"/>
  <c r="EK18" i="489"/>
  <c r="EL18" i="489"/>
  <c r="EM18" i="489"/>
  <c r="EN18" i="489"/>
  <c r="EO18" i="489"/>
  <c r="EP18" i="489"/>
  <c r="EQ18" i="489"/>
  <c r="ER18" i="489"/>
  <c r="ES18" i="489"/>
  <c r="ET18" i="489"/>
  <c r="EU18" i="489"/>
  <c r="EV18" i="489"/>
  <c r="EW18" i="489"/>
  <c r="EX18" i="489"/>
  <c r="J19" i="489"/>
  <c r="K19" i="489"/>
  <c r="L19" i="489"/>
  <c r="M19" i="489"/>
  <c r="N19" i="489"/>
  <c r="O19" i="489"/>
  <c r="P19" i="489"/>
  <c r="Q19" i="489"/>
  <c r="R19" i="489"/>
  <c r="S19" i="489"/>
  <c r="T19" i="489"/>
  <c r="U19" i="489"/>
  <c r="W19" i="489"/>
  <c r="X19" i="489"/>
  <c r="Y19" i="489"/>
  <c r="Z19" i="489"/>
  <c r="AA19" i="489"/>
  <c r="AB19" i="489"/>
  <c r="AC19" i="489"/>
  <c r="AD19" i="489"/>
  <c r="AE19" i="489"/>
  <c r="AF19" i="489"/>
  <c r="AG19" i="489"/>
  <c r="AH19" i="489"/>
  <c r="AI19" i="489"/>
  <c r="AJ19" i="489"/>
  <c r="AK19" i="489"/>
  <c r="AL19" i="489"/>
  <c r="AM19" i="489"/>
  <c r="AN19" i="489"/>
  <c r="AO19" i="489"/>
  <c r="AP19" i="489"/>
  <c r="AQ19" i="489"/>
  <c r="AR19" i="489"/>
  <c r="AS19" i="489"/>
  <c r="AT19" i="489"/>
  <c r="AU19" i="489"/>
  <c r="AV19" i="489"/>
  <c r="AW19" i="489"/>
  <c r="AX19" i="489"/>
  <c r="AY19" i="489"/>
  <c r="AZ19" i="489"/>
  <c r="BA19" i="489"/>
  <c r="BB19" i="489"/>
  <c r="BC19" i="489"/>
  <c r="BD19" i="489"/>
  <c r="BE19" i="489"/>
  <c r="BF19" i="489"/>
  <c r="BG19" i="489"/>
  <c r="BH19" i="489"/>
  <c r="BI19" i="489"/>
  <c r="BJ19" i="489"/>
  <c r="BK19" i="489"/>
  <c r="BL19" i="489"/>
  <c r="BM19" i="489"/>
  <c r="BN19" i="489"/>
  <c r="BO19" i="489"/>
  <c r="BP19" i="489"/>
  <c r="BQ19" i="489"/>
  <c r="BR19" i="489"/>
  <c r="BS19" i="489"/>
  <c r="BT19" i="489"/>
  <c r="BU19" i="489"/>
  <c r="BV19" i="489"/>
  <c r="BW19" i="489"/>
  <c r="BX19" i="489"/>
  <c r="BY19" i="489"/>
  <c r="BZ19" i="489"/>
  <c r="CA19" i="489"/>
  <c r="CB19" i="489"/>
  <c r="CC19" i="489"/>
  <c r="CD19" i="489"/>
  <c r="CE19" i="489"/>
  <c r="CF19" i="489"/>
  <c r="CG19" i="489"/>
  <c r="CH19" i="489"/>
  <c r="CI19" i="489"/>
  <c r="CJ19" i="489"/>
  <c r="CK19" i="489"/>
  <c r="CL19" i="489"/>
  <c r="CM19" i="489"/>
  <c r="CN19" i="489"/>
  <c r="CO19" i="489"/>
  <c r="CP19" i="489"/>
  <c r="CQ19" i="489"/>
  <c r="CR19" i="489"/>
  <c r="CS19" i="489"/>
  <c r="CT19" i="489"/>
  <c r="CU19" i="489"/>
  <c r="CV19" i="489"/>
  <c r="CW19" i="489"/>
  <c r="CX19" i="489"/>
  <c r="CY19" i="489"/>
  <c r="CZ19" i="489"/>
  <c r="DA19" i="489"/>
  <c r="DB19" i="489"/>
  <c r="DC19" i="489"/>
  <c r="DD19" i="489"/>
  <c r="DE19" i="489"/>
  <c r="DF19" i="489"/>
  <c r="DG19" i="489"/>
  <c r="DH19" i="489"/>
  <c r="DI19" i="489"/>
  <c r="DJ19" i="489"/>
  <c r="DK19" i="489"/>
  <c r="DL19" i="489"/>
  <c r="DM19" i="489"/>
  <c r="DN19" i="489"/>
  <c r="DO19" i="489"/>
  <c r="DP19" i="489"/>
  <c r="DQ19" i="489"/>
  <c r="DR19" i="489"/>
  <c r="DS19" i="489"/>
  <c r="DT19" i="489"/>
  <c r="DU19" i="489"/>
  <c r="DV19" i="489"/>
  <c r="DW19" i="489"/>
  <c r="DX19" i="489"/>
  <c r="DY19" i="489"/>
  <c r="DZ19" i="489"/>
  <c r="EA19" i="489"/>
  <c r="EB19" i="489"/>
  <c r="EC19" i="489"/>
  <c r="ED19" i="489"/>
  <c r="EE19" i="489"/>
  <c r="EF19" i="489"/>
  <c r="EG19" i="489"/>
  <c r="EH19" i="489"/>
  <c r="EI19" i="489"/>
  <c r="EJ19" i="489"/>
  <c r="EK19" i="489"/>
  <c r="EL19" i="489"/>
  <c r="EM19" i="489"/>
  <c r="EN19" i="489"/>
  <c r="EO19" i="489"/>
  <c r="EP19" i="489"/>
  <c r="EQ19" i="489"/>
  <c r="ER19" i="489"/>
  <c r="ES19" i="489"/>
  <c r="ET19" i="489"/>
  <c r="EU19" i="489"/>
  <c r="EV19" i="489"/>
  <c r="EW19" i="489"/>
  <c r="EX19" i="489"/>
  <c r="C20" i="489"/>
  <c r="H20" i="489"/>
  <c r="J20" i="489"/>
  <c r="K20" i="489"/>
  <c r="L20" i="489"/>
  <c r="M20" i="489"/>
  <c r="N20" i="489"/>
  <c r="O20" i="489"/>
  <c r="P20" i="489"/>
  <c r="Q20" i="489"/>
  <c r="R20" i="489"/>
  <c r="S20" i="489"/>
  <c r="T20" i="489"/>
  <c r="U20" i="489"/>
  <c r="V20" i="489"/>
  <c r="W20" i="489"/>
  <c r="X20" i="489"/>
  <c r="Y20" i="489"/>
  <c r="Z20" i="489"/>
  <c r="AA20" i="489"/>
  <c r="AB20" i="489"/>
  <c r="AC20" i="489"/>
  <c r="AD20" i="489"/>
  <c r="AE20" i="489"/>
  <c r="AF20" i="489"/>
  <c r="AG20" i="489"/>
  <c r="AH20" i="489"/>
  <c r="AI20" i="489"/>
  <c r="AJ20" i="489"/>
  <c r="AK20" i="489"/>
  <c r="AL20" i="489"/>
  <c r="AM20" i="489"/>
  <c r="AN20" i="489"/>
  <c r="AO20" i="489"/>
  <c r="AP20" i="489"/>
  <c r="AQ20" i="489"/>
  <c r="AR20" i="489"/>
  <c r="AS20" i="489"/>
  <c r="AT20" i="489"/>
  <c r="AU20" i="489"/>
  <c r="AV20" i="489"/>
  <c r="AW20" i="489"/>
  <c r="AX20" i="489"/>
  <c r="AY20" i="489"/>
  <c r="AZ20" i="489"/>
  <c r="BA20" i="489"/>
  <c r="BB20" i="489"/>
  <c r="BC20" i="489"/>
  <c r="BD20" i="489"/>
  <c r="BE20" i="489"/>
  <c r="BF20" i="489"/>
  <c r="BG20" i="489"/>
  <c r="BH20" i="489"/>
  <c r="BI20" i="489"/>
  <c r="BJ20" i="489"/>
  <c r="BK20" i="489"/>
  <c r="BL20" i="489"/>
  <c r="BM20" i="489"/>
  <c r="BN20" i="489"/>
  <c r="BO20" i="489"/>
  <c r="BP20" i="489"/>
  <c r="BQ20" i="489"/>
  <c r="BR20" i="489"/>
  <c r="BS20" i="489"/>
  <c r="BT20" i="489"/>
  <c r="BU20" i="489"/>
  <c r="BV20" i="489"/>
  <c r="BW20" i="489"/>
  <c r="BX20" i="489"/>
  <c r="BY20" i="489"/>
  <c r="BZ20" i="489"/>
  <c r="CA20" i="489"/>
  <c r="CB20" i="489"/>
  <c r="CC20" i="489"/>
  <c r="CD20" i="489"/>
  <c r="CE20" i="489"/>
  <c r="CF20" i="489"/>
  <c r="CG20" i="489"/>
  <c r="CH20" i="489"/>
  <c r="CI20" i="489"/>
  <c r="CJ20" i="489"/>
  <c r="CK20" i="489"/>
  <c r="CL20" i="489"/>
  <c r="CM20" i="489"/>
  <c r="CN20" i="489"/>
  <c r="CO20" i="489"/>
  <c r="CP20" i="489"/>
  <c r="CQ20" i="489"/>
  <c r="CR20" i="489"/>
  <c r="CS20" i="489"/>
  <c r="CT20" i="489"/>
  <c r="CU20" i="489"/>
  <c r="CV20" i="489"/>
  <c r="CW20" i="489"/>
  <c r="CX20" i="489"/>
  <c r="CY20" i="489"/>
  <c r="CZ20" i="489"/>
  <c r="DA20" i="489"/>
  <c r="DB20" i="489"/>
  <c r="DC20" i="489"/>
  <c r="DD20" i="489"/>
  <c r="DE20" i="489"/>
  <c r="DF20" i="489"/>
  <c r="DG20" i="489"/>
  <c r="DH20" i="489"/>
  <c r="DI20" i="489"/>
  <c r="DJ20" i="489"/>
  <c r="DK20" i="489"/>
  <c r="DL20" i="489"/>
  <c r="DM20" i="489"/>
  <c r="DN20" i="489"/>
  <c r="DO20" i="489"/>
  <c r="DP20" i="489"/>
  <c r="DQ20" i="489"/>
  <c r="DR20" i="489"/>
  <c r="DS20" i="489"/>
  <c r="DT20" i="489"/>
  <c r="DU20" i="489"/>
  <c r="DV20" i="489"/>
  <c r="DW20" i="489"/>
  <c r="DX20" i="489"/>
  <c r="DY20" i="489"/>
  <c r="DZ20" i="489"/>
  <c r="EA20" i="489"/>
  <c r="EB20" i="489"/>
  <c r="EC20" i="489"/>
  <c r="ED20" i="489"/>
  <c r="EE20" i="489"/>
  <c r="EF20" i="489"/>
  <c r="EG20" i="489"/>
  <c r="EH20" i="489"/>
  <c r="EI20" i="489"/>
  <c r="EJ20" i="489"/>
  <c r="EK20" i="489"/>
  <c r="EL20" i="489"/>
  <c r="EM20" i="489"/>
  <c r="EN20" i="489"/>
  <c r="EO20" i="489"/>
  <c r="EP20" i="489"/>
  <c r="EQ20" i="489"/>
  <c r="ER20" i="489"/>
  <c r="ES20" i="489"/>
  <c r="ET20" i="489"/>
  <c r="EU20" i="489"/>
  <c r="EW20" i="489"/>
  <c r="EX20" i="489"/>
  <c r="C21" i="489"/>
  <c r="H21" i="489"/>
  <c r="J21" i="489"/>
  <c r="K21" i="489"/>
  <c r="L21" i="489"/>
  <c r="M21" i="489"/>
  <c r="N21" i="489"/>
  <c r="O21" i="489"/>
  <c r="P21" i="489"/>
  <c r="Q21" i="489"/>
  <c r="R21" i="489"/>
  <c r="S21" i="489"/>
  <c r="T21" i="489"/>
  <c r="U21" i="489"/>
  <c r="V21" i="489"/>
  <c r="W21" i="489"/>
  <c r="X21" i="489"/>
  <c r="Y21" i="489"/>
  <c r="Z21" i="489"/>
  <c r="AA21" i="489"/>
  <c r="AB21" i="489"/>
  <c r="AC21" i="489"/>
  <c r="AD21" i="489"/>
  <c r="AE21" i="489"/>
  <c r="AF21" i="489"/>
  <c r="AG21" i="489"/>
  <c r="AH21" i="489"/>
  <c r="AI21" i="489"/>
  <c r="AJ21" i="489"/>
  <c r="AK21" i="489"/>
  <c r="AL21" i="489"/>
  <c r="AM21" i="489"/>
  <c r="AN21" i="489"/>
  <c r="AO21" i="489"/>
  <c r="AP21" i="489"/>
  <c r="AQ21" i="489"/>
  <c r="AR21" i="489"/>
  <c r="AS21" i="489"/>
  <c r="AT21" i="489"/>
  <c r="AU21" i="489"/>
  <c r="AV21" i="489"/>
  <c r="AW21" i="489"/>
  <c r="AX21" i="489"/>
  <c r="AY21" i="489"/>
  <c r="AZ21" i="489"/>
  <c r="BA21" i="489"/>
  <c r="BB21" i="489"/>
  <c r="BC21" i="489"/>
  <c r="BD21" i="489"/>
  <c r="BE21" i="489"/>
  <c r="BF21" i="489"/>
  <c r="BG21" i="489"/>
  <c r="BH21" i="489"/>
  <c r="BI21" i="489"/>
  <c r="BJ21" i="489"/>
  <c r="BK21" i="489"/>
  <c r="BL21" i="489"/>
  <c r="BM21" i="489"/>
  <c r="BN21" i="489"/>
  <c r="BO21" i="489"/>
  <c r="BP21" i="489"/>
  <c r="BQ21" i="489"/>
  <c r="BR21" i="489"/>
  <c r="BS21" i="489"/>
  <c r="BT21" i="489"/>
  <c r="BU21" i="489"/>
  <c r="BV21" i="489"/>
  <c r="BW21" i="489"/>
  <c r="BX21" i="489"/>
  <c r="BY21" i="489"/>
  <c r="BZ21" i="489"/>
  <c r="CA21" i="489"/>
  <c r="CB21" i="489"/>
  <c r="CC21" i="489"/>
  <c r="CD21" i="489"/>
  <c r="CE21" i="489"/>
  <c r="CF21" i="489"/>
  <c r="CG21" i="489"/>
  <c r="CH21" i="489"/>
  <c r="CI21" i="489"/>
  <c r="CJ21" i="489"/>
  <c r="CK21" i="489"/>
  <c r="CL21" i="489"/>
  <c r="CM21" i="489"/>
  <c r="CN21" i="489"/>
  <c r="CO21" i="489"/>
  <c r="CP21" i="489"/>
  <c r="CQ21" i="489"/>
  <c r="CR21" i="489"/>
  <c r="CS21" i="489"/>
  <c r="CT21" i="489"/>
  <c r="CU21" i="489"/>
  <c r="CV21" i="489"/>
  <c r="CW21" i="489"/>
  <c r="CX21" i="489"/>
  <c r="CY21" i="489"/>
  <c r="CZ21" i="489"/>
  <c r="DA21" i="489"/>
  <c r="DB21" i="489"/>
  <c r="DC21" i="489"/>
  <c r="DD21" i="489"/>
  <c r="DE21" i="489"/>
  <c r="DF21" i="489"/>
  <c r="DG21" i="489"/>
  <c r="DH21" i="489"/>
  <c r="DI21" i="489"/>
  <c r="DJ21" i="489"/>
  <c r="DK21" i="489"/>
  <c r="DL21" i="489"/>
  <c r="DM21" i="489"/>
  <c r="DN21" i="489"/>
  <c r="DO21" i="489"/>
  <c r="DP21" i="489"/>
  <c r="DQ21" i="489"/>
  <c r="DR21" i="489"/>
  <c r="DS21" i="489"/>
  <c r="DT21" i="489"/>
  <c r="DU21" i="489"/>
  <c r="DV21" i="489"/>
  <c r="DW21" i="489"/>
  <c r="DX21" i="489"/>
  <c r="DY21" i="489"/>
  <c r="DZ21" i="489"/>
  <c r="EA21" i="489"/>
  <c r="EB21" i="489"/>
  <c r="EC21" i="489"/>
  <c r="ED21" i="489"/>
  <c r="EE21" i="489"/>
  <c r="EF21" i="489"/>
  <c r="EG21" i="489"/>
  <c r="EH21" i="489"/>
  <c r="EI21" i="489"/>
  <c r="EJ21" i="489"/>
  <c r="EK21" i="489"/>
  <c r="EL21" i="489"/>
  <c r="EM21" i="489"/>
  <c r="EN21" i="489"/>
  <c r="EO21" i="489"/>
  <c r="EP21" i="489"/>
  <c r="EQ21" i="489"/>
  <c r="ER21" i="489"/>
  <c r="ES21" i="489"/>
  <c r="ET21" i="489"/>
  <c r="EU21" i="489"/>
  <c r="EV21" i="489"/>
  <c r="EX21" i="489"/>
  <c r="J22" i="489"/>
  <c r="K22" i="489"/>
  <c r="L22" i="489"/>
  <c r="M22" i="489"/>
  <c r="N22" i="489"/>
  <c r="O22" i="489"/>
  <c r="P22" i="489"/>
  <c r="Q22" i="489"/>
  <c r="R22" i="489"/>
  <c r="S22" i="489"/>
  <c r="T22" i="489"/>
  <c r="U22" i="489"/>
  <c r="V22" i="489"/>
  <c r="W22" i="489"/>
  <c r="X22" i="489"/>
  <c r="Y22" i="489"/>
  <c r="Z22" i="489"/>
  <c r="AA22" i="489"/>
  <c r="AB22" i="489"/>
  <c r="AC22" i="489"/>
  <c r="AD22" i="489"/>
  <c r="AE22" i="489"/>
  <c r="AF22" i="489"/>
  <c r="AG22" i="489"/>
  <c r="AH22" i="489"/>
  <c r="AI22" i="489"/>
  <c r="AJ22" i="489"/>
  <c r="AK22" i="489"/>
  <c r="AL22" i="489"/>
  <c r="AM22" i="489"/>
  <c r="AN22" i="489"/>
  <c r="AO22" i="489"/>
  <c r="AP22" i="489"/>
  <c r="AQ22" i="489"/>
  <c r="AR22" i="489"/>
  <c r="AS22" i="489"/>
  <c r="AT22" i="489"/>
  <c r="AU22" i="489"/>
  <c r="AV22" i="489"/>
  <c r="AW22" i="489"/>
  <c r="AX22" i="489"/>
  <c r="AY22" i="489"/>
  <c r="AZ22" i="489"/>
  <c r="BA22" i="489"/>
  <c r="BB22" i="489"/>
  <c r="BC22" i="489"/>
  <c r="BD22" i="489"/>
  <c r="BE22" i="489"/>
  <c r="BF22" i="489"/>
  <c r="BG22" i="489"/>
  <c r="BH22" i="489"/>
  <c r="BI22" i="489"/>
  <c r="BJ22" i="489"/>
  <c r="BK22" i="489"/>
  <c r="BL22" i="489"/>
  <c r="BM22" i="489"/>
  <c r="BN22" i="489"/>
  <c r="BO22" i="489"/>
  <c r="BP22" i="489"/>
  <c r="BQ22" i="489"/>
  <c r="BS22" i="489"/>
  <c r="BT22" i="489"/>
  <c r="BU22" i="489"/>
  <c r="BV22" i="489"/>
  <c r="BW22" i="489"/>
  <c r="BX22" i="489"/>
  <c r="BY22" i="489"/>
  <c r="BZ22" i="489"/>
  <c r="CA22" i="489"/>
  <c r="CB22" i="489"/>
  <c r="CC22" i="489"/>
  <c r="CD22" i="489"/>
  <c r="CE22" i="489"/>
  <c r="CF22" i="489"/>
  <c r="CG22" i="489"/>
  <c r="CH22" i="489"/>
  <c r="CI22" i="489"/>
  <c r="CJ22" i="489"/>
  <c r="CK22" i="489"/>
  <c r="CL22" i="489"/>
  <c r="CM22" i="489"/>
  <c r="CN22" i="489"/>
  <c r="CO22" i="489"/>
  <c r="CP22" i="489"/>
  <c r="CQ22" i="489"/>
  <c r="CR22" i="489"/>
  <c r="CS22" i="489"/>
  <c r="CT22" i="489"/>
  <c r="CU22" i="489"/>
  <c r="CV22" i="489"/>
  <c r="CW22" i="489"/>
  <c r="CX22" i="489"/>
  <c r="CY22" i="489"/>
  <c r="CZ22" i="489"/>
  <c r="DA22" i="489"/>
  <c r="DB22" i="489"/>
  <c r="DC22" i="489"/>
  <c r="DD22" i="489"/>
  <c r="DE22" i="489"/>
  <c r="DF22" i="489"/>
  <c r="DG22" i="489"/>
  <c r="DH22" i="489"/>
  <c r="DI22" i="489"/>
  <c r="DJ22" i="489"/>
  <c r="DK22" i="489"/>
  <c r="DL22" i="489"/>
  <c r="DM22" i="489"/>
  <c r="DN22" i="489"/>
  <c r="DO22" i="489"/>
  <c r="DP22" i="489"/>
  <c r="DQ22" i="489"/>
  <c r="DR22" i="489"/>
  <c r="DS22" i="489"/>
  <c r="DT22" i="489"/>
  <c r="DU22" i="489"/>
  <c r="DV22" i="489"/>
  <c r="DW22" i="489"/>
  <c r="DX22" i="489"/>
  <c r="DY22" i="489"/>
  <c r="DZ22" i="489"/>
  <c r="EA22" i="489"/>
  <c r="EB22" i="489"/>
  <c r="EC22" i="489"/>
  <c r="ED22" i="489"/>
  <c r="EE22" i="489"/>
  <c r="EF22" i="489"/>
  <c r="EG22" i="489"/>
  <c r="EH22" i="489"/>
  <c r="EI22" i="489"/>
  <c r="EJ22" i="489"/>
  <c r="EK22" i="489"/>
  <c r="EL22" i="489"/>
  <c r="EM22" i="489"/>
  <c r="EN22" i="489"/>
  <c r="EO22" i="489"/>
  <c r="EP22" i="489"/>
  <c r="EQ22" i="489"/>
  <c r="ER22" i="489"/>
  <c r="ES22" i="489"/>
  <c r="ET22" i="489"/>
  <c r="EU22" i="489"/>
  <c r="EV22" i="489"/>
  <c r="EW22" i="489"/>
  <c r="EX22" i="489"/>
  <c r="J27" i="489"/>
  <c r="K27" i="489"/>
  <c r="L27" i="489"/>
  <c r="M27" i="489"/>
  <c r="N27" i="489"/>
  <c r="O27" i="489"/>
  <c r="P27" i="489"/>
  <c r="Q27" i="489"/>
  <c r="R27" i="489"/>
  <c r="S27" i="489"/>
  <c r="T27" i="489"/>
  <c r="U27" i="489"/>
  <c r="V27" i="489"/>
  <c r="W27" i="489"/>
  <c r="X27" i="489"/>
  <c r="Y27" i="489"/>
  <c r="Z27" i="489"/>
  <c r="AA27" i="489"/>
  <c r="AB27" i="489"/>
  <c r="AC27" i="489"/>
  <c r="AD27" i="489"/>
  <c r="AE27" i="489"/>
  <c r="AF27" i="489"/>
  <c r="AG27" i="489"/>
  <c r="AH27" i="489"/>
  <c r="AI27" i="489"/>
  <c r="AJ27" i="489"/>
  <c r="AK27" i="489"/>
  <c r="AM27" i="489"/>
  <c r="AO27" i="489"/>
  <c r="AP27" i="489"/>
  <c r="AQ27" i="489"/>
  <c r="AR27" i="489"/>
  <c r="AS27" i="489"/>
  <c r="AT27" i="489"/>
  <c r="AU27" i="489"/>
  <c r="AV27" i="489"/>
  <c r="AW27" i="489"/>
  <c r="AX27" i="489"/>
  <c r="AY27" i="489"/>
  <c r="AZ27" i="489"/>
  <c r="BA27" i="489"/>
  <c r="BB27" i="489"/>
  <c r="BC27" i="489"/>
  <c r="BD27" i="489"/>
  <c r="BE27" i="489"/>
  <c r="BF27" i="489"/>
  <c r="BG27" i="489"/>
  <c r="BH27" i="489"/>
  <c r="BI27" i="489"/>
  <c r="BJ27" i="489"/>
  <c r="BK27" i="489"/>
  <c r="BL27" i="489"/>
  <c r="BM27" i="489"/>
  <c r="BN27" i="489"/>
  <c r="BO27" i="489"/>
  <c r="BP27" i="489"/>
  <c r="BQ27" i="489"/>
  <c r="BR27" i="489"/>
  <c r="BS27" i="489"/>
  <c r="BT27" i="489"/>
  <c r="BU27" i="489"/>
  <c r="BV27" i="489"/>
  <c r="BW27" i="489"/>
  <c r="BX27" i="489"/>
  <c r="BY27" i="489"/>
  <c r="BZ27" i="489"/>
  <c r="CA27" i="489"/>
  <c r="CB27" i="489"/>
  <c r="CC27" i="489"/>
  <c r="CD27" i="489"/>
  <c r="CE27" i="489"/>
  <c r="CG27" i="489"/>
  <c r="CH27" i="489"/>
  <c r="CI27" i="489"/>
  <c r="CJ27" i="489"/>
  <c r="CK27" i="489"/>
  <c r="CL27" i="489"/>
  <c r="CM27" i="489"/>
  <c r="CN27" i="489"/>
  <c r="CO27" i="489"/>
  <c r="CP27" i="489"/>
  <c r="CQ27" i="489"/>
  <c r="CR27" i="489"/>
  <c r="CS27" i="489"/>
  <c r="CT27" i="489"/>
  <c r="CU27" i="489"/>
  <c r="CV27" i="489"/>
  <c r="CW27" i="489"/>
  <c r="CX27" i="489"/>
  <c r="CY27" i="489"/>
  <c r="CZ27" i="489"/>
  <c r="DA27" i="489"/>
  <c r="DB27" i="489"/>
  <c r="DD27" i="489"/>
  <c r="DE27" i="489"/>
  <c r="DF27" i="489"/>
  <c r="DG27" i="489"/>
  <c r="DH27" i="489"/>
  <c r="DI27" i="489"/>
  <c r="DJ27" i="489"/>
  <c r="DK27" i="489"/>
  <c r="DL27" i="489"/>
  <c r="DM27" i="489"/>
  <c r="DN27" i="489"/>
  <c r="DO27" i="489"/>
  <c r="DP27" i="489"/>
  <c r="DQ27" i="489"/>
  <c r="DR27" i="489"/>
  <c r="DS27" i="489"/>
  <c r="DT27" i="489"/>
  <c r="DU27" i="489"/>
  <c r="DV27" i="489"/>
  <c r="DW27" i="489"/>
  <c r="DX27" i="489"/>
  <c r="DY27" i="489"/>
  <c r="DZ27" i="489"/>
  <c r="EA27" i="489"/>
  <c r="EB27" i="489"/>
  <c r="EC27" i="489"/>
  <c r="ED27" i="489"/>
  <c r="EE27" i="489"/>
  <c r="EF27" i="489"/>
  <c r="EG27" i="489"/>
  <c r="EH27" i="489"/>
  <c r="EI27" i="489"/>
  <c r="EJ27" i="489"/>
  <c r="EK27" i="489"/>
  <c r="EL27" i="489"/>
  <c r="EM27" i="489"/>
  <c r="EN27" i="489"/>
  <c r="EO27" i="489"/>
  <c r="EP27" i="489"/>
  <c r="EQ27" i="489"/>
  <c r="ER27" i="489"/>
  <c r="ES27" i="489"/>
  <c r="ET27" i="489"/>
  <c r="EU27" i="489"/>
  <c r="EV27" i="489"/>
  <c r="EW27" i="489"/>
  <c r="EX27" i="489"/>
  <c r="J28" i="489"/>
  <c r="K28" i="489"/>
  <c r="L28" i="489"/>
  <c r="M28" i="489"/>
  <c r="N28" i="489"/>
  <c r="O28" i="489"/>
  <c r="P28" i="489"/>
  <c r="Q28" i="489"/>
  <c r="R28" i="489"/>
  <c r="S28" i="489"/>
  <c r="T28" i="489"/>
  <c r="U28" i="489"/>
  <c r="V28" i="489"/>
  <c r="W28" i="489"/>
  <c r="X28" i="489"/>
  <c r="Z28" i="489"/>
  <c r="AA28" i="489"/>
  <c r="AB28" i="489"/>
  <c r="AC28" i="489"/>
  <c r="AD28" i="489"/>
  <c r="AE28" i="489"/>
  <c r="AF28" i="489"/>
  <c r="AG28" i="489"/>
  <c r="AI28" i="489"/>
  <c r="AJ28" i="489"/>
  <c r="AL28" i="489"/>
  <c r="AM28" i="489"/>
  <c r="AN28" i="489"/>
  <c r="AO28" i="489"/>
  <c r="AP28" i="489"/>
  <c r="AR28" i="489"/>
  <c r="AS28" i="489"/>
  <c r="AV28" i="489"/>
  <c r="AW28" i="489"/>
  <c r="AX28" i="489"/>
  <c r="AY28" i="489"/>
  <c r="AZ28" i="489"/>
  <c r="BA28" i="489"/>
  <c r="BB28" i="489"/>
  <c r="BC28" i="489"/>
  <c r="BD28" i="489"/>
  <c r="BE28" i="489"/>
  <c r="BF28" i="489"/>
  <c r="BG28" i="489"/>
  <c r="BH28" i="489"/>
  <c r="BI28" i="489"/>
  <c r="BJ28" i="489"/>
  <c r="BK28" i="489"/>
  <c r="BL28" i="489"/>
  <c r="BM28" i="489"/>
  <c r="BN28" i="489"/>
  <c r="BO28" i="489"/>
  <c r="BP28" i="489"/>
  <c r="BQ28" i="489"/>
  <c r="BR28" i="489"/>
  <c r="BS28" i="489"/>
  <c r="BT28" i="489"/>
  <c r="BU28" i="489"/>
  <c r="BV28" i="489"/>
  <c r="BW28" i="489"/>
  <c r="BX28" i="489"/>
  <c r="BY28" i="489"/>
  <c r="BZ28" i="489"/>
  <c r="CA28" i="489"/>
  <c r="CB28" i="489"/>
  <c r="CC28" i="489"/>
  <c r="CD28" i="489"/>
  <c r="CE28" i="489"/>
  <c r="CG28" i="489"/>
  <c r="CH28" i="489"/>
  <c r="CI28" i="489"/>
  <c r="CJ28" i="489"/>
  <c r="CK28" i="489"/>
  <c r="CL28" i="489"/>
  <c r="CM28" i="489"/>
  <c r="CN28" i="489"/>
  <c r="CO28" i="489"/>
  <c r="CP28" i="489"/>
  <c r="CQ28" i="489"/>
  <c r="CR28" i="489"/>
  <c r="CT28" i="489"/>
  <c r="CU28" i="489"/>
  <c r="CV28" i="489"/>
  <c r="CW28" i="489"/>
  <c r="CX28" i="489"/>
  <c r="CY28" i="489"/>
  <c r="CZ28" i="489"/>
  <c r="DA28" i="489"/>
  <c r="DB28" i="489"/>
  <c r="DD28" i="489"/>
  <c r="DE28" i="489"/>
  <c r="DF28" i="489"/>
  <c r="DG28" i="489"/>
  <c r="DH28" i="489"/>
  <c r="DI28" i="489"/>
  <c r="DJ28" i="489"/>
  <c r="DK28" i="489"/>
  <c r="DM28" i="489"/>
  <c r="DN28" i="489"/>
  <c r="DO28" i="489"/>
  <c r="DP28" i="489"/>
  <c r="DQ28" i="489"/>
  <c r="DR28" i="489"/>
  <c r="DS28" i="489"/>
  <c r="DT28" i="489"/>
  <c r="DU28" i="489"/>
  <c r="DV28" i="489"/>
  <c r="DW28" i="489"/>
  <c r="DX28" i="489"/>
  <c r="DY28" i="489"/>
  <c r="DZ28" i="489"/>
  <c r="EA28" i="489"/>
  <c r="EB28" i="489"/>
  <c r="EC28" i="489"/>
  <c r="ED28" i="489"/>
  <c r="EE28" i="489"/>
  <c r="EF28" i="489"/>
  <c r="EG28" i="489"/>
  <c r="EH28" i="489"/>
  <c r="EI28" i="489"/>
  <c r="EJ28" i="489"/>
  <c r="EK28" i="489"/>
  <c r="EL28" i="489"/>
  <c r="EM28" i="489"/>
  <c r="EN28" i="489"/>
  <c r="EO28" i="489"/>
  <c r="EP28" i="489"/>
  <c r="EQ28" i="489"/>
  <c r="ER28" i="489"/>
  <c r="ES28" i="489"/>
  <c r="ET28" i="489"/>
  <c r="EU28" i="489"/>
  <c r="EV28" i="489"/>
  <c r="EW28" i="489"/>
  <c r="EX28" i="489"/>
  <c r="K29" i="489"/>
  <c r="L29" i="489"/>
  <c r="M29" i="489"/>
  <c r="N29" i="489"/>
  <c r="O29" i="489"/>
  <c r="P29" i="489"/>
  <c r="Q29" i="489"/>
  <c r="R29" i="489"/>
  <c r="S29" i="489"/>
  <c r="T29" i="489"/>
  <c r="V29" i="489"/>
  <c r="W29" i="489"/>
  <c r="X29" i="489"/>
  <c r="Z29" i="489"/>
  <c r="AA29" i="489"/>
  <c r="AB29" i="489"/>
  <c r="AC29" i="489"/>
  <c r="AD29" i="489"/>
  <c r="AE29" i="489"/>
  <c r="AF29" i="489"/>
  <c r="AG29" i="489"/>
  <c r="AH29" i="489"/>
  <c r="AI29" i="489"/>
  <c r="AJ29" i="489"/>
  <c r="AK29" i="489"/>
  <c r="AL29" i="489"/>
  <c r="AM29" i="489"/>
  <c r="AN29" i="489"/>
  <c r="AO29" i="489"/>
  <c r="AP29" i="489"/>
  <c r="AQ29" i="489"/>
  <c r="AR29" i="489"/>
  <c r="AS29" i="489"/>
  <c r="AT29" i="489"/>
  <c r="AU29" i="489"/>
  <c r="AV29" i="489"/>
  <c r="AW29" i="489"/>
  <c r="AX29" i="489"/>
  <c r="AY29" i="489"/>
  <c r="AZ29" i="489"/>
  <c r="BA29" i="489"/>
  <c r="BB29" i="489"/>
  <c r="BC29" i="489"/>
  <c r="BD29" i="489"/>
  <c r="BE29" i="489"/>
  <c r="BF29" i="489"/>
  <c r="BG29" i="489"/>
  <c r="BH29" i="489"/>
  <c r="BI29" i="489"/>
  <c r="BJ29" i="489"/>
  <c r="BK29" i="489"/>
  <c r="BL29" i="489"/>
  <c r="BM29" i="489"/>
  <c r="BN29" i="489"/>
  <c r="BO29" i="489"/>
  <c r="BP29" i="489"/>
  <c r="BQ29" i="489"/>
  <c r="BR29" i="489"/>
  <c r="BT29" i="489"/>
  <c r="BU29" i="489"/>
  <c r="BV29" i="489"/>
  <c r="BW29" i="489"/>
  <c r="BX29" i="489"/>
  <c r="BY29" i="489"/>
  <c r="BZ29" i="489"/>
  <c r="CA29" i="489"/>
  <c r="CB29" i="489"/>
  <c r="CC29" i="489"/>
  <c r="CD29" i="489"/>
  <c r="CE29" i="489"/>
  <c r="CG29" i="489"/>
  <c r="CH29" i="489"/>
  <c r="CI29" i="489"/>
  <c r="CJ29" i="489"/>
  <c r="CK29" i="489"/>
  <c r="CL29" i="489"/>
  <c r="CM29" i="489"/>
  <c r="CN29" i="489"/>
  <c r="CO29" i="489"/>
  <c r="CP29" i="489"/>
  <c r="CQ29" i="489"/>
  <c r="CR29" i="489"/>
  <c r="CT29" i="489"/>
  <c r="CU29" i="489"/>
  <c r="CV29" i="489"/>
  <c r="CW29" i="489"/>
  <c r="CX29" i="489"/>
  <c r="CY29" i="489"/>
  <c r="CZ29" i="489"/>
  <c r="DA29" i="489"/>
  <c r="DB29" i="489"/>
  <c r="DE29" i="489"/>
  <c r="DG29" i="489"/>
  <c r="DH29" i="489"/>
  <c r="DI29" i="489"/>
  <c r="DJ29" i="489"/>
  <c r="DK29" i="489"/>
  <c r="DL29" i="489"/>
  <c r="DM29" i="489"/>
  <c r="DN29" i="489"/>
  <c r="DO29" i="489"/>
  <c r="DP29" i="489"/>
  <c r="DQ29" i="489"/>
  <c r="DR29" i="489"/>
  <c r="DS29" i="489"/>
  <c r="DT29" i="489"/>
  <c r="DU29" i="489"/>
  <c r="DV29" i="489"/>
  <c r="DW29" i="489"/>
  <c r="DX29" i="489"/>
  <c r="DY29" i="489"/>
  <c r="DZ29" i="489"/>
  <c r="EA29" i="489"/>
  <c r="EB29" i="489"/>
  <c r="EC29" i="489"/>
  <c r="ED29" i="489"/>
  <c r="EE29" i="489"/>
  <c r="EF29" i="489"/>
  <c r="EG29" i="489"/>
  <c r="EH29" i="489"/>
  <c r="EI29" i="489"/>
  <c r="EJ29" i="489"/>
  <c r="EK29" i="489"/>
  <c r="EL29" i="489"/>
  <c r="EM29" i="489"/>
  <c r="EN29" i="489"/>
  <c r="EO29" i="489"/>
  <c r="EP29" i="489"/>
  <c r="EQ29" i="489"/>
  <c r="ER29" i="489"/>
  <c r="ES29" i="489"/>
  <c r="ET29" i="489"/>
  <c r="EU29" i="489"/>
  <c r="EW29" i="489"/>
  <c r="EX29" i="489"/>
  <c r="J30" i="489"/>
  <c r="K30" i="489"/>
  <c r="L30" i="489"/>
  <c r="M30" i="489"/>
  <c r="N30" i="489"/>
  <c r="O30" i="489"/>
  <c r="P30" i="489"/>
  <c r="Q30" i="489"/>
  <c r="R30" i="489"/>
  <c r="S30" i="489"/>
  <c r="T30" i="489"/>
  <c r="U30" i="489"/>
  <c r="W30" i="489"/>
  <c r="X30" i="489"/>
  <c r="Z30" i="489"/>
  <c r="AA30" i="489"/>
  <c r="AB30" i="489"/>
  <c r="AC30" i="489"/>
  <c r="AD30" i="489"/>
  <c r="AE30" i="489"/>
  <c r="AG30" i="489"/>
  <c r="AI30" i="489"/>
  <c r="AJ30" i="489"/>
  <c r="AL30" i="489"/>
  <c r="AM30" i="489"/>
  <c r="AN30" i="489"/>
  <c r="AO30" i="489"/>
  <c r="AP30" i="489"/>
  <c r="AR30" i="489"/>
  <c r="AS30" i="489"/>
  <c r="AT30" i="489"/>
  <c r="AV30" i="489"/>
  <c r="AW30" i="489"/>
  <c r="AX30" i="489"/>
  <c r="AY30" i="489"/>
  <c r="AZ30" i="489"/>
  <c r="BB30" i="489"/>
  <c r="BC30" i="489"/>
  <c r="BD30" i="489"/>
  <c r="BE30" i="489"/>
  <c r="BF30" i="489"/>
  <c r="BG30" i="489"/>
  <c r="BH30" i="489"/>
  <c r="BI30" i="489"/>
  <c r="BJ30" i="489"/>
  <c r="BK30" i="489"/>
  <c r="BL30" i="489"/>
  <c r="BM30" i="489"/>
  <c r="BN30" i="489"/>
  <c r="BO30" i="489"/>
  <c r="BP30" i="489"/>
  <c r="BQ30" i="489"/>
  <c r="BR30" i="489"/>
  <c r="BT30" i="489"/>
  <c r="BU30" i="489"/>
  <c r="BV30" i="489"/>
  <c r="BW30" i="489"/>
  <c r="BX30" i="489"/>
  <c r="BY30" i="489"/>
  <c r="BZ30" i="489"/>
  <c r="CA30" i="489"/>
  <c r="CB30" i="489"/>
  <c r="CC30" i="489"/>
  <c r="CD30" i="489"/>
  <c r="CE30" i="489"/>
  <c r="CG30" i="489"/>
  <c r="CH30" i="489"/>
  <c r="CI30" i="489"/>
  <c r="CJ30" i="489"/>
  <c r="CK30" i="489"/>
  <c r="CL30" i="489"/>
  <c r="CM30" i="489"/>
  <c r="CN30" i="489"/>
  <c r="CO30" i="489"/>
  <c r="CP30" i="489"/>
  <c r="CQ30" i="489"/>
  <c r="CR30" i="489"/>
  <c r="CT30" i="489"/>
  <c r="CU30" i="489"/>
  <c r="CV30" i="489"/>
  <c r="CW30" i="489"/>
  <c r="CX30" i="489"/>
  <c r="CY30" i="489"/>
  <c r="CZ30" i="489"/>
  <c r="DA30" i="489"/>
  <c r="DB30" i="489"/>
  <c r="DD30" i="489"/>
  <c r="DE30" i="489"/>
  <c r="DF30" i="489"/>
  <c r="DG30" i="489"/>
  <c r="DH30" i="489"/>
  <c r="DI30" i="489"/>
  <c r="DJ30" i="489"/>
  <c r="DK30" i="489"/>
  <c r="DL30" i="489"/>
  <c r="DM30" i="489"/>
  <c r="DN30" i="489"/>
  <c r="DO30" i="489"/>
  <c r="DP30" i="489"/>
  <c r="DQ30" i="489"/>
  <c r="DR30" i="489"/>
  <c r="DS30" i="489"/>
  <c r="DT30" i="489"/>
  <c r="DU30" i="489"/>
  <c r="DV30" i="489"/>
  <c r="DW30" i="489"/>
  <c r="DX30" i="489"/>
  <c r="DY30" i="489"/>
  <c r="DZ30" i="489"/>
  <c r="EA30" i="489"/>
  <c r="EB30" i="489"/>
  <c r="EC30" i="489"/>
  <c r="ED30" i="489"/>
  <c r="EE30" i="489"/>
  <c r="EF30" i="489"/>
  <c r="EG30" i="489"/>
  <c r="EH30" i="489"/>
  <c r="EI30" i="489"/>
  <c r="EJ30" i="489"/>
  <c r="EK30" i="489"/>
  <c r="EL30" i="489"/>
  <c r="EM30" i="489"/>
  <c r="EN30" i="489"/>
  <c r="EO30" i="489"/>
  <c r="EP30" i="489"/>
  <c r="EQ30" i="489"/>
  <c r="ER30" i="489"/>
  <c r="ES30" i="489"/>
  <c r="ET30" i="489"/>
  <c r="EU30" i="489"/>
  <c r="EV30" i="489"/>
  <c r="EW30" i="489"/>
  <c r="EX30" i="489"/>
  <c r="J31" i="489"/>
  <c r="K31" i="489"/>
  <c r="L31" i="489"/>
  <c r="M31" i="489"/>
  <c r="N31" i="489"/>
  <c r="O31" i="489"/>
  <c r="P31" i="489"/>
  <c r="Q31" i="489"/>
  <c r="R31" i="489"/>
  <c r="S31" i="489"/>
  <c r="T31" i="489"/>
  <c r="U31" i="489"/>
  <c r="V31" i="489"/>
  <c r="W31" i="489"/>
  <c r="X31" i="489"/>
  <c r="Y31" i="489"/>
  <c r="Z31" i="489"/>
  <c r="AA31" i="489"/>
  <c r="AB31" i="489"/>
  <c r="AC31" i="489"/>
  <c r="AD31" i="489"/>
  <c r="AE31" i="489"/>
  <c r="AF31" i="489"/>
  <c r="AG31" i="489"/>
  <c r="AH31" i="489"/>
  <c r="AI31" i="489"/>
  <c r="AJ31" i="489"/>
  <c r="AK31" i="489"/>
  <c r="AL31" i="489"/>
  <c r="AM31" i="489"/>
  <c r="AN31" i="489"/>
  <c r="AO31" i="489"/>
  <c r="AP31" i="489"/>
  <c r="AQ31" i="489"/>
  <c r="AR31" i="489"/>
  <c r="AS31" i="489"/>
  <c r="AT31" i="489"/>
  <c r="AU31" i="489"/>
  <c r="AV31" i="489"/>
  <c r="AW31" i="489"/>
  <c r="AX31" i="489"/>
  <c r="AY31" i="489"/>
  <c r="AZ31" i="489"/>
  <c r="BA31" i="489"/>
  <c r="BB31" i="489"/>
  <c r="BC31" i="489"/>
  <c r="BD31" i="489"/>
  <c r="BE31" i="489"/>
  <c r="BF31" i="489"/>
  <c r="BG31" i="489"/>
  <c r="BH31" i="489"/>
  <c r="BI31" i="489"/>
  <c r="BJ31" i="489"/>
  <c r="BK31" i="489"/>
  <c r="BL31" i="489"/>
  <c r="BM31" i="489"/>
  <c r="BN31" i="489"/>
  <c r="BO31" i="489"/>
  <c r="BP31" i="489"/>
  <c r="BQ31" i="489"/>
  <c r="BR31" i="489"/>
  <c r="BS31" i="489"/>
  <c r="BT31" i="489"/>
  <c r="BU31" i="489"/>
  <c r="BV31" i="489"/>
  <c r="BW31" i="489"/>
  <c r="BX31" i="489"/>
  <c r="BY31" i="489"/>
  <c r="BZ31" i="489"/>
  <c r="CA31" i="489"/>
  <c r="CB31" i="489"/>
  <c r="CC31" i="489"/>
  <c r="CD31" i="489"/>
  <c r="CE31" i="489"/>
  <c r="CF31" i="489"/>
  <c r="CG31" i="489"/>
  <c r="CH31" i="489"/>
  <c r="CI31" i="489"/>
  <c r="CJ31" i="489"/>
  <c r="CK31" i="489"/>
  <c r="CL31" i="489"/>
  <c r="CM31" i="489"/>
  <c r="CN31" i="489"/>
  <c r="CO31" i="489"/>
  <c r="CP31" i="489"/>
  <c r="CR31" i="489"/>
  <c r="CS31" i="489"/>
  <c r="CT31" i="489"/>
  <c r="CU31" i="489"/>
  <c r="CV31" i="489"/>
  <c r="CW31" i="489"/>
  <c r="CX31" i="489"/>
  <c r="CY31" i="489"/>
  <c r="DA31" i="489"/>
  <c r="DB31" i="489"/>
  <c r="DC31" i="489"/>
  <c r="DD31" i="489"/>
  <c r="DF31" i="489"/>
  <c r="DG31" i="489"/>
  <c r="DH31" i="489"/>
  <c r="DI31" i="489"/>
  <c r="DJ31" i="489"/>
  <c r="DK31" i="489"/>
  <c r="DL31" i="489"/>
  <c r="DM31" i="489"/>
  <c r="DN31" i="489"/>
  <c r="DO31" i="489"/>
  <c r="DP31" i="489"/>
  <c r="DQ31" i="489"/>
  <c r="DR31" i="489"/>
  <c r="DS31" i="489"/>
  <c r="DT31" i="489"/>
  <c r="DU31" i="489"/>
  <c r="DV31" i="489"/>
  <c r="DW31" i="489"/>
  <c r="DX31" i="489"/>
  <c r="DY31" i="489"/>
  <c r="DZ31" i="489"/>
  <c r="EA31" i="489"/>
  <c r="EB31" i="489"/>
  <c r="EC31" i="489"/>
  <c r="ED31" i="489"/>
  <c r="EE31" i="489"/>
  <c r="EF31" i="489"/>
  <c r="EG31" i="489"/>
  <c r="EH31" i="489"/>
  <c r="EI31" i="489"/>
  <c r="EJ31" i="489"/>
  <c r="EK31" i="489"/>
  <c r="EL31" i="489"/>
  <c r="EM31" i="489"/>
  <c r="EN31" i="489"/>
  <c r="EO31" i="489"/>
  <c r="EP31" i="489"/>
  <c r="EQ31" i="489"/>
  <c r="ER31" i="489"/>
  <c r="ES31" i="489"/>
  <c r="ET31" i="489"/>
  <c r="EU31" i="489"/>
  <c r="EV31" i="489"/>
  <c r="EW31" i="489"/>
  <c r="EX31" i="489"/>
  <c r="C32" i="489"/>
  <c r="H32" i="489"/>
  <c r="J32" i="489"/>
  <c r="K32" i="489"/>
  <c r="L32" i="489"/>
  <c r="M32" i="489"/>
  <c r="N32" i="489"/>
  <c r="O32" i="489"/>
  <c r="P32" i="489"/>
  <c r="Q32" i="489"/>
  <c r="R32" i="489"/>
  <c r="S32" i="489"/>
  <c r="T32" i="489"/>
  <c r="U32" i="489"/>
  <c r="V32" i="489"/>
  <c r="W32" i="489"/>
  <c r="X32" i="489"/>
  <c r="Y32" i="489"/>
  <c r="Z32" i="489"/>
  <c r="AA32" i="489"/>
  <c r="AB32" i="489"/>
  <c r="AC32" i="489"/>
  <c r="AD32" i="489"/>
  <c r="AE32" i="489"/>
  <c r="AF32" i="489"/>
  <c r="AG32" i="489"/>
  <c r="AH32" i="489"/>
  <c r="AI32" i="489"/>
  <c r="AJ32" i="489"/>
  <c r="AK32" i="489"/>
  <c r="AL32" i="489"/>
  <c r="AM32" i="489"/>
  <c r="AN32" i="489"/>
  <c r="AO32" i="489"/>
  <c r="AP32" i="489"/>
  <c r="AQ32" i="489"/>
  <c r="AR32" i="489"/>
  <c r="AS32" i="489"/>
  <c r="AT32" i="489"/>
  <c r="AU32" i="489"/>
  <c r="AV32" i="489"/>
  <c r="AW32" i="489"/>
  <c r="AX32" i="489"/>
  <c r="AY32" i="489"/>
  <c r="AZ32" i="489"/>
  <c r="BA32" i="489"/>
  <c r="BB32" i="489"/>
  <c r="BC32" i="489"/>
  <c r="BD32" i="489"/>
  <c r="BE32" i="489"/>
  <c r="BF32" i="489"/>
  <c r="BG32" i="489"/>
  <c r="BH32" i="489"/>
  <c r="BI32" i="489"/>
  <c r="BJ32" i="489"/>
  <c r="BK32" i="489"/>
  <c r="BL32" i="489"/>
  <c r="BM32" i="489"/>
  <c r="BN32" i="489"/>
  <c r="BO32" i="489"/>
  <c r="BP32" i="489"/>
  <c r="BQ32" i="489"/>
  <c r="BR32" i="489"/>
  <c r="BS32" i="489"/>
  <c r="BT32" i="489"/>
  <c r="BU32" i="489"/>
  <c r="BV32" i="489"/>
  <c r="BW32" i="489"/>
  <c r="BX32" i="489"/>
  <c r="BY32" i="489"/>
  <c r="BZ32" i="489"/>
  <c r="CA32" i="489"/>
  <c r="CB32" i="489"/>
  <c r="CC32" i="489"/>
  <c r="CD32" i="489"/>
  <c r="CE32" i="489"/>
  <c r="CF32" i="489"/>
  <c r="CG32" i="489"/>
  <c r="CH32" i="489"/>
  <c r="CI32" i="489"/>
  <c r="CJ32" i="489"/>
  <c r="CK32" i="489"/>
  <c r="CL32" i="489"/>
  <c r="CM32" i="489"/>
  <c r="CN32" i="489"/>
  <c r="CO32" i="489"/>
  <c r="CP32" i="489"/>
  <c r="CQ32" i="489"/>
  <c r="CR32" i="489"/>
  <c r="CS32" i="489"/>
  <c r="CT32" i="489"/>
  <c r="CU32" i="489"/>
  <c r="CV32" i="489"/>
  <c r="CW32" i="489"/>
  <c r="CX32" i="489"/>
  <c r="CY32" i="489"/>
  <c r="CZ32" i="489"/>
  <c r="DA32" i="489"/>
  <c r="DB32" i="489"/>
  <c r="DC32" i="489"/>
  <c r="DD32" i="489"/>
  <c r="DE32" i="489"/>
  <c r="DF32" i="489"/>
  <c r="DG32" i="489"/>
  <c r="DH32" i="489"/>
  <c r="DI32" i="489"/>
  <c r="DJ32" i="489"/>
  <c r="DK32" i="489"/>
  <c r="DL32" i="489"/>
  <c r="DM32" i="489"/>
  <c r="DN32" i="489"/>
  <c r="DO32" i="489"/>
  <c r="DP32" i="489"/>
  <c r="DQ32" i="489"/>
  <c r="DR32" i="489"/>
  <c r="DS32" i="489"/>
  <c r="DT32" i="489"/>
  <c r="DU32" i="489"/>
  <c r="DV32" i="489"/>
  <c r="DW32" i="489"/>
  <c r="DX32" i="489"/>
  <c r="DY32" i="489"/>
  <c r="DZ32" i="489"/>
  <c r="EA32" i="489"/>
  <c r="EB32" i="489"/>
  <c r="EC32" i="489"/>
  <c r="ED32" i="489"/>
  <c r="EE32" i="489"/>
  <c r="EF32" i="489"/>
  <c r="EG32" i="489"/>
  <c r="EH32" i="489"/>
  <c r="EI32" i="489"/>
  <c r="EJ32" i="489"/>
  <c r="EK32" i="489"/>
  <c r="EL32" i="489"/>
  <c r="EM32" i="489"/>
  <c r="EN32" i="489"/>
  <c r="EO32" i="489"/>
  <c r="EP32" i="489"/>
  <c r="EQ32" i="489"/>
  <c r="ER32" i="489"/>
  <c r="ES32" i="489"/>
  <c r="ET32" i="489"/>
  <c r="EU32" i="489"/>
  <c r="EW32" i="489"/>
  <c r="EX32" i="489"/>
  <c r="C33" i="489"/>
  <c r="H33" i="489"/>
  <c r="J33" i="489"/>
  <c r="K33" i="489"/>
  <c r="L33" i="489"/>
  <c r="M33" i="489"/>
  <c r="N33" i="489"/>
  <c r="O33" i="489"/>
  <c r="P33" i="489"/>
  <c r="Q33" i="489"/>
  <c r="R33" i="489"/>
  <c r="S33" i="489"/>
  <c r="T33" i="489"/>
  <c r="U33" i="489"/>
  <c r="V33" i="489"/>
  <c r="W33" i="489"/>
  <c r="X33" i="489"/>
  <c r="Y33" i="489"/>
  <c r="Z33" i="489"/>
  <c r="AA33" i="489"/>
  <c r="AB33" i="489"/>
  <c r="AC33" i="489"/>
  <c r="AD33" i="489"/>
  <c r="AE33" i="489"/>
  <c r="AF33" i="489"/>
  <c r="AG33" i="489"/>
  <c r="AH33" i="489"/>
  <c r="AI33" i="489"/>
  <c r="AJ33" i="489"/>
  <c r="AK33" i="489"/>
  <c r="AL33" i="489"/>
  <c r="AM33" i="489"/>
  <c r="AN33" i="489"/>
  <c r="AO33" i="489"/>
  <c r="AP33" i="489"/>
  <c r="AQ33" i="489"/>
  <c r="AR33" i="489"/>
  <c r="AS33" i="489"/>
  <c r="AT33" i="489"/>
  <c r="AU33" i="489"/>
  <c r="AV33" i="489"/>
  <c r="AW33" i="489"/>
  <c r="AX33" i="489"/>
  <c r="AY33" i="489"/>
  <c r="AZ33" i="489"/>
  <c r="BA33" i="489"/>
  <c r="BB33" i="489"/>
  <c r="BC33" i="489"/>
  <c r="BD33" i="489"/>
  <c r="BE33" i="489"/>
  <c r="BF33" i="489"/>
  <c r="BG33" i="489"/>
  <c r="BH33" i="489"/>
  <c r="BI33" i="489"/>
  <c r="BJ33" i="489"/>
  <c r="BK33" i="489"/>
  <c r="BL33" i="489"/>
  <c r="BM33" i="489"/>
  <c r="BN33" i="489"/>
  <c r="BO33" i="489"/>
  <c r="BP33" i="489"/>
  <c r="BQ33" i="489"/>
  <c r="BR33" i="489"/>
  <c r="BS33" i="489"/>
  <c r="BT33" i="489"/>
  <c r="BU33" i="489"/>
  <c r="BV33" i="489"/>
  <c r="BW33" i="489"/>
  <c r="BX33" i="489"/>
  <c r="BY33" i="489"/>
  <c r="BZ33" i="489"/>
  <c r="CA33" i="489"/>
  <c r="CB33" i="489"/>
  <c r="CC33" i="489"/>
  <c r="CD33" i="489"/>
  <c r="CE33" i="489"/>
  <c r="CF33" i="489"/>
  <c r="CG33" i="489"/>
  <c r="CH33" i="489"/>
  <c r="CI33" i="489"/>
  <c r="CJ33" i="489"/>
  <c r="CK33" i="489"/>
  <c r="CL33" i="489"/>
  <c r="CM33" i="489"/>
  <c r="CN33" i="489"/>
  <c r="CO33" i="489"/>
  <c r="CP33" i="489"/>
  <c r="CQ33" i="489"/>
  <c r="CR33" i="489"/>
  <c r="CS33" i="489"/>
  <c r="CT33" i="489"/>
  <c r="CU33" i="489"/>
  <c r="CV33" i="489"/>
  <c r="CW33" i="489"/>
  <c r="CX33" i="489"/>
  <c r="CY33" i="489"/>
  <c r="CZ33" i="489"/>
  <c r="DA33" i="489"/>
  <c r="DB33" i="489"/>
  <c r="DC33" i="489"/>
  <c r="DD33" i="489"/>
  <c r="DE33" i="489"/>
  <c r="DF33" i="489"/>
  <c r="DG33" i="489"/>
  <c r="DH33" i="489"/>
  <c r="DI33" i="489"/>
  <c r="DJ33" i="489"/>
  <c r="DK33" i="489"/>
  <c r="DL33" i="489"/>
  <c r="DM33" i="489"/>
  <c r="DN33" i="489"/>
  <c r="DO33" i="489"/>
  <c r="DP33" i="489"/>
  <c r="DQ33" i="489"/>
  <c r="DR33" i="489"/>
  <c r="DS33" i="489"/>
  <c r="DT33" i="489"/>
  <c r="DU33" i="489"/>
  <c r="DV33" i="489"/>
  <c r="DW33" i="489"/>
  <c r="DX33" i="489"/>
  <c r="DY33" i="489"/>
  <c r="DZ33" i="489"/>
  <c r="EA33" i="489"/>
  <c r="EB33" i="489"/>
  <c r="EC33" i="489"/>
  <c r="ED33" i="489"/>
  <c r="EE33" i="489"/>
  <c r="EF33" i="489"/>
  <c r="EG33" i="489"/>
  <c r="EH33" i="489"/>
  <c r="EI33" i="489"/>
  <c r="EJ33" i="489"/>
  <c r="EK33" i="489"/>
  <c r="EL33" i="489"/>
  <c r="EM33" i="489"/>
  <c r="EN33" i="489"/>
  <c r="EO33" i="489"/>
  <c r="EP33" i="489"/>
  <c r="EQ33" i="489"/>
  <c r="ER33" i="489"/>
  <c r="ES33" i="489"/>
  <c r="ET33" i="489"/>
  <c r="EU33" i="489"/>
  <c r="EV33" i="489"/>
  <c r="EX33" i="489"/>
  <c r="DW367" i="147" l="1"/>
  <c r="DU366" i="147"/>
  <c r="DU48" i="489" s="1"/>
  <c r="CT364" i="147"/>
  <c r="DG338" i="147"/>
  <c r="DX307" i="147"/>
  <c r="DX306" i="147"/>
  <c r="CZ256" i="147"/>
  <c r="CZ255" i="147"/>
  <c r="CZ254" i="147"/>
  <c r="CZ253" i="147"/>
  <c r="CZ252" i="147"/>
  <c r="BF252" i="147"/>
  <c r="B229" i="147"/>
  <c r="C22" i="511"/>
  <c r="DC229" i="147" s="1"/>
  <c r="E21" i="436"/>
  <c r="C21" i="436"/>
  <c r="I21" i="436" s="1"/>
  <c r="F21" i="436" l="1"/>
  <c r="G21" i="436"/>
  <c r="D21" i="436"/>
  <c r="D22" i="511"/>
  <c r="CS197" i="147"/>
  <c r="CS89" i="489" s="1"/>
  <c r="DC197" i="147"/>
  <c r="DC89" i="489" s="1"/>
  <c r="DF197" i="147"/>
  <c r="DF89" i="489" s="1"/>
  <c r="BS197" i="147"/>
  <c r="BS89" i="489" s="1"/>
  <c r="Y197" i="147"/>
  <c r="Y89" i="489" s="1"/>
  <c r="H21" i="436" l="1"/>
  <c r="J21" i="436"/>
  <c r="AN50" i="147"/>
  <c r="AO50" i="147"/>
  <c r="E20" i="429"/>
  <c r="F20" i="429" s="1"/>
  <c r="G20" i="429"/>
  <c r="H20" i="429"/>
  <c r="I20" i="429"/>
  <c r="J20" i="429"/>
  <c r="AO207" i="489" l="1"/>
  <c r="AO87" i="489"/>
  <c r="AN207" i="489"/>
  <c r="AN87" i="489"/>
  <c r="E369" i="147"/>
  <c r="G370" i="147"/>
  <c r="F370" i="147"/>
  <c r="E370" i="147"/>
  <c r="D370" i="147"/>
  <c r="H740" i="147"/>
  <c r="B740" i="147"/>
  <c r="BK370" i="147"/>
  <c r="EY370" i="147" s="1"/>
  <c r="I370" i="147"/>
  <c r="EY367" i="147"/>
  <c r="H738" i="147"/>
  <c r="H739" i="147"/>
  <c r="B738" i="147"/>
  <c r="B739" i="147"/>
  <c r="G369" i="147"/>
  <c r="F369" i="147"/>
  <c r="D369" i="147"/>
  <c r="G368" i="147"/>
  <c r="G57" i="489" s="1"/>
  <c r="F368" i="147"/>
  <c r="F57" i="489" s="1"/>
  <c r="E368" i="147"/>
  <c r="E57" i="489" s="1"/>
  <c r="D368" i="147"/>
  <c r="D57" i="489" s="1"/>
  <c r="AO369" i="147"/>
  <c r="EY369" i="147" s="1"/>
  <c r="AN368" i="147"/>
  <c r="AN57" i="489" s="1"/>
  <c r="I369" i="147"/>
  <c r="I368" i="147"/>
  <c r="I57" i="489" s="1"/>
  <c r="I55" i="93" s="1"/>
  <c r="DC228" i="147"/>
  <c r="CB229" i="147"/>
  <c r="V229" i="147"/>
  <c r="H229" i="147"/>
  <c r="H599" i="147" s="1"/>
  <c r="C229" i="147"/>
  <c r="F229" i="147" s="1"/>
  <c r="B599" i="147"/>
  <c r="E22" i="511"/>
  <c r="F22" i="511" s="1"/>
  <c r="F20" i="511"/>
  <c r="G20" i="511"/>
  <c r="H20" i="511"/>
  <c r="I20" i="511"/>
  <c r="J20" i="511"/>
  <c r="G21" i="511"/>
  <c r="H21" i="511"/>
  <c r="I21" i="511"/>
  <c r="J21" i="511"/>
  <c r="G22" i="511"/>
  <c r="H22" i="511"/>
  <c r="I22" i="511"/>
  <c r="J22" i="511"/>
  <c r="H30" i="511"/>
  <c r="C27" i="511"/>
  <c r="J23" i="511"/>
  <c r="H23" i="511"/>
  <c r="E21" i="511"/>
  <c r="F21" i="511" s="1"/>
  <c r="J19" i="511"/>
  <c r="I19" i="511"/>
  <c r="H19" i="511"/>
  <c r="G19" i="511"/>
  <c r="E19" i="511"/>
  <c r="F19" i="511" s="1"/>
  <c r="EY368" i="147" l="1"/>
  <c r="EY229" i="147"/>
  <c r="E229" i="147"/>
  <c r="G229" i="147"/>
  <c r="D229" i="147"/>
  <c r="F23" i="511"/>
  <c r="F24" i="511" s="1"/>
  <c r="F28" i="511" s="1"/>
  <c r="I229" i="147" s="1"/>
  <c r="DX319" i="147"/>
  <c r="DC319" i="147"/>
  <c r="CZ319" i="147"/>
  <c r="CL319" i="147"/>
  <c r="CI319" i="147"/>
  <c r="CE319" i="147"/>
  <c r="BS319" i="147"/>
  <c r="X319" i="147"/>
  <c r="U319" i="147"/>
  <c r="H319" i="147"/>
  <c r="C319" i="147"/>
  <c r="B319" i="147"/>
  <c r="E28" i="510"/>
  <c r="F28" i="510" s="1"/>
  <c r="E25" i="510"/>
  <c r="F25" i="510" s="1"/>
  <c r="E24" i="510"/>
  <c r="F24" i="510" s="1"/>
  <c r="G21" i="510"/>
  <c r="H21" i="510"/>
  <c r="I21" i="510"/>
  <c r="J21" i="510"/>
  <c r="G22" i="510"/>
  <c r="H22" i="510"/>
  <c r="I22" i="510"/>
  <c r="J22" i="510"/>
  <c r="G23" i="510"/>
  <c r="H23" i="510"/>
  <c r="I23" i="510"/>
  <c r="J23" i="510"/>
  <c r="G24" i="510"/>
  <c r="H24" i="510"/>
  <c r="I24" i="510"/>
  <c r="J24" i="510"/>
  <c r="G25" i="510"/>
  <c r="H25" i="510"/>
  <c r="I25" i="510"/>
  <c r="J25" i="510"/>
  <c r="G26" i="510"/>
  <c r="H26" i="510"/>
  <c r="I26" i="510"/>
  <c r="J26" i="510"/>
  <c r="G27" i="510"/>
  <c r="H27" i="510"/>
  <c r="I27" i="510"/>
  <c r="J27" i="510"/>
  <c r="G28" i="510"/>
  <c r="H28" i="510"/>
  <c r="I28" i="510"/>
  <c r="J28" i="510"/>
  <c r="G29" i="510"/>
  <c r="H29" i="510"/>
  <c r="I29" i="510"/>
  <c r="J29" i="510"/>
  <c r="H31" i="510"/>
  <c r="J31" i="510"/>
  <c r="E22" i="510"/>
  <c r="F22" i="510" s="1"/>
  <c r="E21" i="510"/>
  <c r="F21" i="510" s="1"/>
  <c r="J5" i="137"/>
  <c r="J5" i="511" s="1"/>
  <c r="A5" i="137"/>
  <c r="G3" i="137"/>
  <c r="H39" i="510"/>
  <c r="C36" i="510"/>
  <c r="J32" i="510"/>
  <c r="H32" i="510"/>
  <c r="J30" i="510"/>
  <c r="H30" i="510"/>
  <c r="E27" i="510"/>
  <c r="F27" i="510" s="1"/>
  <c r="E26" i="510"/>
  <c r="F26" i="510" s="1"/>
  <c r="J20" i="510"/>
  <c r="I20" i="510"/>
  <c r="H20" i="510"/>
  <c r="G20" i="510"/>
  <c r="E20" i="510"/>
  <c r="F20" i="510" s="1"/>
  <c r="J19" i="510"/>
  <c r="I19" i="510"/>
  <c r="H19" i="510"/>
  <c r="G19" i="510"/>
  <c r="E19" i="510"/>
  <c r="F19" i="510" s="1"/>
  <c r="F24" i="390"/>
  <c r="H24" i="390"/>
  <c r="J24" i="390"/>
  <c r="G24" i="390"/>
  <c r="I24" i="390"/>
  <c r="F24" i="219"/>
  <c r="H24" i="219"/>
  <c r="J24" i="219"/>
  <c r="G24" i="219"/>
  <c r="I24" i="219"/>
  <c r="H25" i="438"/>
  <c r="J25" i="438"/>
  <c r="G25" i="438"/>
  <c r="I25" i="438"/>
  <c r="F25" i="218"/>
  <c r="H25" i="218"/>
  <c r="J25" i="218"/>
  <c r="G25" i="218"/>
  <c r="I25" i="218"/>
  <c r="F25" i="389"/>
  <c r="H25" i="389"/>
  <c r="J25" i="389"/>
  <c r="G25" i="389"/>
  <c r="I25" i="389"/>
  <c r="F25" i="469"/>
  <c r="H25" i="469"/>
  <c r="J25" i="469"/>
  <c r="G25" i="469"/>
  <c r="I25" i="469"/>
  <c r="F25" i="208"/>
  <c r="H25" i="208"/>
  <c r="J25" i="208"/>
  <c r="G25" i="208"/>
  <c r="I25" i="208"/>
  <c r="G21" i="207"/>
  <c r="H21" i="207"/>
  <c r="I21" i="207"/>
  <c r="J21" i="207"/>
  <c r="F21" i="207"/>
  <c r="G21" i="506"/>
  <c r="H21" i="506"/>
  <c r="I21" i="506"/>
  <c r="J21" i="506"/>
  <c r="F21" i="506"/>
  <c r="F25" i="309"/>
  <c r="H25" i="309"/>
  <c r="J25" i="309"/>
  <c r="G25" i="309"/>
  <c r="I25" i="309"/>
  <c r="F23" i="205"/>
  <c r="H23" i="205"/>
  <c r="J23" i="205"/>
  <c r="G23" i="205"/>
  <c r="I23" i="205"/>
  <c r="F24" i="479"/>
  <c r="H24" i="479"/>
  <c r="J24" i="479"/>
  <c r="G24" i="479"/>
  <c r="I24" i="479"/>
  <c r="F24" i="439"/>
  <c r="H24" i="439"/>
  <c r="J24" i="439"/>
  <c r="G24" i="439"/>
  <c r="I24" i="439"/>
  <c r="F24" i="204"/>
  <c r="H24" i="204"/>
  <c r="J24" i="204"/>
  <c r="M24" i="204"/>
  <c r="G24" i="204"/>
  <c r="I24" i="204"/>
  <c r="L24" i="204"/>
  <c r="B689" i="147" l="1"/>
  <c r="A5" i="510"/>
  <c r="A5" i="511"/>
  <c r="F319" i="147"/>
  <c r="H689" i="147"/>
  <c r="J5" i="510"/>
  <c r="G3" i="510"/>
  <c r="G3" i="511"/>
  <c r="D319" i="147"/>
  <c r="G319" i="147"/>
  <c r="E319" i="147"/>
  <c r="EY319" i="147"/>
  <c r="F131" i="87" l="1"/>
  <c r="E23" i="510" l="1"/>
  <c r="F23" i="510" s="1"/>
  <c r="E29" i="510"/>
  <c r="F29" i="510" s="1"/>
  <c r="F72" i="87"/>
  <c r="F155" i="87"/>
  <c r="F30" i="510" l="1"/>
  <c r="F32" i="510" s="1"/>
  <c r="F33" i="510" s="1"/>
  <c r="F37" i="510" s="1"/>
  <c r="I319" i="147" s="1"/>
  <c r="I367" i="147" l="1"/>
  <c r="G367" i="147"/>
  <c r="F367" i="147"/>
  <c r="E367" i="147"/>
  <c r="D367" i="147"/>
  <c r="H737" i="147"/>
  <c r="B367" i="147"/>
  <c r="B737" i="147" l="1"/>
  <c r="BN260" i="147" l="1"/>
  <c r="BN259" i="147"/>
  <c r="H260" i="147"/>
  <c r="C260" i="147"/>
  <c r="E260" i="147" s="1"/>
  <c r="B260" i="147"/>
  <c r="H27" i="507"/>
  <c r="C24" i="507"/>
  <c r="J20" i="507"/>
  <c r="H20" i="507"/>
  <c r="J19" i="507"/>
  <c r="I19" i="507"/>
  <c r="H19" i="507"/>
  <c r="G19" i="507"/>
  <c r="E19" i="507"/>
  <c r="F19" i="507" s="1"/>
  <c r="F20" i="507" s="1"/>
  <c r="F21" i="507" s="1"/>
  <c r="J5" i="507"/>
  <c r="A5" i="507"/>
  <c r="G3" i="507"/>
  <c r="V304" i="147"/>
  <c r="E24" i="304"/>
  <c r="CF197" i="147"/>
  <c r="CF89" i="489" s="1"/>
  <c r="CB197" i="147"/>
  <c r="CB89" i="489" s="1"/>
  <c r="G260" i="147" l="1"/>
  <c r="D260" i="147"/>
  <c r="EY260" i="147"/>
  <c r="B630" i="147"/>
  <c r="H630" i="147"/>
  <c r="F260" i="147"/>
  <c r="F25" i="507"/>
  <c r="I260" i="147" s="1"/>
  <c r="BS198" i="147"/>
  <c r="AU197" i="147"/>
  <c r="AU89" i="489" s="1"/>
  <c r="AK197" i="147"/>
  <c r="AK89" i="489" s="1"/>
  <c r="AK198" i="147"/>
  <c r="J197" i="147"/>
  <c r="J89" i="489" s="1"/>
  <c r="H197" i="147"/>
  <c r="H89" i="489" s="1"/>
  <c r="C197" i="147"/>
  <c r="C89" i="489" s="1"/>
  <c r="C198" i="147"/>
  <c r="B197" i="147"/>
  <c r="B89" i="489" s="1"/>
  <c r="H42" i="506"/>
  <c r="C39" i="506"/>
  <c r="J34" i="506"/>
  <c r="H34" i="506"/>
  <c r="J33" i="506"/>
  <c r="I33" i="506"/>
  <c r="H33" i="506"/>
  <c r="G33" i="506"/>
  <c r="J32" i="506"/>
  <c r="H32" i="506"/>
  <c r="J31" i="506"/>
  <c r="I31" i="506"/>
  <c r="H31" i="506"/>
  <c r="G31" i="506"/>
  <c r="E31" i="506"/>
  <c r="F31" i="506" s="1"/>
  <c r="J30" i="506"/>
  <c r="I30" i="506"/>
  <c r="H30" i="506"/>
  <c r="G30" i="506"/>
  <c r="E30" i="506"/>
  <c r="F30" i="506" s="1"/>
  <c r="J29" i="506"/>
  <c r="I29" i="506"/>
  <c r="H29" i="506"/>
  <c r="G29" i="506"/>
  <c r="E29" i="506"/>
  <c r="F29" i="506" s="1"/>
  <c r="J27" i="506"/>
  <c r="I27" i="506"/>
  <c r="H27" i="506"/>
  <c r="G27" i="506"/>
  <c r="E27" i="506"/>
  <c r="F27" i="506" s="1"/>
  <c r="J25" i="506"/>
  <c r="I25" i="506"/>
  <c r="H25" i="506"/>
  <c r="G25" i="506"/>
  <c r="E25" i="506"/>
  <c r="F25" i="506" s="1"/>
  <c r="J24" i="506"/>
  <c r="I24" i="506"/>
  <c r="H24" i="506"/>
  <c r="G24" i="506"/>
  <c r="E24" i="506"/>
  <c r="F24" i="506" s="1"/>
  <c r="J23" i="506"/>
  <c r="I23" i="506"/>
  <c r="H23" i="506"/>
  <c r="G23" i="506"/>
  <c r="E23" i="506"/>
  <c r="F23" i="506" s="1"/>
  <c r="J20" i="506"/>
  <c r="I20" i="506"/>
  <c r="H20" i="506"/>
  <c r="G20" i="506"/>
  <c r="E20" i="506"/>
  <c r="F20" i="506" s="1"/>
  <c r="J19" i="506"/>
  <c r="I19" i="506"/>
  <c r="H19" i="506"/>
  <c r="G19" i="506"/>
  <c r="E19" i="506"/>
  <c r="F19" i="506" s="1"/>
  <c r="J5" i="506"/>
  <c r="A5" i="506"/>
  <c r="G3" i="506"/>
  <c r="H567" i="147" l="1"/>
  <c r="B567" i="147"/>
  <c r="D197" i="147"/>
  <c r="D89" i="489" s="1"/>
  <c r="F197" i="147"/>
  <c r="F89" i="489" s="1"/>
  <c r="G197" i="147"/>
  <c r="G89" i="489" s="1"/>
  <c r="E197" i="147"/>
  <c r="E89" i="489" s="1"/>
  <c r="DC193" i="147"/>
  <c r="M218" i="147"/>
  <c r="DC218" i="147"/>
  <c r="V218" i="147"/>
  <c r="E19" i="438"/>
  <c r="E29" i="438"/>
  <c r="A6" i="93" l="1"/>
  <c r="H293" i="93"/>
  <c r="G293" i="93"/>
  <c r="F293" i="93"/>
  <c r="E293" i="93"/>
  <c r="D293" i="93"/>
  <c r="C293" i="93"/>
  <c r="B293" i="93"/>
  <c r="H292" i="93"/>
  <c r="G292" i="93"/>
  <c r="F292" i="93"/>
  <c r="E292" i="93"/>
  <c r="D292" i="93"/>
  <c r="C292" i="93"/>
  <c r="B292" i="93"/>
  <c r="H291" i="93"/>
  <c r="G291" i="93"/>
  <c r="F291" i="93"/>
  <c r="E291" i="93"/>
  <c r="D291" i="93"/>
  <c r="C291" i="93"/>
  <c r="B291" i="93"/>
  <c r="H290" i="93"/>
  <c r="G290" i="93"/>
  <c r="F290" i="93"/>
  <c r="E290" i="93"/>
  <c r="D290" i="93"/>
  <c r="C290" i="93"/>
  <c r="B290" i="93"/>
  <c r="H289" i="93"/>
  <c r="G289" i="93"/>
  <c r="F289" i="93"/>
  <c r="E289" i="93"/>
  <c r="D289" i="93"/>
  <c r="C289" i="93"/>
  <c r="B289" i="93"/>
  <c r="H287" i="93"/>
  <c r="G287" i="93"/>
  <c r="F287" i="93"/>
  <c r="E287" i="93"/>
  <c r="D287" i="93"/>
  <c r="C287" i="93"/>
  <c r="B287" i="93"/>
  <c r="C276" i="93"/>
  <c r="D276" i="93"/>
  <c r="E276" i="93"/>
  <c r="F276" i="93"/>
  <c r="G276" i="93"/>
  <c r="H276" i="93"/>
  <c r="C277" i="93"/>
  <c r="D277" i="93"/>
  <c r="E277" i="93"/>
  <c r="F277" i="93"/>
  <c r="G277" i="93"/>
  <c r="H277" i="93"/>
  <c r="B276" i="93"/>
  <c r="B277" i="93"/>
  <c r="H265" i="93"/>
  <c r="G265" i="93"/>
  <c r="F265" i="93"/>
  <c r="E265" i="93"/>
  <c r="D265" i="93"/>
  <c r="C265" i="93"/>
  <c r="B265" i="93"/>
  <c r="H264" i="93"/>
  <c r="G264" i="93"/>
  <c r="F264" i="93"/>
  <c r="E264" i="93"/>
  <c r="D264" i="93"/>
  <c r="C264" i="93"/>
  <c r="B264" i="93"/>
  <c r="H263" i="93"/>
  <c r="G263" i="93"/>
  <c r="F263" i="93"/>
  <c r="E263" i="93"/>
  <c r="D263" i="93"/>
  <c r="C263" i="93"/>
  <c r="B263" i="93"/>
  <c r="H262" i="93"/>
  <c r="G262" i="93"/>
  <c r="F262" i="93"/>
  <c r="E262" i="93"/>
  <c r="D262" i="93"/>
  <c r="C262" i="93"/>
  <c r="B262" i="93"/>
  <c r="H261" i="93"/>
  <c r="G261" i="93"/>
  <c r="F261" i="93"/>
  <c r="E261" i="93"/>
  <c r="D261" i="93"/>
  <c r="C261" i="93"/>
  <c r="B261" i="93"/>
  <c r="H259" i="93"/>
  <c r="G259" i="93"/>
  <c r="F259" i="93"/>
  <c r="E259" i="93"/>
  <c r="D259" i="93"/>
  <c r="C259" i="93"/>
  <c r="B259" i="93"/>
  <c r="H237" i="93"/>
  <c r="G237" i="93"/>
  <c r="F237" i="93"/>
  <c r="E237" i="93"/>
  <c r="D237" i="93"/>
  <c r="C237" i="93"/>
  <c r="B237" i="93"/>
  <c r="H236" i="93"/>
  <c r="G236" i="93"/>
  <c r="F236" i="93"/>
  <c r="E236" i="93"/>
  <c r="D236" i="93"/>
  <c r="C236" i="93"/>
  <c r="B236" i="93"/>
  <c r="H235" i="93"/>
  <c r="G235" i="93"/>
  <c r="F235" i="93"/>
  <c r="E235" i="93"/>
  <c r="D235" i="93"/>
  <c r="C235" i="93"/>
  <c r="B235" i="93"/>
  <c r="H234" i="93"/>
  <c r="G234" i="93"/>
  <c r="F234" i="93"/>
  <c r="E234" i="93"/>
  <c r="D234" i="93"/>
  <c r="C234" i="93"/>
  <c r="B234" i="93"/>
  <c r="H233" i="93"/>
  <c r="G233" i="93"/>
  <c r="F233" i="93"/>
  <c r="E233" i="93"/>
  <c r="D233" i="93"/>
  <c r="C233" i="93"/>
  <c r="B233" i="93"/>
  <c r="C220" i="93"/>
  <c r="D220" i="93"/>
  <c r="E220" i="93"/>
  <c r="F220" i="93"/>
  <c r="G220" i="93"/>
  <c r="H220" i="93"/>
  <c r="C221" i="93"/>
  <c r="D221" i="93"/>
  <c r="E221" i="93"/>
  <c r="F221" i="93"/>
  <c r="G221" i="93"/>
  <c r="H221" i="93"/>
  <c r="B220" i="93"/>
  <c r="B221" i="93"/>
  <c r="G209" i="93"/>
  <c r="F209" i="93"/>
  <c r="E209" i="93"/>
  <c r="D209" i="93"/>
  <c r="C209" i="93"/>
  <c r="B209" i="93"/>
  <c r="G208" i="93"/>
  <c r="F208" i="93"/>
  <c r="E208" i="93"/>
  <c r="D208" i="93"/>
  <c r="C208" i="93"/>
  <c r="B208" i="93"/>
  <c r="G207" i="93"/>
  <c r="F207" i="93"/>
  <c r="E207" i="93"/>
  <c r="D207" i="93"/>
  <c r="C207" i="93"/>
  <c r="B207" i="93"/>
  <c r="G206" i="93"/>
  <c r="F206" i="93"/>
  <c r="E206" i="93"/>
  <c r="D206" i="93"/>
  <c r="C206" i="93"/>
  <c r="B206" i="93"/>
  <c r="G205" i="93"/>
  <c r="F205" i="93"/>
  <c r="E205" i="93"/>
  <c r="D205" i="93"/>
  <c r="C205" i="93"/>
  <c r="B205" i="93"/>
  <c r="C193" i="93"/>
  <c r="D193" i="93"/>
  <c r="E193" i="93"/>
  <c r="F193" i="93"/>
  <c r="G193" i="93"/>
  <c r="H193" i="93"/>
  <c r="B193" i="93"/>
  <c r="G181" i="93"/>
  <c r="F181" i="93"/>
  <c r="E181" i="93"/>
  <c r="D181" i="93"/>
  <c r="C181" i="93"/>
  <c r="B181" i="93"/>
  <c r="G180" i="93"/>
  <c r="F180" i="93"/>
  <c r="E180" i="93"/>
  <c r="D180" i="93"/>
  <c r="C180" i="93"/>
  <c r="B180" i="93"/>
  <c r="G179" i="93"/>
  <c r="F179" i="93"/>
  <c r="E179" i="93"/>
  <c r="D179" i="93"/>
  <c r="C179" i="93"/>
  <c r="B179" i="93"/>
  <c r="G178" i="93"/>
  <c r="F178" i="93"/>
  <c r="E178" i="93"/>
  <c r="D178" i="93"/>
  <c r="C178" i="93"/>
  <c r="B178" i="93"/>
  <c r="G177" i="93"/>
  <c r="F177" i="93"/>
  <c r="E177" i="93"/>
  <c r="D177" i="93"/>
  <c r="C177" i="93"/>
  <c r="B177" i="93"/>
  <c r="C164" i="93"/>
  <c r="D164" i="93"/>
  <c r="E164" i="93"/>
  <c r="F164" i="93"/>
  <c r="G164" i="93"/>
  <c r="H164" i="93"/>
  <c r="C165" i="93"/>
  <c r="D165" i="93"/>
  <c r="E165" i="93"/>
  <c r="F165" i="93"/>
  <c r="G165" i="93"/>
  <c r="H165" i="93"/>
  <c r="B164" i="93"/>
  <c r="B165" i="93"/>
  <c r="G153" i="93"/>
  <c r="F153" i="93"/>
  <c r="E153" i="93"/>
  <c r="D153" i="93"/>
  <c r="C153" i="93"/>
  <c r="B153" i="93"/>
  <c r="G152" i="93"/>
  <c r="F152" i="93"/>
  <c r="E152" i="93"/>
  <c r="D152" i="93"/>
  <c r="C152" i="93"/>
  <c r="B152" i="93"/>
  <c r="G151" i="93"/>
  <c r="F151" i="93"/>
  <c r="E151" i="93"/>
  <c r="D151" i="93"/>
  <c r="C151" i="93"/>
  <c r="B151" i="93"/>
  <c r="G150" i="93"/>
  <c r="F150" i="93"/>
  <c r="E150" i="93"/>
  <c r="D150" i="93"/>
  <c r="C150" i="93"/>
  <c r="B150" i="93"/>
  <c r="G149" i="93"/>
  <c r="F149" i="93"/>
  <c r="E149" i="93"/>
  <c r="D149" i="93"/>
  <c r="C149" i="93"/>
  <c r="B149" i="93"/>
  <c r="G125" i="93"/>
  <c r="F125" i="93"/>
  <c r="E125" i="93"/>
  <c r="D125" i="93"/>
  <c r="C125" i="93"/>
  <c r="B125" i="93"/>
  <c r="G124" i="93"/>
  <c r="F124" i="93"/>
  <c r="E124" i="93"/>
  <c r="D124" i="93"/>
  <c r="C124" i="93"/>
  <c r="B124" i="93"/>
  <c r="G123" i="93"/>
  <c r="F123" i="93"/>
  <c r="E123" i="93"/>
  <c r="D123" i="93"/>
  <c r="C123" i="93"/>
  <c r="B123" i="93"/>
  <c r="G122" i="93"/>
  <c r="F122" i="93"/>
  <c r="E122" i="93"/>
  <c r="D122" i="93"/>
  <c r="C122" i="93"/>
  <c r="B122" i="93"/>
  <c r="G121" i="93"/>
  <c r="F121" i="93"/>
  <c r="E121" i="93"/>
  <c r="D121" i="93"/>
  <c r="C121" i="93"/>
  <c r="B121" i="93"/>
  <c r="H119" i="93"/>
  <c r="G119" i="93"/>
  <c r="F119" i="93"/>
  <c r="E119" i="93"/>
  <c r="D119" i="93"/>
  <c r="C119" i="93"/>
  <c r="B119" i="93"/>
  <c r="H108" i="93"/>
  <c r="H109" i="93"/>
  <c r="C108" i="93"/>
  <c r="D108" i="93"/>
  <c r="E108" i="93"/>
  <c r="F108" i="93"/>
  <c r="G108" i="93"/>
  <c r="C109" i="93"/>
  <c r="D109" i="93"/>
  <c r="E109" i="93"/>
  <c r="F109" i="93"/>
  <c r="G109" i="93"/>
  <c r="B108" i="93"/>
  <c r="B109" i="93"/>
  <c r="C93" i="93"/>
  <c r="D93" i="93"/>
  <c r="E93" i="93"/>
  <c r="F93" i="93"/>
  <c r="G93" i="93"/>
  <c r="C94" i="93"/>
  <c r="D94" i="93"/>
  <c r="E94" i="93"/>
  <c r="F94" i="93"/>
  <c r="G94" i="93"/>
  <c r="C95" i="93"/>
  <c r="D95" i="93"/>
  <c r="E95" i="93"/>
  <c r="F95" i="93"/>
  <c r="G95" i="93"/>
  <c r="C96" i="93"/>
  <c r="D96" i="93"/>
  <c r="E96" i="93"/>
  <c r="F96" i="93"/>
  <c r="G96" i="93"/>
  <c r="C97" i="93"/>
  <c r="D97" i="93"/>
  <c r="E97" i="93"/>
  <c r="F97" i="93"/>
  <c r="G97" i="93"/>
  <c r="B94" i="93"/>
  <c r="B95" i="93"/>
  <c r="B96" i="93"/>
  <c r="B97" i="93"/>
  <c r="B93" i="93"/>
  <c r="C91" i="93"/>
  <c r="D91" i="93"/>
  <c r="E91" i="93"/>
  <c r="F91" i="93"/>
  <c r="G91" i="93"/>
  <c r="H91" i="93"/>
  <c r="B91" i="93"/>
  <c r="C80" i="93"/>
  <c r="D80" i="93"/>
  <c r="E80" i="93"/>
  <c r="F80" i="93"/>
  <c r="G80" i="93"/>
  <c r="H80" i="93"/>
  <c r="C81" i="93"/>
  <c r="D81" i="93"/>
  <c r="E81" i="93"/>
  <c r="F81" i="93"/>
  <c r="G81" i="93"/>
  <c r="H81" i="93"/>
  <c r="B80" i="93"/>
  <c r="B81" i="93"/>
  <c r="C65" i="93"/>
  <c r="D65" i="93"/>
  <c r="E65" i="93"/>
  <c r="F65" i="93"/>
  <c r="G65" i="93"/>
  <c r="C66" i="93"/>
  <c r="D66" i="93"/>
  <c r="E66" i="93"/>
  <c r="F66" i="93"/>
  <c r="G66" i="93"/>
  <c r="C67" i="93"/>
  <c r="D67" i="93"/>
  <c r="E67" i="93"/>
  <c r="F67" i="93"/>
  <c r="G67" i="93"/>
  <c r="C68" i="93"/>
  <c r="D68" i="93"/>
  <c r="E68" i="93"/>
  <c r="F68" i="93"/>
  <c r="G68" i="93"/>
  <c r="C69" i="93"/>
  <c r="D69" i="93"/>
  <c r="E69" i="93"/>
  <c r="F69" i="93"/>
  <c r="G69" i="93"/>
  <c r="B66" i="93"/>
  <c r="B67" i="93"/>
  <c r="B68" i="93"/>
  <c r="B69" i="93"/>
  <c r="B65" i="93"/>
  <c r="C63" i="93"/>
  <c r="D63" i="93"/>
  <c r="E63" i="93"/>
  <c r="F63" i="93"/>
  <c r="G63" i="93"/>
  <c r="H63" i="93"/>
  <c r="B63" i="93"/>
  <c r="C52" i="93"/>
  <c r="D52" i="93"/>
  <c r="E52" i="93"/>
  <c r="F52" i="93"/>
  <c r="G52" i="93"/>
  <c r="H52" i="93"/>
  <c r="C53" i="93"/>
  <c r="D53" i="93"/>
  <c r="E53" i="93"/>
  <c r="F53" i="93"/>
  <c r="G53" i="93"/>
  <c r="H53" i="93"/>
  <c r="B52" i="93"/>
  <c r="B53" i="93"/>
  <c r="C37" i="93"/>
  <c r="D37" i="93"/>
  <c r="E37" i="93"/>
  <c r="F37" i="93"/>
  <c r="G37" i="93"/>
  <c r="C38" i="93"/>
  <c r="D38" i="93"/>
  <c r="E38" i="93"/>
  <c r="F38" i="93"/>
  <c r="G38" i="93"/>
  <c r="C39" i="93"/>
  <c r="D39" i="93"/>
  <c r="E39" i="93"/>
  <c r="F39" i="93"/>
  <c r="G39" i="93"/>
  <c r="C40" i="93"/>
  <c r="D40" i="93"/>
  <c r="E40" i="93"/>
  <c r="F40" i="93"/>
  <c r="G40" i="93"/>
  <c r="C41" i="93"/>
  <c r="D41" i="93"/>
  <c r="E41" i="93"/>
  <c r="F41" i="93"/>
  <c r="G41" i="93"/>
  <c r="B38" i="93"/>
  <c r="B39" i="93"/>
  <c r="B40" i="93"/>
  <c r="B41" i="93"/>
  <c r="B37" i="93"/>
  <c r="C25" i="93"/>
  <c r="D25" i="93"/>
  <c r="E25" i="93"/>
  <c r="F25" i="93"/>
  <c r="G25" i="93"/>
  <c r="H25" i="93"/>
  <c r="B25" i="93"/>
  <c r="AQ44" i="147" l="1"/>
  <c r="AL45" i="147"/>
  <c r="AL44" i="147"/>
  <c r="AH45" i="147"/>
  <c r="AH44" i="147"/>
  <c r="C44" i="147"/>
  <c r="C45" i="147"/>
  <c r="C161" i="93" l="1"/>
  <c r="H76" i="93"/>
  <c r="H133" i="93"/>
  <c r="H160" i="93"/>
  <c r="H173" i="93"/>
  <c r="H117" i="93"/>
  <c r="C133" i="93"/>
  <c r="C160" i="93"/>
  <c r="C173" i="93"/>
  <c r="H285" i="93"/>
  <c r="C117" i="93"/>
  <c r="H216" i="93"/>
  <c r="C285" i="93"/>
  <c r="H116" i="93"/>
  <c r="H229" i="93"/>
  <c r="H256" i="93"/>
  <c r="H273" i="93"/>
  <c r="H284" i="93"/>
  <c r="C76" i="93"/>
  <c r="C116" i="93"/>
  <c r="C229" i="93"/>
  <c r="C256" i="93"/>
  <c r="C273" i="93"/>
  <c r="C284" i="93"/>
  <c r="H89" i="93"/>
  <c r="H228" i="93"/>
  <c r="H272" i="93"/>
  <c r="C89" i="93"/>
  <c r="C228" i="93"/>
  <c r="C272" i="93"/>
  <c r="H88" i="93"/>
  <c r="H201" i="93"/>
  <c r="C88" i="93"/>
  <c r="H103" i="93"/>
  <c r="C201" i="93"/>
  <c r="C103" i="93"/>
  <c r="H200" i="93"/>
  <c r="H161" i="93"/>
  <c r="C200" i="93"/>
  <c r="C20" i="93" l="1"/>
  <c r="H49" i="93"/>
  <c r="C49" i="93"/>
  <c r="H48" i="93"/>
  <c r="C48" i="93"/>
  <c r="H61" i="93"/>
  <c r="C61" i="93"/>
  <c r="H60" i="93"/>
  <c r="C60" i="93"/>
  <c r="H20" i="93"/>
  <c r="E2" i="93"/>
  <c r="E1" i="93"/>
  <c r="E820" i="489" l="1"/>
  <c r="E972" i="489" s="1"/>
  <c r="G651" i="489"/>
  <c r="F651" i="489"/>
  <c r="C288" i="147"/>
  <c r="C287" i="147"/>
  <c r="D287" i="147" s="1"/>
  <c r="C159" i="147"/>
  <c r="G159" i="147" s="1"/>
  <c r="C42" i="489"/>
  <c r="C72" i="489"/>
  <c r="C102" i="489"/>
  <c r="C132" i="489"/>
  <c r="C162" i="489"/>
  <c r="C192" i="489"/>
  <c r="C222" i="489"/>
  <c r="C252" i="489"/>
  <c r="C282" i="489"/>
  <c r="C312" i="489"/>
  <c r="H327" i="147"/>
  <c r="H328" i="147"/>
  <c r="H698" i="147" s="1"/>
  <c r="H326" i="147"/>
  <c r="H137" i="489" s="1"/>
  <c r="H325" i="147"/>
  <c r="H695" i="147" s="1"/>
  <c r="H324" i="147"/>
  <c r="H694" i="147" s="1"/>
  <c r="H323" i="147"/>
  <c r="H693" i="147" s="1"/>
  <c r="H322" i="147"/>
  <c r="H692" i="147" s="1"/>
  <c r="H321" i="147"/>
  <c r="H691" i="147" s="1"/>
  <c r="H320" i="147"/>
  <c r="H690" i="147" s="1"/>
  <c r="H318" i="147"/>
  <c r="H317" i="147"/>
  <c r="H687" i="147" s="1"/>
  <c r="H316" i="147"/>
  <c r="H686" i="147" s="1"/>
  <c r="H315" i="147"/>
  <c r="H685" i="147" s="1"/>
  <c r="H314" i="147"/>
  <c r="H684" i="147" s="1"/>
  <c r="H313" i="147"/>
  <c r="H312" i="147"/>
  <c r="H682" i="147" s="1"/>
  <c r="H311" i="147"/>
  <c r="H681" i="147" s="1"/>
  <c r="H310" i="147"/>
  <c r="H680" i="147" s="1"/>
  <c r="H309" i="147"/>
  <c r="H308" i="147"/>
  <c r="H307" i="147"/>
  <c r="H677" i="147" s="1"/>
  <c r="H306" i="147"/>
  <c r="H676" i="147" s="1"/>
  <c r="H305" i="147"/>
  <c r="H675" i="147" s="1"/>
  <c r="H304" i="147"/>
  <c r="H303" i="147"/>
  <c r="H673" i="147" s="1"/>
  <c r="H302" i="147"/>
  <c r="H672" i="147" s="1"/>
  <c r="H301" i="147"/>
  <c r="H671" i="147" s="1"/>
  <c r="H300" i="147"/>
  <c r="H670" i="147" s="1"/>
  <c r="H299" i="147"/>
  <c r="H669" i="147" s="1"/>
  <c r="H298" i="147"/>
  <c r="H668" i="147" s="1"/>
  <c r="H297" i="147"/>
  <c r="H667" i="147" s="1"/>
  <c r="H296" i="147"/>
  <c r="H666" i="147" s="1"/>
  <c r="H295" i="147"/>
  <c r="H665" i="147" s="1"/>
  <c r="H294" i="147"/>
  <c r="H664" i="147" s="1"/>
  <c r="H293" i="147"/>
  <c r="H292" i="147"/>
  <c r="H291" i="147"/>
  <c r="H290" i="147"/>
  <c r="H289" i="147"/>
  <c r="H659" i="147" s="1"/>
  <c r="H288" i="147"/>
  <c r="H287" i="147"/>
  <c r="H657" i="147" s="1"/>
  <c r="H286" i="147"/>
  <c r="H285" i="147"/>
  <c r="H655" i="147" s="1"/>
  <c r="H284" i="147"/>
  <c r="H654" i="147" s="1"/>
  <c r="H283" i="147"/>
  <c r="H282" i="147"/>
  <c r="H652" i="147" s="1"/>
  <c r="H281" i="147"/>
  <c r="H280" i="147"/>
  <c r="H650" i="147" s="1"/>
  <c r="H279" i="147"/>
  <c r="H649" i="147" s="1"/>
  <c r="H278" i="147"/>
  <c r="H648" i="147" s="1"/>
  <c r="H277" i="147"/>
  <c r="H647" i="147" s="1"/>
  <c r="H276" i="147"/>
  <c r="H646" i="147" s="1"/>
  <c r="H275" i="147"/>
  <c r="H274" i="147"/>
  <c r="H644" i="147" s="1"/>
  <c r="H273" i="147"/>
  <c r="H643" i="147" s="1"/>
  <c r="H272" i="147"/>
  <c r="H271" i="147"/>
  <c r="H641" i="147" s="1"/>
  <c r="H270" i="147"/>
  <c r="H269" i="147"/>
  <c r="H639" i="147" s="1"/>
  <c r="H268" i="147"/>
  <c r="H638" i="147" s="1"/>
  <c r="H267" i="147"/>
  <c r="H637" i="147" s="1"/>
  <c r="H266" i="147"/>
  <c r="H636" i="147" s="1"/>
  <c r="H265" i="147"/>
  <c r="H635" i="147" s="1"/>
  <c r="H264" i="147"/>
  <c r="H263" i="147"/>
  <c r="H262" i="147"/>
  <c r="H632" i="147" s="1"/>
  <c r="H261" i="147"/>
  <c r="H631" i="147" s="1"/>
  <c r="H259" i="147"/>
  <c r="H258" i="147"/>
  <c r="H257" i="147"/>
  <c r="H256" i="147"/>
  <c r="H626" i="147" s="1"/>
  <c r="H255" i="147"/>
  <c r="H625" i="147" s="1"/>
  <c r="H254" i="147"/>
  <c r="H624" i="147" s="1"/>
  <c r="H253" i="147"/>
  <c r="H623" i="147" s="1"/>
  <c r="H252" i="147"/>
  <c r="H251" i="147"/>
  <c r="H621" i="147" s="1"/>
  <c r="H250" i="147"/>
  <c r="H620" i="147" s="1"/>
  <c r="H249" i="147"/>
  <c r="H619" i="147" s="1"/>
  <c r="H248" i="147"/>
  <c r="H618" i="147" s="1"/>
  <c r="H247" i="147"/>
  <c r="H617" i="147" s="1"/>
  <c r="H246" i="147"/>
  <c r="H616" i="147" s="1"/>
  <c r="H245" i="147"/>
  <c r="H244" i="147"/>
  <c r="H614" i="147" s="1"/>
  <c r="H243" i="147"/>
  <c r="H613" i="147" s="1"/>
  <c r="H242" i="147"/>
  <c r="H612" i="147" s="1"/>
  <c r="H241" i="147"/>
  <c r="H611" i="147" s="1"/>
  <c r="H240" i="147"/>
  <c r="H610" i="147" s="1"/>
  <c r="H239" i="147"/>
  <c r="H609" i="147" s="1"/>
  <c r="H237" i="147"/>
  <c r="H607" i="147" s="1"/>
  <c r="H236" i="147"/>
  <c r="H606" i="147" s="1"/>
  <c r="H235" i="147"/>
  <c r="H605" i="147" s="1"/>
  <c r="H234" i="147"/>
  <c r="H604" i="147" s="1"/>
  <c r="H233" i="147"/>
  <c r="H232" i="147"/>
  <c r="H602" i="147" s="1"/>
  <c r="H231" i="147"/>
  <c r="H90" i="489" s="1"/>
  <c r="H230" i="147"/>
  <c r="H228" i="147"/>
  <c r="H227" i="147"/>
  <c r="H226" i="147"/>
  <c r="H596" i="147" s="1"/>
  <c r="H225" i="147"/>
  <c r="H210" i="489" s="1"/>
  <c r="H224" i="147"/>
  <c r="H594" i="147" s="1"/>
  <c r="H223" i="147"/>
  <c r="H593" i="147" s="1"/>
  <c r="H222" i="147"/>
  <c r="H592" i="147" s="1"/>
  <c r="H221" i="147"/>
  <c r="H591" i="147" s="1"/>
  <c r="H220" i="147"/>
  <c r="H590" i="147" s="1"/>
  <c r="H219" i="147"/>
  <c r="H218" i="147"/>
  <c r="H588" i="147" s="1"/>
  <c r="H217" i="147"/>
  <c r="H587" i="147" s="1"/>
  <c r="H216" i="147"/>
  <c r="H586" i="147" s="1"/>
  <c r="H215" i="147"/>
  <c r="H585" i="147" s="1"/>
  <c r="H214" i="147"/>
  <c r="H584" i="147" s="1"/>
  <c r="H213" i="147"/>
  <c r="H583" i="147" s="1"/>
  <c r="H212" i="147"/>
  <c r="H211" i="147"/>
  <c r="H149" i="489" s="1"/>
  <c r="H210" i="147"/>
  <c r="H209" i="147"/>
  <c r="H579" i="147" s="1"/>
  <c r="H208" i="147"/>
  <c r="H578" i="147" s="1"/>
  <c r="H207" i="147"/>
  <c r="H577" i="147" s="1"/>
  <c r="H206" i="147"/>
  <c r="H205" i="147"/>
  <c r="H575" i="147" s="1"/>
  <c r="H204" i="147"/>
  <c r="H574" i="147" s="1"/>
  <c r="H203" i="147"/>
  <c r="H573" i="147" s="1"/>
  <c r="H202" i="147"/>
  <c r="H572" i="147" s="1"/>
  <c r="H201" i="147"/>
  <c r="H571" i="147" s="1"/>
  <c r="H200" i="147"/>
  <c r="H570" i="147" s="1"/>
  <c r="H199" i="147"/>
  <c r="H569" i="147" s="1"/>
  <c r="H198" i="147"/>
  <c r="H196" i="147"/>
  <c r="H566" i="147" s="1"/>
  <c r="H195" i="147"/>
  <c r="H565" i="147" s="1"/>
  <c r="H194" i="147"/>
  <c r="H564" i="147" s="1"/>
  <c r="H193" i="147"/>
  <c r="H192" i="147"/>
  <c r="H29" i="489" s="1"/>
  <c r="H191" i="147"/>
  <c r="H190" i="147"/>
  <c r="H560" i="147" s="1"/>
  <c r="H189" i="147"/>
  <c r="H559" i="147" s="1"/>
  <c r="H188" i="147"/>
  <c r="H558" i="147" s="1"/>
  <c r="H187" i="147"/>
  <c r="H186" i="147"/>
  <c r="H185" i="147"/>
  <c r="H184" i="147"/>
  <c r="H554" i="147" s="1"/>
  <c r="H183" i="147"/>
  <c r="H553" i="147" s="1"/>
  <c r="H182" i="147"/>
  <c r="H552" i="147" s="1"/>
  <c r="H181" i="147"/>
  <c r="H180" i="147"/>
  <c r="H550" i="147" s="1"/>
  <c r="H179" i="147"/>
  <c r="H549" i="147" s="1"/>
  <c r="H178" i="147"/>
  <c r="H548" i="147" s="1"/>
  <c r="H177" i="147"/>
  <c r="H547" i="147" s="1"/>
  <c r="H176" i="147"/>
  <c r="H546" i="147" s="1"/>
  <c r="H175" i="147"/>
  <c r="H545" i="147" s="1"/>
  <c r="H174" i="147"/>
  <c r="H544" i="147" s="1"/>
  <c r="H173" i="147"/>
  <c r="H172" i="147"/>
  <c r="H542" i="147" s="1"/>
  <c r="H171" i="147"/>
  <c r="H541" i="147" s="1"/>
  <c r="H170" i="147"/>
  <c r="H540" i="147" s="1"/>
  <c r="H169" i="147"/>
  <c r="H168" i="147"/>
  <c r="H167" i="147"/>
  <c r="H537" i="147" s="1"/>
  <c r="H166" i="147"/>
  <c r="H536" i="147" s="1"/>
  <c r="H165" i="147"/>
  <c r="H535" i="147" s="1"/>
  <c r="H164" i="147"/>
  <c r="H534" i="147" s="1"/>
  <c r="H163" i="147"/>
  <c r="H533" i="147" s="1"/>
  <c r="H162" i="147"/>
  <c r="H532" i="147" s="1"/>
  <c r="H161" i="147"/>
  <c r="H531" i="147" s="1"/>
  <c r="H160" i="147"/>
  <c r="H159" i="147"/>
  <c r="H529" i="147" s="1"/>
  <c r="H158" i="147"/>
  <c r="H157" i="147"/>
  <c r="H197" i="489" s="1"/>
  <c r="H156" i="147"/>
  <c r="H526" i="147" s="1"/>
  <c r="H155" i="147"/>
  <c r="H154" i="147"/>
  <c r="H524" i="147" s="1"/>
  <c r="H153" i="147"/>
  <c r="H523" i="147" s="1"/>
  <c r="H152" i="147"/>
  <c r="H151" i="147"/>
  <c r="H150" i="147"/>
  <c r="H520" i="147" s="1"/>
  <c r="H149" i="147"/>
  <c r="H148" i="147"/>
  <c r="H180" i="489" s="1"/>
  <c r="H147" i="147"/>
  <c r="H146" i="147"/>
  <c r="H516" i="147" s="1"/>
  <c r="H145" i="147"/>
  <c r="H515" i="147" s="1"/>
  <c r="H144" i="147"/>
  <c r="H514" i="147" s="1"/>
  <c r="H143" i="147"/>
  <c r="H513" i="147" s="1"/>
  <c r="H142" i="147"/>
  <c r="H512" i="147" s="1"/>
  <c r="H141" i="147"/>
  <c r="H511" i="147" s="1"/>
  <c r="H140" i="147"/>
  <c r="H510" i="147" s="1"/>
  <c r="H139" i="147"/>
  <c r="H509" i="147" s="1"/>
  <c r="H138" i="147"/>
  <c r="H508" i="147" s="1"/>
  <c r="H137" i="147"/>
  <c r="H507" i="147" s="1"/>
  <c r="H136" i="147"/>
  <c r="H135" i="147"/>
  <c r="H505" i="147" s="1"/>
  <c r="H134" i="147"/>
  <c r="H504" i="147" s="1"/>
  <c r="H133" i="147"/>
  <c r="H503" i="147" s="1"/>
  <c r="H132" i="147"/>
  <c r="H502" i="147" s="1"/>
  <c r="H131" i="147"/>
  <c r="H107" i="489" s="1"/>
  <c r="H130" i="147"/>
  <c r="H129" i="147"/>
  <c r="H499" i="147" s="1"/>
  <c r="H128" i="147"/>
  <c r="H498" i="147" s="1"/>
  <c r="H127" i="147"/>
  <c r="H497" i="147" s="1"/>
  <c r="H126" i="147"/>
  <c r="H496" i="147" s="1"/>
  <c r="H125" i="147"/>
  <c r="H495" i="147" s="1"/>
  <c r="H124" i="147"/>
  <c r="H123" i="147"/>
  <c r="H493" i="147" s="1"/>
  <c r="H122" i="147"/>
  <c r="H121" i="147"/>
  <c r="H491" i="147" s="1"/>
  <c r="H120" i="147"/>
  <c r="H490" i="147" s="1"/>
  <c r="H119" i="147"/>
  <c r="H489" i="147" s="1"/>
  <c r="H118" i="147"/>
  <c r="H488" i="147" s="1"/>
  <c r="H117" i="147"/>
  <c r="H487" i="147" s="1"/>
  <c r="H116" i="147"/>
  <c r="H486" i="147" s="1"/>
  <c r="H115" i="147"/>
  <c r="H485" i="147" s="1"/>
  <c r="H114" i="147"/>
  <c r="H484" i="147" s="1"/>
  <c r="H113" i="147"/>
  <c r="H483" i="147" s="1"/>
  <c r="H112" i="147"/>
  <c r="H482" i="147" s="1"/>
  <c r="H111" i="147"/>
  <c r="H110" i="147"/>
  <c r="H480" i="147" s="1"/>
  <c r="H109" i="147"/>
  <c r="H479" i="147" s="1"/>
  <c r="H108" i="147"/>
  <c r="H478" i="147" s="1"/>
  <c r="H107" i="147"/>
  <c r="H477" i="147" s="1"/>
  <c r="H106" i="147"/>
  <c r="H476" i="147" s="1"/>
  <c r="H105" i="147"/>
  <c r="H475" i="147" s="1"/>
  <c r="H104" i="147"/>
  <c r="H474" i="147" s="1"/>
  <c r="H103" i="147"/>
  <c r="H473" i="147" s="1"/>
  <c r="H102" i="147"/>
  <c r="H472" i="147" s="1"/>
  <c r="H101" i="147"/>
  <c r="H471" i="147" s="1"/>
  <c r="H100" i="147"/>
  <c r="H470" i="147" s="1"/>
  <c r="H99" i="147"/>
  <c r="H469" i="147" s="1"/>
  <c r="H98" i="147"/>
  <c r="H468" i="147" s="1"/>
  <c r="H97" i="147"/>
  <c r="H467" i="147" s="1"/>
  <c r="H96" i="147"/>
  <c r="H95" i="147"/>
  <c r="H465" i="147" s="1"/>
  <c r="H94" i="147"/>
  <c r="H464" i="147" s="1"/>
  <c r="H93" i="147"/>
  <c r="H463" i="147" s="1"/>
  <c r="H92" i="147"/>
  <c r="H462" i="147" s="1"/>
  <c r="H91" i="147"/>
  <c r="H461" i="147" s="1"/>
  <c r="H90" i="147"/>
  <c r="H460" i="147" s="1"/>
  <c r="H89" i="147"/>
  <c r="H459" i="147" s="1"/>
  <c r="H88" i="147"/>
  <c r="H87" i="147"/>
  <c r="H457" i="147" s="1"/>
  <c r="H86" i="147"/>
  <c r="H456" i="147" s="1"/>
  <c r="H85" i="147"/>
  <c r="H455" i="147" s="1"/>
  <c r="H84" i="147"/>
  <c r="H454" i="147" s="1"/>
  <c r="H83" i="147"/>
  <c r="H453" i="147" s="1"/>
  <c r="H82" i="147"/>
  <c r="H452" i="147" s="1"/>
  <c r="H81" i="147"/>
  <c r="H451" i="147" s="1"/>
  <c r="H80" i="147"/>
  <c r="H79" i="147"/>
  <c r="H78" i="147"/>
  <c r="H448" i="147" s="1"/>
  <c r="H77" i="147"/>
  <c r="H28" i="489" s="1"/>
  <c r="H76" i="147"/>
  <c r="H446" i="147" s="1"/>
  <c r="H75" i="147"/>
  <c r="H445" i="147" s="1"/>
  <c r="H74" i="147"/>
  <c r="H444" i="147" s="1"/>
  <c r="H73" i="147"/>
  <c r="H443" i="147" s="1"/>
  <c r="H72" i="147"/>
  <c r="H442" i="147" s="1"/>
  <c r="H71" i="147"/>
  <c r="H441" i="147" s="1"/>
  <c r="H70" i="147"/>
  <c r="H69" i="147"/>
  <c r="H439" i="147" s="1"/>
  <c r="H68" i="147"/>
  <c r="H438" i="147" s="1"/>
  <c r="H67" i="147"/>
  <c r="H437" i="147" s="1"/>
  <c r="H66" i="147"/>
  <c r="H436" i="147" s="1"/>
  <c r="H65" i="147"/>
  <c r="H435" i="147" s="1"/>
  <c r="H64" i="147"/>
  <c r="H63" i="147"/>
  <c r="H433" i="147" s="1"/>
  <c r="H62" i="147"/>
  <c r="H61" i="147"/>
  <c r="H431" i="147" s="1"/>
  <c r="H60" i="147"/>
  <c r="H430" i="147" s="1"/>
  <c r="H59" i="147"/>
  <c r="H429" i="147" s="1"/>
  <c r="H58" i="147"/>
  <c r="H428" i="147" s="1"/>
  <c r="H57" i="147"/>
  <c r="H427" i="147" s="1"/>
  <c r="H56" i="147"/>
  <c r="H55" i="147"/>
  <c r="H425" i="147" s="1"/>
  <c r="H54" i="147"/>
  <c r="H53" i="147"/>
  <c r="H423" i="147" s="1"/>
  <c r="H52" i="147"/>
  <c r="H208" i="489" s="1"/>
  <c r="H51" i="147"/>
  <c r="H421" i="147" s="1"/>
  <c r="H50" i="147"/>
  <c r="H49" i="147"/>
  <c r="H419" i="147" s="1"/>
  <c r="H48" i="147"/>
  <c r="H418" i="147" s="1"/>
  <c r="H47" i="147"/>
  <c r="H417" i="147" s="1"/>
  <c r="H46" i="147"/>
  <c r="H416" i="147" s="1"/>
  <c r="H45" i="147"/>
  <c r="H44" i="147"/>
  <c r="H414" i="147" s="1"/>
  <c r="H43" i="147"/>
  <c r="H177" i="489" s="1"/>
  <c r="H42" i="147"/>
  <c r="H41" i="147"/>
  <c r="H411" i="147" s="1"/>
  <c r="H40" i="147"/>
  <c r="H410" i="147" s="1"/>
  <c r="H39" i="147"/>
  <c r="H409" i="147" s="1"/>
  <c r="H38" i="147"/>
  <c r="H37" i="147"/>
  <c r="H36" i="147"/>
  <c r="H406" i="147" s="1"/>
  <c r="H35" i="147"/>
  <c r="H405" i="147" s="1"/>
  <c r="H34" i="147"/>
  <c r="H117" i="489" s="1"/>
  <c r="H33" i="147"/>
  <c r="H403" i="147" s="1"/>
  <c r="H32" i="147"/>
  <c r="H402" i="147" s="1"/>
  <c r="H31" i="147"/>
  <c r="H401" i="147" s="1"/>
  <c r="H30" i="147"/>
  <c r="H29" i="147"/>
  <c r="H399" i="147" s="1"/>
  <c r="H28" i="147"/>
  <c r="H398" i="147" s="1"/>
  <c r="H27" i="147"/>
  <c r="H397" i="147" s="1"/>
  <c r="H26" i="147"/>
  <c r="H396" i="147" s="1"/>
  <c r="H25" i="147"/>
  <c r="H24" i="147"/>
  <c r="H23" i="147"/>
  <c r="H393" i="147" s="1"/>
  <c r="H22" i="147"/>
  <c r="H21" i="147"/>
  <c r="H20" i="147"/>
  <c r="H390" i="147" s="1"/>
  <c r="H19" i="147"/>
  <c r="H389" i="147" s="1"/>
  <c r="H18" i="147"/>
  <c r="H388" i="147" s="1"/>
  <c r="H17" i="147"/>
  <c r="H387" i="147" s="1"/>
  <c r="H16" i="147"/>
  <c r="H15" i="147"/>
  <c r="H14" i="147"/>
  <c r="H384" i="147" s="1"/>
  <c r="H13" i="147"/>
  <c r="H12" i="147"/>
  <c r="H382" i="147" s="1"/>
  <c r="H11" i="147"/>
  <c r="H381" i="147" s="1"/>
  <c r="H10" i="147"/>
  <c r="H380" i="147" s="1"/>
  <c r="H9" i="147"/>
  <c r="H379" i="147" s="1"/>
  <c r="H8" i="147"/>
  <c r="H378" i="147" s="1"/>
  <c r="H7" i="147"/>
  <c r="H6" i="147"/>
  <c r="H376" i="147" s="1"/>
  <c r="H5" i="147"/>
  <c r="H375" i="147" s="1"/>
  <c r="H736" i="147"/>
  <c r="H735" i="147"/>
  <c r="H734" i="147"/>
  <c r="H733" i="147"/>
  <c r="H732" i="147"/>
  <c r="H731" i="147"/>
  <c r="H730" i="147"/>
  <c r="H729" i="147"/>
  <c r="H728" i="147"/>
  <c r="H727" i="147"/>
  <c r="H726" i="147"/>
  <c r="H725" i="147"/>
  <c r="H724" i="147"/>
  <c r="H723" i="147"/>
  <c r="H722" i="147"/>
  <c r="H721" i="147"/>
  <c r="H720" i="147"/>
  <c r="H719" i="147"/>
  <c r="H718" i="147"/>
  <c r="H717" i="147"/>
  <c r="H716" i="147"/>
  <c r="H715" i="147"/>
  <c r="H714" i="147"/>
  <c r="H713" i="147"/>
  <c r="H712" i="147"/>
  <c r="H711" i="147"/>
  <c r="H710" i="147"/>
  <c r="H709" i="147"/>
  <c r="H708" i="147"/>
  <c r="H707" i="147"/>
  <c r="H706" i="147"/>
  <c r="H705" i="147"/>
  <c r="H704" i="147"/>
  <c r="H703" i="147"/>
  <c r="H702" i="147"/>
  <c r="H701" i="147"/>
  <c r="H700" i="147"/>
  <c r="H699" i="147"/>
  <c r="H688" i="147"/>
  <c r="H608" i="147"/>
  <c r="I329" i="147"/>
  <c r="I330" i="147"/>
  <c r="I331" i="147"/>
  <c r="I332" i="147"/>
  <c r="I333" i="147"/>
  <c r="I334" i="147"/>
  <c r="I335" i="147"/>
  <c r="I336" i="147"/>
  <c r="I337" i="147"/>
  <c r="I338" i="147"/>
  <c r="I339" i="147"/>
  <c r="I340" i="147"/>
  <c r="I341" i="147"/>
  <c r="I342" i="147"/>
  <c r="I344" i="147"/>
  <c r="I345" i="147"/>
  <c r="I346" i="147"/>
  <c r="I347" i="147"/>
  <c r="I348" i="147"/>
  <c r="I349" i="147"/>
  <c r="I350" i="147"/>
  <c r="I351" i="147"/>
  <c r="I352" i="147"/>
  <c r="I353" i="147"/>
  <c r="I354" i="147"/>
  <c r="I355" i="147"/>
  <c r="I356" i="147"/>
  <c r="I357" i="147"/>
  <c r="I358" i="147"/>
  <c r="I359" i="147"/>
  <c r="I360" i="147"/>
  <c r="I361" i="147"/>
  <c r="I362" i="147"/>
  <c r="I363" i="147"/>
  <c r="I364" i="147"/>
  <c r="I365" i="147"/>
  <c r="I366" i="147"/>
  <c r="I48" i="489" s="1"/>
  <c r="I46" i="93" s="1"/>
  <c r="H581" i="147" l="1"/>
  <c r="H148" i="489"/>
  <c r="H140" i="93" s="1"/>
  <c r="H392" i="147"/>
  <c r="H27" i="489"/>
  <c r="H500" i="147"/>
  <c r="H167" i="489"/>
  <c r="H466" i="147"/>
  <c r="H77" i="489"/>
  <c r="I201" i="489"/>
  <c r="I189" i="93" s="1"/>
  <c r="I51" i="489"/>
  <c r="I49" i="93" s="1"/>
  <c r="I171" i="489"/>
  <c r="I161" i="93" s="1"/>
  <c r="I21" i="489"/>
  <c r="I21" i="93" s="1"/>
  <c r="H198" i="489"/>
  <c r="H168" i="489"/>
  <c r="H138" i="489"/>
  <c r="H130" i="93" s="1"/>
  <c r="H79" i="489"/>
  <c r="H108" i="489"/>
  <c r="H52" i="489"/>
  <c r="H19" i="489"/>
  <c r="H150" i="489"/>
  <c r="H211" i="489"/>
  <c r="H121" i="489"/>
  <c r="H115" i="93" s="1"/>
  <c r="H31" i="489"/>
  <c r="I183" i="489"/>
  <c r="I173" i="93" s="1"/>
  <c r="I152" i="489"/>
  <c r="I144" i="93" s="1"/>
  <c r="I213" i="489"/>
  <c r="I201" i="93" s="1"/>
  <c r="I123" i="489"/>
  <c r="I117" i="93" s="1"/>
  <c r="I93" i="489"/>
  <c r="I89" i="93" s="1"/>
  <c r="I33" i="489"/>
  <c r="I33" i="93" s="1"/>
  <c r="I63" i="489"/>
  <c r="I61" i="93" s="1"/>
  <c r="H420" i="147"/>
  <c r="H207" i="489"/>
  <c r="H87" i="489"/>
  <c r="H178" i="489"/>
  <c r="H118" i="489"/>
  <c r="H179" i="489"/>
  <c r="H59" i="489"/>
  <c r="I109" i="489"/>
  <c r="I103" i="93" s="1"/>
  <c r="I80" i="489"/>
  <c r="I76" i="93" s="1"/>
  <c r="H78" i="489"/>
  <c r="H169" i="489"/>
  <c r="H481" i="147"/>
  <c r="H30" i="489"/>
  <c r="H120" i="489"/>
  <c r="H60" i="489"/>
  <c r="H82" i="489"/>
  <c r="H22" i="489"/>
  <c r="I212" i="489"/>
  <c r="I200" i="93" s="1"/>
  <c r="I122" i="489"/>
  <c r="I116" i="93" s="1"/>
  <c r="I182" i="489"/>
  <c r="I172" i="93" s="1"/>
  <c r="I151" i="489"/>
  <c r="I143" i="93" s="1"/>
  <c r="I62" i="489"/>
  <c r="I60" i="93" s="1"/>
  <c r="I92" i="489"/>
  <c r="I88" i="93" s="1"/>
  <c r="I32" i="489"/>
  <c r="I32" i="93" s="1"/>
  <c r="H199" i="489"/>
  <c r="H434" i="147"/>
  <c r="H58" i="489"/>
  <c r="H506" i="147"/>
  <c r="H17" i="489"/>
  <c r="H530" i="147"/>
  <c r="H181" i="489"/>
  <c r="H61" i="489"/>
  <c r="H91" i="489"/>
  <c r="I200" i="489"/>
  <c r="I188" i="93" s="1"/>
  <c r="I50" i="489"/>
  <c r="I48" i="93" s="1"/>
  <c r="I170" i="489"/>
  <c r="I160" i="93" s="1"/>
  <c r="I20" i="489"/>
  <c r="I20" i="93" s="1"/>
  <c r="H519" i="147"/>
  <c r="H119" i="489"/>
  <c r="H424" i="147"/>
  <c r="H88" i="489"/>
  <c r="H110" i="489"/>
  <c r="H172" i="489"/>
  <c r="H81" i="489"/>
  <c r="H202" i="489"/>
  <c r="H49" i="489"/>
  <c r="H18" i="489"/>
  <c r="H525" i="147"/>
  <c r="I184" i="489"/>
  <c r="I174" i="93" s="1"/>
  <c r="I124" i="489"/>
  <c r="I118" i="93" s="1"/>
  <c r="I64" i="489"/>
  <c r="I62" i="93" s="1"/>
  <c r="H557" i="147"/>
  <c r="H209" i="489"/>
  <c r="H522" i="147"/>
  <c r="H47" i="489"/>
  <c r="H391" i="147"/>
  <c r="H147" i="489"/>
  <c r="H518" i="147"/>
  <c r="H551" i="147"/>
  <c r="H386" i="147"/>
  <c r="H395" i="147"/>
  <c r="H628" i="147"/>
  <c r="H90" i="93"/>
  <c r="H658" i="147"/>
  <c r="H595" i="147"/>
  <c r="H426" i="147"/>
  <c r="H634" i="147"/>
  <c r="H450" i="147"/>
  <c r="H556" i="147"/>
  <c r="H697" i="147"/>
  <c r="H189" i="93"/>
  <c r="H394" i="147"/>
  <c r="H400" i="147"/>
  <c r="H422" i="147"/>
  <c r="H458" i="147"/>
  <c r="H494" i="147"/>
  <c r="H589" i="147"/>
  <c r="H678" i="147"/>
  <c r="H377" i="147"/>
  <c r="H449" i="147"/>
  <c r="H543" i="147"/>
  <c r="H555" i="147"/>
  <c r="H576" i="147"/>
  <c r="H601" i="147"/>
  <c r="H603" i="147"/>
  <c r="H663" i="147"/>
  <c r="H679" i="147"/>
  <c r="H622" i="147"/>
  <c r="H683" i="147"/>
  <c r="H660" i="147"/>
  <c r="H661" i="147"/>
  <c r="H383" i="147"/>
  <c r="H527" i="147"/>
  <c r="H539" i="147"/>
  <c r="F288" i="147"/>
  <c r="H385" i="147"/>
  <c r="C323" i="489"/>
  <c r="H615" i="147"/>
  <c r="H656" i="147"/>
  <c r="H447" i="147"/>
  <c r="H404" i="147"/>
  <c r="H597" i="147"/>
  <c r="H561" i="147"/>
  <c r="H407" i="147"/>
  <c r="H563" i="147"/>
  <c r="H651" i="147"/>
  <c r="H175" i="93"/>
  <c r="H642" i="147"/>
  <c r="H629" i="147"/>
  <c r="H242" i="93"/>
  <c r="H281" i="93"/>
  <c r="H255" i="93"/>
  <c r="H224" i="93"/>
  <c r="H415" i="147"/>
  <c r="E288" i="147"/>
  <c r="H517" i="147"/>
  <c r="H653" i="147"/>
  <c r="H440" i="147"/>
  <c r="H645" i="147"/>
  <c r="G288" i="147"/>
  <c r="D288" i="147"/>
  <c r="H696" i="147"/>
  <c r="D159" i="147"/>
  <c r="E287" i="147"/>
  <c r="F287" i="147"/>
  <c r="G287" i="147"/>
  <c r="H568" i="147"/>
  <c r="E159" i="147"/>
  <c r="F159" i="147"/>
  <c r="H580" i="147"/>
  <c r="H412" i="147"/>
  <c r="H413" i="147"/>
  <c r="H521" i="147"/>
  <c r="H582" i="147"/>
  <c r="H633" i="147"/>
  <c r="H501" i="147"/>
  <c r="H598" i="147"/>
  <c r="H538" i="147"/>
  <c r="H562" i="147"/>
  <c r="H600" i="147"/>
  <c r="H662" i="147"/>
  <c r="H674" i="147"/>
  <c r="H408" i="147"/>
  <c r="H432" i="147"/>
  <c r="H627" i="147"/>
  <c r="H640" i="147"/>
  <c r="E661" i="489"/>
  <c r="E662" i="489" s="1"/>
  <c r="E502" i="489"/>
  <c r="E614" i="489" s="1"/>
  <c r="E821" i="489"/>
  <c r="E923" i="489"/>
  <c r="E947" i="489"/>
  <c r="E835" i="489"/>
  <c r="E849" i="489"/>
  <c r="E861" i="489"/>
  <c r="E873" i="489"/>
  <c r="E887" i="489"/>
  <c r="E899" i="489"/>
  <c r="E911" i="489"/>
  <c r="E935" i="489"/>
  <c r="E959" i="489"/>
  <c r="E830" i="489"/>
  <c r="E836" i="489"/>
  <c r="E850" i="489"/>
  <c r="E862" i="489"/>
  <c r="E874" i="489"/>
  <c r="E888" i="489"/>
  <c r="E900" i="489"/>
  <c r="E912" i="489"/>
  <c r="E924" i="489"/>
  <c r="E936" i="489"/>
  <c r="E948" i="489"/>
  <c r="E960" i="489"/>
  <c r="E829" i="489"/>
  <c r="E837" i="489"/>
  <c r="E851" i="489"/>
  <c r="E863" i="489"/>
  <c r="E875" i="489"/>
  <c r="E889" i="489"/>
  <c r="E901" i="489"/>
  <c r="E913" i="489"/>
  <c r="E925" i="489"/>
  <c r="E937" i="489"/>
  <c r="E949" i="489"/>
  <c r="E961" i="489"/>
  <c r="E828" i="489"/>
  <c r="E838" i="489"/>
  <c r="E852" i="489"/>
  <c r="E864" i="489"/>
  <c r="E876" i="489"/>
  <c r="E890" i="489"/>
  <c r="E902" i="489"/>
  <c r="E914" i="489"/>
  <c r="E926" i="489"/>
  <c r="E938" i="489"/>
  <c r="E950" i="489"/>
  <c r="E962" i="489"/>
  <c r="E827" i="489"/>
  <c r="E839" i="489"/>
  <c r="E853" i="489"/>
  <c r="E865" i="489"/>
  <c r="E877" i="489"/>
  <c r="E891" i="489"/>
  <c r="E903" i="489"/>
  <c r="E915" i="489"/>
  <c r="E927" i="489"/>
  <c r="E939" i="489"/>
  <c r="E951" i="489"/>
  <c r="E963" i="489"/>
  <c r="E826" i="489"/>
  <c r="E840" i="489"/>
  <c r="E854" i="489"/>
  <c r="E866" i="489"/>
  <c r="E878" i="489"/>
  <c r="E892" i="489"/>
  <c r="E904" i="489"/>
  <c r="E916" i="489"/>
  <c r="E928" i="489"/>
  <c r="E940" i="489"/>
  <c r="E952" i="489"/>
  <c r="E964" i="489"/>
  <c r="E825" i="489"/>
  <c r="E841" i="489"/>
  <c r="E855" i="489"/>
  <c r="E867" i="489"/>
  <c r="E879" i="489"/>
  <c r="E893" i="489"/>
  <c r="E905" i="489"/>
  <c r="E917" i="489"/>
  <c r="E929" i="489"/>
  <c r="E941" i="489"/>
  <c r="E953" i="489"/>
  <c r="E965" i="489"/>
  <c r="E824" i="489"/>
  <c r="E842" i="489"/>
  <c r="E856" i="489"/>
  <c r="E868" i="489"/>
  <c r="E880" i="489"/>
  <c r="E894" i="489"/>
  <c r="E906" i="489"/>
  <c r="E918" i="489"/>
  <c r="E930" i="489"/>
  <c r="E942" i="489"/>
  <c r="E954" i="489"/>
  <c r="E966" i="489"/>
  <c r="E823" i="489"/>
  <c r="E843" i="489"/>
  <c r="E857" i="489"/>
  <c r="E869" i="489"/>
  <c r="E881" i="489"/>
  <c r="E895" i="489"/>
  <c r="E907" i="489"/>
  <c r="E919" i="489"/>
  <c r="E931" i="489"/>
  <c r="E943" i="489"/>
  <c r="E955" i="489"/>
  <c r="E967" i="489"/>
  <c r="E822" i="489"/>
  <c r="E846" i="489"/>
  <c r="E858" i="489"/>
  <c r="E870" i="489"/>
  <c r="E882" i="489"/>
  <c r="E896" i="489"/>
  <c r="E908" i="489"/>
  <c r="E920" i="489"/>
  <c r="E932" i="489"/>
  <c r="E944" i="489"/>
  <c r="E956" i="489"/>
  <c r="E970" i="489"/>
  <c r="E833" i="489"/>
  <c r="E847" i="489"/>
  <c r="E859" i="489"/>
  <c r="E871" i="489"/>
  <c r="E883" i="489"/>
  <c r="E897" i="489"/>
  <c r="E909" i="489"/>
  <c r="E921" i="489"/>
  <c r="E933" i="489"/>
  <c r="E945" i="489"/>
  <c r="E957" i="489"/>
  <c r="E971" i="489"/>
  <c r="E834" i="489"/>
  <c r="E848" i="489"/>
  <c r="E860" i="489"/>
  <c r="E872" i="489"/>
  <c r="E884" i="489"/>
  <c r="E898" i="489"/>
  <c r="E910" i="489"/>
  <c r="E922" i="489"/>
  <c r="E934" i="489"/>
  <c r="E946" i="489"/>
  <c r="E958" i="489"/>
  <c r="C318" i="489"/>
  <c r="H492" i="147"/>
  <c r="H528" i="147"/>
  <c r="I42" i="489"/>
  <c r="I72" i="489"/>
  <c r="I102" i="489"/>
  <c r="I132" i="489"/>
  <c r="I162" i="489"/>
  <c r="I192" i="489"/>
  <c r="I222" i="489"/>
  <c r="I252" i="489"/>
  <c r="I282" i="489"/>
  <c r="I312" i="489"/>
  <c r="E684" i="489" l="1"/>
  <c r="E682" i="489"/>
  <c r="E688" i="489"/>
  <c r="H56" i="93"/>
  <c r="E535" i="489"/>
  <c r="E634" i="489"/>
  <c r="E520" i="489"/>
  <c r="E565" i="489"/>
  <c r="H104" i="93"/>
  <c r="H192" i="93"/>
  <c r="H188" i="93"/>
  <c r="E665" i="489"/>
  <c r="E678" i="489"/>
  <c r="E700" i="489"/>
  <c r="E755" i="489"/>
  <c r="E669" i="489"/>
  <c r="E668" i="489"/>
  <c r="E712" i="489"/>
  <c r="E705" i="489"/>
  <c r="E675" i="489"/>
  <c r="E683" i="489"/>
  <c r="E724" i="489"/>
  <c r="E780" i="489"/>
  <c r="E670" i="489"/>
  <c r="E679" i="489"/>
  <c r="E666" i="489"/>
  <c r="E664" i="489"/>
  <c r="E812" i="489"/>
  <c r="E775" i="489"/>
  <c r="E781" i="489"/>
  <c r="E802" i="489"/>
  <c r="E681" i="489"/>
  <c r="E738" i="489"/>
  <c r="E725" i="489"/>
  <c r="E782" i="489"/>
  <c r="E671" i="489"/>
  <c r="E750" i="489"/>
  <c r="E677" i="489"/>
  <c r="E762" i="489"/>
  <c r="E674" i="489"/>
  <c r="E774" i="489"/>
  <c r="E788" i="489"/>
  <c r="E676" i="489"/>
  <c r="E667" i="489"/>
  <c r="E786" i="489"/>
  <c r="E777" i="489"/>
  <c r="E680" i="489"/>
  <c r="E663" i="489"/>
  <c r="E798" i="489"/>
  <c r="E730" i="489"/>
  <c r="H79" i="93"/>
  <c r="H75" i="93"/>
  <c r="H145" i="93"/>
  <c r="H22" i="93"/>
  <c r="H132" i="93"/>
  <c r="H270" i="93"/>
  <c r="H215" i="93"/>
  <c r="H213" i="93"/>
  <c r="H219" i="93"/>
  <c r="H137" i="93"/>
  <c r="H245" i="93"/>
  <c r="H249" i="93"/>
  <c r="H258" i="93"/>
  <c r="H231" i="93"/>
  <c r="H33" i="93"/>
  <c r="H136" i="93"/>
  <c r="H19" i="93"/>
  <c r="I323" i="489"/>
  <c r="E508" i="489"/>
  <c r="E560" i="489"/>
  <c r="E615" i="489"/>
  <c r="E585" i="489"/>
  <c r="E509" i="489"/>
  <c r="E597" i="489"/>
  <c r="E574" i="489"/>
  <c r="E654" i="489"/>
  <c r="E609" i="489"/>
  <c r="E586" i="489"/>
  <c r="E575" i="489"/>
  <c r="E640" i="489"/>
  <c r="E621" i="489"/>
  <c r="E598" i="489"/>
  <c r="E647" i="489"/>
  <c r="E633" i="489"/>
  <c r="E610" i="489"/>
  <c r="E593" i="489"/>
  <c r="E645" i="489"/>
  <c r="E622" i="489"/>
  <c r="E543" i="489"/>
  <c r="E516" i="489"/>
  <c r="E547" i="489"/>
  <c r="E646" i="489"/>
  <c r="E559" i="489"/>
  <c r="E536" i="489"/>
  <c r="E519" i="489"/>
  <c r="E548" i="489"/>
  <c r="H248" i="93"/>
  <c r="H257" i="93"/>
  <c r="H244" i="93"/>
  <c r="I7" i="310"/>
  <c r="H32" i="93"/>
  <c r="H144" i="93"/>
  <c r="H35" i="93"/>
  <c r="H172" i="93"/>
  <c r="H203" i="93"/>
  <c r="H147" i="93"/>
  <c r="E763" i="489"/>
  <c r="E776" i="489"/>
  <c r="E765" i="489"/>
  <c r="E790" i="489"/>
  <c r="E693" i="489"/>
  <c r="E718" i="489"/>
  <c r="E719" i="489"/>
  <c r="E720" i="489"/>
  <c r="E721" i="489"/>
  <c r="E710" i="489"/>
  <c r="E787" i="489"/>
  <c r="E800" i="489"/>
  <c r="E789" i="489"/>
  <c r="E692" i="489"/>
  <c r="E717" i="489"/>
  <c r="E761" i="489"/>
  <c r="E799" i="489"/>
  <c r="E690" i="489"/>
  <c r="E801" i="489"/>
  <c r="E704" i="489"/>
  <c r="E732" i="489"/>
  <c r="E733" i="489"/>
  <c r="E734" i="489"/>
  <c r="E735" i="489"/>
  <c r="E711" i="489"/>
  <c r="E689" i="489"/>
  <c r="E702" i="489"/>
  <c r="E691" i="489"/>
  <c r="E716" i="489"/>
  <c r="E744" i="489"/>
  <c r="E745" i="489"/>
  <c r="E746" i="489"/>
  <c r="E747" i="489"/>
  <c r="E737" i="489"/>
  <c r="E624" i="489"/>
  <c r="E701" i="489"/>
  <c r="E714" i="489"/>
  <c r="E703" i="489"/>
  <c r="E731" i="489"/>
  <c r="E756" i="489"/>
  <c r="E757" i="489"/>
  <c r="E758" i="489"/>
  <c r="E759" i="489"/>
  <c r="E728" i="489"/>
  <c r="E713" i="489"/>
  <c r="E687" i="489"/>
  <c r="E715" i="489"/>
  <c r="E743" i="489"/>
  <c r="E768" i="489"/>
  <c r="E769" i="489"/>
  <c r="E770" i="489"/>
  <c r="E771" i="489"/>
  <c r="E613" i="489"/>
  <c r="E772" i="489"/>
  <c r="E783" i="489"/>
  <c r="E722" i="489"/>
  <c r="E811" i="489"/>
  <c r="E742" i="489"/>
  <c r="E767" i="489"/>
  <c r="E792" i="489"/>
  <c r="E793" i="489"/>
  <c r="E794" i="489"/>
  <c r="E795" i="489"/>
  <c r="E749" i="489"/>
  <c r="E813" i="489"/>
  <c r="E740" i="489"/>
  <c r="E729" i="489"/>
  <c r="E754" i="489"/>
  <c r="E779" i="489"/>
  <c r="E804" i="489"/>
  <c r="E805" i="489"/>
  <c r="E806" i="489"/>
  <c r="E807" i="489"/>
  <c r="E699" i="489"/>
  <c r="E723" i="489"/>
  <c r="E739" i="489"/>
  <c r="E752" i="489"/>
  <c r="E741" i="489"/>
  <c r="E766" i="489"/>
  <c r="E791" i="489"/>
  <c r="E694" i="489"/>
  <c r="E695" i="489"/>
  <c r="E696" i="489"/>
  <c r="E697" i="489"/>
  <c r="E751" i="489"/>
  <c r="E764" i="489"/>
  <c r="E753" i="489"/>
  <c r="E778" i="489"/>
  <c r="E803" i="489"/>
  <c r="E706" i="489"/>
  <c r="E707" i="489"/>
  <c r="E708" i="489"/>
  <c r="E709" i="489"/>
  <c r="E760" i="489"/>
  <c r="E784" i="489"/>
  <c r="E635" i="489"/>
  <c r="E553" i="489"/>
  <c r="E515" i="489"/>
  <c r="E581" i="489"/>
  <c r="E606" i="489"/>
  <c r="E637" i="489"/>
  <c r="E649" i="489"/>
  <c r="E618" i="489"/>
  <c r="E545" i="489"/>
  <c r="E557" i="489"/>
  <c r="E583" i="489"/>
  <c r="E537" i="489"/>
  <c r="E525" i="489"/>
  <c r="E580" i="489"/>
  <c r="E605" i="489"/>
  <c r="E630" i="489"/>
  <c r="E522" i="489"/>
  <c r="E584" i="489"/>
  <c r="E511" i="489"/>
  <c r="E797" i="489"/>
  <c r="E549" i="489"/>
  <c r="E653" i="489"/>
  <c r="E592" i="489"/>
  <c r="E617" i="489"/>
  <c r="E642" i="489"/>
  <c r="E619" i="489"/>
  <c r="E773" i="489"/>
  <c r="E561" i="489"/>
  <c r="E577" i="489"/>
  <c r="E579" i="489"/>
  <c r="E604" i="489"/>
  <c r="E629" i="489"/>
  <c r="E532" i="489"/>
  <c r="E648" i="489"/>
  <c r="E521" i="489"/>
  <c r="E576" i="489"/>
  <c r="E589" i="489"/>
  <c r="E591" i="489"/>
  <c r="E616" i="489"/>
  <c r="E641" i="489"/>
  <c r="E544" i="489"/>
  <c r="E552" i="489"/>
  <c r="E563" i="489"/>
  <c r="E510" i="489"/>
  <c r="E601" i="489"/>
  <c r="E603" i="489"/>
  <c r="E628" i="489"/>
  <c r="E531" i="489"/>
  <c r="E556" i="489"/>
  <c r="E578" i="489"/>
  <c r="E507" i="489"/>
  <c r="E590" i="489"/>
  <c r="E587" i="489"/>
  <c r="E627" i="489"/>
  <c r="E530" i="489"/>
  <c r="E555" i="489"/>
  <c r="E505" i="489"/>
  <c r="E643" i="489"/>
  <c r="E569" i="489"/>
  <c r="E599" i="489"/>
  <c r="E639" i="489"/>
  <c r="E542" i="489"/>
  <c r="E528" i="489"/>
  <c r="E570" i="489"/>
  <c r="E550" i="489"/>
  <c r="E558" i="489"/>
  <c r="E785" i="489"/>
  <c r="E611" i="489"/>
  <c r="E529" i="489"/>
  <c r="E554" i="489"/>
  <c r="E504" i="489"/>
  <c r="E582" i="489"/>
  <c r="E571" i="489"/>
  <c r="E524" i="489"/>
  <c r="E588" i="489"/>
  <c r="E512" i="489"/>
  <c r="E623" i="489"/>
  <c r="E541" i="489"/>
  <c r="E566" i="489"/>
  <c r="E652" i="489"/>
  <c r="E594" i="489"/>
  <c r="E608" i="489"/>
  <c r="E620" i="489"/>
  <c r="E517" i="489"/>
  <c r="E595" i="489"/>
  <c r="E808" i="489"/>
  <c r="E625" i="489"/>
  <c r="E518" i="489"/>
  <c r="E698" i="489"/>
  <c r="E533" i="489"/>
  <c r="E600" i="489"/>
  <c r="E562" i="489"/>
  <c r="E631" i="489"/>
  <c r="E572" i="489"/>
  <c r="E503" i="489"/>
  <c r="E538" i="489"/>
  <c r="E523" i="489"/>
  <c r="E564" i="489"/>
  <c r="E607" i="489"/>
  <c r="E596" i="489"/>
  <c r="E602" i="489"/>
  <c r="E736" i="489"/>
  <c r="E626" i="489"/>
  <c r="E632" i="489"/>
  <c r="E748" i="489"/>
  <c r="E534" i="489"/>
  <c r="E539" i="489"/>
  <c r="E796" i="489"/>
  <c r="H163" i="93"/>
  <c r="H168" i="93"/>
  <c r="H55" i="93"/>
  <c r="H58" i="93"/>
  <c r="H252" i="93"/>
  <c r="H45" i="93"/>
  <c r="H174" i="93"/>
  <c r="H24" i="93"/>
  <c r="H167" i="93"/>
  <c r="H101" i="93"/>
  <c r="H187" i="93"/>
  <c r="H157" i="93"/>
  <c r="H282" i="93"/>
  <c r="H34" i="93"/>
  <c r="H27" i="93"/>
  <c r="H105" i="93"/>
  <c r="H113" i="93"/>
  <c r="H279" i="93"/>
  <c r="H107" i="93"/>
  <c r="H146" i="93"/>
  <c r="H251" i="93"/>
  <c r="H131" i="93"/>
  <c r="H271" i="93"/>
  <c r="H47" i="93"/>
  <c r="H50" i="93"/>
  <c r="H118" i="93"/>
  <c r="H106" i="93"/>
  <c r="H59" i="93"/>
  <c r="H84" i="93"/>
  <c r="H230" i="93"/>
  <c r="H31" i="93"/>
  <c r="H86" i="93"/>
  <c r="H77" i="93"/>
  <c r="H191" i="93"/>
  <c r="H274" i="93"/>
  <c r="H286" i="93"/>
  <c r="H87" i="93"/>
  <c r="H280" i="93"/>
  <c r="H114" i="93"/>
  <c r="H135" i="93"/>
  <c r="H254" i="93"/>
  <c r="H23" i="93"/>
  <c r="H226" i="93"/>
  <c r="H30" i="93"/>
  <c r="H134" i="93"/>
  <c r="H202" i="93"/>
  <c r="H190" i="93"/>
  <c r="H227" i="93"/>
  <c r="H112" i="93"/>
  <c r="H102" i="93"/>
  <c r="H218" i="93"/>
  <c r="H143" i="93"/>
  <c r="H198" i="93"/>
  <c r="H217" i="93"/>
  <c r="H73" i="93"/>
  <c r="E540" i="489"/>
  <c r="H283" i="93"/>
  <c r="H196" i="93"/>
  <c r="H17" i="93"/>
  <c r="H246" i="93"/>
  <c r="H74" i="93"/>
  <c r="H18" i="93"/>
  <c r="H162" i="93"/>
  <c r="H214" i="93"/>
  <c r="H141" i="93"/>
  <c r="H171" i="93"/>
  <c r="H129" i="93"/>
  <c r="H46" i="93"/>
  <c r="H199" i="93"/>
  <c r="H83" i="93"/>
  <c r="H78" i="93"/>
  <c r="H253" i="93"/>
  <c r="H195" i="93"/>
  <c r="H51" i="93"/>
  <c r="H185" i="93"/>
  <c r="H57" i="93"/>
  <c r="H29" i="93"/>
  <c r="H158" i="93"/>
  <c r="H139" i="93"/>
  <c r="H111" i="93"/>
  <c r="H62" i="93"/>
  <c r="H247" i="93"/>
  <c r="H85" i="93"/>
  <c r="H169" i="93"/>
  <c r="H223" i="93"/>
  <c r="H170" i="93"/>
  <c r="H21" i="93"/>
  <c r="H159" i="93"/>
  <c r="H275" i="93"/>
  <c r="H197" i="93"/>
  <c r="H225" i="93"/>
  <c r="H186" i="93"/>
  <c r="H241" i="93"/>
  <c r="H243" i="93"/>
  <c r="H269" i="93"/>
  <c r="H28" i="93"/>
  <c r="H142" i="93"/>
  <c r="E546" i="489"/>
  <c r="E612" i="489"/>
  <c r="E636" i="489"/>
  <c r="E638" i="489"/>
  <c r="E644" i="489"/>
  <c r="E573" i="489"/>
  <c r="E551" i="489"/>
  <c r="E506" i="489"/>
  <c r="I318" i="489"/>
  <c r="CG149" i="147"/>
  <c r="F22" i="504"/>
  <c r="C280" i="147"/>
  <c r="F280" i="147" s="1"/>
  <c r="F22" i="209"/>
  <c r="E21" i="209"/>
  <c r="F21" i="209" s="1"/>
  <c r="E19" i="209"/>
  <c r="D280" i="147" l="1"/>
  <c r="E280" i="147"/>
  <c r="G280" i="147"/>
  <c r="B280" i="147" l="1"/>
  <c r="B650" i="147" s="1"/>
  <c r="E21" i="503" l="1"/>
  <c r="C277" i="147"/>
  <c r="F277" i="147" s="1"/>
  <c r="E21" i="502"/>
  <c r="C276" i="147"/>
  <c r="G276" i="147" s="1"/>
  <c r="C274" i="147"/>
  <c r="F274" i="147" s="1"/>
  <c r="C273" i="147"/>
  <c r="G273" i="147" s="1"/>
  <c r="D741" i="147"/>
  <c r="E741" i="147"/>
  <c r="F741" i="147"/>
  <c r="G741" i="147"/>
  <c r="G366" i="147"/>
  <c r="G48" i="489" s="1"/>
  <c r="F366" i="147"/>
  <c r="F48" i="489" s="1"/>
  <c r="E366" i="147"/>
  <c r="E48" i="489" s="1"/>
  <c r="D366" i="147"/>
  <c r="D48" i="489" s="1"/>
  <c r="G365" i="147"/>
  <c r="F365" i="147"/>
  <c r="E365" i="147"/>
  <c r="D365" i="147"/>
  <c r="B277" i="147"/>
  <c r="B647" i="147" s="1"/>
  <c r="B276" i="147"/>
  <c r="B646" i="147" s="1"/>
  <c r="B274" i="147"/>
  <c r="B644" i="147" s="1"/>
  <c r="B273" i="147"/>
  <c r="B643" i="147" s="1"/>
  <c r="V201" i="147"/>
  <c r="DD201" i="147"/>
  <c r="DC201" i="147"/>
  <c r="AK201" i="147"/>
  <c r="CF201" i="147"/>
  <c r="CG201" i="147"/>
  <c r="J201" i="147"/>
  <c r="C201" i="147"/>
  <c r="G201" i="147" s="1"/>
  <c r="F276" i="147" l="1"/>
  <c r="D273" i="147"/>
  <c r="F273" i="147"/>
  <c r="D277" i="147"/>
  <c r="G277" i="147" s="1"/>
  <c r="E277" i="147"/>
  <c r="D276" i="147"/>
  <c r="E276" i="147"/>
  <c r="E274" i="147"/>
  <c r="G274" i="147"/>
  <c r="D274" i="147"/>
  <c r="E273" i="147"/>
  <c r="F201" i="147"/>
  <c r="D201" i="147"/>
  <c r="E201" i="147"/>
  <c r="G342" i="147"/>
  <c r="F342" i="147"/>
  <c r="E342" i="147"/>
  <c r="D342" i="147"/>
  <c r="G341" i="147"/>
  <c r="F341" i="147"/>
  <c r="E341" i="147"/>
  <c r="D341" i="147"/>
  <c r="G340" i="147"/>
  <c r="F340" i="147"/>
  <c r="E340" i="147"/>
  <c r="D340" i="147"/>
  <c r="G339" i="147"/>
  <c r="F339" i="147"/>
  <c r="E339" i="147"/>
  <c r="D339" i="147"/>
  <c r="H37" i="446"/>
  <c r="H41" i="165"/>
  <c r="H36" i="478"/>
  <c r="H38" i="474"/>
  <c r="H33" i="471"/>
  <c r="H31" i="119"/>
  <c r="H31" i="126"/>
  <c r="H34" i="125"/>
  <c r="H32" i="124"/>
  <c r="H37" i="379"/>
  <c r="H36" i="136"/>
  <c r="H35" i="385"/>
  <c r="H35" i="226"/>
  <c r="H35" i="384"/>
  <c r="H35" i="236"/>
  <c r="H35" i="114"/>
  <c r="H36" i="357"/>
  <c r="H36" i="100"/>
  <c r="H31" i="115"/>
  <c r="H31" i="128"/>
  <c r="H31" i="130"/>
  <c r="H31" i="127"/>
  <c r="H34" i="118"/>
  <c r="H34" i="117"/>
  <c r="H33" i="116"/>
  <c r="H32" i="304"/>
  <c r="H30" i="394"/>
  <c r="H33" i="305"/>
  <c r="H35" i="332"/>
  <c r="H35" i="331"/>
  <c r="H35" i="330"/>
  <c r="H35" i="210"/>
  <c r="H32" i="212"/>
  <c r="H31" i="211"/>
  <c r="H29" i="112"/>
  <c r="H27" i="227"/>
  <c r="H30" i="111"/>
  <c r="H30" i="110"/>
  <c r="H29" i="104"/>
  <c r="H30" i="109"/>
  <c r="H30" i="108"/>
  <c r="H30" i="98"/>
  <c r="H29" i="494"/>
  <c r="H29" i="96"/>
  <c r="H28" i="94"/>
  <c r="H31" i="106"/>
  <c r="H31" i="132"/>
  <c r="H31" i="105"/>
  <c r="H30" i="101"/>
  <c r="H30" i="504"/>
  <c r="H30" i="209"/>
  <c r="H30" i="497"/>
  <c r="H30" i="503"/>
  <c r="H30" i="502"/>
  <c r="H31" i="99"/>
  <c r="H30" i="501"/>
  <c r="H30" i="500"/>
  <c r="H30" i="333"/>
  <c r="H28" i="275"/>
  <c r="H28" i="274"/>
  <c r="H27" i="273"/>
  <c r="H27" i="271"/>
  <c r="H28" i="272"/>
  <c r="H28" i="270"/>
  <c r="H27" i="267"/>
  <c r="H27" i="475"/>
  <c r="H27" i="266"/>
  <c r="H27" i="269"/>
  <c r="H27" i="268"/>
  <c r="H27" i="265"/>
  <c r="H27" i="470"/>
  <c r="H27" i="264"/>
  <c r="H32" i="460"/>
  <c r="H29" i="459"/>
  <c r="H29" i="458"/>
  <c r="H29" i="457"/>
  <c r="H28" i="365"/>
  <c r="H30" i="362"/>
  <c r="H30" i="95"/>
  <c r="H29" i="364"/>
  <c r="H29" i="360"/>
  <c r="H29" i="199"/>
  <c r="H32" i="363"/>
  <c r="H32" i="361"/>
  <c r="H32" i="178"/>
  <c r="H32" i="338"/>
  <c r="H32" i="329"/>
  <c r="H32" i="328"/>
  <c r="H32" i="90"/>
  <c r="H32" i="206"/>
  <c r="H30" i="203"/>
  <c r="H33" i="359"/>
  <c r="H33" i="351"/>
  <c r="H38" i="231"/>
  <c r="H30" i="230"/>
  <c r="H30" i="229"/>
  <c r="H28" i="303"/>
  <c r="H28" i="302"/>
  <c r="H28" i="139"/>
  <c r="H29" i="436"/>
  <c r="H28" i="358"/>
  <c r="H28" i="233"/>
  <c r="H28" i="131"/>
  <c r="H43" i="221"/>
  <c r="H36" i="392"/>
  <c r="H36" i="220"/>
  <c r="H41" i="390"/>
  <c r="H41" i="219"/>
  <c r="H38" i="469"/>
  <c r="H38" i="438"/>
  <c r="H38" i="218"/>
  <c r="H38" i="389"/>
  <c r="H36" i="216"/>
  <c r="H38" i="366"/>
  <c r="H38" i="215"/>
  <c r="H35" i="356"/>
  <c r="H35" i="107"/>
  <c r="H35" i="482"/>
  <c r="H35" i="391"/>
  <c r="H35" i="214"/>
  <c r="H40" i="380"/>
  <c r="H40" i="222"/>
  <c r="H36" i="383"/>
  <c r="H36" i="382"/>
  <c r="H36" i="91"/>
  <c r="H38" i="213"/>
  <c r="H40" i="496"/>
  <c r="H40" i="208"/>
  <c r="H42" i="481"/>
  <c r="H42" i="207"/>
  <c r="H42" i="309"/>
  <c r="H41" i="205"/>
  <c r="H40" i="89"/>
  <c r="H37" i="479"/>
  <c r="H37" i="439"/>
  <c r="H37" i="204"/>
  <c r="H37" i="386"/>
  <c r="H37" i="355"/>
  <c r="H38" i="299"/>
  <c r="H40" i="375"/>
  <c r="H38" i="138"/>
  <c r="H36" i="377"/>
  <c r="H36" i="202"/>
  <c r="H40" i="201"/>
  <c r="H39" i="228"/>
  <c r="H39" i="200"/>
  <c r="H33" i="198"/>
  <c r="H38" i="374"/>
  <c r="H39" i="354"/>
  <c r="H40" i="353"/>
  <c r="H34" i="352"/>
  <c r="H35" i="376"/>
  <c r="H36" i="350"/>
  <c r="H39" i="349"/>
  <c r="H37" i="232"/>
  <c r="H37" i="197"/>
  <c r="H36" i="235"/>
  <c r="H35" i="196"/>
  <c r="H30" i="135"/>
  <c r="H36" i="121"/>
  <c r="H35" i="234"/>
  <c r="H35" i="122"/>
  <c r="H40" i="388"/>
  <c r="H40" i="387"/>
  <c r="H40" i="378"/>
  <c r="H34" i="194"/>
  <c r="H35" i="193"/>
  <c r="H37" i="492"/>
  <c r="H35" i="337"/>
  <c r="H37" i="472"/>
  <c r="H37" i="336"/>
  <c r="H33" i="192"/>
  <c r="H33" i="490"/>
  <c r="H33" i="191"/>
  <c r="H35" i="190"/>
  <c r="H29" i="189"/>
  <c r="H33" i="188"/>
  <c r="H29" i="133"/>
  <c r="H28" i="327"/>
  <c r="H29" i="480"/>
  <c r="H29" i="134"/>
  <c r="H39" i="495"/>
  <c r="H37" i="341"/>
  <c r="H37" i="342"/>
  <c r="H37" i="335"/>
  <c r="H37" i="334"/>
  <c r="H38" i="433"/>
  <c r="H38" i="432"/>
  <c r="H38" i="431"/>
  <c r="H38" i="430"/>
  <c r="H34" i="1"/>
  <c r="H33" i="339"/>
  <c r="H33" i="319"/>
  <c r="H33" i="321"/>
  <c r="H33" i="320"/>
  <c r="H33" i="159"/>
  <c r="H33" i="142"/>
  <c r="H33" i="395"/>
  <c r="H34" i="187"/>
  <c r="H34" i="123"/>
  <c r="H34" i="445"/>
  <c r="H34" i="186"/>
  <c r="H34" i="185"/>
  <c r="H32" i="184"/>
  <c r="H31" i="373"/>
  <c r="H32" i="183"/>
  <c r="H31" i="372"/>
  <c r="H32" i="182"/>
  <c r="H31" i="371"/>
  <c r="H32" i="129"/>
  <c r="H31" i="370"/>
  <c r="H37" i="181"/>
  <c r="H37" i="180"/>
  <c r="H30" i="179"/>
  <c r="H34" i="177"/>
  <c r="H38" i="326"/>
  <c r="H33" i="176"/>
  <c r="H32" i="175"/>
  <c r="H38" i="174"/>
  <c r="H36" i="97"/>
  <c r="H32" i="173"/>
  <c r="H34" i="172"/>
  <c r="H32" i="171"/>
  <c r="H31" i="426"/>
  <c r="H31" i="425"/>
  <c r="H31" i="424"/>
  <c r="H31" i="423"/>
  <c r="H31" i="325"/>
  <c r="H31" i="324"/>
  <c r="H31" i="323"/>
  <c r="H31" i="322"/>
  <c r="H35" i="422"/>
  <c r="H35" i="421"/>
  <c r="H35" i="420"/>
  <c r="H35" i="419"/>
  <c r="H35" i="418"/>
  <c r="H35" i="417"/>
  <c r="H31" i="301"/>
  <c r="H33" i="300"/>
  <c r="H36" i="92"/>
  <c r="H32" i="415"/>
  <c r="H36" i="416"/>
  <c r="H31" i="414"/>
  <c r="H38" i="413"/>
  <c r="H31" i="102"/>
  <c r="H38" i="103"/>
  <c r="H35" i="169"/>
  <c r="H37" i="412"/>
  <c r="H37" i="411"/>
  <c r="H37" i="168"/>
  <c r="H36" i="428"/>
  <c r="H36" i="410"/>
  <c r="H36" i="409"/>
  <c r="H36" i="408"/>
  <c r="H36" i="407"/>
  <c r="H36" i="167"/>
  <c r="H37" i="406"/>
  <c r="H37" i="427"/>
  <c r="H37" i="405"/>
  <c r="H37" i="404"/>
  <c r="H37" i="403"/>
  <c r="H37" i="402"/>
  <c r="H37" i="401"/>
  <c r="H35" i="166"/>
  <c r="H34" i="435"/>
  <c r="H32" i="434"/>
  <c r="H36" i="400"/>
  <c r="H36" i="399"/>
  <c r="H37" i="398"/>
  <c r="H37" i="397"/>
  <c r="H39" i="298"/>
  <c r="H40" i="396"/>
  <c r="H40" i="120"/>
  <c r="H29" i="297"/>
  <c r="H28" i="429"/>
  <c r="H27" i="296"/>
  <c r="H27" i="295"/>
  <c r="H27" i="294"/>
  <c r="H27" i="293"/>
  <c r="H28" i="291"/>
  <c r="H34" i="292"/>
  <c r="H34" i="290"/>
  <c r="H30" i="437"/>
  <c r="H28" i="306"/>
  <c r="H31" i="443"/>
  <c r="H30" i="442"/>
  <c r="H32" i="441"/>
  <c r="H29" i="318"/>
  <c r="H33" i="317"/>
  <c r="H34" i="393"/>
  <c r="H34" i="316"/>
  <c r="H32" i="315"/>
  <c r="H31" i="314"/>
  <c r="H32" i="313"/>
  <c r="H32" i="308"/>
  <c r="H33" i="307"/>
  <c r="H31" i="288"/>
  <c r="H32" i="286"/>
  <c r="H33" i="287"/>
  <c r="H31" i="311"/>
  <c r="H31" i="285"/>
  <c r="H30" i="312"/>
  <c r="H30" i="284"/>
  <c r="H29" i="283"/>
  <c r="H31" i="282"/>
  <c r="H30" i="281"/>
  <c r="H29" i="276"/>
  <c r="H27" i="279"/>
  <c r="H27" i="493"/>
  <c r="H27" i="340"/>
  <c r="H27" i="280"/>
  <c r="H27" i="278"/>
  <c r="H32" i="277"/>
  <c r="H30" i="113"/>
  <c r="H30" i="164"/>
  <c r="H29" i="163"/>
  <c r="H28" i="162"/>
  <c r="H29" i="160"/>
  <c r="H29" i="161"/>
  <c r="G145" i="147"/>
  <c r="F145" i="147"/>
  <c r="E145" i="147"/>
  <c r="D145" i="147"/>
  <c r="J5" i="478"/>
  <c r="A5" i="478"/>
  <c r="G3" i="478"/>
  <c r="J5" i="474"/>
  <c r="A5" i="474"/>
  <c r="G3" i="474"/>
  <c r="J5" i="471"/>
  <c r="A5" i="471"/>
  <c r="G3" i="471"/>
  <c r="J5" i="119"/>
  <c r="A5" i="119"/>
  <c r="G3" i="119"/>
  <c r="J5" i="126"/>
  <c r="A5" i="126"/>
  <c r="G3" i="126"/>
  <c r="J5" i="125"/>
  <c r="A5" i="125"/>
  <c r="G3" i="125"/>
  <c r="J5" i="124"/>
  <c r="A5" i="124"/>
  <c r="G3" i="124"/>
  <c r="J5" i="379"/>
  <c r="A5" i="379"/>
  <c r="G3" i="379"/>
  <c r="J5" i="136"/>
  <c r="A5" i="136"/>
  <c r="G3" i="136"/>
  <c r="J5" i="385"/>
  <c r="A5" i="385"/>
  <c r="G3" i="385"/>
  <c r="J5" i="226"/>
  <c r="A5" i="226"/>
  <c r="G3" i="226"/>
  <c r="J5" i="384"/>
  <c r="A5" i="384"/>
  <c r="G3" i="384"/>
  <c r="J5" i="236"/>
  <c r="A5" i="236"/>
  <c r="G3" i="236"/>
  <c r="J5" i="114"/>
  <c r="A5" i="114"/>
  <c r="G3" i="114"/>
  <c r="J5" i="357"/>
  <c r="A5" i="357"/>
  <c r="G3" i="357"/>
  <c r="J5" i="100"/>
  <c r="A5" i="100"/>
  <c r="G3" i="100"/>
  <c r="J5" i="115"/>
  <c r="A5" i="115"/>
  <c r="G3" i="115"/>
  <c r="J5" i="128"/>
  <c r="A5" i="128"/>
  <c r="G3" i="128"/>
  <c r="J5" i="130"/>
  <c r="A5" i="130"/>
  <c r="G3" i="130"/>
  <c r="J5" i="127"/>
  <c r="A5" i="127"/>
  <c r="G3" i="127"/>
  <c r="J5" i="118"/>
  <c r="A5" i="118"/>
  <c r="G3" i="118"/>
  <c r="J5" i="117"/>
  <c r="A5" i="117"/>
  <c r="G3" i="117"/>
  <c r="J5" i="116"/>
  <c r="A5" i="116"/>
  <c r="G3" i="116"/>
  <c r="J5" i="304"/>
  <c r="A5" i="304"/>
  <c r="G3" i="304"/>
  <c r="J5" i="394"/>
  <c r="A5" i="394"/>
  <c r="G3" i="394"/>
  <c r="J5" i="305"/>
  <c r="A5" i="305"/>
  <c r="G3" i="305"/>
  <c r="J5" i="332"/>
  <c r="A5" i="332"/>
  <c r="G3" i="332"/>
  <c r="J5" i="331"/>
  <c r="A5" i="331"/>
  <c r="G3" i="331"/>
  <c r="J5" i="330"/>
  <c r="A5" i="330"/>
  <c r="G3" i="330"/>
  <c r="J5" i="210"/>
  <c r="A5" i="210"/>
  <c r="G3" i="210"/>
  <c r="J5" i="212"/>
  <c r="A5" i="212"/>
  <c r="G3" i="212"/>
  <c r="J5" i="211"/>
  <c r="A5" i="211"/>
  <c r="G3" i="211"/>
  <c r="J5" i="112"/>
  <c r="A5" i="112"/>
  <c r="G3" i="112"/>
  <c r="J5" i="227"/>
  <c r="A5" i="227"/>
  <c r="G3" i="227"/>
  <c r="J5" i="111"/>
  <c r="A5" i="111"/>
  <c r="G3" i="111"/>
  <c r="J5" i="110"/>
  <c r="A5" i="110"/>
  <c r="G3" i="110"/>
  <c r="J5" i="104"/>
  <c r="A5" i="104"/>
  <c r="G3" i="104"/>
  <c r="J5" i="109"/>
  <c r="A5" i="109"/>
  <c r="G3" i="109"/>
  <c r="J5" i="108"/>
  <c r="A5" i="108"/>
  <c r="G3" i="108"/>
  <c r="J5" i="98"/>
  <c r="A5" i="98"/>
  <c r="G3" i="98"/>
  <c r="J5" i="494"/>
  <c r="A5" i="494"/>
  <c r="G3" i="494"/>
  <c r="J5" i="96"/>
  <c r="A5" i="96"/>
  <c r="G3" i="96"/>
  <c r="J5" i="94"/>
  <c r="A5" i="94"/>
  <c r="G3" i="94"/>
  <c r="J5" i="106"/>
  <c r="A5" i="106"/>
  <c r="G3" i="106"/>
  <c r="J5" i="132"/>
  <c r="A5" i="132"/>
  <c r="G3" i="132"/>
  <c r="J5" i="105"/>
  <c r="A5" i="105"/>
  <c r="G3" i="105"/>
  <c r="J5" i="101"/>
  <c r="A5" i="101"/>
  <c r="G3" i="101"/>
  <c r="J5" i="504"/>
  <c r="A5" i="504"/>
  <c r="G3" i="504"/>
  <c r="J5" i="209"/>
  <c r="A5" i="209"/>
  <c r="G3" i="209"/>
  <c r="J5" i="497"/>
  <c r="A5" i="497"/>
  <c r="G3" i="497"/>
  <c r="J5" i="503"/>
  <c r="A5" i="503"/>
  <c r="G3" i="503"/>
  <c r="J5" i="502"/>
  <c r="A5" i="502"/>
  <c r="G3" i="502"/>
  <c r="J5" i="99"/>
  <c r="A5" i="99"/>
  <c r="G3" i="99"/>
  <c r="J5" i="501"/>
  <c r="A5" i="501"/>
  <c r="G3" i="501"/>
  <c r="J5" i="500"/>
  <c r="A5" i="500"/>
  <c r="G3" i="500"/>
  <c r="J5" i="333"/>
  <c r="A5" i="333"/>
  <c r="G3" i="333"/>
  <c r="J5" i="275"/>
  <c r="A5" i="275"/>
  <c r="G3" i="275"/>
  <c r="J5" i="274"/>
  <c r="A5" i="274"/>
  <c r="G3" i="274"/>
  <c r="J5" i="273"/>
  <c r="A5" i="273"/>
  <c r="G3" i="273"/>
  <c r="J5" i="271"/>
  <c r="A5" i="271"/>
  <c r="G3" i="271"/>
  <c r="J5" i="272"/>
  <c r="A5" i="272"/>
  <c r="G3" i="272"/>
  <c r="J5" i="270"/>
  <c r="A5" i="270"/>
  <c r="G3" i="270"/>
  <c r="J5" i="267"/>
  <c r="A5" i="267"/>
  <c r="G3" i="267"/>
  <c r="J5" i="475"/>
  <c r="A5" i="475"/>
  <c r="G3" i="475"/>
  <c r="J5" i="266"/>
  <c r="A5" i="266"/>
  <c r="G3" i="266"/>
  <c r="J5" i="269"/>
  <c r="A5" i="269"/>
  <c r="G3" i="269"/>
  <c r="J5" i="268"/>
  <c r="A5" i="268"/>
  <c r="G3" i="268"/>
  <c r="J5" i="265"/>
  <c r="A5" i="265"/>
  <c r="G3" i="265"/>
  <c r="J5" i="470"/>
  <c r="A5" i="470"/>
  <c r="G3" i="470"/>
  <c r="J5" i="264"/>
  <c r="A5" i="264"/>
  <c r="G3" i="264"/>
  <c r="J5" i="460"/>
  <c r="A5" i="460"/>
  <c r="G3" i="460"/>
  <c r="J5" i="459"/>
  <c r="A5" i="459"/>
  <c r="G3" i="459"/>
  <c r="J5" i="458"/>
  <c r="A5" i="458"/>
  <c r="G3" i="458"/>
  <c r="J5" i="457"/>
  <c r="A5" i="457"/>
  <c r="G3" i="457"/>
  <c r="J5" i="365"/>
  <c r="A5" i="365"/>
  <c r="G3" i="365"/>
  <c r="J5" i="362"/>
  <c r="A5" i="362"/>
  <c r="G3" i="362"/>
  <c r="J5" i="95"/>
  <c r="A5" i="95"/>
  <c r="G3" i="95"/>
  <c r="J5" i="364"/>
  <c r="A5" i="364"/>
  <c r="G3" i="364"/>
  <c r="J5" i="360"/>
  <c r="A5" i="360"/>
  <c r="G3" i="360"/>
  <c r="J5" i="199"/>
  <c r="A5" i="199"/>
  <c r="G3" i="199"/>
  <c r="J5" i="363"/>
  <c r="A5" i="363"/>
  <c r="G3" i="363"/>
  <c r="J5" i="361"/>
  <c r="A5" i="361"/>
  <c r="G3" i="361"/>
  <c r="J5" i="178"/>
  <c r="A5" i="178"/>
  <c r="G3" i="178"/>
  <c r="J5" i="338"/>
  <c r="A5" i="338"/>
  <c r="G3" i="338"/>
  <c r="J5" i="329"/>
  <c r="A5" i="329"/>
  <c r="G3" i="329"/>
  <c r="J5" i="328"/>
  <c r="A5" i="328"/>
  <c r="G3" i="328"/>
  <c r="J5" i="90"/>
  <c r="A5" i="90"/>
  <c r="G3" i="90"/>
  <c r="J5" i="206"/>
  <c r="A5" i="206"/>
  <c r="G3" i="206"/>
  <c r="J5" i="203"/>
  <c r="A5" i="203"/>
  <c r="G3" i="203"/>
  <c r="J5" i="359"/>
  <c r="A5" i="359"/>
  <c r="G3" i="359"/>
  <c r="J5" i="351"/>
  <c r="A5" i="351"/>
  <c r="G3" i="351"/>
  <c r="J5" i="231"/>
  <c r="A5" i="231"/>
  <c r="G3" i="231"/>
  <c r="J5" i="230"/>
  <c r="A5" i="230"/>
  <c r="G3" i="230"/>
  <c r="J5" i="229"/>
  <c r="A5" i="229"/>
  <c r="G3" i="229"/>
  <c r="J5" i="303"/>
  <c r="A5" i="303"/>
  <c r="G3" i="303"/>
  <c r="J5" i="302"/>
  <c r="A5" i="302"/>
  <c r="G3" i="302"/>
  <c r="J5" i="139"/>
  <c r="A5" i="139"/>
  <c r="G3" i="139"/>
  <c r="J5" i="436"/>
  <c r="A5" i="436"/>
  <c r="G3" i="436"/>
  <c r="J5" i="358"/>
  <c r="A5" i="358"/>
  <c r="G3" i="358"/>
  <c r="J5" i="233"/>
  <c r="A5" i="233"/>
  <c r="G3" i="233"/>
  <c r="J5" i="131"/>
  <c r="A5" i="131"/>
  <c r="G3" i="131"/>
  <c r="J5" i="221"/>
  <c r="A5" i="221"/>
  <c r="G3" i="221"/>
  <c r="J5" i="392"/>
  <c r="A5" i="392"/>
  <c r="G3" i="392"/>
  <c r="J5" i="220"/>
  <c r="A5" i="220"/>
  <c r="G3" i="220"/>
  <c r="J5" i="390"/>
  <c r="A5" i="390"/>
  <c r="G3" i="390"/>
  <c r="J5" i="219"/>
  <c r="A5" i="219"/>
  <c r="G3" i="219"/>
  <c r="J5" i="469"/>
  <c r="A5" i="469"/>
  <c r="G3" i="469"/>
  <c r="J5" i="438"/>
  <c r="A5" i="438"/>
  <c r="G3" i="438"/>
  <c r="J5" i="218"/>
  <c r="A5" i="218"/>
  <c r="G3" i="218"/>
  <c r="J5" i="389"/>
  <c r="A5" i="389"/>
  <c r="G3" i="389"/>
  <c r="J5" i="216"/>
  <c r="A5" i="216"/>
  <c r="G3" i="216"/>
  <c r="J5" i="366"/>
  <c r="A5" i="366"/>
  <c r="G3" i="366"/>
  <c r="J5" i="215"/>
  <c r="A5" i="215"/>
  <c r="G3" i="215"/>
  <c r="J5" i="356"/>
  <c r="A5" i="356"/>
  <c r="G3" i="356"/>
  <c r="J5" i="107"/>
  <c r="A5" i="107"/>
  <c r="G3" i="107"/>
  <c r="J5" i="482"/>
  <c r="A5" i="482"/>
  <c r="G3" i="482"/>
  <c r="J5" i="391"/>
  <c r="A5" i="391"/>
  <c r="G3" i="391"/>
  <c r="J5" i="214"/>
  <c r="A5" i="214"/>
  <c r="G3" i="214"/>
  <c r="J5" i="380"/>
  <c r="A5" i="380"/>
  <c r="G3" i="380"/>
  <c r="J5" i="222"/>
  <c r="A5" i="222"/>
  <c r="G3" i="222"/>
  <c r="J5" i="383"/>
  <c r="A5" i="383"/>
  <c r="G3" i="383"/>
  <c r="J5" i="382"/>
  <c r="A5" i="382"/>
  <c r="G3" i="382"/>
  <c r="J5" i="91"/>
  <c r="A5" i="91"/>
  <c r="G3" i="91"/>
  <c r="J5" i="213"/>
  <c r="A5" i="213"/>
  <c r="G3" i="213"/>
  <c r="J5" i="496"/>
  <c r="A5" i="496"/>
  <c r="G3" i="496"/>
  <c r="J5" i="208"/>
  <c r="A5" i="208"/>
  <c r="G3" i="208"/>
  <c r="J5" i="481"/>
  <c r="A5" i="481"/>
  <c r="G3" i="481"/>
  <c r="J5" i="207"/>
  <c r="A5" i="207"/>
  <c r="G3" i="207"/>
  <c r="J5" i="309"/>
  <c r="A5" i="309"/>
  <c r="G3" i="309"/>
  <c r="J5" i="205"/>
  <c r="A5" i="205"/>
  <c r="G3" i="205"/>
  <c r="J5" i="89"/>
  <c r="A5" i="89"/>
  <c r="G3" i="89"/>
  <c r="J5" i="479"/>
  <c r="A5" i="479"/>
  <c r="G3" i="479"/>
  <c r="J5" i="439"/>
  <c r="A5" i="439"/>
  <c r="G3" i="439"/>
  <c r="J5" i="204"/>
  <c r="A5" i="204"/>
  <c r="G3" i="204"/>
  <c r="J5" i="386"/>
  <c r="A5" i="386"/>
  <c r="G3" i="386"/>
  <c r="J5" i="355"/>
  <c r="A5" i="355"/>
  <c r="G3" i="355"/>
  <c r="J5" i="299"/>
  <c r="A5" i="299"/>
  <c r="G3" i="299"/>
  <c r="J5" i="375"/>
  <c r="A5" i="375"/>
  <c r="G3" i="375"/>
  <c r="G1" i="375"/>
  <c r="J5" i="138"/>
  <c r="A5" i="138"/>
  <c r="G3" i="138"/>
  <c r="J5" i="377"/>
  <c r="A5" i="377"/>
  <c r="G3" i="377"/>
  <c r="J5" i="202"/>
  <c r="A5" i="202"/>
  <c r="G3" i="202"/>
  <c r="J5" i="201"/>
  <c r="A5" i="201"/>
  <c r="G3" i="201"/>
  <c r="J5" i="228"/>
  <c r="A5" i="228"/>
  <c r="G3" i="228"/>
  <c r="J5" i="200"/>
  <c r="A5" i="200"/>
  <c r="G3" i="200"/>
  <c r="J5" i="198"/>
  <c r="A5" i="198"/>
  <c r="G3" i="198"/>
  <c r="J5" i="374"/>
  <c r="A5" i="374"/>
  <c r="G3" i="374"/>
  <c r="J5" i="354"/>
  <c r="A5" i="354"/>
  <c r="G3" i="354"/>
  <c r="J5" i="353"/>
  <c r="A5" i="353"/>
  <c r="G3" i="353"/>
  <c r="J5" i="352"/>
  <c r="A5" i="352"/>
  <c r="G3" i="352"/>
  <c r="J5" i="376"/>
  <c r="A5" i="376"/>
  <c r="G3" i="376"/>
  <c r="J5" i="350"/>
  <c r="A5" i="350"/>
  <c r="G3" i="350"/>
  <c r="G1" i="350"/>
  <c r="J5" i="349"/>
  <c r="A5" i="349"/>
  <c r="G3" i="349"/>
  <c r="J5" i="232"/>
  <c r="A5" i="232"/>
  <c r="G3" i="232"/>
  <c r="J5" i="197"/>
  <c r="A5" i="197"/>
  <c r="G3" i="197"/>
  <c r="J5" i="235"/>
  <c r="A5" i="235"/>
  <c r="G3" i="235"/>
  <c r="J5" i="196"/>
  <c r="A5" i="196"/>
  <c r="G3" i="196"/>
  <c r="J5" i="135"/>
  <c r="A5" i="135"/>
  <c r="G3" i="135"/>
  <c r="J5" i="121"/>
  <c r="A5" i="121"/>
  <c r="G3" i="121"/>
  <c r="J5" i="234"/>
  <c r="A5" i="234"/>
  <c r="G3" i="234"/>
  <c r="J5" i="122"/>
  <c r="A5" i="122"/>
  <c r="G3" i="122"/>
  <c r="J5" i="388"/>
  <c r="A5" i="388"/>
  <c r="G3" i="388"/>
  <c r="J5" i="387"/>
  <c r="A5" i="387"/>
  <c r="G3" i="387"/>
  <c r="J5" i="378"/>
  <c r="A5" i="378"/>
  <c r="G3" i="378"/>
  <c r="J5" i="194"/>
  <c r="A5" i="194"/>
  <c r="G3" i="194"/>
  <c r="J5" i="193"/>
  <c r="A5" i="193"/>
  <c r="G3" i="193"/>
  <c r="J5" i="492"/>
  <c r="A5" i="492"/>
  <c r="G3" i="492"/>
  <c r="J5" i="337"/>
  <c r="A5" i="337"/>
  <c r="G3" i="337"/>
  <c r="J5" i="472"/>
  <c r="A5" i="472"/>
  <c r="G3" i="472"/>
  <c r="J5" i="336"/>
  <c r="A5" i="336"/>
  <c r="G3" i="336"/>
  <c r="J5" i="192"/>
  <c r="A5" i="192"/>
  <c r="G3" i="192"/>
  <c r="J5" i="490"/>
  <c r="A5" i="490"/>
  <c r="G3" i="490"/>
  <c r="J5" i="191"/>
  <c r="A5" i="191"/>
  <c r="G3" i="191"/>
  <c r="J5" i="190"/>
  <c r="A5" i="190"/>
  <c r="G3" i="190"/>
  <c r="J5" i="189"/>
  <c r="A5" i="189"/>
  <c r="G3" i="189"/>
  <c r="J5" i="188"/>
  <c r="A5" i="188"/>
  <c r="G3" i="188"/>
  <c r="J5" i="133"/>
  <c r="A5" i="133"/>
  <c r="G3" i="133"/>
  <c r="J5" i="327"/>
  <c r="A5" i="327"/>
  <c r="G3" i="327"/>
  <c r="J5" i="480"/>
  <c r="A5" i="480"/>
  <c r="G3" i="480"/>
  <c r="J5" i="134"/>
  <c r="A5" i="134"/>
  <c r="G3" i="134"/>
  <c r="J5" i="495"/>
  <c r="A5" i="495"/>
  <c r="G3" i="495"/>
  <c r="J5" i="341"/>
  <c r="A5" i="341"/>
  <c r="G3" i="341"/>
  <c r="J5" i="342"/>
  <c r="A5" i="342"/>
  <c r="G3" i="342"/>
  <c r="J5" i="335"/>
  <c r="A5" i="335"/>
  <c r="G3" i="335"/>
  <c r="J5" i="334"/>
  <c r="A5" i="334"/>
  <c r="G3" i="334"/>
  <c r="J5" i="433"/>
  <c r="A5" i="433"/>
  <c r="G3" i="433"/>
  <c r="J5" i="432"/>
  <c r="A5" i="432"/>
  <c r="G3" i="432"/>
  <c r="J5" i="431"/>
  <c r="A5" i="431"/>
  <c r="G3" i="431"/>
  <c r="J5" i="430"/>
  <c r="A5" i="430"/>
  <c r="G3" i="430"/>
  <c r="J5" i="1"/>
  <c r="A5" i="1"/>
  <c r="G3" i="1"/>
  <c r="J5" i="339"/>
  <c r="A5" i="339"/>
  <c r="G3" i="339"/>
  <c r="J5" i="319"/>
  <c r="A5" i="319"/>
  <c r="G3" i="319"/>
  <c r="J5" i="321"/>
  <c r="A5" i="321"/>
  <c r="G3" i="321"/>
  <c r="J5" i="320"/>
  <c r="A5" i="320"/>
  <c r="G3" i="320"/>
  <c r="J5" i="159"/>
  <c r="A5" i="159"/>
  <c r="G3" i="159"/>
  <c r="J5" i="142"/>
  <c r="A5" i="142"/>
  <c r="G3" i="142"/>
  <c r="J5" i="395"/>
  <c r="A5" i="395"/>
  <c r="G3" i="395"/>
  <c r="J5" i="187"/>
  <c r="A5" i="187"/>
  <c r="G3" i="187"/>
  <c r="J5" i="123"/>
  <c r="A5" i="123"/>
  <c r="G3" i="123"/>
  <c r="J5" i="445"/>
  <c r="A5" i="445"/>
  <c r="G3" i="445"/>
  <c r="J5" i="186"/>
  <c r="A5" i="186"/>
  <c r="G3" i="186"/>
  <c r="J5" i="185"/>
  <c r="A5" i="185"/>
  <c r="G3" i="185"/>
  <c r="J5" i="184"/>
  <c r="A5" i="184"/>
  <c r="G3" i="184"/>
  <c r="J5" i="373"/>
  <c r="A5" i="373"/>
  <c r="G3" i="373"/>
  <c r="J5" i="183"/>
  <c r="A5" i="183"/>
  <c r="G3" i="183"/>
  <c r="J5" i="372"/>
  <c r="A5" i="372"/>
  <c r="G3" i="372"/>
  <c r="J5" i="182"/>
  <c r="A5" i="182"/>
  <c r="G3" i="182"/>
  <c r="J5" i="371"/>
  <c r="A5" i="371"/>
  <c r="G3" i="371"/>
  <c r="J5" i="129"/>
  <c r="A5" i="129"/>
  <c r="G3" i="129"/>
  <c r="J5" i="370"/>
  <c r="A5" i="370"/>
  <c r="G3" i="370"/>
  <c r="J5" i="181"/>
  <c r="A5" i="181"/>
  <c r="G3" i="181"/>
  <c r="J5" i="180"/>
  <c r="A5" i="180"/>
  <c r="G3" i="180"/>
  <c r="J5" i="179"/>
  <c r="A5" i="179"/>
  <c r="G3" i="179"/>
  <c r="J5" i="177"/>
  <c r="A5" i="177"/>
  <c r="G3" i="177"/>
  <c r="J5" i="326"/>
  <c r="A5" i="326"/>
  <c r="G3" i="326"/>
  <c r="J5" i="176"/>
  <c r="A5" i="176"/>
  <c r="G3" i="176"/>
  <c r="J5" i="175"/>
  <c r="A5" i="175"/>
  <c r="G3" i="175"/>
  <c r="J5" i="174"/>
  <c r="A5" i="174"/>
  <c r="G3" i="174"/>
  <c r="J5" i="97"/>
  <c r="A5" i="97"/>
  <c r="G3" i="97"/>
  <c r="J5" i="173"/>
  <c r="A5" i="173"/>
  <c r="G3" i="173"/>
  <c r="J5" i="172"/>
  <c r="A5" i="172"/>
  <c r="G3" i="172"/>
  <c r="A5" i="171"/>
  <c r="A5" i="426"/>
  <c r="A5" i="425"/>
  <c r="A5" i="424"/>
  <c r="A5" i="423"/>
  <c r="A5" i="325"/>
  <c r="A5" i="324"/>
  <c r="A5" i="323"/>
  <c r="A5" i="322"/>
  <c r="A5" i="422"/>
  <c r="A5" i="421"/>
  <c r="A5" i="420"/>
  <c r="A5" i="419"/>
  <c r="A5" i="418"/>
  <c r="A5" i="417"/>
  <c r="A5" i="301"/>
  <c r="A5" i="300"/>
  <c r="A5" i="92"/>
  <c r="A5" i="415"/>
  <c r="A5" i="416"/>
  <c r="A5" i="414"/>
  <c r="A5" i="413"/>
  <c r="A5" i="102"/>
  <c r="A5" i="103"/>
  <c r="A5" i="169"/>
  <c r="A5" i="412"/>
  <c r="A5" i="411"/>
  <c r="A5" i="168"/>
  <c r="A5" i="428"/>
  <c r="A5" i="410"/>
  <c r="A5" i="409"/>
  <c r="A5" i="408"/>
  <c r="A5" i="407"/>
  <c r="A5" i="167"/>
  <c r="A5" i="406"/>
  <c r="A5" i="427"/>
  <c r="A5" i="405"/>
  <c r="A5" i="404"/>
  <c r="A5" i="403"/>
  <c r="A5" i="402"/>
  <c r="A5" i="401"/>
  <c r="A5" i="166"/>
  <c r="A5" i="435"/>
  <c r="A5" i="434"/>
  <c r="A5" i="400"/>
  <c r="A5" i="399"/>
  <c r="A5" i="398"/>
  <c r="A5" i="397"/>
  <c r="A5" i="446"/>
  <c r="A5" i="298"/>
  <c r="A5" i="165"/>
  <c r="A5" i="396"/>
  <c r="A5" i="120"/>
  <c r="A5" i="297"/>
  <c r="A5" i="429"/>
  <c r="A5" i="296"/>
  <c r="A5" i="295"/>
  <c r="A5" i="294"/>
  <c r="A5" i="293"/>
  <c r="A5" i="291"/>
  <c r="A5" i="292"/>
  <c r="A5" i="290"/>
  <c r="A5" i="437"/>
  <c r="A5" i="306"/>
  <c r="A5" i="443"/>
  <c r="A5" i="442"/>
  <c r="A5" i="441"/>
  <c r="A5" i="318"/>
  <c r="A5" i="317"/>
  <c r="A5" i="393"/>
  <c r="A5" i="316"/>
  <c r="A5" i="315"/>
  <c r="A5" i="314"/>
  <c r="A5" i="313"/>
  <c r="A5" i="308"/>
  <c r="A5" i="307"/>
  <c r="A5" i="288"/>
  <c r="A5" i="286"/>
  <c r="A5" i="287"/>
  <c r="A5" i="311"/>
  <c r="A5" i="285"/>
  <c r="A5" i="312"/>
  <c r="A5" i="284"/>
  <c r="A5" i="283"/>
  <c r="A5" i="282"/>
  <c r="A5" i="281"/>
  <c r="A5" i="276"/>
  <c r="A5" i="279"/>
  <c r="A5" i="493"/>
  <c r="A5" i="340"/>
  <c r="A5" i="280"/>
  <c r="A5" i="278"/>
  <c r="A5" i="277"/>
  <c r="A5" i="113"/>
  <c r="A5" i="164"/>
  <c r="A5" i="163"/>
  <c r="A5" i="162"/>
  <c r="A5" i="160"/>
  <c r="A5" i="161"/>
  <c r="J5" i="171"/>
  <c r="G3" i="171"/>
  <c r="J5" i="426"/>
  <c r="G3" i="426"/>
  <c r="J5" i="425"/>
  <c r="G3" i="425"/>
  <c r="J5" i="424"/>
  <c r="G3" i="424"/>
  <c r="J5" i="423"/>
  <c r="G3" i="423"/>
  <c r="J5" i="325"/>
  <c r="G3" i="325"/>
  <c r="J5" i="324"/>
  <c r="G3" i="324"/>
  <c r="J5" i="323"/>
  <c r="G3" i="323"/>
  <c r="J5" i="322"/>
  <c r="G3" i="322"/>
  <c r="J5" i="422"/>
  <c r="G3" i="422"/>
  <c r="J5" i="421"/>
  <c r="G3" i="421"/>
  <c r="J5" i="420"/>
  <c r="G3" i="420"/>
  <c r="J5" i="419"/>
  <c r="G3" i="419"/>
  <c r="J5" i="418"/>
  <c r="G3" i="418"/>
  <c r="J5" i="417"/>
  <c r="G3" i="417"/>
  <c r="J5" i="301"/>
  <c r="G3" i="301"/>
  <c r="J5" i="300"/>
  <c r="G3" i="300"/>
  <c r="J5" i="92"/>
  <c r="G3" i="92"/>
  <c r="J5" i="415"/>
  <c r="G3" i="415"/>
  <c r="J5" i="416"/>
  <c r="G3" i="416"/>
  <c r="J5" i="414"/>
  <c r="G3" i="414"/>
  <c r="J5" i="413"/>
  <c r="G3" i="413"/>
  <c r="J5" i="102"/>
  <c r="G3" i="102"/>
  <c r="J5" i="103"/>
  <c r="G3" i="103"/>
  <c r="J5" i="169"/>
  <c r="G3" i="169"/>
  <c r="J5" i="412"/>
  <c r="G3" i="412"/>
  <c r="J5" i="411"/>
  <c r="G3" i="411"/>
  <c r="J5" i="168"/>
  <c r="G3" i="168"/>
  <c r="J5" i="428"/>
  <c r="G3" i="428"/>
  <c r="J5" i="410"/>
  <c r="G3" i="410"/>
  <c r="J5" i="409"/>
  <c r="G3" i="409"/>
  <c r="J5" i="407"/>
  <c r="G3" i="407"/>
  <c r="J5" i="408"/>
  <c r="G3" i="408"/>
  <c r="J5" i="167"/>
  <c r="G3" i="167"/>
  <c r="J5" i="406"/>
  <c r="G3" i="406"/>
  <c r="J5" i="427"/>
  <c r="G3" i="427"/>
  <c r="J5" i="405"/>
  <c r="G3" i="405"/>
  <c r="J5" i="404"/>
  <c r="G3" i="404"/>
  <c r="J5" i="403"/>
  <c r="G3" i="403"/>
  <c r="J5" i="402"/>
  <c r="G3" i="402"/>
  <c r="J5" i="401"/>
  <c r="G3" i="401"/>
  <c r="J5" i="166"/>
  <c r="G3" i="166"/>
  <c r="J5" i="435"/>
  <c r="G3" i="435"/>
  <c r="J5" i="434"/>
  <c r="G3" i="434"/>
  <c r="J5" i="400"/>
  <c r="G3" i="400"/>
  <c r="J5" i="399"/>
  <c r="G3" i="399"/>
  <c r="J5" i="398"/>
  <c r="G3" i="398"/>
  <c r="J5" i="397"/>
  <c r="G3" i="397"/>
  <c r="J5" i="446"/>
  <c r="G3" i="446"/>
  <c r="J5" i="298"/>
  <c r="G3" i="298"/>
  <c r="J5" i="165"/>
  <c r="G3" i="165"/>
  <c r="J5" i="396"/>
  <c r="G3" i="396"/>
  <c r="J5" i="120"/>
  <c r="G3" i="120"/>
  <c r="J5" i="297"/>
  <c r="G3" i="297"/>
  <c r="J5" i="429"/>
  <c r="G3" i="429"/>
  <c r="J5" i="296"/>
  <c r="G3" i="296"/>
  <c r="J5" i="295"/>
  <c r="G3" i="295"/>
  <c r="J5" i="294"/>
  <c r="G3" i="294"/>
  <c r="J5" i="293"/>
  <c r="G3" i="293"/>
  <c r="J5" i="291"/>
  <c r="G3" i="291"/>
  <c r="J5" i="292"/>
  <c r="G3" i="292"/>
  <c r="J5" i="290"/>
  <c r="G3" i="290"/>
  <c r="J5" i="437"/>
  <c r="G3" i="437"/>
  <c r="J5" i="306"/>
  <c r="G3" i="306"/>
  <c r="J5" i="443"/>
  <c r="G3" i="443"/>
  <c r="J5" i="442"/>
  <c r="G3" i="442"/>
  <c r="J5" i="441"/>
  <c r="G3" i="441"/>
  <c r="J5" i="318"/>
  <c r="G3" i="318"/>
  <c r="J5" i="317"/>
  <c r="G3" i="317"/>
  <c r="J5" i="393"/>
  <c r="G3" i="393"/>
  <c r="J5" i="316"/>
  <c r="G3" i="316"/>
  <c r="J5" i="315"/>
  <c r="G3" i="315"/>
  <c r="J5" i="314"/>
  <c r="G3" i="314"/>
  <c r="J5" i="313"/>
  <c r="G3" i="313"/>
  <c r="J5" i="308"/>
  <c r="G3" i="308"/>
  <c r="J5" i="307"/>
  <c r="G3" i="307"/>
  <c r="J5" i="288"/>
  <c r="G3" i="288"/>
  <c r="J5" i="286"/>
  <c r="G3" i="286"/>
  <c r="J5" i="287"/>
  <c r="G3" i="287"/>
  <c r="J5" i="311"/>
  <c r="G3" i="311"/>
  <c r="J5" i="285"/>
  <c r="G3" i="285"/>
  <c r="G1" i="137"/>
  <c r="J5" i="312"/>
  <c r="G3" i="312"/>
  <c r="J5" i="284"/>
  <c r="G3" i="284"/>
  <c r="J5" i="283"/>
  <c r="G3" i="283"/>
  <c r="J5" i="282"/>
  <c r="G3" i="282"/>
  <c r="J5" i="281"/>
  <c r="G3" i="281"/>
  <c r="J5" i="276"/>
  <c r="G3" i="276"/>
  <c r="J5" i="279"/>
  <c r="G3" i="279"/>
  <c r="J5" i="493"/>
  <c r="G3" i="493"/>
  <c r="J5" i="340"/>
  <c r="G3" i="340"/>
  <c r="J5" i="280"/>
  <c r="G3" i="280"/>
  <c r="J5" i="278"/>
  <c r="G3" i="278"/>
  <c r="J5" i="277"/>
  <c r="G3" i="277"/>
  <c r="J5" i="113"/>
  <c r="G3" i="113"/>
  <c r="J5" i="164"/>
  <c r="G3" i="164"/>
  <c r="J5" i="163"/>
  <c r="G3" i="163"/>
  <c r="J5" i="162"/>
  <c r="G3" i="162"/>
  <c r="J5" i="160"/>
  <c r="G3" i="160"/>
  <c r="J5" i="161"/>
  <c r="G3" i="161"/>
  <c r="F32" i="137"/>
  <c r="F34" i="137"/>
  <c r="A39" i="137"/>
  <c r="G36" i="137"/>
  <c r="A38" i="137"/>
  <c r="D124" i="489" l="1"/>
  <c r="D184" i="489"/>
  <c r="D64" i="489"/>
  <c r="E124" i="489"/>
  <c r="E184" i="489"/>
  <c r="E64" i="489"/>
  <c r="F124" i="489"/>
  <c r="F184" i="489"/>
  <c r="F64" i="489"/>
  <c r="G124" i="489"/>
  <c r="G184" i="489"/>
  <c r="G64" i="489"/>
  <c r="E19" i="504"/>
  <c r="F19" i="504" s="1"/>
  <c r="E21" i="504"/>
  <c r="F21" i="504" s="1"/>
  <c r="G21" i="504"/>
  <c r="H21" i="504"/>
  <c r="I21" i="504"/>
  <c r="J21" i="504"/>
  <c r="C27" i="504"/>
  <c r="J23" i="504"/>
  <c r="H23" i="504"/>
  <c r="J22" i="504"/>
  <c r="I22" i="504"/>
  <c r="H22" i="504"/>
  <c r="G22" i="504"/>
  <c r="J20" i="504"/>
  <c r="I20" i="504"/>
  <c r="H20" i="504"/>
  <c r="G20" i="504"/>
  <c r="E20" i="504"/>
  <c r="F20" i="504" s="1"/>
  <c r="J19" i="504"/>
  <c r="I19" i="504"/>
  <c r="H19" i="504"/>
  <c r="G19" i="504"/>
  <c r="E19" i="503"/>
  <c r="F19" i="503" s="1"/>
  <c r="C27" i="503"/>
  <c r="J23" i="503"/>
  <c r="H23" i="503"/>
  <c r="J22" i="503"/>
  <c r="I22" i="503"/>
  <c r="H22" i="503"/>
  <c r="G22" i="503"/>
  <c r="F22" i="503"/>
  <c r="J21" i="503"/>
  <c r="I21" i="503"/>
  <c r="H21" i="503"/>
  <c r="G21" i="503"/>
  <c r="F21" i="503"/>
  <c r="J20" i="503"/>
  <c r="I20" i="503"/>
  <c r="H20" i="503"/>
  <c r="G20" i="503"/>
  <c r="E20" i="503"/>
  <c r="F20" i="503" s="1"/>
  <c r="J19" i="503"/>
  <c r="I19" i="503"/>
  <c r="H19" i="503"/>
  <c r="G19" i="503"/>
  <c r="E19" i="502"/>
  <c r="F19" i="502" s="1"/>
  <c r="C27" i="502"/>
  <c r="J23" i="502"/>
  <c r="H23" i="502"/>
  <c r="J22" i="502"/>
  <c r="I22" i="502"/>
  <c r="H22" i="502"/>
  <c r="G22" i="502"/>
  <c r="F22" i="502"/>
  <c r="J21" i="502"/>
  <c r="I21" i="502"/>
  <c r="H21" i="502"/>
  <c r="G21" i="502"/>
  <c r="F21" i="502"/>
  <c r="J20" i="502"/>
  <c r="I20" i="502"/>
  <c r="H20" i="502"/>
  <c r="G20" i="502"/>
  <c r="E20" i="502"/>
  <c r="F20" i="502" s="1"/>
  <c r="J19" i="502"/>
  <c r="I19" i="502"/>
  <c r="H19" i="502"/>
  <c r="G19" i="502"/>
  <c r="E19" i="501"/>
  <c r="F19" i="501" s="1"/>
  <c r="E19" i="500"/>
  <c r="F19" i="500" s="1"/>
  <c r="C27" i="501"/>
  <c r="J23" i="501"/>
  <c r="H23" i="501"/>
  <c r="J22" i="501"/>
  <c r="I22" i="501"/>
  <c r="H22" i="501"/>
  <c r="G22" i="501"/>
  <c r="F22" i="501"/>
  <c r="J21" i="501"/>
  <c r="I21" i="501"/>
  <c r="H21" i="501"/>
  <c r="G21" i="501"/>
  <c r="E21" i="501"/>
  <c r="F21" i="501" s="1"/>
  <c r="M21" i="501" s="1"/>
  <c r="J20" i="501"/>
  <c r="I20" i="501"/>
  <c r="H20" i="501"/>
  <c r="G20" i="501"/>
  <c r="E20" i="501"/>
  <c r="F20" i="501" s="1"/>
  <c r="J19" i="501"/>
  <c r="I19" i="501"/>
  <c r="H19" i="501"/>
  <c r="G19" i="501"/>
  <c r="C27" i="500"/>
  <c r="J23" i="500"/>
  <c r="H23" i="500"/>
  <c r="J22" i="500"/>
  <c r="I22" i="500"/>
  <c r="H22" i="500"/>
  <c r="G22" i="500"/>
  <c r="F22" i="500"/>
  <c r="J21" i="500"/>
  <c r="I21" i="500"/>
  <c r="H21" i="500"/>
  <c r="G21" i="500"/>
  <c r="E21" i="500"/>
  <c r="F21" i="500" s="1"/>
  <c r="M21" i="500" s="1"/>
  <c r="J20" i="500"/>
  <c r="I20" i="500"/>
  <c r="H20" i="500"/>
  <c r="G20" i="500"/>
  <c r="E20" i="500"/>
  <c r="F20" i="500" s="1"/>
  <c r="J19" i="500"/>
  <c r="I19" i="500"/>
  <c r="H19" i="500"/>
  <c r="G19" i="500"/>
  <c r="C278" i="147"/>
  <c r="B278" i="147"/>
  <c r="B648" i="147" s="1"/>
  <c r="E21" i="497"/>
  <c r="F21" i="497" s="1"/>
  <c r="C27" i="497"/>
  <c r="J23" i="497"/>
  <c r="H23" i="497"/>
  <c r="J22" i="497"/>
  <c r="I22" i="497"/>
  <c r="H22" i="497"/>
  <c r="G22" i="497"/>
  <c r="F22" i="497"/>
  <c r="J21" i="497"/>
  <c r="I21" i="497"/>
  <c r="H21" i="497"/>
  <c r="G21" i="497"/>
  <c r="J20" i="497"/>
  <c r="I20" i="497"/>
  <c r="H20" i="497"/>
  <c r="G20" i="497"/>
  <c r="E20" i="497"/>
  <c r="F20" i="497" s="1"/>
  <c r="J19" i="497"/>
  <c r="I19" i="497"/>
  <c r="H19" i="497"/>
  <c r="G19" i="497"/>
  <c r="E19" i="497"/>
  <c r="F19" i="497" s="1"/>
  <c r="D335" i="147"/>
  <c r="E335" i="147"/>
  <c r="F335" i="147"/>
  <c r="G335" i="147"/>
  <c r="D336" i="147"/>
  <c r="E336" i="147"/>
  <c r="F336" i="147"/>
  <c r="G336" i="147"/>
  <c r="D337" i="147"/>
  <c r="E337" i="147"/>
  <c r="F337" i="147"/>
  <c r="G337" i="147"/>
  <c r="G334" i="147"/>
  <c r="F334" i="147"/>
  <c r="E334" i="147"/>
  <c r="D334" i="147"/>
  <c r="D330" i="147"/>
  <c r="E330" i="147"/>
  <c r="F330" i="147"/>
  <c r="G330" i="147"/>
  <c r="D331" i="147"/>
  <c r="E331" i="147"/>
  <c r="F331" i="147"/>
  <c r="G331" i="147"/>
  <c r="D332" i="147"/>
  <c r="E332" i="147"/>
  <c r="F332" i="147"/>
  <c r="G332" i="147"/>
  <c r="D333" i="147"/>
  <c r="E333" i="147"/>
  <c r="F333" i="147"/>
  <c r="G333" i="147"/>
  <c r="G329" i="147"/>
  <c r="F329" i="147"/>
  <c r="E329" i="147"/>
  <c r="D329" i="147"/>
  <c r="FL1262" i="489"/>
  <c r="FK1262" i="489"/>
  <c r="FJ1262" i="489"/>
  <c r="FI1262" i="489"/>
  <c r="FH1262" i="489"/>
  <c r="FG1262" i="489"/>
  <c r="FF1262" i="489"/>
  <c r="FE1262" i="489"/>
  <c r="FD1262" i="489"/>
  <c r="FC1262" i="489"/>
  <c r="FB1262" i="489"/>
  <c r="FA1262" i="489"/>
  <c r="EZ1262" i="489"/>
  <c r="FL1256" i="489"/>
  <c r="FK1256" i="489"/>
  <c r="FJ1256" i="489"/>
  <c r="FI1256" i="489"/>
  <c r="FH1256" i="489"/>
  <c r="FG1256" i="489"/>
  <c r="FF1256" i="489"/>
  <c r="FE1256" i="489"/>
  <c r="FD1256" i="489"/>
  <c r="FC1256" i="489"/>
  <c r="FB1256" i="489"/>
  <c r="FA1256" i="489"/>
  <c r="EZ1256" i="489"/>
  <c r="FL1246" i="489"/>
  <c r="FK1246" i="489"/>
  <c r="FJ1246" i="489"/>
  <c r="FI1246" i="489"/>
  <c r="FH1246" i="489"/>
  <c r="FG1246" i="489"/>
  <c r="FF1246" i="489"/>
  <c r="FE1246" i="489"/>
  <c r="FD1246" i="489"/>
  <c r="FC1246" i="489"/>
  <c r="FB1246" i="489"/>
  <c r="FA1246" i="489"/>
  <c r="EZ1246" i="489"/>
  <c r="FL1234" i="489"/>
  <c r="FK1234" i="489"/>
  <c r="FJ1234" i="489"/>
  <c r="FI1234" i="489"/>
  <c r="FH1234" i="489"/>
  <c r="FG1234" i="489"/>
  <c r="FF1234" i="489"/>
  <c r="FE1234" i="489"/>
  <c r="FD1234" i="489"/>
  <c r="FC1234" i="489"/>
  <c r="FB1234" i="489"/>
  <c r="FA1234" i="489"/>
  <c r="EZ1234" i="489"/>
  <c r="FL1228" i="489"/>
  <c r="FK1228" i="489"/>
  <c r="FJ1228" i="489"/>
  <c r="FI1228" i="489"/>
  <c r="FH1228" i="489"/>
  <c r="FG1228" i="489"/>
  <c r="FF1228" i="489"/>
  <c r="FE1228" i="489"/>
  <c r="FD1228" i="489"/>
  <c r="FC1228" i="489"/>
  <c r="FB1228" i="489"/>
  <c r="FA1228" i="489"/>
  <c r="EZ1228" i="489"/>
  <c r="FL1218" i="489"/>
  <c r="FK1218" i="489"/>
  <c r="FJ1218" i="489"/>
  <c r="FI1218" i="489"/>
  <c r="FH1218" i="489"/>
  <c r="FG1218" i="489"/>
  <c r="FF1218" i="489"/>
  <c r="FE1218" i="489"/>
  <c r="FD1218" i="489"/>
  <c r="FC1218" i="489"/>
  <c r="FB1218" i="489"/>
  <c r="FA1218" i="489"/>
  <c r="EZ1218" i="489"/>
  <c r="FL1206" i="489"/>
  <c r="FK1206" i="489"/>
  <c r="FJ1206" i="489"/>
  <c r="FI1206" i="489"/>
  <c r="FH1206" i="489"/>
  <c r="FG1206" i="489"/>
  <c r="FF1206" i="489"/>
  <c r="FE1206" i="489"/>
  <c r="FD1206" i="489"/>
  <c r="FC1206" i="489"/>
  <c r="FB1206" i="489"/>
  <c r="FA1206" i="489"/>
  <c r="EZ1206" i="489"/>
  <c r="FL1200" i="489"/>
  <c r="FK1200" i="489"/>
  <c r="FJ1200" i="489"/>
  <c r="FI1200" i="489"/>
  <c r="FH1200" i="489"/>
  <c r="FG1200" i="489"/>
  <c r="FF1200" i="489"/>
  <c r="FE1200" i="489"/>
  <c r="FD1200" i="489"/>
  <c r="FC1200" i="489"/>
  <c r="FB1200" i="489"/>
  <c r="FA1200" i="489"/>
  <c r="EZ1200" i="489"/>
  <c r="FL1190" i="489"/>
  <c r="FK1190" i="489"/>
  <c r="FJ1190" i="489"/>
  <c r="FI1190" i="489"/>
  <c r="FH1190" i="489"/>
  <c r="FG1190" i="489"/>
  <c r="FF1190" i="489"/>
  <c r="FE1190" i="489"/>
  <c r="FD1190" i="489"/>
  <c r="FC1190" i="489"/>
  <c r="FB1190" i="489"/>
  <c r="FA1190" i="489"/>
  <c r="EZ1190" i="489"/>
  <c r="FL1178" i="489"/>
  <c r="FK1178" i="489"/>
  <c r="FJ1178" i="489"/>
  <c r="FI1178" i="489"/>
  <c r="FH1178" i="489"/>
  <c r="FG1178" i="489"/>
  <c r="FF1178" i="489"/>
  <c r="FE1178" i="489"/>
  <c r="FD1178" i="489"/>
  <c r="FC1178" i="489"/>
  <c r="FB1178" i="489"/>
  <c r="FA1178" i="489"/>
  <c r="EZ1178" i="489"/>
  <c r="FL1172" i="489"/>
  <c r="FK1172" i="489"/>
  <c r="FJ1172" i="489"/>
  <c r="FI1172" i="489"/>
  <c r="FH1172" i="489"/>
  <c r="FG1172" i="489"/>
  <c r="FF1172" i="489"/>
  <c r="FE1172" i="489"/>
  <c r="FD1172" i="489"/>
  <c r="FC1172" i="489"/>
  <c r="FB1172" i="489"/>
  <c r="FA1172" i="489"/>
  <c r="EZ1172" i="489"/>
  <c r="FL1162" i="489"/>
  <c r="FK1162" i="489"/>
  <c r="FJ1162" i="489"/>
  <c r="FI1162" i="489"/>
  <c r="FH1162" i="489"/>
  <c r="FG1162" i="489"/>
  <c r="FF1162" i="489"/>
  <c r="FE1162" i="489"/>
  <c r="FD1162" i="489"/>
  <c r="FC1162" i="489"/>
  <c r="FB1162" i="489"/>
  <c r="FA1162" i="489"/>
  <c r="EZ1162" i="489"/>
  <c r="FL1150" i="489"/>
  <c r="FK1150" i="489"/>
  <c r="FJ1150" i="489"/>
  <c r="FI1150" i="489"/>
  <c r="FH1150" i="489"/>
  <c r="FG1150" i="489"/>
  <c r="FF1150" i="489"/>
  <c r="FE1150" i="489"/>
  <c r="FD1150" i="489"/>
  <c r="FC1150" i="489"/>
  <c r="FB1150" i="489"/>
  <c r="FA1150" i="489"/>
  <c r="EZ1150" i="489"/>
  <c r="FL1144" i="489"/>
  <c r="FK1144" i="489"/>
  <c r="FJ1144" i="489"/>
  <c r="FI1144" i="489"/>
  <c r="FH1144" i="489"/>
  <c r="FG1144" i="489"/>
  <c r="FF1144" i="489"/>
  <c r="FE1144" i="489"/>
  <c r="FD1144" i="489"/>
  <c r="FC1144" i="489"/>
  <c r="FB1144" i="489"/>
  <c r="FA1144" i="489"/>
  <c r="EZ1144" i="489"/>
  <c r="FL1134" i="489"/>
  <c r="FK1134" i="489"/>
  <c r="FJ1134" i="489"/>
  <c r="FI1134" i="489"/>
  <c r="FH1134" i="489"/>
  <c r="FG1134" i="489"/>
  <c r="FF1134" i="489"/>
  <c r="FE1134" i="489"/>
  <c r="FD1134" i="489"/>
  <c r="FC1134" i="489"/>
  <c r="FB1134" i="489"/>
  <c r="FA1134" i="489"/>
  <c r="EZ1134" i="489"/>
  <c r="FL1122" i="489"/>
  <c r="FK1122" i="489"/>
  <c r="FJ1122" i="489"/>
  <c r="FI1122" i="489"/>
  <c r="FH1122" i="489"/>
  <c r="FG1122" i="489"/>
  <c r="FF1122" i="489"/>
  <c r="FE1122" i="489"/>
  <c r="FD1122" i="489"/>
  <c r="FC1122" i="489"/>
  <c r="FB1122" i="489"/>
  <c r="FA1122" i="489"/>
  <c r="EZ1122" i="489"/>
  <c r="FL1116" i="489"/>
  <c r="FK1116" i="489"/>
  <c r="FJ1116" i="489"/>
  <c r="FI1116" i="489"/>
  <c r="FH1116" i="489"/>
  <c r="FG1116" i="489"/>
  <c r="FF1116" i="489"/>
  <c r="FE1116" i="489"/>
  <c r="FD1116" i="489"/>
  <c r="FC1116" i="489"/>
  <c r="FB1116" i="489"/>
  <c r="FA1116" i="489"/>
  <c r="EZ1116" i="489"/>
  <c r="FL1106" i="489"/>
  <c r="FK1106" i="489"/>
  <c r="FJ1106" i="489"/>
  <c r="FI1106" i="489"/>
  <c r="FH1106" i="489"/>
  <c r="FG1106" i="489"/>
  <c r="FF1106" i="489"/>
  <c r="FE1106" i="489"/>
  <c r="FD1106" i="489"/>
  <c r="FC1106" i="489"/>
  <c r="FB1106" i="489"/>
  <c r="FA1106" i="489"/>
  <c r="EZ1106" i="489"/>
  <c r="FL1094" i="489"/>
  <c r="FK1094" i="489"/>
  <c r="FJ1094" i="489"/>
  <c r="FI1094" i="489"/>
  <c r="FH1094" i="489"/>
  <c r="FG1094" i="489"/>
  <c r="FF1094" i="489"/>
  <c r="FE1094" i="489"/>
  <c r="FD1094" i="489"/>
  <c r="FC1094" i="489"/>
  <c r="FB1094" i="489"/>
  <c r="FA1094" i="489"/>
  <c r="EZ1094" i="489"/>
  <c r="FL1088" i="489"/>
  <c r="FK1088" i="489"/>
  <c r="FJ1088" i="489"/>
  <c r="FI1088" i="489"/>
  <c r="FH1088" i="489"/>
  <c r="FG1088" i="489"/>
  <c r="FF1088" i="489"/>
  <c r="FE1088" i="489"/>
  <c r="FD1088" i="489"/>
  <c r="FC1088" i="489"/>
  <c r="FB1088" i="489"/>
  <c r="FA1088" i="489"/>
  <c r="EZ1088" i="489"/>
  <c r="FL1078" i="489"/>
  <c r="FK1078" i="489"/>
  <c r="FJ1078" i="489"/>
  <c r="FI1078" i="489"/>
  <c r="FH1078" i="489"/>
  <c r="FG1078" i="489"/>
  <c r="FF1078" i="489"/>
  <c r="FE1078" i="489"/>
  <c r="FD1078" i="489"/>
  <c r="FC1078" i="489"/>
  <c r="FB1078" i="489"/>
  <c r="FA1078" i="489"/>
  <c r="EZ1078" i="489"/>
  <c r="FL1066" i="489"/>
  <c r="FK1066" i="489"/>
  <c r="FJ1066" i="489"/>
  <c r="FI1066" i="489"/>
  <c r="FH1066" i="489"/>
  <c r="FG1066" i="489"/>
  <c r="FF1066" i="489"/>
  <c r="FE1066" i="489"/>
  <c r="FD1066" i="489"/>
  <c r="FC1066" i="489"/>
  <c r="FB1066" i="489"/>
  <c r="FA1066" i="489"/>
  <c r="EZ1066" i="489"/>
  <c r="FL1060" i="489"/>
  <c r="FK1060" i="489"/>
  <c r="FJ1060" i="489"/>
  <c r="FI1060" i="489"/>
  <c r="FH1060" i="489"/>
  <c r="FG1060" i="489"/>
  <c r="FF1060" i="489"/>
  <c r="FE1060" i="489"/>
  <c r="FD1060" i="489"/>
  <c r="FC1060" i="489"/>
  <c r="FB1060" i="489"/>
  <c r="FA1060" i="489"/>
  <c r="EZ1060" i="489"/>
  <c r="FL1050" i="489"/>
  <c r="FK1050" i="489"/>
  <c r="FJ1050" i="489"/>
  <c r="FI1050" i="489"/>
  <c r="FH1050" i="489"/>
  <c r="FG1050" i="489"/>
  <c r="FF1050" i="489"/>
  <c r="FE1050" i="489"/>
  <c r="FD1050" i="489"/>
  <c r="FC1050" i="489"/>
  <c r="FB1050" i="489"/>
  <c r="FA1050" i="489"/>
  <c r="EZ1050" i="489"/>
  <c r="FL1038" i="489"/>
  <c r="FK1038" i="489"/>
  <c r="FJ1038" i="489"/>
  <c r="FI1038" i="489"/>
  <c r="FH1038" i="489"/>
  <c r="FG1038" i="489"/>
  <c r="FF1038" i="489"/>
  <c r="FE1038" i="489"/>
  <c r="FD1038" i="489"/>
  <c r="FC1038" i="489"/>
  <c r="FB1038" i="489"/>
  <c r="FA1038" i="489"/>
  <c r="EZ1038" i="489"/>
  <c r="FL1032" i="489"/>
  <c r="FK1032" i="489"/>
  <c r="FJ1032" i="489"/>
  <c r="FI1032" i="489"/>
  <c r="FH1032" i="489"/>
  <c r="FG1032" i="489"/>
  <c r="FF1032" i="489"/>
  <c r="FE1032" i="489"/>
  <c r="FD1032" i="489"/>
  <c r="FC1032" i="489"/>
  <c r="FB1032" i="489"/>
  <c r="FA1032" i="489"/>
  <c r="EZ1032" i="489"/>
  <c r="FL1022" i="489"/>
  <c r="FK1022" i="489"/>
  <c r="FJ1022" i="489"/>
  <c r="FI1022" i="489"/>
  <c r="FH1022" i="489"/>
  <c r="FG1022" i="489"/>
  <c r="FF1022" i="489"/>
  <c r="FE1022" i="489"/>
  <c r="FD1022" i="489"/>
  <c r="FC1022" i="489"/>
  <c r="FB1022" i="489"/>
  <c r="FA1022" i="489"/>
  <c r="EZ1022" i="489"/>
  <c r="FL994" i="489"/>
  <c r="FK994" i="489"/>
  <c r="FJ994" i="489"/>
  <c r="FI994" i="489"/>
  <c r="FH994" i="489"/>
  <c r="FG994" i="489"/>
  <c r="FF994" i="489"/>
  <c r="FE994" i="489"/>
  <c r="FD994" i="489"/>
  <c r="FC994" i="489"/>
  <c r="FB994" i="489"/>
  <c r="FA994" i="489"/>
  <c r="EZ994" i="489"/>
  <c r="EZ968" i="489"/>
  <c r="EZ885" i="489"/>
  <c r="EZ844" i="489"/>
  <c r="EZ831" i="489"/>
  <c r="EZ809" i="489"/>
  <c r="EZ726" i="489"/>
  <c r="EZ685" i="489"/>
  <c r="EZ672" i="489"/>
  <c r="EZ650" i="489"/>
  <c r="EZ567" i="489"/>
  <c r="EZ526" i="489"/>
  <c r="EZ513" i="489"/>
  <c r="EZ491" i="489"/>
  <c r="EZ408" i="489"/>
  <c r="EZ367" i="489"/>
  <c r="EZ354" i="489"/>
  <c r="FL312" i="489"/>
  <c r="FK312" i="489"/>
  <c r="FJ312" i="489"/>
  <c r="FI312" i="489"/>
  <c r="FH312" i="489"/>
  <c r="FG312" i="489"/>
  <c r="FF312" i="489"/>
  <c r="FE312" i="489"/>
  <c r="FD312" i="489"/>
  <c r="FC312" i="489"/>
  <c r="FB312" i="489"/>
  <c r="FA312" i="489"/>
  <c r="EZ312" i="489"/>
  <c r="FL306" i="489"/>
  <c r="FK306" i="489"/>
  <c r="FJ306" i="489"/>
  <c r="FI306" i="489"/>
  <c r="FH306" i="489"/>
  <c r="FG306" i="489"/>
  <c r="FF306" i="489"/>
  <c r="FE306" i="489"/>
  <c r="FD306" i="489"/>
  <c r="FC306" i="489"/>
  <c r="FB306" i="489"/>
  <c r="FA306" i="489"/>
  <c r="EZ306" i="489"/>
  <c r="FL293" i="489"/>
  <c r="FK293" i="489"/>
  <c r="FJ293" i="489"/>
  <c r="FI293" i="489"/>
  <c r="FH293" i="489"/>
  <c r="FG293" i="489"/>
  <c r="FF293" i="489"/>
  <c r="FE293" i="489"/>
  <c r="FD293" i="489"/>
  <c r="FC293" i="489"/>
  <c r="FB293" i="489"/>
  <c r="FA293" i="489"/>
  <c r="EZ293" i="489"/>
  <c r="FL292" i="489"/>
  <c r="FK292" i="489"/>
  <c r="FJ292" i="489"/>
  <c r="FI292" i="489"/>
  <c r="FH292" i="489"/>
  <c r="FG292" i="489"/>
  <c r="FF292" i="489"/>
  <c r="FE292" i="489"/>
  <c r="FD292" i="489"/>
  <c r="FC292" i="489"/>
  <c r="FB292" i="489"/>
  <c r="FA292" i="489"/>
  <c r="EZ292" i="489"/>
  <c r="FL291" i="489"/>
  <c r="FK291" i="489"/>
  <c r="FJ291" i="489"/>
  <c r="FI291" i="489"/>
  <c r="FH291" i="489"/>
  <c r="FG291" i="489"/>
  <c r="FF291" i="489"/>
  <c r="FE291" i="489"/>
  <c r="FD291" i="489"/>
  <c r="FC291" i="489"/>
  <c r="FB291" i="489"/>
  <c r="FA291" i="489"/>
  <c r="EZ291" i="489"/>
  <c r="FL290" i="489"/>
  <c r="FK290" i="489"/>
  <c r="FJ290" i="489"/>
  <c r="FI290" i="489"/>
  <c r="FH290" i="489"/>
  <c r="FG290" i="489"/>
  <c r="FF290" i="489"/>
  <c r="FE290" i="489"/>
  <c r="FD290" i="489"/>
  <c r="FC290" i="489"/>
  <c r="FB290" i="489"/>
  <c r="FA290" i="489"/>
  <c r="EZ290" i="489"/>
  <c r="FL289" i="489"/>
  <c r="FK289" i="489"/>
  <c r="FJ289" i="489"/>
  <c r="FI289" i="489"/>
  <c r="FH289" i="489"/>
  <c r="FG289" i="489"/>
  <c r="FF289" i="489"/>
  <c r="FE289" i="489"/>
  <c r="FD289" i="489"/>
  <c r="FC289" i="489"/>
  <c r="FB289" i="489"/>
  <c r="FA289" i="489"/>
  <c r="EZ289" i="489"/>
  <c r="FL288" i="489"/>
  <c r="FK288" i="489"/>
  <c r="FJ288" i="489"/>
  <c r="FI288" i="489"/>
  <c r="FH288" i="489"/>
  <c r="FG288" i="489"/>
  <c r="FF288" i="489"/>
  <c r="FE288" i="489"/>
  <c r="FD288" i="489"/>
  <c r="FC288" i="489"/>
  <c r="FB288" i="489"/>
  <c r="FA288" i="489"/>
  <c r="EZ288" i="489"/>
  <c r="FL287" i="489"/>
  <c r="FK287" i="489"/>
  <c r="FJ287" i="489"/>
  <c r="FI287" i="489"/>
  <c r="FH287" i="489"/>
  <c r="FG287" i="489"/>
  <c r="FF287" i="489"/>
  <c r="FE287" i="489"/>
  <c r="FD287" i="489"/>
  <c r="FC287" i="489"/>
  <c r="FB287" i="489"/>
  <c r="FA287" i="489"/>
  <c r="EZ287" i="489"/>
  <c r="FL282" i="489"/>
  <c r="FK282" i="489"/>
  <c r="FJ282" i="489"/>
  <c r="FI282" i="489"/>
  <c r="FH282" i="489"/>
  <c r="FG282" i="489"/>
  <c r="FF282" i="489"/>
  <c r="FE282" i="489"/>
  <c r="FD282" i="489"/>
  <c r="FC282" i="489"/>
  <c r="FB282" i="489"/>
  <c r="FA282" i="489"/>
  <c r="EZ282" i="489"/>
  <c r="FL273" i="489"/>
  <c r="FK273" i="489"/>
  <c r="FJ273" i="489"/>
  <c r="FI273" i="489"/>
  <c r="FH273" i="489"/>
  <c r="FG273" i="489"/>
  <c r="FF273" i="489"/>
  <c r="FE273" i="489"/>
  <c r="FD273" i="489"/>
  <c r="FC273" i="489"/>
  <c r="FB273" i="489"/>
  <c r="FA273" i="489"/>
  <c r="EZ273" i="489"/>
  <c r="FL272" i="489"/>
  <c r="FK272" i="489"/>
  <c r="FJ272" i="489"/>
  <c r="FI272" i="489"/>
  <c r="FH272" i="489"/>
  <c r="FG272" i="489"/>
  <c r="FF272" i="489"/>
  <c r="FE272" i="489"/>
  <c r="FD272" i="489"/>
  <c r="FC272" i="489"/>
  <c r="FB272" i="489"/>
  <c r="FA272" i="489"/>
  <c r="EZ272" i="489"/>
  <c r="FL271" i="489"/>
  <c r="FK271" i="489"/>
  <c r="FJ271" i="489"/>
  <c r="FI271" i="489"/>
  <c r="FH271" i="489"/>
  <c r="FG271" i="489"/>
  <c r="FF271" i="489"/>
  <c r="FE271" i="489"/>
  <c r="FD271" i="489"/>
  <c r="FC271" i="489"/>
  <c r="FB271" i="489"/>
  <c r="FA271" i="489"/>
  <c r="EZ271" i="489"/>
  <c r="FL270" i="489"/>
  <c r="FK270" i="489"/>
  <c r="FJ270" i="489"/>
  <c r="FI270" i="489"/>
  <c r="FH270" i="489"/>
  <c r="FG270" i="489"/>
  <c r="FF270" i="489"/>
  <c r="FE270" i="489"/>
  <c r="FD270" i="489"/>
  <c r="FC270" i="489"/>
  <c r="FB270" i="489"/>
  <c r="FA270" i="489"/>
  <c r="EZ270" i="489"/>
  <c r="FL269" i="489"/>
  <c r="FK269" i="489"/>
  <c r="FJ269" i="489"/>
  <c r="FI269" i="489"/>
  <c r="FH269" i="489"/>
  <c r="FG269" i="489"/>
  <c r="FF269" i="489"/>
  <c r="FE269" i="489"/>
  <c r="FD269" i="489"/>
  <c r="FC269" i="489"/>
  <c r="FB269" i="489"/>
  <c r="FA269" i="489"/>
  <c r="EZ269" i="489"/>
  <c r="FL268" i="489"/>
  <c r="FK268" i="489"/>
  <c r="FJ268" i="489"/>
  <c r="FI268" i="489"/>
  <c r="FH268" i="489"/>
  <c r="FG268" i="489"/>
  <c r="FF268" i="489"/>
  <c r="FE268" i="489"/>
  <c r="FD268" i="489"/>
  <c r="FC268" i="489"/>
  <c r="FB268" i="489"/>
  <c r="FA268" i="489"/>
  <c r="EZ268" i="489"/>
  <c r="FL267" i="489"/>
  <c r="FK267" i="489"/>
  <c r="FJ267" i="489"/>
  <c r="FI267" i="489"/>
  <c r="FH267" i="489"/>
  <c r="FG267" i="489"/>
  <c r="FF267" i="489"/>
  <c r="FE267" i="489"/>
  <c r="FD267" i="489"/>
  <c r="FC267" i="489"/>
  <c r="FB267" i="489"/>
  <c r="FA267" i="489"/>
  <c r="EZ267" i="489"/>
  <c r="FL260" i="489"/>
  <c r="FK260" i="489"/>
  <c r="FJ260" i="489"/>
  <c r="FI260" i="489"/>
  <c r="FH260" i="489"/>
  <c r="FG260" i="489"/>
  <c r="FF260" i="489"/>
  <c r="FE260" i="489"/>
  <c r="FD260" i="489"/>
  <c r="FC260" i="489"/>
  <c r="FB260" i="489"/>
  <c r="FA260" i="489"/>
  <c r="EZ260" i="489"/>
  <c r="FL259" i="489"/>
  <c r="FK259" i="489"/>
  <c r="FJ259" i="489"/>
  <c r="FI259" i="489"/>
  <c r="FH259" i="489"/>
  <c r="FG259" i="489"/>
  <c r="FF259" i="489"/>
  <c r="FE259" i="489"/>
  <c r="FD259" i="489"/>
  <c r="FC259" i="489"/>
  <c r="FB259" i="489"/>
  <c r="FA259" i="489"/>
  <c r="EZ259" i="489"/>
  <c r="FL258" i="489"/>
  <c r="FK258" i="489"/>
  <c r="FJ258" i="489"/>
  <c r="FI258" i="489"/>
  <c r="FH258" i="489"/>
  <c r="FG258" i="489"/>
  <c r="FF258" i="489"/>
  <c r="FE258" i="489"/>
  <c r="FD258" i="489"/>
  <c r="FC258" i="489"/>
  <c r="FB258" i="489"/>
  <c r="FA258" i="489"/>
  <c r="EZ258" i="489"/>
  <c r="FL257" i="489"/>
  <c r="FK257" i="489"/>
  <c r="FJ257" i="489"/>
  <c r="FI257" i="489"/>
  <c r="FH257" i="489"/>
  <c r="FG257" i="489"/>
  <c r="FF257" i="489"/>
  <c r="FE257" i="489"/>
  <c r="FD257" i="489"/>
  <c r="FC257" i="489"/>
  <c r="FB257" i="489"/>
  <c r="FA257" i="489"/>
  <c r="EZ257" i="489"/>
  <c r="FL252" i="489"/>
  <c r="FK252" i="489"/>
  <c r="FJ252" i="489"/>
  <c r="FI252" i="489"/>
  <c r="FH252" i="489"/>
  <c r="FG252" i="489"/>
  <c r="FF252" i="489"/>
  <c r="FE252" i="489"/>
  <c r="FD252" i="489"/>
  <c r="FC252" i="489"/>
  <c r="FB252" i="489"/>
  <c r="FA252" i="489"/>
  <c r="EZ252" i="489"/>
  <c r="FL243" i="489"/>
  <c r="FK243" i="489"/>
  <c r="FJ243" i="489"/>
  <c r="FI243" i="489"/>
  <c r="FH243" i="489"/>
  <c r="FG243" i="489"/>
  <c r="FF243" i="489"/>
  <c r="FE243" i="489"/>
  <c r="FD243" i="489"/>
  <c r="FC243" i="489"/>
  <c r="FB243" i="489"/>
  <c r="FA243" i="489"/>
  <c r="EZ243" i="489"/>
  <c r="FL242" i="489"/>
  <c r="FK242" i="489"/>
  <c r="FJ242" i="489"/>
  <c r="FI242" i="489"/>
  <c r="FH242" i="489"/>
  <c r="FG242" i="489"/>
  <c r="FF242" i="489"/>
  <c r="FE242" i="489"/>
  <c r="FD242" i="489"/>
  <c r="FC242" i="489"/>
  <c r="FB242" i="489"/>
  <c r="FA242" i="489"/>
  <c r="EZ242" i="489"/>
  <c r="FL241" i="489"/>
  <c r="FK241" i="489"/>
  <c r="FJ241" i="489"/>
  <c r="FI241" i="489"/>
  <c r="FH241" i="489"/>
  <c r="FG241" i="489"/>
  <c r="FF241" i="489"/>
  <c r="FE241" i="489"/>
  <c r="FD241" i="489"/>
  <c r="FC241" i="489"/>
  <c r="FB241" i="489"/>
  <c r="FA241" i="489"/>
  <c r="EZ241" i="489"/>
  <c r="FL240" i="489"/>
  <c r="FK240" i="489"/>
  <c r="FJ240" i="489"/>
  <c r="FI240" i="489"/>
  <c r="FH240" i="489"/>
  <c r="FG240" i="489"/>
  <c r="FF240" i="489"/>
  <c r="FE240" i="489"/>
  <c r="FD240" i="489"/>
  <c r="FC240" i="489"/>
  <c r="FB240" i="489"/>
  <c r="FA240" i="489"/>
  <c r="EZ240" i="489"/>
  <c r="FL239" i="489"/>
  <c r="FK239" i="489"/>
  <c r="FJ239" i="489"/>
  <c r="FI239" i="489"/>
  <c r="FH239" i="489"/>
  <c r="FG239" i="489"/>
  <c r="FF239" i="489"/>
  <c r="FE239" i="489"/>
  <c r="FD239" i="489"/>
  <c r="FC239" i="489"/>
  <c r="FB239" i="489"/>
  <c r="FA239" i="489"/>
  <c r="EZ239" i="489"/>
  <c r="FL238" i="489"/>
  <c r="FK238" i="489"/>
  <c r="FJ238" i="489"/>
  <c r="FI238" i="489"/>
  <c r="FH238" i="489"/>
  <c r="FG238" i="489"/>
  <c r="FF238" i="489"/>
  <c r="FE238" i="489"/>
  <c r="FD238" i="489"/>
  <c r="FC238" i="489"/>
  <c r="FB238" i="489"/>
  <c r="FA238" i="489"/>
  <c r="EZ238" i="489"/>
  <c r="FL237" i="489"/>
  <c r="FK237" i="489"/>
  <c r="FJ237" i="489"/>
  <c r="FI237" i="489"/>
  <c r="FH237" i="489"/>
  <c r="FG237" i="489"/>
  <c r="FF237" i="489"/>
  <c r="FE237" i="489"/>
  <c r="FD237" i="489"/>
  <c r="FC237" i="489"/>
  <c r="FB237" i="489"/>
  <c r="FA237" i="489"/>
  <c r="EZ237" i="489"/>
  <c r="FL232" i="489"/>
  <c r="FK232" i="489"/>
  <c r="FJ232" i="489"/>
  <c r="FI232" i="489"/>
  <c r="FH232" i="489"/>
  <c r="FG232" i="489"/>
  <c r="FF232" i="489"/>
  <c r="FE232" i="489"/>
  <c r="FD232" i="489"/>
  <c r="FC232" i="489"/>
  <c r="FB232" i="489"/>
  <c r="FA232" i="489"/>
  <c r="EZ232" i="489"/>
  <c r="FL231" i="489"/>
  <c r="FK231" i="489"/>
  <c r="FJ231" i="489"/>
  <c r="FI231" i="489"/>
  <c r="FH231" i="489"/>
  <c r="FG231" i="489"/>
  <c r="FF231" i="489"/>
  <c r="FE231" i="489"/>
  <c r="FD231" i="489"/>
  <c r="FC231" i="489"/>
  <c r="FB231" i="489"/>
  <c r="FA231" i="489"/>
  <c r="EZ231" i="489"/>
  <c r="FL230" i="489"/>
  <c r="FK230" i="489"/>
  <c r="FJ230" i="489"/>
  <c r="FI230" i="489"/>
  <c r="FH230" i="489"/>
  <c r="FG230" i="489"/>
  <c r="FF230" i="489"/>
  <c r="FE230" i="489"/>
  <c r="FD230" i="489"/>
  <c r="FC230" i="489"/>
  <c r="FB230" i="489"/>
  <c r="FA230" i="489"/>
  <c r="EZ230" i="489"/>
  <c r="FL229" i="489"/>
  <c r="FK229" i="489"/>
  <c r="FJ229" i="489"/>
  <c r="FI229" i="489"/>
  <c r="FH229" i="489"/>
  <c r="FG229" i="489"/>
  <c r="FF229" i="489"/>
  <c r="FE229" i="489"/>
  <c r="FD229" i="489"/>
  <c r="FC229" i="489"/>
  <c r="FB229" i="489"/>
  <c r="FA229" i="489"/>
  <c r="EZ229" i="489"/>
  <c r="FL228" i="489"/>
  <c r="FK228" i="489"/>
  <c r="FJ228" i="489"/>
  <c r="FI228" i="489"/>
  <c r="FH228" i="489"/>
  <c r="FG228" i="489"/>
  <c r="FF228" i="489"/>
  <c r="FE228" i="489"/>
  <c r="FD228" i="489"/>
  <c r="FC228" i="489"/>
  <c r="FB228" i="489"/>
  <c r="FA228" i="489"/>
  <c r="EZ228" i="489"/>
  <c r="FL227" i="489"/>
  <c r="FK227" i="489"/>
  <c r="FJ227" i="489"/>
  <c r="FI227" i="489"/>
  <c r="FH227" i="489"/>
  <c r="FG227" i="489"/>
  <c r="FF227" i="489"/>
  <c r="FE227" i="489"/>
  <c r="FD227" i="489"/>
  <c r="FC227" i="489"/>
  <c r="FB227" i="489"/>
  <c r="FA227" i="489"/>
  <c r="EZ227" i="489"/>
  <c r="FL222" i="489"/>
  <c r="FK222" i="489"/>
  <c r="FJ222" i="489"/>
  <c r="FI222" i="489"/>
  <c r="FH222" i="489"/>
  <c r="FG222" i="489"/>
  <c r="FF222" i="489"/>
  <c r="FE222" i="489"/>
  <c r="FD222" i="489"/>
  <c r="FC222" i="489"/>
  <c r="FB222" i="489"/>
  <c r="FA222" i="489"/>
  <c r="EZ222" i="489"/>
  <c r="FL213" i="489"/>
  <c r="FK213" i="489"/>
  <c r="FJ213" i="489"/>
  <c r="FI213" i="489"/>
  <c r="FH213" i="489"/>
  <c r="FG213" i="489"/>
  <c r="FF213" i="489"/>
  <c r="FE213" i="489"/>
  <c r="FD213" i="489"/>
  <c r="FC213" i="489"/>
  <c r="FB213" i="489"/>
  <c r="FA213" i="489"/>
  <c r="EZ213" i="489"/>
  <c r="FL212" i="489"/>
  <c r="FK212" i="489"/>
  <c r="FJ212" i="489"/>
  <c r="FI212" i="489"/>
  <c r="FH212" i="489"/>
  <c r="FG212" i="489"/>
  <c r="FF212" i="489"/>
  <c r="FE212" i="489"/>
  <c r="FD212" i="489"/>
  <c r="FC212" i="489"/>
  <c r="FB212" i="489"/>
  <c r="FA212" i="489"/>
  <c r="EZ212" i="489"/>
  <c r="FL211" i="489"/>
  <c r="FK211" i="489"/>
  <c r="FJ211" i="489"/>
  <c r="FI211" i="489"/>
  <c r="FH211" i="489"/>
  <c r="FG211" i="489"/>
  <c r="FF211" i="489"/>
  <c r="FE211" i="489"/>
  <c r="FD211" i="489"/>
  <c r="FC211" i="489"/>
  <c r="FB211" i="489"/>
  <c r="FA211" i="489"/>
  <c r="EZ211" i="489"/>
  <c r="FL210" i="489"/>
  <c r="FK210" i="489"/>
  <c r="FJ210" i="489"/>
  <c r="FI210" i="489"/>
  <c r="FH210" i="489"/>
  <c r="FG210" i="489"/>
  <c r="FF210" i="489"/>
  <c r="FE210" i="489"/>
  <c r="FD210" i="489"/>
  <c r="FC210" i="489"/>
  <c r="FB210" i="489"/>
  <c r="FA210" i="489"/>
  <c r="EZ210" i="489"/>
  <c r="FL209" i="489"/>
  <c r="FK209" i="489"/>
  <c r="FJ209" i="489"/>
  <c r="FI209" i="489"/>
  <c r="FH209" i="489"/>
  <c r="FG209" i="489"/>
  <c r="FF209" i="489"/>
  <c r="FE209" i="489"/>
  <c r="FD209" i="489"/>
  <c r="FC209" i="489"/>
  <c r="FB209" i="489"/>
  <c r="FA209" i="489"/>
  <c r="EZ209" i="489"/>
  <c r="FL208" i="489"/>
  <c r="FK208" i="489"/>
  <c r="FJ208" i="489"/>
  <c r="FI208" i="489"/>
  <c r="FH208" i="489"/>
  <c r="FG208" i="489"/>
  <c r="FF208" i="489"/>
  <c r="FE208" i="489"/>
  <c r="FD208" i="489"/>
  <c r="FC208" i="489"/>
  <c r="FB208" i="489"/>
  <c r="FA208" i="489"/>
  <c r="EZ208" i="489"/>
  <c r="FL207" i="489"/>
  <c r="FK207" i="489"/>
  <c r="FJ207" i="489"/>
  <c r="FI207" i="489"/>
  <c r="FH207" i="489"/>
  <c r="FG207" i="489"/>
  <c r="FF207" i="489"/>
  <c r="FE207" i="489"/>
  <c r="FD207" i="489"/>
  <c r="FC207" i="489"/>
  <c r="FB207" i="489"/>
  <c r="FA207" i="489"/>
  <c r="EZ207" i="489"/>
  <c r="FL201" i="489"/>
  <c r="FK201" i="489"/>
  <c r="FJ201" i="489"/>
  <c r="FI201" i="489"/>
  <c r="FH201" i="489"/>
  <c r="FG201" i="489"/>
  <c r="FF201" i="489"/>
  <c r="FE201" i="489"/>
  <c r="FD201" i="489"/>
  <c r="FC201" i="489"/>
  <c r="FB201" i="489"/>
  <c r="FA201" i="489"/>
  <c r="EZ201" i="489"/>
  <c r="FL200" i="489"/>
  <c r="FK200" i="489"/>
  <c r="FJ200" i="489"/>
  <c r="FI200" i="489"/>
  <c r="FH200" i="489"/>
  <c r="FG200" i="489"/>
  <c r="FF200" i="489"/>
  <c r="FE200" i="489"/>
  <c r="FD200" i="489"/>
  <c r="FC200" i="489"/>
  <c r="FB200" i="489"/>
  <c r="FA200" i="489"/>
  <c r="EZ200" i="489"/>
  <c r="FL199" i="489"/>
  <c r="FK199" i="489"/>
  <c r="FJ199" i="489"/>
  <c r="FI199" i="489"/>
  <c r="FH199" i="489"/>
  <c r="FG199" i="489"/>
  <c r="FF199" i="489"/>
  <c r="FE199" i="489"/>
  <c r="FD199" i="489"/>
  <c r="FC199" i="489"/>
  <c r="FB199" i="489"/>
  <c r="FA199" i="489"/>
  <c r="EZ199" i="489"/>
  <c r="FL198" i="489"/>
  <c r="FK198" i="489"/>
  <c r="FJ198" i="489"/>
  <c r="FI198" i="489"/>
  <c r="FH198" i="489"/>
  <c r="FG198" i="489"/>
  <c r="FF198" i="489"/>
  <c r="FE198" i="489"/>
  <c r="FD198" i="489"/>
  <c r="FC198" i="489"/>
  <c r="FB198" i="489"/>
  <c r="FA198" i="489"/>
  <c r="EZ198" i="489"/>
  <c r="FL197" i="489"/>
  <c r="FK197" i="489"/>
  <c r="FJ197" i="489"/>
  <c r="FI197" i="489"/>
  <c r="FH197" i="489"/>
  <c r="FG197" i="489"/>
  <c r="FF197" i="489"/>
  <c r="FE197" i="489"/>
  <c r="FD197" i="489"/>
  <c r="FC197" i="489"/>
  <c r="FB197" i="489"/>
  <c r="FA197" i="489"/>
  <c r="EZ197" i="489"/>
  <c r="FL192" i="489"/>
  <c r="FK192" i="489"/>
  <c r="FJ192" i="489"/>
  <c r="FI192" i="489"/>
  <c r="FH192" i="489"/>
  <c r="FG192" i="489"/>
  <c r="FF192" i="489"/>
  <c r="FE192" i="489"/>
  <c r="FD192" i="489"/>
  <c r="FC192" i="489"/>
  <c r="FB192" i="489"/>
  <c r="FA192" i="489"/>
  <c r="EZ192" i="489"/>
  <c r="FL182" i="489"/>
  <c r="FK182" i="489"/>
  <c r="FJ182" i="489"/>
  <c r="FI182" i="489"/>
  <c r="FH182" i="489"/>
  <c r="FG182" i="489"/>
  <c r="FF182" i="489"/>
  <c r="FE182" i="489"/>
  <c r="FD182" i="489"/>
  <c r="FC182" i="489"/>
  <c r="FB182" i="489"/>
  <c r="FA182" i="489"/>
  <c r="EZ182" i="489"/>
  <c r="FL181" i="489"/>
  <c r="FK181" i="489"/>
  <c r="FJ181" i="489"/>
  <c r="FI181" i="489"/>
  <c r="FH181" i="489"/>
  <c r="FG181" i="489"/>
  <c r="FF181" i="489"/>
  <c r="FE181" i="489"/>
  <c r="FD181" i="489"/>
  <c r="FC181" i="489"/>
  <c r="FB181" i="489"/>
  <c r="FA181" i="489"/>
  <c r="EZ181" i="489"/>
  <c r="FL180" i="489"/>
  <c r="FK180" i="489"/>
  <c r="FJ180" i="489"/>
  <c r="FI180" i="489"/>
  <c r="FH180" i="489"/>
  <c r="FG180" i="489"/>
  <c r="FF180" i="489"/>
  <c r="FE180" i="489"/>
  <c r="FD180" i="489"/>
  <c r="FC180" i="489"/>
  <c r="FB180" i="489"/>
  <c r="FA180" i="489"/>
  <c r="EZ180" i="489"/>
  <c r="FL179" i="489"/>
  <c r="FK179" i="489"/>
  <c r="FJ179" i="489"/>
  <c r="FI179" i="489"/>
  <c r="FH179" i="489"/>
  <c r="FG179" i="489"/>
  <c r="FF179" i="489"/>
  <c r="FE179" i="489"/>
  <c r="FD179" i="489"/>
  <c r="FC179" i="489"/>
  <c r="FB179" i="489"/>
  <c r="FA179" i="489"/>
  <c r="EZ179" i="489"/>
  <c r="FL178" i="489"/>
  <c r="FK178" i="489"/>
  <c r="FJ178" i="489"/>
  <c r="FI178" i="489"/>
  <c r="FH178" i="489"/>
  <c r="FG178" i="489"/>
  <c r="FF178" i="489"/>
  <c r="FE178" i="489"/>
  <c r="FD178" i="489"/>
  <c r="FC178" i="489"/>
  <c r="FB178" i="489"/>
  <c r="FA178" i="489"/>
  <c r="EZ178" i="489"/>
  <c r="FL177" i="489"/>
  <c r="FK177" i="489"/>
  <c r="FJ177" i="489"/>
  <c r="FI177" i="489"/>
  <c r="FH177" i="489"/>
  <c r="FG177" i="489"/>
  <c r="FF177" i="489"/>
  <c r="FE177" i="489"/>
  <c r="FD177" i="489"/>
  <c r="FC177" i="489"/>
  <c r="FB177" i="489"/>
  <c r="FA177" i="489"/>
  <c r="EZ177" i="489"/>
  <c r="FL172" i="489"/>
  <c r="FK172" i="489"/>
  <c r="FJ172" i="489"/>
  <c r="FI172" i="489"/>
  <c r="FH172" i="489"/>
  <c r="FG172" i="489"/>
  <c r="FF172" i="489"/>
  <c r="FE172" i="489"/>
  <c r="FD172" i="489"/>
  <c r="FC172" i="489"/>
  <c r="FB172" i="489"/>
  <c r="FA172" i="489"/>
  <c r="EZ172" i="489"/>
  <c r="FL171" i="489"/>
  <c r="FK171" i="489"/>
  <c r="FJ171" i="489"/>
  <c r="FI171" i="489"/>
  <c r="FH171" i="489"/>
  <c r="FG171" i="489"/>
  <c r="FF171" i="489"/>
  <c r="FE171" i="489"/>
  <c r="FD171" i="489"/>
  <c r="FC171" i="489"/>
  <c r="FB171" i="489"/>
  <c r="FA171" i="489"/>
  <c r="EZ171" i="489"/>
  <c r="FL170" i="489"/>
  <c r="FK170" i="489"/>
  <c r="FJ170" i="489"/>
  <c r="FI170" i="489"/>
  <c r="FH170" i="489"/>
  <c r="FG170" i="489"/>
  <c r="FF170" i="489"/>
  <c r="FE170" i="489"/>
  <c r="FD170" i="489"/>
  <c r="FC170" i="489"/>
  <c r="FB170" i="489"/>
  <c r="FA170" i="489"/>
  <c r="EZ170" i="489"/>
  <c r="FL169" i="489"/>
  <c r="FK169" i="489"/>
  <c r="FJ169" i="489"/>
  <c r="FI169" i="489"/>
  <c r="FH169" i="489"/>
  <c r="FG169" i="489"/>
  <c r="FF169" i="489"/>
  <c r="FE169" i="489"/>
  <c r="FD169" i="489"/>
  <c r="FC169" i="489"/>
  <c r="FB169" i="489"/>
  <c r="FA169" i="489"/>
  <c r="EZ169" i="489"/>
  <c r="FL168" i="489"/>
  <c r="FK168" i="489"/>
  <c r="FJ168" i="489"/>
  <c r="FI168" i="489"/>
  <c r="FH168" i="489"/>
  <c r="FG168" i="489"/>
  <c r="FF168" i="489"/>
  <c r="FE168" i="489"/>
  <c r="FD168" i="489"/>
  <c r="FC168" i="489"/>
  <c r="FB168" i="489"/>
  <c r="FA168" i="489"/>
  <c r="EZ168" i="489"/>
  <c r="FL167" i="489"/>
  <c r="FK167" i="489"/>
  <c r="FJ167" i="489"/>
  <c r="FI167" i="489"/>
  <c r="FH167" i="489"/>
  <c r="FG167" i="489"/>
  <c r="FF167" i="489"/>
  <c r="FE167" i="489"/>
  <c r="FD167" i="489"/>
  <c r="FC167" i="489"/>
  <c r="FB167" i="489"/>
  <c r="FA167" i="489"/>
  <c r="EZ167" i="489"/>
  <c r="FL162" i="489"/>
  <c r="FK162" i="489"/>
  <c r="FJ162" i="489"/>
  <c r="FI162" i="489"/>
  <c r="FH162" i="489"/>
  <c r="FG162" i="489"/>
  <c r="FF162" i="489"/>
  <c r="FE162" i="489"/>
  <c r="FD162" i="489"/>
  <c r="FC162" i="489"/>
  <c r="FB162" i="489"/>
  <c r="FA162" i="489"/>
  <c r="EZ162" i="489"/>
  <c r="FL152" i="489"/>
  <c r="FK152" i="489"/>
  <c r="FJ152" i="489"/>
  <c r="FI152" i="489"/>
  <c r="FH152" i="489"/>
  <c r="FG152" i="489"/>
  <c r="FF152" i="489"/>
  <c r="FE152" i="489"/>
  <c r="FD152" i="489"/>
  <c r="FC152" i="489"/>
  <c r="FB152" i="489"/>
  <c r="FA152" i="489"/>
  <c r="EZ152" i="489"/>
  <c r="FL151" i="489"/>
  <c r="FK151" i="489"/>
  <c r="FJ151" i="489"/>
  <c r="FI151" i="489"/>
  <c r="FH151" i="489"/>
  <c r="FG151" i="489"/>
  <c r="FF151" i="489"/>
  <c r="FE151" i="489"/>
  <c r="FD151" i="489"/>
  <c r="FC151" i="489"/>
  <c r="FB151" i="489"/>
  <c r="FA151" i="489"/>
  <c r="EZ151" i="489"/>
  <c r="FL150" i="489"/>
  <c r="FK150" i="489"/>
  <c r="FJ150" i="489"/>
  <c r="FI150" i="489"/>
  <c r="FH150" i="489"/>
  <c r="FG150" i="489"/>
  <c r="FF150" i="489"/>
  <c r="FE150" i="489"/>
  <c r="FD150" i="489"/>
  <c r="FC150" i="489"/>
  <c r="FB150" i="489"/>
  <c r="FA150" i="489"/>
  <c r="EZ150" i="489"/>
  <c r="FL149" i="489"/>
  <c r="FK149" i="489"/>
  <c r="FJ149" i="489"/>
  <c r="FI149" i="489"/>
  <c r="FH149" i="489"/>
  <c r="FG149" i="489"/>
  <c r="FF149" i="489"/>
  <c r="FE149" i="489"/>
  <c r="FD149" i="489"/>
  <c r="FC149" i="489"/>
  <c r="FB149" i="489"/>
  <c r="FA149" i="489"/>
  <c r="EZ149" i="489"/>
  <c r="FL148" i="489"/>
  <c r="FK148" i="489"/>
  <c r="FJ148" i="489"/>
  <c r="FI148" i="489"/>
  <c r="FH148" i="489"/>
  <c r="FG148" i="489"/>
  <c r="FF148" i="489"/>
  <c r="FE148" i="489"/>
  <c r="FD148" i="489"/>
  <c r="FC148" i="489"/>
  <c r="FB148" i="489"/>
  <c r="FA148" i="489"/>
  <c r="EZ148" i="489"/>
  <c r="FL147" i="489"/>
  <c r="FK147" i="489"/>
  <c r="FJ147" i="489"/>
  <c r="FI147" i="489"/>
  <c r="FH147" i="489"/>
  <c r="FG147" i="489"/>
  <c r="FF147" i="489"/>
  <c r="FE147" i="489"/>
  <c r="FD147" i="489"/>
  <c r="FC147" i="489"/>
  <c r="FB147" i="489"/>
  <c r="FA147" i="489"/>
  <c r="EZ147" i="489"/>
  <c r="FL141" i="489"/>
  <c r="FK141" i="489"/>
  <c r="FJ141" i="489"/>
  <c r="FI141" i="489"/>
  <c r="FH141" i="489"/>
  <c r="FG141" i="489"/>
  <c r="FF141" i="489"/>
  <c r="FE141" i="489"/>
  <c r="FD141" i="489"/>
  <c r="FC141" i="489"/>
  <c r="FB141" i="489"/>
  <c r="FA141" i="489"/>
  <c r="EZ141" i="489"/>
  <c r="FL140" i="489"/>
  <c r="FK140" i="489"/>
  <c r="FJ140" i="489"/>
  <c r="FI140" i="489"/>
  <c r="FH140" i="489"/>
  <c r="FG140" i="489"/>
  <c r="FF140" i="489"/>
  <c r="FE140" i="489"/>
  <c r="FD140" i="489"/>
  <c r="FC140" i="489"/>
  <c r="FB140" i="489"/>
  <c r="FA140" i="489"/>
  <c r="EZ140" i="489"/>
  <c r="FL139" i="489"/>
  <c r="FK139" i="489"/>
  <c r="FJ139" i="489"/>
  <c r="FI139" i="489"/>
  <c r="FH139" i="489"/>
  <c r="FG139" i="489"/>
  <c r="FF139" i="489"/>
  <c r="FE139" i="489"/>
  <c r="FD139" i="489"/>
  <c r="FC139" i="489"/>
  <c r="FB139" i="489"/>
  <c r="FA139" i="489"/>
  <c r="EZ139" i="489"/>
  <c r="FL138" i="489"/>
  <c r="FK138" i="489"/>
  <c r="FJ138" i="489"/>
  <c r="FI138" i="489"/>
  <c r="FH138" i="489"/>
  <c r="FG138" i="489"/>
  <c r="FF138" i="489"/>
  <c r="FE138" i="489"/>
  <c r="FD138" i="489"/>
  <c r="FC138" i="489"/>
  <c r="FB138" i="489"/>
  <c r="FA138" i="489"/>
  <c r="EZ138" i="489"/>
  <c r="FL137" i="489"/>
  <c r="FK137" i="489"/>
  <c r="FJ137" i="489"/>
  <c r="FI137" i="489"/>
  <c r="FH137" i="489"/>
  <c r="FG137" i="489"/>
  <c r="FF137" i="489"/>
  <c r="FE137" i="489"/>
  <c r="FD137" i="489"/>
  <c r="FC137" i="489"/>
  <c r="FB137" i="489"/>
  <c r="FA137" i="489"/>
  <c r="EZ137" i="489"/>
  <c r="FL132" i="489"/>
  <c r="FK132" i="489"/>
  <c r="FJ132" i="489"/>
  <c r="FI132" i="489"/>
  <c r="FH132" i="489"/>
  <c r="FG132" i="489"/>
  <c r="FF132" i="489"/>
  <c r="FE132" i="489"/>
  <c r="FD132" i="489"/>
  <c r="FC132" i="489"/>
  <c r="FB132" i="489"/>
  <c r="FA132" i="489"/>
  <c r="EZ132" i="489"/>
  <c r="FL123" i="489"/>
  <c r="FK123" i="489"/>
  <c r="FJ123" i="489"/>
  <c r="FI123" i="489"/>
  <c r="FH123" i="489"/>
  <c r="FG123" i="489"/>
  <c r="FF123" i="489"/>
  <c r="FE123" i="489"/>
  <c r="FD123" i="489"/>
  <c r="FC123" i="489"/>
  <c r="FB123" i="489"/>
  <c r="FA123" i="489"/>
  <c r="EZ123" i="489"/>
  <c r="FL122" i="489"/>
  <c r="FK122" i="489"/>
  <c r="FJ122" i="489"/>
  <c r="FI122" i="489"/>
  <c r="FH122" i="489"/>
  <c r="FG122" i="489"/>
  <c r="FF122" i="489"/>
  <c r="FE122" i="489"/>
  <c r="FD122" i="489"/>
  <c r="FC122" i="489"/>
  <c r="FB122" i="489"/>
  <c r="FA122" i="489"/>
  <c r="EZ122" i="489"/>
  <c r="FL121" i="489"/>
  <c r="FK121" i="489"/>
  <c r="FJ121" i="489"/>
  <c r="FI121" i="489"/>
  <c r="FH121" i="489"/>
  <c r="FG121" i="489"/>
  <c r="FF121" i="489"/>
  <c r="FE121" i="489"/>
  <c r="FD121" i="489"/>
  <c r="FC121" i="489"/>
  <c r="FB121" i="489"/>
  <c r="FA121" i="489"/>
  <c r="EZ121" i="489"/>
  <c r="FL120" i="489"/>
  <c r="FK120" i="489"/>
  <c r="FJ120" i="489"/>
  <c r="FI120" i="489"/>
  <c r="FH120" i="489"/>
  <c r="FG120" i="489"/>
  <c r="FF120" i="489"/>
  <c r="FE120" i="489"/>
  <c r="FD120" i="489"/>
  <c r="FC120" i="489"/>
  <c r="FB120" i="489"/>
  <c r="FA120" i="489"/>
  <c r="EZ120" i="489"/>
  <c r="FL119" i="489"/>
  <c r="FK119" i="489"/>
  <c r="FJ119" i="489"/>
  <c r="FI119" i="489"/>
  <c r="FH119" i="489"/>
  <c r="FG119" i="489"/>
  <c r="FF119" i="489"/>
  <c r="FE119" i="489"/>
  <c r="FD119" i="489"/>
  <c r="FC119" i="489"/>
  <c r="FB119" i="489"/>
  <c r="FA119" i="489"/>
  <c r="EZ119" i="489"/>
  <c r="FL118" i="489"/>
  <c r="FK118" i="489"/>
  <c r="FJ118" i="489"/>
  <c r="FI118" i="489"/>
  <c r="FH118" i="489"/>
  <c r="FG118" i="489"/>
  <c r="FF118" i="489"/>
  <c r="FE118" i="489"/>
  <c r="FD118" i="489"/>
  <c r="FC118" i="489"/>
  <c r="FB118" i="489"/>
  <c r="FA118" i="489"/>
  <c r="EZ118" i="489"/>
  <c r="FL117" i="489"/>
  <c r="FK117" i="489"/>
  <c r="FJ117" i="489"/>
  <c r="FI117" i="489"/>
  <c r="FH117" i="489"/>
  <c r="FG117" i="489"/>
  <c r="FF117" i="489"/>
  <c r="FE117" i="489"/>
  <c r="FD117" i="489"/>
  <c r="FC117" i="489"/>
  <c r="FB117" i="489"/>
  <c r="FA117" i="489"/>
  <c r="EZ117" i="489"/>
  <c r="FL112" i="489"/>
  <c r="FK112" i="489"/>
  <c r="FJ112" i="489"/>
  <c r="FI112" i="489"/>
  <c r="FH112" i="489"/>
  <c r="FG112" i="489"/>
  <c r="FF112" i="489"/>
  <c r="FE112" i="489"/>
  <c r="FD112" i="489"/>
  <c r="FC112" i="489"/>
  <c r="FB112" i="489"/>
  <c r="FA112" i="489"/>
  <c r="EZ112" i="489"/>
  <c r="FL111" i="489"/>
  <c r="FK111" i="489"/>
  <c r="FJ111" i="489"/>
  <c r="FI111" i="489"/>
  <c r="FH111" i="489"/>
  <c r="FG111" i="489"/>
  <c r="FF111" i="489"/>
  <c r="FE111" i="489"/>
  <c r="FD111" i="489"/>
  <c r="FC111" i="489"/>
  <c r="FB111" i="489"/>
  <c r="FA111" i="489"/>
  <c r="EZ111" i="489"/>
  <c r="FL110" i="489"/>
  <c r="FK110" i="489"/>
  <c r="FJ110" i="489"/>
  <c r="FI110" i="489"/>
  <c r="FH110" i="489"/>
  <c r="FG110" i="489"/>
  <c r="FF110" i="489"/>
  <c r="FE110" i="489"/>
  <c r="FD110" i="489"/>
  <c r="FC110" i="489"/>
  <c r="FB110" i="489"/>
  <c r="FA110" i="489"/>
  <c r="EZ110" i="489"/>
  <c r="FL109" i="489"/>
  <c r="FK109" i="489"/>
  <c r="FJ109" i="489"/>
  <c r="FI109" i="489"/>
  <c r="FH109" i="489"/>
  <c r="FG109" i="489"/>
  <c r="FF109" i="489"/>
  <c r="FE109" i="489"/>
  <c r="FD109" i="489"/>
  <c r="FC109" i="489"/>
  <c r="FB109" i="489"/>
  <c r="FA109" i="489"/>
  <c r="EZ109" i="489"/>
  <c r="FL108" i="489"/>
  <c r="FK108" i="489"/>
  <c r="FJ108" i="489"/>
  <c r="FI108" i="489"/>
  <c r="FH108" i="489"/>
  <c r="FG108" i="489"/>
  <c r="FF108" i="489"/>
  <c r="FE108" i="489"/>
  <c r="FD108" i="489"/>
  <c r="FC108" i="489"/>
  <c r="FB108" i="489"/>
  <c r="FA108" i="489"/>
  <c r="EZ108" i="489"/>
  <c r="FL107" i="489"/>
  <c r="FK107" i="489"/>
  <c r="FJ107" i="489"/>
  <c r="FI107" i="489"/>
  <c r="FH107" i="489"/>
  <c r="FG107" i="489"/>
  <c r="FF107" i="489"/>
  <c r="FE107" i="489"/>
  <c r="FD107" i="489"/>
  <c r="FC107" i="489"/>
  <c r="FB107" i="489"/>
  <c r="FA107" i="489"/>
  <c r="EZ107" i="489"/>
  <c r="FL102" i="489"/>
  <c r="FK102" i="489"/>
  <c r="FJ102" i="489"/>
  <c r="FI102" i="489"/>
  <c r="FH102" i="489"/>
  <c r="FG102" i="489"/>
  <c r="FF102" i="489"/>
  <c r="FE102" i="489"/>
  <c r="FD102" i="489"/>
  <c r="FC102" i="489"/>
  <c r="FB102" i="489"/>
  <c r="FA102" i="489"/>
  <c r="EZ102" i="489"/>
  <c r="FL93" i="489"/>
  <c r="FK93" i="489"/>
  <c r="FJ93" i="489"/>
  <c r="FI93" i="489"/>
  <c r="FH93" i="489"/>
  <c r="FG93" i="489"/>
  <c r="FF93" i="489"/>
  <c r="FE93" i="489"/>
  <c r="FD93" i="489"/>
  <c r="FC93" i="489"/>
  <c r="FB93" i="489"/>
  <c r="FA93" i="489"/>
  <c r="EZ93" i="489"/>
  <c r="FL92" i="489"/>
  <c r="FK92" i="489"/>
  <c r="FJ92" i="489"/>
  <c r="FI92" i="489"/>
  <c r="FH92" i="489"/>
  <c r="FG92" i="489"/>
  <c r="FF92" i="489"/>
  <c r="FE92" i="489"/>
  <c r="FD92" i="489"/>
  <c r="FC92" i="489"/>
  <c r="FB92" i="489"/>
  <c r="FA92" i="489"/>
  <c r="EZ92" i="489"/>
  <c r="FL91" i="489"/>
  <c r="FK91" i="489"/>
  <c r="FJ91" i="489"/>
  <c r="FI91" i="489"/>
  <c r="FH91" i="489"/>
  <c r="FG91" i="489"/>
  <c r="FF91" i="489"/>
  <c r="FE91" i="489"/>
  <c r="FD91" i="489"/>
  <c r="FC91" i="489"/>
  <c r="FB91" i="489"/>
  <c r="FA91" i="489"/>
  <c r="EZ91" i="489"/>
  <c r="FL90" i="489"/>
  <c r="FK90" i="489"/>
  <c r="FJ90" i="489"/>
  <c r="FI90" i="489"/>
  <c r="FH90" i="489"/>
  <c r="FG90" i="489"/>
  <c r="FF90" i="489"/>
  <c r="FE90" i="489"/>
  <c r="FD90" i="489"/>
  <c r="FC90" i="489"/>
  <c r="FB90" i="489"/>
  <c r="FA90" i="489"/>
  <c r="EZ90" i="489"/>
  <c r="FL89" i="489"/>
  <c r="FK89" i="489"/>
  <c r="FJ89" i="489"/>
  <c r="FI89" i="489"/>
  <c r="FH89" i="489"/>
  <c r="FG89" i="489"/>
  <c r="FF89" i="489"/>
  <c r="FE89" i="489"/>
  <c r="FD89" i="489"/>
  <c r="FC89" i="489"/>
  <c r="FB89" i="489"/>
  <c r="FA89" i="489"/>
  <c r="EZ89" i="489"/>
  <c r="FL88" i="489"/>
  <c r="FK88" i="489"/>
  <c r="FJ88" i="489"/>
  <c r="FI88" i="489"/>
  <c r="FH88" i="489"/>
  <c r="FG88" i="489"/>
  <c r="FF88" i="489"/>
  <c r="FE88" i="489"/>
  <c r="FD88" i="489"/>
  <c r="FC88" i="489"/>
  <c r="FB88" i="489"/>
  <c r="FA88" i="489"/>
  <c r="EZ88" i="489"/>
  <c r="FL87" i="489"/>
  <c r="FK87" i="489"/>
  <c r="FJ87" i="489"/>
  <c r="FI87" i="489"/>
  <c r="FH87" i="489"/>
  <c r="FG87" i="489"/>
  <c r="FF87" i="489"/>
  <c r="FE87" i="489"/>
  <c r="FD87" i="489"/>
  <c r="FC87" i="489"/>
  <c r="FB87" i="489"/>
  <c r="FA87" i="489"/>
  <c r="EZ87" i="489"/>
  <c r="FL82" i="489"/>
  <c r="FK82" i="489"/>
  <c r="FJ82" i="489"/>
  <c r="FI82" i="489"/>
  <c r="FH82" i="489"/>
  <c r="FG82" i="489"/>
  <c r="FF82" i="489"/>
  <c r="FE82" i="489"/>
  <c r="FD82" i="489"/>
  <c r="FC82" i="489"/>
  <c r="FB82" i="489"/>
  <c r="FA82" i="489"/>
  <c r="EZ82" i="489"/>
  <c r="FL81" i="489"/>
  <c r="FK81" i="489"/>
  <c r="FJ81" i="489"/>
  <c r="FI81" i="489"/>
  <c r="FH81" i="489"/>
  <c r="FG81" i="489"/>
  <c r="FF81" i="489"/>
  <c r="FE81" i="489"/>
  <c r="FD81" i="489"/>
  <c r="FC81" i="489"/>
  <c r="FB81" i="489"/>
  <c r="FA81" i="489"/>
  <c r="EZ81" i="489"/>
  <c r="FL80" i="489"/>
  <c r="FK80" i="489"/>
  <c r="FJ80" i="489"/>
  <c r="FI80" i="489"/>
  <c r="FH80" i="489"/>
  <c r="FG80" i="489"/>
  <c r="FF80" i="489"/>
  <c r="FE80" i="489"/>
  <c r="FD80" i="489"/>
  <c r="FC80" i="489"/>
  <c r="FB80" i="489"/>
  <c r="FA80" i="489"/>
  <c r="EZ80" i="489"/>
  <c r="FL79" i="489"/>
  <c r="FK79" i="489"/>
  <c r="FJ79" i="489"/>
  <c r="FI79" i="489"/>
  <c r="FH79" i="489"/>
  <c r="FG79" i="489"/>
  <c r="FF79" i="489"/>
  <c r="FE79" i="489"/>
  <c r="FD79" i="489"/>
  <c r="FC79" i="489"/>
  <c r="FB79" i="489"/>
  <c r="FA79" i="489"/>
  <c r="EZ79" i="489"/>
  <c r="FL78" i="489"/>
  <c r="FK78" i="489"/>
  <c r="FJ78" i="489"/>
  <c r="FI78" i="489"/>
  <c r="FH78" i="489"/>
  <c r="FG78" i="489"/>
  <c r="FF78" i="489"/>
  <c r="FE78" i="489"/>
  <c r="FD78" i="489"/>
  <c r="FC78" i="489"/>
  <c r="FB78" i="489"/>
  <c r="FA78" i="489"/>
  <c r="EZ78" i="489"/>
  <c r="FL77" i="489"/>
  <c r="FK77" i="489"/>
  <c r="FJ77" i="489"/>
  <c r="FI77" i="489"/>
  <c r="FH77" i="489"/>
  <c r="FG77" i="489"/>
  <c r="FF77" i="489"/>
  <c r="FE77" i="489"/>
  <c r="FD77" i="489"/>
  <c r="FC77" i="489"/>
  <c r="FB77" i="489"/>
  <c r="FA77" i="489"/>
  <c r="EZ77" i="489"/>
  <c r="FL72" i="489"/>
  <c r="FK72" i="489"/>
  <c r="FJ72" i="489"/>
  <c r="FI72" i="489"/>
  <c r="FH72" i="489"/>
  <c r="FG72" i="489"/>
  <c r="FF72" i="489"/>
  <c r="FE72" i="489"/>
  <c r="FD72" i="489"/>
  <c r="FC72" i="489"/>
  <c r="FB72" i="489"/>
  <c r="FA72" i="489"/>
  <c r="EZ72" i="489"/>
  <c r="FL63" i="489"/>
  <c r="FK63" i="489"/>
  <c r="FJ63" i="489"/>
  <c r="FI63" i="489"/>
  <c r="FH63" i="489"/>
  <c r="FG63" i="489"/>
  <c r="FF63" i="489"/>
  <c r="FE63" i="489"/>
  <c r="FD63" i="489"/>
  <c r="FC63" i="489"/>
  <c r="FB63" i="489"/>
  <c r="FA63" i="489"/>
  <c r="EZ63" i="489"/>
  <c r="FL62" i="489"/>
  <c r="FK62" i="489"/>
  <c r="FJ62" i="489"/>
  <c r="FI62" i="489"/>
  <c r="FH62" i="489"/>
  <c r="FG62" i="489"/>
  <c r="FF62" i="489"/>
  <c r="FE62" i="489"/>
  <c r="FD62" i="489"/>
  <c r="FC62" i="489"/>
  <c r="FB62" i="489"/>
  <c r="FA62" i="489"/>
  <c r="EZ62" i="489"/>
  <c r="FL61" i="489"/>
  <c r="FK61" i="489"/>
  <c r="FJ61" i="489"/>
  <c r="FI61" i="489"/>
  <c r="FH61" i="489"/>
  <c r="FG61" i="489"/>
  <c r="FF61" i="489"/>
  <c r="FE61" i="489"/>
  <c r="FD61" i="489"/>
  <c r="FC61" i="489"/>
  <c r="FB61" i="489"/>
  <c r="FA61" i="489"/>
  <c r="EZ61" i="489"/>
  <c r="FL60" i="489"/>
  <c r="FK60" i="489"/>
  <c r="FJ60" i="489"/>
  <c r="FI60" i="489"/>
  <c r="FH60" i="489"/>
  <c r="FG60" i="489"/>
  <c r="FF60" i="489"/>
  <c r="FE60" i="489"/>
  <c r="FD60" i="489"/>
  <c r="FC60" i="489"/>
  <c r="FB60" i="489"/>
  <c r="FA60" i="489"/>
  <c r="EZ60" i="489"/>
  <c r="FL59" i="489"/>
  <c r="FK59" i="489"/>
  <c r="FJ59" i="489"/>
  <c r="FI59" i="489"/>
  <c r="FH59" i="489"/>
  <c r="FG59" i="489"/>
  <c r="FF59" i="489"/>
  <c r="FE59" i="489"/>
  <c r="FD59" i="489"/>
  <c r="FC59" i="489"/>
  <c r="FB59" i="489"/>
  <c r="FA59" i="489"/>
  <c r="EZ59" i="489"/>
  <c r="FL58" i="489"/>
  <c r="FK58" i="489"/>
  <c r="FJ58" i="489"/>
  <c r="FI58" i="489"/>
  <c r="FH58" i="489"/>
  <c r="FG58" i="489"/>
  <c r="FF58" i="489"/>
  <c r="FE58" i="489"/>
  <c r="FD58" i="489"/>
  <c r="FC58" i="489"/>
  <c r="FB58" i="489"/>
  <c r="FA58" i="489"/>
  <c r="EZ58" i="489"/>
  <c r="FL57" i="489"/>
  <c r="FK57" i="489"/>
  <c r="FJ57" i="489"/>
  <c r="FI57" i="489"/>
  <c r="FH57" i="489"/>
  <c r="FG57" i="489"/>
  <c r="FF57" i="489"/>
  <c r="FE57" i="489"/>
  <c r="FD57" i="489"/>
  <c r="FC57" i="489"/>
  <c r="FB57" i="489"/>
  <c r="FA57" i="489"/>
  <c r="EZ57" i="489"/>
  <c r="FL51" i="489"/>
  <c r="FK51" i="489"/>
  <c r="FJ51" i="489"/>
  <c r="FI51" i="489"/>
  <c r="FH51" i="489"/>
  <c r="FG51" i="489"/>
  <c r="FF51" i="489"/>
  <c r="FE51" i="489"/>
  <c r="FD51" i="489"/>
  <c r="FC51" i="489"/>
  <c r="FB51" i="489"/>
  <c r="FA51" i="489"/>
  <c r="EZ51" i="489"/>
  <c r="FL50" i="489"/>
  <c r="FK50" i="489"/>
  <c r="FJ50" i="489"/>
  <c r="FI50" i="489"/>
  <c r="FH50" i="489"/>
  <c r="FG50" i="489"/>
  <c r="FF50" i="489"/>
  <c r="FE50" i="489"/>
  <c r="FD50" i="489"/>
  <c r="FC50" i="489"/>
  <c r="FB50" i="489"/>
  <c r="FA50" i="489"/>
  <c r="EZ50" i="489"/>
  <c r="FL49" i="489"/>
  <c r="FK49" i="489"/>
  <c r="FJ49" i="489"/>
  <c r="FI49" i="489"/>
  <c r="FH49" i="489"/>
  <c r="FG49" i="489"/>
  <c r="FF49" i="489"/>
  <c r="FE49" i="489"/>
  <c r="FD49" i="489"/>
  <c r="FC49" i="489"/>
  <c r="FB49" i="489"/>
  <c r="FA49" i="489"/>
  <c r="EZ49" i="489"/>
  <c r="FL48" i="489"/>
  <c r="FK48" i="489"/>
  <c r="FJ48" i="489"/>
  <c r="FI48" i="489"/>
  <c r="FH48" i="489"/>
  <c r="FG48" i="489"/>
  <c r="FF48" i="489"/>
  <c r="FE48" i="489"/>
  <c r="FD48" i="489"/>
  <c r="FC48" i="489"/>
  <c r="FB48" i="489"/>
  <c r="FA48" i="489"/>
  <c r="EZ48" i="489"/>
  <c r="FL47" i="489"/>
  <c r="FK47" i="489"/>
  <c r="FJ47" i="489"/>
  <c r="FI47" i="489"/>
  <c r="FH47" i="489"/>
  <c r="FG47" i="489"/>
  <c r="FF47" i="489"/>
  <c r="FE47" i="489"/>
  <c r="FD47" i="489"/>
  <c r="FC47" i="489"/>
  <c r="FB47" i="489"/>
  <c r="FA47" i="489"/>
  <c r="EZ47" i="489"/>
  <c r="FL42" i="489"/>
  <c r="FK42" i="489"/>
  <c r="FJ42" i="489"/>
  <c r="FI42" i="489"/>
  <c r="FH42" i="489"/>
  <c r="FG42" i="489"/>
  <c r="FF42" i="489"/>
  <c r="FE42" i="489"/>
  <c r="FD42" i="489"/>
  <c r="FC42" i="489"/>
  <c r="FB42" i="489"/>
  <c r="FA42" i="489"/>
  <c r="EZ42" i="489"/>
  <c r="FL33" i="489"/>
  <c r="FK33" i="489"/>
  <c r="FJ33" i="489"/>
  <c r="FI33" i="489"/>
  <c r="FH33" i="489"/>
  <c r="FG33" i="489"/>
  <c r="FF33" i="489"/>
  <c r="FE33" i="489"/>
  <c r="FD33" i="489"/>
  <c r="FC33" i="489"/>
  <c r="FB33" i="489"/>
  <c r="FA33" i="489"/>
  <c r="EZ33" i="489"/>
  <c r="FL32" i="489"/>
  <c r="FK32" i="489"/>
  <c r="FJ32" i="489"/>
  <c r="FI32" i="489"/>
  <c r="FH32" i="489"/>
  <c r="FG32" i="489"/>
  <c r="FF32" i="489"/>
  <c r="FE32" i="489"/>
  <c r="FD32" i="489"/>
  <c r="FC32" i="489"/>
  <c r="FB32" i="489"/>
  <c r="FA32" i="489"/>
  <c r="EZ32" i="489"/>
  <c r="FL31" i="489"/>
  <c r="FK31" i="489"/>
  <c r="FJ31" i="489"/>
  <c r="FI31" i="489"/>
  <c r="FH31" i="489"/>
  <c r="FG31" i="489"/>
  <c r="FF31" i="489"/>
  <c r="FE31" i="489"/>
  <c r="FD31" i="489"/>
  <c r="FC31" i="489"/>
  <c r="FB31" i="489"/>
  <c r="FA31" i="489"/>
  <c r="EZ31" i="489"/>
  <c r="FL30" i="489"/>
  <c r="FK30" i="489"/>
  <c r="FJ30" i="489"/>
  <c r="FI30" i="489"/>
  <c r="FH30" i="489"/>
  <c r="FG30" i="489"/>
  <c r="FF30" i="489"/>
  <c r="FE30" i="489"/>
  <c r="FD30" i="489"/>
  <c r="FC30" i="489"/>
  <c r="FB30" i="489"/>
  <c r="FA30" i="489"/>
  <c r="EZ30" i="489"/>
  <c r="FL29" i="489"/>
  <c r="FK29" i="489"/>
  <c r="FJ29" i="489"/>
  <c r="FI29" i="489"/>
  <c r="FH29" i="489"/>
  <c r="FG29" i="489"/>
  <c r="FF29" i="489"/>
  <c r="FE29" i="489"/>
  <c r="FD29" i="489"/>
  <c r="FC29" i="489"/>
  <c r="FB29" i="489"/>
  <c r="FA29" i="489"/>
  <c r="EZ29" i="489"/>
  <c r="FL28" i="489"/>
  <c r="FK28" i="489"/>
  <c r="FJ28" i="489"/>
  <c r="FI28" i="489"/>
  <c r="FH28" i="489"/>
  <c r="FG28" i="489"/>
  <c r="FF28" i="489"/>
  <c r="FE28" i="489"/>
  <c r="FD28" i="489"/>
  <c r="FC28" i="489"/>
  <c r="FB28" i="489"/>
  <c r="FA28" i="489"/>
  <c r="EZ28" i="489"/>
  <c r="FL27" i="489"/>
  <c r="FK27" i="489"/>
  <c r="FJ27" i="489"/>
  <c r="FI27" i="489"/>
  <c r="FH27" i="489"/>
  <c r="FG27" i="489"/>
  <c r="FF27" i="489"/>
  <c r="FE27" i="489"/>
  <c r="FD27" i="489"/>
  <c r="FC27" i="489"/>
  <c r="FB27" i="489"/>
  <c r="FA27" i="489"/>
  <c r="EZ27" i="489"/>
  <c r="FL22" i="489"/>
  <c r="FK22" i="489"/>
  <c r="FJ22" i="489"/>
  <c r="FI22" i="489"/>
  <c r="FH22" i="489"/>
  <c r="FG22" i="489"/>
  <c r="FF22" i="489"/>
  <c r="FE22" i="489"/>
  <c r="FD22" i="489"/>
  <c r="FC22" i="489"/>
  <c r="FB22" i="489"/>
  <c r="FA22" i="489"/>
  <c r="EZ22" i="489"/>
  <c r="FL21" i="489"/>
  <c r="FK21" i="489"/>
  <c r="FJ21" i="489"/>
  <c r="FI21" i="489"/>
  <c r="FH21" i="489"/>
  <c r="FG21" i="489"/>
  <c r="FF21" i="489"/>
  <c r="FE21" i="489"/>
  <c r="FD21" i="489"/>
  <c r="FC21" i="489"/>
  <c r="FB21" i="489"/>
  <c r="FA21" i="489"/>
  <c r="EZ21" i="489"/>
  <c r="FL20" i="489"/>
  <c r="FK20" i="489"/>
  <c r="FJ20" i="489"/>
  <c r="FI20" i="489"/>
  <c r="FH20" i="489"/>
  <c r="FG20" i="489"/>
  <c r="FF20" i="489"/>
  <c r="FE20" i="489"/>
  <c r="FD20" i="489"/>
  <c r="FC20" i="489"/>
  <c r="FB20" i="489"/>
  <c r="FA20" i="489"/>
  <c r="EZ20" i="489"/>
  <c r="FL19" i="489"/>
  <c r="FK19" i="489"/>
  <c r="FJ19" i="489"/>
  <c r="FI19" i="489"/>
  <c r="FH19" i="489"/>
  <c r="FG19" i="489"/>
  <c r="FF19" i="489"/>
  <c r="FE19" i="489"/>
  <c r="FD19" i="489"/>
  <c r="FC19" i="489"/>
  <c r="FB19" i="489"/>
  <c r="FA19" i="489"/>
  <c r="EZ19" i="489"/>
  <c r="FL18" i="489"/>
  <c r="FK18" i="489"/>
  <c r="FJ18" i="489"/>
  <c r="FI18" i="489"/>
  <c r="FH18" i="489"/>
  <c r="FG18" i="489"/>
  <c r="FF18" i="489"/>
  <c r="FE18" i="489"/>
  <c r="FD18" i="489"/>
  <c r="FC18" i="489"/>
  <c r="FB18" i="489"/>
  <c r="FA18" i="489"/>
  <c r="EZ18" i="489"/>
  <c r="FL17" i="489"/>
  <c r="FK17" i="489"/>
  <c r="FJ17" i="489"/>
  <c r="FI17" i="489"/>
  <c r="FH17" i="489"/>
  <c r="FG17" i="489"/>
  <c r="FF17" i="489"/>
  <c r="FE17" i="489"/>
  <c r="FD17" i="489"/>
  <c r="FC17" i="489"/>
  <c r="FB17" i="489"/>
  <c r="FA17" i="489"/>
  <c r="EZ17" i="489"/>
  <c r="EZ323" i="489" l="1"/>
  <c r="FL323" i="489"/>
  <c r="M21" i="502"/>
  <c r="FA323" i="489"/>
  <c r="F200" i="489"/>
  <c r="F50" i="489"/>
  <c r="F170" i="489"/>
  <c r="F20" i="489"/>
  <c r="FK323" i="489"/>
  <c r="G200" i="489"/>
  <c r="G50" i="489"/>
  <c r="G170" i="489"/>
  <c r="G20" i="489"/>
  <c r="D109" i="489"/>
  <c r="D80" i="489"/>
  <c r="G183" i="489"/>
  <c r="G152" i="489"/>
  <c r="G213" i="489"/>
  <c r="G123" i="489"/>
  <c r="G93" i="489"/>
  <c r="G33" i="489"/>
  <c r="G63" i="489"/>
  <c r="E200" i="489"/>
  <c r="E50" i="489"/>
  <c r="E170" i="489"/>
  <c r="E20" i="489"/>
  <c r="F109" i="489"/>
  <c r="F80" i="489"/>
  <c r="E152" i="489"/>
  <c r="E213" i="489"/>
  <c r="E183" i="489"/>
  <c r="E123" i="489"/>
  <c r="E33" i="489"/>
  <c r="E63" i="489"/>
  <c r="E93" i="489"/>
  <c r="D200" i="489"/>
  <c r="D50" i="489"/>
  <c r="D170" i="489"/>
  <c r="D20" i="489"/>
  <c r="G80" i="489"/>
  <c r="G109" i="489"/>
  <c r="D152" i="489"/>
  <c r="D213" i="489"/>
  <c r="D123" i="489"/>
  <c r="D183" i="489"/>
  <c r="D33" i="489"/>
  <c r="D63" i="489"/>
  <c r="D93" i="489"/>
  <c r="E109" i="489"/>
  <c r="E80" i="489"/>
  <c r="FG323" i="489"/>
  <c r="G182" i="489"/>
  <c r="G151" i="489"/>
  <c r="G122" i="489"/>
  <c r="G212" i="489"/>
  <c r="G62" i="489"/>
  <c r="G92" i="489"/>
  <c r="G32" i="489"/>
  <c r="G201" i="489"/>
  <c r="G51" i="489"/>
  <c r="G171" i="489"/>
  <c r="G21" i="489"/>
  <c r="F182" i="489"/>
  <c r="F151" i="489"/>
  <c r="F212" i="489"/>
  <c r="F122" i="489"/>
  <c r="F62" i="489"/>
  <c r="F92" i="489"/>
  <c r="F32" i="489"/>
  <c r="F51" i="489"/>
  <c r="F171" i="489"/>
  <c r="F201" i="489"/>
  <c r="F21" i="489"/>
  <c r="F183" i="489"/>
  <c r="F152" i="489"/>
  <c r="F213" i="489"/>
  <c r="F123" i="489"/>
  <c r="F33" i="489"/>
  <c r="F63" i="489"/>
  <c r="F93" i="489"/>
  <c r="FI323" i="489"/>
  <c r="E182" i="489"/>
  <c r="E151" i="489"/>
  <c r="E212" i="489"/>
  <c r="E122" i="489"/>
  <c r="E92" i="489"/>
  <c r="E32" i="489"/>
  <c r="E62" i="489"/>
  <c r="E171" i="489"/>
  <c r="E51" i="489"/>
  <c r="E201" i="489"/>
  <c r="E21" i="489"/>
  <c r="D182" i="489"/>
  <c r="D151" i="489"/>
  <c r="D212" i="489"/>
  <c r="D122" i="489"/>
  <c r="D92" i="489"/>
  <c r="D62" i="489"/>
  <c r="D32" i="489"/>
  <c r="D201" i="489"/>
  <c r="D51" i="489"/>
  <c r="D171" i="489"/>
  <c r="D21" i="489"/>
  <c r="FC323" i="489"/>
  <c r="FD323" i="489"/>
  <c r="FE323" i="489"/>
  <c r="FB323" i="489"/>
  <c r="FF323" i="489"/>
  <c r="FH323" i="489"/>
  <c r="FJ323" i="489"/>
  <c r="M21" i="503"/>
  <c r="M20" i="504"/>
  <c r="M19" i="503"/>
  <c r="M21" i="497"/>
  <c r="L20" i="503"/>
  <c r="L19" i="503"/>
  <c r="L22" i="503"/>
  <c r="L21" i="503"/>
  <c r="CZ277" i="147"/>
  <c r="BL277" i="147"/>
  <c r="L19" i="501"/>
  <c r="L22" i="501"/>
  <c r="L21" i="501"/>
  <c r="L20" i="501"/>
  <c r="CZ274" i="147"/>
  <c r="CQ274" i="147"/>
  <c r="BO274" i="147"/>
  <c r="L20" i="502"/>
  <c r="L21" i="502"/>
  <c r="L22" i="502"/>
  <c r="L19" i="502"/>
  <c r="BK276" i="147"/>
  <c r="CZ276" i="147"/>
  <c r="L20" i="497"/>
  <c r="L21" i="497"/>
  <c r="L22" i="497"/>
  <c r="L19" i="497"/>
  <c r="DT278" i="147"/>
  <c r="CZ278" i="147"/>
  <c r="M19" i="500"/>
  <c r="M19" i="502"/>
  <c r="L22" i="500"/>
  <c r="L21" i="500"/>
  <c r="L20" i="500"/>
  <c r="L19" i="500"/>
  <c r="CQ273" i="147"/>
  <c r="BG273" i="147"/>
  <c r="CZ273" i="147"/>
  <c r="M19" i="501"/>
  <c r="M19" i="497"/>
  <c r="M22" i="503"/>
  <c r="DO280" i="147"/>
  <c r="CZ280" i="147"/>
  <c r="CQ280" i="147"/>
  <c r="L19" i="504"/>
  <c r="M22" i="504"/>
  <c r="L22" i="504"/>
  <c r="L21" i="504"/>
  <c r="L20" i="504"/>
  <c r="M22" i="501"/>
  <c r="M22" i="502"/>
  <c r="M22" i="497"/>
  <c r="M20" i="503"/>
  <c r="M22" i="500"/>
  <c r="M20" i="501"/>
  <c r="M20" i="502"/>
  <c r="M20" i="497"/>
  <c r="M20" i="500"/>
  <c r="M21" i="504"/>
  <c r="M19" i="504"/>
  <c r="G278" i="147"/>
  <c r="E278" i="147"/>
  <c r="F278" i="147"/>
  <c r="D278" i="147"/>
  <c r="FJ1263" i="489"/>
  <c r="F23" i="503"/>
  <c r="F24" i="503" s="1"/>
  <c r="F28" i="503" s="1"/>
  <c r="I277" i="147" s="1"/>
  <c r="F23" i="504"/>
  <c r="F24" i="504" s="1"/>
  <c r="F28" i="504" s="1"/>
  <c r="I280" i="147" s="1"/>
  <c r="FI1039" i="489"/>
  <c r="FF1067" i="489"/>
  <c r="FC1095" i="489"/>
  <c r="EZ1123" i="489"/>
  <c r="FL1123" i="489"/>
  <c r="F23" i="502"/>
  <c r="F24" i="502" s="1"/>
  <c r="F28" i="502" s="1"/>
  <c r="I276" i="147" s="1"/>
  <c r="F23" i="501"/>
  <c r="F24" i="501" s="1"/>
  <c r="F28" i="501" s="1"/>
  <c r="I274" i="147" s="1"/>
  <c r="F23" i="500"/>
  <c r="F24" i="500" s="1"/>
  <c r="F28" i="500" s="1"/>
  <c r="I273" i="147" s="1"/>
  <c r="FH1265" i="489"/>
  <c r="FG1266" i="489"/>
  <c r="FJ1039" i="489"/>
  <c r="FG1067" i="489"/>
  <c r="FD1095" i="489"/>
  <c r="FG1179" i="489"/>
  <c r="FD1207" i="489"/>
  <c r="FE1039" i="489"/>
  <c r="FB1067" i="489"/>
  <c r="FK1095" i="489"/>
  <c r="FH1123" i="489"/>
  <c r="FE1151" i="489"/>
  <c r="FB1179" i="489"/>
  <c r="FK1207" i="489"/>
  <c r="FF1039" i="489"/>
  <c r="FC1067" i="489"/>
  <c r="EZ1095" i="489"/>
  <c r="FL1095" i="489"/>
  <c r="FI1123" i="489"/>
  <c r="FF1151" i="489"/>
  <c r="FC1179" i="489"/>
  <c r="EZ1207" i="489"/>
  <c r="FL1207" i="489"/>
  <c r="FI1235" i="489"/>
  <c r="FF1263" i="489"/>
  <c r="FC1265" i="489"/>
  <c r="FB1266" i="489"/>
  <c r="FK1039" i="489"/>
  <c r="FH1067" i="489"/>
  <c r="FE1095" i="489"/>
  <c r="FK1151" i="489"/>
  <c r="FH1179" i="489"/>
  <c r="FE1207" i="489"/>
  <c r="FB1235" i="489"/>
  <c r="FK1263" i="489"/>
  <c r="FD1265" i="489"/>
  <c r="EZ318" i="489"/>
  <c r="FL318" i="489"/>
  <c r="EZ1039" i="489"/>
  <c r="FL1039" i="489"/>
  <c r="FI1067" i="489"/>
  <c r="FC1123" i="489"/>
  <c r="EZ1151" i="489"/>
  <c r="FL1151" i="489"/>
  <c r="FI1179" i="489"/>
  <c r="FF1207" i="489"/>
  <c r="FC1235" i="489"/>
  <c r="EZ1263" i="489"/>
  <c r="FL1263" i="489"/>
  <c r="FC1266" i="489"/>
  <c r="FB1264" i="489"/>
  <c r="FG1095" i="489"/>
  <c r="FD1123" i="489"/>
  <c r="FA1151" i="489"/>
  <c r="FJ1179" i="489"/>
  <c r="FG1207" i="489"/>
  <c r="FD1235" i="489"/>
  <c r="FB1265" i="489"/>
  <c r="FA1266" i="489"/>
  <c r="FE1264" i="489"/>
  <c r="FF318" i="489"/>
  <c r="FG1039" i="489"/>
  <c r="FD1067" i="489"/>
  <c r="FA1095" i="489"/>
  <c r="FJ1123" i="489"/>
  <c r="FG1151" i="489"/>
  <c r="FD1179" i="489"/>
  <c r="FG1263" i="489"/>
  <c r="FI1264" i="489"/>
  <c r="FH1039" i="489"/>
  <c r="FE1067" i="489"/>
  <c r="FB1095" i="489"/>
  <c r="FK1123" i="489"/>
  <c r="F23" i="497"/>
  <c r="F24" i="497" s="1"/>
  <c r="F28" i="497" s="1"/>
  <c r="I278" i="147" s="1"/>
  <c r="FJ1264" i="489"/>
  <c r="FI1265" i="489"/>
  <c r="FH1266" i="489"/>
  <c r="FA1264" i="489"/>
  <c r="EZ1265" i="489"/>
  <c r="FL1265" i="489"/>
  <c r="FK1266" i="489"/>
  <c r="FK1067" i="489"/>
  <c r="FH1095" i="489"/>
  <c r="FE1123" i="489"/>
  <c r="FB1151" i="489"/>
  <c r="FK1179" i="489"/>
  <c r="FH1207" i="489"/>
  <c r="FB56" i="489"/>
  <c r="FI146" i="489"/>
  <c r="FH206" i="489"/>
  <c r="BU266" i="489"/>
  <c r="BH266" i="489"/>
  <c r="AV266" i="489"/>
  <c r="BF266" i="489"/>
  <c r="CD266" i="489"/>
  <c r="CP266" i="489"/>
  <c r="DB266" i="489"/>
  <c r="EL266" i="489"/>
  <c r="DZ266" i="489"/>
  <c r="DN266" i="489"/>
  <c r="EX266" i="489"/>
  <c r="ET266" i="489"/>
  <c r="EH266" i="489"/>
  <c r="DV266" i="489"/>
  <c r="DJ266" i="489"/>
  <c r="CU266" i="489"/>
  <c r="CH266" i="489"/>
  <c r="AT266" i="489"/>
  <c r="ES266" i="489"/>
  <c r="EG266" i="489"/>
  <c r="DI266" i="489"/>
  <c r="BG266" i="489"/>
  <c r="AG266" i="489"/>
  <c r="S266" i="489"/>
  <c r="CE266" i="489"/>
  <c r="AS266" i="489"/>
  <c r="R266" i="489"/>
  <c r="EQ266" i="489"/>
  <c r="EE266" i="489"/>
  <c r="DS266" i="489"/>
  <c r="DG266" i="489"/>
  <c r="BQ266" i="489"/>
  <c r="BE266" i="489"/>
  <c r="AD266" i="489"/>
  <c r="Q266" i="489"/>
  <c r="EP266" i="489"/>
  <c r="ED266" i="489"/>
  <c r="CC266" i="489"/>
  <c r="O266" i="489"/>
  <c r="EO266" i="489"/>
  <c r="EC266" i="489"/>
  <c r="DQ266" i="489"/>
  <c r="CO266" i="489"/>
  <c r="BO266" i="489"/>
  <c r="BC266" i="489"/>
  <c r="AP266" i="489"/>
  <c r="N266" i="489"/>
  <c r="FI36" i="489"/>
  <c r="DA266" i="489"/>
  <c r="CA266" i="489"/>
  <c r="BN266" i="489"/>
  <c r="BB266" i="489"/>
  <c r="AA266" i="489"/>
  <c r="M266" i="489"/>
  <c r="FD156" i="489"/>
  <c r="FI176" i="489"/>
  <c r="FC186" i="489"/>
  <c r="FC216" i="489"/>
  <c r="EM266" i="489"/>
  <c r="EA266" i="489"/>
  <c r="DO266" i="489"/>
  <c r="CM266" i="489"/>
  <c r="BZ266" i="489"/>
  <c r="BA266" i="489"/>
  <c r="Z266" i="489"/>
  <c r="FE26" i="489"/>
  <c r="FK36" i="489"/>
  <c r="CY266" i="489"/>
  <c r="CL266" i="489"/>
  <c r="BY266" i="489"/>
  <c r="AM266" i="489"/>
  <c r="K266" i="489"/>
  <c r="EK266" i="489"/>
  <c r="DY266" i="489"/>
  <c r="DM266" i="489"/>
  <c r="CX266" i="489"/>
  <c r="CK266" i="489"/>
  <c r="AY266" i="489"/>
  <c r="FE56" i="489"/>
  <c r="FJ96" i="489"/>
  <c r="FB116" i="489"/>
  <c r="FH126" i="489"/>
  <c r="FH266" i="489"/>
  <c r="CW266" i="489"/>
  <c r="BW266" i="489"/>
  <c r="BJ266" i="489"/>
  <c r="T266" i="489"/>
  <c r="FH26" i="489"/>
  <c r="EU266" i="489"/>
  <c r="EI266" i="489"/>
  <c r="DW266" i="489"/>
  <c r="DK266" i="489"/>
  <c r="CI266" i="489"/>
  <c r="BV266" i="489"/>
  <c r="BI266" i="489"/>
  <c r="AW266" i="489"/>
  <c r="AI266" i="489"/>
  <c r="FC276" i="489"/>
  <c r="FG296" i="489"/>
  <c r="FG313" i="489" s="1"/>
  <c r="FG315" i="489" s="1"/>
  <c r="EZ146" i="489"/>
  <c r="FL146" i="489"/>
  <c r="FG156" i="489"/>
  <c r="EZ176" i="489"/>
  <c r="FL176" i="489"/>
  <c r="FK206" i="489"/>
  <c r="FD276" i="489"/>
  <c r="FH296" i="489"/>
  <c r="FH313" i="489" s="1"/>
  <c r="FH315" i="489" s="1"/>
  <c r="FE1263" i="489"/>
  <c r="ER266" i="489"/>
  <c r="EF266" i="489"/>
  <c r="DT266" i="489"/>
  <c r="DH266" i="489"/>
  <c r="CR266" i="489"/>
  <c r="FH1151" i="489"/>
  <c r="FE1179" i="489"/>
  <c r="FK1235" i="489"/>
  <c r="AR266" i="489"/>
  <c r="FI1151" i="489"/>
  <c r="FC1207" i="489"/>
  <c r="FA1207" i="489"/>
  <c r="EZ1235" i="489"/>
  <c r="FL1235" i="489"/>
  <c r="FI1263" i="489"/>
  <c r="BP266" i="489"/>
  <c r="BD266" i="489"/>
  <c r="AB266" i="489"/>
  <c r="FA266" i="489"/>
  <c r="EN266" i="489"/>
  <c r="EB266" i="489"/>
  <c r="DP266" i="489"/>
  <c r="FA1123" i="489"/>
  <c r="BL266" i="489"/>
  <c r="AZ266" i="489"/>
  <c r="X266" i="489"/>
  <c r="FA1265" i="489"/>
  <c r="EZ1266" i="489"/>
  <c r="FL1266" i="489"/>
  <c r="BX266" i="489"/>
  <c r="FC1039" i="489"/>
  <c r="EZ1067" i="489"/>
  <c r="FL1067" i="489"/>
  <c r="FI1095" i="489"/>
  <c r="FF1123" i="489"/>
  <c r="FC1151" i="489"/>
  <c r="EZ1179" i="489"/>
  <c r="FL1179" i="489"/>
  <c r="FI1207" i="489"/>
  <c r="FF1235" i="489"/>
  <c r="EJ266" i="489"/>
  <c r="DX266" i="489"/>
  <c r="DL266" i="489"/>
  <c r="CJ266" i="489"/>
  <c r="AJ266" i="489"/>
  <c r="FA1067" i="489"/>
  <c r="FJ1095" i="489"/>
  <c r="FG1123" i="489"/>
  <c r="FD1151" i="489"/>
  <c r="FA1179" i="489"/>
  <c r="FJ1207" i="489"/>
  <c r="FG1235" i="489"/>
  <c r="CV266" i="489"/>
  <c r="FF26" i="489"/>
  <c r="EZ36" i="489"/>
  <c r="FL36" i="489"/>
  <c r="FC56" i="489"/>
  <c r="EZ116" i="489"/>
  <c r="FL116" i="489"/>
  <c r="FF126" i="489"/>
  <c r="FD126" i="489"/>
  <c r="FJ146" i="489"/>
  <c r="FE156" i="489"/>
  <c r="FJ176" i="489"/>
  <c r="FD186" i="489"/>
  <c r="FI206" i="489"/>
  <c r="FF296" i="489"/>
  <c r="FF313" i="489" s="1"/>
  <c r="FF315" i="489" s="1"/>
  <c r="FG26" i="489"/>
  <c r="FD56" i="489"/>
  <c r="FG126" i="489"/>
  <c r="FK146" i="489"/>
  <c r="FF156" i="489"/>
  <c r="FK176" i="489"/>
  <c r="FE186" i="489"/>
  <c r="FJ206" i="489"/>
  <c r="FK96" i="489"/>
  <c r="FC116" i="489"/>
  <c r="FI126" i="489"/>
  <c r="FA146" i="489"/>
  <c r="FH156" i="489"/>
  <c r="FE246" i="489"/>
  <c r="FI266" i="489"/>
  <c r="FE276" i="489"/>
  <c r="FI296" i="489"/>
  <c r="FI313" i="489" s="1"/>
  <c r="FI315" i="489" s="1"/>
  <c r="FF86" i="489"/>
  <c r="EZ96" i="489"/>
  <c r="FL96" i="489"/>
  <c r="FD116" i="489"/>
  <c r="FJ126" i="489"/>
  <c r="FB146" i="489"/>
  <c r="FI156" i="489"/>
  <c r="FH186" i="489"/>
  <c r="EZ236" i="489"/>
  <c r="FL236" i="489"/>
  <c r="FF246" i="489"/>
  <c r="FJ266" i="489"/>
  <c r="FF276" i="489"/>
  <c r="FJ296" i="489"/>
  <c r="FJ313" i="489" s="1"/>
  <c r="FJ315" i="489" s="1"/>
  <c r="FC66" i="489"/>
  <c r="FG86" i="489"/>
  <c r="FA96" i="489"/>
  <c r="FK126" i="489"/>
  <c r="FC146" i="489"/>
  <c r="FI216" i="489"/>
  <c r="FA236" i="489"/>
  <c r="FG246" i="489"/>
  <c r="FK266" i="489"/>
  <c r="FG276" i="489"/>
  <c r="FK296" i="489"/>
  <c r="FK313" i="489" s="1"/>
  <c r="FK315" i="489" s="1"/>
  <c r="FD66" i="489"/>
  <c r="FH86" i="489"/>
  <c r="FB96" i="489"/>
  <c r="FF116" i="489"/>
  <c r="FD146" i="489"/>
  <c r="FC206" i="489"/>
  <c r="FJ216" i="489"/>
  <c r="FB236" i="489"/>
  <c r="FH246" i="489"/>
  <c r="EZ266" i="489"/>
  <c r="FL266" i="489"/>
  <c r="FH276" i="489"/>
  <c r="FG36" i="489"/>
  <c r="FJ56" i="489"/>
  <c r="FE66" i="489"/>
  <c r="FI86" i="489"/>
  <c r="FC96" i="489"/>
  <c r="FG116" i="489"/>
  <c r="EZ156" i="489"/>
  <c r="FL156" i="489"/>
  <c r="FK186" i="489"/>
  <c r="FD206" i="489"/>
  <c r="FK216" i="489"/>
  <c r="FC236" i="489"/>
  <c r="FI246" i="489"/>
  <c r="FB26" i="489"/>
  <c r="FH36" i="489"/>
  <c r="FK56" i="489"/>
  <c r="FF66" i="489"/>
  <c r="FJ86" i="489"/>
  <c r="FD96" i="489"/>
  <c r="FH116" i="489"/>
  <c r="FF176" i="489"/>
  <c r="FC176" i="489"/>
  <c r="EZ186" i="489"/>
  <c r="FL186" i="489"/>
  <c r="FE206" i="489"/>
  <c r="EZ216" i="489"/>
  <c r="FL216" i="489"/>
  <c r="FD236" i="489"/>
  <c r="FJ246" i="489"/>
  <c r="FB266" i="489"/>
  <c r="FC26" i="489"/>
  <c r="EZ56" i="489"/>
  <c r="FL56" i="489"/>
  <c r="FG66" i="489"/>
  <c r="FK86" i="489"/>
  <c r="FG146" i="489"/>
  <c r="FG176" i="489"/>
  <c r="FA186" i="489"/>
  <c r="FF206" i="489"/>
  <c r="FA216" i="489"/>
  <c r="FE236" i="489"/>
  <c r="FC266" i="489"/>
  <c r="FD26" i="489"/>
  <c r="FJ36" i="489"/>
  <c r="FA56" i="489"/>
  <c r="FH66" i="489"/>
  <c r="EZ86" i="489"/>
  <c r="FL86" i="489"/>
  <c r="FC156" i="489"/>
  <c r="FH176" i="489"/>
  <c r="FB186" i="489"/>
  <c r="FG206" i="489"/>
  <c r="FB216" i="489"/>
  <c r="FF236" i="489"/>
  <c r="FD266" i="489"/>
  <c r="FA318" i="489"/>
  <c r="FF1264" i="489"/>
  <c r="FA1235" i="489"/>
  <c r="FH1263" i="489"/>
  <c r="FA1039" i="489"/>
  <c r="FB318" i="489"/>
  <c r="FE116" i="489"/>
  <c r="FG1264" i="489"/>
  <c r="FE1265" i="489"/>
  <c r="FD1266" i="489"/>
  <c r="FC318" i="489"/>
  <c r="FK318" i="489"/>
  <c r="FH1264" i="489"/>
  <c r="FF1265" i="489"/>
  <c r="FE1266" i="489"/>
  <c r="FD318" i="489"/>
  <c r="FG1265" i="489"/>
  <c r="FF1266" i="489"/>
  <c r="FA36" i="489"/>
  <c r="FE318" i="489"/>
  <c r="FI66" i="489"/>
  <c r="FE96" i="489"/>
  <c r="EZ126" i="489"/>
  <c r="FL126" i="489"/>
  <c r="FK246" i="489"/>
  <c r="FI276" i="489"/>
  <c r="EZ296" i="489"/>
  <c r="EZ313" i="489" s="1"/>
  <c r="EZ315" i="489" s="1"/>
  <c r="FL296" i="489"/>
  <c r="FL313" i="489" s="1"/>
  <c r="FL315" i="489" s="1"/>
  <c r="FI26" i="489"/>
  <c r="FB36" i="489"/>
  <c r="FJ66" i="489"/>
  <c r="FA86" i="489"/>
  <c r="FF96" i="489"/>
  <c r="FI116" i="489"/>
  <c r="FI133" i="489" s="1"/>
  <c r="FI135" i="489" s="1"/>
  <c r="FA126" i="489"/>
  <c r="FJ156" i="489"/>
  <c r="FA176" i="489"/>
  <c r="FF186" i="489"/>
  <c r="FD216" i="489"/>
  <c r="FD223" i="489" s="1"/>
  <c r="FD225" i="489" s="1"/>
  <c r="FG236" i="489"/>
  <c r="EZ246" i="489"/>
  <c r="FL246" i="489"/>
  <c r="FJ276" i="489"/>
  <c r="FA296" i="489"/>
  <c r="FA313" i="489" s="1"/>
  <c r="FA315" i="489" s="1"/>
  <c r="FK1264" i="489"/>
  <c r="FD1264" i="489"/>
  <c r="FJ26" i="489"/>
  <c r="FC36" i="489"/>
  <c r="FG318" i="489"/>
  <c r="FF56" i="489"/>
  <c r="FK66" i="489"/>
  <c r="FB86" i="489"/>
  <c r="FG96" i="489"/>
  <c r="FJ116" i="489"/>
  <c r="FB126" i="489"/>
  <c r="FB133" i="489" s="1"/>
  <c r="FB135" i="489" s="1"/>
  <c r="FE146" i="489"/>
  <c r="FK156" i="489"/>
  <c r="FB176" i="489"/>
  <c r="FG186" i="489"/>
  <c r="FE216" i="489"/>
  <c r="FH236" i="489"/>
  <c r="FA246" i="489"/>
  <c r="FK276" i="489"/>
  <c r="FB296" i="489"/>
  <c r="FB313" i="489" s="1"/>
  <c r="FB315" i="489" s="1"/>
  <c r="EZ1264" i="489"/>
  <c r="FL1264" i="489"/>
  <c r="FJ1265" i="489"/>
  <c r="FI1266" i="489"/>
  <c r="FE1235" i="489"/>
  <c r="FB1263" i="489"/>
  <c r="FK26" i="489"/>
  <c r="FD36" i="489"/>
  <c r="FH318" i="489"/>
  <c r="FG56" i="489"/>
  <c r="EZ66" i="489"/>
  <c r="FL66" i="489"/>
  <c r="FC86" i="489"/>
  <c r="FH96" i="489"/>
  <c r="FK116" i="489"/>
  <c r="FC126" i="489"/>
  <c r="FF146" i="489"/>
  <c r="EZ206" i="489"/>
  <c r="FL206" i="489"/>
  <c r="FF216" i="489"/>
  <c r="FI236" i="489"/>
  <c r="FB246" i="489"/>
  <c r="FE266" i="489"/>
  <c r="EZ276" i="489"/>
  <c r="FL276" i="489"/>
  <c r="FC296" i="489"/>
  <c r="FC313" i="489" s="1"/>
  <c r="FC315" i="489" s="1"/>
  <c r="FK1265" i="489"/>
  <c r="FJ1266" i="489"/>
  <c r="FH1235" i="489"/>
  <c r="FC1263" i="489"/>
  <c r="FA1263" i="489"/>
  <c r="EZ26" i="489"/>
  <c r="FL26" i="489"/>
  <c r="FE36" i="489"/>
  <c r="FI318" i="489"/>
  <c r="FH56" i="489"/>
  <c r="FA66" i="489"/>
  <c r="FD86" i="489"/>
  <c r="FI96" i="489"/>
  <c r="FA156" i="489"/>
  <c r="FD176" i="489"/>
  <c r="FI186" i="489"/>
  <c r="FA206" i="489"/>
  <c r="FG216" i="489"/>
  <c r="FJ236" i="489"/>
  <c r="FC246" i="489"/>
  <c r="FF266" i="489"/>
  <c r="FA276" i="489"/>
  <c r="FD296" i="489"/>
  <c r="FD313" i="489" s="1"/>
  <c r="FD315" i="489" s="1"/>
  <c r="FD1263" i="489"/>
  <c r="FA26" i="489"/>
  <c r="FF36" i="489"/>
  <c r="FJ318" i="489"/>
  <c r="FI56" i="489"/>
  <c r="FB66" i="489"/>
  <c r="FE86" i="489"/>
  <c r="FA116" i="489"/>
  <c r="FE126" i="489"/>
  <c r="FH146" i="489"/>
  <c r="FB156" i="489"/>
  <c r="FE176" i="489"/>
  <c r="FJ186" i="489"/>
  <c r="FB206" i="489"/>
  <c r="FH216" i="489"/>
  <c r="FK236" i="489"/>
  <c r="FD246" i="489"/>
  <c r="FG266" i="489"/>
  <c r="FB276" i="489"/>
  <c r="FE296" i="489"/>
  <c r="FE313" i="489" s="1"/>
  <c r="FE315" i="489" s="1"/>
  <c r="FC1264" i="489"/>
  <c r="FB1039" i="489"/>
  <c r="FJ1067" i="489"/>
  <c r="FF1095" i="489"/>
  <c r="FB1123" i="489"/>
  <c r="FJ1151" i="489"/>
  <c r="FF1179" i="489"/>
  <c r="FB1207" i="489"/>
  <c r="FJ1235" i="489"/>
  <c r="FD1039" i="489"/>
  <c r="B201" i="147"/>
  <c r="B571" i="147" s="1"/>
  <c r="EY201" i="147"/>
  <c r="E31" i="496"/>
  <c r="E28" i="496"/>
  <c r="F28" i="496" s="1"/>
  <c r="E27" i="496"/>
  <c r="F27" i="496" s="1"/>
  <c r="E22" i="496"/>
  <c r="F22" i="496" s="1"/>
  <c r="E20" i="496"/>
  <c r="F20" i="496" s="1"/>
  <c r="J28" i="496"/>
  <c r="I28" i="496"/>
  <c r="H28" i="496"/>
  <c r="G28" i="496"/>
  <c r="J27" i="496"/>
  <c r="I27" i="496"/>
  <c r="H27" i="496"/>
  <c r="G27" i="496"/>
  <c r="J25" i="496"/>
  <c r="I25" i="496"/>
  <c r="H25" i="496"/>
  <c r="G25" i="496"/>
  <c r="J24" i="496"/>
  <c r="I24" i="496"/>
  <c r="H24" i="496"/>
  <c r="G24" i="496"/>
  <c r="J23" i="496"/>
  <c r="I23" i="496"/>
  <c r="H23" i="496"/>
  <c r="G23" i="496"/>
  <c r="J22" i="496"/>
  <c r="I22" i="496"/>
  <c r="H22" i="496"/>
  <c r="G22" i="496"/>
  <c r="G20" i="496"/>
  <c r="H20" i="496"/>
  <c r="I20" i="496"/>
  <c r="J20" i="496"/>
  <c r="C37" i="496"/>
  <c r="J32" i="496"/>
  <c r="H32" i="496"/>
  <c r="J31" i="496"/>
  <c r="I31" i="496"/>
  <c r="H31" i="496"/>
  <c r="G31" i="496"/>
  <c r="E25" i="496"/>
  <c r="F25" i="496" s="1"/>
  <c r="E24" i="496"/>
  <c r="F24" i="496" s="1"/>
  <c r="E23" i="496"/>
  <c r="F23" i="496" s="1"/>
  <c r="J19" i="496"/>
  <c r="I19" i="496"/>
  <c r="H19" i="496"/>
  <c r="G19" i="496"/>
  <c r="E19" i="496"/>
  <c r="F19" i="496" s="1"/>
  <c r="FE223" i="489" l="1"/>
  <c r="FE225" i="489" s="1"/>
  <c r="M23" i="503"/>
  <c r="EZ321" i="489"/>
  <c r="EY278" i="147"/>
  <c r="EY277" i="147"/>
  <c r="M23" i="502"/>
  <c r="EY273" i="147"/>
  <c r="FF322" i="489"/>
  <c r="EY280" i="147"/>
  <c r="EY276" i="147"/>
  <c r="EY274" i="147"/>
  <c r="FA321" i="489"/>
  <c r="FE322" i="489"/>
  <c r="FL321" i="489"/>
  <c r="FJ322" i="489"/>
  <c r="FD322" i="489"/>
  <c r="FC322" i="489"/>
  <c r="FD321" i="489"/>
  <c r="FC321" i="489"/>
  <c r="FG321" i="489"/>
  <c r="FL322" i="489"/>
  <c r="FK321" i="489"/>
  <c r="FJ321" i="489"/>
  <c r="EZ322" i="489"/>
  <c r="FF321" i="489"/>
  <c r="FI322" i="489"/>
  <c r="FH322" i="489"/>
  <c r="FA322" i="489"/>
  <c r="FB321" i="489"/>
  <c r="FK322" i="489"/>
  <c r="FB322" i="489"/>
  <c r="FG322" i="489"/>
  <c r="FH321" i="489"/>
  <c r="FE321" i="489"/>
  <c r="FI321" i="489"/>
  <c r="D284" i="93"/>
  <c r="E60" i="93"/>
  <c r="F60" i="93"/>
  <c r="E117" i="93"/>
  <c r="F61" i="93"/>
  <c r="F103" i="93"/>
  <c r="G173" i="93"/>
  <c r="D161" i="93"/>
  <c r="G49" i="93"/>
  <c r="G88" i="93"/>
  <c r="D103" i="93"/>
  <c r="E89" i="93"/>
  <c r="E160" i="93"/>
  <c r="G201" i="93"/>
  <c r="E49" i="93"/>
  <c r="E116" i="93"/>
  <c r="F49" i="93"/>
  <c r="F116" i="93"/>
  <c r="G116" i="93"/>
  <c r="D61" i="93"/>
  <c r="F117" i="93"/>
  <c r="D60" i="93"/>
  <c r="E76" i="93"/>
  <c r="E88" i="93"/>
  <c r="F88" i="93"/>
  <c r="G76" i="93"/>
  <c r="D117" i="93"/>
  <c r="E229" i="93"/>
  <c r="F89" i="93"/>
  <c r="G48" i="93"/>
  <c r="E256" i="93"/>
  <c r="F161" i="93"/>
  <c r="G273" i="93"/>
  <c r="G200" i="93"/>
  <c r="D89" i="93"/>
  <c r="E272" i="93"/>
  <c r="F160" i="93"/>
  <c r="G61" i="93"/>
  <c r="G103" i="93"/>
  <c r="D49" i="93"/>
  <c r="D116" i="93"/>
  <c r="E133" i="93"/>
  <c r="F200" i="93"/>
  <c r="D160" i="93"/>
  <c r="E285" i="93"/>
  <c r="F229" i="93"/>
  <c r="D76" i="93"/>
  <c r="D200" i="93"/>
  <c r="E273" i="93"/>
  <c r="E200" i="93"/>
  <c r="F76" i="93"/>
  <c r="G228" i="93"/>
  <c r="D229" i="93"/>
  <c r="E173" i="93"/>
  <c r="F272" i="93"/>
  <c r="G285" i="93"/>
  <c r="G160" i="93"/>
  <c r="F273" i="93"/>
  <c r="F228" i="93"/>
  <c r="G284" i="93"/>
  <c r="G256" i="93"/>
  <c r="E201" i="93"/>
  <c r="F285" i="93"/>
  <c r="G117" i="93"/>
  <c r="D133" i="93"/>
  <c r="D88" i="93"/>
  <c r="E228" i="93"/>
  <c r="F256" i="93"/>
  <c r="G161" i="93"/>
  <c r="D285" i="93"/>
  <c r="D272" i="93"/>
  <c r="E48" i="93"/>
  <c r="F173" i="93"/>
  <c r="G89" i="93"/>
  <c r="D273" i="93"/>
  <c r="E284" i="93"/>
  <c r="D173" i="93"/>
  <c r="F201" i="93"/>
  <c r="G272" i="93"/>
  <c r="D228" i="93"/>
  <c r="E161" i="93"/>
  <c r="F284" i="93"/>
  <c r="G133" i="93"/>
  <c r="D201" i="93"/>
  <c r="E103" i="93"/>
  <c r="G229" i="93"/>
  <c r="D256" i="93"/>
  <c r="F133" i="93"/>
  <c r="G60" i="93"/>
  <c r="D48" i="93"/>
  <c r="E61" i="93"/>
  <c r="F48" i="93"/>
  <c r="M23" i="504"/>
  <c r="FH223" i="489"/>
  <c r="FH225" i="489" s="1"/>
  <c r="L23" i="497"/>
  <c r="L23" i="501"/>
  <c r="L23" i="500"/>
  <c r="M23" i="497"/>
  <c r="M23" i="501"/>
  <c r="L23" i="503"/>
  <c r="L23" i="502"/>
  <c r="L23" i="504"/>
  <c r="M23" i="500"/>
  <c r="FI103" i="489"/>
  <c r="FI105" i="489" s="1"/>
  <c r="FH283" i="489"/>
  <c r="FH285" i="489" s="1"/>
  <c r="EZ163" i="489"/>
  <c r="FH1267" i="489"/>
  <c r="FC1267" i="489"/>
  <c r="FD283" i="489"/>
  <c r="FD285" i="489" s="1"/>
  <c r="FK103" i="489"/>
  <c r="FK105" i="489" s="1"/>
  <c r="FA1267" i="489"/>
  <c r="FB73" i="489"/>
  <c r="FB75" i="489" s="1"/>
  <c r="FA223" i="489"/>
  <c r="FA225" i="489" s="1"/>
  <c r="FC133" i="489"/>
  <c r="FC135" i="489" s="1"/>
  <c r="FB1267" i="489"/>
  <c r="FH103" i="489"/>
  <c r="FH105" i="489" s="1"/>
  <c r="FJ133" i="489"/>
  <c r="FJ135" i="489" s="1"/>
  <c r="FC223" i="489"/>
  <c r="FC225" i="489" s="1"/>
  <c r="FE73" i="489"/>
  <c r="FE75" i="489" s="1"/>
  <c r="FC43" i="489"/>
  <c r="FC45" i="489" s="1"/>
  <c r="FG73" i="489"/>
  <c r="FG75" i="489" s="1"/>
  <c r="FD1267" i="489"/>
  <c r="FG1267" i="489"/>
  <c r="FD133" i="489"/>
  <c r="FD135" i="489" s="1"/>
  <c r="FC283" i="489"/>
  <c r="FC285" i="489" s="1"/>
  <c r="FJ103" i="489"/>
  <c r="FJ105" i="489" s="1"/>
  <c r="FD103" i="489"/>
  <c r="FD105" i="489" s="1"/>
  <c r="FL1267" i="489"/>
  <c r="FH193" i="489"/>
  <c r="FH195" i="489" s="1"/>
  <c r="FG43" i="489"/>
  <c r="FG45" i="489" s="1"/>
  <c r="EZ193" i="489"/>
  <c r="EZ195" i="489" s="1"/>
  <c r="FF133" i="489"/>
  <c r="FF135" i="489" s="1"/>
  <c r="FE43" i="489"/>
  <c r="FE45" i="489" s="1"/>
  <c r="FE1267" i="489"/>
  <c r="FB193" i="489"/>
  <c r="FB195" i="489" s="1"/>
  <c r="FI1267" i="489"/>
  <c r="FL43" i="489"/>
  <c r="FL45" i="489" s="1"/>
  <c r="FK43" i="489"/>
  <c r="FK45" i="489" s="1"/>
  <c r="FL133" i="489"/>
  <c r="FL135" i="489" s="1"/>
  <c r="FI193" i="489"/>
  <c r="FI195" i="489" s="1"/>
  <c r="FC163" i="489"/>
  <c r="FI163" i="489"/>
  <c r="FF163" i="489"/>
  <c r="FK163" i="489"/>
  <c r="EZ1267" i="489"/>
  <c r="FH163" i="489"/>
  <c r="FH73" i="489"/>
  <c r="FH75" i="489" s="1"/>
  <c r="FJ253" i="489"/>
  <c r="FJ255" i="489" s="1"/>
  <c r="FG283" i="489"/>
  <c r="FG285" i="489" s="1"/>
  <c r="EZ43" i="489"/>
  <c r="EZ45" i="489" s="1"/>
  <c r="FH133" i="489"/>
  <c r="FH135" i="489" s="1"/>
  <c r="FL163" i="489"/>
  <c r="FK133" i="489"/>
  <c r="FK135" i="489" s="1"/>
  <c r="FC103" i="489"/>
  <c r="FC105" i="489" s="1"/>
  <c r="FB43" i="489"/>
  <c r="FB45" i="489" s="1"/>
  <c r="FG193" i="489"/>
  <c r="FG195" i="489" s="1"/>
  <c r="FJ283" i="489"/>
  <c r="FJ285" i="489" s="1"/>
  <c r="FF223" i="489"/>
  <c r="FF225" i="489" s="1"/>
  <c r="FH43" i="489"/>
  <c r="FH45" i="489" s="1"/>
  <c r="EZ73" i="489"/>
  <c r="EZ75" i="489" s="1"/>
  <c r="FG253" i="489"/>
  <c r="FG255" i="489" s="1"/>
  <c r="FG163" i="489"/>
  <c r="FB283" i="489"/>
  <c r="FB285" i="489" s="1"/>
  <c r="FF103" i="489"/>
  <c r="FF105" i="489" s="1"/>
  <c r="EZ133" i="489"/>
  <c r="EZ135" i="489" s="1"/>
  <c r="FJ193" i="489"/>
  <c r="FJ195" i="489" s="1"/>
  <c r="FE193" i="489"/>
  <c r="FE195" i="489" s="1"/>
  <c r="FE163" i="489"/>
  <c r="FA73" i="489"/>
  <c r="FA75" i="489" s="1"/>
  <c r="FL283" i="489"/>
  <c r="FL285" i="489" s="1"/>
  <c r="FE253" i="489"/>
  <c r="FE255" i="489" s="1"/>
  <c r="FD163" i="489"/>
  <c r="FA283" i="489"/>
  <c r="FA285" i="489" s="1"/>
  <c r="EZ253" i="489"/>
  <c r="EZ255" i="489" s="1"/>
  <c r="FI43" i="489"/>
  <c r="FI45" i="489" s="1"/>
  <c r="FB253" i="489"/>
  <c r="FB255" i="489" s="1"/>
  <c r="FA253" i="489"/>
  <c r="FA255" i="489" s="1"/>
  <c r="FL193" i="489"/>
  <c r="FL195" i="489" s="1"/>
  <c r="FK223" i="489"/>
  <c r="FK225" i="489" s="1"/>
  <c r="FJ43" i="489"/>
  <c r="FJ45" i="489" s="1"/>
  <c r="FC193" i="489"/>
  <c r="FC195" i="489" s="1"/>
  <c r="FF193" i="489"/>
  <c r="FF195" i="489" s="1"/>
  <c r="FD43" i="489"/>
  <c r="FD45" i="489" s="1"/>
  <c r="FG133" i="489"/>
  <c r="FG135" i="489" s="1"/>
  <c r="FC73" i="489"/>
  <c r="FC75" i="489" s="1"/>
  <c r="FA43" i="489"/>
  <c r="FA45" i="489" s="1"/>
  <c r="FE317" i="489"/>
  <c r="FG103" i="489"/>
  <c r="FG105" i="489" s="1"/>
  <c r="FJ73" i="489"/>
  <c r="FJ75" i="489" s="1"/>
  <c r="FE316" i="489"/>
  <c r="EZ103" i="489"/>
  <c r="EZ105" i="489" s="1"/>
  <c r="FJ223" i="489"/>
  <c r="FJ225" i="489" s="1"/>
  <c r="FK283" i="489"/>
  <c r="FK285" i="489" s="1"/>
  <c r="FF253" i="489"/>
  <c r="FF255" i="489" s="1"/>
  <c r="FK193" i="489"/>
  <c r="FK195" i="489" s="1"/>
  <c r="FH253" i="489"/>
  <c r="FH255" i="489" s="1"/>
  <c r="FB223" i="489"/>
  <c r="FB225" i="489" s="1"/>
  <c r="EZ223" i="489"/>
  <c r="EZ225" i="489" s="1"/>
  <c r="FA193" i="489"/>
  <c r="FA195" i="489" s="1"/>
  <c r="FI283" i="489"/>
  <c r="FI285" i="489" s="1"/>
  <c r="FD73" i="489"/>
  <c r="FD75" i="489" s="1"/>
  <c r="FB163" i="489"/>
  <c r="FG316" i="489"/>
  <c r="FJ1267" i="489"/>
  <c r="FG223" i="489"/>
  <c r="FG225" i="489" s="1"/>
  <c r="FK73" i="489"/>
  <c r="FK75" i="489" s="1"/>
  <c r="FI223" i="489"/>
  <c r="FI225" i="489" s="1"/>
  <c r="FF43" i="489"/>
  <c r="FF45" i="489" s="1"/>
  <c r="FL316" i="489"/>
  <c r="FF283" i="489"/>
  <c r="FF285" i="489" s="1"/>
  <c r="FE103" i="489"/>
  <c r="FE105" i="489" s="1"/>
  <c r="FE283" i="489"/>
  <c r="FE285" i="489" s="1"/>
  <c r="FB103" i="489"/>
  <c r="FB105" i="489" s="1"/>
  <c r="FK316" i="489"/>
  <c r="FJ316" i="489"/>
  <c r="FA133" i="489"/>
  <c r="FA135" i="489" s="1"/>
  <c r="EZ317" i="489"/>
  <c r="FL73" i="489"/>
  <c r="FL75" i="489" s="1"/>
  <c r="FG317" i="489"/>
  <c r="FL253" i="489"/>
  <c r="FL255" i="489" s="1"/>
  <c r="FA103" i="489"/>
  <c r="FA105" i="489" s="1"/>
  <c r="FH317" i="489"/>
  <c r="FC253" i="489"/>
  <c r="FC255" i="489" s="1"/>
  <c r="FL103" i="489"/>
  <c r="FL105" i="489" s="1"/>
  <c r="FD253" i="489"/>
  <c r="FD255" i="489" s="1"/>
  <c r="FI73" i="489"/>
  <c r="FI75" i="489" s="1"/>
  <c r="EZ316" i="489"/>
  <c r="FI253" i="489"/>
  <c r="FI255" i="489" s="1"/>
  <c r="FF73" i="489"/>
  <c r="FF75" i="489" s="1"/>
  <c r="FI316" i="489"/>
  <c r="FL223" i="489"/>
  <c r="FL225" i="489" s="1"/>
  <c r="FA316" i="489"/>
  <c r="FD193" i="489"/>
  <c r="FD195" i="489" s="1"/>
  <c r="FE133" i="489"/>
  <c r="FE135" i="489" s="1"/>
  <c r="FA317" i="489"/>
  <c r="FJ317" i="489"/>
  <c r="FK317" i="489"/>
  <c r="FF317" i="489"/>
  <c r="FL317" i="489"/>
  <c r="EZ283" i="489"/>
  <c r="EZ285" i="489" s="1"/>
  <c r="FD316" i="489"/>
  <c r="FJ163" i="489"/>
  <c r="FK1267" i="489"/>
  <c r="FA163" i="489"/>
  <c r="FB316" i="489"/>
  <c r="FI317" i="489"/>
  <c r="FC316" i="489"/>
  <c r="FB317" i="489"/>
  <c r="FF316" i="489"/>
  <c r="FK253" i="489"/>
  <c r="FK255" i="489" s="1"/>
  <c r="FD317" i="489"/>
  <c r="FH316" i="489"/>
  <c r="FC317" i="489"/>
  <c r="FF1267" i="489"/>
  <c r="CZ159" i="147"/>
  <c r="E20" i="492"/>
  <c r="AQ159" i="147"/>
  <c r="DD159" i="147"/>
  <c r="CF159" i="147"/>
  <c r="BU159" i="147"/>
  <c r="AE159" i="147"/>
  <c r="U159" i="147"/>
  <c r="Z159" i="147"/>
  <c r="Y159" i="147"/>
  <c r="X159" i="147"/>
  <c r="AE145" i="147"/>
  <c r="BU145" i="147"/>
  <c r="CZ145" i="147"/>
  <c r="CI145" i="147"/>
  <c r="DD145" i="147"/>
  <c r="CM145" i="147"/>
  <c r="CF145" i="147"/>
  <c r="Z145" i="147"/>
  <c r="Y145" i="147"/>
  <c r="U145" i="147"/>
  <c r="C145" i="147"/>
  <c r="B145" i="147"/>
  <c r="B515" i="147" s="1"/>
  <c r="F21" i="495"/>
  <c r="G21" i="495"/>
  <c r="H21" i="495"/>
  <c r="I21" i="495"/>
  <c r="J21" i="495"/>
  <c r="G22" i="495"/>
  <c r="H22" i="495"/>
  <c r="I22" i="495"/>
  <c r="J22" i="495"/>
  <c r="G23" i="495"/>
  <c r="H23" i="495"/>
  <c r="I23" i="495"/>
  <c r="J23" i="495"/>
  <c r="G24" i="495"/>
  <c r="H24" i="495"/>
  <c r="I24" i="495"/>
  <c r="J24" i="495"/>
  <c r="G25" i="495"/>
  <c r="H25" i="495"/>
  <c r="I25" i="495"/>
  <c r="J25" i="495"/>
  <c r="G26" i="495"/>
  <c r="H26" i="495"/>
  <c r="I26" i="495"/>
  <c r="J26" i="495"/>
  <c r="G27" i="495"/>
  <c r="H27" i="495"/>
  <c r="I27" i="495"/>
  <c r="J27" i="495"/>
  <c r="G28" i="495"/>
  <c r="H28" i="495"/>
  <c r="I28" i="495"/>
  <c r="J28" i="495"/>
  <c r="E31" i="495"/>
  <c r="F31" i="495" s="1"/>
  <c r="E23" i="495"/>
  <c r="F23" i="495" s="1"/>
  <c r="E22" i="495"/>
  <c r="F22" i="495" s="1"/>
  <c r="E20" i="495"/>
  <c r="F20" i="495" s="1"/>
  <c r="C36" i="495"/>
  <c r="J32" i="495"/>
  <c r="H32" i="495"/>
  <c r="J31" i="495"/>
  <c r="I31" i="495"/>
  <c r="H31" i="495"/>
  <c r="G31" i="495"/>
  <c r="J30" i="495"/>
  <c r="H30" i="495"/>
  <c r="J29" i="495"/>
  <c r="H29" i="495"/>
  <c r="E28" i="495"/>
  <c r="F28" i="495" s="1"/>
  <c r="E27" i="495"/>
  <c r="F27" i="495" s="1"/>
  <c r="E26" i="495"/>
  <c r="F26" i="495" s="1"/>
  <c r="E25" i="495"/>
  <c r="F25" i="495" s="1"/>
  <c r="J20" i="495"/>
  <c r="I20" i="495"/>
  <c r="H20" i="495"/>
  <c r="G20" i="495"/>
  <c r="J19" i="495"/>
  <c r="I19" i="495"/>
  <c r="H19" i="495"/>
  <c r="G19" i="495"/>
  <c r="E19" i="495"/>
  <c r="F19" i="495" s="1"/>
  <c r="DR289" i="147"/>
  <c r="DR288" i="147"/>
  <c r="DR287" i="147"/>
  <c r="DR286" i="147"/>
  <c r="CY287" i="147"/>
  <c r="B287" i="147"/>
  <c r="B657" i="147" s="1"/>
  <c r="E20" i="494"/>
  <c r="F20" i="494" s="1"/>
  <c r="C26" i="494"/>
  <c r="J22" i="494"/>
  <c r="H22" i="494"/>
  <c r="J21" i="494"/>
  <c r="I21" i="494"/>
  <c r="H21" i="494"/>
  <c r="G21" i="494"/>
  <c r="F21" i="494"/>
  <c r="J20" i="494"/>
  <c r="I20" i="494"/>
  <c r="H20" i="494"/>
  <c r="G20" i="494"/>
  <c r="J19" i="494"/>
  <c r="I19" i="494"/>
  <c r="H19" i="494"/>
  <c r="G19" i="494"/>
  <c r="DR202" i="489" l="1"/>
  <c r="DR49" i="489"/>
  <c r="DR172" i="489"/>
  <c r="DR110" i="489"/>
  <c r="DR81" i="489"/>
  <c r="DR18" i="489"/>
  <c r="FH319" i="489"/>
  <c r="FH320" i="489" s="1"/>
  <c r="FB319" i="489"/>
  <c r="FB320" i="489" s="1"/>
  <c r="EZ319" i="489"/>
  <c r="EZ320" i="489" s="1"/>
  <c r="FJ319" i="489"/>
  <c r="FJ320" i="489" s="1"/>
  <c r="FK319" i="489"/>
  <c r="FK320" i="489" s="1"/>
  <c r="FA319" i="489"/>
  <c r="FA320" i="489" s="1"/>
  <c r="FC319" i="489"/>
  <c r="FC320" i="489" s="1"/>
  <c r="FG319" i="489"/>
  <c r="FG320" i="489" s="1"/>
  <c r="FI319" i="489"/>
  <c r="FI320" i="489" s="1"/>
  <c r="FF319" i="489"/>
  <c r="FF320" i="489" s="1"/>
  <c r="FL319" i="489"/>
  <c r="FL320" i="489" s="1"/>
  <c r="FE319" i="489"/>
  <c r="FE320" i="489" s="1"/>
  <c r="FD319" i="489"/>
  <c r="FD320" i="489" s="1"/>
  <c r="EY145" i="147"/>
  <c r="EY287" i="147"/>
  <c r="DR266" i="489" l="1"/>
  <c r="W16" i="147"/>
  <c r="C16" i="147"/>
  <c r="W15" i="147"/>
  <c r="C15" i="147"/>
  <c r="W14" i="147"/>
  <c r="C14" i="147"/>
  <c r="B16" i="147"/>
  <c r="B15" i="147"/>
  <c r="C24" i="493"/>
  <c r="J20" i="493"/>
  <c r="H20" i="493"/>
  <c r="J19" i="493"/>
  <c r="I19" i="493"/>
  <c r="H19" i="493"/>
  <c r="G19" i="493"/>
  <c r="E19" i="493"/>
  <c r="F19" i="493" s="1"/>
  <c r="F20" i="493" s="1"/>
  <c r="F21" i="493" s="1"/>
  <c r="EY159" i="147"/>
  <c r="B159" i="147"/>
  <c r="B529" i="147" s="1"/>
  <c r="E25" i="492"/>
  <c r="E24" i="492"/>
  <c r="F24" i="492" s="1"/>
  <c r="E22" i="492"/>
  <c r="F22" i="492" s="1"/>
  <c r="G22" i="492"/>
  <c r="H22" i="492"/>
  <c r="I22" i="492"/>
  <c r="J22" i="492"/>
  <c r="B139" i="489" l="1"/>
  <c r="B169" i="489"/>
  <c r="B78" i="489"/>
  <c r="C169" i="489"/>
  <c r="C78" i="489"/>
  <c r="W169" i="489"/>
  <c r="W78" i="489"/>
  <c r="C199" i="489"/>
  <c r="W199" i="489"/>
  <c r="B386" i="147"/>
  <c r="B199" i="489"/>
  <c r="B385" i="147"/>
  <c r="D16" i="147"/>
  <c r="G16" i="147"/>
  <c r="E16" i="147"/>
  <c r="E15" i="147"/>
  <c r="D15" i="147"/>
  <c r="G15" i="147"/>
  <c r="F25" i="493"/>
  <c r="I16" i="147" s="1"/>
  <c r="H24" i="492"/>
  <c r="J24" i="492"/>
  <c r="G24" i="492"/>
  <c r="I24" i="492"/>
  <c r="C34" i="492"/>
  <c r="J30" i="492"/>
  <c r="H30" i="492"/>
  <c r="J29" i="492"/>
  <c r="I29" i="492"/>
  <c r="H29" i="492"/>
  <c r="G29" i="492"/>
  <c r="E29" i="492"/>
  <c r="F29" i="492" s="1"/>
  <c r="J28" i="492"/>
  <c r="H28" i="492"/>
  <c r="J27" i="492"/>
  <c r="I27" i="492"/>
  <c r="H27" i="492"/>
  <c r="G27" i="492"/>
  <c r="E27" i="492"/>
  <c r="F27" i="492" s="1"/>
  <c r="J26" i="492"/>
  <c r="I26" i="492"/>
  <c r="H26" i="492"/>
  <c r="G26" i="492"/>
  <c r="E26" i="492"/>
  <c r="F26" i="492" s="1"/>
  <c r="J25" i="492"/>
  <c r="I25" i="492"/>
  <c r="H25" i="492"/>
  <c r="G25" i="492"/>
  <c r="F25" i="492"/>
  <c r="J23" i="492"/>
  <c r="I23" i="492"/>
  <c r="H23" i="492"/>
  <c r="G23" i="492"/>
  <c r="J21" i="492"/>
  <c r="I21" i="492"/>
  <c r="H21" i="492"/>
  <c r="G21" i="492"/>
  <c r="E21" i="492"/>
  <c r="F21" i="492" s="1"/>
  <c r="J20" i="492"/>
  <c r="I20" i="492"/>
  <c r="H20" i="492"/>
  <c r="G20" i="492"/>
  <c r="F20" i="492"/>
  <c r="J19" i="492"/>
  <c r="I19" i="492"/>
  <c r="H19" i="492"/>
  <c r="G19" i="492"/>
  <c r="E19" i="492"/>
  <c r="F19" i="492" s="1"/>
  <c r="D199" i="489" l="1"/>
  <c r="I199" i="489"/>
  <c r="I187" i="93" s="1"/>
  <c r="G78" i="489"/>
  <c r="G169" i="489"/>
  <c r="D78" i="489"/>
  <c r="D169" i="489"/>
  <c r="E78" i="489"/>
  <c r="E169" i="489"/>
  <c r="E199" i="489"/>
  <c r="G199" i="489"/>
  <c r="W266" i="489"/>
  <c r="AL152" i="147"/>
  <c r="AL47" i="489" s="1"/>
  <c r="AU152" i="147"/>
  <c r="AU47" i="489" s="1"/>
  <c r="E27" i="190"/>
  <c r="F27" i="190" s="1"/>
  <c r="E26" i="190"/>
  <c r="F26" i="190" s="1"/>
  <c r="G26" i="190"/>
  <c r="H26" i="190"/>
  <c r="I26" i="190"/>
  <c r="J26" i="190"/>
  <c r="G27" i="190"/>
  <c r="H27" i="190"/>
  <c r="I27" i="190"/>
  <c r="J27" i="190"/>
  <c r="G1262" i="489" l="1"/>
  <c r="H1262" i="489"/>
  <c r="D1262" i="489" l="1"/>
  <c r="G1256" i="489"/>
  <c r="H1256" i="489"/>
  <c r="D1256" i="489"/>
  <c r="G1246" i="489"/>
  <c r="H1246" i="489"/>
  <c r="C1244" i="489"/>
  <c r="D1244" i="489"/>
  <c r="C1245" i="489"/>
  <c r="D1245" i="489"/>
  <c r="B1244" i="489"/>
  <c r="B1245" i="489"/>
  <c r="G1234" i="489"/>
  <c r="H1234" i="489"/>
  <c r="G1228" i="489"/>
  <c r="H1228" i="489"/>
  <c r="G1218" i="489"/>
  <c r="H1218" i="489"/>
  <c r="D1233" i="489"/>
  <c r="C1233" i="489"/>
  <c r="B1233" i="489"/>
  <c r="D1232" i="489"/>
  <c r="C1232" i="489"/>
  <c r="B1232" i="489"/>
  <c r="D1231" i="489"/>
  <c r="C1231" i="489"/>
  <c r="B1231" i="489"/>
  <c r="D1230" i="489"/>
  <c r="C1230" i="489"/>
  <c r="B1230" i="489"/>
  <c r="D1229" i="489"/>
  <c r="C1229" i="489"/>
  <c r="B1229" i="489"/>
  <c r="D1227" i="489"/>
  <c r="C1227" i="489"/>
  <c r="B1227" i="489"/>
  <c r="D1224" i="489"/>
  <c r="C1224" i="489"/>
  <c r="G1206" i="489"/>
  <c r="H1206" i="489"/>
  <c r="G1200" i="489"/>
  <c r="H1200" i="489"/>
  <c r="G1190" i="489"/>
  <c r="H1190" i="489"/>
  <c r="D1205" i="489"/>
  <c r="C1205" i="489"/>
  <c r="B1205" i="489"/>
  <c r="D1204" i="489"/>
  <c r="C1204" i="489"/>
  <c r="B1204" i="489"/>
  <c r="D1203" i="489"/>
  <c r="C1203" i="489"/>
  <c r="B1203" i="489"/>
  <c r="D1202" i="489"/>
  <c r="C1202" i="489"/>
  <c r="B1202" i="489"/>
  <c r="D1201" i="489"/>
  <c r="C1201" i="489"/>
  <c r="B1201" i="489"/>
  <c r="D1197" i="489"/>
  <c r="C1197" i="489"/>
  <c r="D1196" i="489"/>
  <c r="C1196" i="489"/>
  <c r="C1188" i="489"/>
  <c r="D1188" i="489"/>
  <c r="C1189" i="489"/>
  <c r="D1189" i="489"/>
  <c r="B1188" i="489"/>
  <c r="B1189" i="489"/>
  <c r="G1178" i="489"/>
  <c r="H1178" i="489"/>
  <c r="G1172" i="489"/>
  <c r="H1172" i="489"/>
  <c r="G1162" i="489"/>
  <c r="H1162" i="489"/>
  <c r="D1177" i="489"/>
  <c r="C1177" i="489"/>
  <c r="B1177" i="489"/>
  <c r="D1176" i="489"/>
  <c r="C1176" i="489"/>
  <c r="B1176" i="489"/>
  <c r="C1161" i="489"/>
  <c r="D1161" i="489"/>
  <c r="B1161" i="489"/>
  <c r="G1150" i="489"/>
  <c r="H1150" i="489"/>
  <c r="G1144" i="489"/>
  <c r="H1144" i="489"/>
  <c r="G1134" i="489"/>
  <c r="H1134" i="489"/>
  <c r="D1149" i="489"/>
  <c r="C1149" i="489"/>
  <c r="B1149" i="489"/>
  <c r="D1148" i="489"/>
  <c r="C1148" i="489"/>
  <c r="B1148" i="489"/>
  <c r="D1147" i="489"/>
  <c r="C1147" i="489"/>
  <c r="B1147" i="489"/>
  <c r="D1141" i="489"/>
  <c r="C1141" i="489"/>
  <c r="C1129" i="489"/>
  <c r="D1129" i="489"/>
  <c r="C1132" i="489"/>
  <c r="D1132" i="489"/>
  <c r="C1133" i="489"/>
  <c r="D1133" i="489"/>
  <c r="B1132" i="489"/>
  <c r="B1133" i="489"/>
  <c r="G1122" i="489"/>
  <c r="H1122" i="489"/>
  <c r="G1116" i="489"/>
  <c r="H1116" i="489"/>
  <c r="G1106" i="489"/>
  <c r="H1106" i="489"/>
  <c r="B1119" i="489"/>
  <c r="C1119" i="489"/>
  <c r="D1119" i="489"/>
  <c r="B1120" i="489"/>
  <c r="C1120" i="489"/>
  <c r="D1120" i="489"/>
  <c r="B1121" i="489"/>
  <c r="C1121" i="489"/>
  <c r="D1121" i="489"/>
  <c r="G1094" i="489"/>
  <c r="H1094" i="489"/>
  <c r="C1091" i="489"/>
  <c r="D1091" i="489"/>
  <c r="C1092" i="489"/>
  <c r="D1092" i="489"/>
  <c r="C1093" i="489"/>
  <c r="D1093" i="489"/>
  <c r="B1091" i="489"/>
  <c r="B1092" i="489"/>
  <c r="B1093" i="489"/>
  <c r="G1088" i="489"/>
  <c r="H1088" i="489"/>
  <c r="C1087" i="489"/>
  <c r="D1087" i="489"/>
  <c r="B1087" i="489"/>
  <c r="G1078" i="489"/>
  <c r="H1078" i="489"/>
  <c r="C1076" i="489"/>
  <c r="D1076" i="489"/>
  <c r="C1077" i="489"/>
  <c r="D1077" i="489"/>
  <c r="B1076" i="489"/>
  <c r="B1077" i="489"/>
  <c r="H1151" i="489" l="1"/>
  <c r="H1095" i="489"/>
  <c r="H1123" i="489"/>
  <c r="G1123" i="489"/>
  <c r="H1207" i="489"/>
  <c r="D1206" i="489"/>
  <c r="H1263" i="489"/>
  <c r="D1234" i="489"/>
  <c r="H1235" i="489"/>
  <c r="G1207" i="489"/>
  <c r="H1179" i="489"/>
  <c r="G1235" i="489"/>
  <c r="G1263" i="489"/>
  <c r="G1095" i="489"/>
  <c r="G1151" i="489"/>
  <c r="G1179" i="489"/>
  <c r="CG230" i="147" l="1"/>
  <c r="V230" i="147"/>
  <c r="CZ158" i="147"/>
  <c r="Z158" i="147"/>
  <c r="E25" i="192"/>
  <c r="E23" i="192"/>
  <c r="E20" i="192"/>
  <c r="E19" i="192"/>
  <c r="G1066" i="489"/>
  <c r="H1066" i="489"/>
  <c r="B1063" i="489"/>
  <c r="C1063" i="489"/>
  <c r="D1063" i="489"/>
  <c r="B1064" i="489"/>
  <c r="C1064" i="489"/>
  <c r="D1064" i="489"/>
  <c r="B1065" i="489"/>
  <c r="C1065" i="489"/>
  <c r="D1065" i="489"/>
  <c r="G1060" i="489"/>
  <c r="H1060" i="489"/>
  <c r="B1059" i="489"/>
  <c r="C1059" i="489"/>
  <c r="D1059" i="489"/>
  <c r="G1050" i="489"/>
  <c r="H1050" i="489"/>
  <c r="B1048" i="489"/>
  <c r="C1048" i="489"/>
  <c r="D1048" i="489"/>
  <c r="B1049" i="489"/>
  <c r="C1049" i="489"/>
  <c r="D1049" i="489"/>
  <c r="H1022" i="489"/>
  <c r="C1031" i="489"/>
  <c r="D1031" i="489"/>
  <c r="B1031" i="489"/>
  <c r="G1022" i="489"/>
  <c r="C1016" i="489"/>
  <c r="D1016" i="489"/>
  <c r="C1020" i="489"/>
  <c r="D1020" i="489"/>
  <c r="C1021" i="489"/>
  <c r="D1021" i="489"/>
  <c r="B1020" i="489"/>
  <c r="B1021" i="489"/>
  <c r="G1038" i="489"/>
  <c r="H1038" i="489"/>
  <c r="C1035" i="489"/>
  <c r="D1035" i="489"/>
  <c r="C1036" i="489"/>
  <c r="D1036" i="489"/>
  <c r="C1037" i="489"/>
  <c r="D1037" i="489"/>
  <c r="B1035" i="489"/>
  <c r="B1036" i="489"/>
  <c r="B1037" i="489"/>
  <c r="G1032" i="489"/>
  <c r="H1032" i="489"/>
  <c r="B7" i="489"/>
  <c r="C970" i="489"/>
  <c r="C887" i="489"/>
  <c r="C846" i="489"/>
  <c r="C833" i="489"/>
  <c r="C820" i="489"/>
  <c r="C1007" i="489"/>
  <c r="D1007" i="489"/>
  <c r="C1008" i="489"/>
  <c r="D1008" i="489"/>
  <c r="C1009" i="489"/>
  <c r="D1009" i="489"/>
  <c r="B1007" i="489"/>
  <c r="B1008" i="489"/>
  <c r="B1009" i="489"/>
  <c r="C993" i="489"/>
  <c r="D993" i="489"/>
  <c r="B993" i="489"/>
  <c r="K982" i="489"/>
  <c r="L982" i="489"/>
  <c r="M982" i="489"/>
  <c r="N982" i="489"/>
  <c r="O982" i="489"/>
  <c r="P982" i="489"/>
  <c r="Q982" i="489"/>
  <c r="R982" i="489"/>
  <c r="S982" i="489"/>
  <c r="T982" i="489"/>
  <c r="U982" i="489"/>
  <c r="V982" i="489"/>
  <c r="W982" i="489"/>
  <c r="X982" i="489"/>
  <c r="Y982" i="489"/>
  <c r="Z982" i="489"/>
  <c r="AA982" i="489"/>
  <c r="AB982" i="489"/>
  <c r="AC982" i="489"/>
  <c r="AD982" i="489"/>
  <c r="AE982" i="489"/>
  <c r="AF982" i="489"/>
  <c r="AG982" i="489"/>
  <c r="AH982" i="489"/>
  <c r="AI982" i="489"/>
  <c r="AJ982" i="489"/>
  <c r="AK982" i="489"/>
  <c r="AL982" i="489"/>
  <c r="AM982" i="489"/>
  <c r="AN982" i="489"/>
  <c r="AO982" i="489"/>
  <c r="AP982" i="489"/>
  <c r="AQ982" i="489"/>
  <c r="AR982" i="489"/>
  <c r="AS982" i="489"/>
  <c r="AT982" i="489"/>
  <c r="AU982" i="489"/>
  <c r="AV982" i="489"/>
  <c r="AW982" i="489"/>
  <c r="AX982" i="489"/>
  <c r="AY982" i="489"/>
  <c r="AZ982" i="489"/>
  <c r="BA982" i="489"/>
  <c r="BB982" i="489"/>
  <c r="BC982" i="489"/>
  <c r="BD982" i="489"/>
  <c r="BE982" i="489"/>
  <c r="BF982" i="489"/>
  <c r="BG982" i="489"/>
  <c r="BH982" i="489"/>
  <c r="BI982" i="489"/>
  <c r="BJ982" i="489"/>
  <c r="BK982" i="489"/>
  <c r="BL982" i="489"/>
  <c r="BM982" i="489"/>
  <c r="BN982" i="489"/>
  <c r="BO982" i="489"/>
  <c r="BP982" i="489"/>
  <c r="BQ982" i="489"/>
  <c r="BR982" i="489"/>
  <c r="BS982" i="489"/>
  <c r="BT982" i="489"/>
  <c r="BU982" i="489"/>
  <c r="BV982" i="489"/>
  <c r="BW982" i="489"/>
  <c r="BX982" i="489"/>
  <c r="BY982" i="489"/>
  <c r="BZ982" i="489"/>
  <c r="CA982" i="489"/>
  <c r="CB982" i="489"/>
  <c r="CC982" i="489"/>
  <c r="CD982" i="489"/>
  <c r="CE982" i="489"/>
  <c r="CF982" i="489"/>
  <c r="CG982" i="489"/>
  <c r="CH982" i="489"/>
  <c r="CI982" i="489"/>
  <c r="CJ982" i="489"/>
  <c r="CK982" i="489"/>
  <c r="CL982" i="489"/>
  <c r="CM982" i="489"/>
  <c r="CN982" i="489"/>
  <c r="CO982" i="489"/>
  <c r="CP982" i="489"/>
  <c r="CQ982" i="489"/>
  <c r="CR982" i="489"/>
  <c r="CS982" i="489"/>
  <c r="CT982" i="489"/>
  <c r="CU982" i="489"/>
  <c r="CV982" i="489"/>
  <c r="CW982" i="489"/>
  <c r="CX982" i="489"/>
  <c r="CY982" i="489"/>
  <c r="CZ982" i="489"/>
  <c r="DA982" i="489"/>
  <c r="DB982" i="489"/>
  <c r="DC982" i="489"/>
  <c r="DD982" i="489"/>
  <c r="DE982" i="489"/>
  <c r="DF982" i="489"/>
  <c r="DG982" i="489"/>
  <c r="DH982" i="489"/>
  <c r="DI982" i="489"/>
  <c r="DJ982" i="489"/>
  <c r="DK982" i="489"/>
  <c r="DL982" i="489"/>
  <c r="DM982" i="489"/>
  <c r="DN982" i="489"/>
  <c r="DO982" i="489"/>
  <c r="DP982" i="489"/>
  <c r="DQ982" i="489"/>
  <c r="DR982" i="489"/>
  <c r="DS982" i="489"/>
  <c r="DT982" i="489"/>
  <c r="DU982" i="489"/>
  <c r="DV982" i="489"/>
  <c r="DW982" i="489"/>
  <c r="DX982" i="489"/>
  <c r="DY982" i="489"/>
  <c r="DZ982" i="489"/>
  <c r="EA982" i="489"/>
  <c r="EB982" i="489"/>
  <c r="EC982" i="489"/>
  <c r="ED982" i="489"/>
  <c r="EE982" i="489"/>
  <c r="EF982" i="489"/>
  <c r="EG982" i="489"/>
  <c r="EH982" i="489"/>
  <c r="EI982" i="489"/>
  <c r="EJ982" i="489"/>
  <c r="EK982" i="489"/>
  <c r="EL982" i="489"/>
  <c r="EM982" i="489"/>
  <c r="EN982" i="489"/>
  <c r="EO982" i="489"/>
  <c r="EP982" i="489"/>
  <c r="EQ982" i="489"/>
  <c r="ER982" i="489"/>
  <c r="ES982" i="489"/>
  <c r="ET982" i="489"/>
  <c r="EU982" i="489"/>
  <c r="EV982" i="489"/>
  <c r="EW982" i="489"/>
  <c r="EX982" i="489"/>
  <c r="J982" i="489"/>
  <c r="CG266" i="489" l="1"/>
  <c r="H1265" i="489"/>
  <c r="H1266" i="489"/>
  <c r="G1264" i="489"/>
  <c r="G1266" i="489"/>
  <c r="G1067" i="489"/>
  <c r="H1264" i="489"/>
  <c r="G1039" i="489"/>
  <c r="G1265" i="489"/>
  <c r="H1039" i="489"/>
  <c r="H1067" i="489"/>
  <c r="B8" i="93"/>
  <c r="B9" i="93"/>
  <c r="G1267" i="489" l="1"/>
  <c r="H1267" i="489"/>
  <c r="H30" i="87"/>
  <c r="F30" i="87" s="1"/>
  <c r="F31" i="87" l="1"/>
  <c r="E24" i="495"/>
  <c r="F24" i="495" s="1"/>
  <c r="F32" i="495" s="1"/>
  <c r="F33" i="495" s="1"/>
  <c r="F37" i="495" s="1"/>
  <c r="I145" i="147" s="1"/>
  <c r="E23" i="492"/>
  <c r="F23" i="492" s="1"/>
  <c r="F30" i="492" s="1"/>
  <c r="F31" i="492" s="1"/>
  <c r="F35" i="492" s="1"/>
  <c r="I159" i="147" s="1"/>
  <c r="E21" i="192"/>
  <c r="E343" i="489"/>
  <c r="C1174" i="489"/>
  <c r="D1174" i="489"/>
  <c r="C1168" i="489"/>
  <c r="D1168" i="489"/>
  <c r="C1169" i="489"/>
  <c r="D1169" i="489"/>
  <c r="C1146" i="489"/>
  <c r="D1146" i="489"/>
  <c r="C1117" i="489"/>
  <c r="D1117" i="489"/>
  <c r="C1089" i="489"/>
  <c r="D1089" i="489"/>
  <c r="C1090" i="489"/>
  <c r="D1090" i="489"/>
  <c r="C1084" i="489"/>
  <c r="D1084" i="489"/>
  <c r="C1085" i="489"/>
  <c r="D1085" i="489"/>
  <c r="D1071" i="489"/>
  <c r="C1062" i="489"/>
  <c r="D1062" i="489"/>
  <c r="C1056" i="489"/>
  <c r="D1056" i="489"/>
  <c r="C1057" i="489"/>
  <c r="D1057" i="489"/>
  <c r="C1033" i="489"/>
  <c r="D1033" i="489"/>
  <c r="C1034" i="489"/>
  <c r="D1034" i="489"/>
  <c r="C1028" i="489"/>
  <c r="D1028" i="489"/>
  <c r="C1029" i="489"/>
  <c r="D1029" i="489"/>
  <c r="C1005" i="489"/>
  <c r="D1005" i="489"/>
  <c r="C1006" i="489"/>
  <c r="D1006" i="489"/>
  <c r="E488" i="489" l="1"/>
  <c r="E476" i="489"/>
  <c r="E464" i="489"/>
  <c r="E452" i="489"/>
  <c r="E440" i="489"/>
  <c r="E428" i="489"/>
  <c r="E416" i="489"/>
  <c r="E375" i="489"/>
  <c r="E387" i="489"/>
  <c r="E399" i="489"/>
  <c r="E359" i="489"/>
  <c r="E348" i="489"/>
  <c r="E398" i="489"/>
  <c r="E487" i="489"/>
  <c r="E475" i="489"/>
  <c r="E463" i="489"/>
  <c r="E451" i="489"/>
  <c r="E439" i="489"/>
  <c r="E427" i="489"/>
  <c r="E415" i="489"/>
  <c r="E376" i="489"/>
  <c r="E388" i="489"/>
  <c r="E400" i="489"/>
  <c r="E360" i="489"/>
  <c r="E349" i="489"/>
  <c r="E374" i="489"/>
  <c r="E486" i="489"/>
  <c r="E474" i="489"/>
  <c r="E462" i="489"/>
  <c r="E450" i="489"/>
  <c r="E438" i="489"/>
  <c r="E426" i="489"/>
  <c r="E414" i="489"/>
  <c r="E377" i="489"/>
  <c r="E389" i="489"/>
  <c r="E401" i="489"/>
  <c r="E361" i="489"/>
  <c r="E350" i="489"/>
  <c r="E477" i="489"/>
  <c r="E358" i="489"/>
  <c r="E485" i="489"/>
  <c r="E473" i="489"/>
  <c r="E461" i="489"/>
  <c r="E449" i="489"/>
  <c r="E437" i="489"/>
  <c r="E425" i="489"/>
  <c r="E413" i="489"/>
  <c r="E378" i="489"/>
  <c r="E390" i="489"/>
  <c r="E402" i="489"/>
  <c r="E362" i="489"/>
  <c r="E351" i="489"/>
  <c r="E453" i="489"/>
  <c r="E484" i="489"/>
  <c r="E472" i="489"/>
  <c r="E460" i="489"/>
  <c r="E448" i="489"/>
  <c r="E436" i="489"/>
  <c r="E424" i="489"/>
  <c r="E412" i="489"/>
  <c r="E379" i="489"/>
  <c r="E391" i="489"/>
  <c r="E403" i="489"/>
  <c r="E363" i="489"/>
  <c r="E352" i="489"/>
  <c r="E441" i="489"/>
  <c r="E483" i="489"/>
  <c r="E471" i="489"/>
  <c r="E459" i="489"/>
  <c r="E447" i="489"/>
  <c r="E435" i="489"/>
  <c r="E423" i="489"/>
  <c r="E411" i="489"/>
  <c r="E380" i="489"/>
  <c r="E392" i="489"/>
  <c r="E404" i="489"/>
  <c r="E364" i="489"/>
  <c r="E353" i="489"/>
  <c r="E482" i="489"/>
  <c r="E470" i="489"/>
  <c r="E458" i="489"/>
  <c r="E446" i="489"/>
  <c r="E434" i="489"/>
  <c r="E422" i="489"/>
  <c r="E410" i="489"/>
  <c r="E381" i="489"/>
  <c r="E393" i="489"/>
  <c r="E405" i="489"/>
  <c r="E365" i="489"/>
  <c r="E344" i="489"/>
  <c r="E386" i="489"/>
  <c r="E495" i="489"/>
  <c r="E481" i="489"/>
  <c r="E469" i="489"/>
  <c r="E457" i="489"/>
  <c r="E445" i="489"/>
  <c r="E433" i="489"/>
  <c r="E421" i="489"/>
  <c r="E370" i="489"/>
  <c r="E382" i="489"/>
  <c r="E394" i="489"/>
  <c r="E406" i="489"/>
  <c r="E366" i="489"/>
  <c r="E489" i="489"/>
  <c r="E494" i="489"/>
  <c r="E480" i="489"/>
  <c r="E468" i="489"/>
  <c r="E456" i="489"/>
  <c r="E444" i="489"/>
  <c r="E432" i="489"/>
  <c r="E420" i="489"/>
  <c r="E371" i="489"/>
  <c r="E383" i="489"/>
  <c r="E395" i="489"/>
  <c r="E407" i="489"/>
  <c r="E356" i="489"/>
  <c r="E429" i="489"/>
  <c r="E493" i="489"/>
  <c r="E479" i="489"/>
  <c r="E467" i="489"/>
  <c r="E455" i="489"/>
  <c r="E443" i="489"/>
  <c r="E431" i="489"/>
  <c r="E419" i="489"/>
  <c r="E372" i="489"/>
  <c r="E384" i="489"/>
  <c r="E396" i="489"/>
  <c r="E369" i="489"/>
  <c r="E345" i="489"/>
  <c r="E417" i="489"/>
  <c r="E347" i="489"/>
  <c r="E490" i="489"/>
  <c r="E478" i="489"/>
  <c r="E466" i="489"/>
  <c r="E454" i="489"/>
  <c r="E442" i="489"/>
  <c r="E430" i="489"/>
  <c r="E418" i="489"/>
  <c r="E373" i="489"/>
  <c r="E385" i="489"/>
  <c r="E397" i="489"/>
  <c r="E357" i="489"/>
  <c r="E346" i="489"/>
  <c r="E465" i="489"/>
  <c r="D1094" i="489"/>
  <c r="D1038" i="489"/>
  <c r="N20" i="174"/>
  <c r="O20" i="174"/>
  <c r="N21" i="174"/>
  <c r="O21" i="174"/>
  <c r="N22" i="174"/>
  <c r="O22" i="174"/>
  <c r="N23" i="174"/>
  <c r="O23" i="174"/>
  <c r="N24" i="174"/>
  <c r="O24" i="174"/>
  <c r="N25" i="174"/>
  <c r="O25" i="174"/>
  <c r="N26" i="174"/>
  <c r="O26" i="174"/>
  <c r="N27" i="174"/>
  <c r="O27" i="174"/>
  <c r="N28" i="174"/>
  <c r="O28" i="174"/>
  <c r="N29" i="174"/>
  <c r="O29" i="174"/>
  <c r="N30" i="174"/>
  <c r="O30" i="174"/>
  <c r="O19" i="174"/>
  <c r="N19" i="174"/>
  <c r="M22" i="204"/>
  <c r="M21" i="204"/>
  <c r="L21" i="204"/>
  <c r="L20" i="204"/>
  <c r="M19" i="204"/>
  <c r="L19" i="204"/>
  <c r="M20" i="204"/>
  <c r="M23" i="204"/>
  <c r="L22" i="204"/>
  <c r="L23" i="204"/>
  <c r="F354" i="147"/>
  <c r="G354" i="147"/>
  <c r="E27" i="337"/>
  <c r="B36" i="93"/>
  <c r="B42" i="93"/>
  <c r="M19" i="356" l="1"/>
  <c r="M20" i="356"/>
  <c r="M21" i="356"/>
  <c r="M22" i="356"/>
  <c r="M23" i="356"/>
  <c r="M24" i="356"/>
  <c r="M25" i="356"/>
  <c r="L20" i="356"/>
  <c r="L21" i="356"/>
  <c r="L22" i="356"/>
  <c r="L23" i="356"/>
  <c r="L24" i="356"/>
  <c r="L25" i="356"/>
  <c r="L19" i="356"/>
  <c r="B366" i="147" l="1"/>
  <c r="DU43" i="147"/>
  <c r="DU177" i="489" s="1"/>
  <c r="CT43" i="147"/>
  <c r="CT177" i="489" s="1"/>
  <c r="CF43" i="147"/>
  <c r="CF177" i="489" s="1"/>
  <c r="AX43" i="147"/>
  <c r="AX177" i="489" s="1"/>
  <c r="AQ43" i="147"/>
  <c r="AQ177" i="489" s="1"/>
  <c r="AL43" i="147"/>
  <c r="AL177" i="489" s="1"/>
  <c r="AH43" i="147"/>
  <c r="AH177" i="489" s="1"/>
  <c r="AE155" i="147"/>
  <c r="Z155" i="147"/>
  <c r="CF155" i="147"/>
  <c r="CF154" i="147"/>
  <c r="DC154" i="147"/>
  <c r="AH154" i="147"/>
  <c r="U154" i="147"/>
  <c r="V154" i="147"/>
  <c r="AE154" i="147"/>
  <c r="C154" i="147"/>
  <c r="B154" i="147"/>
  <c r="B524" i="147" s="1"/>
  <c r="J26" i="192"/>
  <c r="H26" i="192"/>
  <c r="J25" i="192"/>
  <c r="I25" i="192"/>
  <c r="H25" i="192"/>
  <c r="G25" i="192"/>
  <c r="F25" i="192"/>
  <c r="J23" i="192"/>
  <c r="I23" i="192"/>
  <c r="H23" i="192"/>
  <c r="G23" i="192"/>
  <c r="F23" i="192"/>
  <c r="J21" i="192"/>
  <c r="I21" i="192"/>
  <c r="H21" i="192"/>
  <c r="G21" i="192"/>
  <c r="F21" i="192"/>
  <c r="J20" i="192"/>
  <c r="I20" i="192"/>
  <c r="H20" i="192"/>
  <c r="G20" i="192"/>
  <c r="F20" i="192"/>
  <c r="J19" i="192"/>
  <c r="I19" i="192"/>
  <c r="H19" i="192"/>
  <c r="G19" i="192"/>
  <c r="F19" i="192"/>
  <c r="B736" i="147" l="1"/>
  <c r="B48" i="489"/>
  <c r="F154" i="147"/>
  <c r="D154" i="147"/>
  <c r="E154" i="147"/>
  <c r="G154" i="147"/>
  <c r="EY154" i="147"/>
  <c r="F26" i="192"/>
  <c r="F27" i="192" s="1"/>
  <c r="CT266" i="489" l="1"/>
  <c r="AX266" i="489"/>
  <c r="DU266" i="489"/>
  <c r="AH266" i="489"/>
  <c r="J22" i="490"/>
  <c r="I22" i="490"/>
  <c r="H22" i="490"/>
  <c r="G22" i="490"/>
  <c r="E22" i="490"/>
  <c r="F22" i="490" s="1"/>
  <c r="J21" i="490"/>
  <c r="I21" i="490"/>
  <c r="H21" i="490"/>
  <c r="G21" i="490"/>
  <c r="E21" i="490"/>
  <c r="F21" i="490" s="1"/>
  <c r="J20" i="490"/>
  <c r="I20" i="490"/>
  <c r="H20" i="490"/>
  <c r="G20" i="490"/>
  <c r="E20" i="490"/>
  <c r="F20" i="490" s="1"/>
  <c r="J19" i="490"/>
  <c r="I19" i="490"/>
  <c r="H19" i="490"/>
  <c r="G19" i="490"/>
  <c r="C30" i="490"/>
  <c r="J26" i="490"/>
  <c r="H26" i="490"/>
  <c r="J25" i="490"/>
  <c r="I25" i="490"/>
  <c r="H25" i="490"/>
  <c r="G25" i="490"/>
  <c r="E25" i="490"/>
  <c r="F25" i="490" s="1"/>
  <c r="I23" i="490"/>
  <c r="G23" i="490"/>
  <c r="E23" i="490"/>
  <c r="F23" i="490" s="1"/>
  <c r="D23" i="490"/>
  <c r="J23" i="490" s="1"/>
  <c r="H23" i="490" l="1"/>
  <c r="EX338" i="489"/>
  <c r="EW338" i="489"/>
  <c r="EW1006" i="489" s="1"/>
  <c r="EV338" i="489"/>
  <c r="EU338" i="489"/>
  <c r="EU990" i="489" s="1"/>
  <c r="ET338" i="489"/>
  <c r="ET1009" i="489" s="1"/>
  <c r="ES338" i="489"/>
  <c r="ES999" i="489" s="1"/>
  <c r="ER338" i="489"/>
  <c r="ER998" i="489" s="1"/>
  <c r="EQ338" i="489"/>
  <c r="EQ995" i="489" s="1"/>
  <c r="EP338" i="489"/>
  <c r="EP989" i="489" s="1"/>
  <c r="EO338" i="489"/>
  <c r="EO989" i="489" s="1"/>
  <c r="EN338" i="489"/>
  <c r="EM338" i="489"/>
  <c r="EM991" i="489" s="1"/>
  <c r="EL338" i="489"/>
  <c r="EK338" i="489"/>
  <c r="EJ338" i="489"/>
  <c r="EI338" i="489"/>
  <c r="EI1009" i="489" s="1"/>
  <c r="EH338" i="489"/>
  <c r="EG338" i="489"/>
  <c r="EG1007" i="489" s="1"/>
  <c r="EF338" i="489"/>
  <c r="EF991" i="489" s="1"/>
  <c r="EE338" i="489"/>
  <c r="EE990" i="489" s="1"/>
  <c r="ED338" i="489"/>
  <c r="EC338" i="489"/>
  <c r="EC993" i="489" s="1"/>
  <c r="EA338" i="489"/>
  <c r="DZ338" i="489"/>
  <c r="DZ1005" i="489" s="1"/>
  <c r="DY338" i="489"/>
  <c r="DW338" i="489"/>
  <c r="DW992" i="489" s="1"/>
  <c r="DV338" i="489"/>
  <c r="DV1005" i="489" s="1"/>
  <c r="DU338" i="489"/>
  <c r="DU1008" i="489" s="1"/>
  <c r="DT338" i="489"/>
  <c r="DT1007" i="489" s="1"/>
  <c r="DS338" i="489"/>
  <c r="DR338" i="489"/>
  <c r="DR998" i="489" s="1"/>
  <c r="DQ338" i="489"/>
  <c r="DQ990" i="489" s="1"/>
  <c r="DP338" i="489"/>
  <c r="DP1003" i="489" s="1"/>
  <c r="DO338" i="489"/>
  <c r="DO991" i="489" s="1"/>
  <c r="DN338" i="489"/>
  <c r="DM338" i="489"/>
  <c r="DM991" i="489" s="1"/>
  <c r="DL338" i="489"/>
  <c r="DL1005" i="489" s="1"/>
  <c r="DK338" i="489"/>
  <c r="DJ338" i="489"/>
  <c r="DJ996" i="489" s="1"/>
  <c r="DI338" i="489"/>
  <c r="DH338" i="489"/>
  <c r="DH997" i="489" s="1"/>
  <c r="DG338" i="489"/>
  <c r="DF338" i="489"/>
  <c r="DF992" i="489" s="1"/>
  <c r="DE338" i="489"/>
  <c r="DE987" i="489" s="1"/>
  <c r="DD338" i="489"/>
  <c r="DC338" i="489"/>
  <c r="DB338" i="489"/>
  <c r="DA338" i="489"/>
  <c r="DA990" i="489" s="1"/>
  <c r="CZ338" i="489"/>
  <c r="CY338" i="489"/>
  <c r="CX338" i="489"/>
  <c r="CW338" i="489"/>
  <c r="CW1008" i="489" s="1"/>
  <c r="CV338" i="489"/>
  <c r="CV1005" i="489" s="1"/>
  <c r="CU338" i="489"/>
  <c r="CT338" i="489"/>
  <c r="CS338" i="489"/>
  <c r="CS990" i="489" s="1"/>
  <c r="CR338" i="489"/>
  <c r="CR996" i="489" s="1"/>
  <c r="CQ338" i="489"/>
  <c r="CQ987" i="489" s="1"/>
  <c r="CP338" i="489"/>
  <c r="CO338" i="489"/>
  <c r="CO991" i="489" s="1"/>
  <c r="CN338" i="489"/>
  <c r="CM338" i="489"/>
  <c r="CL338" i="489"/>
  <c r="CL1009" i="489" s="1"/>
  <c r="CK338" i="489"/>
  <c r="CK992" i="489" s="1"/>
  <c r="CJ338" i="489"/>
  <c r="CJ1005" i="489" s="1"/>
  <c r="CI338" i="489"/>
  <c r="CI1007" i="489" s="1"/>
  <c r="CH338" i="489"/>
  <c r="CH1005" i="489" s="1"/>
  <c r="CG338" i="489"/>
  <c r="CG987" i="489" s="1"/>
  <c r="CF338" i="489"/>
  <c r="CF991" i="489" s="1"/>
  <c r="CE338" i="489"/>
  <c r="CE1007" i="489" s="1"/>
  <c r="CD338" i="489"/>
  <c r="CC338" i="489"/>
  <c r="CC993" i="489" s="1"/>
  <c r="CB338" i="489"/>
  <c r="CA338" i="489"/>
  <c r="CA997" i="489" s="1"/>
  <c r="BZ338" i="489"/>
  <c r="BY338" i="489"/>
  <c r="BY1006" i="489" s="1"/>
  <c r="BX338" i="489"/>
  <c r="BX999" i="489" s="1"/>
  <c r="BW338" i="489"/>
  <c r="BV338" i="489"/>
  <c r="BV990" i="489" s="1"/>
  <c r="BU338" i="489"/>
  <c r="BU989" i="489" s="1"/>
  <c r="BT338" i="489"/>
  <c r="BS338" i="489"/>
  <c r="BR338" i="489"/>
  <c r="BQ338" i="489"/>
  <c r="BQ991" i="489" s="1"/>
  <c r="BP338" i="489"/>
  <c r="BP1003" i="489" s="1"/>
  <c r="BO338" i="489"/>
  <c r="BO1001" i="489" s="1"/>
  <c r="BN338" i="489"/>
  <c r="BM338" i="489"/>
  <c r="BM992" i="489" s="1"/>
  <c r="BL338" i="489"/>
  <c r="BL1006" i="489" s="1"/>
  <c r="BK338" i="489"/>
  <c r="BK991" i="489" s="1"/>
  <c r="BJ338" i="489"/>
  <c r="BJ1007" i="489" s="1"/>
  <c r="BI338" i="489"/>
  <c r="BI990" i="489" s="1"/>
  <c r="BH338" i="489"/>
  <c r="BH985" i="489" s="1"/>
  <c r="BG338" i="489"/>
  <c r="BG987" i="489" s="1"/>
  <c r="BF338" i="489"/>
  <c r="BE338" i="489"/>
  <c r="BE993" i="489" s="1"/>
  <c r="BD338" i="489"/>
  <c r="BD1001" i="489" s="1"/>
  <c r="BC338" i="489"/>
  <c r="BC1002" i="489" s="1"/>
  <c r="BB338" i="489"/>
  <c r="BB1001" i="489" s="1"/>
  <c r="BA338" i="489"/>
  <c r="BA986" i="489" s="1"/>
  <c r="AZ338" i="489"/>
  <c r="AZ991" i="489" s="1"/>
  <c r="AY338" i="489"/>
  <c r="AY991" i="489" s="1"/>
  <c r="AX338" i="489"/>
  <c r="AX991" i="489" s="1"/>
  <c r="AW338" i="489"/>
  <c r="AW988" i="489" s="1"/>
  <c r="AV338" i="489"/>
  <c r="AU338" i="489"/>
  <c r="AU993" i="489" s="1"/>
  <c r="AT338" i="489"/>
  <c r="AS338" i="489"/>
  <c r="AS991" i="489" s="1"/>
  <c r="AR338" i="489"/>
  <c r="AR988" i="489" s="1"/>
  <c r="AQ338" i="489"/>
  <c r="AQ989" i="489" s="1"/>
  <c r="AP338" i="489"/>
  <c r="AP1008" i="489" s="1"/>
  <c r="AO338" i="489"/>
  <c r="AO1009" i="489" s="1"/>
  <c r="AN338" i="489"/>
  <c r="AN986" i="489" s="1"/>
  <c r="AM338" i="489"/>
  <c r="AL338" i="489"/>
  <c r="AL1008" i="489" s="1"/>
  <c r="AK338" i="489"/>
  <c r="AK990" i="489" s="1"/>
  <c r="AJ338" i="489"/>
  <c r="AJ1008" i="489" s="1"/>
  <c r="AI338" i="489"/>
  <c r="AH338" i="489"/>
  <c r="AG338" i="489"/>
  <c r="AG993" i="489" s="1"/>
  <c r="AF338" i="489"/>
  <c r="AD338" i="489"/>
  <c r="AC338" i="489"/>
  <c r="AB338" i="489"/>
  <c r="AB989" i="489" s="1"/>
  <c r="AA338" i="489"/>
  <c r="AA1009" i="489" s="1"/>
  <c r="Z338" i="489"/>
  <c r="Y338" i="489"/>
  <c r="Y991" i="489" s="1"/>
  <c r="X338" i="489"/>
  <c r="X992" i="489" s="1"/>
  <c r="W338" i="489"/>
  <c r="W991" i="489" s="1"/>
  <c r="V338" i="489"/>
  <c r="U338" i="489"/>
  <c r="T338" i="489"/>
  <c r="T992" i="489" s="1"/>
  <c r="S338" i="489"/>
  <c r="S1007" i="489" s="1"/>
  <c r="R338" i="489"/>
  <c r="Q338" i="489"/>
  <c r="Q1007" i="489" s="1"/>
  <c r="P338" i="489"/>
  <c r="P993" i="489" s="1"/>
  <c r="O338" i="489"/>
  <c r="O1007" i="489" s="1"/>
  <c r="N338" i="489"/>
  <c r="N992" i="489" s="1"/>
  <c r="M338" i="489"/>
  <c r="M1007" i="489" s="1"/>
  <c r="L338" i="489"/>
  <c r="K338" i="489"/>
  <c r="K1007" i="489" s="1"/>
  <c r="J338" i="489"/>
  <c r="J993" i="489" s="1"/>
  <c r="DL1003" i="489"/>
  <c r="CL1005" i="489"/>
  <c r="CN1005" i="489"/>
  <c r="DK1005" i="489"/>
  <c r="BN1006" i="489"/>
  <c r="BP1006" i="489"/>
  <c r="DL1006" i="489"/>
  <c r="DV1006" i="489"/>
  <c r="BN1007" i="489"/>
  <c r="BP1007" i="489"/>
  <c r="CZ1008" i="489"/>
  <c r="DJ1008" i="489"/>
  <c r="DL1008" i="489"/>
  <c r="DV1008" i="489"/>
  <c r="DY1008" i="489"/>
  <c r="AC1009" i="489"/>
  <c r="CN1009" i="489"/>
  <c r="DL1009" i="489"/>
  <c r="DV1009" i="489"/>
  <c r="BN985" i="489"/>
  <c r="BP985" i="489"/>
  <c r="DH985" i="489"/>
  <c r="DJ985" i="489"/>
  <c r="DL985" i="489"/>
  <c r="DY985" i="489"/>
  <c r="AP986" i="489"/>
  <c r="BO986" i="489"/>
  <c r="CL986" i="489"/>
  <c r="DL986" i="489"/>
  <c r="DV986" i="489"/>
  <c r="EL986" i="489"/>
  <c r="EV986" i="489"/>
  <c r="Q987" i="489"/>
  <c r="S987" i="489"/>
  <c r="BN987" i="489"/>
  <c r="BO987" i="489"/>
  <c r="BP987" i="489"/>
  <c r="DH987" i="489"/>
  <c r="DJ987" i="489"/>
  <c r="DL987" i="489"/>
  <c r="DV987" i="489"/>
  <c r="DY987" i="489"/>
  <c r="EK987" i="489"/>
  <c r="AP988" i="489"/>
  <c r="BO988" i="489"/>
  <c r="CL988" i="489"/>
  <c r="DJ988" i="489"/>
  <c r="DK988" i="489"/>
  <c r="DL988" i="489"/>
  <c r="DV988" i="489"/>
  <c r="EK988" i="489"/>
  <c r="ET988" i="489"/>
  <c r="EX988" i="489"/>
  <c r="Q989" i="489"/>
  <c r="S989" i="489"/>
  <c r="BN989" i="489"/>
  <c r="BO989" i="489"/>
  <c r="BP989" i="489"/>
  <c r="CA989" i="489"/>
  <c r="CM989" i="489"/>
  <c r="DJ989" i="489"/>
  <c r="DK989" i="489"/>
  <c r="DL989" i="489"/>
  <c r="DS989" i="489"/>
  <c r="DV989" i="489"/>
  <c r="EG989" i="489"/>
  <c r="EK989" i="489"/>
  <c r="EX989" i="489"/>
  <c r="Q990" i="489"/>
  <c r="S990" i="489"/>
  <c r="AD990" i="489"/>
  <c r="BA990" i="489"/>
  <c r="BB990" i="489"/>
  <c r="BC990" i="489"/>
  <c r="BD990" i="489"/>
  <c r="BO990" i="489"/>
  <c r="BZ990" i="489"/>
  <c r="CA990" i="489"/>
  <c r="CB990" i="489"/>
  <c r="CI990" i="489"/>
  <c r="CN990" i="489"/>
  <c r="CU990" i="489"/>
  <c r="DG990" i="489"/>
  <c r="DK990" i="489"/>
  <c r="DL990" i="489"/>
  <c r="DS990" i="489"/>
  <c r="DV990" i="489"/>
  <c r="DW990" i="489"/>
  <c r="EG990" i="489"/>
  <c r="EK990" i="489"/>
  <c r="ES990" i="489"/>
  <c r="EV990" i="489"/>
  <c r="EX990" i="489"/>
  <c r="R991" i="489"/>
  <c r="AC991" i="489"/>
  <c r="AD991" i="489"/>
  <c r="AF991" i="489"/>
  <c r="AK991" i="489"/>
  <c r="BB991" i="489"/>
  <c r="BC991" i="489"/>
  <c r="BD991" i="489"/>
  <c r="BO991" i="489"/>
  <c r="BW991" i="489"/>
  <c r="CA991" i="489"/>
  <c r="CI991" i="489"/>
  <c r="CL991" i="489"/>
  <c r="CM991" i="489"/>
  <c r="CU991" i="489"/>
  <c r="DG991" i="489"/>
  <c r="DH991" i="489"/>
  <c r="DJ991" i="489"/>
  <c r="DK991" i="489"/>
  <c r="DL991" i="489"/>
  <c r="DV991" i="489"/>
  <c r="EG991" i="489"/>
  <c r="EH991" i="489"/>
  <c r="EJ991" i="489"/>
  <c r="EK991" i="489"/>
  <c r="EL991" i="489"/>
  <c r="EV991" i="489"/>
  <c r="EX991" i="489"/>
  <c r="Q992" i="489"/>
  <c r="R992" i="489"/>
  <c r="S992" i="489"/>
  <c r="Z992" i="489"/>
  <c r="AD992" i="489"/>
  <c r="AM992" i="489"/>
  <c r="AN992" i="489"/>
  <c r="AP992" i="489"/>
  <c r="BC992" i="489"/>
  <c r="BK992" i="489"/>
  <c r="BN992" i="489"/>
  <c r="BO992" i="489"/>
  <c r="BP992" i="489"/>
  <c r="BW992" i="489"/>
  <c r="CA992" i="489"/>
  <c r="CI992" i="489"/>
  <c r="CJ992" i="489"/>
  <c r="CL992" i="489"/>
  <c r="CU992" i="489"/>
  <c r="CZ992" i="489"/>
  <c r="DG992" i="489"/>
  <c r="DH992" i="489"/>
  <c r="DJ992" i="489"/>
  <c r="DK992" i="489"/>
  <c r="DL992" i="489"/>
  <c r="DV992" i="489"/>
  <c r="DY992" i="489"/>
  <c r="EG992" i="489"/>
  <c r="EH992" i="489"/>
  <c r="EJ992" i="489"/>
  <c r="EK992" i="489"/>
  <c r="EL992" i="489"/>
  <c r="EV992" i="489"/>
  <c r="EX992" i="489"/>
  <c r="N993" i="489"/>
  <c r="O993" i="489"/>
  <c r="Q993" i="489"/>
  <c r="R993" i="489"/>
  <c r="S993" i="489"/>
  <c r="Z993" i="489"/>
  <c r="AD993" i="489"/>
  <c r="AM993" i="489"/>
  <c r="AP993" i="489"/>
  <c r="AY993" i="489"/>
  <c r="BC993" i="489"/>
  <c r="BK993" i="489"/>
  <c r="BN993" i="489"/>
  <c r="BO993" i="489"/>
  <c r="BP993" i="489"/>
  <c r="BW993" i="489"/>
  <c r="CA993" i="489"/>
  <c r="CI993" i="489"/>
  <c r="CM993" i="489"/>
  <c r="CU993" i="489"/>
  <c r="CZ993" i="489"/>
  <c r="DG993" i="489"/>
  <c r="DH993" i="489"/>
  <c r="DJ993" i="489"/>
  <c r="DK993" i="489"/>
  <c r="DL993" i="489"/>
  <c r="DV993" i="489"/>
  <c r="DW993" i="489"/>
  <c r="DY993" i="489"/>
  <c r="EG993" i="489"/>
  <c r="EL993" i="489"/>
  <c r="EV993" i="489"/>
  <c r="EX993" i="489"/>
  <c r="B972" i="489"/>
  <c r="B971" i="489"/>
  <c r="B970" i="489"/>
  <c r="B967" i="489"/>
  <c r="B966" i="489"/>
  <c r="B965" i="489"/>
  <c r="B964" i="489"/>
  <c r="B963" i="489"/>
  <c r="B962" i="489"/>
  <c r="B961" i="489"/>
  <c r="B960" i="489"/>
  <c r="B959" i="489"/>
  <c r="B958" i="489"/>
  <c r="B957" i="489"/>
  <c r="B956" i="489"/>
  <c r="B955" i="489"/>
  <c r="B954" i="489"/>
  <c r="B953" i="489"/>
  <c r="B952" i="489"/>
  <c r="B951" i="489"/>
  <c r="B950" i="489"/>
  <c r="B949" i="489"/>
  <c r="B948" i="489"/>
  <c r="B947" i="489"/>
  <c r="B946" i="489"/>
  <c r="B945" i="489"/>
  <c r="B944" i="489"/>
  <c r="B943" i="489"/>
  <c r="B942" i="489"/>
  <c r="B941" i="489"/>
  <c r="B940" i="489"/>
  <c r="B939" i="489"/>
  <c r="B938" i="489"/>
  <c r="B937" i="489"/>
  <c r="B936" i="489"/>
  <c r="B935" i="489"/>
  <c r="B934" i="489"/>
  <c r="B933" i="489"/>
  <c r="B932" i="489"/>
  <c r="B931" i="489"/>
  <c r="B930" i="489"/>
  <c r="B929" i="489"/>
  <c r="B928" i="489"/>
  <c r="B927" i="489"/>
  <c r="B926" i="489"/>
  <c r="B925" i="489"/>
  <c r="B924" i="489"/>
  <c r="B923" i="489"/>
  <c r="B922" i="489"/>
  <c r="B921" i="489"/>
  <c r="B920" i="489"/>
  <c r="B919" i="489"/>
  <c r="B918" i="489"/>
  <c r="B917" i="489"/>
  <c r="B916" i="489"/>
  <c r="B915" i="489"/>
  <c r="B914" i="489"/>
  <c r="B913" i="489"/>
  <c r="B912" i="489"/>
  <c r="B911" i="489"/>
  <c r="B910" i="489"/>
  <c r="B909" i="489"/>
  <c r="B908" i="489"/>
  <c r="B907" i="489"/>
  <c r="B906" i="489"/>
  <c r="B905" i="489"/>
  <c r="B904" i="489"/>
  <c r="B903" i="489"/>
  <c r="B902" i="489"/>
  <c r="B901" i="489"/>
  <c r="B900" i="489"/>
  <c r="B899" i="489"/>
  <c r="B898" i="489"/>
  <c r="B897" i="489"/>
  <c r="B896" i="489"/>
  <c r="B895" i="489"/>
  <c r="B894" i="489"/>
  <c r="B893" i="489"/>
  <c r="B892" i="489"/>
  <c r="B891" i="489"/>
  <c r="B890" i="489"/>
  <c r="B889" i="489"/>
  <c r="B888" i="489"/>
  <c r="B887" i="489"/>
  <c r="B884" i="489"/>
  <c r="B883" i="489"/>
  <c r="B882" i="489"/>
  <c r="B881" i="489"/>
  <c r="B880" i="489"/>
  <c r="B879" i="489"/>
  <c r="B878" i="489"/>
  <c r="B877" i="489"/>
  <c r="B876" i="489"/>
  <c r="B875" i="489"/>
  <c r="B874" i="489"/>
  <c r="B873" i="489"/>
  <c r="B872" i="489"/>
  <c r="B871" i="489"/>
  <c r="B870" i="489"/>
  <c r="B869" i="489"/>
  <c r="B868" i="489"/>
  <c r="B867" i="489"/>
  <c r="B866" i="489"/>
  <c r="B865" i="489"/>
  <c r="B864" i="489"/>
  <c r="B863" i="489"/>
  <c r="B862" i="489"/>
  <c r="B861" i="489"/>
  <c r="B860" i="489"/>
  <c r="B859" i="489"/>
  <c r="B858" i="489"/>
  <c r="B857" i="489"/>
  <c r="B856" i="489"/>
  <c r="B855" i="489"/>
  <c r="B854" i="489"/>
  <c r="B853" i="489"/>
  <c r="B852" i="489"/>
  <c r="B851" i="489"/>
  <c r="B850" i="489"/>
  <c r="B849" i="489"/>
  <c r="B848" i="489"/>
  <c r="B847" i="489"/>
  <c r="B846" i="489"/>
  <c r="B843" i="489"/>
  <c r="B842" i="489"/>
  <c r="B841" i="489"/>
  <c r="B840" i="489"/>
  <c r="B839" i="489"/>
  <c r="B838" i="489"/>
  <c r="B837" i="489"/>
  <c r="B836" i="489"/>
  <c r="B835" i="489"/>
  <c r="B834" i="489"/>
  <c r="B833" i="489"/>
  <c r="B830" i="489"/>
  <c r="B829" i="489"/>
  <c r="B828" i="489"/>
  <c r="B827" i="489"/>
  <c r="B826" i="489"/>
  <c r="B825" i="489"/>
  <c r="B824" i="489"/>
  <c r="B823" i="489"/>
  <c r="B822" i="489"/>
  <c r="B821" i="489"/>
  <c r="B820" i="489"/>
  <c r="B813" i="489"/>
  <c r="B812" i="489"/>
  <c r="B811" i="489"/>
  <c r="B808" i="489"/>
  <c r="B807" i="489"/>
  <c r="B806" i="489"/>
  <c r="B805" i="489"/>
  <c r="B804" i="489"/>
  <c r="B803" i="489"/>
  <c r="B802" i="489"/>
  <c r="B801" i="489"/>
  <c r="B800" i="489"/>
  <c r="B799" i="489"/>
  <c r="B798" i="489"/>
  <c r="B797" i="489"/>
  <c r="B796" i="489"/>
  <c r="B795" i="489"/>
  <c r="B794" i="489"/>
  <c r="B793" i="489"/>
  <c r="B792" i="489"/>
  <c r="B791" i="489"/>
  <c r="B790" i="489"/>
  <c r="B789" i="489"/>
  <c r="B788" i="489"/>
  <c r="B787" i="489"/>
  <c r="B786" i="489"/>
  <c r="B785" i="489"/>
  <c r="B784" i="489"/>
  <c r="B783" i="489"/>
  <c r="B782" i="489"/>
  <c r="B781" i="489"/>
  <c r="B780" i="489"/>
  <c r="B779" i="489"/>
  <c r="B778" i="489"/>
  <c r="B777" i="489"/>
  <c r="B776" i="489"/>
  <c r="B775" i="489"/>
  <c r="B774" i="489"/>
  <c r="B773" i="489"/>
  <c r="B772" i="489"/>
  <c r="B771" i="489"/>
  <c r="B770" i="489"/>
  <c r="B769" i="489"/>
  <c r="B768" i="489"/>
  <c r="B767" i="489"/>
  <c r="B766" i="489"/>
  <c r="B765" i="489"/>
  <c r="B764" i="489"/>
  <c r="B763" i="489"/>
  <c r="B762" i="489"/>
  <c r="B761" i="489"/>
  <c r="B760" i="489"/>
  <c r="B759" i="489"/>
  <c r="B758" i="489"/>
  <c r="B757" i="489"/>
  <c r="B756" i="489"/>
  <c r="B755" i="489"/>
  <c r="B754" i="489"/>
  <c r="B753" i="489"/>
  <c r="B752" i="489"/>
  <c r="B751" i="489"/>
  <c r="B750" i="489"/>
  <c r="B749" i="489"/>
  <c r="B748" i="489"/>
  <c r="B747" i="489"/>
  <c r="B746" i="489"/>
  <c r="B745" i="489"/>
  <c r="B744" i="489"/>
  <c r="B743" i="489"/>
  <c r="B742" i="489"/>
  <c r="B741" i="489"/>
  <c r="B740" i="489"/>
  <c r="B739" i="489"/>
  <c r="B738" i="489"/>
  <c r="B737" i="489"/>
  <c r="B736" i="489"/>
  <c r="B735" i="489"/>
  <c r="B734" i="489"/>
  <c r="B733" i="489"/>
  <c r="B732" i="489"/>
  <c r="B731" i="489"/>
  <c r="B730" i="489"/>
  <c r="B729" i="489"/>
  <c r="B728" i="489"/>
  <c r="B725" i="489"/>
  <c r="B724" i="489"/>
  <c r="B723" i="489"/>
  <c r="B722" i="489"/>
  <c r="B721" i="489"/>
  <c r="B720" i="489"/>
  <c r="B719" i="489"/>
  <c r="B718" i="489"/>
  <c r="B717" i="489"/>
  <c r="B716" i="489"/>
  <c r="B715" i="489"/>
  <c r="B714" i="489"/>
  <c r="B713" i="489"/>
  <c r="B712" i="489"/>
  <c r="B711" i="489"/>
  <c r="B710" i="489"/>
  <c r="B709" i="489"/>
  <c r="B708" i="489"/>
  <c r="B707" i="489"/>
  <c r="B706" i="489"/>
  <c r="B705" i="489"/>
  <c r="B704" i="489"/>
  <c r="B703" i="489"/>
  <c r="B702" i="489"/>
  <c r="B701" i="489"/>
  <c r="B700" i="489"/>
  <c r="B699" i="489"/>
  <c r="B698" i="489"/>
  <c r="B697" i="489"/>
  <c r="B696" i="489"/>
  <c r="B695" i="489"/>
  <c r="B694" i="489"/>
  <c r="B693" i="489"/>
  <c r="B692" i="489"/>
  <c r="B691" i="489"/>
  <c r="B690" i="489"/>
  <c r="B689" i="489"/>
  <c r="B688" i="489"/>
  <c r="B687" i="489"/>
  <c r="B684" i="489"/>
  <c r="B683" i="489"/>
  <c r="B682" i="489"/>
  <c r="B681" i="489"/>
  <c r="B680" i="489"/>
  <c r="B679" i="489"/>
  <c r="B678" i="489"/>
  <c r="B677" i="489"/>
  <c r="B676" i="489"/>
  <c r="B675" i="489"/>
  <c r="B674" i="489"/>
  <c r="B671" i="489"/>
  <c r="B670" i="489"/>
  <c r="B669" i="489"/>
  <c r="B668" i="489"/>
  <c r="B667" i="489"/>
  <c r="B666" i="489"/>
  <c r="B665" i="489"/>
  <c r="B664" i="489"/>
  <c r="B663" i="489"/>
  <c r="B662" i="489"/>
  <c r="B661" i="489"/>
  <c r="B654" i="489"/>
  <c r="B653" i="489"/>
  <c r="B652" i="489"/>
  <c r="B649" i="489"/>
  <c r="B648" i="489"/>
  <c r="B647" i="489"/>
  <c r="B646" i="489"/>
  <c r="B645" i="489"/>
  <c r="B644" i="489"/>
  <c r="B643" i="489"/>
  <c r="B642" i="489"/>
  <c r="B641" i="489"/>
  <c r="B640" i="489"/>
  <c r="B639" i="489"/>
  <c r="B638" i="489"/>
  <c r="B637" i="489"/>
  <c r="B636" i="489"/>
  <c r="B635" i="489"/>
  <c r="B634" i="489"/>
  <c r="B633" i="489"/>
  <c r="B632" i="489"/>
  <c r="B631" i="489"/>
  <c r="B630" i="489"/>
  <c r="B629" i="489"/>
  <c r="B628" i="489"/>
  <c r="B627" i="489"/>
  <c r="B626" i="489"/>
  <c r="B625" i="489"/>
  <c r="B624" i="489"/>
  <c r="B623" i="489"/>
  <c r="B622" i="489"/>
  <c r="B621" i="489"/>
  <c r="B620" i="489"/>
  <c r="B619" i="489"/>
  <c r="B618" i="489"/>
  <c r="B617" i="489"/>
  <c r="B616" i="489"/>
  <c r="B615" i="489"/>
  <c r="B614" i="489"/>
  <c r="B613" i="489"/>
  <c r="B612" i="489"/>
  <c r="B611" i="489"/>
  <c r="B610" i="489"/>
  <c r="B609" i="489"/>
  <c r="B608" i="489"/>
  <c r="B607" i="489"/>
  <c r="B606" i="489"/>
  <c r="B605" i="489"/>
  <c r="B604" i="489"/>
  <c r="B603" i="489"/>
  <c r="B602" i="489"/>
  <c r="B601" i="489"/>
  <c r="B600" i="489"/>
  <c r="B599" i="489"/>
  <c r="B598" i="489"/>
  <c r="B597" i="489"/>
  <c r="B596" i="489"/>
  <c r="B595" i="489"/>
  <c r="B594" i="489"/>
  <c r="B593" i="489"/>
  <c r="B592" i="489"/>
  <c r="B591" i="489"/>
  <c r="B590" i="489"/>
  <c r="B589" i="489"/>
  <c r="B588" i="489"/>
  <c r="B587" i="489"/>
  <c r="B586" i="489"/>
  <c r="B585" i="489"/>
  <c r="B584" i="489"/>
  <c r="B583" i="489"/>
  <c r="B582" i="489"/>
  <c r="B581" i="489"/>
  <c r="B580" i="489"/>
  <c r="B579" i="489"/>
  <c r="B578" i="489"/>
  <c r="B577" i="489"/>
  <c r="B576" i="489"/>
  <c r="B575" i="489"/>
  <c r="B574" i="489"/>
  <c r="B573" i="489"/>
  <c r="B572" i="489"/>
  <c r="B571" i="489"/>
  <c r="B570" i="489"/>
  <c r="B569" i="489"/>
  <c r="B566" i="489"/>
  <c r="B565" i="489"/>
  <c r="B564" i="489"/>
  <c r="B563" i="489"/>
  <c r="B562" i="489"/>
  <c r="B561" i="489"/>
  <c r="B560" i="489"/>
  <c r="B559" i="489"/>
  <c r="B558" i="489"/>
  <c r="B557" i="489"/>
  <c r="B556" i="489"/>
  <c r="B555" i="489"/>
  <c r="B554" i="489"/>
  <c r="B553" i="489"/>
  <c r="B552" i="489"/>
  <c r="B551" i="489"/>
  <c r="B550" i="489"/>
  <c r="B549" i="489"/>
  <c r="B548" i="489"/>
  <c r="B547" i="489"/>
  <c r="B546" i="489"/>
  <c r="B545" i="489"/>
  <c r="B544" i="489"/>
  <c r="B543" i="489"/>
  <c r="B542" i="489"/>
  <c r="B541" i="489"/>
  <c r="B540" i="489"/>
  <c r="B539" i="489"/>
  <c r="B538" i="489"/>
  <c r="B537" i="489"/>
  <c r="B536" i="489"/>
  <c r="B535" i="489"/>
  <c r="B534" i="489"/>
  <c r="B533" i="489"/>
  <c r="B532" i="489"/>
  <c r="B531" i="489"/>
  <c r="B530" i="489"/>
  <c r="B529" i="489"/>
  <c r="B528" i="489"/>
  <c r="B525" i="489"/>
  <c r="B524" i="489"/>
  <c r="B523" i="489"/>
  <c r="B522" i="489"/>
  <c r="B521" i="489"/>
  <c r="B520" i="489"/>
  <c r="B519" i="489"/>
  <c r="B518" i="489"/>
  <c r="B517" i="489"/>
  <c r="B516" i="489"/>
  <c r="B515" i="489"/>
  <c r="B512" i="489"/>
  <c r="B511" i="489"/>
  <c r="B510" i="489"/>
  <c r="B509" i="489"/>
  <c r="B508" i="489"/>
  <c r="B507" i="489"/>
  <c r="B506" i="489"/>
  <c r="B505" i="489"/>
  <c r="B504" i="489"/>
  <c r="B503" i="489"/>
  <c r="B502" i="489"/>
  <c r="B495" i="489"/>
  <c r="B494" i="489"/>
  <c r="B493" i="489"/>
  <c r="B490" i="489"/>
  <c r="B489" i="489"/>
  <c r="B488" i="489"/>
  <c r="B487" i="489"/>
  <c r="B486" i="489"/>
  <c r="B485" i="489"/>
  <c r="B484" i="489"/>
  <c r="B483" i="489"/>
  <c r="B482" i="489"/>
  <c r="B481" i="489"/>
  <c r="B480" i="489"/>
  <c r="B479" i="489"/>
  <c r="B478" i="489"/>
  <c r="B477" i="489"/>
  <c r="B476" i="489"/>
  <c r="B475" i="489"/>
  <c r="B474" i="489"/>
  <c r="B473" i="489"/>
  <c r="B472" i="489"/>
  <c r="B471" i="489"/>
  <c r="B470" i="489"/>
  <c r="B469" i="489"/>
  <c r="B468" i="489"/>
  <c r="B467" i="489"/>
  <c r="B466" i="489"/>
  <c r="B465" i="489"/>
  <c r="B464" i="489"/>
  <c r="B463" i="489"/>
  <c r="B462" i="489"/>
  <c r="B461" i="489"/>
  <c r="B460" i="489"/>
  <c r="B459" i="489"/>
  <c r="B458" i="489"/>
  <c r="B457" i="489"/>
  <c r="B456" i="489"/>
  <c r="B455" i="489"/>
  <c r="B454" i="489"/>
  <c r="B453" i="489"/>
  <c r="B452" i="489"/>
  <c r="B451" i="489"/>
  <c r="B450" i="489"/>
  <c r="B449" i="489"/>
  <c r="B448" i="489"/>
  <c r="B447" i="489"/>
  <c r="B446" i="489"/>
  <c r="B445" i="489"/>
  <c r="B444" i="489"/>
  <c r="B443" i="489"/>
  <c r="B442" i="489"/>
  <c r="B441" i="489"/>
  <c r="B440" i="489"/>
  <c r="B439" i="489"/>
  <c r="B438" i="489"/>
  <c r="B437" i="489"/>
  <c r="B436" i="489"/>
  <c r="B435" i="489"/>
  <c r="B434" i="489"/>
  <c r="B433" i="489"/>
  <c r="B432" i="489"/>
  <c r="B431" i="489"/>
  <c r="B430" i="489"/>
  <c r="B429" i="489"/>
  <c r="B428" i="489"/>
  <c r="B427" i="489"/>
  <c r="B426" i="489"/>
  <c r="B425" i="489"/>
  <c r="B424" i="489"/>
  <c r="B423" i="489"/>
  <c r="B422" i="489"/>
  <c r="B421" i="489"/>
  <c r="B420" i="489"/>
  <c r="B419" i="489"/>
  <c r="B418" i="489"/>
  <c r="B417" i="489"/>
  <c r="B416" i="489"/>
  <c r="B415" i="489"/>
  <c r="B414" i="489"/>
  <c r="B413" i="489"/>
  <c r="B412" i="489"/>
  <c r="B411" i="489"/>
  <c r="B410" i="489"/>
  <c r="B407" i="489"/>
  <c r="B406" i="489"/>
  <c r="B405" i="489"/>
  <c r="B404" i="489"/>
  <c r="B403" i="489"/>
  <c r="B402" i="489"/>
  <c r="B401" i="489"/>
  <c r="B400" i="489"/>
  <c r="B399" i="489"/>
  <c r="B398" i="489"/>
  <c r="B397" i="489"/>
  <c r="B396" i="489"/>
  <c r="B395" i="489"/>
  <c r="B394" i="489"/>
  <c r="B393" i="489"/>
  <c r="B392" i="489"/>
  <c r="B391" i="489"/>
  <c r="B390" i="489"/>
  <c r="B389" i="489"/>
  <c r="B388" i="489"/>
  <c r="B387" i="489"/>
  <c r="B386" i="489"/>
  <c r="B385" i="489"/>
  <c r="B384" i="489"/>
  <c r="B383" i="489"/>
  <c r="B382" i="489"/>
  <c r="B381" i="489"/>
  <c r="B380" i="489"/>
  <c r="B379" i="489"/>
  <c r="B378" i="489"/>
  <c r="B377" i="489"/>
  <c r="B376" i="489"/>
  <c r="B375" i="489"/>
  <c r="B374" i="489"/>
  <c r="B373" i="489"/>
  <c r="B372" i="489"/>
  <c r="B371" i="489"/>
  <c r="B370" i="489"/>
  <c r="B369" i="489"/>
  <c r="B366" i="489"/>
  <c r="B365" i="489"/>
  <c r="B364" i="489"/>
  <c r="B363" i="489"/>
  <c r="B362" i="489"/>
  <c r="B361" i="489"/>
  <c r="B360" i="489"/>
  <c r="B359" i="489"/>
  <c r="B358" i="489"/>
  <c r="B357" i="489"/>
  <c r="B356" i="489"/>
  <c r="B353" i="489"/>
  <c r="B352" i="489"/>
  <c r="B351" i="489"/>
  <c r="B350" i="489"/>
  <c r="B349" i="489"/>
  <c r="B348" i="489"/>
  <c r="B347" i="489"/>
  <c r="B346" i="489"/>
  <c r="B345" i="489"/>
  <c r="B344" i="489"/>
  <c r="B343" i="489"/>
  <c r="H973" i="489"/>
  <c r="D972" i="489"/>
  <c r="D971" i="489"/>
  <c r="D970" i="489"/>
  <c r="H968" i="489"/>
  <c r="D967" i="489"/>
  <c r="D966" i="489"/>
  <c r="D965" i="489"/>
  <c r="D964" i="489"/>
  <c r="D963" i="489"/>
  <c r="D962" i="489"/>
  <c r="D961" i="489"/>
  <c r="D960" i="489"/>
  <c r="D959" i="489"/>
  <c r="D958" i="489"/>
  <c r="D957" i="489"/>
  <c r="D956" i="489"/>
  <c r="D955" i="489"/>
  <c r="D954" i="489"/>
  <c r="D953" i="489"/>
  <c r="D952" i="489"/>
  <c r="D951" i="489"/>
  <c r="D950" i="489"/>
  <c r="D949" i="489"/>
  <c r="D947" i="489"/>
  <c r="D946" i="489"/>
  <c r="D945" i="489"/>
  <c r="D943" i="489"/>
  <c r="D942" i="489"/>
  <c r="D941" i="489"/>
  <c r="D940" i="489"/>
  <c r="D939" i="489"/>
  <c r="D938" i="489"/>
  <c r="D937" i="489"/>
  <c r="D936" i="489"/>
  <c r="D935" i="489"/>
  <c r="D934" i="489"/>
  <c r="D933" i="489"/>
  <c r="D932" i="489"/>
  <c r="D931" i="489"/>
  <c r="D930" i="489"/>
  <c r="D929" i="489"/>
  <c r="D928" i="489"/>
  <c r="D927" i="489"/>
  <c r="D926" i="489"/>
  <c r="D925" i="489"/>
  <c r="D924" i="489"/>
  <c r="D923" i="489"/>
  <c r="D922" i="489"/>
  <c r="D921" i="489"/>
  <c r="D920" i="489"/>
  <c r="D919" i="489"/>
  <c r="D918" i="489"/>
  <c r="D917" i="489"/>
  <c r="D916" i="489"/>
  <c r="D915" i="489"/>
  <c r="D914" i="489"/>
  <c r="D913" i="489"/>
  <c r="D912" i="489"/>
  <c r="D911" i="489"/>
  <c r="D910" i="489"/>
  <c r="D909" i="489"/>
  <c r="D908" i="489"/>
  <c r="D907" i="489"/>
  <c r="D906" i="489"/>
  <c r="D905" i="489"/>
  <c r="D904" i="489"/>
  <c r="D903" i="489"/>
  <c r="D902" i="489"/>
  <c r="D901" i="489"/>
  <c r="D900" i="489"/>
  <c r="D899" i="489"/>
  <c r="D898" i="489"/>
  <c r="D897" i="489"/>
  <c r="D896" i="489"/>
  <c r="D895" i="489"/>
  <c r="D894" i="489"/>
  <c r="D893" i="489"/>
  <c r="D892" i="489"/>
  <c r="D891" i="489"/>
  <c r="D890" i="489"/>
  <c r="D889" i="489"/>
  <c r="D888" i="489"/>
  <c r="D887" i="489"/>
  <c r="H885" i="489"/>
  <c r="D884" i="489"/>
  <c r="D883" i="489"/>
  <c r="D882" i="489"/>
  <c r="D881" i="489"/>
  <c r="D880" i="489"/>
  <c r="D879" i="489"/>
  <c r="D878" i="489"/>
  <c r="D877" i="489"/>
  <c r="D876" i="489"/>
  <c r="D875" i="489"/>
  <c r="D874" i="489"/>
  <c r="D873" i="489"/>
  <c r="D872" i="489"/>
  <c r="D871" i="489"/>
  <c r="D870" i="489"/>
  <c r="D869" i="489"/>
  <c r="D868" i="489"/>
  <c r="D867" i="489"/>
  <c r="D866" i="489"/>
  <c r="D865" i="489"/>
  <c r="D864" i="489"/>
  <c r="D863" i="489"/>
  <c r="D862" i="489"/>
  <c r="D861" i="489"/>
  <c r="D860" i="489"/>
  <c r="D859" i="489"/>
  <c r="D858" i="489"/>
  <c r="D857" i="489"/>
  <c r="D856" i="489"/>
  <c r="D855" i="489"/>
  <c r="D854" i="489"/>
  <c r="D853" i="489"/>
  <c r="D852" i="489"/>
  <c r="D851" i="489"/>
  <c r="D850" i="489"/>
  <c r="D849" i="489"/>
  <c r="D848" i="489"/>
  <c r="D847" i="489"/>
  <c r="D846" i="489"/>
  <c r="H844" i="489"/>
  <c r="D842" i="489"/>
  <c r="D841" i="489"/>
  <c r="D840" i="489"/>
  <c r="D839" i="489"/>
  <c r="D838" i="489"/>
  <c r="D837" i="489"/>
  <c r="D836" i="489"/>
  <c r="D835" i="489"/>
  <c r="D834" i="489"/>
  <c r="D833" i="489"/>
  <c r="H831" i="489"/>
  <c r="D830" i="489"/>
  <c r="D829" i="489"/>
  <c r="D828" i="489"/>
  <c r="D827" i="489"/>
  <c r="D826" i="489"/>
  <c r="D825" i="489"/>
  <c r="D824" i="489"/>
  <c r="D823" i="489"/>
  <c r="D822" i="489"/>
  <c r="D821" i="489"/>
  <c r="D820" i="489"/>
  <c r="H814" i="489"/>
  <c r="D813" i="489"/>
  <c r="D812" i="489"/>
  <c r="D811" i="489"/>
  <c r="D808" i="489"/>
  <c r="D807" i="489"/>
  <c r="D806" i="489"/>
  <c r="D805" i="489"/>
  <c r="D804" i="489"/>
  <c r="D803" i="489"/>
  <c r="D802" i="489"/>
  <c r="D801" i="489"/>
  <c r="D800" i="489"/>
  <c r="D799" i="489"/>
  <c r="D798" i="489"/>
  <c r="D797" i="489"/>
  <c r="D796" i="489"/>
  <c r="D795" i="489"/>
  <c r="D794" i="489"/>
  <c r="D793" i="489"/>
  <c r="D792" i="489"/>
  <c r="D791" i="489"/>
  <c r="D790" i="489"/>
  <c r="D788" i="489"/>
  <c r="D787" i="489"/>
  <c r="D786" i="489"/>
  <c r="D784" i="489"/>
  <c r="D783" i="489"/>
  <c r="D782" i="489"/>
  <c r="D781" i="489"/>
  <c r="D780" i="489"/>
  <c r="D779" i="489"/>
  <c r="D778" i="489"/>
  <c r="D777" i="489"/>
  <c r="D776" i="489"/>
  <c r="D775" i="489"/>
  <c r="D774" i="489"/>
  <c r="D773" i="489"/>
  <c r="D772" i="489"/>
  <c r="D771" i="489"/>
  <c r="D770" i="489"/>
  <c r="D769" i="489"/>
  <c r="D768" i="489"/>
  <c r="D767" i="489"/>
  <c r="D766" i="489"/>
  <c r="D765" i="489"/>
  <c r="D764" i="489"/>
  <c r="D763" i="489"/>
  <c r="D762" i="489"/>
  <c r="D761" i="489"/>
  <c r="D760" i="489"/>
  <c r="D759" i="489"/>
  <c r="D758" i="489"/>
  <c r="D757" i="489"/>
  <c r="D756" i="489"/>
  <c r="D755" i="489"/>
  <c r="D754" i="489"/>
  <c r="D753" i="489"/>
  <c r="D752" i="489"/>
  <c r="D751" i="489"/>
  <c r="D750" i="489"/>
  <c r="D749" i="489"/>
  <c r="D748" i="489"/>
  <c r="D747" i="489"/>
  <c r="D746" i="489"/>
  <c r="D745" i="489"/>
  <c r="D744" i="489"/>
  <c r="D743" i="489"/>
  <c r="D742" i="489"/>
  <c r="D741" i="489"/>
  <c r="D740" i="489"/>
  <c r="D739" i="489"/>
  <c r="D738" i="489"/>
  <c r="D737" i="489"/>
  <c r="D736" i="489"/>
  <c r="D735" i="489"/>
  <c r="D734" i="489"/>
  <c r="D733" i="489"/>
  <c r="D732" i="489"/>
  <c r="D731" i="489"/>
  <c r="D730" i="489"/>
  <c r="D729" i="489"/>
  <c r="D728" i="489"/>
  <c r="H726" i="489"/>
  <c r="D725" i="489"/>
  <c r="D724" i="489"/>
  <c r="D723" i="489"/>
  <c r="D722" i="489"/>
  <c r="D721" i="489"/>
  <c r="D720" i="489"/>
  <c r="D719" i="489"/>
  <c r="D718" i="489"/>
  <c r="D717" i="489"/>
  <c r="D716" i="489"/>
  <c r="D715" i="489"/>
  <c r="D714" i="489"/>
  <c r="D713" i="489"/>
  <c r="D712" i="489"/>
  <c r="D711" i="489"/>
  <c r="D710" i="489"/>
  <c r="D709" i="489"/>
  <c r="D708" i="489"/>
  <c r="D707" i="489"/>
  <c r="D706" i="489"/>
  <c r="D705" i="489"/>
  <c r="D704" i="489"/>
  <c r="D703" i="489"/>
  <c r="D702" i="489"/>
  <c r="D701" i="489"/>
  <c r="D700" i="489"/>
  <c r="D699" i="489"/>
  <c r="D698" i="489"/>
  <c r="D697" i="489"/>
  <c r="D696" i="489"/>
  <c r="D695" i="489"/>
  <c r="D694" i="489"/>
  <c r="D693" i="489"/>
  <c r="D692" i="489"/>
  <c r="D691" i="489"/>
  <c r="D690" i="489"/>
  <c r="D689" i="489"/>
  <c r="D688" i="489"/>
  <c r="D687" i="489"/>
  <c r="H685" i="489"/>
  <c r="D683" i="489"/>
  <c r="D682" i="489"/>
  <c r="D681" i="489"/>
  <c r="D680" i="489"/>
  <c r="D679" i="489"/>
  <c r="D678" i="489"/>
  <c r="D677" i="489"/>
  <c r="D676" i="489"/>
  <c r="D675" i="489"/>
  <c r="D674" i="489"/>
  <c r="H672" i="489"/>
  <c r="D671" i="489"/>
  <c r="D670" i="489"/>
  <c r="D669" i="489"/>
  <c r="D668" i="489"/>
  <c r="D667" i="489"/>
  <c r="D666" i="489"/>
  <c r="D665" i="489"/>
  <c r="D664" i="489"/>
  <c r="D663" i="489"/>
  <c r="D662" i="489"/>
  <c r="D661" i="489"/>
  <c r="H655" i="489"/>
  <c r="D654" i="489"/>
  <c r="D653" i="489"/>
  <c r="D652" i="489"/>
  <c r="H650" i="489"/>
  <c r="D649" i="489"/>
  <c r="D648" i="489"/>
  <c r="D647" i="489"/>
  <c r="D646" i="489"/>
  <c r="D645" i="489"/>
  <c r="D644" i="489"/>
  <c r="D643" i="489"/>
  <c r="D642" i="489"/>
  <c r="D641" i="489"/>
  <c r="D640" i="489"/>
  <c r="D639" i="489"/>
  <c r="D638" i="489"/>
  <c r="D637" i="489"/>
  <c r="D636" i="489"/>
  <c r="D635" i="489"/>
  <c r="D634" i="489"/>
  <c r="D633" i="489"/>
  <c r="D632" i="489"/>
  <c r="D631" i="489"/>
  <c r="D629" i="489"/>
  <c r="D628" i="489"/>
  <c r="D627" i="489"/>
  <c r="D625" i="489"/>
  <c r="D624" i="489"/>
  <c r="D623" i="489"/>
  <c r="D622" i="489"/>
  <c r="D621" i="489"/>
  <c r="D620" i="489"/>
  <c r="D619" i="489"/>
  <c r="D618" i="489"/>
  <c r="D617" i="489"/>
  <c r="D616" i="489"/>
  <c r="D615" i="489"/>
  <c r="D614" i="489"/>
  <c r="D613" i="489"/>
  <c r="D612" i="489"/>
  <c r="D611" i="489"/>
  <c r="D610" i="489"/>
  <c r="D609" i="489"/>
  <c r="D608" i="489"/>
  <c r="D607" i="489"/>
  <c r="D606" i="489"/>
  <c r="D605" i="489"/>
  <c r="D604" i="489"/>
  <c r="D603" i="489"/>
  <c r="D602" i="489"/>
  <c r="D601" i="489"/>
  <c r="D600" i="489"/>
  <c r="D599" i="489"/>
  <c r="D598" i="489"/>
  <c r="D597" i="489"/>
  <c r="D596" i="489"/>
  <c r="D595" i="489"/>
  <c r="D594" i="489"/>
  <c r="D593" i="489"/>
  <c r="D592" i="489"/>
  <c r="D591" i="489"/>
  <c r="D590" i="489"/>
  <c r="D589" i="489"/>
  <c r="D588" i="489"/>
  <c r="D587" i="489"/>
  <c r="D586" i="489"/>
  <c r="D585" i="489"/>
  <c r="D584" i="489"/>
  <c r="D583" i="489"/>
  <c r="D582" i="489"/>
  <c r="D581" i="489"/>
  <c r="D580" i="489"/>
  <c r="D579" i="489"/>
  <c r="D578" i="489"/>
  <c r="D577" i="489"/>
  <c r="D576" i="489"/>
  <c r="D575" i="489"/>
  <c r="D574" i="489"/>
  <c r="D573" i="489"/>
  <c r="D572" i="489"/>
  <c r="D571" i="489"/>
  <c r="D570" i="489"/>
  <c r="D569" i="489"/>
  <c r="H567" i="489"/>
  <c r="D566" i="489"/>
  <c r="D565" i="489"/>
  <c r="D564" i="489"/>
  <c r="D563" i="489"/>
  <c r="D562" i="489"/>
  <c r="D561" i="489"/>
  <c r="D560" i="489"/>
  <c r="D559" i="489"/>
  <c r="D558" i="489"/>
  <c r="D557" i="489"/>
  <c r="D556" i="489"/>
  <c r="D555" i="489"/>
  <c r="D554" i="489"/>
  <c r="D553" i="489"/>
  <c r="D552" i="489"/>
  <c r="D551" i="489"/>
  <c r="D550" i="489"/>
  <c r="D549" i="489"/>
  <c r="D548" i="489"/>
  <c r="D547" i="489"/>
  <c r="D546" i="489"/>
  <c r="D545" i="489"/>
  <c r="D544" i="489"/>
  <c r="D543" i="489"/>
  <c r="D542" i="489"/>
  <c r="D541" i="489"/>
  <c r="D540" i="489"/>
  <c r="D539" i="489"/>
  <c r="D538" i="489"/>
  <c r="D537" i="489"/>
  <c r="D536" i="489"/>
  <c r="D535" i="489"/>
  <c r="D534" i="489"/>
  <c r="D533" i="489"/>
  <c r="D532" i="489"/>
  <c r="D531" i="489"/>
  <c r="D530" i="489"/>
  <c r="D529" i="489"/>
  <c r="D528" i="489"/>
  <c r="H526" i="489"/>
  <c r="D524" i="489"/>
  <c r="D523" i="489"/>
  <c r="D522" i="489"/>
  <c r="D521" i="489"/>
  <c r="D520" i="489"/>
  <c r="D519" i="489"/>
  <c r="D518" i="489"/>
  <c r="D517" i="489"/>
  <c r="D516" i="489"/>
  <c r="D515" i="489"/>
  <c r="H513" i="489"/>
  <c r="D512" i="489"/>
  <c r="D511" i="489"/>
  <c r="D510" i="489"/>
  <c r="D509" i="489"/>
  <c r="D508" i="489"/>
  <c r="D507" i="489"/>
  <c r="D506" i="489"/>
  <c r="D505" i="489"/>
  <c r="D504" i="489"/>
  <c r="D503" i="489"/>
  <c r="D502" i="489"/>
  <c r="H496" i="489"/>
  <c r="D495" i="489"/>
  <c r="D494" i="489"/>
  <c r="D493" i="489"/>
  <c r="H491" i="489"/>
  <c r="D490" i="489"/>
  <c r="D489" i="489"/>
  <c r="D488" i="489"/>
  <c r="D487" i="489"/>
  <c r="D486" i="489"/>
  <c r="D485" i="489"/>
  <c r="D484" i="489"/>
  <c r="D483" i="489"/>
  <c r="D482" i="489"/>
  <c r="D481" i="489"/>
  <c r="D480" i="489"/>
  <c r="D479" i="489"/>
  <c r="D478" i="489"/>
  <c r="D477" i="489"/>
  <c r="D476" i="489"/>
  <c r="D475" i="489"/>
  <c r="D474" i="489"/>
  <c r="D473" i="489"/>
  <c r="D472" i="489"/>
  <c r="D470" i="489"/>
  <c r="D469" i="489"/>
  <c r="D468" i="489"/>
  <c r="D466" i="489"/>
  <c r="D465" i="489"/>
  <c r="D464" i="489"/>
  <c r="D463" i="489"/>
  <c r="D462" i="489"/>
  <c r="D461" i="489"/>
  <c r="D460" i="489"/>
  <c r="D459" i="489"/>
  <c r="D458" i="489"/>
  <c r="D457" i="489"/>
  <c r="D456" i="489"/>
  <c r="D455" i="489"/>
  <c r="D454" i="489"/>
  <c r="D453" i="489"/>
  <c r="D452" i="489"/>
  <c r="D451" i="489"/>
  <c r="D450" i="489"/>
  <c r="D449" i="489"/>
  <c r="D448" i="489"/>
  <c r="D447" i="489"/>
  <c r="D446" i="489"/>
  <c r="D445" i="489"/>
  <c r="D444" i="489"/>
  <c r="D443" i="489"/>
  <c r="D442" i="489"/>
  <c r="D441" i="489"/>
  <c r="D440" i="489"/>
  <c r="D439" i="489"/>
  <c r="D438" i="489"/>
  <c r="D437" i="489"/>
  <c r="D436" i="489"/>
  <c r="D435" i="489"/>
  <c r="D434" i="489"/>
  <c r="D433" i="489"/>
  <c r="D432" i="489"/>
  <c r="D431" i="489"/>
  <c r="D430" i="489"/>
  <c r="D429" i="489"/>
  <c r="D428" i="489"/>
  <c r="D427" i="489"/>
  <c r="D426" i="489"/>
  <c r="D425" i="489"/>
  <c r="D424" i="489"/>
  <c r="D423" i="489"/>
  <c r="D422" i="489"/>
  <c r="D421" i="489"/>
  <c r="D420" i="489"/>
  <c r="D419" i="489"/>
  <c r="D418" i="489"/>
  <c r="D417" i="489"/>
  <c r="D416" i="489"/>
  <c r="D415" i="489"/>
  <c r="D414" i="489"/>
  <c r="D413" i="489"/>
  <c r="D412" i="489"/>
  <c r="D411" i="489"/>
  <c r="D410" i="489"/>
  <c r="H408" i="489"/>
  <c r="D407" i="489"/>
  <c r="D406" i="489"/>
  <c r="D405" i="489"/>
  <c r="D404" i="489"/>
  <c r="D403" i="489"/>
  <c r="D402" i="489"/>
  <c r="D401" i="489"/>
  <c r="D400" i="489"/>
  <c r="D399" i="489"/>
  <c r="D398" i="489"/>
  <c r="D397" i="489"/>
  <c r="D396" i="489"/>
  <c r="D395" i="489"/>
  <c r="D394" i="489"/>
  <c r="D393" i="489"/>
  <c r="D392" i="489"/>
  <c r="D391" i="489"/>
  <c r="D390" i="489"/>
  <c r="D389" i="489"/>
  <c r="D388" i="489"/>
  <c r="D387" i="489"/>
  <c r="D386" i="489"/>
  <c r="D385" i="489"/>
  <c r="D384" i="489"/>
  <c r="D383" i="489"/>
  <c r="D382" i="489"/>
  <c r="D381" i="489"/>
  <c r="D380" i="489"/>
  <c r="D379" i="489"/>
  <c r="D378" i="489"/>
  <c r="D377" i="489"/>
  <c r="D376" i="489"/>
  <c r="D375" i="489"/>
  <c r="D374" i="489"/>
  <c r="D373" i="489"/>
  <c r="D372" i="489"/>
  <c r="D371" i="489"/>
  <c r="D370" i="489"/>
  <c r="D369" i="489"/>
  <c r="H367" i="489"/>
  <c r="D365" i="489"/>
  <c r="D364" i="489"/>
  <c r="D363" i="489"/>
  <c r="D362" i="489"/>
  <c r="D361" i="489"/>
  <c r="D360" i="489"/>
  <c r="D359" i="489"/>
  <c r="D358" i="489"/>
  <c r="D357" i="489"/>
  <c r="D356" i="489"/>
  <c r="H354" i="489"/>
  <c r="D353" i="489"/>
  <c r="D352" i="489"/>
  <c r="D351" i="489"/>
  <c r="D350" i="489"/>
  <c r="D349" i="489"/>
  <c r="D348" i="489"/>
  <c r="D347" i="489"/>
  <c r="D346" i="489"/>
  <c r="D345" i="489"/>
  <c r="D344" i="489"/>
  <c r="D343" i="489"/>
  <c r="BJ992" i="489" l="1"/>
  <c r="ER990" i="489"/>
  <c r="DR993" i="489"/>
  <c r="ER991" i="489"/>
  <c r="ER989" i="489"/>
  <c r="BJ987" i="489"/>
  <c r="EF992" i="489"/>
  <c r="BJ989" i="489"/>
  <c r="BJ993" i="489"/>
  <c r="DR992" i="489"/>
  <c r="CH992" i="489"/>
  <c r="AL992" i="489"/>
  <c r="ER993" i="489"/>
  <c r="CH991" i="489"/>
  <c r="ER992" i="489"/>
  <c r="DR991" i="489"/>
  <c r="DF987" i="489"/>
  <c r="AL993" i="489"/>
  <c r="EQ990" i="489"/>
  <c r="X993" i="489"/>
  <c r="BI992" i="489"/>
  <c r="DJ1003" i="489"/>
  <c r="O992" i="489"/>
  <c r="BL993" i="489"/>
  <c r="AZ990" i="489"/>
  <c r="CV986" i="489"/>
  <c r="O990" i="489"/>
  <c r="CJ991" i="489"/>
  <c r="BX990" i="489"/>
  <c r="BL989" i="489"/>
  <c r="AO988" i="489"/>
  <c r="AO986" i="489"/>
  <c r="AL988" i="489"/>
  <c r="BM993" i="489"/>
  <c r="CK990" i="489"/>
  <c r="BA989" i="489"/>
  <c r="BM988" i="489"/>
  <c r="EU1006" i="489"/>
  <c r="BI993" i="489"/>
  <c r="BY991" i="489"/>
  <c r="DE989" i="489"/>
  <c r="AO992" i="489"/>
  <c r="X991" i="489"/>
  <c r="BI991" i="489"/>
  <c r="DE991" i="489"/>
  <c r="BM990" i="489"/>
  <c r="EI1007" i="489"/>
  <c r="AK992" i="489"/>
  <c r="AK993" i="489"/>
  <c r="CJ986" i="489"/>
  <c r="CV1009" i="489"/>
  <c r="BL985" i="489"/>
  <c r="O989" i="489"/>
  <c r="AN988" i="489"/>
  <c r="BL987" i="489"/>
  <c r="ET1008" i="489"/>
  <c r="ES1006" i="489"/>
  <c r="CS988" i="489"/>
  <c r="DE993" i="489"/>
  <c r="CS989" i="489"/>
  <c r="DE992" i="489"/>
  <c r="CS991" i="489"/>
  <c r="CS993" i="489"/>
  <c r="EE991" i="489"/>
  <c r="DE990" i="489"/>
  <c r="EE988" i="489"/>
  <c r="CS992" i="489"/>
  <c r="CJ1009" i="489"/>
  <c r="BU993" i="489"/>
  <c r="DE988" i="489"/>
  <c r="DQ987" i="489"/>
  <c r="AB987" i="489"/>
  <c r="AA991" i="489"/>
  <c r="X987" i="489"/>
  <c r="O987" i="489"/>
  <c r="CJ988" i="489"/>
  <c r="BL992" i="489"/>
  <c r="AW990" i="489"/>
  <c r="AW993" i="489"/>
  <c r="AW992" i="489"/>
  <c r="AW991" i="489"/>
  <c r="DH1008" i="489"/>
  <c r="DJ1001" i="489"/>
  <c r="DH988" i="489"/>
  <c r="DJ1006" i="489"/>
  <c r="DH989" i="489"/>
  <c r="DH1006" i="489"/>
  <c r="DQ989" i="489"/>
  <c r="DQ988" i="489"/>
  <c r="EQ1006" i="489"/>
  <c r="DV985" i="489"/>
  <c r="DV994" i="489" s="1"/>
  <c r="DU987" i="489"/>
  <c r="BU990" i="489"/>
  <c r="BU992" i="489"/>
  <c r="BU991" i="489"/>
  <c r="AR986" i="489"/>
  <c r="AQ990" i="489"/>
  <c r="M993" i="489"/>
  <c r="M992" i="489"/>
  <c r="M990" i="489"/>
  <c r="M989" i="489"/>
  <c r="M987" i="489"/>
  <c r="CG990" i="489"/>
  <c r="DR987" i="489"/>
  <c r="DR989" i="489"/>
  <c r="DR1009" i="489"/>
  <c r="DR988" i="489"/>
  <c r="DR1002" i="489"/>
  <c r="DR985" i="489"/>
  <c r="DR990" i="489"/>
  <c r="DR1007" i="489"/>
  <c r="DV1007" i="489"/>
  <c r="CH1009" i="489"/>
  <c r="CH988" i="489"/>
  <c r="CH986" i="489"/>
  <c r="CG989" i="489"/>
  <c r="DR1008" i="489"/>
  <c r="DR1005" i="489"/>
  <c r="BJ985" i="489"/>
  <c r="AL986" i="489"/>
  <c r="EP993" i="489"/>
  <c r="EP992" i="489"/>
  <c r="EP990" i="489"/>
  <c r="EP987" i="489"/>
  <c r="DP989" i="489"/>
  <c r="EP1002" i="489"/>
  <c r="DP991" i="489"/>
  <c r="EP988" i="489"/>
  <c r="EP986" i="489"/>
  <c r="EP985" i="489"/>
  <c r="AJ992" i="489"/>
  <c r="EP991" i="489"/>
  <c r="DP1008" i="489"/>
  <c r="BH989" i="489"/>
  <c r="DP987" i="489"/>
  <c r="DP985" i="489"/>
  <c r="DW989" i="489"/>
  <c r="DW987" i="489"/>
  <c r="DW988" i="489"/>
  <c r="DW991" i="489"/>
  <c r="DL1002" i="489"/>
  <c r="DL1001" i="489"/>
  <c r="DL1007" i="489"/>
  <c r="DL1010" i="489" s="1"/>
  <c r="AY992" i="489"/>
  <c r="AR1008" i="489"/>
  <c r="AR992" i="489"/>
  <c r="AR1003" i="489"/>
  <c r="AR993" i="489"/>
  <c r="AQ993" i="489"/>
  <c r="AQ992" i="489"/>
  <c r="AQ991" i="489"/>
  <c r="BA985" i="489"/>
  <c r="X989" i="489"/>
  <c r="X990" i="489"/>
  <c r="DR1006" i="489"/>
  <c r="CF1009" i="489"/>
  <c r="BL1007" i="489"/>
  <c r="DR1003" i="489"/>
  <c r="BJ1006" i="489"/>
  <c r="BL1003" i="489"/>
  <c r="DH1000" i="489"/>
  <c r="BJ1003" i="489"/>
  <c r="AL1000" i="489"/>
  <c r="AJ1000" i="489"/>
  <c r="DR999" i="489"/>
  <c r="DR1001" i="489"/>
  <c r="DH998" i="489"/>
  <c r="BE991" i="489"/>
  <c r="EM992" i="489"/>
  <c r="DM992" i="489"/>
  <c r="DM990" i="489"/>
  <c r="CC990" i="489"/>
  <c r="BQ993" i="489"/>
  <c r="T993" i="489"/>
  <c r="AS993" i="489"/>
  <c r="CC991" i="489"/>
  <c r="EM990" i="489"/>
  <c r="DM989" i="489"/>
  <c r="CC992" i="489"/>
  <c r="BE992" i="489"/>
  <c r="DZ993" i="489"/>
  <c r="DZ991" i="489"/>
  <c r="EM989" i="489"/>
  <c r="AG992" i="489"/>
  <c r="CC986" i="489"/>
  <c r="EM1003" i="489"/>
  <c r="DZ990" i="489"/>
  <c r="DZ992" i="489"/>
  <c r="BQ992" i="489"/>
  <c r="AS992" i="489"/>
  <c r="DZ989" i="489"/>
  <c r="DM993" i="489"/>
  <c r="CK989" i="489"/>
  <c r="CK1005" i="489"/>
  <c r="AU991" i="489"/>
  <c r="EO990" i="489"/>
  <c r="H497" i="489"/>
  <c r="H656" i="489"/>
  <c r="EI993" i="489"/>
  <c r="BY993" i="489"/>
  <c r="EI992" i="489"/>
  <c r="P990" i="489"/>
  <c r="EC988" i="489"/>
  <c r="CK987" i="489"/>
  <c r="AO987" i="489"/>
  <c r="BY1008" i="489"/>
  <c r="BA993" i="489"/>
  <c r="BA991" i="489"/>
  <c r="ET990" i="489"/>
  <c r="BY990" i="489"/>
  <c r="P989" i="489"/>
  <c r="CK988" i="489"/>
  <c r="BY987" i="489"/>
  <c r="CW986" i="489"/>
  <c r="AB991" i="489"/>
  <c r="CW990" i="489"/>
  <c r="CW989" i="489"/>
  <c r="BM989" i="489"/>
  <c r="DU988" i="489"/>
  <c r="ET1006" i="489"/>
  <c r="CW993" i="489"/>
  <c r="AB993" i="489"/>
  <c r="BY992" i="489"/>
  <c r="P992" i="489"/>
  <c r="DU990" i="489"/>
  <c r="DU989" i="489"/>
  <c r="AB988" i="489"/>
  <c r="ET985" i="489"/>
  <c r="EI1005" i="489"/>
  <c r="CW1002" i="489"/>
  <c r="ET992" i="489"/>
  <c r="EI991" i="489"/>
  <c r="AO990" i="489"/>
  <c r="ET989" i="489"/>
  <c r="CQ989" i="489"/>
  <c r="BY988" i="489"/>
  <c r="P988" i="489"/>
  <c r="AB1008" i="489"/>
  <c r="CW992" i="489"/>
  <c r="BA992" i="489"/>
  <c r="CK991" i="489"/>
  <c r="BM991" i="489"/>
  <c r="ET987" i="489"/>
  <c r="BM987" i="489"/>
  <c r="EI985" i="489"/>
  <c r="ET1007" i="489"/>
  <c r="ET993" i="489"/>
  <c r="CK993" i="489"/>
  <c r="AB990" i="489"/>
  <c r="BG988" i="489"/>
  <c r="ET986" i="489"/>
  <c r="AO985" i="489"/>
  <c r="AB992" i="489"/>
  <c r="BG991" i="489"/>
  <c r="P991" i="489"/>
  <c r="BG990" i="489"/>
  <c r="AO989" i="489"/>
  <c r="BA988" i="489"/>
  <c r="EI987" i="489"/>
  <c r="BM986" i="489"/>
  <c r="BY1009" i="489"/>
  <c r="P1007" i="489"/>
  <c r="AO993" i="489"/>
  <c r="ET991" i="489"/>
  <c r="AO991" i="489"/>
  <c r="EI990" i="489"/>
  <c r="BY989" i="489"/>
  <c r="EI988" i="489"/>
  <c r="CW987" i="489"/>
  <c r="BA987" i="489"/>
  <c r="CW991" i="489"/>
  <c r="EI989" i="489"/>
  <c r="CW988" i="489"/>
  <c r="EI986" i="489"/>
  <c r="U1238" i="489"/>
  <c r="U1240" i="489"/>
  <c r="U1241" i="489"/>
  <c r="U1243" i="489"/>
  <c r="U1244" i="489"/>
  <c r="U1245" i="489"/>
  <c r="U1247" i="489"/>
  <c r="U1248" i="489"/>
  <c r="U1252" i="489"/>
  <c r="U1253" i="489"/>
  <c r="U1251" i="489"/>
  <c r="U1249" i="489"/>
  <c r="U1257" i="489"/>
  <c r="U1258" i="489"/>
  <c r="U1259" i="489"/>
  <c r="U1254" i="489"/>
  <c r="U1255" i="489"/>
  <c r="U1209" i="489"/>
  <c r="U1212" i="489"/>
  <c r="U1213" i="489"/>
  <c r="U1260" i="489"/>
  <c r="U1261" i="489"/>
  <c r="U1214" i="489"/>
  <c r="U1215" i="489"/>
  <c r="U1216" i="489"/>
  <c r="U1217" i="489"/>
  <c r="U1219" i="489"/>
  <c r="U1220" i="489"/>
  <c r="U1221" i="489"/>
  <c r="U1224" i="489"/>
  <c r="U1225" i="489"/>
  <c r="U1226" i="489"/>
  <c r="U1227" i="489"/>
  <c r="U1223" i="489"/>
  <c r="U1230" i="489"/>
  <c r="U1232" i="489"/>
  <c r="U1229" i="489"/>
  <c r="U1183" i="489"/>
  <c r="U1231" i="489"/>
  <c r="U1233" i="489"/>
  <c r="U1184" i="489"/>
  <c r="U1185" i="489"/>
  <c r="U1186" i="489"/>
  <c r="U1187" i="489"/>
  <c r="U1188" i="489"/>
  <c r="U1189" i="489"/>
  <c r="U1191" i="489"/>
  <c r="U1192" i="489"/>
  <c r="U1194" i="489"/>
  <c r="U1196" i="489"/>
  <c r="U1197" i="489"/>
  <c r="U1198" i="489"/>
  <c r="U1199" i="489"/>
  <c r="U1201" i="489"/>
  <c r="U1202" i="489"/>
  <c r="U1203" i="489"/>
  <c r="U1204" i="489"/>
  <c r="U1205" i="489"/>
  <c r="U1195" i="489"/>
  <c r="AH1237" i="489"/>
  <c r="AH1238" i="489"/>
  <c r="AH1240" i="489"/>
  <c r="AH1241" i="489"/>
  <c r="AH1242" i="489"/>
  <c r="AH1243" i="489"/>
  <c r="AH1245" i="489"/>
  <c r="AH1254" i="489"/>
  <c r="AH1255" i="489"/>
  <c r="AH1244" i="489"/>
  <c r="AH1249" i="489"/>
  <c r="AH1251" i="489"/>
  <c r="AH1252" i="489"/>
  <c r="AH1253" i="489"/>
  <c r="AH1257" i="489"/>
  <c r="AH1258" i="489"/>
  <c r="AH1261" i="489"/>
  <c r="AH1260" i="489"/>
  <c r="AH1259" i="489"/>
  <c r="AH1212" i="489"/>
  <c r="AH1213" i="489"/>
  <c r="AH1209" i="489"/>
  <c r="AH1210" i="489"/>
  <c r="AH1211" i="489"/>
  <c r="AH1216" i="489"/>
  <c r="AH1217" i="489"/>
  <c r="AH1214" i="489"/>
  <c r="AH1215" i="489"/>
  <c r="AH1219" i="489"/>
  <c r="AH1221" i="489"/>
  <c r="AH1223" i="489"/>
  <c r="AH1224" i="489"/>
  <c r="AH1225" i="489"/>
  <c r="AH1226" i="489"/>
  <c r="AH1227" i="489"/>
  <c r="AH1231" i="489"/>
  <c r="AH1181" i="489"/>
  <c r="AH1182" i="489"/>
  <c r="AH1183" i="489"/>
  <c r="AH1229" i="489"/>
  <c r="AH1230" i="489"/>
  <c r="AH1233" i="489"/>
  <c r="AH1232" i="489"/>
  <c r="AH1184" i="489"/>
  <c r="AH1185" i="489"/>
  <c r="AH1186" i="489"/>
  <c r="AH1187" i="489"/>
  <c r="AH1188" i="489"/>
  <c r="AH1189" i="489"/>
  <c r="AH1191" i="489"/>
  <c r="AH1197" i="489"/>
  <c r="AH1195" i="489"/>
  <c r="AH1198" i="489"/>
  <c r="AH1199" i="489"/>
  <c r="AH1201" i="489"/>
  <c r="AH1202" i="489"/>
  <c r="AH1203" i="489"/>
  <c r="AH1204" i="489"/>
  <c r="AH1205" i="489"/>
  <c r="AH1196" i="489"/>
  <c r="AT1237" i="489"/>
  <c r="AT1238" i="489"/>
  <c r="AT1239" i="489"/>
  <c r="AT1240" i="489"/>
  <c r="AT1241" i="489"/>
  <c r="AT1242" i="489"/>
  <c r="AT1243" i="489"/>
  <c r="AT1244" i="489"/>
  <c r="AT1245" i="489"/>
  <c r="AT1254" i="489"/>
  <c r="AT1255" i="489"/>
  <c r="AT1249" i="489"/>
  <c r="AT1250" i="489"/>
  <c r="AT1251" i="489"/>
  <c r="AT1258" i="489"/>
  <c r="AT1247" i="489"/>
  <c r="AT1253" i="489"/>
  <c r="AT1257" i="489"/>
  <c r="AT1252" i="489"/>
  <c r="AT1212" i="489"/>
  <c r="AT1261" i="489"/>
  <c r="AT1259" i="489"/>
  <c r="AT1209" i="489"/>
  <c r="AT1210" i="489"/>
  <c r="AT1211" i="489"/>
  <c r="AT1213" i="489"/>
  <c r="AT1216" i="489"/>
  <c r="AT1260" i="489"/>
  <c r="AT1214" i="489"/>
  <c r="AT1215" i="489"/>
  <c r="AT1217" i="489"/>
  <c r="AT1219" i="489"/>
  <c r="AT1221" i="489"/>
  <c r="AT1222" i="489"/>
  <c r="AT1223" i="489"/>
  <c r="AT1224" i="489"/>
  <c r="AT1225" i="489"/>
  <c r="AT1226" i="489"/>
  <c r="AT1227" i="489"/>
  <c r="AT1181" i="489"/>
  <c r="AT1182" i="489"/>
  <c r="AT1183" i="489"/>
  <c r="AT1233" i="489"/>
  <c r="AT1229" i="489"/>
  <c r="AT1232" i="489"/>
  <c r="AT1231" i="489"/>
  <c r="AT1230" i="489"/>
  <c r="AT1184" i="489"/>
  <c r="AT1185" i="489"/>
  <c r="AT1186" i="489"/>
  <c r="AT1187" i="489"/>
  <c r="AT1188" i="489"/>
  <c r="AT1189" i="489"/>
  <c r="AT1191" i="489"/>
  <c r="AT1193" i="489"/>
  <c r="AT1196" i="489"/>
  <c r="AT1198" i="489"/>
  <c r="AT1199" i="489"/>
  <c r="AT1201" i="489"/>
  <c r="AT1202" i="489"/>
  <c r="AT1203" i="489"/>
  <c r="AT1204" i="489"/>
  <c r="AT1205" i="489"/>
  <c r="AT1194" i="489"/>
  <c r="AT1195" i="489"/>
  <c r="AT1197" i="489"/>
  <c r="BF1237" i="489"/>
  <c r="BF1238" i="489"/>
  <c r="BF1239" i="489"/>
  <c r="BF1240" i="489"/>
  <c r="BF1241" i="489"/>
  <c r="BF1242" i="489"/>
  <c r="BF1243" i="489"/>
  <c r="BF1249" i="489"/>
  <c r="BF1250" i="489"/>
  <c r="BF1251" i="489"/>
  <c r="BF1247" i="489"/>
  <c r="BF1248" i="489"/>
  <c r="BF1254" i="489"/>
  <c r="BF1255" i="489"/>
  <c r="BF1245" i="489"/>
  <c r="BF1244" i="489"/>
  <c r="BF1253" i="489"/>
  <c r="BF1258" i="489"/>
  <c r="BF1252" i="489"/>
  <c r="BF1261" i="489"/>
  <c r="BF1257" i="489"/>
  <c r="BF1213" i="489"/>
  <c r="BF1259" i="489"/>
  <c r="BF1209" i="489"/>
  <c r="BF1210" i="489"/>
  <c r="BF1211" i="489"/>
  <c r="BF1212" i="489"/>
  <c r="BF1260" i="489"/>
  <c r="BF1217" i="489"/>
  <c r="BF1214" i="489"/>
  <c r="BF1215" i="489"/>
  <c r="BF1216" i="489"/>
  <c r="BF1219" i="489"/>
  <c r="BF1220" i="489"/>
  <c r="BF1221" i="489"/>
  <c r="BF1222" i="489"/>
  <c r="BF1223" i="489"/>
  <c r="BF1224" i="489"/>
  <c r="BF1225" i="489"/>
  <c r="BF1226" i="489"/>
  <c r="BF1227" i="489"/>
  <c r="BF1181" i="489"/>
  <c r="BF1182" i="489"/>
  <c r="BF1183" i="489"/>
  <c r="BF1230" i="489"/>
  <c r="BF1233" i="489"/>
  <c r="BF1231" i="489"/>
  <c r="BF1232" i="489"/>
  <c r="BF1229" i="489"/>
  <c r="BF1184" i="489"/>
  <c r="BF1185" i="489"/>
  <c r="BF1186" i="489"/>
  <c r="BF1187" i="489"/>
  <c r="BF1188" i="489"/>
  <c r="BF1189" i="489"/>
  <c r="BF1191" i="489"/>
  <c r="BF1192" i="489"/>
  <c r="BF1193" i="489"/>
  <c r="BF1194" i="489"/>
  <c r="BF1195" i="489"/>
  <c r="BF1197" i="489"/>
  <c r="BF1198" i="489"/>
  <c r="BF1199" i="489"/>
  <c r="BF1201" i="489"/>
  <c r="BF1202" i="489"/>
  <c r="BF1203" i="489"/>
  <c r="BF1204" i="489"/>
  <c r="BF1205" i="489"/>
  <c r="BF1196" i="489"/>
  <c r="BR1237" i="489"/>
  <c r="BR1238" i="489"/>
  <c r="BR1239" i="489"/>
  <c r="BR1240" i="489"/>
  <c r="BR1241" i="489"/>
  <c r="BR1242" i="489"/>
  <c r="BR1244" i="489"/>
  <c r="BR1245" i="489"/>
  <c r="BR1247" i="489"/>
  <c r="BR1255" i="489"/>
  <c r="BR1252" i="489"/>
  <c r="BR1253" i="489"/>
  <c r="BR1248" i="489"/>
  <c r="BR1249" i="489"/>
  <c r="BR1250" i="489"/>
  <c r="BR1257" i="489"/>
  <c r="BR1258" i="489"/>
  <c r="BR1259" i="489"/>
  <c r="BR1260" i="489"/>
  <c r="BR1261" i="489"/>
  <c r="BR1213" i="489"/>
  <c r="BR1211" i="489"/>
  <c r="BR1212" i="489"/>
  <c r="BR1214" i="489"/>
  <c r="BR1216" i="489"/>
  <c r="BR1210" i="489"/>
  <c r="BR1217" i="489"/>
  <c r="BR1209" i="489"/>
  <c r="BR1220" i="489"/>
  <c r="BR1221" i="489"/>
  <c r="BR1222" i="489"/>
  <c r="BR1224" i="489"/>
  <c r="BR1225" i="489"/>
  <c r="BR1226" i="489"/>
  <c r="BR1227" i="489"/>
  <c r="BR1229" i="489"/>
  <c r="BR1231" i="489"/>
  <c r="BR1181" i="489"/>
  <c r="BR1182" i="489"/>
  <c r="BR1183" i="489"/>
  <c r="BR1233" i="489"/>
  <c r="BR1232" i="489"/>
  <c r="BR1230" i="489"/>
  <c r="BR1184" i="489"/>
  <c r="BR1185" i="489"/>
  <c r="BR1187" i="489"/>
  <c r="BR1188" i="489"/>
  <c r="BR1189" i="489"/>
  <c r="BR1191" i="489"/>
  <c r="BR1192" i="489"/>
  <c r="BR1193" i="489"/>
  <c r="BR1197" i="489"/>
  <c r="BR1196" i="489"/>
  <c r="BR1199" i="489"/>
  <c r="BR1201" i="489"/>
  <c r="BR1202" i="489"/>
  <c r="BR1203" i="489"/>
  <c r="BR1204" i="489"/>
  <c r="BR1205" i="489"/>
  <c r="BR1194" i="489"/>
  <c r="CD1237" i="489"/>
  <c r="CD1238" i="489"/>
  <c r="CD1239" i="489"/>
  <c r="CD1240" i="489"/>
  <c r="CD1241" i="489"/>
  <c r="CD1242" i="489"/>
  <c r="CD1243" i="489"/>
  <c r="CD1247" i="489"/>
  <c r="CD1248" i="489"/>
  <c r="CD1244" i="489"/>
  <c r="CD1249" i="489"/>
  <c r="CD1250" i="489"/>
  <c r="CD1253" i="489"/>
  <c r="CD1254" i="489"/>
  <c r="CD1255" i="489"/>
  <c r="CD1251" i="489"/>
  <c r="CD1245" i="489"/>
  <c r="CD1258" i="489"/>
  <c r="CD1261" i="489"/>
  <c r="CD1252" i="489"/>
  <c r="CD1257" i="489"/>
  <c r="CD1259" i="489"/>
  <c r="CD1212" i="489"/>
  <c r="CD1260" i="489"/>
  <c r="CD1211" i="489"/>
  <c r="CD1213" i="489"/>
  <c r="CD1209" i="489"/>
  <c r="CD1214" i="489"/>
  <c r="CD1215" i="489"/>
  <c r="CD1217" i="489"/>
  <c r="CD1216" i="489"/>
  <c r="CD1210" i="489"/>
  <c r="CD1219" i="489"/>
  <c r="CD1220" i="489"/>
  <c r="CD1221" i="489"/>
  <c r="CD1222" i="489"/>
  <c r="CD1223" i="489"/>
  <c r="CD1224" i="489"/>
  <c r="CD1225" i="489"/>
  <c r="CD1226" i="489"/>
  <c r="CD1227" i="489"/>
  <c r="CD1230" i="489"/>
  <c r="CD1181" i="489"/>
  <c r="CD1182" i="489"/>
  <c r="CD1183" i="489"/>
  <c r="CD1232" i="489"/>
  <c r="CD1233" i="489"/>
  <c r="CD1229" i="489"/>
  <c r="CD1231" i="489"/>
  <c r="CD1184" i="489"/>
  <c r="CD1185" i="489"/>
  <c r="CD1186" i="489"/>
  <c r="CD1187" i="489"/>
  <c r="CD1188" i="489"/>
  <c r="CD1189" i="489"/>
  <c r="CD1191" i="489"/>
  <c r="CD1192" i="489"/>
  <c r="CD1193" i="489"/>
  <c r="CD1194" i="489"/>
  <c r="CD1195" i="489"/>
  <c r="CD1197" i="489"/>
  <c r="CD1196" i="489"/>
  <c r="CD1198" i="489"/>
  <c r="CD1199" i="489"/>
  <c r="CD1201" i="489"/>
  <c r="CD1202" i="489"/>
  <c r="CD1203" i="489"/>
  <c r="CD1204" i="489"/>
  <c r="CD1205" i="489"/>
  <c r="CP1237" i="489"/>
  <c r="CP1238" i="489"/>
  <c r="CP1239" i="489"/>
  <c r="CP1240" i="489"/>
  <c r="CP1241" i="489"/>
  <c r="CP1242" i="489"/>
  <c r="CP1243" i="489"/>
  <c r="CP1247" i="489"/>
  <c r="CP1244" i="489"/>
  <c r="CP1245" i="489"/>
  <c r="CP1248" i="489"/>
  <c r="CP1253" i="489"/>
  <c r="CP1254" i="489"/>
  <c r="CP1255" i="489"/>
  <c r="CP1252" i="489"/>
  <c r="CP1250" i="489"/>
  <c r="CP1258" i="489"/>
  <c r="CP1249" i="489"/>
  <c r="CP1257" i="489"/>
  <c r="CP1251" i="489"/>
  <c r="CP1209" i="489"/>
  <c r="CP1210" i="489"/>
  <c r="CP1259" i="489"/>
  <c r="CP1211" i="489"/>
  <c r="CP1260" i="489"/>
  <c r="CP1261" i="489"/>
  <c r="CP1212" i="489"/>
  <c r="CP1216" i="489"/>
  <c r="CP1214" i="489"/>
  <c r="CP1215" i="489"/>
  <c r="CP1213" i="489"/>
  <c r="CP1217" i="489"/>
  <c r="CP1219" i="489"/>
  <c r="CP1220" i="489"/>
  <c r="CP1221" i="489"/>
  <c r="CP1222" i="489"/>
  <c r="CP1223" i="489"/>
  <c r="CP1224" i="489"/>
  <c r="CP1225" i="489"/>
  <c r="CP1226" i="489"/>
  <c r="CP1227" i="489"/>
  <c r="CP1232" i="489"/>
  <c r="CP1233" i="489"/>
  <c r="CP1181" i="489"/>
  <c r="CP1182" i="489"/>
  <c r="CP1183" i="489"/>
  <c r="CP1231" i="489"/>
  <c r="CP1230" i="489"/>
  <c r="CP1229" i="489"/>
  <c r="CP1184" i="489"/>
  <c r="CP1185" i="489"/>
  <c r="CP1186" i="489"/>
  <c r="CP1187" i="489"/>
  <c r="CP1188" i="489"/>
  <c r="CP1189" i="489"/>
  <c r="CP1191" i="489"/>
  <c r="CP1192" i="489"/>
  <c r="CP1193" i="489"/>
  <c r="CP1194" i="489"/>
  <c r="CP1195" i="489"/>
  <c r="CP1198" i="489"/>
  <c r="CP1199" i="489"/>
  <c r="CP1201" i="489"/>
  <c r="CP1202" i="489"/>
  <c r="CP1203" i="489"/>
  <c r="CP1204" i="489"/>
  <c r="CP1205" i="489"/>
  <c r="CP1196" i="489"/>
  <c r="CP1197" i="489"/>
  <c r="DB1237" i="489"/>
  <c r="DB1238" i="489"/>
  <c r="DB1239" i="489"/>
  <c r="DB1240" i="489"/>
  <c r="DB1241" i="489"/>
  <c r="DB1242" i="489"/>
  <c r="DB1243" i="489"/>
  <c r="DB1251" i="489"/>
  <c r="DB1245" i="489"/>
  <c r="DB1244" i="489"/>
  <c r="DB1253" i="489"/>
  <c r="DB1254" i="489"/>
  <c r="DB1255" i="489"/>
  <c r="DB1249" i="489"/>
  <c r="DB1250" i="489"/>
  <c r="DB1247" i="489"/>
  <c r="DB1248" i="489"/>
  <c r="DB1252" i="489"/>
  <c r="DB1258" i="489"/>
  <c r="DB1261" i="489"/>
  <c r="DB1257" i="489"/>
  <c r="DB1259" i="489"/>
  <c r="DB1260" i="489"/>
  <c r="DB1209" i="489"/>
  <c r="DB1210" i="489"/>
  <c r="DB1212" i="489"/>
  <c r="DB1213" i="489"/>
  <c r="DB1211" i="489"/>
  <c r="DB1216" i="489"/>
  <c r="DB1214" i="489"/>
  <c r="DB1217" i="489"/>
  <c r="DB1215" i="489"/>
  <c r="DB1219" i="489"/>
  <c r="DB1220" i="489"/>
  <c r="DB1221" i="489"/>
  <c r="DB1222" i="489"/>
  <c r="DB1223" i="489"/>
  <c r="DB1224" i="489"/>
  <c r="DB1225" i="489"/>
  <c r="DB1226" i="489"/>
  <c r="DB1227" i="489"/>
  <c r="DB1230" i="489"/>
  <c r="DB1229" i="489"/>
  <c r="DB1232" i="489"/>
  <c r="DB1231" i="489"/>
  <c r="DB1233" i="489"/>
  <c r="DB1181" i="489"/>
  <c r="DB1182" i="489"/>
  <c r="DB1183" i="489"/>
  <c r="DB1184" i="489"/>
  <c r="DB1185" i="489"/>
  <c r="DB1186" i="489"/>
  <c r="DB1187" i="489"/>
  <c r="DB1188" i="489"/>
  <c r="DB1189" i="489"/>
  <c r="DB1191" i="489"/>
  <c r="DB1192" i="489"/>
  <c r="DB1193" i="489"/>
  <c r="DB1196" i="489"/>
  <c r="DB1197" i="489"/>
  <c r="DB1198" i="489"/>
  <c r="DB1199" i="489"/>
  <c r="DB1201" i="489"/>
  <c r="DB1202" i="489"/>
  <c r="DB1203" i="489"/>
  <c r="DB1204" i="489"/>
  <c r="DB1205" i="489"/>
  <c r="DB1194" i="489"/>
  <c r="DB1195" i="489"/>
  <c r="DN1237" i="489"/>
  <c r="DN1238" i="489"/>
  <c r="DN1239" i="489"/>
  <c r="DN1240" i="489"/>
  <c r="DN1241" i="489"/>
  <c r="DN1242" i="489"/>
  <c r="DN1243" i="489"/>
  <c r="DN1244" i="489"/>
  <c r="DN1245" i="489"/>
  <c r="DN1249" i="489"/>
  <c r="DN1250" i="489"/>
  <c r="DN1253" i="489"/>
  <c r="DN1254" i="489"/>
  <c r="DN1255" i="489"/>
  <c r="DN1251" i="489"/>
  <c r="DN1247" i="489"/>
  <c r="DN1252" i="489"/>
  <c r="DN1258" i="489"/>
  <c r="DN1257" i="489"/>
  <c r="DN1212" i="489"/>
  <c r="DN1260" i="489"/>
  <c r="DN1213" i="489"/>
  <c r="DN1261" i="489"/>
  <c r="DN1211" i="489"/>
  <c r="DN1209" i="489"/>
  <c r="DN1210" i="489"/>
  <c r="DN1259" i="489"/>
  <c r="DN1217" i="489"/>
  <c r="DN1214" i="489"/>
  <c r="DN1215" i="489"/>
  <c r="DN1216" i="489"/>
  <c r="DN1219" i="489"/>
  <c r="DN1220" i="489"/>
  <c r="DN1221" i="489"/>
  <c r="DN1222" i="489"/>
  <c r="DN1224" i="489"/>
  <c r="DN1225" i="489"/>
  <c r="DN1226" i="489"/>
  <c r="DN1227" i="489"/>
  <c r="DN1223" i="489"/>
  <c r="DN1232" i="489"/>
  <c r="DN1233" i="489"/>
  <c r="DN1181" i="489"/>
  <c r="DN1182" i="489"/>
  <c r="DN1229" i="489"/>
  <c r="DN1230" i="489"/>
  <c r="DN1231" i="489"/>
  <c r="DN1183" i="489"/>
  <c r="DN1184" i="489"/>
  <c r="DN1185" i="489"/>
  <c r="DN1186" i="489"/>
  <c r="DN1187" i="489"/>
  <c r="DN1188" i="489"/>
  <c r="DN1189" i="489"/>
  <c r="DN1191" i="489"/>
  <c r="DN1193" i="489"/>
  <c r="DN1194" i="489"/>
  <c r="DN1195" i="489"/>
  <c r="DN1197" i="489"/>
  <c r="DN1198" i="489"/>
  <c r="DN1199" i="489"/>
  <c r="DN1201" i="489"/>
  <c r="DN1202" i="489"/>
  <c r="DN1203" i="489"/>
  <c r="DN1204" i="489"/>
  <c r="DN1205" i="489"/>
  <c r="DN1196" i="489"/>
  <c r="EA1242" i="489"/>
  <c r="EA1237" i="489"/>
  <c r="EA1238" i="489"/>
  <c r="EA1239" i="489"/>
  <c r="EA1240" i="489"/>
  <c r="EA1241" i="489"/>
  <c r="EA1243" i="489"/>
  <c r="EA1244" i="489"/>
  <c r="EA1245" i="489"/>
  <c r="EA1247" i="489"/>
  <c r="EA1248" i="489"/>
  <c r="EA1253" i="489"/>
  <c r="EA1254" i="489"/>
  <c r="EA1249" i="489"/>
  <c r="EA1250" i="489"/>
  <c r="EA1251" i="489"/>
  <c r="EA1255" i="489"/>
  <c r="EA1252" i="489"/>
  <c r="EA1258" i="489"/>
  <c r="EA1259" i="489"/>
  <c r="EA1260" i="489"/>
  <c r="EA1261" i="489"/>
  <c r="EA1257" i="489"/>
  <c r="EA1209" i="489"/>
  <c r="EA1210" i="489"/>
  <c r="EA1214" i="489"/>
  <c r="EA1215" i="489"/>
  <c r="EA1212" i="489"/>
  <c r="EA1219" i="489"/>
  <c r="EA1220" i="489"/>
  <c r="EA1221" i="489"/>
  <c r="EA1222" i="489"/>
  <c r="EA1223" i="489"/>
  <c r="EA1211" i="489"/>
  <c r="EA1216" i="489"/>
  <c r="EA1217" i="489"/>
  <c r="EA1213" i="489"/>
  <c r="EA1224" i="489"/>
  <c r="EA1225" i="489"/>
  <c r="EA1226" i="489"/>
  <c r="EA1227" i="489"/>
  <c r="EA1232" i="489"/>
  <c r="EA1233" i="489"/>
  <c r="EA1181" i="489"/>
  <c r="EA1182" i="489"/>
  <c r="EA1231" i="489"/>
  <c r="EA1229" i="489"/>
  <c r="EA1230" i="489"/>
  <c r="EA1183" i="489"/>
  <c r="EA1184" i="489"/>
  <c r="EA1185" i="489"/>
  <c r="EA1186" i="489"/>
  <c r="EA1187" i="489"/>
  <c r="EA1188" i="489"/>
  <c r="EA1189" i="489"/>
  <c r="EA1191" i="489"/>
  <c r="EA1192" i="489"/>
  <c r="EA1193" i="489"/>
  <c r="EA1194" i="489"/>
  <c r="EA1195" i="489"/>
  <c r="EA1196" i="489"/>
  <c r="EA1197" i="489"/>
  <c r="EA1198" i="489"/>
  <c r="EA1199" i="489"/>
  <c r="EA1201" i="489"/>
  <c r="EA1202" i="489"/>
  <c r="EA1203" i="489"/>
  <c r="EA1204" i="489"/>
  <c r="EA1205" i="489"/>
  <c r="EN1237" i="489"/>
  <c r="EN1238" i="489"/>
  <c r="EN1239" i="489"/>
  <c r="EN1240" i="489"/>
  <c r="EN1241" i="489"/>
  <c r="EN1242" i="489"/>
  <c r="EN1243" i="489"/>
  <c r="EN1249" i="489"/>
  <c r="EN1250" i="489"/>
  <c r="EN1244" i="489"/>
  <c r="EN1245" i="489"/>
  <c r="EN1247" i="489"/>
  <c r="EN1248" i="489"/>
  <c r="EN1253" i="489"/>
  <c r="EN1254" i="489"/>
  <c r="EN1255" i="489"/>
  <c r="EN1252" i="489"/>
  <c r="EN1251" i="489"/>
  <c r="EN1257" i="489"/>
  <c r="EN1258" i="489"/>
  <c r="EN1259" i="489"/>
  <c r="EN1260" i="489"/>
  <c r="EN1261" i="489"/>
  <c r="EN1213" i="489"/>
  <c r="EN1209" i="489"/>
  <c r="EN1210" i="489"/>
  <c r="EN1212" i="489"/>
  <c r="EN1214" i="489"/>
  <c r="EN1215" i="489"/>
  <c r="EN1211" i="489"/>
  <c r="EN1219" i="489"/>
  <c r="EN1220" i="489"/>
  <c r="EN1221" i="489"/>
  <c r="EN1217" i="489"/>
  <c r="EN1216" i="489"/>
  <c r="EN1222" i="489"/>
  <c r="EN1224" i="489"/>
  <c r="EN1225" i="489"/>
  <c r="EN1226" i="489"/>
  <c r="EN1227" i="489"/>
  <c r="EN1229" i="489"/>
  <c r="EN1230" i="489"/>
  <c r="EN1223" i="489"/>
  <c r="EN1232" i="489"/>
  <c r="EN1233" i="489"/>
  <c r="EN1181" i="489"/>
  <c r="EN1182" i="489"/>
  <c r="EN1231" i="489"/>
  <c r="EN1183" i="489"/>
  <c r="EN1184" i="489"/>
  <c r="EN1185" i="489"/>
  <c r="EN1186" i="489"/>
  <c r="EN1187" i="489"/>
  <c r="EN1188" i="489"/>
  <c r="EN1189" i="489"/>
  <c r="EN1191" i="489"/>
  <c r="EN1192" i="489"/>
  <c r="EN1193" i="489"/>
  <c r="EN1194" i="489"/>
  <c r="EN1195" i="489"/>
  <c r="EN1196" i="489"/>
  <c r="EN1197" i="489"/>
  <c r="EN1198" i="489"/>
  <c r="EN1199" i="489"/>
  <c r="EN1201" i="489"/>
  <c r="EN1202" i="489"/>
  <c r="EN1203" i="489"/>
  <c r="EN1204" i="489"/>
  <c r="EN1205" i="489"/>
  <c r="J1244" i="489"/>
  <c r="J1258" i="489"/>
  <c r="J1248" i="489"/>
  <c r="J1261" i="489"/>
  <c r="J1250" i="489"/>
  <c r="J1251" i="489"/>
  <c r="J1240" i="489"/>
  <c r="J1253" i="489"/>
  <c r="J1243" i="489"/>
  <c r="J1257" i="489"/>
  <c r="J1260" i="489"/>
  <c r="J1239" i="489"/>
  <c r="J1241" i="489"/>
  <c r="J1242" i="489"/>
  <c r="J1245" i="489"/>
  <c r="J1252" i="489"/>
  <c r="J1254" i="489"/>
  <c r="J1255" i="489"/>
  <c r="J1259" i="489"/>
  <c r="J1247" i="489"/>
  <c r="J1217" i="489"/>
  <c r="J1231" i="489"/>
  <c r="J1219" i="489"/>
  <c r="J1232" i="489"/>
  <c r="J1220" i="489"/>
  <c r="J1233" i="489"/>
  <c r="J1222" i="489"/>
  <c r="J1223" i="489"/>
  <c r="J1211" i="489"/>
  <c r="J1224" i="489"/>
  <c r="J1212" i="489"/>
  <c r="J1225" i="489"/>
  <c r="J1213" i="489"/>
  <c r="J1226" i="489"/>
  <c r="J1214" i="489"/>
  <c r="J1227" i="489"/>
  <c r="J1215" i="489"/>
  <c r="J1229" i="489"/>
  <c r="J1216" i="489"/>
  <c r="J1230" i="489"/>
  <c r="J1189" i="489"/>
  <c r="J1203" i="489"/>
  <c r="J1191" i="489"/>
  <c r="J1204" i="489"/>
  <c r="J1192" i="489"/>
  <c r="J1205" i="489"/>
  <c r="J1181" i="489"/>
  <c r="J1194" i="489"/>
  <c r="J1182" i="489"/>
  <c r="J1195" i="489"/>
  <c r="J1183" i="489"/>
  <c r="J1196" i="489"/>
  <c r="J1184" i="489"/>
  <c r="J1197" i="489"/>
  <c r="J1185" i="489"/>
  <c r="J1198" i="489"/>
  <c r="J1186" i="489"/>
  <c r="J1199" i="489"/>
  <c r="J1187" i="489"/>
  <c r="J1201" i="489"/>
  <c r="J1188" i="489"/>
  <c r="J1202" i="489"/>
  <c r="V1238" i="489"/>
  <c r="V1242" i="489"/>
  <c r="V1243" i="489"/>
  <c r="V1247" i="489"/>
  <c r="V1248" i="489"/>
  <c r="V1244" i="489"/>
  <c r="V1245" i="489"/>
  <c r="V1251" i="489"/>
  <c r="V1254" i="489"/>
  <c r="V1255" i="489"/>
  <c r="V1257" i="489"/>
  <c r="V1258" i="489"/>
  <c r="V1259" i="489"/>
  <c r="V1252" i="489"/>
  <c r="V1253" i="489"/>
  <c r="V1260" i="489"/>
  <c r="V1261" i="489"/>
  <c r="V1214" i="489"/>
  <c r="V1215" i="489"/>
  <c r="V1217" i="489"/>
  <c r="V1216" i="489"/>
  <c r="V1219" i="489"/>
  <c r="V1220" i="489"/>
  <c r="V1221" i="489"/>
  <c r="V1224" i="489"/>
  <c r="V1225" i="489"/>
  <c r="V1226" i="489"/>
  <c r="V1227" i="489"/>
  <c r="V1223" i="489"/>
  <c r="V1230" i="489"/>
  <c r="V1232" i="489"/>
  <c r="V1229" i="489"/>
  <c r="V1183" i="489"/>
  <c r="V1231" i="489"/>
  <c r="V1233" i="489"/>
  <c r="V1185" i="489"/>
  <c r="V1186" i="489"/>
  <c r="V1187" i="489"/>
  <c r="V1188" i="489"/>
  <c r="V1189" i="489"/>
  <c r="V1191" i="489"/>
  <c r="V1192" i="489"/>
  <c r="V1196" i="489"/>
  <c r="V1197" i="489"/>
  <c r="V1198" i="489"/>
  <c r="V1199" i="489"/>
  <c r="V1201" i="489"/>
  <c r="V1202" i="489"/>
  <c r="V1203" i="489"/>
  <c r="V1204" i="489"/>
  <c r="V1205" i="489"/>
  <c r="V1195" i="489"/>
  <c r="AI1243" i="489"/>
  <c r="AI1237" i="489"/>
  <c r="AI1238" i="489"/>
  <c r="AI1239" i="489"/>
  <c r="AI1240" i="489"/>
  <c r="AI1241" i="489"/>
  <c r="AI1242" i="489"/>
  <c r="AI1244" i="489"/>
  <c r="AI1245" i="489"/>
  <c r="AI1247" i="489"/>
  <c r="AI1248" i="489"/>
  <c r="AI1249" i="489"/>
  <c r="AI1250" i="489"/>
  <c r="AI1251" i="489"/>
  <c r="AI1252" i="489"/>
  <c r="AI1253" i="489"/>
  <c r="AI1254" i="489"/>
  <c r="AI1255" i="489"/>
  <c r="AI1257" i="489"/>
  <c r="AI1258" i="489"/>
  <c r="AI1259" i="489"/>
  <c r="AI1260" i="489"/>
  <c r="AI1261" i="489"/>
  <c r="AI1209" i="489"/>
  <c r="AI1210" i="489"/>
  <c r="AI1211" i="489"/>
  <c r="AI1212" i="489"/>
  <c r="AI1214" i="489"/>
  <c r="AI1215" i="489"/>
  <c r="AI1213" i="489"/>
  <c r="AI1219" i="489"/>
  <c r="AI1220" i="489"/>
  <c r="AI1221" i="489"/>
  <c r="AI1222" i="489"/>
  <c r="AI1223" i="489"/>
  <c r="AI1216" i="489"/>
  <c r="AI1217" i="489"/>
  <c r="AI1224" i="489"/>
  <c r="AI1225" i="489"/>
  <c r="AI1226" i="489"/>
  <c r="AI1227" i="489"/>
  <c r="AI1232" i="489"/>
  <c r="AI1231" i="489"/>
  <c r="AI1181" i="489"/>
  <c r="AI1182" i="489"/>
  <c r="AI1183" i="489"/>
  <c r="AI1229" i="489"/>
  <c r="AI1230" i="489"/>
  <c r="AI1233" i="489"/>
  <c r="AI1184" i="489"/>
  <c r="AI1185" i="489"/>
  <c r="AI1186" i="489"/>
  <c r="AI1187" i="489"/>
  <c r="AI1188" i="489"/>
  <c r="AI1189" i="489"/>
  <c r="AI1191" i="489"/>
  <c r="AI1192" i="489"/>
  <c r="AI1193" i="489"/>
  <c r="AI1194" i="489"/>
  <c r="AI1195" i="489"/>
  <c r="AI1196" i="489"/>
  <c r="AI1197" i="489"/>
  <c r="AI1198" i="489"/>
  <c r="AI1199" i="489"/>
  <c r="AI1201" i="489"/>
  <c r="AI1202" i="489"/>
  <c r="AI1203" i="489"/>
  <c r="AI1204" i="489"/>
  <c r="AI1205" i="489"/>
  <c r="AU1243" i="489"/>
  <c r="AU1244" i="489"/>
  <c r="AU1245" i="489"/>
  <c r="AU1247" i="489"/>
  <c r="AU1237" i="489"/>
  <c r="AU1242" i="489"/>
  <c r="AU1240" i="489"/>
  <c r="AU1254" i="489"/>
  <c r="AU1255" i="489"/>
  <c r="AU1241" i="489"/>
  <c r="AU1239" i="489"/>
  <c r="AU1251" i="489"/>
  <c r="AU1253" i="489"/>
  <c r="AU1257" i="489"/>
  <c r="AU1258" i="489"/>
  <c r="AU1259" i="489"/>
  <c r="AU1260" i="489"/>
  <c r="AU1261" i="489"/>
  <c r="AU1252" i="489"/>
  <c r="AU1213" i="489"/>
  <c r="AU1214" i="489"/>
  <c r="AU1215" i="489"/>
  <c r="AU1219" i="489"/>
  <c r="AU1222" i="489"/>
  <c r="AU1223" i="489"/>
  <c r="AU1212" i="489"/>
  <c r="AU1216" i="489"/>
  <c r="AU1217" i="489"/>
  <c r="AU1224" i="489"/>
  <c r="AU1225" i="489"/>
  <c r="AU1226" i="489"/>
  <c r="AU1227" i="489"/>
  <c r="AU1230" i="489"/>
  <c r="AU1181" i="489"/>
  <c r="AU1182" i="489"/>
  <c r="AU1183" i="489"/>
  <c r="AU1233" i="489"/>
  <c r="AU1229" i="489"/>
  <c r="AU1232" i="489"/>
  <c r="AU1231" i="489"/>
  <c r="AU1184" i="489"/>
  <c r="AU1185" i="489"/>
  <c r="AU1186" i="489"/>
  <c r="AU1187" i="489"/>
  <c r="AU1188" i="489"/>
  <c r="AU1189" i="489"/>
  <c r="AU1191" i="489"/>
  <c r="AU1194" i="489"/>
  <c r="AU1195" i="489"/>
  <c r="AU1196" i="489"/>
  <c r="AU1198" i="489"/>
  <c r="AU1199" i="489"/>
  <c r="AU1201" i="489"/>
  <c r="AU1202" i="489"/>
  <c r="AU1203" i="489"/>
  <c r="AU1204" i="489"/>
  <c r="AU1205" i="489"/>
  <c r="AU1197" i="489"/>
  <c r="BG1237" i="489"/>
  <c r="BG1238" i="489"/>
  <c r="BG1239" i="489"/>
  <c r="BG1240" i="489"/>
  <c r="BG1241" i="489"/>
  <c r="BG1242" i="489"/>
  <c r="BG1243" i="489"/>
  <c r="BG1244" i="489"/>
  <c r="BG1245" i="489"/>
  <c r="BG1247" i="489"/>
  <c r="BG1248" i="489"/>
  <c r="BG1249" i="489"/>
  <c r="BG1250" i="489"/>
  <c r="BG1254" i="489"/>
  <c r="BG1255" i="489"/>
  <c r="BG1251" i="489"/>
  <c r="BG1253" i="489"/>
  <c r="BG1258" i="489"/>
  <c r="BG1259" i="489"/>
  <c r="BG1260" i="489"/>
  <c r="BG1261" i="489"/>
  <c r="BG1252" i="489"/>
  <c r="BG1209" i="489"/>
  <c r="BG1210" i="489"/>
  <c r="BG1211" i="489"/>
  <c r="BG1257" i="489"/>
  <c r="BG1213" i="489"/>
  <c r="BG1214" i="489"/>
  <c r="BG1215" i="489"/>
  <c r="BG1212" i="489"/>
  <c r="BG1219" i="489"/>
  <c r="BG1220" i="489"/>
  <c r="BG1221" i="489"/>
  <c r="BG1222" i="489"/>
  <c r="BG1223" i="489"/>
  <c r="BG1217" i="489"/>
  <c r="BG1216" i="489"/>
  <c r="BG1224" i="489"/>
  <c r="BG1225" i="489"/>
  <c r="BG1226" i="489"/>
  <c r="BG1227" i="489"/>
  <c r="BG1181" i="489"/>
  <c r="BG1182" i="489"/>
  <c r="BG1183" i="489"/>
  <c r="BG1230" i="489"/>
  <c r="BG1233" i="489"/>
  <c r="BG1231" i="489"/>
  <c r="BG1232" i="489"/>
  <c r="BG1229" i="489"/>
  <c r="BG1184" i="489"/>
  <c r="BG1185" i="489"/>
  <c r="BG1186" i="489"/>
  <c r="BG1187" i="489"/>
  <c r="BG1188" i="489"/>
  <c r="BG1189" i="489"/>
  <c r="BG1191" i="489"/>
  <c r="BG1192" i="489"/>
  <c r="BG1193" i="489"/>
  <c r="BG1194" i="489"/>
  <c r="BG1195" i="489"/>
  <c r="BG1196" i="489"/>
  <c r="BG1197" i="489"/>
  <c r="BG1198" i="489"/>
  <c r="BG1199" i="489"/>
  <c r="BG1201" i="489"/>
  <c r="BG1202" i="489"/>
  <c r="BG1203" i="489"/>
  <c r="BG1204" i="489"/>
  <c r="BG1205" i="489"/>
  <c r="BS1243" i="489"/>
  <c r="BS1240" i="489"/>
  <c r="BS1241" i="489"/>
  <c r="BS1242" i="489"/>
  <c r="BS1244" i="489"/>
  <c r="BS1245" i="489"/>
  <c r="BS1247" i="489"/>
  <c r="BS1254" i="489"/>
  <c r="BS1252" i="489"/>
  <c r="BS1253" i="489"/>
  <c r="BS1251" i="489"/>
  <c r="BS1258" i="489"/>
  <c r="BS1259" i="489"/>
  <c r="BS1260" i="489"/>
  <c r="BS1261" i="489"/>
  <c r="BS1255" i="489"/>
  <c r="BS1212" i="489"/>
  <c r="BS1214" i="489"/>
  <c r="BS1215" i="489"/>
  <c r="BS1219" i="489"/>
  <c r="BS1220" i="489"/>
  <c r="BS1222" i="489"/>
  <c r="BS1223" i="489"/>
  <c r="BS1213" i="489"/>
  <c r="BS1216" i="489"/>
  <c r="BS1257" i="489"/>
  <c r="BS1217" i="489"/>
  <c r="BS1224" i="489"/>
  <c r="BS1225" i="489"/>
  <c r="BS1226" i="489"/>
  <c r="BS1227" i="489"/>
  <c r="BS1229" i="489"/>
  <c r="BS1231" i="489"/>
  <c r="BS1182" i="489"/>
  <c r="BS1183" i="489"/>
  <c r="BS1233" i="489"/>
  <c r="BS1232" i="489"/>
  <c r="BS1230" i="489"/>
  <c r="BS1184" i="489"/>
  <c r="BS1185" i="489"/>
  <c r="BS1186" i="489"/>
  <c r="BS1187" i="489"/>
  <c r="BS1188" i="489"/>
  <c r="BS1189" i="489"/>
  <c r="BS1191" i="489"/>
  <c r="BS1194" i="489"/>
  <c r="BS1195" i="489"/>
  <c r="BS1196" i="489"/>
  <c r="BS1197" i="489"/>
  <c r="BS1198" i="489"/>
  <c r="BS1199" i="489"/>
  <c r="BS1201" i="489"/>
  <c r="BS1202" i="489"/>
  <c r="BS1203" i="489"/>
  <c r="BS1204" i="489"/>
  <c r="BS1205" i="489"/>
  <c r="CE1243" i="489"/>
  <c r="CE1237" i="489"/>
  <c r="CE1238" i="489"/>
  <c r="CE1239" i="489"/>
  <c r="CE1240" i="489"/>
  <c r="CE1241" i="489"/>
  <c r="CE1244" i="489"/>
  <c r="CE1245" i="489"/>
  <c r="CE1247" i="489"/>
  <c r="CE1242" i="489"/>
  <c r="CE1248" i="489"/>
  <c r="CE1249" i="489"/>
  <c r="CE1250" i="489"/>
  <c r="CE1252" i="489"/>
  <c r="CE1253" i="489"/>
  <c r="CE1254" i="489"/>
  <c r="CE1257" i="489"/>
  <c r="CE1258" i="489"/>
  <c r="CE1259" i="489"/>
  <c r="CE1260" i="489"/>
  <c r="CE1261" i="489"/>
  <c r="CE1251" i="489"/>
  <c r="CE1209" i="489"/>
  <c r="CE1210" i="489"/>
  <c r="CE1214" i="489"/>
  <c r="CE1215" i="489"/>
  <c r="CE1211" i="489"/>
  <c r="CE1255" i="489"/>
  <c r="CE1213" i="489"/>
  <c r="CE1219" i="489"/>
  <c r="CE1220" i="489"/>
  <c r="CE1221" i="489"/>
  <c r="CE1222" i="489"/>
  <c r="CE1223" i="489"/>
  <c r="CE1217" i="489"/>
  <c r="CE1216" i="489"/>
  <c r="CE1212" i="489"/>
  <c r="CE1224" i="489"/>
  <c r="CE1225" i="489"/>
  <c r="CE1226" i="489"/>
  <c r="CE1227" i="489"/>
  <c r="CE1230" i="489"/>
  <c r="CE1181" i="489"/>
  <c r="CE1182" i="489"/>
  <c r="CE1183" i="489"/>
  <c r="CE1232" i="489"/>
  <c r="CE1233" i="489"/>
  <c r="CE1229" i="489"/>
  <c r="CE1231" i="489"/>
  <c r="CE1184" i="489"/>
  <c r="CE1185" i="489"/>
  <c r="CE1186" i="489"/>
  <c r="CE1187" i="489"/>
  <c r="CE1188" i="489"/>
  <c r="CE1189" i="489"/>
  <c r="CE1191" i="489"/>
  <c r="CE1192" i="489"/>
  <c r="CE1193" i="489"/>
  <c r="CE1194" i="489"/>
  <c r="CE1195" i="489"/>
  <c r="CE1196" i="489"/>
  <c r="CE1197" i="489"/>
  <c r="CE1198" i="489"/>
  <c r="CE1199" i="489"/>
  <c r="CE1201" i="489"/>
  <c r="CE1202" i="489"/>
  <c r="CE1203" i="489"/>
  <c r="CE1204" i="489"/>
  <c r="CE1205" i="489"/>
  <c r="CQ1242" i="489"/>
  <c r="CQ1243" i="489"/>
  <c r="CQ1244" i="489"/>
  <c r="CQ1245" i="489"/>
  <c r="CQ1239" i="489"/>
  <c r="CQ1248" i="489"/>
  <c r="CQ1240" i="489"/>
  <c r="CQ1238" i="489"/>
  <c r="CQ1253" i="489"/>
  <c r="CQ1254" i="489"/>
  <c r="CQ1241" i="489"/>
  <c r="CQ1249" i="489"/>
  <c r="CQ1255" i="489"/>
  <c r="CQ1258" i="489"/>
  <c r="CQ1259" i="489"/>
  <c r="CQ1260" i="489"/>
  <c r="CQ1261" i="489"/>
  <c r="CQ1210" i="489"/>
  <c r="CQ1252" i="489"/>
  <c r="CQ1257" i="489"/>
  <c r="CQ1211" i="489"/>
  <c r="CQ1213" i="489"/>
  <c r="CQ1212" i="489"/>
  <c r="CQ1217" i="489"/>
  <c r="CQ1219" i="489"/>
  <c r="CQ1220" i="489"/>
  <c r="CQ1221" i="489"/>
  <c r="CQ1216" i="489"/>
  <c r="CQ1224" i="489"/>
  <c r="CQ1225" i="489"/>
  <c r="CQ1226" i="489"/>
  <c r="CQ1227" i="489"/>
  <c r="CQ1232" i="489"/>
  <c r="CQ1233" i="489"/>
  <c r="CQ1181" i="489"/>
  <c r="CQ1182" i="489"/>
  <c r="CQ1231" i="489"/>
  <c r="CQ1230" i="489"/>
  <c r="CQ1229" i="489"/>
  <c r="CQ1183" i="489"/>
  <c r="CQ1184" i="489"/>
  <c r="CQ1185" i="489"/>
  <c r="CQ1186" i="489"/>
  <c r="CQ1187" i="489"/>
  <c r="CQ1188" i="489"/>
  <c r="CQ1189" i="489"/>
  <c r="CQ1192" i="489"/>
  <c r="CQ1193" i="489"/>
  <c r="CQ1194" i="489"/>
  <c r="CQ1196" i="489"/>
  <c r="CQ1198" i="489"/>
  <c r="CQ1199" i="489"/>
  <c r="CQ1201" i="489"/>
  <c r="CQ1202" i="489"/>
  <c r="CQ1203" i="489"/>
  <c r="CQ1204" i="489"/>
  <c r="CQ1205" i="489"/>
  <c r="CQ1197" i="489"/>
  <c r="DC1240" i="489"/>
  <c r="DC1241" i="489"/>
  <c r="DC1242" i="489"/>
  <c r="DC1243" i="489"/>
  <c r="DC1244" i="489"/>
  <c r="DC1245" i="489"/>
  <c r="DC1252" i="489"/>
  <c r="DC1251" i="489"/>
  <c r="DC1253" i="489"/>
  <c r="DC1254" i="489"/>
  <c r="DC1258" i="489"/>
  <c r="DC1259" i="489"/>
  <c r="DC1260" i="489"/>
  <c r="DC1261" i="489"/>
  <c r="DC1257" i="489"/>
  <c r="DC1255" i="489"/>
  <c r="DC1213" i="489"/>
  <c r="DC1214" i="489"/>
  <c r="DC1215" i="489"/>
  <c r="DC1223" i="489"/>
  <c r="DC1216" i="489"/>
  <c r="DC1217" i="489"/>
  <c r="DC1224" i="489"/>
  <c r="DC1225" i="489"/>
  <c r="DC1226" i="489"/>
  <c r="DC1227" i="489"/>
  <c r="DC1230" i="489"/>
  <c r="DC1229" i="489"/>
  <c r="DC1232" i="489"/>
  <c r="DC1231" i="489"/>
  <c r="DC1233" i="489"/>
  <c r="DC1184" i="489"/>
  <c r="DC1185" i="489"/>
  <c r="DC1186" i="489"/>
  <c r="DC1187" i="489"/>
  <c r="DC1188" i="489"/>
  <c r="DC1189" i="489"/>
  <c r="DC1195" i="489"/>
  <c r="DC1196" i="489"/>
  <c r="DC1197" i="489"/>
  <c r="DC1198" i="489"/>
  <c r="DC1199" i="489"/>
  <c r="DC1201" i="489"/>
  <c r="DC1202" i="489"/>
  <c r="DC1203" i="489"/>
  <c r="DC1204" i="489"/>
  <c r="DC1205" i="489"/>
  <c r="DO1243" i="489"/>
  <c r="DO1237" i="489"/>
  <c r="DO1238" i="489"/>
  <c r="DO1239" i="489"/>
  <c r="DO1240" i="489"/>
  <c r="DO1241" i="489"/>
  <c r="DO1244" i="489"/>
  <c r="DO1245" i="489"/>
  <c r="DO1247" i="489"/>
  <c r="DO1248" i="489"/>
  <c r="DO1242" i="489"/>
  <c r="DO1249" i="489"/>
  <c r="DO1250" i="489"/>
  <c r="DO1253" i="489"/>
  <c r="DO1254" i="489"/>
  <c r="DO1258" i="489"/>
  <c r="DO1259" i="489"/>
  <c r="DO1260" i="489"/>
  <c r="DO1261" i="489"/>
  <c r="DO1252" i="489"/>
  <c r="DO1255" i="489"/>
  <c r="DO1257" i="489"/>
  <c r="DO1209" i="489"/>
  <c r="DO1210" i="489"/>
  <c r="DO1251" i="489"/>
  <c r="DO1213" i="489"/>
  <c r="DO1214" i="489"/>
  <c r="DO1215" i="489"/>
  <c r="DO1211" i="489"/>
  <c r="DO1219" i="489"/>
  <c r="DO1220" i="489"/>
  <c r="DO1221" i="489"/>
  <c r="DO1222" i="489"/>
  <c r="DO1223" i="489"/>
  <c r="DO1217" i="489"/>
  <c r="DO1212" i="489"/>
  <c r="DO1216" i="489"/>
  <c r="DO1224" i="489"/>
  <c r="DO1225" i="489"/>
  <c r="DO1226" i="489"/>
  <c r="DO1227" i="489"/>
  <c r="DO1231" i="489"/>
  <c r="DO1232" i="489"/>
  <c r="DO1233" i="489"/>
  <c r="DO1181" i="489"/>
  <c r="DO1182" i="489"/>
  <c r="DO1229" i="489"/>
  <c r="DO1230" i="489"/>
  <c r="DO1183" i="489"/>
  <c r="DO1184" i="489"/>
  <c r="DO1185" i="489"/>
  <c r="DO1186" i="489"/>
  <c r="DO1187" i="489"/>
  <c r="DO1188" i="489"/>
  <c r="DO1189" i="489"/>
  <c r="DO1191" i="489"/>
  <c r="DO1192" i="489"/>
  <c r="DO1193" i="489"/>
  <c r="DO1194" i="489"/>
  <c r="DO1195" i="489"/>
  <c r="DO1196" i="489"/>
  <c r="DO1197" i="489"/>
  <c r="DO1198" i="489"/>
  <c r="DO1199" i="489"/>
  <c r="DO1201" i="489"/>
  <c r="DO1202" i="489"/>
  <c r="DO1203" i="489"/>
  <c r="DO1204" i="489"/>
  <c r="DO1205" i="489"/>
  <c r="EC1237" i="489"/>
  <c r="EC1238" i="489"/>
  <c r="EC1239" i="489"/>
  <c r="EC1240" i="489"/>
  <c r="EC1241" i="489"/>
  <c r="EC1242" i="489"/>
  <c r="EC1243" i="489"/>
  <c r="EC1244" i="489"/>
  <c r="EC1245" i="489"/>
  <c r="EC1247" i="489"/>
  <c r="EC1248" i="489"/>
  <c r="EC1249" i="489"/>
  <c r="EC1250" i="489"/>
  <c r="EC1255" i="489"/>
  <c r="EC1252" i="489"/>
  <c r="EC1258" i="489"/>
  <c r="EC1253" i="489"/>
  <c r="EC1254" i="489"/>
  <c r="EC1257" i="489"/>
  <c r="EC1260" i="489"/>
  <c r="EC1251" i="489"/>
  <c r="EC1259" i="489"/>
  <c r="EC1212" i="489"/>
  <c r="EC1211" i="489"/>
  <c r="EC1213" i="489"/>
  <c r="EC1209" i="489"/>
  <c r="EC1210" i="489"/>
  <c r="EC1261" i="489"/>
  <c r="EC1214" i="489"/>
  <c r="EC1215" i="489"/>
  <c r="EC1216" i="489"/>
  <c r="EC1217" i="489"/>
  <c r="EC1219" i="489"/>
  <c r="EC1220" i="489"/>
  <c r="EC1221" i="489"/>
  <c r="EC1222" i="489"/>
  <c r="EC1223" i="489"/>
  <c r="EC1224" i="489"/>
  <c r="EC1225" i="489"/>
  <c r="EC1226" i="489"/>
  <c r="EC1227" i="489"/>
  <c r="EC1229" i="489"/>
  <c r="EC1230" i="489"/>
  <c r="EC1232" i="489"/>
  <c r="EC1233" i="489"/>
  <c r="EC1181" i="489"/>
  <c r="EC1182" i="489"/>
  <c r="EC1231" i="489"/>
  <c r="EC1183" i="489"/>
  <c r="EC1184" i="489"/>
  <c r="EC1185" i="489"/>
  <c r="EC1186" i="489"/>
  <c r="EC1187" i="489"/>
  <c r="EC1188" i="489"/>
  <c r="EC1189" i="489"/>
  <c r="EC1191" i="489"/>
  <c r="EC1192" i="489"/>
  <c r="EC1193" i="489"/>
  <c r="EC1194" i="489"/>
  <c r="EC1195" i="489"/>
  <c r="EC1196" i="489"/>
  <c r="EC1197" i="489"/>
  <c r="EC1198" i="489"/>
  <c r="EC1199" i="489"/>
  <c r="EC1201" i="489"/>
  <c r="EC1202" i="489"/>
  <c r="EC1203" i="489"/>
  <c r="EC1204" i="489"/>
  <c r="EC1205" i="489"/>
  <c r="EO1237" i="489"/>
  <c r="EO1238" i="489"/>
  <c r="EO1239" i="489"/>
  <c r="EO1240" i="489"/>
  <c r="EO1241" i="489"/>
  <c r="EO1242" i="489"/>
  <c r="EO1243" i="489"/>
  <c r="EO1244" i="489"/>
  <c r="EO1245" i="489"/>
  <c r="EO1247" i="489"/>
  <c r="EO1248" i="489"/>
  <c r="EO1249" i="489"/>
  <c r="EO1250" i="489"/>
  <c r="EO1253" i="489"/>
  <c r="EO1254" i="489"/>
  <c r="EO1251" i="489"/>
  <c r="EO1258" i="489"/>
  <c r="EO1255" i="489"/>
  <c r="EO1257" i="489"/>
  <c r="EO1252" i="489"/>
  <c r="EO1261" i="489"/>
  <c r="EO1259" i="489"/>
  <c r="EO1209" i="489"/>
  <c r="EO1210" i="489"/>
  <c r="EO1212" i="489"/>
  <c r="EO1214" i="489"/>
  <c r="EO1215" i="489"/>
  <c r="EO1216" i="489"/>
  <c r="EO1260" i="489"/>
  <c r="EO1211" i="489"/>
  <c r="EO1213" i="489"/>
  <c r="EO1219" i="489"/>
  <c r="EO1220" i="489"/>
  <c r="EO1221" i="489"/>
  <c r="EO1222" i="489"/>
  <c r="EO1217" i="489"/>
  <c r="EO1224" i="489"/>
  <c r="EO1225" i="489"/>
  <c r="EO1226" i="489"/>
  <c r="EO1227" i="489"/>
  <c r="EO1229" i="489"/>
  <c r="EO1223" i="489"/>
  <c r="EO1232" i="489"/>
  <c r="EO1233" i="489"/>
  <c r="EO1181" i="489"/>
  <c r="EO1182" i="489"/>
  <c r="EO1230" i="489"/>
  <c r="EO1231" i="489"/>
  <c r="EO1183" i="489"/>
  <c r="EO1184" i="489"/>
  <c r="EO1185" i="489"/>
  <c r="EO1186" i="489"/>
  <c r="EO1187" i="489"/>
  <c r="EO1188" i="489"/>
  <c r="EO1189" i="489"/>
  <c r="EO1191" i="489"/>
  <c r="EO1192" i="489"/>
  <c r="EO1193" i="489"/>
  <c r="EO1194" i="489"/>
  <c r="EO1195" i="489"/>
  <c r="EO1196" i="489"/>
  <c r="EO1197" i="489"/>
  <c r="EO1198" i="489"/>
  <c r="EO1199" i="489"/>
  <c r="EO1201" i="489"/>
  <c r="EO1202" i="489"/>
  <c r="EO1203" i="489"/>
  <c r="EO1204" i="489"/>
  <c r="EO1205" i="489"/>
  <c r="K1237" i="489"/>
  <c r="K1238" i="489"/>
  <c r="K1239" i="489"/>
  <c r="K1240" i="489"/>
  <c r="K1241" i="489"/>
  <c r="K1242" i="489"/>
  <c r="K1245" i="489"/>
  <c r="K1247" i="489"/>
  <c r="K1248" i="489"/>
  <c r="K1244" i="489"/>
  <c r="K1249" i="489"/>
  <c r="K1243" i="489"/>
  <c r="K1252" i="489"/>
  <c r="K1253" i="489"/>
  <c r="K1254" i="489"/>
  <c r="K1255" i="489"/>
  <c r="K1258" i="489"/>
  <c r="K1259" i="489"/>
  <c r="K1260" i="489"/>
  <c r="K1261" i="489"/>
  <c r="K1251" i="489"/>
  <c r="K1257" i="489"/>
  <c r="K1209" i="489"/>
  <c r="K1210" i="489"/>
  <c r="K1211" i="489"/>
  <c r="K1250" i="489"/>
  <c r="K1212" i="489"/>
  <c r="K1213" i="489"/>
  <c r="K1215" i="489"/>
  <c r="K1216" i="489"/>
  <c r="K1214" i="489"/>
  <c r="K1219" i="489"/>
  <c r="K1220" i="489"/>
  <c r="K1221" i="489"/>
  <c r="K1222" i="489"/>
  <c r="K1223" i="489"/>
  <c r="K1224" i="489"/>
  <c r="K1217" i="489"/>
  <c r="K1225" i="489"/>
  <c r="K1226" i="489"/>
  <c r="K1227" i="489"/>
  <c r="K1229" i="489"/>
  <c r="K1181" i="489"/>
  <c r="K1182" i="489"/>
  <c r="K1183" i="489"/>
  <c r="K1232" i="489"/>
  <c r="K1230" i="489"/>
  <c r="K1233" i="489"/>
  <c r="K1231" i="489"/>
  <c r="K1184" i="489"/>
  <c r="K1185" i="489"/>
  <c r="K1186" i="489"/>
  <c r="K1187" i="489"/>
  <c r="K1188" i="489"/>
  <c r="K1189" i="489"/>
  <c r="K1191" i="489"/>
  <c r="K1192" i="489"/>
  <c r="K1194" i="489"/>
  <c r="K1195" i="489"/>
  <c r="K1196" i="489"/>
  <c r="K1197" i="489"/>
  <c r="K1198" i="489"/>
  <c r="K1199" i="489"/>
  <c r="K1201" i="489"/>
  <c r="K1202" i="489"/>
  <c r="K1203" i="489"/>
  <c r="K1204" i="489"/>
  <c r="K1205" i="489"/>
  <c r="W1243" i="489"/>
  <c r="W1237" i="489"/>
  <c r="W1238" i="489"/>
  <c r="W1239" i="489"/>
  <c r="W1240" i="489"/>
  <c r="W1241" i="489"/>
  <c r="W1242" i="489"/>
  <c r="W1244" i="489"/>
  <c r="W1245" i="489"/>
  <c r="W1247" i="489"/>
  <c r="W1248" i="489"/>
  <c r="W1249" i="489"/>
  <c r="W1250" i="489"/>
  <c r="W1251" i="489"/>
  <c r="W1254" i="489"/>
  <c r="W1255" i="489"/>
  <c r="W1253" i="489"/>
  <c r="W1252" i="489"/>
  <c r="W1257" i="489"/>
  <c r="W1258" i="489"/>
  <c r="W1259" i="489"/>
  <c r="W1260" i="489"/>
  <c r="W1261" i="489"/>
  <c r="W1209" i="489"/>
  <c r="W1210" i="489"/>
  <c r="W1211" i="489"/>
  <c r="W1214" i="489"/>
  <c r="W1215" i="489"/>
  <c r="W1212" i="489"/>
  <c r="W1219" i="489"/>
  <c r="W1220" i="489"/>
  <c r="W1221" i="489"/>
  <c r="W1222" i="489"/>
  <c r="W1223" i="489"/>
  <c r="W1213" i="489"/>
  <c r="W1217" i="489"/>
  <c r="W1216" i="489"/>
  <c r="W1224" i="489"/>
  <c r="W1225" i="489"/>
  <c r="W1226" i="489"/>
  <c r="W1227" i="489"/>
  <c r="W1229" i="489"/>
  <c r="W1230" i="489"/>
  <c r="W1232" i="489"/>
  <c r="W1182" i="489"/>
  <c r="W1183" i="489"/>
  <c r="W1231" i="489"/>
  <c r="W1233" i="489"/>
  <c r="W1184" i="489"/>
  <c r="W1185" i="489"/>
  <c r="W1186" i="489"/>
  <c r="W1187" i="489"/>
  <c r="W1188" i="489"/>
  <c r="W1189" i="489"/>
  <c r="W1191" i="489"/>
  <c r="W1192" i="489"/>
  <c r="W1193" i="489"/>
  <c r="W1194" i="489"/>
  <c r="W1195" i="489"/>
  <c r="W1196" i="489"/>
  <c r="W1197" i="489"/>
  <c r="W1198" i="489"/>
  <c r="W1199" i="489"/>
  <c r="W1201" i="489"/>
  <c r="W1202" i="489"/>
  <c r="W1203" i="489"/>
  <c r="W1204" i="489"/>
  <c r="W1205" i="489"/>
  <c r="AJ1237" i="489"/>
  <c r="AJ1240" i="489"/>
  <c r="AJ1241" i="489"/>
  <c r="AJ1243" i="489"/>
  <c r="AJ1249" i="489"/>
  <c r="AJ1250" i="489"/>
  <c r="AJ1251" i="489"/>
  <c r="AJ1245" i="489"/>
  <c r="AJ1254" i="489"/>
  <c r="AJ1255" i="489"/>
  <c r="AJ1244" i="489"/>
  <c r="AJ1247" i="489"/>
  <c r="AJ1248" i="489"/>
  <c r="AJ1257" i="489"/>
  <c r="AJ1253" i="489"/>
  <c r="AJ1252" i="489"/>
  <c r="AJ1260" i="489"/>
  <c r="AJ1258" i="489"/>
  <c r="AJ1209" i="489"/>
  <c r="AJ1210" i="489"/>
  <c r="AJ1211" i="489"/>
  <c r="AJ1213" i="489"/>
  <c r="AJ1259" i="489"/>
  <c r="AJ1214" i="489"/>
  <c r="AJ1215" i="489"/>
  <c r="AJ1216" i="489"/>
  <c r="AJ1261" i="489"/>
  <c r="AJ1219" i="489"/>
  <c r="AJ1220" i="489"/>
  <c r="AJ1221" i="489"/>
  <c r="AJ1222" i="489"/>
  <c r="AJ1217" i="489"/>
  <c r="AJ1212" i="489"/>
  <c r="AJ1223" i="489"/>
  <c r="AJ1224" i="489"/>
  <c r="AJ1225" i="489"/>
  <c r="AJ1226" i="489"/>
  <c r="AJ1227" i="489"/>
  <c r="AJ1229" i="489"/>
  <c r="AJ1230" i="489"/>
  <c r="AJ1232" i="489"/>
  <c r="AJ1231" i="489"/>
  <c r="AJ1181" i="489"/>
  <c r="AJ1182" i="489"/>
  <c r="AJ1183" i="489"/>
  <c r="AJ1233" i="489"/>
  <c r="AJ1184" i="489"/>
  <c r="AJ1186" i="489"/>
  <c r="AJ1187" i="489"/>
  <c r="AJ1188" i="489"/>
  <c r="AJ1189" i="489"/>
  <c r="AJ1191" i="489"/>
  <c r="AJ1192" i="489"/>
  <c r="AJ1193" i="489"/>
  <c r="AJ1194" i="489"/>
  <c r="AJ1195" i="489"/>
  <c r="AJ1196" i="489"/>
  <c r="AJ1197" i="489"/>
  <c r="AJ1198" i="489"/>
  <c r="AJ1199" i="489"/>
  <c r="AJ1201" i="489"/>
  <c r="AJ1202" i="489"/>
  <c r="AJ1203" i="489"/>
  <c r="AJ1204" i="489"/>
  <c r="AJ1205" i="489"/>
  <c r="AV1237" i="489"/>
  <c r="AV1238" i="489"/>
  <c r="AV1239" i="489"/>
  <c r="AV1240" i="489"/>
  <c r="AV1241" i="489"/>
  <c r="AV1242" i="489"/>
  <c r="AV1243" i="489"/>
  <c r="AV1249" i="489"/>
  <c r="AV1250" i="489"/>
  <c r="AV1251" i="489"/>
  <c r="AV1244" i="489"/>
  <c r="AV1245" i="489"/>
  <c r="AV1248" i="489"/>
  <c r="AV1254" i="489"/>
  <c r="AV1255" i="489"/>
  <c r="AV1247" i="489"/>
  <c r="AV1252" i="489"/>
  <c r="AV1253" i="489"/>
  <c r="AV1257" i="489"/>
  <c r="AV1259" i="489"/>
  <c r="AV1261" i="489"/>
  <c r="AV1212" i="489"/>
  <c r="AV1209" i="489"/>
  <c r="AV1210" i="489"/>
  <c r="AV1211" i="489"/>
  <c r="AV1260" i="489"/>
  <c r="AV1213" i="489"/>
  <c r="AV1214" i="489"/>
  <c r="AV1215" i="489"/>
  <c r="AV1216" i="489"/>
  <c r="AV1219" i="489"/>
  <c r="AV1220" i="489"/>
  <c r="AV1221" i="489"/>
  <c r="AV1222" i="489"/>
  <c r="AV1258" i="489"/>
  <c r="AV1217" i="489"/>
  <c r="AV1223" i="489"/>
  <c r="AV1224" i="489"/>
  <c r="AV1225" i="489"/>
  <c r="AV1226" i="489"/>
  <c r="AV1227" i="489"/>
  <c r="AV1229" i="489"/>
  <c r="AV1230" i="489"/>
  <c r="AV1231" i="489"/>
  <c r="AV1181" i="489"/>
  <c r="AV1182" i="489"/>
  <c r="AV1183" i="489"/>
  <c r="AV1233" i="489"/>
  <c r="AV1232" i="489"/>
  <c r="AV1184" i="489"/>
  <c r="AV1185" i="489"/>
  <c r="AV1186" i="489"/>
  <c r="AV1187" i="489"/>
  <c r="AV1188" i="489"/>
  <c r="AV1189" i="489"/>
  <c r="AV1191" i="489"/>
  <c r="AV1192" i="489"/>
  <c r="AV1193" i="489"/>
  <c r="AV1194" i="489"/>
  <c r="AV1195" i="489"/>
  <c r="AV1196" i="489"/>
  <c r="AV1197" i="489"/>
  <c r="AV1198" i="489"/>
  <c r="AV1199" i="489"/>
  <c r="AV1201" i="489"/>
  <c r="AV1202" i="489"/>
  <c r="AV1203" i="489"/>
  <c r="AV1204" i="489"/>
  <c r="AV1205" i="489"/>
  <c r="BH1237" i="489"/>
  <c r="BH1238" i="489"/>
  <c r="BH1239" i="489"/>
  <c r="BH1240" i="489"/>
  <c r="BH1241" i="489"/>
  <c r="BH1242" i="489"/>
  <c r="BH1243" i="489"/>
  <c r="BH1247" i="489"/>
  <c r="BH1248" i="489"/>
  <c r="BH1249" i="489"/>
  <c r="BH1250" i="489"/>
  <c r="BH1251" i="489"/>
  <c r="BH1254" i="489"/>
  <c r="BH1255" i="489"/>
  <c r="BH1245" i="489"/>
  <c r="BH1244" i="489"/>
  <c r="BH1257" i="489"/>
  <c r="BH1253" i="489"/>
  <c r="BH1252" i="489"/>
  <c r="BH1258" i="489"/>
  <c r="BH1213" i="489"/>
  <c r="BH1214" i="489"/>
  <c r="BH1215" i="489"/>
  <c r="BH1216" i="489"/>
  <c r="BH1209" i="489"/>
  <c r="BH1210" i="489"/>
  <c r="BH1211" i="489"/>
  <c r="BH1260" i="489"/>
  <c r="BH1212" i="489"/>
  <c r="BH1259" i="489"/>
  <c r="BH1219" i="489"/>
  <c r="BH1220" i="489"/>
  <c r="BH1221" i="489"/>
  <c r="BH1222" i="489"/>
  <c r="BH1261" i="489"/>
  <c r="BH1217" i="489"/>
  <c r="BH1223" i="489"/>
  <c r="BH1224" i="489"/>
  <c r="BH1225" i="489"/>
  <c r="BH1226" i="489"/>
  <c r="BH1227" i="489"/>
  <c r="BH1229" i="489"/>
  <c r="BH1230" i="489"/>
  <c r="BH1181" i="489"/>
  <c r="BH1182" i="489"/>
  <c r="BH1183" i="489"/>
  <c r="BH1233" i="489"/>
  <c r="BH1231" i="489"/>
  <c r="BH1232" i="489"/>
  <c r="BH1184" i="489"/>
  <c r="BH1185" i="489"/>
  <c r="BH1186" i="489"/>
  <c r="BH1187" i="489"/>
  <c r="BH1188" i="489"/>
  <c r="BH1189" i="489"/>
  <c r="BH1191" i="489"/>
  <c r="BH1192" i="489"/>
  <c r="BH1193" i="489"/>
  <c r="BH1194" i="489"/>
  <c r="BH1195" i="489"/>
  <c r="BH1196" i="489"/>
  <c r="BH1197" i="489"/>
  <c r="BH1198" i="489"/>
  <c r="BH1199" i="489"/>
  <c r="BH1201" i="489"/>
  <c r="BH1202" i="489"/>
  <c r="BH1203" i="489"/>
  <c r="BH1204" i="489"/>
  <c r="BH1205" i="489"/>
  <c r="BT1237" i="489"/>
  <c r="BT1238" i="489"/>
  <c r="BT1239" i="489"/>
  <c r="BT1240" i="489"/>
  <c r="BT1241" i="489"/>
  <c r="BT1242" i="489"/>
  <c r="BT1243" i="489"/>
  <c r="BT1248" i="489"/>
  <c r="BT1249" i="489"/>
  <c r="BT1250" i="489"/>
  <c r="BT1251" i="489"/>
  <c r="BT1244" i="489"/>
  <c r="BT1254" i="489"/>
  <c r="BT1255" i="489"/>
  <c r="BT1247" i="489"/>
  <c r="BT1245" i="489"/>
  <c r="BT1257" i="489"/>
  <c r="BT1252" i="489"/>
  <c r="BT1259" i="489"/>
  <c r="BT1260" i="489"/>
  <c r="BT1253" i="489"/>
  <c r="BT1258" i="489"/>
  <c r="BT1209" i="489"/>
  <c r="BT1210" i="489"/>
  <c r="BT1213" i="489"/>
  <c r="BT1214" i="489"/>
  <c r="BT1215" i="489"/>
  <c r="BT1216" i="489"/>
  <c r="BT1261" i="489"/>
  <c r="BT1219" i="489"/>
  <c r="BT1220" i="489"/>
  <c r="BT1221" i="489"/>
  <c r="BT1217" i="489"/>
  <c r="BT1223" i="489"/>
  <c r="BT1224" i="489"/>
  <c r="BT1225" i="489"/>
  <c r="BT1226" i="489"/>
  <c r="BT1227" i="489"/>
  <c r="BT1229" i="489"/>
  <c r="BT1230" i="489"/>
  <c r="BT1231" i="489"/>
  <c r="BT1181" i="489"/>
  <c r="BT1183" i="489"/>
  <c r="BT1233" i="489"/>
  <c r="BT1232" i="489"/>
  <c r="BT1184" i="489"/>
  <c r="BT1185" i="489"/>
  <c r="BT1186" i="489"/>
  <c r="BT1187" i="489"/>
  <c r="BT1188" i="489"/>
  <c r="BT1189" i="489"/>
  <c r="BT1191" i="489"/>
  <c r="BT1192" i="489"/>
  <c r="BT1193" i="489"/>
  <c r="BT1194" i="489"/>
  <c r="BT1195" i="489"/>
  <c r="BT1196" i="489"/>
  <c r="BT1197" i="489"/>
  <c r="BT1198" i="489"/>
  <c r="BT1199" i="489"/>
  <c r="BT1201" i="489"/>
  <c r="BT1202" i="489"/>
  <c r="BT1203" i="489"/>
  <c r="BT1204" i="489"/>
  <c r="BT1205" i="489"/>
  <c r="CF1240" i="489"/>
  <c r="CF1241" i="489"/>
  <c r="CF1242" i="489"/>
  <c r="CF1243" i="489"/>
  <c r="CF1244" i="489"/>
  <c r="CF1252" i="489"/>
  <c r="CF1253" i="489"/>
  <c r="CF1254" i="489"/>
  <c r="CF1255" i="489"/>
  <c r="CF1245" i="489"/>
  <c r="CF1258" i="489"/>
  <c r="CF1261" i="489"/>
  <c r="CF1251" i="489"/>
  <c r="CF1213" i="489"/>
  <c r="CF1212" i="489"/>
  <c r="CF1260" i="489"/>
  <c r="CF1257" i="489"/>
  <c r="CF1214" i="489"/>
  <c r="CF1215" i="489"/>
  <c r="CF1216" i="489"/>
  <c r="CF1222" i="489"/>
  <c r="CF1259" i="489"/>
  <c r="CF1217" i="489"/>
  <c r="CF1223" i="489"/>
  <c r="CF1224" i="489"/>
  <c r="CF1225" i="489"/>
  <c r="CF1226" i="489"/>
  <c r="CF1227" i="489"/>
  <c r="CF1229" i="489"/>
  <c r="CF1230" i="489"/>
  <c r="CF1231" i="489"/>
  <c r="CF1232" i="489"/>
  <c r="CF1233" i="489"/>
  <c r="CF1183" i="489"/>
  <c r="CF1184" i="489"/>
  <c r="CF1185" i="489"/>
  <c r="CF1186" i="489"/>
  <c r="CF1187" i="489"/>
  <c r="CF1188" i="489"/>
  <c r="CF1189" i="489"/>
  <c r="CF1194" i="489"/>
  <c r="CF1195" i="489"/>
  <c r="CF1196" i="489"/>
  <c r="CF1197" i="489"/>
  <c r="CF1198" i="489"/>
  <c r="CF1199" i="489"/>
  <c r="CF1201" i="489"/>
  <c r="CF1202" i="489"/>
  <c r="CF1203" i="489"/>
  <c r="CF1204" i="489"/>
  <c r="CF1205" i="489"/>
  <c r="CR1237" i="489"/>
  <c r="CR1238" i="489"/>
  <c r="CR1239" i="489"/>
  <c r="CR1240" i="489"/>
  <c r="CR1241" i="489"/>
  <c r="CR1242" i="489"/>
  <c r="CR1243" i="489"/>
  <c r="CR1249" i="489"/>
  <c r="CR1250" i="489"/>
  <c r="CR1244" i="489"/>
  <c r="CR1245" i="489"/>
  <c r="CR1248" i="489"/>
  <c r="CR1247" i="489"/>
  <c r="CR1251" i="489"/>
  <c r="CR1253" i="489"/>
  <c r="CR1254" i="489"/>
  <c r="CR1255" i="489"/>
  <c r="CR1257" i="489"/>
  <c r="CR1261" i="489"/>
  <c r="CR1209" i="489"/>
  <c r="CR1210" i="489"/>
  <c r="CR1252" i="489"/>
  <c r="CR1259" i="489"/>
  <c r="CR1211" i="489"/>
  <c r="CR1260" i="489"/>
  <c r="CR1213" i="489"/>
  <c r="CR1214" i="489"/>
  <c r="CR1215" i="489"/>
  <c r="CR1216" i="489"/>
  <c r="CR1258" i="489"/>
  <c r="CR1212" i="489"/>
  <c r="CR1217" i="489"/>
  <c r="CR1219" i="489"/>
  <c r="CR1220" i="489"/>
  <c r="CR1221" i="489"/>
  <c r="CR1222" i="489"/>
  <c r="CR1223" i="489"/>
  <c r="CR1224" i="489"/>
  <c r="CR1225" i="489"/>
  <c r="CR1226" i="489"/>
  <c r="CR1227" i="489"/>
  <c r="CR1229" i="489"/>
  <c r="CR1230" i="489"/>
  <c r="CR1232" i="489"/>
  <c r="CR1233" i="489"/>
  <c r="CR1181" i="489"/>
  <c r="CR1182" i="489"/>
  <c r="CR1231" i="489"/>
  <c r="CR1183" i="489"/>
  <c r="CR1184" i="489"/>
  <c r="CR1185" i="489"/>
  <c r="CR1186" i="489"/>
  <c r="CR1187" i="489"/>
  <c r="CR1188" i="489"/>
  <c r="CR1189" i="489"/>
  <c r="CR1191" i="489"/>
  <c r="CR1192" i="489"/>
  <c r="CR1193" i="489"/>
  <c r="CR1194" i="489"/>
  <c r="CR1195" i="489"/>
  <c r="CR1196" i="489"/>
  <c r="CR1197" i="489"/>
  <c r="CR1198" i="489"/>
  <c r="CR1199" i="489"/>
  <c r="CR1201" i="489"/>
  <c r="CR1202" i="489"/>
  <c r="CR1203" i="489"/>
  <c r="CR1204" i="489"/>
  <c r="CR1205" i="489"/>
  <c r="DD1238" i="489"/>
  <c r="DD1239" i="489"/>
  <c r="DD1240" i="489"/>
  <c r="DD1241" i="489"/>
  <c r="DD1242" i="489"/>
  <c r="DD1243" i="489"/>
  <c r="DD1250" i="489"/>
  <c r="DD1248" i="489"/>
  <c r="DD1245" i="489"/>
  <c r="DD1244" i="489"/>
  <c r="DD1253" i="489"/>
  <c r="DD1254" i="489"/>
  <c r="DD1255" i="489"/>
  <c r="DD1247" i="489"/>
  <c r="DD1251" i="489"/>
  <c r="DD1257" i="489"/>
  <c r="DD1259" i="489"/>
  <c r="DD1260" i="489"/>
  <c r="DD1252" i="489"/>
  <c r="DD1261" i="489"/>
  <c r="DD1258" i="489"/>
  <c r="DD1211" i="489"/>
  <c r="DD1210" i="489"/>
  <c r="DD1214" i="489"/>
  <c r="DD1215" i="489"/>
  <c r="DD1216" i="489"/>
  <c r="DD1219" i="489"/>
  <c r="DD1220" i="489"/>
  <c r="DD1221" i="489"/>
  <c r="DD1222" i="489"/>
  <c r="DD1212" i="489"/>
  <c r="DD1213" i="489"/>
  <c r="DD1217" i="489"/>
  <c r="DD1223" i="489"/>
  <c r="DD1224" i="489"/>
  <c r="DD1225" i="489"/>
  <c r="DD1226" i="489"/>
  <c r="DD1227" i="489"/>
  <c r="DD1229" i="489"/>
  <c r="DD1230" i="489"/>
  <c r="DD1232" i="489"/>
  <c r="DD1231" i="489"/>
  <c r="DD1233" i="489"/>
  <c r="DD1181" i="489"/>
  <c r="DD1182" i="489"/>
  <c r="DD1183" i="489"/>
  <c r="DD1184" i="489"/>
  <c r="DD1185" i="489"/>
  <c r="DD1186" i="489"/>
  <c r="DD1187" i="489"/>
  <c r="DD1188" i="489"/>
  <c r="DD1189" i="489"/>
  <c r="DD1191" i="489"/>
  <c r="DD1192" i="489"/>
  <c r="DD1194" i="489"/>
  <c r="DD1195" i="489"/>
  <c r="DD1196" i="489"/>
  <c r="DD1197" i="489"/>
  <c r="DD1198" i="489"/>
  <c r="DD1199" i="489"/>
  <c r="DD1201" i="489"/>
  <c r="DD1202" i="489"/>
  <c r="DD1203" i="489"/>
  <c r="DD1204" i="489"/>
  <c r="DD1205" i="489"/>
  <c r="DP1237" i="489"/>
  <c r="DP1238" i="489"/>
  <c r="DP1239" i="489"/>
  <c r="DP1240" i="489"/>
  <c r="DP1241" i="489"/>
  <c r="DP1242" i="489"/>
  <c r="DP1243" i="489"/>
  <c r="DP1249" i="489"/>
  <c r="DP1250" i="489"/>
  <c r="DP1247" i="489"/>
  <c r="DP1245" i="489"/>
  <c r="DP1248" i="489"/>
  <c r="DP1253" i="489"/>
  <c r="DP1254" i="489"/>
  <c r="DP1255" i="489"/>
  <c r="DP1244" i="489"/>
  <c r="DP1251" i="489"/>
  <c r="DP1252" i="489"/>
  <c r="DP1257" i="489"/>
  <c r="DP1261" i="489"/>
  <c r="DP1259" i="489"/>
  <c r="DP1212" i="489"/>
  <c r="DP1260" i="489"/>
  <c r="DP1213" i="489"/>
  <c r="DP1211" i="489"/>
  <c r="DP1214" i="489"/>
  <c r="DP1215" i="489"/>
  <c r="DP1216" i="489"/>
  <c r="DP1209" i="489"/>
  <c r="DP1210" i="489"/>
  <c r="DP1219" i="489"/>
  <c r="DP1220" i="489"/>
  <c r="DP1221" i="489"/>
  <c r="DP1217" i="489"/>
  <c r="DP1258" i="489"/>
  <c r="DP1223" i="489"/>
  <c r="DP1222" i="489"/>
  <c r="DP1224" i="489"/>
  <c r="DP1225" i="489"/>
  <c r="DP1226" i="489"/>
  <c r="DP1227" i="489"/>
  <c r="DP1229" i="489"/>
  <c r="DP1230" i="489"/>
  <c r="DP1231" i="489"/>
  <c r="DP1232" i="489"/>
  <c r="DP1233" i="489"/>
  <c r="DP1181" i="489"/>
  <c r="DP1182" i="489"/>
  <c r="DP1183" i="489"/>
  <c r="DP1184" i="489"/>
  <c r="DP1185" i="489"/>
  <c r="DP1186" i="489"/>
  <c r="DP1187" i="489"/>
  <c r="DP1188" i="489"/>
  <c r="DP1189" i="489"/>
  <c r="DP1191" i="489"/>
  <c r="DP1192" i="489"/>
  <c r="DP1193" i="489"/>
  <c r="DP1194" i="489"/>
  <c r="DP1195" i="489"/>
  <c r="DP1196" i="489"/>
  <c r="DP1197" i="489"/>
  <c r="DP1198" i="489"/>
  <c r="DP1199" i="489"/>
  <c r="DP1201" i="489"/>
  <c r="DP1202" i="489"/>
  <c r="DP1203" i="489"/>
  <c r="DP1204" i="489"/>
  <c r="DP1205" i="489"/>
  <c r="ED1244" i="489"/>
  <c r="ED1245" i="489"/>
  <c r="ED1247" i="489"/>
  <c r="ED1248" i="489"/>
  <c r="ED1242" i="489"/>
  <c r="ED1237" i="489"/>
  <c r="ED1243" i="489"/>
  <c r="ED1240" i="489"/>
  <c r="ED1249" i="489"/>
  <c r="ED1250" i="489"/>
  <c r="ED1251" i="489"/>
  <c r="ED1252" i="489"/>
  <c r="ED1238" i="489"/>
  <c r="ED1241" i="489"/>
  <c r="ED1239" i="489"/>
  <c r="ED1255" i="489"/>
  <c r="ED1253" i="489"/>
  <c r="ED1259" i="489"/>
  <c r="ED1254" i="489"/>
  <c r="ED1261" i="489"/>
  <c r="ED1209" i="489"/>
  <c r="ED1210" i="489"/>
  <c r="ED1211" i="489"/>
  <c r="ED1212" i="489"/>
  <c r="ED1213" i="489"/>
  <c r="ED1257" i="489"/>
  <c r="ED1258" i="489"/>
  <c r="ED1260" i="489"/>
  <c r="ED1214" i="489"/>
  <c r="ED1215" i="489"/>
  <c r="ED1216" i="489"/>
  <c r="ED1217" i="489"/>
  <c r="ED1219" i="489"/>
  <c r="ED1220" i="489"/>
  <c r="ED1221" i="489"/>
  <c r="ED1223" i="489"/>
  <c r="ED1222" i="489"/>
  <c r="ED1224" i="489"/>
  <c r="ED1225" i="489"/>
  <c r="ED1226" i="489"/>
  <c r="ED1227" i="489"/>
  <c r="ED1229" i="489"/>
  <c r="ED1230" i="489"/>
  <c r="ED1231" i="489"/>
  <c r="ED1232" i="489"/>
  <c r="ED1233" i="489"/>
  <c r="ED1181" i="489"/>
  <c r="ED1182" i="489"/>
  <c r="ED1183" i="489"/>
  <c r="ED1184" i="489"/>
  <c r="ED1185" i="489"/>
  <c r="ED1186" i="489"/>
  <c r="ED1187" i="489"/>
  <c r="ED1188" i="489"/>
  <c r="ED1189" i="489"/>
  <c r="ED1191" i="489"/>
  <c r="ED1192" i="489"/>
  <c r="ED1193" i="489"/>
  <c r="ED1194" i="489"/>
  <c r="ED1195" i="489"/>
  <c r="ED1196" i="489"/>
  <c r="ED1197" i="489"/>
  <c r="ED1198" i="489"/>
  <c r="ED1199" i="489"/>
  <c r="ED1201" i="489"/>
  <c r="ED1202" i="489"/>
  <c r="ED1203" i="489"/>
  <c r="ED1204" i="489"/>
  <c r="ED1205" i="489"/>
  <c r="L1237" i="489"/>
  <c r="L1238" i="489"/>
  <c r="L1239" i="489"/>
  <c r="L1240" i="489"/>
  <c r="L1241" i="489"/>
  <c r="L1242" i="489"/>
  <c r="L1243" i="489"/>
  <c r="L1244" i="489"/>
  <c r="L1247" i="489"/>
  <c r="L1248" i="489"/>
  <c r="L1250" i="489"/>
  <c r="L1251" i="489"/>
  <c r="L1245" i="489"/>
  <c r="L1252" i="489"/>
  <c r="L1253" i="489"/>
  <c r="L1254" i="489"/>
  <c r="L1255" i="489"/>
  <c r="L1257" i="489"/>
  <c r="L1261" i="489"/>
  <c r="L1212" i="489"/>
  <c r="L1213" i="489"/>
  <c r="L1258" i="489"/>
  <c r="L1259" i="489"/>
  <c r="L1215" i="489"/>
  <c r="L1216" i="489"/>
  <c r="L1260" i="489"/>
  <c r="L1214" i="489"/>
  <c r="L1219" i="489"/>
  <c r="L1220" i="489"/>
  <c r="L1222" i="489"/>
  <c r="L1217" i="489"/>
  <c r="L1209" i="489"/>
  <c r="L1224" i="489"/>
  <c r="L1225" i="489"/>
  <c r="L1226" i="489"/>
  <c r="L1227" i="489"/>
  <c r="L1229" i="489"/>
  <c r="L1230" i="489"/>
  <c r="L1223" i="489"/>
  <c r="L1231" i="489"/>
  <c r="L1181" i="489"/>
  <c r="L1183" i="489"/>
  <c r="L1232" i="489"/>
  <c r="L1233" i="489"/>
  <c r="L1184" i="489"/>
  <c r="L1185" i="489"/>
  <c r="L1186" i="489"/>
  <c r="L1187" i="489"/>
  <c r="L1188" i="489"/>
  <c r="L1189" i="489"/>
  <c r="L1191" i="489"/>
  <c r="L1192" i="489"/>
  <c r="L1193" i="489"/>
  <c r="L1194" i="489"/>
  <c r="L1195" i="489"/>
  <c r="L1196" i="489"/>
  <c r="L1197" i="489"/>
  <c r="L1198" i="489"/>
  <c r="L1199" i="489"/>
  <c r="L1201" i="489"/>
  <c r="L1202" i="489"/>
  <c r="L1203" i="489"/>
  <c r="L1204" i="489"/>
  <c r="L1205" i="489"/>
  <c r="X1237" i="489"/>
  <c r="X1238" i="489"/>
  <c r="X1240" i="489"/>
  <c r="X1241" i="489"/>
  <c r="X1242" i="489"/>
  <c r="X1243" i="489"/>
  <c r="X1250" i="489"/>
  <c r="X1251" i="489"/>
  <c r="X1249" i="489"/>
  <c r="X1245" i="489"/>
  <c r="X1247" i="489"/>
  <c r="X1248" i="489"/>
  <c r="X1244" i="489"/>
  <c r="X1254" i="489"/>
  <c r="X1255" i="489"/>
  <c r="X1257" i="489"/>
  <c r="X1252" i="489"/>
  <c r="X1253" i="489"/>
  <c r="X1258" i="489"/>
  <c r="X1259" i="489"/>
  <c r="X1261" i="489"/>
  <c r="X1212" i="489"/>
  <c r="X1260" i="489"/>
  <c r="X1213" i="489"/>
  <c r="X1214" i="489"/>
  <c r="X1215" i="489"/>
  <c r="X1216" i="489"/>
  <c r="X1219" i="489"/>
  <c r="X1220" i="489"/>
  <c r="X1221" i="489"/>
  <c r="X1222" i="489"/>
  <c r="X1211" i="489"/>
  <c r="X1210" i="489"/>
  <c r="X1217" i="489"/>
  <c r="X1223" i="489"/>
  <c r="X1224" i="489"/>
  <c r="X1225" i="489"/>
  <c r="X1226" i="489"/>
  <c r="X1227" i="489"/>
  <c r="X1229" i="489"/>
  <c r="X1230" i="489"/>
  <c r="X1232" i="489"/>
  <c r="X1182" i="489"/>
  <c r="X1183" i="489"/>
  <c r="X1231" i="489"/>
  <c r="X1233" i="489"/>
  <c r="X1184" i="489"/>
  <c r="X1185" i="489"/>
  <c r="X1186" i="489"/>
  <c r="X1187" i="489"/>
  <c r="X1188" i="489"/>
  <c r="X1189" i="489"/>
  <c r="X1191" i="489"/>
  <c r="X1192" i="489"/>
  <c r="X1193" i="489"/>
  <c r="X1194" i="489"/>
  <c r="X1195" i="489"/>
  <c r="X1196" i="489"/>
  <c r="X1197" i="489"/>
  <c r="X1198" i="489"/>
  <c r="X1199" i="489"/>
  <c r="X1201" i="489"/>
  <c r="X1202" i="489"/>
  <c r="X1203" i="489"/>
  <c r="X1204" i="489"/>
  <c r="X1205" i="489"/>
  <c r="AK1237" i="489"/>
  <c r="AK1239" i="489"/>
  <c r="AK1240" i="489"/>
  <c r="AK1241" i="489"/>
  <c r="AK1242" i="489"/>
  <c r="AK1243" i="489"/>
  <c r="AK1244" i="489"/>
  <c r="AK1245" i="489"/>
  <c r="AK1247" i="489"/>
  <c r="AK1251" i="489"/>
  <c r="AK1257" i="489"/>
  <c r="AK1258" i="489"/>
  <c r="AK1259" i="489"/>
  <c r="AK1254" i="489"/>
  <c r="AK1253" i="489"/>
  <c r="AK1252" i="489"/>
  <c r="AK1255" i="489"/>
  <c r="AK1261" i="489"/>
  <c r="AK1211" i="489"/>
  <c r="AK1213" i="489"/>
  <c r="AK1260" i="489"/>
  <c r="AK1212" i="489"/>
  <c r="AK1214" i="489"/>
  <c r="AK1215" i="489"/>
  <c r="AK1216" i="489"/>
  <c r="AK1217" i="489"/>
  <c r="AK1222" i="489"/>
  <c r="AK1223" i="489"/>
  <c r="AK1224" i="489"/>
  <c r="AK1225" i="489"/>
  <c r="AK1226" i="489"/>
  <c r="AK1227" i="489"/>
  <c r="AK1229" i="489"/>
  <c r="AK1230" i="489"/>
  <c r="AK1232" i="489"/>
  <c r="AK1231" i="489"/>
  <c r="AK1181" i="489"/>
  <c r="AK1183" i="489"/>
  <c r="AK1233" i="489"/>
  <c r="AK1184" i="489"/>
  <c r="AK1185" i="489"/>
  <c r="AK1186" i="489"/>
  <c r="AK1187" i="489"/>
  <c r="AK1188" i="489"/>
  <c r="AK1189" i="489"/>
  <c r="AK1191" i="489"/>
  <c r="AK1194" i="489"/>
  <c r="AK1195" i="489"/>
  <c r="AK1196" i="489"/>
  <c r="AK1197" i="489"/>
  <c r="AK1198" i="489"/>
  <c r="AK1199" i="489"/>
  <c r="AK1201" i="489"/>
  <c r="AK1202" i="489"/>
  <c r="AK1203" i="489"/>
  <c r="AK1204" i="489"/>
  <c r="AK1205" i="489"/>
  <c r="AW1237" i="489"/>
  <c r="AW1238" i="489"/>
  <c r="AW1239" i="489"/>
  <c r="AW1240" i="489"/>
  <c r="AW1241" i="489"/>
  <c r="AW1242" i="489"/>
  <c r="AW1243" i="489"/>
  <c r="AW1244" i="489"/>
  <c r="AW1245" i="489"/>
  <c r="AW1247" i="489"/>
  <c r="AW1248" i="489"/>
  <c r="AW1249" i="489"/>
  <c r="AW1250" i="489"/>
  <c r="AW1252" i="489"/>
  <c r="AW1253" i="489"/>
  <c r="AW1257" i="489"/>
  <c r="AW1258" i="489"/>
  <c r="AW1261" i="489"/>
  <c r="AW1255" i="489"/>
  <c r="AW1254" i="489"/>
  <c r="AW1251" i="489"/>
  <c r="AW1260" i="489"/>
  <c r="AW1259" i="489"/>
  <c r="AW1212" i="489"/>
  <c r="AW1209" i="489"/>
  <c r="AW1210" i="489"/>
  <c r="AW1211" i="489"/>
  <c r="AW1213" i="489"/>
  <c r="AW1214" i="489"/>
  <c r="AW1215" i="489"/>
  <c r="AW1216" i="489"/>
  <c r="AW1217" i="489"/>
  <c r="AW1219" i="489"/>
  <c r="AW1220" i="489"/>
  <c r="AW1221" i="489"/>
  <c r="AW1222" i="489"/>
  <c r="AW1223" i="489"/>
  <c r="AW1224" i="489"/>
  <c r="AW1225" i="489"/>
  <c r="AW1226" i="489"/>
  <c r="AW1227" i="489"/>
  <c r="AW1229" i="489"/>
  <c r="AW1230" i="489"/>
  <c r="AW1232" i="489"/>
  <c r="AW1231" i="489"/>
  <c r="AW1181" i="489"/>
  <c r="AW1182" i="489"/>
  <c r="AW1183" i="489"/>
  <c r="AW1233" i="489"/>
  <c r="AW1184" i="489"/>
  <c r="AW1185" i="489"/>
  <c r="AW1186" i="489"/>
  <c r="AW1187" i="489"/>
  <c r="AW1188" i="489"/>
  <c r="AW1189" i="489"/>
  <c r="AW1191" i="489"/>
  <c r="AW1192" i="489"/>
  <c r="AW1193" i="489"/>
  <c r="AW1194" i="489"/>
  <c r="AW1195" i="489"/>
  <c r="AW1196" i="489"/>
  <c r="AW1197" i="489"/>
  <c r="AW1198" i="489"/>
  <c r="AW1199" i="489"/>
  <c r="AW1201" i="489"/>
  <c r="AW1202" i="489"/>
  <c r="AW1203" i="489"/>
  <c r="AW1204" i="489"/>
  <c r="AW1205" i="489"/>
  <c r="BI1237" i="489"/>
  <c r="BI1238" i="489"/>
  <c r="BI1239" i="489"/>
  <c r="BI1240" i="489"/>
  <c r="BI1241" i="489"/>
  <c r="BI1242" i="489"/>
  <c r="BI1243" i="489"/>
  <c r="BI1244" i="489"/>
  <c r="BI1245" i="489"/>
  <c r="BI1247" i="489"/>
  <c r="BI1248" i="489"/>
  <c r="BI1249" i="489"/>
  <c r="BI1250" i="489"/>
  <c r="BI1251" i="489"/>
  <c r="BI1254" i="489"/>
  <c r="BI1255" i="489"/>
  <c r="BI1257" i="489"/>
  <c r="BI1258" i="489"/>
  <c r="BI1252" i="489"/>
  <c r="BI1253" i="489"/>
  <c r="BI1259" i="489"/>
  <c r="BI1260" i="489"/>
  <c r="BI1212" i="489"/>
  <c r="BI1261" i="489"/>
  <c r="BI1214" i="489"/>
  <c r="BI1215" i="489"/>
  <c r="BI1216" i="489"/>
  <c r="BI1217" i="489"/>
  <c r="BI1209" i="489"/>
  <c r="BI1210" i="489"/>
  <c r="BI1211" i="489"/>
  <c r="BI1213" i="489"/>
  <c r="BI1219" i="489"/>
  <c r="BI1220" i="489"/>
  <c r="BI1221" i="489"/>
  <c r="BI1222" i="489"/>
  <c r="BI1223" i="489"/>
  <c r="BI1224" i="489"/>
  <c r="BI1225" i="489"/>
  <c r="BI1226" i="489"/>
  <c r="BI1227" i="489"/>
  <c r="BI1229" i="489"/>
  <c r="BI1230" i="489"/>
  <c r="BI1181" i="489"/>
  <c r="BI1182" i="489"/>
  <c r="BI1183" i="489"/>
  <c r="BI1233" i="489"/>
  <c r="BI1231" i="489"/>
  <c r="BI1232" i="489"/>
  <c r="BI1184" i="489"/>
  <c r="BI1185" i="489"/>
  <c r="BI1186" i="489"/>
  <c r="BI1187" i="489"/>
  <c r="BI1188" i="489"/>
  <c r="BI1189" i="489"/>
  <c r="BI1191" i="489"/>
  <c r="BI1192" i="489"/>
  <c r="BI1193" i="489"/>
  <c r="BI1194" i="489"/>
  <c r="BI1195" i="489"/>
  <c r="BI1196" i="489"/>
  <c r="BI1197" i="489"/>
  <c r="BI1198" i="489"/>
  <c r="BI1199" i="489"/>
  <c r="BI1201" i="489"/>
  <c r="BI1202" i="489"/>
  <c r="BI1203" i="489"/>
  <c r="BI1204" i="489"/>
  <c r="BI1205" i="489"/>
  <c r="BU1237" i="489"/>
  <c r="BU1238" i="489"/>
  <c r="BU1239" i="489"/>
  <c r="BU1240" i="489"/>
  <c r="BU1241" i="489"/>
  <c r="BU1242" i="489"/>
  <c r="BU1243" i="489"/>
  <c r="BU1244" i="489"/>
  <c r="BU1245" i="489"/>
  <c r="BU1247" i="489"/>
  <c r="BU1248" i="489"/>
  <c r="BU1249" i="489"/>
  <c r="BU1250" i="489"/>
  <c r="BU1251" i="489"/>
  <c r="BU1253" i="489"/>
  <c r="BU1255" i="489"/>
  <c r="BU1257" i="489"/>
  <c r="BU1258" i="489"/>
  <c r="BU1252" i="489"/>
  <c r="BU1254" i="489"/>
  <c r="BU1261" i="489"/>
  <c r="BU1210" i="489"/>
  <c r="BU1213" i="489"/>
  <c r="BU1211" i="489"/>
  <c r="BU1212" i="489"/>
  <c r="BU1259" i="489"/>
  <c r="BU1214" i="489"/>
  <c r="BU1215" i="489"/>
  <c r="BU1216" i="489"/>
  <c r="BU1217" i="489"/>
  <c r="BU1219" i="489"/>
  <c r="BU1220" i="489"/>
  <c r="BU1221" i="489"/>
  <c r="BU1222" i="489"/>
  <c r="BU1260" i="489"/>
  <c r="BU1223" i="489"/>
  <c r="BU1224" i="489"/>
  <c r="BU1225" i="489"/>
  <c r="BU1226" i="489"/>
  <c r="BU1227" i="489"/>
  <c r="BU1229" i="489"/>
  <c r="BU1230" i="489"/>
  <c r="BU1231" i="489"/>
  <c r="BU1181" i="489"/>
  <c r="BU1182" i="489"/>
  <c r="BU1233" i="489"/>
  <c r="BU1232" i="489"/>
  <c r="BU1183" i="489"/>
  <c r="BU1184" i="489"/>
  <c r="BU1185" i="489"/>
  <c r="BU1186" i="489"/>
  <c r="BU1187" i="489"/>
  <c r="BU1188" i="489"/>
  <c r="BU1189" i="489"/>
  <c r="BU1191" i="489"/>
  <c r="BU1192" i="489"/>
  <c r="BU1193" i="489"/>
  <c r="BU1194" i="489"/>
  <c r="BU1195" i="489"/>
  <c r="BU1196" i="489"/>
  <c r="BU1197" i="489"/>
  <c r="BU1198" i="489"/>
  <c r="BU1199" i="489"/>
  <c r="BU1201" i="489"/>
  <c r="BU1202" i="489"/>
  <c r="BU1203" i="489"/>
  <c r="BU1204" i="489"/>
  <c r="BU1205" i="489"/>
  <c r="CG1237" i="489"/>
  <c r="CG1239" i="489"/>
  <c r="CG1240" i="489"/>
  <c r="CG1241" i="489"/>
  <c r="CG1242" i="489"/>
  <c r="CG1243" i="489"/>
  <c r="CG1244" i="489"/>
  <c r="CG1245" i="489"/>
  <c r="CG1247" i="489"/>
  <c r="CG1248" i="489"/>
  <c r="CG1249" i="489"/>
  <c r="CG1252" i="489"/>
  <c r="CG1251" i="489"/>
  <c r="CG1253" i="489"/>
  <c r="CG1254" i="489"/>
  <c r="CG1255" i="489"/>
  <c r="CG1258" i="489"/>
  <c r="CG1259" i="489"/>
  <c r="CG1260" i="489"/>
  <c r="CG1261" i="489"/>
  <c r="CG1257" i="489"/>
  <c r="CG1211" i="489"/>
  <c r="CG1213" i="489"/>
  <c r="CG1212" i="489"/>
  <c r="CG1209" i="489"/>
  <c r="CG1210" i="489"/>
  <c r="CG1214" i="489"/>
  <c r="CG1215" i="489"/>
  <c r="CG1216" i="489"/>
  <c r="CG1217" i="489"/>
  <c r="CG1219" i="489"/>
  <c r="CG1220" i="489"/>
  <c r="CG1221" i="489"/>
  <c r="CG1222" i="489"/>
  <c r="CG1223" i="489"/>
  <c r="CG1224" i="489"/>
  <c r="CG1225" i="489"/>
  <c r="CG1226" i="489"/>
  <c r="CG1227" i="489"/>
  <c r="CG1229" i="489"/>
  <c r="CG1230" i="489"/>
  <c r="CG1231" i="489"/>
  <c r="CG1181" i="489"/>
  <c r="CG1182" i="489"/>
  <c r="CG1232" i="489"/>
  <c r="CG1233" i="489"/>
  <c r="CG1183" i="489"/>
  <c r="CG1184" i="489"/>
  <c r="CG1185" i="489"/>
  <c r="CG1186" i="489"/>
  <c r="CG1187" i="489"/>
  <c r="CG1188" i="489"/>
  <c r="CG1189" i="489"/>
  <c r="CG1191" i="489"/>
  <c r="CG1192" i="489"/>
  <c r="CG1193" i="489"/>
  <c r="CG1194" i="489"/>
  <c r="CG1195" i="489"/>
  <c r="CG1196" i="489"/>
  <c r="CG1197" i="489"/>
  <c r="CG1198" i="489"/>
  <c r="CG1199" i="489"/>
  <c r="CG1201" i="489"/>
  <c r="CG1202" i="489"/>
  <c r="CG1203" i="489"/>
  <c r="CG1204" i="489"/>
  <c r="CG1205" i="489"/>
  <c r="CS1239" i="489"/>
  <c r="CS1240" i="489"/>
  <c r="CS1241" i="489"/>
  <c r="CS1242" i="489"/>
  <c r="CS1243" i="489"/>
  <c r="CS1244" i="489"/>
  <c r="CS1245" i="489"/>
  <c r="CS1247" i="489"/>
  <c r="CS1252" i="489"/>
  <c r="CS1251" i="489"/>
  <c r="CS1255" i="489"/>
  <c r="CS1258" i="489"/>
  <c r="CS1257" i="489"/>
  <c r="CS1254" i="489"/>
  <c r="CS1253" i="489"/>
  <c r="CS1261" i="489"/>
  <c r="CS1259" i="489"/>
  <c r="CS1260" i="489"/>
  <c r="CS1212" i="489"/>
  <c r="CS1213" i="489"/>
  <c r="CS1214" i="489"/>
  <c r="CS1215" i="489"/>
  <c r="CS1216" i="489"/>
  <c r="CS1217" i="489"/>
  <c r="CS1219" i="489"/>
  <c r="CS1222" i="489"/>
  <c r="CS1223" i="489"/>
  <c r="CS1224" i="489"/>
  <c r="CS1225" i="489"/>
  <c r="CS1226" i="489"/>
  <c r="CS1227" i="489"/>
  <c r="CS1229" i="489"/>
  <c r="CS1230" i="489"/>
  <c r="CS1232" i="489"/>
  <c r="CS1233" i="489"/>
  <c r="CS1181" i="489"/>
  <c r="CS1182" i="489"/>
  <c r="CS1231" i="489"/>
  <c r="CS1183" i="489"/>
  <c r="CS1184" i="489"/>
  <c r="CS1185" i="489"/>
  <c r="CS1186" i="489"/>
  <c r="CS1187" i="489"/>
  <c r="CS1188" i="489"/>
  <c r="CS1189" i="489"/>
  <c r="CS1191" i="489"/>
  <c r="CS1194" i="489"/>
  <c r="CS1195" i="489"/>
  <c r="CS1196" i="489"/>
  <c r="CS1197" i="489"/>
  <c r="CS1198" i="489"/>
  <c r="CS1199" i="489"/>
  <c r="CS1201" i="489"/>
  <c r="CS1202" i="489"/>
  <c r="CS1203" i="489"/>
  <c r="CS1204" i="489"/>
  <c r="CS1205" i="489"/>
  <c r="DE1237" i="489"/>
  <c r="DE1238" i="489"/>
  <c r="DE1239" i="489"/>
  <c r="DE1240" i="489"/>
  <c r="DE1241" i="489"/>
  <c r="DE1242" i="489"/>
  <c r="DE1243" i="489"/>
  <c r="DE1244" i="489"/>
  <c r="DE1245" i="489"/>
  <c r="DE1247" i="489"/>
  <c r="DE1248" i="489"/>
  <c r="DE1249" i="489"/>
  <c r="DE1250" i="489"/>
  <c r="DE1255" i="489"/>
  <c r="DE1257" i="489"/>
  <c r="DE1251" i="489"/>
  <c r="DE1252" i="489"/>
  <c r="DE1253" i="489"/>
  <c r="DE1254" i="489"/>
  <c r="DE1258" i="489"/>
  <c r="DE1260" i="489"/>
  <c r="DE1261" i="489"/>
  <c r="DE1259" i="489"/>
  <c r="DE1212" i="489"/>
  <c r="DE1213" i="489"/>
  <c r="DE1216" i="489"/>
  <c r="DE1217" i="489"/>
  <c r="DE1210" i="489"/>
  <c r="DE1209" i="489"/>
  <c r="DE1219" i="489"/>
  <c r="DE1220" i="489"/>
  <c r="DE1221" i="489"/>
  <c r="DE1211" i="489"/>
  <c r="DE1224" i="489"/>
  <c r="DE1225" i="489"/>
  <c r="DE1226" i="489"/>
  <c r="DE1227" i="489"/>
  <c r="DE1229" i="489"/>
  <c r="DE1230" i="489"/>
  <c r="DE1232" i="489"/>
  <c r="DE1231" i="489"/>
  <c r="DE1233" i="489"/>
  <c r="DE1181" i="489"/>
  <c r="DE1182" i="489"/>
  <c r="DE1183" i="489"/>
  <c r="DE1184" i="489"/>
  <c r="DE1185" i="489"/>
  <c r="DE1186" i="489"/>
  <c r="DE1187" i="489"/>
  <c r="DE1188" i="489"/>
  <c r="DE1189" i="489"/>
  <c r="DE1191" i="489"/>
  <c r="DE1192" i="489"/>
  <c r="DE1193" i="489"/>
  <c r="DE1194" i="489"/>
  <c r="DE1196" i="489"/>
  <c r="DE1197" i="489"/>
  <c r="DE1198" i="489"/>
  <c r="DE1199" i="489"/>
  <c r="DE1201" i="489"/>
  <c r="DE1202" i="489"/>
  <c r="DE1203" i="489"/>
  <c r="DE1204" i="489"/>
  <c r="DE1205" i="489"/>
  <c r="DQ1237" i="489"/>
  <c r="DQ1238" i="489"/>
  <c r="DQ1239" i="489"/>
  <c r="DQ1240" i="489"/>
  <c r="DQ1241" i="489"/>
  <c r="DQ1242" i="489"/>
  <c r="DQ1243" i="489"/>
  <c r="DQ1244" i="489"/>
  <c r="DQ1245" i="489"/>
  <c r="DQ1247" i="489"/>
  <c r="DQ1248" i="489"/>
  <c r="DQ1249" i="489"/>
  <c r="DQ1250" i="489"/>
  <c r="DQ1251" i="489"/>
  <c r="DQ1252" i="489"/>
  <c r="DQ1253" i="489"/>
  <c r="DQ1254" i="489"/>
  <c r="DQ1255" i="489"/>
  <c r="DQ1258" i="489"/>
  <c r="DQ1261" i="489"/>
  <c r="DQ1259" i="489"/>
  <c r="DQ1260" i="489"/>
  <c r="DQ1209" i="489"/>
  <c r="DQ1210" i="489"/>
  <c r="DQ1212" i="489"/>
  <c r="DQ1213" i="489"/>
  <c r="DQ1211" i="489"/>
  <c r="DQ1214" i="489"/>
  <c r="DQ1215" i="489"/>
  <c r="DQ1216" i="489"/>
  <c r="DQ1217" i="489"/>
  <c r="DQ1219" i="489"/>
  <c r="DQ1220" i="489"/>
  <c r="DQ1221" i="489"/>
  <c r="DQ1222" i="489"/>
  <c r="DQ1257" i="489"/>
  <c r="DQ1223" i="489"/>
  <c r="DQ1224" i="489"/>
  <c r="DQ1225" i="489"/>
  <c r="DQ1226" i="489"/>
  <c r="DQ1227" i="489"/>
  <c r="DQ1229" i="489"/>
  <c r="DQ1230" i="489"/>
  <c r="DQ1231" i="489"/>
  <c r="DQ1232" i="489"/>
  <c r="DQ1233" i="489"/>
  <c r="DQ1181" i="489"/>
  <c r="DQ1182" i="489"/>
  <c r="DQ1183" i="489"/>
  <c r="DQ1184" i="489"/>
  <c r="DQ1185" i="489"/>
  <c r="DQ1186" i="489"/>
  <c r="DQ1187" i="489"/>
  <c r="DQ1188" i="489"/>
  <c r="DQ1189" i="489"/>
  <c r="DQ1191" i="489"/>
  <c r="DQ1192" i="489"/>
  <c r="DQ1193" i="489"/>
  <c r="DQ1194" i="489"/>
  <c r="DQ1195" i="489"/>
  <c r="DQ1196" i="489"/>
  <c r="DQ1197" i="489"/>
  <c r="DQ1198" i="489"/>
  <c r="DQ1199" i="489"/>
  <c r="DQ1201" i="489"/>
  <c r="DQ1202" i="489"/>
  <c r="DQ1203" i="489"/>
  <c r="DQ1204" i="489"/>
  <c r="DQ1205" i="489"/>
  <c r="EE1237" i="489"/>
  <c r="EE1238" i="489"/>
  <c r="EE1239" i="489"/>
  <c r="EE1240" i="489"/>
  <c r="EE1241" i="489"/>
  <c r="EE1242" i="489"/>
  <c r="EE1243" i="489"/>
  <c r="EE1244" i="489"/>
  <c r="EE1245" i="489"/>
  <c r="EE1248" i="489"/>
  <c r="EE1247" i="489"/>
  <c r="EE1249" i="489"/>
  <c r="EE1250" i="489"/>
  <c r="EE1251" i="489"/>
  <c r="EE1252" i="489"/>
  <c r="EE1253" i="489"/>
  <c r="EE1254" i="489"/>
  <c r="EE1257" i="489"/>
  <c r="EE1255" i="489"/>
  <c r="EE1258" i="489"/>
  <c r="EE1259" i="489"/>
  <c r="EE1261" i="489"/>
  <c r="EE1209" i="489"/>
  <c r="EE1210" i="489"/>
  <c r="EE1211" i="489"/>
  <c r="EE1212" i="489"/>
  <c r="EE1213" i="489"/>
  <c r="EE1214" i="489"/>
  <c r="EE1215" i="489"/>
  <c r="EE1216" i="489"/>
  <c r="EE1217" i="489"/>
  <c r="EE1260" i="489"/>
  <c r="EE1219" i="489"/>
  <c r="EE1220" i="489"/>
  <c r="EE1224" i="489"/>
  <c r="EE1225" i="489"/>
  <c r="EE1226" i="489"/>
  <c r="EE1227" i="489"/>
  <c r="EE1229" i="489"/>
  <c r="EE1230" i="489"/>
  <c r="EE1231" i="489"/>
  <c r="EE1232" i="489"/>
  <c r="EE1223" i="489"/>
  <c r="EE1222" i="489"/>
  <c r="EE1221" i="489"/>
  <c r="EE1233" i="489"/>
  <c r="EE1181" i="489"/>
  <c r="EE1183" i="489"/>
  <c r="EE1184" i="489"/>
  <c r="EE1185" i="489"/>
  <c r="EE1186" i="489"/>
  <c r="EE1187" i="489"/>
  <c r="EE1188" i="489"/>
  <c r="EE1189" i="489"/>
  <c r="EE1191" i="489"/>
  <c r="EE1192" i="489"/>
  <c r="EE1193" i="489"/>
  <c r="EE1194" i="489"/>
  <c r="EE1195" i="489"/>
  <c r="EE1182" i="489"/>
  <c r="EE1196" i="489"/>
  <c r="EE1197" i="489"/>
  <c r="EE1198" i="489"/>
  <c r="EE1199" i="489"/>
  <c r="EE1201" i="489"/>
  <c r="EE1202" i="489"/>
  <c r="EE1203" i="489"/>
  <c r="EE1204" i="489"/>
  <c r="EE1205" i="489"/>
  <c r="EP1244" i="489"/>
  <c r="EP1245" i="489"/>
  <c r="EP1247" i="489"/>
  <c r="EP1248" i="489"/>
  <c r="EP1242" i="489"/>
  <c r="EP1243" i="489"/>
  <c r="EP1237" i="489"/>
  <c r="EP1238" i="489"/>
  <c r="EP1239" i="489"/>
  <c r="EP1240" i="489"/>
  <c r="EP1241" i="489"/>
  <c r="EP1249" i="489"/>
  <c r="EP1250" i="489"/>
  <c r="EP1251" i="489"/>
  <c r="EP1252" i="489"/>
  <c r="EP1253" i="489"/>
  <c r="EP1254" i="489"/>
  <c r="EP1257" i="489"/>
  <c r="EP1255" i="489"/>
  <c r="EP1258" i="489"/>
  <c r="EP1259" i="489"/>
  <c r="EP1209" i="489"/>
  <c r="EP1210" i="489"/>
  <c r="EP1211" i="489"/>
  <c r="EP1212" i="489"/>
  <c r="EP1213" i="489"/>
  <c r="EP1260" i="489"/>
  <c r="EP1261" i="489"/>
  <c r="EP1214" i="489"/>
  <c r="EP1215" i="489"/>
  <c r="EP1216" i="489"/>
  <c r="EP1217" i="489"/>
  <c r="EP1219" i="489"/>
  <c r="EP1220" i="489"/>
  <c r="EP1221" i="489"/>
  <c r="EP1223" i="489"/>
  <c r="EP1222" i="489"/>
  <c r="EP1224" i="489"/>
  <c r="EP1225" i="489"/>
  <c r="EP1226" i="489"/>
  <c r="EP1227" i="489"/>
  <c r="EP1229" i="489"/>
  <c r="EP1230" i="489"/>
  <c r="EP1232" i="489"/>
  <c r="EP1233" i="489"/>
  <c r="EP1181" i="489"/>
  <c r="EP1182" i="489"/>
  <c r="EP1231" i="489"/>
  <c r="EP1183" i="489"/>
  <c r="EP1184" i="489"/>
  <c r="EP1185" i="489"/>
  <c r="EP1186" i="489"/>
  <c r="EP1187" i="489"/>
  <c r="EP1188" i="489"/>
  <c r="EP1189" i="489"/>
  <c r="EP1191" i="489"/>
  <c r="EP1192" i="489"/>
  <c r="EP1193" i="489"/>
  <c r="EP1194" i="489"/>
  <c r="EP1195" i="489"/>
  <c r="EP1196" i="489"/>
  <c r="EP1197" i="489"/>
  <c r="EP1198" i="489"/>
  <c r="EP1199" i="489"/>
  <c r="EP1201" i="489"/>
  <c r="EP1202" i="489"/>
  <c r="EP1203" i="489"/>
  <c r="EP1204" i="489"/>
  <c r="EP1205" i="489"/>
  <c r="M1237" i="489"/>
  <c r="M1238" i="489"/>
  <c r="M1239" i="489"/>
  <c r="M1240" i="489"/>
  <c r="M1241" i="489"/>
  <c r="M1242" i="489"/>
  <c r="M1243" i="489"/>
  <c r="M1244" i="489"/>
  <c r="M1245" i="489"/>
  <c r="M1247" i="489"/>
  <c r="M1248" i="489"/>
  <c r="M1249" i="489"/>
  <c r="M1250" i="489"/>
  <c r="M1251" i="489"/>
  <c r="M1252" i="489"/>
  <c r="M1253" i="489"/>
  <c r="M1254" i="489"/>
  <c r="M1255" i="489"/>
  <c r="M1258" i="489"/>
  <c r="M1259" i="489"/>
  <c r="M1257" i="489"/>
  <c r="M1260" i="489"/>
  <c r="M1261" i="489"/>
  <c r="M1214" i="489"/>
  <c r="M1209" i="489"/>
  <c r="M1210" i="489"/>
  <c r="M1211" i="489"/>
  <c r="M1212" i="489"/>
  <c r="M1215" i="489"/>
  <c r="M1216" i="489"/>
  <c r="M1217" i="489"/>
  <c r="M1219" i="489"/>
  <c r="M1220" i="489"/>
  <c r="M1221" i="489"/>
  <c r="M1222" i="489"/>
  <c r="M1223" i="489"/>
  <c r="M1213" i="489"/>
  <c r="M1224" i="489"/>
  <c r="M1225" i="489"/>
  <c r="M1226" i="489"/>
  <c r="M1227" i="489"/>
  <c r="M1229" i="489"/>
  <c r="M1230" i="489"/>
  <c r="M1233" i="489"/>
  <c r="M1231" i="489"/>
  <c r="M1181" i="489"/>
  <c r="M1182" i="489"/>
  <c r="M1183" i="489"/>
  <c r="M1232" i="489"/>
  <c r="M1184" i="489"/>
  <c r="M1185" i="489"/>
  <c r="M1186" i="489"/>
  <c r="M1187" i="489"/>
  <c r="M1188" i="489"/>
  <c r="M1189" i="489"/>
  <c r="M1191" i="489"/>
  <c r="M1192" i="489"/>
  <c r="M1194" i="489"/>
  <c r="M1195" i="489"/>
  <c r="M1196" i="489"/>
  <c r="M1197" i="489"/>
  <c r="M1198" i="489"/>
  <c r="M1199" i="489"/>
  <c r="M1201" i="489"/>
  <c r="M1202" i="489"/>
  <c r="M1203" i="489"/>
  <c r="M1204" i="489"/>
  <c r="M1205" i="489"/>
  <c r="Y1239" i="489"/>
  <c r="Y1240" i="489"/>
  <c r="Y1241" i="489"/>
  <c r="Y1242" i="489"/>
  <c r="Y1243" i="489"/>
  <c r="Y1244" i="489"/>
  <c r="Y1245" i="489"/>
  <c r="Y1247" i="489"/>
  <c r="Y1250" i="489"/>
  <c r="Y1251" i="489"/>
  <c r="Y1252" i="489"/>
  <c r="Y1253" i="489"/>
  <c r="Y1258" i="489"/>
  <c r="Y1259" i="489"/>
  <c r="Y1261" i="489"/>
  <c r="Y1255" i="489"/>
  <c r="Y1254" i="489"/>
  <c r="Y1257" i="489"/>
  <c r="Y1260" i="489"/>
  <c r="Y1212" i="489"/>
  <c r="Y1213" i="489"/>
  <c r="Y1214" i="489"/>
  <c r="Y1215" i="489"/>
  <c r="Y1216" i="489"/>
  <c r="Y1217" i="489"/>
  <c r="Y1219" i="489"/>
  <c r="Y1222" i="489"/>
  <c r="Y1223" i="489"/>
  <c r="Y1224" i="489"/>
  <c r="Y1225" i="489"/>
  <c r="Y1226" i="489"/>
  <c r="Y1227" i="489"/>
  <c r="Y1229" i="489"/>
  <c r="Y1230" i="489"/>
  <c r="Y1232" i="489"/>
  <c r="Y1181" i="489"/>
  <c r="Y1182" i="489"/>
  <c r="Y1183" i="489"/>
  <c r="Y1231" i="489"/>
  <c r="Y1233" i="489"/>
  <c r="Y1184" i="489"/>
  <c r="Y1185" i="489"/>
  <c r="Y1186" i="489"/>
  <c r="Y1187" i="489"/>
  <c r="Y1188" i="489"/>
  <c r="Y1189" i="489"/>
  <c r="Y1191" i="489"/>
  <c r="Y1194" i="489"/>
  <c r="Y1195" i="489"/>
  <c r="Y1196" i="489"/>
  <c r="Y1197" i="489"/>
  <c r="Y1198" i="489"/>
  <c r="Y1199" i="489"/>
  <c r="Y1201" i="489"/>
  <c r="Y1202" i="489"/>
  <c r="Y1203" i="489"/>
  <c r="Y1204" i="489"/>
  <c r="Y1205" i="489"/>
  <c r="AL1244" i="489"/>
  <c r="AL1245" i="489"/>
  <c r="AL1248" i="489"/>
  <c r="AL1237" i="489"/>
  <c r="AL1242" i="489"/>
  <c r="AL1243" i="489"/>
  <c r="AL1250" i="489"/>
  <c r="AL1251" i="489"/>
  <c r="AL1252" i="489"/>
  <c r="AL1253" i="489"/>
  <c r="AL1240" i="489"/>
  <c r="AL1241" i="489"/>
  <c r="AL1239" i="489"/>
  <c r="AL1254" i="489"/>
  <c r="AL1255" i="489"/>
  <c r="AL1261" i="489"/>
  <c r="AL1260" i="489"/>
  <c r="AL1212" i="489"/>
  <c r="AL1213" i="489"/>
  <c r="AL1258" i="489"/>
  <c r="AL1257" i="489"/>
  <c r="AL1214" i="489"/>
  <c r="AL1215" i="489"/>
  <c r="AL1216" i="489"/>
  <c r="AL1217" i="489"/>
  <c r="AL1259" i="489"/>
  <c r="AL1220" i="489"/>
  <c r="AL1222" i="489"/>
  <c r="AL1223" i="489"/>
  <c r="AL1224" i="489"/>
  <c r="AL1225" i="489"/>
  <c r="AL1226" i="489"/>
  <c r="AL1227" i="489"/>
  <c r="AL1229" i="489"/>
  <c r="AL1230" i="489"/>
  <c r="AL1231" i="489"/>
  <c r="AL1232" i="489"/>
  <c r="AL1181" i="489"/>
  <c r="AL1182" i="489"/>
  <c r="AL1183" i="489"/>
  <c r="AL1233" i="489"/>
  <c r="AL1184" i="489"/>
  <c r="AL1185" i="489"/>
  <c r="AL1186" i="489"/>
  <c r="AL1187" i="489"/>
  <c r="AL1188" i="489"/>
  <c r="AL1189" i="489"/>
  <c r="AL1192" i="489"/>
  <c r="AL1193" i="489"/>
  <c r="AL1194" i="489"/>
  <c r="AL1195" i="489"/>
  <c r="AL1196" i="489"/>
  <c r="AL1197" i="489"/>
  <c r="AL1198" i="489"/>
  <c r="AL1199" i="489"/>
  <c r="AL1201" i="489"/>
  <c r="AL1202" i="489"/>
  <c r="AL1203" i="489"/>
  <c r="AL1204" i="489"/>
  <c r="AL1205" i="489"/>
  <c r="AX1244" i="489"/>
  <c r="AX1245" i="489"/>
  <c r="AX1248" i="489"/>
  <c r="AX1243" i="489"/>
  <c r="AX1237" i="489"/>
  <c r="AX1238" i="489"/>
  <c r="AX1239" i="489"/>
  <c r="AX1240" i="489"/>
  <c r="AX1241" i="489"/>
  <c r="AX1242" i="489"/>
  <c r="AX1249" i="489"/>
  <c r="AX1250" i="489"/>
  <c r="AX1251" i="489"/>
  <c r="AX1252" i="489"/>
  <c r="AX1253" i="489"/>
  <c r="AX1257" i="489"/>
  <c r="AX1254" i="489"/>
  <c r="AX1255" i="489"/>
  <c r="AX1260" i="489"/>
  <c r="AX1259" i="489"/>
  <c r="AX1209" i="489"/>
  <c r="AX1210" i="489"/>
  <c r="AX1211" i="489"/>
  <c r="AX1212" i="489"/>
  <c r="AX1213" i="489"/>
  <c r="AX1258" i="489"/>
  <c r="AX1261" i="489"/>
  <c r="AX1214" i="489"/>
  <c r="AX1215" i="489"/>
  <c r="AX1216" i="489"/>
  <c r="AX1217" i="489"/>
  <c r="AX1220" i="489"/>
  <c r="AX1221" i="489"/>
  <c r="AX1222" i="489"/>
  <c r="AX1223" i="489"/>
  <c r="AX1224" i="489"/>
  <c r="AX1225" i="489"/>
  <c r="AX1226" i="489"/>
  <c r="AX1227" i="489"/>
  <c r="AX1229" i="489"/>
  <c r="AX1230" i="489"/>
  <c r="AX1231" i="489"/>
  <c r="AX1232" i="489"/>
  <c r="AX1181" i="489"/>
  <c r="AX1182" i="489"/>
  <c r="AX1233" i="489"/>
  <c r="AX1183" i="489"/>
  <c r="AX1184" i="489"/>
  <c r="AX1185" i="489"/>
  <c r="AX1186" i="489"/>
  <c r="AX1187" i="489"/>
  <c r="AX1188" i="489"/>
  <c r="AX1189" i="489"/>
  <c r="AX1191" i="489"/>
  <c r="AX1193" i="489"/>
  <c r="AX1194" i="489"/>
  <c r="AX1195" i="489"/>
  <c r="AX1196" i="489"/>
  <c r="AX1197" i="489"/>
  <c r="AX1198" i="489"/>
  <c r="AX1199" i="489"/>
  <c r="AX1201" i="489"/>
  <c r="AX1202" i="489"/>
  <c r="AX1203" i="489"/>
  <c r="AX1204" i="489"/>
  <c r="AX1205" i="489"/>
  <c r="BJ1244" i="489"/>
  <c r="BJ1245" i="489"/>
  <c r="BJ1247" i="489"/>
  <c r="BJ1248" i="489"/>
  <c r="BJ1237" i="489"/>
  <c r="BJ1238" i="489"/>
  <c r="BJ1239" i="489"/>
  <c r="BJ1240" i="489"/>
  <c r="BJ1241" i="489"/>
  <c r="BJ1242" i="489"/>
  <c r="BJ1249" i="489"/>
  <c r="BJ1250" i="489"/>
  <c r="BJ1251" i="489"/>
  <c r="BJ1252" i="489"/>
  <c r="BJ1253" i="489"/>
  <c r="BJ1243" i="489"/>
  <c r="BJ1254" i="489"/>
  <c r="BJ1255" i="489"/>
  <c r="BJ1257" i="489"/>
  <c r="BJ1259" i="489"/>
  <c r="BJ1260" i="489"/>
  <c r="BJ1261" i="489"/>
  <c r="BJ1209" i="489"/>
  <c r="BJ1210" i="489"/>
  <c r="BJ1211" i="489"/>
  <c r="BJ1212" i="489"/>
  <c r="BJ1213" i="489"/>
  <c r="BJ1258" i="489"/>
  <c r="BJ1214" i="489"/>
  <c r="BJ1215" i="489"/>
  <c r="BJ1216" i="489"/>
  <c r="BJ1217" i="489"/>
  <c r="BJ1219" i="489"/>
  <c r="BJ1220" i="489"/>
  <c r="BJ1221" i="489"/>
  <c r="BJ1222" i="489"/>
  <c r="BJ1223" i="489"/>
  <c r="BJ1224" i="489"/>
  <c r="BJ1225" i="489"/>
  <c r="BJ1226" i="489"/>
  <c r="BJ1227" i="489"/>
  <c r="BJ1229" i="489"/>
  <c r="BJ1230" i="489"/>
  <c r="BJ1231" i="489"/>
  <c r="BJ1181" i="489"/>
  <c r="BJ1182" i="489"/>
  <c r="BJ1233" i="489"/>
  <c r="BJ1232" i="489"/>
  <c r="BJ1184" i="489"/>
  <c r="BJ1185" i="489"/>
  <c r="BJ1186" i="489"/>
  <c r="BJ1187" i="489"/>
  <c r="BJ1188" i="489"/>
  <c r="BJ1189" i="489"/>
  <c r="BJ1191" i="489"/>
  <c r="BJ1192" i="489"/>
  <c r="BJ1193" i="489"/>
  <c r="BJ1194" i="489"/>
  <c r="BJ1195" i="489"/>
  <c r="BJ1196" i="489"/>
  <c r="BJ1197" i="489"/>
  <c r="BJ1183" i="489"/>
  <c r="BJ1198" i="489"/>
  <c r="BJ1199" i="489"/>
  <c r="BJ1201" i="489"/>
  <c r="BJ1202" i="489"/>
  <c r="BJ1203" i="489"/>
  <c r="BJ1204" i="489"/>
  <c r="BJ1205" i="489"/>
  <c r="BV1244" i="489"/>
  <c r="BV1245" i="489"/>
  <c r="BV1247" i="489"/>
  <c r="BV1248" i="489"/>
  <c r="BV1243" i="489"/>
  <c r="BV1237" i="489"/>
  <c r="BV1238" i="489"/>
  <c r="BV1239" i="489"/>
  <c r="BV1240" i="489"/>
  <c r="BV1241" i="489"/>
  <c r="BV1242" i="489"/>
  <c r="BV1249" i="489"/>
  <c r="BV1250" i="489"/>
  <c r="BV1251" i="489"/>
  <c r="BV1252" i="489"/>
  <c r="BV1254" i="489"/>
  <c r="BV1257" i="489"/>
  <c r="BV1258" i="489"/>
  <c r="BV1255" i="489"/>
  <c r="BV1259" i="489"/>
  <c r="BV1260" i="489"/>
  <c r="BV1209" i="489"/>
  <c r="BV1210" i="489"/>
  <c r="BV1211" i="489"/>
  <c r="BV1212" i="489"/>
  <c r="BV1213" i="489"/>
  <c r="BV1261" i="489"/>
  <c r="BV1253" i="489"/>
  <c r="BV1214" i="489"/>
  <c r="BV1215" i="489"/>
  <c r="BV1216" i="489"/>
  <c r="BV1217" i="489"/>
  <c r="BV1219" i="489"/>
  <c r="BV1220" i="489"/>
  <c r="BV1221" i="489"/>
  <c r="BV1222" i="489"/>
  <c r="BV1223" i="489"/>
  <c r="BV1224" i="489"/>
  <c r="BV1225" i="489"/>
  <c r="BV1226" i="489"/>
  <c r="BV1227" i="489"/>
  <c r="BV1229" i="489"/>
  <c r="BV1230" i="489"/>
  <c r="BV1231" i="489"/>
  <c r="BV1181" i="489"/>
  <c r="BV1182" i="489"/>
  <c r="BV1233" i="489"/>
  <c r="BV1232" i="489"/>
  <c r="BV1184" i="489"/>
  <c r="BV1185" i="489"/>
  <c r="BV1186" i="489"/>
  <c r="BV1187" i="489"/>
  <c r="BV1188" i="489"/>
  <c r="BV1189" i="489"/>
  <c r="BV1191" i="489"/>
  <c r="BV1192" i="489"/>
  <c r="BV1193" i="489"/>
  <c r="BV1194" i="489"/>
  <c r="BV1195" i="489"/>
  <c r="BV1196" i="489"/>
  <c r="BV1197" i="489"/>
  <c r="BV1183" i="489"/>
  <c r="BV1198" i="489"/>
  <c r="BV1199" i="489"/>
  <c r="BV1201" i="489"/>
  <c r="BV1202" i="489"/>
  <c r="BV1203" i="489"/>
  <c r="BV1204" i="489"/>
  <c r="BV1205" i="489"/>
  <c r="CH1244" i="489"/>
  <c r="CH1245" i="489"/>
  <c r="CH1247" i="489"/>
  <c r="CH1248" i="489"/>
  <c r="CH1237" i="489"/>
  <c r="CH1242" i="489"/>
  <c r="CH1239" i="489"/>
  <c r="CH1249" i="489"/>
  <c r="CH1250" i="489"/>
  <c r="CH1251" i="489"/>
  <c r="CH1252" i="489"/>
  <c r="CH1241" i="489"/>
  <c r="CH1243" i="489"/>
  <c r="CH1240" i="489"/>
  <c r="CH1238" i="489"/>
  <c r="CH1257" i="489"/>
  <c r="CH1253" i="489"/>
  <c r="CH1259" i="489"/>
  <c r="CH1260" i="489"/>
  <c r="CH1258" i="489"/>
  <c r="CH1254" i="489"/>
  <c r="CH1255" i="489"/>
  <c r="CH1209" i="489"/>
  <c r="CH1210" i="489"/>
  <c r="CH1211" i="489"/>
  <c r="CH1212" i="489"/>
  <c r="CH1213" i="489"/>
  <c r="CH1261" i="489"/>
  <c r="CH1214" i="489"/>
  <c r="CH1215" i="489"/>
  <c r="CH1216" i="489"/>
  <c r="CH1217" i="489"/>
  <c r="CH1219" i="489"/>
  <c r="CH1220" i="489"/>
  <c r="CH1221" i="489"/>
  <c r="CH1222" i="489"/>
  <c r="CH1223" i="489"/>
  <c r="CH1224" i="489"/>
  <c r="CH1225" i="489"/>
  <c r="CH1226" i="489"/>
  <c r="CH1227" i="489"/>
  <c r="CH1229" i="489"/>
  <c r="CH1230" i="489"/>
  <c r="CH1231" i="489"/>
  <c r="CH1181" i="489"/>
  <c r="CH1182" i="489"/>
  <c r="CH1232" i="489"/>
  <c r="CH1233" i="489"/>
  <c r="CH1184" i="489"/>
  <c r="CH1185" i="489"/>
  <c r="CH1186" i="489"/>
  <c r="CH1187" i="489"/>
  <c r="CH1188" i="489"/>
  <c r="CH1189" i="489"/>
  <c r="CH1191" i="489"/>
  <c r="CH1192" i="489"/>
  <c r="CH1193" i="489"/>
  <c r="CH1194" i="489"/>
  <c r="CH1195" i="489"/>
  <c r="CH1196" i="489"/>
  <c r="CH1197" i="489"/>
  <c r="CH1183" i="489"/>
  <c r="CH1198" i="489"/>
  <c r="CH1199" i="489"/>
  <c r="CH1201" i="489"/>
  <c r="CH1202" i="489"/>
  <c r="CH1203" i="489"/>
  <c r="CH1204" i="489"/>
  <c r="CH1205" i="489"/>
  <c r="CT1244" i="489"/>
  <c r="CT1245" i="489"/>
  <c r="CT1248" i="489"/>
  <c r="CT1242" i="489"/>
  <c r="CT1243" i="489"/>
  <c r="CT1237" i="489"/>
  <c r="CT1238" i="489"/>
  <c r="CT1239" i="489"/>
  <c r="CT1240" i="489"/>
  <c r="CT1241" i="489"/>
  <c r="CT1249" i="489"/>
  <c r="CT1250" i="489"/>
  <c r="CT1251" i="489"/>
  <c r="CT1252" i="489"/>
  <c r="CT1255" i="489"/>
  <c r="CT1259" i="489"/>
  <c r="CT1260" i="489"/>
  <c r="CT1254" i="489"/>
  <c r="CT1253" i="489"/>
  <c r="CT1261" i="489"/>
  <c r="CT1209" i="489"/>
  <c r="CT1210" i="489"/>
  <c r="CT1211" i="489"/>
  <c r="CT1212" i="489"/>
  <c r="CT1213" i="489"/>
  <c r="CT1257" i="489"/>
  <c r="CT1258" i="489"/>
  <c r="CT1214" i="489"/>
  <c r="CT1215" i="489"/>
  <c r="CT1216" i="489"/>
  <c r="CT1217" i="489"/>
  <c r="CT1219" i="489"/>
  <c r="CT1221" i="489"/>
  <c r="CT1222" i="489"/>
  <c r="CT1223" i="489"/>
  <c r="CT1224" i="489"/>
  <c r="CT1225" i="489"/>
  <c r="CT1226" i="489"/>
  <c r="CT1227" i="489"/>
  <c r="CT1229" i="489"/>
  <c r="CT1230" i="489"/>
  <c r="CT1231" i="489"/>
  <c r="CT1232" i="489"/>
  <c r="CT1233" i="489"/>
  <c r="CT1181" i="489"/>
  <c r="CT1182" i="489"/>
  <c r="CT1184" i="489"/>
  <c r="CT1185" i="489"/>
  <c r="CT1186" i="489"/>
  <c r="CT1187" i="489"/>
  <c r="CT1188" i="489"/>
  <c r="CT1189" i="489"/>
  <c r="CT1191" i="489"/>
  <c r="CT1192" i="489"/>
  <c r="CT1193" i="489"/>
  <c r="CT1194" i="489"/>
  <c r="CT1195" i="489"/>
  <c r="CT1196" i="489"/>
  <c r="CT1197" i="489"/>
  <c r="CT1183" i="489"/>
  <c r="CT1198" i="489"/>
  <c r="CT1199" i="489"/>
  <c r="CT1201" i="489"/>
  <c r="CT1202" i="489"/>
  <c r="CT1203" i="489"/>
  <c r="CT1204" i="489"/>
  <c r="CT1205" i="489"/>
  <c r="DF1244" i="489"/>
  <c r="DF1245" i="489"/>
  <c r="DF1247" i="489"/>
  <c r="DF1248" i="489"/>
  <c r="DF1239" i="489"/>
  <c r="DF1240" i="489"/>
  <c r="DF1241" i="489"/>
  <c r="DF1242" i="489"/>
  <c r="DF1251" i="489"/>
  <c r="DF1252" i="489"/>
  <c r="DF1243" i="489"/>
  <c r="DF1258" i="489"/>
  <c r="DF1261" i="489"/>
  <c r="DF1254" i="489"/>
  <c r="DF1257" i="489"/>
  <c r="DF1253" i="489"/>
  <c r="DF1255" i="489"/>
  <c r="DF1259" i="489"/>
  <c r="DF1260" i="489"/>
  <c r="DF1212" i="489"/>
  <c r="DF1213" i="489"/>
  <c r="DF1214" i="489"/>
  <c r="DF1215" i="489"/>
  <c r="DF1216" i="489"/>
  <c r="DF1217" i="489"/>
  <c r="DF1219" i="489"/>
  <c r="DF1220" i="489"/>
  <c r="DF1222" i="489"/>
  <c r="DF1223" i="489"/>
  <c r="DF1224" i="489"/>
  <c r="DF1225" i="489"/>
  <c r="DF1226" i="489"/>
  <c r="DF1227" i="489"/>
  <c r="DF1229" i="489"/>
  <c r="DF1230" i="489"/>
  <c r="DF1232" i="489"/>
  <c r="DF1231" i="489"/>
  <c r="DF1233" i="489"/>
  <c r="DF1181" i="489"/>
  <c r="DF1183" i="489"/>
  <c r="DF1184" i="489"/>
  <c r="DF1185" i="489"/>
  <c r="DF1186" i="489"/>
  <c r="DF1187" i="489"/>
  <c r="DF1188" i="489"/>
  <c r="DF1189" i="489"/>
  <c r="DF1191" i="489"/>
  <c r="DF1194" i="489"/>
  <c r="DF1195" i="489"/>
  <c r="DF1196" i="489"/>
  <c r="DF1197" i="489"/>
  <c r="DF1198" i="489"/>
  <c r="DF1199" i="489"/>
  <c r="DF1201" i="489"/>
  <c r="DF1202" i="489"/>
  <c r="DF1203" i="489"/>
  <c r="DF1204" i="489"/>
  <c r="DF1205" i="489"/>
  <c r="DR1244" i="489"/>
  <c r="DR1245" i="489"/>
  <c r="DR1247" i="489"/>
  <c r="DR1248" i="489"/>
  <c r="DR1243" i="489"/>
  <c r="DR1237" i="489"/>
  <c r="DR1238" i="489"/>
  <c r="DR1239" i="489"/>
  <c r="DR1240" i="489"/>
  <c r="DR1241" i="489"/>
  <c r="DR1242" i="489"/>
  <c r="DR1249" i="489"/>
  <c r="DR1250" i="489"/>
  <c r="DR1251" i="489"/>
  <c r="DR1252" i="489"/>
  <c r="DR1257" i="489"/>
  <c r="DR1253" i="489"/>
  <c r="DR1254" i="489"/>
  <c r="DR1259" i="489"/>
  <c r="DR1260" i="489"/>
  <c r="DR1258" i="489"/>
  <c r="DR1255" i="489"/>
  <c r="DR1209" i="489"/>
  <c r="DR1210" i="489"/>
  <c r="DR1211" i="489"/>
  <c r="DR1212" i="489"/>
  <c r="DR1213" i="489"/>
  <c r="DR1261" i="489"/>
  <c r="DR1214" i="489"/>
  <c r="DR1215" i="489"/>
  <c r="DR1216" i="489"/>
  <c r="DR1217" i="489"/>
  <c r="DR1219" i="489"/>
  <c r="DR1220" i="489"/>
  <c r="DR1221" i="489"/>
  <c r="DR1222" i="489"/>
  <c r="DR1223" i="489"/>
  <c r="DR1224" i="489"/>
  <c r="DR1225" i="489"/>
  <c r="DR1226" i="489"/>
  <c r="DR1227" i="489"/>
  <c r="DR1229" i="489"/>
  <c r="DR1230" i="489"/>
  <c r="DR1231" i="489"/>
  <c r="DR1232" i="489"/>
  <c r="DR1233" i="489"/>
  <c r="DR1181" i="489"/>
  <c r="DR1182" i="489"/>
  <c r="DR1183" i="489"/>
  <c r="DR1184" i="489"/>
  <c r="DR1185" i="489"/>
  <c r="DR1186" i="489"/>
  <c r="DR1187" i="489"/>
  <c r="DR1188" i="489"/>
  <c r="DR1189" i="489"/>
  <c r="DR1191" i="489"/>
  <c r="DR1192" i="489"/>
  <c r="DR1193" i="489"/>
  <c r="DR1194" i="489"/>
  <c r="DR1195" i="489"/>
  <c r="DR1196" i="489"/>
  <c r="DR1197" i="489"/>
  <c r="DR1198" i="489"/>
  <c r="DR1199" i="489"/>
  <c r="DR1201" i="489"/>
  <c r="DR1202" i="489"/>
  <c r="DR1203" i="489"/>
  <c r="DR1204" i="489"/>
  <c r="DR1205" i="489"/>
  <c r="EF1237" i="489"/>
  <c r="EF1238" i="489"/>
  <c r="EF1239" i="489"/>
  <c r="EF1240" i="489"/>
  <c r="EF1241" i="489"/>
  <c r="EF1242" i="489"/>
  <c r="EF1243" i="489"/>
  <c r="EF1244" i="489"/>
  <c r="EF1245" i="489"/>
  <c r="EF1247" i="489"/>
  <c r="EF1251" i="489"/>
  <c r="EF1252" i="489"/>
  <c r="EF1248" i="489"/>
  <c r="EF1249" i="489"/>
  <c r="EF1250" i="489"/>
  <c r="EF1254" i="489"/>
  <c r="EF1253" i="489"/>
  <c r="EF1255" i="489"/>
  <c r="EF1257" i="489"/>
  <c r="EF1260" i="489"/>
  <c r="EF1214" i="489"/>
  <c r="EF1215" i="489"/>
  <c r="EF1216" i="489"/>
  <c r="EF1259" i="489"/>
  <c r="EF1211" i="489"/>
  <c r="EF1213" i="489"/>
  <c r="EF1258" i="489"/>
  <c r="EF1209" i="489"/>
  <c r="EF1210" i="489"/>
  <c r="EF1261" i="489"/>
  <c r="EF1217" i="489"/>
  <c r="EF1212" i="489"/>
  <c r="EF1219" i="489"/>
  <c r="EF1220" i="489"/>
  <c r="EF1221" i="489"/>
  <c r="EF1224" i="489"/>
  <c r="EF1225" i="489"/>
  <c r="EF1226" i="489"/>
  <c r="EF1227" i="489"/>
  <c r="EF1229" i="489"/>
  <c r="EF1230" i="489"/>
  <c r="EF1231" i="489"/>
  <c r="EF1223" i="489"/>
  <c r="EF1222" i="489"/>
  <c r="EF1232" i="489"/>
  <c r="EF1233" i="489"/>
  <c r="EF1181" i="489"/>
  <c r="EF1182" i="489"/>
  <c r="EF1183" i="489"/>
  <c r="EF1184" i="489"/>
  <c r="EF1185" i="489"/>
  <c r="EF1186" i="489"/>
  <c r="EF1187" i="489"/>
  <c r="EF1188" i="489"/>
  <c r="EF1189" i="489"/>
  <c r="EF1191" i="489"/>
  <c r="EF1192" i="489"/>
  <c r="EF1193" i="489"/>
  <c r="EF1194" i="489"/>
  <c r="EF1195" i="489"/>
  <c r="EF1196" i="489"/>
  <c r="EF1197" i="489"/>
  <c r="EF1198" i="489"/>
  <c r="EF1199" i="489"/>
  <c r="EF1201" i="489"/>
  <c r="EF1202" i="489"/>
  <c r="EF1203" i="489"/>
  <c r="EF1204" i="489"/>
  <c r="EF1205" i="489"/>
  <c r="EQ1237" i="489"/>
  <c r="EQ1238" i="489"/>
  <c r="EQ1239" i="489"/>
  <c r="EQ1240" i="489"/>
  <c r="EQ1241" i="489"/>
  <c r="EQ1242" i="489"/>
  <c r="EQ1243" i="489"/>
  <c r="EQ1244" i="489"/>
  <c r="EQ1245" i="489"/>
  <c r="EQ1247" i="489"/>
  <c r="EQ1248" i="489"/>
  <c r="EQ1249" i="489"/>
  <c r="EQ1250" i="489"/>
  <c r="EQ1251" i="489"/>
  <c r="EQ1255" i="489"/>
  <c r="EQ1258" i="489"/>
  <c r="EQ1259" i="489"/>
  <c r="EQ1209" i="489"/>
  <c r="EQ1210" i="489"/>
  <c r="EQ1211" i="489"/>
  <c r="EQ1212" i="489"/>
  <c r="EQ1213" i="489"/>
  <c r="EQ1254" i="489"/>
  <c r="EQ1253" i="489"/>
  <c r="EQ1252" i="489"/>
  <c r="EQ1260" i="489"/>
  <c r="EQ1214" i="489"/>
  <c r="EQ1215" i="489"/>
  <c r="EQ1216" i="489"/>
  <c r="EQ1217" i="489"/>
  <c r="EQ1257" i="489"/>
  <c r="EQ1219" i="489"/>
  <c r="EQ1220" i="489"/>
  <c r="EQ1261" i="489"/>
  <c r="EQ1224" i="489"/>
  <c r="EQ1225" i="489"/>
  <c r="EQ1226" i="489"/>
  <c r="EQ1227" i="489"/>
  <c r="EQ1229" i="489"/>
  <c r="EQ1230" i="489"/>
  <c r="EQ1231" i="489"/>
  <c r="EQ1232" i="489"/>
  <c r="EQ1223" i="489"/>
  <c r="EQ1222" i="489"/>
  <c r="EQ1221" i="489"/>
  <c r="EQ1233" i="489"/>
  <c r="EQ1181" i="489"/>
  <c r="EQ1183" i="489"/>
  <c r="EQ1184" i="489"/>
  <c r="EQ1185" i="489"/>
  <c r="EQ1186" i="489"/>
  <c r="EQ1187" i="489"/>
  <c r="EQ1188" i="489"/>
  <c r="EQ1189" i="489"/>
  <c r="EQ1191" i="489"/>
  <c r="EQ1192" i="489"/>
  <c r="EQ1193" i="489"/>
  <c r="EQ1194" i="489"/>
  <c r="EQ1195" i="489"/>
  <c r="EQ1182" i="489"/>
  <c r="EQ1196" i="489"/>
  <c r="EQ1197" i="489"/>
  <c r="EQ1198" i="489"/>
  <c r="EQ1199" i="489"/>
  <c r="EQ1201" i="489"/>
  <c r="EQ1202" i="489"/>
  <c r="EQ1203" i="489"/>
  <c r="EQ1204" i="489"/>
  <c r="EQ1205" i="489"/>
  <c r="N1245" i="489"/>
  <c r="N1247" i="489"/>
  <c r="N1248" i="489"/>
  <c r="N1249" i="489"/>
  <c r="N1244" i="489"/>
  <c r="N1237" i="489"/>
  <c r="N1238" i="489"/>
  <c r="N1239" i="489"/>
  <c r="N1240" i="489"/>
  <c r="N1241" i="489"/>
  <c r="N1242" i="489"/>
  <c r="N1243" i="489"/>
  <c r="N1250" i="489"/>
  <c r="N1251" i="489"/>
  <c r="N1252" i="489"/>
  <c r="N1253" i="489"/>
  <c r="N1260" i="489"/>
  <c r="N1255" i="489"/>
  <c r="N1257" i="489"/>
  <c r="N1254" i="489"/>
  <c r="N1258" i="489"/>
  <c r="N1259" i="489"/>
  <c r="N1209" i="489"/>
  <c r="N1210" i="489"/>
  <c r="N1211" i="489"/>
  <c r="N1212" i="489"/>
  <c r="N1213" i="489"/>
  <c r="N1214" i="489"/>
  <c r="N1261" i="489"/>
  <c r="N1215" i="489"/>
  <c r="N1216" i="489"/>
  <c r="N1217" i="489"/>
  <c r="N1219" i="489"/>
  <c r="N1220" i="489"/>
  <c r="N1221" i="489"/>
  <c r="N1222" i="489"/>
  <c r="N1223" i="489"/>
  <c r="N1224" i="489"/>
  <c r="N1225" i="489"/>
  <c r="N1226" i="489"/>
  <c r="N1227" i="489"/>
  <c r="N1229" i="489"/>
  <c r="N1230" i="489"/>
  <c r="N1231" i="489"/>
  <c r="N1233" i="489"/>
  <c r="N1181" i="489"/>
  <c r="N1182" i="489"/>
  <c r="N1183" i="489"/>
  <c r="N1232" i="489"/>
  <c r="N1184" i="489"/>
  <c r="N1185" i="489"/>
  <c r="N1186" i="489"/>
  <c r="N1187" i="489"/>
  <c r="N1188" i="489"/>
  <c r="N1189" i="489"/>
  <c r="N1191" i="489"/>
  <c r="N1192" i="489"/>
  <c r="N1193" i="489"/>
  <c r="N1194" i="489"/>
  <c r="N1195" i="489"/>
  <c r="N1196" i="489"/>
  <c r="N1197" i="489"/>
  <c r="N1198" i="489"/>
  <c r="N1199" i="489"/>
  <c r="N1201" i="489"/>
  <c r="N1202" i="489"/>
  <c r="N1203" i="489"/>
  <c r="N1204" i="489"/>
  <c r="N1205" i="489"/>
  <c r="Z1244" i="489"/>
  <c r="Z1245" i="489"/>
  <c r="Z1247" i="489"/>
  <c r="Z1248" i="489"/>
  <c r="Z1249" i="489"/>
  <c r="Z1243" i="489"/>
  <c r="Z1237" i="489"/>
  <c r="Z1238" i="489"/>
  <c r="Z1239" i="489"/>
  <c r="Z1240" i="489"/>
  <c r="Z1241" i="489"/>
  <c r="Z1242" i="489"/>
  <c r="Z1250" i="489"/>
  <c r="Z1251" i="489"/>
  <c r="Z1252" i="489"/>
  <c r="Z1253" i="489"/>
  <c r="Z1254" i="489"/>
  <c r="Z1255" i="489"/>
  <c r="Z1257" i="489"/>
  <c r="Z1260" i="489"/>
  <c r="Z1258" i="489"/>
  <c r="Z1259" i="489"/>
  <c r="Z1261" i="489"/>
  <c r="Z1210" i="489"/>
  <c r="Z1211" i="489"/>
  <c r="Z1212" i="489"/>
  <c r="Z1213" i="489"/>
  <c r="Z1214" i="489"/>
  <c r="Z1215" i="489"/>
  <c r="Z1216" i="489"/>
  <c r="Z1217" i="489"/>
  <c r="Z1219" i="489"/>
  <c r="Z1220" i="489"/>
  <c r="Z1221" i="489"/>
  <c r="Z1222" i="489"/>
  <c r="Z1223" i="489"/>
  <c r="Z1224" i="489"/>
  <c r="Z1225" i="489"/>
  <c r="Z1226" i="489"/>
  <c r="Z1227" i="489"/>
  <c r="Z1229" i="489"/>
  <c r="Z1230" i="489"/>
  <c r="Z1231" i="489"/>
  <c r="Z1233" i="489"/>
  <c r="Z1232" i="489"/>
  <c r="Z1181" i="489"/>
  <c r="Z1183" i="489"/>
  <c r="Z1184" i="489"/>
  <c r="Z1186" i="489"/>
  <c r="Z1187" i="489"/>
  <c r="Z1188" i="489"/>
  <c r="Z1189" i="489"/>
  <c r="Z1191" i="489"/>
  <c r="Z1192" i="489"/>
  <c r="Z1193" i="489"/>
  <c r="Z1194" i="489"/>
  <c r="Z1195" i="489"/>
  <c r="Z1196" i="489"/>
  <c r="Z1197" i="489"/>
  <c r="Z1198" i="489"/>
  <c r="Z1199" i="489"/>
  <c r="Z1201" i="489"/>
  <c r="Z1202" i="489"/>
  <c r="Z1203" i="489"/>
  <c r="Z1204" i="489"/>
  <c r="Z1205" i="489"/>
  <c r="AM1237" i="489"/>
  <c r="AM1238" i="489"/>
  <c r="AM1239" i="489"/>
  <c r="AM1240" i="489"/>
  <c r="AM1241" i="489"/>
  <c r="AM1242" i="489"/>
  <c r="AM1243" i="489"/>
  <c r="AM1244" i="489"/>
  <c r="AM1245" i="489"/>
  <c r="AM1249" i="489"/>
  <c r="AM1250" i="489"/>
  <c r="AM1251" i="489"/>
  <c r="AM1247" i="489"/>
  <c r="AM1248" i="489"/>
  <c r="AM1254" i="489"/>
  <c r="AM1255" i="489"/>
  <c r="AM1253" i="489"/>
  <c r="AM1257" i="489"/>
  <c r="AM1252" i="489"/>
  <c r="AM1258" i="489"/>
  <c r="AM1259" i="489"/>
  <c r="AM1260" i="489"/>
  <c r="AM1209" i="489"/>
  <c r="AM1210" i="489"/>
  <c r="AM1211" i="489"/>
  <c r="AM1212" i="489"/>
  <c r="AM1213" i="489"/>
  <c r="AM1261" i="489"/>
  <c r="AM1214" i="489"/>
  <c r="AM1215" i="489"/>
  <c r="AM1216" i="489"/>
  <c r="AM1217" i="489"/>
  <c r="AM1219" i="489"/>
  <c r="AM1220" i="489"/>
  <c r="AM1221" i="489"/>
  <c r="AM1224" i="489"/>
  <c r="AM1225" i="489"/>
  <c r="AM1226" i="489"/>
  <c r="AM1227" i="489"/>
  <c r="AM1229" i="489"/>
  <c r="AM1230" i="489"/>
  <c r="AM1231" i="489"/>
  <c r="AM1232" i="489"/>
  <c r="AM1233" i="489"/>
  <c r="AM1222" i="489"/>
  <c r="AM1223" i="489"/>
  <c r="AM1181" i="489"/>
  <c r="AM1182" i="489"/>
  <c r="AM1184" i="489"/>
  <c r="AM1185" i="489"/>
  <c r="AM1186" i="489"/>
  <c r="AM1187" i="489"/>
  <c r="AM1188" i="489"/>
  <c r="AM1189" i="489"/>
  <c r="AM1191" i="489"/>
  <c r="AM1193" i="489"/>
  <c r="AM1194" i="489"/>
  <c r="AM1195" i="489"/>
  <c r="AM1183" i="489"/>
  <c r="AM1197" i="489"/>
  <c r="AM1196" i="489"/>
  <c r="AM1198" i="489"/>
  <c r="AM1199" i="489"/>
  <c r="AM1201" i="489"/>
  <c r="AM1202" i="489"/>
  <c r="AM1203" i="489"/>
  <c r="AM1204" i="489"/>
  <c r="AM1205" i="489"/>
  <c r="AY1237" i="489"/>
  <c r="AY1238" i="489"/>
  <c r="AY1239" i="489"/>
  <c r="AY1240" i="489"/>
  <c r="AY1241" i="489"/>
  <c r="AY1242" i="489"/>
  <c r="AY1243" i="489"/>
  <c r="AY1244" i="489"/>
  <c r="AY1245" i="489"/>
  <c r="AY1247" i="489"/>
  <c r="AY1248" i="489"/>
  <c r="AY1249" i="489"/>
  <c r="AY1250" i="489"/>
  <c r="AY1251" i="489"/>
  <c r="AY1252" i="489"/>
  <c r="AY1258" i="489"/>
  <c r="AY1259" i="489"/>
  <c r="AY1260" i="489"/>
  <c r="AY1209" i="489"/>
  <c r="AY1210" i="489"/>
  <c r="AY1211" i="489"/>
  <c r="AY1212" i="489"/>
  <c r="AY1213" i="489"/>
  <c r="AY1255" i="489"/>
  <c r="AY1254" i="489"/>
  <c r="AY1253" i="489"/>
  <c r="AY1257" i="489"/>
  <c r="AY1214" i="489"/>
  <c r="AY1215" i="489"/>
  <c r="AY1216" i="489"/>
  <c r="AY1217" i="489"/>
  <c r="AY1261" i="489"/>
  <c r="AY1219" i="489"/>
  <c r="AY1220" i="489"/>
  <c r="AY1221" i="489"/>
  <c r="AY1222" i="489"/>
  <c r="AY1224" i="489"/>
  <c r="AY1225" i="489"/>
  <c r="AY1226" i="489"/>
  <c r="AY1227" i="489"/>
  <c r="AY1229" i="489"/>
  <c r="AY1230" i="489"/>
  <c r="AY1231" i="489"/>
  <c r="AY1232" i="489"/>
  <c r="AY1233" i="489"/>
  <c r="AY1223" i="489"/>
  <c r="AY1181" i="489"/>
  <c r="AY1182" i="489"/>
  <c r="AY1183" i="489"/>
  <c r="AY1184" i="489"/>
  <c r="AY1185" i="489"/>
  <c r="AY1186" i="489"/>
  <c r="AY1187" i="489"/>
  <c r="AY1188" i="489"/>
  <c r="AY1189" i="489"/>
  <c r="AY1191" i="489"/>
  <c r="AY1192" i="489"/>
  <c r="AY1193" i="489"/>
  <c r="AY1194" i="489"/>
  <c r="AY1195" i="489"/>
  <c r="AY1196" i="489"/>
  <c r="AY1197" i="489"/>
  <c r="AY1198" i="489"/>
  <c r="AY1199" i="489"/>
  <c r="AY1201" i="489"/>
  <c r="AY1202" i="489"/>
  <c r="AY1203" i="489"/>
  <c r="AY1204" i="489"/>
  <c r="AY1205" i="489"/>
  <c r="BK1237" i="489"/>
  <c r="BK1238" i="489"/>
  <c r="BK1239" i="489"/>
  <c r="BK1240" i="489"/>
  <c r="BK1241" i="489"/>
  <c r="BK1242" i="489"/>
  <c r="BK1243" i="489"/>
  <c r="BK1244" i="489"/>
  <c r="BK1245" i="489"/>
  <c r="BK1247" i="489"/>
  <c r="BK1248" i="489"/>
  <c r="BK1249" i="489"/>
  <c r="BK1250" i="489"/>
  <c r="BK1251" i="489"/>
  <c r="BK1252" i="489"/>
  <c r="BK1253" i="489"/>
  <c r="BK1255" i="489"/>
  <c r="BK1257" i="489"/>
  <c r="BK1258" i="489"/>
  <c r="BK1259" i="489"/>
  <c r="BK1260" i="489"/>
  <c r="BK1261" i="489"/>
  <c r="BK1209" i="489"/>
  <c r="BK1210" i="489"/>
  <c r="BK1211" i="489"/>
  <c r="BK1212" i="489"/>
  <c r="BK1213" i="489"/>
  <c r="BK1214" i="489"/>
  <c r="BK1217" i="489"/>
  <c r="BK1219" i="489"/>
  <c r="BK1220" i="489"/>
  <c r="BK1221" i="489"/>
  <c r="BK1224" i="489"/>
  <c r="BK1226" i="489"/>
  <c r="BK1227" i="489"/>
  <c r="BK1229" i="489"/>
  <c r="BK1230" i="489"/>
  <c r="BK1231" i="489"/>
  <c r="BK1232" i="489"/>
  <c r="BK1233" i="489"/>
  <c r="BK1222" i="489"/>
  <c r="BK1223" i="489"/>
  <c r="BK1181" i="489"/>
  <c r="BK1182" i="489"/>
  <c r="BK1184" i="489"/>
  <c r="BK1185" i="489"/>
  <c r="BK1186" i="489"/>
  <c r="BK1187" i="489"/>
  <c r="BK1188" i="489"/>
  <c r="BK1189" i="489"/>
  <c r="BK1191" i="489"/>
  <c r="BK1192" i="489"/>
  <c r="BK1193" i="489"/>
  <c r="BK1194" i="489"/>
  <c r="BK1195" i="489"/>
  <c r="BK1183" i="489"/>
  <c r="BK1196" i="489"/>
  <c r="BK1197" i="489"/>
  <c r="BK1198" i="489"/>
  <c r="BK1199" i="489"/>
  <c r="BK1201" i="489"/>
  <c r="BK1202" i="489"/>
  <c r="BK1203" i="489"/>
  <c r="BK1204" i="489"/>
  <c r="BK1205" i="489"/>
  <c r="BW1237" i="489"/>
  <c r="BW1238" i="489"/>
  <c r="BW1239" i="489"/>
  <c r="BW1240" i="489"/>
  <c r="BW1241" i="489"/>
  <c r="BW1242" i="489"/>
  <c r="BW1243" i="489"/>
  <c r="BW1244" i="489"/>
  <c r="BW1245" i="489"/>
  <c r="BW1247" i="489"/>
  <c r="BW1251" i="489"/>
  <c r="BW1248" i="489"/>
  <c r="BW1252" i="489"/>
  <c r="BW1250" i="489"/>
  <c r="BW1257" i="489"/>
  <c r="BW1258" i="489"/>
  <c r="BW1259" i="489"/>
  <c r="BW1260" i="489"/>
  <c r="BW1209" i="489"/>
  <c r="BW1210" i="489"/>
  <c r="BW1211" i="489"/>
  <c r="BW1212" i="489"/>
  <c r="BW1213" i="489"/>
  <c r="BW1249" i="489"/>
  <c r="BW1254" i="489"/>
  <c r="BW1255" i="489"/>
  <c r="BW1253" i="489"/>
  <c r="BW1214" i="489"/>
  <c r="BW1215" i="489"/>
  <c r="BW1216" i="489"/>
  <c r="BW1217" i="489"/>
  <c r="BW1261" i="489"/>
  <c r="BW1219" i="489"/>
  <c r="BW1220" i="489"/>
  <c r="BW1221" i="489"/>
  <c r="BW1224" i="489"/>
  <c r="BW1225" i="489"/>
  <c r="BW1226" i="489"/>
  <c r="BW1227" i="489"/>
  <c r="BW1229" i="489"/>
  <c r="BW1230" i="489"/>
  <c r="BW1231" i="489"/>
  <c r="BW1232" i="489"/>
  <c r="BW1233" i="489"/>
  <c r="BW1223" i="489"/>
  <c r="BW1222" i="489"/>
  <c r="BW1182" i="489"/>
  <c r="BW1184" i="489"/>
  <c r="BW1185" i="489"/>
  <c r="BW1186" i="489"/>
  <c r="BW1187" i="489"/>
  <c r="BW1188" i="489"/>
  <c r="BW1189" i="489"/>
  <c r="BW1191" i="489"/>
  <c r="BW1192" i="489"/>
  <c r="BW1193" i="489"/>
  <c r="BW1194" i="489"/>
  <c r="BW1195" i="489"/>
  <c r="BW1183" i="489"/>
  <c r="BW1197" i="489"/>
  <c r="BW1196" i="489"/>
  <c r="BW1198" i="489"/>
  <c r="BW1199" i="489"/>
  <c r="BW1201" i="489"/>
  <c r="BW1202" i="489"/>
  <c r="BW1203" i="489"/>
  <c r="BW1204" i="489"/>
  <c r="BW1205" i="489"/>
  <c r="CI1237" i="489"/>
  <c r="CI1238" i="489"/>
  <c r="CI1239" i="489"/>
  <c r="CI1240" i="489"/>
  <c r="CI1241" i="489"/>
  <c r="CI1242" i="489"/>
  <c r="CI1243" i="489"/>
  <c r="CI1244" i="489"/>
  <c r="CI1245" i="489"/>
  <c r="CI1248" i="489"/>
  <c r="CI1249" i="489"/>
  <c r="CI1250" i="489"/>
  <c r="CI1247" i="489"/>
  <c r="CI1257" i="489"/>
  <c r="CI1252" i="489"/>
  <c r="CI1253" i="489"/>
  <c r="CI1254" i="489"/>
  <c r="CI1251" i="489"/>
  <c r="CI1255" i="489"/>
  <c r="CI1258" i="489"/>
  <c r="CI1259" i="489"/>
  <c r="CI1260" i="489"/>
  <c r="CI1210" i="489"/>
  <c r="CI1211" i="489"/>
  <c r="CI1212" i="489"/>
  <c r="CI1213" i="489"/>
  <c r="CI1261" i="489"/>
  <c r="CI1214" i="489"/>
  <c r="CI1215" i="489"/>
  <c r="CI1216" i="489"/>
  <c r="CI1217" i="489"/>
  <c r="CI1219" i="489"/>
  <c r="CI1220" i="489"/>
  <c r="CI1221" i="489"/>
  <c r="CI1224" i="489"/>
  <c r="CI1225" i="489"/>
  <c r="CI1226" i="489"/>
  <c r="CI1227" i="489"/>
  <c r="CI1229" i="489"/>
  <c r="CI1230" i="489"/>
  <c r="CI1231" i="489"/>
  <c r="CI1232" i="489"/>
  <c r="CI1233" i="489"/>
  <c r="CI1222" i="489"/>
  <c r="CI1223" i="489"/>
  <c r="CI1181" i="489"/>
  <c r="CI1182" i="489"/>
  <c r="CI1184" i="489"/>
  <c r="CI1185" i="489"/>
  <c r="CI1186" i="489"/>
  <c r="CI1187" i="489"/>
  <c r="CI1188" i="489"/>
  <c r="CI1189" i="489"/>
  <c r="CI1191" i="489"/>
  <c r="CI1192" i="489"/>
  <c r="CI1193" i="489"/>
  <c r="CI1194" i="489"/>
  <c r="CI1195" i="489"/>
  <c r="CI1183" i="489"/>
  <c r="CI1196" i="489"/>
  <c r="CI1197" i="489"/>
  <c r="CI1198" i="489"/>
  <c r="CI1199" i="489"/>
  <c r="CI1201" i="489"/>
  <c r="CI1202" i="489"/>
  <c r="CI1203" i="489"/>
  <c r="CI1204" i="489"/>
  <c r="CI1205" i="489"/>
  <c r="CU1237" i="489"/>
  <c r="CU1238" i="489"/>
  <c r="CU1239" i="489"/>
  <c r="CU1240" i="489"/>
  <c r="CU1241" i="489"/>
  <c r="CU1242" i="489"/>
  <c r="CU1243" i="489"/>
  <c r="CU1244" i="489"/>
  <c r="CU1245" i="489"/>
  <c r="CU1249" i="489"/>
  <c r="CU1250" i="489"/>
  <c r="CU1247" i="489"/>
  <c r="CU1252" i="489"/>
  <c r="CU1248" i="489"/>
  <c r="CU1251" i="489"/>
  <c r="CU1253" i="489"/>
  <c r="CU1254" i="489"/>
  <c r="CU1257" i="489"/>
  <c r="CU1255" i="489"/>
  <c r="CU1258" i="489"/>
  <c r="CU1259" i="489"/>
  <c r="CU1260" i="489"/>
  <c r="CU1209" i="489"/>
  <c r="CU1210" i="489"/>
  <c r="CU1211" i="489"/>
  <c r="CU1212" i="489"/>
  <c r="CU1213" i="489"/>
  <c r="CU1261" i="489"/>
  <c r="CU1214" i="489"/>
  <c r="CU1215" i="489"/>
  <c r="CU1216" i="489"/>
  <c r="CU1217" i="489"/>
  <c r="CU1219" i="489"/>
  <c r="CU1220" i="489"/>
  <c r="CU1224" i="489"/>
  <c r="CU1225" i="489"/>
  <c r="CU1226" i="489"/>
  <c r="CU1227" i="489"/>
  <c r="CU1229" i="489"/>
  <c r="CU1230" i="489"/>
  <c r="CU1231" i="489"/>
  <c r="CU1232" i="489"/>
  <c r="CU1223" i="489"/>
  <c r="CU1222" i="489"/>
  <c r="CU1221" i="489"/>
  <c r="CU1233" i="489"/>
  <c r="CU1181" i="489"/>
  <c r="CU1184" i="489"/>
  <c r="CU1185" i="489"/>
  <c r="CU1186" i="489"/>
  <c r="CU1187" i="489"/>
  <c r="CU1188" i="489"/>
  <c r="CU1189" i="489"/>
  <c r="CU1191" i="489"/>
  <c r="CU1192" i="489"/>
  <c r="CU1193" i="489"/>
  <c r="CU1194" i="489"/>
  <c r="CU1195" i="489"/>
  <c r="CU1182" i="489"/>
  <c r="CU1183" i="489"/>
  <c r="CU1196" i="489"/>
  <c r="CU1197" i="489"/>
  <c r="CU1198" i="489"/>
  <c r="CU1199" i="489"/>
  <c r="CU1201" i="489"/>
  <c r="CU1202" i="489"/>
  <c r="CU1203" i="489"/>
  <c r="CU1204" i="489"/>
  <c r="CU1205" i="489"/>
  <c r="DG1237" i="489"/>
  <c r="DG1238" i="489"/>
  <c r="DG1239" i="489"/>
  <c r="DG1240" i="489"/>
  <c r="DG1241" i="489"/>
  <c r="DG1242" i="489"/>
  <c r="DG1243" i="489"/>
  <c r="DG1244" i="489"/>
  <c r="DG1245" i="489"/>
  <c r="DG1248" i="489"/>
  <c r="DG1251" i="489"/>
  <c r="DG1249" i="489"/>
  <c r="DG1250" i="489"/>
  <c r="DG1247" i="489"/>
  <c r="DG1253" i="489"/>
  <c r="DG1254" i="489"/>
  <c r="DG1258" i="489"/>
  <c r="DG1259" i="489"/>
  <c r="DG1260" i="489"/>
  <c r="DG1252" i="489"/>
  <c r="DG1209" i="489"/>
  <c r="DG1210" i="489"/>
  <c r="DG1211" i="489"/>
  <c r="DG1212" i="489"/>
  <c r="DG1213" i="489"/>
  <c r="DG1261" i="489"/>
  <c r="DG1257" i="489"/>
  <c r="DG1255" i="489"/>
  <c r="DG1214" i="489"/>
  <c r="DG1215" i="489"/>
  <c r="DG1216" i="489"/>
  <c r="DG1217" i="489"/>
  <c r="DG1219" i="489"/>
  <c r="DG1220" i="489"/>
  <c r="DG1224" i="489"/>
  <c r="DG1225" i="489"/>
  <c r="DG1226" i="489"/>
  <c r="DG1227" i="489"/>
  <c r="DG1229" i="489"/>
  <c r="DG1230" i="489"/>
  <c r="DG1231" i="489"/>
  <c r="DG1232" i="489"/>
  <c r="DG1222" i="489"/>
  <c r="DG1221" i="489"/>
  <c r="DG1223" i="489"/>
  <c r="DG1233" i="489"/>
  <c r="DG1181" i="489"/>
  <c r="DG1183" i="489"/>
  <c r="DG1184" i="489"/>
  <c r="DG1185" i="489"/>
  <c r="DG1186" i="489"/>
  <c r="DG1187" i="489"/>
  <c r="DG1188" i="489"/>
  <c r="DG1189" i="489"/>
  <c r="DG1191" i="489"/>
  <c r="DG1192" i="489"/>
  <c r="DG1193" i="489"/>
  <c r="DG1194" i="489"/>
  <c r="DG1195" i="489"/>
  <c r="DG1182" i="489"/>
  <c r="DG1196" i="489"/>
  <c r="DG1197" i="489"/>
  <c r="DG1198" i="489"/>
  <c r="DG1199" i="489"/>
  <c r="DG1201" i="489"/>
  <c r="DG1202" i="489"/>
  <c r="DG1203" i="489"/>
  <c r="DG1204" i="489"/>
  <c r="DG1205" i="489"/>
  <c r="DS1237" i="489"/>
  <c r="DS1238" i="489"/>
  <c r="DS1239" i="489"/>
  <c r="DS1240" i="489"/>
  <c r="DS1241" i="489"/>
  <c r="DS1242" i="489"/>
  <c r="DS1243" i="489"/>
  <c r="DS1244" i="489"/>
  <c r="DS1245" i="489"/>
  <c r="DS1247" i="489"/>
  <c r="DS1249" i="489"/>
  <c r="DS1250" i="489"/>
  <c r="DS1248" i="489"/>
  <c r="DS1253" i="489"/>
  <c r="DS1254" i="489"/>
  <c r="DS1251" i="489"/>
  <c r="DS1255" i="489"/>
  <c r="DS1258" i="489"/>
  <c r="DS1259" i="489"/>
  <c r="DS1209" i="489"/>
  <c r="DS1210" i="489"/>
  <c r="DS1211" i="489"/>
  <c r="DS1212" i="489"/>
  <c r="DS1213" i="489"/>
  <c r="DS1252" i="489"/>
  <c r="DS1260" i="489"/>
  <c r="DS1214" i="489"/>
  <c r="DS1215" i="489"/>
  <c r="DS1216" i="489"/>
  <c r="DS1217" i="489"/>
  <c r="DS1257" i="489"/>
  <c r="DS1261" i="489"/>
  <c r="DS1219" i="489"/>
  <c r="DS1220" i="489"/>
  <c r="DS1224" i="489"/>
  <c r="DS1225" i="489"/>
  <c r="DS1226" i="489"/>
  <c r="DS1227" i="489"/>
  <c r="DS1229" i="489"/>
  <c r="DS1230" i="489"/>
  <c r="DS1231" i="489"/>
  <c r="DS1232" i="489"/>
  <c r="DS1223" i="489"/>
  <c r="DS1221" i="489"/>
  <c r="DS1222" i="489"/>
  <c r="DS1233" i="489"/>
  <c r="DS1181" i="489"/>
  <c r="DS1183" i="489"/>
  <c r="DS1184" i="489"/>
  <c r="DS1185" i="489"/>
  <c r="DS1186" i="489"/>
  <c r="DS1187" i="489"/>
  <c r="DS1188" i="489"/>
  <c r="DS1189" i="489"/>
  <c r="DS1191" i="489"/>
  <c r="DS1192" i="489"/>
  <c r="DS1193" i="489"/>
  <c r="DS1194" i="489"/>
  <c r="DS1195" i="489"/>
  <c r="DS1182" i="489"/>
  <c r="DS1196" i="489"/>
  <c r="DS1197" i="489"/>
  <c r="DS1198" i="489"/>
  <c r="DS1199" i="489"/>
  <c r="DS1201" i="489"/>
  <c r="DS1202" i="489"/>
  <c r="DS1203" i="489"/>
  <c r="DS1204" i="489"/>
  <c r="DS1205" i="489"/>
  <c r="EG1242" i="489"/>
  <c r="EG1237" i="489"/>
  <c r="EG1238" i="489"/>
  <c r="EG1239" i="489"/>
  <c r="EG1240" i="489"/>
  <c r="EG1241" i="489"/>
  <c r="EG1243" i="489"/>
  <c r="EG1248" i="489"/>
  <c r="EG1247" i="489"/>
  <c r="EG1245" i="489"/>
  <c r="EG1249" i="489"/>
  <c r="EG1250" i="489"/>
  <c r="EG1253" i="489"/>
  <c r="EG1254" i="489"/>
  <c r="EG1255" i="489"/>
  <c r="EG1258" i="489"/>
  <c r="EG1259" i="489"/>
  <c r="EG1260" i="489"/>
  <c r="EG1261" i="489"/>
  <c r="EG1244" i="489"/>
  <c r="EG1251" i="489"/>
  <c r="EG1257" i="489"/>
  <c r="EG1252" i="489"/>
  <c r="EG1212" i="489"/>
  <c r="EG1211" i="489"/>
  <c r="EG1213" i="489"/>
  <c r="EG1217" i="489"/>
  <c r="EG1210" i="489"/>
  <c r="EG1215" i="489"/>
  <c r="EG1209" i="489"/>
  <c r="EG1216" i="489"/>
  <c r="EG1219" i="489"/>
  <c r="EG1220" i="489"/>
  <c r="EG1214" i="489"/>
  <c r="EG1221" i="489"/>
  <c r="EG1224" i="489"/>
  <c r="EG1225" i="489"/>
  <c r="EG1226" i="489"/>
  <c r="EG1227" i="489"/>
  <c r="EG1229" i="489"/>
  <c r="EG1230" i="489"/>
  <c r="EG1231" i="489"/>
  <c r="EG1223" i="489"/>
  <c r="EG1222" i="489"/>
  <c r="EG1232" i="489"/>
  <c r="EG1233" i="489"/>
  <c r="EG1181" i="489"/>
  <c r="EG1182" i="489"/>
  <c r="EG1183" i="489"/>
  <c r="EG1184" i="489"/>
  <c r="EG1185" i="489"/>
  <c r="EG1186" i="489"/>
  <c r="EG1187" i="489"/>
  <c r="EG1188" i="489"/>
  <c r="EG1189" i="489"/>
  <c r="EG1191" i="489"/>
  <c r="EG1192" i="489"/>
  <c r="EG1193" i="489"/>
  <c r="EG1194" i="489"/>
  <c r="EG1197" i="489"/>
  <c r="EG1198" i="489"/>
  <c r="EG1199" i="489"/>
  <c r="EG1201" i="489"/>
  <c r="EG1202" i="489"/>
  <c r="EG1203" i="489"/>
  <c r="EG1204" i="489"/>
  <c r="EG1205" i="489"/>
  <c r="EG1196" i="489"/>
  <c r="EG1195" i="489"/>
  <c r="ER1237" i="489"/>
  <c r="ER1238" i="489"/>
  <c r="ER1239" i="489"/>
  <c r="ER1240" i="489"/>
  <c r="ER1241" i="489"/>
  <c r="ER1242" i="489"/>
  <c r="ER1243" i="489"/>
  <c r="ER1244" i="489"/>
  <c r="ER1245" i="489"/>
  <c r="ER1249" i="489"/>
  <c r="ER1250" i="489"/>
  <c r="ER1248" i="489"/>
  <c r="ER1247" i="489"/>
  <c r="ER1257" i="489"/>
  <c r="ER1252" i="489"/>
  <c r="ER1255" i="489"/>
  <c r="ER1253" i="489"/>
  <c r="ER1254" i="489"/>
  <c r="ER1260" i="489"/>
  <c r="ER1251" i="489"/>
  <c r="ER1261" i="489"/>
  <c r="ER1211" i="489"/>
  <c r="ER1214" i="489"/>
  <c r="ER1215" i="489"/>
  <c r="ER1216" i="489"/>
  <c r="ER1213" i="489"/>
  <c r="ER1209" i="489"/>
  <c r="ER1210" i="489"/>
  <c r="ER1212" i="489"/>
  <c r="ER1259" i="489"/>
  <c r="ER1219" i="489"/>
  <c r="ER1220" i="489"/>
  <c r="ER1217" i="489"/>
  <c r="ER1258" i="489"/>
  <c r="ER1224" i="489"/>
  <c r="ER1225" i="489"/>
  <c r="ER1226" i="489"/>
  <c r="ER1227" i="489"/>
  <c r="ER1229" i="489"/>
  <c r="ER1230" i="489"/>
  <c r="ER1223" i="489"/>
  <c r="ER1222" i="489"/>
  <c r="ER1221" i="489"/>
  <c r="ER1232" i="489"/>
  <c r="ER1233" i="489"/>
  <c r="ER1181" i="489"/>
  <c r="ER1182" i="489"/>
  <c r="ER1231" i="489"/>
  <c r="ER1183" i="489"/>
  <c r="ER1184" i="489"/>
  <c r="ER1185" i="489"/>
  <c r="ER1186" i="489"/>
  <c r="ER1187" i="489"/>
  <c r="ER1188" i="489"/>
  <c r="ER1189" i="489"/>
  <c r="ER1191" i="489"/>
  <c r="ER1192" i="489"/>
  <c r="ER1193" i="489"/>
  <c r="ER1194" i="489"/>
  <c r="ER1195" i="489"/>
  <c r="ER1196" i="489"/>
  <c r="ER1197" i="489"/>
  <c r="ER1198" i="489"/>
  <c r="ER1199" i="489"/>
  <c r="ER1201" i="489"/>
  <c r="ER1202" i="489"/>
  <c r="ER1203" i="489"/>
  <c r="ER1204" i="489"/>
  <c r="ER1205" i="489"/>
  <c r="O1237" i="489"/>
  <c r="O1238" i="489"/>
  <c r="O1239" i="489"/>
  <c r="O1240" i="489"/>
  <c r="O1241" i="489"/>
  <c r="O1242" i="489"/>
  <c r="O1243" i="489"/>
  <c r="O1244" i="489"/>
  <c r="O1245" i="489"/>
  <c r="O1248" i="489"/>
  <c r="O1249" i="489"/>
  <c r="O1247" i="489"/>
  <c r="O1250" i="489"/>
  <c r="O1251" i="489"/>
  <c r="O1257" i="489"/>
  <c r="O1258" i="489"/>
  <c r="O1259" i="489"/>
  <c r="O1260" i="489"/>
  <c r="O1209" i="489"/>
  <c r="O1210" i="489"/>
  <c r="O1211" i="489"/>
  <c r="O1212" i="489"/>
  <c r="O1213" i="489"/>
  <c r="O1214" i="489"/>
  <c r="O1252" i="489"/>
  <c r="O1255" i="489"/>
  <c r="O1254" i="489"/>
  <c r="O1261" i="489"/>
  <c r="O1253" i="489"/>
  <c r="O1215" i="489"/>
  <c r="O1216" i="489"/>
  <c r="O1217" i="489"/>
  <c r="O1219" i="489"/>
  <c r="O1220" i="489"/>
  <c r="O1221" i="489"/>
  <c r="O1224" i="489"/>
  <c r="O1225" i="489"/>
  <c r="O1226" i="489"/>
  <c r="O1227" i="489"/>
  <c r="O1229" i="489"/>
  <c r="O1230" i="489"/>
  <c r="O1231" i="489"/>
  <c r="O1232" i="489"/>
  <c r="O1233" i="489"/>
  <c r="O1223" i="489"/>
  <c r="O1222" i="489"/>
  <c r="O1181" i="489"/>
  <c r="O1182" i="489"/>
  <c r="O1184" i="489"/>
  <c r="O1185" i="489"/>
  <c r="O1186" i="489"/>
  <c r="O1187" i="489"/>
  <c r="O1188" i="489"/>
  <c r="O1189" i="489"/>
  <c r="O1191" i="489"/>
  <c r="O1192" i="489"/>
  <c r="O1193" i="489"/>
  <c r="O1194" i="489"/>
  <c r="O1195" i="489"/>
  <c r="O1196" i="489"/>
  <c r="O1183" i="489"/>
  <c r="O1197" i="489"/>
  <c r="O1198" i="489"/>
  <c r="O1199" i="489"/>
  <c r="O1201" i="489"/>
  <c r="O1202" i="489"/>
  <c r="O1203" i="489"/>
  <c r="O1204" i="489"/>
  <c r="O1205" i="489"/>
  <c r="AA1237" i="489"/>
  <c r="AA1238" i="489"/>
  <c r="AA1239" i="489"/>
  <c r="AA1240" i="489"/>
  <c r="AA1241" i="489"/>
  <c r="AA1242" i="489"/>
  <c r="AA1243" i="489"/>
  <c r="AA1244" i="489"/>
  <c r="AA1245" i="489"/>
  <c r="AA1247" i="489"/>
  <c r="AA1248" i="489"/>
  <c r="AA1252" i="489"/>
  <c r="AA1253" i="489"/>
  <c r="AA1249" i="489"/>
  <c r="AA1250" i="489"/>
  <c r="AA1251" i="489"/>
  <c r="AA1258" i="489"/>
  <c r="AA1259" i="489"/>
  <c r="AA1260" i="489"/>
  <c r="AA1209" i="489"/>
  <c r="AA1210" i="489"/>
  <c r="AA1211" i="489"/>
  <c r="AA1212" i="489"/>
  <c r="AA1213" i="489"/>
  <c r="AA1261" i="489"/>
  <c r="AA1255" i="489"/>
  <c r="AA1254" i="489"/>
  <c r="AA1214" i="489"/>
  <c r="AA1215" i="489"/>
  <c r="AA1216" i="489"/>
  <c r="AA1217" i="489"/>
  <c r="AA1257" i="489"/>
  <c r="AA1219" i="489"/>
  <c r="AA1220" i="489"/>
  <c r="AA1221" i="489"/>
  <c r="AA1224" i="489"/>
  <c r="AA1225" i="489"/>
  <c r="AA1226" i="489"/>
  <c r="AA1227" i="489"/>
  <c r="AA1229" i="489"/>
  <c r="AA1230" i="489"/>
  <c r="AA1231" i="489"/>
  <c r="AA1232" i="489"/>
  <c r="AA1233" i="489"/>
  <c r="AA1222" i="489"/>
  <c r="AA1223" i="489"/>
  <c r="AA1181" i="489"/>
  <c r="AA1182" i="489"/>
  <c r="AA1184" i="489"/>
  <c r="AA1185" i="489"/>
  <c r="AA1186" i="489"/>
  <c r="AA1187" i="489"/>
  <c r="AA1188" i="489"/>
  <c r="AA1189" i="489"/>
  <c r="AA1191" i="489"/>
  <c r="AA1192" i="489"/>
  <c r="AA1193" i="489"/>
  <c r="AA1194" i="489"/>
  <c r="AA1195" i="489"/>
  <c r="AA1196" i="489"/>
  <c r="AA1183" i="489"/>
  <c r="AA1197" i="489"/>
  <c r="AA1198" i="489"/>
  <c r="AA1199" i="489"/>
  <c r="AA1201" i="489"/>
  <c r="AA1202" i="489"/>
  <c r="AA1203" i="489"/>
  <c r="AA1204" i="489"/>
  <c r="AA1205" i="489"/>
  <c r="AN1237" i="489"/>
  <c r="AN1239" i="489"/>
  <c r="AN1240" i="489"/>
  <c r="AN1241" i="489"/>
  <c r="AN1242" i="489"/>
  <c r="AN1243" i="489"/>
  <c r="AN1244" i="489"/>
  <c r="AN1245" i="489"/>
  <c r="AN1247" i="489"/>
  <c r="AN1248" i="489"/>
  <c r="AN1250" i="489"/>
  <c r="AN1251" i="489"/>
  <c r="AN1252" i="489"/>
  <c r="AN1253" i="489"/>
  <c r="AN1254" i="489"/>
  <c r="AN1255" i="489"/>
  <c r="AN1261" i="489"/>
  <c r="AN1259" i="489"/>
  <c r="AN1258" i="489"/>
  <c r="AN1214" i="489"/>
  <c r="AN1215" i="489"/>
  <c r="AN1216" i="489"/>
  <c r="AN1217" i="489"/>
  <c r="AN1260" i="489"/>
  <c r="AN1212" i="489"/>
  <c r="AN1257" i="489"/>
  <c r="AN1211" i="489"/>
  <c r="AN1220" i="489"/>
  <c r="AN1221" i="489"/>
  <c r="AN1210" i="489"/>
  <c r="AN1213" i="489"/>
  <c r="AN1224" i="489"/>
  <c r="AN1225" i="489"/>
  <c r="AN1226" i="489"/>
  <c r="AN1227" i="489"/>
  <c r="AN1229" i="489"/>
  <c r="AN1230" i="489"/>
  <c r="AN1231" i="489"/>
  <c r="AN1222" i="489"/>
  <c r="AN1223" i="489"/>
  <c r="AN1233" i="489"/>
  <c r="AN1232" i="489"/>
  <c r="AN1181" i="489"/>
  <c r="AN1182" i="489"/>
  <c r="AN1183" i="489"/>
  <c r="AN1184" i="489"/>
  <c r="AN1185" i="489"/>
  <c r="AN1186" i="489"/>
  <c r="AN1187" i="489"/>
  <c r="AN1188" i="489"/>
  <c r="AN1189" i="489"/>
  <c r="AN1192" i="489"/>
  <c r="AN1193" i="489"/>
  <c r="AN1194" i="489"/>
  <c r="AN1195" i="489"/>
  <c r="AN1196" i="489"/>
  <c r="AN1198" i="489"/>
  <c r="AN1199" i="489"/>
  <c r="AN1201" i="489"/>
  <c r="AN1202" i="489"/>
  <c r="AN1203" i="489"/>
  <c r="AN1204" i="489"/>
  <c r="AN1205" i="489"/>
  <c r="AN1197" i="489"/>
  <c r="AZ1237" i="489"/>
  <c r="AZ1238" i="489"/>
  <c r="AZ1239" i="489"/>
  <c r="AZ1240" i="489"/>
  <c r="AZ1241" i="489"/>
  <c r="AZ1242" i="489"/>
  <c r="AZ1243" i="489"/>
  <c r="AZ1244" i="489"/>
  <c r="AZ1245" i="489"/>
  <c r="AZ1247" i="489"/>
  <c r="AZ1248" i="489"/>
  <c r="AZ1249" i="489"/>
  <c r="AZ1250" i="489"/>
  <c r="AZ1254" i="489"/>
  <c r="AZ1255" i="489"/>
  <c r="AZ1252" i="489"/>
  <c r="AZ1257" i="489"/>
  <c r="AZ1258" i="489"/>
  <c r="AZ1261" i="489"/>
  <c r="AZ1251" i="489"/>
  <c r="AZ1260" i="489"/>
  <c r="AZ1253" i="489"/>
  <c r="AZ1259" i="489"/>
  <c r="AZ1214" i="489"/>
  <c r="AZ1215" i="489"/>
  <c r="AZ1216" i="489"/>
  <c r="AZ1217" i="489"/>
  <c r="AZ1212" i="489"/>
  <c r="AZ1213" i="489"/>
  <c r="AZ1219" i="489"/>
  <c r="AZ1220" i="489"/>
  <c r="AZ1221" i="489"/>
  <c r="AZ1211" i="489"/>
  <c r="AZ1210" i="489"/>
  <c r="AZ1209" i="489"/>
  <c r="AZ1222" i="489"/>
  <c r="AZ1224" i="489"/>
  <c r="AZ1225" i="489"/>
  <c r="AZ1226" i="489"/>
  <c r="AZ1227" i="489"/>
  <c r="AZ1229" i="489"/>
  <c r="AZ1230" i="489"/>
  <c r="AZ1231" i="489"/>
  <c r="AZ1223" i="489"/>
  <c r="AZ1232" i="489"/>
  <c r="AZ1181" i="489"/>
  <c r="AZ1182" i="489"/>
  <c r="AZ1183" i="489"/>
  <c r="AZ1233" i="489"/>
  <c r="AZ1184" i="489"/>
  <c r="AZ1185" i="489"/>
  <c r="AZ1186" i="489"/>
  <c r="AZ1187" i="489"/>
  <c r="AZ1188" i="489"/>
  <c r="AZ1189" i="489"/>
  <c r="AZ1191" i="489"/>
  <c r="AZ1192" i="489"/>
  <c r="AZ1193" i="489"/>
  <c r="AZ1194" i="489"/>
  <c r="AZ1195" i="489"/>
  <c r="AZ1196" i="489"/>
  <c r="AZ1197" i="489"/>
  <c r="AZ1198" i="489"/>
  <c r="AZ1199" i="489"/>
  <c r="AZ1201" i="489"/>
  <c r="AZ1202" i="489"/>
  <c r="AZ1203" i="489"/>
  <c r="AZ1204" i="489"/>
  <c r="AZ1205" i="489"/>
  <c r="BL1237" i="489"/>
  <c r="BL1238" i="489"/>
  <c r="BL1239" i="489"/>
  <c r="BL1240" i="489"/>
  <c r="BL1241" i="489"/>
  <c r="BL1242" i="489"/>
  <c r="BL1243" i="489"/>
  <c r="BL1244" i="489"/>
  <c r="BL1245" i="489"/>
  <c r="BL1247" i="489"/>
  <c r="BL1248" i="489"/>
  <c r="BL1252" i="489"/>
  <c r="BL1253" i="489"/>
  <c r="BL1249" i="489"/>
  <c r="BL1250" i="489"/>
  <c r="BL1251" i="489"/>
  <c r="BL1255" i="489"/>
  <c r="BL1254" i="489"/>
  <c r="BL1258" i="489"/>
  <c r="BL1257" i="489"/>
  <c r="BL1260" i="489"/>
  <c r="BL1209" i="489"/>
  <c r="BL1210" i="489"/>
  <c r="BL1211" i="489"/>
  <c r="BL1212" i="489"/>
  <c r="BL1214" i="489"/>
  <c r="BL1215" i="489"/>
  <c r="BL1216" i="489"/>
  <c r="BL1217" i="489"/>
  <c r="BL1259" i="489"/>
  <c r="BL1213" i="489"/>
  <c r="BL1261" i="489"/>
  <c r="BL1219" i="489"/>
  <c r="BL1220" i="489"/>
  <c r="BL1221" i="489"/>
  <c r="BL1224" i="489"/>
  <c r="BL1225" i="489"/>
  <c r="BL1226" i="489"/>
  <c r="BL1227" i="489"/>
  <c r="BL1229" i="489"/>
  <c r="BL1230" i="489"/>
  <c r="BL1231" i="489"/>
  <c r="BL1222" i="489"/>
  <c r="BL1223" i="489"/>
  <c r="BL1232" i="489"/>
  <c r="BL1181" i="489"/>
  <c r="BL1182" i="489"/>
  <c r="BL1183" i="489"/>
  <c r="BL1233" i="489"/>
  <c r="BL1184" i="489"/>
  <c r="BL1185" i="489"/>
  <c r="BL1186" i="489"/>
  <c r="BL1187" i="489"/>
  <c r="BL1188" i="489"/>
  <c r="BL1189" i="489"/>
  <c r="BL1191" i="489"/>
  <c r="BL1192" i="489"/>
  <c r="BL1193" i="489"/>
  <c r="BL1194" i="489"/>
  <c r="BL1195" i="489"/>
  <c r="BL1196" i="489"/>
  <c r="BL1198" i="489"/>
  <c r="BL1199" i="489"/>
  <c r="BL1201" i="489"/>
  <c r="BL1202" i="489"/>
  <c r="BL1203" i="489"/>
  <c r="BL1204" i="489"/>
  <c r="BL1205" i="489"/>
  <c r="BL1197" i="489"/>
  <c r="BX1237" i="489"/>
  <c r="BX1238" i="489"/>
  <c r="BX1239" i="489"/>
  <c r="BX1240" i="489"/>
  <c r="BX1241" i="489"/>
  <c r="BX1242" i="489"/>
  <c r="BX1243" i="489"/>
  <c r="BX1244" i="489"/>
  <c r="BX1245" i="489"/>
  <c r="BX1251" i="489"/>
  <c r="BX1247" i="489"/>
  <c r="BX1249" i="489"/>
  <c r="BX1250" i="489"/>
  <c r="BX1253" i="489"/>
  <c r="BX1248" i="489"/>
  <c r="BX1255" i="489"/>
  <c r="BX1252" i="489"/>
  <c r="BX1257" i="489"/>
  <c r="BX1261" i="489"/>
  <c r="BX1214" i="489"/>
  <c r="BX1215" i="489"/>
  <c r="BX1216" i="489"/>
  <c r="BX1217" i="489"/>
  <c r="BX1260" i="489"/>
  <c r="BX1209" i="489"/>
  <c r="BX1210" i="489"/>
  <c r="BX1213" i="489"/>
  <c r="BX1211" i="489"/>
  <c r="BX1254" i="489"/>
  <c r="BX1212" i="489"/>
  <c r="BX1259" i="489"/>
  <c r="BX1219" i="489"/>
  <c r="BX1220" i="489"/>
  <c r="BX1221" i="489"/>
  <c r="BX1258" i="489"/>
  <c r="BX1224" i="489"/>
  <c r="BX1225" i="489"/>
  <c r="BX1226" i="489"/>
  <c r="BX1227" i="489"/>
  <c r="BX1229" i="489"/>
  <c r="BX1230" i="489"/>
  <c r="BX1231" i="489"/>
  <c r="BX1223" i="489"/>
  <c r="BX1222" i="489"/>
  <c r="BX1181" i="489"/>
  <c r="BX1182" i="489"/>
  <c r="BX1183" i="489"/>
  <c r="BX1233" i="489"/>
  <c r="BX1232" i="489"/>
  <c r="BX1184" i="489"/>
  <c r="BX1185" i="489"/>
  <c r="BX1186" i="489"/>
  <c r="BX1187" i="489"/>
  <c r="BX1188" i="489"/>
  <c r="BX1189" i="489"/>
  <c r="BX1191" i="489"/>
  <c r="BX1192" i="489"/>
  <c r="BX1193" i="489"/>
  <c r="BX1194" i="489"/>
  <c r="BX1195" i="489"/>
  <c r="BX1196" i="489"/>
  <c r="BX1198" i="489"/>
  <c r="BX1199" i="489"/>
  <c r="BX1201" i="489"/>
  <c r="BX1202" i="489"/>
  <c r="BX1203" i="489"/>
  <c r="BX1204" i="489"/>
  <c r="BX1205" i="489"/>
  <c r="BX1197" i="489"/>
  <c r="CJ1237" i="489"/>
  <c r="CJ1238" i="489"/>
  <c r="CJ1239" i="489"/>
  <c r="CJ1240" i="489"/>
  <c r="CJ1241" i="489"/>
  <c r="CJ1242" i="489"/>
  <c r="CJ1243" i="489"/>
  <c r="CJ1244" i="489"/>
  <c r="CJ1245" i="489"/>
  <c r="CJ1247" i="489"/>
  <c r="CJ1248" i="489"/>
  <c r="CJ1249" i="489"/>
  <c r="CJ1250" i="489"/>
  <c r="CJ1251" i="489"/>
  <c r="CJ1257" i="489"/>
  <c r="CJ1254" i="489"/>
  <c r="CJ1255" i="489"/>
  <c r="CJ1253" i="489"/>
  <c r="CJ1259" i="489"/>
  <c r="CJ1260" i="489"/>
  <c r="CJ1258" i="489"/>
  <c r="CJ1252" i="489"/>
  <c r="CJ1211" i="489"/>
  <c r="CJ1214" i="489"/>
  <c r="CJ1215" i="489"/>
  <c r="CJ1216" i="489"/>
  <c r="CJ1217" i="489"/>
  <c r="CJ1261" i="489"/>
  <c r="CJ1212" i="489"/>
  <c r="CJ1209" i="489"/>
  <c r="CJ1210" i="489"/>
  <c r="CJ1213" i="489"/>
  <c r="CJ1219" i="489"/>
  <c r="CJ1220" i="489"/>
  <c r="CJ1221" i="489"/>
  <c r="CJ1224" i="489"/>
  <c r="CJ1225" i="489"/>
  <c r="CJ1226" i="489"/>
  <c r="CJ1227" i="489"/>
  <c r="CJ1229" i="489"/>
  <c r="CJ1230" i="489"/>
  <c r="CJ1231" i="489"/>
  <c r="CJ1222" i="489"/>
  <c r="CJ1223" i="489"/>
  <c r="CJ1232" i="489"/>
  <c r="CJ1233" i="489"/>
  <c r="CJ1181" i="489"/>
  <c r="CJ1182" i="489"/>
  <c r="CJ1184" i="489"/>
  <c r="CJ1185" i="489"/>
  <c r="CJ1186" i="489"/>
  <c r="CJ1187" i="489"/>
  <c r="CJ1188" i="489"/>
  <c r="CJ1189" i="489"/>
  <c r="CJ1191" i="489"/>
  <c r="CJ1192" i="489"/>
  <c r="CJ1193" i="489"/>
  <c r="CJ1194" i="489"/>
  <c r="CJ1195" i="489"/>
  <c r="CJ1196" i="489"/>
  <c r="CJ1183" i="489"/>
  <c r="CJ1198" i="489"/>
  <c r="CJ1199" i="489"/>
  <c r="CJ1201" i="489"/>
  <c r="CJ1202" i="489"/>
  <c r="CJ1203" i="489"/>
  <c r="CJ1204" i="489"/>
  <c r="CJ1205" i="489"/>
  <c r="CJ1197" i="489"/>
  <c r="CV1237" i="489"/>
  <c r="CV1238" i="489"/>
  <c r="CV1239" i="489"/>
  <c r="CV1240" i="489"/>
  <c r="CV1241" i="489"/>
  <c r="CV1242" i="489"/>
  <c r="CV1243" i="489"/>
  <c r="CV1244" i="489"/>
  <c r="CV1245" i="489"/>
  <c r="CV1249" i="489"/>
  <c r="CV1250" i="489"/>
  <c r="CV1252" i="489"/>
  <c r="CV1248" i="489"/>
  <c r="CV1253" i="489"/>
  <c r="CV1254" i="489"/>
  <c r="CV1257" i="489"/>
  <c r="CV1255" i="489"/>
  <c r="CV1251" i="489"/>
  <c r="CV1258" i="489"/>
  <c r="CV1212" i="489"/>
  <c r="CV1214" i="489"/>
  <c r="CV1215" i="489"/>
  <c r="CV1216" i="489"/>
  <c r="CV1217" i="489"/>
  <c r="CV1209" i="489"/>
  <c r="CV1210" i="489"/>
  <c r="CV1259" i="489"/>
  <c r="CV1211" i="489"/>
  <c r="CV1261" i="489"/>
  <c r="CV1260" i="489"/>
  <c r="CV1213" i="489"/>
  <c r="CV1219" i="489"/>
  <c r="CV1220" i="489"/>
  <c r="CV1221" i="489"/>
  <c r="CV1224" i="489"/>
  <c r="CV1225" i="489"/>
  <c r="CV1226" i="489"/>
  <c r="CV1227" i="489"/>
  <c r="CV1229" i="489"/>
  <c r="CV1230" i="489"/>
  <c r="CV1231" i="489"/>
  <c r="CV1223" i="489"/>
  <c r="CV1222" i="489"/>
  <c r="CV1232" i="489"/>
  <c r="CV1233" i="489"/>
  <c r="CV1181" i="489"/>
  <c r="CV1182" i="489"/>
  <c r="CV1184" i="489"/>
  <c r="CV1185" i="489"/>
  <c r="CV1186" i="489"/>
  <c r="CV1187" i="489"/>
  <c r="CV1188" i="489"/>
  <c r="CV1189" i="489"/>
  <c r="CV1191" i="489"/>
  <c r="CV1192" i="489"/>
  <c r="CV1193" i="489"/>
  <c r="CV1194" i="489"/>
  <c r="CV1195" i="489"/>
  <c r="CV1196" i="489"/>
  <c r="CV1183" i="489"/>
  <c r="CV1197" i="489"/>
  <c r="CV1198" i="489"/>
  <c r="CV1199" i="489"/>
  <c r="CV1201" i="489"/>
  <c r="CV1202" i="489"/>
  <c r="CV1203" i="489"/>
  <c r="CV1204" i="489"/>
  <c r="CV1205" i="489"/>
  <c r="DH1237" i="489"/>
  <c r="DH1238" i="489"/>
  <c r="DH1239" i="489"/>
  <c r="DH1240" i="489"/>
  <c r="DH1241" i="489"/>
  <c r="DH1242" i="489"/>
  <c r="DH1243" i="489"/>
  <c r="DH1244" i="489"/>
  <c r="DH1245" i="489"/>
  <c r="DH1248" i="489"/>
  <c r="DH1247" i="489"/>
  <c r="DH1252" i="489"/>
  <c r="DH1251" i="489"/>
  <c r="DH1249" i="489"/>
  <c r="DH1250" i="489"/>
  <c r="DH1255" i="489"/>
  <c r="DH1257" i="489"/>
  <c r="DH1258" i="489"/>
  <c r="DH1261" i="489"/>
  <c r="DH1254" i="489"/>
  <c r="DH1253" i="489"/>
  <c r="DH1260" i="489"/>
  <c r="DH1214" i="489"/>
  <c r="DH1215" i="489"/>
  <c r="DH1216" i="489"/>
  <c r="DH1217" i="489"/>
  <c r="DH1211" i="489"/>
  <c r="DH1209" i="489"/>
  <c r="DH1210" i="489"/>
  <c r="DH1259" i="489"/>
  <c r="DH1212" i="489"/>
  <c r="DH1213" i="489"/>
  <c r="DH1219" i="489"/>
  <c r="DH1220" i="489"/>
  <c r="DH1221" i="489"/>
  <c r="DH1224" i="489"/>
  <c r="DH1225" i="489"/>
  <c r="DH1226" i="489"/>
  <c r="DH1227" i="489"/>
  <c r="DH1229" i="489"/>
  <c r="DH1230" i="489"/>
  <c r="DH1231" i="489"/>
  <c r="DH1222" i="489"/>
  <c r="DH1223" i="489"/>
  <c r="DH1232" i="489"/>
  <c r="DH1233" i="489"/>
  <c r="DH1181" i="489"/>
  <c r="DH1182" i="489"/>
  <c r="DH1183" i="489"/>
  <c r="DH1184" i="489"/>
  <c r="DH1185" i="489"/>
  <c r="DH1186" i="489"/>
  <c r="DH1187" i="489"/>
  <c r="DH1188" i="489"/>
  <c r="DH1189" i="489"/>
  <c r="DH1191" i="489"/>
  <c r="DH1192" i="489"/>
  <c r="DH1193" i="489"/>
  <c r="DH1194" i="489"/>
  <c r="DH1195" i="489"/>
  <c r="DH1196" i="489"/>
  <c r="DH1197" i="489"/>
  <c r="DH1198" i="489"/>
  <c r="DH1199" i="489"/>
  <c r="DH1201" i="489"/>
  <c r="DH1202" i="489"/>
  <c r="DH1203" i="489"/>
  <c r="DH1204" i="489"/>
  <c r="DH1205" i="489"/>
  <c r="DT1237" i="489"/>
  <c r="DT1238" i="489"/>
  <c r="DT1239" i="489"/>
  <c r="DT1240" i="489"/>
  <c r="DT1241" i="489"/>
  <c r="DT1242" i="489"/>
  <c r="DT1243" i="489"/>
  <c r="DT1244" i="489"/>
  <c r="DT1245" i="489"/>
  <c r="DT1247" i="489"/>
  <c r="DT1249" i="489"/>
  <c r="DT1250" i="489"/>
  <c r="DT1248" i="489"/>
  <c r="DT1252" i="489"/>
  <c r="DT1253" i="489"/>
  <c r="DT1254" i="489"/>
  <c r="DT1261" i="489"/>
  <c r="DT1259" i="489"/>
  <c r="DT1260" i="489"/>
  <c r="DT1251" i="489"/>
  <c r="DT1257" i="489"/>
  <c r="DT1255" i="489"/>
  <c r="DT1209" i="489"/>
  <c r="DT1210" i="489"/>
  <c r="DT1214" i="489"/>
  <c r="DT1215" i="489"/>
  <c r="DT1216" i="489"/>
  <c r="DT1258" i="489"/>
  <c r="DT1212" i="489"/>
  <c r="DT1211" i="489"/>
  <c r="DT1217" i="489"/>
  <c r="DT1219" i="489"/>
  <c r="DT1220" i="489"/>
  <c r="DT1213" i="489"/>
  <c r="DT1224" i="489"/>
  <c r="DT1225" i="489"/>
  <c r="DT1226" i="489"/>
  <c r="DT1227" i="489"/>
  <c r="DT1229" i="489"/>
  <c r="DT1230" i="489"/>
  <c r="DT1231" i="489"/>
  <c r="DT1223" i="489"/>
  <c r="DT1221" i="489"/>
  <c r="DT1222" i="489"/>
  <c r="DT1232" i="489"/>
  <c r="DT1233" i="489"/>
  <c r="DT1181" i="489"/>
  <c r="DT1182" i="489"/>
  <c r="DT1183" i="489"/>
  <c r="DT1184" i="489"/>
  <c r="DT1185" i="489"/>
  <c r="DT1186" i="489"/>
  <c r="DT1187" i="489"/>
  <c r="DT1188" i="489"/>
  <c r="DT1189" i="489"/>
  <c r="DT1191" i="489"/>
  <c r="DT1192" i="489"/>
  <c r="DT1193" i="489"/>
  <c r="DT1194" i="489"/>
  <c r="DT1195" i="489"/>
  <c r="DT1196" i="489"/>
  <c r="DT1197" i="489"/>
  <c r="DT1198" i="489"/>
  <c r="DT1199" i="489"/>
  <c r="DT1201" i="489"/>
  <c r="DT1202" i="489"/>
  <c r="DT1203" i="489"/>
  <c r="DT1204" i="489"/>
  <c r="DT1205" i="489"/>
  <c r="EH1237" i="489"/>
  <c r="EH1238" i="489"/>
  <c r="EH1239" i="489"/>
  <c r="EH1240" i="489"/>
  <c r="EH1241" i="489"/>
  <c r="EH1242" i="489"/>
  <c r="EH1244" i="489"/>
  <c r="EH1245" i="489"/>
  <c r="EH1247" i="489"/>
  <c r="EH1243" i="489"/>
  <c r="EH1249" i="489"/>
  <c r="EH1250" i="489"/>
  <c r="EH1253" i="489"/>
  <c r="EH1254" i="489"/>
  <c r="EH1255" i="489"/>
  <c r="EH1257" i="489"/>
  <c r="EH1248" i="489"/>
  <c r="EH1251" i="489"/>
  <c r="EH1252" i="489"/>
  <c r="EH1258" i="489"/>
  <c r="EH1209" i="489"/>
  <c r="EH1210" i="489"/>
  <c r="EH1211" i="489"/>
  <c r="EH1260" i="489"/>
  <c r="EH1214" i="489"/>
  <c r="EH1215" i="489"/>
  <c r="EH1216" i="489"/>
  <c r="EH1212" i="489"/>
  <c r="EH1259" i="489"/>
  <c r="EH1261" i="489"/>
  <c r="EH1213" i="489"/>
  <c r="EH1217" i="489"/>
  <c r="EH1219" i="489"/>
  <c r="EH1220" i="489"/>
  <c r="EH1221" i="489"/>
  <c r="EH1224" i="489"/>
  <c r="EH1225" i="489"/>
  <c r="EH1226" i="489"/>
  <c r="EH1227" i="489"/>
  <c r="EH1229" i="489"/>
  <c r="EH1230" i="489"/>
  <c r="EH1223" i="489"/>
  <c r="EH1222" i="489"/>
  <c r="EH1231" i="489"/>
  <c r="EH1232" i="489"/>
  <c r="EH1233" i="489"/>
  <c r="EH1181" i="489"/>
  <c r="EH1182" i="489"/>
  <c r="EH1183" i="489"/>
  <c r="EH1184" i="489"/>
  <c r="EH1185" i="489"/>
  <c r="EH1186" i="489"/>
  <c r="EH1187" i="489"/>
  <c r="EH1188" i="489"/>
  <c r="EH1189" i="489"/>
  <c r="EH1191" i="489"/>
  <c r="EH1192" i="489"/>
  <c r="EH1193" i="489"/>
  <c r="EH1197" i="489"/>
  <c r="EH1198" i="489"/>
  <c r="EH1199" i="489"/>
  <c r="EH1201" i="489"/>
  <c r="EH1202" i="489"/>
  <c r="EH1203" i="489"/>
  <c r="EH1204" i="489"/>
  <c r="EH1205" i="489"/>
  <c r="EH1196" i="489"/>
  <c r="EH1194" i="489"/>
  <c r="EH1195" i="489"/>
  <c r="ES1237" i="489"/>
  <c r="ES1238" i="489"/>
  <c r="ES1239" i="489"/>
  <c r="ES1240" i="489"/>
  <c r="ES1241" i="489"/>
  <c r="ES1242" i="489"/>
  <c r="ES1243" i="489"/>
  <c r="ES1248" i="489"/>
  <c r="ES1244" i="489"/>
  <c r="ES1245" i="489"/>
  <c r="ES1249" i="489"/>
  <c r="ES1250" i="489"/>
  <c r="ES1247" i="489"/>
  <c r="ES1251" i="489"/>
  <c r="ES1252" i="489"/>
  <c r="ES1253" i="489"/>
  <c r="ES1254" i="489"/>
  <c r="ES1255" i="489"/>
  <c r="ES1258" i="489"/>
  <c r="ES1259" i="489"/>
  <c r="ES1260" i="489"/>
  <c r="ES1261" i="489"/>
  <c r="ES1257" i="489"/>
  <c r="ES1209" i="489"/>
  <c r="ES1210" i="489"/>
  <c r="ES1212" i="489"/>
  <c r="ES1211" i="489"/>
  <c r="ES1213" i="489"/>
  <c r="ES1214" i="489"/>
  <c r="ES1215" i="489"/>
  <c r="ES1219" i="489"/>
  <c r="ES1220" i="489"/>
  <c r="ES1217" i="489"/>
  <c r="ES1216" i="489"/>
  <c r="ES1224" i="489"/>
  <c r="ES1225" i="489"/>
  <c r="ES1226" i="489"/>
  <c r="ES1227" i="489"/>
  <c r="ES1229" i="489"/>
  <c r="ES1230" i="489"/>
  <c r="ES1231" i="489"/>
  <c r="ES1223" i="489"/>
  <c r="ES1222" i="489"/>
  <c r="ES1221" i="489"/>
  <c r="ES1232" i="489"/>
  <c r="ES1233" i="489"/>
  <c r="ES1181" i="489"/>
  <c r="ES1182" i="489"/>
  <c r="ES1183" i="489"/>
  <c r="ES1184" i="489"/>
  <c r="ES1185" i="489"/>
  <c r="ES1186" i="489"/>
  <c r="ES1187" i="489"/>
  <c r="ES1188" i="489"/>
  <c r="ES1189" i="489"/>
  <c r="ES1191" i="489"/>
  <c r="ES1192" i="489"/>
  <c r="ES1193" i="489"/>
  <c r="ES1194" i="489"/>
  <c r="ES1197" i="489"/>
  <c r="ES1198" i="489"/>
  <c r="ES1199" i="489"/>
  <c r="ES1201" i="489"/>
  <c r="ES1202" i="489"/>
  <c r="ES1203" i="489"/>
  <c r="ES1204" i="489"/>
  <c r="ES1205" i="489"/>
  <c r="ES1196" i="489"/>
  <c r="ES1195" i="489"/>
  <c r="P1237" i="489"/>
  <c r="P1238" i="489"/>
  <c r="P1239" i="489"/>
  <c r="P1240" i="489"/>
  <c r="P1241" i="489"/>
  <c r="P1242" i="489"/>
  <c r="P1243" i="489"/>
  <c r="P1244" i="489"/>
  <c r="P1245" i="489"/>
  <c r="P1247" i="489"/>
  <c r="P1250" i="489"/>
  <c r="P1251" i="489"/>
  <c r="P1248" i="489"/>
  <c r="P1252" i="489"/>
  <c r="P1254" i="489"/>
  <c r="P1255" i="489"/>
  <c r="P1253" i="489"/>
  <c r="P1258" i="489"/>
  <c r="P1259" i="489"/>
  <c r="P1260" i="489"/>
  <c r="P1257" i="489"/>
  <c r="P1214" i="489"/>
  <c r="P1215" i="489"/>
  <c r="P1216" i="489"/>
  <c r="P1217" i="489"/>
  <c r="P1261" i="489"/>
  <c r="P1210" i="489"/>
  <c r="P1211" i="489"/>
  <c r="P1213" i="489"/>
  <c r="P1212" i="489"/>
  <c r="P1219" i="489"/>
  <c r="P1220" i="489"/>
  <c r="P1221" i="489"/>
  <c r="P1224" i="489"/>
  <c r="P1225" i="489"/>
  <c r="P1226" i="489"/>
  <c r="P1227" i="489"/>
  <c r="P1229" i="489"/>
  <c r="P1230" i="489"/>
  <c r="P1231" i="489"/>
  <c r="P1223" i="489"/>
  <c r="P1222" i="489"/>
  <c r="P1233" i="489"/>
  <c r="P1232" i="489"/>
  <c r="P1181" i="489"/>
  <c r="P1182" i="489"/>
  <c r="P1183" i="489"/>
  <c r="P1184" i="489"/>
  <c r="P1185" i="489"/>
  <c r="P1186" i="489"/>
  <c r="P1187" i="489"/>
  <c r="P1188" i="489"/>
  <c r="P1189" i="489"/>
  <c r="P1191" i="489"/>
  <c r="P1192" i="489"/>
  <c r="P1194" i="489"/>
  <c r="P1195" i="489"/>
  <c r="P1196" i="489"/>
  <c r="P1198" i="489"/>
  <c r="P1199" i="489"/>
  <c r="P1201" i="489"/>
  <c r="P1202" i="489"/>
  <c r="P1203" i="489"/>
  <c r="P1204" i="489"/>
  <c r="P1205" i="489"/>
  <c r="P1197" i="489"/>
  <c r="AB1237" i="489"/>
  <c r="AB1238" i="489"/>
  <c r="AB1239" i="489"/>
  <c r="AB1240" i="489"/>
  <c r="AB1241" i="489"/>
  <c r="AB1242" i="489"/>
  <c r="AB1243" i="489"/>
  <c r="AB1244" i="489"/>
  <c r="AB1245" i="489"/>
  <c r="AB1247" i="489"/>
  <c r="AB1248" i="489"/>
  <c r="AB1252" i="489"/>
  <c r="AB1253" i="489"/>
  <c r="AB1249" i="489"/>
  <c r="AB1250" i="489"/>
  <c r="AB1251" i="489"/>
  <c r="AB1254" i="489"/>
  <c r="AB1255" i="489"/>
  <c r="AB1257" i="489"/>
  <c r="AB1258" i="489"/>
  <c r="AB1259" i="489"/>
  <c r="AB1214" i="489"/>
  <c r="AB1215" i="489"/>
  <c r="AB1216" i="489"/>
  <c r="AB1217" i="489"/>
  <c r="AB1213" i="489"/>
  <c r="AB1261" i="489"/>
  <c r="AB1209" i="489"/>
  <c r="AB1210" i="489"/>
  <c r="AB1211" i="489"/>
  <c r="AB1212" i="489"/>
  <c r="AB1219" i="489"/>
  <c r="AB1220" i="489"/>
  <c r="AB1221" i="489"/>
  <c r="AB1260" i="489"/>
  <c r="AB1223" i="489"/>
  <c r="AB1224" i="489"/>
  <c r="AB1225" i="489"/>
  <c r="AB1226" i="489"/>
  <c r="AB1227" i="489"/>
  <c r="AB1229" i="489"/>
  <c r="AB1230" i="489"/>
  <c r="AB1231" i="489"/>
  <c r="AB1222" i="489"/>
  <c r="AB1233" i="489"/>
  <c r="AB1232" i="489"/>
  <c r="AB1181" i="489"/>
  <c r="AB1182" i="489"/>
  <c r="AB1183" i="489"/>
  <c r="AB1184" i="489"/>
  <c r="AB1185" i="489"/>
  <c r="AB1186" i="489"/>
  <c r="AB1187" i="489"/>
  <c r="AB1188" i="489"/>
  <c r="AB1189" i="489"/>
  <c r="AB1191" i="489"/>
  <c r="AB1192" i="489"/>
  <c r="AB1193" i="489"/>
  <c r="AB1194" i="489"/>
  <c r="AB1195" i="489"/>
  <c r="AB1196" i="489"/>
  <c r="AB1198" i="489"/>
  <c r="AB1199" i="489"/>
  <c r="AB1201" i="489"/>
  <c r="AB1202" i="489"/>
  <c r="AB1203" i="489"/>
  <c r="AB1204" i="489"/>
  <c r="AB1205" i="489"/>
  <c r="AB1197" i="489"/>
  <c r="AO1237" i="489"/>
  <c r="AO1238" i="489"/>
  <c r="AO1239" i="489"/>
  <c r="AO1240" i="489"/>
  <c r="AO1241" i="489"/>
  <c r="AO1242" i="489"/>
  <c r="AO1243" i="489"/>
  <c r="AO1247" i="489"/>
  <c r="AO1248" i="489"/>
  <c r="AO1249" i="489"/>
  <c r="AO1250" i="489"/>
  <c r="AO1251" i="489"/>
  <c r="AO1245" i="489"/>
  <c r="AO1252" i="489"/>
  <c r="AO1253" i="489"/>
  <c r="AO1244" i="489"/>
  <c r="AO1254" i="489"/>
  <c r="AO1255" i="489"/>
  <c r="AO1258" i="489"/>
  <c r="AO1259" i="489"/>
  <c r="AO1260" i="489"/>
  <c r="AO1261" i="489"/>
  <c r="AO1257" i="489"/>
  <c r="AO1210" i="489"/>
  <c r="AO1211" i="489"/>
  <c r="AO1213" i="489"/>
  <c r="AO1212" i="489"/>
  <c r="AO1216" i="489"/>
  <c r="AO1217" i="489"/>
  <c r="AO1220" i="489"/>
  <c r="AO1221" i="489"/>
  <c r="AO1214" i="489"/>
  <c r="AO1215" i="489"/>
  <c r="AO1223" i="489"/>
  <c r="AO1224" i="489"/>
  <c r="AO1225" i="489"/>
  <c r="AO1226" i="489"/>
  <c r="AO1227" i="489"/>
  <c r="AO1229" i="489"/>
  <c r="AO1230" i="489"/>
  <c r="AO1231" i="489"/>
  <c r="AO1232" i="489"/>
  <c r="AO1222" i="489"/>
  <c r="AO1233" i="489"/>
  <c r="AO1181" i="489"/>
  <c r="AO1182" i="489"/>
  <c r="AO1183" i="489"/>
  <c r="AO1184" i="489"/>
  <c r="AO1185" i="489"/>
  <c r="AO1186" i="489"/>
  <c r="AO1187" i="489"/>
  <c r="AO1188" i="489"/>
  <c r="AO1189" i="489"/>
  <c r="AO1192" i="489"/>
  <c r="AO1193" i="489"/>
  <c r="AO1194" i="489"/>
  <c r="AO1195" i="489"/>
  <c r="AO1198" i="489"/>
  <c r="AO1199" i="489"/>
  <c r="AO1201" i="489"/>
  <c r="AO1202" i="489"/>
  <c r="AO1203" i="489"/>
  <c r="AO1204" i="489"/>
  <c r="AO1205" i="489"/>
  <c r="AO1197" i="489"/>
  <c r="AO1196" i="489"/>
  <c r="BA1237" i="489"/>
  <c r="BA1238" i="489"/>
  <c r="BA1239" i="489"/>
  <c r="BA1240" i="489"/>
  <c r="BA1241" i="489"/>
  <c r="BA1242" i="489"/>
  <c r="BA1247" i="489"/>
  <c r="BA1248" i="489"/>
  <c r="BA1243" i="489"/>
  <c r="BA1244" i="489"/>
  <c r="BA1245" i="489"/>
  <c r="BA1251" i="489"/>
  <c r="BA1254" i="489"/>
  <c r="BA1255" i="489"/>
  <c r="BA1258" i="489"/>
  <c r="BA1259" i="489"/>
  <c r="BA1260" i="489"/>
  <c r="BA1261" i="489"/>
  <c r="BA1250" i="489"/>
  <c r="BA1253" i="489"/>
  <c r="BA1252" i="489"/>
  <c r="BA1249" i="489"/>
  <c r="BA1213" i="489"/>
  <c r="BA1257" i="489"/>
  <c r="BA1212" i="489"/>
  <c r="BA1209" i="489"/>
  <c r="BA1210" i="489"/>
  <c r="BA1211" i="489"/>
  <c r="BA1219" i="489"/>
  <c r="BA1220" i="489"/>
  <c r="BA1216" i="489"/>
  <c r="BA1214" i="489"/>
  <c r="BA1215" i="489"/>
  <c r="BA1217" i="489"/>
  <c r="BA1221" i="489"/>
  <c r="BA1222" i="489"/>
  <c r="BA1224" i="489"/>
  <c r="BA1225" i="489"/>
  <c r="BA1226" i="489"/>
  <c r="BA1227" i="489"/>
  <c r="BA1229" i="489"/>
  <c r="BA1230" i="489"/>
  <c r="BA1231" i="489"/>
  <c r="BA1232" i="489"/>
  <c r="BA1223" i="489"/>
  <c r="BA1233" i="489"/>
  <c r="BA1181" i="489"/>
  <c r="BA1182" i="489"/>
  <c r="BA1183" i="489"/>
  <c r="BA1184" i="489"/>
  <c r="BA1185" i="489"/>
  <c r="BA1186" i="489"/>
  <c r="BA1187" i="489"/>
  <c r="BA1188" i="489"/>
  <c r="BA1189" i="489"/>
  <c r="BA1191" i="489"/>
  <c r="BA1192" i="489"/>
  <c r="BA1193" i="489"/>
  <c r="BA1194" i="489"/>
  <c r="BA1195" i="489"/>
  <c r="BA1197" i="489"/>
  <c r="BA1198" i="489"/>
  <c r="BA1199" i="489"/>
  <c r="BA1201" i="489"/>
  <c r="BA1202" i="489"/>
  <c r="BA1203" i="489"/>
  <c r="BA1204" i="489"/>
  <c r="BA1205" i="489"/>
  <c r="BA1196" i="489"/>
  <c r="BM1237" i="489"/>
  <c r="BM1243" i="489"/>
  <c r="BM1240" i="489"/>
  <c r="BM1238" i="489"/>
  <c r="BM1242" i="489"/>
  <c r="BM1247" i="489"/>
  <c r="BM1248" i="489"/>
  <c r="BM1249" i="489"/>
  <c r="BM1250" i="489"/>
  <c r="BM1241" i="489"/>
  <c r="BM1245" i="489"/>
  <c r="BM1239" i="489"/>
  <c r="BM1244" i="489"/>
  <c r="BM1254" i="489"/>
  <c r="BM1255" i="489"/>
  <c r="BM1258" i="489"/>
  <c r="BM1259" i="489"/>
  <c r="BM1260" i="489"/>
  <c r="BM1261" i="489"/>
  <c r="BM1251" i="489"/>
  <c r="BM1253" i="489"/>
  <c r="BM1257" i="489"/>
  <c r="BM1252" i="489"/>
  <c r="BM1209" i="489"/>
  <c r="BM1210" i="489"/>
  <c r="BM1211" i="489"/>
  <c r="BM1213" i="489"/>
  <c r="BM1219" i="489"/>
  <c r="BM1220" i="489"/>
  <c r="BM1214" i="489"/>
  <c r="BM1221" i="489"/>
  <c r="BM1224" i="489"/>
  <c r="BM1227" i="489"/>
  <c r="BM1229" i="489"/>
  <c r="BM1230" i="489"/>
  <c r="BM1231" i="489"/>
  <c r="BM1232" i="489"/>
  <c r="BM1222" i="489"/>
  <c r="BM1223" i="489"/>
  <c r="BM1181" i="489"/>
  <c r="BM1182" i="489"/>
  <c r="BM1183" i="489"/>
  <c r="BM1233" i="489"/>
  <c r="BM1184" i="489"/>
  <c r="BM1185" i="489"/>
  <c r="BM1187" i="489"/>
  <c r="BM1188" i="489"/>
  <c r="BM1189" i="489"/>
  <c r="BM1191" i="489"/>
  <c r="BM1192" i="489"/>
  <c r="BM1193" i="489"/>
  <c r="BM1194" i="489"/>
  <c r="BM1195" i="489"/>
  <c r="BM1196" i="489"/>
  <c r="BM1199" i="489"/>
  <c r="BM1201" i="489"/>
  <c r="BM1202" i="489"/>
  <c r="BM1203" i="489"/>
  <c r="BM1204" i="489"/>
  <c r="BM1205" i="489"/>
  <c r="BM1197" i="489"/>
  <c r="BY1237" i="489"/>
  <c r="BY1238" i="489"/>
  <c r="BY1239" i="489"/>
  <c r="BY1240" i="489"/>
  <c r="BY1241" i="489"/>
  <c r="BY1242" i="489"/>
  <c r="BY1244" i="489"/>
  <c r="BY1245" i="489"/>
  <c r="BY1249" i="489"/>
  <c r="BY1250" i="489"/>
  <c r="BY1253" i="489"/>
  <c r="BY1243" i="489"/>
  <c r="BY1247" i="489"/>
  <c r="BY1248" i="489"/>
  <c r="BY1252" i="489"/>
  <c r="BY1254" i="489"/>
  <c r="BY1255" i="489"/>
  <c r="BY1258" i="489"/>
  <c r="BY1259" i="489"/>
  <c r="BY1260" i="489"/>
  <c r="BY1261" i="489"/>
  <c r="BY1257" i="489"/>
  <c r="BY1251" i="489"/>
  <c r="BY1209" i="489"/>
  <c r="BY1210" i="489"/>
  <c r="BY1213" i="489"/>
  <c r="BY1212" i="489"/>
  <c r="BY1217" i="489"/>
  <c r="BY1214" i="489"/>
  <c r="BY1215" i="489"/>
  <c r="BY1216" i="489"/>
  <c r="BY1219" i="489"/>
  <c r="BY1220" i="489"/>
  <c r="BY1211" i="489"/>
  <c r="BY1222" i="489"/>
  <c r="BY1224" i="489"/>
  <c r="BY1225" i="489"/>
  <c r="BY1226" i="489"/>
  <c r="BY1227" i="489"/>
  <c r="BY1229" i="489"/>
  <c r="BY1230" i="489"/>
  <c r="BY1231" i="489"/>
  <c r="BY1232" i="489"/>
  <c r="BY1221" i="489"/>
  <c r="BY1223" i="489"/>
  <c r="BY1181" i="489"/>
  <c r="BY1182" i="489"/>
  <c r="BY1183" i="489"/>
  <c r="BY1233" i="489"/>
  <c r="BY1184" i="489"/>
  <c r="BY1185" i="489"/>
  <c r="BY1186" i="489"/>
  <c r="BY1187" i="489"/>
  <c r="BY1188" i="489"/>
  <c r="BY1189" i="489"/>
  <c r="BY1191" i="489"/>
  <c r="BY1192" i="489"/>
  <c r="BY1193" i="489"/>
  <c r="BY1194" i="489"/>
  <c r="BY1195" i="489"/>
  <c r="BY1198" i="489"/>
  <c r="BY1199" i="489"/>
  <c r="BY1201" i="489"/>
  <c r="BY1202" i="489"/>
  <c r="BY1203" i="489"/>
  <c r="BY1204" i="489"/>
  <c r="BY1205" i="489"/>
  <c r="BY1197" i="489"/>
  <c r="BY1196" i="489"/>
  <c r="CK1237" i="489"/>
  <c r="CK1238" i="489"/>
  <c r="CK1239" i="489"/>
  <c r="CK1240" i="489"/>
  <c r="CK1241" i="489"/>
  <c r="CK1243" i="489"/>
  <c r="CK1248" i="489"/>
  <c r="CK1245" i="489"/>
  <c r="CK1251" i="489"/>
  <c r="CK1242" i="489"/>
  <c r="CK1247" i="489"/>
  <c r="CK1244" i="489"/>
  <c r="CK1249" i="489"/>
  <c r="CK1250" i="489"/>
  <c r="CK1253" i="489"/>
  <c r="CK1254" i="489"/>
  <c r="CK1255" i="489"/>
  <c r="CK1258" i="489"/>
  <c r="CK1259" i="489"/>
  <c r="CK1260" i="489"/>
  <c r="CK1261" i="489"/>
  <c r="CK1257" i="489"/>
  <c r="CK1252" i="489"/>
  <c r="CK1213" i="489"/>
  <c r="CK1212" i="489"/>
  <c r="CK1209" i="489"/>
  <c r="CK1210" i="489"/>
  <c r="CK1214" i="489"/>
  <c r="CK1215" i="489"/>
  <c r="CK1219" i="489"/>
  <c r="CK1220" i="489"/>
  <c r="CK1217" i="489"/>
  <c r="CK1211" i="489"/>
  <c r="CK1216" i="489"/>
  <c r="CK1224" i="489"/>
  <c r="CK1225" i="489"/>
  <c r="CK1226" i="489"/>
  <c r="CK1227" i="489"/>
  <c r="CK1229" i="489"/>
  <c r="CK1230" i="489"/>
  <c r="CK1231" i="489"/>
  <c r="CK1222" i="489"/>
  <c r="CK1221" i="489"/>
  <c r="CK1223" i="489"/>
  <c r="CK1232" i="489"/>
  <c r="CK1233" i="489"/>
  <c r="CK1181" i="489"/>
  <c r="CK1182" i="489"/>
  <c r="CK1183" i="489"/>
  <c r="CK1184" i="489"/>
  <c r="CK1185" i="489"/>
  <c r="CK1186" i="489"/>
  <c r="CK1187" i="489"/>
  <c r="CK1188" i="489"/>
  <c r="CK1189" i="489"/>
  <c r="CK1191" i="489"/>
  <c r="CK1192" i="489"/>
  <c r="CK1193" i="489"/>
  <c r="CK1194" i="489"/>
  <c r="CK1195" i="489"/>
  <c r="CK1198" i="489"/>
  <c r="CK1199" i="489"/>
  <c r="CK1201" i="489"/>
  <c r="CK1202" i="489"/>
  <c r="CK1203" i="489"/>
  <c r="CK1204" i="489"/>
  <c r="CK1205" i="489"/>
  <c r="CK1196" i="489"/>
  <c r="CK1197" i="489"/>
  <c r="CW1237" i="489"/>
  <c r="CW1238" i="489"/>
  <c r="CW1239" i="489"/>
  <c r="CW1240" i="489"/>
  <c r="CW1241" i="489"/>
  <c r="CW1242" i="489"/>
  <c r="CW1243" i="489"/>
  <c r="CW1247" i="489"/>
  <c r="CW1244" i="489"/>
  <c r="CW1245" i="489"/>
  <c r="CW1249" i="489"/>
  <c r="CW1250" i="489"/>
  <c r="CW1248" i="489"/>
  <c r="CW1251" i="489"/>
  <c r="CW1253" i="489"/>
  <c r="CW1254" i="489"/>
  <c r="CW1255" i="489"/>
  <c r="CW1258" i="489"/>
  <c r="CW1259" i="489"/>
  <c r="CW1260" i="489"/>
  <c r="CW1261" i="489"/>
  <c r="CW1252" i="489"/>
  <c r="CW1257" i="489"/>
  <c r="CW1213" i="489"/>
  <c r="CW1209" i="489"/>
  <c r="CW1210" i="489"/>
  <c r="CW1211" i="489"/>
  <c r="CW1212" i="489"/>
  <c r="CW1216" i="489"/>
  <c r="CW1217" i="489"/>
  <c r="CW1214" i="489"/>
  <c r="CW1215" i="489"/>
  <c r="CW1219" i="489"/>
  <c r="CW1220" i="489"/>
  <c r="CW1224" i="489"/>
  <c r="CW1225" i="489"/>
  <c r="CW1226" i="489"/>
  <c r="CW1227" i="489"/>
  <c r="CW1229" i="489"/>
  <c r="CW1230" i="489"/>
  <c r="CW1231" i="489"/>
  <c r="CW1223" i="489"/>
  <c r="CW1222" i="489"/>
  <c r="CW1221" i="489"/>
  <c r="CW1232" i="489"/>
  <c r="CW1233" i="489"/>
  <c r="CW1181" i="489"/>
  <c r="CW1182" i="489"/>
  <c r="CW1183" i="489"/>
  <c r="CW1184" i="489"/>
  <c r="CW1185" i="489"/>
  <c r="CW1186" i="489"/>
  <c r="CW1187" i="489"/>
  <c r="CW1188" i="489"/>
  <c r="CW1189" i="489"/>
  <c r="CW1191" i="489"/>
  <c r="CW1192" i="489"/>
  <c r="CW1193" i="489"/>
  <c r="CW1194" i="489"/>
  <c r="CW1195" i="489"/>
  <c r="CW1197" i="489"/>
  <c r="CW1198" i="489"/>
  <c r="CW1199" i="489"/>
  <c r="CW1201" i="489"/>
  <c r="CW1202" i="489"/>
  <c r="CW1203" i="489"/>
  <c r="CW1204" i="489"/>
  <c r="CW1205" i="489"/>
  <c r="CW1196" i="489"/>
  <c r="DI1237" i="489"/>
  <c r="DI1242" i="489"/>
  <c r="DI1243" i="489"/>
  <c r="DI1241" i="489"/>
  <c r="DI1239" i="489"/>
  <c r="DI1248" i="489"/>
  <c r="DI1245" i="489"/>
  <c r="DI1240" i="489"/>
  <c r="DI1238" i="489"/>
  <c r="DI1252" i="489"/>
  <c r="DI1244" i="489"/>
  <c r="DI1251" i="489"/>
  <c r="DI1247" i="489"/>
  <c r="DI1249" i="489"/>
  <c r="DI1250" i="489"/>
  <c r="DI1253" i="489"/>
  <c r="DI1254" i="489"/>
  <c r="DI1255" i="489"/>
  <c r="DI1258" i="489"/>
  <c r="DI1259" i="489"/>
  <c r="DI1260" i="489"/>
  <c r="DI1261" i="489"/>
  <c r="DI1257" i="489"/>
  <c r="DI1211" i="489"/>
  <c r="DI1209" i="489"/>
  <c r="DI1210" i="489"/>
  <c r="DI1212" i="489"/>
  <c r="DI1213" i="489"/>
  <c r="DI1219" i="489"/>
  <c r="DI1220" i="489"/>
  <c r="DI1214" i="489"/>
  <c r="DI1216" i="489"/>
  <c r="DI1215" i="489"/>
  <c r="DI1217" i="489"/>
  <c r="DI1224" i="489"/>
  <c r="DI1225" i="489"/>
  <c r="DI1226" i="489"/>
  <c r="DI1227" i="489"/>
  <c r="DI1229" i="489"/>
  <c r="DI1230" i="489"/>
  <c r="DI1231" i="489"/>
  <c r="DI1221" i="489"/>
  <c r="DI1222" i="489"/>
  <c r="DI1223" i="489"/>
  <c r="DI1232" i="489"/>
  <c r="DI1233" i="489"/>
  <c r="DI1181" i="489"/>
  <c r="DI1182" i="489"/>
  <c r="DI1183" i="489"/>
  <c r="DI1184" i="489"/>
  <c r="DI1185" i="489"/>
  <c r="DI1186" i="489"/>
  <c r="DI1187" i="489"/>
  <c r="DI1188" i="489"/>
  <c r="DI1189" i="489"/>
  <c r="DI1191" i="489"/>
  <c r="DI1192" i="489"/>
  <c r="DI1193" i="489"/>
  <c r="DI1194" i="489"/>
  <c r="DI1195" i="489"/>
  <c r="DI1197" i="489"/>
  <c r="DI1198" i="489"/>
  <c r="DI1199" i="489"/>
  <c r="DI1201" i="489"/>
  <c r="DI1202" i="489"/>
  <c r="DI1203" i="489"/>
  <c r="DI1204" i="489"/>
  <c r="DI1205" i="489"/>
  <c r="DI1196" i="489"/>
  <c r="DU1237" i="489"/>
  <c r="DU1238" i="489"/>
  <c r="DU1239" i="489"/>
  <c r="DU1240" i="489"/>
  <c r="DU1241" i="489"/>
  <c r="DU1244" i="489"/>
  <c r="DU1245" i="489"/>
  <c r="DU1248" i="489"/>
  <c r="DU1247" i="489"/>
  <c r="DU1243" i="489"/>
  <c r="DU1242" i="489"/>
  <c r="DU1249" i="489"/>
  <c r="DU1250" i="489"/>
  <c r="DU1253" i="489"/>
  <c r="DU1254" i="489"/>
  <c r="DU1255" i="489"/>
  <c r="DU1258" i="489"/>
  <c r="DU1259" i="489"/>
  <c r="DU1260" i="489"/>
  <c r="DU1261" i="489"/>
  <c r="DU1257" i="489"/>
  <c r="DU1252" i="489"/>
  <c r="DU1251" i="489"/>
  <c r="DU1212" i="489"/>
  <c r="DU1213" i="489"/>
  <c r="DU1211" i="489"/>
  <c r="DU1216" i="489"/>
  <c r="DU1210" i="489"/>
  <c r="DU1209" i="489"/>
  <c r="DU1217" i="489"/>
  <c r="DU1220" i="489"/>
  <c r="DU1214" i="489"/>
  <c r="DU1215" i="489"/>
  <c r="DU1224" i="489"/>
  <c r="DU1225" i="489"/>
  <c r="DU1226" i="489"/>
  <c r="DU1227" i="489"/>
  <c r="DU1229" i="489"/>
  <c r="DU1230" i="489"/>
  <c r="DU1231" i="489"/>
  <c r="DU1223" i="489"/>
  <c r="DU1221" i="489"/>
  <c r="DU1222" i="489"/>
  <c r="DU1232" i="489"/>
  <c r="DU1233" i="489"/>
  <c r="DU1181" i="489"/>
  <c r="DU1182" i="489"/>
  <c r="DU1183" i="489"/>
  <c r="DU1184" i="489"/>
  <c r="DU1185" i="489"/>
  <c r="DU1186" i="489"/>
  <c r="DU1187" i="489"/>
  <c r="DU1188" i="489"/>
  <c r="DU1189" i="489"/>
  <c r="DU1191" i="489"/>
  <c r="DU1192" i="489"/>
  <c r="DU1193" i="489"/>
  <c r="DU1194" i="489"/>
  <c r="DU1196" i="489"/>
  <c r="DU1197" i="489"/>
  <c r="DU1198" i="489"/>
  <c r="DU1199" i="489"/>
  <c r="DU1201" i="489"/>
  <c r="DU1202" i="489"/>
  <c r="DU1203" i="489"/>
  <c r="DU1204" i="489"/>
  <c r="DU1205" i="489"/>
  <c r="DU1195" i="489"/>
  <c r="EI1237" i="489"/>
  <c r="EI1238" i="489"/>
  <c r="EI1239" i="489"/>
  <c r="EI1240" i="489"/>
  <c r="EI1241" i="489"/>
  <c r="EI1242" i="489"/>
  <c r="EI1243" i="489"/>
  <c r="EI1244" i="489"/>
  <c r="EI1245" i="489"/>
  <c r="EI1247" i="489"/>
  <c r="EI1248" i="489"/>
  <c r="EI1249" i="489"/>
  <c r="EI1250" i="489"/>
  <c r="EI1257" i="489"/>
  <c r="EI1251" i="489"/>
  <c r="EI1255" i="489"/>
  <c r="EI1254" i="489"/>
  <c r="EI1259" i="489"/>
  <c r="EI1261" i="489"/>
  <c r="EI1258" i="489"/>
  <c r="EI1209" i="489"/>
  <c r="EI1210" i="489"/>
  <c r="EI1211" i="489"/>
  <c r="EI1260" i="489"/>
  <c r="EI1252" i="489"/>
  <c r="EI1214" i="489"/>
  <c r="EI1212" i="489"/>
  <c r="EI1213" i="489"/>
  <c r="EI1215" i="489"/>
  <c r="EI1217" i="489"/>
  <c r="EI1216" i="489"/>
  <c r="EI1219" i="489"/>
  <c r="EI1220" i="489"/>
  <c r="EI1221" i="489"/>
  <c r="EI1224" i="489"/>
  <c r="EI1226" i="489"/>
  <c r="EI1227" i="489"/>
  <c r="EI1223" i="489"/>
  <c r="EI1222" i="489"/>
  <c r="EI1229" i="489"/>
  <c r="EI1230" i="489"/>
  <c r="EI1231" i="489"/>
  <c r="EI1232" i="489"/>
  <c r="EI1233" i="489"/>
  <c r="EI1181" i="489"/>
  <c r="EI1182" i="489"/>
  <c r="EI1183" i="489"/>
  <c r="EI1184" i="489"/>
  <c r="EI1185" i="489"/>
  <c r="EI1186" i="489"/>
  <c r="EI1187" i="489"/>
  <c r="EI1188" i="489"/>
  <c r="EI1189" i="489"/>
  <c r="EI1191" i="489"/>
  <c r="EI1192" i="489"/>
  <c r="EI1195" i="489"/>
  <c r="EI1193" i="489"/>
  <c r="EI1197" i="489"/>
  <c r="EI1198" i="489"/>
  <c r="EI1199" i="489"/>
  <c r="EI1201" i="489"/>
  <c r="EI1202" i="489"/>
  <c r="EI1203" i="489"/>
  <c r="EI1204" i="489"/>
  <c r="EI1205" i="489"/>
  <c r="EI1196" i="489"/>
  <c r="EI1194" i="489"/>
  <c r="ET1237" i="489"/>
  <c r="ET1238" i="489"/>
  <c r="ET1239" i="489"/>
  <c r="ET1240" i="489"/>
  <c r="ET1241" i="489"/>
  <c r="ET1242" i="489"/>
  <c r="ET1244" i="489"/>
  <c r="ET1245" i="489"/>
  <c r="ET1247" i="489"/>
  <c r="ET1243" i="489"/>
  <c r="ET1249" i="489"/>
  <c r="ET1250" i="489"/>
  <c r="ET1251" i="489"/>
  <c r="ET1252" i="489"/>
  <c r="ET1253" i="489"/>
  <c r="ET1254" i="489"/>
  <c r="ET1255" i="489"/>
  <c r="ET1257" i="489"/>
  <c r="ET1248" i="489"/>
  <c r="ET1261" i="489"/>
  <c r="ET1209" i="489"/>
  <c r="ET1210" i="489"/>
  <c r="ET1211" i="489"/>
  <c r="ET1258" i="489"/>
  <c r="ET1260" i="489"/>
  <c r="ET1212" i="489"/>
  <c r="ET1214" i="489"/>
  <c r="ET1215" i="489"/>
  <c r="ET1216" i="489"/>
  <c r="ET1213" i="489"/>
  <c r="ET1259" i="489"/>
  <c r="ET1219" i="489"/>
  <c r="ET1220" i="489"/>
  <c r="ET1217" i="489"/>
  <c r="ET1224" i="489"/>
  <c r="ET1225" i="489"/>
  <c r="ET1226" i="489"/>
  <c r="ET1227" i="489"/>
  <c r="ET1229" i="489"/>
  <c r="ET1230" i="489"/>
  <c r="ET1223" i="489"/>
  <c r="ET1222" i="489"/>
  <c r="ET1221" i="489"/>
  <c r="ET1232" i="489"/>
  <c r="ET1233" i="489"/>
  <c r="ET1181" i="489"/>
  <c r="ET1182" i="489"/>
  <c r="ET1231" i="489"/>
  <c r="ET1183" i="489"/>
  <c r="ET1184" i="489"/>
  <c r="ET1185" i="489"/>
  <c r="ET1186" i="489"/>
  <c r="ET1187" i="489"/>
  <c r="ET1188" i="489"/>
  <c r="ET1189" i="489"/>
  <c r="ET1191" i="489"/>
  <c r="ET1192" i="489"/>
  <c r="ET1194" i="489"/>
  <c r="ET1197" i="489"/>
  <c r="ET1198" i="489"/>
  <c r="ET1199" i="489"/>
  <c r="ET1201" i="489"/>
  <c r="ET1202" i="489"/>
  <c r="ET1203" i="489"/>
  <c r="ET1204" i="489"/>
  <c r="ET1205" i="489"/>
  <c r="ET1196" i="489"/>
  <c r="ET1193" i="489"/>
  <c r="ET1195" i="489"/>
  <c r="DR997" i="489"/>
  <c r="Q1237" i="489"/>
  <c r="Q1239" i="489"/>
  <c r="Q1241" i="489"/>
  <c r="Q1249" i="489"/>
  <c r="Q1240" i="489"/>
  <c r="Q1245" i="489"/>
  <c r="Q1247" i="489"/>
  <c r="Q1250" i="489"/>
  <c r="Q1251" i="489"/>
  <c r="Q1238" i="489"/>
  <c r="Q1248" i="489"/>
  <c r="Q1244" i="489"/>
  <c r="Q1243" i="489"/>
  <c r="Q1252" i="489"/>
  <c r="Q1242" i="489"/>
  <c r="Q1254" i="489"/>
  <c r="Q1255" i="489"/>
  <c r="Q1257" i="489"/>
  <c r="Q1258" i="489"/>
  <c r="Q1259" i="489"/>
  <c r="Q1260" i="489"/>
  <c r="Q1261" i="489"/>
  <c r="Q1253" i="489"/>
  <c r="Q1209" i="489"/>
  <c r="Q1210" i="489"/>
  <c r="Q1211" i="489"/>
  <c r="Q1212" i="489"/>
  <c r="Q1213" i="489"/>
  <c r="Q1214" i="489"/>
  <c r="Q1215" i="489"/>
  <c r="Q1217" i="489"/>
  <c r="Q1219" i="489"/>
  <c r="Q1220" i="489"/>
  <c r="Q1221" i="489"/>
  <c r="Q1216" i="489"/>
  <c r="Q1224" i="489"/>
  <c r="Q1225" i="489"/>
  <c r="Q1226" i="489"/>
  <c r="Q1227" i="489"/>
  <c r="Q1229" i="489"/>
  <c r="Q1230" i="489"/>
  <c r="Q1231" i="489"/>
  <c r="Q1232" i="489"/>
  <c r="Q1223" i="489"/>
  <c r="Q1222" i="489"/>
  <c r="Q1233" i="489"/>
  <c r="Q1181" i="489"/>
  <c r="Q1182" i="489"/>
  <c r="Q1183" i="489"/>
  <c r="Q1184" i="489"/>
  <c r="Q1185" i="489"/>
  <c r="Q1186" i="489"/>
  <c r="Q1187" i="489"/>
  <c r="Q1188" i="489"/>
  <c r="Q1189" i="489"/>
  <c r="Q1191" i="489"/>
  <c r="Q1192" i="489"/>
  <c r="Q1193" i="489"/>
  <c r="Q1194" i="489"/>
  <c r="Q1195" i="489"/>
  <c r="Q1198" i="489"/>
  <c r="Q1199" i="489"/>
  <c r="Q1201" i="489"/>
  <c r="Q1202" i="489"/>
  <c r="Q1203" i="489"/>
  <c r="Q1204" i="489"/>
  <c r="Q1205" i="489"/>
  <c r="Q1196" i="489"/>
  <c r="Q1197" i="489"/>
  <c r="AC1237" i="489"/>
  <c r="AC1238" i="489"/>
  <c r="AC1239" i="489"/>
  <c r="AC1240" i="489"/>
  <c r="AC1241" i="489"/>
  <c r="AC1242" i="489"/>
  <c r="AC1244" i="489"/>
  <c r="AC1245" i="489"/>
  <c r="AC1247" i="489"/>
  <c r="AC1248" i="489"/>
  <c r="AC1243" i="489"/>
  <c r="AC1249" i="489"/>
  <c r="AC1250" i="489"/>
  <c r="AC1254" i="489"/>
  <c r="AC1255" i="489"/>
  <c r="AC1258" i="489"/>
  <c r="AC1259" i="489"/>
  <c r="AC1260" i="489"/>
  <c r="AC1261" i="489"/>
  <c r="AC1252" i="489"/>
  <c r="AC1251" i="489"/>
  <c r="AC1253" i="489"/>
  <c r="AC1257" i="489"/>
  <c r="AC1212" i="489"/>
  <c r="AC1213" i="489"/>
  <c r="AC1209" i="489"/>
  <c r="AC1210" i="489"/>
  <c r="AC1211" i="489"/>
  <c r="AC1214" i="489"/>
  <c r="AC1215" i="489"/>
  <c r="AC1219" i="489"/>
  <c r="AC1220" i="489"/>
  <c r="AC1221" i="489"/>
  <c r="AC1217" i="489"/>
  <c r="AC1223" i="489"/>
  <c r="AC1224" i="489"/>
  <c r="AC1225" i="489"/>
  <c r="AC1226" i="489"/>
  <c r="AC1227" i="489"/>
  <c r="AC1229" i="489"/>
  <c r="AC1230" i="489"/>
  <c r="AC1231" i="489"/>
  <c r="AC1232" i="489"/>
  <c r="AC1222" i="489"/>
  <c r="AC1233" i="489"/>
  <c r="AC1181" i="489"/>
  <c r="AC1182" i="489"/>
  <c r="AC1183" i="489"/>
  <c r="AC1185" i="489"/>
  <c r="AC1187" i="489"/>
  <c r="AC1188" i="489"/>
  <c r="AC1189" i="489"/>
  <c r="AC1191" i="489"/>
  <c r="AC1192" i="489"/>
  <c r="AC1193" i="489"/>
  <c r="AC1194" i="489"/>
  <c r="AC1195" i="489"/>
  <c r="AC1199" i="489"/>
  <c r="AC1201" i="489"/>
  <c r="AC1202" i="489"/>
  <c r="AC1203" i="489"/>
  <c r="AC1204" i="489"/>
  <c r="AC1205" i="489"/>
  <c r="AC1196" i="489"/>
  <c r="AC1197" i="489"/>
  <c r="AP1237" i="489"/>
  <c r="AP1238" i="489"/>
  <c r="AP1239" i="489"/>
  <c r="AP1240" i="489"/>
  <c r="AP1241" i="489"/>
  <c r="AP1242" i="489"/>
  <c r="AP1243" i="489"/>
  <c r="AP1244" i="489"/>
  <c r="AP1245" i="489"/>
  <c r="AP1247" i="489"/>
  <c r="AP1248" i="489"/>
  <c r="AP1249" i="489"/>
  <c r="AP1250" i="489"/>
  <c r="AP1251" i="489"/>
  <c r="AP1254" i="489"/>
  <c r="AP1255" i="489"/>
  <c r="AP1257" i="489"/>
  <c r="AP1252" i="489"/>
  <c r="AP1253" i="489"/>
  <c r="AP1259" i="489"/>
  <c r="AP1209" i="489"/>
  <c r="AP1210" i="489"/>
  <c r="AP1211" i="489"/>
  <c r="AP1261" i="489"/>
  <c r="AP1258" i="489"/>
  <c r="AP1214" i="489"/>
  <c r="AP1215" i="489"/>
  <c r="AP1216" i="489"/>
  <c r="AP1217" i="489"/>
  <c r="AP1213" i="489"/>
  <c r="AP1260" i="489"/>
  <c r="AP1212" i="489"/>
  <c r="AP1219" i="489"/>
  <c r="AP1220" i="489"/>
  <c r="AP1223" i="489"/>
  <c r="AP1224" i="489"/>
  <c r="AP1225" i="489"/>
  <c r="AP1226" i="489"/>
  <c r="AP1227" i="489"/>
  <c r="AP1229" i="489"/>
  <c r="AP1230" i="489"/>
  <c r="AP1222" i="489"/>
  <c r="AP1221" i="489"/>
  <c r="AP1233" i="489"/>
  <c r="AP1232" i="489"/>
  <c r="AP1231" i="489"/>
  <c r="AP1181" i="489"/>
  <c r="AP1182" i="489"/>
  <c r="AP1183" i="489"/>
  <c r="AP1184" i="489"/>
  <c r="AP1185" i="489"/>
  <c r="AP1186" i="489"/>
  <c r="AP1187" i="489"/>
  <c r="AP1188" i="489"/>
  <c r="AP1189" i="489"/>
  <c r="AP1191" i="489"/>
  <c r="AP1192" i="489"/>
  <c r="AP1193" i="489"/>
  <c r="AP1196" i="489"/>
  <c r="AP1198" i="489"/>
  <c r="AP1199" i="489"/>
  <c r="AP1201" i="489"/>
  <c r="AP1202" i="489"/>
  <c r="AP1203" i="489"/>
  <c r="AP1204" i="489"/>
  <c r="AP1205" i="489"/>
  <c r="AP1194" i="489"/>
  <c r="AP1195" i="489"/>
  <c r="AP1197" i="489"/>
  <c r="BB1237" i="489"/>
  <c r="BB1238" i="489"/>
  <c r="BB1239" i="489"/>
  <c r="BB1240" i="489"/>
  <c r="BB1241" i="489"/>
  <c r="BB1242" i="489"/>
  <c r="BB1243" i="489"/>
  <c r="BB1244" i="489"/>
  <c r="BB1245" i="489"/>
  <c r="BB1247" i="489"/>
  <c r="BB1248" i="489"/>
  <c r="BB1249" i="489"/>
  <c r="BB1250" i="489"/>
  <c r="BB1251" i="489"/>
  <c r="BB1254" i="489"/>
  <c r="BB1255" i="489"/>
  <c r="BB1257" i="489"/>
  <c r="BB1252" i="489"/>
  <c r="BB1253" i="489"/>
  <c r="BB1209" i="489"/>
  <c r="BB1210" i="489"/>
  <c r="BB1211" i="489"/>
  <c r="BB1258" i="489"/>
  <c r="BB1261" i="489"/>
  <c r="BB1260" i="489"/>
  <c r="BB1213" i="489"/>
  <c r="BB1214" i="489"/>
  <c r="BB1215" i="489"/>
  <c r="BB1216" i="489"/>
  <c r="BB1217" i="489"/>
  <c r="BB1259" i="489"/>
  <c r="BB1219" i="489"/>
  <c r="BB1220" i="489"/>
  <c r="BB1212" i="489"/>
  <c r="BB1221" i="489"/>
  <c r="BB1222" i="489"/>
  <c r="BB1224" i="489"/>
  <c r="BB1225" i="489"/>
  <c r="BB1226" i="489"/>
  <c r="BB1227" i="489"/>
  <c r="BB1229" i="489"/>
  <c r="BB1230" i="489"/>
  <c r="BB1233" i="489"/>
  <c r="BB1231" i="489"/>
  <c r="BB1232" i="489"/>
  <c r="BB1181" i="489"/>
  <c r="BB1182" i="489"/>
  <c r="BB1183" i="489"/>
  <c r="BB1184" i="489"/>
  <c r="BB1185" i="489"/>
  <c r="BB1186" i="489"/>
  <c r="BB1187" i="489"/>
  <c r="BB1188" i="489"/>
  <c r="BB1189" i="489"/>
  <c r="BB1191" i="489"/>
  <c r="BB1192" i="489"/>
  <c r="BB1193" i="489"/>
  <c r="BB1197" i="489"/>
  <c r="BB1198" i="489"/>
  <c r="BB1199" i="489"/>
  <c r="BB1201" i="489"/>
  <c r="BB1202" i="489"/>
  <c r="BB1203" i="489"/>
  <c r="BB1204" i="489"/>
  <c r="BB1205" i="489"/>
  <c r="BB1196" i="489"/>
  <c r="BB1194" i="489"/>
  <c r="BB1195" i="489"/>
  <c r="BN1237" i="489"/>
  <c r="BN1238" i="489"/>
  <c r="BN1239" i="489"/>
  <c r="BN1240" i="489"/>
  <c r="BN1241" i="489"/>
  <c r="BN1244" i="489"/>
  <c r="BN1245" i="489"/>
  <c r="BN1247" i="489"/>
  <c r="BN1248" i="489"/>
  <c r="BN1249" i="489"/>
  <c r="BN1250" i="489"/>
  <c r="BN1251" i="489"/>
  <c r="BN1255" i="489"/>
  <c r="BN1257" i="489"/>
  <c r="BN1252" i="489"/>
  <c r="BN1209" i="489"/>
  <c r="BN1210" i="489"/>
  <c r="BN1211" i="489"/>
  <c r="BN1253" i="489"/>
  <c r="BN1260" i="489"/>
  <c r="BN1212" i="489"/>
  <c r="BN1214" i="489"/>
  <c r="BN1215" i="489"/>
  <c r="BN1216" i="489"/>
  <c r="BN1258" i="489"/>
  <c r="BN1259" i="489"/>
  <c r="BN1261" i="489"/>
  <c r="BN1213" i="489"/>
  <c r="BN1217" i="489"/>
  <c r="BN1219" i="489"/>
  <c r="BN1220" i="489"/>
  <c r="BN1221" i="489"/>
  <c r="BN1224" i="489"/>
  <c r="BN1225" i="489"/>
  <c r="BN1226" i="489"/>
  <c r="BN1227" i="489"/>
  <c r="BN1229" i="489"/>
  <c r="BN1230" i="489"/>
  <c r="BN1222" i="489"/>
  <c r="BN1223" i="489"/>
  <c r="BN1233" i="489"/>
  <c r="BN1232" i="489"/>
  <c r="BN1231" i="489"/>
  <c r="BN1181" i="489"/>
  <c r="BN1182" i="489"/>
  <c r="BN1183" i="489"/>
  <c r="BN1184" i="489"/>
  <c r="BN1185" i="489"/>
  <c r="BN1187" i="489"/>
  <c r="BN1188" i="489"/>
  <c r="BN1189" i="489"/>
  <c r="BN1191" i="489"/>
  <c r="BN1192" i="489"/>
  <c r="BN1193" i="489"/>
  <c r="BN1196" i="489"/>
  <c r="BN1198" i="489"/>
  <c r="BN1199" i="489"/>
  <c r="BN1201" i="489"/>
  <c r="BN1202" i="489"/>
  <c r="BN1203" i="489"/>
  <c r="BN1204" i="489"/>
  <c r="BN1205" i="489"/>
  <c r="BN1194" i="489"/>
  <c r="BN1195" i="489"/>
  <c r="BN1197" i="489"/>
  <c r="BZ1237" i="489"/>
  <c r="BZ1238" i="489"/>
  <c r="BZ1239" i="489"/>
  <c r="BZ1240" i="489"/>
  <c r="BZ1241" i="489"/>
  <c r="BZ1242" i="489"/>
  <c r="BZ1243" i="489"/>
  <c r="BZ1244" i="489"/>
  <c r="BZ1245" i="489"/>
  <c r="BZ1247" i="489"/>
  <c r="BZ1248" i="489"/>
  <c r="BZ1249" i="489"/>
  <c r="BZ1250" i="489"/>
  <c r="BZ1251" i="489"/>
  <c r="BZ1252" i="489"/>
  <c r="BZ1254" i="489"/>
  <c r="BZ1255" i="489"/>
  <c r="BZ1257" i="489"/>
  <c r="BZ1253" i="489"/>
  <c r="BZ1261" i="489"/>
  <c r="BZ1209" i="489"/>
  <c r="BZ1210" i="489"/>
  <c r="BZ1211" i="489"/>
  <c r="BZ1259" i="489"/>
  <c r="BZ1214" i="489"/>
  <c r="BZ1215" i="489"/>
  <c r="BZ1216" i="489"/>
  <c r="BZ1260" i="489"/>
  <c r="BZ1258" i="489"/>
  <c r="BZ1212" i="489"/>
  <c r="BZ1217" i="489"/>
  <c r="BZ1213" i="489"/>
  <c r="BZ1219" i="489"/>
  <c r="BZ1220" i="489"/>
  <c r="BZ1222" i="489"/>
  <c r="BZ1224" i="489"/>
  <c r="BZ1225" i="489"/>
  <c r="BZ1226" i="489"/>
  <c r="BZ1227" i="489"/>
  <c r="BZ1229" i="489"/>
  <c r="BZ1230" i="489"/>
  <c r="BZ1221" i="489"/>
  <c r="BZ1223" i="489"/>
  <c r="BZ1231" i="489"/>
  <c r="BZ1181" i="489"/>
  <c r="BZ1182" i="489"/>
  <c r="BZ1183" i="489"/>
  <c r="BZ1232" i="489"/>
  <c r="BZ1233" i="489"/>
  <c r="BZ1184" i="489"/>
  <c r="BZ1185" i="489"/>
  <c r="BZ1186" i="489"/>
  <c r="BZ1187" i="489"/>
  <c r="BZ1188" i="489"/>
  <c r="BZ1189" i="489"/>
  <c r="BZ1191" i="489"/>
  <c r="BZ1192" i="489"/>
  <c r="BZ1193" i="489"/>
  <c r="BZ1198" i="489"/>
  <c r="BZ1199" i="489"/>
  <c r="BZ1201" i="489"/>
  <c r="BZ1202" i="489"/>
  <c r="BZ1203" i="489"/>
  <c r="BZ1204" i="489"/>
  <c r="BZ1205" i="489"/>
  <c r="BZ1194" i="489"/>
  <c r="BZ1195" i="489"/>
  <c r="BZ1197" i="489"/>
  <c r="BZ1196" i="489"/>
  <c r="CL1237" i="489"/>
  <c r="CL1238" i="489"/>
  <c r="CL1240" i="489"/>
  <c r="CL1241" i="489"/>
  <c r="CL1242" i="489"/>
  <c r="CL1243" i="489"/>
  <c r="CL1244" i="489"/>
  <c r="CL1245" i="489"/>
  <c r="CL1247" i="489"/>
  <c r="CL1248" i="489"/>
  <c r="CL1249" i="489"/>
  <c r="CL1250" i="489"/>
  <c r="CL1251" i="489"/>
  <c r="CL1253" i="489"/>
  <c r="CL1254" i="489"/>
  <c r="CL1255" i="489"/>
  <c r="CL1257" i="489"/>
  <c r="CL1209" i="489"/>
  <c r="CL1210" i="489"/>
  <c r="CL1211" i="489"/>
  <c r="CL1259" i="489"/>
  <c r="CL1260" i="489"/>
  <c r="CL1252" i="489"/>
  <c r="CL1214" i="489"/>
  <c r="CL1215" i="489"/>
  <c r="CL1216" i="489"/>
  <c r="CL1213" i="489"/>
  <c r="CL1261" i="489"/>
  <c r="CL1258" i="489"/>
  <c r="CL1212" i="489"/>
  <c r="CL1219" i="489"/>
  <c r="CL1220" i="489"/>
  <c r="CL1217" i="489"/>
  <c r="CL1224" i="489"/>
  <c r="CL1225" i="489"/>
  <c r="CL1226" i="489"/>
  <c r="CL1227" i="489"/>
  <c r="CL1229" i="489"/>
  <c r="CL1230" i="489"/>
  <c r="CL1222" i="489"/>
  <c r="CL1221" i="489"/>
  <c r="CL1223" i="489"/>
  <c r="CL1231" i="489"/>
  <c r="CL1232" i="489"/>
  <c r="CL1233" i="489"/>
  <c r="CL1182" i="489"/>
  <c r="CL1183" i="489"/>
  <c r="CL1184" i="489"/>
  <c r="CL1185" i="489"/>
  <c r="CL1186" i="489"/>
  <c r="CL1187" i="489"/>
  <c r="CL1188" i="489"/>
  <c r="CL1189" i="489"/>
  <c r="CL1191" i="489"/>
  <c r="CL1192" i="489"/>
  <c r="CL1193" i="489"/>
  <c r="CL1194" i="489"/>
  <c r="CL1195" i="489"/>
  <c r="CL1198" i="489"/>
  <c r="CL1199" i="489"/>
  <c r="CL1201" i="489"/>
  <c r="CL1202" i="489"/>
  <c r="CL1203" i="489"/>
  <c r="CL1204" i="489"/>
  <c r="CL1205" i="489"/>
  <c r="CL1196" i="489"/>
  <c r="CL1197" i="489"/>
  <c r="CX1237" i="489"/>
  <c r="CX1238" i="489"/>
  <c r="CX1239" i="489"/>
  <c r="CX1240" i="489"/>
  <c r="CX1241" i="489"/>
  <c r="CX1242" i="489"/>
  <c r="CX1243" i="489"/>
  <c r="CX1244" i="489"/>
  <c r="CX1245" i="489"/>
  <c r="CX1247" i="489"/>
  <c r="CX1248" i="489"/>
  <c r="CX1249" i="489"/>
  <c r="CX1250" i="489"/>
  <c r="CX1251" i="489"/>
  <c r="CX1253" i="489"/>
  <c r="CX1254" i="489"/>
  <c r="CX1255" i="489"/>
  <c r="CX1257" i="489"/>
  <c r="CX1252" i="489"/>
  <c r="CX1258" i="489"/>
  <c r="CX1209" i="489"/>
  <c r="CX1210" i="489"/>
  <c r="CX1211" i="489"/>
  <c r="CX1261" i="489"/>
  <c r="CX1213" i="489"/>
  <c r="CX1212" i="489"/>
  <c r="CX1214" i="489"/>
  <c r="CX1215" i="489"/>
  <c r="CX1216" i="489"/>
  <c r="CX1260" i="489"/>
  <c r="CX1259" i="489"/>
  <c r="CX1217" i="489"/>
  <c r="CX1219" i="489"/>
  <c r="CX1220" i="489"/>
  <c r="CX1221" i="489"/>
  <c r="CX1224" i="489"/>
  <c r="CX1225" i="489"/>
  <c r="CX1226" i="489"/>
  <c r="CX1227" i="489"/>
  <c r="CX1229" i="489"/>
  <c r="CX1230" i="489"/>
  <c r="CX1223" i="489"/>
  <c r="CX1222" i="489"/>
  <c r="CX1232" i="489"/>
  <c r="CX1231" i="489"/>
  <c r="CX1233" i="489"/>
  <c r="CX1181" i="489"/>
  <c r="CX1182" i="489"/>
  <c r="CX1183" i="489"/>
  <c r="CX1184" i="489"/>
  <c r="CX1185" i="489"/>
  <c r="CX1186" i="489"/>
  <c r="CX1187" i="489"/>
  <c r="CX1188" i="489"/>
  <c r="CX1189" i="489"/>
  <c r="CX1191" i="489"/>
  <c r="CX1192" i="489"/>
  <c r="CX1193" i="489"/>
  <c r="CX1197" i="489"/>
  <c r="CX1198" i="489"/>
  <c r="CX1199" i="489"/>
  <c r="CX1201" i="489"/>
  <c r="CX1202" i="489"/>
  <c r="CX1203" i="489"/>
  <c r="CX1204" i="489"/>
  <c r="CX1205" i="489"/>
  <c r="CX1194" i="489"/>
  <c r="CX1195" i="489"/>
  <c r="CX1196" i="489"/>
  <c r="DJ1237" i="489"/>
  <c r="DJ1238" i="489"/>
  <c r="DJ1239" i="489"/>
  <c r="DJ1240" i="489"/>
  <c r="DJ1241" i="489"/>
  <c r="DJ1242" i="489"/>
  <c r="DJ1243" i="489"/>
  <c r="DJ1244" i="489"/>
  <c r="DJ1245" i="489"/>
  <c r="DJ1247" i="489"/>
  <c r="DJ1249" i="489"/>
  <c r="DJ1250" i="489"/>
  <c r="DJ1251" i="489"/>
  <c r="DJ1253" i="489"/>
  <c r="DJ1254" i="489"/>
  <c r="DJ1255" i="489"/>
  <c r="DJ1257" i="489"/>
  <c r="DJ1248" i="489"/>
  <c r="DJ1252" i="489"/>
  <c r="DJ1209" i="489"/>
  <c r="DJ1210" i="489"/>
  <c r="DJ1211" i="489"/>
  <c r="DJ1258" i="489"/>
  <c r="DJ1261" i="489"/>
  <c r="DJ1214" i="489"/>
  <c r="DJ1215" i="489"/>
  <c r="DJ1216" i="489"/>
  <c r="DJ1259" i="489"/>
  <c r="DJ1212" i="489"/>
  <c r="DJ1213" i="489"/>
  <c r="DJ1219" i="489"/>
  <c r="DJ1220" i="489"/>
  <c r="DJ1260" i="489"/>
  <c r="DJ1217" i="489"/>
  <c r="DJ1224" i="489"/>
  <c r="DJ1225" i="489"/>
  <c r="DJ1226" i="489"/>
  <c r="DJ1227" i="489"/>
  <c r="DJ1229" i="489"/>
  <c r="DJ1230" i="489"/>
  <c r="DJ1221" i="489"/>
  <c r="DJ1222" i="489"/>
  <c r="DJ1223" i="489"/>
  <c r="DJ1231" i="489"/>
  <c r="DJ1232" i="489"/>
  <c r="DJ1233" i="489"/>
  <c r="DJ1181" i="489"/>
  <c r="DJ1182" i="489"/>
  <c r="DJ1183" i="489"/>
  <c r="DJ1184" i="489"/>
  <c r="DJ1185" i="489"/>
  <c r="DJ1186" i="489"/>
  <c r="DJ1187" i="489"/>
  <c r="DJ1188" i="489"/>
  <c r="DJ1189" i="489"/>
  <c r="DJ1191" i="489"/>
  <c r="DJ1192" i="489"/>
  <c r="DJ1197" i="489"/>
  <c r="DJ1198" i="489"/>
  <c r="DJ1199" i="489"/>
  <c r="DJ1201" i="489"/>
  <c r="DJ1202" i="489"/>
  <c r="DJ1203" i="489"/>
  <c r="DJ1204" i="489"/>
  <c r="DJ1205" i="489"/>
  <c r="DJ1196" i="489"/>
  <c r="DJ1193" i="489"/>
  <c r="DJ1194" i="489"/>
  <c r="DJ1195" i="489"/>
  <c r="DV1237" i="489"/>
  <c r="DV1238" i="489"/>
  <c r="DV1239" i="489"/>
  <c r="DV1240" i="489"/>
  <c r="DV1241" i="489"/>
  <c r="DV1242" i="489"/>
  <c r="DV1243" i="489"/>
  <c r="DV1244" i="489"/>
  <c r="DV1245" i="489"/>
  <c r="DV1248" i="489"/>
  <c r="DV1249" i="489"/>
  <c r="DV1250" i="489"/>
  <c r="DV1253" i="489"/>
  <c r="DV1254" i="489"/>
  <c r="DV1255" i="489"/>
  <c r="DV1257" i="489"/>
  <c r="DV1251" i="489"/>
  <c r="DV1252" i="489"/>
  <c r="DV1209" i="489"/>
  <c r="DV1210" i="489"/>
  <c r="DV1211" i="489"/>
  <c r="DV1261" i="489"/>
  <c r="DV1259" i="489"/>
  <c r="DV1214" i="489"/>
  <c r="DV1215" i="489"/>
  <c r="DV1216" i="489"/>
  <c r="DV1258" i="489"/>
  <c r="DV1260" i="489"/>
  <c r="DV1213" i="489"/>
  <c r="DV1212" i="489"/>
  <c r="DV1217" i="489"/>
  <c r="DV1219" i="489"/>
  <c r="DV1220" i="489"/>
  <c r="DV1224" i="489"/>
  <c r="DV1225" i="489"/>
  <c r="DV1226" i="489"/>
  <c r="DV1227" i="489"/>
  <c r="DV1229" i="489"/>
  <c r="DV1230" i="489"/>
  <c r="DV1223" i="489"/>
  <c r="DV1221" i="489"/>
  <c r="DV1222" i="489"/>
  <c r="DV1231" i="489"/>
  <c r="DV1232" i="489"/>
  <c r="DV1233" i="489"/>
  <c r="DV1181" i="489"/>
  <c r="DV1182" i="489"/>
  <c r="DV1183" i="489"/>
  <c r="DV1184" i="489"/>
  <c r="DV1185" i="489"/>
  <c r="DV1186" i="489"/>
  <c r="DV1187" i="489"/>
  <c r="DV1188" i="489"/>
  <c r="DV1189" i="489"/>
  <c r="DV1191" i="489"/>
  <c r="DV1192" i="489"/>
  <c r="DV1196" i="489"/>
  <c r="DV1197" i="489"/>
  <c r="DV1198" i="489"/>
  <c r="DV1199" i="489"/>
  <c r="DV1201" i="489"/>
  <c r="DV1202" i="489"/>
  <c r="DV1203" i="489"/>
  <c r="DV1204" i="489"/>
  <c r="DV1205" i="489"/>
  <c r="DV1194" i="489"/>
  <c r="DV1195" i="489"/>
  <c r="DV1193" i="489"/>
  <c r="EJ1237" i="489"/>
  <c r="EJ1238" i="489"/>
  <c r="EJ1239" i="489"/>
  <c r="EJ1240" i="489"/>
  <c r="EJ1241" i="489"/>
  <c r="EJ1243" i="489"/>
  <c r="EJ1244" i="489"/>
  <c r="EJ1245" i="489"/>
  <c r="EJ1242" i="489"/>
  <c r="EJ1249" i="489"/>
  <c r="EJ1250" i="489"/>
  <c r="EJ1251" i="489"/>
  <c r="EJ1252" i="489"/>
  <c r="EJ1248" i="489"/>
  <c r="EJ1247" i="489"/>
  <c r="EJ1253" i="489"/>
  <c r="EJ1254" i="489"/>
  <c r="EJ1258" i="489"/>
  <c r="EJ1259" i="489"/>
  <c r="EJ1260" i="489"/>
  <c r="EJ1257" i="489"/>
  <c r="EJ1255" i="489"/>
  <c r="EJ1261" i="489"/>
  <c r="EJ1209" i="489"/>
  <c r="EJ1210" i="489"/>
  <c r="EJ1214" i="489"/>
  <c r="EJ1215" i="489"/>
  <c r="EJ1212" i="489"/>
  <c r="EJ1213" i="489"/>
  <c r="EJ1211" i="489"/>
  <c r="EJ1217" i="489"/>
  <c r="EJ1216" i="489"/>
  <c r="EJ1219" i="489"/>
  <c r="EJ1220" i="489"/>
  <c r="EJ1221" i="489"/>
  <c r="EJ1224" i="489"/>
  <c r="EJ1225" i="489"/>
  <c r="EJ1226" i="489"/>
  <c r="EJ1227" i="489"/>
  <c r="EJ1223" i="489"/>
  <c r="EJ1222" i="489"/>
  <c r="EJ1233" i="489"/>
  <c r="EJ1181" i="489"/>
  <c r="EJ1182" i="489"/>
  <c r="EJ1229" i="489"/>
  <c r="EJ1230" i="489"/>
  <c r="EJ1231" i="489"/>
  <c r="EJ1232" i="489"/>
  <c r="EJ1183" i="489"/>
  <c r="EJ1184" i="489"/>
  <c r="EJ1185" i="489"/>
  <c r="EJ1186" i="489"/>
  <c r="EJ1187" i="489"/>
  <c r="EJ1188" i="489"/>
  <c r="EJ1189" i="489"/>
  <c r="EJ1191" i="489"/>
  <c r="EJ1192" i="489"/>
  <c r="EJ1195" i="489"/>
  <c r="EJ1193" i="489"/>
  <c r="EJ1197" i="489"/>
  <c r="EJ1198" i="489"/>
  <c r="EJ1199" i="489"/>
  <c r="EJ1201" i="489"/>
  <c r="EJ1202" i="489"/>
  <c r="EJ1203" i="489"/>
  <c r="EJ1204" i="489"/>
  <c r="EJ1205" i="489"/>
  <c r="EJ1196" i="489"/>
  <c r="EJ1194" i="489"/>
  <c r="EU1237" i="489"/>
  <c r="EU1238" i="489"/>
  <c r="EU1239" i="489"/>
  <c r="EU1240" i="489"/>
  <c r="EU1241" i="489"/>
  <c r="EU1242" i="489"/>
  <c r="EU1243" i="489"/>
  <c r="EU1244" i="489"/>
  <c r="EU1245" i="489"/>
  <c r="EU1247" i="489"/>
  <c r="EU1249" i="489"/>
  <c r="EU1250" i="489"/>
  <c r="EU1248" i="489"/>
  <c r="EU1252" i="489"/>
  <c r="EU1255" i="489"/>
  <c r="EU1251" i="489"/>
  <c r="EU1254" i="489"/>
  <c r="EU1253" i="489"/>
  <c r="EU1209" i="489"/>
  <c r="EU1210" i="489"/>
  <c r="EU1211" i="489"/>
  <c r="EU1259" i="489"/>
  <c r="EU1261" i="489"/>
  <c r="EU1214" i="489"/>
  <c r="EU1213" i="489"/>
  <c r="EU1258" i="489"/>
  <c r="EU1260" i="489"/>
  <c r="EU1216" i="489"/>
  <c r="EU1217" i="489"/>
  <c r="EU1215" i="489"/>
  <c r="EU1257" i="489"/>
  <c r="EU1212" i="489"/>
  <c r="EU1219" i="489"/>
  <c r="EU1220" i="489"/>
  <c r="EU1224" i="489"/>
  <c r="EU1225" i="489"/>
  <c r="EU1226" i="489"/>
  <c r="EU1227" i="489"/>
  <c r="EU1223" i="489"/>
  <c r="EU1222" i="489"/>
  <c r="EU1221" i="489"/>
  <c r="EU1231" i="489"/>
  <c r="EU1229" i="489"/>
  <c r="EU1232" i="489"/>
  <c r="EU1230" i="489"/>
  <c r="EU1233" i="489"/>
  <c r="EU1181" i="489"/>
  <c r="EU1182" i="489"/>
  <c r="EU1183" i="489"/>
  <c r="EU1184" i="489"/>
  <c r="EU1185" i="489"/>
  <c r="EU1186" i="489"/>
  <c r="EU1187" i="489"/>
  <c r="EU1188" i="489"/>
  <c r="EU1189" i="489"/>
  <c r="EU1191" i="489"/>
  <c r="EU1192" i="489"/>
  <c r="EU1194" i="489"/>
  <c r="EU1197" i="489"/>
  <c r="EU1198" i="489"/>
  <c r="EU1199" i="489"/>
  <c r="EU1201" i="489"/>
  <c r="EU1202" i="489"/>
  <c r="EU1203" i="489"/>
  <c r="EU1204" i="489"/>
  <c r="EU1205" i="489"/>
  <c r="EU1196" i="489"/>
  <c r="EU1193" i="489"/>
  <c r="EU1195" i="489"/>
  <c r="R1237" i="489"/>
  <c r="R1238" i="489"/>
  <c r="R1239" i="489"/>
  <c r="R1240" i="489"/>
  <c r="R1241" i="489"/>
  <c r="R1242" i="489"/>
  <c r="R1243" i="489"/>
  <c r="R1244" i="489"/>
  <c r="R1245" i="489"/>
  <c r="R1247" i="489"/>
  <c r="R1248" i="489"/>
  <c r="R1250" i="489"/>
  <c r="R1251" i="489"/>
  <c r="R1254" i="489"/>
  <c r="R1255" i="489"/>
  <c r="R1257" i="489"/>
  <c r="R1249" i="489"/>
  <c r="R1253" i="489"/>
  <c r="R1209" i="489"/>
  <c r="R1210" i="489"/>
  <c r="R1211" i="489"/>
  <c r="R1212" i="489"/>
  <c r="R1252" i="489"/>
  <c r="R1260" i="489"/>
  <c r="R1214" i="489"/>
  <c r="R1215" i="489"/>
  <c r="R1216" i="489"/>
  <c r="R1217" i="489"/>
  <c r="R1261" i="489"/>
  <c r="R1258" i="489"/>
  <c r="R1259" i="489"/>
  <c r="R1213" i="489"/>
  <c r="R1219" i="489"/>
  <c r="R1220" i="489"/>
  <c r="R1222" i="489"/>
  <c r="R1224" i="489"/>
  <c r="R1225" i="489"/>
  <c r="R1226" i="489"/>
  <c r="R1227" i="489"/>
  <c r="R1229" i="489"/>
  <c r="R1230" i="489"/>
  <c r="R1223" i="489"/>
  <c r="R1221" i="489"/>
  <c r="R1231" i="489"/>
  <c r="R1233" i="489"/>
  <c r="R1232" i="489"/>
  <c r="R1181" i="489"/>
  <c r="R1182" i="489"/>
  <c r="R1183" i="489"/>
  <c r="R1184" i="489"/>
  <c r="R1185" i="489"/>
  <c r="R1186" i="489"/>
  <c r="R1187" i="489"/>
  <c r="R1188" i="489"/>
  <c r="R1189" i="489"/>
  <c r="R1191" i="489"/>
  <c r="R1192" i="489"/>
  <c r="R1193" i="489"/>
  <c r="R1198" i="489"/>
  <c r="R1199" i="489"/>
  <c r="R1201" i="489"/>
  <c r="R1202" i="489"/>
  <c r="R1203" i="489"/>
  <c r="R1204" i="489"/>
  <c r="R1205" i="489"/>
  <c r="R1195" i="489"/>
  <c r="R1194" i="489"/>
  <c r="R1196" i="489"/>
  <c r="R1197" i="489"/>
  <c r="AD1237" i="489"/>
  <c r="AD1238" i="489"/>
  <c r="AD1239" i="489"/>
  <c r="AD1240" i="489"/>
  <c r="AD1241" i="489"/>
  <c r="AD1242" i="489"/>
  <c r="AD1243" i="489"/>
  <c r="AD1244" i="489"/>
  <c r="AD1245" i="489"/>
  <c r="AD1247" i="489"/>
  <c r="AD1248" i="489"/>
  <c r="AD1249" i="489"/>
  <c r="AD1250" i="489"/>
  <c r="AD1251" i="489"/>
  <c r="AD1254" i="489"/>
  <c r="AD1255" i="489"/>
  <c r="AD1257" i="489"/>
  <c r="AD1253" i="489"/>
  <c r="AD1252" i="489"/>
  <c r="AD1209" i="489"/>
  <c r="AD1210" i="489"/>
  <c r="AD1211" i="489"/>
  <c r="AD1212" i="489"/>
  <c r="AD1258" i="489"/>
  <c r="AD1259" i="489"/>
  <c r="AD1261" i="489"/>
  <c r="AD1260" i="489"/>
  <c r="AD1214" i="489"/>
  <c r="AD1215" i="489"/>
  <c r="AD1216" i="489"/>
  <c r="AD1217" i="489"/>
  <c r="AD1219" i="489"/>
  <c r="AD1220" i="489"/>
  <c r="AD1213" i="489"/>
  <c r="AD1223" i="489"/>
  <c r="AD1224" i="489"/>
  <c r="AD1225" i="489"/>
  <c r="AD1226" i="489"/>
  <c r="AD1227" i="489"/>
  <c r="AD1229" i="489"/>
  <c r="AD1230" i="489"/>
  <c r="AD1222" i="489"/>
  <c r="AD1221" i="489"/>
  <c r="AD1233" i="489"/>
  <c r="AD1232" i="489"/>
  <c r="AD1231" i="489"/>
  <c r="AD1181" i="489"/>
  <c r="AD1182" i="489"/>
  <c r="AD1183" i="489"/>
  <c r="AD1184" i="489"/>
  <c r="AD1185" i="489"/>
  <c r="AD1186" i="489"/>
  <c r="AD1187" i="489"/>
  <c r="AD1188" i="489"/>
  <c r="AD1189" i="489"/>
  <c r="AD1191" i="489"/>
  <c r="AD1192" i="489"/>
  <c r="AD1193" i="489"/>
  <c r="AD1195" i="489"/>
  <c r="AD1194" i="489"/>
  <c r="AD1198" i="489"/>
  <c r="AD1199" i="489"/>
  <c r="AD1201" i="489"/>
  <c r="AD1202" i="489"/>
  <c r="AD1203" i="489"/>
  <c r="AD1204" i="489"/>
  <c r="AD1205" i="489"/>
  <c r="AD1196" i="489"/>
  <c r="AD1197" i="489"/>
  <c r="AQ1239" i="489"/>
  <c r="AQ1240" i="489"/>
  <c r="AQ1241" i="489"/>
  <c r="AQ1242" i="489"/>
  <c r="AQ1243" i="489"/>
  <c r="AQ1244" i="489"/>
  <c r="AQ1245" i="489"/>
  <c r="AQ1251" i="489"/>
  <c r="AQ1254" i="489"/>
  <c r="AQ1255" i="489"/>
  <c r="AQ1258" i="489"/>
  <c r="AQ1253" i="489"/>
  <c r="AQ1257" i="489"/>
  <c r="AQ1210" i="489"/>
  <c r="AQ1211" i="489"/>
  <c r="AQ1212" i="489"/>
  <c r="AQ1260" i="489"/>
  <c r="AQ1261" i="489"/>
  <c r="AQ1259" i="489"/>
  <c r="AQ1214" i="489"/>
  <c r="AQ1215" i="489"/>
  <c r="AQ1213" i="489"/>
  <c r="AQ1252" i="489"/>
  <c r="AQ1216" i="489"/>
  <c r="AQ1217" i="489"/>
  <c r="AQ1223" i="489"/>
  <c r="AQ1224" i="489"/>
  <c r="AQ1225" i="489"/>
  <c r="AQ1226" i="489"/>
  <c r="AQ1227" i="489"/>
  <c r="AQ1229" i="489"/>
  <c r="AQ1222" i="489"/>
  <c r="AQ1233" i="489"/>
  <c r="AQ1232" i="489"/>
  <c r="AQ1231" i="489"/>
  <c r="AQ1230" i="489"/>
  <c r="AQ1181" i="489"/>
  <c r="AQ1183" i="489"/>
  <c r="AQ1184" i="489"/>
  <c r="AQ1185" i="489"/>
  <c r="AQ1186" i="489"/>
  <c r="AQ1187" i="489"/>
  <c r="AQ1188" i="489"/>
  <c r="AQ1189" i="489"/>
  <c r="AQ1196" i="489"/>
  <c r="AQ1198" i="489"/>
  <c r="AQ1199" i="489"/>
  <c r="AQ1201" i="489"/>
  <c r="AQ1202" i="489"/>
  <c r="AQ1203" i="489"/>
  <c r="AQ1204" i="489"/>
  <c r="AQ1205" i="489"/>
  <c r="AQ1194" i="489"/>
  <c r="AQ1195" i="489"/>
  <c r="AQ1197" i="489"/>
  <c r="BC1237" i="489"/>
  <c r="BC1238" i="489"/>
  <c r="BC1239" i="489"/>
  <c r="BC1240" i="489"/>
  <c r="BC1241" i="489"/>
  <c r="BC1242" i="489"/>
  <c r="BC1243" i="489"/>
  <c r="BC1244" i="489"/>
  <c r="BC1245" i="489"/>
  <c r="BC1247" i="489"/>
  <c r="BC1248" i="489"/>
  <c r="BC1251" i="489"/>
  <c r="BC1252" i="489"/>
  <c r="BC1253" i="489"/>
  <c r="BC1249" i="489"/>
  <c r="BC1250" i="489"/>
  <c r="BC1257" i="489"/>
  <c r="BC1255" i="489"/>
  <c r="BC1254" i="489"/>
  <c r="BC1209" i="489"/>
  <c r="BC1210" i="489"/>
  <c r="BC1211" i="489"/>
  <c r="BC1212" i="489"/>
  <c r="BC1258" i="489"/>
  <c r="BC1261" i="489"/>
  <c r="BC1259" i="489"/>
  <c r="BC1214" i="489"/>
  <c r="BC1215" i="489"/>
  <c r="BC1260" i="489"/>
  <c r="BC1217" i="489"/>
  <c r="BC1213" i="489"/>
  <c r="BC1219" i="489"/>
  <c r="BC1220" i="489"/>
  <c r="BC1221" i="489"/>
  <c r="BC1216" i="489"/>
  <c r="BC1223" i="489"/>
  <c r="BC1222" i="489"/>
  <c r="BC1224" i="489"/>
  <c r="BC1225" i="489"/>
  <c r="BC1226" i="489"/>
  <c r="BC1227" i="489"/>
  <c r="BC1229" i="489"/>
  <c r="BC1230" i="489"/>
  <c r="BC1233" i="489"/>
  <c r="BC1231" i="489"/>
  <c r="BC1232" i="489"/>
  <c r="BC1181" i="489"/>
  <c r="BC1182" i="489"/>
  <c r="BC1183" i="489"/>
  <c r="BC1184" i="489"/>
  <c r="BC1185" i="489"/>
  <c r="BC1186" i="489"/>
  <c r="BC1187" i="489"/>
  <c r="BC1188" i="489"/>
  <c r="BC1189" i="489"/>
  <c r="BC1191" i="489"/>
  <c r="BC1192" i="489"/>
  <c r="BC1193" i="489"/>
  <c r="BC1197" i="489"/>
  <c r="BC1198" i="489"/>
  <c r="BC1199" i="489"/>
  <c r="BC1201" i="489"/>
  <c r="BC1202" i="489"/>
  <c r="BC1203" i="489"/>
  <c r="BC1204" i="489"/>
  <c r="BC1205" i="489"/>
  <c r="BC1196" i="489"/>
  <c r="BC1194" i="489"/>
  <c r="BC1195" i="489"/>
  <c r="BO1237" i="489"/>
  <c r="BO1238" i="489"/>
  <c r="BO1239" i="489"/>
  <c r="BO1240" i="489"/>
  <c r="BO1241" i="489"/>
  <c r="BO1242" i="489"/>
  <c r="BO1243" i="489"/>
  <c r="BO1244" i="489"/>
  <c r="BO1245" i="489"/>
  <c r="BO1247" i="489"/>
  <c r="BO1248" i="489"/>
  <c r="BO1249" i="489"/>
  <c r="BO1250" i="489"/>
  <c r="BO1252" i="489"/>
  <c r="BO1251" i="489"/>
  <c r="BO1254" i="489"/>
  <c r="BO1255" i="489"/>
  <c r="BO1253" i="489"/>
  <c r="BO1257" i="489"/>
  <c r="BO1259" i="489"/>
  <c r="BO1260" i="489"/>
  <c r="BO1261" i="489"/>
  <c r="BO1209" i="489"/>
  <c r="BO1210" i="489"/>
  <c r="BO1211" i="489"/>
  <c r="BO1212" i="489"/>
  <c r="BO1214" i="489"/>
  <c r="BO1215" i="489"/>
  <c r="BO1258" i="489"/>
  <c r="BO1213" i="489"/>
  <c r="BO1216" i="489"/>
  <c r="BO1217" i="489"/>
  <c r="BO1219" i="489"/>
  <c r="BO1220" i="489"/>
  <c r="BO1221" i="489"/>
  <c r="BO1223" i="489"/>
  <c r="BO1224" i="489"/>
  <c r="BO1225" i="489"/>
  <c r="BO1226" i="489"/>
  <c r="BO1227" i="489"/>
  <c r="BO1229" i="489"/>
  <c r="BO1222" i="489"/>
  <c r="BO1233" i="489"/>
  <c r="BO1232" i="489"/>
  <c r="BO1230" i="489"/>
  <c r="BO1231" i="489"/>
  <c r="BO1181" i="489"/>
  <c r="BO1182" i="489"/>
  <c r="BO1183" i="489"/>
  <c r="BO1184" i="489"/>
  <c r="BO1185" i="489"/>
  <c r="BO1186" i="489"/>
  <c r="BO1187" i="489"/>
  <c r="BO1188" i="489"/>
  <c r="BO1189" i="489"/>
  <c r="BO1191" i="489"/>
  <c r="BO1192" i="489"/>
  <c r="BO1193" i="489"/>
  <c r="BO1197" i="489"/>
  <c r="BO1196" i="489"/>
  <c r="BO1198" i="489"/>
  <c r="BO1199" i="489"/>
  <c r="BO1201" i="489"/>
  <c r="BO1202" i="489"/>
  <c r="BO1203" i="489"/>
  <c r="BO1204" i="489"/>
  <c r="BO1205" i="489"/>
  <c r="BO1194" i="489"/>
  <c r="BO1195" i="489"/>
  <c r="CA1237" i="489"/>
  <c r="CA1238" i="489"/>
  <c r="CA1239" i="489"/>
  <c r="CA1240" i="489"/>
  <c r="CA1241" i="489"/>
  <c r="CA1242" i="489"/>
  <c r="CA1243" i="489"/>
  <c r="CA1244" i="489"/>
  <c r="CA1245" i="489"/>
  <c r="CA1247" i="489"/>
  <c r="CA1249" i="489"/>
  <c r="CA1250" i="489"/>
  <c r="CA1251" i="489"/>
  <c r="CA1254" i="489"/>
  <c r="CA1253" i="489"/>
  <c r="CA1255" i="489"/>
  <c r="CA1252" i="489"/>
  <c r="CA1257" i="489"/>
  <c r="CA1258" i="489"/>
  <c r="CA1209" i="489"/>
  <c r="CA1210" i="489"/>
  <c r="CA1211" i="489"/>
  <c r="CA1212" i="489"/>
  <c r="CA1259" i="489"/>
  <c r="CA1260" i="489"/>
  <c r="CA1214" i="489"/>
  <c r="CA1215" i="489"/>
  <c r="CA1213" i="489"/>
  <c r="CA1217" i="489"/>
  <c r="CA1261" i="489"/>
  <c r="CA1216" i="489"/>
  <c r="CA1219" i="489"/>
  <c r="CA1220" i="489"/>
  <c r="CA1222" i="489"/>
  <c r="CA1224" i="489"/>
  <c r="CA1225" i="489"/>
  <c r="CA1226" i="489"/>
  <c r="CA1227" i="489"/>
  <c r="CA1229" i="489"/>
  <c r="CA1221" i="489"/>
  <c r="CA1223" i="489"/>
  <c r="CA1232" i="489"/>
  <c r="CA1233" i="489"/>
  <c r="CA1231" i="489"/>
  <c r="CA1230" i="489"/>
  <c r="CA1181" i="489"/>
  <c r="CA1182" i="489"/>
  <c r="CA1183" i="489"/>
  <c r="CA1184" i="489"/>
  <c r="CA1185" i="489"/>
  <c r="CA1186" i="489"/>
  <c r="CA1187" i="489"/>
  <c r="CA1188" i="489"/>
  <c r="CA1189" i="489"/>
  <c r="CA1191" i="489"/>
  <c r="CA1192" i="489"/>
  <c r="CA1193" i="489"/>
  <c r="CA1198" i="489"/>
  <c r="CA1199" i="489"/>
  <c r="CA1201" i="489"/>
  <c r="CA1202" i="489"/>
  <c r="CA1203" i="489"/>
  <c r="CA1204" i="489"/>
  <c r="CA1205" i="489"/>
  <c r="CA1194" i="489"/>
  <c r="CA1195" i="489"/>
  <c r="CA1197" i="489"/>
  <c r="CA1196" i="489"/>
  <c r="CM1237" i="489"/>
  <c r="CM1238" i="489"/>
  <c r="CM1239" i="489"/>
  <c r="CM1240" i="489"/>
  <c r="CM1241" i="489"/>
  <c r="CM1242" i="489"/>
  <c r="CM1243" i="489"/>
  <c r="CM1244" i="489"/>
  <c r="CM1245" i="489"/>
  <c r="CM1247" i="489"/>
  <c r="CM1251" i="489"/>
  <c r="CM1248" i="489"/>
  <c r="CM1249" i="489"/>
  <c r="CM1250" i="489"/>
  <c r="CM1252" i="489"/>
  <c r="CM1255" i="489"/>
  <c r="CM1253" i="489"/>
  <c r="CM1254" i="489"/>
  <c r="CM1210" i="489"/>
  <c r="CM1211" i="489"/>
  <c r="CM1212" i="489"/>
  <c r="CM1258" i="489"/>
  <c r="CM1261" i="489"/>
  <c r="CM1259" i="489"/>
  <c r="CM1214" i="489"/>
  <c r="CM1215" i="489"/>
  <c r="CM1213" i="489"/>
  <c r="CM1257" i="489"/>
  <c r="CM1219" i="489"/>
  <c r="CM1220" i="489"/>
  <c r="CM1260" i="489"/>
  <c r="CM1217" i="489"/>
  <c r="CM1216" i="489"/>
  <c r="CM1224" i="489"/>
  <c r="CM1225" i="489"/>
  <c r="CM1226" i="489"/>
  <c r="CM1227" i="489"/>
  <c r="CM1229" i="489"/>
  <c r="CM1222" i="489"/>
  <c r="CM1221" i="489"/>
  <c r="CM1223" i="489"/>
  <c r="CM1231" i="489"/>
  <c r="CM1230" i="489"/>
  <c r="CM1232" i="489"/>
  <c r="CM1233" i="489"/>
  <c r="CM1181" i="489"/>
  <c r="CM1182" i="489"/>
  <c r="CM1183" i="489"/>
  <c r="CM1184" i="489"/>
  <c r="CM1185" i="489"/>
  <c r="CM1186" i="489"/>
  <c r="CM1187" i="489"/>
  <c r="CM1188" i="489"/>
  <c r="CM1189" i="489"/>
  <c r="CM1191" i="489"/>
  <c r="CM1192" i="489"/>
  <c r="CM1193" i="489"/>
  <c r="CM1194" i="489"/>
  <c r="CM1195" i="489"/>
  <c r="CM1198" i="489"/>
  <c r="CM1199" i="489"/>
  <c r="CM1201" i="489"/>
  <c r="CM1202" i="489"/>
  <c r="CM1203" i="489"/>
  <c r="CM1204" i="489"/>
  <c r="CM1205" i="489"/>
  <c r="CM1196" i="489"/>
  <c r="CM1197" i="489"/>
  <c r="CY1237" i="489"/>
  <c r="CY1238" i="489"/>
  <c r="CY1239" i="489"/>
  <c r="CY1240" i="489"/>
  <c r="CY1241" i="489"/>
  <c r="CY1242" i="489"/>
  <c r="CY1243" i="489"/>
  <c r="CY1244" i="489"/>
  <c r="CY1245" i="489"/>
  <c r="CY1247" i="489"/>
  <c r="CY1248" i="489"/>
  <c r="CY1249" i="489"/>
  <c r="CY1250" i="489"/>
  <c r="CY1252" i="489"/>
  <c r="CY1253" i="489"/>
  <c r="CY1254" i="489"/>
  <c r="CY1257" i="489"/>
  <c r="CY1255" i="489"/>
  <c r="CY1259" i="489"/>
  <c r="CY1260" i="489"/>
  <c r="CY1209" i="489"/>
  <c r="CY1210" i="489"/>
  <c r="CY1211" i="489"/>
  <c r="CY1212" i="489"/>
  <c r="CY1251" i="489"/>
  <c r="CY1258" i="489"/>
  <c r="CY1214" i="489"/>
  <c r="CY1261" i="489"/>
  <c r="CY1216" i="489"/>
  <c r="CY1217" i="489"/>
  <c r="CY1215" i="489"/>
  <c r="CY1213" i="489"/>
  <c r="CY1219" i="489"/>
  <c r="CY1220" i="489"/>
  <c r="CY1222" i="489"/>
  <c r="CY1221" i="489"/>
  <c r="CY1224" i="489"/>
  <c r="CY1225" i="489"/>
  <c r="CY1226" i="489"/>
  <c r="CY1227" i="489"/>
  <c r="CY1229" i="489"/>
  <c r="CY1223" i="489"/>
  <c r="CY1230" i="489"/>
  <c r="CY1232" i="489"/>
  <c r="CY1231" i="489"/>
  <c r="CY1233" i="489"/>
  <c r="CY1181" i="489"/>
  <c r="CY1182" i="489"/>
  <c r="CY1183" i="489"/>
  <c r="CY1184" i="489"/>
  <c r="CY1185" i="489"/>
  <c r="CY1186" i="489"/>
  <c r="CY1187" i="489"/>
  <c r="CY1188" i="489"/>
  <c r="CY1189" i="489"/>
  <c r="CY1191" i="489"/>
  <c r="CY1192" i="489"/>
  <c r="CY1193" i="489"/>
  <c r="CY1196" i="489"/>
  <c r="CY1197" i="489"/>
  <c r="CY1198" i="489"/>
  <c r="CY1199" i="489"/>
  <c r="CY1201" i="489"/>
  <c r="CY1202" i="489"/>
  <c r="CY1203" i="489"/>
  <c r="CY1204" i="489"/>
  <c r="CY1205" i="489"/>
  <c r="CY1194" i="489"/>
  <c r="CY1195" i="489"/>
  <c r="DK1237" i="489"/>
  <c r="DK1238" i="489"/>
  <c r="DK1239" i="489"/>
  <c r="DK1240" i="489"/>
  <c r="DK1241" i="489"/>
  <c r="DK1242" i="489"/>
  <c r="DK1243" i="489"/>
  <c r="DK1244" i="489"/>
  <c r="DK1245" i="489"/>
  <c r="DK1247" i="489"/>
  <c r="DK1248" i="489"/>
  <c r="DK1253" i="489"/>
  <c r="DK1254" i="489"/>
  <c r="DK1255" i="489"/>
  <c r="DK1251" i="489"/>
  <c r="DK1257" i="489"/>
  <c r="DK1250" i="489"/>
  <c r="DK1252" i="489"/>
  <c r="DK1209" i="489"/>
  <c r="DK1210" i="489"/>
  <c r="DK1211" i="489"/>
  <c r="DK1212" i="489"/>
  <c r="DK1258" i="489"/>
  <c r="DK1249" i="489"/>
  <c r="DK1259" i="489"/>
  <c r="DK1260" i="489"/>
  <c r="DK1213" i="489"/>
  <c r="DK1214" i="489"/>
  <c r="DK1261" i="489"/>
  <c r="DK1216" i="489"/>
  <c r="DK1219" i="489"/>
  <c r="DK1220" i="489"/>
  <c r="DK1215" i="489"/>
  <c r="DK1217" i="489"/>
  <c r="DK1224" i="489"/>
  <c r="DK1225" i="489"/>
  <c r="DK1226" i="489"/>
  <c r="DK1227" i="489"/>
  <c r="DK1229" i="489"/>
  <c r="DK1221" i="489"/>
  <c r="DK1222" i="489"/>
  <c r="DK1223" i="489"/>
  <c r="DK1230" i="489"/>
  <c r="DK1231" i="489"/>
  <c r="DK1232" i="489"/>
  <c r="DK1233" i="489"/>
  <c r="DK1181" i="489"/>
  <c r="DK1182" i="489"/>
  <c r="DK1183" i="489"/>
  <c r="DK1184" i="489"/>
  <c r="DK1185" i="489"/>
  <c r="DK1186" i="489"/>
  <c r="DK1187" i="489"/>
  <c r="DK1188" i="489"/>
  <c r="DK1189" i="489"/>
  <c r="DK1191" i="489"/>
  <c r="DK1192" i="489"/>
  <c r="DK1193" i="489"/>
  <c r="DK1194" i="489"/>
  <c r="DK1195" i="489"/>
  <c r="DK1197" i="489"/>
  <c r="DK1198" i="489"/>
  <c r="DK1199" i="489"/>
  <c r="DK1201" i="489"/>
  <c r="DK1202" i="489"/>
  <c r="DK1203" i="489"/>
  <c r="DK1204" i="489"/>
  <c r="DK1205" i="489"/>
  <c r="DK1196" i="489"/>
  <c r="DW1237" i="489"/>
  <c r="DW1238" i="489"/>
  <c r="DW1239" i="489"/>
  <c r="DW1240" i="489"/>
  <c r="DW1241" i="489"/>
  <c r="DW1242" i="489"/>
  <c r="DW1243" i="489"/>
  <c r="DW1244" i="489"/>
  <c r="DW1245" i="489"/>
  <c r="DW1247" i="489"/>
  <c r="DW1248" i="489"/>
  <c r="DW1249" i="489"/>
  <c r="DW1250" i="489"/>
  <c r="DW1251" i="489"/>
  <c r="DW1252" i="489"/>
  <c r="DW1255" i="489"/>
  <c r="DW1257" i="489"/>
  <c r="DW1209" i="489"/>
  <c r="DW1210" i="489"/>
  <c r="DW1211" i="489"/>
  <c r="DW1261" i="489"/>
  <c r="DW1260" i="489"/>
  <c r="DW1254" i="489"/>
  <c r="DW1258" i="489"/>
  <c r="DW1259" i="489"/>
  <c r="DW1214" i="489"/>
  <c r="DW1253" i="489"/>
  <c r="DW1212" i="489"/>
  <c r="DW1213" i="489"/>
  <c r="DW1215" i="489"/>
  <c r="DW1216" i="489"/>
  <c r="DW1217" i="489"/>
  <c r="DW1219" i="489"/>
  <c r="DW1220" i="489"/>
  <c r="DW1222" i="489"/>
  <c r="DW1224" i="489"/>
  <c r="DW1225" i="489"/>
  <c r="DW1226" i="489"/>
  <c r="DW1227" i="489"/>
  <c r="DW1223" i="489"/>
  <c r="DW1221" i="489"/>
  <c r="DW1231" i="489"/>
  <c r="DW1229" i="489"/>
  <c r="DW1230" i="489"/>
  <c r="DW1232" i="489"/>
  <c r="DW1233" i="489"/>
  <c r="DW1181" i="489"/>
  <c r="DW1182" i="489"/>
  <c r="DW1183" i="489"/>
  <c r="DW1184" i="489"/>
  <c r="DW1185" i="489"/>
  <c r="DW1186" i="489"/>
  <c r="DW1187" i="489"/>
  <c r="DW1188" i="489"/>
  <c r="DW1189" i="489"/>
  <c r="DW1191" i="489"/>
  <c r="DW1192" i="489"/>
  <c r="DW1193" i="489"/>
  <c r="DW1196" i="489"/>
  <c r="DW1197" i="489"/>
  <c r="DW1198" i="489"/>
  <c r="DW1199" i="489"/>
  <c r="DW1201" i="489"/>
  <c r="DW1202" i="489"/>
  <c r="DW1203" i="489"/>
  <c r="DW1204" i="489"/>
  <c r="DW1205" i="489"/>
  <c r="DW1194" i="489"/>
  <c r="DW1195" i="489"/>
  <c r="EK1237" i="489"/>
  <c r="EK1238" i="489"/>
  <c r="EK1239" i="489"/>
  <c r="EK1240" i="489"/>
  <c r="EK1241" i="489"/>
  <c r="EK1242" i="489"/>
  <c r="EK1243" i="489"/>
  <c r="EK1244" i="489"/>
  <c r="EK1245" i="489"/>
  <c r="EK1248" i="489"/>
  <c r="EK1249" i="489"/>
  <c r="EK1250" i="489"/>
  <c r="EK1251" i="489"/>
  <c r="EK1252" i="489"/>
  <c r="EK1247" i="489"/>
  <c r="EK1253" i="489"/>
  <c r="EK1254" i="489"/>
  <c r="EK1258" i="489"/>
  <c r="EK1257" i="489"/>
  <c r="EK1255" i="489"/>
  <c r="EK1259" i="489"/>
  <c r="EK1261" i="489"/>
  <c r="EK1260" i="489"/>
  <c r="EK1209" i="489"/>
  <c r="EK1210" i="489"/>
  <c r="EK1211" i="489"/>
  <c r="EK1212" i="489"/>
  <c r="EK1214" i="489"/>
  <c r="EK1215" i="489"/>
  <c r="EK1216" i="489"/>
  <c r="EK1217" i="489"/>
  <c r="EK1213" i="489"/>
  <c r="EK1219" i="489"/>
  <c r="EK1220" i="489"/>
  <c r="EK1221" i="489"/>
  <c r="EK1224" i="489"/>
  <c r="EK1225" i="489"/>
  <c r="EK1226" i="489"/>
  <c r="EK1227" i="489"/>
  <c r="EK1223" i="489"/>
  <c r="EK1222" i="489"/>
  <c r="EK1233" i="489"/>
  <c r="EK1181" i="489"/>
  <c r="EK1182" i="489"/>
  <c r="EK1229" i="489"/>
  <c r="EK1230" i="489"/>
  <c r="EK1231" i="489"/>
  <c r="EK1232" i="489"/>
  <c r="EK1183" i="489"/>
  <c r="EK1184" i="489"/>
  <c r="EK1185" i="489"/>
  <c r="EK1186" i="489"/>
  <c r="EK1187" i="489"/>
  <c r="EK1188" i="489"/>
  <c r="EK1189" i="489"/>
  <c r="EK1191" i="489"/>
  <c r="EK1192" i="489"/>
  <c r="EK1194" i="489"/>
  <c r="EK1195" i="489"/>
  <c r="EK1193" i="489"/>
  <c r="EK1197" i="489"/>
  <c r="EK1198" i="489"/>
  <c r="EK1199" i="489"/>
  <c r="EK1201" i="489"/>
  <c r="EK1202" i="489"/>
  <c r="EK1203" i="489"/>
  <c r="EK1204" i="489"/>
  <c r="EK1205" i="489"/>
  <c r="EK1196" i="489"/>
  <c r="EV1238" i="489"/>
  <c r="EV1241" i="489"/>
  <c r="EV1244" i="489"/>
  <c r="EV1245" i="489"/>
  <c r="EV1242" i="489"/>
  <c r="EV1249" i="489"/>
  <c r="EV1250" i="489"/>
  <c r="EV1243" i="489"/>
  <c r="EV1257" i="489"/>
  <c r="EV1258" i="489"/>
  <c r="EV1259" i="489"/>
  <c r="EV1260" i="489"/>
  <c r="EV1248" i="489"/>
  <c r="EV1255" i="489"/>
  <c r="EV1253" i="489"/>
  <c r="EV1254" i="489"/>
  <c r="EV1247" i="489"/>
  <c r="EV1210" i="489"/>
  <c r="EV1261" i="489"/>
  <c r="EV1215" i="489"/>
  <c r="EV1216" i="489"/>
  <c r="EV1217" i="489"/>
  <c r="EV1219" i="489"/>
  <c r="EV1220" i="489"/>
  <c r="EV1221" i="489"/>
  <c r="EV1225" i="489"/>
  <c r="EV1226" i="489"/>
  <c r="EV1227" i="489"/>
  <c r="EV1222" i="489"/>
  <c r="EV1233" i="489"/>
  <c r="EV1181" i="489"/>
  <c r="EV1182" i="489"/>
  <c r="EV1231" i="489"/>
  <c r="EV1229" i="489"/>
  <c r="EV1232" i="489"/>
  <c r="EV1230" i="489"/>
  <c r="EV1184" i="489"/>
  <c r="EV1185" i="489"/>
  <c r="EV1186" i="489"/>
  <c r="EV1187" i="489"/>
  <c r="EV1188" i="489"/>
  <c r="EV1189" i="489"/>
  <c r="EV1191" i="489"/>
  <c r="EV1192" i="489"/>
  <c r="EV1194" i="489"/>
  <c r="EV1197" i="489"/>
  <c r="EV1198" i="489"/>
  <c r="EV1199" i="489"/>
  <c r="EV1201" i="489"/>
  <c r="EV1202" i="489"/>
  <c r="EV1203" i="489"/>
  <c r="EV1204" i="489"/>
  <c r="EV1205" i="489"/>
  <c r="EV1195" i="489"/>
  <c r="S1237" i="489"/>
  <c r="S1238" i="489"/>
  <c r="S1239" i="489"/>
  <c r="S1240" i="489"/>
  <c r="S1241" i="489"/>
  <c r="S1242" i="489"/>
  <c r="S1243" i="489"/>
  <c r="S1244" i="489"/>
  <c r="S1245" i="489"/>
  <c r="S1247" i="489"/>
  <c r="S1248" i="489"/>
  <c r="S1249" i="489"/>
  <c r="S1250" i="489"/>
  <c r="S1251" i="489"/>
  <c r="S1252" i="489"/>
  <c r="S1253" i="489"/>
  <c r="S1254" i="489"/>
  <c r="S1255" i="489"/>
  <c r="S1209" i="489"/>
  <c r="S1210" i="489"/>
  <c r="S1211" i="489"/>
  <c r="S1212" i="489"/>
  <c r="S1261" i="489"/>
  <c r="S1214" i="489"/>
  <c r="S1215" i="489"/>
  <c r="S1257" i="489"/>
  <c r="S1258" i="489"/>
  <c r="S1259" i="489"/>
  <c r="S1260" i="489"/>
  <c r="S1213" i="489"/>
  <c r="S1217" i="489"/>
  <c r="S1219" i="489"/>
  <c r="S1220" i="489"/>
  <c r="S1221" i="489"/>
  <c r="S1216" i="489"/>
  <c r="S1222" i="489"/>
  <c r="S1224" i="489"/>
  <c r="S1225" i="489"/>
  <c r="S1226" i="489"/>
  <c r="S1227" i="489"/>
  <c r="S1229" i="489"/>
  <c r="S1223" i="489"/>
  <c r="S1231" i="489"/>
  <c r="S1233" i="489"/>
  <c r="S1230" i="489"/>
  <c r="S1232" i="489"/>
  <c r="S1181" i="489"/>
  <c r="S1182" i="489"/>
  <c r="S1183" i="489"/>
  <c r="S1184" i="489"/>
  <c r="S1185" i="489"/>
  <c r="S1186" i="489"/>
  <c r="S1187" i="489"/>
  <c r="S1188" i="489"/>
  <c r="S1189" i="489"/>
  <c r="S1191" i="489"/>
  <c r="S1192" i="489"/>
  <c r="S1193" i="489"/>
  <c r="S1196" i="489"/>
  <c r="S1197" i="489"/>
  <c r="S1198" i="489"/>
  <c r="S1199" i="489"/>
  <c r="S1201" i="489"/>
  <c r="S1202" i="489"/>
  <c r="S1203" i="489"/>
  <c r="S1204" i="489"/>
  <c r="S1205" i="489"/>
  <c r="S1195" i="489"/>
  <c r="S1194" i="489"/>
  <c r="AF1238" i="489"/>
  <c r="AF1239" i="489"/>
  <c r="AF1240" i="489"/>
  <c r="AF1241" i="489"/>
  <c r="AF1242" i="489"/>
  <c r="AF1243" i="489"/>
  <c r="AF1244" i="489"/>
  <c r="AF1245" i="489"/>
  <c r="AF1249" i="489"/>
  <c r="AF1251" i="489"/>
  <c r="AF1252" i="489"/>
  <c r="AF1253" i="489"/>
  <c r="AF1248" i="489"/>
  <c r="AF1254" i="489"/>
  <c r="AF1255" i="489"/>
  <c r="AF1258" i="489"/>
  <c r="AF1259" i="489"/>
  <c r="AF1260" i="489"/>
  <c r="AF1210" i="489"/>
  <c r="AF1211" i="489"/>
  <c r="AF1257" i="489"/>
  <c r="AF1212" i="489"/>
  <c r="AF1214" i="489"/>
  <c r="AF1215" i="489"/>
  <c r="AF1216" i="489"/>
  <c r="AF1213" i="489"/>
  <c r="AF1261" i="489"/>
  <c r="AF1217" i="489"/>
  <c r="AF1221" i="489"/>
  <c r="AF1222" i="489"/>
  <c r="AF1223" i="489"/>
  <c r="AF1224" i="489"/>
  <c r="AF1225" i="489"/>
  <c r="AF1226" i="489"/>
  <c r="AF1227" i="489"/>
  <c r="AF1229" i="489"/>
  <c r="AF1231" i="489"/>
  <c r="AF1181" i="489"/>
  <c r="AF1182" i="489"/>
  <c r="AF1183" i="489"/>
  <c r="AF1230" i="489"/>
  <c r="AF1233" i="489"/>
  <c r="AF1232" i="489"/>
  <c r="AF1184" i="489"/>
  <c r="AF1185" i="489"/>
  <c r="AF1186" i="489"/>
  <c r="AF1187" i="489"/>
  <c r="AF1188" i="489"/>
  <c r="AF1189" i="489"/>
  <c r="AF1195" i="489"/>
  <c r="AF1194" i="489"/>
  <c r="AF1198" i="489"/>
  <c r="AF1199" i="489"/>
  <c r="AF1201" i="489"/>
  <c r="AF1202" i="489"/>
  <c r="AF1203" i="489"/>
  <c r="AF1204" i="489"/>
  <c r="AF1205" i="489"/>
  <c r="AF1193" i="489"/>
  <c r="AF1196" i="489"/>
  <c r="AF1197" i="489"/>
  <c r="AR1237" i="489"/>
  <c r="AR1238" i="489"/>
  <c r="AR1239" i="489"/>
  <c r="AR1240" i="489"/>
  <c r="AR1241" i="489"/>
  <c r="AR1242" i="489"/>
  <c r="AR1244" i="489"/>
  <c r="AR1245" i="489"/>
  <c r="AR1249" i="489"/>
  <c r="AR1250" i="489"/>
  <c r="AR1251" i="489"/>
  <c r="AR1252" i="489"/>
  <c r="AR1253" i="489"/>
  <c r="AR1243" i="489"/>
  <c r="AR1247" i="489"/>
  <c r="AR1248" i="489"/>
  <c r="AR1257" i="489"/>
  <c r="AR1258" i="489"/>
  <c r="AR1259" i="489"/>
  <c r="AR1260" i="489"/>
  <c r="AR1255" i="489"/>
  <c r="AR1254" i="489"/>
  <c r="AR1209" i="489"/>
  <c r="AR1210" i="489"/>
  <c r="AR1211" i="489"/>
  <c r="AR1261" i="489"/>
  <c r="AR1212" i="489"/>
  <c r="AR1214" i="489"/>
  <c r="AR1215" i="489"/>
  <c r="AR1216" i="489"/>
  <c r="AR1213" i="489"/>
  <c r="AR1217" i="489"/>
  <c r="AR1219" i="489"/>
  <c r="AR1220" i="489"/>
  <c r="AR1221" i="489"/>
  <c r="AR1222" i="489"/>
  <c r="AR1223" i="489"/>
  <c r="AR1224" i="489"/>
  <c r="AR1225" i="489"/>
  <c r="AR1226" i="489"/>
  <c r="AR1227" i="489"/>
  <c r="AR1229" i="489"/>
  <c r="AR1181" i="489"/>
  <c r="AR1182" i="489"/>
  <c r="AR1183" i="489"/>
  <c r="AR1233" i="489"/>
  <c r="AR1232" i="489"/>
  <c r="AR1231" i="489"/>
  <c r="AR1230" i="489"/>
  <c r="AR1184" i="489"/>
  <c r="AR1185" i="489"/>
  <c r="AR1186" i="489"/>
  <c r="AR1187" i="489"/>
  <c r="AR1188" i="489"/>
  <c r="AR1189" i="489"/>
  <c r="AR1191" i="489"/>
  <c r="AR1192" i="489"/>
  <c r="AR1196" i="489"/>
  <c r="AR1198" i="489"/>
  <c r="AR1199" i="489"/>
  <c r="AR1201" i="489"/>
  <c r="AR1202" i="489"/>
  <c r="AR1203" i="489"/>
  <c r="AR1204" i="489"/>
  <c r="AR1205" i="489"/>
  <c r="AR1193" i="489"/>
  <c r="AR1194" i="489"/>
  <c r="AR1195" i="489"/>
  <c r="AR1197" i="489"/>
  <c r="BD1237" i="489"/>
  <c r="BD1238" i="489"/>
  <c r="BD1239" i="489"/>
  <c r="BD1240" i="489"/>
  <c r="BD1241" i="489"/>
  <c r="BD1242" i="489"/>
  <c r="BD1243" i="489"/>
  <c r="BD1244" i="489"/>
  <c r="BD1245" i="489"/>
  <c r="BD1249" i="489"/>
  <c r="BD1250" i="489"/>
  <c r="BD1251" i="489"/>
  <c r="BD1252" i="489"/>
  <c r="BD1253" i="489"/>
  <c r="BD1247" i="489"/>
  <c r="BD1248" i="489"/>
  <c r="BD1258" i="489"/>
  <c r="BD1259" i="489"/>
  <c r="BD1260" i="489"/>
  <c r="BD1255" i="489"/>
  <c r="BD1254" i="489"/>
  <c r="BD1209" i="489"/>
  <c r="BD1210" i="489"/>
  <c r="BD1211" i="489"/>
  <c r="BD1261" i="489"/>
  <c r="BD1257" i="489"/>
  <c r="BD1213" i="489"/>
  <c r="BD1214" i="489"/>
  <c r="BD1215" i="489"/>
  <c r="BD1216" i="489"/>
  <c r="BD1212" i="489"/>
  <c r="BD1217" i="489"/>
  <c r="BD1219" i="489"/>
  <c r="BD1220" i="489"/>
  <c r="BD1221" i="489"/>
  <c r="BD1222" i="489"/>
  <c r="BD1223" i="489"/>
  <c r="BD1224" i="489"/>
  <c r="BD1225" i="489"/>
  <c r="BD1226" i="489"/>
  <c r="BD1227" i="489"/>
  <c r="BD1229" i="489"/>
  <c r="BD1181" i="489"/>
  <c r="BD1182" i="489"/>
  <c r="BD1183" i="489"/>
  <c r="BD1230" i="489"/>
  <c r="BD1233" i="489"/>
  <c r="BD1231" i="489"/>
  <c r="BD1232" i="489"/>
  <c r="BD1184" i="489"/>
  <c r="BD1185" i="489"/>
  <c r="BD1186" i="489"/>
  <c r="BD1187" i="489"/>
  <c r="BD1188" i="489"/>
  <c r="BD1189" i="489"/>
  <c r="BD1191" i="489"/>
  <c r="BD1192" i="489"/>
  <c r="BD1194" i="489"/>
  <c r="BD1195" i="489"/>
  <c r="BD1197" i="489"/>
  <c r="BD1198" i="489"/>
  <c r="BD1199" i="489"/>
  <c r="BD1201" i="489"/>
  <c r="BD1202" i="489"/>
  <c r="BD1203" i="489"/>
  <c r="BD1204" i="489"/>
  <c r="BD1205" i="489"/>
  <c r="BD1193" i="489"/>
  <c r="BD1196" i="489"/>
  <c r="BP1237" i="489"/>
  <c r="BP1238" i="489"/>
  <c r="BP1239" i="489"/>
  <c r="BP1240" i="489"/>
  <c r="BP1241" i="489"/>
  <c r="BP1242" i="489"/>
  <c r="BP1244" i="489"/>
  <c r="BP1245" i="489"/>
  <c r="BP1249" i="489"/>
  <c r="BP1250" i="489"/>
  <c r="BP1251" i="489"/>
  <c r="BP1252" i="489"/>
  <c r="BP1253" i="489"/>
  <c r="BP1247" i="489"/>
  <c r="BP1248" i="489"/>
  <c r="BP1243" i="489"/>
  <c r="BP1258" i="489"/>
  <c r="BP1259" i="489"/>
  <c r="BP1260" i="489"/>
  <c r="BP1257" i="489"/>
  <c r="BP1261" i="489"/>
  <c r="BP1209" i="489"/>
  <c r="BP1210" i="489"/>
  <c r="BP1255" i="489"/>
  <c r="BP1254" i="489"/>
  <c r="BP1213" i="489"/>
  <c r="BP1212" i="489"/>
  <c r="BP1214" i="489"/>
  <c r="BP1215" i="489"/>
  <c r="BP1216" i="489"/>
  <c r="BP1211" i="489"/>
  <c r="BP1217" i="489"/>
  <c r="BP1219" i="489"/>
  <c r="BP1220" i="489"/>
  <c r="BP1221" i="489"/>
  <c r="BP1222" i="489"/>
  <c r="BP1223" i="489"/>
  <c r="BP1224" i="489"/>
  <c r="BP1225" i="489"/>
  <c r="BP1226" i="489"/>
  <c r="BP1227" i="489"/>
  <c r="BP1229" i="489"/>
  <c r="BP1231" i="489"/>
  <c r="BP1181" i="489"/>
  <c r="BP1182" i="489"/>
  <c r="BP1183" i="489"/>
  <c r="BP1233" i="489"/>
  <c r="BP1232" i="489"/>
  <c r="BP1230" i="489"/>
  <c r="BP1184" i="489"/>
  <c r="BP1185" i="489"/>
  <c r="BP1186" i="489"/>
  <c r="BP1187" i="489"/>
  <c r="BP1188" i="489"/>
  <c r="BP1189" i="489"/>
  <c r="BP1191" i="489"/>
  <c r="BP1192" i="489"/>
  <c r="BP1197" i="489"/>
  <c r="BP1196" i="489"/>
  <c r="BP1198" i="489"/>
  <c r="BP1199" i="489"/>
  <c r="BP1201" i="489"/>
  <c r="BP1202" i="489"/>
  <c r="BP1203" i="489"/>
  <c r="BP1204" i="489"/>
  <c r="BP1205" i="489"/>
  <c r="BP1194" i="489"/>
  <c r="BP1195" i="489"/>
  <c r="BP1193" i="489"/>
  <c r="CB1238" i="489"/>
  <c r="CB1239" i="489"/>
  <c r="CB1240" i="489"/>
  <c r="CB1241" i="489"/>
  <c r="CB1243" i="489"/>
  <c r="CB1244" i="489"/>
  <c r="CB1245" i="489"/>
  <c r="CB1242" i="489"/>
  <c r="CB1249" i="489"/>
  <c r="CB1250" i="489"/>
  <c r="CB1251" i="489"/>
  <c r="CB1252" i="489"/>
  <c r="CB1253" i="489"/>
  <c r="CB1248" i="489"/>
  <c r="CB1258" i="489"/>
  <c r="CB1259" i="489"/>
  <c r="CB1260" i="489"/>
  <c r="CB1254" i="489"/>
  <c r="CB1255" i="489"/>
  <c r="CB1247" i="489"/>
  <c r="CB1257" i="489"/>
  <c r="CB1209" i="489"/>
  <c r="CB1212" i="489"/>
  <c r="CB1261" i="489"/>
  <c r="CB1214" i="489"/>
  <c r="CB1215" i="489"/>
  <c r="CB1211" i="489"/>
  <c r="CB1213" i="489"/>
  <c r="CB1217" i="489"/>
  <c r="CB1216" i="489"/>
  <c r="CB1219" i="489"/>
  <c r="CB1222" i="489"/>
  <c r="CB1223" i="489"/>
  <c r="CB1224" i="489"/>
  <c r="CB1225" i="489"/>
  <c r="CB1226" i="489"/>
  <c r="CB1227" i="489"/>
  <c r="CB1230" i="489"/>
  <c r="CB1181" i="489"/>
  <c r="CB1183" i="489"/>
  <c r="CB1232" i="489"/>
  <c r="CB1233" i="489"/>
  <c r="CB1229" i="489"/>
  <c r="CB1231" i="489"/>
  <c r="CB1184" i="489"/>
  <c r="CB1185" i="489"/>
  <c r="CB1186" i="489"/>
  <c r="CB1187" i="489"/>
  <c r="CB1188" i="489"/>
  <c r="CB1189" i="489"/>
  <c r="CB1191" i="489"/>
  <c r="CB1192" i="489"/>
  <c r="CB1193" i="489"/>
  <c r="CB1198" i="489"/>
  <c r="CB1199" i="489"/>
  <c r="CB1201" i="489"/>
  <c r="CB1202" i="489"/>
  <c r="CB1203" i="489"/>
  <c r="CB1204" i="489"/>
  <c r="CB1205" i="489"/>
  <c r="CB1195" i="489"/>
  <c r="CB1197" i="489"/>
  <c r="CB1196" i="489"/>
  <c r="CN1237" i="489"/>
  <c r="CN1238" i="489"/>
  <c r="CN1239" i="489"/>
  <c r="CN1240" i="489"/>
  <c r="CN1241" i="489"/>
  <c r="CN1244" i="489"/>
  <c r="CN1245" i="489"/>
  <c r="CN1249" i="489"/>
  <c r="CN1250" i="489"/>
  <c r="CN1251" i="489"/>
  <c r="CN1252" i="489"/>
  <c r="CN1247" i="489"/>
  <c r="CN1248" i="489"/>
  <c r="CN1258" i="489"/>
  <c r="CN1259" i="489"/>
  <c r="CN1260" i="489"/>
  <c r="CN1257" i="489"/>
  <c r="CN1261" i="489"/>
  <c r="CN1243" i="489"/>
  <c r="CN1254" i="489"/>
  <c r="CN1255" i="489"/>
  <c r="CN1253" i="489"/>
  <c r="CN1209" i="489"/>
  <c r="CN1210" i="489"/>
  <c r="CN1214" i="489"/>
  <c r="CN1215" i="489"/>
  <c r="CN1213" i="489"/>
  <c r="CN1212" i="489"/>
  <c r="CN1219" i="489"/>
  <c r="CN1220" i="489"/>
  <c r="CN1221" i="489"/>
  <c r="CN1222" i="489"/>
  <c r="CN1217" i="489"/>
  <c r="CN1216" i="489"/>
  <c r="CN1224" i="489"/>
  <c r="CN1225" i="489"/>
  <c r="CN1226" i="489"/>
  <c r="CN1227" i="489"/>
  <c r="CN1223" i="489"/>
  <c r="CN1232" i="489"/>
  <c r="CN1233" i="489"/>
  <c r="CN1181" i="489"/>
  <c r="CN1182" i="489"/>
  <c r="CN1183" i="489"/>
  <c r="CN1231" i="489"/>
  <c r="CN1230" i="489"/>
  <c r="CN1229" i="489"/>
  <c r="CN1184" i="489"/>
  <c r="CN1186" i="489"/>
  <c r="CN1187" i="489"/>
  <c r="CN1188" i="489"/>
  <c r="CN1189" i="489"/>
  <c r="CN1191" i="489"/>
  <c r="CN1192" i="489"/>
  <c r="CN1193" i="489"/>
  <c r="CN1194" i="489"/>
  <c r="CN1195" i="489"/>
  <c r="CN1198" i="489"/>
  <c r="CN1199" i="489"/>
  <c r="CN1201" i="489"/>
  <c r="CN1202" i="489"/>
  <c r="CN1203" i="489"/>
  <c r="CN1204" i="489"/>
  <c r="CN1205" i="489"/>
  <c r="CN1196" i="489"/>
  <c r="CN1197" i="489"/>
  <c r="CZ1240" i="489"/>
  <c r="CZ1241" i="489"/>
  <c r="CZ1243" i="489"/>
  <c r="CZ1244" i="489"/>
  <c r="CZ1245" i="489"/>
  <c r="CZ1249" i="489"/>
  <c r="CZ1252" i="489"/>
  <c r="CZ1258" i="489"/>
  <c r="CZ1259" i="489"/>
  <c r="CZ1260" i="489"/>
  <c r="CZ1248" i="489"/>
  <c r="CZ1253" i="489"/>
  <c r="CZ1255" i="489"/>
  <c r="CZ1257" i="489"/>
  <c r="CZ1213" i="489"/>
  <c r="CZ1212" i="489"/>
  <c r="CZ1261" i="489"/>
  <c r="CZ1217" i="489"/>
  <c r="CZ1219" i="489"/>
  <c r="CZ1220" i="489"/>
  <c r="CZ1221" i="489"/>
  <c r="CZ1224" i="489"/>
  <c r="CZ1226" i="489"/>
  <c r="CZ1227" i="489"/>
  <c r="CZ1231" i="489"/>
  <c r="CZ1233" i="489"/>
  <c r="CZ1183" i="489"/>
  <c r="CZ1230" i="489"/>
  <c r="CZ1229" i="489"/>
  <c r="CZ1232" i="489"/>
  <c r="CZ1184" i="489"/>
  <c r="CZ1186" i="489"/>
  <c r="CZ1187" i="489"/>
  <c r="CZ1188" i="489"/>
  <c r="CZ1189" i="489"/>
  <c r="CZ1196" i="489"/>
  <c r="CZ1197" i="489"/>
  <c r="CZ1198" i="489"/>
  <c r="CZ1199" i="489"/>
  <c r="CZ1201" i="489"/>
  <c r="CZ1202" i="489"/>
  <c r="CZ1203" i="489"/>
  <c r="CZ1204" i="489"/>
  <c r="CZ1205" i="489"/>
  <c r="CZ1193" i="489"/>
  <c r="CZ1194" i="489"/>
  <c r="DL1237" i="489"/>
  <c r="DL1238" i="489"/>
  <c r="DL1239" i="489"/>
  <c r="DL1240" i="489"/>
  <c r="DL1241" i="489"/>
  <c r="DL1244" i="489"/>
  <c r="DL1245" i="489"/>
  <c r="DL1242" i="489"/>
  <c r="DL1247" i="489"/>
  <c r="DL1249" i="489"/>
  <c r="DL1250" i="489"/>
  <c r="DL1251" i="489"/>
  <c r="DL1252" i="489"/>
  <c r="DL1243" i="489"/>
  <c r="DL1248" i="489"/>
  <c r="DL1258" i="489"/>
  <c r="DL1259" i="489"/>
  <c r="DL1260" i="489"/>
  <c r="DL1255" i="489"/>
  <c r="DL1257" i="489"/>
  <c r="DL1209" i="489"/>
  <c r="DL1210" i="489"/>
  <c r="DL1254" i="489"/>
  <c r="DL1253" i="489"/>
  <c r="DL1261" i="489"/>
  <c r="DL1212" i="489"/>
  <c r="DL1213" i="489"/>
  <c r="DL1211" i="489"/>
  <c r="DL1214" i="489"/>
  <c r="DL1215" i="489"/>
  <c r="DL1217" i="489"/>
  <c r="DL1216" i="489"/>
  <c r="DL1219" i="489"/>
  <c r="DL1221" i="489"/>
  <c r="DL1222" i="489"/>
  <c r="DL1224" i="489"/>
  <c r="DL1225" i="489"/>
  <c r="DL1226" i="489"/>
  <c r="DL1227" i="489"/>
  <c r="DL1223" i="489"/>
  <c r="DL1233" i="489"/>
  <c r="DL1181" i="489"/>
  <c r="DL1182" i="489"/>
  <c r="DL1229" i="489"/>
  <c r="DL1230" i="489"/>
  <c r="DL1231" i="489"/>
  <c r="DL1232" i="489"/>
  <c r="DL1183" i="489"/>
  <c r="DL1184" i="489"/>
  <c r="DL1185" i="489"/>
  <c r="DL1186" i="489"/>
  <c r="DL1187" i="489"/>
  <c r="DL1188" i="489"/>
  <c r="DL1189" i="489"/>
  <c r="DL1191" i="489"/>
  <c r="DL1192" i="489"/>
  <c r="DL1194" i="489"/>
  <c r="DL1195" i="489"/>
  <c r="DL1197" i="489"/>
  <c r="DL1198" i="489"/>
  <c r="DL1199" i="489"/>
  <c r="DL1201" i="489"/>
  <c r="DL1202" i="489"/>
  <c r="DL1203" i="489"/>
  <c r="DL1204" i="489"/>
  <c r="DL1205" i="489"/>
  <c r="DL1193" i="489"/>
  <c r="DL1196" i="489"/>
  <c r="DY1237" i="489"/>
  <c r="DY1238" i="489"/>
  <c r="DY1239" i="489"/>
  <c r="DY1240" i="489"/>
  <c r="DY1241" i="489"/>
  <c r="DY1242" i="489"/>
  <c r="DY1243" i="489"/>
  <c r="DY1244" i="489"/>
  <c r="DY1245" i="489"/>
  <c r="DY1247" i="489"/>
  <c r="DY1249" i="489"/>
  <c r="DY1250" i="489"/>
  <c r="DY1251" i="489"/>
  <c r="DY1252" i="489"/>
  <c r="DY1258" i="489"/>
  <c r="DY1248" i="489"/>
  <c r="DY1257" i="489"/>
  <c r="DY1255" i="489"/>
  <c r="DY1209" i="489"/>
  <c r="DY1210" i="489"/>
  <c r="DY1211" i="489"/>
  <c r="DY1212" i="489"/>
  <c r="DY1259" i="489"/>
  <c r="DY1253" i="489"/>
  <c r="DY1213" i="489"/>
  <c r="DY1260" i="489"/>
  <c r="DY1214" i="489"/>
  <c r="DY1215" i="489"/>
  <c r="DY1216" i="489"/>
  <c r="DY1217" i="489"/>
  <c r="DY1254" i="489"/>
  <c r="DY1261" i="489"/>
  <c r="DY1219" i="489"/>
  <c r="DY1220" i="489"/>
  <c r="DY1221" i="489"/>
  <c r="DY1222" i="489"/>
  <c r="DY1224" i="489"/>
  <c r="DY1225" i="489"/>
  <c r="DY1226" i="489"/>
  <c r="DY1227" i="489"/>
  <c r="DY1223" i="489"/>
  <c r="DY1233" i="489"/>
  <c r="DY1181" i="489"/>
  <c r="DY1182" i="489"/>
  <c r="DY1231" i="489"/>
  <c r="DY1229" i="489"/>
  <c r="DY1230" i="489"/>
  <c r="DY1232" i="489"/>
  <c r="DY1183" i="489"/>
  <c r="DY1184" i="489"/>
  <c r="DY1185" i="489"/>
  <c r="DY1186" i="489"/>
  <c r="DY1187" i="489"/>
  <c r="DY1188" i="489"/>
  <c r="DY1189" i="489"/>
  <c r="DY1191" i="489"/>
  <c r="DY1192" i="489"/>
  <c r="DY1193" i="489"/>
  <c r="DY1196" i="489"/>
  <c r="DY1197" i="489"/>
  <c r="DY1198" i="489"/>
  <c r="DY1199" i="489"/>
  <c r="DY1201" i="489"/>
  <c r="DY1202" i="489"/>
  <c r="DY1203" i="489"/>
  <c r="DY1204" i="489"/>
  <c r="DY1205" i="489"/>
  <c r="DY1194" i="489"/>
  <c r="DY1195" i="489"/>
  <c r="EL1237" i="489"/>
  <c r="EL1238" i="489"/>
  <c r="EL1239" i="489"/>
  <c r="EL1240" i="489"/>
  <c r="EL1241" i="489"/>
  <c r="EL1242" i="489"/>
  <c r="EL1243" i="489"/>
  <c r="EL1244" i="489"/>
  <c r="EL1245" i="489"/>
  <c r="EL1247" i="489"/>
  <c r="EL1249" i="489"/>
  <c r="EL1250" i="489"/>
  <c r="EL1248" i="489"/>
  <c r="EL1253" i="489"/>
  <c r="EL1254" i="489"/>
  <c r="EL1251" i="489"/>
  <c r="EL1252" i="489"/>
  <c r="EL1258" i="489"/>
  <c r="EL1257" i="489"/>
  <c r="EL1255" i="489"/>
  <c r="EL1259" i="489"/>
  <c r="EL1261" i="489"/>
  <c r="EL1209" i="489"/>
  <c r="EL1210" i="489"/>
  <c r="EL1211" i="489"/>
  <c r="EL1260" i="489"/>
  <c r="EL1213" i="489"/>
  <c r="EL1214" i="489"/>
  <c r="EL1215" i="489"/>
  <c r="EL1217" i="489"/>
  <c r="EL1212" i="489"/>
  <c r="EL1216" i="489"/>
  <c r="EL1219" i="489"/>
  <c r="EL1220" i="489"/>
  <c r="EL1221" i="489"/>
  <c r="EL1222" i="489"/>
  <c r="EL1224" i="489"/>
  <c r="EL1225" i="489"/>
  <c r="EL1226" i="489"/>
  <c r="EL1227" i="489"/>
  <c r="EL1223" i="489"/>
  <c r="EL1233" i="489"/>
  <c r="EL1181" i="489"/>
  <c r="EL1182" i="489"/>
  <c r="EL1229" i="489"/>
  <c r="EL1230" i="489"/>
  <c r="EL1231" i="489"/>
  <c r="EL1232" i="489"/>
  <c r="EL1183" i="489"/>
  <c r="EL1184" i="489"/>
  <c r="EL1185" i="489"/>
  <c r="EL1186" i="489"/>
  <c r="EL1187" i="489"/>
  <c r="EL1188" i="489"/>
  <c r="EL1189" i="489"/>
  <c r="EL1191" i="489"/>
  <c r="EL1192" i="489"/>
  <c r="EL1193" i="489"/>
  <c r="EL1196" i="489"/>
  <c r="EL1194" i="489"/>
  <c r="EL1195" i="489"/>
  <c r="EL1197" i="489"/>
  <c r="EL1198" i="489"/>
  <c r="EL1199" i="489"/>
  <c r="EL1201" i="489"/>
  <c r="EL1202" i="489"/>
  <c r="EL1203" i="489"/>
  <c r="EL1204" i="489"/>
  <c r="EL1205" i="489"/>
  <c r="EW1237" i="489"/>
  <c r="EW1238" i="489"/>
  <c r="EW1239" i="489"/>
  <c r="EW1240" i="489"/>
  <c r="EW1242" i="489"/>
  <c r="EW1244" i="489"/>
  <c r="EW1245" i="489"/>
  <c r="EW1243" i="489"/>
  <c r="EW1248" i="489"/>
  <c r="EW1247" i="489"/>
  <c r="EW1249" i="489"/>
  <c r="EW1257" i="489"/>
  <c r="EW1258" i="489"/>
  <c r="EW1250" i="489"/>
  <c r="EW1259" i="489"/>
  <c r="EW1260" i="489"/>
  <c r="EW1261" i="489"/>
  <c r="EW1251" i="489"/>
  <c r="EW1254" i="489"/>
  <c r="EW1255" i="489"/>
  <c r="EW1209" i="489"/>
  <c r="EW1210" i="489"/>
  <c r="EW1211" i="489"/>
  <c r="EW1212" i="489"/>
  <c r="EW1216" i="489"/>
  <c r="EW1217" i="489"/>
  <c r="EW1219" i="489"/>
  <c r="EW1220" i="489"/>
  <c r="EW1221" i="489"/>
  <c r="EW1226" i="489"/>
  <c r="EW1227" i="489"/>
  <c r="EW1223" i="489"/>
  <c r="EW1222" i="489"/>
  <c r="EW1233" i="489"/>
  <c r="EW1181" i="489"/>
  <c r="EW1182" i="489"/>
  <c r="EW1231" i="489"/>
  <c r="EW1229" i="489"/>
  <c r="EW1232" i="489"/>
  <c r="EW1230" i="489"/>
  <c r="EW1183" i="489"/>
  <c r="EW1185" i="489"/>
  <c r="EW1186" i="489"/>
  <c r="EW1187" i="489"/>
  <c r="EW1188" i="489"/>
  <c r="EW1189" i="489"/>
  <c r="EW1191" i="489"/>
  <c r="EW1192" i="489"/>
  <c r="EW1194" i="489"/>
  <c r="EW1198" i="489"/>
  <c r="EW1199" i="489"/>
  <c r="EW1201" i="489"/>
  <c r="EW1202" i="489"/>
  <c r="EW1203" i="489"/>
  <c r="EW1204" i="489"/>
  <c r="EW1205" i="489"/>
  <c r="EW1196" i="489"/>
  <c r="EW1193" i="489"/>
  <c r="EW1195" i="489"/>
  <c r="AL1003" i="489"/>
  <c r="T1237" i="489"/>
  <c r="T1238" i="489"/>
  <c r="T1239" i="489"/>
  <c r="T1240" i="489"/>
  <c r="T1241" i="489"/>
  <c r="T1242" i="489"/>
  <c r="T1244" i="489"/>
  <c r="T1245" i="489"/>
  <c r="T1243" i="489"/>
  <c r="T1250" i="489"/>
  <c r="T1251" i="489"/>
  <c r="T1252" i="489"/>
  <c r="T1253" i="489"/>
  <c r="T1247" i="489"/>
  <c r="T1248" i="489"/>
  <c r="T1249" i="489"/>
  <c r="T1257" i="489"/>
  <c r="T1258" i="489"/>
  <c r="T1259" i="489"/>
  <c r="T1260" i="489"/>
  <c r="T1254" i="489"/>
  <c r="T1255" i="489"/>
  <c r="T1261" i="489"/>
  <c r="T1209" i="489"/>
  <c r="T1210" i="489"/>
  <c r="T1211" i="489"/>
  <c r="T1213" i="489"/>
  <c r="T1214" i="489"/>
  <c r="T1215" i="489"/>
  <c r="T1216" i="489"/>
  <c r="T1212" i="489"/>
  <c r="T1217" i="489"/>
  <c r="T1219" i="489"/>
  <c r="T1220" i="489"/>
  <c r="T1221" i="489"/>
  <c r="T1222" i="489"/>
  <c r="T1224" i="489"/>
  <c r="T1225" i="489"/>
  <c r="T1226" i="489"/>
  <c r="T1227" i="489"/>
  <c r="T1229" i="489"/>
  <c r="T1223" i="489"/>
  <c r="T1181" i="489"/>
  <c r="T1182" i="489"/>
  <c r="T1183" i="489"/>
  <c r="T1231" i="489"/>
  <c r="T1233" i="489"/>
  <c r="T1230" i="489"/>
  <c r="T1232" i="489"/>
  <c r="T1184" i="489"/>
  <c r="T1185" i="489"/>
  <c r="T1186" i="489"/>
  <c r="T1187" i="489"/>
  <c r="T1188" i="489"/>
  <c r="T1189" i="489"/>
  <c r="T1191" i="489"/>
  <c r="T1192" i="489"/>
  <c r="T1196" i="489"/>
  <c r="T1197" i="489"/>
  <c r="T1193" i="489"/>
  <c r="T1198" i="489"/>
  <c r="T1199" i="489"/>
  <c r="T1201" i="489"/>
  <c r="T1202" i="489"/>
  <c r="T1203" i="489"/>
  <c r="T1204" i="489"/>
  <c r="T1205" i="489"/>
  <c r="T1195" i="489"/>
  <c r="T1194" i="489"/>
  <c r="AG1237" i="489"/>
  <c r="AG1238" i="489"/>
  <c r="AG1239" i="489"/>
  <c r="AG1240" i="489"/>
  <c r="AG1241" i="489"/>
  <c r="AG1242" i="489"/>
  <c r="AG1243" i="489"/>
  <c r="AG1244" i="489"/>
  <c r="AG1245" i="489"/>
  <c r="AG1247" i="489"/>
  <c r="AG1248" i="489"/>
  <c r="AG1258" i="489"/>
  <c r="AG1259" i="489"/>
  <c r="AG1253" i="489"/>
  <c r="AG1257" i="489"/>
  <c r="AG1251" i="489"/>
  <c r="AG1260" i="489"/>
  <c r="AG1209" i="489"/>
  <c r="AG1210" i="489"/>
  <c r="AG1211" i="489"/>
  <c r="AG1212" i="489"/>
  <c r="AG1213" i="489"/>
  <c r="AG1249" i="489"/>
  <c r="AG1252" i="489"/>
  <c r="AG1250" i="489"/>
  <c r="AG1254" i="489"/>
  <c r="AG1261" i="489"/>
  <c r="AG1214" i="489"/>
  <c r="AG1215" i="489"/>
  <c r="AG1216" i="489"/>
  <c r="AG1217" i="489"/>
  <c r="AG1255" i="489"/>
  <c r="AG1219" i="489"/>
  <c r="AG1220" i="489"/>
  <c r="AG1221" i="489"/>
  <c r="AG1222" i="489"/>
  <c r="AG1223" i="489"/>
  <c r="AG1224" i="489"/>
  <c r="AG1225" i="489"/>
  <c r="AG1226" i="489"/>
  <c r="AG1227" i="489"/>
  <c r="AG1231" i="489"/>
  <c r="AG1181" i="489"/>
  <c r="AG1182" i="489"/>
  <c r="AG1183" i="489"/>
  <c r="AG1229" i="489"/>
  <c r="AG1230" i="489"/>
  <c r="AG1233" i="489"/>
  <c r="AG1232" i="489"/>
  <c r="AG1184" i="489"/>
  <c r="AG1185" i="489"/>
  <c r="AG1186" i="489"/>
  <c r="AG1187" i="489"/>
  <c r="AG1188" i="489"/>
  <c r="AG1189" i="489"/>
  <c r="AG1191" i="489"/>
  <c r="AG1192" i="489"/>
  <c r="AG1195" i="489"/>
  <c r="AG1194" i="489"/>
  <c r="AG1198" i="489"/>
  <c r="AG1199" i="489"/>
  <c r="AG1201" i="489"/>
  <c r="AG1202" i="489"/>
  <c r="AG1203" i="489"/>
  <c r="AG1204" i="489"/>
  <c r="AG1205" i="489"/>
  <c r="AG1193" i="489"/>
  <c r="AG1196" i="489"/>
  <c r="AG1197" i="489"/>
  <c r="AS1237" i="489"/>
  <c r="AS1238" i="489"/>
  <c r="AS1239" i="489"/>
  <c r="AS1240" i="489"/>
  <c r="AS1241" i="489"/>
  <c r="AS1242" i="489"/>
  <c r="AS1243" i="489"/>
  <c r="AS1244" i="489"/>
  <c r="AS1245" i="489"/>
  <c r="AS1249" i="489"/>
  <c r="AS1250" i="489"/>
  <c r="AS1251" i="489"/>
  <c r="AS1247" i="489"/>
  <c r="AS1252" i="489"/>
  <c r="AS1258" i="489"/>
  <c r="AS1259" i="489"/>
  <c r="AS1254" i="489"/>
  <c r="AS1255" i="489"/>
  <c r="AS1253" i="489"/>
  <c r="AS1260" i="489"/>
  <c r="AS1257" i="489"/>
  <c r="AS1248" i="489"/>
  <c r="AS1209" i="489"/>
  <c r="AS1210" i="489"/>
  <c r="AS1211" i="489"/>
  <c r="AS1212" i="489"/>
  <c r="AS1213" i="489"/>
  <c r="AS1214" i="489"/>
  <c r="AS1215" i="489"/>
  <c r="AS1216" i="489"/>
  <c r="AS1217" i="489"/>
  <c r="AS1261" i="489"/>
  <c r="AS1219" i="489"/>
  <c r="AS1220" i="489"/>
  <c r="AS1221" i="489"/>
  <c r="AS1222" i="489"/>
  <c r="AS1223" i="489"/>
  <c r="AS1224" i="489"/>
  <c r="AS1225" i="489"/>
  <c r="AS1226" i="489"/>
  <c r="AS1227" i="489"/>
  <c r="AS1181" i="489"/>
  <c r="AS1182" i="489"/>
  <c r="AS1183" i="489"/>
  <c r="AS1233" i="489"/>
  <c r="AS1229" i="489"/>
  <c r="AS1232" i="489"/>
  <c r="AS1231" i="489"/>
  <c r="AS1230" i="489"/>
  <c r="AS1184" i="489"/>
  <c r="AS1185" i="489"/>
  <c r="AS1186" i="489"/>
  <c r="AS1187" i="489"/>
  <c r="AS1188" i="489"/>
  <c r="AS1189" i="489"/>
  <c r="AS1191" i="489"/>
  <c r="AS1192" i="489"/>
  <c r="AS1196" i="489"/>
  <c r="AS1198" i="489"/>
  <c r="AS1199" i="489"/>
  <c r="AS1201" i="489"/>
  <c r="AS1202" i="489"/>
  <c r="AS1203" i="489"/>
  <c r="AS1204" i="489"/>
  <c r="AS1205" i="489"/>
  <c r="AS1193" i="489"/>
  <c r="AS1194" i="489"/>
  <c r="AS1195" i="489"/>
  <c r="AS1197" i="489"/>
  <c r="BE1237" i="489"/>
  <c r="BE1238" i="489"/>
  <c r="BE1239" i="489"/>
  <c r="BE1240" i="489"/>
  <c r="BE1241" i="489"/>
  <c r="BE1242" i="489"/>
  <c r="BE1243" i="489"/>
  <c r="BE1244" i="489"/>
  <c r="BE1245" i="489"/>
  <c r="BE1249" i="489"/>
  <c r="BE1250" i="489"/>
  <c r="BE1251" i="489"/>
  <c r="BE1247" i="489"/>
  <c r="BE1248" i="489"/>
  <c r="BE1252" i="489"/>
  <c r="BE1253" i="489"/>
  <c r="BE1257" i="489"/>
  <c r="BE1254" i="489"/>
  <c r="BE1255" i="489"/>
  <c r="BE1258" i="489"/>
  <c r="BE1259" i="489"/>
  <c r="BE1209" i="489"/>
  <c r="BE1210" i="489"/>
  <c r="BE1211" i="489"/>
  <c r="BE1212" i="489"/>
  <c r="BE1213" i="489"/>
  <c r="BE1260" i="489"/>
  <c r="BE1261" i="489"/>
  <c r="BE1214" i="489"/>
  <c r="BE1215" i="489"/>
  <c r="BE1216" i="489"/>
  <c r="BE1217" i="489"/>
  <c r="BE1219" i="489"/>
  <c r="BE1220" i="489"/>
  <c r="BE1221" i="489"/>
  <c r="BE1222" i="489"/>
  <c r="BE1223" i="489"/>
  <c r="BE1224" i="489"/>
  <c r="BE1225" i="489"/>
  <c r="BE1226" i="489"/>
  <c r="BE1227" i="489"/>
  <c r="BE1181" i="489"/>
  <c r="BE1182" i="489"/>
  <c r="BE1183" i="489"/>
  <c r="BE1230" i="489"/>
  <c r="BE1233" i="489"/>
  <c r="BE1231" i="489"/>
  <c r="BE1232" i="489"/>
  <c r="BE1229" i="489"/>
  <c r="BE1184" i="489"/>
  <c r="BE1185" i="489"/>
  <c r="BE1186" i="489"/>
  <c r="BE1187" i="489"/>
  <c r="BE1188" i="489"/>
  <c r="BE1189" i="489"/>
  <c r="BE1191" i="489"/>
  <c r="BE1192" i="489"/>
  <c r="BE1194" i="489"/>
  <c r="BE1195" i="489"/>
  <c r="BE1197" i="489"/>
  <c r="BE1198" i="489"/>
  <c r="BE1199" i="489"/>
  <c r="BE1201" i="489"/>
  <c r="BE1202" i="489"/>
  <c r="BE1203" i="489"/>
  <c r="BE1204" i="489"/>
  <c r="BE1205" i="489"/>
  <c r="BE1193" i="489"/>
  <c r="BE1196" i="489"/>
  <c r="BQ1237" i="489"/>
  <c r="BQ1238" i="489"/>
  <c r="BQ1239" i="489"/>
  <c r="BQ1240" i="489"/>
  <c r="BQ1241" i="489"/>
  <c r="BQ1242" i="489"/>
  <c r="BQ1243" i="489"/>
  <c r="BQ1244" i="489"/>
  <c r="BQ1245" i="489"/>
  <c r="BQ1248" i="489"/>
  <c r="BQ1252" i="489"/>
  <c r="BQ1253" i="489"/>
  <c r="BQ1247" i="489"/>
  <c r="BQ1249" i="489"/>
  <c r="BQ1250" i="489"/>
  <c r="BQ1251" i="489"/>
  <c r="BQ1258" i="489"/>
  <c r="BQ1254" i="489"/>
  <c r="BQ1255" i="489"/>
  <c r="BQ1259" i="489"/>
  <c r="BQ1260" i="489"/>
  <c r="BQ1261" i="489"/>
  <c r="BQ1209" i="489"/>
  <c r="BQ1210" i="489"/>
  <c r="BQ1211" i="489"/>
  <c r="BQ1212" i="489"/>
  <c r="BQ1213" i="489"/>
  <c r="BQ1257" i="489"/>
  <c r="BQ1214" i="489"/>
  <c r="BQ1215" i="489"/>
  <c r="BQ1216" i="489"/>
  <c r="BQ1217" i="489"/>
  <c r="BQ1219" i="489"/>
  <c r="BQ1220" i="489"/>
  <c r="BQ1221" i="489"/>
  <c r="BQ1222" i="489"/>
  <c r="BQ1223" i="489"/>
  <c r="BQ1224" i="489"/>
  <c r="BQ1225" i="489"/>
  <c r="BQ1226" i="489"/>
  <c r="BQ1227" i="489"/>
  <c r="BQ1229" i="489"/>
  <c r="BQ1231" i="489"/>
  <c r="BQ1181" i="489"/>
  <c r="BQ1182" i="489"/>
  <c r="BQ1183" i="489"/>
  <c r="BQ1233" i="489"/>
  <c r="BQ1232" i="489"/>
  <c r="BQ1230" i="489"/>
  <c r="BQ1184" i="489"/>
  <c r="BQ1185" i="489"/>
  <c r="BQ1186" i="489"/>
  <c r="BQ1187" i="489"/>
  <c r="BQ1188" i="489"/>
  <c r="BQ1189" i="489"/>
  <c r="BQ1191" i="489"/>
  <c r="BQ1192" i="489"/>
  <c r="BQ1193" i="489"/>
  <c r="BQ1197" i="489"/>
  <c r="BQ1196" i="489"/>
  <c r="BQ1198" i="489"/>
  <c r="BQ1199" i="489"/>
  <c r="BQ1201" i="489"/>
  <c r="BQ1202" i="489"/>
  <c r="BQ1203" i="489"/>
  <c r="BQ1204" i="489"/>
  <c r="BQ1205" i="489"/>
  <c r="BQ1194" i="489"/>
  <c r="BQ1195" i="489"/>
  <c r="CC1237" i="489"/>
  <c r="CC1238" i="489"/>
  <c r="CC1239" i="489"/>
  <c r="CC1240" i="489"/>
  <c r="CC1241" i="489"/>
  <c r="CC1242" i="489"/>
  <c r="CC1243" i="489"/>
  <c r="CC1244" i="489"/>
  <c r="CC1245" i="489"/>
  <c r="CC1247" i="489"/>
  <c r="CC1248" i="489"/>
  <c r="CC1249" i="489"/>
  <c r="CC1250" i="489"/>
  <c r="CC1251" i="489"/>
  <c r="CC1258" i="489"/>
  <c r="CC1253" i="489"/>
  <c r="CC1254" i="489"/>
  <c r="CC1252" i="489"/>
  <c r="CC1255" i="489"/>
  <c r="CC1257" i="489"/>
  <c r="CC1259" i="489"/>
  <c r="CC1260" i="489"/>
  <c r="CC1261" i="489"/>
  <c r="CC1209" i="489"/>
  <c r="CC1210" i="489"/>
  <c r="CC1211" i="489"/>
  <c r="CC1212" i="489"/>
  <c r="CC1213" i="489"/>
  <c r="CC1214" i="489"/>
  <c r="CC1215" i="489"/>
  <c r="CC1216" i="489"/>
  <c r="CC1217" i="489"/>
  <c r="CC1219" i="489"/>
  <c r="CC1220" i="489"/>
  <c r="CC1221" i="489"/>
  <c r="CC1222" i="489"/>
  <c r="CC1223" i="489"/>
  <c r="CC1224" i="489"/>
  <c r="CC1225" i="489"/>
  <c r="CC1226" i="489"/>
  <c r="CC1227" i="489"/>
  <c r="CC1230" i="489"/>
  <c r="CC1181" i="489"/>
  <c r="CC1182" i="489"/>
  <c r="CC1183" i="489"/>
  <c r="CC1232" i="489"/>
  <c r="CC1233" i="489"/>
  <c r="CC1229" i="489"/>
  <c r="CC1231" i="489"/>
  <c r="CC1184" i="489"/>
  <c r="CC1185" i="489"/>
  <c r="CC1186" i="489"/>
  <c r="CC1187" i="489"/>
  <c r="CC1188" i="489"/>
  <c r="CC1189" i="489"/>
  <c r="CC1191" i="489"/>
  <c r="CC1192" i="489"/>
  <c r="CC1196" i="489"/>
  <c r="CC1193" i="489"/>
  <c r="CC1198" i="489"/>
  <c r="CC1199" i="489"/>
  <c r="CC1201" i="489"/>
  <c r="CC1202" i="489"/>
  <c r="CC1203" i="489"/>
  <c r="CC1204" i="489"/>
  <c r="CC1205" i="489"/>
  <c r="CC1194" i="489"/>
  <c r="CC1195" i="489"/>
  <c r="CC1197" i="489"/>
  <c r="CO1237" i="489"/>
  <c r="CO1238" i="489"/>
  <c r="CO1239" i="489"/>
  <c r="CO1240" i="489"/>
  <c r="CO1241" i="489"/>
  <c r="CO1242" i="489"/>
  <c r="CO1243" i="489"/>
  <c r="CO1244" i="489"/>
  <c r="CO1245" i="489"/>
  <c r="CO1252" i="489"/>
  <c r="CO1247" i="489"/>
  <c r="CO1251" i="489"/>
  <c r="CO1248" i="489"/>
  <c r="CO1249" i="489"/>
  <c r="CO1250" i="489"/>
  <c r="CO1253" i="489"/>
  <c r="CO1254" i="489"/>
  <c r="CO1258" i="489"/>
  <c r="CO1255" i="489"/>
  <c r="CO1209" i="489"/>
  <c r="CO1211" i="489"/>
  <c r="CO1212" i="489"/>
  <c r="CO1213" i="489"/>
  <c r="CO1259" i="489"/>
  <c r="CO1260" i="489"/>
  <c r="CO1214" i="489"/>
  <c r="CO1215" i="489"/>
  <c r="CO1216" i="489"/>
  <c r="CO1217" i="489"/>
  <c r="CO1257" i="489"/>
  <c r="CO1261" i="489"/>
  <c r="CO1219" i="489"/>
  <c r="CO1220" i="489"/>
  <c r="CO1221" i="489"/>
  <c r="CO1222" i="489"/>
  <c r="CO1223" i="489"/>
  <c r="CO1224" i="489"/>
  <c r="CO1225" i="489"/>
  <c r="CO1226" i="489"/>
  <c r="CO1227" i="489"/>
  <c r="CO1232" i="489"/>
  <c r="CO1233" i="489"/>
  <c r="CO1181" i="489"/>
  <c r="CO1231" i="489"/>
  <c r="CO1230" i="489"/>
  <c r="CO1229" i="489"/>
  <c r="CO1183" i="489"/>
  <c r="CO1184" i="489"/>
  <c r="CO1185" i="489"/>
  <c r="CO1186" i="489"/>
  <c r="CO1187" i="489"/>
  <c r="CO1188" i="489"/>
  <c r="CO1189" i="489"/>
  <c r="CO1191" i="489"/>
  <c r="CO1192" i="489"/>
  <c r="CO1193" i="489"/>
  <c r="CO1194" i="489"/>
  <c r="CO1195" i="489"/>
  <c r="CO1198" i="489"/>
  <c r="CO1199" i="489"/>
  <c r="CO1201" i="489"/>
  <c r="CO1202" i="489"/>
  <c r="CO1203" i="489"/>
  <c r="CO1204" i="489"/>
  <c r="CO1205" i="489"/>
  <c r="CO1196" i="489"/>
  <c r="CO1197" i="489"/>
  <c r="DA1237" i="489"/>
  <c r="DA1238" i="489"/>
  <c r="DA1239" i="489"/>
  <c r="DA1240" i="489"/>
  <c r="DA1241" i="489"/>
  <c r="DA1242" i="489"/>
  <c r="DA1243" i="489"/>
  <c r="DA1244" i="489"/>
  <c r="DA1245" i="489"/>
  <c r="DA1248" i="489"/>
  <c r="DA1247" i="489"/>
  <c r="DA1249" i="489"/>
  <c r="DA1250" i="489"/>
  <c r="DA1251" i="489"/>
  <c r="DA1258" i="489"/>
  <c r="DA1252" i="489"/>
  <c r="DA1257" i="489"/>
  <c r="DA1255" i="489"/>
  <c r="DA1254" i="489"/>
  <c r="DA1259" i="489"/>
  <c r="DA1260" i="489"/>
  <c r="DA1253" i="489"/>
  <c r="DA1209" i="489"/>
  <c r="DA1210" i="489"/>
  <c r="DA1211" i="489"/>
  <c r="DA1212" i="489"/>
  <c r="DA1261" i="489"/>
  <c r="DA1213" i="489"/>
  <c r="DA1214" i="489"/>
  <c r="DA1215" i="489"/>
  <c r="DA1216" i="489"/>
  <c r="DA1217" i="489"/>
  <c r="DA1219" i="489"/>
  <c r="DA1220" i="489"/>
  <c r="DA1221" i="489"/>
  <c r="DA1222" i="489"/>
  <c r="DA1224" i="489"/>
  <c r="DA1225" i="489"/>
  <c r="DA1226" i="489"/>
  <c r="DA1227" i="489"/>
  <c r="DA1223" i="489"/>
  <c r="DA1229" i="489"/>
  <c r="DA1232" i="489"/>
  <c r="DA1231" i="489"/>
  <c r="DA1233" i="489"/>
  <c r="DA1181" i="489"/>
  <c r="DA1182" i="489"/>
  <c r="DA1230" i="489"/>
  <c r="DA1183" i="489"/>
  <c r="DA1184" i="489"/>
  <c r="DA1185" i="489"/>
  <c r="DA1186" i="489"/>
  <c r="DA1187" i="489"/>
  <c r="DA1188" i="489"/>
  <c r="DA1189" i="489"/>
  <c r="DA1191" i="489"/>
  <c r="DA1192" i="489"/>
  <c r="DA1196" i="489"/>
  <c r="DA1197" i="489"/>
  <c r="DA1198" i="489"/>
  <c r="DA1199" i="489"/>
  <c r="DA1201" i="489"/>
  <c r="DA1202" i="489"/>
  <c r="DA1203" i="489"/>
  <c r="DA1204" i="489"/>
  <c r="DA1205" i="489"/>
  <c r="DA1193" i="489"/>
  <c r="DA1194" i="489"/>
  <c r="DA1195" i="489"/>
  <c r="DM1237" i="489"/>
  <c r="DM1238" i="489"/>
  <c r="DM1239" i="489"/>
  <c r="DM1240" i="489"/>
  <c r="DM1241" i="489"/>
  <c r="DM1242" i="489"/>
  <c r="DM1243" i="489"/>
  <c r="DM1244" i="489"/>
  <c r="DM1245" i="489"/>
  <c r="DM1248" i="489"/>
  <c r="DM1249" i="489"/>
  <c r="DM1250" i="489"/>
  <c r="DM1247" i="489"/>
  <c r="DM1258" i="489"/>
  <c r="DM1251" i="489"/>
  <c r="DM1255" i="489"/>
  <c r="DM1259" i="489"/>
  <c r="DM1260" i="489"/>
  <c r="DM1252" i="489"/>
  <c r="DM1209" i="489"/>
  <c r="DM1210" i="489"/>
  <c r="DM1211" i="489"/>
  <c r="DM1212" i="489"/>
  <c r="DM1254" i="489"/>
  <c r="DM1253" i="489"/>
  <c r="DM1257" i="489"/>
  <c r="DM1261" i="489"/>
  <c r="DM1214" i="489"/>
  <c r="DM1215" i="489"/>
  <c r="DM1216" i="489"/>
  <c r="DM1217" i="489"/>
  <c r="DM1213" i="489"/>
  <c r="DM1219" i="489"/>
  <c r="DM1220" i="489"/>
  <c r="DM1221" i="489"/>
  <c r="DM1222" i="489"/>
  <c r="DM1224" i="489"/>
  <c r="DM1225" i="489"/>
  <c r="DM1226" i="489"/>
  <c r="DM1227" i="489"/>
  <c r="DM1223" i="489"/>
  <c r="DM1233" i="489"/>
  <c r="DM1181" i="489"/>
  <c r="DM1182" i="489"/>
  <c r="DM1229" i="489"/>
  <c r="DM1230" i="489"/>
  <c r="DM1231" i="489"/>
  <c r="DM1232" i="489"/>
  <c r="DM1183" i="489"/>
  <c r="DM1184" i="489"/>
  <c r="DM1185" i="489"/>
  <c r="DM1186" i="489"/>
  <c r="DM1187" i="489"/>
  <c r="DM1188" i="489"/>
  <c r="DM1189" i="489"/>
  <c r="DM1191" i="489"/>
  <c r="DM1194" i="489"/>
  <c r="DM1195" i="489"/>
  <c r="DM1197" i="489"/>
  <c r="DM1198" i="489"/>
  <c r="DM1199" i="489"/>
  <c r="DM1201" i="489"/>
  <c r="DM1202" i="489"/>
  <c r="DM1203" i="489"/>
  <c r="DM1204" i="489"/>
  <c r="DM1205" i="489"/>
  <c r="DM1193" i="489"/>
  <c r="DM1196" i="489"/>
  <c r="DZ1237" i="489"/>
  <c r="DZ1238" i="489"/>
  <c r="DZ1239" i="489"/>
  <c r="DZ1240" i="489"/>
  <c r="DZ1241" i="489"/>
  <c r="DZ1242" i="489"/>
  <c r="DZ1243" i="489"/>
  <c r="DZ1247" i="489"/>
  <c r="DZ1253" i="489"/>
  <c r="DZ1254" i="489"/>
  <c r="DZ1255" i="489"/>
  <c r="DZ1245" i="489"/>
  <c r="DZ1249" i="489"/>
  <c r="DZ1250" i="489"/>
  <c r="DZ1244" i="489"/>
  <c r="DZ1248" i="489"/>
  <c r="DZ1252" i="489"/>
  <c r="DZ1258" i="489"/>
  <c r="DZ1251" i="489"/>
  <c r="DZ1257" i="489"/>
  <c r="DZ1261" i="489"/>
  <c r="DZ1211" i="489"/>
  <c r="DZ1213" i="489"/>
  <c r="DZ1209" i="489"/>
  <c r="DZ1210" i="489"/>
  <c r="DZ1212" i="489"/>
  <c r="DZ1215" i="489"/>
  <c r="DZ1216" i="489"/>
  <c r="DZ1259" i="489"/>
  <c r="DZ1217" i="489"/>
  <c r="DZ1214" i="489"/>
  <c r="DZ1260" i="489"/>
  <c r="DZ1219" i="489"/>
  <c r="DZ1220" i="489"/>
  <c r="DZ1221" i="489"/>
  <c r="DZ1222" i="489"/>
  <c r="DZ1224" i="489"/>
  <c r="DZ1225" i="489"/>
  <c r="DZ1226" i="489"/>
  <c r="DZ1227" i="489"/>
  <c r="DZ1223" i="489"/>
  <c r="DZ1233" i="489"/>
  <c r="DZ1181" i="489"/>
  <c r="DZ1182" i="489"/>
  <c r="DZ1231" i="489"/>
  <c r="DZ1229" i="489"/>
  <c r="DZ1230" i="489"/>
  <c r="DZ1232" i="489"/>
  <c r="DZ1183" i="489"/>
  <c r="DZ1184" i="489"/>
  <c r="DZ1185" i="489"/>
  <c r="DZ1186" i="489"/>
  <c r="DZ1187" i="489"/>
  <c r="DZ1188" i="489"/>
  <c r="DZ1189" i="489"/>
  <c r="DZ1191" i="489"/>
  <c r="DZ1192" i="489"/>
  <c r="DZ1193" i="489"/>
  <c r="DZ1196" i="489"/>
  <c r="DZ1197" i="489"/>
  <c r="DZ1198" i="489"/>
  <c r="DZ1199" i="489"/>
  <c r="DZ1201" i="489"/>
  <c r="DZ1202" i="489"/>
  <c r="DZ1203" i="489"/>
  <c r="DZ1204" i="489"/>
  <c r="DZ1205" i="489"/>
  <c r="DZ1194" i="489"/>
  <c r="DZ1195" i="489"/>
  <c r="EM1242" i="489"/>
  <c r="EM1244" i="489"/>
  <c r="EM1245" i="489"/>
  <c r="EM1247" i="489"/>
  <c r="EM1240" i="489"/>
  <c r="EM1243" i="489"/>
  <c r="EM1237" i="489"/>
  <c r="EM1249" i="489"/>
  <c r="EM1250" i="489"/>
  <c r="EM1248" i="489"/>
  <c r="EM1253" i="489"/>
  <c r="EM1254" i="489"/>
  <c r="EM1238" i="489"/>
  <c r="EM1251" i="489"/>
  <c r="EM1252" i="489"/>
  <c r="EM1239" i="489"/>
  <c r="EM1255" i="489"/>
  <c r="EM1258" i="489"/>
  <c r="EM1259" i="489"/>
  <c r="EM1260" i="489"/>
  <c r="EM1261" i="489"/>
  <c r="EM1241" i="489"/>
  <c r="EM1257" i="489"/>
  <c r="EM1209" i="489"/>
  <c r="EM1210" i="489"/>
  <c r="EM1213" i="489"/>
  <c r="EM1212" i="489"/>
  <c r="EM1214" i="489"/>
  <c r="EM1215" i="489"/>
  <c r="EM1211" i="489"/>
  <c r="EM1219" i="489"/>
  <c r="EM1220" i="489"/>
  <c r="EM1221" i="489"/>
  <c r="EM1222" i="489"/>
  <c r="EM1223" i="489"/>
  <c r="EM1217" i="489"/>
  <c r="EM1216" i="489"/>
  <c r="EM1224" i="489"/>
  <c r="EM1225" i="489"/>
  <c r="EM1226" i="489"/>
  <c r="EM1227" i="489"/>
  <c r="EM1233" i="489"/>
  <c r="EM1181" i="489"/>
  <c r="EM1182" i="489"/>
  <c r="EM1229" i="489"/>
  <c r="EM1230" i="489"/>
  <c r="EM1231" i="489"/>
  <c r="EM1232" i="489"/>
  <c r="EM1183" i="489"/>
  <c r="EM1184" i="489"/>
  <c r="EM1185" i="489"/>
  <c r="EM1186" i="489"/>
  <c r="EM1187" i="489"/>
  <c r="EM1188" i="489"/>
  <c r="EM1189" i="489"/>
  <c r="EM1191" i="489"/>
  <c r="EM1192" i="489"/>
  <c r="EM1193" i="489"/>
  <c r="EM1194" i="489"/>
  <c r="EM1195" i="489"/>
  <c r="EM1196" i="489"/>
  <c r="EM1197" i="489"/>
  <c r="EM1198" i="489"/>
  <c r="EM1199" i="489"/>
  <c r="EM1201" i="489"/>
  <c r="EM1202" i="489"/>
  <c r="EM1203" i="489"/>
  <c r="EM1204" i="489"/>
  <c r="EM1205" i="489"/>
  <c r="EX1237" i="489"/>
  <c r="EX1238" i="489"/>
  <c r="EX1239" i="489"/>
  <c r="EX1240" i="489"/>
  <c r="EX1241" i="489"/>
  <c r="EX1242" i="489"/>
  <c r="EX1248" i="489"/>
  <c r="EX1243" i="489"/>
  <c r="EX1253" i="489"/>
  <c r="EX1254" i="489"/>
  <c r="EX1245" i="489"/>
  <c r="EX1249" i="489"/>
  <c r="EX1250" i="489"/>
  <c r="EX1244" i="489"/>
  <c r="EX1247" i="489"/>
  <c r="EX1257" i="489"/>
  <c r="EX1258" i="489"/>
  <c r="EX1252" i="489"/>
  <c r="EX1255" i="489"/>
  <c r="EX1251" i="489"/>
  <c r="EX1260" i="489"/>
  <c r="EX1261" i="489"/>
  <c r="EX1209" i="489"/>
  <c r="EX1210" i="489"/>
  <c r="EX1211" i="489"/>
  <c r="EX1212" i="489"/>
  <c r="EX1259" i="489"/>
  <c r="EX1213" i="489"/>
  <c r="EX1214" i="489"/>
  <c r="EX1216" i="489"/>
  <c r="EX1217" i="489"/>
  <c r="EX1215" i="489"/>
  <c r="EX1219" i="489"/>
  <c r="EX1220" i="489"/>
  <c r="EX1221" i="489"/>
  <c r="EX1224" i="489"/>
  <c r="EX1225" i="489"/>
  <c r="EX1226" i="489"/>
  <c r="EX1227" i="489"/>
  <c r="EX1223" i="489"/>
  <c r="EX1222" i="489"/>
  <c r="EX1233" i="489"/>
  <c r="EX1182" i="489"/>
  <c r="EX1231" i="489"/>
  <c r="EX1229" i="489"/>
  <c r="EX1232" i="489"/>
  <c r="EX1230" i="489"/>
  <c r="EX1183" i="489"/>
  <c r="EX1184" i="489"/>
  <c r="EX1185" i="489"/>
  <c r="EX1186" i="489"/>
  <c r="EX1187" i="489"/>
  <c r="EX1188" i="489"/>
  <c r="EX1189" i="489"/>
  <c r="EX1191" i="489"/>
  <c r="EX1192" i="489"/>
  <c r="EX1193" i="489"/>
  <c r="EX1194" i="489"/>
  <c r="EX1197" i="489"/>
  <c r="EX1198" i="489"/>
  <c r="EX1199" i="489"/>
  <c r="EX1201" i="489"/>
  <c r="EX1202" i="489"/>
  <c r="EX1203" i="489"/>
  <c r="EX1204" i="489"/>
  <c r="EX1205" i="489"/>
  <c r="EX1196" i="489"/>
  <c r="EX1195" i="489"/>
  <c r="U995" i="489"/>
  <c r="U1160" i="489"/>
  <c r="U1161" i="489"/>
  <c r="U1170" i="489"/>
  <c r="U1171" i="489"/>
  <c r="U1176" i="489"/>
  <c r="U1177" i="489"/>
  <c r="U1129" i="489"/>
  <c r="U1130" i="489"/>
  <c r="U1131" i="489"/>
  <c r="U1132" i="489"/>
  <c r="U1133" i="489"/>
  <c r="U1141" i="489"/>
  <c r="U1142" i="489"/>
  <c r="U1143" i="489"/>
  <c r="U1147" i="489"/>
  <c r="U1102" i="489"/>
  <c r="U1103" i="489"/>
  <c r="U1104" i="489"/>
  <c r="U1105" i="489"/>
  <c r="U1149" i="489"/>
  <c r="U1148" i="489"/>
  <c r="U1114" i="489"/>
  <c r="U1115" i="489"/>
  <c r="U1119" i="489"/>
  <c r="U1120" i="489"/>
  <c r="U1121" i="489"/>
  <c r="U1113" i="489"/>
  <c r="U1073" i="489"/>
  <c r="U1074" i="489"/>
  <c r="U1075" i="489"/>
  <c r="U1076" i="489"/>
  <c r="U1077" i="489"/>
  <c r="U1086" i="489"/>
  <c r="U1087" i="489"/>
  <c r="U1091" i="489"/>
  <c r="U1092" i="489"/>
  <c r="U1093" i="489"/>
  <c r="U1044" i="489"/>
  <c r="U1046" i="489"/>
  <c r="U1047" i="489"/>
  <c r="U1048" i="489"/>
  <c r="U1049" i="489"/>
  <c r="U1058" i="489"/>
  <c r="U1059" i="489"/>
  <c r="U1063" i="489"/>
  <c r="U1064" i="489"/>
  <c r="U1065" i="489"/>
  <c r="U1016" i="489"/>
  <c r="U1017" i="489"/>
  <c r="U1019" i="489"/>
  <c r="U1020" i="489"/>
  <c r="U1021" i="489"/>
  <c r="U1030" i="489"/>
  <c r="U1035" i="489"/>
  <c r="U1036" i="489"/>
  <c r="U1037" i="489"/>
  <c r="U1031" i="489"/>
  <c r="U1052" i="489"/>
  <c r="U1055" i="489"/>
  <c r="U1056" i="489"/>
  <c r="U1033" i="489"/>
  <c r="U1034" i="489"/>
  <c r="U1043" i="489"/>
  <c r="U1024" i="489"/>
  <c r="U1023" i="489"/>
  <c r="U1027" i="489"/>
  <c r="U1028" i="489"/>
  <c r="U1029" i="489"/>
  <c r="U1110" i="489"/>
  <c r="U1084" i="489"/>
  <c r="U1090" i="489"/>
  <c r="U1107" i="489"/>
  <c r="U1128" i="489"/>
  <c r="U1138" i="489"/>
  <c r="U1135" i="489"/>
  <c r="U1081" i="489"/>
  <c r="U1100" i="489"/>
  <c r="U1072" i="489"/>
  <c r="U1083" i="489"/>
  <c r="U1080" i="489"/>
  <c r="U1089" i="489"/>
  <c r="U1099" i="489"/>
  <c r="U1112" i="489"/>
  <c r="U1062" i="489"/>
  <c r="U1071" i="489"/>
  <c r="U1085" i="489"/>
  <c r="U1079" i="489"/>
  <c r="U1101" i="489"/>
  <c r="U1111" i="489"/>
  <c r="U1051" i="489"/>
  <c r="U1054" i="489"/>
  <c r="U1061" i="489"/>
  <c r="U1057" i="489"/>
  <c r="U1167" i="489"/>
  <c r="U1164" i="489"/>
  <c r="U1174" i="489"/>
  <c r="U1117" i="489"/>
  <c r="U1139" i="489"/>
  <c r="U1108" i="489"/>
  <c r="U1136" i="489"/>
  <c r="U1109" i="489"/>
  <c r="U1118" i="489"/>
  <c r="U1127" i="489"/>
  <c r="U1140" i="489"/>
  <c r="U1155" i="489"/>
  <c r="U1169" i="489"/>
  <c r="U1166" i="489"/>
  <c r="U1163" i="489"/>
  <c r="U1173" i="489"/>
  <c r="U1146" i="489"/>
  <c r="U1168" i="489"/>
  <c r="U1175" i="489"/>
  <c r="AH1156" i="489"/>
  <c r="AH1157" i="489"/>
  <c r="AH1158" i="489"/>
  <c r="AH1159" i="489"/>
  <c r="AH1160" i="489"/>
  <c r="AH1161" i="489"/>
  <c r="AH1170" i="489"/>
  <c r="AH1171" i="489"/>
  <c r="AH1176" i="489"/>
  <c r="AH1177" i="489"/>
  <c r="AH1129" i="489"/>
  <c r="AH1130" i="489"/>
  <c r="AH1131" i="489"/>
  <c r="AH1132" i="489"/>
  <c r="AH1133" i="489"/>
  <c r="AH1141" i="489"/>
  <c r="AH1142" i="489"/>
  <c r="AH1143" i="489"/>
  <c r="AH1147" i="489"/>
  <c r="AH1148" i="489"/>
  <c r="AH1149" i="489"/>
  <c r="AH1102" i="489"/>
  <c r="AH1113" i="489"/>
  <c r="AH1115" i="489"/>
  <c r="AH1119" i="489"/>
  <c r="AH1120" i="489"/>
  <c r="AH1121" i="489"/>
  <c r="AH1114" i="489"/>
  <c r="AH1103" i="489"/>
  <c r="AH1104" i="489"/>
  <c r="AH1105" i="489"/>
  <c r="AH1073" i="489"/>
  <c r="AH1074" i="489"/>
  <c r="AH1075" i="489"/>
  <c r="AH1076" i="489"/>
  <c r="AH1077" i="489"/>
  <c r="AH1086" i="489"/>
  <c r="AH1087" i="489"/>
  <c r="AH1091" i="489"/>
  <c r="AH1092" i="489"/>
  <c r="AH1093" i="489"/>
  <c r="AH1045" i="489"/>
  <c r="AH1046" i="489"/>
  <c r="AH1047" i="489"/>
  <c r="AH1048" i="489"/>
  <c r="AH1049" i="489"/>
  <c r="AH1044" i="489"/>
  <c r="AH1063" i="489"/>
  <c r="AH1064" i="489"/>
  <c r="AH1065" i="489"/>
  <c r="AH1058" i="489"/>
  <c r="AH1059" i="489"/>
  <c r="AH1016" i="489"/>
  <c r="AH1017" i="489"/>
  <c r="AH1018" i="489"/>
  <c r="AH1019" i="489"/>
  <c r="AH1020" i="489"/>
  <c r="AH1021" i="489"/>
  <c r="AH1035" i="489"/>
  <c r="AH1036" i="489"/>
  <c r="AH1037" i="489"/>
  <c r="AH1030" i="489"/>
  <c r="AH1031" i="489"/>
  <c r="AH1041" i="489"/>
  <c r="AH1042" i="489"/>
  <c r="AH1061" i="489"/>
  <c r="AH1084" i="489"/>
  <c r="AH1033" i="489"/>
  <c r="AH1034" i="489"/>
  <c r="AH1029" i="489"/>
  <c r="AH1057" i="489"/>
  <c r="AH1090" i="489"/>
  <c r="AH1100" i="489"/>
  <c r="AH1025" i="489"/>
  <c r="AH1055" i="489"/>
  <c r="AH1097" i="489"/>
  <c r="AH1043" i="489"/>
  <c r="AH1027" i="489"/>
  <c r="AH1028" i="489"/>
  <c r="AH1023" i="489"/>
  <c r="AH1101" i="489"/>
  <c r="AH1128" i="489"/>
  <c r="AH1126" i="489"/>
  <c r="AH1098" i="489"/>
  <c r="AH1089" i="489"/>
  <c r="AH1125" i="489"/>
  <c r="AH1056" i="489"/>
  <c r="AH1111" i="489"/>
  <c r="AH1099" i="489"/>
  <c r="AH1138" i="489"/>
  <c r="AH1112" i="489"/>
  <c r="AH1081" i="489"/>
  <c r="AH1062" i="489"/>
  <c r="AH1071" i="489"/>
  <c r="AH1085" i="489"/>
  <c r="AH1072" i="489"/>
  <c r="AH1051" i="489"/>
  <c r="AH1069" i="489"/>
  <c r="AH1110" i="489"/>
  <c r="AH1053" i="489"/>
  <c r="AH1083" i="489"/>
  <c r="AH1117" i="489"/>
  <c r="AH1127" i="489"/>
  <c r="AH1173" i="489"/>
  <c r="AH1140" i="489"/>
  <c r="AH1137" i="489"/>
  <c r="AH1145" i="489"/>
  <c r="AH1153" i="489"/>
  <c r="AH1146" i="489"/>
  <c r="AH1167" i="489"/>
  <c r="AH1154" i="489"/>
  <c r="AH1168" i="489"/>
  <c r="AH1139" i="489"/>
  <c r="AH1155" i="489"/>
  <c r="AH1174" i="489"/>
  <c r="AH1165" i="489"/>
  <c r="AH1169" i="489"/>
  <c r="AH1175" i="489"/>
  <c r="AH1118" i="489"/>
  <c r="AH1163" i="489"/>
  <c r="AT1156" i="489"/>
  <c r="AT1157" i="489"/>
  <c r="AT1158" i="489"/>
  <c r="AT1159" i="489"/>
  <c r="AT1160" i="489"/>
  <c r="AT1161" i="489"/>
  <c r="AT1170" i="489"/>
  <c r="AT1171" i="489"/>
  <c r="AT1176" i="489"/>
  <c r="AT1177" i="489"/>
  <c r="AT1129" i="489"/>
  <c r="AT1130" i="489"/>
  <c r="AT1131" i="489"/>
  <c r="AT1132" i="489"/>
  <c r="AT1133" i="489"/>
  <c r="AT1147" i="489"/>
  <c r="AT1148" i="489"/>
  <c r="AT1149" i="489"/>
  <c r="AT1141" i="489"/>
  <c r="AT1142" i="489"/>
  <c r="AT1143" i="489"/>
  <c r="AT1102" i="489"/>
  <c r="AT1103" i="489"/>
  <c r="AT1104" i="489"/>
  <c r="AT1105" i="489"/>
  <c r="AT1114" i="489"/>
  <c r="AT1115" i="489"/>
  <c r="AT1119" i="489"/>
  <c r="AT1120" i="489"/>
  <c r="AT1121" i="489"/>
  <c r="AT1113" i="489"/>
  <c r="AT1073" i="489"/>
  <c r="AT1074" i="489"/>
  <c r="AT1075" i="489"/>
  <c r="AT1076" i="489"/>
  <c r="AT1077" i="489"/>
  <c r="AT1086" i="489"/>
  <c r="AT1087" i="489"/>
  <c r="AT1091" i="489"/>
  <c r="AT1092" i="489"/>
  <c r="AT1093" i="489"/>
  <c r="AT1045" i="489"/>
  <c r="AT1046" i="489"/>
  <c r="AT1047" i="489"/>
  <c r="AT1048" i="489"/>
  <c r="AT1049" i="489"/>
  <c r="AT1044" i="489"/>
  <c r="AT1063" i="489"/>
  <c r="AT1064" i="489"/>
  <c r="AT1065" i="489"/>
  <c r="AT1058" i="489"/>
  <c r="AT1059" i="489"/>
  <c r="AT1016" i="489"/>
  <c r="AT1017" i="489"/>
  <c r="AT1018" i="489"/>
  <c r="AT1019" i="489"/>
  <c r="AT1020" i="489"/>
  <c r="AT1021" i="489"/>
  <c r="AT1035" i="489"/>
  <c r="AT1036" i="489"/>
  <c r="AT1037" i="489"/>
  <c r="AT1030" i="489"/>
  <c r="AT1031" i="489"/>
  <c r="AT1013" i="489"/>
  <c r="AT1041" i="489"/>
  <c r="AT1014" i="489"/>
  <c r="AT1042" i="489"/>
  <c r="AT1061" i="489"/>
  <c r="AT1026" i="489"/>
  <c r="AT1070" i="489"/>
  <c r="AT1033" i="489"/>
  <c r="AT1034" i="489"/>
  <c r="AT1029" i="489"/>
  <c r="AT1057" i="489"/>
  <c r="AT1100" i="489"/>
  <c r="AT1024" i="489"/>
  <c r="AT1025" i="489"/>
  <c r="AT1055" i="489"/>
  <c r="AT1097" i="489"/>
  <c r="AT1015" i="489"/>
  <c r="AT1043" i="489"/>
  <c r="AT1027" i="489"/>
  <c r="AT1028" i="489"/>
  <c r="AT1023" i="489"/>
  <c r="AT1098" i="489"/>
  <c r="AT1054" i="489"/>
  <c r="AT1089" i="489"/>
  <c r="AT1125" i="489"/>
  <c r="AT1139" i="489"/>
  <c r="AT1056" i="489"/>
  <c r="AT1111" i="489"/>
  <c r="AT1099" i="489"/>
  <c r="AT1112" i="489"/>
  <c r="AT1084" i="489"/>
  <c r="AT1090" i="489"/>
  <c r="AT1062" i="489"/>
  <c r="AT1071" i="489"/>
  <c r="AT1085" i="489"/>
  <c r="AT1072" i="489"/>
  <c r="AT1082" i="489"/>
  <c r="AT1051" i="489"/>
  <c r="AT1053" i="489"/>
  <c r="AT1079" i="489"/>
  <c r="AT1083" i="489"/>
  <c r="AT1107" i="489"/>
  <c r="AT1101" i="489"/>
  <c r="AT1128" i="489"/>
  <c r="AT1126" i="489"/>
  <c r="AT1140" i="489"/>
  <c r="AT1117" i="489"/>
  <c r="AT1137" i="489"/>
  <c r="AT1145" i="489"/>
  <c r="AT1153" i="489"/>
  <c r="AT1146" i="489"/>
  <c r="AT1136" i="489"/>
  <c r="AT1167" i="489"/>
  <c r="AT1154" i="489"/>
  <c r="AT1168" i="489"/>
  <c r="AT1155" i="489"/>
  <c r="AT1174" i="489"/>
  <c r="AT1165" i="489"/>
  <c r="AT1169" i="489"/>
  <c r="AT1175" i="489"/>
  <c r="AT1109" i="489"/>
  <c r="AT1166" i="489"/>
  <c r="AT1118" i="489"/>
  <c r="AT1163" i="489"/>
  <c r="AT1135" i="489"/>
  <c r="AT1127" i="489"/>
  <c r="AT1173" i="489"/>
  <c r="BF1156" i="489"/>
  <c r="BF1157" i="489"/>
  <c r="BF1158" i="489"/>
  <c r="BF1159" i="489"/>
  <c r="BF1160" i="489"/>
  <c r="BF1161" i="489"/>
  <c r="BF1170" i="489"/>
  <c r="BF1171" i="489"/>
  <c r="BF1176" i="489"/>
  <c r="BF1177" i="489"/>
  <c r="BF1129" i="489"/>
  <c r="BF1130" i="489"/>
  <c r="BF1131" i="489"/>
  <c r="BF1132" i="489"/>
  <c r="BF1133" i="489"/>
  <c r="BF1141" i="489"/>
  <c r="BF1142" i="489"/>
  <c r="BF1143" i="489"/>
  <c r="BF1102" i="489"/>
  <c r="BF1147" i="489"/>
  <c r="BF1149" i="489"/>
  <c r="BF1148" i="489"/>
  <c r="BF1113" i="489"/>
  <c r="BF1103" i="489"/>
  <c r="BF1104" i="489"/>
  <c r="BF1105" i="489"/>
  <c r="BF1114" i="489"/>
  <c r="BF1115" i="489"/>
  <c r="BF1119" i="489"/>
  <c r="BF1120" i="489"/>
  <c r="BF1121" i="489"/>
  <c r="BF1073" i="489"/>
  <c r="BF1074" i="489"/>
  <c r="BF1075" i="489"/>
  <c r="BF1076" i="489"/>
  <c r="BF1077" i="489"/>
  <c r="BF1086" i="489"/>
  <c r="BF1087" i="489"/>
  <c r="BF1091" i="489"/>
  <c r="BF1092" i="489"/>
  <c r="BF1093" i="489"/>
  <c r="BF1045" i="489"/>
  <c r="BF1046" i="489"/>
  <c r="BF1047" i="489"/>
  <c r="BF1048" i="489"/>
  <c r="BF1049" i="489"/>
  <c r="BF1044" i="489"/>
  <c r="BF1063" i="489"/>
  <c r="BF1064" i="489"/>
  <c r="BF1065" i="489"/>
  <c r="BF1058" i="489"/>
  <c r="BF1059" i="489"/>
  <c r="BF1016" i="489"/>
  <c r="BF1017" i="489"/>
  <c r="BF1018" i="489"/>
  <c r="BF1019" i="489"/>
  <c r="BF1020" i="489"/>
  <c r="BF1021" i="489"/>
  <c r="BF1035" i="489"/>
  <c r="BF1036" i="489"/>
  <c r="BF1037" i="489"/>
  <c r="BF1031" i="489"/>
  <c r="BF1030" i="489"/>
  <c r="BF1026" i="489"/>
  <c r="BF1070" i="489"/>
  <c r="BF1084" i="489"/>
  <c r="BF1033" i="489"/>
  <c r="BF1034" i="489"/>
  <c r="BF1029" i="489"/>
  <c r="BF1057" i="489"/>
  <c r="BF1090" i="489"/>
  <c r="BF1024" i="489"/>
  <c r="BF1025" i="489"/>
  <c r="BF1055" i="489"/>
  <c r="BF1097" i="489"/>
  <c r="BF1015" i="489"/>
  <c r="BF1043" i="489"/>
  <c r="BF1027" i="489"/>
  <c r="BF1028" i="489"/>
  <c r="BF1023" i="489"/>
  <c r="BF1013" i="489"/>
  <c r="BF1041" i="489"/>
  <c r="BF1014" i="489"/>
  <c r="BF1042" i="489"/>
  <c r="BF1061" i="489"/>
  <c r="BF1056" i="489"/>
  <c r="BF1111" i="489"/>
  <c r="BF1099" i="489"/>
  <c r="BF1138" i="489"/>
  <c r="BF1136" i="489"/>
  <c r="BF1112" i="489"/>
  <c r="BF1135" i="489"/>
  <c r="BF1052" i="489"/>
  <c r="BF1081" i="489"/>
  <c r="BF1062" i="489"/>
  <c r="BF1071" i="489"/>
  <c r="BF1100" i="489"/>
  <c r="BF1085" i="489"/>
  <c r="BF1072" i="489"/>
  <c r="BF1082" i="489"/>
  <c r="BF1051" i="489"/>
  <c r="BF1069" i="489"/>
  <c r="BF1110" i="489"/>
  <c r="BF1053" i="489"/>
  <c r="BF1079" i="489"/>
  <c r="BF1083" i="489"/>
  <c r="BF1107" i="489"/>
  <c r="BF1117" i="489"/>
  <c r="BF1101" i="489"/>
  <c r="BF1080" i="489"/>
  <c r="BF1128" i="489"/>
  <c r="BF1098" i="489"/>
  <c r="BF1054" i="489"/>
  <c r="BF1089" i="489"/>
  <c r="BF1125" i="489"/>
  <c r="BF1139" i="489"/>
  <c r="BF1137" i="489"/>
  <c r="BF1145" i="489"/>
  <c r="BF1108" i="489"/>
  <c r="BF1153" i="489"/>
  <c r="BF1146" i="489"/>
  <c r="BF1167" i="489"/>
  <c r="BF1164" i="489"/>
  <c r="BF1168" i="489"/>
  <c r="BF1155" i="489"/>
  <c r="BF1174" i="489"/>
  <c r="BF1165" i="489"/>
  <c r="BF1169" i="489"/>
  <c r="BF1175" i="489"/>
  <c r="BF1109" i="489"/>
  <c r="BF1166" i="489"/>
  <c r="BF1118" i="489"/>
  <c r="BF1163" i="489"/>
  <c r="BF1126" i="489"/>
  <c r="BF1127" i="489"/>
  <c r="BF1173" i="489"/>
  <c r="BF1140" i="489"/>
  <c r="BR1156" i="489"/>
  <c r="BR1157" i="489"/>
  <c r="BR1159" i="489"/>
  <c r="BR1160" i="489"/>
  <c r="BR1161" i="489"/>
  <c r="BR1171" i="489"/>
  <c r="BR1176" i="489"/>
  <c r="BR1177" i="489"/>
  <c r="BR1129" i="489"/>
  <c r="BR1132" i="489"/>
  <c r="BR1133" i="489"/>
  <c r="BR1147" i="489"/>
  <c r="BR1148" i="489"/>
  <c r="BR1149" i="489"/>
  <c r="BR1143" i="489"/>
  <c r="BR1141" i="489"/>
  <c r="BR1113" i="489"/>
  <c r="BR1119" i="489"/>
  <c r="BR1120" i="489"/>
  <c r="BR1121" i="489"/>
  <c r="BR1073" i="489"/>
  <c r="BR1076" i="489"/>
  <c r="BR1077" i="489"/>
  <c r="BR1086" i="489"/>
  <c r="BR1087" i="489"/>
  <c r="BR1091" i="489"/>
  <c r="BR1092" i="489"/>
  <c r="BR1093" i="489"/>
  <c r="BR1084" i="489"/>
  <c r="BR1081" i="489"/>
  <c r="BR1100" i="489"/>
  <c r="BR1070" i="489"/>
  <c r="BR1112" i="489"/>
  <c r="BR1135" i="489"/>
  <c r="BR1071" i="489"/>
  <c r="BR1090" i="489"/>
  <c r="BR1085" i="489"/>
  <c r="BR1072" i="489"/>
  <c r="BR1097" i="489"/>
  <c r="BR1082" i="489"/>
  <c r="BR1069" i="489"/>
  <c r="BR1107" i="489"/>
  <c r="BR1101" i="489"/>
  <c r="BR1080" i="489"/>
  <c r="BR1128" i="489"/>
  <c r="BR1126" i="489"/>
  <c r="BR1098" i="489"/>
  <c r="BR1089" i="489"/>
  <c r="BR1125" i="489"/>
  <c r="BR1111" i="489"/>
  <c r="BR1099" i="489"/>
  <c r="BR1136" i="489"/>
  <c r="BR1117" i="489"/>
  <c r="BR1145" i="489"/>
  <c r="BR1108" i="489"/>
  <c r="BR1153" i="489"/>
  <c r="BR1146" i="489"/>
  <c r="BR1167" i="489"/>
  <c r="BR1154" i="489"/>
  <c r="BR1164" i="489"/>
  <c r="BR1168" i="489"/>
  <c r="BR1155" i="489"/>
  <c r="BR1174" i="489"/>
  <c r="BR1165" i="489"/>
  <c r="BR1169" i="489"/>
  <c r="BR1175" i="489"/>
  <c r="BR1109" i="489"/>
  <c r="BR1166" i="489"/>
  <c r="BR1118" i="489"/>
  <c r="BR1127" i="489"/>
  <c r="BR1137" i="489"/>
  <c r="CD1156" i="489"/>
  <c r="CD1157" i="489"/>
  <c r="CD1158" i="489"/>
  <c r="CD1159" i="489"/>
  <c r="CD1160" i="489"/>
  <c r="CD1161" i="489"/>
  <c r="CD1170" i="489"/>
  <c r="CD1171" i="489"/>
  <c r="CD1176" i="489"/>
  <c r="CD1177" i="489"/>
  <c r="CD1129" i="489"/>
  <c r="CD1130" i="489"/>
  <c r="CD1131" i="489"/>
  <c r="CD1132" i="489"/>
  <c r="CD1133" i="489"/>
  <c r="CD1149" i="489"/>
  <c r="CD1147" i="489"/>
  <c r="CD1148" i="489"/>
  <c r="CD1143" i="489"/>
  <c r="CD1102" i="489"/>
  <c r="CD1141" i="489"/>
  <c r="CD1142" i="489"/>
  <c r="CD1114" i="489"/>
  <c r="CD1115" i="489"/>
  <c r="CD1119" i="489"/>
  <c r="CD1120" i="489"/>
  <c r="CD1121" i="489"/>
  <c r="CD1103" i="489"/>
  <c r="CD1104" i="489"/>
  <c r="CD1105" i="489"/>
  <c r="CD1113" i="489"/>
  <c r="CD1073" i="489"/>
  <c r="CD1074" i="489"/>
  <c r="CD1075" i="489"/>
  <c r="CD1076" i="489"/>
  <c r="CD1077" i="489"/>
  <c r="CD1086" i="489"/>
  <c r="CD1087" i="489"/>
  <c r="CD1091" i="489"/>
  <c r="CD1092" i="489"/>
  <c r="CD1093" i="489"/>
  <c r="CD1046" i="489"/>
  <c r="CD1047" i="489"/>
  <c r="CD1048" i="489"/>
  <c r="CD1049" i="489"/>
  <c r="CD1044" i="489"/>
  <c r="CD1045" i="489"/>
  <c r="CD1063" i="489"/>
  <c r="CD1064" i="489"/>
  <c r="CD1065" i="489"/>
  <c r="CD1058" i="489"/>
  <c r="CD1059" i="489"/>
  <c r="CD1017" i="489"/>
  <c r="CD1018" i="489"/>
  <c r="CD1019" i="489"/>
  <c r="CD1020" i="489"/>
  <c r="CD1021" i="489"/>
  <c r="CD1016" i="489"/>
  <c r="CD1036" i="489"/>
  <c r="CD1037" i="489"/>
  <c r="CD1031" i="489"/>
  <c r="CD1030" i="489"/>
  <c r="CD1035" i="489"/>
  <c r="CD1081" i="489"/>
  <c r="CD1033" i="489"/>
  <c r="CD1034" i="489"/>
  <c r="CD1052" i="489"/>
  <c r="CD1090" i="489"/>
  <c r="CD1029" i="489"/>
  <c r="CD1057" i="489"/>
  <c r="CD1097" i="489"/>
  <c r="CD1024" i="489"/>
  <c r="CD1025" i="489"/>
  <c r="CD1055" i="489"/>
  <c r="CD1015" i="489"/>
  <c r="CD1043" i="489"/>
  <c r="CD1027" i="489"/>
  <c r="CD1028" i="489"/>
  <c r="CD1023" i="489"/>
  <c r="CD1013" i="489"/>
  <c r="CD1041" i="489"/>
  <c r="CD1014" i="489"/>
  <c r="CD1042" i="489"/>
  <c r="CD1061" i="489"/>
  <c r="CD1026" i="489"/>
  <c r="CD1084" i="489"/>
  <c r="CD1071" i="489"/>
  <c r="CD1070" i="489"/>
  <c r="CD1062" i="489"/>
  <c r="CD1085" i="489"/>
  <c r="CD1072" i="489"/>
  <c r="CD1100" i="489"/>
  <c r="CD1082" i="489"/>
  <c r="CD1069" i="489"/>
  <c r="CD1110" i="489"/>
  <c r="CD1079" i="489"/>
  <c r="CD1051" i="489"/>
  <c r="CD1083" i="489"/>
  <c r="CD1107" i="489"/>
  <c r="CD1053" i="489"/>
  <c r="CD1101" i="489"/>
  <c r="CD1080" i="489"/>
  <c r="CD1128" i="489"/>
  <c r="CD1098" i="489"/>
  <c r="CD1089" i="489"/>
  <c r="CD1125" i="489"/>
  <c r="CD1139" i="489"/>
  <c r="CD1111" i="489"/>
  <c r="CD1054" i="489"/>
  <c r="CD1099" i="489"/>
  <c r="CD1138" i="489"/>
  <c r="CD1056" i="489"/>
  <c r="CD1112" i="489"/>
  <c r="CD1135" i="489"/>
  <c r="CD1145" i="489"/>
  <c r="CD1108" i="489"/>
  <c r="CD1153" i="489"/>
  <c r="CD1146" i="489"/>
  <c r="CD1167" i="489"/>
  <c r="CD1154" i="489"/>
  <c r="CD1164" i="489"/>
  <c r="CD1168" i="489"/>
  <c r="CD1136" i="489"/>
  <c r="CD1155" i="489"/>
  <c r="CD1174" i="489"/>
  <c r="CD1165" i="489"/>
  <c r="CD1169" i="489"/>
  <c r="CD1175" i="489"/>
  <c r="CD1109" i="489"/>
  <c r="CD1166" i="489"/>
  <c r="CD1118" i="489"/>
  <c r="CD1163" i="489"/>
  <c r="CD1127" i="489"/>
  <c r="CD1173" i="489"/>
  <c r="CD1126" i="489"/>
  <c r="CD1140" i="489"/>
  <c r="CD1137" i="489"/>
  <c r="CD1117" i="489"/>
  <c r="CP992" i="489"/>
  <c r="CP1156" i="489"/>
  <c r="CP1157" i="489"/>
  <c r="CP1158" i="489"/>
  <c r="CP1159" i="489"/>
  <c r="CP1160" i="489"/>
  <c r="CP1161" i="489"/>
  <c r="CP1170" i="489"/>
  <c r="CP1171" i="489"/>
  <c r="CP1176" i="489"/>
  <c r="CP1177" i="489"/>
  <c r="CP1129" i="489"/>
  <c r="CP1130" i="489"/>
  <c r="CP1131" i="489"/>
  <c r="CP1132" i="489"/>
  <c r="CP1133" i="489"/>
  <c r="CP1147" i="489"/>
  <c r="CP1148" i="489"/>
  <c r="CP1141" i="489"/>
  <c r="CP1142" i="489"/>
  <c r="CP1143" i="489"/>
  <c r="CP1149" i="489"/>
  <c r="CP1113" i="489"/>
  <c r="CP1114" i="489"/>
  <c r="CP1115" i="489"/>
  <c r="CP1119" i="489"/>
  <c r="CP1120" i="489"/>
  <c r="CP1121" i="489"/>
  <c r="CP1102" i="489"/>
  <c r="CP1103" i="489"/>
  <c r="CP1104" i="489"/>
  <c r="CP1105" i="489"/>
  <c r="CP1073" i="489"/>
  <c r="CP1074" i="489"/>
  <c r="CP1075" i="489"/>
  <c r="CP1076" i="489"/>
  <c r="CP1077" i="489"/>
  <c r="CP1086" i="489"/>
  <c r="CP1087" i="489"/>
  <c r="CP1091" i="489"/>
  <c r="CP1092" i="489"/>
  <c r="CP1093" i="489"/>
  <c r="CP1046" i="489"/>
  <c r="CP1047" i="489"/>
  <c r="CP1048" i="489"/>
  <c r="CP1049" i="489"/>
  <c r="CP1044" i="489"/>
  <c r="CP1045" i="489"/>
  <c r="CP1063" i="489"/>
  <c r="CP1064" i="489"/>
  <c r="CP1065" i="489"/>
  <c r="CP1058" i="489"/>
  <c r="CP1059" i="489"/>
  <c r="CP1017" i="489"/>
  <c r="CP1018" i="489"/>
  <c r="CP1019" i="489"/>
  <c r="CP1020" i="489"/>
  <c r="CP1021" i="489"/>
  <c r="CP1016" i="489"/>
  <c r="CP1036" i="489"/>
  <c r="CP1030" i="489"/>
  <c r="CP1037" i="489"/>
  <c r="CP1031" i="489"/>
  <c r="CP1035" i="489"/>
  <c r="CP1033" i="489"/>
  <c r="CP1034" i="489"/>
  <c r="CP1052" i="489"/>
  <c r="CP1090" i="489"/>
  <c r="CP1029" i="489"/>
  <c r="CP1057" i="489"/>
  <c r="CP1100" i="489"/>
  <c r="CP1024" i="489"/>
  <c r="CP1025" i="489"/>
  <c r="CP1055" i="489"/>
  <c r="CP1015" i="489"/>
  <c r="CP1043" i="489"/>
  <c r="CP1027" i="489"/>
  <c r="CP1028" i="489"/>
  <c r="CP1023" i="489"/>
  <c r="CP1013" i="489"/>
  <c r="CP1041" i="489"/>
  <c r="CP1014" i="489"/>
  <c r="CP1042" i="489"/>
  <c r="CP1061" i="489"/>
  <c r="CP1070" i="489"/>
  <c r="CP1026" i="489"/>
  <c r="CP1081" i="489"/>
  <c r="CP1071" i="489"/>
  <c r="CP1062" i="489"/>
  <c r="CP1085" i="489"/>
  <c r="CP1072" i="489"/>
  <c r="CP1084" i="489"/>
  <c r="CP1082" i="489"/>
  <c r="CP1069" i="489"/>
  <c r="CP1110" i="489"/>
  <c r="CP1108" i="489"/>
  <c r="CP1097" i="489"/>
  <c r="CP1079" i="489"/>
  <c r="CP1051" i="489"/>
  <c r="CP1083" i="489"/>
  <c r="CP1107" i="489"/>
  <c r="CP1053" i="489"/>
  <c r="CP1101" i="489"/>
  <c r="CP1080" i="489"/>
  <c r="CP1128" i="489"/>
  <c r="CP1098" i="489"/>
  <c r="CP1089" i="489"/>
  <c r="CP1125" i="489"/>
  <c r="CP1111" i="489"/>
  <c r="CP1054" i="489"/>
  <c r="CP1099" i="489"/>
  <c r="CP1138" i="489"/>
  <c r="CP1136" i="489"/>
  <c r="CP1056" i="489"/>
  <c r="CP1112" i="489"/>
  <c r="CP1135" i="489"/>
  <c r="CP1153" i="489"/>
  <c r="CP1146" i="489"/>
  <c r="CP1167" i="489"/>
  <c r="CP1154" i="489"/>
  <c r="CP1164" i="489"/>
  <c r="CP1168" i="489"/>
  <c r="CP1155" i="489"/>
  <c r="CP1174" i="489"/>
  <c r="CP1165" i="489"/>
  <c r="CP1169" i="489"/>
  <c r="CP1175" i="489"/>
  <c r="CP1109" i="489"/>
  <c r="CP1166" i="489"/>
  <c r="CP1139" i="489"/>
  <c r="CP1118" i="489"/>
  <c r="CP1163" i="489"/>
  <c r="CP1127" i="489"/>
  <c r="CP1173" i="489"/>
  <c r="CP1126" i="489"/>
  <c r="CP1140" i="489"/>
  <c r="CP1137" i="489"/>
  <c r="CP1117" i="489"/>
  <c r="CP1145" i="489"/>
  <c r="DB1156" i="489"/>
  <c r="DB1157" i="489"/>
  <c r="DB1158" i="489"/>
  <c r="DB1159" i="489"/>
  <c r="DB1160" i="489"/>
  <c r="DB1161" i="489"/>
  <c r="DB1170" i="489"/>
  <c r="DB1171" i="489"/>
  <c r="DB1176" i="489"/>
  <c r="DB1177" i="489"/>
  <c r="DB1129" i="489"/>
  <c r="DB1130" i="489"/>
  <c r="DB1131" i="489"/>
  <c r="DB1132" i="489"/>
  <c r="DB1133" i="489"/>
  <c r="DB1141" i="489"/>
  <c r="DB1142" i="489"/>
  <c r="DB1143" i="489"/>
  <c r="DB1149" i="489"/>
  <c r="DB1148" i="489"/>
  <c r="DB1147" i="489"/>
  <c r="DB1114" i="489"/>
  <c r="DB1115" i="489"/>
  <c r="DB1119" i="489"/>
  <c r="DB1120" i="489"/>
  <c r="DB1121" i="489"/>
  <c r="DB1113" i="489"/>
  <c r="DB1102" i="489"/>
  <c r="DB1103" i="489"/>
  <c r="DB1104" i="489"/>
  <c r="DB1105" i="489"/>
  <c r="DB1073" i="489"/>
  <c r="DB1074" i="489"/>
  <c r="DB1075" i="489"/>
  <c r="DB1076" i="489"/>
  <c r="DB1077" i="489"/>
  <c r="DB1086" i="489"/>
  <c r="DB1087" i="489"/>
  <c r="DB1091" i="489"/>
  <c r="DB1092" i="489"/>
  <c r="DB1093" i="489"/>
  <c r="DB1100" i="489"/>
  <c r="DB1097" i="489"/>
  <c r="DB1084" i="489"/>
  <c r="DB1090" i="489"/>
  <c r="DB1071" i="489"/>
  <c r="DB1085" i="489"/>
  <c r="DB1072" i="489"/>
  <c r="DB1070" i="489"/>
  <c r="DB1082" i="489"/>
  <c r="DB1069" i="489"/>
  <c r="DB1110" i="489"/>
  <c r="DB1081" i="489"/>
  <c r="DB1079" i="489"/>
  <c r="DB1083" i="489"/>
  <c r="DB1107" i="489"/>
  <c r="DB1117" i="489"/>
  <c r="DB1101" i="489"/>
  <c r="DB1080" i="489"/>
  <c r="DB1128" i="489"/>
  <c r="DB1098" i="489"/>
  <c r="DB1089" i="489"/>
  <c r="DB1125" i="489"/>
  <c r="DB1111" i="489"/>
  <c r="DB1099" i="489"/>
  <c r="DB1138" i="489"/>
  <c r="DB1112" i="489"/>
  <c r="DB1135" i="489"/>
  <c r="DB1108" i="489"/>
  <c r="DB1167" i="489"/>
  <c r="DB1154" i="489"/>
  <c r="DB1164" i="489"/>
  <c r="DB1168" i="489"/>
  <c r="DB1155" i="489"/>
  <c r="DB1174" i="489"/>
  <c r="DB1165" i="489"/>
  <c r="DB1136" i="489"/>
  <c r="DB1169" i="489"/>
  <c r="DB1175" i="489"/>
  <c r="DB1109" i="489"/>
  <c r="DB1166" i="489"/>
  <c r="DB1139" i="489"/>
  <c r="DB1118" i="489"/>
  <c r="DB1163" i="489"/>
  <c r="DB1127" i="489"/>
  <c r="DB1173" i="489"/>
  <c r="DB1126" i="489"/>
  <c r="DB1140" i="489"/>
  <c r="DB1137" i="489"/>
  <c r="DB1145" i="489"/>
  <c r="DB1153" i="489"/>
  <c r="DB1146" i="489"/>
  <c r="DN1005" i="489"/>
  <c r="DN1156" i="489"/>
  <c r="DN1157" i="489"/>
  <c r="DN1158" i="489"/>
  <c r="DN1159" i="489"/>
  <c r="DN1160" i="489"/>
  <c r="DN1161" i="489"/>
  <c r="DN1170" i="489"/>
  <c r="DN1171" i="489"/>
  <c r="DN1176" i="489"/>
  <c r="DN1177" i="489"/>
  <c r="DN1129" i="489"/>
  <c r="DN1130" i="489"/>
  <c r="DN1131" i="489"/>
  <c r="DN1132" i="489"/>
  <c r="DN1133" i="489"/>
  <c r="DN1149" i="489"/>
  <c r="DN1147" i="489"/>
  <c r="DN1148" i="489"/>
  <c r="DN1141" i="489"/>
  <c r="DN1142" i="489"/>
  <c r="DN1143" i="489"/>
  <c r="DN1102" i="489"/>
  <c r="DN1103" i="489"/>
  <c r="DN1104" i="489"/>
  <c r="DN1105" i="489"/>
  <c r="DN1113" i="489"/>
  <c r="DN1114" i="489"/>
  <c r="DN1115" i="489"/>
  <c r="DN1119" i="489"/>
  <c r="DN1120" i="489"/>
  <c r="DN1121" i="489"/>
  <c r="DN1073" i="489"/>
  <c r="DN1074" i="489"/>
  <c r="DN1075" i="489"/>
  <c r="DN1076" i="489"/>
  <c r="DN1077" i="489"/>
  <c r="DN1086" i="489"/>
  <c r="DN1087" i="489"/>
  <c r="DN1091" i="489"/>
  <c r="DN1092" i="489"/>
  <c r="DN1093" i="489"/>
  <c r="DN1044" i="489"/>
  <c r="DN1045" i="489"/>
  <c r="DN1046" i="489"/>
  <c r="DN1047" i="489"/>
  <c r="DN1048" i="489"/>
  <c r="DN1049" i="489"/>
  <c r="DN1058" i="489"/>
  <c r="DN1059" i="489"/>
  <c r="DN1063" i="489"/>
  <c r="DN1064" i="489"/>
  <c r="DN1065" i="489"/>
  <c r="DN1030" i="489"/>
  <c r="DN1016" i="489"/>
  <c r="DN1017" i="489"/>
  <c r="DN1018" i="489"/>
  <c r="DN1019" i="489"/>
  <c r="DN1020" i="489"/>
  <c r="DN1021" i="489"/>
  <c r="DN1031" i="489"/>
  <c r="DN1035" i="489"/>
  <c r="DN1036" i="489"/>
  <c r="DN1037" i="489"/>
  <c r="DN1029" i="489"/>
  <c r="DN1057" i="489"/>
  <c r="DN1097" i="489"/>
  <c r="DN1024" i="489"/>
  <c r="DN1025" i="489"/>
  <c r="DN1015" i="489"/>
  <c r="DN1043" i="489"/>
  <c r="DN1027" i="489"/>
  <c r="DN1028" i="489"/>
  <c r="DN1023" i="489"/>
  <c r="DN1070" i="489"/>
  <c r="DN1013" i="489"/>
  <c r="DN1041" i="489"/>
  <c r="DN1014" i="489"/>
  <c r="DN1042" i="489"/>
  <c r="DN1026" i="489"/>
  <c r="DN1081" i="489"/>
  <c r="DN1033" i="489"/>
  <c r="DN1034" i="489"/>
  <c r="DN1052" i="489"/>
  <c r="DN1100" i="489"/>
  <c r="DN1071" i="489"/>
  <c r="DN1085" i="489"/>
  <c r="DN1072" i="489"/>
  <c r="DN1062" i="489"/>
  <c r="DN1082" i="489"/>
  <c r="DN1069" i="489"/>
  <c r="DN1110" i="489"/>
  <c r="DN1084" i="489"/>
  <c r="DN1079" i="489"/>
  <c r="DN1083" i="489"/>
  <c r="DN1107" i="489"/>
  <c r="DN1090" i="489"/>
  <c r="DN1101" i="489"/>
  <c r="DN1051" i="489"/>
  <c r="DN1080" i="489"/>
  <c r="DN1128" i="489"/>
  <c r="DN1126" i="489"/>
  <c r="DN1053" i="489"/>
  <c r="DN1098" i="489"/>
  <c r="DN1089" i="489"/>
  <c r="DN1125" i="489"/>
  <c r="DN1111" i="489"/>
  <c r="DN1099" i="489"/>
  <c r="DN1138" i="489"/>
  <c r="DN1061" i="489"/>
  <c r="DN1054" i="489"/>
  <c r="DN1112" i="489"/>
  <c r="DN1055" i="489"/>
  <c r="DN1056" i="489"/>
  <c r="DN1164" i="489"/>
  <c r="DN1168" i="489"/>
  <c r="DN1155" i="489"/>
  <c r="DN1174" i="489"/>
  <c r="DN1165" i="489"/>
  <c r="DN1136" i="489"/>
  <c r="DN1169" i="489"/>
  <c r="DN1175" i="489"/>
  <c r="DN1109" i="489"/>
  <c r="DN1166" i="489"/>
  <c r="DN1139" i="489"/>
  <c r="DN1118" i="489"/>
  <c r="DN1163" i="489"/>
  <c r="DN1127" i="489"/>
  <c r="DN1173" i="489"/>
  <c r="DN1140" i="489"/>
  <c r="DN1137" i="489"/>
  <c r="DN1117" i="489"/>
  <c r="DN1145" i="489"/>
  <c r="DN1135" i="489"/>
  <c r="DN1153" i="489"/>
  <c r="DN1146" i="489"/>
  <c r="DN1167" i="489"/>
  <c r="DN1154" i="489"/>
  <c r="EA999" i="489"/>
  <c r="EA1156" i="489"/>
  <c r="EA1157" i="489"/>
  <c r="EA1158" i="489"/>
  <c r="EA1159" i="489"/>
  <c r="EA1160" i="489"/>
  <c r="EA1161" i="489"/>
  <c r="EA1170" i="489"/>
  <c r="EA1171" i="489"/>
  <c r="EA1176" i="489"/>
  <c r="EA1177" i="489"/>
  <c r="EA1130" i="489"/>
  <c r="EA1131" i="489"/>
  <c r="EA1132" i="489"/>
  <c r="EA1133" i="489"/>
  <c r="EA1141" i="489"/>
  <c r="EA1143" i="489"/>
  <c r="EA1147" i="489"/>
  <c r="EA1148" i="489"/>
  <c r="EA1149" i="489"/>
  <c r="EA1129" i="489"/>
  <c r="EA1102" i="489"/>
  <c r="EA1103" i="489"/>
  <c r="EA1104" i="489"/>
  <c r="EA1105" i="489"/>
  <c r="EA1114" i="489"/>
  <c r="EA1115" i="489"/>
  <c r="EA1119" i="489"/>
  <c r="EA1120" i="489"/>
  <c r="EA1121" i="489"/>
  <c r="EA1113" i="489"/>
  <c r="EA1073" i="489"/>
  <c r="EA1074" i="489"/>
  <c r="EA1075" i="489"/>
  <c r="EA1076" i="489"/>
  <c r="EA1077" i="489"/>
  <c r="EA1087" i="489"/>
  <c r="EA1091" i="489"/>
  <c r="EA1092" i="489"/>
  <c r="EA1093" i="489"/>
  <c r="EA1044" i="489"/>
  <c r="EA1045" i="489"/>
  <c r="EA1046" i="489"/>
  <c r="EA1047" i="489"/>
  <c r="EA1048" i="489"/>
  <c r="EA1049" i="489"/>
  <c r="EA1058" i="489"/>
  <c r="EA1059" i="489"/>
  <c r="EA1063" i="489"/>
  <c r="EA1064" i="489"/>
  <c r="EA1065" i="489"/>
  <c r="EA1016" i="489"/>
  <c r="EA1017" i="489"/>
  <c r="EA1018" i="489"/>
  <c r="EA1019" i="489"/>
  <c r="EA1020" i="489"/>
  <c r="EA1021" i="489"/>
  <c r="EA1031" i="489"/>
  <c r="EA1035" i="489"/>
  <c r="EA1036" i="489"/>
  <c r="EA1037" i="489"/>
  <c r="EA1015" i="489"/>
  <c r="EA1023" i="489"/>
  <c r="EA1054" i="489"/>
  <c r="EA1061" i="489"/>
  <c r="EA1024" i="489"/>
  <c r="EA1055" i="489"/>
  <c r="EA1028" i="489"/>
  <c r="EA1042" i="489"/>
  <c r="EA1026" i="489"/>
  <c r="EA1057" i="489"/>
  <c r="EA1027" i="489"/>
  <c r="EA1041" i="489"/>
  <c r="EA1014" i="489"/>
  <c r="EA1034" i="489"/>
  <c r="EA1053" i="489"/>
  <c r="EA1029" i="489"/>
  <c r="EA1043" i="489"/>
  <c r="EA1013" i="489"/>
  <c r="EA1033" i="489"/>
  <c r="EA1052" i="489"/>
  <c r="EA1025" i="489"/>
  <c r="EA1056" i="489"/>
  <c r="EA1070" i="489"/>
  <c r="EA1084" i="489"/>
  <c r="EA1081" i="489"/>
  <c r="EA1090" i="489"/>
  <c r="EA1100" i="489"/>
  <c r="EA1097" i="489"/>
  <c r="EA1110" i="489"/>
  <c r="EA1071" i="489"/>
  <c r="EA1107" i="489"/>
  <c r="EA1128" i="489"/>
  <c r="EA1125" i="489"/>
  <c r="EA1138" i="489"/>
  <c r="EA1135" i="489"/>
  <c r="EA1085" i="489"/>
  <c r="EA1082" i="489"/>
  <c r="EA1079" i="489"/>
  <c r="EA1101" i="489"/>
  <c r="EA1098" i="489"/>
  <c r="EA1111" i="489"/>
  <c r="EA1108" i="489"/>
  <c r="EA1117" i="489"/>
  <c r="EA1126" i="489"/>
  <c r="EA1139" i="489"/>
  <c r="EA1136" i="489"/>
  <c r="EA1062" i="489"/>
  <c r="EA1072" i="489"/>
  <c r="EA1069" i="489"/>
  <c r="EA1083" i="489"/>
  <c r="EA1080" i="489"/>
  <c r="EA1089" i="489"/>
  <c r="EA1099" i="489"/>
  <c r="EA1112" i="489"/>
  <c r="EA1109" i="489"/>
  <c r="EA1051" i="489"/>
  <c r="EA1145" i="489"/>
  <c r="EA1153" i="489"/>
  <c r="EA1167" i="489"/>
  <c r="EA1164" i="489"/>
  <c r="EA1174" i="489"/>
  <c r="EA1118" i="489"/>
  <c r="EA1127" i="489"/>
  <c r="EA1140" i="489"/>
  <c r="EA1137" i="489"/>
  <c r="EA1146" i="489"/>
  <c r="EA1155" i="489"/>
  <c r="EA1169" i="489"/>
  <c r="EA1166" i="489"/>
  <c r="EA1163" i="489"/>
  <c r="EA1173" i="489"/>
  <c r="EA1154" i="489"/>
  <c r="EA1168" i="489"/>
  <c r="EA1165" i="489"/>
  <c r="EA1175" i="489"/>
  <c r="EN991" i="489"/>
  <c r="EN1156" i="489"/>
  <c r="EN1157" i="489"/>
  <c r="EN1158" i="489"/>
  <c r="EN1159" i="489"/>
  <c r="EN1160" i="489"/>
  <c r="EN1161" i="489"/>
  <c r="EN1170" i="489"/>
  <c r="EN1171" i="489"/>
  <c r="EN1176" i="489"/>
  <c r="EN1177" i="489"/>
  <c r="EN1129" i="489"/>
  <c r="EN1141" i="489"/>
  <c r="EN1142" i="489"/>
  <c r="EN1143" i="489"/>
  <c r="EN1147" i="489"/>
  <c r="EN1148" i="489"/>
  <c r="EN1149" i="489"/>
  <c r="EN1130" i="489"/>
  <c r="EN1131" i="489"/>
  <c r="EN1132" i="489"/>
  <c r="EN1133" i="489"/>
  <c r="EN1102" i="489"/>
  <c r="EN1103" i="489"/>
  <c r="EN1104" i="489"/>
  <c r="EN1105" i="489"/>
  <c r="EN1113" i="489"/>
  <c r="EN1114" i="489"/>
  <c r="EN1115" i="489"/>
  <c r="EN1119" i="489"/>
  <c r="EN1120" i="489"/>
  <c r="EN1121" i="489"/>
  <c r="EN1073" i="489"/>
  <c r="EN1074" i="489"/>
  <c r="EN1075" i="489"/>
  <c r="EN1076" i="489"/>
  <c r="EN1077" i="489"/>
  <c r="EN1086" i="489"/>
  <c r="EN1087" i="489"/>
  <c r="EN1093" i="489"/>
  <c r="EN1092" i="489"/>
  <c r="EN1091" i="489"/>
  <c r="EN1044" i="489"/>
  <c r="EN1045" i="489"/>
  <c r="EN1046" i="489"/>
  <c r="EN1047" i="489"/>
  <c r="EN1048" i="489"/>
  <c r="EN1049" i="489"/>
  <c r="EN1058" i="489"/>
  <c r="EN1059" i="489"/>
  <c r="EN1063" i="489"/>
  <c r="EN1064" i="489"/>
  <c r="EN1065" i="489"/>
  <c r="EN1021" i="489"/>
  <c r="EN1016" i="489"/>
  <c r="EN1017" i="489"/>
  <c r="EN1018" i="489"/>
  <c r="EN1019" i="489"/>
  <c r="EN1020" i="489"/>
  <c r="EN1031" i="489"/>
  <c r="EN1035" i="489"/>
  <c r="EN1030" i="489"/>
  <c r="EN1036" i="489"/>
  <c r="EN1037" i="489"/>
  <c r="EN1015" i="489"/>
  <c r="EN1061" i="489"/>
  <c r="EN1070" i="489"/>
  <c r="EN1084" i="489"/>
  <c r="EN1081" i="489"/>
  <c r="EN1042" i="489"/>
  <c r="EN1090" i="489"/>
  <c r="EN1100" i="489"/>
  <c r="EN1097" i="489"/>
  <c r="EN1110" i="489"/>
  <c r="EN1041" i="489"/>
  <c r="EN1052" i="489"/>
  <c r="EN1034" i="489"/>
  <c r="EN1033" i="489"/>
  <c r="EN1025" i="489"/>
  <c r="EN1055" i="489"/>
  <c r="EN1057" i="489"/>
  <c r="EN1071" i="489"/>
  <c r="EN1024" i="489"/>
  <c r="EN1028" i="489"/>
  <c r="EN1043" i="489"/>
  <c r="EN1023" i="489"/>
  <c r="EN1027" i="489"/>
  <c r="EN1014" i="489"/>
  <c r="EN1053" i="489"/>
  <c r="EN1026" i="489"/>
  <c r="EN1013" i="489"/>
  <c r="EN1056" i="489"/>
  <c r="EN1029" i="489"/>
  <c r="EN1072" i="489"/>
  <c r="EN1069" i="489"/>
  <c r="EN1083" i="489"/>
  <c r="EN1080" i="489"/>
  <c r="EN1089" i="489"/>
  <c r="EN1099" i="489"/>
  <c r="EN1051" i="489"/>
  <c r="EN1112" i="489"/>
  <c r="EN1062" i="489"/>
  <c r="EN1085" i="489"/>
  <c r="EN1079" i="489"/>
  <c r="EN1098" i="489"/>
  <c r="EN1054" i="489"/>
  <c r="EN1107" i="489"/>
  <c r="EN1128" i="489"/>
  <c r="EN1125" i="489"/>
  <c r="EN1138" i="489"/>
  <c r="EN1135" i="489"/>
  <c r="EN1082" i="489"/>
  <c r="EN1101" i="489"/>
  <c r="EN1111" i="489"/>
  <c r="EN1109" i="489"/>
  <c r="EN1127" i="489"/>
  <c r="EN1146" i="489"/>
  <c r="EN1154" i="489"/>
  <c r="EN1168" i="489"/>
  <c r="EN1165" i="489"/>
  <c r="EN1137" i="489"/>
  <c r="EN1175" i="489"/>
  <c r="EN1108" i="489"/>
  <c r="EN1145" i="489"/>
  <c r="EN1153" i="489"/>
  <c r="EN1167" i="489"/>
  <c r="EN1164" i="489"/>
  <c r="EN1118" i="489"/>
  <c r="EN1155" i="489"/>
  <c r="EN1140" i="489"/>
  <c r="EN1169" i="489"/>
  <c r="EN1166" i="489"/>
  <c r="EN1163" i="489"/>
  <c r="EN1173" i="489"/>
  <c r="EN1117" i="489"/>
  <c r="EN1126" i="489"/>
  <c r="EN1139" i="489"/>
  <c r="EN1136" i="489"/>
  <c r="J1006" i="489"/>
  <c r="J1157" i="489"/>
  <c r="J1170" i="489"/>
  <c r="J1159" i="489"/>
  <c r="J1160" i="489"/>
  <c r="J1161" i="489"/>
  <c r="J1176" i="489"/>
  <c r="J1177" i="489"/>
  <c r="J1156" i="489"/>
  <c r="J1158" i="489"/>
  <c r="J1171" i="489"/>
  <c r="J1130" i="489"/>
  <c r="J1143" i="489"/>
  <c r="J1131" i="489"/>
  <c r="J1132" i="489"/>
  <c r="J1148" i="489"/>
  <c r="J1141" i="489"/>
  <c r="J1129" i="489"/>
  <c r="J1142" i="489"/>
  <c r="J1133" i="489"/>
  <c r="J1147" i="489"/>
  <c r="J1149" i="489"/>
  <c r="J1102" i="489"/>
  <c r="J1115" i="489"/>
  <c r="J1103" i="489"/>
  <c r="J1104" i="489"/>
  <c r="J1120" i="489"/>
  <c r="J1121" i="489"/>
  <c r="J1114" i="489"/>
  <c r="J1113" i="489"/>
  <c r="J1119" i="489"/>
  <c r="J1105" i="489"/>
  <c r="J1087" i="489"/>
  <c r="J1076" i="489"/>
  <c r="J1091" i="489"/>
  <c r="J1077" i="489"/>
  <c r="J1092" i="489"/>
  <c r="J1093" i="489"/>
  <c r="J1073" i="489"/>
  <c r="J1074" i="489"/>
  <c r="J1086" i="489"/>
  <c r="J1075" i="489"/>
  <c r="J1044" i="489"/>
  <c r="J1058" i="489"/>
  <c r="J1045" i="489"/>
  <c r="J1059" i="489"/>
  <c r="J1046" i="489"/>
  <c r="J1047" i="489"/>
  <c r="J1048" i="489"/>
  <c r="J1063" i="489"/>
  <c r="J1049" i="489"/>
  <c r="J1064" i="489"/>
  <c r="J1065" i="489"/>
  <c r="J1016" i="489"/>
  <c r="J1017" i="489"/>
  <c r="J1030" i="489"/>
  <c r="J1018" i="489"/>
  <c r="J1031" i="489"/>
  <c r="J1019" i="489"/>
  <c r="J1020" i="489"/>
  <c r="J1021" i="489"/>
  <c r="J1035" i="489"/>
  <c r="J1036" i="489"/>
  <c r="J1037" i="489"/>
  <c r="J1027" i="489"/>
  <c r="J1028" i="489"/>
  <c r="J1023" i="489"/>
  <c r="J1014" i="489"/>
  <c r="J1061" i="489"/>
  <c r="J1026" i="489"/>
  <c r="J1084" i="489"/>
  <c r="J1033" i="489"/>
  <c r="J1034" i="489"/>
  <c r="J1052" i="489"/>
  <c r="J1081" i="489"/>
  <c r="J1029" i="489"/>
  <c r="J1057" i="489"/>
  <c r="J1090" i="489"/>
  <c r="J1024" i="489"/>
  <c r="J1055" i="489"/>
  <c r="J1097" i="489"/>
  <c r="J1015" i="489"/>
  <c r="J1043" i="489"/>
  <c r="J1082" i="489"/>
  <c r="J1051" i="489"/>
  <c r="J1069" i="489"/>
  <c r="J1110" i="489"/>
  <c r="J1108" i="489"/>
  <c r="J1079" i="489"/>
  <c r="J1083" i="489"/>
  <c r="J1107" i="489"/>
  <c r="J1101" i="489"/>
  <c r="J1080" i="489"/>
  <c r="J1128" i="489"/>
  <c r="J1098" i="489"/>
  <c r="J1054" i="489"/>
  <c r="J1089" i="489"/>
  <c r="J1125" i="489"/>
  <c r="J1139" i="489"/>
  <c r="J1056" i="489"/>
  <c r="J1111" i="489"/>
  <c r="J1099" i="489"/>
  <c r="J1138" i="489"/>
  <c r="J1112" i="489"/>
  <c r="J1135" i="489"/>
  <c r="J1070" i="489"/>
  <c r="J1100" i="489"/>
  <c r="J1062" i="489"/>
  <c r="J1071" i="489"/>
  <c r="J1085" i="489"/>
  <c r="J1072" i="489"/>
  <c r="J1166" i="489"/>
  <c r="J1118" i="489"/>
  <c r="J1163" i="489"/>
  <c r="J1117" i="489"/>
  <c r="J1127" i="489"/>
  <c r="J1173" i="489"/>
  <c r="J1140" i="489"/>
  <c r="J1145" i="489"/>
  <c r="J1136" i="489"/>
  <c r="J1153" i="489"/>
  <c r="J1146" i="489"/>
  <c r="J1167" i="489"/>
  <c r="J1154" i="489"/>
  <c r="J1164" i="489"/>
  <c r="J1168" i="489"/>
  <c r="J1155" i="489"/>
  <c r="J1174" i="489"/>
  <c r="J1169" i="489"/>
  <c r="J1175" i="489"/>
  <c r="V1157" i="489"/>
  <c r="V1158" i="489"/>
  <c r="V1159" i="489"/>
  <c r="V1160" i="489"/>
  <c r="V1161" i="489"/>
  <c r="V1170" i="489"/>
  <c r="V1171" i="489"/>
  <c r="V1176" i="489"/>
  <c r="V1177" i="489"/>
  <c r="V1129" i="489"/>
  <c r="V1130" i="489"/>
  <c r="V1131" i="489"/>
  <c r="V1132" i="489"/>
  <c r="V1133" i="489"/>
  <c r="V1148" i="489"/>
  <c r="V1149" i="489"/>
  <c r="V1141" i="489"/>
  <c r="V1142" i="489"/>
  <c r="V1143" i="489"/>
  <c r="V1147" i="489"/>
  <c r="V1102" i="489"/>
  <c r="V1114" i="489"/>
  <c r="V1115" i="489"/>
  <c r="V1119" i="489"/>
  <c r="V1120" i="489"/>
  <c r="V1121" i="489"/>
  <c r="V1103" i="489"/>
  <c r="V1104" i="489"/>
  <c r="V1105" i="489"/>
  <c r="V1113" i="489"/>
  <c r="V1074" i="489"/>
  <c r="V1075" i="489"/>
  <c r="V1076" i="489"/>
  <c r="V1077" i="489"/>
  <c r="V1086" i="489"/>
  <c r="V1087" i="489"/>
  <c r="V1091" i="489"/>
  <c r="V1092" i="489"/>
  <c r="V1093" i="489"/>
  <c r="V1045" i="489"/>
  <c r="V1046" i="489"/>
  <c r="V1047" i="489"/>
  <c r="V1048" i="489"/>
  <c r="V1049" i="489"/>
  <c r="V1058" i="489"/>
  <c r="V1059" i="489"/>
  <c r="V1063" i="489"/>
  <c r="V1064" i="489"/>
  <c r="V1065" i="489"/>
  <c r="V1016" i="489"/>
  <c r="V1019" i="489"/>
  <c r="V1020" i="489"/>
  <c r="V1021" i="489"/>
  <c r="V1030" i="489"/>
  <c r="V1031" i="489"/>
  <c r="V1035" i="489"/>
  <c r="V1036" i="489"/>
  <c r="V1037" i="489"/>
  <c r="V1023" i="489"/>
  <c r="V1033" i="489"/>
  <c r="V1034" i="489"/>
  <c r="V1052" i="489"/>
  <c r="V1081" i="489"/>
  <c r="V1029" i="489"/>
  <c r="V1057" i="489"/>
  <c r="V1090" i="489"/>
  <c r="V1024" i="489"/>
  <c r="V1027" i="489"/>
  <c r="V1028" i="489"/>
  <c r="V1079" i="489"/>
  <c r="V1083" i="489"/>
  <c r="V1107" i="489"/>
  <c r="V1117" i="489"/>
  <c r="V1080" i="489"/>
  <c r="V1089" i="489"/>
  <c r="V1056" i="489"/>
  <c r="V1111" i="489"/>
  <c r="V1136" i="489"/>
  <c r="V1112" i="489"/>
  <c r="V1135" i="489"/>
  <c r="V1084" i="489"/>
  <c r="V1061" i="489"/>
  <c r="V1062" i="489"/>
  <c r="V1071" i="489"/>
  <c r="V1055" i="489"/>
  <c r="V1085" i="489"/>
  <c r="V1051" i="489"/>
  <c r="V1118" i="489"/>
  <c r="V1163" i="489"/>
  <c r="V1173" i="489"/>
  <c r="V1140" i="489"/>
  <c r="V1145" i="489"/>
  <c r="V1146" i="489"/>
  <c r="V1167" i="489"/>
  <c r="V1164" i="489"/>
  <c r="V1168" i="489"/>
  <c r="V1174" i="489"/>
  <c r="V1169" i="489"/>
  <c r="V1175" i="489"/>
  <c r="AI997" i="489"/>
  <c r="AI1156" i="489"/>
  <c r="AI1157" i="489"/>
  <c r="AI1158" i="489"/>
  <c r="AI1159" i="489"/>
  <c r="AI1160" i="489"/>
  <c r="AI1161" i="489"/>
  <c r="AI1170" i="489"/>
  <c r="AI1171" i="489"/>
  <c r="AI1176" i="489"/>
  <c r="AI1177" i="489"/>
  <c r="AI1129" i="489"/>
  <c r="AI1130" i="489"/>
  <c r="AI1131" i="489"/>
  <c r="AI1132" i="489"/>
  <c r="AI1133" i="489"/>
  <c r="AI1141" i="489"/>
  <c r="AI1142" i="489"/>
  <c r="AI1143" i="489"/>
  <c r="AI1147" i="489"/>
  <c r="AI1148" i="489"/>
  <c r="AI1149" i="489"/>
  <c r="AI1102" i="489"/>
  <c r="AI1103" i="489"/>
  <c r="AI1104" i="489"/>
  <c r="AI1105" i="489"/>
  <c r="AI1113" i="489"/>
  <c r="AI1115" i="489"/>
  <c r="AI1119" i="489"/>
  <c r="AI1120" i="489"/>
  <c r="AI1121" i="489"/>
  <c r="AI1114" i="489"/>
  <c r="AI1086" i="489"/>
  <c r="AI1087" i="489"/>
  <c r="AI1091" i="489"/>
  <c r="AI1092" i="489"/>
  <c r="AI1093" i="489"/>
  <c r="AI1073" i="489"/>
  <c r="AI1074" i="489"/>
  <c r="AI1075" i="489"/>
  <c r="AI1076" i="489"/>
  <c r="AI1077" i="489"/>
  <c r="AI1044" i="489"/>
  <c r="AI1045" i="489"/>
  <c r="AI1046" i="489"/>
  <c r="AI1047" i="489"/>
  <c r="AI1048" i="489"/>
  <c r="AI1049" i="489"/>
  <c r="AI1059" i="489"/>
  <c r="AI1063" i="489"/>
  <c r="AI1064" i="489"/>
  <c r="AI1065" i="489"/>
  <c r="AI1058" i="489"/>
  <c r="AI1016" i="489"/>
  <c r="AI1017" i="489"/>
  <c r="AI1018" i="489"/>
  <c r="AI1019" i="489"/>
  <c r="AI1020" i="489"/>
  <c r="AI1021" i="489"/>
  <c r="AI1035" i="489"/>
  <c r="AI1036" i="489"/>
  <c r="AI1037" i="489"/>
  <c r="AI1030" i="489"/>
  <c r="AI1031" i="489"/>
  <c r="AI1027" i="489"/>
  <c r="AI1041" i="489"/>
  <c r="AI1014" i="489"/>
  <c r="AI1034" i="489"/>
  <c r="AI1029" i="489"/>
  <c r="AI1043" i="489"/>
  <c r="AI1013" i="489"/>
  <c r="AI1033" i="489"/>
  <c r="AI1052" i="489"/>
  <c r="AI1025" i="489"/>
  <c r="AI1056" i="489"/>
  <c r="AI1015" i="489"/>
  <c r="AI1023" i="489"/>
  <c r="AI1054" i="489"/>
  <c r="AI1061" i="489"/>
  <c r="AI1070" i="489"/>
  <c r="AI1084" i="489"/>
  <c r="AI1081" i="489"/>
  <c r="AI1090" i="489"/>
  <c r="AI1100" i="489"/>
  <c r="AI1097" i="489"/>
  <c r="AI1110" i="489"/>
  <c r="AI1024" i="489"/>
  <c r="AI1055" i="489"/>
  <c r="AI1028" i="489"/>
  <c r="AI1042" i="489"/>
  <c r="AI1026" i="489"/>
  <c r="AI1057" i="489"/>
  <c r="AI1062" i="489"/>
  <c r="AI1085" i="489"/>
  <c r="AI1082" i="489"/>
  <c r="AI1079" i="489"/>
  <c r="AI1101" i="489"/>
  <c r="AI1098" i="489"/>
  <c r="AI1111" i="489"/>
  <c r="AI1108" i="489"/>
  <c r="AI1117" i="489"/>
  <c r="AI1072" i="489"/>
  <c r="AI1069" i="489"/>
  <c r="AI1083" i="489"/>
  <c r="AI1080" i="489"/>
  <c r="AI1089" i="489"/>
  <c r="AI1099" i="489"/>
  <c r="AI1112" i="489"/>
  <c r="AI1109" i="489"/>
  <c r="AI1071" i="489"/>
  <c r="AI1051" i="489"/>
  <c r="AI1053" i="489"/>
  <c r="AI1107" i="489"/>
  <c r="AI1128" i="489"/>
  <c r="AI1125" i="489"/>
  <c r="AI1138" i="489"/>
  <c r="AI1135" i="489"/>
  <c r="AI1126" i="489"/>
  <c r="AI1145" i="489"/>
  <c r="AI1153" i="489"/>
  <c r="AI1167" i="489"/>
  <c r="AI1164" i="489"/>
  <c r="AI1174" i="489"/>
  <c r="AI1136" i="489"/>
  <c r="AI1118" i="489"/>
  <c r="AI1127" i="489"/>
  <c r="AI1140" i="489"/>
  <c r="AI1137" i="489"/>
  <c r="AI1146" i="489"/>
  <c r="AI1155" i="489"/>
  <c r="AI1169" i="489"/>
  <c r="AI1166" i="489"/>
  <c r="AI1163" i="489"/>
  <c r="AI1173" i="489"/>
  <c r="AI1154" i="489"/>
  <c r="AI1168" i="489"/>
  <c r="AI1165" i="489"/>
  <c r="AI1175" i="489"/>
  <c r="AI1139" i="489"/>
  <c r="AU1156" i="489"/>
  <c r="AU1157" i="489"/>
  <c r="AU1158" i="489"/>
  <c r="AU1159" i="489"/>
  <c r="AU1160" i="489"/>
  <c r="AU1161" i="489"/>
  <c r="AU1170" i="489"/>
  <c r="AU1171" i="489"/>
  <c r="AU1176" i="489"/>
  <c r="AU1177" i="489"/>
  <c r="AU1129" i="489"/>
  <c r="AU1130" i="489"/>
  <c r="AU1131" i="489"/>
  <c r="AU1132" i="489"/>
  <c r="AU1133" i="489"/>
  <c r="AU1141" i="489"/>
  <c r="AU1142" i="489"/>
  <c r="AU1143" i="489"/>
  <c r="AU1147" i="489"/>
  <c r="AU1148" i="489"/>
  <c r="AU1149" i="489"/>
  <c r="AU1102" i="489"/>
  <c r="AU1103" i="489"/>
  <c r="AU1104" i="489"/>
  <c r="AU1105" i="489"/>
  <c r="AU1114" i="489"/>
  <c r="AU1115" i="489"/>
  <c r="AU1119" i="489"/>
  <c r="AU1120" i="489"/>
  <c r="AU1121" i="489"/>
  <c r="AU1113" i="489"/>
  <c r="AU1086" i="489"/>
  <c r="AU1087" i="489"/>
  <c r="AU1091" i="489"/>
  <c r="AU1092" i="489"/>
  <c r="AU1073" i="489"/>
  <c r="AU1074" i="489"/>
  <c r="AU1075" i="489"/>
  <c r="AU1076" i="489"/>
  <c r="AU1077" i="489"/>
  <c r="AU1093" i="489"/>
  <c r="AU1044" i="489"/>
  <c r="AU1045" i="489"/>
  <c r="AU1046" i="489"/>
  <c r="AU1047" i="489"/>
  <c r="AU1048" i="489"/>
  <c r="AU1049" i="489"/>
  <c r="AU1059" i="489"/>
  <c r="AU1063" i="489"/>
  <c r="AU1064" i="489"/>
  <c r="AU1065" i="489"/>
  <c r="AU1058" i="489"/>
  <c r="AU1016" i="489"/>
  <c r="AU1017" i="489"/>
  <c r="AU1018" i="489"/>
  <c r="AU1019" i="489"/>
  <c r="AU1020" i="489"/>
  <c r="AU1021" i="489"/>
  <c r="AU1035" i="489"/>
  <c r="AU1036" i="489"/>
  <c r="AU1037" i="489"/>
  <c r="AU1030" i="489"/>
  <c r="AU1031" i="489"/>
  <c r="AU1029" i="489"/>
  <c r="AU1043" i="489"/>
  <c r="AU1033" i="489"/>
  <c r="AU1056" i="489"/>
  <c r="AU1015" i="489"/>
  <c r="AU1023" i="489"/>
  <c r="AU1054" i="489"/>
  <c r="AU1061" i="489"/>
  <c r="AU1070" i="489"/>
  <c r="AU1084" i="489"/>
  <c r="AU1081" i="489"/>
  <c r="AU1090" i="489"/>
  <c r="AU1100" i="489"/>
  <c r="AU1097" i="489"/>
  <c r="AU1110" i="489"/>
  <c r="AU1055" i="489"/>
  <c r="AU1028" i="489"/>
  <c r="AU1026" i="489"/>
  <c r="AU1057" i="489"/>
  <c r="AU1027" i="489"/>
  <c r="AU1014" i="489"/>
  <c r="AU1034" i="489"/>
  <c r="AU1085" i="489"/>
  <c r="AU1082" i="489"/>
  <c r="AU1079" i="489"/>
  <c r="AU1101" i="489"/>
  <c r="AU1098" i="489"/>
  <c r="AU1111" i="489"/>
  <c r="AU1117" i="489"/>
  <c r="AU1126" i="489"/>
  <c r="AU1139" i="489"/>
  <c r="AU1072" i="489"/>
  <c r="AU1069" i="489"/>
  <c r="AU1083" i="489"/>
  <c r="AU1089" i="489"/>
  <c r="AU1099" i="489"/>
  <c r="AU1112" i="489"/>
  <c r="AU1071" i="489"/>
  <c r="AU1051" i="489"/>
  <c r="AU1107" i="489"/>
  <c r="AU1128" i="489"/>
  <c r="AU1125" i="489"/>
  <c r="AU1138" i="489"/>
  <c r="AU1135" i="489"/>
  <c r="AU1062" i="489"/>
  <c r="AU1145" i="489"/>
  <c r="AU1153" i="489"/>
  <c r="AU1167" i="489"/>
  <c r="AU1174" i="489"/>
  <c r="AU1118" i="489"/>
  <c r="AU1127" i="489"/>
  <c r="AU1140" i="489"/>
  <c r="AU1137" i="489"/>
  <c r="AU1146" i="489"/>
  <c r="AU1155" i="489"/>
  <c r="AU1169" i="489"/>
  <c r="AU1166" i="489"/>
  <c r="AU1163" i="489"/>
  <c r="AU1173" i="489"/>
  <c r="AU1154" i="489"/>
  <c r="AU1168" i="489"/>
  <c r="AU1175" i="489"/>
  <c r="BG998" i="489"/>
  <c r="BG1156" i="489"/>
  <c r="BG1157" i="489"/>
  <c r="BG1158" i="489"/>
  <c r="BG1160" i="489"/>
  <c r="BG1161" i="489"/>
  <c r="BG1159" i="489"/>
  <c r="BG1170" i="489"/>
  <c r="BG1171" i="489"/>
  <c r="BG1176" i="489"/>
  <c r="BG1177" i="489"/>
  <c r="BG1129" i="489"/>
  <c r="BG1130" i="489"/>
  <c r="BG1131" i="489"/>
  <c r="BG1132" i="489"/>
  <c r="BG1133" i="489"/>
  <c r="BG1141" i="489"/>
  <c r="BG1142" i="489"/>
  <c r="BG1143" i="489"/>
  <c r="BG1147" i="489"/>
  <c r="BG1148" i="489"/>
  <c r="BG1149" i="489"/>
  <c r="BG1102" i="489"/>
  <c r="BG1103" i="489"/>
  <c r="BG1104" i="489"/>
  <c r="BG1105" i="489"/>
  <c r="BG1113" i="489"/>
  <c r="BG1114" i="489"/>
  <c r="BG1115" i="489"/>
  <c r="BG1119" i="489"/>
  <c r="BG1120" i="489"/>
  <c r="BG1121" i="489"/>
  <c r="BG1073" i="489"/>
  <c r="BG1074" i="489"/>
  <c r="BG1075" i="489"/>
  <c r="BG1076" i="489"/>
  <c r="BG1077" i="489"/>
  <c r="BG1086" i="489"/>
  <c r="BG1087" i="489"/>
  <c r="BG1091" i="489"/>
  <c r="BG1092" i="489"/>
  <c r="BG1093" i="489"/>
  <c r="BG1044" i="489"/>
  <c r="BG1045" i="489"/>
  <c r="BG1046" i="489"/>
  <c r="BG1047" i="489"/>
  <c r="BG1048" i="489"/>
  <c r="BG1049" i="489"/>
  <c r="BG1059" i="489"/>
  <c r="BG1063" i="489"/>
  <c r="BG1064" i="489"/>
  <c r="BG1065" i="489"/>
  <c r="BG1058" i="489"/>
  <c r="BG1016" i="489"/>
  <c r="BG1017" i="489"/>
  <c r="BG1018" i="489"/>
  <c r="BG1019" i="489"/>
  <c r="BG1020" i="489"/>
  <c r="BG1021" i="489"/>
  <c r="BG1030" i="489"/>
  <c r="BG1035" i="489"/>
  <c r="BG1036" i="489"/>
  <c r="BG1037" i="489"/>
  <c r="BG1031" i="489"/>
  <c r="BG1029" i="489"/>
  <c r="BG1043" i="489"/>
  <c r="BG1013" i="489"/>
  <c r="BG1033" i="489"/>
  <c r="BG1052" i="489"/>
  <c r="BG1025" i="489"/>
  <c r="BG1056" i="489"/>
  <c r="BG1015" i="489"/>
  <c r="BG1023" i="489"/>
  <c r="BG1054" i="489"/>
  <c r="BG1061" i="489"/>
  <c r="BG1070" i="489"/>
  <c r="BG1084" i="489"/>
  <c r="BG1081" i="489"/>
  <c r="BG1090" i="489"/>
  <c r="BG1100" i="489"/>
  <c r="BG1097" i="489"/>
  <c r="BG1110" i="489"/>
  <c r="BG1071" i="489"/>
  <c r="BG1024" i="489"/>
  <c r="BG1055" i="489"/>
  <c r="BG1028" i="489"/>
  <c r="BG1042" i="489"/>
  <c r="BG1026" i="489"/>
  <c r="BG1057" i="489"/>
  <c r="BG1027" i="489"/>
  <c r="BG1041" i="489"/>
  <c r="BG1014" i="489"/>
  <c r="BG1034" i="489"/>
  <c r="BG1072" i="489"/>
  <c r="BG1069" i="489"/>
  <c r="BG1083" i="489"/>
  <c r="BG1080" i="489"/>
  <c r="BG1089" i="489"/>
  <c r="BG1099" i="489"/>
  <c r="BG1112" i="489"/>
  <c r="BG1109" i="489"/>
  <c r="BG1051" i="489"/>
  <c r="BG1053" i="489"/>
  <c r="BG1107" i="489"/>
  <c r="BG1128" i="489"/>
  <c r="BG1125" i="489"/>
  <c r="BG1138" i="489"/>
  <c r="BG1135" i="489"/>
  <c r="BG1062" i="489"/>
  <c r="BG1085" i="489"/>
  <c r="BG1082" i="489"/>
  <c r="BG1079" i="489"/>
  <c r="BG1101" i="489"/>
  <c r="BG1098" i="489"/>
  <c r="BG1111" i="489"/>
  <c r="BG1108" i="489"/>
  <c r="BG1117" i="489"/>
  <c r="BG1126" i="489"/>
  <c r="BG1139" i="489"/>
  <c r="BG1136" i="489"/>
  <c r="BG1145" i="489"/>
  <c r="BG1153" i="489"/>
  <c r="BG1167" i="489"/>
  <c r="BG1164" i="489"/>
  <c r="BG1174" i="489"/>
  <c r="BG1118" i="489"/>
  <c r="BG1127" i="489"/>
  <c r="BG1140" i="489"/>
  <c r="BG1137" i="489"/>
  <c r="BG1146" i="489"/>
  <c r="BG1155" i="489"/>
  <c r="BG1169" i="489"/>
  <c r="BG1166" i="489"/>
  <c r="BG1163" i="489"/>
  <c r="BG1173" i="489"/>
  <c r="BG1154" i="489"/>
  <c r="BG1168" i="489"/>
  <c r="BG1165" i="489"/>
  <c r="BG1175" i="489"/>
  <c r="BS996" i="489"/>
  <c r="BS1156" i="489"/>
  <c r="BS1157" i="489"/>
  <c r="BS1158" i="489"/>
  <c r="BS1160" i="489"/>
  <c r="BS1161" i="489"/>
  <c r="BS1159" i="489"/>
  <c r="BS1170" i="489"/>
  <c r="BS1171" i="489"/>
  <c r="BS1176" i="489"/>
  <c r="BS1177" i="489"/>
  <c r="BS1129" i="489"/>
  <c r="BS1130" i="489"/>
  <c r="BS1131" i="489"/>
  <c r="BS1132" i="489"/>
  <c r="BS1133" i="489"/>
  <c r="BS1141" i="489"/>
  <c r="BS1142" i="489"/>
  <c r="BS1143" i="489"/>
  <c r="BS1147" i="489"/>
  <c r="BS1148" i="489"/>
  <c r="BS1149" i="489"/>
  <c r="BS1102" i="489"/>
  <c r="BS1103" i="489"/>
  <c r="BS1104" i="489"/>
  <c r="BS1105" i="489"/>
  <c r="BS1113" i="489"/>
  <c r="BS1114" i="489"/>
  <c r="BS1115" i="489"/>
  <c r="BS1119" i="489"/>
  <c r="BS1120" i="489"/>
  <c r="BS1121" i="489"/>
  <c r="BS1086" i="489"/>
  <c r="BS1087" i="489"/>
  <c r="BS1091" i="489"/>
  <c r="BS1092" i="489"/>
  <c r="BS1073" i="489"/>
  <c r="BS1074" i="489"/>
  <c r="BS1075" i="489"/>
  <c r="BS1076" i="489"/>
  <c r="BS1077" i="489"/>
  <c r="BS1093" i="489"/>
  <c r="BS1045" i="489"/>
  <c r="BS1046" i="489"/>
  <c r="BS1047" i="489"/>
  <c r="BS1048" i="489"/>
  <c r="BS1049" i="489"/>
  <c r="BS1044" i="489"/>
  <c r="BS1063" i="489"/>
  <c r="BS1064" i="489"/>
  <c r="BS1065" i="489"/>
  <c r="BS1058" i="489"/>
  <c r="BS1059" i="489"/>
  <c r="BS1016" i="489"/>
  <c r="BS1017" i="489"/>
  <c r="BS1018" i="489"/>
  <c r="BS1019" i="489"/>
  <c r="BS1020" i="489"/>
  <c r="BS1021" i="489"/>
  <c r="BS1035" i="489"/>
  <c r="BS1036" i="489"/>
  <c r="BS1037" i="489"/>
  <c r="BS1030" i="489"/>
  <c r="BS1031" i="489"/>
  <c r="BS1029" i="489"/>
  <c r="BS1043" i="489"/>
  <c r="BS1033" i="489"/>
  <c r="BS1056" i="489"/>
  <c r="BS1015" i="489"/>
  <c r="BS1023" i="489"/>
  <c r="BS1054" i="489"/>
  <c r="BS1061" i="489"/>
  <c r="BS1070" i="489"/>
  <c r="BS1084" i="489"/>
  <c r="BS1081" i="489"/>
  <c r="BS1090" i="489"/>
  <c r="BS1024" i="489"/>
  <c r="BS1055" i="489"/>
  <c r="BS1028" i="489"/>
  <c r="BS1042" i="489"/>
  <c r="BS1062" i="489"/>
  <c r="BS1026" i="489"/>
  <c r="BS1057" i="489"/>
  <c r="BS1027" i="489"/>
  <c r="BS1034" i="489"/>
  <c r="BS1072" i="489"/>
  <c r="BS1069" i="489"/>
  <c r="BS1083" i="489"/>
  <c r="BS1089" i="489"/>
  <c r="BS1099" i="489"/>
  <c r="BS1112" i="489"/>
  <c r="BS1071" i="489"/>
  <c r="BS1051" i="489"/>
  <c r="BS1107" i="489"/>
  <c r="BS1128" i="489"/>
  <c r="BS1125" i="489"/>
  <c r="BS1135" i="489"/>
  <c r="BS1085" i="489"/>
  <c r="BS1082" i="489"/>
  <c r="BS1079" i="489"/>
  <c r="BS1101" i="489"/>
  <c r="BS1098" i="489"/>
  <c r="BS1111" i="489"/>
  <c r="BS1153" i="489"/>
  <c r="BS1167" i="489"/>
  <c r="BS1174" i="489"/>
  <c r="BS1127" i="489"/>
  <c r="BS1140" i="489"/>
  <c r="BS1146" i="489"/>
  <c r="BS1155" i="489"/>
  <c r="BS1169" i="489"/>
  <c r="BS1166" i="489"/>
  <c r="BS1163" i="489"/>
  <c r="BS1173" i="489"/>
  <c r="BS1154" i="489"/>
  <c r="BS1168" i="489"/>
  <c r="BS1136" i="489"/>
  <c r="BS1139" i="489"/>
  <c r="BS1108" i="489"/>
  <c r="BS1117" i="489"/>
  <c r="CE1008" i="489"/>
  <c r="CE1156" i="489"/>
  <c r="CE1157" i="489"/>
  <c r="CE1158" i="489"/>
  <c r="CE1160" i="489"/>
  <c r="CE1161" i="489"/>
  <c r="CE1159" i="489"/>
  <c r="CE1170" i="489"/>
  <c r="CE1171" i="489"/>
  <c r="CE1176" i="489"/>
  <c r="CE1177" i="489"/>
  <c r="CE1129" i="489"/>
  <c r="CE1130" i="489"/>
  <c r="CE1131" i="489"/>
  <c r="CE1132" i="489"/>
  <c r="CE1133" i="489"/>
  <c r="CE1141" i="489"/>
  <c r="CE1142" i="489"/>
  <c r="CE1143" i="489"/>
  <c r="CE1147" i="489"/>
  <c r="CE1148" i="489"/>
  <c r="CE1149" i="489"/>
  <c r="CE1102" i="489"/>
  <c r="CE1103" i="489"/>
  <c r="CE1104" i="489"/>
  <c r="CE1105" i="489"/>
  <c r="CE1114" i="489"/>
  <c r="CE1115" i="489"/>
  <c r="CE1119" i="489"/>
  <c r="CE1120" i="489"/>
  <c r="CE1121" i="489"/>
  <c r="CE1113" i="489"/>
  <c r="CE1086" i="489"/>
  <c r="CE1087" i="489"/>
  <c r="CE1091" i="489"/>
  <c r="CE1092" i="489"/>
  <c r="CE1073" i="489"/>
  <c r="CE1074" i="489"/>
  <c r="CE1075" i="489"/>
  <c r="CE1076" i="489"/>
  <c r="CE1077" i="489"/>
  <c r="CE1093" i="489"/>
  <c r="CE1045" i="489"/>
  <c r="CE1046" i="489"/>
  <c r="CE1047" i="489"/>
  <c r="CE1048" i="489"/>
  <c r="CE1049" i="489"/>
  <c r="CE1044" i="489"/>
  <c r="CE1063" i="489"/>
  <c r="CE1064" i="489"/>
  <c r="CE1065" i="489"/>
  <c r="CE1058" i="489"/>
  <c r="CE1059" i="489"/>
  <c r="CE1016" i="489"/>
  <c r="CE1017" i="489"/>
  <c r="CE1018" i="489"/>
  <c r="CE1019" i="489"/>
  <c r="CE1020" i="489"/>
  <c r="CE1021" i="489"/>
  <c r="CE1035" i="489"/>
  <c r="CE1036" i="489"/>
  <c r="CE1037" i="489"/>
  <c r="CE1031" i="489"/>
  <c r="CE1030" i="489"/>
  <c r="CE1013" i="489"/>
  <c r="CE1033" i="489"/>
  <c r="CE1052" i="489"/>
  <c r="CE1025" i="489"/>
  <c r="CE1056" i="489"/>
  <c r="CE1015" i="489"/>
  <c r="CE1023" i="489"/>
  <c r="CE1054" i="489"/>
  <c r="CE1061" i="489"/>
  <c r="CE1070" i="489"/>
  <c r="CE1084" i="489"/>
  <c r="CE1081" i="489"/>
  <c r="CE1090" i="489"/>
  <c r="CE1110" i="489"/>
  <c r="CE1024" i="489"/>
  <c r="CE1055" i="489"/>
  <c r="CE1028" i="489"/>
  <c r="CE1042" i="489"/>
  <c r="CE1026" i="489"/>
  <c r="CE1057" i="489"/>
  <c r="CE1027" i="489"/>
  <c r="CE1041" i="489"/>
  <c r="CE1014" i="489"/>
  <c r="CE1034" i="489"/>
  <c r="CE1029" i="489"/>
  <c r="CE1043" i="489"/>
  <c r="CE1071" i="489"/>
  <c r="CE1051" i="489"/>
  <c r="CE1053" i="489"/>
  <c r="CE1107" i="489"/>
  <c r="CE1128" i="489"/>
  <c r="CE1125" i="489"/>
  <c r="CE1138" i="489"/>
  <c r="CE1135" i="489"/>
  <c r="CE1062" i="489"/>
  <c r="CE1085" i="489"/>
  <c r="CE1082" i="489"/>
  <c r="CE1079" i="489"/>
  <c r="CE1101" i="489"/>
  <c r="CE1098" i="489"/>
  <c r="CE1111" i="489"/>
  <c r="CE1108" i="489"/>
  <c r="CE1117" i="489"/>
  <c r="CE1126" i="489"/>
  <c r="CE1139" i="489"/>
  <c r="CE1136" i="489"/>
  <c r="CE1072" i="489"/>
  <c r="CE1069" i="489"/>
  <c r="CE1083" i="489"/>
  <c r="CE1080" i="489"/>
  <c r="CE1089" i="489"/>
  <c r="CE1099" i="489"/>
  <c r="CE1112" i="489"/>
  <c r="CE1109" i="489"/>
  <c r="CE1145" i="489"/>
  <c r="CE1153" i="489"/>
  <c r="CE1167" i="489"/>
  <c r="CE1164" i="489"/>
  <c r="CE1174" i="489"/>
  <c r="CE1127" i="489"/>
  <c r="CE1140" i="489"/>
  <c r="CE1137" i="489"/>
  <c r="CE1146" i="489"/>
  <c r="CE1155" i="489"/>
  <c r="CE1169" i="489"/>
  <c r="CE1166" i="489"/>
  <c r="CE1163" i="489"/>
  <c r="CE1173" i="489"/>
  <c r="CE1154" i="489"/>
  <c r="CE1168" i="489"/>
  <c r="CE1165" i="489"/>
  <c r="CQ1156" i="489"/>
  <c r="CQ1157" i="489"/>
  <c r="CQ1158" i="489"/>
  <c r="CQ1159" i="489"/>
  <c r="CQ1160" i="489"/>
  <c r="CQ1161" i="489"/>
  <c r="CQ1170" i="489"/>
  <c r="CQ1171" i="489"/>
  <c r="CQ1176" i="489"/>
  <c r="CQ1177" i="489"/>
  <c r="CQ1129" i="489"/>
  <c r="CQ1130" i="489"/>
  <c r="CQ1131" i="489"/>
  <c r="CQ1132" i="489"/>
  <c r="CQ1133" i="489"/>
  <c r="CQ1141" i="489"/>
  <c r="CQ1142" i="489"/>
  <c r="CQ1143" i="489"/>
  <c r="CQ1147" i="489"/>
  <c r="CQ1148" i="489"/>
  <c r="CQ1149" i="489"/>
  <c r="CQ1102" i="489"/>
  <c r="CQ1103" i="489"/>
  <c r="CQ1104" i="489"/>
  <c r="CQ1105" i="489"/>
  <c r="CQ1113" i="489"/>
  <c r="CQ1114" i="489"/>
  <c r="CQ1115" i="489"/>
  <c r="CQ1119" i="489"/>
  <c r="CQ1120" i="489"/>
  <c r="CQ1121" i="489"/>
  <c r="CQ1086" i="489"/>
  <c r="CQ1087" i="489"/>
  <c r="CQ1091" i="489"/>
  <c r="CQ1092" i="489"/>
  <c r="CQ1073" i="489"/>
  <c r="CQ1074" i="489"/>
  <c r="CQ1075" i="489"/>
  <c r="CQ1076" i="489"/>
  <c r="CQ1077" i="489"/>
  <c r="CQ1093" i="489"/>
  <c r="CQ1045" i="489"/>
  <c r="CQ1046" i="489"/>
  <c r="CQ1047" i="489"/>
  <c r="CQ1048" i="489"/>
  <c r="CQ1049" i="489"/>
  <c r="CQ1044" i="489"/>
  <c r="CQ1063" i="489"/>
  <c r="CQ1064" i="489"/>
  <c r="CQ1065" i="489"/>
  <c r="CQ1058" i="489"/>
  <c r="CQ1059" i="489"/>
  <c r="CQ1016" i="489"/>
  <c r="CQ1017" i="489"/>
  <c r="CQ1018" i="489"/>
  <c r="CQ1019" i="489"/>
  <c r="CQ1020" i="489"/>
  <c r="CQ1021" i="489"/>
  <c r="CQ1035" i="489"/>
  <c r="CQ1036" i="489"/>
  <c r="CQ1030" i="489"/>
  <c r="CQ1037" i="489"/>
  <c r="CQ1031" i="489"/>
  <c r="CQ1015" i="489"/>
  <c r="CQ1023" i="489"/>
  <c r="CQ1054" i="489"/>
  <c r="CQ1061" i="489"/>
  <c r="CQ1070" i="489"/>
  <c r="CQ1084" i="489"/>
  <c r="CQ1090" i="489"/>
  <c r="CQ1100" i="489"/>
  <c r="CQ1097" i="489"/>
  <c r="CQ1024" i="489"/>
  <c r="CQ1028" i="489"/>
  <c r="CQ1042" i="489"/>
  <c r="CQ1026" i="489"/>
  <c r="CQ1057" i="489"/>
  <c r="CQ1014" i="489"/>
  <c r="CQ1034" i="489"/>
  <c r="CQ1029" i="489"/>
  <c r="CQ1043" i="489"/>
  <c r="CQ1013" i="489"/>
  <c r="CQ1033" i="489"/>
  <c r="CQ1052" i="489"/>
  <c r="CQ1025" i="489"/>
  <c r="CQ1056" i="489"/>
  <c r="CQ1071" i="489"/>
  <c r="CQ1053" i="489"/>
  <c r="CQ1128" i="489"/>
  <c r="CQ1125" i="489"/>
  <c r="CQ1135" i="489"/>
  <c r="CQ1062" i="489"/>
  <c r="CQ1085" i="489"/>
  <c r="CQ1082" i="489"/>
  <c r="CQ1101" i="489"/>
  <c r="CQ1098" i="489"/>
  <c r="CQ1072" i="489"/>
  <c r="CQ1080" i="489"/>
  <c r="CQ1089" i="489"/>
  <c r="CQ1099" i="489"/>
  <c r="CQ1109" i="489"/>
  <c r="CQ1126" i="489"/>
  <c r="CQ1118" i="489"/>
  <c r="CQ1127" i="489"/>
  <c r="CQ1137" i="489"/>
  <c r="CQ1146" i="489"/>
  <c r="CQ1155" i="489"/>
  <c r="CQ1169" i="489"/>
  <c r="CQ1166" i="489"/>
  <c r="CQ1163" i="489"/>
  <c r="CQ1173" i="489"/>
  <c r="CQ1154" i="489"/>
  <c r="CQ1168" i="489"/>
  <c r="CQ1165" i="489"/>
  <c r="CQ1175" i="489"/>
  <c r="CQ1136" i="489"/>
  <c r="CQ1108" i="489"/>
  <c r="CQ1117" i="489"/>
  <c r="CQ1145" i="489"/>
  <c r="CQ1153" i="489"/>
  <c r="CQ1164" i="489"/>
  <c r="CQ1174" i="489"/>
  <c r="DC990" i="489"/>
  <c r="DC1156" i="489"/>
  <c r="DC1157" i="489"/>
  <c r="DC1158" i="489"/>
  <c r="DC1160" i="489"/>
  <c r="DC1161" i="489"/>
  <c r="DC1159" i="489"/>
  <c r="DC1170" i="489"/>
  <c r="DC1171" i="489"/>
  <c r="DC1176" i="489"/>
  <c r="DC1177" i="489"/>
  <c r="DC1129" i="489"/>
  <c r="DC1130" i="489"/>
  <c r="DC1131" i="489"/>
  <c r="DC1132" i="489"/>
  <c r="DC1133" i="489"/>
  <c r="DC1141" i="489"/>
  <c r="DC1142" i="489"/>
  <c r="DC1143" i="489"/>
  <c r="DC1147" i="489"/>
  <c r="DC1148" i="489"/>
  <c r="DC1149" i="489"/>
  <c r="DC1102" i="489"/>
  <c r="DC1103" i="489"/>
  <c r="DC1104" i="489"/>
  <c r="DC1105" i="489"/>
  <c r="DC1114" i="489"/>
  <c r="DC1115" i="489"/>
  <c r="DC1119" i="489"/>
  <c r="DC1120" i="489"/>
  <c r="DC1121" i="489"/>
  <c r="DC1113" i="489"/>
  <c r="DC1086" i="489"/>
  <c r="DC1087" i="489"/>
  <c r="DC1091" i="489"/>
  <c r="DC1092" i="489"/>
  <c r="DC1073" i="489"/>
  <c r="DC1074" i="489"/>
  <c r="DC1075" i="489"/>
  <c r="DC1076" i="489"/>
  <c r="DC1077" i="489"/>
  <c r="DC1093" i="489"/>
  <c r="DC1070" i="489"/>
  <c r="DC1084" i="489"/>
  <c r="DC1090" i="489"/>
  <c r="DC1071" i="489"/>
  <c r="DC1128" i="489"/>
  <c r="DC1085" i="489"/>
  <c r="DC1082" i="489"/>
  <c r="DC1101" i="489"/>
  <c r="DC1117" i="489"/>
  <c r="DC1072" i="489"/>
  <c r="DC1083" i="489"/>
  <c r="DC1089" i="489"/>
  <c r="DC1112" i="489"/>
  <c r="DC1140" i="489"/>
  <c r="DC1146" i="489"/>
  <c r="DC1169" i="489"/>
  <c r="DC1173" i="489"/>
  <c r="DC1168" i="489"/>
  <c r="DC1167" i="489"/>
  <c r="DC1174" i="489"/>
  <c r="DO1006" i="489"/>
  <c r="DO1156" i="489"/>
  <c r="DO1157" i="489"/>
  <c r="DO1158" i="489"/>
  <c r="DO1160" i="489"/>
  <c r="DO1161" i="489"/>
  <c r="DO1159" i="489"/>
  <c r="DO1170" i="489"/>
  <c r="DO1171" i="489"/>
  <c r="DO1176" i="489"/>
  <c r="DO1177" i="489"/>
  <c r="DO1129" i="489"/>
  <c r="DO1130" i="489"/>
  <c r="DO1131" i="489"/>
  <c r="DO1132" i="489"/>
  <c r="DO1133" i="489"/>
  <c r="DO1141" i="489"/>
  <c r="DO1142" i="489"/>
  <c r="DO1143" i="489"/>
  <c r="DO1147" i="489"/>
  <c r="DO1148" i="489"/>
  <c r="DO1149" i="489"/>
  <c r="DO1102" i="489"/>
  <c r="DO1103" i="489"/>
  <c r="DO1104" i="489"/>
  <c r="DO1105" i="489"/>
  <c r="DO1113" i="489"/>
  <c r="DO1114" i="489"/>
  <c r="DO1115" i="489"/>
  <c r="DO1119" i="489"/>
  <c r="DO1120" i="489"/>
  <c r="DO1121" i="489"/>
  <c r="DO1086" i="489"/>
  <c r="DO1087" i="489"/>
  <c r="DO1091" i="489"/>
  <c r="DO1092" i="489"/>
  <c r="DO1073" i="489"/>
  <c r="DO1074" i="489"/>
  <c r="DO1075" i="489"/>
  <c r="DO1076" i="489"/>
  <c r="DO1077" i="489"/>
  <c r="DO1093" i="489"/>
  <c r="DO1044" i="489"/>
  <c r="DO1045" i="489"/>
  <c r="DO1046" i="489"/>
  <c r="DO1047" i="489"/>
  <c r="DO1048" i="489"/>
  <c r="DO1049" i="489"/>
  <c r="DO1058" i="489"/>
  <c r="DO1059" i="489"/>
  <c r="DO1063" i="489"/>
  <c r="DO1064" i="489"/>
  <c r="DO1065" i="489"/>
  <c r="DO1021" i="489"/>
  <c r="DO1016" i="489"/>
  <c r="DO1017" i="489"/>
  <c r="DO1018" i="489"/>
  <c r="DO1019" i="489"/>
  <c r="DO1020" i="489"/>
  <c r="DO1031" i="489"/>
  <c r="DO1035" i="489"/>
  <c r="DO1036" i="489"/>
  <c r="DO1037" i="489"/>
  <c r="DO1030" i="489"/>
  <c r="DO1070" i="489"/>
  <c r="DO1084" i="489"/>
  <c r="DO1081" i="489"/>
  <c r="DO1090" i="489"/>
  <c r="DO1100" i="489"/>
  <c r="DO1097" i="489"/>
  <c r="DO1110" i="489"/>
  <c r="DO1015" i="489"/>
  <c r="DO1023" i="489"/>
  <c r="DO1054" i="489"/>
  <c r="DO1061" i="489"/>
  <c r="DO1024" i="489"/>
  <c r="DO1055" i="489"/>
  <c r="DO1028" i="489"/>
  <c r="DO1042" i="489"/>
  <c r="DO1026" i="489"/>
  <c r="DO1057" i="489"/>
  <c r="DO1027" i="489"/>
  <c r="DO1041" i="489"/>
  <c r="DO1014" i="489"/>
  <c r="DO1034" i="489"/>
  <c r="DO1029" i="489"/>
  <c r="DO1043" i="489"/>
  <c r="DO1013" i="489"/>
  <c r="DO1033" i="489"/>
  <c r="DO1052" i="489"/>
  <c r="DO1025" i="489"/>
  <c r="DO1056" i="489"/>
  <c r="DO1051" i="489"/>
  <c r="DO1107" i="489"/>
  <c r="DO1128" i="489"/>
  <c r="DO1125" i="489"/>
  <c r="DO1138" i="489"/>
  <c r="DO1135" i="489"/>
  <c r="DO1053" i="489"/>
  <c r="DO1085" i="489"/>
  <c r="DO1082" i="489"/>
  <c r="DO1079" i="489"/>
  <c r="DO1101" i="489"/>
  <c r="DO1098" i="489"/>
  <c r="DO1111" i="489"/>
  <c r="DO1108" i="489"/>
  <c r="DO1117" i="489"/>
  <c r="DO1126" i="489"/>
  <c r="DO1139" i="489"/>
  <c r="DO1062" i="489"/>
  <c r="DO1072" i="489"/>
  <c r="DO1069" i="489"/>
  <c r="DO1083" i="489"/>
  <c r="DO1080" i="489"/>
  <c r="DO1089" i="489"/>
  <c r="DO1099" i="489"/>
  <c r="DO1112" i="489"/>
  <c r="DO1109" i="489"/>
  <c r="DO1071" i="489"/>
  <c r="DO1118" i="489"/>
  <c r="DO1127" i="489"/>
  <c r="DO1140" i="489"/>
  <c r="DO1137" i="489"/>
  <c r="DO1146" i="489"/>
  <c r="DO1155" i="489"/>
  <c r="DO1169" i="489"/>
  <c r="DO1166" i="489"/>
  <c r="DO1163" i="489"/>
  <c r="DO1173" i="489"/>
  <c r="DO1154" i="489"/>
  <c r="DO1168" i="489"/>
  <c r="DO1165" i="489"/>
  <c r="DO1175" i="489"/>
  <c r="DO1136" i="489"/>
  <c r="DO1145" i="489"/>
  <c r="DO1153" i="489"/>
  <c r="DO1167" i="489"/>
  <c r="DO1164" i="489"/>
  <c r="DO1174" i="489"/>
  <c r="EC998" i="489"/>
  <c r="EC1156" i="489"/>
  <c r="EC1157" i="489"/>
  <c r="EC1158" i="489"/>
  <c r="EC1159" i="489"/>
  <c r="EC1160" i="489"/>
  <c r="EC1161" i="489"/>
  <c r="EC1170" i="489"/>
  <c r="EC1171" i="489"/>
  <c r="EC1176" i="489"/>
  <c r="EC1177" i="489"/>
  <c r="EC1129" i="489"/>
  <c r="EC1130" i="489"/>
  <c r="EC1131" i="489"/>
  <c r="EC1132" i="489"/>
  <c r="EC1133" i="489"/>
  <c r="EC1141" i="489"/>
  <c r="EC1142" i="489"/>
  <c r="EC1143" i="489"/>
  <c r="EC1147" i="489"/>
  <c r="EC1148" i="489"/>
  <c r="EC1149" i="489"/>
  <c r="EC1102" i="489"/>
  <c r="EC1103" i="489"/>
  <c r="EC1104" i="489"/>
  <c r="EC1105" i="489"/>
  <c r="EC1113" i="489"/>
  <c r="EC1114" i="489"/>
  <c r="EC1115" i="489"/>
  <c r="EC1119" i="489"/>
  <c r="EC1120" i="489"/>
  <c r="EC1121" i="489"/>
  <c r="EC1073" i="489"/>
  <c r="EC1074" i="489"/>
  <c r="EC1075" i="489"/>
  <c r="EC1076" i="489"/>
  <c r="EC1077" i="489"/>
  <c r="EC1093" i="489"/>
  <c r="EC1091" i="489"/>
  <c r="EC1092" i="489"/>
  <c r="EC1086" i="489"/>
  <c r="EC1087" i="489"/>
  <c r="EC1049" i="489"/>
  <c r="EC1044" i="489"/>
  <c r="EC1045" i="489"/>
  <c r="EC1046" i="489"/>
  <c r="EC1047" i="489"/>
  <c r="EC1048" i="489"/>
  <c r="EC1058" i="489"/>
  <c r="EC1059" i="489"/>
  <c r="EC1063" i="489"/>
  <c r="EC1064" i="489"/>
  <c r="EC1065" i="489"/>
  <c r="EC1020" i="489"/>
  <c r="EC1021" i="489"/>
  <c r="EC1030" i="489"/>
  <c r="EC1016" i="489"/>
  <c r="EC1017" i="489"/>
  <c r="EC1018" i="489"/>
  <c r="EC1019" i="489"/>
  <c r="EC1031" i="489"/>
  <c r="EC1035" i="489"/>
  <c r="EC1036" i="489"/>
  <c r="EC1037" i="489"/>
  <c r="EC1062" i="489"/>
  <c r="EC1053" i="489"/>
  <c r="EC1054" i="489"/>
  <c r="EC1056" i="489"/>
  <c r="EC1057" i="489"/>
  <c r="EC1042" i="489"/>
  <c r="EC1043" i="489"/>
  <c r="EC1041" i="489"/>
  <c r="EC1034" i="489"/>
  <c r="EC1023" i="489"/>
  <c r="EC1025" i="489"/>
  <c r="EC1026" i="489"/>
  <c r="EC1024" i="489"/>
  <c r="EC1028" i="489"/>
  <c r="EC1029" i="489"/>
  <c r="EC1027" i="489"/>
  <c r="EC1014" i="489"/>
  <c r="EC1015" i="489"/>
  <c r="EC1013" i="489"/>
  <c r="EC1055" i="489"/>
  <c r="EC1079" i="489"/>
  <c r="EC1098" i="489"/>
  <c r="EC1071" i="489"/>
  <c r="EC1085" i="489"/>
  <c r="EC1118" i="489"/>
  <c r="EC1117" i="489"/>
  <c r="EC1126" i="489"/>
  <c r="EC1139" i="489"/>
  <c r="EC1136" i="489"/>
  <c r="EC1145" i="489"/>
  <c r="EC1082" i="489"/>
  <c r="EC1101" i="489"/>
  <c r="EC1111" i="489"/>
  <c r="EC1108" i="489"/>
  <c r="EC1070" i="489"/>
  <c r="EC1084" i="489"/>
  <c r="EC1081" i="489"/>
  <c r="EC1090" i="489"/>
  <c r="EC1100" i="489"/>
  <c r="EC1097" i="489"/>
  <c r="EC1072" i="489"/>
  <c r="EC1069" i="489"/>
  <c r="EC1083" i="489"/>
  <c r="EC1080" i="489"/>
  <c r="EC1099" i="489"/>
  <c r="EC1112" i="489"/>
  <c r="EC1109" i="489"/>
  <c r="EC1061" i="489"/>
  <c r="EC1051" i="489"/>
  <c r="EC1052" i="489"/>
  <c r="EC1153" i="489"/>
  <c r="EC1167" i="489"/>
  <c r="EC1164" i="489"/>
  <c r="EC1174" i="489"/>
  <c r="EC1127" i="489"/>
  <c r="EC1137" i="489"/>
  <c r="EC1155" i="489"/>
  <c r="EC1169" i="489"/>
  <c r="EC1166" i="489"/>
  <c r="EC1163" i="489"/>
  <c r="EC1173" i="489"/>
  <c r="EC1154" i="489"/>
  <c r="EC1168" i="489"/>
  <c r="EC1165" i="489"/>
  <c r="EC1175" i="489"/>
  <c r="EC1140" i="489"/>
  <c r="EC1146" i="489"/>
  <c r="EC1110" i="489"/>
  <c r="EC1107" i="489"/>
  <c r="EC1128" i="489"/>
  <c r="EC1125" i="489"/>
  <c r="EC1138" i="489"/>
  <c r="EC1135" i="489"/>
  <c r="EO1003" i="489"/>
  <c r="EO1156" i="489"/>
  <c r="EO1157" i="489"/>
  <c r="EO1158" i="489"/>
  <c r="EO1161" i="489"/>
  <c r="EO1159" i="489"/>
  <c r="EO1160" i="489"/>
  <c r="EO1170" i="489"/>
  <c r="EO1171" i="489"/>
  <c r="EO1176" i="489"/>
  <c r="EO1177" i="489"/>
  <c r="EO1130" i="489"/>
  <c r="EO1131" i="489"/>
  <c r="EO1132" i="489"/>
  <c r="EO1133" i="489"/>
  <c r="EO1129" i="489"/>
  <c r="EO1141" i="489"/>
  <c r="EO1142" i="489"/>
  <c r="EO1143" i="489"/>
  <c r="EO1147" i="489"/>
  <c r="EO1148" i="489"/>
  <c r="EO1149" i="489"/>
  <c r="EO1102" i="489"/>
  <c r="EO1103" i="489"/>
  <c r="EO1104" i="489"/>
  <c r="EO1105" i="489"/>
  <c r="EO1113" i="489"/>
  <c r="EO1114" i="489"/>
  <c r="EO1115" i="489"/>
  <c r="EO1119" i="489"/>
  <c r="EO1120" i="489"/>
  <c r="EO1121" i="489"/>
  <c r="EO1073" i="489"/>
  <c r="EO1074" i="489"/>
  <c r="EO1075" i="489"/>
  <c r="EO1076" i="489"/>
  <c r="EO1077" i="489"/>
  <c r="EO1093" i="489"/>
  <c r="EO1086" i="489"/>
  <c r="EO1087" i="489"/>
  <c r="EO1091" i="489"/>
  <c r="EO1092" i="489"/>
  <c r="EO1049" i="489"/>
  <c r="EO1044" i="489"/>
  <c r="EO1045" i="489"/>
  <c r="EO1046" i="489"/>
  <c r="EO1047" i="489"/>
  <c r="EO1048" i="489"/>
  <c r="EO1058" i="489"/>
  <c r="EO1059" i="489"/>
  <c r="EO1063" i="489"/>
  <c r="EO1064" i="489"/>
  <c r="EO1065" i="489"/>
  <c r="EO1020" i="489"/>
  <c r="EO1021" i="489"/>
  <c r="EO1030" i="489"/>
  <c r="EO1016" i="489"/>
  <c r="EO1017" i="489"/>
  <c r="EO1018" i="489"/>
  <c r="EO1019" i="489"/>
  <c r="EO1031" i="489"/>
  <c r="EO1035" i="489"/>
  <c r="EO1036" i="489"/>
  <c r="EO1037" i="489"/>
  <c r="EO1062" i="489"/>
  <c r="EO1071" i="489"/>
  <c r="EO1085" i="489"/>
  <c r="EO1082" i="489"/>
  <c r="EO1079" i="489"/>
  <c r="EO1101" i="489"/>
  <c r="EO1098" i="489"/>
  <c r="EO1111" i="489"/>
  <c r="EO1108" i="489"/>
  <c r="EO1053" i="489"/>
  <c r="EO1054" i="489"/>
  <c r="EO1056" i="489"/>
  <c r="EO1057" i="489"/>
  <c r="EO1042" i="489"/>
  <c r="EO1043" i="489"/>
  <c r="EO1041" i="489"/>
  <c r="EO1034" i="489"/>
  <c r="EO1023" i="489"/>
  <c r="EO1033" i="489"/>
  <c r="EO1025" i="489"/>
  <c r="EO1026" i="489"/>
  <c r="EO1024" i="489"/>
  <c r="EO1028" i="489"/>
  <c r="EO1029" i="489"/>
  <c r="EO1027" i="489"/>
  <c r="EO1014" i="489"/>
  <c r="EO1015" i="489"/>
  <c r="EO1013" i="489"/>
  <c r="EO1117" i="489"/>
  <c r="EO1126" i="489"/>
  <c r="EO1139" i="489"/>
  <c r="EO1136" i="489"/>
  <c r="EO1145" i="489"/>
  <c r="EO1070" i="489"/>
  <c r="EO1084" i="489"/>
  <c r="EO1081" i="489"/>
  <c r="EO1090" i="489"/>
  <c r="EO1100" i="489"/>
  <c r="EO1097" i="489"/>
  <c r="EO1072" i="489"/>
  <c r="EO1069" i="489"/>
  <c r="EO1083" i="489"/>
  <c r="EO1080" i="489"/>
  <c r="EO1089" i="489"/>
  <c r="EO1099" i="489"/>
  <c r="EO1112" i="489"/>
  <c r="EO1109" i="489"/>
  <c r="EO1061" i="489"/>
  <c r="EO1051" i="489"/>
  <c r="EO1052" i="489"/>
  <c r="EO1055" i="489"/>
  <c r="EO1127" i="489"/>
  <c r="EO1137" i="489"/>
  <c r="EO1155" i="489"/>
  <c r="EO1169" i="489"/>
  <c r="EO1166" i="489"/>
  <c r="EO1163" i="489"/>
  <c r="EO1173" i="489"/>
  <c r="EO1154" i="489"/>
  <c r="EO1168" i="489"/>
  <c r="EO1165" i="489"/>
  <c r="EO1175" i="489"/>
  <c r="EO1140" i="489"/>
  <c r="EO1146" i="489"/>
  <c r="EO1110" i="489"/>
  <c r="EO1107" i="489"/>
  <c r="EO1128" i="489"/>
  <c r="EO1125" i="489"/>
  <c r="EO1138" i="489"/>
  <c r="EO1135" i="489"/>
  <c r="EO1118" i="489"/>
  <c r="EO1153" i="489"/>
  <c r="EO1167" i="489"/>
  <c r="EO1164" i="489"/>
  <c r="EO1174" i="489"/>
  <c r="K985" i="489"/>
  <c r="K1156" i="489"/>
  <c r="K1157" i="489"/>
  <c r="K1158" i="489"/>
  <c r="K1159" i="489"/>
  <c r="K1160" i="489"/>
  <c r="K1161" i="489"/>
  <c r="K1170" i="489"/>
  <c r="K1171" i="489"/>
  <c r="K1176" i="489"/>
  <c r="K1177" i="489"/>
  <c r="K1129" i="489"/>
  <c r="K1130" i="489"/>
  <c r="K1131" i="489"/>
  <c r="K1132" i="489"/>
  <c r="K1133" i="489"/>
  <c r="K1141" i="489"/>
  <c r="K1142" i="489"/>
  <c r="K1143" i="489"/>
  <c r="K1147" i="489"/>
  <c r="K1148" i="489"/>
  <c r="K1149" i="489"/>
  <c r="K1102" i="489"/>
  <c r="K1103" i="489"/>
  <c r="K1104" i="489"/>
  <c r="K1105" i="489"/>
  <c r="K1113" i="489"/>
  <c r="K1115" i="489"/>
  <c r="K1119" i="489"/>
  <c r="K1120" i="489"/>
  <c r="K1121" i="489"/>
  <c r="K1114" i="489"/>
  <c r="K1086" i="489"/>
  <c r="K1087" i="489"/>
  <c r="K1091" i="489"/>
  <c r="K1092" i="489"/>
  <c r="K1093" i="489"/>
  <c r="K1073" i="489"/>
  <c r="K1074" i="489"/>
  <c r="K1075" i="489"/>
  <c r="K1076" i="489"/>
  <c r="K1077" i="489"/>
  <c r="K1044" i="489"/>
  <c r="K1045" i="489"/>
  <c r="K1046" i="489"/>
  <c r="K1047" i="489"/>
  <c r="K1048" i="489"/>
  <c r="K1049" i="489"/>
  <c r="K1058" i="489"/>
  <c r="K1059" i="489"/>
  <c r="K1063" i="489"/>
  <c r="K1064" i="489"/>
  <c r="K1065" i="489"/>
  <c r="K1030" i="489"/>
  <c r="K1016" i="489"/>
  <c r="K1017" i="489"/>
  <c r="K1018" i="489"/>
  <c r="K1019" i="489"/>
  <c r="K1020" i="489"/>
  <c r="K1021" i="489"/>
  <c r="K1031" i="489"/>
  <c r="K1035" i="489"/>
  <c r="K1036" i="489"/>
  <c r="K1037" i="489"/>
  <c r="K1026" i="489"/>
  <c r="K1057" i="489"/>
  <c r="K1027" i="489"/>
  <c r="K1041" i="489"/>
  <c r="K1014" i="489"/>
  <c r="K1034" i="489"/>
  <c r="K1029" i="489"/>
  <c r="K1043" i="489"/>
  <c r="K1013" i="489"/>
  <c r="K1033" i="489"/>
  <c r="K1052" i="489"/>
  <c r="K1025" i="489"/>
  <c r="K1056" i="489"/>
  <c r="K1015" i="489"/>
  <c r="K1023" i="489"/>
  <c r="K1054" i="489"/>
  <c r="K1061" i="489"/>
  <c r="K1070" i="489"/>
  <c r="K1084" i="489"/>
  <c r="K1081" i="489"/>
  <c r="K1090" i="489"/>
  <c r="K1100" i="489"/>
  <c r="K1097" i="489"/>
  <c r="K1110" i="489"/>
  <c r="K1024" i="489"/>
  <c r="K1055" i="489"/>
  <c r="K1028" i="489"/>
  <c r="K1042" i="489"/>
  <c r="K1107" i="489"/>
  <c r="K1128" i="489"/>
  <c r="K1125" i="489"/>
  <c r="K1138" i="489"/>
  <c r="K1135" i="489"/>
  <c r="K1062" i="489"/>
  <c r="K1085" i="489"/>
  <c r="K1082" i="489"/>
  <c r="K1079" i="489"/>
  <c r="K1101" i="489"/>
  <c r="K1098" i="489"/>
  <c r="K1111" i="489"/>
  <c r="K1108" i="489"/>
  <c r="K1117" i="489"/>
  <c r="K1126" i="489"/>
  <c r="K1139" i="489"/>
  <c r="K1136" i="489"/>
  <c r="K1072" i="489"/>
  <c r="K1069" i="489"/>
  <c r="K1083" i="489"/>
  <c r="K1080" i="489"/>
  <c r="K1089" i="489"/>
  <c r="K1099" i="489"/>
  <c r="K1112" i="489"/>
  <c r="K1071" i="489"/>
  <c r="K1051" i="489"/>
  <c r="K1053" i="489"/>
  <c r="K1145" i="489"/>
  <c r="K1153" i="489"/>
  <c r="K1167" i="489"/>
  <c r="K1164" i="489"/>
  <c r="K1174" i="489"/>
  <c r="K1118" i="489"/>
  <c r="K1127" i="489"/>
  <c r="K1140" i="489"/>
  <c r="K1137" i="489"/>
  <c r="K1146" i="489"/>
  <c r="K1155" i="489"/>
  <c r="K1169" i="489"/>
  <c r="K1166" i="489"/>
  <c r="K1163" i="489"/>
  <c r="K1173" i="489"/>
  <c r="K1154" i="489"/>
  <c r="K1168" i="489"/>
  <c r="K1165" i="489"/>
  <c r="K1175" i="489"/>
  <c r="W1009" i="489"/>
  <c r="W1156" i="489"/>
  <c r="W1157" i="489"/>
  <c r="W1158" i="489"/>
  <c r="W1159" i="489"/>
  <c r="W1160" i="489"/>
  <c r="W1161" i="489"/>
  <c r="W1170" i="489"/>
  <c r="W1171" i="489"/>
  <c r="W1176" i="489"/>
  <c r="W1177" i="489"/>
  <c r="W1129" i="489"/>
  <c r="W1130" i="489"/>
  <c r="W1131" i="489"/>
  <c r="W1132" i="489"/>
  <c r="W1133" i="489"/>
  <c r="W1141" i="489"/>
  <c r="W1142" i="489"/>
  <c r="W1143" i="489"/>
  <c r="W1147" i="489"/>
  <c r="W1148" i="489"/>
  <c r="W1149" i="489"/>
  <c r="W1102" i="489"/>
  <c r="W1103" i="489"/>
  <c r="W1104" i="489"/>
  <c r="W1105" i="489"/>
  <c r="W1113" i="489"/>
  <c r="W1114" i="489"/>
  <c r="W1115" i="489"/>
  <c r="W1119" i="489"/>
  <c r="W1120" i="489"/>
  <c r="W1121" i="489"/>
  <c r="W1086" i="489"/>
  <c r="W1087" i="489"/>
  <c r="W1091" i="489"/>
  <c r="W1092" i="489"/>
  <c r="W1093" i="489"/>
  <c r="W1073" i="489"/>
  <c r="W1074" i="489"/>
  <c r="W1075" i="489"/>
  <c r="W1076" i="489"/>
  <c r="W1077" i="489"/>
  <c r="W1044" i="489"/>
  <c r="W1045" i="489"/>
  <c r="W1046" i="489"/>
  <c r="W1047" i="489"/>
  <c r="W1048" i="489"/>
  <c r="W1049" i="489"/>
  <c r="W1058" i="489"/>
  <c r="W1059" i="489"/>
  <c r="W1063" i="489"/>
  <c r="W1064" i="489"/>
  <c r="W1065" i="489"/>
  <c r="W1030" i="489"/>
  <c r="W1016" i="489"/>
  <c r="W1017" i="489"/>
  <c r="W1018" i="489"/>
  <c r="W1019" i="489"/>
  <c r="W1020" i="489"/>
  <c r="W1021" i="489"/>
  <c r="W1031" i="489"/>
  <c r="W1035" i="489"/>
  <c r="W1036" i="489"/>
  <c r="W1037" i="489"/>
  <c r="W1026" i="489"/>
  <c r="W1057" i="489"/>
  <c r="W1027" i="489"/>
  <c r="W1041" i="489"/>
  <c r="W1014" i="489"/>
  <c r="W1034" i="489"/>
  <c r="W1029" i="489"/>
  <c r="W1043" i="489"/>
  <c r="W1013" i="489"/>
  <c r="W1033" i="489"/>
  <c r="W1052" i="489"/>
  <c r="W1025" i="489"/>
  <c r="W1056" i="489"/>
  <c r="W1015" i="489"/>
  <c r="W1023" i="489"/>
  <c r="W1054" i="489"/>
  <c r="W1061" i="489"/>
  <c r="W1070" i="489"/>
  <c r="W1084" i="489"/>
  <c r="W1081" i="489"/>
  <c r="W1090" i="489"/>
  <c r="W1100" i="489"/>
  <c r="W1110" i="489"/>
  <c r="W1024" i="489"/>
  <c r="W1055" i="489"/>
  <c r="W1028" i="489"/>
  <c r="W1042" i="489"/>
  <c r="W1062" i="489"/>
  <c r="W1085" i="489"/>
  <c r="W1082" i="489"/>
  <c r="W1079" i="489"/>
  <c r="W1101" i="489"/>
  <c r="W1098" i="489"/>
  <c r="W1111" i="489"/>
  <c r="W1072" i="489"/>
  <c r="W1069" i="489"/>
  <c r="W1083" i="489"/>
  <c r="W1080" i="489"/>
  <c r="W1089" i="489"/>
  <c r="W1099" i="489"/>
  <c r="W1112" i="489"/>
  <c r="W1109" i="489"/>
  <c r="W1071" i="489"/>
  <c r="W1051" i="489"/>
  <c r="W1053" i="489"/>
  <c r="W1107" i="489"/>
  <c r="W1128" i="489"/>
  <c r="W1125" i="489"/>
  <c r="W1138" i="489"/>
  <c r="W1135" i="489"/>
  <c r="W1108" i="489"/>
  <c r="W1117" i="489"/>
  <c r="W1126" i="489"/>
  <c r="W1145" i="489"/>
  <c r="W1153" i="489"/>
  <c r="W1167" i="489"/>
  <c r="W1164" i="489"/>
  <c r="W1174" i="489"/>
  <c r="W1136" i="489"/>
  <c r="W1118" i="489"/>
  <c r="W1127" i="489"/>
  <c r="W1140" i="489"/>
  <c r="W1137" i="489"/>
  <c r="W1146" i="489"/>
  <c r="W1155" i="489"/>
  <c r="W1169" i="489"/>
  <c r="W1166" i="489"/>
  <c r="W1163" i="489"/>
  <c r="W1173" i="489"/>
  <c r="W1168" i="489"/>
  <c r="W1165" i="489"/>
  <c r="W1175" i="489"/>
  <c r="W1139" i="489"/>
  <c r="AJ998" i="489"/>
  <c r="AJ1156" i="489"/>
  <c r="AJ1157" i="489"/>
  <c r="AJ1159" i="489"/>
  <c r="AJ1160" i="489"/>
  <c r="AJ1161" i="489"/>
  <c r="AJ1170" i="489"/>
  <c r="AJ1171" i="489"/>
  <c r="AJ1176" i="489"/>
  <c r="AJ1177" i="489"/>
  <c r="AJ1129" i="489"/>
  <c r="AJ1141" i="489"/>
  <c r="AJ1142" i="489"/>
  <c r="AJ1143" i="489"/>
  <c r="AJ1147" i="489"/>
  <c r="AJ1148" i="489"/>
  <c r="AJ1149" i="489"/>
  <c r="AJ1131" i="489"/>
  <c r="AJ1132" i="489"/>
  <c r="AJ1133" i="489"/>
  <c r="AJ1103" i="489"/>
  <c r="AJ1104" i="489"/>
  <c r="AJ1105" i="489"/>
  <c r="AJ1113" i="489"/>
  <c r="AJ1114" i="489"/>
  <c r="AJ1115" i="489"/>
  <c r="AJ1119" i="489"/>
  <c r="AJ1120" i="489"/>
  <c r="AJ1121" i="489"/>
  <c r="AJ1073" i="489"/>
  <c r="AJ1075" i="489"/>
  <c r="AJ1076" i="489"/>
  <c r="AJ1077" i="489"/>
  <c r="AJ1086" i="489"/>
  <c r="AJ1087" i="489"/>
  <c r="AJ1091" i="489"/>
  <c r="AJ1092" i="489"/>
  <c r="AJ1093" i="489"/>
  <c r="AJ1044" i="489"/>
  <c r="AJ1046" i="489"/>
  <c r="AJ1047" i="489"/>
  <c r="AJ1048" i="489"/>
  <c r="AJ1049" i="489"/>
  <c r="AJ1058" i="489"/>
  <c r="AJ1059" i="489"/>
  <c r="AJ1063" i="489"/>
  <c r="AJ1064" i="489"/>
  <c r="AJ1065" i="489"/>
  <c r="AJ1016" i="489"/>
  <c r="AJ1017" i="489"/>
  <c r="AJ1019" i="489"/>
  <c r="AJ1020" i="489"/>
  <c r="AJ1021" i="489"/>
  <c r="AJ1030" i="489"/>
  <c r="AJ1035" i="489"/>
  <c r="AJ1036" i="489"/>
  <c r="AJ1037" i="489"/>
  <c r="AJ1031" i="489"/>
  <c r="AJ1034" i="489"/>
  <c r="AJ1033" i="489"/>
  <c r="AJ1025" i="489"/>
  <c r="AJ1055" i="489"/>
  <c r="AJ1024" i="489"/>
  <c r="AJ1028" i="489"/>
  <c r="AJ1043" i="489"/>
  <c r="AJ1023" i="489"/>
  <c r="AJ1027" i="489"/>
  <c r="AJ1014" i="489"/>
  <c r="AJ1053" i="489"/>
  <c r="AJ1026" i="489"/>
  <c r="AJ1013" i="489"/>
  <c r="AJ1056" i="489"/>
  <c r="AJ1029" i="489"/>
  <c r="AJ1015" i="489"/>
  <c r="AJ1061" i="489"/>
  <c r="AJ1070" i="489"/>
  <c r="AJ1084" i="489"/>
  <c r="AJ1081" i="489"/>
  <c r="AJ1042" i="489"/>
  <c r="AJ1090" i="489"/>
  <c r="AJ1100" i="489"/>
  <c r="AJ1097" i="489"/>
  <c r="AJ1041" i="489"/>
  <c r="AJ1052" i="489"/>
  <c r="AJ1062" i="489"/>
  <c r="AJ1085" i="489"/>
  <c r="AJ1079" i="489"/>
  <c r="AJ1098" i="489"/>
  <c r="AJ1051" i="489"/>
  <c r="AJ1112" i="489"/>
  <c r="AJ1054" i="489"/>
  <c r="AJ1110" i="489"/>
  <c r="AJ1107" i="489"/>
  <c r="AJ1057" i="489"/>
  <c r="AJ1128" i="489"/>
  <c r="AJ1125" i="489"/>
  <c r="AJ1138" i="489"/>
  <c r="AJ1135" i="489"/>
  <c r="AJ1108" i="489"/>
  <c r="AJ1117" i="489"/>
  <c r="AJ1139" i="489"/>
  <c r="AJ1136" i="489"/>
  <c r="AJ1082" i="489"/>
  <c r="AJ1101" i="489"/>
  <c r="AJ1111" i="489"/>
  <c r="AJ1072" i="489"/>
  <c r="AJ1069" i="489"/>
  <c r="AJ1083" i="489"/>
  <c r="AJ1080" i="489"/>
  <c r="AJ1089" i="489"/>
  <c r="AJ1099" i="489"/>
  <c r="AJ1140" i="489"/>
  <c r="AJ1137" i="489"/>
  <c r="AJ1145" i="489"/>
  <c r="AJ1153" i="489"/>
  <c r="AJ1167" i="489"/>
  <c r="AJ1164" i="489"/>
  <c r="AJ1174" i="489"/>
  <c r="AJ1118" i="489"/>
  <c r="AJ1155" i="489"/>
  <c r="AJ1169" i="489"/>
  <c r="AJ1166" i="489"/>
  <c r="AJ1173" i="489"/>
  <c r="AJ1109" i="489"/>
  <c r="AJ1127" i="489"/>
  <c r="AJ1146" i="489"/>
  <c r="AJ1168" i="489"/>
  <c r="AJ1165" i="489"/>
  <c r="AJ1175" i="489"/>
  <c r="AV991" i="489"/>
  <c r="AV1156" i="489"/>
  <c r="AV1157" i="489"/>
  <c r="AV1158" i="489"/>
  <c r="AV1159" i="489"/>
  <c r="AV1160" i="489"/>
  <c r="AV1161" i="489"/>
  <c r="AV1170" i="489"/>
  <c r="AV1171" i="489"/>
  <c r="AV1176" i="489"/>
  <c r="AV1177" i="489"/>
  <c r="AV1129" i="489"/>
  <c r="AV1141" i="489"/>
  <c r="AV1142" i="489"/>
  <c r="AV1143" i="489"/>
  <c r="AV1147" i="489"/>
  <c r="AV1148" i="489"/>
  <c r="AV1149" i="489"/>
  <c r="AV1132" i="489"/>
  <c r="AV1133" i="489"/>
  <c r="AV1102" i="489"/>
  <c r="AV1103" i="489"/>
  <c r="AV1104" i="489"/>
  <c r="AV1105" i="489"/>
  <c r="AV1113" i="489"/>
  <c r="AV1130" i="489"/>
  <c r="AV1131" i="489"/>
  <c r="AV1114" i="489"/>
  <c r="AV1115" i="489"/>
  <c r="AV1119" i="489"/>
  <c r="AV1120" i="489"/>
  <c r="AV1121" i="489"/>
  <c r="AV1073" i="489"/>
  <c r="AV1074" i="489"/>
  <c r="AV1075" i="489"/>
  <c r="AV1076" i="489"/>
  <c r="AV1077" i="489"/>
  <c r="AV1086" i="489"/>
  <c r="AV1087" i="489"/>
  <c r="AV1091" i="489"/>
  <c r="AV1092" i="489"/>
  <c r="AV1093" i="489"/>
  <c r="AV1044" i="489"/>
  <c r="AV1045" i="489"/>
  <c r="AV1046" i="489"/>
  <c r="AV1047" i="489"/>
  <c r="AV1048" i="489"/>
  <c r="AV1049" i="489"/>
  <c r="AV1058" i="489"/>
  <c r="AV1059" i="489"/>
  <c r="AV1063" i="489"/>
  <c r="AV1064" i="489"/>
  <c r="AV1065" i="489"/>
  <c r="AV1016" i="489"/>
  <c r="AV1017" i="489"/>
  <c r="AV1018" i="489"/>
  <c r="AV1019" i="489"/>
  <c r="AV1020" i="489"/>
  <c r="AV1021" i="489"/>
  <c r="AV1030" i="489"/>
  <c r="AV1035" i="489"/>
  <c r="AV1036" i="489"/>
  <c r="AV1037" i="489"/>
  <c r="AV1031" i="489"/>
  <c r="AV1033" i="489"/>
  <c r="AV1025" i="489"/>
  <c r="AV1055" i="489"/>
  <c r="AV1024" i="489"/>
  <c r="AV1028" i="489"/>
  <c r="AV1043" i="489"/>
  <c r="AV1023" i="489"/>
  <c r="AV1027" i="489"/>
  <c r="AV1014" i="489"/>
  <c r="AV1053" i="489"/>
  <c r="AV1026" i="489"/>
  <c r="AV1013" i="489"/>
  <c r="AV1056" i="489"/>
  <c r="AV1029" i="489"/>
  <c r="AV1015" i="489"/>
  <c r="AV1061" i="489"/>
  <c r="AV1070" i="489"/>
  <c r="AV1084" i="489"/>
  <c r="AV1081" i="489"/>
  <c r="AV1042" i="489"/>
  <c r="AV1090" i="489"/>
  <c r="AV1100" i="489"/>
  <c r="AV1097" i="489"/>
  <c r="AV1041" i="489"/>
  <c r="AV1052" i="489"/>
  <c r="AV1034" i="489"/>
  <c r="AV1054" i="489"/>
  <c r="AV1110" i="489"/>
  <c r="AV1107" i="489"/>
  <c r="AV1071" i="489"/>
  <c r="AV1057" i="489"/>
  <c r="AV1128" i="489"/>
  <c r="AV1125" i="489"/>
  <c r="AV1138" i="489"/>
  <c r="AV1135" i="489"/>
  <c r="AV1108" i="489"/>
  <c r="AV1082" i="489"/>
  <c r="AV1101" i="489"/>
  <c r="AV1111" i="489"/>
  <c r="AV1072" i="489"/>
  <c r="AV1069" i="489"/>
  <c r="AV1083" i="489"/>
  <c r="AV1089" i="489"/>
  <c r="AV1099" i="489"/>
  <c r="AV1062" i="489"/>
  <c r="AV1085" i="489"/>
  <c r="AV1079" i="489"/>
  <c r="AV1098" i="489"/>
  <c r="AV1051" i="489"/>
  <c r="AV1112" i="489"/>
  <c r="AV1117" i="489"/>
  <c r="AV1126" i="489"/>
  <c r="AV1139" i="489"/>
  <c r="AV1136" i="489"/>
  <c r="AV1145" i="489"/>
  <c r="AV1153" i="489"/>
  <c r="AV1167" i="489"/>
  <c r="AV1164" i="489"/>
  <c r="AV1174" i="489"/>
  <c r="AV1118" i="489"/>
  <c r="AV1140" i="489"/>
  <c r="AV1155" i="489"/>
  <c r="AV1169" i="489"/>
  <c r="AV1166" i="489"/>
  <c r="AV1163" i="489"/>
  <c r="AV1173" i="489"/>
  <c r="AV1109" i="489"/>
  <c r="AV1127" i="489"/>
  <c r="AV1137" i="489"/>
  <c r="AV1146" i="489"/>
  <c r="AV1154" i="489"/>
  <c r="AV1168" i="489"/>
  <c r="AV1165" i="489"/>
  <c r="AV1175" i="489"/>
  <c r="BH987" i="489"/>
  <c r="BH1156" i="489"/>
  <c r="BH1157" i="489"/>
  <c r="BH1158" i="489"/>
  <c r="BH1160" i="489"/>
  <c r="BH1161" i="489"/>
  <c r="BH1159" i="489"/>
  <c r="BH1170" i="489"/>
  <c r="BH1171" i="489"/>
  <c r="BH1176" i="489"/>
  <c r="BH1177" i="489"/>
  <c r="BH1129" i="489"/>
  <c r="BH1130" i="489"/>
  <c r="BH1131" i="489"/>
  <c r="BH1132" i="489"/>
  <c r="BH1133" i="489"/>
  <c r="BH1141" i="489"/>
  <c r="BH1142" i="489"/>
  <c r="BH1143" i="489"/>
  <c r="BH1147" i="489"/>
  <c r="BH1148" i="489"/>
  <c r="BH1149" i="489"/>
  <c r="BH1102" i="489"/>
  <c r="BH1103" i="489"/>
  <c r="BH1104" i="489"/>
  <c r="BH1105" i="489"/>
  <c r="BH1113" i="489"/>
  <c r="BH1114" i="489"/>
  <c r="BH1115" i="489"/>
  <c r="BH1119" i="489"/>
  <c r="BH1120" i="489"/>
  <c r="BH1121" i="489"/>
  <c r="BH1073" i="489"/>
  <c r="BH1074" i="489"/>
  <c r="BH1075" i="489"/>
  <c r="BH1076" i="489"/>
  <c r="BH1077" i="489"/>
  <c r="BH1086" i="489"/>
  <c r="BH1087" i="489"/>
  <c r="BH1091" i="489"/>
  <c r="BH1092" i="489"/>
  <c r="BH1093" i="489"/>
  <c r="BH1044" i="489"/>
  <c r="BH1045" i="489"/>
  <c r="BH1046" i="489"/>
  <c r="BH1047" i="489"/>
  <c r="BH1048" i="489"/>
  <c r="BH1049" i="489"/>
  <c r="BH1058" i="489"/>
  <c r="BH1059" i="489"/>
  <c r="BH1063" i="489"/>
  <c r="BH1064" i="489"/>
  <c r="BH1065" i="489"/>
  <c r="BH1016" i="489"/>
  <c r="BH1017" i="489"/>
  <c r="BH1018" i="489"/>
  <c r="BH1019" i="489"/>
  <c r="BH1020" i="489"/>
  <c r="BH1021" i="489"/>
  <c r="BH1030" i="489"/>
  <c r="BH1035" i="489"/>
  <c r="BH1036" i="489"/>
  <c r="BH1037" i="489"/>
  <c r="BH1031" i="489"/>
  <c r="BH1024" i="489"/>
  <c r="BH1028" i="489"/>
  <c r="BH1043" i="489"/>
  <c r="BH1023" i="489"/>
  <c r="BH1027" i="489"/>
  <c r="BH1014" i="489"/>
  <c r="BH1053" i="489"/>
  <c r="BH1026" i="489"/>
  <c r="BH1013" i="489"/>
  <c r="BH1056" i="489"/>
  <c r="BH1029" i="489"/>
  <c r="BH1015" i="489"/>
  <c r="BH1061" i="489"/>
  <c r="BH1070" i="489"/>
  <c r="BH1084" i="489"/>
  <c r="BH1081" i="489"/>
  <c r="BH1042" i="489"/>
  <c r="BH1090" i="489"/>
  <c r="BH1100" i="489"/>
  <c r="BH1097" i="489"/>
  <c r="BH1041" i="489"/>
  <c r="BH1052" i="489"/>
  <c r="BH1034" i="489"/>
  <c r="BH1033" i="489"/>
  <c r="BH1025" i="489"/>
  <c r="BH1055" i="489"/>
  <c r="BH1054" i="489"/>
  <c r="BH1110" i="489"/>
  <c r="BH1107" i="489"/>
  <c r="BH1071" i="489"/>
  <c r="BH1057" i="489"/>
  <c r="BH1128" i="489"/>
  <c r="BH1125" i="489"/>
  <c r="BH1138" i="489"/>
  <c r="BH1135" i="489"/>
  <c r="BH1108" i="489"/>
  <c r="BH1117" i="489"/>
  <c r="BH1126" i="489"/>
  <c r="BH1139" i="489"/>
  <c r="BH1136" i="489"/>
  <c r="BH1082" i="489"/>
  <c r="BH1101" i="489"/>
  <c r="BH1111" i="489"/>
  <c r="BH1072" i="489"/>
  <c r="BH1069" i="489"/>
  <c r="BH1083" i="489"/>
  <c r="BH1080" i="489"/>
  <c r="BH1089" i="489"/>
  <c r="BH1099" i="489"/>
  <c r="BH1062" i="489"/>
  <c r="BH1085" i="489"/>
  <c r="BH1079" i="489"/>
  <c r="BH1098" i="489"/>
  <c r="BH1051" i="489"/>
  <c r="BH1112" i="489"/>
  <c r="BH1145" i="489"/>
  <c r="BH1153" i="489"/>
  <c r="BH1167" i="489"/>
  <c r="BH1164" i="489"/>
  <c r="BH1174" i="489"/>
  <c r="BH1118" i="489"/>
  <c r="BH1140" i="489"/>
  <c r="BH1155" i="489"/>
  <c r="BH1169" i="489"/>
  <c r="BH1166" i="489"/>
  <c r="BH1163" i="489"/>
  <c r="BH1173" i="489"/>
  <c r="BH1109" i="489"/>
  <c r="BH1127" i="489"/>
  <c r="BH1137" i="489"/>
  <c r="BH1146" i="489"/>
  <c r="BH1154" i="489"/>
  <c r="BH1168" i="489"/>
  <c r="BH1165" i="489"/>
  <c r="BH1175" i="489"/>
  <c r="BT990" i="489"/>
  <c r="BT1156" i="489"/>
  <c r="BT1157" i="489"/>
  <c r="BT1158" i="489"/>
  <c r="BT1159" i="489"/>
  <c r="BT1160" i="489"/>
  <c r="BT1161" i="489"/>
  <c r="BT1170" i="489"/>
  <c r="BT1171" i="489"/>
  <c r="BT1176" i="489"/>
  <c r="BT1177" i="489"/>
  <c r="BT1129" i="489"/>
  <c r="BT1130" i="489"/>
  <c r="BT1131" i="489"/>
  <c r="BT1132" i="489"/>
  <c r="BT1133" i="489"/>
  <c r="BT1141" i="489"/>
  <c r="BT1142" i="489"/>
  <c r="BT1143" i="489"/>
  <c r="BT1147" i="489"/>
  <c r="BT1148" i="489"/>
  <c r="BT1149" i="489"/>
  <c r="BT1102" i="489"/>
  <c r="BT1103" i="489"/>
  <c r="BT1104" i="489"/>
  <c r="BT1105" i="489"/>
  <c r="BT1113" i="489"/>
  <c r="BT1114" i="489"/>
  <c r="BT1115" i="489"/>
  <c r="BT1119" i="489"/>
  <c r="BT1120" i="489"/>
  <c r="BT1121" i="489"/>
  <c r="BT1073" i="489"/>
  <c r="BT1074" i="489"/>
  <c r="BT1075" i="489"/>
  <c r="BT1076" i="489"/>
  <c r="BT1077" i="489"/>
  <c r="BT1086" i="489"/>
  <c r="BT1087" i="489"/>
  <c r="BT1091" i="489"/>
  <c r="BT1093" i="489"/>
  <c r="BT1092" i="489"/>
  <c r="BT1044" i="489"/>
  <c r="BT1045" i="489"/>
  <c r="BT1046" i="489"/>
  <c r="BT1047" i="489"/>
  <c r="BT1048" i="489"/>
  <c r="BT1049" i="489"/>
  <c r="BT1059" i="489"/>
  <c r="BT1063" i="489"/>
  <c r="BT1064" i="489"/>
  <c r="BT1065" i="489"/>
  <c r="BT1058" i="489"/>
  <c r="BT1016" i="489"/>
  <c r="BT1017" i="489"/>
  <c r="BT1018" i="489"/>
  <c r="BT1019" i="489"/>
  <c r="BT1020" i="489"/>
  <c r="BT1021" i="489"/>
  <c r="BT1035" i="489"/>
  <c r="BT1036" i="489"/>
  <c r="BT1037" i="489"/>
  <c r="BT1030" i="489"/>
  <c r="BT1031" i="489"/>
  <c r="BT1024" i="489"/>
  <c r="BT1028" i="489"/>
  <c r="BT1043" i="489"/>
  <c r="BT1023" i="489"/>
  <c r="BT1027" i="489"/>
  <c r="BT1014" i="489"/>
  <c r="BT1053" i="489"/>
  <c r="BT1013" i="489"/>
  <c r="BT1056" i="489"/>
  <c r="BT1029" i="489"/>
  <c r="BT1015" i="489"/>
  <c r="BT1061" i="489"/>
  <c r="BT1070" i="489"/>
  <c r="BT1084" i="489"/>
  <c r="BT1081" i="489"/>
  <c r="BT1042" i="489"/>
  <c r="BT1090" i="489"/>
  <c r="BT1100" i="489"/>
  <c r="BT1097" i="489"/>
  <c r="BT1041" i="489"/>
  <c r="BT1052" i="489"/>
  <c r="BT1034" i="489"/>
  <c r="BT1033" i="489"/>
  <c r="BT1025" i="489"/>
  <c r="BT1055" i="489"/>
  <c r="BT1071" i="489"/>
  <c r="BT1110" i="489"/>
  <c r="BT1107" i="489"/>
  <c r="BT1057" i="489"/>
  <c r="BT1128" i="489"/>
  <c r="BT1125" i="489"/>
  <c r="BT1135" i="489"/>
  <c r="BT1082" i="489"/>
  <c r="BT1101" i="489"/>
  <c r="BT1111" i="489"/>
  <c r="BT1072" i="489"/>
  <c r="BT1069" i="489"/>
  <c r="BT1083" i="489"/>
  <c r="BT1080" i="489"/>
  <c r="BT1089" i="489"/>
  <c r="BT1099" i="489"/>
  <c r="BT1062" i="489"/>
  <c r="BT1085" i="489"/>
  <c r="BT1079" i="489"/>
  <c r="BT1098" i="489"/>
  <c r="BT1051" i="489"/>
  <c r="BT1112" i="489"/>
  <c r="BT1054" i="489"/>
  <c r="BT1117" i="489"/>
  <c r="BT1126" i="489"/>
  <c r="BT1136" i="489"/>
  <c r="BT1118" i="489"/>
  <c r="BT1140" i="489"/>
  <c r="BT1169" i="489"/>
  <c r="BT1163" i="489"/>
  <c r="BT1173" i="489"/>
  <c r="BT1108" i="489"/>
  <c r="BT1109" i="489"/>
  <c r="BT1127" i="489"/>
  <c r="BT1137" i="489"/>
  <c r="BT1146" i="489"/>
  <c r="BT1154" i="489"/>
  <c r="BT1168" i="489"/>
  <c r="BT1165" i="489"/>
  <c r="BT1175" i="489"/>
  <c r="BT1145" i="489"/>
  <c r="BT1153" i="489"/>
  <c r="BT1167" i="489"/>
  <c r="BT1164" i="489"/>
  <c r="BT1174" i="489"/>
  <c r="CF1005" i="489"/>
  <c r="CF1156" i="489"/>
  <c r="CF1157" i="489"/>
  <c r="CF1158" i="489"/>
  <c r="CF1160" i="489"/>
  <c r="CF1161" i="489"/>
  <c r="CF1159" i="489"/>
  <c r="CF1170" i="489"/>
  <c r="CF1171" i="489"/>
  <c r="CF1176" i="489"/>
  <c r="CF1177" i="489"/>
  <c r="CF1129" i="489"/>
  <c r="CF1141" i="489"/>
  <c r="CF1142" i="489"/>
  <c r="CF1143" i="489"/>
  <c r="CF1147" i="489"/>
  <c r="CF1148" i="489"/>
  <c r="CF1149" i="489"/>
  <c r="CF1130" i="489"/>
  <c r="CF1131" i="489"/>
  <c r="CF1132" i="489"/>
  <c r="CF1133" i="489"/>
  <c r="CF1102" i="489"/>
  <c r="CF1103" i="489"/>
  <c r="CF1104" i="489"/>
  <c r="CF1105" i="489"/>
  <c r="CF1113" i="489"/>
  <c r="CF1114" i="489"/>
  <c r="CF1115" i="489"/>
  <c r="CF1119" i="489"/>
  <c r="CF1120" i="489"/>
  <c r="CF1121" i="489"/>
  <c r="CF1073" i="489"/>
  <c r="CF1074" i="489"/>
  <c r="CF1075" i="489"/>
  <c r="CF1076" i="489"/>
  <c r="CF1077" i="489"/>
  <c r="CF1086" i="489"/>
  <c r="CF1087" i="489"/>
  <c r="CF1091" i="489"/>
  <c r="CF1093" i="489"/>
  <c r="CF1092" i="489"/>
  <c r="CF1044" i="489"/>
  <c r="CF1045" i="489"/>
  <c r="CF1046" i="489"/>
  <c r="CF1047" i="489"/>
  <c r="CF1048" i="489"/>
  <c r="CF1049" i="489"/>
  <c r="CF1059" i="489"/>
  <c r="CF1063" i="489"/>
  <c r="CF1064" i="489"/>
  <c r="CF1065" i="489"/>
  <c r="CF1058" i="489"/>
  <c r="CF1016" i="489"/>
  <c r="CF1017" i="489"/>
  <c r="CF1018" i="489"/>
  <c r="CF1019" i="489"/>
  <c r="CF1020" i="489"/>
  <c r="CF1021" i="489"/>
  <c r="CF1035" i="489"/>
  <c r="CF1036" i="489"/>
  <c r="CF1037" i="489"/>
  <c r="CF1031" i="489"/>
  <c r="CF1030" i="489"/>
  <c r="CF1027" i="489"/>
  <c r="CF1026" i="489"/>
  <c r="CF1056" i="489"/>
  <c r="CF1029" i="489"/>
  <c r="CF1015" i="489"/>
  <c r="CF1061" i="489"/>
  <c r="CF1070" i="489"/>
  <c r="CF1084" i="489"/>
  <c r="CF1090" i="489"/>
  <c r="CF1100" i="489"/>
  <c r="CF1097" i="489"/>
  <c r="CF1034" i="489"/>
  <c r="CF1033" i="489"/>
  <c r="CF1055" i="489"/>
  <c r="CF1057" i="489"/>
  <c r="CF1028" i="489"/>
  <c r="CF1043" i="489"/>
  <c r="CF1085" i="489"/>
  <c r="CF1082" i="489"/>
  <c r="CF1101" i="489"/>
  <c r="CF1098" i="489"/>
  <c r="CF1111" i="489"/>
  <c r="CF1128" i="489"/>
  <c r="CF1125" i="489"/>
  <c r="CF1138" i="489"/>
  <c r="CF1071" i="489"/>
  <c r="CF1117" i="489"/>
  <c r="CF1139" i="489"/>
  <c r="CF1072" i="489"/>
  <c r="CF1083" i="489"/>
  <c r="CF1089" i="489"/>
  <c r="CF1099" i="489"/>
  <c r="CF1062" i="489"/>
  <c r="CF1112" i="489"/>
  <c r="CF1054" i="489"/>
  <c r="CF1110" i="489"/>
  <c r="CF1140" i="489"/>
  <c r="CF1155" i="489"/>
  <c r="CF1169" i="489"/>
  <c r="CF1166" i="489"/>
  <c r="CF1173" i="489"/>
  <c r="CF1127" i="489"/>
  <c r="CF1146" i="489"/>
  <c r="CF1154" i="489"/>
  <c r="CF1168" i="489"/>
  <c r="CF1167" i="489"/>
  <c r="CF1174" i="489"/>
  <c r="CF1118" i="489"/>
  <c r="CR993" i="489"/>
  <c r="CR1156" i="489"/>
  <c r="CR1157" i="489"/>
  <c r="CR1158" i="489"/>
  <c r="CR1159" i="489"/>
  <c r="CR1160" i="489"/>
  <c r="CR1161" i="489"/>
  <c r="CR1170" i="489"/>
  <c r="CR1171" i="489"/>
  <c r="CR1176" i="489"/>
  <c r="CR1177" i="489"/>
  <c r="CR1129" i="489"/>
  <c r="CR1141" i="489"/>
  <c r="CR1142" i="489"/>
  <c r="CR1143" i="489"/>
  <c r="CR1147" i="489"/>
  <c r="CR1148" i="489"/>
  <c r="CR1149" i="489"/>
  <c r="CR1130" i="489"/>
  <c r="CR1131" i="489"/>
  <c r="CR1132" i="489"/>
  <c r="CR1133" i="489"/>
  <c r="CR1102" i="489"/>
  <c r="CR1103" i="489"/>
  <c r="CR1104" i="489"/>
  <c r="CR1105" i="489"/>
  <c r="CR1113" i="489"/>
  <c r="CR1114" i="489"/>
  <c r="CR1115" i="489"/>
  <c r="CR1119" i="489"/>
  <c r="CR1120" i="489"/>
  <c r="CR1121" i="489"/>
  <c r="CR1073" i="489"/>
  <c r="CR1074" i="489"/>
  <c r="CR1075" i="489"/>
  <c r="CR1076" i="489"/>
  <c r="CR1077" i="489"/>
  <c r="CR1086" i="489"/>
  <c r="CR1087" i="489"/>
  <c r="CR1091" i="489"/>
  <c r="CR1092" i="489"/>
  <c r="CR1093" i="489"/>
  <c r="CR1044" i="489"/>
  <c r="CR1045" i="489"/>
  <c r="CR1046" i="489"/>
  <c r="CR1047" i="489"/>
  <c r="CR1048" i="489"/>
  <c r="CR1049" i="489"/>
  <c r="CR1059" i="489"/>
  <c r="CR1063" i="489"/>
  <c r="CR1064" i="489"/>
  <c r="CR1065" i="489"/>
  <c r="CR1058" i="489"/>
  <c r="CR1016" i="489"/>
  <c r="CR1017" i="489"/>
  <c r="CR1018" i="489"/>
  <c r="CR1019" i="489"/>
  <c r="CR1020" i="489"/>
  <c r="CR1021" i="489"/>
  <c r="CR1035" i="489"/>
  <c r="CR1036" i="489"/>
  <c r="CR1030" i="489"/>
  <c r="CR1037" i="489"/>
  <c r="CR1031" i="489"/>
  <c r="CR1014" i="489"/>
  <c r="CR1053" i="489"/>
  <c r="CR1026" i="489"/>
  <c r="CR1013" i="489"/>
  <c r="CR1056" i="489"/>
  <c r="CR1029" i="489"/>
  <c r="CR1015" i="489"/>
  <c r="CR1061" i="489"/>
  <c r="CR1070" i="489"/>
  <c r="CR1084" i="489"/>
  <c r="CR1081" i="489"/>
  <c r="CR1042" i="489"/>
  <c r="CR1090" i="489"/>
  <c r="CR1100" i="489"/>
  <c r="CR1097" i="489"/>
  <c r="CR1041" i="489"/>
  <c r="CR1052" i="489"/>
  <c r="CR1034" i="489"/>
  <c r="CR1033" i="489"/>
  <c r="CR1025" i="489"/>
  <c r="CR1055" i="489"/>
  <c r="CR1057" i="489"/>
  <c r="CR1024" i="489"/>
  <c r="CR1028" i="489"/>
  <c r="CR1043" i="489"/>
  <c r="CR1023" i="489"/>
  <c r="CR1062" i="489"/>
  <c r="CR1071" i="489"/>
  <c r="CR1108" i="489"/>
  <c r="CR1117" i="489"/>
  <c r="CR1126" i="489"/>
  <c r="CR1139" i="489"/>
  <c r="CR1136" i="489"/>
  <c r="CR1082" i="489"/>
  <c r="CR1101" i="489"/>
  <c r="CR1111" i="489"/>
  <c r="CR1118" i="489"/>
  <c r="CR1127" i="489"/>
  <c r="CR1072" i="489"/>
  <c r="CR1069" i="489"/>
  <c r="CR1080" i="489"/>
  <c r="CR1089" i="489"/>
  <c r="CR1099" i="489"/>
  <c r="CR1051" i="489"/>
  <c r="CR1112" i="489"/>
  <c r="CR1085" i="489"/>
  <c r="CR1079" i="489"/>
  <c r="CR1098" i="489"/>
  <c r="CR1054" i="489"/>
  <c r="CR1110" i="489"/>
  <c r="CR1107" i="489"/>
  <c r="CR1128" i="489"/>
  <c r="CR1125" i="489"/>
  <c r="CR1138" i="489"/>
  <c r="CR1135" i="489"/>
  <c r="CR1169" i="489"/>
  <c r="CR1166" i="489"/>
  <c r="CR1163" i="489"/>
  <c r="CR1173" i="489"/>
  <c r="CR1109" i="489"/>
  <c r="CR1137" i="489"/>
  <c r="CR1146" i="489"/>
  <c r="CR1154" i="489"/>
  <c r="CR1168" i="489"/>
  <c r="CR1165" i="489"/>
  <c r="CR1175" i="489"/>
  <c r="CR1145" i="489"/>
  <c r="CR1153" i="489"/>
  <c r="CR1167" i="489"/>
  <c r="CR1164" i="489"/>
  <c r="CR1174" i="489"/>
  <c r="CR1140" i="489"/>
  <c r="CR1155" i="489"/>
  <c r="DD990" i="489"/>
  <c r="DD1156" i="489"/>
  <c r="DD1157" i="489"/>
  <c r="DD1158" i="489"/>
  <c r="DD1159" i="489"/>
  <c r="DD1160" i="489"/>
  <c r="DD1161" i="489"/>
  <c r="DD1170" i="489"/>
  <c r="DD1171" i="489"/>
  <c r="DD1176" i="489"/>
  <c r="DD1177" i="489"/>
  <c r="DD1129" i="489"/>
  <c r="DD1141" i="489"/>
  <c r="DD1142" i="489"/>
  <c r="DD1143" i="489"/>
  <c r="DD1147" i="489"/>
  <c r="DD1148" i="489"/>
  <c r="DD1149" i="489"/>
  <c r="DD1130" i="489"/>
  <c r="DD1131" i="489"/>
  <c r="DD1132" i="489"/>
  <c r="DD1133" i="489"/>
  <c r="DD1102" i="489"/>
  <c r="DD1103" i="489"/>
  <c r="DD1104" i="489"/>
  <c r="DD1105" i="489"/>
  <c r="DD1113" i="489"/>
  <c r="DD1114" i="489"/>
  <c r="DD1115" i="489"/>
  <c r="DD1119" i="489"/>
  <c r="DD1120" i="489"/>
  <c r="DD1121" i="489"/>
  <c r="DD1073" i="489"/>
  <c r="DD1074" i="489"/>
  <c r="DD1075" i="489"/>
  <c r="DD1076" i="489"/>
  <c r="DD1077" i="489"/>
  <c r="DD1086" i="489"/>
  <c r="DD1087" i="489"/>
  <c r="DD1091" i="489"/>
  <c r="DD1093" i="489"/>
  <c r="DD1092" i="489"/>
  <c r="DD1047" i="489"/>
  <c r="DD1048" i="489"/>
  <c r="DD1049" i="489"/>
  <c r="DD1044" i="489"/>
  <c r="DD1045" i="489"/>
  <c r="DD1046" i="489"/>
  <c r="DD1064" i="489"/>
  <c r="DD1065" i="489"/>
  <c r="DD1058" i="489"/>
  <c r="DD1059" i="489"/>
  <c r="DD1063" i="489"/>
  <c r="DD1018" i="489"/>
  <c r="DD1019" i="489"/>
  <c r="DD1020" i="489"/>
  <c r="DD1021" i="489"/>
  <c r="DD1030" i="489"/>
  <c r="DD1016" i="489"/>
  <c r="DD1017" i="489"/>
  <c r="DD1037" i="489"/>
  <c r="DD1031" i="489"/>
  <c r="DD1035" i="489"/>
  <c r="DD1036" i="489"/>
  <c r="DD1026" i="489"/>
  <c r="DD1056" i="489"/>
  <c r="DD1029" i="489"/>
  <c r="DD1015" i="489"/>
  <c r="DD1061" i="489"/>
  <c r="DD1070" i="489"/>
  <c r="DD1084" i="489"/>
  <c r="DD1081" i="489"/>
  <c r="DD1042" i="489"/>
  <c r="DD1090" i="489"/>
  <c r="DD1100" i="489"/>
  <c r="DD1097" i="489"/>
  <c r="DD1041" i="489"/>
  <c r="DD1052" i="489"/>
  <c r="DD1034" i="489"/>
  <c r="DD1033" i="489"/>
  <c r="DD1055" i="489"/>
  <c r="DD1057" i="489"/>
  <c r="DD1024" i="489"/>
  <c r="DD1028" i="489"/>
  <c r="DD1043" i="489"/>
  <c r="DD1023" i="489"/>
  <c r="DD1027" i="489"/>
  <c r="DD1082" i="489"/>
  <c r="DD1101" i="489"/>
  <c r="DD1111" i="489"/>
  <c r="DD1072" i="489"/>
  <c r="DD1069" i="489"/>
  <c r="DD1083" i="489"/>
  <c r="DD1080" i="489"/>
  <c r="DD1089" i="489"/>
  <c r="DD1099" i="489"/>
  <c r="DD1140" i="489"/>
  <c r="DD1051" i="489"/>
  <c r="DD1112" i="489"/>
  <c r="DD1062" i="489"/>
  <c r="DD1085" i="489"/>
  <c r="DD1079" i="489"/>
  <c r="DD1098" i="489"/>
  <c r="DD1054" i="489"/>
  <c r="DD1110" i="489"/>
  <c r="DD1107" i="489"/>
  <c r="DD1128" i="489"/>
  <c r="DD1125" i="489"/>
  <c r="DD1138" i="489"/>
  <c r="DD1135" i="489"/>
  <c r="DD1071" i="489"/>
  <c r="DD1108" i="489"/>
  <c r="DD1117" i="489"/>
  <c r="DD1139" i="489"/>
  <c r="DD1136" i="489"/>
  <c r="DD1109" i="489"/>
  <c r="DD1127" i="489"/>
  <c r="DD1146" i="489"/>
  <c r="DD1154" i="489"/>
  <c r="DD1168" i="489"/>
  <c r="DD1175" i="489"/>
  <c r="DD1145" i="489"/>
  <c r="DD1167" i="489"/>
  <c r="DD1164" i="489"/>
  <c r="DD1174" i="489"/>
  <c r="DD1118" i="489"/>
  <c r="DD1155" i="489"/>
  <c r="DD1169" i="489"/>
  <c r="DD1166" i="489"/>
  <c r="DD1163" i="489"/>
  <c r="DD1173" i="489"/>
  <c r="DP1000" i="489"/>
  <c r="DP1156" i="489"/>
  <c r="DP1157" i="489"/>
  <c r="DP1158" i="489"/>
  <c r="DP1160" i="489"/>
  <c r="DP1161" i="489"/>
  <c r="DP1159" i="489"/>
  <c r="DP1170" i="489"/>
  <c r="DP1171" i="489"/>
  <c r="DP1176" i="489"/>
  <c r="DP1177" i="489"/>
  <c r="DP1129" i="489"/>
  <c r="DP1141" i="489"/>
  <c r="DP1142" i="489"/>
  <c r="DP1143" i="489"/>
  <c r="DP1147" i="489"/>
  <c r="DP1148" i="489"/>
  <c r="DP1149" i="489"/>
  <c r="DP1130" i="489"/>
  <c r="DP1131" i="489"/>
  <c r="DP1132" i="489"/>
  <c r="DP1133" i="489"/>
  <c r="DP1102" i="489"/>
  <c r="DP1103" i="489"/>
  <c r="DP1104" i="489"/>
  <c r="DP1105" i="489"/>
  <c r="DP1113" i="489"/>
  <c r="DP1114" i="489"/>
  <c r="DP1115" i="489"/>
  <c r="DP1119" i="489"/>
  <c r="DP1120" i="489"/>
  <c r="DP1121" i="489"/>
  <c r="DP1073" i="489"/>
  <c r="DP1074" i="489"/>
  <c r="DP1075" i="489"/>
  <c r="DP1076" i="489"/>
  <c r="DP1077" i="489"/>
  <c r="DP1086" i="489"/>
  <c r="DP1087" i="489"/>
  <c r="DP1091" i="489"/>
  <c r="DP1092" i="489"/>
  <c r="DP1093" i="489"/>
  <c r="DP1049" i="489"/>
  <c r="DP1044" i="489"/>
  <c r="DP1045" i="489"/>
  <c r="DP1046" i="489"/>
  <c r="DP1047" i="489"/>
  <c r="DP1048" i="489"/>
  <c r="DP1058" i="489"/>
  <c r="DP1059" i="489"/>
  <c r="DP1063" i="489"/>
  <c r="DP1064" i="489"/>
  <c r="DP1065" i="489"/>
  <c r="DP1020" i="489"/>
  <c r="DP1021" i="489"/>
  <c r="DP1030" i="489"/>
  <c r="DP1016" i="489"/>
  <c r="DP1017" i="489"/>
  <c r="DP1018" i="489"/>
  <c r="DP1019" i="489"/>
  <c r="DP1031" i="489"/>
  <c r="DP1035" i="489"/>
  <c r="DP1036" i="489"/>
  <c r="DP1037" i="489"/>
  <c r="DP1013" i="489"/>
  <c r="DP1056" i="489"/>
  <c r="DP1029" i="489"/>
  <c r="DP1015" i="489"/>
  <c r="DP1061" i="489"/>
  <c r="DP1070" i="489"/>
  <c r="DP1084" i="489"/>
  <c r="DP1081" i="489"/>
  <c r="DP1042" i="489"/>
  <c r="DP1090" i="489"/>
  <c r="DP1100" i="489"/>
  <c r="DP1097" i="489"/>
  <c r="DP1041" i="489"/>
  <c r="DP1052" i="489"/>
  <c r="DP1034" i="489"/>
  <c r="DP1033" i="489"/>
  <c r="DP1025" i="489"/>
  <c r="DP1055" i="489"/>
  <c r="DP1057" i="489"/>
  <c r="DP1024" i="489"/>
  <c r="DP1028" i="489"/>
  <c r="DP1043" i="489"/>
  <c r="DP1023" i="489"/>
  <c r="DP1027" i="489"/>
  <c r="DP1014" i="489"/>
  <c r="DP1053" i="489"/>
  <c r="DP1026" i="489"/>
  <c r="DP1082" i="489"/>
  <c r="DP1101" i="489"/>
  <c r="DP1111" i="489"/>
  <c r="DP1072" i="489"/>
  <c r="DP1069" i="489"/>
  <c r="DP1083" i="489"/>
  <c r="DP1080" i="489"/>
  <c r="DP1089" i="489"/>
  <c r="DP1099" i="489"/>
  <c r="DP1051" i="489"/>
  <c r="DP1112" i="489"/>
  <c r="DP1062" i="489"/>
  <c r="DP1085" i="489"/>
  <c r="DP1079" i="489"/>
  <c r="DP1098" i="489"/>
  <c r="DP1054" i="489"/>
  <c r="DP1110" i="489"/>
  <c r="DP1107" i="489"/>
  <c r="DP1128" i="489"/>
  <c r="DP1125" i="489"/>
  <c r="DP1138" i="489"/>
  <c r="DP1135" i="489"/>
  <c r="DP1071" i="489"/>
  <c r="DP1108" i="489"/>
  <c r="DP1109" i="489"/>
  <c r="DP1127" i="489"/>
  <c r="DP1146" i="489"/>
  <c r="DP1154" i="489"/>
  <c r="DP1168" i="489"/>
  <c r="DP1165" i="489"/>
  <c r="DP1137" i="489"/>
  <c r="DP1175" i="489"/>
  <c r="DP1145" i="489"/>
  <c r="DP1153" i="489"/>
  <c r="DP1167" i="489"/>
  <c r="DP1164" i="489"/>
  <c r="DP1174" i="489"/>
  <c r="DP1118" i="489"/>
  <c r="DP1155" i="489"/>
  <c r="DP1140" i="489"/>
  <c r="DP1169" i="489"/>
  <c r="DP1166" i="489"/>
  <c r="DP1163" i="489"/>
  <c r="DP1173" i="489"/>
  <c r="DP1117" i="489"/>
  <c r="DP1126" i="489"/>
  <c r="DP1139" i="489"/>
  <c r="DP1136" i="489"/>
  <c r="ED1156" i="489"/>
  <c r="ED1157" i="489"/>
  <c r="ED1158" i="489"/>
  <c r="ED1159" i="489"/>
  <c r="ED1160" i="489"/>
  <c r="ED1161" i="489"/>
  <c r="ED1176" i="489"/>
  <c r="ED1177" i="489"/>
  <c r="ED1170" i="489"/>
  <c r="ED1171" i="489"/>
  <c r="ED1129" i="489"/>
  <c r="ED1130" i="489"/>
  <c r="ED1131" i="489"/>
  <c r="ED1132" i="489"/>
  <c r="ED1133" i="489"/>
  <c r="ED1141" i="489"/>
  <c r="ED1142" i="489"/>
  <c r="ED1143" i="489"/>
  <c r="ED1147" i="489"/>
  <c r="ED1148" i="489"/>
  <c r="ED1149" i="489"/>
  <c r="ED1102" i="489"/>
  <c r="ED1103" i="489"/>
  <c r="ED1104" i="489"/>
  <c r="ED1105" i="489"/>
  <c r="ED1114" i="489"/>
  <c r="ED1115" i="489"/>
  <c r="ED1119" i="489"/>
  <c r="ED1120" i="489"/>
  <c r="ED1121" i="489"/>
  <c r="ED1113" i="489"/>
  <c r="ED1073" i="489"/>
  <c r="ED1074" i="489"/>
  <c r="ED1075" i="489"/>
  <c r="ED1076" i="489"/>
  <c r="ED1077" i="489"/>
  <c r="ED1086" i="489"/>
  <c r="ED1087" i="489"/>
  <c r="ED1091" i="489"/>
  <c r="ED1093" i="489"/>
  <c r="ED1092" i="489"/>
  <c r="ED1048" i="489"/>
  <c r="ED1049" i="489"/>
  <c r="ED1044" i="489"/>
  <c r="ED1045" i="489"/>
  <c r="ED1046" i="489"/>
  <c r="ED1047" i="489"/>
  <c r="ED1065" i="489"/>
  <c r="ED1058" i="489"/>
  <c r="ED1059" i="489"/>
  <c r="ED1063" i="489"/>
  <c r="ED1064" i="489"/>
  <c r="ED1019" i="489"/>
  <c r="ED1020" i="489"/>
  <c r="ED1021" i="489"/>
  <c r="ED1030" i="489"/>
  <c r="ED1016" i="489"/>
  <c r="ED1017" i="489"/>
  <c r="ED1018" i="489"/>
  <c r="ED1031" i="489"/>
  <c r="ED1035" i="489"/>
  <c r="ED1036" i="489"/>
  <c r="ED1037" i="489"/>
  <c r="ED1025" i="489"/>
  <c r="ED1026" i="489"/>
  <c r="ED1056" i="489"/>
  <c r="ED1033" i="489"/>
  <c r="ED1028" i="489"/>
  <c r="ED1029" i="489"/>
  <c r="ED1057" i="489"/>
  <c r="ED1024" i="489"/>
  <c r="ED1071" i="489"/>
  <c r="ED1085" i="489"/>
  <c r="ED1014" i="489"/>
  <c r="ED1042" i="489"/>
  <c r="ED1015" i="489"/>
  <c r="ED1043" i="489"/>
  <c r="ED1062" i="489"/>
  <c r="ED1082" i="489"/>
  <c r="ED1027" i="489"/>
  <c r="ED1101" i="489"/>
  <c r="ED1034" i="489"/>
  <c r="ED1023" i="489"/>
  <c r="ED1053" i="489"/>
  <c r="ED1013" i="489"/>
  <c r="ED1041" i="489"/>
  <c r="ED1111" i="489"/>
  <c r="ED1079" i="489"/>
  <c r="ED1069" i="489"/>
  <c r="ED1098" i="489"/>
  <c r="ED1083" i="489"/>
  <c r="ED1061" i="489"/>
  <c r="ED1070" i="489"/>
  <c r="ED1051" i="489"/>
  <c r="ED1080" i="489"/>
  <c r="ED1084" i="489"/>
  <c r="ED1108" i="489"/>
  <c r="ED1089" i="489"/>
  <c r="ED1081" i="489"/>
  <c r="ED1117" i="489"/>
  <c r="ED1127" i="489"/>
  <c r="ED1099" i="489"/>
  <c r="ED1052" i="489"/>
  <c r="ED1090" i="489"/>
  <c r="ED1126" i="489"/>
  <c r="ED1054" i="489"/>
  <c r="ED1112" i="489"/>
  <c r="ED1100" i="489"/>
  <c r="ED1139" i="489"/>
  <c r="ED1137" i="489"/>
  <c r="ED1097" i="489"/>
  <c r="ED1136" i="489"/>
  <c r="ED1055" i="489"/>
  <c r="ED1110" i="489"/>
  <c r="ED1072" i="489"/>
  <c r="ED1153" i="489"/>
  <c r="ED1163" i="489"/>
  <c r="ED1118" i="489"/>
  <c r="ED1167" i="489"/>
  <c r="ED1173" i="489"/>
  <c r="ED1107" i="489"/>
  <c r="ED1164" i="489"/>
  <c r="ED1109" i="489"/>
  <c r="ED1128" i="489"/>
  <c r="ED1174" i="489"/>
  <c r="ED1125" i="489"/>
  <c r="ED1138" i="489"/>
  <c r="ED1135" i="489"/>
  <c r="ED1146" i="489"/>
  <c r="ED1140" i="489"/>
  <c r="ED1154" i="489"/>
  <c r="ED1168" i="489"/>
  <c r="ED1155" i="489"/>
  <c r="ED1165" i="489"/>
  <c r="ED1169" i="489"/>
  <c r="ED1145" i="489"/>
  <c r="ED1175" i="489"/>
  <c r="ED1166" i="489"/>
  <c r="L1008" i="489"/>
  <c r="L1156" i="489"/>
  <c r="L1157" i="489"/>
  <c r="L1158" i="489"/>
  <c r="L1159" i="489"/>
  <c r="L1160" i="489"/>
  <c r="L1161" i="489"/>
  <c r="L1170" i="489"/>
  <c r="L1171" i="489"/>
  <c r="L1176" i="489"/>
  <c r="L1177" i="489"/>
  <c r="L1129" i="489"/>
  <c r="L1130" i="489"/>
  <c r="L1141" i="489"/>
  <c r="L1142" i="489"/>
  <c r="L1143" i="489"/>
  <c r="L1147" i="489"/>
  <c r="L1148" i="489"/>
  <c r="L1149" i="489"/>
  <c r="L1131" i="489"/>
  <c r="L1132" i="489"/>
  <c r="L1133" i="489"/>
  <c r="L1103" i="489"/>
  <c r="L1104" i="489"/>
  <c r="L1105" i="489"/>
  <c r="L1113" i="489"/>
  <c r="L1114" i="489"/>
  <c r="L1102" i="489"/>
  <c r="L1115" i="489"/>
  <c r="L1119" i="489"/>
  <c r="L1120" i="489"/>
  <c r="L1121" i="489"/>
  <c r="L1073" i="489"/>
  <c r="L1074" i="489"/>
  <c r="L1075" i="489"/>
  <c r="L1076" i="489"/>
  <c r="L1077" i="489"/>
  <c r="L1086" i="489"/>
  <c r="L1087" i="489"/>
  <c r="L1091" i="489"/>
  <c r="L1092" i="489"/>
  <c r="L1093" i="489"/>
  <c r="L1044" i="489"/>
  <c r="L1045" i="489"/>
  <c r="L1046" i="489"/>
  <c r="L1047" i="489"/>
  <c r="L1048" i="489"/>
  <c r="L1049" i="489"/>
  <c r="L1058" i="489"/>
  <c r="L1059" i="489"/>
  <c r="L1063" i="489"/>
  <c r="L1064" i="489"/>
  <c r="L1065" i="489"/>
  <c r="L1030" i="489"/>
  <c r="L1016" i="489"/>
  <c r="L1017" i="489"/>
  <c r="L1018" i="489"/>
  <c r="L1019" i="489"/>
  <c r="L1020" i="489"/>
  <c r="L1021" i="489"/>
  <c r="L1031" i="489"/>
  <c r="L1035" i="489"/>
  <c r="L1036" i="489"/>
  <c r="L1037" i="489"/>
  <c r="L1042" i="489"/>
  <c r="L1090" i="489"/>
  <c r="L1100" i="489"/>
  <c r="L1097" i="489"/>
  <c r="L1041" i="489"/>
  <c r="L1052" i="489"/>
  <c r="L1034" i="489"/>
  <c r="L1033" i="489"/>
  <c r="L1025" i="489"/>
  <c r="L1055" i="489"/>
  <c r="L1024" i="489"/>
  <c r="L1028" i="489"/>
  <c r="L1043" i="489"/>
  <c r="L1085" i="489"/>
  <c r="L1082" i="489"/>
  <c r="L1079" i="489"/>
  <c r="L1101" i="489"/>
  <c r="L1098" i="489"/>
  <c r="L1111" i="489"/>
  <c r="L1023" i="489"/>
  <c r="L1027" i="489"/>
  <c r="L1014" i="489"/>
  <c r="L1026" i="489"/>
  <c r="L1013" i="489"/>
  <c r="L1056" i="489"/>
  <c r="L1029" i="489"/>
  <c r="L1015" i="489"/>
  <c r="L1061" i="489"/>
  <c r="L1070" i="489"/>
  <c r="L1084" i="489"/>
  <c r="L1081" i="489"/>
  <c r="L1062" i="489"/>
  <c r="L1072" i="489"/>
  <c r="L1069" i="489"/>
  <c r="L1083" i="489"/>
  <c r="L1080" i="489"/>
  <c r="L1089" i="489"/>
  <c r="L1099" i="489"/>
  <c r="L1051" i="489"/>
  <c r="L1112" i="489"/>
  <c r="L1054" i="489"/>
  <c r="L1110" i="489"/>
  <c r="L1107" i="489"/>
  <c r="L1071" i="489"/>
  <c r="L1057" i="489"/>
  <c r="L1128" i="489"/>
  <c r="L1125" i="489"/>
  <c r="L1138" i="489"/>
  <c r="L1135" i="489"/>
  <c r="L1108" i="489"/>
  <c r="L1117" i="489"/>
  <c r="L1126" i="489"/>
  <c r="L1139" i="489"/>
  <c r="L1136" i="489"/>
  <c r="L1109" i="489"/>
  <c r="L1146" i="489"/>
  <c r="L1154" i="489"/>
  <c r="L1168" i="489"/>
  <c r="L1165" i="489"/>
  <c r="L1175" i="489"/>
  <c r="L1118" i="489"/>
  <c r="L1145" i="489"/>
  <c r="L1167" i="489"/>
  <c r="L1164" i="489"/>
  <c r="L1174" i="489"/>
  <c r="L1140" i="489"/>
  <c r="L1155" i="489"/>
  <c r="L1169" i="489"/>
  <c r="L1166" i="489"/>
  <c r="L1163" i="489"/>
  <c r="L1173" i="489"/>
  <c r="L1127" i="489"/>
  <c r="X1008" i="489"/>
  <c r="X1156" i="489"/>
  <c r="X1157" i="489"/>
  <c r="X1158" i="489"/>
  <c r="X1159" i="489"/>
  <c r="X1160" i="489"/>
  <c r="X1161" i="489"/>
  <c r="X1170" i="489"/>
  <c r="X1171" i="489"/>
  <c r="X1176" i="489"/>
  <c r="X1177" i="489"/>
  <c r="X1129" i="489"/>
  <c r="X1130" i="489"/>
  <c r="X1141" i="489"/>
  <c r="X1142" i="489"/>
  <c r="X1143" i="489"/>
  <c r="X1147" i="489"/>
  <c r="X1148" i="489"/>
  <c r="X1149" i="489"/>
  <c r="X1131" i="489"/>
  <c r="X1132" i="489"/>
  <c r="X1133" i="489"/>
  <c r="X1102" i="489"/>
  <c r="X1103" i="489"/>
  <c r="X1104" i="489"/>
  <c r="X1105" i="489"/>
  <c r="X1113" i="489"/>
  <c r="X1114" i="489"/>
  <c r="X1115" i="489"/>
  <c r="X1119" i="489"/>
  <c r="X1120" i="489"/>
  <c r="X1121" i="489"/>
  <c r="X1073" i="489"/>
  <c r="X1074" i="489"/>
  <c r="X1075" i="489"/>
  <c r="X1076" i="489"/>
  <c r="X1077" i="489"/>
  <c r="X1086" i="489"/>
  <c r="X1087" i="489"/>
  <c r="X1091" i="489"/>
  <c r="X1093" i="489"/>
  <c r="X1092" i="489"/>
  <c r="X1044" i="489"/>
  <c r="X1045" i="489"/>
  <c r="X1046" i="489"/>
  <c r="X1047" i="489"/>
  <c r="X1048" i="489"/>
  <c r="X1049" i="489"/>
  <c r="X1058" i="489"/>
  <c r="X1059" i="489"/>
  <c r="X1063" i="489"/>
  <c r="X1064" i="489"/>
  <c r="X1065" i="489"/>
  <c r="X1030" i="489"/>
  <c r="X1016" i="489"/>
  <c r="X1017" i="489"/>
  <c r="X1018" i="489"/>
  <c r="X1019" i="489"/>
  <c r="X1020" i="489"/>
  <c r="X1021" i="489"/>
  <c r="X1031" i="489"/>
  <c r="X1035" i="489"/>
  <c r="X1036" i="489"/>
  <c r="X1037" i="489"/>
  <c r="X1041" i="489"/>
  <c r="X1052" i="489"/>
  <c r="X1034" i="489"/>
  <c r="X1033" i="489"/>
  <c r="X1025" i="489"/>
  <c r="X1055" i="489"/>
  <c r="X1024" i="489"/>
  <c r="X1028" i="489"/>
  <c r="X1043" i="489"/>
  <c r="X1023" i="489"/>
  <c r="X1062" i="489"/>
  <c r="X1027" i="489"/>
  <c r="X1014" i="489"/>
  <c r="X1053" i="489"/>
  <c r="X1026" i="489"/>
  <c r="X1013" i="489"/>
  <c r="X1056" i="489"/>
  <c r="X1029" i="489"/>
  <c r="X1015" i="489"/>
  <c r="X1061" i="489"/>
  <c r="X1070" i="489"/>
  <c r="X1084" i="489"/>
  <c r="X1081" i="489"/>
  <c r="X1042" i="489"/>
  <c r="X1090" i="489"/>
  <c r="X1100" i="489"/>
  <c r="X1097" i="489"/>
  <c r="X1072" i="489"/>
  <c r="X1069" i="489"/>
  <c r="X1083" i="489"/>
  <c r="X1080" i="489"/>
  <c r="X1089" i="489"/>
  <c r="X1099" i="489"/>
  <c r="X1085" i="489"/>
  <c r="X1079" i="489"/>
  <c r="X1098" i="489"/>
  <c r="X1051" i="489"/>
  <c r="X1112" i="489"/>
  <c r="X1054" i="489"/>
  <c r="X1110" i="489"/>
  <c r="X1107" i="489"/>
  <c r="X1071" i="489"/>
  <c r="X1057" i="489"/>
  <c r="X1128" i="489"/>
  <c r="X1125" i="489"/>
  <c r="X1138" i="489"/>
  <c r="X1135" i="489"/>
  <c r="X1108" i="489"/>
  <c r="X1117" i="489"/>
  <c r="X1126" i="489"/>
  <c r="X1139" i="489"/>
  <c r="X1136" i="489"/>
  <c r="X1082" i="489"/>
  <c r="X1101" i="489"/>
  <c r="X1111" i="489"/>
  <c r="X1118" i="489"/>
  <c r="X1127" i="489"/>
  <c r="X1175" i="489"/>
  <c r="X1145" i="489"/>
  <c r="X1167" i="489"/>
  <c r="X1164" i="489"/>
  <c r="X1174" i="489"/>
  <c r="X1140" i="489"/>
  <c r="X1155" i="489"/>
  <c r="X1169" i="489"/>
  <c r="X1166" i="489"/>
  <c r="X1163" i="489"/>
  <c r="X1173" i="489"/>
  <c r="X1109" i="489"/>
  <c r="X1137" i="489"/>
  <c r="X1146" i="489"/>
  <c r="X1154" i="489"/>
  <c r="X1168" i="489"/>
  <c r="X1165" i="489"/>
  <c r="AK1000" i="489"/>
  <c r="AK1156" i="489"/>
  <c r="AK1157" i="489"/>
  <c r="AK1158" i="489"/>
  <c r="AK1159" i="489"/>
  <c r="AK1160" i="489"/>
  <c r="AK1161" i="489"/>
  <c r="AK1170" i="489"/>
  <c r="AK1171" i="489"/>
  <c r="AK1176" i="489"/>
  <c r="AK1177" i="489"/>
  <c r="AK1130" i="489"/>
  <c r="AK1131" i="489"/>
  <c r="AK1132" i="489"/>
  <c r="AK1133" i="489"/>
  <c r="AK1129" i="489"/>
  <c r="AK1141" i="489"/>
  <c r="AK1142" i="489"/>
  <c r="AK1143" i="489"/>
  <c r="AK1147" i="489"/>
  <c r="AK1148" i="489"/>
  <c r="AK1149" i="489"/>
  <c r="AK1102" i="489"/>
  <c r="AK1103" i="489"/>
  <c r="AK1104" i="489"/>
  <c r="AK1105" i="489"/>
  <c r="AK1113" i="489"/>
  <c r="AK1115" i="489"/>
  <c r="AK1119" i="489"/>
  <c r="AK1120" i="489"/>
  <c r="AK1121" i="489"/>
  <c r="AK1114" i="489"/>
  <c r="AK1073" i="489"/>
  <c r="AK1074" i="489"/>
  <c r="AK1075" i="489"/>
  <c r="AK1076" i="489"/>
  <c r="AK1077" i="489"/>
  <c r="AK1086" i="489"/>
  <c r="AK1087" i="489"/>
  <c r="AK1092" i="489"/>
  <c r="AK1093" i="489"/>
  <c r="AK1091" i="489"/>
  <c r="AK1044" i="489"/>
  <c r="AK1045" i="489"/>
  <c r="AK1046" i="489"/>
  <c r="AK1047" i="489"/>
  <c r="AK1048" i="489"/>
  <c r="AK1049" i="489"/>
  <c r="AK1058" i="489"/>
  <c r="AK1059" i="489"/>
  <c r="AK1063" i="489"/>
  <c r="AK1064" i="489"/>
  <c r="AK1065" i="489"/>
  <c r="AK1016" i="489"/>
  <c r="AK1017" i="489"/>
  <c r="AK1018" i="489"/>
  <c r="AK1019" i="489"/>
  <c r="AK1020" i="489"/>
  <c r="AK1021" i="489"/>
  <c r="AK1035" i="489"/>
  <c r="AK1036" i="489"/>
  <c r="AK1030" i="489"/>
  <c r="AK1037" i="489"/>
  <c r="AK1031" i="489"/>
  <c r="AK1071" i="489"/>
  <c r="AK1085" i="489"/>
  <c r="AK1082" i="489"/>
  <c r="AK1079" i="489"/>
  <c r="AK1101" i="489"/>
  <c r="AK1098" i="489"/>
  <c r="AK1062" i="489"/>
  <c r="AK1056" i="489"/>
  <c r="AK1057" i="489"/>
  <c r="AK1042" i="489"/>
  <c r="AK1043" i="489"/>
  <c r="AK1034" i="489"/>
  <c r="AK1023" i="489"/>
  <c r="AK1033" i="489"/>
  <c r="AK1026" i="489"/>
  <c r="AK1028" i="489"/>
  <c r="AK1029" i="489"/>
  <c r="AK1027" i="489"/>
  <c r="AK1015" i="489"/>
  <c r="AK1117" i="489"/>
  <c r="AK1139" i="489"/>
  <c r="AK1111" i="489"/>
  <c r="AK1070" i="489"/>
  <c r="AK1084" i="489"/>
  <c r="AK1090" i="489"/>
  <c r="AK1100" i="489"/>
  <c r="AK1097" i="489"/>
  <c r="AK1072" i="489"/>
  <c r="AK1083" i="489"/>
  <c r="AK1089" i="489"/>
  <c r="AK1099" i="489"/>
  <c r="AK1112" i="489"/>
  <c r="AK1061" i="489"/>
  <c r="AK1054" i="489"/>
  <c r="AK1055" i="489"/>
  <c r="AK1118" i="489"/>
  <c r="AK1127" i="489"/>
  <c r="AK1140" i="489"/>
  <c r="AK1146" i="489"/>
  <c r="AK1107" i="489"/>
  <c r="AK1128" i="489"/>
  <c r="AK1125" i="489"/>
  <c r="AK1135" i="489"/>
  <c r="AK1145" i="489"/>
  <c r="AK1167" i="489"/>
  <c r="AK1174" i="489"/>
  <c r="AK1155" i="489"/>
  <c r="AK1169" i="489"/>
  <c r="AK1166" i="489"/>
  <c r="AK1173" i="489"/>
  <c r="AK1154" i="489"/>
  <c r="AK1168" i="489"/>
  <c r="AK1175" i="489"/>
  <c r="AW1007" i="489"/>
  <c r="AW1156" i="489"/>
  <c r="AW1157" i="489"/>
  <c r="AW1158" i="489"/>
  <c r="AW1159" i="489"/>
  <c r="AW1161" i="489"/>
  <c r="AW1170" i="489"/>
  <c r="AW1171" i="489"/>
  <c r="AW1176" i="489"/>
  <c r="AW1177" i="489"/>
  <c r="AW1160" i="489"/>
  <c r="AW1130" i="489"/>
  <c r="AW1131" i="489"/>
  <c r="AW1132" i="489"/>
  <c r="AW1133" i="489"/>
  <c r="AW1129" i="489"/>
  <c r="AW1141" i="489"/>
  <c r="AW1142" i="489"/>
  <c r="AW1143" i="489"/>
  <c r="AW1147" i="489"/>
  <c r="AW1148" i="489"/>
  <c r="AW1149" i="489"/>
  <c r="AW1102" i="489"/>
  <c r="AW1103" i="489"/>
  <c r="AW1104" i="489"/>
  <c r="AW1105" i="489"/>
  <c r="AW1113" i="489"/>
  <c r="AW1114" i="489"/>
  <c r="AW1115" i="489"/>
  <c r="AW1119" i="489"/>
  <c r="AW1120" i="489"/>
  <c r="AW1121" i="489"/>
  <c r="AW1073" i="489"/>
  <c r="AW1074" i="489"/>
  <c r="AW1075" i="489"/>
  <c r="AW1076" i="489"/>
  <c r="AW1077" i="489"/>
  <c r="AW1092" i="489"/>
  <c r="AW1093" i="489"/>
  <c r="AW1086" i="489"/>
  <c r="AW1087" i="489"/>
  <c r="AW1091" i="489"/>
  <c r="AW1044" i="489"/>
  <c r="AW1045" i="489"/>
  <c r="AW1046" i="489"/>
  <c r="AW1047" i="489"/>
  <c r="AW1048" i="489"/>
  <c r="AW1049" i="489"/>
  <c r="AW1058" i="489"/>
  <c r="AW1059" i="489"/>
  <c r="AW1063" i="489"/>
  <c r="AW1064" i="489"/>
  <c r="AW1065" i="489"/>
  <c r="AW1016" i="489"/>
  <c r="AW1017" i="489"/>
  <c r="AW1018" i="489"/>
  <c r="AW1019" i="489"/>
  <c r="AW1020" i="489"/>
  <c r="AW1021" i="489"/>
  <c r="AW1035" i="489"/>
  <c r="AW1036" i="489"/>
  <c r="AW1037" i="489"/>
  <c r="AW1030" i="489"/>
  <c r="AW1031" i="489"/>
  <c r="AW1053" i="489"/>
  <c r="AW1062" i="489"/>
  <c r="AW1056" i="489"/>
  <c r="AW1057" i="489"/>
  <c r="AW1042" i="489"/>
  <c r="AW1043" i="489"/>
  <c r="AW1041" i="489"/>
  <c r="AW1034" i="489"/>
  <c r="AW1023" i="489"/>
  <c r="AW1033" i="489"/>
  <c r="AW1025" i="489"/>
  <c r="AW1026" i="489"/>
  <c r="AW1024" i="489"/>
  <c r="AW1028" i="489"/>
  <c r="AW1029" i="489"/>
  <c r="AW1027" i="489"/>
  <c r="AW1014" i="489"/>
  <c r="AW1015" i="489"/>
  <c r="AW1013" i="489"/>
  <c r="AW1071" i="489"/>
  <c r="AW1085" i="489"/>
  <c r="AW1082" i="489"/>
  <c r="AW1079" i="489"/>
  <c r="AW1101" i="489"/>
  <c r="AW1098" i="489"/>
  <c r="AW1111" i="489"/>
  <c r="AW1108" i="489"/>
  <c r="AW1117" i="489"/>
  <c r="AW1126" i="489"/>
  <c r="AW1139" i="489"/>
  <c r="AW1136" i="489"/>
  <c r="AW1070" i="489"/>
  <c r="AW1084" i="489"/>
  <c r="AW1081" i="489"/>
  <c r="AW1090" i="489"/>
  <c r="AW1100" i="489"/>
  <c r="AW1097" i="489"/>
  <c r="AW1072" i="489"/>
  <c r="AW1069" i="489"/>
  <c r="AW1083" i="489"/>
  <c r="AW1089" i="489"/>
  <c r="AW1099" i="489"/>
  <c r="AW1112" i="489"/>
  <c r="AW1061" i="489"/>
  <c r="AW1051" i="489"/>
  <c r="AW1052" i="489"/>
  <c r="AW1054" i="489"/>
  <c r="AW1055" i="489"/>
  <c r="AW1140" i="489"/>
  <c r="AW1146" i="489"/>
  <c r="AW1118" i="489"/>
  <c r="AW1110" i="489"/>
  <c r="AW1107" i="489"/>
  <c r="AW1128" i="489"/>
  <c r="AW1125" i="489"/>
  <c r="AW1138" i="489"/>
  <c r="AW1135" i="489"/>
  <c r="AW1109" i="489"/>
  <c r="AW1127" i="489"/>
  <c r="AW1137" i="489"/>
  <c r="AW1145" i="489"/>
  <c r="AW1153" i="489"/>
  <c r="AW1167" i="489"/>
  <c r="AW1164" i="489"/>
  <c r="AW1174" i="489"/>
  <c r="AW1155" i="489"/>
  <c r="AW1169" i="489"/>
  <c r="AW1166" i="489"/>
  <c r="AW1163" i="489"/>
  <c r="AW1173" i="489"/>
  <c r="AW1154" i="489"/>
  <c r="AW1168" i="489"/>
  <c r="AW1165" i="489"/>
  <c r="AW1175" i="489"/>
  <c r="BI985" i="489"/>
  <c r="BI1156" i="489"/>
  <c r="BI1157" i="489"/>
  <c r="BI1158" i="489"/>
  <c r="BI1159" i="489"/>
  <c r="BI1160" i="489"/>
  <c r="BI1161" i="489"/>
  <c r="BI1170" i="489"/>
  <c r="BI1171" i="489"/>
  <c r="BI1176" i="489"/>
  <c r="BI1177" i="489"/>
  <c r="BI1130" i="489"/>
  <c r="BI1131" i="489"/>
  <c r="BI1132" i="489"/>
  <c r="BI1133" i="489"/>
  <c r="BI1129" i="489"/>
  <c r="BI1141" i="489"/>
  <c r="BI1142" i="489"/>
  <c r="BI1143" i="489"/>
  <c r="BI1147" i="489"/>
  <c r="BI1148" i="489"/>
  <c r="BI1149" i="489"/>
  <c r="BI1102" i="489"/>
  <c r="BI1103" i="489"/>
  <c r="BI1104" i="489"/>
  <c r="BI1105" i="489"/>
  <c r="BI1113" i="489"/>
  <c r="BI1114" i="489"/>
  <c r="BI1115" i="489"/>
  <c r="BI1119" i="489"/>
  <c r="BI1120" i="489"/>
  <c r="BI1121" i="489"/>
  <c r="BI1073" i="489"/>
  <c r="BI1074" i="489"/>
  <c r="BI1075" i="489"/>
  <c r="BI1076" i="489"/>
  <c r="BI1077" i="489"/>
  <c r="BI1093" i="489"/>
  <c r="BI1092" i="489"/>
  <c r="BI1086" i="489"/>
  <c r="BI1087" i="489"/>
  <c r="BI1091" i="489"/>
  <c r="BI1044" i="489"/>
  <c r="BI1045" i="489"/>
  <c r="BI1046" i="489"/>
  <c r="BI1047" i="489"/>
  <c r="BI1048" i="489"/>
  <c r="BI1049" i="489"/>
  <c r="BI1058" i="489"/>
  <c r="BI1059" i="489"/>
  <c r="BI1063" i="489"/>
  <c r="BI1064" i="489"/>
  <c r="BI1065" i="489"/>
  <c r="BI1016" i="489"/>
  <c r="BI1017" i="489"/>
  <c r="BI1018" i="489"/>
  <c r="BI1019" i="489"/>
  <c r="BI1020" i="489"/>
  <c r="BI1021" i="489"/>
  <c r="BI1030" i="489"/>
  <c r="BI1035" i="489"/>
  <c r="BI1036" i="489"/>
  <c r="BI1037" i="489"/>
  <c r="BI1031" i="489"/>
  <c r="BI1056" i="489"/>
  <c r="BI1057" i="489"/>
  <c r="BI1042" i="489"/>
  <c r="BI1043" i="489"/>
  <c r="BI1041" i="489"/>
  <c r="BI1034" i="489"/>
  <c r="BI1023" i="489"/>
  <c r="BI1033" i="489"/>
  <c r="BI1025" i="489"/>
  <c r="BI1026" i="489"/>
  <c r="BI1024" i="489"/>
  <c r="BI1028" i="489"/>
  <c r="BI1029" i="489"/>
  <c r="BI1027" i="489"/>
  <c r="BI1014" i="489"/>
  <c r="BI1015" i="489"/>
  <c r="BI1013" i="489"/>
  <c r="BI1053" i="489"/>
  <c r="BI1054" i="489"/>
  <c r="BI1062" i="489"/>
  <c r="BI1111" i="489"/>
  <c r="BI1108" i="489"/>
  <c r="BI1070" i="489"/>
  <c r="BI1084" i="489"/>
  <c r="BI1081" i="489"/>
  <c r="BI1090" i="489"/>
  <c r="BI1100" i="489"/>
  <c r="BI1097" i="489"/>
  <c r="BI1072" i="489"/>
  <c r="BI1069" i="489"/>
  <c r="BI1083" i="489"/>
  <c r="BI1080" i="489"/>
  <c r="BI1089" i="489"/>
  <c r="BI1099" i="489"/>
  <c r="BI1112" i="489"/>
  <c r="BI1061" i="489"/>
  <c r="BI1071" i="489"/>
  <c r="BI1079" i="489"/>
  <c r="BI1098" i="489"/>
  <c r="BI1051" i="489"/>
  <c r="BI1052" i="489"/>
  <c r="BI1085" i="489"/>
  <c r="BI1055" i="489"/>
  <c r="BI1109" i="489"/>
  <c r="BI1118" i="489"/>
  <c r="BI1082" i="489"/>
  <c r="BI1101" i="489"/>
  <c r="BI1117" i="489"/>
  <c r="BI1126" i="489"/>
  <c r="BI1139" i="489"/>
  <c r="BI1136" i="489"/>
  <c r="BI1140" i="489"/>
  <c r="BI1146" i="489"/>
  <c r="BI1110" i="489"/>
  <c r="BI1107" i="489"/>
  <c r="BI1128" i="489"/>
  <c r="BI1125" i="489"/>
  <c r="BI1138" i="489"/>
  <c r="BI1135" i="489"/>
  <c r="BI1127" i="489"/>
  <c r="BI1137" i="489"/>
  <c r="BI1145" i="489"/>
  <c r="BI1153" i="489"/>
  <c r="BI1167" i="489"/>
  <c r="BI1164" i="489"/>
  <c r="BI1174" i="489"/>
  <c r="BI1155" i="489"/>
  <c r="BI1169" i="489"/>
  <c r="BI1166" i="489"/>
  <c r="BI1163" i="489"/>
  <c r="BI1173" i="489"/>
  <c r="BI1154" i="489"/>
  <c r="BI1168" i="489"/>
  <c r="BI1165" i="489"/>
  <c r="BI1175" i="489"/>
  <c r="BU1003" i="489"/>
  <c r="BU1159" i="489"/>
  <c r="BU1157" i="489"/>
  <c r="BU1156" i="489"/>
  <c r="BU1160" i="489"/>
  <c r="BU1161" i="489"/>
  <c r="BU1158" i="489"/>
  <c r="BU1170" i="489"/>
  <c r="BU1171" i="489"/>
  <c r="BU1176" i="489"/>
  <c r="BU1177" i="489"/>
  <c r="BU1130" i="489"/>
  <c r="BU1131" i="489"/>
  <c r="BU1132" i="489"/>
  <c r="BU1133" i="489"/>
  <c r="BU1129" i="489"/>
  <c r="BU1141" i="489"/>
  <c r="BU1142" i="489"/>
  <c r="BU1143" i="489"/>
  <c r="BU1147" i="489"/>
  <c r="BU1148" i="489"/>
  <c r="BU1149" i="489"/>
  <c r="BU1102" i="489"/>
  <c r="BU1103" i="489"/>
  <c r="BU1104" i="489"/>
  <c r="BU1105" i="489"/>
  <c r="BU1113" i="489"/>
  <c r="BU1114" i="489"/>
  <c r="BU1115" i="489"/>
  <c r="BU1119" i="489"/>
  <c r="BU1120" i="489"/>
  <c r="BU1121" i="489"/>
  <c r="BU1073" i="489"/>
  <c r="BU1074" i="489"/>
  <c r="BU1075" i="489"/>
  <c r="BU1076" i="489"/>
  <c r="BU1077" i="489"/>
  <c r="BU1091" i="489"/>
  <c r="BU1093" i="489"/>
  <c r="BU1086" i="489"/>
  <c r="BU1087" i="489"/>
  <c r="BU1092" i="489"/>
  <c r="BU1044" i="489"/>
  <c r="BU1045" i="489"/>
  <c r="BU1046" i="489"/>
  <c r="BU1047" i="489"/>
  <c r="BU1048" i="489"/>
  <c r="BU1049" i="489"/>
  <c r="BU1058" i="489"/>
  <c r="BU1059" i="489"/>
  <c r="BU1063" i="489"/>
  <c r="BU1064" i="489"/>
  <c r="BU1065" i="489"/>
  <c r="BU1016" i="489"/>
  <c r="BU1017" i="489"/>
  <c r="BU1018" i="489"/>
  <c r="BU1019" i="489"/>
  <c r="BU1020" i="489"/>
  <c r="BU1021" i="489"/>
  <c r="BU1030" i="489"/>
  <c r="BU1035" i="489"/>
  <c r="BU1036" i="489"/>
  <c r="BU1037" i="489"/>
  <c r="BU1031" i="489"/>
  <c r="BU1042" i="489"/>
  <c r="BU1043" i="489"/>
  <c r="BU1041" i="489"/>
  <c r="BU1034" i="489"/>
  <c r="BU1023" i="489"/>
  <c r="BU1033" i="489"/>
  <c r="BU1025" i="489"/>
  <c r="BU1026" i="489"/>
  <c r="BU1024" i="489"/>
  <c r="BU1028" i="489"/>
  <c r="BU1029" i="489"/>
  <c r="BU1027" i="489"/>
  <c r="BU1014" i="489"/>
  <c r="BU1015" i="489"/>
  <c r="BU1071" i="489"/>
  <c r="BU1085" i="489"/>
  <c r="BU1082" i="489"/>
  <c r="BU1079" i="489"/>
  <c r="BU1101" i="489"/>
  <c r="BU1098" i="489"/>
  <c r="BU1111" i="489"/>
  <c r="BU1108" i="489"/>
  <c r="BU1053" i="489"/>
  <c r="BU1054" i="489"/>
  <c r="BU1056" i="489"/>
  <c r="BU1057" i="489"/>
  <c r="BU1070" i="489"/>
  <c r="BU1084" i="489"/>
  <c r="BU1081" i="489"/>
  <c r="BU1090" i="489"/>
  <c r="BU1100" i="489"/>
  <c r="BU1097" i="489"/>
  <c r="BU1072" i="489"/>
  <c r="BU1069" i="489"/>
  <c r="BU1083" i="489"/>
  <c r="BU1080" i="489"/>
  <c r="BU1089" i="489"/>
  <c r="BU1099" i="489"/>
  <c r="BU1112" i="489"/>
  <c r="BU1061" i="489"/>
  <c r="BU1051" i="489"/>
  <c r="BU1052" i="489"/>
  <c r="BU1062" i="489"/>
  <c r="BU1055" i="489"/>
  <c r="BU1117" i="489"/>
  <c r="BU1126" i="489"/>
  <c r="BU1139" i="489"/>
  <c r="BU1136" i="489"/>
  <c r="BU1118" i="489"/>
  <c r="BU1110" i="489"/>
  <c r="BU1107" i="489"/>
  <c r="BU1128" i="489"/>
  <c r="BU1138" i="489"/>
  <c r="BU1135" i="489"/>
  <c r="BU1109" i="489"/>
  <c r="BU1127" i="489"/>
  <c r="BU1137" i="489"/>
  <c r="BU1145" i="489"/>
  <c r="BU1167" i="489"/>
  <c r="BU1164" i="489"/>
  <c r="BU1174" i="489"/>
  <c r="BU1155" i="489"/>
  <c r="BU1169" i="489"/>
  <c r="BU1166" i="489"/>
  <c r="BU1163" i="489"/>
  <c r="BU1173" i="489"/>
  <c r="BU1154" i="489"/>
  <c r="BU1168" i="489"/>
  <c r="BU1165" i="489"/>
  <c r="BU1175" i="489"/>
  <c r="BU1140" i="489"/>
  <c r="BU1146" i="489"/>
  <c r="CG998" i="489"/>
  <c r="CG1156" i="489"/>
  <c r="CG1157" i="489"/>
  <c r="CG1158" i="489"/>
  <c r="CG1159" i="489"/>
  <c r="CG1160" i="489"/>
  <c r="CG1161" i="489"/>
  <c r="CG1170" i="489"/>
  <c r="CG1171" i="489"/>
  <c r="CG1176" i="489"/>
  <c r="CG1177" i="489"/>
  <c r="CG1130" i="489"/>
  <c r="CG1131" i="489"/>
  <c r="CG1132" i="489"/>
  <c r="CG1133" i="489"/>
  <c r="CG1129" i="489"/>
  <c r="CG1141" i="489"/>
  <c r="CG1142" i="489"/>
  <c r="CG1143" i="489"/>
  <c r="CG1147" i="489"/>
  <c r="CG1148" i="489"/>
  <c r="CG1149" i="489"/>
  <c r="CG1102" i="489"/>
  <c r="CG1103" i="489"/>
  <c r="CG1104" i="489"/>
  <c r="CG1105" i="489"/>
  <c r="CG1113" i="489"/>
  <c r="CG1114" i="489"/>
  <c r="CG1115" i="489"/>
  <c r="CG1119" i="489"/>
  <c r="CG1120" i="489"/>
  <c r="CG1121" i="489"/>
  <c r="CG1073" i="489"/>
  <c r="CG1074" i="489"/>
  <c r="CG1075" i="489"/>
  <c r="CG1076" i="489"/>
  <c r="CG1077" i="489"/>
  <c r="CG1092" i="489"/>
  <c r="CG1091" i="489"/>
  <c r="CG1093" i="489"/>
  <c r="CG1086" i="489"/>
  <c r="CG1087" i="489"/>
  <c r="CG1044" i="489"/>
  <c r="CG1045" i="489"/>
  <c r="CG1046" i="489"/>
  <c r="CG1047" i="489"/>
  <c r="CG1048" i="489"/>
  <c r="CG1049" i="489"/>
  <c r="CG1058" i="489"/>
  <c r="CG1059" i="489"/>
  <c r="CG1063" i="489"/>
  <c r="CG1064" i="489"/>
  <c r="CG1065" i="489"/>
  <c r="CG1016" i="489"/>
  <c r="CG1017" i="489"/>
  <c r="CG1018" i="489"/>
  <c r="CG1019" i="489"/>
  <c r="CG1020" i="489"/>
  <c r="CG1021" i="489"/>
  <c r="CG1030" i="489"/>
  <c r="CG1035" i="489"/>
  <c r="CG1036" i="489"/>
  <c r="CG1037" i="489"/>
  <c r="CG1031" i="489"/>
  <c r="CG1034" i="489"/>
  <c r="CG1023" i="489"/>
  <c r="CG1033" i="489"/>
  <c r="CG1025" i="489"/>
  <c r="CG1026" i="489"/>
  <c r="CG1024" i="489"/>
  <c r="CG1028" i="489"/>
  <c r="CG1029" i="489"/>
  <c r="CG1027" i="489"/>
  <c r="CG1014" i="489"/>
  <c r="CG1015" i="489"/>
  <c r="CG1013" i="489"/>
  <c r="CG1053" i="489"/>
  <c r="CG1054" i="489"/>
  <c r="CG1062" i="489"/>
  <c r="CG1056" i="489"/>
  <c r="CG1057" i="489"/>
  <c r="CG1042" i="489"/>
  <c r="CG1043" i="489"/>
  <c r="CG1108" i="489"/>
  <c r="CG1070" i="489"/>
  <c r="CG1084" i="489"/>
  <c r="CG1081" i="489"/>
  <c r="CG1090" i="489"/>
  <c r="CG1100" i="489"/>
  <c r="CG1072" i="489"/>
  <c r="CG1069" i="489"/>
  <c r="CG1083" i="489"/>
  <c r="CG1080" i="489"/>
  <c r="CG1089" i="489"/>
  <c r="CG1099" i="489"/>
  <c r="CG1112" i="489"/>
  <c r="CG1061" i="489"/>
  <c r="CG1051" i="489"/>
  <c r="CG1052" i="489"/>
  <c r="CG1071" i="489"/>
  <c r="CG1079" i="489"/>
  <c r="CG1098" i="489"/>
  <c r="CG1055" i="489"/>
  <c r="CG1085" i="489"/>
  <c r="CG1117" i="489"/>
  <c r="CG1126" i="489"/>
  <c r="CG1139" i="489"/>
  <c r="CG1136" i="489"/>
  <c r="CG1082" i="489"/>
  <c r="CG1101" i="489"/>
  <c r="CG1118" i="489"/>
  <c r="CG1107" i="489"/>
  <c r="CG1128" i="489"/>
  <c r="CG1125" i="489"/>
  <c r="CG1135" i="489"/>
  <c r="CG1109" i="489"/>
  <c r="CG1137" i="489"/>
  <c r="CG1145" i="489"/>
  <c r="CG1153" i="489"/>
  <c r="CG1167" i="489"/>
  <c r="CG1164" i="489"/>
  <c r="CG1174" i="489"/>
  <c r="CG1155" i="489"/>
  <c r="CG1169" i="489"/>
  <c r="CG1166" i="489"/>
  <c r="CG1163" i="489"/>
  <c r="CG1173" i="489"/>
  <c r="CG1154" i="489"/>
  <c r="CG1168" i="489"/>
  <c r="CG1165" i="489"/>
  <c r="CG1175" i="489"/>
  <c r="CG1140" i="489"/>
  <c r="CG1146" i="489"/>
  <c r="CS1007" i="489"/>
  <c r="CS1156" i="489"/>
  <c r="CS1157" i="489"/>
  <c r="CS1158" i="489"/>
  <c r="CS1159" i="489"/>
  <c r="CS1160" i="489"/>
  <c r="CS1161" i="489"/>
  <c r="CS1170" i="489"/>
  <c r="CS1171" i="489"/>
  <c r="CS1176" i="489"/>
  <c r="CS1177" i="489"/>
  <c r="CS1130" i="489"/>
  <c r="CS1131" i="489"/>
  <c r="CS1132" i="489"/>
  <c r="CS1133" i="489"/>
  <c r="CS1129" i="489"/>
  <c r="CS1141" i="489"/>
  <c r="CS1142" i="489"/>
  <c r="CS1143" i="489"/>
  <c r="CS1147" i="489"/>
  <c r="CS1148" i="489"/>
  <c r="CS1149" i="489"/>
  <c r="CS1102" i="489"/>
  <c r="CS1103" i="489"/>
  <c r="CS1104" i="489"/>
  <c r="CS1105" i="489"/>
  <c r="CS1113" i="489"/>
  <c r="CS1114" i="489"/>
  <c r="CS1115" i="489"/>
  <c r="CS1119" i="489"/>
  <c r="CS1120" i="489"/>
  <c r="CS1121" i="489"/>
  <c r="CS1073" i="489"/>
  <c r="CS1074" i="489"/>
  <c r="CS1075" i="489"/>
  <c r="CS1076" i="489"/>
  <c r="CS1077" i="489"/>
  <c r="CS1093" i="489"/>
  <c r="CS1086" i="489"/>
  <c r="CS1087" i="489"/>
  <c r="CS1091" i="489"/>
  <c r="CS1092" i="489"/>
  <c r="CS1044" i="489"/>
  <c r="CS1045" i="489"/>
  <c r="CS1046" i="489"/>
  <c r="CS1047" i="489"/>
  <c r="CS1048" i="489"/>
  <c r="CS1049" i="489"/>
  <c r="CS1058" i="489"/>
  <c r="CS1059" i="489"/>
  <c r="CS1063" i="489"/>
  <c r="CS1064" i="489"/>
  <c r="CS1065" i="489"/>
  <c r="CS1016" i="489"/>
  <c r="CS1017" i="489"/>
  <c r="CS1018" i="489"/>
  <c r="CS1019" i="489"/>
  <c r="CS1020" i="489"/>
  <c r="CS1021" i="489"/>
  <c r="CS1030" i="489"/>
  <c r="CS1035" i="489"/>
  <c r="CS1036" i="489"/>
  <c r="CS1037" i="489"/>
  <c r="CS1031" i="489"/>
  <c r="CS1026" i="489"/>
  <c r="CS1028" i="489"/>
  <c r="CS1029" i="489"/>
  <c r="CS1027" i="489"/>
  <c r="CS1015" i="489"/>
  <c r="CS1062" i="489"/>
  <c r="CS1071" i="489"/>
  <c r="CS1054" i="489"/>
  <c r="CS1056" i="489"/>
  <c r="CS1057" i="489"/>
  <c r="CS1043" i="489"/>
  <c r="CS1034" i="489"/>
  <c r="CS1023" i="489"/>
  <c r="CS1033" i="489"/>
  <c r="CS1070" i="489"/>
  <c r="CS1084" i="489"/>
  <c r="CS1090" i="489"/>
  <c r="CS1100" i="489"/>
  <c r="CS1097" i="489"/>
  <c r="CS1072" i="489"/>
  <c r="CS1083" i="489"/>
  <c r="CS1080" i="489"/>
  <c r="CS1089" i="489"/>
  <c r="CS1099" i="489"/>
  <c r="CS1112" i="489"/>
  <c r="CS1061" i="489"/>
  <c r="CS1051" i="489"/>
  <c r="CS1052" i="489"/>
  <c r="CS1079" i="489"/>
  <c r="CS1098" i="489"/>
  <c r="CS1055" i="489"/>
  <c r="CS1085" i="489"/>
  <c r="CS1082" i="489"/>
  <c r="CS1101" i="489"/>
  <c r="CS1111" i="489"/>
  <c r="CS1118" i="489"/>
  <c r="CS1107" i="489"/>
  <c r="CS1128" i="489"/>
  <c r="CS1125" i="489"/>
  <c r="CS1135" i="489"/>
  <c r="CS1127" i="489"/>
  <c r="CS1145" i="489"/>
  <c r="CS1153" i="489"/>
  <c r="CS1167" i="489"/>
  <c r="CS1164" i="489"/>
  <c r="CS1174" i="489"/>
  <c r="CS1117" i="489"/>
  <c r="CS1139" i="489"/>
  <c r="CS1155" i="489"/>
  <c r="CS1169" i="489"/>
  <c r="CS1166" i="489"/>
  <c r="CS1163" i="489"/>
  <c r="CS1173" i="489"/>
  <c r="CS1154" i="489"/>
  <c r="CS1168" i="489"/>
  <c r="CS1175" i="489"/>
  <c r="CS1140" i="489"/>
  <c r="CS1146" i="489"/>
  <c r="DE1003" i="489"/>
  <c r="DE1159" i="489"/>
  <c r="DE1156" i="489"/>
  <c r="DE1157" i="489"/>
  <c r="DE1158" i="489"/>
  <c r="DE1160" i="489"/>
  <c r="DE1161" i="489"/>
  <c r="DE1170" i="489"/>
  <c r="DE1171" i="489"/>
  <c r="DE1176" i="489"/>
  <c r="DE1177" i="489"/>
  <c r="DE1130" i="489"/>
  <c r="DE1131" i="489"/>
  <c r="DE1132" i="489"/>
  <c r="DE1133" i="489"/>
  <c r="DE1129" i="489"/>
  <c r="DE1141" i="489"/>
  <c r="DE1142" i="489"/>
  <c r="DE1143" i="489"/>
  <c r="DE1147" i="489"/>
  <c r="DE1148" i="489"/>
  <c r="DE1149" i="489"/>
  <c r="DE1102" i="489"/>
  <c r="DE1103" i="489"/>
  <c r="DE1104" i="489"/>
  <c r="DE1105" i="489"/>
  <c r="DE1113" i="489"/>
  <c r="DE1114" i="489"/>
  <c r="DE1115" i="489"/>
  <c r="DE1119" i="489"/>
  <c r="DE1120" i="489"/>
  <c r="DE1121" i="489"/>
  <c r="DE1073" i="489"/>
  <c r="DE1074" i="489"/>
  <c r="DE1075" i="489"/>
  <c r="DE1076" i="489"/>
  <c r="DE1077" i="489"/>
  <c r="DE1092" i="489"/>
  <c r="DE1086" i="489"/>
  <c r="DE1093" i="489"/>
  <c r="DE1091" i="489"/>
  <c r="DE1087" i="489"/>
  <c r="DE1046" i="489"/>
  <c r="DE1047" i="489"/>
  <c r="DE1048" i="489"/>
  <c r="DE1049" i="489"/>
  <c r="DE1044" i="489"/>
  <c r="DE1045" i="489"/>
  <c r="DE1063" i="489"/>
  <c r="DE1064" i="489"/>
  <c r="DE1065" i="489"/>
  <c r="DE1058" i="489"/>
  <c r="DE1059" i="489"/>
  <c r="DE1017" i="489"/>
  <c r="DE1018" i="489"/>
  <c r="DE1019" i="489"/>
  <c r="DE1020" i="489"/>
  <c r="DE1021" i="489"/>
  <c r="DE1016" i="489"/>
  <c r="DE1036" i="489"/>
  <c r="DE1037" i="489"/>
  <c r="DE1030" i="489"/>
  <c r="DE1031" i="489"/>
  <c r="DE1035" i="489"/>
  <c r="DE1028" i="489"/>
  <c r="DE1029" i="489"/>
  <c r="DE1027" i="489"/>
  <c r="DE1014" i="489"/>
  <c r="DE1015" i="489"/>
  <c r="DE1013" i="489"/>
  <c r="DE1062" i="489"/>
  <c r="DE1071" i="489"/>
  <c r="DE1085" i="489"/>
  <c r="DE1082" i="489"/>
  <c r="DE1079" i="489"/>
  <c r="DE1101" i="489"/>
  <c r="DE1098" i="489"/>
  <c r="DE1053" i="489"/>
  <c r="DE1054" i="489"/>
  <c r="DE1056" i="489"/>
  <c r="DE1057" i="489"/>
  <c r="DE1042" i="489"/>
  <c r="DE1043" i="489"/>
  <c r="DE1041" i="489"/>
  <c r="DE1034" i="489"/>
  <c r="DE1023" i="489"/>
  <c r="DE1033" i="489"/>
  <c r="DE1025" i="489"/>
  <c r="DE1026" i="489"/>
  <c r="DE1024" i="489"/>
  <c r="DE1072" i="489"/>
  <c r="DE1069" i="489"/>
  <c r="DE1080" i="489"/>
  <c r="DE1089" i="489"/>
  <c r="DE1099" i="489"/>
  <c r="DE1109" i="489"/>
  <c r="DE1061" i="489"/>
  <c r="DE1051" i="489"/>
  <c r="DE1052" i="489"/>
  <c r="DE1055" i="489"/>
  <c r="DE1118" i="489"/>
  <c r="DE1127" i="489"/>
  <c r="DE1140" i="489"/>
  <c r="DE1137" i="489"/>
  <c r="DE1146" i="489"/>
  <c r="DE1117" i="489"/>
  <c r="DE1126" i="489"/>
  <c r="DE1139" i="489"/>
  <c r="DE1136" i="489"/>
  <c r="DE1145" i="489"/>
  <c r="DE1108" i="489"/>
  <c r="DE1070" i="489"/>
  <c r="DE1084" i="489"/>
  <c r="DE1081" i="489"/>
  <c r="DE1090" i="489"/>
  <c r="DE1100" i="489"/>
  <c r="DE1097" i="489"/>
  <c r="DE1107" i="489"/>
  <c r="DE1128" i="489"/>
  <c r="DE1125" i="489"/>
  <c r="DE1138" i="489"/>
  <c r="DE1135" i="489"/>
  <c r="DE1153" i="489"/>
  <c r="DE1164" i="489"/>
  <c r="DE1174" i="489"/>
  <c r="DE1155" i="489"/>
  <c r="DE1169" i="489"/>
  <c r="DE1166" i="489"/>
  <c r="DE1163" i="489"/>
  <c r="DE1173" i="489"/>
  <c r="DE1154" i="489"/>
  <c r="DE1168" i="489"/>
  <c r="DE1165" i="489"/>
  <c r="DE1175" i="489"/>
  <c r="DQ1009" i="489"/>
  <c r="DQ1159" i="489"/>
  <c r="DQ1158" i="489"/>
  <c r="DQ1157" i="489"/>
  <c r="DQ1160" i="489"/>
  <c r="DQ1161" i="489"/>
  <c r="DQ1156" i="489"/>
  <c r="DQ1170" i="489"/>
  <c r="DQ1171" i="489"/>
  <c r="DQ1176" i="489"/>
  <c r="DQ1177" i="489"/>
  <c r="DQ1130" i="489"/>
  <c r="DQ1131" i="489"/>
  <c r="DQ1132" i="489"/>
  <c r="DQ1133" i="489"/>
  <c r="DQ1129" i="489"/>
  <c r="DQ1141" i="489"/>
  <c r="DQ1142" i="489"/>
  <c r="DQ1143" i="489"/>
  <c r="DQ1147" i="489"/>
  <c r="DQ1148" i="489"/>
  <c r="DQ1149" i="489"/>
  <c r="DQ1102" i="489"/>
  <c r="DQ1103" i="489"/>
  <c r="DQ1104" i="489"/>
  <c r="DQ1105" i="489"/>
  <c r="DQ1113" i="489"/>
  <c r="DQ1114" i="489"/>
  <c r="DQ1115" i="489"/>
  <c r="DQ1119" i="489"/>
  <c r="DQ1120" i="489"/>
  <c r="DQ1121" i="489"/>
  <c r="DQ1073" i="489"/>
  <c r="DQ1074" i="489"/>
  <c r="DQ1075" i="489"/>
  <c r="DQ1076" i="489"/>
  <c r="DQ1077" i="489"/>
  <c r="DQ1091" i="489"/>
  <c r="DQ1093" i="489"/>
  <c r="DQ1086" i="489"/>
  <c r="DQ1087" i="489"/>
  <c r="DQ1092" i="489"/>
  <c r="DQ1048" i="489"/>
  <c r="DQ1049" i="489"/>
  <c r="DQ1044" i="489"/>
  <c r="DQ1045" i="489"/>
  <c r="DQ1046" i="489"/>
  <c r="DQ1047" i="489"/>
  <c r="DQ1065" i="489"/>
  <c r="DQ1058" i="489"/>
  <c r="DQ1059" i="489"/>
  <c r="DQ1063" i="489"/>
  <c r="DQ1064" i="489"/>
  <c r="DQ1019" i="489"/>
  <c r="DQ1020" i="489"/>
  <c r="DQ1021" i="489"/>
  <c r="DQ1030" i="489"/>
  <c r="DQ1016" i="489"/>
  <c r="DQ1017" i="489"/>
  <c r="DQ1018" i="489"/>
  <c r="DQ1031" i="489"/>
  <c r="DQ1035" i="489"/>
  <c r="DQ1036" i="489"/>
  <c r="DQ1037" i="489"/>
  <c r="DQ1014" i="489"/>
  <c r="DQ1015" i="489"/>
  <c r="DQ1013" i="489"/>
  <c r="DQ1062" i="489"/>
  <c r="DQ1071" i="489"/>
  <c r="DQ1085" i="489"/>
  <c r="DQ1082" i="489"/>
  <c r="DQ1079" i="489"/>
  <c r="DQ1101" i="489"/>
  <c r="DQ1098" i="489"/>
  <c r="DQ1111" i="489"/>
  <c r="DQ1108" i="489"/>
  <c r="DQ1053" i="489"/>
  <c r="DQ1054" i="489"/>
  <c r="DQ1056" i="489"/>
  <c r="DQ1057" i="489"/>
  <c r="DQ1042" i="489"/>
  <c r="DQ1043" i="489"/>
  <c r="DQ1041" i="489"/>
  <c r="DQ1034" i="489"/>
  <c r="DQ1023" i="489"/>
  <c r="DQ1033" i="489"/>
  <c r="DQ1025" i="489"/>
  <c r="DQ1026" i="489"/>
  <c r="DQ1024" i="489"/>
  <c r="DQ1028" i="489"/>
  <c r="DQ1029" i="489"/>
  <c r="DQ1027" i="489"/>
  <c r="DQ1051" i="489"/>
  <c r="DQ1052" i="489"/>
  <c r="DQ1055" i="489"/>
  <c r="DQ1117" i="489"/>
  <c r="DQ1126" i="489"/>
  <c r="DQ1139" i="489"/>
  <c r="DQ1136" i="489"/>
  <c r="DQ1145" i="489"/>
  <c r="DQ1070" i="489"/>
  <c r="DQ1084" i="489"/>
  <c r="DQ1081" i="489"/>
  <c r="DQ1090" i="489"/>
  <c r="DQ1100" i="489"/>
  <c r="DQ1097" i="489"/>
  <c r="DQ1072" i="489"/>
  <c r="DQ1069" i="489"/>
  <c r="DQ1083" i="489"/>
  <c r="DQ1080" i="489"/>
  <c r="DQ1089" i="489"/>
  <c r="DQ1099" i="489"/>
  <c r="DQ1112" i="489"/>
  <c r="DQ1109" i="489"/>
  <c r="DQ1061" i="489"/>
  <c r="DQ1153" i="489"/>
  <c r="DQ1167" i="489"/>
  <c r="DQ1164" i="489"/>
  <c r="DQ1174" i="489"/>
  <c r="DQ1127" i="489"/>
  <c r="DQ1137" i="489"/>
  <c r="DQ1155" i="489"/>
  <c r="DQ1169" i="489"/>
  <c r="DQ1166" i="489"/>
  <c r="DQ1163" i="489"/>
  <c r="DQ1173" i="489"/>
  <c r="DQ1154" i="489"/>
  <c r="DQ1168" i="489"/>
  <c r="DQ1165" i="489"/>
  <c r="DQ1175" i="489"/>
  <c r="DQ1140" i="489"/>
  <c r="DQ1146" i="489"/>
  <c r="DQ1118" i="489"/>
  <c r="DQ1110" i="489"/>
  <c r="DQ1107" i="489"/>
  <c r="DQ1128" i="489"/>
  <c r="DQ1125" i="489"/>
  <c r="DQ1138" i="489"/>
  <c r="DQ1135" i="489"/>
  <c r="EE1156" i="489"/>
  <c r="EE1157" i="489"/>
  <c r="EE1158" i="489"/>
  <c r="EE1170" i="489"/>
  <c r="EE1171" i="489"/>
  <c r="EE1159" i="489"/>
  <c r="EE1160" i="489"/>
  <c r="EE1129" i="489"/>
  <c r="EE1176" i="489"/>
  <c r="EE1177" i="489"/>
  <c r="EE1130" i="489"/>
  <c r="EE1131" i="489"/>
  <c r="EE1132" i="489"/>
  <c r="EE1133" i="489"/>
  <c r="EE1161" i="489"/>
  <c r="EE1141" i="489"/>
  <c r="EE1142" i="489"/>
  <c r="EE1143" i="489"/>
  <c r="EE1147" i="489"/>
  <c r="EE1148" i="489"/>
  <c r="EE1149" i="489"/>
  <c r="EE1102" i="489"/>
  <c r="EE1103" i="489"/>
  <c r="EE1104" i="489"/>
  <c r="EE1105" i="489"/>
  <c r="EE1114" i="489"/>
  <c r="EE1115" i="489"/>
  <c r="EE1113" i="489"/>
  <c r="EE1073" i="489"/>
  <c r="EE1074" i="489"/>
  <c r="EE1075" i="489"/>
  <c r="EE1076" i="489"/>
  <c r="EE1077" i="489"/>
  <c r="EE1119" i="489"/>
  <c r="EE1120" i="489"/>
  <c r="EE1121" i="489"/>
  <c r="EE1086" i="489"/>
  <c r="EE1087" i="489"/>
  <c r="EE1091" i="489"/>
  <c r="EE1092" i="489"/>
  <c r="EE1093" i="489"/>
  <c r="EE1047" i="489"/>
  <c r="EE1048" i="489"/>
  <c r="EE1049" i="489"/>
  <c r="EE1044" i="489"/>
  <c r="EE1045" i="489"/>
  <c r="EE1046" i="489"/>
  <c r="EE1064" i="489"/>
  <c r="EE1065" i="489"/>
  <c r="EE1058" i="489"/>
  <c r="EE1059" i="489"/>
  <c r="EE1063" i="489"/>
  <c r="EE1018" i="489"/>
  <c r="EE1019" i="489"/>
  <c r="EE1020" i="489"/>
  <c r="EE1021" i="489"/>
  <c r="EE1030" i="489"/>
  <c r="EE1016" i="489"/>
  <c r="EE1017" i="489"/>
  <c r="EE1037" i="489"/>
  <c r="EE1031" i="489"/>
  <c r="EE1035" i="489"/>
  <c r="EE1036" i="489"/>
  <c r="EE1024" i="489"/>
  <c r="EE1055" i="489"/>
  <c r="EE1062" i="489"/>
  <c r="EE1025" i="489"/>
  <c r="EE1056" i="489"/>
  <c r="EE1029" i="489"/>
  <c r="EE1043" i="489"/>
  <c r="EE1027" i="489"/>
  <c r="EE1041" i="489"/>
  <c r="EE1028" i="489"/>
  <c r="EE1042" i="489"/>
  <c r="EE1015" i="489"/>
  <c r="EE1023" i="489"/>
  <c r="EE1054" i="489"/>
  <c r="EE1013" i="489"/>
  <c r="EE1033" i="489"/>
  <c r="EE1052" i="489"/>
  <c r="EE1014" i="489"/>
  <c r="EE1034" i="489"/>
  <c r="EE1053" i="489"/>
  <c r="EE1026" i="489"/>
  <c r="EE1057" i="489"/>
  <c r="EE1071" i="489"/>
  <c r="EE1085" i="489"/>
  <c r="EE1082" i="489"/>
  <c r="EE1079" i="489"/>
  <c r="EE1101" i="489"/>
  <c r="EE1098" i="489"/>
  <c r="EE1111" i="489"/>
  <c r="EE1108" i="489"/>
  <c r="EE1072" i="489"/>
  <c r="EE1069" i="489"/>
  <c r="EE1117" i="489"/>
  <c r="EE1126" i="489"/>
  <c r="EE1139" i="489"/>
  <c r="EE1136" i="489"/>
  <c r="EE1083" i="489"/>
  <c r="EE1080" i="489"/>
  <c r="EE1089" i="489"/>
  <c r="EE1099" i="489"/>
  <c r="EE1112" i="489"/>
  <c r="EE1109" i="489"/>
  <c r="EE1118" i="489"/>
  <c r="EE1127" i="489"/>
  <c r="EE1140" i="489"/>
  <c r="EE1137" i="489"/>
  <c r="EE1146" i="489"/>
  <c r="EE1070" i="489"/>
  <c r="EE1084" i="489"/>
  <c r="EE1081" i="489"/>
  <c r="EE1090" i="489"/>
  <c r="EE1100" i="489"/>
  <c r="EE1097" i="489"/>
  <c r="EE1110" i="489"/>
  <c r="EE1061" i="489"/>
  <c r="EE1051" i="489"/>
  <c r="EE1154" i="489"/>
  <c r="EE1168" i="489"/>
  <c r="EE1165" i="489"/>
  <c r="EE1175" i="489"/>
  <c r="EE1107" i="489"/>
  <c r="EE1128" i="489"/>
  <c r="EE1125" i="489"/>
  <c r="EE1138" i="489"/>
  <c r="EE1135" i="489"/>
  <c r="EE1145" i="489"/>
  <c r="EE1153" i="489"/>
  <c r="EE1167" i="489"/>
  <c r="EE1164" i="489"/>
  <c r="EE1174" i="489"/>
  <c r="EE1155" i="489"/>
  <c r="EE1169" i="489"/>
  <c r="EE1166" i="489"/>
  <c r="EE1163" i="489"/>
  <c r="EE1173" i="489"/>
  <c r="EP1009" i="489"/>
  <c r="EP1156" i="489"/>
  <c r="EP1157" i="489"/>
  <c r="EP1158" i="489"/>
  <c r="EP1159" i="489"/>
  <c r="EP1160" i="489"/>
  <c r="EP1161" i="489"/>
  <c r="EP1176" i="489"/>
  <c r="EP1177" i="489"/>
  <c r="EP1170" i="489"/>
  <c r="EP1171" i="489"/>
  <c r="EP1129" i="489"/>
  <c r="EP1130" i="489"/>
  <c r="EP1131" i="489"/>
  <c r="EP1132" i="489"/>
  <c r="EP1133" i="489"/>
  <c r="EP1141" i="489"/>
  <c r="EP1142" i="489"/>
  <c r="EP1143" i="489"/>
  <c r="EP1147" i="489"/>
  <c r="EP1148" i="489"/>
  <c r="EP1149" i="489"/>
  <c r="EP1102" i="489"/>
  <c r="EP1103" i="489"/>
  <c r="EP1104" i="489"/>
  <c r="EP1105" i="489"/>
  <c r="EP1113" i="489"/>
  <c r="EP1114" i="489"/>
  <c r="EP1115" i="489"/>
  <c r="EP1119" i="489"/>
  <c r="EP1120" i="489"/>
  <c r="EP1121" i="489"/>
  <c r="EP1073" i="489"/>
  <c r="EP1074" i="489"/>
  <c r="EP1075" i="489"/>
  <c r="EP1076" i="489"/>
  <c r="EP1077" i="489"/>
  <c r="EP1086" i="489"/>
  <c r="EP1087" i="489"/>
  <c r="EP1091" i="489"/>
  <c r="EP1092" i="489"/>
  <c r="EP1093" i="489"/>
  <c r="EP1048" i="489"/>
  <c r="EP1049" i="489"/>
  <c r="EP1044" i="489"/>
  <c r="EP1045" i="489"/>
  <c r="EP1046" i="489"/>
  <c r="EP1047" i="489"/>
  <c r="EP1065" i="489"/>
  <c r="EP1058" i="489"/>
  <c r="EP1059" i="489"/>
  <c r="EP1063" i="489"/>
  <c r="EP1064" i="489"/>
  <c r="EP1019" i="489"/>
  <c r="EP1020" i="489"/>
  <c r="EP1021" i="489"/>
  <c r="EP1016" i="489"/>
  <c r="EP1017" i="489"/>
  <c r="EP1018" i="489"/>
  <c r="EP1031" i="489"/>
  <c r="EP1030" i="489"/>
  <c r="EP1035" i="489"/>
  <c r="EP1036" i="489"/>
  <c r="EP1037" i="489"/>
  <c r="EP1025" i="489"/>
  <c r="EP1026" i="489"/>
  <c r="EP1056" i="489"/>
  <c r="EP1033" i="489"/>
  <c r="EP1028" i="489"/>
  <c r="EP1029" i="489"/>
  <c r="EP1057" i="489"/>
  <c r="EP1024" i="489"/>
  <c r="EP1071" i="489"/>
  <c r="EP1085" i="489"/>
  <c r="EP1014" i="489"/>
  <c r="EP1042" i="489"/>
  <c r="EP1015" i="489"/>
  <c r="EP1043" i="489"/>
  <c r="EP1062" i="489"/>
  <c r="EP1082" i="489"/>
  <c r="EP1027" i="489"/>
  <c r="EP1079" i="489"/>
  <c r="EP1034" i="489"/>
  <c r="EP1023" i="489"/>
  <c r="EP1053" i="489"/>
  <c r="EP1098" i="489"/>
  <c r="EP1013" i="489"/>
  <c r="EP1041" i="489"/>
  <c r="EP1101" i="489"/>
  <c r="EP1083" i="489"/>
  <c r="EP1061" i="489"/>
  <c r="EP1070" i="489"/>
  <c r="EP1109" i="489"/>
  <c r="EP1111" i="489"/>
  <c r="EP1051" i="489"/>
  <c r="EP1080" i="489"/>
  <c r="EP1084" i="489"/>
  <c r="EP1108" i="489"/>
  <c r="EP1089" i="489"/>
  <c r="EP1081" i="489"/>
  <c r="EP1117" i="489"/>
  <c r="EP1099" i="489"/>
  <c r="EP1052" i="489"/>
  <c r="EP1090" i="489"/>
  <c r="EP1126" i="489"/>
  <c r="EP1140" i="489"/>
  <c r="EP1054" i="489"/>
  <c r="EP1112" i="489"/>
  <c r="EP1100" i="489"/>
  <c r="EP1139" i="489"/>
  <c r="EP1097" i="489"/>
  <c r="EP1136" i="489"/>
  <c r="EP1146" i="489"/>
  <c r="EP1055" i="489"/>
  <c r="EP1110" i="489"/>
  <c r="EP1072" i="489"/>
  <c r="EP1069" i="489"/>
  <c r="EP1118" i="489"/>
  <c r="EP1167" i="489"/>
  <c r="EP1173" i="489"/>
  <c r="EP1107" i="489"/>
  <c r="EP1164" i="489"/>
  <c r="EP1128" i="489"/>
  <c r="EP1174" i="489"/>
  <c r="EP1125" i="489"/>
  <c r="EP1138" i="489"/>
  <c r="EP1137" i="489"/>
  <c r="EP1135" i="489"/>
  <c r="EP1154" i="489"/>
  <c r="EP1168" i="489"/>
  <c r="EP1155" i="489"/>
  <c r="EP1165" i="489"/>
  <c r="EP1169" i="489"/>
  <c r="EP1127" i="489"/>
  <c r="EP1145" i="489"/>
  <c r="EP1175" i="489"/>
  <c r="EP1166" i="489"/>
  <c r="EP1153" i="489"/>
  <c r="EP1163" i="489"/>
  <c r="DV1010" i="489"/>
  <c r="M1156" i="489"/>
  <c r="M1157" i="489"/>
  <c r="M1158" i="489"/>
  <c r="M1159" i="489"/>
  <c r="M1160" i="489"/>
  <c r="M1161" i="489"/>
  <c r="M1170" i="489"/>
  <c r="M1171" i="489"/>
  <c r="M1176" i="489"/>
  <c r="M1177" i="489"/>
  <c r="M1131" i="489"/>
  <c r="M1132" i="489"/>
  <c r="M1133" i="489"/>
  <c r="M1129" i="489"/>
  <c r="M1130" i="489"/>
  <c r="M1141" i="489"/>
  <c r="M1142" i="489"/>
  <c r="M1143" i="489"/>
  <c r="M1147" i="489"/>
  <c r="M1148" i="489"/>
  <c r="M1149" i="489"/>
  <c r="M1102" i="489"/>
  <c r="M1103" i="489"/>
  <c r="M1104" i="489"/>
  <c r="M1105" i="489"/>
  <c r="M1113" i="489"/>
  <c r="M1114" i="489"/>
  <c r="M1115" i="489"/>
  <c r="M1119" i="489"/>
  <c r="M1120" i="489"/>
  <c r="M1121" i="489"/>
  <c r="M1073" i="489"/>
  <c r="M1074" i="489"/>
  <c r="M1075" i="489"/>
  <c r="M1076" i="489"/>
  <c r="M1077" i="489"/>
  <c r="M1092" i="489"/>
  <c r="M1091" i="489"/>
  <c r="M1093" i="489"/>
  <c r="M1086" i="489"/>
  <c r="M1087" i="489"/>
  <c r="M1044" i="489"/>
  <c r="M1045" i="489"/>
  <c r="M1046" i="489"/>
  <c r="M1047" i="489"/>
  <c r="M1048" i="489"/>
  <c r="M1049" i="489"/>
  <c r="M1058" i="489"/>
  <c r="M1059" i="489"/>
  <c r="M1063" i="489"/>
  <c r="M1064" i="489"/>
  <c r="M1065" i="489"/>
  <c r="M1021" i="489"/>
  <c r="M1030" i="489"/>
  <c r="M1016" i="489"/>
  <c r="M1017" i="489"/>
  <c r="M1018" i="489"/>
  <c r="M1019" i="489"/>
  <c r="M1020" i="489"/>
  <c r="M1031" i="489"/>
  <c r="M1035" i="489"/>
  <c r="M1036" i="489"/>
  <c r="M1037" i="489"/>
  <c r="M1056" i="489"/>
  <c r="M1057" i="489"/>
  <c r="M1042" i="489"/>
  <c r="M1043" i="489"/>
  <c r="M1041" i="489"/>
  <c r="M1034" i="489"/>
  <c r="M1023" i="489"/>
  <c r="M1033" i="489"/>
  <c r="M1026" i="489"/>
  <c r="M1024" i="489"/>
  <c r="M1028" i="489"/>
  <c r="M1029" i="489"/>
  <c r="M1027" i="489"/>
  <c r="M1015" i="489"/>
  <c r="M1013" i="489"/>
  <c r="M1082" i="489"/>
  <c r="M1101" i="489"/>
  <c r="M1117" i="489"/>
  <c r="M1139" i="489"/>
  <c r="M1136" i="489"/>
  <c r="M1111" i="489"/>
  <c r="M1108" i="489"/>
  <c r="M1062" i="489"/>
  <c r="M1071" i="489"/>
  <c r="M1085" i="489"/>
  <c r="M1079" i="489"/>
  <c r="M1098" i="489"/>
  <c r="M1061" i="489"/>
  <c r="M1070" i="489"/>
  <c r="M1084" i="489"/>
  <c r="M1081" i="489"/>
  <c r="M1090" i="489"/>
  <c r="M1100" i="489"/>
  <c r="M1097" i="489"/>
  <c r="M1051" i="489"/>
  <c r="M1072" i="489"/>
  <c r="M1069" i="489"/>
  <c r="M1083" i="489"/>
  <c r="M1080" i="489"/>
  <c r="M1089" i="489"/>
  <c r="M1099" i="489"/>
  <c r="M1112" i="489"/>
  <c r="M1052" i="489"/>
  <c r="M1054" i="489"/>
  <c r="M1055" i="489"/>
  <c r="M1146" i="489"/>
  <c r="M1154" i="489"/>
  <c r="M1168" i="489"/>
  <c r="M1175" i="489"/>
  <c r="M1140" i="489"/>
  <c r="M1118" i="489"/>
  <c r="M1109" i="489"/>
  <c r="M1110" i="489"/>
  <c r="M1107" i="489"/>
  <c r="M1128" i="489"/>
  <c r="M1125" i="489"/>
  <c r="M1138" i="489"/>
  <c r="M1135" i="489"/>
  <c r="M1127" i="489"/>
  <c r="M1145" i="489"/>
  <c r="M1153" i="489"/>
  <c r="M1167" i="489"/>
  <c r="M1164" i="489"/>
  <c r="M1174" i="489"/>
  <c r="M1155" i="489"/>
  <c r="M1169" i="489"/>
  <c r="M1166" i="489"/>
  <c r="M1163" i="489"/>
  <c r="M1173" i="489"/>
  <c r="Y1156" i="489"/>
  <c r="Y1159" i="489"/>
  <c r="Y1160" i="489"/>
  <c r="Y1161" i="489"/>
  <c r="Y1158" i="489"/>
  <c r="Y1157" i="489"/>
  <c r="Y1171" i="489"/>
  <c r="Y1176" i="489"/>
  <c r="Y1177" i="489"/>
  <c r="Y1131" i="489"/>
  <c r="Y1132" i="489"/>
  <c r="Y1133" i="489"/>
  <c r="Y1129" i="489"/>
  <c r="Y1130" i="489"/>
  <c r="Y1141" i="489"/>
  <c r="Y1142" i="489"/>
  <c r="Y1143" i="489"/>
  <c r="Y1147" i="489"/>
  <c r="Y1148" i="489"/>
  <c r="Y1149" i="489"/>
  <c r="Y1102" i="489"/>
  <c r="Y1103" i="489"/>
  <c r="Y1104" i="489"/>
  <c r="Y1105" i="489"/>
  <c r="Y1113" i="489"/>
  <c r="Y1114" i="489"/>
  <c r="Y1115" i="489"/>
  <c r="Y1119" i="489"/>
  <c r="Y1120" i="489"/>
  <c r="Y1121" i="489"/>
  <c r="Y1073" i="489"/>
  <c r="Y1074" i="489"/>
  <c r="Y1075" i="489"/>
  <c r="Y1076" i="489"/>
  <c r="Y1077" i="489"/>
  <c r="Y1091" i="489"/>
  <c r="Y1093" i="489"/>
  <c r="Y1086" i="489"/>
  <c r="Y1087" i="489"/>
  <c r="Y1092" i="489"/>
  <c r="Y1071" i="489"/>
  <c r="Y1085" i="489"/>
  <c r="Y1082" i="489"/>
  <c r="Y1101" i="489"/>
  <c r="Y1118" i="489"/>
  <c r="Y1111" i="489"/>
  <c r="Y1079" i="489"/>
  <c r="Y1098" i="489"/>
  <c r="Y1070" i="489"/>
  <c r="Y1084" i="489"/>
  <c r="Y1081" i="489"/>
  <c r="Y1090" i="489"/>
  <c r="Y1100" i="489"/>
  <c r="Y1097" i="489"/>
  <c r="Y1072" i="489"/>
  <c r="Y1069" i="489"/>
  <c r="Y1083" i="489"/>
  <c r="Y1089" i="489"/>
  <c r="Y1099" i="489"/>
  <c r="Y1112" i="489"/>
  <c r="Y1140" i="489"/>
  <c r="Y1117" i="489"/>
  <c r="Y1139" i="489"/>
  <c r="Y1110" i="489"/>
  <c r="Y1107" i="489"/>
  <c r="Y1128" i="489"/>
  <c r="Y1125" i="489"/>
  <c r="Y1138" i="489"/>
  <c r="Y1135" i="489"/>
  <c r="Y1127" i="489"/>
  <c r="Y1145" i="489"/>
  <c r="Y1167" i="489"/>
  <c r="Y1174" i="489"/>
  <c r="Y1155" i="489"/>
  <c r="Y1169" i="489"/>
  <c r="Y1166" i="489"/>
  <c r="Y1163" i="489"/>
  <c r="Y1173" i="489"/>
  <c r="Y1146" i="489"/>
  <c r="Y1154" i="489"/>
  <c r="Y1168" i="489"/>
  <c r="Y1175" i="489"/>
  <c r="AL1156" i="489"/>
  <c r="AL1157" i="489"/>
  <c r="AL1158" i="489"/>
  <c r="AL1159" i="489"/>
  <c r="AL1160" i="489"/>
  <c r="AL1161" i="489"/>
  <c r="AL1176" i="489"/>
  <c r="AL1177" i="489"/>
  <c r="AL1129" i="489"/>
  <c r="AL1170" i="489"/>
  <c r="AL1171" i="489"/>
  <c r="AL1130" i="489"/>
  <c r="AL1131" i="489"/>
  <c r="AL1132" i="489"/>
  <c r="AL1133" i="489"/>
  <c r="AL1141" i="489"/>
  <c r="AL1142" i="489"/>
  <c r="AL1143" i="489"/>
  <c r="AL1147" i="489"/>
  <c r="AL1148" i="489"/>
  <c r="AL1149" i="489"/>
  <c r="AL1102" i="489"/>
  <c r="AL1103" i="489"/>
  <c r="AL1104" i="489"/>
  <c r="AL1105" i="489"/>
  <c r="AL1113" i="489"/>
  <c r="AL1114" i="489"/>
  <c r="AL1115" i="489"/>
  <c r="AL1119" i="489"/>
  <c r="AL1120" i="489"/>
  <c r="AL1121" i="489"/>
  <c r="AL1073" i="489"/>
  <c r="AL1074" i="489"/>
  <c r="AL1075" i="489"/>
  <c r="AL1076" i="489"/>
  <c r="AL1077" i="489"/>
  <c r="AL1086" i="489"/>
  <c r="AL1087" i="489"/>
  <c r="AL1091" i="489"/>
  <c r="AL1092" i="489"/>
  <c r="AL1093" i="489"/>
  <c r="AL1044" i="489"/>
  <c r="AL1045" i="489"/>
  <c r="AL1046" i="489"/>
  <c r="AL1047" i="489"/>
  <c r="AL1048" i="489"/>
  <c r="AL1049" i="489"/>
  <c r="AL1058" i="489"/>
  <c r="AL1059" i="489"/>
  <c r="AL1063" i="489"/>
  <c r="AL1064" i="489"/>
  <c r="AL1065" i="489"/>
  <c r="AL1016" i="489"/>
  <c r="AL1017" i="489"/>
  <c r="AL1018" i="489"/>
  <c r="AL1019" i="489"/>
  <c r="AL1020" i="489"/>
  <c r="AL1021" i="489"/>
  <c r="AL1030" i="489"/>
  <c r="AL1031" i="489"/>
  <c r="AL1035" i="489"/>
  <c r="AL1036" i="489"/>
  <c r="AL1037" i="489"/>
  <c r="AL1024" i="489"/>
  <c r="AL1071" i="489"/>
  <c r="AL1014" i="489"/>
  <c r="AL1042" i="489"/>
  <c r="AL1015" i="489"/>
  <c r="AL1043" i="489"/>
  <c r="AL1027" i="489"/>
  <c r="AL1082" i="489"/>
  <c r="AL1034" i="489"/>
  <c r="AL1023" i="489"/>
  <c r="AL1101" i="489"/>
  <c r="AL1041" i="489"/>
  <c r="AL1098" i="489"/>
  <c r="AL1111" i="489"/>
  <c r="AL1025" i="489"/>
  <c r="AL1026" i="489"/>
  <c r="AL1033" i="489"/>
  <c r="AL1028" i="489"/>
  <c r="AL1029" i="489"/>
  <c r="AL1054" i="489"/>
  <c r="AL1099" i="489"/>
  <c r="AL1090" i="489"/>
  <c r="AL1126" i="489"/>
  <c r="AL1140" i="489"/>
  <c r="AL1112" i="489"/>
  <c r="AL1100" i="489"/>
  <c r="AL1139" i="489"/>
  <c r="AL1085" i="489"/>
  <c r="AL1055" i="489"/>
  <c r="AL1097" i="489"/>
  <c r="AL1136" i="489"/>
  <c r="AL1057" i="489"/>
  <c r="AL1062" i="489"/>
  <c r="AL1072" i="489"/>
  <c r="AL1056" i="489"/>
  <c r="AL1069" i="489"/>
  <c r="AL1061" i="489"/>
  <c r="AL1083" i="489"/>
  <c r="AL1070" i="489"/>
  <c r="AL1084" i="489"/>
  <c r="AL1108" i="489"/>
  <c r="AL1089" i="489"/>
  <c r="AL1052" i="489"/>
  <c r="AL1081" i="489"/>
  <c r="AL1117" i="489"/>
  <c r="AL1127" i="489"/>
  <c r="AL1125" i="489"/>
  <c r="AL1138" i="489"/>
  <c r="AL1146" i="489"/>
  <c r="AL1154" i="489"/>
  <c r="AL1168" i="489"/>
  <c r="AL1155" i="489"/>
  <c r="AL1118" i="489"/>
  <c r="AL1169" i="489"/>
  <c r="AL1145" i="489"/>
  <c r="AL1175" i="489"/>
  <c r="AL1166" i="489"/>
  <c r="AL1153" i="489"/>
  <c r="AL1163" i="489"/>
  <c r="AL1110" i="489"/>
  <c r="AL1167" i="489"/>
  <c r="AL1173" i="489"/>
  <c r="AL1137" i="489"/>
  <c r="AL1107" i="489"/>
  <c r="AL1164" i="489"/>
  <c r="AL1128" i="489"/>
  <c r="AL1174" i="489"/>
  <c r="AX1156" i="489"/>
  <c r="AX1157" i="489"/>
  <c r="AX1158" i="489"/>
  <c r="AX1159" i="489"/>
  <c r="AX1160" i="489"/>
  <c r="AX1161" i="489"/>
  <c r="AX1170" i="489"/>
  <c r="AX1171" i="489"/>
  <c r="AX1176" i="489"/>
  <c r="AX1177" i="489"/>
  <c r="AX1129" i="489"/>
  <c r="AX1130" i="489"/>
  <c r="AX1131" i="489"/>
  <c r="AX1132" i="489"/>
  <c r="AX1133" i="489"/>
  <c r="AX1141" i="489"/>
  <c r="AX1142" i="489"/>
  <c r="AX1143" i="489"/>
  <c r="AX1147" i="489"/>
  <c r="AX1148" i="489"/>
  <c r="AX1149" i="489"/>
  <c r="AX1102" i="489"/>
  <c r="AX1103" i="489"/>
  <c r="AX1104" i="489"/>
  <c r="AX1105" i="489"/>
  <c r="AX1113" i="489"/>
  <c r="AX1114" i="489"/>
  <c r="AX1115" i="489"/>
  <c r="AX1119" i="489"/>
  <c r="AX1120" i="489"/>
  <c r="AX1121" i="489"/>
  <c r="AX1073" i="489"/>
  <c r="AX1074" i="489"/>
  <c r="AX1075" i="489"/>
  <c r="AX1076" i="489"/>
  <c r="AX1077" i="489"/>
  <c r="AX1086" i="489"/>
  <c r="AX1087" i="489"/>
  <c r="AX1091" i="489"/>
  <c r="AX1092" i="489"/>
  <c r="AX1093" i="489"/>
  <c r="AX1044" i="489"/>
  <c r="AX1045" i="489"/>
  <c r="AX1046" i="489"/>
  <c r="AX1047" i="489"/>
  <c r="AX1048" i="489"/>
  <c r="AX1049" i="489"/>
  <c r="AX1058" i="489"/>
  <c r="AX1059" i="489"/>
  <c r="AX1063" i="489"/>
  <c r="AX1064" i="489"/>
  <c r="AX1065" i="489"/>
  <c r="AX1016" i="489"/>
  <c r="AX1017" i="489"/>
  <c r="AX1018" i="489"/>
  <c r="AX1019" i="489"/>
  <c r="AX1020" i="489"/>
  <c r="AX1021" i="489"/>
  <c r="AX1030" i="489"/>
  <c r="AX1031" i="489"/>
  <c r="AX1035" i="489"/>
  <c r="AX1036" i="489"/>
  <c r="AX1037" i="489"/>
  <c r="AX1071" i="489"/>
  <c r="AX1014" i="489"/>
  <c r="AX1042" i="489"/>
  <c r="AX1015" i="489"/>
  <c r="AX1043" i="489"/>
  <c r="AX1062" i="489"/>
  <c r="AX1085" i="489"/>
  <c r="AX1027" i="489"/>
  <c r="AX1079" i="489"/>
  <c r="AX1034" i="489"/>
  <c r="AX1053" i="489"/>
  <c r="AX1041" i="489"/>
  <c r="AX1098" i="489"/>
  <c r="AX1111" i="489"/>
  <c r="AX1025" i="489"/>
  <c r="AX1026" i="489"/>
  <c r="AX1056" i="489"/>
  <c r="AX1033" i="489"/>
  <c r="AX1028" i="489"/>
  <c r="AX1029" i="489"/>
  <c r="AX1024" i="489"/>
  <c r="AX1112" i="489"/>
  <c r="AX1100" i="489"/>
  <c r="AX1139" i="489"/>
  <c r="AX1137" i="489"/>
  <c r="AX1055" i="489"/>
  <c r="AX1097" i="489"/>
  <c r="AX1136" i="489"/>
  <c r="AX1082" i="489"/>
  <c r="AX1057" i="489"/>
  <c r="AX1101" i="489"/>
  <c r="AX1072" i="489"/>
  <c r="AX1069" i="489"/>
  <c r="AX1061" i="489"/>
  <c r="AX1051" i="489"/>
  <c r="AX1083" i="489"/>
  <c r="AX1070" i="489"/>
  <c r="AX1084" i="489"/>
  <c r="AX1118" i="489"/>
  <c r="AX1089" i="489"/>
  <c r="AX1081" i="489"/>
  <c r="AX1117" i="489"/>
  <c r="AX1054" i="489"/>
  <c r="AX1099" i="489"/>
  <c r="AX1090" i="489"/>
  <c r="AX1126" i="489"/>
  <c r="AX1140" i="489"/>
  <c r="AX1138" i="489"/>
  <c r="AX1146" i="489"/>
  <c r="AX1127" i="489"/>
  <c r="AX1154" i="489"/>
  <c r="AX1168" i="489"/>
  <c r="AX1155" i="489"/>
  <c r="AX1165" i="489"/>
  <c r="AX1169" i="489"/>
  <c r="AX1145" i="489"/>
  <c r="AX1175" i="489"/>
  <c r="AX1166" i="489"/>
  <c r="AX1153" i="489"/>
  <c r="AX1163" i="489"/>
  <c r="AX1109" i="489"/>
  <c r="AX1110" i="489"/>
  <c r="AX1167" i="489"/>
  <c r="AX1173" i="489"/>
  <c r="AX1107" i="489"/>
  <c r="AX1128" i="489"/>
  <c r="AX1174" i="489"/>
  <c r="AX1125" i="489"/>
  <c r="BJ1156" i="489"/>
  <c r="BJ1157" i="489"/>
  <c r="BJ1158" i="489"/>
  <c r="BJ1159" i="489"/>
  <c r="BJ1160" i="489"/>
  <c r="BJ1161" i="489"/>
  <c r="BJ1170" i="489"/>
  <c r="BJ1171" i="489"/>
  <c r="BJ1176" i="489"/>
  <c r="BJ1177" i="489"/>
  <c r="BJ1129" i="489"/>
  <c r="BJ1130" i="489"/>
  <c r="BJ1131" i="489"/>
  <c r="BJ1132" i="489"/>
  <c r="BJ1133" i="489"/>
  <c r="BJ1141" i="489"/>
  <c r="BJ1142" i="489"/>
  <c r="BJ1143" i="489"/>
  <c r="BJ1147" i="489"/>
  <c r="BJ1148" i="489"/>
  <c r="BJ1149" i="489"/>
  <c r="BJ1102" i="489"/>
  <c r="BJ1103" i="489"/>
  <c r="BJ1104" i="489"/>
  <c r="BJ1105" i="489"/>
  <c r="BJ1113" i="489"/>
  <c r="BJ1114" i="489"/>
  <c r="BJ1115" i="489"/>
  <c r="BJ1119" i="489"/>
  <c r="BJ1120" i="489"/>
  <c r="BJ1121" i="489"/>
  <c r="BJ1073" i="489"/>
  <c r="BJ1074" i="489"/>
  <c r="BJ1075" i="489"/>
  <c r="BJ1076" i="489"/>
  <c r="BJ1077" i="489"/>
  <c r="BJ1086" i="489"/>
  <c r="BJ1087" i="489"/>
  <c r="BJ1091" i="489"/>
  <c r="BJ1092" i="489"/>
  <c r="BJ1093" i="489"/>
  <c r="BJ1044" i="489"/>
  <c r="BJ1045" i="489"/>
  <c r="BJ1046" i="489"/>
  <c r="BJ1047" i="489"/>
  <c r="BJ1048" i="489"/>
  <c r="BJ1049" i="489"/>
  <c r="BJ1058" i="489"/>
  <c r="BJ1059" i="489"/>
  <c r="BJ1063" i="489"/>
  <c r="BJ1064" i="489"/>
  <c r="BJ1065" i="489"/>
  <c r="BJ1016" i="489"/>
  <c r="BJ1017" i="489"/>
  <c r="BJ1018" i="489"/>
  <c r="BJ1019" i="489"/>
  <c r="BJ1020" i="489"/>
  <c r="BJ1021" i="489"/>
  <c r="BJ1030" i="489"/>
  <c r="BJ1031" i="489"/>
  <c r="BJ1035" i="489"/>
  <c r="BJ1036" i="489"/>
  <c r="BJ1037" i="489"/>
  <c r="BJ1014" i="489"/>
  <c r="BJ1042" i="489"/>
  <c r="BJ1015" i="489"/>
  <c r="BJ1043" i="489"/>
  <c r="BJ1062" i="489"/>
  <c r="BJ1085" i="489"/>
  <c r="BJ1027" i="489"/>
  <c r="BJ1082" i="489"/>
  <c r="BJ1034" i="489"/>
  <c r="BJ1023" i="489"/>
  <c r="BJ1053" i="489"/>
  <c r="BJ1101" i="489"/>
  <c r="BJ1013" i="489"/>
  <c r="BJ1041" i="489"/>
  <c r="BJ1111" i="489"/>
  <c r="BJ1025" i="489"/>
  <c r="BJ1026" i="489"/>
  <c r="BJ1056" i="489"/>
  <c r="BJ1033" i="489"/>
  <c r="BJ1028" i="489"/>
  <c r="BJ1029" i="489"/>
  <c r="BJ1057" i="489"/>
  <c r="BJ1024" i="489"/>
  <c r="BJ1071" i="489"/>
  <c r="BJ1055" i="489"/>
  <c r="BJ1097" i="489"/>
  <c r="BJ1136" i="489"/>
  <c r="BJ1079" i="489"/>
  <c r="BJ1098" i="489"/>
  <c r="BJ1072" i="489"/>
  <c r="BJ1069" i="489"/>
  <c r="BJ1061" i="489"/>
  <c r="BJ1051" i="489"/>
  <c r="BJ1083" i="489"/>
  <c r="BJ1070" i="489"/>
  <c r="BJ1080" i="489"/>
  <c r="BJ1084" i="489"/>
  <c r="BJ1108" i="489"/>
  <c r="BJ1089" i="489"/>
  <c r="BJ1052" i="489"/>
  <c r="BJ1081" i="489"/>
  <c r="BJ1117" i="489"/>
  <c r="BJ1127" i="489"/>
  <c r="BJ1054" i="489"/>
  <c r="BJ1099" i="489"/>
  <c r="BJ1090" i="489"/>
  <c r="BJ1126" i="489"/>
  <c r="BJ1112" i="489"/>
  <c r="BJ1100" i="489"/>
  <c r="BJ1139" i="489"/>
  <c r="BJ1137" i="489"/>
  <c r="BJ1140" i="489"/>
  <c r="BJ1135" i="489"/>
  <c r="BJ1146" i="489"/>
  <c r="BJ1154" i="489"/>
  <c r="BJ1168" i="489"/>
  <c r="BJ1155" i="489"/>
  <c r="BJ1165" i="489"/>
  <c r="BJ1169" i="489"/>
  <c r="BJ1118" i="489"/>
  <c r="BJ1145" i="489"/>
  <c r="BJ1175" i="489"/>
  <c r="BJ1166" i="489"/>
  <c r="BJ1153" i="489"/>
  <c r="BJ1163" i="489"/>
  <c r="BJ1109" i="489"/>
  <c r="BJ1110" i="489"/>
  <c r="BJ1167" i="489"/>
  <c r="BJ1173" i="489"/>
  <c r="BJ1107" i="489"/>
  <c r="BJ1164" i="489"/>
  <c r="BJ1128" i="489"/>
  <c r="BJ1174" i="489"/>
  <c r="BJ1125" i="489"/>
  <c r="BJ1138" i="489"/>
  <c r="BV1156" i="489"/>
  <c r="BV1157" i="489"/>
  <c r="BV1158" i="489"/>
  <c r="BV1159" i="489"/>
  <c r="BV1160" i="489"/>
  <c r="BV1161" i="489"/>
  <c r="BV1170" i="489"/>
  <c r="BV1171" i="489"/>
  <c r="BV1176" i="489"/>
  <c r="BV1177" i="489"/>
  <c r="BV1129" i="489"/>
  <c r="BV1130" i="489"/>
  <c r="BV1131" i="489"/>
  <c r="BV1132" i="489"/>
  <c r="BV1133" i="489"/>
  <c r="BV1141" i="489"/>
  <c r="BV1142" i="489"/>
  <c r="BV1143" i="489"/>
  <c r="BV1147" i="489"/>
  <c r="BV1148" i="489"/>
  <c r="BV1149" i="489"/>
  <c r="BV1102" i="489"/>
  <c r="BV1103" i="489"/>
  <c r="BV1104" i="489"/>
  <c r="BV1105" i="489"/>
  <c r="BV1113" i="489"/>
  <c r="BV1114" i="489"/>
  <c r="BV1115" i="489"/>
  <c r="BV1119" i="489"/>
  <c r="BV1120" i="489"/>
  <c r="BV1121" i="489"/>
  <c r="BV1073" i="489"/>
  <c r="BV1074" i="489"/>
  <c r="BV1075" i="489"/>
  <c r="BV1076" i="489"/>
  <c r="BV1077" i="489"/>
  <c r="BV1086" i="489"/>
  <c r="BV1087" i="489"/>
  <c r="BV1091" i="489"/>
  <c r="BV1092" i="489"/>
  <c r="BV1093" i="489"/>
  <c r="BV1044" i="489"/>
  <c r="BV1045" i="489"/>
  <c r="BV1046" i="489"/>
  <c r="BV1047" i="489"/>
  <c r="BV1048" i="489"/>
  <c r="BV1049" i="489"/>
  <c r="BV1058" i="489"/>
  <c r="BV1059" i="489"/>
  <c r="BV1063" i="489"/>
  <c r="BV1064" i="489"/>
  <c r="BV1065" i="489"/>
  <c r="BV1016" i="489"/>
  <c r="BV1017" i="489"/>
  <c r="BV1018" i="489"/>
  <c r="BV1019" i="489"/>
  <c r="BV1020" i="489"/>
  <c r="BV1021" i="489"/>
  <c r="BV1035" i="489"/>
  <c r="BV1036" i="489"/>
  <c r="BV1037" i="489"/>
  <c r="BV1030" i="489"/>
  <c r="BV1031" i="489"/>
  <c r="BV1027" i="489"/>
  <c r="BV1082" i="489"/>
  <c r="BV1079" i="489"/>
  <c r="BV1034" i="489"/>
  <c r="BV1023" i="489"/>
  <c r="BV1013" i="489"/>
  <c r="BV1041" i="489"/>
  <c r="BV1098" i="489"/>
  <c r="BV1025" i="489"/>
  <c r="BV1026" i="489"/>
  <c r="BV1056" i="489"/>
  <c r="BV1033" i="489"/>
  <c r="BV1028" i="489"/>
  <c r="BV1029" i="489"/>
  <c r="BV1057" i="489"/>
  <c r="BV1024" i="489"/>
  <c r="BV1014" i="489"/>
  <c r="BV1042" i="489"/>
  <c r="BV1015" i="489"/>
  <c r="BV1043" i="489"/>
  <c r="BV1062" i="489"/>
  <c r="BV1085" i="489"/>
  <c r="BV1053" i="489"/>
  <c r="BV1071" i="489"/>
  <c r="BV1101" i="489"/>
  <c r="BV1111" i="489"/>
  <c r="BV1072" i="489"/>
  <c r="BV1069" i="489"/>
  <c r="BV1061" i="489"/>
  <c r="BV1051" i="489"/>
  <c r="BV1083" i="489"/>
  <c r="BV1070" i="489"/>
  <c r="BV1080" i="489"/>
  <c r="BV1084" i="489"/>
  <c r="BV1108" i="489"/>
  <c r="BV1089" i="489"/>
  <c r="BV1052" i="489"/>
  <c r="BV1081" i="489"/>
  <c r="BV1117" i="489"/>
  <c r="BV1054" i="489"/>
  <c r="BV1099" i="489"/>
  <c r="BV1090" i="489"/>
  <c r="BV1126" i="489"/>
  <c r="BV1140" i="489"/>
  <c r="BV1112" i="489"/>
  <c r="BV1100" i="489"/>
  <c r="BV1139" i="489"/>
  <c r="BV1055" i="489"/>
  <c r="BV1097" i="489"/>
  <c r="BV1136" i="489"/>
  <c r="BV1146" i="489"/>
  <c r="BV1154" i="489"/>
  <c r="BV1127" i="489"/>
  <c r="BV1168" i="489"/>
  <c r="BV1155" i="489"/>
  <c r="BV1165" i="489"/>
  <c r="BV1169" i="489"/>
  <c r="BV1118" i="489"/>
  <c r="BV1145" i="489"/>
  <c r="BV1175" i="489"/>
  <c r="BV1166" i="489"/>
  <c r="BV1153" i="489"/>
  <c r="BV1163" i="489"/>
  <c r="BV1109" i="489"/>
  <c r="BV1110" i="489"/>
  <c r="BV1167" i="489"/>
  <c r="BV1173" i="489"/>
  <c r="BV1107" i="489"/>
  <c r="BV1164" i="489"/>
  <c r="BV1128" i="489"/>
  <c r="BV1174" i="489"/>
  <c r="BV1137" i="489"/>
  <c r="BV1125" i="489"/>
  <c r="BV1138" i="489"/>
  <c r="BV1135" i="489"/>
  <c r="CH1156" i="489"/>
  <c r="CH1157" i="489"/>
  <c r="CH1158" i="489"/>
  <c r="CH1159" i="489"/>
  <c r="CH1160" i="489"/>
  <c r="CH1161" i="489"/>
  <c r="CH1170" i="489"/>
  <c r="CH1171" i="489"/>
  <c r="CH1176" i="489"/>
  <c r="CH1177" i="489"/>
  <c r="CH1129" i="489"/>
  <c r="CH1130" i="489"/>
  <c r="CH1131" i="489"/>
  <c r="CH1132" i="489"/>
  <c r="CH1133" i="489"/>
  <c r="CH1141" i="489"/>
  <c r="CH1142" i="489"/>
  <c r="CH1143" i="489"/>
  <c r="CH1147" i="489"/>
  <c r="CH1148" i="489"/>
  <c r="CH1149" i="489"/>
  <c r="CH1102" i="489"/>
  <c r="CH1103" i="489"/>
  <c r="CH1104" i="489"/>
  <c r="CH1105" i="489"/>
  <c r="CH1113" i="489"/>
  <c r="CH1114" i="489"/>
  <c r="CH1115" i="489"/>
  <c r="CH1119" i="489"/>
  <c r="CH1120" i="489"/>
  <c r="CH1121" i="489"/>
  <c r="CH1073" i="489"/>
  <c r="CH1074" i="489"/>
  <c r="CH1075" i="489"/>
  <c r="CH1076" i="489"/>
  <c r="CH1077" i="489"/>
  <c r="CH1086" i="489"/>
  <c r="CH1087" i="489"/>
  <c r="CH1091" i="489"/>
  <c r="CH1092" i="489"/>
  <c r="CH1093" i="489"/>
  <c r="CH1044" i="489"/>
  <c r="CH1045" i="489"/>
  <c r="CH1046" i="489"/>
  <c r="CH1047" i="489"/>
  <c r="CH1048" i="489"/>
  <c r="CH1049" i="489"/>
  <c r="CH1058" i="489"/>
  <c r="CH1059" i="489"/>
  <c r="CH1063" i="489"/>
  <c r="CH1064" i="489"/>
  <c r="CH1065" i="489"/>
  <c r="CH1016" i="489"/>
  <c r="CH1017" i="489"/>
  <c r="CH1018" i="489"/>
  <c r="CH1019" i="489"/>
  <c r="CH1020" i="489"/>
  <c r="CH1021" i="489"/>
  <c r="CH1035" i="489"/>
  <c r="CH1036" i="489"/>
  <c r="CH1037" i="489"/>
  <c r="CH1030" i="489"/>
  <c r="CH1031" i="489"/>
  <c r="CH1079" i="489"/>
  <c r="CH1034" i="489"/>
  <c r="CH1023" i="489"/>
  <c r="CH1053" i="489"/>
  <c r="CH1101" i="489"/>
  <c r="CH1013" i="489"/>
  <c r="CH1041" i="489"/>
  <c r="CH1111" i="489"/>
  <c r="CH1025" i="489"/>
  <c r="CH1026" i="489"/>
  <c r="CH1056" i="489"/>
  <c r="CH1033" i="489"/>
  <c r="CH1028" i="489"/>
  <c r="CH1029" i="489"/>
  <c r="CH1057" i="489"/>
  <c r="CH1071" i="489"/>
  <c r="CH1014" i="489"/>
  <c r="CH1042" i="489"/>
  <c r="CH1015" i="489"/>
  <c r="CH1043" i="489"/>
  <c r="CH1062" i="489"/>
  <c r="CH1027" i="489"/>
  <c r="CH1082" i="489"/>
  <c r="CH1085" i="489"/>
  <c r="CH1098" i="489"/>
  <c r="CH1072" i="489"/>
  <c r="CH1069" i="489"/>
  <c r="CH1061" i="489"/>
  <c r="CH1051" i="489"/>
  <c r="CH1083" i="489"/>
  <c r="CH1070" i="489"/>
  <c r="CH1109" i="489"/>
  <c r="CH1080" i="489"/>
  <c r="CH1084" i="489"/>
  <c r="CH1108" i="489"/>
  <c r="CH1089" i="489"/>
  <c r="CH1052" i="489"/>
  <c r="CH1081" i="489"/>
  <c r="CH1117" i="489"/>
  <c r="CH1054" i="489"/>
  <c r="CH1099" i="489"/>
  <c r="CH1090" i="489"/>
  <c r="CH1126" i="489"/>
  <c r="CH1112" i="489"/>
  <c r="CH1100" i="489"/>
  <c r="CH1139" i="489"/>
  <c r="CH1137" i="489"/>
  <c r="CH1055" i="489"/>
  <c r="CH1097" i="489"/>
  <c r="CH1136" i="489"/>
  <c r="CH1154" i="489"/>
  <c r="CH1127" i="489"/>
  <c r="CH1168" i="489"/>
  <c r="CH1155" i="489"/>
  <c r="CH1165" i="489"/>
  <c r="CH1169" i="489"/>
  <c r="CH1118" i="489"/>
  <c r="CH1145" i="489"/>
  <c r="CH1175" i="489"/>
  <c r="CH1166" i="489"/>
  <c r="CH1153" i="489"/>
  <c r="CH1163" i="489"/>
  <c r="CH1110" i="489"/>
  <c r="CH1167" i="489"/>
  <c r="CH1173" i="489"/>
  <c r="CH1107" i="489"/>
  <c r="CH1164" i="489"/>
  <c r="CH1128" i="489"/>
  <c r="CH1174" i="489"/>
  <c r="CH1125" i="489"/>
  <c r="CH1138" i="489"/>
  <c r="CH1135" i="489"/>
  <c r="CH1140" i="489"/>
  <c r="CH1146" i="489"/>
  <c r="CT1156" i="489"/>
  <c r="CT1157" i="489"/>
  <c r="CT1158" i="489"/>
  <c r="CT1159" i="489"/>
  <c r="CT1160" i="489"/>
  <c r="CT1161" i="489"/>
  <c r="CT1170" i="489"/>
  <c r="CT1171" i="489"/>
  <c r="CT1176" i="489"/>
  <c r="CT1177" i="489"/>
  <c r="CT1129" i="489"/>
  <c r="CT1130" i="489"/>
  <c r="CT1131" i="489"/>
  <c r="CT1132" i="489"/>
  <c r="CT1133" i="489"/>
  <c r="CT1141" i="489"/>
  <c r="CT1142" i="489"/>
  <c r="CT1143" i="489"/>
  <c r="CT1147" i="489"/>
  <c r="CT1148" i="489"/>
  <c r="CT1149" i="489"/>
  <c r="CT1102" i="489"/>
  <c r="CT1103" i="489"/>
  <c r="CT1104" i="489"/>
  <c r="CT1105" i="489"/>
  <c r="CT1113" i="489"/>
  <c r="CT1114" i="489"/>
  <c r="CT1115" i="489"/>
  <c r="CT1119" i="489"/>
  <c r="CT1120" i="489"/>
  <c r="CT1121" i="489"/>
  <c r="CT1073" i="489"/>
  <c r="CT1074" i="489"/>
  <c r="CT1075" i="489"/>
  <c r="CT1076" i="489"/>
  <c r="CT1077" i="489"/>
  <c r="CT1086" i="489"/>
  <c r="CT1087" i="489"/>
  <c r="CT1091" i="489"/>
  <c r="CT1093" i="489"/>
  <c r="CT1092" i="489"/>
  <c r="CT1044" i="489"/>
  <c r="CT1045" i="489"/>
  <c r="CT1046" i="489"/>
  <c r="CT1047" i="489"/>
  <c r="CT1048" i="489"/>
  <c r="CT1049" i="489"/>
  <c r="CT1058" i="489"/>
  <c r="CT1059" i="489"/>
  <c r="CT1063" i="489"/>
  <c r="CT1064" i="489"/>
  <c r="CT1065" i="489"/>
  <c r="CT1016" i="489"/>
  <c r="CT1017" i="489"/>
  <c r="CT1018" i="489"/>
  <c r="CT1019" i="489"/>
  <c r="CT1020" i="489"/>
  <c r="CT1021" i="489"/>
  <c r="CT1035" i="489"/>
  <c r="CT1030" i="489"/>
  <c r="CT1036" i="489"/>
  <c r="CT1037" i="489"/>
  <c r="CT1031" i="489"/>
  <c r="CT1034" i="489"/>
  <c r="CT1053" i="489"/>
  <c r="CT1101" i="489"/>
  <c r="CT1041" i="489"/>
  <c r="CT1098" i="489"/>
  <c r="CT1025" i="489"/>
  <c r="CT1026" i="489"/>
  <c r="CT1056" i="489"/>
  <c r="CT1033" i="489"/>
  <c r="CT1028" i="489"/>
  <c r="CT1029" i="489"/>
  <c r="CT1057" i="489"/>
  <c r="CT1024" i="489"/>
  <c r="CT1014" i="489"/>
  <c r="CT1042" i="489"/>
  <c r="CT1015" i="489"/>
  <c r="CT1043" i="489"/>
  <c r="CT1062" i="489"/>
  <c r="CT1085" i="489"/>
  <c r="CT1027" i="489"/>
  <c r="CT1079" i="489"/>
  <c r="CT1071" i="489"/>
  <c r="CT1082" i="489"/>
  <c r="CT1111" i="489"/>
  <c r="CT1072" i="489"/>
  <c r="CT1069" i="489"/>
  <c r="CT1061" i="489"/>
  <c r="CT1051" i="489"/>
  <c r="CT1083" i="489"/>
  <c r="CT1070" i="489"/>
  <c r="CT1084" i="489"/>
  <c r="CT1108" i="489"/>
  <c r="CT1118" i="489"/>
  <c r="CT1089" i="489"/>
  <c r="CT1052" i="489"/>
  <c r="CT1081" i="489"/>
  <c r="CT1117" i="489"/>
  <c r="CT1054" i="489"/>
  <c r="CT1099" i="489"/>
  <c r="CT1090" i="489"/>
  <c r="CT1126" i="489"/>
  <c r="CT1112" i="489"/>
  <c r="CT1100" i="489"/>
  <c r="CT1139" i="489"/>
  <c r="CT1055" i="489"/>
  <c r="CT1097" i="489"/>
  <c r="CT1127" i="489"/>
  <c r="CT1168" i="489"/>
  <c r="CT1155" i="489"/>
  <c r="CT1165" i="489"/>
  <c r="CT1169" i="489"/>
  <c r="CT1145" i="489"/>
  <c r="CT1175" i="489"/>
  <c r="CT1166" i="489"/>
  <c r="CT1153" i="489"/>
  <c r="CT1163" i="489"/>
  <c r="CT1110" i="489"/>
  <c r="CT1167" i="489"/>
  <c r="CT1173" i="489"/>
  <c r="CT1109" i="489"/>
  <c r="CT1107" i="489"/>
  <c r="CT1164" i="489"/>
  <c r="CT1128" i="489"/>
  <c r="CT1174" i="489"/>
  <c r="CT1125" i="489"/>
  <c r="CT1137" i="489"/>
  <c r="CT1138" i="489"/>
  <c r="CT1140" i="489"/>
  <c r="CT1146" i="489"/>
  <c r="CT1154" i="489"/>
  <c r="DF1156" i="489"/>
  <c r="DF1157" i="489"/>
  <c r="DF1158" i="489"/>
  <c r="DF1159" i="489"/>
  <c r="DF1160" i="489"/>
  <c r="DF1161" i="489"/>
  <c r="DF1170" i="489"/>
  <c r="DF1171" i="489"/>
  <c r="DF1176" i="489"/>
  <c r="DF1177" i="489"/>
  <c r="DF1129" i="489"/>
  <c r="DF1130" i="489"/>
  <c r="DF1131" i="489"/>
  <c r="DF1132" i="489"/>
  <c r="DF1133" i="489"/>
  <c r="DF1141" i="489"/>
  <c r="DF1142" i="489"/>
  <c r="DF1143" i="489"/>
  <c r="DF1147" i="489"/>
  <c r="DF1148" i="489"/>
  <c r="DF1149" i="489"/>
  <c r="DF1102" i="489"/>
  <c r="DF1103" i="489"/>
  <c r="DF1104" i="489"/>
  <c r="DF1105" i="489"/>
  <c r="DF1114" i="489"/>
  <c r="DF1115" i="489"/>
  <c r="DF1119" i="489"/>
  <c r="DF1120" i="489"/>
  <c r="DF1121" i="489"/>
  <c r="DF1113" i="489"/>
  <c r="DF1073" i="489"/>
  <c r="DF1074" i="489"/>
  <c r="DF1075" i="489"/>
  <c r="DF1076" i="489"/>
  <c r="DF1077" i="489"/>
  <c r="DF1086" i="489"/>
  <c r="DF1087" i="489"/>
  <c r="DF1091" i="489"/>
  <c r="DF1092" i="489"/>
  <c r="DF1093" i="489"/>
  <c r="DF1098" i="489"/>
  <c r="DF1111" i="489"/>
  <c r="DF1071" i="489"/>
  <c r="DF1082" i="489"/>
  <c r="DF1101" i="489"/>
  <c r="DF1085" i="489"/>
  <c r="DF1079" i="489"/>
  <c r="DF1072" i="489"/>
  <c r="DF1083" i="489"/>
  <c r="DF1070" i="489"/>
  <c r="DF1084" i="489"/>
  <c r="DF1089" i="489"/>
  <c r="DF1117" i="489"/>
  <c r="DF1127" i="489"/>
  <c r="DF1099" i="489"/>
  <c r="DF1090" i="489"/>
  <c r="DF1112" i="489"/>
  <c r="DF1100" i="489"/>
  <c r="DF1139" i="489"/>
  <c r="DF1097" i="489"/>
  <c r="DF1136" i="489"/>
  <c r="DF1169" i="489"/>
  <c r="DF1145" i="489"/>
  <c r="DF1175" i="489"/>
  <c r="DF1166" i="489"/>
  <c r="DF1118" i="489"/>
  <c r="DF1163" i="489"/>
  <c r="DF1167" i="489"/>
  <c r="DF1173" i="489"/>
  <c r="DF1107" i="489"/>
  <c r="DF1128" i="489"/>
  <c r="DF1174" i="489"/>
  <c r="DF1125" i="489"/>
  <c r="DF1135" i="489"/>
  <c r="DF1140" i="489"/>
  <c r="DF1146" i="489"/>
  <c r="DF1154" i="489"/>
  <c r="DF1168" i="489"/>
  <c r="DF1155" i="489"/>
  <c r="DR1156" i="489"/>
  <c r="DR1157" i="489"/>
  <c r="DR1158" i="489"/>
  <c r="DR1159" i="489"/>
  <c r="DR1160" i="489"/>
  <c r="DR1161" i="489"/>
  <c r="DR1176" i="489"/>
  <c r="DR1177" i="489"/>
  <c r="DR1129" i="489"/>
  <c r="DR1170" i="489"/>
  <c r="DR1171" i="489"/>
  <c r="DR1130" i="489"/>
  <c r="DR1131" i="489"/>
  <c r="DR1132" i="489"/>
  <c r="DR1133" i="489"/>
  <c r="DR1141" i="489"/>
  <c r="DR1142" i="489"/>
  <c r="DR1143" i="489"/>
  <c r="DR1147" i="489"/>
  <c r="DR1148" i="489"/>
  <c r="DR1149" i="489"/>
  <c r="DR1102" i="489"/>
  <c r="DR1103" i="489"/>
  <c r="DR1104" i="489"/>
  <c r="DR1105" i="489"/>
  <c r="DR1113" i="489"/>
  <c r="DR1114" i="489"/>
  <c r="DR1115" i="489"/>
  <c r="DR1119" i="489"/>
  <c r="DR1120" i="489"/>
  <c r="DR1121" i="489"/>
  <c r="DR1073" i="489"/>
  <c r="DR1074" i="489"/>
  <c r="DR1075" i="489"/>
  <c r="DR1076" i="489"/>
  <c r="DR1077" i="489"/>
  <c r="DR1086" i="489"/>
  <c r="DR1087" i="489"/>
  <c r="DR1091" i="489"/>
  <c r="DR1093" i="489"/>
  <c r="DR1092" i="489"/>
  <c r="DR1047" i="489"/>
  <c r="DR1048" i="489"/>
  <c r="DR1049" i="489"/>
  <c r="DR1044" i="489"/>
  <c r="DR1045" i="489"/>
  <c r="DR1046" i="489"/>
  <c r="DR1064" i="489"/>
  <c r="DR1065" i="489"/>
  <c r="DR1058" i="489"/>
  <c r="DR1059" i="489"/>
  <c r="DR1063" i="489"/>
  <c r="DR1018" i="489"/>
  <c r="DR1019" i="489"/>
  <c r="DR1020" i="489"/>
  <c r="DR1021" i="489"/>
  <c r="DR1030" i="489"/>
  <c r="DR1016" i="489"/>
  <c r="DR1017" i="489"/>
  <c r="DR1037" i="489"/>
  <c r="DR1031" i="489"/>
  <c r="DR1035" i="489"/>
  <c r="DR1036" i="489"/>
  <c r="DR1013" i="489"/>
  <c r="DR1041" i="489"/>
  <c r="DR1111" i="489"/>
  <c r="DR1025" i="489"/>
  <c r="DR1026" i="489"/>
  <c r="DR1033" i="489"/>
  <c r="DR1028" i="489"/>
  <c r="DR1029" i="489"/>
  <c r="DR1057" i="489"/>
  <c r="DR1024" i="489"/>
  <c r="DR1085" i="489"/>
  <c r="DR1015" i="489"/>
  <c r="DR1043" i="489"/>
  <c r="DR1027" i="489"/>
  <c r="DR1079" i="489"/>
  <c r="DR1034" i="489"/>
  <c r="DR1023" i="489"/>
  <c r="DR1053" i="489"/>
  <c r="DR1082" i="489"/>
  <c r="DR1072" i="489"/>
  <c r="DR1069" i="489"/>
  <c r="DR1083" i="489"/>
  <c r="DR1061" i="489"/>
  <c r="DR1051" i="489"/>
  <c r="DR1080" i="489"/>
  <c r="DR1084" i="489"/>
  <c r="DR1108" i="489"/>
  <c r="DR1118" i="489"/>
  <c r="DR1089" i="489"/>
  <c r="DR1081" i="489"/>
  <c r="DR1117" i="489"/>
  <c r="DR1099" i="489"/>
  <c r="DR1052" i="489"/>
  <c r="DR1090" i="489"/>
  <c r="DR1126" i="489"/>
  <c r="DR1140" i="489"/>
  <c r="DR1062" i="489"/>
  <c r="DR1054" i="489"/>
  <c r="DR1112" i="489"/>
  <c r="DR1100" i="489"/>
  <c r="DR1139" i="489"/>
  <c r="DR1056" i="489"/>
  <c r="DR1097" i="489"/>
  <c r="DR1136" i="489"/>
  <c r="DR1055" i="489"/>
  <c r="DR1110" i="489"/>
  <c r="DR1145" i="489"/>
  <c r="DR1175" i="489"/>
  <c r="DR1166" i="489"/>
  <c r="DR1153" i="489"/>
  <c r="DR1163" i="489"/>
  <c r="DR1167" i="489"/>
  <c r="DR1173" i="489"/>
  <c r="DR1107" i="489"/>
  <c r="DR1164" i="489"/>
  <c r="DR1109" i="489"/>
  <c r="DR1128" i="489"/>
  <c r="DR1174" i="489"/>
  <c r="DR1125" i="489"/>
  <c r="DR1137" i="489"/>
  <c r="DR1138" i="489"/>
  <c r="DR1135" i="489"/>
  <c r="DR1146" i="489"/>
  <c r="DR1168" i="489"/>
  <c r="DR1155" i="489"/>
  <c r="DR1165" i="489"/>
  <c r="DR1169" i="489"/>
  <c r="EF1159" i="489"/>
  <c r="EF1160" i="489"/>
  <c r="EF1161" i="489"/>
  <c r="EF1156" i="489"/>
  <c r="EF1157" i="489"/>
  <c r="EF1158" i="489"/>
  <c r="EF1170" i="489"/>
  <c r="EF1171" i="489"/>
  <c r="EF1176" i="489"/>
  <c r="EF1177" i="489"/>
  <c r="EF1129" i="489"/>
  <c r="EF1130" i="489"/>
  <c r="EF1131" i="489"/>
  <c r="EF1132" i="489"/>
  <c r="EF1133" i="489"/>
  <c r="EF1141" i="489"/>
  <c r="EF1142" i="489"/>
  <c r="EF1143" i="489"/>
  <c r="EF1147" i="489"/>
  <c r="EF1148" i="489"/>
  <c r="EF1149" i="489"/>
  <c r="EF1102" i="489"/>
  <c r="EF1103" i="489"/>
  <c r="EF1104" i="489"/>
  <c r="EF1105" i="489"/>
  <c r="EF1113" i="489"/>
  <c r="EF1114" i="489"/>
  <c r="EF1115" i="489"/>
  <c r="EF1119" i="489"/>
  <c r="EF1120" i="489"/>
  <c r="EF1121" i="489"/>
  <c r="EF1073" i="489"/>
  <c r="EF1074" i="489"/>
  <c r="EF1075" i="489"/>
  <c r="EF1076" i="489"/>
  <c r="EF1077" i="489"/>
  <c r="EF1086" i="489"/>
  <c r="EF1087" i="489"/>
  <c r="EF1091" i="489"/>
  <c r="EF1092" i="489"/>
  <c r="EF1093" i="489"/>
  <c r="EF1046" i="489"/>
  <c r="EF1047" i="489"/>
  <c r="EF1048" i="489"/>
  <c r="EF1049" i="489"/>
  <c r="EF1044" i="489"/>
  <c r="EF1045" i="489"/>
  <c r="EF1063" i="489"/>
  <c r="EF1064" i="489"/>
  <c r="EF1065" i="489"/>
  <c r="EF1058" i="489"/>
  <c r="EF1059" i="489"/>
  <c r="EF1017" i="489"/>
  <c r="EF1018" i="489"/>
  <c r="EF1019" i="489"/>
  <c r="EF1020" i="489"/>
  <c r="EF1021" i="489"/>
  <c r="EF1016" i="489"/>
  <c r="EF1036" i="489"/>
  <c r="EF1037" i="489"/>
  <c r="EF1030" i="489"/>
  <c r="EF1031" i="489"/>
  <c r="EF1035" i="489"/>
  <c r="EF1057" i="489"/>
  <c r="EF1062" i="489"/>
  <c r="EF1071" i="489"/>
  <c r="EF1085" i="489"/>
  <c r="EF1082" i="489"/>
  <c r="EF1079" i="489"/>
  <c r="EF1043" i="489"/>
  <c r="EF1101" i="489"/>
  <c r="EF1098" i="489"/>
  <c r="EF1111" i="489"/>
  <c r="EF1042" i="489"/>
  <c r="EF1023" i="489"/>
  <c r="EF1053" i="489"/>
  <c r="EF1034" i="489"/>
  <c r="EF1026" i="489"/>
  <c r="EF1041" i="489"/>
  <c r="EF1056" i="489"/>
  <c r="EF1033" i="489"/>
  <c r="EF1025" i="489"/>
  <c r="EF1029" i="489"/>
  <c r="EF1024" i="489"/>
  <c r="EF1028" i="489"/>
  <c r="EF1015" i="489"/>
  <c r="EF1054" i="489"/>
  <c r="EF1027" i="489"/>
  <c r="EF1014" i="489"/>
  <c r="EF1013" i="489"/>
  <c r="EF1083" i="489"/>
  <c r="EF1089" i="489"/>
  <c r="EF1112" i="489"/>
  <c r="EF1061" i="489"/>
  <c r="EF1070" i="489"/>
  <c r="EF1084" i="489"/>
  <c r="EF1081" i="489"/>
  <c r="EF1090" i="489"/>
  <c r="EF1100" i="489"/>
  <c r="EF1097" i="489"/>
  <c r="EF1052" i="489"/>
  <c r="EF1069" i="489"/>
  <c r="EF1055" i="489"/>
  <c r="EF1051" i="489"/>
  <c r="EF1080" i="489"/>
  <c r="EF1099" i="489"/>
  <c r="EF1109" i="489"/>
  <c r="EF1108" i="489"/>
  <c r="EF1117" i="489"/>
  <c r="EF1126" i="489"/>
  <c r="EF1139" i="489"/>
  <c r="EF1136" i="489"/>
  <c r="EF1118" i="489"/>
  <c r="EF1127" i="489"/>
  <c r="EF1140" i="489"/>
  <c r="EF1137" i="489"/>
  <c r="EF1146" i="489"/>
  <c r="EF1072" i="489"/>
  <c r="EF1135" i="489"/>
  <c r="EF1155" i="489"/>
  <c r="EF1169" i="489"/>
  <c r="EF1166" i="489"/>
  <c r="EF1163" i="489"/>
  <c r="EF1110" i="489"/>
  <c r="EF1173" i="489"/>
  <c r="EF1128" i="489"/>
  <c r="EF1138" i="489"/>
  <c r="EF1154" i="489"/>
  <c r="EF1168" i="489"/>
  <c r="EF1165" i="489"/>
  <c r="EF1175" i="489"/>
  <c r="EF1145" i="489"/>
  <c r="EF1153" i="489"/>
  <c r="EF1107" i="489"/>
  <c r="EF1167" i="489"/>
  <c r="EF1164" i="489"/>
  <c r="EF1174" i="489"/>
  <c r="EF1125" i="489"/>
  <c r="EQ1156" i="489"/>
  <c r="EQ1157" i="489"/>
  <c r="EQ1158" i="489"/>
  <c r="EQ1170" i="489"/>
  <c r="EQ1171" i="489"/>
  <c r="EQ1161" i="489"/>
  <c r="EQ1159" i="489"/>
  <c r="EQ1160" i="489"/>
  <c r="EQ1129" i="489"/>
  <c r="EQ1176" i="489"/>
  <c r="EQ1177" i="489"/>
  <c r="EQ1130" i="489"/>
  <c r="EQ1131" i="489"/>
  <c r="EQ1132" i="489"/>
  <c r="EQ1133" i="489"/>
  <c r="EQ1141" i="489"/>
  <c r="EQ1142" i="489"/>
  <c r="EQ1143" i="489"/>
  <c r="EQ1147" i="489"/>
  <c r="EQ1148" i="489"/>
  <c r="EQ1102" i="489"/>
  <c r="EQ1103" i="489"/>
  <c r="EQ1104" i="489"/>
  <c r="EQ1105" i="489"/>
  <c r="EQ1149" i="489"/>
  <c r="EQ1113" i="489"/>
  <c r="EQ1114" i="489"/>
  <c r="EQ1115" i="489"/>
  <c r="EQ1073" i="489"/>
  <c r="EQ1074" i="489"/>
  <c r="EQ1075" i="489"/>
  <c r="EQ1076" i="489"/>
  <c r="EQ1077" i="489"/>
  <c r="EQ1119" i="489"/>
  <c r="EQ1120" i="489"/>
  <c r="EQ1121" i="489"/>
  <c r="EQ1086" i="489"/>
  <c r="EQ1087" i="489"/>
  <c r="EQ1091" i="489"/>
  <c r="EQ1092" i="489"/>
  <c r="EQ1093" i="489"/>
  <c r="EQ1047" i="489"/>
  <c r="EQ1048" i="489"/>
  <c r="EQ1049" i="489"/>
  <c r="EQ1044" i="489"/>
  <c r="EQ1045" i="489"/>
  <c r="EQ1046" i="489"/>
  <c r="EQ1064" i="489"/>
  <c r="EQ1065" i="489"/>
  <c r="EQ1058" i="489"/>
  <c r="EQ1059" i="489"/>
  <c r="EQ1063" i="489"/>
  <c r="EQ1018" i="489"/>
  <c r="EQ1019" i="489"/>
  <c r="EQ1020" i="489"/>
  <c r="EQ1021" i="489"/>
  <c r="EQ1030" i="489"/>
  <c r="EQ1016" i="489"/>
  <c r="EQ1017" i="489"/>
  <c r="EQ1037" i="489"/>
  <c r="EQ1031" i="489"/>
  <c r="EQ1035" i="489"/>
  <c r="EQ1036" i="489"/>
  <c r="EQ1024" i="489"/>
  <c r="EQ1055" i="489"/>
  <c r="EQ1062" i="489"/>
  <c r="EQ1025" i="489"/>
  <c r="EQ1056" i="489"/>
  <c r="EQ1029" i="489"/>
  <c r="EQ1043" i="489"/>
  <c r="EQ1027" i="489"/>
  <c r="EQ1041" i="489"/>
  <c r="EQ1028" i="489"/>
  <c r="EQ1042" i="489"/>
  <c r="EQ1015" i="489"/>
  <c r="EQ1023" i="489"/>
  <c r="EQ1054" i="489"/>
  <c r="EQ1013" i="489"/>
  <c r="EQ1033" i="489"/>
  <c r="EQ1052" i="489"/>
  <c r="EQ1014" i="489"/>
  <c r="EQ1034" i="489"/>
  <c r="EQ1053" i="489"/>
  <c r="EQ1026" i="489"/>
  <c r="EQ1057" i="489"/>
  <c r="EQ1071" i="489"/>
  <c r="EQ1085" i="489"/>
  <c r="EQ1082" i="489"/>
  <c r="EQ1079" i="489"/>
  <c r="EQ1101" i="489"/>
  <c r="EQ1098" i="489"/>
  <c r="EQ1111" i="489"/>
  <c r="EQ1108" i="489"/>
  <c r="EQ1072" i="489"/>
  <c r="EQ1117" i="489"/>
  <c r="EQ1126" i="489"/>
  <c r="EQ1139" i="489"/>
  <c r="EQ1136" i="489"/>
  <c r="EQ1083" i="489"/>
  <c r="EQ1080" i="489"/>
  <c r="EQ1089" i="489"/>
  <c r="EQ1099" i="489"/>
  <c r="EQ1112" i="489"/>
  <c r="EQ1109" i="489"/>
  <c r="EQ1069" i="489"/>
  <c r="EQ1070" i="489"/>
  <c r="EQ1084" i="489"/>
  <c r="EQ1081" i="489"/>
  <c r="EQ1090" i="489"/>
  <c r="EQ1100" i="489"/>
  <c r="EQ1097" i="489"/>
  <c r="EQ1110" i="489"/>
  <c r="EQ1061" i="489"/>
  <c r="EQ1051" i="489"/>
  <c r="EQ1146" i="489"/>
  <c r="EQ1118" i="489"/>
  <c r="EQ1127" i="489"/>
  <c r="EQ1137" i="489"/>
  <c r="EQ1154" i="489"/>
  <c r="EQ1168" i="489"/>
  <c r="EQ1165" i="489"/>
  <c r="EQ1175" i="489"/>
  <c r="EQ1107" i="489"/>
  <c r="EQ1128" i="489"/>
  <c r="EQ1125" i="489"/>
  <c r="EQ1138" i="489"/>
  <c r="EQ1135" i="489"/>
  <c r="EQ1145" i="489"/>
  <c r="EQ1153" i="489"/>
  <c r="EQ1167" i="489"/>
  <c r="EQ1164" i="489"/>
  <c r="EQ1174" i="489"/>
  <c r="EQ1155" i="489"/>
  <c r="EQ1169" i="489"/>
  <c r="EQ1166" i="489"/>
  <c r="EQ1163" i="489"/>
  <c r="EQ1173" i="489"/>
  <c r="EQ1140" i="489"/>
  <c r="N986" i="489"/>
  <c r="N1156" i="489"/>
  <c r="N1157" i="489"/>
  <c r="N1158" i="489"/>
  <c r="N1159" i="489"/>
  <c r="N1160" i="489"/>
  <c r="N1161" i="489"/>
  <c r="N1176" i="489"/>
  <c r="N1177" i="489"/>
  <c r="N1129" i="489"/>
  <c r="N1130" i="489"/>
  <c r="N1170" i="489"/>
  <c r="N1131" i="489"/>
  <c r="N1132" i="489"/>
  <c r="N1133" i="489"/>
  <c r="N1171" i="489"/>
  <c r="N1141" i="489"/>
  <c r="N1142" i="489"/>
  <c r="N1143" i="489"/>
  <c r="N1147" i="489"/>
  <c r="N1148" i="489"/>
  <c r="N1149" i="489"/>
  <c r="N1102" i="489"/>
  <c r="N1103" i="489"/>
  <c r="N1104" i="489"/>
  <c r="N1105" i="489"/>
  <c r="N1113" i="489"/>
  <c r="N1115" i="489"/>
  <c r="N1119" i="489"/>
  <c r="N1120" i="489"/>
  <c r="N1121" i="489"/>
  <c r="N1114" i="489"/>
  <c r="N1073" i="489"/>
  <c r="N1074" i="489"/>
  <c r="N1075" i="489"/>
  <c r="N1076" i="489"/>
  <c r="N1077" i="489"/>
  <c r="N1086" i="489"/>
  <c r="N1087" i="489"/>
  <c r="N1091" i="489"/>
  <c r="N1092" i="489"/>
  <c r="N1093" i="489"/>
  <c r="N1049" i="489"/>
  <c r="N1044" i="489"/>
  <c r="N1045" i="489"/>
  <c r="N1046" i="489"/>
  <c r="N1047" i="489"/>
  <c r="N1048" i="489"/>
  <c r="N1058" i="489"/>
  <c r="N1059" i="489"/>
  <c r="N1063" i="489"/>
  <c r="N1064" i="489"/>
  <c r="N1065" i="489"/>
  <c r="N1020" i="489"/>
  <c r="N1021" i="489"/>
  <c r="N1030" i="489"/>
  <c r="N1016" i="489"/>
  <c r="N1017" i="489"/>
  <c r="N1018" i="489"/>
  <c r="N1019" i="489"/>
  <c r="N1031" i="489"/>
  <c r="N1035" i="489"/>
  <c r="N1036" i="489"/>
  <c r="N1037" i="489"/>
  <c r="N1028" i="489"/>
  <c r="N1029" i="489"/>
  <c r="N1024" i="489"/>
  <c r="N1071" i="489"/>
  <c r="N1014" i="489"/>
  <c r="N1042" i="489"/>
  <c r="N1015" i="489"/>
  <c r="N1043" i="489"/>
  <c r="N1062" i="489"/>
  <c r="N1027" i="489"/>
  <c r="N1082" i="489"/>
  <c r="N1079" i="489"/>
  <c r="N1034" i="489"/>
  <c r="N1023" i="489"/>
  <c r="N1053" i="489"/>
  <c r="N1101" i="489"/>
  <c r="N1013" i="489"/>
  <c r="N1041" i="489"/>
  <c r="N1025" i="489"/>
  <c r="N1026" i="489"/>
  <c r="N1056" i="489"/>
  <c r="N1033" i="489"/>
  <c r="N1080" i="489"/>
  <c r="N1084" i="489"/>
  <c r="N1108" i="489"/>
  <c r="N1118" i="489"/>
  <c r="N1089" i="489"/>
  <c r="N1052" i="489"/>
  <c r="N1081" i="489"/>
  <c r="N1117" i="489"/>
  <c r="N1054" i="489"/>
  <c r="N1099" i="489"/>
  <c r="N1090" i="489"/>
  <c r="N1126" i="489"/>
  <c r="N1085" i="489"/>
  <c r="N1112" i="489"/>
  <c r="N1100" i="489"/>
  <c r="N1139" i="489"/>
  <c r="N1137" i="489"/>
  <c r="N1098" i="489"/>
  <c r="N1055" i="489"/>
  <c r="N1097" i="489"/>
  <c r="N1136" i="489"/>
  <c r="N1057" i="489"/>
  <c r="N1072" i="489"/>
  <c r="N1069" i="489"/>
  <c r="N1061" i="489"/>
  <c r="N1051" i="489"/>
  <c r="N1083" i="489"/>
  <c r="N1070" i="489"/>
  <c r="N1111" i="489"/>
  <c r="N1109" i="489"/>
  <c r="N1107" i="489"/>
  <c r="N1164" i="489"/>
  <c r="N1128" i="489"/>
  <c r="N1174" i="489"/>
  <c r="N1140" i="489"/>
  <c r="N1125" i="489"/>
  <c r="N1138" i="489"/>
  <c r="N1127" i="489"/>
  <c r="N1135" i="489"/>
  <c r="N1146" i="489"/>
  <c r="N1168" i="489"/>
  <c r="N1155" i="489"/>
  <c r="N1165" i="489"/>
  <c r="N1169" i="489"/>
  <c r="N1145" i="489"/>
  <c r="N1175" i="489"/>
  <c r="N1166" i="489"/>
  <c r="N1153" i="489"/>
  <c r="N1163" i="489"/>
  <c r="N1110" i="489"/>
  <c r="N1167" i="489"/>
  <c r="N1173" i="489"/>
  <c r="Z985" i="489"/>
  <c r="Z1156" i="489"/>
  <c r="Z1157" i="489"/>
  <c r="Z1158" i="489"/>
  <c r="Z1159" i="489"/>
  <c r="Z1160" i="489"/>
  <c r="Z1161" i="489"/>
  <c r="Z1170" i="489"/>
  <c r="Z1171" i="489"/>
  <c r="Z1176" i="489"/>
  <c r="Z1177" i="489"/>
  <c r="Z1129" i="489"/>
  <c r="Z1130" i="489"/>
  <c r="Z1131" i="489"/>
  <c r="Z1132" i="489"/>
  <c r="Z1133" i="489"/>
  <c r="Z1141" i="489"/>
  <c r="Z1142" i="489"/>
  <c r="Z1143" i="489"/>
  <c r="Z1147" i="489"/>
  <c r="Z1148" i="489"/>
  <c r="Z1149" i="489"/>
  <c r="Z1102" i="489"/>
  <c r="Z1104" i="489"/>
  <c r="Z1105" i="489"/>
  <c r="Z1113" i="489"/>
  <c r="Z1114" i="489"/>
  <c r="Z1115" i="489"/>
  <c r="Z1119" i="489"/>
  <c r="Z1120" i="489"/>
  <c r="Z1121" i="489"/>
  <c r="Z1073" i="489"/>
  <c r="Z1074" i="489"/>
  <c r="Z1075" i="489"/>
  <c r="Z1076" i="489"/>
  <c r="Z1077" i="489"/>
  <c r="Z1086" i="489"/>
  <c r="Z1087" i="489"/>
  <c r="Z1091" i="489"/>
  <c r="Z1092" i="489"/>
  <c r="Z1093" i="489"/>
  <c r="Z1044" i="489"/>
  <c r="Z1045" i="489"/>
  <c r="Z1046" i="489"/>
  <c r="Z1047" i="489"/>
  <c r="Z1048" i="489"/>
  <c r="Z1049" i="489"/>
  <c r="Z1058" i="489"/>
  <c r="Z1059" i="489"/>
  <c r="Z1063" i="489"/>
  <c r="Z1064" i="489"/>
  <c r="Z1065" i="489"/>
  <c r="Z1021" i="489"/>
  <c r="Z1030" i="489"/>
  <c r="Z1016" i="489"/>
  <c r="Z1017" i="489"/>
  <c r="Z1018" i="489"/>
  <c r="Z1019" i="489"/>
  <c r="Z1020" i="489"/>
  <c r="Z1031" i="489"/>
  <c r="Z1035" i="489"/>
  <c r="Z1036" i="489"/>
  <c r="Z1037" i="489"/>
  <c r="Z1028" i="489"/>
  <c r="Z1029" i="489"/>
  <c r="Z1024" i="489"/>
  <c r="Z1014" i="489"/>
  <c r="Z1042" i="489"/>
  <c r="Z1043" i="489"/>
  <c r="Z1062" i="489"/>
  <c r="Z1085" i="489"/>
  <c r="Z1027" i="489"/>
  <c r="Z1079" i="489"/>
  <c r="Z1034" i="489"/>
  <c r="Z1023" i="489"/>
  <c r="Z1053" i="489"/>
  <c r="Z1101" i="489"/>
  <c r="Z1041" i="489"/>
  <c r="Z1025" i="489"/>
  <c r="Z1026" i="489"/>
  <c r="Z1056" i="489"/>
  <c r="Z1033" i="489"/>
  <c r="Z1089" i="489"/>
  <c r="Z1052" i="489"/>
  <c r="Z1081" i="489"/>
  <c r="Z1117" i="489"/>
  <c r="Z1127" i="489"/>
  <c r="Z1054" i="489"/>
  <c r="Z1090" i="489"/>
  <c r="Z1126" i="489"/>
  <c r="Z1071" i="489"/>
  <c r="Z1112" i="489"/>
  <c r="Z1100" i="489"/>
  <c r="Z1139" i="489"/>
  <c r="Z1082" i="489"/>
  <c r="Z1055" i="489"/>
  <c r="Z1097" i="489"/>
  <c r="Z1136" i="489"/>
  <c r="Z1111" i="489"/>
  <c r="Z1057" i="489"/>
  <c r="Z1072" i="489"/>
  <c r="Z1069" i="489"/>
  <c r="Z1061" i="489"/>
  <c r="Z1051" i="489"/>
  <c r="Z1083" i="489"/>
  <c r="Z1070" i="489"/>
  <c r="Z1080" i="489"/>
  <c r="Z1084" i="489"/>
  <c r="Z1108" i="489"/>
  <c r="Z1118" i="489"/>
  <c r="Z1128" i="489"/>
  <c r="Z1174" i="489"/>
  <c r="Z1140" i="489"/>
  <c r="Z1125" i="489"/>
  <c r="Z1138" i="489"/>
  <c r="Z1135" i="489"/>
  <c r="Z1146" i="489"/>
  <c r="Z1154" i="489"/>
  <c r="Z1168" i="489"/>
  <c r="Z1155" i="489"/>
  <c r="Z1165" i="489"/>
  <c r="Z1169" i="489"/>
  <c r="Z1145" i="489"/>
  <c r="Z1175" i="489"/>
  <c r="Z1166" i="489"/>
  <c r="Z1109" i="489"/>
  <c r="Z1163" i="489"/>
  <c r="Z1110" i="489"/>
  <c r="Z1167" i="489"/>
  <c r="Z1173" i="489"/>
  <c r="Z1137" i="489"/>
  <c r="Z1107" i="489"/>
  <c r="Z1164" i="489"/>
  <c r="AM1002" i="489"/>
  <c r="AM1156" i="489"/>
  <c r="AM1157" i="489"/>
  <c r="AM1158" i="489"/>
  <c r="AM1159" i="489"/>
  <c r="AM1170" i="489"/>
  <c r="AM1171" i="489"/>
  <c r="AM1161" i="489"/>
  <c r="AM1160" i="489"/>
  <c r="AM1129" i="489"/>
  <c r="AM1176" i="489"/>
  <c r="AM1177" i="489"/>
  <c r="AM1130" i="489"/>
  <c r="AM1131" i="489"/>
  <c r="AM1132" i="489"/>
  <c r="AM1133" i="489"/>
  <c r="AM1141" i="489"/>
  <c r="AM1142" i="489"/>
  <c r="AM1143" i="489"/>
  <c r="AM1147" i="489"/>
  <c r="AM1148" i="489"/>
  <c r="AM1149" i="489"/>
  <c r="AM1102" i="489"/>
  <c r="AM1103" i="489"/>
  <c r="AM1104" i="489"/>
  <c r="AM1105" i="489"/>
  <c r="AM1114" i="489"/>
  <c r="AM1113" i="489"/>
  <c r="AM1115" i="489"/>
  <c r="AM1119" i="489"/>
  <c r="AM1120" i="489"/>
  <c r="AM1121" i="489"/>
  <c r="AM1073" i="489"/>
  <c r="AM1074" i="489"/>
  <c r="AM1075" i="489"/>
  <c r="AM1076" i="489"/>
  <c r="AM1077" i="489"/>
  <c r="AM1086" i="489"/>
  <c r="AM1087" i="489"/>
  <c r="AM1091" i="489"/>
  <c r="AM1092" i="489"/>
  <c r="AM1093" i="489"/>
  <c r="AM1044" i="489"/>
  <c r="AM1045" i="489"/>
  <c r="AM1046" i="489"/>
  <c r="AM1047" i="489"/>
  <c r="AM1048" i="489"/>
  <c r="AM1049" i="489"/>
  <c r="AM1058" i="489"/>
  <c r="AM1059" i="489"/>
  <c r="AM1063" i="489"/>
  <c r="AM1064" i="489"/>
  <c r="AM1065" i="489"/>
  <c r="AM1030" i="489"/>
  <c r="AM1016" i="489"/>
  <c r="AM1017" i="489"/>
  <c r="AM1018" i="489"/>
  <c r="AM1019" i="489"/>
  <c r="AM1020" i="489"/>
  <c r="AM1021" i="489"/>
  <c r="AM1031" i="489"/>
  <c r="AM1035" i="489"/>
  <c r="AM1036" i="489"/>
  <c r="AM1037" i="489"/>
  <c r="AM1027" i="489"/>
  <c r="AM1041" i="489"/>
  <c r="AM1028" i="489"/>
  <c r="AM1042" i="489"/>
  <c r="AM1015" i="489"/>
  <c r="AM1023" i="489"/>
  <c r="AM1054" i="489"/>
  <c r="AM1013" i="489"/>
  <c r="AM1033" i="489"/>
  <c r="AM1014" i="489"/>
  <c r="AM1034" i="489"/>
  <c r="AM1053" i="489"/>
  <c r="AM1026" i="489"/>
  <c r="AM1057" i="489"/>
  <c r="AM1071" i="489"/>
  <c r="AM1085" i="489"/>
  <c r="AM1082" i="489"/>
  <c r="AM1079" i="489"/>
  <c r="AM1101" i="489"/>
  <c r="AM1098" i="489"/>
  <c r="AM1111" i="489"/>
  <c r="AM1024" i="489"/>
  <c r="AM1055" i="489"/>
  <c r="AM1062" i="489"/>
  <c r="AM1025" i="489"/>
  <c r="AM1056" i="489"/>
  <c r="AM1029" i="489"/>
  <c r="AM1043" i="489"/>
  <c r="AM1069" i="489"/>
  <c r="AM1083" i="489"/>
  <c r="AM1080" i="489"/>
  <c r="AM1089" i="489"/>
  <c r="AM1099" i="489"/>
  <c r="AM1112" i="489"/>
  <c r="AM1109" i="489"/>
  <c r="AM1118" i="489"/>
  <c r="AM1070" i="489"/>
  <c r="AM1084" i="489"/>
  <c r="AM1081" i="489"/>
  <c r="AM1090" i="489"/>
  <c r="AM1100" i="489"/>
  <c r="AM1097" i="489"/>
  <c r="AM1110" i="489"/>
  <c r="AM1051" i="489"/>
  <c r="AM1061" i="489"/>
  <c r="AM1072" i="489"/>
  <c r="AM1108" i="489"/>
  <c r="AM1117" i="489"/>
  <c r="AM1126" i="489"/>
  <c r="AM1139" i="489"/>
  <c r="AM1136" i="489"/>
  <c r="AM1140" i="489"/>
  <c r="AM1154" i="489"/>
  <c r="AM1168" i="489"/>
  <c r="AM1165" i="489"/>
  <c r="AM1175" i="489"/>
  <c r="AM1107" i="489"/>
  <c r="AM1128" i="489"/>
  <c r="AM1125" i="489"/>
  <c r="AM1138" i="489"/>
  <c r="AM1135" i="489"/>
  <c r="AM1145" i="489"/>
  <c r="AM1153" i="489"/>
  <c r="AM1167" i="489"/>
  <c r="AM1164" i="489"/>
  <c r="AM1174" i="489"/>
  <c r="AM1155" i="489"/>
  <c r="AM1169" i="489"/>
  <c r="AM1166" i="489"/>
  <c r="AM1163" i="489"/>
  <c r="AM1173" i="489"/>
  <c r="AM1146" i="489"/>
  <c r="AM1127" i="489"/>
  <c r="AM1137" i="489"/>
  <c r="AY1003" i="489"/>
  <c r="AY1156" i="489"/>
  <c r="AY1157" i="489"/>
  <c r="AY1158" i="489"/>
  <c r="AY1159" i="489"/>
  <c r="AY1160" i="489"/>
  <c r="AY1170" i="489"/>
  <c r="AY1171" i="489"/>
  <c r="AY1161" i="489"/>
  <c r="AY1129" i="489"/>
  <c r="AY1176" i="489"/>
  <c r="AY1177" i="489"/>
  <c r="AY1130" i="489"/>
  <c r="AY1131" i="489"/>
  <c r="AY1132" i="489"/>
  <c r="AY1133" i="489"/>
  <c r="AY1141" i="489"/>
  <c r="AY1142" i="489"/>
  <c r="AY1143" i="489"/>
  <c r="AY1147" i="489"/>
  <c r="AY1148" i="489"/>
  <c r="AY1149" i="489"/>
  <c r="AY1102" i="489"/>
  <c r="AY1103" i="489"/>
  <c r="AY1104" i="489"/>
  <c r="AY1105" i="489"/>
  <c r="AY1113" i="489"/>
  <c r="AY1114" i="489"/>
  <c r="AY1115" i="489"/>
  <c r="AY1073" i="489"/>
  <c r="AY1074" i="489"/>
  <c r="AY1075" i="489"/>
  <c r="AY1076" i="489"/>
  <c r="AY1077" i="489"/>
  <c r="AY1119" i="489"/>
  <c r="AY1120" i="489"/>
  <c r="AY1121" i="489"/>
  <c r="AY1086" i="489"/>
  <c r="AY1087" i="489"/>
  <c r="AY1091" i="489"/>
  <c r="AY1092" i="489"/>
  <c r="AY1093" i="489"/>
  <c r="AY1044" i="489"/>
  <c r="AY1045" i="489"/>
  <c r="AY1046" i="489"/>
  <c r="AY1047" i="489"/>
  <c r="AY1048" i="489"/>
  <c r="AY1049" i="489"/>
  <c r="AY1058" i="489"/>
  <c r="AY1059" i="489"/>
  <c r="AY1063" i="489"/>
  <c r="AY1064" i="489"/>
  <c r="AY1065" i="489"/>
  <c r="AY1030" i="489"/>
  <c r="AY1016" i="489"/>
  <c r="AY1017" i="489"/>
  <c r="AY1018" i="489"/>
  <c r="AY1019" i="489"/>
  <c r="AY1020" i="489"/>
  <c r="AY1021" i="489"/>
  <c r="AY1031" i="489"/>
  <c r="AY1035" i="489"/>
  <c r="AY1036" i="489"/>
  <c r="AY1037" i="489"/>
  <c r="AY1027" i="489"/>
  <c r="AY1041" i="489"/>
  <c r="AY1028" i="489"/>
  <c r="AY1042" i="489"/>
  <c r="AY1015" i="489"/>
  <c r="AY1023" i="489"/>
  <c r="AY1054" i="489"/>
  <c r="AY1013" i="489"/>
  <c r="AY1033" i="489"/>
  <c r="AY1014" i="489"/>
  <c r="AY1034" i="489"/>
  <c r="AY1053" i="489"/>
  <c r="AY1026" i="489"/>
  <c r="AY1057" i="489"/>
  <c r="AY1071" i="489"/>
  <c r="AY1085" i="489"/>
  <c r="AY1082" i="489"/>
  <c r="AY1079" i="489"/>
  <c r="AY1101" i="489"/>
  <c r="AY1098" i="489"/>
  <c r="AY1111" i="489"/>
  <c r="AY1108" i="489"/>
  <c r="AY1024" i="489"/>
  <c r="AY1055" i="489"/>
  <c r="AY1062" i="489"/>
  <c r="AY1025" i="489"/>
  <c r="AY1056" i="489"/>
  <c r="AY1029" i="489"/>
  <c r="AY1043" i="489"/>
  <c r="AY1069" i="489"/>
  <c r="AY1083" i="489"/>
  <c r="AY1080" i="489"/>
  <c r="AY1089" i="489"/>
  <c r="AY1099" i="489"/>
  <c r="AY1112" i="489"/>
  <c r="AY1109" i="489"/>
  <c r="AY1118" i="489"/>
  <c r="AY1127" i="489"/>
  <c r="AY1140" i="489"/>
  <c r="AY1137" i="489"/>
  <c r="AY1146" i="489"/>
  <c r="AY1070" i="489"/>
  <c r="AY1084" i="489"/>
  <c r="AY1081" i="489"/>
  <c r="AY1090" i="489"/>
  <c r="AY1100" i="489"/>
  <c r="AY1097" i="489"/>
  <c r="AY1110" i="489"/>
  <c r="AY1051" i="489"/>
  <c r="AY1061" i="489"/>
  <c r="AY1072" i="489"/>
  <c r="AY1052" i="489"/>
  <c r="AY1117" i="489"/>
  <c r="AY1126" i="489"/>
  <c r="AY1139" i="489"/>
  <c r="AY1136" i="489"/>
  <c r="AY1154" i="489"/>
  <c r="AY1168" i="489"/>
  <c r="AY1165" i="489"/>
  <c r="AY1175" i="489"/>
  <c r="AY1107" i="489"/>
  <c r="AY1128" i="489"/>
  <c r="AY1125" i="489"/>
  <c r="AY1138" i="489"/>
  <c r="AY1135" i="489"/>
  <c r="AY1145" i="489"/>
  <c r="AY1153" i="489"/>
  <c r="AY1167" i="489"/>
  <c r="AY1164" i="489"/>
  <c r="AY1174" i="489"/>
  <c r="AY1155" i="489"/>
  <c r="AY1169" i="489"/>
  <c r="AY1166" i="489"/>
  <c r="AY1163" i="489"/>
  <c r="AY1173" i="489"/>
  <c r="BK986" i="489"/>
  <c r="BK1156" i="489"/>
  <c r="BK1157" i="489"/>
  <c r="BK1158" i="489"/>
  <c r="BK1159" i="489"/>
  <c r="BK1160" i="489"/>
  <c r="BK1161" i="489"/>
  <c r="BK1170" i="489"/>
  <c r="BK1171" i="489"/>
  <c r="BK1129" i="489"/>
  <c r="BK1176" i="489"/>
  <c r="BK1130" i="489"/>
  <c r="BK1132" i="489"/>
  <c r="BK1133" i="489"/>
  <c r="BK1177" i="489"/>
  <c r="BK1141" i="489"/>
  <c r="BK1143" i="489"/>
  <c r="BK1147" i="489"/>
  <c r="BK1148" i="489"/>
  <c r="BK1149" i="489"/>
  <c r="BK1102" i="489"/>
  <c r="BK1104" i="489"/>
  <c r="BK1105" i="489"/>
  <c r="BK1114" i="489"/>
  <c r="BK1115" i="489"/>
  <c r="BK1073" i="489"/>
  <c r="BK1074" i="489"/>
  <c r="BK1075" i="489"/>
  <c r="BK1076" i="489"/>
  <c r="BK1077" i="489"/>
  <c r="BK1119" i="489"/>
  <c r="BK1120" i="489"/>
  <c r="BK1121" i="489"/>
  <c r="BK1086" i="489"/>
  <c r="BK1087" i="489"/>
  <c r="BK1091" i="489"/>
  <c r="BK1092" i="489"/>
  <c r="BK1093" i="489"/>
  <c r="BK1044" i="489"/>
  <c r="BK1045" i="489"/>
  <c r="BK1046" i="489"/>
  <c r="BK1047" i="489"/>
  <c r="BK1048" i="489"/>
  <c r="BK1049" i="489"/>
  <c r="BK1058" i="489"/>
  <c r="BK1059" i="489"/>
  <c r="BK1063" i="489"/>
  <c r="BK1064" i="489"/>
  <c r="BK1065" i="489"/>
  <c r="BK1030" i="489"/>
  <c r="BK1016" i="489"/>
  <c r="BK1017" i="489"/>
  <c r="BK1018" i="489"/>
  <c r="BK1019" i="489"/>
  <c r="BK1020" i="489"/>
  <c r="BK1021" i="489"/>
  <c r="BK1031" i="489"/>
  <c r="BK1035" i="489"/>
  <c r="BK1036" i="489"/>
  <c r="BK1037" i="489"/>
  <c r="BK1028" i="489"/>
  <c r="BK1042" i="489"/>
  <c r="BK1015" i="489"/>
  <c r="BK1023" i="489"/>
  <c r="BK1054" i="489"/>
  <c r="BK1013" i="489"/>
  <c r="BK1033" i="489"/>
  <c r="BK1014" i="489"/>
  <c r="BK1034" i="489"/>
  <c r="BK1053" i="489"/>
  <c r="BK1026" i="489"/>
  <c r="BK1057" i="489"/>
  <c r="BK1071" i="489"/>
  <c r="BK1085" i="489"/>
  <c r="BK1082" i="489"/>
  <c r="BK1079" i="489"/>
  <c r="BK1101" i="489"/>
  <c r="BK1098" i="489"/>
  <c r="BK1111" i="489"/>
  <c r="BK1108" i="489"/>
  <c r="BK1072" i="489"/>
  <c r="BK1069" i="489"/>
  <c r="BK1024" i="489"/>
  <c r="BK1055" i="489"/>
  <c r="BK1062" i="489"/>
  <c r="BK1025" i="489"/>
  <c r="BK1056" i="489"/>
  <c r="BK1029" i="489"/>
  <c r="BK1043" i="489"/>
  <c r="BK1027" i="489"/>
  <c r="BK1041" i="489"/>
  <c r="BK1070" i="489"/>
  <c r="BK1084" i="489"/>
  <c r="BK1081" i="489"/>
  <c r="BK1090" i="489"/>
  <c r="BK1100" i="489"/>
  <c r="BK1097" i="489"/>
  <c r="BK1110" i="489"/>
  <c r="BK1051" i="489"/>
  <c r="BK1061" i="489"/>
  <c r="BK1052" i="489"/>
  <c r="BK1117" i="489"/>
  <c r="BK1126" i="489"/>
  <c r="BK1139" i="489"/>
  <c r="BK1136" i="489"/>
  <c r="BK1083" i="489"/>
  <c r="BK1080" i="489"/>
  <c r="BK1089" i="489"/>
  <c r="BK1099" i="489"/>
  <c r="BK1112" i="489"/>
  <c r="BK1109" i="489"/>
  <c r="BK1118" i="489"/>
  <c r="BK1127" i="489"/>
  <c r="BK1140" i="489"/>
  <c r="BK1137" i="489"/>
  <c r="BK1146" i="489"/>
  <c r="BK1154" i="489"/>
  <c r="BK1168" i="489"/>
  <c r="BK1165" i="489"/>
  <c r="BK1175" i="489"/>
  <c r="BK1107" i="489"/>
  <c r="BK1128" i="489"/>
  <c r="BK1125" i="489"/>
  <c r="BK1138" i="489"/>
  <c r="BK1135" i="489"/>
  <c r="BK1145" i="489"/>
  <c r="BK1153" i="489"/>
  <c r="BK1167" i="489"/>
  <c r="BK1164" i="489"/>
  <c r="BK1174" i="489"/>
  <c r="BK1155" i="489"/>
  <c r="BK1169" i="489"/>
  <c r="BK1166" i="489"/>
  <c r="BK1163" i="489"/>
  <c r="BK1173" i="489"/>
  <c r="BW1008" i="489"/>
  <c r="BW1156" i="489"/>
  <c r="BW1157" i="489"/>
  <c r="BW1158" i="489"/>
  <c r="BW1159" i="489"/>
  <c r="BW1170" i="489"/>
  <c r="BW1171" i="489"/>
  <c r="BW1160" i="489"/>
  <c r="BW1161" i="489"/>
  <c r="BW1129" i="489"/>
  <c r="BW1176" i="489"/>
  <c r="BW1177" i="489"/>
  <c r="BW1130" i="489"/>
  <c r="BW1131" i="489"/>
  <c r="BW1132" i="489"/>
  <c r="BW1133" i="489"/>
  <c r="BW1141" i="489"/>
  <c r="BW1142" i="489"/>
  <c r="BW1143" i="489"/>
  <c r="BW1147" i="489"/>
  <c r="BW1148" i="489"/>
  <c r="BW1149" i="489"/>
  <c r="BW1102" i="489"/>
  <c r="BW1103" i="489"/>
  <c r="BW1104" i="489"/>
  <c r="BW1105" i="489"/>
  <c r="BW1113" i="489"/>
  <c r="BW1114" i="489"/>
  <c r="BW1115" i="489"/>
  <c r="BW1073" i="489"/>
  <c r="BW1074" i="489"/>
  <c r="BW1075" i="489"/>
  <c r="BW1076" i="489"/>
  <c r="BW1077" i="489"/>
  <c r="BW1119" i="489"/>
  <c r="BW1120" i="489"/>
  <c r="BW1121" i="489"/>
  <c r="BW1086" i="489"/>
  <c r="BW1087" i="489"/>
  <c r="BW1091" i="489"/>
  <c r="BW1092" i="489"/>
  <c r="BW1093" i="489"/>
  <c r="BW1044" i="489"/>
  <c r="BW1045" i="489"/>
  <c r="BW1046" i="489"/>
  <c r="BW1047" i="489"/>
  <c r="BW1048" i="489"/>
  <c r="BW1049" i="489"/>
  <c r="BW1058" i="489"/>
  <c r="BW1059" i="489"/>
  <c r="BW1063" i="489"/>
  <c r="BW1064" i="489"/>
  <c r="BW1065" i="489"/>
  <c r="BW1016" i="489"/>
  <c r="BW1017" i="489"/>
  <c r="BW1018" i="489"/>
  <c r="BW1019" i="489"/>
  <c r="BW1020" i="489"/>
  <c r="BW1021" i="489"/>
  <c r="BW1030" i="489"/>
  <c r="BW1031" i="489"/>
  <c r="BW1035" i="489"/>
  <c r="BW1036" i="489"/>
  <c r="BW1037" i="489"/>
  <c r="BW1013" i="489"/>
  <c r="BW1033" i="489"/>
  <c r="BW1014" i="489"/>
  <c r="BW1034" i="489"/>
  <c r="BW1053" i="489"/>
  <c r="BW1026" i="489"/>
  <c r="BW1057" i="489"/>
  <c r="BW1071" i="489"/>
  <c r="BW1085" i="489"/>
  <c r="BW1082" i="489"/>
  <c r="BW1079" i="489"/>
  <c r="BW1101" i="489"/>
  <c r="BW1098" i="489"/>
  <c r="BW1111" i="489"/>
  <c r="BW1108" i="489"/>
  <c r="BW1024" i="489"/>
  <c r="BW1055" i="489"/>
  <c r="BW1062" i="489"/>
  <c r="BW1025" i="489"/>
  <c r="BW1056" i="489"/>
  <c r="BW1029" i="489"/>
  <c r="BW1043" i="489"/>
  <c r="BW1027" i="489"/>
  <c r="BW1041" i="489"/>
  <c r="BW1028" i="489"/>
  <c r="BW1042" i="489"/>
  <c r="BW1015" i="489"/>
  <c r="BW1023" i="489"/>
  <c r="BW1054" i="489"/>
  <c r="BW1070" i="489"/>
  <c r="BW1084" i="489"/>
  <c r="BW1081" i="489"/>
  <c r="BW1090" i="489"/>
  <c r="BW1100" i="489"/>
  <c r="BW1097" i="489"/>
  <c r="BW1110" i="489"/>
  <c r="BW1051" i="489"/>
  <c r="BW1061" i="489"/>
  <c r="BW1072" i="489"/>
  <c r="BW1052" i="489"/>
  <c r="BW1117" i="489"/>
  <c r="BW1126" i="489"/>
  <c r="BW1139" i="489"/>
  <c r="BW1136" i="489"/>
  <c r="BW1083" i="489"/>
  <c r="BW1080" i="489"/>
  <c r="BW1089" i="489"/>
  <c r="BW1099" i="489"/>
  <c r="BW1112" i="489"/>
  <c r="BW1109" i="489"/>
  <c r="BW1069" i="489"/>
  <c r="BW1154" i="489"/>
  <c r="BW1168" i="489"/>
  <c r="BW1165" i="489"/>
  <c r="BW1175" i="489"/>
  <c r="BW1140" i="489"/>
  <c r="BW1107" i="489"/>
  <c r="BW1128" i="489"/>
  <c r="BW1125" i="489"/>
  <c r="BW1138" i="489"/>
  <c r="BW1135" i="489"/>
  <c r="BW1145" i="489"/>
  <c r="BW1153" i="489"/>
  <c r="BW1167" i="489"/>
  <c r="BW1164" i="489"/>
  <c r="BW1174" i="489"/>
  <c r="BW1155" i="489"/>
  <c r="BW1169" i="489"/>
  <c r="BW1166" i="489"/>
  <c r="BW1163" i="489"/>
  <c r="BW1173" i="489"/>
  <c r="BW1118" i="489"/>
  <c r="BW1146" i="489"/>
  <c r="BW1127" i="489"/>
  <c r="BW1137" i="489"/>
  <c r="CI989" i="489"/>
  <c r="CI1156" i="489"/>
  <c r="CI1157" i="489"/>
  <c r="CI1158" i="489"/>
  <c r="CI1159" i="489"/>
  <c r="CI1170" i="489"/>
  <c r="CI1171" i="489"/>
  <c r="CI1160" i="489"/>
  <c r="CI1161" i="489"/>
  <c r="CI1129" i="489"/>
  <c r="CI1176" i="489"/>
  <c r="CI1177" i="489"/>
  <c r="CI1130" i="489"/>
  <c r="CI1131" i="489"/>
  <c r="CI1132" i="489"/>
  <c r="CI1133" i="489"/>
  <c r="CI1141" i="489"/>
  <c r="CI1142" i="489"/>
  <c r="CI1143" i="489"/>
  <c r="CI1147" i="489"/>
  <c r="CI1148" i="489"/>
  <c r="CI1149" i="489"/>
  <c r="CI1102" i="489"/>
  <c r="CI1103" i="489"/>
  <c r="CI1104" i="489"/>
  <c r="CI1105" i="489"/>
  <c r="CI1113" i="489"/>
  <c r="CI1114" i="489"/>
  <c r="CI1115" i="489"/>
  <c r="CI1073" i="489"/>
  <c r="CI1074" i="489"/>
  <c r="CI1075" i="489"/>
  <c r="CI1076" i="489"/>
  <c r="CI1077" i="489"/>
  <c r="CI1119" i="489"/>
  <c r="CI1120" i="489"/>
  <c r="CI1121" i="489"/>
  <c r="CI1086" i="489"/>
  <c r="CI1087" i="489"/>
  <c r="CI1091" i="489"/>
  <c r="CI1092" i="489"/>
  <c r="CI1093" i="489"/>
  <c r="CI1044" i="489"/>
  <c r="CI1045" i="489"/>
  <c r="CI1046" i="489"/>
  <c r="CI1047" i="489"/>
  <c r="CI1048" i="489"/>
  <c r="CI1049" i="489"/>
  <c r="CI1058" i="489"/>
  <c r="CI1059" i="489"/>
  <c r="CI1063" i="489"/>
  <c r="CI1064" i="489"/>
  <c r="CI1065" i="489"/>
  <c r="CI1016" i="489"/>
  <c r="CI1017" i="489"/>
  <c r="CI1018" i="489"/>
  <c r="CI1019" i="489"/>
  <c r="CI1020" i="489"/>
  <c r="CI1021" i="489"/>
  <c r="CI1030" i="489"/>
  <c r="CI1031" i="489"/>
  <c r="CI1035" i="489"/>
  <c r="CI1036" i="489"/>
  <c r="CI1037" i="489"/>
  <c r="CI1033" i="489"/>
  <c r="CI1014" i="489"/>
  <c r="CI1034" i="489"/>
  <c r="CI1053" i="489"/>
  <c r="CI1026" i="489"/>
  <c r="CI1057" i="489"/>
  <c r="CI1071" i="489"/>
  <c r="CI1085" i="489"/>
  <c r="CI1082" i="489"/>
  <c r="CI1079" i="489"/>
  <c r="CI1101" i="489"/>
  <c r="CI1098" i="489"/>
  <c r="CI1111" i="489"/>
  <c r="CI1108" i="489"/>
  <c r="CI1024" i="489"/>
  <c r="CI1055" i="489"/>
  <c r="CI1062" i="489"/>
  <c r="CI1025" i="489"/>
  <c r="CI1056" i="489"/>
  <c r="CI1029" i="489"/>
  <c r="CI1043" i="489"/>
  <c r="CI1027" i="489"/>
  <c r="CI1041" i="489"/>
  <c r="CI1028" i="489"/>
  <c r="CI1042" i="489"/>
  <c r="CI1015" i="489"/>
  <c r="CI1023" i="489"/>
  <c r="CI1054" i="489"/>
  <c r="CI1051" i="489"/>
  <c r="CI1061" i="489"/>
  <c r="CI1072" i="489"/>
  <c r="CI1052" i="489"/>
  <c r="CI1117" i="489"/>
  <c r="CI1126" i="489"/>
  <c r="CI1139" i="489"/>
  <c r="CI1136" i="489"/>
  <c r="CI1083" i="489"/>
  <c r="CI1080" i="489"/>
  <c r="CI1089" i="489"/>
  <c r="CI1099" i="489"/>
  <c r="CI1112" i="489"/>
  <c r="CI1109" i="489"/>
  <c r="CI1118" i="489"/>
  <c r="CI1127" i="489"/>
  <c r="CI1140" i="489"/>
  <c r="CI1137" i="489"/>
  <c r="CI1146" i="489"/>
  <c r="CI1069" i="489"/>
  <c r="CI1070" i="489"/>
  <c r="CI1084" i="489"/>
  <c r="CI1081" i="489"/>
  <c r="CI1090" i="489"/>
  <c r="CI1100" i="489"/>
  <c r="CI1097" i="489"/>
  <c r="CI1110" i="489"/>
  <c r="CI1154" i="489"/>
  <c r="CI1168" i="489"/>
  <c r="CI1165" i="489"/>
  <c r="CI1175" i="489"/>
  <c r="CI1107" i="489"/>
  <c r="CI1128" i="489"/>
  <c r="CI1125" i="489"/>
  <c r="CI1138" i="489"/>
  <c r="CI1135" i="489"/>
  <c r="CI1145" i="489"/>
  <c r="CI1167" i="489"/>
  <c r="CI1164" i="489"/>
  <c r="CI1174" i="489"/>
  <c r="CI1155" i="489"/>
  <c r="CI1169" i="489"/>
  <c r="CI1166" i="489"/>
  <c r="CI1163" i="489"/>
  <c r="CI1173" i="489"/>
  <c r="CU1009" i="489"/>
  <c r="CU1156" i="489"/>
  <c r="CU1157" i="489"/>
  <c r="CU1158" i="489"/>
  <c r="CU1159" i="489"/>
  <c r="CU1170" i="489"/>
  <c r="CU1171" i="489"/>
  <c r="CU1160" i="489"/>
  <c r="CU1161" i="489"/>
  <c r="CU1129" i="489"/>
  <c r="CU1176" i="489"/>
  <c r="CU1177" i="489"/>
  <c r="CU1130" i="489"/>
  <c r="CU1131" i="489"/>
  <c r="CU1132" i="489"/>
  <c r="CU1133" i="489"/>
  <c r="CU1141" i="489"/>
  <c r="CU1142" i="489"/>
  <c r="CU1143" i="489"/>
  <c r="CU1147" i="489"/>
  <c r="CU1148" i="489"/>
  <c r="CU1149" i="489"/>
  <c r="CU1102" i="489"/>
  <c r="CU1103" i="489"/>
  <c r="CU1104" i="489"/>
  <c r="CU1105" i="489"/>
  <c r="CU1113" i="489"/>
  <c r="CU1114" i="489"/>
  <c r="CU1115" i="489"/>
  <c r="CU1119" i="489"/>
  <c r="CU1120" i="489"/>
  <c r="CU1121" i="489"/>
  <c r="CU1073" i="489"/>
  <c r="CU1074" i="489"/>
  <c r="CU1075" i="489"/>
  <c r="CU1076" i="489"/>
  <c r="CU1077" i="489"/>
  <c r="CU1086" i="489"/>
  <c r="CU1087" i="489"/>
  <c r="CU1091" i="489"/>
  <c r="CU1092" i="489"/>
  <c r="CU1093" i="489"/>
  <c r="CU1044" i="489"/>
  <c r="CU1045" i="489"/>
  <c r="CU1046" i="489"/>
  <c r="CU1047" i="489"/>
  <c r="CU1048" i="489"/>
  <c r="CU1049" i="489"/>
  <c r="CU1058" i="489"/>
  <c r="CU1059" i="489"/>
  <c r="CU1063" i="489"/>
  <c r="CU1064" i="489"/>
  <c r="CU1065" i="489"/>
  <c r="CU1016" i="489"/>
  <c r="CU1017" i="489"/>
  <c r="CU1018" i="489"/>
  <c r="CU1019" i="489"/>
  <c r="CU1020" i="489"/>
  <c r="CU1021" i="489"/>
  <c r="CU1030" i="489"/>
  <c r="CU1031" i="489"/>
  <c r="CU1035" i="489"/>
  <c r="CU1036" i="489"/>
  <c r="CU1037" i="489"/>
  <c r="CU1013" i="489"/>
  <c r="CU1033" i="489"/>
  <c r="CU1014" i="489"/>
  <c r="CU1034" i="489"/>
  <c r="CU1053" i="489"/>
  <c r="CU1026" i="489"/>
  <c r="CU1057" i="489"/>
  <c r="CU1071" i="489"/>
  <c r="CU1085" i="489"/>
  <c r="CU1082" i="489"/>
  <c r="CU1079" i="489"/>
  <c r="CU1101" i="489"/>
  <c r="CU1098" i="489"/>
  <c r="CU1111" i="489"/>
  <c r="CU1024" i="489"/>
  <c r="CU1055" i="489"/>
  <c r="CU1062" i="489"/>
  <c r="CU1025" i="489"/>
  <c r="CU1056" i="489"/>
  <c r="CU1029" i="489"/>
  <c r="CU1043" i="489"/>
  <c r="CU1051" i="489"/>
  <c r="CU1027" i="489"/>
  <c r="CU1041" i="489"/>
  <c r="CU1028" i="489"/>
  <c r="CU1042" i="489"/>
  <c r="CU1015" i="489"/>
  <c r="CU1023" i="489"/>
  <c r="CU1054" i="489"/>
  <c r="CU1072" i="489"/>
  <c r="CU1052" i="489"/>
  <c r="CU1108" i="489"/>
  <c r="CU1117" i="489"/>
  <c r="CU1126" i="489"/>
  <c r="CU1139" i="489"/>
  <c r="CU1136" i="489"/>
  <c r="CU1083" i="489"/>
  <c r="CU1080" i="489"/>
  <c r="CU1089" i="489"/>
  <c r="CU1099" i="489"/>
  <c r="CU1112" i="489"/>
  <c r="CU1109" i="489"/>
  <c r="CU1069" i="489"/>
  <c r="CU1070" i="489"/>
  <c r="CU1084" i="489"/>
  <c r="CU1081" i="489"/>
  <c r="CU1090" i="489"/>
  <c r="CU1100" i="489"/>
  <c r="CU1097" i="489"/>
  <c r="CU1110" i="489"/>
  <c r="CU1061" i="489"/>
  <c r="CU1140" i="489"/>
  <c r="CU1107" i="489"/>
  <c r="CU1128" i="489"/>
  <c r="CU1125" i="489"/>
  <c r="CU1138" i="489"/>
  <c r="CU1135" i="489"/>
  <c r="CU1145" i="489"/>
  <c r="CU1153" i="489"/>
  <c r="CU1167" i="489"/>
  <c r="CU1164" i="489"/>
  <c r="CU1174" i="489"/>
  <c r="CU1155" i="489"/>
  <c r="CU1169" i="489"/>
  <c r="CU1166" i="489"/>
  <c r="CU1163" i="489"/>
  <c r="CU1173" i="489"/>
  <c r="CU1118" i="489"/>
  <c r="CU1146" i="489"/>
  <c r="CU1127" i="489"/>
  <c r="CU1137" i="489"/>
  <c r="CU1154" i="489"/>
  <c r="CU1168" i="489"/>
  <c r="CU1165" i="489"/>
  <c r="CU1175" i="489"/>
  <c r="DG1156" i="489"/>
  <c r="DG1157" i="489"/>
  <c r="DG1158" i="489"/>
  <c r="DG1159" i="489"/>
  <c r="DG1160" i="489"/>
  <c r="DG1161" i="489"/>
  <c r="DG1170" i="489"/>
  <c r="DG1171" i="489"/>
  <c r="DG1129" i="489"/>
  <c r="DG1177" i="489"/>
  <c r="DG1130" i="489"/>
  <c r="DG1131" i="489"/>
  <c r="DG1132" i="489"/>
  <c r="DG1133" i="489"/>
  <c r="DG1176" i="489"/>
  <c r="DG1141" i="489"/>
  <c r="DG1142" i="489"/>
  <c r="DG1143" i="489"/>
  <c r="DG1147" i="489"/>
  <c r="DG1148" i="489"/>
  <c r="DG1149" i="489"/>
  <c r="DG1102" i="489"/>
  <c r="DG1103" i="489"/>
  <c r="DG1104" i="489"/>
  <c r="DG1105" i="489"/>
  <c r="DG1114" i="489"/>
  <c r="DG1115" i="489"/>
  <c r="DG1113" i="489"/>
  <c r="DG1119" i="489"/>
  <c r="DG1120" i="489"/>
  <c r="DG1121" i="489"/>
  <c r="DG1073" i="489"/>
  <c r="DG1074" i="489"/>
  <c r="DG1075" i="489"/>
  <c r="DG1076" i="489"/>
  <c r="DG1077" i="489"/>
  <c r="DG1086" i="489"/>
  <c r="DG1087" i="489"/>
  <c r="DG1091" i="489"/>
  <c r="DG1092" i="489"/>
  <c r="DG1093" i="489"/>
  <c r="DG1071" i="489"/>
  <c r="DG1085" i="489"/>
  <c r="DG1082" i="489"/>
  <c r="DG1079" i="489"/>
  <c r="DG1101" i="489"/>
  <c r="DG1098" i="489"/>
  <c r="DG1111" i="489"/>
  <c r="DG1108" i="489"/>
  <c r="DG1072" i="489"/>
  <c r="DG1117" i="489"/>
  <c r="DG1126" i="489"/>
  <c r="DG1139" i="489"/>
  <c r="DG1136" i="489"/>
  <c r="DG1083" i="489"/>
  <c r="DG1080" i="489"/>
  <c r="DG1089" i="489"/>
  <c r="DG1099" i="489"/>
  <c r="DG1112" i="489"/>
  <c r="DG1109" i="489"/>
  <c r="DG1118" i="489"/>
  <c r="DG1069" i="489"/>
  <c r="DG1070" i="489"/>
  <c r="DG1084" i="489"/>
  <c r="DG1081" i="489"/>
  <c r="DG1090" i="489"/>
  <c r="DG1100" i="489"/>
  <c r="DG1097" i="489"/>
  <c r="DG1110" i="489"/>
  <c r="DG1140" i="489"/>
  <c r="DG1107" i="489"/>
  <c r="DG1128" i="489"/>
  <c r="DG1125" i="489"/>
  <c r="DG1138" i="489"/>
  <c r="DG1135" i="489"/>
  <c r="DG1145" i="489"/>
  <c r="DG1153" i="489"/>
  <c r="DG1167" i="489"/>
  <c r="DG1164" i="489"/>
  <c r="DG1174" i="489"/>
  <c r="DG1155" i="489"/>
  <c r="DG1169" i="489"/>
  <c r="DG1166" i="489"/>
  <c r="DG1163" i="489"/>
  <c r="DG1173" i="489"/>
  <c r="DG1146" i="489"/>
  <c r="DG1127" i="489"/>
  <c r="DG1137" i="489"/>
  <c r="DG1154" i="489"/>
  <c r="DG1168" i="489"/>
  <c r="DG1165" i="489"/>
  <c r="DG1175" i="489"/>
  <c r="DS988" i="489"/>
  <c r="DS1156" i="489"/>
  <c r="DS1157" i="489"/>
  <c r="DS1158" i="489"/>
  <c r="DS1159" i="489"/>
  <c r="DS1170" i="489"/>
  <c r="DS1171" i="489"/>
  <c r="DS1160" i="489"/>
  <c r="DS1161" i="489"/>
  <c r="DS1129" i="489"/>
  <c r="DS1176" i="489"/>
  <c r="DS1177" i="489"/>
  <c r="DS1130" i="489"/>
  <c r="DS1131" i="489"/>
  <c r="DS1132" i="489"/>
  <c r="DS1133" i="489"/>
  <c r="DS1141" i="489"/>
  <c r="DS1142" i="489"/>
  <c r="DS1143" i="489"/>
  <c r="DS1147" i="489"/>
  <c r="DS1148" i="489"/>
  <c r="DS1149" i="489"/>
  <c r="DS1102" i="489"/>
  <c r="DS1103" i="489"/>
  <c r="DS1104" i="489"/>
  <c r="DS1105" i="489"/>
  <c r="DS1113" i="489"/>
  <c r="DS1114" i="489"/>
  <c r="DS1115" i="489"/>
  <c r="DS1073" i="489"/>
  <c r="DS1074" i="489"/>
  <c r="DS1075" i="489"/>
  <c r="DS1076" i="489"/>
  <c r="DS1077" i="489"/>
  <c r="DS1119" i="489"/>
  <c r="DS1120" i="489"/>
  <c r="DS1121" i="489"/>
  <c r="DS1086" i="489"/>
  <c r="DS1087" i="489"/>
  <c r="DS1091" i="489"/>
  <c r="DS1092" i="489"/>
  <c r="DS1093" i="489"/>
  <c r="DS1046" i="489"/>
  <c r="DS1047" i="489"/>
  <c r="DS1048" i="489"/>
  <c r="DS1049" i="489"/>
  <c r="DS1044" i="489"/>
  <c r="DS1045" i="489"/>
  <c r="DS1063" i="489"/>
  <c r="DS1064" i="489"/>
  <c r="DS1065" i="489"/>
  <c r="DS1058" i="489"/>
  <c r="DS1059" i="489"/>
  <c r="DS1017" i="489"/>
  <c r="DS1018" i="489"/>
  <c r="DS1019" i="489"/>
  <c r="DS1020" i="489"/>
  <c r="DS1021" i="489"/>
  <c r="DS1016" i="489"/>
  <c r="DS1036" i="489"/>
  <c r="DS1037" i="489"/>
  <c r="DS1031" i="489"/>
  <c r="DS1030" i="489"/>
  <c r="DS1035" i="489"/>
  <c r="DS1014" i="489"/>
  <c r="DS1034" i="489"/>
  <c r="DS1053" i="489"/>
  <c r="DS1026" i="489"/>
  <c r="DS1057" i="489"/>
  <c r="DS1071" i="489"/>
  <c r="DS1085" i="489"/>
  <c r="DS1082" i="489"/>
  <c r="DS1079" i="489"/>
  <c r="DS1101" i="489"/>
  <c r="DS1098" i="489"/>
  <c r="DS1111" i="489"/>
  <c r="DS1108" i="489"/>
  <c r="DS1024" i="489"/>
  <c r="DS1055" i="489"/>
  <c r="DS1062" i="489"/>
  <c r="DS1025" i="489"/>
  <c r="DS1056" i="489"/>
  <c r="DS1029" i="489"/>
  <c r="DS1043" i="489"/>
  <c r="DS1027" i="489"/>
  <c r="DS1041" i="489"/>
  <c r="DS1028" i="489"/>
  <c r="DS1042" i="489"/>
  <c r="DS1015" i="489"/>
  <c r="DS1023" i="489"/>
  <c r="DS1054" i="489"/>
  <c r="DS1013" i="489"/>
  <c r="DS1033" i="489"/>
  <c r="DS1052" i="489"/>
  <c r="DS1072" i="489"/>
  <c r="DS1117" i="489"/>
  <c r="DS1126" i="489"/>
  <c r="DS1139" i="489"/>
  <c r="DS1136" i="489"/>
  <c r="DS1080" i="489"/>
  <c r="DS1089" i="489"/>
  <c r="DS1099" i="489"/>
  <c r="DS1112" i="489"/>
  <c r="DS1109" i="489"/>
  <c r="DS1118" i="489"/>
  <c r="DS1127" i="489"/>
  <c r="DS1140" i="489"/>
  <c r="DS1069" i="489"/>
  <c r="DS1070" i="489"/>
  <c r="DS1084" i="489"/>
  <c r="DS1081" i="489"/>
  <c r="DS1090" i="489"/>
  <c r="DS1100" i="489"/>
  <c r="DS1097" i="489"/>
  <c r="DS1110" i="489"/>
  <c r="DS1061" i="489"/>
  <c r="DS1051" i="489"/>
  <c r="DS1107" i="489"/>
  <c r="DS1128" i="489"/>
  <c r="DS1125" i="489"/>
  <c r="DS1138" i="489"/>
  <c r="DS1135" i="489"/>
  <c r="DS1145" i="489"/>
  <c r="DS1153" i="489"/>
  <c r="DS1167" i="489"/>
  <c r="DS1164" i="489"/>
  <c r="DS1174" i="489"/>
  <c r="DS1155" i="489"/>
  <c r="DS1169" i="489"/>
  <c r="DS1166" i="489"/>
  <c r="DS1163" i="489"/>
  <c r="DS1173" i="489"/>
  <c r="DS1146" i="489"/>
  <c r="DS1137" i="489"/>
  <c r="DS1154" i="489"/>
  <c r="DS1168" i="489"/>
  <c r="DS1165" i="489"/>
  <c r="DS1175" i="489"/>
  <c r="EG1006" i="489"/>
  <c r="EG1156" i="489"/>
  <c r="EG1157" i="489"/>
  <c r="EG1158" i="489"/>
  <c r="EG1159" i="489"/>
  <c r="EG1160" i="489"/>
  <c r="EG1161" i="489"/>
  <c r="EG1170" i="489"/>
  <c r="EG1171" i="489"/>
  <c r="EG1176" i="489"/>
  <c r="EG1177" i="489"/>
  <c r="EG1129" i="489"/>
  <c r="EG1130" i="489"/>
  <c r="EG1131" i="489"/>
  <c r="EG1132" i="489"/>
  <c r="EG1133" i="489"/>
  <c r="EG1141" i="489"/>
  <c r="EG1142" i="489"/>
  <c r="EG1143" i="489"/>
  <c r="EG1147" i="489"/>
  <c r="EG1148" i="489"/>
  <c r="EG1149" i="489"/>
  <c r="EG1113" i="489"/>
  <c r="EG1114" i="489"/>
  <c r="EG1115" i="489"/>
  <c r="EG1119" i="489"/>
  <c r="EG1120" i="489"/>
  <c r="EG1121" i="489"/>
  <c r="EG1102" i="489"/>
  <c r="EG1103" i="489"/>
  <c r="EG1104" i="489"/>
  <c r="EG1105" i="489"/>
  <c r="EG1073" i="489"/>
  <c r="EG1074" i="489"/>
  <c r="EG1075" i="489"/>
  <c r="EG1076" i="489"/>
  <c r="EG1077" i="489"/>
  <c r="EG1086" i="489"/>
  <c r="EG1087" i="489"/>
  <c r="EG1091" i="489"/>
  <c r="EG1092" i="489"/>
  <c r="EG1093" i="489"/>
  <c r="EG1045" i="489"/>
  <c r="EG1046" i="489"/>
  <c r="EG1047" i="489"/>
  <c r="EG1048" i="489"/>
  <c r="EG1049" i="489"/>
  <c r="EG1044" i="489"/>
  <c r="EG1063" i="489"/>
  <c r="EG1064" i="489"/>
  <c r="EG1065" i="489"/>
  <c r="EG1058" i="489"/>
  <c r="EG1059" i="489"/>
  <c r="EG1016" i="489"/>
  <c r="EG1017" i="489"/>
  <c r="EG1018" i="489"/>
  <c r="EG1019" i="489"/>
  <c r="EG1020" i="489"/>
  <c r="EG1021" i="489"/>
  <c r="EG1035" i="489"/>
  <c r="EG1036" i="489"/>
  <c r="EG1037" i="489"/>
  <c r="EG1030" i="489"/>
  <c r="EG1031" i="489"/>
  <c r="EG1051" i="489"/>
  <c r="EG1054" i="489"/>
  <c r="EG1055" i="489"/>
  <c r="EG1057" i="489"/>
  <c r="EG1041" i="489"/>
  <c r="EG1043" i="489"/>
  <c r="EG1033" i="489"/>
  <c r="EG1042" i="489"/>
  <c r="EG1023" i="489"/>
  <c r="EG1024" i="489"/>
  <c r="EG1034" i="489"/>
  <c r="EG1026" i="489"/>
  <c r="EG1027" i="489"/>
  <c r="EG1025" i="489"/>
  <c r="EG1029" i="489"/>
  <c r="EG1013" i="489"/>
  <c r="EG1028" i="489"/>
  <c r="EG1015" i="489"/>
  <c r="EG1014" i="489"/>
  <c r="EG1056" i="489"/>
  <c r="EG1109" i="489"/>
  <c r="EG1083" i="489"/>
  <c r="EG1089" i="489"/>
  <c r="EG1112" i="489"/>
  <c r="EG1107" i="489"/>
  <c r="EG1118" i="489"/>
  <c r="EG1127" i="489"/>
  <c r="EG1140" i="489"/>
  <c r="EG1137" i="489"/>
  <c r="EG1146" i="489"/>
  <c r="EG1080" i="489"/>
  <c r="EG1099" i="489"/>
  <c r="EG1071" i="489"/>
  <c r="EG1085" i="489"/>
  <c r="EG1082" i="489"/>
  <c r="EG1079" i="489"/>
  <c r="EG1101" i="489"/>
  <c r="EG1098" i="489"/>
  <c r="EG1111" i="489"/>
  <c r="EG1061" i="489"/>
  <c r="EG1070" i="489"/>
  <c r="EG1084" i="489"/>
  <c r="EG1081" i="489"/>
  <c r="EG1090" i="489"/>
  <c r="EG1100" i="489"/>
  <c r="EG1097" i="489"/>
  <c r="EG1110" i="489"/>
  <c r="EG1072" i="489"/>
  <c r="EG1069" i="489"/>
  <c r="EG1052" i="489"/>
  <c r="EG1053" i="489"/>
  <c r="EG1154" i="489"/>
  <c r="EG1168" i="489"/>
  <c r="EG1165" i="489"/>
  <c r="EG1175" i="489"/>
  <c r="EG1145" i="489"/>
  <c r="EG1153" i="489"/>
  <c r="EG1167" i="489"/>
  <c r="EG1164" i="489"/>
  <c r="EG1174" i="489"/>
  <c r="EG1155" i="489"/>
  <c r="EG1169" i="489"/>
  <c r="EG1166" i="489"/>
  <c r="EG1163" i="489"/>
  <c r="EG1173" i="489"/>
  <c r="EG1128" i="489"/>
  <c r="EG1138" i="489"/>
  <c r="EG1125" i="489"/>
  <c r="EG1135" i="489"/>
  <c r="EG1108" i="489"/>
  <c r="EG1117" i="489"/>
  <c r="EG1126" i="489"/>
  <c r="EG1139" i="489"/>
  <c r="EG1136" i="489"/>
  <c r="ER995" i="489"/>
  <c r="ER1159" i="489"/>
  <c r="ER1160" i="489"/>
  <c r="ER1161" i="489"/>
  <c r="ER1156" i="489"/>
  <c r="ER1157" i="489"/>
  <c r="ER1158" i="489"/>
  <c r="ER1170" i="489"/>
  <c r="ER1171" i="489"/>
  <c r="ER1176" i="489"/>
  <c r="ER1177" i="489"/>
  <c r="ER1129" i="489"/>
  <c r="ER1130" i="489"/>
  <c r="ER1131" i="489"/>
  <c r="ER1132" i="489"/>
  <c r="ER1133" i="489"/>
  <c r="ER1141" i="489"/>
  <c r="ER1142" i="489"/>
  <c r="ER1143" i="489"/>
  <c r="ER1147" i="489"/>
  <c r="ER1148" i="489"/>
  <c r="ER1149" i="489"/>
  <c r="ER1102" i="489"/>
  <c r="ER1103" i="489"/>
  <c r="ER1104" i="489"/>
  <c r="ER1105" i="489"/>
  <c r="ER1113" i="489"/>
  <c r="ER1114" i="489"/>
  <c r="ER1115" i="489"/>
  <c r="ER1119" i="489"/>
  <c r="ER1120" i="489"/>
  <c r="ER1121" i="489"/>
  <c r="ER1073" i="489"/>
  <c r="ER1074" i="489"/>
  <c r="ER1075" i="489"/>
  <c r="ER1076" i="489"/>
  <c r="ER1077" i="489"/>
  <c r="ER1086" i="489"/>
  <c r="ER1087" i="489"/>
  <c r="ER1091" i="489"/>
  <c r="ER1092" i="489"/>
  <c r="ER1093" i="489"/>
  <c r="ER1046" i="489"/>
  <c r="ER1047" i="489"/>
  <c r="ER1048" i="489"/>
  <c r="ER1049" i="489"/>
  <c r="ER1044" i="489"/>
  <c r="ER1045" i="489"/>
  <c r="ER1063" i="489"/>
  <c r="ER1064" i="489"/>
  <c r="ER1065" i="489"/>
  <c r="ER1058" i="489"/>
  <c r="ER1059" i="489"/>
  <c r="ER1017" i="489"/>
  <c r="ER1018" i="489"/>
  <c r="ER1019" i="489"/>
  <c r="ER1020" i="489"/>
  <c r="ER1021" i="489"/>
  <c r="ER1016" i="489"/>
  <c r="ER1036" i="489"/>
  <c r="ER1037" i="489"/>
  <c r="ER1031" i="489"/>
  <c r="ER1030" i="489"/>
  <c r="ER1035" i="489"/>
  <c r="ER1062" i="489"/>
  <c r="ER1071" i="489"/>
  <c r="ER1085" i="489"/>
  <c r="ER1082" i="489"/>
  <c r="ER1079" i="489"/>
  <c r="ER1043" i="489"/>
  <c r="ER1101" i="489"/>
  <c r="ER1098" i="489"/>
  <c r="ER1111" i="489"/>
  <c r="ER1042" i="489"/>
  <c r="ER1023" i="489"/>
  <c r="ER1053" i="489"/>
  <c r="ER1034" i="489"/>
  <c r="ER1026" i="489"/>
  <c r="ER1041" i="489"/>
  <c r="ER1056" i="489"/>
  <c r="ER1033" i="489"/>
  <c r="ER1072" i="489"/>
  <c r="ER1069" i="489"/>
  <c r="ER1025" i="489"/>
  <c r="ER1029" i="489"/>
  <c r="ER1024" i="489"/>
  <c r="ER1028" i="489"/>
  <c r="ER1015" i="489"/>
  <c r="ER1054" i="489"/>
  <c r="ER1027" i="489"/>
  <c r="ER1014" i="489"/>
  <c r="ER1013" i="489"/>
  <c r="ER1057" i="489"/>
  <c r="ER1083" i="489"/>
  <c r="ER1089" i="489"/>
  <c r="ER1112" i="489"/>
  <c r="ER1061" i="489"/>
  <c r="ER1070" i="489"/>
  <c r="ER1084" i="489"/>
  <c r="ER1081" i="489"/>
  <c r="ER1090" i="489"/>
  <c r="ER1100" i="489"/>
  <c r="ER1097" i="489"/>
  <c r="ER1052" i="489"/>
  <c r="ER1055" i="489"/>
  <c r="ER1051" i="489"/>
  <c r="ER1080" i="489"/>
  <c r="ER1099" i="489"/>
  <c r="ER1109" i="489"/>
  <c r="ER1108" i="489"/>
  <c r="ER1117" i="489"/>
  <c r="ER1126" i="489"/>
  <c r="ER1139" i="489"/>
  <c r="ER1136" i="489"/>
  <c r="ER1135" i="489"/>
  <c r="ER1155" i="489"/>
  <c r="ER1169" i="489"/>
  <c r="ER1166" i="489"/>
  <c r="ER1163" i="489"/>
  <c r="ER1110" i="489"/>
  <c r="ER1173" i="489"/>
  <c r="ER1128" i="489"/>
  <c r="ER1138" i="489"/>
  <c r="ER1154" i="489"/>
  <c r="ER1168" i="489"/>
  <c r="ER1165" i="489"/>
  <c r="ER1175" i="489"/>
  <c r="ER1127" i="489"/>
  <c r="ER1140" i="489"/>
  <c r="ER1137" i="489"/>
  <c r="ER1146" i="489"/>
  <c r="ER1145" i="489"/>
  <c r="ER1153" i="489"/>
  <c r="ER1118" i="489"/>
  <c r="ER1107" i="489"/>
  <c r="ER1167" i="489"/>
  <c r="ER1164" i="489"/>
  <c r="ER1174" i="489"/>
  <c r="ER1125" i="489"/>
  <c r="O1156" i="489"/>
  <c r="O1157" i="489"/>
  <c r="O1158" i="489"/>
  <c r="O1159" i="489"/>
  <c r="O1160" i="489"/>
  <c r="O1161" i="489"/>
  <c r="O1170" i="489"/>
  <c r="O1171" i="489"/>
  <c r="O1129" i="489"/>
  <c r="O1130" i="489"/>
  <c r="O1131" i="489"/>
  <c r="O1132" i="489"/>
  <c r="O1133" i="489"/>
  <c r="O1177" i="489"/>
  <c r="O1176" i="489"/>
  <c r="O1141" i="489"/>
  <c r="O1142" i="489"/>
  <c r="O1143" i="489"/>
  <c r="O1147" i="489"/>
  <c r="O1148" i="489"/>
  <c r="O1149" i="489"/>
  <c r="O1102" i="489"/>
  <c r="O1103" i="489"/>
  <c r="O1104" i="489"/>
  <c r="O1105" i="489"/>
  <c r="O1113" i="489"/>
  <c r="O1115" i="489"/>
  <c r="O1114" i="489"/>
  <c r="O1073" i="489"/>
  <c r="O1074" i="489"/>
  <c r="O1075" i="489"/>
  <c r="O1076" i="489"/>
  <c r="O1077" i="489"/>
  <c r="O1119" i="489"/>
  <c r="O1120" i="489"/>
  <c r="O1121" i="489"/>
  <c r="O1086" i="489"/>
  <c r="O1087" i="489"/>
  <c r="O1091" i="489"/>
  <c r="O1092" i="489"/>
  <c r="O1093" i="489"/>
  <c r="O1048" i="489"/>
  <c r="O1049" i="489"/>
  <c r="O1044" i="489"/>
  <c r="O1045" i="489"/>
  <c r="O1046" i="489"/>
  <c r="O1047" i="489"/>
  <c r="O1065" i="489"/>
  <c r="O1058" i="489"/>
  <c r="O1059" i="489"/>
  <c r="O1063" i="489"/>
  <c r="O1064" i="489"/>
  <c r="O1019" i="489"/>
  <c r="O1020" i="489"/>
  <c r="O1021" i="489"/>
  <c r="O1030" i="489"/>
  <c r="O1031" i="489"/>
  <c r="O1016" i="489"/>
  <c r="O1017" i="489"/>
  <c r="O1018" i="489"/>
  <c r="O1035" i="489"/>
  <c r="O1036" i="489"/>
  <c r="O1037" i="489"/>
  <c r="O1027" i="489"/>
  <c r="O1041" i="489"/>
  <c r="O1028" i="489"/>
  <c r="O1042" i="489"/>
  <c r="O1015" i="489"/>
  <c r="O1023" i="489"/>
  <c r="O1054" i="489"/>
  <c r="O1013" i="489"/>
  <c r="O1033" i="489"/>
  <c r="O1014" i="489"/>
  <c r="O1034" i="489"/>
  <c r="O1053" i="489"/>
  <c r="O1026" i="489"/>
  <c r="O1057" i="489"/>
  <c r="O1071" i="489"/>
  <c r="O1085" i="489"/>
  <c r="O1082" i="489"/>
  <c r="O1079" i="489"/>
  <c r="O1101" i="489"/>
  <c r="O1098" i="489"/>
  <c r="O1111" i="489"/>
  <c r="O1024" i="489"/>
  <c r="O1055" i="489"/>
  <c r="O1062" i="489"/>
  <c r="O1025" i="489"/>
  <c r="O1056" i="489"/>
  <c r="O1029" i="489"/>
  <c r="O1043" i="489"/>
  <c r="O1051" i="489"/>
  <c r="O1108" i="489"/>
  <c r="O1117" i="489"/>
  <c r="O1126" i="489"/>
  <c r="O1139" i="489"/>
  <c r="O1136" i="489"/>
  <c r="O1069" i="489"/>
  <c r="O1083" i="489"/>
  <c r="O1080" i="489"/>
  <c r="O1089" i="489"/>
  <c r="O1099" i="489"/>
  <c r="O1112" i="489"/>
  <c r="O1109" i="489"/>
  <c r="O1118" i="489"/>
  <c r="O1127" i="489"/>
  <c r="O1140" i="489"/>
  <c r="O1137" i="489"/>
  <c r="O1061" i="489"/>
  <c r="O1070" i="489"/>
  <c r="O1084" i="489"/>
  <c r="O1081" i="489"/>
  <c r="O1090" i="489"/>
  <c r="O1100" i="489"/>
  <c r="O1097" i="489"/>
  <c r="O1110" i="489"/>
  <c r="O1072" i="489"/>
  <c r="O1052" i="489"/>
  <c r="O1146" i="489"/>
  <c r="O1154" i="489"/>
  <c r="O1168" i="489"/>
  <c r="O1165" i="489"/>
  <c r="O1175" i="489"/>
  <c r="O1107" i="489"/>
  <c r="O1128" i="489"/>
  <c r="O1125" i="489"/>
  <c r="O1138" i="489"/>
  <c r="O1135" i="489"/>
  <c r="O1145" i="489"/>
  <c r="O1153" i="489"/>
  <c r="O1167" i="489"/>
  <c r="O1164" i="489"/>
  <c r="O1174" i="489"/>
  <c r="O1155" i="489"/>
  <c r="O1169" i="489"/>
  <c r="O1166" i="489"/>
  <c r="O1163" i="489"/>
  <c r="O1173" i="489"/>
  <c r="AA1156" i="489"/>
  <c r="AA1157" i="489"/>
  <c r="AA1158" i="489"/>
  <c r="AA1159" i="489"/>
  <c r="AA1170" i="489"/>
  <c r="AA1171" i="489"/>
  <c r="AA1160" i="489"/>
  <c r="AA1161" i="489"/>
  <c r="AA1129" i="489"/>
  <c r="AA1130" i="489"/>
  <c r="AA1176" i="489"/>
  <c r="AA1177" i="489"/>
  <c r="AA1131" i="489"/>
  <c r="AA1132" i="489"/>
  <c r="AA1133" i="489"/>
  <c r="AA1141" i="489"/>
  <c r="AA1142" i="489"/>
  <c r="AA1143" i="489"/>
  <c r="AA1147" i="489"/>
  <c r="AA1148" i="489"/>
  <c r="AA1149" i="489"/>
  <c r="AA1102" i="489"/>
  <c r="AA1103" i="489"/>
  <c r="AA1104" i="489"/>
  <c r="AA1105" i="489"/>
  <c r="AA1113" i="489"/>
  <c r="AA1114" i="489"/>
  <c r="AA1115" i="489"/>
  <c r="AA1119" i="489"/>
  <c r="AA1120" i="489"/>
  <c r="AA1121" i="489"/>
  <c r="AA1073" i="489"/>
  <c r="AA1074" i="489"/>
  <c r="AA1075" i="489"/>
  <c r="AA1076" i="489"/>
  <c r="AA1077" i="489"/>
  <c r="AA1086" i="489"/>
  <c r="AA1087" i="489"/>
  <c r="AA1091" i="489"/>
  <c r="AA1092" i="489"/>
  <c r="AA1093" i="489"/>
  <c r="AA1071" i="489"/>
  <c r="AA1085" i="489"/>
  <c r="AA1082" i="489"/>
  <c r="AA1079" i="489"/>
  <c r="AA1101" i="489"/>
  <c r="AA1098" i="489"/>
  <c r="AA1111" i="489"/>
  <c r="AA1069" i="489"/>
  <c r="AA1083" i="489"/>
  <c r="AA1080" i="489"/>
  <c r="AA1089" i="489"/>
  <c r="AA1099" i="489"/>
  <c r="AA1112" i="489"/>
  <c r="AA1070" i="489"/>
  <c r="AA1084" i="489"/>
  <c r="AA1081" i="489"/>
  <c r="AA1090" i="489"/>
  <c r="AA1100" i="489"/>
  <c r="AA1097" i="489"/>
  <c r="AA1110" i="489"/>
  <c r="AA1072" i="489"/>
  <c r="AA1108" i="489"/>
  <c r="AA1117" i="489"/>
  <c r="AA1126" i="489"/>
  <c r="AA1139" i="489"/>
  <c r="AA1136" i="489"/>
  <c r="AA1137" i="489"/>
  <c r="AA1140" i="489"/>
  <c r="AA1146" i="489"/>
  <c r="AA1154" i="489"/>
  <c r="AA1168" i="489"/>
  <c r="AA1165" i="489"/>
  <c r="AA1175" i="489"/>
  <c r="AA1109" i="489"/>
  <c r="AA1118" i="489"/>
  <c r="AA1107" i="489"/>
  <c r="AA1128" i="489"/>
  <c r="AA1125" i="489"/>
  <c r="AA1138" i="489"/>
  <c r="AA1135" i="489"/>
  <c r="AA1145" i="489"/>
  <c r="AA1153" i="489"/>
  <c r="AA1167" i="489"/>
  <c r="AA1164" i="489"/>
  <c r="AA1174" i="489"/>
  <c r="AA1155" i="489"/>
  <c r="AA1169" i="489"/>
  <c r="AA1166" i="489"/>
  <c r="AA1163" i="489"/>
  <c r="AA1173" i="489"/>
  <c r="AA1127" i="489"/>
  <c r="AN1160" i="489"/>
  <c r="AN1161" i="489"/>
  <c r="AN1156" i="489"/>
  <c r="AN1157" i="489"/>
  <c r="AN1158" i="489"/>
  <c r="AN1159" i="489"/>
  <c r="AN1170" i="489"/>
  <c r="AN1171" i="489"/>
  <c r="AN1176" i="489"/>
  <c r="AN1177" i="489"/>
  <c r="AN1129" i="489"/>
  <c r="AN1130" i="489"/>
  <c r="AN1131" i="489"/>
  <c r="AN1132" i="489"/>
  <c r="AN1133" i="489"/>
  <c r="AN1141" i="489"/>
  <c r="AN1142" i="489"/>
  <c r="AN1143" i="489"/>
  <c r="AN1147" i="489"/>
  <c r="AN1148" i="489"/>
  <c r="AN1149" i="489"/>
  <c r="AN1102" i="489"/>
  <c r="AN1103" i="489"/>
  <c r="AN1104" i="489"/>
  <c r="AN1105" i="489"/>
  <c r="AN1113" i="489"/>
  <c r="AN1114" i="489"/>
  <c r="AN1115" i="489"/>
  <c r="AN1119" i="489"/>
  <c r="AN1120" i="489"/>
  <c r="AN1121" i="489"/>
  <c r="AN1086" i="489"/>
  <c r="AN1087" i="489"/>
  <c r="AN1091" i="489"/>
  <c r="AN1092" i="489"/>
  <c r="AN1093" i="489"/>
  <c r="AN1073" i="489"/>
  <c r="AN1074" i="489"/>
  <c r="AN1075" i="489"/>
  <c r="AN1076" i="489"/>
  <c r="AN1077" i="489"/>
  <c r="AN1044" i="489"/>
  <c r="AN1045" i="489"/>
  <c r="AN1046" i="489"/>
  <c r="AN1047" i="489"/>
  <c r="AN1048" i="489"/>
  <c r="AN1049" i="489"/>
  <c r="AN1058" i="489"/>
  <c r="AN1059" i="489"/>
  <c r="AN1063" i="489"/>
  <c r="AN1064" i="489"/>
  <c r="AN1065" i="489"/>
  <c r="AN1030" i="489"/>
  <c r="AN1016" i="489"/>
  <c r="AN1017" i="489"/>
  <c r="AN1018" i="489"/>
  <c r="AN1019" i="489"/>
  <c r="AN1020" i="489"/>
  <c r="AN1021" i="489"/>
  <c r="AN1031" i="489"/>
  <c r="AN1035" i="489"/>
  <c r="AN1036" i="489"/>
  <c r="AN1037" i="489"/>
  <c r="AN1034" i="489"/>
  <c r="AN1026" i="489"/>
  <c r="AN1041" i="489"/>
  <c r="AN1056" i="489"/>
  <c r="AN1033" i="489"/>
  <c r="AN1025" i="489"/>
  <c r="AN1029" i="489"/>
  <c r="AN1024" i="489"/>
  <c r="AN1028" i="489"/>
  <c r="AN1015" i="489"/>
  <c r="AN1054" i="489"/>
  <c r="AN1027" i="489"/>
  <c r="AN1014" i="489"/>
  <c r="AN1013" i="489"/>
  <c r="AN1057" i="489"/>
  <c r="AN1062" i="489"/>
  <c r="AN1071" i="489"/>
  <c r="AN1085" i="489"/>
  <c r="AN1082" i="489"/>
  <c r="AN1043" i="489"/>
  <c r="AN1101" i="489"/>
  <c r="AN1098" i="489"/>
  <c r="AN1111" i="489"/>
  <c r="AN1042" i="489"/>
  <c r="AN1023" i="489"/>
  <c r="AN1053" i="489"/>
  <c r="AN1069" i="489"/>
  <c r="AN1052" i="489"/>
  <c r="AN1080" i="489"/>
  <c r="AN1099" i="489"/>
  <c r="AN1109" i="489"/>
  <c r="AN1055" i="489"/>
  <c r="AN1108" i="489"/>
  <c r="AN1117" i="489"/>
  <c r="AN1126" i="489"/>
  <c r="AN1139" i="489"/>
  <c r="AN1136" i="489"/>
  <c r="AN1118" i="489"/>
  <c r="AN1127" i="489"/>
  <c r="AN1140" i="489"/>
  <c r="AN1137" i="489"/>
  <c r="AN1072" i="489"/>
  <c r="AN1083" i="489"/>
  <c r="AN1089" i="489"/>
  <c r="AN1112" i="489"/>
  <c r="AN1061" i="489"/>
  <c r="AN1070" i="489"/>
  <c r="AN1084" i="489"/>
  <c r="AN1081" i="489"/>
  <c r="AN1090" i="489"/>
  <c r="AN1100" i="489"/>
  <c r="AN1097" i="489"/>
  <c r="AN1138" i="489"/>
  <c r="AN1146" i="489"/>
  <c r="AN1154" i="489"/>
  <c r="AN1168" i="489"/>
  <c r="AN1165" i="489"/>
  <c r="AN1175" i="489"/>
  <c r="AN1145" i="489"/>
  <c r="AN1107" i="489"/>
  <c r="AN1153" i="489"/>
  <c r="AN1125" i="489"/>
  <c r="AN1167" i="489"/>
  <c r="AN1164" i="489"/>
  <c r="AN1174" i="489"/>
  <c r="AN1135" i="489"/>
  <c r="AN1110" i="489"/>
  <c r="AN1155" i="489"/>
  <c r="AN1169" i="489"/>
  <c r="AN1166" i="489"/>
  <c r="AN1128" i="489"/>
  <c r="AN1173" i="489"/>
  <c r="AZ1160" i="489"/>
  <c r="AZ1161" i="489"/>
  <c r="AZ1156" i="489"/>
  <c r="AZ1157" i="489"/>
  <c r="AZ1158" i="489"/>
  <c r="AZ1159" i="489"/>
  <c r="AZ1170" i="489"/>
  <c r="AZ1171" i="489"/>
  <c r="AZ1176" i="489"/>
  <c r="AZ1177" i="489"/>
  <c r="AZ1129" i="489"/>
  <c r="AZ1130" i="489"/>
  <c r="AZ1131" i="489"/>
  <c r="AZ1132" i="489"/>
  <c r="AZ1133" i="489"/>
  <c r="AZ1141" i="489"/>
  <c r="AZ1142" i="489"/>
  <c r="AZ1143" i="489"/>
  <c r="AZ1147" i="489"/>
  <c r="AZ1148" i="489"/>
  <c r="AZ1149" i="489"/>
  <c r="AZ1102" i="489"/>
  <c r="AZ1103" i="489"/>
  <c r="AZ1104" i="489"/>
  <c r="AZ1105" i="489"/>
  <c r="AZ1113" i="489"/>
  <c r="AZ1114" i="489"/>
  <c r="AZ1115" i="489"/>
  <c r="AZ1119" i="489"/>
  <c r="AZ1120" i="489"/>
  <c r="AZ1121" i="489"/>
  <c r="AZ1086" i="489"/>
  <c r="AZ1087" i="489"/>
  <c r="AZ1091" i="489"/>
  <c r="AZ1092" i="489"/>
  <c r="AZ1073" i="489"/>
  <c r="AZ1074" i="489"/>
  <c r="AZ1075" i="489"/>
  <c r="AZ1076" i="489"/>
  <c r="AZ1077" i="489"/>
  <c r="AZ1093" i="489"/>
  <c r="AZ1044" i="489"/>
  <c r="AZ1045" i="489"/>
  <c r="AZ1046" i="489"/>
  <c r="AZ1047" i="489"/>
  <c r="AZ1048" i="489"/>
  <c r="AZ1049" i="489"/>
  <c r="AZ1058" i="489"/>
  <c r="AZ1059" i="489"/>
  <c r="AZ1063" i="489"/>
  <c r="AZ1064" i="489"/>
  <c r="AZ1065" i="489"/>
  <c r="AZ1030" i="489"/>
  <c r="AZ1016" i="489"/>
  <c r="AZ1017" i="489"/>
  <c r="AZ1018" i="489"/>
  <c r="AZ1019" i="489"/>
  <c r="AZ1020" i="489"/>
  <c r="AZ1021" i="489"/>
  <c r="AZ1031" i="489"/>
  <c r="AZ1035" i="489"/>
  <c r="AZ1036" i="489"/>
  <c r="AZ1037" i="489"/>
  <c r="AZ1034" i="489"/>
  <c r="AZ1026" i="489"/>
  <c r="AZ1041" i="489"/>
  <c r="AZ1056" i="489"/>
  <c r="AZ1033" i="489"/>
  <c r="AZ1025" i="489"/>
  <c r="AZ1029" i="489"/>
  <c r="AZ1024" i="489"/>
  <c r="AZ1028" i="489"/>
  <c r="AZ1015" i="489"/>
  <c r="AZ1054" i="489"/>
  <c r="AZ1027" i="489"/>
  <c r="AZ1014" i="489"/>
  <c r="AZ1013" i="489"/>
  <c r="AZ1057" i="489"/>
  <c r="AZ1062" i="489"/>
  <c r="AZ1071" i="489"/>
  <c r="AZ1085" i="489"/>
  <c r="AZ1082" i="489"/>
  <c r="AZ1079" i="489"/>
  <c r="AZ1043" i="489"/>
  <c r="AZ1101" i="489"/>
  <c r="AZ1098" i="489"/>
  <c r="AZ1111" i="489"/>
  <c r="AZ1042" i="489"/>
  <c r="AZ1023" i="489"/>
  <c r="AZ1053" i="489"/>
  <c r="AZ1051" i="489"/>
  <c r="AZ1080" i="489"/>
  <c r="AZ1099" i="489"/>
  <c r="AZ1109" i="489"/>
  <c r="AZ1055" i="489"/>
  <c r="AZ1108" i="489"/>
  <c r="AZ1117" i="489"/>
  <c r="AZ1126" i="489"/>
  <c r="AZ1139" i="489"/>
  <c r="AZ1136" i="489"/>
  <c r="AZ1118" i="489"/>
  <c r="AZ1072" i="489"/>
  <c r="AZ1083" i="489"/>
  <c r="AZ1089" i="489"/>
  <c r="AZ1112" i="489"/>
  <c r="AZ1061" i="489"/>
  <c r="AZ1070" i="489"/>
  <c r="AZ1084" i="489"/>
  <c r="AZ1081" i="489"/>
  <c r="AZ1090" i="489"/>
  <c r="AZ1100" i="489"/>
  <c r="AZ1097" i="489"/>
  <c r="AZ1069" i="489"/>
  <c r="AZ1052" i="489"/>
  <c r="AZ1146" i="489"/>
  <c r="AZ1154" i="489"/>
  <c r="AZ1168" i="489"/>
  <c r="AZ1165" i="489"/>
  <c r="AZ1175" i="489"/>
  <c r="AZ1145" i="489"/>
  <c r="AZ1107" i="489"/>
  <c r="AZ1153" i="489"/>
  <c r="AZ1125" i="489"/>
  <c r="AZ1167" i="489"/>
  <c r="AZ1164" i="489"/>
  <c r="AZ1174" i="489"/>
  <c r="AZ1135" i="489"/>
  <c r="AZ1127" i="489"/>
  <c r="AZ1140" i="489"/>
  <c r="AZ1137" i="489"/>
  <c r="AZ1110" i="489"/>
  <c r="AZ1155" i="489"/>
  <c r="AZ1169" i="489"/>
  <c r="AZ1166" i="489"/>
  <c r="AZ1163" i="489"/>
  <c r="AZ1128" i="489"/>
  <c r="AZ1173" i="489"/>
  <c r="AZ1138" i="489"/>
  <c r="BL1160" i="489"/>
  <c r="BL1161" i="489"/>
  <c r="BL1156" i="489"/>
  <c r="BL1157" i="489"/>
  <c r="BL1158" i="489"/>
  <c r="BL1159" i="489"/>
  <c r="BL1170" i="489"/>
  <c r="BL1171" i="489"/>
  <c r="BL1176" i="489"/>
  <c r="BL1177" i="489"/>
  <c r="BL1129" i="489"/>
  <c r="BL1130" i="489"/>
  <c r="BL1131" i="489"/>
  <c r="BL1132" i="489"/>
  <c r="BL1133" i="489"/>
  <c r="BL1141" i="489"/>
  <c r="BL1142" i="489"/>
  <c r="BL1143" i="489"/>
  <c r="BL1147" i="489"/>
  <c r="BL1148" i="489"/>
  <c r="BL1149" i="489"/>
  <c r="BL1102" i="489"/>
  <c r="BL1103" i="489"/>
  <c r="BL1104" i="489"/>
  <c r="BL1105" i="489"/>
  <c r="BL1113" i="489"/>
  <c r="BL1114" i="489"/>
  <c r="BL1115" i="489"/>
  <c r="BL1119" i="489"/>
  <c r="BL1120" i="489"/>
  <c r="BL1121" i="489"/>
  <c r="BL1073" i="489"/>
  <c r="BL1074" i="489"/>
  <c r="BL1075" i="489"/>
  <c r="BL1076" i="489"/>
  <c r="BL1077" i="489"/>
  <c r="BL1086" i="489"/>
  <c r="BL1087" i="489"/>
  <c r="BL1091" i="489"/>
  <c r="BL1092" i="489"/>
  <c r="BL1093" i="489"/>
  <c r="BL1044" i="489"/>
  <c r="BL1045" i="489"/>
  <c r="BL1046" i="489"/>
  <c r="BL1047" i="489"/>
  <c r="BL1048" i="489"/>
  <c r="BL1049" i="489"/>
  <c r="BL1058" i="489"/>
  <c r="BL1059" i="489"/>
  <c r="BL1063" i="489"/>
  <c r="BL1064" i="489"/>
  <c r="BL1065" i="489"/>
  <c r="BL1030" i="489"/>
  <c r="BL1016" i="489"/>
  <c r="BL1017" i="489"/>
  <c r="BL1018" i="489"/>
  <c r="BL1019" i="489"/>
  <c r="BL1020" i="489"/>
  <c r="BL1021" i="489"/>
  <c r="BL1031" i="489"/>
  <c r="BL1035" i="489"/>
  <c r="BL1036" i="489"/>
  <c r="BL1037" i="489"/>
  <c r="BL1033" i="489"/>
  <c r="BL1025" i="489"/>
  <c r="BL1029" i="489"/>
  <c r="BL1024" i="489"/>
  <c r="BL1028" i="489"/>
  <c r="BL1015" i="489"/>
  <c r="BL1054" i="489"/>
  <c r="BL1027" i="489"/>
  <c r="BL1014" i="489"/>
  <c r="BL1013" i="489"/>
  <c r="BL1057" i="489"/>
  <c r="BL1062" i="489"/>
  <c r="BL1071" i="489"/>
  <c r="BL1085" i="489"/>
  <c r="BL1082" i="489"/>
  <c r="BL1079" i="489"/>
  <c r="BL1043" i="489"/>
  <c r="BL1101" i="489"/>
  <c r="BL1098" i="489"/>
  <c r="BL1111" i="489"/>
  <c r="BL1042" i="489"/>
  <c r="BL1023" i="489"/>
  <c r="BL1053" i="489"/>
  <c r="BL1034" i="489"/>
  <c r="BL1026" i="489"/>
  <c r="BL1041" i="489"/>
  <c r="BL1056" i="489"/>
  <c r="BL1080" i="489"/>
  <c r="BL1099" i="489"/>
  <c r="BL1109" i="489"/>
  <c r="BL1055" i="489"/>
  <c r="BL1108" i="489"/>
  <c r="BL1117" i="489"/>
  <c r="BL1126" i="489"/>
  <c r="BL1139" i="489"/>
  <c r="BL1136" i="489"/>
  <c r="BL1118" i="489"/>
  <c r="BL1127" i="489"/>
  <c r="BL1140" i="489"/>
  <c r="BL1137" i="489"/>
  <c r="BL1072" i="489"/>
  <c r="BL1083" i="489"/>
  <c r="BL1089" i="489"/>
  <c r="BL1112" i="489"/>
  <c r="BL1061" i="489"/>
  <c r="BL1070" i="489"/>
  <c r="BL1084" i="489"/>
  <c r="BL1081" i="489"/>
  <c r="BL1090" i="489"/>
  <c r="BL1100" i="489"/>
  <c r="BL1097" i="489"/>
  <c r="BL1069" i="489"/>
  <c r="BL1052" i="489"/>
  <c r="BL1051" i="489"/>
  <c r="BL1146" i="489"/>
  <c r="BL1154" i="489"/>
  <c r="BL1168" i="489"/>
  <c r="BL1165" i="489"/>
  <c r="BL1175" i="489"/>
  <c r="BL1145" i="489"/>
  <c r="BL1107" i="489"/>
  <c r="BL1153" i="489"/>
  <c r="BL1125" i="489"/>
  <c r="BL1167" i="489"/>
  <c r="BL1164" i="489"/>
  <c r="BL1174" i="489"/>
  <c r="BL1135" i="489"/>
  <c r="BL1110" i="489"/>
  <c r="BL1155" i="489"/>
  <c r="BL1169" i="489"/>
  <c r="BL1166" i="489"/>
  <c r="BL1163" i="489"/>
  <c r="BL1128" i="489"/>
  <c r="BL1173" i="489"/>
  <c r="BL1138" i="489"/>
  <c r="BX1160" i="489"/>
  <c r="BX1161" i="489"/>
  <c r="BX1159" i="489"/>
  <c r="BX1156" i="489"/>
  <c r="BX1157" i="489"/>
  <c r="BX1158" i="489"/>
  <c r="BX1170" i="489"/>
  <c r="BX1171" i="489"/>
  <c r="BX1176" i="489"/>
  <c r="BX1177" i="489"/>
  <c r="BX1129" i="489"/>
  <c r="BX1130" i="489"/>
  <c r="BX1131" i="489"/>
  <c r="BX1132" i="489"/>
  <c r="BX1133" i="489"/>
  <c r="BX1141" i="489"/>
  <c r="BX1142" i="489"/>
  <c r="BX1143" i="489"/>
  <c r="BX1147" i="489"/>
  <c r="BX1148" i="489"/>
  <c r="BX1149" i="489"/>
  <c r="BX1102" i="489"/>
  <c r="BX1103" i="489"/>
  <c r="BX1104" i="489"/>
  <c r="BX1105" i="489"/>
  <c r="BX1113" i="489"/>
  <c r="BX1114" i="489"/>
  <c r="BX1115" i="489"/>
  <c r="BX1119" i="489"/>
  <c r="BX1120" i="489"/>
  <c r="BX1121" i="489"/>
  <c r="BX1073" i="489"/>
  <c r="BX1074" i="489"/>
  <c r="BX1075" i="489"/>
  <c r="BX1076" i="489"/>
  <c r="BX1077" i="489"/>
  <c r="BX1086" i="489"/>
  <c r="BX1087" i="489"/>
  <c r="BX1091" i="489"/>
  <c r="BX1092" i="489"/>
  <c r="BX1093" i="489"/>
  <c r="BX1044" i="489"/>
  <c r="BX1045" i="489"/>
  <c r="BX1046" i="489"/>
  <c r="BX1047" i="489"/>
  <c r="BX1048" i="489"/>
  <c r="BX1049" i="489"/>
  <c r="BX1058" i="489"/>
  <c r="BX1059" i="489"/>
  <c r="BX1063" i="489"/>
  <c r="BX1064" i="489"/>
  <c r="BX1065" i="489"/>
  <c r="BX1030" i="489"/>
  <c r="BX1016" i="489"/>
  <c r="BX1017" i="489"/>
  <c r="BX1018" i="489"/>
  <c r="BX1019" i="489"/>
  <c r="BX1020" i="489"/>
  <c r="BX1021" i="489"/>
  <c r="BX1031" i="489"/>
  <c r="BX1035" i="489"/>
  <c r="BX1036" i="489"/>
  <c r="BX1037" i="489"/>
  <c r="BX1025" i="489"/>
  <c r="BX1029" i="489"/>
  <c r="BX1024" i="489"/>
  <c r="BX1028" i="489"/>
  <c r="BX1015" i="489"/>
  <c r="BX1054" i="489"/>
  <c r="BX1027" i="489"/>
  <c r="BX1014" i="489"/>
  <c r="BX1013" i="489"/>
  <c r="BX1057" i="489"/>
  <c r="BX1062" i="489"/>
  <c r="BX1071" i="489"/>
  <c r="BX1085" i="489"/>
  <c r="BX1082" i="489"/>
  <c r="BX1079" i="489"/>
  <c r="BX1043" i="489"/>
  <c r="BX1101" i="489"/>
  <c r="BX1098" i="489"/>
  <c r="BX1111" i="489"/>
  <c r="BX1042" i="489"/>
  <c r="BX1023" i="489"/>
  <c r="BX1053" i="489"/>
  <c r="BX1034" i="489"/>
  <c r="BX1026" i="489"/>
  <c r="BX1041" i="489"/>
  <c r="BX1056" i="489"/>
  <c r="BX1033" i="489"/>
  <c r="BX1072" i="489"/>
  <c r="BX1069" i="489"/>
  <c r="BX1108" i="489"/>
  <c r="BX1117" i="489"/>
  <c r="BX1126" i="489"/>
  <c r="BX1139" i="489"/>
  <c r="BX1136" i="489"/>
  <c r="BX1083" i="489"/>
  <c r="BX1089" i="489"/>
  <c r="BX1112" i="489"/>
  <c r="BX1061" i="489"/>
  <c r="BX1070" i="489"/>
  <c r="BX1084" i="489"/>
  <c r="BX1081" i="489"/>
  <c r="BX1090" i="489"/>
  <c r="BX1100" i="489"/>
  <c r="BX1097" i="489"/>
  <c r="BX1052" i="489"/>
  <c r="BX1051" i="489"/>
  <c r="BX1080" i="489"/>
  <c r="BX1099" i="489"/>
  <c r="BX1109" i="489"/>
  <c r="BX1055" i="489"/>
  <c r="BX1145" i="489"/>
  <c r="BX1107" i="489"/>
  <c r="BX1153" i="489"/>
  <c r="BX1125" i="489"/>
  <c r="BX1167" i="489"/>
  <c r="BX1164" i="489"/>
  <c r="BX1174" i="489"/>
  <c r="BX1135" i="489"/>
  <c r="BX1110" i="489"/>
  <c r="BX1155" i="489"/>
  <c r="BX1169" i="489"/>
  <c r="BX1166" i="489"/>
  <c r="BX1163" i="489"/>
  <c r="BX1127" i="489"/>
  <c r="BX1140" i="489"/>
  <c r="BX1137" i="489"/>
  <c r="BX1128" i="489"/>
  <c r="BX1173" i="489"/>
  <c r="BX1118" i="489"/>
  <c r="BX1138" i="489"/>
  <c r="BX1146" i="489"/>
  <c r="BX1154" i="489"/>
  <c r="BX1168" i="489"/>
  <c r="BX1165" i="489"/>
  <c r="BX1175" i="489"/>
  <c r="CJ1160" i="489"/>
  <c r="CJ1161" i="489"/>
  <c r="CJ1156" i="489"/>
  <c r="CJ1157" i="489"/>
  <c r="CJ1158" i="489"/>
  <c r="CJ1159" i="489"/>
  <c r="CJ1170" i="489"/>
  <c r="CJ1171" i="489"/>
  <c r="CJ1176" i="489"/>
  <c r="CJ1177" i="489"/>
  <c r="CJ1129" i="489"/>
  <c r="CJ1130" i="489"/>
  <c r="CJ1131" i="489"/>
  <c r="CJ1132" i="489"/>
  <c r="CJ1133" i="489"/>
  <c r="CJ1141" i="489"/>
  <c r="CJ1142" i="489"/>
  <c r="CJ1143" i="489"/>
  <c r="CJ1147" i="489"/>
  <c r="CJ1148" i="489"/>
  <c r="CJ1149" i="489"/>
  <c r="CJ1102" i="489"/>
  <c r="CJ1103" i="489"/>
  <c r="CJ1104" i="489"/>
  <c r="CJ1105" i="489"/>
  <c r="CJ1113" i="489"/>
  <c r="CJ1114" i="489"/>
  <c r="CJ1115" i="489"/>
  <c r="CJ1119" i="489"/>
  <c r="CJ1120" i="489"/>
  <c r="CJ1121" i="489"/>
  <c r="CJ1073" i="489"/>
  <c r="CJ1074" i="489"/>
  <c r="CJ1075" i="489"/>
  <c r="CJ1076" i="489"/>
  <c r="CJ1077" i="489"/>
  <c r="CJ1086" i="489"/>
  <c r="CJ1087" i="489"/>
  <c r="CJ1091" i="489"/>
  <c r="CJ1092" i="489"/>
  <c r="CJ1093" i="489"/>
  <c r="CJ1044" i="489"/>
  <c r="CJ1045" i="489"/>
  <c r="CJ1046" i="489"/>
  <c r="CJ1047" i="489"/>
  <c r="CJ1048" i="489"/>
  <c r="CJ1049" i="489"/>
  <c r="CJ1058" i="489"/>
  <c r="CJ1059" i="489"/>
  <c r="CJ1063" i="489"/>
  <c r="CJ1064" i="489"/>
  <c r="CJ1065" i="489"/>
  <c r="CJ1030" i="489"/>
  <c r="CJ1016" i="489"/>
  <c r="CJ1017" i="489"/>
  <c r="CJ1018" i="489"/>
  <c r="CJ1019" i="489"/>
  <c r="CJ1020" i="489"/>
  <c r="CJ1021" i="489"/>
  <c r="CJ1031" i="489"/>
  <c r="CJ1035" i="489"/>
  <c r="CJ1036" i="489"/>
  <c r="CJ1037" i="489"/>
  <c r="CJ1024" i="489"/>
  <c r="CJ1028" i="489"/>
  <c r="CJ1015" i="489"/>
  <c r="CJ1054" i="489"/>
  <c r="CJ1027" i="489"/>
  <c r="CJ1014" i="489"/>
  <c r="CJ1013" i="489"/>
  <c r="CJ1057" i="489"/>
  <c r="CJ1062" i="489"/>
  <c r="CJ1071" i="489"/>
  <c r="CJ1085" i="489"/>
  <c r="CJ1082" i="489"/>
  <c r="CJ1079" i="489"/>
  <c r="CJ1043" i="489"/>
  <c r="CJ1101" i="489"/>
  <c r="CJ1098" i="489"/>
  <c r="CJ1111" i="489"/>
  <c r="CJ1042" i="489"/>
  <c r="CJ1023" i="489"/>
  <c r="CJ1053" i="489"/>
  <c r="CJ1034" i="489"/>
  <c r="CJ1026" i="489"/>
  <c r="CJ1041" i="489"/>
  <c r="CJ1056" i="489"/>
  <c r="CJ1033" i="489"/>
  <c r="CJ1025" i="489"/>
  <c r="CJ1029" i="489"/>
  <c r="CJ1051" i="489"/>
  <c r="CJ1083" i="489"/>
  <c r="CJ1080" i="489"/>
  <c r="CJ1089" i="489"/>
  <c r="CJ1099" i="489"/>
  <c r="CJ1112" i="489"/>
  <c r="CJ1109" i="489"/>
  <c r="CJ1126" i="489"/>
  <c r="CJ1139" i="489"/>
  <c r="CJ1136" i="489"/>
  <c r="CJ1118" i="489"/>
  <c r="CJ1127" i="489"/>
  <c r="CJ1140" i="489"/>
  <c r="CJ1137" i="489"/>
  <c r="CJ1146" i="489"/>
  <c r="CJ1072" i="489"/>
  <c r="CJ1110" i="489"/>
  <c r="CJ1107" i="489"/>
  <c r="CJ1061" i="489"/>
  <c r="CJ1070" i="489"/>
  <c r="CJ1084" i="489"/>
  <c r="CJ1081" i="489"/>
  <c r="CJ1090" i="489"/>
  <c r="CJ1100" i="489"/>
  <c r="CJ1097" i="489"/>
  <c r="CJ1052" i="489"/>
  <c r="CJ1069" i="489"/>
  <c r="CJ1055" i="489"/>
  <c r="CJ1108" i="489"/>
  <c r="CJ1117" i="489"/>
  <c r="CJ1153" i="489"/>
  <c r="CJ1125" i="489"/>
  <c r="CJ1167" i="489"/>
  <c r="CJ1164" i="489"/>
  <c r="CJ1174" i="489"/>
  <c r="CJ1135" i="489"/>
  <c r="CJ1155" i="489"/>
  <c r="CJ1169" i="489"/>
  <c r="CJ1166" i="489"/>
  <c r="CJ1163" i="489"/>
  <c r="CJ1128" i="489"/>
  <c r="CJ1173" i="489"/>
  <c r="CJ1138" i="489"/>
  <c r="CJ1154" i="489"/>
  <c r="CJ1168" i="489"/>
  <c r="CJ1165" i="489"/>
  <c r="CJ1175" i="489"/>
  <c r="CJ1145" i="489"/>
  <c r="CV1160" i="489"/>
  <c r="CV1161" i="489"/>
  <c r="CV1156" i="489"/>
  <c r="CV1157" i="489"/>
  <c r="CV1158" i="489"/>
  <c r="CV1159" i="489"/>
  <c r="CV1170" i="489"/>
  <c r="CV1171" i="489"/>
  <c r="CV1176" i="489"/>
  <c r="CV1177" i="489"/>
  <c r="CV1129" i="489"/>
  <c r="CV1130" i="489"/>
  <c r="CV1131" i="489"/>
  <c r="CV1132" i="489"/>
  <c r="CV1133" i="489"/>
  <c r="CV1141" i="489"/>
  <c r="CV1142" i="489"/>
  <c r="CV1143" i="489"/>
  <c r="CV1147" i="489"/>
  <c r="CV1148" i="489"/>
  <c r="CV1149" i="489"/>
  <c r="CV1102" i="489"/>
  <c r="CV1103" i="489"/>
  <c r="CV1104" i="489"/>
  <c r="CV1105" i="489"/>
  <c r="CV1113" i="489"/>
  <c r="CV1114" i="489"/>
  <c r="CV1115" i="489"/>
  <c r="CV1119" i="489"/>
  <c r="CV1120" i="489"/>
  <c r="CV1121" i="489"/>
  <c r="CV1086" i="489"/>
  <c r="CV1087" i="489"/>
  <c r="CV1091" i="489"/>
  <c r="CV1092" i="489"/>
  <c r="CV1073" i="489"/>
  <c r="CV1074" i="489"/>
  <c r="CV1075" i="489"/>
  <c r="CV1076" i="489"/>
  <c r="CV1077" i="489"/>
  <c r="CV1093" i="489"/>
  <c r="CV1044" i="489"/>
  <c r="CV1045" i="489"/>
  <c r="CV1046" i="489"/>
  <c r="CV1047" i="489"/>
  <c r="CV1048" i="489"/>
  <c r="CV1049" i="489"/>
  <c r="CV1058" i="489"/>
  <c r="CV1059" i="489"/>
  <c r="CV1063" i="489"/>
  <c r="CV1064" i="489"/>
  <c r="CV1065" i="489"/>
  <c r="CV1030" i="489"/>
  <c r="CV1016" i="489"/>
  <c r="CV1017" i="489"/>
  <c r="CV1018" i="489"/>
  <c r="CV1019" i="489"/>
  <c r="CV1020" i="489"/>
  <c r="CV1021" i="489"/>
  <c r="CV1031" i="489"/>
  <c r="CV1035" i="489"/>
  <c r="CV1036" i="489"/>
  <c r="CV1037" i="489"/>
  <c r="CV1028" i="489"/>
  <c r="CV1015" i="489"/>
  <c r="CV1054" i="489"/>
  <c r="CV1027" i="489"/>
  <c r="CV1014" i="489"/>
  <c r="CV1057" i="489"/>
  <c r="CV1062" i="489"/>
  <c r="CV1071" i="489"/>
  <c r="CV1085" i="489"/>
  <c r="CV1082" i="489"/>
  <c r="CV1079" i="489"/>
  <c r="CV1043" i="489"/>
  <c r="CV1101" i="489"/>
  <c r="CV1098" i="489"/>
  <c r="CV1111" i="489"/>
  <c r="CV1042" i="489"/>
  <c r="CV1053" i="489"/>
  <c r="CV1034" i="489"/>
  <c r="CV1026" i="489"/>
  <c r="CV1041" i="489"/>
  <c r="CV1056" i="489"/>
  <c r="CV1033" i="489"/>
  <c r="CV1025" i="489"/>
  <c r="CV1029" i="489"/>
  <c r="CV1024" i="489"/>
  <c r="CV1118" i="489"/>
  <c r="CV1127" i="489"/>
  <c r="CV1140" i="489"/>
  <c r="CV1137" i="489"/>
  <c r="CV1146" i="489"/>
  <c r="CV1072" i="489"/>
  <c r="CV1083" i="489"/>
  <c r="CV1089" i="489"/>
  <c r="CV1112" i="489"/>
  <c r="CV1061" i="489"/>
  <c r="CV1128" i="489"/>
  <c r="CV1125" i="489"/>
  <c r="CV1070" i="489"/>
  <c r="CV1084" i="489"/>
  <c r="CV1081" i="489"/>
  <c r="CV1090" i="489"/>
  <c r="CV1100" i="489"/>
  <c r="CV1097" i="489"/>
  <c r="CV1052" i="489"/>
  <c r="CV1069" i="489"/>
  <c r="CV1051" i="489"/>
  <c r="CV1055" i="489"/>
  <c r="CV1080" i="489"/>
  <c r="CV1099" i="489"/>
  <c r="CV1109" i="489"/>
  <c r="CV1108" i="489"/>
  <c r="CV1117" i="489"/>
  <c r="CV1126" i="489"/>
  <c r="CV1139" i="489"/>
  <c r="CV1136" i="489"/>
  <c r="CV1107" i="489"/>
  <c r="CV1167" i="489"/>
  <c r="CV1164" i="489"/>
  <c r="CV1174" i="489"/>
  <c r="CV1155" i="489"/>
  <c r="CV1169" i="489"/>
  <c r="CV1166" i="489"/>
  <c r="CV1163" i="489"/>
  <c r="CV1110" i="489"/>
  <c r="CV1173" i="489"/>
  <c r="CV1138" i="489"/>
  <c r="CV1154" i="489"/>
  <c r="CV1168" i="489"/>
  <c r="CV1165" i="489"/>
  <c r="CV1175" i="489"/>
  <c r="CV1145" i="489"/>
  <c r="CV1153" i="489"/>
  <c r="DH1160" i="489"/>
  <c r="DH1161" i="489"/>
  <c r="DH1159" i="489"/>
  <c r="DH1156" i="489"/>
  <c r="DH1157" i="489"/>
  <c r="DH1158" i="489"/>
  <c r="DH1170" i="489"/>
  <c r="DH1171" i="489"/>
  <c r="DH1176" i="489"/>
  <c r="DH1177" i="489"/>
  <c r="DH1129" i="489"/>
  <c r="DH1130" i="489"/>
  <c r="DH1131" i="489"/>
  <c r="DH1132" i="489"/>
  <c r="DH1133" i="489"/>
  <c r="DH1141" i="489"/>
  <c r="DH1142" i="489"/>
  <c r="DH1143" i="489"/>
  <c r="DH1147" i="489"/>
  <c r="DH1148" i="489"/>
  <c r="DH1149" i="489"/>
  <c r="DH1102" i="489"/>
  <c r="DH1103" i="489"/>
  <c r="DH1104" i="489"/>
  <c r="DH1105" i="489"/>
  <c r="DH1113" i="489"/>
  <c r="DH1114" i="489"/>
  <c r="DH1115" i="489"/>
  <c r="DH1119" i="489"/>
  <c r="DH1120" i="489"/>
  <c r="DH1121" i="489"/>
  <c r="DH1086" i="489"/>
  <c r="DH1087" i="489"/>
  <c r="DH1091" i="489"/>
  <c r="DH1092" i="489"/>
  <c r="DH1073" i="489"/>
  <c r="DH1074" i="489"/>
  <c r="DH1075" i="489"/>
  <c r="DH1076" i="489"/>
  <c r="DH1077" i="489"/>
  <c r="DH1093" i="489"/>
  <c r="DH1045" i="489"/>
  <c r="DH1046" i="489"/>
  <c r="DH1047" i="489"/>
  <c r="DH1048" i="489"/>
  <c r="DH1049" i="489"/>
  <c r="DH1044" i="489"/>
  <c r="DH1063" i="489"/>
  <c r="DH1064" i="489"/>
  <c r="DH1065" i="489"/>
  <c r="DH1058" i="489"/>
  <c r="DH1059" i="489"/>
  <c r="DH1016" i="489"/>
  <c r="DH1017" i="489"/>
  <c r="DH1018" i="489"/>
  <c r="DH1019" i="489"/>
  <c r="DH1020" i="489"/>
  <c r="DH1021" i="489"/>
  <c r="DH1035" i="489"/>
  <c r="DH1036" i="489"/>
  <c r="DH1037" i="489"/>
  <c r="DH1030" i="489"/>
  <c r="DH1031" i="489"/>
  <c r="DH1054" i="489"/>
  <c r="DH1027" i="489"/>
  <c r="DH1014" i="489"/>
  <c r="DH1013" i="489"/>
  <c r="DH1057" i="489"/>
  <c r="DH1062" i="489"/>
  <c r="DH1071" i="489"/>
  <c r="DH1085" i="489"/>
  <c r="DH1082" i="489"/>
  <c r="DH1079" i="489"/>
  <c r="DH1043" i="489"/>
  <c r="DH1101" i="489"/>
  <c r="DH1098" i="489"/>
  <c r="DH1111" i="489"/>
  <c r="DH1042" i="489"/>
  <c r="DH1023" i="489"/>
  <c r="DH1053" i="489"/>
  <c r="DH1034" i="489"/>
  <c r="DH1026" i="489"/>
  <c r="DH1041" i="489"/>
  <c r="DH1056" i="489"/>
  <c r="DH1033" i="489"/>
  <c r="DH1025" i="489"/>
  <c r="DH1029" i="489"/>
  <c r="DH1051" i="489"/>
  <c r="DH1024" i="489"/>
  <c r="DH1028" i="489"/>
  <c r="DH1015" i="489"/>
  <c r="DH1072" i="489"/>
  <c r="DH1083" i="489"/>
  <c r="DH1089" i="489"/>
  <c r="DH1112" i="489"/>
  <c r="DH1061" i="489"/>
  <c r="DH1070" i="489"/>
  <c r="DH1084" i="489"/>
  <c r="DH1081" i="489"/>
  <c r="DH1090" i="489"/>
  <c r="DH1100" i="489"/>
  <c r="DH1097" i="489"/>
  <c r="DH1138" i="489"/>
  <c r="DH1052" i="489"/>
  <c r="DH1069" i="489"/>
  <c r="DH1055" i="489"/>
  <c r="DH1080" i="489"/>
  <c r="DH1099" i="489"/>
  <c r="DH1109" i="489"/>
  <c r="DH1108" i="489"/>
  <c r="DH1117" i="489"/>
  <c r="DH1126" i="489"/>
  <c r="DH1139" i="489"/>
  <c r="DH1136" i="489"/>
  <c r="DH1118" i="489"/>
  <c r="DH1127" i="489"/>
  <c r="DH1140" i="489"/>
  <c r="DH1137" i="489"/>
  <c r="DH1146" i="489"/>
  <c r="DH1125" i="489"/>
  <c r="DH1135" i="489"/>
  <c r="DH1155" i="489"/>
  <c r="DH1169" i="489"/>
  <c r="DH1166" i="489"/>
  <c r="DH1163" i="489"/>
  <c r="DH1110" i="489"/>
  <c r="DH1173" i="489"/>
  <c r="DH1128" i="489"/>
  <c r="DH1154" i="489"/>
  <c r="DH1168" i="489"/>
  <c r="DH1165" i="489"/>
  <c r="DH1175" i="489"/>
  <c r="DH1145" i="489"/>
  <c r="DH1153" i="489"/>
  <c r="DH1107" i="489"/>
  <c r="DH1167" i="489"/>
  <c r="DH1164" i="489"/>
  <c r="DH1174" i="489"/>
  <c r="DT1160" i="489"/>
  <c r="DT1161" i="489"/>
  <c r="DT1156" i="489"/>
  <c r="DT1157" i="489"/>
  <c r="DT1158" i="489"/>
  <c r="DT1170" i="489"/>
  <c r="DT1171" i="489"/>
  <c r="DT1159" i="489"/>
  <c r="DT1176" i="489"/>
  <c r="DT1177" i="489"/>
  <c r="DT1129" i="489"/>
  <c r="DT1130" i="489"/>
  <c r="DT1131" i="489"/>
  <c r="DT1132" i="489"/>
  <c r="DT1133" i="489"/>
  <c r="DT1141" i="489"/>
  <c r="DT1142" i="489"/>
  <c r="DT1143" i="489"/>
  <c r="DT1147" i="489"/>
  <c r="DT1148" i="489"/>
  <c r="DT1149" i="489"/>
  <c r="DT1102" i="489"/>
  <c r="DT1103" i="489"/>
  <c r="DT1104" i="489"/>
  <c r="DT1105" i="489"/>
  <c r="DT1113" i="489"/>
  <c r="DT1114" i="489"/>
  <c r="DT1115" i="489"/>
  <c r="DT1119" i="489"/>
  <c r="DT1120" i="489"/>
  <c r="DT1121" i="489"/>
  <c r="DT1086" i="489"/>
  <c r="DT1087" i="489"/>
  <c r="DT1091" i="489"/>
  <c r="DT1092" i="489"/>
  <c r="DT1073" i="489"/>
  <c r="DT1074" i="489"/>
  <c r="DT1075" i="489"/>
  <c r="DT1076" i="489"/>
  <c r="DT1077" i="489"/>
  <c r="DT1093" i="489"/>
  <c r="DT1045" i="489"/>
  <c r="DT1046" i="489"/>
  <c r="DT1047" i="489"/>
  <c r="DT1048" i="489"/>
  <c r="DT1049" i="489"/>
  <c r="DT1044" i="489"/>
  <c r="DT1063" i="489"/>
  <c r="DT1064" i="489"/>
  <c r="DT1065" i="489"/>
  <c r="DT1058" i="489"/>
  <c r="DT1059" i="489"/>
  <c r="DT1016" i="489"/>
  <c r="DT1017" i="489"/>
  <c r="DT1018" i="489"/>
  <c r="DT1019" i="489"/>
  <c r="DT1020" i="489"/>
  <c r="DT1021" i="489"/>
  <c r="DT1030" i="489"/>
  <c r="DT1035" i="489"/>
  <c r="DT1036" i="489"/>
  <c r="DT1037" i="489"/>
  <c r="DT1031" i="489"/>
  <c r="DT1014" i="489"/>
  <c r="DT1013" i="489"/>
  <c r="DT1057" i="489"/>
  <c r="DT1062" i="489"/>
  <c r="DT1071" i="489"/>
  <c r="DT1085" i="489"/>
  <c r="DT1082" i="489"/>
  <c r="DT1079" i="489"/>
  <c r="DT1043" i="489"/>
  <c r="DT1101" i="489"/>
  <c r="DT1098" i="489"/>
  <c r="DT1111" i="489"/>
  <c r="DT1042" i="489"/>
  <c r="DT1023" i="489"/>
  <c r="DT1053" i="489"/>
  <c r="DT1034" i="489"/>
  <c r="DT1026" i="489"/>
  <c r="DT1041" i="489"/>
  <c r="DT1056" i="489"/>
  <c r="DT1033" i="489"/>
  <c r="DT1025" i="489"/>
  <c r="DT1029" i="489"/>
  <c r="DT1024" i="489"/>
  <c r="DT1028" i="489"/>
  <c r="DT1015" i="489"/>
  <c r="DT1054" i="489"/>
  <c r="DT1027" i="489"/>
  <c r="DT1072" i="489"/>
  <c r="DT1083" i="489"/>
  <c r="DT1089" i="489"/>
  <c r="DT1112" i="489"/>
  <c r="DT1061" i="489"/>
  <c r="DT1070" i="489"/>
  <c r="DT1084" i="489"/>
  <c r="DT1081" i="489"/>
  <c r="DT1090" i="489"/>
  <c r="DT1100" i="489"/>
  <c r="DT1097" i="489"/>
  <c r="DT1052" i="489"/>
  <c r="DT1069" i="489"/>
  <c r="DT1055" i="489"/>
  <c r="DT1051" i="489"/>
  <c r="DT1080" i="489"/>
  <c r="DT1099" i="489"/>
  <c r="DT1109" i="489"/>
  <c r="DT1108" i="489"/>
  <c r="DT1117" i="489"/>
  <c r="DT1126" i="489"/>
  <c r="DT1139" i="489"/>
  <c r="DT1136" i="489"/>
  <c r="DT1118" i="489"/>
  <c r="DT1135" i="489"/>
  <c r="DT1155" i="489"/>
  <c r="DT1169" i="489"/>
  <c r="DT1166" i="489"/>
  <c r="DT1163" i="489"/>
  <c r="DT1110" i="489"/>
  <c r="DT1173" i="489"/>
  <c r="DT1128" i="489"/>
  <c r="DT1138" i="489"/>
  <c r="DT1127" i="489"/>
  <c r="DT1140" i="489"/>
  <c r="DT1137" i="489"/>
  <c r="DT1146" i="489"/>
  <c r="DT1154" i="489"/>
  <c r="DT1168" i="489"/>
  <c r="DT1165" i="489"/>
  <c r="DT1175" i="489"/>
  <c r="DT1145" i="489"/>
  <c r="DT1153" i="489"/>
  <c r="DT1107" i="489"/>
  <c r="DT1167" i="489"/>
  <c r="DT1164" i="489"/>
  <c r="DT1174" i="489"/>
  <c r="DT1125" i="489"/>
  <c r="EH1156" i="489"/>
  <c r="EH1157" i="489"/>
  <c r="EH1158" i="489"/>
  <c r="EH1159" i="489"/>
  <c r="EH1160" i="489"/>
  <c r="EH1161" i="489"/>
  <c r="EH1170" i="489"/>
  <c r="EH1171" i="489"/>
  <c r="EH1177" i="489"/>
  <c r="EH1129" i="489"/>
  <c r="EH1176" i="489"/>
  <c r="EH1130" i="489"/>
  <c r="EH1131" i="489"/>
  <c r="EH1132" i="489"/>
  <c r="EH1133" i="489"/>
  <c r="EH1141" i="489"/>
  <c r="EH1142" i="489"/>
  <c r="EH1143" i="489"/>
  <c r="EH1147" i="489"/>
  <c r="EH1148" i="489"/>
  <c r="EH1149" i="489"/>
  <c r="EH1102" i="489"/>
  <c r="EH1103" i="489"/>
  <c r="EH1104" i="489"/>
  <c r="EH1105" i="489"/>
  <c r="EH1113" i="489"/>
  <c r="EH1114" i="489"/>
  <c r="EH1115" i="489"/>
  <c r="EH1119" i="489"/>
  <c r="EH1120" i="489"/>
  <c r="EH1121" i="489"/>
  <c r="EH1073" i="489"/>
  <c r="EH1074" i="489"/>
  <c r="EH1075" i="489"/>
  <c r="EH1076" i="489"/>
  <c r="EH1077" i="489"/>
  <c r="EH1086" i="489"/>
  <c r="EH1087" i="489"/>
  <c r="EH1092" i="489"/>
  <c r="EH1091" i="489"/>
  <c r="EH1093" i="489"/>
  <c r="EH1044" i="489"/>
  <c r="EH1045" i="489"/>
  <c r="EH1046" i="489"/>
  <c r="EH1047" i="489"/>
  <c r="EH1048" i="489"/>
  <c r="EH1049" i="489"/>
  <c r="EH1059" i="489"/>
  <c r="EH1063" i="489"/>
  <c r="EH1064" i="489"/>
  <c r="EH1065" i="489"/>
  <c r="EH1058" i="489"/>
  <c r="EH1016" i="489"/>
  <c r="EH1017" i="489"/>
  <c r="EH1018" i="489"/>
  <c r="EH1019" i="489"/>
  <c r="EH1020" i="489"/>
  <c r="EH1021" i="489"/>
  <c r="EH1035" i="489"/>
  <c r="EH1036" i="489"/>
  <c r="EH1037" i="489"/>
  <c r="EH1030" i="489"/>
  <c r="EH1031" i="489"/>
  <c r="EH1014" i="489"/>
  <c r="EH1042" i="489"/>
  <c r="EH1026" i="489"/>
  <c r="EH1027" i="489"/>
  <c r="EH1034" i="489"/>
  <c r="EH1029" i="489"/>
  <c r="EH1057" i="489"/>
  <c r="EH1013" i="489"/>
  <c r="EH1041" i="489"/>
  <c r="EH1072" i="489"/>
  <c r="EH1025" i="489"/>
  <c r="EH1069" i="489"/>
  <c r="EH1083" i="489"/>
  <c r="EH1015" i="489"/>
  <c r="EH1043" i="489"/>
  <c r="EH1033" i="489"/>
  <c r="EH1028" i="489"/>
  <c r="EH1056" i="489"/>
  <c r="EH1089" i="489"/>
  <c r="EH1023" i="489"/>
  <c r="EH1024" i="489"/>
  <c r="EH1054" i="489"/>
  <c r="EH1112" i="489"/>
  <c r="EH1061" i="489"/>
  <c r="EH1070" i="489"/>
  <c r="EH1084" i="489"/>
  <c r="EH1071" i="489"/>
  <c r="EH1081" i="489"/>
  <c r="EH1062" i="489"/>
  <c r="EH1085" i="489"/>
  <c r="EH1109" i="489"/>
  <c r="EH1052" i="489"/>
  <c r="EH1090" i="489"/>
  <c r="EH1082" i="489"/>
  <c r="EH1118" i="489"/>
  <c r="EH1128" i="489"/>
  <c r="EH1051" i="489"/>
  <c r="EH1100" i="489"/>
  <c r="EH1079" i="489"/>
  <c r="EH1127" i="489"/>
  <c r="EH1097" i="489"/>
  <c r="EH1053" i="489"/>
  <c r="EH1101" i="489"/>
  <c r="EH1140" i="489"/>
  <c r="EH1138" i="489"/>
  <c r="EH1055" i="489"/>
  <c r="EH1110" i="489"/>
  <c r="EH1098" i="489"/>
  <c r="EH1137" i="489"/>
  <c r="EH1111" i="489"/>
  <c r="EH1080" i="489"/>
  <c r="EH1099" i="489"/>
  <c r="EH1154" i="489"/>
  <c r="EH1173" i="489"/>
  <c r="EH1164" i="489"/>
  <c r="EH1125" i="489"/>
  <c r="EH1168" i="489"/>
  <c r="EH1174" i="489"/>
  <c r="EH1108" i="489"/>
  <c r="EH1165" i="489"/>
  <c r="EH1117" i="489"/>
  <c r="EH1175" i="489"/>
  <c r="EH1126" i="489"/>
  <c r="EH1139" i="489"/>
  <c r="EH1107" i="489"/>
  <c r="EH1136" i="489"/>
  <c r="EH1135" i="489"/>
  <c r="EH1155" i="489"/>
  <c r="EH1169" i="489"/>
  <c r="EH1145" i="489"/>
  <c r="EH1166" i="489"/>
  <c r="EH1153" i="489"/>
  <c r="EH1146" i="489"/>
  <c r="EH1163" i="489"/>
  <c r="EH1167" i="489"/>
  <c r="ES1156" i="489"/>
  <c r="ES1157" i="489"/>
  <c r="ES1158" i="489"/>
  <c r="ES1159" i="489"/>
  <c r="ES1160" i="489"/>
  <c r="ES1161" i="489"/>
  <c r="ES1170" i="489"/>
  <c r="ES1171" i="489"/>
  <c r="ES1176" i="489"/>
  <c r="ES1177" i="489"/>
  <c r="ES1129" i="489"/>
  <c r="ES1130" i="489"/>
  <c r="ES1131" i="489"/>
  <c r="ES1132" i="489"/>
  <c r="ES1133" i="489"/>
  <c r="ES1141" i="489"/>
  <c r="ES1142" i="489"/>
  <c r="ES1143" i="489"/>
  <c r="ES1147" i="489"/>
  <c r="ES1148" i="489"/>
  <c r="ES1149" i="489"/>
  <c r="ES1114" i="489"/>
  <c r="ES1115" i="489"/>
  <c r="ES1119" i="489"/>
  <c r="ES1120" i="489"/>
  <c r="ES1121" i="489"/>
  <c r="ES1102" i="489"/>
  <c r="ES1103" i="489"/>
  <c r="ES1104" i="489"/>
  <c r="ES1105" i="489"/>
  <c r="ES1113" i="489"/>
  <c r="ES1073" i="489"/>
  <c r="ES1074" i="489"/>
  <c r="ES1075" i="489"/>
  <c r="ES1076" i="489"/>
  <c r="ES1077" i="489"/>
  <c r="ES1086" i="489"/>
  <c r="ES1087" i="489"/>
  <c r="ES1091" i="489"/>
  <c r="ES1092" i="489"/>
  <c r="ES1093" i="489"/>
  <c r="ES1045" i="489"/>
  <c r="ES1046" i="489"/>
  <c r="ES1047" i="489"/>
  <c r="ES1048" i="489"/>
  <c r="ES1049" i="489"/>
  <c r="ES1044" i="489"/>
  <c r="ES1063" i="489"/>
  <c r="ES1064" i="489"/>
  <c r="ES1065" i="489"/>
  <c r="ES1058" i="489"/>
  <c r="ES1059" i="489"/>
  <c r="ES1016" i="489"/>
  <c r="ES1017" i="489"/>
  <c r="ES1018" i="489"/>
  <c r="ES1019" i="489"/>
  <c r="ES1020" i="489"/>
  <c r="ES1021" i="489"/>
  <c r="ES1035" i="489"/>
  <c r="ES1036" i="489"/>
  <c r="ES1037" i="489"/>
  <c r="ES1031" i="489"/>
  <c r="ES1030" i="489"/>
  <c r="ES1051" i="489"/>
  <c r="ES1072" i="489"/>
  <c r="ES1069" i="489"/>
  <c r="ES1083" i="489"/>
  <c r="ES1080" i="489"/>
  <c r="ES1089" i="489"/>
  <c r="ES1099" i="489"/>
  <c r="ES1112" i="489"/>
  <c r="ES1109" i="489"/>
  <c r="ES1054" i="489"/>
  <c r="ES1055" i="489"/>
  <c r="ES1057" i="489"/>
  <c r="ES1041" i="489"/>
  <c r="ES1043" i="489"/>
  <c r="ES1033" i="489"/>
  <c r="ES1042" i="489"/>
  <c r="ES1023" i="489"/>
  <c r="ES1024" i="489"/>
  <c r="ES1034" i="489"/>
  <c r="ES1026" i="489"/>
  <c r="ES1027" i="489"/>
  <c r="ES1025" i="489"/>
  <c r="ES1029" i="489"/>
  <c r="ES1013" i="489"/>
  <c r="ES1028" i="489"/>
  <c r="ES1015" i="489"/>
  <c r="ES1014" i="489"/>
  <c r="ES1118" i="489"/>
  <c r="ES1127" i="489"/>
  <c r="ES1140" i="489"/>
  <c r="ES1137" i="489"/>
  <c r="ES1146" i="489"/>
  <c r="ES1071" i="489"/>
  <c r="ES1085" i="489"/>
  <c r="ES1082" i="489"/>
  <c r="ES1079" i="489"/>
  <c r="ES1101" i="489"/>
  <c r="ES1098" i="489"/>
  <c r="ES1111" i="489"/>
  <c r="ES1061" i="489"/>
  <c r="ES1070" i="489"/>
  <c r="ES1084" i="489"/>
  <c r="ES1081" i="489"/>
  <c r="ES1090" i="489"/>
  <c r="ES1100" i="489"/>
  <c r="ES1097" i="489"/>
  <c r="ES1110" i="489"/>
  <c r="ES1062" i="489"/>
  <c r="ES1052" i="489"/>
  <c r="ES1053" i="489"/>
  <c r="ES1056" i="489"/>
  <c r="ES1145" i="489"/>
  <c r="ES1153" i="489"/>
  <c r="ES1167" i="489"/>
  <c r="ES1164" i="489"/>
  <c r="ES1174" i="489"/>
  <c r="ES1155" i="489"/>
  <c r="ES1169" i="489"/>
  <c r="ES1166" i="489"/>
  <c r="ES1163" i="489"/>
  <c r="ES1173" i="489"/>
  <c r="ES1128" i="489"/>
  <c r="ES1138" i="489"/>
  <c r="ES1107" i="489"/>
  <c r="ES1125" i="489"/>
  <c r="ES1135" i="489"/>
  <c r="ES1108" i="489"/>
  <c r="ES1117" i="489"/>
  <c r="ES1126" i="489"/>
  <c r="ES1139" i="489"/>
  <c r="ES1136" i="489"/>
  <c r="ES1154" i="489"/>
  <c r="ES1168" i="489"/>
  <c r="ES1165" i="489"/>
  <c r="ES1175" i="489"/>
  <c r="P998" i="489"/>
  <c r="P1160" i="489"/>
  <c r="P1161" i="489"/>
  <c r="P1157" i="489"/>
  <c r="P1158" i="489"/>
  <c r="P1159" i="489"/>
  <c r="P1156" i="489"/>
  <c r="P1170" i="489"/>
  <c r="P1171" i="489"/>
  <c r="P1176" i="489"/>
  <c r="P1177" i="489"/>
  <c r="P1129" i="489"/>
  <c r="P1130" i="489"/>
  <c r="P1131" i="489"/>
  <c r="P1132" i="489"/>
  <c r="P1133" i="489"/>
  <c r="P1141" i="489"/>
  <c r="P1142" i="489"/>
  <c r="P1143" i="489"/>
  <c r="P1147" i="489"/>
  <c r="P1148" i="489"/>
  <c r="P1149" i="489"/>
  <c r="P1103" i="489"/>
  <c r="P1104" i="489"/>
  <c r="P1105" i="489"/>
  <c r="P1113" i="489"/>
  <c r="P1114" i="489"/>
  <c r="P1102" i="489"/>
  <c r="P1115" i="489"/>
  <c r="P1119" i="489"/>
  <c r="P1120" i="489"/>
  <c r="P1121" i="489"/>
  <c r="P1073" i="489"/>
  <c r="P1074" i="489"/>
  <c r="P1075" i="489"/>
  <c r="P1076" i="489"/>
  <c r="P1077" i="489"/>
  <c r="P1086" i="489"/>
  <c r="P1087" i="489"/>
  <c r="P1091" i="489"/>
  <c r="P1092" i="489"/>
  <c r="P1093" i="489"/>
  <c r="P1047" i="489"/>
  <c r="P1048" i="489"/>
  <c r="P1049" i="489"/>
  <c r="P1044" i="489"/>
  <c r="P1045" i="489"/>
  <c r="P1046" i="489"/>
  <c r="P1064" i="489"/>
  <c r="P1065" i="489"/>
  <c r="P1058" i="489"/>
  <c r="P1059" i="489"/>
  <c r="P1063" i="489"/>
  <c r="P1018" i="489"/>
  <c r="P1019" i="489"/>
  <c r="P1020" i="489"/>
  <c r="P1021" i="489"/>
  <c r="P1030" i="489"/>
  <c r="P1016" i="489"/>
  <c r="P1017" i="489"/>
  <c r="P1037" i="489"/>
  <c r="P1031" i="489"/>
  <c r="P1035" i="489"/>
  <c r="P1036" i="489"/>
  <c r="P1043" i="489"/>
  <c r="P1101" i="489"/>
  <c r="P1098" i="489"/>
  <c r="P1111" i="489"/>
  <c r="P1042" i="489"/>
  <c r="P1023" i="489"/>
  <c r="P1034" i="489"/>
  <c r="P1026" i="489"/>
  <c r="P1041" i="489"/>
  <c r="P1056" i="489"/>
  <c r="P1033" i="489"/>
  <c r="P1029" i="489"/>
  <c r="P1051" i="489"/>
  <c r="P1083" i="489"/>
  <c r="P1080" i="489"/>
  <c r="P1089" i="489"/>
  <c r="P1099" i="489"/>
  <c r="P1112" i="489"/>
  <c r="P1109" i="489"/>
  <c r="P1024" i="489"/>
  <c r="P1028" i="489"/>
  <c r="P1015" i="489"/>
  <c r="P1054" i="489"/>
  <c r="P1027" i="489"/>
  <c r="P1013" i="489"/>
  <c r="P1057" i="489"/>
  <c r="P1062" i="489"/>
  <c r="P1071" i="489"/>
  <c r="P1085" i="489"/>
  <c r="P1082" i="489"/>
  <c r="P1079" i="489"/>
  <c r="P1061" i="489"/>
  <c r="P1070" i="489"/>
  <c r="P1084" i="489"/>
  <c r="P1081" i="489"/>
  <c r="P1090" i="489"/>
  <c r="P1100" i="489"/>
  <c r="P1097" i="489"/>
  <c r="P1069" i="489"/>
  <c r="P1052" i="489"/>
  <c r="P1055" i="489"/>
  <c r="P1108" i="489"/>
  <c r="P1117" i="489"/>
  <c r="P1139" i="489"/>
  <c r="P1136" i="489"/>
  <c r="P1118" i="489"/>
  <c r="P1127" i="489"/>
  <c r="P1140" i="489"/>
  <c r="P1072" i="489"/>
  <c r="P1110" i="489"/>
  <c r="P1107" i="489"/>
  <c r="P1128" i="489"/>
  <c r="P1155" i="489"/>
  <c r="P1169" i="489"/>
  <c r="P1166" i="489"/>
  <c r="P1163" i="489"/>
  <c r="P1138" i="489"/>
  <c r="P1173" i="489"/>
  <c r="P1146" i="489"/>
  <c r="P1154" i="489"/>
  <c r="P1168" i="489"/>
  <c r="P1175" i="489"/>
  <c r="P1145" i="489"/>
  <c r="P1125" i="489"/>
  <c r="P1153" i="489"/>
  <c r="P1167" i="489"/>
  <c r="P1164" i="489"/>
  <c r="P1174" i="489"/>
  <c r="P1135" i="489"/>
  <c r="AB1001" i="489"/>
  <c r="AB1160" i="489"/>
  <c r="AB1161" i="489"/>
  <c r="AB1157" i="489"/>
  <c r="AB1158" i="489"/>
  <c r="AB1159" i="489"/>
  <c r="AB1156" i="489"/>
  <c r="AB1170" i="489"/>
  <c r="AB1171" i="489"/>
  <c r="AB1176" i="489"/>
  <c r="AB1177" i="489"/>
  <c r="AB1129" i="489"/>
  <c r="AB1130" i="489"/>
  <c r="AB1131" i="489"/>
  <c r="AB1132" i="489"/>
  <c r="AB1133" i="489"/>
  <c r="AB1141" i="489"/>
  <c r="AB1142" i="489"/>
  <c r="AB1143" i="489"/>
  <c r="AB1147" i="489"/>
  <c r="AB1148" i="489"/>
  <c r="AB1149" i="489"/>
  <c r="AB1102" i="489"/>
  <c r="AB1103" i="489"/>
  <c r="AB1104" i="489"/>
  <c r="AB1105" i="489"/>
  <c r="AB1113" i="489"/>
  <c r="AB1114" i="489"/>
  <c r="AB1115" i="489"/>
  <c r="AB1119" i="489"/>
  <c r="AB1120" i="489"/>
  <c r="AB1121" i="489"/>
  <c r="AB1086" i="489"/>
  <c r="AB1087" i="489"/>
  <c r="AB1091" i="489"/>
  <c r="AB1092" i="489"/>
  <c r="AB1093" i="489"/>
  <c r="AB1073" i="489"/>
  <c r="AB1074" i="489"/>
  <c r="AB1075" i="489"/>
  <c r="AB1076" i="489"/>
  <c r="AB1077" i="489"/>
  <c r="AB1049" i="489"/>
  <c r="AB1044" i="489"/>
  <c r="AB1045" i="489"/>
  <c r="AB1046" i="489"/>
  <c r="AB1047" i="489"/>
  <c r="AB1048" i="489"/>
  <c r="AB1058" i="489"/>
  <c r="AB1059" i="489"/>
  <c r="AB1063" i="489"/>
  <c r="AB1064" i="489"/>
  <c r="AB1065" i="489"/>
  <c r="AB1020" i="489"/>
  <c r="AB1021" i="489"/>
  <c r="AB1030" i="489"/>
  <c r="AB1016" i="489"/>
  <c r="AB1017" i="489"/>
  <c r="AB1018" i="489"/>
  <c r="AB1019" i="489"/>
  <c r="AB1031" i="489"/>
  <c r="AB1035" i="489"/>
  <c r="AB1036" i="489"/>
  <c r="AB1037" i="489"/>
  <c r="AB1042" i="489"/>
  <c r="AB1023" i="489"/>
  <c r="AB1053" i="489"/>
  <c r="AB1026" i="489"/>
  <c r="AB1041" i="489"/>
  <c r="AB1056" i="489"/>
  <c r="AB1033" i="489"/>
  <c r="AB1025" i="489"/>
  <c r="AB1029" i="489"/>
  <c r="AB1024" i="489"/>
  <c r="AB1028" i="489"/>
  <c r="AB1015" i="489"/>
  <c r="AB1054" i="489"/>
  <c r="AB1027" i="489"/>
  <c r="AB1014" i="489"/>
  <c r="AB1013" i="489"/>
  <c r="AB1057" i="489"/>
  <c r="AB1062" i="489"/>
  <c r="AB1071" i="489"/>
  <c r="AB1085" i="489"/>
  <c r="AB1082" i="489"/>
  <c r="AB1079" i="489"/>
  <c r="AB1043" i="489"/>
  <c r="AB1101" i="489"/>
  <c r="AB1098" i="489"/>
  <c r="AB1111" i="489"/>
  <c r="AB1070" i="489"/>
  <c r="AB1084" i="489"/>
  <c r="AB1081" i="489"/>
  <c r="AB1090" i="489"/>
  <c r="AB1100" i="489"/>
  <c r="AB1097" i="489"/>
  <c r="AB1069" i="489"/>
  <c r="AB1052" i="489"/>
  <c r="AB1051" i="489"/>
  <c r="AB1080" i="489"/>
  <c r="AB1099" i="489"/>
  <c r="AB1109" i="489"/>
  <c r="AB1055" i="489"/>
  <c r="AB1108" i="489"/>
  <c r="AB1126" i="489"/>
  <c r="AB1139" i="489"/>
  <c r="AB1136" i="489"/>
  <c r="AB1118" i="489"/>
  <c r="AB1127" i="489"/>
  <c r="AB1140" i="489"/>
  <c r="AB1137" i="489"/>
  <c r="AB1072" i="489"/>
  <c r="AB1083" i="489"/>
  <c r="AB1089" i="489"/>
  <c r="AB1112" i="489"/>
  <c r="AB1061" i="489"/>
  <c r="AB1128" i="489"/>
  <c r="AB1125" i="489"/>
  <c r="AB1138" i="489"/>
  <c r="AB1173" i="489"/>
  <c r="AB1146" i="489"/>
  <c r="AB1154" i="489"/>
  <c r="AB1168" i="489"/>
  <c r="AB1165" i="489"/>
  <c r="AB1175" i="489"/>
  <c r="AB1145" i="489"/>
  <c r="AB1107" i="489"/>
  <c r="AB1153" i="489"/>
  <c r="AB1167" i="489"/>
  <c r="AB1164" i="489"/>
  <c r="AB1174" i="489"/>
  <c r="AB1135" i="489"/>
  <c r="AB1110" i="489"/>
  <c r="AB1155" i="489"/>
  <c r="AB1169" i="489"/>
  <c r="AB1166" i="489"/>
  <c r="AB1163" i="489"/>
  <c r="AO997" i="489"/>
  <c r="AO1156" i="489"/>
  <c r="AO1157" i="489"/>
  <c r="AO1158" i="489"/>
  <c r="AO1159" i="489"/>
  <c r="AO1160" i="489"/>
  <c r="AO1161" i="489"/>
  <c r="AO1170" i="489"/>
  <c r="AO1171" i="489"/>
  <c r="AO1176" i="489"/>
  <c r="AO1177" i="489"/>
  <c r="AO1129" i="489"/>
  <c r="AO1130" i="489"/>
  <c r="AO1131" i="489"/>
  <c r="AO1132" i="489"/>
  <c r="AO1133" i="489"/>
  <c r="AO1141" i="489"/>
  <c r="AO1142" i="489"/>
  <c r="AO1143" i="489"/>
  <c r="AO1147" i="489"/>
  <c r="AO1148" i="489"/>
  <c r="AO1149" i="489"/>
  <c r="AO1102" i="489"/>
  <c r="AO1115" i="489"/>
  <c r="AO1119" i="489"/>
  <c r="AO1120" i="489"/>
  <c r="AO1121" i="489"/>
  <c r="AO1114" i="489"/>
  <c r="AO1113" i="489"/>
  <c r="AO1103" i="489"/>
  <c r="AO1104" i="489"/>
  <c r="AO1105" i="489"/>
  <c r="AO1073" i="489"/>
  <c r="AO1074" i="489"/>
  <c r="AO1075" i="489"/>
  <c r="AO1076" i="489"/>
  <c r="AO1077" i="489"/>
  <c r="AO1086" i="489"/>
  <c r="AO1087" i="489"/>
  <c r="AO1091" i="489"/>
  <c r="AO1092" i="489"/>
  <c r="AO1093" i="489"/>
  <c r="AO1044" i="489"/>
  <c r="AO1045" i="489"/>
  <c r="AO1046" i="489"/>
  <c r="AO1047" i="489"/>
  <c r="AO1048" i="489"/>
  <c r="AO1049" i="489"/>
  <c r="AO1058" i="489"/>
  <c r="AO1059" i="489"/>
  <c r="AO1063" i="489"/>
  <c r="AO1064" i="489"/>
  <c r="AO1065" i="489"/>
  <c r="AO1021" i="489"/>
  <c r="AO1016" i="489"/>
  <c r="AO1017" i="489"/>
  <c r="AO1018" i="489"/>
  <c r="AO1019" i="489"/>
  <c r="AO1020" i="489"/>
  <c r="AO1031" i="489"/>
  <c r="AO1030" i="489"/>
  <c r="AO1035" i="489"/>
  <c r="AO1036" i="489"/>
  <c r="AO1037" i="489"/>
  <c r="AO1072" i="489"/>
  <c r="AO1069" i="489"/>
  <c r="AO1083" i="489"/>
  <c r="AO1080" i="489"/>
  <c r="AO1089" i="489"/>
  <c r="AO1099" i="489"/>
  <c r="AO1112" i="489"/>
  <c r="AO1054" i="489"/>
  <c r="AO1055" i="489"/>
  <c r="AO1057" i="489"/>
  <c r="AO1041" i="489"/>
  <c r="AO1043" i="489"/>
  <c r="AO1033" i="489"/>
  <c r="AO1042" i="489"/>
  <c r="AO1023" i="489"/>
  <c r="AO1024" i="489"/>
  <c r="AO1034" i="489"/>
  <c r="AO1026" i="489"/>
  <c r="AO1027" i="489"/>
  <c r="AO1025" i="489"/>
  <c r="AO1029" i="489"/>
  <c r="AO1013" i="489"/>
  <c r="AO1028" i="489"/>
  <c r="AO1015" i="489"/>
  <c r="AO1014" i="489"/>
  <c r="AO1118" i="489"/>
  <c r="AO1127" i="489"/>
  <c r="AO1140" i="489"/>
  <c r="AO1137" i="489"/>
  <c r="AO1146" i="489"/>
  <c r="AO1071" i="489"/>
  <c r="AO1085" i="489"/>
  <c r="AO1082" i="489"/>
  <c r="AO1101" i="489"/>
  <c r="AO1098" i="489"/>
  <c r="AO1111" i="489"/>
  <c r="AO1109" i="489"/>
  <c r="AO1061" i="489"/>
  <c r="AO1070" i="489"/>
  <c r="AO1084" i="489"/>
  <c r="AO1081" i="489"/>
  <c r="AO1090" i="489"/>
  <c r="AO1100" i="489"/>
  <c r="AO1097" i="489"/>
  <c r="AO1110" i="489"/>
  <c r="AO1062" i="489"/>
  <c r="AO1052" i="489"/>
  <c r="AO1053" i="489"/>
  <c r="AO1056" i="489"/>
  <c r="AO1128" i="489"/>
  <c r="AO1125" i="489"/>
  <c r="AO1138" i="489"/>
  <c r="AO1135" i="489"/>
  <c r="AO1108" i="489"/>
  <c r="AO1117" i="489"/>
  <c r="AO1126" i="489"/>
  <c r="AO1139" i="489"/>
  <c r="AO1136" i="489"/>
  <c r="AO1154" i="489"/>
  <c r="AO1168" i="489"/>
  <c r="AO1165" i="489"/>
  <c r="AO1175" i="489"/>
  <c r="AO1145" i="489"/>
  <c r="AO1153" i="489"/>
  <c r="AO1167" i="489"/>
  <c r="AO1164" i="489"/>
  <c r="AO1174" i="489"/>
  <c r="AO1155" i="489"/>
  <c r="AO1169" i="489"/>
  <c r="AO1166" i="489"/>
  <c r="AO1173" i="489"/>
  <c r="BA1007" i="489"/>
  <c r="BA1156" i="489"/>
  <c r="BA1157" i="489"/>
  <c r="BA1158" i="489"/>
  <c r="BA1159" i="489"/>
  <c r="BA1160" i="489"/>
  <c r="BA1161" i="489"/>
  <c r="BA1170" i="489"/>
  <c r="BA1171" i="489"/>
  <c r="BA1176" i="489"/>
  <c r="BA1177" i="489"/>
  <c r="BA1129" i="489"/>
  <c r="BA1130" i="489"/>
  <c r="BA1131" i="489"/>
  <c r="BA1132" i="489"/>
  <c r="BA1133" i="489"/>
  <c r="BA1141" i="489"/>
  <c r="BA1142" i="489"/>
  <c r="BA1143" i="489"/>
  <c r="BA1147" i="489"/>
  <c r="BA1148" i="489"/>
  <c r="BA1149" i="489"/>
  <c r="BA1102" i="489"/>
  <c r="BA1114" i="489"/>
  <c r="BA1115" i="489"/>
  <c r="BA1119" i="489"/>
  <c r="BA1120" i="489"/>
  <c r="BA1121" i="489"/>
  <c r="BA1103" i="489"/>
  <c r="BA1104" i="489"/>
  <c r="BA1105" i="489"/>
  <c r="BA1113" i="489"/>
  <c r="BA1073" i="489"/>
  <c r="BA1074" i="489"/>
  <c r="BA1075" i="489"/>
  <c r="BA1076" i="489"/>
  <c r="BA1077" i="489"/>
  <c r="BA1086" i="489"/>
  <c r="BA1087" i="489"/>
  <c r="BA1091" i="489"/>
  <c r="BA1092" i="489"/>
  <c r="BA1093" i="489"/>
  <c r="BA1044" i="489"/>
  <c r="BA1045" i="489"/>
  <c r="BA1046" i="489"/>
  <c r="BA1047" i="489"/>
  <c r="BA1048" i="489"/>
  <c r="BA1049" i="489"/>
  <c r="BA1058" i="489"/>
  <c r="BA1059" i="489"/>
  <c r="BA1063" i="489"/>
  <c r="BA1064" i="489"/>
  <c r="BA1065" i="489"/>
  <c r="BA1021" i="489"/>
  <c r="BA1016" i="489"/>
  <c r="BA1017" i="489"/>
  <c r="BA1018" i="489"/>
  <c r="BA1019" i="489"/>
  <c r="BA1020" i="489"/>
  <c r="BA1031" i="489"/>
  <c r="BA1035" i="489"/>
  <c r="BA1036" i="489"/>
  <c r="BA1037" i="489"/>
  <c r="BA1030" i="489"/>
  <c r="BA1054" i="489"/>
  <c r="BA1055" i="489"/>
  <c r="BA1057" i="489"/>
  <c r="BA1041" i="489"/>
  <c r="BA1043" i="489"/>
  <c r="BA1033" i="489"/>
  <c r="BA1042" i="489"/>
  <c r="BA1023" i="489"/>
  <c r="BA1024" i="489"/>
  <c r="BA1034" i="489"/>
  <c r="BA1026" i="489"/>
  <c r="BA1027" i="489"/>
  <c r="BA1025" i="489"/>
  <c r="BA1029" i="489"/>
  <c r="BA1013" i="489"/>
  <c r="BA1028" i="489"/>
  <c r="BA1015" i="489"/>
  <c r="BA1014" i="489"/>
  <c r="BA1051" i="489"/>
  <c r="BA1072" i="489"/>
  <c r="BA1069" i="489"/>
  <c r="BA1083" i="489"/>
  <c r="BA1080" i="489"/>
  <c r="BA1089" i="489"/>
  <c r="BA1099" i="489"/>
  <c r="BA1112" i="489"/>
  <c r="BA1109" i="489"/>
  <c r="BA1118" i="489"/>
  <c r="BA1127" i="489"/>
  <c r="BA1140" i="489"/>
  <c r="BA1137" i="489"/>
  <c r="BA1146" i="489"/>
  <c r="BA1071" i="489"/>
  <c r="BA1085" i="489"/>
  <c r="BA1082" i="489"/>
  <c r="BA1079" i="489"/>
  <c r="BA1101" i="489"/>
  <c r="BA1098" i="489"/>
  <c r="BA1111" i="489"/>
  <c r="BA1061" i="489"/>
  <c r="BA1070" i="489"/>
  <c r="BA1084" i="489"/>
  <c r="BA1081" i="489"/>
  <c r="BA1090" i="489"/>
  <c r="BA1100" i="489"/>
  <c r="BA1097" i="489"/>
  <c r="BA1110" i="489"/>
  <c r="BA1062" i="489"/>
  <c r="BA1052" i="489"/>
  <c r="BA1053" i="489"/>
  <c r="BA1056" i="489"/>
  <c r="BA1125" i="489"/>
  <c r="BA1135" i="489"/>
  <c r="BA1108" i="489"/>
  <c r="BA1117" i="489"/>
  <c r="BA1126" i="489"/>
  <c r="BA1139" i="489"/>
  <c r="BA1136" i="489"/>
  <c r="BA1154" i="489"/>
  <c r="BA1168" i="489"/>
  <c r="BA1165" i="489"/>
  <c r="BA1175" i="489"/>
  <c r="BA1107" i="489"/>
  <c r="BA1145" i="489"/>
  <c r="BA1153" i="489"/>
  <c r="BA1167" i="489"/>
  <c r="BA1164" i="489"/>
  <c r="BA1174" i="489"/>
  <c r="BA1128" i="489"/>
  <c r="BA1138" i="489"/>
  <c r="BA1155" i="489"/>
  <c r="BA1169" i="489"/>
  <c r="BA1166" i="489"/>
  <c r="BA1163" i="489"/>
  <c r="BA1173" i="489"/>
  <c r="BM1006" i="489"/>
  <c r="BM1156" i="489"/>
  <c r="BM1158" i="489"/>
  <c r="BM1161" i="489"/>
  <c r="BM1176" i="489"/>
  <c r="BM1177" i="489"/>
  <c r="BM1129" i="489"/>
  <c r="BM1130" i="489"/>
  <c r="BM1131" i="489"/>
  <c r="BM1132" i="489"/>
  <c r="BM1133" i="489"/>
  <c r="BM1141" i="489"/>
  <c r="BM1142" i="489"/>
  <c r="BM1143" i="489"/>
  <c r="BM1147" i="489"/>
  <c r="BM1148" i="489"/>
  <c r="BM1149" i="489"/>
  <c r="BM1102" i="489"/>
  <c r="BM1114" i="489"/>
  <c r="BM1115" i="489"/>
  <c r="BM1119" i="489"/>
  <c r="BM1120" i="489"/>
  <c r="BM1121" i="489"/>
  <c r="BM1103" i="489"/>
  <c r="BM1104" i="489"/>
  <c r="BM1105" i="489"/>
  <c r="BM1113" i="489"/>
  <c r="BM1073" i="489"/>
  <c r="BM1074" i="489"/>
  <c r="BM1076" i="489"/>
  <c r="BM1077" i="489"/>
  <c r="BM1087" i="489"/>
  <c r="BM1091" i="489"/>
  <c r="BM1092" i="489"/>
  <c r="BM1093" i="489"/>
  <c r="BM1044" i="489"/>
  <c r="BM1048" i="489"/>
  <c r="BM1049" i="489"/>
  <c r="BM1059" i="489"/>
  <c r="BM1063" i="489"/>
  <c r="BM1064" i="489"/>
  <c r="BM1065" i="489"/>
  <c r="BM1021" i="489"/>
  <c r="BM1016" i="489"/>
  <c r="BM1017" i="489"/>
  <c r="BM1018" i="489"/>
  <c r="BM1019" i="489"/>
  <c r="BM1020" i="489"/>
  <c r="BM1030" i="489"/>
  <c r="BM1031" i="489"/>
  <c r="BM1035" i="489"/>
  <c r="BM1036" i="489"/>
  <c r="BM1037" i="489"/>
  <c r="BM1057" i="489"/>
  <c r="BM1041" i="489"/>
  <c r="BM1043" i="489"/>
  <c r="BM1033" i="489"/>
  <c r="BM1042" i="489"/>
  <c r="BM1023" i="489"/>
  <c r="BM1024" i="489"/>
  <c r="BM1034" i="489"/>
  <c r="BM1026" i="489"/>
  <c r="BM1027" i="489"/>
  <c r="BM1025" i="489"/>
  <c r="BM1029" i="489"/>
  <c r="BM1013" i="489"/>
  <c r="BM1028" i="489"/>
  <c r="BM1015" i="489"/>
  <c r="BM1014" i="489"/>
  <c r="BM1051" i="489"/>
  <c r="BM1054" i="489"/>
  <c r="BM1055" i="489"/>
  <c r="BM1072" i="489"/>
  <c r="BM1069" i="489"/>
  <c r="BM1071" i="489"/>
  <c r="BM1085" i="489"/>
  <c r="BM1082" i="489"/>
  <c r="BM1079" i="489"/>
  <c r="BM1101" i="489"/>
  <c r="BM1098" i="489"/>
  <c r="BM1111" i="489"/>
  <c r="BM1070" i="489"/>
  <c r="BM1084" i="489"/>
  <c r="BM1081" i="489"/>
  <c r="BM1090" i="489"/>
  <c r="BM1100" i="489"/>
  <c r="BM1097" i="489"/>
  <c r="BM1110" i="489"/>
  <c r="BM1062" i="489"/>
  <c r="BM1083" i="489"/>
  <c r="BM1089" i="489"/>
  <c r="BM1109" i="489"/>
  <c r="BM1052" i="489"/>
  <c r="BM1053" i="489"/>
  <c r="BM1112" i="489"/>
  <c r="BM1056" i="489"/>
  <c r="BM1107" i="489"/>
  <c r="BM1080" i="489"/>
  <c r="BM1099" i="489"/>
  <c r="BM1118" i="489"/>
  <c r="BM1127" i="489"/>
  <c r="BM1140" i="489"/>
  <c r="BM1137" i="489"/>
  <c r="BM1146" i="489"/>
  <c r="BM1125" i="489"/>
  <c r="BM1135" i="489"/>
  <c r="BM1108" i="489"/>
  <c r="BM1117" i="489"/>
  <c r="BM1126" i="489"/>
  <c r="BM1139" i="489"/>
  <c r="BM1136" i="489"/>
  <c r="BM1154" i="489"/>
  <c r="BM1168" i="489"/>
  <c r="BM1165" i="489"/>
  <c r="BM1175" i="489"/>
  <c r="BM1145" i="489"/>
  <c r="BM1153" i="489"/>
  <c r="BM1167" i="489"/>
  <c r="BM1164" i="489"/>
  <c r="BM1174" i="489"/>
  <c r="BM1128" i="489"/>
  <c r="BM1138" i="489"/>
  <c r="BM1155" i="489"/>
  <c r="BM1169" i="489"/>
  <c r="BM1166" i="489"/>
  <c r="BM1163" i="489"/>
  <c r="BM1173" i="489"/>
  <c r="BY1005" i="489"/>
  <c r="BY1156" i="489"/>
  <c r="BY1157" i="489"/>
  <c r="BY1158" i="489"/>
  <c r="BY1159" i="489"/>
  <c r="BY1160" i="489"/>
  <c r="BY1161" i="489"/>
  <c r="BY1170" i="489"/>
  <c r="BY1171" i="489"/>
  <c r="BY1176" i="489"/>
  <c r="BY1177" i="489"/>
  <c r="BY1129" i="489"/>
  <c r="BY1130" i="489"/>
  <c r="BY1131" i="489"/>
  <c r="BY1132" i="489"/>
  <c r="BY1133" i="489"/>
  <c r="BY1141" i="489"/>
  <c r="BY1142" i="489"/>
  <c r="BY1143" i="489"/>
  <c r="BY1147" i="489"/>
  <c r="BY1148" i="489"/>
  <c r="BY1149" i="489"/>
  <c r="BY1114" i="489"/>
  <c r="BY1115" i="489"/>
  <c r="BY1119" i="489"/>
  <c r="BY1120" i="489"/>
  <c r="BY1121" i="489"/>
  <c r="BY1103" i="489"/>
  <c r="BY1104" i="489"/>
  <c r="BY1105" i="489"/>
  <c r="BY1102" i="489"/>
  <c r="BY1113" i="489"/>
  <c r="BY1073" i="489"/>
  <c r="BY1074" i="489"/>
  <c r="BY1075" i="489"/>
  <c r="BY1076" i="489"/>
  <c r="BY1077" i="489"/>
  <c r="BY1086" i="489"/>
  <c r="BY1087" i="489"/>
  <c r="BY1091" i="489"/>
  <c r="BY1092" i="489"/>
  <c r="BY1093" i="489"/>
  <c r="BY1044" i="489"/>
  <c r="BY1045" i="489"/>
  <c r="BY1046" i="489"/>
  <c r="BY1047" i="489"/>
  <c r="BY1048" i="489"/>
  <c r="BY1049" i="489"/>
  <c r="BY1058" i="489"/>
  <c r="BY1059" i="489"/>
  <c r="BY1063" i="489"/>
  <c r="BY1064" i="489"/>
  <c r="BY1065" i="489"/>
  <c r="BY1030" i="489"/>
  <c r="BY1016" i="489"/>
  <c r="BY1017" i="489"/>
  <c r="BY1018" i="489"/>
  <c r="BY1019" i="489"/>
  <c r="BY1020" i="489"/>
  <c r="BY1021" i="489"/>
  <c r="BY1031" i="489"/>
  <c r="BY1035" i="489"/>
  <c r="BY1036" i="489"/>
  <c r="BY1037" i="489"/>
  <c r="BY1043" i="489"/>
  <c r="BY1033" i="489"/>
  <c r="BY1042" i="489"/>
  <c r="BY1023" i="489"/>
  <c r="BY1024" i="489"/>
  <c r="BY1034" i="489"/>
  <c r="BY1026" i="489"/>
  <c r="BY1027" i="489"/>
  <c r="BY1025" i="489"/>
  <c r="BY1029" i="489"/>
  <c r="BY1013" i="489"/>
  <c r="BY1028" i="489"/>
  <c r="BY1015" i="489"/>
  <c r="BY1014" i="489"/>
  <c r="BY1051" i="489"/>
  <c r="BY1072" i="489"/>
  <c r="BY1069" i="489"/>
  <c r="BY1083" i="489"/>
  <c r="BY1080" i="489"/>
  <c r="BY1089" i="489"/>
  <c r="BY1099" i="489"/>
  <c r="BY1112" i="489"/>
  <c r="BY1109" i="489"/>
  <c r="BY1054" i="489"/>
  <c r="BY1055" i="489"/>
  <c r="BY1057" i="489"/>
  <c r="BY1041" i="489"/>
  <c r="BY1071" i="489"/>
  <c r="BY1085" i="489"/>
  <c r="BY1082" i="489"/>
  <c r="BY1079" i="489"/>
  <c r="BY1101" i="489"/>
  <c r="BY1098" i="489"/>
  <c r="BY1111" i="489"/>
  <c r="BY1061" i="489"/>
  <c r="BY1070" i="489"/>
  <c r="BY1084" i="489"/>
  <c r="BY1081" i="489"/>
  <c r="BY1090" i="489"/>
  <c r="BY1100" i="489"/>
  <c r="BY1097" i="489"/>
  <c r="BY1110" i="489"/>
  <c r="BY1062" i="489"/>
  <c r="BY1052" i="489"/>
  <c r="BY1053" i="489"/>
  <c r="BY1056" i="489"/>
  <c r="BY1118" i="489"/>
  <c r="BY1127" i="489"/>
  <c r="BY1140" i="489"/>
  <c r="BY1137" i="489"/>
  <c r="BY1146" i="489"/>
  <c r="BY1125" i="489"/>
  <c r="BY1135" i="489"/>
  <c r="BY1108" i="489"/>
  <c r="BY1117" i="489"/>
  <c r="BY1126" i="489"/>
  <c r="BY1139" i="489"/>
  <c r="BY1136" i="489"/>
  <c r="BY1154" i="489"/>
  <c r="BY1168" i="489"/>
  <c r="BY1165" i="489"/>
  <c r="BY1175" i="489"/>
  <c r="BY1145" i="489"/>
  <c r="BY1153" i="489"/>
  <c r="BY1167" i="489"/>
  <c r="BY1164" i="489"/>
  <c r="BY1174" i="489"/>
  <c r="BY1107" i="489"/>
  <c r="BY1128" i="489"/>
  <c r="BY1138" i="489"/>
  <c r="BY1155" i="489"/>
  <c r="BY1169" i="489"/>
  <c r="BY1166" i="489"/>
  <c r="BY1163" i="489"/>
  <c r="BY1173" i="489"/>
  <c r="CK1003" i="489"/>
  <c r="CK1156" i="489"/>
  <c r="CK1157" i="489"/>
  <c r="CK1158" i="489"/>
  <c r="CK1159" i="489"/>
  <c r="CK1160" i="489"/>
  <c r="CK1161" i="489"/>
  <c r="CK1170" i="489"/>
  <c r="CK1171" i="489"/>
  <c r="CK1176" i="489"/>
  <c r="CK1177" i="489"/>
  <c r="CK1129" i="489"/>
  <c r="CK1130" i="489"/>
  <c r="CK1131" i="489"/>
  <c r="CK1132" i="489"/>
  <c r="CK1133" i="489"/>
  <c r="CK1141" i="489"/>
  <c r="CK1142" i="489"/>
  <c r="CK1143" i="489"/>
  <c r="CK1147" i="489"/>
  <c r="CK1148" i="489"/>
  <c r="CK1149" i="489"/>
  <c r="CK1114" i="489"/>
  <c r="CK1115" i="489"/>
  <c r="CK1119" i="489"/>
  <c r="CK1120" i="489"/>
  <c r="CK1121" i="489"/>
  <c r="CK1113" i="489"/>
  <c r="CK1102" i="489"/>
  <c r="CK1103" i="489"/>
  <c r="CK1104" i="489"/>
  <c r="CK1105" i="489"/>
  <c r="CK1073" i="489"/>
  <c r="CK1074" i="489"/>
  <c r="CK1075" i="489"/>
  <c r="CK1076" i="489"/>
  <c r="CK1077" i="489"/>
  <c r="CK1086" i="489"/>
  <c r="CK1087" i="489"/>
  <c r="CK1091" i="489"/>
  <c r="CK1092" i="489"/>
  <c r="CK1093" i="489"/>
  <c r="CK1044" i="489"/>
  <c r="CK1045" i="489"/>
  <c r="CK1046" i="489"/>
  <c r="CK1047" i="489"/>
  <c r="CK1048" i="489"/>
  <c r="CK1049" i="489"/>
  <c r="CK1058" i="489"/>
  <c r="CK1059" i="489"/>
  <c r="CK1063" i="489"/>
  <c r="CK1064" i="489"/>
  <c r="CK1065" i="489"/>
  <c r="CK1030" i="489"/>
  <c r="CK1016" i="489"/>
  <c r="CK1017" i="489"/>
  <c r="CK1018" i="489"/>
  <c r="CK1019" i="489"/>
  <c r="CK1020" i="489"/>
  <c r="CK1021" i="489"/>
  <c r="CK1031" i="489"/>
  <c r="CK1035" i="489"/>
  <c r="CK1036" i="489"/>
  <c r="CK1037" i="489"/>
  <c r="CK1023" i="489"/>
  <c r="CK1024" i="489"/>
  <c r="CK1034" i="489"/>
  <c r="CK1026" i="489"/>
  <c r="CK1027" i="489"/>
  <c r="CK1025" i="489"/>
  <c r="CK1029" i="489"/>
  <c r="CK1013" i="489"/>
  <c r="CK1028" i="489"/>
  <c r="CK1015" i="489"/>
  <c r="CK1014" i="489"/>
  <c r="CK1051" i="489"/>
  <c r="CK1054" i="489"/>
  <c r="CK1055" i="489"/>
  <c r="CK1057" i="489"/>
  <c r="CK1041" i="489"/>
  <c r="CK1043" i="489"/>
  <c r="CK1033" i="489"/>
  <c r="CK1042" i="489"/>
  <c r="CK1072" i="489"/>
  <c r="CK1069" i="489"/>
  <c r="CK1071" i="489"/>
  <c r="CK1085" i="489"/>
  <c r="CK1082" i="489"/>
  <c r="CK1079" i="489"/>
  <c r="CK1101" i="489"/>
  <c r="CK1098" i="489"/>
  <c r="CK1111" i="489"/>
  <c r="CK1061" i="489"/>
  <c r="CK1070" i="489"/>
  <c r="CK1084" i="489"/>
  <c r="CK1081" i="489"/>
  <c r="CK1090" i="489"/>
  <c r="CK1100" i="489"/>
  <c r="CK1097" i="489"/>
  <c r="CK1110" i="489"/>
  <c r="CK1062" i="489"/>
  <c r="CK1052" i="489"/>
  <c r="CK1053" i="489"/>
  <c r="CK1083" i="489"/>
  <c r="CK1089" i="489"/>
  <c r="CK1109" i="489"/>
  <c r="CK1056" i="489"/>
  <c r="CK1112" i="489"/>
  <c r="CK1118" i="489"/>
  <c r="CK1127" i="489"/>
  <c r="CK1140" i="489"/>
  <c r="CK1137" i="489"/>
  <c r="CK1146" i="489"/>
  <c r="CK1080" i="489"/>
  <c r="CK1099" i="489"/>
  <c r="CK1125" i="489"/>
  <c r="CK1135" i="489"/>
  <c r="CK1108" i="489"/>
  <c r="CK1117" i="489"/>
  <c r="CK1126" i="489"/>
  <c r="CK1139" i="489"/>
  <c r="CK1136" i="489"/>
  <c r="CK1154" i="489"/>
  <c r="CK1168" i="489"/>
  <c r="CK1165" i="489"/>
  <c r="CK1175" i="489"/>
  <c r="CK1145" i="489"/>
  <c r="CK1153" i="489"/>
  <c r="CK1167" i="489"/>
  <c r="CK1164" i="489"/>
  <c r="CK1174" i="489"/>
  <c r="CK1107" i="489"/>
  <c r="CK1128" i="489"/>
  <c r="CK1138" i="489"/>
  <c r="CK1155" i="489"/>
  <c r="CK1169" i="489"/>
  <c r="CK1166" i="489"/>
  <c r="CK1163" i="489"/>
  <c r="CK1173" i="489"/>
  <c r="CW996" i="489"/>
  <c r="CW1156" i="489"/>
  <c r="CW1157" i="489"/>
  <c r="CW1158" i="489"/>
  <c r="CW1159" i="489"/>
  <c r="CW1160" i="489"/>
  <c r="CW1161" i="489"/>
  <c r="CW1170" i="489"/>
  <c r="CW1171" i="489"/>
  <c r="CW1176" i="489"/>
  <c r="CW1177" i="489"/>
  <c r="CW1129" i="489"/>
  <c r="CW1130" i="489"/>
  <c r="CW1131" i="489"/>
  <c r="CW1132" i="489"/>
  <c r="CW1133" i="489"/>
  <c r="CW1141" i="489"/>
  <c r="CW1142" i="489"/>
  <c r="CW1143" i="489"/>
  <c r="CW1147" i="489"/>
  <c r="CW1148" i="489"/>
  <c r="CW1149" i="489"/>
  <c r="CW1114" i="489"/>
  <c r="CW1115" i="489"/>
  <c r="CW1119" i="489"/>
  <c r="CW1120" i="489"/>
  <c r="CW1121" i="489"/>
  <c r="CW1113" i="489"/>
  <c r="CW1102" i="489"/>
  <c r="CW1103" i="489"/>
  <c r="CW1104" i="489"/>
  <c r="CW1105" i="489"/>
  <c r="CW1073" i="489"/>
  <c r="CW1074" i="489"/>
  <c r="CW1075" i="489"/>
  <c r="CW1076" i="489"/>
  <c r="CW1077" i="489"/>
  <c r="CW1086" i="489"/>
  <c r="CW1087" i="489"/>
  <c r="CW1091" i="489"/>
  <c r="CW1092" i="489"/>
  <c r="CW1093" i="489"/>
  <c r="CW1044" i="489"/>
  <c r="CW1045" i="489"/>
  <c r="CW1046" i="489"/>
  <c r="CW1047" i="489"/>
  <c r="CW1048" i="489"/>
  <c r="CW1049" i="489"/>
  <c r="CW1058" i="489"/>
  <c r="CW1059" i="489"/>
  <c r="CW1063" i="489"/>
  <c r="CW1064" i="489"/>
  <c r="CW1065" i="489"/>
  <c r="CW1030" i="489"/>
  <c r="CW1016" i="489"/>
  <c r="CW1017" i="489"/>
  <c r="CW1018" i="489"/>
  <c r="CW1019" i="489"/>
  <c r="CW1020" i="489"/>
  <c r="CW1021" i="489"/>
  <c r="CW1031" i="489"/>
  <c r="CW1035" i="489"/>
  <c r="CW1036" i="489"/>
  <c r="CW1037" i="489"/>
  <c r="CW1026" i="489"/>
  <c r="CW1027" i="489"/>
  <c r="CW1025" i="489"/>
  <c r="CW1029" i="489"/>
  <c r="CW1013" i="489"/>
  <c r="CW1028" i="489"/>
  <c r="CW1015" i="489"/>
  <c r="CW1014" i="489"/>
  <c r="CW1051" i="489"/>
  <c r="CW1072" i="489"/>
  <c r="CW1069" i="489"/>
  <c r="CW1054" i="489"/>
  <c r="CW1055" i="489"/>
  <c r="CW1057" i="489"/>
  <c r="CW1041" i="489"/>
  <c r="CW1043" i="489"/>
  <c r="CW1033" i="489"/>
  <c r="CW1042" i="489"/>
  <c r="CW1023" i="489"/>
  <c r="CW1024" i="489"/>
  <c r="CW1034" i="489"/>
  <c r="CW1071" i="489"/>
  <c r="CW1085" i="489"/>
  <c r="CW1082" i="489"/>
  <c r="CW1079" i="489"/>
  <c r="CW1101" i="489"/>
  <c r="CW1098" i="489"/>
  <c r="CW1111" i="489"/>
  <c r="CW1061" i="489"/>
  <c r="CW1070" i="489"/>
  <c r="CW1084" i="489"/>
  <c r="CW1081" i="489"/>
  <c r="CW1090" i="489"/>
  <c r="CW1110" i="489"/>
  <c r="CW1062" i="489"/>
  <c r="CW1052" i="489"/>
  <c r="CW1053" i="489"/>
  <c r="CW1083" i="489"/>
  <c r="CW1089" i="489"/>
  <c r="CW1109" i="489"/>
  <c r="CW1056" i="489"/>
  <c r="CW1112" i="489"/>
  <c r="CW1080" i="489"/>
  <c r="CW1099" i="489"/>
  <c r="CW1108" i="489"/>
  <c r="CW1117" i="489"/>
  <c r="CW1126" i="489"/>
  <c r="CW1139" i="489"/>
  <c r="CW1136" i="489"/>
  <c r="CW1140" i="489"/>
  <c r="CW1146" i="489"/>
  <c r="CW1154" i="489"/>
  <c r="CW1168" i="489"/>
  <c r="CW1165" i="489"/>
  <c r="CW1175" i="489"/>
  <c r="CW1145" i="489"/>
  <c r="CW1153" i="489"/>
  <c r="CW1167" i="489"/>
  <c r="CW1164" i="489"/>
  <c r="CW1174" i="489"/>
  <c r="CW1107" i="489"/>
  <c r="CW1128" i="489"/>
  <c r="CW1138" i="489"/>
  <c r="CW1155" i="489"/>
  <c r="CW1169" i="489"/>
  <c r="CW1166" i="489"/>
  <c r="CW1163" i="489"/>
  <c r="CW1173" i="489"/>
  <c r="CW1127" i="489"/>
  <c r="CW1137" i="489"/>
  <c r="CW1125" i="489"/>
  <c r="CW1135" i="489"/>
  <c r="DI1008" i="489"/>
  <c r="DI1156" i="489"/>
  <c r="DI1157" i="489"/>
  <c r="DI1158" i="489"/>
  <c r="DI1159" i="489"/>
  <c r="DI1160" i="489"/>
  <c r="DI1161" i="489"/>
  <c r="DI1170" i="489"/>
  <c r="DI1171" i="489"/>
  <c r="DI1176" i="489"/>
  <c r="DI1177" i="489"/>
  <c r="DI1129" i="489"/>
  <c r="DI1130" i="489"/>
  <c r="DI1131" i="489"/>
  <c r="DI1132" i="489"/>
  <c r="DI1133" i="489"/>
  <c r="DI1141" i="489"/>
  <c r="DI1142" i="489"/>
  <c r="DI1143" i="489"/>
  <c r="DI1147" i="489"/>
  <c r="DI1148" i="489"/>
  <c r="DI1149" i="489"/>
  <c r="DI1113" i="489"/>
  <c r="DI1114" i="489"/>
  <c r="DI1115" i="489"/>
  <c r="DI1119" i="489"/>
  <c r="DI1120" i="489"/>
  <c r="DI1121" i="489"/>
  <c r="DI1102" i="489"/>
  <c r="DI1103" i="489"/>
  <c r="DI1104" i="489"/>
  <c r="DI1105" i="489"/>
  <c r="DI1073" i="489"/>
  <c r="DI1074" i="489"/>
  <c r="DI1075" i="489"/>
  <c r="DI1076" i="489"/>
  <c r="DI1077" i="489"/>
  <c r="DI1086" i="489"/>
  <c r="DI1087" i="489"/>
  <c r="DI1091" i="489"/>
  <c r="DI1092" i="489"/>
  <c r="DI1093" i="489"/>
  <c r="DI1044" i="489"/>
  <c r="DI1045" i="489"/>
  <c r="DI1046" i="489"/>
  <c r="DI1047" i="489"/>
  <c r="DI1048" i="489"/>
  <c r="DI1049" i="489"/>
  <c r="DI1059" i="489"/>
  <c r="DI1063" i="489"/>
  <c r="DI1064" i="489"/>
  <c r="DI1065" i="489"/>
  <c r="DI1058" i="489"/>
  <c r="DI1016" i="489"/>
  <c r="DI1017" i="489"/>
  <c r="DI1018" i="489"/>
  <c r="DI1019" i="489"/>
  <c r="DI1020" i="489"/>
  <c r="DI1021" i="489"/>
  <c r="DI1035" i="489"/>
  <c r="DI1036" i="489"/>
  <c r="DI1037" i="489"/>
  <c r="DI1030" i="489"/>
  <c r="DI1031" i="489"/>
  <c r="DI1029" i="489"/>
  <c r="DI1013" i="489"/>
  <c r="DI1028" i="489"/>
  <c r="DI1015" i="489"/>
  <c r="DI1014" i="489"/>
  <c r="DI1051" i="489"/>
  <c r="DI1072" i="489"/>
  <c r="DI1069" i="489"/>
  <c r="DI1083" i="489"/>
  <c r="DI1080" i="489"/>
  <c r="DI1089" i="489"/>
  <c r="DI1099" i="489"/>
  <c r="DI1054" i="489"/>
  <c r="DI1055" i="489"/>
  <c r="DI1057" i="489"/>
  <c r="DI1041" i="489"/>
  <c r="DI1043" i="489"/>
  <c r="DI1033" i="489"/>
  <c r="DI1042" i="489"/>
  <c r="DI1023" i="489"/>
  <c r="DI1024" i="489"/>
  <c r="DI1034" i="489"/>
  <c r="DI1026" i="489"/>
  <c r="DI1027" i="489"/>
  <c r="DI1025" i="489"/>
  <c r="DI1061" i="489"/>
  <c r="DI1070" i="489"/>
  <c r="DI1084" i="489"/>
  <c r="DI1081" i="489"/>
  <c r="DI1090" i="489"/>
  <c r="DI1100" i="489"/>
  <c r="DI1097" i="489"/>
  <c r="DI1110" i="489"/>
  <c r="DI1062" i="489"/>
  <c r="DI1052" i="489"/>
  <c r="DI1053" i="489"/>
  <c r="DI1109" i="489"/>
  <c r="DI1056" i="489"/>
  <c r="DI1112" i="489"/>
  <c r="DI1107" i="489"/>
  <c r="DI1128" i="489"/>
  <c r="DI1125" i="489"/>
  <c r="DI1138" i="489"/>
  <c r="DI1135" i="489"/>
  <c r="DI1118" i="489"/>
  <c r="DI1127" i="489"/>
  <c r="DI1140" i="489"/>
  <c r="DI1137" i="489"/>
  <c r="DI1146" i="489"/>
  <c r="DI1071" i="489"/>
  <c r="DI1085" i="489"/>
  <c r="DI1082" i="489"/>
  <c r="DI1079" i="489"/>
  <c r="DI1101" i="489"/>
  <c r="DI1098" i="489"/>
  <c r="DI1111" i="489"/>
  <c r="DI1108" i="489"/>
  <c r="DI1117" i="489"/>
  <c r="DI1126" i="489"/>
  <c r="DI1139" i="489"/>
  <c r="DI1136" i="489"/>
  <c r="DI1154" i="489"/>
  <c r="DI1168" i="489"/>
  <c r="DI1165" i="489"/>
  <c r="DI1175" i="489"/>
  <c r="DI1145" i="489"/>
  <c r="DI1153" i="489"/>
  <c r="DI1167" i="489"/>
  <c r="DI1164" i="489"/>
  <c r="DI1174" i="489"/>
  <c r="DI1155" i="489"/>
  <c r="DI1169" i="489"/>
  <c r="DI1166" i="489"/>
  <c r="DI1163" i="489"/>
  <c r="DI1173" i="489"/>
  <c r="DU1005" i="489"/>
  <c r="DU1156" i="489"/>
  <c r="DU1157" i="489"/>
  <c r="DU1158" i="489"/>
  <c r="DU1159" i="489"/>
  <c r="DU1160" i="489"/>
  <c r="DU1161" i="489"/>
  <c r="DU1170" i="489"/>
  <c r="DU1171" i="489"/>
  <c r="DU1176" i="489"/>
  <c r="DU1177" i="489"/>
  <c r="DU1129" i="489"/>
  <c r="DU1130" i="489"/>
  <c r="DU1131" i="489"/>
  <c r="DU1132" i="489"/>
  <c r="DU1133" i="489"/>
  <c r="DU1141" i="489"/>
  <c r="DU1142" i="489"/>
  <c r="DU1143" i="489"/>
  <c r="DU1147" i="489"/>
  <c r="DU1148" i="489"/>
  <c r="DU1149" i="489"/>
  <c r="DU1114" i="489"/>
  <c r="DU1115" i="489"/>
  <c r="DU1119" i="489"/>
  <c r="DU1120" i="489"/>
  <c r="DU1121" i="489"/>
  <c r="DU1102" i="489"/>
  <c r="DU1103" i="489"/>
  <c r="DU1104" i="489"/>
  <c r="DU1105" i="489"/>
  <c r="DU1113" i="489"/>
  <c r="DU1073" i="489"/>
  <c r="DU1074" i="489"/>
  <c r="DU1075" i="489"/>
  <c r="DU1076" i="489"/>
  <c r="DU1077" i="489"/>
  <c r="DU1086" i="489"/>
  <c r="DU1087" i="489"/>
  <c r="DU1091" i="489"/>
  <c r="DU1092" i="489"/>
  <c r="DU1093" i="489"/>
  <c r="DU1044" i="489"/>
  <c r="DU1045" i="489"/>
  <c r="DU1046" i="489"/>
  <c r="DU1047" i="489"/>
  <c r="DU1048" i="489"/>
  <c r="DU1049" i="489"/>
  <c r="DU1059" i="489"/>
  <c r="DU1063" i="489"/>
  <c r="DU1064" i="489"/>
  <c r="DU1065" i="489"/>
  <c r="DU1058" i="489"/>
  <c r="DU1016" i="489"/>
  <c r="DU1017" i="489"/>
  <c r="DU1018" i="489"/>
  <c r="DU1019" i="489"/>
  <c r="DU1020" i="489"/>
  <c r="DU1021" i="489"/>
  <c r="DU1030" i="489"/>
  <c r="DU1035" i="489"/>
  <c r="DU1036" i="489"/>
  <c r="DU1037" i="489"/>
  <c r="DU1031" i="489"/>
  <c r="DU1015" i="489"/>
  <c r="DU1014" i="489"/>
  <c r="DU1051" i="489"/>
  <c r="DU1072" i="489"/>
  <c r="DU1069" i="489"/>
  <c r="DU1083" i="489"/>
  <c r="DU1080" i="489"/>
  <c r="DU1089" i="489"/>
  <c r="DU1099" i="489"/>
  <c r="DU1112" i="489"/>
  <c r="DU1109" i="489"/>
  <c r="DU1054" i="489"/>
  <c r="DU1055" i="489"/>
  <c r="DU1057" i="489"/>
  <c r="DU1041" i="489"/>
  <c r="DU1043" i="489"/>
  <c r="DU1033" i="489"/>
  <c r="DU1042" i="489"/>
  <c r="DU1023" i="489"/>
  <c r="DU1024" i="489"/>
  <c r="DU1034" i="489"/>
  <c r="DU1026" i="489"/>
  <c r="DU1027" i="489"/>
  <c r="DU1025" i="489"/>
  <c r="DU1029" i="489"/>
  <c r="DU1013" i="489"/>
  <c r="DU1028" i="489"/>
  <c r="DU1052" i="489"/>
  <c r="DU1053" i="489"/>
  <c r="DU1056" i="489"/>
  <c r="DU1118" i="489"/>
  <c r="DU1127" i="489"/>
  <c r="DU1140" i="489"/>
  <c r="DU1137" i="489"/>
  <c r="DU1146" i="489"/>
  <c r="DU1071" i="489"/>
  <c r="DU1085" i="489"/>
  <c r="DU1082" i="489"/>
  <c r="DU1079" i="489"/>
  <c r="DU1101" i="489"/>
  <c r="DU1098" i="489"/>
  <c r="DU1111" i="489"/>
  <c r="DU1061" i="489"/>
  <c r="DU1070" i="489"/>
  <c r="DU1084" i="489"/>
  <c r="DU1081" i="489"/>
  <c r="DU1090" i="489"/>
  <c r="DU1100" i="489"/>
  <c r="DU1097" i="489"/>
  <c r="DU1110" i="489"/>
  <c r="DU1062" i="489"/>
  <c r="DU1154" i="489"/>
  <c r="DU1168" i="489"/>
  <c r="DU1165" i="489"/>
  <c r="DU1175" i="489"/>
  <c r="DU1145" i="489"/>
  <c r="DU1153" i="489"/>
  <c r="DU1167" i="489"/>
  <c r="DU1164" i="489"/>
  <c r="DU1174" i="489"/>
  <c r="DU1155" i="489"/>
  <c r="DU1169" i="489"/>
  <c r="DU1166" i="489"/>
  <c r="DU1163" i="489"/>
  <c r="DU1173" i="489"/>
  <c r="DU1107" i="489"/>
  <c r="DU1128" i="489"/>
  <c r="DU1138" i="489"/>
  <c r="DU1125" i="489"/>
  <c r="DU1135" i="489"/>
  <c r="DU1108" i="489"/>
  <c r="DU1117" i="489"/>
  <c r="DU1126" i="489"/>
  <c r="DU1139" i="489"/>
  <c r="DU1136" i="489"/>
  <c r="EI1008" i="489"/>
  <c r="EI1159" i="489"/>
  <c r="EI1160" i="489"/>
  <c r="EI1161" i="489"/>
  <c r="EI1156" i="489"/>
  <c r="EI1158" i="489"/>
  <c r="EI1170" i="489"/>
  <c r="EI1171" i="489"/>
  <c r="EI1157" i="489"/>
  <c r="EI1176" i="489"/>
  <c r="EI1177" i="489"/>
  <c r="EI1129" i="489"/>
  <c r="EI1130" i="489"/>
  <c r="EI1131" i="489"/>
  <c r="EI1132" i="489"/>
  <c r="EI1133" i="489"/>
  <c r="EI1141" i="489"/>
  <c r="EI1142" i="489"/>
  <c r="EI1143" i="489"/>
  <c r="EI1147" i="489"/>
  <c r="EI1148" i="489"/>
  <c r="EI1149" i="489"/>
  <c r="EI1102" i="489"/>
  <c r="EI1103" i="489"/>
  <c r="EI1104" i="489"/>
  <c r="EI1105" i="489"/>
  <c r="EI1113" i="489"/>
  <c r="EI1114" i="489"/>
  <c r="EI1115" i="489"/>
  <c r="EI1119" i="489"/>
  <c r="EI1120" i="489"/>
  <c r="EI1121" i="489"/>
  <c r="EI1073" i="489"/>
  <c r="EI1074" i="489"/>
  <c r="EI1075" i="489"/>
  <c r="EI1076" i="489"/>
  <c r="EI1077" i="489"/>
  <c r="EI1086" i="489"/>
  <c r="EI1087" i="489"/>
  <c r="EI1091" i="489"/>
  <c r="EI1092" i="489"/>
  <c r="EI1093" i="489"/>
  <c r="EI1044" i="489"/>
  <c r="EI1045" i="489"/>
  <c r="EI1046" i="489"/>
  <c r="EI1047" i="489"/>
  <c r="EI1048" i="489"/>
  <c r="EI1049" i="489"/>
  <c r="EI1058" i="489"/>
  <c r="EI1059" i="489"/>
  <c r="EI1063" i="489"/>
  <c r="EI1064" i="489"/>
  <c r="EI1065" i="489"/>
  <c r="EI1016" i="489"/>
  <c r="EI1017" i="489"/>
  <c r="EI1018" i="489"/>
  <c r="EI1019" i="489"/>
  <c r="EI1020" i="489"/>
  <c r="EI1021" i="489"/>
  <c r="EI1030" i="489"/>
  <c r="EI1035" i="489"/>
  <c r="EI1036" i="489"/>
  <c r="EI1037" i="489"/>
  <c r="EI1031" i="489"/>
  <c r="EI1015" i="489"/>
  <c r="EI1023" i="489"/>
  <c r="EI1054" i="489"/>
  <c r="EI1027" i="489"/>
  <c r="EI1041" i="489"/>
  <c r="EI1025" i="489"/>
  <c r="EI1056" i="489"/>
  <c r="EI1051" i="489"/>
  <c r="EI1026" i="489"/>
  <c r="EI1057" i="489"/>
  <c r="EI1013" i="489"/>
  <c r="EI1033" i="489"/>
  <c r="EI1028" i="489"/>
  <c r="EI1042" i="489"/>
  <c r="EI1029" i="489"/>
  <c r="EI1043" i="489"/>
  <c r="EI1024" i="489"/>
  <c r="EI1055" i="489"/>
  <c r="EI1014" i="489"/>
  <c r="EI1034" i="489"/>
  <c r="EI1053" i="489"/>
  <c r="EI1072" i="489"/>
  <c r="EI1069" i="489"/>
  <c r="EI1083" i="489"/>
  <c r="EI1080" i="489"/>
  <c r="EI1089" i="489"/>
  <c r="EI1099" i="489"/>
  <c r="EI1112" i="489"/>
  <c r="EI1109" i="489"/>
  <c r="EI1070" i="489"/>
  <c r="EI1052" i="489"/>
  <c r="EI1118" i="489"/>
  <c r="EI1127" i="489"/>
  <c r="EI1140" i="489"/>
  <c r="EI1137" i="489"/>
  <c r="EI1146" i="489"/>
  <c r="EI1061" i="489"/>
  <c r="EI1084" i="489"/>
  <c r="EI1081" i="489"/>
  <c r="EI1090" i="489"/>
  <c r="EI1100" i="489"/>
  <c r="EI1097" i="489"/>
  <c r="EI1107" i="489"/>
  <c r="EI1128" i="489"/>
  <c r="EI1125" i="489"/>
  <c r="EI1138" i="489"/>
  <c r="EI1135" i="489"/>
  <c r="EI1071" i="489"/>
  <c r="EI1085" i="489"/>
  <c r="EI1082" i="489"/>
  <c r="EI1079" i="489"/>
  <c r="EI1101" i="489"/>
  <c r="EI1098" i="489"/>
  <c r="EI1111" i="489"/>
  <c r="EI1108" i="489"/>
  <c r="EI1062" i="489"/>
  <c r="EI1155" i="489"/>
  <c r="EI1169" i="489"/>
  <c r="EI1166" i="489"/>
  <c r="EI1163" i="489"/>
  <c r="EI1173" i="489"/>
  <c r="EI1117" i="489"/>
  <c r="EI1126" i="489"/>
  <c r="EI1139" i="489"/>
  <c r="EI1136" i="489"/>
  <c r="EI1145" i="489"/>
  <c r="EI1154" i="489"/>
  <c r="EI1168" i="489"/>
  <c r="EI1165" i="489"/>
  <c r="EI1175" i="489"/>
  <c r="EI1153" i="489"/>
  <c r="EI1167" i="489"/>
  <c r="EI1164" i="489"/>
  <c r="EI1174" i="489"/>
  <c r="ET1005" i="489"/>
  <c r="ET1156" i="489"/>
  <c r="ET1157" i="489"/>
  <c r="ET1158" i="489"/>
  <c r="ET1159" i="489"/>
  <c r="ET1160" i="489"/>
  <c r="ET1161" i="489"/>
  <c r="ET1170" i="489"/>
  <c r="ET1171" i="489"/>
  <c r="ET1177" i="489"/>
  <c r="ET1176" i="489"/>
  <c r="ET1130" i="489"/>
  <c r="ET1131" i="489"/>
  <c r="ET1132" i="489"/>
  <c r="ET1133" i="489"/>
  <c r="ET1129" i="489"/>
  <c r="ET1141" i="489"/>
  <c r="ET1142" i="489"/>
  <c r="ET1143" i="489"/>
  <c r="ET1147" i="489"/>
  <c r="ET1148" i="489"/>
  <c r="ET1149" i="489"/>
  <c r="ET1102" i="489"/>
  <c r="ET1103" i="489"/>
  <c r="ET1104" i="489"/>
  <c r="ET1105" i="489"/>
  <c r="ET1113" i="489"/>
  <c r="ET1114" i="489"/>
  <c r="ET1115" i="489"/>
  <c r="ET1119" i="489"/>
  <c r="ET1120" i="489"/>
  <c r="ET1121" i="489"/>
  <c r="ET1073" i="489"/>
  <c r="ET1074" i="489"/>
  <c r="ET1075" i="489"/>
  <c r="ET1076" i="489"/>
  <c r="ET1077" i="489"/>
  <c r="ET1086" i="489"/>
  <c r="ET1087" i="489"/>
  <c r="ET1092" i="489"/>
  <c r="ET1091" i="489"/>
  <c r="ET1093" i="489"/>
  <c r="ET1044" i="489"/>
  <c r="ET1045" i="489"/>
  <c r="ET1046" i="489"/>
  <c r="ET1047" i="489"/>
  <c r="ET1048" i="489"/>
  <c r="ET1049" i="489"/>
  <c r="ET1059" i="489"/>
  <c r="ET1063" i="489"/>
  <c r="ET1064" i="489"/>
  <c r="ET1065" i="489"/>
  <c r="ET1058" i="489"/>
  <c r="ET1016" i="489"/>
  <c r="ET1017" i="489"/>
  <c r="ET1018" i="489"/>
  <c r="ET1019" i="489"/>
  <c r="ET1020" i="489"/>
  <c r="ET1021" i="489"/>
  <c r="ET1030" i="489"/>
  <c r="ET1035" i="489"/>
  <c r="ET1036" i="489"/>
  <c r="ET1037" i="489"/>
  <c r="ET1031" i="489"/>
  <c r="ET1026" i="489"/>
  <c r="ET1027" i="489"/>
  <c r="ET1034" i="489"/>
  <c r="ET1029" i="489"/>
  <c r="ET1057" i="489"/>
  <c r="ET1013" i="489"/>
  <c r="ET1041" i="489"/>
  <c r="ET1072" i="489"/>
  <c r="ET1025" i="489"/>
  <c r="ET1069" i="489"/>
  <c r="ET1083" i="489"/>
  <c r="ET1015" i="489"/>
  <c r="ET1043" i="489"/>
  <c r="ET1033" i="489"/>
  <c r="ET1051" i="489"/>
  <c r="ET1080" i="489"/>
  <c r="ET1028" i="489"/>
  <c r="ET1056" i="489"/>
  <c r="ET1099" i="489"/>
  <c r="ET1023" i="489"/>
  <c r="ET1024" i="489"/>
  <c r="ET1054" i="489"/>
  <c r="ET1014" i="489"/>
  <c r="ET1042" i="489"/>
  <c r="ET1084" i="489"/>
  <c r="ET1071" i="489"/>
  <c r="ET1081" i="489"/>
  <c r="ET1062" i="489"/>
  <c r="ET1085" i="489"/>
  <c r="ET1109" i="489"/>
  <c r="ET1052" i="489"/>
  <c r="ET1090" i="489"/>
  <c r="ET1082" i="489"/>
  <c r="ET1118" i="489"/>
  <c r="ET1100" i="489"/>
  <c r="ET1079" i="489"/>
  <c r="ET1127" i="489"/>
  <c r="ET1125" i="489"/>
  <c r="ET1097" i="489"/>
  <c r="ET1053" i="489"/>
  <c r="ET1101" i="489"/>
  <c r="ET1140" i="489"/>
  <c r="ET1055" i="489"/>
  <c r="ET1110" i="489"/>
  <c r="ET1098" i="489"/>
  <c r="ET1137" i="489"/>
  <c r="ET1135" i="489"/>
  <c r="ET1111" i="489"/>
  <c r="ET1089" i="489"/>
  <c r="ET1112" i="489"/>
  <c r="ET1061" i="489"/>
  <c r="ET1070" i="489"/>
  <c r="ET1168" i="489"/>
  <c r="ET1174" i="489"/>
  <c r="ET1108" i="489"/>
  <c r="ET1165" i="489"/>
  <c r="ET1117" i="489"/>
  <c r="ET1175" i="489"/>
  <c r="ET1128" i="489"/>
  <c r="ET1126" i="489"/>
  <c r="ET1139" i="489"/>
  <c r="ET1107" i="489"/>
  <c r="ET1136" i="489"/>
  <c r="ET1155" i="489"/>
  <c r="ET1169" i="489"/>
  <c r="ET1145" i="489"/>
  <c r="ET1166" i="489"/>
  <c r="ET1153" i="489"/>
  <c r="ET1138" i="489"/>
  <c r="ET1146" i="489"/>
  <c r="ET1163" i="489"/>
  <c r="ET1167" i="489"/>
  <c r="ET1154" i="489"/>
  <c r="ET1173" i="489"/>
  <c r="ET1164" i="489"/>
  <c r="Q1156" i="489"/>
  <c r="Q1157" i="489"/>
  <c r="Q1158" i="489"/>
  <c r="Q1159" i="489"/>
  <c r="Q1160" i="489"/>
  <c r="Q1161" i="489"/>
  <c r="Q1170" i="489"/>
  <c r="Q1171" i="489"/>
  <c r="Q1176" i="489"/>
  <c r="Q1177" i="489"/>
  <c r="Q1129" i="489"/>
  <c r="Q1130" i="489"/>
  <c r="Q1131" i="489"/>
  <c r="Q1132" i="489"/>
  <c r="Q1133" i="489"/>
  <c r="Q1141" i="489"/>
  <c r="Q1142" i="489"/>
  <c r="Q1143" i="489"/>
  <c r="Q1147" i="489"/>
  <c r="Q1148" i="489"/>
  <c r="Q1149" i="489"/>
  <c r="Q1102" i="489"/>
  <c r="Q1114" i="489"/>
  <c r="Q1115" i="489"/>
  <c r="Q1119" i="489"/>
  <c r="Q1120" i="489"/>
  <c r="Q1121" i="489"/>
  <c r="Q1103" i="489"/>
  <c r="Q1104" i="489"/>
  <c r="Q1105" i="489"/>
  <c r="Q1113" i="489"/>
  <c r="Q1073" i="489"/>
  <c r="Q1074" i="489"/>
  <c r="Q1075" i="489"/>
  <c r="Q1076" i="489"/>
  <c r="Q1077" i="489"/>
  <c r="Q1086" i="489"/>
  <c r="Q1087" i="489"/>
  <c r="Q1091" i="489"/>
  <c r="Q1092" i="489"/>
  <c r="Q1093" i="489"/>
  <c r="Q1046" i="489"/>
  <c r="Q1047" i="489"/>
  <c r="Q1048" i="489"/>
  <c r="Q1049" i="489"/>
  <c r="Q1044" i="489"/>
  <c r="Q1045" i="489"/>
  <c r="Q1063" i="489"/>
  <c r="Q1064" i="489"/>
  <c r="Q1065" i="489"/>
  <c r="Q1058" i="489"/>
  <c r="Q1059" i="489"/>
  <c r="Q1017" i="489"/>
  <c r="Q1018" i="489"/>
  <c r="Q1019" i="489"/>
  <c r="Q1020" i="489"/>
  <c r="Q1021" i="489"/>
  <c r="Q1030" i="489"/>
  <c r="Q1016" i="489"/>
  <c r="Q1036" i="489"/>
  <c r="Q1037" i="489"/>
  <c r="Q1031" i="489"/>
  <c r="Q1035" i="489"/>
  <c r="Q1051" i="489"/>
  <c r="Q1054" i="489"/>
  <c r="Q1055" i="489"/>
  <c r="Q1057" i="489"/>
  <c r="Q1041" i="489"/>
  <c r="Q1043" i="489"/>
  <c r="Q1033" i="489"/>
  <c r="Q1042" i="489"/>
  <c r="Q1023" i="489"/>
  <c r="Q1024" i="489"/>
  <c r="Q1034" i="489"/>
  <c r="Q1026" i="489"/>
  <c r="Q1027" i="489"/>
  <c r="Q1025" i="489"/>
  <c r="Q1029" i="489"/>
  <c r="Q1013" i="489"/>
  <c r="Q1028" i="489"/>
  <c r="Q1015" i="489"/>
  <c r="Q1014" i="489"/>
  <c r="Q1080" i="489"/>
  <c r="Q1099" i="489"/>
  <c r="Q1072" i="489"/>
  <c r="Q1069" i="489"/>
  <c r="Q1118" i="489"/>
  <c r="Q1127" i="489"/>
  <c r="Q1140" i="489"/>
  <c r="Q1137" i="489"/>
  <c r="Q1146" i="489"/>
  <c r="Q1083" i="489"/>
  <c r="Q1089" i="489"/>
  <c r="Q1071" i="489"/>
  <c r="Q1085" i="489"/>
  <c r="Q1082" i="489"/>
  <c r="Q1079" i="489"/>
  <c r="Q1101" i="489"/>
  <c r="Q1098" i="489"/>
  <c r="Q1112" i="489"/>
  <c r="Q1109" i="489"/>
  <c r="Q1061" i="489"/>
  <c r="Q1070" i="489"/>
  <c r="Q1084" i="489"/>
  <c r="Q1081" i="489"/>
  <c r="Q1090" i="489"/>
  <c r="Q1100" i="489"/>
  <c r="Q1097" i="489"/>
  <c r="Q1110" i="489"/>
  <c r="Q1062" i="489"/>
  <c r="Q1052" i="489"/>
  <c r="Q1053" i="489"/>
  <c r="Q1056" i="489"/>
  <c r="Q1155" i="489"/>
  <c r="Q1169" i="489"/>
  <c r="Q1166" i="489"/>
  <c r="Q1163" i="489"/>
  <c r="Q1173" i="489"/>
  <c r="Q1125" i="489"/>
  <c r="Q1135" i="489"/>
  <c r="Q1111" i="489"/>
  <c r="Q1108" i="489"/>
  <c r="Q1117" i="489"/>
  <c r="Q1126" i="489"/>
  <c r="Q1139" i="489"/>
  <c r="Q1136" i="489"/>
  <c r="Q1107" i="489"/>
  <c r="Q1154" i="489"/>
  <c r="Q1168" i="489"/>
  <c r="Q1165" i="489"/>
  <c r="Q1175" i="489"/>
  <c r="Q1128" i="489"/>
  <c r="Q1138" i="489"/>
  <c r="Q1145" i="489"/>
  <c r="Q1153" i="489"/>
  <c r="Q1167" i="489"/>
  <c r="Q1164" i="489"/>
  <c r="Q1174" i="489"/>
  <c r="AC1157" i="489"/>
  <c r="AC1159" i="489"/>
  <c r="AC1160" i="489"/>
  <c r="AC1161" i="489"/>
  <c r="AC1170" i="489"/>
  <c r="AC1171" i="489"/>
  <c r="AC1176" i="489"/>
  <c r="AC1177" i="489"/>
  <c r="AC1129" i="489"/>
  <c r="AC1130" i="489"/>
  <c r="AC1131" i="489"/>
  <c r="AC1132" i="489"/>
  <c r="AC1133" i="489"/>
  <c r="AC1141" i="489"/>
  <c r="AC1142" i="489"/>
  <c r="AC1143" i="489"/>
  <c r="AC1147" i="489"/>
  <c r="AC1148" i="489"/>
  <c r="AC1149" i="489"/>
  <c r="AC1102" i="489"/>
  <c r="AC1115" i="489"/>
  <c r="AC1119" i="489"/>
  <c r="AC1120" i="489"/>
  <c r="AC1121" i="489"/>
  <c r="AC1114" i="489"/>
  <c r="AC1103" i="489"/>
  <c r="AC1105" i="489"/>
  <c r="AC1073" i="489"/>
  <c r="AC1074" i="489"/>
  <c r="AC1075" i="489"/>
  <c r="AC1076" i="489"/>
  <c r="AC1077" i="489"/>
  <c r="AC1086" i="489"/>
  <c r="AC1087" i="489"/>
  <c r="AC1091" i="489"/>
  <c r="AC1092" i="489"/>
  <c r="AC1093" i="489"/>
  <c r="AC1048" i="489"/>
  <c r="AC1049" i="489"/>
  <c r="AC1044" i="489"/>
  <c r="AC1045" i="489"/>
  <c r="AC1046" i="489"/>
  <c r="AC1047" i="489"/>
  <c r="AC1065" i="489"/>
  <c r="AC1058" i="489"/>
  <c r="AC1059" i="489"/>
  <c r="AC1063" i="489"/>
  <c r="AC1064" i="489"/>
  <c r="AC1019" i="489"/>
  <c r="AC1020" i="489"/>
  <c r="AC1021" i="489"/>
  <c r="AC1030" i="489"/>
  <c r="AC1016" i="489"/>
  <c r="AC1017" i="489"/>
  <c r="AC1018" i="489"/>
  <c r="AC1031" i="489"/>
  <c r="AC1035" i="489"/>
  <c r="AC1036" i="489"/>
  <c r="AC1037" i="489"/>
  <c r="AC1051" i="489"/>
  <c r="AC1072" i="489"/>
  <c r="AC1069" i="489"/>
  <c r="AC1054" i="489"/>
  <c r="AC1055" i="489"/>
  <c r="AC1057" i="489"/>
  <c r="AC1041" i="489"/>
  <c r="AC1043" i="489"/>
  <c r="AC1033" i="489"/>
  <c r="AC1042" i="489"/>
  <c r="AC1023" i="489"/>
  <c r="AC1024" i="489"/>
  <c r="AC1034" i="489"/>
  <c r="AC1026" i="489"/>
  <c r="AC1027" i="489"/>
  <c r="AC1025" i="489"/>
  <c r="AC1029" i="489"/>
  <c r="AC1013" i="489"/>
  <c r="AC1028" i="489"/>
  <c r="AC1015" i="489"/>
  <c r="AC1014" i="489"/>
  <c r="AC1080" i="489"/>
  <c r="AC1099" i="489"/>
  <c r="AC1107" i="489"/>
  <c r="AC1083" i="489"/>
  <c r="AC1089" i="489"/>
  <c r="AC1071" i="489"/>
  <c r="AC1085" i="489"/>
  <c r="AC1082" i="489"/>
  <c r="AC1079" i="489"/>
  <c r="AC1101" i="489"/>
  <c r="AC1098" i="489"/>
  <c r="AC1111" i="489"/>
  <c r="AC1112" i="489"/>
  <c r="AC1109" i="489"/>
  <c r="AC1061" i="489"/>
  <c r="AC1070" i="489"/>
  <c r="AC1084" i="489"/>
  <c r="AC1081" i="489"/>
  <c r="AC1090" i="489"/>
  <c r="AC1100" i="489"/>
  <c r="AC1097" i="489"/>
  <c r="AC1110" i="489"/>
  <c r="AC1062" i="489"/>
  <c r="AC1052" i="489"/>
  <c r="AC1053" i="489"/>
  <c r="AC1056" i="489"/>
  <c r="AC1118" i="489"/>
  <c r="AC1140" i="489"/>
  <c r="AC1146" i="489"/>
  <c r="AC1125" i="489"/>
  <c r="AC1135" i="489"/>
  <c r="AC1108" i="489"/>
  <c r="AC1117" i="489"/>
  <c r="AC1126" i="489"/>
  <c r="AC1139" i="489"/>
  <c r="AC1136" i="489"/>
  <c r="AC1127" i="489"/>
  <c r="AC1137" i="489"/>
  <c r="AC1154" i="489"/>
  <c r="AC1168" i="489"/>
  <c r="AC1165" i="489"/>
  <c r="AC1175" i="489"/>
  <c r="AC1128" i="489"/>
  <c r="AC1138" i="489"/>
  <c r="AC1145" i="489"/>
  <c r="AC1153" i="489"/>
  <c r="AC1167" i="489"/>
  <c r="AC1164" i="489"/>
  <c r="AC1174" i="489"/>
  <c r="AC1169" i="489"/>
  <c r="AC1166" i="489"/>
  <c r="AC1163" i="489"/>
  <c r="AC1173" i="489"/>
  <c r="AP1156" i="489"/>
  <c r="AP1157" i="489"/>
  <c r="AP1158" i="489"/>
  <c r="AP1159" i="489"/>
  <c r="AP1160" i="489"/>
  <c r="AP1161" i="489"/>
  <c r="AP1170" i="489"/>
  <c r="AP1171" i="489"/>
  <c r="AP1129" i="489"/>
  <c r="AP1130" i="489"/>
  <c r="AP1131" i="489"/>
  <c r="AP1132" i="489"/>
  <c r="AP1133" i="489"/>
  <c r="AP1177" i="489"/>
  <c r="AP1176" i="489"/>
  <c r="AP1141" i="489"/>
  <c r="AP1142" i="489"/>
  <c r="AP1143" i="489"/>
  <c r="AP1147" i="489"/>
  <c r="AP1148" i="489"/>
  <c r="AP1149" i="489"/>
  <c r="AP1102" i="489"/>
  <c r="AP1103" i="489"/>
  <c r="AP1104" i="489"/>
  <c r="AP1105" i="489"/>
  <c r="AP1113" i="489"/>
  <c r="AP1114" i="489"/>
  <c r="AP1115" i="489"/>
  <c r="AP1119" i="489"/>
  <c r="AP1120" i="489"/>
  <c r="AP1121" i="489"/>
  <c r="AP1073" i="489"/>
  <c r="AP1074" i="489"/>
  <c r="AP1075" i="489"/>
  <c r="AP1076" i="489"/>
  <c r="AP1077" i="489"/>
  <c r="AP1086" i="489"/>
  <c r="AP1087" i="489"/>
  <c r="AP1093" i="489"/>
  <c r="AP1091" i="489"/>
  <c r="AP1092" i="489"/>
  <c r="AP1049" i="489"/>
  <c r="AP1044" i="489"/>
  <c r="AP1045" i="489"/>
  <c r="AP1046" i="489"/>
  <c r="AP1047" i="489"/>
  <c r="AP1048" i="489"/>
  <c r="AP1058" i="489"/>
  <c r="AP1059" i="489"/>
  <c r="AP1063" i="489"/>
  <c r="AP1064" i="489"/>
  <c r="AP1065" i="489"/>
  <c r="AP1020" i="489"/>
  <c r="AP1021" i="489"/>
  <c r="AP1030" i="489"/>
  <c r="AP1016" i="489"/>
  <c r="AP1017" i="489"/>
  <c r="AP1018" i="489"/>
  <c r="AP1019" i="489"/>
  <c r="AP1031" i="489"/>
  <c r="AP1035" i="489"/>
  <c r="AP1036" i="489"/>
  <c r="AP1037" i="489"/>
  <c r="AP1029" i="489"/>
  <c r="AP1013" i="489"/>
  <c r="AP1041" i="489"/>
  <c r="AP1025" i="489"/>
  <c r="AP1072" i="489"/>
  <c r="AP1015" i="489"/>
  <c r="AP1043" i="489"/>
  <c r="AP1033" i="489"/>
  <c r="AP1051" i="489"/>
  <c r="AP1083" i="489"/>
  <c r="AP1028" i="489"/>
  <c r="AP1089" i="489"/>
  <c r="AP1023" i="489"/>
  <c r="AP1024" i="489"/>
  <c r="AP1054" i="489"/>
  <c r="AP1099" i="489"/>
  <c r="AP1014" i="489"/>
  <c r="AP1042" i="489"/>
  <c r="AP1112" i="489"/>
  <c r="AP1026" i="489"/>
  <c r="AP1027" i="489"/>
  <c r="AP1057" i="489"/>
  <c r="AP1034" i="489"/>
  <c r="AP1100" i="489"/>
  <c r="AP1053" i="489"/>
  <c r="AP1079" i="489"/>
  <c r="AP1127" i="489"/>
  <c r="AP1125" i="489"/>
  <c r="AP1055" i="489"/>
  <c r="AP1097" i="489"/>
  <c r="AP1101" i="489"/>
  <c r="AP1140" i="489"/>
  <c r="AP1098" i="489"/>
  <c r="AP1137" i="489"/>
  <c r="AP1056" i="489"/>
  <c r="AP1111" i="489"/>
  <c r="AP1061" i="489"/>
  <c r="AP1070" i="489"/>
  <c r="AP1084" i="489"/>
  <c r="AP1062" i="489"/>
  <c r="AP1071" i="489"/>
  <c r="AP1110" i="489"/>
  <c r="AP1069" i="489"/>
  <c r="AP1052" i="489"/>
  <c r="AP1081" i="489"/>
  <c r="AP1085" i="489"/>
  <c r="AP1109" i="489"/>
  <c r="AP1080" i="489"/>
  <c r="AP1090" i="489"/>
  <c r="AP1082" i="489"/>
  <c r="AP1118" i="489"/>
  <c r="AP1128" i="489"/>
  <c r="AP1126" i="489"/>
  <c r="AP1135" i="489"/>
  <c r="AP1139" i="489"/>
  <c r="AP1136" i="489"/>
  <c r="AP1138" i="489"/>
  <c r="AP1155" i="489"/>
  <c r="AP1169" i="489"/>
  <c r="AP1145" i="489"/>
  <c r="AP1166" i="489"/>
  <c r="AP1153" i="489"/>
  <c r="AP1146" i="489"/>
  <c r="AP1163" i="489"/>
  <c r="AP1167" i="489"/>
  <c r="AP1154" i="489"/>
  <c r="AP1173" i="489"/>
  <c r="AP1164" i="489"/>
  <c r="AP1168" i="489"/>
  <c r="AP1174" i="489"/>
  <c r="AP1108" i="489"/>
  <c r="AP1165" i="489"/>
  <c r="AP1107" i="489"/>
  <c r="AP1117" i="489"/>
  <c r="AP1175" i="489"/>
  <c r="BB1156" i="489"/>
  <c r="BB1157" i="489"/>
  <c r="BB1158" i="489"/>
  <c r="BB1159" i="489"/>
  <c r="BB1160" i="489"/>
  <c r="BB1161" i="489"/>
  <c r="BB1170" i="489"/>
  <c r="BB1171" i="489"/>
  <c r="BB1129" i="489"/>
  <c r="BB1130" i="489"/>
  <c r="BB1131" i="489"/>
  <c r="BB1132" i="489"/>
  <c r="BB1133" i="489"/>
  <c r="BB1177" i="489"/>
  <c r="BB1141" i="489"/>
  <c r="BB1142" i="489"/>
  <c r="BB1143" i="489"/>
  <c r="BB1147" i="489"/>
  <c r="BB1148" i="489"/>
  <c r="BB1176" i="489"/>
  <c r="BB1149" i="489"/>
  <c r="BB1102" i="489"/>
  <c r="BB1103" i="489"/>
  <c r="BB1104" i="489"/>
  <c r="BB1105" i="489"/>
  <c r="BB1113" i="489"/>
  <c r="BB1114" i="489"/>
  <c r="BB1115" i="489"/>
  <c r="BB1119" i="489"/>
  <c r="BB1120" i="489"/>
  <c r="BB1121" i="489"/>
  <c r="BB1073" i="489"/>
  <c r="BB1074" i="489"/>
  <c r="BB1075" i="489"/>
  <c r="BB1076" i="489"/>
  <c r="BB1077" i="489"/>
  <c r="BB1086" i="489"/>
  <c r="BB1087" i="489"/>
  <c r="BB1092" i="489"/>
  <c r="BB1091" i="489"/>
  <c r="BB1093" i="489"/>
  <c r="BB1049" i="489"/>
  <c r="BB1044" i="489"/>
  <c r="BB1045" i="489"/>
  <c r="BB1046" i="489"/>
  <c r="BB1047" i="489"/>
  <c r="BB1048" i="489"/>
  <c r="BB1058" i="489"/>
  <c r="BB1059" i="489"/>
  <c r="BB1063" i="489"/>
  <c r="BB1064" i="489"/>
  <c r="BB1065" i="489"/>
  <c r="BB1020" i="489"/>
  <c r="BB1021" i="489"/>
  <c r="BB1030" i="489"/>
  <c r="BB1016" i="489"/>
  <c r="BB1017" i="489"/>
  <c r="BB1018" i="489"/>
  <c r="BB1019" i="489"/>
  <c r="BB1031" i="489"/>
  <c r="BB1035" i="489"/>
  <c r="BB1036" i="489"/>
  <c r="BB1037" i="489"/>
  <c r="BB1025" i="489"/>
  <c r="BB1072" i="489"/>
  <c r="BB1069" i="489"/>
  <c r="BB1015" i="489"/>
  <c r="BB1043" i="489"/>
  <c r="BB1033" i="489"/>
  <c r="BB1028" i="489"/>
  <c r="BB1080" i="489"/>
  <c r="BB1023" i="489"/>
  <c r="BB1024" i="489"/>
  <c r="BB1054" i="489"/>
  <c r="BB1099" i="489"/>
  <c r="BB1014" i="489"/>
  <c r="BB1042" i="489"/>
  <c r="BB1112" i="489"/>
  <c r="BB1026" i="489"/>
  <c r="BB1027" i="489"/>
  <c r="BB1034" i="489"/>
  <c r="BB1029" i="489"/>
  <c r="BB1013" i="489"/>
  <c r="BB1041" i="489"/>
  <c r="BB1055" i="489"/>
  <c r="BB1097" i="489"/>
  <c r="BB1101" i="489"/>
  <c r="BB1140" i="489"/>
  <c r="BB1138" i="489"/>
  <c r="BB1098" i="489"/>
  <c r="BB1137" i="489"/>
  <c r="BB1056" i="489"/>
  <c r="BB1111" i="489"/>
  <c r="BB1051" i="489"/>
  <c r="BB1057" i="489"/>
  <c r="BB1061" i="489"/>
  <c r="BB1070" i="489"/>
  <c r="BB1084" i="489"/>
  <c r="BB1062" i="489"/>
  <c r="BB1071" i="489"/>
  <c r="BB1052" i="489"/>
  <c r="BB1081" i="489"/>
  <c r="BB1085" i="489"/>
  <c r="BB1109" i="489"/>
  <c r="BB1107" i="489"/>
  <c r="BB1083" i="489"/>
  <c r="BB1090" i="489"/>
  <c r="BB1082" i="489"/>
  <c r="BB1118" i="489"/>
  <c r="BB1089" i="489"/>
  <c r="BB1100" i="489"/>
  <c r="BB1053" i="489"/>
  <c r="BB1079" i="489"/>
  <c r="BB1127" i="489"/>
  <c r="BB1125" i="489"/>
  <c r="BB1135" i="489"/>
  <c r="BB1139" i="489"/>
  <c r="BB1110" i="489"/>
  <c r="BB1136" i="489"/>
  <c r="BB1155" i="489"/>
  <c r="BB1169" i="489"/>
  <c r="BB1145" i="489"/>
  <c r="BB1166" i="489"/>
  <c r="BB1153" i="489"/>
  <c r="BB1146" i="489"/>
  <c r="BB1163" i="489"/>
  <c r="BB1167" i="489"/>
  <c r="BB1154" i="489"/>
  <c r="BB1173" i="489"/>
  <c r="BB1164" i="489"/>
  <c r="BB1128" i="489"/>
  <c r="BB1168" i="489"/>
  <c r="BB1174" i="489"/>
  <c r="BB1108" i="489"/>
  <c r="BB1165" i="489"/>
  <c r="BB1117" i="489"/>
  <c r="BB1175" i="489"/>
  <c r="BB1126" i="489"/>
  <c r="BN1156" i="489"/>
  <c r="BN1157" i="489"/>
  <c r="BN1158" i="489"/>
  <c r="BN1159" i="489"/>
  <c r="BN1160" i="489"/>
  <c r="BN1161" i="489"/>
  <c r="BN1170" i="489"/>
  <c r="BN1171" i="489"/>
  <c r="BN1176" i="489"/>
  <c r="BN1177" i="489"/>
  <c r="BN1129" i="489"/>
  <c r="BN1132" i="489"/>
  <c r="BN1133" i="489"/>
  <c r="BN1141" i="489"/>
  <c r="BN1147" i="489"/>
  <c r="BN1148" i="489"/>
  <c r="BN1149" i="489"/>
  <c r="BN1102" i="489"/>
  <c r="BN1103" i="489"/>
  <c r="BN1104" i="489"/>
  <c r="BN1105" i="489"/>
  <c r="BN1113" i="489"/>
  <c r="BN1114" i="489"/>
  <c r="BN1115" i="489"/>
  <c r="BN1119" i="489"/>
  <c r="BN1120" i="489"/>
  <c r="BN1121" i="489"/>
  <c r="BN1073" i="489"/>
  <c r="BN1074" i="489"/>
  <c r="BN1075" i="489"/>
  <c r="BN1076" i="489"/>
  <c r="BN1077" i="489"/>
  <c r="BN1086" i="489"/>
  <c r="BN1087" i="489"/>
  <c r="BN1093" i="489"/>
  <c r="BN1091" i="489"/>
  <c r="BN1092" i="489"/>
  <c r="BN1049" i="489"/>
  <c r="BN1044" i="489"/>
  <c r="BN1045" i="489"/>
  <c r="BN1046" i="489"/>
  <c r="BN1047" i="489"/>
  <c r="BN1048" i="489"/>
  <c r="BN1058" i="489"/>
  <c r="BN1059" i="489"/>
  <c r="BN1063" i="489"/>
  <c r="BN1064" i="489"/>
  <c r="BN1065" i="489"/>
  <c r="BN1020" i="489"/>
  <c r="BN1021" i="489"/>
  <c r="BN1016" i="489"/>
  <c r="BN1017" i="489"/>
  <c r="BN1031" i="489"/>
  <c r="BN1035" i="489"/>
  <c r="BN1036" i="489"/>
  <c r="BN1037" i="489"/>
  <c r="BN1069" i="489"/>
  <c r="BN1015" i="489"/>
  <c r="BN1043" i="489"/>
  <c r="BN1033" i="489"/>
  <c r="BN1051" i="489"/>
  <c r="BN1083" i="489"/>
  <c r="BN1028" i="489"/>
  <c r="BN1089" i="489"/>
  <c r="BN1023" i="489"/>
  <c r="BN1024" i="489"/>
  <c r="BN1054" i="489"/>
  <c r="BN1014" i="489"/>
  <c r="BN1042" i="489"/>
  <c r="BN1112" i="489"/>
  <c r="BN1026" i="489"/>
  <c r="BN1027" i="489"/>
  <c r="BN1057" i="489"/>
  <c r="BN1034" i="489"/>
  <c r="BN1029" i="489"/>
  <c r="BN1013" i="489"/>
  <c r="BN1041" i="489"/>
  <c r="BN1025" i="489"/>
  <c r="BN1072" i="489"/>
  <c r="BN1098" i="489"/>
  <c r="BN1137" i="489"/>
  <c r="BN1135" i="489"/>
  <c r="BN1056" i="489"/>
  <c r="BN1111" i="489"/>
  <c r="BN1061" i="489"/>
  <c r="BN1070" i="489"/>
  <c r="BN1084" i="489"/>
  <c r="BN1062" i="489"/>
  <c r="BN1071" i="489"/>
  <c r="BN1052" i="489"/>
  <c r="BN1081" i="489"/>
  <c r="BN1085" i="489"/>
  <c r="BN1109" i="489"/>
  <c r="BN1090" i="489"/>
  <c r="BN1082" i="489"/>
  <c r="BN1118" i="489"/>
  <c r="BN1128" i="489"/>
  <c r="BN1080" i="489"/>
  <c r="BN1100" i="489"/>
  <c r="BN1053" i="489"/>
  <c r="BN1079" i="489"/>
  <c r="BN1127" i="489"/>
  <c r="BN1099" i="489"/>
  <c r="BN1055" i="489"/>
  <c r="BN1097" i="489"/>
  <c r="BN1140" i="489"/>
  <c r="BN1138" i="489"/>
  <c r="BN1110" i="489"/>
  <c r="BN1136" i="489"/>
  <c r="BN1155" i="489"/>
  <c r="BN1169" i="489"/>
  <c r="BN1145" i="489"/>
  <c r="BN1166" i="489"/>
  <c r="BN1153" i="489"/>
  <c r="BN1125" i="489"/>
  <c r="BN1146" i="489"/>
  <c r="BN1163" i="489"/>
  <c r="BN1167" i="489"/>
  <c r="BN1154" i="489"/>
  <c r="BN1173" i="489"/>
  <c r="BN1164" i="489"/>
  <c r="BN1168" i="489"/>
  <c r="BN1174" i="489"/>
  <c r="BN1108" i="489"/>
  <c r="BN1165" i="489"/>
  <c r="BN1117" i="489"/>
  <c r="BN1175" i="489"/>
  <c r="BN1107" i="489"/>
  <c r="BN1126" i="489"/>
  <c r="BN1139" i="489"/>
  <c r="BZ1156" i="489"/>
  <c r="BZ1157" i="489"/>
  <c r="BZ1158" i="489"/>
  <c r="BZ1159" i="489"/>
  <c r="BZ1160" i="489"/>
  <c r="BZ1170" i="489"/>
  <c r="BZ1171" i="489"/>
  <c r="BZ1161" i="489"/>
  <c r="BZ1176" i="489"/>
  <c r="BZ1177" i="489"/>
  <c r="BZ1129" i="489"/>
  <c r="BZ1130" i="489"/>
  <c r="BZ1131" i="489"/>
  <c r="BZ1132" i="489"/>
  <c r="BZ1133" i="489"/>
  <c r="BZ1141" i="489"/>
  <c r="BZ1142" i="489"/>
  <c r="BZ1143" i="489"/>
  <c r="BZ1147" i="489"/>
  <c r="BZ1148" i="489"/>
  <c r="BZ1149" i="489"/>
  <c r="BZ1102" i="489"/>
  <c r="BZ1103" i="489"/>
  <c r="BZ1104" i="489"/>
  <c r="BZ1105" i="489"/>
  <c r="BZ1113" i="489"/>
  <c r="BZ1114" i="489"/>
  <c r="BZ1115" i="489"/>
  <c r="BZ1119" i="489"/>
  <c r="BZ1120" i="489"/>
  <c r="BZ1121" i="489"/>
  <c r="BZ1073" i="489"/>
  <c r="BZ1074" i="489"/>
  <c r="BZ1075" i="489"/>
  <c r="BZ1076" i="489"/>
  <c r="BZ1077" i="489"/>
  <c r="BZ1086" i="489"/>
  <c r="BZ1087" i="489"/>
  <c r="BZ1093" i="489"/>
  <c r="BZ1091" i="489"/>
  <c r="BZ1092" i="489"/>
  <c r="BZ1044" i="489"/>
  <c r="BZ1045" i="489"/>
  <c r="BZ1046" i="489"/>
  <c r="BZ1047" i="489"/>
  <c r="BZ1048" i="489"/>
  <c r="BZ1049" i="489"/>
  <c r="BZ1058" i="489"/>
  <c r="BZ1059" i="489"/>
  <c r="BZ1063" i="489"/>
  <c r="BZ1064" i="489"/>
  <c r="BZ1065" i="489"/>
  <c r="BZ1021" i="489"/>
  <c r="BZ1016" i="489"/>
  <c r="BZ1017" i="489"/>
  <c r="BZ1018" i="489"/>
  <c r="BZ1019" i="489"/>
  <c r="BZ1020" i="489"/>
  <c r="BZ1031" i="489"/>
  <c r="BZ1030" i="489"/>
  <c r="BZ1035" i="489"/>
  <c r="BZ1036" i="489"/>
  <c r="BZ1037" i="489"/>
  <c r="BZ1015" i="489"/>
  <c r="BZ1043" i="489"/>
  <c r="BZ1033" i="489"/>
  <c r="BZ1051" i="489"/>
  <c r="BZ1083" i="489"/>
  <c r="BZ1028" i="489"/>
  <c r="BZ1080" i="489"/>
  <c r="BZ1023" i="489"/>
  <c r="BZ1024" i="489"/>
  <c r="BZ1054" i="489"/>
  <c r="BZ1099" i="489"/>
  <c r="BZ1014" i="489"/>
  <c r="BZ1042" i="489"/>
  <c r="BZ1026" i="489"/>
  <c r="BZ1027" i="489"/>
  <c r="BZ1034" i="489"/>
  <c r="BZ1029" i="489"/>
  <c r="BZ1057" i="489"/>
  <c r="BZ1013" i="489"/>
  <c r="BZ1041" i="489"/>
  <c r="BZ1025" i="489"/>
  <c r="BZ1072" i="489"/>
  <c r="BZ1069" i="489"/>
  <c r="BZ1056" i="489"/>
  <c r="BZ1111" i="489"/>
  <c r="BZ1061" i="489"/>
  <c r="BZ1070" i="489"/>
  <c r="BZ1084" i="489"/>
  <c r="BZ1062" i="489"/>
  <c r="BZ1071" i="489"/>
  <c r="BZ1052" i="489"/>
  <c r="BZ1081" i="489"/>
  <c r="BZ1085" i="489"/>
  <c r="BZ1109" i="489"/>
  <c r="BZ1090" i="489"/>
  <c r="BZ1082" i="489"/>
  <c r="BZ1118" i="489"/>
  <c r="BZ1100" i="489"/>
  <c r="BZ1053" i="489"/>
  <c r="BZ1079" i="489"/>
  <c r="BZ1127" i="489"/>
  <c r="BZ1125" i="489"/>
  <c r="BZ1089" i="489"/>
  <c r="BZ1055" i="489"/>
  <c r="BZ1097" i="489"/>
  <c r="BZ1101" i="489"/>
  <c r="BZ1140" i="489"/>
  <c r="BZ1112" i="489"/>
  <c r="BZ1098" i="489"/>
  <c r="BZ1137" i="489"/>
  <c r="BZ1135" i="489"/>
  <c r="BZ1155" i="489"/>
  <c r="BZ1138" i="489"/>
  <c r="BZ1169" i="489"/>
  <c r="BZ1145" i="489"/>
  <c r="BZ1166" i="489"/>
  <c r="BZ1153" i="489"/>
  <c r="BZ1146" i="489"/>
  <c r="BZ1163" i="489"/>
  <c r="BZ1167" i="489"/>
  <c r="BZ1154" i="489"/>
  <c r="BZ1173" i="489"/>
  <c r="BZ1164" i="489"/>
  <c r="BZ1168" i="489"/>
  <c r="BZ1174" i="489"/>
  <c r="BZ1128" i="489"/>
  <c r="BZ1108" i="489"/>
  <c r="BZ1165" i="489"/>
  <c r="BZ1117" i="489"/>
  <c r="BZ1175" i="489"/>
  <c r="BZ1107" i="489"/>
  <c r="BZ1126" i="489"/>
  <c r="BZ1139" i="489"/>
  <c r="BZ1110" i="489"/>
  <c r="BZ1136" i="489"/>
  <c r="CL1156" i="489"/>
  <c r="CL1157" i="489"/>
  <c r="CL1158" i="489"/>
  <c r="CL1159" i="489"/>
  <c r="CL1160" i="489"/>
  <c r="CL1161" i="489"/>
  <c r="CL1170" i="489"/>
  <c r="CL1171" i="489"/>
  <c r="CL1129" i="489"/>
  <c r="CL1176" i="489"/>
  <c r="CL1130" i="489"/>
  <c r="CL1131" i="489"/>
  <c r="CL1132" i="489"/>
  <c r="CL1133" i="489"/>
  <c r="CL1177" i="489"/>
  <c r="CL1141" i="489"/>
  <c r="CL1142" i="489"/>
  <c r="CL1143" i="489"/>
  <c r="CL1147" i="489"/>
  <c r="CL1148" i="489"/>
  <c r="CL1149" i="489"/>
  <c r="CL1102" i="489"/>
  <c r="CL1103" i="489"/>
  <c r="CL1104" i="489"/>
  <c r="CL1105" i="489"/>
  <c r="CL1113" i="489"/>
  <c r="CL1114" i="489"/>
  <c r="CL1115" i="489"/>
  <c r="CL1119" i="489"/>
  <c r="CL1120" i="489"/>
  <c r="CL1121" i="489"/>
  <c r="CL1073" i="489"/>
  <c r="CL1074" i="489"/>
  <c r="CL1075" i="489"/>
  <c r="CL1076" i="489"/>
  <c r="CL1077" i="489"/>
  <c r="CL1086" i="489"/>
  <c r="CL1087" i="489"/>
  <c r="CL1091" i="489"/>
  <c r="CL1092" i="489"/>
  <c r="CL1093" i="489"/>
  <c r="CL1044" i="489"/>
  <c r="CL1045" i="489"/>
  <c r="CL1046" i="489"/>
  <c r="CL1047" i="489"/>
  <c r="CL1048" i="489"/>
  <c r="CL1049" i="489"/>
  <c r="CL1058" i="489"/>
  <c r="CL1059" i="489"/>
  <c r="CL1063" i="489"/>
  <c r="CL1064" i="489"/>
  <c r="CL1065" i="489"/>
  <c r="CL1021" i="489"/>
  <c r="CL1016" i="489"/>
  <c r="CL1017" i="489"/>
  <c r="CL1018" i="489"/>
  <c r="CL1019" i="489"/>
  <c r="CL1020" i="489"/>
  <c r="CL1030" i="489"/>
  <c r="CL1031" i="489"/>
  <c r="CL1035" i="489"/>
  <c r="CL1036" i="489"/>
  <c r="CL1037" i="489"/>
  <c r="CL1028" i="489"/>
  <c r="CL1080" i="489"/>
  <c r="CL1089" i="489"/>
  <c r="CL1023" i="489"/>
  <c r="CL1024" i="489"/>
  <c r="CL1014" i="489"/>
  <c r="CL1042" i="489"/>
  <c r="CL1112" i="489"/>
  <c r="CL1026" i="489"/>
  <c r="CL1027" i="489"/>
  <c r="CL1034" i="489"/>
  <c r="CL1029" i="489"/>
  <c r="CL1057" i="489"/>
  <c r="CL1013" i="489"/>
  <c r="CL1041" i="489"/>
  <c r="CL1025" i="489"/>
  <c r="CL1072" i="489"/>
  <c r="CL1015" i="489"/>
  <c r="CL1043" i="489"/>
  <c r="CL1033" i="489"/>
  <c r="CL1051" i="489"/>
  <c r="CL1083" i="489"/>
  <c r="CL1061" i="489"/>
  <c r="CL1070" i="489"/>
  <c r="CL1084" i="489"/>
  <c r="CL1062" i="489"/>
  <c r="CL1071" i="489"/>
  <c r="CL1110" i="489"/>
  <c r="CL1052" i="489"/>
  <c r="CL1081" i="489"/>
  <c r="CL1085" i="489"/>
  <c r="CL1109" i="489"/>
  <c r="CL1090" i="489"/>
  <c r="CL1082" i="489"/>
  <c r="CL1053" i="489"/>
  <c r="CL1079" i="489"/>
  <c r="CL1127" i="489"/>
  <c r="CL1069" i="489"/>
  <c r="CL1055" i="489"/>
  <c r="CL1101" i="489"/>
  <c r="CL1140" i="489"/>
  <c r="CL1138" i="489"/>
  <c r="CL1099" i="489"/>
  <c r="CL1098" i="489"/>
  <c r="CL1137" i="489"/>
  <c r="CL1054" i="489"/>
  <c r="CL1056" i="489"/>
  <c r="CL1111" i="489"/>
  <c r="CL1155" i="489"/>
  <c r="CL1169" i="489"/>
  <c r="CL1166" i="489"/>
  <c r="CL1153" i="489"/>
  <c r="CL1146" i="489"/>
  <c r="CL1163" i="489"/>
  <c r="CL1167" i="489"/>
  <c r="CL1125" i="489"/>
  <c r="CL1154" i="489"/>
  <c r="CL1173" i="489"/>
  <c r="CL1164" i="489"/>
  <c r="CL1168" i="489"/>
  <c r="CL1174" i="489"/>
  <c r="CL1128" i="489"/>
  <c r="CL1108" i="489"/>
  <c r="CL1165" i="489"/>
  <c r="CL1117" i="489"/>
  <c r="CL1107" i="489"/>
  <c r="CL1126" i="489"/>
  <c r="CL1139" i="489"/>
  <c r="CL1136" i="489"/>
  <c r="CL1135" i="489"/>
  <c r="CX1005" i="489"/>
  <c r="CX1156" i="489"/>
  <c r="CX1157" i="489"/>
  <c r="CX1158" i="489"/>
  <c r="CX1160" i="489"/>
  <c r="CX1161" i="489"/>
  <c r="CX1159" i="489"/>
  <c r="CX1170" i="489"/>
  <c r="CX1171" i="489"/>
  <c r="CX1176" i="489"/>
  <c r="CX1130" i="489"/>
  <c r="CX1131" i="489"/>
  <c r="CX1132" i="489"/>
  <c r="CX1133" i="489"/>
  <c r="CX1129" i="489"/>
  <c r="CX1141" i="489"/>
  <c r="CX1142" i="489"/>
  <c r="CX1143" i="489"/>
  <c r="CX1147" i="489"/>
  <c r="CX1148" i="489"/>
  <c r="CX1149" i="489"/>
  <c r="CX1177" i="489"/>
  <c r="CX1102" i="489"/>
  <c r="CX1103" i="489"/>
  <c r="CX1104" i="489"/>
  <c r="CX1105" i="489"/>
  <c r="CX1113" i="489"/>
  <c r="CX1114" i="489"/>
  <c r="CX1115" i="489"/>
  <c r="CX1119" i="489"/>
  <c r="CX1120" i="489"/>
  <c r="CX1121" i="489"/>
  <c r="CX1073" i="489"/>
  <c r="CX1074" i="489"/>
  <c r="CX1075" i="489"/>
  <c r="CX1076" i="489"/>
  <c r="CX1077" i="489"/>
  <c r="CX1086" i="489"/>
  <c r="CX1087" i="489"/>
  <c r="CX1093" i="489"/>
  <c r="CX1091" i="489"/>
  <c r="CX1092" i="489"/>
  <c r="CX1089" i="489"/>
  <c r="CX1099" i="489"/>
  <c r="CX1069" i="489"/>
  <c r="CX1080" i="489"/>
  <c r="CX1070" i="489"/>
  <c r="CX1084" i="489"/>
  <c r="CX1071" i="489"/>
  <c r="CX1081" i="489"/>
  <c r="CX1085" i="489"/>
  <c r="CX1109" i="489"/>
  <c r="CX1107" i="489"/>
  <c r="CX1090" i="489"/>
  <c r="CX1082" i="489"/>
  <c r="CX1118" i="489"/>
  <c r="CX1100" i="489"/>
  <c r="CX1079" i="489"/>
  <c r="CX1127" i="489"/>
  <c r="CX1097" i="489"/>
  <c r="CX1101" i="489"/>
  <c r="CX1140" i="489"/>
  <c r="CX1083" i="489"/>
  <c r="CX1098" i="489"/>
  <c r="CX1137" i="489"/>
  <c r="CX1135" i="489"/>
  <c r="CX1072" i="489"/>
  <c r="CX1112" i="489"/>
  <c r="CX1111" i="489"/>
  <c r="CX1169" i="489"/>
  <c r="CX1145" i="489"/>
  <c r="CX1138" i="489"/>
  <c r="CX1166" i="489"/>
  <c r="CX1153" i="489"/>
  <c r="CX1146" i="489"/>
  <c r="CX1163" i="489"/>
  <c r="CX1167" i="489"/>
  <c r="CX1125" i="489"/>
  <c r="CX1154" i="489"/>
  <c r="CX1173" i="489"/>
  <c r="CX1164" i="489"/>
  <c r="CX1168" i="489"/>
  <c r="CX1174" i="489"/>
  <c r="CX1128" i="489"/>
  <c r="CX1108" i="489"/>
  <c r="CX1165" i="489"/>
  <c r="CX1117" i="489"/>
  <c r="CX1175" i="489"/>
  <c r="CX1126" i="489"/>
  <c r="CX1139" i="489"/>
  <c r="CX1136" i="489"/>
  <c r="CX1110" i="489"/>
  <c r="CX1155" i="489"/>
  <c r="DJ1156" i="489"/>
  <c r="DJ1157" i="489"/>
  <c r="DJ1158" i="489"/>
  <c r="DJ1159" i="489"/>
  <c r="DJ1160" i="489"/>
  <c r="DJ1161" i="489"/>
  <c r="DJ1170" i="489"/>
  <c r="DJ1171" i="489"/>
  <c r="DJ1176" i="489"/>
  <c r="DJ1177" i="489"/>
  <c r="DJ1129" i="489"/>
  <c r="DJ1130" i="489"/>
  <c r="DJ1131" i="489"/>
  <c r="DJ1132" i="489"/>
  <c r="DJ1133" i="489"/>
  <c r="DJ1141" i="489"/>
  <c r="DJ1142" i="489"/>
  <c r="DJ1143" i="489"/>
  <c r="DJ1147" i="489"/>
  <c r="DJ1148" i="489"/>
  <c r="DJ1149" i="489"/>
  <c r="DJ1102" i="489"/>
  <c r="DJ1103" i="489"/>
  <c r="DJ1104" i="489"/>
  <c r="DJ1105" i="489"/>
  <c r="DJ1113" i="489"/>
  <c r="DJ1114" i="489"/>
  <c r="DJ1115" i="489"/>
  <c r="DJ1119" i="489"/>
  <c r="DJ1120" i="489"/>
  <c r="DJ1121" i="489"/>
  <c r="DJ1073" i="489"/>
  <c r="DJ1074" i="489"/>
  <c r="DJ1075" i="489"/>
  <c r="DJ1076" i="489"/>
  <c r="DJ1077" i="489"/>
  <c r="DJ1086" i="489"/>
  <c r="DJ1087" i="489"/>
  <c r="DJ1093" i="489"/>
  <c r="DJ1092" i="489"/>
  <c r="DJ1091" i="489"/>
  <c r="DJ1044" i="489"/>
  <c r="DJ1045" i="489"/>
  <c r="DJ1046" i="489"/>
  <c r="DJ1047" i="489"/>
  <c r="DJ1048" i="489"/>
  <c r="DJ1049" i="489"/>
  <c r="DJ1058" i="489"/>
  <c r="DJ1059" i="489"/>
  <c r="DJ1063" i="489"/>
  <c r="DJ1064" i="489"/>
  <c r="DJ1065" i="489"/>
  <c r="DJ1016" i="489"/>
  <c r="DJ1017" i="489"/>
  <c r="DJ1018" i="489"/>
  <c r="DJ1019" i="489"/>
  <c r="DJ1020" i="489"/>
  <c r="DJ1021" i="489"/>
  <c r="DJ1030" i="489"/>
  <c r="DJ1035" i="489"/>
  <c r="DJ1036" i="489"/>
  <c r="DJ1037" i="489"/>
  <c r="DJ1031" i="489"/>
  <c r="DJ1099" i="489"/>
  <c r="DJ1023" i="489"/>
  <c r="DJ1024" i="489"/>
  <c r="DJ1054" i="489"/>
  <c r="DJ1112" i="489"/>
  <c r="DJ1014" i="489"/>
  <c r="DJ1042" i="489"/>
  <c r="DJ1026" i="489"/>
  <c r="DJ1027" i="489"/>
  <c r="DJ1034" i="489"/>
  <c r="DJ1029" i="489"/>
  <c r="DJ1057" i="489"/>
  <c r="DJ1013" i="489"/>
  <c r="DJ1041" i="489"/>
  <c r="DJ1072" i="489"/>
  <c r="DJ1025" i="489"/>
  <c r="DJ1083" i="489"/>
  <c r="DJ1015" i="489"/>
  <c r="DJ1043" i="489"/>
  <c r="DJ1033" i="489"/>
  <c r="DJ1051" i="489"/>
  <c r="DJ1028" i="489"/>
  <c r="DJ1089" i="489"/>
  <c r="DJ1061" i="489"/>
  <c r="DJ1070" i="489"/>
  <c r="DJ1084" i="489"/>
  <c r="DJ1071" i="489"/>
  <c r="DJ1110" i="489"/>
  <c r="DJ1081" i="489"/>
  <c r="DJ1062" i="489"/>
  <c r="DJ1085" i="489"/>
  <c r="DJ1109" i="489"/>
  <c r="DJ1052" i="489"/>
  <c r="DJ1090" i="489"/>
  <c r="DJ1082" i="489"/>
  <c r="DJ1118" i="489"/>
  <c r="DJ1128" i="489"/>
  <c r="DJ1100" i="489"/>
  <c r="DJ1079" i="489"/>
  <c r="DJ1127" i="489"/>
  <c r="DJ1097" i="489"/>
  <c r="DJ1053" i="489"/>
  <c r="DJ1101" i="489"/>
  <c r="DJ1140" i="489"/>
  <c r="DJ1069" i="489"/>
  <c r="DJ1055" i="489"/>
  <c r="DJ1098" i="489"/>
  <c r="DJ1137" i="489"/>
  <c r="DJ1080" i="489"/>
  <c r="DJ1111" i="489"/>
  <c r="DJ1056" i="489"/>
  <c r="DJ1138" i="489"/>
  <c r="DJ1166" i="489"/>
  <c r="DJ1153" i="489"/>
  <c r="DJ1146" i="489"/>
  <c r="DJ1163" i="489"/>
  <c r="DJ1167" i="489"/>
  <c r="DJ1125" i="489"/>
  <c r="DJ1154" i="489"/>
  <c r="DJ1173" i="489"/>
  <c r="DJ1164" i="489"/>
  <c r="DJ1168" i="489"/>
  <c r="DJ1174" i="489"/>
  <c r="DJ1108" i="489"/>
  <c r="DJ1165" i="489"/>
  <c r="DJ1117" i="489"/>
  <c r="DJ1175" i="489"/>
  <c r="DJ1126" i="489"/>
  <c r="DJ1107" i="489"/>
  <c r="DJ1139" i="489"/>
  <c r="DJ1136" i="489"/>
  <c r="DJ1135" i="489"/>
  <c r="DJ1155" i="489"/>
  <c r="DJ1169" i="489"/>
  <c r="DJ1145" i="489"/>
  <c r="DV1156" i="489"/>
  <c r="DV1157" i="489"/>
  <c r="DV1158" i="489"/>
  <c r="DV1159" i="489"/>
  <c r="DV1170" i="489"/>
  <c r="DV1171" i="489"/>
  <c r="DV1160" i="489"/>
  <c r="DV1161" i="489"/>
  <c r="DV1176" i="489"/>
  <c r="DV1177" i="489"/>
  <c r="DV1130" i="489"/>
  <c r="DV1131" i="489"/>
  <c r="DV1132" i="489"/>
  <c r="DV1133" i="489"/>
  <c r="DV1129" i="489"/>
  <c r="DV1141" i="489"/>
  <c r="DV1142" i="489"/>
  <c r="DV1143" i="489"/>
  <c r="DV1147" i="489"/>
  <c r="DV1148" i="489"/>
  <c r="DV1149" i="489"/>
  <c r="DV1102" i="489"/>
  <c r="DV1103" i="489"/>
  <c r="DV1104" i="489"/>
  <c r="DV1105" i="489"/>
  <c r="DV1113" i="489"/>
  <c r="DV1114" i="489"/>
  <c r="DV1115" i="489"/>
  <c r="DV1119" i="489"/>
  <c r="DV1120" i="489"/>
  <c r="DV1121" i="489"/>
  <c r="DV1073" i="489"/>
  <c r="DV1074" i="489"/>
  <c r="DV1075" i="489"/>
  <c r="DV1076" i="489"/>
  <c r="DV1077" i="489"/>
  <c r="DV1086" i="489"/>
  <c r="DV1087" i="489"/>
  <c r="DV1091" i="489"/>
  <c r="DV1092" i="489"/>
  <c r="DV1093" i="489"/>
  <c r="DV1044" i="489"/>
  <c r="DV1045" i="489"/>
  <c r="DV1046" i="489"/>
  <c r="DV1047" i="489"/>
  <c r="DV1048" i="489"/>
  <c r="DV1049" i="489"/>
  <c r="DV1058" i="489"/>
  <c r="DV1059" i="489"/>
  <c r="DV1063" i="489"/>
  <c r="DV1064" i="489"/>
  <c r="DV1065" i="489"/>
  <c r="DV1016" i="489"/>
  <c r="DV1017" i="489"/>
  <c r="DV1018" i="489"/>
  <c r="DV1019" i="489"/>
  <c r="DV1020" i="489"/>
  <c r="DV1021" i="489"/>
  <c r="DV1030" i="489"/>
  <c r="DV1035" i="489"/>
  <c r="DV1036" i="489"/>
  <c r="DV1037" i="489"/>
  <c r="DV1031" i="489"/>
  <c r="DV1024" i="489"/>
  <c r="DV1054" i="489"/>
  <c r="DV1112" i="489"/>
  <c r="DV1014" i="489"/>
  <c r="DV1042" i="489"/>
  <c r="DV1026" i="489"/>
  <c r="DV1027" i="489"/>
  <c r="DV1034" i="489"/>
  <c r="DV1029" i="489"/>
  <c r="DV1057" i="489"/>
  <c r="DV1041" i="489"/>
  <c r="DV1072" i="489"/>
  <c r="DV1025" i="489"/>
  <c r="DV1069" i="489"/>
  <c r="DV1015" i="489"/>
  <c r="DV1043" i="489"/>
  <c r="DV1033" i="489"/>
  <c r="DV1051" i="489"/>
  <c r="DV1080" i="489"/>
  <c r="DV1028" i="489"/>
  <c r="DV1099" i="489"/>
  <c r="DV1061" i="489"/>
  <c r="DV1070" i="489"/>
  <c r="DV1084" i="489"/>
  <c r="DV1071" i="489"/>
  <c r="DV1081" i="489"/>
  <c r="DV1062" i="489"/>
  <c r="DV1085" i="489"/>
  <c r="DV1109" i="489"/>
  <c r="DV1107" i="489"/>
  <c r="DV1052" i="489"/>
  <c r="DV1090" i="489"/>
  <c r="DV1082" i="489"/>
  <c r="DV1118" i="489"/>
  <c r="DV1100" i="489"/>
  <c r="DV1079" i="489"/>
  <c r="DV1127" i="489"/>
  <c r="DV1125" i="489"/>
  <c r="DV1097" i="489"/>
  <c r="DV1053" i="489"/>
  <c r="DV1101" i="489"/>
  <c r="DV1140" i="489"/>
  <c r="DV1055" i="489"/>
  <c r="DV1098" i="489"/>
  <c r="DV1137" i="489"/>
  <c r="DV1083" i="489"/>
  <c r="DV1111" i="489"/>
  <c r="DV1089" i="489"/>
  <c r="DV1056" i="489"/>
  <c r="DV1146" i="489"/>
  <c r="DV1163" i="489"/>
  <c r="DV1167" i="489"/>
  <c r="DV1154" i="489"/>
  <c r="DV1173" i="489"/>
  <c r="DV1164" i="489"/>
  <c r="DV1168" i="489"/>
  <c r="DV1174" i="489"/>
  <c r="DV1108" i="489"/>
  <c r="DV1165" i="489"/>
  <c r="DV1128" i="489"/>
  <c r="DV1117" i="489"/>
  <c r="DV1175" i="489"/>
  <c r="DV1126" i="489"/>
  <c r="DV1139" i="489"/>
  <c r="DV1136" i="489"/>
  <c r="DV1110" i="489"/>
  <c r="DV1155" i="489"/>
  <c r="DV1169" i="489"/>
  <c r="DV1145" i="489"/>
  <c r="DV1138" i="489"/>
  <c r="DV1166" i="489"/>
  <c r="DV1153" i="489"/>
  <c r="EJ1156" i="489"/>
  <c r="EJ1157" i="489"/>
  <c r="EJ1158" i="489"/>
  <c r="EJ1159" i="489"/>
  <c r="EJ1160" i="489"/>
  <c r="EJ1161" i="489"/>
  <c r="EJ1170" i="489"/>
  <c r="EJ1171" i="489"/>
  <c r="EJ1176" i="489"/>
  <c r="EJ1177" i="489"/>
  <c r="EJ1129" i="489"/>
  <c r="EJ1130" i="489"/>
  <c r="EJ1131" i="489"/>
  <c r="EJ1132" i="489"/>
  <c r="EJ1133" i="489"/>
  <c r="EJ1141" i="489"/>
  <c r="EJ1142" i="489"/>
  <c r="EJ1143" i="489"/>
  <c r="EJ1147" i="489"/>
  <c r="EJ1148" i="489"/>
  <c r="EJ1149" i="489"/>
  <c r="EJ1102" i="489"/>
  <c r="EJ1103" i="489"/>
  <c r="EJ1104" i="489"/>
  <c r="EJ1105" i="489"/>
  <c r="EJ1113" i="489"/>
  <c r="EJ1114" i="489"/>
  <c r="EJ1115" i="489"/>
  <c r="EJ1119" i="489"/>
  <c r="EJ1120" i="489"/>
  <c r="EJ1121" i="489"/>
  <c r="EJ1073" i="489"/>
  <c r="EJ1074" i="489"/>
  <c r="EJ1075" i="489"/>
  <c r="EJ1076" i="489"/>
  <c r="EJ1077" i="489"/>
  <c r="EJ1092" i="489"/>
  <c r="EJ1091" i="489"/>
  <c r="EJ1086" i="489"/>
  <c r="EJ1087" i="489"/>
  <c r="EJ1093" i="489"/>
  <c r="EJ1044" i="489"/>
  <c r="EJ1045" i="489"/>
  <c r="EJ1046" i="489"/>
  <c r="EJ1047" i="489"/>
  <c r="EJ1048" i="489"/>
  <c r="EJ1049" i="489"/>
  <c r="EJ1058" i="489"/>
  <c r="EJ1059" i="489"/>
  <c r="EJ1063" i="489"/>
  <c r="EJ1064" i="489"/>
  <c r="EJ1065" i="489"/>
  <c r="EJ1016" i="489"/>
  <c r="EJ1017" i="489"/>
  <c r="EJ1018" i="489"/>
  <c r="EJ1019" i="489"/>
  <c r="EJ1020" i="489"/>
  <c r="EJ1021" i="489"/>
  <c r="EJ1035" i="489"/>
  <c r="EJ1036" i="489"/>
  <c r="EJ1037" i="489"/>
  <c r="EJ1030" i="489"/>
  <c r="EJ1031" i="489"/>
  <c r="EJ1055" i="489"/>
  <c r="EJ1028" i="489"/>
  <c r="EJ1015" i="489"/>
  <c r="EJ1014" i="489"/>
  <c r="EJ1072" i="489"/>
  <c r="EJ1069" i="489"/>
  <c r="EJ1083" i="489"/>
  <c r="EJ1080" i="489"/>
  <c r="EJ1041" i="489"/>
  <c r="EJ1089" i="489"/>
  <c r="EJ1099" i="489"/>
  <c r="EJ1112" i="489"/>
  <c r="EJ1057" i="489"/>
  <c r="EJ1051" i="489"/>
  <c r="EJ1033" i="489"/>
  <c r="EJ1043" i="489"/>
  <c r="EJ1024" i="489"/>
  <c r="EJ1054" i="489"/>
  <c r="EJ1023" i="489"/>
  <c r="EJ1027" i="489"/>
  <c r="EJ1042" i="489"/>
  <c r="EJ1034" i="489"/>
  <c r="EJ1026" i="489"/>
  <c r="EJ1013" i="489"/>
  <c r="EJ1052" i="489"/>
  <c r="EJ1025" i="489"/>
  <c r="EJ1029" i="489"/>
  <c r="EJ1061" i="489"/>
  <c r="EJ1084" i="489"/>
  <c r="EJ1097" i="489"/>
  <c r="EJ1071" i="489"/>
  <c r="EJ1085" i="489"/>
  <c r="EJ1082" i="489"/>
  <c r="EJ1079" i="489"/>
  <c r="EJ1101" i="489"/>
  <c r="EJ1098" i="489"/>
  <c r="EJ1062" i="489"/>
  <c r="EJ1111" i="489"/>
  <c r="EJ1053" i="489"/>
  <c r="EJ1070" i="489"/>
  <c r="EJ1109" i="489"/>
  <c r="EJ1118" i="489"/>
  <c r="EJ1056" i="489"/>
  <c r="EJ1127" i="489"/>
  <c r="EJ1140" i="489"/>
  <c r="EJ1137" i="489"/>
  <c r="EJ1081" i="489"/>
  <c r="EJ1100" i="489"/>
  <c r="EJ1110" i="489"/>
  <c r="EJ1107" i="489"/>
  <c r="EJ1128" i="489"/>
  <c r="EJ1125" i="489"/>
  <c r="EJ1138" i="489"/>
  <c r="EJ1135" i="489"/>
  <c r="EJ1126" i="489"/>
  <c r="EJ1136" i="489"/>
  <c r="EJ1145" i="489"/>
  <c r="EJ1153" i="489"/>
  <c r="EJ1167" i="489"/>
  <c r="EJ1164" i="489"/>
  <c r="EJ1174" i="489"/>
  <c r="EJ1117" i="489"/>
  <c r="EJ1155" i="489"/>
  <c r="EJ1169" i="489"/>
  <c r="EJ1166" i="489"/>
  <c r="EJ1163" i="489"/>
  <c r="EJ1173" i="489"/>
  <c r="EJ1139" i="489"/>
  <c r="EJ1154" i="489"/>
  <c r="EJ1168" i="489"/>
  <c r="EJ1165" i="489"/>
  <c r="EJ1175" i="489"/>
  <c r="EJ1108" i="489"/>
  <c r="EU1159" i="489"/>
  <c r="EU1160" i="489"/>
  <c r="EU1161" i="489"/>
  <c r="EU1156" i="489"/>
  <c r="EU1157" i="489"/>
  <c r="EU1158" i="489"/>
  <c r="EU1170" i="489"/>
  <c r="EU1171" i="489"/>
  <c r="EU1176" i="489"/>
  <c r="EU1177" i="489"/>
  <c r="EU1129" i="489"/>
  <c r="EU1130" i="489"/>
  <c r="EU1131" i="489"/>
  <c r="EU1132" i="489"/>
  <c r="EU1133" i="489"/>
  <c r="EU1141" i="489"/>
  <c r="EU1142" i="489"/>
  <c r="EU1143" i="489"/>
  <c r="EU1147" i="489"/>
  <c r="EU1148" i="489"/>
  <c r="EU1102" i="489"/>
  <c r="EU1103" i="489"/>
  <c r="EU1104" i="489"/>
  <c r="EU1105" i="489"/>
  <c r="EU1113" i="489"/>
  <c r="EU1149" i="489"/>
  <c r="EU1114" i="489"/>
  <c r="EU1115" i="489"/>
  <c r="EU1119" i="489"/>
  <c r="EU1120" i="489"/>
  <c r="EU1121" i="489"/>
  <c r="EU1073" i="489"/>
  <c r="EU1074" i="489"/>
  <c r="EU1075" i="489"/>
  <c r="EU1076" i="489"/>
  <c r="EU1077" i="489"/>
  <c r="EU1086" i="489"/>
  <c r="EU1087" i="489"/>
  <c r="EU1091" i="489"/>
  <c r="EU1092" i="489"/>
  <c r="EU1093" i="489"/>
  <c r="EU1044" i="489"/>
  <c r="EU1045" i="489"/>
  <c r="EU1046" i="489"/>
  <c r="EU1047" i="489"/>
  <c r="EU1048" i="489"/>
  <c r="EU1049" i="489"/>
  <c r="EU1058" i="489"/>
  <c r="EU1059" i="489"/>
  <c r="EU1063" i="489"/>
  <c r="EU1064" i="489"/>
  <c r="EU1065" i="489"/>
  <c r="EU1016" i="489"/>
  <c r="EU1017" i="489"/>
  <c r="EU1018" i="489"/>
  <c r="EU1019" i="489"/>
  <c r="EU1020" i="489"/>
  <c r="EU1021" i="489"/>
  <c r="EU1030" i="489"/>
  <c r="EU1035" i="489"/>
  <c r="EU1036" i="489"/>
  <c r="EU1037" i="489"/>
  <c r="EU1031" i="489"/>
  <c r="EU1025" i="489"/>
  <c r="EU1056" i="489"/>
  <c r="EU1051" i="489"/>
  <c r="EU1026" i="489"/>
  <c r="EU1057" i="489"/>
  <c r="EU1013" i="489"/>
  <c r="EU1033" i="489"/>
  <c r="EU1028" i="489"/>
  <c r="EU1042" i="489"/>
  <c r="EU1029" i="489"/>
  <c r="EU1043" i="489"/>
  <c r="EU1024" i="489"/>
  <c r="EU1055" i="489"/>
  <c r="EU1014" i="489"/>
  <c r="EU1034" i="489"/>
  <c r="EU1053" i="489"/>
  <c r="EU1072" i="489"/>
  <c r="EU1069" i="489"/>
  <c r="EU1083" i="489"/>
  <c r="EU1080" i="489"/>
  <c r="EU1089" i="489"/>
  <c r="EU1099" i="489"/>
  <c r="EU1112" i="489"/>
  <c r="EU1109" i="489"/>
  <c r="EU1015" i="489"/>
  <c r="EU1023" i="489"/>
  <c r="EU1054" i="489"/>
  <c r="EU1027" i="489"/>
  <c r="EU1041" i="489"/>
  <c r="EU1061" i="489"/>
  <c r="EU1052" i="489"/>
  <c r="EU1118" i="489"/>
  <c r="EU1127" i="489"/>
  <c r="EU1140" i="489"/>
  <c r="EU1137" i="489"/>
  <c r="EU1146" i="489"/>
  <c r="EU1084" i="489"/>
  <c r="EU1081" i="489"/>
  <c r="EU1090" i="489"/>
  <c r="EU1100" i="489"/>
  <c r="EU1097" i="489"/>
  <c r="EU1110" i="489"/>
  <c r="EU1071" i="489"/>
  <c r="EU1085" i="489"/>
  <c r="EU1082" i="489"/>
  <c r="EU1079" i="489"/>
  <c r="EU1101" i="489"/>
  <c r="EU1098" i="489"/>
  <c r="EU1111" i="489"/>
  <c r="EU1108" i="489"/>
  <c r="EU1070" i="489"/>
  <c r="EU1062" i="489"/>
  <c r="EU1107" i="489"/>
  <c r="EU1128" i="489"/>
  <c r="EU1125" i="489"/>
  <c r="EU1155" i="489"/>
  <c r="EU1169" i="489"/>
  <c r="EU1166" i="489"/>
  <c r="EU1163" i="489"/>
  <c r="EU1173" i="489"/>
  <c r="EU1135" i="489"/>
  <c r="EU1117" i="489"/>
  <c r="EU1126" i="489"/>
  <c r="EU1139" i="489"/>
  <c r="EU1136" i="489"/>
  <c r="EU1145" i="489"/>
  <c r="EU1154" i="489"/>
  <c r="EU1168" i="489"/>
  <c r="EU1165" i="489"/>
  <c r="EU1175" i="489"/>
  <c r="EU1153" i="489"/>
  <c r="EU1167" i="489"/>
  <c r="EU1164" i="489"/>
  <c r="EU1174" i="489"/>
  <c r="EU1138" i="489"/>
  <c r="DL994" i="489"/>
  <c r="R985" i="489"/>
  <c r="R1156" i="489"/>
  <c r="R1157" i="489"/>
  <c r="R1158" i="489"/>
  <c r="R1159" i="489"/>
  <c r="R1160" i="489"/>
  <c r="R1161" i="489"/>
  <c r="R1170" i="489"/>
  <c r="R1171" i="489"/>
  <c r="R1176" i="489"/>
  <c r="R1177" i="489"/>
  <c r="R1129" i="489"/>
  <c r="R1131" i="489"/>
  <c r="R1132" i="489"/>
  <c r="R1133" i="489"/>
  <c r="R1141" i="489"/>
  <c r="R1142" i="489"/>
  <c r="R1143" i="489"/>
  <c r="R1147" i="489"/>
  <c r="R1148" i="489"/>
  <c r="R1149" i="489"/>
  <c r="R1130" i="489"/>
  <c r="R1102" i="489"/>
  <c r="R1103" i="489"/>
  <c r="R1104" i="489"/>
  <c r="R1105" i="489"/>
  <c r="R1113" i="489"/>
  <c r="R1114" i="489"/>
  <c r="R1115" i="489"/>
  <c r="R1119" i="489"/>
  <c r="R1120" i="489"/>
  <c r="R1121" i="489"/>
  <c r="R1073" i="489"/>
  <c r="R1074" i="489"/>
  <c r="R1075" i="489"/>
  <c r="R1076" i="489"/>
  <c r="R1077" i="489"/>
  <c r="R1086" i="489"/>
  <c r="R1087" i="489"/>
  <c r="R1093" i="489"/>
  <c r="R1092" i="489"/>
  <c r="R1091" i="489"/>
  <c r="R1045" i="489"/>
  <c r="R1046" i="489"/>
  <c r="R1047" i="489"/>
  <c r="R1048" i="489"/>
  <c r="R1049" i="489"/>
  <c r="R1044" i="489"/>
  <c r="R1063" i="489"/>
  <c r="R1064" i="489"/>
  <c r="R1065" i="489"/>
  <c r="R1058" i="489"/>
  <c r="R1059" i="489"/>
  <c r="R1016" i="489"/>
  <c r="R1017" i="489"/>
  <c r="R1018" i="489"/>
  <c r="R1019" i="489"/>
  <c r="R1020" i="489"/>
  <c r="R1021" i="489"/>
  <c r="R1030" i="489"/>
  <c r="R1035" i="489"/>
  <c r="R1036" i="489"/>
  <c r="R1037" i="489"/>
  <c r="R1031" i="489"/>
  <c r="R1034" i="489"/>
  <c r="R1029" i="489"/>
  <c r="R1013" i="489"/>
  <c r="R1041" i="489"/>
  <c r="R1025" i="489"/>
  <c r="R1072" i="489"/>
  <c r="R1015" i="489"/>
  <c r="R1043" i="489"/>
  <c r="R1033" i="489"/>
  <c r="R1051" i="489"/>
  <c r="R1083" i="489"/>
  <c r="R1028" i="489"/>
  <c r="R1080" i="489"/>
  <c r="R1089" i="489"/>
  <c r="R1023" i="489"/>
  <c r="R1024" i="489"/>
  <c r="R1014" i="489"/>
  <c r="R1042" i="489"/>
  <c r="R1112" i="489"/>
  <c r="R1026" i="489"/>
  <c r="R1027" i="489"/>
  <c r="R1057" i="489"/>
  <c r="R1054" i="489"/>
  <c r="R1099" i="489"/>
  <c r="R1052" i="489"/>
  <c r="R1085" i="489"/>
  <c r="R1109" i="489"/>
  <c r="R1107" i="489"/>
  <c r="R1090" i="489"/>
  <c r="R1082" i="489"/>
  <c r="R1118" i="489"/>
  <c r="R1100" i="489"/>
  <c r="R1053" i="489"/>
  <c r="R1079" i="489"/>
  <c r="R1127" i="489"/>
  <c r="R1055" i="489"/>
  <c r="R1097" i="489"/>
  <c r="R1101" i="489"/>
  <c r="R1140" i="489"/>
  <c r="R1138" i="489"/>
  <c r="R1098" i="489"/>
  <c r="R1137" i="489"/>
  <c r="R1056" i="489"/>
  <c r="R1111" i="489"/>
  <c r="R1061" i="489"/>
  <c r="R1070" i="489"/>
  <c r="R1084" i="489"/>
  <c r="R1062" i="489"/>
  <c r="R1071" i="489"/>
  <c r="R1110" i="489"/>
  <c r="R1108" i="489"/>
  <c r="R1165" i="489"/>
  <c r="R1117" i="489"/>
  <c r="R1175" i="489"/>
  <c r="R1135" i="489"/>
  <c r="R1126" i="489"/>
  <c r="R1139" i="489"/>
  <c r="R1136" i="489"/>
  <c r="R1155" i="489"/>
  <c r="R1125" i="489"/>
  <c r="R1169" i="489"/>
  <c r="R1145" i="489"/>
  <c r="R1166" i="489"/>
  <c r="R1153" i="489"/>
  <c r="R1128" i="489"/>
  <c r="R1146" i="489"/>
  <c r="R1163" i="489"/>
  <c r="R1167" i="489"/>
  <c r="R1154" i="489"/>
  <c r="R1173" i="489"/>
  <c r="R1164" i="489"/>
  <c r="R1168" i="489"/>
  <c r="R1174" i="489"/>
  <c r="AD1008" i="489"/>
  <c r="AD1156" i="489"/>
  <c r="AD1157" i="489"/>
  <c r="AD1158" i="489"/>
  <c r="AD1159" i="489"/>
  <c r="AD1161" i="489"/>
  <c r="AD1170" i="489"/>
  <c r="AD1171" i="489"/>
  <c r="AD1160" i="489"/>
  <c r="AD1176" i="489"/>
  <c r="AD1177" i="489"/>
  <c r="AD1129" i="489"/>
  <c r="AD1130" i="489"/>
  <c r="AD1131" i="489"/>
  <c r="AD1132" i="489"/>
  <c r="AD1133" i="489"/>
  <c r="AD1141" i="489"/>
  <c r="AD1142" i="489"/>
  <c r="AD1143" i="489"/>
  <c r="AD1147" i="489"/>
  <c r="AD1148" i="489"/>
  <c r="AD1149" i="489"/>
  <c r="AD1102" i="489"/>
  <c r="AD1103" i="489"/>
  <c r="AD1104" i="489"/>
  <c r="AD1105" i="489"/>
  <c r="AD1113" i="489"/>
  <c r="AD1114" i="489"/>
  <c r="AD1115" i="489"/>
  <c r="AD1119" i="489"/>
  <c r="AD1120" i="489"/>
  <c r="AD1121" i="489"/>
  <c r="AD1073" i="489"/>
  <c r="AD1074" i="489"/>
  <c r="AD1075" i="489"/>
  <c r="AD1076" i="489"/>
  <c r="AD1077" i="489"/>
  <c r="AD1086" i="489"/>
  <c r="AD1087" i="489"/>
  <c r="AD1091" i="489"/>
  <c r="AD1092" i="489"/>
  <c r="AD1093" i="489"/>
  <c r="AD1047" i="489"/>
  <c r="AD1048" i="489"/>
  <c r="AD1049" i="489"/>
  <c r="AD1044" i="489"/>
  <c r="AD1045" i="489"/>
  <c r="AD1046" i="489"/>
  <c r="AD1064" i="489"/>
  <c r="AD1065" i="489"/>
  <c r="AD1058" i="489"/>
  <c r="AD1059" i="489"/>
  <c r="AD1063" i="489"/>
  <c r="AD1018" i="489"/>
  <c r="AD1019" i="489"/>
  <c r="AD1020" i="489"/>
  <c r="AD1021" i="489"/>
  <c r="AD1030" i="489"/>
  <c r="AD1016" i="489"/>
  <c r="AD1017" i="489"/>
  <c r="AD1037" i="489"/>
  <c r="AD1031" i="489"/>
  <c r="AD1035" i="489"/>
  <c r="AD1036" i="489"/>
  <c r="AD1029" i="489"/>
  <c r="AD1013" i="489"/>
  <c r="AD1041" i="489"/>
  <c r="AD1025" i="489"/>
  <c r="AD1069" i="489"/>
  <c r="AD1015" i="489"/>
  <c r="AD1043" i="489"/>
  <c r="AD1033" i="489"/>
  <c r="AD1051" i="489"/>
  <c r="AD1028" i="489"/>
  <c r="AD1080" i="489"/>
  <c r="AD1089" i="489"/>
  <c r="AD1023" i="489"/>
  <c r="AD1024" i="489"/>
  <c r="AD1054" i="489"/>
  <c r="AD1099" i="489"/>
  <c r="AD1014" i="489"/>
  <c r="AD1042" i="489"/>
  <c r="AD1026" i="489"/>
  <c r="AD1027" i="489"/>
  <c r="AD1057" i="489"/>
  <c r="AD1034" i="489"/>
  <c r="AD1112" i="489"/>
  <c r="AD1090" i="489"/>
  <c r="AD1082" i="489"/>
  <c r="AD1118" i="489"/>
  <c r="AD1128" i="489"/>
  <c r="AD1100" i="489"/>
  <c r="AD1053" i="489"/>
  <c r="AD1079" i="489"/>
  <c r="AD1127" i="489"/>
  <c r="AD1055" i="489"/>
  <c r="AD1097" i="489"/>
  <c r="AD1101" i="489"/>
  <c r="AD1140" i="489"/>
  <c r="AD1098" i="489"/>
  <c r="AD1137" i="489"/>
  <c r="AD1135" i="489"/>
  <c r="AD1056" i="489"/>
  <c r="AD1111" i="489"/>
  <c r="AD1061" i="489"/>
  <c r="AD1070" i="489"/>
  <c r="AD1084" i="489"/>
  <c r="AD1062" i="489"/>
  <c r="AD1071" i="489"/>
  <c r="AD1072" i="489"/>
  <c r="AD1083" i="489"/>
  <c r="AD1052" i="489"/>
  <c r="AD1081" i="489"/>
  <c r="AD1085" i="489"/>
  <c r="AD1109" i="489"/>
  <c r="AD1107" i="489"/>
  <c r="AD1117" i="489"/>
  <c r="AD1175" i="489"/>
  <c r="AD1126" i="489"/>
  <c r="AD1110" i="489"/>
  <c r="AD1139" i="489"/>
  <c r="AD1136" i="489"/>
  <c r="AD1138" i="489"/>
  <c r="AD1155" i="489"/>
  <c r="AD1125" i="489"/>
  <c r="AD1169" i="489"/>
  <c r="AD1145" i="489"/>
  <c r="AD1166" i="489"/>
  <c r="AD1153" i="489"/>
  <c r="AD1146" i="489"/>
  <c r="AD1163" i="489"/>
  <c r="AD1167" i="489"/>
  <c r="AD1154" i="489"/>
  <c r="AD1173" i="489"/>
  <c r="AD1164" i="489"/>
  <c r="AD1168" i="489"/>
  <c r="AD1174" i="489"/>
  <c r="AD1108" i="489"/>
  <c r="AD1165" i="489"/>
  <c r="AQ1005" i="489"/>
  <c r="AQ1160" i="489"/>
  <c r="AQ1161" i="489"/>
  <c r="AQ1158" i="489"/>
  <c r="AQ1157" i="489"/>
  <c r="AQ1156" i="489"/>
  <c r="AQ1170" i="489"/>
  <c r="AQ1171" i="489"/>
  <c r="AQ1176" i="489"/>
  <c r="AQ1177" i="489"/>
  <c r="AQ1159" i="489"/>
  <c r="AQ1129" i="489"/>
  <c r="AQ1130" i="489"/>
  <c r="AQ1131" i="489"/>
  <c r="AQ1132" i="489"/>
  <c r="AQ1133" i="489"/>
  <c r="AQ1141" i="489"/>
  <c r="AQ1142" i="489"/>
  <c r="AQ1143" i="489"/>
  <c r="AQ1147" i="489"/>
  <c r="AQ1148" i="489"/>
  <c r="AQ1149" i="489"/>
  <c r="AQ1102" i="489"/>
  <c r="AQ1103" i="489"/>
  <c r="AQ1104" i="489"/>
  <c r="AQ1105" i="489"/>
  <c r="AQ1113" i="489"/>
  <c r="AQ1114" i="489"/>
  <c r="AQ1115" i="489"/>
  <c r="AQ1119" i="489"/>
  <c r="AQ1120" i="489"/>
  <c r="AQ1121" i="489"/>
  <c r="AQ1073" i="489"/>
  <c r="AQ1074" i="489"/>
  <c r="AQ1075" i="489"/>
  <c r="AQ1076" i="489"/>
  <c r="AQ1077" i="489"/>
  <c r="AQ1086" i="489"/>
  <c r="AQ1087" i="489"/>
  <c r="AQ1091" i="489"/>
  <c r="AQ1092" i="489"/>
  <c r="AQ1093" i="489"/>
  <c r="AQ1048" i="489"/>
  <c r="AQ1049" i="489"/>
  <c r="AQ1044" i="489"/>
  <c r="AQ1045" i="489"/>
  <c r="AQ1046" i="489"/>
  <c r="AQ1047" i="489"/>
  <c r="AQ1065" i="489"/>
  <c r="AQ1058" i="489"/>
  <c r="AQ1059" i="489"/>
  <c r="AQ1063" i="489"/>
  <c r="AQ1064" i="489"/>
  <c r="AQ1019" i="489"/>
  <c r="AQ1020" i="489"/>
  <c r="AQ1021" i="489"/>
  <c r="AQ1030" i="489"/>
  <c r="AQ1016" i="489"/>
  <c r="AQ1017" i="489"/>
  <c r="AQ1018" i="489"/>
  <c r="AQ1031" i="489"/>
  <c r="AQ1035" i="489"/>
  <c r="AQ1036" i="489"/>
  <c r="AQ1037" i="489"/>
  <c r="AQ1026" i="489"/>
  <c r="AQ1057" i="489"/>
  <c r="AQ1033" i="489"/>
  <c r="AQ1028" i="489"/>
  <c r="AQ1042" i="489"/>
  <c r="AQ1029" i="489"/>
  <c r="AQ1043" i="489"/>
  <c r="AQ1055" i="489"/>
  <c r="AQ1014" i="489"/>
  <c r="AQ1034" i="489"/>
  <c r="AQ1053" i="489"/>
  <c r="AQ1072" i="489"/>
  <c r="AQ1083" i="489"/>
  <c r="AQ1089" i="489"/>
  <c r="AQ1099" i="489"/>
  <c r="AQ1112" i="489"/>
  <c r="AQ1015" i="489"/>
  <c r="AQ1054" i="489"/>
  <c r="AQ1027" i="489"/>
  <c r="AQ1025" i="489"/>
  <c r="AQ1056" i="489"/>
  <c r="AQ1084" i="489"/>
  <c r="AQ1090" i="489"/>
  <c r="AQ1100" i="489"/>
  <c r="AQ1097" i="489"/>
  <c r="AQ1128" i="489"/>
  <c r="AQ1070" i="489"/>
  <c r="AQ1071" i="489"/>
  <c r="AQ1085" i="489"/>
  <c r="AQ1082" i="489"/>
  <c r="AQ1101" i="489"/>
  <c r="AQ1098" i="489"/>
  <c r="AQ1111" i="489"/>
  <c r="AQ1062" i="489"/>
  <c r="AQ1061" i="489"/>
  <c r="AQ1118" i="489"/>
  <c r="AQ1127" i="489"/>
  <c r="AQ1140" i="489"/>
  <c r="AQ1146" i="489"/>
  <c r="AQ1155" i="489"/>
  <c r="AQ1169" i="489"/>
  <c r="AQ1166" i="489"/>
  <c r="AQ1173" i="489"/>
  <c r="AQ1117" i="489"/>
  <c r="AQ1126" i="489"/>
  <c r="AQ1139" i="489"/>
  <c r="AQ1154" i="489"/>
  <c r="AQ1168" i="489"/>
  <c r="AQ1175" i="489"/>
  <c r="AQ1145" i="489"/>
  <c r="AQ1167" i="489"/>
  <c r="AQ1174" i="489"/>
  <c r="AQ1125" i="489"/>
  <c r="BC996" i="489"/>
  <c r="BC1160" i="489"/>
  <c r="BC1161" i="489"/>
  <c r="BC1156" i="489"/>
  <c r="BC1157" i="489"/>
  <c r="BC1158" i="489"/>
  <c r="BC1159" i="489"/>
  <c r="BC1170" i="489"/>
  <c r="BC1171" i="489"/>
  <c r="BC1176" i="489"/>
  <c r="BC1177" i="489"/>
  <c r="BC1129" i="489"/>
  <c r="BC1130" i="489"/>
  <c r="BC1131" i="489"/>
  <c r="BC1132" i="489"/>
  <c r="BC1133" i="489"/>
  <c r="BC1141" i="489"/>
  <c r="BC1142" i="489"/>
  <c r="BC1143" i="489"/>
  <c r="BC1147" i="489"/>
  <c r="BC1148" i="489"/>
  <c r="BC1102" i="489"/>
  <c r="BC1103" i="489"/>
  <c r="BC1104" i="489"/>
  <c r="BC1105" i="489"/>
  <c r="BC1113" i="489"/>
  <c r="BC1149" i="489"/>
  <c r="BC1114" i="489"/>
  <c r="BC1115" i="489"/>
  <c r="BC1119" i="489"/>
  <c r="BC1120" i="489"/>
  <c r="BC1121" i="489"/>
  <c r="BC1073" i="489"/>
  <c r="BC1074" i="489"/>
  <c r="BC1075" i="489"/>
  <c r="BC1076" i="489"/>
  <c r="BC1077" i="489"/>
  <c r="BC1086" i="489"/>
  <c r="BC1087" i="489"/>
  <c r="BC1091" i="489"/>
  <c r="BC1092" i="489"/>
  <c r="BC1093" i="489"/>
  <c r="BC1048" i="489"/>
  <c r="BC1049" i="489"/>
  <c r="BC1044" i="489"/>
  <c r="BC1045" i="489"/>
  <c r="BC1046" i="489"/>
  <c r="BC1047" i="489"/>
  <c r="BC1065" i="489"/>
  <c r="BC1058" i="489"/>
  <c r="BC1059" i="489"/>
  <c r="BC1063" i="489"/>
  <c r="BC1064" i="489"/>
  <c r="BC1019" i="489"/>
  <c r="BC1020" i="489"/>
  <c r="BC1021" i="489"/>
  <c r="BC1030" i="489"/>
  <c r="BC1016" i="489"/>
  <c r="BC1017" i="489"/>
  <c r="BC1018" i="489"/>
  <c r="BC1031" i="489"/>
  <c r="BC1035" i="489"/>
  <c r="BC1036" i="489"/>
  <c r="BC1037" i="489"/>
  <c r="BC1028" i="489"/>
  <c r="BC1042" i="489"/>
  <c r="BC1029" i="489"/>
  <c r="BC1043" i="489"/>
  <c r="BC1024" i="489"/>
  <c r="BC1055" i="489"/>
  <c r="BC1014" i="489"/>
  <c r="BC1034" i="489"/>
  <c r="BC1053" i="489"/>
  <c r="BC1072" i="489"/>
  <c r="BC1069" i="489"/>
  <c r="BC1083" i="489"/>
  <c r="BC1080" i="489"/>
  <c r="BC1089" i="489"/>
  <c r="BC1099" i="489"/>
  <c r="BC1112" i="489"/>
  <c r="BC1109" i="489"/>
  <c r="BC1015" i="489"/>
  <c r="BC1023" i="489"/>
  <c r="BC1054" i="489"/>
  <c r="BC1027" i="489"/>
  <c r="BC1041" i="489"/>
  <c r="BC1025" i="489"/>
  <c r="BC1056" i="489"/>
  <c r="BC1051" i="489"/>
  <c r="BC1026" i="489"/>
  <c r="BC1057" i="489"/>
  <c r="BC1013" i="489"/>
  <c r="BC1033" i="489"/>
  <c r="BC1052" i="489"/>
  <c r="BC1084" i="489"/>
  <c r="BC1081" i="489"/>
  <c r="BC1090" i="489"/>
  <c r="BC1100" i="489"/>
  <c r="BC1097" i="489"/>
  <c r="BC1110" i="489"/>
  <c r="BC1107" i="489"/>
  <c r="BC1128" i="489"/>
  <c r="BC1125" i="489"/>
  <c r="BC1138" i="489"/>
  <c r="BC1135" i="489"/>
  <c r="BC1070" i="489"/>
  <c r="BC1071" i="489"/>
  <c r="BC1085" i="489"/>
  <c r="BC1082" i="489"/>
  <c r="BC1079" i="489"/>
  <c r="BC1101" i="489"/>
  <c r="BC1098" i="489"/>
  <c r="BC1111" i="489"/>
  <c r="BC1062" i="489"/>
  <c r="BC1061" i="489"/>
  <c r="BC1118" i="489"/>
  <c r="BC1127" i="489"/>
  <c r="BC1140" i="489"/>
  <c r="BC1137" i="489"/>
  <c r="BC1146" i="489"/>
  <c r="BC1155" i="489"/>
  <c r="BC1169" i="489"/>
  <c r="BC1166" i="489"/>
  <c r="BC1163" i="489"/>
  <c r="BC1173" i="489"/>
  <c r="BC1108" i="489"/>
  <c r="BC1117" i="489"/>
  <c r="BC1126" i="489"/>
  <c r="BC1139" i="489"/>
  <c r="BC1136" i="489"/>
  <c r="BC1154" i="489"/>
  <c r="BC1168" i="489"/>
  <c r="BC1165" i="489"/>
  <c r="BC1175" i="489"/>
  <c r="BC1145" i="489"/>
  <c r="BC1153" i="489"/>
  <c r="BC1167" i="489"/>
  <c r="BC1164" i="489"/>
  <c r="BC1174" i="489"/>
  <c r="BO1005" i="489"/>
  <c r="BO1159" i="489"/>
  <c r="BO1160" i="489"/>
  <c r="BO1161" i="489"/>
  <c r="BO1156" i="489"/>
  <c r="BO1157" i="489"/>
  <c r="BO1158" i="489"/>
  <c r="BO1170" i="489"/>
  <c r="BO1171" i="489"/>
  <c r="BO1176" i="489"/>
  <c r="BO1177" i="489"/>
  <c r="BO1129" i="489"/>
  <c r="BO1130" i="489"/>
  <c r="BO1131" i="489"/>
  <c r="BO1132" i="489"/>
  <c r="BO1133" i="489"/>
  <c r="BO1141" i="489"/>
  <c r="BO1142" i="489"/>
  <c r="BO1143" i="489"/>
  <c r="BO1147" i="489"/>
  <c r="BO1148" i="489"/>
  <c r="BO1149" i="489"/>
  <c r="BO1102" i="489"/>
  <c r="BO1103" i="489"/>
  <c r="BO1104" i="489"/>
  <c r="BO1105" i="489"/>
  <c r="BO1113" i="489"/>
  <c r="BO1114" i="489"/>
  <c r="BO1115" i="489"/>
  <c r="BO1119" i="489"/>
  <c r="BO1120" i="489"/>
  <c r="BO1121" i="489"/>
  <c r="BO1073" i="489"/>
  <c r="BO1074" i="489"/>
  <c r="BO1075" i="489"/>
  <c r="BO1076" i="489"/>
  <c r="BO1077" i="489"/>
  <c r="BO1086" i="489"/>
  <c r="BO1087" i="489"/>
  <c r="BO1091" i="489"/>
  <c r="BO1092" i="489"/>
  <c r="BO1093" i="489"/>
  <c r="BO1048" i="489"/>
  <c r="BO1049" i="489"/>
  <c r="BO1044" i="489"/>
  <c r="BO1045" i="489"/>
  <c r="BO1046" i="489"/>
  <c r="BO1047" i="489"/>
  <c r="BO1065" i="489"/>
  <c r="BO1058" i="489"/>
  <c r="BO1059" i="489"/>
  <c r="BO1063" i="489"/>
  <c r="BO1064" i="489"/>
  <c r="BO1019" i="489"/>
  <c r="BO1020" i="489"/>
  <c r="BO1021" i="489"/>
  <c r="BO1030" i="489"/>
  <c r="BO1016" i="489"/>
  <c r="BO1017" i="489"/>
  <c r="BO1018" i="489"/>
  <c r="BO1031" i="489"/>
  <c r="BO1035" i="489"/>
  <c r="BO1036" i="489"/>
  <c r="BO1037" i="489"/>
  <c r="BO1028" i="489"/>
  <c r="BO1042" i="489"/>
  <c r="BO1029" i="489"/>
  <c r="BO1043" i="489"/>
  <c r="BO1024" i="489"/>
  <c r="BO1055" i="489"/>
  <c r="BO1014" i="489"/>
  <c r="BO1034" i="489"/>
  <c r="BO1053" i="489"/>
  <c r="BO1072" i="489"/>
  <c r="BO1069" i="489"/>
  <c r="BO1083" i="489"/>
  <c r="BO1080" i="489"/>
  <c r="BO1089" i="489"/>
  <c r="BO1099" i="489"/>
  <c r="BO1112" i="489"/>
  <c r="BO1109" i="489"/>
  <c r="BO1070" i="489"/>
  <c r="BO1015" i="489"/>
  <c r="BO1023" i="489"/>
  <c r="BO1054" i="489"/>
  <c r="BO1027" i="489"/>
  <c r="BO1041" i="489"/>
  <c r="BO1025" i="489"/>
  <c r="BO1056" i="489"/>
  <c r="BO1051" i="489"/>
  <c r="BO1026" i="489"/>
  <c r="BO1057" i="489"/>
  <c r="BO1013" i="489"/>
  <c r="BO1033" i="489"/>
  <c r="BO1071" i="489"/>
  <c r="BO1085" i="489"/>
  <c r="BO1082" i="489"/>
  <c r="BO1079" i="489"/>
  <c r="BO1101" i="489"/>
  <c r="BO1098" i="489"/>
  <c r="BO1111" i="489"/>
  <c r="BO1062" i="489"/>
  <c r="BO1052" i="489"/>
  <c r="BO1061" i="489"/>
  <c r="BO1118" i="489"/>
  <c r="BO1127" i="489"/>
  <c r="BO1140" i="489"/>
  <c r="BO1137" i="489"/>
  <c r="BO1146" i="489"/>
  <c r="BO1084" i="489"/>
  <c r="BO1081" i="489"/>
  <c r="BO1090" i="489"/>
  <c r="BO1100" i="489"/>
  <c r="BO1097" i="489"/>
  <c r="BO1110" i="489"/>
  <c r="BO1107" i="489"/>
  <c r="BO1128" i="489"/>
  <c r="BO1125" i="489"/>
  <c r="BO1138" i="489"/>
  <c r="BO1135" i="489"/>
  <c r="BO1155" i="489"/>
  <c r="BO1169" i="489"/>
  <c r="BO1166" i="489"/>
  <c r="BO1163" i="489"/>
  <c r="BO1173" i="489"/>
  <c r="BO1108" i="489"/>
  <c r="BO1117" i="489"/>
  <c r="BO1126" i="489"/>
  <c r="BO1139" i="489"/>
  <c r="BO1136" i="489"/>
  <c r="BO1154" i="489"/>
  <c r="BO1168" i="489"/>
  <c r="BO1165" i="489"/>
  <c r="BO1175" i="489"/>
  <c r="BO1145" i="489"/>
  <c r="BO1153" i="489"/>
  <c r="BO1167" i="489"/>
  <c r="BO1164" i="489"/>
  <c r="BO1174" i="489"/>
  <c r="CA1006" i="489"/>
  <c r="CA1160" i="489"/>
  <c r="CA1161" i="489"/>
  <c r="CA1159" i="489"/>
  <c r="CA1157" i="489"/>
  <c r="CA1156" i="489"/>
  <c r="CA1170" i="489"/>
  <c r="CA1171" i="489"/>
  <c r="CA1158" i="489"/>
  <c r="CA1176" i="489"/>
  <c r="CA1177" i="489"/>
  <c r="CA1129" i="489"/>
  <c r="CA1130" i="489"/>
  <c r="CA1131" i="489"/>
  <c r="CA1132" i="489"/>
  <c r="CA1133" i="489"/>
  <c r="CA1141" i="489"/>
  <c r="CA1142" i="489"/>
  <c r="CA1143" i="489"/>
  <c r="CA1147" i="489"/>
  <c r="CA1148" i="489"/>
  <c r="CA1149" i="489"/>
  <c r="CA1102" i="489"/>
  <c r="CA1103" i="489"/>
  <c r="CA1104" i="489"/>
  <c r="CA1105" i="489"/>
  <c r="CA1113" i="489"/>
  <c r="CA1114" i="489"/>
  <c r="CA1115" i="489"/>
  <c r="CA1119" i="489"/>
  <c r="CA1120" i="489"/>
  <c r="CA1121" i="489"/>
  <c r="CA1073" i="489"/>
  <c r="CA1074" i="489"/>
  <c r="CA1075" i="489"/>
  <c r="CA1076" i="489"/>
  <c r="CA1077" i="489"/>
  <c r="CA1086" i="489"/>
  <c r="CA1087" i="489"/>
  <c r="CA1091" i="489"/>
  <c r="CA1092" i="489"/>
  <c r="CA1093" i="489"/>
  <c r="CA1049" i="489"/>
  <c r="CA1044" i="489"/>
  <c r="CA1045" i="489"/>
  <c r="CA1046" i="489"/>
  <c r="CA1047" i="489"/>
  <c r="CA1048" i="489"/>
  <c r="CA1058" i="489"/>
  <c r="CA1059" i="489"/>
  <c r="CA1063" i="489"/>
  <c r="CA1064" i="489"/>
  <c r="CA1065" i="489"/>
  <c r="CA1020" i="489"/>
  <c r="CA1021" i="489"/>
  <c r="CA1030" i="489"/>
  <c r="CA1016" i="489"/>
  <c r="CA1017" i="489"/>
  <c r="CA1018" i="489"/>
  <c r="CA1019" i="489"/>
  <c r="CA1031" i="489"/>
  <c r="CA1035" i="489"/>
  <c r="CA1036" i="489"/>
  <c r="CA1037" i="489"/>
  <c r="CA1028" i="489"/>
  <c r="CA1042" i="489"/>
  <c r="CA1029" i="489"/>
  <c r="CA1043" i="489"/>
  <c r="CA1024" i="489"/>
  <c r="CA1055" i="489"/>
  <c r="CA1014" i="489"/>
  <c r="CA1034" i="489"/>
  <c r="CA1053" i="489"/>
  <c r="CA1072" i="489"/>
  <c r="CA1083" i="489"/>
  <c r="CA1080" i="489"/>
  <c r="CA1089" i="489"/>
  <c r="CA1099" i="489"/>
  <c r="CA1112" i="489"/>
  <c r="CA1109" i="489"/>
  <c r="CA1015" i="489"/>
  <c r="CA1023" i="489"/>
  <c r="CA1054" i="489"/>
  <c r="CA1027" i="489"/>
  <c r="CA1061" i="489"/>
  <c r="CA1025" i="489"/>
  <c r="CA1056" i="489"/>
  <c r="CA1051" i="489"/>
  <c r="CA1026" i="489"/>
  <c r="CA1057" i="489"/>
  <c r="CA1013" i="489"/>
  <c r="CA1033" i="489"/>
  <c r="CA1071" i="489"/>
  <c r="CA1085" i="489"/>
  <c r="CA1082" i="489"/>
  <c r="CA1079" i="489"/>
  <c r="CA1101" i="489"/>
  <c r="CA1111" i="489"/>
  <c r="CA1070" i="489"/>
  <c r="CA1062" i="489"/>
  <c r="CA1052" i="489"/>
  <c r="CA1118" i="489"/>
  <c r="CA1127" i="489"/>
  <c r="CA1140" i="489"/>
  <c r="CA1137" i="489"/>
  <c r="CA1146" i="489"/>
  <c r="CA1084" i="489"/>
  <c r="CA1081" i="489"/>
  <c r="CA1090" i="489"/>
  <c r="CA1100" i="489"/>
  <c r="CA1110" i="489"/>
  <c r="CA1135" i="489"/>
  <c r="CA1155" i="489"/>
  <c r="CA1169" i="489"/>
  <c r="CA1163" i="489"/>
  <c r="CA1173" i="489"/>
  <c r="CA1107" i="489"/>
  <c r="CA1128" i="489"/>
  <c r="CA1138" i="489"/>
  <c r="CA1108" i="489"/>
  <c r="CA1117" i="489"/>
  <c r="CA1126" i="489"/>
  <c r="CA1139" i="489"/>
  <c r="CA1136" i="489"/>
  <c r="CA1154" i="489"/>
  <c r="CA1168" i="489"/>
  <c r="CA1165" i="489"/>
  <c r="CA1175" i="489"/>
  <c r="CA1145" i="489"/>
  <c r="CA1153" i="489"/>
  <c r="CA1167" i="489"/>
  <c r="CA1164" i="489"/>
  <c r="CA1174" i="489"/>
  <c r="CM997" i="489"/>
  <c r="CM1160" i="489"/>
  <c r="CM1161" i="489"/>
  <c r="CM1159" i="489"/>
  <c r="CM1158" i="489"/>
  <c r="CM1157" i="489"/>
  <c r="CM1156" i="489"/>
  <c r="CM1170" i="489"/>
  <c r="CM1171" i="489"/>
  <c r="CM1176" i="489"/>
  <c r="CM1177" i="489"/>
  <c r="CM1129" i="489"/>
  <c r="CM1130" i="489"/>
  <c r="CM1131" i="489"/>
  <c r="CM1132" i="489"/>
  <c r="CM1133" i="489"/>
  <c r="CM1141" i="489"/>
  <c r="CM1142" i="489"/>
  <c r="CM1143" i="489"/>
  <c r="CM1147" i="489"/>
  <c r="CM1148" i="489"/>
  <c r="CM1102" i="489"/>
  <c r="CM1103" i="489"/>
  <c r="CM1104" i="489"/>
  <c r="CM1105" i="489"/>
  <c r="CM1113" i="489"/>
  <c r="CM1149" i="489"/>
  <c r="CM1114" i="489"/>
  <c r="CM1115" i="489"/>
  <c r="CM1119" i="489"/>
  <c r="CM1120" i="489"/>
  <c r="CM1121" i="489"/>
  <c r="CM1073" i="489"/>
  <c r="CM1074" i="489"/>
  <c r="CM1075" i="489"/>
  <c r="CM1076" i="489"/>
  <c r="CM1077" i="489"/>
  <c r="CM1086" i="489"/>
  <c r="CM1087" i="489"/>
  <c r="CM1091" i="489"/>
  <c r="CM1092" i="489"/>
  <c r="CM1093" i="489"/>
  <c r="CM1049" i="489"/>
  <c r="CM1044" i="489"/>
  <c r="CM1045" i="489"/>
  <c r="CM1046" i="489"/>
  <c r="CM1047" i="489"/>
  <c r="CM1048" i="489"/>
  <c r="CM1058" i="489"/>
  <c r="CM1059" i="489"/>
  <c r="CM1063" i="489"/>
  <c r="CM1064" i="489"/>
  <c r="CM1065" i="489"/>
  <c r="CM1020" i="489"/>
  <c r="CM1021" i="489"/>
  <c r="CM1030" i="489"/>
  <c r="CM1016" i="489"/>
  <c r="CM1017" i="489"/>
  <c r="CM1018" i="489"/>
  <c r="CM1019" i="489"/>
  <c r="CM1031" i="489"/>
  <c r="CM1035" i="489"/>
  <c r="CM1036" i="489"/>
  <c r="CM1037" i="489"/>
  <c r="CM1029" i="489"/>
  <c r="CM1043" i="489"/>
  <c r="CM1024" i="489"/>
  <c r="CM1055" i="489"/>
  <c r="CM1014" i="489"/>
  <c r="CM1034" i="489"/>
  <c r="CM1053" i="489"/>
  <c r="CM1072" i="489"/>
  <c r="CM1069" i="489"/>
  <c r="CM1083" i="489"/>
  <c r="CM1080" i="489"/>
  <c r="CM1089" i="489"/>
  <c r="CM1099" i="489"/>
  <c r="CM1112" i="489"/>
  <c r="CM1109" i="489"/>
  <c r="CM1015" i="489"/>
  <c r="CM1023" i="489"/>
  <c r="CM1054" i="489"/>
  <c r="CM1027" i="489"/>
  <c r="CM1041" i="489"/>
  <c r="CM1025" i="489"/>
  <c r="CM1056" i="489"/>
  <c r="CM1051" i="489"/>
  <c r="CM1026" i="489"/>
  <c r="CM1057" i="489"/>
  <c r="CM1013" i="489"/>
  <c r="CM1033" i="489"/>
  <c r="CM1028" i="489"/>
  <c r="CM1042" i="489"/>
  <c r="CM1070" i="489"/>
  <c r="CM1062" i="489"/>
  <c r="CM1052" i="489"/>
  <c r="CM1118" i="489"/>
  <c r="CM1127" i="489"/>
  <c r="CM1140" i="489"/>
  <c r="CM1137" i="489"/>
  <c r="CM1146" i="489"/>
  <c r="CM1061" i="489"/>
  <c r="CM1084" i="489"/>
  <c r="CM1081" i="489"/>
  <c r="CM1090" i="489"/>
  <c r="CM1100" i="489"/>
  <c r="CM1097" i="489"/>
  <c r="CM1110" i="489"/>
  <c r="CM1107" i="489"/>
  <c r="CM1128" i="489"/>
  <c r="CM1125" i="489"/>
  <c r="CM1138" i="489"/>
  <c r="CM1135" i="489"/>
  <c r="CM1071" i="489"/>
  <c r="CM1085" i="489"/>
  <c r="CM1082" i="489"/>
  <c r="CM1079" i="489"/>
  <c r="CM1101" i="489"/>
  <c r="CM1098" i="489"/>
  <c r="CM1111" i="489"/>
  <c r="CM1155" i="489"/>
  <c r="CM1169" i="489"/>
  <c r="CM1166" i="489"/>
  <c r="CM1163" i="489"/>
  <c r="CM1173" i="489"/>
  <c r="CM1108" i="489"/>
  <c r="CM1117" i="489"/>
  <c r="CM1126" i="489"/>
  <c r="CM1139" i="489"/>
  <c r="CM1136" i="489"/>
  <c r="CM1154" i="489"/>
  <c r="CM1168" i="489"/>
  <c r="CM1165" i="489"/>
  <c r="CM1175" i="489"/>
  <c r="CM1145" i="489"/>
  <c r="CM1167" i="489"/>
  <c r="CM1164" i="489"/>
  <c r="CM1174" i="489"/>
  <c r="CY1159" i="489"/>
  <c r="CY1160" i="489"/>
  <c r="CY1161" i="489"/>
  <c r="CY1156" i="489"/>
  <c r="CY1157" i="489"/>
  <c r="CY1158" i="489"/>
  <c r="CY1170" i="489"/>
  <c r="CY1171" i="489"/>
  <c r="CY1176" i="489"/>
  <c r="CY1177" i="489"/>
  <c r="CY1129" i="489"/>
  <c r="CY1130" i="489"/>
  <c r="CY1131" i="489"/>
  <c r="CY1132" i="489"/>
  <c r="CY1133" i="489"/>
  <c r="CY1141" i="489"/>
  <c r="CY1142" i="489"/>
  <c r="CY1143" i="489"/>
  <c r="CY1147" i="489"/>
  <c r="CY1148" i="489"/>
  <c r="CY1149" i="489"/>
  <c r="CY1102" i="489"/>
  <c r="CY1103" i="489"/>
  <c r="CY1104" i="489"/>
  <c r="CY1105" i="489"/>
  <c r="CY1113" i="489"/>
  <c r="CY1114" i="489"/>
  <c r="CY1115" i="489"/>
  <c r="CY1119" i="489"/>
  <c r="CY1120" i="489"/>
  <c r="CY1121" i="489"/>
  <c r="CY1073" i="489"/>
  <c r="CY1074" i="489"/>
  <c r="CY1075" i="489"/>
  <c r="CY1076" i="489"/>
  <c r="CY1077" i="489"/>
  <c r="CY1086" i="489"/>
  <c r="CY1087" i="489"/>
  <c r="CY1091" i="489"/>
  <c r="CY1092" i="489"/>
  <c r="CY1093" i="489"/>
  <c r="CY1044" i="489"/>
  <c r="CY1045" i="489"/>
  <c r="CY1046" i="489"/>
  <c r="CY1047" i="489"/>
  <c r="CY1048" i="489"/>
  <c r="CY1049" i="489"/>
  <c r="CY1058" i="489"/>
  <c r="CY1059" i="489"/>
  <c r="CY1063" i="489"/>
  <c r="CY1064" i="489"/>
  <c r="CY1065" i="489"/>
  <c r="CY1021" i="489"/>
  <c r="CY1016" i="489"/>
  <c r="CY1017" i="489"/>
  <c r="CY1018" i="489"/>
  <c r="CY1019" i="489"/>
  <c r="CY1020" i="489"/>
  <c r="CY1031" i="489"/>
  <c r="CY1030" i="489"/>
  <c r="CY1035" i="489"/>
  <c r="CY1036" i="489"/>
  <c r="CY1037" i="489"/>
  <c r="CY1014" i="489"/>
  <c r="CY1034" i="489"/>
  <c r="CY1053" i="489"/>
  <c r="CY1072" i="489"/>
  <c r="CY1069" i="489"/>
  <c r="CY1083" i="489"/>
  <c r="CY1080" i="489"/>
  <c r="CY1089" i="489"/>
  <c r="CY1099" i="489"/>
  <c r="CY1112" i="489"/>
  <c r="CY1109" i="489"/>
  <c r="CY1015" i="489"/>
  <c r="CY1023" i="489"/>
  <c r="CY1054" i="489"/>
  <c r="CY1027" i="489"/>
  <c r="CY1041" i="489"/>
  <c r="CY1025" i="489"/>
  <c r="CY1056" i="489"/>
  <c r="CY1051" i="489"/>
  <c r="CY1026" i="489"/>
  <c r="CY1057" i="489"/>
  <c r="CY1013" i="489"/>
  <c r="CY1033" i="489"/>
  <c r="CY1028" i="489"/>
  <c r="CY1042" i="489"/>
  <c r="CY1029" i="489"/>
  <c r="CY1043" i="489"/>
  <c r="CY1024" i="489"/>
  <c r="CY1055" i="489"/>
  <c r="CY1062" i="489"/>
  <c r="CY1052" i="489"/>
  <c r="CY1118" i="489"/>
  <c r="CY1127" i="489"/>
  <c r="CY1140" i="489"/>
  <c r="CY1137" i="489"/>
  <c r="CY1146" i="489"/>
  <c r="CY1061" i="489"/>
  <c r="CY1084" i="489"/>
  <c r="CY1081" i="489"/>
  <c r="CY1090" i="489"/>
  <c r="CY1100" i="489"/>
  <c r="CY1097" i="489"/>
  <c r="CY1110" i="489"/>
  <c r="CY1071" i="489"/>
  <c r="CY1085" i="489"/>
  <c r="CY1082" i="489"/>
  <c r="CY1079" i="489"/>
  <c r="CY1101" i="489"/>
  <c r="CY1098" i="489"/>
  <c r="CY1111" i="489"/>
  <c r="CY1070" i="489"/>
  <c r="CY1107" i="489"/>
  <c r="CY1128" i="489"/>
  <c r="CY1138" i="489"/>
  <c r="CY1108" i="489"/>
  <c r="CY1117" i="489"/>
  <c r="CY1126" i="489"/>
  <c r="CY1139" i="489"/>
  <c r="CY1136" i="489"/>
  <c r="CY1154" i="489"/>
  <c r="CY1168" i="489"/>
  <c r="CY1165" i="489"/>
  <c r="CY1175" i="489"/>
  <c r="CY1153" i="489"/>
  <c r="CY1167" i="489"/>
  <c r="CY1164" i="489"/>
  <c r="CY1174" i="489"/>
  <c r="CY1125" i="489"/>
  <c r="CY1135" i="489"/>
  <c r="CY1155" i="489"/>
  <c r="CY1169" i="489"/>
  <c r="CY1166" i="489"/>
  <c r="CY1163" i="489"/>
  <c r="CY1173" i="489"/>
  <c r="DK996" i="489"/>
  <c r="DK1160" i="489"/>
  <c r="DK1161" i="489"/>
  <c r="DK1156" i="489"/>
  <c r="DK1157" i="489"/>
  <c r="DK1158" i="489"/>
  <c r="DK1159" i="489"/>
  <c r="DK1170" i="489"/>
  <c r="DK1171" i="489"/>
  <c r="DK1176" i="489"/>
  <c r="DK1177" i="489"/>
  <c r="DK1129" i="489"/>
  <c r="DK1130" i="489"/>
  <c r="DK1131" i="489"/>
  <c r="DK1132" i="489"/>
  <c r="DK1133" i="489"/>
  <c r="DK1141" i="489"/>
  <c r="DK1142" i="489"/>
  <c r="DK1143" i="489"/>
  <c r="DK1149" i="489"/>
  <c r="DK1147" i="489"/>
  <c r="DK1148" i="489"/>
  <c r="DK1102" i="489"/>
  <c r="DK1103" i="489"/>
  <c r="DK1104" i="489"/>
  <c r="DK1105" i="489"/>
  <c r="DK1113" i="489"/>
  <c r="DK1114" i="489"/>
  <c r="DK1115" i="489"/>
  <c r="DK1119" i="489"/>
  <c r="DK1120" i="489"/>
  <c r="DK1121" i="489"/>
  <c r="DK1073" i="489"/>
  <c r="DK1074" i="489"/>
  <c r="DK1075" i="489"/>
  <c r="DK1076" i="489"/>
  <c r="DK1077" i="489"/>
  <c r="DK1086" i="489"/>
  <c r="DK1087" i="489"/>
  <c r="DK1091" i="489"/>
  <c r="DK1092" i="489"/>
  <c r="DK1093" i="489"/>
  <c r="DK1044" i="489"/>
  <c r="DK1045" i="489"/>
  <c r="DK1046" i="489"/>
  <c r="DK1047" i="489"/>
  <c r="DK1048" i="489"/>
  <c r="DK1049" i="489"/>
  <c r="DK1058" i="489"/>
  <c r="DK1059" i="489"/>
  <c r="DK1063" i="489"/>
  <c r="DK1064" i="489"/>
  <c r="DK1065" i="489"/>
  <c r="DK1016" i="489"/>
  <c r="DK1017" i="489"/>
  <c r="DK1018" i="489"/>
  <c r="DK1019" i="489"/>
  <c r="DK1020" i="489"/>
  <c r="DK1021" i="489"/>
  <c r="DK1035" i="489"/>
  <c r="DK1036" i="489"/>
  <c r="DK1037" i="489"/>
  <c r="DK1030" i="489"/>
  <c r="DK1031" i="489"/>
  <c r="DK1014" i="489"/>
  <c r="DK1034" i="489"/>
  <c r="DK1053" i="489"/>
  <c r="DK1072" i="489"/>
  <c r="DK1069" i="489"/>
  <c r="DK1083" i="489"/>
  <c r="DK1080" i="489"/>
  <c r="DK1089" i="489"/>
  <c r="DK1099" i="489"/>
  <c r="DK1112" i="489"/>
  <c r="DK1109" i="489"/>
  <c r="DK1015" i="489"/>
  <c r="DK1023" i="489"/>
  <c r="DK1054" i="489"/>
  <c r="DK1027" i="489"/>
  <c r="DK1041" i="489"/>
  <c r="DK1025" i="489"/>
  <c r="DK1056" i="489"/>
  <c r="DK1051" i="489"/>
  <c r="DK1026" i="489"/>
  <c r="DK1057" i="489"/>
  <c r="DK1013" i="489"/>
  <c r="DK1033" i="489"/>
  <c r="DK1028" i="489"/>
  <c r="DK1042" i="489"/>
  <c r="DK1029" i="489"/>
  <c r="DK1043" i="489"/>
  <c r="DK1024" i="489"/>
  <c r="DK1055" i="489"/>
  <c r="DK1062" i="489"/>
  <c r="DK1052" i="489"/>
  <c r="DK1118" i="489"/>
  <c r="DK1127" i="489"/>
  <c r="DK1140" i="489"/>
  <c r="DK1137" i="489"/>
  <c r="DK1146" i="489"/>
  <c r="DK1061" i="489"/>
  <c r="DK1084" i="489"/>
  <c r="DK1081" i="489"/>
  <c r="DK1090" i="489"/>
  <c r="DK1100" i="489"/>
  <c r="DK1097" i="489"/>
  <c r="DK1110" i="489"/>
  <c r="DK1107" i="489"/>
  <c r="DK1128" i="489"/>
  <c r="DK1071" i="489"/>
  <c r="DK1085" i="489"/>
  <c r="DK1082" i="489"/>
  <c r="DK1079" i="489"/>
  <c r="DK1101" i="489"/>
  <c r="DK1098" i="489"/>
  <c r="DK1111" i="489"/>
  <c r="DK1070" i="489"/>
  <c r="DK1138" i="489"/>
  <c r="DK1108" i="489"/>
  <c r="DK1117" i="489"/>
  <c r="DK1126" i="489"/>
  <c r="DK1139" i="489"/>
  <c r="DK1136" i="489"/>
  <c r="DK1145" i="489"/>
  <c r="DK1154" i="489"/>
  <c r="DK1168" i="489"/>
  <c r="DK1165" i="489"/>
  <c r="DK1175" i="489"/>
  <c r="DK1153" i="489"/>
  <c r="DK1167" i="489"/>
  <c r="DK1164" i="489"/>
  <c r="DK1174" i="489"/>
  <c r="DK1125" i="489"/>
  <c r="DK1135" i="489"/>
  <c r="DK1155" i="489"/>
  <c r="DK1169" i="489"/>
  <c r="DK1166" i="489"/>
  <c r="DK1163" i="489"/>
  <c r="DK1173" i="489"/>
  <c r="DW1002" i="489"/>
  <c r="DW1160" i="489"/>
  <c r="DW1161" i="489"/>
  <c r="DW1159" i="489"/>
  <c r="DW1158" i="489"/>
  <c r="DW1156" i="489"/>
  <c r="DW1170" i="489"/>
  <c r="DW1171" i="489"/>
  <c r="DW1157" i="489"/>
  <c r="DW1176" i="489"/>
  <c r="DW1177" i="489"/>
  <c r="DW1129" i="489"/>
  <c r="DW1130" i="489"/>
  <c r="DW1131" i="489"/>
  <c r="DW1132" i="489"/>
  <c r="DW1133" i="489"/>
  <c r="DW1141" i="489"/>
  <c r="DW1142" i="489"/>
  <c r="DW1143" i="489"/>
  <c r="DW1147" i="489"/>
  <c r="DW1148" i="489"/>
  <c r="DW1102" i="489"/>
  <c r="DW1103" i="489"/>
  <c r="DW1104" i="489"/>
  <c r="DW1105" i="489"/>
  <c r="DW1113" i="489"/>
  <c r="DW1149" i="489"/>
  <c r="DW1114" i="489"/>
  <c r="DW1115" i="489"/>
  <c r="DW1119" i="489"/>
  <c r="DW1120" i="489"/>
  <c r="DW1121" i="489"/>
  <c r="DW1073" i="489"/>
  <c r="DW1074" i="489"/>
  <c r="DW1075" i="489"/>
  <c r="DW1076" i="489"/>
  <c r="DW1077" i="489"/>
  <c r="DW1086" i="489"/>
  <c r="DW1087" i="489"/>
  <c r="DW1091" i="489"/>
  <c r="DW1092" i="489"/>
  <c r="DW1093" i="489"/>
  <c r="DW1044" i="489"/>
  <c r="DW1045" i="489"/>
  <c r="DW1046" i="489"/>
  <c r="DW1047" i="489"/>
  <c r="DW1048" i="489"/>
  <c r="DW1049" i="489"/>
  <c r="DW1058" i="489"/>
  <c r="DW1059" i="489"/>
  <c r="DW1063" i="489"/>
  <c r="DW1064" i="489"/>
  <c r="DW1065" i="489"/>
  <c r="DW1016" i="489"/>
  <c r="DW1017" i="489"/>
  <c r="DW1018" i="489"/>
  <c r="DW1019" i="489"/>
  <c r="DW1020" i="489"/>
  <c r="DW1021" i="489"/>
  <c r="DW1030" i="489"/>
  <c r="DW1035" i="489"/>
  <c r="DW1036" i="489"/>
  <c r="DW1037" i="489"/>
  <c r="DW1031" i="489"/>
  <c r="DW1014" i="489"/>
  <c r="DW1034" i="489"/>
  <c r="DW1053" i="489"/>
  <c r="DW1072" i="489"/>
  <c r="DW1069" i="489"/>
  <c r="DW1083" i="489"/>
  <c r="DW1080" i="489"/>
  <c r="DW1089" i="489"/>
  <c r="DW1099" i="489"/>
  <c r="DW1112" i="489"/>
  <c r="DW1109" i="489"/>
  <c r="DW1015" i="489"/>
  <c r="DW1023" i="489"/>
  <c r="DW1054" i="489"/>
  <c r="DW1027" i="489"/>
  <c r="DW1041" i="489"/>
  <c r="DW1025" i="489"/>
  <c r="DW1056" i="489"/>
  <c r="DW1051" i="489"/>
  <c r="DW1026" i="489"/>
  <c r="DW1057" i="489"/>
  <c r="DW1013" i="489"/>
  <c r="DW1033" i="489"/>
  <c r="DW1052" i="489"/>
  <c r="DW1028" i="489"/>
  <c r="DW1042" i="489"/>
  <c r="DW1029" i="489"/>
  <c r="DW1043" i="489"/>
  <c r="DW1024" i="489"/>
  <c r="DW1055" i="489"/>
  <c r="DW1118" i="489"/>
  <c r="DW1127" i="489"/>
  <c r="DW1140" i="489"/>
  <c r="DW1137" i="489"/>
  <c r="DW1146" i="489"/>
  <c r="DW1061" i="489"/>
  <c r="DW1084" i="489"/>
  <c r="DW1081" i="489"/>
  <c r="DW1090" i="489"/>
  <c r="DW1100" i="489"/>
  <c r="DW1097" i="489"/>
  <c r="DW1110" i="489"/>
  <c r="DW1128" i="489"/>
  <c r="DW1125" i="489"/>
  <c r="DW1071" i="489"/>
  <c r="DW1085" i="489"/>
  <c r="DW1082" i="489"/>
  <c r="DW1101" i="489"/>
  <c r="DW1098" i="489"/>
  <c r="DW1111" i="489"/>
  <c r="DW1108" i="489"/>
  <c r="DW1070" i="489"/>
  <c r="DW1062" i="489"/>
  <c r="DW1138" i="489"/>
  <c r="DW1117" i="489"/>
  <c r="DW1126" i="489"/>
  <c r="DW1139" i="489"/>
  <c r="DW1136" i="489"/>
  <c r="DW1145" i="489"/>
  <c r="DW1154" i="489"/>
  <c r="DW1168" i="489"/>
  <c r="DW1165" i="489"/>
  <c r="DW1175" i="489"/>
  <c r="DW1153" i="489"/>
  <c r="DW1167" i="489"/>
  <c r="DW1164" i="489"/>
  <c r="DW1174" i="489"/>
  <c r="DW1135" i="489"/>
  <c r="DW1155" i="489"/>
  <c r="DW1169" i="489"/>
  <c r="DW1166" i="489"/>
  <c r="DW1163" i="489"/>
  <c r="DW1173" i="489"/>
  <c r="EK1006" i="489"/>
  <c r="EK1156" i="489"/>
  <c r="EK1157" i="489"/>
  <c r="EK1158" i="489"/>
  <c r="EK1159" i="489"/>
  <c r="EK1160" i="489"/>
  <c r="EK1161" i="489"/>
  <c r="EK1170" i="489"/>
  <c r="EK1171" i="489"/>
  <c r="EK1176" i="489"/>
  <c r="EK1177" i="489"/>
  <c r="EK1129" i="489"/>
  <c r="EK1130" i="489"/>
  <c r="EK1131" i="489"/>
  <c r="EK1132" i="489"/>
  <c r="EK1133" i="489"/>
  <c r="EK1149" i="489"/>
  <c r="EK1141" i="489"/>
  <c r="EK1142" i="489"/>
  <c r="EK1143" i="489"/>
  <c r="EK1147" i="489"/>
  <c r="EK1148" i="489"/>
  <c r="EK1102" i="489"/>
  <c r="EK1103" i="489"/>
  <c r="EK1104" i="489"/>
  <c r="EK1105" i="489"/>
  <c r="EK1113" i="489"/>
  <c r="EK1114" i="489"/>
  <c r="EK1115" i="489"/>
  <c r="EK1119" i="489"/>
  <c r="EK1120" i="489"/>
  <c r="EK1121" i="489"/>
  <c r="EK1073" i="489"/>
  <c r="EK1074" i="489"/>
  <c r="EK1075" i="489"/>
  <c r="EK1076" i="489"/>
  <c r="EK1077" i="489"/>
  <c r="EK1086" i="489"/>
  <c r="EK1087" i="489"/>
  <c r="EK1091" i="489"/>
  <c r="EK1092" i="489"/>
  <c r="EK1093" i="489"/>
  <c r="EK1044" i="489"/>
  <c r="EK1045" i="489"/>
  <c r="EK1046" i="489"/>
  <c r="EK1047" i="489"/>
  <c r="EK1048" i="489"/>
  <c r="EK1049" i="489"/>
  <c r="EK1058" i="489"/>
  <c r="EK1059" i="489"/>
  <c r="EK1063" i="489"/>
  <c r="EK1064" i="489"/>
  <c r="EK1065" i="489"/>
  <c r="EK1016" i="489"/>
  <c r="EK1017" i="489"/>
  <c r="EK1018" i="489"/>
  <c r="EK1019" i="489"/>
  <c r="EK1020" i="489"/>
  <c r="EK1021" i="489"/>
  <c r="EK1030" i="489"/>
  <c r="EK1031" i="489"/>
  <c r="EK1035" i="489"/>
  <c r="EK1036" i="489"/>
  <c r="EK1037" i="489"/>
  <c r="EK1052" i="489"/>
  <c r="EK1055" i="489"/>
  <c r="EK1056" i="489"/>
  <c r="EK1041" i="489"/>
  <c r="EK1042" i="489"/>
  <c r="EK1057" i="489"/>
  <c r="EK1033" i="489"/>
  <c r="EK1034" i="489"/>
  <c r="EK1043" i="489"/>
  <c r="EK1024" i="489"/>
  <c r="EK1025" i="489"/>
  <c r="EK1023" i="489"/>
  <c r="EK1027" i="489"/>
  <c r="EK1028" i="489"/>
  <c r="EK1026" i="489"/>
  <c r="EK1013" i="489"/>
  <c r="EK1014" i="489"/>
  <c r="EK1029" i="489"/>
  <c r="EK1015" i="489"/>
  <c r="EK1081" i="489"/>
  <c r="EK1100" i="489"/>
  <c r="EK1108" i="489"/>
  <c r="EK1117" i="489"/>
  <c r="EK1110" i="489"/>
  <c r="EK1107" i="489"/>
  <c r="EK1128" i="489"/>
  <c r="EK1125" i="489"/>
  <c r="EK1138" i="489"/>
  <c r="EK1135" i="489"/>
  <c r="EK1061" i="489"/>
  <c r="EK1070" i="489"/>
  <c r="EK1084" i="489"/>
  <c r="EK1090" i="489"/>
  <c r="EK1097" i="489"/>
  <c r="EK1072" i="489"/>
  <c r="EK1069" i="489"/>
  <c r="EK1083" i="489"/>
  <c r="EK1080" i="489"/>
  <c r="EK1089" i="489"/>
  <c r="EK1099" i="489"/>
  <c r="EK1112" i="489"/>
  <c r="EK1062" i="489"/>
  <c r="EK1071" i="489"/>
  <c r="EK1085" i="489"/>
  <c r="EK1082" i="489"/>
  <c r="EK1079" i="489"/>
  <c r="EK1101" i="489"/>
  <c r="EK1098" i="489"/>
  <c r="EK1111" i="489"/>
  <c r="EK1051" i="489"/>
  <c r="EK1053" i="489"/>
  <c r="EK1054" i="489"/>
  <c r="EK1155" i="489"/>
  <c r="EK1169" i="489"/>
  <c r="EK1166" i="489"/>
  <c r="EK1163" i="489"/>
  <c r="EK1173" i="489"/>
  <c r="EK1146" i="489"/>
  <c r="EK1154" i="489"/>
  <c r="EK1168" i="489"/>
  <c r="EK1165" i="489"/>
  <c r="EK1175" i="489"/>
  <c r="EK1145" i="489"/>
  <c r="EK1153" i="489"/>
  <c r="EK1167" i="489"/>
  <c r="EK1164" i="489"/>
  <c r="EK1174" i="489"/>
  <c r="EK1139" i="489"/>
  <c r="EK1109" i="489"/>
  <c r="EK1118" i="489"/>
  <c r="EK1127" i="489"/>
  <c r="EK1140" i="489"/>
  <c r="EK1137" i="489"/>
  <c r="EK1126" i="489"/>
  <c r="EK1136" i="489"/>
  <c r="EV1003" i="489"/>
  <c r="EV1157" i="489"/>
  <c r="EV1158" i="489"/>
  <c r="EV1159" i="489"/>
  <c r="EV1160" i="489"/>
  <c r="EV1161" i="489"/>
  <c r="EV1170" i="489"/>
  <c r="EV1171" i="489"/>
  <c r="EV1176" i="489"/>
  <c r="EV1177" i="489"/>
  <c r="EV1129" i="489"/>
  <c r="EV1130" i="489"/>
  <c r="EV1131" i="489"/>
  <c r="EV1132" i="489"/>
  <c r="EV1133" i="489"/>
  <c r="EV1142" i="489"/>
  <c r="EV1143" i="489"/>
  <c r="EV1147" i="489"/>
  <c r="EV1148" i="489"/>
  <c r="EV1149" i="489"/>
  <c r="EV1102" i="489"/>
  <c r="EV1103" i="489"/>
  <c r="EV1104" i="489"/>
  <c r="EV1105" i="489"/>
  <c r="EV1114" i="489"/>
  <c r="EV1115" i="489"/>
  <c r="EV1073" i="489"/>
  <c r="EV1074" i="489"/>
  <c r="EV1075" i="489"/>
  <c r="EV1076" i="489"/>
  <c r="EV1077" i="489"/>
  <c r="EV1119" i="489"/>
  <c r="EV1120" i="489"/>
  <c r="EV1121" i="489"/>
  <c r="EV1086" i="489"/>
  <c r="EV1092" i="489"/>
  <c r="EV1087" i="489"/>
  <c r="EV1091" i="489"/>
  <c r="EV1093" i="489"/>
  <c r="EV1045" i="489"/>
  <c r="EV1046" i="489"/>
  <c r="EV1047" i="489"/>
  <c r="EV1048" i="489"/>
  <c r="EV1049" i="489"/>
  <c r="EV1058" i="489"/>
  <c r="EV1059" i="489"/>
  <c r="EV1063" i="489"/>
  <c r="EV1064" i="489"/>
  <c r="EV1065" i="489"/>
  <c r="EV1017" i="489"/>
  <c r="EV1018" i="489"/>
  <c r="EV1019" i="489"/>
  <c r="EV1020" i="489"/>
  <c r="EV1021" i="489"/>
  <c r="EV1030" i="489"/>
  <c r="EV1035" i="489"/>
  <c r="EV1036" i="489"/>
  <c r="EV1037" i="489"/>
  <c r="EV1031" i="489"/>
  <c r="EV1069" i="489"/>
  <c r="EV1083" i="489"/>
  <c r="EV1080" i="489"/>
  <c r="EV1041" i="489"/>
  <c r="EV1089" i="489"/>
  <c r="EV1057" i="489"/>
  <c r="EV1051" i="489"/>
  <c r="EV1033" i="489"/>
  <c r="EV1024" i="489"/>
  <c r="EV1054" i="489"/>
  <c r="EV1070" i="489"/>
  <c r="EV1023" i="489"/>
  <c r="EV1027" i="489"/>
  <c r="EV1042" i="489"/>
  <c r="EV1034" i="489"/>
  <c r="EV1026" i="489"/>
  <c r="EV1013" i="489"/>
  <c r="EV1052" i="489"/>
  <c r="EV1029" i="489"/>
  <c r="EV1055" i="489"/>
  <c r="EV1061" i="489"/>
  <c r="EV1090" i="489"/>
  <c r="EV1097" i="489"/>
  <c r="EV1085" i="489"/>
  <c r="EV1082" i="489"/>
  <c r="EV1079" i="489"/>
  <c r="EV1098" i="489"/>
  <c r="EV1062" i="489"/>
  <c r="EV1109" i="489"/>
  <c r="EV1118" i="489"/>
  <c r="EV1146" i="489"/>
  <c r="EV1081" i="489"/>
  <c r="EV1110" i="489"/>
  <c r="EV1136" i="489"/>
  <c r="EV1145" i="489"/>
  <c r="EV1153" i="489"/>
  <c r="EV1167" i="489"/>
  <c r="EV1164" i="489"/>
  <c r="EV1125" i="489"/>
  <c r="EV1138" i="489"/>
  <c r="EV1135" i="489"/>
  <c r="EV1174" i="489"/>
  <c r="EV1117" i="489"/>
  <c r="EV1169" i="489"/>
  <c r="EV1166" i="489"/>
  <c r="EV1163" i="489"/>
  <c r="EV1173" i="489"/>
  <c r="EV1107" i="489"/>
  <c r="EV1175" i="489"/>
  <c r="EV1108" i="489"/>
  <c r="S1156" i="489"/>
  <c r="S1160" i="489"/>
  <c r="S1161" i="489"/>
  <c r="S1157" i="489"/>
  <c r="S1158" i="489"/>
  <c r="S1159" i="489"/>
  <c r="S1170" i="489"/>
  <c r="S1171" i="489"/>
  <c r="S1176" i="489"/>
  <c r="S1177" i="489"/>
  <c r="S1129" i="489"/>
  <c r="S1130" i="489"/>
  <c r="S1131" i="489"/>
  <c r="S1132" i="489"/>
  <c r="S1133" i="489"/>
  <c r="S1141" i="489"/>
  <c r="S1142" i="489"/>
  <c r="S1143" i="489"/>
  <c r="S1147" i="489"/>
  <c r="S1148" i="489"/>
  <c r="S1149" i="489"/>
  <c r="S1102" i="489"/>
  <c r="S1103" i="489"/>
  <c r="S1104" i="489"/>
  <c r="S1105" i="489"/>
  <c r="S1113" i="489"/>
  <c r="S1114" i="489"/>
  <c r="S1115" i="489"/>
  <c r="S1119" i="489"/>
  <c r="S1120" i="489"/>
  <c r="S1121" i="489"/>
  <c r="S1073" i="489"/>
  <c r="S1074" i="489"/>
  <c r="S1075" i="489"/>
  <c r="S1076" i="489"/>
  <c r="S1077" i="489"/>
  <c r="S1086" i="489"/>
  <c r="S1087" i="489"/>
  <c r="S1091" i="489"/>
  <c r="S1092" i="489"/>
  <c r="S1093" i="489"/>
  <c r="S1044" i="489"/>
  <c r="S1045" i="489"/>
  <c r="S1046" i="489"/>
  <c r="S1047" i="489"/>
  <c r="S1048" i="489"/>
  <c r="S1049" i="489"/>
  <c r="S1059" i="489"/>
  <c r="S1063" i="489"/>
  <c r="S1064" i="489"/>
  <c r="S1065" i="489"/>
  <c r="S1058" i="489"/>
  <c r="S1016" i="489"/>
  <c r="S1017" i="489"/>
  <c r="S1018" i="489"/>
  <c r="S1019" i="489"/>
  <c r="S1020" i="489"/>
  <c r="S1021" i="489"/>
  <c r="S1030" i="489"/>
  <c r="S1035" i="489"/>
  <c r="S1036" i="489"/>
  <c r="S1037" i="489"/>
  <c r="S1031" i="489"/>
  <c r="S1025" i="489"/>
  <c r="S1056" i="489"/>
  <c r="S1051" i="489"/>
  <c r="S1026" i="489"/>
  <c r="S1057" i="489"/>
  <c r="S1013" i="489"/>
  <c r="S1033" i="489"/>
  <c r="S1028" i="489"/>
  <c r="S1042" i="489"/>
  <c r="S1029" i="489"/>
  <c r="S1043" i="489"/>
  <c r="S1024" i="489"/>
  <c r="S1055" i="489"/>
  <c r="S1014" i="489"/>
  <c r="S1034" i="489"/>
  <c r="S1053" i="489"/>
  <c r="S1015" i="489"/>
  <c r="S1023" i="489"/>
  <c r="S1054" i="489"/>
  <c r="S1027" i="489"/>
  <c r="S1041" i="489"/>
  <c r="S1072" i="489"/>
  <c r="S1083" i="489"/>
  <c r="S1080" i="489"/>
  <c r="S1089" i="489"/>
  <c r="S1099" i="489"/>
  <c r="S1112" i="489"/>
  <c r="S1109" i="489"/>
  <c r="S1118" i="489"/>
  <c r="S1127" i="489"/>
  <c r="S1140" i="489"/>
  <c r="S1137" i="489"/>
  <c r="S1084" i="489"/>
  <c r="S1090" i="489"/>
  <c r="S1100" i="489"/>
  <c r="S1097" i="489"/>
  <c r="S1110" i="489"/>
  <c r="S1107" i="489"/>
  <c r="S1128" i="489"/>
  <c r="S1125" i="489"/>
  <c r="S1138" i="489"/>
  <c r="S1135" i="489"/>
  <c r="S1070" i="489"/>
  <c r="S1071" i="489"/>
  <c r="S1085" i="489"/>
  <c r="S1082" i="489"/>
  <c r="S1079" i="489"/>
  <c r="S1101" i="489"/>
  <c r="S1098" i="489"/>
  <c r="S1111" i="489"/>
  <c r="S1062" i="489"/>
  <c r="S1052" i="489"/>
  <c r="S1061" i="489"/>
  <c r="S1155" i="489"/>
  <c r="S1169" i="489"/>
  <c r="S1166" i="489"/>
  <c r="S1163" i="489"/>
  <c r="S1173" i="489"/>
  <c r="S1108" i="489"/>
  <c r="S1117" i="489"/>
  <c r="S1126" i="489"/>
  <c r="S1139" i="489"/>
  <c r="S1136" i="489"/>
  <c r="S1146" i="489"/>
  <c r="S1154" i="489"/>
  <c r="S1168" i="489"/>
  <c r="S1165" i="489"/>
  <c r="S1175" i="489"/>
  <c r="S1145" i="489"/>
  <c r="S1153" i="489"/>
  <c r="S1167" i="489"/>
  <c r="S1164" i="489"/>
  <c r="S1174" i="489"/>
  <c r="AF1156" i="489"/>
  <c r="AF1157" i="489"/>
  <c r="AF1158" i="489"/>
  <c r="AF1159" i="489"/>
  <c r="AF1160" i="489"/>
  <c r="AF1161" i="489"/>
  <c r="AF1170" i="489"/>
  <c r="AF1171" i="489"/>
  <c r="AF1176" i="489"/>
  <c r="AF1177" i="489"/>
  <c r="AF1129" i="489"/>
  <c r="AF1130" i="489"/>
  <c r="AF1131" i="489"/>
  <c r="AF1132" i="489"/>
  <c r="AF1133" i="489"/>
  <c r="AF1141" i="489"/>
  <c r="AF1142" i="489"/>
  <c r="AF1143" i="489"/>
  <c r="AF1147" i="489"/>
  <c r="AF1148" i="489"/>
  <c r="AF1149" i="489"/>
  <c r="AF1102" i="489"/>
  <c r="AF1103" i="489"/>
  <c r="AF1104" i="489"/>
  <c r="AF1105" i="489"/>
  <c r="AF1113" i="489"/>
  <c r="AF1114" i="489"/>
  <c r="AF1115" i="489"/>
  <c r="AF1119" i="489"/>
  <c r="AF1120" i="489"/>
  <c r="AF1121" i="489"/>
  <c r="AF1073" i="489"/>
  <c r="AF1074" i="489"/>
  <c r="AF1075" i="489"/>
  <c r="AF1076" i="489"/>
  <c r="AF1077" i="489"/>
  <c r="AF1086" i="489"/>
  <c r="AF1087" i="489"/>
  <c r="AF1091" i="489"/>
  <c r="AF1092" i="489"/>
  <c r="AF1093" i="489"/>
  <c r="AF1072" i="489"/>
  <c r="AF1069" i="489"/>
  <c r="AF1083" i="489"/>
  <c r="AF1089" i="489"/>
  <c r="AF1099" i="489"/>
  <c r="AF1112" i="489"/>
  <c r="AF1071" i="489"/>
  <c r="AF1085" i="489"/>
  <c r="AF1082" i="489"/>
  <c r="AF1101" i="489"/>
  <c r="AF1098" i="489"/>
  <c r="AF1111" i="489"/>
  <c r="AF1070" i="489"/>
  <c r="AF1109" i="489"/>
  <c r="AF1118" i="489"/>
  <c r="AF1081" i="489"/>
  <c r="AF1100" i="489"/>
  <c r="AF1110" i="489"/>
  <c r="AF1127" i="489"/>
  <c r="AF1140" i="489"/>
  <c r="AF1137" i="489"/>
  <c r="AF1128" i="489"/>
  <c r="AF1125" i="489"/>
  <c r="AF1138" i="489"/>
  <c r="AF1135" i="489"/>
  <c r="AF1084" i="489"/>
  <c r="AF1090" i="489"/>
  <c r="AF1097" i="489"/>
  <c r="AF1117" i="489"/>
  <c r="AF1126" i="489"/>
  <c r="AF1174" i="489"/>
  <c r="AF1139" i="489"/>
  <c r="AF1155" i="489"/>
  <c r="AF1169" i="489"/>
  <c r="AF1166" i="489"/>
  <c r="AF1163" i="489"/>
  <c r="AF1173" i="489"/>
  <c r="AF1146" i="489"/>
  <c r="AF1154" i="489"/>
  <c r="AF1168" i="489"/>
  <c r="AF1165" i="489"/>
  <c r="AF1175" i="489"/>
  <c r="AF1108" i="489"/>
  <c r="AF1136" i="489"/>
  <c r="AF1145" i="489"/>
  <c r="AF1153" i="489"/>
  <c r="AF1167" i="489"/>
  <c r="AR1156" i="489"/>
  <c r="AR1157" i="489"/>
  <c r="AR1158" i="489"/>
  <c r="AR1159" i="489"/>
  <c r="AR1160" i="489"/>
  <c r="AR1161" i="489"/>
  <c r="AR1170" i="489"/>
  <c r="AR1171" i="489"/>
  <c r="AR1176" i="489"/>
  <c r="AR1177" i="489"/>
  <c r="AR1129" i="489"/>
  <c r="AR1130" i="489"/>
  <c r="AR1131" i="489"/>
  <c r="AR1132" i="489"/>
  <c r="AR1133" i="489"/>
  <c r="AR1141" i="489"/>
  <c r="AR1142" i="489"/>
  <c r="AR1143" i="489"/>
  <c r="AR1147" i="489"/>
  <c r="AR1148" i="489"/>
  <c r="AR1149" i="489"/>
  <c r="AR1102" i="489"/>
  <c r="AR1103" i="489"/>
  <c r="AR1104" i="489"/>
  <c r="AR1105" i="489"/>
  <c r="AR1113" i="489"/>
  <c r="AR1114" i="489"/>
  <c r="AR1115" i="489"/>
  <c r="AR1119" i="489"/>
  <c r="AR1120" i="489"/>
  <c r="AR1121" i="489"/>
  <c r="AR1073" i="489"/>
  <c r="AR1074" i="489"/>
  <c r="AR1075" i="489"/>
  <c r="AR1076" i="489"/>
  <c r="AR1077" i="489"/>
  <c r="AR1093" i="489"/>
  <c r="AR1086" i="489"/>
  <c r="AR1087" i="489"/>
  <c r="AR1091" i="489"/>
  <c r="AR1092" i="489"/>
  <c r="AR1047" i="489"/>
  <c r="AR1048" i="489"/>
  <c r="AR1049" i="489"/>
  <c r="AR1044" i="489"/>
  <c r="AR1045" i="489"/>
  <c r="AR1046" i="489"/>
  <c r="AR1064" i="489"/>
  <c r="AR1065" i="489"/>
  <c r="AR1058" i="489"/>
  <c r="AR1059" i="489"/>
  <c r="AR1063" i="489"/>
  <c r="AR1018" i="489"/>
  <c r="AR1019" i="489"/>
  <c r="AR1020" i="489"/>
  <c r="AR1021" i="489"/>
  <c r="AR1030" i="489"/>
  <c r="AR1016" i="489"/>
  <c r="AR1017" i="489"/>
  <c r="AR1037" i="489"/>
  <c r="AR1031" i="489"/>
  <c r="AR1035" i="489"/>
  <c r="AR1036" i="489"/>
  <c r="AR1043" i="489"/>
  <c r="AR1024" i="489"/>
  <c r="AR1054" i="489"/>
  <c r="AR1023" i="489"/>
  <c r="AR1027" i="489"/>
  <c r="AR1042" i="489"/>
  <c r="AR1034" i="489"/>
  <c r="AR1026" i="489"/>
  <c r="AR1013" i="489"/>
  <c r="AR1052" i="489"/>
  <c r="AR1025" i="489"/>
  <c r="AR1029" i="489"/>
  <c r="AR1055" i="489"/>
  <c r="AR1028" i="489"/>
  <c r="AR1015" i="489"/>
  <c r="AR1014" i="489"/>
  <c r="AR1041" i="489"/>
  <c r="AR1072" i="489"/>
  <c r="AR1069" i="489"/>
  <c r="AR1083" i="489"/>
  <c r="AR1080" i="489"/>
  <c r="AR1057" i="489"/>
  <c r="AR1051" i="489"/>
  <c r="AR1089" i="489"/>
  <c r="AR1099" i="489"/>
  <c r="AR1112" i="489"/>
  <c r="AR1033" i="489"/>
  <c r="AR1111" i="489"/>
  <c r="AR1053" i="489"/>
  <c r="AR1070" i="489"/>
  <c r="AR1056" i="489"/>
  <c r="AR1109" i="489"/>
  <c r="AR1118" i="489"/>
  <c r="AR1081" i="489"/>
  <c r="AR1100" i="489"/>
  <c r="AR1110" i="489"/>
  <c r="AR1127" i="489"/>
  <c r="AR1140" i="489"/>
  <c r="AR1137" i="489"/>
  <c r="AR1107" i="489"/>
  <c r="AR1128" i="489"/>
  <c r="AR1125" i="489"/>
  <c r="AR1138" i="489"/>
  <c r="AR1135" i="489"/>
  <c r="AR1061" i="489"/>
  <c r="AR1084" i="489"/>
  <c r="AR1090" i="489"/>
  <c r="AR1097" i="489"/>
  <c r="AR1062" i="489"/>
  <c r="AR1071" i="489"/>
  <c r="AR1085" i="489"/>
  <c r="AR1082" i="489"/>
  <c r="AR1079" i="489"/>
  <c r="AR1101" i="489"/>
  <c r="AR1098" i="489"/>
  <c r="AR1139" i="489"/>
  <c r="AR1117" i="489"/>
  <c r="AR1155" i="489"/>
  <c r="AR1169" i="489"/>
  <c r="AR1166" i="489"/>
  <c r="AR1163" i="489"/>
  <c r="AR1173" i="489"/>
  <c r="AR1146" i="489"/>
  <c r="AR1154" i="489"/>
  <c r="AR1168" i="489"/>
  <c r="AR1165" i="489"/>
  <c r="AR1175" i="489"/>
  <c r="AR1108" i="489"/>
  <c r="AR1126" i="489"/>
  <c r="AR1136" i="489"/>
  <c r="AR1145" i="489"/>
  <c r="AR1153" i="489"/>
  <c r="AR1167" i="489"/>
  <c r="AR1164" i="489"/>
  <c r="AR1174" i="489"/>
  <c r="BD1156" i="489"/>
  <c r="BD1157" i="489"/>
  <c r="BD1158" i="489"/>
  <c r="BD1159" i="489"/>
  <c r="BD1160" i="489"/>
  <c r="BD1161" i="489"/>
  <c r="BD1170" i="489"/>
  <c r="BD1171" i="489"/>
  <c r="BD1176" i="489"/>
  <c r="BD1177" i="489"/>
  <c r="BD1130" i="489"/>
  <c r="BD1131" i="489"/>
  <c r="BD1132" i="489"/>
  <c r="BD1133" i="489"/>
  <c r="BD1129" i="489"/>
  <c r="BD1141" i="489"/>
  <c r="BD1142" i="489"/>
  <c r="BD1143" i="489"/>
  <c r="BD1147" i="489"/>
  <c r="BD1148" i="489"/>
  <c r="BD1149" i="489"/>
  <c r="BD1102" i="489"/>
  <c r="BD1103" i="489"/>
  <c r="BD1104" i="489"/>
  <c r="BD1105" i="489"/>
  <c r="BD1113" i="489"/>
  <c r="BD1114" i="489"/>
  <c r="BD1115" i="489"/>
  <c r="BD1119" i="489"/>
  <c r="BD1120" i="489"/>
  <c r="BD1121" i="489"/>
  <c r="BD1073" i="489"/>
  <c r="BD1074" i="489"/>
  <c r="BD1075" i="489"/>
  <c r="BD1076" i="489"/>
  <c r="BD1077" i="489"/>
  <c r="BD1092" i="489"/>
  <c r="BD1086" i="489"/>
  <c r="BD1087" i="489"/>
  <c r="BD1091" i="489"/>
  <c r="BD1093" i="489"/>
  <c r="BD1047" i="489"/>
  <c r="BD1048" i="489"/>
  <c r="BD1049" i="489"/>
  <c r="BD1044" i="489"/>
  <c r="BD1045" i="489"/>
  <c r="BD1046" i="489"/>
  <c r="BD1064" i="489"/>
  <c r="BD1065" i="489"/>
  <c r="BD1058" i="489"/>
  <c r="BD1059" i="489"/>
  <c r="BD1063" i="489"/>
  <c r="BD1018" i="489"/>
  <c r="BD1019" i="489"/>
  <c r="BD1020" i="489"/>
  <c r="BD1021" i="489"/>
  <c r="BD1030" i="489"/>
  <c r="BD1016" i="489"/>
  <c r="BD1017" i="489"/>
  <c r="BD1037" i="489"/>
  <c r="BD1031" i="489"/>
  <c r="BD1035" i="489"/>
  <c r="BD1036" i="489"/>
  <c r="BD1023" i="489"/>
  <c r="BD1027" i="489"/>
  <c r="BD1042" i="489"/>
  <c r="BD1034" i="489"/>
  <c r="BD1026" i="489"/>
  <c r="BD1013" i="489"/>
  <c r="BD1052" i="489"/>
  <c r="BD1025" i="489"/>
  <c r="BD1029" i="489"/>
  <c r="BD1055" i="489"/>
  <c r="BD1028" i="489"/>
  <c r="BD1015" i="489"/>
  <c r="BD1014" i="489"/>
  <c r="BD1041" i="489"/>
  <c r="BD1072" i="489"/>
  <c r="BD1069" i="489"/>
  <c r="BD1083" i="489"/>
  <c r="BD1080" i="489"/>
  <c r="BD1057" i="489"/>
  <c r="BD1051" i="489"/>
  <c r="BD1089" i="489"/>
  <c r="BD1099" i="489"/>
  <c r="BD1112" i="489"/>
  <c r="BD1033" i="489"/>
  <c r="BD1043" i="489"/>
  <c r="BD1024" i="489"/>
  <c r="BD1054" i="489"/>
  <c r="BD1053" i="489"/>
  <c r="BD1070" i="489"/>
  <c r="BD1056" i="489"/>
  <c r="BD1109" i="489"/>
  <c r="BD1118" i="489"/>
  <c r="BD1081" i="489"/>
  <c r="BD1100" i="489"/>
  <c r="BD1110" i="489"/>
  <c r="BD1127" i="489"/>
  <c r="BD1140" i="489"/>
  <c r="BD1137" i="489"/>
  <c r="BD1107" i="489"/>
  <c r="BD1061" i="489"/>
  <c r="BD1084" i="489"/>
  <c r="BD1090" i="489"/>
  <c r="BD1097" i="489"/>
  <c r="BD1062" i="489"/>
  <c r="BD1071" i="489"/>
  <c r="BD1085" i="489"/>
  <c r="BD1082" i="489"/>
  <c r="BD1079" i="489"/>
  <c r="BD1101" i="489"/>
  <c r="BD1098" i="489"/>
  <c r="BD1111" i="489"/>
  <c r="BD1117" i="489"/>
  <c r="BD1139" i="489"/>
  <c r="BD1155" i="489"/>
  <c r="BD1169" i="489"/>
  <c r="BD1166" i="489"/>
  <c r="BD1163" i="489"/>
  <c r="BD1173" i="489"/>
  <c r="BD1146" i="489"/>
  <c r="BD1154" i="489"/>
  <c r="BD1168" i="489"/>
  <c r="BD1165" i="489"/>
  <c r="BD1175" i="489"/>
  <c r="BD1128" i="489"/>
  <c r="BD1125" i="489"/>
  <c r="BD1138" i="489"/>
  <c r="BD1135" i="489"/>
  <c r="BD1108" i="489"/>
  <c r="BD1126" i="489"/>
  <c r="BD1136" i="489"/>
  <c r="BD1145" i="489"/>
  <c r="BD1153" i="489"/>
  <c r="BD1167" i="489"/>
  <c r="BD1164" i="489"/>
  <c r="BD1174" i="489"/>
  <c r="BP1156" i="489"/>
  <c r="BP1157" i="489"/>
  <c r="BP1158" i="489"/>
  <c r="BP1159" i="489"/>
  <c r="BP1160" i="489"/>
  <c r="BP1161" i="489"/>
  <c r="BP1170" i="489"/>
  <c r="BP1171" i="489"/>
  <c r="BP1176" i="489"/>
  <c r="BP1177" i="489"/>
  <c r="BP1130" i="489"/>
  <c r="BP1131" i="489"/>
  <c r="BP1132" i="489"/>
  <c r="BP1133" i="489"/>
  <c r="BP1129" i="489"/>
  <c r="BP1141" i="489"/>
  <c r="BP1142" i="489"/>
  <c r="BP1143" i="489"/>
  <c r="BP1147" i="489"/>
  <c r="BP1148" i="489"/>
  <c r="BP1149" i="489"/>
  <c r="BP1102" i="489"/>
  <c r="BP1103" i="489"/>
  <c r="BP1104" i="489"/>
  <c r="BP1105" i="489"/>
  <c r="BP1113" i="489"/>
  <c r="BP1114" i="489"/>
  <c r="BP1115" i="489"/>
  <c r="BP1119" i="489"/>
  <c r="BP1120" i="489"/>
  <c r="BP1121" i="489"/>
  <c r="BP1073" i="489"/>
  <c r="BP1074" i="489"/>
  <c r="BP1075" i="489"/>
  <c r="BP1076" i="489"/>
  <c r="BP1077" i="489"/>
  <c r="BP1093" i="489"/>
  <c r="BP1092" i="489"/>
  <c r="BP1086" i="489"/>
  <c r="BP1087" i="489"/>
  <c r="BP1091" i="489"/>
  <c r="BP1047" i="489"/>
  <c r="BP1048" i="489"/>
  <c r="BP1049" i="489"/>
  <c r="BP1044" i="489"/>
  <c r="BP1045" i="489"/>
  <c r="BP1046" i="489"/>
  <c r="BP1064" i="489"/>
  <c r="BP1065" i="489"/>
  <c r="BP1058" i="489"/>
  <c r="BP1059" i="489"/>
  <c r="BP1063" i="489"/>
  <c r="BP1018" i="489"/>
  <c r="BP1019" i="489"/>
  <c r="BP1020" i="489"/>
  <c r="BP1021" i="489"/>
  <c r="BP1030" i="489"/>
  <c r="BP1016" i="489"/>
  <c r="BP1017" i="489"/>
  <c r="BP1037" i="489"/>
  <c r="BP1031" i="489"/>
  <c r="BP1035" i="489"/>
  <c r="BP1036" i="489"/>
  <c r="BP1023" i="489"/>
  <c r="BP1027" i="489"/>
  <c r="BP1042" i="489"/>
  <c r="BP1034" i="489"/>
  <c r="BP1026" i="489"/>
  <c r="BP1013" i="489"/>
  <c r="BP1052" i="489"/>
  <c r="BP1025" i="489"/>
  <c r="BP1029" i="489"/>
  <c r="BP1055" i="489"/>
  <c r="BP1028" i="489"/>
  <c r="BP1015" i="489"/>
  <c r="BP1014" i="489"/>
  <c r="BP1041" i="489"/>
  <c r="BP1072" i="489"/>
  <c r="BP1069" i="489"/>
  <c r="BP1083" i="489"/>
  <c r="BP1080" i="489"/>
  <c r="BP1057" i="489"/>
  <c r="BP1051" i="489"/>
  <c r="BP1089" i="489"/>
  <c r="BP1099" i="489"/>
  <c r="BP1112" i="489"/>
  <c r="BP1033" i="489"/>
  <c r="BP1043" i="489"/>
  <c r="BP1024" i="489"/>
  <c r="BP1054" i="489"/>
  <c r="BP1070" i="489"/>
  <c r="BP1056" i="489"/>
  <c r="BP1109" i="489"/>
  <c r="BP1118" i="489"/>
  <c r="BP1081" i="489"/>
  <c r="BP1100" i="489"/>
  <c r="BP1110" i="489"/>
  <c r="BP1127" i="489"/>
  <c r="BP1140" i="489"/>
  <c r="BP1137" i="489"/>
  <c r="BP1107" i="489"/>
  <c r="BP1128" i="489"/>
  <c r="BP1125" i="489"/>
  <c r="BP1138" i="489"/>
  <c r="BP1135" i="489"/>
  <c r="BP1061" i="489"/>
  <c r="BP1084" i="489"/>
  <c r="BP1090" i="489"/>
  <c r="BP1097" i="489"/>
  <c r="BP1062" i="489"/>
  <c r="BP1071" i="489"/>
  <c r="BP1085" i="489"/>
  <c r="BP1082" i="489"/>
  <c r="BP1079" i="489"/>
  <c r="BP1101" i="489"/>
  <c r="BP1098" i="489"/>
  <c r="BP1111" i="489"/>
  <c r="BP1053" i="489"/>
  <c r="BP1139" i="489"/>
  <c r="BP1155" i="489"/>
  <c r="BP1169" i="489"/>
  <c r="BP1166" i="489"/>
  <c r="BP1163" i="489"/>
  <c r="BP1173" i="489"/>
  <c r="BP1146" i="489"/>
  <c r="BP1154" i="489"/>
  <c r="BP1168" i="489"/>
  <c r="BP1165" i="489"/>
  <c r="BP1175" i="489"/>
  <c r="BP1108" i="489"/>
  <c r="BP1126" i="489"/>
  <c r="BP1136" i="489"/>
  <c r="BP1145" i="489"/>
  <c r="BP1153" i="489"/>
  <c r="BP1167" i="489"/>
  <c r="BP1164" i="489"/>
  <c r="BP1174" i="489"/>
  <c r="BP1117" i="489"/>
  <c r="CB1156" i="489"/>
  <c r="CB1157" i="489"/>
  <c r="CB1158" i="489"/>
  <c r="CB1159" i="489"/>
  <c r="CB1160" i="489"/>
  <c r="CB1161" i="489"/>
  <c r="CB1170" i="489"/>
  <c r="CB1171" i="489"/>
  <c r="CB1176" i="489"/>
  <c r="CB1177" i="489"/>
  <c r="CB1129" i="489"/>
  <c r="CB1130" i="489"/>
  <c r="CB1131" i="489"/>
  <c r="CB1132" i="489"/>
  <c r="CB1133" i="489"/>
  <c r="CB1141" i="489"/>
  <c r="CB1142" i="489"/>
  <c r="CB1143" i="489"/>
  <c r="CB1147" i="489"/>
  <c r="CB1148" i="489"/>
  <c r="CB1149" i="489"/>
  <c r="CB1102" i="489"/>
  <c r="CB1103" i="489"/>
  <c r="CB1104" i="489"/>
  <c r="CB1105" i="489"/>
  <c r="CB1113" i="489"/>
  <c r="CB1114" i="489"/>
  <c r="CB1115" i="489"/>
  <c r="CB1073" i="489"/>
  <c r="CB1074" i="489"/>
  <c r="CB1075" i="489"/>
  <c r="CB1076" i="489"/>
  <c r="CB1077" i="489"/>
  <c r="CB1119" i="489"/>
  <c r="CB1120" i="489"/>
  <c r="CB1121" i="489"/>
  <c r="CB1092" i="489"/>
  <c r="CB1093" i="489"/>
  <c r="CB1091" i="489"/>
  <c r="CB1087" i="489"/>
  <c r="CB1086" i="489"/>
  <c r="CB1048" i="489"/>
  <c r="CB1049" i="489"/>
  <c r="CB1044" i="489"/>
  <c r="CB1045" i="489"/>
  <c r="CB1046" i="489"/>
  <c r="CB1047" i="489"/>
  <c r="CB1065" i="489"/>
  <c r="CB1058" i="489"/>
  <c r="CB1059" i="489"/>
  <c r="CB1063" i="489"/>
  <c r="CB1064" i="489"/>
  <c r="CB1019" i="489"/>
  <c r="CB1020" i="489"/>
  <c r="CB1021" i="489"/>
  <c r="CB1030" i="489"/>
  <c r="CB1016" i="489"/>
  <c r="CB1017" i="489"/>
  <c r="CB1018" i="489"/>
  <c r="CB1031" i="489"/>
  <c r="CB1035" i="489"/>
  <c r="CB1036" i="489"/>
  <c r="CB1037" i="489"/>
  <c r="CB1034" i="489"/>
  <c r="CB1026" i="489"/>
  <c r="CB1052" i="489"/>
  <c r="CB1029" i="489"/>
  <c r="CB1055" i="489"/>
  <c r="CB1028" i="489"/>
  <c r="CB1014" i="489"/>
  <c r="CB1072" i="489"/>
  <c r="CB1083" i="489"/>
  <c r="CB1057" i="489"/>
  <c r="CB1051" i="489"/>
  <c r="CB1089" i="489"/>
  <c r="CB1099" i="489"/>
  <c r="CB1112" i="489"/>
  <c r="CB1033" i="489"/>
  <c r="CB1043" i="489"/>
  <c r="CB1023" i="489"/>
  <c r="CB1027" i="489"/>
  <c r="CB1070" i="489"/>
  <c r="CB1056" i="489"/>
  <c r="CB1118" i="489"/>
  <c r="CB1081" i="489"/>
  <c r="CB1100" i="489"/>
  <c r="CB1110" i="489"/>
  <c r="CB1127" i="489"/>
  <c r="CB1140" i="489"/>
  <c r="CB1061" i="489"/>
  <c r="CB1084" i="489"/>
  <c r="CB1090" i="489"/>
  <c r="CB1062" i="489"/>
  <c r="CB1071" i="489"/>
  <c r="CB1085" i="489"/>
  <c r="CB1082" i="489"/>
  <c r="CB1079" i="489"/>
  <c r="CB1101" i="489"/>
  <c r="CB1111" i="489"/>
  <c r="CB1146" i="489"/>
  <c r="CB1154" i="489"/>
  <c r="CB1168" i="489"/>
  <c r="CB1165" i="489"/>
  <c r="CB1175" i="489"/>
  <c r="CB1108" i="489"/>
  <c r="CB1128" i="489"/>
  <c r="CB1138" i="489"/>
  <c r="CB1135" i="489"/>
  <c r="CB1126" i="489"/>
  <c r="CB1107" i="489"/>
  <c r="CB1145" i="489"/>
  <c r="CB1167" i="489"/>
  <c r="CB1164" i="489"/>
  <c r="CB1174" i="489"/>
  <c r="CB1117" i="489"/>
  <c r="CB1139" i="489"/>
  <c r="CB1155" i="489"/>
  <c r="CB1169" i="489"/>
  <c r="CB1166" i="489"/>
  <c r="CB1163" i="489"/>
  <c r="CB1173" i="489"/>
  <c r="CN1160" i="489"/>
  <c r="CN1161" i="489"/>
  <c r="CN1170" i="489"/>
  <c r="CN1171" i="489"/>
  <c r="CN1176" i="489"/>
  <c r="CN1177" i="489"/>
  <c r="CN1129" i="489"/>
  <c r="CN1130" i="489"/>
  <c r="CN1131" i="489"/>
  <c r="CN1132" i="489"/>
  <c r="CN1133" i="489"/>
  <c r="CN1141" i="489"/>
  <c r="CN1142" i="489"/>
  <c r="CN1143" i="489"/>
  <c r="CN1147" i="489"/>
  <c r="CN1148" i="489"/>
  <c r="CN1149" i="489"/>
  <c r="CN1102" i="489"/>
  <c r="CN1103" i="489"/>
  <c r="CN1104" i="489"/>
  <c r="CN1105" i="489"/>
  <c r="CN1113" i="489"/>
  <c r="CN1114" i="489"/>
  <c r="CN1115" i="489"/>
  <c r="CN1073" i="489"/>
  <c r="CN1074" i="489"/>
  <c r="CN1075" i="489"/>
  <c r="CN1076" i="489"/>
  <c r="CN1077" i="489"/>
  <c r="CN1119" i="489"/>
  <c r="CN1120" i="489"/>
  <c r="CN1121" i="489"/>
  <c r="CN1086" i="489"/>
  <c r="CN1087" i="489"/>
  <c r="CN1091" i="489"/>
  <c r="CN1092" i="489"/>
  <c r="CN1093" i="489"/>
  <c r="CN1048" i="489"/>
  <c r="CN1049" i="489"/>
  <c r="CN1044" i="489"/>
  <c r="CN1046" i="489"/>
  <c r="CN1047" i="489"/>
  <c r="CN1065" i="489"/>
  <c r="CN1058" i="489"/>
  <c r="CN1059" i="489"/>
  <c r="CN1063" i="489"/>
  <c r="CN1064" i="489"/>
  <c r="CN1019" i="489"/>
  <c r="CN1020" i="489"/>
  <c r="CN1021" i="489"/>
  <c r="CN1030" i="489"/>
  <c r="CN1016" i="489"/>
  <c r="CN1017" i="489"/>
  <c r="CN1018" i="489"/>
  <c r="CN1031" i="489"/>
  <c r="CN1035" i="489"/>
  <c r="CN1036" i="489"/>
  <c r="CN1037" i="489"/>
  <c r="CN1026" i="489"/>
  <c r="CN1013" i="489"/>
  <c r="CN1052" i="489"/>
  <c r="CN1025" i="489"/>
  <c r="CN1029" i="489"/>
  <c r="CN1055" i="489"/>
  <c r="CN1028" i="489"/>
  <c r="CN1015" i="489"/>
  <c r="CN1014" i="489"/>
  <c r="CN1041" i="489"/>
  <c r="CN1072" i="489"/>
  <c r="CN1069" i="489"/>
  <c r="CN1083" i="489"/>
  <c r="CN1080" i="489"/>
  <c r="CN1057" i="489"/>
  <c r="CN1051" i="489"/>
  <c r="CN1089" i="489"/>
  <c r="CN1099" i="489"/>
  <c r="CN1112" i="489"/>
  <c r="CN1033" i="489"/>
  <c r="CN1043" i="489"/>
  <c r="CN1024" i="489"/>
  <c r="CN1054" i="489"/>
  <c r="CN1023" i="489"/>
  <c r="CN1027" i="489"/>
  <c r="CN1034" i="489"/>
  <c r="CN1061" i="489"/>
  <c r="CN1084" i="489"/>
  <c r="CN1081" i="489"/>
  <c r="CN1090" i="489"/>
  <c r="CN1100" i="489"/>
  <c r="CN1097" i="489"/>
  <c r="CN1110" i="489"/>
  <c r="CN1127" i="489"/>
  <c r="CN1140" i="489"/>
  <c r="CN1137" i="489"/>
  <c r="CN1107" i="489"/>
  <c r="CN1128" i="489"/>
  <c r="CN1125" i="489"/>
  <c r="CN1138" i="489"/>
  <c r="CN1135" i="489"/>
  <c r="CN1108" i="489"/>
  <c r="CN1062" i="489"/>
  <c r="CN1071" i="489"/>
  <c r="CN1085" i="489"/>
  <c r="CN1082" i="489"/>
  <c r="CN1079" i="489"/>
  <c r="CN1101" i="489"/>
  <c r="CN1111" i="489"/>
  <c r="CN1053" i="489"/>
  <c r="CN1070" i="489"/>
  <c r="CN1056" i="489"/>
  <c r="CN1109" i="489"/>
  <c r="CN1118" i="489"/>
  <c r="CN1168" i="489"/>
  <c r="CN1165" i="489"/>
  <c r="CN1175" i="489"/>
  <c r="CN1126" i="489"/>
  <c r="CN1136" i="489"/>
  <c r="CN1145" i="489"/>
  <c r="CN1153" i="489"/>
  <c r="CN1167" i="489"/>
  <c r="CN1164" i="489"/>
  <c r="CN1174" i="489"/>
  <c r="CN1117" i="489"/>
  <c r="CN1139" i="489"/>
  <c r="CN1155" i="489"/>
  <c r="CN1169" i="489"/>
  <c r="CN1166" i="489"/>
  <c r="CN1163" i="489"/>
  <c r="CN1173" i="489"/>
  <c r="CN1146" i="489"/>
  <c r="CZ1160" i="489"/>
  <c r="CZ1161" i="489"/>
  <c r="CZ1170" i="489"/>
  <c r="CZ1171" i="489"/>
  <c r="CZ1176" i="489"/>
  <c r="CZ1177" i="489"/>
  <c r="CZ1132" i="489"/>
  <c r="CZ1133" i="489"/>
  <c r="CZ1129" i="489"/>
  <c r="CZ1141" i="489"/>
  <c r="CZ1143" i="489"/>
  <c r="CZ1147" i="489"/>
  <c r="CZ1148" i="489"/>
  <c r="CZ1149" i="489"/>
  <c r="CZ1104" i="489"/>
  <c r="CZ1105" i="489"/>
  <c r="CZ1114" i="489"/>
  <c r="CZ1115" i="489"/>
  <c r="CZ1119" i="489"/>
  <c r="CZ1120" i="489"/>
  <c r="CZ1121" i="489"/>
  <c r="CZ1073" i="489"/>
  <c r="CZ1075" i="489"/>
  <c r="CZ1076" i="489"/>
  <c r="CZ1077" i="489"/>
  <c r="CZ1086" i="489"/>
  <c r="CZ1087" i="489"/>
  <c r="CZ1092" i="489"/>
  <c r="CZ1093" i="489"/>
  <c r="CZ1091" i="489"/>
  <c r="CZ1049" i="489"/>
  <c r="CZ1044" i="489"/>
  <c r="CZ1047" i="489"/>
  <c r="CZ1048" i="489"/>
  <c r="CZ1058" i="489"/>
  <c r="CZ1059" i="489"/>
  <c r="CZ1063" i="489"/>
  <c r="CZ1064" i="489"/>
  <c r="CZ1065" i="489"/>
  <c r="CZ1020" i="489"/>
  <c r="CZ1021" i="489"/>
  <c r="CZ1030" i="489"/>
  <c r="CZ1016" i="489"/>
  <c r="CZ1017" i="489"/>
  <c r="CZ1019" i="489"/>
  <c r="CZ1031" i="489"/>
  <c r="CZ1035" i="489"/>
  <c r="CZ1036" i="489"/>
  <c r="CZ1037" i="489"/>
  <c r="CZ1025" i="489"/>
  <c r="CZ1029" i="489"/>
  <c r="CZ1028" i="489"/>
  <c r="CZ1057" i="489"/>
  <c r="CZ1089" i="489"/>
  <c r="CZ1099" i="489"/>
  <c r="CZ1033" i="489"/>
  <c r="CZ1043" i="489"/>
  <c r="CZ1024" i="489"/>
  <c r="CZ1054" i="489"/>
  <c r="CZ1023" i="489"/>
  <c r="CZ1034" i="489"/>
  <c r="CZ1026" i="489"/>
  <c r="CZ1128" i="489"/>
  <c r="CZ1135" i="489"/>
  <c r="CZ1061" i="489"/>
  <c r="CZ1117" i="489"/>
  <c r="CZ1084" i="489"/>
  <c r="CZ1090" i="489"/>
  <c r="CZ1062" i="489"/>
  <c r="CZ1085" i="489"/>
  <c r="CZ1082" i="489"/>
  <c r="CZ1053" i="489"/>
  <c r="CZ1056" i="489"/>
  <c r="CZ1109" i="489"/>
  <c r="CZ1137" i="489"/>
  <c r="CZ1168" i="489"/>
  <c r="CZ1165" i="489"/>
  <c r="CZ1108" i="489"/>
  <c r="CZ1136" i="489"/>
  <c r="CZ1174" i="489"/>
  <c r="CZ1155" i="489"/>
  <c r="CZ1169" i="489"/>
  <c r="CZ1166" i="489"/>
  <c r="CZ1163" i="489"/>
  <c r="CZ1173" i="489"/>
  <c r="CZ1146" i="489"/>
  <c r="DL1156" i="489"/>
  <c r="DL1157" i="489"/>
  <c r="DL1158" i="489"/>
  <c r="DL1159" i="489"/>
  <c r="DL1160" i="489"/>
  <c r="DL1161" i="489"/>
  <c r="DL1170" i="489"/>
  <c r="DL1171" i="489"/>
  <c r="DL1176" i="489"/>
  <c r="DL1177" i="489"/>
  <c r="DL1129" i="489"/>
  <c r="DL1130" i="489"/>
  <c r="DL1131" i="489"/>
  <c r="DL1132" i="489"/>
  <c r="DL1133" i="489"/>
  <c r="DL1141" i="489"/>
  <c r="DL1142" i="489"/>
  <c r="DL1143" i="489"/>
  <c r="DL1147" i="489"/>
  <c r="DL1148" i="489"/>
  <c r="DL1149" i="489"/>
  <c r="DL1102" i="489"/>
  <c r="DL1103" i="489"/>
  <c r="DL1104" i="489"/>
  <c r="DL1105" i="489"/>
  <c r="DL1113" i="489"/>
  <c r="DL1114" i="489"/>
  <c r="DL1115" i="489"/>
  <c r="DL1119" i="489"/>
  <c r="DL1120" i="489"/>
  <c r="DL1121" i="489"/>
  <c r="DL1073" i="489"/>
  <c r="DL1074" i="489"/>
  <c r="DL1075" i="489"/>
  <c r="DL1076" i="489"/>
  <c r="DL1077" i="489"/>
  <c r="DL1093" i="489"/>
  <c r="DL1092" i="489"/>
  <c r="DL1086" i="489"/>
  <c r="DL1087" i="489"/>
  <c r="DL1091" i="489"/>
  <c r="DL1044" i="489"/>
  <c r="DL1045" i="489"/>
  <c r="DL1046" i="489"/>
  <c r="DL1047" i="489"/>
  <c r="DL1048" i="489"/>
  <c r="DL1049" i="489"/>
  <c r="DL1058" i="489"/>
  <c r="DL1059" i="489"/>
  <c r="DL1063" i="489"/>
  <c r="DL1064" i="489"/>
  <c r="DL1065" i="489"/>
  <c r="DL1016" i="489"/>
  <c r="DL1017" i="489"/>
  <c r="DL1018" i="489"/>
  <c r="DL1019" i="489"/>
  <c r="DL1020" i="489"/>
  <c r="DL1021" i="489"/>
  <c r="DL1030" i="489"/>
  <c r="DL1031" i="489"/>
  <c r="DL1035" i="489"/>
  <c r="DL1036" i="489"/>
  <c r="DL1037" i="489"/>
  <c r="DL1029" i="489"/>
  <c r="DL1055" i="489"/>
  <c r="DL1028" i="489"/>
  <c r="DL1015" i="489"/>
  <c r="DL1014" i="489"/>
  <c r="DL1041" i="489"/>
  <c r="DL1072" i="489"/>
  <c r="DL1069" i="489"/>
  <c r="DL1083" i="489"/>
  <c r="DL1080" i="489"/>
  <c r="DL1057" i="489"/>
  <c r="DL1051" i="489"/>
  <c r="DL1089" i="489"/>
  <c r="DL1099" i="489"/>
  <c r="DL1112" i="489"/>
  <c r="DL1033" i="489"/>
  <c r="DL1043" i="489"/>
  <c r="DL1024" i="489"/>
  <c r="DL1054" i="489"/>
  <c r="DL1023" i="489"/>
  <c r="DL1027" i="489"/>
  <c r="DL1042" i="489"/>
  <c r="DL1034" i="489"/>
  <c r="DL1026" i="489"/>
  <c r="DL1013" i="489"/>
  <c r="DL1052" i="489"/>
  <c r="DL1025" i="489"/>
  <c r="DL1061" i="489"/>
  <c r="DL1084" i="489"/>
  <c r="DL1090" i="489"/>
  <c r="DL1097" i="489"/>
  <c r="DL1062" i="489"/>
  <c r="DL1071" i="489"/>
  <c r="DL1085" i="489"/>
  <c r="DL1082" i="489"/>
  <c r="DL1079" i="489"/>
  <c r="DL1101" i="489"/>
  <c r="DL1098" i="489"/>
  <c r="DL1139" i="489"/>
  <c r="DL1111" i="489"/>
  <c r="DL1053" i="489"/>
  <c r="DL1070" i="489"/>
  <c r="DL1056" i="489"/>
  <c r="DL1109" i="489"/>
  <c r="DL1118" i="489"/>
  <c r="DL1127" i="489"/>
  <c r="DL1140" i="489"/>
  <c r="DL1137" i="489"/>
  <c r="DL1081" i="489"/>
  <c r="DL1100" i="489"/>
  <c r="DL1110" i="489"/>
  <c r="DL1107" i="489"/>
  <c r="DL1128" i="489"/>
  <c r="DL1125" i="489"/>
  <c r="DL1138" i="489"/>
  <c r="DL1135" i="489"/>
  <c r="DL1108" i="489"/>
  <c r="DL1126" i="489"/>
  <c r="DL1136" i="489"/>
  <c r="DL1145" i="489"/>
  <c r="DL1153" i="489"/>
  <c r="DL1167" i="489"/>
  <c r="DL1164" i="489"/>
  <c r="DL1174" i="489"/>
  <c r="DL1117" i="489"/>
  <c r="DL1155" i="489"/>
  <c r="DL1169" i="489"/>
  <c r="DL1166" i="489"/>
  <c r="DL1163" i="489"/>
  <c r="DL1173" i="489"/>
  <c r="DL1146" i="489"/>
  <c r="DL1154" i="489"/>
  <c r="DL1168" i="489"/>
  <c r="DL1165" i="489"/>
  <c r="DL1175" i="489"/>
  <c r="DY1156" i="489"/>
  <c r="DY1157" i="489"/>
  <c r="DY1158" i="489"/>
  <c r="DY1159" i="489"/>
  <c r="DY1160" i="489"/>
  <c r="DY1161" i="489"/>
  <c r="DY1170" i="489"/>
  <c r="DY1171" i="489"/>
  <c r="DY1176" i="489"/>
  <c r="DY1177" i="489"/>
  <c r="DY1129" i="489"/>
  <c r="DY1130" i="489"/>
  <c r="DY1131" i="489"/>
  <c r="DY1132" i="489"/>
  <c r="DY1133" i="489"/>
  <c r="DY1141" i="489"/>
  <c r="DY1142" i="489"/>
  <c r="DY1143" i="489"/>
  <c r="DY1149" i="489"/>
  <c r="DY1147" i="489"/>
  <c r="DY1148" i="489"/>
  <c r="DY1102" i="489"/>
  <c r="DY1103" i="489"/>
  <c r="DY1104" i="489"/>
  <c r="DY1105" i="489"/>
  <c r="DY1114" i="489"/>
  <c r="DY1115" i="489"/>
  <c r="DY1119" i="489"/>
  <c r="DY1120" i="489"/>
  <c r="DY1121" i="489"/>
  <c r="DY1113" i="489"/>
  <c r="DY1073" i="489"/>
  <c r="DY1074" i="489"/>
  <c r="DY1075" i="489"/>
  <c r="DY1076" i="489"/>
  <c r="DY1077" i="489"/>
  <c r="DY1086" i="489"/>
  <c r="DY1087" i="489"/>
  <c r="DY1091" i="489"/>
  <c r="DY1092" i="489"/>
  <c r="DY1093" i="489"/>
  <c r="DY1044" i="489"/>
  <c r="DY1045" i="489"/>
  <c r="DY1046" i="489"/>
  <c r="DY1047" i="489"/>
  <c r="DY1048" i="489"/>
  <c r="DY1049" i="489"/>
  <c r="DY1058" i="489"/>
  <c r="DY1059" i="489"/>
  <c r="DY1063" i="489"/>
  <c r="DY1064" i="489"/>
  <c r="DY1065" i="489"/>
  <c r="DY1016" i="489"/>
  <c r="DY1017" i="489"/>
  <c r="DY1018" i="489"/>
  <c r="DY1019" i="489"/>
  <c r="DY1020" i="489"/>
  <c r="DY1021" i="489"/>
  <c r="DY1030" i="489"/>
  <c r="DY1031" i="489"/>
  <c r="DY1035" i="489"/>
  <c r="DY1036" i="489"/>
  <c r="DY1037" i="489"/>
  <c r="DY1015" i="489"/>
  <c r="DY1052" i="489"/>
  <c r="DY1061" i="489"/>
  <c r="DY1070" i="489"/>
  <c r="DY1084" i="489"/>
  <c r="DY1081" i="489"/>
  <c r="DY1090" i="489"/>
  <c r="DY1100" i="489"/>
  <c r="DY1097" i="489"/>
  <c r="DY1110" i="489"/>
  <c r="DY1055" i="489"/>
  <c r="DY1056" i="489"/>
  <c r="DY1041" i="489"/>
  <c r="DY1042" i="489"/>
  <c r="DY1057" i="489"/>
  <c r="DY1033" i="489"/>
  <c r="DY1034" i="489"/>
  <c r="DY1043" i="489"/>
  <c r="DY1024" i="489"/>
  <c r="DY1025" i="489"/>
  <c r="DY1023" i="489"/>
  <c r="DY1027" i="489"/>
  <c r="DY1028" i="489"/>
  <c r="DY1026" i="489"/>
  <c r="DY1013" i="489"/>
  <c r="DY1014" i="489"/>
  <c r="DY1029" i="489"/>
  <c r="DY1053" i="489"/>
  <c r="DY1054" i="489"/>
  <c r="DY1107" i="489"/>
  <c r="DY1128" i="489"/>
  <c r="DY1125" i="489"/>
  <c r="DY1138" i="489"/>
  <c r="DY1135" i="489"/>
  <c r="DY1072" i="489"/>
  <c r="DY1069" i="489"/>
  <c r="DY1083" i="489"/>
  <c r="DY1080" i="489"/>
  <c r="DY1089" i="489"/>
  <c r="DY1099" i="489"/>
  <c r="DY1112" i="489"/>
  <c r="DY1062" i="489"/>
  <c r="DY1071" i="489"/>
  <c r="DY1085" i="489"/>
  <c r="DY1082" i="489"/>
  <c r="DY1079" i="489"/>
  <c r="DY1101" i="489"/>
  <c r="DY1098" i="489"/>
  <c r="DY1111" i="489"/>
  <c r="DY1051" i="489"/>
  <c r="DY1126" i="489"/>
  <c r="DY1136" i="489"/>
  <c r="DY1155" i="489"/>
  <c r="DY1169" i="489"/>
  <c r="DY1166" i="489"/>
  <c r="DY1163" i="489"/>
  <c r="DY1173" i="489"/>
  <c r="DY1146" i="489"/>
  <c r="DY1154" i="489"/>
  <c r="DY1168" i="489"/>
  <c r="DY1165" i="489"/>
  <c r="DY1175" i="489"/>
  <c r="DY1145" i="489"/>
  <c r="DY1153" i="489"/>
  <c r="DY1167" i="489"/>
  <c r="DY1164" i="489"/>
  <c r="DY1174" i="489"/>
  <c r="DY1117" i="489"/>
  <c r="DY1139" i="489"/>
  <c r="DY1108" i="489"/>
  <c r="DY1109" i="489"/>
  <c r="DY1118" i="489"/>
  <c r="DY1127" i="489"/>
  <c r="DY1140" i="489"/>
  <c r="DY1137" i="489"/>
  <c r="EL1156" i="489"/>
  <c r="EL1157" i="489"/>
  <c r="EL1158" i="489"/>
  <c r="EL1159" i="489"/>
  <c r="EL1160" i="489"/>
  <c r="EL1161" i="489"/>
  <c r="EL1170" i="489"/>
  <c r="EL1171" i="489"/>
  <c r="EL1176" i="489"/>
  <c r="EL1177" i="489"/>
  <c r="EL1129" i="489"/>
  <c r="EL1130" i="489"/>
  <c r="EL1131" i="489"/>
  <c r="EL1132" i="489"/>
  <c r="EL1133" i="489"/>
  <c r="EL1147" i="489"/>
  <c r="EL1148" i="489"/>
  <c r="EL1149" i="489"/>
  <c r="EL1143" i="489"/>
  <c r="EL1141" i="489"/>
  <c r="EL1142" i="489"/>
  <c r="EL1113" i="489"/>
  <c r="EL1102" i="489"/>
  <c r="EL1103" i="489"/>
  <c r="EL1104" i="489"/>
  <c r="EL1105" i="489"/>
  <c r="EL1114" i="489"/>
  <c r="EL1115" i="489"/>
  <c r="EL1119" i="489"/>
  <c r="EL1120" i="489"/>
  <c r="EL1121" i="489"/>
  <c r="EL1073" i="489"/>
  <c r="EL1074" i="489"/>
  <c r="EL1075" i="489"/>
  <c r="EL1076" i="489"/>
  <c r="EL1077" i="489"/>
  <c r="EL1086" i="489"/>
  <c r="EL1087" i="489"/>
  <c r="EL1091" i="489"/>
  <c r="EL1092" i="489"/>
  <c r="EL1093" i="489"/>
  <c r="EL1044" i="489"/>
  <c r="EL1045" i="489"/>
  <c r="EL1046" i="489"/>
  <c r="EL1047" i="489"/>
  <c r="EL1048" i="489"/>
  <c r="EL1049" i="489"/>
  <c r="EL1058" i="489"/>
  <c r="EL1059" i="489"/>
  <c r="EL1063" i="489"/>
  <c r="EL1064" i="489"/>
  <c r="EL1065" i="489"/>
  <c r="EL1030" i="489"/>
  <c r="EL1016" i="489"/>
  <c r="EL1017" i="489"/>
  <c r="EL1018" i="489"/>
  <c r="EL1019" i="489"/>
  <c r="EL1020" i="489"/>
  <c r="EL1021" i="489"/>
  <c r="EL1031" i="489"/>
  <c r="EL1035" i="489"/>
  <c r="EL1036" i="489"/>
  <c r="EL1037" i="489"/>
  <c r="EL1024" i="489"/>
  <c r="EL1025" i="489"/>
  <c r="EL1055" i="489"/>
  <c r="EL1015" i="489"/>
  <c r="EL1043" i="489"/>
  <c r="EL1027" i="489"/>
  <c r="EL1028" i="489"/>
  <c r="EL1023" i="489"/>
  <c r="EL1070" i="489"/>
  <c r="EL1013" i="489"/>
  <c r="EL1041" i="489"/>
  <c r="EL1014" i="489"/>
  <c r="EL1042" i="489"/>
  <c r="EL1061" i="489"/>
  <c r="EL1084" i="489"/>
  <c r="EL1026" i="489"/>
  <c r="EL1081" i="489"/>
  <c r="EL1033" i="489"/>
  <c r="EL1034" i="489"/>
  <c r="EL1052" i="489"/>
  <c r="EL1100" i="489"/>
  <c r="EL1029" i="489"/>
  <c r="EL1057" i="489"/>
  <c r="EL1085" i="489"/>
  <c r="EL1072" i="489"/>
  <c r="EL1062" i="489"/>
  <c r="EL1082" i="489"/>
  <c r="EL1069" i="489"/>
  <c r="EL1110" i="489"/>
  <c r="EL1079" i="489"/>
  <c r="EL1083" i="489"/>
  <c r="EL1107" i="489"/>
  <c r="EL1101" i="489"/>
  <c r="EL1051" i="489"/>
  <c r="EL1080" i="489"/>
  <c r="EL1128" i="489"/>
  <c r="EL1126" i="489"/>
  <c r="EL1090" i="489"/>
  <c r="EL1053" i="489"/>
  <c r="EL1098" i="489"/>
  <c r="EL1089" i="489"/>
  <c r="EL1125" i="489"/>
  <c r="EL1097" i="489"/>
  <c r="EL1111" i="489"/>
  <c r="EL1099" i="489"/>
  <c r="EL1138" i="489"/>
  <c r="EL1136" i="489"/>
  <c r="EL1054" i="489"/>
  <c r="EL1112" i="489"/>
  <c r="EL1135" i="489"/>
  <c r="EL1056" i="489"/>
  <c r="EL1071" i="489"/>
  <c r="EL1169" i="489"/>
  <c r="EL1175" i="489"/>
  <c r="EL1109" i="489"/>
  <c r="EL1166" i="489"/>
  <c r="EL1118" i="489"/>
  <c r="EL1163" i="489"/>
  <c r="EL1139" i="489"/>
  <c r="EL1127" i="489"/>
  <c r="EL1173" i="489"/>
  <c r="EL1140" i="489"/>
  <c r="EL1137" i="489"/>
  <c r="EL1146" i="489"/>
  <c r="EL1145" i="489"/>
  <c r="EL1117" i="489"/>
  <c r="EL1153" i="489"/>
  <c r="EL1167" i="489"/>
  <c r="EL1154" i="489"/>
  <c r="EL1108" i="489"/>
  <c r="EL1164" i="489"/>
  <c r="EL1168" i="489"/>
  <c r="EL1155" i="489"/>
  <c r="EL1174" i="489"/>
  <c r="EL1165" i="489"/>
  <c r="EW1156" i="489"/>
  <c r="EW1158" i="489"/>
  <c r="EW1159" i="489"/>
  <c r="EW1160" i="489"/>
  <c r="EW1161" i="489"/>
  <c r="EW1170" i="489"/>
  <c r="EW1171" i="489"/>
  <c r="EW1176" i="489"/>
  <c r="EW1177" i="489"/>
  <c r="EW1130" i="489"/>
  <c r="EW1131" i="489"/>
  <c r="EW1132" i="489"/>
  <c r="EW1133" i="489"/>
  <c r="EW1147" i="489"/>
  <c r="EW1148" i="489"/>
  <c r="EW1143" i="489"/>
  <c r="EW1149" i="489"/>
  <c r="EW1103" i="489"/>
  <c r="EW1104" i="489"/>
  <c r="EW1105" i="489"/>
  <c r="EW1115" i="489"/>
  <c r="EW1119" i="489"/>
  <c r="EW1120" i="489"/>
  <c r="EW1121" i="489"/>
  <c r="EW1073" i="489"/>
  <c r="EW1074" i="489"/>
  <c r="EW1075" i="489"/>
  <c r="EW1076" i="489"/>
  <c r="EW1077" i="489"/>
  <c r="EW1086" i="489"/>
  <c r="EW1087" i="489"/>
  <c r="EW1091" i="489"/>
  <c r="EW1092" i="489"/>
  <c r="EW1093" i="489"/>
  <c r="EW1046" i="489"/>
  <c r="EW1047" i="489"/>
  <c r="EW1048" i="489"/>
  <c r="EW1049" i="489"/>
  <c r="EW1058" i="489"/>
  <c r="EW1059" i="489"/>
  <c r="EW1063" i="489"/>
  <c r="EW1064" i="489"/>
  <c r="EW1065" i="489"/>
  <c r="EW1016" i="489"/>
  <c r="EW1018" i="489"/>
  <c r="EW1019" i="489"/>
  <c r="EW1020" i="489"/>
  <c r="EW1021" i="489"/>
  <c r="EW1030" i="489"/>
  <c r="EW1031" i="489"/>
  <c r="EW1035" i="489"/>
  <c r="EW1036" i="489"/>
  <c r="EW1037" i="489"/>
  <c r="EW1052" i="489"/>
  <c r="EW1061" i="489"/>
  <c r="EW1070" i="489"/>
  <c r="EW1084" i="489"/>
  <c r="EW1081" i="489"/>
  <c r="EW1090" i="489"/>
  <c r="EW1100" i="489"/>
  <c r="EW1097" i="489"/>
  <c r="EW1110" i="489"/>
  <c r="EW1107" i="489"/>
  <c r="EW1055" i="489"/>
  <c r="EW1056" i="489"/>
  <c r="EW1041" i="489"/>
  <c r="EW1042" i="489"/>
  <c r="EW1033" i="489"/>
  <c r="EW1034" i="489"/>
  <c r="EW1043" i="489"/>
  <c r="EW1024" i="489"/>
  <c r="EW1025" i="489"/>
  <c r="EW1023" i="489"/>
  <c r="EW1027" i="489"/>
  <c r="EW1028" i="489"/>
  <c r="EW1026" i="489"/>
  <c r="EW1013" i="489"/>
  <c r="EW1014" i="489"/>
  <c r="EW1015" i="489"/>
  <c r="EW1128" i="489"/>
  <c r="EW1125" i="489"/>
  <c r="EW1138" i="489"/>
  <c r="EW1135" i="489"/>
  <c r="EW1069" i="489"/>
  <c r="EW1083" i="489"/>
  <c r="EW1080" i="489"/>
  <c r="EW1089" i="489"/>
  <c r="EW1099" i="489"/>
  <c r="EW1062" i="489"/>
  <c r="EW1082" i="489"/>
  <c r="EW1079" i="489"/>
  <c r="EW1098" i="489"/>
  <c r="EW1111" i="489"/>
  <c r="EW1051" i="489"/>
  <c r="EW1053" i="489"/>
  <c r="EW1054" i="489"/>
  <c r="EW1146" i="489"/>
  <c r="EW1154" i="489"/>
  <c r="EW1168" i="489"/>
  <c r="EW1165" i="489"/>
  <c r="EW1175" i="489"/>
  <c r="EW1145" i="489"/>
  <c r="EW1153" i="489"/>
  <c r="EW1167" i="489"/>
  <c r="EW1164" i="489"/>
  <c r="EW1174" i="489"/>
  <c r="EW1139" i="489"/>
  <c r="EW1117" i="489"/>
  <c r="EW1108" i="489"/>
  <c r="EW1109" i="489"/>
  <c r="EW1118" i="489"/>
  <c r="EW1127" i="489"/>
  <c r="EW1137" i="489"/>
  <c r="EW1126" i="489"/>
  <c r="EW1136" i="489"/>
  <c r="EW1166" i="489"/>
  <c r="EW1163" i="489"/>
  <c r="EW1173" i="489"/>
  <c r="T989" i="489"/>
  <c r="T1156" i="489"/>
  <c r="T1157" i="489"/>
  <c r="T1158" i="489"/>
  <c r="T1159" i="489"/>
  <c r="T1160" i="489"/>
  <c r="T1161" i="489"/>
  <c r="T1170" i="489"/>
  <c r="T1171" i="489"/>
  <c r="T1176" i="489"/>
  <c r="T1177" i="489"/>
  <c r="T1130" i="489"/>
  <c r="T1131" i="489"/>
  <c r="T1132" i="489"/>
  <c r="T1133" i="489"/>
  <c r="T1129" i="489"/>
  <c r="T1141" i="489"/>
  <c r="T1142" i="489"/>
  <c r="T1143" i="489"/>
  <c r="T1147" i="489"/>
  <c r="T1148" i="489"/>
  <c r="T1149" i="489"/>
  <c r="T1102" i="489"/>
  <c r="T1103" i="489"/>
  <c r="T1104" i="489"/>
  <c r="T1105" i="489"/>
  <c r="T1113" i="489"/>
  <c r="T1114" i="489"/>
  <c r="T1115" i="489"/>
  <c r="T1073" i="489"/>
  <c r="T1074" i="489"/>
  <c r="T1075" i="489"/>
  <c r="T1076" i="489"/>
  <c r="T1077" i="489"/>
  <c r="T1119" i="489"/>
  <c r="T1120" i="489"/>
  <c r="T1121" i="489"/>
  <c r="T1086" i="489"/>
  <c r="T1087" i="489"/>
  <c r="T1093" i="489"/>
  <c r="T1091" i="489"/>
  <c r="T1092" i="489"/>
  <c r="T1044" i="489"/>
  <c r="T1045" i="489"/>
  <c r="T1046" i="489"/>
  <c r="T1047" i="489"/>
  <c r="T1048" i="489"/>
  <c r="T1049" i="489"/>
  <c r="T1058" i="489"/>
  <c r="T1059" i="489"/>
  <c r="T1063" i="489"/>
  <c r="T1064" i="489"/>
  <c r="T1065" i="489"/>
  <c r="T1016" i="489"/>
  <c r="T1017" i="489"/>
  <c r="T1018" i="489"/>
  <c r="T1019" i="489"/>
  <c r="T1020" i="489"/>
  <c r="T1021" i="489"/>
  <c r="T1030" i="489"/>
  <c r="T1035" i="489"/>
  <c r="T1036" i="489"/>
  <c r="T1037" i="489"/>
  <c r="T1031" i="489"/>
  <c r="T1033" i="489"/>
  <c r="T1089" i="489"/>
  <c r="T1099" i="489"/>
  <c r="T1112" i="489"/>
  <c r="T1043" i="489"/>
  <c r="T1024" i="489"/>
  <c r="T1054" i="489"/>
  <c r="T1023" i="489"/>
  <c r="T1027" i="489"/>
  <c r="T1042" i="489"/>
  <c r="T1057" i="489"/>
  <c r="T1034" i="489"/>
  <c r="T1026" i="489"/>
  <c r="T1013" i="489"/>
  <c r="T1052" i="489"/>
  <c r="T1084" i="489"/>
  <c r="T1081" i="489"/>
  <c r="T1090" i="489"/>
  <c r="T1100" i="489"/>
  <c r="T1097" i="489"/>
  <c r="T1110" i="489"/>
  <c r="T1025" i="489"/>
  <c r="T1029" i="489"/>
  <c r="T1055" i="489"/>
  <c r="T1028" i="489"/>
  <c r="T1015" i="489"/>
  <c r="T1014" i="489"/>
  <c r="T1041" i="489"/>
  <c r="T1051" i="489"/>
  <c r="T1072" i="489"/>
  <c r="T1069" i="489"/>
  <c r="T1083" i="489"/>
  <c r="T1080" i="489"/>
  <c r="T1062" i="489"/>
  <c r="T1071" i="489"/>
  <c r="T1085" i="489"/>
  <c r="T1082" i="489"/>
  <c r="T1079" i="489"/>
  <c r="T1101" i="489"/>
  <c r="T1098" i="489"/>
  <c r="T1053" i="489"/>
  <c r="T1111" i="489"/>
  <c r="T1070" i="489"/>
  <c r="T1056" i="489"/>
  <c r="T1109" i="489"/>
  <c r="T1118" i="489"/>
  <c r="T1127" i="489"/>
  <c r="T1140" i="489"/>
  <c r="T1137" i="489"/>
  <c r="T1107" i="489"/>
  <c r="T1128" i="489"/>
  <c r="T1125" i="489"/>
  <c r="T1138" i="489"/>
  <c r="T1135" i="489"/>
  <c r="T1061" i="489"/>
  <c r="T1108" i="489"/>
  <c r="T1145" i="489"/>
  <c r="T1153" i="489"/>
  <c r="T1167" i="489"/>
  <c r="T1164" i="489"/>
  <c r="T1174" i="489"/>
  <c r="T1117" i="489"/>
  <c r="T1139" i="489"/>
  <c r="T1155" i="489"/>
  <c r="T1169" i="489"/>
  <c r="T1166" i="489"/>
  <c r="T1163" i="489"/>
  <c r="T1173" i="489"/>
  <c r="T1146" i="489"/>
  <c r="T1154" i="489"/>
  <c r="T1168" i="489"/>
  <c r="T1165" i="489"/>
  <c r="T1175" i="489"/>
  <c r="T1126" i="489"/>
  <c r="T1136" i="489"/>
  <c r="AG987" i="489"/>
  <c r="AG1156" i="489"/>
  <c r="AG1157" i="489"/>
  <c r="AG1158" i="489"/>
  <c r="AG1159" i="489"/>
  <c r="AG1160" i="489"/>
  <c r="AG1161" i="489"/>
  <c r="AG1170" i="489"/>
  <c r="AG1171" i="489"/>
  <c r="AG1176" i="489"/>
  <c r="AG1177" i="489"/>
  <c r="AG1129" i="489"/>
  <c r="AG1130" i="489"/>
  <c r="AG1131" i="489"/>
  <c r="AG1132" i="489"/>
  <c r="AG1133" i="489"/>
  <c r="AG1141" i="489"/>
  <c r="AG1142" i="489"/>
  <c r="AG1143" i="489"/>
  <c r="AG1147" i="489"/>
  <c r="AG1148" i="489"/>
  <c r="AG1149" i="489"/>
  <c r="AG1103" i="489"/>
  <c r="AG1104" i="489"/>
  <c r="AG1105" i="489"/>
  <c r="AG1102" i="489"/>
  <c r="AG1113" i="489"/>
  <c r="AG1115" i="489"/>
  <c r="AG1119" i="489"/>
  <c r="AG1120" i="489"/>
  <c r="AG1121" i="489"/>
  <c r="AG1114" i="489"/>
  <c r="AG1073" i="489"/>
  <c r="AG1074" i="489"/>
  <c r="AG1075" i="489"/>
  <c r="AG1076" i="489"/>
  <c r="AG1077" i="489"/>
  <c r="AG1086" i="489"/>
  <c r="AG1087" i="489"/>
  <c r="AG1091" i="489"/>
  <c r="AG1092" i="489"/>
  <c r="AG1093" i="489"/>
  <c r="AG1046" i="489"/>
  <c r="AG1047" i="489"/>
  <c r="AG1048" i="489"/>
  <c r="AG1049" i="489"/>
  <c r="AG1044" i="489"/>
  <c r="AG1045" i="489"/>
  <c r="AG1063" i="489"/>
  <c r="AG1064" i="489"/>
  <c r="AG1065" i="489"/>
  <c r="AG1058" i="489"/>
  <c r="AG1059" i="489"/>
  <c r="AG1017" i="489"/>
  <c r="AG1018" i="489"/>
  <c r="AG1019" i="489"/>
  <c r="AG1020" i="489"/>
  <c r="AG1021" i="489"/>
  <c r="AG1030" i="489"/>
  <c r="AG1016" i="489"/>
  <c r="AG1036" i="489"/>
  <c r="AG1037" i="489"/>
  <c r="AG1031" i="489"/>
  <c r="AG1035" i="489"/>
  <c r="AG1052" i="489"/>
  <c r="AG1061" i="489"/>
  <c r="AG1070" i="489"/>
  <c r="AG1055" i="489"/>
  <c r="AG1056" i="489"/>
  <c r="AG1041" i="489"/>
  <c r="AG1042" i="489"/>
  <c r="AG1033" i="489"/>
  <c r="AG1034" i="489"/>
  <c r="AG1043" i="489"/>
  <c r="AG1024" i="489"/>
  <c r="AG1025" i="489"/>
  <c r="AG1023" i="489"/>
  <c r="AG1027" i="489"/>
  <c r="AG1028" i="489"/>
  <c r="AG1026" i="489"/>
  <c r="AG1013" i="489"/>
  <c r="AG1014" i="489"/>
  <c r="AG1029" i="489"/>
  <c r="AG1015" i="489"/>
  <c r="AG1084" i="489"/>
  <c r="AG1090" i="489"/>
  <c r="AG1097" i="489"/>
  <c r="AG1108" i="489"/>
  <c r="AG1081" i="489"/>
  <c r="AG1100" i="489"/>
  <c r="AG1072" i="489"/>
  <c r="AG1069" i="489"/>
  <c r="AG1083" i="489"/>
  <c r="AG1080" i="489"/>
  <c r="AG1089" i="489"/>
  <c r="AG1099" i="489"/>
  <c r="AG1112" i="489"/>
  <c r="AG1062" i="489"/>
  <c r="AG1071" i="489"/>
  <c r="AG1085" i="489"/>
  <c r="AG1082" i="489"/>
  <c r="AG1079" i="489"/>
  <c r="AG1101" i="489"/>
  <c r="AG1098" i="489"/>
  <c r="AG1111" i="489"/>
  <c r="AG1051" i="489"/>
  <c r="AG1053" i="489"/>
  <c r="AG1054" i="489"/>
  <c r="AG1057" i="489"/>
  <c r="AG1110" i="489"/>
  <c r="AG1117" i="489"/>
  <c r="AG1139" i="489"/>
  <c r="AG1107" i="489"/>
  <c r="AG1125" i="489"/>
  <c r="AG1135" i="489"/>
  <c r="AG1126" i="489"/>
  <c r="AG1136" i="489"/>
  <c r="AG1128" i="489"/>
  <c r="AG1138" i="489"/>
  <c r="AG1109" i="489"/>
  <c r="AG1118" i="489"/>
  <c r="AG1127" i="489"/>
  <c r="AG1140" i="489"/>
  <c r="AG1137" i="489"/>
  <c r="AG1155" i="489"/>
  <c r="AG1169" i="489"/>
  <c r="AG1166" i="489"/>
  <c r="AG1163" i="489"/>
  <c r="AG1173" i="489"/>
  <c r="AG1146" i="489"/>
  <c r="AG1154" i="489"/>
  <c r="AG1168" i="489"/>
  <c r="AG1165" i="489"/>
  <c r="AG1175" i="489"/>
  <c r="AG1145" i="489"/>
  <c r="AG1153" i="489"/>
  <c r="AG1167" i="489"/>
  <c r="AG1164" i="489"/>
  <c r="AG1174" i="489"/>
  <c r="AS1003" i="489"/>
  <c r="AS1156" i="489"/>
  <c r="AS1157" i="489"/>
  <c r="AS1158" i="489"/>
  <c r="AS1159" i="489"/>
  <c r="AS1160" i="489"/>
  <c r="AS1161" i="489"/>
  <c r="AS1170" i="489"/>
  <c r="AS1171" i="489"/>
  <c r="AS1176" i="489"/>
  <c r="AS1177" i="489"/>
  <c r="AS1129" i="489"/>
  <c r="AS1130" i="489"/>
  <c r="AS1131" i="489"/>
  <c r="AS1132" i="489"/>
  <c r="AS1133" i="489"/>
  <c r="AS1149" i="489"/>
  <c r="AS1141" i="489"/>
  <c r="AS1142" i="489"/>
  <c r="AS1143" i="489"/>
  <c r="AS1147" i="489"/>
  <c r="AS1148" i="489"/>
  <c r="AS1102" i="489"/>
  <c r="AS1103" i="489"/>
  <c r="AS1104" i="489"/>
  <c r="AS1105" i="489"/>
  <c r="AS1114" i="489"/>
  <c r="AS1115" i="489"/>
  <c r="AS1119" i="489"/>
  <c r="AS1120" i="489"/>
  <c r="AS1121" i="489"/>
  <c r="AS1113" i="489"/>
  <c r="AS1073" i="489"/>
  <c r="AS1074" i="489"/>
  <c r="AS1075" i="489"/>
  <c r="AS1076" i="489"/>
  <c r="AS1077" i="489"/>
  <c r="AS1086" i="489"/>
  <c r="AS1087" i="489"/>
  <c r="AS1091" i="489"/>
  <c r="AS1092" i="489"/>
  <c r="AS1093" i="489"/>
  <c r="AS1046" i="489"/>
  <c r="AS1047" i="489"/>
  <c r="AS1048" i="489"/>
  <c r="AS1049" i="489"/>
  <c r="AS1044" i="489"/>
  <c r="AS1045" i="489"/>
  <c r="AS1063" i="489"/>
  <c r="AS1064" i="489"/>
  <c r="AS1065" i="489"/>
  <c r="AS1058" i="489"/>
  <c r="AS1059" i="489"/>
  <c r="AS1017" i="489"/>
  <c r="AS1018" i="489"/>
  <c r="AS1019" i="489"/>
  <c r="AS1020" i="489"/>
  <c r="AS1021" i="489"/>
  <c r="AS1030" i="489"/>
  <c r="AS1016" i="489"/>
  <c r="AS1036" i="489"/>
  <c r="AS1037" i="489"/>
  <c r="AS1031" i="489"/>
  <c r="AS1035" i="489"/>
  <c r="AS1052" i="489"/>
  <c r="AS1061" i="489"/>
  <c r="AS1070" i="489"/>
  <c r="AS1084" i="489"/>
  <c r="AS1081" i="489"/>
  <c r="AS1090" i="489"/>
  <c r="AS1100" i="489"/>
  <c r="AS1097" i="489"/>
  <c r="AS1055" i="489"/>
  <c r="AS1056" i="489"/>
  <c r="AS1041" i="489"/>
  <c r="AS1042" i="489"/>
  <c r="AS1057" i="489"/>
  <c r="AS1033" i="489"/>
  <c r="AS1034" i="489"/>
  <c r="AS1043" i="489"/>
  <c r="AS1024" i="489"/>
  <c r="AS1025" i="489"/>
  <c r="AS1023" i="489"/>
  <c r="AS1027" i="489"/>
  <c r="AS1028" i="489"/>
  <c r="AS1026" i="489"/>
  <c r="AS1013" i="489"/>
  <c r="AS1014" i="489"/>
  <c r="AS1029" i="489"/>
  <c r="AS1015" i="489"/>
  <c r="AS1107" i="489"/>
  <c r="AS1128" i="489"/>
  <c r="AS1125" i="489"/>
  <c r="AS1138" i="489"/>
  <c r="AS1135" i="489"/>
  <c r="AS1072" i="489"/>
  <c r="AS1069" i="489"/>
  <c r="AS1083" i="489"/>
  <c r="AS1080" i="489"/>
  <c r="AS1089" i="489"/>
  <c r="AS1099" i="489"/>
  <c r="AS1112" i="489"/>
  <c r="AS1062" i="489"/>
  <c r="AS1071" i="489"/>
  <c r="AS1085" i="489"/>
  <c r="AS1082" i="489"/>
  <c r="AS1079" i="489"/>
  <c r="AS1101" i="489"/>
  <c r="AS1098" i="489"/>
  <c r="AS1111" i="489"/>
  <c r="AS1051" i="489"/>
  <c r="AS1053" i="489"/>
  <c r="AS1054" i="489"/>
  <c r="AS1110" i="489"/>
  <c r="AS1108" i="489"/>
  <c r="AS1117" i="489"/>
  <c r="AS1126" i="489"/>
  <c r="AS1139" i="489"/>
  <c r="AS1136" i="489"/>
  <c r="AS1109" i="489"/>
  <c r="AS1118" i="489"/>
  <c r="AS1127" i="489"/>
  <c r="AS1140" i="489"/>
  <c r="AS1137" i="489"/>
  <c r="AS1155" i="489"/>
  <c r="AS1169" i="489"/>
  <c r="AS1166" i="489"/>
  <c r="AS1163" i="489"/>
  <c r="AS1173" i="489"/>
  <c r="AS1146" i="489"/>
  <c r="AS1154" i="489"/>
  <c r="AS1168" i="489"/>
  <c r="AS1165" i="489"/>
  <c r="AS1175" i="489"/>
  <c r="AS1145" i="489"/>
  <c r="AS1153" i="489"/>
  <c r="AS1167" i="489"/>
  <c r="AS1164" i="489"/>
  <c r="AS1174" i="489"/>
  <c r="BE985" i="489"/>
  <c r="BE1156" i="489"/>
  <c r="BE1157" i="489"/>
  <c r="BE1158" i="489"/>
  <c r="BE1159" i="489"/>
  <c r="BE1160" i="489"/>
  <c r="BE1161" i="489"/>
  <c r="BE1170" i="489"/>
  <c r="BE1171" i="489"/>
  <c r="BE1176" i="489"/>
  <c r="BE1177" i="489"/>
  <c r="BE1129" i="489"/>
  <c r="BE1130" i="489"/>
  <c r="BE1131" i="489"/>
  <c r="BE1132" i="489"/>
  <c r="BE1133" i="489"/>
  <c r="BE1141" i="489"/>
  <c r="BE1142" i="489"/>
  <c r="BE1143" i="489"/>
  <c r="BE1147" i="489"/>
  <c r="BE1148" i="489"/>
  <c r="BE1149" i="489"/>
  <c r="BE1102" i="489"/>
  <c r="BE1103" i="489"/>
  <c r="BE1104" i="489"/>
  <c r="BE1105" i="489"/>
  <c r="BE1114" i="489"/>
  <c r="BE1115" i="489"/>
  <c r="BE1119" i="489"/>
  <c r="BE1120" i="489"/>
  <c r="BE1121" i="489"/>
  <c r="BE1113" i="489"/>
  <c r="BE1073" i="489"/>
  <c r="BE1074" i="489"/>
  <c r="BE1075" i="489"/>
  <c r="BE1076" i="489"/>
  <c r="BE1077" i="489"/>
  <c r="BE1086" i="489"/>
  <c r="BE1087" i="489"/>
  <c r="BE1091" i="489"/>
  <c r="BE1092" i="489"/>
  <c r="BE1093" i="489"/>
  <c r="BE1046" i="489"/>
  <c r="BE1047" i="489"/>
  <c r="BE1048" i="489"/>
  <c r="BE1049" i="489"/>
  <c r="BE1044" i="489"/>
  <c r="BE1045" i="489"/>
  <c r="BE1063" i="489"/>
  <c r="BE1064" i="489"/>
  <c r="BE1065" i="489"/>
  <c r="BE1058" i="489"/>
  <c r="BE1059" i="489"/>
  <c r="BE1017" i="489"/>
  <c r="BE1018" i="489"/>
  <c r="BE1019" i="489"/>
  <c r="BE1020" i="489"/>
  <c r="BE1021" i="489"/>
  <c r="BE1030" i="489"/>
  <c r="BE1016" i="489"/>
  <c r="BE1036" i="489"/>
  <c r="BE1037" i="489"/>
  <c r="BE1031" i="489"/>
  <c r="BE1035" i="489"/>
  <c r="BE1055" i="489"/>
  <c r="BE1056" i="489"/>
  <c r="BE1041" i="489"/>
  <c r="BE1042" i="489"/>
  <c r="BE1057" i="489"/>
  <c r="BE1033" i="489"/>
  <c r="BE1034" i="489"/>
  <c r="BE1043" i="489"/>
  <c r="BE1024" i="489"/>
  <c r="BE1025" i="489"/>
  <c r="BE1023" i="489"/>
  <c r="BE1027" i="489"/>
  <c r="BE1028" i="489"/>
  <c r="BE1026" i="489"/>
  <c r="BE1013" i="489"/>
  <c r="BE1014" i="489"/>
  <c r="BE1029" i="489"/>
  <c r="BE1015" i="489"/>
  <c r="BE1052" i="489"/>
  <c r="BE1061" i="489"/>
  <c r="BE1070" i="489"/>
  <c r="BE1084" i="489"/>
  <c r="BE1081" i="489"/>
  <c r="BE1090" i="489"/>
  <c r="BE1100" i="489"/>
  <c r="BE1097" i="489"/>
  <c r="BE1110" i="489"/>
  <c r="BE1107" i="489"/>
  <c r="BE1128" i="489"/>
  <c r="BE1125" i="489"/>
  <c r="BE1138" i="489"/>
  <c r="BE1135" i="489"/>
  <c r="BE1072" i="489"/>
  <c r="BE1069" i="489"/>
  <c r="BE1083" i="489"/>
  <c r="BE1080" i="489"/>
  <c r="BE1089" i="489"/>
  <c r="BE1099" i="489"/>
  <c r="BE1112" i="489"/>
  <c r="BE1062" i="489"/>
  <c r="BE1071" i="489"/>
  <c r="BE1085" i="489"/>
  <c r="BE1082" i="489"/>
  <c r="BE1079" i="489"/>
  <c r="BE1101" i="489"/>
  <c r="BE1098" i="489"/>
  <c r="BE1111" i="489"/>
  <c r="BE1051" i="489"/>
  <c r="BE1053" i="489"/>
  <c r="BE1054" i="489"/>
  <c r="BE1108" i="489"/>
  <c r="BE1126" i="489"/>
  <c r="BE1136" i="489"/>
  <c r="BE1109" i="489"/>
  <c r="BE1118" i="489"/>
  <c r="BE1127" i="489"/>
  <c r="BE1140" i="489"/>
  <c r="BE1137" i="489"/>
  <c r="BE1155" i="489"/>
  <c r="BE1169" i="489"/>
  <c r="BE1166" i="489"/>
  <c r="BE1163" i="489"/>
  <c r="BE1173" i="489"/>
  <c r="BE1146" i="489"/>
  <c r="BE1154" i="489"/>
  <c r="BE1168" i="489"/>
  <c r="BE1165" i="489"/>
  <c r="BE1175" i="489"/>
  <c r="BE1145" i="489"/>
  <c r="BE1153" i="489"/>
  <c r="BE1167" i="489"/>
  <c r="BE1164" i="489"/>
  <c r="BE1174" i="489"/>
  <c r="BE1117" i="489"/>
  <c r="BE1139" i="489"/>
  <c r="BQ987" i="489"/>
  <c r="BQ1156" i="489"/>
  <c r="BQ1157" i="489"/>
  <c r="BQ1158" i="489"/>
  <c r="BQ1159" i="489"/>
  <c r="BQ1160" i="489"/>
  <c r="BQ1161" i="489"/>
  <c r="BQ1170" i="489"/>
  <c r="BQ1171" i="489"/>
  <c r="BQ1176" i="489"/>
  <c r="BQ1177" i="489"/>
  <c r="BQ1129" i="489"/>
  <c r="BQ1130" i="489"/>
  <c r="BQ1131" i="489"/>
  <c r="BQ1132" i="489"/>
  <c r="BQ1133" i="489"/>
  <c r="BQ1141" i="489"/>
  <c r="BQ1142" i="489"/>
  <c r="BQ1143" i="489"/>
  <c r="BQ1149" i="489"/>
  <c r="BQ1102" i="489"/>
  <c r="BQ1103" i="489"/>
  <c r="BQ1104" i="489"/>
  <c r="BQ1105" i="489"/>
  <c r="BQ1147" i="489"/>
  <c r="BQ1148" i="489"/>
  <c r="BQ1113" i="489"/>
  <c r="BQ1114" i="489"/>
  <c r="BQ1115" i="489"/>
  <c r="BQ1119" i="489"/>
  <c r="BQ1120" i="489"/>
  <c r="BQ1121" i="489"/>
  <c r="BQ1073" i="489"/>
  <c r="BQ1074" i="489"/>
  <c r="BQ1075" i="489"/>
  <c r="BQ1076" i="489"/>
  <c r="BQ1077" i="489"/>
  <c r="BQ1086" i="489"/>
  <c r="BQ1087" i="489"/>
  <c r="BQ1091" i="489"/>
  <c r="BQ1092" i="489"/>
  <c r="BQ1093" i="489"/>
  <c r="BQ1046" i="489"/>
  <c r="BQ1047" i="489"/>
  <c r="BQ1048" i="489"/>
  <c r="BQ1049" i="489"/>
  <c r="BQ1044" i="489"/>
  <c r="BQ1045" i="489"/>
  <c r="BQ1063" i="489"/>
  <c r="BQ1064" i="489"/>
  <c r="BQ1065" i="489"/>
  <c r="BQ1058" i="489"/>
  <c r="BQ1059" i="489"/>
  <c r="BQ1017" i="489"/>
  <c r="BQ1018" i="489"/>
  <c r="BQ1019" i="489"/>
  <c r="BQ1020" i="489"/>
  <c r="BQ1021" i="489"/>
  <c r="BQ1016" i="489"/>
  <c r="BQ1036" i="489"/>
  <c r="BQ1037" i="489"/>
  <c r="BQ1030" i="489"/>
  <c r="BQ1031" i="489"/>
  <c r="BQ1035" i="489"/>
  <c r="BQ1041" i="489"/>
  <c r="BQ1042" i="489"/>
  <c r="BQ1057" i="489"/>
  <c r="BQ1033" i="489"/>
  <c r="BQ1034" i="489"/>
  <c r="BQ1043" i="489"/>
  <c r="BQ1024" i="489"/>
  <c r="BQ1025" i="489"/>
  <c r="BQ1023" i="489"/>
  <c r="BQ1027" i="489"/>
  <c r="BQ1028" i="489"/>
  <c r="BQ1026" i="489"/>
  <c r="BQ1013" i="489"/>
  <c r="BQ1014" i="489"/>
  <c r="BQ1029" i="489"/>
  <c r="BQ1015" i="489"/>
  <c r="BQ1052" i="489"/>
  <c r="BQ1055" i="489"/>
  <c r="BQ1056" i="489"/>
  <c r="BQ1072" i="489"/>
  <c r="BQ1069" i="489"/>
  <c r="BQ1083" i="489"/>
  <c r="BQ1080" i="489"/>
  <c r="BQ1089" i="489"/>
  <c r="BQ1099" i="489"/>
  <c r="BQ1112" i="489"/>
  <c r="BQ1062" i="489"/>
  <c r="BQ1071" i="489"/>
  <c r="BQ1085" i="489"/>
  <c r="BQ1082" i="489"/>
  <c r="BQ1079" i="489"/>
  <c r="BQ1101" i="489"/>
  <c r="BQ1098" i="489"/>
  <c r="BQ1111" i="489"/>
  <c r="BQ1051" i="489"/>
  <c r="BQ1081" i="489"/>
  <c r="BQ1100" i="489"/>
  <c r="BQ1053" i="489"/>
  <c r="BQ1054" i="489"/>
  <c r="BQ1061" i="489"/>
  <c r="BQ1070" i="489"/>
  <c r="BQ1110" i="489"/>
  <c r="BQ1108" i="489"/>
  <c r="BQ1084" i="489"/>
  <c r="BQ1090" i="489"/>
  <c r="BQ1097" i="489"/>
  <c r="BQ1107" i="489"/>
  <c r="BQ1128" i="489"/>
  <c r="BQ1125" i="489"/>
  <c r="BQ1138" i="489"/>
  <c r="BQ1135" i="489"/>
  <c r="BQ1126" i="489"/>
  <c r="BQ1136" i="489"/>
  <c r="BQ1109" i="489"/>
  <c r="BQ1118" i="489"/>
  <c r="BQ1127" i="489"/>
  <c r="BQ1140" i="489"/>
  <c r="BQ1137" i="489"/>
  <c r="BQ1155" i="489"/>
  <c r="BQ1169" i="489"/>
  <c r="BQ1166" i="489"/>
  <c r="BQ1163" i="489"/>
  <c r="BQ1173" i="489"/>
  <c r="BQ1146" i="489"/>
  <c r="BQ1154" i="489"/>
  <c r="BQ1168" i="489"/>
  <c r="BQ1165" i="489"/>
  <c r="BQ1175" i="489"/>
  <c r="BQ1145" i="489"/>
  <c r="BQ1153" i="489"/>
  <c r="BQ1167" i="489"/>
  <c r="BQ1164" i="489"/>
  <c r="BQ1174" i="489"/>
  <c r="BQ1117" i="489"/>
  <c r="BQ1139" i="489"/>
  <c r="CC1005" i="489"/>
  <c r="CC1156" i="489"/>
  <c r="CC1157" i="489"/>
  <c r="CC1158" i="489"/>
  <c r="CC1160" i="489"/>
  <c r="CC1161" i="489"/>
  <c r="CC1159" i="489"/>
  <c r="CC1170" i="489"/>
  <c r="CC1171" i="489"/>
  <c r="CC1176" i="489"/>
  <c r="CC1177" i="489"/>
  <c r="CC1129" i="489"/>
  <c r="CC1130" i="489"/>
  <c r="CC1131" i="489"/>
  <c r="CC1132" i="489"/>
  <c r="CC1133" i="489"/>
  <c r="CC1149" i="489"/>
  <c r="CC1141" i="489"/>
  <c r="CC1142" i="489"/>
  <c r="CC1143" i="489"/>
  <c r="CC1147" i="489"/>
  <c r="CC1148" i="489"/>
  <c r="CC1102" i="489"/>
  <c r="CC1103" i="489"/>
  <c r="CC1104" i="489"/>
  <c r="CC1105" i="489"/>
  <c r="CC1114" i="489"/>
  <c r="CC1115" i="489"/>
  <c r="CC1119" i="489"/>
  <c r="CC1120" i="489"/>
  <c r="CC1121" i="489"/>
  <c r="CC1113" i="489"/>
  <c r="CC1073" i="489"/>
  <c r="CC1074" i="489"/>
  <c r="CC1075" i="489"/>
  <c r="CC1076" i="489"/>
  <c r="CC1077" i="489"/>
  <c r="CC1086" i="489"/>
  <c r="CC1087" i="489"/>
  <c r="CC1091" i="489"/>
  <c r="CC1092" i="489"/>
  <c r="CC1093" i="489"/>
  <c r="CC1047" i="489"/>
  <c r="CC1048" i="489"/>
  <c r="CC1049" i="489"/>
  <c r="CC1044" i="489"/>
  <c r="CC1045" i="489"/>
  <c r="CC1046" i="489"/>
  <c r="CC1064" i="489"/>
  <c r="CC1065" i="489"/>
  <c r="CC1058" i="489"/>
  <c r="CC1059" i="489"/>
  <c r="CC1063" i="489"/>
  <c r="CC1018" i="489"/>
  <c r="CC1019" i="489"/>
  <c r="CC1020" i="489"/>
  <c r="CC1021" i="489"/>
  <c r="CC1030" i="489"/>
  <c r="CC1016" i="489"/>
  <c r="CC1017" i="489"/>
  <c r="CC1037" i="489"/>
  <c r="CC1031" i="489"/>
  <c r="CC1035" i="489"/>
  <c r="CC1036" i="489"/>
  <c r="CC1033" i="489"/>
  <c r="CC1034" i="489"/>
  <c r="CC1043" i="489"/>
  <c r="CC1024" i="489"/>
  <c r="CC1025" i="489"/>
  <c r="CC1023" i="489"/>
  <c r="CC1027" i="489"/>
  <c r="CC1028" i="489"/>
  <c r="CC1026" i="489"/>
  <c r="CC1013" i="489"/>
  <c r="CC1014" i="489"/>
  <c r="CC1029" i="489"/>
  <c r="CC1015" i="489"/>
  <c r="CC1052" i="489"/>
  <c r="CC1061" i="489"/>
  <c r="CC1070" i="489"/>
  <c r="CC1084" i="489"/>
  <c r="CC1081" i="489"/>
  <c r="CC1090" i="489"/>
  <c r="CC1100" i="489"/>
  <c r="CC1097" i="489"/>
  <c r="CC1110" i="489"/>
  <c r="CC1055" i="489"/>
  <c r="CC1056" i="489"/>
  <c r="CC1041" i="489"/>
  <c r="CC1042" i="489"/>
  <c r="CC1057" i="489"/>
  <c r="CC1072" i="489"/>
  <c r="CC1069" i="489"/>
  <c r="CC1083" i="489"/>
  <c r="CC1080" i="489"/>
  <c r="CC1089" i="489"/>
  <c r="CC1099" i="489"/>
  <c r="CC1112" i="489"/>
  <c r="CC1062" i="489"/>
  <c r="CC1071" i="489"/>
  <c r="CC1085" i="489"/>
  <c r="CC1082" i="489"/>
  <c r="CC1079" i="489"/>
  <c r="CC1101" i="489"/>
  <c r="CC1098" i="489"/>
  <c r="CC1111" i="489"/>
  <c r="CC1051" i="489"/>
  <c r="CC1053" i="489"/>
  <c r="CC1054" i="489"/>
  <c r="CC1107" i="489"/>
  <c r="CC1128" i="489"/>
  <c r="CC1125" i="489"/>
  <c r="CC1138" i="489"/>
  <c r="CC1135" i="489"/>
  <c r="CC1108" i="489"/>
  <c r="CC1126" i="489"/>
  <c r="CC1136" i="489"/>
  <c r="CC1109" i="489"/>
  <c r="CC1118" i="489"/>
  <c r="CC1127" i="489"/>
  <c r="CC1140" i="489"/>
  <c r="CC1137" i="489"/>
  <c r="CC1155" i="489"/>
  <c r="CC1169" i="489"/>
  <c r="CC1166" i="489"/>
  <c r="CC1163" i="489"/>
  <c r="CC1173" i="489"/>
  <c r="CC1146" i="489"/>
  <c r="CC1154" i="489"/>
  <c r="CC1168" i="489"/>
  <c r="CC1165" i="489"/>
  <c r="CC1175" i="489"/>
  <c r="CC1145" i="489"/>
  <c r="CC1153" i="489"/>
  <c r="CC1167" i="489"/>
  <c r="CC1164" i="489"/>
  <c r="CC1174" i="489"/>
  <c r="CC1117" i="489"/>
  <c r="CC1139" i="489"/>
  <c r="CO1156" i="489"/>
  <c r="CO1157" i="489"/>
  <c r="CO1158" i="489"/>
  <c r="CO1159" i="489"/>
  <c r="CO1160" i="489"/>
  <c r="CO1161" i="489"/>
  <c r="CO1170" i="489"/>
  <c r="CO1171" i="489"/>
  <c r="CO1176" i="489"/>
  <c r="CO1177" i="489"/>
  <c r="CO1129" i="489"/>
  <c r="CO1130" i="489"/>
  <c r="CO1131" i="489"/>
  <c r="CO1132" i="489"/>
  <c r="CO1133" i="489"/>
  <c r="CO1149" i="489"/>
  <c r="CO1141" i="489"/>
  <c r="CO1142" i="489"/>
  <c r="CO1143" i="489"/>
  <c r="CO1147" i="489"/>
  <c r="CO1148" i="489"/>
  <c r="CO1102" i="489"/>
  <c r="CO1104" i="489"/>
  <c r="CO1105" i="489"/>
  <c r="CO1113" i="489"/>
  <c r="CO1114" i="489"/>
  <c r="CO1115" i="489"/>
  <c r="CO1119" i="489"/>
  <c r="CO1120" i="489"/>
  <c r="CO1121" i="489"/>
  <c r="CO1073" i="489"/>
  <c r="CO1074" i="489"/>
  <c r="CO1075" i="489"/>
  <c r="CO1076" i="489"/>
  <c r="CO1077" i="489"/>
  <c r="CO1086" i="489"/>
  <c r="CO1087" i="489"/>
  <c r="CO1091" i="489"/>
  <c r="CO1092" i="489"/>
  <c r="CO1093" i="489"/>
  <c r="CO1047" i="489"/>
  <c r="CO1048" i="489"/>
  <c r="CO1049" i="489"/>
  <c r="CO1044" i="489"/>
  <c r="CO1045" i="489"/>
  <c r="CO1046" i="489"/>
  <c r="CO1064" i="489"/>
  <c r="CO1065" i="489"/>
  <c r="CO1058" i="489"/>
  <c r="CO1059" i="489"/>
  <c r="CO1063" i="489"/>
  <c r="CO1019" i="489"/>
  <c r="CO1020" i="489"/>
  <c r="CO1021" i="489"/>
  <c r="CO1030" i="489"/>
  <c r="CO1016" i="489"/>
  <c r="CO1017" i="489"/>
  <c r="CO1037" i="489"/>
  <c r="CO1031" i="489"/>
  <c r="CO1035" i="489"/>
  <c r="CO1036" i="489"/>
  <c r="CO1024" i="489"/>
  <c r="CO1025" i="489"/>
  <c r="CO1023" i="489"/>
  <c r="CO1027" i="489"/>
  <c r="CO1028" i="489"/>
  <c r="CO1026" i="489"/>
  <c r="CO1013" i="489"/>
  <c r="CO1014" i="489"/>
  <c r="CO1029" i="489"/>
  <c r="CO1052" i="489"/>
  <c r="CO1055" i="489"/>
  <c r="CO1056" i="489"/>
  <c r="CO1041" i="489"/>
  <c r="CO1042" i="489"/>
  <c r="CO1057" i="489"/>
  <c r="CO1033" i="489"/>
  <c r="CO1034" i="489"/>
  <c r="CO1043" i="489"/>
  <c r="CO1072" i="489"/>
  <c r="CO1069" i="489"/>
  <c r="CO1083" i="489"/>
  <c r="CO1080" i="489"/>
  <c r="CO1089" i="489"/>
  <c r="CO1112" i="489"/>
  <c r="CO1062" i="489"/>
  <c r="CO1071" i="489"/>
  <c r="CO1085" i="489"/>
  <c r="CO1082" i="489"/>
  <c r="CO1079" i="489"/>
  <c r="CO1101" i="489"/>
  <c r="CO1098" i="489"/>
  <c r="CO1111" i="489"/>
  <c r="CO1051" i="489"/>
  <c r="CO1053" i="489"/>
  <c r="CO1054" i="489"/>
  <c r="CO1081" i="489"/>
  <c r="CO1100" i="489"/>
  <c r="CO1061" i="489"/>
  <c r="CO1070" i="489"/>
  <c r="CO1110" i="489"/>
  <c r="CO1107" i="489"/>
  <c r="CO1128" i="489"/>
  <c r="CO1125" i="489"/>
  <c r="CO1138" i="489"/>
  <c r="CO1135" i="489"/>
  <c r="CO1084" i="489"/>
  <c r="CO1090" i="489"/>
  <c r="CO1097" i="489"/>
  <c r="CO1126" i="489"/>
  <c r="CO1136" i="489"/>
  <c r="CO1109" i="489"/>
  <c r="CO1118" i="489"/>
  <c r="CO1127" i="489"/>
  <c r="CO1140" i="489"/>
  <c r="CO1137" i="489"/>
  <c r="CO1155" i="489"/>
  <c r="CO1169" i="489"/>
  <c r="CO1166" i="489"/>
  <c r="CO1163" i="489"/>
  <c r="CO1173" i="489"/>
  <c r="CO1146" i="489"/>
  <c r="CO1154" i="489"/>
  <c r="CO1168" i="489"/>
  <c r="CO1165" i="489"/>
  <c r="CO1175" i="489"/>
  <c r="CO1145" i="489"/>
  <c r="CO1153" i="489"/>
  <c r="CO1167" i="489"/>
  <c r="CO1164" i="489"/>
  <c r="CO1174" i="489"/>
  <c r="CO1117" i="489"/>
  <c r="CO1139" i="489"/>
  <c r="CO1108" i="489"/>
  <c r="DA986" i="489"/>
  <c r="DA1156" i="489"/>
  <c r="DA1157" i="489"/>
  <c r="DA1158" i="489"/>
  <c r="DA1159" i="489"/>
  <c r="DA1160" i="489"/>
  <c r="DA1161" i="489"/>
  <c r="DA1170" i="489"/>
  <c r="DA1171" i="489"/>
  <c r="DA1176" i="489"/>
  <c r="DA1177" i="489"/>
  <c r="DA1129" i="489"/>
  <c r="DA1130" i="489"/>
  <c r="DA1131" i="489"/>
  <c r="DA1132" i="489"/>
  <c r="DA1133" i="489"/>
  <c r="DA1147" i="489"/>
  <c r="DA1148" i="489"/>
  <c r="DA1141" i="489"/>
  <c r="DA1142" i="489"/>
  <c r="DA1143" i="489"/>
  <c r="DA1149" i="489"/>
  <c r="DA1102" i="489"/>
  <c r="DA1103" i="489"/>
  <c r="DA1104" i="489"/>
  <c r="DA1105" i="489"/>
  <c r="DA1114" i="489"/>
  <c r="DA1115" i="489"/>
  <c r="DA1119" i="489"/>
  <c r="DA1120" i="489"/>
  <c r="DA1121" i="489"/>
  <c r="DA1113" i="489"/>
  <c r="DA1073" i="489"/>
  <c r="DA1074" i="489"/>
  <c r="DA1075" i="489"/>
  <c r="DA1076" i="489"/>
  <c r="DA1077" i="489"/>
  <c r="DA1086" i="489"/>
  <c r="DA1087" i="489"/>
  <c r="DA1091" i="489"/>
  <c r="DA1092" i="489"/>
  <c r="DA1093" i="489"/>
  <c r="DA1048" i="489"/>
  <c r="DA1049" i="489"/>
  <c r="DA1044" i="489"/>
  <c r="DA1045" i="489"/>
  <c r="DA1046" i="489"/>
  <c r="DA1047" i="489"/>
  <c r="DA1065" i="489"/>
  <c r="DA1058" i="489"/>
  <c r="DA1059" i="489"/>
  <c r="DA1063" i="489"/>
  <c r="DA1064" i="489"/>
  <c r="DA1019" i="489"/>
  <c r="DA1020" i="489"/>
  <c r="DA1021" i="489"/>
  <c r="DA1030" i="489"/>
  <c r="DA1016" i="489"/>
  <c r="DA1017" i="489"/>
  <c r="DA1018" i="489"/>
  <c r="DA1031" i="489"/>
  <c r="DA1035" i="489"/>
  <c r="DA1036" i="489"/>
  <c r="DA1037" i="489"/>
  <c r="DA1027" i="489"/>
  <c r="DA1028" i="489"/>
  <c r="DA1026" i="489"/>
  <c r="DA1013" i="489"/>
  <c r="DA1014" i="489"/>
  <c r="DA1029" i="489"/>
  <c r="DA1015" i="489"/>
  <c r="DA1052" i="489"/>
  <c r="DA1061" i="489"/>
  <c r="DA1070" i="489"/>
  <c r="DA1055" i="489"/>
  <c r="DA1056" i="489"/>
  <c r="DA1041" i="489"/>
  <c r="DA1042" i="489"/>
  <c r="DA1057" i="489"/>
  <c r="DA1033" i="489"/>
  <c r="DA1034" i="489"/>
  <c r="DA1043" i="489"/>
  <c r="DA1024" i="489"/>
  <c r="DA1025" i="489"/>
  <c r="DA1023" i="489"/>
  <c r="DA1072" i="489"/>
  <c r="DA1069" i="489"/>
  <c r="DA1083" i="489"/>
  <c r="DA1080" i="489"/>
  <c r="DA1089" i="489"/>
  <c r="DA1099" i="489"/>
  <c r="DA1112" i="489"/>
  <c r="DA1062" i="489"/>
  <c r="DA1071" i="489"/>
  <c r="DA1085" i="489"/>
  <c r="DA1082" i="489"/>
  <c r="DA1079" i="489"/>
  <c r="DA1101" i="489"/>
  <c r="DA1098" i="489"/>
  <c r="DA1111" i="489"/>
  <c r="DA1051" i="489"/>
  <c r="DA1053" i="489"/>
  <c r="DA1054" i="489"/>
  <c r="DA1081" i="489"/>
  <c r="DA1100" i="489"/>
  <c r="DA1110" i="489"/>
  <c r="DA1084" i="489"/>
  <c r="DA1090" i="489"/>
  <c r="DA1097" i="489"/>
  <c r="DA1107" i="489"/>
  <c r="DA1125" i="489"/>
  <c r="DA1135" i="489"/>
  <c r="DA1126" i="489"/>
  <c r="DA1136" i="489"/>
  <c r="DA1109" i="489"/>
  <c r="DA1118" i="489"/>
  <c r="DA1127" i="489"/>
  <c r="DA1140" i="489"/>
  <c r="DA1137" i="489"/>
  <c r="DA1155" i="489"/>
  <c r="DA1169" i="489"/>
  <c r="DA1166" i="489"/>
  <c r="DA1163" i="489"/>
  <c r="DA1173" i="489"/>
  <c r="DA1146" i="489"/>
  <c r="DA1154" i="489"/>
  <c r="DA1168" i="489"/>
  <c r="DA1165" i="489"/>
  <c r="DA1175" i="489"/>
  <c r="DA1145" i="489"/>
  <c r="DA1153" i="489"/>
  <c r="DA1167" i="489"/>
  <c r="DA1164" i="489"/>
  <c r="DA1174" i="489"/>
  <c r="DA1128" i="489"/>
  <c r="DA1138" i="489"/>
  <c r="DA1117" i="489"/>
  <c r="DA1139" i="489"/>
  <c r="DA1108" i="489"/>
  <c r="DM998" i="489"/>
  <c r="DM1156" i="489"/>
  <c r="DM1157" i="489"/>
  <c r="DM1158" i="489"/>
  <c r="DM1160" i="489"/>
  <c r="DM1161" i="489"/>
  <c r="DM1159" i="489"/>
  <c r="DM1170" i="489"/>
  <c r="DM1171" i="489"/>
  <c r="DM1176" i="489"/>
  <c r="DM1177" i="489"/>
  <c r="DM1129" i="489"/>
  <c r="DM1130" i="489"/>
  <c r="DM1131" i="489"/>
  <c r="DM1132" i="489"/>
  <c r="DM1133" i="489"/>
  <c r="DM1149" i="489"/>
  <c r="DM1141" i="489"/>
  <c r="DM1142" i="489"/>
  <c r="DM1143" i="489"/>
  <c r="DM1148" i="489"/>
  <c r="DM1102" i="489"/>
  <c r="DM1103" i="489"/>
  <c r="DM1104" i="489"/>
  <c r="DM1105" i="489"/>
  <c r="DM1147" i="489"/>
  <c r="DM1113" i="489"/>
  <c r="DM1114" i="489"/>
  <c r="DM1115" i="489"/>
  <c r="DM1119" i="489"/>
  <c r="DM1120" i="489"/>
  <c r="DM1121" i="489"/>
  <c r="DM1073" i="489"/>
  <c r="DM1074" i="489"/>
  <c r="DM1075" i="489"/>
  <c r="DM1076" i="489"/>
  <c r="DM1077" i="489"/>
  <c r="DM1086" i="489"/>
  <c r="DM1087" i="489"/>
  <c r="DM1091" i="489"/>
  <c r="DM1092" i="489"/>
  <c r="DM1093" i="489"/>
  <c r="DM1044" i="489"/>
  <c r="DM1045" i="489"/>
  <c r="DM1046" i="489"/>
  <c r="DM1047" i="489"/>
  <c r="DM1048" i="489"/>
  <c r="DM1049" i="489"/>
  <c r="DM1058" i="489"/>
  <c r="DM1059" i="489"/>
  <c r="DM1063" i="489"/>
  <c r="DM1064" i="489"/>
  <c r="DM1065" i="489"/>
  <c r="DM1030" i="489"/>
  <c r="DM1016" i="489"/>
  <c r="DM1017" i="489"/>
  <c r="DM1018" i="489"/>
  <c r="DM1019" i="489"/>
  <c r="DM1020" i="489"/>
  <c r="DM1021" i="489"/>
  <c r="DM1031" i="489"/>
  <c r="DM1035" i="489"/>
  <c r="DM1036" i="489"/>
  <c r="DM1037" i="489"/>
  <c r="DM1013" i="489"/>
  <c r="DM1014" i="489"/>
  <c r="DM1029" i="489"/>
  <c r="DM1015" i="489"/>
  <c r="DM1061" i="489"/>
  <c r="DM1070" i="489"/>
  <c r="DM1084" i="489"/>
  <c r="DM1081" i="489"/>
  <c r="DM1090" i="489"/>
  <c r="DM1100" i="489"/>
  <c r="DM1097" i="489"/>
  <c r="DM1055" i="489"/>
  <c r="DM1056" i="489"/>
  <c r="DM1041" i="489"/>
  <c r="DM1042" i="489"/>
  <c r="DM1057" i="489"/>
  <c r="DM1033" i="489"/>
  <c r="DM1034" i="489"/>
  <c r="DM1043" i="489"/>
  <c r="DM1024" i="489"/>
  <c r="DM1025" i="489"/>
  <c r="DM1023" i="489"/>
  <c r="DM1027" i="489"/>
  <c r="DM1028" i="489"/>
  <c r="DM1026" i="489"/>
  <c r="DM1062" i="489"/>
  <c r="DM1071" i="489"/>
  <c r="DM1085" i="489"/>
  <c r="DM1082" i="489"/>
  <c r="DM1079" i="489"/>
  <c r="DM1101" i="489"/>
  <c r="DM1098" i="489"/>
  <c r="DM1111" i="489"/>
  <c r="DM1051" i="489"/>
  <c r="DM1053" i="489"/>
  <c r="DM1054" i="489"/>
  <c r="DM1108" i="489"/>
  <c r="DM1117" i="489"/>
  <c r="DM1126" i="489"/>
  <c r="DM1139" i="489"/>
  <c r="DM1136" i="489"/>
  <c r="DM1110" i="489"/>
  <c r="DM1107" i="489"/>
  <c r="DM1128" i="489"/>
  <c r="DM1125" i="489"/>
  <c r="DM1138" i="489"/>
  <c r="DM1135" i="489"/>
  <c r="DM1072" i="489"/>
  <c r="DM1069" i="489"/>
  <c r="DM1083" i="489"/>
  <c r="DM1080" i="489"/>
  <c r="DM1089" i="489"/>
  <c r="DM1099" i="489"/>
  <c r="DM1112" i="489"/>
  <c r="DM1109" i="489"/>
  <c r="DM1118" i="489"/>
  <c r="DM1127" i="489"/>
  <c r="DM1140" i="489"/>
  <c r="DM1137" i="489"/>
  <c r="DM1155" i="489"/>
  <c r="DM1169" i="489"/>
  <c r="DM1166" i="489"/>
  <c r="DM1163" i="489"/>
  <c r="DM1173" i="489"/>
  <c r="DM1146" i="489"/>
  <c r="DM1154" i="489"/>
  <c r="DM1168" i="489"/>
  <c r="DM1165" i="489"/>
  <c r="DM1175" i="489"/>
  <c r="DM1145" i="489"/>
  <c r="DM1153" i="489"/>
  <c r="DM1167" i="489"/>
  <c r="DM1164" i="489"/>
  <c r="DM1174" i="489"/>
  <c r="DZ987" i="489"/>
  <c r="DZ1156" i="489"/>
  <c r="DZ1157" i="489"/>
  <c r="DZ1158" i="489"/>
  <c r="DZ1159" i="489"/>
  <c r="DZ1160" i="489"/>
  <c r="DZ1161" i="489"/>
  <c r="DZ1170" i="489"/>
  <c r="DZ1171" i="489"/>
  <c r="DZ1176" i="489"/>
  <c r="DZ1177" i="489"/>
  <c r="DZ1130" i="489"/>
  <c r="DZ1131" i="489"/>
  <c r="DZ1132" i="489"/>
  <c r="DZ1133" i="489"/>
  <c r="DZ1129" i="489"/>
  <c r="DZ1141" i="489"/>
  <c r="DZ1142" i="489"/>
  <c r="DZ1143" i="489"/>
  <c r="DZ1149" i="489"/>
  <c r="DZ1147" i="489"/>
  <c r="DZ1148" i="489"/>
  <c r="DZ1102" i="489"/>
  <c r="DZ1103" i="489"/>
  <c r="DZ1104" i="489"/>
  <c r="DZ1105" i="489"/>
  <c r="DZ1114" i="489"/>
  <c r="DZ1115" i="489"/>
  <c r="DZ1119" i="489"/>
  <c r="DZ1120" i="489"/>
  <c r="DZ1121" i="489"/>
  <c r="DZ1113" i="489"/>
  <c r="DZ1073" i="489"/>
  <c r="DZ1074" i="489"/>
  <c r="DZ1075" i="489"/>
  <c r="DZ1076" i="489"/>
  <c r="DZ1077" i="489"/>
  <c r="DZ1086" i="489"/>
  <c r="DZ1087" i="489"/>
  <c r="DZ1091" i="489"/>
  <c r="DZ1092" i="489"/>
  <c r="DZ1093" i="489"/>
  <c r="DZ1044" i="489"/>
  <c r="DZ1045" i="489"/>
  <c r="DZ1046" i="489"/>
  <c r="DZ1047" i="489"/>
  <c r="DZ1048" i="489"/>
  <c r="DZ1049" i="489"/>
  <c r="DZ1058" i="489"/>
  <c r="DZ1059" i="489"/>
  <c r="DZ1063" i="489"/>
  <c r="DZ1064" i="489"/>
  <c r="DZ1065" i="489"/>
  <c r="DZ1030" i="489"/>
  <c r="DZ1016" i="489"/>
  <c r="DZ1017" i="489"/>
  <c r="DZ1018" i="489"/>
  <c r="DZ1019" i="489"/>
  <c r="DZ1020" i="489"/>
  <c r="DZ1021" i="489"/>
  <c r="DZ1031" i="489"/>
  <c r="DZ1035" i="489"/>
  <c r="DZ1036" i="489"/>
  <c r="DZ1037" i="489"/>
  <c r="DZ1024" i="489"/>
  <c r="DZ1025" i="489"/>
  <c r="DZ1055" i="489"/>
  <c r="DZ1015" i="489"/>
  <c r="DZ1043" i="489"/>
  <c r="DZ1027" i="489"/>
  <c r="DZ1028" i="489"/>
  <c r="DZ1023" i="489"/>
  <c r="DZ1070" i="489"/>
  <c r="DZ1013" i="489"/>
  <c r="DZ1041" i="489"/>
  <c r="DZ1014" i="489"/>
  <c r="DZ1042" i="489"/>
  <c r="DZ1061" i="489"/>
  <c r="DZ1084" i="489"/>
  <c r="DZ1026" i="489"/>
  <c r="DZ1090" i="489"/>
  <c r="DZ1033" i="489"/>
  <c r="DZ1034" i="489"/>
  <c r="DZ1052" i="489"/>
  <c r="DZ1029" i="489"/>
  <c r="DZ1057" i="489"/>
  <c r="DZ1097" i="489"/>
  <c r="DZ1071" i="489"/>
  <c r="DZ1085" i="489"/>
  <c r="DZ1072" i="489"/>
  <c r="DZ1062" i="489"/>
  <c r="DZ1082" i="489"/>
  <c r="DZ1069" i="489"/>
  <c r="DZ1110" i="489"/>
  <c r="DZ1079" i="489"/>
  <c r="DZ1083" i="489"/>
  <c r="DZ1107" i="489"/>
  <c r="DZ1117" i="489"/>
  <c r="DZ1081" i="489"/>
  <c r="DZ1101" i="489"/>
  <c r="DZ1051" i="489"/>
  <c r="DZ1080" i="489"/>
  <c r="DZ1128" i="489"/>
  <c r="DZ1100" i="489"/>
  <c r="DZ1053" i="489"/>
  <c r="DZ1098" i="489"/>
  <c r="DZ1089" i="489"/>
  <c r="DZ1125" i="489"/>
  <c r="DZ1139" i="489"/>
  <c r="DZ1111" i="489"/>
  <c r="DZ1099" i="489"/>
  <c r="DZ1138" i="489"/>
  <c r="DZ1054" i="489"/>
  <c r="DZ1112" i="489"/>
  <c r="DZ1135" i="489"/>
  <c r="DZ1056" i="489"/>
  <c r="DZ1155" i="489"/>
  <c r="DZ1174" i="489"/>
  <c r="DZ1165" i="489"/>
  <c r="DZ1136" i="489"/>
  <c r="DZ1169" i="489"/>
  <c r="DZ1175" i="489"/>
  <c r="DZ1109" i="489"/>
  <c r="DZ1166" i="489"/>
  <c r="DZ1118" i="489"/>
  <c r="DZ1163" i="489"/>
  <c r="DZ1127" i="489"/>
  <c r="DZ1173" i="489"/>
  <c r="DZ1140" i="489"/>
  <c r="DZ1126" i="489"/>
  <c r="DZ1137" i="489"/>
  <c r="DZ1146" i="489"/>
  <c r="DZ1145" i="489"/>
  <c r="DZ1153" i="489"/>
  <c r="DZ1167" i="489"/>
  <c r="DZ1154" i="489"/>
  <c r="DZ1108" i="489"/>
  <c r="DZ1164" i="489"/>
  <c r="DZ1168" i="489"/>
  <c r="EM1006" i="489"/>
  <c r="EM1156" i="489"/>
  <c r="EM1157" i="489"/>
  <c r="EM1158" i="489"/>
  <c r="EM1159" i="489"/>
  <c r="EM1160" i="489"/>
  <c r="EM1161" i="489"/>
  <c r="EM1170" i="489"/>
  <c r="EM1171" i="489"/>
  <c r="EM1176" i="489"/>
  <c r="EM1177" i="489"/>
  <c r="EM1129" i="489"/>
  <c r="EM1130" i="489"/>
  <c r="EM1131" i="489"/>
  <c r="EM1132" i="489"/>
  <c r="EM1133" i="489"/>
  <c r="EM1141" i="489"/>
  <c r="EM1142" i="489"/>
  <c r="EM1143" i="489"/>
  <c r="EM1147" i="489"/>
  <c r="EM1148" i="489"/>
  <c r="EM1149" i="489"/>
  <c r="EM1102" i="489"/>
  <c r="EM1103" i="489"/>
  <c r="EM1104" i="489"/>
  <c r="EM1105" i="489"/>
  <c r="EM1113" i="489"/>
  <c r="EM1114" i="489"/>
  <c r="EM1115" i="489"/>
  <c r="EM1119" i="489"/>
  <c r="EM1120" i="489"/>
  <c r="EM1121" i="489"/>
  <c r="EM1086" i="489"/>
  <c r="EM1087" i="489"/>
  <c r="EM1091" i="489"/>
  <c r="EM1092" i="489"/>
  <c r="EM1073" i="489"/>
  <c r="EM1074" i="489"/>
  <c r="EM1075" i="489"/>
  <c r="EM1076" i="489"/>
  <c r="EM1077" i="489"/>
  <c r="EM1093" i="489"/>
  <c r="EM1044" i="489"/>
  <c r="EM1045" i="489"/>
  <c r="EM1046" i="489"/>
  <c r="EM1047" i="489"/>
  <c r="EM1048" i="489"/>
  <c r="EM1049" i="489"/>
  <c r="EM1058" i="489"/>
  <c r="EM1059" i="489"/>
  <c r="EM1063" i="489"/>
  <c r="EM1064" i="489"/>
  <c r="EM1065" i="489"/>
  <c r="EM1030" i="489"/>
  <c r="EM1016" i="489"/>
  <c r="EM1017" i="489"/>
  <c r="EM1018" i="489"/>
  <c r="EM1019" i="489"/>
  <c r="EM1020" i="489"/>
  <c r="EM1021" i="489"/>
  <c r="EM1031" i="489"/>
  <c r="EM1035" i="489"/>
  <c r="EM1036" i="489"/>
  <c r="EM1037" i="489"/>
  <c r="EM1024" i="489"/>
  <c r="EM1055" i="489"/>
  <c r="EM1028" i="489"/>
  <c r="EM1042" i="489"/>
  <c r="EM1026" i="489"/>
  <c r="EM1057" i="489"/>
  <c r="EM1027" i="489"/>
  <c r="EM1041" i="489"/>
  <c r="EM1014" i="489"/>
  <c r="EM1034" i="489"/>
  <c r="EM1053" i="489"/>
  <c r="EM1029" i="489"/>
  <c r="EM1043" i="489"/>
  <c r="EM1013" i="489"/>
  <c r="EM1033" i="489"/>
  <c r="EM1052" i="489"/>
  <c r="EM1025" i="489"/>
  <c r="EM1056" i="489"/>
  <c r="EM1070" i="489"/>
  <c r="EM1084" i="489"/>
  <c r="EM1081" i="489"/>
  <c r="EM1090" i="489"/>
  <c r="EM1100" i="489"/>
  <c r="EM1097" i="489"/>
  <c r="EM1110" i="489"/>
  <c r="EM1015" i="489"/>
  <c r="EM1023" i="489"/>
  <c r="EM1054" i="489"/>
  <c r="EM1061" i="489"/>
  <c r="EM1107" i="489"/>
  <c r="EM1128" i="489"/>
  <c r="EM1125" i="489"/>
  <c r="EM1138" i="489"/>
  <c r="EM1135" i="489"/>
  <c r="EM1085" i="489"/>
  <c r="EM1082" i="489"/>
  <c r="EM1079" i="489"/>
  <c r="EM1101" i="489"/>
  <c r="EM1098" i="489"/>
  <c r="EM1111" i="489"/>
  <c r="EM1062" i="489"/>
  <c r="EM1072" i="489"/>
  <c r="EM1069" i="489"/>
  <c r="EM1083" i="489"/>
  <c r="EM1080" i="489"/>
  <c r="EM1089" i="489"/>
  <c r="EM1099" i="489"/>
  <c r="EM1112" i="489"/>
  <c r="EM1109" i="489"/>
  <c r="EM1071" i="489"/>
  <c r="EM1051" i="489"/>
  <c r="EM1136" i="489"/>
  <c r="EM1139" i="489"/>
  <c r="EM1145" i="489"/>
  <c r="EM1153" i="489"/>
  <c r="EM1167" i="489"/>
  <c r="EM1164" i="489"/>
  <c r="EM1174" i="489"/>
  <c r="EM1108" i="489"/>
  <c r="EM1117" i="489"/>
  <c r="EM1118" i="489"/>
  <c r="EM1127" i="489"/>
  <c r="EM1140" i="489"/>
  <c r="EM1137" i="489"/>
  <c r="EM1146" i="489"/>
  <c r="EM1155" i="489"/>
  <c r="EM1169" i="489"/>
  <c r="EM1166" i="489"/>
  <c r="EM1163" i="489"/>
  <c r="EM1173" i="489"/>
  <c r="EM1154" i="489"/>
  <c r="EM1168" i="489"/>
  <c r="EM1165" i="489"/>
  <c r="EM1175" i="489"/>
  <c r="EM1126" i="489"/>
  <c r="EX1002" i="489"/>
  <c r="EX1156" i="489"/>
  <c r="EX1157" i="489"/>
  <c r="EX1158" i="489"/>
  <c r="EX1159" i="489"/>
  <c r="EX1160" i="489"/>
  <c r="EX1161" i="489"/>
  <c r="EX1170" i="489"/>
  <c r="EX1171" i="489"/>
  <c r="EX1176" i="489"/>
  <c r="EX1177" i="489"/>
  <c r="EX1129" i="489"/>
  <c r="EX1130" i="489"/>
  <c r="EX1131" i="489"/>
  <c r="EX1132" i="489"/>
  <c r="EX1133" i="489"/>
  <c r="EX1149" i="489"/>
  <c r="EX1148" i="489"/>
  <c r="EX1143" i="489"/>
  <c r="EX1141" i="489"/>
  <c r="EX1147" i="489"/>
  <c r="EX1142" i="489"/>
  <c r="EX1114" i="489"/>
  <c r="EX1115" i="489"/>
  <c r="EX1119" i="489"/>
  <c r="EX1120" i="489"/>
  <c r="EX1121" i="489"/>
  <c r="EX1102" i="489"/>
  <c r="EX1103" i="489"/>
  <c r="EX1104" i="489"/>
  <c r="EX1105" i="489"/>
  <c r="EX1113" i="489"/>
  <c r="EX1073" i="489"/>
  <c r="EX1074" i="489"/>
  <c r="EX1075" i="489"/>
  <c r="EX1076" i="489"/>
  <c r="EX1077" i="489"/>
  <c r="EX1086" i="489"/>
  <c r="EX1087" i="489"/>
  <c r="EX1091" i="489"/>
  <c r="EX1092" i="489"/>
  <c r="EX1093" i="489"/>
  <c r="EX1044" i="489"/>
  <c r="EX1045" i="489"/>
  <c r="EX1046" i="489"/>
  <c r="EX1047" i="489"/>
  <c r="EX1048" i="489"/>
  <c r="EX1049" i="489"/>
  <c r="EX1058" i="489"/>
  <c r="EX1059" i="489"/>
  <c r="EX1063" i="489"/>
  <c r="EX1064" i="489"/>
  <c r="EX1065" i="489"/>
  <c r="EX1030" i="489"/>
  <c r="EX1016" i="489"/>
  <c r="EX1017" i="489"/>
  <c r="EX1018" i="489"/>
  <c r="EX1019" i="489"/>
  <c r="EX1020" i="489"/>
  <c r="EX1021" i="489"/>
  <c r="EX1031" i="489"/>
  <c r="EX1035" i="489"/>
  <c r="EX1036" i="489"/>
  <c r="EX1037" i="489"/>
  <c r="EX1015" i="489"/>
  <c r="EX1043" i="489"/>
  <c r="EX1027" i="489"/>
  <c r="EX1028" i="489"/>
  <c r="EX1023" i="489"/>
  <c r="EX1013" i="489"/>
  <c r="EX1041" i="489"/>
  <c r="EX1014" i="489"/>
  <c r="EX1042" i="489"/>
  <c r="EX1061" i="489"/>
  <c r="EX1084" i="489"/>
  <c r="EX1026" i="489"/>
  <c r="EX1081" i="489"/>
  <c r="EX1090" i="489"/>
  <c r="EX1033" i="489"/>
  <c r="EX1034" i="489"/>
  <c r="EX1029" i="489"/>
  <c r="EX1057" i="489"/>
  <c r="EX1097" i="489"/>
  <c r="EX1024" i="489"/>
  <c r="EX1025" i="489"/>
  <c r="EX1055" i="489"/>
  <c r="EX1062" i="489"/>
  <c r="EX1082" i="489"/>
  <c r="EX1069" i="489"/>
  <c r="EX1110" i="489"/>
  <c r="EX1108" i="489"/>
  <c r="EX1079" i="489"/>
  <c r="EX1083" i="489"/>
  <c r="EX1107" i="489"/>
  <c r="EX1052" i="489"/>
  <c r="EX1101" i="489"/>
  <c r="EX1051" i="489"/>
  <c r="EX1080" i="489"/>
  <c r="EX1128" i="489"/>
  <c r="EX1070" i="489"/>
  <c r="EX1053" i="489"/>
  <c r="EX1098" i="489"/>
  <c r="EX1089" i="489"/>
  <c r="EX1125" i="489"/>
  <c r="EX1139" i="489"/>
  <c r="EX1100" i="489"/>
  <c r="EX1111" i="489"/>
  <c r="EX1099" i="489"/>
  <c r="EX1138" i="489"/>
  <c r="EX1054" i="489"/>
  <c r="EX1112" i="489"/>
  <c r="EX1135" i="489"/>
  <c r="EX1056" i="489"/>
  <c r="EX1071" i="489"/>
  <c r="EX1085" i="489"/>
  <c r="EX1072" i="489"/>
  <c r="EX1136" i="489"/>
  <c r="EX1109" i="489"/>
  <c r="EX1166" i="489"/>
  <c r="EX1118" i="489"/>
  <c r="EX1163" i="489"/>
  <c r="EX1127" i="489"/>
  <c r="EX1173" i="489"/>
  <c r="EX1140" i="489"/>
  <c r="EX1137" i="489"/>
  <c r="EX1126" i="489"/>
  <c r="EX1146" i="489"/>
  <c r="EX1145" i="489"/>
  <c r="EX1117" i="489"/>
  <c r="EX1153" i="489"/>
  <c r="EX1167" i="489"/>
  <c r="EX1164" i="489"/>
  <c r="EX1168" i="489"/>
  <c r="EX1155" i="489"/>
  <c r="EX1174" i="489"/>
  <c r="EX1165" i="489"/>
  <c r="EX1169" i="489"/>
  <c r="EX1175" i="489"/>
  <c r="DC1001" i="489"/>
  <c r="DC1058" i="489"/>
  <c r="DC1030" i="489"/>
  <c r="DC1036" i="489"/>
  <c r="DC1020" i="489"/>
  <c r="DC1045" i="489"/>
  <c r="DC1015" i="489"/>
  <c r="DC1021" i="489"/>
  <c r="DC1044" i="489"/>
  <c r="DC1059" i="489"/>
  <c r="DC1031" i="489"/>
  <c r="DC1037" i="489"/>
  <c r="DC1046" i="489"/>
  <c r="DC1061" i="489"/>
  <c r="DC1016" i="489"/>
  <c r="DC1047" i="489"/>
  <c r="DC1062" i="489"/>
  <c r="DC1017" i="489"/>
  <c r="DC1055" i="489"/>
  <c r="DC1027" i="489"/>
  <c r="DC1033" i="489"/>
  <c r="DC1048" i="489"/>
  <c r="DC1063" i="489"/>
  <c r="DC1018" i="489"/>
  <c r="DC1065" i="489"/>
  <c r="DC1056" i="489"/>
  <c r="DC1028" i="489"/>
  <c r="DC1034" i="489"/>
  <c r="DC1049" i="489"/>
  <c r="DC1064" i="489"/>
  <c r="DC1019" i="489"/>
  <c r="DC1057" i="489"/>
  <c r="DC1029" i="489"/>
  <c r="DC1035" i="489"/>
  <c r="DC988" i="489"/>
  <c r="BR1026" i="489"/>
  <c r="BR1043" i="489"/>
  <c r="BR1047" i="489"/>
  <c r="BR1051" i="489"/>
  <c r="BR1056" i="489"/>
  <c r="BR1061" i="489"/>
  <c r="BR1065" i="489"/>
  <c r="BR1016" i="489"/>
  <c r="BR1020" i="489"/>
  <c r="BR1031" i="489"/>
  <c r="BR1035" i="489"/>
  <c r="BR1044" i="489"/>
  <c r="BR1048" i="489"/>
  <c r="BR1052" i="489"/>
  <c r="BR1057" i="489"/>
  <c r="BR1062" i="489"/>
  <c r="BR1013" i="489"/>
  <c r="BR1021" i="489"/>
  <c r="BR1034" i="489"/>
  <c r="BR1024" i="489"/>
  <c r="BR1028" i="489"/>
  <c r="BR1036" i="489"/>
  <c r="BR1041" i="489"/>
  <c r="BR1045" i="489"/>
  <c r="BR1049" i="489"/>
  <c r="BR1053" i="489"/>
  <c r="BR1058" i="489"/>
  <c r="BR1063" i="489"/>
  <c r="BR1014" i="489"/>
  <c r="BR1018" i="489"/>
  <c r="BR1025" i="489"/>
  <c r="BR1029" i="489"/>
  <c r="BR1033" i="489"/>
  <c r="BR1037" i="489"/>
  <c r="BR1054" i="489"/>
  <c r="BR1042" i="489"/>
  <c r="BR1059" i="489"/>
  <c r="BR1064" i="489"/>
  <c r="BR1015" i="489"/>
  <c r="Y1063" i="489"/>
  <c r="Y1056" i="489"/>
  <c r="Y1027" i="489"/>
  <c r="Y1030" i="489"/>
  <c r="Y1033" i="489"/>
  <c r="Y1036" i="489"/>
  <c r="Y1044" i="489"/>
  <c r="Y1047" i="489"/>
  <c r="Y1016" i="489"/>
  <c r="Y1019" i="489"/>
  <c r="Y1057" i="489"/>
  <c r="Y1059" i="489"/>
  <c r="Y1061" i="489"/>
  <c r="Y1064" i="489"/>
  <c r="Y1054" i="489"/>
  <c r="Y1028" i="489"/>
  <c r="Y1031" i="489"/>
  <c r="Y1034" i="489"/>
  <c r="Y1037" i="489"/>
  <c r="Y1045" i="489"/>
  <c r="Y1048" i="489"/>
  <c r="Y1051" i="489"/>
  <c r="Y1017" i="489"/>
  <c r="Y1020" i="489"/>
  <c r="Y1055" i="489"/>
  <c r="Y1058" i="489"/>
  <c r="Y1062" i="489"/>
  <c r="Y1065" i="489"/>
  <c r="Y1023" i="489"/>
  <c r="Y1026" i="489"/>
  <c r="Y1029" i="489"/>
  <c r="Y1035" i="489"/>
  <c r="Y1043" i="489"/>
  <c r="Y1046" i="489"/>
  <c r="Y1049" i="489"/>
  <c r="Y1015" i="489"/>
  <c r="Y1018" i="489"/>
  <c r="Y1021" i="489"/>
  <c r="Y1009" i="489"/>
  <c r="AF1042" i="489"/>
  <c r="AF1057" i="489"/>
  <c r="AF1018" i="489"/>
  <c r="AF1027" i="489"/>
  <c r="AF1049" i="489"/>
  <c r="AF1047" i="489"/>
  <c r="AF1065" i="489"/>
  <c r="AF1052" i="489"/>
  <c r="AF1055" i="489"/>
  <c r="AF1016" i="489"/>
  <c r="AF1025" i="489"/>
  <c r="AF1037" i="489"/>
  <c r="AF1045" i="489"/>
  <c r="AF1063" i="489"/>
  <c r="AF1021" i="489"/>
  <c r="AF1030" i="489"/>
  <c r="AF1034" i="489"/>
  <c r="AF1014" i="489"/>
  <c r="AF1023" i="489"/>
  <c r="AF1035" i="489"/>
  <c r="AF1013" i="489"/>
  <c r="AF1043" i="489"/>
  <c r="AF1058" i="489"/>
  <c r="AF1061" i="489"/>
  <c r="AF1019" i="489"/>
  <c r="AF1028" i="489"/>
  <c r="AF1048" i="489"/>
  <c r="AF1033" i="489"/>
  <c r="AF1053" i="489"/>
  <c r="AF1056" i="489"/>
  <c r="AF1017" i="489"/>
  <c r="AF1026" i="489"/>
  <c r="AF1046" i="489"/>
  <c r="AF1064" i="489"/>
  <c r="AF1031" i="489"/>
  <c r="AF1015" i="489"/>
  <c r="AF1036" i="489"/>
  <c r="AF1044" i="489"/>
  <c r="AF1059" i="489"/>
  <c r="AF1062" i="489"/>
  <c r="AF1020" i="489"/>
  <c r="AF1029" i="489"/>
  <c r="AF1054" i="489"/>
  <c r="DB987" i="489"/>
  <c r="DB1054" i="489"/>
  <c r="DB1034" i="489"/>
  <c r="DB1042" i="489"/>
  <c r="DB1044" i="489"/>
  <c r="DB1046" i="489"/>
  <c r="DB1048" i="489"/>
  <c r="DB1052" i="489"/>
  <c r="DB1061" i="489"/>
  <c r="DB1063" i="489"/>
  <c r="DB1065" i="489"/>
  <c r="DB1056" i="489"/>
  <c r="DB1028" i="489"/>
  <c r="DB1036" i="489"/>
  <c r="DB1013" i="489"/>
  <c r="DB1015" i="489"/>
  <c r="DB1017" i="489"/>
  <c r="DB1019" i="489"/>
  <c r="DB1021" i="489"/>
  <c r="DB1055" i="489"/>
  <c r="DB1057" i="489"/>
  <c r="DB1059" i="489"/>
  <c r="DB1023" i="489"/>
  <c r="DB1025" i="489"/>
  <c r="DB1027" i="489"/>
  <c r="DB1029" i="489"/>
  <c r="DB1031" i="489"/>
  <c r="DB1033" i="489"/>
  <c r="DB1035" i="489"/>
  <c r="DB1037" i="489"/>
  <c r="DB1058" i="489"/>
  <c r="DB1041" i="489"/>
  <c r="DB1043" i="489"/>
  <c r="DB1045" i="489"/>
  <c r="DB1047" i="489"/>
  <c r="DB1049" i="489"/>
  <c r="DB1051" i="489"/>
  <c r="DB1053" i="489"/>
  <c r="DB1062" i="489"/>
  <c r="DB1064" i="489"/>
  <c r="DB1024" i="489"/>
  <c r="DB1014" i="489"/>
  <c r="DB1016" i="489"/>
  <c r="DB1018" i="489"/>
  <c r="DB1020" i="489"/>
  <c r="DB1026" i="489"/>
  <c r="DB1030" i="489"/>
  <c r="DG995" i="489"/>
  <c r="DG1041" i="489"/>
  <c r="DG1053" i="489"/>
  <c r="DG1015" i="489"/>
  <c r="DG1020" i="489"/>
  <c r="DG1048" i="489"/>
  <c r="DG1057" i="489"/>
  <c r="DG1027" i="489"/>
  <c r="DG1043" i="489"/>
  <c r="DG1061" i="489"/>
  <c r="DG1017" i="489"/>
  <c r="DG1034" i="489"/>
  <c r="DG1025" i="489"/>
  <c r="DG1037" i="489"/>
  <c r="DG1059" i="489"/>
  <c r="DG1029" i="489"/>
  <c r="DG1045" i="489"/>
  <c r="DG1054" i="489"/>
  <c r="DG1063" i="489"/>
  <c r="DG1019" i="489"/>
  <c r="DG1024" i="489"/>
  <c r="DG1036" i="489"/>
  <c r="DG1046" i="489"/>
  <c r="DG1055" i="489"/>
  <c r="DG1052" i="489"/>
  <c r="DG1014" i="489"/>
  <c r="DG1031" i="489"/>
  <c r="DG1047" i="489"/>
  <c r="DG1056" i="489"/>
  <c r="DG1065" i="489"/>
  <c r="DG1021" i="489"/>
  <c r="DG1026" i="489"/>
  <c r="DG1042" i="489"/>
  <c r="DG1016" i="489"/>
  <c r="DG1033" i="489"/>
  <c r="DG1049" i="489"/>
  <c r="DG1058" i="489"/>
  <c r="DG1028" i="489"/>
  <c r="DG1064" i="489"/>
  <c r="DG1044" i="489"/>
  <c r="DG1062" i="489"/>
  <c r="DG1018" i="489"/>
  <c r="DG1023" i="489"/>
  <c r="DG1035" i="489"/>
  <c r="DG1051" i="489"/>
  <c r="DG1013" i="489"/>
  <c r="DG1030" i="489"/>
  <c r="DF1044" i="489"/>
  <c r="DF1047" i="489"/>
  <c r="DF1023" i="489"/>
  <c r="DF1026" i="489"/>
  <c r="DF1029" i="489"/>
  <c r="DF1035" i="489"/>
  <c r="DF1020" i="489"/>
  <c r="DF1055" i="489"/>
  <c r="DF1058" i="489"/>
  <c r="DF1063" i="489"/>
  <c r="DF1016" i="489"/>
  <c r="DF1019" i="489"/>
  <c r="DF1043" i="489"/>
  <c r="DF1046" i="489"/>
  <c r="DF1049" i="489"/>
  <c r="DF1028" i="489"/>
  <c r="DF1031" i="489"/>
  <c r="DF1034" i="489"/>
  <c r="DF1037" i="489"/>
  <c r="DF1017" i="489"/>
  <c r="DF1054" i="489"/>
  <c r="DF1057" i="489"/>
  <c r="DF1062" i="489"/>
  <c r="DF1065" i="489"/>
  <c r="DF1015" i="489"/>
  <c r="DF1018" i="489"/>
  <c r="DF1021" i="489"/>
  <c r="DF1045" i="489"/>
  <c r="DF1048" i="489"/>
  <c r="DF1051" i="489"/>
  <c r="DF1024" i="489"/>
  <c r="DF1027" i="489"/>
  <c r="DF1030" i="489"/>
  <c r="DF1033" i="489"/>
  <c r="DF1036" i="489"/>
  <c r="DF1056" i="489"/>
  <c r="DF1059" i="489"/>
  <c r="DF1061" i="489"/>
  <c r="DF1064" i="489"/>
  <c r="CX991" i="489"/>
  <c r="CX986" i="489"/>
  <c r="CX1009" i="489"/>
  <c r="CX1054" i="489"/>
  <c r="CX1025" i="489"/>
  <c r="CX1029" i="489"/>
  <c r="CX1033" i="489"/>
  <c r="CX1037" i="489"/>
  <c r="CX1058" i="489"/>
  <c r="CX1013" i="489"/>
  <c r="CX1042" i="489"/>
  <c r="CX1046" i="489"/>
  <c r="CX1057" i="489"/>
  <c r="CX1064" i="489"/>
  <c r="CX1016" i="489"/>
  <c r="CX1020" i="489"/>
  <c r="CX1043" i="489"/>
  <c r="CX1065" i="489"/>
  <c r="CX1024" i="489"/>
  <c r="CX1028" i="489"/>
  <c r="CX1036" i="489"/>
  <c r="CX1051" i="489"/>
  <c r="CX1061" i="489"/>
  <c r="CX1041" i="489"/>
  <c r="CX1045" i="489"/>
  <c r="CX1049" i="489"/>
  <c r="CX1053" i="489"/>
  <c r="CX1056" i="489"/>
  <c r="CX1063" i="489"/>
  <c r="CX1015" i="489"/>
  <c r="CX1019" i="489"/>
  <c r="CX1023" i="489"/>
  <c r="CX1027" i="489"/>
  <c r="CX1031" i="489"/>
  <c r="CX1035" i="489"/>
  <c r="CX1017" i="489"/>
  <c r="CX1044" i="489"/>
  <c r="CX1048" i="489"/>
  <c r="CX1052" i="489"/>
  <c r="CX1055" i="489"/>
  <c r="CX1059" i="489"/>
  <c r="CX1062" i="489"/>
  <c r="CX1014" i="489"/>
  <c r="CX1018" i="489"/>
  <c r="CX1047" i="489"/>
  <c r="CX1021" i="489"/>
  <c r="CX1026" i="489"/>
  <c r="CX1030" i="489"/>
  <c r="CX1034" i="489"/>
  <c r="AA1043" i="489"/>
  <c r="AA1049" i="489"/>
  <c r="AA1064" i="489"/>
  <c r="AA1054" i="489"/>
  <c r="AA1059" i="489"/>
  <c r="AA1013" i="489"/>
  <c r="AA1019" i="489"/>
  <c r="AA1025" i="489"/>
  <c r="AA1031" i="489"/>
  <c r="AA1037" i="489"/>
  <c r="AA1026" i="489"/>
  <c r="AA1042" i="489"/>
  <c r="AA1048" i="489"/>
  <c r="AA1063" i="489"/>
  <c r="AA1058" i="489"/>
  <c r="AA1018" i="489"/>
  <c r="AA1024" i="489"/>
  <c r="AA1030" i="489"/>
  <c r="AA1036" i="489"/>
  <c r="AA1041" i="489"/>
  <c r="AA1047" i="489"/>
  <c r="AA1053" i="489"/>
  <c r="AA1062" i="489"/>
  <c r="AA1057" i="489"/>
  <c r="AA1017" i="489"/>
  <c r="AA1023" i="489"/>
  <c r="AA1029" i="489"/>
  <c r="AA1035" i="489"/>
  <c r="AA1020" i="489"/>
  <c r="AA1046" i="489"/>
  <c r="AA1052" i="489"/>
  <c r="AA1061" i="489"/>
  <c r="AA1056" i="489"/>
  <c r="AA1016" i="489"/>
  <c r="AA1028" i="489"/>
  <c r="AA1034" i="489"/>
  <c r="AA1045" i="489"/>
  <c r="AA1051" i="489"/>
  <c r="AA1014" i="489"/>
  <c r="AA1055" i="489"/>
  <c r="AA1015" i="489"/>
  <c r="AA1021" i="489"/>
  <c r="AA1027" i="489"/>
  <c r="AA1033" i="489"/>
  <c r="AA1044" i="489"/>
  <c r="AA1065" i="489"/>
  <c r="AI992" i="489"/>
  <c r="AU987" i="489"/>
  <c r="DO985" i="489"/>
  <c r="J991" i="489"/>
  <c r="AU992" i="489"/>
  <c r="CR991" i="489"/>
  <c r="DO989" i="489"/>
  <c r="BG989" i="489"/>
  <c r="DO987" i="489"/>
  <c r="J989" i="489"/>
  <c r="CF992" i="489"/>
  <c r="CQ991" i="489"/>
  <c r="K991" i="489"/>
  <c r="DP990" i="489"/>
  <c r="AU988" i="489"/>
  <c r="EO987" i="489"/>
  <c r="BS987" i="489"/>
  <c r="AJ986" i="489"/>
  <c r="DP1009" i="489"/>
  <c r="DC993" i="489"/>
  <c r="AI991" i="489"/>
  <c r="DO990" i="489"/>
  <c r="AU989" i="489"/>
  <c r="DP986" i="489"/>
  <c r="CE986" i="489"/>
  <c r="AI986" i="489"/>
  <c r="DO1009" i="489"/>
  <c r="BH1006" i="489"/>
  <c r="BH993" i="489"/>
  <c r="EO992" i="489"/>
  <c r="DC992" i="489"/>
  <c r="CR990" i="489"/>
  <c r="EC989" i="489"/>
  <c r="DP988" i="489"/>
  <c r="DO986" i="489"/>
  <c r="CQ985" i="489"/>
  <c r="BH1007" i="489"/>
  <c r="BH1003" i="489"/>
  <c r="BG993" i="489"/>
  <c r="EC991" i="489"/>
  <c r="BS991" i="489"/>
  <c r="AU990" i="489"/>
  <c r="BS989" i="489"/>
  <c r="DO988" i="489"/>
  <c r="EC987" i="489"/>
  <c r="BS986" i="489"/>
  <c r="CE985" i="489"/>
  <c r="BH1001" i="489"/>
  <c r="DP993" i="489"/>
  <c r="BS993" i="489"/>
  <c r="DP992" i="489"/>
  <c r="BH992" i="489"/>
  <c r="EC990" i="489"/>
  <c r="BS990" i="489"/>
  <c r="AI989" i="489"/>
  <c r="EO988" i="489"/>
  <c r="CF988" i="489"/>
  <c r="DD986" i="489"/>
  <c r="BS985" i="489"/>
  <c r="CR1008" i="489"/>
  <c r="DP1006" i="489"/>
  <c r="DO993" i="489"/>
  <c r="DO992" i="489"/>
  <c r="BG992" i="489"/>
  <c r="EO991" i="489"/>
  <c r="DD991" i="489"/>
  <c r="DD987" i="489"/>
  <c r="EC985" i="489"/>
  <c r="EC1008" i="489"/>
  <c r="DP1007" i="489"/>
  <c r="AJ1003" i="489"/>
  <c r="AJ993" i="489"/>
  <c r="BS992" i="489"/>
  <c r="DC991" i="489"/>
  <c r="BS988" i="489"/>
  <c r="AJ988" i="489"/>
  <c r="DO1007" i="489"/>
  <c r="DP1005" i="489"/>
  <c r="EC1003" i="489"/>
  <c r="CQ993" i="489"/>
  <c r="AI993" i="489"/>
  <c r="AI990" i="489"/>
  <c r="AI988" i="489"/>
  <c r="J1005" i="489"/>
  <c r="AI1006" i="489"/>
  <c r="P1001" i="489"/>
  <c r="U993" i="489"/>
  <c r="DB986" i="489"/>
  <c r="EA985" i="489"/>
  <c r="AU999" i="489"/>
  <c r="DN987" i="489"/>
  <c r="EA1008" i="489"/>
  <c r="DN1003" i="489"/>
  <c r="DN993" i="489"/>
  <c r="EN992" i="489"/>
  <c r="DN991" i="489"/>
  <c r="EN1009" i="489"/>
  <c r="CP1008" i="489"/>
  <c r="U1007" i="489"/>
  <c r="DN1002" i="489"/>
  <c r="DN988" i="489"/>
  <c r="DN998" i="489"/>
  <c r="DB990" i="489"/>
  <c r="EA987" i="489"/>
  <c r="BS1003" i="489"/>
  <c r="CP993" i="489"/>
  <c r="U989" i="489"/>
  <c r="DN1007" i="489"/>
  <c r="DN1006" i="489"/>
  <c r="EA993" i="489"/>
  <c r="DN992" i="489"/>
  <c r="U992" i="489"/>
  <c r="CP991" i="489"/>
  <c r="U987" i="489"/>
  <c r="DN985" i="489"/>
  <c r="AB1000" i="489"/>
  <c r="U990" i="489"/>
  <c r="DN986" i="489"/>
  <c r="DN1008" i="489"/>
  <c r="DN990" i="489"/>
  <c r="DN1009" i="489"/>
  <c r="AB1005" i="489"/>
  <c r="EN999" i="489"/>
  <c r="DN989" i="489"/>
  <c r="BM1005" i="489"/>
  <c r="BS1000" i="489"/>
  <c r="AU1003" i="489"/>
  <c r="CQ1001" i="489"/>
  <c r="AO1007" i="489"/>
  <c r="P1003" i="489"/>
  <c r="BY986" i="489"/>
  <c r="P985" i="489"/>
  <c r="EC1009" i="489"/>
  <c r="CQ1009" i="489"/>
  <c r="AU1009" i="489"/>
  <c r="AU1008" i="489"/>
  <c r="AU1007" i="489"/>
  <c r="EO1005" i="489"/>
  <c r="DC1005" i="489"/>
  <c r="BS1005" i="489"/>
  <c r="EI1003" i="489"/>
  <c r="BY1003" i="489"/>
  <c r="AB1003" i="489"/>
  <c r="BG1002" i="489"/>
  <c r="CW1001" i="489"/>
  <c r="Z1001" i="489"/>
  <c r="AI1000" i="489"/>
  <c r="BG999" i="489"/>
  <c r="AB998" i="489"/>
  <c r="BG996" i="489"/>
  <c r="AB986" i="489"/>
  <c r="BM985" i="489"/>
  <c r="DU1009" i="489"/>
  <c r="AI1009" i="489"/>
  <c r="BY1007" i="489"/>
  <c r="AI1007" i="489"/>
  <c r="EC1005" i="489"/>
  <c r="CW1005" i="489"/>
  <c r="BG1005" i="489"/>
  <c r="DU1003" i="489"/>
  <c r="ET1002" i="489"/>
  <c r="AU1002" i="489"/>
  <c r="BS1001" i="489"/>
  <c r="EO1000" i="489"/>
  <c r="P1000" i="489"/>
  <c r="AO999" i="489"/>
  <c r="DO997" i="489"/>
  <c r="P986" i="489"/>
  <c r="CK1009" i="489"/>
  <c r="CQ1008" i="489"/>
  <c r="AO1008" i="489"/>
  <c r="BS1007" i="489"/>
  <c r="AB1007" i="489"/>
  <c r="DC1006" i="489"/>
  <c r="BG1006" i="489"/>
  <c r="BA1005" i="489"/>
  <c r="AI1002" i="489"/>
  <c r="AB999" i="489"/>
  <c r="AI987" i="489"/>
  <c r="BG986" i="489"/>
  <c r="AB1009" i="489"/>
  <c r="EO1006" i="489"/>
  <c r="CW1006" i="489"/>
  <c r="BA1006" i="489"/>
  <c r="CQ1005" i="489"/>
  <c r="AU1005" i="489"/>
  <c r="AB1002" i="489"/>
  <c r="DO1000" i="489"/>
  <c r="EO999" i="489"/>
  <c r="CW997" i="489"/>
  <c r="J995" i="489"/>
  <c r="CK1008" i="489"/>
  <c r="EI1006" i="489"/>
  <c r="CQ1006" i="489"/>
  <c r="AU1006" i="489"/>
  <c r="AI1005" i="489"/>
  <c r="DO1003" i="489"/>
  <c r="P1002" i="489"/>
  <c r="BG1001" i="489"/>
  <c r="EO998" i="489"/>
  <c r="CK986" i="489"/>
  <c r="AU986" i="489"/>
  <c r="CW985" i="489"/>
  <c r="BG985" i="489"/>
  <c r="J1000" i="489"/>
  <c r="DO1008" i="489"/>
  <c r="AI1008" i="489"/>
  <c r="BM1007" i="489"/>
  <c r="EC1006" i="489"/>
  <c r="CK1006" i="489"/>
  <c r="AO1006" i="489"/>
  <c r="AD1005" i="489"/>
  <c r="BG1003" i="489"/>
  <c r="EI1001" i="489"/>
  <c r="BG997" i="489"/>
  <c r="CK985" i="489"/>
  <c r="AU985" i="489"/>
  <c r="DI1009" i="489"/>
  <c r="BS1009" i="489"/>
  <c r="P1009" i="489"/>
  <c r="BS1008" i="489"/>
  <c r="P1008" i="489"/>
  <c r="DC1007" i="489"/>
  <c r="BS1006" i="489"/>
  <c r="AD1006" i="489"/>
  <c r="DO1005" i="489"/>
  <c r="P1005" i="489"/>
  <c r="CQ1002" i="489"/>
  <c r="DO1001" i="489"/>
  <c r="AU1001" i="489"/>
  <c r="BM1000" i="489"/>
  <c r="DO999" i="489"/>
  <c r="ET996" i="489"/>
  <c r="BM1009" i="489"/>
  <c r="BM1008" i="489"/>
  <c r="CW1007" i="489"/>
  <c r="AB1006" i="489"/>
  <c r="ET1003" i="489"/>
  <c r="CW1003" i="489"/>
  <c r="CK1002" i="489"/>
  <c r="AO1001" i="489"/>
  <c r="AU1000" i="489"/>
  <c r="P987" i="489"/>
  <c r="BY985" i="489"/>
  <c r="AI985" i="489"/>
  <c r="CW1009" i="489"/>
  <c r="BG1009" i="489"/>
  <c r="BG1008" i="489"/>
  <c r="EO1007" i="489"/>
  <c r="CQ1007" i="489"/>
  <c r="BG1007" i="489"/>
  <c r="P1006" i="489"/>
  <c r="CQ1003" i="489"/>
  <c r="BY1002" i="489"/>
  <c r="AI1001" i="489"/>
  <c r="AB985" i="489"/>
  <c r="BA1009" i="489"/>
  <c r="BA1008" i="489"/>
  <c r="CK1007" i="489"/>
  <c r="AI1003" i="489"/>
  <c r="BS1002" i="489"/>
  <c r="Z988" i="489"/>
  <c r="BE986" i="489"/>
  <c r="AY1007" i="489"/>
  <c r="CC1006" i="489"/>
  <c r="P996" i="489"/>
  <c r="AM991" i="489"/>
  <c r="Z986" i="489"/>
  <c r="AM985" i="489"/>
  <c r="EX1006" i="489"/>
  <c r="CU1005" i="489"/>
  <c r="DG989" i="489"/>
  <c r="EX987" i="489"/>
  <c r="BE1005" i="489"/>
  <c r="BQ1000" i="489"/>
  <c r="DG997" i="489"/>
  <c r="BQ989" i="489"/>
  <c r="AS986" i="489"/>
  <c r="EX985" i="489"/>
  <c r="DA1009" i="489"/>
  <c r="DS1003" i="489"/>
  <c r="BQ1003" i="489"/>
  <c r="DG1001" i="489"/>
  <c r="AG991" i="489"/>
  <c r="T985" i="489"/>
  <c r="BQ1009" i="489"/>
  <c r="AG1007" i="489"/>
  <c r="DM1006" i="489"/>
  <c r="Z1006" i="489"/>
  <c r="EX986" i="489"/>
  <c r="BK985" i="489"/>
  <c r="DZ1009" i="489"/>
  <c r="DM1008" i="489"/>
  <c r="BW990" i="489"/>
  <c r="EG985" i="489"/>
  <c r="BK1007" i="489"/>
  <c r="ER1005" i="489"/>
  <c r="BQ986" i="489"/>
  <c r="AM986" i="489"/>
  <c r="EG1008" i="489"/>
  <c r="DG1005" i="489"/>
  <c r="DM1002" i="489"/>
  <c r="EM1000" i="489"/>
  <c r="AI998" i="489"/>
  <c r="BK989" i="489"/>
  <c r="Z991" i="489"/>
  <c r="CC989" i="489"/>
  <c r="CI985" i="489"/>
  <c r="AM1009" i="489"/>
  <c r="DZ1006" i="489"/>
  <c r="BW1005" i="489"/>
  <c r="EG1001" i="489"/>
  <c r="ER997" i="489"/>
  <c r="DE986" i="489"/>
  <c r="CG986" i="489"/>
  <c r="CA1007" i="489"/>
  <c r="P999" i="489"/>
  <c r="AG998" i="489"/>
  <c r="CC995" i="489"/>
  <c r="AD989" i="489"/>
  <c r="BC988" i="489"/>
  <c r="CM987" i="489"/>
  <c r="AD987" i="489"/>
  <c r="DK985" i="489"/>
  <c r="R1009" i="489"/>
  <c r="Z997" i="489"/>
  <c r="BI989" i="489"/>
  <c r="AD988" i="489"/>
  <c r="DK987" i="489"/>
  <c r="BI987" i="489"/>
  <c r="BC986" i="489"/>
  <c r="AQ985" i="489"/>
  <c r="AW1009" i="489"/>
  <c r="R1002" i="489"/>
  <c r="CA987" i="489"/>
  <c r="AW986" i="489"/>
  <c r="DE985" i="489"/>
  <c r="DQ1005" i="489"/>
  <c r="CM1002" i="489"/>
  <c r="DQ996" i="489"/>
  <c r="BC989" i="489"/>
  <c r="CA988" i="489"/>
  <c r="X988" i="489"/>
  <c r="BC987" i="489"/>
  <c r="DW986" i="489"/>
  <c r="DE1007" i="489"/>
  <c r="DW1000" i="489"/>
  <c r="R989" i="489"/>
  <c r="AQ988" i="489"/>
  <c r="R988" i="489"/>
  <c r="BU987" i="489"/>
  <c r="R987" i="489"/>
  <c r="BU986" i="489"/>
  <c r="X986" i="489"/>
  <c r="DW985" i="489"/>
  <c r="CS985" i="489"/>
  <c r="AD985" i="489"/>
  <c r="AK1009" i="489"/>
  <c r="EP1007" i="489"/>
  <c r="DK1006" i="489"/>
  <c r="CM1005" i="489"/>
  <c r="AW989" i="489"/>
  <c r="BU988" i="489"/>
  <c r="AW987" i="489"/>
  <c r="CS986" i="489"/>
  <c r="R986" i="489"/>
  <c r="BU1009" i="489"/>
  <c r="AW999" i="489"/>
  <c r="CM985" i="489"/>
  <c r="BO1003" i="489"/>
  <c r="AW1001" i="489"/>
  <c r="BQ998" i="489"/>
  <c r="CI996" i="489"/>
  <c r="R990" i="489"/>
  <c r="EV985" i="489"/>
  <c r="BU1000" i="489"/>
  <c r="AI999" i="489"/>
  <c r="AI996" i="489"/>
  <c r="AK989" i="489"/>
  <c r="BI988" i="489"/>
  <c r="AK988" i="489"/>
  <c r="CS987" i="489"/>
  <c r="DK986" i="489"/>
  <c r="BI986" i="489"/>
  <c r="CG985" i="489"/>
  <c r="BC985" i="489"/>
  <c r="BI1009" i="489"/>
  <c r="AK1002" i="489"/>
  <c r="EK999" i="489"/>
  <c r="T991" i="489"/>
  <c r="BQ990" i="489"/>
  <c r="AY990" i="489"/>
  <c r="Z990" i="489"/>
  <c r="EM988" i="489"/>
  <c r="BW988" i="489"/>
  <c r="AY988" i="489"/>
  <c r="AY987" i="489"/>
  <c r="Z987" i="489"/>
  <c r="CU985" i="489"/>
  <c r="BQ985" i="489"/>
  <c r="AY985" i="489"/>
  <c r="ER1009" i="489"/>
  <c r="N1009" i="489"/>
  <c r="DS1008" i="489"/>
  <c r="BQ1008" i="489"/>
  <c r="AM1008" i="489"/>
  <c r="ER1007" i="489"/>
  <c r="AM1006" i="489"/>
  <c r="AG1005" i="489"/>
  <c r="AM1003" i="489"/>
  <c r="ER1002" i="489"/>
  <c r="T1001" i="489"/>
  <c r="DG1000" i="489"/>
  <c r="AG1000" i="489"/>
  <c r="DG998" i="489"/>
  <c r="DA997" i="489"/>
  <c r="CC996" i="489"/>
  <c r="T995" i="489"/>
  <c r="AM989" i="489"/>
  <c r="CU988" i="489"/>
  <c r="ER987" i="489"/>
  <c r="DM986" i="489"/>
  <c r="CU986" i="489"/>
  <c r="N985" i="489"/>
  <c r="DM1009" i="489"/>
  <c r="BK1009" i="489"/>
  <c r="EX1008" i="489"/>
  <c r="CU1008" i="489"/>
  <c r="DM1007" i="489"/>
  <c r="CC1007" i="489"/>
  <c r="Z1007" i="489"/>
  <c r="CU1006" i="489"/>
  <c r="EM1005" i="489"/>
  <c r="BQ1005" i="489"/>
  <c r="EG1003" i="489"/>
  <c r="DG1003" i="489"/>
  <c r="CC1002" i="489"/>
  <c r="AG1002" i="489"/>
  <c r="DA1000" i="489"/>
  <c r="DM999" i="489"/>
  <c r="DA998" i="489"/>
  <c r="Z998" i="489"/>
  <c r="T997" i="489"/>
  <c r="BW989" i="489"/>
  <c r="AG988" i="489"/>
  <c r="DG987" i="489"/>
  <c r="CI987" i="489"/>
  <c r="ER986" i="489"/>
  <c r="BW986" i="489"/>
  <c r="AY986" i="489"/>
  <c r="ER985" i="489"/>
  <c r="AS985" i="489"/>
  <c r="AG1009" i="489"/>
  <c r="BK1008" i="489"/>
  <c r="BK1006" i="489"/>
  <c r="AG1006" i="489"/>
  <c r="DM1005" i="489"/>
  <c r="EG1002" i="489"/>
  <c r="DM1001" i="489"/>
  <c r="EX1000" i="489"/>
  <c r="T1000" i="489"/>
  <c r="DG999" i="489"/>
  <c r="Z999" i="489"/>
  <c r="T998" i="489"/>
  <c r="CU997" i="489"/>
  <c r="EX996" i="489"/>
  <c r="BE996" i="489"/>
  <c r="N991" i="489"/>
  <c r="BK990" i="489"/>
  <c r="AS990" i="489"/>
  <c r="T990" i="489"/>
  <c r="EG988" i="489"/>
  <c r="BQ988" i="489"/>
  <c r="AS988" i="489"/>
  <c r="DS987" i="489"/>
  <c r="AS987" i="489"/>
  <c r="T987" i="489"/>
  <c r="AG986" i="489"/>
  <c r="EG1009" i="489"/>
  <c r="CI1009" i="489"/>
  <c r="ER1008" i="489"/>
  <c r="EM1007" i="489"/>
  <c r="DG1007" i="489"/>
  <c r="BE1007" i="489"/>
  <c r="T1007" i="489"/>
  <c r="EG1005" i="489"/>
  <c r="BK1005" i="489"/>
  <c r="Z1005" i="489"/>
  <c r="DZ1003" i="489"/>
  <c r="CU1003" i="489"/>
  <c r="BK1003" i="489"/>
  <c r="Z1002" i="489"/>
  <c r="ER1000" i="489"/>
  <c r="T999" i="489"/>
  <c r="CI998" i="489"/>
  <c r="CI997" i="489"/>
  <c r="AY996" i="489"/>
  <c r="CU989" i="489"/>
  <c r="BE989" i="489"/>
  <c r="AG989" i="489"/>
  <c r="N989" i="489"/>
  <c r="DM988" i="489"/>
  <c r="EM987" i="489"/>
  <c r="CC987" i="489"/>
  <c r="BK987" i="489"/>
  <c r="DG986" i="489"/>
  <c r="DM985" i="489"/>
  <c r="DG1009" i="489"/>
  <c r="BE1009" i="489"/>
  <c r="BE1008" i="489"/>
  <c r="AG1008" i="489"/>
  <c r="BW1007" i="489"/>
  <c r="ER1006" i="489"/>
  <c r="CI1006" i="489"/>
  <c r="T1005" i="489"/>
  <c r="AG1003" i="489"/>
  <c r="BQ1002" i="489"/>
  <c r="T1002" i="489"/>
  <c r="N1000" i="489"/>
  <c r="CC998" i="489"/>
  <c r="EX997" i="489"/>
  <c r="CC997" i="489"/>
  <c r="DS996" i="489"/>
  <c r="AS996" i="489"/>
  <c r="BE990" i="489"/>
  <c r="AM990" i="489"/>
  <c r="DZ988" i="489"/>
  <c r="CI988" i="489"/>
  <c r="BK988" i="489"/>
  <c r="AM987" i="489"/>
  <c r="EG986" i="489"/>
  <c r="CI986" i="489"/>
  <c r="CC1009" i="489"/>
  <c r="AY1009" i="489"/>
  <c r="Z1009" i="489"/>
  <c r="CI1008" i="489"/>
  <c r="AY1008" i="489"/>
  <c r="Z1008" i="489"/>
  <c r="DZ1007" i="489"/>
  <c r="DA1007" i="489"/>
  <c r="BQ1007" i="489"/>
  <c r="BE1006" i="489"/>
  <c r="T1006" i="489"/>
  <c r="CI1005" i="489"/>
  <c r="N1005" i="489"/>
  <c r="CI1003" i="489"/>
  <c r="Z1003" i="489"/>
  <c r="BE1002" i="489"/>
  <c r="AS1001" i="489"/>
  <c r="EG1000" i="489"/>
  <c r="ER999" i="489"/>
  <c r="BQ999" i="489"/>
  <c r="BK998" i="489"/>
  <c r="EM997" i="489"/>
  <c r="DM996" i="489"/>
  <c r="T996" i="489"/>
  <c r="AY989" i="489"/>
  <c r="Z989" i="489"/>
  <c r="T988" i="489"/>
  <c r="EG987" i="489"/>
  <c r="BW987" i="489"/>
  <c r="DZ986" i="489"/>
  <c r="T986" i="489"/>
  <c r="AG985" i="489"/>
  <c r="T1008" i="489"/>
  <c r="AS1007" i="489"/>
  <c r="BW1006" i="489"/>
  <c r="DA1005" i="489"/>
  <c r="AY1005" i="489"/>
  <c r="EX1003" i="489"/>
  <c r="CC1003" i="489"/>
  <c r="BE1003" i="489"/>
  <c r="T1003" i="489"/>
  <c r="DG1002" i="489"/>
  <c r="N1002" i="489"/>
  <c r="BE1000" i="489"/>
  <c r="BK999" i="489"/>
  <c r="DZ985" i="489"/>
  <c r="CC985" i="489"/>
  <c r="DS1009" i="489"/>
  <c r="BW1009" i="489"/>
  <c r="DZ1008" i="489"/>
  <c r="CC1008" i="489"/>
  <c r="AS1008" i="489"/>
  <c r="CU1007" i="489"/>
  <c r="N1007" i="489"/>
  <c r="AY1006" i="489"/>
  <c r="N1006" i="489"/>
  <c r="DS1005" i="489"/>
  <c r="DA1002" i="489"/>
  <c r="EX1001" i="489"/>
  <c r="CU1001" i="489"/>
  <c r="AM1001" i="489"/>
  <c r="BE998" i="489"/>
  <c r="AW997" i="489"/>
  <c r="DA996" i="489"/>
  <c r="N996" i="489"/>
  <c r="AG990" i="489"/>
  <c r="N990" i="489"/>
  <c r="ER988" i="489"/>
  <c r="DG988" i="489"/>
  <c r="CC988" i="489"/>
  <c r="BE988" i="489"/>
  <c r="AM988" i="489"/>
  <c r="DM987" i="489"/>
  <c r="CU987" i="489"/>
  <c r="BE987" i="489"/>
  <c r="N987" i="489"/>
  <c r="DG985" i="489"/>
  <c r="AS1009" i="489"/>
  <c r="T1009" i="489"/>
  <c r="N1008" i="489"/>
  <c r="AM1007" i="489"/>
  <c r="BQ1006" i="489"/>
  <c r="EX1005" i="489"/>
  <c r="AS1005" i="489"/>
  <c r="ER1003" i="489"/>
  <c r="BW1003" i="489"/>
  <c r="N1003" i="489"/>
  <c r="AS1002" i="489"/>
  <c r="ER1001" i="489"/>
  <c r="DM997" i="489"/>
  <c r="AS989" i="489"/>
  <c r="N988" i="489"/>
  <c r="BW985" i="489"/>
  <c r="EX1009" i="489"/>
  <c r="DG1008" i="489"/>
  <c r="EX1007" i="489"/>
  <c r="DG1006" i="489"/>
  <c r="AS1006" i="489"/>
  <c r="AM1005" i="489"/>
  <c r="DM1003" i="489"/>
  <c r="DM1000" i="489"/>
  <c r="AK985" i="489"/>
  <c r="CA1009" i="489"/>
  <c r="BC1009" i="489"/>
  <c r="AD1009" i="489"/>
  <c r="L1009" i="489"/>
  <c r="DW1008" i="489"/>
  <c r="CM1008" i="489"/>
  <c r="AQ1008" i="489"/>
  <c r="EK1007" i="489"/>
  <c r="BI1006" i="489"/>
  <c r="CA1002" i="489"/>
  <c r="BO1000" i="489"/>
  <c r="BI999" i="489"/>
  <c r="EV998" i="489"/>
  <c r="AW998" i="489"/>
  <c r="DW997" i="489"/>
  <c r="BU985" i="489"/>
  <c r="CS1009" i="489"/>
  <c r="R1008" i="489"/>
  <c r="DK1007" i="489"/>
  <c r="DW1006" i="489"/>
  <c r="DE1006" i="489"/>
  <c r="AW1003" i="489"/>
  <c r="X1003" i="489"/>
  <c r="AQ1002" i="489"/>
  <c r="BC1001" i="489"/>
  <c r="R1001" i="489"/>
  <c r="DK1000" i="489"/>
  <c r="CG997" i="489"/>
  <c r="EV1008" i="489"/>
  <c r="BI1008" i="489"/>
  <c r="AQ1007" i="489"/>
  <c r="R1007" i="489"/>
  <c r="BU1006" i="489"/>
  <c r="EP1005" i="489"/>
  <c r="BI1005" i="489"/>
  <c r="EP1003" i="489"/>
  <c r="DQ1003" i="489"/>
  <c r="CS1003" i="489"/>
  <c r="BU1002" i="489"/>
  <c r="EP1001" i="489"/>
  <c r="BI1000" i="489"/>
  <c r="DK999" i="489"/>
  <c r="BC999" i="489"/>
  <c r="DQ997" i="489"/>
  <c r="AD986" i="489"/>
  <c r="DK1009" i="489"/>
  <c r="CM1009" i="489"/>
  <c r="DE1008" i="489"/>
  <c r="DW1007" i="489"/>
  <c r="BI1007" i="489"/>
  <c r="BC1006" i="489"/>
  <c r="CM1003" i="489"/>
  <c r="DK1002" i="489"/>
  <c r="BC1000" i="489"/>
  <c r="BU997" i="489"/>
  <c r="BO985" i="489"/>
  <c r="BO994" i="489" s="1"/>
  <c r="DW1009" i="489"/>
  <c r="EP1008" i="489"/>
  <c r="DQ1008" i="489"/>
  <c r="CA1008" i="489"/>
  <c r="BC1008" i="489"/>
  <c r="EP1006" i="489"/>
  <c r="CS1006" i="489"/>
  <c r="EK1005" i="489"/>
  <c r="CA1005" i="489"/>
  <c r="BC1005" i="489"/>
  <c r="EK1003" i="489"/>
  <c r="AQ1003" i="489"/>
  <c r="BO1002" i="489"/>
  <c r="DW1001" i="489"/>
  <c r="CM1001" i="489"/>
  <c r="CS1000" i="489"/>
  <c r="AW1000" i="489"/>
  <c r="CM999" i="489"/>
  <c r="DQ998" i="489"/>
  <c r="BU998" i="489"/>
  <c r="DK997" i="489"/>
  <c r="AW985" i="489"/>
  <c r="X985" i="489"/>
  <c r="BO1009" i="489"/>
  <c r="AQ1009" i="489"/>
  <c r="X1009" i="489"/>
  <c r="EV1007" i="489"/>
  <c r="BU1007" i="489"/>
  <c r="BO1006" i="489"/>
  <c r="CS1005" i="489"/>
  <c r="EV1002" i="489"/>
  <c r="BI1002" i="489"/>
  <c r="CA1001" i="489"/>
  <c r="AQ1001" i="489"/>
  <c r="EP999" i="489"/>
  <c r="BO997" i="489"/>
  <c r="EP996" i="489"/>
  <c r="CA996" i="489"/>
  <c r="DE1009" i="489"/>
  <c r="AD1007" i="489"/>
  <c r="CM1006" i="489"/>
  <c r="AW1006" i="489"/>
  <c r="R1006" i="489"/>
  <c r="R1005" i="489"/>
  <c r="BI1003" i="489"/>
  <c r="BU1001" i="489"/>
  <c r="EK1000" i="489"/>
  <c r="CM1000" i="489"/>
  <c r="BU999" i="489"/>
  <c r="BO998" i="489"/>
  <c r="DW996" i="489"/>
  <c r="DK995" i="489"/>
  <c r="EV1009" i="489"/>
  <c r="CS1008" i="489"/>
  <c r="BU1008" i="489"/>
  <c r="AW1008" i="489"/>
  <c r="BC1007" i="489"/>
  <c r="BU1005" i="489"/>
  <c r="AW1005" i="489"/>
  <c r="DK1003" i="489"/>
  <c r="CA1003" i="489"/>
  <c r="CA1000" i="489"/>
  <c r="DK998" i="489"/>
  <c r="BC997" i="489"/>
  <c r="BI996" i="489"/>
  <c r="CA985" i="489"/>
  <c r="CM1007" i="489"/>
  <c r="BO1007" i="489"/>
  <c r="X1007" i="489"/>
  <c r="AQ1006" i="489"/>
  <c r="DW1005" i="489"/>
  <c r="DW1003" i="489"/>
  <c r="AW1002" i="489"/>
  <c r="DK1001" i="489"/>
  <c r="BO999" i="489"/>
  <c r="EP997" i="489"/>
  <c r="BO995" i="489"/>
  <c r="DK1008" i="489"/>
  <c r="BO1008" i="489"/>
  <c r="EV1006" i="489"/>
  <c r="EV1005" i="489"/>
  <c r="DE1005" i="489"/>
  <c r="BC1003" i="489"/>
  <c r="BC998" i="489"/>
  <c r="EC996" i="489"/>
  <c r="EO995" i="489"/>
  <c r="L996" i="489"/>
  <c r="X995" i="489"/>
  <c r="AK1001" i="489"/>
  <c r="BI995" i="489"/>
  <c r="CG995" i="489"/>
  <c r="CS995" i="489"/>
  <c r="DE995" i="489"/>
  <c r="DQ995" i="489"/>
  <c r="ED990" i="489"/>
  <c r="CT995" i="489"/>
  <c r="DF998" i="489"/>
  <c r="EE995" i="489"/>
  <c r="EP995" i="489"/>
  <c r="N995" i="489"/>
  <c r="Z995" i="489"/>
  <c r="AM997" i="489"/>
  <c r="AY1000" i="489"/>
  <c r="BK995" i="489"/>
  <c r="BW997" i="489"/>
  <c r="CI995" i="489"/>
  <c r="CU996" i="489"/>
  <c r="DG996" i="489"/>
  <c r="DS995" i="489"/>
  <c r="AA998" i="489"/>
  <c r="AN1003" i="489"/>
  <c r="EG995" i="489"/>
  <c r="ER996" i="489"/>
  <c r="AW996" i="489"/>
  <c r="P995" i="489"/>
  <c r="AB995" i="489"/>
  <c r="AO995" i="489"/>
  <c r="BA995" i="489"/>
  <c r="BM995" i="489"/>
  <c r="BY995" i="489"/>
  <c r="CK996" i="489"/>
  <c r="CW995" i="489"/>
  <c r="BU995" i="489"/>
  <c r="EI995" i="489"/>
  <c r="ET995" i="489"/>
  <c r="AM996" i="489"/>
  <c r="R995" i="489"/>
  <c r="AD995" i="489"/>
  <c r="AQ995" i="489"/>
  <c r="BC995" i="489"/>
  <c r="BO996" i="489"/>
  <c r="CA995" i="489"/>
  <c r="CM995" i="489"/>
  <c r="DW995" i="489"/>
  <c r="AW995" i="489"/>
  <c r="AF1009" i="489"/>
  <c r="EC995" i="489"/>
  <c r="EK995" i="489"/>
  <c r="EV995" i="489"/>
  <c r="BI997" i="489"/>
  <c r="AB996" i="489"/>
  <c r="AG995" i="489"/>
  <c r="AS995" i="489"/>
  <c r="BE995" i="489"/>
  <c r="BQ995" i="489"/>
  <c r="CC1000" i="489"/>
  <c r="DA995" i="489"/>
  <c r="DM995" i="489"/>
  <c r="BI998" i="489"/>
  <c r="BU996" i="489"/>
  <c r="Z996" i="489"/>
  <c r="DB991" i="489"/>
  <c r="DN995" i="489"/>
  <c r="DZ995" i="489"/>
  <c r="EM995" i="489"/>
  <c r="EX995" i="489"/>
  <c r="AI995" i="489"/>
  <c r="AU995" i="489"/>
  <c r="BG995" i="489"/>
  <c r="BS995" i="489"/>
  <c r="CE997" i="489"/>
  <c r="CQ995" i="489"/>
  <c r="DC1002" i="489"/>
  <c r="DO996" i="489"/>
  <c r="DF1008" i="489"/>
  <c r="DF1006" i="489"/>
  <c r="DF1000" i="489"/>
  <c r="DF988" i="489"/>
  <c r="DF993" i="489"/>
  <c r="DF991" i="489"/>
  <c r="DF989" i="489"/>
  <c r="DF985" i="489"/>
  <c r="EG997" i="489"/>
  <c r="EG996" i="489"/>
  <c r="EG998" i="489"/>
  <c r="EG999" i="489"/>
  <c r="EE1006" i="489"/>
  <c r="CG993" i="489"/>
  <c r="CG988" i="489"/>
  <c r="CG1008" i="489"/>
  <c r="CG1002" i="489"/>
  <c r="CG1000" i="489"/>
  <c r="CG999" i="489"/>
  <c r="CG1009" i="489"/>
  <c r="CG1005" i="489"/>
  <c r="CG992" i="489"/>
  <c r="CG996" i="489"/>
  <c r="CG991" i="489"/>
  <c r="CG1003" i="489"/>
  <c r="CG1007" i="489"/>
  <c r="CG1006" i="489"/>
  <c r="CG1001" i="489"/>
  <c r="EP1000" i="489"/>
  <c r="EP998" i="489"/>
  <c r="EE1001" i="489"/>
  <c r="AK1008" i="489"/>
  <c r="AK1003" i="489"/>
  <c r="AK1007" i="489"/>
  <c r="AK1006" i="489"/>
  <c r="AK1005" i="489"/>
  <c r="AY998" i="489"/>
  <c r="AY997" i="489"/>
  <c r="AY995" i="489"/>
  <c r="CE1006" i="489"/>
  <c r="CE993" i="489"/>
  <c r="CE991" i="489"/>
  <c r="CE995" i="489"/>
  <c r="CE1009" i="489"/>
  <c r="CE1003" i="489"/>
  <c r="CE1000" i="489"/>
  <c r="CE987" i="489"/>
  <c r="CE999" i="489"/>
  <c r="CE998" i="489"/>
  <c r="CE996" i="489"/>
  <c r="CE990" i="489"/>
  <c r="CE989" i="489"/>
  <c r="CE988" i="489"/>
  <c r="CE1001" i="489"/>
  <c r="CE992" i="489"/>
  <c r="CE1005" i="489"/>
  <c r="CE1002" i="489"/>
  <c r="AB997" i="489"/>
  <c r="L985" i="489"/>
  <c r="L1001" i="489"/>
  <c r="L1006" i="489"/>
  <c r="L1002" i="489"/>
  <c r="L999" i="489"/>
  <c r="L1003" i="489"/>
  <c r="L1007" i="489"/>
  <c r="L1005" i="489"/>
  <c r="L997" i="489"/>
  <c r="X999" i="489"/>
  <c r="X1006" i="489"/>
  <c r="X1002" i="489"/>
  <c r="EI1002" i="489"/>
  <c r="DF995" i="489"/>
  <c r="DC1009" i="489"/>
  <c r="DC1008" i="489"/>
  <c r="DC1003" i="489"/>
  <c r="BM996" i="489"/>
  <c r="X1001" i="489"/>
  <c r="X1005" i="489"/>
  <c r="X997" i="489"/>
  <c r="X1000" i="489"/>
  <c r="X996" i="489"/>
  <c r="EE993" i="489"/>
  <c r="EE989" i="489"/>
  <c r="EE987" i="489"/>
  <c r="EE985" i="489"/>
  <c r="EE1009" i="489"/>
  <c r="EE1008" i="489"/>
  <c r="EE1003" i="489"/>
  <c r="EE999" i="489"/>
  <c r="EE998" i="489"/>
  <c r="EE996" i="489"/>
  <c r="AN993" i="489"/>
  <c r="AN1008" i="489"/>
  <c r="J1007" i="489"/>
  <c r="J1009" i="489"/>
  <c r="J996" i="489"/>
  <c r="J999" i="489"/>
  <c r="J1001" i="489"/>
  <c r="J1003" i="489"/>
  <c r="K995" i="489"/>
  <c r="K1002" i="489"/>
  <c r="K1005" i="489"/>
  <c r="K1003" i="489"/>
  <c r="K1006" i="489"/>
  <c r="K1009" i="489"/>
  <c r="K986" i="489"/>
  <c r="K987" i="489"/>
  <c r="K988" i="489"/>
  <c r="K989" i="489"/>
  <c r="K990" i="489"/>
  <c r="M995" i="489"/>
  <c r="M1002" i="489"/>
  <c r="M1005" i="489"/>
  <c r="M998" i="489"/>
  <c r="M1001" i="489"/>
  <c r="M1003" i="489"/>
  <c r="M1006" i="489"/>
  <c r="M1009" i="489"/>
  <c r="M985" i="489"/>
  <c r="O995" i="489"/>
  <c r="O997" i="489"/>
  <c r="O1005" i="489"/>
  <c r="O1006" i="489"/>
  <c r="O1009" i="489"/>
  <c r="O985" i="489"/>
  <c r="Q995" i="489"/>
  <c r="Q997" i="489"/>
  <c r="Q998" i="489"/>
  <c r="Q1006" i="489"/>
  <c r="Q1009" i="489"/>
  <c r="Q985" i="489"/>
  <c r="S995" i="489"/>
  <c r="S997" i="489"/>
  <c r="S998" i="489"/>
  <c r="S999" i="489"/>
  <c r="S1001" i="489"/>
  <c r="S1002" i="489"/>
  <c r="S1003" i="489"/>
  <c r="S1005" i="489"/>
  <c r="S1006" i="489"/>
  <c r="S1009" i="489"/>
  <c r="S985" i="489"/>
  <c r="U996" i="489"/>
  <c r="U1001" i="489"/>
  <c r="U1003" i="489"/>
  <c r="U1005" i="489"/>
  <c r="U1006" i="489"/>
  <c r="U1009" i="489"/>
  <c r="W995" i="489"/>
  <c r="W999" i="489"/>
  <c r="W1002" i="489"/>
  <c r="W1005" i="489"/>
  <c r="W1001" i="489"/>
  <c r="W1003" i="489"/>
  <c r="W1007" i="489"/>
  <c r="W1008" i="489"/>
  <c r="W985" i="489"/>
  <c r="W986" i="489"/>
  <c r="W987" i="489"/>
  <c r="W988" i="489"/>
  <c r="W989" i="489"/>
  <c r="W990" i="489"/>
  <c r="Y995" i="489"/>
  <c r="Y1002" i="489"/>
  <c r="Y1005" i="489"/>
  <c r="Y1001" i="489"/>
  <c r="Y1003" i="489"/>
  <c r="Y1007" i="489"/>
  <c r="Y1008" i="489"/>
  <c r="Y985" i="489"/>
  <c r="Y986" i="489"/>
  <c r="Y987" i="489"/>
  <c r="Y988" i="489"/>
  <c r="Y989" i="489"/>
  <c r="Y990" i="489"/>
  <c r="AA995" i="489"/>
  <c r="AA996" i="489"/>
  <c r="AA1005" i="489"/>
  <c r="AA1007" i="489"/>
  <c r="AA1008" i="489"/>
  <c r="AA985" i="489"/>
  <c r="AA986" i="489"/>
  <c r="AA987" i="489"/>
  <c r="AA988" i="489"/>
  <c r="AA989" i="489"/>
  <c r="AA990" i="489"/>
  <c r="AC998" i="489"/>
  <c r="AC996" i="489"/>
  <c r="AC997" i="489"/>
  <c r="AC999" i="489"/>
  <c r="AC1006" i="489"/>
  <c r="AC1007" i="489"/>
  <c r="AC1008" i="489"/>
  <c r="AC985" i="489"/>
  <c r="AC986" i="489"/>
  <c r="AC987" i="489"/>
  <c r="AC988" i="489"/>
  <c r="AC989" i="489"/>
  <c r="AC990" i="489"/>
  <c r="AF995" i="489"/>
  <c r="AF1000" i="489"/>
  <c r="AF1001" i="489"/>
  <c r="AF1003" i="489"/>
  <c r="AF997" i="489"/>
  <c r="AF1006" i="489"/>
  <c r="AF1007" i="489"/>
  <c r="AF1008" i="489"/>
  <c r="AF985" i="489"/>
  <c r="AF986" i="489"/>
  <c r="AF987" i="489"/>
  <c r="AF988" i="489"/>
  <c r="AF989" i="489"/>
  <c r="AF990" i="489"/>
  <c r="AJ995" i="489"/>
  <c r="AJ1001" i="489"/>
  <c r="AJ1002" i="489"/>
  <c r="AJ1005" i="489"/>
  <c r="AJ997" i="489"/>
  <c r="AJ1009" i="489"/>
  <c r="AL996" i="489"/>
  <c r="AL998" i="489"/>
  <c r="AL1001" i="489"/>
  <c r="AL1002" i="489"/>
  <c r="AL997" i="489"/>
  <c r="AL1009" i="489"/>
  <c r="AN996" i="489"/>
  <c r="AN1002" i="489"/>
  <c r="AN1009" i="489"/>
  <c r="AP1001" i="489"/>
  <c r="AP1000" i="489"/>
  <c r="AP997" i="489"/>
  <c r="AP1005" i="489"/>
  <c r="AP1009" i="489"/>
  <c r="AR995" i="489"/>
  <c r="AR999" i="489"/>
  <c r="AR1001" i="489"/>
  <c r="AR1002" i="489"/>
  <c r="AR997" i="489"/>
  <c r="AR998" i="489"/>
  <c r="AR1000" i="489"/>
  <c r="AR1005" i="489"/>
  <c r="AR1009" i="489"/>
  <c r="AV995" i="489"/>
  <c r="AV998" i="489"/>
  <c r="AV999" i="489"/>
  <c r="AV1003" i="489"/>
  <c r="AV996" i="489"/>
  <c r="AV997" i="489"/>
  <c r="AV1000" i="489"/>
  <c r="AV1006" i="489"/>
  <c r="AV1007" i="489"/>
  <c r="AV1008" i="489"/>
  <c r="AV985" i="489"/>
  <c r="AV986" i="489"/>
  <c r="AV987" i="489"/>
  <c r="AV988" i="489"/>
  <c r="AV989" i="489"/>
  <c r="AV990" i="489"/>
  <c r="AX996" i="489"/>
  <c r="AX998" i="489"/>
  <c r="AX999" i="489"/>
  <c r="AX1001" i="489"/>
  <c r="AX1002" i="489"/>
  <c r="AX1003" i="489"/>
  <c r="AX1000" i="489"/>
  <c r="AX1006" i="489"/>
  <c r="AX1007" i="489"/>
  <c r="AX1008" i="489"/>
  <c r="AX985" i="489"/>
  <c r="AX986" i="489"/>
  <c r="AX987" i="489"/>
  <c r="AX988" i="489"/>
  <c r="AX989" i="489"/>
  <c r="AX990" i="489"/>
  <c r="AZ997" i="489"/>
  <c r="AZ995" i="489"/>
  <c r="AZ996" i="489"/>
  <c r="AZ1003" i="489"/>
  <c r="AZ1002" i="489"/>
  <c r="AZ1006" i="489"/>
  <c r="AZ1007" i="489"/>
  <c r="AZ1008" i="489"/>
  <c r="AZ985" i="489"/>
  <c r="AZ986" i="489"/>
  <c r="AZ987" i="489"/>
  <c r="AZ988" i="489"/>
  <c r="AZ989" i="489"/>
  <c r="BB995" i="489"/>
  <c r="BB998" i="489"/>
  <c r="BB999" i="489"/>
  <c r="BB1006" i="489"/>
  <c r="BB1007" i="489"/>
  <c r="BB1008" i="489"/>
  <c r="BB985" i="489"/>
  <c r="BB986" i="489"/>
  <c r="BB987" i="489"/>
  <c r="BB988" i="489"/>
  <c r="BB989" i="489"/>
  <c r="BD995" i="489"/>
  <c r="BD996" i="489"/>
  <c r="BD1003" i="489"/>
  <c r="BD997" i="489"/>
  <c r="BD1002" i="489"/>
  <c r="BD1006" i="489"/>
  <c r="BD1007" i="489"/>
  <c r="BD1008" i="489"/>
  <c r="BD985" i="489"/>
  <c r="BD986" i="489"/>
  <c r="BD987" i="489"/>
  <c r="BD988" i="489"/>
  <c r="BD989" i="489"/>
  <c r="BH995" i="489"/>
  <c r="BH998" i="489"/>
  <c r="BH999" i="489"/>
  <c r="BH1000" i="489"/>
  <c r="BH1002" i="489"/>
  <c r="BH996" i="489"/>
  <c r="BH997" i="489"/>
  <c r="BH1005" i="489"/>
  <c r="BH1009" i="489"/>
  <c r="BJ995" i="489"/>
  <c r="BJ998" i="489"/>
  <c r="BJ999" i="489"/>
  <c r="BJ1000" i="489"/>
  <c r="BJ1001" i="489"/>
  <c r="BJ1002" i="489"/>
  <c r="BJ996" i="489"/>
  <c r="BJ997" i="489"/>
  <c r="BJ1005" i="489"/>
  <c r="BJ1009" i="489"/>
  <c r="BL995" i="489"/>
  <c r="BL996" i="489"/>
  <c r="BL997" i="489"/>
  <c r="BL998" i="489"/>
  <c r="BL999" i="489"/>
  <c r="BL1000" i="489"/>
  <c r="BL1001" i="489"/>
  <c r="BL1002" i="489"/>
  <c r="BL1005" i="489"/>
  <c r="BL1009" i="489"/>
  <c r="BN996" i="489"/>
  <c r="BN998" i="489"/>
  <c r="BN1000" i="489"/>
  <c r="BN1005" i="489"/>
  <c r="BN1009" i="489"/>
  <c r="BP995" i="489"/>
  <c r="BP999" i="489"/>
  <c r="BP998" i="489"/>
  <c r="BP1000" i="489"/>
  <c r="BP1001" i="489"/>
  <c r="BP1002" i="489"/>
  <c r="BP1005" i="489"/>
  <c r="BP1009" i="489"/>
  <c r="BT995" i="489"/>
  <c r="BT1000" i="489"/>
  <c r="BT1001" i="489"/>
  <c r="BT986" i="489"/>
  <c r="BT988" i="489"/>
  <c r="BV995" i="489"/>
  <c r="BV996" i="489"/>
  <c r="BV997" i="489"/>
  <c r="BV998" i="489"/>
  <c r="BV999" i="489"/>
  <c r="BV1000" i="489"/>
  <c r="BV1001" i="489"/>
  <c r="BV986" i="489"/>
  <c r="BV988" i="489"/>
  <c r="BX995" i="489"/>
  <c r="BX1001" i="489"/>
  <c r="BX996" i="489"/>
  <c r="BX997" i="489"/>
  <c r="BX1000" i="489"/>
  <c r="BX986" i="489"/>
  <c r="BX988" i="489"/>
  <c r="BZ995" i="489"/>
  <c r="BZ998" i="489"/>
  <c r="BZ999" i="489"/>
  <c r="BZ1000" i="489"/>
  <c r="BZ986" i="489"/>
  <c r="BZ988" i="489"/>
  <c r="CB995" i="489"/>
  <c r="CB998" i="489"/>
  <c r="CB1001" i="489"/>
  <c r="CB996" i="489"/>
  <c r="CB999" i="489"/>
  <c r="CB988" i="489"/>
  <c r="CF1001" i="489"/>
  <c r="CF1003" i="489"/>
  <c r="CF999" i="489"/>
  <c r="CF1002" i="489"/>
  <c r="CF1006" i="489"/>
  <c r="CF1007" i="489"/>
  <c r="CF1008" i="489"/>
  <c r="CF985" i="489"/>
  <c r="CF989" i="489"/>
  <c r="CH995" i="489"/>
  <c r="CH997" i="489"/>
  <c r="CH1001" i="489"/>
  <c r="CH1003" i="489"/>
  <c r="CH996" i="489"/>
  <c r="CH999" i="489"/>
  <c r="CH1002" i="489"/>
  <c r="CH1006" i="489"/>
  <c r="CH1007" i="489"/>
  <c r="CH1008" i="489"/>
  <c r="CH985" i="489"/>
  <c r="CH987" i="489"/>
  <c r="CH989" i="489"/>
  <c r="CJ995" i="489"/>
  <c r="CJ997" i="489"/>
  <c r="CJ999" i="489"/>
  <c r="CJ1000" i="489"/>
  <c r="CJ1002" i="489"/>
  <c r="CJ1003" i="489"/>
  <c r="CJ996" i="489"/>
  <c r="CJ1001" i="489"/>
  <c r="CJ1006" i="489"/>
  <c r="CJ1007" i="489"/>
  <c r="CJ1008" i="489"/>
  <c r="CJ985" i="489"/>
  <c r="CJ987" i="489"/>
  <c r="CJ989" i="489"/>
  <c r="CL996" i="489"/>
  <c r="CL998" i="489"/>
  <c r="CL1001" i="489"/>
  <c r="CL1002" i="489"/>
  <c r="CL1003" i="489"/>
  <c r="CL995" i="489"/>
  <c r="CL997" i="489"/>
  <c r="CL1000" i="489"/>
  <c r="CL1006" i="489"/>
  <c r="CL1007" i="489"/>
  <c r="CL1008" i="489"/>
  <c r="CL985" i="489"/>
  <c r="CL987" i="489"/>
  <c r="CL989" i="489"/>
  <c r="CN995" i="489"/>
  <c r="CN1001" i="489"/>
  <c r="CN1002" i="489"/>
  <c r="CN1003" i="489"/>
  <c r="CN1000" i="489"/>
  <c r="CN1006" i="489"/>
  <c r="CN1007" i="489"/>
  <c r="CN1008" i="489"/>
  <c r="CN985" i="489"/>
  <c r="CN986" i="489"/>
  <c r="CN987" i="489"/>
  <c r="CN988" i="489"/>
  <c r="CN989" i="489"/>
  <c r="CP995" i="489"/>
  <c r="CP999" i="489"/>
  <c r="CP1000" i="489"/>
  <c r="CP997" i="489"/>
  <c r="CP998" i="489"/>
  <c r="CP1001" i="489"/>
  <c r="CP1003" i="489"/>
  <c r="CP1005" i="489"/>
  <c r="CP1009" i="489"/>
  <c r="CR995" i="489"/>
  <c r="CR1000" i="489"/>
  <c r="CR998" i="489"/>
  <c r="CR999" i="489"/>
  <c r="CR1001" i="489"/>
  <c r="CR1003" i="489"/>
  <c r="CR1005" i="489"/>
  <c r="CR1009" i="489"/>
  <c r="CR986" i="489"/>
  <c r="CR988" i="489"/>
  <c r="CV995" i="489"/>
  <c r="CV996" i="489"/>
  <c r="CV1000" i="489"/>
  <c r="CV1003" i="489"/>
  <c r="CV1006" i="489"/>
  <c r="CV1007" i="489"/>
  <c r="CV1008" i="489"/>
  <c r="CV985" i="489"/>
  <c r="CV989" i="489"/>
  <c r="CX995" i="489"/>
  <c r="CX1003" i="489"/>
  <c r="CX1006" i="489"/>
  <c r="CX1007" i="489"/>
  <c r="CX1008" i="489"/>
  <c r="CX985" i="489"/>
  <c r="CX988" i="489"/>
  <c r="CX989" i="489"/>
  <c r="CZ995" i="489"/>
  <c r="CZ996" i="489"/>
  <c r="CZ997" i="489"/>
  <c r="CZ1001" i="489"/>
  <c r="CZ1002" i="489"/>
  <c r="CZ1003" i="489"/>
  <c r="CZ1005" i="489"/>
  <c r="CZ1009" i="489"/>
  <c r="CZ987" i="489"/>
  <c r="DB995" i="489"/>
  <c r="DB996" i="489"/>
  <c r="DB997" i="489"/>
  <c r="DB998" i="489"/>
  <c r="DB999" i="489"/>
  <c r="DB1002" i="489"/>
  <c r="DB1003" i="489"/>
  <c r="DB1005" i="489"/>
  <c r="DB1006" i="489"/>
  <c r="DB1008" i="489"/>
  <c r="DB1009" i="489"/>
  <c r="DB988" i="489"/>
  <c r="DB989" i="489"/>
  <c r="DD995" i="489"/>
  <c r="DD1000" i="489"/>
  <c r="DD1002" i="489"/>
  <c r="DD1003" i="489"/>
  <c r="DD1005" i="489"/>
  <c r="DD1006" i="489"/>
  <c r="DD1008" i="489"/>
  <c r="DD1009" i="489"/>
  <c r="DD985" i="489"/>
  <c r="DD988" i="489"/>
  <c r="DD989" i="489"/>
  <c r="DY995" i="489"/>
  <c r="DY1001" i="489"/>
  <c r="DY1002" i="489"/>
  <c r="DY1003" i="489"/>
  <c r="DY998" i="489"/>
  <c r="DY1007" i="489"/>
  <c r="DY1009" i="489"/>
  <c r="DY986" i="489"/>
  <c r="DY988" i="489"/>
  <c r="DY989" i="489"/>
  <c r="EA995" i="489"/>
  <c r="EA996" i="489"/>
  <c r="EA997" i="489"/>
  <c r="EA998" i="489"/>
  <c r="EA1003" i="489"/>
  <c r="EA1001" i="489"/>
  <c r="EA1009" i="489"/>
  <c r="EA988" i="489"/>
  <c r="EA989" i="489"/>
  <c r="EF995" i="489"/>
  <c r="EF996" i="489"/>
  <c r="EF1000" i="489"/>
  <c r="EF997" i="489"/>
  <c r="EF1001" i="489"/>
  <c r="EF1006" i="489"/>
  <c r="EF1007" i="489"/>
  <c r="EF1008" i="489"/>
  <c r="EF985" i="489"/>
  <c r="EF986" i="489"/>
  <c r="EF987" i="489"/>
  <c r="EH995" i="489"/>
  <c r="EH996" i="489"/>
  <c r="EH998" i="489"/>
  <c r="EH1000" i="489"/>
  <c r="EH997" i="489"/>
  <c r="EH1001" i="489"/>
  <c r="EH1006" i="489"/>
  <c r="EH1007" i="489"/>
  <c r="EH1008" i="489"/>
  <c r="EH985" i="489"/>
  <c r="EH986" i="489"/>
  <c r="EH987" i="489"/>
  <c r="EJ995" i="489"/>
  <c r="EJ996" i="489"/>
  <c r="EJ998" i="489"/>
  <c r="EJ1001" i="489"/>
  <c r="EJ1006" i="489"/>
  <c r="EJ1007" i="489"/>
  <c r="EJ1008" i="489"/>
  <c r="EJ985" i="489"/>
  <c r="EJ986" i="489"/>
  <c r="EJ987" i="489"/>
  <c r="EL995" i="489"/>
  <c r="EL997" i="489"/>
  <c r="EL1001" i="489"/>
  <c r="EL1002" i="489"/>
  <c r="EL1006" i="489"/>
  <c r="EL1007" i="489"/>
  <c r="EL1009" i="489"/>
  <c r="EL987" i="489"/>
  <c r="EN995" i="489"/>
  <c r="EN996" i="489"/>
  <c r="EN1002" i="489"/>
  <c r="EN1006" i="489"/>
  <c r="EN1007" i="489"/>
  <c r="EN1008" i="489"/>
  <c r="EN985" i="489"/>
  <c r="EN986" i="489"/>
  <c r="EN987" i="489"/>
  <c r="EQ996" i="489"/>
  <c r="EQ1003" i="489"/>
  <c r="EQ1005" i="489"/>
  <c r="EQ1008" i="489"/>
  <c r="EQ985" i="489"/>
  <c r="EQ988" i="489"/>
  <c r="EQ989" i="489"/>
  <c r="ES995" i="489"/>
  <c r="ES996" i="489"/>
  <c r="ES997" i="489"/>
  <c r="ES1003" i="489"/>
  <c r="ES1005" i="489"/>
  <c r="ES1008" i="489"/>
  <c r="ES985" i="489"/>
  <c r="ES988" i="489"/>
  <c r="ES989" i="489"/>
  <c r="EU995" i="489"/>
  <c r="EU996" i="489"/>
  <c r="EU999" i="489"/>
  <c r="EU1000" i="489"/>
  <c r="EU1001" i="489"/>
  <c r="EU1003" i="489"/>
  <c r="EU997" i="489"/>
  <c r="EU1005" i="489"/>
  <c r="EU1008" i="489"/>
  <c r="EU985" i="489"/>
  <c r="EU988" i="489"/>
  <c r="EU989" i="489"/>
  <c r="EW995" i="489"/>
  <c r="EW1003" i="489"/>
  <c r="EW1005" i="489"/>
  <c r="EW1008" i="489"/>
  <c r="EW985" i="489"/>
  <c r="EW987" i="489"/>
  <c r="J985" i="489"/>
  <c r="J992" i="489"/>
  <c r="J990" i="489"/>
  <c r="J988" i="489"/>
  <c r="EW993" i="489"/>
  <c r="EU993" i="489"/>
  <c r="ES993" i="489"/>
  <c r="EQ993" i="489"/>
  <c r="EN993" i="489"/>
  <c r="EJ993" i="489"/>
  <c r="EH993" i="489"/>
  <c r="EF993" i="489"/>
  <c r="DD993" i="489"/>
  <c r="DB993" i="489"/>
  <c r="CX993" i="489"/>
  <c r="CV993" i="489"/>
  <c r="CN993" i="489"/>
  <c r="CL993" i="489"/>
  <c r="CJ993" i="489"/>
  <c r="CH993" i="489"/>
  <c r="CF993" i="489"/>
  <c r="BD993" i="489"/>
  <c r="BB993" i="489"/>
  <c r="AZ993" i="489"/>
  <c r="AX993" i="489"/>
  <c r="AV993" i="489"/>
  <c r="AF993" i="489"/>
  <c r="AC993" i="489"/>
  <c r="AA993" i="489"/>
  <c r="Y993" i="489"/>
  <c r="W993" i="489"/>
  <c r="K993" i="489"/>
  <c r="EW992" i="489"/>
  <c r="EU992" i="489"/>
  <c r="ES992" i="489"/>
  <c r="EQ992" i="489"/>
  <c r="DD992" i="489"/>
  <c r="DB992" i="489"/>
  <c r="CX992" i="489"/>
  <c r="CR992" i="489"/>
  <c r="CN992" i="489"/>
  <c r="CB992" i="489"/>
  <c r="BZ992" i="489"/>
  <c r="BX992" i="489"/>
  <c r="BV992" i="489"/>
  <c r="BT992" i="489"/>
  <c r="BD992" i="489"/>
  <c r="BB992" i="489"/>
  <c r="AZ992" i="489"/>
  <c r="AX992" i="489"/>
  <c r="AV992" i="489"/>
  <c r="AF992" i="489"/>
  <c r="AC992" i="489"/>
  <c r="AA992" i="489"/>
  <c r="Y992" i="489"/>
  <c r="W992" i="489"/>
  <c r="K992" i="489"/>
  <c r="EW991" i="489"/>
  <c r="EU991" i="489"/>
  <c r="ES991" i="489"/>
  <c r="EQ991" i="489"/>
  <c r="EA991" i="489"/>
  <c r="DY991" i="489"/>
  <c r="BP991" i="489"/>
  <c r="BN991" i="489"/>
  <c r="BL991" i="489"/>
  <c r="BJ991" i="489"/>
  <c r="BH991" i="489"/>
  <c r="AR991" i="489"/>
  <c r="AP991" i="489"/>
  <c r="AN991" i="489"/>
  <c r="AL991" i="489"/>
  <c r="AJ991" i="489"/>
  <c r="S991" i="489"/>
  <c r="Q991" i="489"/>
  <c r="O991" i="489"/>
  <c r="M991" i="489"/>
  <c r="EN990" i="489"/>
  <c r="EL990" i="489"/>
  <c r="EJ990" i="489"/>
  <c r="EH990" i="489"/>
  <c r="EF990" i="489"/>
  <c r="EA990" i="489"/>
  <c r="DY990" i="489"/>
  <c r="CX990" i="489"/>
  <c r="CV990" i="489"/>
  <c r="CP990" i="489"/>
  <c r="CL990" i="489"/>
  <c r="CJ990" i="489"/>
  <c r="CH990" i="489"/>
  <c r="CF990" i="489"/>
  <c r="BP990" i="489"/>
  <c r="BN990" i="489"/>
  <c r="BL990" i="489"/>
  <c r="BJ990" i="489"/>
  <c r="BH990" i="489"/>
  <c r="AR990" i="489"/>
  <c r="AP990" i="489"/>
  <c r="AN990" i="489"/>
  <c r="AL990" i="489"/>
  <c r="AJ990" i="489"/>
  <c r="EN989" i="489"/>
  <c r="EL989" i="489"/>
  <c r="EJ989" i="489"/>
  <c r="EH989" i="489"/>
  <c r="EF989" i="489"/>
  <c r="CZ989" i="489"/>
  <c r="CR989" i="489"/>
  <c r="CP989" i="489"/>
  <c r="AR989" i="489"/>
  <c r="AP989" i="489"/>
  <c r="AN989" i="489"/>
  <c r="AL989" i="489"/>
  <c r="AJ989" i="489"/>
  <c r="EN988" i="489"/>
  <c r="EL988" i="489"/>
  <c r="EJ988" i="489"/>
  <c r="EH988" i="489"/>
  <c r="EF988" i="489"/>
  <c r="CZ988" i="489"/>
  <c r="CP988" i="489"/>
  <c r="BP988" i="489"/>
  <c r="BN988" i="489"/>
  <c r="BL988" i="489"/>
  <c r="BJ988" i="489"/>
  <c r="BH988" i="489"/>
  <c r="U988" i="489"/>
  <c r="S988" i="489"/>
  <c r="Q988" i="489"/>
  <c r="O988" i="489"/>
  <c r="M988" i="489"/>
  <c r="EU987" i="489"/>
  <c r="ES987" i="489"/>
  <c r="EQ987" i="489"/>
  <c r="CX987" i="489"/>
  <c r="CR987" i="489"/>
  <c r="CP987" i="489"/>
  <c r="AR987" i="489"/>
  <c r="AP987" i="489"/>
  <c r="AN987" i="489"/>
  <c r="AL987" i="489"/>
  <c r="AJ987" i="489"/>
  <c r="CP986" i="489"/>
  <c r="BP986" i="489"/>
  <c r="BN986" i="489"/>
  <c r="BL986" i="489"/>
  <c r="BJ986" i="489"/>
  <c r="BH986" i="489"/>
  <c r="S986" i="489"/>
  <c r="Q986" i="489"/>
  <c r="O986" i="489"/>
  <c r="M986" i="489"/>
  <c r="EL985" i="489"/>
  <c r="DB985" i="489"/>
  <c r="CR985" i="489"/>
  <c r="CP985" i="489"/>
  <c r="AR985" i="489"/>
  <c r="AP985" i="489"/>
  <c r="AN985" i="489"/>
  <c r="AL985" i="489"/>
  <c r="AJ985" i="489"/>
  <c r="J1002" i="489"/>
  <c r="J998" i="489"/>
  <c r="J1008" i="489"/>
  <c r="EJ1009" i="489"/>
  <c r="EH1009" i="489"/>
  <c r="EF1009" i="489"/>
  <c r="BD1009" i="489"/>
  <c r="BB1009" i="489"/>
  <c r="AZ1009" i="489"/>
  <c r="AX1009" i="489"/>
  <c r="AV1009" i="489"/>
  <c r="EL1008" i="489"/>
  <c r="BP1008" i="489"/>
  <c r="BN1008" i="489"/>
  <c r="BL1008" i="489"/>
  <c r="BJ1008" i="489"/>
  <c r="BH1008" i="489"/>
  <c r="U1008" i="489"/>
  <c r="S1008" i="489"/>
  <c r="Q1008" i="489"/>
  <c r="O1008" i="489"/>
  <c r="M1008" i="489"/>
  <c r="K1008" i="489"/>
  <c r="EW1007" i="489"/>
  <c r="EU1007" i="489"/>
  <c r="ES1007" i="489"/>
  <c r="EQ1007" i="489"/>
  <c r="DD1007" i="489"/>
  <c r="DB1007" i="489"/>
  <c r="CZ1007" i="489"/>
  <c r="CR1007" i="489"/>
  <c r="CP1007" i="489"/>
  <c r="AR1007" i="489"/>
  <c r="AP1007" i="489"/>
  <c r="AN1007" i="489"/>
  <c r="AL1007" i="489"/>
  <c r="AJ1007" i="489"/>
  <c r="EA1006" i="489"/>
  <c r="DY1006" i="489"/>
  <c r="CZ1006" i="489"/>
  <c r="CR1006" i="489"/>
  <c r="CP1006" i="489"/>
  <c r="AR1006" i="489"/>
  <c r="AP1006" i="489"/>
  <c r="AN1006" i="489"/>
  <c r="AL1006" i="489"/>
  <c r="AJ1006" i="489"/>
  <c r="Y1006" i="489"/>
  <c r="W1006" i="489"/>
  <c r="EN1005" i="489"/>
  <c r="EL1005" i="489"/>
  <c r="EJ1005" i="489"/>
  <c r="EH1005" i="489"/>
  <c r="EF1005" i="489"/>
  <c r="EA1005" i="489"/>
  <c r="DY1005" i="489"/>
  <c r="BD1005" i="489"/>
  <c r="BB1005" i="489"/>
  <c r="AZ1005" i="489"/>
  <c r="AX1005" i="489"/>
  <c r="AV1005" i="489"/>
  <c r="AN1005" i="489"/>
  <c r="AL1005" i="489"/>
  <c r="AF1005" i="489"/>
  <c r="EN1003" i="489"/>
  <c r="EL1003" i="489"/>
  <c r="EJ1003" i="489"/>
  <c r="EH1003" i="489"/>
  <c r="EF1003" i="489"/>
  <c r="EJ1002" i="489"/>
  <c r="EH1002" i="489"/>
  <c r="EF1002" i="489"/>
  <c r="CX1002" i="489"/>
  <c r="CR1002" i="489"/>
  <c r="CP1002" i="489"/>
  <c r="AF1002" i="489"/>
  <c r="ES1001" i="489"/>
  <c r="EQ1001" i="489"/>
  <c r="EN1001" i="489"/>
  <c r="DD1001" i="489"/>
  <c r="DB1001" i="489"/>
  <c r="ES1000" i="489"/>
  <c r="EN1000" i="489"/>
  <c r="EL1000" i="489"/>
  <c r="EJ1000" i="489"/>
  <c r="DB1000" i="489"/>
  <c r="CH1000" i="489"/>
  <c r="CF1000" i="489"/>
  <c r="CN999" i="489"/>
  <c r="CL999" i="489"/>
  <c r="AP999" i="489"/>
  <c r="AL999" i="489"/>
  <c r="AJ999" i="489"/>
  <c r="AF999" i="489"/>
  <c r="CJ998" i="489"/>
  <c r="BX998" i="489"/>
  <c r="DY997" i="489"/>
  <c r="BP997" i="489"/>
  <c r="BN997" i="489"/>
  <c r="AJ996" i="489"/>
  <c r="AF996" i="489"/>
  <c r="W996" i="489"/>
  <c r="S996" i="489"/>
  <c r="O996" i="489"/>
  <c r="DF996" i="489"/>
  <c r="DF1001" i="489"/>
  <c r="DF1003" i="489"/>
  <c r="DH995" i="489"/>
  <c r="DH1001" i="489"/>
  <c r="DH1003" i="489"/>
  <c r="DJ995" i="489"/>
  <c r="DJ997" i="489"/>
  <c r="DJ998" i="489"/>
  <c r="DJ999" i="489"/>
  <c r="DJ1000" i="489"/>
  <c r="DL995" i="489"/>
  <c r="DL1000" i="489"/>
  <c r="DP995" i="489"/>
  <c r="DP996" i="489"/>
  <c r="DP999" i="489"/>
  <c r="DP1001" i="489"/>
  <c r="DP1002" i="489"/>
  <c r="DR995" i="489"/>
  <c r="DR996" i="489"/>
  <c r="DR1000" i="489"/>
  <c r="DV995" i="489"/>
  <c r="DV996" i="489"/>
  <c r="DV998" i="489"/>
  <c r="DV999" i="489"/>
  <c r="DV1001" i="489"/>
  <c r="DV1002" i="489"/>
  <c r="DV1003" i="489"/>
  <c r="ED996" i="489"/>
  <c r="ED1002" i="489"/>
  <c r="ED985" i="489"/>
  <c r="ED987" i="489"/>
  <c r="ED995" i="489"/>
  <c r="ED998" i="489"/>
  <c r="ED988" i="489"/>
  <c r="ED1007" i="489"/>
  <c r="ED993" i="489"/>
  <c r="ED1003" i="489"/>
  <c r="ED1009" i="489"/>
  <c r="ED989" i="489"/>
  <c r="ED1008" i="489"/>
  <c r="ED986" i="489"/>
  <c r="ED992" i="489"/>
  <c r="ED999" i="489"/>
  <c r="ED1005" i="489"/>
  <c r="ED1006" i="489"/>
  <c r="ED991" i="489"/>
  <c r="DT995" i="489"/>
  <c r="DT1006" i="489"/>
  <c r="DT991" i="489"/>
  <c r="DT986" i="489"/>
  <c r="DT990" i="489"/>
  <c r="DT992" i="489"/>
  <c r="DT999" i="489"/>
  <c r="DT1000" i="489"/>
  <c r="DT1001" i="489"/>
  <c r="DT985" i="489"/>
  <c r="DT987" i="489"/>
  <c r="DT1002" i="489"/>
  <c r="DT988" i="489"/>
  <c r="DT997" i="489"/>
  <c r="DT998" i="489"/>
  <c r="DT1003" i="489"/>
  <c r="DT1009" i="489"/>
  <c r="DT989" i="489"/>
  <c r="DT993" i="489"/>
  <c r="DT1008" i="489"/>
  <c r="CY995" i="489"/>
  <c r="CY1002" i="489"/>
  <c r="CY996" i="489"/>
  <c r="CY997" i="489"/>
  <c r="CY998" i="489"/>
  <c r="CY1009" i="489"/>
  <c r="CY1005" i="489"/>
  <c r="CY1007" i="489"/>
  <c r="CY990" i="489"/>
  <c r="CY1000" i="489"/>
  <c r="CY986" i="489"/>
  <c r="DI995" i="489"/>
  <c r="DI997" i="489"/>
  <c r="DI998" i="489"/>
  <c r="DI993" i="489"/>
  <c r="DI1005" i="489"/>
  <c r="DI1006" i="489"/>
  <c r="DI1007" i="489"/>
  <c r="DI990" i="489"/>
  <c r="DI991" i="489"/>
  <c r="DI987" i="489"/>
  <c r="DI992" i="489"/>
  <c r="DI1000" i="489"/>
  <c r="DI1001" i="489"/>
  <c r="DI986" i="489"/>
  <c r="DI999" i="489"/>
  <c r="DI985" i="489"/>
  <c r="DI988" i="489"/>
  <c r="DI996" i="489"/>
  <c r="DI1002" i="489"/>
  <c r="DI1003" i="489"/>
  <c r="DI989" i="489"/>
  <c r="CO995" i="489"/>
  <c r="CO1000" i="489"/>
  <c r="CO987" i="489"/>
  <c r="CO1001" i="489"/>
  <c r="CO985" i="489"/>
  <c r="CO1002" i="489"/>
  <c r="CO999" i="489"/>
  <c r="CO1003" i="489"/>
  <c r="CO989" i="489"/>
  <c r="CO1008" i="489"/>
  <c r="CO1009" i="489"/>
  <c r="CO993" i="489"/>
  <c r="CO996" i="489"/>
  <c r="CO997" i="489"/>
  <c r="CO1005" i="489"/>
  <c r="CO998" i="489"/>
  <c r="CO1006" i="489"/>
  <c r="CO1007" i="489"/>
  <c r="DT1005" i="489"/>
  <c r="AH995" i="489"/>
  <c r="AH1000" i="489"/>
  <c r="AH1003" i="489"/>
  <c r="AH989" i="489"/>
  <c r="AH1002" i="489"/>
  <c r="AH1008" i="489"/>
  <c r="AH1009" i="489"/>
  <c r="AH990" i="489"/>
  <c r="AH993" i="489"/>
  <c r="AH1005" i="489"/>
  <c r="AH986" i="489"/>
  <c r="AH992" i="489"/>
  <c r="AH1006" i="489"/>
  <c r="AH1007" i="489"/>
  <c r="AH1001" i="489"/>
  <c r="AH991" i="489"/>
  <c r="AH987" i="489"/>
  <c r="AH985" i="489"/>
  <c r="AH988" i="489"/>
  <c r="AH997" i="489"/>
  <c r="AH999" i="489"/>
  <c r="AT995" i="489"/>
  <c r="AT1003" i="489"/>
  <c r="AT989" i="489"/>
  <c r="AT1002" i="489"/>
  <c r="AT1008" i="489"/>
  <c r="AT1009" i="489"/>
  <c r="AT990" i="489"/>
  <c r="AT993" i="489"/>
  <c r="AT1005" i="489"/>
  <c r="AT986" i="489"/>
  <c r="AT992" i="489"/>
  <c r="AT1001" i="489"/>
  <c r="AT1006" i="489"/>
  <c r="AT1007" i="489"/>
  <c r="AT991" i="489"/>
  <c r="AT997" i="489"/>
  <c r="AT987" i="489"/>
  <c r="AT985" i="489"/>
  <c r="AT988" i="489"/>
  <c r="BF995" i="489"/>
  <c r="BF1002" i="489"/>
  <c r="BF1003" i="489"/>
  <c r="BF989" i="489"/>
  <c r="BF1008" i="489"/>
  <c r="BF1009" i="489"/>
  <c r="BF990" i="489"/>
  <c r="BF993" i="489"/>
  <c r="BF997" i="489"/>
  <c r="BF1001" i="489"/>
  <c r="BF1005" i="489"/>
  <c r="BF986" i="489"/>
  <c r="BF992" i="489"/>
  <c r="BF996" i="489"/>
  <c r="BF1000" i="489"/>
  <c r="BF1006" i="489"/>
  <c r="BF1007" i="489"/>
  <c r="BF991" i="489"/>
  <c r="BF998" i="489"/>
  <c r="BF987" i="489"/>
  <c r="BF985" i="489"/>
  <c r="BF988" i="489"/>
  <c r="BR989" i="489"/>
  <c r="BR999" i="489"/>
  <c r="BR1008" i="489"/>
  <c r="BR1009" i="489"/>
  <c r="BR993" i="489"/>
  <c r="BR996" i="489"/>
  <c r="BR997" i="489"/>
  <c r="BR1005" i="489"/>
  <c r="BR1000" i="489"/>
  <c r="BR986" i="489"/>
  <c r="BR1006" i="489"/>
  <c r="BR1007" i="489"/>
  <c r="BR998" i="489"/>
  <c r="BR987" i="489"/>
  <c r="BR985" i="489"/>
  <c r="BR988" i="489"/>
  <c r="CD995" i="489"/>
  <c r="CD1000" i="489"/>
  <c r="CD1001" i="489"/>
  <c r="CD990" i="489"/>
  <c r="CD986" i="489"/>
  <c r="CD992" i="489"/>
  <c r="CD988" i="489"/>
  <c r="V995" i="489"/>
  <c r="V1003" i="489"/>
  <c r="V989" i="489"/>
  <c r="V1008" i="489"/>
  <c r="V1009" i="489"/>
  <c r="V990" i="489"/>
  <c r="V993" i="489"/>
  <c r="V1000" i="489"/>
  <c r="V1002" i="489"/>
  <c r="V1005" i="489"/>
  <c r="V992" i="489"/>
  <c r="V1006" i="489"/>
  <c r="V1007" i="489"/>
  <c r="V991" i="489"/>
  <c r="V1001" i="489"/>
  <c r="ED1001" i="489"/>
  <c r="AO1005" i="489"/>
  <c r="AC1005" i="489"/>
  <c r="Q1005" i="489"/>
  <c r="DZ1002" i="489"/>
  <c r="CV1002" i="489"/>
  <c r="CI1002" i="489"/>
  <c r="AD1002" i="489"/>
  <c r="Q1002" i="489"/>
  <c r="EC1001" i="489"/>
  <c r="DN1001" i="489"/>
  <c r="BZ1001" i="489"/>
  <c r="BN1001" i="489"/>
  <c r="BA1001" i="489"/>
  <c r="DN1000" i="489"/>
  <c r="BY1000" i="489"/>
  <c r="EW999" i="489"/>
  <c r="DN999" i="489"/>
  <c r="AY999" i="489"/>
  <c r="EL998" i="489"/>
  <c r="BW998" i="489"/>
  <c r="BM997" i="489"/>
  <c r="DY996" i="489"/>
  <c r="BK996" i="489"/>
  <c r="AG996" i="489"/>
  <c r="CU1002" i="489"/>
  <c r="AP1002" i="489"/>
  <c r="AC1002" i="489"/>
  <c r="CK1001" i="489"/>
  <c r="BY1001" i="489"/>
  <c r="BM1001" i="489"/>
  <c r="AY1001" i="489"/>
  <c r="BK1000" i="489"/>
  <c r="CU999" i="489"/>
  <c r="BN999" i="489"/>
  <c r="EK998" i="489"/>
  <c r="AP998" i="489"/>
  <c r="BZ997" i="489"/>
  <c r="BY996" i="489"/>
  <c r="R996" i="489"/>
  <c r="CU995" i="489"/>
  <c r="AP995" i="489"/>
  <c r="BN1003" i="489"/>
  <c r="BB1003" i="489"/>
  <c r="AP1003" i="489"/>
  <c r="AD1003" i="489"/>
  <c r="R1003" i="489"/>
  <c r="CS1002" i="489"/>
  <c r="BN1002" i="489"/>
  <c r="BB1002" i="489"/>
  <c r="AO1002" i="489"/>
  <c r="O1002" i="489"/>
  <c r="AS1000" i="489"/>
  <c r="AD1000" i="489"/>
  <c r="EC999" i="489"/>
  <c r="CC999" i="489"/>
  <c r="BM999" i="489"/>
  <c r="AG999" i="489"/>
  <c r="DS998" i="489"/>
  <c r="AM998" i="489"/>
  <c r="EO997" i="489"/>
  <c r="DS997" i="489"/>
  <c r="DE997" i="489"/>
  <c r="BY997" i="489"/>
  <c r="BK997" i="489"/>
  <c r="AG997" i="489"/>
  <c r="DH996" i="489"/>
  <c r="Q996" i="489"/>
  <c r="BM1003" i="489"/>
  <c r="BA1003" i="489"/>
  <c r="AO1003" i="489"/>
  <c r="AC1003" i="489"/>
  <c r="Q1003" i="489"/>
  <c r="DE1002" i="489"/>
  <c r="BM1002" i="489"/>
  <c r="BA1002" i="489"/>
  <c r="DZ1001" i="489"/>
  <c r="CV1001" i="489"/>
  <c r="CI1001" i="489"/>
  <c r="BW1001" i="489"/>
  <c r="BK1001" i="489"/>
  <c r="CX1000" i="489"/>
  <c r="CI1000" i="489"/>
  <c r="AC1000" i="489"/>
  <c r="ET999" i="489"/>
  <c r="R999" i="489"/>
  <c r="DD998" i="489"/>
  <c r="R998" i="489"/>
  <c r="R997" i="489"/>
  <c r="EL996" i="489"/>
  <c r="DD996" i="489"/>
  <c r="CN996" i="489"/>
  <c r="BW996" i="489"/>
  <c r="AD996" i="489"/>
  <c r="AM995" i="489"/>
  <c r="AA1003" i="489"/>
  <c r="O1003" i="489"/>
  <c r="BK1002" i="489"/>
  <c r="AY1002" i="489"/>
  <c r="CS1001" i="489"/>
  <c r="AG1001" i="489"/>
  <c r="DZ1000" i="489"/>
  <c r="CU1000" i="489"/>
  <c r="AM1000" i="489"/>
  <c r="AA1000" i="489"/>
  <c r="DZ999" i="489"/>
  <c r="DH999" i="489"/>
  <c r="AD999" i="489"/>
  <c r="O999" i="489"/>
  <c r="DP998" i="489"/>
  <c r="DP997" i="489"/>
  <c r="AD997" i="489"/>
  <c r="AP996" i="489"/>
  <c r="BW995" i="489"/>
  <c r="AC995" i="489"/>
  <c r="DO995" i="489"/>
  <c r="CK995" i="489"/>
  <c r="D354" i="489"/>
  <c r="DO1002" i="489"/>
  <c r="BW1002" i="489"/>
  <c r="U1002" i="489"/>
  <c r="BE1001" i="489"/>
  <c r="AD1001" i="489"/>
  <c r="Q1001" i="489"/>
  <c r="BA1000" i="489"/>
  <c r="AM999" i="489"/>
  <c r="AA999" i="489"/>
  <c r="ET998" i="489"/>
  <c r="CX998" i="489"/>
  <c r="BM998" i="489"/>
  <c r="AD998" i="489"/>
  <c r="EW997" i="489"/>
  <c r="EC997" i="489"/>
  <c r="BQ997" i="489"/>
  <c r="BE997" i="489"/>
  <c r="AA997" i="489"/>
  <c r="BQ996" i="489"/>
  <c r="BN995" i="489"/>
  <c r="DE1001" i="489"/>
  <c r="CC1001" i="489"/>
  <c r="BQ1001" i="489"/>
  <c r="AC1001" i="489"/>
  <c r="R1000" i="489"/>
  <c r="EL999" i="489"/>
  <c r="DD999" i="489"/>
  <c r="BE999" i="489"/>
  <c r="CU998" i="489"/>
  <c r="CX997" i="489"/>
  <c r="DN996" i="489"/>
  <c r="CX996" i="489"/>
  <c r="BB996" i="489"/>
  <c r="L995" i="489"/>
  <c r="EX999" i="489"/>
  <c r="EX998" i="489"/>
  <c r="EW996" i="489"/>
  <c r="EV996" i="489"/>
  <c r="ET1001" i="489"/>
  <c r="ET1000" i="489"/>
  <c r="ET997" i="489"/>
  <c r="EQ1000" i="489"/>
  <c r="EQ999" i="489"/>
  <c r="EQ997" i="489"/>
  <c r="EW986" i="489"/>
  <c r="EU986" i="489"/>
  <c r="ES986" i="489"/>
  <c r="EQ986" i="489"/>
  <c r="EW1009" i="489"/>
  <c r="EU1009" i="489"/>
  <c r="ES1009" i="489"/>
  <c r="EQ1009" i="489"/>
  <c r="EU1002" i="489"/>
  <c r="ES1002" i="489"/>
  <c r="EQ1002" i="489"/>
  <c r="EW998" i="489"/>
  <c r="EU998" i="489"/>
  <c r="ES998" i="489"/>
  <c r="EQ998" i="489"/>
  <c r="EO996" i="489"/>
  <c r="EN998" i="489"/>
  <c r="EN997" i="489"/>
  <c r="EM999" i="489"/>
  <c r="EM998" i="489"/>
  <c r="EM996" i="489"/>
  <c r="EK997" i="489"/>
  <c r="EK996" i="489"/>
  <c r="EJ999" i="489"/>
  <c r="EJ997" i="489"/>
  <c r="EI999" i="489"/>
  <c r="EI998" i="489"/>
  <c r="EI997" i="489"/>
  <c r="EI996" i="489"/>
  <c r="EO993" i="489"/>
  <c r="EM993" i="489"/>
  <c r="EK993" i="489"/>
  <c r="EO986" i="489"/>
  <c r="EM986" i="489"/>
  <c r="EK986" i="489"/>
  <c r="EO985" i="489"/>
  <c r="EM985" i="489"/>
  <c r="EK985" i="489"/>
  <c r="EO1009" i="489"/>
  <c r="EM1009" i="489"/>
  <c r="EK1009" i="489"/>
  <c r="EO1008" i="489"/>
  <c r="EM1008" i="489"/>
  <c r="EK1008" i="489"/>
  <c r="EO1002" i="489"/>
  <c r="EM1002" i="489"/>
  <c r="EK1002" i="489"/>
  <c r="EO1001" i="489"/>
  <c r="EM1001" i="489"/>
  <c r="EK1001" i="489"/>
  <c r="EI1000" i="489"/>
  <c r="EH999" i="489"/>
  <c r="EF999" i="489"/>
  <c r="EF998" i="489"/>
  <c r="EE997" i="489"/>
  <c r="ED1000" i="489"/>
  <c r="ED997" i="489"/>
  <c r="DZ998" i="489"/>
  <c r="DZ997" i="489"/>
  <c r="DZ996" i="489"/>
  <c r="EE992" i="489"/>
  <c r="EC992" i="489"/>
  <c r="EA992" i="489"/>
  <c r="EE986" i="489"/>
  <c r="EC986" i="489"/>
  <c r="EA986" i="489"/>
  <c r="EE1007" i="489"/>
  <c r="EC1007" i="489"/>
  <c r="EA1007" i="489"/>
  <c r="EE1002" i="489"/>
  <c r="EC1002" i="489"/>
  <c r="EA1002" i="489"/>
  <c r="EE1000" i="489"/>
  <c r="EC1000" i="489"/>
  <c r="EA1000" i="489"/>
  <c r="DY1000" i="489"/>
  <c r="DY999" i="489"/>
  <c r="DW999" i="489"/>
  <c r="DW998" i="489"/>
  <c r="DV1000" i="489"/>
  <c r="DV997" i="489"/>
  <c r="DU998" i="489"/>
  <c r="DU997" i="489"/>
  <c r="DU996" i="489"/>
  <c r="DT996" i="489"/>
  <c r="DU993" i="489"/>
  <c r="DS993" i="489"/>
  <c r="DQ993" i="489"/>
  <c r="DU992" i="489"/>
  <c r="DS992" i="489"/>
  <c r="DQ992" i="489"/>
  <c r="DU991" i="489"/>
  <c r="DS991" i="489"/>
  <c r="DQ991" i="489"/>
  <c r="DU986" i="489"/>
  <c r="DS986" i="489"/>
  <c r="DQ986" i="489"/>
  <c r="DU985" i="489"/>
  <c r="DS985" i="489"/>
  <c r="DQ985" i="489"/>
  <c r="DU1007" i="489"/>
  <c r="DS1007" i="489"/>
  <c r="DQ1007" i="489"/>
  <c r="DU1006" i="489"/>
  <c r="DS1006" i="489"/>
  <c r="DQ1006" i="489"/>
  <c r="DU1002" i="489"/>
  <c r="DS1002" i="489"/>
  <c r="DQ1002" i="489"/>
  <c r="DU1001" i="489"/>
  <c r="DS1001" i="489"/>
  <c r="DQ1001" i="489"/>
  <c r="DU1000" i="489"/>
  <c r="DS1000" i="489"/>
  <c r="DQ1000" i="489"/>
  <c r="DU999" i="489"/>
  <c r="DS999" i="489"/>
  <c r="DQ999" i="489"/>
  <c r="DO998" i="489"/>
  <c r="DN997" i="489"/>
  <c r="DL999" i="489"/>
  <c r="DL998" i="489"/>
  <c r="DL997" i="489"/>
  <c r="DE996" i="489"/>
  <c r="DJ990" i="489"/>
  <c r="DH990" i="489"/>
  <c r="DF990" i="489"/>
  <c r="DJ986" i="489"/>
  <c r="DH986" i="489"/>
  <c r="DF986" i="489"/>
  <c r="DJ1009" i="489"/>
  <c r="DH1009" i="489"/>
  <c r="DF1009" i="489"/>
  <c r="DJ1007" i="489"/>
  <c r="DH1007" i="489"/>
  <c r="DF1007" i="489"/>
  <c r="DJ1005" i="489"/>
  <c r="DH1005" i="489"/>
  <c r="DF1005" i="489"/>
  <c r="DJ1002" i="489"/>
  <c r="DH1002" i="489"/>
  <c r="DF1002" i="489"/>
  <c r="DC1000" i="489"/>
  <c r="CX1001" i="489"/>
  <c r="CX999" i="489"/>
  <c r="DA993" i="489"/>
  <c r="CY993" i="489"/>
  <c r="DA992" i="489"/>
  <c r="CY992" i="489"/>
  <c r="DA991" i="489"/>
  <c r="CY991" i="489"/>
  <c r="DA989" i="489"/>
  <c r="CY989" i="489"/>
  <c r="DA988" i="489"/>
  <c r="CY988" i="489"/>
  <c r="DA987" i="489"/>
  <c r="CY987" i="489"/>
  <c r="DA985" i="489"/>
  <c r="CY985" i="489"/>
  <c r="DA1008" i="489"/>
  <c r="CY1008" i="489"/>
  <c r="DA1006" i="489"/>
  <c r="CY1006" i="489"/>
  <c r="DA1003" i="489"/>
  <c r="CY1003" i="489"/>
  <c r="DA1001" i="489"/>
  <c r="CY1001" i="489"/>
  <c r="DA999" i="489"/>
  <c r="CY999" i="489"/>
  <c r="CW1000" i="489"/>
  <c r="CW999" i="489"/>
  <c r="CW998" i="489"/>
  <c r="CV997" i="489"/>
  <c r="CT993" i="489"/>
  <c r="CT990" i="489"/>
  <c r="CT989" i="489"/>
  <c r="CT986" i="489"/>
  <c r="CT985" i="489"/>
  <c r="CT1009" i="489"/>
  <c r="CT1008" i="489"/>
  <c r="CT1007" i="489"/>
  <c r="CT1006" i="489"/>
  <c r="CT1005" i="489"/>
  <c r="CT1003" i="489"/>
  <c r="CT1002" i="489"/>
  <c r="CT1001" i="489"/>
  <c r="CT1000" i="489"/>
  <c r="CT997" i="489"/>
  <c r="CT996" i="489"/>
  <c r="CV992" i="489"/>
  <c r="CT992" i="489"/>
  <c r="CV991" i="489"/>
  <c r="CT991" i="489"/>
  <c r="CV988" i="489"/>
  <c r="CT988" i="489"/>
  <c r="CV987" i="489"/>
  <c r="CT987" i="489"/>
  <c r="CV999" i="489"/>
  <c r="CT999" i="489"/>
  <c r="CV998" i="489"/>
  <c r="CT998" i="489"/>
  <c r="CR997" i="489"/>
  <c r="CQ997" i="489"/>
  <c r="CQ996" i="489"/>
  <c r="CP996" i="489"/>
  <c r="CN998" i="489"/>
  <c r="CN997" i="489"/>
  <c r="CM998" i="489"/>
  <c r="CM996" i="489"/>
  <c r="CK1000" i="489"/>
  <c r="CK999" i="489"/>
  <c r="CK998" i="489"/>
  <c r="CK997" i="489"/>
  <c r="CQ992" i="489"/>
  <c r="CO992" i="489"/>
  <c r="CM992" i="489"/>
  <c r="CQ990" i="489"/>
  <c r="CO990" i="489"/>
  <c r="CM990" i="489"/>
  <c r="CQ988" i="489"/>
  <c r="CO988" i="489"/>
  <c r="CM988" i="489"/>
  <c r="CQ986" i="489"/>
  <c r="CO986" i="489"/>
  <c r="CM986" i="489"/>
  <c r="CI999" i="489"/>
  <c r="CH998" i="489"/>
  <c r="CD999" i="489"/>
  <c r="CD998" i="489"/>
  <c r="CD997" i="489"/>
  <c r="CD996" i="489"/>
  <c r="CB1000" i="489"/>
  <c r="CA999" i="489"/>
  <c r="BZ996" i="489"/>
  <c r="BY999" i="489"/>
  <c r="BY998" i="489"/>
  <c r="BW1000" i="489"/>
  <c r="BW999" i="489"/>
  <c r="BT999" i="489"/>
  <c r="BT998" i="489"/>
  <c r="BT997" i="489"/>
  <c r="BT996" i="489"/>
  <c r="CD993" i="489"/>
  <c r="CB993" i="489"/>
  <c r="BZ993" i="489"/>
  <c r="BX993" i="489"/>
  <c r="BV993" i="489"/>
  <c r="BT993" i="489"/>
  <c r="CD991" i="489"/>
  <c r="CB991" i="489"/>
  <c r="BZ991" i="489"/>
  <c r="BX991" i="489"/>
  <c r="BV991" i="489"/>
  <c r="BT991" i="489"/>
  <c r="CD989" i="489"/>
  <c r="CB989" i="489"/>
  <c r="BZ989" i="489"/>
  <c r="BX989" i="489"/>
  <c r="BV989" i="489"/>
  <c r="BT989" i="489"/>
  <c r="CD987" i="489"/>
  <c r="BZ987" i="489"/>
  <c r="BX987" i="489"/>
  <c r="BV987" i="489"/>
  <c r="BT987" i="489"/>
  <c r="CD985" i="489"/>
  <c r="CB985" i="489"/>
  <c r="BZ985" i="489"/>
  <c r="BX985" i="489"/>
  <c r="BV985" i="489"/>
  <c r="CD1009" i="489"/>
  <c r="CB1009" i="489"/>
  <c r="BZ1009" i="489"/>
  <c r="BX1009" i="489"/>
  <c r="BV1009" i="489"/>
  <c r="BT1009" i="489"/>
  <c r="CD1008" i="489"/>
  <c r="CB1008" i="489"/>
  <c r="BZ1008" i="489"/>
  <c r="BX1008" i="489"/>
  <c r="BV1008" i="489"/>
  <c r="BT1008" i="489"/>
  <c r="CD1007" i="489"/>
  <c r="CB1007" i="489"/>
  <c r="BZ1007" i="489"/>
  <c r="BX1007" i="489"/>
  <c r="BV1007" i="489"/>
  <c r="BT1007" i="489"/>
  <c r="CD1006" i="489"/>
  <c r="CB1006" i="489"/>
  <c r="BZ1006" i="489"/>
  <c r="BX1006" i="489"/>
  <c r="BV1006" i="489"/>
  <c r="BT1006" i="489"/>
  <c r="CD1005" i="489"/>
  <c r="CB1005" i="489"/>
  <c r="BZ1005" i="489"/>
  <c r="BX1005" i="489"/>
  <c r="BV1005" i="489"/>
  <c r="BT1005" i="489"/>
  <c r="CD1003" i="489"/>
  <c r="CB1003" i="489"/>
  <c r="BZ1003" i="489"/>
  <c r="BX1003" i="489"/>
  <c r="BV1003" i="489"/>
  <c r="BT1003" i="489"/>
  <c r="CD1002" i="489"/>
  <c r="CB1002" i="489"/>
  <c r="BZ1002" i="489"/>
  <c r="BX1002" i="489"/>
  <c r="BV1002" i="489"/>
  <c r="BT1002" i="489"/>
  <c r="BP996" i="489"/>
  <c r="BI1001" i="489"/>
  <c r="BG1000" i="489"/>
  <c r="BF999" i="489"/>
  <c r="BD1000" i="489"/>
  <c r="BD999" i="489"/>
  <c r="BD998" i="489"/>
  <c r="BB1000" i="489"/>
  <c r="BB997" i="489"/>
  <c r="BA999" i="489"/>
  <c r="BA997" i="489"/>
  <c r="BA996" i="489"/>
  <c r="AZ1001" i="489"/>
  <c r="AZ1000" i="489"/>
  <c r="AZ999" i="489"/>
  <c r="AZ998" i="489"/>
  <c r="AX997" i="489"/>
  <c r="AV1002" i="489"/>
  <c r="AV1001" i="489"/>
  <c r="AT1000" i="489"/>
  <c r="AT998" i="489"/>
  <c r="AS999" i="489"/>
  <c r="AS998" i="489"/>
  <c r="AS997" i="489"/>
  <c r="AR996" i="489"/>
  <c r="AQ1000" i="489"/>
  <c r="AO1000" i="489"/>
  <c r="AO998" i="489"/>
  <c r="AO996" i="489"/>
  <c r="AN1001" i="489"/>
  <c r="AN1000" i="489"/>
  <c r="AN999" i="489"/>
  <c r="AN998" i="489"/>
  <c r="AN997" i="489"/>
  <c r="AA1002" i="489"/>
  <c r="AA1001" i="489"/>
  <c r="Z1000" i="489"/>
  <c r="Y1000" i="489"/>
  <c r="Y999" i="489"/>
  <c r="X998" i="489"/>
  <c r="W1000" i="489"/>
  <c r="W998" i="489"/>
  <c r="W997" i="489"/>
  <c r="V996" i="489"/>
  <c r="U1000" i="489"/>
  <c r="U999" i="489"/>
  <c r="U998" i="489"/>
  <c r="S1000" i="489"/>
  <c r="Q1000" i="489"/>
  <c r="Q999" i="489"/>
  <c r="O1001" i="489"/>
  <c r="O1000" i="489"/>
  <c r="O998" i="489"/>
  <c r="N1001" i="489"/>
  <c r="N999" i="489"/>
  <c r="N998" i="489"/>
  <c r="N997" i="489"/>
  <c r="M1000" i="489"/>
  <c r="M999" i="489"/>
  <c r="M996" i="489"/>
  <c r="L1000" i="489"/>
  <c r="L998" i="489"/>
  <c r="K1001" i="489"/>
  <c r="K1000" i="489"/>
  <c r="K999" i="489"/>
  <c r="K998" i="489"/>
  <c r="K997" i="489"/>
  <c r="K996" i="489"/>
  <c r="L993" i="489"/>
  <c r="L992" i="489"/>
  <c r="L991" i="489"/>
  <c r="L990" i="489"/>
  <c r="L989" i="489"/>
  <c r="L988" i="489"/>
  <c r="L987" i="489"/>
  <c r="L986" i="489"/>
  <c r="D831" i="489"/>
  <c r="D885" i="489"/>
  <c r="D408" i="489"/>
  <c r="D513" i="489"/>
  <c r="D567" i="489"/>
  <c r="D672" i="489"/>
  <c r="D726" i="489"/>
  <c r="D496" i="489"/>
  <c r="D655" i="489"/>
  <c r="D814" i="489"/>
  <c r="H815" i="489"/>
  <c r="H974" i="489"/>
  <c r="D973" i="489"/>
  <c r="AK219" i="147"/>
  <c r="V219" i="147"/>
  <c r="DF219" i="147"/>
  <c r="DC219" i="147"/>
  <c r="CS219" i="147"/>
  <c r="BS219" i="147"/>
  <c r="Y219" i="147"/>
  <c r="Y195" i="147"/>
  <c r="DF214" i="147"/>
  <c r="DC214" i="147"/>
  <c r="CS214" i="147"/>
  <c r="BS214" i="147"/>
  <c r="DC213" i="147"/>
  <c r="DF213" i="147"/>
  <c r="CS213" i="147"/>
  <c r="BS213" i="147"/>
  <c r="Y214" i="147"/>
  <c r="Y213" i="147"/>
  <c r="Y210" i="147"/>
  <c r="DF210" i="147"/>
  <c r="DC210" i="147"/>
  <c r="CS210" i="147"/>
  <c r="BS210" i="147"/>
  <c r="DF209" i="147"/>
  <c r="DC209" i="147"/>
  <c r="CS209" i="147"/>
  <c r="BS209" i="147"/>
  <c r="DF208" i="147"/>
  <c r="DC208" i="147"/>
  <c r="CS208" i="147"/>
  <c r="BS208" i="147"/>
  <c r="C210" i="147"/>
  <c r="Y209" i="147"/>
  <c r="Y208" i="147"/>
  <c r="DF205" i="147"/>
  <c r="DC205" i="147"/>
  <c r="CS205" i="147"/>
  <c r="DF204" i="147"/>
  <c r="DC204" i="147"/>
  <c r="CS204" i="147"/>
  <c r="BS205" i="147"/>
  <c r="BS204" i="147"/>
  <c r="Y205" i="147"/>
  <c r="Y204" i="147"/>
  <c r="DC203" i="147"/>
  <c r="DF203" i="147"/>
  <c r="CS203" i="147"/>
  <c r="BS203" i="147"/>
  <c r="Y203" i="147"/>
  <c r="DF202" i="147"/>
  <c r="DC202" i="147"/>
  <c r="CS202" i="147"/>
  <c r="BS202" i="147"/>
  <c r="Y202" i="147"/>
  <c r="CS199" i="147"/>
  <c r="CF199" i="147"/>
  <c r="DF199" i="147"/>
  <c r="DC199" i="147"/>
  <c r="BS199" i="147"/>
  <c r="Y199" i="147"/>
  <c r="V179" i="489" l="1"/>
  <c r="V59" i="489"/>
  <c r="BS179" i="489"/>
  <c r="BS59" i="489"/>
  <c r="Y179" i="489"/>
  <c r="Y59" i="489"/>
  <c r="CS179" i="489"/>
  <c r="CS59" i="489"/>
  <c r="DC179" i="489"/>
  <c r="DC59" i="489"/>
  <c r="DF179" i="489"/>
  <c r="DF59" i="489"/>
  <c r="DF1025" i="489" s="1"/>
  <c r="DF1032" i="489" s="1"/>
  <c r="AK179" i="489"/>
  <c r="AK59" i="489"/>
  <c r="EI1010" i="489"/>
  <c r="DR1010" i="489"/>
  <c r="EP994" i="489"/>
  <c r="EN1122" i="489"/>
  <c r="DE994" i="489"/>
  <c r="DF1013" i="489"/>
  <c r="CS1013" i="489"/>
  <c r="BS1013" i="489"/>
  <c r="E210" i="147"/>
  <c r="G210" i="147"/>
  <c r="F210" i="147"/>
  <c r="D210" i="147"/>
  <c r="AO994" i="489"/>
  <c r="ET994" i="489"/>
  <c r="CP1122" i="489"/>
  <c r="CW994" i="489"/>
  <c r="DN1066" i="489"/>
  <c r="EO1066" i="489"/>
  <c r="BA994" i="489"/>
  <c r="BM994" i="489"/>
  <c r="ET1010" i="489"/>
  <c r="DP1094" i="489"/>
  <c r="EI994" i="489"/>
  <c r="V1094" i="489"/>
  <c r="CD1122" i="489"/>
  <c r="BS1094" i="489"/>
  <c r="CQ1094" i="489"/>
  <c r="AO1010" i="489"/>
  <c r="DN1122" i="489"/>
  <c r="DP1178" i="489"/>
  <c r="CS1094" i="489"/>
  <c r="CD1094" i="489"/>
  <c r="Y1025" i="489"/>
  <c r="CQ1122" i="489"/>
  <c r="BV1010" i="489"/>
  <c r="DO1162" i="489"/>
  <c r="CE1094" i="489"/>
  <c r="K1094" i="489"/>
  <c r="EN1150" i="489"/>
  <c r="AW1094" i="489"/>
  <c r="EA1094" i="489"/>
  <c r="BJ1150" i="489"/>
  <c r="CD1078" i="489"/>
  <c r="BF1094" i="489"/>
  <c r="CS1025" i="489"/>
  <c r="V1193" i="489"/>
  <c r="EC1246" i="489"/>
  <c r="DO1262" i="489"/>
  <c r="CQ1262" i="489"/>
  <c r="CI1150" i="489"/>
  <c r="EQ1150" i="489"/>
  <c r="BG1122" i="489"/>
  <c r="DU1150" i="489"/>
  <c r="BR1094" i="489"/>
  <c r="BX1010" i="489"/>
  <c r="DP1256" i="489"/>
  <c r="DC1234" i="489"/>
  <c r="CQ1206" i="489"/>
  <c r="EA1060" i="489"/>
  <c r="CD1178" i="489"/>
  <c r="AI1134" i="489"/>
  <c r="EN1078" i="489"/>
  <c r="X994" i="489"/>
  <c r="AI1060" i="489"/>
  <c r="CP1172" i="489"/>
  <c r="DB1078" i="489"/>
  <c r="EV1122" i="489"/>
  <c r="AQ1122" i="489"/>
  <c r="EI1150" i="489"/>
  <c r="AB1066" i="489"/>
  <c r="DE1106" i="489"/>
  <c r="U1066" i="489"/>
  <c r="DP1262" i="489"/>
  <c r="EI1122" i="489"/>
  <c r="EO1144" i="489"/>
  <c r="BH1218" i="489"/>
  <c r="ET1150" i="489"/>
  <c r="ER1134" i="489"/>
  <c r="CD1010" i="489"/>
  <c r="AL1150" i="489"/>
  <c r="EC1116" i="489"/>
  <c r="CZ1234" i="489"/>
  <c r="AR1228" i="489"/>
  <c r="AF1234" i="489"/>
  <c r="Q1206" i="489"/>
  <c r="DI1206" i="489"/>
  <c r="CK1262" i="489"/>
  <c r="BM1206" i="489"/>
  <c r="AB1262" i="489"/>
  <c r="P1206" i="489"/>
  <c r="P1234" i="489"/>
  <c r="ES1256" i="489"/>
  <c r="CV1246" i="489"/>
  <c r="BL1206" i="489"/>
  <c r="AZ1246" i="489"/>
  <c r="O1234" i="489"/>
  <c r="ER1256" i="489"/>
  <c r="EG1262" i="489"/>
  <c r="DS1262" i="489"/>
  <c r="BK1234" i="489"/>
  <c r="AY1246" i="489"/>
  <c r="Z1262" i="489"/>
  <c r="Z1246" i="489"/>
  <c r="EQ1246" i="489"/>
  <c r="EF1256" i="489"/>
  <c r="AW1218" i="489"/>
  <c r="AW1246" i="489"/>
  <c r="ET1088" i="489"/>
  <c r="EO1162" i="489"/>
  <c r="EA1078" i="489"/>
  <c r="DH994" i="489"/>
  <c r="DN1078" i="489"/>
  <c r="DM1004" i="489"/>
  <c r="DK1004" i="489"/>
  <c r="BW994" i="489"/>
  <c r="DM1010" i="489"/>
  <c r="AF1178" i="489"/>
  <c r="AR1234" i="489"/>
  <c r="DV1234" i="489"/>
  <c r="CX1218" i="489"/>
  <c r="EF1262" i="489"/>
  <c r="AI1078" i="489"/>
  <c r="AI1066" i="489"/>
  <c r="U1094" i="489"/>
  <c r="EM994" i="489"/>
  <c r="AZ1010" i="489"/>
  <c r="AL994" i="489"/>
  <c r="EK1038" i="489"/>
  <c r="DW1172" i="489"/>
  <c r="DK1134" i="489"/>
  <c r="EJ1038" i="489"/>
  <c r="BA1172" i="489"/>
  <c r="EH1134" i="489"/>
  <c r="EH1032" i="489"/>
  <c r="DH1050" i="489"/>
  <c r="CV1150" i="489"/>
  <c r="EF1122" i="489"/>
  <c r="BG1234" i="489"/>
  <c r="DB1246" i="489"/>
  <c r="DT1010" i="489"/>
  <c r="CB1150" i="489"/>
  <c r="DR1122" i="489"/>
  <c r="EE1134" i="489"/>
  <c r="CW1172" i="489"/>
  <c r="BG1078" i="489"/>
  <c r="DB1262" i="489"/>
  <c r="BF1228" i="489"/>
  <c r="BF1262" i="489"/>
  <c r="EF1060" i="489"/>
  <c r="BV1134" i="489"/>
  <c r="BH1150" i="489"/>
  <c r="DO1178" i="489"/>
  <c r="EN1206" i="489"/>
  <c r="DK1178" i="489"/>
  <c r="CY1144" i="489"/>
  <c r="ET1038" i="489"/>
  <c r="DI1094" i="489"/>
  <c r="BM1022" i="489"/>
  <c r="BA1032" i="489"/>
  <c r="AO1178" i="489"/>
  <c r="ES1122" i="489"/>
  <c r="EH1172" i="489"/>
  <c r="DT1066" i="489"/>
  <c r="DT1038" i="489"/>
  <c r="CV1178" i="489"/>
  <c r="CT1106" i="489"/>
  <c r="CH1116" i="489"/>
  <c r="Y1122" i="489"/>
  <c r="BH1178" i="489"/>
  <c r="EO1050" i="489"/>
  <c r="EM1200" i="489"/>
  <c r="DM1262" i="489"/>
  <c r="DA1256" i="489"/>
  <c r="T1256" i="489"/>
  <c r="EL1234" i="489"/>
  <c r="EL1228" i="489"/>
  <c r="DL1206" i="489"/>
  <c r="S1206" i="489"/>
  <c r="EK1234" i="489"/>
  <c r="EK1228" i="489"/>
  <c r="BO1206" i="489"/>
  <c r="EJ1234" i="489"/>
  <c r="EJ1228" i="489"/>
  <c r="EJ1262" i="489"/>
  <c r="AU1206" i="489"/>
  <c r="DN1234" i="489"/>
  <c r="DB1234" i="489"/>
  <c r="BG1050" i="489"/>
  <c r="EG1004" i="489"/>
  <c r="DT1172" i="489"/>
  <c r="DT1088" i="489"/>
  <c r="BV1106" i="489"/>
  <c r="BJ1078" i="489"/>
  <c r="ED1134" i="489"/>
  <c r="CD1218" i="489"/>
  <c r="CO1066" i="489"/>
  <c r="DL1038" i="489"/>
  <c r="CK1106" i="489"/>
  <c r="EN1234" i="489"/>
  <c r="AF1144" i="489"/>
  <c r="DU1022" i="489"/>
  <c r="CW1116" i="489"/>
  <c r="CR1122" i="489"/>
  <c r="CE1162" i="489"/>
  <c r="CZ1262" i="489"/>
  <c r="DK1234" i="489"/>
  <c r="DJ1234" i="489"/>
  <c r="BZ1262" i="489"/>
  <c r="CW1218" i="489"/>
  <c r="DH1234" i="489"/>
  <c r="ER1246" i="489"/>
  <c r="CU1246" i="489"/>
  <c r="W1256" i="489"/>
  <c r="J1206" i="489"/>
  <c r="CL1010" i="489"/>
  <c r="DV1150" i="489"/>
  <c r="P1122" i="489"/>
  <c r="CJ1066" i="489"/>
  <c r="DE1122" i="489"/>
  <c r="DE1050" i="489"/>
  <c r="CS1066" i="489"/>
  <c r="CE1150" i="489"/>
  <c r="DI994" i="489"/>
  <c r="BC1032" i="489"/>
  <c r="Q1116" i="489"/>
  <c r="AB1150" i="489"/>
  <c r="AB1094" i="489"/>
  <c r="ES1066" i="489"/>
  <c r="EH1150" i="489"/>
  <c r="DT1078" i="489"/>
  <c r="AN1144" i="489"/>
  <c r="AA1178" i="489"/>
  <c r="O1066" i="489"/>
  <c r="EP1050" i="489"/>
  <c r="EE1162" i="489"/>
  <c r="EE1066" i="489"/>
  <c r="DQ1134" i="489"/>
  <c r="CS1038" i="489"/>
  <c r="BI1122" i="489"/>
  <c r="L1122" i="489"/>
  <c r="EN1162" i="489"/>
  <c r="AD1234" i="489"/>
  <c r="AC1004" i="489"/>
  <c r="EX1078" i="489"/>
  <c r="EM1050" i="489"/>
  <c r="DZ1144" i="489"/>
  <c r="CC1032" i="489"/>
  <c r="BQ1134" i="489"/>
  <c r="BQ1050" i="489"/>
  <c r="BE1088" i="489"/>
  <c r="CY1116" i="489"/>
  <c r="AD1106" i="489"/>
  <c r="R1150" i="489"/>
  <c r="R1050" i="489"/>
  <c r="BX1066" i="489"/>
  <c r="AZ1178" i="489"/>
  <c r="AZ1078" i="489"/>
  <c r="AZ1032" i="489"/>
  <c r="AZ1022" i="489"/>
  <c r="EE1150" i="489"/>
  <c r="DO1078" i="489"/>
  <c r="CC1206" i="489"/>
  <c r="BQ1218" i="489"/>
  <c r="AG1206" i="489"/>
  <c r="DY1206" i="489"/>
  <c r="CN1262" i="489"/>
  <c r="BD1228" i="489"/>
  <c r="DW1206" i="489"/>
  <c r="CY1228" i="489"/>
  <c r="CY1218" i="489"/>
  <c r="AD1206" i="489"/>
  <c r="EU1228" i="489"/>
  <c r="CX1228" i="489"/>
  <c r="AC1206" i="489"/>
  <c r="Q1218" i="489"/>
  <c r="ET1190" i="489"/>
  <c r="DU1206" i="489"/>
  <c r="DI1218" i="489"/>
  <c r="DI1256" i="489"/>
  <c r="DI1246" i="489"/>
  <c r="BY1234" i="489"/>
  <c r="AB1206" i="489"/>
  <c r="P1246" i="489"/>
  <c r="DH1246" i="489"/>
  <c r="CJ1200" i="489"/>
  <c r="BX1206" i="489"/>
  <c r="BX1234" i="489"/>
  <c r="BL1246" i="489"/>
  <c r="AZ1190" i="489"/>
  <c r="AA1234" i="489"/>
  <c r="O1246" i="489"/>
  <c r="DG1246" i="489"/>
  <c r="CI1200" i="489"/>
  <c r="BW1234" i="489"/>
  <c r="BK1246" i="489"/>
  <c r="CT1218" i="489"/>
  <c r="CH1200" i="489"/>
  <c r="AX1190" i="489"/>
  <c r="AX1218" i="489"/>
  <c r="M1246" i="489"/>
  <c r="EP1190" i="489"/>
  <c r="EP1218" i="489"/>
  <c r="EE1200" i="489"/>
  <c r="DE1246" i="489"/>
  <c r="CS1190" i="489"/>
  <c r="BI1246" i="489"/>
  <c r="AW1190" i="489"/>
  <c r="DP1228" i="489"/>
  <c r="CR1256" i="489"/>
  <c r="CR1246" i="489"/>
  <c r="AV1246" i="489"/>
  <c r="EO1246" i="489"/>
  <c r="EC1190" i="489"/>
  <c r="AI1256" i="489"/>
  <c r="EH1022" i="489"/>
  <c r="DT1032" i="489"/>
  <c r="CM1262" i="489"/>
  <c r="AP1262" i="489"/>
  <c r="CQ1234" i="489"/>
  <c r="DY1038" i="489"/>
  <c r="DL1178" i="489"/>
  <c r="AQ1150" i="489"/>
  <c r="CK1094" i="489"/>
  <c r="CH1144" i="489"/>
  <c r="EO1178" i="489"/>
  <c r="EC1162" i="489"/>
  <c r="CD1088" i="489"/>
  <c r="CC1234" i="489"/>
  <c r="AF1262" i="489"/>
  <c r="EU1262" i="489"/>
  <c r="DI1262" i="489"/>
  <c r="BP994" i="489"/>
  <c r="EW1038" i="489"/>
  <c r="DI1178" i="489"/>
  <c r="J1262" i="489"/>
  <c r="DN1206" i="489"/>
  <c r="BD1178" i="489"/>
  <c r="CV1116" i="489"/>
  <c r="EX1262" i="489"/>
  <c r="AG1234" i="489"/>
  <c r="DL1262" i="489"/>
  <c r="BP1262" i="489"/>
  <c r="CY1262" i="489"/>
  <c r="AX1234" i="489"/>
  <c r="EP1234" i="489"/>
  <c r="CS1234" i="489"/>
  <c r="BU994" i="489"/>
  <c r="BO1134" i="489"/>
  <c r="BO1038" i="489"/>
  <c r="BC1178" i="489"/>
  <c r="AB1178" i="489"/>
  <c r="AN1116" i="489"/>
  <c r="AN1032" i="489"/>
  <c r="O1106" i="489"/>
  <c r="EQ1032" i="489"/>
  <c r="DR1178" i="489"/>
  <c r="DR1094" i="489"/>
  <c r="EE1116" i="489"/>
  <c r="EE1032" i="489"/>
  <c r="ED1144" i="489"/>
  <c r="DD1038" i="489"/>
  <c r="K1178" i="489"/>
  <c r="CO1234" i="489"/>
  <c r="CY1022" i="489"/>
  <c r="CA1162" i="489"/>
  <c r="R1066" i="489"/>
  <c r="DV1122" i="489"/>
  <c r="BX1178" i="489"/>
  <c r="BX1106" i="489"/>
  <c r="BL1178" i="489"/>
  <c r="BL1050" i="489"/>
  <c r="AZ1088" i="489"/>
  <c r="N1178" i="489"/>
  <c r="M1038" i="489"/>
  <c r="EC1134" i="489"/>
  <c r="V1150" i="489"/>
  <c r="BU1122" i="489"/>
  <c r="BV1122" i="489"/>
  <c r="AL1122" i="489"/>
  <c r="M1122" i="489"/>
  <c r="DW1094" i="489"/>
  <c r="Q1094" i="489"/>
  <c r="CM1094" i="489"/>
  <c r="CO1094" i="489"/>
  <c r="DK1094" i="489"/>
  <c r="AP1094" i="489"/>
  <c r="BT1066" i="489"/>
  <c r="AC1066" i="489"/>
  <c r="CQ1066" i="489"/>
  <c r="BA1066" i="489"/>
  <c r="BE1066" i="489"/>
  <c r="CA1066" i="489"/>
  <c r="EP1038" i="489"/>
  <c r="DO1022" i="489"/>
  <c r="BQ1022" i="489"/>
  <c r="CA1022" i="489"/>
  <c r="DT1022" i="489"/>
  <c r="DJ994" i="489"/>
  <c r="BS994" i="489"/>
  <c r="BZ1010" i="489"/>
  <c r="DT1004" i="489"/>
  <c r="EQ1004" i="489"/>
  <c r="CZ1010" i="489"/>
  <c r="CP1010" i="489"/>
  <c r="AP1010" i="489"/>
  <c r="CE1004" i="489"/>
  <c r="BI1004" i="489"/>
  <c r="CC994" i="489"/>
  <c r="DM994" i="489"/>
  <c r="DO1010" i="489"/>
  <c r="EX1038" i="489"/>
  <c r="EW1122" i="489"/>
  <c r="EW1066" i="489"/>
  <c r="EL1032" i="489"/>
  <c r="DY1060" i="489"/>
  <c r="DL1144" i="489"/>
  <c r="DL1032" i="489"/>
  <c r="DL1078" i="489"/>
  <c r="CN1122" i="489"/>
  <c r="CN1038" i="489"/>
  <c r="CB1172" i="489"/>
  <c r="CB1066" i="489"/>
  <c r="BP1060" i="489"/>
  <c r="BD1050" i="489"/>
  <c r="AF1134" i="489"/>
  <c r="BC1150" i="489"/>
  <c r="CB1010" i="489"/>
  <c r="DP994" i="489"/>
  <c r="EF1004" i="489"/>
  <c r="DY994" i="489"/>
  <c r="AC994" i="489"/>
  <c r="U1010" i="489"/>
  <c r="O1010" i="489"/>
  <c r="EM1010" i="489"/>
  <c r="CG994" i="489"/>
  <c r="BE1144" i="489"/>
  <c r="AQ1038" i="489"/>
  <c r="AN994" i="489"/>
  <c r="BH994" i="489"/>
  <c r="CN1010" i="489"/>
  <c r="BJ994" i="489"/>
  <c r="CJ1010" i="489"/>
  <c r="CY1050" i="489"/>
  <c r="BO1162" i="489"/>
  <c r="BO1172" i="489"/>
  <c r="BL994" i="489"/>
  <c r="CK1010" i="489"/>
  <c r="DJ1010" i="489"/>
  <c r="CO1010" i="489"/>
  <c r="BN994" i="489"/>
  <c r="EW1010" i="489"/>
  <c r="EH994" i="489"/>
  <c r="CH1010" i="489"/>
  <c r="S994" i="489"/>
  <c r="EP1010" i="489"/>
  <c r="DK1010" i="489"/>
  <c r="CQ1010" i="489"/>
  <c r="BM1010" i="489"/>
  <c r="DM1066" i="489"/>
  <c r="DA1122" i="489"/>
  <c r="CC1122" i="489"/>
  <c r="CC1144" i="489"/>
  <c r="BQ1150" i="489"/>
  <c r="BE1116" i="489"/>
  <c r="AS1150" i="489"/>
  <c r="EW1150" i="489"/>
  <c r="DY1122" i="489"/>
  <c r="DY1172" i="489"/>
  <c r="DY1134" i="489"/>
  <c r="CN1178" i="489"/>
  <c r="CN1116" i="489"/>
  <c r="BP1116" i="489"/>
  <c r="BP1050" i="489"/>
  <c r="BD1060" i="489"/>
  <c r="AR1178" i="489"/>
  <c r="AF1122" i="489"/>
  <c r="CT1010" i="489"/>
  <c r="CY994" i="489"/>
  <c r="DS994" i="489"/>
  <c r="AT1010" i="489"/>
  <c r="AH994" i="489"/>
  <c r="CO1004" i="489"/>
  <c r="EH1010" i="489"/>
  <c r="EJ994" i="489"/>
  <c r="CV1010" i="489"/>
  <c r="BX1004" i="489"/>
  <c r="BN1010" i="489"/>
  <c r="W1010" i="489"/>
  <c r="AK1010" i="489"/>
  <c r="BC1004" i="489"/>
  <c r="DQ1004" i="489"/>
  <c r="DE1010" i="489"/>
  <c r="BU1010" i="489"/>
  <c r="AM1010" i="489"/>
  <c r="BK1010" i="489"/>
  <c r="ER994" i="489"/>
  <c r="EX1106" i="489"/>
  <c r="EX1050" i="489"/>
  <c r="DZ1150" i="489"/>
  <c r="DZ1116" i="489"/>
  <c r="DM1172" i="489"/>
  <c r="DA1172" i="489"/>
  <c r="DA1078" i="489"/>
  <c r="CC1134" i="489"/>
  <c r="BQ1088" i="489"/>
  <c r="BE1122" i="489"/>
  <c r="BE1172" i="489"/>
  <c r="AS1078" i="489"/>
  <c r="AG1172" i="489"/>
  <c r="AG1078" i="489"/>
  <c r="EV1094" i="489"/>
  <c r="EK1134" i="489"/>
  <c r="BC1122" i="489"/>
  <c r="BC1134" i="489"/>
  <c r="R1178" i="489"/>
  <c r="DA994" i="489"/>
  <c r="EJ1010" i="489"/>
  <c r="EV1010" i="489"/>
  <c r="DZ1010" i="489"/>
  <c r="BC1060" i="489"/>
  <c r="AD1150" i="489"/>
  <c r="AD1050" i="489"/>
  <c r="BL1162" i="489"/>
  <c r="AN1022" i="489"/>
  <c r="AA1078" i="489"/>
  <c r="DS1106" i="489"/>
  <c r="DG1144" i="489"/>
  <c r="DG1122" i="489"/>
  <c r="CI1116" i="489"/>
  <c r="CI1078" i="489"/>
  <c r="BK1178" i="489"/>
  <c r="BK1060" i="489"/>
  <c r="AM1078" i="489"/>
  <c r="Z1178" i="489"/>
  <c r="DQ1094" i="489"/>
  <c r="EC1088" i="489"/>
  <c r="AI1162" i="489"/>
  <c r="AI1088" i="489"/>
  <c r="AI1038" i="489"/>
  <c r="AH1094" i="489"/>
  <c r="EX1246" i="489"/>
  <c r="DZ1190" i="489"/>
  <c r="DA1246" i="489"/>
  <c r="CC1190" i="489"/>
  <c r="BQ1262" i="489"/>
  <c r="BE1234" i="489"/>
  <c r="BE1256" i="489"/>
  <c r="BE1246" i="489"/>
  <c r="AS1234" i="489"/>
  <c r="AG1190" i="489"/>
  <c r="EW1206" i="489"/>
  <c r="EL1218" i="489"/>
  <c r="DY1200" i="489"/>
  <c r="CZ1206" i="489"/>
  <c r="BD1262" i="489"/>
  <c r="AR1218" i="489"/>
  <c r="AF1190" i="489"/>
  <c r="S1234" i="489"/>
  <c r="EV1206" i="489"/>
  <c r="EV1262" i="489"/>
  <c r="DW1200" i="489"/>
  <c r="CM1190" i="489"/>
  <c r="CA1200" i="489"/>
  <c r="BO1234" i="489"/>
  <c r="BC1206" i="489"/>
  <c r="AD1200" i="489"/>
  <c r="AD1228" i="489"/>
  <c r="AD1218" i="489"/>
  <c r="EU1206" i="489"/>
  <c r="DV1200" i="489"/>
  <c r="DV1218" i="489"/>
  <c r="DJ1262" i="489"/>
  <c r="CX1206" i="489"/>
  <c r="BZ1200" i="489"/>
  <c r="BN1262" i="489"/>
  <c r="BB1206" i="489"/>
  <c r="AP1190" i="489"/>
  <c r="AC1228" i="489"/>
  <c r="ET1234" i="489"/>
  <c r="DU1262" i="489"/>
  <c r="DU1256" i="489"/>
  <c r="CW1234" i="489"/>
  <c r="BM1256" i="489"/>
  <c r="ES1206" i="489"/>
  <c r="ES1234" i="489"/>
  <c r="DT1262" i="489"/>
  <c r="BX1190" i="489"/>
  <c r="AA1228" i="489"/>
  <c r="ER1234" i="489"/>
  <c r="ER1218" i="489"/>
  <c r="DS1228" i="489"/>
  <c r="CU1234" i="489"/>
  <c r="BW1228" i="489"/>
  <c r="AY1262" i="489"/>
  <c r="Z1228" i="489"/>
  <c r="N1234" i="489"/>
  <c r="N1246" i="489"/>
  <c r="EQ1234" i="489"/>
  <c r="DR1228" i="489"/>
  <c r="DF1234" i="489"/>
  <c r="CT1262" i="489"/>
  <c r="BV1190" i="489"/>
  <c r="BV1228" i="489"/>
  <c r="BJ1234" i="489"/>
  <c r="Y1190" i="489"/>
  <c r="M1234" i="489"/>
  <c r="EP1256" i="489"/>
  <c r="DE1234" i="489"/>
  <c r="BU1190" i="489"/>
  <c r="BI1234" i="489"/>
  <c r="L1262" i="489"/>
  <c r="ED1256" i="489"/>
  <c r="CR1234" i="489"/>
  <c r="CR1262" i="489"/>
  <c r="AV1234" i="489"/>
  <c r="AJ1256" i="489"/>
  <c r="W1218" i="489"/>
  <c r="BS1262" i="489"/>
  <c r="AU1262" i="489"/>
  <c r="DB1228" i="489"/>
  <c r="AT1190" i="489"/>
  <c r="DS1094" i="489"/>
  <c r="ED1178" i="489"/>
  <c r="DP1022" i="489"/>
  <c r="CR1116" i="489"/>
  <c r="CR1078" i="489"/>
  <c r="CR1050" i="489"/>
  <c r="BT1022" i="489"/>
  <c r="AV1162" i="489"/>
  <c r="W1116" i="489"/>
  <c r="K1122" i="489"/>
  <c r="CP1066" i="489"/>
  <c r="EM1234" i="489"/>
  <c r="DM1206" i="489"/>
  <c r="CO1228" i="489"/>
  <c r="BQ1206" i="489"/>
  <c r="AS1228" i="489"/>
  <c r="AS1262" i="489"/>
  <c r="AG1218" i="489"/>
  <c r="T1206" i="489"/>
  <c r="EW1262" i="489"/>
  <c r="EL1256" i="489"/>
  <c r="DY1190" i="489"/>
  <c r="DY1218" i="489"/>
  <c r="BD1246" i="489"/>
  <c r="DW1234" i="489"/>
  <c r="DK1206" i="489"/>
  <c r="DK1262" i="489"/>
  <c r="CY1246" i="489"/>
  <c r="CM1256" i="489"/>
  <c r="CA1262" i="489"/>
  <c r="BC1246" i="489"/>
  <c r="R1234" i="489"/>
  <c r="R1262" i="489"/>
  <c r="EU1246" i="489"/>
  <c r="CX1246" i="489"/>
  <c r="CL1256" i="489"/>
  <c r="BN1234" i="489"/>
  <c r="BB1246" i="489"/>
  <c r="AP1256" i="489"/>
  <c r="Q1234" i="489"/>
  <c r="ET1206" i="489"/>
  <c r="EI1190" i="489"/>
  <c r="DU1200" i="489"/>
  <c r="DI1228" i="489"/>
  <c r="CK1190" i="489"/>
  <c r="CK1256" i="489"/>
  <c r="BY1200" i="489"/>
  <c r="BY1228" i="489"/>
  <c r="BA1218" i="489"/>
  <c r="AO1190" i="489"/>
  <c r="AO1262" i="489"/>
  <c r="AB1200" i="489"/>
  <c r="AB1228" i="489"/>
  <c r="EH1190" i="489"/>
  <c r="DT1200" i="489"/>
  <c r="DT1228" i="489"/>
  <c r="DH1206" i="489"/>
  <c r="DH1262" i="489"/>
  <c r="CV1218" i="489"/>
  <c r="CJ1190" i="489"/>
  <c r="BX1200" i="489"/>
  <c r="BX1228" i="489"/>
  <c r="AN1190" i="489"/>
  <c r="AA1262" i="489"/>
  <c r="AA1218" i="489"/>
  <c r="O1206" i="489"/>
  <c r="ER1262" i="489"/>
  <c r="EG1190" i="489"/>
  <c r="DS1218" i="489"/>
  <c r="DG1206" i="489"/>
  <c r="CI1190" i="489"/>
  <c r="BK1206" i="489"/>
  <c r="AM1190" i="489"/>
  <c r="AM1218" i="489"/>
  <c r="Z1200" i="489"/>
  <c r="N1206" i="489"/>
  <c r="EF1190" i="489"/>
  <c r="DR1200" i="489"/>
  <c r="DF1206" i="489"/>
  <c r="CH1218" i="489"/>
  <c r="BJ1206" i="489"/>
  <c r="BJ1246" i="489"/>
  <c r="M1206" i="489"/>
  <c r="EE1190" i="489"/>
  <c r="EE1218" i="489"/>
  <c r="EE1256" i="489"/>
  <c r="DQ1200" i="489"/>
  <c r="DQ1228" i="489"/>
  <c r="DE1206" i="489"/>
  <c r="CG1262" i="489"/>
  <c r="BU1200" i="489"/>
  <c r="BU1228" i="489"/>
  <c r="BI1206" i="489"/>
  <c r="BI1218" i="489"/>
  <c r="BI1262" i="489"/>
  <c r="X1200" i="489"/>
  <c r="L1206" i="489"/>
  <c r="L1234" i="489"/>
  <c r="ED1262" i="489"/>
  <c r="DP1190" i="489"/>
  <c r="CR1206" i="489"/>
  <c r="BH1200" i="489"/>
  <c r="BH1190" i="489"/>
  <c r="BH1256" i="489"/>
  <c r="AV1206" i="489"/>
  <c r="K1228" i="489"/>
  <c r="K1256" i="489"/>
  <c r="EO1206" i="489"/>
  <c r="EO1234" i="489"/>
  <c r="EC1218" i="489"/>
  <c r="DO1234" i="489"/>
  <c r="DO1218" i="489"/>
  <c r="CE1246" i="489"/>
  <c r="BG1200" i="489"/>
  <c r="AI1246" i="489"/>
  <c r="J1234" i="489"/>
  <c r="EA1246" i="489"/>
  <c r="DB1200" i="489"/>
  <c r="BF1200" i="489"/>
  <c r="AH1218" i="489"/>
  <c r="BB1116" i="489"/>
  <c r="EI1066" i="489"/>
  <c r="DU1094" i="489"/>
  <c r="CK1144" i="489"/>
  <c r="CK1066" i="489"/>
  <c r="P1162" i="489"/>
  <c r="P1066" i="489"/>
  <c r="CG1078" i="489"/>
  <c r="X1116" i="489"/>
  <c r="CR1106" i="489"/>
  <c r="AV1150" i="489"/>
  <c r="BF1134" i="489"/>
  <c r="EX1218" i="489"/>
  <c r="DA1218" i="489"/>
  <c r="CO1200" i="489"/>
  <c r="AS1200" i="489"/>
  <c r="DW1218" i="489"/>
  <c r="AP1228" i="489"/>
  <c r="AP1218" i="489"/>
  <c r="ET1246" i="489"/>
  <c r="EI1218" i="489"/>
  <c r="CW1246" i="489"/>
  <c r="BM1234" i="489"/>
  <c r="BA1246" i="489"/>
  <c r="ES1246" i="489"/>
  <c r="DH1218" i="489"/>
  <c r="CJ1256" i="489"/>
  <c r="BL1234" i="489"/>
  <c r="AA1200" i="489"/>
  <c r="DS1200" i="489"/>
  <c r="BW1200" i="489"/>
  <c r="BW1218" i="489"/>
  <c r="BV1200" i="489"/>
  <c r="AL1190" i="489"/>
  <c r="BH1228" i="489"/>
  <c r="AV1256" i="489"/>
  <c r="K1190" i="489"/>
  <c r="BG1228" i="489"/>
  <c r="CD1246" i="489"/>
  <c r="EX1234" i="489"/>
  <c r="EM1190" i="489"/>
  <c r="EM1228" i="489"/>
  <c r="EM1246" i="489"/>
  <c r="DM1256" i="489"/>
  <c r="DM1246" i="489"/>
  <c r="DA1190" i="489"/>
  <c r="CO1262" i="489"/>
  <c r="BQ1256" i="489"/>
  <c r="BQ1246" i="489"/>
  <c r="BE1218" i="489"/>
  <c r="T1246" i="489"/>
  <c r="EL1200" i="489"/>
  <c r="DY1262" i="489"/>
  <c r="CN1200" i="489"/>
  <c r="BP1206" i="489"/>
  <c r="BP1256" i="489"/>
  <c r="AR1200" i="489"/>
  <c r="S1262" i="489"/>
  <c r="EK1200" i="489"/>
  <c r="DW1262" i="489"/>
  <c r="CY1190" i="489"/>
  <c r="CM1200" i="489"/>
  <c r="BC1190" i="489"/>
  <c r="AD1262" i="489"/>
  <c r="EU1190" i="489"/>
  <c r="EJ1200" i="489"/>
  <c r="DV1262" i="489"/>
  <c r="CX1190" i="489"/>
  <c r="CL1200" i="489"/>
  <c r="CL1228" i="489"/>
  <c r="BN1206" i="489"/>
  <c r="BB1190" i="489"/>
  <c r="AP1200" i="489"/>
  <c r="AC1234" i="489"/>
  <c r="DI1234" i="489"/>
  <c r="BA1262" i="489"/>
  <c r="ES1218" i="489"/>
  <c r="EH1228" i="489"/>
  <c r="EH1218" i="489"/>
  <c r="EH1256" i="489"/>
  <c r="CJ1228" i="489"/>
  <c r="BX1262" i="489"/>
  <c r="O1262" i="489"/>
  <c r="EG1256" i="489"/>
  <c r="DG1234" i="489"/>
  <c r="DG1262" i="489"/>
  <c r="CU1256" i="489"/>
  <c r="CI1228" i="489"/>
  <c r="AM1228" i="489"/>
  <c r="Z1234" i="489"/>
  <c r="EF1228" i="489"/>
  <c r="DR1234" i="489"/>
  <c r="DR1246" i="489"/>
  <c r="CH1190" i="489"/>
  <c r="CH1228" i="489"/>
  <c r="BV1234" i="489"/>
  <c r="BV1246" i="489"/>
  <c r="BJ1256" i="489"/>
  <c r="Y1234" i="489"/>
  <c r="EE1228" i="489"/>
  <c r="DQ1234" i="489"/>
  <c r="DE1262" i="489"/>
  <c r="CG1190" i="489"/>
  <c r="CG1228" i="489"/>
  <c r="BU1234" i="489"/>
  <c r="X1234" i="489"/>
  <c r="DD1234" i="489"/>
  <c r="DD1228" i="489"/>
  <c r="DD1262" i="489"/>
  <c r="CF1262" i="489"/>
  <c r="BH1234" i="489"/>
  <c r="K1234" i="489"/>
  <c r="DO1190" i="489"/>
  <c r="DO1256" i="489"/>
  <c r="CE1234" i="489"/>
  <c r="BG1190" i="489"/>
  <c r="AI1218" i="489"/>
  <c r="J1190" i="489"/>
  <c r="EA1218" i="489"/>
  <c r="DN1228" i="489"/>
  <c r="CP1206" i="489"/>
  <c r="CD1234" i="489"/>
  <c r="BF1190" i="489"/>
  <c r="EU1144" i="489"/>
  <c r="EJ1106" i="489"/>
  <c r="EJ1032" i="489"/>
  <c r="DV1050" i="489"/>
  <c r="CX1094" i="489"/>
  <c r="BZ1088" i="489"/>
  <c r="BB1134" i="489"/>
  <c r="AC1144" i="489"/>
  <c r="Q1088" i="489"/>
  <c r="BX1116" i="489"/>
  <c r="AM1122" i="489"/>
  <c r="DQ1050" i="489"/>
  <c r="DE1144" i="489"/>
  <c r="CS1162" i="489"/>
  <c r="CG1088" i="489"/>
  <c r="BU1078" i="489"/>
  <c r="BI1078" i="489"/>
  <c r="EX1228" i="489"/>
  <c r="DZ1206" i="489"/>
  <c r="DA1228" i="489"/>
  <c r="BE1228" i="489"/>
  <c r="AS1190" i="489"/>
  <c r="AG1262" i="489"/>
  <c r="T1218" i="489"/>
  <c r="EW1234" i="489"/>
  <c r="EL1190" i="489"/>
  <c r="EL1262" i="489"/>
  <c r="DL1246" i="489"/>
  <c r="CN1228" i="489"/>
  <c r="BP1246" i="489"/>
  <c r="BD1218" i="489"/>
  <c r="AR1190" i="489"/>
  <c r="S1246" i="489"/>
  <c r="EV1234" i="489"/>
  <c r="EK1190" i="489"/>
  <c r="EK1262" i="489"/>
  <c r="DK1246" i="489"/>
  <c r="CY1256" i="489"/>
  <c r="CA1234" i="489"/>
  <c r="BO1246" i="489"/>
  <c r="BC1256" i="489"/>
  <c r="AQ1262" i="489"/>
  <c r="R1206" i="489"/>
  <c r="R1246" i="489"/>
  <c r="EU1256" i="489"/>
  <c r="EJ1190" i="489"/>
  <c r="DJ1206" i="489"/>
  <c r="DJ1246" i="489"/>
  <c r="CX1256" i="489"/>
  <c r="CL1218" i="489"/>
  <c r="BZ1234" i="489"/>
  <c r="BB1256" i="489"/>
  <c r="Q1246" i="489"/>
  <c r="EI1200" i="489"/>
  <c r="DU1218" i="489"/>
  <c r="CW1190" i="489"/>
  <c r="CW1262" i="489"/>
  <c r="CK1200" i="489"/>
  <c r="BA1190" i="489"/>
  <c r="AO1256" i="489"/>
  <c r="AB1234" i="489"/>
  <c r="ES1190" i="489"/>
  <c r="ES1262" i="489"/>
  <c r="EH1200" i="489"/>
  <c r="DT1206" i="489"/>
  <c r="CV1190" i="489"/>
  <c r="AZ1218" i="489"/>
  <c r="AA1206" i="489"/>
  <c r="EG1200" i="489"/>
  <c r="EG1228" i="489"/>
  <c r="DS1206" i="489"/>
  <c r="DG1256" i="489"/>
  <c r="CU1190" i="489"/>
  <c r="CU1218" i="489"/>
  <c r="BW1206" i="489"/>
  <c r="AY1190" i="489"/>
  <c r="Z1206" i="489"/>
  <c r="N1256" i="489"/>
  <c r="EQ1190" i="489"/>
  <c r="EF1200" i="489"/>
  <c r="DR1206" i="489"/>
  <c r="CT1190" i="489"/>
  <c r="BV1206" i="489"/>
  <c r="BV1262" i="489"/>
  <c r="Y1206" i="489"/>
  <c r="DQ1206" i="489"/>
  <c r="CG1200" i="489"/>
  <c r="BU1206" i="489"/>
  <c r="BU1262" i="489"/>
  <c r="X1206" i="489"/>
  <c r="X1228" i="489"/>
  <c r="X1262" i="489"/>
  <c r="ED1190" i="489"/>
  <c r="DP1200" i="489"/>
  <c r="DD1206" i="489"/>
  <c r="BT1200" i="489"/>
  <c r="BH1206" i="489"/>
  <c r="BH1262" i="489"/>
  <c r="W1200" i="489"/>
  <c r="K1206" i="489"/>
  <c r="DO1200" i="489"/>
  <c r="DC1206" i="489"/>
  <c r="CE1218" i="489"/>
  <c r="BG1206" i="489"/>
  <c r="AI1234" i="489"/>
  <c r="V1234" i="489"/>
  <c r="EA1234" i="489"/>
  <c r="EA1262" i="489"/>
  <c r="DN1190" i="489"/>
  <c r="DN1262" i="489"/>
  <c r="AT1206" i="489"/>
  <c r="U1234" i="489"/>
  <c r="EX1200" i="489"/>
  <c r="EM1206" i="489"/>
  <c r="DA1200" i="489"/>
  <c r="BE1200" i="489"/>
  <c r="CM1228" i="489"/>
  <c r="CL1262" i="489"/>
  <c r="BM1246" i="489"/>
  <c r="AB1218" i="489"/>
  <c r="AZ1256" i="489"/>
  <c r="ER1190" i="489"/>
  <c r="AY1256" i="489"/>
  <c r="EQ1256" i="489"/>
  <c r="DR1262" i="489"/>
  <c r="M1218" i="489"/>
  <c r="AW1256" i="489"/>
  <c r="L1246" i="489"/>
  <c r="AJ1218" i="489"/>
  <c r="W1262" i="489"/>
  <c r="EC1256" i="489"/>
  <c r="EN1218" i="489"/>
  <c r="EN1246" i="489"/>
  <c r="EA1256" i="489"/>
  <c r="DB1256" i="489"/>
  <c r="CP1234" i="489"/>
  <c r="CP1246" i="489"/>
  <c r="BF1206" i="489"/>
  <c r="AT1246" i="489"/>
  <c r="AH1234" i="489"/>
  <c r="AA1134" i="489"/>
  <c r="ER1172" i="489"/>
  <c r="ER1094" i="489"/>
  <c r="ER1078" i="489"/>
  <c r="EG1078" i="489"/>
  <c r="DS1178" i="489"/>
  <c r="DS1134" i="489"/>
  <c r="DS1078" i="489"/>
  <c r="DG1094" i="489"/>
  <c r="DG1088" i="489"/>
  <c r="CU1050" i="489"/>
  <c r="CI1106" i="489"/>
  <c r="CI1066" i="489"/>
  <c r="BW1150" i="489"/>
  <c r="BW1066" i="489"/>
  <c r="BK1038" i="489"/>
  <c r="AM1172" i="489"/>
  <c r="AM1038" i="489"/>
  <c r="N1144" i="489"/>
  <c r="AX1038" i="489"/>
  <c r="EO1172" i="489"/>
  <c r="CE1172" i="489"/>
  <c r="BS1162" i="489"/>
  <c r="BG1088" i="489"/>
  <c r="U1038" i="489"/>
  <c r="EM1256" i="489"/>
  <c r="DZ1246" i="489"/>
  <c r="CC1246" i="489"/>
  <c r="AG1246" i="489"/>
  <c r="EL1206" i="489"/>
  <c r="BD1200" i="489"/>
  <c r="AR1262" i="489"/>
  <c r="AF1206" i="489"/>
  <c r="S1190" i="489"/>
  <c r="DK1190" i="489"/>
  <c r="CY1200" i="489"/>
  <c r="BO1190" i="489"/>
  <c r="BO1218" i="489"/>
  <c r="BC1200" i="489"/>
  <c r="BC1228" i="489"/>
  <c r="BC1218" i="489"/>
  <c r="AQ1234" i="489"/>
  <c r="R1190" i="489"/>
  <c r="EU1200" i="489"/>
  <c r="DV1206" i="489"/>
  <c r="DJ1190" i="489"/>
  <c r="CX1200" i="489"/>
  <c r="BB1200" i="489"/>
  <c r="BB1218" i="489"/>
  <c r="Q1190" i="489"/>
  <c r="ET1218" i="489"/>
  <c r="ET1256" i="489"/>
  <c r="EI1234" i="489"/>
  <c r="DU1234" i="489"/>
  <c r="CW1228" i="489"/>
  <c r="CK1228" i="489"/>
  <c r="BY1206" i="489"/>
  <c r="DT1234" i="489"/>
  <c r="CV1228" i="489"/>
  <c r="CJ1218" i="489"/>
  <c r="O1256" i="489"/>
  <c r="EG1218" i="489"/>
  <c r="DS1234" i="489"/>
  <c r="CU1228" i="489"/>
  <c r="BW1262" i="489"/>
  <c r="AY1228" i="489"/>
  <c r="AM1262" i="489"/>
  <c r="Z1256" i="489"/>
  <c r="DR1256" i="489"/>
  <c r="CH1234" i="489"/>
  <c r="BV1256" i="489"/>
  <c r="AL1234" i="489"/>
  <c r="EP1228" i="489"/>
  <c r="EE1262" i="489"/>
  <c r="CG1234" i="489"/>
  <c r="AW1228" i="489"/>
  <c r="AK1234" i="489"/>
  <c r="ED1228" i="489"/>
  <c r="ED1218" i="489"/>
  <c r="DP1234" i="489"/>
  <c r="BT1234" i="489"/>
  <c r="W1234" i="489"/>
  <c r="W1228" i="489"/>
  <c r="EC1228" i="489"/>
  <c r="DO1228" i="489"/>
  <c r="CE1256" i="489"/>
  <c r="BS1234" i="489"/>
  <c r="EN1256" i="489"/>
  <c r="DB1206" i="489"/>
  <c r="CD1228" i="489"/>
  <c r="CD1262" i="489"/>
  <c r="BR1234" i="489"/>
  <c r="BR1262" i="489"/>
  <c r="AT1218" i="489"/>
  <c r="BT1178" i="489"/>
  <c r="BH1106" i="489"/>
  <c r="AJ1150" i="489"/>
  <c r="W1122" i="489"/>
  <c r="EA1066" i="489"/>
  <c r="CD1066" i="489"/>
  <c r="AT1066" i="489"/>
  <c r="AH1162" i="489"/>
  <c r="DZ1218" i="489"/>
  <c r="DM1234" i="489"/>
  <c r="DM1228" i="489"/>
  <c r="DA1234" i="489"/>
  <c r="CO1206" i="489"/>
  <c r="CC1218" i="489"/>
  <c r="BQ1228" i="489"/>
  <c r="BE1190" i="489"/>
  <c r="T1228" i="489"/>
  <c r="DY1246" i="489"/>
  <c r="CB1206" i="489"/>
  <c r="BP1218" i="489"/>
  <c r="BD1190" i="489"/>
  <c r="S1256" i="489"/>
  <c r="EK1206" i="489"/>
  <c r="DW1246" i="489"/>
  <c r="DK1256" i="489"/>
  <c r="CA1206" i="489"/>
  <c r="CA1246" i="489"/>
  <c r="BO1256" i="489"/>
  <c r="AD1246" i="489"/>
  <c r="R1256" i="489"/>
  <c r="EU1234" i="489"/>
  <c r="EU1218" i="489"/>
  <c r="DV1246" i="489"/>
  <c r="DJ1256" i="489"/>
  <c r="BZ1206" i="489"/>
  <c r="BZ1246" i="489"/>
  <c r="AP1234" i="489"/>
  <c r="AC1246" i="489"/>
  <c r="ET1200" i="489"/>
  <c r="ET1228" i="489"/>
  <c r="DI1190" i="489"/>
  <c r="CW1200" i="489"/>
  <c r="CW1256" i="489"/>
  <c r="BA1200" i="489"/>
  <c r="AO1234" i="489"/>
  <c r="P1190" i="489"/>
  <c r="ES1200" i="489"/>
  <c r="DH1190" i="489"/>
  <c r="DH1256" i="489"/>
  <c r="AZ1200" i="489"/>
  <c r="O1190" i="489"/>
  <c r="ER1200" i="489"/>
  <c r="DG1190" i="489"/>
  <c r="CI1206" i="489"/>
  <c r="BK1190" i="489"/>
  <c r="AY1200" i="489"/>
  <c r="AM1206" i="489"/>
  <c r="N1218" i="489"/>
  <c r="EQ1228" i="489"/>
  <c r="EF1206" i="489"/>
  <c r="CH1206" i="489"/>
  <c r="CH1246" i="489"/>
  <c r="BJ1218" i="489"/>
  <c r="AL1206" i="489"/>
  <c r="EP1200" i="489"/>
  <c r="EE1206" i="489"/>
  <c r="DE1190" i="489"/>
  <c r="CG1206" i="489"/>
  <c r="AW1200" i="489"/>
  <c r="AK1206" i="489"/>
  <c r="ED1200" i="489"/>
  <c r="DP1206" i="489"/>
  <c r="DP1218" i="489"/>
  <c r="BT1206" i="489"/>
  <c r="BT1262" i="489"/>
  <c r="AV1218" i="489"/>
  <c r="AJ1200" i="489"/>
  <c r="W1206" i="489"/>
  <c r="EO1218" i="489"/>
  <c r="EC1200" i="489"/>
  <c r="DO1206" i="489"/>
  <c r="CE1200" i="489"/>
  <c r="BS1206" i="489"/>
  <c r="BG1262" i="489"/>
  <c r="AU1234" i="489"/>
  <c r="AI1200" i="489"/>
  <c r="AI1190" i="489"/>
  <c r="V1262" i="489"/>
  <c r="EA1200" i="489"/>
  <c r="EA1190" i="489"/>
  <c r="CD1200" i="489"/>
  <c r="CD1256" i="489"/>
  <c r="U1262" i="489"/>
  <c r="AO1078" i="489"/>
  <c r="AB1144" i="489"/>
  <c r="AB1078" i="489"/>
  <c r="P1106" i="489"/>
  <c r="CG1066" i="489"/>
  <c r="BT1038" i="489"/>
  <c r="W1094" i="489"/>
  <c r="K1106" i="489"/>
  <c r="AH1150" i="489"/>
  <c r="DM1218" i="489"/>
  <c r="DA1262" i="489"/>
  <c r="BQ1200" i="489"/>
  <c r="BQ1190" i="489"/>
  <c r="BE1262" i="489"/>
  <c r="T1200" i="489"/>
  <c r="DL1234" i="489"/>
  <c r="DL1218" i="489"/>
  <c r="DL1256" i="489"/>
  <c r="CN1206" i="489"/>
  <c r="CB1234" i="489"/>
  <c r="BP1228" i="489"/>
  <c r="BD1234" i="489"/>
  <c r="AR1256" i="489"/>
  <c r="EK1256" i="489"/>
  <c r="CM1206" i="489"/>
  <c r="CM1234" i="489"/>
  <c r="BO1228" i="489"/>
  <c r="BC1234" i="489"/>
  <c r="R1228" i="489"/>
  <c r="EJ1206" i="489"/>
  <c r="EJ1256" i="489"/>
  <c r="CX1262" i="489"/>
  <c r="CL1206" i="489"/>
  <c r="CL1234" i="489"/>
  <c r="BN1228" i="489"/>
  <c r="BB1234" i="489"/>
  <c r="DU1246" i="489"/>
  <c r="BY1256" i="489"/>
  <c r="BY1246" i="489"/>
  <c r="BM1262" i="489"/>
  <c r="BA1256" i="489"/>
  <c r="AB1246" i="489"/>
  <c r="P1262" i="489"/>
  <c r="ES1228" i="489"/>
  <c r="EH1234" i="489"/>
  <c r="EH1262" i="489"/>
  <c r="DT1246" i="489"/>
  <c r="CV1200" i="489"/>
  <c r="CJ1206" i="489"/>
  <c r="CJ1234" i="489"/>
  <c r="BX1218" i="489"/>
  <c r="BX1246" i="489"/>
  <c r="BL1190" i="489"/>
  <c r="BL1218" i="489"/>
  <c r="BL1256" i="489"/>
  <c r="AN1206" i="489"/>
  <c r="AN1234" i="489"/>
  <c r="AN1262" i="489"/>
  <c r="AA1246" i="489"/>
  <c r="ER1228" i="489"/>
  <c r="EG1234" i="489"/>
  <c r="DS1246" i="489"/>
  <c r="CI1234" i="489"/>
  <c r="BW1246" i="489"/>
  <c r="AY1218" i="489"/>
  <c r="AM1234" i="489"/>
  <c r="N1190" i="489"/>
  <c r="EQ1200" i="489"/>
  <c r="EQ1262" i="489"/>
  <c r="EF1234" i="489"/>
  <c r="EF1218" i="489"/>
  <c r="CT1200" i="489"/>
  <c r="CT1246" i="489"/>
  <c r="CH1262" i="489"/>
  <c r="M1190" i="489"/>
  <c r="M1256" i="489"/>
  <c r="EP1246" i="489"/>
  <c r="DQ1246" i="489"/>
  <c r="DE1256" i="489"/>
  <c r="BU1246" i="489"/>
  <c r="BI1256" i="489"/>
  <c r="CR1190" i="489"/>
  <c r="BH1246" i="489"/>
  <c r="AJ1228" i="489"/>
  <c r="K1246" i="489"/>
  <c r="EO1256" i="489"/>
  <c r="EC1262" i="489"/>
  <c r="CE1190" i="489"/>
  <c r="BG1246" i="489"/>
  <c r="AI1228" i="489"/>
  <c r="AI1262" i="489"/>
  <c r="V1206" i="489"/>
  <c r="EN1190" i="489"/>
  <c r="CD1190" i="489"/>
  <c r="BF1234" i="489"/>
  <c r="BF1246" i="489"/>
  <c r="AT1234" i="489"/>
  <c r="AH1190" i="489"/>
  <c r="AH1262" i="489"/>
  <c r="U1206" i="489"/>
  <c r="Y1094" i="489"/>
  <c r="EN1116" i="489"/>
  <c r="CD1134" i="489"/>
  <c r="BF1122" i="489"/>
  <c r="DZ1234" i="489"/>
  <c r="DM1190" i="489"/>
  <c r="CO1246" i="489"/>
  <c r="CC1256" i="489"/>
  <c r="AS1206" i="489"/>
  <c r="AS1256" i="489"/>
  <c r="AS1246" i="489"/>
  <c r="AG1256" i="489"/>
  <c r="T1190" i="489"/>
  <c r="DL1200" i="489"/>
  <c r="BP1200" i="489"/>
  <c r="BP1190" i="489"/>
  <c r="S1200" i="489"/>
  <c r="S1228" i="489"/>
  <c r="DW1190" i="489"/>
  <c r="DK1200" i="489"/>
  <c r="CY1234" i="489"/>
  <c r="CA1190" i="489"/>
  <c r="BO1200" i="489"/>
  <c r="BC1262" i="489"/>
  <c r="AQ1206" i="489"/>
  <c r="AD1190" i="489"/>
  <c r="R1200" i="489"/>
  <c r="DV1190" i="489"/>
  <c r="DJ1200" i="489"/>
  <c r="DJ1218" i="489"/>
  <c r="BN1200" i="489"/>
  <c r="BB1262" i="489"/>
  <c r="AP1206" i="489"/>
  <c r="AC1262" i="489"/>
  <c r="Q1200" i="489"/>
  <c r="Q1228" i="489"/>
  <c r="ET1262" i="489"/>
  <c r="EI1206" i="489"/>
  <c r="CK1206" i="489"/>
  <c r="CK1234" i="489"/>
  <c r="BY1218" i="489"/>
  <c r="AO1206" i="489"/>
  <c r="P1228" i="489"/>
  <c r="DH1228" i="489"/>
  <c r="CJ1262" i="489"/>
  <c r="BL1228" i="489"/>
  <c r="AZ1228" i="489"/>
  <c r="O1228" i="489"/>
  <c r="EG1206" i="489"/>
  <c r="DG1228" i="489"/>
  <c r="DG1218" i="489"/>
  <c r="CU1200" i="489"/>
  <c r="CU1262" i="489"/>
  <c r="N1228" i="489"/>
  <c r="EQ1218" i="489"/>
  <c r="CT1234" i="489"/>
  <c r="CH1256" i="489"/>
  <c r="BJ1190" i="489"/>
  <c r="BJ1228" i="489"/>
  <c r="AX1246" i="489"/>
  <c r="AL1262" i="489"/>
  <c r="M1262" i="489"/>
  <c r="EP1262" i="489"/>
  <c r="EE1234" i="489"/>
  <c r="DQ1262" i="489"/>
  <c r="CS1262" i="489"/>
  <c r="CG1218" i="489"/>
  <c r="BI1228" i="489"/>
  <c r="AW1234" i="489"/>
  <c r="AK1262" i="489"/>
  <c r="X1256" i="489"/>
  <c r="ED1234" i="489"/>
  <c r="ED1246" i="489"/>
  <c r="CR1228" i="489"/>
  <c r="CF1234" i="489"/>
  <c r="BT1256" i="489"/>
  <c r="AV1190" i="489"/>
  <c r="AJ1234" i="489"/>
  <c r="EO1190" i="489"/>
  <c r="EC1234" i="489"/>
  <c r="CE1228" i="489"/>
  <c r="DB1218" i="489"/>
  <c r="CP1228" i="489"/>
  <c r="CP1218" i="489"/>
  <c r="BR1206" i="489"/>
  <c r="BF1218" i="489"/>
  <c r="EU1134" i="489"/>
  <c r="EU1038" i="489"/>
  <c r="DV1038" i="489"/>
  <c r="DJ1022" i="489"/>
  <c r="CL1078" i="489"/>
  <c r="BN1038" i="489"/>
  <c r="AP1172" i="489"/>
  <c r="Q1022" i="489"/>
  <c r="DH1178" i="489"/>
  <c r="CI1134" i="489"/>
  <c r="Z1122" i="489"/>
  <c r="DQ1172" i="489"/>
  <c r="BU1066" i="489"/>
  <c r="BI1066" i="489"/>
  <c r="AW1050" i="489"/>
  <c r="AK1150" i="489"/>
  <c r="AK1122" i="489"/>
  <c r="X1178" i="489"/>
  <c r="L1088" i="489"/>
  <c r="L1106" i="489"/>
  <c r="EX1206" i="489"/>
  <c r="EX1256" i="489"/>
  <c r="EM1218" i="489"/>
  <c r="DZ1228" i="489"/>
  <c r="CC1228" i="489"/>
  <c r="BQ1234" i="489"/>
  <c r="BE1206" i="489"/>
  <c r="AG1228" i="489"/>
  <c r="EL1246" i="489"/>
  <c r="DY1234" i="489"/>
  <c r="DY1256" i="489"/>
  <c r="DL1190" i="489"/>
  <c r="CN1234" i="489"/>
  <c r="CN1256" i="489"/>
  <c r="CB1262" i="489"/>
  <c r="AR1206" i="489"/>
  <c r="AR1246" i="489"/>
  <c r="S1218" i="489"/>
  <c r="EK1246" i="489"/>
  <c r="DW1256" i="489"/>
  <c r="DK1228" i="489"/>
  <c r="DK1218" i="489"/>
  <c r="CM1246" i="489"/>
  <c r="BO1262" i="489"/>
  <c r="AD1256" i="489"/>
  <c r="R1218" i="489"/>
  <c r="EJ1246" i="489"/>
  <c r="DJ1228" i="489"/>
  <c r="CX1234" i="489"/>
  <c r="BZ1256" i="489"/>
  <c r="BN1218" i="489"/>
  <c r="AP1246" i="489"/>
  <c r="Q1256" i="489"/>
  <c r="EI1262" i="489"/>
  <c r="DU1190" i="489"/>
  <c r="DI1200" i="489"/>
  <c r="CK1218" i="489"/>
  <c r="BA1234" i="489"/>
  <c r="BA1228" i="489"/>
  <c r="AB1190" i="489"/>
  <c r="EH1206" i="489"/>
  <c r="DT1190" i="489"/>
  <c r="DT1218" i="489"/>
  <c r="DH1200" i="489"/>
  <c r="CV1206" i="489"/>
  <c r="CV1262" i="489"/>
  <c r="BX1256" i="489"/>
  <c r="BL1200" i="489"/>
  <c r="BL1262" i="489"/>
  <c r="AZ1206" i="489"/>
  <c r="AZ1234" i="489"/>
  <c r="AZ1262" i="489"/>
  <c r="AA1190" i="489"/>
  <c r="ER1206" i="489"/>
  <c r="EG1246" i="489"/>
  <c r="DS1190" i="489"/>
  <c r="CU1206" i="489"/>
  <c r="CI1262" i="489"/>
  <c r="AY1206" i="489"/>
  <c r="AY1234" i="489"/>
  <c r="N1200" i="489"/>
  <c r="EQ1206" i="489"/>
  <c r="DR1190" i="489"/>
  <c r="DR1218" i="489"/>
  <c r="CT1206" i="489"/>
  <c r="AX1206" i="489"/>
  <c r="AX1262" i="489"/>
  <c r="M1228" i="489"/>
  <c r="EP1206" i="489"/>
  <c r="DQ1190" i="489"/>
  <c r="DQ1218" i="489"/>
  <c r="CS1206" i="489"/>
  <c r="BI1200" i="489"/>
  <c r="BI1190" i="489"/>
  <c r="AW1206" i="489"/>
  <c r="L1200" i="489"/>
  <c r="ED1206" i="489"/>
  <c r="DD1190" i="489"/>
  <c r="CR1200" i="489"/>
  <c r="CR1218" i="489"/>
  <c r="CF1206" i="489"/>
  <c r="AV1200" i="489"/>
  <c r="AJ1206" i="489"/>
  <c r="AJ1262" i="489"/>
  <c r="W1246" i="489"/>
  <c r="K1218" i="489"/>
  <c r="EO1200" i="489"/>
  <c r="EO1228" i="489"/>
  <c r="EC1206" i="489"/>
  <c r="DO1246" i="489"/>
  <c r="CQ1190" i="489"/>
  <c r="CE1206" i="489"/>
  <c r="CE1262" i="489"/>
  <c r="BG1218" i="489"/>
  <c r="AI1206" i="489"/>
  <c r="EN1200" i="489"/>
  <c r="EA1206" i="489"/>
  <c r="EA1228" i="489"/>
  <c r="DN1218" i="489"/>
  <c r="DB1190" i="489"/>
  <c r="CP1200" i="489"/>
  <c r="CP1190" i="489"/>
  <c r="CP1256" i="489"/>
  <c r="CD1206" i="489"/>
  <c r="BF1256" i="489"/>
  <c r="EU1150" i="489"/>
  <c r="EF1116" i="489"/>
  <c r="DR1150" i="489"/>
  <c r="BV1178" i="489"/>
  <c r="BV1050" i="489"/>
  <c r="BJ1022" i="489"/>
  <c r="M1178" i="489"/>
  <c r="DQ1150" i="489"/>
  <c r="X1094" i="489"/>
  <c r="L1150" i="489"/>
  <c r="BH1088" i="489"/>
  <c r="DO1106" i="489"/>
  <c r="CQ1106" i="489"/>
  <c r="EM1262" i="489"/>
  <c r="DZ1200" i="489"/>
  <c r="DZ1262" i="489"/>
  <c r="DZ1256" i="489"/>
  <c r="DA1206" i="489"/>
  <c r="CO1256" i="489"/>
  <c r="CC1200" i="489"/>
  <c r="CC1262" i="489"/>
  <c r="AS1218" i="489"/>
  <c r="AG1200" i="489"/>
  <c r="T1234" i="489"/>
  <c r="T1262" i="489"/>
  <c r="DY1228" i="489"/>
  <c r="CB1256" i="489"/>
  <c r="BP1234" i="489"/>
  <c r="BD1206" i="489"/>
  <c r="BD1256" i="489"/>
  <c r="EK1218" i="489"/>
  <c r="DW1228" i="489"/>
  <c r="CY1206" i="489"/>
  <c r="CA1228" i="489"/>
  <c r="CA1218" i="489"/>
  <c r="EJ1218" i="489"/>
  <c r="DV1228" i="489"/>
  <c r="BZ1190" i="489"/>
  <c r="BZ1228" i="489"/>
  <c r="BZ1218" i="489"/>
  <c r="AC1256" i="489"/>
  <c r="Q1262" i="489"/>
  <c r="EI1246" i="489"/>
  <c r="CW1206" i="489"/>
  <c r="CK1246" i="489"/>
  <c r="BY1190" i="489"/>
  <c r="BY1262" i="489"/>
  <c r="BA1206" i="489"/>
  <c r="AO1246" i="489"/>
  <c r="AB1256" i="489"/>
  <c r="EH1246" i="489"/>
  <c r="DT1256" i="489"/>
  <c r="CV1234" i="489"/>
  <c r="CJ1246" i="489"/>
  <c r="AA1256" i="489"/>
  <c r="O1200" i="489"/>
  <c r="O1218" i="489"/>
  <c r="DS1256" i="489"/>
  <c r="DG1200" i="489"/>
  <c r="CI1256" i="489"/>
  <c r="CI1246" i="489"/>
  <c r="BW1256" i="489"/>
  <c r="BK1200" i="489"/>
  <c r="BK1262" i="489"/>
  <c r="AM1256" i="489"/>
  <c r="AM1246" i="489"/>
  <c r="N1262" i="489"/>
  <c r="EF1246" i="489"/>
  <c r="DF1262" i="489"/>
  <c r="BV1218" i="489"/>
  <c r="BJ1200" i="489"/>
  <c r="BJ1262" i="489"/>
  <c r="Y1262" i="489"/>
  <c r="EE1246" i="489"/>
  <c r="DQ1256" i="489"/>
  <c r="BU1256" i="489"/>
  <c r="AW1262" i="489"/>
  <c r="DP1246" i="489"/>
  <c r="BT1246" i="489"/>
  <c r="AV1228" i="489"/>
  <c r="AV1262" i="489"/>
  <c r="K1262" i="489"/>
  <c r="EO1262" i="489"/>
  <c r="DC1262" i="489"/>
  <c r="BG1256" i="489"/>
  <c r="AU1190" i="489"/>
  <c r="EN1228" i="489"/>
  <c r="EN1262" i="489"/>
  <c r="DN1246" i="489"/>
  <c r="CP1262" i="489"/>
  <c r="AT1262" i="489"/>
  <c r="AH1206" i="489"/>
  <c r="BT1010" i="489"/>
  <c r="L1004" i="489"/>
  <c r="AM1004" i="489"/>
  <c r="Q1010" i="489"/>
  <c r="EO994" i="489"/>
  <c r="AC1010" i="489"/>
  <c r="BF1010" i="489"/>
  <c r="AT994" i="489"/>
  <c r="AN1010" i="489"/>
  <c r="EN1010" i="489"/>
  <c r="EU994" i="489"/>
  <c r="ES994" i="489"/>
  <c r="EA1004" i="489"/>
  <c r="CL994" i="489"/>
  <c r="BJ1010" i="489"/>
  <c r="AX994" i="489"/>
  <c r="W1004" i="489"/>
  <c r="O994" i="489"/>
  <c r="M1010" i="489"/>
  <c r="X1010" i="489"/>
  <c r="CE1010" i="489"/>
  <c r="R1004" i="489"/>
  <c r="CG1004" i="489"/>
  <c r="EK1010" i="489"/>
  <c r="AS1010" i="489"/>
  <c r="DA1010" i="489"/>
  <c r="CI1010" i="489"/>
  <c r="N994" i="489"/>
  <c r="BQ994" i="489"/>
  <c r="DW994" i="489"/>
  <c r="ER1010" i="489"/>
  <c r="T994" i="489"/>
  <c r="P1010" i="489"/>
  <c r="BG994" i="489"/>
  <c r="P994" i="489"/>
  <c r="J1010" i="489"/>
  <c r="EX1150" i="489"/>
  <c r="EX1134" i="489"/>
  <c r="EX1088" i="489"/>
  <c r="DZ1038" i="489"/>
  <c r="DM1022" i="489"/>
  <c r="CO1032" i="489"/>
  <c r="CC1150" i="489"/>
  <c r="CC1106" i="489"/>
  <c r="CC1010" i="489"/>
  <c r="BQ1066" i="489"/>
  <c r="BQ1038" i="489"/>
  <c r="BE1032" i="489"/>
  <c r="AG1116" i="489"/>
  <c r="AG1032" i="489"/>
  <c r="T1178" i="489"/>
  <c r="T1106" i="489"/>
  <c r="T1032" i="489"/>
  <c r="EL1050" i="489"/>
  <c r="BP1162" i="489"/>
  <c r="BD1134" i="489"/>
  <c r="AR1150" i="489"/>
  <c r="AR1060" i="489"/>
  <c r="AF1094" i="489"/>
  <c r="EK1162" i="489"/>
  <c r="EK1022" i="489"/>
  <c r="EK1050" i="489"/>
  <c r="DW1038" i="489"/>
  <c r="DK1106" i="489"/>
  <c r="CY1066" i="489"/>
  <c r="CY1032" i="489"/>
  <c r="CM1106" i="489"/>
  <c r="CA1122" i="489"/>
  <c r="CA1060" i="489"/>
  <c r="CA1094" i="489"/>
  <c r="BO1010" i="489"/>
  <c r="BC1022" i="489"/>
  <c r="AD1088" i="489"/>
  <c r="EU1088" i="489"/>
  <c r="EJ1122" i="489"/>
  <c r="EJ1116" i="489"/>
  <c r="EJ1066" i="489"/>
  <c r="CX1172" i="489"/>
  <c r="BB1122" i="489"/>
  <c r="BB1162" i="489"/>
  <c r="AP1178" i="489"/>
  <c r="AP1078" i="489"/>
  <c r="AC1060" i="489"/>
  <c r="Q1178" i="489"/>
  <c r="Q1038" i="489"/>
  <c r="ET1066" i="489"/>
  <c r="ET1106" i="489"/>
  <c r="ET1060" i="489"/>
  <c r="EI1134" i="489"/>
  <c r="DU1178" i="489"/>
  <c r="DU1038" i="489"/>
  <c r="DU1078" i="489"/>
  <c r="CW1032" i="489"/>
  <c r="CK1172" i="489"/>
  <c r="BY1010" i="489"/>
  <c r="BM1150" i="489"/>
  <c r="BM1038" i="489"/>
  <c r="AO1150" i="489"/>
  <c r="AO1134" i="489"/>
  <c r="AO1094" i="489"/>
  <c r="P1116" i="489"/>
  <c r="ES1134" i="489"/>
  <c r="ES1162" i="489"/>
  <c r="ES1032" i="489"/>
  <c r="DH1162" i="489"/>
  <c r="CJ1134" i="489"/>
  <c r="CJ1050" i="489"/>
  <c r="BX1162" i="489"/>
  <c r="BX1078" i="489"/>
  <c r="AZ1094" i="489"/>
  <c r="AZ1038" i="489"/>
  <c r="AA1150" i="489"/>
  <c r="O1116" i="489"/>
  <c r="EG1172" i="489"/>
  <c r="EG1050" i="489"/>
  <c r="DS1150" i="489"/>
  <c r="DG1172" i="489"/>
  <c r="CU1066" i="489"/>
  <c r="CU1094" i="489"/>
  <c r="CI1122" i="489"/>
  <c r="BW1122" i="489"/>
  <c r="BW1022" i="489"/>
  <c r="BK1094" i="489"/>
  <c r="AY1162" i="489"/>
  <c r="AM1144" i="489"/>
  <c r="AM1050" i="489"/>
  <c r="Z1172" i="489"/>
  <c r="Z1144" i="489"/>
  <c r="Z1060" i="489"/>
  <c r="Z994" i="489"/>
  <c r="EQ1178" i="489"/>
  <c r="EQ1134" i="489"/>
  <c r="EQ1066" i="489"/>
  <c r="EQ1094" i="489"/>
  <c r="EQ1088" i="489"/>
  <c r="EF1144" i="489"/>
  <c r="CT1122" i="489"/>
  <c r="CT1078" i="489"/>
  <c r="CH1038" i="489"/>
  <c r="BV1078" i="489"/>
  <c r="BJ1116" i="489"/>
  <c r="BJ1032" i="489"/>
  <c r="AL1178" i="489"/>
  <c r="AL1032" i="489"/>
  <c r="Y1106" i="489"/>
  <c r="EP1116" i="489"/>
  <c r="EE1038" i="489"/>
  <c r="DQ1038" i="489"/>
  <c r="CG1022" i="489"/>
  <c r="BU1094" i="489"/>
  <c r="BI1134" i="489"/>
  <c r="BI1094" i="489"/>
  <c r="BI994" i="489"/>
  <c r="AW1122" i="489"/>
  <c r="AK1178" i="489"/>
  <c r="L1178" i="489"/>
  <c r="L1022" i="489"/>
  <c r="ED1106" i="489"/>
  <c r="ED1038" i="489"/>
  <c r="CR1094" i="489"/>
  <c r="CR1038" i="489"/>
  <c r="BT1088" i="489"/>
  <c r="BH1116" i="489"/>
  <c r="AV1050" i="489"/>
  <c r="AJ1122" i="489"/>
  <c r="AJ1060" i="489"/>
  <c r="K1150" i="489"/>
  <c r="K1144" i="489"/>
  <c r="K1022" i="489"/>
  <c r="K994" i="489"/>
  <c r="EO1038" i="489"/>
  <c r="EC1172" i="489"/>
  <c r="EC1066" i="489"/>
  <c r="DO1032" i="489"/>
  <c r="CQ1038" i="489"/>
  <c r="CE1116" i="489"/>
  <c r="BG1172" i="489"/>
  <c r="BG1162" i="489"/>
  <c r="BG1094" i="489"/>
  <c r="AU1134" i="489"/>
  <c r="AU1106" i="489"/>
  <c r="V1066" i="489"/>
  <c r="EN1172" i="489"/>
  <c r="EN1094" i="489"/>
  <c r="EN1032" i="489"/>
  <c r="DN1162" i="489"/>
  <c r="DN1060" i="489"/>
  <c r="DN1022" i="489"/>
  <c r="DB1172" i="489"/>
  <c r="CP1150" i="489"/>
  <c r="CP1032" i="489"/>
  <c r="CD1060" i="489"/>
  <c r="BF1106" i="489"/>
  <c r="AT1122" i="489"/>
  <c r="AT1106" i="489"/>
  <c r="DP1004" i="489"/>
  <c r="DD994" i="489"/>
  <c r="CV1004" i="489"/>
  <c r="CJ1004" i="489"/>
  <c r="BP1010" i="489"/>
  <c r="K1004" i="489"/>
  <c r="CG1010" i="489"/>
  <c r="EK1004" i="489"/>
  <c r="EX1010" i="489"/>
  <c r="CU994" i="489"/>
  <c r="CC1004" i="489"/>
  <c r="CI994" i="489"/>
  <c r="DO994" i="489"/>
  <c r="EX1094" i="489"/>
  <c r="EM1178" i="489"/>
  <c r="EM1094" i="489"/>
  <c r="EM1144" i="489"/>
  <c r="DZ1078" i="489"/>
  <c r="DM1162" i="489"/>
  <c r="DM1144" i="489"/>
  <c r="DM1106" i="489"/>
  <c r="DA1162" i="489"/>
  <c r="CO1178" i="489"/>
  <c r="CO1050" i="489"/>
  <c r="CC1094" i="489"/>
  <c r="BQ1178" i="489"/>
  <c r="BQ1144" i="489"/>
  <c r="BE1162" i="489"/>
  <c r="BE1078" i="489"/>
  <c r="AS1178" i="489"/>
  <c r="AS1134" i="489"/>
  <c r="AG1162" i="489"/>
  <c r="T1172" i="489"/>
  <c r="T1066" i="489"/>
  <c r="T1078" i="489"/>
  <c r="EL1172" i="489"/>
  <c r="EL1060" i="489"/>
  <c r="EL1022" i="489"/>
  <c r="DY1162" i="489"/>
  <c r="BP1150" i="489"/>
  <c r="BP1106" i="489"/>
  <c r="BD1122" i="489"/>
  <c r="BD1066" i="489"/>
  <c r="BD1078" i="489"/>
  <c r="S1162" i="489"/>
  <c r="S1178" i="489"/>
  <c r="EK1150" i="489"/>
  <c r="EK1094" i="489"/>
  <c r="DW1144" i="489"/>
  <c r="DW1022" i="489"/>
  <c r="DK1162" i="489"/>
  <c r="DK1078" i="489"/>
  <c r="BO1144" i="489"/>
  <c r="BO1032" i="489"/>
  <c r="BC1066" i="489"/>
  <c r="AQ1106" i="489"/>
  <c r="AD1162" i="489"/>
  <c r="AD1122" i="489"/>
  <c r="AD1066" i="489"/>
  <c r="AD1078" i="489"/>
  <c r="EU1094" i="489"/>
  <c r="DJ1150" i="489"/>
  <c r="DJ1088" i="489"/>
  <c r="CX1122" i="489"/>
  <c r="AP1144" i="489"/>
  <c r="AP1106" i="489"/>
  <c r="Q1172" i="489"/>
  <c r="ET1178" i="489"/>
  <c r="ET1116" i="489"/>
  <c r="ET1134" i="489"/>
  <c r="DU1172" i="489"/>
  <c r="CK1088" i="489"/>
  <c r="CK1032" i="489"/>
  <c r="BY1116" i="489"/>
  <c r="BY1094" i="489"/>
  <c r="BM1178" i="489"/>
  <c r="BM1094" i="489"/>
  <c r="BA1106" i="489"/>
  <c r="AB1060" i="489"/>
  <c r="ES1116" i="489"/>
  <c r="ES1150" i="489"/>
  <c r="DT1144" i="489"/>
  <c r="DH1150" i="489"/>
  <c r="DH1144" i="489"/>
  <c r="DH1038" i="489"/>
  <c r="DH1088" i="489"/>
  <c r="CJ1162" i="489"/>
  <c r="BL1032" i="489"/>
  <c r="BL1022" i="489"/>
  <c r="AZ1144" i="489"/>
  <c r="AZ1060" i="489"/>
  <c r="AN1094" i="489"/>
  <c r="AA1144" i="489"/>
  <c r="AA1088" i="489"/>
  <c r="ER1162" i="489"/>
  <c r="ER1178" i="489"/>
  <c r="ER1066" i="489"/>
  <c r="ER1004" i="489"/>
  <c r="EG1022" i="489"/>
  <c r="DS1144" i="489"/>
  <c r="DG1116" i="489"/>
  <c r="BW1032" i="489"/>
  <c r="BW1038" i="489"/>
  <c r="AY1150" i="489"/>
  <c r="AY1078" i="489"/>
  <c r="AY1088" i="489"/>
  <c r="AY1032" i="489"/>
  <c r="AY1022" i="489"/>
  <c r="Z1066" i="489"/>
  <c r="N1094" i="489"/>
  <c r="EQ1172" i="489"/>
  <c r="EF1066" i="489"/>
  <c r="CT1178" i="489"/>
  <c r="BV1144" i="489"/>
  <c r="BV1172" i="489"/>
  <c r="BV1088" i="489"/>
  <c r="BJ1178" i="489"/>
  <c r="BJ1060" i="489"/>
  <c r="AX1134" i="489"/>
  <c r="M1116" i="489"/>
  <c r="EP1178" i="489"/>
  <c r="EP1032" i="489"/>
  <c r="EE1178" i="489"/>
  <c r="EE1094" i="489"/>
  <c r="EE1022" i="489"/>
  <c r="DQ1032" i="489"/>
  <c r="DE1078" i="489"/>
  <c r="BI1038" i="489"/>
  <c r="AW1162" i="489"/>
  <c r="AW1078" i="489"/>
  <c r="X1078" i="489"/>
  <c r="L1172" i="489"/>
  <c r="L1134" i="489"/>
  <c r="ED1094" i="489"/>
  <c r="ED1050" i="489"/>
  <c r="DP1088" i="489"/>
  <c r="DP1066" i="489"/>
  <c r="CR1134" i="489"/>
  <c r="CR1022" i="489"/>
  <c r="BT1050" i="489"/>
  <c r="BH1032" i="489"/>
  <c r="AV1144" i="489"/>
  <c r="AV1106" i="489"/>
  <c r="AJ1094" i="489"/>
  <c r="W1134" i="489"/>
  <c r="W1078" i="489"/>
  <c r="EO1116" i="489"/>
  <c r="EO1032" i="489"/>
  <c r="DO1134" i="489"/>
  <c r="CQ1162" i="489"/>
  <c r="CQ1022" i="489"/>
  <c r="CE1032" i="489"/>
  <c r="BG1150" i="489"/>
  <c r="BG1032" i="489"/>
  <c r="AU1038" i="489"/>
  <c r="J1178" i="489"/>
  <c r="EN1134" i="489"/>
  <c r="EN1106" i="489"/>
  <c r="EA1106" i="489"/>
  <c r="DN1144" i="489"/>
  <c r="CD1172" i="489"/>
  <c r="BF1172" i="489"/>
  <c r="CK1004" i="489"/>
  <c r="AV1010" i="489"/>
  <c r="CT994" i="489"/>
  <c r="DO1004" i="489"/>
  <c r="BF994" i="489"/>
  <c r="DI1010" i="489"/>
  <c r="AX1010" i="489"/>
  <c r="AJ994" i="489"/>
  <c r="EU1010" i="489"/>
  <c r="ES1010" i="489"/>
  <c r="CJ994" i="489"/>
  <c r="CH1004" i="489"/>
  <c r="BZ1004" i="489"/>
  <c r="BL1010" i="489"/>
  <c r="AV1004" i="489"/>
  <c r="L1010" i="489"/>
  <c r="EC1004" i="489"/>
  <c r="ET1004" i="489"/>
  <c r="Z1004" i="489"/>
  <c r="BO1004" i="489"/>
  <c r="CS1010" i="489"/>
  <c r="DZ994" i="489"/>
  <c r="BQ1010" i="489"/>
  <c r="BC994" i="489"/>
  <c r="EG994" i="489"/>
  <c r="CU1010" i="489"/>
  <c r="CQ994" i="489"/>
  <c r="EM1172" i="489"/>
  <c r="DZ1178" i="489"/>
  <c r="DM1150" i="489"/>
  <c r="DM1032" i="489"/>
  <c r="DA1150" i="489"/>
  <c r="CO1122" i="489"/>
  <c r="CO1172" i="489"/>
  <c r="CC1060" i="489"/>
  <c r="BQ1122" i="489"/>
  <c r="BQ1172" i="489"/>
  <c r="BE1150" i="489"/>
  <c r="BE994" i="489"/>
  <c r="AS1172" i="489"/>
  <c r="AS1122" i="489"/>
  <c r="AG1150" i="489"/>
  <c r="AG1122" i="489"/>
  <c r="AG1106" i="489"/>
  <c r="T1144" i="489"/>
  <c r="EW1178" i="489"/>
  <c r="DY1150" i="489"/>
  <c r="DY1094" i="489"/>
  <c r="DY1066" i="489"/>
  <c r="DL1172" i="489"/>
  <c r="CZ1094" i="489"/>
  <c r="CB1178" i="489"/>
  <c r="BP1094" i="489"/>
  <c r="BD1116" i="489"/>
  <c r="AR1122" i="489"/>
  <c r="AR1066" i="489"/>
  <c r="AR1022" i="489"/>
  <c r="S1150" i="489"/>
  <c r="S1172" i="489"/>
  <c r="EV1178" i="489"/>
  <c r="EK1060" i="489"/>
  <c r="DW1122" i="489"/>
  <c r="DW1134" i="489"/>
  <c r="DK1050" i="489"/>
  <c r="CY1088" i="489"/>
  <c r="CY1038" i="489"/>
  <c r="CM1088" i="489"/>
  <c r="CM1032" i="489"/>
  <c r="BC1094" i="489"/>
  <c r="AQ1010" i="489"/>
  <c r="AD1116" i="489"/>
  <c r="EJ1060" i="489"/>
  <c r="DV1178" i="489"/>
  <c r="DV1116" i="489"/>
  <c r="DV1060" i="489"/>
  <c r="DJ1050" i="489"/>
  <c r="DJ1032" i="489"/>
  <c r="CX1162" i="489"/>
  <c r="BZ1116" i="489"/>
  <c r="BZ1172" i="489"/>
  <c r="BZ1078" i="489"/>
  <c r="BN1178" i="489"/>
  <c r="BN1066" i="489"/>
  <c r="BN1060" i="489"/>
  <c r="BB1150" i="489"/>
  <c r="BB1094" i="489"/>
  <c r="BB1106" i="489"/>
  <c r="AC1032" i="489"/>
  <c r="Q1050" i="489"/>
  <c r="ET1094" i="489"/>
  <c r="EI1060" i="489"/>
  <c r="DU1088" i="489"/>
  <c r="DU1050" i="489"/>
  <c r="DU1060" i="489"/>
  <c r="DI1122" i="489"/>
  <c r="CW1094" i="489"/>
  <c r="CW1066" i="489"/>
  <c r="CW1038" i="489"/>
  <c r="CW1022" i="489"/>
  <c r="CK1060" i="489"/>
  <c r="BY1122" i="489"/>
  <c r="BY1088" i="489"/>
  <c r="BA1078" i="489"/>
  <c r="AO1066" i="489"/>
  <c r="AO1032" i="489"/>
  <c r="AB1088" i="489"/>
  <c r="P1078" i="489"/>
  <c r="P1094" i="489"/>
  <c r="ES1038" i="489"/>
  <c r="ES1078" i="489"/>
  <c r="EH1050" i="489"/>
  <c r="DT1134" i="489"/>
  <c r="DH1134" i="489"/>
  <c r="DH1066" i="489"/>
  <c r="CV1162" i="489"/>
  <c r="CV1134" i="489"/>
  <c r="CJ1178" i="489"/>
  <c r="CJ1122" i="489"/>
  <c r="CJ1116" i="489"/>
  <c r="BX1172" i="489"/>
  <c r="BX1150" i="489"/>
  <c r="BX1038" i="489"/>
  <c r="BX1088" i="489"/>
  <c r="BL1066" i="489"/>
  <c r="BL1122" i="489"/>
  <c r="AZ1050" i="489"/>
  <c r="O1078" i="489"/>
  <c r="ER1150" i="489"/>
  <c r="DS1050" i="489"/>
  <c r="CU1106" i="489"/>
  <c r="BW1162" i="489"/>
  <c r="BW1078" i="489"/>
  <c r="BK1078" i="489"/>
  <c r="AY1144" i="489"/>
  <c r="AY1122" i="489"/>
  <c r="AM1178" i="489"/>
  <c r="AM1134" i="489"/>
  <c r="Z1134" i="489"/>
  <c r="Z1078" i="489"/>
  <c r="N1032" i="489"/>
  <c r="EQ1116" i="489"/>
  <c r="EQ1106" i="489"/>
  <c r="EF1038" i="489"/>
  <c r="EF1088" i="489"/>
  <c r="DR1116" i="489"/>
  <c r="DF1150" i="489"/>
  <c r="DF1122" i="489"/>
  <c r="BV1162" i="489"/>
  <c r="BJ1066" i="489"/>
  <c r="AX1150" i="489"/>
  <c r="AX1050" i="489"/>
  <c r="AL1106" i="489"/>
  <c r="EP1060" i="489"/>
  <c r="EE1172" i="489"/>
  <c r="EE1088" i="489"/>
  <c r="DQ1078" i="489"/>
  <c r="DQ1122" i="489"/>
  <c r="DQ1088" i="489"/>
  <c r="DE1162" i="489"/>
  <c r="BU1150" i="489"/>
  <c r="BI1116" i="489"/>
  <c r="BI1032" i="489"/>
  <c r="BI1022" i="489"/>
  <c r="AW1150" i="489"/>
  <c r="AK1066" i="489"/>
  <c r="X1038" i="489"/>
  <c r="L1078" i="489"/>
  <c r="ED1116" i="489"/>
  <c r="ED1022" i="489"/>
  <c r="DP1038" i="489"/>
  <c r="DD1116" i="489"/>
  <c r="DD1094" i="489"/>
  <c r="CF1094" i="489"/>
  <c r="BT1134" i="489"/>
  <c r="BT1106" i="489"/>
  <c r="AJ1144" i="489"/>
  <c r="AJ1088" i="489"/>
  <c r="AJ1066" i="489"/>
  <c r="K1060" i="489"/>
  <c r="K1134" i="489"/>
  <c r="EO1078" i="489"/>
  <c r="EO1122" i="489"/>
  <c r="EO1088" i="489"/>
  <c r="DO1122" i="489"/>
  <c r="DO1050" i="489"/>
  <c r="DC1094" i="489"/>
  <c r="CQ1150" i="489"/>
  <c r="CE1060" i="489"/>
  <c r="BG1144" i="489"/>
  <c r="AI1178" i="489"/>
  <c r="J1038" i="489"/>
  <c r="DN1150" i="489"/>
  <c r="DN1032" i="489"/>
  <c r="DB1178" i="489"/>
  <c r="CP1116" i="489"/>
  <c r="CP1038" i="489"/>
  <c r="CD1106" i="489"/>
  <c r="BF1066" i="489"/>
  <c r="X1004" i="489"/>
  <c r="DS1010" i="489"/>
  <c r="AG1010" i="489"/>
  <c r="CE994" i="489"/>
  <c r="EM1134" i="489"/>
  <c r="DM1134" i="489"/>
  <c r="AS1116" i="489"/>
  <c r="T1060" i="489"/>
  <c r="EL1116" i="489"/>
  <c r="AR1144" i="489"/>
  <c r="AF1078" i="489"/>
  <c r="EK1116" i="489"/>
  <c r="BC1116" i="489"/>
  <c r="R1060" i="489"/>
  <c r="CL1032" i="489"/>
  <c r="AP1134" i="489"/>
  <c r="DT1106" i="489"/>
  <c r="EF1094" i="489"/>
  <c r="CT1094" i="489"/>
  <c r="CH1050" i="489"/>
  <c r="EP1088" i="489"/>
  <c r="AW1106" i="489"/>
  <c r="X1106" i="489"/>
  <c r="AV1134" i="489"/>
  <c r="DO1116" i="489"/>
  <c r="CQ1134" i="489"/>
  <c r="AI1172" i="489"/>
  <c r="AI1106" i="489"/>
  <c r="DN1010" i="489"/>
  <c r="DB1122" i="489"/>
  <c r="AT1178" i="489"/>
  <c r="AT1134" i="489"/>
  <c r="BN1004" i="489"/>
  <c r="BW1004" i="489"/>
  <c r="DT994" i="489"/>
  <c r="ED1010" i="489"/>
  <c r="ED1004" i="489"/>
  <c r="BB1010" i="489"/>
  <c r="EN994" i="489"/>
  <c r="EJ1004" i="489"/>
  <c r="EH1004" i="489"/>
  <c r="CH994" i="489"/>
  <c r="AV994" i="489"/>
  <c r="AR1010" i="489"/>
  <c r="AJ1010" i="489"/>
  <c r="W994" i="489"/>
  <c r="BG1004" i="489"/>
  <c r="DA1004" i="489"/>
  <c r="AW1004" i="489"/>
  <c r="BU1004" i="489"/>
  <c r="EP1004" i="489"/>
  <c r="AG994" i="489"/>
  <c r="AM994" i="489"/>
  <c r="AD1010" i="489"/>
  <c r="BA1010" i="489"/>
  <c r="BS1010" i="489"/>
  <c r="EX1144" i="489"/>
  <c r="EM1162" i="489"/>
  <c r="EM1078" i="489"/>
  <c r="DZ1172" i="489"/>
  <c r="DZ1066" i="489"/>
  <c r="DA1038" i="489"/>
  <c r="DA1022" i="489"/>
  <c r="CO1144" i="489"/>
  <c r="CO1060" i="489"/>
  <c r="CC1078" i="489"/>
  <c r="BQ1094" i="489"/>
  <c r="AS1038" i="489"/>
  <c r="AS1066" i="489"/>
  <c r="T1134" i="489"/>
  <c r="T1050" i="489"/>
  <c r="EW1094" i="489"/>
  <c r="EL1162" i="489"/>
  <c r="EL1106" i="489"/>
  <c r="DY1022" i="489"/>
  <c r="DY1050" i="489"/>
  <c r="DL1106" i="489"/>
  <c r="BP1066" i="489"/>
  <c r="BD1032" i="489"/>
  <c r="AR1078" i="489"/>
  <c r="AF1162" i="489"/>
  <c r="S1050" i="489"/>
  <c r="EV1150" i="489"/>
  <c r="EV1066" i="489"/>
  <c r="EK1078" i="489"/>
  <c r="EK1032" i="489"/>
  <c r="DW1060" i="489"/>
  <c r="DK1172" i="489"/>
  <c r="CY1134" i="489"/>
  <c r="CM1122" i="489"/>
  <c r="CM1038" i="489"/>
  <c r="CA1150" i="489"/>
  <c r="CA1116" i="489"/>
  <c r="CA1088" i="489"/>
  <c r="BO1022" i="489"/>
  <c r="BC1162" i="489"/>
  <c r="BC1172" i="489"/>
  <c r="AD1144" i="489"/>
  <c r="AD1022" i="489"/>
  <c r="R1172" i="489"/>
  <c r="R1144" i="489"/>
  <c r="R1038" i="489"/>
  <c r="R994" i="489"/>
  <c r="EU1066" i="489"/>
  <c r="EU1078" i="489"/>
  <c r="EU1022" i="489"/>
  <c r="EJ1162" i="489"/>
  <c r="EJ1022" i="489"/>
  <c r="DJ1144" i="489"/>
  <c r="DJ1178" i="489"/>
  <c r="DJ1066" i="489"/>
  <c r="CX1106" i="489"/>
  <c r="CL1144" i="489"/>
  <c r="CL1050" i="489"/>
  <c r="CL1094" i="489"/>
  <c r="BZ1122" i="489"/>
  <c r="BZ1162" i="489"/>
  <c r="BZ1106" i="489"/>
  <c r="BB1066" i="489"/>
  <c r="BB1050" i="489"/>
  <c r="BB1032" i="489"/>
  <c r="AP1050" i="489"/>
  <c r="AC1038" i="489"/>
  <c r="Q1066" i="489"/>
  <c r="ET1172" i="489"/>
  <c r="ET1144" i="489"/>
  <c r="EI1106" i="489"/>
  <c r="DU1106" i="489"/>
  <c r="DI1144" i="489"/>
  <c r="DI1106" i="489"/>
  <c r="DI1032" i="489"/>
  <c r="DI1078" i="489"/>
  <c r="CW1144" i="489"/>
  <c r="CW1050" i="489"/>
  <c r="BY1144" i="489"/>
  <c r="BY1106" i="489"/>
  <c r="BY1078" i="489"/>
  <c r="BA1122" i="489"/>
  <c r="BA1060" i="489"/>
  <c r="AO1038" i="489"/>
  <c r="AB1106" i="489"/>
  <c r="ES1178" i="489"/>
  <c r="ES1050" i="489"/>
  <c r="ES1060" i="489"/>
  <c r="EH1144" i="489"/>
  <c r="EH1094" i="489"/>
  <c r="DH1094" i="489"/>
  <c r="CV1066" i="489"/>
  <c r="CJ1172" i="489"/>
  <c r="CJ1094" i="489"/>
  <c r="CJ1032" i="489"/>
  <c r="CJ1022" i="489"/>
  <c r="BX1050" i="489"/>
  <c r="BL1144" i="489"/>
  <c r="BL1094" i="489"/>
  <c r="AZ1106" i="489"/>
  <c r="AA1172" i="489"/>
  <c r="O1038" i="489"/>
  <c r="ER1060" i="489"/>
  <c r="EG1116" i="489"/>
  <c r="EG1060" i="489"/>
  <c r="DS1172" i="489"/>
  <c r="DS1122" i="489"/>
  <c r="DG1106" i="489"/>
  <c r="CU1162" i="489"/>
  <c r="CU1088" i="489"/>
  <c r="CI1060" i="489"/>
  <c r="BW1144" i="489"/>
  <c r="BW1060" i="489"/>
  <c r="AY1178" i="489"/>
  <c r="AY1134" i="489"/>
  <c r="AM1116" i="489"/>
  <c r="Z1050" i="489"/>
  <c r="N1172" i="489"/>
  <c r="N1060" i="489"/>
  <c r="N1088" i="489"/>
  <c r="N1038" i="489"/>
  <c r="EF1050" i="489"/>
  <c r="DF1094" i="489"/>
  <c r="CT1172" i="489"/>
  <c r="CH1178" i="489"/>
  <c r="CH1060" i="489"/>
  <c r="CH1022" i="489"/>
  <c r="BV1094" i="489"/>
  <c r="BJ1122" i="489"/>
  <c r="AX1066" i="489"/>
  <c r="AL1162" i="489"/>
  <c r="M1094" i="489"/>
  <c r="M1066" i="489"/>
  <c r="EP1078" i="489"/>
  <c r="DQ1106" i="489"/>
  <c r="CS1150" i="489"/>
  <c r="CG1038" i="489"/>
  <c r="BI1050" i="489"/>
  <c r="ED1032" i="489"/>
  <c r="BT1094" i="489"/>
  <c r="BH1122" i="489"/>
  <c r="BH1066" i="489"/>
  <c r="AV1094" i="489"/>
  <c r="W1178" i="489"/>
  <c r="W1038" i="489"/>
  <c r="K1066" i="489"/>
  <c r="EO1106" i="489"/>
  <c r="EO1022" i="489"/>
  <c r="EC1032" i="489"/>
  <c r="DO1060" i="489"/>
  <c r="CE1088" i="489"/>
  <c r="BS1066" i="489"/>
  <c r="BG1134" i="489"/>
  <c r="AU1122" i="489"/>
  <c r="J1106" i="489"/>
  <c r="J1094" i="489"/>
  <c r="DB1144" i="489"/>
  <c r="DB1116" i="489"/>
  <c r="CP1060" i="489"/>
  <c r="CD1162" i="489"/>
  <c r="CD1050" i="489"/>
  <c r="BF1116" i="489"/>
  <c r="AT1094" i="489"/>
  <c r="AT1050" i="489"/>
  <c r="AH1038" i="489"/>
  <c r="CD1004" i="489"/>
  <c r="EI1004" i="489"/>
  <c r="BV994" i="489"/>
  <c r="BX994" i="489"/>
  <c r="AH1010" i="489"/>
  <c r="CO994" i="489"/>
  <c r="CY1004" i="489"/>
  <c r="DV1004" i="489"/>
  <c r="DV1011" i="489" s="1"/>
  <c r="BD1010" i="489"/>
  <c r="AP994" i="489"/>
  <c r="DD1010" i="489"/>
  <c r="CR1010" i="489"/>
  <c r="BH1004" i="489"/>
  <c r="BB1004" i="489"/>
  <c r="AZ1004" i="489"/>
  <c r="S1004" i="489"/>
  <c r="O1004" i="489"/>
  <c r="EE994" i="489"/>
  <c r="DW1004" i="489"/>
  <c r="CW1004" i="489"/>
  <c r="EE1004" i="489"/>
  <c r="EO1004" i="489"/>
  <c r="T1010" i="489"/>
  <c r="DQ1010" i="489"/>
  <c r="AI994" i="489"/>
  <c r="DN994" i="489"/>
  <c r="EC994" i="489"/>
  <c r="EX1178" i="489"/>
  <c r="EM1150" i="489"/>
  <c r="EM1116" i="489"/>
  <c r="DZ1060" i="489"/>
  <c r="DM1116" i="489"/>
  <c r="BQ1116" i="489"/>
  <c r="BQ1060" i="489"/>
  <c r="BE1134" i="489"/>
  <c r="BE1038" i="489"/>
  <c r="AG1038" i="489"/>
  <c r="EL1122" i="489"/>
  <c r="EL1134" i="489"/>
  <c r="EL1088" i="489"/>
  <c r="EL1038" i="489"/>
  <c r="DY1078" i="489"/>
  <c r="DL1134" i="489"/>
  <c r="DL1050" i="489"/>
  <c r="CZ1066" i="489"/>
  <c r="CN1144" i="489"/>
  <c r="BP1144" i="489"/>
  <c r="BP1022" i="489"/>
  <c r="BD1162" i="489"/>
  <c r="BD1088" i="489"/>
  <c r="BD1038" i="489"/>
  <c r="AR1134" i="489"/>
  <c r="AF1150" i="489"/>
  <c r="S1144" i="489"/>
  <c r="EK1122" i="489"/>
  <c r="DW1162" i="489"/>
  <c r="DK1088" i="489"/>
  <c r="DK1066" i="489"/>
  <c r="DK1032" i="489"/>
  <c r="CY1122" i="489"/>
  <c r="CY1094" i="489"/>
  <c r="CM1066" i="489"/>
  <c r="CM1022" i="489"/>
  <c r="CA1178" i="489"/>
  <c r="BO1116" i="489"/>
  <c r="BO1066" i="489"/>
  <c r="BC1106" i="489"/>
  <c r="BC1078" i="489"/>
  <c r="AQ1094" i="489"/>
  <c r="AD1134" i="489"/>
  <c r="AD1032" i="489"/>
  <c r="EU1116" i="489"/>
  <c r="EU1106" i="489"/>
  <c r="EU1050" i="489"/>
  <c r="EJ1088" i="489"/>
  <c r="DV1172" i="489"/>
  <c r="DV1106" i="489"/>
  <c r="DJ1094" i="489"/>
  <c r="CX1150" i="489"/>
  <c r="CL1088" i="489"/>
  <c r="CL1022" i="489"/>
  <c r="BZ1050" i="489"/>
  <c r="BZ1032" i="489"/>
  <c r="BN1172" i="489"/>
  <c r="BB1022" i="489"/>
  <c r="AP1122" i="489"/>
  <c r="AP1162" i="489"/>
  <c r="AP1088" i="489"/>
  <c r="AP1022" i="489"/>
  <c r="ET1078" i="489"/>
  <c r="EI1050" i="489"/>
  <c r="DU1122" i="489"/>
  <c r="DI1162" i="489"/>
  <c r="CW1134" i="489"/>
  <c r="CK1078" i="489"/>
  <c r="BY1162" i="489"/>
  <c r="BY1134" i="489"/>
  <c r="BY1032" i="489"/>
  <c r="BM1106" i="489"/>
  <c r="BA1038" i="489"/>
  <c r="AB1134" i="489"/>
  <c r="P1178" i="489"/>
  <c r="ES1172" i="489"/>
  <c r="ES1088" i="489"/>
  <c r="ES1022" i="489"/>
  <c r="EH1178" i="489"/>
  <c r="DH1078" i="489"/>
  <c r="CV1060" i="489"/>
  <c r="CV1038" i="489"/>
  <c r="CV1088" i="489"/>
  <c r="CJ1078" i="489"/>
  <c r="BX1094" i="489"/>
  <c r="BL1060" i="489"/>
  <c r="AZ1172" i="489"/>
  <c r="AZ1134" i="489"/>
  <c r="AN1106" i="489"/>
  <c r="AA1116" i="489"/>
  <c r="ER1038" i="489"/>
  <c r="ER1088" i="489"/>
  <c r="EG1122" i="489"/>
  <c r="EG1088" i="489"/>
  <c r="DS1116" i="489"/>
  <c r="CU1150" i="489"/>
  <c r="CU1060" i="489"/>
  <c r="CI1144" i="489"/>
  <c r="BW1050" i="489"/>
  <c r="BK1162" i="489"/>
  <c r="BK1050" i="489"/>
  <c r="AY1172" i="489"/>
  <c r="AY1066" i="489"/>
  <c r="AY1050" i="489"/>
  <c r="AM1066" i="489"/>
  <c r="Z1150" i="489"/>
  <c r="N1066" i="489"/>
  <c r="EQ1050" i="489"/>
  <c r="EF1134" i="489"/>
  <c r="EF1078" i="489"/>
  <c r="EF1022" i="489"/>
  <c r="DR1172" i="489"/>
  <c r="DR1038" i="489"/>
  <c r="CT1162" i="489"/>
  <c r="CT1038" i="489"/>
  <c r="CH1066" i="489"/>
  <c r="BV1150" i="489"/>
  <c r="BJ1172" i="489"/>
  <c r="BJ1144" i="489"/>
  <c r="AX1122" i="489"/>
  <c r="AX1078" i="489"/>
  <c r="AL1134" i="489"/>
  <c r="Y1150" i="489"/>
  <c r="M1162" i="489"/>
  <c r="EP1144" i="489"/>
  <c r="DQ1060" i="489"/>
  <c r="DE1134" i="489"/>
  <c r="DE1150" i="489"/>
  <c r="DE1060" i="489"/>
  <c r="CS1178" i="489"/>
  <c r="CG1060" i="489"/>
  <c r="CG1032" i="489"/>
  <c r="BU1178" i="489"/>
  <c r="BU1106" i="489"/>
  <c r="BI1060" i="489"/>
  <c r="BI1106" i="489"/>
  <c r="AW1178" i="489"/>
  <c r="AK1094" i="489"/>
  <c r="X1122" i="489"/>
  <c r="X1060" i="489"/>
  <c r="X1050" i="489"/>
  <c r="L1116" i="489"/>
  <c r="L1032" i="489"/>
  <c r="L1038" i="489"/>
  <c r="ED1060" i="489"/>
  <c r="DP1162" i="489"/>
  <c r="DP1144" i="489"/>
  <c r="DP1060" i="489"/>
  <c r="DP1050" i="489"/>
  <c r="DD1078" i="489"/>
  <c r="CF1066" i="489"/>
  <c r="BT1116" i="489"/>
  <c r="BH1094" i="489"/>
  <c r="BH1038" i="489"/>
  <c r="AV1178" i="489"/>
  <c r="AV1032" i="489"/>
  <c r="AV1022" i="489"/>
  <c r="AJ1038" i="489"/>
  <c r="W1172" i="489"/>
  <c r="W1060" i="489"/>
  <c r="W1022" i="489"/>
  <c r="K1050" i="489"/>
  <c r="DO1172" i="489"/>
  <c r="BG1106" i="489"/>
  <c r="AI1150" i="489"/>
  <c r="AI1022" i="489"/>
  <c r="V1122" i="489"/>
  <c r="J1122" i="489"/>
  <c r="J1066" i="489"/>
  <c r="EA1050" i="489"/>
  <c r="DN1134" i="489"/>
  <c r="DN1088" i="489"/>
  <c r="DB1162" i="489"/>
  <c r="DB1106" i="489"/>
  <c r="CP1178" i="489"/>
  <c r="CP1088" i="489"/>
  <c r="CD1022" i="489"/>
  <c r="BF1150" i="489"/>
  <c r="BF1050" i="489"/>
  <c r="AT1022" i="489"/>
  <c r="AH1134" i="489"/>
  <c r="N1004" i="489"/>
  <c r="BZ994" i="489"/>
  <c r="DH1010" i="489"/>
  <c r="AP1004" i="489"/>
  <c r="DI1004" i="489"/>
  <c r="ED994" i="489"/>
  <c r="DY1010" i="489"/>
  <c r="AR994" i="489"/>
  <c r="ES1004" i="489"/>
  <c r="EL1004" i="489"/>
  <c r="CV994" i="489"/>
  <c r="CL1004" i="489"/>
  <c r="BV1004" i="489"/>
  <c r="BD1004" i="489"/>
  <c r="Q994" i="489"/>
  <c r="M994" i="489"/>
  <c r="AY1004" i="489"/>
  <c r="AI1004" i="489"/>
  <c r="BQ1004" i="489"/>
  <c r="CM1004" i="489"/>
  <c r="DS1004" i="489"/>
  <c r="BI1010" i="489"/>
  <c r="T1004" i="489"/>
  <c r="CM1010" i="489"/>
  <c r="BK994" i="489"/>
  <c r="EX994" i="489"/>
  <c r="AB994" i="489"/>
  <c r="BY994" i="489"/>
  <c r="AU1010" i="489"/>
  <c r="EO1010" i="489"/>
  <c r="DP1010" i="489"/>
  <c r="EX1066" i="489"/>
  <c r="EM1066" i="489"/>
  <c r="DM1088" i="489"/>
  <c r="DA1094" i="489"/>
  <c r="CO1162" i="489"/>
  <c r="CO1134" i="489"/>
  <c r="CO1078" i="489"/>
  <c r="CC1178" i="489"/>
  <c r="CC1088" i="489"/>
  <c r="CC1066" i="489"/>
  <c r="BQ1162" i="489"/>
  <c r="BQ1106" i="489"/>
  <c r="AS1162" i="489"/>
  <c r="AS1094" i="489"/>
  <c r="AG1094" i="489"/>
  <c r="T1122" i="489"/>
  <c r="T1116" i="489"/>
  <c r="T1088" i="489"/>
  <c r="T1022" i="489"/>
  <c r="T1094" i="489"/>
  <c r="EL1150" i="489"/>
  <c r="EL1094" i="489"/>
  <c r="DL1122" i="489"/>
  <c r="CN1094" i="489"/>
  <c r="BD1150" i="489"/>
  <c r="AR1088" i="489"/>
  <c r="AR1050" i="489"/>
  <c r="S1066" i="489"/>
  <c r="S1038" i="489"/>
  <c r="EK1088" i="489"/>
  <c r="EK1106" i="489"/>
  <c r="DW1106" i="489"/>
  <c r="DW1078" i="489"/>
  <c r="DK1150" i="489"/>
  <c r="CY1060" i="489"/>
  <c r="CM1178" i="489"/>
  <c r="CM1144" i="489"/>
  <c r="BO1122" i="489"/>
  <c r="BC1088" i="489"/>
  <c r="BC1050" i="489"/>
  <c r="AD1094" i="489"/>
  <c r="R1122" i="489"/>
  <c r="DV1134" i="489"/>
  <c r="DV1078" i="489"/>
  <c r="DJ1134" i="489"/>
  <c r="CX1088" i="489"/>
  <c r="BZ1150" i="489"/>
  <c r="BZ1094" i="489"/>
  <c r="BZ1022" i="489"/>
  <c r="BN1116" i="489"/>
  <c r="BN1078" i="489"/>
  <c r="BB1060" i="489"/>
  <c r="AP1116" i="489"/>
  <c r="AP1066" i="489"/>
  <c r="AP1032" i="489"/>
  <c r="AC1050" i="489"/>
  <c r="Q1060" i="489"/>
  <c r="ET1122" i="489"/>
  <c r="EI1088" i="489"/>
  <c r="DI1150" i="489"/>
  <c r="DI1134" i="489"/>
  <c r="DI1038" i="489"/>
  <c r="DI1060" i="489"/>
  <c r="CW1088" i="489"/>
  <c r="CK1116" i="489"/>
  <c r="CK1022" i="489"/>
  <c r="BY1178" i="489"/>
  <c r="BY1150" i="489"/>
  <c r="BY1050" i="489"/>
  <c r="BY1060" i="489"/>
  <c r="BA1162" i="489"/>
  <c r="BA1144" i="489"/>
  <c r="AO1050" i="489"/>
  <c r="EH1116" i="489"/>
  <c r="EH1106" i="489"/>
  <c r="DT1116" i="489"/>
  <c r="DT1122" i="489"/>
  <c r="CV1078" i="489"/>
  <c r="CV1094" i="489"/>
  <c r="AZ1162" i="489"/>
  <c r="AN1038" i="489"/>
  <c r="AA1122" i="489"/>
  <c r="AA1094" i="489"/>
  <c r="O1162" i="489"/>
  <c r="O1122" i="489"/>
  <c r="ER1022" i="489"/>
  <c r="EG1094" i="489"/>
  <c r="DS1060" i="489"/>
  <c r="CU1144" i="489"/>
  <c r="CU1122" i="489"/>
  <c r="CI1094" i="489"/>
  <c r="CI1032" i="489"/>
  <c r="CI1038" i="489"/>
  <c r="BW1178" i="489"/>
  <c r="BW1134" i="489"/>
  <c r="BW1094" i="489"/>
  <c r="BW1106" i="489"/>
  <c r="BW1088" i="489"/>
  <c r="BK1150" i="489"/>
  <c r="BK1122" i="489"/>
  <c r="BK1022" i="489"/>
  <c r="AY1116" i="489"/>
  <c r="AY1060" i="489"/>
  <c r="AM1094" i="489"/>
  <c r="N1134" i="489"/>
  <c r="N1078" i="489"/>
  <c r="EQ1122" i="489"/>
  <c r="EF1178" i="489"/>
  <c r="DR1144" i="489"/>
  <c r="DR1032" i="489"/>
  <c r="DF1178" i="489"/>
  <c r="DF1106" i="489"/>
  <c r="CH1122" i="489"/>
  <c r="CH1078" i="489"/>
  <c r="BV1038" i="489"/>
  <c r="BJ1162" i="489"/>
  <c r="BJ1088" i="489"/>
  <c r="AX1178" i="489"/>
  <c r="AL1066" i="489"/>
  <c r="M1150" i="489"/>
  <c r="M1088" i="489"/>
  <c r="M1050" i="489"/>
  <c r="EP1172" i="489"/>
  <c r="EP1066" i="489"/>
  <c r="DQ1162" i="489"/>
  <c r="DQ1022" i="489"/>
  <c r="DE1178" i="489"/>
  <c r="DE1066" i="489"/>
  <c r="DE1038" i="489"/>
  <c r="CG1162" i="489"/>
  <c r="BU1172" i="489"/>
  <c r="BU1144" i="489"/>
  <c r="BI1162" i="489"/>
  <c r="AW1172" i="489"/>
  <c r="AW1144" i="489"/>
  <c r="AW1060" i="489"/>
  <c r="AW1038" i="489"/>
  <c r="ED1172" i="489"/>
  <c r="DP1122" i="489"/>
  <c r="DP1150" i="489"/>
  <c r="DP1106" i="489"/>
  <c r="DD1088" i="489"/>
  <c r="DD1066" i="489"/>
  <c r="CF1038" i="489"/>
  <c r="CF1010" i="489"/>
  <c r="BH1144" i="489"/>
  <c r="AV1172" i="489"/>
  <c r="W1088" i="489"/>
  <c r="K1032" i="489"/>
  <c r="EO1060" i="489"/>
  <c r="EC1050" i="489"/>
  <c r="DO1094" i="489"/>
  <c r="CE1078" i="489"/>
  <c r="CE1038" i="489"/>
  <c r="BG1116" i="489"/>
  <c r="BG1038" i="489"/>
  <c r="AU1178" i="489"/>
  <c r="AU1066" i="489"/>
  <c r="AI1094" i="489"/>
  <c r="EN1088" i="489"/>
  <c r="EA1178" i="489"/>
  <c r="DN1178" i="489"/>
  <c r="DN1094" i="489"/>
  <c r="DN1038" i="489"/>
  <c r="DB1150" i="489"/>
  <c r="DB1088" i="489"/>
  <c r="CP1106" i="489"/>
  <c r="CD1150" i="489"/>
  <c r="CD1032" i="489"/>
  <c r="BF1088" i="489"/>
  <c r="BF1022" i="489"/>
  <c r="AH1178" i="489"/>
  <c r="AH1106" i="489"/>
  <c r="CU1004" i="489"/>
  <c r="BP1004" i="489"/>
  <c r="AJ1004" i="489"/>
  <c r="EX1004" i="489"/>
  <c r="BE1004" i="489"/>
  <c r="BY1004" i="489"/>
  <c r="CT1004" i="489"/>
  <c r="DG994" i="489"/>
  <c r="EA994" i="489"/>
  <c r="EX1172" i="489"/>
  <c r="EX1060" i="489"/>
  <c r="DZ1106" i="489"/>
  <c r="DZ1050" i="489"/>
  <c r="DM1038" i="489"/>
  <c r="DA1060" i="489"/>
  <c r="DA1050" i="489"/>
  <c r="CO1150" i="489"/>
  <c r="CC1172" i="489"/>
  <c r="BQ1078" i="489"/>
  <c r="BQ1032" i="489"/>
  <c r="AS1060" i="489"/>
  <c r="AS1022" i="489"/>
  <c r="AS1050" i="489"/>
  <c r="AG1060" i="489"/>
  <c r="AG1050" i="489"/>
  <c r="T1038" i="489"/>
  <c r="EL1078" i="489"/>
  <c r="DY1088" i="489"/>
  <c r="DY1144" i="489"/>
  <c r="DL1116" i="489"/>
  <c r="DL1066" i="489"/>
  <c r="CN1134" i="489"/>
  <c r="CN1066" i="489"/>
  <c r="CN1060" i="489"/>
  <c r="BP1134" i="489"/>
  <c r="BP1078" i="489"/>
  <c r="AR1116" i="489"/>
  <c r="AR1032" i="489"/>
  <c r="S1134" i="489"/>
  <c r="S1032" i="489"/>
  <c r="S1022" i="489"/>
  <c r="EK1178" i="489"/>
  <c r="DW1050" i="489"/>
  <c r="DK1038" i="489"/>
  <c r="CY1106" i="489"/>
  <c r="CM1172" i="489"/>
  <c r="CA1032" i="489"/>
  <c r="BO1106" i="489"/>
  <c r="BO1060" i="489"/>
  <c r="BO1094" i="489"/>
  <c r="R1162" i="489"/>
  <c r="EU1060" i="489"/>
  <c r="EJ1178" i="489"/>
  <c r="EJ1050" i="489"/>
  <c r="DV1162" i="489"/>
  <c r="DJ1116" i="489"/>
  <c r="DJ1078" i="489"/>
  <c r="DJ1060" i="489"/>
  <c r="CX1078" i="489"/>
  <c r="CL1134" i="489"/>
  <c r="BZ1134" i="489"/>
  <c r="BB1178" i="489"/>
  <c r="BB1038" i="489"/>
  <c r="AP1150" i="489"/>
  <c r="AC1150" i="489"/>
  <c r="AC1122" i="489"/>
  <c r="AC1088" i="489"/>
  <c r="AC1022" i="489"/>
  <c r="Q1162" i="489"/>
  <c r="Q1122" i="489"/>
  <c r="ET1162" i="489"/>
  <c r="ET1032" i="489"/>
  <c r="DU1144" i="489"/>
  <c r="DI1088" i="489"/>
  <c r="CW1162" i="489"/>
  <c r="CK1122" i="489"/>
  <c r="BY1172" i="489"/>
  <c r="BY1038" i="489"/>
  <c r="BM1116" i="489"/>
  <c r="BA1150" i="489"/>
  <c r="BA1134" i="489"/>
  <c r="BA1050" i="489"/>
  <c r="AO1022" i="489"/>
  <c r="AB1162" i="489"/>
  <c r="AB1050" i="489"/>
  <c r="ES1106" i="489"/>
  <c r="EH1038" i="489"/>
  <c r="DT1162" i="489"/>
  <c r="DT1178" i="489"/>
  <c r="DH1032" i="489"/>
  <c r="DH1022" i="489"/>
  <c r="CV1050" i="489"/>
  <c r="CJ1106" i="489"/>
  <c r="CJ1060" i="489"/>
  <c r="BX1144" i="489"/>
  <c r="BX1060" i="489"/>
  <c r="BL1078" i="489"/>
  <c r="BL1088" i="489"/>
  <c r="AZ1116" i="489"/>
  <c r="AZ1122" i="489"/>
  <c r="AN1134" i="489"/>
  <c r="AN1078" i="489"/>
  <c r="O1150" i="489"/>
  <c r="O1088" i="489"/>
  <c r="O1032" i="489"/>
  <c r="ER1144" i="489"/>
  <c r="ER1106" i="489"/>
  <c r="ER1050" i="489"/>
  <c r="EG1144" i="489"/>
  <c r="EG1162" i="489"/>
  <c r="EG1106" i="489"/>
  <c r="DS1066" i="489"/>
  <c r="DG1162" i="489"/>
  <c r="CI1178" i="489"/>
  <c r="BW1172" i="489"/>
  <c r="Z1116" i="489"/>
  <c r="EF1106" i="489"/>
  <c r="CT1134" i="489"/>
  <c r="CH1172" i="489"/>
  <c r="BJ1094" i="489"/>
  <c r="AL1078" i="489"/>
  <c r="M1078" i="489"/>
  <c r="EP1162" i="489"/>
  <c r="EE1122" i="489"/>
  <c r="EE1050" i="489"/>
  <c r="DQ1144" i="489"/>
  <c r="DQ1066" i="489"/>
  <c r="DE1032" i="489"/>
  <c r="CG1150" i="489"/>
  <c r="BU1088" i="489"/>
  <c r="BI1150" i="489"/>
  <c r="BI1088" i="489"/>
  <c r="AW1066" i="489"/>
  <c r="AW1032" i="489"/>
  <c r="AK1038" i="489"/>
  <c r="X1150" i="489"/>
  <c r="X1144" i="489"/>
  <c r="X1088" i="489"/>
  <c r="ED1162" i="489"/>
  <c r="ED1066" i="489"/>
  <c r="DP1134" i="489"/>
  <c r="DP1032" i="489"/>
  <c r="DD1122" i="489"/>
  <c r="CR1178" i="489"/>
  <c r="BT1122" i="489"/>
  <c r="BT1078" i="489"/>
  <c r="AV1078" i="489"/>
  <c r="AV1116" i="489"/>
  <c r="W1150" i="489"/>
  <c r="EC1078" i="489"/>
  <c r="EC1150" i="489"/>
  <c r="DO1088" i="489"/>
  <c r="CE1022" i="489"/>
  <c r="BG1022" i="489"/>
  <c r="AU1162" i="489"/>
  <c r="AI1144" i="489"/>
  <c r="J1088" i="489"/>
  <c r="EA1172" i="489"/>
  <c r="EA1162" i="489"/>
  <c r="CP1134" i="489"/>
  <c r="CD1144" i="489"/>
  <c r="BF1144" i="489"/>
  <c r="BF1032" i="489"/>
  <c r="AT1032" i="489"/>
  <c r="AH1066" i="489"/>
  <c r="U1116" i="489"/>
  <c r="EA1010" i="489"/>
  <c r="CP994" i="489"/>
  <c r="EF994" i="489"/>
  <c r="CD994" i="489"/>
  <c r="DQ994" i="489"/>
  <c r="DR1004" i="489"/>
  <c r="DJ1004" i="489"/>
  <c r="EF1010" i="489"/>
  <c r="CR994" i="489"/>
  <c r="CP1004" i="489"/>
  <c r="BJ1004" i="489"/>
  <c r="EM1004" i="489"/>
  <c r="AS1004" i="489"/>
  <c r="BM1004" i="489"/>
  <c r="DW1010" i="489"/>
  <c r="AW1010" i="489"/>
  <c r="Z1010" i="489"/>
  <c r="AS994" i="489"/>
  <c r="DK994" i="489"/>
  <c r="AI1010" i="489"/>
  <c r="EM1060" i="489"/>
  <c r="EM1032" i="489"/>
  <c r="EM1038" i="489"/>
  <c r="DZ1162" i="489"/>
  <c r="DZ1122" i="489"/>
  <c r="DZ1022" i="489"/>
  <c r="DM1178" i="489"/>
  <c r="DM1094" i="489"/>
  <c r="DA1178" i="489"/>
  <c r="DA1144" i="489"/>
  <c r="CO1116" i="489"/>
  <c r="CO1088" i="489"/>
  <c r="CC1050" i="489"/>
  <c r="CC1038" i="489"/>
  <c r="BE1178" i="489"/>
  <c r="BE1022" i="489"/>
  <c r="BE1050" i="489"/>
  <c r="AG1178" i="489"/>
  <c r="AG1022" i="489"/>
  <c r="DY1178" i="489"/>
  <c r="DY1032" i="489"/>
  <c r="DY1106" i="489"/>
  <c r="CN1150" i="489"/>
  <c r="CB1122" i="489"/>
  <c r="CB1038" i="489"/>
  <c r="BP1122" i="489"/>
  <c r="BP1088" i="489"/>
  <c r="BD1172" i="489"/>
  <c r="BD1094" i="489"/>
  <c r="AR1038" i="489"/>
  <c r="EV1038" i="489"/>
  <c r="EK1172" i="489"/>
  <c r="DW1178" i="489"/>
  <c r="DK1144" i="489"/>
  <c r="DK1022" i="489"/>
  <c r="CY1162" i="489"/>
  <c r="CY1078" i="489"/>
  <c r="CM1150" i="489"/>
  <c r="CM1134" i="489"/>
  <c r="CM1060" i="489"/>
  <c r="CA1038" i="489"/>
  <c r="BO1178" i="489"/>
  <c r="AQ1134" i="489"/>
  <c r="AD1178" i="489"/>
  <c r="R1116" i="489"/>
  <c r="EU1122" i="489"/>
  <c r="EU1032" i="489"/>
  <c r="EJ1172" i="489"/>
  <c r="EJ1144" i="489"/>
  <c r="DV1094" i="489"/>
  <c r="DV1088" i="489"/>
  <c r="DJ1172" i="489"/>
  <c r="DJ1038" i="489"/>
  <c r="CX1178" i="489"/>
  <c r="CL1116" i="489"/>
  <c r="CL1066" i="489"/>
  <c r="BN1122" i="489"/>
  <c r="BN1162" i="489"/>
  <c r="BB1144" i="489"/>
  <c r="Q1150" i="489"/>
  <c r="Q1078" i="489"/>
  <c r="ET1050" i="489"/>
  <c r="EI1178" i="489"/>
  <c r="EI1094" i="489"/>
  <c r="EI1032" i="489"/>
  <c r="DU1134" i="489"/>
  <c r="DU1162" i="489"/>
  <c r="DU1010" i="489"/>
  <c r="DI1116" i="489"/>
  <c r="DI1050" i="489"/>
  <c r="CW1178" i="489"/>
  <c r="CW1150" i="489"/>
  <c r="CW1078" i="489"/>
  <c r="CK1038" i="489"/>
  <c r="BM1122" i="489"/>
  <c r="BA1178" i="489"/>
  <c r="BA1116" i="489"/>
  <c r="BA1022" i="489"/>
  <c r="BA1039" i="489" s="1"/>
  <c r="AO1122" i="489"/>
  <c r="AO1106" i="489"/>
  <c r="AB1116" i="489"/>
  <c r="AB1022" i="489"/>
  <c r="P1038" i="489"/>
  <c r="EH1088" i="489"/>
  <c r="DT1150" i="489"/>
  <c r="DH1106" i="489"/>
  <c r="CV1106" i="489"/>
  <c r="CJ1150" i="489"/>
  <c r="CJ1144" i="489"/>
  <c r="BX1032" i="489"/>
  <c r="BX1022" i="489"/>
  <c r="BL1134" i="489"/>
  <c r="BL1106" i="489"/>
  <c r="AZ1150" i="489"/>
  <c r="AN1178" i="489"/>
  <c r="AN1162" i="489"/>
  <c r="AN1050" i="489"/>
  <c r="O1144" i="489"/>
  <c r="O1060" i="489"/>
  <c r="EG1134" i="489"/>
  <c r="EG1150" i="489"/>
  <c r="EG1032" i="489"/>
  <c r="DS1022" i="489"/>
  <c r="DG1150" i="489"/>
  <c r="CU1178" i="489"/>
  <c r="CU1134" i="489"/>
  <c r="CU1078" i="489"/>
  <c r="CI1172" i="489"/>
  <c r="BW1116" i="489"/>
  <c r="BK1066" i="489"/>
  <c r="BK1088" i="489"/>
  <c r="BK1032" i="489"/>
  <c r="AY1106" i="489"/>
  <c r="AY1038" i="489"/>
  <c r="AM1106" i="489"/>
  <c r="AM1088" i="489"/>
  <c r="AM1032" i="489"/>
  <c r="AM1022" i="489"/>
  <c r="Z1032" i="489"/>
  <c r="N1150" i="489"/>
  <c r="EQ1162" i="489"/>
  <c r="EQ1078" i="489"/>
  <c r="EF1172" i="489"/>
  <c r="EF1032" i="489"/>
  <c r="DR1060" i="489"/>
  <c r="DR1088" i="489"/>
  <c r="CT1150" i="489"/>
  <c r="CH1162" i="489"/>
  <c r="CH1106" i="489"/>
  <c r="BV1116" i="489"/>
  <c r="BJ1134" i="489"/>
  <c r="BJ1106" i="489"/>
  <c r="BJ1050" i="489"/>
  <c r="AX1094" i="489"/>
  <c r="AL1050" i="489"/>
  <c r="Y1178" i="489"/>
  <c r="EP1134" i="489"/>
  <c r="EP1122" i="489"/>
  <c r="EE1060" i="489"/>
  <c r="EE1078" i="489"/>
  <c r="DQ1178" i="489"/>
  <c r="BU1060" i="489"/>
  <c r="BU1038" i="489"/>
  <c r="AW1134" i="489"/>
  <c r="X1032" i="489"/>
  <c r="L1066" i="489"/>
  <c r="L1050" i="489"/>
  <c r="DP1172" i="489"/>
  <c r="DD1150" i="489"/>
  <c r="CR1172" i="489"/>
  <c r="BH1162" i="489"/>
  <c r="BH1078" i="489"/>
  <c r="BH1134" i="489"/>
  <c r="BH1050" i="489"/>
  <c r="AV1122" i="489"/>
  <c r="AV1066" i="489"/>
  <c r="AJ1116" i="489"/>
  <c r="K1088" i="489"/>
  <c r="DO1038" i="489"/>
  <c r="CE1144" i="489"/>
  <c r="CE1050" i="489"/>
  <c r="BS1078" i="489"/>
  <c r="BG1060" i="489"/>
  <c r="AU1150" i="489"/>
  <c r="AU1094" i="489"/>
  <c r="J1162" i="489"/>
  <c r="EN1038" i="489"/>
  <c r="EN1066" i="489"/>
  <c r="EN1022" i="489"/>
  <c r="EA1150" i="489"/>
  <c r="EA1134" i="489"/>
  <c r="DN1172" i="489"/>
  <c r="CP1094" i="489"/>
  <c r="CD1038" i="489"/>
  <c r="BF1038" i="489"/>
  <c r="AH1122" i="489"/>
  <c r="U1178" i="489"/>
  <c r="CN1004" i="489"/>
  <c r="L994" i="489"/>
  <c r="DZ1004" i="489"/>
  <c r="AG1004" i="489"/>
  <c r="CI1004" i="489"/>
  <c r="CM994" i="489"/>
  <c r="BG1010" i="489"/>
  <c r="EM1022" i="489"/>
  <c r="DA1134" i="489"/>
  <c r="BE1106" i="489"/>
  <c r="EL1144" i="489"/>
  <c r="EL1066" i="489"/>
  <c r="CN1022" i="489"/>
  <c r="S1116" i="489"/>
  <c r="AD1060" i="489"/>
  <c r="CL1172" i="489"/>
  <c r="BZ1060" i="489"/>
  <c r="ET1022" i="489"/>
  <c r="EI1172" i="489"/>
  <c r="DH1172" i="489"/>
  <c r="CU1172" i="489"/>
  <c r="Z1038" i="489"/>
  <c r="CH1094" i="489"/>
  <c r="CH1088" i="489"/>
  <c r="CS1106" i="489"/>
  <c r="BU1032" i="489"/>
  <c r="AW1022" i="489"/>
  <c r="X1134" i="489"/>
  <c r="DP1116" i="489"/>
  <c r="W1066" i="489"/>
  <c r="EC1106" i="489"/>
  <c r="DN1106" i="489"/>
  <c r="DB1134" i="489"/>
  <c r="CP1078" i="489"/>
  <c r="BF1078" i="489"/>
  <c r="AT1162" i="489"/>
  <c r="EQ994" i="489"/>
  <c r="DU994" i="489"/>
  <c r="EK994" i="489"/>
  <c r="BF1004" i="489"/>
  <c r="AF1010" i="489"/>
  <c r="EL994" i="489"/>
  <c r="EN1004" i="489"/>
  <c r="DY1004" i="489"/>
  <c r="BL1004" i="489"/>
  <c r="BH1010" i="489"/>
  <c r="BD994" i="489"/>
  <c r="AZ994" i="489"/>
  <c r="S1010" i="489"/>
  <c r="DN1004" i="489"/>
  <c r="AO1004" i="489"/>
  <c r="AW994" i="489"/>
  <c r="BC1010" i="489"/>
  <c r="EG1010" i="489"/>
  <c r="AD994" i="489"/>
  <c r="BW1010" i="489"/>
  <c r="AU994" i="489"/>
  <c r="CW1010" i="489"/>
  <c r="AB1010" i="489"/>
  <c r="EX1116" i="489"/>
  <c r="EX1022" i="489"/>
  <c r="EM1088" i="489"/>
  <c r="DZ1134" i="489"/>
  <c r="DZ1032" i="489"/>
  <c r="DM1122" i="489"/>
  <c r="DM1050" i="489"/>
  <c r="DA1116" i="489"/>
  <c r="CO1038" i="489"/>
  <c r="BE1094" i="489"/>
  <c r="AS1106" i="489"/>
  <c r="AG1144" i="489"/>
  <c r="T1162" i="489"/>
  <c r="EL1178" i="489"/>
  <c r="DL1162" i="489"/>
  <c r="DL1022" i="489"/>
  <c r="DL1094" i="489"/>
  <c r="CN1172" i="489"/>
  <c r="BP1178" i="489"/>
  <c r="BP1032" i="489"/>
  <c r="BD1144" i="489"/>
  <c r="BD1106" i="489"/>
  <c r="AR1172" i="489"/>
  <c r="AF1106" i="489"/>
  <c r="S1060" i="489"/>
  <c r="EK1066" i="489"/>
  <c r="DW1150" i="489"/>
  <c r="DW1032" i="489"/>
  <c r="DK1122" i="489"/>
  <c r="DK1116" i="489"/>
  <c r="CY1178" i="489"/>
  <c r="CM1116" i="489"/>
  <c r="CM1078" i="489"/>
  <c r="CA1144" i="489"/>
  <c r="BO1150" i="489"/>
  <c r="BO1050" i="489"/>
  <c r="BO1078" i="489"/>
  <c r="AD1038" i="489"/>
  <c r="R1032" i="489"/>
  <c r="R1022" i="489"/>
  <c r="EU1178" i="489"/>
  <c r="EJ1134" i="489"/>
  <c r="EJ1078" i="489"/>
  <c r="DV1066" i="489"/>
  <c r="DJ1122" i="489"/>
  <c r="DJ1162" i="489"/>
  <c r="CX1134" i="489"/>
  <c r="CX1144" i="489"/>
  <c r="CL1060" i="489"/>
  <c r="BZ1144" i="489"/>
  <c r="BZ1038" i="489"/>
  <c r="BN1150" i="489"/>
  <c r="BN1088" i="489"/>
  <c r="BN1050" i="489"/>
  <c r="BB1172" i="489"/>
  <c r="BB1078" i="489"/>
  <c r="AP1060" i="489"/>
  <c r="AC1178" i="489"/>
  <c r="AC1134" i="489"/>
  <c r="AC1078" i="489"/>
  <c r="Q1144" i="489"/>
  <c r="Q1106" i="489"/>
  <c r="Q1032" i="489"/>
  <c r="EI1162" i="489"/>
  <c r="EI1144" i="489"/>
  <c r="EI1038" i="489"/>
  <c r="DU1066" i="489"/>
  <c r="DU1032" i="489"/>
  <c r="DI1172" i="489"/>
  <c r="DI1066" i="489"/>
  <c r="DI1022" i="489"/>
  <c r="CW1060" i="489"/>
  <c r="CK1162" i="489"/>
  <c r="CK1134" i="489"/>
  <c r="CK1050" i="489"/>
  <c r="BY1066" i="489"/>
  <c r="BY1022" i="489"/>
  <c r="BM1144" i="489"/>
  <c r="BM1032" i="489"/>
  <c r="AO1144" i="489"/>
  <c r="AB1172" i="489"/>
  <c r="P1088" i="489"/>
  <c r="P1050" i="489"/>
  <c r="EH1122" i="489"/>
  <c r="EH1060" i="489"/>
  <c r="DH1060" i="489"/>
  <c r="CJ1038" i="489"/>
  <c r="CJ1088" i="489"/>
  <c r="BX1122" i="489"/>
  <c r="BL1116" i="489"/>
  <c r="BL1038" i="489"/>
  <c r="AZ1066" i="489"/>
  <c r="AN1150" i="489"/>
  <c r="AA1106" i="489"/>
  <c r="O1178" i="489"/>
  <c r="O1134" i="489"/>
  <c r="EG1038" i="489"/>
  <c r="DS1032" i="489"/>
  <c r="DS1038" i="489"/>
  <c r="DG1078" i="489"/>
  <c r="CU1116" i="489"/>
  <c r="CU1022" i="489"/>
  <c r="CI1050" i="489"/>
  <c r="BK1172" i="489"/>
  <c r="AY1094" i="489"/>
  <c r="AM1162" i="489"/>
  <c r="Z1094" i="489"/>
  <c r="Z1088" i="489"/>
  <c r="N1106" i="489"/>
  <c r="N1122" i="489"/>
  <c r="N1050" i="489"/>
  <c r="EQ1144" i="489"/>
  <c r="EQ1038" i="489"/>
  <c r="EF1162" i="489"/>
  <c r="DR1066" i="489"/>
  <c r="CT1060" i="489"/>
  <c r="CT1050" i="489"/>
  <c r="BV1060" i="489"/>
  <c r="BV1022" i="489"/>
  <c r="BJ1038" i="489"/>
  <c r="AL1094" i="489"/>
  <c r="AL1038" i="489"/>
  <c r="Y1078" i="489"/>
  <c r="M1106" i="489"/>
  <c r="EP1150" i="489"/>
  <c r="EP1106" i="489"/>
  <c r="EP1094" i="489"/>
  <c r="EP1022" i="489"/>
  <c r="DE1094" i="489"/>
  <c r="CG1178" i="489"/>
  <c r="CG1094" i="489"/>
  <c r="BU1116" i="489"/>
  <c r="BI1178" i="489"/>
  <c r="BI1144" i="489"/>
  <c r="AW1116" i="489"/>
  <c r="AK1106" i="489"/>
  <c r="X1172" i="489"/>
  <c r="X1066" i="489"/>
  <c r="X1022" i="489"/>
  <c r="ED1078" i="489"/>
  <c r="DP1078" i="489"/>
  <c r="DD1178" i="489"/>
  <c r="DD1050" i="489"/>
  <c r="CR1162" i="489"/>
  <c r="CR1060" i="489"/>
  <c r="CF1106" i="489"/>
  <c r="BT1060" i="489"/>
  <c r="BH1022" i="489"/>
  <c r="AV1060" i="489"/>
  <c r="W1050" i="489"/>
  <c r="K1078" i="489"/>
  <c r="EO1150" i="489"/>
  <c r="DO1150" i="489"/>
  <c r="DO1066" i="489"/>
  <c r="CE1134" i="489"/>
  <c r="AI1050" i="489"/>
  <c r="V1178" i="489"/>
  <c r="J1150" i="489"/>
  <c r="EN1060" i="489"/>
  <c r="EA1122" i="489"/>
  <c r="EA1116" i="489"/>
  <c r="EA1038" i="489"/>
  <c r="DB1094" i="489"/>
  <c r="CP1162" i="489"/>
  <c r="CP1050" i="489"/>
  <c r="CD1116" i="489"/>
  <c r="BR1150" i="489"/>
  <c r="BF1178" i="489"/>
  <c r="BF1060" i="489"/>
  <c r="AT1150" i="489"/>
  <c r="AT1038" i="489"/>
  <c r="AH1050" i="489"/>
  <c r="U1122" i="489"/>
  <c r="EU1004" i="489"/>
  <c r="V1010" i="489"/>
  <c r="CY1010" i="489"/>
  <c r="DH1004" i="489"/>
  <c r="AL1010" i="489"/>
  <c r="EL1010" i="489"/>
  <c r="EQ1010" i="489"/>
  <c r="CR1004" i="489"/>
  <c r="BT1004" i="489"/>
  <c r="BB994" i="489"/>
  <c r="AR1004" i="489"/>
  <c r="Q1004" i="489"/>
  <c r="K1010" i="489"/>
  <c r="AD1004" i="489"/>
  <c r="AB1004" i="489"/>
  <c r="BK1004" i="489"/>
  <c r="R1010" i="489"/>
  <c r="CA1010" i="489"/>
  <c r="AY1010" i="489"/>
  <c r="N1010" i="489"/>
  <c r="AY994" i="489"/>
  <c r="CS994" i="489"/>
  <c r="BE1010" i="489"/>
  <c r="CK994" i="489"/>
  <c r="EC1010" i="489"/>
  <c r="EX1122" i="489"/>
  <c r="EX1032" i="489"/>
  <c r="EM1122" i="489"/>
  <c r="EM1106" i="489"/>
  <c r="DZ1094" i="489"/>
  <c r="DZ1088" i="489"/>
  <c r="DM1078" i="489"/>
  <c r="DA1106" i="489"/>
  <c r="DA1088" i="489"/>
  <c r="DA1032" i="489"/>
  <c r="DA1066" i="489"/>
  <c r="CC1162" i="489"/>
  <c r="CC1116" i="489"/>
  <c r="CC1022" i="489"/>
  <c r="BE1060" i="489"/>
  <c r="AS1088" i="489"/>
  <c r="AS1144" i="489"/>
  <c r="AS1032" i="489"/>
  <c r="AG1134" i="489"/>
  <c r="AG1088" i="489"/>
  <c r="AG1066" i="489"/>
  <c r="T1150" i="489"/>
  <c r="DY1116" i="489"/>
  <c r="DL1150" i="489"/>
  <c r="DL1088" i="489"/>
  <c r="DL1060" i="489"/>
  <c r="CZ1038" i="489"/>
  <c r="CN1088" i="489"/>
  <c r="CN1032" i="489"/>
  <c r="CN1078" i="489"/>
  <c r="CB1094" i="489"/>
  <c r="BP1172" i="489"/>
  <c r="BP1038" i="489"/>
  <c r="BD1022" i="489"/>
  <c r="AR1162" i="489"/>
  <c r="AR1106" i="489"/>
  <c r="AR1094" i="489"/>
  <c r="S1122" i="489"/>
  <c r="S1106" i="489"/>
  <c r="S1094" i="489"/>
  <c r="EK1144" i="489"/>
  <c r="DW1066" i="489"/>
  <c r="DK1060" i="489"/>
  <c r="CY1172" i="489"/>
  <c r="CM1050" i="489"/>
  <c r="BO1088" i="489"/>
  <c r="BC1144" i="489"/>
  <c r="BC1038" i="489"/>
  <c r="AQ1178" i="489"/>
  <c r="AQ1066" i="489"/>
  <c r="AD1172" i="489"/>
  <c r="R1134" i="489"/>
  <c r="R1106" i="489"/>
  <c r="R1094" i="489"/>
  <c r="EU1162" i="489"/>
  <c r="EU1172" i="489"/>
  <c r="DJ1106" i="489"/>
  <c r="CX1116" i="489"/>
  <c r="CL1162" i="489"/>
  <c r="CL1038" i="489"/>
  <c r="BZ1178" i="489"/>
  <c r="BZ1066" i="489"/>
  <c r="BN1094" i="489"/>
  <c r="BB1088" i="489"/>
  <c r="AP1038" i="489"/>
  <c r="AC1172" i="489"/>
  <c r="AC1094" i="489"/>
  <c r="Q1134" i="489"/>
  <c r="EI1078" i="489"/>
  <c r="EI1022" i="489"/>
  <c r="DU1116" i="489"/>
  <c r="CK1178" i="489"/>
  <c r="CK1150" i="489"/>
  <c r="BM1134" i="489"/>
  <c r="BA1088" i="489"/>
  <c r="BA1094" i="489"/>
  <c r="AO1162" i="489"/>
  <c r="AB1032" i="489"/>
  <c r="P1150" i="489"/>
  <c r="ES1144" i="489"/>
  <c r="ES1094" i="489"/>
  <c r="EH1162" i="489"/>
  <c r="EH1066" i="489"/>
  <c r="EH1078" i="489"/>
  <c r="DT1060" i="489"/>
  <c r="DT1094" i="489"/>
  <c r="DT1050" i="489"/>
  <c r="DH1116" i="489"/>
  <c r="DH1122" i="489"/>
  <c r="CV1172" i="489"/>
  <c r="CV1122" i="489"/>
  <c r="BX1134" i="489"/>
  <c r="BL1172" i="489"/>
  <c r="BL1150" i="489"/>
  <c r="AN1066" i="489"/>
  <c r="AN1122" i="489"/>
  <c r="AA1162" i="489"/>
  <c r="O1172" i="489"/>
  <c r="O1094" i="489"/>
  <c r="O1050" i="489"/>
  <c r="O1022" i="489"/>
  <c r="ER1116" i="489"/>
  <c r="ER1122" i="489"/>
  <c r="ER1032" i="489"/>
  <c r="EG1178" i="489"/>
  <c r="DS1162" i="489"/>
  <c r="DG1178" i="489"/>
  <c r="DG1134" i="489"/>
  <c r="CU1032" i="489"/>
  <c r="CU1038" i="489"/>
  <c r="CI1088" i="489"/>
  <c r="AM1150" i="489"/>
  <c r="N1116" i="489"/>
  <c r="N1022" i="489"/>
  <c r="EQ1060" i="489"/>
  <c r="EQ1022" i="489"/>
  <c r="EF1150" i="489"/>
  <c r="CT1116" i="489"/>
  <c r="CT1066" i="489"/>
  <c r="CH1134" i="489"/>
  <c r="CH1150" i="489"/>
  <c r="BV1066" i="489"/>
  <c r="BV1032" i="489"/>
  <c r="AX1162" i="489"/>
  <c r="AX1106" i="489"/>
  <c r="EE1144" i="489"/>
  <c r="EE1106" i="489"/>
  <c r="DQ1116" i="489"/>
  <c r="DE1022" i="489"/>
  <c r="CS1122" i="489"/>
  <c r="CG1172" i="489"/>
  <c r="CG1122" i="489"/>
  <c r="BU1050" i="489"/>
  <c r="BI1172" i="489"/>
  <c r="L1094" i="489"/>
  <c r="ED1150" i="489"/>
  <c r="ED1122" i="489"/>
  <c r="ED1088" i="489"/>
  <c r="DD1106" i="489"/>
  <c r="CR1150" i="489"/>
  <c r="CR1144" i="489"/>
  <c r="CR1066" i="489"/>
  <c r="CF1122" i="489"/>
  <c r="BT1150" i="489"/>
  <c r="BH1172" i="489"/>
  <c r="BH1060" i="489"/>
  <c r="AV1038" i="489"/>
  <c r="AJ1178" i="489"/>
  <c r="AJ1032" i="489"/>
  <c r="W1144" i="489"/>
  <c r="W1032" i="489"/>
  <c r="K1172" i="489"/>
  <c r="K1162" i="489"/>
  <c r="K1038" i="489"/>
  <c r="EO1134" i="489"/>
  <c r="EO1094" i="489"/>
  <c r="EC1144" i="489"/>
  <c r="EC1178" i="489"/>
  <c r="EC1060" i="489"/>
  <c r="EC1122" i="489"/>
  <c r="EC1022" i="489"/>
  <c r="DO1144" i="489"/>
  <c r="CQ1178" i="489"/>
  <c r="CE1066" i="489"/>
  <c r="BS1038" i="489"/>
  <c r="BG1178" i="489"/>
  <c r="BG1066" i="489"/>
  <c r="AU1078" i="489"/>
  <c r="AI1116" i="489"/>
  <c r="AI1122" i="489"/>
  <c r="AI1032" i="489"/>
  <c r="V1038" i="489"/>
  <c r="J1078" i="489"/>
  <c r="EN1144" i="489"/>
  <c r="EN1050" i="489"/>
  <c r="EA1022" i="489"/>
  <c r="DN1050" i="489"/>
  <c r="CP1144" i="489"/>
  <c r="CP1022" i="489"/>
  <c r="BR1122" i="489"/>
  <c r="DC1066" i="489"/>
  <c r="DC1038" i="489"/>
  <c r="DC1010" i="489"/>
  <c r="BR1010" i="489"/>
  <c r="BR1066" i="489"/>
  <c r="BR1038" i="489"/>
  <c r="Y994" i="489"/>
  <c r="Y1038" i="489"/>
  <c r="Y1066" i="489"/>
  <c r="Y1010" i="489"/>
  <c r="AF1066" i="489"/>
  <c r="AF994" i="489"/>
  <c r="AF1022" i="489"/>
  <c r="AF1038" i="489"/>
  <c r="DB1010" i="489"/>
  <c r="DB1066" i="489"/>
  <c r="DB1050" i="489"/>
  <c r="DB994" i="489"/>
  <c r="DB1038" i="489"/>
  <c r="DB1004" i="489"/>
  <c r="DB1022" i="489"/>
  <c r="DB1032" i="489"/>
  <c r="DB1060" i="489"/>
  <c r="DG1038" i="489"/>
  <c r="DG1066" i="489"/>
  <c r="DG1060" i="489"/>
  <c r="DG1022" i="489"/>
  <c r="DG1032" i="489"/>
  <c r="DG1010" i="489"/>
  <c r="DG1050" i="489"/>
  <c r="DG1004" i="489"/>
  <c r="DF1010" i="489"/>
  <c r="DF1066" i="489"/>
  <c r="DF994" i="489"/>
  <c r="DF1038" i="489"/>
  <c r="CX1032" i="489"/>
  <c r="CX994" i="489"/>
  <c r="CX1010" i="489"/>
  <c r="CX1004" i="489"/>
  <c r="CX1050" i="489"/>
  <c r="CX1066" i="489"/>
  <c r="CX1060" i="489"/>
  <c r="CX1022" i="489"/>
  <c r="CX1038" i="489"/>
  <c r="AA994" i="489"/>
  <c r="AA1038" i="489"/>
  <c r="AA1066" i="489"/>
  <c r="AA1050" i="489"/>
  <c r="AA1004" i="489"/>
  <c r="AA1022" i="489"/>
  <c r="AA1060" i="489"/>
  <c r="AA1032" i="489"/>
  <c r="EQ1179" i="489" l="1"/>
  <c r="DO1179" i="489"/>
  <c r="EJ1235" i="489"/>
  <c r="DL1039" i="489"/>
  <c r="BX1123" i="489"/>
  <c r="AI1095" i="489"/>
  <c r="BY1207" i="489"/>
  <c r="EL1263" i="489"/>
  <c r="BH1263" i="489"/>
  <c r="CG1095" i="489"/>
  <c r="DB1263" i="489"/>
  <c r="BI1095" i="489"/>
  <c r="V1137" i="489"/>
  <c r="AK1126" i="489"/>
  <c r="AK1134" i="489" s="1"/>
  <c r="EP1011" i="489"/>
  <c r="ET1011" i="489"/>
  <c r="Z1263" i="489"/>
  <c r="DN1067" i="489"/>
  <c r="AB1095" i="489"/>
  <c r="DZ1151" i="489"/>
  <c r="CI1151" i="489"/>
  <c r="ET1067" i="489"/>
  <c r="DJ1095" i="489"/>
  <c r="AM1011" i="489"/>
  <c r="BE1123" i="489"/>
  <c r="EO1067" i="489"/>
  <c r="DP1095" i="489"/>
  <c r="DT1039" i="489"/>
  <c r="EE1179" i="489"/>
  <c r="AI1067" i="489"/>
  <c r="BS1025" i="489"/>
  <c r="BS1032" i="489" s="1"/>
  <c r="BS1053" i="489"/>
  <c r="DC1025" i="489"/>
  <c r="EQ1235" i="489"/>
  <c r="V1165" i="489"/>
  <c r="DC1014" i="489"/>
  <c r="AK1014" i="489"/>
  <c r="BS1014" i="489"/>
  <c r="BS1022" i="489" s="1"/>
  <c r="Y1014" i="489"/>
  <c r="AK1053" i="489"/>
  <c r="V1025" i="489"/>
  <c r="DF1014" i="489"/>
  <c r="DF1022" i="489" s="1"/>
  <c r="DF1039" i="489" s="1"/>
  <c r="CS1014" i="489"/>
  <c r="CS1022" i="489" s="1"/>
  <c r="AR1235" i="489"/>
  <c r="BY1235" i="489"/>
  <c r="EN1123" i="489"/>
  <c r="EE1095" i="489"/>
  <c r="DT1095" i="489"/>
  <c r="DS1123" i="489"/>
  <c r="CP1179" i="489"/>
  <c r="EP1039" i="489"/>
  <c r="EP1235" i="489"/>
  <c r="BT1263" i="489"/>
  <c r="BY1039" i="489"/>
  <c r="AA1179" i="489"/>
  <c r="N1039" i="489"/>
  <c r="BQ1039" i="489"/>
  <c r="CR1123" i="489"/>
  <c r="BD1123" i="489"/>
  <c r="DJ1039" i="489"/>
  <c r="Q1095" i="489"/>
  <c r="Z1067" i="489"/>
  <c r="EG1263" i="489"/>
  <c r="AD1207" i="489"/>
  <c r="DS1151" i="489"/>
  <c r="AS1235" i="489"/>
  <c r="BC1067" i="489"/>
  <c r="AA1207" i="489"/>
  <c r="DN1235" i="489"/>
  <c r="EP1067" i="489"/>
  <c r="CH1179" i="489"/>
  <c r="CT1123" i="489"/>
  <c r="EE1123" i="489"/>
  <c r="AS1123" i="489"/>
  <c r="CJ1123" i="489"/>
  <c r="CC1179" i="489"/>
  <c r="AW1151" i="489"/>
  <c r="DZ1179" i="489"/>
  <c r="N1095" i="489"/>
  <c r="BH1151" i="489"/>
  <c r="AZ1039" i="489"/>
  <c r="EO1039" i="489"/>
  <c r="EJ1263" i="489"/>
  <c r="CM1095" i="489"/>
  <c r="Q1235" i="489"/>
  <c r="BL1067" i="489"/>
  <c r="DJ1123" i="489"/>
  <c r="CU1067" i="489"/>
  <c r="CK1263" i="489"/>
  <c r="BV1151" i="489"/>
  <c r="P1123" i="489"/>
  <c r="BJ1039" i="489"/>
  <c r="AR1067" i="489"/>
  <c r="AM1179" i="489"/>
  <c r="AB1067" i="489"/>
  <c r="AA1151" i="489"/>
  <c r="ER1067" i="489"/>
  <c r="R1179" i="489"/>
  <c r="DV1207" i="489"/>
  <c r="CK1095" i="489"/>
  <c r="AO1039" i="489"/>
  <c r="EF1067" i="489"/>
  <c r="BO1039" i="489"/>
  <c r="EL1095" i="489"/>
  <c r="AR1179" i="489"/>
  <c r="BF1095" i="489"/>
  <c r="BN1067" i="489"/>
  <c r="AC1039" i="489"/>
  <c r="BT1095" i="489"/>
  <c r="CR1235" i="489"/>
  <c r="ES1123" i="489"/>
  <c r="BQ1095" i="489"/>
  <c r="EX1067" i="489"/>
  <c r="BO1011" i="489"/>
  <c r="CP1039" i="489"/>
  <c r="EO1151" i="489"/>
  <c r="K1095" i="489"/>
  <c r="BF1151" i="489"/>
  <c r="W1067" i="489"/>
  <c r="CK1067" i="489"/>
  <c r="DB1123" i="489"/>
  <c r="AI1179" i="489"/>
  <c r="T1207" i="489"/>
  <c r="DD1123" i="489"/>
  <c r="EP1179" i="489"/>
  <c r="K1067" i="489"/>
  <c r="DO1123" i="489"/>
  <c r="DQ1235" i="489"/>
  <c r="EQ1263" i="489"/>
  <c r="AC1151" i="489"/>
  <c r="CW1095" i="489"/>
  <c r="DN1151" i="489"/>
  <c r="EJ1067" i="489"/>
  <c r="EA1067" i="489"/>
  <c r="BF1235" i="489"/>
  <c r="CC1039" i="489"/>
  <c r="BU1095" i="489"/>
  <c r="DI1263" i="489"/>
  <c r="AC1067" i="489"/>
  <c r="DU1151" i="489"/>
  <c r="CY1123" i="489"/>
  <c r="DA1151" i="489"/>
  <c r="BE1039" i="489"/>
  <c r="CR1179" i="489"/>
  <c r="DB1095" i="489"/>
  <c r="BJ1151" i="489"/>
  <c r="BX1151" i="489"/>
  <c r="AM1095" i="489"/>
  <c r="EC1263" i="489"/>
  <c r="CI1123" i="489"/>
  <c r="DY1151" i="489"/>
  <c r="DO1039" i="489"/>
  <c r="BH1123" i="489"/>
  <c r="EH1011" i="489"/>
  <c r="CG1011" i="489"/>
  <c r="DK1151" i="489"/>
  <c r="EN1067" i="489"/>
  <c r="R1123" i="489"/>
  <c r="AW1067" i="489"/>
  <c r="AA1123" i="489"/>
  <c r="AG1039" i="489"/>
  <c r="DG1151" i="489"/>
  <c r="BM1039" i="489"/>
  <c r="EC1151" i="489"/>
  <c r="CY1095" i="489"/>
  <c r="BP1151" i="489"/>
  <c r="L1123" i="489"/>
  <c r="EI1039" i="489"/>
  <c r="EF1095" i="489"/>
  <c r="DR1235" i="489"/>
  <c r="AO1263" i="489"/>
  <c r="CD1095" i="489"/>
  <c r="DH1067" i="489"/>
  <c r="Q1039" i="489"/>
  <c r="AI1151" i="489"/>
  <c r="W1011" i="489"/>
  <c r="DP1235" i="489"/>
  <c r="W1263" i="489"/>
  <c r="CI1095" i="489"/>
  <c r="X1039" i="489"/>
  <c r="O1151" i="489"/>
  <c r="EN1095" i="489"/>
  <c r="BE1266" i="489"/>
  <c r="EK1151" i="489"/>
  <c r="CC1067" i="489"/>
  <c r="CO1179" i="489"/>
  <c r="BI1123" i="489"/>
  <c r="AR1151" i="489"/>
  <c r="EF1263" i="489"/>
  <c r="BG1235" i="489"/>
  <c r="R1235" i="489"/>
  <c r="DK1039" i="489"/>
  <c r="T1179" i="489"/>
  <c r="DE1263" i="489"/>
  <c r="DM1235" i="489"/>
  <c r="AW1039" i="489"/>
  <c r="CJ1263" i="489"/>
  <c r="CX1263" i="489"/>
  <c r="EQ1039" i="489"/>
  <c r="CE1151" i="489"/>
  <c r="ER1151" i="489"/>
  <c r="AP1263" i="489"/>
  <c r="CU1263" i="489"/>
  <c r="CX1095" i="489"/>
  <c r="ET1263" i="489"/>
  <c r="DM1011" i="489"/>
  <c r="AV1151" i="489"/>
  <c r="DH1263" i="489"/>
  <c r="BB1263" i="489"/>
  <c r="DN1095" i="489"/>
  <c r="CY1039" i="489"/>
  <c r="DV1123" i="489"/>
  <c r="CD1179" i="489"/>
  <c r="BM1151" i="489"/>
  <c r="S1151" i="489"/>
  <c r="ED1179" i="489"/>
  <c r="CT1179" i="489"/>
  <c r="DH1095" i="489"/>
  <c r="AS1179" i="489"/>
  <c r="DQ1039" i="489"/>
  <c r="DJ1151" i="489"/>
  <c r="Q1179" i="489"/>
  <c r="CM1263" i="489"/>
  <c r="ET1039" i="489"/>
  <c r="CL1095" i="489"/>
  <c r="M1095" i="489"/>
  <c r="BZ1207" i="489"/>
  <c r="M1123" i="489"/>
  <c r="EK1235" i="489"/>
  <c r="X1011" i="489"/>
  <c r="CA1039" i="489"/>
  <c r="DL1095" i="489"/>
  <c r="DJ1179" i="489"/>
  <c r="BO1151" i="489"/>
  <c r="AD1067" i="489"/>
  <c r="AA1095" i="489"/>
  <c r="AZ1095" i="489"/>
  <c r="CY1067" i="489"/>
  <c r="ER1095" i="489"/>
  <c r="BW1235" i="489"/>
  <c r="BC1151" i="489"/>
  <c r="BJ1123" i="489"/>
  <c r="DY1067" i="489"/>
  <c r="EI1095" i="489"/>
  <c r="BD1039" i="489"/>
  <c r="EE1039" i="489"/>
  <c r="O1067" i="489"/>
  <c r="CH1123" i="489"/>
  <c r="DV1179" i="489"/>
  <c r="BG1151" i="489"/>
  <c r="BB1123" i="489"/>
  <c r="EO1179" i="489"/>
  <c r="CR1263" i="489"/>
  <c r="AG1095" i="489"/>
  <c r="BW1067" i="489"/>
  <c r="DB1207" i="489"/>
  <c r="DE1039" i="489"/>
  <c r="DM1095" i="489"/>
  <c r="DO1263" i="489"/>
  <c r="CA1207" i="489"/>
  <c r="T1263" i="489"/>
  <c r="CY1235" i="489"/>
  <c r="BH1235" i="489"/>
  <c r="CD1067" i="489"/>
  <c r="BQ1151" i="489"/>
  <c r="ED1151" i="489"/>
  <c r="AF1151" i="489"/>
  <c r="DP1263" i="489"/>
  <c r="AB1207" i="489"/>
  <c r="DI1235" i="489"/>
  <c r="DO1095" i="489"/>
  <c r="BG1095" i="489"/>
  <c r="BH1095" i="489"/>
  <c r="CC1011" i="489"/>
  <c r="DA1095" i="489"/>
  <c r="DB1151" i="489"/>
  <c r="EH1151" i="489"/>
  <c r="EG1123" i="489"/>
  <c r="EH1039" i="489"/>
  <c r="BQ1067" i="489"/>
  <c r="J1095" i="489"/>
  <c r="AM1123" i="489"/>
  <c r="R1151" i="489"/>
  <c r="EF1123" i="489"/>
  <c r="DE1151" i="489"/>
  <c r="DT1235" i="489"/>
  <c r="EC1179" i="489"/>
  <c r="BI1263" i="489"/>
  <c r="BL1179" i="489"/>
  <c r="ET1179" i="489"/>
  <c r="CP1123" i="489"/>
  <c r="AP1179" i="489"/>
  <c r="DU1039" i="489"/>
  <c r="DQ1151" i="489"/>
  <c r="EX1095" i="489"/>
  <c r="DE1067" i="489"/>
  <c r="BB1151" i="489"/>
  <c r="ER1011" i="489"/>
  <c r="BD1067" i="489"/>
  <c r="O1123" i="489"/>
  <c r="BP1263" i="489"/>
  <c r="CA1266" i="489"/>
  <c r="BO1123" i="489"/>
  <c r="AB1151" i="489"/>
  <c r="ET1095" i="489"/>
  <c r="R1067" i="489"/>
  <c r="EM1235" i="489"/>
  <c r="EE1151" i="489"/>
  <c r="AS1095" i="489"/>
  <c r="AL1266" i="489"/>
  <c r="EP1123" i="489"/>
  <c r="DI1039" i="489"/>
  <c r="CD1266" i="489"/>
  <c r="CU1095" i="489"/>
  <c r="DG1123" i="489"/>
  <c r="EU1095" i="489"/>
  <c r="BV1235" i="489"/>
  <c r="BV1123" i="489"/>
  <c r="CU1151" i="489"/>
  <c r="BJ1179" i="489"/>
  <c r="O1235" i="489"/>
  <c r="BN1235" i="489"/>
  <c r="CE1039" i="489"/>
  <c r="DZ1067" i="489"/>
  <c r="ED1263" i="489"/>
  <c r="BU1067" i="489"/>
  <c r="AR1123" i="489"/>
  <c r="DP1039" i="489"/>
  <c r="AZ1179" i="489"/>
  <c r="BQ1123" i="489"/>
  <c r="CM1039" i="489"/>
  <c r="BH1266" i="489"/>
  <c r="DP1151" i="489"/>
  <c r="DQ1207" i="489"/>
  <c r="CX1235" i="489"/>
  <c r="DB1235" i="489"/>
  <c r="DW1207" i="489"/>
  <c r="DL1263" i="489"/>
  <c r="ET1207" i="489"/>
  <c r="CW1235" i="489"/>
  <c r="CE1095" i="489"/>
  <c r="BX1235" i="489"/>
  <c r="Q1151" i="489"/>
  <c r="CM1067" i="489"/>
  <c r="DG1095" i="489"/>
  <c r="AY1123" i="489"/>
  <c r="CD1151" i="489"/>
  <c r="N1067" i="489"/>
  <c r="BE1151" i="489"/>
  <c r="AB1235" i="489"/>
  <c r="EL1264" i="489"/>
  <c r="X1151" i="489"/>
  <c r="AW1266" i="489"/>
  <c r="AV1263" i="489"/>
  <c r="CD1235" i="489"/>
  <c r="N1266" i="489"/>
  <c r="Q1123" i="489"/>
  <c r="EQ1095" i="489"/>
  <c r="EJ1039" i="489"/>
  <c r="K1235" i="489"/>
  <c r="DU1207" i="489"/>
  <c r="DU1263" i="489"/>
  <c r="ER1263" i="489"/>
  <c r="EL1235" i="489"/>
  <c r="BZ1235" i="489"/>
  <c r="DG1235" i="489"/>
  <c r="DT1207" i="489"/>
  <c r="DR1207" i="489"/>
  <c r="BA1067" i="489"/>
  <c r="CV1067" i="489"/>
  <c r="CP1067" i="489"/>
  <c r="DV1067" i="489"/>
  <c r="CI1067" i="489"/>
  <c r="EI1266" i="489"/>
  <c r="EI1179" i="489"/>
  <c r="EL1266" i="489"/>
  <c r="DL1179" i="489"/>
  <c r="BI1039" i="489"/>
  <c r="BP1067" i="489"/>
  <c r="EM1067" i="489"/>
  <c r="DP1067" i="489"/>
  <c r="EJ1123" i="489"/>
  <c r="AN1039" i="489"/>
  <c r="CC1151" i="489"/>
  <c r="BO1179" i="489"/>
  <c r="AD1123" i="489"/>
  <c r="S1039" i="489"/>
  <c r="CP1207" i="489"/>
  <c r="AR1265" i="489"/>
  <c r="EF1179" i="489"/>
  <c r="DH1039" i="489"/>
  <c r="BY1095" i="489"/>
  <c r="BN1179" i="489"/>
  <c r="AY1151" i="489"/>
  <c r="AY1264" i="489"/>
  <c r="EI1067" i="489"/>
  <c r="AG1151" i="489"/>
  <c r="AD1264" i="489"/>
  <c r="AV1179" i="489"/>
  <c r="BC1123" i="489"/>
  <c r="EG1265" i="489"/>
  <c r="DU1179" i="489"/>
  <c r="DS1179" i="489"/>
  <c r="EH1095" i="489"/>
  <c r="BH1039" i="489"/>
  <c r="BQ1179" i="489"/>
  <c r="EH1179" i="489"/>
  <c r="BO1067" i="489"/>
  <c r="BJ1067" i="489"/>
  <c r="R1039" i="489"/>
  <c r="BC1179" i="489"/>
  <c r="DL1207" i="489"/>
  <c r="AA1235" i="489"/>
  <c r="DY1207" i="489"/>
  <c r="Q1265" i="489"/>
  <c r="EK1263" i="489"/>
  <c r="CK1235" i="489"/>
  <c r="CP1095" i="489"/>
  <c r="DT1179" i="489"/>
  <c r="BI1207" i="489"/>
  <c r="DT1067" i="489"/>
  <c r="DJ1235" i="489"/>
  <c r="M1235" i="489"/>
  <c r="DQ1095" i="489"/>
  <c r="DJ1264" i="489"/>
  <c r="EC1207" i="489"/>
  <c r="AW1207" i="489"/>
  <c r="AZ1207" i="489"/>
  <c r="EM1264" i="489"/>
  <c r="DS1263" i="489"/>
  <c r="CX1265" i="489"/>
  <c r="DF1266" i="489"/>
  <c r="DB1265" i="489"/>
  <c r="AS1067" i="489"/>
  <c r="BY1263" i="489"/>
  <c r="CX1266" i="489"/>
  <c r="BZ1263" i="489"/>
  <c r="AZ1263" i="489"/>
  <c r="BX1207" i="489"/>
  <c r="EO1263" i="489"/>
  <c r="EP1207" i="489"/>
  <c r="BQ1235" i="489"/>
  <c r="BG1207" i="489"/>
  <c r="DG1263" i="489"/>
  <c r="AP1235" i="489"/>
  <c r="CP1235" i="489"/>
  <c r="AM1039" i="489"/>
  <c r="BA1151" i="489"/>
  <c r="BP1264" i="489"/>
  <c r="AS1263" i="489"/>
  <c r="BL1263" i="489"/>
  <c r="AW1263" i="489"/>
  <c r="DK1265" i="489"/>
  <c r="M1263" i="489"/>
  <c r="AW1235" i="489"/>
  <c r="BO1207" i="489"/>
  <c r="AG1263" i="489"/>
  <c r="CL1235" i="489"/>
  <c r="DI1151" i="489"/>
  <c r="AO1266" i="489"/>
  <c r="BX1266" i="489"/>
  <c r="DM1266" i="489"/>
  <c r="R1266" i="489"/>
  <c r="ET1266" i="489"/>
  <c r="DL1266" i="489"/>
  <c r="DG1266" i="489"/>
  <c r="DR1266" i="489"/>
  <c r="BV1266" i="489"/>
  <c r="AZ1266" i="489"/>
  <c r="DV1266" i="489"/>
  <c r="Y1266" i="489"/>
  <c r="DB1264" i="489"/>
  <c r="AA1264" i="489"/>
  <c r="BV1067" i="489"/>
  <c r="BW1011" i="489"/>
  <c r="BW1266" i="489"/>
  <c r="DY1011" i="489"/>
  <c r="DY1265" i="489"/>
  <c r="L1011" i="489"/>
  <c r="BG1067" i="489"/>
  <c r="CU1265" i="489"/>
  <c r="BY1264" i="489"/>
  <c r="AP1265" i="489"/>
  <c r="DQ1266" i="489"/>
  <c r="AJ1266" i="489"/>
  <c r="BN1011" i="489"/>
  <c r="BE1264" i="489"/>
  <c r="EC1265" i="489"/>
  <c r="DI1266" i="489"/>
  <c r="BG1264" i="489"/>
  <c r="EU1264" i="489"/>
  <c r="EI1264" i="489"/>
  <c r="ED1207" i="489"/>
  <c r="DA1235" i="489"/>
  <c r="W1266" i="489"/>
  <c r="BO1264" i="489"/>
  <c r="EP1266" i="489"/>
  <c r="DM1264" i="489"/>
  <c r="BK1011" i="489"/>
  <c r="DH1011" i="489"/>
  <c r="DH1265" i="489"/>
  <c r="EN1265" i="489"/>
  <c r="AI1011" i="489"/>
  <c r="AI1266" i="489"/>
  <c r="CP1265" i="489"/>
  <c r="BG1039" i="489"/>
  <c r="BJ1095" i="489"/>
  <c r="BW1151" i="489"/>
  <c r="AB1264" i="489"/>
  <c r="Q1264" i="489"/>
  <c r="DH1266" i="489"/>
  <c r="ES1039" i="489"/>
  <c r="T1266" i="489"/>
  <c r="CR1266" i="489"/>
  <c r="CD1265" i="489"/>
  <c r="ES1067" i="489"/>
  <c r="AR1266" i="489"/>
  <c r="L1266" i="489"/>
  <c r="EX1266" i="489"/>
  <c r="CC1266" i="489"/>
  <c r="P1266" i="489"/>
  <c r="DK1235" i="489"/>
  <c r="EN1207" i="489"/>
  <c r="EF1235" i="489"/>
  <c r="DG1207" i="489"/>
  <c r="DI1207" i="489"/>
  <c r="BD1207" i="489"/>
  <c r="EE1263" i="489"/>
  <c r="CC1263" i="489"/>
  <c r="CT1207" i="489"/>
  <c r="ES1235" i="489"/>
  <c r="EX1235" i="489"/>
  <c r="AI1263" i="489"/>
  <c r="EF1207" i="489"/>
  <c r="EH1207" i="489"/>
  <c r="EI1207" i="489"/>
  <c r="BC1263" i="489"/>
  <c r="DY1235" i="489"/>
  <c r="AP1207" i="489"/>
  <c r="BA1264" i="489"/>
  <c r="BN1266" i="489"/>
  <c r="DP1264" i="489"/>
  <c r="CC1264" i="489"/>
  <c r="AB1265" i="489"/>
  <c r="CY1011" i="489"/>
  <c r="EG1011" i="489"/>
  <c r="CN1265" i="489"/>
  <c r="DK1011" i="489"/>
  <c r="DK1264" i="489"/>
  <c r="CR1264" i="489"/>
  <c r="EA1264" i="489"/>
  <c r="BD1265" i="489"/>
  <c r="BZ1011" i="489"/>
  <c r="BZ1264" i="489"/>
  <c r="EO1265" i="489"/>
  <c r="DD1266" i="489"/>
  <c r="EO1123" i="489"/>
  <c r="BA1266" i="489"/>
  <c r="AV1011" i="489"/>
  <c r="AV1264" i="489"/>
  <c r="CW1039" i="489"/>
  <c r="DO1265" i="489"/>
  <c r="BY1266" i="489"/>
  <c r="T1264" i="489"/>
  <c r="AN1266" i="489"/>
  <c r="CO1263" i="489"/>
  <c r="BU1263" i="489"/>
  <c r="DT1263" i="489"/>
  <c r="BJ1235" i="489"/>
  <c r="BP1235" i="489"/>
  <c r="BW1263" i="489"/>
  <c r="DK1207" i="489"/>
  <c r="DZ1263" i="489"/>
  <c r="CP1263" i="489"/>
  <c r="BM1263" i="489"/>
  <c r="CE1235" i="489"/>
  <c r="BA1207" i="489"/>
  <c r="DK1263" i="489"/>
  <c r="AI1235" i="489"/>
  <c r="EU1207" i="489"/>
  <c r="DA1207" i="489"/>
  <c r="CD1263" i="489"/>
  <c r="DH1235" i="489"/>
  <c r="W1235" i="489"/>
  <c r="N1263" i="489"/>
  <c r="BD1263" i="489"/>
  <c r="CC1207" i="489"/>
  <c r="BX1265" i="489"/>
  <c r="CH1266" i="489"/>
  <c r="CB1266" i="489"/>
  <c r="AD1265" i="489"/>
  <c r="V1266" i="489"/>
  <c r="BC1266" i="489"/>
  <c r="AF1266" i="489"/>
  <c r="EN1039" i="489"/>
  <c r="AS1011" i="489"/>
  <c r="AS1264" i="489"/>
  <c r="EF1266" i="489"/>
  <c r="DG1264" i="489"/>
  <c r="BV1265" i="489"/>
  <c r="N1265" i="489"/>
  <c r="DQ1067" i="489"/>
  <c r="EE1265" i="489"/>
  <c r="AD1266" i="489"/>
  <c r="CH1011" i="489"/>
  <c r="CH1264" i="489"/>
  <c r="DM1151" i="489"/>
  <c r="CU1266" i="489"/>
  <c r="EK1265" i="489"/>
  <c r="ER1266" i="489"/>
  <c r="X1266" i="489"/>
  <c r="EO1207" i="489"/>
  <c r="BP1207" i="489"/>
  <c r="EH1263" i="489"/>
  <c r="BQ1207" i="489"/>
  <c r="CH1263" i="489"/>
  <c r="O1207" i="489"/>
  <c r="DZ1235" i="489"/>
  <c r="DJ1207" i="489"/>
  <c r="EL1207" i="489"/>
  <c r="EA1235" i="489"/>
  <c r="BV1263" i="489"/>
  <c r="AD1263" i="489"/>
  <c r="DM1263" i="489"/>
  <c r="ES1263" i="489"/>
  <c r="EE1235" i="489"/>
  <c r="AA1263" i="489"/>
  <c r="DA1263" i="489"/>
  <c r="ER1264" i="489"/>
  <c r="CV1266" i="489"/>
  <c r="EH1264" i="489"/>
  <c r="DY1264" i="489"/>
  <c r="DL1264" i="489"/>
  <c r="BI1265" i="489"/>
  <c r="K1011" i="489"/>
  <c r="K1266" i="489"/>
  <c r="EU1265" i="489"/>
  <c r="AW1011" i="489"/>
  <c r="AW1264" i="489"/>
  <c r="BF1265" i="489"/>
  <c r="BG1011" i="489"/>
  <c r="BG1266" i="489"/>
  <c r="Z1266" i="489"/>
  <c r="DJ1011" i="489"/>
  <c r="DJ1265" i="489"/>
  <c r="CM1266" i="489"/>
  <c r="CL1265" i="489"/>
  <c r="CW1265" i="489"/>
  <c r="AP1264" i="489"/>
  <c r="AM1264" i="489"/>
  <c r="EH1265" i="489"/>
  <c r="EG1264" i="489"/>
  <c r="BL1266" i="489"/>
  <c r="CG1266" i="489"/>
  <c r="M1266" i="489"/>
  <c r="BF1266" i="489"/>
  <c r="BJ1207" i="489"/>
  <c r="K1263" i="489"/>
  <c r="AC1263" i="489"/>
  <c r="S1207" i="489"/>
  <c r="EQ1207" i="489"/>
  <c r="EJ1207" i="489"/>
  <c r="EK1207" i="489"/>
  <c r="CE1263" i="489"/>
  <c r="EE1207" i="489"/>
  <c r="AM1235" i="489"/>
  <c r="CY1263" i="489"/>
  <c r="DZ1207" i="489"/>
  <c r="EV1266" i="489"/>
  <c r="BK1266" i="489"/>
  <c r="EJ1264" i="489"/>
  <c r="EW1266" i="489"/>
  <c r="EF1265" i="489"/>
  <c r="CE1265" i="489"/>
  <c r="CK1011" i="489"/>
  <c r="CK1264" i="489"/>
  <c r="AO1011" i="489"/>
  <c r="EK1011" i="489"/>
  <c r="EK1264" i="489"/>
  <c r="CM1011" i="489"/>
  <c r="DR1265" i="489"/>
  <c r="BY1265" i="489"/>
  <c r="T1265" i="489"/>
  <c r="CV1011" i="489"/>
  <c r="EI1011" i="489"/>
  <c r="BD1266" i="489"/>
  <c r="AG1264" i="489"/>
  <c r="EJ1011" i="489"/>
  <c r="EJ1265" i="489"/>
  <c r="BC1264" i="489"/>
  <c r="BZ1265" i="489"/>
  <c r="AV1266" i="489"/>
  <c r="BO1266" i="489"/>
  <c r="DW1264" i="489"/>
  <c r="O1264" i="489"/>
  <c r="AC1011" i="489"/>
  <c r="AC1266" i="489"/>
  <c r="ET1264" i="489"/>
  <c r="S1235" i="489"/>
  <c r="AV1207" i="489"/>
  <c r="CG1235" i="489"/>
  <c r="DQ1263" i="489"/>
  <c r="N1207" i="489"/>
  <c r="EO1235" i="489"/>
  <c r="DY1263" i="489"/>
  <c r="EG1235" i="489"/>
  <c r="AZ1235" i="489"/>
  <c r="CW1207" i="489"/>
  <c r="T1235" i="489"/>
  <c r="EM1263" i="489"/>
  <c r="BA1263" i="489"/>
  <c r="DW1235" i="489"/>
  <c r="BH1207" i="489"/>
  <c r="AY1263" i="489"/>
  <c r="EX1263" i="489"/>
  <c r="AM1266" i="489"/>
  <c r="EH1266" i="489"/>
  <c r="EM1266" i="489"/>
  <c r="AP1266" i="489"/>
  <c r="DU1264" i="489"/>
  <c r="CM1151" i="489"/>
  <c r="DQ1011" i="489"/>
  <c r="DQ1264" i="489"/>
  <c r="BL1095" i="489"/>
  <c r="BI1266" i="489"/>
  <c r="EL1265" i="489"/>
  <c r="EE1264" i="489"/>
  <c r="EP1265" i="489"/>
  <c r="EN1264" i="489"/>
  <c r="BQ1266" i="489"/>
  <c r="CK1265" i="489"/>
  <c r="BP1266" i="489"/>
  <c r="BQ1264" i="489"/>
  <c r="W1265" i="489"/>
  <c r="EO1264" i="489"/>
  <c r="EP1263" i="489"/>
  <c r="DH1207" i="489"/>
  <c r="ET1235" i="489"/>
  <c r="R1207" i="489"/>
  <c r="AR1263" i="489"/>
  <c r="EN1263" i="489"/>
  <c r="CV1207" i="489"/>
  <c r="DO1207" i="489"/>
  <c r="CH1207" i="489"/>
  <c r="O1263" i="489"/>
  <c r="BC1207" i="489"/>
  <c r="BI1235" i="489"/>
  <c r="BA1235" i="489"/>
  <c r="CM1207" i="489"/>
  <c r="DA1264" i="489"/>
  <c r="CO1265" i="489"/>
  <c r="CO1266" i="489"/>
  <c r="CJ1266" i="489"/>
  <c r="CP1266" i="489"/>
  <c r="DG1265" i="489"/>
  <c r="BB1011" i="489"/>
  <c r="BB1264" i="489"/>
  <c r="EX1123" i="489"/>
  <c r="S1011" i="489"/>
  <c r="S1266" i="489"/>
  <c r="EQ1264" i="489"/>
  <c r="DW1266" i="489"/>
  <c r="CD1011" i="489"/>
  <c r="CD1264" i="489"/>
  <c r="EA1179" i="489"/>
  <c r="BE1265" i="489"/>
  <c r="ES1265" i="489"/>
  <c r="AD1151" i="489"/>
  <c r="O1011" i="489"/>
  <c r="O1265" i="489"/>
  <c r="CY1265" i="489"/>
  <c r="BU1011" i="489"/>
  <c r="BU1265" i="489"/>
  <c r="BB1266" i="489"/>
  <c r="DN1266" i="489"/>
  <c r="AG1123" i="489"/>
  <c r="DZ1264" i="489"/>
  <c r="CJ1011" i="489"/>
  <c r="CJ1264" i="489"/>
  <c r="DO1011" i="489"/>
  <c r="DO1264" i="489"/>
  <c r="CJ1265" i="489"/>
  <c r="Q1266" i="489"/>
  <c r="CI1263" i="489"/>
  <c r="AY1235" i="489"/>
  <c r="BL1235" i="489"/>
  <c r="DW1263" i="489"/>
  <c r="ED1235" i="489"/>
  <c r="Q1207" i="489"/>
  <c r="EN1235" i="489"/>
  <c r="ER1207" i="489"/>
  <c r="AY1207" i="489"/>
  <c r="S1263" i="489"/>
  <c r="AS1207" i="489"/>
  <c r="CG1207" i="489"/>
  <c r="BB1207" i="489"/>
  <c r="EM1207" i="489"/>
  <c r="CW1263" i="489"/>
  <c r="EA1263" i="489"/>
  <c r="DO1235" i="489"/>
  <c r="BJ1263" i="489"/>
  <c r="CJ1207" i="489"/>
  <c r="AG1235" i="489"/>
  <c r="DJ1263" i="489"/>
  <c r="BU1266" i="489"/>
  <c r="DJ1266" i="489"/>
  <c r="BJ1264" i="489"/>
  <c r="DI1264" i="489"/>
  <c r="CX1011" i="489"/>
  <c r="CX1264" i="489"/>
  <c r="DA1123" i="489"/>
  <c r="AZ1011" i="489"/>
  <c r="AZ1264" i="489"/>
  <c r="BM1011" i="489"/>
  <c r="EF1264" i="489"/>
  <c r="EX1265" i="489"/>
  <c r="CK1123" i="489"/>
  <c r="CM1265" i="489"/>
  <c r="AR1264" i="489"/>
  <c r="EG1095" i="489"/>
  <c r="CO1011" i="489"/>
  <c r="ED1265" i="489"/>
  <c r="AG1266" i="489"/>
  <c r="K1151" i="489"/>
  <c r="BV1179" i="489"/>
  <c r="DH1151" i="489"/>
  <c r="CS1266" i="489"/>
  <c r="ES1266" i="489"/>
  <c r="CI1266" i="489"/>
  <c r="BJ1266" i="489"/>
  <c r="BL1207" i="489"/>
  <c r="AB1263" i="489"/>
  <c r="AI1207" i="489"/>
  <c r="AV1235" i="489"/>
  <c r="N1235" i="489"/>
  <c r="BE1207" i="489"/>
  <c r="CJ1235" i="489"/>
  <c r="BC1235" i="489"/>
  <c r="Q1263" i="489"/>
  <c r="AR1207" i="489"/>
  <c r="DR1263" i="489"/>
  <c r="CY1207" i="489"/>
  <c r="CI1207" i="489"/>
  <c r="CV1235" i="489"/>
  <c r="BV1207" i="489"/>
  <c r="DV1235" i="489"/>
  <c r="AG1207" i="489"/>
  <c r="DE1266" i="489"/>
  <c r="AT1266" i="489"/>
  <c r="DT1266" i="489"/>
  <c r="EQ1265" i="489"/>
  <c r="AA1265" i="489"/>
  <c r="CR1067" i="489"/>
  <c r="BD1011" i="489"/>
  <c r="BD1264" i="489"/>
  <c r="CI1265" i="489"/>
  <c r="AS1265" i="489"/>
  <c r="CP1264" i="489"/>
  <c r="DP1266" i="489"/>
  <c r="BQ1265" i="489"/>
  <c r="DY1266" i="489"/>
  <c r="EC1264" i="489"/>
  <c r="AZ1265" i="489"/>
  <c r="AH1266" i="489"/>
  <c r="DA1011" i="489"/>
  <c r="DA1265" i="489"/>
  <c r="ED1266" i="489"/>
  <c r="DS1266" i="489"/>
  <c r="AQ1266" i="489"/>
  <c r="BO1265" i="489"/>
  <c r="EU1266" i="489"/>
  <c r="ER1265" i="489"/>
  <c r="CC1265" i="489"/>
  <c r="DA1266" i="489"/>
  <c r="DS1207" i="489"/>
  <c r="BF1263" i="489"/>
  <c r="CR1207" i="489"/>
  <c r="BX1263" i="489"/>
  <c r="AJ1235" i="489"/>
  <c r="CU1235" i="489"/>
  <c r="BD1235" i="489"/>
  <c r="EC1235" i="489"/>
  <c r="CH1235" i="489"/>
  <c r="EU1263" i="489"/>
  <c r="ER1235" i="489"/>
  <c r="DQ1265" i="489"/>
  <c r="DS1264" i="489"/>
  <c r="CK1266" i="489"/>
  <c r="CN1266" i="489"/>
  <c r="DT1265" i="489"/>
  <c r="AY1011" i="489"/>
  <c r="AY1266" i="489"/>
  <c r="EQ1011" i="489"/>
  <c r="EQ1266" i="489"/>
  <c r="CW1011" i="489"/>
  <c r="AG1265" i="489"/>
  <c r="EM1011" i="489"/>
  <c r="EM1265" i="489"/>
  <c r="EA1011" i="489"/>
  <c r="EA1266" i="489"/>
  <c r="BP1011" i="489"/>
  <c r="BP1265" i="489"/>
  <c r="EO1266" i="489"/>
  <c r="AI1265" i="489"/>
  <c r="ED1011" i="489"/>
  <c r="ED1264" i="489"/>
  <c r="DN1264" i="489"/>
  <c r="BX1011" i="489"/>
  <c r="BX1264" i="489"/>
  <c r="BY1123" i="489"/>
  <c r="T1067" i="489"/>
  <c r="BG1265" i="489"/>
  <c r="DT1011" i="489"/>
  <c r="DT1264" i="489"/>
  <c r="X1265" i="489"/>
  <c r="Z1265" i="489"/>
  <c r="CU1264" i="489"/>
  <c r="DP1011" i="489"/>
  <c r="DP1265" i="489"/>
  <c r="K1264" i="489"/>
  <c r="BI1264" i="489"/>
  <c r="J1266" i="489"/>
  <c r="AS1266" i="489"/>
  <c r="BT1266" i="489"/>
  <c r="EU1151" i="489"/>
  <c r="BG1263" i="489"/>
  <c r="CC1235" i="489"/>
  <c r="CU1207" i="489"/>
  <c r="ES1207" i="489"/>
  <c r="BO1263" i="489"/>
  <c r="BF1207" i="489"/>
  <c r="BE1235" i="489"/>
  <c r="DP1207" i="489"/>
  <c r="DS1235" i="489"/>
  <c r="CK1207" i="489"/>
  <c r="R1263" i="489"/>
  <c r="BE1263" i="489"/>
  <c r="BC1265" i="489"/>
  <c r="CY1264" i="489"/>
  <c r="CQ1266" i="489"/>
  <c r="BH1264" i="489"/>
  <c r="DH1264" i="489"/>
  <c r="DG1067" i="489"/>
  <c r="DB1266" i="489"/>
  <c r="K1179" i="489"/>
  <c r="BL1011" i="489"/>
  <c r="BL1265" i="489"/>
  <c r="DZ1265" i="489"/>
  <c r="DU1266" i="489"/>
  <c r="BJ1011" i="489"/>
  <c r="BJ1265" i="489"/>
  <c r="EK1123" i="489"/>
  <c r="AU1266" i="489"/>
  <c r="AY1265" i="489"/>
  <c r="DI1265" i="489"/>
  <c r="AI1264" i="489"/>
  <c r="BH1011" i="489"/>
  <c r="BH1265" i="489"/>
  <c r="BV1264" i="489"/>
  <c r="EM1179" i="489"/>
  <c r="BW1265" i="489"/>
  <c r="ET1265" i="489"/>
  <c r="AX1266" i="489"/>
  <c r="EK1266" i="489"/>
  <c r="ES1264" i="489"/>
  <c r="CA1235" i="489"/>
  <c r="CD1207" i="489"/>
  <c r="CE1207" i="489"/>
  <c r="EA1207" i="489"/>
  <c r="BK1207" i="489"/>
  <c r="EU1235" i="489"/>
  <c r="AM1263" i="489"/>
  <c r="BO1235" i="489"/>
  <c r="EP1264" i="489"/>
  <c r="EH1235" i="489"/>
  <c r="CX1207" i="489"/>
  <c r="BQ1263" i="489"/>
  <c r="EG1207" i="489"/>
  <c r="BU1207" i="489"/>
  <c r="AD1235" i="489"/>
  <c r="DZ1266" i="489"/>
  <c r="AK1266" i="489"/>
  <c r="CT1266" i="489"/>
  <c r="DK1266" i="489"/>
  <c r="BL1264" i="489"/>
  <c r="O1266" i="489"/>
  <c r="DO1266" i="489"/>
  <c r="BZ1266" i="489"/>
  <c r="EC1123" i="489"/>
  <c r="BH1179" i="489"/>
  <c r="CV1123" i="489"/>
  <c r="CR1011" i="489"/>
  <c r="BP1095" i="489"/>
  <c r="DQ1179" i="489"/>
  <c r="CJ1095" i="489"/>
  <c r="BI1067" i="489"/>
  <c r="DU1123" i="489"/>
  <c r="S1067" i="489"/>
  <c r="EL1179" i="489"/>
  <c r="DA1039" i="489"/>
  <c r="EN1011" i="489"/>
  <c r="X1123" i="489"/>
  <c r="CH1067" i="489"/>
  <c r="DS1011" i="489"/>
  <c r="DT1151" i="489"/>
  <c r="BZ1095" i="489"/>
  <c r="BT1067" i="489"/>
  <c r="DK1179" i="489"/>
  <c r="AG1179" i="489"/>
  <c r="DM1123" i="489"/>
  <c r="DN1039" i="489"/>
  <c r="EQ1151" i="489"/>
  <c r="BX1179" i="489"/>
  <c r="DK1123" i="489"/>
  <c r="CH1151" i="489"/>
  <c r="ED1095" i="489"/>
  <c r="BO1095" i="489"/>
  <c r="EL1011" i="489"/>
  <c r="CE1067" i="489"/>
  <c r="DH1123" i="489"/>
  <c r="EG1179" i="489"/>
  <c r="BI1179" i="489"/>
  <c r="BD1179" i="489"/>
  <c r="EL1151" i="489"/>
  <c r="R1011" i="489"/>
  <c r="AW1123" i="489"/>
  <c r="ED1039" i="489"/>
  <c r="EH1067" i="489"/>
  <c r="AJ1011" i="489"/>
  <c r="AW1179" i="489"/>
  <c r="AD1095" i="489"/>
  <c r="DW1039" i="489"/>
  <c r="BP1123" i="489"/>
  <c r="AS1151" i="489"/>
  <c r="CG1039" i="489"/>
  <c r="CJ1067" i="489"/>
  <c r="BY1011" i="489"/>
  <c r="CC1123" i="489"/>
  <c r="T1011" i="489"/>
  <c r="EU1011" i="489"/>
  <c r="CX1151" i="489"/>
  <c r="BK1039" i="489"/>
  <c r="CV1095" i="489"/>
  <c r="CK1039" i="489"/>
  <c r="DV1095" i="489"/>
  <c r="AY1067" i="489"/>
  <c r="AP1039" i="489"/>
  <c r="BP1039" i="489"/>
  <c r="EC1011" i="489"/>
  <c r="CL1067" i="489"/>
  <c r="AR1095" i="489"/>
  <c r="AP1151" i="489"/>
  <c r="ES1095" i="489"/>
  <c r="DO1151" i="489"/>
  <c r="BL1039" i="489"/>
  <c r="BA1123" i="489"/>
  <c r="DM1179" i="489"/>
  <c r="DN1179" i="489"/>
  <c r="BV1095" i="489"/>
  <c r="Z1011" i="489"/>
  <c r="CJ1151" i="489"/>
  <c r="AP1095" i="489"/>
  <c r="EK1067" i="489"/>
  <c r="CU1039" i="489"/>
  <c r="BB1095" i="489"/>
  <c r="EX1039" i="489"/>
  <c r="EC1067" i="489"/>
  <c r="X1067" i="489"/>
  <c r="DN1011" i="489"/>
  <c r="L1095" i="489"/>
  <c r="BK1095" i="489"/>
  <c r="CX1179" i="489"/>
  <c r="BE1011" i="489"/>
  <c r="DI1011" i="489"/>
  <c r="CR1151" i="489"/>
  <c r="AP1123" i="489"/>
  <c r="BE1095" i="489"/>
  <c r="DZ1095" i="489"/>
  <c r="ED1123" i="489"/>
  <c r="DH1179" i="489"/>
  <c r="BC1039" i="489"/>
  <c r="EK1039" i="489"/>
  <c r="EL1067" i="489"/>
  <c r="CE1011" i="489"/>
  <c r="EU1179" i="489"/>
  <c r="BE1067" i="489"/>
  <c r="DZ1039" i="489"/>
  <c r="EE1067" i="489"/>
  <c r="ER1123" i="489"/>
  <c r="DA1067" i="489"/>
  <c r="DP1123" i="489"/>
  <c r="CG1179" i="489"/>
  <c r="AT1039" i="489"/>
  <c r="W1039" i="489"/>
  <c r="ER1039" i="489"/>
  <c r="BM1123" i="489"/>
  <c r="BC1095" i="489"/>
  <c r="DW1179" i="489"/>
  <c r="DQ1123" i="489"/>
  <c r="O1039" i="489"/>
  <c r="CX1123" i="489"/>
  <c r="EM1095" i="489"/>
  <c r="DT1123" i="489"/>
  <c r="BT1123" i="489"/>
  <c r="BW1095" i="489"/>
  <c r="Q1067" i="489"/>
  <c r="AR1039" i="489"/>
  <c r="EG1039" i="489"/>
  <c r="CJ1179" i="489"/>
  <c r="AD1179" i="489"/>
  <c r="BE1179" i="489"/>
  <c r="L1039" i="489"/>
  <c r="DU1095" i="489"/>
  <c r="BB1179" i="489"/>
  <c r="EK1179" i="489"/>
  <c r="DM1039" i="489"/>
  <c r="DW1011" i="489"/>
  <c r="DW1067" i="489"/>
  <c r="BF1039" i="489"/>
  <c r="EH1123" i="489"/>
  <c r="AR1011" i="489"/>
  <c r="EF1039" i="489"/>
  <c r="BK1067" i="489"/>
  <c r="EP1095" i="489"/>
  <c r="AD1039" i="489"/>
  <c r="T1151" i="489"/>
  <c r="EM1151" i="489"/>
  <c r="BW1179" i="489"/>
  <c r="DJ1067" i="489"/>
  <c r="BF1011" i="489"/>
  <c r="EA1123" i="489"/>
  <c r="DY1179" i="489"/>
  <c r="AV1067" i="489"/>
  <c r="ES1179" i="489"/>
  <c r="T1123" i="489"/>
  <c r="BQ1011" i="489"/>
  <c r="BL1123" i="489"/>
  <c r="DI1067" i="489"/>
  <c r="CY1179" i="489"/>
  <c r="CP1151" i="489"/>
  <c r="AB1179" i="489"/>
  <c r="CW1179" i="489"/>
  <c r="CN1151" i="489"/>
  <c r="BW1123" i="489"/>
  <c r="BN1095" i="489"/>
  <c r="BF1067" i="489"/>
  <c r="DD1095" i="489"/>
  <c r="BK1179" i="489"/>
  <c r="BY1151" i="489"/>
  <c r="BB1039" i="489"/>
  <c r="AZ1123" i="489"/>
  <c r="CW1067" i="489"/>
  <c r="AP1067" i="489"/>
  <c r="DO1067" i="489"/>
  <c r="EQ1123" i="489"/>
  <c r="CU1123" i="489"/>
  <c r="P1095" i="489"/>
  <c r="DK1067" i="489"/>
  <c r="CU1011" i="489"/>
  <c r="W1095" i="489"/>
  <c r="ED1067" i="489"/>
  <c r="EL1039" i="489"/>
  <c r="BG1179" i="489"/>
  <c r="ES1151" i="489"/>
  <c r="N1011" i="489"/>
  <c r="BL1151" i="489"/>
  <c r="EM1039" i="489"/>
  <c r="EF1011" i="489"/>
  <c r="AG1067" i="489"/>
  <c r="AI1039" i="489"/>
  <c r="EF1151" i="489"/>
  <c r="AN1123" i="489"/>
  <c r="BY1179" i="489"/>
  <c r="BV1011" i="489"/>
  <c r="AI1123" i="489"/>
  <c r="DS1067" i="489"/>
  <c r="DW1151" i="489"/>
  <c r="CT1011" i="489"/>
  <c r="EN1151" i="489"/>
  <c r="W1151" i="489"/>
  <c r="AY1039" i="489"/>
  <c r="BF1123" i="489"/>
  <c r="EI1151" i="489"/>
  <c r="EX1151" i="489"/>
  <c r="CI1011" i="489"/>
  <c r="EO1011" i="489"/>
  <c r="CN1095" i="489"/>
  <c r="BV1039" i="489"/>
  <c r="N1123" i="489"/>
  <c r="DS1039" i="489"/>
  <c r="BX1039" i="489"/>
  <c r="CP1011" i="489"/>
  <c r="DZ1123" i="489"/>
  <c r="O1179" i="489"/>
  <c r="AV1039" i="489"/>
  <c r="EQ1067" i="489"/>
  <c r="AZ1151" i="489"/>
  <c r="EU1067" i="489"/>
  <c r="DL1067" i="489"/>
  <c r="DI1095" i="489"/>
  <c r="BB1067" i="489"/>
  <c r="DL1123" i="489"/>
  <c r="CD1123" i="489"/>
  <c r="BC1011" i="489"/>
  <c r="ER1179" i="489"/>
  <c r="CO1067" i="489"/>
  <c r="AY1179" i="489"/>
  <c r="Q1011" i="489"/>
  <c r="CK1151" i="489"/>
  <c r="BH1067" i="489"/>
  <c r="EP1151" i="489"/>
  <c r="DY1123" i="489"/>
  <c r="N1151" i="489"/>
  <c r="BA1179" i="489"/>
  <c r="BZ1039" i="489"/>
  <c r="AB1011" i="489"/>
  <c r="BG1123" i="489"/>
  <c r="CW1151" i="489"/>
  <c r="EU1123" i="489"/>
  <c r="DL1151" i="489"/>
  <c r="CU1179" i="489"/>
  <c r="BX1067" i="489"/>
  <c r="EJ1179" i="489"/>
  <c r="EK1095" i="489"/>
  <c r="CC1095" i="489"/>
  <c r="Z1095" i="489"/>
  <c r="O1095" i="489"/>
  <c r="CV1179" i="489"/>
  <c r="AV1123" i="489"/>
  <c r="S1179" i="489"/>
  <c r="T1095" i="489"/>
  <c r="BI1011" i="489"/>
  <c r="AO1151" i="489"/>
  <c r="ET1123" i="489"/>
  <c r="CM1123" i="489"/>
  <c r="BD1151" i="489"/>
  <c r="CT1067" i="489"/>
  <c r="CK1179" i="489"/>
  <c r="AD1011" i="489"/>
  <c r="DG1179" i="489"/>
  <c r="BZ1151" i="489"/>
  <c r="AS1039" i="489"/>
  <c r="T1039" i="489"/>
  <c r="CO1095" i="489"/>
  <c r="EX1011" i="489"/>
  <c r="CD1039" i="489"/>
  <c r="DP1179" i="489"/>
  <c r="DI1179" i="489"/>
  <c r="BZ1067" i="489"/>
  <c r="DY1095" i="489"/>
  <c r="CJ1039" i="489"/>
  <c r="DI1123" i="489"/>
  <c r="BZ1123" i="489"/>
  <c r="EU1039" i="489"/>
  <c r="DY1039" i="489"/>
  <c r="EO1095" i="489"/>
  <c r="Z1151" i="489"/>
  <c r="AZ1067" i="489"/>
  <c r="DZ1011" i="489"/>
  <c r="X1095" i="489"/>
  <c r="AY1095" i="489"/>
  <c r="ET1151" i="489"/>
  <c r="BD1095" i="489"/>
  <c r="K1039" i="489"/>
  <c r="BW1039" i="489"/>
  <c r="BP1179" i="489"/>
  <c r="CL1011" i="489"/>
  <c r="S1123" i="489"/>
  <c r="EM1123" i="489"/>
  <c r="AC1095" i="489"/>
  <c r="CN1039" i="489"/>
  <c r="EG1151" i="489"/>
  <c r="AN1151" i="489"/>
  <c r="CH1095" i="489"/>
  <c r="BY1067" i="489"/>
  <c r="CO1151" i="489"/>
  <c r="BU1123" i="489"/>
  <c r="CL1039" i="489"/>
  <c r="AP1011" i="489"/>
  <c r="BZ1179" i="489"/>
  <c r="EL1123" i="489"/>
  <c r="AG1011" i="489"/>
  <c r="DB1179" i="489"/>
  <c r="AM1151" i="489"/>
  <c r="BA1095" i="489"/>
  <c r="DU1067" i="489"/>
  <c r="ES1011" i="489"/>
  <c r="DK1095" i="489"/>
  <c r="DA1179" i="489"/>
  <c r="BI1151" i="489"/>
  <c r="BX1095" i="489"/>
  <c r="DB1039" i="489"/>
  <c r="DB1011" i="489"/>
  <c r="DB1067" i="489"/>
  <c r="DG1011" i="489"/>
  <c r="DG1039" i="489"/>
  <c r="CX1039" i="489"/>
  <c r="CX1067" i="489"/>
  <c r="AA1039" i="489"/>
  <c r="AA1067" i="489"/>
  <c r="Y198" i="147"/>
  <c r="AY371" i="147"/>
  <c r="BG371" i="147"/>
  <c r="CJ371" i="147"/>
  <c r="DB371" i="147"/>
  <c r="DG371" i="147"/>
  <c r="DK371" i="147"/>
  <c r="DY371" i="147"/>
  <c r="ET371" i="147"/>
  <c r="EU371" i="147"/>
  <c r="DC198" i="147"/>
  <c r="V198" i="147"/>
  <c r="DF198" i="147"/>
  <c r="CS198" i="147"/>
  <c r="DF194" i="147"/>
  <c r="DC194" i="147"/>
  <c r="CS194" i="147"/>
  <c r="BS194" i="147"/>
  <c r="Y194" i="147"/>
  <c r="DC192" i="147"/>
  <c r="DC29" i="489" s="1"/>
  <c r="DF192" i="147"/>
  <c r="DF29" i="489" s="1"/>
  <c r="CS192" i="147"/>
  <c r="CS29" i="489" s="1"/>
  <c r="BS192" i="147"/>
  <c r="BS29" i="489" s="1"/>
  <c r="Y192" i="147"/>
  <c r="Y29" i="489" s="1"/>
  <c r="DC175" i="147"/>
  <c r="CZ175" i="147"/>
  <c r="CS175" i="147"/>
  <c r="BS175" i="147"/>
  <c r="V175" i="147"/>
  <c r="U175" i="147"/>
  <c r="CZ174" i="147"/>
  <c r="DC174" i="147"/>
  <c r="CS174" i="147"/>
  <c r="BS174" i="147"/>
  <c r="V174" i="147"/>
  <c r="U174" i="147"/>
  <c r="Y109" i="147"/>
  <c r="BS109" i="147"/>
  <c r="CS109" i="147"/>
  <c r="DC109" i="147"/>
  <c r="CS104" i="147"/>
  <c r="BS104" i="147"/>
  <c r="Y104" i="147"/>
  <c r="CT47" i="147"/>
  <c r="CU46" i="147"/>
  <c r="B45" i="147"/>
  <c r="J29" i="469"/>
  <c r="I29" i="469"/>
  <c r="H29" i="469"/>
  <c r="G29" i="469"/>
  <c r="J31" i="366"/>
  <c r="H31" i="366"/>
  <c r="Y1109" i="489" l="1"/>
  <c r="BS1039" i="489"/>
  <c r="V1109" i="489"/>
  <c r="BS1109" i="489"/>
  <c r="BS1210" i="489"/>
  <c r="CS1210" i="489"/>
  <c r="V1210" i="489"/>
  <c r="Y1126" i="489"/>
  <c r="Y1134" i="489" s="1"/>
  <c r="BS1126" i="489"/>
  <c r="BS1134" i="489" s="1"/>
  <c r="CS1126" i="489"/>
  <c r="CS1134" i="489" s="1"/>
  <c r="AK1210" i="489"/>
  <c r="DF1126" i="489"/>
  <c r="DF1134" i="489" s="1"/>
  <c r="Y1210" i="489"/>
  <c r="B415" i="147"/>
  <c r="Y1237" i="489"/>
  <c r="CS1237" i="489"/>
  <c r="CU371" i="147"/>
  <c r="BS1237" i="489"/>
  <c r="DF1237" i="489"/>
  <c r="CD1267" i="489"/>
  <c r="BP1267" i="489"/>
  <c r="EL1267" i="489"/>
  <c r="CX1267" i="489"/>
  <c r="DH1267" i="489"/>
  <c r="DB1267" i="489"/>
  <c r="BX1267" i="489"/>
  <c r="CU1267" i="489"/>
  <c r="AR1267" i="489"/>
  <c r="BL1267" i="489"/>
  <c r="AI1267" i="489"/>
  <c r="BH1267" i="489"/>
  <c r="ES1267" i="489"/>
  <c r="EF1267" i="489"/>
  <c r="CP1267" i="489"/>
  <c r="BI1267" i="489"/>
  <c r="BV1267" i="489"/>
  <c r="DT1267" i="489"/>
  <c r="AD1267" i="489"/>
  <c r="CJ1267" i="489"/>
  <c r="AY1267" i="489"/>
  <c r="BD1267" i="489"/>
  <c r="BE1267" i="489"/>
  <c r="AG1267" i="489"/>
  <c r="EM1267" i="489"/>
  <c r="DJ1267" i="489"/>
  <c r="CC1267" i="489"/>
  <c r="BQ1267" i="489"/>
  <c r="DA1267" i="489"/>
  <c r="DQ1267" i="489"/>
  <c r="DK1267" i="489"/>
  <c r="BC1267" i="489"/>
  <c r="ER1267" i="489"/>
  <c r="DP1267" i="489"/>
  <c r="T1267" i="489"/>
  <c r="DO1267" i="489"/>
  <c r="ET1267" i="489"/>
  <c r="EK1267" i="489"/>
  <c r="BZ1267" i="489"/>
  <c r="BJ1267" i="489"/>
  <c r="DI1267" i="489"/>
  <c r="EO1267" i="489"/>
  <c r="EU1267" i="489"/>
  <c r="DY1267" i="489"/>
  <c r="O1267" i="489"/>
  <c r="DG1267" i="489"/>
  <c r="DZ1267" i="489"/>
  <c r="EQ1267" i="489"/>
  <c r="AP1267" i="489"/>
  <c r="BG1267" i="489"/>
  <c r="AZ1267" i="489"/>
  <c r="EP1267" i="489"/>
  <c r="Q1267" i="489"/>
  <c r="BO1267" i="489"/>
  <c r="BY1267" i="489"/>
  <c r="ED1267" i="489"/>
  <c r="AS1267" i="489"/>
  <c r="CK1267" i="489"/>
  <c r="EH1267" i="489"/>
  <c r="J32" i="205"/>
  <c r="I32" i="205"/>
  <c r="H32" i="205"/>
  <c r="G32" i="205"/>
  <c r="G28" i="205"/>
  <c r="H28" i="205"/>
  <c r="I28" i="205"/>
  <c r="J28" i="205"/>
  <c r="G29" i="205"/>
  <c r="H29" i="205"/>
  <c r="I29" i="205"/>
  <c r="J29" i="205"/>
  <c r="J31" i="89"/>
  <c r="I31" i="89"/>
  <c r="H31" i="89"/>
  <c r="G31" i="89"/>
  <c r="DC1053" i="489" l="1"/>
  <c r="CS1053" i="489"/>
  <c r="CS1060" i="489" s="1"/>
  <c r="CS1042" i="489"/>
  <c r="V1053" i="489"/>
  <c r="V1042" i="489"/>
  <c r="Y1053" i="489"/>
  <c r="Y1042" i="489"/>
  <c r="DF1053" i="489"/>
  <c r="DF1042" i="489"/>
  <c r="DF1210" i="489"/>
  <c r="DF1041" i="489"/>
  <c r="Y1041" i="489"/>
  <c r="CS1041" i="489"/>
  <c r="BS1041" i="489"/>
  <c r="BS1050" i="489" s="1"/>
  <c r="Y997" i="489"/>
  <c r="CS997" i="489"/>
  <c r="BS997" i="489"/>
  <c r="DF997" i="489"/>
  <c r="BS1137" i="489"/>
  <c r="CS1137" i="489"/>
  <c r="Y1193" i="489"/>
  <c r="Y1137" i="489"/>
  <c r="CS1209" i="489"/>
  <c r="BS1209" i="489"/>
  <c r="DF1209" i="489"/>
  <c r="J29" i="213"/>
  <c r="I29" i="213"/>
  <c r="H29" i="213"/>
  <c r="G29" i="213"/>
  <c r="G33" i="207"/>
  <c r="I33" i="207"/>
  <c r="DF1050" i="489" l="1"/>
  <c r="Y1050" i="489"/>
  <c r="CS1050" i="489"/>
  <c r="CS1067" i="489" s="1"/>
  <c r="W372" i="147"/>
  <c r="W740" i="147" s="1"/>
  <c r="AA372" i="147"/>
  <c r="AA740" i="147" s="1"/>
  <c r="AB372" i="147"/>
  <c r="AB740" i="147" s="1"/>
  <c r="E19" i="276"/>
  <c r="E19" i="279"/>
  <c r="E19" i="278"/>
  <c r="E19" i="340"/>
  <c r="E19" i="280"/>
  <c r="AB599" i="147" l="1"/>
  <c r="AB737" i="147"/>
  <c r="AB738" i="147"/>
  <c r="AB739" i="147"/>
  <c r="W599" i="147"/>
  <c r="W739" i="147"/>
  <c r="W737" i="147"/>
  <c r="W738" i="147"/>
  <c r="AA599" i="147"/>
  <c r="AA739" i="147"/>
  <c r="AA737" i="147"/>
  <c r="AA738" i="147"/>
  <c r="AB689" i="147"/>
  <c r="W689" i="147"/>
  <c r="AA689" i="147"/>
  <c r="AA567" i="147"/>
  <c r="AA630" i="147"/>
  <c r="AB567" i="147"/>
  <c r="AB630" i="147"/>
  <c r="W567" i="147"/>
  <c r="W630" i="147"/>
  <c r="AA644" i="147"/>
  <c r="AA645" i="147"/>
  <c r="AA646" i="147"/>
  <c r="AA647" i="147"/>
  <c r="AA648" i="147"/>
  <c r="AA649" i="147"/>
  <c r="AA650" i="147"/>
  <c r="AA656" i="147"/>
  <c r="AA657" i="147"/>
  <c r="AA658" i="147"/>
  <c r="AA655" i="147"/>
  <c r="AA654" i="147"/>
  <c r="AA659" i="147"/>
  <c r="AA660" i="147"/>
  <c r="AA661" i="147"/>
  <c r="AA652" i="147"/>
  <c r="AA651" i="147"/>
  <c r="AA653" i="147"/>
  <c r="AA663" i="147"/>
  <c r="AA664" i="147"/>
  <c r="AA665" i="147"/>
  <c r="AA666" i="147"/>
  <c r="AA667" i="147"/>
  <c r="AA672" i="147"/>
  <c r="AA662" i="147"/>
  <c r="AA668" i="147"/>
  <c r="AA678" i="147"/>
  <c r="AA679" i="147"/>
  <c r="AA680" i="147"/>
  <c r="AA681" i="147"/>
  <c r="AA682" i="147"/>
  <c r="AA683" i="147"/>
  <c r="AA684" i="147"/>
  <c r="AA685" i="147"/>
  <c r="AA671" i="147"/>
  <c r="AA673" i="147"/>
  <c r="AA674" i="147"/>
  <c r="AA675" i="147"/>
  <c r="AA676" i="147"/>
  <c r="AA677" i="147"/>
  <c r="AA670" i="147"/>
  <c r="AA669" i="147"/>
  <c r="AA692" i="147"/>
  <c r="AA693" i="147"/>
  <c r="AA686" i="147"/>
  <c r="AA687" i="147"/>
  <c r="AA688" i="147"/>
  <c r="AA690" i="147"/>
  <c r="AA691" i="147"/>
  <c r="AA694" i="147"/>
  <c r="AA704" i="147"/>
  <c r="AA706" i="147"/>
  <c r="AA707" i="147"/>
  <c r="AA708" i="147"/>
  <c r="AA710" i="147"/>
  <c r="AA711" i="147"/>
  <c r="AA712" i="147"/>
  <c r="AA713" i="147"/>
  <c r="AA714" i="147"/>
  <c r="AA715" i="147"/>
  <c r="AA716" i="147"/>
  <c r="AA703" i="147"/>
  <c r="AA695" i="147"/>
  <c r="AA696" i="147"/>
  <c r="AA697" i="147"/>
  <c r="AA698" i="147"/>
  <c r="AA699" i="147"/>
  <c r="AA700" i="147"/>
  <c r="AA701" i="147"/>
  <c r="AA702" i="147"/>
  <c r="AA717" i="147"/>
  <c r="AA718" i="147"/>
  <c r="AA719" i="147"/>
  <c r="AA720" i="147"/>
  <c r="AA721" i="147"/>
  <c r="AA722" i="147"/>
  <c r="AA723" i="147"/>
  <c r="AA724" i="147"/>
  <c r="AA725" i="147"/>
  <c r="AA726" i="147"/>
  <c r="AA705" i="147"/>
  <c r="AA727" i="147"/>
  <c r="AA728" i="147"/>
  <c r="AA729" i="147"/>
  <c r="AA730" i="147"/>
  <c r="AA731" i="147"/>
  <c r="AA732" i="147"/>
  <c r="AA733" i="147"/>
  <c r="AA734" i="147"/>
  <c r="AA735" i="147"/>
  <c r="AA736" i="147"/>
  <c r="W644" i="147"/>
  <c r="W645" i="147"/>
  <c r="W646" i="147"/>
  <c r="W647" i="147"/>
  <c r="W648" i="147"/>
  <c r="W649" i="147"/>
  <c r="W650" i="147"/>
  <c r="W651" i="147"/>
  <c r="W652" i="147"/>
  <c r="W653" i="147"/>
  <c r="W654" i="147"/>
  <c r="W655" i="147"/>
  <c r="W659" i="147"/>
  <c r="W660" i="147"/>
  <c r="W661" i="147"/>
  <c r="W656" i="147"/>
  <c r="W657" i="147"/>
  <c r="W658" i="147"/>
  <c r="W662" i="147"/>
  <c r="W663" i="147"/>
  <c r="W664" i="147"/>
  <c r="W665" i="147"/>
  <c r="W666" i="147"/>
  <c r="W667" i="147"/>
  <c r="W668" i="147"/>
  <c r="W669" i="147"/>
  <c r="W670" i="147"/>
  <c r="W671" i="147"/>
  <c r="W672" i="147"/>
  <c r="W673" i="147"/>
  <c r="W674" i="147"/>
  <c r="W675" i="147"/>
  <c r="W676" i="147"/>
  <c r="W677" i="147"/>
  <c r="W678" i="147"/>
  <c r="W679" i="147"/>
  <c r="W680" i="147"/>
  <c r="W681" i="147"/>
  <c r="W682" i="147"/>
  <c r="W683" i="147"/>
  <c r="W684" i="147"/>
  <c r="W686" i="147"/>
  <c r="W687" i="147"/>
  <c r="W688" i="147"/>
  <c r="W690" i="147"/>
  <c r="W691" i="147"/>
  <c r="W692" i="147"/>
  <c r="W693" i="147"/>
  <c r="W694" i="147"/>
  <c r="W695" i="147"/>
  <c r="W696" i="147"/>
  <c r="W697" i="147"/>
  <c r="W698" i="147"/>
  <c r="W699" i="147"/>
  <c r="W700" i="147"/>
  <c r="W701" i="147"/>
  <c r="W702" i="147"/>
  <c r="W703" i="147"/>
  <c r="W704" i="147"/>
  <c r="W705" i="147"/>
  <c r="W685" i="147"/>
  <c r="W706" i="147"/>
  <c r="W707" i="147"/>
  <c r="W708" i="147"/>
  <c r="W709" i="147"/>
  <c r="W710" i="147"/>
  <c r="W711" i="147"/>
  <c r="W712" i="147"/>
  <c r="W713" i="147"/>
  <c r="W714" i="147"/>
  <c r="W715" i="147"/>
  <c r="W716" i="147"/>
  <c r="W717" i="147"/>
  <c r="W718" i="147"/>
  <c r="W719" i="147"/>
  <c r="W720" i="147"/>
  <c r="W721" i="147"/>
  <c r="W722" i="147"/>
  <c r="W723" i="147"/>
  <c r="W724" i="147"/>
  <c r="W725" i="147"/>
  <c r="W726" i="147"/>
  <c r="W727" i="147"/>
  <c r="W728" i="147"/>
  <c r="W729" i="147"/>
  <c r="W730" i="147"/>
  <c r="W731" i="147"/>
  <c r="W732" i="147"/>
  <c r="W733" i="147"/>
  <c r="W734" i="147"/>
  <c r="W735" i="147"/>
  <c r="W736" i="147"/>
  <c r="AB644" i="147"/>
  <c r="AB645" i="147"/>
  <c r="AB646" i="147"/>
  <c r="AB647" i="147"/>
  <c r="AB648" i="147"/>
  <c r="AB649" i="147"/>
  <c r="AB650" i="147"/>
  <c r="AB651" i="147"/>
  <c r="AB652" i="147"/>
  <c r="AB653" i="147"/>
  <c r="AB654" i="147"/>
  <c r="AB655" i="147"/>
  <c r="AB656" i="147"/>
  <c r="AB657" i="147"/>
  <c r="AB658" i="147"/>
  <c r="AB663" i="147"/>
  <c r="AB664" i="147"/>
  <c r="AB665" i="147"/>
  <c r="AB666" i="147"/>
  <c r="AB667" i="147"/>
  <c r="AB661" i="147"/>
  <c r="AB659" i="147"/>
  <c r="AB660" i="147"/>
  <c r="AB668" i="147"/>
  <c r="AB669" i="147"/>
  <c r="AB670" i="147"/>
  <c r="AB671" i="147"/>
  <c r="AB672" i="147"/>
  <c r="AB673" i="147"/>
  <c r="AB674" i="147"/>
  <c r="AB675" i="147"/>
  <c r="AB676" i="147"/>
  <c r="AB677" i="147"/>
  <c r="AB678" i="147"/>
  <c r="AB679" i="147"/>
  <c r="AB680" i="147"/>
  <c r="AB681" i="147"/>
  <c r="AB682" i="147"/>
  <c r="AB683" i="147"/>
  <c r="AB684" i="147"/>
  <c r="AB662" i="147"/>
  <c r="AB686" i="147"/>
  <c r="AB687" i="147"/>
  <c r="AB688" i="147"/>
  <c r="AB690" i="147"/>
  <c r="AB691" i="147"/>
  <c r="AB692" i="147"/>
  <c r="AB685" i="147"/>
  <c r="AB695" i="147"/>
  <c r="AB696" i="147"/>
  <c r="AB697" i="147"/>
  <c r="AB698" i="147"/>
  <c r="AB699" i="147"/>
  <c r="AB700" i="147"/>
  <c r="AB701" i="147"/>
  <c r="AB702" i="147"/>
  <c r="AB703" i="147"/>
  <c r="AB704" i="147"/>
  <c r="AB705" i="147"/>
  <c r="AB694" i="147"/>
  <c r="AB693" i="147"/>
  <c r="AB706" i="147"/>
  <c r="AB707" i="147"/>
  <c r="AB708" i="147"/>
  <c r="AB709" i="147"/>
  <c r="AB711" i="147"/>
  <c r="AB712" i="147"/>
  <c r="AB713" i="147"/>
  <c r="AB714" i="147"/>
  <c r="AB715" i="147"/>
  <c r="AB717" i="147"/>
  <c r="AB718" i="147"/>
  <c r="AB719" i="147"/>
  <c r="AB720" i="147"/>
  <c r="AB721" i="147"/>
  <c r="AB722" i="147"/>
  <c r="AB723" i="147"/>
  <c r="AB724" i="147"/>
  <c r="AB725" i="147"/>
  <c r="AB726" i="147"/>
  <c r="AB727" i="147"/>
  <c r="AB728" i="147"/>
  <c r="AB716" i="147"/>
  <c r="AB732" i="147"/>
  <c r="AB731" i="147"/>
  <c r="AB729" i="147"/>
  <c r="AB730" i="147"/>
  <c r="AB733" i="147"/>
  <c r="AB734" i="147"/>
  <c r="AB735" i="147"/>
  <c r="AB736" i="147"/>
  <c r="AB375" i="147"/>
  <c r="AB376" i="147"/>
  <c r="AB377" i="147"/>
  <c r="AB378" i="147"/>
  <c r="AB379" i="147"/>
  <c r="AB380" i="147"/>
  <c r="AB381" i="147"/>
  <c r="AB382" i="147"/>
  <c r="AB383" i="147"/>
  <c r="AB384" i="147"/>
  <c r="AB385" i="147"/>
  <c r="AB401" i="147"/>
  <c r="AB402" i="147"/>
  <c r="AB403" i="147"/>
  <c r="AB404" i="147"/>
  <c r="AB405" i="147"/>
  <c r="AB406" i="147"/>
  <c r="AB407" i="147"/>
  <c r="AB408" i="147"/>
  <c r="AB409" i="147"/>
  <c r="AB410" i="147"/>
  <c r="AB411" i="147"/>
  <c r="AB412" i="147"/>
  <c r="AB413" i="147"/>
  <c r="AB414" i="147"/>
  <c r="AB415" i="147"/>
  <c r="AB416" i="147"/>
  <c r="AB417" i="147"/>
  <c r="AB418" i="147"/>
  <c r="AB419" i="147"/>
  <c r="AB420" i="147"/>
  <c r="AB421" i="147"/>
  <c r="AB422" i="147"/>
  <c r="AB423" i="147"/>
  <c r="AB424" i="147"/>
  <c r="AB425" i="147"/>
  <c r="AB426" i="147"/>
  <c r="AB427" i="147"/>
  <c r="AB428" i="147"/>
  <c r="AB386" i="147"/>
  <c r="AB387" i="147"/>
  <c r="AB388" i="147"/>
  <c r="AB389" i="147"/>
  <c r="AB390" i="147"/>
  <c r="AB391" i="147"/>
  <c r="AB392" i="147"/>
  <c r="AB393" i="147"/>
  <c r="AB394" i="147"/>
  <c r="AB395" i="147"/>
  <c r="AB396" i="147"/>
  <c r="AB397" i="147"/>
  <c r="AB398" i="147"/>
  <c r="AB399" i="147"/>
  <c r="AB400" i="147"/>
  <c r="AB429" i="147"/>
  <c r="AB430" i="147"/>
  <c r="AB431" i="147"/>
  <c r="AB432" i="147"/>
  <c r="AB433" i="147"/>
  <c r="AB434" i="147"/>
  <c r="AB435" i="147"/>
  <c r="AB436" i="147"/>
  <c r="AB437" i="147"/>
  <c r="AB438" i="147"/>
  <c r="AB439" i="147"/>
  <c r="AB440" i="147"/>
  <c r="AB441" i="147"/>
  <c r="AB442" i="147"/>
  <c r="AB443" i="147"/>
  <c r="AB444" i="147"/>
  <c r="AB445" i="147"/>
  <c r="AB446" i="147"/>
  <c r="AB447" i="147"/>
  <c r="AB448" i="147"/>
  <c r="AB449" i="147"/>
  <c r="AB450" i="147"/>
  <c r="AB451" i="147"/>
  <c r="AB452" i="147"/>
  <c r="AB453" i="147"/>
  <c r="AB454" i="147"/>
  <c r="AB455" i="147"/>
  <c r="AB456" i="147"/>
  <c r="AB457" i="147"/>
  <c r="AB458" i="147"/>
  <c r="AB459" i="147"/>
  <c r="AB460" i="147"/>
  <c r="AB461" i="147"/>
  <c r="AB462" i="147"/>
  <c r="AB463" i="147"/>
  <c r="AB464" i="147"/>
  <c r="AB465" i="147"/>
  <c r="AB466" i="147"/>
  <c r="AB467" i="147"/>
  <c r="AB468" i="147"/>
  <c r="AB469" i="147"/>
  <c r="AB470" i="147"/>
  <c r="AB471" i="147"/>
  <c r="AB472" i="147"/>
  <c r="AB473" i="147"/>
  <c r="AB474" i="147"/>
  <c r="AB475" i="147"/>
  <c r="AB476" i="147"/>
  <c r="AB477" i="147"/>
  <c r="AB478" i="147"/>
  <c r="AB479" i="147"/>
  <c r="AB480" i="147"/>
  <c r="AB481" i="147"/>
  <c r="AB482" i="147"/>
  <c r="AB483" i="147"/>
  <c r="AB484" i="147"/>
  <c r="AB485" i="147"/>
  <c r="AB486" i="147"/>
  <c r="AB487" i="147"/>
  <c r="AB488" i="147"/>
  <c r="AB489" i="147"/>
  <c r="AB490" i="147"/>
  <c r="AB491" i="147"/>
  <c r="AB492" i="147"/>
  <c r="AB493" i="147"/>
  <c r="AB494" i="147"/>
  <c r="AB495" i="147"/>
  <c r="AB496" i="147"/>
  <c r="AB497" i="147"/>
  <c r="AB498" i="147"/>
  <c r="AB499" i="147"/>
  <c r="AB500" i="147"/>
  <c r="AB501" i="147"/>
  <c r="AB502" i="147"/>
  <c r="AB503" i="147"/>
  <c r="AB504" i="147"/>
  <c r="AB505" i="147"/>
  <c r="AB506" i="147"/>
  <c r="AB507" i="147"/>
  <c r="AB508" i="147"/>
  <c r="AB509" i="147"/>
  <c r="AB510" i="147"/>
  <c r="AB511" i="147"/>
  <c r="AB512" i="147"/>
  <c r="AB513" i="147"/>
  <c r="AB514" i="147"/>
  <c r="AB515" i="147"/>
  <c r="AB516" i="147"/>
  <c r="AB517" i="147"/>
  <c r="AB518" i="147"/>
  <c r="AB519" i="147"/>
  <c r="AB520" i="147"/>
  <c r="AB521" i="147"/>
  <c r="AB522" i="147"/>
  <c r="AB523" i="147"/>
  <c r="AB524" i="147"/>
  <c r="AB525" i="147"/>
  <c r="AB526" i="147"/>
  <c r="AB527" i="147"/>
  <c r="AB528" i="147"/>
  <c r="AB529" i="147"/>
  <c r="AB530" i="147"/>
  <c r="AB531" i="147"/>
  <c r="AB532" i="147"/>
  <c r="AB533" i="147"/>
  <c r="AB534" i="147"/>
  <c r="AB535" i="147"/>
  <c r="AB536" i="147"/>
  <c r="AB537" i="147"/>
  <c r="AB538" i="147"/>
  <c r="AB539" i="147"/>
  <c r="AB540" i="147"/>
  <c r="AB541" i="147"/>
  <c r="AB542" i="147"/>
  <c r="AB543" i="147"/>
  <c r="AB544" i="147"/>
  <c r="AB545" i="147"/>
  <c r="AB546" i="147"/>
  <c r="AB547" i="147"/>
  <c r="AB548" i="147"/>
  <c r="AB549" i="147"/>
  <c r="AB550" i="147"/>
  <c r="AB551" i="147"/>
  <c r="AB552" i="147"/>
  <c r="AB553" i="147"/>
  <c r="AB554" i="147"/>
  <c r="AB555" i="147"/>
  <c r="AB556" i="147"/>
  <c r="AB557" i="147"/>
  <c r="AB558" i="147"/>
  <c r="AB559" i="147"/>
  <c r="AB560" i="147"/>
  <c r="AB561" i="147"/>
  <c r="AB562" i="147"/>
  <c r="AB563" i="147"/>
  <c r="AB564" i="147"/>
  <c r="AB565" i="147"/>
  <c r="AB566" i="147"/>
  <c r="AB568" i="147"/>
  <c r="AB569" i="147"/>
  <c r="AB570" i="147"/>
  <c r="AB571" i="147"/>
  <c r="AB572" i="147"/>
  <c r="AB573" i="147"/>
  <c r="AB574" i="147"/>
  <c r="AB575" i="147"/>
  <c r="AB576" i="147"/>
  <c r="AB577" i="147"/>
  <c r="AB578" i="147"/>
  <c r="AB579" i="147"/>
  <c r="AB580" i="147"/>
  <c r="AB581" i="147"/>
  <c r="AB582" i="147"/>
  <c r="AB583" i="147"/>
  <c r="AB584" i="147"/>
  <c r="AB585" i="147"/>
  <c r="AB586" i="147"/>
  <c r="AB587" i="147"/>
  <c r="AB588" i="147"/>
  <c r="AB589" i="147"/>
  <c r="AB590" i="147"/>
  <c r="AB591" i="147"/>
  <c r="AB592" i="147"/>
  <c r="AB593" i="147"/>
  <c r="AB594" i="147"/>
  <c r="AB595" i="147"/>
  <c r="AB596" i="147"/>
  <c r="AB597" i="147"/>
  <c r="AB598" i="147"/>
  <c r="AB600" i="147"/>
  <c r="AB601" i="147"/>
  <c r="AB602" i="147"/>
  <c r="AB603" i="147"/>
  <c r="AB604" i="147"/>
  <c r="AB605" i="147"/>
  <c r="AB606" i="147"/>
  <c r="AB607" i="147"/>
  <c r="AB608" i="147"/>
  <c r="AB609" i="147"/>
  <c r="AB610" i="147"/>
  <c r="AB611" i="147"/>
  <c r="AB612" i="147"/>
  <c r="AB613" i="147"/>
  <c r="AB614" i="147"/>
  <c r="AB615" i="147"/>
  <c r="AB616" i="147"/>
  <c r="AB617" i="147"/>
  <c r="AB618" i="147"/>
  <c r="AB619" i="147"/>
  <c r="AB620" i="147"/>
  <c r="AB621" i="147"/>
  <c r="AB622" i="147"/>
  <c r="AB623" i="147"/>
  <c r="AB624" i="147"/>
  <c r="AB625" i="147"/>
  <c r="AB626" i="147"/>
  <c r="AB627" i="147"/>
  <c r="AB628" i="147"/>
  <c r="AB629" i="147"/>
  <c r="AB631" i="147"/>
  <c r="AB632" i="147"/>
  <c r="AB633" i="147"/>
  <c r="AB634" i="147"/>
  <c r="AB635" i="147"/>
  <c r="AB636" i="147"/>
  <c r="AB637" i="147"/>
  <c r="AB638" i="147"/>
  <c r="AB639" i="147"/>
  <c r="AB640" i="147"/>
  <c r="AB641" i="147"/>
  <c r="AB642" i="147"/>
  <c r="AB643" i="147"/>
  <c r="W376" i="147"/>
  <c r="W378" i="147"/>
  <c r="W381" i="147"/>
  <c r="W383" i="147"/>
  <c r="W387" i="147"/>
  <c r="W388" i="147"/>
  <c r="W389" i="147"/>
  <c r="W390" i="147"/>
  <c r="W391" i="147"/>
  <c r="W392" i="147"/>
  <c r="W393" i="147"/>
  <c r="W394" i="147"/>
  <c r="W395" i="147"/>
  <c r="W396" i="147"/>
  <c r="W397" i="147"/>
  <c r="W398" i="147"/>
  <c r="W399" i="147"/>
  <c r="W400" i="147"/>
  <c r="W375" i="147"/>
  <c r="W401" i="147"/>
  <c r="W402" i="147"/>
  <c r="W403" i="147"/>
  <c r="W404" i="147"/>
  <c r="W405" i="147"/>
  <c r="W406" i="147"/>
  <c r="W407" i="147"/>
  <c r="W408" i="147"/>
  <c r="W409" i="147"/>
  <c r="W410" i="147"/>
  <c r="W411" i="147"/>
  <c r="W412" i="147"/>
  <c r="W413" i="147"/>
  <c r="W414" i="147"/>
  <c r="W415" i="147"/>
  <c r="W416" i="147"/>
  <c r="W417" i="147"/>
  <c r="W418" i="147"/>
  <c r="W419" i="147"/>
  <c r="W420" i="147"/>
  <c r="W421" i="147"/>
  <c r="W422" i="147"/>
  <c r="W423" i="147"/>
  <c r="W424" i="147"/>
  <c r="W425" i="147"/>
  <c r="W426" i="147"/>
  <c r="W427" i="147"/>
  <c r="W428" i="147"/>
  <c r="W429" i="147"/>
  <c r="W430" i="147"/>
  <c r="W431" i="147"/>
  <c r="W432" i="147"/>
  <c r="W433" i="147"/>
  <c r="W434" i="147"/>
  <c r="W435" i="147"/>
  <c r="W436" i="147"/>
  <c r="W437" i="147"/>
  <c r="W438" i="147"/>
  <c r="W439" i="147"/>
  <c r="W446" i="147"/>
  <c r="W447" i="147"/>
  <c r="W448" i="147"/>
  <c r="W449" i="147"/>
  <c r="W450" i="147"/>
  <c r="W451" i="147"/>
  <c r="W452" i="147"/>
  <c r="W453" i="147"/>
  <c r="W454" i="147"/>
  <c r="W455" i="147"/>
  <c r="W456" i="147"/>
  <c r="W457" i="147"/>
  <c r="W440" i="147"/>
  <c r="W441" i="147"/>
  <c r="W442" i="147"/>
  <c r="W443" i="147"/>
  <c r="W444" i="147"/>
  <c r="W445" i="147"/>
  <c r="W458" i="147"/>
  <c r="W459" i="147"/>
  <c r="W460" i="147"/>
  <c r="W461" i="147"/>
  <c r="W462" i="147"/>
  <c r="W463" i="147"/>
  <c r="W464" i="147"/>
  <c r="W465" i="147"/>
  <c r="W466" i="147"/>
  <c r="W467" i="147"/>
  <c r="W468" i="147"/>
  <c r="W469" i="147"/>
  <c r="W470" i="147"/>
  <c r="W471" i="147"/>
  <c r="W472" i="147"/>
  <c r="W473" i="147"/>
  <c r="W474" i="147"/>
  <c r="W475" i="147"/>
  <c r="W476" i="147"/>
  <c r="W477" i="147"/>
  <c r="W478" i="147"/>
  <c r="W479" i="147"/>
  <c r="W480" i="147"/>
  <c r="W481" i="147"/>
  <c r="W482" i="147"/>
  <c r="W483" i="147"/>
  <c r="W484" i="147"/>
  <c r="W485" i="147"/>
  <c r="W486" i="147"/>
  <c r="W487" i="147"/>
  <c r="W488" i="147"/>
  <c r="W489" i="147"/>
  <c r="W490" i="147"/>
  <c r="W491" i="147"/>
  <c r="W492" i="147"/>
  <c r="W493" i="147"/>
  <c r="W494" i="147"/>
  <c r="W495" i="147"/>
  <c r="W496" i="147"/>
  <c r="W497" i="147"/>
  <c r="W498" i="147"/>
  <c r="W499" i="147"/>
  <c r="W500" i="147"/>
  <c r="W501" i="147"/>
  <c r="W502" i="147"/>
  <c r="W503" i="147"/>
  <c r="W504" i="147"/>
  <c r="W505" i="147"/>
  <c r="W506" i="147"/>
  <c r="W507" i="147"/>
  <c r="W508" i="147"/>
  <c r="W509" i="147"/>
  <c r="W510" i="147"/>
  <c r="W511" i="147"/>
  <c r="W512" i="147"/>
  <c r="W513" i="147"/>
  <c r="W514" i="147"/>
  <c r="W515" i="147"/>
  <c r="W516" i="147"/>
  <c r="W517" i="147"/>
  <c r="W518" i="147"/>
  <c r="W520" i="147"/>
  <c r="W521" i="147"/>
  <c r="W522" i="147"/>
  <c r="W524" i="147"/>
  <c r="W525" i="147"/>
  <c r="W526" i="147"/>
  <c r="W527" i="147"/>
  <c r="W528" i="147"/>
  <c r="W529" i="147"/>
  <c r="W530" i="147"/>
  <c r="W531" i="147"/>
  <c r="W532" i="147"/>
  <c r="W533" i="147"/>
  <c r="W534" i="147"/>
  <c r="W535" i="147"/>
  <c r="W536" i="147"/>
  <c r="W537" i="147"/>
  <c r="W538" i="147"/>
  <c r="W539" i="147"/>
  <c r="W540" i="147"/>
  <c r="W541" i="147"/>
  <c r="W542" i="147"/>
  <c r="W543" i="147"/>
  <c r="W544" i="147"/>
  <c r="W545" i="147"/>
  <c r="W546" i="147"/>
  <c r="W547" i="147"/>
  <c r="W548" i="147"/>
  <c r="W549" i="147"/>
  <c r="W550" i="147"/>
  <c r="W551" i="147"/>
  <c r="W552" i="147"/>
  <c r="W553" i="147"/>
  <c r="W554" i="147"/>
  <c r="W555" i="147"/>
  <c r="W556" i="147"/>
  <c r="W557" i="147"/>
  <c r="W558" i="147"/>
  <c r="W559" i="147"/>
  <c r="W560" i="147"/>
  <c r="W561" i="147"/>
  <c r="W562" i="147"/>
  <c r="W563" i="147"/>
  <c r="W564" i="147"/>
  <c r="W566" i="147"/>
  <c r="W568" i="147"/>
  <c r="W569" i="147"/>
  <c r="W570" i="147"/>
  <c r="W571" i="147"/>
  <c r="W572" i="147"/>
  <c r="W573" i="147"/>
  <c r="W574" i="147"/>
  <c r="W575" i="147"/>
  <c r="W576" i="147"/>
  <c r="W577" i="147"/>
  <c r="W578" i="147"/>
  <c r="W579" i="147"/>
  <c r="W580" i="147"/>
  <c r="W581" i="147"/>
  <c r="W582" i="147"/>
  <c r="W583" i="147"/>
  <c r="W584" i="147"/>
  <c r="W585" i="147"/>
  <c r="W586" i="147"/>
  <c r="W587" i="147"/>
  <c r="W588" i="147"/>
  <c r="W589" i="147"/>
  <c r="W592" i="147"/>
  <c r="W593" i="147"/>
  <c r="W594" i="147"/>
  <c r="W595" i="147"/>
  <c r="W596" i="147"/>
  <c r="W597" i="147"/>
  <c r="W598" i="147"/>
  <c r="W600" i="147"/>
  <c r="W601" i="147"/>
  <c r="W602" i="147"/>
  <c r="W603" i="147"/>
  <c r="W604" i="147"/>
  <c r="W605" i="147"/>
  <c r="W606" i="147"/>
  <c r="W607" i="147"/>
  <c r="W608" i="147"/>
  <c r="W609" i="147"/>
  <c r="W610" i="147"/>
  <c r="W611" i="147"/>
  <c r="W612" i="147"/>
  <c r="W613" i="147"/>
  <c r="W614" i="147"/>
  <c r="W615" i="147"/>
  <c r="W616" i="147"/>
  <c r="W617" i="147"/>
  <c r="W618" i="147"/>
  <c r="W619" i="147"/>
  <c r="W620" i="147"/>
  <c r="W621" i="147"/>
  <c r="W622" i="147"/>
  <c r="W623" i="147"/>
  <c r="W624" i="147"/>
  <c r="W625" i="147"/>
  <c r="W626" i="147"/>
  <c r="W627" i="147"/>
  <c r="W628" i="147"/>
  <c r="W629" i="147"/>
  <c r="W631" i="147"/>
  <c r="W632" i="147"/>
  <c r="W633" i="147"/>
  <c r="W634" i="147"/>
  <c r="W635" i="147"/>
  <c r="W636" i="147"/>
  <c r="W637" i="147"/>
  <c r="W638" i="147"/>
  <c r="W639" i="147"/>
  <c r="W640" i="147"/>
  <c r="W641" i="147"/>
  <c r="W642" i="147"/>
  <c r="W643" i="147"/>
  <c r="W385" i="147"/>
  <c r="W386" i="147"/>
  <c r="W384" i="147"/>
  <c r="AA375" i="147"/>
  <c r="AA376" i="147"/>
  <c r="AA377" i="147"/>
  <c r="AA378" i="147"/>
  <c r="AA379" i="147"/>
  <c r="AA380" i="147"/>
  <c r="AA381" i="147"/>
  <c r="AA382" i="147"/>
  <c r="AA383" i="147"/>
  <c r="AA384" i="147"/>
  <c r="AA385" i="147"/>
  <c r="AA386" i="147"/>
  <c r="AA387" i="147"/>
  <c r="AA388" i="147"/>
  <c r="AA389" i="147"/>
  <c r="AA390" i="147"/>
  <c r="AA391" i="147"/>
  <c r="AA392" i="147"/>
  <c r="AA393" i="147"/>
  <c r="AA394" i="147"/>
  <c r="AA395" i="147"/>
  <c r="AA396" i="147"/>
  <c r="AA397" i="147"/>
  <c r="AA398" i="147"/>
  <c r="AA399" i="147"/>
  <c r="AA400" i="147"/>
  <c r="AA401" i="147"/>
  <c r="AA402" i="147"/>
  <c r="AA403" i="147"/>
  <c r="AA404" i="147"/>
  <c r="AA405" i="147"/>
  <c r="AA406" i="147"/>
  <c r="AA407" i="147"/>
  <c r="AA408" i="147"/>
  <c r="AA409" i="147"/>
  <c r="AA410" i="147"/>
  <c r="AA411" i="147"/>
  <c r="AA412" i="147"/>
  <c r="AA413" i="147"/>
  <c r="AA414" i="147"/>
  <c r="AA415" i="147"/>
  <c r="AA416" i="147"/>
  <c r="AA417" i="147"/>
  <c r="AA418" i="147"/>
  <c r="AA419" i="147"/>
  <c r="AA420" i="147"/>
  <c r="AA421" i="147"/>
  <c r="AA422" i="147"/>
  <c r="AA423" i="147"/>
  <c r="AA424" i="147"/>
  <c r="AA425" i="147"/>
  <c r="AA426" i="147"/>
  <c r="AA427" i="147"/>
  <c r="AA428" i="147"/>
  <c r="AA429" i="147"/>
  <c r="AA430" i="147"/>
  <c r="AA431" i="147"/>
  <c r="AA432" i="147"/>
  <c r="AA433" i="147"/>
  <c r="AA434" i="147"/>
  <c r="AA435" i="147"/>
  <c r="AA436" i="147"/>
  <c r="AA437" i="147"/>
  <c r="AA438" i="147"/>
  <c r="AA439" i="147"/>
  <c r="AA446" i="147"/>
  <c r="AA447" i="147"/>
  <c r="AA448" i="147"/>
  <c r="AA449" i="147"/>
  <c r="AA450" i="147"/>
  <c r="AA451" i="147"/>
  <c r="AA452" i="147"/>
  <c r="AA453" i="147"/>
  <c r="AA454" i="147"/>
  <c r="AA455" i="147"/>
  <c r="AA456" i="147"/>
  <c r="AA457" i="147"/>
  <c r="AA440" i="147"/>
  <c r="AA441" i="147"/>
  <c r="AA442" i="147"/>
  <c r="AA443" i="147"/>
  <c r="AA444" i="147"/>
  <c r="AA445" i="147"/>
  <c r="AA458" i="147"/>
  <c r="AA459" i="147"/>
  <c r="AA460" i="147"/>
  <c r="AA461" i="147"/>
  <c r="AA462" i="147"/>
  <c r="AA463" i="147"/>
  <c r="AA464" i="147"/>
  <c r="AA465" i="147"/>
  <c r="AA466" i="147"/>
  <c r="AA467" i="147"/>
  <c r="AA468" i="147"/>
  <c r="AA469" i="147"/>
  <c r="AA470" i="147"/>
  <c r="AA471" i="147"/>
  <c r="AA472" i="147"/>
  <c r="AA473" i="147"/>
  <c r="AA474" i="147"/>
  <c r="AA475" i="147"/>
  <c r="AA476" i="147"/>
  <c r="AA477" i="147"/>
  <c r="AA478" i="147"/>
  <c r="AA479" i="147"/>
  <c r="AA480" i="147"/>
  <c r="AA481" i="147"/>
  <c r="AA482" i="147"/>
  <c r="AA483" i="147"/>
  <c r="AA484" i="147"/>
  <c r="AA485" i="147"/>
  <c r="AA486" i="147"/>
  <c r="AA487" i="147"/>
  <c r="AA488" i="147"/>
  <c r="AA489" i="147"/>
  <c r="AA490" i="147"/>
  <c r="AA491" i="147"/>
  <c r="AA492" i="147"/>
  <c r="AA493" i="147"/>
  <c r="AA494" i="147"/>
  <c r="AA495" i="147"/>
  <c r="AA496" i="147"/>
  <c r="AA497" i="147"/>
  <c r="AA498" i="147"/>
  <c r="AA499" i="147"/>
  <c r="AA500" i="147"/>
  <c r="AA501" i="147"/>
  <c r="AA502" i="147"/>
  <c r="AA503" i="147"/>
  <c r="AA504" i="147"/>
  <c r="AA505" i="147"/>
  <c r="AA506" i="147"/>
  <c r="AA507" i="147"/>
  <c r="AA508" i="147"/>
  <c r="AA509" i="147"/>
  <c r="AA510" i="147"/>
  <c r="AA511" i="147"/>
  <c r="AA512" i="147"/>
  <c r="AA513" i="147"/>
  <c r="AA514" i="147"/>
  <c r="AA515" i="147"/>
  <c r="AA516" i="147"/>
  <c r="AA517" i="147"/>
  <c r="AA518" i="147"/>
  <c r="AA519" i="147"/>
  <c r="AA520" i="147"/>
  <c r="AA521" i="147"/>
  <c r="AA522" i="147"/>
  <c r="AA523" i="147"/>
  <c r="AA524" i="147"/>
  <c r="AA525" i="147"/>
  <c r="AA526" i="147"/>
  <c r="AA527" i="147"/>
  <c r="AA528" i="147"/>
  <c r="AA529" i="147"/>
  <c r="AA530" i="147"/>
  <c r="AA531" i="147"/>
  <c r="AA532" i="147"/>
  <c r="AA533" i="147"/>
  <c r="AA534" i="147"/>
  <c r="AA535" i="147"/>
  <c r="AA536" i="147"/>
  <c r="AA537" i="147"/>
  <c r="AA538" i="147"/>
  <c r="AA539" i="147"/>
  <c r="AA540" i="147"/>
  <c r="AA541" i="147"/>
  <c r="AA542" i="147"/>
  <c r="AA543" i="147"/>
  <c r="AA544" i="147"/>
  <c r="AA545" i="147"/>
  <c r="AA546" i="147"/>
  <c r="AA547" i="147"/>
  <c r="AA548" i="147"/>
  <c r="AA549" i="147"/>
  <c r="AA550" i="147"/>
  <c r="AA551" i="147"/>
  <c r="AA552" i="147"/>
  <c r="AA553" i="147"/>
  <c r="AA554" i="147"/>
  <c r="AA555" i="147"/>
  <c r="AA556" i="147"/>
  <c r="AA557" i="147"/>
  <c r="AA558" i="147"/>
  <c r="AA559" i="147"/>
  <c r="AA560" i="147"/>
  <c r="AA561" i="147"/>
  <c r="AA562" i="147"/>
  <c r="AA563" i="147"/>
  <c r="AA564" i="147"/>
  <c r="AA565" i="147"/>
  <c r="AA566" i="147"/>
  <c r="AA568" i="147"/>
  <c r="AA569" i="147"/>
  <c r="AA570" i="147"/>
  <c r="AA571" i="147"/>
  <c r="AA572" i="147"/>
  <c r="AA573" i="147"/>
  <c r="AA574" i="147"/>
  <c r="AA575" i="147"/>
  <c r="AA576" i="147"/>
  <c r="AA577" i="147"/>
  <c r="AA578" i="147"/>
  <c r="AA579" i="147"/>
  <c r="AA580" i="147"/>
  <c r="AA581" i="147"/>
  <c r="AA582" i="147"/>
  <c r="AA583" i="147"/>
  <c r="AA584" i="147"/>
  <c r="AA585" i="147"/>
  <c r="AA586" i="147"/>
  <c r="AA587" i="147"/>
  <c r="AA588" i="147"/>
  <c r="AA589" i="147"/>
  <c r="AA590" i="147"/>
  <c r="AA591" i="147"/>
  <c r="AA592" i="147"/>
  <c r="AA593" i="147"/>
  <c r="AA594" i="147"/>
  <c r="AA595" i="147"/>
  <c r="AA596" i="147"/>
  <c r="AA597" i="147"/>
  <c r="AA598" i="147"/>
  <c r="AA600" i="147"/>
  <c r="AA601" i="147"/>
  <c r="AA602" i="147"/>
  <c r="AA603" i="147"/>
  <c r="AA604" i="147"/>
  <c r="AA605" i="147"/>
  <c r="AA606" i="147"/>
  <c r="AA607" i="147"/>
  <c r="AA608" i="147"/>
  <c r="AA609" i="147"/>
  <c r="AA610" i="147"/>
  <c r="AA611" i="147"/>
  <c r="AA612" i="147"/>
  <c r="AA613" i="147"/>
  <c r="AA614" i="147"/>
  <c r="AA615" i="147"/>
  <c r="AA616" i="147"/>
  <c r="AA617" i="147"/>
  <c r="AA618" i="147"/>
  <c r="AA619" i="147"/>
  <c r="AA620" i="147"/>
  <c r="AA621" i="147"/>
  <c r="AA622" i="147"/>
  <c r="AA623" i="147"/>
  <c r="AA624" i="147"/>
  <c r="AA625" i="147"/>
  <c r="AA626" i="147"/>
  <c r="AA627" i="147"/>
  <c r="AA628" i="147"/>
  <c r="AA629" i="147"/>
  <c r="AA631" i="147"/>
  <c r="AA632" i="147"/>
  <c r="AA633" i="147"/>
  <c r="AA634" i="147"/>
  <c r="AA635" i="147"/>
  <c r="AA636" i="147"/>
  <c r="AA637" i="147"/>
  <c r="AA638" i="147"/>
  <c r="AA639" i="147"/>
  <c r="AA640" i="147"/>
  <c r="AA641" i="147"/>
  <c r="AA642" i="147"/>
  <c r="AA643" i="147"/>
  <c r="U372" i="147"/>
  <c r="U740" i="147" s="1"/>
  <c r="U599" i="147" l="1"/>
  <c r="U737" i="147"/>
  <c r="U738" i="147"/>
  <c r="U739" i="147"/>
  <c r="U689" i="147"/>
  <c r="U567" i="147"/>
  <c r="U630" i="147"/>
  <c r="U649" i="147"/>
  <c r="U650" i="147"/>
  <c r="U652" i="147"/>
  <c r="U653" i="147"/>
  <c r="U654" i="147"/>
  <c r="U655" i="147"/>
  <c r="U656" i="147"/>
  <c r="U657" i="147"/>
  <c r="U658" i="147"/>
  <c r="U644" i="147"/>
  <c r="U648" i="147"/>
  <c r="U647" i="147"/>
  <c r="U646" i="147"/>
  <c r="U651" i="147"/>
  <c r="U645" i="147"/>
  <c r="U661" i="147"/>
  <c r="U663" i="147"/>
  <c r="U665" i="147"/>
  <c r="U666" i="147"/>
  <c r="U667" i="147"/>
  <c r="U678" i="147"/>
  <c r="U675" i="147"/>
  <c r="U676" i="147"/>
  <c r="U677" i="147"/>
  <c r="U679" i="147"/>
  <c r="U680" i="147"/>
  <c r="U681" i="147"/>
  <c r="U682" i="147"/>
  <c r="U683" i="147"/>
  <c r="U684" i="147"/>
  <c r="U685" i="147"/>
  <c r="U692" i="147"/>
  <c r="U693" i="147"/>
  <c r="U694" i="147"/>
  <c r="U704" i="147"/>
  <c r="U687" i="147"/>
  <c r="U705" i="147"/>
  <c r="U688" i="147"/>
  <c r="U686" i="147"/>
  <c r="U690" i="147"/>
  <c r="U706" i="147"/>
  <c r="U707" i="147"/>
  <c r="U708" i="147"/>
  <c r="U709" i="147"/>
  <c r="U710" i="147"/>
  <c r="U711" i="147"/>
  <c r="U712" i="147"/>
  <c r="U713" i="147"/>
  <c r="U714" i="147"/>
  <c r="U715" i="147"/>
  <c r="U716" i="147"/>
  <c r="U717" i="147"/>
  <c r="U718" i="147"/>
  <c r="U719" i="147"/>
  <c r="U720" i="147"/>
  <c r="U721" i="147"/>
  <c r="U722" i="147"/>
  <c r="U723" i="147"/>
  <c r="U724" i="147"/>
  <c r="U725" i="147"/>
  <c r="U726" i="147"/>
  <c r="U727" i="147"/>
  <c r="U728" i="147"/>
  <c r="U699" i="147"/>
  <c r="U702" i="147"/>
  <c r="U697" i="147"/>
  <c r="U700" i="147"/>
  <c r="U703" i="147"/>
  <c r="U695" i="147"/>
  <c r="U698" i="147"/>
  <c r="U701" i="147"/>
  <c r="U729" i="147"/>
  <c r="U730" i="147"/>
  <c r="U731" i="147"/>
  <c r="U732" i="147"/>
  <c r="U733" i="147"/>
  <c r="U734" i="147"/>
  <c r="U735" i="147"/>
  <c r="U736" i="147"/>
  <c r="U375" i="147"/>
  <c r="U379" i="147"/>
  <c r="U380" i="147"/>
  <c r="U381" i="147"/>
  <c r="U382" i="147"/>
  <c r="U383" i="147"/>
  <c r="U384" i="147"/>
  <c r="U385" i="147"/>
  <c r="U386" i="147"/>
  <c r="U376" i="147"/>
  <c r="U377" i="147"/>
  <c r="U378" i="147"/>
  <c r="U387" i="147"/>
  <c r="U388" i="147"/>
  <c r="U389" i="147"/>
  <c r="U390" i="147"/>
  <c r="U391" i="147"/>
  <c r="U392" i="147"/>
  <c r="U393" i="147"/>
  <c r="U394" i="147"/>
  <c r="U395" i="147"/>
  <c r="U396" i="147"/>
  <c r="U397" i="147"/>
  <c r="U398" i="147"/>
  <c r="U399" i="147"/>
  <c r="U400" i="147"/>
  <c r="U403" i="147"/>
  <c r="U404" i="147"/>
  <c r="U405" i="147"/>
  <c r="U401" i="147"/>
  <c r="U402" i="147"/>
  <c r="U429" i="147"/>
  <c r="U430" i="147"/>
  <c r="U431" i="147"/>
  <c r="U432" i="147"/>
  <c r="U433" i="147"/>
  <c r="U406" i="147"/>
  <c r="U407" i="147"/>
  <c r="U408" i="147"/>
  <c r="U409" i="147"/>
  <c r="U410" i="147"/>
  <c r="U411" i="147"/>
  <c r="U412" i="147"/>
  <c r="U413" i="147"/>
  <c r="U414" i="147"/>
  <c r="U415" i="147"/>
  <c r="U416" i="147"/>
  <c r="U417" i="147"/>
  <c r="U418" i="147"/>
  <c r="U419" i="147"/>
  <c r="U420" i="147"/>
  <c r="U421" i="147"/>
  <c r="U422" i="147"/>
  <c r="U423" i="147"/>
  <c r="U424" i="147"/>
  <c r="U425" i="147"/>
  <c r="U426" i="147"/>
  <c r="U427" i="147"/>
  <c r="U428" i="147"/>
  <c r="U440" i="147"/>
  <c r="U441" i="147"/>
  <c r="U442" i="147"/>
  <c r="U443" i="147"/>
  <c r="U444" i="147"/>
  <c r="U445" i="147"/>
  <c r="U446" i="147"/>
  <c r="U447" i="147"/>
  <c r="U448" i="147"/>
  <c r="U449" i="147"/>
  <c r="U450" i="147"/>
  <c r="U451" i="147"/>
  <c r="U452" i="147"/>
  <c r="U453" i="147"/>
  <c r="U454" i="147"/>
  <c r="U457" i="147"/>
  <c r="U434" i="147"/>
  <c r="U435" i="147"/>
  <c r="U436" i="147"/>
  <c r="U437" i="147"/>
  <c r="U438" i="147"/>
  <c r="U439" i="147"/>
  <c r="U458" i="147"/>
  <c r="U459" i="147"/>
  <c r="U460" i="147"/>
  <c r="U461" i="147"/>
  <c r="U462" i="147"/>
  <c r="U463" i="147"/>
  <c r="U464" i="147"/>
  <c r="U465" i="147"/>
  <c r="U474" i="147"/>
  <c r="U475" i="147"/>
  <c r="U478" i="147"/>
  <c r="U479" i="147"/>
  <c r="U480" i="147"/>
  <c r="U481" i="147"/>
  <c r="U482" i="147"/>
  <c r="U483" i="147"/>
  <c r="U484" i="147"/>
  <c r="U485" i="147"/>
  <c r="U486" i="147"/>
  <c r="U487" i="147"/>
  <c r="U488" i="147"/>
  <c r="U489" i="147"/>
  <c r="U490" i="147"/>
  <c r="U491" i="147"/>
  <c r="U492" i="147"/>
  <c r="U493" i="147"/>
  <c r="U507" i="147"/>
  <c r="U508" i="147"/>
  <c r="U509" i="147"/>
  <c r="U510" i="147"/>
  <c r="U511" i="147"/>
  <c r="U512" i="147"/>
  <c r="U513" i="147"/>
  <c r="U514" i="147"/>
  <c r="U516" i="147"/>
  <c r="U517" i="147"/>
  <c r="U518" i="147"/>
  <c r="U519" i="147"/>
  <c r="U520" i="147"/>
  <c r="U521" i="147"/>
  <c r="U525" i="147"/>
  <c r="U526" i="147"/>
  <c r="U527" i="147"/>
  <c r="U528" i="147"/>
  <c r="U531" i="147"/>
  <c r="U532" i="147"/>
  <c r="U533" i="147"/>
  <c r="U534" i="147"/>
  <c r="U535" i="147"/>
  <c r="U536" i="147"/>
  <c r="U537" i="147"/>
  <c r="U538" i="147"/>
  <c r="U539" i="147"/>
  <c r="U540" i="147"/>
  <c r="U541" i="147"/>
  <c r="U542" i="147"/>
  <c r="U543" i="147"/>
  <c r="U546" i="147"/>
  <c r="U547" i="147"/>
  <c r="U548" i="147"/>
  <c r="U549" i="147"/>
  <c r="U550" i="147"/>
  <c r="U551" i="147"/>
  <c r="U552" i="147"/>
  <c r="U553" i="147"/>
  <c r="U554" i="147"/>
  <c r="U555" i="147"/>
  <c r="U556" i="147"/>
  <c r="U557" i="147"/>
  <c r="U558" i="147"/>
  <c r="U559" i="147"/>
  <c r="U560" i="147"/>
  <c r="U564" i="147"/>
  <c r="U568" i="147"/>
  <c r="U569" i="147"/>
  <c r="U571" i="147"/>
  <c r="U572" i="147"/>
  <c r="U573" i="147"/>
  <c r="U574" i="147"/>
  <c r="U575" i="147"/>
  <c r="U576" i="147"/>
  <c r="U577" i="147"/>
  <c r="U578" i="147"/>
  <c r="U579" i="147"/>
  <c r="U580" i="147"/>
  <c r="U581" i="147"/>
  <c r="U582" i="147"/>
  <c r="U583" i="147"/>
  <c r="U584" i="147"/>
  <c r="U585" i="147"/>
  <c r="U595" i="147"/>
  <c r="U596" i="147"/>
  <c r="U597" i="147"/>
  <c r="U598" i="147"/>
  <c r="U600" i="147"/>
  <c r="U601" i="147"/>
  <c r="U602" i="147"/>
  <c r="U604" i="147"/>
  <c r="U605" i="147"/>
  <c r="U610" i="147"/>
  <c r="U611" i="147"/>
  <c r="U612" i="147"/>
  <c r="U613" i="147"/>
  <c r="U614" i="147"/>
  <c r="U615" i="147"/>
  <c r="U616" i="147"/>
  <c r="U617" i="147"/>
  <c r="U618" i="147"/>
  <c r="U619" i="147"/>
  <c r="U620" i="147"/>
  <c r="U621" i="147"/>
  <c r="U622" i="147"/>
  <c r="U623" i="147"/>
  <c r="U624" i="147"/>
  <c r="U625" i="147"/>
  <c r="U626" i="147"/>
  <c r="U627" i="147"/>
  <c r="U628" i="147"/>
  <c r="U629" i="147"/>
  <c r="U631" i="147"/>
  <c r="U632" i="147"/>
  <c r="U633" i="147"/>
  <c r="U634" i="147"/>
  <c r="U635" i="147"/>
  <c r="U636" i="147"/>
  <c r="U637" i="147"/>
  <c r="U638" i="147"/>
  <c r="U639" i="147"/>
  <c r="U640" i="147"/>
  <c r="U641" i="147"/>
  <c r="U642" i="147"/>
  <c r="U643" i="147"/>
  <c r="U529" i="147"/>
  <c r="U515" i="147"/>
  <c r="U524" i="147"/>
  <c r="U544" i="147"/>
  <c r="U545" i="147"/>
  <c r="E19" i="307"/>
  <c r="EY16" i="147"/>
  <c r="EY338" i="147"/>
  <c r="EY364" i="147"/>
  <c r="EY366" i="147"/>
  <c r="EY311" i="489" l="1"/>
  <c r="EY310" i="489"/>
  <c r="EY309" i="489"/>
  <c r="EY308" i="489"/>
  <c r="EY307" i="489"/>
  <c r="EY305" i="489"/>
  <c r="EY295" i="489"/>
  <c r="EY294" i="489"/>
  <c r="EY281" i="489"/>
  <c r="EY280" i="489"/>
  <c r="EY279" i="489"/>
  <c r="EY278" i="489"/>
  <c r="EY277" i="489"/>
  <c r="EY275" i="489"/>
  <c r="EY251" i="489"/>
  <c r="EY250" i="489"/>
  <c r="EY249" i="489"/>
  <c r="EY248" i="489"/>
  <c r="EY247" i="489"/>
  <c r="EY245" i="489"/>
  <c r="EY235" i="489"/>
  <c r="EY234" i="489"/>
  <c r="EY233" i="489"/>
  <c r="EY221" i="489"/>
  <c r="EY220" i="489"/>
  <c r="EY205" i="489"/>
  <c r="EY191" i="489"/>
  <c r="EY190" i="489"/>
  <c r="EY189" i="489"/>
  <c r="EY175" i="489"/>
  <c r="EY174" i="489"/>
  <c r="EY161" i="489"/>
  <c r="EY160" i="489"/>
  <c r="EY159" i="489"/>
  <c r="EY131" i="489"/>
  <c r="EY130" i="489"/>
  <c r="EY129" i="489"/>
  <c r="EY125" i="489"/>
  <c r="EY115" i="489"/>
  <c r="EY114" i="489"/>
  <c r="EY101" i="489"/>
  <c r="EY100" i="489"/>
  <c r="EY99" i="489"/>
  <c r="EY95" i="489"/>
  <c r="EY85" i="489"/>
  <c r="EY84" i="489"/>
  <c r="EY71" i="489"/>
  <c r="EY70" i="489"/>
  <c r="EY69" i="489"/>
  <c r="EY65" i="489"/>
  <c r="EY55" i="489"/>
  <c r="EY54" i="489"/>
  <c r="EY39" i="489"/>
  <c r="EY40" i="489"/>
  <c r="EY41" i="489"/>
  <c r="EY25" i="489"/>
  <c r="EY252" i="489" l="1"/>
  <c r="EY312" i="489"/>
  <c r="EY282" i="489"/>
  <c r="R176" i="489" l="1"/>
  <c r="AP176" i="489"/>
  <c r="BB176" i="489"/>
  <c r="BZ176" i="489"/>
  <c r="CL176" i="489"/>
  <c r="CX176" i="489"/>
  <c r="DV176" i="489"/>
  <c r="EH176" i="489"/>
  <c r="ET176" i="489"/>
  <c r="EX312" i="489"/>
  <c r="EW312" i="489"/>
  <c r="EV312" i="489"/>
  <c r="EU312" i="489"/>
  <c r="ET312" i="489"/>
  <c r="ES312" i="489"/>
  <c r="ER312" i="489"/>
  <c r="EQ312" i="489"/>
  <c r="EP312" i="489"/>
  <c r="EO312" i="489"/>
  <c r="EN312" i="489"/>
  <c r="EM312" i="489"/>
  <c r="EL312" i="489"/>
  <c r="EK312" i="489"/>
  <c r="EJ312" i="489"/>
  <c r="EI312" i="489"/>
  <c r="EH312" i="489"/>
  <c r="EG312" i="489"/>
  <c r="EF312" i="489"/>
  <c r="EE312" i="489"/>
  <c r="ED312" i="489"/>
  <c r="EC312" i="489"/>
  <c r="EB312" i="489"/>
  <c r="EA312" i="489"/>
  <c r="DZ312" i="489"/>
  <c r="DY312" i="489"/>
  <c r="DX312" i="489"/>
  <c r="DW312" i="489"/>
  <c r="DV312" i="489"/>
  <c r="DU312" i="489"/>
  <c r="DT312" i="489"/>
  <c r="DS312" i="489"/>
  <c r="DR312" i="489"/>
  <c r="DQ312" i="489"/>
  <c r="DP312" i="489"/>
  <c r="DO312" i="489"/>
  <c r="DN312" i="489"/>
  <c r="DM312" i="489"/>
  <c r="DL312" i="489"/>
  <c r="DK312" i="489"/>
  <c r="DJ312" i="489"/>
  <c r="DI312" i="489"/>
  <c r="DH312" i="489"/>
  <c r="DG312" i="489"/>
  <c r="DF312" i="489"/>
  <c r="DE312" i="489"/>
  <c r="DD312" i="489"/>
  <c r="DC312" i="489"/>
  <c r="DB312" i="489"/>
  <c r="DA312" i="489"/>
  <c r="CZ312" i="489"/>
  <c r="CY312" i="489"/>
  <c r="CX312" i="489"/>
  <c r="CW312" i="489"/>
  <c r="CV312" i="489"/>
  <c r="CU312" i="489"/>
  <c r="CT312" i="489"/>
  <c r="CS312" i="489"/>
  <c r="CR312" i="489"/>
  <c r="CQ312" i="489"/>
  <c r="CP312" i="489"/>
  <c r="CO312" i="489"/>
  <c r="CN312" i="489"/>
  <c r="CM312" i="489"/>
  <c r="CL312" i="489"/>
  <c r="CK312" i="489"/>
  <c r="CJ312" i="489"/>
  <c r="CI312" i="489"/>
  <c r="CH312" i="489"/>
  <c r="CG312" i="489"/>
  <c r="CF312" i="489"/>
  <c r="CE312" i="489"/>
  <c r="CD312" i="489"/>
  <c r="CC312" i="489"/>
  <c r="CB312" i="489"/>
  <c r="CA312" i="489"/>
  <c r="BZ312" i="489"/>
  <c r="BY312" i="489"/>
  <c r="BX312" i="489"/>
  <c r="BW312" i="489"/>
  <c r="BV312" i="489"/>
  <c r="BU312" i="489"/>
  <c r="BT312" i="489"/>
  <c r="BS312" i="489"/>
  <c r="BR312" i="489"/>
  <c r="BQ312" i="489"/>
  <c r="BP312" i="489"/>
  <c r="BO312" i="489"/>
  <c r="BN312" i="489"/>
  <c r="BM312" i="489"/>
  <c r="BL312" i="489"/>
  <c r="BK312" i="489"/>
  <c r="BJ312" i="489"/>
  <c r="BI312" i="489"/>
  <c r="BH312" i="489"/>
  <c r="BG312" i="489"/>
  <c r="BF312" i="489"/>
  <c r="BE312" i="489"/>
  <c r="BD312" i="489"/>
  <c r="BC312" i="489"/>
  <c r="BB312" i="489"/>
  <c r="BA312" i="489"/>
  <c r="AZ312" i="489"/>
  <c r="AY312" i="489"/>
  <c r="AX312" i="489"/>
  <c r="AW312" i="489"/>
  <c r="AV312" i="489"/>
  <c r="AU312" i="489"/>
  <c r="AT312" i="489"/>
  <c r="AS312" i="489"/>
  <c r="AR312" i="489"/>
  <c r="AQ312" i="489"/>
  <c r="AP312" i="489"/>
  <c r="AO312" i="489"/>
  <c r="AN312" i="489"/>
  <c r="AM312" i="489"/>
  <c r="AL312" i="489"/>
  <c r="AK312" i="489"/>
  <c r="AJ312" i="489"/>
  <c r="AI312" i="489"/>
  <c r="AH312" i="489"/>
  <c r="AG312" i="489"/>
  <c r="AF312" i="489"/>
  <c r="AE312" i="489"/>
  <c r="AD312" i="489"/>
  <c r="AC312" i="489"/>
  <c r="AB312" i="489"/>
  <c r="AA312" i="489"/>
  <c r="Z312" i="489"/>
  <c r="Y312" i="489"/>
  <c r="X312" i="489"/>
  <c r="W312" i="489"/>
  <c r="V312" i="489"/>
  <c r="U312" i="489"/>
  <c r="T312" i="489"/>
  <c r="S312" i="489"/>
  <c r="R312" i="489"/>
  <c r="Q312" i="489"/>
  <c r="P312" i="489"/>
  <c r="O312" i="489"/>
  <c r="N312" i="489"/>
  <c r="M312" i="489"/>
  <c r="L312" i="489"/>
  <c r="K312" i="489"/>
  <c r="J312" i="489"/>
  <c r="G312" i="489"/>
  <c r="F312" i="489"/>
  <c r="E312" i="489"/>
  <c r="D312" i="489"/>
  <c r="ES296" i="489"/>
  <c r="EQ296" i="489"/>
  <c r="EN296" i="489"/>
  <c r="EK296" i="489"/>
  <c r="EJ296" i="489"/>
  <c r="EG296" i="489"/>
  <c r="EE296" i="489"/>
  <c r="EB296" i="489"/>
  <c r="DX296" i="489"/>
  <c r="DU296" i="489"/>
  <c r="DS296" i="489"/>
  <c r="DP296" i="489"/>
  <c r="DL296" i="489"/>
  <c r="DI296" i="489"/>
  <c r="DG296" i="489"/>
  <c r="CY296" i="489"/>
  <c r="CV296" i="489"/>
  <c r="CU296" i="489"/>
  <c r="CM296" i="489"/>
  <c r="CJ296" i="489"/>
  <c r="CI296" i="489"/>
  <c r="CE296" i="489"/>
  <c r="CC296" i="489"/>
  <c r="CA296" i="489"/>
  <c r="BX296" i="489"/>
  <c r="BW296" i="489"/>
  <c r="BT296" i="489"/>
  <c r="BQ296" i="489"/>
  <c r="BO296" i="489"/>
  <c r="BL296" i="489"/>
  <c r="BK296" i="489"/>
  <c r="BH296" i="489"/>
  <c r="BG296" i="489"/>
  <c r="BC296" i="489"/>
  <c r="AZ296" i="489"/>
  <c r="AY296" i="489"/>
  <c r="AV296" i="489"/>
  <c r="AR296" i="489"/>
  <c r="AM296" i="489"/>
  <c r="AI296" i="489"/>
  <c r="AD296" i="489"/>
  <c r="AA296" i="489"/>
  <c r="T296" i="489"/>
  <c r="S296" i="489"/>
  <c r="R296" i="489"/>
  <c r="O296" i="489"/>
  <c r="EX282" i="489"/>
  <c r="EW282" i="489"/>
  <c r="EV282" i="489"/>
  <c r="EU282" i="489"/>
  <c r="ET282" i="489"/>
  <c r="ES282" i="489"/>
  <c r="ER282" i="489"/>
  <c r="EQ282" i="489"/>
  <c r="EP282" i="489"/>
  <c r="EO282" i="489"/>
  <c r="EN282" i="489"/>
  <c r="EM282" i="489"/>
  <c r="EL282" i="489"/>
  <c r="EK282" i="489"/>
  <c r="EJ282" i="489"/>
  <c r="EI282" i="489"/>
  <c r="EH282" i="489"/>
  <c r="EG282" i="489"/>
  <c r="EF282" i="489"/>
  <c r="EE282" i="489"/>
  <c r="ED282" i="489"/>
  <c r="EC282" i="489"/>
  <c r="EB282" i="489"/>
  <c r="EA282" i="489"/>
  <c r="DZ282" i="489"/>
  <c r="DY282" i="489"/>
  <c r="DX282" i="489"/>
  <c r="DW282" i="489"/>
  <c r="DV282" i="489"/>
  <c r="DU282" i="489"/>
  <c r="DT282" i="489"/>
  <c r="DS282" i="489"/>
  <c r="DR282" i="489"/>
  <c r="DQ282" i="489"/>
  <c r="DP282" i="489"/>
  <c r="DO282" i="489"/>
  <c r="DN282" i="489"/>
  <c r="DM282" i="489"/>
  <c r="DL282" i="489"/>
  <c r="DK282" i="489"/>
  <c r="DJ282" i="489"/>
  <c r="DI282" i="489"/>
  <c r="DH282" i="489"/>
  <c r="DG282" i="489"/>
  <c r="DF282" i="489"/>
  <c r="DE282" i="489"/>
  <c r="DD282" i="489"/>
  <c r="DC282" i="489"/>
  <c r="DB282" i="489"/>
  <c r="DA282" i="489"/>
  <c r="CZ282" i="489"/>
  <c r="CY282" i="489"/>
  <c r="CX282" i="489"/>
  <c r="CW282" i="489"/>
  <c r="CV282" i="489"/>
  <c r="CU282" i="489"/>
  <c r="CT282" i="489"/>
  <c r="CS282" i="489"/>
  <c r="CR282" i="489"/>
  <c r="CQ282" i="489"/>
  <c r="CP282" i="489"/>
  <c r="CO282" i="489"/>
  <c r="CN282" i="489"/>
  <c r="CM282" i="489"/>
  <c r="CL282" i="489"/>
  <c r="CK282" i="489"/>
  <c r="CJ282" i="489"/>
  <c r="CI282" i="489"/>
  <c r="CH282" i="489"/>
  <c r="CG282" i="489"/>
  <c r="CF282" i="489"/>
  <c r="CE282" i="489"/>
  <c r="CD282" i="489"/>
  <c r="CC282" i="489"/>
  <c r="CB282" i="489"/>
  <c r="CA282" i="489"/>
  <c r="BZ282" i="489"/>
  <c r="BY282" i="489"/>
  <c r="BX282" i="489"/>
  <c r="BW282" i="489"/>
  <c r="BV282" i="489"/>
  <c r="BU282" i="489"/>
  <c r="BT282" i="489"/>
  <c r="BS282" i="489"/>
  <c r="BR282" i="489"/>
  <c r="BQ282" i="489"/>
  <c r="BP282" i="489"/>
  <c r="BO282" i="489"/>
  <c r="BN282" i="489"/>
  <c r="BM282" i="489"/>
  <c r="BL282" i="489"/>
  <c r="BK282" i="489"/>
  <c r="BJ282" i="489"/>
  <c r="BI282" i="489"/>
  <c r="BH282" i="489"/>
  <c r="BG282" i="489"/>
  <c r="BF282" i="489"/>
  <c r="BE282" i="489"/>
  <c r="BD282" i="489"/>
  <c r="BC282" i="489"/>
  <c r="BB282" i="489"/>
  <c r="BA282" i="489"/>
  <c r="AZ282" i="489"/>
  <c r="AY282" i="489"/>
  <c r="AX282" i="489"/>
  <c r="AW282" i="489"/>
  <c r="AV282" i="489"/>
  <c r="AU282" i="489"/>
  <c r="AT282" i="489"/>
  <c r="AS282" i="489"/>
  <c r="AR282" i="489"/>
  <c r="AQ282" i="489"/>
  <c r="AP282" i="489"/>
  <c r="AO282" i="489"/>
  <c r="AN282" i="489"/>
  <c r="AM282" i="489"/>
  <c r="AL282" i="489"/>
  <c r="AK282" i="489"/>
  <c r="AJ282" i="489"/>
  <c r="AI282" i="489"/>
  <c r="AH282" i="489"/>
  <c r="AG282" i="489"/>
  <c r="AF282" i="489"/>
  <c r="AE282" i="489"/>
  <c r="AD282" i="489"/>
  <c r="AC282" i="489"/>
  <c r="AB282" i="489"/>
  <c r="AA282" i="489"/>
  <c r="Z282" i="489"/>
  <c r="Y282" i="489"/>
  <c r="X282" i="489"/>
  <c r="W282" i="489"/>
  <c r="V282" i="489"/>
  <c r="U282" i="489"/>
  <c r="T282" i="489"/>
  <c r="S282" i="489"/>
  <c r="R282" i="489"/>
  <c r="Q282" i="489"/>
  <c r="P282" i="489"/>
  <c r="O282" i="489"/>
  <c r="N282" i="489"/>
  <c r="M282" i="489"/>
  <c r="L282" i="489"/>
  <c r="K282" i="489"/>
  <c r="J282" i="489"/>
  <c r="G282" i="489"/>
  <c r="F282" i="489"/>
  <c r="E282" i="489"/>
  <c r="D282" i="489"/>
  <c r="EX252" i="489"/>
  <c r="EW252" i="489"/>
  <c r="EV252" i="489"/>
  <c r="EU252" i="489"/>
  <c r="ET252" i="489"/>
  <c r="ES252" i="489"/>
  <c r="ER252" i="489"/>
  <c r="EQ252" i="489"/>
  <c r="EP252" i="489"/>
  <c r="EO252" i="489"/>
  <c r="EN252" i="489"/>
  <c r="EM252" i="489"/>
  <c r="EL252" i="489"/>
  <c r="EK252" i="489"/>
  <c r="EJ252" i="489"/>
  <c r="EI252" i="489"/>
  <c r="EH252" i="489"/>
  <c r="EG252" i="489"/>
  <c r="EF252" i="489"/>
  <c r="EE252" i="489"/>
  <c r="ED252" i="489"/>
  <c r="EC252" i="489"/>
  <c r="EB252" i="489"/>
  <c r="EA252" i="489"/>
  <c r="DZ252" i="489"/>
  <c r="DY252" i="489"/>
  <c r="DX252" i="489"/>
  <c r="DW252" i="489"/>
  <c r="DV252" i="489"/>
  <c r="DU252" i="489"/>
  <c r="DT252" i="489"/>
  <c r="DS252" i="489"/>
  <c r="DR252" i="489"/>
  <c r="DQ252" i="489"/>
  <c r="DP252" i="489"/>
  <c r="DO252" i="489"/>
  <c r="DN252" i="489"/>
  <c r="DM252" i="489"/>
  <c r="DL252" i="489"/>
  <c r="DK252" i="489"/>
  <c r="DJ252" i="489"/>
  <c r="DI252" i="489"/>
  <c r="DH252" i="489"/>
  <c r="DG252" i="489"/>
  <c r="DF252" i="489"/>
  <c r="DE252" i="489"/>
  <c r="DD252" i="489"/>
  <c r="DC252" i="489"/>
  <c r="DB252" i="489"/>
  <c r="DA252" i="489"/>
  <c r="CZ252" i="489"/>
  <c r="CY252" i="489"/>
  <c r="CX252" i="489"/>
  <c r="CW252" i="489"/>
  <c r="CV252" i="489"/>
  <c r="CU252" i="489"/>
  <c r="CT252" i="489"/>
  <c r="CS252" i="489"/>
  <c r="CR252" i="489"/>
  <c r="CQ252" i="489"/>
  <c r="CP252" i="489"/>
  <c r="CO252" i="489"/>
  <c r="CN252" i="489"/>
  <c r="CM252" i="489"/>
  <c r="CL252" i="489"/>
  <c r="CK252" i="489"/>
  <c r="CJ252" i="489"/>
  <c r="CI252" i="489"/>
  <c r="CH252" i="489"/>
  <c r="CG252" i="489"/>
  <c r="CF252" i="489"/>
  <c r="CE252" i="489"/>
  <c r="CD252" i="489"/>
  <c r="CC252" i="489"/>
  <c r="CB252" i="489"/>
  <c r="CA252" i="489"/>
  <c r="BZ252" i="489"/>
  <c r="BY252" i="489"/>
  <c r="BX252" i="489"/>
  <c r="BW252" i="489"/>
  <c r="BV252" i="489"/>
  <c r="BU252" i="489"/>
  <c r="BT252" i="489"/>
  <c r="BS252" i="489"/>
  <c r="BR252" i="489"/>
  <c r="BQ252" i="489"/>
  <c r="BP252" i="489"/>
  <c r="BO252" i="489"/>
  <c r="BN252" i="489"/>
  <c r="BM252" i="489"/>
  <c r="BL252" i="489"/>
  <c r="BK252" i="489"/>
  <c r="BJ252" i="489"/>
  <c r="BI252" i="489"/>
  <c r="BH252" i="489"/>
  <c r="BG252" i="489"/>
  <c r="BF252" i="489"/>
  <c r="BE252" i="489"/>
  <c r="BD252" i="489"/>
  <c r="BC252" i="489"/>
  <c r="BB252" i="489"/>
  <c r="BA252" i="489"/>
  <c r="AZ252" i="489"/>
  <c r="AY252" i="489"/>
  <c r="AX252" i="489"/>
  <c r="AW252" i="489"/>
  <c r="AV252" i="489"/>
  <c r="AU252" i="489"/>
  <c r="AT252" i="489"/>
  <c r="AS252" i="489"/>
  <c r="AR252" i="489"/>
  <c r="AQ252" i="489"/>
  <c r="AP252" i="489"/>
  <c r="AO252" i="489"/>
  <c r="AN252" i="489"/>
  <c r="AM252" i="489"/>
  <c r="AL252" i="489"/>
  <c r="AK252" i="489"/>
  <c r="AJ252" i="489"/>
  <c r="AI252" i="489"/>
  <c r="AH252" i="489"/>
  <c r="AG252" i="489"/>
  <c r="AF252" i="489"/>
  <c r="AE252" i="489"/>
  <c r="AD252" i="489"/>
  <c r="AC252" i="489"/>
  <c r="AB252" i="489"/>
  <c r="AA252" i="489"/>
  <c r="Z252" i="489"/>
  <c r="Y252" i="489"/>
  <c r="X252" i="489"/>
  <c r="W252" i="489"/>
  <c r="V252" i="489"/>
  <c r="U252" i="489"/>
  <c r="T252" i="489"/>
  <c r="S252" i="489"/>
  <c r="R252" i="489"/>
  <c r="Q252" i="489"/>
  <c r="P252" i="489"/>
  <c r="O252" i="489"/>
  <c r="N252" i="489"/>
  <c r="M252" i="489"/>
  <c r="L252" i="489"/>
  <c r="K252" i="489"/>
  <c r="J252" i="489"/>
  <c r="G252" i="489"/>
  <c r="F252" i="489"/>
  <c r="E252" i="489"/>
  <c r="D252" i="489"/>
  <c r="DX236" i="489"/>
  <c r="DU236" i="489"/>
  <c r="BY236" i="489"/>
  <c r="BD236" i="489"/>
  <c r="AF236" i="489"/>
  <c r="Q236" i="489"/>
  <c r="EE236" i="489"/>
  <c r="DS236" i="489"/>
  <c r="ES236" i="489"/>
  <c r="EJ236" i="489"/>
  <c r="EG236" i="489"/>
  <c r="DL236" i="489"/>
  <c r="DI236" i="489"/>
  <c r="CW236" i="489"/>
  <c r="CK236" i="489"/>
  <c r="BA236" i="489"/>
  <c r="AO236" i="489"/>
  <c r="DG236" i="489"/>
  <c r="CU236" i="489"/>
  <c r="CI236" i="489"/>
  <c r="BP236" i="489"/>
  <c r="BK236" i="489"/>
  <c r="AY236" i="489"/>
  <c r="AR236" i="489"/>
  <c r="AM236" i="489"/>
  <c r="AA236" i="489"/>
  <c r="O236" i="489"/>
  <c r="EU236" i="489"/>
  <c r="EP236" i="489"/>
  <c r="EN236" i="489"/>
  <c r="EK236" i="489"/>
  <c r="EI236" i="489"/>
  <c r="ED236" i="489"/>
  <c r="EB236" i="489"/>
  <c r="DY236" i="489"/>
  <c r="DW236" i="489"/>
  <c r="DP236" i="489"/>
  <c r="DM236" i="489"/>
  <c r="DK236" i="489"/>
  <c r="DD236" i="489"/>
  <c r="DA236" i="489"/>
  <c r="CY236" i="489"/>
  <c r="CT236" i="489"/>
  <c r="CR236" i="489"/>
  <c r="CM236" i="489"/>
  <c r="CH236" i="489"/>
  <c r="CC236" i="489"/>
  <c r="CA236" i="489"/>
  <c r="BZ236" i="489"/>
  <c r="BV236" i="489"/>
  <c r="BQ236" i="489"/>
  <c r="BO236" i="489"/>
  <c r="BJ236" i="489"/>
  <c r="BH236" i="489"/>
  <c r="BE236" i="489"/>
  <c r="BC236" i="489"/>
  <c r="BB236" i="489"/>
  <c r="AX236" i="489"/>
  <c r="AV236" i="489"/>
  <c r="AS236" i="489"/>
  <c r="AP236" i="489"/>
  <c r="AL236" i="489"/>
  <c r="AG236" i="489"/>
  <c r="AD236" i="489"/>
  <c r="T236" i="489"/>
  <c r="S236" i="489"/>
  <c r="EX222" i="489"/>
  <c r="EW222" i="489"/>
  <c r="EV222" i="489"/>
  <c r="EU222" i="489"/>
  <c r="ET222" i="489"/>
  <c r="ES222" i="489"/>
  <c r="ER222" i="489"/>
  <c r="EQ222" i="489"/>
  <c r="EP222" i="489"/>
  <c r="EO222" i="489"/>
  <c r="EM222" i="489"/>
  <c r="EL222" i="489"/>
  <c r="EK222" i="489"/>
  <c r="EJ222" i="489"/>
  <c r="EI222" i="489"/>
  <c r="EH222" i="489"/>
  <c r="EG222" i="489"/>
  <c r="EF222" i="489"/>
  <c r="EE222" i="489"/>
  <c r="ED222" i="489"/>
  <c r="EC222" i="489"/>
  <c r="EB222" i="489"/>
  <c r="EA222" i="489"/>
  <c r="DZ222" i="489"/>
  <c r="DY222" i="489"/>
  <c r="DX222" i="489"/>
  <c r="DW222" i="489"/>
  <c r="DV222" i="489"/>
  <c r="DU222" i="489"/>
  <c r="DT222" i="489"/>
  <c r="DS222" i="489"/>
  <c r="DR222" i="489"/>
  <c r="DQ222" i="489"/>
  <c r="DP222" i="489"/>
  <c r="DO222" i="489"/>
  <c r="DN222" i="489"/>
  <c r="DM222" i="489"/>
  <c r="DL222" i="489"/>
  <c r="DK222" i="489"/>
  <c r="DJ222" i="489"/>
  <c r="DI222" i="489"/>
  <c r="DH222" i="489"/>
  <c r="DG222" i="489"/>
  <c r="DF222" i="489"/>
  <c r="DE222" i="489"/>
  <c r="DD222" i="489"/>
  <c r="DB222" i="489"/>
  <c r="DA222" i="489"/>
  <c r="CY222" i="489"/>
  <c r="CX222" i="489"/>
  <c r="CW222" i="489"/>
  <c r="CV222" i="489"/>
  <c r="CU222" i="489"/>
  <c r="CT222" i="489"/>
  <c r="CS222" i="489"/>
  <c r="CR222" i="489"/>
  <c r="CQ222" i="489"/>
  <c r="CP222" i="489"/>
  <c r="CO222" i="489"/>
  <c r="CN222" i="489"/>
  <c r="CM222" i="489"/>
  <c r="CK222" i="489"/>
  <c r="CJ222" i="489"/>
  <c r="CI222" i="489"/>
  <c r="CH222" i="489"/>
  <c r="CG222" i="489"/>
  <c r="CD222" i="489"/>
  <c r="CC222" i="489"/>
  <c r="CB222" i="489"/>
  <c r="CA222" i="489"/>
  <c r="BZ222" i="489"/>
  <c r="BY222" i="489"/>
  <c r="BX222" i="489"/>
  <c r="BW222" i="489"/>
  <c r="BV222" i="489"/>
  <c r="BU222" i="489"/>
  <c r="BT222" i="489"/>
  <c r="BQ222" i="489"/>
  <c r="BP222" i="489"/>
  <c r="BO222" i="489"/>
  <c r="BN222" i="489"/>
  <c r="BM222" i="489"/>
  <c r="BL222" i="489"/>
  <c r="BK222" i="489"/>
  <c r="BJ222" i="489"/>
  <c r="BI222" i="489"/>
  <c r="BH222" i="489"/>
  <c r="BG222" i="489"/>
  <c r="BF222" i="489"/>
  <c r="BE222" i="489"/>
  <c r="BD222" i="489"/>
  <c r="BC222" i="489"/>
  <c r="BB222" i="489"/>
  <c r="BA222" i="489"/>
  <c r="AZ222" i="489"/>
  <c r="AY222" i="489"/>
  <c r="AX222" i="489"/>
  <c r="AW222" i="489"/>
  <c r="AV222" i="489"/>
  <c r="AU222" i="489"/>
  <c r="AT222" i="489"/>
  <c r="AS222" i="489"/>
  <c r="AR222" i="489"/>
  <c r="AQ222" i="489"/>
  <c r="AP222" i="489"/>
  <c r="AO222" i="489"/>
  <c r="AN222" i="489"/>
  <c r="AM222" i="489"/>
  <c r="AL222" i="489"/>
  <c r="AK222" i="489"/>
  <c r="AJ222" i="489"/>
  <c r="AI222" i="489"/>
  <c r="AH222" i="489"/>
  <c r="AG222" i="489"/>
  <c r="AF222" i="489"/>
  <c r="AE222" i="489"/>
  <c r="AD222" i="489"/>
  <c r="AC222" i="489"/>
  <c r="AB222" i="489"/>
  <c r="AA222" i="489"/>
  <c r="Z222" i="489"/>
  <c r="Y222" i="489"/>
  <c r="X222" i="489"/>
  <c r="W222" i="489"/>
  <c r="V222" i="489"/>
  <c r="U222" i="489"/>
  <c r="T222" i="489"/>
  <c r="S222" i="489"/>
  <c r="R222" i="489"/>
  <c r="Q222" i="489"/>
  <c r="P222" i="489"/>
  <c r="O222" i="489"/>
  <c r="N222" i="489"/>
  <c r="M222" i="489"/>
  <c r="L222" i="489"/>
  <c r="K222" i="489"/>
  <c r="J222" i="489"/>
  <c r="DY206" i="489"/>
  <c r="CC206" i="489"/>
  <c r="BP206" i="489"/>
  <c r="AG206" i="489"/>
  <c r="T206" i="489"/>
  <c r="EQ206" i="489"/>
  <c r="EJ206" i="489"/>
  <c r="EE206" i="489"/>
  <c r="DS206" i="489"/>
  <c r="DL206" i="489"/>
  <c r="DG206" i="489"/>
  <c r="CU206" i="489"/>
  <c r="BW206" i="489"/>
  <c r="BK206" i="489"/>
  <c r="AY206" i="489"/>
  <c r="AR206" i="489"/>
  <c r="AM206" i="489"/>
  <c r="AA206" i="489"/>
  <c r="O206" i="489"/>
  <c r="EK206" i="489"/>
  <c r="DM206" i="489"/>
  <c r="DA206" i="489"/>
  <c r="CO206" i="489"/>
  <c r="BQ206" i="489"/>
  <c r="BE206" i="489"/>
  <c r="AS206" i="489"/>
  <c r="ET206" i="489"/>
  <c r="ES206" i="489"/>
  <c r="EH206" i="489"/>
  <c r="EG206" i="489"/>
  <c r="DX206" i="489"/>
  <c r="DV206" i="489"/>
  <c r="DU206" i="489"/>
  <c r="DJ206" i="489"/>
  <c r="DI206" i="489"/>
  <c r="CW206" i="489"/>
  <c r="CL206" i="489"/>
  <c r="CK206" i="489"/>
  <c r="BZ206" i="489"/>
  <c r="BY206" i="489"/>
  <c r="BN206" i="489"/>
  <c r="BD206" i="489"/>
  <c r="BB206" i="489"/>
  <c r="BA206" i="489"/>
  <c r="AP206" i="489"/>
  <c r="AO206" i="489"/>
  <c r="AF206" i="489"/>
  <c r="AD206" i="489"/>
  <c r="Q206" i="489"/>
  <c r="EX192" i="489"/>
  <c r="EW192" i="489"/>
  <c r="EV192" i="489"/>
  <c r="EU192" i="489"/>
  <c r="ET192" i="489"/>
  <c r="ES192" i="489"/>
  <c r="ER192" i="489"/>
  <c r="EQ192" i="489"/>
  <c r="EP192" i="489"/>
  <c r="EO192" i="489"/>
  <c r="EN192" i="489"/>
  <c r="EM192" i="489"/>
  <c r="EL192" i="489"/>
  <c r="EK192" i="489"/>
  <c r="EI192" i="489"/>
  <c r="EH192" i="489"/>
  <c r="EG192" i="489"/>
  <c r="EF192" i="489"/>
  <c r="EE192" i="489"/>
  <c r="ED192" i="489"/>
  <c r="EC192" i="489"/>
  <c r="EB192" i="489"/>
  <c r="EA192" i="489"/>
  <c r="DZ192" i="489"/>
  <c r="DY192" i="489"/>
  <c r="DX192" i="489"/>
  <c r="DW192" i="489"/>
  <c r="DV192" i="489"/>
  <c r="DU192" i="489"/>
  <c r="DT192" i="489"/>
  <c r="DS192" i="489"/>
  <c r="DR192" i="489"/>
  <c r="DQ192" i="489"/>
  <c r="DP192" i="489"/>
  <c r="DO192" i="489"/>
  <c r="DN192" i="489"/>
  <c r="DM192" i="489"/>
  <c r="DL192" i="489"/>
  <c r="DK192" i="489"/>
  <c r="DJ192" i="489"/>
  <c r="DI192" i="489"/>
  <c r="DH192" i="489"/>
  <c r="DG192" i="489"/>
  <c r="DF192" i="489"/>
  <c r="DE192" i="489"/>
  <c r="DD192" i="489"/>
  <c r="DB192" i="489"/>
  <c r="DA192" i="489"/>
  <c r="CX192" i="489"/>
  <c r="CW192" i="489"/>
  <c r="CV192" i="489"/>
  <c r="CU192" i="489"/>
  <c r="CT192" i="489"/>
  <c r="CS192" i="489"/>
  <c r="CR192" i="489"/>
  <c r="CQ192" i="489"/>
  <c r="CP192" i="489"/>
  <c r="CO192" i="489"/>
  <c r="CN192" i="489"/>
  <c r="CM192" i="489"/>
  <c r="CK192" i="489"/>
  <c r="CJ192" i="489"/>
  <c r="CI192" i="489"/>
  <c r="CH192" i="489"/>
  <c r="CG192" i="489"/>
  <c r="CE192" i="489"/>
  <c r="CD192" i="489"/>
  <c r="CC192" i="489"/>
  <c r="CB192" i="489"/>
  <c r="CA192" i="489"/>
  <c r="BZ192" i="489"/>
  <c r="BY192" i="489"/>
  <c r="BX192" i="489"/>
  <c r="BW192" i="489"/>
  <c r="BV192" i="489"/>
  <c r="BU192" i="489"/>
  <c r="BT192" i="489"/>
  <c r="BR192" i="489"/>
  <c r="BQ192" i="489"/>
  <c r="BP192" i="489"/>
  <c r="BO192" i="489"/>
  <c r="BN192" i="489"/>
  <c r="BM192" i="489"/>
  <c r="BL192" i="489"/>
  <c r="BK192" i="489"/>
  <c r="BJ192" i="489"/>
  <c r="BI192" i="489"/>
  <c r="BH192" i="489"/>
  <c r="BG192" i="489"/>
  <c r="BF192" i="489"/>
  <c r="BE192" i="489"/>
  <c r="BD192" i="489"/>
  <c r="BC192" i="489"/>
  <c r="BB192" i="489"/>
  <c r="BA192" i="489"/>
  <c r="AZ192" i="489"/>
  <c r="AY192" i="489"/>
  <c r="AX192" i="489"/>
  <c r="AW192" i="489"/>
  <c r="AV192" i="489"/>
  <c r="AU192" i="489"/>
  <c r="AT192" i="489"/>
  <c r="AS192" i="489"/>
  <c r="AR192" i="489"/>
  <c r="AQ192" i="489"/>
  <c r="AP192" i="489"/>
  <c r="AO192" i="489"/>
  <c r="AN192" i="489"/>
  <c r="AM192" i="489"/>
  <c r="AL192" i="489"/>
  <c r="AK192" i="489"/>
  <c r="AJ192" i="489"/>
  <c r="AI192" i="489"/>
  <c r="AH192" i="489"/>
  <c r="AG192" i="489"/>
  <c r="AF192" i="489"/>
  <c r="AD192" i="489"/>
  <c r="AC192" i="489"/>
  <c r="AB192" i="489"/>
  <c r="AA192" i="489"/>
  <c r="Z192" i="489"/>
  <c r="Y192" i="489"/>
  <c r="X192" i="489"/>
  <c r="W192" i="489"/>
  <c r="T192" i="489"/>
  <c r="S192" i="489"/>
  <c r="R192" i="489"/>
  <c r="Q192" i="489"/>
  <c r="P192" i="489"/>
  <c r="O192" i="489"/>
  <c r="N192" i="489"/>
  <c r="M192" i="489"/>
  <c r="L192" i="489"/>
  <c r="K192" i="489"/>
  <c r="J192" i="489"/>
  <c r="F192" i="489"/>
  <c r="E192" i="489"/>
  <c r="DY176" i="489"/>
  <c r="DA176" i="489"/>
  <c r="CC176" i="489"/>
  <c r="BE176" i="489"/>
  <c r="AG176" i="489"/>
  <c r="EK176" i="489"/>
  <c r="DM176" i="489"/>
  <c r="CO176" i="489"/>
  <c r="BQ176" i="489"/>
  <c r="AS176" i="489"/>
  <c r="EM176" i="489"/>
  <c r="EA176" i="489"/>
  <c r="DO176" i="489"/>
  <c r="CE176" i="489"/>
  <c r="BG176" i="489"/>
  <c r="AI176" i="489"/>
  <c r="EX176" i="489"/>
  <c r="ES176" i="489"/>
  <c r="EL176" i="489"/>
  <c r="EG176" i="489"/>
  <c r="DZ176" i="489"/>
  <c r="DN176" i="489"/>
  <c r="DJ176" i="489"/>
  <c r="DI176" i="489"/>
  <c r="DB176" i="489"/>
  <c r="CW176" i="489"/>
  <c r="CR176" i="489"/>
  <c r="CP176" i="489"/>
  <c r="CK176" i="489"/>
  <c r="CD176" i="489"/>
  <c r="BY176" i="489"/>
  <c r="BT176" i="489"/>
  <c r="BM176" i="489"/>
  <c r="BH176" i="489"/>
  <c r="BF176" i="489"/>
  <c r="BA176" i="489"/>
  <c r="AV176" i="489"/>
  <c r="AT176" i="489"/>
  <c r="AO176" i="489"/>
  <c r="AD176" i="489"/>
  <c r="AC176" i="489"/>
  <c r="X176" i="489"/>
  <c r="Q176" i="489"/>
  <c r="O176" i="489"/>
  <c r="L176" i="489"/>
  <c r="K176" i="489"/>
  <c r="EX162" i="489"/>
  <c r="EW162" i="489"/>
  <c r="EV162" i="489"/>
  <c r="EU162" i="489"/>
  <c r="ET162" i="489"/>
  <c r="ES162" i="489"/>
  <c r="ER162" i="489"/>
  <c r="EQ162" i="489"/>
  <c r="EP162" i="489"/>
  <c r="EO162" i="489"/>
  <c r="EN162" i="489"/>
  <c r="EM162" i="489"/>
  <c r="EL162" i="489"/>
  <c r="EK162" i="489"/>
  <c r="EJ162" i="489"/>
  <c r="EI162" i="489"/>
  <c r="EH162" i="489"/>
  <c r="EG162" i="489"/>
  <c r="EF162" i="489"/>
  <c r="EE162" i="489"/>
  <c r="ED162" i="489"/>
  <c r="EC162" i="489"/>
  <c r="EB162" i="489"/>
  <c r="EA162" i="489"/>
  <c r="DZ162" i="489"/>
  <c r="DY162" i="489"/>
  <c r="DX162" i="489"/>
  <c r="DW162" i="489"/>
  <c r="DV162" i="489"/>
  <c r="DU162" i="489"/>
  <c r="DT162" i="489"/>
  <c r="DS162" i="489"/>
  <c r="DR162" i="489"/>
  <c r="DQ162" i="489"/>
  <c r="DP162" i="489"/>
  <c r="DO162" i="489"/>
  <c r="DN162" i="489"/>
  <c r="DM162" i="489"/>
  <c r="DL162" i="489"/>
  <c r="DK162" i="489"/>
  <c r="DJ162" i="489"/>
  <c r="DI162" i="489"/>
  <c r="DH162" i="489"/>
  <c r="DG162" i="489"/>
  <c r="DF162" i="489"/>
  <c r="DE162" i="489"/>
  <c r="DD162" i="489"/>
  <c r="DB162" i="489"/>
  <c r="DA162" i="489"/>
  <c r="CY162" i="489"/>
  <c r="CX162" i="489"/>
  <c r="CV162" i="489"/>
  <c r="CU162" i="489"/>
  <c r="CT162" i="489"/>
  <c r="CS162" i="489"/>
  <c r="CR162" i="489"/>
  <c r="CQ162" i="489"/>
  <c r="CP162" i="489"/>
  <c r="CO162" i="489"/>
  <c r="CN162" i="489"/>
  <c r="CM162" i="489"/>
  <c r="CK162" i="489"/>
  <c r="CJ162" i="489"/>
  <c r="CI162" i="489"/>
  <c r="CH162" i="489"/>
  <c r="CG162" i="489"/>
  <c r="CF162" i="489"/>
  <c r="CD162" i="489"/>
  <c r="CC162" i="489"/>
  <c r="CB162" i="489"/>
  <c r="CA162" i="489"/>
  <c r="BZ162" i="489"/>
  <c r="BY162" i="489"/>
  <c r="BX162" i="489"/>
  <c r="BW162" i="489"/>
  <c r="BV162" i="489"/>
  <c r="BU162" i="489"/>
  <c r="BT162" i="489"/>
  <c r="BR162" i="489"/>
  <c r="BQ162" i="489"/>
  <c r="BP162" i="489"/>
  <c r="BO162" i="489"/>
  <c r="BN162" i="489"/>
  <c r="BM162" i="489"/>
  <c r="BL162" i="489"/>
  <c r="BK162" i="489"/>
  <c r="BJ162" i="489"/>
  <c r="BI162" i="489"/>
  <c r="BH162" i="489"/>
  <c r="BG162" i="489"/>
  <c r="BF162" i="489"/>
  <c r="BE162" i="489"/>
  <c r="BD162" i="489"/>
  <c r="BC162" i="489"/>
  <c r="BB162" i="489"/>
  <c r="BA162" i="489"/>
  <c r="AZ162" i="489"/>
  <c r="AY162" i="489"/>
  <c r="AX162" i="489"/>
  <c r="AW162" i="489"/>
  <c r="AV162" i="489"/>
  <c r="AU162" i="489"/>
  <c r="AT162" i="489"/>
  <c r="AS162" i="489"/>
  <c r="AR162" i="489"/>
  <c r="AQ162" i="489"/>
  <c r="AP162" i="489"/>
  <c r="AO162" i="489"/>
  <c r="AN162" i="489"/>
  <c r="AM162" i="489"/>
  <c r="AL162" i="489"/>
  <c r="AK162" i="489"/>
  <c r="AJ162" i="489"/>
  <c r="AI162" i="489"/>
  <c r="AH162" i="489"/>
  <c r="AG162" i="489"/>
  <c r="AF162" i="489"/>
  <c r="AE162" i="489"/>
  <c r="AD162" i="489"/>
  <c r="AC162" i="489"/>
  <c r="AA162" i="489"/>
  <c r="Z162" i="489"/>
  <c r="Y162" i="489"/>
  <c r="X162" i="489"/>
  <c r="W162" i="489"/>
  <c r="V162" i="489"/>
  <c r="U162" i="489"/>
  <c r="T162" i="489"/>
  <c r="S162" i="489"/>
  <c r="R162" i="489"/>
  <c r="Q162" i="489"/>
  <c r="P162" i="489"/>
  <c r="O162" i="489"/>
  <c r="N162" i="489"/>
  <c r="M162" i="489"/>
  <c r="L162" i="489"/>
  <c r="K162" i="489"/>
  <c r="J162" i="489"/>
  <c r="G162" i="489"/>
  <c r="F162" i="489"/>
  <c r="E162" i="489"/>
  <c r="EN146" i="489"/>
  <c r="CM146" i="489"/>
  <c r="BO146" i="489"/>
  <c r="S146" i="489"/>
  <c r="DK146" i="489"/>
  <c r="AQ146" i="489"/>
  <c r="EX146" i="489"/>
  <c r="ET146" i="489"/>
  <c r="ER146" i="489"/>
  <c r="EH146" i="489"/>
  <c r="EF146" i="489"/>
  <c r="DV146" i="489"/>
  <c r="DT146" i="489"/>
  <c r="DP146" i="489"/>
  <c r="DJ146" i="489"/>
  <c r="DH146" i="489"/>
  <c r="DD146" i="489"/>
  <c r="CX146" i="489"/>
  <c r="CV146" i="489"/>
  <c r="CR146" i="489"/>
  <c r="CJ146" i="489"/>
  <c r="CF146" i="489"/>
  <c r="BZ146" i="489"/>
  <c r="BX146" i="489"/>
  <c r="BT146" i="489"/>
  <c r="BL146" i="489"/>
  <c r="BH146" i="489"/>
  <c r="BB146" i="489"/>
  <c r="AZ146" i="489"/>
  <c r="AV146" i="489"/>
  <c r="AP146" i="489"/>
  <c r="AN146" i="489"/>
  <c r="AD146" i="489"/>
  <c r="AB146" i="489"/>
  <c r="X146" i="489"/>
  <c r="P146" i="489"/>
  <c r="L146" i="489"/>
  <c r="EX132" i="489"/>
  <c r="EW132" i="489"/>
  <c r="EV132" i="489"/>
  <c r="EU132" i="489"/>
  <c r="ET132" i="489"/>
  <c r="ES132" i="489"/>
  <c r="ER132" i="489"/>
  <c r="EQ132" i="489"/>
  <c r="EP132" i="489"/>
  <c r="EO132" i="489"/>
  <c r="EN132" i="489"/>
  <c r="EM132" i="489"/>
  <c r="EL132" i="489"/>
  <c r="EK132" i="489"/>
  <c r="EI132" i="489"/>
  <c r="EH132" i="489"/>
  <c r="EG132" i="489"/>
  <c r="EF132" i="489"/>
  <c r="EE132" i="489"/>
  <c r="ED132" i="489"/>
  <c r="EB132" i="489"/>
  <c r="EA132" i="489"/>
  <c r="DZ132" i="489"/>
  <c r="DY132" i="489"/>
  <c r="DX132" i="489"/>
  <c r="DW132" i="489"/>
  <c r="DV132" i="489"/>
  <c r="DU132" i="489"/>
  <c r="DT132" i="489"/>
  <c r="DS132" i="489"/>
  <c r="DR132" i="489"/>
  <c r="DQ132" i="489"/>
  <c r="DP132" i="489"/>
  <c r="DO132" i="489"/>
  <c r="DN132" i="489"/>
  <c r="DM132" i="489"/>
  <c r="DL132" i="489"/>
  <c r="DK132" i="489"/>
  <c r="DJ132" i="489"/>
  <c r="DI132" i="489"/>
  <c r="DH132" i="489"/>
  <c r="DG132" i="489"/>
  <c r="DF132" i="489"/>
  <c r="DE132" i="489"/>
  <c r="DD132" i="489"/>
  <c r="DC132" i="489"/>
  <c r="DB132" i="489"/>
  <c r="DA132" i="489"/>
  <c r="CZ132" i="489"/>
  <c r="CY132" i="489"/>
  <c r="CX132" i="489"/>
  <c r="CW132" i="489"/>
  <c r="CV132" i="489"/>
  <c r="CU132" i="489"/>
  <c r="CT132" i="489"/>
  <c r="CS132" i="489"/>
  <c r="CR132" i="489"/>
  <c r="CQ132" i="489"/>
  <c r="CP132" i="489"/>
  <c r="CO132" i="489"/>
  <c r="CN132" i="489"/>
  <c r="CM132" i="489"/>
  <c r="CL132" i="489"/>
  <c r="CK132" i="489"/>
  <c r="CJ132" i="489"/>
  <c r="CI132" i="489"/>
  <c r="CH132" i="489"/>
  <c r="CG132" i="489"/>
  <c r="CF132" i="489"/>
  <c r="CE132" i="489"/>
  <c r="CD132" i="489"/>
  <c r="CC132" i="489"/>
  <c r="CB132" i="489"/>
  <c r="CA132" i="489"/>
  <c r="BZ132" i="489"/>
  <c r="BY132" i="489"/>
  <c r="BX132" i="489"/>
  <c r="BW132" i="489"/>
  <c r="BV132" i="489"/>
  <c r="BU132" i="489"/>
  <c r="BT132" i="489"/>
  <c r="BS132" i="489"/>
  <c r="BR132" i="489"/>
  <c r="BQ132" i="489"/>
  <c r="BP132" i="489"/>
  <c r="BO132" i="489"/>
  <c r="BN132" i="489"/>
  <c r="BM132" i="489"/>
  <c r="BL132" i="489"/>
  <c r="BK132" i="489"/>
  <c r="BJ132" i="489"/>
  <c r="BI132" i="489"/>
  <c r="BH132" i="489"/>
  <c r="BG132" i="489"/>
  <c r="BF132" i="489"/>
  <c r="BE132" i="489"/>
  <c r="BD132" i="489"/>
  <c r="BC132" i="489"/>
  <c r="BB132" i="489"/>
  <c r="BA132" i="489"/>
  <c r="AZ132" i="489"/>
  <c r="AY132" i="489"/>
  <c r="AX132" i="489"/>
  <c r="AW132" i="489"/>
  <c r="AV132" i="489"/>
  <c r="AU132" i="489"/>
  <c r="AT132" i="489"/>
  <c r="AS132" i="489"/>
  <c r="AR132" i="489"/>
  <c r="AQ132" i="489"/>
  <c r="AP132" i="489"/>
  <c r="AO132" i="489"/>
  <c r="AN132" i="489"/>
  <c r="AM132" i="489"/>
  <c r="AL132" i="489"/>
  <c r="AK132" i="489"/>
  <c r="AJ132" i="489"/>
  <c r="AI132" i="489"/>
  <c r="AH132" i="489"/>
  <c r="AG132" i="489"/>
  <c r="AF132" i="489"/>
  <c r="AE132" i="489"/>
  <c r="AD132" i="489"/>
  <c r="AC132" i="489"/>
  <c r="AB132" i="489"/>
  <c r="AA132" i="489"/>
  <c r="Z132" i="489"/>
  <c r="Y132" i="489"/>
  <c r="X132" i="489"/>
  <c r="W132" i="489"/>
  <c r="V132" i="489"/>
  <c r="U132" i="489"/>
  <c r="T132" i="489"/>
  <c r="S132" i="489"/>
  <c r="R132" i="489"/>
  <c r="Q132" i="489"/>
  <c r="P132" i="489"/>
  <c r="O132" i="489"/>
  <c r="N132" i="489"/>
  <c r="M132" i="489"/>
  <c r="L132" i="489"/>
  <c r="K132" i="489"/>
  <c r="J132" i="489"/>
  <c r="D132" i="489"/>
  <c r="EK116" i="489"/>
  <c r="CO116" i="489"/>
  <c r="BE116" i="489"/>
  <c r="AS116" i="489"/>
  <c r="AG116" i="489"/>
  <c r="DY116" i="489"/>
  <c r="DM116" i="489"/>
  <c r="DA116" i="489"/>
  <c r="CC116" i="489"/>
  <c r="BQ116" i="489"/>
  <c r="ES116" i="489"/>
  <c r="EG116" i="489"/>
  <c r="DU116" i="489"/>
  <c r="DI116" i="489"/>
  <c r="CW116" i="489"/>
  <c r="CK116" i="489"/>
  <c r="BY116" i="489"/>
  <c r="BA116" i="489"/>
  <c r="AO116" i="489"/>
  <c r="AC116" i="489"/>
  <c r="Q116" i="489"/>
  <c r="EX116" i="489"/>
  <c r="EU116" i="489"/>
  <c r="ER116" i="489"/>
  <c r="EQ116" i="489"/>
  <c r="EP116" i="489"/>
  <c r="EO116" i="489"/>
  <c r="EN116" i="489"/>
  <c r="EM116" i="489"/>
  <c r="EL116" i="489"/>
  <c r="EI116" i="489"/>
  <c r="EF116" i="489"/>
  <c r="EE116" i="489"/>
  <c r="ED116" i="489"/>
  <c r="EC116" i="489"/>
  <c r="EA116" i="489"/>
  <c r="DZ116" i="489"/>
  <c r="DW116" i="489"/>
  <c r="DT116" i="489"/>
  <c r="DS116" i="489"/>
  <c r="DQ116" i="489"/>
  <c r="DP116" i="489"/>
  <c r="DO116" i="489"/>
  <c r="DN116" i="489"/>
  <c r="DK116" i="489"/>
  <c r="DH116" i="489"/>
  <c r="DG116" i="489"/>
  <c r="DE116" i="489"/>
  <c r="DD116" i="489"/>
  <c r="DB116" i="489"/>
  <c r="CY116" i="489"/>
  <c r="CX116" i="489"/>
  <c r="CV116" i="489"/>
  <c r="CU116" i="489"/>
  <c r="CT116" i="489"/>
  <c r="CR116" i="489"/>
  <c r="CP116" i="489"/>
  <c r="CN116" i="489"/>
  <c r="CM116" i="489"/>
  <c r="CL116" i="489"/>
  <c r="CJ116" i="489"/>
  <c r="CI116" i="489"/>
  <c r="CH116" i="489"/>
  <c r="CG116" i="489"/>
  <c r="CE116" i="489"/>
  <c r="CD116" i="489"/>
  <c r="BX116" i="489"/>
  <c r="BW116" i="489"/>
  <c r="BV116" i="489"/>
  <c r="BU116" i="489"/>
  <c r="BT116" i="489"/>
  <c r="BS116" i="489"/>
  <c r="BP116" i="489"/>
  <c r="BO116" i="489"/>
  <c r="BL116" i="489"/>
  <c r="BK116" i="489"/>
  <c r="BJ116" i="489"/>
  <c r="BI116" i="489"/>
  <c r="BH116" i="489"/>
  <c r="BG116" i="489"/>
  <c r="BF116" i="489"/>
  <c r="BD116" i="489"/>
  <c r="BC116" i="489"/>
  <c r="AZ116" i="489"/>
  <c r="AY116" i="489"/>
  <c r="AX116" i="489"/>
  <c r="AW116" i="489"/>
  <c r="AV116" i="489"/>
  <c r="AU116" i="489"/>
  <c r="AP116" i="489"/>
  <c r="AN116" i="489"/>
  <c r="AM116" i="489"/>
  <c r="AL116" i="489"/>
  <c r="AI116" i="489"/>
  <c r="AF116" i="489"/>
  <c r="AE116" i="489"/>
  <c r="AB116" i="489"/>
  <c r="AA116" i="489"/>
  <c r="Z116" i="489"/>
  <c r="Y116" i="489"/>
  <c r="X116" i="489"/>
  <c r="W116" i="489"/>
  <c r="T116" i="489"/>
  <c r="P116" i="489"/>
  <c r="O116" i="489"/>
  <c r="N116" i="489"/>
  <c r="M116" i="489"/>
  <c r="L116" i="489"/>
  <c r="K116" i="489"/>
  <c r="EX102" i="489"/>
  <c r="EW102" i="489"/>
  <c r="EV102" i="489"/>
  <c r="EU102" i="489"/>
  <c r="ET102" i="489"/>
  <c r="ES102" i="489"/>
  <c r="ER102" i="489"/>
  <c r="EQ102" i="489"/>
  <c r="EP102" i="489"/>
  <c r="EO102" i="489"/>
  <c r="EN102" i="489"/>
  <c r="EM102" i="489"/>
  <c r="EL102" i="489"/>
  <c r="EK102" i="489"/>
  <c r="EJ102" i="489"/>
  <c r="EI102" i="489"/>
  <c r="EH102" i="489"/>
  <c r="EF102" i="489"/>
  <c r="EE102" i="489"/>
  <c r="ED102" i="489"/>
  <c r="EC102" i="489"/>
  <c r="EB102" i="489"/>
  <c r="EA102" i="489"/>
  <c r="DZ102" i="489"/>
  <c r="DY102" i="489"/>
  <c r="DX102" i="489"/>
  <c r="DW102" i="489"/>
  <c r="DV102" i="489"/>
  <c r="DU102" i="489"/>
  <c r="DT102" i="489"/>
  <c r="DS102" i="489"/>
  <c r="DR102" i="489"/>
  <c r="DQ102" i="489"/>
  <c r="DP102" i="489"/>
  <c r="DO102" i="489"/>
  <c r="DN102" i="489"/>
  <c r="DM102" i="489"/>
  <c r="DL102" i="489"/>
  <c r="DK102" i="489"/>
  <c r="DJ102" i="489"/>
  <c r="DI102" i="489"/>
  <c r="DH102" i="489"/>
  <c r="DG102" i="489"/>
  <c r="DF102" i="489"/>
  <c r="DE102" i="489"/>
  <c r="DD102" i="489"/>
  <c r="DC102" i="489"/>
  <c r="DB102" i="489"/>
  <c r="DA102" i="489"/>
  <c r="CZ102" i="489"/>
  <c r="CY102" i="489"/>
  <c r="CX102" i="489"/>
  <c r="CW102" i="489"/>
  <c r="CV102" i="489"/>
  <c r="CU102" i="489"/>
  <c r="CT102" i="489"/>
  <c r="CS102" i="489"/>
  <c r="CR102" i="489"/>
  <c r="CQ102" i="489"/>
  <c r="CP102" i="489"/>
  <c r="CO102" i="489"/>
  <c r="CN102" i="489"/>
  <c r="CM102" i="489"/>
  <c r="CL102" i="489"/>
  <c r="CK102" i="489"/>
  <c r="CJ102" i="489"/>
  <c r="CI102" i="489"/>
  <c r="CH102" i="489"/>
  <c r="CG102" i="489"/>
  <c r="CF102" i="489"/>
  <c r="CE102" i="489"/>
  <c r="CD102" i="489"/>
  <c r="CC102" i="489"/>
  <c r="CB102" i="489"/>
  <c r="CA102" i="489"/>
  <c r="BZ102" i="489"/>
  <c r="BY102" i="489"/>
  <c r="BX102" i="489"/>
  <c r="BW102" i="489"/>
  <c r="BV102" i="489"/>
  <c r="BU102" i="489"/>
  <c r="BT102" i="489"/>
  <c r="BS102" i="489"/>
  <c r="BR102" i="489"/>
  <c r="BQ102" i="489"/>
  <c r="BP102" i="489"/>
  <c r="BO102" i="489"/>
  <c r="BN102" i="489"/>
  <c r="BL102" i="489"/>
  <c r="BK102" i="489"/>
  <c r="BJ102" i="489"/>
  <c r="BI102" i="489"/>
  <c r="BH102" i="489"/>
  <c r="BG102" i="489"/>
  <c r="BF102" i="489"/>
  <c r="BE102" i="489"/>
  <c r="BD102" i="489"/>
  <c r="BC102" i="489"/>
  <c r="BB102" i="489"/>
  <c r="BA102" i="489"/>
  <c r="AZ102" i="489"/>
  <c r="AY102" i="489"/>
  <c r="AX102" i="489"/>
  <c r="AW102" i="489"/>
  <c r="AV102" i="489"/>
  <c r="AU102" i="489"/>
  <c r="AT102" i="489"/>
  <c r="AS102" i="489"/>
  <c r="AR102" i="489"/>
  <c r="AQ102" i="489"/>
  <c r="AP102" i="489"/>
  <c r="AO102" i="489"/>
  <c r="AN102" i="489"/>
  <c r="AM102" i="489"/>
  <c r="AL102" i="489"/>
  <c r="AK102" i="489"/>
  <c r="AJ102" i="489"/>
  <c r="AI102" i="489"/>
  <c r="AH102" i="489"/>
  <c r="AG102" i="489"/>
  <c r="AF102" i="489"/>
  <c r="AE102" i="489"/>
  <c r="AD102" i="489"/>
  <c r="AC102" i="489"/>
  <c r="AB102" i="489"/>
  <c r="AA102" i="489"/>
  <c r="Z102" i="489"/>
  <c r="Y102" i="489"/>
  <c r="X102" i="489"/>
  <c r="W102" i="489"/>
  <c r="V102" i="489"/>
  <c r="U102" i="489"/>
  <c r="T102" i="489"/>
  <c r="S102" i="489"/>
  <c r="R102" i="489"/>
  <c r="Q102" i="489"/>
  <c r="P102" i="489"/>
  <c r="O102" i="489"/>
  <c r="N102" i="489"/>
  <c r="M102" i="489"/>
  <c r="L102" i="489"/>
  <c r="K102" i="489"/>
  <c r="J102" i="489"/>
  <c r="EJ86" i="489"/>
  <c r="AW86" i="489"/>
  <c r="DL86" i="489"/>
  <c r="BP86" i="489"/>
  <c r="AC86" i="489"/>
  <c r="EC86" i="489"/>
  <c r="DE86" i="489"/>
  <c r="EE86" i="489"/>
  <c r="DG86" i="489"/>
  <c r="BK86" i="489"/>
  <c r="AM86" i="489"/>
  <c r="EX86" i="489"/>
  <c r="EU86" i="489"/>
  <c r="ES86" i="489"/>
  <c r="EQ86" i="489"/>
  <c r="EP86" i="489"/>
  <c r="EO86" i="489"/>
  <c r="EL86" i="489"/>
  <c r="EI86" i="489"/>
  <c r="EG86" i="489"/>
  <c r="ED86" i="489"/>
  <c r="DZ86" i="489"/>
  <c r="DX86" i="489"/>
  <c r="DW86" i="489"/>
  <c r="DU86" i="489"/>
  <c r="DS86" i="489"/>
  <c r="DQ86" i="489"/>
  <c r="DN86" i="489"/>
  <c r="DK86" i="489"/>
  <c r="DI86" i="489"/>
  <c r="DB86" i="489"/>
  <c r="CY86" i="489"/>
  <c r="CW86" i="489"/>
  <c r="CU86" i="489"/>
  <c r="CT86" i="489"/>
  <c r="CP86" i="489"/>
  <c r="CK86" i="489"/>
  <c r="CH86" i="489"/>
  <c r="CD86" i="489"/>
  <c r="BY86" i="489"/>
  <c r="BW86" i="489"/>
  <c r="BV86" i="489"/>
  <c r="BO86" i="489"/>
  <c r="BN86" i="489"/>
  <c r="BJ86" i="489"/>
  <c r="BI86" i="489"/>
  <c r="BG86" i="489"/>
  <c r="BF86" i="489"/>
  <c r="BD86" i="489"/>
  <c r="BC86" i="489"/>
  <c r="BB86" i="489"/>
  <c r="AY86" i="489"/>
  <c r="AX86" i="489"/>
  <c r="AT86" i="489"/>
  <c r="AR86" i="489"/>
  <c r="AP86" i="489"/>
  <c r="AL86" i="489"/>
  <c r="AI86" i="489"/>
  <c r="AH86" i="489"/>
  <c r="AD86" i="489"/>
  <c r="AA86" i="489"/>
  <c r="W86" i="489"/>
  <c r="T86" i="489"/>
  <c r="S86" i="489"/>
  <c r="Q86" i="489"/>
  <c r="O86" i="489"/>
  <c r="N86" i="489"/>
  <c r="M86" i="489"/>
  <c r="EX72" i="489"/>
  <c r="EW72" i="489"/>
  <c r="EV72" i="489"/>
  <c r="EU72" i="489"/>
  <c r="ET72" i="489"/>
  <c r="ES72" i="489"/>
  <c r="ER72" i="489"/>
  <c r="EQ72" i="489"/>
  <c r="EP72" i="489"/>
  <c r="EO72" i="489"/>
  <c r="EN72" i="489"/>
  <c r="EM72" i="489"/>
  <c r="EL72" i="489"/>
  <c r="EK72" i="489"/>
  <c r="EJ72" i="489"/>
  <c r="EI72" i="489"/>
  <c r="EH72" i="489"/>
  <c r="EG72" i="489"/>
  <c r="EF72" i="489"/>
  <c r="EE72" i="489"/>
  <c r="ED72" i="489"/>
  <c r="EB72" i="489"/>
  <c r="EA72" i="489"/>
  <c r="DZ72" i="489"/>
  <c r="DY72" i="489"/>
  <c r="DX72" i="489"/>
  <c r="DW72" i="489"/>
  <c r="DV72" i="489"/>
  <c r="DU72" i="489"/>
  <c r="DT72" i="489"/>
  <c r="DS72" i="489"/>
  <c r="DR72" i="489"/>
  <c r="DQ72" i="489"/>
  <c r="DP72" i="489"/>
  <c r="DO72" i="489"/>
  <c r="DN72" i="489"/>
  <c r="DM72" i="489"/>
  <c r="DL72" i="489"/>
  <c r="DK72" i="489"/>
  <c r="DJ72" i="489"/>
  <c r="DI72" i="489"/>
  <c r="DH72" i="489"/>
  <c r="DG72" i="489"/>
  <c r="DF72" i="489"/>
  <c r="DE72" i="489"/>
  <c r="DD72" i="489"/>
  <c r="DC72" i="489"/>
  <c r="DB72" i="489"/>
  <c r="DA72" i="489"/>
  <c r="CZ72" i="489"/>
  <c r="CY72" i="489"/>
  <c r="CX72" i="489"/>
  <c r="CW72" i="489"/>
  <c r="CV72" i="489"/>
  <c r="CU72" i="489"/>
  <c r="CT72" i="489"/>
  <c r="CS72" i="489"/>
  <c r="CR72" i="489"/>
  <c r="CQ72" i="489"/>
  <c r="CP72" i="489"/>
  <c r="CO72" i="489"/>
  <c r="CN72" i="489"/>
  <c r="CM72" i="489"/>
  <c r="CL72" i="489"/>
  <c r="CK72" i="489"/>
  <c r="CJ72" i="489"/>
  <c r="CI72" i="489"/>
  <c r="CH72" i="489"/>
  <c r="CG72" i="489"/>
  <c r="CF72" i="489"/>
  <c r="CE72" i="489"/>
  <c r="CD72" i="489"/>
  <c r="CC72" i="489"/>
  <c r="CB72" i="489"/>
  <c r="CA72" i="489"/>
  <c r="BZ72" i="489"/>
  <c r="BY72" i="489"/>
  <c r="BX72" i="489"/>
  <c r="BW72" i="489"/>
  <c r="BV72" i="489"/>
  <c r="BU72" i="489"/>
  <c r="BT72" i="489"/>
  <c r="BS72" i="489"/>
  <c r="BR72" i="489"/>
  <c r="BQ72" i="489"/>
  <c r="BP72" i="489"/>
  <c r="BO72" i="489"/>
  <c r="BN72" i="489"/>
  <c r="BM72" i="489"/>
  <c r="BL72" i="489"/>
  <c r="BK72" i="489"/>
  <c r="BJ72" i="489"/>
  <c r="BI72" i="489"/>
  <c r="BH72" i="489"/>
  <c r="BG72" i="489"/>
  <c r="BF72" i="489"/>
  <c r="BE72" i="489"/>
  <c r="BD72" i="489"/>
  <c r="BC72" i="489"/>
  <c r="BB72" i="489"/>
  <c r="BA72" i="489"/>
  <c r="AZ72" i="489"/>
  <c r="AY72" i="489"/>
  <c r="AX72" i="489"/>
  <c r="AW72" i="489"/>
  <c r="AV72" i="489"/>
  <c r="AU72" i="489"/>
  <c r="AT72" i="489"/>
  <c r="AS72" i="489"/>
  <c r="AR72" i="489"/>
  <c r="AQ72" i="489"/>
  <c r="AP72" i="489"/>
  <c r="AO72" i="489"/>
  <c r="AN72" i="489"/>
  <c r="AM72" i="489"/>
  <c r="AL72" i="489"/>
  <c r="AK72" i="489"/>
  <c r="AJ72" i="489"/>
  <c r="AI72" i="489"/>
  <c r="AH72" i="489"/>
  <c r="AG72" i="489"/>
  <c r="AF72" i="489"/>
  <c r="AE72" i="489"/>
  <c r="AD72" i="489"/>
  <c r="AC72" i="489"/>
  <c r="AA72" i="489"/>
  <c r="Z72" i="489"/>
  <c r="Y72" i="489"/>
  <c r="X72" i="489"/>
  <c r="W72" i="489"/>
  <c r="V72" i="489"/>
  <c r="U72" i="489"/>
  <c r="T72" i="489"/>
  <c r="S72" i="489"/>
  <c r="R72" i="489"/>
  <c r="Q72" i="489"/>
  <c r="P72" i="489"/>
  <c r="O72" i="489"/>
  <c r="N72" i="489"/>
  <c r="M72" i="489"/>
  <c r="L72" i="489"/>
  <c r="K72" i="489"/>
  <c r="J72" i="489"/>
  <c r="D72" i="489"/>
  <c r="EK56" i="489"/>
  <c r="EH56" i="489"/>
  <c r="DA56" i="489"/>
  <c r="CC56" i="489"/>
  <c r="BQ56" i="489"/>
  <c r="BE56" i="489"/>
  <c r="AG56" i="489"/>
  <c r="DY56" i="489"/>
  <c r="DM56" i="489"/>
  <c r="AS56" i="489"/>
  <c r="ET56" i="489"/>
  <c r="EQ56" i="489"/>
  <c r="EE56" i="489"/>
  <c r="DS56" i="489"/>
  <c r="DJ56" i="489"/>
  <c r="DG56" i="489"/>
  <c r="CX56" i="489"/>
  <c r="CU56" i="489"/>
  <c r="CL56" i="489"/>
  <c r="BZ56" i="489"/>
  <c r="BW56" i="489"/>
  <c r="BK56" i="489"/>
  <c r="BB56" i="489"/>
  <c r="AY56" i="489"/>
  <c r="AP56" i="489"/>
  <c r="AM56" i="489"/>
  <c r="AD56" i="489"/>
  <c r="AA56" i="489"/>
  <c r="R56" i="489"/>
  <c r="O56" i="489"/>
  <c r="ES56" i="489"/>
  <c r="EG56" i="489"/>
  <c r="DU56" i="489"/>
  <c r="DI56" i="489"/>
  <c r="BY56" i="489"/>
  <c r="EX56" i="489"/>
  <c r="EU56" i="489"/>
  <c r="ER56" i="489"/>
  <c r="EP56" i="489"/>
  <c r="EO56" i="489"/>
  <c r="EN56" i="489"/>
  <c r="EM56" i="489"/>
  <c r="EL56" i="489"/>
  <c r="EJ56" i="489"/>
  <c r="EI56" i="489"/>
  <c r="EF56" i="489"/>
  <c r="ED56" i="489"/>
  <c r="EC56" i="489"/>
  <c r="EA56" i="489"/>
  <c r="DZ56" i="489"/>
  <c r="DX56" i="489"/>
  <c r="DW56" i="489"/>
  <c r="DT56" i="489"/>
  <c r="DQ56" i="489"/>
  <c r="DP56" i="489"/>
  <c r="DO56" i="489"/>
  <c r="DN56" i="489"/>
  <c r="DL56" i="489"/>
  <c r="DK56" i="489"/>
  <c r="DH56" i="489"/>
  <c r="DF56" i="489"/>
  <c r="DE56" i="489"/>
  <c r="DB56" i="489"/>
  <c r="CY56" i="489"/>
  <c r="CR56" i="489"/>
  <c r="CQ56" i="489"/>
  <c r="CP56" i="489"/>
  <c r="CN56" i="489"/>
  <c r="CM56" i="489"/>
  <c r="CJ56" i="489"/>
  <c r="CG56" i="489"/>
  <c r="CE56" i="489"/>
  <c r="CD56" i="489"/>
  <c r="CA56" i="489"/>
  <c r="BX56" i="489"/>
  <c r="BV56" i="489"/>
  <c r="BT56" i="489"/>
  <c r="BS56" i="489"/>
  <c r="BO56" i="489"/>
  <c r="BJ56" i="489"/>
  <c r="BI56" i="489"/>
  <c r="BH56" i="489"/>
  <c r="BG56" i="489"/>
  <c r="BF56" i="489"/>
  <c r="BC56" i="489"/>
  <c r="AW56" i="489"/>
  <c r="AV56" i="489"/>
  <c r="AT56" i="489"/>
  <c r="AR56" i="489"/>
  <c r="AO56" i="489"/>
  <c r="AI56" i="489"/>
  <c r="X56" i="489"/>
  <c r="W56" i="489"/>
  <c r="T56" i="489"/>
  <c r="S56" i="489"/>
  <c r="L56" i="489"/>
  <c r="K56" i="489"/>
  <c r="EX42" i="489"/>
  <c r="EW42" i="489"/>
  <c r="EV42" i="489"/>
  <c r="EU42" i="489"/>
  <c r="ET42" i="489"/>
  <c r="ES42" i="489"/>
  <c r="ER42" i="489"/>
  <c r="EQ42" i="489"/>
  <c r="EP42" i="489"/>
  <c r="EO42" i="489"/>
  <c r="EN42" i="489"/>
  <c r="EM42" i="489"/>
  <c r="EL42" i="489"/>
  <c r="EK42" i="489"/>
  <c r="EJ42" i="489"/>
  <c r="EI42" i="489"/>
  <c r="EH42" i="489"/>
  <c r="EG42" i="489"/>
  <c r="EF42" i="489"/>
  <c r="ED42" i="489"/>
  <c r="EC42" i="489"/>
  <c r="EB42" i="489"/>
  <c r="EA42" i="489"/>
  <c r="DZ42" i="489"/>
  <c r="DY42" i="489"/>
  <c r="DX42" i="489"/>
  <c r="DW42" i="489"/>
  <c r="DV42" i="489"/>
  <c r="DU42" i="489"/>
  <c r="DT42" i="489"/>
  <c r="DS42" i="489"/>
  <c r="DR42" i="489"/>
  <c r="DQ42" i="489"/>
  <c r="DP42" i="489"/>
  <c r="DO42" i="489"/>
  <c r="DN42" i="489"/>
  <c r="DM42" i="489"/>
  <c r="DL42" i="489"/>
  <c r="DK42" i="489"/>
  <c r="DJ42" i="489"/>
  <c r="DI42" i="489"/>
  <c r="DH42" i="489"/>
  <c r="DG42" i="489"/>
  <c r="DF42" i="489"/>
  <c r="DE42" i="489"/>
  <c r="DD42" i="489"/>
  <c r="DC42" i="489"/>
  <c r="DB42" i="489"/>
  <c r="DA42" i="489"/>
  <c r="CZ42" i="489"/>
  <c r="CY42" i="489"/>
  <c r="CX42" i="489"/>
  <c r="CW42" i="489"/>
  <c r="CV42" i="489"/>
  <c r="CU42" i="489"/>
  <c r="CT42" i="489"/>
  <c r="CS42" i="489"/>
  <c r="CR42" i="489"/>
  <c r="CQ42" i="489"/>
  <c r="CP42" i="489"/>
  <c r="CO42" i="489"/>
  <c r="CN42" i="489"/>
  <c r="CM42" i="489"/>
  <c r="CL42" i="489"/>
  <c r="CK42" i="489"/>
  <c r="CJ42" i="489"/>
  <c r="CI42" i="489"/>
  <c r="CH42" i="489"/>
  <c r="CG42" i="489"/>
  <c r="CF42" i="489"/>
  <c r="CE42" i="489"/>
  <c r="CD42" i="489"/>
  <c r="CC42" i="489"/>
  <c r="CB42" i="489"/>
  <c r="CA42" i="489"/>
  <c r="BZ42" i="489"/>
  <c r="BY42" i="489"/>
  <c r="BX42" i="489"/>
  <c r="BW42" i="489"/>
  <c r="BV42" i="489"/>
  <c r="BU42" i="489"/>
  <c r="BT42" i="489"/>
  <c r="BS42" i="489"/>
  <c r="BR42" i="489"/>
  <c r="BQ42" i="489"/>
  <c r="BP42" i="489"/>
  <c r="BO42" i="489"/>
  <c r="BN42" i="489"/>
  <c r="BM42" i="489"/>
  <c r="BL42" i="489"/>
  <c r="BK42" i="489"/>
  <c r="BJ42" i="489"/>
  <c r="BI42" i="489"/>
  <c r="BH42" i="489"/>
  <c r="BG42" i="489"/>
  <c r="BF42" i="489"/>
  <c r="BE42" i="489"/>
  <c r="BD42" i="489"/>
  <c r="BC42" i="489"/>
  <c r="BB42" i="489"/>
  <c r="BA42" i="489"/>
  <c r="AZ42" i="489"/>
  <c r="AY42" i="489"/>
  <c r="AX42" i="489"/>
  <c r="AW42" i="489"/>
  <c r="AV42" i="489"/>
  <c r="AU42" i="489"/>
  <c r="AT42" i="489"/>
  <c r="AS42" i="489"/>
  <c r="AR42" i="489"/>
  <c r="AQ42" i="489"/>
  <c r="AP42" i="489"/>
  <c r="AO42" i="489"/>
  <c r="AN42" i="489"/>
  <c r="AM42" i="489"/>
  <c r="AL42" i="489"/>
  <c r="AK42" i="489"/>
  <c r="AJ42" i="489"/>
  <c r="AI42" i="489"/>
  <c r="AH42" i="489"/>
  <c r="AG42" i="489"/>
  <c r="AF42" i="489"/>
  <c r="AE42" i="489"/>
  <c r="AD42" i="489"/>
  <c r="AC42" i="489"/>
  <c r="AB42" i="489"/>
  <c r="Z42" i="489"/>
  <c r="Y42" i="489"/>
  <c r="X42" i="489"/>
  <c r="W42" i="489"/>
  <c r="V42" i="489"/>
  <c r="U42" i="489"/>
  <c r="T42" i="489"/>
  <c r="S42" i="489"/>
  <c r="R42" i="489"/>
  <c r="Q42" i="489"/>
  <c r="P42" i="489"/>
  <c r="O42" i="489"/>
  <c r="N42" i="489"/>
  <c r="M42" i="489"/>
  <c r="L42" i="489"/>
  <c r="K42" i="489"/>
  <c r="J42" i="489"/>
  <c r="D42" i="489"/>
  <c r="EJ26" i="489"/>
  <c r="BL26" i="489"/>
  <c r="BD26" i="489"/>
  <c r="AN26" i="489"/>
  <c r="AB26" i="489"/>
  <c r="T26" i="489"/>
  <c r="P26" i="489"/>
  <c r="ER26" i="489"/>
  <c r="EF26" i="489"/>
  <c r="DT26" i="489"/>
  <c r="DH26" i="489"/>
  <c r="CV26" i="489"/>
  <c r="CJ26" i="489"/>
  <c r="BX26" i="489"/>
  <c r="AZ26" i="489"/>
  <c r="DX26" i="489"/>
  <c r="DL26" i="489"/>
  <c r="BP26" i="489"/>
  <c r="AR26" i="489"/>
  <c r="AF26" i="489"/>
  <c r="EX26" i="489"/>
  <c r="EU26" i="489"/>
  <c r="ET26" i="489"/>
  <c r="ES26" i="489"/>
  <c r="EQ26" i="489"/>
  <c r="EP26" i="489"/>
  <c r="EN26" i="489"/>
  <c r="EM26" i="489"/>
  <c r="EL26" i="489"/>
  <c r="EI26" i="489"/>
  <c r="EH26" i="489"/>
  <c r="EG26" i="489"/>
  <c r="EE26" i="489"/>
  <c r="ED26" i="489"/>
  <c r="EA26" i="489"/>
  <c r="DZ26" i="489"/>
  <c r="DW26" i="489"/>
  <c r="DV26" i="489"/>
  <c r="DU26" i="489"/>
  <c r="DS26" i="489"/>
  <c r="DP26" i="489"/>
  <c r="DO26" i="489"/>
  <c r="DN26" i="489"/>
  <c r="DK26" i="489"/>
  <c r="DJ26" i="489"/>
  <c r="DI26" i="489"/>
  <c r="DG26" i="489"/>
  <c r="DF26" i="489"/>
  <c r="DD26" i="489"/>
  <c r="DB26" i="489"/>
  <c r="CY26" i="489"/>
  <c r="CX26" i="489"/>
  <c r="CW26" i="489"/>
  <c r="CU26" i="489"/>
  <c r="CT26" i="489"/>
  <c r="CR26" i="489"/>
  <c r="CQ26" i="489"/>
  <c r="CP26" i="489"/>
  <c r="CM26" i="489"/>
  <c r="CL26" i="489"/>
  <c r="CK26" i="489"/>
  <c r="CI26" i="489"/>
  <c r="CH26" i="489"/>
  <c r="CE26" i="489"/>
  <c r="CD26" i="489"/>
  <c r="BZ26" i="489"/>
  <c r="BY26" i="489"/>
  <c r="BW26" i="489"/>
  <c r="BV26" i="489"/>
  <c r="BS26" i="489"/>
  <c r="BO26" i="489"/>
  <c r="BN26" i="489"/>
  <c r="BM26" i="489"/>
  <c r="BK26" i="489"/>
  <c r="BJ26" i="489"/>
  <c r="BG26" i="489"/>
  <c r="BF26" i="489"/>
  <c r="BC26" i="489"/>
  <c r="BB26" i="489"/>
  <c r="BA26" i="489"/>
  <c r="AY26" i="489"/>
  <c r="AX26" i="489"/>
  <c r="AU26" i="489"/>
  <c r="AT26" i="489"/>
  <c r="AP26" i="489"/>
  <c r="AO26" i="489"/>
  <c r="AM26" i="489"/>
  <c r="AL26" i="489"/>
  <c r="AI26" i="489"/>
  <c r="AH26" i="489"/>
  <c r="AD26" i="489"/>
  <c r="AC26" i="489"/>
  <c r="AA26" i="489"/>
  <c r="Z26" i="489"/>
  <c r="S26" i="489"/>
  <c r="R26" i="489"/>
  <c r="Q26" i="489"/>
  <c r="O26" i="489"/>
  <c r="N26" i="489"/>
  <c r="L26" i="489"/>
  <c r="R323" i="489" l="1"/>
  <c r="AQ323" i="489"/>
  <c r="BC323" i="489"/>
  <c r="BO323" i="489"/>
  <c r="CA323" i="489"/>
  <c r="CM323" i="489"/>
  <c r="DK323" i="489"/>
  <c r="DW323" i="489"/>
  <c r="EV323" i="489"/>
  <c r="S323" i="489"/>
  <c r="AF323" i="489"/>
  <c r="AR323" i="489"/>
  <c r="BD323" i="489"/>
  <c r="BP323" i="489"/>
  <c r="CB323" i="489"/>
  <c r="CN323" i="489"/>
  <c r="DL323" i="489"/>
  <c r="DX323" i="489"/>
  <c r="EK323" i="489"/>
  <c r="EW323" i="489"/>
  <c r="T323" i="489"/>
  <c r="AG323" i="489"/>
  <c r="AS323" i="489"/>
  <c r="BE323" i="489"/>
  <c r="BQ323" i="489"/>
  <c r="CC323" i="489"/>
  <c r="CO323" i="489"/>
  <c r="DA323" i="489"/>
  <c r="DM323" i="489"/>
  <c r="DY323" i="489"/>
  <c r="EL323" i="489"/>
  <c r="EX323" i="489"/>
  <c r="AH323" i="489"/>
  <c r="AT323" i="489"/>
  <c r="BF323" i="489"/>
  <c r="CD323" i="489"/>
  <c r="CP323" i="489"/>
  <c r="DB323" i="489"/>
  <c r="DN323" i="489"/>
  <c r="DZ323" i="489"/>
  <c r="EM323" i="489"/>
  <c r="J323" i="489"/>
  <c r="AI323" i="489"/>
  <c r="AU323" i="489"/>
  <c r="BG323" i="489"/>
  <c r="CQ323" i="489"/>
  <c r="DO323" i="489"/>
  <c r="EA323" i="489"/>
  <c r="K323" i="489"/>
  <c r="W323" i="489"/>
  <c r="AJ323" i="489"/>
  <c r="AV323" i="489"/>
  <c r="BH323" i="489"/>
  <c r="BT323" i="489"/>
  <c r="CR323" i="489"/>
  <c r="DD323" i="489"/>
  <c r="DP323" i="489"/>
  <c r="EB323" i="489"/>
  <c r="EO323" i="489"/>
  <c r="L323" i="489"/>
  <c r="X323" i="489"/>
  <c r="AK323" i="489"/>
  <c r="AW323" i="489"/>
  <c r="BI323" i="489"/>
  <c r="BU323" i="489"/>
  <c r="CG323" i="489"/>
  <c r="CS323" i="489"/>
  <c r="DE323" i="489"/>
  <c r="DQ323" i="489"/>
  <c r="ED323" i="489"/>
  <c r="EP323" i="489"/>
  <c r="M323" i="489"/>
  <c r="Y323" i="489"/>
  <c r="AL323" i="489"/>
  <c r="AX323" i="489"/>
  <c r="BJ323" i="489"/>
  <c r="BV323" i="489"/>
  <c r="CH323" i="489"/>
  <c r="CT323" i="489"/>
  <c r="DF323" i="489"/>
  <c r="DR323" i="489"/>
  <c r="EQ323" i="489"/>
  <c r="N323" i="489"/>
  <c r="Z323" i="489"/>
  <c r="AM323" i="489"/>
  <c r="AY323" i="489"/>
  <c r="BK323" i="489"/>
  <c r="BW323" i="489"/>
  <c r="CI323" i="489"/>
  <c r="CU323" i="489"/>
  <c r="DG323" i="489"/>
  <c r="DS323" i="489"/>
  <c r="EF323" i="489"/>
  <c r="ER323" i="489"/>
  <c r="O323" i="489"/>
  <c r="AN323" i="489"/>
  <c r="AZ323" i="489"/>
  <c r="BL323" i="489"/>
  <c r="BX323" i="489"/>
  <c r="CJ323" i="489"/>
  <c r="CV323" i="489"/>
  <c r="DH323" i="489"/>
  <c r="DT323" i="489"/>
  <c r="ES323" i="489"/>
  <c r="P323" i="489"/>
  <c r="AC323" i="489"/>
  <c r="AO323" i="489"/>
  <c r="BA323" i="489"/>
  <c r="BY323" i="489"/>
  <c r="CK323" i="489"/>
  <c r="DI323" i="489"/>
  <c r="DU323" i="489"/>
  <c r="EH323" i="489"/>
  <c r="ET323" i="489"/>
  <c r="Q323" i="489"/>
  <c r="AD323" i="489"/>
  <c r="AP323" i="489"/>
  <c r="BB323" i="489"/>
  <c r="BN323" i="489"/>
  <c r="BZ323" i="489"/>
  <c r="CX323" i="489"/>
  <c r="DJ323" i="489"/>
  <c r="DV323" i="489"/>
  <c r="EI323" i="489"/>
  <c r="EU323" i="489"/>
  <c r="J318" i="489"/>
  <c r="R318" i="489"/>
  <c r="EH318" i="489"/>
  <c r="EL318" i="489"/>
  <c r="ET318" i="489"/>
  <c r="EX318" i="489"/>
  <c r="EK318" i="489"/>
  <c r="EW318" i="489"/>
  <c r="AD318" i="489"/>
  <c r="AH318" i="489"/>
  <c r="AP318" i="489"/>
  <c r="AT318" i="489"/>
  <c r="BB318" i="489"/>
  <c r="BF318" i="489"/>
  <c r="BN318" i="489"/>
  <c r="BZ318" i="489"/>
  <c r="CD318" i="489"/>
  <c r="CP318" i="489"/>
  <c r="CX318" i="489"/>
  <c r="DB318" i="489"/>
  <c r="DJ318" i="489"/>
  <c r="DN318" i="489"/>
  <c r="DV318" i="489"/>
  <c r="DZ318" i="489"/>
  <c r="AG318" i="489"/>
  <c r="AS318" i="489"/>
  <c r="BE318" i="489"/>
  <c r="BQ318" i="489"/>
  <c r="CC318" i="489"/>
  <c r="CO318" i="489"/>
  <c r="DA318" i="489"/>
  <c r="DM318" i="489"/>
  <c r="DY318" i="489"/>
  <c r="CY156" i="489"/>
  <c r="DX276" i="489"/>
  <c r="DX283" i="489" s="1"/>
  <c r="BC276" i="489"/>
  <c r="BC283" i="489" s="1"/>
  <c r="BC335" i="489" s="1"/>
  <c r="CK276" i="489"/>
  <c r="CK283" i="489" s="1"/>
  <c r="CK335" i="489" s="1"/>
  <c r="EL276" i="489"/>
  <c r="EL283" i="489" s="1"/>
  <c r="EL335" i="489" s="1"/>
  <c r="EX276" i="489"/>
  <c r="EX283" i="489" s="1"/>
  <c r="EX335" i="489" s="1"/>
  <c r="BF156" i="489"/>
  <c r="AI276" i="489"/>
  <c r="AI283" i="489" s="1"/>
  <c r="AI335" i="489" s="1"/>
  <c r="BW276" i="489"/>
  <c r="BW283" i="489" s="1"/>
  <c r="BW335" i="489" s="1"/>
  <c r="DM36" i="489"/>
  <c r="EK36" i="489"/>
  <c r="AC276" i="489"/>
  <c r="DO276" i="489"/>
  <c r="AR276" i="489"/>
  <c r="DY276" i="489"/>
  <c r="DY283" i="489" s="1"/>
  <c r="DY335" i="489" s="1"/>
  <c r="BA276" i="489"/>
  <c r="BA283" i="489" s="1"/>
  <c r="BA335" i="489" s="1"/>
  <c r="EA276" i="489"/>
  <c r="EM276" i="489"/>
  <c r="BP276" i="489"/>
  <c r="BY276" i="489"/>
  <c r="BY283" i="489" s="1"/>
  <c r="BY335" i="489" s="1"/>
  <c r="CL276" i="489"/>
  <c r="BB156" i="489"/>
  <c r="BB163" i="489" s="1"/>
  <c r="BB331" i="489" s="1"/>
  <c r="W276" i="489"/>
  <c r="W283" i="489" s="1"/>
  <c r="W335" i="489" s="1"/>
  <c r="DM276" i="489"/>
  <c r="DM283" i="489" s="1"/>
  <c r="DM335" i="489" s="1"/>
  <c r="CM36" i="489"/>
  <c r="BI126" i="489"/>
  <c r="BI133" i="489" s="1"/>
  <c r="BI330" i="489" s="1"/>
  <c r="BV126" i="489"/>
  <c r="BV133" i="489" s="1"/>
  <c r="BV330" i="489" s="1"/>
  <c r="CI126" i="489"/>
  <c r="CI133" i="489" s="1"/>
  <c r="CI330" i="489" s="1"/>
  <c r="CU126" i="489"/>
  <c r="CU133" i="489" s="1"/>
  <c r="CU330" i="489" s="1"/>
  <c r="L156" i="489"/>
  <c r="L163" i="489" s="1"/>
  <c r="L331" i="489" s="1"/>
  <c r="Z156" i="489"/>
  <c r="Q246" i="489"/>
  <c r="Q253" i="489" s="1"/>
  <c r="Q334" i="489" s="1"/>
  <c r="T96" i="489"/>
  <c r="T103" i="489" s="1"/>
  <c r="T329" i="489" s="1"/>
  <c r="BJ126" i="489"/>
  <c r="BJ133" i="489" s="1"/>
  <c r="BJ330" i="489" s="1"/>
  <c r="AA36" i="489"/>
  <c r="CO36" i="489"/>
  <c r="CV36" i="489"/>
  <c r="CE96" i="489"/>
  <c r="AE246" i="489"/>
  <c r="AS246" i="489"/>
  <c r="AS253" i="489" s="1"/>
  <c r="AS334" i="489" s="1"/>
  <c r="BE246" i="489"/>
  <c r="BE253" i="489" s="1"/>
  <c r="BE334" i="489" s="1"/>
  <c r="BQ246" i="489"/>
  <c r="BQ253" i="489" s="1"/>
  <c r="BQ334" i="489" s="1"/>
  <c r="CC246" i="489"/>
  <c r="CC253" i="489" s="1"/>
  <c r="CC334" i="489" s="1"/>
  <c r="DQ246" i="489"/>
  <c r="EC246" i="489"/>
  <c r="EO246" i="489"/>
  <c r="T276" i="489"/>
  <c r="BQ276" i="489"/>
  <c r="BQ283" i="489" s="1"/>
  <c r="BQ335" i="489" s="1"/>
  <c r="AY306" i="489"/>
  <c r="AY313" i="489" s="1"/>
  <c r="AY336" i="489" s="1"/>
  <c r="CX306" i="489"/>
  <c r="DX306" i="489"/>
  <c r="DX313" i="489" s="1"/>
  <c r="EJ306" i="489"/>
  <c r="EJ313" i="489" s="1"/>
  <c r="EJ336" i="489" s="1"/>
  <c r="BE36" i="489"/>
  <c r="AI96" i="489"/>
  <c r="AI103" i="489" s="1"/>
  <c r="AI329" i="489" s="1"/>
  <c r="AV96" i="489"/>
  <c r="BH96" i="489"/>
  <c r="BT96" i="489"/>
  <c r="CE156" i="489"/>
  <c r="DQ156" i="489"/>
  <c r="EC156" i="489"/>
  <c r="EO156" i="489"/>
  <c r="DR246" i="489"/>
  <c r="ED246" i="489"/>
  <c r="ED253" i="489" s="1"/>
  <c r="ED334" i="489" s="1"/>
  <c r="EP246" i="489"/>
  <c r="EP253" i="489" s="1"/>
  <c r="EP334" i="489" s="1"/>
  <c r="Q276" i="489"/>
  <c r="Q283" i="489" s="1"/>
  <c r="Q335" i="489" s="1"/>
  <c r="AS276" i="489"/>
  <c r="AS283" i="489" s="1"/>
  <c r="AS335" i="489" s="1"/>
  <c r="CE276" i="489"/>
  <c r="CE283" i="489" s="1"/>
  <c r="CE335" i="489" s="1"/>
  <c r="CR276" i="489"/>
  <c r="CR283" i="489" s="1"/>
  <c r="CR335" i="489" s="1"/>
  <c r="DS276" i="489"/>
  <c r="BH276" i="489"/>
  <c r="BH283" i="489" s="1"/>
  <c r="BH335" i="489" s="1"/>
  <c r="CH276" i="489"/>
  <c r="N276" i="489"/>
  <c r="N283" i="489" s="1"/>
  <c r="N335" i="489" s="1"/>
  <c r="Z276" i="489"/>
  <c r="BJ276" i="489"/>
  <c r="BJ283" i="489" s="1"/>
  <c r="BJ335" i="489" s="1"/>
  <c r="DI276" i="489"/>
  <c r="DI283" i="489" s="1"/>
  <c r="DI335" i="489" s="1"/>
  <c r="M276" i="489"/>
  <c r="CP276" i="489"/>
  <c r="DB276" i="489"/>
  <c r="DB283" i="489" s="1"/>
  <c r="DB335" i="489" s="1"/>
  <c r="DN276" i="489"/>
  <c r="DN283" i="489" s="1"/>
  <c r="DN335" i="489" s="1"/>
  <c r="DZ276" i="489"/>
  <c r="DZ283" i="489" s="1"/>
  <c r="DZ335" i="489" s="1"/>
  <c r="BG246" i="489"/>
  <c r="CE246" i="489"/>
  <c r="DG246" i="489"/>
  <c r="DG253" i="489" s="1"/>
  <c r="DG334" i="489" s="1"/>
  <c r="DS246" i="489"/>
  <c r="DS253" i="489" s="1"/>
  <c r="DS334" i="489" s="1"/>
  <c r="EE246" i="489"/>
  <c r="EE253" i="489" s="1"/>
  <c r="EE334" i="489" s="1"/>
  <c r="EQ246" i="489"/>
  <c r="AM306" i="489"/>
  <c r="AM313" i="489" s="1"/>
  <c r="AM336" i="489" s="1"/>
  <c r="AV246" i="489"/>
  <c r="AV253" i="489" s="1"/>
  <c r="AV334" i="489" s="1"/>
  <c r="BH246" i="489"/>
  <c r="BH253" i="489" s="1"/>
  <c r="BH334" i="489" s="1"/>
  <c r="BT246" i="489"/>
  <c r="CG246" i="489"/>
  <c r="CT246" i="489"/>
  <c r="CT253" i="489" s="1"/>
  <c r="CT334" i="489" s="1"/>
  <c r="CC276" i="489"/>
  <c r="CC283" i="489" s="1"/>
  <c r="CC335" i="489" s="1"/>
  <c r="EN276" i="489"/>
  <c r="EN283" i="489" s="1"/>
  <c r="EN335" i="489" s="1"/>
  <c r="S276" i="489"/>
  <c r="S283" i="489" s="1"/>
  <c r="S335" i="489" s="1"/>
  <c r="DH276" i="489"/>
  <c r="DH283" i="489" s="1"/>
  <c r="DH335" i="489" s="1"/>
  <c r="K276" i="489"/>
  <c r="K283" i="489" s="1"/>
  <c r="K335" i="489" s="1"/>
  <c r="CV276" i="489"/>
  <c r="CV283" i="489" s="1"/>
  <c r="CV335" i="489" s="1"/>
  <c r="BX276" i="489"/>
  <c r="BX283" i="489" s="1"/>
  <c r="BX335" i="489" s="1"/>
  <c r="CW276" i="489"/>
  <c r="CW283" i="489" s="1"/>
  <c r="CW335" i="489" s="1"/>
  <c r="EB276" i="489"/>
  <c r="EB283" i="489" s="1"/>
  <c r="R156" i="489"/>
  <c r="AG156" i="489"/>
  <c r="AJ246" i="489"/>
  <c r="DI246" i="489"/>
  <c r="DI253" i="489" s="1"/>
  <c r="DI334" i="489" s="1"/>
  <c r="AA306" i="489"/>
  <c r="AA313" i="489" s="1"/>
  <c r="AA336" i="489" s="1"/>
  <c r="AR216" i="489"/>
  <c r="AR223" i="489" s="1"/>
  <c r="AR333" i="489" s="1"/>
  <c r="L246" i="489"/>
  <c r="X246" i="489"/>
  <c r="BV246" i="489"/>
  <c r="BV253" i="489" s="1"/>
  <c r="BV334" i="489" s="1"/>
  <c r="CI246" i="489"/>
  <c r="CI253" i="489" s="1"/>
  <c r="CI334" i="489" s="1"/>
  <c r="BD306" i="489"/>
  <c r="BP306" i="489"/>
  <c r="CB306" i="489"/>
  <c r="S216" i="489"/>
  <c r="AY246" i="489"/>
  <c r="AY253" i="489" s="1"/>
  <c r="AY334" i="489" s="1"/>
  <c r="BK246" i="489"/>
  <c r="BK253" i="489" s="1"/>
  <c r="BK334" i="489" s="1"/>
  <c r="BW246" i="489"/>
  <c r="CW246" i="489"/>
  <c r="CW253" i="489" s="1"/>
  <c r="CW334" i="489" s="1"/>
  <c r="CO276" i="489"/>
  <c r="EG66" i="489"/>
  <c r="DK156" i="489"/>
  <c r="DK163" i="489" s="1"/>
  <c r="DK331" i="489" s="1"/>
  <c r="AR156" i="489"/>
  <c r="AD156" i="489"/>
  <c r="AD163" i="489" s="1"/>
  <c r="AD331" i="489" s="1"/>
  <c r="BG156" i="489"/>
  <c r="T216" i="489"/>
  <c r="T223" i="489" s="1"/>
  <c r="T333" i="489" s="1"/>
  <c r="AG216" i="489"/>
  <c r="AG223" i="489" s="1"/>
  <c r="AG333" i="489" s="1"/>
  <c r="BF216" i="489"/>
  <c r="CE216" i="489"/>
  <c r="CR216" i="489"/>
  <c r="CK246" i="489"/>
  <c r="CK253" i="489" s="1"/>
  <c r="CK334" i="489" s="1"/>
  <c r="DX246" i="489"/>
  <c r="DX253" i="489" s="1"/>
  <c r="EJ246" i="489"/>
  <c r="EJ253" i="489" s="1"/>
  <c r="EJ334" i="489" s="1"/>
  <c r="DD276" i="489"/>
  <c r="BN156" i="489"/>
  <c r="BZ156" i="489"/>
  <c r="BZ163" i="489" s="1"/>
  <c r="BZ331" i="489" s="1"/>
  <c r="CL156" i="489"/>
  <c r="CX156" i="489"/>
  <c r="CX163" i="489" s="1"/>
  <c r="CX331" i="489" s="1"/>
  <c r="DL156" i="489"/>
  <c r="DX156" i="489"/>
  <c r="EJ156" i="489"/>
  <c r="CR156" i="489"/>
  <c r="CR163" i="489" s="1"/>
  <c r="CR331" i="489" s="1"/>
  <c r="BE186" i="489"/>
  <c r="BE193" i="489" s="1"/>
  <c r="BE332" i="489" s="1"/>
  <c r="BG216" i="489"/>
  <c r="O246" i="489"/>
  <c r="O253" i="489" s="1"/>
  <c r="O334" i="489" s="1"/>
  <c r="BD276" i="489"/>
  <c r="R96" i="489"/>
  <c r="DP96" i="489"/>
  <c r="EB96" i="489"/>
  <c r="EN96" i="489"/>
  <c r="X156" i="489"/>
  <c r="X163" i="489" s="1"/>
  <c r="X331" i="489" s="1"/>
  <c r="CA156" i="489"/>
  <c r="CM156" i="489"/>
  <c r="CM163" i="489" s="1"/>
  <c r="CM331" i="489" s="1"/>
  <c r="BT156" i="489"/>
  <c r="BT163" i="489" s="1"/>
  <c r="BT331" i="489" s="1"/>
  <c r="AV216" i="489"/>
  <c r="BE276" i="489"/>
  <c r="BE283" i="489" s="1"/>
  <c r="BE335" i="489" s="1"/>
  <c r="CC186" i="489"/>
  <c r="CC193" i="489" s="1"/>
  <c r="CC332" i="489" s="1"/>
  <c r="CP186" i="489"/>
  <c r="CP193" i="489" s="1"/>
  <c r="CP332" i="489" s="1"/>
  <c r="DP216" i="489"/>
  <c r="EB216" i="489"/>
  <c r="EN216" i="489"/>
  <c r="T246" i="489"/>
  <c r="T253" i="489" s="1"/>
  <c r="T334" i="489" s="1"/>
  <c r="BF246" i="489"/>
  <c r="CD246" i="489"/>
  <c r="CR246" i="489"/>
  <c r="CR253" i="489" s="1"/>
  <c r="CR334" i="489" s="1"/>
  <c r="EC36" i="489"/>
  <c r="DO318" i="489"/>
  <c r="L126" i="489"/>
  <c r="L133" i="489" s="1"/>
  <c r="L330" i="489" s="1"/>
  <c r="X126" i="489"/>
  <c r="X133" i="489" s="1"/>
  <c r="X330" i="489" s="1"/>
  <c r="DT126" i="489"/>
  <c r="DT133" i="489" s="1"/>
  <c r="DT330" i="489" s="1"/>
  <c r="EF126" i="489"/>
  <c r="EF133" i="489" s="1"/>
  <c r="EF330" i="489" s="1"/>
  <c r="BG318" i="489"/>
  <c r="BX126" i="489"/>
  <c r="BX133" i="489" s="1"/>
  <c r="BX330" i="489" s="1"/>
  <c r="BD156" i="489"/>
  <c r="BP156" i="489"/>
  <c r="CN156" i="489"/>
  <c r="BU156" i="489"/>
  <c r="CT156" i="489"/>
  <c r="DR156" i="489"/>
  <c r="EP156" i="489"/>
  <c r="AI246" i="489"/>
  <c r="DT246" i="489"/>
  <c r="EF246" i="489"/>
  <c r="ER246" i="489"/>
  <c r="BC306" i="489"/>
  <c r="BC313" i="489" s="1"/>
  <c r="BC336" i="489" s="1"/>
  <c r="BO306" i="489"/>
  <c r="BO313" i="489" s="1"/>
  <c r="BO336" i="489" s="1"/>
  <c r="CW66" i="489"/>
  <c r="M318" i="489"/>
  <c r="Y318" i="489"/>
  <c r="AK318" i="489"/>
  <c r="AW318" i="489"/>
  <c r="BI318" i="489"/>
  <c r="BU318" i="489"/>
  <c r="CG318" i="489"/>
  <c r="CS318" i="489"/>
  <c r="DE318" i="489"/>
  <c r="DQ318" i="489"/>
  <c r="EO318" i="489"/>
  <c r="Q66" i="489"/>
  <c r="AC66" i="489"/>
  <c r="DJ126" i="489"/>
  <c r="DV126" i="489"/>
  <c r="EH126" i="489"/>
  <c r="ET126" i="489"/>
  <c r="AA156" i="489"/>
  <c r="AP156" i="489"/>
  <c r="AP163" i="489" s="1"/>
  <c r="AP331" i="489" s="1"/>
  <c r="BV156" i="489"/>
  <c r="U156" i="489"/>
  <c r="P156" i="489"/>
  <c r="P163" i="489" s="1"/>
  <c r="P331" i="489" s="1"/>
  <c r="AZ156" i="489"/>
  <c r="AZ163" i="489" s="1"/>
  <c r="AZ331" i="489" s="1"/>
  <c r="BL156" i="489"/>
  <c r="BL163" i="489" s="1"/>
  <c r="BL331" i="489" s="1"/>
  <c r="CJ156" i="489"/>
  <c r="CJ163" i="489" s="1"/>
  <c r="CJ331" i="489" s="1"/>
  <c r="AM156" i="489"/>
  <c r="BH186" i="489"/>
  <c r="BH193" i="489" s="1"/>
  <c r="BH332" i="489" s="1"/>
  <c r="K216" i="489"/>
  <c r="W216" i="489"/>
  <c r="CJ276" i="489"/>
  <c r="CJ283" i="489" s="1"/>
  <c r="CJ335" i="489" s="1"/>
  <c r="CO306" i="489"/>
  <c r="DP306" i="489"/>
  <c r="DP313" i="489" s="1"/>
  <c r="DP336" i="489" s="1"/>
  <c r="AI318" i="489"/>
  <c r="CG36" i="489"/>
  <c r="DT36" i="489"/>
  <c r="EF36" i="489"/>
  <c r="N318" i="489"/>
  <c r="Z318" i="489"/>
  <c r="AL318" i="489"/>
  <c r="AX318" i="489"/>
  <c r="BJ318" i="489"/>
  <c r="BV318" i="489"/>
  <c r="CH318" i="489"/>
  <c r="CT318" i="489"/>
  <c r="DF318" i="489"/>
  <c r="DR318" i="489"/>
  <c r="ED318" i="489"/>
  <c r="EP318" i="489"/>
  <c r="BC66" i="489"/>
  <c r="BO66" i="489"/>
  <c r="CA66" i="489"/>
  <c r="K96" i="489"/>
  <c r="W96" i="489"/>
  <c r="W103" i="489" s="1"/>
  <c r="W329" i="489" s="1"/>
  <c r="DH216" i="489"/>
  <c r="DT216" i="489"/>
  <c r="EF216" i="489"/>
  <c r="ER216" i="489"/>
  <c r="CV246" i="489"/>
  <c r="DJ246" i="489"/>
  <c r="DV246" i="489"/>
  <c r="EH246" i="489"/>
  <c r="ET246" i="489"/>
  <c r="DE306" i="489"/>
  <c r="DQ306" i="489"/>
  <c r="S36" i="489"/>
  <c r="DH36" i="489"/>
  <c r="BJ96" i="489"/>
  <c r="BJ103" i="489" s="1"/>
  <c r="BJ329" i="489" s="1"/>
  <c r="BV96" i="489"/>
  <c r="BV103" i="489" s="1"/>
  <c r="BV329" i="489" s="1"/>
  <c r="CV96" i="489"/>
  <c r="CJ246" i="489"/>
  <c r="DK246" i="489"/>
  <c r="DK253" i="489" s="1"/>
  <c r="DK334" i="489" s="1"/>
  <c r="DW246" i="489"/>
  <c r="DW253" i="489" s="1"/>
  <c r="DW334" i="489" s="1"/>
  <c r="EI246" i="489"/>
  <c r="EI253" i="489" s="1"/>
  <c r="EI334" i="489" s="1"/>
  <c r="EU246" i="489"/>
  <c r="EU253" i="489" s="1"/>
  <c r="EU334" i="489" s="1"/>
  <c r="AS306" i="489"/>
  <c r="EE306" i="489"/>
  <c r="EE313" i="489" s="1"/>
  <c r="EE336" i="489" s="1"/>
  <c r="O36" i="489"/>
  <c r="EO36" i="489"/>
  <c r="K318" i="489"/>
  <c r="EA318" i="489"/>
  <c r="BY216" i="489"/>
  <c r="BY223" i="489" s="1"/>
  <c r="BY333" i="489" s="1"/>
  <c r="Z246" i="489"/>
  <c r="AZ246" i="489"/>
  <c r="BL246" i="489"/>
  <c r="BX246" i="489"/>
  <c r="CX246" i="489"/>
  <c r="DL246" i="489"/>
  <c r="DL253" i="489" s="1"/>
  <c r="DL334" i="489" s="1"/>
  <c r="EF306" i="489"/>
  <c r="AU318" i="489"/>
  <c r="BK36" i="489"/>
  <c r="BW36" i="489"/>
  <c r="AD126" i="489"/>
  <c r="CP126" i="489"/>
  <c r="CP133" i="489" s="1"/>
  <c r="CP330" i="489" s="1"/>
  <c r="DB126" i="489"/>
  <c r="DB133" i="489" s="1"/>
  <c r="DB330" i="489" s="1"/>
  <c r="BA216" i="489"/>
  <c r="BA223" i="489" s="1"/>
  <c r="BA333" i="489" s="1"/>
  <c r="CM216" i="489"/>
  <c r="CY216" i="489"/>
  <c r="DK216" i="489"/>
  <c r="DW216" i="489"/>
  <c r="EI216" i="489"/>
  <c r="EU216" i="489"/>
  <c r="BA246" i="489"/>
  <c r="BA253" i="489" s="1"/>
  <c r="BA334" i="489" s="1"/>
  <c r="BY246" i="489"/>
  <c r="BY253" i="489" s="1"/>
  <c r="BY334" i="489" s="1"/>
  <c r="CL246" i="489"/>
  <c r="CY246" i="489"/>
  <c r="CY253" i="489" s="1"/>
  <c r="CY334" i="489" s="1"/>
  <c r="DY246" i="489"/>
  <c r="DY253" i="489" s="1"/>
  <c r="DY334" i="489" s="1"/>
  <c r="EK246" i="489"/>
  <c r="EK253" i="489" s="1"/>
  <c r="EK334" i="489" s="1"/>
  <c r="DH306" i="489"/>
  <c r="DT306" i="489"/>
  <c r="CQ318" i="489"/>
  <c r="CV126" i="489"/>
  <c r="CV133" i="489" s="1"/>
  <c r="CV330" i="489" s="1"/>
  <c r="CN216" i="489"/>
  <c r="BB246" i="489"/>
  <c r="BB253" i="489" s="1"/>
  <c r="BB334" i="489" s="1"/>
  <c r="BN246" i="489"/>
  <c r="BZ246" i="489"/>
  <c r="BZ253" i="489" s="1"/>
  <c r="BZ334" i="489" s="1"/>
  <c r="CM246" i="489"/>
  <c r="CM253" i="489" s="1"/>
  <c r="CM334" i="489" s="1"/>
  <c r="DA246" i="489"/>
  <c r="DA253" i="489" s="1"/>
  <c r="DA334" i="489" s="1"/>
  <c r="AG306" i="489"/>
  <c r="BI306" i="489"/>
  <c r="DQ36" i="489"/>
  <c r="W318" i="489"/>
  <c r="EM318" i="489"/>
  <c r="DH126" i="489"/>
  <c r="DH133" i="489" s="1"/>
  <c r="DH330" i="489" s="1"/>
  <c r="S318" i="489"/>
  <c r="AQ318" i="489"/>
  <c r="BC318" i="489"/>
  <c r="BO318" i="489"/>
  <c r="CA318" i="489"/>
  <c r="CM318" i="489"/>
  <c r="DK318" i="489"/>
  <c r="DW318" i="489"/>
  <c r="EI318" i="489"/>
  <c r="EU318" i="489"/>
  <c r="K66" i="489"/>
  <c r="W66" i="489"/>
  <c r="EB126" i="489"/>
  <c r="EN126" i="489"/>
  <c r="EN133" i="489" s="1"/>
  <c r="EN330" i="489" s="1"/>
  <c r="O156" i="489"/>
  <c r="AO186" i="489"/>
  <c r="AO193" i="489" s="1"/>
  <c r="AO332" i="489" s="1"/>
  <c r="AC216" i="489"/>
  <c r="BC216" i="489"/>
  <c r="BO216" i="489"/>
  <c r="CB216" i="489"/>
  <c r="CO216" i="489"/>
  <c r="CO223" i="489" s="1"/>
  <c r="CO333" i="489" s="1"/>
  <c r="DA216" i="489"/>
  <c r="DA223" i="489" s="1"/>
  <c r="DA333" i="489" s="1"/>
  <c r="DM216" i="489"/>
  <c r="DM223" i="489" s="1"/>
  <c r="DM333" i="489" s="1"/>
  <c r="DY216" i="489"/>
  <c r="DY223" i="489" s="1"/>
  <c r="DY333" i="489" s="1"/>
  <c r="EK216" i="489"/>
  <c r="EK223" i="489" s="1"/>
  <c r="EK333" i="489" s="1"/>
  <c r="BC246" i="489"/>
  <c r="BC253" i="489" s="1"/>
  <c r="BC334" i="489" s="1"/>
  <c r="BO246" i="489"/>
  <c r="BO253" i="489" s="1"/>
  <c r="BO334" i="489" s="1"/>
  <c r="CA246" i="489"/>
  <c r="CA253" i="489" s="1"/>
  <c r="CA334" i="489" s="1"/>
  <c r="AW306" i="489"/>
  <c r="BJ306" i="489"/>
  <c r="CI306" i="489"/>
  <c r="CI313" i="489" s="1"/>
  <c r="CI336" i="489" s="1"/>
  <c r="CW306" i="489"/>
  <c r="DJ306" i="489"/>
  <c r="DW306" i="489"/>
  <c r="CJ126" i="489"/>
  <c r="CJ133" i="489" s="1"/>
  <c r="CJ330" i="489" s="1"/>
  <c r="T318" i="489"/>
  <c r="AF318" i="489"/>
  <c r="AR318" i="489"/>
  <c r="BD318" i="489"/>
  <c r="BP318" i="489"/>
  <c r="CB318" i="489"/>
  <c r="CN318" i="489"/>
  <c r="DL318" i="489"/>
  <c r="DX318" i="489"/>
  <c r="EV318" i="489"/>
  <c r="Q96" i="489"/>
  <c r="Q103" i="489" s="1"/>
  <c r="Q329" i="489" s="1"/>
  <c r="CN96" i="489"/>
  <c r="R216" i="489"/>
  <c r="R246" i="489"/>
  <c r="AD246" i="489"/>
  <c r="AD253" i="489" s="1"/>
  <c r="AD334" i="489" s="1"/>
  <c r="K306" i="489"/>
  <c r="W306" i="489"/>
  <c r="AJ306" i="489"/>
  <c r="BW306" i="489"/>
  <c r="BW313" i="489" s="1"/>
  <c r="BW336" i="489" s="1"/>
  <c r="CJ306" i="489"/>
  <c r="CJ313" i="489" s="1"/>
  <c r="CJ336" i="489" s="1"/>
  <c r="DK306" i="489"/>
  <c r="CM126" i="489"/>
  <c r="CM133" i="489" s="1"/>
  <c r="CM330" i="489" s="1"/>
  <c r="DK126" i="489"/>
  <c r="DK133" i="489" s="1"/>
  <c r="DK330" i="489" s="1"/>
  <c r="CR186" i="489"/>
  <c r="CR193" i="489" s="1"/>
  <c r="CR332" i="489" s="1"/>
  <c r="DE186" i="489"/>
  <c r="DQ186" i="489"/>
  <c r="EC186" i="489"/>
  <c r="EO186" i="489"/>
  <c r="EF276" i="489"/>
  <c r="EF283" i="489" s="1"/>
  <c r="EF335" i="489" s="1"/>
  <c r="CM96" i="489"/>
  <c r="AS36" i="489"/>
  <c r="CJ36" i="489"/>
  <c r="DL66" i="489"/>
  <c r="DX66" i="489"/>
  <c r="EJ66" i="489"/>
  <c r="AZ126" i="489"/>
  <c r="AZ133" i="489" s="1"/>
  <c r="AZ330" i="489" s="1"/>
  <c r="BL126" i="489"/>
  <c r="BL133" i="489" s="1"/>
  <c r="BL330" i="489" s="1"/>
  <c r="CL126" i="489"/>
  <c r="CL133" i="489" s="1"/>
  <c r="CL330" i="489" s="1"/>
  <c r="CX126" i="489"/>
  <c r="CX133" i="489" s="1"/>
  <c r="CX330" i="489" s="1"/>
  <c r="AZ36" i="489"/>
  <c r="AD66" i="489"/>
  <c r="AP66" i="489"/>
  <c r="BS66" i="489"/>
  <c r="CE66" i="489"/>
  <c r="CJ186" i="489"/>
  <c r="DI186" i="489"/>
  <c r="DI193" i="489" s="1"/>
  <c r="DI332" i="489" s="1"/>
  <c r="DU186" i="489"/>
  <c r="EG186" i="489"/>
  <c r="EG193" i="489" s="1"/>
  <c r="EG332" i="489" s="1"/>
  <c r="ES186" i="489"/>
  <c r="ES193" i="489" s="1"/>
  <c r="ES332" i="489" s="1"/>
  <c r="CU186" i="489"/>
  <c r="CL216" i="489"/>
  <c r="CX216" i="489"/>
  <c r="DJ216" i="489"/>
  <c r="DJ223" i="489" s="1"/>
  <c r="DJ333" i="489" s="1"/>
  <c r="DV216" i="489"/>
  <c r="DV223" i="489" s="1"/>
  <c r="DV333" i="489" s="1"/>
  <c r="EH216" i="489"/>
  <c r="EH223" i="489" s="1"/>
  <c r="EH333" i="489" s="1"/>
  <c r="ET216" i="489"/>
  <c r="ET223" i="489" s="1"/>
  <c r="ET333" i="489" s="1"/>
  <c r="N246" i="489"/>
  <c r="BI36" i="489"/>
  <c r="CU36" i="489"/>
  <c r="DW36" i="489"/>
  <c r="EI36" i="489"/>
  <c r="CY36" i="489"/>
  <c r="BC36" i="489"/>
  <c r="BO36" i="489"/>
  <c r="AB36" i="489"/>
  <c r="BL36" i="489"/>
  <c r="BX36" i="489"/>
  <c r="ER36" i="489"/>
  <c r="AZ186" i="489"/>
  <c r="BL186" i="489"/>
  <c r="BX186" i="489"/>
  <c r="BZ216" i="489"/>
  <c r="BZ223" i="489" s="1"/>
  <c r="BZ333" i="489" s="1"/>
  <c r="AA246" i="489"/>
  <c r="AA253" i="489" s="1"/>
  <c r="AA334" i="489" s="1"/>
  <c r="AG36" i="489"/>
  <c r="CI36" i="489"/>
  <c r="DA36" i="489"/>
  <c r="CC36" i="489"/>
  <c r="P318" i="489"/>
  <c r="AN318" i="489"/>
  <c r="AZ318" i="489"/>
  <c r="BL318" i="489"/>
  <c r="BX318" i="489"/>
  <c r="CJ318" i="489"/>
  <c r="CV318" i="489"/>
  <c r="DH318" i="489"/>
  <c r="DT318" i="489"/>
  <c r="EF318" i="489"/>
  <c r="ER318" i="489"/>
  <c r="AP126" i="489"/>
  <c r="AP133" i="489" s="1"/>
  <c r="AP330" i="489" s="1"/>
  <c r="DK186" i="489"/>
  <c r="DW186" i="489"/>
  <c r="EI186" i="489"/>
  <c r="EU186" i="489"/>
  <c r="BB216" i="489"/>
  <c r="BB223" i="489" s="1"/>
  <c r="BB333" i="489" s="1"/>
  <c r="BN216" i="489"/>
  <c r="BN223" i="489" s="1"/>
  <c r="BN333" i="489" s="1"/>
  <c r="DL216" i="489"/>
  <c r="DL223" i="489" s="1"/>
  <c r="DL333" i="489" s="1"/>
  <c r="DX216" i="489"/>
  <c r="DX223" i="489" s="1"/>
  <c r="EJ216" i="489"/>
  <c r="EJ223" i="489" s="1"/>
  <c r="EJ333" i="489" s="1"/>
  <c r="AY36" i="489"/>
  <c r="DN126" i="489"/>
  <c r="DN133" i="489" s="1"/>
  <c r="DN330" i="489" s="1"/>
  <c r="DZ126" i="489"/>
  <c r="DZ133" i="489" s="1"/>
  <c r="DZ330" i="489" s="1"/>
  <c r="EL126" i="489"/>
  <c r="EL133" i="489" s="1"/>
  <c r="EL330" i="489" s="1"/>
  <c r="EX126" i="489"/>
  <c r="EX133" i="489" s="1"/>
  <c r="EX330" i="489" s="1"/>
  <c r="Q216" i="489"/>
  <c r="Q223" i="489" s="1"/>
  <c r="Q333" i="489" s="1"/>
  <c r="AP216" i="489"/>
  <c r="AP223" i="489" s="1"/>
  <c r="AP333" i="489" s="1"/>
  <c r="AP246" i="489"/>
  <c r="AP253" i="489" s="1"/>
  <c r="AP334" i="489" s="1"/>
  <c r="CY96" i="489"/>
  <c r="CY103" i="489" s="1"/>
  <c r="CY329" i="489" s="1"/>
  <c r="DY96" i="489"/>
  <c r="EK96" i="489"/>
  <c r="S96" i="489"/>
  <c r="S103" i="489" s="1"/>
  <c r="S329" i="489" s="1"/>
  <c r="AD216" i="489"/>
  <c r="AD223" i="489" s="1"/>
  <c r="AD333" i="489" s="1"/>
  <c r="BP216" i="489"/>
  <c r="BP223" i="489" s="1"/>
  <c r="BP333" i="489" s="1"/>
  <c r="CC216" i="489"/>
  <c r="CC223" i="489" s="1"/>
  <c r="CC333" i="489" s="1"/>
  <c r="CO246" i="489"/>
  <c r="DY36" i="489"/>
  <c r="BQ36" i="489"/>
  <c r="AI66" i="489"/>
  <c r="BF126" i="489"/>
  <c r="BF133" i="489" s="1"/>
  <c r="BF330" i="489" s="1"/>
  <c r="DD126" i="489"/>
  <c r="DD133" i="489" s="1"/>
  <c r="DD330" i="489" s="1"/>
  <c r="DP126" i="489"/>
  <c r="DP133" i="489" s="1"/>
  <c r="DP330" i="489" s="1"/>
  <c r="CO186" i="489"/>
  <c r="CO193" i="489" s="1"/>
  <c r="CO332" i="489" s="1"/>
  <c r="AM36" i="489"/>
  <c r="BM66" i="489"/>
  <c r="AC96" i="489"/>
  <c r="AC103" i="489" s="1"/>
  <c r="AC329" i="489" s="1"/>
  <c r="DB186" i="489"/>
  <c r="DB193" i="489" s="1"/>
  <c r="DB332" i="489" s="1"/>
  <c r="ED306" i="489"/>
  <c r="EP306" i="489"/>
  <c r="AG186" i="489"/>
  <c r="AG193" i="489" s="1"/>
  <c r="AG332" i="489" s="1"/>
  <c r="AS186" i="489"/>
  <c r="AS193" i="489" s="1"/>
  <c r="AS332" i="489" s="1"/>
  <c r="BF186" i="489"/>
  <c r="BF193" i="489" s="1"/>
  <c r="BF332" i="489" s="1"/>
  <c r="CD186" i="489"/>
  <c r="CD193" i="489" s="1"/>
  <c r="CD332" i="489" s="1"/>
  <c r="DI66" i="489"/>
  <c r="DU66" i="489"/>
  <c r="ES66" i="489"/>
  <c r="DO66" i="489"/>
  <c r="EM66" i="489"/>
  <c r="DK36" i="489"/>
  <c r="EU36" i="489"/>
  <c r="AZ66" i="489"/>
  <c r="BL66" i="489"/>
  <c r="BX66" i="489"/>
  <c r="CK66" i="489"/>
  <c r="DJ66" i="489"/>
  <c r="EH66" i="489"/>
  <c r="ET66" i="489"/>
  <c r="BA66" i="489"/>
  <c r="BY66" i="489"/>
  <c r="AO66" i="489"/>
  <c r="BB66" i="489"/>
  <c r="BZ66" i="489"/>
  <c r="CM66" i="489"/>
  <c r="CY66" i="489"/>
  <c r="R66" i="489"/>
  <c r="BV66" i="489"/>
  <c r="S66" i="489"/>
  <c r="CO66" i="489"/>
  <c r="DA66" i="489"/>
  <c r="DN66" i="489"/>
  <c r="DZ66" i="489"/>
  <c r="EL66" i="489"/>
  <c r="EX66" i="489"/>
  <c r="CG66" i="489"/>
  <c r="N66" i="489"/>
  <c r="Z66" i="489"/>
  <c r="AL66" i="489"/>
  <c r="BJ66" i="489"/>
  <c r="T66" i="489"/>
  <c r="BE66" i="489"/>
  <c r="BQ66" i="489"/>
  <c r="CC66" i="489"/>
  <c r="AG66" i="489"/>
  <c r="AS66" i="489"/>
  <c r="BF66" i="489"/>
  <c r="CD66" i="489"/>
  <c r="DP66" i="489"/>
  <c r="EB66" i="489"/>
  <c r="EN66" i="489"/>
  <c r="BH66" i="489"/>
  <c r="L66" i="489"/>
  <c r="X66" i="489"/>
  <c r="AJ66" i="489"/>
  <c r="AV66" i="489"/>
  <c r="AB66" i="489"/>
  <c r="AN66" i="489"/>
  <c r="CL66" i="489"/>
  <c r="CX66" i="489"/>
  <c r="DK66" i="489"/>
  <c r="DW66" i="489"/>
  <c r="EI66" i="489"/>
  <c r="EU66" i="489"/>
  <c r="DE66" i="489"/>
  <c r="DQ66" i="489"/>
  <c r="EC66" i="489"/>
  <c r="EO66" i="489"/>
  <c r="DF66" i="489"/>
  <c r="DR66" i="489"/>
  <c r="ED66" i="489"/>
  <c r="EP66" i="489"/>
  <c r="AG96" i="489"/>
  <c r="BF96" i="489"/>
  <c r="BF103" i="489" s="1"/>
  <c r="BF329" i="489" s="1"/>
  <c r="CD96" i="489"/>
  <c r="CD103" i="489" s="1"/>
  <c r="CD329" i="489" s="1"/>
  <c r="DR96" i="489"/>
  <c r="ED96" i="489"/>
  <c r="ED103" i="489" s="1"/>
  <c r="ED329" i="489" s="1"/>
  <c r="EP96" i="489"/>
  <c r="EP103" i="489" s="1"/>
  <c r="EP329" i="489" s="1"/>
  <c r="DK96" i="489"/>
  <c r="DK103" i="489" s="1"/>
  <c r="DK329" i="489" s="1"/>
  <c r="DW96" i="489"/>
  <c r="DW103" i="489" s="1"/>
  <c r="DW329" i="489" s="1"/>
  <c r="EI96" i="489"/>
  <c r="EI103" i="489" s="1"/>
  <c r="EI329" i="489" s="1"/>
  <c r="EU96" i="489"/>
  <c r="EU103" i="489" s="1"/>
  <c r="EU329" i="489" s="1"/>
  <c r="BH126" i="489"/>
  <c r="BH133" i="489" s="1"/>
  <c r="BH330" i="489" s="1"/>
  <c r="DR126" i="489"/>
  <c r="ED126" i="489"/>
  <c r="ED133" i="489" s="1"/>
  <c r="ED330" i="489" s="1"/>
  <c r="EP126" i="489"/>
  <c r="EP133" i="489" s="1"/>
  <c r="EP330" i="489" s="1"/>
  <c r="DD156" i="489"/>
  <c r="DD163" i="489" s="1"/>
  <c r="DD331" i="489" s="1"/>
  <c r="DP156" i="489"/>
  <c r="DP163" i="489" s="1"/>
  <c r="DP331" i="489" s="1"/>
  <c r="EB156" i="489"/>
  <c r="EN156" i="489"/>
  <c r="EN163" i="489" s="1"/>
  <c r="EN331" i="489" s="1"/>
  <c r="BJ156" i="489"/>
  <c r="CH156" i="489"/>
  <c r="CK216" i="489"/>
  <c r="CK223" i="489" s="1"/>
  <c r="CK333" i="489" s="1"/>
  <c r="CW216" i="489"/>
  <c r="CW223" i="489" s="1"/>
  <c r="CW333" i="489" s="1"/>
  <c r="DI216" i="489"/>
  <c r="DI223" i="489" s="1"/>
  <c r="DI333" i="489" s="1"/>
  <c r="DU216" i="489"/>
  <c r="DU223" i="489" s="1"/>
  <c r="DU333" i="489" s="1"/>
  <c r="EG216" i="489"/>
  <c r="EG223" i="489" s="1"/>
  <c r="EG333" i="489" s="1"/>
  <c r="ES216" i="489"/>
  <c r="ES223" i="489" s="1"/>
  <c r="ES333" i="489" s="1"/>
  <c r="EG276" i="489"/>
  <c r="EG283" i="489" s="1"/>
  <c r="EG335" i="489" s="1"/>
  <c r="ES276" i="489"/>
  <c r="ES283" i="489" s="1"/>
  <c r="ES335" i="489" s="1"/>
  <c r="EJ276" i="489"/>
  <c r="O306" i="489"/>
  <c r="O313" i="489" s="1"/>
  <c r="O336" i="489" s="1"/>
  <c r="CN306" i="489"/>
  <c r="AB156" i="489"/>
  <c r="AI186" i="489"/>
  <c r="AI193" i="489" s="1"/>
  <c r="AI332" i="489" s="1"/>
  <c r="BQ186" i="489"/>
  <c r="BQ193" i="489" s="1"/>
  <c r="BQ332" i="489" s="1"/>
  <c r="DT276" i="489"/>
  <c r="DT283" i="489" s="1"/>
  <c r="DT335" i="489" s="1"/>
  <c r="DA276" i="489"/>
  <c r="DA283" i="489" s="1"/>
  <c r="DA335" i="489" s="1"/>
  <c r="EK276" i="489"/>
  <c r="EK283" i="489" s="1"/>
  <c r="EK335" i="489" s="1"/>
  <c r="M306" i="489"/>
  <c r="Z306" i="489"/>
  <c r="AA96" i="489"/>
  <c r="AA103" i="489" s="1"/>
  <c r="AA329" i="489" s="1"/>
  <c r="CA96" i="489"/>
  <c r="ER126" i="489"/>
  <c r="ER133" i="489" s="1"/>
  <c r="ER330" i="489" s="1"/>
  <c r="S156" i="489"/>
  <c r="S163" i="489" s="1"/>
  <c r="S331" i="489" s="1"/>
  <c r="AZ276" i="489"/>
  <c r="AZ283" i="489" s="1"/>
  <c r="AZ335" i="489" s="1"/>
  <c r="BL276" i="489"/>
  <c r="BL283" i="489" s="1"/>
  <c r="BL335" i="489" s="1"/>
  <c r="DH296" i="489"/>
  <c r="DT296" i="489"/>
  <c r="EF296" i="489"/>
  <c r="ER296" i="489"/>
  <c r="AR306" i="489"/>
  <c r="AR313" i="489" s="1"/>
  <c r="AR336" i="489" s="1"/>
  <c r="BE306" i="489"/>
  <c r="BQ306" i="489"/>
  <c r="BQ313" i="489" s="1"/>
  <c r="BQ336" i="489" s="1"/>
  <c r="CC306" i="489"/>
  <c r="CC313" i="489" s="1"/>
  <c r="CC336" i="489" s="1"/>
  <c r="N306" i="489"/>
  <c r="O96" i="489"/>
  <c r="O103" i="489" s="1"/>
  <c r="O329" i="489" s="1"/>
  <c r="BC96" i="489"/>
  <c r="BC103" i="489" s="1"/>
  <c r="BC329" i="489" s="1"/>
  <c r="BO96" i="489"/>
  <c r="BO103" i="489" s="1"/>
  <c r="BO329" i="489" s="1"/>
  <c r="M126" i="489"/>
  <c r="M133" i="489" s="1"/>
  <c r="M330" i="489" s="1"/>
  <c r="W186" i="489"/>
  <c r="AV276" i="489"/>
  <c r="AV283" i="489" s="1"/>
  <c r="AV335" i="489" s="1"/>
  <c r="Z126" i="489"/>
  <c r="Z133" i="489" s="1"/>
  <c r="Z330" i="489" s="1"/>
  <c r="DH156" i="489"/>
  <c r="DH163" i="489" s="1"/>
  <c r="DH331" i="489" s="1"/>
  <c r="AW216" i="489"/>
  <c r="BI216" i="489"/>
  <c r="BU216" i="489"/>
  <c r="CG216" i="489"/>
  <c r="DQ216" i="489"/>
  <c r="EC216" i="489"/>
  <c r="EO216" i="489"/>
  <c r="CN276" i="489"/>
  <c r="AW276" i="489"/>
  <c r="BI276" i="489"/>
  <c r="BV276" i="489"/>
  <c r="P296" i="489"/>
  <c r="AB296" i="489"/>
  <c r="DJ296" i="489"/>
  <c r="DV296" i="489"/>
  <c r="EH296" i="489"/>
  <c r="ET296" i="489"/>
  <c r="S306" i="489"/>
  <c r="S313" i="489" s="1"/>
  <c r="S336" i="489" s="1"/>
  <c r="BG306" i="489"/>
  <c r="BG313" i="489" s="1"/>
  <c r="BG336" i="489" s="1"/>
  <c r="CE306" i="489"/>
  <c r="CE313" i="489" s="1"/>
  <c r="CE336" i="489" s="1"/>
  <c r="CR306" i="489"/>
  <c r="DG306" i="489"/>
  <c r="DG313" i="489" s="1"/>
  <c r="DG336" i="489" s="1"/>
  <c r="DS306" i="489"/>
  <c r="DS313" i="489" s="1"/>
  <c r="DS336" i="489" s="1"/>
  <c r="CJ96" i="489"/>
  <c r="CW96" i="489"/>
  <c r="CW103" i="489" s="1"/>
  <c r="CW329" i="489" s="1"/>
  <c r="BZ126" i="489"/>
  <c r="BW156" i="489"/>
  <c r="DI156" i="489"/>
  <c r="DU156" i="489"/>
  <c r="EG156" i="489"/>
  <c r="ES156" i="489"/>
  <c r="X186" i="489"/>
  <c r="X193" i="489" s="1"/>
  <c r="X332" i="489" s="1"/>
  <c r="BI186" i="489"/>
  <c r="BU186" i="489"/>
  <c r="BD216" i="489"/>
  <c r="BD223" i="489" s="1"/>
  <c r="BD333" i="489" s="1"/>
  <c r="CP216" i="489"/>
  <c r="DB216" i="489"/>
  <c r="DN216" i="489"/>
  <c r="DZ216" i="489"/>
  <c r="EL216" i="489"/>
  <c r="EX216" i="489"/>
  <c r="S246" i="489"/>
  <c r="S253" i="489" s="1"/>
  <c r="S334" i="489" s="1"/>
  <c r="EX246" i="489"/>
  <c r="Q296" i="489"/>
  <c r="AP296" i="489"/>
  <c r="AP316" i="489" s="1"/>
  <c r="BB296" i="489"/>
  <c r="BZ296" i="489"/>
  <c r="CX296" i="489"/>
  <c r="DK296" i="489"/>
  <c r="DW296" i="489"/>
  <c r="EI296" i="489"/>
  <c r="EU296" i="489"/>
  <c r="T306" i="489"/>
  <c r="T313" i="489" s="1"/>
  <c r="T336" i="489" s="1"/>
  <c r="BH306" i="489"/>
  <c r="BH313" i="489" s="1"/>
  <c r="BH336" i="489" s="1"/>
  <c r="BT306" i="489"/>
  <c r="BT313" i="489" s="1"/>
  <c r="BT336" i="489" s="1"/>
  <c r="EG306" i="489"/>
  <c r="EG313" i="489" s="1"/>
  <c r="EG336" i="489" s="1"/>
  <c r="N96" i="489"/>
  <c r="N103" i="489" s="1"/>
  <c r="N329" i="489" s="1"/>
  <c r="Z96" i="489"/>
  <c r="DX96" i="489"/>
  <c r="DX103" i="489" s="1"/>
  <c r="EJ96" i="489"/>
  <c r="EJ103" i="489" s="1"/>
  <c r="EJ329" i="489" s="1"/>
  <c r="P126" i="489"/>
  <c r="P133" i="489" s="1"/>
  <c r="P330" i="489" s="1"/>
  <c r="AB126" i="489"/>
  <c r="AB133" i="489" s="1"/>
  <c r="AB330" i="489" s="1"/>
  <c r="BB126" i="489"/>
  <c r="BN126" i="489"/>
  <c r="CK156" i="489"/>
  <c r="CW156" i="489"/>
  <c r="DJ156" i="489"/>
  <c r="DJ163" i="489" s="1"/>
  <c r="DJ331" i="489" s="1"/>
  <c r="DV156" i="489"/>
  <c r="DV163" i="489" s="1"/>
  <c r="DV331" i="489" s="1"/>
  <c r="EH156" i="489"/>
  <c r="EH163" i="489" s="1"/>
  <c r="EH331" i="489" s="1"/>
  <c r="ET156" i="489"/>
  <c r="ET163" i="489" s="1"/>
  <c r="ET331" i="489" s="1"/>
  <c r="AW186" i="489"/>
  <c r="AS216" i="489"/>
  <c r="AS223" i="489" s="1"/>
  <c r="AS333" i="489" s="1"/>
  <c r="BE216" i="489"/>
  <c r="BE223" i="489" s="1"/>
  <c r="BE333" i="489" s="1"/>
  <c r="BQ216" i="489"/>
  <c r="BQ223" i="489" s="1"/>
  <c r="BQ333" i="489" s="1"/>
  <c r="CD216" i="489"/>
  <c r="AG246" i="489"/>
  <c r="AG253" i="489" s="1"/>
  <c r="AG334" i="489" s="1"/>
  <c r="DZ246" i="489"/>
  <c r="EL246" i="489"/>
  <c r="AY276" i="489"/>
  <c r="AY283" i="489" s="1"/>
  <c r="AY335" i="489" s="1"/>
  <c r="EC306" i="489"/>
  <c r="AA186" i="489"/>
  <c r="AY186" i="489"/>
  <c r="BW186" i="489"/>
  <c r="CI186" i="489"/>
  <c r="EE186" i="489"/>
  <c r="EQ186" i="489"/>
  <c r="CD276" i="489"/>
  <c r="CD283" i="489" s="1"/>
  <c r="CD335" i="489" s="1"/>
  <c r="CX276" i="489"/>
  <c r="CX283" i="489" s="1"/>
  <c r="CX335" i="489" s="1"/>
  <c r="DJ276" i="489"/>
  <c r="DJ283" i="489" s="1"/>
  <c r="DJ335" i="489" s="1"/>
  <c r="ET276" i="489"/>
  <c r="ET283" i="489" s="1"/>
  <c r="ET335" i="489" s="1"/>
  <c r="DR306" i="489"/>
  <c r="N156" i="489"/>
  <c r="CV156" i="489"/>
  <c r="CV163" i="489" s="1"/>
  <c r="CV331" i="489" s="1"/>
  <c r="DO186" i="489"/>
  <c r="DO193" i="489" s="1"/>
  <c r="DO332" i="489" s="1"/>
  <c r="EM186" i="489"/>
  <c r="EM193" i="489" s="1"/>
  <c r="EM332" i="489" s="1"/>
  <c r="DM186" i="489"/>
  <c r="DM193" i="489" s="1"/>
  <c r="DM332" i="489" s="1"/>
  <c r="DY186" i="489"/>
  <c r="DY193" i="489" s="1"/>
  <c r="DY332" i="489" s="1"/>
  <c r="EK186" i="489"/>
  <c r="EK193" i="489" s="1"/>
  <c r="EK332" i="489" s="1"/>
  <c r="DH246" i="489"/>
  <c r="DB246" i="489"/>
  <c r="BF276" i="489"/>
  <c r="BF283" i="489" s="1"/>
  <c r="BF335" i="489" s="1"/>
  <c r="AP96" i="489"/>
  <c r="AP103" i="489" s="1"/>
  <c r="AP329" i="489" s="1"/>
  <c r="DO96" i="489"/>
  <c r="EA96" i="489"/>
  <c r="EM96" i="489"/>
  <c r="CI96" i="489"/>
  <c r="CU96" i="489"/>
  <c r="CU103" i="489" s="1"/>
  <c r="CU329" i="489" s="1"/>
  <c r="CD126" i="489"/>
  <c r="CD133" i="489" s="1"/>
  <c r="CD330" i="489" s="1"/>
  <c r="BX156" i="489"/>
  <c r="BX163" i="489" s="1"/>
  <c r="BX331" i="489" s="1"/>
  <c r="AM186" i="489"/>
  <c r="BH216" i="489"/>
  <c r="AW246" i="489"/>
  <c r="BI246" i="489"/>
  <c r="BU246" i="489"/>
  <c r="CH246" i="489"/>
  <c r="CH253" i="489" s="1"/>
  <c r="CH334" i="489" s="1"/>
  <c r="CU246" i="489"/>
  <c r="CU253" i="489" s="1"/>
  <c r="CU334" i="489" s="1"/>
  <c r="DU246" i="489"/>
  <c r="DU253" i="489" s="1"/>
  <c r="DU334" i="489" s="1"/>
  <c r="EG246" i="489"/>
  <c r="EG253" i="489" s="1"/>
  <c r="EG334" i="489" s="1"/>
  <c r="ES246" i="489"/>
  <c r="ES253" i="489" s="1"/>
  <c r="ES334" i="489" s="1"/>
  <c r="CP246" i="489"/>
  <c r="AE276" i="489"/>
  <c r="BG276" i="489"/>
  <c r="BG283" i="489" s="1"/>
  <c r="BG335" i="489" s="1"/>
  <c r="DR276" i="489"/>
  <c r="ED276" i="489"/>
  <c r="EP276" i="489"/>
  <c r="X276" i="489"/>
  <c r="CY306" i="489"/>
  <c r="CY313" i="489" s="1"/>
  <c r="CY336" i="489" s="1"/>
  <c r="DL306" i="489"/>
  <c r="DL313" i="489" s="1"/>
  <c r="DL336" i="489" s="1"/>
  <c r="BU306" i="489"/>
  <c r="CH306" i="489"/>
  <c r="AD96" i="489"/>
  <c r="AD103" i="489" s="1"/>
  <c r="AD329" i="489" s="1"/>
  <c r="ED156" i="489"/>
  <c r="CE186" i="489"/>
  <c r="CE193" i="489" s="1"/>
  <c r="CE332" i="489" s="1"/>
  <c r="DA186" i="489"/>
  <c r="DA193" i="489" s="1"/>
  <c r="DA332" i="489" s="1"/>
  <c r="BD296" i="489"/>
  <c r="BP296" i="489"/>
  <c r="BV306" i="489"/>
  <c r="AS96" i="489"/>
  <c r="CC96" i="489"/>
  <c r="CP96" i="489"/>
  <c r="CP103" i="489" s="1"/>
  <c r="CP329" i="489" s="1"/>
  <c r="DE96" i="489"/>
  <c r="DE103" i="489" s="1"/>
  <c r="DE329" i="489" s="1"/>
  <c r="DQ96" i="489"/>
  <c r="DQ103" i="489" s="1"/>
  <c r="DQ329" i="489" s="1"/>
  <c r="EC96" i="489"/>
  <c r="EC103" i="489" s="1"/>
  <c r="EC329" i="489" s="1"/>
  <c r="EO96" i="489"/>
  <c r="EO103" i="489" s="1"/>
  <c r="EO329" i="489" s="1"/>
  <c r="AY96" i="489"/>
  <c r="AY103" i="489" s="1"/>
  <c r="AY329" i="489" s="1"/>
  <c r="BK96" i="489"/>
  <c r="BK103" i="489" s="1"/>
  <c r="BK329" i="489" s="1"/>
  <c r="BT126" i="489"/>
  <c r="BT133" i="489" s="1"/>
  <c r="BT330" i="489" s="1"/>
  <c r="CG126" i="489"/>
  <c r="CG133" i="489" s="1"/>
  <c r="CG330" i="489" s="1"/>
  <c r="DQ126" i="489"/>
  <c r="DQ133" i="489" s="1"/>
  <c r="DQ330" i="489" s="1"/>
  <c r="EC126" i="489"/>
  <c r="EO126" i="489"/>
  <c r="EO133" i="489" s="1"/>
  <c r="EO330" i="489" s="1"/>
  <c r="CC156" i="489"/>
  <c r="CP156" i="489"/>
  <c r="DO156" i="489"/>
  <c r="EA156" i="489"/>
  <c r="EM156" i="489"/>
  <c r="BC186" i="489"/>
  <c r="BO186" i="489"/>
  <c r="CA186" i="489"/>
  <c r="BG186" i="489"/>
  <c r="BG193" i="489" s="1"/>
  <c r="BG332" i="489" s="1"/>
  <c r="O186" i="489"/>
  <c r="O193" i="489" s="1"/>
  <c r="O332" i="489" s="1"/>
  <c r="CJ216" i="489"/>
  <c r="CV216" i="489"/>
  <c r="AG276" i="489"/>
  <c r="AG283" i="489" s="1"/>
  <c r="AG335" i="489" s="1"/>
  <c r="ER276" i="489"/>
  <c r="ER283" i="489" s="1"/>
  <c r="ER335" i="489" s="1"/>
  <c r="DP276" i="489"/>
  <c r="DP283" i="489" s="1"/>
  <c r="DP335" i="489" s="1"/>
  <c r="K296" i="489"/>
  <c r="W296" i="489"/>
  <c r="CR296" i="489"/>
  <c r="AG296" i="489"/>
  <c r="AS296" i="489"/>
  <c r="BE296" i="489"/>
  <c r="DA296" i="489"/>
  <c r="DM296" i="489"/>
  <c r="DY296" i="489"/>
  <c r="CM306" i="489"/>
  <c r="CM313" i="489" s="1"/>
  <c r="CM336" i="489" s="1"/>
  <c r="DA306" i="489"/>
  <c r="EA306" i="489"/>
  <c r="EM306" i="489"/>
  <c r="EQ306" i="489"/>
  <c r="EQ313" i="489" s="1"/>
  <c r="EQ336" i="489" s="1"/>
  <c r="M236" i="489"/>
  <c r="Y236" i="489"/>
  <c r="AW236" i="489"/>
  <c r="BI236" i="489"/>
  <c r="BU236" i="489"/>
  <c r="CG236" i="489"/>
  <c r="CS236" i="489"/>
  <c r="DE236" i="489"/>
  <c r="DQ236" i="489"/>
  <c r="EC236" i="489"/>
  <c r="EO236" i="489"/>
  <c r="K206" i="489"/>
  <c r="M206" i="489"/>
  <c r="AG26" i="489"/>
  <c r="AS26" i="489"/>
  <c r="BE26" i="489"/>
  <c r="BQ26" i="489"/>
  <c r="CC26" i="489"/>
  <c r="DA26" i="489"/>
  <c r="DM26" i="489"/>
  <c r="DY26" i="489"/>
  <c r="EK26" i="489"/>
  <c r="W26" i="489"/>
  <c r="K26" i="489"/>
  <c r="X26" i="489"/>
  <c r="BH26" i="489"/>
  <c r="AJ26" i="489"/>
  <c r="AV26" i="489"/>
  <c r="M26" i="489"/>
  <c r="Y26" i="489"/>
  <c r="AW26" i="489"/>
  <c r="BI26" i="489"/>
  <c r="BU26" i="489"/>
  <c r="CG26" i="489"/>
  <c r="CS26" i="489"/>
  <c r="DE26" i="489"/>
  <c r="DQ26" i="489"/>
  <c r="EC26" i="489"/>
  <c r="EO26" i="489"/>
  <c r="BU36" i="489"/>
  <c r="DG36" i="489"/>
  <c r="DS36" i="489"/>
  <c r="EE36" i="489"/>
  <c r="EQ36" i="489"/>
  <c r="AW36" i="489"/>
  <c r="BF36" i="489"/>
  <c r="CD36" i="489"/>
  <c r="CP36" i="489"/>
  <c r="DB36" i="489"/>
  <c r="DN36" i="489"/>
  <c r="DZ36" i="489"/>
  <c r="EL36" i="489"/>
  <c r="EX36" i="489"/>
  <c r="AB56" i="489"/>
  <c r="BD56" i="489"/>
  <c r="BP56" i="489"/>
  <c r="AT66" i="489"/>
  <c r="BG66" i="489"/>
  <c r="BU66" i="489"/>
  <c r="K36" i="489"/>
  <c r="W36" i="489"/>
  <c r="AI36" i="489"/>
  <c r="BG36" i="489"/>
  <c r="CE36" i="489"/>
  <c r="DO36" i="489"/>
  <c r="EA36" i="489"/>
  <c r="EM36" i="489"/>
  <c r="Q56" i="489"/>
  <c r="AC56" i="489"/>
  <c r="L36" i="489"/>
  <c r="X36" i="489"/>
  <c r="AV36" i="489"/>
  <c r="BH36" i="489"/>
  <c r="BT36" i="489"/>
  <c r="CR36" i="489"/>
  <c r="DP36" i="489"/>
  <c r="EB36" i="489"/>
  <c r="EN36" i="489"/>
  <c r="BI66" i="489"/>
  <c r="DG66" i="489"/>
  <c r="DS66" i="489"/>
  <c r="EE66" i="489"/>
  <c r="EQ66" i="489"/>
  <c r="R86" i="489"/>
  <c r="CE86" i="489"/>
  <c r="Q318" i="489"/>
  <c r="AC318" i="489"/>
  <c r="AO318" i="489"/>
  <c r="BA318" i="489"/>
  <c r="BY318" i="489"/>
  <c r="CK318" i="489"/>
  <c r="DI318" i="489"/>
  <c r="DU318" i="489"/>
  <c r="ES318" i="489"/>
  <c r="AW66" i="489"/>
  <c r="CI66" i="489"/>
  <c r="CU66" i="489"/>
  <c r="DH66" i="489"/>
  <c r="DT66" i="489"/>
  <c r="EF66" i="489"/>
  <c r="ER66" i="489"/>
  <c r="N36" i="489"/>
  <c r="Z36" i="489"/>
  <c r="BJ36" i="489"/>
  <c r="BV36" i="489"/>
  <c r="CH36" i="489"/>
  <c r="CT36" i="489"/>
  <c r="DR36" i="489"/>
  <c r="ED36" i="489"/>
  <c r="EP36" i="489"/>
  <c r="AY66" i="489"/>
  <c r="BK66" i="489"/>
  <c r="BW66" i="489"/>
  <c r="CJ66" i="489"/>
  <c r="CH56" i="489"/>
  <c r="O66" i="489"/>
  <c r="AA66" i="489"/>
  <c r="AM66" i="489"/>
  <c r="BM36" i="489"/>
  <c r="AC36" i="489"/>
  <c r="BY36" i="489"/>
  <c r="DI36" i="489"/>
  <c r="R36" i="489"/>
  <c r="AD36" i="489"/>
  <c r="AP36" i="489"/>
  <c r="BB36" i="489"/>
  <c r="BN36" i="489"/>
  <c r="BZ36" i="489"/>
  <c r="CL36" i="489"/>
  <c r="CX36" i="489"/>
  <c r="DJ36" i="489"/>
  <c r="DV36" i="489"/>
  <c r="EH36" i="489"/>
  <c r="ET36" i="489"/>
  <c r="AZ56" i="489"/>
  <c r="BL56" i="489"/>
  <c r="CN66" i="489"/>
  <c r="DM66" i="489"/>
  <c r="DY66" i="489"/>
  <c r="EK66" i="489"/>
  <c r="Q36" i="489"/>
  <c r="CK36" i="489"/>
  <c r="ES36" i="489"/>
  <c r="BA56" i="489"/>
  <c r="BM56" i="489"/>
  <c r="CW56" i="489"/>
  <c r="BD66" i="489"/>
  <c r="BP66" i="489"/>
  <c r="AO86" i="489"/>
  <c r="BA86" i="489"/>
  <c r="CW36" i="489"/>
  <c r="EG36" i="489"/>
  <c r="T36" i="489"/>
  <c r="AR36" i="489"/>
  <c r="BD36" i="489"/>
  <c r="BP36" i="489"/>
  <c r="CN36" i="489"/>
  <c r="DX36" i="489"/>
  <c r="EJ36" i="489"/>
  <c r="N56" i="489"/>
  <c r="AN56" i="489"/>
  <c r="CK56" i="489"/>
  <c r="AR66" i="489"/>
  <c r="CP66" i="489"/>
  <c r="DB66" i="489"/>
  <c r="DO86" i="489"/>
  <c r="EA86" i="489"/>
  <c r="EM86" i="489"/>
  <c r="BG96" i="489"/>
  <c r="BG103" i="489" s="1"/>
  <c r="BG329" i="489" s="1"/>
  <c r="CR96" i="489"/>
  <c r="CY126" i="489"/>
  <c r="EI126" i="489"/>
  <c r="EI133" i="489" s="1"/>
  <c r="EI330" i="489" s="1"/>
  <c r="EU126" i="489"/>
  <c r="P86" i="489"/>
  <c r="AB86" i="489"/>
  <c r="AN86" i="489"/>
  <c r="AZ86" i="489"/>
  <c r="BL86" i="489"/>
  <c r="BX86" i="489"/>
  <c r="CJ86" i="489"/>
  <c r="CV86" i="489"/>
  <c r="DH86" i="489"/>
  <c r="DT86" i="489"/>
  <c r="EF86" i="489"/>
  <c r="ER86" i="489"/>
  <c r="K86" i="489"/>
  <c r="BC126" i="489"/>
  <c r="BC133" i="489" s="1"/>
  <c r="BC330" i="489" s="1"/>
  <c r="BO126" i="489"/>
  <c r="BO133" i="489" s="1"/>
  <c r="BO330" i="489" s="1"/>
  <c r="CA126" i="489"/>
  <c r="X96" i="489"/>
  <c r="AJ96" i="489"/>
  <c r="AW96" i="489"/>
  <c r="AW103" i="489" s="1"/>
  <c r="AW329" i="489" s="1"/>
  <c r="BI96" i="489"/>
  <c r="BI103" i="489" s="1"/>
  <c r="BI329" i="489" s="1"/>
  <c r="BU96" i="489"/>
  <c r="CG96" i="489"/>
  <c r="CT96" i="489"/>
  <c r="CT103" i="489" s="1"/>
  <c r="CT329" i="489" s="1"/>
  <c r="DJ116" i="489"/>
  <c r="DV116" i="489"/>
  <c r="EH116" i="489"/>
  <c r="ET116" i="489"/>
  <c r="BZ86" i="489"/>
  <c r="CL86" i="489"/>
  <c r="CX86" i="489"/>
  <c r="DJ86" i="489"/>
  <c r="DV86" i="489"/>
  <c r="EH86" i="489"/>
  <c r="ET86" i="489"/>
  <c r="CH96" i="489"/>
  <c r="CH103" i="489" s="1"/>
  <c r="CH329" i="489" s="1"/>
  <c r="DH96" i="489"/>
  <c r="DT96" i="489"/>
  <c r="EF96" i="489"/>
  <c r="ER96" i="489"/>
  <c r="DI96" i="489"/>
  <c r="DI103" i="489" s="1"/>
  <c r="DI329" i="489" s="1"/>
  <c r="DU96" i="489"/>
  <c r="DU103" i="489" s="1"/>
  <c r="DU329" i="489" s="1"/>
  <c r="EG96" i="489"/>
  <c r="ES96" i="489"/>
  <c r="ES103" i="489" s="1"/>
  <c r="ES329" i="489" s="1"/>
  <c r="DG96" i="489"/>
  <c r="DG103" i="489" s="1"/>
  <c r="DG329" i="489" s="1"/>
  <c r="DS96" i="489"/>
  <c r="DS103" i="489" s="1"/>
  <c r="DS329" i="489" s="1"/>
  <c r="EE96" i="489"/>
  <c r="EE103" i="489" s="1"/>
  <c r="EE329" i="489" s="1"/>
  <c r="EQ96" i="489"/>
  <c r="EQ103" i="489" s="1"/>
  <c r="EQ329" i="489" s="1"/>
  <c r="DL116" i="489"/>
  <c r="DX116" i="489"/>
  <c r="EJ116" i="489"/>
  <c r="AZ96" i="489"/>
  <c r="BL96" i="489"/>
  <c r="BX96" i="489"/>
  <c r="DJ96" i="489"/>
  <c r="DV96" i="489"/>
  <c r="EH96" i="489"/>
  <c r="ET96" i="489"/>
  <c r="L318" i="489"/>
  <c r="X318" i="489"/>
  <c r="AJ318" i="489"/>
  <c r="AV318" i="489"/>
  <c r="BH318" i="489"/>
  <c r="BT318" i="489"/>
  <c r="CR318" i="489"/>
  <c r="DD318" i="489"/>
  <c r="DP318" i="489"/>
  <c r="EB318" i="489"/>
  <c r="AG86" i="489"/>
  <c r="AS86" i="489"/>
  <c r="BE86" i="489"/>
  <c r="BQ86" i="489"/>
  <c r="CC86" i="489"/>
  <c r="CO86" i="489"/>
  <c r="DA86" i="489"/>
  <c r="DM86" i="489"/>
  <c r="DY86" i="489"/>
  <c r="EK86" i="489"/>
  <c r="AB96" i="489"/>
  <c r="BA96" i="489"/>
  <c r="BY96" i="489"/>
  <c r="BY103" i="489" s="1"/>
  <c r="BY329" i="489" s="1"/>
  <c r="CK96" i="489"/>
  <c r="CK103" i="489" s="1"/>
  <c r="CK329" i="489" s="1"/>
  <c r="CX96" i="489"/>
  <c r="BW96" i="489"/>
  <c r="BW103" i="489" s="1"/>
  <c r="BW329" i="489" s="1"/>
  <c r="BB116" i="489"/>
  <c r="BN116" i="489"/>
  <c r="BZ116" i="489"/>
  <c r="J126" i="489"/>
  <c r="BB96" i="489"/>
  <c r="BB103" i="489" s="1"/>
  <c r="BB329" i="489" s="1"/>
  <c r="BN96" i="489"/>
  <c r="BN103" i="489" s="1"/>
  <c r="BN329" i="489" s="1"/>
  <c r="BZ96" i="489"/>
  <c r="CL96" i="489"/>
  <c r="DL96" i="489"/>
  <c r="DL103" i="489" s="1"/>
  <c r="DL329" i="489" s="1"/>
  <c r="BU126" i="489"/>
  <c r="BU133" i="489" s="1"/>
  <c r="BU330" i="489" s="1"/>
  <c r="O318" i="489"/>
  <c r="AM318" i="489"/>
  <c r="AY318" i="489"/>
  <c r="BK318" i="489"/>
  <c r="BW318" i="489"/>
  <c r="CI318" i="489"/>
  <c r="CU318" i="489"/>
  <c r="DG318" i="489"/>
  <c r="DS318" i="489"/>
  <c r="EQ318" i="489"/>
  <c r="L86" i="489"/>
  <c r="AV86" i="489"/>
  <c r="BH86" i="489"/>
  <c r="BT86" i="489"/>
  <c r="CR86" i="489"/>
  <c r="DP86" i="489"/>
  <c r="EN86" i="489"/>
  <c r="AR96" i="489"/>
  <c r="AR103" i="489" s="1"/>
  <c r="AR329" i="489" s="1"/>
  <c r="BD96" i="489"/>
  <c r="BD103" i="489" s="1"/>
  <c r="BD329" i="489" s="1"/>
  <c r="BP96" i="489"/>
  <c r="BP103" i="489" s="1"/>
  <c r="BP329" i="489" s="1"/>
  <c r="DA96" i="489"/>
  <c r="DN96" i="489"/>
  <c r="DN103" i="489" s="1"/>
  <c r="DN329" i="489" s="1"/>
  <c r="DZ96" i="489"/>
  <c r="DZ103" i="489" s="1"/>
  <c r="DZ329" i="489" s="1"/>
  <c r="EL96" i="489"/>
  <c r="EL103" i="489" s="1"/>
  <c r="EL329" i="489" s="1"/>
  <c r="EX96" i="489"/>
  <c r="EX103" i="489" s="1"/>
  <c r="EX329" i="489" s="1"/>
  <c r="AD116" i="489"/>
  <c r="AD321" i="489" s="1"/>
  <c r="AR116" i="489"/>
  <c r="BE96" i="489"/>
  <c r="BQ96" i="489"/>
  <c r="CO96" i="489"/>
  <c r="DB96" i="489"/>
  <c r="DB103" i="489" s="1"/>
  <c r="DB329" i="489" s="1"/>
  <c r="J116" i="489"/>
  <c r="K126" i="489"/>
  <c r="K133" i="489" s="1"/>
  <c r="K330" i="489" s="1"/>
  <c r="W126" i="489"/>
  <c r="W133" i="489" s="1"/>
  <c r="W330" i="489" s="1"/>
  <c r="AI126" i="489"/>
  <c r="AI133" i="489" s="1"/>
  <c r="AI330" i="489" s="1"/>
  <c r="BG126" i="489"/>
  <c r="BG133" i="489" s="1"/>
  <c r="BG330" i="489" s="1"/>
  <c r="CE126" i="489"/>
  <c r="CE133" i="489" s="1"/>
  <c r="CE330" i="489" s="1"/>
  <c r="DO126" i="489"/>
  <c r="DO133" i="489" s="1"/>
  <c r="DO330" i="489" s="1"/>
  <c r="EM126" i="489"/>
  <c r="EM133" i="489" s="1"/>
  <c r="EM330" i="489" s="1"/>
  <c r="AJ126" i="489"/>
  <c r="J146" i="489"/>
  <c r="AH146" i="489"/>
  <c r="AT146" i="489"/>
  <c r="BF146" i="489"/>
  <c r="CD146" i="489"/>
  <c r="CP146" i="489"/>
  <c r="DB146" i="489"/>
  <c r="DN146" i="489"/>
  <c r="DZ146" i="489"/>
  <c r="EL146" i="489"/>
  <c r="N126" i="489"/>
  <c r="N133" i="489" s="1"/>
  <c r="N330" i="489" s="1"/>
  <c r="CH126" i="489"/>
  <c r="CH133" i="489" s="1"/>
  <c r="CH330" i="489" s="1"/>
  <c r="O126" i="489"/>
  <c r="O133" i="489" s="1"/>
  <c r="O330" i="489" s="1"/>
  <c r="AA126" i="489"/>
  <c r="AA133" i="489" s="1"/>
  <c r="AA330" i="489" s="1"/>
  <c r="AM126" i="489"/>
  <c r="AM133" i="489" s="1"/>
  <c r="AM330" i="489" s="1"/>
  <c r="AY126" i="489"/>
  <c r="AY133" i="489" s="1"/>
  <c r="AY330" i="489" s="1"/>
  <c r="BK126" i="489"/>
  <c r="BK133" i="489" s="1"/>
  <c r="BK330" i="489" s="1"/>
  <c r="BW126" i="489"/>
  <c r="BW133" i="489" s="1"/>
  <c r="BW330" i="489" s="1"/>
  <c r="DG126" i="489"/>
  <c r="DG133" i="489" s="1"/>
  <c r="DG330" i="489" s="1"/>
  <c r="EE126" i="489"/>
  <c r="EE133" i="489" s="1"/>
  <c r="EE330" i="489" s="1"/>
  <c r="EQ126" i="489"/>
  <c r="EQ133" i="489" s="1"/>
  <c r="EQ330" i="489" s="1"/>
  <c r="M146" i="489"/>
  <c r="Y146" i="489"/>
  <c r="AK146" i="489"/>
  <c r="AW146" i="489"/>
  <c r="BI146" i="489"/>
  <c r="BU146" i="489"/>
  <c r="CS146" i="489"/>
  <c r="DE146" i="489"/>
  <c r="Q126" i="489"/>
  <c r="Q133" i="489" s="1"/>
  <c r="Q330" i="489" s="1"/>
  <c r="AC126" i="489"/>
  <c r="AC133" i="489" s="1"/>
  <c r="AC330" i="489" s="1"/>
  <c r="BA126" i="489"/>
  <c r="BA133" i="489" s="1"/>
  <c r="BA330" i="489" s="1"/>
  <c r="BY126" i="489"/>
  <c r="BY133" i="489" s="1"/>
  <c r="BY330" i="489" s="1"/>
  <c r="CK126" i="489"/>
  <c r="CK133" i="489" s="1"/>
  <c r="CK330" i="489" s="1"/>
  <c r="CW126" i="489"/>
  <c r="CW133" i="489" s="1"/>
  <c r="CW330" i="489" s="1"/>
  <c r="DI126" i="489"/>
  <c r="DI133" i="489" s="1"/>
  <c r="DI330" i="489" s="1"/>
  <c r="DU126" i="489"/>
  <c r="DU133" i="489" s="1"/>
  <c r="DU330" i="489" s="1"/>
  <c r="EG126" i="489"/>
  <c r="EG133" i="489" s="1"/>
  <c r="EG330" i="489" s="1"/>
  <c r="ES126" i="489"/>
  <c r="ES133" i="489" s="1"/>
  <c r="ES330" i="489" s="1"/>
  <c r="K186" i="489"/>
  <c r="K193" i="489" s="1"/>
  <c r="K332" i="489" s="1"/>
  <c r="T126" i="489"/>
  <c r="T133" i="489" s="1"/>
  <c r="T330" i="489" s="1"/>
  <c r="AR126" i="489"/>
  <c r="BD126" i="489"/>
  <c r="BD133" i="489" s="1"/>
  <c r="BD330" i="489" s="1"/>
  <c r="BP126" i="489"/>
  <c r="BP133" i="489" s="1"/>
  <c r="BP330" i="489" s="1"/>
  <c r="CN126" i="489"/>
  <c r="CN133" i="489" s="1"/>
  <c r="CN330" i="489" s="1"/>
  <c r="DL126" i="489"/>
  <c r="DX126" i="489"/>
  <c r="EJ126" i="489"/>
  <c r="R146" i="489"/>
  <c r="AG126" i="489"/>
  <c r="AG133" i="489" s="1"/>
  <c r="AG330" i="489" s="1"/>
  <c r="AS126" i="489"/>
  <c r="AS133" i="489" s="1"/>
  <c r="AS330" i="489" s="1"/>
  <c r="BE126" i="489"/>
  <c r="BE133" i="489" s="1"/>
  <c r="BE330" i="489" s="1"/>
  <c r="BQ126" i="489"/>
  <c r="BQ133" i="489" s="1"/>
  <c r="BQ330" i="489" s="1"/>
  <c r="CC126" i="489"/>
  <c r="CO126" i="489"/>
  <c r="CO133" i="489" s="1"/>
  <c r="CO330" i="489" s="1"/>
  <c r="DA126" i="489"/>
  <c r="DA133" i="489" s="1"/>
  <c r="DA330" i="489" s="1"/>
  <c r="DM126" i="489"/>
  <c r="DM133" i="489" s="1"/>
  <c r="DM330" i="489" s="1"/>
  <c r="DY126" i="489"/>
  <c r="EK126" i="489"/>
  <c r="EK133" i="489" s="1"/>
  <c r="EK330" i="489" s="1"/>
  <c r="BC146" i="489"/>
  <c r="CY146" i="489"/>
  <c r="DW146" i="489"/>
  <c r="EI146" i="489"/>
  <c r="EU146" i="489"/>
  <c r="T156" i="489"/>
  <c r="Q146" i="489"/>
  <c r="AO146" i="489"/>
  <c r="BA146" i="489"/>
  <c r="BM146" i="489"/>
  <c r="BY146" i="489"/>
  <c r="CK146" i="489"/>
  <c r="DI146" i="489"/>
  <c r="DI321" i="489" s="1"/>
  <c r="DU146" i="489"/>
  <c r="EG146" i="489"/>
  <c r="EG321" i="489" s="1"/>
  <c r="ES146" i="489"/>
  <c r="ES321" i="489" s="1"/>
  <c r="M156" i="489"/>
  <c r="AY156" i="489"/>
  <c r="BY156" i="489"/>
  <c r="DP176" i="489"/>
  <c r="EN176" i="489"/>
  <c r="BA156" i="489"/>
  <c r="BM156" i="489"/>
  <c r="EU156" i="489"/>
  <c r="T146" i="489"/>
  <c r="AF146" i="489"/>
  <c r="AR146" i="489"/>
  <c r="BD146" i="489"/>
  <c r="BP146" i="489"/>
  <c r="DL146" i="489"/>
  <c r="DX146" i="489"/>
  <c r="EJ146" i="489"/>
  <c r="AG146" i="489"/>
  <c r="AS146" i="489"/>
  <c r="BE146" i="489"/>
  <c r="BQ146" i="489"/>
  <c r="CC146" i="489"/>
  <c r="DA146" i="489"/>
  <c r="DM146" i="489"/>
  <c r="DY146" i="489"/>
  <c r="EK146" i="489"/>
  <c r="Q156" i="489"/>
  <c r="BC156" i="489"/>
  <c r="BO156" i="489"/>
  <c r="BO163" i="489" s="1"/>
  <c r="BO331" i="489" s="1"/>
  <c r="CO156" i="489"/>
  <c r="DA156" i="489"/>
  <c r="DM156" i="489"/>
  <c r="DY156" i="489"/>
  <c r="EK156" i="489"/>
  <c r="AA176" i="489"/>
  <c r="AM176" i="489"/>
  <c r="AY176" i="489"/>
  <c r="BW176" i="489"/>
  <c r="CI176" i="489"/>
  <c r="CU176" i="489"/>
  <c r="DG176" i="489"/>
  <c r="DS176" i="489"/>
  <c r="EE176" i="489"/>
  <c r="EQ176" i="489"/>
  <c r="DG186" i="489"/>
  <c r="DS186" i="489"/>
  <c r="DB156" i="489"/>
  <c r="DZ156" i="489"/>
  <c r="EL156" i="489"/>
  <c r="EX156" i="489"/>
  <c r="EX163" i="489" s="1"/>
  <c r="EX331" i="489" s="1"/>
  <c r="DT156" i="489"/>
  <c r="EF156" i="489"/>
  <c r="EF163" i="489" s="1"/>
  <c r="EF331" i="489" s="1"/>
  <c r="ER156" i="489"/>
  <c r="K146" i="489"/>
  <c r="AI146" i="489"/>
  <c r="AU146" i="489"/>
  <c r="BG146" i="489"/>
  <c r="CQ146" i="489"/>
  <c r="DO146" i="489"/>
  <c r="EA146" i="489"/>
  <c r="EM146" i="489"/>
  <c r="AS156" i="489"/>
  <c r="BE156" i="489"/>
  <c r="BQ156" i="489"/>
  <c r="CD156" i="489"/>
  <c r="DQ146" i="489"/>
  <c r="EC146" i="489"/>
  <c r="EO146" i="489"/>
  <c r="N146" i="489"/>
  <c r="AL146" i="489"/>
  <c r="AX146" i="489"/>
  <c r="BJ146" i="489"/>
  <c r="BV146" i="489"/>
  <c r="CH146" i="489"/>
  <c r="CT146" i="489"/>
  <c r="DF146" i="489"/>
  <c r="ED146" i="489"/>
  <c r="EP146" i="489"/>
  <c r="AV156" i="489"/>
  <c r="AV163" i="489" s="1"/>
  <c r="AV331" i="489" s="1"/>
  <c r="BH156" i="489"/>
  <c r="BH163" i="489" s="1"/>
  <c r="BH331" i="489" s="1"/>
  <c r="O146" i="489"/>
  <c r="O321" i="489" s="1"/>
  <c r="AA146" i="489"/>
  <c r="AM146" i="489"/>
  <c r="AY146" i="489"/>
  <c r="BW146" i="489"/>
  <c r="CI146" i="489"/>
  <c r="CU146" i="489"/>
  <c r="DG146" i="489"/>
  <c r="DS146" i="489"/>
  <c r="EE146" i="489"/>
  <c r="EQ146" i="489"/>
  <c r="W156" i="489"/>
  <c r="AI156" i="489"/>
  <c r="AW156" i="489"/>
  <c r="BI156" i="489"/>
  <c r="CI156" i="489"/>
  <c r="CU156" i="489"/>
  <c r="DG156" i="489"/>
  <c r="DS156" i="489"/>
  <c r="EE156" i="489"/>
  <c r="EQ156" i="489"/>
  <c r="AB186" i="489"/>
  <c r="AN186" i="489"/>
  <c r="BA186" i="489"/>
  <c r="BA193" i="489" s="1"/>
  <c r="BA332" i="489" s="1"/>
  <c r="BM186" i="489"/>
  <c r="BM193" i="489" s="1"/>
  <c r="BM332" i="489" s="1"/>
  <c r="BY186" i="489"/>
  <c r="BY193" i="489" s="1"/>
  <c r="BY332" i="489" s="1"/>
  <c r="CK186" i="489"/>
  <c r="CK193" i="489" s="1"/>
  <c r="CK332" i="489" s="1"/>
  <c r="CW186" i="489"/>
  <c r="CW193" i="489" s="1"/>
  <c r="CW332" i="489" s="1"/>
  <c r="DJ186" i="489"/>
  <c r="DJ193" i="489" s="1"/>
  <c r="DJ332" i="489" s="1"/>
  <c r="EH186" i="489"/>
  <c r="EH193" i="489" s="1"/>
  <c r="EH332" i="489" s="1"/>
  <c r="ET186" i="489"/>
  <c r="ET193" i="489" s="1"/>
  <c r="ET332" i="489" s="1"/>
  <c r="Q186" i="489"/>
  <c r="Q193" i="489" s="1"/>
  <c r="Q332" i="489" s="1"/>
  <c r="AC186" i="489"/>
  <c r="AC193" i="489" s="1"/>
  <c r="AC332" i="489" s="1"/>
  <c r="BB186" i="489"/>
  <c r="BB193" i="489" s="1"/>
  <c r="BB332" i="489" s="1"/>
  <c r="BZ186" i="489"/>
  <c r="BZ193" i="489" s="1"/>
  <c r="BZ332" i="489" s="1"/>
  <c r="CL186" i="489"/>
  <c r="CX186" i="489"/>
  <c r="CX193" i="489" s="1"/>
  <c r="CX332" i="489" s="1"/>
  <c r="Y176" i="489"/>
  <c r="AW176" i="489"/>
  <c r="BI176" i="489"/>
  <c r="DE176" i="489"/>
  <c r="DQ176" i="489"/>
  <c r="EC176" i="489"/>
  <c r="EO176" i="489"/>
  <c r="R186" i="489"/>
  <c r="R193" i="489" s="1"/>
  <c r="R332" i="489" s="1"/>
  <c r="AD186" i="489"/>
  <c r="AD193" i="489" s="1"/>
  <c r="AD332" i="489" s="1"/>
  <c r="AP186" i="489"/>
  <c r="AP193" i="489" s="1"/>
  <c r="AP332" i="489" s="1"/>
  <c r="CM186" i="489"/>
  <c r="CY186" i="489"/>
  <c r="DL186" i="489"/>
  <c r="DX186" i="489"/>
  <c r="EJ186" i="489"/>
  <c r="BW216" i="489"/>
  <c r="BW223" i="489" s="1"/>
  <c r="BW333" i="489" s="1"/>
  <c r="N176" i="489"/>
  <c r="Z176" i="489"/>
  <c r="BJ176" i="489"/>
  <c r="BV176" i="489"/>
  <c r="CH176" i="489"/>
  <c r="ED176" i="489"/>
  <c r="EP176" i="489"/>
  <c r="S186" i="489"/>
  <c r="AE186" i="489"/>
  <c r="BD186" i="489"/>
  <c r="BP186" i="489"/>
  <c r="CN186" i="489"/>
  <c r="AY216" i="489"/>
  <c r="AY223" i="489" s="1"/>
  <c r="AY333" i="489" s="1"/>
  <c r="BK216" i="489"/>
  <c r="BK223" i="489" s="1"/>
  <c r="BK333" i="489" s="1"/>
  <c r="T186" i="489"/>
  <c r="AF186" i="489"/>
  <c r="AR186" i="489"/>
  <c r="DN186" i="489"/>
  <c r="DN193" i="489" s="1"/>
  <c r="DN332" i="489" s="1"/>
  <c r="DZ186" i="489"/>
  <c r="DZ193" i="489" s="1"/>
  <c r="DZ332" i="489" s="1"/>
  <c r="EL186" i="489"/>
  <c r="EL193" i="489" s="1"/>
  <c r="EL332" i="489" s="1"/>
  <c r="EX186" i="489"/>
  <c r="EX193" i="489" s="1"/>
  <c r="EX332" i="489" s="1"/>
  <c r="AB176" i="489"/>
  <c r="AN176" i="489"/>
  <c r="AZ176" i="489"/>
  <c r="BL176" i="489"/>
  <c r="BX176" i="489"/>
  <c r="CJ176" i="489"/>
  <c r="CV176" i="489"/>
  <c r="DH176" i="489"/>
  <c r="DT176" i="489"/>
  <c r="EF176" i="489"/>
  <c r="ER176" i="489"/>
  <c r="DP186" i="489"/>
  <c r="EB186" i="489"/>
  <c r="EN186" i="489"/>
  <c r="S176" i="489"/>
  <c r="AE176" i="489"/>
  <c r="BC176" i="489"/>
  <c r="BO176" i="489"/>
  <c r="CM176" i="489"/>
  <c r="CY176" i="489"/>
  <c r="DK176" i="489"/>
  <c r="DW176" i="489"/>
  <c r="EI176" i="489"/>
  <c r="EU176" i="489"/>
  <c r="AJ186" i="489"/>
  <c r="AV186" i="489"/>
  <c r="AV193" i="489" s="1"/>
  <c r="AV332" i="489" s="1"/>
  <c r="DR186" i="489"/>
  <c r="ED186" i="489"/>
  <c r="EP186" i="489"/>
  <c r="T176" i="489"/>
  <c r="AR176" i="489"/>
  <c r="BD176" i="489"/>
  <c r="BP176" i="489"/>
  <c r="CN176" i="489"/>
  <c r="DL176" i="489"/>
  <c r="DX176" i="489"/>
  <c r="EJ176" i="489"/>
  <c r="BJ186" i="489"/>
  <c r="BV186" i="489"/>
  <c r="CH186" i="489"/>
  <c r="N186" i="489"/>
  <c r="Z186" i="489"/>
  <c r="DH186" i="489"/>
  <c r="DT186" i="489"/>
  <c r="EF186" i="489"/>
  <c r="ER186" i="489"/>
  <c r="J206" i="489"/>
  <c r="AH206" i="489"/>
  <c r="AT206" i="489"/>
  <c r="CD206" i="489"/>
  <c r="CP206" i="489"/>
  <c r="DB206" i="489"/>
  <c r="DN206" i="489"/>
  <c r="DZ206" i="489"/>
  <c r="EL206" i="489"/>
  <c r="N216" i="489"/>
  <c r="Z216" i="489"/>
  <c r="AM216" i="489"/>
  <c r="AM223" i="489" s="1"/>
  <c r="AM333" i="489" s="1"/>
  <c r="AZ216" i="489"/>
  <c r="BL216" i="489"/>
  <c r="BX216" i="489"/>
  <c r="AI206" i="489"/>
  <c r="AU206" i="489"/>
  <c r="BG206" i="489"/>
  <c r="BS206" i="489"/>
  <c r="CE206" i="489"/>
  <c r="CQ206" i="489"/>
  <c r="DO206" i="489"/>
  <c r="EA206" i="489"/>
  <c r="EM206" i="489"/>
  <c r="O216" i="489"/>
  <c r="O223" i="489" s="1"/>
  <c r="O333" i="489" s="1"/>
  <c r="AA216" i="489"/>
  <c r="AA223" i="489" s="1"/>
  <c r="AA333" i="489" s="1"/>
  <c r="AV206" i="489"/>
  <c r="BH206" i="489"/>
  <c r="CR206" i="489"/>
  <c r="DP206" i="489"/>
  <c r="EN206" i="489"/>
  <c r="AB216" i="489"/>
  <c r="AW206" i="489"/>
  <c r="BI206" i="489"/>
  <c r="CG206" i="489"/>
  <c r="CS206" i="489"/>
  <c r="DE206" i="489"/>
  <c r="DQ206" i="489"/>
  <c r="EC206" i="489"/>
  <c r="EO206" i="489"/>
  <c r="AL206" i="489"/>
  <c r="AX206" i="489"/>
  <c r="BJ206" i="489"/>
  <c r="BV206" i="489"/>
  <c r="CH206" i="489"/>
  <c r="CT206" i="489"/>
  <c r="ED206" i="489"/>
  <c r="EP206" i="489"/>
  <c r="P206" i="489"/>
  <c r="AB206" i="489"/>
  <c r="AN206" i="489"/>
  <c r="AZ206" i="489"/>
  <c r="BL206" i="489"/>
  <c r="BX206" i="489"/>
  <c r="CJ206" i="489"/>
  <c r="CV206" i="489"/>
  <c r="DH206" i="489"/>
  <c r="DT206" i="489"/>
  <c r="EF206" i="489"/>
  <c r="ER206" i="489"/>
  <c r="DO216" i="489"/>
  <c r="EA216" i="489"/>
  <c r="EM216" i="489"/>
  <c r="R206" i="489"/>
  <c r="CX206" i="489"/>
  <c r="AI216" i="489"/>
  <c r="S206" i="489"/>
  <c r="BC206" i="489"/>
  <c r="BO206" i="489"/>
  <c r="CY206" i="489"/>
  <c r="DK206" i="489"/>
  <c r="DW206" i="489"/>
  <c r="EI206" i="489"/>
  <c r="EU206" i="489"/>
  <c r="CH216" i="489"/>
  <c r="CT216" i="489"/>
  <c r="DR216" i="489"/>
  <c r="ED216" i="489"/>
  <c r="EP216" i="489"/>
  <c r="L216" i="489"/>
  <c r="X216" i="489"/>
  <c r="BJ216" i="489"/>
  <c r="BV216" i="489"/>
  <c r="CI216" i="489"/>
  <c r="CU216" i="489"/>
  <c r="CU223" i="489" s="1"/>
  <c r="CU333" i="489" s="1"/>
  <c r="DG216" i="489"/>
  <c r="DG223" i="489" s="1"/>
  <c r="DG333" i="489" s="1"/>
  <c r="DS216" i="489"/>
  <c r="DS223" i="489" s="1"/>
  <c r="DS333" i="489" s="1"/>
  <c r="EE216" i="489"/>
  <c r="EE223" i="489" s="1"/>
  <c r="EE333" i="489" s="1"/>
  <c r="EQ216" i="489"/>
  <c r="EQ223" i="489" s="1"/>
  <c r="EQ333" i="489" s="1"/>
  <c r="N236" i="489"/>
  <c r="AB246" i="489"/>
  <c r="P236" i="489"/>
  <c r="AB236" i="489"/>
  <c r="AN236" i="489"/>
  <c r="AZ236" i="489"/>
  <c r="BL236" i="489"/>
  <c r="BX236" i="489"/>
  <c r="CJ236" i="489"/>
  <c r="CV236" i="489"/>
  <c r="DH236" i="489"/>
  <c r="DT236" i="489"/>
  <c r="EF236" i="489"/>
  <c r="ER236" i="489"/>
  <c r="CN246" i="489"/>
  <c r="DO246" i="489"/>
  <c r="EA246" i="489"/>
  <c r="EM246" i="489"/>
  <c r="AR246" i="489"/>
  <c r="AR253" i="489" s="1"/>
  <c r="AR334" i="489" s="1"/>
  <c r="BD246" i="489"/>
  <c r="BD253" i="489" s="1"/>
  <c r="BD334" i="489" s="1"/>
  <c r="BP246" i="489"/>
  <c r="BP253" i="489" s="1"/>
  <c r="BP334" i="489" s="1"/>
  <c r="DP246" i="489"/>
  <c r="DP253" i="489" s="1"/>
  <c r="DP334" i="489" s="1"/>
  <c r="EB246" i="489"/>
  <c r="EB253" i="489" s="1"/>
  <c r="EN246" i="489"/>
  <c r="EN253" i="489" s="1"/>
  <c r="EN334" i="489" s="1"/>
  <c r="R236" i="489"/>
  <c r="CX236" i="489"/>
  <c r="DJ236" i="489"/>
  <c r="DV236" i="489"/>
  <c r="EH236" i="489"/>
  <c r="ET236" i="489"/>
  <c r="J236" i="489"/>
  <c r="AH236" i="489"/>
  <c r="AT236" i="489"/>
  <c r="BF236" i="489"/>
  <c r="CD236" i="489"/>
  <c r="CP236" i="489"/>
  <c r="DB236" i="489"/>
  <c r="DN236" i="489"/>
  <c r="DZ236" i="489"/>
  <c r="EL236" i="489"/>
  <c r="EQ236" i="489"/>
  <c r="W246" i="489"/>
  <c r="K236" i="489"/>
  <c r="AI236" i="489"/>
  <c r="AU236" i="489"/>
  <c r="BG236" i="489"/>
  <c r="CE236" i="489"/>
  <c r="CQ236" i="489"/>
  <c r="DO236" i="489"/>
  <c r="EA236" i="489"/>
  <c r="EM236" i="489"/>
  <c r="BJ246" i="489"/>
  <c r="BJ253" i="489" s="1"/>
  <c r="BJ334" i="489" s="1"/>
  <c r="DG276" i="489"/>
  <c r="EE276" i="489"/>
  <c r="EQ276" i="489"/>
  <c r="CI276" i="489"/>
  <c r="CU276" i="489"/>
  <c r="CU283" i="489" s="1"/>
  <c r="CU335" i="489" s="1"/>
  <c r="AM276" i="489"/>
  <c r="P276" i="489"/>
  <c r="AB276" i="489"/>
  <c r="AB283" i="489" s="1"/>
  <c r="AB335" i="489" s="1"/>
  <c r="AP276" i="489"/>
  <c r="AP283" i="489" s="1"/>
  <c r="AP335" i="489" s="1"/>
  <c r="BN276" i="489"/>
  <c r="O276" i="489"/>
  <c r="O283" i="489" s="1"/>
  <c r="O335" i="489" s="1"/>
  <c r="AA276" i="489"/>
  <c r="AA283" i="489" s="1"/>
  <c r="AA335" i="489" s="1"/>
  <c r="BZ276" i="489"/>
  <c r="BZ283" i="489" s="1"/>
  <c r="BZ335" i="489" s="1"/>
  <c r="DV276" i="489"/>
  <c r="DV283" i="489" s="1"/>
  <c r="DV335" i="489" s="1"/>
  <c r="EH276" i="489"/>
  <c r="EH283" i="489" s="1"/>
  <c r="EH335" i="489" s="1"/>
  <c r="R276" i="489"/>
  <c r="R283" i="489" s="1"/>
  <c r="R335" i="489" s="1"/>
  <c r="AD276" i="489"/>
  <c r="AD283" i="489" s="1"/>
  <c r="AD335" i="489" s="1"/>
  <c r="AV306" i="489"/>
  <c r="AV313" i="489" s="1"/>
  <c r="AV336" i="489" s="1"/>
  <c r="CU306" i="489"/>
  <c r="CU313" i="489" s="1"/>
  <c r="CU336" i="489" s="1"/>
  <c r="DI306" i="489"/>
  <c r="DI313" i="489" s="1"/>
  <c r="DI336" i="489" s="1"/>
  <c r="DU306" i="489"/>
  <c r="DU313" i="489" s="1"/>
  <c r="DU336" i="489" s="1"/>
  <c r="EH306" i="489"/>
  <c r="ET306" i="489"/>
  <c r="BU276" i="489"/>
  <c r="CG276" i="489"/>
  <c r="CG283" i="489" s="1"/>
  <c r="CG335" i="489" s="1"/>
  <c r="DQ276" i="489"/>
  <c r="EC276" i="489"/>
  <c r="EO276" i="489"/>
  <c r="EO283" i="489" s="1"/>
  <c r="EO335" i="489" s="1"/>
  <c r="AI306" i="489"/>
  <c r="AI313" i="489" s="1"/>
  <c r="AI336" i="489" s="1"/>
  <c r="AT296" i="489"/>
  <c r="BF296" i="489"/>
  <c r="CD296" i="489"/>
  <c r="CP296" i="489"/>
  <c r="DB296" i="489"/>
  <c r="DN296" i="489"/>
  <c r="DZ296" i="489"/>
  <c r="EL296" i="489"/>
  <c r="EX296" i="489"/>
  <c r="X306" i="489"/>
  <c r="DO296" i="489"/>
  <c r="EA296" i="489"/>
  <c r="EM296" i="489"/>
  <c r="AZ306" i="489"/>
  <c r="AZ313" i="489" s="1"/>
  <c r="AZ336" i="489" s="1"/>
  <c r="BL306" i="489"/>
  <c r="BL313" i="489" s="1"/>
  <c r="BL336" i="489" s="1"/>
  <c r="BX306" i="489"/>
  <c r="BX313" i="489" s="1"/>
  <c r="BX336" i="489" s="1"/>
  <c r="CK306" i="489"/>
  <c r="DY306" i="489"/>
  <c r="EK306" i="489"/>
  <c r="EK313" i="489" s="1"/>
  <c r="EK336" i="489" s="1"/>
  <c r="L296" i="489"/>
  <c r="BA306" i="489"/>
  <c r="BM306" i="489"/>
  <c r="BY306" i="489"/>
  <c r="CL306" i="489"/>
  <c r="DM306" i="489"/>
  <c r="DZ306" i="489"/>
  <c r="EL306" i="489"/>
  <c r="EX306" i="489"/>
  <c r="M296" i="489"/>
  <c r="AW296" i="489"/>
  <c r="BI296" i="489"/>
  <c r="BU296" i="489"/>
  <c r="DE296" i="489"/>
  <c r="DQ296" i="489"/>
  <c r="EC296" i="489"/>
  <c r="EO296" i="489"/>
  <c r="BB306" i="489"/>
  <c r="BZ306" i="489"/>
  <c r="N296" i="489"/>
  <c r="Z296" i="489"/>
  <c r="AX296" i="489"/>
  <c r="BJ296" i="489"/>
  <c r="BV296" i="489"/>
  <c r="CH296" i="489"/>
  <c r="CT296" i="489"/>
  <c r="ED296" i="489"/>
  <c r="EP296" i="489"/>
  <c r="AB306" i="489"/>
  <c r="AO306" i="489"/>
  <c r="DB306" i="489"/>
  <c r="DO306" i="489"/>
  <c r="EB306" i="489"/>
  <c r="EB313" i="489" s="1"/>
  <c r="EN306" i="489"/>
  <c r="EN313" i="489" s="1"/>
  <c r="EN336" i="489" s="1"/>
  <c r="BO276" i="489"/>
  <c r="BO283" i="489" s="1"/>
  <c r="BO335" i="489" s="1"/>
  <c r="CA276" i="489"/>
  <c r="CA283" i="489" s="1"/>
  <c r="CA335" i="489" s="1"/>
  <c r="CM276" i="489"/>
  <c r="CY276" i="489"/>
  <c r="DK276" i="489"/>
  <c r="DW276" i="489"/>
  <c r="DW283" i="489" s="1"/>
  <c r="DW335" i="489" s="1"/>
  <c r="EU276" i="489"/>
  <c r="Q306" i="489"/>
  <c r="AC306" i="489"/>
  <c r="AP306" i="489"/>
  <c r="R306" i="489"/>
  <c r="R313" i="489" s="1"/>
  <c r="R336" i="489" s="1"/>
  <c r="AD306" i="489"/>
  <c r="AD313" i="489" s="1"/>
  <c r="AD336" i="489" s="1"/>
  <c r="CP306" i="489"/>
  <c r="AC296" i="489"/>
  <c r="AO296" i="489"/>
  <c r="BA296" i="489"/>
  <c r="BM296" i="489"/>
  <c r="BY296" i="489"/>
  <c r="CK296" i="489"/>
  <c r="CW296" i="489"/>
  <c r="BF306" i="489"/>
  <c r="CD306" i="489"/>
  <c r="EO306" i="489"/>
  <c r="ER306" i="489"/>
  <c r="ES306" i="489"/>
  <c r="ES313" i="489" s="1"/>
  <c r="ES336" i="489" s="1"/>
  <c r="EU306" i="489"/>
  <c r="DG321" i="489" l="1"/>
  <c r="DS321" i="489"/>
  <c r="CU321" i="489"/>
  <c r="AA321" i="489"/>
  <c r="BB321" i="489"/>
  <c r="CI322" i="489"/>
  <c r="O322" i="489"/>
  <c r="AI321" i="489"/>
  <c r="EH321" i="489"/>
  <c r="EF322" i="489"/>
  <c r="BY321" i="489"/>
  <c r="AP321" i="489"/>
  <c r="BO321" i="489"/>
  <c r="EL321" i="489"/>
  <c r="DZ321" i="489"/>
  <c r="CR321" i="489"/>
  <c r="DN321" i="489"/>
  <c r="BG321" i="489"/>
  <c r="DB321" i="489"/>
  <c r="CP321" i="489"/>
  <c r="ED321" i="489"/>
  <c r="EI321" i="489"/>
  <c r="CD321" i="489"/>
  <c r="CX321" i="489"/>
  <c r="DK321" i="489"/>
  <c r="AY321" i="489"/>
  <c r="AM321" i="489"/>
  <c r="DP321" i="489"/>
  <c r="EQ321" i="489"/>
  <c r="ER321" i="489"/>
  <c r="EE321" i="489"/>
  <c r="EF321" i="489"/>
  <c r="EP321" i="489"/>
  <c r="T321" i="489"/>
  <c r="EU321" i="489"/>
  <c r="DT321" i="489"/>
  <c r="DH321" i="489"/>
  <c r="DW321" i="489"/>
  <c r="CY321" i="489"/>
  <c r="CJ321" i="489"/>
  <c r="BC321" i="489"/>
  <c r="BX321" i="489"/>
  <c r="BV321" i="489"/>
  <c r="BJ321" i="489"/>
  <c r="EN321" i="489"/>
  <c r="EM321" i="489"/>
  <c r="EA321" i="489"/>
  <c r="BA321" i="489"/>
  <c r="EO321" i="489"/>
  <c r="DO321" i="489"/>
  <c r="EC321" i="489"/>
  <c r="AR321" i="489"/>
  <c r="EJ321" i="489"/>
  <c r="DQ321" i="489"/>
  <c r="DX321" i="489"/>
  <c r="DL321" i="489"/>
  <c r="CK321" i="489"/>
  <c r="CH321" i="489"/>
  <c r="Q321" i="489"/>
  <c r="BP321" i="489"/>
  <c r="BI321" i="489"/>
  <c r="BD321" i="489"/>
  <c r="AW321" i="489"/>
  <c r="DJ321" i="489"/>
  <c r="BZ321" i="489"/>
  <c r="ET321" i="489"/>
  <c r="BP322" i="489"/>
  <c r="BD322" i="489"/>
  <c r="EC322" i="489"/>
  <c r="DH322" i="489"/>
  <c r="CO322" i="489"/>
  <c r="Q322" i="489"/>
  <c r="CW322" i="489"/>
  <c r="Z322" i="489"/>
  <c r="CK322" i="489"/>
  <c r="BU322" i="489"/>
  <c r="N322" i="489"/>
  <c r="BL322" i="489"/>
  <c r="DR322" i="489"/>
  <c r="AZ322" i="489"/>
  <c r="AB322" i="489"/>
  <c r="BL321" i="489"/>
  <c r="DM321" i="489"/>
  <c r="AZ321" i="489"/>
  <c r="AB321" i="489"/>
  <c r="DA321" i="489"/>
  <c r="CC321" i="489"/>
  <c r="BQ321" i="489"/>
  <c r="AV321" i="489"/>
  <c r="BE321" i="489"/>
  <c r="AS321" i="489"/>
  <c r="BH321" i="489"/>
  <c r="AG321" i="489"/>
  <c r="K321" i="489"/>
  <c r="EK321" i="489"/>
  <c r="DY321" i="489"/>
  <c r="DE73" i="489"/>
  <c r="DE328" i="489" s="1"/>
  <c r="AR73" i="489"/>
  <c r="AR328" i="489" s="1"/>
  <c r="AR322" i="489"/>
  <c r="EK73" i="489"/>
  <c r="EK328" i="489" s="1"/>
  <c r="EK322" i="489"/>
  <c r="EE73" i="489"/>
  <c r="EE328" i="489" s="1"/>
  <c r="EE322" i="489"/>
  <c r="EP73" i="489"/>
  <c r="EP328" i="489" s="1"/>
  <c r="EP322" i="489"/>
  <c r="CX73" i="489"/>
  <c r="CX328" i="489" s="1"/>
  <c r="CX322" i="489"/>
  <c r="CD73" i="489"/>
  <c r="CD328" i="489" s="1"/>
  <c r="CD322" i="489"/>
  <c r="CY73" i="489"/>
  <c r="CY328" i="489" s="1"/>
  <c r="CY322" i="489"/>
  <c r="BX73" i="489"/>
  <c r="BX328" i="489" s="1"/>
  <c r="BX322" i="489"/>
  <c r="DY73" i="489"/>
  <c r="DY328" i="489" s="1"/>
  <c r="DY322" i="489"/>
  <c r="DS73" i="489"/>
  <c r="DS328" i="489" s="1"/>
  <c r="BG73" i="489"/>
  <c r="BG328" i="489" s="1"/>
  <c r="BG322" i="489"/>
  <c r="ED73" i="489"/>
  <c r="ED328" i="489" s="1"/>
  <c r="ED322" i="489"/>
  <c r="CL73" i="489"/>
  <c r="CL328" i="489" s="1"/>
  <c r="CL322" i="489"/>
  <c r="BF73" i="489"/>
  <c r="BF328" i="489" s="1"/>
  <c r="BF322" i="489"/>
  <c r="CG73" i="489"/>
  <c r="CG328" i="489" s="1"/>
  <c r="CM73" i="489"/>
  <c r="CM328" i="489" s="1"/>
  <c r="CM322" i="489"/>
  <c r="EJ73" i="489"/>
  <c r="EJ328" i="489" s="1"/>
  <c r="EJ322" i="489"/>
  <c r="W73" i="489"/>
  <c r="W328" i="489" s="1"/>
  <c r="W322" i="489"/>
  <c r="DO73" i="489"/>
  <c r="DO328" i="489" s="1"/>
  <c r="DO322" i="489"/>
  <c r="DM73" i="489"/>
  <c r="DM328" i="489" s="1"/>
  <c r="DG73" i="489"/>
  <c r="DG328" i="489" s="1"/>
  <c r="DG322" i="489"/>
  <c r="AT73" i="489"/>
  <c r="AT328" i="489" s="1"/>
  <c r="AS73" i="489"/>
  <c r="AS328" i="489" s="1"/>
  <c r="AS322" i="489"/>
  <c r="EX73" i="489"/>
  <c r="EX328" i="489" s="1"/>
  <c r="EX322" i="489"/>
  <c r="BZ73" i="489"/>
  <c r="BZ328" i="489" s="1"/>
  <c r="BZ322" i="489"/>
  <c r="AI73" i="489"/>
  <c r="AI328" i="489" s="1"/>
  <c r="AI322" i="489"/>
  <c r="DX73" i="489"/>
  <c r="DX322" i="489"/>
  <c r="K73" i="489"/>
  <c r="K328" i="489" s="1"/>
  <c r="EG73" i="489"/>
  <c r="EG328" i="489" s="1"/>
  <c r="EG322" i="489"/>
  <c r="CN73" i="489"/>
  <c r="CN328" i="489" s="1"/>
  <c r="CN322" i="489"/>
  <c r="CJ73" i="489"/>
  <c r="CJ328" i="489" s="1"/>
  <c r="CJ322" i="489"/>
  <c r="BI73" i="489"/>
  <c r="BI328" i="489" s="1"/>
  <c r="BI322" i="489"/>
  <c r="DF73" i="489"/>
  <c r="DF328" i="489" s="1"/>
  <c r="AG73" i="489"/>
  <c r="AG328" i="489" s="1"/>
  <c r="AG322" i="489"/>
  <c r="EL73" i="489"/>
  <c r="EL328" i="489" s="1"/>
  <c r="EL322" i="489"/>
  <c r="BB73" i="489"/>
  <c r="BB328" i="489" s="1"/>
  <c r="DL73" i="489"/>
  <c r="DL328" i="489" s="1"/>
  <c r="L73" i="489"/>
  <c r="L328" i="489" s="1"/>
  <c r="BW73" i="489"/>
  <c r="BW328" i="489" s="1"/>
  <c r="BW322" i="489"/>
  <c r="ER73" i="489"/>
  <c r="ER328" i="489" s="1"/>
  <c r="ER322" i="489"/>
  <c r="EO73" i="489"/>
  <c r="EO328" i="489" s="1"/>
  <c r="EO322" i="489"/>
  <c r="AV73" i="489"/>
  <c r="AV328" i="489" s="1"/>
  <c r="CC73" i="489"/>
  <c r="CC328" i="489" s="1"/>
  <c r="CC322" i="489"/>
  <c r="DZ73" i="489"/>
  <c r="DZ328" i="489" s="1"/>
  <c r="DZ322" i="489"/>
  <c r="AO73" i="489"/>
  <c r="AO328" i="489" s="1"/>
  <c r="CE73" i="489"/>
  <c r="CE328" i="489" s="1"/>
  <c r="CE322" i="489"/>
  <c r="CA73" i="489"/>
  <c r="CA328" i="489" s="1"/>
  <c r="BQ73" i="489"/>
  <c r="BQ328" i="489" s="1"/>
  <c r="BQ322" i="489"/>
  <c r="DN73" i="489"/>
  <c r="DN328" i="489" s="1"/>
  <c r="BY73" i="489"/>
  <c r="BY328" i="489" s="1"/>
  <c r="BY322" i="489"/>
  <c r="EM73" i="489"/>
  <c r="EM328" i="489" s="1"/>
  <c r="EM322" i="489"/>
  <c r="BS73" i="489"/>
  <c r="BS328" i="489" s="1"/>
  <c r="BO73" i="489"/>
  <c r="BO328" i="489" s="1"/>
  <c r="BO322" i="489"/>
  <c r="AY73" i="489"/>
  <c r="AY328" i="489" s="1"/>
  <c r="AY322" i="489"/>
  <c r="DT73" i="489"/>
  <c r="DT328" i="489" s="1"/>
  <c r="DT322" i="489"/>
  <c r="DQ73" i="489"/>
  <c r="DQ328" i="489" s="1"/>
  <c r="DQ322" i="489"/>
  <c r="X73" i="489"/>
  <c r="X328" i="489" s="1"/>
  <c r="X322" i="489"/>
  <c r="BE73" i="489"/>
  <c r="BE328" i="489" s="1"/>
  <c r="BE322" i="489"/>
  <c r="DA73" i="489"/>
  <c r="DA328" i="489" s="1"/>
  <c r="DA322" i="489"/>
  <c r="AP73" i="489"/>
  <c r="AP328" i="489" s="1"/>
  <c r="AP322" i="489"/>
  <c r="BC73" i="489"/>
  <c r="BC328" i="489" s="1"/>
  <c r="BC322" i="489"/>
  <c r="CU73" i="489"/>
  <c r="CU328" i="489" s="1"/>
  <c r="CU322" i="489"/>
  <c r="EU73" i="489"/>
  <c r="EU328" i="489" s="1"/>
  <c r="EU322" i="489"/>
  <c r="BH73" i="489"/>
  <c r="BH328" i="489" s="1"/>
  <c r="BH322" i="489"/>
  <c r="T73" i="489"/>
  <c r="T328" i="489" s="1"/>
  <c r="T322" i="489"/>
  <c r="S73" i="489"/>
  <c r="S328" i="489" s="1"/>
  <c r="EH73" i="489"/>
  <c r="EH328" i="489" s="1"/>
  <c r="EH322" i="489"/>
  <c r="ES73" i="489"/>
  <c r="ES328" i="489" s="1"/>
  <c r="ES322" i="489"/>
  <c r="AD73" i="489"/>
  <c r="AD328" i="489" s="1"/>
  <c r="AD322" i="489"/>
  <c r="EI73" i="489"/>
  <c r="EI328" i="489" s="1"/>
  <c r="EN73" i="489"/>
  <c r="EN328" i="489" s="1"/>
  <c r="EN322" i="489"/>
  <c r="BJ73" i="489"/>
  <c r="BJ328" i="489" s="1"/>
  <c r="BJ322" i="489"/>
  <c r="BV73" i="489"/>
  <c r="BV328" i="489" s="1"/>
  <c r="BV322" i="489"/>
  <c r="DU73" i="489"/>
  <c r="DU328" i="489" s="1"/>
  <c r="DB73" i="489"/>
  <c r="DB328" i="489" s="1"/>
  <c r="DB322" i="489"/>
  <c r="AM73" i="489"/>
  <c r="AM328" i="489" s="1"/>
  <c r="AW73" i="489"/>
  <c r="AW328" i="489" s="1"/>
  <c r="DW73" i="489"/>
  <c r="DW328" i="489" s="1"/>
  <c r="EB322" i="489"/>
  <c r="R73" i="489"/>
  <c r="R328" i="489" s="1"/>
  <c r="DJ73" i="489"/>
  <c r="DJ328" i="489" s="1"/>
  <c r="DJ322" i="489"/>
  <c r="DI73" i="489"/>
  <c r="DI328" i="489" s="1"/>
  <c r="DI322" i="489"/>
  <c r="ET73" i="489"/>
  <c r="ET328" i="489" s="1"/>
  <c r="ET322" i="489"/>
  <c r="CP73" i="489"/>
  <c r="CP328" i="489" s="1"/>
  <c r="CP322" i="489"/>
  <c r="AA73" i="489"/>
  <c r="AA328" i="489" s="1"/>
  <c r="AA322" i="489"/>
  <c r="EQ73" i="489"/>
  <c r="EQ328" i="489" s="1"/>
  <c r="EQ322" i="489"/>
  <c r="DK73" i="489"/>
  <c r="DK328" i="489" s="1"/>
  <c r="DK322" i="489"/>
  <c r="DP73" i="489"/>
  <c r="DP328" i="489" s="1"/>
  <c r="DP322" i="489"/>
  <c r="EQ43" i="489"/>
  <c r="EQ327" i="489" s="1"/>
  <c r="EJ43" i="489"/>
  <c r="EJ327" i="489" s="1"/>
  <c r="AD43" i="489"/>
  <c r="AD327" i="489" s="1"/>
  <c r="EN43" i="489"/>
  <c r="EN327" i="489" s="1"/>
  <c r="EA43" i="489"/>
  <c r="EA327" i="489" s="1"/>
  <c r="EU43" i="489"/>
  <c r="EU327" i="489" s="1"/>
  <c r="S43" i="489"/>
  <c r="S327" i="489" s="1"/>
  <c r="CV43" i="489"/>
  <c r="CV327" i="489" s="1"/>
  <c r="CM43" i="489"/>
  <c r="CM327" i="489" s="1"/>
  <c r="N43" i="489"/>
  <c r="N327" i="489" s="1"/>
  <c r="DX43" i="489"/>
  <c r="DO43" i="489"/>
  <c r="DO327" i="489" s="1"/>
  <c r="DS43" i="489"/>
  <c r="DS327" i="489" s="1"/>
  <c r="DK43" i="489"/>
  <c r="DK327" i="489" s="1"/>
  <c r="ET43" i="489"/>
  <c r="ET327" i="489" s="1"/>
  <c r="DI43" i="489"/>
  <c r="DI327" i="489" s="1"/>
  <c r="CE43" i="489"/>
  <c r="CE327" i="489" s="1"/>
  <c r="EX43" i="489"/>
  <c r="EX327" i="489" s="1"/>
  <c r="DG43" i="489"/>
  <c r="DG327" i="489" s="1"/>
  <c r="ER43" i="489"/>
  <c r="ER327" i="489" s="1"/>
  <c r="CJ43" i="489"/>
  <c r="CJ327" i="489" s="1"/>
  <c r="DH43" i="489"/>
  <c r="DH327" i="489" s="1"/>
  <c r="EP43" i="489"/>
  <c r="EP327" i="489" s="1"/>
  <c r="CR43" i="489"/>
  <c r="CR327" i="489" s="1"/>
  <c r="BG43" i="489"/>
  <c r="BG327" i="489" s="1"/>
  <c r="EL43" i="489"/>
  <c r="EL327" i="489" s="1"/>
  <c r="BX43" i="489"/>
  <c r="BX327" i="489" s="1"/>
  <c r="BP43" i="489"/>
  <c r="BP327" i="489" s="1"/>
  <c r="AC43" i="489"/>
  <c r="AC327" i="489" s="1"/>
  <c r="ED43" i="489"/>
  <c r="ED327" i="489" s="1"/>
  <c r="BL43" i="489"/>
  <c r="BL327" i="489" s="1"/>
  <c r="ES43" i="489"/>
  <c r="ES327" i="489" s="1"/>
  <c r="DJ43" i="489"/>
  <c r="DJ327" i="489" s="1"/>
  <c r="BM43" i="489"/>
  <c r="BM327" i="489" s="1"/>
  <c r="DN43" i="489"/>
  <c r="DN327" i="489" s="1"/>
  <c r="AB43" i="489"/>
  <c r="AB327" i="489" s="1"/>
  <c r="EF43" i="489"/>
  <c r="EF327" i="489" s="1"/>
  <c r="AP43" i="489"/>
  <c r="AP327" i="489" s="1"/>
  <c r="CU43" i="489"/>
  <c r="CU327" i="489" s="1"/>
  <c r="O43" i="489"/>
  <c r="O327" i="489" s="1"/>
  <c r="AR43" i="489"/>
  <c r="AR327" i="489" s="1"/>
  <c r="CK43" i="489"/>
  <c r="CK327" i="489" s="1"/>
  <c r="CX43" i="489"/>
  <c r="CX327" i="489" s="1"/>
  <c r="BO43" i="489"/>
  <c r="BO327" i="489" s="1"/>
  <c r="AZ43" i="489"/>
  <c r="AZ327" i="489" s="1"/>
  <c r="DT43" i="489"/>
  <c r="DT327" i="489" s="1"/>
  <c r="AM43" i="489"/>
  <c r="AM327" i="489" s="1"/>
  <c r="BC43" i="489"/>
  <c r="BC327" i="489" s="1"/>
  <c r="EG43" i="489"/>
  <c r="EG327" i="489" s="1"/>
  <c r="BZ43" i="489"/>
  <c r="BZ327" i="489" s="1"/>
  <c r="CD43" i="489"/>
  <c r="CD327" i="489" s="1"/>
  <c r="CY43" i="489"/>
  <c r="CY327" i="489" s="1"/>
  <c r="Q43" i="489"/>
  <c r="Q327" i="489" s="1"/>
  <c r="AY43" i="489"/>
  <c r="AY327" i="489" s="1"/>
  <c r="CI43" i="489"/>
  <c r="CI327" i="489" s="1"/>
  <c r="CW43" i="489"/>
  <c r="CW327" i="489" s="1"/>
  <c r="EI43" i="489"/>
  <c r="EI327" i="489" s="1"/>
  <c r="BW43" i="489"/>
  <c r="BW327" i="489" s="1"/>
  <c r="T43" i="489"/>
  <c r="T327" i="489" s="1"/>
  <c r="CL43" i="489"/>
  <c r="CL327" i="489" s="1"/>
  <c r="CH43" i="489"/>
  <c r="CH327" i="489" s="1"/>
  <c r="BB43" i="489"/>
  <c r="BB327" i="489" s="1"/>
  <c r="Z43" i="489"/>
  <c r="Z327" i="489" s="1"/>
  <c r="DW43" i="489"/>
  <c r="DW327" i="489" s="1"/>
  <c r="BK43" i="489"/>
  <c r="BK327" i="489" s="1"/>
  <c r="C509" i="489"/>
  <c r="C507" i="489"/>
  <c r="C503" i="489"/>
  <c r="C512" i="489"/>
  <c r="CY163" i="489"/>
  <c r="CY331" i="489" s="1"/>
  <c r="CG253" i="489"/>
  <c r="CG334" i="489" s="1"/>
  <c r="AI253" i="489"/>
  <c r="AI334" i="489" s="1"/>
  <c r="EH253" i="489"/>
  <c r="EH334" i="489" s="1"/>
  <c r="DJ253" i="489"/>
  <c r="DJ334" i="489" s="1"/>
  <c r="EE193" i="489"/>
  <c r="EE332" i="489" s="1"/>
  <c r="EL223" i="489"/>
  <c r="EL333" i="489" s="1"/>
  <c r="CJ193" i="489"/>
  <c r="CJ332" i="489" s="1"/>
  <c r="BL193" i="489"/>
  <c r="BL332" i="489" s="1"/>
  <c r="AW193" i="489"/>
  <c r="AW332" i="489" s="1"/>
  <c r="BV163" i="489"/>
  <c r="BV331" i="489" s="1"/>
  <c r="R103" i="489"/>
  <c r="R329" i="489" s="1"/>
  <c r="EJ283" i="489"/>
  <c r="EJ335" i="489" s="1"/>
  <c r="AN73" i="489"/>
  <c r="AN328" i="489" s="1"/>
  <c r="W313" i="489"/>
  <c r="W336" i="489" s="1"/>
  <c r="DT313" i="489"/>
  <c r="DT336" i="489" s="1"/>
  <c r="CW313" i="489"/>
  <c r="CW336" i="489" s="1"/>
  <c r="BJ313" i="489"/>
  <c r="BJ336" i="489" s="1"/>
  <c r="R223" i="489"/>
  <c r="R333" i="489" s="1"/>
  <c r="ER223" i="489"/>
  <c r="ER333" i="489" s="1"/>
  <c r="DT223" i="489"/>
  <c r="DT333" i="489" s="1"/>
  <c r="AW223" i="489"/>
  <c r="AW333" i="489" s="1"/>
  <c r="AV223" i="489"/>
  <c r="AV333" i="489" s="1"/>
  <c r="DX163" i="489"/>
  <c r="BF163" i="489"/>
  <c r="BF331" i="489" s="1"/>
  <c r="EK103" i="489"/>
  <c r="EK329" i="489" s="1"/>
  <c r="K223" i="489"/>
  <c r="K333" i="489" s="1"/>
  <c r="BD313" i="489"/>
  <c r="BD336" i="489" s="1"/>
  <c r="EF313" i="489"/>
  <c r="EF336" i="489" s="1"/>
  <c r="DM313" i="489"/>
  <c r="DM336" i="489" s="1"/>
  <c r="AS103" i="489"/>
  <c r="AS329" i="489" s="1"/>
  <c r="DQ313" i="489"/>
  <c r="DQ336" i="489" s="1"/>
  <c r="BU313" i="489"/>
  <c r="BU336" i="489" s="1"/>
  <c r="AW313" i="489"/>
  <c r="AW336" i="489" s="1"/>
  <c r="CV223" i="489"/>
  <c r="CV333" i="489" s="1"/>
  <c r="N73" i="489"/>
  <c r="N328" i="489" s="1"/>
  <c r="CW73" i="489"/>
  <c r="CW328" i="489" s="1"/>
  <c r="EC313" i="489"/>
  <c r="EC336" i="489" s="1"/>
  <c r="EM313" i="489"/>
  <c r="EM336" i="489" s="1"/>
  <c r="CH283" i="489"/>
  <c r="CH335" i="489" s="1"/>
  <c r="EA283" i="489"/>
  <c r="EA335" i="489" s="1"/>
  <c r="DB253" i="489"/>
  <c r="DB334" i="489" s="1"/>
  <c r="ER253" i="489"/>
  <c r="ER334" i="489" s="1"/>
  <c r="DT253" i="489"/>
  <c r="DT334" i="489" s="1"/>
  <c r="CV253" i="489"/>
  <c r="CV334" i="489" s="1"/>
  <c r="BX253" i="489"/>
  <c r="BX334" i="489" s="1"/>
  <c r="AZ253" i="489"/>
  <c r="AZ334" i="489" s="1"/>
  <c r="CD223" i="489"/>
  <c r="CD333" i="489" s="1"/>
  <c r="EI193" i="489"/>
  <c r="EI332" i="489" s="1"/>
  <c r="DK193" i="489"/>
  <c r="DK332" i="489" s="1"/>
  <c r="BX193" i="489"/>
  <c r="BX332" i="489" s="1"/>
  <c r="AZ193" i="489"/>
  <c r="AZ332" i="489" s="1"/>
  <c r="BI193" i="489"/>
  <c r="BI332" i="489" s="1"/>
  <c r="AA163" i="489"/>
  <c r="AA331" i="489" s="1"/>
  <c r="EP163" i="489"/>
  <c r="EP331" i="489" s="1"/>
  <c r="BW193" i="489"/>
  <c r="BW332" i="489" s="1"/>
  <c r="BP163" i="489"/>
  <c r="BP331" i="489" s="1"/>
  <c r="CK73" i="489"/>
  <c r="CK328" i="489" s="1"/>
  <c r="CE103" i="489"/>
  <c r="CE329" i="489" s="1"/>
  <c r="BV313" i="489"/>
  <c r="BV336" i="489" s="1"/>
  <c r="Z313" i="489"/>
  <c r="Z336" i="489" s="1"/>
  <c r="BZ313" i="489"/>
  <c r="BZ336" i="489" s="1"/>
  <c r="BB313" i="489"/>
  <c r="BB336" i="489" s="1"/>
  <c r="EA313" i="489"/>
  <c r="EA336" i="489" s="1"/>
  <c r="BD283" i="489"/>
  <c r="BD335" i="489" s="1"/>
  <c r="T283" i="489"/>
  <c r="T335" i="489" s="1"/>
  <c r="CE253" i="489"/>
  <c r="CE334" i="489" s="1"/>
  <c r="BG253" i="489"/>
  <c r="BG334" i="489" s="1"/>
  <c r="EQ253" i="489"/>
  <c r="EQ334" i="489" s="1"/>
  <c r="CP253" i="489"/>
  <c r="CP334" i="489" s="1"/>
  <c r="BF253" i="489"/>
  <c r="BF334" i="489" s="1"/>
  <c r="CN193" i="489"/>
  <c r="CN332" i="489" s="1"/>
  <c r="O163" i="489"/>
  <c r="O331" i="489" s="1"/>
  <c r="EC163" i="489"/>
  <c r="EC331" i="489" s="1"/>
  <c r="R163" i="489"/>
  <c r="R331" i="489" s="1"/>
  <c r="AD133" i="489"/>
  <c r="BT103" i="489"/>
  <c r="BT329" i="489" s="1"/>
  <c r="AV103" i="489"/>
  <c r="AV329" i="489" s="1"/>
  <c r="EH133" i="489"/>
  <c r="EH330" i="489" s="1"/>
  <c r="CV103" i="489"/>
  <c r="CV329" i="489" s="1"/>
  <c r="EM103" i="489"/>
  <c r="EM329" i="489" s="1"/>
  <c r="DO103" i="489"/>
  <c r="DO329" i="489" s="1"/>
  <c r="CR313" i="489"/>
  <c r="CR336" i="489" s="1"/>
  <c r="ER313" i="489"/>
  <c r="ER336" i="489" s="1"/>
  <c r="EM253" i="489"/>
  <c r="EM334" i="489" s="1"/>
  <c r="EU223" i="489"/>
  <c r="EU333" i="489" s="1"/>
  <c r="DW223" i="489"/>
  <c r="DW333" i="489" s="1"/>
  <c r="CY223" i="489"/>
  <c r="CY333" i="489" s="1"/>
  <c r="BO223" i="489"/>
  <c r="BO333" i="489" s="1"/>
  <c r="BZ133" i="489"/>
  <c r="BZ330" i="489" s="1"/>
  <c r="EO253" i="489"/>
  <c r="EO334" i="489" s="1"/>
  <c r="DQ253" i="489"/>
  <c r="DQ334" i="489" s="1"/>
  <c r="AS313" i="489"/>
  <c r="AS336" i="489" s="1"/>
  <c r="K313" i="489"/>
  <c r="K336" i="489" s="1"/>
  <c r="DJ313" i="489"/>
  <c r="DJ336" i="489" s="1"/>
  <c r="DS283" i="489"/>
  <c r="DS335" i="489" s="1"/>
  <c r="EP283" i="489"/>
  <c r="EP335" i="489" s="1"/>
  <c r="BV283" i="489"/>
  <c r="BV335" i="489" s="1"/>
  <c r="M283" i="489"/>
  <c r="M335" i="489" s="1"/>
  <c r="EM283" i="489"/>
  <c r="EM335" i="489" s="1"/>
  <c r="DO283" i="489"/>
  <c r="DO335" i="489" s="1"/>
  <c r="DZ253" i="489"/>
  <c r="DZ334" i="489" s="1"/>
  <c r="CD253" i="489"/>
  <c r="CD334" i="489" s="1"/>
  <c r="ET253" i="489"/>
  <c r="ET334" i="489" s="1"/>
  <c r="DV253" i="489"/>
  <c r="DV334" i="489" s="1"/>
  <c r="R253" i="489"/>
  <c r="R334" i="489" s="1"/>
  <c r="EF253" i="489"/>
  <c r="EF334" i="489" s="1"/>
  <c r="EF223" i="489"/>
  <c r="EF333" i="489" s="1"/>
  <c r="DH223" i="489"/>
  <c r="DH333" i="489" s="1"/>
  <c r="DP223" i="489"/>
  <c r="DP333" i="489" s="1"/>
  <c r="CR223" i="489"/>
  <c r="CR333" i="489" s="1"/>
  <c r="BH223" i="489"/>
  <c r="BH333" i="489" s="1"/>
  <c r="EC193" i="489"/>
  <c r="EC332" i="489" s="1"/>
  <c r="EO163" i="489"/>
  <c r="EO331" i="489" s="1"/>
  <c r="DQ163" i="489"/>
  <c r="DQ331" i="489" s="1"/>
  <c r="BG163" i="489"/>
  <c r="BG331" i="489" s="1"/>
  <c r="EQ193" i="489"/>
  <c r="EQ332" i="489" s="1"/>
  <c r="CU193" i="489"/>
  <c r="CU332" i="489" s="1"/>
  <c r="AA193" i="489"/>
  <c r="AA332" i="489" s="1"/>
  <c r="AG163" i="489"/>
  <c r="AG331" i="489" s="1"/>
  <c r="AR163" i="489"/>
  <c r="AR331" i="489" s="1"/>
  <c r="BU163" i="489"/>
  <c r="BU331" i="489" s="1"/>
  <c r="BH103" i="489"/>
  <c r="BH329" i="489" s="1"/>
  <c r="ET133" i="489"/>
  <c r="ET330" i="489" s="1"/>
  <c r="DV133" i="489"/>
  <c r="DV330" i="489" s="1"/>
  <c r="EC253" i="489"/>
  <c r="EC334" i="489" s="1"/>
  <c r="CP283" i="489"/>
  <c r="CP335" i="489" s="1"/>
  <c r="CL283" i="489"/>
  <c r="CL335" i="489" s="1"/>
  <c r="BE313" i="489"/>
  <c r="BE336" i="489" s="1"/>
  <c r="CX313" i="489"/>
  <c r="CX336" i="489" s="1"/>
  <c r="DH313" i="489"/>
  <c r="DH336" i="489" s="1"/>
  <c r="BI313" i="489"/>
  <c r="BI336" i="489" s="1"/>
  <c r="BP283" i="489"/>
  <c r="BP335" i="489" s="1"/>
  <c r="CX253" i="489"/>
  <c r="CX334" i="489" s="1"/>
  <c r="BL253" i="489"/>
  <c r="BL334" i="489" s="1"/>
  <c r="DK223" i="489"/>
  <c r="DK333" i="489" s="1"/>
  <c r="BC223" i="489"/>
  <c r="BC333" i="489" s="1"/>
  <c r="S223" i="489"/>
  <c r="S333" i="489" s="1"/>
  <c r="CX223" i="489"/>
  <c r="CX333" i="489" s="1"/>
  <c r="CJ223" i="489"/>
  <c r="CJ333" i="489" s="1"/>
  <c r="EC223" i="489"/>
  <c r="EC333" i="489" s="1"/>
  <c r="CG223" i="489"/>
  <c r="CG333" i="489" s="1"/>
  <c r="BI223" i="489"/>
  <c r="BI333" i="489" s="1"/>
  <c r="BG223" i="489"/>
  <c r="BG333" i="489" s="1"/>
  <c r="DW193" i="489"/>
  <c r="DW332" i="489" s="1"/>
  <c r="EO193" i="489"/>
  <c r="EO332" i="489" s="1"/>
  <c r="DQ193" i="489"/>
  <c r="DQ332" i="489" s="1"/>
  <c r="AM163" i="489"/>
  <c r="AM331" i="489" s="1"/>
  <c r="CT163" i="489"/>
  <c r="CT331" i="489" s="1"/>
  <c r="CI193" i="489"/>
  <c r="CI332" i="489" s="1"/>
  <c r="EJ163" i="489"/>
  <c r="EJ331" i="489" s="1"/>
  <c r="DL163" i="489"/>
  <c r="DL331" i="489" s="1"/>
  <c r="EN103" i="489"/>
  <c r="EN329" i="489" s="1"/>
  <c r="DP103" i="489"/>
  <c r="DP329" i="489" s="1"/>
  <c r="DY103" i="489"/>
  <c r="DY329" i="489" s="1"/>
  <c r="AG103" i="489"/>
  <c r="AG329" i="489" s="1"/>
  <c r="BM73" i="489"/>
  <c r="BM328" i="489" s="1"/>
  <c r="BP313" i="489"/>
  <c r="BP336" i="489" s="1"/>
  <c r="DK313" i="489"/>
  <c r="DK336" i="489" s="1"/>
  <c r="AW253" i="489"/>
  <c r="AW334" i="489" s="1"/>
  <c r="AZ223" i="489"/>
  <c r="AZ333" i="489" s="1"/>
  <c r="BN133" i="489"/>
  <c r="BN330" i="489" s="1"/>
  <c r="CC103" i="489"/>
  <c r="CC329" i="489" s="1"/>
  <c r="EA103" i="489"/>
  <c r="EA329" i="489" s="1"/>
  <c r="AZ73" i="489"/>
  <c r="AZ328" i="489" s="1"/>
  <c r="AG313" i="489"/>
  <c r="AG336" i="489" s="1"/>
  <c r="BA313" i="489"/>
  <c r="BA336" i="489" s="1"/>
  <c r="AR193" i="489"/>
  <c r="AR332" i="489" s="1"/>
  <c r="AB313" i="489"/>
  <c r="AB336" i="489" s="1"/>
  <c r="EU193" i="489"/>
  <c r="EU332" i="489" s="1"/>
  <c r="EP313" i="489"/>
  <c r="EP336" i="489" s="1"/>
  <c r="EL253" i="489"/>
  <c r="EL334" i="489" s="1"/>
  <c r="M313" i="489"/>
  <c r="M336" i="489" s="1"/>
  <c r="DJ133" i="489"/>
  <c r="DJ330" i="489" s="1"/>
  <c r="K103" i="489"/>
  <c r="K329" i="489" s="1"/>
  <c r="EI223" i="489"/>
  <c r="EI333" i="489" s="1"/>
  <c r="CJ253" i="489"/>
  <c r="CJ334" i="489" s="1"/>
  <c r="DQ223" i="489"/>
  <c r="DQ333" i="489" s="1"/>
  <c r="DZ223" i="489"/>
  <c r="DZ333" i="489" s="1"/>
  <c r="DE193" i="489"/>
  <c r="DE332" i="489" s="1"/>
  <c r="CH313" i="489"/>
  <c r="CH336" i="489" s="1"/>
  <c r="DE313" i="489"/>
  <c r="DE336" i="489" s="1"/>
  <c r="AR283" i="489"/>
  <c r="AR335" i="489" s="1"/>
  <c r="DK317" i="489"/>
  <c r="BM313" i="489"/>
  <c r="BM336" i="489" s="1"/>
  <c r="BD193" i="489"/>
  <c r="BD332" i="489" s="1"/>
  <c r="DA313" i="489"/>
  <c r="DA336" i="489" s="1"/>
  <c r="EA253" i="489"/>
  <c r="EA334" i="489" s="1"/>
  <c r="EO223" i="489"/>
  <c r="EO333" i="489" s="1"/>
  <c r="AS317" i="489"/>
  <c r="AC73" i="489"/>
  <c r="AC328" i="489" s="1"/>
  <c r="ED313" i="489"/>
  <c r="ED336" i="489" s="1"/>
  <c r="EC317" i="489"/>
  <c r="BD163" i="489"/>
  <c r="BD331" i="489" s="1"/>
  <c r="Q73" i="489"/>
  <c r="Q328" i="489" s="1"/>
  <c r="DQ317" i="489"/>
  <c r="AB193" i="489"/>
  <c r="AB332" i="489" s="1"/>
  <c r="DW313" i="489"/>
  <c r="DW336" i="489" s="1"/>
  <c r="N253" i="489"/>
  <c r="N334" i="489" s="1"/>
  <c r="BO193" i="489"/>
  <c r="BO332" i="489" s="1"/>
  <c r="BL223" i="489"/>
  <c r="BL333" i="489" s="1"/>
  <c r="DN223" i="489"/>
  <c r="DN333" i="489" s="1"/>
  <c r="BC193" i="489"/>
  <c r="BC332" i="489" s="1"/>
  <c r="DB223" i="489"/>
  <c r="DB333" i="489" s="1"/>
  <c r="DL193" i="489"/>
  <c r="DL332" i="489" s="1"/>
  <c r="BC317" i="489"/>
  <c r="CJ103" i="489"/>
  <c r="CJ329" i="489" s="1"/>
  <c r="CR103" i="489"/>
  <c r="CR329" i="489" s="1"/>
  <c r="BP193" i="489"/>
  <c r="BP332" i="489" s="1"/>
  <c r="AY193" i="489"/>
  <c r="AY332" i="489" s="1"/>
  <c r="J133" i="489"/>
  <c r="J330" i="489" s="1"/>
  <c r="BA73" i="489"/>
  <c r="BA328" i="489" s="1"/>
  <c r="AN193" i="489"/>
  <c r="AN332" i="489" s="1"/>
  <c r="AB253" i="489"/>
  <c r="AB334" i="489" s="1"/>
  <c r="EO313" i="489"/>
  <c r="EO336" i="489" s="1"/>
  <c r="AW283" i="489"/>
  <c r="AW335" i="489" s="1"/>
  <c r="ED283" i="489"/>
  <c r="ED335" i="489" s="1"/>
  <c r="BI283" i="489"/>
  <c r="BI335" i="489" s="1"/>
  <c r="CY317" i="489"/>
  <c r="DU163" i="489"/>
  <c r="DU331" i="489" s="1"/>
  <c r="DI163" i="489"/>
  <c r="DO163" i="489"/>
  <c r="DO331" i="489" s="1"/>
  <c r="ED163" i="489"/>
  <c r="ED331" i="489" s="1"/>
  <c r="BJ163" i="489"/>
  <c r="BJ331" i="489" s="1"/>
  <c r="CH163" i="489"/>
  <c r="CH331" i="489" s="1"/>
  <c r="ES163" i="489"/>
  <c r="BW163" i="489"/>
  <c r="EA163" i="489"/>
  <c r="EA331" i="489" s="1"/>
  <c r="T163" i="489"/>
  <c r="T331" i="489" s="1"/>
  <c r="CK163" i="489"/>
  <c r="CK331" i="489" s="1"/>
  <c r="BI317" i="489"/>
  <c r="EM163" i="489"/>
  <c r="EM331" i="489" s="1"/>
  <c r="CO317" i="489"/>
  <c r="BQ317" i="489"/>
  <c r="BA163" i="489"/>
  <c r="BA331" i="489" s="1"/>
  <c r="CP163" i="489"/>
  <c r="CP331" i="489" s="1"/>
  <c r="AW163" i="489"/>
  <c r="AW331" i="489" s="1"/>
  <c r="EG163" i="489"/>
  <c r="N163" i="489"/>
  <c r="N331" i="489" s="1"/>
  <c r="Q313" i="489"/>
  <c r="Q336" i="489" s="1"/>
  <c r="EU313" i="489"/>
  <c r="EU336" i="489" s="1"/>
  <c r="AP313" i="489"/>
  <c r="EH313" i="489"/>
  <c r="EH336" i="489" s="1"/>
  <c r="CY283" i="489"/>
  <c r="CY335" i="489" s="1"/>
  <c r="BU253" i="489"/>
  <c r="BU334" i="489" s="1"/>
  <c r="ER317" i="489"/>
  <c r="CC163" i="489"/>
  <c r="CC331" i="489" s="1"/>
  <c r="BY163" i="489"/>
  <c r="BY331" i="489" s="1"/>
  <c r="BX317" i="489"/>
  <c r="EF317" i="489"/>
  <c r="BI253" i="489"/>
  <c r="BI334" i="489" s="1"/>
  <c r="ET313" i="489"/>
  <c r="ET336" i="489" s="1"/>
  <c r="DG283" i="489"/>
  <c r="DG335" i="489" s="1"/>
  <c r="CH223" i="489"/>
  <c r="CH333" i="489" s="1"/>
  <c r="CH193" i="489"/>
  <c r="CH332" i="489" s="1"/>
  <c r="CM317" i="489"/>
  <c r="BC163" i="489"/>
  <c r="BC331" i="489" s="1"/>
  <c r="DA317" i="489"/>
  <c r="BE103" i="489"/>
  <c r="BE329" i="489" s="1"/>
  <c r="BL317" i="489"/>
  <c r="BO317" i="489"/>
  <c r="DT317" i="489"/>
  <c r="CY133" i="489"/>
  <c r="CY330" i="489" s="1"/>
  <c r="AZ317" i="489"/>
  <c r="O317" i="489"/>
  <c r="DH317" i="489"/>
  <c r="DH253" i="489"/>
  <c r="DH334" i="489" s="1"/>
  <c r="DY313" i="489"/>
  <c r="DY336" i="489" s="1"/>
  <c r="DO253" i="489"/>
  <c r="DO334" i="489" s="1"/>
  <c r="AB223" i="489"/>
  <c r="AB333" i="489" s="1"/>
  <c r="Z193" i="489"/>
  <c r="Z332" i="489" s="1"/>
  <c r="DY317" i="489"/>
  <c r="BE317" i="489"/>
  <c r="AB317" i="489"/>
  <c r="AB103" i="489"/>
  <c r="AB329" i="489" s="1"/>
  <c r="CI317" i="489"/>
  <c r="BK73" i="489"/>
  <c r="BK328" i="489" s="1"/>
  <c r="BJ223" i="489"/>
  <c r="BJ333" i="489" s="1"/>
  <c r="DX193" i="489"/>
  <c r="CP223" i="489"/>
  <c r="CP333" i="489" s="1"/>
  <c r="N193" i="489"/>
  <c r="N332" i="489" s="1"/>
  <c r="EE163" i="489"/>
  <c r="EE331" i="489" s="1"/>
  <c r="DL133" i="489"/>
  <c r="DL330" i="489" s="1"/>
  <c r="N313" i="489"/>
  <c r="N336" i="489" s="1"/>
  <c r="M163" i="489"/>
  <c r="M331" i="489" s="1"/>
  <c r="BB133" i="489"/>
  <c r="BB330" i="489" s="1"/>
  <c r="BW317" i="489"/>
  <c r="EM223" i="489"/>
  <c r="EM333" i="489" s="1"/>
  <c r="AM193" i="489"/>
  <c r="AM332" i="489" s="1"/>
  <c r="EK163" i="489"/>
  <c r="EK331" i="489" s="1"/>
  <c r="AR133" i="489"/>
  <c r="AR330" i="489" s="1"/>
  <c r="EF103" i="489"/>
  <c r="EF329" i="489" s="1"/>
  <c r="EU317" i="489"/>
  <c r="DO313" i="489"/>
  <c r="DO336" i="489" s="1"/>
  <c r="BL73" i="489"/>
  <c r="BL328" i="489" s="1"/>
  <c r="EO317" i="489"/>
  <c r="EP223" i="489"/>
  <c r="EP333" i="489" s="1"/>
  <c r="EA223" i="489"/>
  <c r="EA333" i="489" s="1"/>
  <c r="DH193" i="489"/>
  <c r="DH332" i="489" s="1"/>
  <c r="CU163" i="489"/>
  <c r="DY163" i="489"/>
  <c r="DY331" i="489" s="1"/>
  <c r="CC317" i="489"/>
  <c r="BZ103" i="489"/>
  <c r="BZ329" i="489" s="1"/>
  <c r="DT103" i="489"/>
  <c r="DT329" i="489" s="1"/>
  <c r="DB317" i="489"/>
  <c r="CI163" i="489"/>
  <c r="CI331" i="489" s="1"/>
  <c r="EM317" i="489"/>
  <c r="AM283" i="489"/>
  <c r="AM335" i="489" s="1"/>
  <c r="BN283" i="489"/>
  <c r="BN335" i="489" s="1"/>
  <c r="DS316" i="489"/>
  <c r="DG316" i="489"/>
  <c r="EQ316" i="489"/>
  <c r="ER316" i="489"/>
  <c r="CJ316" i="489"/>
  <c r="DB316" i="489"/>
  <c r="EI316" i="489"/>
  <c r="BO316" i="489"/>
  <c r="DN316" i="489"/>
  <c r="ET103" i="489"/>
  <c r="ET329" i="489" s="1"/>
  <c r="EU316" i="489"/>
  <c r="AO313" i="489"/>
  <c r="AO336" i="489" s="1"/>
  <c r="EC283" i="489"/>
  <c r="EC335" i="489" s="1"/>
  <c r="DK283" i="489"/>
  <c r="DK335" i="489" s="1"/>
  <c r="BV223" i="489"/>
  <c r="BV333" i="489" s="1"/>
  <c r="DP193" i="489"/>
  <c r="DP332" i="489" s="1"/>
  <c r="BM163" i="489"/>
  <c r="BM331" i="489" s="1"/>
  <c r="BQ103" i="489"/>
  <c r="BQ329" i="489" s="1"/>
  <c r="DX133" i="489"/>
  <c r="EH103" i="489"/>
  <c r="EH329" i="489" s="1"/>
  <c r="DH103" i="489"/>
  <c r="DH329" i="489" s="1"/>
  <c r="CN317" i="489"/>
  <c r="ET317" i="489"/>
  <c r="X317" i="489"/>
  <c r="DY133" i="489"/>
  <c r="DY330" i="489" s="1"/>
  <c r="CP317" i="489"/>
  <c r="AG317" i="489"/>
  <c r="CH316" i="489"/>
  <c r="BI316" i="489"/>
  <c r="BI43" i="489"/>
  <c r="BI327" i="489" s="1"/>
  <c r="CR316" i="489"/>
  <c r="CJ317" i="489"/>
  <c r="BG316" i="489"/>
  <c r="AA317" i="489"/>
  <c r="O73" i="489"/>
  <c r="O328" i="489" s="1"/>
  <c r="DM316" i="489"/>
  <c r="DM43" i="489"/>
  <c r="DM327" i="489" s="1"/>
  <c r="EL163" i="489"/>
  <c r="EL331" i="489" s="1"/>
  <c r="DV103" i="489"/>
  <c r="DV329" i="489" s="1"/>
  <c r="EH317" i="489"/>
  <c r="DI317" i="489"/>
  <c r="EF73" i="489"/>
  <c r="EF328" i="489" s="1"/>
  <c r="DO317" i="489"/>
  <c r="CD317" i="489"/>
  <c r="AW316" i="489"/>
  <c r="AW43" i="489"/>
  <c r="AW327" i="489" s="1"/>
  <c r="AB316" i="489"/>
  <c r="W43" i="489"/>
  <c r="W327" i="489" s="1"/>
  <c r="DB43" i="489"/>
  <c r="DB327" i="489" s="1"/>
  <c r="DA316" i="489"/>
  <c r="DA43" i="489"/>
  <c r="DA327" i="489" s="1"/>
  <c r="DK316" i="489"/>
  <c r="ES316" i="489"/>
  <c r="DI316" i="489"/>
  <c r="BU317" i="489"/>
  <c r="BU43" i="489"/>
  <c r="BU327" i="489" s="1"/>
  <c r="EQ283" i="489"/>
  <c r="EQ335" i="489" s="1"/>
  <c r="EU283" i="489"/>
  <c r="EU335" i="489" s="1"/>
  <c r="S193" i="489"/>
  <c r="S332" i="489" s="1"/>
  <c r="BV193" i="489"/>
  <c r="BV332" i="489" s="1"/>
  <c r="AY163" i="489"/>
  <c r="AY331" i="489" s="1"/>
  <c r="DZ163" i="489"/>
  <c r="DZ331" i="489" s="1"/>
  <c r="DJ103" i="489"/>
  <c r="DJ329" i="489" s="1"/>
  <c r="BP317" i="489"/>
  <c r="BY317" i="489"/>
  <c r="BV317" i="489"/>
  <c r="BP73" i="489"/>
  <c r="BP328" i="489" s="1"/>
  <c r="BF317" i="489"/>
  <c r="AV316" i="489"/>
  <c r="AV43" i="489"/>
  <c r="AV327" i="489" s="1"/>
  <c r="T316" i="489"/>
  <c r="EH43" i="489"/>
  <c r="EH327" i="489" s="1"/>
  <c r="BV43" i="489"/>
  <c r="BV327" i="489" s="1"/>
  <c r="BB316" i="489"/>
  <c r="BP316" i="489"/>
  <c r="DX316" i="489"/>
  <c r="AC313" i="489"/>
  <c r="AC336" i="489" s="1"/>
  <c r="DQ283" i="489"/>
  <c r="DQ335" i="489" s="1"/>
  <c r="EX313" i="489"/>
  <c r="EX336" i="489" s="1"/>
  <c r="EL313" i="489"/>
  <c r="EL336" i="489" s="1"/>
  <c r="EE283" i="489"/>
  <c r="EE335" i="489" s="1"/>
  <c r="BX223" i="489"/>
  <c r="BX333" i="489" s="1"/>
  <c r="BJ193" i="489"/>
  <c r="BJ332" i="489" s="1"/>
  <c r="DS193" i="489"/>
  <c r="DS332" i="489" s="1"/>
  <c r="DM163" i="489"/>
  <c r="DM331" i="489" s="1"/>
  <c r="EU133" i="489"/>
  <c r="EU330" i="489" s="1"/>
  <c r="CX103" i="489"/>
  <c r="CX329" i="489" s="1"/>
  <c r="BX103" i="489"/>
  <c r="BX329" i="489" s="1"/>
  <c r="BD317" i="489"/>
  <c r="BA103" i="489"/>
  <c r="BA329" i="489" s="1"/>
  <c r="DJ317" i="489"/>
  <c r="DH73" i="489"/>
  <c r="DH328" i="489" s="1"/>
  <c r="BJ317" i="489"/>
  <c r="CC133" i="489"/>
  <c r="CC330" i="489" s="1"/>
  <c r="CE317" i="489"/>
  <c r="BD73" i="489"/>
  <c r="BD328" i="489" s="1"/>
  <c r="EF316" i="489"/>
  <c r="EE316" i="489"/>
  <c r="AM316" i="489"/>
  <c r="CK316" i="489"/>
  <c r="EM43" i="489"/>
  <c r="EM327" i="489" s="1"/>
  <c r="EJ316" i="489"/>
  <c r="CP43" i="489"/>
  <c r="CP327" i="489" s="1"/>
  <c r="CC316" i="489"/>
  <c r="CC43" i="489"/>
  <c r="CC327" i="489" s="1"/>
  <c r="EH316" i="489"/>
  <c r="BV316" i="489"/>
  <c r="DZ313" i="489"/>
  <c r="DZ336" i="489" s="1"/>
  <c r="AI223" i="489"/>
  <c r="AI333" i="489" s="1"/>
  <c r="T193" i="489"/>
  <c r="T332" i="489" s="1"/>
  <c r="ER193" i="489"/>
  <c r="ER332" i="489" s="1"/>
  <c r="DG193" i="489"/>
  <c r="DG332" i="489" s="1"/>
  <c r="DA163" i="489"/>
  <c r="DA331" i="489" s="1"/>
  <c r="Q163" i="489"/>
  <c r="Q331" i="489" s="1"/>
  <c r="ER163" i="489"/>
  <c r="ER331" i="489" s="1"/>
  <c r="DB163" i="489"/>
  <c r="DB331" i="489" s="1"/>
  <c r="CL103" i="489"/>
  <c r="CL329" i="489" s="1"/>
  <c r="BL103" i="489"/>
  <c r="BL329" i="489" s="1"/>
  <c r="AR317" i="489"/>
  <c r="CX317" i="489"/>
  <c r="EN317" i="489"/>
  <c r="L43" i="489"/>
  <c r="L327" i="489" s="1"/>
  <c r="K316" i="489"/>
  <c r="K43" i="489"/>
  <c r="K327" i="489" s="1"/>
  <c r="EM316" i="489"/>
  <c r="CT43" i="489"/>
  <c r="CT327" i="489" s="1"/>
  <c r="CP316" i="489"/>
  <c r="EK317" i="489"/>
  <c r="BQ316" i="489"/>
  <c r="BQ43" i="489"/>
  <c r="BQ327" i="489" s="1"/>
  <c r="CX316" i="489"/>
  <c r="EG316" i="489"/>
  <c r="BL316" i="489"/>
  <c r="AR316" i="489"/>
  <c r="DL316" i="489"/>
  <c r="DY316" i="489"/>
  <c r="DY43" i="489"/>
  <c r="DY327" i="489" s="1"/>
  <c r="EF193" i="489"/>
  <c r="EF332" i="489" s="1"/>
  <c r="AZ103" i="489"/>
  <c r="AZ329" i="489" s="1"/>
  <c r="CL317" i="489"/>
  <c r="EB317" i="489"/>
  <c r="BG317" i="489"/>
  <c r="DT316" i="489"/>
  <c r="O316" i="489"/>
  <c r="EO316" i="489"/>
  <c r="EO43" i="489"/>
  <c r="EO327" i="489" s="1"/>
  <c r="Q316" i="489"/>
  <c r="BE316" i="489"/>
  <c r="BE43" i="489"/>
  <c r="BE327" i="489" s="1"/>
  <c r="BZ316" i="489"/>
  <c r="DB313" i="489"/>
  <c r="DB336" i="489" s="1"/>
  <c r="DT193" i="489"/>
  <c r="DT332" i="489" s="1"/>
  <c r="EQ163" i="489"/>
  <c r="EQ331" i="489" s="1"/>
  <c r="DT163" i="489"/>
  <c r="DT331" i="489" s="1"/>
  <c r="CD163" i="489"/>
  <c r="CD331" i="489" s="1"/>
  <c r="T317" i="489"/>
  <c r="ES317" i="489"/>
  <c r="BZ317" i="489"/>
  <c r="AY317" i="489"/>
  <c r="Z317" i="489"/>
  <c r="DP317" i="489"/>
  <c r="EC316" i="489"/>
  <c r="EC43" i="489"/>
  <c r="EC327" i="489" s="1"/>
  <c r="EA316" i="489"/>
  <c r="CD316" i="489"/>
  <c r="AS316" i="489"/>
  <c r="AS43" i="489"/>
  <c r="AS327" i="489" s="1"/>
  <c r="BC316" i="489"/>
  <c r="DJ316" i="489"/>
  <c r="BX316" i="489"/>
  <c r="BQ163" i="489"/>
  <c r="BQ331" i="489" s="1"/>
  <c r="CK317" i="489"/>
  <c r="N317" i="489"/>
  <c r="AI317" i="489"/>
  <c r="EX317" i="489"/>
  <c r="AY316" i="489"/>
  <c r="EQ317" i="489"/>
  <c r="DH316" i="489"/>
  <c r="DQ316" i="489"/>
  <c r="DQ43" i="489"/>
  <c r="DQ327" i="489" s="1"/>
  <c r="EP316" i="489"/>
  <c r="AG316" i="489"/>
  <c r="AG43" i="489"/>
  <c r="AG327" i="489" s="1"/>
  <c r="DW316" i="489"/>
  <c r="BN43" i="489"/>
  <c r="BN327" i="489" s="1"/>
  <c r="ED316" i="489"/>
  <c r="CK313" i="489"/>
  <c r="CK336" i="489" s="1"/>
  <c r="CD313" i="489"/>
  <c r="CD336" i="489" s="1"/>
  <c r="CM193" i="489"/>
  <c r="CM332" i="489" s="1"/>
  <c r="EP193" i="489"/>
  <c r="EP332" i="489" s="1"/>
  <c r="DS163" i="489"/>
  <c r="DS331" i="489" s="1"/>
  <c r="BE163" i="489"/>
  <c r="BE331" i="489" s="1"/>
  <c r="EU163" i="489"/>
  <c r="EU331" i="489" s="1"/>
  <c r="EJ317" i="489"/>
  <c r="Q317" i="489"/>
  <c r="EP317" i="489"/>
  <c r="W317" i="489"/>
  <c r="EL317" i="489"/>
  <c r="EE317" i="489"/>
  <c r="EN316" i="489"/>
  <c r="BH316" i="489"/>
  <c r="BH43" i="489"/>
  <c r="BH327" i="489" s="1"/>
  <c r="DO316" i="489"/>
  <c r="EL316" i="489"/>
  <c r="BF43" i="489"/>
  <c r="BF327" i="489" s="1"/>
  <c r="ET316" i="489"/>
  <c r="BA316" i="489"/>
  <c r="AZ316" i="489"/>
  <c r="CP313" i="489"/>
  <c r="CP336" i="489" s="1"/>
  <c r="ED223" i="489"/>
  <c r="ED333" i="489" s="1"/>
  <c r="BY313" i="489"/>
  <c r="BY336" i="489" s="1"/>
  <c r="DO223" i="489"/>
  <c r="DO333" i="489" s="1"/>
  <c r="ED193" i="489"/>
  <c r="ED332" i="489" s="1"/>
  <c r="DG163" i="489"/>
  <c r="DG331" i="489" s="1"/>
  <c r="AI163" i="489"/>
  <c r="AI331" i="489" s="1"/>
  <c r="AS163" i="489"/>
  <c r="AS331" i="489" s="1"/>
  <c r="DA103" i="489"/>
  <c r="DA329" i="489" s="1"/>
  <c r="ER103" i="489"/>
  <c r="ER329" i="489" s="1"/>
  <c r="DX317" i="489"/>
  <c r="EG317" i="489"/>
  <c r="AP317" i="489"/>
  <c r="ED317" i="489"/>
  <c r="DZ317" i="489"/>
  <c r="CU317" i="489"/>
  <c r="AA316" i="489"/>
  <c r="CU316" i="489"/>
  <c r="DP43" i="489"/>
  <c r="DP327" i="489" s="1"/>
  <c r="AI43" i="489"/>
  <c r="AI327" i="489" s="1"/>
  <c r="X43" i="489"/>
  <c r="X327" i="489" s="1"/>
  <c r="DZ43" i="489"/>
  <c r="DZ327" i="489" s="1"/>
  <c r="R43" i="489"/>
  <c r="R327" i="489" s="1"/>
  <c r="CY316" i="489"/>
  <c r="BJ43" i="489"/>
  <c r="BJ327" i="489" s="1"/>
  <c r="DV43" i="489"/>
  <c r="DV327" i="489" s="1"/>
  <c r="BD43" i="489"/>
  <c r="BD327" i="489" s="1"/>
  <c r="BY316" i="489"/>
  <c r="BF313" i="489"/>
  <c r="BF336" i="489" s="1"/>
  <c r="CT223" i="489"/>
  <c r="CT333" i="489" s="1"/>
  <c r="EN193" i="489"/>
  <c r="EN332" i="489" s="1"/>
  <c r="BI163" i="489"/>
  <c r="BI331" i="489" s="1"/>
  <c r="CO103" i="489"/>
  <c r="CO329" i="489" s="1"/>
  <c r="CW317" i="489"/>
  <c r="AD317" i="489"/>
  <c r="DR317" i="489"/>
  <c r="BH317" i="489"/>
  <c r="DG317" i="489"/>
  <c r="CG43" i="489"/>
  <c r="CG327" i="489" s="1"/>
  <c r="DP316" i="489"/>
  <c r="AI316" i="489"/>
  <c r="DZ316" i="489"/>
  <c r="EK316" i="489"/>
  <c r="EK43" i="489"/>
  <c r="EK327" i="489" s="1"/>
  <c r="BY43" i="489"/>
  <c r="BY327" i="489" s="1"/>
  <c r="BJ316" i="489"/>
  <c r="AD316" i="489"/>
  <c r="BD316" i="489"/>
  <c r="O337" i="489" l="1"/>
  <c r="F521" i="489"/>
  <c r="F529" i="489"/>
  <c r="F522" i="489"/>
  <c r="F524" i="489"/>
  <c r="F509" i="489"/>
  <c r="F531" i="489"/>
  <c r="F503" i="489"/>
  <c r="F512" i="489"/>
  <c r="F507" i="489"/>
  <c r="EQ337" i="489"/>
  <c r="DP337" i="489"/>
  <c r="DG337" i="489"/>
  <c r="BO337" i="489"/>
  <c r="BY337" i="489"/>
  <c r="EK337" i="489"/>
  <c r="ET337" i="489"/>
  <c r="BZ337" i="489"/>
  <c r="EO337" i="489"/>
  <c r="BX337" i="489"/>
  <c r="AG337" i="489"/>
  <c r="DQ337" i="489"/>
  <c r="CC337" i="489"/>
  <c r="BD337" i="489"/>
  <c r="CX337" i="489"/>
  <c r="DJ337" i="489"/>
  <c r="EM337" i="489"/>
  <c r="AY337" i="489"/>
  <c r="DZ337" i="489"/>
  <c r="DY337" i="489"/>
  <c r="DH337" i="489"/>
  <c r="ER337" i="489"/>
  <c r="BP337" i="489"/>
  <c r="AR337" i="489"/>
  <c r="BJ337" i="489"/>
  <c r="BH337" i="489"/>
  <c r="EH337" i="489"/>
  <c r="CJ337" i="489"/>
  <c r="BC337" i="489"/>
  <c r="CP337" i="489"/>
  <c r="EL337" i="489"/>
  <c r="AP319" i="489"/>
  <c r="AP320" i="489" s="1"/>
  <c r="AP336" i="489"/>
  <c r="AP337" i="489" s="1"/>
  <c r="CD337" i="489"/>
  <c r="EF337" i="489"/>
  <c r="DO337" i="489"/>
  <c r="BL337" i="489"/>
  <c r="AI337" i="489"/>
  <c r="DK337" i="489"/>
  <c r="DT337" i="489"/>
  <c r="AZ337" i="489"/>
  <c r="BG337" i="489"/>
  <c r="ED337" i="489"/>
  <c r="CK337" i="489"/>
  <c r="EU337" i="489"/>
  <c r="BV337" i="489"/>
  <c r="T337" i="489"/>
  <c r="Q337" i="489"/>
  <c r="EP337" i="489"/>
  <c r="ES319" i="489"/>
  <c r="ES320" i="489" s="1"/>
  <c r="ES331" i="489"/>
  <c r="ES337" i="489" s="1"/>
  <c r="DB337" i="489"/>
  <c r="BI337" i="489"/>
  <c r="AS337" i="489"/>
  <c r="BQ337" i="489"/>
  <c r="AD319" i="489"/>
  <c r="AD320" i="489" s="1"/>
  <c r="AD330" i="489"/>
  <c r="AD337" i="489" s="1"/>
  <c r="CU319" i="489"/>
  <c r="CU320" i="489" s="1"/>
  <c r="CU331" i="489"/>
  <c r="CU337" i="489" s="1"/>
  <c r="DI319" i="489"/>
  <c r="DI320" i="489" s="1"/>
  <c r="DI331" i="489"/>
  <c r="DI337" i="489" s="1"/>
  <c r="BE337" i="489"/>
  <c r="EG331" i="489"/>
  <c r="BW331" i="489"/>
  <c r="DA337" i="489"/>
  <c r="CJ319" i="489"/>
  <c r="CJ320" i="489" s="1"/>
  <c r="BO319" i="489"/>
  <c r="BO320" i="489" s="1"/>
  <c r="AZ319" i="489"/>
  <c r="AZ320" i="489" s="1"/>
  <c r="BG319" i="489"/>
  <c r="BG320" i="489" s="1"/>
  <c r="AG319" i="489"/>
  <c r="AG320" i="489" s="1"/>
  <c r="DJ319" i="489"/>
  <c r="DJ320" i="489" s="1"/>
  <c r="BH319" i="489"/>
  <c r="BH320" i="489" s="1"/>
  <c r="CX319" i="489"/>
  <c r="CX320" i="489" s="1"/>
  <c r="O319" i="489"/>
  <c r="O320" i="489" s="1"/>
  <c r="DK319" i="489"/>
  <c r="DK320" i="489" s="1"/>
  <c r="BZ319" i="489"/>
  <c r="BZ320" i="489" s="1"/>
  <c r="BP319" i="489"/>
  <c r="BP320" i="489" s="1"/>
  <c r="AR319" i="489"/>
  <c r="AR320" i="489" s="1"/>
  <c r="AY319" i="489"/>
  <c r="AY320" i="489" s="1"/>
  <c r="EK319" i="489"/>
  <c r="EK320" i="489" s="1"/>
  <c r="CK319" i="489"/>
  <c r="CK320" i="489" s="1"/>
  <c r="Q319" i="489"/>
  <c r="Q320" i="489" s="1"/>
  <c r="EO319" i="489"/>
  <c r="EO320" i="489" s="1"/>
  <c r="BC319" i="489"/>
  <c r="BC320" i="489" s="1"/>
  <c r="BL319" i="489"/>
  <c r="BL320" i="489" s="1"/>
  <c r="T319" i="489"/>
  <c r="T320" i="489" s="1"/>
  <c r="CC319" i="489"/>
  <c r="CC320" i="489" s="1"/>
  <c r="DO319" i="489"/>
  <c r="DO320" i="489" s="1"/>
  <c r="EU319" i="489"/>
  <c r="EU320" i="489" s="1"/>
  <c r="EP319" i="489"/>
  <c r="EP320" i="489" s="1"/>
  <c r="DX319" i="489"/>
  <c r="DX320" i="489" s="1"/>
  <c r="BD319" i="489"/>
  <c r="BD320" i="489" s="1"/>
  <c r="BY319" i="489"/>
  <c r="BY320" i="489" s="1"/>
  <c r="ET319" i="489"/>
  <c r="ET320" i="489" s="1"/>
  <c r="EL319" i="489"/>
  <c r="EL320" i="489" s="1"/>
  <c r="EM319" i="489"/>
  <c r="EM320" i="489" s="1"/>
  <c r="DQ319" i="489"/>
  <c r="DQ320" i="489" s="1"/>
  <c r="DY319" i="489"/>
  <c r="DY320" i="489" s="1"/>
  <c r="CD319" i="489"/>
  <c r="CD320" i="489" s="1"/>
  <c r="DZ319" i="489"/>
  <c r="DZ320" i="489" s="1"/>
  <c r="EH319" i="489"/>
  <c r="EH320" i="489" s="1"/>
  <c r="DH319" i="489"/>
  <c r="DH320" i="489" s="1"/>
  <c r="EQ319" i="489"/>
  <c r="EQ320" i="489" s="1"/>
  <c r="ER319" i="489"/>
  <c r="ER320" i="489" s="1"/>
  <c r="DG319" i="489"/>
  <c r="DG320" i="489" s="1"/>
  <c r="DP319" i="489"/>
  <c r="DP320" i="489" s="1"/>
  <c r="DT319" i="489"/>
  <c r="DT320" i="489" s="1"/>
  <c r="EF319" i="489"/>
  <c r="EF320" i="489" s="1"/>
  <c r="BX319" i="489"/>
  <c r="BX320" i="489" s="1"/>
  <c r="BV319" i="489"/>
  <c r="BV320" i="489" s="1"/>
  <c r="ED319" i="489"/>
  <c r="ED320" i="489" s="1"/>
  <c r="AS319" i="489"/>
  <c r="AS320" i="489" s="1"/>
  <c r="CP319" i="489"/>
  <c r="CP320" i="489" s="1"/>
  <c r="BJ319" i="489"/>
  <c r="BJ320" i="489" s="1"/>
  <c r="BI319" i="489"/>
  <c r="BI320" i="489" s="1"/>
  <c r="BQ319" i="489"/>
  <c r="BQ320" i="489" s="1"/>
  <c r="AI319" i="489"/>
  <c r="AI320" i="489" s="1"/>
  <c r="DA319" i="489"/>
  <c r="DA320" i="489" s="1"/>
  <c r="BE319" i="489"/>
  <c r="BE320" i="489" s="1"/>
  <c r="DB319" i="489"/>
  <c r="DB320" i="489" s="1"/>
  <c r="G512" i="489" l="1"/>
  <c r="G507" i="489"/>
  <c r="G503" i="489"/>
  <c r="G509" i="489"/>
  <c r="G521" i="489"/>
  <c r="G524" i="489"/>
  <c r="G522" i="489"/>
  <c r="G531" i="489"/>
  <c r="G529" i="489"/>
  <c r="F535" i="489" l="1"/>
  <c r="G535" i="489" l="1"/>
  <c r="M219" i="147"/>
  <c r="E19" i="469"/>
  <c r="M179" i="489" l="1"/>
  <c r="M59" i="489"/>
  <c r="M997" i="489"/>
  <c r="M1004" i="489" s="1"/>
  <c r="M36" i="489"/>
  <c r="CB199" i="147"/>
  <c r="AU199" i="147"/>
  <c r="AK199" i="147"/>
  <c r="J199" i="147"/>
  <c r="M1126" i="489" l="1"/>
  <c r="M1134" i="489" s="1"/>
  <c r="M176" i="489"/>
  <c r="M1137" i="489"/>
  <c r="M1144" i="489" s="1"/>
  <c r="M186" i="489"/>
  <c r="M43" i="489"/>
  <c r="M327" i="489" s="1"/>
  <c r="M1014" i="489"/>
  <c r="M1022" i="489" s="1"/>
  <c r="M1025" i="489"/>
  <c r="M1032" i="489" s="1"/>
  <c r="M1053" i="489"/>
  <c r="M1060" i="489" s="1"/>
  <c r="M1067" i="489" s="1"/>
  <c r="M1165" i="489"/>
  <c r="M1172" i="489" s="1"/>
  <c r="M1179" i="489" s="1"/>
  <c r="AU1013" i="489"/>
  <c r="AU1022" i="489" s="1"/>
  <c r="AU56" i="489"/>
  <c r="J1013" i="489"/>
  <c r="J1022" i="489" s="1"/>
  <c r="J56" i="489"/>
  <c r="M1193" i="489"/>
  <c r="M1200" i="489" s="1"/>
  <c r="M1207" i="489" s="1"/>
  <c r="M246" i="489"/>
  <c r="M253" i="489" s="1"/>
  <c r="M334" i="489" s="1"/>
  <c r="M1011" i="489"/>
  <c r="F538" i="489"/>
  <c r="EY199" i="147"/>
  <c r="AK86" i="489"/>
  <c r="M56" i="489"/>
  <c r="M321" i="489" s="1"/>
  <c r="M66" i="489"/>
  <c r="M96" i="489"/>
  <c r="M103" i="489" s="1"/>
  <c r="M329" i="489" s="1"/>
  <c r="M216" i="489"/>
  <c r="M223" i="489" s="1"/>
  <c r="M333" i="489" s="1"/>
  <c r="M193" i="489" l="1"/>
  <c r="M332" i="489" s="1"/>
  <c r="M1151" i="489"/>
  <c r="M322" i="489"/>
  <c r="M1264" i="489"/>
  <c r="M1039" i="489"/>
  <c r="AK1041" i="489"/>
  <c r="AK1050" i="489" s="1"/>
  <c r="C505" i="489"/>
  <c r="M1265" i="489"/>
  <c r="J66" i="489"/>
  <c r="J1025" i="489"/>
  <c r="J1032" i="489" s="1"/>
  <c r="J1039" i="489" s="1"/>
  <c r="CB1013" i="489"/>
  <c r="AK1013" i="489"/>
  <c r="AK1022" i="489" s="1"/>
  <c r="AK56" i="489"/>
  <c r="AK1025" i="489"/>
  <c r="CB1025" i="489"/>
  <c r="AU1025" i="489"/>
  <c r="G538" i="489"/>
  <c r="M317" i="489"/>
  <c r="M73" i="489"/>
  <c r="M316" i="489"/>
  <c r="J73" i="489" l="1"/>
  <c r="J328" i="489" s="1"/>
  <c r="M1267" i="489"/>
  <c r="F505" i="489"/>
  <c r="M319" i="489"/>
  <c r="M320" i="489" s="1"/>
  <c r="M328" i="489"/>
  <c r="M337" i="489" s="1"/>
  <c r="F540" i="489"/>
  <c r="G505" i="489" l="1"/>
  <c r="G540" i="489"/>
  <c r="F541" i="489"/>
  <c r="CF210" i="147"/>
  <c r="AU210" i="147"/>
  <c r="AL210" i="147"/>
  <c r="L210" i="147"/>
  <c r="B210" i="147"/>
  <c r="C32" i="482"/>
  <c r="J27" i="482"/>
  <c r="H27" i="482"/>
  <c r="J26" i="482"/>
  <c r="I26" i="482"/>
  <c r="H26" i="482"/>
  <c r="G26" i="482"/>
  <c r="J25" i="482"/>
  <c r="H25" i="482"/>
  <c r="J24" i="482"/>
  <c r="I24" i="482"/>
  <c r="H24" i="482"/>
  <c r="G24" i="482"/>
  <c r="E24" i="482"/>
  <c r="F24" i="482" s="1"/>
  <c r="J23" i="482"/>
  <c r="I23" i="482"/>
  <c r="H23" i="482"/>
  <c r="G23" i="482"/>
  <c r="E23" i="482"/>
  <c r="F23" i="482" s="1"/>
  <c r="J22" i="482"/>
  <c r="I22" i="482"/>
  <c r="H22" i="482"/>
  <c r="G22" i="482"/>
  <c r="E22" i="482"/>
  <c r="F22" i="482" s="1"/>
  <c r="J21" i="482"/>
  <c r="I21" i="482"/>
  <c r="H21" i="482"/>
  <c r="G21" i="482"/>
  <c r="E21" i="482"/>
  <c r="F21" i="482" s="1"/>
  <c r="J20" i="482"/>
  <c r="I20" i="482"/>
  <c r="H20" i="482"/>
  <c r="G20" i="482"/>
  <c r="E20" i="482"/>
  <c r="F20" i="482" s="1"/>
  <c r="J19" i="482"/>
  <c r="I19" i="482"/>
  <c r="H19" i="482"/>
  <c r="G19" i="482"/>
  <c r="E19" i="482"/>
  <c r="F19" i="482" s="1"/>
  <c r="C199" i="147"/>
  <c r="B199" i="147"/>
  <c r="C39" i="481"/>
  <c r="J34" i="481"/>
  <c r="H34" i="481"/>
  <c r="J33" i="481"/>
  <c r="H33" i="481"/>
  <c r="J32" i="481"/>
  <c r="H32" i="481"/>
  <c r="J31" i="481"/>
  <c r="I31" i="481"/>
  <c r="H31" i="481"/>
  <c r="G31" i="481"/>
  <c r="E31" i="481"/>
  <c r="F31" i="481" s="1"/>
  <c r="J30" i="481"/>
  <c r="I30" i="481"/>
  <c r="H30" i="481"/>
  <c r="G30" i="481"/>
  <c r="E30" i="481"/>
  <c r="F30" i="481" s="1"/>
  <c r="J29" i="481"/>
  <c r="I29" i="481"/>
  <c r="H29" i="481"/>
  <c r="G29" i="481"/>
  <c r="E29" i="481"/>
  <c r="F29" i="481" s="1"/>
  <c r="J27" i="481"/>
  <c r="I27" i="481"/>
  <c r="H27" i="481"/>
  <c r="G27" i="481"/>
  <c r="E27" i="481"/>
  <c r="F27" i="481" s="1"/>
  <c r="J25" i="481"/>
  <c r="I25" i="481"/>
  <c r="H25" i="481"/>
  <c r="G25" i="481"/>
  <c r="E25" i="481"/>
  <c r="F25" i="481" s="1"/>
  <c r="J24" i="481"/>
  <c r="I24" i="481"/>
  <c r="H24" i="481"/>
  <c r="G24" i="481"/>
  <c r="E24" i="481"/>
  <c r="F24" i="481" s="1"/>
  <c r="J23" i="481"/>
  <c r="I23" i="481"/>
  <c r="H23" i="481"/>
  <c r="G23" i="481"/>
  <c r="E23" i="481"/>
  <c r="F23" i="481" s="1"/>
  <c r="J20" i="481"/>
  <c r="I20" i="481"/>
  <c r="H20" i="481"/>
  <c r="G20" i="481"/>
  <c r="E20" i="481"/>
  <c r="F20" i="481" s="1"/>
  <c r="J19" i="481"/>
  <c r="I19" i="481"/>
  <c r="H19" i="481"/>
  <c r="G19" i="481"/>
  <c r="E19" i="481"/>
  <c r="F19" i="481" s="1"/>
  <c r="B365" i="147"/>
  <c r="Y365" i="147"/>
  <c r="L1210" i="489" l="1"/>
  <c r="AL1210" i="489"/>
  <c r="Y1170" i="489"/>
  <c r="B735" i="147"/>
  <c r="L1249" i="489"/>
  <c r="L1256" i="489" s="1"/>
  <c r="L1263" i="489" s="1"/>
  <c r="B580" i="147"/>
  <c r="L1053" i="489"/>
  <c r="L1060" i="489" s="1"/>
  <c r="EY365" i="147"/>
  <c r="B569" i="147"/>
  <c r="AL1053" i="489"/>
  <c r="E199" i="147"/>
  <c r="G199" i="147"/>
  <c r="D199" i="147"/>
  <c r="F199" i="147"/>
  <c r="G541" i="489"/>
  <c r="EY210" i="147"/>
  <c r="F25" i="482"/>
  <c r="C147" i="147"/>
  <c r="B147" i="147"/>
  <c r="C26" i="480"/>
  <c r="J22" i="480"/>
  <c r="H22" i="480"/>
  <c r="E21" i="480"/>
  <c r="C21" i="480"/>
  <c r="C20" i="480"/>
  <c r="J19" i="480"/>
  <c r="I19" i="480"/>
  <c r="H19" i="480"/>
  <c r="G19" i="480"/>
  <c r="E19" i="480"/>
  <c r="F19" i="480" s="1"/>
  <c r="L266" i="489" l="1"/>
  <c r="L1211" i="489"/>
  <c r="L1218" i="489" s="1"/>
  <c r="AU1211" i="489"/>
  <c r="CF1211" i="489"/>
  <c r="AL1211" i="489"/>
  <c r="M19" i="480"/>
  <c r="G21" i="480"/>
  <c r="L21" i="480"/>
  <c r="I20" i="480"/>
  <c r="L20" i="480"/>
  <c r="CG147" i="147"/>
  <c r="L19" i="480"/>
  <c r="B517" i="147"/>
  <c r="L96" i="489"/>
  <c r="E147" i="147"/>
  <c r="G147" i="147"/>
  <c r="D147" i="147"/>
  <c r="F147" i="147"/>
  <c r="L1067" i="489"/>
  <c r="L306" i="489"/>
  <c r="L313" i="489" s="1"/>
  <c r="L336" i="489" s="1"/>
  <c r="F21" i="480"/>
  <c r="M21" i="480" s="1"/>
  <c r="I21" i="480"/>
  <c r="DC147" i="147"/>
  <c r="D21" i="480"/>
  <c r="J21" i="480" s="1"/>
  <c r="D20" i="480"/>
  <c r="F20" i="480"/>
  <c r="M20" i="480" s="1"/>
  <c r="G20" i="480"/>
  <c r="EV193" i="147"/>
  <c r="DD193" i="147"/>
  <c r="CF193" i="147"/>
  <c r="U193" i="147"/>
  <c r="J193" i="147"/>
  <c r="C193" i="147"/>
  <c r="B193" i="147"/>
  <c r="C34" i="479"/>
  <c r="J29" i="479"/>
  <c r="H29" i="479"/>
  <c r="J28" i="479"/>
  <c r="I28" i="479"/>
  <c r="H28" i="479"/>
  <c r="G28" i="479"/>
  <c r="J27" i="479"/>
  <c r="H27" i="479"/>
  <c r="J26" i="479"/>
  <c r="I26" i="479"/>
  <c r="H26" i="479"/>
  <c r="G26" i="479"/>
  <c r="E26" i="479"/>
  <c r="F26" i="479" s="1"/>
  <c r="J25" i="479"/>
  <c r="H25" i="479"/>
  <c r="J23" i="479"/>
  <c r="I23" i="479"/>
  <c r="H23" i="479"/>
  <c r="G23" i="479"/>
  <c r="E23" i="479"/>
  <c r="F23" i="479" s="1"/>
  <c r="J22" i="479"/>
  <c r="I22" i="479"/>
  <c r="H22" i="479"/>
  <c r="G22" i="479"/>
  <c r="E22" i="479"/>
  <c r="F22" i="479" s="1"/>
  <c r="J21" i="479"/>
  <c r="I21" i="479"/>
  <c r="H21" i="479"/>
  <c r="G21" i="479"/>
  <c r="E21" i="479"/>
  <c r="F21" i="479" s="1"/>
  <c r="J20" i="479"/>
  <c r="I20" i="479"/>
  <c r="H20" i="479"/>
  <c r="G20" i="479"/>
  <c r="E20" i="479"/>
  <c r="F20" i="479" s="1"/>
  <c r="J19" i="479"/>
  <c r="I19" i="479"/>
  <c r="H19" i="479"/>
  <c r="G19" i="479"/>
  <c r="E19" i="479"/>
  <c r="F19" i="479" s="1"/>
  <c r="CS328" i="147"/>
  <c r="DC328" i="147"/>
  <c r="CZ328" i="147"/>
  <c r="DF328" i="147"/>
  <c r="AT328" i="147"/>
  <c r="AK328" i="147"/>
  <c r="AQ328" i="147"/>
  <c r="BS328" i="147"/>
  <c r="V328" i="147"/>
  <c r="C328" i="147"/>
  <c r="B328" i="147"/>
  <c r="G28" i="478"/>
  <c r="H28" i="478"/>
  <c r="I28" i="478"/>
  <c r="J28" i="478"/>
  <c r="E28" i="478"/>
  <c r="F28" i="478" s="1"/>
  <c r="G21" i="478"/>
  <c r="H21" i="478"/>
  <c r="I21" i="478"/>
  <c r="J21" i="478"/>
  <c r="G22" i="478"/>
  <c r="H22" i="478"/>
  <c r="I22" i="478"/>
  <c r="J22" i="478"/>
  <c r="G23" i="478"/>
  <c r="H23" i="478"/>
  <c r="I23" i="478"/>
  <c r="J23" i="478"/>
  <c r="G24" i="478"/>
  <c r="H24" i="478"/>
  <c r="I24" i="478"/>
  <c r="J24" i="478"/>
  <c r="G25" i="478"/>
  <c r="H25" i="478"/>
  <c r="I25" i="478"/>
  <c r="J25" i="478"/>
  <c r="G26" i="478"/>
  <c r="H26" i="478"/>
  <c r="I26" i="478"/>
  <c r="J26" i="478"/>
  <c r="G27" i="478"/>
  <c r="H27" i="478"/>
  <c r="I27" i="478"/>
  <c r="J27" i="478"/>
  <c r="E26" i="478"/>
  <c r="F26" i="478" s="1"/>
  <c r="E25" i="478"/>
  <c r="F25" i="478" s="1"/>
  <c r="E24" i="478"/>
  <c r="F24" i="478" s="1"/>
  <c r="E23" i="478"/>
  <c r="F23" i="478" s="1"/>
  <c r="E22" i="478"/>
  <c r="F22" i="478" s="1"/>
  <c r="E21" i="478"/>
  <c r="F21" i="478" s="1"/>
  <c r="E20" i="478"/>
  <c r="F20" i="478" s="1"/>
  <c r="C33" i="478"/>
  <c r="J29" i="478"/>
  <c r="H29" i="478"/>
  <c r="E27" i="478"/>
  <c r="F27" i="478" s="1"/>
  <c r="J20" i="478"/>
  <c r="I20" i="478"/>
  <c r="H20" i="478"/>
  <c r="G20" i="478"/>
  <c r="J19" i="478"/>
  <c r="I19" i="478"/>
  <c r="H19" i="478"/>
  <c r="G19" i="478"/>
  <c r="F19" i="478"/>
  <c r="CG1111" i="489" l="1"/>
  <c r="DC1111" i="489"/>
  <c r="DC1110" i="489"/>
  <c r="B698" i="147"/>
  <c r="L103" i="489"/>
  <c r="L329" i="489" s="1"/>
  <c r="M22" i="480"/>
  <c r="B563" i="147"/>
  <c r="U563" i="147"/>
  <c r="L22" i="480"/>
  <c r="CG1110" i="489"/>
  <c r="G193" i="147"/>
  <c r="D193" i="147"/>
  <c r="F193" i="147"/>
  <c r="E193" i="147"/>
  <c r="CG1238" i="489"/>
  <c r="CG1246" i="489" s="1"/>
  <c r="CG296" i="489"/>
  <c r="EY147" i="147"/>
  <c r="F544" i="489"/>
  <c r="EY328" i="147"/>
  <c r="EY193" i="147"/>
  <c r="CG156" i="489"/>
  <c r="H21" i="480"/>
  <c r="F22" i="480"/>
  <c r="F23" i="480" s="1"/>
  <c r="F27" i="480" s="1"/>
  <c r="I147" i="147" s="1"/>
  <c r="J20" i="480"/>
  <c r="H20" i="480"/>
  <c r="F29" i="478"/>
  <c r="F30" i="478" s="1"/>
  <c r="F34" i="478" s="1"/>
  <c r="I328" i="147" s="1"/>
  <c r="CG1116" i="489" l="1"/>
  <c r="DF1138" i="489"/>
  <c r="CS1110" i="489"/>
  <c r="DF1110" i="489"/>
  <c r="AT1110" i="489"/>
  <c r="BS999" i="489"/>
  <c r="AT999" i="489"/>
  <c r="BS1110" i="489"/>
  <c r="BS1116" i="489" s="1"/>
  <c r="AT1138" i="489"/>
  <c r="AT1144" i="489" s="1"/>
  <c r="AT1151" i="489" s="1"/>
  <c r="AQ1138" i="489"/>
  <c r="BS1138" i="489"/>
  <c r="BS1144" i="489" s="1"/>
  <c r="AQ1110" i="489"/>
  <c r="DC999" i="489"/>
  <c r="AQ999" i="489"/>
  <c r="AK999" i="489"/>
  <c r="AK1138" i="489"/>
  <c r="V1110" i="489"/>
  <c r="AK1110" i="489"/>
  <c r="V999" i="489"/>
  <c r="CS999" i="489"/>
  <c r="DF999" i="489"/>
  <c r="DF1004" i="489" s="1"/>
  <c r="DF1011" i="489" s="1"/>
  <c r="CS1138" i="489"/>
  <c r="J1137" i="489"/>
  <c r="J1144" i="489" s="1"/>
  <c r="J1193" i="489"/>
  <c r="J1200" i="489" s="1"/>
  <c r="J1207" i="489" s="1"/>
  <c r="G544" i="489"/>
  <c r="F545" i="489"/>
  <c r="J246" i="489"/>
  <c r="J253" i="489" s="1"/>
  <c r="J334" i="489" s="1"/>
  <c r="AT186" i="489"/>
  <c r="AT193" i="489" s="1"/>
  <c r="AT332" i="489" s="1"/>
  <c r="DF36" i="489"/>
  <c r="BS156" i="489"/>
  <c r="BS186" i="489"/>
  <c r="J186" i="489"/>
  <c r="EW337" i="147"/>
  <c r="B337" i="147"/>
  <c r="B707" i="147" s="1"/>
  <c r="DF43" i="489" l="1"/>
  <c r="DF327" i="489" s="1"/>
  <c r="EY337" i="147"/>
  <c r="G545" i="489"/>
  <c r="G154" i="93"/>
  <c r="E154" i="93"/>
  <c r="F154" i="93"/>
  <c r="D70" i="93"/>
  <c r="BM264" i="147"/>
  <c r="C264" i="147"/>
  <c r="B264" i="147"/>
  <c r="C24" i="475"/>
  <c r="J20" i="475"/>
  <c r="H20" i="475"/>
  <c r="J19" i="475"/>
  <c r="I19" i="475"/>
  <c r="H19" i="475"/>
  <c r="G19" i="475"/>
  <c r="E19" i="475"/>
  <c r="F19" i="475" s="1"/>
  <c r="F20" i="475" s="1"/>
  <c r="F21" i="475" s="1"/>
  <c r="BM1215" i="489" l="1"/>
  <c r="B634" i="147"/>
  <c r="E264" i="147"/>
  <c r="G264" i="147"/>
  <c r="F264" i="147"/>
  <c r="D264" i="147"/>
  <c r="EY264" i="147"/>
  <c r="F547" i="489"/>
  <c r="F25" i="475"/>
  <c r="I264" i="147" s="1"/>
  <c r="DC327" i="147"/>
  <c r="CZ327" i="147"/>
  <c r="CF327" i="147"/>
  <c r="DF327" i="147"/>
  <c r="AK327" i="147"/>
  <c r="AT327" i="147"/>
  <c r="AQ327" i="147"/>
  <c r="S327" i="147"/>
  <c r="C327" i="147"/>
  <c r="B327" i="147"/>
  <c r="B119" i="489" s="1"/>
  <c r="B2" i="147"/>
  <c r="C119" i="489" l="1"/>
  <c r="S119" i="489"/>
  <c r="AK119" i="489"/>
  <c r="AQ119" i="489"/>
  <c r="DF119" i="489"/>
  <c r="CF119" i="489"/>
  <c r="CZ119" i="489"/>
  <c r="AT119" i="489"/>
  <c r="DC119" i="489"/>
  <c r="C192" i="93"/>
  <c r="C1160" i="489"/>
  <c r="BM1160" i="489"/>
  <c r="EY204" i="489"/>
  <c r="B192" i="93"/>
  <c r="B1160" i="489"/>
  <c r="BM1198" i="489"/>
  <c r="BM1200" i="489" s="1"/>
  <c r="BM246" i="489"/>
  <c r="BM1186" i="489"/>
  <c r="BM1190" i="489" s="1"/>
  <c r="C249" i="93"/>
  <c r="C1217" i="489"/>
  <c r="C258" i="93"/>
  <c r="C1226" i="489"/>
  <c r="B249" i="93"/>
  <c r="B1217" i="489"/>
  <c r="BM1217" i="489"/>
  <c r="EY265" i="489"/>
  <c r="BM1226" i="489"/>
  <c r="EY274" i="489"/>
  <c r="B258" i="93"/>
  <c r="B1226" i="489"/>
  <c r="BM266" i="489"/>
  <c r="BM1216" i="489"/>
  <c r="BM1225" i="489"/>
  <c r="BM276" i="489"/>
  <c r="BM1171" i="489"/>
  <c r="EY215" i="489"/>
  <c r="C203" i="93"/>
  <c r="C1171" i="489"/>
  <c r="B203" i="93"/>
  <c r="B1171" i="489"/>
  <c r="B113" i="93"/>
  <c r="B697" i="147"/>
  <c r="G327" i="147"/>
  <c r="E327" i="147"/>
  <c r="F327" i="147"/>
  <c r="D327" i="147"/>
  <c r="BM1212" i="489"/>
  <c r="BM1157" i="489"/>
  <c r="G547" i="489"/>
  <c r="F548" i="489"/>
  <c r="EY327" i="147"/>
  <c r="BM236" i="489"/>
  <c r="C35" i="474"/>
  <c r="J27" i="474"/>
  <c r="I27" i="474"/>
  <c r="H27" i="474"/>
  <c r="G27" i="474"/>
  <c r="E27" i="474"/>
  <c r="F27" i="474" s="1"/>
  <c r="J26" i="474"/>
  <c r="I26" i="474"/>
  <c r="H26" i="474"/>
  <c r="G26" i="474"/>
  <c r="E26" i="474"/>
  <c r="F26" i="474" s="1"/>
  <c r="J25" i="474"/>
  <c r="I25" i="474"/>
  <c r="H25" i="474"/>
  <c r="G25" i="474"/>
  <c r="E25" i="474"/>
  <c r="F25" i="474" s="1"/>
  <c r="J24" i="474"/>
  <c r="I24" i="474"/>
  <c r="H24" i="474"/>
  <c r="G24" i="474"/>
  <c r="E24" i="474"/>
  <c r="F24" i="474" s="1"/>
  <c r="J23" i="474"/>
  <c r="I23" i="474"/>
  <c r="H23" i="474"/>
  <c r="G23" i="474"/>
  <c r="E23" i="474"/>
  <c r="F23" i="474" s="1"/>
  <c r="J22" i="474"/>
  <c r="I22" i="474"/>
  <c r="H22" i="474"/>
  <c r="G22" i="474"/>
  <c r="E22" i="474"/>
  <c r="F22" i="474" s="1"/>
  <c r="J21" i="474"/>
  <c r="I21" i="474"/>
  <c r="H21" i="474"/>
  <c r="G21" i="474"/>
  <c r="E21" i="474"/>
  <c r="F21" i="474" s="1"/>
  <c r="J20" i="474"/>
  <c r="I20" i="474"/>
  <c r="H20" i="474"/>
  <c r="G20" i="474"/>
  <c r="F20" i="474"/>
  <c r="J19" i="474"/>
  <c r="I19" i="474"/>
  <c r="H19" i="474"/>
  <c r="G19" i="474"/>
  <c r="E19" i="474"/>
  <c r="F19" i="474" s="1"/>
  <c r="F11" i="473"/>
  <c r="F12" i="473"/>
  <c r="F13" i="473"/>
  <c r="F14" i="473"/>
  <c r="F15" i="473"/>
  <c r="F16" i="473"/>
  <c r="F17" i="473"/>
  <c r="F18" i="473"/>
  <c r="F19" i="473"/>
  <c r="F20" i="473"/>
  <c r="F21" i="473"/>
  <c r="F22" i="473"/>
  <c r="F10" i="473"/>
  <c r="D119" i="489" l="1"/>
  <c r="F119" i="489"/>
  <c r="E119" i="489"/>
  <c r="G119" i="489"/>
  <c r="BM253" i="489"/>
  <c r="BM334" i="489" s="1"/>
  <c r="BM1228" i="489"/>
  <c r="BM1207" i="489"/>
  <c r="G192" i="93"/>
  <c r="D192" i="93"/>
  <c r="D1160" i="489"/>
  <c r="F192" i="93"/>
  <c r="E192" i="93"/>
  <c r="BM283" i="489"/>
  <c r="BM335" i="489" s="1"/>
  <c r="BM1218" i="489"/>
  <c r="F249" i="93"/>
  <c r="F258" i="93"/>
  <c r="D249" i="93"/>
  <c r="D1217" i="489"/>
  <c r="D258" i="93"/>
  <c r="D1226" i="489"/>
  <c r="E249" i="93"/>
  <c r="E258" i="93"/>
  <c r="G249" i="93"/>
  <c r="G258" i="93"/>
  <c r="E203" i="93"/>
  <c r="F203" i="93"/>
  <c r="D203" i="93"/>
  <c r="D1171" i="489"/>
  <c r="G203" i="93"/>
  <c r="C113" i="93"/>
  <c r="S1069" i="489"/>
  <c r="S1078" i="489" s="1"/>
  <c r="S1264" i="489" s="1"/>
  <c r="G548" i="489"/>
  <c r="F549" i="489"/>
  <c r="S116" i="489"/>
  <c r="S321" i="489" s="1"/>
  <c r="F30" i="474"/>
  <c r="F32" i="474" s="1"/>
  <c r="F36" i="474" s="1"/>
  <c r="I327" i="147" s="1"/>
  <c r="DD157" i="147"/>
  <c r="DD197" i="489" s="1"/>
  <c r="CZ157" i="147"/>
  <c r="CZ197" i="489" s="1"/>
  <c r="CM157" i="147"/>
  <c r="CM197" i="489" s="1"/>
  <c r="CI157" i="147"/>
  <c r="CI197" i="489" s="1"/>
  <c r="BU157" i="147"/>
  <c r="BU197" i="489" s="1"/>
  <c r="AE157" i="147"/>
  <c r="AE197" i="489" s="1"/>
  <c r="Z157" i="147"/>
  <c r="Z197" i="489" s="1"/>
  <c r="Y157" i="147"/>
  <c r="Y197" i="489" s="1"/>
  <c r="X157" i="147"/>
  <c r="X197" i="489" s="1"/>
  <c r="V157" i="147"/>
  <c r="V197" i="489" s="1"/>
  <c r="C157" i="147"/>
  <c r="C197" i="489" s="1"/>
  <c r="B157" i="147"/>
  <c r="B197" i="489" s="1"/>
  <c r="C34" i="472"/>
  <c r="J30" i="472"/>
  <c r="H30" i="472"/>
  <c r="J29" i="472"/>
  <c r="I29" i="472"/>
  <c r="H29" i="472"/>
  <c r="G29" i="472"/>
  <c r="E29" i="472"/>
  <c r="F29" i="472" s="1"/>
  <c r="J28" i="472"/>
  <c r="H28" i="472"/>
  <c r="J27" i="472"/>
  <c r="I27" i="472"/>
  <c r="H27" i="472"/>
  <c r="G27" i="472"/>
  <c r="E27" i="472"/>
  <c r="F27" i="472" s="1"/>
  <c r="J26" i="472"/>
  <c r="I26" i="472"/>
  <c r="H26" i="472"/>
  <c r="G26" i="472"/>
  <c r="E26" i="472"/>
  <c r="F26" i="472" s="1"/>
  <c r="J25" i="472"/>
  <c r="I25" i="472"/>
  <c r="H25" i="472"/>
  <c r="G25" i="472"/>
  <c r="E25" i="472"/>
  <c r="F25" i="472" s="1"/>
  <c r="J24" i="472"/>
  <c r="I24" i="472"/>
  <c r="H24" i="472"/>
  <c r="G24" i="472"/>
  <c r="E24" i="472"/>
  <c r="F24" i="472" s="1"/>
  <c r="J23" i="472"/>
  <c r="I23" i="472"/>
  <c r="H23" i="472"/>
  <c r="G23" i="472"/>
  <c r="E23" i="472"/>
  <c r="F23" i="472" s="1"/>
  <c r="J22" i="472"/>
  <c r="I22" i="472"/>
  <c r="H22" i="472"/>
  <c r="G22" i="472"/>
  <c r="J21" i="472"/>
  <c r="I21" i="472"/>
  <c r="H21" i="472"/>
  <c r="G21" i="472"/>
  <c r="E21" i="472"/>
  <c r="F21" i="472" s="1"/>
  <c r="J20" i="472"/>
  <c r="I20" i="472"/>
  <c r="H20" i="472"/>
  <c r="G20" i="472"/>
  <c r="E20" i="472"/>
  <c r="F20" i="472" s="1"/>
  <c r="J19" i="472"/>
  <c r="I19" i="472"/>
  <c r="H19" i="472"/>
  <c r="G19" i="472"/>
  <c r="E19" i="472"/>
  <c r="F19" i="472" s="1"/>
  <c r="I119" i="489" l="1"/>
  <c r="BM1235" i="489"/>
  <c r="B527" i="147"/>
  <c r="D113" i="93"/>
  <c r="G113" i="93"/>
  <c r="E113" i="93"/>
  <c r="F113" i="93"/>
  <c r="C511" i="489"/>
  <c r="E157" i="147"/>
  <c r="E197" i="489" s="1"/>
  <c r="G157" i="147"/>
  <c r="G197" i="489" s="1"/>
  <c r="F157" i="147"/>
  <c r="F197" i="489" s="1"/>
  <c r="D157" i="147"/>
  <c r="D197" i="489" s="1"/>
  <c r="CM86" i="489"/>
  <c r="DD86" i="489"/>
  <c r="X86" i="489"/>
  <c r="Z86" i="489"/>
  <c r="Z103" i="489" s="1"/>
  <c r="CI86" i="489"/>
  <c r="CI103" i="489" s="1"/>
  <c r="CI329" i="489" s="1"/>
  <c r="BU86" i="489"/>
  <c r="BU103" i="489" s="1"/>
  <c r="BU329" i="489" s="1"/>
  <c r="G549" i="489"/>
  <c r="F550" i="489"/>
  <c r="EY157" i="147"/>
  <c r="S316" i="489"/>
  <c r="B364" i="147"/>
  <c r="B363" i="147"/>
  <c r="B733" i="147" s="1"/>
  <c r="B362" i="147"/>
  <c r="B732" i="147" s="1"/>
  <c r="B361" i="147"/>
  <c r="B731" i="147" s="1"/>
  <c r="B360" i="147"/>
  <c r="B730" i="147" s="1"/>
  <c r="B359" i="147"/>
  <c r="B729" i="147" s="1"/>
  <c r="B358" i="147"/>
  <c r="B728" i="147" s="1"/>
  <c r="B357" i="147"/>
  <c r="B356" i="147"/>
  <c r="B726" i="147" s="1"/>
  <c r="B355" i="147"/>
  <c r="B725" i="147" s="1"/>
  <c r="B354" i="147"/>
  <c r="B353" i="147"/>
  <c r="B723" i="147" s="1"/>
  <c r="B352" i="147"/>
  <c r="B722" i="147" s="1"/>
  <c r="B351" i="147"/>
  <c r="B721" i="147" s="1"/>
  <c r="B350" i="147"/>
  <c r="B720" i="147" s="1"/>
  <c r="B349" i="147"/>
  <c r="B719" i="147" s="1"/>
  <c r="B348" i="147"/>
  <c r="B718" i="147" s="1"/>
  <c r="B347" i="147"/>
  <c r="B717" i="147" s="1"/>
  <c r="B346" i="147"/>
  <c r="B716" i="147" s="1"/>
  <c r="B345" i="147"/>
  <c r="B715" i="147" s="1"/>
  <c r="B344" i="147"/>
  <c r="B714" i="147" s="1"/>
  <c r="B343" i="147"/>
  <c r="B342" i="147"/>
  <c r="B341" i="147"/>
  <c r="B340" i="147"/>
  <c r="B710" i="147" s="1"/>
  <c r="B339" i="147"/>
  <c r="B709" i="147" s="1"/>
  <c r="B338" i="147"/>
  <c r="I113" i="93" l="1"/>
  <c r="B184" i="489"/>
  <c r="B124" i="489"/>
  <c r="B64" i="489"/>
  <c r="B713" i="147"/>
  <c r="B111" i="489"/>
  <c r="B83" i="489"/>
  <c r="B203" i="489"/>
  <c r="B23" i="489"/>
  <c r="B53" i="489"/>
  <c r="B173" i="489"/>
  <c r="B727" i="147"/>
  <c r="B712" i="147"/>
  <c r="B724" i="147"/>
  <c r="B711" i="147"/>
  <c r="X103" i="489"/>
  <c r="X329" i="489" s="1"/>
  <c r="CM103" i="489"/>
  <c r="CM329" i="489" s="1"/>
  <c r="B708" i="147"/>
  <c r="B734" i="147"/>
  <c r="F511" i="489"/>
  <c r="Z1209" i="489"/>
  <c r="Z1218" i="489" s="1"/>
  <c r="Z1235" i="489" s="1"/>
  <c r="Z283" i="489"/>
  <c r="Z335" i="489" s="1"/>
  <c r="Y1209" i="489"/>
  <c r="BU1209" i="489"/>
  <c r="BU1218" i="489" s="1"/>
  <c r="BU1235" i="489" s="1"/>
  <c r="BU283" i="489"/>
  <c r="BU335" i="489" s="1"/>
  <c r="X1153" i="489"/>
  <c r="X1162" i="489" s="1"/>
  <c r="X206" i="489"/>
  <c r="X223" i="489" s="1"/>
  <c r="X333" i="489" s="1"/>
  <c r="X1209" i="489"/>
  <c r="X1218" i="489" s="1"/>
  <c r="X1235" i="489" s="1"/>
  <c r="X283" i="489"/>
  <c r="X335" i="489" s="1"/>
  <c r="CI1209" i="489"/>
  <c r="CI1218" i="489" s="1"/>
  <c r="CI1235" i="489" s="1"/>
  <c r="CI283" i="489"/>
  <c r="CI335" i="489" s="1"/>
  <c r="V1209" i="489"/>
  <c r="CM1153" i="489"/>
  <c r="CM1162" i="489" s="1"/>
  <c r="CM206" i="489"/>
  <c r="CM321" i="489" s="1"/>
  <c r="CM1209" i="489"/>
  <c r="CM1218" i="489" s="1"/>
  <c r="CM1235" i="489" s="1"/>
  <c r="CM283" i="489"/>
  <c r="CM335" i="489" s="1"/>
  <c r="Z329" i="489"/>
  <c r="B1034" i="489"/>
  <c r="B1117" i="489"/>
  <c r="B1062" i="489"/>
  <c r="B1174" i="489"/>
  <c r="B1089" i="489"/>
  <c r="B1033" i="489"/>
  <c r="B1090" i="489"/>
  <c r="B1146" i="489"/>
  <c r="G550" i="489"/>
  <c r="F551" i="489"/>
  <c r="DF196" i="147"/>
  <c r="DC196" i="147"/>
  <c r="CS196" i="147"/>
  <c r="BS196" i="147"/>
  <c r="Y196" i="147"/>
  <c r="DC326" i="147"/>
  <c r="DC137" i="489" s="1"/>
  <c r="CZ326" i="147"/>
  <c r="CZ137" i="489" s="1"/>
  <c r="U326" i="147"/>
  <c r="U137" i="489" s="1"/>
  <c r="V326" i="147"/>
  <c r="V137" i="489" s="1"/>
  <c r="CA326" i="147"/>
  <c r="CA137" i="489" s="1"/>
  <c r="CB326" i="147"/>
  <c r="CB137" i="489" s="1"/>
  <c r="C326" i="147"/>
  <c r="B326" i="147"/>
  <c r="B137" i="489" s="1"/>
  <c r="E25" i="471"/>
  <c r="F25" i="471" s="1"/>
  <c r="E24" i="471"/>
  <c r="F24" i="471" s="1"/>
  <c r="E22" i="471"/>
  <c r="F22" i="471" s="1"/>
  <c r="E21" i="471"/>
  <c r="F21" i="471" s="1"/>
  <c r="E20" i="471"/>
  <c r="F20" i="471" s="1"/>
  <c r="E19" i="471"/>
  <c r="F19" i="471" s="1"/>
  <c r="G20" i="471"/>
  <c r="H20" i="471"/>
  <c r="I20" i="471"/>
  <c r="J20" i="471"/>
  <c r="G21" i="471"/>
  <c r="H21" i="471"/>
  <c r="I21" i="471"/>
  <c r="J21" i="471"/>
  <c r="G22" i="471"/>
  <c r="H22" i="471"/>
  <c r="I22" i="471"/>
  <c r="J22" i="471"/>
  <c r="F23" i="471"/>
  <c r="G23" i="471"/>
  <c r="H23" i="471"/>
  <c r="I23" i="471"/>
  <c r="J23" i="471"/>
  <c r="G24" i="471"/>
  <c r="H24" i="471"/>
  <c r="I24" i="471"/>
  <c r="J24" i="471"/>
  <c r="G25" i="471"/>
  <c r="H25" i="471"/>
  <c r="I25" i="471"/>
  <c r="J25" i="471"/>
  <c r="C30" i="471"/>
  <c r="J26" i="471"/>
  <c r="H26" i="471"/>
  <c r="J19" i="471"/>
  <c r="I19" i="471"/>
  <c r="H19" i="471"/>
  <c r="G19" i="471"/>
  <c r="BR258" i="147"/>
  <c r="C258" i="147"/>
  <c r="B258" i="147"/>
  <c r="C24" i="470"/>
  <c r="J20" i="470"/>
  <c r="H20" i="470"/>
  <c r="J19" i="470"/>
  <c r="I19" i="470"/>
  <c r="H19" i="470"/>
  <c r="G19" i="470"/>
  <c r="E19" i="470"/>
  <c r="F19" i="470" s="1"/>
  <c r="F20" i="470" s="1"/>
  <c r="F21" i="470" s="1"/>
  <c r="C137" i="489" l="1"/>
  <c r="B82" i="489"/>
  <c r="B22" i="489"/>
  <c r="C82" i="489"/>
  <c r="C22" i="489"/>
  <c r="BR82" i="489"/>
  <c r="BR22" i="489"/>
  <c r="B628" i="147"/>
  <c r="CB1097" i="489"/>
  <c r="CA1097" i="489"/>
  <c r="U696" i="147"/>
  <c r="CA1098" i="489"/>
  <c r="B696" i="147"/>
  <c r="CB1098" i="489"/>
  <c r="G511" i="489"/>
  <c r="E258" i="147"/>
  <c r="G258" i="147"/>
  <c r="F258" i="147"/>
  <c r="D258" i="147"/>
  <c r="F326" i="147"/>
  <c r="D326" i="147"/>
  <c r="G326" i="147"/>
  <c r="E326" i="147"/>
  <c r="CB1125" i="489"/>
  <c r="CB1134" i="489" s="1"/>
  <c r="CM223" i="489"/>
  <c r="CM316" i="489"/>
  <c r="CM1264" i="489"/>
  <c r="CM1267" i="489" s="1"/>
  <c r="CM1179" i="489"/>
  <c r="X1179" i="489"/>
  <c r="B1006" i="489"/>
  <c r="G551" i="489"/>
  <c r="F552" i="489"/>
  <c r="B1005" i="489"/>
  <c r="EY258" i="147"/>
  <c r="EY326" i="147"/>
  <c r="F26" i="471"/>
  <c r="F27" i="471" s="1"/>
  <c r="F31" i="471" s="1"/>
  <c r="I326" i="147" s="1"/>
  <c r="I137" i="489" s="1"/>
  <c r="I129" i="93" s="1"/>
  <c r="F25" i="470"/>
  <c r="I258" i="147" s="1"/>
  <c r="E21" i="424"/>
  <c r="E27" i="411"/>
  <c r="E20" i="428"/>
  <c r="E21" i="427"/>
  <c r="EV219" i="147"/>
  <c r="DD219" i="147"/>
  <c r="CF219" i="147"/>
  <c r="U219" i="147"/>
  <c r="P219" i="147"/>
  <c r="C219" i="147"/>
  <c r="B219" i="147"/>
  <c r="C179" i="489" l="1"/>
  <c r="C59" i="489"/>
  <c r="E137" i="489"/>
  <c r="CF179" i="489"/>
  <c r="CF59" i="489"/>
  <c r="G137" i="489"/>
  <c r="D137" i="489"/>
  <c r="BR1046" i="489"/>
  <c r="BR1050" i="489" s="1"/>
  <c r="BR86" i="489"/>
  <c r="EV179" i="489"/>
  <c r="EV59" i="489"/>
  <c r="F137" i="489"/>
  <c r="DD179" i="489"/>
  <c r="DD59" i="489"/>
  <c r="D82" i="489"/>
  <c r="D22" i="489"/>
  <c r="U179" i="489"/>
  <c r="U59" i="489"/>
  <c r="F82" i="489"/>
  <c r="F22" i="489"/>
  <c r="P179" i="489"/>
  <c r="P59" i="489"/>
  <c r="G82" i="489"/>
  <c r="G22" i="489"/>
  <c r="E82" i="489"/>
  <c r="E22" i="489"/>
  <c r="I82" i="489"/>
  <c r="I78" i="93" s="1"/>
  <c r="I22" i="489"/>
  <c r="I22" i="93" s="1"/>
  <c r="B59" i="489"/>
  <c r="BR1142" i="489"/>
  <c r="BR1131" i="489"/>
  <c r="CB1106" i="489"/>
  <c r="B179" i="489"/>
  <c r="CA1106" i="489"/>
  <c r="CA1123" i="489" s="1"/>
  <c r="U1098" i="489"/>
  <c r="CB176" i="489"/>
  <c r="B589" i="147"/>
  <c r="U589" i="147"/>
  <c r="E219" i="147"/>
  <c r="G219" i="147"/>
  <c r="F219" i="147"/>
  <c r="D219" i="147"/>
  <c r="BR1074" i="489"/>
  <c r="CM333" i="489"/>
  <c r="CM337" i="489" s="1"/>
  <c r="CM319" i="489"/>
  <c r="CM320" i="489" s="1"/>
  <c r="G552" i="489"/>
  <c r="F553" i="489"/>
  <c r="EY219" i="147"/>
  <c r="CA146" i="489"/>
  <c r="CA163" i="489" s="1"/>
  <c r="CA331" i="489" s="1"/>
  <c r="CB146" i="489"/>
  <c r="CS56" i="489"/>
  <c r="C35" i="469"/>
  <c r="J30" i="469"/>
  <c r="H30" i="469"/>
  <c r="J28" i="469"/>
  <c r="I28" i="469"/>
  <c r="H28" i="469"/>
  <c r="G28" i="469"/>
  <c r="J27" i="469"/>
  <c r="I27" i="469"/>
  <c r="H27" i="469"/>
  <c r="G27" i="469"/>
  <c r="E27" i="469"/>
  <c r="F27" i="469" s="1"/>
  <c r="J26" i="469"/>
  <c r="I26" i="469"/>
  <c r="H26" i="469"/>
  <c r="G26" i="469"/>
  <c r="J24" i="469"/>
  <c r="I24" i="469"/>
  <c r="H24" i="469"/>
  <c r="G24" i="469"/>
  <c r="E24" i="469"/>
  <c r="F24" i="469" s="1"/>
  <c r="J23" i="469"/>
  <c r="I23" i="469"/>
  <c r="H23" i="469"/>
  <c r="G23" i="469"/>
  <c r="E23" i="469"/>
  <c r="F23" i="469" s="1"/>
  <c r="J22" i="469"/>
  <c r="I22" i="469"/>
  <c r="H22" i="469"/>
  <c r="G22" i="469"/>
  <c r="E22" i="469"/>
  <c r="F22" i="469" s="1"/>
  <c r="J21" i="469"/>
  <c r="I21" i="469"/>
  <c r="H21" i="469"/>
  <c r="G21" i="469"/>
  <c r="E21" i="469"/>
  <c r="F21" i="469" s="1"/>
  <c r="J20" i="469"/>
  <c r="I20" i="469"/>
  <c r="H20" i="469"/>
  <c r="G20" i="469"/>
  <c r="E20" i="469"/>
  <c r="F20" i="469" s="1"/>
  <c r="J19" i="469"/>
  <c r="I19" i="469"/>
  <c r="H19" i="469"/>
  <c r="G19" i="469"/>
  <c r="F19" i="469"/>
  <c r="D179" i="489" l="1"/>
  <c r="D59" i="489"/>
  <c r="F179" i="489"/>
  <c r="F59" i="489"/>
  <c r="G179" i="489"/>
  <c r="G59" i="489"/>
  <c r="E179" i="489"/>
  <c r="E59" i="489"/>
  <c r="DD186" i="489"/>
  <c r="DD1137" i="489"/>
  <c r="DD1144" i="489" s="1"/>
  <c r="EV1137" i="489"/>
  <c r="U1137" i="489"/>
  <c r="U1144" i="489" s="1"/>
  <c r="U186" i="489"/>
  <c r="C169" i="93"/>
  <c r="P1126" i="489"/>
  <c r="P1134" i="489" s="1"/>
  <c r="P176" i="489"/>
  <c r="B169" i="93"/>
  <c r="P1137" i="489"/>
  <c r="P1144" i="489" s="1"/>
  <c r="P186" i="489"/>
  <c r="U1193" i="489"/>
  <c r="U1200" i="489" s="1"/>
  <c r="U246" i="489"/>
  <c r="DD1193" i="489"/>
  <c r="DD1200" i="489" s="1"/>
  <c r="DD1207" i="489" s="1"/>
  <c r="DD246" i="489"/>
  <c r="DD253" i="489" s="1"/>
  <c r="DD334" i="489" s="1"/>
  <c r="EV1193" i="489"/>
  <c r="P1193" i="489"/>
  <c r="P1200" i="489" s="1"/>
  <c r="P1207" i="489" s="1"/>
  <c r="P246" i="489"/>
  <c r="P253" i="489" s="1"/>
  <c r="P334" i="489" s="1"/>
  <c r="G553" i="489"/>
  <c r="CS96" i="489"/>
  <c r="D26" i="168"/>
  <c r="D28" i="411"/>
  <c r="H28" i="411" s="1"/>
  <c r="CS78" i="147"/>
  <c r="E28" i="411"/>
  <c r="F28" i="411" s="1"/>
  <c r="G28" i="411"/>
  <c r="I28" i="411"/>
  <c r="CS53" i="147"/>
  <c r="E32" i="396"/>
  <c r="F32" i="396" s="1"/>
  <c r="D32" i="396"/>
  <c r="J32" i="396" s="1"/>
  <c r="I32" i="396"/>
  <c r="Y78" i="147"/>
  <c r="AH78" i="147"/>
  <c r="J27" i="411"/>
  <c r="I27" i="411"/>
  <c r="H27" i="411"/>
  <c r="G27" i="411"/>
  <c r="F27" i="411"/>
  <c r="D29" i="411"/>
  <c r="C29" i="411"/>
  <c r="P1151" i="489" l="1"/>
  <c r="P193" i="489"/>
  <c r="P332" i="489" s="1"/>
  <c r="G169" i="93"/>
  <c r="E169" i="93"/>
  <c r="F169" i="93"/>
  <c r="D169" i="93"/>
  <c r="F555" i="489"/>
  <c r="J28" i="411"/>
  <c r="H32" i="396"/>
  <c r="G555" i="489" l="1"/>
  <c r="F556" i="489"/>
  <c r="G556" i="489" l="1"/>
  <c r="F557" i="489"/>
  <c r="F873" i="489" l="1"/>
  <c r="C821" i="489"/>
  <c r="C874" i="489"/>
  <c r="C873" i="489"/>
  <c r="C875" i="489"/>
  <c r="G557" i="489"/>
  <c r="F558" i="489"/>
  <c r="C661" i="489"/>
  <c r="C714" i="489"/>
  <c r="C715" i="489"/>
  <c r="C554" i="489"/>
  <c r="C555" i="489"/>
  <c r="C556" i="489"/>
  <c r="I343" i="147" l="1"/>
  <c r="F714" i="489"/>
  <c r="F715" i="489"/>
  <c r="F872" i="489"/>
  <c r="G872" i="489"/>
  <c r="F713" i="489"/>
  <c r="F820" i="489"/>
  <c r="F874" i="489"/>
  <c r="C397" i="489"/>
  <c r="C396" i="489"/>
  <c r="G558" i="489"/>
  <c r="D630" i="489"/>
  <c r="EB338" i="489"/>
  <c r="D471" i="489"/>
  <c r="D948" i="489"/>
  <c r="D789" i="489"/>
  <c r="G873" i="489" l="1"/>
  <c r="I83" i="489"/>
  <c r="I79" i="93" s="1"/>
  <c r="I203" i="489"/>
  <c r="I191" i="93" s="1"/>
  <c r="I23" i="489"/>
  <c r="I23" i="93" s="1"/>
  <c r="I53" i="489"/>
  <c r="I51" i="93" s="1"/>
  <c r="I173" i="489"/>
  <c r="I163" i="93" s="1"/>
  <c r="I111" i="489"/>
  <c r="I105" i="93" s="1"/>
  <c r="G715" i="489"/>
  <c r="G874" i="489"/>
  <c r="G714" i="489"/>
  <c r="G820" i="489"/>
  <c r="G713" i="489"/>
  <c r="EB1237" i="489"/>
  <c r="EB1238" i="489"/>
  <c r="EB1239" i="489"/>
  <c r="EB1240" i="489"/>
  <c r="EB1241" i="489"/>
  <c r="EB1242" i="489"/>
  <c r="EB1243" i="489"/>
  <c r="EB1249" i="489"/>
  <c r="EB1250" i="489"/>
  <c r="EB1247" i="489"/>
  <c r="EB1248" i="489"/>
  <c r="EB1245" i="489"/>
  <c r="EB1253" i="489"/>
  <c r="EB1254" i="489"/>
  <c r="EB1255" i="489"/>
  <c r="EB1244" i="489"/>
  <c r="EB1251" i="489"/>
  <c r="EB1258" i="489"/>
  <c r="EB1252" i="489"/>
  <c r="EB1260" i="489"/>
  <c r="EB1212" i="489"/>
  <c r="EB1259" i="489"/>
  <c r="EB1211" i="489"/>
  <c r="EB1213" i="489"/>
  <c r="EB1257" i="489"/>
  <c r="EB1209" i="489"/>
  <c r="EB1210" i="489"/>
  <c r="EB1261" i="489"/>
  <c r="EB1214" i="489"/>
  <c r="EB1215" i="489"/>
  <c r="EB1216" i="489"/>
  <c r="EB1219" i="489"/>
  <c r="EB1220" i="489"/>
  <c r="EB1221" i="489"/>
  <c r="EB1217" i="489"/>
  <c r="EB1222" i="489"/>
  <c r="EB1224" i="489"/>
  <c r="EB1225" i="489"/>
  <c r="EB1226" i="489"/>
  <c r="EB1227" i="489"/>
  <c r="EB1229" i="489"/>
  <c r="EB1230" i="489"/>
  <c r="EB1223" i="489"/>
  <c r="EB1232" i="489"/>
  <c r="EB1233" i="489"/>
  <c r="EB1181" i="489"/>
  <c r="EB1182" i="489"/>
  <c r="EB1231" i="489"/>
  <c r="EB1183" i="489"/>
  <c r="EB1184" i="489"/>
  <c r="EB1185" i="489"/>
  <c r="EB1186" i="489"/>
  <c r="EB1187" i="489"/>
  <c r="EB1188" i="489"/>
  <c r="EB1189" i="489"/>
  <c r="EB1191" i="489"/>
  <c r="EB1192" i="489"/>
  <c r="EB1193" i="489"/>
  <c r="EB1194" i="489"/>
  <c r="EB1195" i="489"/>
  <c r="EB1196" i="489"/>
  <c r="EB1197" i="489"/>
  <c r="EB1198" i="489"/>
  <c r="EB1199" i="489"/>
  <c r="EB1201" i="489"/>
  <c r="EB1202" i="489"/>
  <c r="EB1203" i="489"/>
  <c r="EB1204" i="489"/>
  <c r="EB1205" i="489"/>
  <c r="EB1156" i="489"/>
  <c r="EB1157" i="489"/>
  <c r="EB1158" i="489"/>
  <c r="EB1160" i="489"/>
  <c r="EB1161" i="489"/>
  <c r="EB1170" i="489"/>
  <c r="EB1171" i="489"/>
  <c r="EB1176" i="489"/>
  <c r="EB1177" i="489"/>
  <c r="EB1129" i="489"/>
  <c r="EB1141" i="489"/>
  <c r="EB1142" i="489"/>
  <c r="EB1143" i="489"/>
  <c r="EB1147" i="489"/>
  <c r="EB1148" i="489"/>
  <c r="EB1149" i="489"/>
  <c r="EB1130" i="489"/>
  <c r="EB1132" i="489"/>
  <c r="EB1133" i="489"/>
  <c r="EB1102" i="489"/>
  <c r="EB1103" i="489"/>
  <c r="EB1104" i="489"/>
  <c r="EB1105" i="489"/>
  <c r="EB1113" i="489"/>
  <c r="EB1114" i="489"/>
  <c r="EB1115" i="489"/>
  <c r="EB1119" i="489"/>
  <c r="EB1120" i="489"/>
  <c r="EB1121" i="489"/>
  <c r="EB1074" i="489"/>
  <c r="EB1075" i="489"/>
  <c r="EB1076" i="489"/>
  <c r="EB1077" i="489"/>
  <c r="EB1086" i="489"/>
  <c r="EB1087" i="489"/>
  <c r="EB1093" i="489"/>
  <c r="EB1091" i="489"/>
  <c r="EB1092" i="489"/>
  <c r="EB1044" i="489"/>
  <c r="EB1045" i="489"/>
  <c r="EB1046" i="489"/>
  <c r="EB1048" i="489"/>
  <c r="EB1049" i="489"/>
  <c r="EB1058" i="489"/>
  <c r="EB1059" i="489"/>
  <c r="EB1063" i="489"/>
  <c r="EB1064" i="489"/>
  <c r="EB1065" i="489"/>
  <c r="EB1021" i="489"/>
  <c r="EB1016" i="489"/>
  <c r="EB1017" i="489"/>
  <c r="EB1018" i="489"/>
  <c r="EB1020" i="489"/>
  <c r="EB1030" i="489"/>
  <c r="EB1031" i="489"/>
  <c r="EB1035" i="489"/>
  <c r="EB1036" i="489"/>
  <c r="EB1037" i="489"/>
  <c r="EB1056" i="489"/>
  <c r="EB1029" i="489"/>
  <c r="EB1015" i="489"/>
  <c r="EB1061" i="489"/>
  <c r="EB1070" i="489"/>
  <c r="EB1084" i="489"/>
  <c r="EB1081" i="489"/>
  <c r="EB1042" i="489"/>
  <c r="EB1090" i="489"/>
  <c r="EB1100" i="489"/>
  <c r="EB1097" i="489"/>
  <c r="EB1041" i="489"/>
  <c r="EB1052" i="489"/>
  <c r="EB1034" i="489"/>
  <c r="EB1033" i="489"/>
  <c r="EB1025" i="489"/>
  <c r="EB1055" i="489"/>
  <c r="EB1057" i="489"/>
  <c r="EB1024" i="489"/>
  <c r="EB1028" i="489"/>
  <c r="EB1043" i="489"/>
  <c r="EB1023" i="489"/>
  <c r="EB1027" i="489"/>
  <c r="EB1014" i="489"/>
  <c r="EB1053" i="489"/>
  <c r="EB1026" i="489"/>
  <c r="EB1013" i="489"/>
  <c r="EB1072" i="489"/>
  <c r="EB1069" i="489"/>
  <c r="EB1083" i="489"/>
  <c r="EB1080" i="489"/>
  <c r="EB1089" i="489"/>
  <c r="EB1099" i="489"/>
  <c r="EB1051" i="489"/>
  <c r="EB1112" i="489"/>
  <c r="EB1062" i="489"/>
  <c r="EB1085" i="489"/>
  <c r="EB1079" i="489"/>
  <c r="EB1098" i="489"/>
  <c r="EB1054" i="489"/>
  <c r="EB1110" i="489"/>
  <c r="EB1107" i="489"/>
  <c r="EB1128" i="489"/>
  <c r="EB1125" i="489"/>
  <c r="EB1138" i="489"/>
  <c r="EB1135" i="489"/>
  <c r="EB1071" i="489"/>
  <c r="EB1108" i="489"/>
  <c r="EB1117" i="489"/>
  <c r="EB1126" i="489"/>
  <c r="EB1139" i="489"/>
  <c r="EB1136" i="489"/>
  <c r="EB1082" i="489"/>
  <c r="EB1111" i="489"/>
  <c r="EB1109" i="489"/>
  <c r="EB1127" i="489"/>
  <c r="EB1146" i="489"/>
  <c r="EB1154" i="489"/>
  <c r="EB1168" i="489"/>
  <c r="EB1165" i="489"/>
  <c r="EB1137" i="489"/>
  <c r="EB1175" i="489"/>
  <c r="EB1145" i="489"/>
  <c r="EB1153" i="489"/>
  <c r="EB1167" i="489"/>
  <c r="EB1164" i="489"/>
  <c r="EB1174" i="489"/>
  <c r="EB1118" i="489"/>
  <c r="EB1155" i="489"/>
  <c r="EB1140" i="489"/>
  <c r="EB1169" i="489"/>
  <c r="EB1166" i="489"/>
  <c r="EB1163" i="489"/>
  <c r="EB1173" i="489"/>
  <c r="EB336" i="489"/>
  <c r="EB335" i="489"/>
  <c r="EB334" i="489"/>
  <c r="F560" i="489"/>
  <c r="EB997" i="489"/>
  <c r="EB996" i="489"/>
  <c r="EB995" i="489"/>
  <c r="EB998" i="489"/>
  <c r="EB988" i="489"/>
  <c r="EB993" i="489"/>
  <c r="EB1003" i="489"/>
  <c r="EB1007" i="489"/>
  <c r="EB1009" i="489"/>
  <c r="EB989" i="489"/>
  <c r="EB1000" i="489"/>
  <c r="EB1008" i="489"/>
  <c r="EB999" i="489"/>
  <c r="EB1005" i="489"/>
  <c r="EB1006" i="489"/>
  <c r="EB986" i="489"/>
  <c r="EB992" i="489"/>
  <c r="EB1001" i="489"/>
  <c r="EB990" i="489"/>
  <c r="EB985" i="489"/>
  <c r="EB987" i="489"/>
  <c r="EB1002" i="489"/>
  <c r="CR256" i="147"/>
  <c r="DJ256" i="147"/>
  <c r="CQ256" i="147"/>
  <c r="BR256" i="147"/>
  <c r="C256" i="147"/>
  <c r="I133" i="93" l="1"/>
  <c r="DJ371" i="147"/>
  <c r="F256" i="147"/>
  <c r="D256" i="147"/>
  <c r="E256" i="147"/>
  <c r="G256" i="147"/>
  <c r="EB1172" i="489"/>
  <c r="EB1004" i="489"/>
  <c r="EB1200" i="489"/>
  <c r="EB1228" i="489"/>
  <c r="EB1150" i="489"/>
  <c r="EB1094" i="489"/>
  <c r="EB1190" i="489"/>
  <c r="EB1256" i="489"/>
  <c r="EB1206" i="489"/>
  <c r="EB1234" i="489"/>
  <c r="EB1218" i="489"/>
  <c r="EB1262" i="489"/>
  <c r="EB1246" i="489"/>
  <c r="EB1116" i="489"/>
  <c r="EB1066" i="489"/>
  <c r="EB1178" i="489"/>
  <c r="EB1038" i="489"/>
  <c r="EB1088" i="489"/>
  <c r="EB1010" i="489"/>
  <c r="EB1122" i="489"/>
  <c r="EB1144" i="489"/>
  <c r="EB1060" i="489"/>
  <c r="EB1032" i="489"/>
  <c r="G560" i="489"/>
  <c r="EY256" i="147"/>
  <c r="BH255" i="147"/>
  <c r="C255" i="147"/>
  <c r="DO254" i="147"/>
  <c r="C254" i="147"/>
  <c r="F254" i="147" l="1"/>
  <c r="D254" i="147"/>
  <c r="E254" i="147"/>
  <c r="G254" i="147"/>
  <c r="F255" i="147"/>
  <c r="D255" i="147"/>
  <c r="E255" i="147"/>
  <c r="G255" i="147"/>
  <c r="EB1265" i="489"/>
  <c r="EB1263" i="489"/>
  <c r="EB1235" i="489"/>
  <c r="EB1266" i="489"/>
  <c r="EB1207" i="489"/>
  <c r="EY254" i="147"/>
  <c r="EY255" i="147"/>
  <c r="BH371" i="147"/>
  <c r="BO253" i="147"/>
  <c r="C253" i="147"/>
  <c r="B256" i="147"/>
  <c r="B626" i="147" s="1"/>
  <c r="B255" i="147"/>
  <c r="B625" i="147" s="1"/>
  <c r="B254" i="147"/>
  <c r="B624" i="147" s="1"/>
  <c r="F253" i="147" l="1"/>
  <c r="D253" i="147"/>
  <c r="E253" i="147"/>
  <c r="G253" i="147"/>
  <c r="F563" i="489"/>
  <c r="EY253" i="147"/>
  <c r="B253" i="147"/>
  <c r="B623" i="147" s="1"/>
  <c r="E23" i="460"/>
  <c r="F23" i="460" s="1"/>
  <c r="F24" i="460"/>
  <c r="E22" i="460"/>
  <c r="F22" i="460" s="1"/>
  <c r="E21" i="460"/>
  <c r="F21" i="460" s="1"/>
  <c r="E19" i="460"/>
  <c r="F19" i="460" s="1"/>
  <c r="G21" i="460"/>
  <c r="H21" i="460"/>
  <c r="I21" i="460"/>
  <c r="J21" i="460"/>
  <c r="G22" i="460"/>
  <c r="H22" i="460"/>
  <c r="I22" i="460"/>
  <c r="J22" i="460"/>
  <c r="G23" i="460"/>
  <c r="H23" i="460"/>
  <c r="I23" i="460"/>
  <c r="J23" i="460"/>
  <c r="G24" i="460"/>
  <c r="H24" i="460"/>
  <c r="I24" i="460"/>
  <c r="J24" i="460"/>
  <c r="C29" i="460"/>
  <c r="J25" i="460"/>
  <c r="H25" i="460"/>
  <c r="J20" i="460"/>
  <c r="I20" i="460"/>
  <c r="H20" i="460"/>
  <c r="G20" i="460"/>
  <c r="E20" i="460"/>
  <c r="F20" i="460" s="1"/>
  <c r="J19" i="460"/>
  <c r="I19" i="460"/>
  <c r="H19" i="460"/>
  <c r="G19" i="460"/>
  <c r="E19" i="459"/>
  <c r="F19" i="459" s="1"/>
  <c r="C26" i="459"/>
  <c r="J22" i="459"/>
  <c r="H22" i="459"/>
  <c r="J20" i="459"/>
  <c r="I20" i="459"/>
  <c r="H20" i="459"/>
  <c r="G20" i="459"/>
  <c r="E20" i="459"/>
  <c r="F20" i="459" s="1"/>
  <c r="J19" i="459"/>
  <c r="I19" i="459"/>
  <c r="H19" i="459"/>
  <c r="G19" i="459"/>
  <c r="E19" i="458"/>
  <c r="F19" i="458" s="1"/>
  <c r="C26" i="458"/>
  <c r="J22" i="458"/>
  <c r="H22" i="458"/>
  <c r="J20" i="458"/>
  <c r="I20" i="458"/>
  <c r="H20" i="458"/>
  <c r="G20" i="458"/>
  <c r="E20" i="458"/>
  <c r="F20" i="458" s="1"/>
  <c r="J19" i="458"/>
  <c r="I19" i="458"/>
  <c r="H19" i="458"/>
  <c r="G19" i="458"/>
  <c r="E19" i="457"/>
  <c r="F19" i="457" s="1"/>
  <c r="C26" i="457"/>
  <c r="J22" i="457"/>
  <c r="H22" i="457"/>
  <c r="J20" i="457"/>
  <c r="I20" i="457"/>
  <c r="H20" i="457"/>
  <c r="G20" i="457"/>
  <c r="E20" i="457"/>
  <c r="F20" i="457" s="1"/>
  <c r="J19" i="457"/>
  <c r="I19" i="457"/>
  <c r="H19" i="457"/>
  <c r="G19" i="457"/>
  <c r="E20" i="365"/>
  <c r="E19" i="365"/>
  <c r="BF1154" i="489" l="1"/>
  <c r="BF1162" i="489" s="1"/>
  <c r="BF206" i="489"/>
  <c r="G563" i="489"/>
  <c r="F564" i="489"/>
  <c r="EY252" i="147"/>
  <c r="BF371" i="147"/>
  <c r="F25" i="460"/>
  <c r="F26" i="460" s="1"/>
  <c r="F30" i="460" s="1"/>
  <c r="I256" i="147" s="1"/>
  <c r="F22" i="459"/>
  <c r="F23" i="459" s="1"/>
  <c r="F27" i="459" s="1"/>
  <c r="I255" i="147" s="1"/>
  <c r="F22" i="458"/>
  <c r="F23" i="458" s="1"/>
  <c r="F27" i="458" s="1"/>
  <c r="I254" i="147" s="1"/>
  <c r="F22" i="457"/>
  <c r="F23" i="457" s="1"/>
  <c r="F27" i="457" s="1"/>
  <c r="I253" i="147" s="1"/>
  <c r="BF321" i="489" l="1"/>
  <c r="BF316" i="489"/>
  <c r="BF223" i="489"/>
  <c r="BF1179" i="489"/>
  <c r="BF1264" i="489"/>
  <c r="BF1267" i="489" s="1"/>
  <c r="G564" i="489"/>
  <c r="F565" i="489"/>
  <c r="BH372" i="147"/>
  <c r="BH740" i="147" s="1"/>
  <c r="BG372" i="147"/>
  <c r="BG740" i="147" s="1"/>
  <c r="BF372" i="147"/>
  <c r="BF740" i="147" s="1"/>
  <c r="BH3" i="147"/>
  <c r="BG3" i="147"/>
  <c r="BF3" i="147"/>
  <c r="BF599" i="147" l="1"/>
  <c r="BF737" i="147"/>
  <c r="BF738" i="147"/>
  <c r="BF739" i="147"/>
  <c r="BG599" i="147"/>
  <c r="BG738" i="147"/>
  <c r="BG739" i="147"/>
  <c r="BG737" i="147"/>
  <c r="BH599" i="147"/>
  <c r="BH737" i="147"/>
  <c r="BH738" i="147"/>
  <c r="BH739" i="147"/>
  <c r="BG689" i="147"/>
  <c r="BF689" i="147"/>
  <c r="BH689" i="147"/>
  <c r="BG567" i="147"/>
  <c r="BG630" i="147"/>
  <c r="BF333" i="489"/>
  <c r="BF337" i="489" s="1"/>
  <c r="BF319" i="489"/>
  <c r="BF320" i="489" s="1"/>
  <c r="BF567" i="147"/>
  <c r="BF630" i="147"/>
  <c r="BH567" i="147"/>
  <c r="BH630" i="147"/>
  <c r="C395" i="489"/>
  <c r="BF644" i="147"/>
  <c r="BF645" i="147"/>
  <c r="BF646" i="147"/>
  <c r="BF647" i="147"/>
  <c r="BF648" i="147"/>
  <c r="BF649" i="147"/>
  <c r="BF650" i="147"/>
  <c r="BF656" i="147"/>
  <c r="BF657" i="147"/>
  <c r="BF658" i="147"/>
  <c r="BF651" i="147"/>
  <c r="BF652" i="147"/>
  <c r="BF653" i="147"/>
  <c r="BF654" i="147"/>
  <c r="BF655" i="147"/>
  <c r="BF660" i="147"/>
  <c r="BF662" i="147"/>
  <c r="BF661" i="147"/>
  <c r="BF663" i="147"/>
  <c r="BF664" i="147"/>
  <c r="BF665" i="147"/>
  <c r="BF666" i="147"/>
  <c r="BF667" i="147"/>
  <c r="BF668" i="147"/>
  <c r="BF669" i="147"/>
  <c r="BF670" i="147"/>
  <c r="BF671" i="147"/>
  <c r="BF672" i="147"/>
  <c r="BF659" i="147"/>
  <c r="BF673" i="147"/>
  <c r="BF674" i="147"/>
  <c r="BF675" i="147"/>
  <c r="BF676" i="147"/>
  <c r="BF677" i="147"/>
  <c r="BF678" i="147"/>
  <c r="BF679" i="147"/>
  <c r="BF680" i="147"/>
  <c r="BF681" i="147"/>
  <c r="BF682" i="147"/>
  <c r="BF683" i="147"/>
  <c r="BF684" i="147"/>
  <c r="BF685" i="147"/>
  <c r="BF686" i="147"/>
  <c r="BF687" i="147"/>
  <c r="BF688" i="147"/>
  <c r="BF690" i="147"/>
  <c r="BF691" i="147"/>
  <c r="BF693" i="147"/>
  <c r="BF694" i="147"/>
  <c r="BF695" i="147"/>
  <c r="BF696" i="147"/>
  <c r="BF697" i="147"/>
  <c r="BF698" i="147"/>
  <c r="BF699" i="147"/>
  <c r="BF700" i="147"/>
  <c r="BF701" i="147"/>
  <c r="BF702" i="147"/>
  <c r="BF703" i="147"/>
  <c r="BF704" i="147"/>
  <c r="BF705" i="147"/>
  <c r="BF692" i="147"/>
  <c r="BF714" i="147"/>
  <c r="BF715" i="147"/>
  <c r="BF717" i="147"/>
  <c r="BF718" i="147"/>
  <c r="BF719" i="147"/>
  <c r="BF720" i="147"/>
  <c r="BF721" i="147"/>
  <c r="BF722" i="147"/>
  <c r="BF723" i="147"/>
  <c r="BF724" i="147"/>
  <c r="BF725" i="147"/>
  <c r="BF716" i="147"/>
  <c r="BF706" i="147"/>
  <c r="BF707" i="147"/>
  <c r="BF708" i="147"/>
  <c r="BF709" i="147"/>
  <c r="BF710" i="147"/>
  <c r="BF711" i="147"/>
  <c r="BF712" i="147"/>
  <c r="BF713" i="147"/>
  <c r="BF732" i="147"/>
  <c r="BF729" i="147"/>
  <c r="BF730" i="147"/>
  <c r="BF731" i="147"/>
  <c r="BF726" i="147"/>
  <c r="BF728" i="147"/>
  <c r="BF727" i="147"/>
  <c r="BF733" i="147"/>
  <c r="BF734" i="147"/>
  <c r="BF735" i="147"/>
  <c r="BF736" i="147"/>
  <c r="BG644" i="147"/>
  <c r="BG645" i="147"/>
  <c r="BG646" i="147"/>
  <c r="BG647" i="147"/>
  <c r="BG648" i="147"/>
  <c r="BG649" i="147"/>
  <c r="BG650" i="147"/>
  <c r="BG655" i="147"/>
  <c r="BG654" i="147"/>
  <c r="BG659" i="147"/>
  <c r="BG660" i="147"/>
  <c r="BG661" i="147"/>
  <c r="BG653" i="147"/>
  <c r="BG652" i="147"/>
  <c r="BG651" i="147"/>
  <c r="BG656" i="147"/>
  <c r="BG657" i="147"/>
  <c r="BG662" i="147"/>
  <c r="BG658" i="147"/>
  <c r="BG663" i="147"/>
  <c r="BG664" i="147"/>
  <c r="BG665" i="147"/>
  <c r="BG666" i="147"/>
  <c r="BG667" i="147"/>
  <c r="BG668" i="147"/>
  <c r="BG669" i="147"/>
  <c r="BG670" i="147"/>
  <c r="BG671" i="147"/>
  <c r="BG672" i="147"/>
  <c r="BG673" i="147"/>
  <c r="BG674" i="147"/>
  <c r="BG675" i="147"/>
  <c r="BG676" i="147"/>
  <c r="BG677" i="147"/>
  <c r="BG678" i="147"/>
  <c r="BG679" i="147"/>
  <c r="BG680" i="147"/>
  <c r="BG681" i="147"/>
  <c r="BG682" i="147"/>
  <c r="BG683" i="147"/>
  <c r="BG684" i="147"/>
  <c r="BG685" i="147"/>
  <c r="BG686" i="147"/>
  <c r="BG687" i="147"/>
  <c r="BG688" i="147"/>
  <c r="BG690" i="147"/>
  <c r="BG691" i="147"/>
  <c r="BG692" i="147"/>
  <c r="BG693" i="147"/>
  <c r="BG694" i="147"/>
  <c r="BG695" i="147"/>
  <c r="BG696" i="147"/>
  <c r="BG697" i="147"/>
  <c r="BG698" i="147"/>
  <c r="BG699" i="147"/>
  <c r="BG700" i="147"/>
  <c r="BG701" i="147"/>
  <c r="BG702" i="147"/>
  <c r="BG703" i="147"/>
  <c r="BG704" i="147"/>
  <c r="BG705" i="147"/>
  <c r="BG706" i="147"/>
  <c r="BG707" i="147"/>
  <c r="BG708" i="147"/>
  <c r="BG709" i="147"/>
  <c r="BG710" i="147"/>
  <c r="BG711" i="147"/>
  <c r="BG712" i="147"/>
  <c r="BG713" i="147"/>
  <c r="BG714" i="147"/>
  <c r="BG715" i="147"/>
  <c r="BG716" i="147"/>
  <c r="BG717" i="147"/>
  <c r="BG718" i="147"/>
  <c r="BG719" i="147"/>
  <c r="BG720" i="147"/>
  <c r="BG721" i="147"/>
  <c r="BG722" i="147"/>
  <c r="BG723" i="147"/>
  <c r="BG724" i="147"/>
  <c r="BG725" i="147"/>
  <c r="BG726" i="147"/>
  <c r="BG727" i="147"/>
  <c r="BG728" i="147"/>
  <c r="BG729" i="147"/>
  <c r="BG730" i="147"/>
  <c r="BG731" i="147"/>
  <c r="BG732" i="147"/>
  <c r="BG733" i="147"/>
  <c r="BG734" i="147"/>
  <c r="BG735" i="147"/>
  <c r="BG736" i="147"/>
  <c r="BH644" i="147"/>
  <c r="BH645" i="147"/>
  <c r="BH646" i="147"/>
  <c r="BH647" i="147"/>
  <c r="BH648" i="147"/>
  <c r="BH651" i="147"/>
  <c r="BH652" i="147"/>
  <c r="BH653" i="147"/>
  <c r="BH654" i="147"/>
  <c r="BH655" i="147"/>
  <c r="BH650" i="147"/>
  <c r="BH649" i="147"/>
  <c r="BH659" i="147"/>
  <c r="BH660" i="147"/>
  <c r="BH661" i="147"/>
  <c r="BH658" i="147"/>
  <c r="BH657" i="147"/>
  <c r="BH662" i="147"/>
  <c r="BH656" i="147"/>
  <c r="BH663" i="147"/>
  <c r="BH664" i="147"/>
  <c r="BH665" i="147"/>
  <c r="BH666" i="147"/>
  <c r="BH667" i="147"/>
  <c r="BH668" i="147"/>
  <c r="BH669" i="147"/>
  <c r="BH670" i="147"/>
  <c r="BH671" i="147"/>
  <c r="BH673" i="147"/>
  <c r="BH674" i="147"/>
  <c r="BH675" i="147"/>
  <c r="BH676" i="147"/>
  <c r="BH677" i="147"/>
  <c r="BH672" i="147"/>
  <c r="BH678" i="147"/>
  <c r="BH685" i="147"/>
  <c r="BH686" i="147"/>
  <c r="BH687" i="147"/>
  <c r="BH688" i="147"/>
  <c r="BH690" i="147"/>
  <c r="BH691" i="147"/>
  <c r="BH679" i="147"/>
  <c r="BH680" i="147"/>
  <c r="BH681" i="147"/>
  <c r="BH682" i="147"/>
  <c r="BH684" i="147"/>
  <c r="BH683" i="147"/>
  <c r="BH694" i="147"/>
  <c r="BH695" i="147"/>
  <c r="BH696" i="147"/>
  <c r="BH697" i="147"/>
  <c r="BH698" i="147"/>
  <c r="BH699" i="147"/>
  <c r="BH700" i="147"/>
  <c r="BH701" i="147"/>
  <c r="BH702" i="147"/>
  <c r="BH693" i="147"/>
  <c r="BH692" i="147"/>
  <c r="BH706" i="147"/>
  <c r="BH707" i="147"/>
  <c r="BH708" i="147"/>
  <c r="BH709" i="147"/>
  <c r="BH710" i="147"/>
  <c r="BH711" i="147"/>
  <c r="BH712" i="147"/>
  <c r="BH713" i="147"/>
  <c r="BH714" i="147"/>
  <c r="BH715" i="147"/>
  <c r="BH716" i="147"/>
  <c r="BH704" i="147"/>
  <c r="BH703" i="147"/>
  <c r="BH705" i="147"/>
  <c r="BH717" i="147"/>
  <c r="BH718" i="147"/>
  <c r="BH719" i="147"/>
  <c r="BH720" i="147"/>
  <c r="BH721" i="147"/>
  <c r="BH722" i="147"/>
  <c r="BH723" i="147"/>
  <c r="BH724" i="147"/>
  <c r="BH725" i="147"/>
  <c r="BH726" i="147"/>
  <c r="BH727" i="147"/>
  <c r="BH728" i="147"/>
  <c r="BH729" i="147"/>
  <c r="BH730" i="147"/>
  <c r="BH731" i="147"/>
  <c r="BH732" i="147"/>
  <c r="BH733" i="147"/>
  <c r="BH734" i="147"/>
  <c r="BH735" i="147"/>
  <c r="BH736" i="147"/>
  <c r="BG375" i="147"/>
  <c r="BG376" i="147"/>
  <c r="BG377" i="147"/>
  <c r="BG378" i="147"/>
  <c r="BG379" i="147"/>
  <c r="BG380" i="147"/>
  <c r="BG381" i="147"/>
  <c r="BG382" i="147"/>
  <c r="BG383" i="147"/>
  <c r="BG384" i="147"/>
  <c r="BG385" i="147"/>
  <c r="BG386" i="147"/>
  <c r="BG387" i="147"/>
  <c r="BG388" i="147"/>
  <c r="BG389" i="147"/>
  <c r="BG390" i="147"/>
  <c r="BG391" i="147"/>
  <c r="BG392" i="147"/>
  <c r="BG393" i="147"/>
  <c r="BG394" i="147"/>
  <c r="BG395" i="147"/>
  <c r="BG396" i="147"/>
  <c r="BG397" i="147"/>
  <c r="BG398" i="147"/>
  <c r="BG399" i="147"/>
  <c r="BG400" i="147"/>
  <c r="BG401" i="147"/>
  <c r="BG402" i="147"/>
  <c r="BG403" i="147"/>
  <c r="BG404" i="147"/>
  <c r="BG405" i="147"/>
  <c r="BG406" i="147"/>
  <c r="BG407" i="147"/>
  <c r="BG408" i="147"/>
  <c r="BG409" i="147"/>
  <c r="BG410" i="147"/>
  <c r="BG411" i="147"/>
  <c r="BG412" i="147"/>
  <c r="BG413" i="147"/>
  <c r="BG414" i="147"/>
  <c r="BG415" i="147"/>
  <c r="BG416" i="147"/>
  <c r="BG417" i="147"/>
  <c r="BG418" i="147"/>
  <c r="BG419" i="147"/>
  <c r="BG420" i="147"/>
  <c r="BG421" i="147"/>
  <c r="BG422" i="147"/>
  <c r="BG423" i="147"/>
  <c r="BG424" i="147"/>
  <c r="BG425" i="147"/>
  <c r="BG426" i="147"/>
  <c r="BG427" i="147"/>
  <c r="BG428" i="147"/>
  <c r="BG429" i="147"/>
  <c r="BG430" i="147"/>
  <c r="BG431" i="147"/>
  <c r="BG432" i="147"/>
  <c r="BG433" i="147"/>
  <c r="BG434" i="147"/>
  <c r="BG435" i="147"/>
  <c r="BG436" i="147"/>
  <c r="BG437" i="147"/>
  <c r="BG438" i="147"/>
  <c r="BG446" i="147"/>
  <c r="BG447" i="147"/>
  <c r="BG448" i="147"/>
  <c r="BG449" i="147"/>
  <c r="BG450" i="147"/>
  <c r="BG451" i="147"/>
  <c r="BG452" i="147"/>
  <c r="BG453" i="147"/>
  <c r="BG454" i="147"/>
  <c r="BG455" i="147"/>
  <c r="BG456" i="147"/>
  <c r="BG457" i="147"/>
  <c r="BG439" i="147"/>
  <c r="BG440" i="147"/>
  <c r="BG441" i="147"/>
  <c r="BG442" i="147"/>
  <c r="BG443" i="147"/>
  <c r="BG444" i="147"/>
  <c r="BG445" i="147"/>
  <c r="BG458" i="147"/>
  <c r="BG459" i="147"/>
  <c r="BG460" i="147"/>
  <c r="BG461" i="147"/>
  <c r="BG462" i="147"/>
  <c r="BG463" i="147"/>
  <c r="BG464" i="147"/>
  <c r="BG465" i="147"/>
  <c r="BG466" i="147"/>
  <c r="BG467" i="147"/>
  <c r="BG468" i="147"/>
  <c r="BG469" i="147"/>
  <c r="BG470" i="147"/>
  <c r="BG471" i="147"/>
  <c r="BG472" i="147"/>
  <c r="BG473" i="147"/>
  <c r="BG474" i="147"/>
  <c r="BG475" i="147"/>
  <c r="BG476" i="147"/>
  <c r="BG477" i="147"/>
  <c r="BG478" i="147"/>
  <c r="BG479" i="147"/>
  <c r="BG480" i="147"/>
  <c r="BG481" i="147"/>
  <c r="BG482" i="147"/>
  <c r="BG483" i="147"/>
  <c r="BG484" i="147"/>
  <c r="BG485" i="147"/>
  <c r="BG486" i="147"/>
  <c r="BG487" i="147"/>
  <c r="BG488" i="147"/>
  <c r="BG489" i="147"/>
  <c r="BG490" i="147"/>
  <c r="BG491" i="147"/>
  <c r="BG492" i="147"/>
  <c r="BG493" i="147"/>
  <c r="BG494" i="147"/>
  <c r="BG495" i="147"/>
  <c r="BG496" i="147"/>
  <c r="BG497" i="147"/>
  <c r="BG498" i="147"/>
  <c r="BG499" i="147"/>
  <c r="BG500" i="147"/>
  <c r="BG501" i="147"/>
  <c r="BG502" i="147"/>
  <c r="BG503" i="147"/>
  <c r="BG504" i="147"/>
  <c r="BG505" i="147"/>
  <c r="BG506" i="147"/>
  <c r="BG507" i="147"/>
  <c r="BG508" i="147"/>
  <c r="BG509" i="147"/>
  <c r="BG510" i="147"/>
  <c r="BG511" i="147"/>
  <c r="BG512" i="147"/>
  <c r="BG513" i="147"/>
  <c r="BG514" i="147"/>
  <c r="BG515" i="147"/>
  <c r="BG516" i="147"/>
  <c r="BG517" i="147"/>
  <c r="BG518" i="147"/>
  <c r="BG519" i="147"/>
  <c r="BG520" i="147"/>
  <c r="BG521" i="147"/>
  <c r="BG522" i="147"/>
  <c r="BG523" i="147"/>
  <c r="BG524" i="147"/>
  <c r="BG525" i="147"/>
  <c r="BG526" i="147"/>
  <c r="BG527" i="147"/>
  <c r="BG528" i="147"/>
  <c r="BG529" i="147"/>
  <c r="BG530" i="147"/>
  <c r="BG531" i="147"/>
  <c r="BG532" i="147"/>
  <c r="BG533" i="147"/>
  <c r="BG534" i="147"/>
  <c r="BG535" i="147"/>
  <c r="BG536" i="147"/>
  <c r="BG537" i="147"/>
  <c r="BG538" i="147"/>
  <c r="BG539" i="147"/>
  <c r="BG540" i="147"/>
  <c r="BG541" i="147"/>
  <c r="BG542" i="147"/>
  <c r="BG543" i="147"/>
  <c r="BG544" i="147"/>
  <c r="BG545" i="147"/>
  <c r="BG546" i="147"/>
  <c r="BG547" i="147"/>
  <c r="BG548" i="147"/>
  <c r="BG549" i="147"/>
  <c r="BG550" i="147"/>
  <c r="BG551" i="147"/>
  <c r="BG552" i="147"/>
  <c r="BG553" i="147"/>
  <c r="BG554" i="147"/>
  <c r="BG555" i="147"/>
  <c r="BG556" i="147"/>
  <c r="BG557" i="147"/>
  <c r="BG558" i="147"/>
  <c r="BG559" i="147"/>
  <c r="BG560" i="147"/>
  <c r="BG561" i="147"/>
  <c r="BG562" i="147"/>
  <c r="BG563" i="147"/>
  <c r="BG564" i="147"/>
  <c r="BG565" i="147"/>
  <c r="BG566" i="147"/>
  <c r="BG568" i="147"/>
  <c r="BG569" i="147"/>
  <c r="BG570" i="147"/>
  <c r="BG571" i="147"/>
  <c r="BG572" i="147"/>
  <c r="BG573" i="147"/>
  <c r="BG574" i="147"/>
  <c r="BG575" i="147"/>
  <c r="BG576" i="147"/>
  <c r="BG577" i="147"/>
  <c r="BG578" i="147"/>
  <c r="BG579" i="147"/>
  <c r="BG580" i="147"/>
  <c r="BG581" i="147"/>
  <c r="BG582" i="147"/>
  <c r="BG583" i="147"/>
  <c r="BG584" i="147"/>
  <c r="BG585" i="147"/>
  <c r="BG586" i="147"/>
  <c r="BG587" i="147"/>
  <c r="BG588" i="147"/>
  <c r="BG589" i="147"/>
  <c r="BG590" i="147"/>
  <c r="BG591" i="147"/>
  <c r="BG592" i="147"/>
  <c r="BG593" i="147"/>
  <c r="BG594" i="147"/>
  <c r="BG595" i="147"/>
  <c r="BG596" i="147"/>
  <c r="BG597" i="147"/>
  <c r="BG598" i="147"/>
  <c r="BG600" i="147"/>
  <c r="BG601" i="147"/>
  <c r="BG602" i="147"/>
  <c r="BG603" i="147"/>
  <c r="BG604" i="147"/>
  <c r="BG605" i="147"/>
  <c r="BG606" i="147"/>
  <c r="BG607" i="147"/>
  <c r="BG608" i="147"/>
  <c r="BG609" i="147"/>
  <c r="BG610" i="147"/>
  <c r="BG611" i="147"/>
  <c r="BG612" i="147"/>
  <c r="BG613" i="147"/>
  <c r="BG614" i="147"/>
  <c r="BG615" i="147"/>
  <c r="BG616" i="147"/>
  <c r="BG617" i="147"/>
  <c r="BG618" i="147"/>
  <c r="BG619" i="147"/>
  <c r="BG620" i="147"/>
  <c r="BG621" i="147"/>
  <c r="BG622" i="147"/>
  <c r="BG623" i="147"/>
  <c r="BG624" i="147"/>
  <c r="BG625" i="147"/>
  <c r="BG626" i="147"/>
  <c r="BG627" i="147"/>
  <c r="BG628" i="147"/>
  <c r="BG629" i="147"/>
  <c r="BG631" i="147"/>
  <c r="BG632" i="147"/>
  <c r="BG633" i="147"/>
  <c r="BG634" i="147"/>
  <c r="BG635" i="147"/>
  <c r="BG636" i="147"/>
  <c r="BG637" i="147"/>
  <c r="BG638" i="147"/>
  <c r="BG639" i="147"/>
  <c r="BG640" i="147"/>
  <c r="BG641" i="147"/>
  <c r="BG642" i="147"/>
  <c r="BG643" i="147"/>
  <c r="BF375" i="147"/>
  <c r="BF376" i="147"/>
  <c r="BF377" i="147"/>
  <c r="BF378" i="147"/>
  <c r="BF379" i="147"/>
  <c r="BF380" i="147"/>
  <c r="BF381" i="147"/>
  <c r="BF382" i="147"/>
  <c r="BF383" i="147"/>
  <c r="BF384" i="147"/>
  <c r="BF385" i="147"/>
  <c r="BF386" i="147"/>
  <c r="BF387" i="147"/>
  <c r="BF388" i="147"/>
  <c r="BF389" i="147"/>
  <c r="BF390" i="147"/>
  <c r="BF391" i="147"/>
  <c r="BF392" i="147"/>
  <c r="BF393" i="147"/>
  <c r="BF394" i="147"/>
  <c r="BF395" i="147"/>
  <c r="BF396" i="147"/>
  <c r="BF397" i="147"/>
  <c r="BF398" i="147"/>
  <c r="BF399" i="147"/>
  <c r="BF400" i="147"/>
  <c r="BF401" i="147"/>
  <c r="BF402" i="147"/>
  <c r="BF403" i="147"/>
  <c r="BF404" i="147"/>
  <c r="BF405" i="147"/>
  <c r="BF406" i="147"/>
  <c r="BF407" i="147"/>
  <c r="BF408" i="147"/>
  <c r="BF409" i="147"/>
  <c r="BF410" i="147"/>
  <c r="BF411" i="147"/>
  <c r="BF412" i="147"/>
  <c r="BF413" i="147"/>
  <c r="BF414" i="147"/>
  <c r="BF415" i="147"/>
  <c r="BF416" i="147"/>
  <c r="BF417" i="147"/>
  <c r="BF418" i="147"/>
  <c r="BF419" i="147"/>
  <c r="BF420" i="147"/>
  <c r="BF421" i="147"/>
  <c r="BF422" i="147"/>
  <c r="BF423" i="147"/>
  <c r="BF424" i="147"/>
  <c r="BF425" i="147"/>
  <c r="BF426" i="147"/>
  <c r="BF427" i="147"/>
  <c r="BF428" i="147"/>
  <c r="BF429" i="147"/>
  <c r="BF430" i="147"/>
  <c r="BF431" i="147"/>
  <c r="BF432" i="147"/>
  <c r="BF433" i="147"/>
  <c r="BF434" i="147"/>
  <c r="BF435" i="147"/>
  <c r="BF436" i="147"/>
  <c r="BF437" i="147"/>
  <c r="BF438" i="147"/>
  <c r="BF439" i="147"/>
  <c r="BF440" i="147"/>
  <c r="BF441" i="147"/>
  <c r="BF442" i="147"/>
  <c r="BF443" i="147"/>
  <c r="BF444" i="147"/>
  <c r="BF445" i="147"/>
  <c r="BF446" i="147"/>
  <c r="BF447" i="147"/>
  <c r="BF448" i="147"/>
  <c r="BF449" i="147"/>
  <c r="BF450" i="147"/>
  <c r="BF451" i="147"/>
  <c r="BF452" i="147"/>
  <c r="BF453" i="147"/>
  <c r="BF454" i="147"/>
  <c r="BF455" i="147"/>
  <c r="BF456" i="147"/>
  <c r="BF457" i="147"/>
  <c r="BF458" i="147"/>
  <c r="BF459" i="147"/>
  <c r="BF460" i="147"/>
  <c r="BF461" i="147"/>
  <c r="BF462" i="147"/>
  <c r="BF463" i="147"/>
  <c r="BF464" i="147"/>
  <c r="BF465" i="147"/>
  <c r="BF466" i="147"/>
  <c r="BF467" i="147"/>
  <c r="BF468" i="147"/>
  <c r="BF469" i="147"/>
  <c r="BF470" i="147"/>
  <c r="BF471" i="147"/>
  <c r="BF472" i="147"/>
  <c r="BF473" i="147"/>
  <c r="BF474" i="147"/>
  <c r="BF475" i="147"/>
  <c r="BF476" i="147"/>
  <c r="BF477" i="147"/>
  <c r="BF478" i="147"/>
  <c r="BF479" i="147"/>
  <c r="BF480" i="147"/>
  <c r="BF481" i="147"/>
  <c r="BF482" i="147"/>
  <c r="BF483" i="147"/>
  <c r="BF484" i="147"/>
  <c r="BF485" i="147"/>
  <c r="BF486" i="147"/>
  <c r="BF487" i="147"/>
  <c r="BF488" i="147"/>
  <c r="BF489" i="147"/>
  <c r="BF490" i="147"/>
  <c r="BF491" i="147"/>
  <c r="BF492" i="147"/>
  <c r="BF493" i="147"/>
  <c r="BF497" i="147"/>
  <c r="BF498" i="147"/>
  <c r="BF499" i="147"/>
  <c r="BF500" i="147"/>
  <c r="BF501" i="147"/>
  <c r="BF502" i="147"/>
  <c r="BF503" i="147"/>
  <c r="BF504" i="147"/>
  <c r="BF505" i="147"/>
  <c r="BF506" i="147"/>
  <c r="BF507" i="147"/>
  <c r="BF508" i="147"/>
  <c r="BF509" i="147"/>
  <c r="BF510" i="147"/>
  <c r="BF511" i="147"/>
  <c r="BF512" i="147"/>
  <c r="BF513" i="147"/>
  <c r="BF514" i="147"/>
  <c r="BF515" i="147"/>
  <c r="BF516" i="147"/>
  <c r="BF517" i="147"/>
  <c r="BF518" i="147"/>
  <c r="BF519" i="147"/>
  <c r="BF520" i="147"/>
  <c r="BF521" i="147"/>
  <c r="BF522" i="147"/>
  <c r="BF523" i="147"/>
  <c r="BF524" i="147"/>
  <c r="BF525" i="147"/>
  <c r="BF526" i="147"/>
  <c r="BF527" i="147"/>
  <c r="BF528" i="147"/>
  <c r="BF529" i="147"/>
  <c r="BF530" i="147"/>
  <c r="BF531" i="147"/>
  <c r="BF532" i="147"/>
  <c r="BF533" i="147"/>
  <c r="BF534" i="147"/>
  <c r="BF535" i="147"/>
  <c r="BF536" i="147"/>
  <c r="BF537" i="147"/>
  <c r="BF538" i="147"/>
  <c r="BF539" i="147"/>
  <c r="BF540" i="147"/>
  <c r="BF541" i="147"/>
  <c r="BF542" i="147"/>
  <c r="BF543" i="147"/>
  <c r="BF544" i="147"/>
  <c r="BF545" i="147"/>
  <c r="BF546" i="147"/>
  <c r="BF547" i="147"/>
  <c r="BF548" i="147"/>
  <c r="BF549" i="147"/>
  <c r="BF550" i="147"/>
  <c r="BF551" i="147"/>
  <c r="BF552" i="147"/>
  <c r="BF553" i="147"/>
  <c r="BF554" i="147"/>
  <c r="BF555" i="147"/>
  <c r="BF556" i="147"/>
  <c r="BF557" i="147"/>
  <c r="BF558" i="147"/>
  <c r="BF559" i="147"/>
  <c r="BF560" i="147"/>
  <c r="BF561" i="147"/>
  <c r="BF562" i="147"/>
  <c r="BF563" i="147"/>
  <c r="BF564" i="147"/>
  <c r="BF565" i="147"/>
  <c r="BF566" i="147"/>
  <c r="BF568" i="147"/>
  <c r="BF494" i="147"/>
  <c r="BF495" i="147"/>
  <c r="BF496" i="147"/>
  <c r="BF569" i="147"/>
  <c r="BF570" i="147"/>
  <c r="BF571" i="147"/>
  <c r="BF572" i="147"/>
  <c r="BF573" i="147"/>
  <c r="BF574" i="147"/>
  <c r="BF575" i="147"/>
  <c r="BF576" i="147"/>
  <c r="BF577" i="147"/>
  <c r="BF578" i="147"/>
  <c r="BF579" i="147"/>
  <c r="BF580" i="147"/>
  <c r="BF581" i="147"/>
  <c r="BF582" i="147"/>
  <c r="BF583" i="147"/>
  <c r="BF584" i="147"/>
  <c r="BF585" i="147"/>
  <c r="BF586" i="147"/>
  <c r="BF587" i="147"/>
  <c r="BF588" i="147"/>
  <c r="BF589" i="147"/>
  <c r="BF590" i="147"/>
  <c r="BF591" i="147"/>
  <c r="BF592" i="147"/>
  <c r="BF593" i="147"/>
  <c r="BF594" i="147"/>
  <c r="BF595" i="147"/>
  <c r="BF596" i="147"/>
  <c r="BF597" i="147"/>
  <c r="BF598" i="147"/>
  <c r="BF600" i="147"/>
  <c r="BF601" i="147"/>
  <c r="BF602" i="147"/>
  <c r="BF603" i="147"/>
  <c r="BF604" i="147"/>
  <c r="BF605" i="147"/>
  <c r="BF606" i="147"/>
  <c r="BF607" i="147"/>
  <c r="BF608" i="147"/>
  <c r="BF609" i="147"/>
  <c r="BF610" i="147"/>
  <c r="BF611" i="147"/>
  <c r="BF612" i="147"/>
  <c r="BF613" i="147"/>
  <c r="BF614" i="147"/>
  <c r="BF615" i="147"/>
  <c r="BF616" i="147"/>
  <c r="BF617" i="147"/>
  <c r="BF618" i="147"/>
  <c r="BF619" i="147"/>
  <c r="BF620" i="147"/>
  <c r="BF621" i="147"/>
  <c r="BF623" i="147"/>
  <c r="BF624" i="147"/>
  <c r="BF625" i="147"/>
  <c r="BF626" i="147"/>
  <c r="BF627" i="147"/>
  <c r="BF628" i="147"/>
  <c r="BF629" i="147"/>
  <c r="BF631" i="147"/>
  <c r="BF632" i="147"/>
  <c r="BF633" i="147"/>
  <c r="BF634" i="147"/>
  <c r="BF635" i="147"/>
  <c r="BF636" i="147"/>
  <c r="BF637" i="147"/>
  <c r="BF638" i="147"/>
  <c r="BF639" i="147"/>
  <c r="BF640" i="147"/>
  <c r="BF641" i="147"/>
  <c r="BF642" i="147"/>
  <c r="BF643" i="147"/>
  <c r="BF622" i="147"/>
  <c r="BH375" i="147"/>
  <c r="BH376" i="147"/>
  <c r="BH377" i="147"/>
  <c r="BH378" i="147"/>
  <c r="BH379" i="147"/>
  <c r="BH380" i="147"/>
  <c r="BH381" i="147"/>
  <c r="BH382" i="147"/>
  <c r="BH383" i="147"/>
  <c r="BH384" i="147"/>
  <c r="BH385" i="147"/>
  <c r="BH400" i="147"/>
  <c r="BH401" i="147"/>
  <c r="BH402" i="147"/>
  <c r="BH403" i="147"/>
  <c r="BH404" i="147"/>
  <c r="BH405" i="147"/>
  <c r="BH406" i="147"/>
  <c r="BH407" i="147"/>
  <c r="BH408" i="147"/>
  <c r="BH409" i="147"/>
  <c r="BH410" i="147"/>
  <c r="BH411" i="147"/>
  <c r="BH412" i="147"/>
  <c r="BH413" i="147"/>
  <c r="BH414" i="147"/>
  <c r="BH415" i="147"/>
  <c r="BH416" i="147"/>
  <c r="BH417" i="147"/>
  <c r="BH418" i="147"/>
  <c r="BH419" i="147"/>
  <c r="BH420" i="147"/>
  <c r="BH421" i="147"/>
  <c r="BH422" i="147"/>
  <c r="BH423" i="147"/>
  <c r="BH424" i="147"/>
  <c r="BH425" i="147"/>
  <c r="BH426" i="147"/>
  <c r="BH427" i="147"/>
  <c r="BH428" i="147"/>
  <c r="BH386" i="147"/>
  <c r="BH387" i="147"/>
  <c r="BH388" i="147"/>
  <c r="BH389" i="147"/>
  <c r="BH390" i="147"/>
  <c r="BH391" i="147"/>
  <c r="BH392" i="147"/>
  <c r="BH393" i="147"/>
  <c r="BH394" i="147"/>
  <c r="BH395" i="147"/>
  <c r="BH396" i="147"/>
  <c r="BH397" i="147"/>
  <c r="BH398" i="147"/>
  <c r="BH399" i="147"/>
  <c r="BH429" i="147"/>
  <c r="BH430" i="147"/>
  <c r="BH431" i="147"/>
  <c r="BH432" i="147"/>
  <c r="BH433" i="147"/>
  <c r="BH434" i="147"/>
  <c r="BH435" i="147"/>
  <c r="BH436" i="147"/>
  <c r="BH437" i="147"/>
  <c r="BH438" i="147"/>
  <c r="BH439" i="147"/>
  <c r="BH440" i="147"/>
  <c r="BH441" i="147"/>
  <c r="BH442" i="147"/>
  <c r="BH443" i="147"/>
  <c r="BH444" i="147"/>
  <c r="BH445" i="147"/>
  <c r="BH446" i="147"/>
  <c r="BH447" i="147"/>
  <c r="BH448" i="147"/>
  <c r="BH449" i="147"/>
  <c r="BH450" i="147"/>
  <c r="BH451" i="147"/>
  <c r="BH452" i="147"/>
  <c r="BH453" i="147"/>
  <c r="BH454" i="147"/>
  <c r="BH455" i="147"/>
  <c r="BH456" i="147"/>
  <c r="BH457" i="147"/>
  <c r="BH458" i="147"/>
  <c r="BH459" i="147"/>
  <c r="BH460" i="147"/>
  <c r="BH461" i="147"/>
  <c r="BH462" i="147"/>
  <c r="BH463" i="147"/>
  <c r="BH464" i="147"/>
  <c r="BH465" i="147"/>
  <c r="BH466" i="147"/>
  <c r="BH467" i="147"/>
  <c r="BH468" i="147"/>
  <c r="BH469" i="147"/>
  <c r="BH470" i="147"/>
  <c r="BH471" i="147"/>
  <c r="BH472" i="147"/>
  <c r="BH473" i="147"/>
  <c r="BH474" i="147"/>
  <c r="BH475" i="147"/>
  <c r="BH476" i="147"/>
  <c r="BH477" i="147"/>
  <c r="BH478" i="147"/>
  <c r="BH479" i="147"/>
  <c r="BH480" i="147"/>
  <c r="BH481" i="147"/>
  <c r="BH482" i="147"/>
  <c r="BH483" i="147"/>
  <c r="BH484" i="147"/>
  <c r="BH485" i="147"/>
  <c r="BH486" i="147"/>
  <c r="BH487" i="147"/>
  <c r="BH488" i="147"/>
  <c r="BH489" i="147"/>
  <c r="BH490" i="147"/>
  <c r="BH491" i="147"/>
  <c r="BH492" i="147"/>
  <c r="BH493" i="147"/>
  <c r="BH494" i="147"/>
  <c r="BH495" i="147"/>
  <c r="BH496" i="147"/>
  <c r="BH497" i="147"/>
  <c r="BH498" i="147"/>
  <c r="BH499" i="147"/>
  <c r="BH500" i="147"/>
  <c r="BH501" i="147"/>
  <c r="BH502" i="147"/>
  <c r="BH503" i="147"/>
  <c r="BH504" i="147"/>
  <c r="BH505" i="147"/>
  <c r="BH506" i="147"/>
  <c r="BH507" i="147"/>
  <c r="BH508" i="147"/>
  <c r="BH509" i="147"/>
  <c r="BH510" i="147"/>
  <c r="BH511" i="147"/>
  <c r="BH512" i="147"/>
  <c r="BH513" i="147"/>
  <c r="BH514" i="147"/>
  <c r="BH515" i="147"/>
  <c r="BH516" i="147"/>
  <c r="BH517" i="147"/>
  <c r="BH518" i="147"/>
  <c r="BH519" i="147"/>
  <c r="BH520" i="147"/>
  <c r="BH521" i="147"/>
  <c r="BH522" i="147"/>
  <c r="BH523" i="147"/>
  <c r="BH524" i="147"/>
  <c r="BH525" i="147"/>
  <c r="BH526" i="147"/>
  <c r="BH527" i="147"/>
  <c r="BH528" i="147"/>
  <c r="BH529" i="147"/>
  <c r="BH530" i="147"/>
  <c r="BH531" i="147"/>
  <c r="BH532" i="147"/>
  <c r="BH533" i="147"/>
  <c r="BH534" i="147"/>
  <c r="BH535" i="147"/>
  <c r="BH536" i="147"/>
  <c r="BH537" i="147"/>
  <c r="BH538" i="147"/>
  <c r="BH539" i="147"/>
  <c r="BH540" i="147"/>
  <c r="BH541" i="147"/>
  <c r="BH542" i="147"/>
  <c r="BH543" i="147"/>
  <c r="BH544" i="147"/>
  <c r="BH545" i="147"/>
  <c r="BH546" i="147"/>
  <c r="BH547" i="147"/>
  <c r="BH548" i="147"/>
  <c r="BH549" i="147"/>
  <c r="BH550" i="147"/>
  <c r="BH551" i="147"/>
  <c r="BH552" i="147"/>
  <c r="BH553" i="147"/>
  <c r="BH554" i="147"/>
  <c r="BH555" i="147"/>
  <c r="BH556" i="147"/>
  <c r="BH557" i="147"/>
  <c r="BH558" i="147"/>
  <c r="BH559" i="147"/>
  <c r="BH560" i="147"/>
  <c r="BH561" i="147"/>
  <c r="BH562" i="147"/>
  <c r="BH563" i="147"/>
  <c r="BH564" i="147"/>
  <c r="BH565" i="147"/>
  <c r="BH566" i="147"/>
  <c r="BH568" i="147"/>
  <c r="BH569" i="147"/>
  <c r="BH570" i="147"/>
  <c r="BH571" i="147"/>
  <c r="BH572" i="147"/>
  <c r="BH573" i="147"/>
  <c r="BH574" i="147"/>
  <c r="BH575" i="147"/>
  <c r="BH576" i="147"/>
  <c r="BH577" i="147"/>
  <c r="BH578" i="147"/>
  <c r="BH579" i="147"/>
  <c r="BH580" i="147"/>
  <c r="BH581" i="147"/>
  <c r="BH582" i="147"/>
  <c r="BH583" i="147"/>
  <c r="BH584" i="147"/>
  <c r="BH585" i="147"/>
  <c r="BH586" i="147"/>
  <c r="BH587" i="147"/>
  <c r="BH588" i="147"/>
  <c r="BH589" i="147"/>
  <c r="BH590" i="147"/>
  <c r="BH591" i="147"/>
  <c r="BH592" i="147"/>
  <c r="BH593" i="147"/>
  <c r="BH594" i="147"/>
  <c r="BH595" i="147"/>
  <c r="BH596" i="147"/>
  <c r="BH597" i="147"/>
  <c r="BH598" i="147"/>
  <c r="BH600" i="147"/>
  <c r="BH601" i="147"/>
  <c r="BH602" i="147"/>
  <c r="BH603" i="147"/>
  <c r="BH604" i="147"/>
  <c r="BH605" i="147"/>
  <c r="BH606" i="147"/>
  <c r="BH607" i="147"/>
  <c r="BH608" i="147"/>
  <c r="BH609" i="147"/>
  <c r="BH610" i="147"/>
  <c r="BH611" i="147"/>
  <c r="BH612" i="147"/>
  <c r="BH613" i="147"/>
  <c r="BH614" i="147"/>
  <c r="BH615" i="147"/>
  <c r="BH616" i="147"/>
  <c r="BH617" i="147"/>
  <c r="BH618" i="147"/>
  <c r="BH619" i="147"/>
  <c r="BH620" i="147"/>
  <c r="BH621" i="147"/>
  <c r="BH622" i="147"/>
  <c r="BH623" i="147"/>
  <c r="BH624" i="147"/>
  <c r="BH626" i="147"/>
  <c r="BH627" i="147"/>
  <c r="BH628" i="147"/>
  <c r="BH629" i="147"/>
  <c r="BH631" i="147"/>
  <c r="BH632" i="147"/>
  <c r="BH633" i="147"/>
  <c r="BH634" i="147"/>
  <c r="BH635" i="147"/>
  <c r="BH636" i="147"/>
  <c r="BH637" i="147"/>
  <c r="BH638" i="147"/>
  <c r="BH639" i="147"/>
  <c r="BH640" i="147"/>
  <c r="BH641" i="147"/>
  <c r="BH642" i="147"/>
  <c r="BH643" i="147"/>
  <c r="BH625" i="147"/>
  <c r="G565" i="489"/>
  <c r="BH373" i="147"/>
  <c r="BG373" i="147"/>
  <c r="BF373" i="147"/>
  <c r="F554" i="489" l="1"/>
  <c r="F395" i="489"/>
  <c r="BF741" i="147"/>
  <c r="BH741" i="147"/>
  <c r="BG741" i="147"/>
  <c r="F396" i="489"/>
  <c r="AC341" i="147"/>
  <c r="AB340" i="147"/>
  <c r="AC1158" i="489" l="1"/>
  <c r="AC1155" i="489"/>
  <c r="AC1156" i="489"/>
  <c r="AC1162" i="489" s="1"/>
  <c r="AC1179" i="489" s="1"/>
  <c r="AC206" i="489"/>
  <c r="AC223" i="489" s="1"/>
  <c r="AC333" i="489" s="1"/>
  <c r="G554" i="489"/>
  <c r="G395" i="489"/>
  <c r="AB741" i="147"/>
  <c r="AB710" i="147"/>
  <c r="EY341" i="147"/>
  <c r="F397" i="489"/>
  <c r="G396" i="489"/>
  <c r="EY340" i="147"/>
  <c r="AB371" i="147"/>
  <c r="E19" i="490"/>
  <c r="F19" i="490" s="1"/>
  <c r="AC1104" i="489" l="1"/>
  <c r="AC1106" i="489" s="1"/>
  <c r="AC146" i="489"/>
  <c r="AC1186" i="489"/>
  <c r="AC1113" i="489"/>
  <c r="AC1116" i="489" s="1"/>
  <c r="AC156" i="489"/>
  <c r="AC1198" i="489"/>
  <c r="AC1200" i="489" s="1"/>
  <c r="AC246" i="489"/>
  <c r="AB1034" i="489"/>
  <c r="AB1038" i="489" s="1"/>
  <c r="EY68" i="489"/>
  <c r="AB72" i="489"/>
  <c r="AB1117" i="489"/>
  <c r="AB1122" i="489" s="1"/>
  <c r="AB1123" i="489" s="1"/>
  <c r="EY157" i="489"/>
  <c r="AB162" i="489"/>
  <c r="AB163" i="489" s="1"/>
  <c r="AB331" i="489" s="1"/>
  <c r="G397" i="489"/>
  <c r="F24" i="490"/>
  <c r="F26" i="490" s="1"/>
  <c r="F27" i="490" s="1"/>
  <c r="F31" i="490" s="1"/>
  <c r="I154" i="147" s="1"/>
  <c r="AE338" i="489"/>
  <c r="D366" i="489"/>
  <c r="D367" i="489" s="1"/>
  <c r="D843" i="489"/>
  <c r="D844" i="489" s="1"/>
  <c r="D684" i="489"/>
  <c r="D685" i="489" s="1"/>
  <c r="D525" i="489"/>
  <c r="D526" i="489" s="1"/>
  <c r="E21" i="288"/>
  <c r="E22" i="315"/>
  <c r="E23" i="287"/>
  <c r="E22" i="102"/>
  <c r="E24" i="399"/>
  <c r="E24" i="446"/>
  <c r="E22" i="313"/>
  <c r="E27" i="298"/>
  <c r="E23" i="277"/>
  <c r="AE372" i="147"/>
  <c r="AE740" i="147" s="1"/>
  <c r="E19" i="203"/>
  <c r="E22" i="341"/>
  <c r="E23" i="307"/>
  <c r="E26" i="221"/>
  <c r="E22" i="342"/>
  <c r="E23" i="89"/>
  <c r="E22" i="335"/>
  <c r="E22" i="386"/>
  <c r="E22" i="334"/>
  <c r="E22" i="193"/>
  <c r="E24" i="433"/>
  <c r="E22" i="337"/>
  <c r="E24" i="432"/>
  <c r="E22" i="472"/>
  <c r="F22" i="472" s="1"/>
  <c r="F30" i="472" s="1"/>
  <c r="F31" i="472" s="1"/>
  <c r="F35" i="472" s="1"/>
  <c r="I157" i="147" s="1"/>
  <c r="I197" i="489" s="1"/>
  <c r="I185" i="93" s="1"/>
  <c r="E24" i="431"/>
  <c r="E22" i="336"/>
  <c r="E24" i="430"/>
  <c r="E21" i="301"/>
  <c r="E19" i="191"/>
  <c r="E21" i="415"/>
  <c r="E19" i="190"/>
  <c r="E20" i="414"/>
  <c r="E20" i="119"/>
  <c r="E20" i="305"/>
  <c r="E19" i="189"/>
  <c r="E21" i="437"/>
  <c r="EY15" i="147"/>
  <c r="AE599" i="147" l="1"/>
  <c r="AE739" i="147"/>
  <c r="AE737" i="147"/>
  <c r="AE738" i="147"/>
  <c r="AE689" i="147"/>
  <c r="AC1265" i="489"/>
  <c r="AC163" i="489"/>
  <c r="AC331" i="489" s="1"/>
  <c r="AC1123" i="489"/>
  <c r="AC322" i="489"/>
  <c r="AC317" i="489"/>
  <c r="AB323" i="489"/>
  <c r="AE567" i="147"/>
  <c r="AE630" i="147"/>
  <c r="AE644" i="147"/>
  <c r="AE645" i="147"/>
  <c r="AE646" i="147"/>
  <c r="AE647" i="147"/>
  <c r="AE648" i="147"/>
  <c r="AE651" i="147"/>
  <c r="AE652" i="147"/>
  <c r="AE653" i="147"/>
  <c r="AE654" i="147"/>
  <c r="AE655" i="147"/>
  <c r="AE650" i="147"/>
  <c r="AE656" i="147"/>
  <c r="AE657" i="147"/>
  <c r="AE658" i="147"/>
  <c r="AE659" i="147"/>
  <c r="AE660" i="147"/>
  <c r="AE661" i="147"/>
  <c r="AE662" i="147"/>
  <c r="AE663" i="147"/>
  <c r="AE664" i="147"/>
  <c r="AE665" i="147"/>
  <c r="AE649" i="147"/>
  <c r="AE668" i="147"/>
  <c r="AE669" i="147"/>
  <c r="AE670" i="147"/>
  <c r="AE671" i="147"/>
  <c r="AE675" i="147"/>
  <c r="AE682" i="147"/>
  <c r="AE683" i="147"/>
  <c r="AE686" i="147"/>
  <c r="AE687" i="147"/>
  <c r="AE688" i="147"/>
  <c r="AE690" i="147"/>
  <c r="AE691" i="147"/>
  <c r="AE692" i="147"/>
  <c r="AE684" i="147"/>
  <c r="AE694" i="147"/>
  <c r="AE685" i="147"/>
  <c r="AE693" i="147"/>
  <c r="AE696" i="147"/>
  <c r="AE697" i="147"/>
  <c r="AE698" i="147"/>
  <c r="AE699" i="147"/>
  <c r="AE700" i="147"/>
  <c r="AE701" i="147"/>
  <c r="AE702" i="147"/>
  <c r="AE703" i="147"/>
  <c r="AE704" i="147"/>
  <c r="AE705" i="147"/>
  <c r="AE706" i="147"/>
  <c r="AE707" i="147"/>
  <c r="AE708" i="147"/>
  <c r="AE709" i="147"/>
  <c r="AE710" i="147"/>
  <c r="AE711" i="147"/>
  <c r="AE712" i="147"/>
  <c r="AE713" i="147"/>
  <c r="AE714" i="147"/>
  <c r="AE715" i="147"/>
  <c r="AE716" i="147"/>
  <c r="AE726" i="147"/>
  <c r="AE727" i="147"/>
  <c r="AE728" i="147"/>
  <c r="AE729" i="147"/>
  <c r="AE730" i="147"/>
  <c r="AE731" i="147"/>
  <c r="AE732" i="147"/>
  <c r="AE733" i="147"/>
  <c r="AE734" i="147"/>
  <c r="AE735" i="147"/>
  <c r="AE736" i="147"/>
  <c r="AE717" i="147"/>
  <c r="AE718" i="147"/>
  <c r="AE719" i="147"/>
  <c r="AE720" i="147"/>
  <c r="AE721" i="147"/>
  <c r="AE722" i="147"/>
  <c r="AE723" i="147"/>
  <c r="AE724" i="147"/>
  <c r="AE725" i="147"/>
  <c r="AE376" i="147"/>
  <c r="AE377" i="147"/>
  <c r="AE378" i="147"/>
  <c r="AE379" i="147"/>
  <c r="AE380" i="147"/>
  <c r="AE381" i="147"/>
  <c r="AE383" i="147"/>
  <c r="AE384" i="147"/>
  <c r="AE385" i="147"/>
  <c r="AE375" i="147"/>
  <c r="AE386" i="147"/>
  <c r="AE387" i="147"/>
  <c r="AE388" i="147"/>
  <c r="AE389" i="147"/>
  <c r="AE390" i="147"/>
  <c r="AE391" i="147"/>
  <c r="AE392" i="147"/>
  <c r="AE393" i="147"/>
  <c r="AE394" i="147"/>
  <c r="AE395" i="147"/>
  <c r="AE397" i="147"/>
  <c r="AE400" i="147"/>
  <c r="AE402" i="147"/>
  <c r="AE404" i="147"/>
  <c r="AE405" i="147"/>
  <c r="AE406" i="147"/>
  <c r="AE407" i="147"/>
  <c r="AE408" i="147"/>
  <c r="AE409" i="147"/>
  <c r="AE410" i="147"/>
  <c r="AE411" i="147"/>
  <c r="AE413" i="147"/>
  <c r="AE414" i="147"/>
  <c r="AE415" i="147"/>
  <c r="AE416" i="147"/>
  <c r="AE417" i="147"/>
  <c r="AE418" i="147"/>
  <c r="AE419" i="147"/>
  <c r="AE420" i="147"/>
  <c r="AE421" i="147"/>
  <c r="AE422" i="147"/>
  <c r="AE423" i="147"/>
  <c r="AE424" i="147"/>
  <c r="AE427" i="147"/>
  <c r="AE428" i="147"/>
  <c r="AE430" i="147"/>
  <c r="AE431" i="147"/>
  <c r="AE432" i="147"/>
  <c r="AE433" i="147"/>
  <c r="AE434" i="147"/>
  <c r="AE435" i="147"/>
  <c r="AE436" i="147"/>
  <c r="AE437" i="147"/>
  <c r="AE438" i="147"/>
  <c r="AE439" i="147"/>
  <c r="AE446" i="147"/>
  <c r="AE447" i="147"/>
  <c r="AE448" i="147"/>
  <c r="AE449" i="147"/>
  <c r="AE450" i="147"/>
  <c r="AE457" i="147"/>
  <c r="AE440" i="147"/>
  <c r="AE441" i="147"/>
  <c r="AE442" i="147"/>
  <c r="AE443" i="147"/>
  <c r="AE444" i="147"/>
  <c r="AE445" i="147"/>
  <c r="AE460" i="147"/>
  <c r="AE461" i="147"/>
  <c r="AE462" i="147"/>
  <c r="AE463" i="147"/>
  <c r="AE464" i="147"/>
  <c r="AE465" i="147"/>
  <c r="AE466" i="147"/>
  <c r="AE467" i="147"/>
  <c r="AE468" i="147"/>
  <c r="AE469" i="147"/>
  <c r="AE470" i="147"/>
  <c r="AE471" i="147"/>
  <c r="AE472" i="147"/>
  <c r="AE473" i="147"/>
  <c r="AE474" i="147"/>
  <c r="AE475" i="147"/>
  <c r="AE476" i="147"/>
  <c r="AE477" i="147"/>
  <c r="AE478" i="147"/>
  <c r="AE479" i="147"/>
  <c r="AE480" i="147"/>
  <c r="AE481" i="147"/>
  <c r="AE482" i="147"/>
  <c r="AE483" i="147"/>
  <c r="AE484" i="147"/>
  <c r="AE485" i="147"/>
  <c r="AE486" i="147"/>
  <c r="AE487" i="147"/>
  <c r="AE488" i="147"/>
  <c r="AE489" i="147"/>
  <c r="AE490" i="147"/>
  <c r="AE491" i="147"/>
  <c r="AE492" i="147"/>
  <c r="AE493" i="147"/>
  <c r="AE494" i="147"/>
  <c r="AE495" i="147"/>
  <c r="AE496" i="147"/>
  <c r="AE497" i="147"/>
  <c r="AE498" i="147"/>
  <c r="AE499" i="147"/>
  <c r="AE500" i="147"/>
  <c r="AE501" i="147"/>
  <c r="AE502" i="147"/>
  <c r="AE503" i="147"/>
  <c r="AE504" i="147"/>
  <c r="AE505" i="147"/>
  <c r="AE506" i="147"/>
  <c r="AE516" i="147"/>
  <c r="AE517" i="147"/>
  <c r="AE518" i="147"/>
  <c r="AE519" i="147"/>
  <c r="AE520" i="147"/>
  <c r="AE531" i="147"/>
  <c r="AE532" i="147"/>
  <c r="AE533" i="147"/>
  <c r="AE534" i="147"/>
  <c r="AE535" i="147"/>
  <c r="AE536" i="147"/>
  <c r="AE537" i="147"/>
  <c r="AE538" i="147"/>
  <c r="AE539" i="147"/>
  <c r="AE540" i="147"/>
  <c r="AE541" i="147"/>
  <c r="AE542" i="147"/>
  <c r="AE543" i="147"/>
  <c r="AE544" i="147"/>
  <c r="AE545" i="147"/>
  <c r="AE546" i="147"/>
  <c r="AE547" i="147"/>
  <c r="AE548" i="147"/>
  <c r="AE549" i="147"/>
  <c r="AE550" i="147"/>
  <c r="AE551" i="147"/>
  <c r="AE552" i="147"/>
  <c r="AE553" i="147"/>
  <c r="AE554" i="147"/>
  <c r="AE555" i="147"/>
  <c r="AE556" i="147"/>
  <c r="AE557" i="147"/>
  <c r="AE558" i="147"/>
  <c r="AE559" i="147"/>
  <c r="AE561" i="147"/>
  <c r="AE562" i="147"/>
  <c r="AE563" i="147"/>
  <c r="AE565" i="147"/>
  <c r="AE566" i="147"/>
  <c r="AE568" i="147"/>
  <c r="AE569" i="147"/>
  <c r="AE570" i="147"/>
  <c r="AE571" i="147"/>
  <c r="AE572" i="147"/>
  <c r="AE573" i="147"/>
  <c r="AE574" i="147"/>
  <c r="AE575" i="147"/>
  <c r="AE576" i="147"/>
  <c r="AE577" i="147"/>
  <c r="AE578" i="147"/>
  <c r="AE579" i="147"/>
  <c r="AE580" i="147"/>
  <c r="AE581" i="147"/>
  <c r="AE582" i="147"/>
  <c r="AE583" i="147"/>
  <c r="AE584" i="147"/>
  <c r="AE585" i="147"/>
  <c r="AE586" i="147"/>
  <c r="AE587" i="147"/>
  <c r="AE588" i="147"/>
  <c r="AE589" i="147"/>
  <c r="AE590" i="147"/>
  <c r="AE591" i="147"/>
  <c r="AE592" i="147"/>
  <c r="AE593" i="147"/>
  <c r="AE595" i="147"/>
  <c r="AE596" i="147"/>
  <c r="AE597" i="147"/>
  <c r="AE598" i="147"/>
  <c r="AE600" i="147"/>
  <c r="AE601" i="147"/>
  <c r="AE602" i="147"/>
  <c r="AE603" i="147"/>
  <c r="AE604" i="147"/>
  <c r="AE605" i="147"/>
  <c r="AE606" i="147"/>
  <c r="AE607" i="147"/>
  <c r="AE609" i="147"/>
  <c r="AE610" i="147"/>
  <c r="AE611" i="147"/>
  <c r="AE612" i="147"/>
  <c r="AE613" i="147"/>
  <c r="AE614" i="147"/>
  <c r="AE615" i="147"/>
  <c r="AE616" i="147"/>
  <c r="AE617" i="147"/>
  <c r="AE618" i="147"/>
  <c r="AE619" i="147"/>
  <c r="AE620" i="147"/>
  <c r="AE621" i="147"/>
  <c r="AE622" i="147"/>
  <c r="AE623" i="147"/>
  <c r="AE624" i="147"/>
  <c r="AE625" i="147"/>
  <c r="AE626" i="147"/>
  <c r="AE627" i="147"/>
  <c r="AE628" i="147"/>
  <c r="AE629" i="147"/>
  <c r="AE631" i="147"/>
  <c r="AE632" i="147"/>
  <c r="AE633" i="147"/>
  <c r="AE634" i="147"/>
  <c r="AE635" i="147"/>
  <c r="AE636" i="147"/>
  <c r="AE637" i="147"/>
  <c r="AE638" i="147"/>
  <c r="AE639" i="147"/>
  <c r="AE640" i="147"/>
  <c r="AE641" i="147"/>
  <c r="AE642" i="147"/>
  <c r="AE643" i="147"/>
  <c r="AE515" i="147"/>
  <c r="AE529" i="147"/>
  <c r="AE524" i="147"/>
  <c r="AE525" i="147"/>
  <c r="AE527" i="147"/>
  <c r="AE1238" i="489"/>
  <c r="AE1240" i="489"/>
  <c r="AE1241" i="489"/>
  <c r="AE1242" i="489"/>
  <c r="AE1243" i="489"/>
  <c r="AE1244" i="489"/>
  <c r="AE1245" i="489"/>
  <c r="AE1247" i="489"/>
  <c r="AE1250" i="489"/>
  <c r="AE1251" i="489"/>
  <c r="AE1252" i="489"/>
  <c r="AE1257" i="489"/>
  <c r="AE1253" i="489"/>
  <c r="AE1260" i="489"/>
  <c r="AE1210" i="489"/>
  <c r="AE1211" i="489"/>
  <c r="AE1212" i="489"/>
  <c r="AE1255" i="489"/>
  <c r="AE1259" i="489"/>
  <c r="AE1214" i="489"/>
  <c r="AE1215" i="489"/>
  <c r="AE1213" i="489"/>
  <c r="AE1261" i="489"/>
  <c r="AE1258" i="489"/>
  <c r="AE1217" i="489"/>
  <c r="AE1254" i="489"/>
  <c r="AE1216" i="489"/>
  <c r="AE1219" i="489"/>
  <c r="AE1220" i="489"/>
  <c r="AE1221" i="489"/>
  <c r="AE1223" i="489"/>
  <c r="AE1224" i="489"/>
  <c r="AE1225" i="489"/>
  <c r="AE1226" i="489"/>
  <c r="AE1227" i="489"/>
  <c r="AE1229" i="489"/>
  <c r="AE1222" i="489"/>
  <c r="AE1230" i="489"/>
  <c r="AE1233" i="489"/>
  <c r="AE1232" i="489"/>
  <c r="AE1231" i="489"/>
  <c r="AE1182" i="489"/>
  <c r="AE1184" i="489"/>
  <c r="AE1185" i="489"/>
  <c r="AE1186" i="489"/>
  <c r="AE1187" i="489"/>
  <c r="AE1188" i="489"/>
  <c r="AE1189" i="489"/>
  <c r="AE1191" i="489"/>
  <c r="AE1192" i="489"/>
  <c r="AE1193" i="489"/>
  <c r="AE1195" i="489"/>
  <c r="AE1194" i="489"/>
  <c r="AE1198" i="489"/>
  <c r="AE1199" i="489"/>
  <c r="AE1201" i="489"/>
  <c r="AE1202" i="489"/>
  <c r="AE1203" i="489"/>
  <c r="AE1204" i="489"/>
  <c r="AE1205" i="489"/>
  <c r="AE1196" i="489"/>
  <c r="AE1197" i="489"/>
  <c r="AB318" i="489"/>
  <c r="AB73" i="489"/>
  <c r="AB1039" i="489"/>
  <c r="AB1266" i="489"/>
  <c r="AB1267" i="489" s="1"/>
  <c r="AE1156" i="489"/>
  <c r="AE1160" i="489"/>
  <c r="AE1161" i="489"/>
  <c r="AE1157" i="489"/>
  <c r="AE1170" i="489"/>
  <c r="AE1171" i="489"/>
  <c r="AE1158" i="489"/>
  <c r="AE1159" i="489"/>
  <c r="AE1176" i="489"/>
  <c r="AE1177" i="489"/>
  <c r="AE1129" i="489"/>
  <c r="AE1130" i="489"/>
  <c r="AE1131" i="489"/>
  <c r="AE1132" i="489"/>
  <c r="AE1133" i="489"/>
  <c r="AE1141" i="489"/>
  <c r="AE1142" i="489"/>
  <c r="AE1143" i="489"/>
  <c r="AE1147" i="489"/>
  <c r="AE1148" i="489"/>
  <c r="AE1149" i="489"/>
  <c r="AE1103" i="489"/>
  <c r="AE1104" i="489"/>
  <c r="AE1105" i="489"/>
  <c r="AE1113" i="489"/>
  <c r="AE1114" i="489"/>
  <c r="AE1102" i="489"/>
  <c r="AE1115" i="489"/>
  <c r="AE1119" i="489"/>
  <c r="AE1120" i="489"/>
  <c r="AE1121" i="489"/>
  <c r="AE1073" i="489"/>
  <c r="AE1074" i="489"/>
  <c r="AE1075" i="489"/>
  <c r="AE1076" i="489"/>
  <c r="AE1077" i="489"/>
  <c r="AE1086" i="489"/>
  <c r="AE1087" i="489"/>
  <c r="AE1091" i="489"/>
  <c r="AE1092" i="489"/>
  <c r="AE1093" i="489"/>
  <c r="AE1072" i="489"/>
  <c r="AE1069" i="489"/>
  <c r="AE1083" i="489"/>
  <c r="AE1089" i="489"/>
  <c r="AE1112" i="489"/>
  <c r="AE1109" i="489"/>
  <c r="AE1084" i="489"/>
  <c r="AE1081" i="489"/>
  <c r="AE1090" i="489"/>
  <c r="AE1100" i="489"/>
  <c r="AE1110" i="489"/>
  <c r="AE1070" i="489"/>
  <c r="AE1071" i="489"/>
  <c r="AE1085" i="489"/>
  <c r="AE1082" i="489"/>
  <c r="AE1101" i="489"/>
  <c r="AE1111" i="489"/>
  <c r="AE1118" i="489"/>
  <c r="AE1127" i="489"/>
  <c r="AE1140" i="489"/>
  <c r="AE1137" i="489"/>
  <c r="AE1135" i="489"/>
  <c r="AE1107" i="489"/>
  <c r="AE1128" i="489"/>
  <c r="AE1138" i="489"/>
  <c r="AE1155" i="489"/>
  <c r="AE1169" i="489"/>
  <c r="AE1166" i="489"/>
  <c r="AE1173" i="489"/>
  <c r="AE1117" i="489"/>
  <c r="AE1126" i="489"/>
  <c r="AE1139" i="489"/>
  <c r="AE1136" i="489"/>
  <c r="AE1146" i="489"/>
  <c r="AE1154" i="489"/>
  <c r="AE1168" i="489"/>
  <c r="AE1165" i="489"/>
  <c r="AE1175" i="489"/>
  <c r="AE1167" i="489"/>
  <c r="AE1164" i="489"/>
  <c r="AE1174" i="489"/>
  <c r="AE1125" i="489"/>
  <c r="AE1026" i="489"/>
  <c r="AE1030" i="489"/>
  <c r="AE1061" i="489"/>
  <c r="AE1062" i="489"/>
  <c r="AE1063" i="489"/>
  <c r="AE1064" i="489"/>
  <c r="AE1065" i="489"/>
  <c r="AE1029" i="489"/>
  <c r="AE1016" i="489"/>
  <c r="AE1021" i="489"/>
  <c r="AE1028" i="489"/>
  <c r="AE1034" i="489"/>
  <c r="AE1019" i="489"/>
  <c r="AE1025" i="489"/>
  <c r="AE1031" i="489"/>
  <c r="AE1033" i="489"/>
  <c r="AE1055" i="489"/>
  <c r="AE1056" i="489"/>
  <c r="AE1057" i="489"/>
  <c r="AE1058" i="489"/>
  <c r="AE1059" i="489"/>
  <c r="AE1054" i="489"/>
  <c r="AE1015" i="489"/>
  <c r="AE1041" i="489"/>
  <c r="AE1042" i="489"/>
  <c r="AE1043" i="489"/>
  <c r="AE1044" i="489"/>
  <c r="AE1045" i="489"/>
  <c r="AE1046" i="489"/>
  <c r="AE1047" i="489"/>
  <c r="AE1048" i="489"/>
  <c r="AE1049" i="489"/>
  <c r="AE1051" i="489"/>
  <c r="AE1053" i="489"/>
  <c r="AE1017" i="489"/>
  <c r="AE1020" i="489"/>
  <c r="AE1027" i="489"/>
  <c r="AE1036" i="489"/>
  <c r="AE1035" i="489"/>
  <c r="AE1024" i="489"/>
  <c r="AE1037" i="489"/>
  <c r="AE1014" i="489"/>
  <c r="AE1018" i="489"/>
  <c r="F572" i="489"/>
  <c r="AE995" i="489"/>
  <c r="AE1005" i="489"/>
  <c r="AE986" i="489"/>
  <c r="AE992" i="489"/>
  <c r="AE1006" i="489"/>
  <c r="AE1007" i="489"/>
  <c r="AE998" i="489"/>
  <c r="AE1001" i="489"/>
  <c r="AE991" i="489"/>
  <c r="AE987" i="489"/>
  <c r="AE985" i="489"/>
  <c r="AE988" i="489"/>
  <c r="AE999" i="489"/>
  <c r="AE996" i="489"/>
  <c r="AE1000" i="489"/>
  <c r="AE1003" i="489"/>
  <c r="AE1008" i="489"/>
  <c r="AE1009" i="489"/>
  <c r="AE990" i="489"/>
  <c r="AE993" i="489"/>
  <c r="AE1002" i="489"/>
  <c r="W176" i="489"/>
  <c r="AE1228" i="489" l="1"/>
  <c r="AE1200" i="489"/>
  <c r="AE1234" i="489"/>
  <c r="AE1262" i="489"/>
  <c r="AE1206" i="489"/>
  <c r="AB328" i="489"/>
  <c r="AB337" i="489" s="1"/>
  <c r="AB319" i="489"/>
  <c r="AB320" i="489" s="1"/>
  <c r="AE1094" i="489"/>
  <c r="AE1134" i="489"/>
  <c r="AE1144" i="489"/>
  <c r="AE1078" i="489"/>
  <c r="AE1122" i="489"/>
  <c r="AE1178" i="489"/>
  <c r="AE1010" i="489"/>
  <c r="AE1038" i="489"/>
  <c r="AE1066" i="489"/>
  <c r="AE1050" i="489"/>
  <c r="G572" i="489"/>
  <c r="W193" i="489"/>
  <c r="C28" i="119"/>
  <c r="J24" i="119"/>
  <c r="H24" i="119"/>
  <c r="J23" i="119"/>
  <c r="I23" i="119"/>
  <c r="H23" i="119"/>
  <c r="G23" i="119"/>
  <c r="E23" i="119"/>
  <c r="F23" i="119" s="1"/>
  <c r="J22" i="119"/>
  <c r="I22" i="119"/>
  <c r="H22" i="119"/>
  <c r="G22" i="119"/>
  <c r="E22" i="119"/>
  <c r="F22" i="119" s="1"/>
  <c r="J21" i="119"/>
  <c r="I21" i="119"/>
  <c r="H21" i="119"/>
  <c r="G21" i="119"/>
  <c r="E21" i="119"/>
  <c r="F21" i="119" s="1"/>
  <c r="J20" i="119"/>
  <c r="I20" i="119"/>
  <c r="H20" i="119"/>
  <c r="G20" i="119"/>
  <c r="J19" i="119"/>
  <c r="I19" i="119"/>
  <c r="H19" i="119"/>
  <c r="G19" i="119"/>
  <c r="E19" i="119"/>
  <c r="F19" i="119" s="1"/>
  <c r="C28" i="126"/>
  <c r="J24" i="126"/>
  <c r="H24" i="126"/>
  <c r="J23" i="126"/>
  <c r="I23" i="126"/>
  <c r="H23" i="126"/>
  <c r="G23" i="126"/>
  <c r="E23" i="126"/>
  <c r="F23" i="126" s="1"/>
  <c r="J22" i="126"/>
  <c r="H22" i="126"/>
  <c r="J21" i="126"/>
  <c r="I21" i="126"/>
  <c r="H21" i="126"/>
  <c r="G21" i="126"/>
  <c r="E21" i="126"/>
  <c r="F21" i="126" s="1"/>
  <c r="J20" i="126"/>
  <c r="I20" i="126"/>
  <c r="H20" i="126"/>
  <c r="G20" i="126"/>
  <c r="E20" i="126"/>
  <c r="F20" i="126" s="1"/>
  <c r="J19" i="126"/>
  <c r="I19" i="126"/>
  <c r="H19" i="126"/>
  <c r="G19" i="126"/>
  <c r="E19" i="126"/>
  <c r="F19" i="126" s="1"/>
  <c r="C31" i="125"/>
  <c r="J27" i="125"/>
  <c r="H27" i="125"/>
  <c r="J26" i="125"/>
  <c r="I26" i="125"/>
  <c r="H26" i="125"/>
  <c r="G26" i="125"/>
  <c r="E26" i="125"/>
  <c r="F26" i="125" s="1"/>
  <c r="J25" i="125"/>
  <c r="I25" i="125"/>
  <c r="H25" i="125"/>
  <c r="G25" i="125"/>
  <c r="E25" i="125"/>
  <c r="F25" i="125" s="1"/>
  <c r="J24" i="125"/>
  <c r="H24" i="125"/>
  <c r="J23" i="125"/>
  <c r="I23" i="125"/>
  <c r="H23" i="125"/>
  <c r="G23" i="125"/>
  <c r="E23" i="125"/>
  <c r="F23" i="125" s="1"/>
  <c r="J22" i="125"/>
  <c r="I22" i="125"/>
  <c r="H22" i="125"/>
  <c r="G22" i="125"/>
  <c r="E22" i="125"/>
  <c r="F22" i="125" s="1"/>
  <c r="J21" i="125"/>
  <c r="H21" i="125"/>
  <c r="J20" i="125"/>
  <c r="I20" i="125"/>
  <c r="H20" i="125"/>
  <c r="G20" i="125"/>
  <c r="E20" i="125"/>
  <c r="F20" i="125" s="1"/>
  <c r="J19" i="125"/>
  <c r="I19" i="125"/>
  <c r="H19" i="125"/>
  <c r="G19" i="125"/>
  <c r="E19" i="125"/>
  <c r="F19" i="125" s="1"/>
  <c r="C29" i="124"/>
  <c r="J25" i="124"/>
  <c r="H25" i="124"/>
  <c r="J24" i="124"/>
  <c r="I24" i="124"/>
  <c r="H24" i="124"/>
  <c r="G24" i="124"/>
  <c r="E24" i="124"/>
  <c r="F24" i="124" s="1"/>
  <c r="J23" i="124"/>
  <c r="I23" i="124"/>
  <c r="H23" i="124"/>
  <c r="G23" i="124"/>
  <c r="E23" i="124"/>
  <c r="F23" i="124" s="1"/>
  <c r="J22" i="124"/>
  <c r="H22" i="124"/>
  <c r="J21" i="124"/>
  <c r="I21" i="124"/>
  <c r="H21" i="124"/>
  <c r="G21" i="124"/>
  <c r="E21" i="124"/>
  <c r="F21" i="124" s="1"/>
  <c r="J20" i="124"/>
  <c r="I20" i="124"/>
  <c r="H20" i="124"/>
  <c r="G20" i="124"/>
  <c r="E20" i="124"/>
  <c r="F20" i="124" s="1"/>
  <c r="J19" i="124"/>
  <c r="I19" i="124"/>
  <c r="H19" i="124"/>
  <c r="G19" i="124"/>
  <c r="E19" i="124"/>
  <c r="F19" i="124" s="1"/>
  <c r="C34" i="379"/>
  <c r="DX321" i="147" s="1"/>
  <c r="J30" i="379"/>
  <c r="H30" i="379"/>
  <c r="J29" i="379"/>
  <c r="H29" i="379"/>
  <c r="I28" i="379"/>
  <c r="G28" i="379"/>
  <c r="E28" i="379"/>
  <c r="F28" i="379" s="1"/>
  <c r="D28" i="379"/>
  <c r="J28" i="379" s="1"/>
  <c r="I27" i="379"/>
  <c r="G27" i="379"/>
  <c r="E27" i="379"/>
  <c r="F27" i="379" s="1"/>
  <c r="D27" i="379"/>
  <c r="J27" i="379" s="1"/>
  <c r="I26" i="379"/>
  <c r="G26" i="379"/>
  <c r="E26" i="379"/>
  <c r="F26" i="379" s="1"/>
  <c r="D26" i="379"/>
  <c r="H26" i="379" s="1"/>
  <c r="I25" i="379"/>
  <c r="G25" i="379"/>
  <c r="E25" i="379"/>
  <c r="F25" i="379" s="1"/>
  <c r="D25" i="379"/>
  <c r="H25" i="379" s="1"/>
  <c r="J24" i="379"/>
  <c r="I24" i="379"/>
  <c r="H24" i="379"/>
  <c r="G24" i="379"/>
  <c r="I23" i="379"/>
  <c r="G23" i="379"/>
  <c r="D23" i="379"/>
  <c r="J23" i="379" s="1"/>
  <c r="I22" i="379"/>
  <c r="G22" i="379"/>
  <c r="E22" i="379"/>
  <c r="F22" i="379" s="1"/>
  <c r="D22" i="379"/>
  <c r="H22" i="379" s="1"/>
  <c r="E21" i="379"/>
  <c r="C21" i="379"/>
  <c r="E20" i="379"/>
  <c r="C20" i="379"/>
  <c r="D20" i="379" s="1"/>
  <c r="J20" i="379" s="1"/>
  <c r="E19" i="379"/>
  <c r="C19" i="379"/>
  <c r="I19" i="379" s="1"/>
  <c r="C33" i="136"/>
  <c r="J29" i="136"/>
  <c r="H29" i="136"/>
  <c r="J28" i="136"/>
  <c r="I28" i="136"/>
  <c r="H28" i="136"/>
  <c r="G28" i="136"/>
  <c r="J27" i="136"/>
  <c r="I27" i="136"/>
  <c r="H27" i="136"/>
  <c r="G27" i="136"/>
  <c r="E27" i="136"/>
  <c r="F27" i="136" s="1"/>
  <c r="J26" i="136"/>
  <c r="I26" i="136"/>
  <c r="H26" i="136"/>
  <c r="G26" i="136"/>
  <c r="E26" i="136"/>
  <c r="F26" i="136" s="1"/>
  <c r="J25" i="136"/>
  <c r="I25" i="136"/>
  <c r="H25" i="136"/>
  <c r="G25" i="136"/>
  <c r="E25" i="136"/>
  <c r="F25" i="136" s="1"/>
  <c r="J24" i="136"/>
  <c r="I24" i="136"/>
  <c r="H24" i="136"/>
  <c r="G24" i="136"/>
  <c r="E24" i="136"/>
  <c r="F24" i="136" s="1"/>
  <c r="J23" i="136"/>
  <c r="I23" i="136"/>
  <c r="H23" i="136"/>
  <c r="G23" i="136"/>
  <c r="E23" i="136"/>
  <c r="F23" i="136" s="1"/>
  <c r="J22" i="136"/>
  <c r="I22" i="136"/>
  <c r="H22" i="136"/>
  <c r="G22" i="136"/>
  <c r="J21" i="136"/>
  <c r="I21" i="136"/>
  <c r="H21" i="136"/>
  <c r="G21" i="136"/>
  <c r="E21" i="136"/>
  <c r="F21" i="136" s="1"/>
  <c r="J20" i="136"/>
  <c r="I20" i="136"/>
  <c r="H20" i="136"/>
  <c r="G20" i="136"/>
  <c r="E20" i="136"/>
  <c r="F20" i="136" s="1"/>
  <c r="J19" i="136"/>
  <c r="I19" i="136"/>
  <c r="H19" i="136"/>
  <c r="G19" i="136"/>
  <c r="E19" i="136"/>
  <c r="F19" i="136" s="1"/>
  <c r="C32" i="385"/>
  <c r="J28" i="385"/>
  <c r="H28" i="385"/>
  <c r="J27" i="385"/>
  <c r="H27" i="385"/>
  <c r="J26" i="385"/>
  <c r="I26" i="385"/>
  <c r="H26" i="385"/>
  <c r="G26" i="385"/>
  <c r="E26" i="385"/>
  <c r="F26" i="385" s="1"/>
  <c r="J25" i="385"/>
  <c r="I25" i="385"/>
  <c r="H25" i="385"/>
  <c r="G25" i="385"/>
  <c r="J24" i="385"/>
  <c r="I24" i="385"/>
  <c r="H24" i="385"/>
  <c r="G24" i="385"/>
  <c r="E24" i="385"/>
  <c r="F24" i="385" s="1"/>
  <c r="J23" i="385"/>
  <c r="I23" i="385"/>
  <c r="H23" i="385"/>
  <c r="G23" i="385"/>
  <c r="E23" i="385"/>
  <c r="F23" i="385" s="1"/>
  <c r="J22" i="385"/>
  <c r="I22" i="385"/>
  <c r="H22" i="385"/>
  <c r="G22" i="385"/>
  <c r="E22" i="385"/>
  <c r="F22" i="385" s="1"/>
  <c r="J21" i="385"/>
  <c r="I21" i="385"/>
  <c r="H21" i="385"/>
  <c r="G21" i="385"/>
  <c r="E21" i="385"/>
  <c r="F21" i="385" s="1"/>
  <c r="J20" i="385"/>
  <c r="I20" i="385"/>
  <c r="H20" i="385"/>
  <c r="G20" i="385"/>
  <c r="E20" i="385"/>
  <c r="F20" i="385" s="1"/>
  <c r="J19" i="385"/>
  <c r="I19" i="385"/>
  <c r="H19" i="385"/>
  <c r="G19" i="385"/>
  <c r="E19" i="385"/>
  <c r="F19" i="385" s="1"/>
  <c r="C32" i="226"/>
  <c r="J28" i="226"/>
  <c r="H28" i="226"/>
  <c r="J27" i="226"/>
  <c r="H27" i="226"/>
  <c r="J26" i="226"/>
  <c r="I26" i="226"/>
  <c r="H26" i="226"/>
  <c r="G26" i="226"/>
  <c r="E26" i="226"/>
  <c r="F26" i="226" s="1"/>
  <c r="J25" i="226"/>
  <c r="I25" i="226"/>
  <c r="H25" i="226"/>
  <c r="G25" i="226"/>
  <c r="J24" i="226"/>
  <c r="I24" i="226"/>
  <c r="H24" i="226"/>
  <c r="G24" i="226"/>
  <c r="E24" i="226"/>
  <c r="F24" i="226" s="1"/>
  <c r="J23" i="226"/>
  <c r="I23" i="226"/>
  <c r="H23" i="226"/>
  <c r="G23" i="226"/>
  <c r="E23" i="226"/>
  <c r="F23" i="226" s="1"/>
  <c r="J22" i="226"/>
  <c r="I22" i="226"/>
  <c r="H22" i="226"/>
  <c r="G22" i="226"/>
  <c r="E22" i="226"/>
  <c r="F22" i="226" s="1"/>
  <c r="J21" i="226"/>
  <c r="I21" i="226"/>
  <c r="H21" i="226"/>
  <c r="G21" i="226"/>
  <c r="E21" i="226"/>
  <c r="F21" i="226" s="1"/>
  <c r="J20" i="226"/>
  <c r="I20" i="226"/>
  <c r="H20" i="226"/>
  <c r="G20" i="226"/>
  <c r="E20" i="226"/>
  <c r="F20" i="226" s="1"/>
  <c r="J19" i="226"/>
  <c r="I19" i="226"/>
  <c r="H19" i="226"/>
  <c r="G19" i="226"/>
  <c r="E19" i="226"/>
  <c r="F19" i="226" s="1"/>
  <c r="C32" i="384"/>
  <c r="J28" i="384"/>
  <c r="H28" i="384"/>
  <c r="J27" i="384"/>
  <c r="H27" i="384"/>
  <c r="J26" i="384"/>
  <c r="I26" i="384"/>
  <c r="H26" i="384"/>
  <c r="G26" i="384"/>
  <c r="F26" i="384"/>
  <c r="J25" i="384"/>
  <c r="I25" i="384"/>
  <c r="H25" i="384"/>
  <c r="G25" i="384"/>
  <c r="E25" i="384"/>
  <c r="F25" i="384" s="1"/>
  <c r="J24" i="384"/>
  <c r="I24" i="384"/>
  <c r="H24" i="384"/>
  <c r="G24" i="384"/>
  <c r="E24" i="384"/>
  <c r="F24" i="384" s="1"/>
  <c r="J23" i="384"/>
  <c r="I23" i="384"/>
  <c r="H23" i="384"/>
  <c r="G23" i="384"/>
  <c r="E23" i="384"/>
  <c r="F23" i="384" s="1"/>
  <c r="J22" i="384"/>
  <c r="I22" i="384"/>
  <c r="H22" i="384"/>
  <c r="G22" i="384"/>
  <c r="E22" i="384"/>
  <c r="F22" i="384" s="1"/>
  <c r="J21" i="384"/>
  <c r="I21" i="384"/>
  <c r="H21" i="384"/>
  <c r="G21" i="384"/>
  <c r="E21" i="384"/>
  <c r="F21" i="384" s="1"/>
  <c r="J20" i="384"/>
  <c r="I20" i="384"/>
  <c r="H20" i="384"/>
  <c r="G20" i="384"/>
  <c r="E20" i="384"/>
  <c r="F20" i="384" s="1"/>
  <c r="J19" i="384"/>
  <c r="I19" i="384"/>
  <c r="H19" i="384"/>
  <c r="G19" i="384"/>
  <c r="E19" i="384"/>
  <c r="F19" i="384" s="1"/>
  <c r="C32" i="236"/>
  <c r="J28" i="236"/>
  <c r="H28" i="236"/>
  <c r="J27" i="236"/>
  <c r="H27" i="236"/>
  <c r="J26" i="236"/>
  <c r="I26" i="236"/>
  <c r="H26" i="236"/>
  <c r="G26" i="236"/>
  <c r="F26" i="236"/>
  <c r="J25" i="236"/>
  <c r="I25" i="236"/>
  <c r="H25" i="236"/>
  <c r="G25" i="236"/>
  <c r="E25" i="236"/>
  <c r="F25" i="236" s="1"/>
  <c r="J24" i="236"/>
  <c r="I24" i="236"/>
  <c r="H24" i="236"/>
  <c r="G24" i="236"/>
  <c r="E24" i="236"/>
  <c r="F24" i="236" s="1"/>
  <c r="J23" i="236"/>
  <c r="I23" i="236"/>
  <c r="H23" i="236"/>
  <c r="G23" i="236"/>
  <c r="E23" i="236"/>
  <c r="F23" i="236" s="1"/>
  <c r="J22" i="236"/>
  <c r="I22" i="236"/>
  <c r="H22" i="236"/>
  <c r="G22" i="236"/>
  <c r="E22" i="236"/>
  <c r="F22" i="236" s="1"/>
  <c r="J21" i="236"/>
  <c r="I21" i="236"/>
  <c r="H21" i="236"/>
  <c r="G21" i="236"/>
  <c r="E21" i="236"/>
  <c r="F21" i="236" s="1"/>
  <c r="J20" i="236"/>
  <c r="I20" i="236"/>
  <c r="H20" i="236"/>
  <c r="G20" i="236"/>
  <c r="E20" i="236"/>
  <c r="F20" i="236" s="1"/>
  <c r="J19" i="236"/>
  <c r="I19" i="236"/>
  <c r="H19" i="236"/>
  <c r="G19" i="236"/>
  <c r="E19" i="236"/>
  <c r="F19" i="236" s="1"/>
  <c r="C32" i="114"/>
  <c r="J28" i="114"/>
  <c r="H28" i="114"/>
  <c r="J27" i="114"/>
  <c r="H27" i="114"/>
  <c r="J26" i="114"/>
  <c r="I26" i="114"/>
  <c r="H26" i="114"/>
  <c r="G26" i="114"/>
  <c r="F26" i="114"/>
  <c r="J25" i="114"/>
  <c r="I25" i="114"/>
  <c r="H25" i="114"/>
  <c r="G25" i="114"/>
  <c r="E25" i="114"/>
  <c r="F25" i="114" s="1"/>
  <c r="J24" i="114"/>
  <c r="I24" i="114"/>
  <c r="H24" i="114"/>
  <c r="G24" i="114"/>
  <c r="E24" i="114"/>
  <c r="F24" i="114" s="1"/>
  <c r="J23" i="114"/>
  <c r="I23" i="114"/>
  <c r="H23" i="114"/>
  <c r="G23" i="114"/>
  <c r="E23" i="114"/>
  <c r="F23" i="114" s="1"/>
  <c r="J22" i="114"/>
  <c r="I22" i="114"/>
  <c r="H22" i="114"/>
  <c r="G22" i="114"/>
  <c r="E22" i="114"/>
  <c r="F22" i="114" s="1"/>
  <c r="J21" i="114"/>
  <c r="I21" i="114"/>
  <c r="H21" i="114"/>
  <c r="G21" i="114"/>
  <c r="E21" i="114"/>
  <c r="F21" i="114" s="1"/>
  <c r="J20" i="114"/>
  <c r="I20" i="114"/>
  <c r="H20" i="114"/>
  <c r="G20" i="114"/>
  <c r="E20" i="114"/>
  <c r="F20" i="114" s="1"/>
  <c r="J19" i="114"/>
  <c r="I19" i="114"/>
  <c r="H19" i="114"/>
  <c r="G19" i="114"/>
  <c r="E19" i="114"/>
  <c r="F19" i="114" s="1"/>
  <c r="C33" i="357"/>
  <c r="J29" i="357"/>
  <c r="H29" i="357"/>
  <c r="J28" i="357"/>
  <c r="H28" i="357"/>
  <c r="J27" i="357"/>
  <c r="I27" i="357"/>
  <c r="H27" i="357"/>
  <c r="G27" i="357"/>
  <c r="E27" i="357"/>
  <c r="F27" i="357" s="1"/>
  <c r="J26" i="357"/>
  <c r="I26" i="357"/>
  <c r="H26" i="357"/>
  <c r="G26" i="357"/>
  <c r="F26" i="357"/>
  <c r="J25" i="357"/>
  <c r="I25" i="357"/>
  <c r="H25" i="357"/>
  <c r="G25" i="357"/>
  <c r="E25" i="357"/>
  <c r="F25" i="357" s="1"/>
  <c r="J24" i="357"/>
  <c r="I24" i="357"/>
  <c r="H24" i="357"/>
  <c r="G24" i="357"/>
  <c r="E24" i="357"/>
  <c r="F24" i="357" s="1"/>
  <c r="J23" i="357"/>
  <c r="I23" i="357"/>
  <c r="H23" i="357"/>
  <c r="G23" i="357"/>
  <c r="E23" i="357"/>
  <c r="F23" i="357" s="1"/>
  <c r="J22" i="357"/>
  <c r="I22" i="357"/>
  <c r="H22" i="357"/>
  <c r="G22" i="357"/>
  <c r="E22" i="357"/>
  <c r="F22" i="357" s="1"/>
  <c r="J21" i="357"/>
  <c r="I21" i="357"/>
  <c r="H21" i="357"/>
  <c r="G21" i="357"/>
  <c r="E21" i="357"/>
  <c r="F21" i="357" s="1"/>
  <c r="J20" i="357"/>
  <c r="I20" i="357"/>
  <c r="H20" i="357"/>
  <c r="G20" i="357"/>
  <c r="E20" i="357"/>
  <c r="F20" i="357" s="1"/>
  <c r="J19" i="357"/>
  <c r="I19" i="357"/>
  <c r="H19" i="357"/>
  <c r="G19" i="357"/>
  <c r="E19" i="357"/>
  <c r="F19" i="357" s="1"/>
  <c r="C33" i="100"/>
  <c r="J29" i="100"/>
  <c r="H29" i="100"/>
  <c r="J28" i="100"/>
  <c r="H28" i="100"/>
  <c r="J27" i="100"/>
  <c r="I27" i="100"/>
  <c r="H27" i="100"/>
  <c r="G27" i="100"/>
  <c r="E27" i="100"/>
  <c r="F27" i="100" s="1"/>
  <c r="J26" i="100"/>
  <c r="I26" i="100"/>
  <c r="H26" i="100"/>
  <c r="G26" i="100"/>
  <c r="F26" i="100"/>
  <c r="J25" i="100"/>
  <c r="I25" i="100"/>
  <c r="H25" i="100"/>
  <c r="G25" i="100"/>
  <c r="E25" i="100"/>
  <c r="F25" i="100" s="1"/>
  <c r="J24" i="100"/>
  <c r="I24" i="100"/>
  <c r="H24" i="100"/>
  <c r="G24" i="100"/>
  <c r="E24" i="100"/>
  <c r="F24" i="100" s="1"/>
  <c r="J23" i="100"/>
  <c r="I23" i="100"/>
  <c r="H23" i="100"/>
  <c r="G23" i="100"/>
  <c r="E23" i="100"/>
  <c r="F23" i="100" s="1"/>
  <c r="J22" i="100"/>
  <c r="I22" i="100"/>
  <c r="H22" i="100"/>
  <c r="G22" i="100"/>
  <c r="E22" i="100"/>
  <c r="F22" i="100" s="1"/>
  <c r="J21" i="100"/>
  <c r="I21" i="100"/>
  <c r="H21" i="100"/>
  <c r="G21" i="100"/>
  <c r="E21" i="100"/>
  <c r="F21" i="100" s="1"/>
  <c r="J20" i="100"/>
  <c r="I20" i="100"/>
  <c r="H20" i="100"/>
  <c r="G20" i="100"/>
  <c r="E20" i="100"/>
  <c r="F20" i="100" s="1"/>
  <c r="J19" i="100"/>
  <c r="I19" i="100"/>
  <c r="H19" i="100"/>
  <c r="G19" i="100"/>
  <c r="E19" i="100"/>
  <c r="F19" i="100" s="1"/>
  <c r="C28" i="115"/>
  <c r="J24" i="115"/>
  <c r="H24" i="115"/>
  <c r="J23" i="115"/>
  <c r="I23" i="115"/>
  <c r="H23" i="115"/>
  <c r="G23" i="115"/>
  <c r="E23" i="115"/>
  <c r="F23" i="115" s="1"/>
  <c r="J22" i="115"/>
  <c r="I22" i="115"/>
  <c r="H22" i="115"/>
  <c r="G22" i="115"/>
  <c r="J21" i="115"/>
  <c r="I21" i="115"/>
  <c r="H21" i="115"/>
  <c r="G21" i="115"/>
  <c r="J20" i="115"/>
  <c r="I20" i="115"/>
  <c r="H20" i="115"/>
  <c r="G20" i="115"/>
  <c r="E20" i="115"/>
  <c r="F20" i="115" s="1"/>
  <c r="J19" i="115"/>
  <c r="I19" i="115"/>
  <c r="H19" i="115"/>
  <c r="G19" i="115"/>
  <c r="C28" i="128"/>
  <c r="J24" i="128"/>
  <c r="H24" i="128"/>
  <c r="J23" i="128"/>
  <c r="I23" i="128"/>
  <c r="H23" i="128"/>
  <c r="G23" i="128"/>
  <c r="J22" i="128"/>
  <c r="I22" i="128"/>
  <c r="H22" i="128"/>
  <c r="G22" i="128"/>
  <c r="E22" i="128"/>
  <c r="F22" i="128" s="1"/>
  <c r="J21" i="128"/>
  <c r="I21" i="128"/>
  <c r="H21" i="128"/>
  <c r="G21" i="128"/>
  <c r="J20" i="128"/>
  <c r="I20" i="128"/>
  <c r="H20" i="128"/>
  <c r="G20" i="128"/>
  <c r="E20" i="128"/>
  <c r="F20" i="128" s="1"/>
  <c r="J19" i="128"/>
  <c r="I19" i="128"/>
  <c r="H19" i="128"/>
  <c r="G19" i="128"/>
  <c r="C28" i="130"/>
  <c r="J24" i="130"/>
  <c r="H24" i="130"/>
  <c r="J23" i="130"/>
  <c r="I23" i="130"/>
  <c r="H23" i="130"/>
  <c r="G23" i="130"/>
  <c r="J22" i="130"/>
  <c r="I22" i="130"/>
  <c r="H22" i="130"/>
  <c r="G22" i="130"/>
  <c r="E22" i="130"/>
  <c r="F22" i="130" s="1"/>
  <c r="J21" i="130"/>
  <c r="I21" i="130"/>
  <c r="H21" i="130"/>
  <c r="G21" i="130"/>
  <c r="J20" i="130"/>
  <c r="I20" i="130"/>
  <c r="H20" i="130"/>
  <c r="G20" i="130"/>
  <c r="E20" i="130"/>
  <c r="F20" i="130" s="1"/>
  <c r="J19" i="130"/>
  <c r="I19" i="130"/>
  <c r="H19" i="130"/>
  <c r="G19" i="130"/>
  <c r="C28" i="127"/>
  <c r="J24" i="127"/>
  <c r="H24" i="127"/>
  <c r="J23" i="127"/>
  <c r="I23" i="127"/>
  <c r="H23" i="127"/>
  <c r="G23" i="127"/>
  <c r="J22" i="127"/>
  <c r="I22" i="127"/>
  <c r="H22" i="127"/>
  <c r="G22" i="127"/>
  <c r="E22" i="127"/>
  <c r="F22" i="127" s="1"/>
  <c r="J21" i="127"/>
  <c r="I21" i="127"/>
  <c r="H21" i="127"/>
  <c r="G21" i="127"/>
  <c r="J20" i="127"/>
  <c r="I20" i="127"/>
  <c r="H20" i="127"/>
  <c r="G20" i="127"/>
  <c r="E20" i="127"/>
  <c r="F20" i="127" s="1"/>
  <c r="J19" i="127"/>
  <c r="I19" i="127"/>
  <c r="H19" i="127"/>
  <c r="G19" i="127"/>
  <c r="C31" i="118"/>
  <c r="J26" i="118"/>
  <c r="H26" i="118"/>
  <c r="J25" i="118"/>
  <c r="I25" i="118"/>
  <c r="H25" i="118"/>
  <c r="G25" i="118"/>
  <c r="F25" i="118"/>
  <c r="J24" i="118"/>
  <c r="I24" i="118"/>
  <c r="H24" i="118"/>
  <c r="G24" i="118"/>
  <c r="E24" i="118"/>
  <c r="F24" i="118" s="1"/>
  <c r="J23" i="118"/>
  <c r="I23" i="118"/>
  <c r="H23" i="118"/>
  <c r="G23" i="118"/>
  <c r="E23" i="118"/>
  <c r="F23" i="118" s="1"/>
  <c r="J22" i="118"/>
  <c r="I22" i="118"/>
  <c r="H22" i="118"/>
  <c r="G22" i="118"/>
  <c r="J21" i="118"/>
  <c r="I21" i="118"/>
  <c r="H21" i="118"/>
  <c r="G21" i="118"/>
  <c r="E21" i="118"/>
  <c r="F21" i="118" s="1"/>
  <c r="J20" i="118"/>
  <c r="I20" i="118"/>
  <c r="H20" i="118"/>
  <c r="G20" i="118"/>
  <c r="E20" i="118"/>
  <c r="F20" i="118" s="1"/>
  <c r="J19" i="118"/>
  <c r="I19" i="118"/>
  <c r="H19" i="118"/>
  <c r="G19" i="118"/>
  <c r="E19" i="118"/>
  <c r="F19" i="118" s="1"/>
  <c r="C31" i="117"/>
  <c r="J26" i="117"/>
  <c r="H26" i="117"/>
  <c r="J25" i="117"/>
  <c r="I25" i="117"/>
  <c r="H25" i="117"/>
  <c r="G25" i="117"/>
  <c r="F25" i="117"/>
  <c r="J24" i="117"/>
  <c r="I24" i="117"/>
  <c r="H24" i="117"/>
  <c r="G24" i="117"/>
  <c r="E24" i="117"/>
  <c r="F24" i="117" s="1"/>
  <c r="J23" i="117"/>
  <c r="I23" i="117"/>
  <c r="H23" i="117"/>
  <c r="G23" i="117"/>
  <c r="E23" i="117"/>
  <c r="F23" i="117" s="1"/>
  <c r="J22" i="117"/>
  <c r="I22" i="117"/>
  <c r="H22" i="117"/>
  <c r="G22" i="117"/>
  <c r="J21" i="117"/>
  <c r="I21" i="117"/>
  <c r="H21" i="117"/>
  <c r="G21" i="117"/>
  <c r="E21" i="117"/>
  <c r="F21" i="117" s="1"/>
  <c r="J20" i="117"/>
  <c r="I20" i="117"/>
  <c r="H20" i="117"/>
  <c r="G20" i="117"/>
  <c r="E20" i="117"/>
  <c r="F20" i="117" s="1"/>
  <c r="J19" i="117"/>
  <c r="I19" i="117"/>
  <c r="H19" i="117"/>
  <c r="G19" i="117"/>
  <c r="E19" i="117"/>
  <c r="F19" i="117" s="1"/>
  <c r="C30" i="116"/>
  <c r="J25" i="116"/>
  <c r="H25" i="116"/>
  <c r="J24" i="116"/>
  <c r="I24" i="116"/>
  <c r="H24" i="116"/>
  <c r="G24" i="116"/>
  <c r="F24" i="116"/>
  <c r="J23" i="116"/>
  <c r="I23" i="116"/>
  <c r="H23" i="116"/>
  <c r="G23" i="116"/>
  <c r="E23" i="116"/>
  <c r="F23" i="116" s="1"/>
  <c r="J22" i="116"/>
  <c r="I22" i="116"/>
  <c r="H22" i="116"/>
  <c r="G22" i="116"/>
  <c r="E22" i="116"/>
  <c r="F22" i="116" s="1"/>
  <c r="J21" i="116"/>
  <c r="I21" i="116"/>
  <c r="H21" i="116"/>
  <c r="G21" i="116"/>
  <c r="E21" i="116"/>
  <c r="F21" i="116" s="1"/>
  <c r="J20" i="116"/>
  <c r="I20" i="116"/>
  <c r="H20" i="116"/>
  <c r="G20" i="116"/>
  <c r="E20" i="116"/>
  <c r="F20" i="116" s="1"/>
  <c r="J19" i="116"/>
  <c r="I19" i="116"/>
  <c r="H19" i="116"/>
  <c r="G19" i="116"/>
  <c r="E19" i="116"/>
  <c r="F19" i="116" s="1"/>
  <c r="C29" i="304"/>
  <c r="J24" i="304"/>
  <c r="I24" i="304"/>
  <c r="H24" i="304"/>
  <c r="G24" i="304"/>
  <c r="F24" i="304"/>
  <c r="J22" i="304"/>
  <c r="I22" i="304"/>
  <c r="H22" i="304"/>
  <c r="G22" i="304"/>
  <c r="E22" i="304"/>
  <c r="F22" i="304" s="1"/>
  <c r="J20" i="304"/>
  <c r="I20" i="304"/>
  <c r="H20" i="304"/>
  <c r="G20" i="304"/>
  <c r="E20" i="304"/>
  <c r="F20" i="304" s="1"/>
  <c r="J19" i="304"/>
  <c r="I19" i="304"/>
  <c r="H19" i="304"/>
  <c r="G19" i="304"/>
  <c r="C27" i="394"/>
  <c r="J22" i="394"/>
  <c r="I22" i="394"/>
  <c r="H22" i="394"/>
  <c r="G22" i="394"/>
  <c r="E22" i="394"/>
  <c r="F22" i="394" s="1"/>
  <c r="J20" i="394"/>
  <c r="I20" i="394"/>
  <c r="H20" i="394"/>
  <c r="G20" i="394"/>
  <c r="E20" i="394"/>
  <c r="F20" i="394" s="1"/>
  <c r="J19" i="394"/>
  <c r="I19" i="394"/>
  <c r="H19" i="394"/>
  <c r="G19" i="394"/>
  <c r="C30" i="305"/>
  <c r="J26" i="305"/>
  <c r="H26" i="305"/>
  <c r="J25" i="305"/>
  <c r="I25" i="305"/>
  <c r="H25" i="305"/>
  <c r="G25" i="305"/>
  <c r="E25" i="305"/>
  <c r="F25" i="305" s="1"/>
  <c r="J24" i="305"/>
  <c r="I24" i="305"/>
  <c r="H24" i="305"/>
  <c r="G24" i="305"/>
  <c r="E24" i="305"/>
  <c r="F24" i="305" s="1"/>
  <c r="J23" i="305"/>
  <c r="I23" i="305"/>
  <c r="H23" i="305"/>
  <c r="G23" i="305"/>
  <c r="E23" i="305"/>
  <c r="F23" i="305" s="1"/>
  <c r="J22" i="305"/>
  <c r="I22" i="305"/>
  <c r="H22" i="305"/>
  <c r="G22" i="305"/>
  <c r="J21" i="305"/>
  <c r="I21" i="305"/>
  <c r="H21" i="305"/>
  <c r="G21" i="305"/>
  <c r="E21" i="305"/>
  <c r="F21" i="305" s="1"/>
  <c r="J20" i="305"/>
  <c r="I20" i="305"/>
  <c r="H20" i="305"/>
  <c r="G20" i="305"/>
  <c r="J19" i="305"/>
  <c r="I19" i="305"/>
  <c r="H19" i="305"/>
  <c r="G19" i="305"/>
  <c r="E19" i="305"/>
  <c r="F19" i="305" s="1"/>
  <c r="C32" i="332"/>
  <c r="J28" i="332"/>
  <c r="H28" i="332"/>
  <c r="J27" i="332"/>
  <c r="I27" i="332"/>
  <c r="H27" i="332"/>
  <c r="G27" i="332"/>
  <c r="E27" i="332"/>
  <c r="F27" i="332" s="1"/>
  <c r="J25" i="332"/>
  <c r="I25" i="332"/>
  <c r="H25" i="332"/>
  <c r="G25" i="332"/>
  <c r="E25" i="332"/>
  <c r="F25" i="332" s="1"/>
  <c r="J24" i="332"/>
  <c r="H24" i="332"/>
  <c r="J23" i="332"/>
  <c r="I23" i="332"/>
  <c r="H23" i="332"/>
  <c r="G23" i="332"/>
  <c r="E23" i="332"/>
  <c r="F23" i="332" s="1"/>
  <c r="J22" i="332"/>
  <c r="I22" i="332"/>
  <c r="H22" i="332"/>
  <c r="G22" i="332"/>
  <c r="E22" i="332"/>
  <c r="F22" i="332" s="1"/>
  <c r="J21" i="332"/>
  <c r="I21" i="332"/>
  <c r="H21" i="332"/>
  <c r="G21" i="332"/>
  <c r="E21" i="332"/>
  <c r="F21" i="332" s="1"/>
  <c r="J20" i="332"/>
  <c r="I20" i="332"/>
  <c r="H20" i="332"/>
  <c r="G20" i="332"/>
  <c r="E20" i="332"/>
  <c r="F20" i="332" s="1"/>
  <c r="J19" i="332"/>
  <c r="I19" i="332"/>
  <c r="H19" i="332"/>
  <c r="G19" i="332"/>
  <c r="E19" i="332"/>
  <c r="F19" i="332" s="1"/>
  <c r="C32" i="331"/>
  <c r="J27" i="331"/>
  <c r="I27" i="331"/>
  <c r="H27" i="331"/>
  <c r="G27" i="331"/>
  <c r="E27" i="331"/>
  <c r="F27" i="331" s="1"/>
  <c r="J25" i="331"/>
  <c r="I25" i="331"/>
  <c r="H25" i="331"/>
  <c r="G25" i="331"/>
  <c r="E25" i="331"/>
  <c r="F25" i="331" s="1"/>
  <c r="J24" i="331"/>
  <c r="H24" i="331"/>
  <c r="J23" i="331"/>
  <c r="I23" i="331"/>
  <c r="H23" i="331"/>
  <c r="G23" i="331"/>
  <c r="E23" i="331"/>
  <c r="F23" i="331" s="1"/>
  <c r="J22" i="331"/>
  <c r="I22" i="331"/>
  <c r="H22" i="331"/>
  <c r="G22" i="331"/>
  <c r="E22" i="331"/>
  <c r="F22" i="331" s="1"/>
  <c r="J21" i="331"/>
  <c r="I21" i="331"/>
  <c r="H21" i="331"/>
  <c r="G21" i="331"/>
  <c r="E21" i="331"/>
  <c r="F21" i="331" s="1"/>
  <c r="J20" i="331"/>
  <c r="I20" i="331"/>
  <c r="H20" i="331"/>
  <c r="G20" i="331"/>
  <c r="E20" i="331"/>
  <c r="F20" i="331" s="1"/>
  <c r="J19" i="331"/>
  <c r="I19" i="331"/>
  <c r="H19" i="331"/>
  <c r="G19" i="331"/>
  <c r="E19" i="331"/>
  <c r="F19" i="331" s="1"/>
  <c r="C32" i="330"/>
  <c r="J27" i="330"/>
  <c r="I27" i="330"/>
  <c r="H27" i="330"/>
  <c r="G27" i="330"/>
  <c r="E27" i="330"/>
  <c r="F27" i="330" s="1"/>
  <c r="J25" i="330"/>
  <c r="I25" i="330"/>
  <c r="H25" i="330"/>
  <c r="G25" i="330"/>
  <c r="E25" i="330"/>
  <c r="F25" i="330" s="1"/>
  <c r="J24" i="330"/>
  <c r="H24" i="330"/>
  <c r="J23" i="330"/>
  <c r="I23" i="330"/>
  <c r="H23" i="330"/>
  <c r="G23" i="330"/>
  <c r="E23" i="330"/>
  <c r="F23" i="330" s="1"/>
  <c r="J22" i="330"/>
  <c r="I22" i="330"/>
  <c r="H22" i="330"/>
  <c r="G22" i="330"/>
  <c r="E22" i="330"/>
  <c r="F22" i="330" s="1"/>
  <c r="J21" i="330"/>
  <c r="I21" i="330"/>
  <c r="H21" i="330"/>
  <c r="G21" i="330"/>
  <c r="E21" i="330"/>
  <c r="F21" i="330" s="1"/>
  <c r="J20" i="330"/>
  <c r="I20" i="330"/>
  <c r="H20" i="330"/>
  <c r="G20" i="330"/>
  <c r="E20" i="330"/>
  <c r="F20" i="330" s="1"/>
  <c r="J19" i="330"/>
  <c r="I19" i="330"/>
  <c r="H19" i="330"/>
  <c r="G19" i="330"/>
  <c r="E19" i="330"/>
  <c r="F19" i="330" s="1"/>
  <c r="C32" i="210"/>
  <c r="J27" i="210"/>
  <c r="I27" i="210"/>
  <c r="H27" i="210"/>
  <c r="G27" i="210"/>
  <c r="E27" i="210"/>
  <c r="F27" i="210" s="1"/>
  <c r="J25" i="210"/>
  <c r="I25" i="210"/>
  <c r="H25" i="210"/>
  <c r="G25" i="210"/>
  <c r="E25" i="210"/>
  <c r="F25" i="210" s="1"/>
  <c r="J24" i="210"/>
  <c r="H24" i="210"/>
  <c r="J23" i="210"/>
  <c r="I23" i="210"/>
  <c r="H23" i="210"/>
  <c r="G23" i="210"/>
  <c r="E23" i="210"/>
  <c r="F23" i="210" s="1"/>
  <c r="J22" i="210"/>
  <c r="I22" i="210"/>
  <c r="H22" i="210"/>
  <c r="G22" i="210"/>
  <c r="E22" i="210"/>
  <c r="F22" i="210" s="1"/>
  <c r="J21" i="210"/>
  <c r="I21" i="210"/>
  <c r="H21" i="210"/>
  <c r="G21" i="210"/>
  <c r="E21" i="210"/>
  <c r="F21" i="210" s="1"/>
  <c r="J20" i="210"/>
  <c r="I20" i="210"/>
  <c r="H20" i="210"/>
  <c r="G20" i="210"/>
  <c r="E20" i="210"/>
  <c r="F20" i="210" s="1"/>
  <c r="J19" i="210"/>
  <c r="I19" i="210"/>
  <c r="H19" i="210"/>
  <c r="G19" i="210"/>
  <c r="E19" i="210"/>
  <c r="F19" i="210" s="1"/>
  <c r="C29" i="212"/>
  <c r="J24" i="212"/>
  <c r="H24" i="212"/>
  <c r="J23" i="212"/>
  <c r="I23" i="212"/>
  <c r="H23" i="212"/>
  <c r="G23" i="212"/>
  <c r="E23" i="212"/>
  <c r="F23" i="212" s="1"/>
  <c r="J22" i="212"/>
  <c r="I22" i="212"/>
  <c r="H22" i="212"/>
  <c r="G22" i="212"/>
  <c r="E22" i="212"/>
  <c r="F22" i="212" s="1"/>
  <c r="J21" i="212"/>
  <c r="I21" i="212"/>
  <c r="H21" i="212"/>
  <c r="G21" i="212"/>
  <c r="F21" i="212"/>
  <c r="J20" i="212"/>
  <c r="I20" i="212"/>
  <c r="H20" i="212"/>
  <c r="G20" i="212"/>
  <c r="J19" i="212"/>
  <c r="I19" i="212"/>
  <c r="H19" i="212"/>
  <c r="G19" i="212"/>
  <c r="C28" i="211"/>
  <c r="J23" i="211"/>
  <c r="H23" i="211"/>
  <c r="J22" i="211"/>
  <c r="I22" i="211"/>
  <c r="H22" i="211"/>
  <c r="G22" i="211"/>
  <c r="E22" i="211"/>
  <c r="F22" i="211" s="1"/>
  <c r="J21" i="211"/>
  <c r="I21" i="211"/>
  <c r="H21" i="211"/>
  <c r="G21" i="211"/>
  <c r="F21" i="211"/>
  <c r="J20" i="211"/>
  <c r="I20" i="211"/>
  <c r="H20" i="211"/>
  <c r="G20" i="211"/>
  <c r="J19" i="211"/>
  <c r="I19" i="211"/>
  <c r="H19" i="211"/>
  <c r="G19" i="211"/>
  <c r="E19" i="211"/>
  <c r="F19" i="211" s="1"/>
  <c r="C26" i="112"/>
  <c r="J22" i="112"/>
  <c r="H22" i="112"/>
  <c r="J21" i="112"/>
  <c r="I21" i="112"/>
  <c r="H21" i="112"/>
  <c r="G21" i="112"/>
  <c r="F21" i="112"/>
  <c r="J20" i="112"/>
  <c r="I20" i="112"/>
  <c r="H20" i="112"/>
  <c r="G20" i="112"/>
  <c r="E20" i="112"/>
  <c r="F20" i="112" s="1"/>
  <c r="J19" i="112"/>
  <c r="I19" i="112"/>
  <c r="H19" i="112"/>
  <c r="G19" i="112"/>
  <c r="E19" i="112"/>
  <c r="F19" i="112" s="1"/>
  <c r="C24" i="227"/>
  <c r="J20" i="227"/>
  <c r="H20" i="227"/>
  <c r="J19" i="227"/>
  <c r="I19" i="227"/>
  <c r="H19" i="227"/>
  <c r="G19" i="227"/>
  <c r="E19" i="227"/>
  <c r="F19" i="227" s="1"/>
  <c r="F20" i="227" s="1"/>
  <c r="F21" i="227" s="1"/>
  <c r="C27" i="111"/>
  <c r="J23" i="111"/>
  <c r="H23" i="111"/>
  <c r="J22" i="111"/>
  <c r="I22" i="111"/>
  <c r="H22" i="111"/>
  <c r="G22" i="111"/>
  <c r="F22" i="111"/>
  <c r="J21" i="111"/>
  <c r="I21" i="111"/>
  <c r="H21" i="111"/>
  <c r="G21" i="111"/>
  <c r="E21" i="111"/>
  <c r="F21" i="111" s="1"/>
  <c r="J20" i="111"/>
  <c r="I20" i="111"/>
  <c r="H20" i="111"/>
  <c r="G20" i="111"/>
  <c r="E20" i="111"/>
  <c r="F20" i="111" s="1"/>
  <c r="J19" i="111"/>
  <c r="I19" i="111"/>
  <c r="H19" i="111"/>
  <c r="G19" i="111"/>
  <c r="E19" i="111"/>
  <c r="F19" i="111" s="1"/>
  <c r="C27" i="110"/>
  <c r="J23" i="110"/>
  <c r="H23" i="110"/>
  <c r="J22" i="110"/>
  <c r="I22" i="110"/>
  <c r="H22" i="110"/>
  <c r="G22" i="110"/>
  <c r="E22" i="110"/>
  <c r="F22" i="110" s="1"/>
  <c r="J21" i="110"/>
  <c r="I21" i="110"/>
  <c r="H21" i="110"/>
  <c r="G21" i="110"/>
  <c r="F21" i="110"/>
  <c r="J20" i="110"/>
  <c r="I20" i="110"/>
  <c r="H20" i="110"/>
  <c r="G20" i="110"/>
  <c r="E20" i="110"/>
  <c r="F20" i="110" s="1"/>
  <c r="J19" i="110"/>
  <c r="I19" i="110"/>
  <c r="H19" i="110"/>
  <c r="G19" i="110"/>
  <c r="E19" i="110"/>
  <c r="F19" i="110" s="1"/>
  <c r="C26" i="104"/>
  <c r="J22" i="104"/>
  <c r="H22" i="104"/>
  <c r="J21" i="104"/>
  <c r="I21" i="104"/>
  <c r="H21" i="104"/>
  <c r="G21" i="104"/>
  <c r="F21" i="104"/>
  <c r="J20" i="104"/>
  <c r="I20" i="104"/>
  <c r="H20" i="104"/>
  <c r="G20" i="104"/>
  <c r="E20" i="104"/>
  <c r="F20" i="104" s="1"/>
  <c r="J19" i="104"/>
  <c r="I19" i="104"/>
  <c r="H19" i="104"/>
  <c r="G19" i="104"/>
  <c r="E19" i="104"/>
  <c r="F19" i="104" s="1"/>
  <c r="C27" i="109"/>
  <c r="J23" i="109"/>
  <c r="H23" i="109"/>
  <c r="J22" i="109"/>
  <c r="I22" i="109"/>
  <c r="H22" i="109"/>
  <c r="G22" i="109"/>
  <c r="E22" i="109"/>
  <c r="F22" i="109" s="1"/>
  <c r="J21" i="109"/>
  <c r="I21" i="109"/>
  <c r="H21" i="109"/>
  <c r="G21" i="109"/>
  <c r="E21" i="109"/>
  <c r="F21" i="109" s="1"/>
  <c r="J20" i="109"/>
  <c r="I20" i="109"/>
  <c r="H20" i="109"/>
  <c r="G20" i="109"/>
  <c r="F20" i="109"/>
  <c r="J19" i="109"/>
  <c r="I19" i="109"/>
  <c r="H19" i="109"/>
  <c r="G19" i="109"/>
  <c r="E19" i="109"/>
  <c r="F19" i="109" s="1"/>
  <c r="C27" i="108"/>
  <c r="J23" i="108"/>
  <c r="H23" i="108"/>
  <c r="J22" i="108"/>
  <c r="I22" i="108"/>
  <c r="H22" i="108"/>
  <c r="G22" i="108"/>
  <c r="F22" i="108"/>
  <c r="J21" i="108"/>
  <c r="I21" i="108"/>
  <c r="H21" i="108"/>
  <c r="G21" i="108"/>
  <c r="E21" i="108"/>
  <c r="F21" i="108" s="1"/>
  <c r="J20" i="108"/>
  <c r="I20" i="108"/>
  <c r="H20" i="108"/>
  <c r="G20" i="108"/>
  <c r="E20" i="108"/>
  <c r="F20" i="108" s="1"/>
  <c r="J19" i="108"/>
  <c r="I19" i="108"/>
  <c r="H19" i="108"/>
  <c r="G19" i="108"/>
  <c r="C27" i="98"/>
  <c r="J23" i="98"/>
  <c r="H23" i="98"/>
  <c r="J22" i="98"/>
  <c r="I22" i="98"/>
  <c r="H22" i="98"/>
  <c r="G22" i="98"/>
  <c r="F22" i="98"/>
  <c r="J21" i="98"/>
  <c r="I21" i="98"/>
  <c r="H21" i="98"/>
  <c r="G21" i="98"/>
  <c r="E21" i="98"/>
  <c r="F21" i="98" s="1"/>
  <c r="J20" i="98"/>
  <c r="I20" i="98"/>
  <c r="H20" i="98"/>
  <c r="G20" i="98"/>
  <c r="E20" i="98"/>
  <c r="F20" i="98" s="1"/>
  <c r="J19" i="98"/>
  <c r="I19" i="98"/>
  <c r="H19" i="98"/>
  <c r="G19" i="98"/>
  <c r="C26" i="96"/>
  <c r="J22" i="96"/>
  <c r="H22" i="96"/>
  <c r="J21" i="96"/>
  <c r="I21" i="96"/>
  <c r="H21" i="96"/>
  <c r="G21" i="96"/>
  <c r="F21" i="96"/>
  <c r="J20" i="96"/>
  <c r="I20" i="96"/>
  <c r="H20" i="96"/>
  <c r="G20" i="96"/>
  <c r="E20" i="96"/>
  <c r="F20" i="96" s="1"/>
  <c r="J19" i="96"/>
  <c r="I19" i="96"/>
  <c r="H19" i="96"/>
  <c r="G19" i="96"/>
  <c r="C25" i="94"/>
  <c r="J21" i="94"/>
  <c r="H21" i="94"/>
  <c r="J20" i="94"/>
  <c r="I20" i="94"/>
  <c r="H20" i="94"/>
  <c r="G20" i="94"/>
  <c r="F20" i="94"/>
  <c r="J19" i="94"/>
  <c r="I19" i="94"/>
  <c r="H19" i="94"/>
  <c r="G19" i="94"/>
  <c r="E19" i="94"/>
  <c r="F19" i="94" s="1"/>
  <c r="C28" i="106"/>
  <c r="J24" i="106"/>
  <c r="H24" i="106"/>
  <c r="J23" i="106"/>
  <c r="I23" i="106"/>
  <c r="H23" i="106"/>
  <c r="G23" i="106"/>
  <c r="F23" i="106"/>
  <c r="J22" i="106"/>
  <c r="I22" i="106"/>
  <c r="H22" i="106"/>
  <c r="G22" i="106"/>
  <c r="E22" i="106"/>
  <c r="F22" i="106" s="1"/>
  <c r="J21" i="106"/>
  <c r="I21" i="106"/>
  <c r="H21" i="106"/>
  <c r="G21" i="106"/>
  <c r="E21" i="106"/>
  <c r="F21" i="106" s="1"/>
  <c r="J20" i="106"/>
  <c r="I20" i="106"/>
  <c r="H20" i="106"/>
  <c r="G20" i="106"/>
  <c r="E20" i="106"/>
  <c r="F20" i="106" s="1"/>
  <c r="J19" i="106"/>
  <c r="I19" i="106"/>
  <c r="H19" i="106"/>
  <c r="G19" i="106"/>
  <c r="E19" i="106"/>
  <c r="F19" i="106" s="1"/>
  <c r="C28" i="132"/>
  <c r="J24" i="132"/>
  <c r="H24" i="132"/>
  <c r="J23" i="132"/>
  <c r="I23" i="132"/>
  <c r="H23" i="132"/>
  <c r="G23" i="132"/>
  <c r="F23" i="132"/>
  <c r="J22" i="132"/>
  <c r="I22" i="132"/>
  <c r="H22" i="132"/>
  <c r="G22" i="132"/>
  <c r="E22" i="132"/>
  <c r="F22" i="132" s="1"/>
  <c r="M22" i="132" s="1"/>
  <c r="J21" i="132"/>
  <c r="I21" i="132"/>
  <c r="H21" i="132"/>
  <c r="G21" i="132"/>
  <c r="E21" i="132"/>
  <c r="F21" i="132" s="1"/>
  <c r="J20" i="132"/>
  <c r="I20" i="132"/>
  <c r="H20" i="132"/>
  <c r="G20" i="132"/>
  <c r="E20" i="132"/>
  <c r="F20" i="132" s="1"/>
  <c r="J19" i="132"/>
  <c r="I19" i="132"/>
  <c r="H19" i="132"/>
  <c r="G19" i="132"/>
  <c r="E19" i="132"/>
  <c r="F19" i="132" s="1"/>
  <c r="C28" i="105"/>
  <c r="J24" i="105"/>
  <c r="H24" i="105"/>
  <c r="J23" i="105"/>
  <c r="I23" i="105"/>
  <c r="H23" i="105"/>
  <c r="G23" i="105"/>
  <c r="F23" i="105"/>
  <c r="J22" i="105"/>
  <c r="I22" i="105"/>
  <c r="H22" i="105"/>
  <c r="G22" i="105"/>
  <c r="E22" i="105"/>
  <c r="F22" i="105" s="1"/>
  <c r="M22" i="105" s="1"/>
  <c r="J21" i="105"/>
  <c r="I21" i="105"/>
  <c r="H21" i="105"/>
  <c r="G21" i="105"/>
  <c r="E21" i="105"/>
  <c r="F21" i="105" s="1"/>
  <c r="J20" i="105"/>
  <c r="I20" i="105"/>
  <c r="H20" i="105"/>
  <c r="G20" i="105"/>
  <c r="E20" i="105"/>
  <c r="F20" i="105" s="1"/>
  <c r="J19" i="105"/>
  <c r="I19" i="105"/>
  <c r="H19" i="105"/>
  <c r="G19" i="105"/>
  <c r="E19" i="105"/>
  <c r="F19" i="105" s="1"/>
  <c r="C27" i="209"/>
  <c r="J23" i="209"/>
  <c r="H23" i="209"/>
  <c r="J22" i="209"/>
  <c r="I22" i="209"/>
  <c r="H22" i="209"/>
  <c r="G22" i="209"/>
  <c r="J21" i="209"/>
  <c r="I21" i="209"/>
  <c r="H21" i="209"/>
  <c r="G21" i="209"/>
  <c r="J20" i="209"/>
  <c r="I20" i="209"/>
  <c r="H20" i="209"/>
  <c r="G20" i="209"/>
  <c r="E20" i="209"/>
  <c r="F20" i="209" s="1"/>
  <c r="J19" i="209"/>
  <c r="I19" i="209"/>
  <c r="H19" i="209"/>
  <c r="G19" i="209"/>
  <c r="F19" i="209"/>
  <c r="C27" i="101"/>
  <c r="J23" i="101"/>
  <c r="H23" i="101"/>
  <c r="J22" i="101"/>
  <c r="I22" i="101"/>
  <c r="H22" i="101"/>
  <c r="G22" i="101"/>
  <c r="F22" i="101"/>
  <c r="J21" i="101"/>
  <c r="I21" i="101"/>
  <c r="H21" i="101"/>
  <c r="G21" i="101"/>
  <c r="E21" i="101"/>
  <c r="F21" i="101" s="1"/>
  <c r="M21" i="101" s="1"/>
  <c r="J20" i="101"/>
  <c r="I20" i="101"/>
  <c r="H20" i="101"/>
  <c r="G20" i="101"/>
  <c r="E20" i="101"/>
  <c r="F20" i="101" s="1"/>
  <c r="J19" i="101"/>
  <c r="I19" i="101"/>
  <c r="H19" i="101"/>
  <c r="G19" i="101"/>
  <c r="E19" i="101"/>
  <c r="F19" i="101" s="1"/>
  <c r="C28" i="99"/>
  <c r="J24" i="99"/>
  <c r="H24" i="99"/>
  <c r="J23" i="99"/>
  <c r="I23" i="99"/>
  <c r="H23" i="99"/>
  <c r="G23" i="99"/>
  <c r="F23" i="99"/>
  <c r="J22" i="99"/>
  <c r="I22" i="99"/>
  <c r="H22" i="99"/>
  <c r="G22" i="99"/>
  <c r="E22" i="99"/>
  <c r="F22" i="99" s="1"/>
  <c r="M22" i="99" s="1"/>
  <c r="J21" i="99"/>
  <c r="I21" i="99"/>
  <c r="H21" i="99"/>
  <c r="G21" i="99"/>
  <c r="E21" i="99"/>
  <c r="F21" i="99" s="1"/>
  <c r="J20" i="99"/>
  <c r="I20" i="99"/>
  <c r="H20" i="99"/>
  <c r="G20" i="99"/>
  <c r="E20" i="99"/>
  <c r="F20" i="99" s="1"/>
  <c r="J19" i="99"/>
  <c r="I19" i="99"/>
  <c r="H19" i="99"/>
  <c r="G19" i="99"/>
  <c r="E19" i="99"/>
  <c r="F19" i="99" s="1"/>
  <c r="C27" i="333"/>
  <c r="J23" i="333"/>
  <c r="H23" i="333"/>
  <c r="J22" i="333"/>
  <c r="I22" i="333"/>
  <c r="H22" i="333"/>
  <c r="G22" i="333"/>
  <c r="F22" i="333"/>
  <c r="J21" i="333"/>
  <c r="I21" i="333"/>
  <c r="H21" i="333"/>
  <c r="G21" i="333"/>
  <c r="E21" i="333"/>
  <c r="F21" i="333" s="1"/>
  <c r="M21" i="333" s="1"/>
  <c r="J20" i="333"/>
  <c r="I20" i="333"/>
  <c r="H20" i="333"/>
  <c r="G20" i="333"/>
  <c r="E20" i="333"/>
  <c r="F20" i="333" s="1"/>
  <c r="J19" i="333"/>
  <c r="I19" i="333"/>
  <c r="H19" i="333"/>
  <c r="G19" i="333"/>
  <c r="E19" i="333"/>
  <c r="F19" i="333" s="1"/>
  <c r="C25" i="275"/>
  <c r="J21" i="275"/>
  <c r="H21" i="275"/>
  <c r="J20" i="275"/>
  <c r="I20" i="275"/>
  <c r="H20" i="275"/>
  <c r="G20" i="275"/>
  <c r="E20" i="275"/>
  <c r="F20" i="275" s="1"/>
  <c r="J19" i="275"/>
  <c r="I19" i="275"/>
  <c r="H19" i="275"/>
  <c r="G19" i="275"/>
  <c r="E19" i="275"/>
  <c r="F19" i="275" s="1"/>
  <c r="C25" i="274"/>
  <c r="J21" i="274"/>
  <c r="H21" i="274"/>
  <c r="J20" i="274"/>
  <c r="I20" i="274"/>
  <c r="H20" i="274"/>
  <c r="G20" i="274"/>
  <c r="E20" i="274"/>
  <c r="F20" i="274" s="1"/>
  <c r="J19" i="274"/>
  <c r="I19" i="274"/>
  <c r="H19" i="274"/>
  <c r="G19" i="274"/>
  <c r="E19" i="274"/>
  <c r="F19" i="274" s="1"/>
  <c r="C24" i="273"/>
  <c r="J20" i="273"/>
  <c r="H20" i="273"/>
  <c r="J19" i="273"/>
  <c r="I19" i="273"/>
  <c r="H19" i="273"/>
  <c r="G19" i="273"/>
  <c r="E19" i="273"/>
  <c r="F19" i="273" s="1"/>
  <c r="F20" i="273" s="1"/>
  <c r="F21" i="273" s="1"/>
  <c r="C24" i="271"/>
  <c r="J20" i="271"/>
  <c r="H20" i="271"/>
  <c r="J19" i="271"/>
  <c r="I19" i="271"/>
  <c r="H19" i="271"/>
  <c r="G19" i="271"/>
  <c r="E19" i="271"/>
  <c r="F19" i="271" s="1"/>
  <c r="F20" i="271" s="1"/>
  <c r="F21" i="271" s="1"/>
  <c r="C25" i="272"/>
  <c r="J21" i="272"/>
  <c r="H21" i="272"/>
  <c r="J20" i="272"/>
  <c r="I20" i="272"/>
  <c r="H20" i="272"/>
  <c r="G20" i="272"/>
  <c r="E20" i="272"/>
  <c r="F20" i="272" s="1"/>
  <c r="J19" i="272"/>
  <c r="I19" i="272"/>
  <c r="H19" i="272"/>
  <c r="G19" i="272"/>
  <c r="E19" i="272"/>
  <c r="F19" i="272" s="1"/>
  <c r="C25" i="270"/>
  <c r="J21" i="270"/>
  <c r="H21" i="270"/>
  <c r="J20" i="270"/>
  <c r="I20" i="270"/>
  <c r="H20" i="270"/>
  <c r="G20" i="270"/>
  <c r="E20" i="270"/>
  <c r="F20" i="270" s="1"/>
  <c r="J19" i="270"/>
  <c r="I19" i="270"/>
  <c r="H19" i="270"/>
  <c r="G19" i="270"/>
  <c r="E19" i="270"/>
  <c r="F19" i="270" s="1"/>
  <c r="C24" i="267"/>
  <c r="J20" i="267"/>
  <c r="H20" i="267"/>
  <c r="J19" i="267"/>
  <c r="I19" i="267"/>
  <c r="H19" i="267"/>
  <c r="G19" i="267"/>
  <c r="E19" i="267"/>
  <c r="F19" i="267" s="1"/>
  <c r="F20" i="267" s="1"/>
  <c r="F21" i="267" s="1"/>
  <c r="C24" i="266"/>
  <c r="J20" i="266"/>
  <c r="H20" i="266"/>
  <c r="J19" i="266"/>
  <c r="I19" i="266"/>
  <c r="H19" i="266"/>
  <c r="G19" i="266"/>
  <c r="E19" i="266"/>
  <c r="F19" i="266" s="1"/>
  <c r="F20" i="266" s="1"/>
  <c r="F21" i="266" s="1"/>
  <c r="C24" i="269"/>
  <c r="J20" i="269"/>
  <c r="H20" i="269"/>
  <c r="J19" i="269"/>
  <c r="I19" i="269"/>
  <c r="H19" i="269"/>
  <c r="G19" i="269"/>
  <c r="E19" i="269"/>
  <c r="F19" i="269" s="1"/>
  <c r="F20" i="269" s="1"/>
  <c r="F21" i="269" s="1"/>
  <c r="C24" i="268"/>
  <c r="J20" i="268"/>
  <c r="H20" i="268"/>
  <c r="J19" i="268"/>
  <c r="I19" i="268"/>
  <c r="H19" i="268"/>
  <c r="G19" i="268"/>
  <c r="E19" i="268"/>
  <c r="F19" i="268" s="1"/>
  <c r="F20" i="268" s="1"/>
  <c r="F21" i="268" s="1"/>
  <c r="C24" i="265"/>
  <c r="J20" i="265"/>
  <c r="H20" i="265"/>
  <c r="J19" i="265"/>
  <c r="I19" i="265"/>
  <c r="H19" i="265"/>
  <c r="G19" i="265"/>
  <c r="E19" i="265"/>
  <c r="F19" i="265" s="1"/>
  <c r="F20" i="265" s="1"/>
  <c r="F21" i="265" s="1"/>
  <c r="C24" i="264"/>
  <c r="J20" i="264"/>
  <c r="H20" i="264"/>
  <c r="J19" i="264"/>
  <c r="I19" i="264"/>
  <c r="H19" i="264"/>
  <c r="G19" i="264"/>
  <c r="E19" i="264"/>
  <c r="F19" i="264" s="1"/>
  <c r="F20" i="264" s="1"/>
  <c r="F21" i="264" s="1"/>
  <c r="C25" i="365"/>
  <c r="J21" i="365"/>
  <c r="H21" i="365"/>
  <c r="J20" i="365"/>
  <c r="I20" i="365"/>
  <c r="H20" i="365"/>
  <c r="G20" i="365"/>
  <c r="F20" i="365"/>
  <c r="J19" i="365"/>
  <c r="I19" i="365"/>
  <c r="H19" i="365"/>
  <c r="G19" i="365"/>
  <c r="C27" i="362"/>
  <c r="J23" i="362"/>
  <c r="H23" i="362"/>
  <c r="J22" i="362"/>
  <c r="I22" i="362"/>
  <c r="H22" i="362"/>
  <c r="G22" i="362"/>
  <c r="E22" i="362"/>
  <c r="F22" i="362" s="1"/>
  <c r="J21" i="362"/>
  <c r="I21" i="362"/>
  <c r="H21" i="362"/>
  <c r="G21" i="362"/>
  <c r="E21" i="362"/>
  <c r="F21" i="362" s="1"/>
  <c r="J20" i="362"/>
  <c r="I20" i="362"/>
  <c r="H20" i="362"/>
  <c r="G20" i="362"/>
  <c r="E20" i="362"/>
  <c r="F20" i="362" s="1"/>
  <c r="J19" i="362"/>
  <c r="I19" i="362"/>
  <c r="H19" i="362"/>
  <c r="G19" i="362"/>
  <c r="D34" i="29"/>
  <c r="F26" i="29"/>
  <c r="F25" i="29"/>
  <c r="F24" i="29"/>
  <c r="F23" i="29"/>
  <c r="F22" i="29"/>
  <c r="C27" i="95"/>
  <c r="J23" i="95"/>
  <c r="H23" i="95"/>
  <c r="J22" i="95"/>
  <c r="I22" i="95"/>
  <c r="H22" i="95"/>
  <c r="G22" i="95"/>
  <c r="E22" i="95"/>
  <c r="F22" i="95" s="1"/>
  <c r="J21" i="95"/>
  <c r="I21" i="95"/>
  <c r="H21" i="95"/>
  <c r="G21" i="95"/>
  <c r="E21" i="95"/>
  <c r="F21" i="95" s="1"/>
  <c r="J20" i="95"/>
  <c r="I20" i="95"/>
  <c r="H20" i="95"/>
  <c r="G20" i="95"/>
  <c r="E20" i="95"/>
  <c r="F20" i="95" s="1"/>
  <c r="J19" i="95"/>
  <c r="I19" i="95"/>
  <c r="H19" i="95"/>
  <c r="G19" i="95"/>
  <c r="C26" i="364"/>
  <c r="J22" i="364"/>
  <c r="H22" i="364"/>
  <c r="J21" i="364"/>
  <c r="I21" i="364"/>
  <c r="H21" i="364"/>
  <c r="G21" i="364"/>
  <c r="E21" i="364"/>
  <c r="F21" i="364" s="1"/>
  <c r="J20" i="364"/>
  <c r="I20" i="364"/>
  <c r="H20" i="364"/>
  <c r="G20" i="364"/>
  <c r="E20" i="364"/>
  <c r="F20" i="364" s="1"/>
  <c r="J19" i="364"/>
  <c r="I19" i="364"/>
  <c r="H19" i="364"/>
  <c r="G19" i="364"/>
  <c r="C26" i="360"/>
  <c r="J22" i="360"/>
  <c r="H22" i="360"/>
  <c r="J21" i="360"/>
  <c r="I21" i="360"/>
  <c r="H21" i="360"/>
  <c r="G21" i="360"/>
  <c r="E21" i="360"/>
  <c r="F21" i="360" s="1"/>
  <c r="J20" i="360"/>
  <c r="I20" i="360"/>
  <c r="H20" i="360"/>
  <c r="G20" i="360"/>
  <c r="E20" i="360"/>
  <c r="F20" i="360" s="1"/>
  <c r="J19" i="360"/>
  <c r="I19" i="360"/>
  <c r="H19" i="360"/>
  <c r="G19" i="360"/>
  <c r="C26" i="199"/>
  <c r="J22" i="199"/>
  <c r="H22" i="199"/>
  <c r="J21" i="199"/>
  <c r="I21" i="199"/>
  <c r="H21" i="199"/>
  <c r="G21" i="199"/>
  <c r="E21" i="199"/>
  <c r="F21" i="199" s="1"/>
  <c r="J20" i="199"/>
  <c r="I20" i="199"/>
  <c r="H20" i="199"/>
  <c r="G20" i="199"/>
  <c r="E20" i="199"/>
  <c r="F20" i="199" s="1"/>
  <c r="J19" i="199"/>
  <c r="I19" i="199"/>
  <c r="H19" i="199"/>
  <c r="G19" i="199"/>
  <c r="C29" i="363"/>
  <c r="J25" i="363"/>
  <c r="H25" i="363"/>
  <c r="J24" i="363"/>
  <c r="I24" i="363"/>
  <c r="H24" i="363"/>
  <c r="G24" i="363"/>
  <c r="E24" i="363"/>
  <c r="F24" i="363" s="1"/>
  <c r="J23" i="363"/>
  <c r="I23" i="363"/>
  <c r="H23" i="363"/>
  <c r="G23" i="363"/>
  <c r="E23" i="363"/>
  <c r="F23" i="363" s="1"/>
  <c r="J22" i="363"/>
  <c r="I22" i="363"/>
  <c r="H22" i="363"/>
  <c r="G22" i="363"/>
  <c r="E22" i="363"/>
  <c r="F22" i="363" s="1"/>
  <c r="J21" i="363"/>
  <c r="I21" i="363"/>
  <c r="H21" i="363"/>
  <c r="G21" i="363"/>
  <c r="F21" i="363"/>
  <c r="J20" i="363"/>
  <c r="I20" i="363"/>
  <c r="H20" i="363"/>
  <c r="G20" i="363"/>
  <c r="E20" i="363"/>
  <c r="F20" i="363" s="1"/>
  <c r="J19" i="363"/>
  <c r="I19" i="363"/>
  <c r="H19" i="363"/>
  <c r="G19" i="363"/>
  <c r="E19" i="363"/>
  <c r="F19" i="363" s="1"/>
  <c r="C29" i="361"/>
  <c r="J25" i="361"/>
  <c r="H25" i="361"/>
  <c r="J24" i="361"/>
  <c r="I24" i="361"/>
  <c r="H24" i="361"/>
  <c r="G24" i="361"/>
  <c r="E24" i="361"/>
  <c r="F24" i="361" s="1"/>
  <c r="J23" i="361"/>
  <c r="I23" i="361"/>
  <c r="H23" i="361"/>
  <c r="G23" i="361"/>
  <c r="E23" i="361"/>
  <c r="F23" i="361" s="1"/>
  <c r="J22" i="361"/>
  <c r="I22" i="361"/>
  <c r="H22" i="361"/>
  <c r="G22" i="361"/>
  <c r="E22" i="361"/>
  <c r="F22" i="361" s="1"/>
  <c r="J21" i="361"/>
  <c r="I21" i="361"/>
  <c r="H21" i="361"/>
  <c r="G21" i="361"/>
  <c r="F21" i="361"/>
  <c r="J20" i="361"/>
  <c r="I20" i="361"/>
  <c r="H20" i="361"/>
  <c r="G20" i="361"/>
  <c r="E20" i="361"/>
  <c r="F20" i="361" s="1"/>
  <c r="J19" i="361"/>
  <c r="I19" i="361"/>
  <c r="H19" i="361"/>
  <c r="G19" i="361"/>
  <c r="E19" i="361"/>
  <c r="F19" i="361" s="1"/>
  <c r="C29" i="178"/>
  <c r="J25" i="178"/>
  <c r="H25" i="178"/>
  <c r="J24" i="178"/>
  <c r="I24" i="178"/>
  <c r="H24" i="178"/>
  <c r="G24" i="178"/>
  <c r="E24" i="178"/>
  <c r="F24" i="178" s="1"/>
  <c r="J23" i="178"/>
  <c r="I23" i="178"/>
  <c r="H23" i="178"/>
  <c r="G23" i="178"/>
  <c r="E23" i="178"/>
  <c r="F23" i="178" s="1"/>
  <c r="J22" i="178"/>
  <c r="I22" i="178"/>
  <c r="H22" i="178"/>
  <c r="G22" i="178"/>
  <c r="E22" i="178"/>
  <c r="F22" i="178" s="1"/>
  <c r="J21" i="178"/>
  <c r="I21" i="178"/>
  <c r="H21" i="178"/>
  <c r="G21" i="178"/>
  <c r="F21" i="178"/>
  <c r="J20" i="178"/>
  <c r="I20" i="178"/>
  <c r="H20" i="178"/>
  <c r="G20" i="178"/>
  <c r="E20" i="178"/>
  <c r="F20" i="178" s="1"/>
  <c r="J19" i="178"/>
  <c r="I19" i="178"/>
  <c r="H19" i="178"/>
  <c r="G19" i="178"/>
  <c r="E19" i="178"/>
  <c r="F19" i="178" s="1"/>
  <c r="C29" i="338"/>
  <c r="J25" i="338"/>
  <c r="H25" i="338"/>
  <c r="J24" i="338"/>
  <c r="H24" i="338"/>
  <c r="J23" i="338"/>
  <c r="I23" i="338"/>
  <c r="H23" i="338"/>
  <c r="G23" i="338"/>
  <c r="E23" i="338"/>
  <c r="F23" i="338" s="1"/>
  <c r="J22" i="338"/>
  <c r="I22" i="338"/>
  <c r="H22" i="338"/>
  <c r="G22" i="338"/>
  <c r="E22" i="338"/>
  <c r="F22" i="338" s="1"/>
  <c r="J21" i="338"/>
  <c r="I21" i="338"/>
  <c r="H21" i="338"/>
  <c r="G21" i="338"/>
  <c r="F21" i="338"/>
  <c r="J20" i="338"/>
  <c r="I20" i="338"/>
  <c r="H20" i="338"/>
  <c r="G20" i="338"/>
  <c r="E20" i="338"/>
  <c r="F20" i="338" s="1"/>
  <c r="J19" i="338"/>
  <c r="I19" i="338"/>
  <c r="H19" i="338"/>
  <c r="G19" i="338"/>
  <c r="E19" i="338"/>
  <c r="F19" i="338" s="1"/>
  <c r="C29" i="329"/>
  <c r="J25" i="329"/>
  <c r="H25" i="329"/>
  <c r="J24" i="329"/>
  <c r="H24" i="329"/>
  <c r="J23" i="329"/>
  <c r="I23" i="329"/>
  <c r="H23" i="329"/>
  <c r="G23" i="329"/>
  <c r="E23" i="329"/>
  <c r="F23" i="329" s="1"/>
  <c r="J22" i="329"/>
  <c r="I22" i="329"/>
  <c r="H22" i="329"/>
  <c r="G22" i="329"/>
  <c r="E22" i="329"/>
  <c r="F22" i="329" s="1"/>
  <c r="J21" i="329"/>
  <c r="I21" i="329"/>
  <c r="H21" i="329"/>
  <c r="G21" i="329"/>
  <c r="F21" i="329"/>
  <c r="J20" i="329"/>
  <c r="I20" i="329"/>
  <c r="H20" i="329"/>
  <c r="G20" i="329"/>
  <c r="E20" i="329"/>
  <c r="F20" i="329" s="1"/>
  <c r="J19" i="329"/>
  <c r="I19" i="329"/>
  <c r="H19" i="329"/>
  <c r="G19" i="329"/>
  <c r="E19" i="329"/>
  <c r="F19" i="329" s="1"/>
  <c r="C29" i="328"/>
  <c r="J25" i="328"/>
  <c r="H25" i="328"/>
  <c r="J24" i="328"/>
  <c r="H24" i="328"/>
  <c r="J23" i="328"/>
  <c r="I23" i="328"/>
  <c r="H23" i="328"/>
  <c r="G23" i="328"/>
  <c r="E23" i="328"/>
  <c r="F23" i="328" s="1"/>
  <c r="J22" i="328"/>
  <c r="I22" i="328"/>
  <c r="H22" i="328"/>
  <c r="G22" i="328"/>
  <c r="E22" i="328"/>
  <c r="F22" i="328" s="1"/>
  <c r="J21" i="328"/>
  <c r="I21" i="328"/>
  <c r="H21" i="328"/>
  <c r="G21" i="328"/>
  <c r="F21" i="328"/>
  <c r="J20" i="328"/>
  <c r="I20" i="328"/>
  <c r="H20" i="328"/>
  <c r="G20" i="328"/>
  <c r="E20" i="328"/>
  <c r="F20" i="328" s="1"/>
  <c r="J19" i="328"/>
  <c r="I19" i="328"/>
  <c r="H19" i="328"/>
  <c r="G19" i="328"/>
  <c r="E19" i="328"/>
  <c r="F19" i="328" s="1"/>
  <c r="C29" i="90"/>
  <c r="J25" i="90"/>
  <c r="H25" i="90"/>
  <c r="J24" i="90"/>
  <c r="H24" i="90"/>
  <c r="J23" i="90"/>
  <c r="I23" i="90"/>
  <c r="H23" i="90"/>
  <c r="G23" i="90"/>
  <c r="E23" i="90"/>
  <c r="F23" i="90" s="1"/>
  <c r="J22" i="90"/>
  <c r="I22" i="90"/>
  <c r="H22" i="90"/>
  <c r="G22" i="90"/>
  <c r="E22" i="90"/>
  <c r="F22" i="90" s="1"/>
  <c r="J21" i="90"/>
  <c r="I21" i="90"/>
  <c r="H21" i="90"/>
  <c r="G21" i="90"/>
  <c r="F21" i="90"/>
  <c r="J20" i="90"/>
  <c r="I20" i="90"/>
  <c r="H20" i="90"/>
  <c r="G20" i="90"/>
  <c r="E20" i="90"/>
  <c r="F20" i="90" s="1"/>
  <c r="J19" i="90"/>
  <c r="I19" i="90"/>
  <c r="H19" i="90"/>
  <c r="G19" i="90"/>
  <c r="E19" i="90"/>
  <c r="F19" i="90" s="1"/>
  <c r="C29" i="206"/>
  <c r="J25" i="206"/>
  <c r="H25" i="206"/>
  <c r="J24" i="206"/>
  <c r="H24" i="206"/>
  <c r="J23" i="206"/>
  <c r="I23" i="206"/>
  <c r="H23" i="206"/>
  <c r="G23" i="206"/>
  <c r="E23" i="206"/>
  <c r="F23" i="206" s="1"/>
  <c r="J22" i="206"/>
  <c r="I22" i="206"/>
  <c r="H22" i="206"/>
  <c r="G22" i="206"/>
  <c r="E22" i="206"/>
  <c r="F22" i="206" s="1"/>
  <c r="J21" i="206"/>
  <c r="I21" i="206"/>
  <c r="H21" i="206"/>
  <c r="G21" i="206"/>
  <c r="E21" i="206"/>
  <c r="F21" i="206" s="1"/>
  <c r="J20" i="206"/>
  <c r="I20" i="206"/>
  <c r="H20" i="206"/>
  <c r="G20" i="206"/>
  <c r="E20" i="206"/>
  <c r="F20" i="206" s="1"/>
  <c r="J19" i="206"/>
  <c r="I19" i="206"/>
  <c r="H19" i="206"/>
  <c r="G19" i="206"/>
  <c r="E19" i="206"/>
  <c r="F19" i="206" s="1"/>
  <c r="J22" i="203"/>
  <c r="H22" i="203"/>
  <c r="J21" i="203"/>
  <c r="I21" i="203"/>
  <c r="H21" i="203"/>
  <c r="G21" i="203"/>
  <c r="E21" i="203"/>
  <c r="F21" i="203" s="1"/>
  <c r="J20" i="203"/>
  <c r="I20" i="203"/>
  <c r="H20" i="203"/>
  <c r="G20" i="203"/>
  <c r="E20" i="203"/>
  <c r="F20" i="203" s="1"/>
  <c r="J19" i="203"/>
  <c r="I19" i="203"/>
  <c r="H19" i="203"/>
  <c r="G19" i="203"/>
  <c r="C30" i="359"/>
  <c r="J26" i="359"/>
  <c r="H26" i="359"/>
  <c r="J25" i="359"/>
  <c r="I25" i="359"/>
  <c r="H25" i="359"/>
  <c r="G25" i="359"/>
  <c r="E25" i="359"/>
  <c r="F25" i="359" s="1"/>
  <c r="J24" i="359"/>
  <c r="I24" i="359"/>
  <c r="H24" i="359"/>
  <c r="G24" i="359"/>
  <c r="E24" i="359"/>
  <c r="F24" i="359" s="1"/>
  <c r="J23" i="359"/>
  <c r="I23" i="359"/>
  <c r="H23" i="359"/>
  <c r="G23" i="359"/>
  <c r="E23" i="359"/>
  <c r="F23" i="359" s="1"/>
  <c r="J22" i="359"/>
  <c r="I22" i="359"/>
  <c r="H22" i="359"/>
  <c r="G22" i="359"/>
  <c r="F22" i="359"/>
  <c r="J21" i="359"/>
  <c r="I21" i="359"/>
  <c r="H21" i="359"/>
  <c r="G21" i="359"/>
  <c r="E21" i="359"/>
  <c r="F21" i="359" s="1"/>
  <c r="J20" i="359"/>
  <c r="I20" i="359"/>
  <c r="H20" i="359"/>
  <c r="G20" i="359"/>
  <c r="E20" i="359"/>
  <c r="F20" i="359" s="1"/>
  <c r="J19" i="359"/>
  <c r="I19" i="359"/>
  <c r="H19" i="359"/>
  <c r="G19" i="359"/>
  <c r="E19" i="359"/>
  <c r="F19" i="359" s="1"/>
  <c r="C30" i="351"/>
  <c r="J26" i="351"/>
  <c r="H26" i="351"/>
  <c r="J25" i="351"/>
  <c r="I25" i="351"/>
  <c r="H25" i="351"/>
  <c r="G25" i="351"/>
  <c r="E25" i="351"/>
  <c r="F25" i="351" s="1"/>
  <c r="J24" i="351"/>
  <c r="I24" i="351"/>
  <c r="H24" i="351"/>
  <c r="G24" i="351"/>
  <c r="E24" i="351"/>
  <c r="F24" i="351" s="1"/>
  <c r="J23" i="351"/>
  <c r="I23" i="351"/>
  <c r="H23" i="351"/>
  <c r="G23" i="351"/>
  <c r="E23" i="351"/>
  <c r="F23" i="351" s="1"/>
  <c r="J22" i="351"/>
  <c r="I22" i="351"/>
  <c r="H22" i="351"/>
  <c r="G22" i="351"/>
  <c r="F22" i="351"/>
  <c r="J21" i="351"/>
  <c r="I21" i="351"/>
  <c r="H21" i="351"/>
  <c r="G21" i="351"/>
  <c r="E21" i="351"/>
  <c r="F21" i="351" s="1"/>
  <c r="J20" i="351"/>
  <c r="I20" i="351"/>
  <c r="H20" i="351"/>
  <c r="G20" i="351"/>
  <c r="E20" i="351"/>
  <c r="F20" i="351" s="1"/>
  <c r="J19" i="351"/>
  <c r="I19" i="351"/>
  <c r="H19" i="351"/>
  <c r="G19" i="351"/>
  <c r="E19" i="351"/>
  <c r="F19" i="351" s="1"/>
  <c r="C34" i="231"/>
  <c r="J30" i="231"/>
  <c r="H30" i="231"/>
  <c r="J29" i="231"/>
  <c r="I29" i="231"/>
  <c r="H29" i="231"/>
  <c r="G29" i="231"/>
  <c r="E29" i="231"/>
  <c r="F29" i="231" s="1"/>
  <c r="J28" i="231"/>
  <c r="I28" i="231"/>
  <c r="H28" i="231"/>
  <c r="G28" i="231"/>
  <c r="E28" i="231"/>
  <c r="F28" i="231" s="1"/>
  <c r="J27" i="231"/>
  <c r="I27" i="231"/>
  <c r="H27" i="231"/>
  <c r="G27" i="231"/>
  <c r="E27" i="231"/>
  <c r="F27" i="231" s="1"/>
  <c r="J26" i="231"/>
  <c r="I26" i="231"/>
  <c r="H26" i="231"/>
  <c r="G26" i="231"/>
  <c r="E26" i="231"/>
  <c r="F26" i="231" s="1"/>
  <c r="J25" i="231"/>
  <c r="I25" i="231"/>
  <c r="H25" i="231"/>
  <c r="G25" i="231"/>
  <c r="E25" i="231"/>
  <c r="F25" i="231" s="1"/>
  <c r="J24" i="231"/>
  <c r="I24" i="231"/>
  <c r="H24" i="231"/>
  <c r="G24" i="231"/>
  <c r="E24" i="231"/>
  <c r="F24" i="231" s="1"/>
  <c r="J23" i="231"/>
  <c r="I23" i="231"/>
  <c r="H23" i="231"/>
  <c r="G23" i="231"/>
  <c r="E23" i="231"/>
  <c r="F23" i="231" s="1"/>
  <c r="J22" i="231"/>
  <c r="I22" i="231"/>
  <c r="H22" i="231"/>
  <c r="G22" i="231"/>
  <c r="E22" i="231"/>
  <c r="F22" i="231" s="1"/>
  <c r="J21" i="231"/>
  <c r="I21" i="231"/>
  <c r="H21" i="231"/>
  <c r="G21" i="231"/>
  <c r="E21" i="231"/>
  <c r="F21" i="231" s="1"/>
  <c r="J20" i="231"/>
  <c r="I20" i="231"/>
  <c r="H20" i="231"/>
  <c r="G20" i="231"/>
  <c r="E20" i="231"/>
  <c r="F20" i="231" s="1"/>
  <c r="J19" i="231"/>
  <c r="I19" i="231"/>
  <c r="H19" i="231"/>
  <c r="G19" i="231"/>
  <c r="E19" i="231"/>
  <c r="F19" i="231" s="1"/>
  <c r="C26" i="230"/>
  <c r="J22" i="230"/>
  <c r="H22" i="230"/>
  <c r="J21" i="230"/>
  <c r="I21" i="230"/>
  <c r="H21" i="230"/>
  <c r="G21" i="230"/>
  <c r="E21" i="230"/>
  <c r="F21" i="230" s="1"/>
  <c r="J20" i="230"/>
  <c r="I20" i="230"/>
  <c r="H20" i="230"/>
  <c r="G20" i="230"/>
  <c r="E20" i="230"/>
  <c r="F20" i="230" s="1"/>
  <c r="J19" i="230"/>
  <c r="I19" i="230"/>
  <c r="H19" i="230"/>
  <c r="G19" i="230"/>
  <c r="E19" i="230"/>
  <c r="F19" i="230" s="1"/>
  <c r="C26" i="229"/>
  <c r="J22" i="229"/>
  <c r="H22" i="229"/>
  <c r="J21" i="229"/>
  <c r="I21" i="229"/>
  <c r="H21" i="229"/>
  <c r="G21" i="229"/>
  <c r="E21" i="229"/>
  <c r="F21" i="229" s="1"/>
  <c r="I20" i="229"/>
  <c r="G20" i="229"/>
  <c r="E20" i="229"/>
  <c r="F20" i="229" s="1"/>
  <c r="J19" i="229"/>
  <c r="I19" i="229"/>
  <c r="H19" i="229"/>
  <c r="G19" i="229"/>
  <c r="E19" i="229"/>
  <c r="F19" i="229" s="1"/>
  <c r="C25" i="303"/>
  <c r="J21" i="303"/>
  <c r="H21" i="303"/>
  <c r="J20" i="303"/>
  <c r="I20" i="303"/>
  <c r="H20" i="303"/>
  <c r="G20" i="303"/>
  <c r="E20" i="303"/>
  <c r="F20" i="303" s="1"/>
  <c r="J19" i="303"/>
  <c r="I19" i="303"/>
  <c r="H19" i="303"/>
  <c r="G19" i="303"/>
  <c r="E19" i="303"/>
  <c r="F19" i="303" s="1"/>
  <c r="C25" i="302"/>
  <c r="J21" i="302"/>
  <c r="H21" i="302"/>
  <c r="J20" i="302"/>
  <c r="I20" i="302"/>
  <c r="H20" i="302"/>
  <c r="G20" i="302"/>
  <c r="E20" i="302"/>
  <c r="F20" i="302" s="1"/>
  <c r="J19" i="302"/>
  <c r="I19" i="302"/>
  <c r="H19" i="302"/>
  <c r="G19" i="302"/>
  <c r="E19" i="302"/>
  <c r="F19" i="302" s="1"/>
  <c r="C25" i="139"/>
  <c r="J21" i="139"/>
  <c r="H21" i="139"/>
  <c r="J20" i="139"/>
  <c r="I20" i="139"/>
  <c r="H20" i="139"/>
  <c r="G20" i="139"/>
  <c r="E20" i="139"/>
  <c r="F20" i="139" s="1"/>
  <c r="J19" i="139"/>
  <c r="I19" i="139"/>
  <c r="H19" i="139"/>
  <c r="G19" i="139"/>
  <c r="C26" i="436"/>
  <c r="J22" i="436"/>
  <c r="H22" i="436"/>
  <c r="J20" i="436"/>
  <c r="I20" i="436"/>
  <c r="H20" i="436"/>
  <c r="G20" i="436"/>
  <c r="E20" i="436"/>
  <c r="F20" i="436" s="1"/>
  <c r="J19" i="436"/>
  <c r="I19" i="436"/>
  <c r="H19" i="436"/>
  <c r="G19" i="436"/>
  <c r="E19" i="436"/>
  <c r="F19" i="436" s="1"/>
  <c r="C25" i="358"/>
  <c r="J21" i="358"/>
  <c r="H21" i="358"/>
  <c r="J20" i="358"/>
  <c r="I20" i="358"/>
  <c r="H20" i="358"/>
  <c r="G20" i="358"/>
  <c r="E20" i="358"/>
  <c r="F20" i="358" s="1"/>
  <c r="J19" i="358"/>
  <c r="I19" i="358"/>
  <c r="H19" i="358"/>
  <c r="G19" i="358"/>
  <c r="C25" i="233"/>
  <c r="J21" i="233"/>
  <c r="H21" i="233"/>
  <c r="J20" i="233"/>
  <c r="I20" i="233"/>
  <c r="H20" i="233"/>
  <c r="G20" i="233"/>
  <c r="E20" i="233"/>
  <c r="F20" i="233" s="1"/>
  <c r="J19" i="233"/>
  <c r="I19" i="233"/>
  <c r="H19" i="233"/>
  <c r="G19" i="233"/>
  <c r="C25" i="131"/>
  <c r="J21" i="131"/>
  <c r="H21" i="131"/>
  <c r="J20" i="131"/>
  <c r="I20" i="131"/>
  <c r="H20" i="131"/>
  <c r="G20" i="131"/>
  <c r="E20" i="131"/>
  <c r="F20" i="131" s="1"/>
  <c r="J19" i="131"/>
  <c r="I19" i="131"/>
  <c r="H19" i="131"/>
  <c r="G19" i="131"/>
  <c r="C40" i="221"/>
  <c r="J35" i="221"/>
  <c r="H35" i="221"/>
  <c r="J34" i="221"/>
  <c r="I34" i="221"/>
  <c r="H34" i="221"/>
  <c r="G34" i="221"/>
  <c r="E34" i="221"/>
  <c r="F34" i="221" s="1"/>
  <c r="J33" i="221"/>
  <c r="H33" i="221"/>
  <c r="J32" i="221"/>
  <c r="H32" i="221"/>
  <c r="J31" i="221"/>
  <c r="H31" i="221"/>
  <c r="J30" i="221"/>
  <c r="I30" i="221"/>
  <c r="H30" i="221"/>
  <c r="G30" i="221"/>
  <c r="E30" i="221"/>
  <c r="F30" i="221" s="1"/>
  <c r="J29" i="221"/>
  <c r="I29" i="221"/>
  <c r="H29" i="221"/>
  <c r="G29" i="221"/>
  <c r="E29" i="221"/>
  <c r="F29" i="221" s="1"/>
  <c r="J28" i="221"/>
  <c r="I28" i="221"/>
  <c r="H28" i="221"/>
  <c r="G28" i="221"/>
  <c r="E28" i="221"/>
  <c r="F28" i="221" s="1"/>
  <c r="J27" i="221"/>
  <c r="I27" i="221"/>
  <c r="H27" i="221"/>
  <c r="G27" i="221"/>
  <c r="E27" i="221"/>
  <c r="F27" i="221" s="1"/>
  <c r="J26" i="221"/>
  <c r="I26" i="221"/>
  <c r="H26" i="221"/>
  <c r="G26" i="221"/>
  <c r="J24" i="221"/>
  <c r="I24" i="221"/>
  <c r="H24" i="221"/>
  <c r="G24" i="221"/>
  <c r="J23" i="221"/>
  <c r="I23" i="221"/>
  <c r="H23" i="221"/>
  <c r="G23" i="221"/>
  <c r="E23" i="221"/>
  <c r="F23" i="221" s="1"/>
  <c r="J22" i="221"/>
  <c r="I22" i="221"/>
  <c r="H22" i="221"/>
  <c r="G22" i="221"/>
  <c r="E22" i="221"/>
  <c r="F22" i="221" s="1"/>
  <c r="J21" i="221"/>
  <c r="I21" i="221"/>
  <c r="H21" i="221"/>
  <c r="G21" i="221"/>
  <c r="E21" i="221"/>
  <c r="F21" i="221" s="1"/>
  <c r="J20" i="221"/>
  <c r="I20" i="221"/>
  <c r="H20" i="221"/>
  <c r="G20" i="221"/>
  <c r="E20" i="221"/>
  <c r="F20" i="221" s="1"/>
  <c r="J19" i="221"/>
  <c r="I19" i="221"/>
  <c r="H19" i="221"/>
  <c r="G19" i="221"/>
  <c r="E19" i="221"/>
  <c r="F19" i="221" s="1"/>
  <c r="C33" i="392"/>
  <c r="J28" i="392"/>
  <c r="H28" i="392"/>
  <c r="J27" i="392"/>
  <c r="I27" i="392"/>
  <c r="H27" i="392"/>
  <c r="G27" i="392"/>
  <c r="E27" i="392"/>
  <c r="F27" i="392" s="1"/>
  <c r="J26" i="392"/>
  <c r="I26" i="392"/>
  <c r="H26" i="392"/>
  <c r="G26" i="392"/>
  <c r="E26" i="392"/>
  <c r="F26" i="392" s="1"/>
  <c r="J25" i="392"/>
  <c r="H25" i="392"/>
  <c r="J24" i="392"/>
  <c r="I24" i="392"/>
  <c r="H24" i="392"/>
  <c r="G24" i="392"/>
  <c r="J23" i="392"/>
  <c r="I23" i="392"/>
  <c r="H23" i="392"/>
  <c r="G23" i="392"/>
  <c r="E23" i="392"/>
  <c r="F23" i="392" s="1"/>
  <c r="J22" i="392"/>
  <c r="I22" i="392"/>
  <c r="H22" i="392"/>
  <c r="G22" i="392"/>
  <c r="E22" i="392"/>
  <c r="F22" i="392" s="1"/>
  <c r="J21" i="392"/>
  <c r="I21" i="392"/>
  <c r="H21" i="392"/>
  <c r="G21" i="392"/>
  <c r="E21" i="392"/>
  <c r="F21" i="392" s="1"/>
  <c r="J20" i="392"/>
  <c r="I20" i="392"/>
  <c r="H20" i="392"/>
  <c r="G20" i="392"/>
  <c r="E20" i="392"/>
  <c r="F20" i="392" s="1"/>
  <c r="J19" i="392"/>
  <c r="I19" i="392"/>
  <c r="H19" i="392"/>
  <c r="G19" i="392"/>
  <c r="E19" i="392"/>
  <c r="F19" i="392" s="1"/>
  <c r="C33" i="220"/>
  <c r="J28" i="220"/>
  <c r="H28" i="220"/>
  <c r="J27" i="220"/>
  <c r="I27" i="220"/>
  <c r="H27" i="220"/>
  <c r="G27" i="220"/>
  <c r="E27" i="220"/>
  <c r="F27" i="220" s="1"/>
  <c r="J26" i="220"/>
  <c r="I26" i="220"/>
  <c r="H26" i="220"/>
  <c r="G26" i="220"/>
  <c r="E26" i="220"/>
  <c r="F26" i="220" s="1"/>
  <c r="J25" i="220"/>
  <c r="H25" i="220"/>
  <c r="J24" i="220"/>
  <c r="I24" i="220"/>
  <c r="H24" i="220"/>
  <c r="G24" i="220"/>
  <c r="J23" i="220"/>
  <c r="I23" i="220"/>
  <c r="H23" i="220"/>
  <c r="G23" i="220"/>
  <c r="E23" i="220"/>
  <c r="F23" i="220" s="1"/>
  <c r="J22" i="220"/>
  <c r="I22" i="220"/>
  <c r="H22" i="220"/>
  <c r="G22" i="220"/>
  <c r="E22" i="220"/>
  <c r="F22" i="220" s="1"/>
  <c r="J21" i="220"/>
  <c r="I21" i="220"/>
  <c r="H21" i="220"/>
  <c r="G21" i="220"/>
  <c r="E21" i="220"/>
  <c r="F21" i="220" s="1"/>
  <c r="J20" i="220"/>
  <c r="I20" i="220"/>
  <c r="H20" i="220"/>
  <c r="G20" i="220"/>
  <c r="E20" i="220"/>
  <c r="F20" i="220" s="1"/>
  <c r="J19" i="220"/>
  <c r="I19" i="220"/>
  <c r="H19" i="220"/>
  <c r="G19" i="220"/>
  <c r="E19" i="220"/>
  <c r="F19" i="220" s="1"/>
  <c r="C38" i="390"/>
  <c r="J33" i="390"/>
  <c r="H33" i="390"/>
  <c r="J32" i="390"/>
  <c r="I32" i="390"/>
  <c r="H32" i="390"/>
  <c r="G32" i="390"/>
  <c r="J31" i="390"/>
  <c r="I31" i="390"/>
  <c r="H31" i="390"/>
  <c r="G31" i="390"/>
  <c r="E31" i="390"/>
  <c r="F31" i="390" s="1"/>
  <c r="J30" i="390"/>
  <c r="H30" i="390"/>
  <c r="J29" i="390"/>
  <c r="I29" i="390"/>
  <c r="H29" i="390"/>
  <c r="G29" i="390"/>
  <c r="J28" i="390"/>
  <c r="I28" i="390"/>
  <c r="H28" i="390"/>
  <c r="G28" i="390"/>
  <c r="E28" i="390"/>
  <c r="F28" i="390" s="1"/>
  <c r="J27" i="390"/>
  <c r="I27" i="390"/>
  <c r="H27" i="390"/>
  <c r="G27" i="390"/>
  <c r="E27" i="390"/>
  <c r="F27" i="390" s="1"/>
  <c r="J26" i="390"/>
  <c r="H26" i="390"/>
  <c r="J25" i="390"/>
  <c r="I25" i="390"/>
  <c r="H25" i="390"/>
  <c r="G25" i="390"/>
  <c r="J23" i="390"/>
  <c r="I23" i="390"/>
  <c r="H23" i="390"/>
  <c r="G23" i="390"/>
  <c r="E23" i="390"/>
  <c r="F23" i="390" s="1"/>
  <c r="J22" i="390"/>
  <c r="I22" i="390"/>
  <c r="H22" i="390"/>
  <c r="G22" i="390"/>
  <c r="E22" i="390"/>
  <c r="F22" i="390" s="1"/>
  <c r="J21" i="390"/>
  <c r="I21" i="390"/>
  <c r="H21" i="390"/>
  <c r="G21" i="390"/>
  <c r="E21" i="390"/>
  <c r="F21" i="390" s="1"/>
  <c r="J20" i="390"/>
  <c r="I20" i="390"/>
  <c r="H20" i="390"/>
  <c r="G20" i="390"/>
  <c r="E20" i="390"/>
  <c r="F20" i="390" s="1"/>
  <c r="J19" i="390"/>
  <c r="I19" i="390"/>
  <c r="H19" i="390"/>
  <c r="G19" i="390"/>
  <c r="E19" i="390"/>
  <c r="F19" i="390" s="1"/>
  <c r="C38" i="219"/>
  <c r="J33" i="219"/>
  <c r="H33" i="219"/>
  <c r="J32" i="219"/>
  <c r="I32" i="219"/>
  <c r="H32" i="219"/>
  <c r="G32" i="219"/>
  <c r="J31" i="219"/>
  <c r="I31" i="219"/>
  <c r="H31" i="219"/>
  <c r="G31" i="219"/>
  <c r="E31" i="219"/>
  <c r="F31" i="219" s="1"/>
  <c r="J30" i="219"/>
  <c r="H30" i="219"/>
  <c r="J29" i="219"/>
  <c r="I29" i="219"/>
  <c r="H29" i="219"/>
  <c r="G29" i="219"/>
  <c r="J28" i="219"/>
  <c r="I28" i="219"/>
  <c r="H28" i="219"/>
  <c r="G28" i="219"/>
  <c r="E28" i="219"/>
  <c r="F28" i="219" s="1"/>
  <c r="J27" i="219"/>
  <c r="I27" i="219"/>
  <c r="H27" i="219"/>
  <c r="G27" i="219"/>
  <c r="E27" i="219"/>
  <c r="F27" i="219" s="1"/>
  <c r="J26" i="219"/>
  <c r="H26" i="219"/>
  <c r="J25" i="219"/>
  <c r="I25" i="219"/>
  <c r="H25" i="219"/>
  <c r="G25" i="219"/>
  <c r="J23" i="219"/>
  <c r="I23" i="219"/>
  <c r="H23" i="219"/>
  <c r="G23" i="219"/>
  <c r="E23" i="219"/>
  <c r="F23" i="219" s="1"/>
  <c r="J22" i="219"/>
  <c r="I22" i="219"/>
  <c r="H22" i="219"/>
  <c r="G22" i="219"/>
  <c r="E22" i="219"/>
  <c r="F22" i="219" s="1"/>
  <c r="J21" i="219"/>
  <c r="I21" i="219"/>
  <c r="H21" i="219"/>
  <c r="G21" i="219"/>
  <c r="E21" i="219"/>
  <c r="F21" i="219" s="1"/>
  <c r="J20" i="219"/>
  <c r="I20" i="219"/>
  <c r="H20" i="219"/>
  <c r="G20" i="219"/>
  <c r="E20" i="219"/>
  <c r="F20" i="219" s="1"/>
  <c r="J19" i="219"/>
  <c r="I19" i="219"/>
  <c r="H19" i="219"/>
  <c r="G19" i="219"/>
  <c r="E19" i="219"/>
  <c r="F19" i="219" s="1"/>
  <c r="C35" i="438"/>
  <c r="J30" i="438"/>
  <c r="H30" i="438"/>
  <c r="J29" i="438"/>
  <c r="I29" i="438"/>
  <c r="H29" i="438"/>
  <c r="G29" i="438"/>
  <c r="J28" i="438"/>
  <c r="I28" i="438"/>
  <c r="H28" i="438"/>
  <c r="G28" i="438"/>
  <c r="J27" i="438"/>
  <c r="I27" i="438"/>
  <c r="H27" i="438"/>
  <c r="G27" i="438"/>
  <c r="E27" i="438"/>
  <c r="F27" i="438" s="1"/>
  <c r="J26" i="438"/>
  <c r="I26" i="438"/>
  <c r="H26" i="438"/>
  <c r="G26" i="438"/>
  <c r="J24" i="438"/>
  <c r="I24" i="438"/>
  <c r="H24" i="438"/>
  <c r="G24" i="438"/>
  <c r="E24" i="438"/>
  <c r="F24" i="438" s="1"/>
  <c r="J23" i="438"/>
  <c r="I23" i="438"/>
  <c r="H23" i="438"/>
  <c r="G23" i="438"/>
  <c r="E23" i="438"/>
  <c r="F23" i="438" s="1"/>
  <c r="J22" i="438"/>
  <c r="I22" i="438"/>
  <c r="H22" i="438"/>
  <c r="G22" i="438"/>
  <c r="E22" i="438"/>
  <c r="F22" i="438" s="1"/>
  <c r="J21" i="438"/>
  <c r="I21" i="438"/>
  <c r="H21" i="438"/>
  <c r="G21" i="438"/>
  <c r="E21" i="438"/>
  <c r="F21" i="438" s="1"/>
  <c r="J20" i="438"/>
  <c r="I20" i="438"/>
  <c r="H20" i="438"/>
  <c r="G20" i="438"/>
  <c r="E20" i="438"/>
  <c r="F20" i="438" s="1"/>
  <c r="J19" i="438"/>
  <c r="I19" i="438"/>
  <c r="H19" i="438"/>
  <c r="G19" i="438"/>
  <c r="F19" i="438"/>
  <c r="C35" i="218"/>
  <c r="J30" i="218"/>
  <c r="H30" i="218"/>
  <c r="J29" i="218"/>
  <c r="I29" i="218"/>
  <c r="H29" i="218"/>
  <c r="G29" i="218"/>
  <c r="E29" i="218"/>
  <c r="F29" i="218" s="1"/>
  <c r="J28" i="218"/>
  <c r="I28" i="218"/>
  <c r="H28" i="218"/>
  <c r="G28" i="218"/>
  <c r="J27" i="218"/>
  <c r="I27" i="218"/>
  <c r="H27" i="218"/>
  <c r="G27" i="218"/>
  <c r="E27" i="218"/>
  <c r="F27" i="218" s="1"/>
  <c r="J26" i="218"/>
  <c r="I26" i="218"/>
  <c r="H26" i="218"/>
  <c r="G26" i="218"/>
  <c r="J24" i="218"/>
  <c r="I24" i="218"/>
  <c r="H24" i="218"/>
  <c r="G24" i="218"/>
  <c r="E24" i="218"/>
  <c r="F24" i="218" s="1"/>
  <c r="J23" i="218"/>
  <c r="I23" i="218"/>
  <c r="H23" i="218"/>
  <c r="G23" i="218"/>
  <c r="E23" i="218"/>
  <c r="F23" i="218" s="1"/>
  <c r="J22" i="218"/>
  <c r="I22" i="218"/>
  <c r="H22" i="218"/>
  <c r="G22" i="218"/>
  <c r="E22" i="218"/>
  <c r="F22" i="218" s="1"/>
  <c r="J21" i="218"/>
  <c r="I21" i="218"/>
  <c r="H21" i="218"/>
  <c r="G21" i="218"/>
  <c r="E21" i="218"/>
  <c r="F21" i="218" s="1"/>
  <c r="J20" i="218"/>
  <c r="I20" i="218"/>
  <c r="H20" i="218"/>
  <c r="G20" i="218"/>
  <c r="E20" i="218"/>
  <c r="F20" i="218" s="1"/>
  <c r="J19" i="218"/>
  <c r="I19" i="218"/>
  <c r="H19" i="218"/>
  <c r="G19" i="218"/>
  <c r="E19" i="218"/>
  <c r="F19" i="218" s="1"/>
  <c r="C35" i="389"/>
  <c r="J30" i="389"/>
  <c r="H30" i="389"/>
  <c r="J29" i="389"/>
  <c r="I29" i="389"/>
  <c r="H29" i="389"/>
  <c r="G29" i="389"/>
  <c r="E29" i="389"/>
  <c r="F29" i="389" s="1"/>
  <c r="J28" i="389"/>
  <c r="I28" i="389"/>
  <c r="H28" i="389"/>
  <c r="G28" i="389"/>
  <c r="J27" i="389"/>
  <c r="I27" i="389"/>
  <c r="H27" i="389"/>
  <c r="G27" i="389"/>
  <c r="E27" i="389"/>
  <c r="F27" i="389" s="1"/>
  <c r="J26" i="389"/>
  <c r="I26" i="389"/>
  <c r="H26" i="389"/>
  <c r="G26" i="389"/>
  <c r="J24" i="389"/>
  <c r="I24" i="389"/>
  <c r="H24" i="389"/>
  <c r="G24" i="389"/>
  <c r="E24" i="389"/>
  <c r="F24" i="389" s="1"/>
  <c r="J23" i="389"/>
  <c r="I23" i="389"/>
  <c r="H23" i="389"/>
  <c r="G23" i="389"/>
  <c r="E23" i="389"/>
  <c r="F23" i="389" s="1"/>
  <c r="J22" i="389"/>
  <c r="I22" i="389"/>
  <c r="H22" i="389"/>
  <c r="G22" i="389"/>
  <c r="E22" i="389"/>
  <c r="F22" i="389" s="1"/>
  <c r="J21" i="389"/>
  <c r="I21" i="389"/>
  <c r="H21" i="389"/>
  <c r="G21" i="389"/>
  <c r="E21" i="389"/>
  <c r="F21" i="389" s="1"/>
  <c r="J20" i="389"/>
  <c r="I20" i="389"/>
  <c r="H20" i="389"/>
  <c r="G20" i="389"/>
  <c r="E20" i="389"/>
  <c r="F20" i="389" s="1"/>
  <c r="J19" i="389"/>
  <c r="I19" i="389"/>
  <c r="H19" i="389"/>
  <c r="G19" i="389"/>
  <c r="E19" i="389"/>
  <c r="F19" i="389" s="1"/>
  <c r="C33" i="216"/>
  <c r="D28" i="216"/>
  <c r="J28" i="216" s="1"/>
  <c r="J27" i="216"/>
  <c r="I27" i="216"/>
  <c r="H27" i="216"/>
  <c r="G27" i="216"/>
  <c r="E27" i="216"/>
  <c r="F27" i="216" s="1"/>
  <c r="J26" i="216"/>
  <c r="H26" i="216"/>
  <c r="J25" i="216"/>
  <c r="I25" i="216"/>
  <c r="H25" i="216"/>
  <c r="G25" i="216"/>
  <c r="E25" i="216"/>
  <c r="F25" i="216" s="1"/>
  <c r="J24" i="216"/>
  <c r="I24" i="216"/>
  <c r="H24" i="216"/>
  <c r="G24" i="216"/>
  <c r="E24" i="216"/>
  <c r="F24" i="216" s="1"/>
  <c r="J23" i="216"/>
  <c r="I23" i="216"/>
  <c r="H23" i="216"/>
  <c r="G23" i="216"/>
  <c r="E23" i="216"/>
  <c r="F23" i="216" s="1"/>
  <c r="J22" i="216"/>
  <c r="I22" i="216"/>
  <c r="H22" i="216"/>
  <c r="G22" i="216"/>
  <c r="E22" i="216"/>
  <c r="F22" i="216" s="1"/>
  <c r="J21" i="216"/>
  <c r="I21" i="216"/>
  <c r="H21" i="216"/>
  <c r="G21" i="216"/>
  <c r="E21" i="216"/>
  <c r="F21" i="216" s="1"/>
  <c r="J20" i="216"/>
  <c r="I20" i="216"/>
  <c r="H20" i="216"/>
  <c r="G20" i="216"/>
  <c r="E20" i="216"/>
  <c r="F20" i="216" s="1"/>
  <c r="J19" i="216"/>
  <c r="I19" i="216"/>
  <c r="H19" i="216"/>
  <c r="G19" i="216"/>
  <c r="E19" i="216"/>
  <c r="F19" i="216" s="1"/>
  <c r="C35" i="366"/>
  <c r="J30" i="366"/>
  <c r="I30" i="366"/>
  <c r="H30" i="366"/>
  <c r="G30" i="366"/>
  <c r="J29" i="366"/>
  <c r="H29" i="366"/>
  <c r="J28" i="366"/>
  <c r="I28" i="366"/>
  <c r="H28" i="366"/>
  <c r="G28" i="366"/>
  <c r="E28" i="366"/>
  <c r="F28" i="366" s="1"/>
  <c r="J27" i="366"/>
  <c r="I27" i="366"/>
  <c r="H27" i="366"/>
  <c r="G27" i="366"/>
  <c r="E27" i="366"/>
  <c r="F27" i="366" s="1"/>
  <c r="J26" i="366"/>
  <c r="I26" i="366"/>
  <c r="H26" i="366"/>
  <c r="G26" i="366"/>
  <c r="E26" i="366"/>
  <c r="F26" i="366" s="1"/>
  <c r="J25" i="366"/>
  <c r="I25" i="366"/>
  <c r="H25" i="366"/>
  <c r="G25" i="366"/>
  <c r="E25" i="366"/>
  <c r="F25" i="366" s="1"/>
  <c r="J24" i="366"/>
  <c r="I24" i="366"/>
  <c r="H24" i="366"/>
  <c r="G24" i="366"/>
  <c r="E24" i="366"/>
  <c r="F24" i="366" s="1"/>
  <c r="J23" i="366"/>
  <c r="I23" i="366"/>
  <c r="H23" i="366"/>
  <c r="G23" i="366"/>
  <c r="E23" i="366"/>
  <c r="F23" i="366" s="1"/>
  <c r="J22" i="366"/>
  <c r="I22" i="366"/>
  <c r="H22" i="366"/>
  <c r="G22" i="366"/>
  <c r="E22" i="366"/>
  <c r="F22" i="366" s="1"/>
  <c r="J21" i="366"/>
  <c r="I21" i="366"/>
  <c r="H21" i="366"/>
  <c r="G21" i="366"/>
  <c r="E21" i="366"/>
  <c r="F21" i="366" s="1"/>
  <c r="J20" i="366"/>
  <c r="I20" i="366"/>
  <c r="H20" i="366"/>
  <c r="G20" i="366"/>
  <c r="E20" i="366"/>
  <c r="F20" i="366" s="1"/>
  <c r="J19" i="366"/>
  <c r="I19" i="366"/>
  <c r="H19" i="366"/>
  <c r="G19" i="366"/>
  <c r="E19" i="366"/>
  <c r="F19" i="366" s="1"/>
  <c r="C35" i="215"/>
  <c r="J31" i="215"/>
  <c r="J30" i="215"/>
  <c r="I30" i="215"/>
  <c r="H30" i="215"/>
  <c r="G30" i="215"/>
  <c r="J29" i="215"/>
  <c r="H29" i="215"/>
  <c r="J28" i="215"/>
  <c r="I28" i="215"/>
  <c r="H28" i="215"/>
  <c r="G28" i="215"/>
  <c r="E28" i="215"/>
  <c r="F28" i="215" s="1"/>
  <c r="J27" i="215"/>
  <c r="I27" i="215"/>
  <c r="H27" i="215"/>
  <c r="G27" i="215"/>
  <c r="E27" i="215"/>
  <c r="F27" i="215" s="1"/>
  <c r="J26" i="215"/>
  <c r="I26" i="215"/>
  <c r="H26" i="215"/>
  <c r="G26" i="215"/>
  <c r="E26" i="215"/>
  <c r="F26" i="215" s="1"/>
  <c r="J25" i="215"/>
  <c r="I25" i="215"/>
  <c r="H25" i="215"/>
  <c r="G25" i="215"/>
  <c r="E25" i="215"/>
  <c r="F25" i="215" s="1"/>
  <c r="J24" i="215"/>
  <c r="I24" i="215"/>
  <c r="H24" i="215"/>
  <c r="G24" i="215"/>
  <c r="E24" i="215"/>
  <c r="F24" i="215" s="1"/>
  <c r="J23" i="215"/>
  <c r="I23" i="215"/>
  <c r="H23" i="215"/>
  <c r="G23" i="215"/>
  <c r="E23" i="215"/>
  <c r="F23" i="215" s="1"/>
  <c r="J22" i="215"/>
  <c r="I22" i="215"/>
  <c r="H22" i="215"/>
  <c r="G22" i="215"/>
  <c r="E22" i="215"/>
  <c r="F22" i="215" s="1"/>
  <c r="J21" i="215"/>
  <c r="I21" i="215"/>
  <c r="H21" i="215"/>
  <c r="G21" i="215"/>
  <c r="E21" i="215"/>
  <c r="F21" i="215" s="1"/>
  <c r="J20" i="215"/>
  <c r="I20" i="215"/>
  <c r="H20" i="215"/>
  <c r="G20" i="215"/>
  <c r="E20" i="215"/>
  <c r="F20" i="215" s="1"/>
  <c r="J19" i="215"/>
  <c r="I19" i="215"/>
  <c r="H19" i="215"/>
  <c r="G19" i="215"/>
  <c r="E19" i="215"/>
  <c r="F19" i="215" s="1"/>
  <c r="C32" i="356"/>
  <c r="J28" i="356"/>
  <c r="H28" i="356"/>
  <c r="J27" i="356"/>
  <c r="H27" i="356"/>
  <c r="J26" i="356"/>
  <c r="H26" i="356"/>
  <c r="J25" i="356"/>
  <c r="I25" i="356"/>
  <c r="H25" i="356"/>
  <c r="G25" i="356"/>
  <c r="E25" i="356"/>
  <c r="F25" i="356" s="1"/>
  <c r="J24" i="356"/>
  <c r="I24" i="356"/>
  <c r="H24" i="356"/>
  <c r="G24" i="356"/>
  <c r="E24" i="356"/>
  <c r="F24" i="356" s="1"/>
  <c r="J23" i="356"/>
  <c r="I23" i="356"/>
  <c r="H23" i="356"/>
  <c r="G23" i="356"/>
  <c r="E23" i="356"/>
  <c r="F23" i="356" s="1"/>
  <c r="J22" i="356"/>
  <c r="I22" i="356"/>
  <c r="H22" i="356"/>
  <c r="G22" i="356"/>
  <c r="E22" i="356"/>
  <c r="F22" i="356" s="1"/>
  <c r="J21" i="356"/>
  <c r="I21" i="356"/>
  <c r="H21" i="356"/>
  <c r="G21" i="356"/>
  <c r="E21" i="356"/>
  <c r="F21" i="356" s="1"/>
  <c r="J20" i="356"/>
  <c r="I20" i="356"/>
  <c r="H20" i="356"/>
  <c r="G20" i="356"/>
  <c r="E20" i="356"/>
  <c r="F20" i="356" s="1"/>
  <c r="J19" i="356"/>
  <c r="I19" i="356"/>
  <c r="H19" i="356"/>
  <c r="G19" i="356"/>
  <c r="E19" i="356"/>
  <c r="F19" i="356" s="1"/>
  <c r="C32" i="107"/>
  <c r="J28" i="107"/>
  <c r="H28" i="107"/>
  <c r="J27" i="107"/>
  <c r="H27" i="107"/>
  <c r="J26" i="107"/>
  <c r="H26" i="107"/>
  <c r="J25" i="107"/>
  <c r="I25" i="107"/>
  <c r="H25" i="107"/>
  <c r="G25" i="107"/>
  <c r="E25" i="107"/>
  <c r="F25" i="107" s="1"/>
  <c r="J24" i="107"/>
  <c r="I24" i="107"/>
  <c r="H24" i="107"/>
  <c r="G24" i="107"/>
  <c r="E24" i="107"/>
  <c r="F24" i="107" s="1"/>
  <c r="J23" i="107"/>
  <c r="I23" i="107"/>
  <c r="H23" i="107"/>
  <c r="G23" i="107"/>
  <c r="E23" i="107"/>
  <c r="F23" i="107" s="1"/>
  <c r="J22" i="107"/>
  <c r="I22" i="107"/>
  <c r="H22" i="107"/>
  <c r="G22" i="107"/>
  <c r="E22" i="107"/>
  <c r="F22" i="107" s="1"/>
  <c r="J21" i="107"/>
  <c r="I21" i="107"/>
  <c r="H21" i="107"/>
  <c r="G21" i="107"/>
  <c r="E21" i="107"/>
  <c r="F21" i="107" s="1"/>
  <c r="J20" i="107"/>
  <c r="I20" i="107"/>
  <c r="H20" i="107"/>
  <c r="G20" i="107"/>
  <c r="E20" i="107"/>
  <c r="F20" i="107" s="1"/>
  <c r="J19" i="107"/>
  <c r="I19" i="107"/>
  <c r="H19" i="107"/>
  <c r="G19" i="107"/>
  <c r="E19" i="107"/>
  <c r="F19" i="107" s="1"/>
  <c r="C32" i="391"/>
  <c r="J27" i="391"/>
  <c r="H27" i="391"/>
  <c r="J26" i="391"/>
  <c r="I26" i="391"/>
  <c r="H26" i="391"/>
  <c r="G26" i="391"/>
  <c r="J25" i="391"/>
  <c r="H25" i="391"/>
  <c r="J24" i="391"/>
  <c r="I24" i="391"/>
  <c r="H24" i="391"/>
  <c r="G24" i="391"/>
  <c r="E24" i="391"/>
  <c r="F24" i="391" s="1"/>
  <c r="J23" i="391"/>
  <c r="I23" i="391"/>
  <c r="H23" i="391"/>
  <c r="G23" i="391"/>
  <c r="E23" i="391"/>
  <c r="F23" i="391" s="1"/>
  <c r="J22" i="391"/>
  <c r="I22" i="391"/>
  <c r="H22" i="391"/>
  <c r="G22" i="391"/>
  <c r="E22" i="391"/>
  <c r="F22" i="391" s="1"/>
  <c r="J21" i="391"/>
  <c r="I21" i="391"/>
  <c r="H21" i="391"/>
  <c r="G21" i="391"/>
  <c r="E21" i="391"/>
  <c r="F21" i="391" s="1"/>
  <c r="J20" i="391"/>
  <c r="I20" i="391"/>
  <c r="H20" i="391"/>
  <c r="G20" i="391"/>
  <c r="E20" i="391"/>
  <c r="F20" i="391" s="1"/>
  <c r="J19" i="391"/>
  <c r="I19" i="391"/>
  <c r="H19" i="391"/>
  <c r="G19" i="391"/>
  <c r="E19" i="391"/>
  <c r="F19" i="391" s="1"/>
  <c r="C32" i="214"/>
  <c r="J27" i="214"/>
  <c r="H27" i="214"/>
  <c r="J26" i="214"/>
  <c r="I26" i="214"/>
  <c r="H26" i="214"/>
  <c r="G26" i="214"/>
  <c r="J25" i="214"/>
  <c r="H25" i="214"/>
  <c r="J24" i="214"/>
  <c r="I24" i="214"/>
  <c r="H24" i="214"/>
  <c r="G24" i="214"/>
  <c r="E24" i="214"/>
  <c r="F24" i="214" s="1"/>
  <c r="J23" i="214"/>
  <c r="I23" i="214"/>
  <c r="H23" i="214"/>
  <c r="G23" i="214"/>
  <c r="E23" i="214"/>
  <c r="F23" i="214" s="1"/>
  <c r="J22" i="214"/>
  <c r="I22" i="214"/>
  <c r="H22" i="214"/>
  <c r="G22" i="214"/>
  <c r="E22" i="214"/>
  <c r="F22" i="214" s="1"/>
  <c r="J21" i="214"/>
  <c r="I21" i="214"/>
  <c r="H21" i="214"/>
  <c r="G21" i="214"/>
  <c r="E21" i="214"/>
  <c r="F21" i="214" s="1"/>
  <c r="J20" i="214"/>
  <c r="I20" i="214"/>
  <c r="H20" i="214"/>
  <c r="G20" i="214"/>
  <c r="E20" i="214"/>
  <c r="F20" i="214" s="1"/>
  <c r="J19" i="214"/>
  <c r="I19" i="214"/>
  <c r="H19" i="214"/>
  <c r="G19" i="214"/>
  <c r="E19" i="214"/>
  <c r="F19" i="214" s="1"/>
  <c r="C37" i="380"/>
  <c r="J32" i="380"/>
  <c r="H32" i="380"/>
  <c r="J31" i="380"/>
  <c r="I31" i="380"/>
  <c r="H31" i="380"/>
  <c r="G31" i="380"/>
  <c r="E31" i="380"/>
  <c r="F31" i="380" s="1"/>
  <c r="J30" i="380"/>
  <c r="H30" i="380"/>
  <c r="J29" i="380"/>
  <c r="I29" i="380"/>
  <c r="H29" i="380"/>
  <c r="G29" i="380"/>
  <c r="E29" i="380"/>
  <c r="F29" i="380" s="1"/>
  <c r="J28" i="380"/>
  <c r="I28" i="380"/>
  <c r="H28" i="380"/>
  <c r="G28" i="380"/>
  <c r="E28" i="380"/>
  <c r="F28" i="380" s="1"/>
  <c r="J27" i="380"/>
  <c r="I27" i="380"/>
  <c r="H27" i="380"/>
  <c r="G27" i="380"/>
  <c r="E27" i="380"/>
  <c r="F27" i="380" s="1"/>
  <c r="J26" i="380"/>
  <c r="I26" i="380"/>
  <c r="H26" i="380"/>
  <c r="G26" i="380"/>
  <c r="E26" i="380"/>
  <c r="F26" i="380" s="1"/>
  <c r="J25" i="380"/>
  <c r="I25" i="380"/>
  <c r="H25" i="380"/>
  <c r="G25" i="380"/>
  <c r="E25" i="380"/>
  <c r="F25" i="380" s="1"/>
  <c r="J24" i="380"/>
  <c r="I24" i="380"/>
  <c r="H24" i="380"/>
  <c r="G24" i="380"/>
  <c r="E24" i="380"/>
  <c r="F24" i="380" s="1"/>
  <c r="J23" i="380"/>
  <c r="I23" i="380"/>
  <c r="H23" i="380"/>
  <c r="G23" i="380"/>
  <c r="E23" i="380"/>
  <c r="F23" i="380" s="1"/>
  <c r="J22" i="380"/>
  <c r="I22" i="380"/>
  <c r="H22" i="380"/>
  <c r="G22" i="380"/>
  <c r="E22" i="380"/>
  <c r="F22" i="380" s="1"/>
  <c r="J21" i="380"/>
  <c r="H21" i="380"/>
  <c r="J20" i="380"/>
  <c r="I20" i="380"/>
  <c r="H20" i="380"/>
  <c r="G20" i="380"/>
  <c r="E20" i="380"/>
  <c r="F20" i="380" s="1"/>
  <c r="J19" i="380"/>
  <c r="I19" i="380"/>
  <c r="H19" i="380"/>
  <c r="G19" i="380"/>
  <c r="E19" i="380"/>
  <c r="F19" i="380" s="1"/>
  <c r="C37" i="222"/>
  <c r="J32" i="222"/>
  <c r="H32" i="222"/>
  <c r="J31" i="222"/>
  <c r="I31" i="222"/>
  <c r="H31" i="222"/>
  <c r="G31" i="222"/>
  <c r="E31" i="222"/>
  <c r="F31" i="222" s="1"/>
  <c r="J30" i="222"/>
  <c r="H30" i="222"/>
  <c r="J29" i="222"/>
  <c r="I29" i="222"/>
  <c r="H29" i="222"/>
  <c r="G29" i="222"/>
  <c r="E29" i="222"/>
  <c r="F29" i="222" s="1"/>
  <c r="J28" i="222"/>
  <c r="I28" i="222"/>
  <c r="H28" i="222"/>
  <c r="G28" i="222"/>
  <c r="E28" i="222"/>
  <c r="F28" i="222" s="1"/>
  <c r="J27" i="222"/>
  <c r="I27" i="222"/>
  <c r="H27" i="222"/>
  <c r="G27" i="222"/>
  <c r="E27" i="222"/>
  <c r="F27" i="222" s="1"/>
  <c r="J26" i="222"/>
  <c r="I26" i="222"/>
  <c r="H26" i="222"/>
  <c r="G26" i="222"/>
  <c r="E26" i="222"/>
  <c r="F26" i="222" s="1"/>
  <c r="J25" i="222"/>
  <c r="I25" i="222"/>
  <c r="H25" i="222"/>
  <c r="G25" i="222"/>
  <c r="E25" i="222"/>
  <c r="F25" i="222" s="1"/>
  <c r="J24" i="222"/>
  <c r="I24" i="222"/>
  <c r="H24" i="222"/>
  <c r="G24" i="222"/>
  <c r="E24" i="222"/>
  <c r="F24" i="222" s="1"/>
  <c r="J23" i="222"/>
  <c r="I23" i="222"/>
  <c r="H23" i="222"/>
  <c r="G23" i="222"/>
  <c r="E23" i="222"/>
  <c r="F23" i="222" s="1"/>
  <c r="J22" i="222"/>
  <c r="I22" i="222"/>
  <c r="H22" i="222"/>
  <c r="G22" i="222"/>
  <c r="E22" i="222"/>
  <c r="F22" i="222" s="1"/>
  <c r="J21" i="222"/>
  <c r="H21" i="222"/>
  <c r="J20" i="222"/>
  <c r="I20" i="222"/>
  <c r="H20" i="222"/>
  <c r="G20" i="222"/>
  <c r="E20" i="222"/>
  <c r="F20" i="222" s="1"/>
  <c r="J19" i="222"/>
  <c r="I19" i="222"/>
  <c r="H19" i="222"/>
  <c r="G19" i="222"/>
  <c r="E19" i="222"/>
  <c r="F19" i="222" s="1"/>
  <c r="C33" i="383"/>
  <c r="J28" i="383"/>
  <c r="H28" i="383"/>
  <c r="J27" i="383"/>
  <c r="I27" i="383"/>
  <c r="H27" i="383"/>
  <c r="G27" i="383"/>
  <c r="J26" i="383"/>
  <c r="I26" i="383"/>
  <c r="H26" i="383"/>
  <c r="G26" i="383"/>
  <c r="E26" i="383"/>
  <c r="F26" i="383" s="1"/>
  <c r="J25" i="383"/>
  <c r="H25" i="383"/>
  <c r="J24" i="383"/>
  <c r="I24" i="383"/>
  <c r="H24" i="383"/>
  <c r="G24" i="383"/>
  <c r="E24" i="383"/>
  <c r="F24" i="383" s="1"/>
  <c r="J23" i="383"/>
  <c r="I23" i="383"/>
  <c r="H23" i="383"/>
  <c r="G23" i="383"/>
  <c r="E23" i="383"/>
  <c r="F23" i="383" s="1"/>
  <c r="J22" i="383"/>
  <c r="I22" i="383"/>
  <c r="H22" i="383"/>
  <c r="G22" i="383"/>
  <c r="E22" i="383"/>
  <c r="F22" i="383" s="1"/>
  <c r="J21" i="383"/>
  <c r="I21" i="383"/>
  <c r="H21" i="383"/>
  <c r="G21" i="383"/>
  <c r="E21" i="383"/>
  <c r="F21" i="383" s="1"/>
  <c r="J20" i="383"/>
  <c r="I20" i="383"/>
  <c r="H20" i="383"/>
  <c r="G20" i="383"/>
  <c r="E20" i="383"/>
  <c r="F20" i="383" s="1"/>
  <c r="J19" i="383"/>
  <c r="I19" i="383"/>
  <c r="H19" i="383"/>
  <c r="G19" i="383"/>
  <c r="E19" i="383"/>
  <c r="F19" i="383" s="1"/>
  <c r="C33" i="382"/>
  <c r="J28" i="382"/>
  <c r="H28" i="382"/>
  <c r="J27" i="382"/>
  <c r="I27" i="382"/>
  <c r="H27" i="382"/>
  <c r="G27" i="382"/>
  <c r="J26" i="382"/>
  <c r="I26" i="382"/>
  <c r="H26" i="382"/>
  <c r="G26" i="382"/>
  <c r="E26" i="382"/>
  <c r="F26" i="382" s="1"/>
  <c r="J25" i="382"/>
  <c r="H25" i="382"/>
  <c r="J24" i="382"/>
  <c r="I24" i="382"/>
  <c r="H24" i="382"/>
  <c r="G24" i="382"/>
  <c r="E24" i="382"/>
  <c r="F24" i="382" s="1"/>
  <c r="J23" i="382"/>
  <c r="I23" i="382"/>
  <c r="H23" i="382"/>
  <c r="G23" i="382"/>
  <c r="E23" i="382"/>
  <c r="F23" i="382" s="1"/>
  <c r="J22" i="382"/>
  <c r="I22" i="382"/>
  <c r="H22" i="382"/>
  <c r="G22" i="382"/>
  <c r="E22" i="382"/>
  <c r="F22" i="382" s="1"/>
  <c r="J21" i="382"/>
  <c r="I21" i="382"/>
  <c r="H21" i="382"/>
  <c r="G21" i="382"/>
  <c r="E21" i="382"/>
  <c r="F21" i="382" s="1"/>
  <c r="J20" i="382"/>
  <c r="I20" i="382"/>
  <c r="H20" i="382"/>
  <c r="G20" i="382"/>
  <c r="E20" i="382"/>
  <c r="F20" i="382" s="1"/>
  <c r="J19" i="382"/>
  <c r="I19" i="382"/>
  <c r="H19" i="382"/>
  <c r="G19" i="382"/>
  <c r="E19" i="382"/>
  <c r="F19" i="382" s="1"/>
  <c r="C33" i="91"/>
  <c r="J28" i="91"/>
  <c r="H28" i="91"/>
  <c r="J27" i="91"/>
  <c r="I27" i="91"/>
  <c r="H27" i="91"/>
  <c r="G27" i="91"/>
  <c r="J26" i="91"/>
  <c r="I26" i="91"/>
  <c r="H26" i="91"/>
  <c r="G26" i="91"/>
  <c r="E26" i="91"/>
  <c r="F26" i="91" s="1"/>
  <c r="J25" i="91"/>
  <c r="H25" i="91"/>
  <c r="J24" i="91"/>
  <c r="I24" i="91"/>
  <c r="H24" i="91"/>
  <c r="G24" i="91"/>
  <c r="E24" i="91"/>
  <c r="F24" i="91" s="1"/>
  <c r="J23" i="91"/>
  <c r="I23" i="91"/>
  <c r="H23" i="91"/>
  <c r="G23" i="91"/>
  <c r="E23" i="91"/>
  <c r="F23" i="91" s="1"/>
  <c r="J22" i="91"/>
  <c r="I22" i="91"/>
  <c r="H22" i="91"/>
  <c r="G22" i="91"/>
  <c r="E22" i="91"/>
  <c r="F22" i="91" s="1"/>
  <c r="J21" i="91"/>
  <c r="I21" i="91"/>
  <c r="H21" i="91"/>
  <c r="G21" i="91"/>
  <c r="E21" i="91"/>
  <c r="F21" i="91" s="1"/>
  <c r="J20" i="91"/>
  <c r="I20" i="91"/>
  <c r="H20" i="91"/>
  <c r="G20" i="91"/>
  <c r="E20" i="91"/>
  <c r="F20" i="91" s="1"/>
  <c r="J19" i="91"/>
  <c r="I19" i="91"/>
  <c r="H19" i="91"/>
  <c r="G19" i="91"/>
  <c r="E19" i="91"/>
  <c r="F19" i="91" s="1"/>
  <c r="C35" i="213"/>
  <c r="J30" i="213"/>
  <c r="H30" i="213"/>
  <c r="J24" i="213"/>
  <c r="I24" i="213"/>
  <c r="H24" i="213"/>
  <c r="G24" i="213"/>
  <c r="E24" i="213"/>
  <c r="F24" i="213" s="1"/>
  <c r="J23" i="213"/>
  <c r="I23" i="213"/>
  <c r="H23" i="213"/>
  <c r="G23" i="213"/>
  <c r="E23" i="213"/>
  <c r="F23" i="213" s="1"/>
  <c r="J22" i="213"/>
  <c r="I22" i="213"/>
  <c r="H22" i="213"/>
  <c r="G22" i="213"/>
  <c r="E22" i="213"/>
  <c r="F22" i="213" s="1"/>
  <c r="J21" i="213"/>
  <c r="I21" i="213"/>
  <c r="H21" i="213"/>
  <c r="G21" i="213"/>
  <c r="E21" i="213"/>
  <c r="F21" i="213" s="1"/>
  <c r="J20" i="213"/>
  <c r="I20" i="213"/>
  <c r="H20" i="213"/>
  <c r="G20" i="213"/>
  <c r="E20" i="213"/>
  <c r="F20" i="213" s="1"/>
  <c r="J19" i="213"/>
  <c r="I19" i="213"/>
  <c r="H19" i="213"/>
  <c r="G19" i="213"/>
  <c r="E19" i="213"/>
  <c r="F19" i="213" s="1"/>
  <c r="C37" i="208"/>
  <c r="J32" i="208"/>
  <c r="H32" i="208"/>
  <c r="J31" i="208"/>
  <c r="I31" i="208"/>
  <c r="H31" i="208"/>
  <c r="G31" i="208"/>
  <c r="J30" i="208"/>
  <c r="H30" i="208"/>
  <c r="J29" i="208"/>
  <c r="I29" i="208"/>
  <c r="H29" i="208"/>
  <c r="G29" i="208"/>
  <c r="E29" i="208"/>
  <c r="F29" i="208" s="1"/>
  <c r="J28" i="208"/>
  <c r="I28" i="208"/>
  <c r="H28" i="208"/>
  <c r="G28" i="208"/>
  <c r="E28" i="208"/>
  <c r="F28" i="208" s="1"/>
  <c r="J27" i="208"/>
  <c r="I27" i="208"/>
  <c r="H27" i="208"/>
  <c r="G27" i="208"/>
  <c r="E27" i="208"/>
  <c r="F27" i="208" s="1"/>
  <c r="J24" i="208"/>
  <c r="I24" i="208"/>
  <c r="H24" i="208"/>
  <c r="G24" i="208"/>
  <c r="E24" i="208"/>
  <c r="F24" i="208" s="1"/>
  <c r="J23" i="208"/>
  <c r="I23" i="208"/>
  <c r="H23" i="208"/>
  <c r="G23" i="208"/>
  <c r="E23" i="208"/>
  <c r="F23" i="208" s="1"/>
  <c r="J22" i="208"/>
  <c r="I22" i="208"/>
  <c r="H22" i="208"/>
  <c r="G22" i="208"/>
  <c r="E22" i="208"/>
  <c r="F22" i="208" s="1"/>
  <c r="J21" i="208"/>
  <c r="I21" i="208"/>
  <c r="H21" i="208"/>
  <c r="G21" i="208"/>
  <c r="E21" i="208"/>
  <c r="F21" i="208" s="1"/>
  <c r="J20" i="208"/>
  <c r="I20" i="208"/>
  <c r="H20" i="208"/>
  <c r="G20" i="208"/>
  <c r="E20" i="208"/>
  <c r="F20" i="208" s="1"/>
  <c r="J19" i="208"/>
  <c r="I19" i="208"/>
  <c r="H19" i="208"/>
  <c r="G19" i="208"/>
  <c r="E19" i="208"/>
  <c r="F19" i="208" s="1"/>
  <c r="C39" i="207"/>
  <c r="J34" i="207"/>
  <c r="H34" i="207"/>
  <c r="J33" i="207"/>
  <c r="H33" i="207"/>
  <c r="J32" i="207"/>
  <c r="H32" i="207"/>
  <c r="J31" i="207"/>
  <c r="I31" i="207"/>
  <c r="H31" i="207"/>
  <c r="G31" i="207"/>
  <c r="E31" i="207"/>
  <c r="F31" i="207" s="1"/>
  <c r="J30" i="207"/>
  <c r="I30" i="207"/>
  <c r="H30" i="207"/>
  <c r="G30" i="207"/>
  <c r="E30" i="207"/>
  <c r="F30" i="207" s="1"/>
  <c r="J29" i="207"/>
  <c r="I29" i="207"/>
  <c r="H29" i="207"/>
  <c r="G29" i="207"/>
  <c r="E29" i="207"/>
  <c r="F29" i="207" s="1"/>
  <c r="J27" i="207"/>
  <c r="I27" i="207"/>
  <c r="H27" i="207"/>
  <c r="G27" i="207"/>
  <c r="E27" i="207"/>
  <c r="F27" i="207" s="1"/>
  <c r="J25" i="207"/>
  <c r="I25" i="207"/>
  <c r="H25" i="207"/>
  <c r="G25" i="207"/>
  <c r="E25" i="207"/>
  <c r="F25" i="207" s="1"/>
  <c r="J24" i="207"/>
  <c r="I24" i="207"/>
  <c r="H24" i="207"/>
  <c r="G24" i="207"/>
  <c r="E24" i="207"/>
  <c r="F24" i="207" s="1"/>
  <c r="J23" i="207"/>
  <c r="I23" i="207"/>
  <c r="H23" i="207"/>
  <c r="G23" i="207"/>
  <c r="E23" i="207"/>
  <c r="F23" i="207" s="1"/>
  <c r="J20" i="207"/>
  <c r="I20" i="207"/>
  <c r="H20" i="207"/>
  <c r="G20" i="207"/>
  <c r="E20" i="207"/>
  <c r="F20" i="207" s="1"/>
  <c r="J19" i="207"/>
  <c r="I19" i="207"/>
  <c r="H19" i="207"/>
  <c r="G19" i="207"/>
  <c r="E19" i="207"/>
  <c r="F19" i="207" s="1"/>
  <c r="C39" i="309"/>
  <c r="J34" i="309"/>
  <c r="H34" i="309"/>
  <c r="J33" i="309"/>
  <c r="I33" i="309"/>
  <c r="H33" i="309"/>
  <c r="G33" i="309"/>
  <c r="J32" i="309"/>
  <c r="H32" i="309"/>
  <c r="J31" i="309"/>
  <c r="I31" i="309"/>
  <c r="H31" i="309"/>
  <c r="G31" i="309"/>
  <c r="E31" i="309"/>
  <c r="F31" i="309" s="1"/>
  <c r="J30" i="309"/>
  <c r="I30" i="309"/>
  <c r="H30" i="309"/>
  <c r="G30" i="309"/>
  <c r="E30" i="309"/>
  <c r="F30" i="309" s="1"/>
  <c r="J29" i="309"/>
  <c r="I29" i="309"/>
  <c r="H29" i="309"/>
  <c r="G29" i="309"/>
  <c r="E29" i="309"/>
  <c r="F29" i="309" s="1"/>
  <c r="J27" i="309"/>
  <c r="I27" i="309"/>
  <c r="H27" i="309"/>
  <c r="G27" i="309"/>
  <c r="E27" i="309"/>
  <c r="F27" i="309" s="1"/>
  <c r="J24" i="309"/>
  <c r="I24" i="309"/>
  <c r="H24" i="309"/>
  <c r="G24" i="309"/>
  <c r="E24" i="309"/>
  <c r="F24" i="309" s="1"/>
  <c r="J23" i="309"/>
  <c r="I23" i="309"/>
  <c r="H23" i="309"/>
  <c r="G23" i="309"/>
  <c r="E23" i="309"/>
  <c r="F23" i="309" s="1"/>
  <c r="J22" i="309"/>
  <c r="I22" i="309"/>
  <c r="H22" i="309"/>
  <c r="G22" i="309"/>
  <c r="E22" i="309"/>
  <c r="F22" i="309" s="1"/>
  <c r="J21" i="309"/>
  <c r="I21" i="309"/>
  <c r="H21" i="309"/>
  <c r="G21" i="309"/>
  <c r="E21" i="309"/>
  <c r="F21" i="309" s="1"/>
  <c r="J20" i="309"/>
  <c r="I20" i="309"/>
  <c r="H20" i="309"/>
  <c r="G20" i="309"/>
  <c r="E20" i="309"/>
  <c r="F20" i="309" s="1"/>
  <c r="J19" i="309"/>
  <c r="I19" i="309"/>
  <c r="H19" i="309"/>
  <c r="G19" i="309"/>
  <c r="E19" i="309"/>
  <c r="F19" i="309" s="1"/>
  <c r="C38" i="205"/>
  <c r="J33" i="205"/>
  <c r="J31" i="205"/>
  <c r="H31" i="205"/>
  <c r="J30" i="205"/>
  <c r="H30" i="205"/>
  <c r="E29" i="205"/>
  <c r="F29" i="205" s="1"/>
  <c r="E28" i="205"/>
  <c r="F28" i="205" s="1"/>
  <c r="J27" i="205"/>
  <c r="I27" i="205"/>
  <c r="H27" i="205"/>
  <c r="G27" i="205"/>
  <c r="E27" i="205"/>
  <c r="F27" i="205" s="1"/>
  <c r="J26" i="205"/>
  <c r="I26" i="205"/>
  <c r="H26" i="205"/>
  <c r="G26" i="205"/>
  <c r="E26" i="205"/>
  <c r="F26" i="205" s="1"/>
  <c r="J25" i="205"/>
  <c r="I25" i="205"/>
  <c r="H25" i="205"/>
  <c r="G25" i="205"/>
  <c r="J22" i="205"/>
  <c r="I22" i="205"/>
  <c r="H22" i="205"/>
  <c r="G22" i="205"/>
  <c r="E22" i="205"/>
  <c r="F22" i="205" s="1"/>
  <c r="J21" i="205"/>
  <c r="I21" i="205"/>
  <c r="H21" i="205"/>
  <c r="G21" i="205"/>
  <c r="E21" i="205"/>
  <c r="F21" i="205" s="1"/>
  <c r="J20" i="205"/>
  <c r="I20" i="205"/>
  <c r="H20" i="205"/>
  <c r="G20" i="205"/>
  <c r="E20" i="205"/>
  <c r="F20" i="205" s="1"/>
  <c r="J19" i="205"/>
  <c r="I19" i="205"/>
  <c r="H19" i="205"/>
  <c r="G19" i="205"/>
  <c r="E19" i="205"/>
  <c r="F19" i="205" s="1"/>
  <c r="C37" i="89"/>
  <c r="J32" i="89"/>
  <c r="H32" i="89"/>
  <c r="J30" i="89"/>
  <c r="H30" i="89"/>
  <c r="J29" i="89"/>
  <c r="I29" i="89"/>
  <c r="H29" i="89"/>
  <c r="G29" i="89"/>
  <c r="E29" i="89"/>
  <c r="F29" i="89" s="1"/>
  <c r="J28" i="89"/>
  <c r="H28" i="89"/>
  <c r="J27" i="89"/>
  <c r="I27" i="89"/>
  <c r="H27" i="89"/>
  <c r="G27" i="89"/>
  <c r="E27" i="89"/>
  <c r="F27" i="89" s="1"/>
  <c r="J26" i="89"/>
  <c r="I26" i="89"/>
  <c r="H26" i="89"/>
  <c r="G26" i="89"/>
  <c r="E26" i="89"/>
  <c r="F26" i="89" s="1"/>
  <c r="J25" i="89"/>
  <c r="I25" i="89"/>
  <c r="H25" i="89"/>
  <c r="G25" i="89"/>
  <c r="F25" i="89"/>
  <c r="J24" i="89"/>
  <c r="I24" i="89"/>
  <c r="H24" i="89"/>
  <c r="G24" i="89"/>
  <c r="E24" i="89"/>
  <c r="F24" i="89" s="1"/>
  <c r="J23" i="89"/>
  <c r="I23" i="89"/>
  <c r="H23" i="89"/>
  <c r="G23" i="89"/>
  <c r="J22" i="89"/>
  <c r="I22" i="89"/>
  <c r="H22" i="89"/>
  <c r="G22" i="89"/>
  <c r="E22" i="89"/>
  <c r="F22" i="89" s="1"/>
  <c r="J21" i="89"/>
  <c r="I21" i="89"/>
  <c r="H21" i="89"/>
  <c r="G21" i="89"/>
  <c r="E21" i="89"/>
  <c r="F21" i="89" s="1"/>
  <c r="J20" i="89"/>
  <c r="I20" i="89"/>
  <c r="H20" i="89"/>
  <c r="G20" i="89"/>
  <c r="E20" i="89"/>
  <c r="F20" i="89" s="1"/>
  <c r="J19" i="89"/>
  <c r="I19" i="89"/>
  <c r="H19" i="89"/>
  <c r="G19" i="89"/>
  <c r="E19" i="89"/>
  <c r="F19" i="89" s="1"/>
  <c r="C34" i="439"/>
  <c r="J29" i="439"/>
  <c r="H29" i="439"/>
  <c r="J28" i="439"/>
  <c r="I28" i="439"/>
  <c r="H28" i="439"/>
  <c r="G28" i="439"/>
  <c r="J27" i="439"/>
  <c r="H27" i="439"/>
  <c r="J26" i="439"/>
  <c r="I26" i="439"/>
  <c r="H26" i="439"/>
  <c r="G26" i="439"/>
  <c r="E26" i="439"/>
  <c r="F26" i="439" s="1"/>
  <c r="J25" i="439"/>
  <c r="H25" i="439"/>
  <c r="J23" i="439"/>
  <c r="I23" i="439"/>
  <c r="H23" i="439"/>
  <c r="G23" i="439"/>
  <c r="E23" i="439"/>
  <c r="F23" i="439" s="1"/>
  <c r="J22" i="439"/>
  <c r="I22" i="439"/>
  <c r="H22" i="439"/>
  <c r="G22" i="439"/>
  <c r="E22" i="439"/>
  <c r="F22" i="439" s="1"/>
  <c r="J21" i="439"/>
  <c r="I21" i="439"/>
  <c r="H21" i="439"/>
  <c r="G21" i="439"/>
  <c r="E21" i="439"/>
  <c r="F21" i="439" s="1"/>
  <c r="J20" i="439"/>
  <c r="I20" i="439"/>
  <c r="H20" i="439"/>
  <c r="G20" i="439"/>
  <c r="E20" i="439"/>
  <c r="F20" i="439" s="1"/>
  <c r="J19" i="439"/>
  <c r="I19" i="439"/>
  <c r="H19" i="439"/>
  <c r="G19" i="439"/>
  <c r="E19" i="439"/>
  <c r="F19" i="439" s="1"/>
  <c r="C34" i="204"/>
  <c r="J29" i="204"/>
  <c r="H29" i="204"/>
  <c r="J28" i="204"/>
  <c r="I28" i="204"/>
  <c r="H28" i="204"/>
  <c r="G28" i="204"/>
  <c r="E28" i="204"/>
  <c r="F28" i="204" s="1"/>
  <c r="J27" i="204"/>
  <c r="H27" i="204"/>
  <c r="J26" i="204"/>
  <c r="I26" i="204"/>
  <c r="H26" i="204"/>
  <c r="G26" i="204"/>
  <c r="E26" i="204"/>
  <c r="F26" i="204" s="1"/>
  <c r="J25" i="204"/>
  <c r="H25" i="204"/>
  <c r="J23" i="204"/>
  <c r="I23" i="204"/>
  <c r="H23" i="204"/>
  <c r="G23" i="204"/>
  <c r="E23" i="204"/>
  <c r="F23" i="204" s="1"/>
  <c r="J22" i="204"/>
  <c r="I22" i="204"/>
  <c r="H22" i="204"/>
  <c r="G22" i="204"/>
  <c r="E22" i="204"/>
  <c r="F22" i="204" s="1"/>
  <c r="J21" i="204"/>
  <c r="I21" i="204"/>
  <c r="H21" i="204"/>
  <c r="G21" i="204"/>
  <c r="E21" i="204"/>
  <c r="F21" i="204" s="1"/>
  <c r="J20" i="204"/>
  <c r="I20" i="204"/>
  <c r="H20" i="204"/>
  <c r="G20" i="204"/>
  <c r="E20" i="204"/>
  <c r="F20" i="204" s="1"/>
  <c r="J19" i="204"/>
  <c r="I19" i="204"/>
  <c r="H19" i="204"/>
  <c r="G19" i="204"/>
  <c r="E19" i="204"/>
  <c r="F19" i="204" s="1"/>
  <c r="C34" i="386"/>
  <c r="J29" i="386"/>
  <c r="H29" i="386"/>
  <c r="J28" i="386"/>
  <c r="I28" i="386"/>
  <c r="H28" i="386"/>
  <c r="G28" i="386"/>
  <c r="E28" i="386"/>
  <c r="F28" i="386" s="1"/>
  <c r="J27" i="386"/>
  <c r="H27" i="386"/>
  <c r="J26" i="386"/>
  <c r="I26" i="386"/>
  <c r="H26" i="386"/>
  <c r="G26" i="386"/>
  <c r="E26" i="386"/>
  <c r="F26" i="386" s="1"/>
  <c r="J25" i="386"/>
  <c r="H25" i="386"/>
  <c r="J24" i="386"/>
  <c r="I24" i="386"/>
  <c r="H24" i="386"/>
  <c r="G24" i="386"/>
  <c r="E24" i="386"/>
  <c r="F24" i="386" s="1"/>
  <c r="J23" i="386"/>
  <c r="I23" i="386"/>
  <c r="H23" i="386"/>
  <c r="G23" i="386"/>
  <c r="E23" i="386"/>
  <c r="F23" i="386" s="1"/>
  <c r="J22" i="386"/>
  <c r="I22" i="386"/>
  <c r="H22" i="386"/>
  <c r="G22" i="386"/>
  <c r="J21" i="386"/>
  <c r="I21" i="386"/>
  <c r="H21" i="386"/>
  <c r="G21" i="386"/>
  <c r="F21" i="386"/>
  <c r="J20" i="386"/>
  <c r="I20" i="386"/>
  <c r="H20" i="386"/>
  <c r="G20" i="386"/>
  <c r="E20" i="386"/>
  <c r="F20" i="386" s="1"/>
  <c r="J19" i="386"/>
  <c r="I19" i="386"/>
  <c r="H19" i="386"/>
  <c r="G19" i="386"/>
  <c r="E19" i="386"/>
  <c r="F19" i="386" s="1"/>
  <c r="C34" i="355"/>
  <c r="J29" i="355"/>
  <c r="H29" i="355"/>
  <c r="J28" i="355"/>
  <c r="I28" i="355"/>
  <c r="H28" i="355"/>
  <c r="G28" i="355"/>
  <c r="J27" i="355"/>
  <c r="H27" i="355"/>
  <c r="J26" i="355"/>
  <c r="I26" i="355"/>
  <c r="H26" i="355"/>
  <c r="G26" i="355"/>
  <c r="E26" i="355"/>
  <c r="F26" i="355" s="1"/>
  <c r="J25" i="355"/>
  <c r="I25" i="355"/>
  <c r="H25" i="355"/>
  <c r="G25" i="355"/>
  <c r="E25" i="355"/>
  <c r="F25" i="355" s="1"/>
  <c r="J24" i="355"/>
  <c r="I24" i="355"/>
  <c r="H24" i="355"/>
  <c r="G24" i="355"/>
  <c r="E24" i="355"/>
  <c r="F24" i="355" s="1"/>
  <c r="J23" i="355"/>
  <c r="I23" i="355"/>
  <c r="H23" i="355"/>
  <c r="G23" i="355"/>
  <c r="E23" i="355"/>
  <c r="F23" i="355" s="1"/>
  <c r="J22" i="355"/>
  <c r="I22" i="355"/>
  <c r="H22" i="355"/>
  <c r="G22" i="355"/>
  <c r="E22" i="355"/>
  <c r="F22" i="355" s="1"/>
  <c r="J21" i="355"/>
  <c r="I21" i="355"/>
  <c r="H21" i="355"/>
  <c r="G21" i="355"/>
  <c r="E21" i="355"/>
  <c r="F21" i="355" s="1"/>
  <c r="J20" i="355"/>
  <c r="I20" i="355"/>
  <c r="H20" i="355"/>
  <c r="G20" i="355"/>
  <c r="E20" i="355"/>
  <c r="F20" i="355" s="1"/>
  <c r="J19" i="355"/>
  <c r="I19" i="355"/>
  <c r="H19" i="355"/>
  <c r="G19" i="355"/>
  <c r="E19" i="355"/>
  <c r="F19" i="355" s="1"/>
  <c r="C35" i="299"/>
  <c r="J30" i="299"/>
  <c r="H30" i="299"/>
  <c r="J29" i="299"/>
  <c r="I29" i="299"/>
  <c r="H29" i="299"/>
  <c r="G29" i="299"/>
  <c r="J28" i="299"/>
  <c r="H28" i="299"/>
  <c r="J27" i="299"/>
  <c r="I27" i="299"/>
  <c r="H27" i="299"/>
  <c r="G27" i="299"/>
  <c r="E27" i="299"/>
  <c r="F27" i="299" s="1"/>
  <c r="J26" i="299"/>
  <c r="I26" i="299"/>
  <c r="H26" i="299"/>
  <c r="G26" i="299"/>
  <c r="E26" i="299"/>
  <c r="F26" i="299" s="1"/>
  <c r="J25" i="299"/>
  <c r="I25" i="299"/>
  <c r="H25" i="299"/>
  <c r="G25" i="299"/>
  <c r="E25" i="299"/>
  <c r="F25" i="299" s="1"/>
  <c r="J24" i="299"/>
  <c r="I24" i="299"/>
  <c r="H24" i="299"/>
  <c r="G24" i="299"/>
  <c r="E24" i="299"/>
  <c r="F24" i="299" s="1"/>
  <c r="J23" i="299"/>
  <c r="I23" i="299"/>
  <c r="H23" i="299"/>
  <c r="G23" i="299"/>
  <c r="E23" i="299"/>
  <c r="F23" i="299" s="1"/>
  <c r="J22" i="299"/>
  <c r="I22" i="299"/>
  <c r="H22" i="299"/>
  <c r="G22" i="299"/>
  <c r="E22" i="299"/>
  <c r="F22" i="299" s="1"/>
  <c r="J21" i="299"/>
  <c r="I21" i="299"/>
  <c r="H21" i="299"/>
  <c r="G21" i="299"/>
  <c r="E21" i="299"/>
  <c r="F21" i="299" s="1"/>
  <c r="J20" i="299"/>
  <c r="I20" i="299"/>
  <c r="H20" i="299"/>
  <c r="G20" i="299"/>
  <c r="E20" i="299"/>
  <c r="F20" i="299" s="1"/>
  <c r="J19" i="299"/>
  <c r="I19" i="299"/>
  <c r="H19" i="299"/>
  <c r="G19" i="299"/>
  <c r="E19" i="299"/>
  <c r="F19" i="299" s="1"/>
  <c r="C37" i="375"/>
  <c r="J32" i="375"/>
  <c r="H32" i="375"/>
  <c r="J30" i="375"/>
  <c r="H30" i="375"/>
  <c r="J29" i="375"/>
  <c r="I29" i="375"/>
  <c r="H29" i="375"/>
  <c r="G29" i="375"/>
  <c r="E29" i="375"/>
  <c r="F29" i="375" s="1"/>
  <c r="J28" i="375"/>
  <c r="I28" i="375"/>
  <c r="H28" i="375"/>
  <c r="G28" i="375"/>
  <c r="E28" i="375"/>
  <c r="F28" i="375" s="1"/>
  <c r="J27" i="375"/>
  <c r="I27" i="375"/>
  <c r="H27" i="375"/>
  <c r="G27" i="375"/>
  <c r="E27" i="375"/>
  <c r="F27" i="375" s="1"/>
  <c r="J26" i="375"/>
  <c r="I26" i="375"/>
  <c r="H26" i="375"/>
  <c r="G26" i="375"/>
  <c r="E26" i="375"/>
  <c r="F26" i="375" s="1"/>
  <c r="J25" i="375"/>
  <c r="I25" i="375"/>
  <c r="H25" i="375"/>
  <c r="G25" i="375"/>
  <c r="E25" i="375"/>
  <c r="F25" i="375" s="1"/>
  <c r="J24" i="375"/>
  <c r="I24" i="375"/>
  <c r="H24" i="375"/>
  <c r="G24" i="375"/>
  <c r="E24" i="375"/>
  <c r="F24" i="375" s="1"/>
  <c r="J23" i="375"/>
  <c r="I23" i="375"/>
  <c r="H23" i="375"/>
  <c r="G23" i="375"/>
  <c r="E23" i="375"/>
  <c r="F23" i="375" s="1"/>
  <c r="J22" i="375"/>
  <c r="I22" i="375"/>
  <c r="H22" i="375"/>
  <c r="G22" i="375"/>
  <c r="E22" i="375"/>
  <c r="F22" i="375" s="1"/>
  <c r="J21" i="375"/>
  <c r="I21" i="375"/>
  <c r="H21" i="375"/>
  <c r="G21" i="375"/>
  <c r="E21" i="375"/>
  <c r="F21" i="375" s="1"/>
  <c r="J20" i="375"/>
  <c r="I20" i="375"/>
  <c r="H20" i="375"/>
  <c r="G20" i="375"/>
  <c r="E20" i="375"/>
  <c r="F20" i="375" s="1"/>
  <c r="C35" i="138"/>
  <c r="J30" i="138"/>
  <c r="H30" i="138"/>
  <c r="J29" i="138"/>
  <c r="H29" i="138"/>
  <c r="J28" i="138"/>
  <c r="I28" i="138"/>
  <c r="H28" i="138"/>
  <c r="G28" i="138"/>
  <c r="E28" i="138"/>
  <c r="F28" i="138" s="1"/>
  <c r="J27" i="138"/>
  <c r="I27" i="138"/>
  <c r="H27" i="138"/>
  <c r="G27" i="138"/>
  <c r="E27" i="138"/>
  <c r="F27" i="138" s="1"/>
  <c r="J26" i="138"/>
  <c r="I26" i="138"/>
  <c r="H26" i="138"/>
  <c r="G26" i="138"/>
  <c r="E26" i="138"/>
  <c r="F26" i="138" s="1"/>
  <c r="J25" i="138"/>
  <c r="I25" i="138"/>
  <c r="H25" i="138"/>
  <c r="G25" i="138"/>
  <c r="E25" i="138"/>
  <c r="F25" i="138" s="1"/>
  <c r="J24" i="138"/>
  <c r="I24" i="138"/>
  <c r="H24" i="138"/>
  <c r="G24" i="138"/>
  <c r="E24" i="138"/>
  <c r="F24" i="138" s="1"/>
  <c r="J23" i="138"/>
  <c r="I23" i="138"/>
  <c r="H23" i="138"/>
  <c r="G23" i="138"/>
  <c r="E23" i="138"/>
  <c r="F23" i="138" s="1"/>
  <c r="J22" i="138"/>
  <c r="I22" i="138"/>
  <c r="H22" i="138"/>
  <c r="G22" i="138"/>
  <c r="E22" i="138"/>
  <c r="F22" i="138" s="1"/>
  <c r="J21" i="138"/>
  <c r="I21" i="138"/>
  <c r="H21" i="138"/>
  <c r="G21" i="138"/>
  <c r="E21" i="138"/>
  <c r="F21" i="138" s="1"/>
  <c r="J20" i="138"/>
  <c r="I20" i="138"/>
  <c r="H20" i="138"/>
  <c r="G20" i="138"/>
  <c r="E20" i="138"/>
  <c r="F20" i="138" s="1"/>
  <c r="J19" i="138"/>
  <c r="I19" i="138"/>
  <c r="H19" i="138"/>
  <c r="G19" i="138"/>
  <c r="E19" i="138"/>
  <c r="F19" i="138" s="1"/>
  <c r="C33" i="377"/>
  <c r="J29" i="377"/>
  <c r="H29" i="377"/>
  <c r="J28" i="377"/>
  <c r="H28" i="377"/>
  <c r="J27" i="377"/>
  <c r="H27" i="377"/>
  <c r="J26" i="377"/>
  <c r="I26" i="377"/>
  <c r="H26" i="377"/>
  <c r="G26" i="377"/>
  <c r="E26" i="377"/>
  <c r="F26" i="377" s="1"/>
  <c r="J25" i="377"/>
  <c r="I25" i="377"/>
  <c r="H25" i="377"/>
  <c r="G25" i="377"/>
  <c r="E25" i="377"/>
  <c r="F25" i="377" s="1"/>
  <c r="J24" i="377"/>
  <c r="I24" i="377"/>
  <c r="H24" i="377"/>
  <c r="G24" i="377"/>
  <c r="E24" i="377"/>
  <c r="F24" i="377" s="1"/>
  <c r="J23" i="377"/>
  <c r="I23" i="377"/>
  <c r="H23" i="377"/>
  <c r="G23" i="377"/>
  <c r="E23" i="377"/>
  <c r="F23" i="377" s="1"/>
  <c r="J22" i="377"/>
  <c r="I22" i="377"/>
  <c r="H22" i="377"/>
  <c r="G22" i="377"/>
  <c r="E22" i="377"/>
  <c r="F22" i="377" s="1"/>
  <c r="J21" i="377"/>
  <c r="I21" i="377"/>
  <c r="H21" i="377"/>
  <c r="G21" i="377"/>
  <c r="E21" i="377"/>
  <c r="F21" i="377" s="1"/>
  <c r="J20" i="377"/>
  <c r="I20" i="377"/>
  <c r="H20" i="377"/>
  <c r="G20" i="377"/>
  <c r="E20" i="377"/>
  <c r="F20" i="377" s="1"/>
  <c r="J19" i="377"/>
  <c r="I19" i="377"/>
  <c r="H19" i="377"/>
  <c r="G19" i="377"/>
  <c r="E19" i="377"/>
  <c r="F19" i="377" s="1"/>
  <c r="C33" i="202"/>
  <c r="J29" i="202"/>
  <c r="H29" i="202"/>
  <c r="J28" i="202"/>
  <c r="H28" i="202"/>
  <c r="J27" i="202"/>
  <c r="H27" i="202"/>
  <c r="J26" i="202"/>
  <c r="I26" i="202"/>
  <c r="H26" i="202"/>
  <c r="G26" i="202"/>
  <c r="E26" i="202"/>
  <c r="F26" i="202" s="1"/>
  <c r="J25" i="202"/>
  <c r="I25" i="202"/>
  <c r="H25" i="202"/>
  <c r="G25" i="202"/>
  <c r="E25" i="202"/>
  <c r="F25" i="202" s="1"/>
  <c r="J24" i="202"/>
  <c r="I24" i="202"/>
  <c r="H24" i="202"/>
  <c r="G24" i="202"/>
  <c r="E24" i="202"/>
  <c r="F24" i="202" s="1"/>
  <c r="J23" i="202"/>
  <c r="I23" i="202"/>
  <c r="H23" i="202"/>
  <c r="G23" i="202"/>
  <c r="E23" i="202"/>
  <c r="F23" i="202" s="1"/>
  <c r="J22" i="202"/>
  <c r="I22" i="202"/>
  <c r="H22" i="202"/>
  <c r="G22" i="202"/>
  <c r="E22" i="202"/>
  <c r="F22" i="202" s="1"/>
  <c r="J21" i="202"/>
  <c r="I21" i="202"/>
  <c r="H21" i="202"/>
  <c r="G21" i="202"/>
  <c r="E21" i="202"/>
  <c r="F21" i="202" s="1"/>
  <c r="J20" i="202"/>
  <c r="I20" i="202"/>
  <c r="H20" i="202"/>
  <c r="G20" i="202"/>
  <c r="E20" i="202"/>
  <c r="F20" i="202" s="1"/>
  <c r="J19" i="202"/>
  <c r="I19" i="202"/>
  <c r="H19" i="202"/>
  <c r="G19" i="202"/>
  <c r="E19" i="202"/>
  <c r="F19" i="202" s="1"/>
  <c r="C37" i="201"/>
  <c r="J33" i="201"/>
  <c r="H33" i="201"/>
  <c r="J32" i="201"/>
  <c r="H32" i="201"/>
  <c r="J31" i="201"/>
  <c r="H31" i="201"/>
  <c r="J30" i="201"/>
  <c r="I30" i="201"/>
  <c r="H30" i="201"/>
  <c r="G30" i="201"/>
  <c r="J29" i="201"/>
  <c r="I29" i="201"/>
  <c r="H29" i="201"/>
  <c r="G29" i="201"/>
  <c r="E29" i="201"/>
  <c r="F29" i="201" s="1"/>
  <c r="J28" i="201"/>
  <c r="I28" i="201"/>
  <c r="H28" i="201"/>
  <c r="G28" i="201"/>
  <c r="E28" i="201"/>
  <c r="F28" i="201" s="1"/>
  <c r="J27" i="201"/>
  <c r="I27" i="201"/>
  <c r="H27" i="201"/>
  <c r="G27" i="201"/>
  <c r="E27" i="201"/>
  <c r="F27" i="201" s="1"/>
  <c r="J26" i="201"/>
  <c r="I26" i="201"/>
  <c r="H26" i="201"/>
  <c r="G26" i="201"/>
  <c r="E26" i="201"/>
  <c r="F26" i="201" s="1"/>
  <c r="J25" i="201"/>
  <c r="I25" i="201"/>
  <c r="H25" i="201"/>
  <c r="G25" i="201"/>
  <c r="E25" i="201"/>
  <c r="F25" i="201" s="1"/>
  <c r="J24" i="201"/>
  <c r="I24" i="201"/>
  <c r="H24" i="201"/>
  <c r="G24" i="201"/>
  <c r="E24" i="201"/>
  <c r="F24" i="201" s="1"/>
  <c r="J23" i="201"/>
  <c r="I23" i="201"/>
  <c r="H23" i="201"/>
  <c r="G23" i="201"/>
  <c r="E23" i="201"/>
  <c r="F23" i="201" s="1"/>
  <c r="J22" i="201"/>
  <c r="I22" i="201"/>
  <c r="H22" i="201"/>
  <c r="G22" i="201"/>
  <c r="E22" i="201"/>
  <c r="F22" i="201" s="1"/>
  <c r="J21" i="201"/>
  <c r="I21" i="201"/>
  <c r="H21" i="201"/>
  <c r="G21" i="201"/>
  <c r="E21" i="201"/>
  <c r="F21" i="201" s="1"/>
  <c r="J20" i="201"/>
  <c r="I20" i="201"/>
  <c r="H20" i="201"/>
  <c r="G20" i="201"/>
  <c r="E20" i="201"/>
  <c r="F20" i="201" s="1"/>
  <c r="J19" i="201"/>
  <c r="I19" i="201"/>
  <c r="H19" i="201"/>
  <c r="G19" i="201"/>
  <c r="E19" i="201"/>
  <c r="F19" i="201" s="1"/>
  <c r="C36" i="228"/>
  <c r="J31" i="228"/>
  <c r="H31" i="228"/>
  <c r="J28" i="228"/>
  <c r="H28" i="228"/>
  <c r="J27" i="228"/>
  <c r="I27" i="228"/>
  <c r="H27" i="228"/>
  <c r="G27" i="228"/>
  <c r="E27" i="228"/>
  <c r="F27" i="228" s="1"/>
  <c r="J26" i="228"/>
  <c r="I26" i="228"/>
  <c r="H26" i="228"/>
  <c r="G26" i="228"/>
  <c r="E26" i="228"/>
  <c r="F26" i="228" s="1"/>
  <c r="J25" i="228"/>
  <c r="I25" i="228"/>
  <c r="H25" i="228"/>
  <c r="G25" i="228"/>
  <c r="E25" i="228"/>
  <c r="F25" i="228" s="1"/>
  <c r="J24" i="228"/>
  <c r="I24" i="228"/>
  <c r="H24" i="228"/>
  <c r="G24" i="228"/>
  <c r="E24" i="228"/>
  <c r="F24" i="228" s="1"/>
  <c r="J23" i="228"/>
  <c r="I23" i="228"/>
  <c r="H23" i="228"/>
  <c r="G23" i="228"/>
  <c r="E23" i="228"/>
  <c r="F23" i="228" s="1"/>
  <c r="J22" i="228"/>
  <c r="I22" i="228"/>
  <c r="H22" i="228"/>
  <c r="G22" i="228"/>
  <c r="E22" i="228"/>
  <c r="F22" i="228" s="1"/>
  <c r="J21" i="228"/>
  <c r="I21" i="228"/>
  <c r="H21" i="228"/>
  <c r="G21" i="228"/>
  <c r="E21" i="228"/>
  <c r="F21" i="228" s="1"/>
  <c r="J20" i="228"/>
  <c r="I20" i="228"/>
  <c r="H20" i="228"/>
  <c r="G20" i="228"/>
  <c r="E20" i="228"/>
  <c r="F20" i="228" s="1"/>
  <c r="J19" i="228"/>
  <c r="I19" i="228"/>
  <c r="H19" i="228"/>
  <c r="G19" i="228"/>
  <c r="E19" i="228"/>
  <c r="F19" i="228" s="1"/>
  <c r="C36" i="200"/>
  <c r="J31" i="200"/>
  <c r="H31" i="200"/>
  <c r="J29" i="200"/>
  <c r="H29" i="200"/>
  <c r="J28" i="200"/>
  <c r="I28" i="200"/>
  <c r="H28" i="200"/>
  <c r="G28" i="200"/>
  <c r="E28" i="200"/>
  <c r="F28" i="200" s="1"/>
  <c r="J27" i="200"/>
  <c r="I27" i="200"/>
  <c r="H27" i="200"/>
  <c r="G27" i="200"/>
  <c r="E27" i="200"/>
  <c r="F27" i="200" s="1"/>
  <c r="J26" i="200"/>
  <c r="I26" i="200"/>
  <c r="H26" i="200"/>
  <c r="G26" i="200"/>
  <c r="E26" i="200"/>
  <c r="F26" i="200" s="1"/>
  <c r="J25" i="200"/>
  <c r="I25" i="200"/>
  <c r="H25" i="200"/>
  <c r="G25" i="200"/>
  <c r="E25" i="200"/>
  <c r="F25" i="200" s="1"/>
  <c r="J24" i="200"/>
  <c r="I24" i="200"/>
  <c r="H24" i="200"/>
  <c r="G24" i="200"/>
  <c r="E24" i="200"/>
  <c r="F24" i="200" s="1"/>
  <c r="J23" i="200"/>
  <c r="I23" i="200"/>
  <c r="H23" i="200"/>
  <c r="G23" i="200"/>
  <c r="E23" i="200"/>
  <c r="F23" i="200" s="1"/>
  <c r="J22" i="200"/>
  <c r="I22" i="200"/>
  <c r="H22" i="200"/>
  <c r="G22" i="200"/>
  <c r="E22" i="200"/>
  <c r="F22" i="200" s="1"/>
  <c r="J21" i="200"/>
  <c r="I21" i="200"/>
  <c r="H21" i="200"/>
  <c r="G21" i="200"/>
  <c r="E21" i="200"/>
  <c r="F21" i="200" s="1"/>
  <c r="J20" i="200"/>
  <c r="I20" i="200"/>
  <c r="H20" i="200"/>
  <c r="G20" i="200"/>
  <c r="E20" i="200"/>
  <c r="F20" i="200" s="1"/>
  <c r="J19" i="200"/>
  <c r="I19" i="200"/>
  <c r="H19" i="200"/>
  <c r="G19" i="200"/>
  <c r="E19" i="200"/>
  <c r="F19" i="200" s="1"/>
  <c r="C30" i="198"/>
  <c r="J25" i="198"/>
  <c r="H25" i="198"/>
  <c r="J24" i="198"/>
  <c r="I24" i="198"/>
  <c r="H24" i="198"/>
  <c r="G24" i="198"/>
  <c r="E24" i="198"/>
  <c r="F24" i="198" s="1"/>
  <c r="J23" i="198"/>
  <c r="I23" i="198"/>
  <c r="H23" i="198"/>
  <c r="G23" i="198"/>
  <c r="E23" i="198"/>
  <c r="F23" i="198" s="1"/>
  <c r="J22" i="198"/>
  <c r="I22" i="198"/>
  <c r="H22" i="198"/>
  <c r="G22" i="198"/>
  <c r="J21" i="198"/>
  <c r="H21" i="198"/>
  <c r="J20" i="198"/>
  <c r="I20" i="198"/>
  <c r="H20" i="198"/>
  <c r="G20" i="198"/>
  <c r="E20" i="198"/>
  <c r="F20" i="198" s="1"/>
  <c r="J19" i="198"/>
  <c r="I19" i="198"/>
  <c r="H19" i="198"/>
  <c r="G19" i="198"/>
  <c r="E19" i="198"/>
  <c r="F19" i="198" s="1"/>
  <c r="C35" i="374"/>
  <c r="J30" i="374"/>
  <c r="H30" i="374"/>
  <c r="J29" i="374"/>
  <c r="I29" i="374"/>
  <c r="H29" i="374"/>
  <c r="G29" i="374"/>
  <c r="E29" i="374"/>
  <c r="F29" i="374" s="1"/>
  <c r="J28" i="374"/>
  <c r="I28" i="374"/>
  <c r="H28" i="374"/>
  <c r="G28" i="374"/>
  <c r="E28" i="374"/>
  <c r="F28" i="374" s="1"/>
  <c r="J27" i="374"/>
  <c r="I27" i="374"/>
  <c r="H27" i="374"/>
  <c r="G27" i="374"/>
  <c r="E27" i="374"/>
  <c r="F27" i="374" s="1"/>
  <c r="J26" i="374"/>
  <c r="I26" i="374"/>
  <c r="H26" i="374"/>
  <c r="G26" i="374"/>
  <c r="E26" i="374"/>
  <c r="F26" i="374" s="1"/>
  <c r="J24" i="374"/>
  <c r="I24" i="374"/>
  <c r="H24" i="374"/>
  <c r="G24" i="374"/>
  <c r="E24" i="374"/>
  <c r="F24" i="374" s="1"/>
  <c r="J23" i="374"/>
  <c r="H23" i="374"/>
  <c r="J22" i="374"/>
  <c r="I22" i="374"/>
  <c r="H22" i="374"/>
  <c r="G22" i="374"/>
  <c r="E22" i="374"/>
  <c r="F22" i="374" s="1"/>
  <c r="J21" i="374"/>
  <c r="I21" i="374"/>
  <c r="H21" i="374"/>
  <c r="G21" i="374"/>
  <c r="E21" i="374"/>
  <c r="F21" i="374" s="1"/>
  <c r="J19" i="374"/>
  <c r="I19" i="374"/>
  <c r="H19" i="374"/>
  <c r="G19" i="374"/>
  <c r="E19" i="374"/>
  <c r="F19" i="374" s="1"/>
  <c r="C35" i="354"/>
  <c r="J30" i="354"/>
  <c r="H30" i="354"/>
  <c r="J29" i="354"/>
  <c r="I29" i="354"/>
  <c r="H29" i="354"/>
  <c r="G29" i="354"/>
  <c r="E29" i="354"/>
  <c r="F29" i="354" s="1"/>
  <c r="J28" i="354"/>
  <c r="I28" i="354"/>
  <c r="H28" i="354"/>
  <c r="G28" i="354"/>
  <c r="E28" i="354"/>
  <c r="F28" i="354" s="1"/>
  <c r="J27" i="354"/>
  <c r="I27" i="354"/>
  <c r="H27" i="354"/>
  <c r="G27" i="354"/>
  <c r="E27" i="354"/>
  <c r="F27" i="354" s="1"/>
  <c r="J26" i="354"/>
  <c r="I26" i="354"/>
  <c r="H26" i="354"/>
  <c r="G26" i="354"/>
  <c r="E26" i="354"/>
  <c r="F26" i="354" s="1"/>
  <c r="J24" i="354"/>
  <c r="I24" i="354"/>
  <c r="H24" i="354"/>
  <c r="G24" i="354"/>
  <c r="E24" i="354"/>
  <c r="F24" i="354" s="1"/>
  <c r="J23" i="354"/>
  <c r="H23" i="354"/>
  <c r="J22" i="354"/>
  <c r="I22" i="354"/>
  <c r="H22" i="354"/>
  <c r="G22" i="354"/>
  <c r="E22" i="354"/>
  <c r="F22" i="354" s="1"/>
  <c r="J21" i="354"/>
  <c r="I21" i="354"/>
  <c r="H21" i="354"/>
  <c r="G21" i="354"/>
  <c r="E21" i="354"/>
  <c r="F21" i="354" s="1"/>
  <c r="J20" i="354"/>
  <c r="H20" i="354"/>
  <c r="J19" i="354"/>
  <c r="I19" i="354"/>
  <c r="H19" i="354"/>
  <c r="G19" i="354"/>
  <c r="E19" i="354"/>
  <c r="F19" i="354" s="1"/>
  <c r="C37" i="353"/>
  <c r="J32" i="353"/>
  <c r="H32" i="353"/>
  <c r="J30" i="353"/>
  <c r="I30" i="353"/>
  <c r="H30" i="353"/>
  <c r="G30" i="353"/>
  <c r="E30" i="353"/>
  <c r="F30" i="353" s="1"/>
  <c r="J29" i="353"/>
  <c r="I29" i="353"/>
  <c r="H29" i="353"/>
  <c r="G29" i="353"/>
  <c r="E29" i="353"/>
  <c r="F29" i="353" s="1"/>
  <c r="J28" i="353"/>
  <c r="I28" i="353"/>
  <c r="H28" i="353"/>
  <c r="G28" i="353"/>
  <c r="E28" i="353"/>
  <c r="F28" i="353" s="1"/>
  <c r="J27" i="353"/>
  <c r="I27" i="353"/>
  <c r="H27" i="353"/>
  <c r="G27" i="353"/>
  <c r="E27" i="353"/>
  <c r="F27" i="353" s="1"/>
  <c r="J25" i="353"/>
  <c r="H25" i="353"/>
  <c r="J24" i="353"/>
  <c r="I24" i="353"/>
  <c r="H24" i="353"/>
  <c r="G24" i="353"/>
  <c r="E24" i="353"/>
  <c r="F24" i="353" s="1"/>
  <c r="J23" i="353"/>
  <c r="I23" i="353"/>
  <c r="H23" i="353"/>
  <c r="G23" i="353"/>
  <c r="E23" i="353"/>
  <c r="F23" i="353" s="1"/>
  <c r="J22" i="353"/>
  <c r="H22" i="353"/>
  <c r="J21" i="353"/>
  <c r="I21" i="353"/>
  <c r="H21" i="353"/>
  <c r="G21" i="353"/>
  <c r="E21" i="353"/>
  <c r="F21" i="353" s="1"/>
  <c r="J20" i="353"/>
  <c r="I20" i="353"/>
  <c r="H20" i="353"/>
  <c r="G20" i="353"/>
  <c r="E20" i="353"/>
  <c r="F20" i="353" s="1"/>
  <c r="J19" i="353"/>
  <c r="I19" i="353"/>
  <c r="H19" i="353"/>
  <c r="G19" i="353"/>
  <c r="E19" i="353"/>
  <c r="F19" i="353" s="1"/>
  <c r="J26" i="352"/>
  <c r="H26" i="352"/>
  <c r="J25" i="352"/>
  <c r="H25" i="352"/>
  <c r="J24" i="352"/>
  <c r="I24" i="352"/>
  <c r="H24" i="352"/>
  <c r="G24" i="352"/>
  <c r="E24" i="352"/>
  <c r="F24" i="352" s="1"/>
  <c r="J23" i="352"/>
  <c r="I23" i="352"/>
  <c r="H23" i="352"/>
  <c r="G23" i="352"/>
  <c r="E23" i="352"/>
  <c r="F23" i="352" s="1"/>
  <c r="J22" i="352"/>
  <c r="I22" i="352"/>
  <c r="H22" i="352"/>
  <c r="G22" i="352"/>
  <c r="E22" i="352"/>
  <c r="F22" i="352" s="1"/>
  <c r="J21" i="352"/>
  <c r="I21" i="352"/>
  <c r="H21" i="352"/>
  <c r="G21" i="352"/>
  <c r="E21" i="352"/>
  <c r="F21" i="352" s="1"/>
  <c r="J20" i="352"/>
  <c r="I20" i="352"/>
  <c r="H20" i="352"/>
  <c r="G20" i="352"/>
  <c r="E20" i="352"/>
  <c r="F20" i="352" s="1"/>
  <c r="J19" i="352"/>
  <c r="I19" i="352"/>
  <c r="H19" i="352"/>
  <c r="G19" i="352"/>
  <c r="E19" i="352"/>
  <c r="F19" i="352" s="1"/>
  <c r="J27" i="376"/>
  <c r="H27" i="376"/>
  <c r="J26" i="376"/>
  <c r="I26" i="376"/>
  <c r="H26" i="376"/>
  <c r="G26" i="376"/>
  <c r="J25" i="376"/>
  <c r="H25" i="376"/>
  <c r="J24" i="376"/>
  <c r="I24" i="376"/>
  <c r="H24" i="376"/>
  <c r="G24" i="376"/>
  <c r="E24" i="376"/>
  <c r="F24" i="376" s="1"/>
  <c r="J23" i="376"/>
  <c r="I23" i="376"/>
  <c r="H23" i="376"/>
  <c r="G23" i="376"/>
  <c r="E23" i="376"/>
  <c r="F23" i="376" s="1"/>
  <c r="J22" i="376"/>
  <c r="I22" i="376"/>
  <c r="H22" i="376"/>
  <c r="G22" i="376"/>
  <c r="E22" i="376"/>
  <c r="F22" i="376" s="1"/>
  <c r="J21" i="376"/>
  <c r="I21" i="376"/>
  <c r="H21" i="376"/>
  <c r="G21" i="376"/>
  <c r="E21" i="376"/>
  <c r="F21" i="376" s="1"/>
  <c r="J20" i="376"/>
  <c r="I20" i="376"/>
  <c r="H20" i="376"/>
  <c r="G20" i="376"/>
  <c r="E20" i="376"/>
  <c r="F20" i="376" s="1"/>
  <c r="J19" i="376"/>
  <c r="I19" i="376"/>
  <c r="H19" i="376"/>
  <c r="G19" i="376"/>
  <c r="E19" i="376"/>
  <c r="F19" i="376" s="1"/>
  <c r="J28" i="350"/>
  <c r="H28" i="350"/>
  <c r="J27" i="350"/>
  <c r="I27" i="350"/>
  <c r="H27" i="350"/>
  <c r="G27" i="350"/>
  <c r="J26" i="350"/>
  <c r="H26" i="350"/>
  <c r="J25" i="350"/>
  <c r="I25" i="350"/>
  <c r="H25" i="350"/>
  <c r="G25" i="350"/>
  <c r="E25" i="350"/>
  <c r="F25" i="350" s="1"/>
  <c r="J24" i="350"/>
  <c r="I24" i="350"/>
  <c r="H24" i="350"/>
  <c r="G24" i="350"/>
  <c r="E24" i="350"/>
  <c r="F24" i="350" s="1"/>
  <c r="J23" i="350"/>
  <c r="I23" i="350"/>
  <c r="H23" i="350"/>
  <c r="G23" i="350"/>
  <c r="E23" i="350"/>
  <c r="F23" i="350" s="1"/>
  <c r="J22" i="350"/>
  <c r="I22" i="350"/>
  <c r="H22" i="350"/>
  <c r="G22" i="350"/>
  <c r="E22" i="350"/>
  <c r="F22" i="350" s="1"/>
  <c r="J21" i="350"/>
  <c r="I21" i="350"/>
  <c r="H21" i="350"/>
  <c r="G21" i="350"/>
  <c r="E21" i="350"/>
  <c r="F21" i="350" s="1"/>
  <c r="J20" i="350"/>
  <c r="I20" i="350"/>
  <c r="H20" i="350"/>
  <c r="G20" i="350"/>
  <c r="E20" i="350"/>
  <c r="F20" i="350" s="1"/>
  <c r="J31" i="349"/>
  <c r="H31" i="349"/>
  <c r="J30" i="349"/>
  <c r="I30" i="349"/>
  <c r="H30" i="349"/>
  <c r="G30" i="349"/>
  <c r="J29" i="349"/>
  <c r="I29" i="349"/>
  <c r="H29" i="349"/>
  <c r="G29" i="349"/>
  <c r="E29" i="349"/>
  <c r="F29" i="349" s="1"/>
  <c r="J28" i="349"/>
  <c r="I28" i="349"/>
  <c r="H28" i="349"/>
  <c r="G28" i="349"/>
  <c r="E28" i="349"/>
  <c r="F28" i="349" s="1"/>
  <c r="J27" i="349"/>
  <c r="I27" i="349"/>
  <c r="H27" i="349"/>
  <c r="G27" i="349"/>
  <c r="E27" i="349"/>
  <c r="F27" i="349" s="1"/>
  <c r="J26" i="349"/>
  <c r="I26" i="349"/>
  <c r="H26" i="349"/>
  <c r="G26" i="349"/>
  <c r="E26" i="349"/>
  <c r="F26" i="349" s="1"/>
  <c r="J25" i="349"/>
  <c r="I25" i="349"/>
  <c r="H25" i="349"/>
  <c r="G25" i="349"/>
  <c r="E25" i="349"/>
  <c r="F25" i="349" s="1"/>
  <c r="J24" i="349"/>
  <c r="I24" i="349"/>
  <c r="H24" i="349"/>
  <c r="G24" i="349"/>
  <c r="E24" i="349"/>
  <c r="F24" i="349" s="1"/>
  <c r="J23" i="349"/>
  <c r="I23" i="349"/>
  <c r="H23" i="349"/>
  <c r="G23" i="349"/>
  <c r="E23" i="349"/>
  <c r="F23" i="349" s="1"/>
  <c r="J22" i="349"/>
  <c r="H22" i="349"/>
  <c r="J21" i="349"/>
  <c r="I21" i="349"/>
  <c r="H21" i="349"/>
  <c r="G21" i="349"/>
  <c r="E21" i="349"/>
  <c r="F21" i="349" s="1"/>
  <c r="J20" i="349"/>
  <c r="I20" i="349"/>
  <c r="H20" i="349"/>
  <c r="G20" i="349"/>
  <c r="E20" i="349"/>
  <c r="F20" i="349" s="1"/>
  <c r="J19" i="349"/>
  <c r="I19" i="349"/>
  <c r="H19" i="349"/>
  <c r="G19" i="349"/>
  <c r="E19" i="349"/>
  <c r="F19" i="349" s="1"/>
  <c r="C34" i="232"/>
  <c r="J29" i="232"/>
  <c r="H29" i="232"/>
  <c r="J28" i="232"/>
  <c r="I28" i="232"/>
  <c r="H28" i="232"/>
  <c r="G28" i="232"/>
  <c r="E28" i="232"/>
  <c r="F28" i="232" s="1"/>
  <c r="J27" i="232"/>
  <c r="I27" i="232"/>
  <c r="H27" i="232"/>
  <c r="G27" i="232"/>
  <c r="E27" i="232"/>
  <c r="F27" i="232" s="1"/>
  <c r="J26" i="232"/>
  <c r="I26" i="232"/>
  <c r="H26" i="232"/>
  <c r="G26" i="232"/>
  <c r="E26" i="232"/>
  <c r="F26" i="232" s="1"/>
  <c r="J25" i="232"/>
  <c r="I25" i="232"/>
  <c r="H25" i="232"/>
  <c r="G25" i="232"/>
  <c r="E25" i="232"/>
  <c r="F25" i="232" s="1"/>
  <c r="J24" i="232"/>
  <c r="I24" i="232"/>
  <c r="H24" i="232"/>
  <c r="G24" i="232"/>
  <c r="J23" i="232"/>
  <c r="I23" i="232"/>
  <c r="H23" i="232"/>
  <c r="G23" i="232"/>
  <c r="E23" i="232"/>
  <c r="F23" i="232" s="1"/>
  <c r="J22" i="232"/>
  <c r="H22" i="232"/>
  <c r="J21" i="232"/>
  <c r="I21" i="232"/>
  <c r="H21" i="232"/>
  <c r="G21" i="232"/>
  <c r="E21" i="232"/>
  <c r="F21" i="232" s="1"/>
  <c r="J20" i="232"/>
  <c r="I20" i="232"/>
  <c r="H20" i="232"/>
  <c r="G20" i="232"/>
  <c r="E20" i="232"/>
  <c r="F20" i="232" s="1"/>
  <c r="J19" i="232"/>
  <c r="I19" i="232"/>
  <c r="H19" i="232"/>
  <c r="G19" i="232"/>
  <c r="E19" i="232"/>
  <c r="F19" i="232" s="1"/>
  <c r="C34" i="197"/>
  <c r="J29" i="197"/>
  <c r="H29" i="197"/>
  <c r="J28" i="197"/>
  <c r="I28" i="197"/>
  <c r="H28" i="197"/>
  <c r="G28" i="197"/>
  <c r="E28" i="197"/>
  <c r="F28" i="197" s="1"/>
  <c r="J27" i="197"/>
  <c r="I27" i="197"/>
  <c r="H27" i="197"/>
  <c r="G27" i="197"/>
  <c r="E27" i="197"/>
  <c r="F27" i="197" s="1"/>
  <c r="J26" i="197"/>
  <c r="I26" i="197"/>
  <c r="H26" i="197"/>
  <c r="G26" i="197"/>
  <c r="E26" i="197"/>
  <c r="F26" i="197" s="1"/>
  <c r="J25" i="197"/>
  <c r="I25" i="197"/>
  <c r="H25" i="197"/>
  <c r="G25" i="197"/>
  <c r="E25" i="197"/>
  <c r="F25" i="197" s="1"/>
  <c r="J24" i="197"/>
  <c r="I24" i="197"/>
  <c r="H24" i="197"/>
  <c r="G24" i="197"/>
  <c r="J23" i="197"/>
  <c r="I23" i="197"/>
  <c r="H23" i="197"/>
  <c r="G23" i="197"/>
  <c r="E23" i="197"/>
  <c r="F23" i="197" s="1"/>
  <c r="J22" i="197"/>
  <c r="H22" i="197"/>
  <c r="J21" i="197"/>
  <c r="I21" i="197"/>
  <c r="H21" i="197"/>
  <c r="G21" i="197"/>
  <c r="E21" i="197"/>
  <c r="F21" i="197" s="1"/>
  <c r="J20" i="197"/>
  <c r="I20" i="197"/>
  <c r="H20" i="197"/>
  <c r="G20" i="197"/>
  <c r="E20" i="197"/>
  <c r="F20" i="197" s="1"/>
  <c r="J19" i="197"/>
  <c r="I19" i="197"/>
  <c r="H19" i="197"/>
  <c r="G19" i="197"/>
  <c r="E19" i="197"/>
  <c r="F19" i="197" s="1"/>
  <c r="C33" i="235"/>
  <c r="J29" i="235"/>
  <c r="H29" i="235"/>
  <c r="J28" i="235"/>
  <c r="H28" i="235"/>
  <c r="J27" i="235"/>
  <c r="H27" i="235"/>
  <c r="J26" i="235"/>
  <c r="H26" i="235"/>
  <c r="J25" i="235"/>
  <c r="I25" i="235"/>
  <c r="H25" i="235"/>
  <c r="G25" i="235"/>
  <c r="E25" i="235"/>
  <c r="F25" i="235" s="1"/>
  <c r="J24" i="235"/>
  <c r="I24" i="235"/>
  <c r="H24" i="235"/>
  <c r="G24" i="235"/>
  <c r="F24" i="235"/>
  <c r="J23" i="235"/>
  <c r="I23" i="235"/>
  <c r="H23" i="235"/>
  <c r="G23" i="235"/>
  <c r="E23" i="235"/>
  <c r="F23" i="235" s="1"/>
  <c r="J22" i="235"/>
  <c r="I22" i="235"/>
  <c r="H22" i="235"/>
  <c r="G22" i="235"/>
  <c r="E22" i="235"/>
  <c r="F22" i="235" s="1"/>
  <c r="J21" i="235"/>
  <c r="I21" i="235"/>
  <c r="H21" i="235"/>
  <c r="G21" i="235"/>
  <c r="E21" i="235"/>
  <c r="F21" i="235" s="1"/>
  <c r="J20" i="235"/>
  <c r="I20" i="235"/>
  <c r="H20" i="235"/>
  <c r="G20" i="235"/>
  <c r="E20" i="235"/>
  <c r="F20" i="235" s="1"/>
  <c r="J19" i="235"/>
  <c r="I19" i="235"/>
  <c r="H19" i="235"/>
  <c r="G19" i="235"/>
  <c r="E19" i="235"/>
  <c r="F19" i="235" s="1"/>
  <c r="F27" i="235" s="1"/>
  <c r="C32" i="196"/>
  <c r="J28" i="196"/>
  <c r="H28" i="196"/>
  <c r="J27" i="196"/>
  <c r="H27" i="196"/>
  <c r="J26" i="196"/>
  <c r="H26" i="196"/>
  <c r="J25" i="196"/>
  <c r="I25" i="196"/>
  <c r="H25" i="196"/>
  <c r="G25" i="196"/>
  <c r="E25" i="196"/>
  <c r="F25" i="196" s="1"/>
  <c r="J24" i="196"/>
  <c r="I24" i="196"/>
  <c r="H24" i="196"/>
  <c r="G24" i="196"/>
  <c r="F24" i="196"/>
  <c r="J23" i="196"/>
  <c r="I23" i="196"/>
  <c r="H23" i="196"/>
  <c r="G23" i="196"/>
  <c r="E23" i="196"/>
  <c r="F23" i="196" s="1"/>
  <c r="J22" i="196"/>
  <c r="I22" i="196"/>
  <c r="H22" i="196"/>
  <c r="G22" i="196"/>
  <c r="E22" i="196"/>
  <c r="F22" i="196" s="1"/>
  <c r="J21" i="196"/>
  <c r="I21" i="196"/>
  <c r="H21" i="196"/>
  <c r="G21" i="196"/>
  <c r="E21" i="196"/>
  <c r="F21" i="196" s="1"/>
  <c r="J20" i="196"/>
  <c r="I20" i="196"/>
  <c r="H20" i="196"/>
  <c r="G20" i="196"/>
  <c r="E20" i="196"/>
  <c r="F20" i="196" s="1"/>
  <c r="J19" i="196"/>
  <c r="I19" i="196"/>
  <c r="H19" i="196"/>
  <c r="G19" i="196"/>
  <c r="E19" i="196"/>
  <c r="F19" i="196" s="1"/>
  <c r="C27" i="135"/>
  <c r="J22" i="135"/>
  <c r="H22" i="135"/>
  <c r="J21" i="135"/>
  <c r="I21" i="135"/>
  <c r="H21" i="135"/>
  <c r="G21" i="135"/>
  <c r="E21" i="135"/>
  <c r="F21" i="135" s="1"/>
  <c r="J20" i="135"/>
  <c r="I20" i="135"/>
  <c r="H20" i="135"/>
  <c r="G20" i="135"/>
  <c r="E20" i="135"/>
  <c r="F20" i="135" s="1"/>
  <c r="J19" i="135"/>
  <c r="I19" i="135"/>
  <c r="H19" i="135"/>
  <c r="G19" i="135"/>
  <c r="E19" i="135"/>
  <c r="F19" i="135" s="1"/>
  <c r="C33" i="121"/>
  <c r="J28" i="121"/>
  <c r="H28" i="121"/>
  <c r="J27" i="121"/>
  <c r="I27" i="121"/>
  <c r="H27" i="121"/>
  <c r="G27" i="121"/>
  <c r="J26" i="121"/>
  <c r="H26" i="121"/>
  <c r="J25" i="121"/>
  <c r="I25" i="121"/>
  <c r="H25" i="121"/>
  <c r="G25" i="121"/>
  <c r="E25" i="121"/>
  <c r="F25" i="121" s="1"/>
  <c r="J24" i="121"/>
  <c r="I24" i="121"/>
  <c r="H24" i="121"/>
  <c r="G24" i="121"/>
  <c r="E24" i="121"/>
  <c r="F24" i="121" s="1"/>
  <c r="J23" i="121"/>
  <c r="I23" i="121"/>
  <c r="H23" i="121"/>
  <c r="G23" i="121"/>
  <c r="E23" i="121"/>
  <c r="F23" i="121" s="1"/>
  <c r="J22" i="121"/>
  <c r="I22" i="121"/>
  <c r="H22" i="121"/>
  <c r="G22" i="121"/>
  <c r="E22" i="121"/>
  <c r="F22" i="121" s="1"/>
  <c r="J21" i="121"/>
  <c r="I21" i="121"/>
  <c r="H21" i="121"/>
  <c r="G21" i="121"/>
  <c r="E21" i="121"/>
  <c r="F21" i="121" s="1"/>
  <c r="J20" i="121"/>
  <c r="I20" i="121"/>
  <c r="H20" i="121"/>
  <c r="G20" i="121"/>
  <c r="E20" i="121"/>
  <c r="F20" i="121" s="1"/>
  <c r="J19" i="121"/>
  <c r="I19" i="121"/>
  <c r="H19" i="121"/>
  <c r="G19" i="121"/>
  <c r="E19" i="121"/>
  <c r="F19" i="121" s="1"/>
  <c r="C32" i="234"/>
  <c r="J27" i="234"/>
  <c r="H27" i="234"/>
  <c r="J26" i="234"/>
  <c r="I26" i="234"/>
  <c r="H26" i="234"/>
  <c r="G26" i="234"/>
  <c r="E26" i="234"/>
  <c r="F26" i="234" s="1"/>
  <c r="J25" i="234"/>
  <c r="I25" i="234"/>
  <c r="H25" i="234"/>
  <c r="G25" i="234"/>
  <c r="E25" i="234"/>
  <c r="F25" i="234" s="1"/>
  <c r="J24" i="234"/>
  <c r="H24" i="234"/>
  <c r="J23" i="234"/>
  <c r="I23" i="234"/>
  <c r="H23" i="234"/>
  <c r="G23" i="234"/>
  <c r="E23" i="234"/>
  <c r="F23" i="234" s="1"/>
  <c r="J22" i="234"/>
  <c r="I22" i="234"/>
  <c r="H22" i="234"/>
  <c r="G22" i="234"/>
  <c r="E22" i="234"/>
  <c r="F22" i="234" s="1"/>
  <c r="J21" i="234"/>
  <c r="I21" i="234"/>
  <c r="H21" i="234"/>
  <c r="G21" i="234"/>
  <c r="E21" i="234"/>
  <c r="F21" i="234" s="1"/>
  <c r="J20" i="234"/>
  <c r="I20" i="234"/>
  <c r="H20" i="234"/>
  <c r="G20" i="234"/>
  <c r="E20" i="234"/>
  <c r="F20" i="234" s="1"/>
  <c r="J19" i="234"/>
  <c r="I19" i="234"/>
  <c r="H19" i="234"/>
  <c r="G19" i="234"/>
  <c r="E19" i="234"/>
  <c r="F19" i="234" s="1"/>
  <c r="C32" i="122"/>
  <c r="J27" i="122"/>
  <c r="H27" i="122"/>
  <c r="J26" i="122"/>
  <c r="I26" i="122"/>
  <c r="H26" i="122"/>
  <c r="G26" i="122"/>
  <c r="E26" i="122"/>
  <c r="F26" i="122" s="1"/>
  <c r="J25" i="122"/>
  <c r="I25" i="122"/>
  <c r="H25" i="122"/>
  <c r="G25" i="122"/>
  <c r="E25" i="122"/>
  <c r="F25" i="122" s="1"/>
  <c r="J24" i="122"/>
  <c r="H24" i="122"/>
  <c r="J23" i="122"/>
  <c r="I23" i="122"/>
  <c r="H23" i="122"/>
  <c r="G23" i="122"/>
  <c r="E23" i="122"/>
  <c r="F23" i="122" s="1"/>
  <c r="J22" i="122"/>
  <c r="I22" i="122"/>
  <c r="H22" i="122"/>
  <c r="G22" i="122"/>
  <c r="E22" i="122"/>
  <c r="F22" i="122" s="1"/>
  <c r="J21" i="122"/>
  <c r="I21" i="122"/>
  <c r="H21" i="122"/>
  <c r="G21" i="122"/>
  <c r="E21" i="122"/>
  <c r="F21" i="122" s="1"/>
  <c r="J20" i="122"/>
  <c r="I20" i="122"/>
  <c r="H20" i="122"/>
  <c r="G20" i="122"/>
  <c r="E20" i="122"/>
  <c r="F20" i="122" s="1"/>
  <c r="J19" i="122"/>
  <c r="I19" i="122"/>
  <c r="H19" i="122"/>
  <c r="G19" i="122"/>
  <c r="E19" i="122"/>
  <c r="F19" i="122" s="1"/>
  <c r="C37" i="388"/>
  <c r="J29" i="388"/>
  <c r="I29" i="388"/>
  <c r="H29" i="388"/>
  <c r="G29" i="388"/>
  <c r="E29" i="388"/>
  <c r="F29" i="388" s="1"/>
  <c r="J28" i="388"/>
  <c r="I28" i="388"/>
  <c r="H28" i="388"/>
  <c r="G28" i="388"/>
  <c r="E28" i="388"/>
  <c r="F28" i="388" s="1"/>
  <c r="J27" i="388"/>
  <c r="I27" i="388"/>
  <c r="H27" i="388"/>
  <c r="G27" i="388"/>
  <c r="E27" i="388"/>
  <c r="F27" i="388" s="1"/>
  <c r="J26" i="388"/>
  <c r="I26" i="388"/>
  <c r="H26" i="388"/>
  <c r="G26" i="388"/>
  <c r="E26" i="388"/>
  <c r="F26" i="388" s="1"/>
  <c r="J25" i="388"/>
  <c r="I25" i="388"/>
  <c r="H25" i="388"/>
  <c r="G25" i="388"/>
  <c r="E25" i="388"/>
  <c r="F25" i="388" s="1"/>
  <c r="J24" i="388"/>
  <c r="I24" i="388"/>
  <c r="H24" i="388"/>
  <c r="G24" i="388"/>
  <c r="E24" i="388"/>
  <c r="F24" i="388" s="1"/>
  <c r="J23" i="388"/>
  <c r="I23" i="388"/>
  <c r="H23" i="388"/>
  <c r="G23" i="388"/>
  <c r="E23" i="388"/>
  <c r="F23" i="388" s="1"/>
  <c r="J22" i="388"/>
  <c r="I22" i="388"/>
  <c r="H22" i="388"/>
  <c r="G22" i="388"/>
  <c r="E22" i="388"/>
  <c r="F22" i="388" s="1"/>
  <c r="J21" i="388"/>
  <c r="I21" i="388"/>
  <c r="H21" i="388"/>
  <c r="G21" i="388"/>
  <c r="E21" i="388"/>
  <c r="F21" i="388" s="1"/>
  <c r="J20" i="388"/>
  <c r="I20" i="388"/>
  <c r="H20" i="388"/>
  <c r="G20" i="388"/>
  <c r="F20" i="388"/>
  <c r="J19" i="388"/>
  <c r="I19" i="388"/>
  <c r="H19" i="388"/>
  <c r="G19" i="388"/>
  <c r="E19" i="388"/>
  <c r="F19" i="388" s="1"/>
  <c r="C37" i="387"/>
  <c r="J29" i="387"/>
  <c r="I29" i="387"/>
  <c r="H29" i="387"/>
  <c r="G29" i="387"/>
  <c r="E29" i="387"/>
  <c r="F29" i="387" s="1"/>
  <c r="J28" i="387"/>
  <c r="I28" i="387"/>
  <c r="H28" i="387"/>
  <c r="G28" i="387"/>
  <c r="E28" i="387"/>
  <c r="F28" i="387" s="1"/>
  <c r="J27" i="387"/>
  <c r="I27" i="387"/>
  <c r="H27" i="387"/>
  <c r="G27" i="387"/>
  <c r="E27" i="387"/>
  <c r="F27" i="387" s="1"/>
  <c r="J26" i="387"/>
  <c r="I26" i="387"/>
  <c r="H26" i="387"/>
  <c r="G26" i="387"/>
  <c r="E26" i="387"/>
  <c r="F26" i="387" s="1"/>
  <c r="J25" i="387"/>
  <c r="I25" i="387"/>
  <c r="H25" i="387"/>
  <c r="G25" i="387"/>
  <c r="E25" i="387"/>
  <c r="F25" i="387" s="1"/>
  <c r="J24" i="387"/>
  <c r="I24" i="387"/>
  <c r="H24" i="387"/>
  <c r="G24" i="387"/>
  <c r="E24" i="387"/>
  <c r="F24" i="387" s="1"/>
  <c r="J23" i="387"/>
  <c r="I23" i="387"/>
  <c r="H23" i="387"/>
  <c r="G23" i="387"/>
  <c r="E23" i="387"/>
  <c r="F23" i="387" s="1"/>
  <c r="J22" i="387"/>
  <c r="I22" i="387"/>
  <c r="H22" i="387"/>
  <c r="G22" i="387"/>
  <c r="E22" i="387"/>
  <c r="F22" i="387" s="1"/>
  <c r="J21" i="387"/>
  <c r="I21" i="387"/>
  <c r="H21" i="387"/>
  <c r="G21" i="387"/>
  <c r="E21" i="387"/>
  <c r="F21" i="387" s="1"/>
  <c r="J20" i="387"/>
  <c r="I20" i="387"/>
  <c r="H20" i="387"/>
  <c r="G20" i="387"/>
  <c r="F20" i="387"/>
  <c r="J19" i="387"/>
  <c r="I19" i="387"/>
  <c r="H19" i="387"/>
  <c r="G19" i="387"/>
  <c r="E19" i="387"/>
  <c r="F19" i="387" s="1"/>
  <c r="C37" i="378"/>
  <c r="J29" i="378"/>
  <c r="I29" i="378"/>
  <c r="H29" i="378"/>
  <c r="G29" i="378"/>
  <c r="E29" i="378"/>
  <c r="F29" i="378" s="1"/>
  <c r="J28" i="378"/>
  <c r="I28" i="378"/>
  <c r="H28" i="378"/>
  <c r="G28" i="378"/>
  <c r="E28" i="378"/>
  <c r="F28" i="378" s="1"/>
  <c r="J27" i="378"/>
  <c r="I27" i="378"/>
  <c r="H27" i="378"/>
  <c r="G27" i="378"/>
  <c r="E27" i="378"/>
  <c r="F27" i="378" s="1"/>
  <c r="J26" i="378"/>
  <c r="I26" i="378"/>
  <c r="H26" i="378"/>
  <c r="G26" i="378"/>
  <c r="E26" i="378"/>
  <c r="F26" i="378" s="1"/>
  <c r="J25" i="378"/>
  <c r="I25" i="378"/>
  <c r="H25" i="378"/>
  <c r="G25" i="378"/>
  <c r="E25" i="378"/>
  <c r="F25" i="378" s="1"/>
  <c r="J24" i="378"/>
  <c r="I24" i="378"/>
  <c r="H24" i="378"/>
  <c r="G24" i="378"/>
  <c r="E24" i="378"/>
  <c r="F24" i="378" s="1"/>
  <c r="J23" i="378"/>
  <c r="I23" i="378"/>
  <c r="H23" i="378"/>
  <c r="G23" i="378"/>
  <c r="E23" i="378"/>
  <c r="F23" i="378" s="1"/>
  <c r="J22" i="378"/>
  <c r="I22" i="378"/>
  <c r="H22" i="378"/>
  <c r="G22" i="378"/>
  <c r="E22" i="378"/>
  <c r="F22" i="378" s="1"/>
  <c r="J21" i="378"/>
  <c r="I21" i="378"/>
  <c r="H21" i="378"/>
  <c r="G21" i="378"/>
  <c r="E21" i="378"/>
  <c r="F21" i="378" s="1"/>
  <c r="J20" i="378"/>
  <c r="I20" i="378"/>
  <c r="H20" i="378"/>
  <c r="G20" i="378"/>
  <c r="F20" i="378"/>
  <c r="J19" i="378"/>
  <c r="I19" i="378"/>
  <c r="H19" i="378"/>
  <c r="G19" i="378"/>
  <c r="E19" i="378"/>
  <c r="F19" i="378" s="1"/>
  <c r="C31" i="194"/>
  <c r="J27" i="194"/>
  <c r="H27" i="194"/>
  <c r="J25" i="194"/>
  <c r="I25" i="194"/>
  <c r="H25" i="194"/>
  <c r="G25" i="194"/>
  <c r="E25" i="194"/>
  <c r="F25" i="194" s="1"/>
  <c r="J23" i="194"/>
  <c r="I23" i="194"/>
  <c r="H23" i="194"/>
  <c r="G23" i="194"/>
  <c r="E23" i="194"/>
  <c r="F23" i="194" s="1"/>
  <c r="J22" i="194"/>
  <c r="I22" i="194"/>
  <c r="H22" i="194"/>
  <c r="G22" i="194"/>
  <c r="E22" i="194"/>
  <c r="F22" i="194" s="1"/>
  <c r="J21" i="194"/>
  <c r="I21" i="194"/>
  <c r="H21" i="194"/>
  <c r="G21" i="194"/>
  <c r="E21" i="194"/>
  <c r="F21" i="194" s="1"/>
  <c r="J20" i="194"/>
  <c r="I20" i="194"/>
  <c r="H20" i="194"/>
  <c r="G20" i="194"/>
  <c r="E20" i="194"/>
  <c r="F20" i="194" s="1"/>
  <c r="J19" i="194"/>
  <c r="I19" i="194"/>
  <c r="H19" i="194"/>
  <c r="G19" i="194"/>
  <c r="E19" i="194"/>
  <c r="F19" i="194" s="1"/>
  <c r="C32" i="193"/>
  <c r="J28" i="193"/>
  <c r="H28" i="193"/>
  <c r="J27" i="193"/>
  <c r="I27" i="193"/>
  <c r="H27" i="193"/>
  <c r="G27" i="193"/>
  <c r="E27" i="193"/>
  <c r="F27" i="193" s="1"/>
  <c r="J25" i="193"/>
  <c r="I25" i="193"/>
  <c r="H25" i="193"/>
  <c r="G25" i="193"/>
  <c r="E25" i="193"/>
  <c r="F25" i="193" s="1"/>
  <c r="J24" i="193"/>
  <c r="I24" i="193"/>
  <c r="H24" i="193"/>
  <c r="G24" i="193"/>
  <c r="E24" i="193"/>
  <c r="F24" i="193" s="1"/>
  <c r="J23" i="193"/>
  <c r="I23" i="193"/>
  <c r="H23" i="193"/>
  <c r="G23" i="193"/>
  <c r="E23" i="193"/>
  <c r="F23" i="193" s="1"/>
  <c r="J22" i="193"/>
  <c r="I22" i="193"/>
  <c r="H22" i="193"/>
  <c r="G22" i="193"/>
  <c r="J21" i="193"/>
  <c r="I21" i="193"/>
  <c r="H21" i="193"/>
  <c r="G21" i="193"/>
  <c r="E21" i="193"/>
  <c r="F21" i="193" s="1"/>
  <c r="J20" i="193"/>
  <c r="I20" i="193"/>
  <c r="H20" i="193"/>
  <c r="G20" i="193"/>
  <c r="E20" i="193"/>
  <c r="F20" i="193" s="1"/>
  <c r="J19" i="193"/>
  <c r="I19" i="193"/>
  <c r="H19" i="193"/>
  <c r="G19" i="193"/>
  <c r="E19" i="193"/>
  <c r="F19" i="193" s="1"/>
  <c r="C32" i="337"/>
  <c r="J28" i="337"/>
  <c r="H28" i="337"/>
  <c r="J27" i="337"/>
  <c r="I27" i="337"/>
  <c r="H27" i="337"/>
  <c r="G27" i="337"/>
  <c r="F27" i="337"/>
  <c r="J26" i="337"/>
  <c r="H26" i="337"/>
  <c r="J25" i="337"/>
  <c r="I25" i="337"/>
  <c r="H25" i="337"/>
  <c r="G25" i="337"/>
  <c r="E25" i="337"/>
  <c r="F25" i="337" s="1"/>
  <c r="J24" i="337"/>
  <c r="I24" i="337"/>
  <c r="H24" i="337"/>
  <c r="G24" i="337"/>
  <c r="E24" i="337"/>
  <c r="F24" i="337" s="1"/>
  <c r="J23" i="337"/>
  <c r="I23" i="337"/>
  <c r="H23" i="337"/>
  <c r="G23" i="337"/>
  <c r="E23" i="337"/>
  <c r="F23" i="337" s="1"/>
  <c r="J22" i="337"/>
  <c r="I22" i="337"/>
  <c r="H22" i="337"/>
  <c r="G22" i="337"/>
  <c r="J21" i="337"/>
  <c r="I21" i="337"/>
  <c r="H21" i="337"/>
  <c r="G21" i="337"/>
  <c r="E21" i="337"/>
  <c r="F21" i="337" s="1"/>
  <c r="J20" i="337"/>
  <c r="I20" i="337"/>
  <c r="H20" i="337"/>
  <c r="G20" i="337"/>
  <c r="E20" i="337"/>
  <c r="F20" i="337" s="1"/>
  <c r="J19" i="337"/>
  <c r="I19" i="337"/>
  <c r="H19" i="337"/>
  <c r="G19" i="337"/>
  <c r="E19" i="337"/>
  <c r="F19" i="337" s="1"/>
  <c r="C34" i="336"/>
  <c r="J30" i="336"/>
  <c r="H30" i="336"/>
  <c r="J29" i="336"/>
  <c r="I29" i="336"/>
  <c r="H29" i="336"/>
  <c r="G29" i="336"/>
  <c r="E29" i="336"/>
  <c r="F29" i="336" s="1"/>
  <c r="J28" i="336"/>
  <c r="H28" i="336"/>
  <c r="J27" i="336"/>
  <c r="I27" i="336"/>
  <c r="H27" i="336"/>
  <c r="G27" i="336"/>
  <c r="E27" i="336"/>
  <c r="F27" i="336" s="1"/>
  <c r="J26" i="336"/>
  <c r="I26" i="336"/>
  <c r="H26" i="336"/>
  <c r="G26" i="336"/>
  <c r="E26" i="336"/>
  <c r="F26" i="336" s="1"/>
  <c r="J25" i="336"/>
  <c r="I25" i="336"/>
  <c r="H25" i="336"/>
  <c r="G25" i="336"/>
  <c r="E25" i="336"/>
  <c r="F25" i="336" s="1"/>
  <c r="J24" i="336"/>
  <c r="I24" i="336"/>
  <c r="H24" i="336"/>
  <c r="G24" i="336"/>
  <c r="E24" i="336"/>
  <c r="F24" i="336" s="1"/>
  <c r="J23" i="336"/>
  <c r="I23" i="336"/>
  <c r="H23" i="336"/>
  <c r="G23" i="336"/>
  <c r="E23" i="336"/>
  <c r="F23" i="336" s="1"/>
  <c r="J22" i="336"/>
  <c r="I22" i="336"/>
  <c r="H22" i="336"/>
  <c r="G22" i="336"/>
  <c r="J21" i="336"/>
  <c r="I21" i="336"/>
  <c r="H21" i="336"/>
  <c r="G21" i="336"/>
  <c r="E21" i="336"/>
  <c r="F21" i="336" s="1"/>
  <c r="J20" i="336"/>
  <c r="I20" i="336"/>
  <c r="H20" i="336"/>
  <c r="G20" i="336"/>
  <c r="E20" i="336"/>
  <c r="F20" i="336" s="1"/>
  <c r="J19" i="336"/>
  <c r="I19" i="336"/>
  <c r="H19" i="336"/>
  <c r="G19" i="336"/>
  <c r="E19" i="336"/>
  <c r="F19" i="336" s="1"/>
  <c r="C30" i="192"/>
  <c r="C30" i="191"/>
  <c r="J26" i="191"/>
  <c r="H26" i="191"/>
  <c r="J25" i="191"/>
  <c r="I25" i="191"/>
  <c r="H25" i="191"/>
  <c r="G25" i="191"/>
  <c r="E25" i="191"/>
  <c r="F25" i="191" s="1"/>
  <c r="I23" i="191"/>
  <c r="G23" i="191"/>
  <c r="E23" i="191"/>
  <c r="F23" i="191" s="1"/>
  <c r="D23" i="191"/>
  <c r="H23" i="191" s="1"/>
  <c r="J22" i="191"/>
  <c r="I22" i="191"/>
  <c r="H22" i="191"/>
  <c r="G22" i="191"/>
  <c r="E22" i="191"/>
  <c r="F22" i="191" s="1"/>
  <c r="J21" i="191"/>
  <c r="I21" i="191"/>
  <c r="H21" i="191"/>
  <c r="G21" i="191"/>
  <c r="E21" i="191"/>
  <c r="F21" i="191" s="1"/>
  <c r="J20" i="191"/>
  <c r="I20" i="191"/>
  <c r="H20" i="191"/>
  <c r="G20" i="191"/>
  <c r="E20" i="191"/>
  <c r="F20" i="191" s="1"/>
  <c r="J19" i="191"/>
  <c r="I19" i="191"/>
  <c r="H19" i="191"/>
  <c r="G19" i="191"/>
  <c r="C32" i="190"/>
  <c r="J28" i="190"/>
  <c r="H28" i="190"/>
  <c r="J25" i="190"/>
  <c r="I25" i="190"/>
  <c r="H25" i="190"/>
  <c r="G25" i="190"/>
  <c r="E25" i="190"/>
  <c r="F25" i="190" s="1"/>
  <c r="J24" i="190"/>
  <c r="H24" i="190"/>
  <c r="J23" i="190"/>
  <c r="I23" i="190"/>
  <c r="H23" i="190"/>
  <c r="G23" i="190"/>
  <c r="E23" i="190"/>
  <c r="F23" i="190" s="1"/>
  <c r="I21" i="190"/>
  <c r="G21" i="190"/>
  <c r="E21" i="190"/>
  <c r="F21" i="190" s="1"/>
  <c r="J20" i="190"/>
  <c r="I20" i="190"/>
  <c r="H20" i="190"/>
  <c r="G20" i="190"/>
  <c r="E20" i="190"/>
  <c r="F20" i="190" s="1"/>
  <c r="J19" i="190"/>
  <c r="I19" i="190"/>
  <c r="H19" i="190"/>
  <c r="G19" i="190"/>
  <c r="C26" i="189"/>
  <c r="J22" i="189"/>
  <c r="H22" i="189"/>
  <c r="I21" i="189"/>
  <c r="G21" i="189"/>
  <c r="E21" i="189"/>
  <c r="F21" i="189" s="1"/>
  <c r="D21" i="189"/>
  <c r="H21" i="189" s="1"/>
  <c r="C20" i="189"/>
  <c r="J19" i="189"/>
  <c r="I19" i="189"/>
  <c r="H19" i="189"/>
  <c r="G19" i="189"/>
  <c r="C30" i="188"/>
  <c r="J26" i="188"/>
  <c r="H26" i="188"/>
  <c r="J24" i="188"/>
  <c r="I24" i="188"/>
  <c r="H24" i="188"/>
  <c r="G24" i="188"/>
  <c r="E24" i="188"/>
  <c r="F24" i="188" s="1"/>
  <c r="J23" i="188"/>
  <c r="I23" i="188"/>
  <c r="H23" i="188"/>
  <c r="G23" i="188"/>
  <c r="E23" i="188"/>
  <c r="F23" i="188" s="1"/>
  <c r="J22" i="188"/>
  <c r="I22" i="188"/>
  <c r="H22" i="188"/>
  <c r="G22" i="188"/>
  <c r="E22" i="188"/>
  <c r="F22" i="188" s="1"/>
  <c r="J21" i="188"/>
  <c r="I21" i="188"/>
  <c r="H21" i="188"/>
  <c r="G21" i="188"/>
  <c r="E21" i="188"/>
  <c r="F21" i="188" s="1"/>
  <c r="J20" i="188"/>
  <c r="I20" i="188"/>
  <c r="H20" i="188"/>
  <c r="G20" i="188"/>
  <c r="E20" i="188"/>
  <c r="F20" i="188" s="1"/>
  <c r="J19" i="188"/>
  <c r="I19" i="188"/>
  <c r="H19" i="188"/>
  <c r="G19" i="188"/>
  <c r="C26" i="133"/>
  <c r="J22" i="133"/>
  <c r="H22" i="133"/>
  <c r="J21" i="133"/>
  <c r="I21" i="133"/>
  <c r="H21" i="133"/>
  <c r="G21" i="133"/>
  <c r="E21" i="133"/>
  <c r="F21" i="133" s="1"/>
  <c r="J20" i="133"/>
  <c r="I20" i="133"/>
  <c r="H20" i="133"/>
  <c r="G20" i="133"/>
  <c r="E20" i="133"/>
  <c r="F20" i="133" s="1"/>
  <c r="M20" i="133" s="1"/>
  <c r="J19" i="133"/>
  <c r="I19" i="133"/>
  <c r="H19" i="133"/>
  <c r="G19" i="133"/>
  <c r="C25" i="327"/>
  <c r="J21" i="327"/>
  <c r="H21" i="327"/>
  <c r="J20" i="327"/>
  <c r="I20" i="327"/>
  <c r="H20" i="327"/>
  <c r="G20" i="327"/>
  <c r="E20" i="327"/>
  <c r="F20" i="327" s="1"/>
  <c r="J19" i="327"/>
  <c r="I19" i="327"/>
  <c r="H19" i="327"/>
  <c r="G19" i="327"/>
  <c r="C26" i="134"/>
  <c r="J22" i="134"/>
  <c r="H22" i="134"/>
  <c r="E21" i="134"/>
  <c r="C21" i="134"/>
  <c r="DC150" i="147" s="1"/>
  <c r="C20" i="134"/>
  <c r="I20" i="134" s="1"/>
  <c r="J19" i="134"/>
  <c r="I19" i="134"/>
  <c r="H19" i="134"/>
  <c r="G19" i="134"/>
  <c r="E19" i="134"/>
  <c r="F19" i="134" s="1"/>
  <c r="C34" i="341"/>
  <c r="J30" i="341"/>
  <c r="H30" i="341"/>
  <c r="J29" i="341"/>
  <c r="I29" i="341"/>
  <c r="H29" i="341"/>
  <c r="G29" i="341"/>
  <c r="E29" i="341"/>
  <c r="F29" i="341" s="1"/>
  <c r="J28" i="341"/>
  <c r="H28" i="341"/>
  <c r="J27" i="341"/>
  <c r="H27" i="341"/>
  <c r="J26" i="341"/>
  <c r="I26" i="341"/>
  <c r="H26" i="341"/>
  <c r="G26" i="341"/>
  <c r="E26" i="341"/>
  <c r="F26" i="341" s="1"/>
  <c r="J25" i="341"/>
  <c r="I25" i="341"/>
  <c r="H25" i="341"/>
  <c r="G25" i="341"/>
  <c r="E25" i="341"/>
  <c r="F25" i="341" s="1"/>
  <c r="J24" i="341"/>
  <c r="I24" i="341"/>
  <c r="H24" i="341"/>
  <c r="G24" i="341"/>
  <c r="E24" i="341"/>
  <c r="F24" i="341" s="1"/>
  <c r="J23" i="341"/>
  <c r="I23" i="341"/>
  <c r="H23" i="341"/>
  <c r="G23" i="341"/>
  <c r="E23" i="341"/>
  <c r="F23" i="341" s="1"/>
  <c r="J22" i="341"/>
  <c r="I22" i="341"/>
  <c r="H22" i="341"/>
  <c r="G22" i="341"/>
  <c r="J21" i="341"/>
  <c r="I21" i="341"/>
  <c r="H21" i="341"/>
  <c r="G21" i="341"/>
  <c r="E21" i="341"/>
  <c r="F21" i="341" s="1"/>
  <c r="J20" i="341"/>
  <c r="I20" i="341"/>
  <c r="H20" i="341"/>
  <c r="G20" i="341"/>
  <c r="F20" i="341"/>
  <c r="J19" i="341"/>
  <c r="I19" i="341"/>
  <c r="H19" i="341"/>
  <c r="G19" i="341"/>
  <c r="E19" i="341"/>
  <c r="F19" i="341" s="1"/>
  <c r="C34" i="342"/>
  <c r="J30" i="342"/>
  <c r="H30" i="342"/>
  <c r="J29" i="342"/>
  <c r="I29" i="342"/>
  <c r="H29" i="342"/>
  <c r="G29" i="342"/>
  <c r="E29" i="342"/>
  <c r="F29" i="342" s="1"/>
  <c r="J28" i="342"/>
  <c r="H28" i="342"/>
  <c r="J27" i="342"/>
  <c r="H27" i="342"/>
  <c r="J26" i="342"/>
  <c r="I26" i="342"/>
  <c r="H26" i="342"/>
  <c r="G26" i="342"/>
  <c r="E26" i="342"/>
  <c r="F26" i="342" s="1"/>
  <c r="J25" i="342"/>
  <c r="I25" i="342"/>
  <c r="H25" i="342"/>
  <c r="G25" i="342"/>
  <c r="E25" i="342"/>
  <c r="F25" i="342" s="1"/>
  <c r="J24" i="342"/>
  <c r="I24" i="342"/>
  <c r="H24" i="342"/>
  <c r="G24" i="342"/>
  <c r="E24" i="342"/>
  <c r="F24" i="342" s="1"/>
  <c r="J23" i="342"/>
  <c r="I23" i="342"/>
  <c r="H23" i="342"/>
  <c r="G23" i="342"/>
  <c r="E23" i="342"/>
  <c r="F23" i="342" s="1"/>
  <c r="J22" i="342"/>
  <c r="I22" i="342"/>
  <c r="H22" i="342"/>
  <c r="G22" i="342"/>
  <c r="J21" i="342"/>
  <c r="I21" i="342"/>
  <c r="H21" i="342"/>
  <c r="G21" i="342"/>
  <c r="E21" i="342"/>
  <c r="F21" i="342" s="1"/>
  <c r="J20" i="342"/>
  <c r="I20" i="342"/>
  <c r="H20" i="342"/>
  <c r="G20" i="342"/>
  <c r="F20" i="342"/>
  <c r="J19" i="342"/>
  <c r="I19" i="342"/>
  <c r="H19" i="342"/>
  <c r="G19" i="342"/>
  <c r="E19" i="342"/>
  <c r="F19" i="342" s="1"/>
  <c r="C34" i="335"/>
  <c r="J30" i="335"/>
  <c r="H30" i="335"/>
  <c r="J29" i="335"/>
  <c r="I29" i="335"/>
  <c r="H29" i="335"/>
  <c r="G29" i="335"/>
  <c r="E29" i="335"/>
  <c r="F29" i="335" s="1"/>
  <c r="J28" i="335"/>
  <c r="H28" i="335"/>
  <c r="J27" i="335"/>
  <c r="H27" i="335"/>
  <c r="J26" i="335"/>
  <c r="I26" i="335"/>
  <c r="H26" i="335"/>
  <c r="G26" i="335"/>
  <c r="E26" i="335"/>
  <c r="F26" i="335" s="1"/>
  <c r="J25" i="335"/>
  <c r="I25" i="335"/>
  <c r="H25" i="335"/>
  <c r="G25" i="335"/>
  <c r="E25" i="335"/>
  <c r="F25" i="335" s="1"/>
  <c r="J24" i="335"/>
  <c r="I24" i="335"/>
  <c r="H24" i="335"/>
  <c r="G24" i="335"/>
  <c r="E24" i="335"/>
  <c r="F24" i="335" s="1"/>
  <c r="J23" i="335"/>
  <c r="I23" i="335"/>
  <c r="H23" i="335"/>
  <c r="G23" i="335"/>
  <c r="E23" i="335"/>
  <c r="F23" i="335" s="1"/>
  <c r="J22" i="335"/>
  <c r="I22" i="335"/>
  <c r="H22" i="335"/>
  <c r="G22" i="335"/>
  <c r="J21" i="335"/>
  <c r="I21" i="335"/>
  <c r="H21" i="335"/>
  <c r="G21" i="335"/>
  <c r="E21" i="335"/>
  <c r="F21" i="335" s="1"/>
  <c r="J20" i="335"/>
  <c r="I20" i="335"/>
  <c r="H20" i="335"/>
  <c r="G20" i="335"/>
  <c r="F20" i="335"/>
  <c r="J19" i="335"/>
  <c r="I19" i="335"/>
  <c r="H19" i="335"/>
  <c r="G19" i="335"/>
  <c r="E19" i="335"/>
  <c r="F19" i="335" s="1"/>
  <c r="C34" i="334"/>
  <c r="J30" i="334"/>
  <c r="H30" i="334"/>
  <c r="J29" i="334"/>
  <c r="I29" i="334"/>
  <c r="H29" i="334"/>
  <c r="G29" i="334"/>
  <c r="E29" i="334"/>
  <c r="F29" i="334" s="1"/>
  <c r="J28" i="334"/>
  <c r="H28" i="334"/>
  <c r="J27" i="334"/>
  <c r="H27" i="334"/>
  <c r="J26" i="334"/>
  <c r="I26" i="334"/>
  <c r="H26" i="334"/>
  <c r="G26" i="334"/>
  <c r="E26" i="334"/>
  <c r="F26" i="334" s="1"/>
  <c r="J25" i="334"/>
  <c r="I25" i="334"/>
  <c r="H25" i="334"/>
  <c r="G25" i="334"/>
  <c r="E25" i="334"/>
  <c r="F25" i="334" s="1"/>
  <c r="J24" i="334"/>
  <c r="I24" i="334"/>
  <c r="H24" i="334"/>
  <c r="G24" i="334"/>
  <c r="E24" i="334"/>
  <c r="F24" i="334" s="1"/>
  <c r="J23" i="334"/>
  <c r="I23" i="334"/>
  <c r="H23" i="334"/>
  <c r="G23" i="334"/>
  <c r="E23" i="334"/>
  <c r="F23" i="334" s="1"/>
  <c r="J22" i="334"/>
  <c r="I22" i="334"/>
  <c r="H22" i="334"/>
  <c r="G22" i="334"/>
  <c r="J21" i="334"/>
  <c r="I21" i="334"/>
  <c r="H21" i="334"/>
  <c r="G21" i="334"/>
  <c r="E21" i="334"/>
  <c r="F21" i="334" s="1"/>
  <c r="J20" i="334"/>
  <c r="I20" i="334"/>
  <c r="H20" i="334"/>
  <c r="G20" i="334"/>
  <c r="F20" i="334"/>
  <c r="J19" i="334"/>
  <c r="I19" i="334"/>
  <c r="H19" i="334"/>
  <c r="G19" i="334"/>
  <c r="E19" i="334"/>
  <c r="F19" i="334" s="1"/>
  <c r="C35" i="433"/>
  <c r="J31" i="433"/>
  <c r="H31" i="433"/>
  <c r="J30" i="433"/>
  <c r="I30" i="433"/>
  <c r="H30" i="433"/>
  <c r="G30" i="433"/>
  <c r="E30" i="433"/>
  <c r="F30" i="433" s="1"/>
  <c r="J29" i="433"/>
  <c r="H29" i="433"/>
  <c r="J28" i="433"/>
  <c r="H28" i="433"/>
  <c r="J27" i="433"/>
  <c r="I27" i="433"/>
  <c r="H27" i="433"/>
  <c r="G27" i="433"/>
  <c r="E27" i="433"/>
  <c r="F27" i="433" s="1"/>
  <c r="J26" i="433"/>
  <c r="I26" i="433"/>
  <c r="H26" i="433"/>
  <c r="G26" i="433"/>
  <c r="E26" i="433"/>
  <c r="F26" i="433" s="1"/>
  <c r="J25" i="433"/>
  <c r="I25" i="433"/>
  <c r="H25" i="433"/>
  <c r="G25" i="433"/>
  <c r="E25" i="433"/>
  <c r="F25" i="433" s="1"/>
  <c r="D24" i="433"/>
  <c r="C24" i="433"/>
  <c r="AE140" i="147" s="1"/>
  <c r="AE510" i="147" s="1"/>
  <c r="J23" i="433"/>
  <c r="I23" i="433"/>
  <c r="H23" i="433"/>
  <c r="G23" i="433"/>
  <c r="E23" i="433"/>
  <c r="F23" i="433" s="1"/>
  <c r="J22" i="433"/>
  <c r="I22" i="433"/>
  <c r="H22" i="433"/>
  <c r="G22" i="433"/>
  <c r="E22" i="433"/>
  <c r="F22" i="433" s="1"/>
  <c r="J20" i="433"/>
  <c r="I20" i="433"/>
  <c r="H20" i="433"/>
  <c r="G20" i="433"/>
  <c r="F20" i="433"/>
  <c r="J19" i="433"/>
  <c r="I19" i="433"/>
  <c r="H19" i="433"/>
  <c r="G19" i="433"/>
  <c r="E19" i="433"/>
  <c r="F19" i="433" s="1"/>
  <c r="C35" i="432"/>
  <c r="J31" i="432"/>
  <c r="H31" i="432"/>
  <c r="J30" i="432"/>
  <c r="I30" i="432"/>
  <c r="H30" i="432"/>
  <c r="G30" i="432"/>
  <c r="E30" i="432"/>
  <c r="F30" i="432" s="1"/>
  <c r="J29" i="432"/>
  <c r="H29" i="432"/>
  <c r="J28" i="432"/>
  <c r="H28" i="432"/>
  <c r="J27" i="432"/>
  <c r="I27" i="432"/>
  <c r="H27" i="432"/>
  <c r="G27" i="432"/>
  <c r="E27" i="432"/>
  <c r="F27" i="432" s="1"/>
  <c r="J26" i="432"/>
  <c r="I26" i="432"/>
  <c r="H26" i="432"/>
  <c r="G26" i="432"/>
  <c r="E26" i="432"/>
  <c r="F26" i="432" s="1"/>
  <c r="J25" i="432"/>
  <c r="I25" i="432"/>
  <c r="H25" i="432"/>
  <c r="G25" i="432"/>
  <c r="E25" i="432"/>
  <c r="F25" i="432" s="1"/>
  <c r="D24" i="432"/>
  <c r="H24" i="432" s="1"/>
  <c r="C24" i="432"/>
  <c r="AE139" i="147" s="1"/>
  <c r="AE509" i="147" s="1"/>
  <c r="J23" i="432"/>
  <c r="I23" i="432"/>
  <c r="H23" i="432"/>
  <c r="G23" i="432"/>
  <c r="E23" i="432"/>
  <c r="F23" i="432" s="1"/>
  <c r="J22" i="432"/>
  <c r="I22" i="432"/>
  <c r="H22" i="432"/>
  <c r="G22" i="432"/>
  <c r="E22" i="432"/>
  <c r="F22" i="432" s="1"/>
  <c r="J20" i="432"/>
  <c r="I20" i="432"/>
  <c r="H20" i="432"/>
  <c r="G20" i="432"/>
  <c r="F20" i="432"/>
  <c r="J19" i="432"/>
  <c r="I19" i="432"/>
  <c r="H19" i="432"/>
  <c r="G19" i="432"/>
  <c r="E19" i="432"/>
  <c r="F19" i="432" s="1"/>
  <c r="C35" i="431"/>
  <c r="J31" i="431"/>
  <c r="H31" i="431"/>
  <c r="J30" i="431"/>
  <c r="I30" i="431"/>
  <c r="H30" i="431"/>
  <c r="G30" i="431"/>
  <c r="E30" i="431"/>
  <c r="F30" i="431" s="1"/>
  <c r="J29" i="431"/>
  <c r="H29" i="431"/>
  <c r="J28" i="431"/>
  <c r="H28" i="431"/>
  <c r="J27" i="431"/>
  <c r="I27" i="431"/>
  <c r="H27" i="431"/>
  <c r="G27" i="431"/>
  <c r="E27" i="431"/>
  <c r="F27" i="431" s="1"/>
  <c r="J26" i="431"/>
  <c r="I26" i="431"/>
  <c r="H26" i="431"/>
  <c r="G26" i="431"/>
  <c r="E26" i="431"/>
  <c r="F26" i="431" s="1"/>
  <c r="J25" i="431"/>
  <c r="I25" i="431"/>
  <c r="H25" i="431"/>
  <c r="G25" i="431"/>
  <c r="E25" i="431"/>
  <c r="F25" i="431" s="1"/>
  <c r="D24" i="431"/>
  <c r="C24" i="431"/>
  <c r="I24" i="431" s="1"/>
  <c r="J23" i="431"/>
  <c r="I23" i="431"/>
  <c r="H23" i="431"/>
  <c r="G23" i="431"/>
  <c r="E23" i="431"/>
  <c r="F23" i="431" s="1"/>
  <c r="J22" i="431"/>
  <c r="I22" i="431"/>
  <c r="H22" i="431"/>
  <c r="G22" i="431"/>
  <c r="E22" i="431"/>
  <c r="F22" i="431" s="1"/>
  <c r="J20" i="431"/>
  <c r="I20" i="431"/>
  <c r="H20" i="431"/>
  <c r="G20" i="431"/>
  <c r="F20" i="431"/>
  <c r="J19" i="431"/>
  <c r="I19" i="431"/>
  <c r="H19" i="431"/>
  <c r="G19" i="431"/>
  <c r="E19" i="431"/>
  <c r="F19" i="431" s="1"/>
  <c r="C35" i="430"/>
  <c r="J31" i="430"/>
  <c r="H31" i="430"/>
  <c r="J30" i="430"/>
  <c r="I30" i="430"/>
  <c r="H30" i="430"/>
  <c r="G30" i="430"/>
  <c r="E30" i="430"/>
  <c r="F30" i="430" s="1"/>
  <c r="J29" i="430"/>
  <c r="H29" i="430"/>
  <c r="J28" i="430"/>
  <c r="H28" i="430"/>
  <c r="J27" i="430"/>
  <c r="I27" i="430"/>
  <c r="H27" i="430"/>
  <c r="G27" i="430"/>
  <c r="E27" i="430"/>
  <c r="F27" i="430" s="1"/>
  <c r="J26" i="430"/>
  <c r="I26" i="430"/>
  <c r="H26" i="430"/>
  <c r="G26" i="430"/>
  <c r="E26" i="430"/>
  <c r="F26" i="430" s="1"/>
  <c r="J25" i="430"/>
  <c r="I25" i="430"/>
  <c r="H25" i="430"/>
  <c r="G25" i="430"/>
  <c r="E25" i="430"/>
  <c r="F25" i="430" s="1"/>
  <c r="D24" i="430"/>
  <c r="J24" i="430" s="1"/>
  <c r="C24" i="430"/>
  <c r="G24" i="430" s="1"/>
  <c r="J23" i="430"/>
  <c r="I23" i="430"/>
  <c r="H23" i="430"/>
  <c r="G23" i="430"/>
  <c r="E23" i="430"/>
  <c r="F23" i="430" s="1"/>
  <c r="J22" i="430"/>
  <c r="I22" i="430"/>
  <c r="H22" i="430"/>
  <c r="G22" i="430"/>
  <c r="E22" i="430"/>
  <c r="F22" i="430" s="1"/>
  <c r="J20" i="430"/>
  <c r="I20" i="430"/>
  <c r="H20" i="430"/>
  <c r="G20" i="430"/>
  <c r="F20" i="430"/>
  <c r="J19" i="430"/>
  <c r="I19" i="430"/>
  <c r="H19" i="430"/>
  <c r="G19" i="430"/>
  <c r="E19" i="430"/>
  <c r="F19" i="430" s="1"/>
  <c r="C31" i="1"/>
  <c r="J27" i="1"/>
  <c r="H27" i="1"/>
  <c r="J26" i="1"/>
  <c r="I26" i="1"/>
  <c r="H26" i="1"/>
  <c r="G26" i="1"/>
  <c r="E26" i="1"/>
  <c r="F26" i="1" s="1"/>
  <c r="J25" i="1"/>
  <c r="I25" i="1"/>
  <c r="H25" i="1"/>
  <c r="G25" i="1"/>
  <c r="E25" i="1"/>
  <c r="F25" i="1" s="1"/>
  <c r="J24" i="1"/>
  <c r="H24" i="1"/>
  <c r="J23" i="1"/>
  <c r="I23" i="1"/>
  <c r="H23" i="1"/>
  <c r="G23" i="1"/>
  <c r="E23" i="1"/>
  <c r="F23" i="1" s="1"/>
  <c r="J22" i="1"/>
  <c r="I22" i="1"/>
  <c r="H22" i="1"/>
  <c r="G22" i="1"/>
  <c r="E22" i="1"/>
  <c r="F22" i="1" s="1"/>
  <c r="J21" i="1"/>
  <c r="I21" i="1"/>
  <c r="H21" i="1"/>
  <c r="G21" i="1"/>
  <c r="E21" i="1"/>
  <c r="F21" i="1" s="1"/>
  <c r="J20" i="1"/>
  <c r="I20" i="1"/>
  <c r="H20" i="1"/>
  <c r="G20" i="1"/>
  <c r="F20" i="1"/>
  <c r="J19" i="1"/>
  <c r="I19" i="1"/>
  <c r="H19" i="1"/>
  <c r="G19" i="1"/>
  <c r="E19" i="1"/>
  <c r="F19" i="1" s="1"/>
  <c r="C30" i="339"/>
  <c r="J26" i="339"/>
  <c r="H26" i="339"/>
  <c r="J25" i="339"/>
  <c r="I25" i="339"/>
  <c r="H25" i="339"/>
  <c r="G25" i="339"/>
  <c r="E25" i="339"/>
  <c r="F25" i="339" s="1"/>
  <c r="J24" i="339"/>
  <c r="I24" i="339"/>
  <c r="H24" i="339"/>
  <c r="G24" i="339"/>
  <c r="E24" i="339"/>
  <c r="F24" i="339" s="1"/>
  <c r="J23" i="339"/>
  <c r="H23" i="339"/>
  <c r="J22" i="339"/>
  <c r="I22" i="339"/>
  <c r="H22" i="339"/>
  <c r="G22" i="339"/>
  <c r="E22" i="339"/>
  <c r="F22" i="339" s="1"/>
  <c r="J21" i="339"/>
  <c r="I21" i="339"/>
  <c r="H21" i="339"/>
  <c r="G21" i="339"/>
  <c r="F21" i="339"/>
  <c r="J20" i="339"/>
  <c r="I20" i="339"/>
  <c r="H20" i="339"/>
  <c r="G20" i="339"/>
  <c r="E20" i="339"/>
  <c r="F20" i="339" s="1"/>
  <c r="J19" i="339"/>
  <c r="I19" i="339"/>
  <c r="H19" i="339"/>
  <c r="G19" i="339"/>
  <c r="E19" i="339"/>
  <c r="F19" i="339" s="1"/>
  <c r="C30" i="319"/>
  <c r="J26" i="319"/>
  <c r="H26" i="319"/>
  <c r="J25" i="319"/>
  <c r="I25" i="319"/>
  <c r="H25" i="319"/>
  <c r="G25" i="319"/>
  <c r="E25" i="319"/>
  <c r="F25" i="319" s="1"/>
  <c r="J24" i="319"/>
  <c r="I24" i="319"/>
  <c r="H24" i="319"/>
  <c r="G24" i="319"/>
  <c r="E24" i="319"/>
  <c r="F24" i="319" s="1"/>
  <c r="J23" i="319"/>
  <c r="H23" i="319"/>
  <c r="J22" i="319"/>
  <c r="I22" i="319"/>
  <c r="H22" i="319"/>
  <c r="G22" i="319"/>
  <c r="E22" i="319"/>
  <c r="F22" i="319" s="1"/>
  <c r="J21" i="319"/>
  <c r="I21" i="319"/>
  <c r="H21" i="319"/>
  <c r="G21" i="319"/>
  <c r="F21" i="319"/>
  <c r="J20" i="319"/>
  <c r="I20" i="319"/>
  <c r="H20" i="319"/>
  <c r="G20" i="319"/>
  <c r="E20" i="319"/>
  <c r="F20" i="319" s="1"/>
  <c r="J19" i="319"/>
  <c r="I19" i="319"/>
  <c r="H19" i="319"/>
  <c r="G19" i="319"/>
  <c r="E19" i="319"/>
  <c r="F19" i="319" s="1"/>
  <c r="C30" i="321"/>
  <c r="J26" i="321"/>
  <c r="H26" i="321"/>
  <c r="J25" i="321"/>
  <c r="I25" i="321"/>
  <c r="H25" i="321"/>
  <c r="G25" i="321"/>
  <c r="E25" i="321"/>
  <c r="F25" i="321" s="1"/>
  <c r="J24" i="321"/>
  <c r="I24" i="321"/>
  <c r="H24" i="321"/>
  <c r="G24" i="321"/>
  <c r="E24" i="321"/>
  <c r="F24" i="321" s="1"/>
  <c r="J23" i="321"/>
  <c r="H23" i="321"/>
  <c r="J22" i="321"/>
  <c r="I22" i="321"/>
  <c r="H22" i="321"/>
  <c r="G22" i="321"/>
  <c r="E22" i="321"/>
  <c r="F22" i="321" s="1"/>
  <c r="J21" i="321"/>
  <c r="I21" i="321"/>
  <c r="H21" i="321"/>
  <c r="G21" i="321"/>
  <c r="F21" i="321"/>
  <c r="J20" i="321"/>
  <c r="I20" i="321"/>
  <c r="H20" i="321"/>
  <c r="G20" i="321"/>
  <c r="E20" i="321"/>
  <c r="F20" i="321" s="1"/>
  <c r="J19" i="321"/>
  <c r="I19" i="321"/>
  <c r="H19" i="321"/>
  <c r="G19" i="321"/>
  <c r="E19" i="321"/>
  <c r="F19" i="321" s="1"/>
  <c r="C30" i="320"/>
  <c r="J26" i="320"/>
  <c r="H26" i="320"/>
  <c r="J25" i="320"/>
  <c r="I25" i="320"/>
  <c r="H25" i="320"/>
  <c r="G25" i="320"/>
  <c r="E25" i="320"/>
  <c r="F25" i="320" s="1"/>
  <c r="J24" i="320"/>
  <c r="I24" i="320"/>
  <c r="H24" i="320"/>
  <c r="G24" i="320"/>
  <c r="E24" i="320"/>
  <c r="F24" i="320" s="1"/>
  <c r="J23" i="320"/>
  <c r="H23" i="320"/>
  <c r="J22" i="320"/>
  <c r="I22" i="320"/>
  <c r="H22" i="320"/>
  <c r="G22" i="320"/>
  <c r="E22" i="320"/>
  <c r="F22" i="320" s="1"/>
  <c r="J21" i="320"/>
  <c r="I21" i="320"/>
  <c r="H21" i="320"/>
  <c r="G21" i="320"/>
  <c r="F21" i="320"/>
  <c r="J20" i="320"/>
  <c r="I20" i="320"/>
  <c r="H20" i="320"/>
  <c r="G20" i="320"/>
  <c r="E20" i="320"/>
  <c r="F20" i="320" s="1"/>
  <c r="J19" i="320"/>
  <c r="I19" i="320"/>
  <c r="H19" i="320"/>
  <c r="G19" i="320"/>
  <c r="E19" i="320"/>
  <c r="F19" i="320" s="1"/>
  <c r="C30" i="159"/>
  <c r="J26" i="159"/>
  <c r="H26" i="159"/>
  <c r="J25" i="159"/>
  <c r="I25" i="159"/>
  <c r="H25" i="159"/>
  <c r="G25" i="159"/>
  <c r="E25" i="159"/>
  <c r="F25" i="159" s="1"/>
  <c r="J24" i="159"/>
  <c r="I24" i="159"/>
  <c r="H24" i="159"/>
  <c r="G24" i="159"/>
  <c r="E24" i="159"/>
  <c r="F24" i="159" s="1"/>
  <c r="J23" i="159"/>
  <c r="H23" i="159"/>
  <c r="J22" i="159"/>
  <c r="I22" i="159"/>
  <c r="H22" i="159"/>
  <c r="G22" i="159"/>
  <c r="E22" i="159"/>
  <c r="F22" i="159" s="1"/>
  <c r="J21" i="159"/>
  <c r="I21" i="159"/>
  <c r="H21" i="159"/>
  <c r="G21" i="159"/>
  <c r="F21" i="159"/>
  <c r="J20" i="159"/>
  <c r="I20" i="159"/>
  <c r="H20" i="159"/>
  <c r="G20" i="159"/>
  <c r="E20" i="159"/>
  <c r="F20" i="159" s="1"/>
  <c r="J19" i="159"/>
  <c r="I19" i="159"/>
  <c r="H19" i="159"/>
  <c r="G19" i="159"/>
  <c r="E19" i="159"/>
  <c r="F19" i="159" s="1"/>
  <c r="C30" i="142"/>
  <c r="J26" i="142"/>
  <c r="H26" i="142"/>
  <c r="J25" i="142"/>
  <c r="I25" i="142"/>
  <c r="H25" i="142"/>
  <c r="G25" i="142"/>
  <c r="E25" i="142"/>
  <c r="F25" i="142" s="1"/>
  <c r="J24" i="142"/>
  <c r="I24" i="142"/>
  <c r="H24" i="142"/>
  <c r="G24" i="142"/>
  <c r="E24" i="142"/>
  <c r="F24" i="142" s="1"/>
  <c r="J23" i="142"/>
  <c r="H23" i="142"/>
  <c r="J22" i="142"/>
  <c r="I22" i="142"/>
  <c r="H22" i="142"/>
  <c r="G22" i="142"/>
  <c r="E22" i="142"/>
  <c r="F22" i="142" s="1"/>
  <c r="J21" i="142"/>
  <c r="I21" i="142"/>
  <c r="H21" i="142"/>
  <c r="G21" i="142"/>
  <c r="F21" i="142"/>
  <c r="J20" i="142"/>
  <c r="I20" i="142"/>
  <c r="H20" i="142"/>
  <c r="G20" i="142"/>
  <c r="E20" i="142"/>
  <c r="F20" i="142" s="1"/>
  <c r="J19" i="142"/>
  <c r="I19" i="142"/>
  <c r="H19" i="142"/>
  <c r="G19" i="142"/>
  <c r="E19" i="142"/>
  <c r="F19" i="142" s="1"/>
  <c r="C30" i="395"/>
  <c r="J26" i="395"/>
  <c r="H26" i="395"/>
  <c r="J25" i="395"/>
  <c r="I25" i="395"/>
  <c r="H25" i="395"/>
  <c r="G25" i="395"/>
  <c r="E25" i="395"/>
  <c r="F25" i="395" s="1"/>
  <c r="J24" i="395"/>
  <c r="H24" i="395"/>
  <c r="J23" i="395"/>
  <c r="I23" i="395"/>
  <c r="H23" i="395"/>
  <c r="G23" i="395"/>
  <c r="E23" i="395"/>
  <c r="F23" i="395" s="1"/>
  <c r="J22" i="395"/>
  <c r="I22" i="395"/>
  <c r="H22" i="395"/>
  <c r="G22" i="395"/>
  <c r="E22" i="395"/>
  <c r="F22" i="395" s="1"/>
  <c r="J21" i="395"/>
  <c r="I21" i="395"/>
  <c r="H21" i="395"/>
  <c r="G21" i="395"/>
  <c r="F21" i="395"/>
  <c r="J20" i="395"/>
  <c r="I20" i="395"/>
  <c r="H20" i="395"/>
  <c r="G20" i="395"/>
  <c r="E20" i="395"/>
  <c r="F20" i="395" s="1"/>
  <c r="J19" i="395"/>
  <c r="I19" i="395"/>
  <c r="H19" i="395"/>
  <c r="G19" i="395"/>
  <c r="E19" i="395"/>
  <c r="F19" i="395" s="1"/>
  <c r="C31" i="187"/>
  <c r="J27" i="187"/>
  <c r="H27" i="187"/>
  <c r="J26" i="187"/>
  <c r="I26" i="187"/>
  <c r="H26" i="187"/>
  <c r="G26" i="187"/>
  <c r="E26" i="187"/>
  <c r="F26" i="187" s="1"/>
  <c r="J25" i="187"/>
  <c r="I25" i="187"/>
  <c r="H25" i="187"/>
  <c r="G25" i="187"/>
  <c r="E25" i="187"/>
  <c r="F25" i="187" s="1"/>
  <c r="J24" i="187"/>
  <c r="H24" i="187"/>
  <c r="J23" i="187"/>
  <c r="I23" i="187"/>
  <c r="H23" i="187"/>
  <c r="G23" i="187"/>
  <c r="E23" i="187"/>
  <c r="F23" i="187" s="1"/>
  <c r="J22" i="187"/>
  <c r="I22" i="187"/>
  <c r="H22" i="187"/>
  <c r="G22" i="187"/>
  <c r="E22" i="187"/>
  <c r="F22" i="187" s="1"/>
  <c r="J21" i="187"/>
  <c r="I21" i="187"/>
  <c r="H21" i="187"/>
  <c r="G21" i="187"/>
  <c r="F21" i="187"/>
  <c r="J20" i="187"/>
  <c r="I20" i="187"/>
  <c r="H20" i="187"/>
  <c r="G20" i="187"/>
  <c r="E20" i="187"/>
  <c r="F20" i="187" s="1"/>
  <c r="J19" i="187"/>
  <c r="I19" i="187"/>
  <c r="H19" i="187"/>
  <c r="G19" i="187"/>
  <c r="E19" i="187"/>
  <c r="F19" i="187" s="1"/>
  <c r="C31" i="123"/>
  <c r="J27" i="123"/>
  <c r="H27" i="123"/>
  <c r="J26" i="123"/>
  <c r="I26" i="123"/>
  <c r="H26" i="123"/>
  <c r="G26" i="123"/>
  <c r="E26" i="123"/>
  <c r="F26" i="123" s="1"/>
  <c r="J25" i="123"/>
  <c r="I25" i="123"/>
  <c r="H25" i="123"/>
  <c r="G25" i="123"/>
  <c r="E25" i="123"/>
  <c r="F25" i="123" s="1"/>
  <c r="J24" i="123"/>
  <c r="H24" i="123"/>
  <c r="J23" i="123"/>
  <c r="I23" i="123"/>
  <c r="H23" i="123"/>
  <c r="G23" i="123"/>
  <c r="E23" i="123"/>
  <c r="F23" i="123" s="1"/>
  <c r="J22" i="123"/>
  <c r="I22" i="123"/>
  <c r="H22" i="123"/>
  <c r="G22" i="123"/>
  <c r="E22" i="123"/>
  <c r="F22" i="123" s="1"/>
  <c r="J21" i="123"/>
  <c r="I21" i="123"/>
  <c r="H21" i="123"/>
  <c r="G21" i="123"/>
  <c r="F21" i="123"/>
  <c r="J20" i="123"/>
  <c r="I20" i="123"/>
  <c r="H20" i="123"/>
  <c r="G20" i="123"/>
  <c r="E20" i="123"/>
  <c r="F20" i="123" s="1"/>
  <c r="J19" i="123"/>
  <c r="I19" i="123"/>
  <c r="H19" i="123"/>
  <c r="G19" i="123"/>
  <c r="E19" i="123"/>
  <c r="F19" i="123" s="1"/>
  <c r="C31" i="445"/>
  <c r="J27" i="445"/>
  <c r="H27" i="445"/>
  <c r="J26" i="445"/>
  <c r="I26" i="445"/>
  <c r="H26" i="445"/>
  <c r="G26" i="445"/>
  <c r="E26" i="445"/>
  <c r="F26" i="445" s="1"/>
  <c r="J25" i="445"/>
  <c r="I25" i="445"/>
  <c r="H25" i="445"/>
  <c r="G25" i="445"/>
  <c r="E25" i="445"/>
  <c r="F25" i="445" s="1"/>
  <c r="J24" i="445"/>
  <c r="I24" i="445"/>
  <c r="H24" i="445"/>
  <c r="G24" i="445"/>
  <c r="J23" i="445"/>
  <c r="H23" i="445"/>
  <c r="J22" i="445"/>
  <c r="I22" i="445"/>
  <c r="H22" i="445"/>
  <c r="G22" i="445"/>
  <c r="E22" i="445"/>
  <c r="F22" i="445" s="1"/>
  <c r="J21" i="445"/>
  <c r="I21" i="445"/>
  <c r="H21" i="445"/>
  <c r="G21" i="445"/>
  <c r="F21" i="445"/>
  <c r="J20" i="445"/>
  <c r="I20" i="445"/>
  <c r="H20" i="445"/>
  <c r="G20" i="445"/>
  <c r="E20" i="445"/>
  <c r="F20" i="445" s="1"/>
  <c r="J19" i="445"/>
  <c r="I19" i="445"/>
  <c r="H19" i="445"/>
  <c r="G19" i="445"/>
  <c r="E19" i="445"/>
  <c r="F19" i="445" s="1"/>
  <c r="C31" i="186"/>
  <c r="J27" i="186"/>
  <c r="H27" i="186"/>
  <c r="J26" i="186"/>
  <c r="I26" i="186"/>
  <c r="H26" i="186"/>
  <c r="G26" i="186"/>
  <c r="E26" i="186"/>
  <c r="F26" i="186" s="1"/>
  <c r="J25" i="186"/>
  <c r="I25" i="186"/>
  <c r="H25" i="186"/>
  <c r="G25" i="186"/>
  <c r="E25" i="186"/>
  <c r="F25" i="186" s="1"/>
  <c r="J24" i="186"/>
  <c r="H24" i="186"/>
  <c r="J23" i="186"/>
  <c r="I23" i="186"/>
  <c r="H23" i="186"/>
  <c r="G23" i="186"/>
  <c r="E23" i="186"/>
  <c r="F23" i="186" s="1"/>
  <c r="J22" i="186"/>
  <c r="I22" i="186"/>
  <c r="H22" i="186"/>
  <c r="G22" i="186"/>
  <c r="E22" i="186"/>
  <c r="F22" i="186" s="1"/>
  <c r="J21" i="186"/>
  <c r="I21" i="186"/>
  <c r="H21" i="186"/>
  <c r="G21" i="186"/>
  <c r="F21" i="186"/>
  <c r="J20" i="186"/>
  <c r="I20" i="186"/>
  <c r="H20" i="186"/>
  <c r="G20" i="186"/>
  <c r="E20" i="186"/>
  <c r="F20" i="186" s="1"/>
  <c r="J19" i="186"/>
  <c r="I19" i="186"/>
  <c r="H19" i="186"/>
  <c r="G19" i="186"/>
  <c r="E19" i="186"/>
  <c r="F19" i="186" s="1"/>
  <c r="C31" i="185"/>
  <c r="J27" i="185"/>
  <c r="H27" i="185"/>
  <c r="J26" i="185"/>
  <c r="I26" i="185"/>
  <c r="H26" i="185"/>
  <c r="G26" i="185"/>
  <c r="E26" i="185"/>
  <c r="F26" i="185" s="1"/>
  <c r="J25" i="185"/>
  <c r="I25" i="185"/>
  <c r="H25" i="185"/>
  <c r="G25" i="185"/>
  <c r="E25" i="185"/>
  <c r="F25" i="185" s="1"/>
  <c r="J24" i="185"/>
  <c r="H24" i="185"/>
  <c r="J23" i="185"/>
  <c r="I23" i="185"/>
  <c r="H23" i="185"/>
  <c r="G23" i="185"/>
  <c r="E23" i="185"/>
  <c r="F23" i="185" s="1"/>
  <c r="J22" i="185"/>
  <c r="I22" i="185"/>
  <c r="H22" i="185"/>
  <c r="G22" i="185"/>
  <c r="E22" i="185"/>
  <c r="F22" i="185" s="1"/>
  <c r="J21" i="185"/>
  <c r="I21" i="185"/>
  <c r="H21" i="185"/>
  <c r="G21" i="185"/>
  <c r="F21" i="185"/>
  <c r="J20" i="185"/>
  <c r="I20" i="185"/>
  <c r="H20" i="185"/>
  <c r="G20" i="185"/>
  <c r="E20" i="185"/>
  <c r="F20" i="185" s="1"/>
  <c r="J19" i="185"/>
  <c r="I19" i="185"/>
  <c r="H19" i="185"/>
  <c r="G19" i="185"/>
  <c r="E19" i="185"/>
  <c r="F19" i="185" s="1"/>
  <c r="C29" i="184"/>
  <c r="J25" i="184"/>
  <c r="H25" i="184"/>
  <c r="J24" i="184"/>
  <c r="I24" i="184"/>
  <c r="H24" i="184"/>
  <c r="G24" i="184"/>
  <c r="E24" i="184"/>
  <c r="F24" i="184" s="1"/>
  <c r="J23" i="184"/>
  <c r="I23" i="184"/>
  <c r="H23" i="184"/>
  <c r="G23" i="184"/>
  <c r="E23" i="184"/>
  <c r="F23" i="184" s="1"/>
  <c r="J22" i="184"/>
  <c r="H22" i="184"/>
  <c r="E21" i="184"/>
  <c r="C21" i="184"/>
  <c r="G21" i="184" s="1"/>
  <c r="C20" i="184"/>
  <c r="J19" i="184"/>
  <c r="I19" i="184"/>
  <c r="H19" i="184"/>
  <c r="G19" i="184"/>
  <c r="E19" i="184"/>
  <c r="F19" i="184" s="1"/>
  <c r="C28" i="373"/>
  <c r="J24" i="373"/>
  <c r="H24" i="373"/>
  <c r="J23" i="373"/>
  <c r="I23" i="373"/>
  <c r="H23" i="373"/>
  <c r="G23" i="373"/>
  <c r="E23" i="373"/>
  <c r="F23" i="373" s="1"/>
  <c r="J22" i="373"/>
  <c r="H22" i="373"/>
  <c r="E21" i="373"/>
  <c r="C21" i="373"/>
  <c r="G21" i="373" s="1"/>
  <c r="C20" i="373"/>
  <c r="J19" i="373"/>
  <c r="I19" i="373"/>
  <c r="H19" i="373"/>
  <c r="G19" i="373"/>
  <c r="E19" i="373"/>
  <c r="F19" i="373" s="1"/>
  <c r="C29" i="183"/>
  <c r="J25" i="183"/>
  <c r="H25" i="183"/>
  <c r="J24" i="183"/>
  <c r="I24" i="183"/>
  <c r="H24" i="183"/>
  <c r="G24" i="183"/>
  <c r="E24" i="183"/>
  <c r="F24" i="183" s="1"/>
  <c r="J23" i="183"/>
  <c r="I23" i="183"/>
  <c r="H23" i="183"/>
  <c r="G23" i="183"/>
  <c r="E23" i="183"/>
  <c r="F23" i="183" s="1"/>
  <c r="J22" i="183"/>
  <c r="H22" i="183"/>
  <c r="E21" i="183"/>
  <c r="C21" i="183"/>
  <c r="I21" i="183" s="1"/>
  <c r="C20" i="183"/>
  <c r="J19" i="183"/>
  <c r="I19" i="183"/>
  <c r="H19" i="183"/>
  <c r="G19" i="183"/>
  <c r="E19" i="183"/>
  <c r="F19" i="183" s="1"/>
  <c r="C28" i="372"/>
  <c r="J24" i="372"/>
  <c r="H24" i="372"/>
  <c r="J23" i="372"/>
  <c r="I23" i="372"/>
  <c r="H23" i="372"/>
  <c r="G23" i="372"/>
  <c r="E23" i="372"/>
  <c r="F23" i="372" s="1"/>
  <c r="J22" i="372"/>
  <c r="H22" i="372"/>
  <c r="E21" i="372"/>
  <c r="C21" i="372"/>
  <c r="DC120" i="147" s="1"/>
  <c r="C20" i="372"/>
  <c r="D20" i="372" s="1"/>
  <c r="J19" i="372"/>
  <c r="I19" i="372"/>
  <c r="H19" i="372"/>
  <c r="G19" i="372"/>
  <c r="E19" i="372"/>
  <c r="F19" i="372" s="1"/>
  <c r="C29" i="182"/>
  <c r="J25" i="182"/>
  <c r="H25" i="182"/>
  <c r="J24" i="182"/>
  <c r="I24" i="182"/>
  <c r="H24" i="182"/>
  <c r="G24" i="182"/>
  <c r="E24" i="182"/>
  <c r="F24" i="182" s="1"/>
  <c r="J23" i="182"/>
  <c r="I23" i="182"/>
  <c r="H23" i="182"/>
  <c r="G23" i="182"/>
  <c r="E23" i="182"/>
  <c r="F23" i="182" s="1"/>
  <c r="J22" i="182"/>
  <c r="H22" i="182"/>
  <c r="E21" i="182"/>
  <c r="C21" i="182"/>
  <c r="I21" i="182" s="1"/>
  <c r="C20" i="182"/>
  <c r="J19" i="182"/>
  <c r="I19" i="182"/>
  <c r="H19" i="182"/>
  <c r="G19" i="182"/>
  <c r="E19" i="182"/>
  <c r="F19" i="182" s="1"/>
  <c r="C28" i="371"/>
  <c r="J24" i="371"/>
  <c r="H24" i="371"/>
  <c r="J23" i="371"/>
  <c r="I23" i="371"/>
  <c r="H23" i="371"/>
  <c r="G23" i="371"/>
  <c r="E23" i="371"/>
  <c r="F23" i="371" s="1"/>
  <c r="J22" i="371"/>
  <c r="H22" i="371"/>
  <c r="E21" i="371"/>
  <c r="C21" i="371"/>
  <c r="I21" i="371" s="1"/>
  <c r="C20" i="371"/>
  <c r="J19" i="371"/>
  <c r="I19" i="371"/>
  <c r="H19" i="371"/>
  <c r="G19" i="371"/>
  <c r="E19" i="371"/>
  <c r="F19" i="371" s="1"/>
  <c r="C29" i="129"/>
  <c r="J25" i="129"/>
  <c r="H25" i="129"/>
  <c r="J24" i="129"/>
  <c r="I24" i="129"/>
  <c r="H24" i="129"/>
  <c r="G24" i="129"/>
  <c r="E24" i="129"/>
  <c r="F24" i="129" s="1"/>
  <c r="J23" i="129"/>
  <c r="I23" i="129"/>
  <c r="H23" i="129"/>
  <c r="G23" i="129"/>
  <c r="E23" i="129"/>
  <c r="F23" i="129" s="1"/>
  <c r="J22" i="129"/>
  <c r="H22" i="129"/>
  <c r="E21" i="129"/>
  <c r="C21" i="129"/>
  <c r="DC225" i="147" s="1"/>
  <c r="DC210" i="489" s="1"/>
  <c r="C20" i="129"/>
  <c r="J19" i="129"/>
  <c r="I19" i="129"/>
  <c r="H19" i="129"/>
  <c r="G19" i="129"/>
  <c r="E19" i="129"/>
  <c r="F19" i="129" s="1"/>
  <c r="C28" i="370"/>
  <c r="J24" i="370"/>
  <c r="H24" i="370"/>
  <c r="J23" i="370"/>
  <c r="I23" i="370"/>
  <c r="H23" i="370"/>
  <c r="G23" i="370"/>
  <c r="E23" i="370"/>
  <c r="F23" i="370" s="1"/>
  <c r="J22" i="370"/>
  <c r="H22" i="370"/>
  <c r="E21" i="370"/>
  <c r="C21" i="370"/>
  <c r="G21" i="370" s="1"/>
  <c r="C20" i="370"/>
  <c r="J19" i="370"/>
  <c r="I19" i="370"/>
  <c r="H19" i="370"/>
  <c r="G19" i="370"/>
  <c r="E19" i="370"/>
  <c r="F19" i="370" s="1"/>
  <c r="C34" i="181"/>
  <c r="J30" i="181"/>
  <c r="H30" i="181"/>
  <c r="J29" i="181"/>
  <c r="I29" i="181"/>
  <c r="H29" i="181"/>
  <c r="G29" i="181"/>
  <c r="J28" i="181"/>
  <c r="H28" i="181"/>
  <c r="J27" i="181"/>
  <c r="H27" i="181"/>
  <c r="J26" i="181"/>
  <c r="I26" i="181"/>
  <c r="H26" i="181"/>
  <c r="G26" i="181"/>
  <c r="E26" i="181"/>
  <c r="F26" i="181" s="1"/>
  <c r="J25" i="181"/>
  <c r="I25" i="181"/>
  <c r="H25" i="181"/>
  <c r="G25" i="181"/>
  <c r="E25" i="181"/>
  <c r="F25" i="181" s="1"/>
  <c r="J24" i="181"/>
  <c r="I24" i="181"/>
  <c r="H24" i="181"/>
  <c r="G24" i="181"/>
  <c r="E24" i="181"/>
  <c r="F24" i="181" s="1"/>
  <c r="J23" i="181"/>
  <c r="I23" i="181"/>
  <c r="H23" i="181"/>
  <c r="G23" i="181"/>
  <c r="E23" i="181"/>
  <c r="F23" i="181" s="1"/>
  <c r="J22" i="181"/>
  <c r="I22" i="181"/>
  <c r="H22" i="181"/>
  <c r="G22" i="181"/>
  <c r="E22" i="181"/>
  <c r="F22" i="181" s="1"/>
  <c r="J20" i="181"/>
  <c r="H20" i="181"/>
  <c r="J19" i="181"/>
  <c r="I19" i="181"/>
  <c r="H19" i="181"/>
  <c r="G19" i="181"/>
  <c r="E19" i="181"/>
  <c r="F19" i="181" s="1"/>
  <c r="C34" i="180"/>
  <c r="J30" i="180"/>
  <c r="H30" i="180"/>
  <c r="J29" i="180"/>
  <c r="I29" i="180"/>
  <c r="H29" i="180"/>
  <c r="G29" i="180"/>
  <c r="J28" i="180"/>
  <c r="H28" i="180"/>
  <c r="J27" i="180"/>
  <c r="H27" i="180"/>
  <c r="J26" i="180"/>
  <c r="I26" i="180"/>
  <c r="H26" i="180"/>
  <c r="G26" i="180"/>
  <c r="E26" i="180"/>
  <c r="F26" i="180" s="1"/>
  <c r="J25" i="180"/>
  <c r="I25" i="180"/>
  <c r="H25" i="180"/>
  <c r="G25" i="180"/>
  <c r="E25" i="180"/>
  <c r="F25" i="180" s="1"/>
  <c r="J24" i="180"/>
  <c r="I24" i="180"/>
  <c r="H24" i="180"/>
  <c r="G24" i="180"/>
  <c r="E24" i="180"/>
  <c r="F24" i="180" s="1"/>
  <c r="J23" i="180"/>
  <c r="I23" i="180"/>
  <c r="H23" i="180"/>
  <c r="G23" i="180"/>
  <c r="E23" i="180"/>
  <c r="F23" i="180" s="1"/>
  <c r="J22" i="180"/>
  <c r="I22" i="180"/>
  <c r="H22" i="180"/>
  <c r="G22" i="180"/>
  <c r="E22" i="180"/>
  <c r="F22" i="180" s="1"/>
  <c r="J20" i="180"/>
  <c r="H20" i="180"/>
  <c r="J19" i="180"/>
  <c r="I19" i="180"/>
  <c r="H19" i="180"/>
  <c r="G19" i="180"/>
  <c r="E19" i="180"/>
  <c r="F19" i="180" s="1"/>
  <c r="C27" i="179"/>
  <c r="J23" i="179"/>
  <c r="H23" i="179"/>
  <c r="J22" i="179"/>
  <c r="H22" i="179"/>
  <c r="J21" i="179"/>
  <c r="I21" i="179"/>
  <c r="H21" i="179"/>
  <c r="G21" i="179"/>
  <c r="E21" i="179"/>
  <c r="F21" i="179" s="1"/>
  <c r="J20" i="179"/>
  <c r="I20" i="179"/>
  <c r="H20" i="179"/>
  <c r="G20" i="179"/>
  <c r="E20" i="179"/>
  <c r="F20" i="179" s="1"/>
  <c r="J19" i="179"/>
  <c r="I19" i="179"/>
  <c r="H19" i="179"/>
  <c r="G19" i="179"/>
  <c r="E19" i="179"/>
  <c r="F19" i="179" s="1"/>
  <c r="C31" i="177"/>
  <c r="J27" i="177"/>
  <c r="H27" i="177"/>
  <c r="J26" i="177"/>
  <c r="H26" i="177"/>
  <c r="I25" i="177"/>
  <c r="G25" i="177"/>
  <c r="E25" i="177"/>
  <c r="F25" i="177" s="1"/>
  <c r="D25" i="177"/>
  <c r="H25" i="177" s="1"/>
  <c r="J24" i="177"/>
  <c r="I24" i="177"/>
  <c r="H24" i="177"/>
  <c r="G24" i="177"/>
  <c r="J23" i="177"/>
  <c r="H23" i="177"/>
  <c r="J22" i="177"/>
  <c r="I22" i="177"/>
  <c r="H22" i="177"/>
  <c r="G22" i="177"/>
  <c r="E22" i="177"/>
  <c r="F22" i="177" s="1"/>
  <c r="J21" i="177"/>
  <c r="I21" i="177"/>
  <c r="H21" i="177"/>
  <c r="G21" i="177"/>
  <c r="E21" i="177"/>
  <c r="F21" i="177" s="1"/>
  <c r="J20" i="177"/>
  <c r="I20" i="177"/>
  <c r="H20" i="177"/>
  <c r="G20" i="177"/>
  <c r="E20" i="177"/>
  <c r="F20" i="177" s="1"/>
  <c r="J19" i="177"/>
  <c r="I19" i="177"/>
  <c r="H19" i="177"/>
  <c r="G19" i="177"/>
  <c r="E19" i="177"/>
  <c r="F19" i="177" s="1"/>
  <c r="C35" i="326"/>
  <c r="J31" i="326"/>
  <c r="H31" i="326"/>
  <c r="J30" i="326"/>
  <c r="I30" i="326"/>
  <c r="H30" i="326"/>
  <c r="G30" i="326"/>
  <c r="E30" i="326"/>
  <c r="F30" i="326" s="1"/>
  <c r="J29" i="326"/>
  <c r="I29" i="326"/>
  <c r="H29" i="326"/>
  <c r="G29" i="326"/>
  <c r="E29" i="326"/>
  <c r="F29" i="326" s="1"/>
  <c r="M29" i="326" s="1"/>
  <c r="I27" i="326"/>
  <c r="G27" i="326"/>
  <c r="E27" i="326"/>
  <c r="F27" i="326" s="1"/>
  <c r="H27" i="326"/>
  <c r="I26" i="326"/>
  <c r="G26" i="326"/>
  <c r="E26" i="326"/>
  <c r="F26" i="326" s="1"/>
  <c r="J25" i="326"/>
  <c r="I25" i="326"/>
  <c r="H25" i="326"/>
  <c r="G25" i="326"/>
  <c r="J24" i="326"/>
  <c r="I24" i="326"/>
  <c r="H24" i="326"/>
  <c r="G24" i="326"/>
  <c r="E24" i="326"/>
  <c r="F24" i="326" s="1"/>
  <c r="J23" i="326"/>
  <c r="I23" i="326"/>
  <c r="H23" i="326"/>
  <c r="G23" i="326"/>
  <c r="E23" i="326"/>
  <c r="F23" i="326" s="1"/>
  <c r="J22" i="326"/>
  <c r="I22" i="326"/>
  <c r="H22" i="326"/>
  <c r="G22" i="326"/>
  <c r="E22" i="326"/>
  <c r="F22" i="326" s="1"/>
  <c r="J21" i="326"/>
  <c r="I21" i="326"/>
  <c r="H21" i="326"/>
  <c r="G21" i="326"/>
  <c r="E21" i="326"/>
  <c r="F21" i="326" s="1"/>
  <c r="J20" i="326"/>
  <c r="I20" i="326"/>
  <c r="H20" i="326"/>
  <c r="G20" i="326"/>
  <c r="E20" i="326"/>
  <c r="F20" i="326" s="1"/>
  <c r="J19" i="326"/>
  <c r="I19" i="326"/>
  <c r="H19" i="326"/>
  <c r="G19" i="326"/>
  <c r="E19" i="326"/>
  <c r="F19" i="326" s="1"/>
  <c r="C30" i="176"/>
  <c r="J26" i="176"/>
  <c r="H26" i="176"/>
  <c r="J25" i="176"/>
  <c r="I25" i="176"/>
  <c r="H25" i="176"/>
  <c r="G25" i="176"/>
  <c r="I24" i="176"/>
  <c r="G24" i="176"/>
  <c r="E24" i="176"/>
  <c r="F24" i="176" s="1"/>
  <c r="D24" i="176"/>
  <c r="H24" i="176" s="1"/>
  <c r="I23" i="176"/>
  <c r="G23" i="176"/>
  <c r="E23" i="176"/>
  <c r="F23" i="176" s="1"/>
  <c r="D23" i="176"/>
  <c r="J23" i="176" s="1"/>
  <c r="J22" i="176"/>
  <c r="I22" i="176"/>
  <c r="H22" i="176"/>
  <c r="G22" i="176"/>
  <c r="E22" i="176"/>
  <c r="F22" i="176" s="1"/>
  <c r="J21" i="176"/>
  <c r="I21" i="176"/>
  <c r="H21" i="176"/>
  <c r="G21" i="176"/>
  <c r="E21" i="176"/>
  <c r="F21" i="176" s="1"/>
  <c r="M21" i="176" s="1"/>
  <c r="J20" i="176"/>
  <c r="I20" i="176"/>
  <c r="H20" i="176"/>
  <c r="G20" i="176"/>
  <c r="E20" i="176"/>
  <c r="F20" i="176" s="1"/>
  <c r="J19" i="176"/>
  <c r="I19" i="176"/>
  <c r="H19" i="176"/>
  <c r="G19" i="176"/>
  <c r="E19" i="176"/>
  <c r="F19" i="176" s="1"/>
  <c r="C29" i="175"/>
  <c r="J25" i="175"/>
  <c r="H25" i="175"/>
  <c r="J24" i="175"/>
  <c r="I24" i="175"/>
  <c r="H24" i="175"/>
  <c r="G24" i="175"/>
  <c r="E24" i="175"/>
  <c r="F24" i="175" s="1"/>
  <c r="J23" i="175"/>
  <c r="I23" i="175"/>
  <c r="H23" i="175"/>
  <c r="G23" i="175"/>
  <c r="J22" i="175"/>
  <c r="H22" i="175"/>
  <c r="J21" i="175"/>
  <c r="I21" i="175"/>
  <c r="H21" i="175"/>
  <c r="G21" i="175"/>
  <c r="E21" i="175"/>
  <c r="F21" i="175" s="1"/>
  <c r="J20" i="175"/>
  <c r="I20" i="175"/>
  <c r="H20" i="175"/>
  <c r="G20" i="175"/>
  <c r="E20" i="175"/>
  <c r="F20" i="175" s="1"/>
  <c r="J19" i="175"/>
  <c r="I19" i="175"/>
  <c r="H19" i="175"/>
  <c r="G19" i="175"/>
  <c r="E19" i="175"/>
  <c r="F19" i="175" s="1"/>
  <c r="C35" i="174"/>
  <c r="J31" i="174"/>
  <c r="H31" i="174"/>
  <c r="J30" i="174"/>
  <c r="I30" i="174"/>
  <c r="H30" i="174"/>
  <c r="G30" i="174"/>
  <c r="E30" i="174"/>
  <c r="F30" i="174" s="1"/>
  <c r="J29" i="174"/>
  <c r="I29" i="174"/>
  <c r="H29" i="174"/>
  <c r="G29" i="174"/>
  <c r="E29" i="174"/>
  <c r="F29" i="174" s="1"/>
  <c r="M29" i="174" s="1"/>
  <c r="E28" i="174"/>
  <c r="J27" i="174"/>
  <c r="I27" i="174"/>
  <c r="H27" i="174"/>
  <c r="G27" i="174"/>
  <c r="E27" i="174"/>
  <c r="F27" i="174" s="1"/>
  <c r="J25" i="174"/>
  <c r="I25" i="174"/>
  <c r="H25" i="174"/>
  <c r="G25" i="174"/>
  <c r="E25" i="174"/>
  <c r="F25" i="174" s="1"/>
  <c r="J24" i="174"/>
  <c r="I24" i="174"/>
  <c r="H24" i="174"/>
  <c r="G24" i="174"/>
  <c r="E24" i="174"/>
  <c r="F24" i="174" s="1"/>
  <c r="J23" i="174"/>
  <c r="I23" i="174"/>
  <c r="H23" i="174"/>
  <c r="G23" i="174"/>
  <c r="E23" i="174"/>
  <c r="F23" i="174" s="1"/>
  <c r="J22" i="174"/>
  <c r="I22" i="174"/>
  <c r="H22" i="174"/>
  <c r="G22" i="174"/>
  <c r="E22" i="174"/>
  <c r="F22" i="174" s="1"/>
  <c r="J21" i="174"/>
  <c r="I21" i="174"/>
  <c r="H21" i="174"/>
  <c r="G21" i="174"/>
  <c r="E21" i="174"/>
  <c r="F21" i="174" s="1"/>
  <c r="J20" i="174"/>
  <c r="I20" i="174"/>
  <c r="H20" i="174"/>
  <c r="G20" i="174"/>
  <c r="E20" i="174"/>
  <c r="F20" i="174" s="1"/>
  <c r="M20" i="174" s="1"/>
  <c r="J19" i="174"/>
  <c r="I19" i="174"/>
  <c r="H19" i="174"/>
  <c r="G19" i="174"/>
  <c r="E19" i="174"/>
  <c r="F19" i="174" s="1"/>
  <c r="C33" i="97"/>
  <c r="J29" i="97"/>
  <c r="H29" i="97"/>
  <c r="J28" i="97"/>
  <c r="I28" i="97"/>
  <c r="H28" i="97"/>
  <c r="G28" i="97"/>
  <c r="E28" i="97"/>
  <c r="F28" i="97" s="1"/>
  <c r="J27" i="97"/>
  <c r="H27" i="97"/>
  <c r="J26" i="97"/>
  <c r="I26" i="97"/>
  <c r="H26" i="97"/>
  <c r="G26" i="97"/>
  <c r="E26" i="97"/>
  <c r="F26" i="97" s="1"/>
  <c r="J25" i="97"/>
  <c r="I25" i="97"/>
  <c r="H25" i="97"/>
  <c r="G25" i="97"/>
  <c r="E25" i="97"/>
  <c r="F25" i="97" s="1"/>
  <c r="J24" i="97"/>
  <c r="H24" i="97"/>
  <c r="E23" i="97"/>
  <c r="J22" i="97"/>
  <c r="I22" i="97"/>
  <c r="H22" i="97"/>
  <c r="G22" i="97"/>
  <c r="E22" i="97"/>
  <c r="F22" i="97" s="1"/>
  <c r="C21" i="97"/>
  <c r="J20" i="97"/>
  <c r="I20" i="97"/>
  <c r="H20" i="97"/>
  <c r="G20" i="97"/>
  <c r="E20" i="97"/>
  <c r="F20" i="97" s="1"/>
  <c r="J19" i="97"/>
  <c r="I19" i="97"/>
  <c r="H19" i="97"/>
  <c r="G19" i="97"/>
  <c r="E19" i="97"/>
  <c r="F19" i="97" s="1"/>
  <c r="C29" i="173"/>
  <c r="J25" i="173"/>
  <c r="H25" i="173"/>
  <c r="J24" i="173"/>
  <c r="H24" i="173"/>
  <c r="E24" i="173"/>
  <c r="C24" i="173"/>
  <c r="AU106" i="147" s="1"/>
  <c r="J23" i="173"/>
  <c r="I23" i="173"/>
  <c r="H23" i="173"/>
  <c r="G23" i="173"/>
  <c r="E23" i="173"/>
  <c r="F23" i="173" s="1"/>
  <c r="M23" i="173" s="1"/>
  <c r="J22" i="173"/>
  <c r="I22" i="173"/>
  <c r="H22" i="173"/>
  <c r="G22" i="173"/>
  <c r="E22" i="173"/>
  <c r="F22" i="173" s="1"/>
  <c r="M22" i="173" s="1"/>
  <c r="E21" i="173"/>
  <c r="C20" i="173"/>
  <c r="J19" i="173"/>
  <c r="I19" i="173"/>
  <c r="H19" i="173"/>
  <c r="G19" i="173"/>
  <c r="E19" i="173"/>
  <c r="F19" i="173" s="1"/>
  <c r="M19" i="173" s="1"/>
  <c r="C31" i="172"/>
  <c r="J27" i="172"/>
  <c r="H27" i="172"/>
  <c r="J26" i="172"/>
  <c r="H26" i="172"/>
  <c r="E26" i="172"/>
  <c r="C26" i="172"/>
  <c r="AU105" i="147" s="1"/>
  <c r="J25" i="172"/>
  <c r="H25" i="172"/>
  <c r="J24" i="172"/>
  <c r="I24" i="172"/>
  <c r="H24" i="172"/>
  <c r="G24" i="172"/>
  <c r="E24" i="172"/>
  <c r="F24" i="172" s="1"/>
  <c r="J23" i="172"/>
  <c r="I23" i="172"/>
  <c r="H23" i="172"/>
  <c r="G23" i="172"/>
  <c r="E23" i="172"/>
  <c r="F23" i="172" s="1"/>
  <c r="J22" i="172"/>
  <c r="H22" i="172"/>
  <c r="E21" i="172"/>
  <c r="C20" i="172"/>
  <c r="J19" i="172"/>
  <c r="I19" i="172"/>
  <c r="H19" i="172"/>
  <c r="G19" i="172"/>
  <c r="E19" i="172"/>
  <c r="F19" i="172" s="1"/>
  <c r="C29" i="171"/>
  <c r="J25" i="171"/>
  <c r="H25" i="171"/>
  <c r="J24" i="171"/>
  <c r="I24" i="171"/>
  <c r="H24" i="171"/>
  <c r="G24" i="171"/>
  <c r="J23" i="171"/>
  <c r="H23" i="171"/>
  <c r="J22" i="171"/>
  <c r="I22" i="171"/>
  <c r="H22" i="171"/>
  <c r="G22" i="171"/>
  <c r="E22" i="171"/>
  <c r="F22" i="171" s="1"/>
  <c r="E21" i="171"/>
  <c r="C20" i="171"/>
  <c r="J19" i="171"/>
  <c r="I19" i="171"/>
  <c r="H19" i="171"/>
  <c r="G19" i="171"/>
  <c r="E19" i="171"/>
  <c r="F19" i="171" s="1"/>
  <c r="C28" i="426"/>
  <c r="J24" i="426"/>
  <c r="H24" i="426"/>
  <c r="J23" i="426"/>
  <c r="I23" i="426"/>
  <c r="H23" i="426"/>
  <c r="G23" i="426"/>
  <c r="E23" i="426"/>
  <c r="F23" i="426" s="1"/>
  <c r="J22" i="426"/>
  <c r="I22" i="426"/>
  <c r="H22" i="426"/>
  <c r="G22" i="426"/>
  <c r="E22" i="426"/>
  <c r="F22" i="426" s="1"/>
  <c r="M22" i="426" s="1"/>
  <c r="J21" i="426"/>
  <c r="I21" i="426"/>
  <c r="H21" i="426"/>
  <c r="G21" i="426"/>
  <c r="E21" i="426"/>
  <c r="F21" i="426" s="1"/>
  <c r="J20" i="426"/>
  <c r="I20" i="426"/>
  <c r="H20" i="426"/>
  <c r="G20" i="426"/>
  <c r="F20" i="426"/>
  <c r="J19" i="426"/>
  <c r="I19" i="426"/>
  <c r="H19" i="426"/>
  <c r="G19" i="426"/>
  <c r="E19" i="426"/>
  <c r="F19" i="426" s="1"/>
  <c r="C28" i="425"/>
  <c r="J24" i="425"/>
  <c r="H24" i="425"/>
  <c r="J23" i="425"/>
  <c r="I23" i="425"/>
  <c r="H23" i="425"/>
  <c r="G23" i="425"/>
  <c r="E23" i="425"/>
  <c r="F23" i="425" s="1"/>
  <c r="J22" i="425"/>
  <c r="I22" i="425"/>
  <c r="H22" i="425"/>
  <c r="G22" i="425"/>
  <c r="E22" i="425"/>
  <c r="F22" i="425" s="1"/>
  <c r="M22" i="425" s="1"/>
  <c r="J21" i="425"/>
  <c r="I21" i="425"/>
  <c r="H21" i="425"/>
  <c r="G21" i="425"/>
  <c r="E21" i="425"/>
  <c r="F21" i="425" s="1"/>
  <c r="J20" i="425"/>
  <c r="I20" i="425"/>
  <c r="H20" i="425"/>
  <c r="G20" i="425"/>
  <c r="F20" i="425"/>
  <c r="J19" i="425"/>
  <c r="I19" i="425"/>
  <c r="H19" i="425"/>
  <c r="G19" i="425"/>
  <c r="E19" i="425"/>
  <c r="F19" i="425" s="1"/>
  <c r="C28" i="424"/>
  <c r="J24" i="424"/>
  <c r="H24" i="424"/>
  <c r="J23" i="424"/>
  <c r="I23" i="424"/>
  <c r="H23" i="424"/>
  <c r="G23" i="424"/>
  <c r="E23" i="424"/>
  <c r="F23" i="424" s="1"/>
  <c r="J22" i="424"/>
  <c r="I22" i="424"/>
  <c r="H22" i="424"/>
  <c r="G22" i="424"/>
  <c r="E22" i="424"/>
  <c r="F22" i="424" s="1"/>
  <c r="J21" i="424"/>
  <c r="I21" i="424"/>
  <c r="H21" i="424"/>
  <c r="G21" i="424"/>
  <c r="F21" i="424"/>
  <c r="J20" i="424"/>
  <c r="I20" i="424"/>
  <c r="H20" i="424"/>
  <c r="G20" i="424"/>
  <c r="F20" i="424"/>
  <c r="J19" i="424"/>
  <c r="I19" i="424"/>
  <c r="H19" i="424"/>
  <c r="G19" i="424"/>
  <c r="E19" i="424"/>
  <c r="F19" i="424" s="1"/>
  <c r="C28" i="423"/>
  <c r="J24" i="423"/>
  <c r="H24" i="423"/>
  <c r="J23" i="423"/>
  <c r="I23" i="423"/>
  <c r="H23" i="423"/>
  <c r="G23" i="423"/>
  <c r="E23" i="423"/>
  <c r="F23" i="423" s="1"/>
  <c r="J22" i="423"/>
  <c r="I22" i="423"/>
  <c r="H22" i="423"/>
  <c r="G22" i="423"/>
  <c r="E22" i="423"/>
  <c r="F22" i="423" s="1"/>
  <c r="M22" i="423" s="1"/>
  <c r="J21" i="423"/>
  <c r="I21" i="423"/>
  <c r="H21" i="423"/>
  <c r="G21" i="423"/>
  <c r="E21" i="423"/>
  <c r="F21" i="423" s="1"/>
  <c r="J20" i="423"/>
  <c r="I20" i="423"/>
  <c r="H20" i="423"/>
  <c r="G20" i="423"/>
  <c r="F20" i="423"/>
  <c r="J19" i="423"/>
  <c r="I19" i="423"/>
  <c r="H19" i="423"/>
  <c r="G19" i="423"/>
  <c r="E19" i="423"/>
  <c r="F19" i="423" s="1"/>
  <c r="C28" i="325"/>
  <c r="J24" i="325"/>
  <c r="H24" i="325"/>
  <c r="J23" i="325"/>
  <c r="I23" i="325"/>
  <c r="H23" i="325"/>
  <c r="G23" i="325"/>
  <c r="E23" i="325"/>
  <c r="F23" i="325" s="1"/>
  <c r="J22" i="325"/>
  <c r="I22" i="325"/>
  <c r="H22" i="325"/>
  <c r="G22" i="325"/>
  <c r="E22" i="325"/>
  <c r="F22" i="325" s="1"/>
  <c r="M22" i="325" s="1"/>
  <c r="J21" i="325"/>
  <c r="I21" i="325"/>
  <c r="H21" i="325"/>
  <c r="G21" i="325"/>
  <c r="E21" i="325"/>
  <c r="F21" i="325" s="1"/>
  <c r="J20" i="325"/>
  <c r="I20" i="325"/>
  <c r="H20" i="325"/>
  <c r="G20" i="325"/>
  <c r="F20" i="325"/>
  <c r="J19" i="325"/>
  <c r="I19" i="325"/>
  <c r="H19" i="325"/>
  <c r="G19" i="325"/>
  <c r="E19" i="325"/>
  <c r="F19" i="325" s="1"/>
  <c r="C28" i="324"/>
  <c r="J24" i="324"/>
  <c r="H24" i="324"/>
  <c r="J23" i="324"/>
  <c r="I23" i="324"/>
  <c r="H23" i="324"/>
  <c r="G23" i="324"/>
  <c r="E23" i="324"/>
  <c r="F23" i="324" s="1"/>
  <c r="J22" i="324"/>
  <c r="I22" i="324"/>
  <c r="H22" i="324"/>
  <c r="G22" i="324"/>
  <c r="E22" i="324"/>
  <c r="F22" i="324" s="1"/>
  <c r="M22" i="324" s="1"/>
  <c r="J21" i="324"/>
  <c r="I21" i="324"/>
  <c r="H21" i="324"/>
  <c r="G21" i="324"/>
  <c r="E21" i="324"/>
  <c r="F21" i="324" s="1"/>
  <c r="J20" i="324"/>
  <c r="I20" i="324"/>
  <c r="H20" i="324"/>
  <c r="G20" i="324"/>
  <c r="F20" i="324"/>
  <c r="J19" i="324"/>
  <c r="I19" i="324"/>
  <c r="H19" i="324"/>
  <c r="G19" i="324"/>
  <c r="E19" i="324"/>
  <c r="F19" i="324" s="1"/>
  <c r="C28" i="323"/>
  <c r="J24" i="323"/>
  <c r="H24" i="323"/>
  <c r="J23" i="323"/>
  <c r="I23" i="323"/>
  <c r="H23" i="323"/>
  <c r="G23" i="323"/>
  <c r="E23" i="323"/>
  <c r="F23" i="323" s="1"/>
  <c r="J22" i="323"/>
  <c r="I22" i="323"/>
  <c r="H22" i="323"/>
  <c r="G22" i="323"/>
  <c r="E22" i="323"/>
  <c r="F22" i="323" s="1"/>
  <c r="M22" i="323" s="1"/>
  <c r="J21" i="323"/>
  <c r="I21" i="323"/>
  <c r="H21" i="323"/>
  <c r="G21" i="323"/>
  <c r="E21" i="323"/>
  <c r="F21" i="323" s="1"/>
  <c r="J20" i="323"/>
  <c r="I20" i="323"/>
  <c r="H20" i="323"/>
  <c r="G20" i="323"/>
  <c r="F20" i="323"/>
  <c r="J19" i="323"/>
  <c r="I19" i="323"/>
  <c r="H19" i="323"/>
  <c r="G19" i="323"/>
  <c r="E19" i="323"/>
  <c r="F19" i="323" s="1"/>
  <c r="C28" i="322"/>
  <c r="J24" i="322"/>
  <c r="H24" i="322"/>
  <c r="J23" i="322"/>
  <c r="I23" i="322"/>
  <c r="H23" i="322"/>
  <c r="G23" i="322"/>
  <c r="E23" i="322"/>
  <c r="F23" i="322" s="1"/>
  <c r="J22" i="322"/>
  <c r="I22" i="322"/>
  <c r="H22" i="322"/>
  <c r="G22" i="322"/>
  <c r="E22" i="322"/>
  <c r="F22" i="322" s="1"/>
  <c r="M22" i="322" s="1"/>
  <c r="J21" i="322"/>
  <c r="I21" i="322"/>
  <c r="H21" i="322"/>
  <c r="G21" i="322"/>
  <c r="E21" i="322"/>
  <c r="F21" i="322" s="1"/>
  <c r="J20" i="322"/>
  <c r="I20" i="322"/>
  <c r="H20" i="322"/>
  <c r="G20" i="322"/>
  <c r="F20" i="322"/>
  <c r="J19" i="322"/>
  <c r="I19" i="322"/>
  <c r="H19" i="322"/>
  <c r="G19" i="322"/>
  <c r="E19" i="322"/>
  <c r="F19" i="322" s="1"/>
  <c r="C32" i="422"/>
  <c r="J28" i="422"/>
  <c r="H28" i="422"/>
  <c r="E27" i="422"/>
  <c r="J26" i="422"/>
  <c r="I26" i="422"/>
  <c r="H26" i="422"/>
  <c r="G26" i="422"/>
  <c r="E26" i="422"/>
  <c r="F26" i="422" s="1"/>
  <c r="J25" i="422"/>
  <c r="I25" i="422"/>
  <c r="H25" i="422"/>
  <c r="G25" i="422"/>
  <c r="E25" i="422"/>
  <c r="F25" i="422" s="1"/>
  <c r="J24" i="422"/>
  <c r="I24" i="422"/>
  <c r="H24" i="422"/>
  <c r="G24" i="422"/>
  <c r="E24" i="422"/>
  <c r="F24" i="422" s="1"/>
  <c r="J23" i="422"/>
  <c r="I23" i="422"/>
  <c r="H23" i="422"/>
  <c r="G23" i="422"/>
  <c r="F23" i="422"/>
  <c r="J22" i="422"/>
  <c r="I22" i="422"/>
  <c r="H22" i="422"/>
  <c r="G22" i="422"/>
  <c r="E22" i="422"/>
  <c r="F22" i="422" s="1"/>
  <c r="J21" i="422"/>
  <c r="I21" i="422"/>
  <c r="H21" i="422"/>
  <c r="G21" i="422"/>
  <c r="E21" i="422"/>
  <c r="F21" i="422" s="1"/>
  <c r="J20" i="422"/>
  <c r="I20" i="422"/>
  <c r="H20" i="422"/>
  <c r="G20" i="422"/>
  <c r="E20" i="422"/>
  <c r="F20" i="422" s="1"/>
  <c r="J19" i="422"/>
  <c r="I19" i="422"/>
  <c r="H19" i="422"/>
  <c r="G19" i="422"/>
  <c r="E19" i="422"/>
  <c r="F19" i="422" s="1"/>
  <c r="C32" i="421"/>
  <c r="J28" i="421"/>
  <c r="H28" i="421"/>
  <c r="E27" i="421"/>
  <c r="J26" i="421"/>
  <c r="I26" i="421"/>
  <c r="H26" i="421"/>
  <c r="G26" i="421"/>
  <c r="E26" i="421"/>
  <c r="F26" i="421" s="1"/>
  <c r="J25" i="421"/>
  <c r="I25" i="421"/>
  <c r="H25" i="421"/>
  <c r="G25" i="421"/>
  <c r="E25" i="421"/>
  <c r="F25" i="421" s="1"/>
  <c r="J24" i="421"/>
  <c r="I24" i="421"/>
  <c r="H24" i="421"/>
  <c r="G24" i="421"/>
  <c r="E24" i="421"/>
  <c r="F24" i="421" s="1"/>
  <c r="J23" i="421"/>
  <c r="I23" i="421"/>
  <c r="H23" i="421"/>
  <c r="G23" i="421"/>
  <c r="F23" i="421"/>
  <c r="J22" i="421"/>
  <c r="I22" i="421"/>
  <c r="H22" i="421"/>
  <c r="G22" i="421"/>
  <c r="E22" i="421"/>
  <c r="F22" i="421" s="1"/>
  <c r="J21" i="421"/>
  <c r="I21" i="421"/>
  <c r="H21" i="421"/>
  <c r="G21" i="421"/>
  <c r="E21" i="421"/>
  <c r="F21" i="421" s="1"/>
  <c r="J20" i="421"/>
  <c r="I20" i="421"/>
  <c r="H20" i="421"/>
  <c r="G20" i="421"/>
  <c r="E20" i="421"/>
  <c r="F20" i="421" s="1"/>
  <c r="J19" i="421"/>
  <c r="I19" i="421"/>
  <c r="H19" i="421"/>
  <c r="G19" i="421"/>
  <c r="E19" i="421"/>
  <c r="F19" i="421" s="1"/>
  <c r="C32" i="420"/>
  <c r="J28" i="420"/>
  <c r="H28" i="420"/>
  <c r="E27" i="420"/>
  <c r="J26" i="420"/>
  <c r="I26" i="420"/>
  <c r="H26" i="420"/>
  <c r="G26" i="420"/>
  <c r="E26" i="420"/>
  <c r="F26" i="420" s="1"/>
  <c r="J25" i="420"/>
  <c r="I25" i="420"/>
  <c r="H25" i="420"/>
  <c r="G25" i="420"/>
  <c r="E25" i="420"/>
  <c r="F25" i="420" s="1"/>
  <c r="J24" i="420"/>
  <c r="I24" i="420"/>
  <c r="H24" i="420"/>
  <c r="G24" i="420"/>
  <c r="E24" i="420"/>
  <c r="F24" i="420" s="1"/>
  <c r="J23" i="420"/>
  <c r="I23" i="420"/>
  <c r="H23" i="420"/>
  <c r="G23" i="420"/>
  <c r="F23" i="420"/>
  <c r="J22" i="420"/>
  <c r="I22" i="420"/>
  <c r="H22" i="420"/>
  <c r="G22" i="420"/>
  <c r="E22" i="420"/>
  <c r="F22" i="420" s="1"/>
  <c r="J21" i="420"/>
  <c r="I21" i="420"/>
  <c r="H21" i="420"/>
  <c r="G21" i="420"/>
  <c r="E21" i="420"/>
  <c r="F21" i="420" s="1"/>
  <c r="J20" i="420"/>
  <c r="I20" i="420"/>
  <c r="H20" i="420"/>
  <c r="G20" i="420"/>
  <c r="E20" i="420"/>
  <c r="F20" i="420" s="1"/>
  <c r="J19" i="420"/>
  <c r="I19" i="420"/>
  <c r="H19" i="420"/>
  <c r="G19" i="420"/>
  <c r="E19" i="420"/>
  <c r="F19" i="420" s="1"/>
  <c r="C32" i="419"/>
  <c r="J28" i="419"/>
  <c r="H28" i="419"/>
  <c r="E27" i="419"/>
  <c r="J26" i="419"/>
  <c r="I26" i="419"/>
  <c r="H26" i="419"/>
  <c r="G26" i="419"/>
  <c r="E26" i="419"/>
  <c r="F26" i="419" s="1"/>
  <c r="J25" i="419"/>
  <c r="I25" i="419"/>
  <c r="H25" i="419"/>
  <c r="G25" i="419"/>
  <c r="E25" i="419"/>
  <c r="F25" i="419" s="1"/>
  <c r="J24" i="419"/>
  <c r="I24" i="419"/>
  <c r="H24" i="419"/>
  <c r="G24" i="419"/>
  <c r="E24" i="419"/>
  <c r="F24" i="419" s="1"/>
  <c r="J23" i="419"/>
  <c r="I23" i="419"/>
  <c r="H23" i="419"/>
  <c r="G23" i="419"/>
  <c r="F23" i="419"/>
  <c r="J22" i="419"/>
  <c r="I22" i="419"/>
  <c r="H22" i="419"/>
  <c r="G22" i="419"/>
  <c r="E22" i="419"/>
  <c r="F22" i="419" s="1"/>
  <c r="J21" i="419"/>
  <c r="I21" i="419"/>
  <c r="H21" i="419"/>
  <c r="G21" i="419"/>
  <c r="E21" i="419"/>
  <c r="F21" i="419" s="1"/>
  <c r="J20" i="419"/>
  <c r="I20" i="419"/>
  <c r="H20" i="419"/>
  <c r="G20" i="419"/>
  <c r="E20" i="419"/>
  <c r="F20" i="419" s="1"/>
  <c r="J19" i="419"/>
  <c r="I19" i="419"/>
  <c r="H19" i="419"/>
  <c r="G19" i="419"/>
  <c r="E19" i="419"/>
  <c r="F19" i="419" s="1"/>
  <c r="C32" i="418"/>
  <c r="J28" i="418"/>
  <c r="H28" i="418"/>
  <c r="E27" i="418"/>
  <c r="J26" i="418"/>
  <c r="I26" i="418"/>
  <c r="H26" i="418"/>
  <c r="G26" i="418"/>
  <c r="E26" i="418"/>
  <c r="F26" i="418" s="1"/>
  <c r="J25" i="418"/>
  <c r="I25" i="418"/>
  <c r="H25" i="418"/>
  <c r="G25" i="418"/>
  <c r="E25" i="418"/>
  <c r="F25" i="418" s="1"/>
  <c r="J24" i="418"/>
  <c r="I24" i="418"/>
  <c r="H24" i="418"/>
  <c r="G24" i="418"/>
  <c r="E24" i="418"/>
  <c r="F24" i="418" s="1"/>
  <c r="J23" i="418"/>
  <c r="I23" i="418"/>
  <c r="H23" i="418"/>
  <c r="G23" i="418"/>
  <c r="F23" i="418"/>
  <c r="J22" i="418"/>
  <c r="I22" i="418"/>
  <c r="H22" i="418"/>
  <c r="G22" i="418"/>
  <c r="E22" i="418"/>
  <c r="F22" i="418" s="1"/>
  <c r="J21" i="418"/>
  <c r="I21" i="418"/>
  <c r="H21" i="418"/>
  <c r="G21" i="418"/>
  <c r="E21" i="418"/>
  <c r="F21" i="418" s="1"/>
  <c r="J20" i="418"/>
  <c r="I20" i="418"/>
  <c r="H20" i="418"/>
  <c r="G20" i="418"/>
  <c r="E20" i="418"/>
  <c r="F20" i="418" s="1"/>
  <c r="J19" i="418"/>
  <c r="I19" i="418"/>
  <c r="H19" i="418"/>
  <c r="G19" i="418"/>
  <c r="E19" i="418"/>
  <c r="F19" i="418" s="1"/>
  <c r="C32" i="417"/>
  <c r="J28" i="417"/>
  <c r="H28" i="417"/>
  <c r="E27" i="417"/>
  <c r="J26" i="417"/>
  <c r="I26" i="417"/>
  <c r="H26" i="417"/>
  <c r="G26" i="417"/>
  <c r="E26" i="417"/>
  <c r="F26" i="417" s="1"/>
  <c r="J25" i="417"/>
  <c r="I25" i="417"/>
  <c r="H25" i="417"/>
  <c r="G25" i="417"/>
  <c r="E25" i="417"/>
  <c r="F25" i="417" s="1"/>
  <c r="J24" i="417"/>
  <c r="I24" i="417"/>
  <c r="H24" i="417"/>
  <c r="G24" i="417"/>
  <c r="E24" i="417"/>
  <c r="F24" i="417" s="1"/>
  <c r="J23" i="417"/>
  <c r="I23" i="417"/>
  <c r="H23" i="417"/>
  <c r="G23" i="417"/>
  <c r="F23" i="417"/>
  <c r="J22" i="417"/>
  <c r="I22" i="417"/>
  <c r="H22" i="417"/>
  <c r="G22" i="417"/>
  <c r="E22" i="417"/>
  <c r="F22" i="417" s="1"/>
  <c r="J21" i="417"/>
  <c r="I21" i="417"/>
  <c r="H21" i="417"/>
  <c r="G21" i="417"/>
  <c r="E21" i="417"/>
  <c r="F21" i="417" s="1"/>
  <c r="J20" i="417"/>
  <c r="I20" i="417"/>
  <c r="H20" i="417"/>
  <c r="G20" i="417"/>
  <c r="E20" i="417"/>
  <c r="F20" i="417" s="1"/>
  <c r="J19" i="417"/>
  <c r="I19" i="417"/>
  <c r="H19" i="417"/>
  <c r="G19" i="417"/>
  <c r="E19" i="417"/>
  <c r="F19" i="417" s="1"/>
  <c r="C28" i="301"/>
  <c r="J24" i="301"/>
  <c r="H24" i="301"/>
  <c r="J23" i="301"/>
  <c r="I23" i="301"/>
  <c r="H23" i="301"/>
  <c r="G23" i="301"/>
  <c r="E23" i="301"/>
  <c r="F23" i="301" s="1"/>
  <c r="J22" i="301"/>
  <c r="I22" i="301"/>
  <c r="H22" i="301"/>
  <c r="G22" i="301"/>
  <c r="F22" i="301"/>
  <c r="M22" i="301" s="1"/>
  <c r="J21" i="301"/>
  <c r="I21" i="301"/>
  <c r="H21" i="301"/>
  <c r="G21" i="301"/>
  <c r="J20" i="301"/>
  <c r="I20" i="301"/>
  <c r="H20" i="301"/>
  <c r="G20" i="301"/>
  <c r="E20" i="301"/>
  <c r="F20" i="301" s="1"/>
  <c r="J19" i="301"/>
  <c r="I19" i="301"/>
  <c r="H19" i="301"/>
  <c r="G19" i="301"/>
  <c r="E19" i="301"/>
  <c r="F19" i="301" s="1"/>
  <c r="C30" i="300"/>
  <c r="J26" i="300"/>
  <c r="H26" i="300"/>
  <c r="E25" i="300"/>
  <c r="J24" i="300"/>
  <c r="I24" i="300"/>
  <c r="H24" i="300"/>
  <c r="G24" i="300"/>
  <c r="E24" i="300"/>
  <c r="F24" i="300" s="1"/>
  <c r="J23" i="300"/>
  <c r="I23" i="300"/>
  <c r="H23" i="300"/>
  <c r="G23" i="300"/>
  <c r="F23" i="300"/>
  <c r="J22" i="300"/>
  <c r="I22" i="300"/>
  <c r="H22" i="300"/>
  <c r="G22" i="300"/>
  <c r="E22" i="300"/>
  <c r="F22" i="300" s="1"/>
  <c r="J21" i="300"/>
  <c r="I21" i="300"/>
  <c r="H21" i="300"/>
  <c r="G21" i="300"/>
  <c r="E21" i="300"/>
  <c r="F21" i="300" s="1"/>
  <c r="M21" i="300" s="1"/>
  <c r="J20" i="300"/>
  <c r="I20" i="300"/>
  <c r="H20" i="300"/>
  <c r="G20" i="300"/>
  <c r="J19" i="300"/>
  <c r="I19" i="300"/>
  <c r="H19" i="300"/>
  <c r="G19" i="300"/>
  <c r="C33" i="92"/>
  <c r="J29" i="92"/>
  <c r="H29" i="92"/>
  <c r="E28" i="92"/>
  <c r="J27" i="92"/>
  <c r="I27" i="92"/>
  <c r="H27" i="92"/>
  <c r="G27" i="92"/>
  <c r="E27" i="92"/>
  <c r="F27" i="92" s="1"/>
  <c r="J26" i="92"/>
  <c r="I26" i="92"/>
  <c r="H26" i="92"/>
  <c r="G26" i="92"/>
  <c r="E26" i="92"/>
  <c r="F26" i="92" s="1"/>
  <c r="J25" i="92"/>
  <c r="I25" i="92"/>
  <c r="H25" i="92"/>
  <c r="G25" i="92"/>
  <c r="E25" i="92"/>
  <c r="F25" i="92" s="1"/>
  <c r="J24" i="92"/>
  <c r="I24" i="92"/>
  <c r="H24" i="92"/>
  <c r="G24" i="92"/>
  <c r="F24" i="92"/>
  <c r="J23" i="92"/>
  <c r="I23" i="92"/>
  <c r="H23" i="92"/>
  <c r="G23" i="92"/>
  <c r="E23" i="92"/>
  <c r="F23" i="92" s="1"/>
  <c r="J22" i="92"/>
  <c r="I22" i="92"/>
  <c r="H22" i="92"/>
  <c r="G22" i="92"/>
  <c r="E22" i="92"/>
  <c r="F22" i="92" s="1"/>
  <c r="J21" i="92"/>
  <c r="I21" i="92"/>
  <c r="H21" i="92"/>
  <c r="G21" i="92"/>
  <c r="E21" i="92"/>
  <c r="F21" i="92" s="1"/>
  <c r="J20" i="92"/>
  <c r="I20" i="92"/>
  <c r="H20" i="92"/>
  <c r="G20" i="92"/>
  <c r="E20" i="92"/>
  <c r="F20" i="92" s="1"/>
  <c r="J19" i="92"/>
  <c r="I19" i="92"/>
  <c r="H19" i="92"/>
  <c r="G19" i="92"/>
  <c r="E19" i="92"/>
  <c r="F19" i="92" s="1"/>
  <c r="M19" i="92" s="1"/>
  <c r="C29" i="415"/>
  <c r="J25" i="415"/>
  <c r="H25" i="415"/>
  <c r="J24" i="415"/>
  <c r="H24" i="415"/>
  <c r="J23" i="415"/>
  <c r="I23" i="415"/>
  <c r="H23" i="415"/>
  <c r="G23" i="415"/>
  <c r="E23" i="415"/>
  <c r="F23" i="415" s="1"/>
  <c r="J22" i="415"/>
  <c r="I22" i="415"/>
  <c r="H22" i="415"/>
  <c r="G22" i="415"/>
  <c r="E22" i="415"/>
  <c r="F22" i="415" s="1"/>
  <c r="D21" i="415"/>
  <c r="H21" i="415" s="1"/>
  <c r="C21" i="415"/>
  <c r="AE86" i="147" s="1"/>
  <c r="AE456" i="147" s="1"/>
  <c r="J20" i="415"/>
  <c r="I20" i="415"/>
  <c r="H20" i="415"/>
  <c r="G20" i="415"/>
  <c r="E20" i="415"/>
  <c r="F20" i="415" s="1"/>
  <c r="J19" i="415"/>
  <c r="I19" i="415"/>
  <c r="H19" i="415"/>
  <c r="G19" i="415"/>
  <c r="E19" i="415"/>
  <c r="F19" i="415" s="1"/>
  <c r="C33" i="416"/>
  <c r="J29" i="416"/>
  <c r="H29" i="416"/>
  <c r="J28" i="416"/>
  <c r="I28" i="416"/>
  <c r="H28" i="416"/>
  <c r="G28" i="416"/>
  <c r="E28" i="416"/>
  <c r="F28" i="416" s="1"/>
  <c r="E27" i="416"/>
  <c r="J26" i="416"/>
  <c r="I26" i="416"/>
  <c r="H26" i="416"/>
  <c r="G26" i="416"/>
  <c r="E26" i="416"/>
  <c r="F26" i="416" s="1"/>
  <c r="J25" i="416"/>
  <c r="I25" i="416"/>
  <c r="H25" i="416"/>
  <c r="G25" i="416"/>
  <c r="E25" i="416"/>
  <c r="F25" i="416" s="1"/>
  <c r="J24" i="416"/>
  <c r="I24" i="416"/>
  <c r="H24" i="416"/>
  <c r="G24" i="416"/>
  <c r="J23" i="416"/>
  <c r="I23" i="416"/>
  <c r="H23" i="416"/>
  <c r="G23" i="416"/>
  <c r="F23" i="416"/>
  <c r="J22" i="416"/>
  <c r="I22" i="416"/>
  <c r="H22" i="416"/>
  <c r="G22" i="416"/>
  <c r="E22" i="416"/>
  <c r="F22" i="416" s="1"/>
  <c r="J21" i="416"/>
  <c r="I21" i="416"/>
  <c r="H21" i="416"/>
  <c r="G21" i="416"/>
  <c r="E21" i="416"/>
  <c r="F21" i="416" s="1"/>
  <c r="J20" i="416"/>
  <c r="I20" i="416"/>
  <c r="H20" i="416"/>
  <c r="G20" i="416"/>
  <c r="E20" i="416"/>
  <c r="F20" i="416" s="1"/>
  <c r="J19" i="416"/>
  <c r="I19" i="416"/>
  <c r="H19" i="416"/>
  <c r="G19" i="416"/>
  <c r="E19" i="416"/>
  <c r="F19" i="416" s="1"/>
  <c r="M19" i="416" s="1"/>
  <c r="C28" i="414"/>
  <c r="J24" i="414"/>
  <c r="H24" i="414"/>
  <c r="J23" i="414"/>
  <c r="H23" i="414"/>
  <c r="J22" i="414"/>
  <c r="I22" i="414"/>
  <c r="H22" i="414"/>
  <c r="G22" i="414"/>
  <c r="F22" i="414"/>
  <c r="J21" i="414"/>
  <c r="I21" i="414"/>
  <c r="H21" i="414"/>
  <c r="G21" i="414"/>
  <c r="E21" i="414"/>
  <c r="F21" i="414" s="1"/>
  <c r="D20" i="414"/>
  <c r="H20" i="414" s="1"/>
  <c r="C20" i="414"/>
  <c r="J19" i="414"/>
  <c r="I19" i="414"/>
  <c r="H19" i="414"/>
  <c r="G19" i="414"/>
  <c r="E19" i="414"/>
  <c r="F19" i="414" s="1"/>
  <c r="C35" i="413"/>
  <c r="J31" i="413"/>
  <c r="H31" i="413"/>
  <c r="J30" i="413"/>
  <c r="I30" i="413"/>
  <c r="H30" i="413"/>
  <c r="G30" i="413"/>
  <c r="J29" i="413"/>
  <c r="H29" i="413"/>
  <c r="J28" i="413"/>
  <c r="I28" i="413"/>
  <c r="H28" i="413"/>
  <c r="G28" i="413"/>
  <c r="E28" i="413"/>
  <c r="F28" i="413" s="1"/>
  <c r="E27" i="413"/>
  <c r="J26" i="413"/>
  <c r="I26" i="413"/>
  <c r="H26" i="413"/>
  <c r="G26" i="413"/>
  <c r="E26" i="413"/>
  <c r="F26" i="413" s="1"/>
  <c r="J25" i="413"/>
  <c r="I25" i="413"/>
  <c r="H25" i="413"/>
  <c r="G25" i="413"/>
  <c r="E25" i="413"/>
  <c r="F25" i="413" s="1"/>
  <c r="M25" i="413" s="1"/>
  <c r="J24" i="413"/>
  <c r="I24" i="413"/>
  <c r="H24" i="413"/>
  <c r="G24" i="413"/>
  <c r="F24" i="413"/>
  <c r="J23" i="413"/>
  <c r="I23" i="413"/>
  <c r="H23" i="413"/>
  <c r="G23" i="413"/>
  <c r="E23" i="413"/>
  <c r="F23" i="413" s="1"/>
  <c r="J22" i="413"/>
  <c r="I22" i="413"/>
  <c r="H22" i="413"/>
  <c r="G22" i="413"/>
  <c r="E22" i="413"/>
  <c r="F22" i="413" s="1"/>
  <c r="J21" i="413"/>
  <c r="I21" i="413"/>
  <c r="H21" i="413"/>
  <c r="G21" i="413"/>
  <c r="E21" i="413"/>
  <c r="F21" i="413" s="1"/>
  <c r="J20" i="413"/>
  <c r="I20" i="413"/>
  <c r="H20" i="413"/>
  <c r="G20" i="413"/>
  <c r="E20" i="413"/>
  <c r="F20" i="413" s="1"/>
  <c r="J19" i="413"/>
  <c r="I19" i="413"/>
  <c r="H19" i="413"/>
  <c r="G19" i="413"/>
  <c r="E19" i="413"/>
  <c r="F19" i="413" s="1"/>
  <c r="C28" i="102"/>
  <c r="J24" i="102"/>
  <c r="H24" i="102"/>
  <c r="J23" i="102"/>
  <c r="H23" i="102"/>
  <c r="J22" i="102"/>
  <c r="I22" i="102"/>
  <c r="H22" i="102"/>
  <c r="G22" i="102"/>
  <c r="J21" i="102"/>
  <c r="I21" i="102"/>
  <c r="H21" i="102"/>
  <c r="G21" i="102"/>
  <c r="F21" i="102"/>
  <c r="J20" i="102"/>
  <c r="I20" i="102"/>
  <c r="H20" i="102"/>
  <c r="G20" i="102"/>
  <c r="E20" i="102"/>
  <c r="F20" i="102" s="1"/>
  <c r="J19" i="102"/>
  <c r="I19" i="102"/>
  <c r="H19" i="102"/>
  <c r="G19" i="102"/>
  <c r="E19" i="102"/>
  <c r="F19" i="102" s="1"/>
  <c r="C35" i="103"/>
  <c r="J31" i="103"/>
  <c r="H31" i="103"/>
  <c r="J29" i="103"/>
  <c r="H29" i="103"/>
  <c r="J28" i="103"/>
  <c r="I28" i="103"/>
  <c r="H28" i="103"/>
  <c r="G28" i="103"/>
  <c r="E28" i="103"/>
  <c r="F28" i="103" s="1"/>
  <c r="E27" i="103"/>
  <c r="J26" i="103"/>
  <c r="I26" i="103"/>
  <c r="H26" i="103"/>
  <c r="G26" i="103"/>
  <c r="E26" i="103"/>
  <c r="F26" i="103" s="1"/>
  <c r="J25" i="103"/>
  <c r="I25" i="103"/>
  <c r="H25" i="103"/>
  <c r="G25" i="103"/>
  <c r="E25" i="103"/>
  <c r="F25" i="103" s="1"/>
  <c r="J24" i="103"/>
  <c r="I24" i="103"/>
  <c r="H24" i="103"/>
  <c r="G24" i="103"/>
  <c r="F24" i="103"/>
  <c r="J23" i="103"/>
  <c r="I23" i="103"/>
  <c r="H23" i="103"/>
  <c r="G23" i="103"/>
  <c r="E23" i="103"/>
  <c r="F23" i="103" s="1"/>
  <c r="J22" i="103"/>
  <c r="I22" i="103"/>
  <c r="H22" i="103"/>
  <c r="G22" i="103"/>
  <c r="E22" i="103"/>
  <c r="F22" i="103" s="1"/>
  <c r="J21" i="103"/>
  <c r="I21" i="103"/>
  <c r="H21" i="103"/>
  <c r="G21" i="103"/>
  <c r="E21" i="103"/>
  <c r="F21" i="103" s="1"/>
  <c r="J20" i="103"/>
  <c r="I20" i="103"/>
  <c r="H20" i="103"/>
  <c r="G20" i="103"/>
  <c r="E20" i="103"/>
  <c r="F20" i="103" s="1"/>
  <c r="J19" i="103"/>
  <c r="I19" i="103"/>
  <c r="H19" i="103"/>
  <c r="G19" i="103"/>
  <c r="E19" i="103"/>
  <c r="F19" i="103" s="1"/>
  <c r="C32" i="169"/>
  <c r="J28" i="169"/>
  <c r="H28" i="169"/>
  <c r="E27" i="169"/>
  <c r="J26" i="169"/>
  <c r="I26" i="169"/>
  <c r="H26" i="169"/>
  <c r="G26" i="169"/>
  <c r="E26" i="169"/>
  <c r="F26" i="169" s="1"/>
  <c r="J25" i="169"/>
  <c r="I25" i="169"/>
  <c r="H25" i="169"/>
  <c r="G25" i="169"/>
  <c r="E25" i="169"/>
  <c r="F25" i="169" s="1"/>
  <c r="J24" i="169"/>
  <c r="I24" i="169"/>
  <c r="H24" i="169"/>
  <c r="G24" i="169"/>
  <c r="F24" i="169"/>
  <c r="J23" i="169"/>
  <c r="I23" i="169"/>
  <c r="H23" i="169"/>
  <c r="G23" i="169"/>
  <c r="E23" i="169"/>
  <c r="F23" i="169" s="1"/>
  <c r="J22" i="169"/>
  <c r="I22" i="169"/>
  <c r="H22" i="169"/>
  <c r="G22" i="169"/>
  <c r="E22" i="169"/>
  <c r="F22" i="169" s="1"/>
  <c r="J21" i="169"/>
  <c r="I21" i="169"/>
  <c r="H21" i="169"/>
  <c r="G21" i="169"/>
  <c r="E21" i="169"/>
  <c r="F21" i="169" s="1"/>
  <c r="J20" i="169"/>
  <c r="I20" i="169"/>
  <c r="H20" i="169"/>
  <c r="G20" i="169"/>
  <c r="E20" i="169"/>
  <c r="F20" i="169" s="1"/>
  <c r="J19" i="169"/>
  <c r="I19" i="169"/>
  <c r="H19" i="169"/>
  <c r="G19" i="169"/>
  <c r="E19" i="169"/>
  <c r="F19" i="169" s="1"/>
  <c r="C34" i="412"/>
  <c r="J30" i="412"/>
  <c r="H30" i="412"/>
  <c r="E29" i="412"/>
  <c r="J28" i="412"/>
  <c r="I28" i="412"/>
  <c r="H28" i="412"/>
  <c r="G28" i="412"/>
  <c r="E28" i="412"/>
  <c r="F28" i="412" s="1"/>
  <c r="J27" i="412"/>
  <c r="I27" i="412"/>
  <c r="H27" i="412"/>
  <c r="G27" i="412"/>
  <c r="E27" i="412"/>
  <c r="F27" i="412" s="1"/>
  <c r="J26" i="412"/>
  <c r="I26" i="412"/>
  <c r="H26" i="412"/>
  <c r="G26" i="412"/>
  <c r="E26" i="412"/>
  <c r="F26" i="412" s="1"/>
  <c r="J25" i="412"/>
  <c r="I25" i="412"/>
  <c r="H25" i="412"/>
  <c r="G25" i="412"/>
  <c r="F25" i="412"/>
  <c r="J24" i="412"/>
  <c r="I24" i="412"/>
  <c r="H24" i="412"/>
  <c r="G24" i="412"/>
  <c r="E24" i="412"/>
  <c r="F24" i="412" s="1"/>
  <c r="J23" i="412"/>
  <c r="I23" i="412"/>
  <c r="H23" i="412"/>
  <c r="G23" i="412"/>
  <c r="E23" i="412"/>
  <c r="F23" i="412" s="1"/>
  <c r="J22" i="412"/>
  <c r="I22" i="412"/>
  <c r="H22" i="412"/>
  <c r="G22" i="412"/>
  <c r="E22" i="412"/>
  <c r="F22" i="412" s="1"/>
  <c r="J21" i="412"/>
  <c r="I21" i="412"/>
  <c r="H21" i="412"/>
  <c r="G21" i="412"/>
  <c r="E21" i="412"/>
  <c r="F21" i="412" s="1"/>
  <c r="J20" i="412"/>
  <c r="I20" i="412"/>
  <c r="H20" i="412"/>
  <c r="G20" i="412"/>
  <c r="E20" i="412"/>
  <c r="F20" i="412" s="1"/>
  <c r="M20" i="412" s="1"/>
  <c r="J19" i="412"/>
  <c r="I19" i="412"/>
  <c r="H19" i="412"/>
  <c r="G19" i="412"/>
  <c r="E19" i="412"/>
  <c r="F19" i="412" s="1"/>
  <c r="C34" i="411"/>
  <c r="J30" i="411"/>
  <c r="H30" i="411"/>
  <c r="E29" i="411"/>
  <c r="F29" i="411" s="1"/>
  <c r="J26" i="411"/>
  <c r="I26" i="411"/>
  <c r="H26" i="411"/>
  <c r="G26" i="411"/>
  <c r="E26" i="411"/>
  <c r="F26" i="411" s="1"/>
  <c r="J25" i="411"/>
  <c r="I25" i="411"/>
  <c r="H25" i="411"/>
  <c r="G25" i="411"/>
  <c r="F25" i="411"/>
  <c r="J24" i="411"/>
  <c r="I24" i="411"/>
  <c r="H24" i="411"/>
  <c r="G24" i="411"/>
  <c r="E24" i="411"/>
  <c r="F24" i="411" s="1"/>
  <c r="J23" i="411"/>
  <c r="I23" i="411"/>
  <c r="H23" i="411"/>
  <c r="G23" i="411"/>
  <c r="E23" i="411"/>
  <c r="F23" i="411" s="1"/>
  <c r="J22" i="411"/>
  <c r="I22" i="411"/>
  <c r="H22" i="411"/>
  <c r="G22" i="411"/>
  <c r="E22" i="411"/>
  <c r="F22" i="411" s="1"/>
  <c r="J21" i="411"/>
  <c r="I21" i="411"/>
  <c r="H21" i="411"/>
  <c r="G21" i="411"/>
  <c r="E21" i="411"/>
  <c r="F21" i="411" s="1"/>
  <c r="J20" i="411"/>
  <c r="I20" i="411"/>
  <c r="H20" i="411"/>
  <c r="G20" i="411"/>
  <c r="E20" i="411"/>
  <c r="F20" i="411" s="1"/>
  <c r="J19" i="411"/>
  <c r="I19" i="411"/>
  <c r="H19" i="411"/>
  <c r="G19" i="411"/>
  <c r="E19" i="411"/>
  <c r="F19" i="411" s="1"/>
  <c r="C34" i="168"/>
  <c r="J30" i="168"/>
  <c r="H30" i="168"/>
  <c r="E29" i="168"/>
  <c r="J28" i="168"/>
  <c r="I28" i="168"/>
  <c r="H28" i="168"/>
  <c r="G28" i="168"/>
  <c r="E28" i="168"/>
  <c r="F28" i="168" s="1"/>
  <c r="J27" i="168"/>
  <c r="I27" i="168"/>
  <c r="H27" i="168"/>
  <c r="G27" i="168"/>
  <c r="E27" i="168"/>
  <c r="F27" i="168" s="1"/>
  <c r="J26" i="168"/>
  <c r="I26" i="168"/>
  <c r="H26" i="168"/>
  <c r="G26" i="168"/>
  <c r="E26" i="168"/>
  <c r="F26" i="168" s="1"/>
  <c r="J25" i="168"/>
  <c r="I25" i="168"/>
  <c r="H25" i="168"/>
  <c r="G25" i="168"/>
  <c r="F25" i="168"/>
  <c r="J24" i="168"/>
  <c r="I24" i="168"/>
  <c r="H24" i="168"/>
  <c r="G24" i="168"/>
  <c r="E24" i="168"/>
  <c r="F24" i="168" s="1"/>
  <c r="J23" i="168"/>
  <c r="I23" i="168"/>
  <c r="H23" i="168"/>
  <c r="G23" i="168"/>
  <c r="E23" i="168"/>
  <c r="F23" i="168" s="1"/>
  <c r="J22" i="168"/>
  <c r="I22" i="168"/>
  <c r="H22" i="168"/>
  <c r="G22" i="168"/>
  <c r="E22" i="168"/>
  <c r="F22" i="168" s="1"/>
  <c r="J21" i="168"/>
  <c r="I21" i="168"/>
  <c r="H21" i="168"/>
  <c r="G21" i="168"/>
  <c r="E21" i="168"/>
  <c r="F21" i="168" s="1"/>
  <c r="J20" i="168"/>
  <c r="I20" i="168"/>
  <c r="H20" i="168"/>
  <c r="G20" i="168"/>
  <c r="E20" i="168"/>
  <c r="F20" i="168" s="1"/>
  <c r="M20" i="168" s="1"/>
  <c r="J19" i="168"/>
  <c r="I19" i="168"/>
  <c r="H19" i="168"/>
  <c r="G19" i="168"/>
  <c r="E19" i="168"/>
  <c r="F19" i="168" s="1"/>
  <c r="C33" i="428"/>
  <c r="J29" i="428"/>
  <c r="H29" i="428"/>
  <c r="E28" i="428"/>
  <c r="J27" i="428"/>
  <c r="I27" i="428"/>
  <c r="H27" i="428"/>
  <c r="G27" i="428"/>
  <c r="E27" i="428"/>
  <c r="F27" i="428" s="1"/>
  <c r="J26" i="428"/>
  <c r="I26" i="428"/>
  <c r="H26" i="428"/>
  <c r="G26" i="428"/>
  <c r="E26" i="428"/>
  <c r="F26" i="428" s="1"/>
  <c r="J25" i="428"/>
  <c r="I25" i="428"/>
  <c r="H25" i="428"/>
  <c r="G25" i="428"/>
  <c r="E25" i="428"/>
  <c r="F25" i="428" s="1"/>
  <c r="J24" i="428"/>
  <c r="I24" i="428"/>
  <c r="H24" i="428"/>
  <c r="G24" i="428"/>
  <c r="F24" i="428"/>
  <c r="J23" i="428"/>
  <c r="I23" i="428"/>
  <c r="H23" i="428"/>
  <c r="G23" i="428"/>
  <c r="E23" i="428"/>
  <c r="F23" i="428" s="1"/>
  <c r="J22" i="428"/>
  <c r="I22" i="428"/>
  <c r="H22" i="428"/>
  <c r="G22" i="428"/>
  <c r="E22" i="428"/>
  <c r="F22" i="428" s="1"/>
  <c r="J21" i="428"/>
  <c r="I21" i="428"/>
  <c r="H21" i="428"/>
  <c r="G21" i="428"/>
  <c r="E21" i="428"/>
  <c r="F21" i="428" s="1"/>
  <c r="J20" i="428"/>
  <c r="I20" i="428"/>
  <c r="H20" i="428"/>
  <c r="G20" i="428"/>
  <c r="F20" i="428"/>
  <c r="J19" i="428"/>
  <c r="I19" i="428"/>
  <c r="H19" i="428"/>
  <c r="G19" i="428"/>
  <c r="E19" i="428"/>
  <c r="F19" i="428" s="1"/>
  <c r="M19" i="428" s="1"/>
  <c r="C33" i="410"/>
  <c r="J29" i="410"/>
  <c r="H29" i="410"/>
  <c r="E28" i="410"/>
  <c r="J27" i="410"/>
  <c r="I27" i="410"/>
  <c r="H27" i="410"/>
  <c r="G27" i="410"/>
  <c r="E27" i="410"/>
  <c r="F27" i="410" s="1"/>
  <c r="J26" i="410"/>
  <c r="I26" i="410"/>
  <c r="H26" i="410"/>
  <c r="G26" i="410"/>
  <c r="E26" i="410"/>
  <c r="F26" i="410" s="1"/>
  <c r="J25" i="410"/>
  <c r="I25" i="410"/>
  <c r="H25" i="410"/>
  <c r="G25" i="410"/>
  <c r="E25" i="410"/>
  <c r="F25" i="410" s="1"/>
  <c r="J24" i="410"/>
  <c r="I24" i="410"/>
  <c r="H24" i="410"/>
  <c r="G24" i="410"/>
  <c r="F24" i="410"/>
  <c r="J23" i="410"/>
  <c r="I23" i="410"/>
  <c r="H23" i="410"/>
  <c r="G23" i="410"/>
  <c r="E23" i="410"/>
  <c r="F23" i="410" s="1"/>
  <c r="J22" i="410"/>
  <c r="I22" i="410"/>
  <c r="H22" i="410"/>
  <c r="G22" i="410"/>
  <c r="E22" i="410"/>
  <c r="F22" i="410" s="1"/>
  <c r="J21" i="410"/>
  <c r="I21" i="410"/>
  <c r="H21" i="410"/>
  <c r="G21" i="410"/>
  <c r="E21" i="410"/>
  <c r="F21" i="410" s="1"/>
  <c r="J20" i="410"/>
  <c r="I20" i="410"/>
  <c r="H20" i="410"/>
  <c r="G20" i="410"/>
  <c r="E20" i="410"/>
  <c r="F20" i="410" s="1"/>
  <c r="J19" i="410"/>
  <c r="I19" i="410"/>
  <c r="H19" i="410"/>
  <c r="G19" i="410"/>
  <c r="E19" i="410"/>
  <c r="F19" i="410" s="1"/>
  <c r="M19" i="410" s="1"/>
  <c r="C33" i="409"/>
  <c r="J29" i="409"/>
  <c r="H29" i="409"/>
  <c r="E28" i="409"/>
  <c r="J27" i="409"/>
  <c r="I27" i="409"/>
  <c r="H27" i="409"/>
  <c r="G27" i="409"/>
  <c r="E27" i="409"/>
  <c r="F27" i="409" s="1"/>
  <c r="J26" i="409"/>
  <c r="I26" i="409"/>
  <c r="H26" i="409"/>
  <c r="G26" i="409"/>
  <c r="E26" i="409"/>
  <c r="F26" i="409" s="1"/>
  <c r="J25" i="409"/>
  <c r="I25" i="409"/>
  <c r="H25" i="409"/>
  <c r="G25" i="409"/>
  <c r="E25" i="409"/>
  <c r="F25" i="409" s="1"/>
  <c r="J24" i="409"/>
  <c r="I24" i="409"/>
  <c r="H24" i="409"/>
  <c r="G24" i="409"/>
  <c r="F24" i="409"/>
  <c r="J23" i="409"/>
  <c r="I23" i="409"/>
  <c r="H23" i="409"/>
  <c r="G23" i="409"/>
  <c r="E23" i="409"/>
  <c r="F23" i="409" s="1"/>
  <c r="J22" i="409"/>
  <c r="I22" i="409"/>
  <c r="H22" i="409"/>
  <c r="G22" i="409"/>
  <c r="E22" i="409"/>
  <c r="F22" i="409" s="1"/>
  <c r="J21" i="409"/>
  <c r="I21" i="409"/>
  <c r="H21" i="409"/>
  <c r="G21" i="409"/>
  <c r="E21" i="409"/>
  <c r="F21" i="409" s="1"/>
  <c r="J20" i="409"/>
  <c r="I20" i="409"/>
  <c r="H20" i="409"/>
  <c r="G20" i="409"/>
  <c r="E20" i="409"/>
  <c r="F20" i="409" s="1"/>
  <c r="J19" i="409"/>
  <c r="I19" i="409"/>
  <c r="H19" i="409"/>
  <c r="G19" i="409"/>
  <c r="E19" i="409"/>
  <c r="F19" i="409" s="1"/>
  <c r="M19" i="409" s="1"/>
  <c r="C33" i="408"/>
  <c r="J29" i="408"/>
  <c r="H29" i="408"/>
  <c r="E28" i="408"/>
  <c r="J27" i="408"/>
  <c r="I27" i="408"/>
  <c r="H27" i="408"/>
  <c r="G27" i="408"/>
  <c r="E27" i="408"/>
  <c r="F27" i="408" s="1"/>
  <c r="J26" i="408"/>
  <c r="I26" i="408"/>
  <c r="H26" i="408"/>
  <c r="G26" i="408"/>
  <c r="E26" i="408"/>
  <c r="F26" i="408" s="1"/>
  <c r="J25" i="408"/>
  <c r="I25" i="408"/>
  <c r="H25" i="408"/>
  <c r="G25" i="408"/>
  <c r="E25" i="408"/>
  <c r="F25" i="408" s="1"/>
  <c r="J24" i="408"/>
  <c r="I24" i="408"/>
  <c r="H24" i="408"/>
  <c r="G24" i="408"/>
  <c r="F24" i="408"/>
  <c r="J23" i="408"/>
  <c r="I23" i="408"/>
  <c r="H23" i="408"/>
  <c r="G23" i="408"/>
  <c r="E23" i="408"/>
  <c r="F23" i="408" s="1"/>
  <c r="J22" i="408"/>
  <c r="I22" i="408"/>
  <c r="H22" i="408"/>
  <c r="G22" i="408"/>
  <c r="E22" i="408"/>
  <c r="F22" i="408" s="1"/>
  <c r="J21" i="408"/>
  <c r="I21" i="408"/>
  <c r="H21" i="408"/>
  <c r="G21" i="408"/>
  <c r="E21" i="408"/>
  <c r="F21" i="408" s="1"/>
  <c r="J20" i="408"/>
  <c r="I20" i="408"/>
  <c r="H20" i="408"/>
  <c r="G20" i="408"/>
  <c r="E20" i="408"/>
  <c r="F20" i="408" s="1"/>
  <c r="J19" i="408"/>
  <c r="I19" i="408"/>
  <c r="H19" i="408"/>
  <c r="G19" i="408"/>
  <c r="E19" i="408"/>
  <c r="F19" i="408" s="1"/>
  <c r="M19" i="408" s="1"/>
  <c r="C33" i="407"/>
  <c r="J29" i="407"/>
  <c r="H29" i="407"/>
  <c r="E28" i="407"/>
  <c r="J27" i="407"/>
  <c r="I27" i="407"/>
  <c r="H27" i="407"/>
  <c r="G27" i="407"/>
  <c r="E27" i="407"/>
  <c r="F27" i="407" s="1"/>
  <c r="J26" i="407"/>
  <c r="I26" i="407"/>
  <c r="H26" i="407"/>
  <c r="G26" i="407"/>
  <c r="E26" i="407"/>
  <c r="F26" i="407" s="1"/>
  <c r="J25" i="407"/>
  <c r="I25" i="407"/>
  <c r="H25" i="407"/>
  <c r="G25" i="407"/>
  <c r="E25" i="407"/>
  <c r="F25" i="407" s="1"/>
  <c r="J24" i="407"/>
  <c r="I24" i="407"/>
  <c r="H24" i="407"/>
  <c r="G24" i="407"/>
  <c r="F24" i="407"/>
  <c r="J23" i="407"/>
  <c r="I23" i="407"/>
  <c r="H23" i="407"/>
  <c r="G23" i="407"/>
  <c r="E23" i="407"/>
  <c r="F23" i="407" s="1"/>
  <c r="J22" i="407"/>
  <c r="I22" i="407"/>
  <c r="H22" i="407"/>
  <c r="G22" i="407"/>
  <c r="E22" i="407"/>
  <c r="F22" i="407" s="1"/>
  <c r="J21" i="407"/>
  <c r="I21" i="407"/>
  <c r="H21" i="407"/>
  <c r="G21" i="407"/>
  <c r="E21" i="407"/>
  <c r="F21" i="407" s="1"/>
  <c r="J20" i="407"/>
  <c r="I20" i="407"/>
  <c r="H20" i="407"/>
  <c r="G20" i="407"/>
  <c r="E20" i="407"/>
  <c r="F20" i="407" s="1"/>
  <c r="J19" i="407"/>
  <c r="I19" i="407"/>
  <c r="H19" i="407"/>
  <c r="G19" i="407"/>
  <c r="E19" i="407"/>
  <c r="F19" i="407" s="1"/>
  <c r="M19" i="407" s="1"/>
  <c r="C33" i="167"/>
  <c r="J29" i="167"/>
  <c r="H29" i="167"/>
  <c r="E28" i="167"/>
  <c r="J27" i="167"/>
  <c r="I27" i="167"/>
  <c r="H27" i="167"/>
  <c r="G27" i="167"/>
  <c r="E27" i="167"/>
  <c r="F27" i="167" s="1"/>
  <c r="J26" i="167"/>
  <c r="I26" i="167"/>
  <c r="H26" i="167"/>
  <c r="G26" i="167"/>
  <c r="E26" i="167"/>
  <c r="F26" i="167" s="1"/>
  <c r="J25" i="167"/>
  <c r="I25" i="167"/>
  <c r="H25" i="167"/>
  <c r="G25" i="167"/>
  <c r="E25" i="167"/>
  <c r="F25" i="167" s="1"/>
  <c r="J24" i="167"/>
  <c r="I24" i="167"/>
  <c r="H24" i="167"/>
  <c r="G24" i="167"/>
  <c r="F24" i="167"/>
  <c r="J23" i="167"/>
  <c r="I23" i="167"/>
  <c r="H23" i="167"/>
  <c r="G23" i="167"/>
  <c r="E23" i="167"/>
  <c r="F23" i="167" s="1"/>
  <c r="J22" i="167"/>
  <c r="I22" i="167"/>
  <c r="H22" i="167"/>
  <c r="G22" i="167"/>
  <c r="E22" i="167"/>
  <c r="F22" i="167" s="1"/>
  <c r="J21" i="167"/>
  <c r="I21" i="167"/>
  <c r="H21" i="167"/>
  <c r="G21" i="167"/>
  <c r="E21" i="167"/>
  <c r="F21" i="167" s="1"/>
  <c r="J20" i="167"/>
  <c r="I20" i="167"/>
  <c r="H20" i="167"/>
  <c r="G20" i="167"/>
  <c r="E20" i="167"/>
  <c r="F20" i="167" s="1"/>
  <c r="J19" i="167"/>
  <c r="I19" i="167"/>
  <c r="H19" i="167"/>
  <c r="G19" i="167"/>
  <c r="E19" i="167"/>
  <c r="F19" i="167" s="1"/>
  <c r="M19" i="167" s="1"/>
  <c r="C34" i="406"/>
  <c r="J30" i="406"/>
  <c r="H30" i="406"/>
  <c r="J29" i="406"/>
  <c r="I29" i="406"/>
  <c r="H29" i="406"/>
  <c r="G29" i="406"/>
  <c r="E29" i="406"/>
  <c r="F29" i="406" s="1"/>
  <c r="E28" i="406"/>
  <c r="J27" i="406"/>
  <c r="I27" i="406"/>
  <c r="H27" i="406"/>
  <c r="G27" i="406"/>
  <c r="E27" i="406"/>
  <c r="F27" i="406" s="1"/>
  <c r="J26" i="406"/>
  <c r="I26" i="406"/>
  <c r="H26" i="406"/>
  <c r="G26" i="406"/>
  <c r="E26" i="406"/>
  <c r="F26" i="406" s="1"/>
  <c r="J25" i="406"/>
  <c r="I25" i="406"/>
  <c r="H25" i="406"/>
  <c r="G25" i="406"/>
  <c r="F25" i="406"/>
  <c r="J24" i="406"/>
  <c r="I24" i="406"/>
  <c r="H24" i="406"/>
  <c r="G24" i="406"/>
  <c r="E24" i="406"/>
  <c r="F24" i="406" s="1"/>
  <c r="J23" i="406"/>
  <c r="I23" i="406"/>
  <c r="H23" i="406"/>
  <c r="G23" i="406"/>
  <c r="E23" i="406"/>
  <c r="F23" i="406" s="1"/>
  <c r="J22" i="406"/>
  <c r="I22" i="406"/>
  <c r="H22" i="406"/>
  <c r="G22" i="406"/>
  <c r="E22" i="406"/>
  <c r="F22" i="406" s="1"/>
  <c r="J21" i="406"/>
  <c r="I21" i="406"/>
  <c r="H21" i="406"/>
  <c r="G21" i="406"/>
  <c r="E21" i="406"/>
  <c r="F21" i="406" s="1"/>
  <c r="J20" i="406"/>
  <c r="I20" i="406"/>
  <c r="H20" i="406"/>
  <c r="G20" i="406"/>
  <c r="E20" i="406"/>
  <c r="F20" i="406" s="1"/>
  <c r="M20" i="406" s="1"/>
  <c r="J19" i="406"/>
  <c r="I19" i="406"/>
  <c r="H19" i="406"/>
  <c r="G19" i="406"/>
  <c r="E19" i="406"/>
  <c r="F19" i="406" s="1"/>
  <c r="C34" i="427"/>
  <c r="J30" i="427"/>
  <c r="H30" i="427"/>
  <c r="J29" i="427"/>
  <c r="I29" i="427"/>
  <c r="H29" i="427"/>
  <c r="G29" i="427"/>
  <c r="E29" i="427"/>
  <c r="F29" i="427" s="1"/>
  <c r="E28" i="427"/>
  <c r="J27" i="427"/>
  <c r="I27" i="427"/>
  <c r="H27" i="427"/>
  <c r="G27" i="427"/>
  <c r="E27" i="427"/>
  <c r="F27" i="427" s="1"/>
  <c r="J26" i="427"/>
  <c r="I26" i="427"/>
  <c r="H26" i="427"/>
  <c r="G26" i="427"/>
  <c r="E26" i="427"/>
  <c r="F26" i="427" s="1"/>
  <c r="J25" i="427"/>
  <c r="I25" i="427"/>
  <c r="H25" i="427"/>
  <c r="G25" i="427"/>
  <c r="F25" i="427"/>
  <c r="J24" i="427"/>
  <c r="I24" i="427"/>
  <c r="H24" i="427"/>
  <c r="G24" i="427"/>
  <c r="E24" i="427"/>
  <c r="F24" i="427" s="1"/>
  <c r="J23" i="427"/>
  <c r="I23" i="427"/>
  <c r="H23" i="427"/>
  <c r="G23" i="427"/>
  <c r="E23" i="427"/>
  <c r="F23" i="427" s="1"/>
  <c r="J22" i="427"/>
  <c r="I22" i="427"/>
  <c r="H22" i="427"/>
  <c r="G22" i="427"/>
  <c r="E22" i="427"/>
  <c r="F22" i="427" s="1"/>
  <c r="J21" i="427"/>
  <c r="I21" i="427"/>
  <c r="H21" i="427"/>
  <c r="G21" i="427"/>
  <c r="F21" i="427"/>
  <c r="J20" i="427"/>
  <c r="I20" i="427"/>
  <c r="H20" i="427"/>
  <c r="G20" i="427"/>
  <c r="E20" i="427"/>
  <c r="F20" i="427" s="1"/>
  <c r="M20" i="427" s="1"/>
  <c r="J19" i="427"/>
  <c r="I19" i="427"/>
  <c r="H19" i="427"/>
  <c r="G19" i="427"/>
  <c r="E19" i="427"/>
  <c r="F19" i="427" s="1"/>
  <c r="C34" i="405"/>
  <c r="J30" i="405"/>
  <c r="H30" i="405"/>
  <c r="J29" i="405"/>
  <c r="I29" i="405"/>
  <c r="H29" i="405"/>
  <c r="G29" i="405"/>
  <c r="E29" i="405"/>
  <c r="F29" i="405" s="1"/>
  <c r="E28" i="405"/>
  <c r="J27" i="405"/>
  <c r="I27" i="405"/>
  <c r="H27" i="405"/>
  <c r="G27" i="405"/>
  <c r="E27" i="405"/>
  <c r="F27" i="405" s="1"/>
  <c r="J26" i="405"/>
  <c r="I26" i="405"/>
  <c r="H26" i="405"/>
  <c r="G26" i="405"/>
  <c r="E26" i="405"/>
  <c r="F26" i="405" s="1"/>
  <c r="J25" i="405"/>
  <c r="I25" i="405"/>
  <c r="H25" i="405"/>
  <c r="G25" i="405"/>
  <c r="F25" i="405"/>
  <c r="J24" i="405"/>
  <c r="I24" i="405"/>
  <c r="H24" i="405"/>
  <c r="G24" i="405"/>
  <c r="E24" i="405"/>
  <c r="F24" i="405" s="1"/>
  <c r="J23" i="405"/>
  <c r="I23" i="405"/>
  <c r="H23" i="405"/>
  <c r="G23" i="405"/>
  <c r="E23" i="405"/>
  <c r="F23" i="405" s="1"/>
  <c r="J22" i="405"/>
  <c r="I22" i="405"/>
  <c r="H22" i="405"/>
  <c r="G22" i="405"/>
  <c r="E22" i="405"/>
  <c r="F22" i="405" s="1"/>
  <c r="J21" i="405"/>
  <c r="I21" i="405"/>
  <c r="H21" i="405"/>
  <c r="G21" i="405"/>
  <c r="E21" i="405"/>
  <c r="F21" i="405" s="1"/>
  <c r="J20" i="405"/>
  <c r="I20" i="405"/>
  <c r="H20" i="405"/>
  <c r="G20" i="405"/>
  <c r="E20" i="405"/>
  <c r="F20" i="405" s="1"/>
  <c r="M20" i="405" s="1"/>
  <c r="J19" i="405"/>
  <c r="I19" i="405"/>
  <c r="H19" i="405"/>
  <c r="G19" i="405"/>
  <c r="E19" i="405"/>
  <c r="F19" i="405" s="1"/>
  <c r="C34" i="404"/>
  <c r="J30" i="404"/>
  <c r="H30" i="404"/>
  <c r="J29" i="404"/>
  <c r="I29" i="404"/>
  <c r="H29" i="404"/>
  <c r="G29" i="404"/>
  <c r="E29" i="404"/>
  <c r="F29" i="404" s="1"/>
  <c r="E28" i="404"/>
  <c r="J27" i="404"/>
  <c r="I27" i="404"/>
  <c r="H27" i="404"/>
  <c r="G27" i="404"/>
  <c r="E27" i="404"/>
  <c r="F27" i="404" s="1"/>
  <c r="J26" i="404"/>
  <c r="I26" i="404"/>
  <c r="H26" i="404"/>
  <c r="G26" i="404"/>
  <c r="E26" i="404"/>
  <c r="F26" i="404" s="1"/>
  <c r="J25" i="404"/>
  <c r="I25" i="404"/>
  <c r="H25" i="404"/>
  <c r="G25" i="404"/>
  <c r="F25" i="404"/>
  <c r="J24" i="404"/>
  <c r="I24" i="404"/>
  <c r="H24" i="404"/>
  <c r="G24" i="404"/>
  <c r="E24" i="404"/>
  <c r="F24" i="404" s="1"/>
  <c r="J23" i="404"/>
  <c r="I23" i="404"/>
  <c r="H23" i="404"/>
  <c r="G23" i="404"/>
  <c r="E23" i="404"/>
  <c r="F23" i="404" s="1"/>
  <c r="J22" i="404"/>
  <c r="I22" i="404"/>
  <c r="H22" i="404"/>
  <c r="G22" i="404"/>
  <c r="E22" i="404"/>
  <c r="F22" i="404" s="1"/>
  <c r="J21" i="404"/>
  <c r="I21" i="404"/>
  <c r="H21" i="404"/>
  <c r="G21" i="404"/>
  <c r="E21" i="404"/>
  <c r="F21" i="404" s="1"/>
  <c r="J20" i="404"/>
  <c r="I20" i="404"/>
  <c r="H20" i="404"/>
  <c r="G20" i="404"/>
  <c r="E20" i="404"/>
  <c r="F20" i="404" s="1"/>
  <c r="M20" i="404" s="1"/>
  <c r="J19" i="404"/>
  <c r="I19" i="404"/>
  <c r="H19" i="404"/>
  <c r="G19" i="404"/>
  <c r="E19" i="404"/>
  <c r="F19" i="404" s="1"/>
  <c r="C34" i="403"/>
  <c r="J30" i="403"/>
  <c r="H30" i="403"/>
  <c r="J29" i="403"/>
  <c r="I29" i="403"/>
  <c r="H29" i="403"/>
  <c r="G29" i="403"/>
  <c r="E29" i="403"/>
  <c r="F29" i="403" s="1"/>
  <c r="E28" i="403"/>
  <c r="J27" i="403"/>
  <c r="I27" i="403"/>
  <c r="H27" i="403"/>
  <c r="G27" i="403"/>
  <c r="E27" i="403"/>
  <c r="F27" i="403" s="1"/>
  <c r="J26" i="403"/>
  <c r="I26" i="403"/>
  <c r="H26" i="403"/>
  <c r="G26" i="403"/>
  <c r="E26" i="403"/>
  <c r="F26" i="403" s="1"/>
  <c r="J25" i="403"/>
  <c r="I25" i="403"/>
  <c r="H25" i="403"/>
  <c r="G25" i="403"/>
  <c r="F25" i="403"/>
  <c r="J24" i="403"/>
  <c r="I24" i="403"/>
  <c r="H24" i="403"/>
  <c r="G24" i="403"/>
  <c r="E24" i="403"/>
  <c r="F24" i="403" s="1"/>
  <c r="J23" i="403"/>
  <c r="I23" i="403"/>
  <c r="H23" i="403"/>
  <c r="G23" i="403"/>
  <c r="E23" i="403"/>
  <c r="F23" i="403" s="1"/>
  <c r="J22" i="403"/>
  <c r="I22" i="403"/>
  <c r="H22" i="403"/>
  <c r="G22" i="403"/>
  <c r="E22" i="403"/>
  <c r="F22" i="403" s="1"/>
  <c r="J21" i="403"/>
  <c r="I21" i="403"/>
  <c r="H21" i="403"/>
  <c r="G21" i="403"/>
  <c r="E21" i="403"/>
  <c r="F21" i="403" s="1"/>
  <c r="J20" i="403"/>
  <c r="I20" i="403"/>
  <c r="H20" i="403"/>
  <c r="G20" i="403"/>
  <c r="E20" i="403"/>
  <c r="F20" i="403" s="1"/>
  <c r="M20" i="403" s="1"/>
  <c r="J19" i="403"/>
  <c r="I19" i="403"/>
  <c r="H19" i="403"/>
  <c r="G19" i="403"/>
  <c r="E19" i="403"/>
  <c r="F19" i="403" s="1"/>
  <c r="C34" i="402"/>
  <c r="J30" i="402"/>
  <c r="H30" i="402"/>
  <c r="J29" i="402"/>
  <c r="I29" i="402"/>
  <c r="H29" i="402"/>
  <c r="G29" i="402"/>
  <c r="E29" i="402"/>
  <c r="F29" i="402" s="1"/>
  <c r="E28" i="402"/>
  <c r="J27" i="402"/>
  <c r="I27" i="402"/>
  <c r="H27" i="402"/>
  <c r="G27" i="402"/>
  <c r="E27" i="402"/>
  <c r="F27" i="402" s="1"/>
  <c r="J26" i="402"/>
  <c r="I26" i="402"/>
  <c r="H26" i="402"/>
  <c r="G26" i="402"/>
  <c r="E26" i="402"/>
  <c r="F26" i="402" s="1"/>
  <c r="J25" i="402"/>
  <c r="I25" i="402"/>
  <c r="H25" i="402"/>
  <c r="G25" i="402"/>
  <c r="F25" i="402"/>
  <c r="J24" i="402"/>
  <c r="I24" i="402"/>
  <c r="H24" i="402"/>
  <c r="G24" i="402"/>
  <c r="E24" i="402"/>
  <c r="F24" i="402" s="1"/>
  <c r="J23" i="402"/>
  <c r="I23" i="402"/>
  <c r="H23" i="402"/>
  <c r="G23" i="402"/>
  <c r="E23" i="402"/>
  <c r="F23" i="402" s="1"/>
  <c r="J22" i="402"/>
  <c r="I22" i="402"/>
  <c r="H22" i="402"/>
  <c r="G22" i="402"/>
  <c r="E22" i="402"/>
  <c r="F22" i="402" s="1"/>
  <c r="J21" i="402"/>
  <c r="I21" i="402"/>
  <c r="H21" i="402"/>
  <c r="G21" i="402"/>
  <c r="E21" i="402"/>
  <c r="F21" i="402" s="1"/>
  <c r="J20" i="402"/>
  <c r="I20" i="402"/>
  <c r="H20" i="402"/>
  <c r="G20" i="402"/>
  <c r="E20" i="402"/>
  <c r="F20" i="402" s="1"/>
  <c r="M20" i="402" s="1"/>
  <c r="J19" i="402"/>
  <c r="I19" i="402"/>
  <c r="H19" i="402"/>
  <c r="G19" i="402"/>
  <c r="E19" i="402"/>
  <c r="F19" i="402" s="1"/>
  <c r="C34" i="401"/>
  <c r="J30" i="401"/>
  <c r="H30" i="401"/>
  <c r="E29" i="401"/>
  <c r="J28" i="401"/>
  <c r="I28" i="401"/>
  <c r="H28" i="401"/>
  <c r="G28" i="401"/>
  <c r="E28" i="401"/>
  <c r="F28" i="401" s="1"/>
  <c r="J27" i="401"/>
  <c r="I27" i="401"/>
  <c r="H27" i="401"/>
  <c r="G27" i="401"/>
  <c r="E27" i="401"/>
  <c r="F27" i="401" s="1"/>
  <c r="J26" i="401"/>
  <c r="I26" i="401"/>
  <c r="H26" i="401"/>
  <c r="G26" i="401"/>
  <c r="E26" i="401"/>
  <c r="F26" i="401" s="1"/>
  <c r="J25" i="401"/>
  <c r="I25" i="401"/>
  <c r="H25" i="401"/>
  <c r="G25" i="401"/>
  <c r="F25" i="401"/>
  <c r="J24" i="401"/>
  <c r="I24" i="401"/>
  <c r="H24" i="401"/>
  <c r="G24" i="401"/>
  <c r="E24" i="401"/>
  <c r="F24" i="401" s="1"/>
  <c r="J23" i="401"/>
  <c r="I23" i="401"/>
  <c r="H23" i="401"/>
  <c r="G23" i="401"/>
  <c r="E23" i="401"/>
  <c r="F23" i="401" s="1"/>
  <c r="J22" i="401"/>
  <c r="I22" i="401"/>
  <c r="H22" i="401"/>
  <c r="G22" i="401"/>
  <c r="E22" i="401"/>
  <c r="F22" i="401" s="1"/>
  <c r="J21" i="401"/>
  <c r="I21" i="401"/>
  <c r="H21" i="401"/>
  <c r="G21" i="401"/>
  <c r="E21" i="401"/>
  <c r="F21" i="401" s="1"/>
  <c r="J20" i="401"/>
  <c r="I20" i="401"/>
  <c r="H20" i="401"/>
  <c r="G20" i="401"/>
  <c r="E20" i="401"/>
  <c r="F20" i="401" s="1"/>
  <c r="M20" i="401" s="1"/>
  <c r="J19" i="401"/>
  <c r="I19" i="401"/>
  <c r="H19" i="401"/>
  <c r="G19" i="401"/>
  <c r="E19" i="401"/>
  <c r="F19" i="401" s="1"/>
  <c r="C32" i="166"/>
  <c r="J28" i="166"/>
  <c r="H28" i="166"/>
  <c r="E27" i="166"/>
  <c r="J26" i="166"/>
  <c r="I26" i="166"/>
  <c r="H26" i="166"/>
  <c r="G26" i="166"/>
  <c r="E26" i="166"/>
  <c r="F26" i="166" s="1"/>
  <c r="J25" i="166"/>
  <c r="I25" i="166"/>
  <c r="H25" i="166"/>
  <c r="G25" i="166"/>
  <c r="E25" i="166"/>
  <c r="F25" i="166" s="1"/>
  <c r="J24" i="166"/>
  <c r="I24" i="166"/>
  <c r="H24" i="166"/>
  <c r="G24" i="166"/>
  <c r="E24" i="166"/>
  <c r="F24" i="166" s="1"/>
  <c r="J23" i="166"/>
  <c r="I23" i="166"/>
  <c r="H23" i="166"/>
  <c r="G23" i="166"/>
  <c r="F23" i="166"/>
  <c r="J22" i="166"/>
  <c r="I22" i="166"/>
  <c r="H22" i="166"/>
  <c r="G22" i="166"/>
  <c r="E22" i="166"/>
  <c r="F22" i="166" s="1"/>
  <c r="J21" i="166"/>
  <c r="I21" i="166"/>
  <c r="H21" i="166"/>
  <c r="G21" i="166"/>
  <c r="E21" i="166"/>
  <c r="F21" i="166" s="1"/>
  <c r="J20" i="166"/>
  <c r="I20" i="166"/>
  <c r="H20" i="166"/>
  <c r="G20" i="166"/>
  <c r="E20" i="166"/>
  <c r="F20" i="166" s="1"/>
  <c r="J19" i="166"/>
  <c r="I19" i="166"/>
  <c r="H19" i="166"/>
  <c r="G19" i="166"/>
  <c r="E19" i="166"/>
  <c r="F19" i="166" s="1"/>
  <c r="C31" i="435"/>
  <c r="J27" i="435"/>
  <c r="H27" i="435"/>
  <c r="J26" i="435"/>
  <c r="I26" i="435"/>
  <c r="H26" i="435"/>
  <c r="G26" i="435"/>
  <c r="E26" i="435"/>
  <c r="F26" i="435" s="1"/>
  <c r="J25" i="435"/>
  <c r="I25" i="435"/>
  <c r="H25" i="435"/>
  <c r="G25" i="435"/>
  <c r="F25" i="435"/>
  <c r="M25" i="435" s="1"/>
  <c r="J24" i="435"/>
  <c r="I24" i="435"/>
  <c r="H24" i="435"/>
  <c r="G24" i="435"/>
  <c r="E24" i="435"/>
  <c r="F24" i="435" s="1"/>
  <c r="J23" i="435"/>
  <c r="I23" i="435"/>
  <c r="H23" i="435"/>
  <c r="G23" i="435"/>
  <c r="E23" i="435"/>
  <c r="F23" i="435" s="1"/>
  <c r="J22" i="435"/>
  <c r="I22" i="435"/>
  <c r="H22" i="435"/>
  <c r="G22" i="435"/>
  <c r="E22" i="435"/>
  <c r="F22" i="435" s="1"/>
  <c r="J21" i="435"/>
  <c r="I21" i="435"/>
  <c r="H21" i="435"/>
  <c r="G21" i="435"/>
  <c r="E21" i="435"/>
  <c r="F21" i="435" s="1"/>
  <c r="J20" i="435"/>
  <c r="I20" i="435"/>
  <c r="H20" i="435"/>
  <c r="G20" i="435"/>
  <c r="E20" i="435"/>
  <c r="F20" i="435" s="1"/>
  <c r="J19" i="435"/>
  <c r="I19" i="435"/>
  <c r="H19" i="435"/>
  <c r="G19" i="435"/>
  <c r="E19" i="435"/>
  <c r="F19" i="435" s="1"/>
  <c r="C29" i="434"/>
  <c r="J25" i="434"/>
  <c r="H25" i="434"/>
  <c r="J24" i="434"/>
  <c r="I24" i="434"/>
  <c r="H24" i="434"/>
  <c r="G24" i="434"/>
  <c r="E24" i="434"/>
  <c r="F24" i="434" s="1"/>
  <c r="J23" i="434"/>
  <c r="I23" i="434"/>
  <c r="H23" i="434"/>
  <c r="G23" i="434"/>
  <c r="F23" i="434"/>
  <c r="M23" i="434" s="1"/>
  <c r="J22" i="434"/>
  <c r="I22" i="434"/>
  <c r="H22" i="434"/>
  <c r="G22" i="434"/>
  <c r="E22" i="434"/>
  <c r="F22" i="434" s="1"/>
  <c r="J21" i="434"/>
  <c r="I21" i="434"/>
  <c r="H21" i="434"/>
  <c r="G21" i="434"/>
  <c r="E21" i="434"/>
  <c r="F21" i="434" s="1"/>
  <c r="J20" i="434"/>
  <c r="I20" i="434"/>
  <c r="H20" i="434"/>
  <c r="G20" i="434"/>
  <c r="E20" i="434"/>
  <c r="F20" i="434" s="1"/>
  <c r="J19" i="434"/>
  <c r="I19" i="434"/>
  <c r="H19" i="434"/>
  <c r="G19" i="434"/>
  <c r="E19" i="434"/>
  <c r="F19" i="434" s="1"/>
  <c r="C33" i="400"/>
  <c r="J29" i="400"/>
  <c r="H29" i="400"/>
  <c r="E28" i="400"/>
  <c r="J27" i="400"/>
  <c r="I27" i="400"/>
  <c r="H27" i="400"/>
  <c r="G27" i="400"/>
  <c r="E27" i="400"/>
  <c r="F27" i="400" s="1"/>
  <c r="J26" i="400"/>
  <c r="I26" i="400"/>
  <c r="H26" i="400"/>
  <c r="G26" i="400"/>
  <c r="E26" i="400"/>
  <c r="F26" i="400" s="1"/>
  <c r="J25" i="400"/>
  <c r="I25" i="400"/>
  <c r="H25" i="400"/>
  <c r="G25" i="400"/>
  <c r="F25" i="400"/>
  <c r="J24" i="400"/>
  <c r="I24" i="400"/>
  <c r="H24" i="400"/>
  <c r="G24" i="400"/>
  <c r="E24" i="400"/>
  <c r="F24" i="400" s="1"/>
  <c r="J23" i="400"/>
  <c r="I23" i="400"/>
  <c r="H23" i="400"/>
  <c r="G23" i="400"/>
  <c r="E23" i="400"/>
  <c r="F23" i="400" s="1"/>
  <c r="J22" i="400"/>
  <c r="I22" i="400"/>
  <c r="H22" i="400"/>
  <c r="G22" i="400"/>
  <c r="E22" i="400"/>
  <c r="F22" i="400" s="1"/>
  <c r="J21" i="400"/>
  <c r="I21" i="400"/>
  <c r="H21" i="400"/>
  <c r="G21" i="400"/>
  <c r="E21" i="400"/>
  <c r="F21" i="400" s="1"/>
  <c r="J20" i="400"/>
  <c r="I20" i="400"/>
  <c r="H20" i="400"/>
  <c r="G20" i="400"/>
  <c r="E20" i="400"/>
  <c r="F20" i="400" s="1"/>
  <c r="J19" i="400"/>
  <c r="I19" i="400"/>
  <c r="H19" i="400"/>
  <c r="G19" i="400"/>
  <c r="E19" i="400"/>
  <c r="F19" i="400" s="1"/>
  <c r="M19" i="400" s="1"/>
  <c r="C33" i="399"/>
  <c r="J29" i="399"/>
  <c r="H29" i="399"/>
  <c r="E28" i="399"/>
  <c r="J27" i="399"/>
  <c r="I27" i="399"/>
  <c r="H27" i="399"/>
  <c r="G27" i="399"/>
  <c r="E27" i="399"/>
  <c r="F27" i="399" s="1"/>
  <c r="J26" i="399"/>
  <c r="I26" i="399"/>
  <c r="H26" i="399"/>
  <c r="G26" i="399"/>
  <c r="E26" i="399"/>
  <c r="F26" i="399" s="1"/>
  <c r="J25" i="399"/>
  <c r="I25" i="399"/>
  <c r="H25" i="399"/>
  <c r="G25" i="399"/>
  <c r="F25" i="399"/>
  <c r="J24" i="399"/>
  <c r="I24" i="399"/>
  <c r="H24" i="399"/>
  <c r="G24" i="399"/>
  <c r="J23" i="399"/>
  <c r="I23" i="399"/>
  <c r="H23" i="399"/>
  <c r="G23" i="399"/>
  <c r="E23" i="399"/>
  <c r="F23" i="399" s="1"/>
  <c r="J22" i="399"/>
  <c r="I22" i="399"/>
  <c r="H22" i="399"/>
  <c r="G22" i="399"/>
  <c r="E22" i="399"/>
  <c r="F22" i="399" s="1"/>
  <c r="J21" i="399"/>
  <c r="I21" i="399"/>
  <c r="H21" i="399"/>
  <c r="G21" i="399"/>
  <c r="E21" i="399"/>
  <c r="F21" i="399" s="1"/>
  <c r="J20" i="399"/>
  <c r="I20" i="399"/>
  <c r="H20" i="399"/>
  <c r="G20" i="399"/>
  <c r="E20" i="399"/>
  <c r="F20" i="399" s="1"/>
  <c r="J19" i="399"/>
  <c r="I19" i="399"/>
  <c r="H19" i="399"/>
  <c r="G19" i="399"/>
  <c r="E19" i="399"/>
  <c r="F19" i="399" s="1"/>
  <c r="C34" i="398"/>
  <c r="J30" i="398"/>
  <c r="H30" i="398"/>
  <c r="E29" i="398"/>
  <c r="J28" i="398"/>
  <c r="I28" i="398"/>
  <c r="H28" i="398"/>
  <c r="G28" i="398"/>
  <c r="E28" i="398"/>
  <c r="F28" i="398" s="1"/>
  <c r="J27" i="398"/>
  <c r="I27" i="398"/>
  <c r="H27" i="398"/>
  <c r="G27" i="398"/>
  <c r="E27" i="398"/>
  <c r="F27" i="398" s="1"/>
  <c r="J26" i="398"/>
  <c r="I26" i="398"/>
  <c r="H26" i="398"/>
  <c r="G26" i="398"/>
  <c r="F26" i="398"/>
  <c r="J25" i="398"/>
  <c r="I25" i="398"/>
  <c r="H25" i="398"/>
  <c r="G25" i="398"/>
  <c r="E25" i="398"/>
  <c r="F25" i="398" s="1"/>
  <c r="J24" i="398"/>
  <c r="I24" i="398"/>
  <c r="H24" i="398"/>
  <c r="G24" i="398"/>
  <c r="E24" i="398"/>
  <c r="F24" i="398" s="1"/>
  <c r="J23" i="398"/>
  <c r="I23" i="398"/>
  <c r="H23" i="398"/>
  <c r="G23" i="398"/>
  <c r="E23" i="398"/>
  <c r="F23" i="398" s="1"/>
  <c r="J22" i="398"/>
  <c r="I22" i="398"/>
  <c r="H22" i="398"/>
  <c r="G22" i="398"/>
  <c r="E22" i="398"/>
  <c r="F22" i="398" s="1"/>
  <c r="J21" i="398"/>
  <c r="I21" i="398"/>
  <c r="H21" i="398"/>
  <c r="G21" i="398"/>
  <c r="E21" i="398"/>
  <c r="F21" i="398" s="1"/>
  <c r="J20" i="398"/>
  <c r="I20" i="398"/>
  <c r="H20" i="398"/>
  <c r="G20" i="398"/>
  <c r="E20" i="398"/>
  <c r="F20" i="398" s="1"/>
  <c r="M20" i="398" s="1"/>
  <c r="J19" i="398"/>
  <c r="I19" i="398"/>
  <c r="H19" i="398"/>
  <c r="G19" i="398"/>
  <c r="E19" i="398"/>
  <c r="F19" i="398" s="1"/>
  <c r="C34" i="397"/>
  <c r="J30" i="397"/>
  <c r="H30" i="397"/>
  <c r="E29" i="397"/>
  <c r="J28" i="397"/>
  <c r="I28" i="397"/>
  <c r="H28" i="397"/>
  <c r="G28" i="397"/>
  <c r="E28" i="397"/>
  <c r="F28" i="397" s="1"/>
  <c r="J27" i="397"/>
  <c r="I27" i="397"/>
  <c r="H27" i="397"/>
  <c r="G27" i="397"/>
  <c r="E27" i="397"/>
  <c r="F27" i="397" s="1"/>
  <c r="J26" i="397"/>
  <c r="I26" i="397"/>
  <c r="H26" i="397"/>
  <c r="G26" i="397"/>
  <c r="F26" i="397"/>
  <c r="J25" i="397"/>
  <c r="I25" i="397"/>
  <c r="H25" i="397"/>
  <c r="G25" i="397"/>
  <c r="E25" i="397"/>
  <c r="F25" i="397" s="1"/>
  <c r="J24" i="397"/>
  <c r="I24" i="397"/>
  <c r="H24" i="397"/>
  <c r="G24" i="397"/>
  <c r="E24" i="397"/>
  <c r="F24" i="397" s="1"/>
  <c r="J23" i="397"/>
  <c r="I23" i="397"/>
  <c r="H23" i="397"/>
  <c r="G23" i="397"/>
  <c r="E23" i="397"/>
  <c r="F23" i="397" s="1"/>
  <c r="J22" i="397"/>
  <c r="I22" i="397"/>
  <c r="H22" i="397"/>
  <c r="G22" i="397"/>
  <c r="E22" i="397"/>
  <c r="F22" i="397" s="1"/>
  <c r="J21" i="397"/>
  <c r="I21" i="397"/>
  <c r="H21" i="397"/>
  <c r="G21" i="397"/>
  <c r="E21" i="397"/>
  <c r="F21" i="397" s="1"/>
  <c r="J20" i="397"/>
  <c r="I20" i="397"/>
  <c r="H20" i="397"/>
  <c r="G20" i="397"/>
  <c r="E20" i="397"/>
  <c r="F20" i="397" s="1"/>
  <c r="M20" i="397" s="1"/>
  <c r="J19" i="397"/>
  <c r="I19" i="397"/>
  <c r="H19" i="397"/>
  <c r="G19" i="397"/>
  <c r="E19" i="397"/>
  <c r="F19" i="397" s="1"/>
  <c r="C34" i="446"/>
  <c r="J30" i="446"/>
  <c r="H30" i="446"/>
  <c r="E29" i="446"/>
  <c r="J28" i="446"/>
  <c r="I28" i="446"/>
  <c r="H28" i="446"/>
  <c r="G28" i="446"/>
  <c r="E28" i="446"/>
  <c r="F28" i="446" s="1"/>
  <c r="J27" i="446"/>
  <c r="I27" i="446"/>
  <c r="H27" i="446"/>
  <c r="G27" i="446"/>
  <c r="E27" i="446"/>
  <c r="F27" i="446" s="1"/>
  <c r="J26" i="446"/>
  <c r="I26" i="446"/>
  <c r="H26" i="446"/>
  <c r="G26" i="446"/>
  <c r="F26" i="446"/>
  <c r="J25" i="446"/>
  <c r="I25" i="446"/>
  <c r="H25" i="446"/>
  <c r="G25" i="446"/>
  <c r="E25" i="446"/>
  <c r="F25" i="446" s="1"/>
  <c r="J24" i="446"/>
  <c r="I24" i="446"/>
  <c r="H24" i="446"/>
  <c r="G24" i="446"/>
  <c r="J23" i="446"/>
  <c r="I23" i="446"/>
  <c r="H23" i="446"/>
  <c r="G23" i="446"/>
  <c r="E23" i="446"/>
  <c r="F23" i="446" s="1"/>
  <c r="J22" i="446"/>
  <c r="I22" i="446"/>
  <c r="H22" i="446"/>
  <c r="G22" i="446"/>
  <c r="E22" i="446"/>
  <c r="F22" i="446" s="1"/>
  <c r="J21" i="446"/>
  <c r="I21" i="446"/>
  <c r="H21" i="446"/>
  <c r="G21" i="446"/>
  <c r="E21" i="446"/>
  <c r="F21" i="446" s="1"/>
  <c r="J20" i="446"/>
  <c r="I20" i="446"/>
  <c r="H20" i="446"/>
  <c r="G20" i="446"/>
  <c r="E20" i="446"/>
  <c r="F20" i="446" s="1"/>
  <c r="J19" i="446"/>
  <c r="I19" i="446"/>
  <c r="H19" i="446"/>
  <c r="G19" i="446"/>
  <c r="E19" i="446"/>
  <c r="F19" i="446" s="1"/>
  <c r="C36" i="298"/>
  <c r="J32" i="298"/>
  <c r="H32" i="298"/>
  <c r="E31" i="298"/>
  <c r="J30" i="298"/>
  <c r="I30" i="298"/>
  <c r="H30" i="298"/>
  <c r="G30" i="298"/>
  <c r="E30" i="298"/>
  <c r="F30" i="298" s="1"/>
  <c r="J29" i="298"/>
  <c r="I29" i="298"/>
  <c r="H29" i="298"/>
  <c r="G29" i="298"/>
  <c r="E29" i="298"/>
  <c r="F29" i="298" s="1"/>
  <c r="J28" i="298"/>
  <c r="I28" i="298"/>
  <c r="H28" i="298"/>
  <c r="G28" i="298"/>
  <c r="F28" i="298"/>
  <c r="J27" i="298"/>
  <c r="I27" i="298"/>
  <c r="H27" i="298"/>
  <c r="G27" i="298"/>
  <c r="J26" i="298"/>
  <c r="I26" i="298"/>
  <c r="H26" i="298"/>
  <c r="G26" i="298"/>
  <c r="E26" i="298"/>
  <c r="F26" i="298" s="1"/>
  <c r="J25" i="298"/>
  <c r="I25" i="298"/>
  <c r="H25" i="298"/>
  <c r="G25" i="298"/>
  <c r="E25" i="298"/>
  <c r="F25" i="298" s="1"/>
  <c r="J24" i="298"/>
  <c r="I24" i="298"/>
  <c r="H24" i="298"/>
  <c r="G24" i="298"/>
  <c r="E24" i="298"/>
  <c r="F24" i="298" s="1"/>
  <c r="J23" i="298"/>
  <c r="I23" i="298"/>
  <c r="H23" i="298"/>
  <c r="G23" i="298"/>
  <c r="E23" i="298"/>
  <c r="F23" i="298" s="1"/>
  <c r="J22" i="298"/>
  <c r="I22" i="298"/>
  <c r="H22" i="298"/>
  <c r="G22" i="298"/>
  <c r="E22" i="298"/>
  <c r="F22" i="298" s="1"/>
  <c r="J21" i="298"/>
  <c r="I21" i="298"/>
  <c r="H21" i="298"/>
  <c r="G21" i="298"/>
  <c r="E21" i="298"/>
  <c r="F21" i="298" s="1"/>
  <c r="J20" i="298"/>
  <c r="I20" i="298"/>
  <c r="H20" i="298"/>
  <c r="G20" i="298"/>
  <c r="E20" i="298"/>
  <c r="F20" i="298" s="1"/>
  <c r="J19" i="298"/>
  <c r="I19" i="298"/>
  <c r="H19" i="298"/>
  <c r="G19" i="298"/>
  <c r="E19" i="298"/>
  <c r="F19" i="298" s="1"/>
  <c r="C38" i="165"/>
  <c r="J34" i="165"/>
  <c r="H34" i="165"/>
  <c r="J33" i="165"/>
  <c r="I33" i="165"/>
  <c r="H33" i="165"/>
  <c r="G33" i="165"/>
  <c r="E33" i="165"/>
  <c r="F33" i="165" s="1"/>
  <c r="E32" i="165"/>
  <c r="J31" i="165"/>
  <c r="I31" i="165"/>
  <c r="H31" i="165"/>
  <c r="G31" i="165"/>
  <c r="E31" i="165"/>
  <c r="F31" i="165" s="1"/>
  <c r="J30" i="165"/>
  <c r="I30" i="165"/>
  <c r="H30" i="165"/>
  <c r="G30" i="165"/>
  <c r="E30" i="165"/>
  <c r="F30" i="165" s="1"/>
  <c r="J29" i="165"/>
  <c r="I29" i="165"/>
  <c r="H29" i="165"/>
  <c r="G29" i="165"/>
  <c r="F29" i="165"/>
  <c r="J28" i="165"/>
  <c r="I28" i="165"/>
  <c r="H28" i="165"/>
  <c r="G28" i="165"/>
  <c r="E28" i="165"/>
  <c r="F28" i="165" s="1"/>
  <c r="J27" i="165"/>
  <c r="I27" i="165"/>
  <c r="H27" i="165"/>
  <c r="G27" i="165"/>
  <c r="E27" i="165"/>
  <c r="F27" i="165" s="1"/>
  <c r="J26" i="165"/>
  <c r="I26" i="165"/>
  <c r="H26" i="165"/>
  <c r="G26" i="165"/>
  <c r="E26" i="165"/>
  <c r="F26" i="165" s="1"/>
  <c r="J25" i="165"/>
  <c r="I25" i="165"/>
  <c r="H25" i="165"/>
  <c r="G25" i="165"/>
  <c r="E25" i="165"/>
  <c r="F25" i="165" s="1"/>
  <c r="J24" i="165"/>
  <c r="I24" i="165"/>
  <c r="H24" i="165"/>
  <c r="G24" i="165"/>
  <c r="E24" i="165"/>
  <c r="F24" i="165" s="1"/>
  <c r="M24" i="165" s="1"/>
  <c r="J23" i="165"/>
  <c r="I23" i="165"/>
  <c r="H23" i="165"/>
  <c r="G23" i="165"/>
  <c r="E23" i="165"/>
  <c r="F23" i="165" s="1"/>
  <c r="J22" i="165"/>
  <c r="I22" i="165"/>
  <c r="H22" i="165"/>
  <c r="G22" i="165"/>
  <c r="E22" i="165"/>
  <c r="F22" i="165" s="1"/>
  <c r="J21" i="165"/>
  <c r="I21" i="165"/>
  <c r="H21" i="165"/>
  <c r="G21" i="165"/>
  <c r="E21" i="165"/>
  <c r="F21" i="165" s="1"/>
  <c r="J20" i="165"/>
  <c r="I20" i="165"/>
  <c r="H20" i="165"/>
  <c r="G20" i="165"/>
  <c r="E20" i="165"/>
  <c r="F20" i="165" s="1"/>
  <c r="J19" i="165"/>
  <c r="I19" i="165"/>
  <c r="H19" i="165"/>
  <c r="G19" i="165"/>
  <c r="E19" i="165"/>
  <c r="F19" i="165" s="1"/>
  <c r="C37" i="396"/>
  <c r="J33" i="396"/>
  <c r="H33" i="396"/>
  <c r="J31" i="396"/>
  <c r="I31" i="396"/>
  <c r="H31" i="396"/>
  <c r="G31" i="396"/>
  <c r="E31" i="396"/>
  <c r="F31" i="396" s="1"/>
  <c r="E30" i="396"/>
  <c r="J29" i="396"/>
  <c r="I29" i="396"/>
  <c r="H29" i="396"/>
  <c r="G29" i="396"/>
  <c r="E29" i="396"/>
  <c r="F29" i="396" s="1"/>
  <c r="J28" i="396"/>
  <c r="I28" i="396"/>
  <c r="H28" i="396"/>
  <c r="G28" i="396"/>
  <c r="E28" i="396"/>
  <c r="F28" i="396" s="1"/>
  <c r="J27" i="396"/>
  <c r="I27" i="396"/>
  <c r="H27" i="396"/>
  <c r="G27" i="396"/>
  <c r="F27" i="396"/>
  <c r="J26" i="396"/>
  <c r="I26" i="396"/>
  <c r="H26" i="396"/>
  <c r="G26" i="396"/>
  <c r="E26" i="396"/>
  <c r="F26" i="396" s="1"/>
  <c r="J25" i="396"/>
  <c r="I25" i="396"/>
  <c r="H25" i="396"/>
  <c r="G25" i="396"/>
  <c r="E25" i="396"/>
  <c r="F25" i="396" s="1"/>
  <c r="J24" i="396"/>
  <c r="I24" i="396"/>
  <c r="H24" i="396"/>
  <c r="G24" i="396"/>
  <c r="E24" i="396"/>
  <c r="F24" i="396" s="1"/>
  <c r="J23" i="396"/>
  <c r="I23" i="396"/>
  <c r="H23" i="396"/>
  <c r="G23" i="396"/>
  <c r="E23" i="396"/>
  <c r="F23" i="396" s="1"/>
  <c r="J22" i="396"/>
  <c r="I22" i="396"/>
  <c r="H22" i="396"/>
  <c r="G22" i="396"/>
  <c r="E22" i="396"/>
  <c r="F22" i="396" s="1"/>
  <c r="M22" i="396" s="1"/>
  <c r="J21" i="396"/>
  <c r="I21" i="396"/>
  <c r="H21" i="396"/>
  <c r="G21" i="396"/>
  <c r="E21" i="396"/>
  <c r="F21" i="396" s="1"/>
  <c r="J20" i="396"/>
  <c r="I20" i="396"/>
  <c r="H20" i="396"/>
  <c r="G20" i="396"/>
  <c r="E20" i="396"/>
  <c r="F20" i="396" s="1"/>
  <c r="J19" i="396"/>
  <c r="I19" i="396"/>
  <c r="H19" i="396"/>
  <c r="G19" i="396"/>
  <c r="E19" i="396"/>
  <c r="F19" i="396" s="1"/>
  <c r="C37" i="120"/>
  <c r="J33" i="120"/>
  <c r="H33" i="120"/>
  <c r="J32" i="120"/>
  <c r="I32" i="120"/>
  <c r="H32" i="120"/>
  <c r="G32" i="120"/>
  <c r="E32" i="120"/>
  <c r="F32" i="120" s="1"/>
  <c r="E31" i="120"/>
  <c r="J30" i="120"/>
  <c r="I30" i="120"/>
  <c r="H30" i="120"/>
  <c r="G30" i="120"/>
  <c r="E30" i="120"/>
  <c r="F30" i="120" s="1"/>
  <c r="J29" i="120"/>
  <c r="I29" i="120"/>
  <c r="H29" i="120"/>
  <c r="G29" i="120"/>
  <c r="E29" i="120"/>
  <c r="F29" i="120" s="1"/>
  <c r="J28" i="120"/>
  <c r="I28" i="120"/>
  <c r="H28" i="120"/>
  <c r="G28" i="120"/>
  <c r="F28" i="120"/>
  <c r="J27" i="120"/>
  <c r="I27" i="120"/>
  <c r="H27" i="120"/>
  <c r="G27" i="120"/>
  <c r="E27" i="120"/>
  <c r="F27" i="120" s="1"/>
  <c r="J26" i="120"/>
  <c r="I26" i="120"/>
  <c r="H26" i="120"/>
  <c r="G26" i="120"/>
  <c r="E26" i="120"/>
  <c r="F26" i="120" s="1"/>
  <c r="J25" i="120"/>
  <c r="I25" i="120"/>
  <c r="H25" i="120"/>
  <c r="G25" i="120"/>
  <c r="E25" i="120"/>
  <c r="F25" i="120" s="1"/>
  <c r="J24" i="120"/>
  <c r="I24" i="120"/>
  <c r="H24" i="120"/>
  <c r="G24" i="120"/>
  <c r="E24" i="120"/>
  <c r="F24" i="120" s="1"/>
  <c r="J23" i="120"/>
  <c r="I23" i="120"/>
  <c r="H23" i="120"/>
  <c r="G23" i="120"/>
  <c r="E23" i="120"/>
  <c r="F23" i="120" s="1"/>
  <c r="M23" i="120" s="1"/>
  <c r="J22" i="120"/>
  <c r="I22" i="120"/>
  <c r="H22" i="120"/>
  <c r="G22" i="120"/>
  <c r="E22" i="120"/>
  <c r="F22" i="120" s="1"/>
  <c r="J21" i="120"/>
  <c r="I21" i="120"/>
  <c r="H21" i="120"/>
  <c r="G21" i="120"/>
  <c r="E21" i="120"/>
  <c r="F21" i="120" s="1"/>
  <c r="J20" i="120"/>
  <c r="I20" i="120"/>
  <c r="H20" i="120"/>
  <c r="G20" i="120"/>
  <c r="E20" i="120"/>
  <c r="F20" i="120" s="1"/>
  <c r="J19" i="120"/>
  <c r="I19" i="120"/>
  <c r="H19" i="120"/>
  <c r="G19" i="120"/>
  <c r="E19" i="120"/>
  <c r="F19" i="120" s="1"/>
  <c r="C26" i="297"/>
  <c r="J22" i="297"/>
  <c r="H22" i="297"/>
  <c r="J21" i="297"/>
  <c r="I21" i="297"/>
  <c r="H21" i="297"/>
  <c r="G21" i="297"/>
  <c r="E21" i="297"/>
  <c r="F21" i="297" s="1"/>
  <c r="J20" i="297"/>
  <c r="I20" i="297"/>
  <c r="H20" i="297"/>
  <c r="G20" i="297"/>
  <c r="E20" i="297"/>
  <c r="F20" i="297" s="1"/>
  <c r="J19" i="297"/>
  <c r="I19" i="297"/>
  <c r="H19" i="297"/>
  <c r="G19" i="297"/>
  <c r="E19" i="297"/>
  <c r="F19" i="297" s="1"/>
  <c r="C25" i="429"/>
  <c r="J21" i="429"/>
  <c r="H21" i="429"/>
  <c r="J19" i="429"/>
  <c r="I19" i="429"/>
  <c r="H19" i="429"/>
  <c r="G19" i="429"/>
  <c r="E19" i="429"/>
  <c r="F19" i="429" s="1"/>
  <c r="C24" i="296"/>
  <c r="J20" i="296"/>
  <c r="H20" i="296"/>
  <c r="J19" i="296"/>
  <c r="I19" i="296"/>
  <c r="H19" i="296"/>
  <c r="G19" i="296"/>
  <c r="E19" i="296"/>
  <c r="F19" i="296" s="1"/>
  <c r="F20" i="296" s="1"/>
  <c r="F21" i="296" s="1"/>
  <c r="C24" i="295"/>
  <c r="J20" i="295"/>
  <c r="H20" i="295"/>
  <c r="J19" i="295"/>
  <c r="I19" i="295"/>
  <c r="H19" i="295"/>
  <c r="G19" i="295"/>
  <c r="E19" i="295"/>
  <c r="F19" i="295" s="1"/>
  <c r="F20" i="295" s="1"/>
  <c r="F21" i="295" s="1"/>
  <c r="C24" i="294"/>
  <c r="J20" i="294"/>
  <c r="H20" i="294"/>
  <c r="J19" i="294"/>
  <c r="I19" i="294"/>
  <c r="H19" i="294"/>
  <c r="G19" i="294"/>
  <c r="E19" i="294"/>
  <c r="F19" i="294" s="1"/>
  <c r="F20" i="294" s="1"/>
  <c r="F21" i="294" s="1"/>
  <c r="C24" i="293"/>
  <c r="J20" i="293"/>
  <c r="H20" i="293"/>
  <c r="J19" i="293"/>
  <c r="I19" i="293"/>
  <c r="H19" i="293"/>
  <c r="G19" i="293"/>
  <c r="E19" i="293"/>
  <c r="F19" i="293" s="1"/>
  <c r="F20" i="293" s="1"/>
  <c r="F21" i="293" s="1"/>
  <c r="C25" i="291"/>
  <c r="J21" i="291"/>
  <c r="H21" i="291"/>
  <c r="J20" i="291"/>
  <c r="I20" i="291"/>
  <c r="H20" i="291"/>
  <c r="G20" i="291"/>
  <c r="E20" i="291"/>
  <c r="F20" i="291" s="1"/>
  <c r="J19" i="291"/>
  <c r="I19" i="291"/>
  <c r="H19" i="291"/>
  <c r="G19" i="291"/>
  <c r="C31" i="292"/>
  <c r="J27" i="292"/>
  <c r="H27" i="292"/>
  <c r="E26" i="292"/>
  <c r="J25" i="292"/>
  <c r="I25" i="292"/>
  <c r="H25" i="292"/>
  <c r="G25" i="292"/>
  <c r="E25" i="292"/>
  <c r="F25" i="292" s="1"/>
  <c r="J24" i="292"/>
  <c r="I24" i="292"/>
  <c r="H24" i="292"/>
  <c r="G24" i="292"/>
  <c r="E24" i="292"/>
  <c r="F24" i="292" s="1"/>
  <c r="J23" i="292"/>
  <c r="I23" i="292"/>
  <c r="H23" i="292"/>
  <c r="G23" i="292"/>
  <c r="E23" i="292"/>
  <c r="F23" i="292" s="1"/>
  <c r="J22" i="292"/>
  <c r="I22" i="292"/>
  <c r="H22" i="292"/>
  <c r="G22" i="292"/>
  <c r="E22" i="292"/>
  <c r="F22" i="292" s="1"/>
  <c r="J21" i="292"/>
  <c r="I21" i="292"/>
  <c r="H21" i="292"/>
  <c r="G21" i="292"/>
  <c r="E21" i="292"/>
  <c r="F21" i="292" s="1"/>
  <c r="J20" i="292"/>
  <c r="I20" i="292"/>
  <c r="H20" i="292"/>
  <c r="G20" i="292"/>
  <c r="E20" i="292"/>
  <c r="F20" i="292" s="1"/>
  <c r="J19" i="292"/>
  <c r="I19" i="292"/>
  <c r="H19" i="292"/>
  <c r="G19" i="292"/>
  <c r="E19" i="292"/>
  <c r="F19" i="292" s="1"/>
  <c r="C31" i="290"/>
  <c r="J27" i="290"/>
  <c r="H27" i="290"/>
  <c r="E26" i="290"/>
  <c r="J25" i="290"/>
  <c r="I25" i="290"/>
  <c r="H25" i="290"/>
  <c r="G25" i="290"/>
  <c r="E25" i="290"/>
  <c r="F25" i="290" s="1"/>
  <c r="J24" i="290"/>
  <c r="I24" i="290"/>
  <c r="H24" i="290"/>
  <c r="G24" i="290"/>
  <c r="E24" i="290"/>
  <c r="F24" i="290" s="1"/>
  <c r="J23" i="290"/>
  <c r="I23" i="290"/>
  <c r="H23" i="290"/>
  <c r="G23" i="290"/>
  <c r="E23" i="290"/>
  <c r="F23" i="290" s="1"/>
  <c r="J22" i="290"/>
  <c r="I22" i="290"/>
  <c r="H22" i="290"/>
  <c r="G22" i="290"/>
  <c r="E22" i="290"/>
  <c r="F22" i="290" s="1"/>
  <c r="J21" i="290"/>
  <c r="I21" i="290"/>
  <c r="H21" i="290"/>
  <c r="G21" i="290"/>
  <c r="E21" i="290"/>
  <c r="F21" i="290" s="1"/>
  <c r="J20" i="290"/>
  <c r="I20" i="290"/>
  <c r="H20" i="290"/>
  <c r="G20" i="290"/>
  <c r="E20" i="290"/>
  <c r="F20" i="290" s="1"/>
  <c r="J19" i="290"/>
  <c r="I19" i="290"/>
  <c r="H19" i="290"/>
  <c r="G19" i="290"/>
  <c r="E19" i="290"/>
  <c r="F19" i="290" s="1"/>
  <c r="C27" i="437"/>
  <c r="J23" i="437"/>
  <c r="H23" i="437"/>
  <c r="J22" i="437"/>
  <c r="I22" i="437"/>
  <c r="H22" i="437"/>
  <c r="G22" i="437"/>
  <c r="E22" i="437"/>
  <c r="F22" i="437" s="1"/>
  <c r="J21" i="437"/>
  <c r="I21" i="437"/>
  <c r="H21" i="437"/>
  <c r="G21" i="437"/>
  <c r="J20" i="437"/>
  <c r="I20" i="437"/>
  <c r="H20" i="437"/>
  <c r="G20" i="437"/>
  <c r="E20" i="437"/>
  <c r="F20" i="437" s="1"/>
  <c r="J19" i="437"/>
  <c r="I19" i="437"/>
  <c r="H19" i="437"/>
  <c r="G19" i="437"/>
  <c r="E19" i="437"/>
  <c r="F19" i="437" s="1"/>
  <c r="C25" i="306"/>
  <c r="J21" i="306"/>
  <c r="H21" i="306"/>
  <c r="J20" i="306"/>
  <c r="I20" i="306"/>
  <c r="H20" i="306"/>
  <c r="G20" i="306"/>
  <c r="E20" i="306"/>
  <c r="F20" i="306" s="1"/>
  <c r="J19" i="306"/>
  <c r="I19" i="306"/>
  <c r="H19" i="306"/>
  <c r="G19" i="306"/>
  <c r="E19" i="306"/>
  <c r="F19" i="306" s="1"/>
  <c r="M19" i="306" s="1"/>
  <c r="C28" i="443"/>
  <c r="J24" i="443"/>
  <c r="H24" i="443"/>
  <c r="J23" i="443"/>
  <c r="I23" i="443"/>
  <c r="H23" i="443"/>
  <c r="G23" i="443"/>
  <c r="E23" i="443"/>
  <c r="F23" i="443" s="1"/>
  <c r="J22" i="443"/>
  <c r="I22" i="443"/>
  <c r="H22" i="443"/>
  <c r="G22" i="443"/>
  <c r="E22" i="443"/>
  <c r="F22" i="443" s="1"/>
  <c r="J21" i="443"/>
  <c r="I21" i="443"/>
  <c r="H21" i="443"/>
  <c r="G21" i="443"/>
  <c r="E21" i="443"/>
  <c r="F21" i="443" s="1"/>
  <c r="J20" i="443"/>
  <c r="I20" i="443"/>
  <c r="H20" i="443"/>
  <c r="G20" i="443"/>
  <c r="E20" i="443"/>
  <c r="F20" i="443" s="1"/>
  <c r="J19" i="443"/>
  <c r="I19" i="443"/>
  <c r="H19" i="443"/>
  <c r="G19" i="443"/>
  <c r="E19" i="443"/>
  <c r="F19" i="443" s="1"/>
  <c r="C27" i="442"/>
  <c r="J23" i="442"/>
  <c r="H23" i="442"/>
  <c r="J22" i="442"/>
  <c r="I22" i="442"/>
  <c r="H22" i="442"/>
  <c r="G22" i="442"/>
  <c r="E22" i="442"/>
  <c r="F22" i="442" s="1"/>
  <c r="J21" i="442"/>
  <c r="I21" i="442"/>
  <c r="H21" i="442"/>
  <c r="G21" i="442"/>
  <c r="E21" i="442"/>
  <c r="F21" i="442" s="1"/>
  <c r="M21" i="442" s="1"/>
  <c r="J20" i="442"/>
  <c r="I20" i="442"/>
  <c r="H20" i="442"/>
  <c r="G20" i="442"/>
  <c r="E20" i="442"/>
  <c r="F20" i="442" s="1"/>
  <c r="J19" i="442"/>
  <c r="I19" i="442"/>
  <c r="H19" i="442"/>
  <c r="G19" i="442"/>
  <c r="E19" i="442"/>
  <c r="F19" i="442" s="1"/>
  <c r="C29" i="441"/>
  <c r="J25" i="441"/>
  <c r="H25" i="441"/>
  <c r="E24" i="441"/>
  <c r="J23" i="441"/>
  <c r="I23" i="441"/>
  <c r="H23" i="441"/>
  <c r="G23" i="441"/>
  <c r="E23" i="441"/>
  <c r="F23" i="441" s="1"/>
  <c r="J22" i="441"/>
  <c r="I22" i="441"/>
  <c r="H22" i="441"/>
  <c r="G22" i="441"/>
  <c r="E22" i="441"/>
  <c r="F22" i="441" s="1"/>
  <c r="J21" i="441"/>
  <c r="I21" i="441"/>
  <c r="H21" i="441"/>
  <c r="G21" i="441"/>
  <c r="E21" i="441"/>
  <c r="F21" i="441" s="1"/>
  <c r="J20" i="441"/>
  <c r="I20" i="441"/>
  <c r="H20" i="441"/>
  <c r="G20" i="441"/>
  <c r="E20" i="441"/>
  <c r="F20" i="441" s="1"/>
  <c r="J19" i="441"/>
  <c r="I19" i="441"/>
  <c r="H19" i="441"/>
  <c r="G19" i="441"/>
  <c r="E19" i="441"/>
  <c r="F19" i="441" s="1"/>
  <c r="C26" i="318"/>
  <c r="J22" i="318"/>
  <c r="H22" i="318"/>
  <c r="E21" i="318"/>
  <c r="J20" i="318"/>
  <c r="I20" i="318"/>
  <c r="H20" i="318"/>
  <c r="G20" i="318"/>
  <c r="E20" i="318"/>
  <c r="F20" i="318" s="1"/>
  <c r="J19" i="318"/>
  <c r="I19" i="318"/>
  <c r="H19" i="318"/>
  <c r="G19" i="318"/>
  <c r="E19" i="318"/>
  <c r="F19" i="318" s="1"/>
  <c r="C30" i="317"/>
  <c r="J26" i="317"/>
  <c r="H26" i="317"/>
  <c r="E25" i="317"/>
  <c r="J24" i="317"/>
  <c r="I24" i="317"/>
  <c r="H24" i="317"/>
  <c r="G24" i="317"/>
  <c r="E24" i="317"/>
  <c r="F24" i="317" s="1"/>
  <c r="J23" i="317"/>
  <c r="I23" i="317"/>
  <c r="H23" i="317"/>
  <c r="G23" i="317"/>
  <c r="E23" i="317"/>
  <c r="F23" i="317" s="1"/>
  <c r="J22" i="317"/>
  <c r="I22" i="317"/>
  <c r="H22" i="317"/>
  <c r="G22" i="317"/>
  <c r="E22" i="317"/>
  <c r="F22" i="317" s="1"/>
  <c r="J21" i="317"/>
  <c r="I21" i="317"/>
  <c r="H21" i="317"/>
  <c r="G21" i="317"/>
  <c r="E21" i="317"/>
  <c r="F21" i="317" s="1"/>
  <c r="J20" i="317"/>
  <c r="I20" i="317"/>
  <c r="H20" i="317"/>
  <c r="G20" i="317"/>
  <c r="E20" i="317"/>
  <c r="F20" i="317" s="1"/>
  <c r="J19" i="317"/>
  <c r="I19" i="317"/>
  <c r="H19" i="317"/>
  <c r="G19" i="317"/>
  <c r="E19" i="317"/>
  <c r="F19" i="317" s="1"/>
  <c r="C31" i="393"/>
  <c r="J27" i="393"/>
  <c r="H27" i="393"/>
  <c r="E26" i="393"/>
  <c r="C26" i="393"/>
  <c r="J25" i="393"/>
  <c r="I25" i="393"/>
  <c r="H25" i="393"/>
  <c r="G25" i="393"/>
  <c r="E25" i="393"/>
  <c r="F25" i="393" s="1"/>
  <c r="J24" i="393"/>
  <c r="I24" i="393"/>
  <c r="H24" i="393"/>
  <c r="G24" i="393"/>
  <c r="E24" i="393"/>
  <c r="F24" i="393" s="1"/>
  <c r="J23" i="393"/>
  <c r="I23" i="393"/>
  <c r="H23" i="393"/>
  <c r="G23" i="393"/>
  <c r="F23" i="393"/>
  <c r="J22" i="393"/>
  <c r="I22" i="393"/>
  <c r="H22" i="393"/>
  <c r="G22" i="393"/>
  <c r="E22" i="393"/>
  <c r="F22" i="393" s="1"/>
  <c r="M22" i="393" s="1"/>
  <c r="J21" i="393"/>
  <c r="I21" i="393"/>
  <c r="H21" i="393"/>
  <c r="G21" i="393"/>
  <c r="E21" i="393"/>
  <c r="F21" i="393" s="1"/>
  <c r="J20" i="393"/>
  <c r="I20" i="393"/>
  <c r="H20" i="393"/>
  <c r="G20" i="393"/>
  <c r="J19" i="393"/>
  <c r="I19" i="393"/>
  <c r="H19" i="393"/>
  <c r="G19" i="393"/>
  <c r="E19" i="393"/>
  <c r="F19" i="393" s="1"/>
  <c r="C31" i="316"/>
  <c r="J27" i="316"/>
  <c r="H27" i="316"/>
  <c r="E26" i="316"/>
  <c r="C26" i="316"/>
  <c r="DC34" i="147" s="1"/>
  <c r="DC117" i="489" s="1"/>
  <c r="J25" i="316"/>
  <c r="I25" i="316"/>
  <c r="H25" i="316"/>
  <c r="G25" i="316"/>
  <c r="E25" i="316"/>
  <c r="F25" i="316" s="1"/>
  <c r="J24" i="316"/>
  <c r="I24" i="316"/>
  <c r="H24" i="316"/>
  <c r="G24" i="316"/>
  <c r="E24" i="316"/>
  <c r="F24" i="316" s="1"/>
  <c r="J23" i="316"/>
  <c r="I23" i="316"/>
  <c r="H23" i="316"/>
  <c r="G23" i="316"/>
  <c r="F23" i="316"/>
  <c r="J22" i="316"/>
  <c r="I22" i="316"/>
  <c r="H22" i="316"/>
  <c r="G22" i="316"/>
  <c r="E22" i="316"/>
  <c r="F22" i="316" s="1"/>
  <c r="M22" i="316" s="1"/>
  <c r="J21" i="316"/>
  <c r="I21" i="316"/>
  <c r="H21" i="316"/>
  <c r="G21" i="316"/>
  <c r="E21" i="316"/>
  <c r="F21" i="316" s="1"/>
  <c r="J20" i="316"/>
  <c r="I20" i="316"/>
  <c r="H20" i="316"/>
  <c r="G20" i="316"/>
  <c r="J19" i="316"/>
  <c r="I19" i="316"/>
  <c r="H19" i="316"/>
  <c r="G19" i="316"/>
  <c r="E19" i="316"/>
  <c r="F19" i="316" s="1"/>
  <c r="C29" i="315"/>
  <c r="J25" i="315"/>
  <c r="H25" i="315"/>
  <c r="E24" i="315"/>
  <c r="J23" i="315"/>
  <c r="I23" i="315"/>
  <c r="H23" i="315"/>
  <c r="G23" i="315"/>
  <c r="E23" i="315"/>
  <c r="F23" i="315" s="1"/>
  <c r="J22" i="315"/>
  <c r="I22" i="315"/>
  <c r="H22" i="315"/>
  <c r="G22" i="315"/>
  <c r="J21" i="315"/>
  <c r="I21" i="315"/>
  <c r="H21" i="315"/>
  <c r="G21" i="315"/>
  <c r="E21" i="315"/>
  <c r="F21" i="315" s="1"/>
  <c r="J20" i="315"/>
  <c r="I20" i="315"/>
  <c r="H20" i="315"/>
  <c r="G20" i="315"/>
  <c r="E20" i="315"/>
  <c r="F20" i="315" s="1"/>
  <c r="J19" i="315"/>
  <c r="I19" i="315"/>
  <c r="H19" i="315"/>
  <c r="G19" i="315"/>
  <c r="E19" i="315"/>
  <c r="F19" i="315" s="1"/>
  <c r="C28" i="314"/>
  <c r="J24" i="314"/>
  <c r="H24" i="314"/>
  <c r="E23" i="314"/>
  <c r="J22" i="314"/>
  <c r="I22" i="314"/>
  <c r="H22" i="314"/>
  <c r="G22" i="314"/>
  <c r="E22" i="314"/>
  <c r="F22" i="314" s="1"/>
  <c r="J21" i="314"/>
  <c r="I21" i="314"/>
  <c r="H21" i="314"/>
  <c r="G21" i="314"/>
  <c r="E21" i="314"/>
  <c r="F21" i="314" s="1"/>
  <c r="J20" i="314"/>
  <c r="I20" i="314"/>
  <c r="H20" i="314"/>
  <c r="G20" i="314"/>
  <c r="E20" i="314"/>
  <c r="F20" i="314" s="1"/>
  <c r="J19" i="314"/>
  <c r="I19" i="314"/>
  <c r="H19" i="314"/>
  <c r="G19" i="314"/>
  <c r="E19" i="314"/>
  <c r="F19" i="314" s="1"/>
  <c r="C29" i="313"/>
  <c r="J25" i="313"/>
  <c r="H25" i="313"/>
  <c r="E24" i="313"/>
  <c r="J23" i="313"/>
  <c r="I23" i="313"/>
  <c r="H23" i="313"/>
  <c r="G23" i="313"/>
  <c r="E23" i="313"/>
  <c r="F23" i="313" s="1"/>
  <c r="J22" i="313"/>
  <c r="I22" i="313"/>
  <c r="H22" i="313"/>
  <c r="G22" i="313"/>
  <c r="J21" i="313"/>
  <c r="I21" i="313"/>
  <c r="H21" i="313"/>
  <c r="G21" i="313"/>
  <c r="E21" i="313"/>
  <c r="F21" i="313" s="1"/>
  <c r="J20" i="313"/>
  <c r="I20" i="313"/>
  <c r="H20" i="313"/>
  <c r="G20" i="313"/>
  <c r="E20" i="313"/>
  <c r="F20" i="313" s="1"/>
  <c r="J19" i="313"/>
  <c r="I19" i="313"/>
  <c r="H19" i="313"/>
  <c r="G19" i="313"/>
  <c r="E19" i="313"/>
  <c r="F19" i="313" s="1"/>
  <c r="C29" i="308"/>
  <c r="J25" i="308"/>
  <c r="H25" i="308"/>
  <c r="E24" i="308"/>
  <c r="J23" i="308"/>
  <c r="I23" i="308"/>
  <c r="H23" i="308"/>
  <c r="G23" i="308"/>
  <c r="E23" i="308"/>
  <c r="F23" i="308" s="1"/>
  <c r="J22" i="308"/>
  <c r="I22" i="308"/>
  <c r="H22" i="308"/>
  <c r="G22" i="308"/>
  <c r="E22" i="308"/>
  <c r="F22" i="308" s="1"/>
  <c r="J21" i="308"/>
  <c r="I21" i="308"/>
  <c r="H21" i="308"/>
  <c r="G21" i="308"/>
  <c r="E21" i="308"/>
  <c r="F21" i="308" s="1"/>
  <c r="J20" i="308"/>
  <c r="I20" i="308"/>
  <c r="H20" i="308"/>
  <c r="G20" i="308"/>
  <c r="E20" i="308"/>
  <c r="F20" i="308" s="1"/>
  <c r="J19" i="308"/>
  <c r="I19" i="308"/>
  <c r="H19" i="308"/>
  <c r="G19" i="308"/>
  <c r="E19" i="308"/>
  <c r="F19" i="308" s="1"/>
  <c r="C30" i="307"/>
  <c r="J26" i="307"/>
  <c r="H26" i="307"/>
  <c r="E25" i="307"/>
  <c r="J24" i="307"/>
  <c r="I24" i="307"/>
  <c r="H24" i="307"/>
  <c r="G24" i="307"/>
  <c r="E24" i="307"/>
  <c r="F24" i="307" s="1"/>
  <c r="J23" i="307"/>
  <c r="I23" i="307"/>
  <c r="H23" i="307"/>
  <c r="G23" i="307"/>
  <c r="J22" i="307"/>
  <c r="I22" i="307"/>
  <c r="H22" i="307"/>
  <c r="G22" i="307"/>
  <c r="E22" i="307"/>
  <c r="F22" i="307" s="1"/>
  <c r="J21" i="307"/>
  <c r="I21" i="307"/>
  <c r="H21" i="307"/>
  <c r="G21" i="307"/>
  <c r="E21" i="307"/>
  <c r="F21" i="307" s="1"/>
  <c r="J20" i="307"/>
  <c r="I20" i="307"/>
  <c r="H20" i="307"/>
  <c r="G20" i="307"/>
  <c r="E20" i="307"/>
  <c r="F20" i="307" s="1"/>
  <c r="J19" i="307"/>
  <c r="I19" i="307"/>
  <c r="H19" i="307"/>
  <c r="G19" i="307"/>
  <c r="F19" i="307"/>
  <c r="C28" i="288"/>
  <c r="J24" i="288"/>
  <c r="H24" i="288"/>
  <c r="E23" i="288"/>
  <c r="J22" i="288"/>
  <c r="I22" i="288"/>
  <c r="H22" i="288"/>
  <c r="G22" i="288"/>
  <c r="E22" i="288"/>
  <c r="F22" i="288" s="1"/>
  <c r="J21" i="288"/>
  <c r="I21" i="288"/>
  <c r="H21" i="288"/>
  <c r="G21" i="288"/>
  <c r="J20" i="288"/>
  <c r="I20" i="288"/>
  <c r="H20" i="288"/>
  <c r="G20" i="288"/>
  <c r="E20" i="288"/>
  <c r="F20" i="288" s="1"/>
  <c r="J19" i="288"/>
  <c r="I19" i="288"/>
  <c r="H19" i="288"/>
  <c r="G19" i="288"/>
  <c r="E19" i="288"/>
  <c r="F19" i="288" s="1"/>
  <c r="C29" i="286"/>
  <c r="J25" i="286"/>
  <c r="H25" i="286"/>
  <c r="E24" i="286"/>
  <c r="J23" i="286"/>
  <c r="I23" i="286"/>
  <c r="H23" i="286"/>
  <c r="G23" i="286"/>
  <c r="E23" i="286"/>
  <c r="F23" i="286" s="1"/>
  <c r="J22" i="286"/>
  <c r="I22" i="286"/>
  <c r="H22" i="286"/>
  <c r="G22" i="286"/>
  <c r="E22" i="286"/>
  <c r="F22" i="286" s="1"/>
  <c r="J21" i="286"/>
  <c r="I21" i="286"/>
  <c r="H21" i="286"/>
  <c r="G21" i="286"/>
  <c r="E21" i="286"/>
  <c r="F21" i="286" s="1"/>
  <c r="J20" i="286"/>
  <c r="I20" i="286"/>
  <c r="H20" i="286"/>
  <c r="G20" i="286"/>
  <c r="E20" i="286"/>
  <c r="F20" i="286" s="1"/>
  <c r="J19" i="286"/>
  <c r="I19" i="286"/>
  <c r="H19" i="286"/>
  <c r="G19" i="286"/>
  <c r="E19" i="286"/>
  <c r="F19" i="286" s="1"/>
  <c r="C30" i="287"/>
  <c r="J26" i="287"/>
  <c r="H26" i="287"/>
  <c r="E25" i="287"/>
  <c r="J24" i="287"/>
  <c r="I24" i="287"/>
  <c r="H24" i="287"/>
  <c r="G24" i="287"/>
  <c r="E24" i="287"/>
  <c r="F24" i="287" s="1"/>
  <c r="J23" i="287"/>
  <c r="I23" i="287"/>
  <c r="H23" i="287"/>
  <c r="G23" i="287"/>
  <c r="J22" i="287"/>
  <c r="I22" i="287"/>
  <c r="H22" i="287"/>
  <c r="G22" i="287"/>
  <c r="E22" i="287"/>
  <c r="F22" i="287" s="1"/>
  <c r="J21" i="287"/>
  <c r="I21" i="287"/>
  <c r="H21" i="287"/>
  <c r="G21" i="287"/>
  <c r="E21" i="287"/>
  <c r="F21" i="287" s="1"/>
  <c r="J20" i="287"/>
  <c r="I20" i="287"/>
  <c r="H20" i="287"/>
  <c r="G20" i="287"/>
  <c r="E20" i="287"/>
  <c r="F20" i="287" s="1"/>
  <c r="J19" i="287"/>
  <c r="I19" i="287"/>
  <c r="H19" i="287"/>
  <c r="G19" i="287"/>
  <c r="E19" i="287"/>
  <c r="F19" i="287" s="1"/>
  <c r="C28" i="311"/>
  <c r="J24" i="311"/>
  <c r="H24" i="311"/>
  <c r="E23" i="311"/>
  <c r="J22" i="311"/>
  <c r="I22" i="311"/>
  <c r="H22" i="311"/>
  <c r="G22" i="311"/>
  <c r="E22" i="311"/>
  <c r="F22" i="311" s="1"/>
  <c r="J21" i="311"/>
  <c r="I21" i="311"/>
  <c r="H21" i="311"/>
  <c r="G21" i="311"/>
  <c r="E21" i="311"/>
  <c r="F21" i="311" s="1"/>
  <c r="J20" i="311"/>
  <c r="I20" i="311"/>
  <c r="H20" i="311"/>
  <c r="G20" i="311"/>
  <c r="E20" i="311"/>
  <c r="F20" i="311" s="1"/>
  <c r="J19" i="311"/>
  <c r="I19" i="311"/>
  <c r="H19" i="311"/>
  <c r="G19" i="311"/>
  <c r="E19" i="311"/>
  <c r="F19" i="311" s="1"/>
  <c r="C28" i="285"/>
  <c r="J24" i="285"/>
  <c r="H24" i="285"/>
  <c r="E23" i="285"/>
  <c r="J22" i="285"/>
  <c r="I22" i="285"/>
  <c r="H22" i="285"/>
  <c r="G22" i="285"/>
  <c r="E22" i="285"/>
  <c r="F22" i="285" s="1"/>
  <c r="J21" i="285"/>
  <c r="I21" i="285"/>
  <c r="H21" i="285"/>
  <c r="G21" i="285"/>
  <c r="E21" i="285"/>
  <c r="F21" i="285" s="1"/>
  <c r="J20" i="285"/>
  <c r="I20" i="285"/>
  <c r="H20" i="285"/>
  <c r="G20" i="285"/>
  <c r="E20" i="285"/>
  <c r="F20" i="285" s="1"/>
  <c r="J19" i="285"/>
  <c r="I19" i="285"/>
  <c r="H19" i="285"/>
  <c r="G19" i="285"/>
  <c r="E19" i="285"/>
  <c r="F19" i="285" s="1"/>
  <c r="C27" i="312"/>
  <c r="J23" i="312"/>
  <c r="H23" i="312"/>
  <c r="E22" i="312"/>
  <c r="J21" i="312"/>
  <c r="I21" i="312"/>
  <c r="H21" i="312"/>
  <c r="G21" i="312"/>
  <c r="E21" i="312"/>
  <c r="F21" i="312" s="1"/>
  <c r="J20" i="312"/>
  <c r="I20" i="312"/>
  <c r="H20" i="312"/>
  <c r="G20" i="312"/>
  <c r="E20" i="312"/>
  <c r="F20" i="312" s="1"/>
  <c r="J19" i="312"/>
  <c r="I19" i="312"/>
  <c r="H19" i="312"/>
  <c r="G19" i="312"/>
  <c r="E19" i="312"/>
  <c r="F19" i="312" s="1"/>
  <c r="C27" i="284"/>
  <c r="J23" i="284"/>
  <c r="H23" i="284"/>
  <c r="E22" i="284"/>
  <c r="J21" i="284"/>
  <c r="I21" i="284"/>
  <c r="H21" i="284"/>
  <c r="G21" i="284"/>
  <c r="E21" i="284"/>
  <c r="F21" i="284" s="1"/>
  <c r="J20" i="284"/>
  <c r="I20" i="284"/>
  <c r="H20" i="284"/>
  <c r="G20" i="284"/>
  <c r="E20" i="284"/>
  <c r="F20" i="284" s="1"/>
  <c r="J19" i="284"/>
  <c r="I19" i="284"/>
  <c r="H19" i="284"/>
  <c r="G19" i="284"/>
  <c r="E19" i="284"/>
  <c r="F19" i="284" s="1"/>
  <c r="C26" i="283"/>
  <c r="J22" i="283"/>
  <c r="H22" i="283"/>
  <c r="E21" i="283"/>
  <c r="J20" i="283"/>
  <c r="I20" i="283"/>
  <c r="H20" i="283"/>
  <c r="G20" i="283"/>
  <c r="E20" i="283"/>
  <c r="F20" i="283" s="1"/>
  <c r="J19" i="283"/>
  <c r="I19" i="283"/>
  <c r="H19" i="283"/>
  <c r="G19" i="283"/>
  <c r="E19" i="283"/>
  <c r="F19" i="283" s="1"/>
  <c r="C28" i="282"/>
  <c r="J24" i="282"/>
  <c r="H24" i="282"/>
  <c r="E23" i="282"/>
  <c r="J22" i="282"/>
  <c r="I22" i="282"/>
  <c r="H22" i="282"/>
  <c r="G22" i="282"/>
  <c r="E22" i="282"/>
  <c r="F22" i="282" s="1"/>
  <c r="J21" i="282"/>
  <c r="I21" i="282"/>
  <c r="H21" i="282"/>
  <c r="G21" i="282"/>
  <c r="E21" i="282"/>
  <c r="F21" i="282" s="1"/>
  <c r="J20" i="282"/>
  <c r="I20" i="282"/>
  <c r="H20" i="282"/>
  <c r="G20" i="282"/>
  <c r="E20" i="282"/>
  <c r="F20" i="282" s="1"/>
  <c r="J19" i="282"/>
  <c r="I19" i="282"/>
  <c r="H19" i="282"/>
  <c r="G19" i="282"/>
  <c r="E19" i="282"/>
  <c r="F19" i="282" s="1"/>
  <c r="C27" i="281"/>
  <c r="J23" i="281"/>
  <c r="H23" i="281"/>
  <c r="E22" i="281"/>
  <c r="J21" i="281"/>
  <c r="I21" i="281"/>
  <c r="H21" i="281"/>
  <c r="G21" i="281"/>
  <c r="E21" i="281"/>
  <c r="F21" i="281" s="1"/>
  <c r="J20" i="281"/>
  <c r="I20" i="281"/>
  <c r="H20" i="281"/>
  <c r="G20" i="281"/>
  <c r="E20" i="281"/>
  <c r="F20" i="281" s="1"/>
  <c r="J19" i="281"/>
  <c r="I19" i="281"/>
  <c r="H19" i="281"/>
  <c r="G19" i="281"/>
  <c r="E19" i="281"/>
  <c r="F19" i="281" s="1"/>
  <c r="C26" i="276"/>
  <c r="J22" i="276"/>
  <c r="H22" i="276"/>
  <c r="E21" i="276"/>
  <c r="J20" i="276"/>
  <c r="I20" i="276"/>
  <c r="H20" i="276"/>
  <c r="G20" i="276"/>
  <c r="E20" i="276"/>
  <c r="F20" i="276" s="1"/>
  <c r="J19" i="276"/>
  <c r="I19" i="276"/>
  <c r="H19" i="276"/>
  <c r="G19" i="276"/>
  <c r="F19" i="276"/>
  <c r="C24" i="279"/>
  <c r="J20" i="279"/>
  <c r="H20" i="279"/>
  <c r="J19" i="279"/>
  <c r="I19" i="279"/>
  <c r="H19" i="279"/>
  <c r="G19" i="279"/>
  <c r="F19" i="279"/>
  <c r="F20" i="279" s="1"/>
  <c r="F21" i="279" s="1"/>
  <c r="C24" i="340"/>
  <c r="J20" i="340"/>
  <c r="H20" i="340"/>
  <c r="J19" i="340"/>
  <c r="I19" i="340"/>
  <c r="H19" i="340"/>
  <c r="G19" i="340"/>
  <c r="F19" i="340"/>
  <c r="F20" i="340" s="1"/>
  <c r="F21" i="340" s="1"/>
  <c r="C24" i="280"/>
  <c r="J20" i="280"/>
  <c r="H20" i="280"/>
  <c r="J19" i="280"/>
  <c r="I19" i="280"/>
  <c r="H19" i="280"/>
  <c r="G19" i="280"/>
  <c r="F19" i="280"/>
  <c r="F20" i="280" s="1"/>
  <c r="F21" i="280" s="1"/>
  <c r="C24" i="278"/>
  <c r="J20" i="278"/>
  <c r="H20" i="278"/>
  <c r="J19" i="278"/>
  <c r="I19" i="278"/>
  <c r="H19" i="278"/>
  <c r="G19" i="278"/>
  <c r="F19" i="278"/>
  <c r="F20" i="278" s="1"/>
  <c r="F21" i="278" s="1"/>
  <c r="C29" i="277"/>
  <c r="J25" i="277"/>
  <c r="H25" i="277"/>
  <c r="J24" i="277"/>
  <c r="I24" i="277"/>
  <c r="H24" i="277"/>
  <c r="G24" i="277"/>
  <c r="E24" i="277"/>
  <c r="F24" i="277" s="1"/>
  <c r="J23" i="277"/>
  <c r="I23" i="277"/>
  <c r="H23" i="277"/>
  <c r="G23" i="277"/>
  <c r="J22" i="277"/>
  <c r="I22" i="277"/>
  <c r="H22" i="277"/>
  <c r="G22" i="277"/>
  <c r="E22" i="277"/>
  <c r="F22" i="277" s="1"/>
  <c r="J21" i="277"/>
  <c r="I21" i="277"/>
  <c r="H21" i="277"/>
  <c r="G21" i="277"/>
  <c r="E21" i="277"/>
  <c r="F21" i="277" s="1"/>
  <c r="J20" i="277"/>
  <c r="I20" i="277"/>
  <c r="H20" i="277"/>
  <c r="G20" i="277"/>
  <c r="E20" i="277"/>
  <c r="F20" i="277" s="1"/>
  <c r="J19" i="277"/>
  <c r="I19" i="277"/>
  <c r="H19" i="277"/>
  <c r="G19" i="277"/>
  <c r="C27" i="113"/>
  <c r="J23" i="113"/>
  <c r="H23" i="113"/>
  <c r="J22" i="113"/>
  <c r="I22" i="113"/>
  <c r="H22" i="113"/>
  <c r="G22" i="113"/>
  <c r="E22" i="113"/>
  <c r="F22" i="113" s="1"/>
  <c r="J21" i="113"/>
  <c r="I21" i="113"/>
  <c r="H21" i="113"/>
  <c r="G21" i="113"/>
  <c r="E21" i="113"/>
  <c r="F21" i="113" s="1"/>
  <c r="J20" i="113"/>
  <c r="I20" i="113"/>
  <c r="H20" i="113"/>
  <c r="G20" i="113"/>
  <c r="E20" i="113"/>
  <c r="F20" i="113" s="1"/>
  <c r="J19" i="113"/>
  <c r="I19" i="113"/>
  <c r="H19" i="113"/>
  <c r="G19" i="113"/>
  <c r="C27" i="164"/>
  <c r="J23" i="164"/>
  <c r="H23" i="164"/>
  <c r="J22" i="164"/>
  <c r="I22" i="164"/>
  <c r="H22" i="164"/>
  <c r="G22" i="164"/>
  <c r="E22" i="164"/>
  <c r="F22" i="164" s="1"/>
  <c r="J21" i="164"/>
  <c r="I21" i="164"/>
  <c r="H21" i="164"/>
  <c r="G21" i="164"/>
  <c r="E21" i="164"/>
  <c r="F21" i="164" s="1"/>
  <c r="J20" i="164"/>
  <c r="I20" i="164"/>
  <c r="H20" i="164"/>
  <c r="G20" i="164"/>
  <c r="E20" i="164"/>
  <c r="F20" i="164" s="1"/>
  <c r="J19" i="164"/>
  <c r="I19" i="164"/>
  <c r="H19" i="164"/>
  <c r="G19" i="164"/>
  <c r="E19" i="164"/>
  <c r="F19" i="164" s="1"/>
  <c r="C26" i="163"/>
  <c r="J22" i="163"/>
  <c r="H22" i="163"/>
  <c r="J21" i="163"/>
  <c r="I21" i="163"/>
  <c r="H21" i="163"/>
  <c r="G21" i="163"/>
  <c r="E21" i="163"/>
  <c r="F21" i="163" s="1"/>
  <c r="J20" i="163"/>
  <c r="I20" i="163"/>
  <c r="H20" i="163"/>
  <c r="G20" i="163"/>
  <c r="E20" i="163"/>
  <c r="F20" i="163" s="1"/>
  <c r="J19" i="163"/>
  <c r="I19" i="163"/>
  <c r="H19" i="163"/>
  <c r="G19" i="163"/>
  <c r="E19" i="163"/>
  <c r="F19" i="163" s="1"/>
  <c r="C25" i="162"/>
  <c r="J21" i="162"/>
  <c r="H21" i="162"/>
  <c r="J20" i="162"/>
  <c r="I20" i="162"/>
  <c r="H20" i="162"/>
  <c r="G20" i="162"/>
  <c r="E20" i="162"/>
  <c r="F20" i="162" s="1"/>
  <c r="J19" i="162"/>
  <c r="I19" i="162"/>
  <c r="H19" i="162"/>
  <c r="G19" i="162"/>
  <c r="E19" i="162"/>
  <c r="F19" i="162" s="1"/>
  <c r="C26" i="160"/>
  <c r="J22" i="160"/>
  <c r="H22" i="160"/>
  <c r="J21" i="160"/>
  <c r="I21" i="160"/>
  <c r="H21" i="160"/>
  <c r="G21" i="160"/>
  <c r="E21" i="160"/>
  <c r="F21" i="160" s="1"/>
  <c r="J20" i="160"/>
  <c r="I20" i="160"/>
  <c r="H20" i="160"/>
  <c r="G20" i="160"/>
  <c r="E20" i="160"/>
  <c r="F20" i="160" s="1"/>
  <c r="J19" i="160"/>
  <c r="I19" i="160"/>
  <c r="H19" i="160"/>
  <c r="G19" i="160"/>
  <c r="E19" i="160"/>
  <c r="F19" i="160" s="1"/>
  <c r="C26" i="161"/>
  <c r="J22" i="161"/>
  <c r="H22" i="161"/>
  <c r="J21" i="161"/>
  <c r="I21" i="161"/>
  <c r="H21" i="161"/>
  <c r="G21" i="161"/>
  <c r="E21" i="161"/>
  <c r="F21" i="161" s="1"/>
  <c r="J20" i="161"/>
  <c r="I20" i="161"/>
  <c r="H20" i="161"/>
  <c r="G20" i="161"/>
  <c r="E20" i="161"/>
  <c r="F20" i="161" s="1"/>
  <c r="J19" i="161"/>
  <c r="I19" i="161"/>
  <c r="H19" i="161"/>
  <c r="G19" i="161"/>
  <c r="E19" i="161"/>
  <c r="F19" i="161" s="1"/>
  <c r="H14" i="161"/>
  <c r="G1" i="161" s="1"/>
  <c r="C25" i="137"/>
  <c r="J21" i="137"/>
  <c r="H21" i="137"/>
  <c r="J20" i="137"/>
  <c r="I20" i="137"/>
  <c r="H20" i="137"/>
  <c r="G20" i="137"/>
  <c r="E20" i="137"/>
  <c r="F20" i="137" s="1"/>
  <c r="J19" i="137"/>
  <c r="I19" i="137"/>
  <c r="H19" i="137"/>
  <c r="G19" i="137"/>
  <c r="E19" i="137"/>
  <c r="F19" i="137" s="1"/>
  <c r="C54" i="310"/>
  <c r="D53" i="310"/>
  <c r="E53" i="310" s="1"/>
  <c r="D52" i="310"/>
  <c r="E52" i="310" s="1"/>
  <c r="D51" i="310"/>
  <c r="E51" i="310" s="1"/>
  <c r="D50" i="310"/>
  <c r="E50" i="310" s="1"/>
  <c r="D49" i="310"/>
  <c r="E49" i="310" s="1"/>
  <c r="D48" i="310"/>
  <c r="E48" i="310" s="1"/>
  <c r="D47" i="310"/>
  <c r="E47" i="310" s="1"/>
  <c r="D46" i="310"/>
  <c r="E46" i="310" s="1"/>
  <c r="D45" i="310"/>
  <c r="E45" i="310" s="1"/>
  <c r="D44" i="310"/>
  <c r="E44" i="310" s="1"/>
  <c r="D43" i="310"/>
  <c r="E43" i="310" s="1"/>
  <c r="D42" i="310"/>
  <c r="E42" i="310" s="1"/>
  <c r="D41" i="310"/>
  <c r="E41" i="310" s="1"/>
  <c r="D40" i="310"/>
  <c r="E40" i="310" s="1"/>
  <c r="D39" i="310"/>
  <c r="E39" i="310" s="1"/>
  <c r="D38" i="310"/>
  <c r="E38" i="310" s="1"/>
  <c r="J17" i="310"/>
  <c r="G17" i="310"/>
  <c r="D17" i="310"/>
  <c r="EX372" i="147"/>
  <c r="EX740" i="147" s="1"/>
  <c r="EW372" i="147"/>
  <c r="EW740" i="147" s="1"/>
  <c r="EV372" i="147"/>
  <c r="EV740" i="147" s="1"/>
  <c r="EU372" i="147"/>
  <c r="EU740" i="147" s="1"/>
  <c r="ET372" i="147"/>
  <c r="ET740" i="147" s="1"/>
  <c r="ES372" i="147"/>
  <c r="ES740" i="147" s="1"/>
  <c r="ER372" i="147"/>
  <c r="ER740" i="147" s="1"/>
  <c r="EQ372" i="147"/>
  <c r="EQ740" i="147" s="1"/>
  <c r="EP372" i="147"/>
  <c r="EP740" i="147" s="1"/>
  <c r="EO372" i="147"/>
  <c r="EO740" i="147" s="1"/>
  <c r="EN372" i="147"/>
  <c r="EN740" i="147" s="1"/>
  <c r="EM372" i="147"/>
  <c r="EM740" i="147" s="1"/>
  <c r="EL372" i="147"/>
  <c r="EL740" i="147" s="1"/>
  <c r="EK372" i="147"/>
  <c r="EK740" i="147" s="1"/>
  <c r="EJ372" i="147"/>
  <c r="EJ740" i="147" s="1"/>
  <c r="EI372" i="147"/>
  <c r="EI740" i="147" s="1"/>
  <c r="EH372" i="147"/>
  <c r="EH740" i="147" s="1"/>
  <c r="EG372" i="147"/>
  <c r="EG740" i="147" s="1"/>
  <c r="EF372" i="147"/>
  <c r="EF740" i="147" s="1"/>
  <c r="EE372" i="147"/>
  <c r="EE740" i="147" s="1"/>
  <c r="ED372" i="147"/>
  <c r="ED740" i="147" s="1"/>
  <c r="EC372" i="147"/>
  <c r="EC740" i="147" s="1"/>
  <c r="EA372" i="147"/>
  <c r="EA740" i="147" s="1"/>
  <c r="DZ372" i="147"/>
  <c r="DZ740" i="147" s="1"/>
  <c r="DY372" i="147"/>
  <c r="DY740" i="147" s="1"/>
  <c r="DW372" i="147"/>
  <c r="DW740" i="147" s="1"/>
  <c r="DV372" i="147"/>
  <c r="DV740" i="147" s="1"/>
  <c r="DU372" i="147"/>
  <c r="DU740" i="147" s="1"/>
  <c r="DT372" i="147"/>
  <c r="DT740" i="147" s="1"/>
  <c r="DS372" i="147"/>
  <c r="DS740" i="147" s="1"/>
  <c r="DR372" i="147"/>
  <c r="DR740" i="147" s="1"/>
  <c r="DQ372" i="147"/>
  <c r="DQ740" i="147" s="1"/>
  <c r="DP372" i="147"/>
  <c r="DP740" i="147" s="1"/>
  <c r="DO372" i="147"/>
  <c r="DO740" i="147" s="1"/>
  <c r="DN372" i="147"/>
  <c r="DN740" i="147" s="1"/>
  <c r="DM372" i="147"/>
  <c r="DM740" i="147" s="1"/>
  <c r="DL372" i="147"/>
  <c r="DL740" i="147" s="1"/>
  <c r="DK372" i="147"/>
  <c r="DK740" i="147" s="1"/>
  <c r="DJ372" i="147"/>
  <c r="DJ740" i="147" s="1"/>
  <c r="DI372" i="147"/>
  <c r="DI740" i="147" s="1"/>
  <c r="DH372" i="147"/>
  <c r="DH740" i="147" s="1"/>
  <c r="DG372" i="147"/>
  <c r="DG740" i="147" s="1"/>
  <c r="DF372" i="147"/>
  <c r="DF740" i="147" s="1"/>
  <c r="DE372" i="147"/>
  <c r="DE740" i="147" s="1"/>
  <c r="DD372" i="147"/>
  <c r="DD740" i="147" s="1"/>
  <c r="DC372" i="147"/>
  <c r="DC740" i="147" s="1"/>
  <c r="DB372" i="147"/>
  <c r="DB740" i="147" s="1"/>
  <c r="DA372" i="147"/>
  <c r="DA740" i="147" s="1"/>
  <c r="CZ372" i="147"/>
  <c r="CZ740" i="147" s="1"/>
  <c r="CY372" i="147"/>
  <c r="CY740" i="147" s="1"/>
  <c r="CX372" i="147"/>
  <c r="CX740" i="147" s="1"/>
  <c r="CW372" i="147"/>
  <c r="CW740" i="147" s="1"/>
  <c r="CV372" i="147"/>
  <c r="CV740" i="147" s="1"/>
  <c r="CU372" i="147"/>
  <c r="CU740" i="147" s="1"/>
  <c r="CT372" i="147"/>
  <c r="CT740" i="147" s="1"/>
  <c r="CS372" i="147"/>
  <c r="CS740" i="147" s="1"/>
  <c r="CR372" i="147"/>
  <c r="CR740" i="147" s="1"/>
  <c r="CQ372" i="147"/>
  <c r="CQ740" i="147" s="1"/>
  <c r="CP372" i="147"/>
  <c r="CP740" i="147" s="1"/>
  <c r="CO372" i="147"/>
  <c r="CO740" i="147" s="1"/>
  <c r="CN372" i="147"/>
  <c r="CN740" i="147" s="1"/>
  <c r="CM372" i="147"/>
  <c r="CM740" i="147" s="1"/>
  <c r="CL372" i="147"/>
  <c r="CL740" i="147" s="1"/>
  <c r="CK372" i="147"/>
  <c r="CK740" i="147" s="1"/>
  <c r="CJ372" i="147"/>
  <c r="CJ740" i="147" s="1"/>
  <c r="CI372" i="147"/>
  <c r="CI740" i="147" s="1"/>
  <c r="CH372" i="147"/>
  <c r="CH740" i="147" s="1"/>
  <c r="CG372" i="147"/>
  <c r="CG740" i="147" s="1"/>
  <c r="CF372" i="147"/>
  <c r="CF740" i="147" s="1"/>
  <c r="CE372" i="147"/>
  <c r="CE740" i="147" s="1"/>
  <c r="CD372" i="147"/>
  <c r="CD740" i="147" s="1"/>
  <c r="CC372" i="147"/>
  <c r="CC740" i="147" s="1"/>
  <c r="CB372" i="147"/>
  <c r="CB740" i="147" s="1"/>
  <c r="CA372" i="147"/>
  <c r="CA740" i="147" s="1"/>
  <c r="BZ372" i="147"/>
  <c r="BZ740" i="147" s="1"/>
  <c r="BY372" i="147"/>
  <c r="BY740" i="147" s="1"/>
  <c r="BX372" i="147"/>
  <c r="BX740" i="147" s="1"/>
  <c r="BW372" i="147"/>
  <c r="BW740" i="147" s="1"/>
  <c r="BV372" i="147"/>
  <c r="BV740" i="147" s="1"/>
  <c r="BU372" i="147"/>
  <c r="BU740" i="147" s="1"/>
  <c r="BT372" i="147"/>
  <c r="BT740" i="147" s="1"/>
  <c r="BS372" i="147"/>
  <c r="BS740" i="147" s="1"/>
  <c r="BR372" i="147"/>
  <c r="BR740" i="147" s="1"/>
  <c r="BQ372" i="147"/>
  <c r="BQ740" i="147" s="1"/>
  <c r="BP372" i="147"/>
  <c r="BP740" i="147" s="1"/>
  <c r="BO372" i="147"/>
  <c r="BO740" i="147" s="1"/>
  <c r="BN372" i="147"/>
  <c r="BN740" i="147" s="1"/>
  <c r="BM372" i="147"/>
  <c r="BM740" i="147" s="1"/>
  <c r="BL372" i="147"/>
  <c r="BL740" i="147" s="1"/>
  <c r="BK372" i="147"/>
  <c r="BK740" i="147" s="1"/>
  <c r="BJ372" i="147"/>
  <c r="BJ740" i="147" s="1"/>
  <c r="BI372" i="147"/>
  <c r="BI740" i="147" s="1"/>
  <c r="BE372" i="147"/>
  <c r="BE740" i="147" s="1"/>
  <c r="BD372" i="147"/>
  <c r="BD740" i="147" s="1"/>
  <c r="BC372" i="147"/>
  <c r="BC740" i="147" s="1"/>
  <c r="BB372" i="147"/>
  <c r="BB740" i="147" s="1"/>
  <c r="BA372" i="147"/>
  <c r="BA740" i="147" s="1"/>
  <c r="AZ372" i="147"/>
  <c r="AZ740" i="147" s="1"/>
  <c r="AY372" i="147"/>
  <c r="AY740" i="147" s="1"/>
  <c r="AX372" i="147"/>
  <c r="AX740" i="147" s="1"/>
  <c r="AW372" i="147"/>
  <c r="AW740" i="147" s="1"/>
  <c r="AV372" i="147"/>
  <c r="AV740" i="147" s="1"/>
  <c r="AU372" i="147"/>
  <c r="AU740" i="147" s="1"/>
  <c r="AT372" i="147"/>
  <c r="AT740" i="147" s="1"/>
  <c r="AS372" i="147"/>
  <c r="AS740" i="147" s="1"/>
  <c r="AR372" i="147"/>
  <c r="AR740" i="147" s="1"/>
  <c r="AQ372" i="147"/>
  <c r="AQ740" i="147" s="1"/>
  <c r="AP372" i="147"/>
  <c r="AP740" i="147" s="1"/>
  <c r="AO372" i="147"/>
  <c r="AO740" i="147" s="1"/>
  <c r="AN372" i="147"/>
  <c r="AN740" i="147" s="1"/>
  <c r="AM372" i="147"/>
  <c r="AM740" i="147" s="1"/>
  <c r="AL372" i="147"/>
  <c r="AL740" i="147" s="1"/>
  <c r="AK372" i="147"/>
  <c r="AK740" i="147" s="1"/>
  <c r="AJ372" i="147"/>
  <c r="AJ740" i="147" s="1"/>
  <c r="AI372" i="147"/>
  <c r="AI740" i="147" s="1"/>
  <c r="AH372" i="147"/>
  <c r="AH740" i="147" s="1"/>
  <c r="AG372" i="147"/>
  <c r="AG740" i="147" s="1"/>
  <c r="AF372" i="147"/>
  <c r="AF740" i="147" s="1"/>
  <c r="AD372" i="147"/>
  <c r="AD740" i="147" s="1"/>
  <c r="AC372" i="147"/>
  <c r="AC740" i="147" s="1"/>
  <c r="Z372" i="147"/>
  <c r="Z740" i="147" s="1"/>
  <c r="Y372" i="147"/>
  <c r="Y740" i="147" s="1"/>
  <c r="X372" i="147"/>
  <c r="X740" i="147" s="1"/>
  <c r="V372" i="147"/>
  <c r="V740" i="147" s="1"/>
  <c r="T372" i="147"/>
  <c r="T740" i="147" s="1"/>
  <c r="S372" i="147"/>
  <c r="S740" i="147" s="1"/>
  <c r="R372" i="147"/>
  <c r="R740" i="147" s="1"/>
  <c r="Q372" i="147"/>
  <c r="Q740" i="147" s="1"/>
  <c r="P372" i="147"/>
  <c r="P740" i="147" s="1"/>
  <c r="O372" i="147"/>
  <c r="O740" i="147" s="1"/>
  <c r="N372" i="147"/>
  <c r="N740" i="147" s="1"/>
  <c r="M372" i="147"/>
  <c r="M740" i="147" s="1"/>
  <c r="L372" i="147"/>
  <c r="L740" i="147" s="1"/>
  <c r="K372" i="147"/>
  <c r="K740" i="147" s="1"/>
  <c r="J372" i="147"/>
  <c r="J740" i="147" s="1"/>
  <c r="G364" i="147"/>
  <c r="F364" i="147"/>
  <c r="E364" i="147"/>
  <c r="D364" i="147"/>
  <c r="ES363" i="147"/>
  <c r="G363" i="147"/>
  <c r="F363" i="147"/>
  <c r="E363" i="147"/>
  <c r="D363" i="147"/>
  <c r="EM362" i="147"/>
  <c r="G362" i="147"/>
  <c r="F362" i="147"/>
  <c r="E362" i="147"/>
  <c r="D362" i="147"/>
  <c r="EL361" i="147"/>
  <c r="G361" i="147"/>
  <c r="F361" i="147"/>
  <c r="E361" i="147"/>
  <c r="D361" i="147"/>
  <c r="EK360" i="147"/>
  <c r="G360" i="147"/>
  <c r="F360" i="147"/>
  <c r="E360" i="147"/>
  <c r="D360" i="147"/>
  <c r="ER359" i="147"/>
  <c r="G359" i="147"/>
  <c r="F359" i="147"/>
  <c r="E359" i="147"/>
  <c r="D359" i="147"/>
  <c r="EQ358" i="147"/>
  <c r="G358" i="147"/>
  <c r="F358" i="147"/>
  <c r="E358" i="147"/>
  <c r="D358" i="147"/>
  <c r="EP357" i="147"/>
  <c r="G357" i="147"/>
  <c r="F357" i="147"/>
  <c r="E357" i="147"/>
  <c r="D357" i="147"/>
  <c r="EO356" i="147"/>
  <c r="G356" i="147"/>
  <c r="F356" i="147"/>
  <c r="E356" i="147"/>
  <c r="D356" i="147"/>
  <c r="EN355" i="147"/>
  <c r="G355" i="147"/>
  <c r="F355" i="147"/>
  <c r="E355" i="147"/>
  <c r="D355" i="147"/>
  <c r="EI354" i="147"/>
  <c r="EG353" i="147"/>
  <c r="G353" i="147"/>
  <c r="F353" i="147"/>
  <c r="E353" i="147"/>
  <c r="D353" i="147"/>
  <c r="EF352" i="147"/>
  <c r="G352" i="147"/>
  <c r="F352" i="147"/>
  <c r="E352" i="147"/>
  <c r="D352" i="147"/>
  <c r="EE351" i="147"/>
  <c r="G351" i="147"/>
  <c r="F351" i="147"/>
  <c r="E351" i="147"/>
  <c r="D351" i="147"/>
  <c r="ED350" i="147"/>
  <c r="G350" i="147"/>
  <c r="F350" i="147"/>
  <c r="E350" i="147"/>
  <c r="D350" i="147"/>
  <c r="DQ349" i="147"/>
  <c r="G349" i="147"/>
  <c r="F349" i="147"/>
  <c r="E349" i="147"/>
  <c r="D349" i="147"/>
  <c r="DP348" i="147"/>
  <c r="G348" i="147"/>
  <c r="F348" i="147"/>
  <c r="E348" i="147"/>
  <c r="D348" i="147"/>
  <c r="DO347" i="147"/>
  <c r="G347" i="147"/>
  <c r="F347" i="147"/>
  <c r="E347" i="147"/>
  <c r="D347" i="147"/>
  <c r="EJ346" i="147"/>
  <c r="G346" i="147"/>
  <c r="F346" i="147"/>
  <c r="EH345" i="147"/>
  <c r="G345" i="147"/>
  <c r="F345" i="147"/>
  <c r="E345" i="147"/>
  <c r="D345" i="147"/>
  <c r="EC344" i="147"/>
  <c r="G344" i="147"/>
  <c r="F344" i="147"/>
  <c r="E344" i="147"/>
  <c r="D344" i="147"/>
  <c r="EB343" i="147"/>
  <c r="EA342" i="147"/>
  <c r="AA339" i="147"/>
  <c r="G338" i="147"/>
  <c r="F338" i="147"/>
  <c r="E338" i="147"/>
  <c r="D338" i="147"/>
  <c r="EW336" i="147"/>
  <c r="B336" i="147"/>
  <c r="EW335" i="147"/>
  <c r="B335" i="147"/>
  <c r="EW334" i="147"/>
  <c r="B334" i="147"/>
  <c r="EV333" i="147"/>
  <c r="B333" i="147"/>
  <c r="EV332" i="147"/>
  <c r="B332" i="147"/>
  <c r="EV331" i="147"/>
  <c r="B331" i="147"/>
  <c r="B701" i="147" s="1"/>
  <c r="EV330" i="147"/>
  <c r="B330" i="147"/>
  <c r="B700" i="147" s="1"/>
  <c r="EV329" i="147"/>
  <c r="B329" i="147"/>
  <c r="B699" i="147" s="1"/>
  <c r="CZ325" i="147"/>
  <c r="CI325" i="147"/>
  <c r="CI695" i="147" s="1"/>
  <c r="BS325" i="147"/>
  <c r="AE325" i="147"/>
  <c r="AE695" i="147" s="1"/>
  <c r="X325" i="147"/>
  <c r="C325" i="147"/>
  <c r="E325" i="147" s="1"/>
  <c r="B325" i="147"/>
  <c r="B695" i="147" s="1"/>
  <c r="DC324" i="147"/>
  <c r="CF324" i="147"/>
  <c r="AK324" i="147"/>
  <c r="AH324" i="147"/>
  <c r="C324" i="147"/>
  <c r="B324" i="147"/>
  <c r="B694" i="147" s="1"/>
  <c r="DC323" i="147"/>
  <c r="CF323" i="147"/>
  <c r="AU323" i="147"/>
  <c r="AK323" i="147"/>
  <c r="AF323" i="147"/>
  <c r="C323" i="147"/>
  <c r="B323" i="147"/>
  <c r="B693" i="147" s="1"/>
  <c r="DC322" i="147"/>
  <c r="CF322" i="147"/>
  <c r="BS322" i="147"/>
  <c r="AK322" i="147"/>
  <c r="J322" i="147"/>
  <c r="C322" i="147"/>
  <c r="F322" i="147" s="1"/>
  <c r="B322" i="147"/>
  <c r="B692" i="147" s="1"/>
  <c r="C321" i="147"/>
  <c r="B321" i="147"/>
  <c r="B691" i="147" s="1"/>
  <c r="DX320" i="147"/>
  <c r="DI320" i="147"/>
  <c r="DC320" i="147"/>
  <c r="DA320" i="147"/>
  <c r="CZ320" i="147"/>
  <c r="CM320" i="147"/>
  <c r="CI320" i="147"/>
  <c r="BS320" i="147"/>
  <c r="V320" i="147"/>
  <c r="C320" i="147"/>
  <c r="B320" i="147"/>
  <c r="B690" i="147" s="1"/>
  <c r="DX318" i="147"/>
  <c r="DC318" i="147"/>
  <c r="CZ318" i="147"/>
  <c r="CM318" i="147"/>
  <c r="CL318" i="147"/>
  <c r="CE318" i="147"/>
  <c r="BS318" i="147"/>
  <c r="C318" i="147"/>
  <c r="B318" i="147"/>
  <c r="B688" i="147" s="1"/>
  <c r="DX317" i="147"/>
  <c r="DC317" i="147"/>
  <c r="CZ317" i="147"/>
  <c r="CM317" i="147"/>
  <c r="CL317" i="147"/>
  <c r="CE317" i="147"/>
  <c r="BS317" i="147"/>
  <c r="C317" i="147"/>
  <c r="B317" i="147"/>
  <c r="B687" i="147" s="1"/>
  <c r="DC316" i="147"/>
  <c r="CZ316" i="147"/>
  <c r="CL316" i="147"/>
  <c r="CF316" i="147"/>
  <c r="CE316" i="147"/>
  <c r="BS316" i="147"/>
  <c r="C316" i="147"/>
  <c r="G316" i="147" s="1"/>
  <c r="B316" i="147"/>
  <c r="B686" i="147" s="1"/>
  <c r="DC315" i="147"/>
  <c r="CZ315" i="147"/>
  <c r="CL315" i="147"/>
  <c r="CF315" i="147"/>
  <c r="CE315" i="147"/>
  <c r="BS315" i="147"/>
  <c r="C315" i="147"/>
  <c r="B315" i="147"/>
  <c r="B685" i="147" s="1"/>
  <c r="DC314" i="147"/>
  <c r="CZ314" i="147"/>
  <c r="CL314" i="147"/>
  <c r="CF314" i="147"/>
  <c r="CE314" i="147"/>
  <c r="BS314" i="147"/>
  <c r="C314" i="147"/>
  <c r="F314" i="147" s="1"/>
  <c r="B314" i="147"/>
  <c r="B684" i="147" s="1"/>
  <c r="DC313" i="147"/>
  <c r="CZ313" i="147"/>
  <c r="CW313" i="147"/>
  <c r="CL313" i="147"/>
  <c r="CE313" i="147"/>
  <c r="BS313" i="147"/>
  <c r="C313" i="147"/>
  <c r="B313" i="147"/>
  <c r="DC312" i="147"/>
  <c r="CZ312" i="147"/>
  <c r="CW312" i="147"/>
  <c r="CL312" i="147"/>
  <c r="CE312" i="147"/>
  <c r="BS312" i="147"/>
  <c r="C312" i="147"/>
  <c r="B312" i="147"/>
  <c r="B682" i="147" s="1"/>
  <c r="DX311" i="147"/>
  <c r="DC311" i="147"/>
  <c r="CZ311" i="147"/>
  <c r="CL311" i="147"/>
  <c r="CI311" i="147"/>
  <c r="CE311" i="147"/>
  <c r="BS311" i="147"/>
  <c r="AE311" i="147"/>
  <c r="AE681" i="147" s="1"/>
  <c r="X311" i="147"/>
  <c r="P311" i="147"/>
  <c r="P681" i="147" s="1"/>
  <c r="C311" i="147"/>
  <c r="B311" i="147"/>
  <c r="B681" i="147" s="1"/>
  <c r="DC310" i="147"/>
  <c r="CZ310" i="147"/>
  <c r="CL310" i="147"/>
  <c r="CF310" i="147"/>
  <c r="CE310" i="147"/>
  <c r="BS310" i="147"/>
  <c r="AK310" i="147"/>
  <c r="AE310" i="147"/>
  <c r="AE680" i="147" s="1"/>
  <c r="P310" i="147"/>
  <c r="J310" i="147"/>
  <c r="C310" i="147"/>
  <c r="B310" i="147"/>
  <c r="B680" i="147" s="1"/>
  <c r="DC309" i="147"/>
  <c r="CZ309" i="147"/>
  <c r="CL309" i="147"/>
  <c r="CF309" i="147"/>
  <c r="CE309" i="147"/>
  <c r="BS309" i="147"/>
  <c r="AU309" i="147"/>
  <c r="AK309" i="147"/>
  <c r="AF309" i="147"/>
  <c r="AE309" i="147"/>
  <c r="P309" i="147"/>
  <c r="C309" i="147"/>
  <c r="B309" i="147"/>
  <c r="B679" i="147" s="1"/>
  <c r="DC308" i="147"/>
  <c r="CZ308" i="147"/>
  <c r="CL308" i="147"/>
  <c r="CF308" i="147"/>
  <c r="CE308" i="147"/>
  <c r="BS308" i="147"/>
  <c r="AK308" i="147"/>
  <c r="AH308" i="147"/>
  <c r="AE308" i="147"/>
  <c r="P308" i="147"/>
  <c r="C308" i="147"/>
  <c r="B308" i="147"/>
  <c r="B678" i="147" s="1"/>
  <c r="DC307" i="147"/>
  <c r="CZ307" i="147"/>
  <c r="CL307" i="147"/>
  <c r="CE307" i="147"/>
  <c r="BS307" i="147"/>
  <c r="AE677" i="147"/>
  <c r="C307" i="147"/>
  <c r="F307" i="147" s="1"/>
  <c r="B307" i="147"/>
  <c r="B677" i="147" s="1"/>
  <c r="DC306" i="147"/>
  <c r="CZ306" i="147"/>
  <c r="CL306" i="147"/>
  <c r="CE306" i="147"/>
  <c r="BS306" i="147"/>
  <c r="AE676" i="147"/>
  <c r="C306" i="147"/>
  <c r="D306" i="147" s="1"/>
  <c r="B306" i="147"/>
  <c r="B676" i="147" s="1"/>
  <c r="DC305" i="147"/>
  <c r="CZ305" i="147"/>
  <c r="CL305" i="147"/>
  <c r="CE305" i="147"/>
  <c r="BS305" i="147"/>
  <c r="C305" i="147"/>
  <c r="B305" i="147"/>
  <c r="B675" i="147" s="1"/>
  <c r="DC304" i="147"/>
  <c r="CZ304" i="147"/>
  <c r="CL304" i="147"/>
  <c r="CF304" i="147"/>
  <c r="BS304" i="147"/>
  <c r="AE304" i="147"/>
  <c r="X304" i="147"/>
  <c r="U304" i="147"/>
  <c r="C304" i="147"/>
  <c r="B304" i="147"/>
  <c r="DC303" i="147"/>
  <c r="CZ303" i="147"/>
  <c r="CY303" i="147"/>
  <c r="CL303" i="147"/>
  <c r="CF303" i="147"/>
  <c r="BS303" i="147"/>
  <c r="AE303" i="147"/>
  <c r="AE673" i="147" s="1"/>
  <c r="U303" i="147"/>
  <c r="U673" i="147" s="1"/>
  <c r="C303" i="147"/>
  <c r="B303" i="147"/>
  <c r="B673" i="147" s="1"/>
  <c r="DC302" i="147"/>
  <c r="CZ302" i="147"/>
  <c r="CL302" i="147"/>
  <c r="BS302" i="147"/>
  <c r="AE302" i="147"/>
  <c r="AE672" i="147" s="1"/>
  <c r="U302" i="147"/>
  <c r="U672" i="147" s="1"/>
  <c r="C302" i="147"/>
  <c r="E302" i="147" s="1"/>
  <c r="B302" i="147"/>
  <c r="B672" i="147" s="1"/>
  <c r="DC301" i="147"/>
  <c r="CZ301" i="147"/>
  <c r="CL301" i="147"/>
  <c r="CF301" i="147"/>
  <c r="BS301" i="147"/>
  <c r="Z301" i="147"/>
  <c r="U301" i="147"/>
  <c r="U671" i="147" s="1"/>
  <c r="C301" i="147"/>
  <c r="B301" i="147"/>
  <c r="B671" i="147" s="1"/>
  <c r="DC300" i="147"/>
  <c r="CZ300" i="147"/>
  <c r="CL300" i="147"/>
  <c r="CF300" i="147"/>
  <c r="BS300" i="147"/>
  <c r="AD300" i="147"/>
  <c r="U300" i="147"/>
  <c r="U670" i="147" s="1"/>
  <c r="C300" i="147"/>
  <c r="B300" i="147"/>
  <c r="B670" i="147" s="1"/>
  <c r="DC299" i="147"/>
  <c r="CZ299" i="147"/>
  <c r="CW299" i="147"/>
  <c r="CL299" i="147"/>
  <c r="CF299" i="147"/>
  <c r="BS299" i="147"/>
  <c r="U299" i="147"/>
  <c r="U669" i="147" s="1"/>
  <c r="C299" i="147"/>
  <c r="B299" i="147"/>
  <c r="B669" i="147" s="1"/>
  <c r="DC298" i="147"/>
  <c r="CZ298" i="147"/>
  <c r="CL298" i="147"/>
  <c r="CF298" i="147"/>
  <c r="BS298" i="147"/>
  <c r="V298" i="147"/>
  <c r="U298" i="147"/>
  <c r="U668" i="147" s="1"/>
  <c r="C298" i="147"/>
  <c r="B298" i="147"/>
  <c r="B668" i="147" s="1"/>
  <c r="DC297" i="147"/>
  <c r="CZ297" i="147"/>
  <c r="CI297" i="147"/>
  <c r="BS297" i="147"/>
  <c r="AE297" i="147"/>
  <c r="AE667" i="147" s="1"/>
  <c r="X297" i="147"/>
  <c r="V297" i="147"/>
  <c r="C297" i="147"/>
  <c r="B297" i="147"/>
  <c r="B667" i="147" s="1"/>
  <c r="DC296" i="147"/>
  <c r="BS296" i="147"/>
  <c r="AE296" i="147"/>
  <c r="AE666" i="147" s="1"/>
  <c r="C296" i="147"/>
  <c r="B296" i="147"/>
  <c r="B666" i="147" s="1"/>
  <c r="DH295" i="147"/>
  <c r="CZ295" i="147"/>
  <c r="C295" i="147"/>
  <c r="D295" i="147" s="1"/>
  <c r="B295" i="147"/>
  <c r="B665" i="147" s="1"/>
  <c r="U294" i="147"/>
  <c r="U664" i="147" s="1"/>
  <c r="C294" i="147"/>
  <c r="B294" i="147"/>
  <c r="B664" i="147" s="1"/>
  <c r="CZ293" i="147"/>
  <c r="CN293" i="147"/>
  <c r="Z293" i="147"/>
  <c r="C293" i="147"/>
  <c r="B293" i="147"/>
  <c r="CZ292" i="147"/>
  <c r="CN292" i="147"/>
  <c r="U292" i="147"/>
  <c r="C292" i="147"/>
  <c r="B292" i="147"/>
  <c r="CO291" i="147"/>
  <c r="Z291" i="147"/>
  <c r="C291" i="147"/>
  <c r="B291" i="147"/>
  <c r="CZ290" i="147"/>
  <c r="CO290" i="147"/>
  <c r="U290" i="147"/>
  <c r="C290" i="147"/>
  <c r="B290" i="147"/>
  <c r="CZ289" i="147"/>
  <c r="U289" i="147"/>
  <c r="U659" i="147" s="1"/>
  <c r="C289" i="147"/>
  <c r="B289" i="147"/>
  <c r="B659" i="147" s="1"/>
  <c r="CZ288" i="147"/>
  <c r="AJ288" i="147"/>
  <c r="B288" i="147"/>
  <c r="CZ286" i="147"/>
  <c r="C286" i="147"/>
  <c r="B286" i="147"/>
  <c r="DR285" i="147"/>
  <c r="DR655" i="147" s="1"/>
  <c r="C285" i="147"/>
  <c r="F285" i="147" s="1"/>
  <c r="B285" i="147"/>
  <c r="B655" i="147" s="1"/>
  <c r="DH284" i="147"/>
  <c r="CZ284" i="147"/>
  <c r="CR284" i="147"/>
  <c r="CQ284" i="147"/>
  <c r="C284" i="147"/>
  <c r="B284" i="147"/>
  <c r="B654" i="147" s="1"/>
  <c r="DS283" i="147"/>
  <c r="CZ283" i="147"/>
  <c r="CR283" i="147"/>
  <c r="CQ283" i="147"/>
  <c r="C283" i="147"/>
  <c r="B283" i="147"/>
  <c r="CZ282" i="147"/>
  <c r="CR282" i="147"/>
  <c r="CQ282" i="147"/>
  <c r="BR282" i="147"/>
  <c r="C282" i="147"/>
  <c r="B282" i="147"/>
  <c r="B652" i="147" s="1"/>
  <c r="DE281" i="147"/>
  <c r="CZ281" i="147"/>
  <c r="CQ281" i="147"/>
  <c r="C281" i="147"/>
  <c r="B281" i="147"/>
  <c r="C279" i="147"/>
  <c r="B279" i="147"/>
  <c r="B649" i="147" s="1"/>
  <c r="CZ275" i="147"/>
  <c r="CQ275" i="147"/>
  <c r="BR275" i="147"/>
  <c r="BB275" i="147"/>
  <c r="C275" i="147"/>
  <c r="B275" i="147"/>
  <c r="B645" i="147" s="1"/>
  <c r="CZ272" i="147"/>
  <c r="CQ272" i="147"/>
  <c r="BR272" i="147"/>
  <c r="C272" i="147"/>
  <c r="B272" i="147"/>
  <c r="B181" i="489" s="1"/>
  <c r="CZ271" i="147"/>
  <c r="BL271" i="147"/>
  <c r="C271" i="147"/>
  <c r="B271" i="147"/>
  <c r="B641" i="147" s="1"/>
  <c r="CZ270" i="147"/>
  <c r="BK270" i="147"/>
  <c r="C270" i="147"/>
  <c r="B270" i="147"/>
  <c r="BJ269" i="147"/>
  <c r="C269" i="147"/>
  <c r="B269" i="147"/>
  <c r="B639" i="147" s="1"/>
  <c r="BI268" i="147"/>
  <c r="C268" i="147"/>
  <c r="B268" i="147"/>
  <c r="B638" i="147" s="1"/>
  <c r="CZ267" i="147"/>
  <c r="BE267" i="147"/>
  <c r="C267" i="147"/>
  <c r="B267" i="147"/>
  <c r="B637" i="147" s="1"/>
  <c r="CZ266" i="147"/>
  <c r="CZ636" i="147" s="1"/>
  <c r="BD266" i="147"/>
  <c r="C266" i="147"/>
  <c r="B266" i="147"/>
  <c r="B636" i="147" s="1"/>
  <c r="BQ265" i="147"/>
  <c r="C265" i="147"/>
  <c r="B265" i="147"/>
  <c r="B635" i="147" s="1"/>
  <c r="BM263" i="147"/>
  <c r="C263" i="147"/>
  <c r="B263" i="147"/>
  <c r="BP262" i="147"/>
  <c r="C262" i="147"/>
  <c r="B262" i="147"/>
  <c r="B632" i="147" s="1"/>
  <c r="BO261" i="147"/>
  <c r="BO631" i="147" s="1"/>
  <c r="C261" i="147"/>
  <c r="B261" i="147"/>
  <c r="B631" i="147" s="1"/>
  <c r="C259" i="147"/>
  <c r="B259" i="147"/>
  <c r="BR257" i="147"/>
  <c r="C257" i="147"/>
  <c r="B257" i="147"/>
  <c r="C252" i="147"/>
  <c r="B252" i="147"/>
  <c r="C251" i="147"/>
  <c r="B251" i="147"/>
  <c r="B621" i="147" s="1"/>
  <c r="DF250" i="147"/>
  <c r="DC250" i="147"/>
  <c r="CS250" i="147"/>
  <c r="BS250" i="147"/>
  <c r="AK250" i="147"/>
  <c r="Y250" i="147"/>
  <c r="V250" i="147"/>
  <c r="C250" i="147"/>
  <c r="B250" i="147"/>
  <c r="B620" i="147" s="1"/>
  <c r="C249" i="147"/>
  <c r="AK249" i="147" s="1"/>
  <c r="B249" i="147"/>
  <c r="B619" i="147" s="1"/>
  <c r="C248" i="147"/>
  <c r="BS248" i="147" s="1"/>
  <c r="B248" i="147"/>
  <c r="B618" i="147" s="1"/>
  <c r="DC247" i="147"/>
  <c r="CS247" i="147"/>
  <c r="BS247" i="147"/>
  <c r="AK247" i="147"/>
  <c r="Y247" i="147"/>
  <c r="V247" i="147"/>
  <c r="C247" i="147"/>
  <c r="B247" i="147"/>
  <c r="B617" i="147" s="1"/>
  <c r="C246" i="147"/>
  <c r="B246" i="147"/>
  <c r="B616" i="147" s="1"/>
  <c r="C245" i="147"/>
  <c r="B245" i="147"/>
  <c r="DF244" i="147"/>
  <c r="DC244" i="147"/>
  <c r="CS244" i="147"/>
  <c r="BS244" i="147"/>
  <c r="Y244" i="147"/>
  <c r="C244" i="147"/>
  <c r="D244" i="147" s="1"/>
  <c r="B244" i="147"/>
  <c r="B614" i="147" s="1"/>
  <c r="DC243" i="147"/>
  <c r="CS243" i="147"/>
  <c r="BS243" i="147"/>
  <c r="Y243" i="147"/>
  <c r="C243" i="147"/>
  <c r="B243" i="147"/>
  <c r="B613" i="147" s="1"/>
  <c r="DC242" i="147"/>
  <c r="CS242" i="147"/>
  <c r="BS242" i="147"/>
  <c r="Y242" i="147"/>
  <c r="C242" i="147"/>
  <c r="B242" i="147"/>
  <c r="B612" i="147" s="1"/>
  <c r="DC241" i="147"/>
  <c r="CS241" i="147"/>
  <c r="BS241" i="147"/>
  <c r="Y241" i="147"/>
  <c r="C241" i="147"/>
  <c r="G241" i="147" s="1"/>
  <c r="B241" i="147"/>
  <c r="B611" i="147" s="1"/>
  <c r="DC240" i="147"/>
  <c r="CS240" i="147"/>
  <c r="BS240" i="147"/>
  <c r="Y240" i="147"/>
  <c r="C240" i="147"/>
  <c r="B240" i="147"/>
  <c r="B610" i="147" s="1"/>
  <c r="DC239" i="147"/>
  <c r="CS239" i="147"/>
  <c r="BS239" i="147"/>
  <c r="V239" i="147"/>
  <c r="U239" i="147"/>
  <c r="U609" i="147" s="1"/>
  <c r="C239" i="147"/>
  <c r="B239" i="147"/>
  <c r="B609" i="147" s="1"/>
  <c r="DC238" i="147"/>
  <c r="AE238" i="147"/>
  <c r="AE608" i="147" s="1"/>
  <c r="U238" i="147"/>
  <c r="U608" i="147" s="1"/>
  <c r="C238" i="147"/>
  <c r="B238" i="147"/>
  <c r="B608" i="147" s="1"/>
  <c r="C237" i="147"/>
  <c r="CS237" i="147" s="1"/>
  <c r="B237" i="147"/>
  <c r="B607" i="147" s="1"/>
  <c r="DC236" i="147"/>
  <c r="CZ236" i="147"/>
  <c r="CZ606" i="147" s="1"/>
  <c r="CS236" i="147"/>
  <c r="BS236" i="147"/>
  <c r="V236" i="147"/>
  <c r="U236" i="147"/>
  <c r="U606" i="147" s="1"/>
  <c r="C236" i="147"/>
  <c r="B236" i="147"/>
  <c r="B606" i="147" s="1"/>
  <c r="DZ235" i="147"/>
  <c r="DF235" i="147"/>
  <c r="DC235" i="147"/>
  <c r="CZ235" i="147"/>
  <c r="CS235" i="147"/>
  <c r="CQ235" i="147"/>
  <c r="BS235" i="147"/>
  <c r="AQ235" i="147"/>
  <c r="AK235" i="147"/>
  <c r="AF235" i="147"/>
  <c r="V235" i="147"/>
  <c r="C235" i="147"/>
  <c r="B235" i="147"/>
  <c r="B605" i="147" s="1"/>
  <c r="DC234" i="147"/>
  <c r="CF234" i="147"/>
  <c r="AH234" i="147"/>
  <c r="C234" i="147"/>
  <c r="B234" i="147"/>
  <c r="B604" i="147" s="1"/>
  <c r="AH233" i="147"/>
  <c r="V233" i="147"/>
  <c r="U233" i="147"/>
  <c r="C233" i="147"/>
  <c r="B233" i="147"/>
  <c r="AI232" i="147"/>
  <c r="V232" i="147"/>
  <c r="C232" i="147"/>
  <c r="B232" i="147"/>
  <c r="B602" i="147" s="1"/>
  <c r="AH231" i="147"/>
  <c r="AH90" i="489" s="1"/>
  <c r="V231" i="147"/>
  <c r="V90" i="489" s="1"/>
  <c r="C231" i="147"/>
  <c r="C90" i="489" s="1"/>
  <c r="B231" i="147"/>
  <c r="B90" i="489" s="1"/>
  <c r="C230" i="147"/>
  <c r="B230" i="147"/>
  <c r="CB228" i="147"/>
  <c r="V228" i="147"/>
  <c r="C228" i="147"/>
  <c r="B228" i="147"/>
  <c r="CA227" i="147"/>
  <c r="V227" i="147"/>
  <c r="C227" i="147"/>
  <c r="B227" i="147"/>
  <c r="CB226" i="147"/>
  <c r="V226" i="147"/>
  <c r="C226" i="147"/>
  <c r="B226" i="147"/>
  <c r="BT225" i="147"/>
  <c r="BT210" i="489" s="1"/>
  <c r="V225" i="147"/>
  <c r="V210" i="489" s="1"/>
  <c r="C225" i="147"/>
  <c r="B225" i="147"/>
  <c r="EV224" i="147"/>
  <c r="DC224" i="147"/>
  <c r="AZ224" i="147"/>
  <c r="AQ224" i="147"/>
  <c r="AE224" i="147"/>
  <c r="AE594" i="147" s="1"/>
  <c r="V224" i="147"/>
  <c r="U224" i="147"/>
  <c r="U594" i="147" s="1"/>
  <c r="P224" i="147"/>
  <c r="L224" i="147"/>
  <c r="C224" i="147"/>
  <c r="B224" i="147"/>
  <c r="B594" i="147" s="1"/>
  <c r="EV223" i="147"/>
  <c r="DC223" i="147"/>
  <c r="AU223" i="147"/>
  <c r="V223" i="147"/>
  <c r="U223" i="147"/>
  <c r="U593" i="147" s="1"/>
  <c r="P223" i="147"/>
  <c r="K223" i="147"/>
  <c r="K593" i="147" s="1"/>
  <c r="C223" i="147"/>
  <c r="B223" i="147"/>
  <c r="B593" i="147" s="1"/>
  <c r="EV222" i="147"/>
  <c r="DC222" i="147"/>
  <c r="AU222" i="147"/>
  <c r="V222" i="147"/>
  <c r="U222" i="147"/>
  <c r="U592" i="147" s="1"/>
  <c r="P222" i="147"/>
  <c r="P592" i="147" s="1"/>
  <c r="L222" i="147"/>
  <c r="C222" i="147"/>
  <c r="B222" i="147"/>
  <c r="B592" i="147" s="1"/>
  <c r="EV221" i="147"/>
  <c r="DC221" i="147"/>
  <c r="CS221" i="147"/>
  <c r="BS221" i="147"/>
  <c r="AU221" i="147"/>
  <c r="AK221" i="147"/>
  <c r="Y221" i="147"/>
  <c r="W221" i="147"/>
  <c r="W591" i="147" s="1"/>
  <c r="V221" i="147"/>
  <c r="U221" i="147"/>
  <c r="U591" i="147" s="1"/>
  <c r="P221" i="147"/>
  <c r="K221" i="147"/>
  <c r="C221" i="147"/>
  <c r="B221" i="147"/>
  <c r="B591" i="147" s="1"/>
  <c r="EV220" i="147"/>
  <c r="DC220" i="147"/>
  <c r="CS220" i="147"/>
  <c r="BS220" i="147"/>
  <c r="AU220" i="147"/>
  <c r="AK220" i="147"/>
  <c r="Y220" i="147"/>
  <c r="W220" i="147"/>
  <c r="W590" i="147" s="1"/>
  <c r="V220" i="147"/>
  <c r="U220" i="147"/>
  <c r="U590" i="147" s="1"/>
  <c r="P220" i="147"/>
  <c r="L220" i="147"/>
  <c r="C220" i="147"/>
  <c r="B220" i="147"/>
  <c r="B590" i="147" s="1"/>
  <c r="EV218" i="147"/>
  <c r="DD218" i="147"/>
  <c r="CF218" i="147"/>
  <c r="U218" i="147"/>
  <c r="P218" i="147"/>
  <c r="C218" i="147"/>
  <c r="B218" i="147"/>
  <c r="EV217" i="147"/>
  <c r="DD217" i="147"/>
  <c r="DC217" i="147"/>
  <c r="CF217" i="147"/>
  <c r="V217" i="147"/>
  <c r="U217" i="147"/>
  <c r="U587" i="147" s="1"/>
  <c r="P217" i="147"/>
  <c r="P587" i="147" s="1"/>
  <c r="L217" i="147"/>
  <c r="C217" i="147"/>
  <c r="B217" i="147"/>
  <c r="B587" i="147" s="1"/>
  <c r="EV216" i="147"/>
  <c r="DD216" i="147"/>
  <c r="DC216" i="147"/>
  <c r="CF216" i="147"/>
  <c r="V216" i="147"/>
  <c r="U216" i="147"/>
  <c r="U586" i="147" s="1"/>
  <c r="P216" i="147"/>
  <c r="K216" i="147"/>
  <c r="C216" i="147"/>
  <c r="B216" i="147"/>
  <c r="B586" i="147" s="1"/>
  <c r="DC215" i="147"/>
  <c r="CS215" i="147"/>
  <c r="CF215" i="147"/>
  <c r="AU215" i="147"/>
  <c r="AL215" i="147"/>
  <c r="Y215" i="147"/>
  <c r="V215" i="147"/>
  <c r="L215" i="147"/>
  <c r="C215" i="147"/>
  <c r="B215" i="147"/>
  <c r="B585" i="147" s="1"/>
  <c r="DU214" i="147"/>
  <c r="CF214" i="147"/>
  <c r="AT214" i="147"/>
  <c r="AQ214" i="147"/>
  <c r="AL214" i="147"/>
  <c r="AK214" i="147"/>
  <c r="AH214" i="147"/>
  <c r="L214" i="147"/>
  <c r="C214" i="147"/>
  <c r="B214" i="147"/>
  <c r="DU213" i="147"/>
  <c r="CF213" i="147"/>
  <c r="AT213" i="147"/>
  <c r="AQ213" i="147"/>
  <c r="AL213" i="147"/>
  <c r="AK213" i="147"/>
  <c r="AH213" i="147"/>
  <c r="K213" i="147"/>
  <c r="C213" i="147"/>
  <c r="B213" i="147"/>
  <c r="B583" i="147" s="1"/>
  <c r="DF212" i="147"/>
  <c r="DC212" i="147"/>
  <c r="CF212" i="147"/>
  <c r="CB212" i="147"/>
  <c r="AQ212" i="147"/>
  <c r="AK212" i="147"/>
  <c r="L212" i="147"/>
  <c r="C212" i="147"/>
  <c r="B212" i="147"/>
  <c r="DF211" i="147"/>
  <c r="DF149" i="489" s="1"/>
  <c r="DC211" i="147"/>
  <c r="DC149" i="489" s="1"/>
  <c r="CF211" i="147"/>
  <c r="CF149" i="489" s="1"/>
  <c r="CB211" i="147"/>
  <c r="AQ211" i="147"/>
  <c r="AQ149" i="489" s="1"/>
  <c r="AK211" i="147"/>
  <c r="K211" i="147"/>
  <c r="C211" i="147"/>
  <c r="C149" i="489" s="1"/>
  <c r="B211" i="147"/>
  <c r="CF209" i="147"/>
  <c r="AU209" i="147"/>
  <c r="AL209" i="147"/>
  <c r="L209" i="147"/>
  <c r="C209" i="147"/>
  <c r="B209" i="147"/>
  <c r="B579" i="147" s="1"/>
  <c r="CF208" i="147"/>
  <c r="AU208" i="147"/>
  <c r="AL208" i="147"/>
  <c r="K208" i="147"/>
  <c r="C208" i="147"/>
  <c r="B208" i="147"/>
  <c r="B578" i="147" s="1"/>
  <c r="DF207" i="147"/>
  <c r="DC207" i="147"/>
  <c r="CS207" i="147"/>
  <c r="CF207" i="147"/>
  <c r="BS207" i="147"/>
  <c r="AU207" i="147"/>
  <c r="AU577" i="147" s="1"/>
  <c r="AQ207" i="147"/>
  <c r="AK207" i="147"/>
  <c r="AH207" i="147"/>
  <c r="L207" i="147"/>
  <c r="C207" i="147"/>
  <c r="B207" i="147"/>
  <c r="B577" i="147" s="1"/>
  <c r="DF206" i="147"/>
  <c r="DC206" i="147"/>
  <c r="CS206" i="147"/>
  <c r="CF206" i="147"/>
  <c r="BS206" i="147"/>
  <c r="AU206" i="147"/>
  <c r="AQ206" i="147"/>
  <c r="AK206" i="147"/>
  <c r="AH206" i="147"/>
  <c r="K206" i="147"/>
  <c r="C206" i="147"/>
  <c r="B206" i="147"/>
  <c r="AU205" i="147"/>
  <c r="AT205" i="147"/>
  <c r="AK205" i="147"/>
  <c r="V205" i="147"/>
  <c r="M205" i="147"/>
  <c r="C205" i="147"/>
  <c r="B205" i="147"/>
  <c r="B575" i="147" s="1"/>
  <c r="AU204" i="147"/>
  <c r="AT204" i="147"/>
  <c r="AK204" i="147"/>
  <c r="V204" i="147"/>
  <c r="K204" i="147"/>
  <c r="C204" i="147"/>
  <c r="B204" i="147"/>
  <c r="B574" i="147" s="1"/>
  <c r="AU203" i="147"/>
  <c r="AT203" i="147"/>
  <c r="AK203" i="147"/>
  <c r="V203" i="147"/>
  <c r="L203" i="147"/>
  <c r="C203" i="147"/>
  <c r="B203" i="147"/>
  <c r="B573" i="147" s="1"/>
  <c r="CF202" i="147"/>
  <c r="CB202" i="147"/>
  <c r="AK202" i="147"/>
  <c r="AF202" i="147"/>
  <c r="J202" i="147"/>
  <c r="C202" i="147"/>
  <c r="B202" i="147"/>
  <c r="B572" i="147" s="1"/>
  <c r="EV200" i="147"/>
  <c r="DF200" i="147"/>
  <c r="DC200" i="147"/>
  <c r="CS200" i="147"/>
  <c r="CS570" i="147" s="1"/>
  <c r="CF200" i="147"/>
  <c r="BS200" i="147"/>
  <c r="AU200" i="147"/>
  <c r="AK200" i="147"/>
  <c r="Y200" i="147"/>
  <c r="U200" i="147"/>
  <c r="U570" i="147" s="1"/>
  <c r="J200" i="147"/>
  <c r="C200" i="147"/>
  <c r="B200" i="147"/>
  <c r="B570" i="147" s="1"/>
  <c r="CF198" i="147"/>
  <c r="CB198" i="147"/>
  <c r="AU198" i="147"/>
  <c r="J198" i="147"/>
  <c r="B198" i="147"/>
  <c r="EV196" i="147"/>
  <c r="CF196" i="147"/>
  <c r="AU196" i="147"/>
  <c r="AK196" i="147"/>
  <c r="U196" i="147"/>
  <c r="U566" i="147" s="1"/>
  <c r="J196" i="147"/>
  <c r="C196" i="147"/>
  <c r="B196" i="147"/>
  <c r="EV195" i="147"/>
  <c r="DF195" i="147"/>
  <c r="DF565" i="147" s="1"/>
  <c r="DC195" i="147"/>
  <c r="CS195" i="147"/>
  <c r="BS195" i="147"/>
  <c r="AU195" i="147"/>
  <c r="AK195" i="147"/>
  <c r="W195" i="147"/>
  <c r="W565" i="147" s="1"/>
  <c r="V195" i="147"/>
  <c r="U195" i="147"/>
  <c r="U565" i="147" s="1"/>
  <c r="J195" i="147"/>
  <c r="C195" i="147"/>
  <c r="B195" i="147"/>
  <c r="B565" i="147" s="1"/>
  <c r="EV194" i="147"/>
  <c r="DD194" i="147"/>
  <c r="CF194" i="147"/>
  <c r="AU194" i="147"/>
  <c r="AK194" i="147"/>
  <c r="AE194" i="147"/>
  <c r="AE564" i="147" s="1"/>
  <c r="P194" i="147"/>
  <c r="P564" i="147" s="1"/>
  <c r="J194" i="147"/>
  <c r="C194" i="147"/>
  <c r="B194" i="147"/>
  <c r="B564" i="147" s="1"/>
  <c r="EV192" i="147"/>
  <c r="EV29" i="489" s="1"/>
  <c r="DD192" i="147"/>
  <c r="DD29" i="489" s="1"/>
  <c r="CF192" i="147"/>
  <c r="CF29" i="489" s="1"/>
  <c r="U192" i="147"/>
  <c r="U29" i="489" s="1"/>
  <c r="J192" i="147"/>
  <c r="J29" i="489" s="1"/>
  <c r="C192" i="147"/>
  <c r="C29" i="489" s="1"/>
  <c r="B192" i="147"/>
  <c r="B29" i="489" s="1"/>
  <c r="EV191" i="147"/>
  <c r="DD191" i="147"/>
  <c r="DC191" i="147"/>
  <c r="CF191" i="147"/>
  <c r="V191" i="147"/>
  <c r="U191" i="147"/>
  <c r="J191" i="147"/>
  <c r="C191" i="147"/>
  <c r="B191" i="147"/>
  <c r="DD190" i="147"/>
  <c r="DC190" i="147"/>
  <c r="CF190" i="147"/>
  <c r="AE190" i="147"/>
  <c r="V190" i="147"/>
  <c r="P190" i="147"/>
  <c r="J190" i="147"/>
  <c r="C190" i="147"/>
  <c r="B190" i="147"/>
  <c r="DF189" i="147"/>
  <c r="DC189" i="147"/>
  <c r="CS189" i="147"/>
  <c r="CF189" i="147"/>
  <c r="CB189" i="147"/>
  <c r="AQ189" i="147"/>
  <c r="AK189" i="147"/>
  <c r="J189" i="147"/>
  <c r="C189" i="147"/>
  <c r="B189" i="147"/>
  <c r="B559" i="147" s="1"/>
  <c r="DC188" i="147"/>
  <c r="CS188" i="147"/>
  <c r="CS558" i="147" s="1"/>
  <c r="CF188" i="147"/>
  <c r="AU188" i="147"/>
  <c r="AQ188" i="147"/>
  <c r="AL188" i="147"/>
  <c r="AK188" i="147"/>
  <c r="Y188" i="147"/>
  <c r="J188" i="147"/>
  <c r="C188" i="147"/>
  <c r="B188" i="147"/>
  <c r="B558" i="147" s="1"/>
  <c r="DF187" i="147"/>
  <c r="DF209" i="489" s="1"/>
  <c r="DC187" i="147"/>
  <c r="DC209" i="489" s="1"/>
  <c r="CS187" i="147"/>
  <c r="CF187" i="147"/>
  <c r="CF209" i="489" s="1"/>
  <c r="BS187" i="147"/>
  <c r="BS209" i="489" s="1"/>
  <c r="AU187" i="147"/>
  <c r="AU209" i="489" s="1"/>
  <c r="AL187" i="147"/>
  <c r="AK187" i="147"/>
  <c r="AK209" i="489" s="1"/>
  <c r="Y187" i="147"/>
  <c r="Y209" i="489" s="1"/>
  <c r="J187" i="147"/>
  <c r="J209" i="489" s="1"/>
  <c r="C187" i="147"/>
  <c r="C209" i="489" s="1"/>
  <c r="B187" i="147"/>
  <c r="DF186" i="147"/>
  <c r="DC186" i="147"/>
  <c r="CS186" i="147"/>
  <c r="CF186" i="147"/>
  <c r="BS186" i="147"/>
  <c r="AU186" i="147"/>
  <c r="AL186" i="147"/>
  <c r="AK186" i="147"/>
  <c r="Y186" i="147"/>
  <c r="J186" i="147"/>
  <c r="C186" i="147"/>
  <c r="B186" i="147"/>
  <c r="DC185" i="147"/>
  <c r="CS185" i="147"/>
  <c r="CF185" i="147"/>
  <c r="AU185" i="147"/>
  <c r="AL185" i="147"/>
  <c r="AK185" i="147"/>
  <c r="AH185" i="147"/>
  <c r="J185" i="147"/>
  <c r="C185" i="147"/>
  <c r="B185" i="147"/>
  <c r="DC184" i="147"/>
  <c r="CS184" i="147"/>
  <c r="CF184" i="147"/>
  <c r="AU184" i="147"/>
  <c r="AL184" i="147"/>
  <c r="AK184" i="147"/>
  <c r="AH184" i="147"/>
  <c r="J184" i="147"/>
  <c r="C184" i="147"/>
  <c r="B184" i="147"/>
  <c r="B554" i="147" s="1"/>
  <c r="DF183" i="147"/>
  <c r="DC183" i="147"/>
  <c r="CS183" i="147"/>
  <c r="CF183" i="147"/>
  <c r="BS183" i="147"/>
  <c r="AU183" i="147"/>
  <c r="AQ183" i="147"/>
  <c r="AL183" i="147"/>
  <c r="AK183" i="147"/>
  <c r="AH183" i="147"/>
  <c r="Y183" i="147"/>
  <c r="J183" i="147"/>
  <c r="C183" i="147"/>
  <c r="B183" i="147"/>
  <c r="B553" i="147" s="1"/>
  <c r="DF182" i="147"/>
  <c r="DC182" i="147"/>
  <c r="CS182" i="147"/>
  <c r="CS552" i="147" s="1"/>
  <c r="CF182" i="147"/>
  <c r="BS182" i="147"/>
  <c r="AU182" i="147"/>
  <c r="AQ182" i="147"/>
  <c r="AK182" i="147"/>
  <c r="J182" i="147"/>
  <c r="C182" i="147"/>
  <c r="B182" i="147"/>
  <c r="B552" i="147" s="1"/>
  <c r="DF181" i="147"/>
  <c r="DC181" i="147"/>
  <c r="CS181" i="147"/>
  <c r="CF181" i="147"/>
  <c r="BS181" i="147"/>
  <c r="AU181" i="147"/>
  <c r="AQ181" i="147"/>
  <c r="AL181" i="147"/>
  <c r="AK181" i="147"/>
  <c r="J181" i="147"/>
  <c r="C181" i="147"/>
  <c r="B181" i="147"/>
  <c r="DC180" i="147"/>
  <c r="BS180" i="147"/>
  <c r="AU180" i="147"/>
  <c r="AL180" i="147"/>
  <c r="AK180" i="147"/>
  <c r="Y180" i="147"/>
  <c r="V180" i="147"/>
  <c r="N180" i="147"/>
  <c r="C180" i="147"/>
  <c r="B180" i="147"/>
  <c r="B550" i="147" s="1"/>
  <c r="DF179" i="147"/>
  <c r="DC179" i="147"/>
  <c r="CS179" i="147"/>
  <c r="CF179" i="147"/>
  <c r="CF549" i="147" s="1"/>
  <c r="AU179" i="147"/>
  <c r="AL179" i="147"/>
  <c r="AK179" i="147"/>
  <c r="J179" i="147"/>
  <c r="C179" i="147"/>
  <c r="B179" i="147"/>
  <c r="B549" i="147" s="1"/>
  <c r="DF178" i="147"/>
  <c r="DC178" i="147"/>
  <c r="CS178" i="147"/>
  <c r="CF178" i="147"/>
  <c r="AU178" i="147"/>
  <c r="AL178" i="147"/>
  <c r="AK178" i="147"/>
  <c r="J178" i="147"/>
  <c r="C178" i="147"/>
  <c r="B178" i="147"/>
  <c r="B548" i="147" s="1"/>
  <c r="DC177" i="147"/>
  <c r="CS177" i="147"/>
  <c r="CF177" i="147"/>
  <c r="BS177" i="147"/>
  <c r="AU177" i="147"/>
  <c r="AL177" i="147"/>
  <c r="AK177" i="147"/>
  <c r="Y177" i="147"/>
  <c r="J177" i="147"/>
  <c r="C177" i="147"/>
  <c r="B177" i="147"/>
  <c r="B547" i="147" s="1"/>
  <c r="DC176" i="147"/>
  <c r="CS176" i="147"/>
  <c r="CF176" i="147"/>
  <c r="AU176" i="147"/>
  <c r="AL176" i="147"/>
  <c r="J176" i="147"/>
  <c r="C176" i="147"/>
  <c r="B176" i="147"/>
  <c r="B546" i="147" s="1"/>
  <c r="CF175" i="147"/>
  <c r="CF545" i="147" s="1"/>
  <c r="AU175" i="147"/>
  <c r="AL175" i="147"/>
  <c r="J175" i="147"/>
  <c r="C175" i="147"/>
  <c r="B175" i="147"/>
  <c r="B545" i="147" s="1"/>
  <c r="CF174" i="147"/>
  <c r="AU174" i="147"/>
  <c r="AL174" i="147"/>
  <c r="J174" i="147"/>
  <c r="C174" i="147"/>
  <c r="B174" i="147"/>
  <c r="B544" i="147" s="1"/>
  <c r="DC173" i="147"/>
  <c r="CS173" i="147"/>
  <c r="CF173" i="147"/>
  <c r="BS173" i="147"/>
  <c r="AQ173" i="147"/>
  <c r="AN173" i="147"/>
  <c r="AK173" i="147"/>
  <c r="J173" i="147"/>
  <c r="C173" i="147"/>
  <c r="B173" i="147"/>
  <c r="DC172" i="147"/>
  <c r="CS172" i="147"/>
  <c r="BS172" i="147"/>
  <c r="AU172" i="147"/>
  <c r="AQ172" i="147"/>
  <c r="AL172" i="147"/>
  <c r="AK172" i="147"/>
  <c r="Y172" i="147"/>
  <c r="J172" i="147"/>
  <c r="C172" i="147"/>
  <c r="B172" i="147"/>
  <c r="B542" i="147" s="1"/>
  <c r="DC171" i="147"/>
  <c r="CS171" i="147"/>
  <c r="BS171" i="147"/>
  <c r="AU171" i="147"/>
  <c r="AQ171" i="147"/>
  <c r="AL171" i="147"/>
  <c r="AK171" i="147"/>
  <c r="Y171" i="147"/>
  <c r="J171" i="147"/>
  <c r="C171" i="147"/>
  <c r="B171" i="147"/>
  <c r="B541" i="147" s="1"/>
  <c r="DC170" i="147"/>
  <c r="CF170" i="147"/>
  <c r="CB170" i="147"/>
  <c r="AQ170" i="147"/>
  <c r="AK170" i="147"/>
  <c r="J170" i="147"/>
  <c r="C170" i="147"/>
  <c r="B170" i="147"/>
  <c r="B540" i="147" s="1"/>
  <c r="DC169" i="147"/>
  <c r="CF169" i="147"/>
  <c r="CB169" i="147"/>
  <c r="AQ169" i="147"/>
  <c r="AK169" i="147"/>
  <c r="J169" i="147"/>
  <c r="C169" i="147"/>
  <c r="B169" i="147"/>
  <c r="DC168" i="147"/>
  <c r="V168" i="147"/>
  <c r="N168" i="147"/>
  <c r="C168" i="147"/>
  <c r="B168" i="147"/>
  <c r="DC167" i="147"/>
  <c r="CS167" i="147"/>
  <c r="BS167" i="147"/>
  <c r="AU167" i="147"/>
  <c r="AQ167" i="147"/>
  <c r="AL167" i="147"/>
  <c r="AK167" i="147"/>
  <c r="Y167" i="147"/>
  <c r="J167" i="147"/>
  <c r="C167" i="147"/>
  <c r="B167" i="147"/>
  <c r="B537" i="147" s="1"/>
  <c r="DC166" i="147"/>
  <c r="CS166" i="147"/>
  <c r="CF166" i="147"/>
  <c r="BS166" i="147"/>
  <c r="AU166" i="147"/>
  <c r="V166" i="147"/>
  <c r="Q166" i="147"/>
  <c r="C166" i="147"/>
  <c r="B166" i="147"/>
  <c r="B536" i="147" s="1"/>
  <c r="DC165" i="147"/>
  <c r="CS165" i="147"/>
  <c r="CS535" i="147" s="1"/>
  <c r="CF165" i="147"/>
  <c r="BS165" i="147"/>
  <c r="AU165" i="147"/>
  <c r="V165" i="147"/>
  <c r="Q165" i="147"/>
  <c r="C165" i="147"/>
  <c r="B165" i="147"/>
  <c r="B535" i="147" s="1"/>
  <c r="DF164" i="147"/>
  <c r="DC164" i="147"/>
  <c r="CZ164" i="147"/>
  <c r="CS164" i="147"/>
  <c r="CQ164" i="147"/>
  <c r="CF164" i="147"/>
  <c r="AT164" i="147"/>
  <c r="AT534" i="147" s="1"/>
  <c r="AQ164" i="147"/>
  <c r="AK164" i="147"/>
  <c r="S164" i="147"/>
  <c r="C164" i="147"/>
  <c r="B164" i="147"/>
  <c r="B534" i="147" s="1"/>
  <c r="DF163" i="147"/>
  <c r="DC163" i="147"/>
  <c r="CZ163" i="147"/>
  <c r="CS163" i="147"/>
  <c r="CQ163" i="147"/>
  <c r="CF163" i="147"/>
  <c r="AT163" i="147"/>
  <c r="AT533" i="147" s="1"/>
  <c r="AQ163" i="147"/>
  <c r="AK163" i="147"/>
  <c r="R163" i="147"/>
  <c r="C163" i="147"/>
  <c r="B163" i="147"/>
  <c r="B533" i="147" s="1"/>
  <c r="DF162" i="147"/>
  <c r="DF532" i="147" s="1"/>
  <c r="DC162" i="147"/>
  <c r="CZ162" i="147"/>
  <c r="CS162" i="147"/>
  <c r="CQ162" i="147"/>
  <c r="CF162" i="147"/>
  <c r="AT162" i="147"/>
  <c r="AT532" i="147" s="1"/>
  <c r="AQ162" i="147"/>
  <c r="AK162" i="147"/>
  <c r="Q162" i="147"/>
  <c r="C162" i="147"/>
  <c r="B162" i="147"/>
  <c r="B532" i="147" s="1"/>
  <c r="DC161" i="147"/>
  <c r="CS161" i="147"/>
  <c r="AT161" i="147"/>
  <c r="AK161" i="147"/>
  <c r="V161" i="147"/>
  <c r="Q161" i="147"/>
  <c r="C161" i="147"/>
  <c r="B161" i="147"/>
  <c r="B531" i="147" s="1"/>
  <c r="CZ160" i="147"/>
  <c r="CK160" i="147"/>
  <c r="CF160" i="147"/>
  <c r="BS160" i="147"/>
  <c r="AE160" i="147"/>
  <c r="Z160" i="147"/>
  <c r="X160" i="147"/>
  <c r="U160" i="147"/>
  <c r="C160" i="147"/>
  <c r="B160" i="147"/>
  <c r="DD158" i="147"/>
  <c r="BS158" i="147"/>
  <c r="AE158" i="147"/>
  <c r="Y158" i="147"/>
  <c r="X158" i="147"/>
  <c r="V158" i="147"/>
  <c r="C158" i="147"/>
  <c r="B158" i="147"/>
  <c r="B528" i="147" s="1"/>
  <c r="DD156" i="147"/>
  <c r="DD526" i="147" s="1"/>
  <c r="CZ156" i="147"/>
  <c r="CM156" i="147"/>
  <c r="CI156" i="147"/>
  <c r="BU156" i="147"/>
  <c r="BU526" i="147" s="1"/>
  <c r="AE156" i="147"/>
  <c r="AE526" i="147" s="1"/>
  <c r="Z156" i="147"/>
  <c r="Y156" i="147"/>
  <c r="X156" i="147"/>
  <c r="V156" i="147"/>
  <c r="C156" i="147"/>
  <c r="B156" i="147"/>
  <c r="B526" i="147" s="1"/>
  <c r="BS155" i="147"/>
  <c r="X155" i="147"/>
  <c r="C155" i="147"/>
  <c r="B155" i="147"/>
  <c r="DC153" i="147"/>
  <c r="AE153" i="147"/>
  <c r="AE523" i="147" s="1"/>
  <c r="W153" i="147"/>
  <c r="W523" i="147" s="1"/>
  <c r="V153" i="147"/>
  <c r="U153" i="147"/>
  <c r="U523" i="147" s="1"/>
  <c r="C153" i="147"/>
  <c r="B153" i="147"/>
  <c r="B523" i="147" s="1"/>
  <c r="DC152" i="147"/>
  <c r="DC47" i="489" s="1"/>
  <c r="AE152" i="147"/>
  <c r="AE47" i="489" s="1"/>
  <c r="V152" i="147"/>
  <c r="V47" i="489" s="1"/>
  <c r="U152" i="147"/>
  <c r="U47" i="489" s="1"/>
  <c r="C152" i="147"/>
  <c r="C47" i="489" s="1"/>
  <c r="B152" i="147"/>
  <c r="B47" i="489" s="1"/>
  <c r="DC151" i="147"/>
  <c r="AE151" i="147"/>
  <c r="C151" i="147"/>
  <c r="B151" i="147"/>
  <c r="DF150" i="147"/>
  <c r="CG150" i="147"/>
  <c r="CF150" i="147"/>
  <c r="AT150" i="147"/>
  <c r="AT520" i="147" s="1"/>
  <c r="AQ150" i="147"/>
  <c r="AK150" i="147"/>
  <c r="C150" i="147"/>
  <c r="B150" i="147"/>
  <c r="B520" i="147" s="1"/>
  <c r="W149" i="147"/>
  <c r="V149" i="147"/>
  <c r="C149" i="147"/>
  <c r="B149" i="147"/>
  <c r="CG148" i="147"/>
  <c r="CG180" i="489" s="1"/>
  <c r="V148" i="147"/>
  <c r="V180" i="489" s="1"/>
  <c r="C148" i="147"/>
  <c r="B148" i="147"/>
  <c r="CG146" i="147"/>
  <c r="C146" i="147"/>
  <c r="B146" i="147"/>
  <c r="B516" i="147" s="1"/>
  <c r="DD144" i="147"/>
  <c r="CZ144" i="147"/>
  <c r="CI144" i="147"/>
  <c r="CF144" i="147"/>
  <c r="CB144" i="147"/>
  <c r="AE144" i="147"/>
  <c r="AE514" i="147" s="1"/>
  <c r="Z144" i="147"/>
  <c r="Y144" i="147"/>
  <c r="C144" i="147"/>
  <c r="B144" i="147"/>
  <c r="B514" i="147" s="1"/>
  <c r="DD143" i="147"/>
  <c r="CZ143" i="147"/>
  <c r="CI143" i="147"/>
  <c r="CF143" i="147"/>
  <c r="CB143" i="147"/>
  <c r="AE143" i="147"/>
  <c r="AE513" i="147" s="1"/>
  <c r="Y143" i="147"/>
  <c r="V143" i="147"/>
  <c r="C143" i="147"/>
  <c r="B143" i="147"/>
  <c r="B513" i="147" s="1"/>
  <c r="DD142" i="147"/>
  <c r="CZ142" i="147"/>
  <c r="CI142" i="147"/>
  <c r="CF142" i="147"/>
  <c r="BU142" i="147"/>
  <c r="AE142" i="147"/>
  <c r="AE512" i="147" s="1"/>
  <c r="Z142" i="147"/>
  <c r="Y142" i="147"/>
  <c r="C142" i="147"/>
  <c r="B142" i="147"/>
  <c r="B512" i="147" s="1"/>
  <c r="DD141" i="147"/>
  <c r="CZ141" i="147"/>
  <c r="CI141" i="147"/>
  <c r="CF141" i="147"/>
  <c r="BU141" i="147"/>
  <c r="AE141" i="147"/>
  <c r="AE511" i="147" s="1"/>
  <c r="Y141" i="147"/>
  <c r="V141" i="147"/>
  <c r="C141" i="147"/>
  <c r="B141" i="147"/>
  <c r="B511" i="147" s="1"/>
  <c r="DD140" i="147"/>
  <c r="CZ140" i="147"/>
  <c r="CF140" i="147"/>
  <c r="BY140" i="147"/>
  <c r="AC140" i="147"/>
  <c r="Y140" i="147"/>
  <c r="X140" i="147"/>
  <c r="C140" i="147"/>
  <c r="B140" i="147"/>
  <c r="B510" i="147" s="1"/>
  <c r="DD139" i="147"/>
  <c r="CZ139" i="147"/>
  <c r="CF139" i="147"/>
  <c r="BY139" i="147"/>
  <c r="Y139" i="147"/>
  <c r="X139" i="147"/>
  <c r="V139" i="147"/>
  <c r="C139" i="147"/>
  <c r="B139" i="147"/>
  <c r="B509" i="147" s="1"/>
  <c r="DD138" i="147"/>
  <c r="CZ138" i="147"/>
  <c r="CF138" i="147"/>
  <c r="BT138" i="147"/>
  <c r="AC138" i="147"/>
  <c r="Y138" i="147"/>
  <c r="X138" i="147"/>
  <c r="C138" i="147"/>
  <c r="B138" i="147"/>
  <c r="B508" i="147" s="1"/>
  <c r="DD137" i="147"/>
  <c r="CZ137" i="147"/>
  <c r="CF137" i="147"/>
  <c r="BT137" i="147"/>
  <c r="Y137" i="147"/>
  <c r="X137" i="147"/>
  <c r="V137" i="147"/>
  <c r="C137" i="147"/>
  <c r="B137" i="147"/>
  <c r="B507" i="147" s="1"/>
  <c r="DC136" i="147"/>
  <c r="DC17" i="489" s="1"/>
  <c r="CZ136" i="147"/>
  <c r="CZ17" i="489" s="1"/>
  <c r="BT136" i="147"/>
  <c r="BT17" i="489" s="1"/>
  <c r="V136" i="147"/>
  <c r="V17" i="489" s="1"/>
  <c r="U136" i="147"/>
  <c r="U17" i="489" s="1"/>
  <c r="C136" i="147"/>
  <c r="C17" i="489" s="1"/>
  <c r="B136" i="147"/>
  <c r="CZ135" i="147"/>
  <c r="BX135" i="147"/>
  <c r="V135" i="147"/>
  <c r="U135" i="147"/>
  <c r="U505" i="147" s="1"/>
  <c r="C135" i="147"/>
  <c r="B135" i="147"/>
  <c r="B505" i="147" s="1"/>
  <c r="CZ134" i="147"/>
  <c r="BW134" i="147"/>
  <c r="V134" i="147"/>
  <c r="U134" i="147"/>
  <c r="U504" i="147" s="1"/>
  <c r="C134" i="147"/>
  <c r="B134" i="147"/>
  <c r="B504" i="147" s="1"/>
  <c r="CZ133" i="147"/>
  <c r="BV133" i="147"/>
  <c r="V133" i="147"/>
  <c r="U133" i="147"/>
  <c r="U503" i="147" s="1"/>
  <c r="C133" i="147"/>
  <c r="B133" i="147"/>
  <c r="B503" i="147" s="1"/>
  <c r="CZ132" i="147"/>
  <c r="CB132" i="147"/>
  <c r="V132" i="147"/>
  <c r="U132" i="147"/>
  <c r="U502" i="147" s="1"/>
  <c r="C132" i="147"/>
  <c r="B132" i="147"/>
  <c r="B502" i="147" s="1"/>
  <c r="CZ131" i="147"/>
  <c r="CZ107" i="489" s="1"/>
  <c r="CA131" i="147"/>
  <c r="CA107" i="489" s="1"/>
  <c r="V131" i="147"/>
  <c r="V107" i="489" s="1"/>
  <c r="U131" i="147"/>
  <c r="U107" i="489" s="1"/>
  <c r="C131" i="147"/>
  <c r="C107" i="489" s="1"/>
  <c r="B131" i="147"/>
  <c r="B107" i="489" s="1"/>
  <c r="CZ130" i="147"/>
  <c r="BU130" i="147"/>
  <c r="BU167" i="489" s="1"/>
  <c r="V130" i="147"/>
  <c r="U130" i="147"/>
  <c r="C130" i="147"/>
  <c r="C167" i="489" s="1"/>
  <c r="B130" i="147"/>
  <c r="CZ129" i="147"/>
  <c r="CM129" i="147"/>
  <c r="CA129" i="147"/>
  <c r="V129" i="147"/>
  <c r="U129" i="147"/>
  <c r="U499" i="147" s="1"/>
  <c r="C129" i="147"/>
  <c r="B129" i="147"/>
  <c r="B499" i="147" s="1"/>
  <c r="DC128" i="147"/>
  <c r="CZ128" i="147"/>
  <c r="BV128" i="147"/>
  <c r="V128" i="147"/>
  <c r="U128" i="147"/>
  <c r="U498" i="147" s="1"/>
  <c r="C128" i="147"/>
  <c r="B128" i="147"/>
  <c r="B498" i="147" s="1"/>
  <c r="DC127" i="147"/>
  <c r="CZ127" i="147"/>
  <c r="CB127" i="147"/>
  <c r="V127" i="147"/>
  <c r="U127" i="147"/>
  <c r="U497" i="147" s="1"/>
  <c r="C127" i="147"/>
  <c r="B127" i="147"/>
  <c r="B497" i="147" s="1"/>
  <c r="DC126" i="147"/>
  <c r="CZ126" i="147"/>
  <c r="CD126" i="147"/>
  <c r="V126" i="147"/>
  <c r="U126" i="147"/>
  <c r="U496" i="147" s="1"/>
  <c r="C126" i="147"/>
  <c r="B126" i="147"/>
  <c r="B496" i="147" s="1"/>
  <c r="DC125" i="147"/>
  <c r="CZ125" i="147"/>
  <c r="CA125" i="147"/>
  <c r="V125" i="147"/>
  <c r="U125" i="147"/>
  <c r="C125" i="147"/>
  <c r="B125" i="147"/>
  <c r="B495" i="147" s="1"/>
  <c r="DC124" i="147"/>
  <c r="CZ124" i="147"/>
  <c r="BT124" i="147"/>
  <c r="V124" i="147"/>
  <c r="U124" i="147"/>
  <c r="C124" i="147"/>
  <c r="B124" i="147"/>
  <c r="CZ123" i="147"/>
  <c r="CA123" i="147"/>
  <c r="V123" i="147"/>
  <c r="C123" i="147"/>
  <c r="B123" i="147"/>
  <c r="B493" i="147" s="1"/>
  <c r="CA122" i="147"/>
  <c r="V122" i="147"/>
  <c r="C122" i="147"/>
  <c r="B122" i="147"/>
  <c r="B492" i="147" s="1"/>
  <c r="CZ121" i="147"/>
  <c r="BV121" i="147"/>
  <c r="V121" i="147"/>
  <c r="C121" i="147"/>
  <c r="B121" i="147"/>
  <c r="B491" i="147" s="1"/>
  <c r="BV120" i="147"/>
  <c r="BV490" i="147" s="1"/>
  <c r="V120" i="147"/>
  <c r="C120" i="147"/>
  <c r="B120" i="147"/>
  <c r="B490" i="147" s="1"/>
  <c r="CZ119" i="147"/>
  <c r="CB119" i="147"/>
  <c r="V119" i="147"/>
  <c r="C119" i="147"/>
  <c r="B119" i="147"/>
  <c r="B489" i="147" s="1"/>
  <c r="CB118" i="147"/>
  <c r="V118" i="147"/>
  <c r="C118" i="147"/>
  <c r="B118" i="147"/>
  <c r="B488" i="147" s="1"/>
  <c r="CZ117" i="147"/>
  <c r="BT117" i="147"/>
  <c r="V117" i="147"/>
  <c r="C117" i="147"/>
  <c r="B117" i="147"/>
  <c r="B487" i="147" s="1"/>
  <c r="BT116" i="147"/>
  <c r="V116" i="147"/>
  <c r="C116" i="147"/>
  <c r="B116" i="147"/>
  <c r="DF115" i="147"/>
  <c r="DC115" i="147"/>
  <c r="CS115" i="147"/>
  <c r="CF115" i="147"/>
  <c r="CF485" i="147" s="1"/>
  <c r="CB115" i="147"/>
  <c r="BS115" i="147"/>
  <c r="AS115" i="147"/>
  <c r="AQ115" i="147"/>
  <c r="AN115" i="147"/>
  <c r="AK115" i="147"/>
  <c r="Y115" i="147"/>
  <c r="C115" i="147"/>
  <c r="B115" i="147"/>
  <c r="B485" i="147" s="1"/>
  <c r="DF114" i="147"/>
  <c r="DC114" i="147"/>
  <c r="CF114" i="147"/>
  <c r="CF484" i="147" s="1"/>
  <c r="CB114" i="147"/>
  <c r="BS114" i="147"/>
  <c r="AU114" i="147"/>
  <c r="AU484" i="147" s="1"/>
  <c r="AQ114" i="147"/>
  <c r="AK114" i="147"/>
  <c r="AF114" i="147"/>
  <c r="Y114" i="147"/>
  <c r="C114" i="147"/>
  <c r="B114" i="147"/>
  <c r="B484" i="147" s="1"/>
  <c r="CF113" i="147"/>
  <c r="AU113" i="147"/>
  <c r="AH113" i="147"/>
  <c r="AH483" i="147" s="1"/>
  <c r="C113" i="147"/>
  <c r="B113" i="147"/>
  <c r="B483" i="147" s="1"/>
  <c r="DF112" i="147"/>
  <c r="DC112" i="147"/>
  <c r="CS112" i="147"/>
  <c r="CF112" i="147"/>
  <c r="BS112" i="147"/>
  <c r="AK112" i="147"/>
  <c r="AH112" i="147"/>
  <c r="Y112" i="147"/>
  <c r="C112" i="147"/>
  <c r="B112" i="147"/>
  <c r="B482" i="147" s="1"/>
  <c r="DC111" i="147"/>
  <c r="DC30" i="489" s="1"/>
  <c r="CS111" i="147"/>
  <c r="CS30" i="489" s="1"/>
  <c r="CF111" i="147"/>
  <c r="CF30" i="489" s="1"/>
  <c r="BS111" i="147"/>
  <c r="BS30" i="489" s="1"/>
  <c r="BA111" i="147"/>
  <c r="BA30" i="489" s="1"/>
  <c r="AU111" i="147"/>
  <c r="AU30" i="489" s="1"/>
  <c r="AQ111" i="147"/>
  <c r="AQ30" i="489" s="1"/>
  <c r="AK111" i="147"/>
  <c r="AK30" i="489" s="1"/>
  <c r="AH111" i="147"/>
  <c r="AH30" i="489" s="1"/>
  <c r="AF111" i="147"/>
  <c r="AF30" i="489" s="1"/>
  <c r="Y111" i="147"/>
  <c r="Y30" i="489" s="1"/>
  <c r="V111" i="147"/>
  <c r="V30" i="489" s="1"/>
  <c r="C111" i="147"/>
  <c r="C30" i="489" s="1"/>
  <c r="B111" i="147"/>
  <c r="DC110" i="147"/>
  <c r="CS110" i="147"/>
  <c r="CF110" i="147"/>
  <c r="BS110" i="147"/>
  <c r="AQ110" i="147"/>
  <c r="AK110" i="147"/>
  <c r="AH110" i="147"/>
  <c r="Y110" i="147"/>
  <c r="C110" i="147"/>
  <c r="B110" i="147"/>
  <c r="B480" i="147" s="1"/>
  <c r="CF109" i="147"/>
  <c r="AX109" i="147"/>
  <c r="AU109" i="147"/>
  <c r="AK109" i="147"/>
  <c r="C109" i="147"/>
  <c r="B109" i="147"/>
  <c r="B479" i="147" s="1"/>
  <c r="DF108" i="147"/>
  <c r="CZ108" i="147"/>
  <c r="CS108" i="147"/>
  <c r="CQ108" i="147"/>
  <c r="CF108" i="147"/>
  <c r="BS108" i="147"/>
  <c r="AU108" i="147"/>
  <c r="AQ108" i="147"/>
  <c r="AK108" i="147"/>
  <c r="AF108" i="147"/>
  <c r="C108" i="147"/>
  <c r="B108" i="147"/>
  <c r="B478" i="147" s="1"/>
  <c r="CF107" i="147"/>
  <c r="AU107" i="147"/>
  <c r="AU477" i="147" s="1"/>
  <c r="AK107" i="147"/>
  <c r="AH107" i="147"/>
  <c r="V107" i="147"/>
  <c r="U107" i="147"/>
  <c r="U477" i="147" s="1"/>
  <c r="C107" i="147"/>
  <c r="B107" i="147"/>
  <c r="B477" i="147" s="1"/>
  <c r="AH106" i="147"/>
  <c r="V106" i="147"/>
  <c r="U106" i="147"/>
  <c r="U476" i="147" s="1"/>
  <c r="C106" i="147"/>
  <c r="B106" i="147"/>
  <c r="B476" i="147" s="1"/>
  <c r="CF105" i="147"/>
  <c r="AK105" i="147"/>
  <c r="AH105" i="147"/>
  <c r="C105" i="147"/>
  <c r="B105" i="147"/>
  <c r="B475" i="147" s="1"/>
  <c r="AU104" i="147"/>
  <c r="AH104" i="147"/>
  <c r="C104" i="147"/>
  <c r="B104" i="147"/>
  <c r="B474" i="147" s="1"/>
  <c r="CZ103" i="147"/>
  <c r="CA103" i="147"/>
  <c r="V103" i="147"/>
  <c r="U103" i="147"/>
  <c r="U473" i="147" s="1"/>
  <c r="C103" i="147"/>
  <c r="B103" i="147"/>
  <c r="B473" i="147" s="1"/>
  <c r="CZ102" i="147"/>
  <c r="BU102" i="147"/>
  <c r="V102" i="147"/>
  <c r="U102" i="147"/>
  <c r="U472" i="147" s="1"/>
  <c r="C102" i="147"/>
  <c r="G102" i="147" s="1"/>
  <c r="B102" i="147"/>
  <c r="B472" i="147" s="1"/>
  <c r="CZ101" i="147"/>
  <c r="CC101" i="147"/>
  <c r="V101" i="147"/>
  <c r="U101" i="147"/>
  <c r="U471" i="147" s="1"/>
  <c r="C101" i="147"/>
  <c r="B101" i="147"/>
  <c r="B471" i="147" s="1"/>
  <c r="CZ100" i="147"/>
  <c r="BZ100" i="147"/>
  <c r="V100" i="147"/>
  <c r="U100" i="147"/>
  <c r="U470" i="147" s="1"/>
  <c r="C100" i="147"/>
  <c r="B100" i="147"/>
  <c r="B470" i="147" s="1"/>
  <c r="CZ99" i="147"/>
  <c r="BV99" i="147"/>
  <c r="V99" i="147"/>
  <c r="U99" i="147"/>
  <c r="U469" i="147" s="1"/>
  <c r="C99" i="147"/>
  <c r="B99" i="147"/>
  <c r="B469" i="147" s="1"/>
  <c r="CZ98" i="147"/>
  <c r="BT98" i="147"/>
  <c r="BT468" i="147" s="1"/>
  <c r="V98" i="147"/>
  <c r="U98" i="147"/>
  <c r="U468" i="147" s="1"/>
  <c r="C98" i="147"/>
  <c r="G98" i="147" s="1"/>
  <c r="B98" i="147"/>
  <c r="B468" i="147" s="1"/>
  <c r="CZ97" i="147"/>
  <c r="CB97" i="147"/>
  <c r="V97" i="147"/>
  <c r="U97" i="147"/>
  <c r="C97" i="147"/>
  <c r="B97" i="147"/>
  <c r="B467" i="147" s="1"/>
  <c r="CZ96" i="147"/>
  <c r="CG96" i="147"/>
  <c r="CG77" i="489" s="1"/>
  <c r="V96" i="147"/>
  <c r="U96" i="147"/>
  <c r="C96" i="147"/>
  <c r="C77" i="489" s="1"/>
  <c r="B96" i="147"/>
  <c r="DC95" i="147"/>
  <c r="CS95" i="147"/>
  <c r="CF95" i="147"/>
  <c r="CA95" i="147"/>
  <c r="AQ95" i="147"/>
  <c r="AK95" i="147"/>
  <c r="Y95" i="147"/>
  <c r="C95" i="147"/>
  <c r="B95" i="147"/>
  <c r="B465" i="147" s="1"/>
  <c r="DC94" i="147"/>
  <c r="CS94" i="147"/>
  <c r="CF94" i="147"/>
  <c r="BY94" i="147"/>
  <c r="AQ94" i="147"/>
  <c r="AK94" i="147"/>
  <c r="Y94" i="147"/>
  <c r="C94" i="147"/>
  <c r="G94" i="147" s="1"/>
  <c r="B94" i="147"/>
  <c r="B464" i="147" s="1"/>
  <c r="DC93" i="147"/>
  <c r="CS93" i="147"/>
  <c r="CF93" i="147"/>
  <c r="BX93" i="147"/>
  <c r="AQ93" i="147"/>
  <c r="AK93" i="147"/>
  <c r="Y93" i="147"/>
  <c r="C93" i="147"/>
  <c r="E93" i="147" s="1"/>
  <c r="B93" i="147"/>
  <c r="B463" i="147" s="1"/>
  <c r="DC92" i="147"/>
  <c r="CS92" i="147"/>
  <c r="CS462" i="147" s="1"/>
  <c r="CF92" i="147"/>
  <c r="BW92" i="147"/>
  <c r="AQ92" i="147"/>
  <c r="AK92" i="147"/>
  <c r="Y92" i="147"/>
  <c r="C92" i="147"/>
  <c r="F92" i="147" s="1"/>
  <c r="B92" i="147"/>
  <c r="B462" i="147" s="1"/>
  <c r="DC91" i="147"/>
  <c r="CS91" i="147"/>
  <c r="CF91" i="147"/>
  <c r="BV91" i="147"/>
  <c r="AQ91" i="147"/>
  <c r="AK91" i="147"/>
  <c r="Y91" i="147"/>
  <c r="C91" i="147"/>
  <c r="B91" i="147"/>
  <c r="B461" i="147" s="1"/>
  <c r="DC90" i="147"/>
  <c r="CS90" i="147"/>
  <c r="CF90" i="147"/>
  <c r="CB90" i="147"/>
  <c r="AQ90" i="147"/>
  <c r="AK90" i="147"/>
  <c r="Y90" i="147"/>
  <c r="C90" i="147"/>
  <c r="G90" i="147" s="1"/>
  <c r="B90" i="147"/>
  <c r="B460" i="147" s="1"/>
  <c r="DC89" i="147"/>
  <c r="BS89" i="147"/>
  <c r="AE89" i="147"/>
  <c r="AE459" i="147" s="1"/>
  <c r="C89" i="147"/>
  <c r="G89" i="147" s="1"/>
  <c r="B89" i="147"/>
  <c r="B459" i="147" s="1"/>
  <c r="DC88" i="147"/>
  <c r="CF88" i="147"/>
  <c r="BS88" i="147"/>
  <c r="AK88" i="147"/>
  <c r="AE88" i="147"/>
  <c r="Y88" i="147"/>
  <c r="C88" i="147"/>
  <c r="B88" i="147"/>
  <c r="DF87" i="147"/>
  <c r="DC87" i="147"/>
  <c r="CS87" i="147"/>
  <c r="CG87" i="147"/>
  <c r="CF87" i="147"/>
  <c r="AQ87" i="147"/>
  <c r="AK87" i="147"/>
  <c r="Y87" i="147"/>
  <c r="C87" i="147"/>
  <c r="E87" i="147" s="1"/>
  <c r="B87" i="147"/>
  <c r="B457" i="147" s="1"/>
  <c r="DC86" i="147"/>
  <c r="BS86" i="147"/>
  <c r="V86" i="147"/>
  <c r="U86" i="147"/>
  <c r="U456" i="147" s="1"/>
  <c r="C86" i="147"/>
  <c r="E86" i="147" s="1"/>
  <c r="B86" i="147"/>
  <c r="B456" i="147" s="1"/>
  <c r="DC85" i="147"/>
  <c r="CS85" i="147"/>
  <c r="CF85" i="147"/>
  <c r="BS85" i="147"/>
  <c r="AQ85" i="147"/>
  <c r="AK85" i="147"/>
  <c r="AH85" i="147"/>
  <c r="Y85" i="147"/>
  <c r="V85" i="147"/>
  <c r="U85" i="147"/>
  <c r="U455" i="147" s="1"/>
  <c r="C85" i="147"/>
  <c r="B85" i="147"/>
  <c r="B455" i="147" s="1"/>
  <c r="AK84" i="147"/>
  <c r="Q84" i="147"/>
  <c r="C84" i="147"/>
  <c r="B84" i="147"/>
  <c r="B454" i="147" s="1"/>
  <c r="DF83" i="147"/>
  <c r="DC83" i="147"/>
  <c r="CS83" i="147"/>
  <c r="CF83" i="147"/>
  <c r="AQ83" i="147"/>
  <c r="AK83" i="147"/>
  <c r="AH83" i="147"/>
  <c r="Y83" i="147"/>
  <c r="Q83" i="147"/>
  <c r="C83" i="147"/>
  <c r="G83" i="147" s="1"/>
  <c r="B83" i="147"/>
  <c r="B453" i="147" s="1"/>
  <c r="AK82" i="147"/>
  <c r="AE82" i="147"/>
  <c r="AE452" i="147" s="1"/>
  <c r="J82" i="147"/>
  <c r="C82" i="147"/>
  <c r="B82" i="147"/>
  <c r="B452" i="147" s="1"/>
  <c r="DF81" i="147"/>
  <c r="DC81" i="147"/>
  <c r="CS81" i="147"/>
  <c r="CF81" i="147"/>
  <c r="AQ81" i="147"/>
  <c r="AH81" i="147"/>
  <c r="C81" i="147"/>
  <c r="B81" i="147"/>
  <c r="B451" i="147" s="1"/>
  <c r="DC80" i="147"/>
  <c r="CS80" i="147"/>
  <c r="CH80" i="147"/>
  <c r="CF80" i="147"/>
  <c r="AQ80" i="147"/>
  <c r="AK80" i="147"/>
  <c r="AH80" i="147"/>
  <c r="C80" i="147"/>
  <c r="B80" i="147"/>
  <c r="DN79" i="147"/>
  <c r="DC79" i="147"/>
  <c r="CS79" i="147"/>
  <c r="CF79" i="147"/>
  <c r="AT79" i="147"/>
  <c r="AQ79" i="147"/>
  <c r="AK79" i="147"/>
  <c r="AH79" i="147"/>
  <c r="Y79" i="147"/>
  <c r="C79" i="147"/>
  <c r="B79" i="147"/>
  <c r="DM78" i="147"/>
  <c r="DC78" i="147"/>
  <c r="CF78" i="147"/>
  <c r="AU78" i="147"/>
  <c r="AT78" i="147"/>
  <c r="AT448" i="147" s="1"/>
  <c r="AQ78" i="147"/>
  <c r="AK78" i="147"/>
  <c r="C78" i="147"/>
  <c r="B78" i="147"/>
  <c r="B448" i="147" s="1"/>
  <c r="DL77" i="147"/>
  <c r="DL28" i="489" s="1"/>
  <c r="DC77" i="147"/>
  <c r="DC28" i="489" s="1"/>
  <c r="CS77" i="147"/>
  <c r="CS28" i="489" s="1"/>
  <c r="CF77" i="147"/>
  <c r="CF28" i="489" s="1"/>
  <c r="AT77" i="147"/>
  <c r="AT28" i="489" s="1"/>
  <c r="AQ77" i="147"/>
  <c r="AQ28" i="489" s="1"/>
  <c r="AK77" i="147"/>
  <c r="AK28" i="489" s="1"/>
  <c r="AH77" i="147"/>
  <c r="AH28" i="489" s="1"/>
  <c r="Y77" i="147"/>
  <c r="Y28" i="489" s="1"/>
  <c r="C77" i="147"/>
  <c r="C28" i="489" s="1"/>
  <c r="B77" i="147"/>
  <c r="B28" i="489" s="1"/>
  <c r="DC76" i="147"/>
  <c r="CS76" i="147"/>
  <c r="CF76" i="147"/>
  <c r="CC76" i="147"/>
  <c r="AQ76" i="147"/>
  <c r="AK76" i="147"/>
  <c r="AH76" i="147"/>
  <c r="Y76" i="147"/>
  <c r="C76" i="147"/>
  <c r="B76" i="147"/>
  <c r="B446" i="147" s="1"/>
  <c r="DC75" i="147"/>
  <c r="CS75" i="147"/>
  <c r="CF75" i="147"/>
  <c r="BY75" i="147"/>
  <c r="AQ75" i="147"/>
  <c r="AK75" i="147"/>
  <c r="AH75" i="147"/>
  <c r="Y75" i="147"/>
  <c r="C75" i="147"/>
  <c r="E75" i="147" s="1"/>
  <c r="B75" i="147"/>
  <c r="B445" i="147" s="1"/>
  <c r="DC74" i="147"/>
  <c r="CS74" i="147"/>
  <c r="CF74" i="147"/>
  <c r="BW74" i="147"/>
  <c r="AQ74" i="147"/>
  <c r="AK74" i="147"/>
  <c r="AH74" i="147"/>
  <c r="Y74" i="147"/>
  <c r="C74" i="147"/>
  <c r="B74" i="147"/>
  <c r="B444" i="147" s="1"/>
  <c r="DC73" i="147"/>
  <c r="CS73" i="147"/>
  <c r="CS443" i="147" s="1"/>
  <c r="CF73" i="147"/>
  <c r="CB73" i="147"/>
  <c r="AQ73" i="147"/>
  <c r="AK73" i="147"/>
  <c r="AH73" i="147"/>
  <c r="Y73" i="147"/>
  <c r="C73" i="147"/>
  <c r="E73" i="147" s="1"/>
  <c r="B73" i="147"/>
  <c r="B443" i="147" s="1"/>
  <c r="DC72" i="147"/>
  <c r="CS72" i="147"/>
  <c r="CS442" i="147" s="1"/>
  <c r="CF72" i="147"/>
  <c r="CA72" i="147"/>
  <c r="AQ72" i="147"/>
  <c r="AK72" i="147"/>
  <c r="AH72" i="147"/>
  <c r="Y72" i="147"/>
  <c r="C72" i="147"/>
  <c r="B72" i="147"/>
  <c r="B442" i="147" s="1"/>
  <c r="DC71" i="147"/>
  <c r="CS71" i="147"/>
  <c r="CF71" i="147"/>
  <c r="BV71" i="147"/>
  <c r="BV441" i="147" s="1"/>
  <c r="AQ71" i="147"/>
  <c r="AK71" i="147"/>
  <c r="AH71" i="147"/>
  <c r="Y71" i="147"/>
  <c r="C71" i="147"/>
  <c r="E71" i="147" s="1"/>
  <c r="B71" i="147"/>
  <c r="B441" i="147" s="1"/>
  <c r="DM70" i="147"/>
  <c r="DC70" i="147"/>
  <c r="CS70" i="147"/>
  <c r="CF70" i="147"/>
  <c r="AQ70" i="147"/>
  <c r="AK70" i="147"/>
  <c r="AH70" i="147"/>
  <c r="AF70" i="147"/>
  <c r="Y70" i="147"/>
  <c r="C70" i="147"/>
  <c r="B70" i="147"/>
  <c r="DC69" i="147"/>
  <c r="CS69" i="147"/>
  <c r="CF69" i="147"/>
  <c r="CC69" i="147"/>
  <c r="AQ69" i="147"/>
  <c r="AK69" i="147"/>
  <c r="AH69" i="147"/>
  <c r="AH439" i="147" s="1"/>
  <c r="AF69" i="147"/>
  <c r="Y69" i="147"/>
  <c r="C69" i="147"/>
  <c r="B69" i="147"/>
  <c r="B439" i="147" s="1"/>
  <c r="DC68" i="147"/>
  <c r="CS68" i="147"/>
  <c r="CF68" i="147"/>
  <c r="CA68" i="147"/>
  <c r="AQ68" i="147"/>
  <c r="AK68" i="147"/>
  <c r="AH68" i="147"/>
  <c r="AF68" i="147"/>
  <c r="Y68" i="147"/>
  <c r="C68" i="147"/>
  <c r="B68" i="147"/>
  <c r="B438" i="147" s="1"/>
  <c r="DC67" i="147"/>
  <c r="CS67" i="147"/>
  <c r="CF67" i="147"/>
  <c r="BY67" i="147"/>
  <c r="AQ67" i="147"/>
  <c r="AK67" i="147"/>
  <c r="AH67" i="147"/>
  <c r="AF67" i="147"/>
  <c r="Y67" i="147"/>
  <c r="C67" i="147"/>
  <c r="E67" i="147" s="1"/>
  <c r="B67" i="147"/>
  <c r="B437" i="147" s="1"/>
  <c r="DC66" i="147"/>
  <c r="CS66" i="147"/>
  <c r="CF66" i="147"/>
  <c r="BV66" i="147"/>
  <c r="AQ66" i="147"/>
  <c r="AK66" i="147"/>
  <c r="AH66" i="147"/>
  <c r="AF66" i="147"/>
  <c r="Y66" i="147"/>
  <c r="C66" i="147"/>
  <c r="B66" i="147"/>
  <c r="B436" i="147" s="1"/>
  <c r="DC65" i="147"/>
  <c r="CS65" i="147"/>
  <c r="CF65" i="147"/>
  <c r="CF435" i="147" s="1"/>
  <c r="BW65" i="147"/>
  <c r="AQ65" i="147"/>
  <c r="AK65" i="147"/>
  <c r="AH65" i="147"/>
  <c r="AF65" i="147"/>
  <c r="Y65" i="147"/>
  <c r="C65" i="147"/>
  <c r="B65" i="147"/>
  <c r="B435" i="147" s="1"/>
  <c r="DC64" i="147"/>
  <c r="DC58" i="489" s="1"/>
  <c r="CS64" i="147"/>
  <c r="CF64" i="147"/>
  <c r="CF58" i="489" s="1"/>
  <c r="CB64" i="147"/>
  <c r="AQ64" i="147"/>
  <c r="AQ58" i="489" s="1"/>
  <c r="AK64" i="147"/>
  <c r="AK58" i="489" s="1"/>
  <c r="AH64" i="147"/>
  <c r="AH58" i="489" s="1"/>
  <c r="AF64" i="147"/>
  <c r="AF58" i="489" s="1"/>
  <c r="Y64" i="147"/>
  <c r="C64" i="147"/>
  <c r="C58" i="489" s="1"/>
  <c r="B64" i="147"/>
  <c r="DC63" i="147"/>
  <c r="CS63" i="147"/>
  <c r="CF63" i="147"/>
  <c r="AQ63" i="147"/>
  <c r="AK63" i="147"/>
  <c r="AH63" i="147"/>
  <c r="Y63" i="147"/>
  <c r="C63" i="147"/>
  <c r="B63" i="147"/>
  <c r="B433" i="147" s="1"/>
  <c r="CT62" i="147"/>
  <c r="CF62" i="147"/>
  <c r="CB62" i="147"/>
  <c r="AQ62" i="147"/>
  <c r="AK62" i="147"/>
  <c r="AH62" i="147"/>
  <c r="Y62" i="147"/>
  <c r="C62" i="147"/>
  <c r="B62" i="147"/>
  <c r="CT61" i="147"/>
  <c r="CF61" i="147"/>
  <c r="AK61" i="147"/>
  <c r="AH61" i="147"/>
  <c r="Y61" i="147"/>
  <c r="C61" i="147"/>
  <c r="E61" i="147" s="1"/>
  <c r="B61" i="147"/>
  <c r="B431" i="147" s="1"/>
  <c r="DF60" i="147"/>
  <c r="DF430" i="147" s="1"/>
  <c r="DC60" i="147"/>
  <c r="CV60" i="147"/>
  <c r="CF60" i="147"/>
  <c r="CF430" i="147" s="1"/>
  <c r="AQ60" i="147"/>
  <c r="AK60" i="147"/>
  <c r="AH60" i="147"/>
  <c r="Y60" i="147"/>
  <c r="C60" i="147"/>
  <c r="B60" i="147"/>
  <c r="B430" i="147" s="1"/>
  <c r="DC59" i="147"/>
  <c r="CF59" i="147"/>
  <c r="BS59" i="147"/>
  <c r="AV59" i="147"/>
  <c r="AK59" i="147"/>
  <c r="AH59" i="147"/>
  <c r="AE59" i="147"/>
  <c r="AE429" i="147" s="1"/>
  <c r="Y59" i="147"/>
  <c r="C59" i="147"/>
  <c r="E59" i="147" s="1"/>
  <c r="B59" i="147"/>
  <c r="B429" i="147" s="1"/>
  <c r="DF58" i="147"/>
  <c r="DC58" i="147"/>
  <c r="CF58" i="147"/>
  <c r="AT58" i="147"/>
  <c r="AQ58" i="147"/>
  <c r="AK58" i="147"/>
  <c r="AH58" i="147"/>
  <c r="AF58" i="147"/>
  <c r="Y58" i="147"/>
  <c r="C58" i="147"/>
  <c r="B58" i="147"/>
  <c r="B428" i="147" s="1"/>
  <c r="DF57" i="147"/>
  <c r="DC57" i="147"/>
  <c r="CF57" i="147"/>
  <c r="BS57" i="147"/>
  <c r="AT57" i="147"/>
  <c r="AQ57" i="147"/>
  <c r="AK57" i="147"/>
  <c r="AF57" i="147"/>
  <c r="Y57" i="147"/>
  <c r="C57" i="147"/>
  <c r="B57" i="147"/>
  <c r="B427" i="147" s="1"/>
  <c r="DF56" i="147"/>
  <c r="DC56" i="147"/>
  <c r="AX56" i="147"/>
  <c r="AQ56" i="147"/>
  <c r="AK56" i="147"/>
  <c r="AH56" i="147"/>
  <c r="AE56" i="147"/>
  <c r="Y56" i="147"/>
  <c r="V56" i="147"/>
  <c r="C56" i="147"/>
  <c r="B56" i="147"/>
  <c r="DC55" i="147"/>
  <c r="CZ55" i="147"/>
  <c r="CF55" i="147"/>
  <c r="BS55" i="147"/>
  <c r="AX55" i="147"/>
  <c r="AW55" i="147"/>
  <c r="AV55" i="147"/>
  <c r="AL55" i="147"/>
  <c r="AH55" i="147"/>
  <c r="AE55" i="147"/>
  <c r="Y55" i="147"/>
  <c r="C55" i="147"/>
  <c r="B55" i="147"/>
  <c r="B425" i="147" s="1"/>
  <c r="DM54" i="147"/>
  <c r="DM88" i="489" s="1"/>
  <c r="DF54" i="147"/>
  <c r="DF88" i="489" s="1"/>
  <c r="DC54" i="147"/>
  <c r="DC88" i="489" s="1"/>
  <c r="CZ54" i="147"/>
  <c r="CF54" i="147"/>
  <c r="CF88" i="489" s="1"/>
  <c r="BS54" i="147"/>
  <c r="BS88" i="489" s="1"/>
  <c r="AX54" i="147"/>
  <c r="AT54" i="147"/>
  <c r="AT88" i="489" s="1"/>
  <c r="AQ54" i="147"/>
  <c r="AQ88" i="489" s="1"/>
  <c r="AM54" i="147"/>
  <c r="AM88" i="489" s="1"/>
  <c r="AK54" i="147"/>
  <c r="AK88" i="489" s="1"/>
  <c r="AH54" i="147"/>
  <c r="AH88" i="489" s="1"/>
  <c r="Y54" i="147"/>
  <c r="Y88" i="489" s="1"/>
  <c r="C54" i="147"/>
  <c r="C88" i="489" s="1"/>
  <c r="B54" i="147"/>
  <c r="DF53" i="147"/>
  <c r="DC53" i="147"/>
  <c r="CZ53" i="147"/>
  <c r="CF53" i="147"/>
  <c r="BS53" i="147"/>
  <c r="AX53" i="147"/>
  <c r="AT53" i="147"/>
  <c r="AQ53" i="147"/>
  <c r="AK53" i="147"/>
  <c r="AH53" i="147"/>
  <c r="Y53" i="147"/>
  <c r="C53" i="147"/>
  <c r="E53" i="147" s="1"/>
  <c r="B53" i="147"/>
  <c r="B423" i="147" s="1"/>
  <c r="DF52" i="147"/>
  <c r="DF208" i="489" s="1"/>
  <c r="DC52" i="147"/>
  <c r="DC208" i="489" s="1"/>
  <c r="CZ52" i="147"/>
  <c r="CZ208" i="489" s="1"/>
  <c r="CF52" i="147"/>
  <c r="CF208" i="489" s="1"/>
  <c r="BS52" i="147"/>
  <c r="BS208" i="489" s="1"/>
  <c r="AX52" i="147"/>
  <c r="AX208" i="489" s="1"/>
  <c r="AT52" i="147"/>
  <c r="AT208" i="489" s="1"/>
  <c r="AQ52" i="147"/>
  <c r="AQ208" i="489" s="1"/>
  <c r="AK52" i="147"/>
  <c r="AK208" i="489" s="1"/>
  <c r="AH52" i="147"/>
  <c r="AH208" i="489" s="1"/>
  <c r="AF52" i="147"/>
  <c r="AF208" i="489" s="1"/>
  <c r="Y52" i="147"/>
  <c r="Y208" i="489" s="1"/>
  <c r="C52" i="147"/>
  <c r="C208" i="489" s="1"/>
  <c r="B52" i="147"/>
  <c r="CF51" i="147"/>
  <c r="AH51" i="147"/>
  <c r="T51" i="147"/>
  <c r="C51" i="147"/>
  <c r="B51" i="147"/>
  <c r="B421" i="147" s="1"/>
  <c r="C50" i="147"/>
  <c r="B50" i="147"/>
  <c r="AO49" i="147"/>
  <c r="C49" i="147"/>
  <c r="B49" i="147"/>
  <c r="AN48" i="147"/>
  <c r="C48" i="147"/>
  <c r="E48" i="147" s="1"/>
  <c r="B48" i="147"/>
  <c r="B418" i="147" s="1"/>
  <c r="EY47" i="147"/>
  <c r="C47" i="147"/>
  <c r="F47" i="147" s="1"/>
  <c r="B47" i="147"/>
  <c r="B417" i="147" s="1"/>
  <c r="EY46" i="147"/>
  <c r="C46" i="147"/>
  <c r="B46" i="147"/>
  <c r="B416" i="147" s="1"/>
  <c r="DV45" i="147"/>
  <c r="CV45" i="147"/>
  <c r="CT45" i="147"/>
  <c r="CF45" i="147"/>
  <c r="AX45" i="147"/>
  <c r="AQ45" i="147"/>
  <c r="CV44" i="147"/>
  <c r="CT44" i="147"/>
  <c r="CF44" i="147"/>
  <c r="CF414" i="147" s="1"/>
  <c r="AX44" i="147"/>
  <c r="E44" i="147"/>
  <c r="B44" i="147"/>
  <c r="B414" i="147" s="1"/>
  <c r="C43" i="147"/>
  <c r="C177" i="489" s="1"/>
  <c r="B43" i="147"/>
  <c r="CF42" i="147"/>
  <c r="BR42" i="147"/>
  <c r="AQ42" i="147"/>
  <c r="AE42" i="147"/>
  <c r="C42" i="147"/>
  <c r="B42" i="147"/>
  <c r="CZ41" i="147"/>
  <c r="AQ41" i="147"/>
  <c r="C41" i="147"/>
  <c r="B41" i="147"/>
  <c r="B411" i="147" s="1"/>
  <c r="BR40" i="147"/>
  <c r="AX40" i="147"/>
  <c r="AQ40" i="147"/>
  <c r="AJ40" i="147"/>
  <c r="AF40" i="147"/>
  <c r="C40" i="147"/>
  <c r="B40" i="147"/>
  <c r="B410" i="147" s="1"/>
  <c r="CZ39" i="147"/>
  <c r="CF39" i="147"/>
  <c r="BR39" i="147"/>
  <c r="AX39" i="147"/>
  <c r="C39" i="147"/>
  <c r="E39" i="147" s="1"/>
  <c r="B39" i="147"/>
  <c r="B409" i="147" s="1"/>
  <c r="DU38" i="147"/>
  <c r="CF38" i="147"/>
  <c r="BR38" i="147"/>
  <c r="AX38" i="147"/>
  <c r="AK38" i="147"/>
  <c r="C38" i="147"/>
  <c r="B38" i="147"/>
  <c r="CF37" i="147"/>
  <c r="AX37" i="147"/>
  <c r="C37" i="147"/>
  <c r="B37" i="147"/>
  <c r="CF36" i="147"/>
  <c r="BR36" i="147"/>
  <c r="AQ36" i="147"/>
  <c r="AO36" i="147"/>
  <c r="AN36" i="147"/>
  <c r="AJ36" i="147"/>
  <c r="C36" i="147"/>
  <c r="B36" i="147"/>
  <c r="CZ35" i="147"/>
  <c r="CQ35" i="147"/>
  <c r="CF35" i="147"/>
  <c r="AR35" i="147"/>
  <c r="AG35" i="147"/>
  <c r="C35" i="147"/>
  <c r="B35" i="147"/>
  <c r="B405" i="147" s="1"/>
  <c r="CZ34" i="147"/>
  <c r="CQ34" i="147"/>
  <c r="CQ117" i="489" s="1"/>
  <c r="CF34" i="147"/>
  <c r="CF117" i="489" s="1"/>
  <c r="AQ34" i="147"/>
  <c r="AQ117" i="489" s="1"/>
  <c r="AF34" i="147"/>
  <c r="AF117" i="489" s="1"/>
  <c r="C34" i="147"/>
  <c r="B34" i="147"/>
  <c r="CF33" i="147"/>
  <c r="AO33" i="147"/>
  <c r="AN33" i="147"/>
  <c r="AF33" i="147"/>
  <c r="AE33" i="147"/>
  <c r="AE403" i="147" s="1"/>
  <c r="C33" i="147"/>
  <c r="B33" i="147"/>
  <c r="B403" i="147" s="1"/>
  <c r="DW32" i="147"/>
  <c r="CF32" i="147"/>
  <c r="AH32" i="147"/>
  <c r="AF32" i="147"/>
  <c r="C32" i="147"/>
  <c r="G32" i="147" s="1"/>
  <c r="B32" i="147"/>
  <c r="B402" i="147" s="1"/>
  <c r="DU31" i="147"/>
  <c r="CF31" i="147"/>
  <c r="AQ31" i="147"/>
  <c r="AH31" i="147"/>
  <c r="AH401" i="147" s="1"/>
  <c r="AE31" i="147"/>
  <c r="AE401" i="147" s="1"/>
  <c r="C31" i="147"/>
  <c r="G31" i="147" s="1"/>
  <c r="B31" i="147"/>
  <c r="B401" i="147" s="1"/>
  <c r="DW30" i="147"/>
  <c r="CF30" i="147"/>
  <c r="AQ30" i="147"/>
  <c r="AO30" i="147"/>
  <c r="AH30" i="147"/>
  <c r="C30" i="147"/>
  <c r="B30" i="147"/>
  <c r="CF29" i="147"/>
  <c r="AO29" i="147"/>
  <c r="AN29" i="147"/>
  <c r="AL29" i="147"/>
  <c r="AI29" i="147"/>
  <c r="AE29" i="147"/>
  <c r="AE399" i="147" s="1"/>
  <c r="C29" i="147"/>
  <c r="G29" i="147" s="1"/>
  <c r="B29" i="147"/>
  <c r="B399" i="147" s="1"/>
  <c r="CF28" i="147"/>
  <c r="BC28" i="147"/>
  <c r="AO28" i="147"/>
  <c r="AE28" i="147"/>
  <c r="AE398" i="147" s="1"/>
  <c r="C28" i="147"/>
  <c r="G28" i="147" s="1"/>
  <c r="B28" i="147"/>
  <c r="B398" i="147" s="1"/>
  <c r="CF27" i="147"/>
  <c r="AQ27" i="147"/>
  <c r="AO27" i="147"/>
  <c r="AN27" i="147"/>
  <c r="AF27" i="147"/>
  <c r="C27" i="147"/>
  <c r="B27" i="147"/>
  <c r="CF26" i="147"/>
  <c r="BC26" i="147"/>
  <c r="AP26" i="147"/>
  <c r="AO26" i="147"/>
  <c r="AL26" i="147"/>
  <c r="AE26" i="147"/>
  <c r="AE396" i="147" s="1"/>
  <c r="C26" i="147"/>
  <c r="B26" i="147"/>
  <c r="B396" i="147" s="1"/>
  <c r="CF25" i="147"/>
  <c r="AO25" i="147"/>
  <c r="AN25" i="147"/>
  <c r="AK25" i="147"/>
  <c r="C25" i="147"/>
  <c r="B25" i="147"/>
  <c r="CF24" i="147"/>
  <c r="AO24" i="147"/>
  <c r="AN24" i="147"/>
  <c r="AL24" i="147"/>
  <c r="C24" i="147"/>
  <c r="B24" i="147"/>
  <c r="CF23" i="147"/>
  <c r="AN23" i="147"/>
  <c r="AK23" i="147"/>
  <c r="AK393" i="147" s="1"/>
  <c r="C23" i="147"/>
  <c r="G23" i="147" s="1"/>
  <c r="B23" i="147"/>
  <c r="B393" i="147" s="1"/>
  <c r="CF22" i="147"/>
  <c r="CF27" i="489" s="1"/>
  <c r="AN22" i="147"/>
  <c r="AN27" i="489" s="1"/>
  <c r="AL22" i="147"/>
  <c r="AL27" i="489" s="1"/>
  <c r="C22" i="147"/>
  <c r="C27" i="489" s="1"/>
  <c r="B22" i="147"/>
  <c r="CF21" i="147"/>
  <c r="CF147" i="489" s="1"/>
  <c r="AO21" i="147"/>
  <c r="C21" i="147"/>
  <c r="B21" i="147"/>
  <c r="CF20" i="147"/>
  <c r="CF390" i="147" s="1"/>
  <c r="AP20" i="147"/>
  <c r="AO20" i="147"/>
  <c r="AN20" i="147"/>
  <c r="C20" i="147"/>
  <c r="B20" i="147"/>
  <c r="B390" i="147" s="1"/>
  <c r="CF19" i="147"/>
  <c r="AP19" i="147"/>
  <c r="AO19" i="147"/>
  <c r="C19" i="147"/>
  <c r="B19" i="147"/>
  <c r="B389" i="147" s="1"/>
  <c r="CF18" i="147"/>
  <c r="AP18" i="147"/>
  <c r="C18" i="147"/>
  <c r="B18" i="147"/>
  <c r="B388" i="147" s="1"/>
  <c r="O17" i="147"/>
  <c r="C17" i="147"/>
  <c r="B17" i="147"/>
  <c r="B387" i="147" s="1"/>
  <c r="EY14" i="147"/>
  <c r="B14" i="147"/>
  <c r="B384" i="147" s="1"/>
  <c r="V13" i="147"/>
  <c r="C13" i="147"/>
  <c r="B13" i="147"/>
  <c r="DC12" i="147"/>
  <c r="CZ12" i="147"/>
  <c r="CT12" i="147"/>
  <c r="CT382" i="147" s="1"/>
  <c r="CP12" i="147"/>
  <c r="CL12" i="147"/>
  <c r="CF12" i="147"/>
  <c r="CE12" i="147"/>
  <c r="BS12" i="147"/>
  <c r="AP12" i="147"/>
  <c r="AE12" i="147"/>
  <c r="AE382" i="147" s="1"/>
  <c r="W12" i="147"/>
  <c r="W382" i="147" s="1"/>
  <c r="C12" i="147"/>
  <c r="B12" i="147"/>
  <c r="B382" i="147" s="1"/>
  <c r="DC11" i="147"/>
  <c r="CZ11" i="147"/>
  <c r="CT11" i="147"/>
  <c r="CP11" i="147"/>
  <c r="CL11" i="147"/>
  <c r="CF11" i="147"/>
  <c r="CE11" i="147"/>
  <c r="BS11" i="147"/>
  <c r="N11" i="147"/>
  <c r="C11" i="147"/>
  <c r="B11" i="147"/>
  <c r="B381" i="147" s="1"/>
  <c r="EV10" i="147"/>
  <c r="AO10" i="147"/>
  <c r="W10" i="147"/>
  <c r="W380" i="147" s="1"/>
  <c r="O10" i="147"/>
  <c r="C10" i="147"/>
  <c r="B10" i="147"/>
  <c r="B380" i="147" s="1"/>
  <c r="EX9" i="147"/>
  <c r="W9" i="147"/>
  <c r="W379" i="147" s="1"/>
  <c r="V9" i="147"/>
  <c r="C9" i="147"/>
  <c r="B9" i="147"/>
  <c r="B379" i="147" s="1"/>
  <c r="EX8" i="147"/>
  <c r="O8" i="147"/>
  <c r="C8" i="147"/>
  <c r="B8" i="147"/>
  <c r="B378" i="147" s="1"/>
  <c r="EX7" i="147"/>
  <c r="W7" i="147"/>
  <c r="V7" i="147"/>
  <c r="C7" i="147"/>
  <c r="B7" i="147"/>
  <c r="EX6" i="147"/>
  <c r="CX6" i="147"/>
  <c r="V6" i="147"/>
  <c r="C6" i="147"/>
  <c r="B6" i="147"/>
  <c r="B376" i="147" s="1"/>
  <c r="EX5" i="147"/>
  <c r="V5" i="147"/>
  <c r="C5" i="147"/>
  <c r="B5" i="147"/>
  <c r="B375" i="147" s="1"/>
  <c r="EX3" i="147"/>
  <c r="EW3" i="147"/>
  <c r="EV3" i="147"/>
  <c r="EU3" i="147"/>
  <c r="ET3" i="147"/>
  <c r="ES3" i="147"/>
  <c r="ER3" i="147"/>
  <c r="EQ3" i="147"/>
  <c r="EP3" i="147"/>
  <c r="EO3" i="147"/>
  <c r="EN3" i="147"/>
  <c r="EM3" i="147"/>
  <c r="EL3" i="147"/>
  <c r="EK3" i="147"/>
  <c r="EJ3" i="147"/>
  <c r="EI3" i="147"/>
  <c r="EH3" i="147"/>
  <c r="EG3" i="147"/>
  <c r="EF3" i="147"/>
  <c r="EE3" i="147"/>
  <c r="ED3" i="147"/>
  <c r="EC3" i="147"/>
  <c r="EB3" i="147"/>
  <c r="EA3" i="147"/>
  <c r="DZ3" i="147"/>
  <c r="DY3" i="147"/>
  <c r="DX3" i="147"/>
  <c r="DW3" i="147"/>
  <c r="DV3" i="147"/>
  <c r="DU3" i="147"/>
  <c r="DT3" i="147"/>
  <c r="DS3" i="147"/>
  <c r="DR3" i="147"/>
  <c r="DQ3" i="147"/>
  <c r="DP3" i="147"/>
  <c r="DO3" i="147"/>
  <c r="DN3" i="147"/>
  <c r="DM3" i="147"/>
  <c r="DL3" i="147"/>
  <c r="DK3" i="147"/>
  <c r="DJ3" i="147"/>
  <c r="DI3" i="147"/>
  <c r="DH3" i="147"/>
  <c r="DG3" i="147"/>
  <c r="DF3" i="147"/>
  <c r="DE3" i="147"/>
  <c r="DD3" i="147"/>
  <c r="DC3" i="147"/>
  <c r="DB3" i="147"/>
  <c r="DA3" i="147"/>
  <c r="CZ3" i="147"/>
  <c r="CY3" i="147"/>
  <c r="CX3" i="147"/>
  <c r="CW3" i="147"/>
  <c r="CV3" i="147"/>
  <c r="CU3" i="147"/>
  <c r="CT3" i="147"/>
  <c r="CS3" i="147"/>
  <c r="CR3" i="147"/>
  <c r="CQ3" i="147"/>
  <c r="CP3" i="147"/>
  <c r="CO3" i="147"/>
  <c r="CN3" i="147"/>
  <c r="CM3" i="147"/>
  <c r="CL3" i="147"/>
  <c r="CK3" i="147"/>
  <c r="CJ3" i="147"/>
  <c r="CI3" i="147"/>
  <c r="CH3" i="147"/>
  <c r="CG3" i="147"/>
  <c r="CF3" i="147"/>
  <c r="CE3" i="147"/>
  <c r="CD3" i="147"/>
  <c r="CC3" i="147"/>
  <c r="CB3" i="147"/>
  <c r="CA3" i="147"/>
  <c r="BZ3" i="147"/>
  <c r="BY3" i="147"/>
  <c r="BX3" i="147"/>
  <c r="BW3" i="147"/>
  <c r="BV3" i="147"/>
  <c r="BU3" i="147"/>
  <c r="BT3" i="147"/>
  <c r="BS3" i="147"/>
  <c r="BR3" i="147"/>
  <c r="BQ3" i="147"/>
  <c r="BP3" i="147"/>
  <c r="BO3" i="147"/>
  <c r="BN3" i="147"/>
  <c r="BM3" i="147"/>
  <c r="BL3" i="147"/>
  <c r="BK3" i="147"/>
  <c r="BJ3" i="147"/>
  <c r="BI3" i="147"/>
  <c r="BE3" i="147"/>
  <c r="BD3" i="147"/>
  <c r="BC3" i="147"/>
  <c r="BB3" i="147"/>
  <c r="BA3" i="147"/>
  <c r="AZ3" i="147"/>
  <c r="AY3" i="147"/>
  <c r="AX3" i="147"/>
  <c r="AW3" i="147"/>
  <c r="AV3" i="147"/>
  <c r="AU3" i="147"/>
  <c r="AT3" i="147"/>
  <c r="AS3" i="147"/>
  <c r="AR3" i="147"/>
  <c r="AQ3" i="147"/>
  <c r="AP3" i="147"/>
  <c r="AO3" i="147"/>
  <c r="AN3" i="147"/>
  <c r="AM3" i="147"/>
  <c r="AL3" i="147"/>
  <c r="AK3" i="147"/>
  <c r="AJ3" i="147"/>
  <c r="AI3" i="147"/>
  <c r="AH3" i="147"/>
  <c r="AG3" i="147"/>
  <c r="AF3" i="147"/>
  <c r="AE3" i="147"/>
  <c r="AD3" i="147"/>
  <c r="AC3" i="147"/>
  <c r="AB3" i="147"/>
  <c r="AA3" i="147"/>
  <c r="Z3" i="147"/>
  <c r="Y3" i="147"/>
  <c r="X3" i="147"/>
  <c r="W3" i="147"/>
  <c r="V3" i="147"/>
  <c r="U3" i="147"/>
  <c r="T3" i="147"/>
  <c r="S3" i="147"/>
  <c r="R3" i="147"/>
  <c r="Q3" i="147"/>
  <c r="P3" i="147"/>
  <c r="O3" i="147"/>
  <c r="N3" i="147"/>
  <c r="M3" i="147"/>
  <c r="L3" i="147"/>
  <c r="K3" i="147"/>
  <c r="J3" i="147"/>
  <c r="F160" i="87"/>
  <c r="F18" i="87"/>
  <c r="BY445" i="147" l="1"/>
  <c r="AU693" i="147"/>
  <c r="CQ654" i="147"/>
  <c r="CE676" i="147"/>
  <c r="DC680" i="147"/>
  <c r="DC684" i="147"/>
  <c r="CE686" i="147"/>
  <c r="DC687" i="147"/>
  <c r="O380" i="147"/>
  <c r="DC439" i="147"/>
  <c r="BS456" i="147"/>
  <c r="DC459" i="147"/>
  <c r="DC463" i="147"/>
  <c r="CW682" i="147"/>
  <c r="AL399" i="147"/>
  <c r="M21" i="133"/>
  <c r="V499" i="147"/>
  <c r="V606" i="147"/>
  <c r="U321" i="147"/>
  <c r="U691" i="147" s="1"/>
  <c r="CK321" i="147"/>
  <c r="M23" i="167"/>
  <c r="M21" i="167"/>
  <c r="CF462" i="147"/>
  <c r="CF548" i="147"/>
  <c r="CF566" i="147"/>
  <c r="AK570" i="147"/>
  <c r="CF584" i="147"/>
  <c r="P680" i="147"/>
  <c r="CF402" i="147"/>
  <c r="CF514" i="147"/>
  <c r="P586" i="147"/>
  <c r="CZ321" i="147"/>
  <c r="CZ691" i="147" s="1"/>
  <c r="P594" i="147"/>
  <c r="AK605" i="147"/>
  <c r="BT508" i="147"/>
  <c r="CF393" i="147"/>
  <c r="AK463" i="147"/>
  <c r="BX505" i="147"/>
  <c r="P590" i="147"/>
  <c r="AS485" i="147"/>
  <c r="AK549" i="147"/>
  <c r="P593" i="147"/>
  <c r="P591" i="147"/>
  <c r="BT487" i="147"/>
  <c r="AK423" i="147"/>
  <c r="CF437" i="147"/>
  <c r="CF453" i="147"/>
  <c r="CF520" i="147"/>
  <c r="CR654" i="147"/>
  <c r="CF686" i="147"/>
  <c r="F22" i="436"/>
  <c r="DU401" i="147"/>
  <c r="V498" i="147"/>
  <c r="V593" i="147"/>
  <c r="AL548" i="147"/>
  <c r="V493" i="147"/>
  <c r="V502" i="147"/>
  <c r="V504" i="147"/>
  <c r="AX423" i="147"/>
  <c r="V513" i="147"/>
  <c r="V467" i="147"/>
  <c r="V469" i="147"/>
  <c r="V471" i="147"/>
  <c r="V473" i="147"/>
  <c r="BY509" i="147"/>
  <c r="V605" i="147"/>
  <c r="M25" i="408"/>
  <c r="V523" i="147"/>
  <c r="AL578" i="147"/>
  <c r="DU583" i="147"/>
  <c r="V587" i="147"/>
  <c r="M23" i="408"/>
  <c r="V550" i="147"/>
  <c r="AL553" i="147"/>
  <c r="V585" i="147"/>
  <c r="V586" i="147"/>
  <c r="M21" i="408"/>
  <c r="AX479" i="147"/>
  <c r="AP388" i="147"/>
  <c r="BS459" i="147"/>
  <c r="CQ405" i="147"/>
  <c r="DC438" i="147"/>
  <c r="DC445" i="147"/>
  <c r="DC456" i="147"/>
  <c r="DC532" i="147"/>
  <c r="DC533" i="147"/>
  <c r="DC534" i="147"/>
  <c r="DC593" i="147"/>
  <c r="DC604" i="147"/>
  <c r="DC381" i="147"/>
  <c r="DC437" i="147"/>
  <c r="DC453" i="147"/>
  <c r="DC531" i="147"/>
  <c r="O378" i="147"/>
  <c r="DC382" i="147"/>
  <c r="M23" i="409"/>
  <c r="M21" i="409"/>
  <c r="DC497" i="147"/>
  <c r="AF435" i="147"/>
  <c r="BS484" i="147"/>
  <c r="BS485" i="147"/>
  <c r="Y428" i="147"/>
  <c r="Y480" i="147"/>
  <c r="Y482" i="147"/>
  <c r="J570" i="147"/>
  <c r="EV586" i="147"/>
  <c r="J558" i="147"/>
  <c r="CX376" i="147"/>
  <c r="AE138" i="147"/>
  <c r="AE508" i="147" s="1"/>
  <c r="CZ688" i="147"/>
  <c r="DC520" i="147"/>
  <c r="L579" i="147"/>
  <c r="CZ507" i="147"/>
  <c r="CZ381" i="147"/>
  <c r="CZ498" i="147"/>
  <c r="M21" i="99"/>
  <c r="M21" i="105"/>
  <c r="EX375" i="147"/>
  <c r="AO380" i="147"/>
  <c r="CZ382" i="147"/>
  <c r="CZ405" i="147"/>
  <c r="CZ411" i="147"/>
  <c r="CB443" i="147"/>
  <c r="M19" i="99"/>
  <c r="M19" i="105"/>
  <c r="M20" i="99"/>
  <c r="M20" i="105"/>
  <c r="CZ409" i="147"/>
  <c r="CB488" i="147"/>
  <c r="CB502" i="147"/>
  <c r="DC146" i="147"/>
  <c r="DC516" i="147" s="1"/>
  <c r="CZ526" i="147"/>
  <c r="CZ670" i="147"/>
  <c r="CZ677" i="147"/>
  <c r="CZ681" i="147"/>
  <c r="EX378" i="147"/>
  <c r="DC118" i="147"/>
  <c r="DC488" i="147" s="1"/>
  <c r="CZ493" i="147"/>
  <c r="CA495" i="147"/>
  <c r="CZ502" i="147"/>
  <c r="CZ504" i="147"/>
  <c r="CZ511" i="147"/>
  <c r="CZ532" i="147"/>
  <c r="CZ533" i="147"/>
  <c r="CZ534" i="147"/>
  <c r="L588" i="147"/>
  <c r="L592" i="147"/>
  <c r="CZ605" i="147"/>
  <c r="BP632" i="147"/>
  <c r="CZ680" i="147"/>
  <c r="CZ684" i="147"/>
  <c r="CZ687" i="147"/>
  <c r="M20" i="132"/>
  <c r="DW402" i="147"/>
  <c r="Y438" i="147"/>
  <c r="CB467" i="147"/>
  <c r="CA473" i="147"/>
  <c r="CZ495" i="147"/>
  <c r="Z514" i="147"/>
  <c r="AO389" i="147"/>
  <c r="CZ423" i="147"/>
  <c r="CB460" i="147"/>
  <c r="CZ467" i="147"/>
  <c r="CZ469" i="147"/>
  <c r="CZ471" i="147"/>
  <c r="CZ473" i="147"/>
  <c r="CB497" i="147"/>
  <c r="CZ510" i="147"/>
  <c r="CB540" i="147"/>
  <c r="L587" i="147"/>
  <c r="CZ637" i="147"/>
  <c r="CZ669" i="147"/>
  <c r="CZ673" i="147"/>
  <c r="EX376" i="147"/>
  <c r="CZ491" i="147"/>
  <c r="CZ497" i="147"/>
  <c r="CB514" i="147"/>
  <c r="CB559" i="147"/>
  <c r="CB572" i="147"/>
  <c r="CZ654" i="147"/>
  <c r="CZ676" i="147"/>
  <c r="M19" i="169"/>
  <c r="M23" i="132"/>
  <c r="L577" i="147"/>
  <c r="CZ641" i="147"/>
  <c r="CZ652" i="147"/>
  <c r="Z671" i="147"/>
  <c r="CZ672" i="147"/>
  <c r="CZ686" i="147"/>
  <c r="M24" i="169"/>
  <c r="AO399" i="147"/>
  <c r="CZ509" i="147"/>
  <c r="EX379" i="147"/>
  <c r="AO396" i="147"/>
  <c r="CZ489" i="147"/>
  <c r="Z512" i="147"/>
  <c r="CB513" i="147"/>
  <c r="Y526" i="147"/>
  <c r="CZ659" i="147"/>
  <c r="CZ668" i="147"/>
  <c r="CM690" i="147"/>
  <c r="M22" i="419"/>
  <c r="M22" i="422"/>
  <c r="M21" i="132"/>
  <c r="CB489" i="147"/>
  <c r="CB484" i="147"/>
  <c r="CB485" i="147"/>
  <c r="CZ499" i="147"/>
  <c r="CZ503" i="147"/>
  <c r="CZ505" i="147"/>
  <c r="CZ514" i="147"/>
  <c r="Z526" i="147"/>
  <c r="L585" i="147"/>
  <c r="L594" i="147"/>
  <c r="CZ665" i="147"/>
  <c r="CZ690" i="147"/>
  <c r="CZ695" i="147"/>
  <c r="AO398" i="147"/>
  <c r="AO403" i="147"/>
  <c r="CZ487" i="147"/>
  <c r="CZ508" i="147"/>
  <c r="Y511" i="147"/>
  <c r="L573" i="147"/>
  <c r="CZ675" i="147"/>
  <c r="M19" i="132"/>
  <c r="AO390" i="147"/>
  <c r="CZ468" i="147"/>
  <c r="CZ470" i="147"/>
  <c r="CZ472" i="147"/>
  <c r="CZ496" i="147"/>
  <c r="CZ513" i="147"/>
  <c r="L584" i="147"/>
  <c r="L590" i="147"/>
  <c r="CZ667" i="147"/>
  <c r="CZ671" i="147"/>
  <c r="CZ682" i="147"/>
  <c r="CZ685" i="147"/>
  <c r="M20" i="169"/>
  <c r="M21" i="92"/>
  <c r="M22" i="424"/>
  <c r="Y437" i="147"/>
  <c r="Y445" i="147"/>
  <c r="Y463" i="147"/>
  <c r="AN485" i="147"/>
  <c r="Y509" i="147"/>
  <c r="Y514" i="147"/>
  <c r="CM526" i="147"/>
  <c r="K583" i="147"/>
  <c r="K591" i="147"/>
  <c r="Y611" i="147"/>
  <c r="Y613" i="147"/>
  <c r="M22" i="101"/>
  <c r="AN399" i="147"/>
  <c r="Y436" i="147"/>
  <c r="Y508" i="147"/>
  <c r="CM687" i="147"/>
  <c r="M20" i="324"/>
  <c r="M20" i="424"/>
  <c r="Y431" i="147"/>
  <c r="Y435" i="147"/>
  <c r="Y444" i="147"/>
  <c r="Y453" i="147"/>
  <c r="DC121" i="147"/>
  <c r="DC491" i="147" s="1"/>
  <c r="Y537" i="147"/>
  <c r="Y547" i="147"/>
  <c r="M20" i="101"/>
  <c r="Y462" i="147"/>
  <c r="CA499" i="147"/>
  <c r="Y513" i="147"/>
  <c r="Y570" i="147"/>
  <c r="Y590" i="147"/>
  <c r="CY673" i="147"/>
  <c r="M26" i="419"/>
  <c r="AN403" i="147"/>
  <c r="Y423" i="147"/>
  <c r="Y430" i="147"/>
  <c r="CA438" i="147"/>
  <c r="Y443" i="147"/>
  <c r="CM499" i="147"/>
  <c r="DC148" i="147"/>
  <c r="DC180" i="489" s="1"/>
  <c r="Y558" i="147"/>
  <c r="K574" i="147"/>
  <c r="AN390" i="147"/>
  <c r="Y507" i="147"/>
  <c r="Y591" i="147"/>
  <c r="M24" i="419"/>
  <c r="M24" i="422"/>
  <c r="Y429" i="147"/>
  <c r="Y455" i="147"/>
  <c r="Y461" i="147"/>
  <c r="Y465" i="147"/>
  <c r="CA492" i="147"/>
  <c r="Y553" i="147"/>
  <c r="K578" i="147"/>
  <c r="K586" i="147"/>
  <c r="Y610" i="147"/>
  <c r="Y612" i="147"/>
  <c r="Y614" i="147"/>
  <c r="Y617" i="147"/>
  <c r="Y620" i="147"/>
  <c r="Y425" i="147"/>
  <c r="Y427" i="147"/>
  <c r="Y441" i="147"/>
  <c r="AN393" i="147"/>
  <c r="Y460" i="147"/>
  <c r="Y464" i="147"/>
  <c r="CA465" i="147"/>
  <c r="Y510" i="147"/>
  <c r="Y542" i="147"/>
  <c r="M19" i="415"/>
  <c r="M22" i="415"/>
  <c r="M19" i="301"/>
  <c r="M20" i="419"/>
  <c r="M20" i="422"/>
  <c r="M20" i="323"/>
  <c r="M20" i="423"/>
  <c r="M20" i="426"/>
  <c r="M19" i="101"/>
  <c r="Y439" i="147"/>
  <c r="Y446" i="147"/>
  <c r="Y457" i="147"/>
  <c r="Y484" i="147"/>
  <c r="Y485" i="147"/>
  <c r="CA493" i="147"/>
  <c r="Y550" i="147"/>
  <c r="Y585" i="147"/>
  <c r="CM688" i="147"/>
  <c r="V489" i="147"/>
  <c r="V565" i="147"/>
  <c r="AL579" i="147"/>
  <c r="AL584" i="147"/>
  <c r="V590" i="147"/>
  <c r="AX409" i="147"/>
  <c r="BY437" i="147"/>
  <c r="V455" i="147"/>
  <c r="V456" i="147"/>
  <c r="V468" i="147"/>
  <c r="V470" i="147"/>
  <c r="V472" i="147"/>
  <c r="V487" i="147"/>
  <c r="V503" i="147"/>
  <c r="V505" i="147"/>
  <c r="V507" i="147"/>
  <c r="AL583" i="147"/>
  <c r="V591" i="147"/>
  <c r="V668" i="147"/>
  <c r="CW669" i="147"/>
  <c r="V375" i="147"/>
  <c r="AL414" i="147"/>
  <c r="AL537" i="147"/>
  <c r="AL547" i="147"/>
  <c r="V690" i="147"/>
  <c r="CK691" i="147"/>
  <c r="AX414" i="147"/>
  <c r="BW462" i="147"/>
  <c r="V477" i="147"/>
  <c r="V492" i="147"/>
  <c r="V496" i="147"/>
  <c r="V526" i="147"/>
  <c r="V536" i="147"/>
  <c r="V574" i="147"/>
  <c r="DU584" i="147"/>
  <c r="V592" i="147"/>
  <c r="V602" i="147"/>
  <c r="V617" i="147"/>
  <c r="V620" i="147"/>
  <c r="V667" i="147"/>
  <c r="V490" i="147"/>
  <c r="V511" i="147"/>
  <c r="AL544" i="147"/>
  <c r="AL546" i="147"/>
  <c r="AL558" i="147"/>
  <c r="V376" i="147"/>
  <c r="V488" i="147"/>
  <c r="V535" i="147"/>
  <c r="V379" i="147"/>
  <c r="V495" i="147"/>
  <c r="V509" i="147"/>
  <c r="AL554" i="147"/>
  <c r="V573" i="147"/>
  <c r="AL396" i="147"/>
  <c r="BY464" i="147"/>
  <c r="V491" i="147"/>
  <c r="AL542" i="147"/>
  <c r="AL585" i="147"/>
  <c r="V594" i="147"/>
  <c r="V596" i="147"/>
  <c r="DI690" i="147"/>
  <c r="AX410" i="147"/>
  <c r="AX425" i="147"/>
  <c r="V476" i="147"/>
  <c r="DC116" i="147"/>
  <c r="EY116" i="147" s="1"/>
  <c r="V497" i="147"/>
  <c r="BY510" i="147"/>
  <c r="V531" i="147"/>
  <c r="AL541" i="147"/>
  <c r="AL545" i="147"/>
  <c r="AL549" i="147"/>
  <c r="AL550" i="147"/>
  <c r="V575" i="147"/>
  <c r="V609" i="147"/>
  <c r="B117" i="489"/>
  <c r="B420" i="147"/>
  <c r="B87" i="489"/>
  <c r="B207" i="489"/>
  <c r="DM1052" i="489"/>
  <c r="DM1060" i="489" s="1"/>
  <c r="DM1067" i="489" s="1"/>
  <c r="DM96" i="489"/>
  <c r="DM103" i="489" s="1"/>
  <c r="DM329" i="489" s="1"/>
  <c r="DF148" i="489"/>
  <c r="V466" i="147"/>
  <c r="V77" i="489"/>
  <c r="C101" i="93"/>
  <c r="C180" i="489"/>
  <c r="U530" i="147"/>
  <c r="B557" i="147"/>
  <c r="B209" i="489"/>
  <c r="B197" i="93" s="1"/>
  <c r="E50" i="147"/>
  <c r="C207" i="489"/>
  <c r="C87" i="489"/>
  <c r="CG1041" i="489"/>
  <c r="CG1050" i="489" s="1"/>
  <c r="CG1067" i="489" s="1"/>
  <c r="B178" i="489"/>
  <c r="B168" i="93" s="1"/>
  <c r="B118" i="489"/>
  <c r="CZ466" i="147"/>
  <c r="CZ77" i="489"/>
  <c r="Z530" i="147"/>
  <c r="B200" i="489"/>
  <c r="B20" i="489"/>
  <c r="B198" i="489"/>
  <c r="B168" i="489"/>
  <c r="B138" i="489"/>
  <c r="B108" i="489"/>
  <c r="B79" i="489"/>
  <c r="B19" i="489"/>
  <c r="B52" i="489"/>
  <c r="E21" i="147"/>
  <c r="E147" i="489" s="1"/>
  <c r="C147" i="489"/>
  <c r="AM1052" i="489"/>
  <c r="AM1060" i="489" s="1"/>
  <c r="AM1067" i="489" s="1"/>
  <c r="AM96" i="489"/>
  <c r="AM103" i="489" s="1"/>
  <c r="AM329" i="489" s="1"/>
  <c r="C148" i="489"/>
  <c r="C118" i="489"/>
  <c r="C178" i="489"/>
  <c r="C168" i="93" s="1"/>
  <c r="CB434" i="147"/>
  <c r="CB58" i="489"/>
  <c r="CA1069" i="489"/>
  <c r="CA1078" i="489" s="1"/>
  <c r="CA1095" i="489" s="1"/>
  <c r="CA116" i="489"/>
  <c r="CA133" i="489" s="1"/>
  <c r="CA330" i="489" s="1"/>
  <c r="AE530" i="147"/>
  <c r="B581" i="147"/>
  <c r="B149" i="489"/>
  <c r="EV200" i="489"/>
  <c r="EV50" i="489"/>
  <c r="EV170" i="489"/>
  <c r="EV1128" i="489" s="1"/>
  <c r="EV20" i="489"/>
  <c r="AH1054" i="489"/>
  <c r="B391" i="147"/>
  <c r="B147" i="489"/>
  <c r="C108" i="489"/>
  <c r="C52" i="489"/>
  <c r="C79" i="489"/>
  <c r="C75" i="93" s="1"/>
  <c r="C198" i="489"/>
  <c r="C168" i="489"/>
  <c r="C138" i="489"/>
  <c r="C1098" i="489" s="1"/>
  <c r="C19" i="489"/>
  <c r="AO391" i="147"/>
  <c r="AO147" i="489"/>
  <c r="AQ1052" i="489"/>
  <c r="V148" i="489"/>
  <c r="Y178" i="489"/>
  <c r="Y118" i="489"/>
  <c r="Y1080" i="489" s="1"/>
  <c r="Y1088" i="489" s="1"/>
  <c r="Y1095" i="489" s="1"/>
  <c r="B519" i="147"/>
  <c r="B210" i="489"/>
  <c r="B212" i="489"/>
  <c r="B151" i="489"/>
  <c r="B32" i="489"/>
  <c r="V52" i="489"/>
  <c r="V79" i="489"/>
  <c r="V198" i="489"/>
  <c r="V168" i="489"/>
  <c r="V1126" i="489" s="1"/>
  <c r="V138" i="489"/>
  <c r="EY138" i="489" s="1"/>
  <c r="V108" i="489"/>
  <c r="V19" i="489"/>
  <c r="V26" i="489" s="1"/>
  <c r="CQ1079" i="489"/>
  <c r="AT1052" i="489"/>
  <c r="AT1060" i="489" s="1"/>
  <c r="AT1067" i="489" s="1"/>
  <c r="AT96" i="489"/>
  <c r="AT103" i="489" s="1"/>
  <c r="AT329" i="489" s="1"/>
  <c r="Y148" i="489"/>
  <c r="Y1108" i="489" s="1"/>
  <c r="Y1116" i="489" s="1"/>
  <c r="Y1123" i="489" s="1"/>
  <c r="AH178" i="489"/>
  <c r="AH1136" i="489" s="1"/>
  <c r="AH118" i="489"/>
  <c r="CS434" i="147"/>
  <c r="CS58" i="489"/>
  <c r="CS66" i="489" s="1"/>
  <c r="B500" i="147"/>
  <c r="B167" i="489"/>
  <c r="B157" i="93" s="1"/>
  <c r="B506" i="147"/>
  <c r="B17" i="489"/>
  <c r="AL557" i="147"/>
  <c r="AL209" i="489"/>
  <c r="K581" i="147"/>
  <c r="K149" i="489"/>
  <c r="C210" i="489"/>
  <c r="C1166" i="489" s="1"/>
  <c r="EV122" i="489"/>
  <c r="EV182" i="489"/>
  <c r="EV212" i="489"/>
  <c r="EV151" i="489"/>
  <c r="EV32" i="489"/>
  <c r="EV62" i="489"/>
  <c r="EV1028" i="489" s="1"/>
  <c r="EV92" i="489"/>
  <c r="EA184" i="489"/>
  <c r="EA64" i="489"/>
  <c r="EA124" i="489"/>
  <c r="B392" i="147"/>
  <c r="B27" i="489"/>
  <c r="B995" i="489" s="1"/>
  <c r="CZ117" i="489"/>
  <c r="AX424" i="147"/>
  <c r="AX88" i="489"/>
  <c r="AE148" i="489"/>
  <c r="AE1108" i="489" s="1"/>
  <c r="AE1116" i="489" s="1"/>
  <c r="AK178" i="489"/>
  <c r="AK118" i="489"/>
  <c r="V519" i="147"/>
  <c r="CK530" i="147"/>
  <c r="AK581" i="147"/>
  <c r="AK149" i="489"/>
  <c r="B704" i="147"/>
  <c r="B109" i="489"/>
  <c r="B80" i="489"/>
  <c r="EB111" i="489"/>
  <c r="EB173" i="489"/>
  <c r="EB83" i="489"/>
  <c r="EB203" i="489"/>
  <c r="EB23" i="489"/>
  <c r="EB53" i="489"/>
  <c r="C117" i="489"/>
  <c r="AF1079" i="489"/>
  <c r="AH148" i="489"/>
  <c r="AQ118" i="489"/>
  <c r="AQ178" i="489"/>
  <c r="AQ1136" i="489" s="1"/>
  <c r="U500" i="147"/>
  <c r="U167" i="489"/>
  <c r="W519" i="147"/>
  <c r="CZ530" i="147"/>
  <c r="AQ1109" i="489"/>
  <c r="C120" i="489"/>
  <c r="C60" i="489"/>
  <c r="C1026" i="489" s="1"/>
  <c r="C181" i="489"/>
  <c r="C61" i="489"/>
  <c r="C91" i="489"/>
  <c r="B211" i="489"/>
  <c r="B121" i="489"/>
  <c r="B150" i="489"/>
  <c r="B31" i="489"/>
  <c r="EW109" i="489"/>
  <c r="EW80" i="489"/>
  <c r="AH1052" i="489"/>
  <c r="AH96" i="489"/>
  <c r="AH103" i="489" s="1"/>
  <c r="AH329" i="489" s="1"/>
  <c r="BS525" i="147"/>
  <c r="AK148" i="489"/>
  <c r="CB178" i="489"/>
  <c r="CB186" i="489" s="1"/>
  <c r="CB193" i="489" s="1"/>
  <c r="CB332" i="489" s="1"/>
  <c r="CB118" i="489"/>
  <c r="B434" i="147"/>
  <c r="B58" i="489"/>
  <c r="B1024" i="489" s="1"/>
  <c r="V500" i="147"/>
  <c r="V167" i="489"/>
  <c r="CB581" i="147"/>
  <c r="CB149" i="489"/>
  <c r="U120" i="489"/>
  <c r="U60" i="489"/>
  <c r="U1026" i="489" s="1"/>
  <c r="BR181" i="489"/>
  <c r="BR61" i="489"/>
  <c r="BR91" i="489"/>
  <c r="BR1055" i="489" s="1"/>
  <c r="BR1060" i="489" s="1"/>
  <c r="BR1067" i="489" s="1"/>
  <c r="C121" i="489"/>
  <c r="C150" i="489"/>
  <c r="C211" i="489"/>
  <c r="C31" i="489"/>
  <c r="B213" i="489"/>
  <c r="B152" i="489"/>
  <c r="B33" i="489"/>
  <c r="B481" i="147"/>
  <c r="B30" i="489"/>
  <c r="CZ424" i="147"/>
  <c r="CZ88" i="489"/>
  <c r="AQ148" i="489"/>
  <c r="AQ1108" i="489" s="1"/>
  <c r="CF178" i="489"/>
  <c r="CF118" i="489"/>
  <c r="B466" i="147"/>
  <c r="B77" i="489"/>
  <c r="B73" i="93" s="1"/>
  <c r="BU1125" i="489"/>
  <c r="BU1134" i="489" s="1"/>
  <c r="BU1151" i="489" s="1"/>
  <c r="BU176" i="489"/>
  <c r="BU193" i="489" s="1"/>
  <c r="BU332" i="489" s="1"/>
  <c r="CS557" i="147"/>
  <c r="CS209" i="489"/>
  <c r="V120" i="489"/>
  <c r="V1082" i="489" s="1"/>
  <c r="V1088" i="489" s="1"/>
  <c r="V60" i="489"/>
  <c r="V1026" i="489" s="1"/>
  <c r="V1032" i="489" s="1"/>
  <c r="CQ181" i="489"/>
  <c r="CQ91" i="489"/>
  <c r="CQ61" i="489"/>
  <c r="CQ1027" i="489" s="1"/>
  <c r="CQ1032" i="489" s="1"/>
  <c r="CQ1039" i="489" s="1"/>
  <c r="CQ150" i="489"/>
  <c r="CQ211" i="489"/>
  <c r="CQ121" i="489"/>
  <c r="CQ31" i="489"/>
  <c r="B81" i="489"/>
  <c r="B110" i="489"/>
  <c r="B49" i="489"/>
  <c r="B202" i="489"/>
  <c r="B18" i="489"/>
  <c r="B986" i="489" s="1"/>
  <c r="EW183" i="489"/>
  <c r="EW152" i="489"/>
  <c r="EW213" i="489"/>
  <c r="EW123" i="489"/>
  <c r="EW93" i="489"/>
  <c r="EW1057" i="489" s="1"/>
  <c r="EW1060" i="489" s="1"/>
  <c r="EW33" i="489"/>
  <c r="EW63" i="489"/>
  <c r="EW1029" i="489" s="1"/>
  <c r="EW1032" i="489" s="1"/>
  <c r="B424" i="147"/>
  <c r="B88" i="489"/>
  <c r="AX148" i="489"/>
  <c r="CT118" i="489"/>
  <c r="CT178" i="489"/>
  <c r="CT186" i="489" s="1"/>
  <c r="Y434" i="147"/>
  <c r="Y58" i="489"/>
  <c r="CZ500" i="147"/>
  <c r="CZ167" i="489"/>
  <c r="C45" i="93"/>
  <c r="B525" i="147"/>
  <c r="B530" i="147"/>
  <c r="AH120" i="489"/>
  <c r="AH60" i="489"/>
  <c r="CZ181" i="489"/>
  <c r="CZ61" i="489"/>
  <c r="CZ1027" i="489" s="1"/>
  <c r="CZ1032" i="489" s="1"/>
  <c r="CZ91" i="489"/>
  <c r="CZ1055" i="489" s="1"/>
  <c r="CZ150" i="489"/>
  <c r="CZ211" i="489"/>
  <c r="CZ121" i="489"/>
  <c r="CZ31" i="489"/>
  <c r="C202" i="489"/>
  <c r="C49" i="489"/>
  <c r="C172" i="489"/>
  <c r="C1130" i="489" s="1"/>
  <c r="C110" i="489"/>
  <c r="C81" i="489"/>
  <c r="C18" i="489"/>
  <c r="C18" i="93" s="1"/>
  <c r="B201" i="489"/>
  <c r="B21" i="489"/>
  <c r="B989" i="489" s="1"/>
  <c r="DF1052" i="489"/>
  <c r="DF1060" i="489" s="1"/>
  <c r="DF1067" i="489" s="1"/>
  <c r="DF96" i="489"/>
  <c r="DC148" i="489"/>
  <c r="DC1108" i="489" s="1"/>
  <c r="AF1024" i="489"/>
  <c r="AF1032" i="489" s="1"/>
  <c r="AF1039" i="489" s="1"/>
  <c r="AF66" i="489"/>
  <c r="U466" i="147"/>
  <c r="U77" i="489"/>
  <c r="DF1109" i="489"/>
  <c r="DE150" i="489"/>
  <c r="DE211" i="489"/>
  <c r="DE121" i="489"/>
  <c r="DE31" i="489"/>
  <c r="DE999" i="489" s="1"/>
  <c r="CZ110" i="489"/>
  <c r="CZ81" i="489"/>
  <c r="CZ172" i="489"/>
  <c r="CZ202" i="489"/>
  <c r="CZ49" i="489"/>
  <c r="CZ56" i="489" s="1"/>
  <c r="CZ18" i="489"/>
  <c r="EW201" i="489"/>
  <c r="EW51" i="489"/>
  <c r="EW171" i="489"/>
  <c r="EW21" i="489"/>
  <c r="CF388" i="147"/>
  <c r="CF409" i="147"/>
  <c r="CF436" i="147"/>
  <c r="CF444" i="147"/>
  <c r="CF479" i="147"/>
  <c r="CF509" i="147"/>
  <c r="DD510" i="147"/>
  <c r="CF579" i="147"/>
  <c r="CF604" i="147"/>
  <c r="CF434" i="147"/>
  <c r="DC436" i="147"/>
  <c r="CF443" i="147"/>
  <c r="DC444" i="147"/>
  <c r="DC484" i="147"/>
  <c r="CF508" i="147"/>
  <c r="DD509" i="147"/>
  <c r="BS530" i="147"/>
  <c r="CF540" i="147"/>
  <c r="DC541" i="147"/>
  <c r="BS565" i="147"/>
  <c r="CR652" i="147"/>
  <c r="CF668" i="147"/>
  <c r="CF391" i="147"/>
  <c r="BS423" i="147"/>
  <c r="DC430" i="147"/>
  <c r="CF433" i="147"/>
  <c r="DC435" i="147"/>
  <c r="BS455" i="147"/>
  <c r="DC462" i="147"/>
  <c r="CF483" i="147"/>
  <c r="DC485" i="147"/>
  <c r="BT507" i="147"/>
  <c r="CF513" i="147"/>
  <c r="CF530" i="147"/>
  <c r="CF559" i="147"/>
  <c r="CF564" i="147"/>
  <c r="CF572" i="147"/>
  <c r="CF583" i="147"/>
  <c r="CF693" i="147"/>
  <c r="BS381" i="147"/>
  <c r="CF421" i="147"/>
  <c r="CF423" i="147"/>
  <c r="BS429" i="147"/>
  <c r="DC434" i="147"/>
  <c r="CF442" i="147"/>
  <c r="DC443" i="147"/>
  <c r="CF448" i="147"/>
  <c r="CF455" i="147"/>
  <c r="CF461" i="147"/>
  <c r="CF465" i="147"/>
  <c r="CF475" i="147"/>
  <c r="CF507" i="147"/>
  <c r="DD508" i="147"/>
  <c r="DD514" i="147"/>
  <c r="BS536" i="147"/>
  <c r="BS537" i="147"/>
  <c r="CF547" i="147"/>
  <c r="DD564" i="147"/>
  <c r="CF570" i="147"/>
  <c r="CE381" i="147"/>
  <c r="BS382" i="147"/>
  <c r="CF389" i="147"/>
  <c r="BS424" i="147"/>
  <c r="CF429" i="147"/>
  <c r="DC433" i="147"/>
  <c r="DC448" i="147"/>
  <c r="DC490" i="147"/>
  <c r="DC496" i="147"/>
  <c r="CF536" i="147"/>
  <c r="CF544" i="147"/>
  <c r="CF546" i="147"/>
  <c r="CF587" i="147"/>
  <c r="CF671" i="147"/>
  <c r="CF685" i="147"/>
  <c r="F26" i="389"/>
  <c r="CF381" i="147"/>
  <c r="CE382" i="147"/>
  <c r="CF399" i="147"/>
  <c r="DC423" i="147"/>
  <c r="CF424" i="147"/>
  <c r="BS427" i="147"/>
  <c r="CF428" i="147"/>
  <c r="DC429" i="147"/>
  <c r="CF441" i="147"/>
  <c r="DC442" i="147"/>
  <c r="DC455" i="147"/>
  <c r="DC461" i="147"/>
  <c r="DC465" i="147"/>
  <c r="CF477" i="147"/>
  <c r="BS482" i="147"/>
  <c r="DD507" i="147"/>
  <c r="DD513" i="147"/>
  <c r="DC537" i="147"/>
  <c r="CF557" i="147"/>
  <c r="CF558" i="147"/>
  <c r="CF578" i="147"/>
  <c r="CF382" i="147"/>
  <c r="CF401" i="147"/>
  <c r="CF427" i="147"/>
  <c r="DC428" i="147"/>
  <c r="CF451" i="147"/>
  <c r="CF457" i="147"/>
  <c r="CF460" i="147"/>
  <c r="CF464" i="147"/>
  <c r="BS480" i="147"/>
  <c r="CF482" i="147"/>
  <c r="DC498" i="147"/>
  <c r="CF511" i="147"/>
  <c r="DC523" i="147"/>
  <c r="BS535" i="147"/>
  <c r="DC536" i="147"/>
  <c r="CF581" i="147"/>
  <c r="CF586" i="147"/>
  <c r="DD587" i="147"/>
  <c r="DC424" i="147"/>
  <c r="DC427" i="147"/>
  <c r="DC441" i="147"/>
  <c r="CF446" i="147"/>
  <c r="CF480" i="147"/>
  <c r="CF532" i="147"/>
  <c r="CF533" i="147"/>
  <c r="CF534" i="147"/>
  <c r="CF535" i="147"/>
  <c r="CF552" i="147"/>
  <c r="CF670" i="147"/>
  <c r="CF692" i="147"/>
  <c r="F26" i="218"/>
  <c r="F28" i="218" s="1"/>
  <c r="F30" i="218" s="1"/>
  <c r="F32" i="218" s="1"/>
  <c r="F36" i="218" s="1"/>
  <c r="I216" i="147" s="1"/>
  <c r="CF396" i="147"/>
  <c r="CF403" i="147"/>
  <c r="CF439" i="147"/>
  <c r="DC451" i="147"/>
  <c r="DC460" i="147"/>
  <c r="DC464" i="147"/>
  <c r="DC482" i="147"/>
  <c r="CQ532" i="147"/>
  <c r="CQ533" i="147"/>
  <c r="CQ534" i="147"/>
  <c r="CF554" i="147"/>
  <c r="CF577" i="147"/>
  <c r="DD586" i="147"/>
  <c r="CF680" i="147"/>
  <c r="CF684" i="147"/>
  <c r="CF694" i="147"/>
  <c r="CF398" i="147"/>
  <c r="CF405" i="147"/>
  <c r="CF431" i="147"/>
  <c r="CF438" i="147"/>
  <c r="CF445" i="147"/>
  <c r="DC446" i="147"/>
  <c r="DC457" i="147"/>
  <c r="CF463" i="147"/>
  <c r="DC480" i="147"/>
  <c r="DC495" i="147"/>
  <c r="CF510" i="147"/>
  <c r="DD511" i="147"/>
  <c r="DC535" i="147"/>
  <c r="CF553" i="147"/>
  <c r="CF585" i="147"/>
  <c r="CF669" i="147"/>
  <c r="CF673" i="147"/>
  <c r="F21" i="429"/>
  <c r="F22" i="429" s="1"/>
  <c r="F26" i="429" s="1"/>
  <c r="I50" i="147" s="1"/>
  <c r="J737" i="147"/>
  <c r="J739" i="147"/>
  <c r="J738" i="147"/>
  <c r="L599" i="147"/>
  <c r="L737" i="147"/>
  <c r="L738" i="147"/>
  <c r="L739" i="147"/>
  <c r="N599" i="147"/>
  <c r="N737" i="147"/>
  <c r="N738" i="147"/>
  <c r="N739" i="147"/>
  <c r="P599" i="147"/>
  <c r="P737" i="147"/>
  <c r="P738" i="147"/>
  <c r="P739" i="147"/>
  <c r="R599" i="147"/>
  <c r="R737" i="147"/>
  <c r="R738" i="147"/>
  <c r="R739" i="147"/>
  <c r="T599" i="147"/>
  <c r="T737" i="147"/>
  <c r="T738" i="147"/>
  <c r="T739" i="147"/>
  <c r="X599" i="147"/>
  <c r="X737" i="147"/>
  <c r="X738" i="147"/>
  <c r="X739" i="147"/>
  <c r="Z599" i="147"/>
  <c r="Z737" i="147"/>
  <c r="Z738" i="147"/>
  <c r="Z739" i="147"/>
  <c r="AD599" i="147"/>
  <c r="AD737" i="147"/>
  <c r="AD738" i="147"/>
  <c r="AD739" i="147"/>
  <c r="AG599" i="147"/>
  <c r="AG737" i="147"/>
  <c r="AG738" i="147"/>
  <c r="AG739" i="147"/>
  <c r="AI599" i="147"/>
  <c r="AI738" i="147"/>
  <c r="AI739" i="147"/>
  <c r="AI737" i="147"/>
  <c r="AK599" i="147"/>
  <c r="AK737" i="147"/>
  <c r="AK738" i="147"/>
  <c r="AK739" i="147"/>
  <c r="AM599" i="147"/>
  <c r="AM738" i="147"/>
  <c r="AM739" i="147"/>
  <c r="AM737" i="147"/>
  <c r="AO599" i="147"/>
  <c r="AO737" i="147"/>
  <c r="AO738" i="147"/>
  <c r="AO739" i="147"/>
  <c r="AQ599" i="147"/>
  <c r="AQ738" i="147"/>
  <c r="AQ739" i="147"/>
  <c r="AQ737" i="147"/>
  <c r="AS599" i="147"/>
  <c r="AS737" i="147"/>
  <c r="AS738" i="147"/>
  <c r="AS739" i="147"/>
  <c r="AU599" i="147"/>
  <c r="AU738" i="147"/>
  <c r="AU739" i="147"/>
  <c r="AU737" i="147"/>
  <c r="AW599" i="147"/>
  <c r="AW737" i="147"/>
  <c r="AW738" i="147"/>
  <c r="AW739" i="147"/>
  <c r="AY599" i="147"/>
  <c r="AY738" i="147"/>
  <c r="AY739" i="147"/>
  <c r="AY737" i="147"/>
  <c r="BA599" i="147"/>
  <c r="BA737" i="147"/>
  <c r="BA738" i="147"/>
  <c r="BA739" i="147"/>
  <c r="BC599" i="147"/>
  <c r="BC738" i="147"/>
  <c r="BC739" i="147"/>
  <c r="BC737" i="147"/>
  <c r="BE599" i="147"/>
  <c r="BE737" i="147"/>
  <c r="BE738" i="147"/>
  <c r="BE739" i="147"/>
  <c r="BJ599" i="147"/>
  <c r="BJ737" i="147"/>
  <c r="BJ738" i="147"/>
  <c r="BJ739" i="147"/>
  <c r="BL599" i="147"/>
  <c r="BL737" i="147"/>
  <c r="BL738" i="147"/>
  <c r="BL739" i="147"/>
  <c r="BN599" i="147"/>
  <c r="BN737" i="147"/>
  <c r="BN738" i="147"/>
  <c r="BN739" i="147"/>
  <c r="BP599" i="147"/>
  <c r="BP737" i="147"/>
  <c r="BP738" i="147"/>
  <c r="BP739" i="147"/>
  <c r="BR599" i="147"/>
  <c r="BR737" i="147"/>
  <c r="BR738" i="147"/>
  <c r="BR739" i="147"/>
  <c r="BT599" i="147"/>
  <c r="BT737" i="147"/>
  <c r="BT738" i="147"/>
  <c r="BT739" i="147"/>
  <c r="BV599" i="147"/>
  <c r="BV737" i="147"/>
  <c r="BV738" i="147"/>
  <c r="BV739" i="147"/>
  <c r="BX599" i="147"/>
  <c r="BX737" i="147"/>
  <c r="BX738" i="147"/>
  <c r="BX739" i="147"/>
  <c r="BZ599" i="147"/>
  <c r="BZ737" i="147"/>
  <c r="BZ738" i="147"/>
  <c r="BZ739" i="147"/>
  <c r="CB599" i="147"/>
  <c r="CB737" i="147"/>
  <c r="CB738" i="147"/>
  <c r="CB739" i="147"/>
  <c r="CD599" i="147"/>
  <c r="CD737" i="147"/>
  <c r="CD738" i="147"/>
  <c r="CD739" i="147"/>
  <c r="CF599" i="147"/>
  <c r="CF737" i="147"/>
  <c r="CF738" i="147"/>
  <c r="CF739" i="147"/>
  <c r="CH599" i="147"/>
  <c r="CH737" i="147"/>
  <c r="CH738" i="147"/>
  <c r="CH739" i="147"/>
  <c r="CJ599" i="147"/>
  <c r="CJ737" i="147"/>
  <c r="CJ738" i="147"/>
  <c r="CJ739" i="147"/>
  <c r="CL599" i="147"/>
  <c r="CL737" i="147"/>
  <c r="CL738" i="147"/>
  <c r="CL739" i="147"/>
  <c r="CN599" i="147"/>
  <c r="CN737" i="147"/>
  <c r="CN738" i="147"/>
  <c r="CN739" i="147"/>
  <c r="CP599" i="147"/>
  <c r="CP737" i="147"/>
  <c r="CP738" i="147"/>
  <c r="CP739" i="147"/>
  <c r="CR599" i="147"/>
  <c r="CR737" i="147"/>
  <c r="CR738" i="147"/>
  <c r="CR739" i="147"/>
  <c r="CT599" i="147"/>
  <c r="CT737" i="147"/>
  <c r="CT738" i="147"/>
  <c r="CT739" i="147"/>
  <c r="CV599" i="147"/>
  <c r="CV737" i="147"/>
  <c r="CV738" i="147"/>
  <c r="CV739" i="147"/>
  <c r="CX599" i="147"/>
  <c r="CX737" i="147"/>
  <c r="CX738" i="147"/>
  <c r="CX739" i="147"/>
  <c r="CZ599" i="147"/>
  <c r="CZ737" i="147"/>
  <c r="CZ738" i="147"/>
  <c r="CZ739" i="147"/>
  <c r="DB599" i="147"/>
  <c r="DB737" i="147"/>
  <c r="DB738" i="147"/>
  <c r="DB739" i="147"/>
  <c r="DD599" i="147"/>
  <c r="DD737" i="147"/>
  <c r="DD738" i="147"/>
  <c r="DD739" i="147"/>
  <c r="DF599" i="147"/>
  <c r="DF737" i="147"/>
  <c r="DF738" i="147"/>
  <c r="DF739" i="147"/>
  <c r="DH599" i="147"/>
  <c r="DH737" i="147"/>
  <c r="DH738" i="147"/>
  <c r="DH739" i="147"/>
  <c r="DJ599" i="147"/>
  <c r="DJ737" i="147"/>
  <c r="DJ738" i="147"/>
  <c r="DJ739" i="147"/>
  <c r="DL599" i="147"/>
  <c r="DL737" i="147"/>
  <c r="DL738" i="147"/>
  <c r="DL739" i="147"/>
  <c r="DN599" i="147"/>
  <c r="DN737" i="147"/>
  <c r="DN738" i="147"/>
  <c r="DN739" i="147"/>
  <c r="DP599" i="147"/>
  <c r="DP737" i="147"/>
  <c r="DP738" i="147"/>
  <c r="DP739" i="147"/>
  <c r="DR599" i="147"/>
  <c r="DR737" i="147"/>
  <c r="DR738" i="147"/>
  <c r="DR739" i="147"/>
  <c r="DT599" i="147"/>
  <c r="DT737" i="147"/>
  <c r="DT738" i="147"/>
  <c r="DT739" i="147"/>
  <c r="DV599" i="147"/>
  <c r="DV737" i="147"/>
  <c r="DV738" i="147"/>
  <c r="DV739" i="147"/>
  <c r="DY599" i="147"/>
  <c r="DY737" i="147"/>
  <c r="DY738" i="147"/>
  <c r="DY739" i="147"/>
  <c r="EA599" i="147"/>
  <c r="EA738" i="147"/>
  <c r="EA739" i="147"/>
  <c r="EA737" i="147"/>
  <c r="ED599" i="147"/>
  <c r="ED737" i="147"/>
  <c r="ED738" i="147"/>
  <c r="ED739" i="147"/>
  <c r="EF599" i="147"/>
  <c r="EF737" i="147"/>
  <c r="EF738" i="147"/>
  <c r="EF739" i="147"/>
  <c r="EH599" i="147"/>
  <c r="EH737" i="147"/>
  <c r="EH738" i="147"/>
  <c r="EH739" i="147"/>
  <c r="EJ599" i="147"/>
  <c r="EJ737" i="147"/>
  <c r="EJ738" i="147"/>
  <c r="EJ739" i="147"/>
  <c r="EL599" i="147"/>
  <c r="EL737" i="147"/>
  <c r="EL738" i="147"/>
  <c r="EL739" i="147"/>
  <c r="EN599" i="147"/>
  <c r="EN737" i="147"/>
  <c r="EN738" i="147"/>
  <c r="EN739" i="147"/>
  <c r="EP599" i="147"/>
  <c r="EP737" i="147"/>
  <c r="EP738" i="147"/>
  <c r="EP739" i="147"/>
  <c r="ER599" i="147"/>
  <c r="ER737" i="147"/>
  <c r="ER738" i="147"/>
  <c r="ER739" i="147"/>
  <c r="ET599" i="147"/>
  <c r="ET737" i="147"/>
  <c r="ET738" i="147"/>
  <c r="ET739" i="147"/>
  <c r="EV599" i="147"/>
  <c r="EV737" i="147"/>
  <c r="EV738" i="147"/>
  <c r="EV739" i="147"/>
  <c r="EX599" i="147"/>
  <c r="EX737" i="147"/>
  <c r="EX738" i="147"/>
  <c r="EX739" i="147"/>
  <c r="K599" i="147"/>
  <c r="K739" i="147"/>
  <c r="K737" i="147"/>
  <c r="K738" i="147"/>
  <c r="M599" i="147"/>
  <c r="M737" i="147"/>
  <c r="M738" i="147"/>
  <c r="M739" i="147"/>
  <c r="O599" i="147"/>
  <c r="O739" i="147"/>
  <c r="O737" i="147"/>
  <c r="O738" i="147"/>
  <c r="Q599" i="147"/>
  <c r="Q737" i="147"/>
  <c r="Q738" i="147"/>
  <c r="Q739" i="147"/>
  <c r="S599" i="147"/>
  <c r="S739" i="147"/>
  <c r="S737" i="147"/>
  <c r="S738" i="147"/>
  <c r="V599" i="147"/>
  <c r="V737" i="147"/>
  <c r="V738" i="147"/>
  <c r="V739" i="147"/>
  <c r="Y599" i="147"/>
  <c r="Y737" i="147"/>
  <c r="Y738" i="147"/>
  <c r="Y739" i="147"/>
  <c r="AC599" i="147"/>
  <c r="AC737" i="147"/>
  <c r="AC738" i="147"/>
  <c r="AC739" i="147"/>
  <c r="AF599" i="147"/>
  <c r="AF737" i="147"/>
  <c r="AF738" i="147"/>
  <c r="AF739" i="147"/>
  <c r="AH599" i="147"/>
  <c r="AH737" i="147"/>
  <c r="AH738" i="147"/>
  <c r="AH739" i="147"/>
  <c r="AJ599" i="147"/>
  <c r="AJ737" i="147"/>
  <c r="AJ738" i="147"/>
  <c r="AJ739" i="147"/>
  <c r="AL599" i="147"/>
  <c r="AL737" i="147"/>
  <c r="AL738" i="147"/>
  <c r="AL739" i="147"/>
  <c r="AN599" i="147"/>
  <c r="AN737" i="147"/>
  <c r="AN738" i="147"/>
  <c r="AN739" i="147"/>
  <c r="AP599" i="147"/>
  <c r="AP737" i="147"/>
  <c r="AP738" i="147"/>
  <c r="AP739" i="147"/>
  <c r="AR599" i="147"/>
  <c r="AR737" i="147"/>
  <c r="AR738" i="147"/>
  <c r="AR739" i="147"/>
  <c r="AT599" i="147"/>
  <c r="AT737" i="147"/>
  <c r="AT738" i="147"/>
  <c r="AT739" i="147"/>
  <c r="AV599" i="147"/>
  <c r="AV737" i="147"/>
  <c r="AV738" i="147"/>
  <c r="AV739" i="147"/>
  <c r="AX599" i="147"/>
  <c r="AX737" i="147"/>
  <c r="AX738" i="147"/>
  <c r="AX739" i="147"/>
  <c r="AZ599" i="147"/>
  <c r="AZ737" i="147"/>
  <c r="AZ738" i="147"/>
  <c r="AZ739" i="147"/>
  <c r="BB599" i="147"/>
  <c r="BB737" i="147"/>
  <c r="BB738" i="147"/>
  <c r="BB739" i="147"/>
  <c r="BD599" i="147"/>
  <c r="BD737" i="147"/>
  <c r="BD738" i="147"/>
  <c r="BD739" i="147"/>
  <c r="BI599" i="147"/>
  <c r="BI737" i="147"/>
  <c r="BI738" i="147"/>
  <c r="BI739" i="147"/>
  <c r="BK599" i="147"/>
  <c r="BK738" i="147"/>
  <c r="BK739" i="147"/>
  <c r="BK737" i="147"/>
  <c r="BM599" i="147"/>
  <c r="BM737" i="147"/>
  <c r="BM738" i="147"/>
  <c r="BM739" i="147"/>
  <c r="BO599" i="147"/>
  <c r="BO738" i="147"/>
  <c r="BO739" i="147"/>
  <c r="BO737" i="147"/>
  <c r="BQ599" i="147"/>
  <c r="BQ737" i="147"/>
  <c r="BQ738" i="147"/>
  <c r="BQ739" i="147"/>
  <c r="BS599" i="147"/>
  <c r="BS738" i="147"/>
  <c r="BS739" i="147"/>
  <c r="BS737" i="147"/>
  <c r="BU599" i="147"/>
  <c r="BU737" i="147"/>
  <c r="BU738" i="147"/>
  <c r="BU739" i="147"/>
  <c r="BW599" i="147"/>
  <c r="BW738" i="147"/>
  <c r="BW739" i="147"/>
  <c r="BW737" i="147"/>
  <c r="BY599" i="147"/>
  <c r="BY737" i="147"/>
  <c r="BY738" i="147"/>
  <c r="BY739" i="147"/>
  <c r="CA599" i="147"/>
  <c r="CA738" i="147"/>
  <c r="CA739" i="147"/>
  <c r="CA737" i="147"/>
  <c r="CC599" i="147"/>
  <c r="CC737" i="147"/>
  <c r="CC738" i="147"/>
  <c r="CC739" i="147"/>
  <c r="CE599" i="147"/>
  <c r="CE738" i="147"/>
  <c r="CE739" i="147"/>
  <c r="CE737" i="147"/>
  <c r="CG737" i="147"/>
  <c r="CG738" i="147"/>
  <c r="CG739" i="147"/>
  <c r="CI599" i="147"/>
  <c r="CI738" i="147"/>
  <c r="CI739" i="147"/>
  <c r="CI737" i="147"/>
  <c r="CK599" i="147"/>
  <c r="CK737" i="147"/>
  <c r="CK738" i="147"/>
  <c r="CK739" i="147"/>
  <c r="CM599" i="147"/>
  <c r="CM738" i="147"/>
  <c r="CM739" i="147"/>
  <c r="CM737" i="147"/>
  <c r="CO599" i="147"/>
  <c r="CO737" i="147"/>
  <c r="CO738" i="147"/>
  <c r="CO739" i="147"/>
  <c r="CQ599" i="147"/>
  <c r="CQ738" i="147"/>
  <c r="CQ739" i="147"/>
  <c r="CQ737" i="147"/>
  <c r="CS599" i="147"/>
  <c r="CS737" i="147"/>
  <c r="CS738" i="147"/>
  <c r="CS739" i="147"/>
  <c r="CU599" i="147"/>
  <c r="CU738" i="147"/>
  <c r="CU739" i="147"/>
  <c r="CU737" i="147"/>
  <c r="CW599" i="147"/>
  <c r="CW737" i="147"/>
  <c r="CW738" i="147"/>
  <c r="CW739" i="147"/>
  <c r="CY599" i="147"/>
  <c r="CY738" i="147"/>
  <c r="CY739" i="147"/>
  <c r="CY737" i="147"/>
  <c r="DA599" i="147"/>
  <c r="DA737" i="147"/>
  <c r="DA738" i="147"/>
  <c r="DA739" i="147"/>
  <c r="DC599" i="147"/>
  <c r="DC738" i="147"/>
  <c r="DC739" i="147"/>
  <c r="DC737" i="147"/>
  <c r="DE599" i="147"/>
  <c r="DE737" i="147"/>
  <c r="DE738" i="147"/>
  <c r="DE739" i="147"/>
  <c r="DG599" i="147"/>
  <c r="DG738" i="147"/>
  <c r="DG739" i="147"/>
  <c r="DG737" i="147"/>
  <c r="DI599" i="147"/>
  <c r="DI737" i="147"/>
  <c r="DI738" i="147"/>
  <c r="DI739" i="147"/>
  <c r="DK599" i="147"/>
  <c r="DK738" i="147"/>
  <c r="DK739" i="147"/>
  <c r="DK737" i="147"/>
  <c r="DM599" i="147"/>
  <c r="DM737" i="147"/>
  <c r="DM738" i="147"/>
  <c r="DM739" i="147"/>
  <c r="DO599" i="147"/>
  <c r="DO738" i="147"/>
  <c r="DO739" i="147"/>
  <c r="DO737" i="147"/>
  <c r="DQ599" i="147"/>
  <c r="DQ737" i="147"/>
  <c r="DQ738" i="147"/>
  <c r="DQ739" i="147"/>
  <c r="DS599" i="147"/>
  <c r="DS738" i="147"/>
  <c r="DS739" i="147"/>
  <c r="DS737" i="147"/>
  <c r="DU599" i="147"/>
  <c r="DU737" i="147"/>
  <c r="DU738" i="147"/>
  <c r="DU739" i="147"/>
  <c r="DW599" i="147"/>
  <c r="DW738" i="147"/>
  <c r="DW739" i="147"/>
  <c r="DW737" i="147"/>
  <c r="DZ599" i="147"/>
  <c r="DZ737" i="147"/>
  <c r="DZ738" i="147"/>
  <c r="DZ739" i="147"/>
  <c r="EC599" i="147"/>
  <c r="EC737" i="147"/>
  <c r="EC738" i="147"/>
  <c r="EC739" i="147"/>
  <c r="EE599" i="147"/>
  <c r="EE738" i="147"/>
  <c r="EE739" i="147"/>
  <c r="EE737" i="147"/>
  <c r="EG599" i="147"/>
  <c r="EG737" i="147"/>
  <c r="EG738" i="147"/>
  <c r="EG739" i="147"/>
  <c r="EI599" i="147"/>
  <c r="EI738" i="147"/>
  <c r="EI739" i="147"/>
  <c r="EI737" i="147"/>
  <c r="EK599" i="147"/>
  <c r="EK737" i="147"/>
  <c r="EK738" i="147"/>
  <c r="EK739" i="147"/>
  <c r="EM599" i="147"/>
  <c r="EM738" i="147"/>
  <c r="EM737" i="147"/>
  <c r="EM739" i="147"/>
  <c r="EO599" i="147"/>
  <c r="EO737" i="147"/>
  <c r="EO738" i="147"/>
  <c r="EO739" i="147"/>
  <c r="EQ599" i="147"/>
  <c r="EQ738" i="147"/>
  <c r="EQ739" i="147"/>
  <c r="EQ737" i="147"/>
  <c r="ES599" i="147"/>
  <c r="ES737" i="147"/>
  <c r="ES738" i="147"/>
  <c r="ES739" i="147"/>
  <c r="EU599" i="147"/>
  <c r="EU738" i="147"/>
  <c r="EU737" i="147"/>
  <c r="EU739" i="147"/>
  <c r="EW599" i="147"/>
  <c r="EW737" i="147"/>
  <c r="EW738" i="147"/>
  <c r="EW739" i="147"/>
  <c r="J599" i="147"/>
  <c r="J598" i="147"/>
  <c r="CG689" i="147"/>
  <c r="CG599" i="147"/>
  <c r="M20" i="167"/>
  <c r="M20" i="408"/>
  <c r="M22" i="408"/>
  <c r="M24" i="408"/>
  <c r="M20" i="415"/>
  <c r="M23" i="415"/>
  <c r="M20" i="301"/>
  <c r="M19" i="419"/>
  <c r="M19" i="422"/>
  <c r="B551" i="147"/>
  <c r="AL551" i="147"/>
  <c r="CF551" i="147"/>
  <c r="B584" i="147"/>
  <c r="AH1166" i="489"/>
  <c r="CN1159" i="489"/>
  <c r="J689" i="147"/>
  <c r="L689" i="147"/>
  <c r="N689" i="147"/>
  <c r="P689" i="147"/>
  <c r="R689" i="147"/>
  <c r="T689" i="147"/>
  <c r="X689" i="147"/>
  <c r="Z689" i="147"/>
  <c r="AD689" i="147"/>
  <c r="AG689" i="147"/>
  <c r="AI689" i="147"/>
  <c r="AK689" i="147"/>
  <c r="AM689" i="147"/>
  <c r="AO689" i="147"/>
  <c r="AQ689" i="147"/>
  <c r="AS689" i="147"/>
  <c r="AU689" i="147"/>
  <c r="AW689" i="147"/>
  <c r="AY689" i="147"/>
  <c r="BA689" i="147"/>
  <c r="BC689" i="147"/>
  <c r="BE689" i="147"/>
  <c r="BJ689" i="147"/>
  <c r="BL689" i="147"/>
  <c r="BN689" i="147"/>
  <c r="BP689" i="147"/>
  <c r="BR689" i="147"/>
  <c r="BT689" i="147"/>
  <c r="BV689" i="147"/>
  <c r="BX689" i="147"/>
  <c r="BZ689" i="147"/>
  <c r="CB689" i="147"/>
  <c r="CD689" i="147"/>
  <c r="CF689" i="147"/>
  <c r="CH689" i="147"/>
  <c r="CJ689" i="147"/>
  <c r="CL689" i="147"/>
  <c r="CN689" i="147"/>
  <c r="CP689" i="147"/>
  <c r="CR689" i="147"/>
  <c r="CT689" i="147"/>
  <c r="CV689" i="147"/>
  <c r="CX689" i="147"/>
  <c r="CZ689" i="147"/>
  <c r="DB689" i="147"/>
  <c r="DD689" i="147"/>
  <c r="DF689" i="147"/>
  <c r="DH689" i="147"/>
  <c r="DJ689" i="147"/>
  <c r="DL689" i="147"/>
  <c r="DN689" i="147"/>
  <c r="DP689" i="147"/>
  <c r="DR689" i="147"/>
  <c r="DT689" i="147"/>
  <c r="DV689" i="147"/>
  <c r="DY689" i="147"/>
  <c r="EA689" i="147"/>
  <c r="ED689" i="147"/>
  <c r="EF689" i="147"/>
  <c r="EH689" i="147"/>
  <c r="EJ689" i="147"/>
  <c r="EL689" i="147"/>
  <c r="EN689" i="147"/>
  <c r="EP689" i="147"/>
  <c r="ER689" i="147"/>
  <c r="ET689" i="147"/>
  <c r="EV689" i="147"/>
  <c r="EX689" i="147"/>
  <c r="M23" i="419"/>
  <c r="M25" i="419"/>
  <c r="M21" i="422"/>
  <c r="M23" i="422"/>
  <c r="M25" i="422"/>
  <c r="M19" i="324"/>
  <c r="M21" i="324"/>
  <c r="M23" i="324"/>
  <c r="M19" i="424"/>
  <c r="M23" i="424"/>
  <c r="F25" i="204"/>
  <c r="F29" i="204" s="1"/>
  <c r="F31" i="204" s="1"/>
  <c r="F35" i="204" s="1"/>
  <c r="I191" i="147" s="1"/>
  <c r="F25" i="439"/>
  <c r="AQ1165" i="489"/>
  <c r="U1159" i="489"/>
  <c r="CZ1159" i="489"/>
  <c r="K689" i="147"/>
  <c r="M689" i="147"/>
  <c r="O689" i="147"/>
  <c r="Q689" i="147"/>
  <c r="S689" i="147"/>
  <c r="V689" i="147"/>
  <c r="Y689" i="147"/>
  <c r="AC689" i="147"/>
  <c r="AF689" i="147"/>
  <c r="AH689" i="147"/>
  <c r="AJ689" i="147"/>
  <c r="AL689" i="147"/>
  <c r="AN689" i="147"/>
  <c r="AP689" i="147"/>
  <c r="AR689" i="147"/>
  <c r="AT689" i="147"/>
  <c r="AV689" i="147"/>
  <c r="AX689" i="147"/>
  <c r="AZ689" i="147"/>
  <c r="BB689" i="147"/>
  <c r="BD689" i="147"/>
  <c r="BI689" i="147"/>
  <c r="BK689" i="147"/>
  <c r="BM689" i="147"/>
  <c r="BO689" i="147"/>
  <c r="BQ689" i="147"/>
  <c r="BS689" i="147"/>
  <c r="BU689" i="147"/>
  <c r="BW689" i="147"/>
  <c r="BY689" i="147"/>
  <c r="CA689" i="147"/>
  <c r="CC689" i="147"/>
  <c r="CE689" i="147"/>
  <c r="CI689" i="147"/>
  <c r="CK689" i="147"/>
  <c r="CM689" i="147"/>
  <c r="CO689" i="147"/>
  <c r="CQ689" i="147"/>
  <c r="CS689" i="147"/>
  <c r="CU689" i="147"/>
  <c r="CW689" i="147"/>
  <c r="CY689" i="147"/>
  <c r="DA689" i="147"/>
  <c r="DC689" i="147"/>
  <c r="DE689" i="147"/>
  <c r="DG689" i="147"/>
  <c r="DI689" i="147"/>
  <c r="DK689" i="147"/>
  <c r="DM689" i="147"/>
  <c r="DO689" i="147"/>
  <c r="DQ689" i="147"/>
  <c r="DS689" i="147"/>
  <c r="DU689" i="147"/>
  <c r="DW689" i="147"/>
  <c r="DZ689" i="147"/>
  <c r="EC689" i="147"/>
  <c r="EE689" i="147"/>
  <c r="EG689" i="147"/>
  <c r="EI689" i="147"/>
  <c r="EK689" i="147"/>
  <c r="EM689" i="147"/>
  <c r="EO689" i="147"/>
  <c r="EQ689" i="147"/>
  <c r="ES689" i="147"/>
  <c r="EU689" i="147"/>
  <c r="EW689" i="147"/>
  <c r="AO395" i="147"/>
  <c r="CF395" i="147"/>
  <c r="C188" i="93"/>
  <c r="M19" i="333"/>
  <c r="U1156" i="489"/>
  <c r="CN1156" i="489"/>
  <c r="M19" i="209"/>
  <c r="CZ1156" i="489"/>
  <c r="M22" i="333"/>
  <c r="B395" i="147"/>
  <c r="E25" i="147"/>
  <c r="M20" i="333"/>
  <c r="AK1163" i="489"/>
  <c r="AN395" i="147"/>
  <c r="M20" i="209"/>
  <c r="DC1041" i="489"/>
  <c r="AQ986" i="489"/>
  <c r="U1157" i="489"/>
  <c r="CN1157" i="489"/>
  <c r="CF556" i="147"/>
  <c r="CZ1157" i="489"/>
  <c r="DC986" i="489"/>
  <c r="CS556" i="147"/>
  <c r="B172" i="489"/>
  <c r="B556" i="147"/>
  <c r="AF1041" i="489"/>
  <c r="AF1050" i="489" s="1"/>
  <c r="AF86" i="489"/>
  <c r="AJ1242" i="489"/>
  <c r="DW1079" i="489"/>
  <c r="DW1088" i="489" s="1"/>
  <c r="DW1095" i="489" s="1"/>
  <c r="DW126" i="489"/>
  <c r="DW133" i="489" s="1"/>
  <c r="DW330" i="489" s="1"/>
  <c r="AQ1041" i="489"/>
  <c r="AQ1050" i="489" s="1"/>
  <c r="AQ86" i="489"/>
  <c r="J556" i="147"/>
  <c r="B79" i="93"/>
  <c r="B1047" i="489"/>
  <c r="Y556" i="147"/>
  <c r="CQ1041" i="489"/>
  <c r="CQ1050" i="489" s="1"/>
  <c r="CQ86" i="489"/>
  <c r="J986" i="489"/>
  <c r="AK986" i="489"/>
  <c r="AL556" i="147"/>
  <c r="C189" i="93"/>
  <c r="C1157" i="489"/>
  <c r="AF438" i="147"/>
  <c r="AF427" i="147"/>
  <c r="AF397" i="147"/>
  <c r="AF410" i="147"/>
  <c r="AF436" i="147"/>
  <c r="AF484" i="147"/>
  <c r="AF439" i="147"/>
  <c r="AF693" i="147"/>
  <c r="AF403" i="147"/>
  <c r="AF428" i="147"/>
  <c r="AF434" i="147"/>
  <c r="AF402" i="147"/>
  <c r="AF437" i="147"/>
  <c r="B377" i="147"/>
  <c r="V377" i="147"/>
  <c r="EX377" i="147"/>
  <c r="B400" i="147"/>
  <c r="AH1107" i="489"/>
  <c r="DW400" i="147"/>
  <c r="B177" i="489"/>
  <c r="CF449" i="147"/>
  <c r="DC449" i="147"/>
  <c r="V494" i="147"/>
  <c r="CZ494" i="147"/>
  <c r="V528" i="147"/>
  <c r="Y528" i="147"/>
  <c r="BS528" i="147"/>
  <c r="B543" i="147"/>
  <c r="AN543" i="147"/>
  <c r="B555" i="147"/>
  <c r="C225" i="93"/>
  <c r="C1193" i="489"/>
  <c r="AH1193" i="489"/>
  <c r="AQ1193" i="489"/>
  <c r="BS1193" i="489"/>
  <c r="CS1193" i="489"/>
  <c r="DF1193" i="489"/>
  <c r="B601" i="147"/>
  <c r="B603" i="147"/>
  <c r="B60" i="489"/>
  <c r="C217" i="93"/>
  <c r="C1185" i="489"/>
  <c r="CN663" i="147"/>
  <c r="P678" i="147"/>
  <c r="CF678" i="147"/>
  <c r="CZ678" i="147"/>
  <c r="P679" i="147"/>
  <c r="AU679" i="147"/>
  <c r="DC679" i="147"/>
  <c r="B182" i="489"/>
  <c r="B1140" i="489" s="1"/>
  <c r="B183" i="489"/>
  <c r="M20" i="409"/>
  <c r="W377" i="147"/>
  <c r="AO400" i="147"/>
  <c r="CF400" i="147"/>
  <c r="B449" i="147"/>
  <c r="Y449" i="147"/>
  <c r="AT1248" i="489"/>
  <c r="AT1256" i="489" s="1"/>
  <c r="AT1263" i="489" s="1"/>
  <c r="AT306" i="489"/>
  <c r="AT313" i="489" s="1"/>
  <c r="AT336" i="489" s="1"/>
  <c r="DN1248" i="489"/>
  <c r="DN1256" i="489" s="1"/>
  <c r="DN1263" i="489" s="1"/>
  <c r="DN306" i="489"/>
  <c r="DN313" i="489" s="1"/>
  <c r="DN336" i="489" s="1"/>
  <c r="B494" i="147"/>
  <c r="U494" i="147"/>
  <c r="BT494" i="147"/>
  <c r="DC494" i="147"/>
  <c r="B180" i="489"/>
  <c r="AE528" i="147"/>
  <c r="DD528" i="147"/>
  <c r="CB36" i="489"/>
  <c r="CF543" i="147"/>
  <c r="AL555" i="147"/>
  <c r="CF555" i="147"/>
  <c r="B576" i="147"/>
  <c r="K576" i="147"/>
  <c r="AK1193" i="489"/>
  <c r="AU1193" i="489"/>
  <c r="CF576" i="147"/>
  <c r="DC1193" i="489"/>
  <c r="AH1194" i="489"/>
  <c r="EY281" i="147"/>
  <c r="B663" i="147"/>
  <c r="Z663" i="147"/>
  <c r="CZ663" i="147"/>
  <c r="AE678" i="147"/>
  <c r="AE679" i="147"/>
  <c r="CF679" i="147"/>
  <c r="CZ679" i="147"/>
  <c r="EI1225" i="489"/>
  <c r="EI1228" i="489" s="1"/>
  <c r="EI1235" i="489" s="1"/>
  <c r="EI276" i="489"/>
  <c r="EI283" i="489" s="1"/>
  <c r="EI335" i="489" s="1"/>
  <c r="DZ605" i="147"/>
  <c r="AP382" i="147"/>
  <c r="AP389" i="147"/>
  <c r="AC508" i="147"/>
  <c r="CC471" i="147"/>
  <c r="BQ635" i="147"/>
  <c r="AP396" i="147"/>
  <c r="DM448" i="147"/>
  <c r="DA690" i="147"/>
  <c r="CC446" i="147"/>
  <c r="AC510" i="147"/>
  <c r="CC439" i="147"/>
  <c r="AP390" i="147"/>
  <c r="CG630" i="147"/>
  <c r="C185" i="93"/>
  <c r="BK1131" i="489"/>
  <c r="BK1134" i="489" s="1"/>
  <c r="BK176" i="489"/>
  <c r="B661" i="147"/>
  <c r="C129" i="93"/>
  <c r="M567" i="147"/>
  <c r="M630" i="147"/>
  <c r="AC567" i="147"/>
  <c r="AC630" i="147"/>
  <c r="AP567" i="147"/>
  <c r="AP630" i="147"/>
  <c r="BB567" i="147"/>
  <c r="BB630" i="147"/>
  <c r="BQ567" i="147"/>
  <c r="BQ630" i="147"/>
  <c r="CC567" i="147"/>
  <c r="CC630" i="147"/>
  <c r="CO567" i="147"/>
  <c r="CO630" i="147"/>
  <c r="DA567" i="147"/>
  <c r="DA630" i="147"/>
  <c r="DM567" i="147"/>
  <c r="DM630" i="147"/>
  <c r="DZ567" i="147"/>
  <c r="DZ630" i="147"/>
  <c r="EM567" i="147"/>
  <c r="EM630" i="147"/>
  <c r="B539" i="147"/>
  <c r="B622" i="147"/>
  <c r="CZ1131" i="489"/>
  <c r="EY275" i="147"/>
  <c r="BS1097" i="489"/>
  <c r="BS146" i="489"/>
  <c r="N567" i="147"/>
  <c r="N630" i="147"/>
  <c r="AD567" i="147"/>
  <c r="AD630" i="147"/>
  <c r="BC567" i="147"/>
  <c r="BC630" i="147"/>
  <c r="CD567" i="147"/>
  <c r="CD630" i="147"/>
  <c r="CP567" i="147"/>
  <c r="CP630" i="147"/>
  <c r="DB567" i="147"/>
  <c r="DB630" i="147"/>
  <c r="EA567" i="147"/>
  <c r="EA630" i="147"/>
  <c r="EN567" i="147"/>
  <c r="EN630" i="147"/>
  <c r="Z661" i="147"/>
  <c r="CE683" i="147"/>
  <c r="O567" i="147"/>
  <c r="O630" i="147"/>
  <c r="BD567" i="147"/>
  <c r="BD630" i="147"/>
  <c r="CE567" i="147"/>
  <c r="CE630" i="147"/>
  <c r="CQ567" i="147"/>
  <c r="CQ630" i="147"/>
  <c r="DO567" i="147"/>
  <c r="DO630" i="147"/>
  <c r="EC567" i="147"/>
  <c r="EC630" i="147"/>
  <c r="EO567" i="147"/>
  <c r="EO630" i="147"/>
  <c r="J987" i="489"/>
  <c r="J26" i="489"/>
  <c r="CO661" i="147"/>
  <c r="CL1097" i="489"/>
  <c r="CL146" i="489"/>
  <c r="P567" i="147"/>
  <c r="P630" i="147"/>
  <c r="AS567" i="147"/>
  <c r="AS630" i="147"/>
  <c r="BE567" i="147"/>
  <c r="BE630" i="147"/>
  <c r="CR567" i="147"/>
  <c r="CR630" i="147"/>
  <c r="DD567" i="147"/>
  <c r="DD630" i="147"/>
  <c r="DP567" i="147"/>
  <c r="DP630" i="147"/>
  <c r="ED567" i="147"/>
  <c r="ED630" i="147"/>
  <c r="EP567" i="147"/>
  <c r="EP630" i="147"/>
  <c r="AK987" i="489"/>
  <c r="AK26" i="489"/>
  <c r="CW683" i="147"/>
  <c r="AT567" i="147"/>
  <c r="AT630" i="147"/>
  <c r="BI567" i="147"/>
  <c r="BI630" i="147"/>
  <c r="BU567" i="147"/>
  <c r="BU630" i="147"/>
  <c r="CS567" i="147"/>
  <c r="CS630" i="147"/>
  <c r="DE567" i="147"/>
  <c r="DE630" i="147"/>
  <c r="DQ567" i="147"/>
  <c r="DQ630" i="147"/>
  <c r="EE567" i="147"/>
  <c r="EE630" i="147"/>
  <c r="EQ567" i="147"/>
  <c r="EQ630" i="147"/>
  <c r="AQ987" i="489"/>
  <c r="AQ26" i="489"/>
  <c r="CZ683" i="147"/>
  <c r="R567" i="147"/>
  <c r="R630" i="147"/>
  <c r="AU567" i="147"/>
  <c r="AU630" i="147"/>
  <c r="BJ567" i="147"/>
  <c r="BJ630" i="147"/>
  <c r="BV567" i="147"/>
  <c r="BV630" i="147"/>
  <c r="CH567" i="147"/>
  <c r="CH630" i="147"/>
  <c r="CT567" i="147"/>
  <c r="CT630" i="147"/>
  <c r="DF567" i="147"/>
  <c r="DF630" i="147"/>
  <c r="DR567" i="147"/>
  <c r="DR630" i="147"/>
  <c r="EF567" i="147"/>
  <c r="EF630" i="147"/>
  <c r="ER567" i="147"/>
  <c r="ER630" i="147"/>
  <c r="CB539" i="147"/>
  <c r="U1045" i="489"/>
  <c r="S567" i="147"/>
  <c r="S630" i="147"/>
  <c r="AV567" i="147"/>
  <c r="AV630" i="147"/>
  <c r="BW567" i="147"/>
  <c r="BW630" i="147"/>
  <c r="CI567" i="147"/>
  <c r="CI630" i="147"/>
  <c r="CU567" i="147"/>
  <c r="CU630" i="147"/>
  <c r="DG567" i="147"/>
  <c r="DG630" i="147"/>
  <c r="DS567" i="147"/>
  <c r="DS630" i="147"/>
  <c r="EG567" i="147"/>
  <c r="EG630" i="147"/>
  <c r="ES567" i="147"/>
  <c r="ES630" i="147"/>
  <c r="CF539" i="147"/>
  <c r="B660" i="147"/>
  <c r="CN1045" i="489"/>
  <c r="T567" i="147"/>
  <c r="T630" i="147"/>
  <c r="AW567" i="147"/>
  <c r="AW630" i="147"/>
  <c r="BL567" i="147"/>
  <c r="BL630" i="147"/>
  <c r="BX567" i="147"/>
  <c r="BX630" i="147"/>
  <c r="CJ567" i="147"/>
  <c r="CJ630" i="147"/>
  <c r="CV567" i="147"/>
  <c r="CV630" i="147"/>
  <c r="DH567" i="147"/>
  <c r="DH630" i="147"/>
  <c r="DT567" i="147"/>
  <c r="DT630" i="147"/>
  <c r="EH567" i="147"/>
  <c r="EH630" i="147"/>
  <c r="ET567" i="147"/>
  <c r="ET630" i="147"/>
  <c r="DC987" i="489"/>
  <c r="V567" i="147"/>
  <c r="V630" i="147"/>
  <c r="AL567" i="147"/>
  <c r="AL630" i="147"/>
  <c r="BY567" i="147"/>
  <c r="BY630" i="147"/>
  <c r="CK567" i="147"/>
  <c r="CK630" i="147"/>
  <c r="CW567" i="147"/>
  <c r="CW630" i="147"/>
  <c r="DI567" i="147"/>
  <c r="DI630" i="147"/>
  <c r="DU567" i="147"/>
  <c r="DU630" i="147"/>
  <c r="EI567" i="147"/>
  <c r="EI630" i="147"/>
  <c r="EU567" i="147"/>
  <c r="EU630" i="147"/>
  <c r="U660" i="147"/>
  <c r="X567" i="147"/>
  <c r="X630" i="147"/>
  <c r="AM567" i="147"/>
  <c r="AM630" i="147"/>
  <c r="BZ567" i="147"/>
  <c r="BZ630" i="147"/>
  <c r="CL567" i="147"/>
  <c r="CL630" i="147"/>
  <c r="CX567" i="147"/>
  <c r="CX630" i="147"/>
  <c r="DJ567" i="147"/>
  <c r="DJ630" i="147"/>
  <c r="DV567" i="147"/>
  <c r="DV630" i="147"/>
  <c r="EJ567" i="147"/>
  <c r="EJ630" i="147"/>
  <c r="CO660" i="147"/>
  <c r="K567" i="147"/>
  <c r="K630" i="147"/>
  <c r="Y567" i="147"/>
  <c r="Y630" i="147"/>
  <c r="AZ567" i="147"/>
  <c r="AZ630" i="147"/>
  <c r="BO567" i="147"/>
  <c r="BO630" i="147"/>
  <c r="CM567" i="147"/>
  <c r="CM630" i="147"/>
  <c r="CY567" i="147"/>
  <c r="CY630" i="147"/>
  <c r="DK567" i="147"/>
  <c r="DK630" i="147"/>
  <c r="DW567" i="147"/>
  <c r="DW630" i="147"/>
  <c r="EK567" i="147"/>
  <c r="EK630" i="147"/>
  <c r="CZ660" i="147"/>
  <c r="B683" i="147"/>
  <c r="Z567" i="147"/>
  <c r="Z630" i="147"/>
  <c r="BA567" i="147"/>
  <c r="BA630" i="147"/>
  <c r="BP567" i="147"/>
  <c r="BP630" i="147"/>
  <c r="CN567" i="147"/>
  <c r="CN630" i="147"/>
  <c r="DY567" i="147"/>
  <c r="DY630" i="147"/>
  <c r="EL567" i="147"/>
  <c r="EL630" i="147"/>
  <c r="BK567" i="147"/>
  <c r="BK630" i="147"/>
  <c r="EX567" i="147"/>
  <c r="EX630" i="147"/>
  <c r="EW567" i="147"/>
  <c r="EW630" i="147"/>
  <c r="EV567" i="147"/>
  <c r="EV630" i="147"/>
  <c r="DN567" i="147"/>
  <c r="DN630" i="147"/>
  <c r="DL567" i="147"/>
  <c r="DL630" i="147"/>
  <c r="DC567" i="147"/>
  <c r="DC630" i="147"/>
  <c r="CZ567" i="147"/>
  <c r="CZ630" i="147"/>
  <c r="CF567" i="147"/>
  <c r="CF630" i="147"/>
  <c r="CB567" i="147"/>
  <c r="CB630" i="147"/>
  <c r="CA567" i="147"/>
  <c r="CA630" i="147"/>
  <c r="BT567" i="147"/>
  <c r="BT630" i="147"/>
  <c r="BS567" i="147"/>
  <c r="BS630" i="147"/>
  <c r="AJ567" i="147"/>
  <c r="AJ630" i="147"/>
  <c r="AO567" i="147"/>
  <c r="AO630" i="147"/>
  <c r="AK567" i="147"/>
  <c r="AK630" i="147"/>
  <c r="AY567" i="147"/>
  <c r="AY630" i="147"/>
  <c r="AX567" i="147"/>
  <c r="AX630" i="147"/>
  <c r="AR567" i="147"/>
  <c r="AR630" i="147"/>
  <c r="AQ448" i="147"/>
  <c r="AQ559" i="147"/>
  <c r="AQ567" i="147"/>
  <c r="AQ630" i="147"/>
  <c r="AI567" i="147"/>
  <c r="AI630" i="147"/>
  <c r="AH567" i="147"/>
  <c r="AH630" i="147"/>
  <c r="AG567" i="147"/>
  <c r="AG630" i="147"/>
  <c r="AF567" i="147"/>
  <c r="AF630" i="147"/>
  <c r="Q567" i="147"/>
  <c r="Q630" i="147"/>
  <c r="L567" i="147"/>
  <c r="L630" i="147"/>
  <c r="J567" i="147"/>
  <c r="J630" i="147"/>
  <c r="AN567" i="147"/>
  <c r="AN630" i="147"/>
  <c r="BM567" i="147"/>
  <c r="BM630" i="147"/>
  <c r="BR567" i="147"/>
  <c r="BR630" i="147"/>
  <c r="BN567" i="147"/>
  <c r="BN630" i="147"/>
  <c r="AQ423" i="147"/>
  <c r="AQ430" i="147"/>
  <c r="AQ434" i="147"/>
  <c r="AQ443" i="147"/>
  <c r="AQ449" i="147"/>
  <c r="AQ540" i="147"/>
  <c r="AQ584" i="147"/>
  <c r="AQ401" i="147"/>
  <c r="AQ410" i="147"/>
  <c r="AQ455" i="147"/>
  <c r="AQ461" i="147"/>
  <c r="AQ465" i="147"/>
  <c r="AQ537" i="147"/>
  <c r="AQ583" i="147"/>
  <c r="BR652" i="147"/>
  <c r="CD496" i="147"/>
  <c r="CP381" i="147"/>
  <c r="BC396" i="147"/>
  <c r="BR410" i="147"/>
  <c r="AQ427" i="147"/>
  <c r="AQ428" i="147"/>
  <c r="AQ441" i="147"/>
  <c r="AQ539" i="147"/>
  <c r="AQ558" i="147"/>
  <c r="CP382" i="147"/>
  <c r="BC398" i="147"/>
  <c r="DN449" i="147"/>
  <c r="AQ460" i="147"/>
  <c r="AQ464" i="147"/>
  <c r="N550" i="147"/>
  <c r="AQ552" i="147"/>
  <c r="AQ446" i="147"/>
  <c r="AQ451" i="147"/>
  <c r="AQ457" i="147"/>
  <c r="AQ480" i="147"/>
  <c r="AQ532" i="147"/>
  <c r="AQ533" i="147"/>
  <c r="AQ534" i="147"/>
  <c r="AQ551" i="147"/>
  <c r="AQ581" i="147"/>
  <c r="AQ400" i="147"/>
  <c r="BR409" i="147"/>
  <c r="AQ411" i="147"/>
  <c r="AQ439" i="147"/>
  <c r="AQ543" i="147"/>
  <c r="AQ553" i="147"/>
  <c r="AQ576" i="147"/>
  <c r="AQ577" i="147"/>
  <c r="AQ414" i="147"/>
  <c r="AQ438" i="147"/>
  <c r="AQ445" i="147"/>
  <c r="AQ463" i="147"/>
  <c r="AQ605" i="147"/>
  <c r="AD670" i="147"/>
  <c r="AQ437" i="147"/>
  <c r="AQ484" i="147"/>
  <c r="AQ485" i="147"/>
  <c r="AQ520" i="147"/>
  <c r="AQ542" i="147"/>
  <c r="AQ436" i="147"/>
  <c r="AQ444" i="147"/>
  <c r="AQ453" i="147"/>
  <c r="N381" i="147"/>
  <c r="AQ397" i="147"/>
  <c r="AQ435" i="147"/>
  <c r="AQ462" i="147"/>
  <c r="AQ594" i="147"/>
  <c r="M23" i="105"/>
  <c r="AK620" i="147"/>
  <c r="EV1223" i="489"/>
  <c r="AK692" i="147"/>
  <c r="EW1224" i="489"/>
  <c r="DC1139" i="489"/>
  <c r="CG519" i="147"/>
  <c r="CG567" i="147"/>
  <c r="B615" i="147"/>
  <c r="B248" i="93"/>
  <c r="B1216" i="489"/>
  <c r="B141" i="93"/>
  <c r="CF588" i="147"/>
  <c r="C141" i="93"/>
  <c r="DD588" i="147"/>
  <c r="V1139" i="489"/>
  <c r="BT1139" i="489"/>
  <c r="B566" i="147"/>
  <c r="C172" i="93"/>
  <c r="C1140" i="489"/>
  <c r="BR1140" i="489"/>
  <c r="B159" i="93"/>
  <c r="CQ1140" i="489"/>
  <c r="C159" i="93"/>
  <c r="DC1126" i="489"/>
  <c r="CZ1140" i="489"/>
  <c r="P588" i="147"/>
  <c r="U588" i="147"/>
  <c r="C242" i="93"/>
  <c r="CF1041" i="489"/>
  <c r="CF86" i="489"/>
  <c r="CB86" i="489"/>
  <c r="CB1041" i="489"/>
  <c r="C158" i="93"/>
  <c r="B561" i="147"/>
  <c r="B29" i="93"/>
  <c r="V561" i="147"/>
  <c r="CF561" i="147"/>
  <c r="DD561" i="147"/>
  <c r="U561" i="147"/>
  <c r="B588" i="147"/>
  <c r="B90" i="93"/>
  <c r="B1058" i="489"/>
  <c r="C157" i="93"/>
  <c r="BM96" i="489"/>
  <c r="BM1058" i="489"/>
  <c r="BM1060" i="489" s="1"/>
  <c r="EY94" i="489"/>
  <c r="C23" i="93"/>
  <c r="C286" i="93"/>
  <c r="C271" i="93"/>
  <c r="C56" i="93"/>
  <c r="BN1254" i="489"/>
  <c r="BN1256" i="489" s="1"/>
  <c r="BN306" i="489"/>
  <c r="C186" i="93"/>
  <c r="C74" i="93"/>
  <c r="C255" i="93"/>
  <c r="C224" i="93"/>
  <c r="DC540" i="147"/>
  <c r="BS547" i="147"/>
  <c r="DC548" i="147"/>
  <c r="CQ652" i="147"/>
  <c r="BS668" i="147"/>
  <c r="BS672" i="147"/>
  <c r="DC565" i="147"/>
  <c r="BS570" i="147"/>
  <c r="BS590" i="147"/>
  <c r="DC669" i="147"/>
  <c r="DC673" i="147"/>
  <c r="BS690" i="147"/>
  <c r="BS556" i="147"/>
  <c r="BS557" i="147"/>
  <c r="DC559" i="147"/>
  <c r="DC592" i="147"/>
  <c r="BS610" i="147"/>
  <c r="BS612" i="147"/>
  <c r="BS614" i="147"/>
  <c r="BS675" i="147"/>
  <c r="DC676" i="147"/>
  <c r="BS682" i="147"/>
  <c r="BS685" i="147"/>
  <c r="BS695" i="147"/>
  <c r="DC547" i="147"/>
  <c r="DC590" i="147"/>
  <c r="BS591" i="147"/>
  <c r="AF605" i="147"/>
  <c r="DC608" i="147"/>
  <c r="BS617" i="147"/>
  <c r="BS620" i="147"/>
  <c r="BS671" i="147"/>
  <c r="DC672" i="147"/>
  <c r="CE675" i="147"/>
  <c r="AF679" i="147"/>
  <c r="CE682" i="147"/>
  <c r="DC683" i="147"/>
  <c r="CE685" i="147"/>
  <c r="DC686" i="147"/>
  <c r="BS688" i="147"/>
  <c r="DC693" i="147"/>
  <c r="DC539" i="147"/>
  <c r="DC546" i="147"/>
  <c r="BS552" i="147"/>
  <c r="DC570" i="147"/>
  <c r="DC587" i="147"/>
  <c r="DC610" i="147"/>
  <c r="DC612" i="147"/>
  <c r="DC614" i="147"/>
  <c r="BS667" i="147"/>
  <c r="DC668" i="147"/>
  <c r="CE688" i="147"/>
  <c r="BS543" i="147"/>
  <c r="BS551" i="147"/>
  <c r="DC556" i="147"/>
  <c r="DC557" i="147"/>
  <c r="DC558" i="147"/>
  <c r="DC591" i="147"/>
  <c r="BS606" i="147"/>
  <c r="DC617" i="147"/>
  <c r="DC620" i="147"/>
  <c r="BS678" i="147"/>
  <c r="BS681" i="147"/>
  <c r="BS553" i="147"/>
  <c r="DC555" i="147"/>
  <c r="BS576" i="147"/>
  <c r="BS577" i="147"/>
  <c r="DC581" i="147"/>
  <c r="DC586" i="147"/>
  <c r="BS605" i="147"/>
  <c r="BS670" i="147"/>
  <c r="DC675" i="147"/>
  <c r="BS677" i="147"/>
  <c r="CE678" i="147"/>
  <c r="BS679" i="147"/>
  <c r="BS680" i="147"/>
  <c r="CE681" i="147"/>
  <c r="BS684" i="147"/>
  <c r="BS687" i="147"/>
  <c r="DC690" i="147"/>
  <c r="BS692" i="147"/>
  <c r="DC552" i="147"/>
  <c r="DC561" i="147"/>
  <c r="CQ605" i="147"/>
  <c r="BS618" i="147"/>
  <c r="DC667" i="147"/>
  <c r="DC671" i="147"/>
  <c r="CE677" i="147"/>
  <c r="CE679" i="147"/>
  <c r="CE680" i="147"/>
  <c r="DC682" i="147"/>
  <c r="CE684" i="147"/>
  <c r="DC685" i="147"/>
  <c r="CE687" i="147"/>
  <c r="BS542" i="147"/>
  <c r="DC543" i="147"/>
  <c r="BS550" i="147"/>
  <c r="DC551" i="147"/>
  <c r="DC554" i="147"/>
  <c r="DC606" i="147"/>
  <c r="BS609" i="147"/>
  <c r="BS611" i="147"/>
  <c r="BS613" i="147"/>
  <c r="BS669" i="147"/>
  <c r="BS673" i="147"/>
  <c r="DC688" i="147"/>
  <c r="DC692" i="147"/>
  <c r="BS541" i="147"/>
  <c r="DC550" i="147"/>
  <c r="DC553" i="147"/>
  <c r="DC576" i="147"/>
  <c r="DC577" i="147"/>
  <c r="BS666" i="147"/>
  <c r="DC694" i="147"/>
  <c r="DC542" i="147"/>
  <c r="DC549" i="147"/>
  <c r="AF572" i="147"/>
  <c r="DC585" i="147"/>
  <c r="DC594" i="147"/>
  <c r="DC605" i="147"/>
  <c r="DC609" i="147"/>
  <c r="DC611" i="147"/>
  <c r="DC613" i="147"/>
  <c r="DC666" i="147"/>
  <c r="DC670" i="147"/>
  <c r="BS676" i="147"/>
  <c r="DC677" i="147"/>
  <c r="DC678" i="147"/>
  <c r="DC681" i="147"/>
  <c r="BS683" i="147"/>
  <c r="BS686" i="147"/>
  <c r="V383" i="147"/>
  <c r="CQ404" i="147"/>
  <c r="DC426" i="147"/>
  <c r="DC440" i="147"/>
  <c r="B501" i="147"/>
  <c r="B518" i="147"/>
  <c r="CF568" i="147"/>
  <c r="V603" i="147"/>
  <c r="BR642" i="147"/>
  <c r="CQ653" i="147"/>
  <c r="CZ662" i="147"/>
  <c r="X1239" i="489"/>
  <c r="X1246" i="489" s="1"/>
  <c r="X1263" i="489" s="1"/>
  <c r="B705" i="147"/>
  <c r="CZ404" i="147"/>
  <c r="AX408" i="147"/>
  <c r="DM440" i="147"/>
  <c r="AQ450" i="147"/>
  <c r="N538" i="147"/>
  <c r="CQ642" i="147"/>
  <c r="CQ651" i="147"/>
  <c r="CR653" i="147"/>
  <c r="B656" i="147"/>
  <c r="AE674" i="147"/>
  <c r="DC404" i="147"/>
  <c r="BR408" i="147"/>
  <c r="B447" i="147"/>
  <c r="U501" i="147"/>
  <c r="V518" i="147"/>
  <c r="V538" i="147"/>
  <c r="B640" i="147"/>
  <c r="CZ642" i="147"/>
  <c r="CZ651" i="147"/>
  <c r="CZ653" i="147"/>
  <c r="BS674" i="147"/>
  <c r="B706" i="147"/>
  <c r="B171" i="489"/>
  <c r="B51" i="489"/>
  <c r="L21" i="101"/>
  <c r="L20" i="101"/>
  <c r="L19" i="101"/>
  <c r="L22" i="101"/>
  <c r="CF408" i="147"/>
  <c r="B426" i="147"/>
  <c r="B148" i="489"/>
  <c r="B440" i="147"/>
  <c r="B458" i="147"/>
  <c r="V501" i="147"/>
  <c r="CG518" i="147"/>
  <c r="DC538" i="147"/>
  <c r="B582" i="147"/>
  <c r="B597" i="147"/>
  <c r="DS1083" i="489"/>
  <c r="DS1088" i="489" s="1"/>
  <c r="CZ656" i="147"/>
  <c r="CF674" i="147"/>
  <c r="L20" i="133"/>
  <c r="L21" i="133"/>
  <c r="L19" i="133"/>
  <c r="L20" i="99"/>
  <c r="L21" i="99"/>
  <c r="L22" i="99"/>
  <c r="L23" i="99"/>
  <c r="L19" i="99"/>
  <c r="L21" i="105"/>
  <c r="L22" i="105"/>
  <c r="L23" i="105"/>
  <c r="L19" i="105"/>
  <c r="L20" i="105"/>
  <c r="DU408" i="147"/>
  <c r="CS450" i="147"/>
  <c r="CA501" i="147"/>
  <c r="B658" i="147"/>
  <c r="CL1239" i="489"/>
  <c r="CL1246" i="489" s="1"/>
  <c r="CL1263" i="489" s="1"/>
  <c r="AL415" i="147"/>
  <c r="V426" i="147"/>
  <c r="Y440" i="147"/>
  <c r="CZ501" i="147"/>
  <c r="B562" i="147"/>
  <c r="L582" i="147"/>
  <c r="V597" i="147"/>
  <c r="CZ640" i="147"/>
  <c r="BB645" i="147"/>
  <c r="CZ674" i="147"/>
  <c r="B407" i="147"/>
  <c r="Y426" i="147"/>
  <c r="AF440" i="147"/>
  <c r="CA597" i="147"/>
  <c r="B627" i="147"/>
  <c r="B633" i="147"/>
  <c r="BR645" i="147"/>
  <c r="CZ658" i="147"/>
  <c r="DC674" i="147"/>
  <c r="B702" i="147"/>
  <c r="B170" i="489"/>
  <c r="DC230" i="147"/>
  <c r="EY230" i="147" s="1"/>
  <c r="DC149" i="147"/>
  <c r="EY149" i="147" s="1"/>
  <c r="B404" i="147"/>
  <c r="B521" i="147"/>
  <c r="J1126" i="489"/>
  <c r="J1134" i="489" s="1"/>
  <c r="J1151" i="489" s="1"/>
  <c r="B568" i="147"/>
  <c r="AQ582" i="147"/>
  <c r="B595" i="147"/>
  <c r="B598" i="147"/>
  <c r="CQ645" i="147"/>
  <c r="L20" i="132"/>
  <c r="L19" i="132"/>
  <c r="L23" i="132"/>
  <c r="L22" i="132"/>
  <c r="L21" i="132"/>
  <c r="AX407" i="147"/>
  <c r="B422" i="147"/>
  <c r="B208" i="489"/>
  <c r="B486" i="147"/>
  <c r="U562" i="147"/>
  <c r="CB582" i="147"/>
  <c r="BR627" i="147"/>
  <c r="BM633" i="147"/>
  <c r="CZ645" i="147"/>
  <c r="B662" i="147"/>
  <c r="B703" i="147"/>
  <c r="M23" i="99"/>
  <c r="AF404" i="147"/>
  <c r="CF407" i="147"/>
  <c r="CB432" i="147"/>
  <c r="AQ440" i="147"/>
  <c r="AE521" i="147"/>
  <c r="CF562" i="147"/>
  <c r="J1210" i="489"/>
  <c r="V598" i="147"/>
  <c r="B629" i="147"/>
  <c r="C991" i="489"/>
  <c r="B674" i="147"/>
  <c r="B383" i="147"/>
  <c r="AQ404" i="147"/>
  <c r="B408" i="147"/>
  <c r="AQ426" i="147"/>
  <c r="CF440" i="147"/>
  <c r="V486" i="147"/>
  <c r="DC521" i="147"/>
  <c r="DD562" i="147"/>
  <c r="AU1210" i="489"/>
  <c r="CB598" i="147"/>
  <c r="B642" i="147"/>
  <c r="B61" i="489"/>
  <c r="B653" i="147"/>
  <c r="U662" i="147"/>
  <c r="CF404" i="147"/>
  <c r="AX426" i="147"/>
  <c r="B538" i="147"/>
  <c r="EV1126" i="489"/>
  <c r="CB568" i="147"/>
  <c r="B600" i="147"/>
  <c r="U603" i="147"/>
  <c r="B651" i="147"/>
  <c r="CN662" i="147"/>
  <c r="U674" i="147"/>
  <c r="L21" i="333"/>
  <c r="L20" i="333"/>
  <c r="L19" i="333"/>
  <c r="L22" i="333"/>
  <c r="CZ279" i="147"/>
  <c r="CZ649" i="147" s="1"/>
  <c r="DT279" i="147"/>
  <c r="DT649" i="147" s="1"/>
  <c r="M22" i="209"/>
  <c r="L22" i="209"/>
  <c r="M21" i="209"/>
  <c r="L21" i="209"/>
  <c r="L20" i="209"/>
  <c r="L19" i="209"/>
  <c r="G823" i="489"/>
  <c r="F823" i="489"/>
  <c r="G838" i="489"/>
  <c r="F838" i="489"/>
  <c r="G856" i="489"/>
  <c r="F856" i="489"/>
  <c r="G869" i="489"/>
  <c r="F869" i="489"/>
  <c r="G888" i="489"/>
  <c r="F888" i="489"/>
  <c r="G824" i="489"/>
  <c r="F824" i="489"/>
  <c r="G857" i="489"/>
  <c r="F857" i="489"/>
  <c r="F889" i="489"/>
  <c r="G889" i="489"/>
  <c r="G825" i="489"/>
  <c r="F825" i="489"/>
  <c r="G841" i="489"/>
  <c r="F841" i="489"/>
  <c r="G858" i="489"/>
  <c r="F858" i="489"/>
  <c r="G871" i="489"/>
  <c r="F871" i="489"/>
  <c r="G890" i="489"/>
  <c r="F890" i="489"/>
  <c r="G827" i="489"/>
  <c r="F827" i="489"/>
  <c r="G842" i="489"/>
  <c r="F842" i="489"/>
  <c r="G859" i="489"/>
  <c r="F859" i="489"/>
  <c r="G875" i="489"/>
  <c r="F875" i="489"/>
  <c r="G828" i="489"/>
  <c r="F828" i="489"/>
  <c r="G847" i="489"/>
  <c r="F847" i="489"/>
  <c r="G860" i="489"/>
  <c r="F860" i="489"/>
  <c r="G876" i="489"/>
  <c r="F876" i="489"/>
  <c r="G829" i="489"/>
  <c r="F829" i="489"/>
  <c r="G848" i="489"/>
  <c r="F848" i="489"/>
  <c r="G862" i="489"/>
  <c r="F862" i="489"/>
  <c r="F877" i="489"/>
  <c r="G877" i="489"/>
  <c r="G830" i="489"/>
  <c r="F830" i="489"/>
  <c r="G849" i="489"/>
  <c r="F849" i="489"/>
  <c r="G863" i="489"/>
  <c r="F863" i="489"/>
  <c r="G878" i="489"/>
  <c r="F878" i="489"/>
  <c r="F840" i="489"/>
  <c r="G850" i="489"/>
  <c r="F850" i="489"/>
  <c r="G864" i="489"/>
  <c r="F864" i="489"/>
  <c r="G852" i="489"/>
  <c r="F852" i="489"/>
  <c r="G865" i="489"/>
  <c r="F865" i="489"/>
  <c r="G880" i="489"/>
  <c r="F880" i="489"/>
  <c r="G835" i="489"/>
  <c r="F835" i="489"/>
  <c r="F853" i="489"/>
  <c r="G853" i="489"/>
  <c r="G866" i="489"/>
  <c r="F866" i="489"/>
  <c r="G881" i="489"/>
  <c r="F881" i="489"/>
  <c r="G836" i="489"/>
  <c r="F836" i="489"/>
  <c r="G854" i="489"/>
  <c r="F854" i="489"/>
  <c r="G867" i="489"/>
  <c r="F867" i="489"/>
  <c r="G882" i="489"/>
  <c r="F882" i="489"/>
  <c r="G822" i="489"/>
  <c r="F822" i="489"/>
  <c r="G837" i="489"/>
  <c r="F837" i="489"/>
  <c r="G855" i="489"/>
  <c r="F855" i="489"/>
  <c r="G868" i="489"/>
  <c r="F868" i="489"/>
  <c r="G883" i="489"/>
  <c r="F883" i="489"/>
  <c r="C930" i="489"/>
  <c r="C942" i="489"/>
  <c r="C971" i="489"/>
  <c r="C898" i="489"/>
  <c r="AJ410" i="147"/>
  <c r="AH426" i="147"/>
  <c r="AT427" i="147"/>
  <c r="AT428" i="147"/>
  <c r="AH440" i="147"/>
  <c r="AH446" i="147"/>
  <c r="AH475" i="147"/>
  <c r="CI526" i="147"/>
  <c r="Q531" i="147"/>
  <c r="CS555" i="147"/>
  <c r="CS591" i="147"/>
  <c r="CI690" i="147"/>
  <c r="AH438" i="147"/>
  <c r="AH445" i="147"/>
  <c r="AH477" i="147"/>
  <c r="CS485" i="147"/>
  <c r="CS532" i="147"/>
  <c r="CS533" i="147"/>
  <c r="CS534" i="147"/>
  <c r="CS543" i="147"/>
  <c r="CS551" i="147"/>
  <c r="CS554" i="147"/>
  <c r="AH584" i="147"/>
  <c r="CS617" i="147"/>
  <c r="CS620" i="147"/>
  <c r="CS610" i="147"/>
  <c r="AH400" i="147"/>
  <c r="AH431" i="147"/>
  <c r="AH437" i="147"/>
  <c r="CS441" i="147"/>
  <c r="AH451" i="147"/>
  <c r="Q454" i="147"/>
  <c r="CS455" i="147"/>
  <c r="AH480" i="147"/>
  <c r="CI514" i="147"/>
  <c r="CG520" i="147"/>
  <c r="AT531" i="147"/>
  <c r="CS553" i="147"/>
  <c r="AT573" i="147"/>
  <c r="CI667" i="147"/>
  <c r="AH423" i="147"/>
  <c r="AH436" i="147"/>
  <c r="AH444" i="147"/>
  <c r="Q453" i="147"/>
  <c r="CS461" i="147"/>
  <c r="CS465" i="147"/>
  <c r="AH482" i="147"/>
  <c r="CS531" i="147"/>
  <c r="CS542" i="147"/>
  <c r="CS549" i="147"/>
  <c r="CS576" i="147"/>
  <c r="CS577" i="147"/>
  <c r="AH583" i="147"/>
  <c r="AH603" i="147"/>
  <c r="CS606" i="147"/>
  <c r="AH694" i="147"/>
  <c r="CS612" i="147"/>
  <c r="AH430" i="147"/>
  <c r="AH435" i="147"/>
  <c r="CS446" i="147"/>
  <c r="CI513" i="147"/>
  <c r="Q536" i="147"/>
  <c r="CS541" i="147"/>
  <c r="AT575" i="147"/>
  <c r="CS585" i="147"/>
  <c r="CI681" i="147"/>
  <c r="AH402" i="147"/>
  <c r="AH434" i="147"/>
  <c r="CS439" i="147"/>
  <c r="AH443" i="147"/>
  <c r="CS451" i="147"/>
  <c r="AH453" i="147"/>
  <c r="CG457" i="147"/>
  <c r="CS548" i="147"/>
  <c r="AT584" i="147"/>
  <c r="CS605" i="147"/>
  <c r="DE651" i="147"/>
  <c r="DS653" i="147"/>
  <c r="AT423" i="147"/>
  <c r="CS438" i="147"/>
  <c r="BW444" i="147"/>
  <c r="CS445" i="147"/>
  <c r="AH449" i="147"/>
  <c r="CS457" i="147"/>
  <c r="CS460" i="147"/>
  <c r="CS464" i="147"/>
  <c r="BU500" i="147"/>
  <c r="BW504" i="147"/>
  <c r="BU511" i="147"/>
  <c r="AH604" i="147"/>
  <c r="CS609" i="147"/>
  <c r="CS611" i="147"/>
  <c r="CS613" i="147"/>
  <c r="BI638" i="147"/>
  <c r="AH414" i="147"/>
  <c r="AH421" i="147"/>
  <c r="AH429" i="147"/>
  <c r="BW435" i="147"/>
  <c r="CS437" i="147"/>
  <c r="AH474" i="147"/>
  <c r="AH476" i="147"/>
  <c r="CS480" i="147"/>
  <c r="CS482" i="147"/>
  <c r="CG516" i="147"/>
  <c r="Q532" i="147"/>
  <c r="S534" i="147"/>
  <c r="Q535" i="147"/>
  <c r="AH553" i="147"/>
  <c r="CS559" i="147"/>
  <c r="CS565" i="147"/>
  <c r="AT583" i="147"/>
  <c r="CS607" i="147"/>
  <c r="AJ658" i="147"/>
  <c r="AT424" i="147"/>
  <c r="AH428" i="147"/>
  <c r="CS436" i="147"/>
  <c r="CS444" i="147"/>
  <c r="CI511" i="147"/>
  <c r="CS537" i="147"/>
  <c r="CS547" i="147"/>
  <c r="AH554" i="147"/>
  <c r="CS614" i="147"/>
  <c r="AH678" i="147"/>
  <c r="AH425" i="147"/>
  <c r="AV429" i="147"/>
  <c r="CS435" i="147"/>
  <c r="AH441" i="147"/>
  <c r="AT449" i="147"/>
  <c r="CS453" i="147"/>
  <c r="AH455" i="147"/>
  <c r="CS463" i="147"/>
  <c r="CG466" i="147"/>
  <c r="BU472" i="147"/>
  <c r="CS536" i="147"/>
  <c r="CS546" i="147"/>
  <c r="AT574" i="147"/>
  <c r="AH576" i="147"/>
  <c r="AH577" i="147"/>
  <c r="CS590" i="147"/>
  <c r="CL382" i="147"/>
  <c r="J452" i="147"/>
  <c r="J549" i="147"/>
  <c r="J561" i="147"/>
  <c r="EV565" i="147"/>
  <c r="EV592" i="147"/>
  <c r="CL672" i="147"/>
  <c r="CL686" i="147"/>
  <c r="DV415" i="147"/>
  <c r="J545" i="147"/>
  <c r="EV562" i="147"/>
  <c r="EV590" i="147"/>
  <c r="X667" i="147"/>
  <c r="CL668" i="147"/>
  <c r="J680" i="147"/>
  <c r="EV380" i="147"/>
  <c r="J548" i="147"/>
  <c r="J565" i="147"/>
  <c r="X681" i="147"/>
  <c r="X507" i="147"/>
  <c r="X525" i="147"/>
  <c r="J537" i="147"/>
  <c r="J540" i="147"/>
  <c r="J547" i="147"/>
  <c r="J566" i="147"/>
  <c r="EV570" i="147"/>
  <c r="EV587" i="147"/>
  <c r="EV591" i="147"/>
  <c r="BN629" i="147"/>
  <c r="CL675" i="147"/>
  <c r="CL682" i="147"/>
  <c r="J692" i="147"/>
  <c r="X530" i="147"/>
  <c r="J559" i="147"/>
  <c r="J564" i="147"/>
  <c r="CL671" i="147"/>
  <c r="X674" i="147"/>
  <c r="CL685" i="147"/>
  <c r="CL688" i="147"/>
  <c r="EV561" i="147"/>
  <c r="J572" i="147"/>
  <c r="X510" i="147"/>
  <c r="J539" i="147"/>
  <c r="J544" i="147"/>
  <c r="J546" i="147"/>
  <c r="J553" i="147"/>
  <c r="CL670" i="147"/>
  <c r="CL677" i="147"/>
  <c r="CL678" i="147"/>
  <c r="CL681" i="147"/>
  <c r="CL687" i="147"/>
  <c r="X526" i="147"/>
  <c r="X528" i="147"/>
  <c r="J551" i="147"/>
  <c r="J552" i="147"/>
  <c r="EV566" i="147"/>
  <c r="EV594" i="147"/>
  <c r="CL674" i="147"/>
  <c r="CL679" i="147"/>
  <c r="CL680" i="147"/>
  <c r="CL684" i="147"/>
  <c r="CL381" i="147"/>
  <c r="J543" i="147"/>
  <c r="J554" i="147"/>
  <c r="J562" i="147"/>
  <c r="EV593" i="147"/>
  <c r="CL669" i="147"/>
  <c r="CL673" i="147"/>
  <c r="X509" i="147"/>
  <c r="J542" i="147"/>
  <c r="BZ470" i="147"/>
  <c r="X508" i="147"/>
  <c r="EV564" i="147"/>
  <c r="J568" i="147"/>
  <c r="EV588" i="147"/>
  <c r="CL676" i="147"/>
  <c r="CL683" i="147"/>
  <c r="X695" i="147"/>
  <c r="AA709" i="147"/>
  <c r="AA741" i="147" s="1"/>
  <c r="AK395" i="147"/>
  <c r="AK548" i="147"/>
  <c r="AK550" i="147"/>
  <c r="AK553" i="147"/>
  <c r="AK556" i="147"/>
  <c r="AK572" i="147"/>
  <c r="AK575" i="147"/>
  <c r="AK680" i="147"/>
  <c r="AK448" i="147"/>
  <c r="AK449" i="147"/>
  <c r="AK454" i="147"/>
  <c r="AK462" i="147"/>
  <c r="BX463" i="147"/>
  <c r="AK547" i="147"/>
  <c r="AK559" i="147"/>
  <c r="CV414" i="147"/>
  <c r="AK480" i="147"/>
  <c r="AK543" i="147"/>
  <c r="AK554" i="147"/>
  <c r="AK558" i="147"/>
  <c r="AK453" i="147"/>
  <c r="AK457" i="147"/>
  <c r="AK461" i="147"/>
  <c r="AK532" i="147"/>
  <c r="AK537" i="147"/>
  <c r="AK542" i="147"/>
  <c r="AK694" i="147"/>
  <c r="AK446" i="147"/>
  <c r="AK482" i="147"/>
  <c r="AK533" i="147"/>
  <c r="AK574" i="147"/>
  <c r="AK590" i="147"/>
  <c r="AK431" i="147"/>
  <c r="AK445" i="147"/>
  <c r="AK460" i="147"/>
  <c r="AK479" i="147"/>
  <c r="AK534" i="147"/>
  <c r="AK540" i="147"/>
  <c r="AK619" i="147"/>
  <c r="AK408" i="147"/>
  <c r="AK430" i="147"/>
  <c r="AK444" i="147"/>
  <c r="AK475" i="147"/>
  <c r="AK564" i="147"/>
  <c r="AK565" i="147"/>
  <c r="AK566" i="147"/>
  <c r="AK427" i="147"/>
  <c r="AK443" i="147"/>
  <c r="AK465" i="147"/>
  <c r="AK531" i="147"/>
  <c r="AK584" i="147"/>
  <c r="AK591" i="147"/>
  <c r="AK693" i="147"/>
  <c r="AK428" i="147"/>
  <c r="AK429" i="147"/>
  <c r="AK452" i="147"/>
  <c r="AK539" i="147"/>
  <c r="AK573" i="147"/>
  <c r="AK576" i="147"/>
  <c r="AK583" i="147"/>
  <c r="AK617" i="147"/>
  <c r="DH654" i="147"/>
  <c r="AK426" i="147"/>
  <c r="CV430" i="147"/>
  <c r="AK441" i="147"/>
  <c r="AK455" i="147"/>
  <c r="AK464" i="147"/>
  <c r="AK484" i="147"/>
  <c r="AK485" i="147"/>
  <c r="AK520" i="147"/>
  <c r="AK551" i="147"/>
  <c r="AK577" i="147"/>
  <c r="AK582" i="147"/>
  <c r="DH665" i="147"/>
  <c r="AK678" i="147"/>
  <c r="AK434" i="147"/>
  <c r="AK435" i="147"/>
  <c r="AK436" i="147"/>
  <c r="AK437" i="147"/>
  <c r="AK438" i="147"/>
  <c r="AK439" i="147"/>
  <c r="AK440" i="147"/>
  <c r="AK477" i="147"/>
  <c r="AK552" i="147"/>
  <c r="AK679" i="147"/>
  <c r="T644" i="147"/>
  <c r="T645" i="147"/>
  <c r="T646" i="147"/>
  <c r="T647" i="147"/>
  <c r="T648" i="147"/>
  <c r="T649" i="147"/>
  <c r="T650" i="147"/>
  <c r="T651" i="147"/>
  <c r="T652" i="147"/>
  <c r="T653" i="147"/>
  <c r="T654" i="147"/>
  <c r="T655" i="147"/>
  <c r="T656" i="147"/>
  <c r="T657" i="147"/>
  <c r="T658" i="147"/>
  <c r="T659" i="147"/>
  <c r="T660" i="147"/>
  <c r="T661" i="147"/>
  <c r="T668" i="147"/>
  <c r="T669" i="147"/>
  <c r="T670" i="147"/>
  <c r="T671" i="147"/>
  <c r="T663" i="147"/>
  <c r="T664" i="147"/>
  <c r="T665" i="147"/>
  <c r="T666" i="147"/>
  <c r="T667" i="147"/>
  <c r="T662" i="147"/>
  <c r="T673" i="147"/>
  <c r="T674" i="147"/>
  <c r="T675" i="147"/>
  <c r="T676" i="147"/>
  <c r="T677" i="147"/>
  <c r="T679" i="147"/>
  <c r="T680" i="147"/>
  <c r="T681" i="147"/>
  <c r="T682" i="147"/>
  <c r="T683" i="147"/>
  <c r="T684" i="147"/>
  <c r="T672" i="147"/>
  <c r="T678" i="147"/>
  <c r="T685" i="147"/>
  <c r="T686" i="147"/>
  <c r="T687" i="147"/>
  <c r="T688" i="147"/>
  <c r="T690" i="147"/>
  <c r="T691" i="147"/>
  <c r="T692" i="147"/>
  <c r="T695" i="147"/>
  <c r="T696" i="147"/>
  <c r="T697" i="147"/>
  <c r="T698" i="147"/>
  <c r="T699" i="147"/>
  <c r="T700" i="147"/>
  <c r="T701" i="147"/>
  <c r="T702" i="147"/>
  <c r="T703" i="147"/>
  <c r="T704" i="147"/>
  <c r="T693" i="147"/>
  <c r="T705" i="147"/>
  <c r="T706" i="147"/>
  <c r="T707" i="147"/>
  <c r="T708" i="147"/>
  <c r="T709" i="147"/>
  <c r="T710" i="147"/>
  <c r="T711" i="147"/>
  <c r="T712" i="147"/>
  <c r="T713" i="147"/>
  <c r="T714" i="147"/>
  <c r="T715" i="147"/>
  <c r="T716" i="147"/>
  <c r="T694" i="147"/>
  <c r="T717" i="147"/>
  <c r="T718" i="147"/>
  <c r="T719" i="147"/>
  <c r="T720" i="147"/>
  <c r="T721" i="147"/>
  <c r="T722" i="147"/>
  <c r="T723" i="147"/>
  <c r="T724" i="147"/>
  <c r="T725" i="147"/>
  <c r="T726" i="147"/>
  <c r="T727" i="147"/>
  <c r="T728" i="147"/>
  <c r="T729" i="147"/>
  <c r="T730" i="147"/>
  <c r="T731" i="147"/>
  <c r="T732" i="147"/>
  <c r="T733" i="147"/>
  <c r="T734" i="147"/>
  <c r="T735" i="147"/>
  <c r="T736" i="147"/>
  <c r="AK644" i="147"/>
  <c r="AK645" i="147"/>
  <c r="AK646" i="147"/>
  <c r="AK647" i="147"/>
  <c r="AK648" i="147"/>
  <c r="AK650" i="147"/>
  <c r="AK651" i="147"/>
  <c r="AK652" i="147"/>
  <c r="AK653" i="147"/>
  <c r="AK654" i="147"/>
  <c r="AK655" i="147"/>
  <c r="AK656" i="147"/>
  <c r="AK657" i="147"/>
  <c r="AK658" i="147"/>
  <c r="AK659" i="147"/>
  <c r="AK660" i="147"/>
  <c r="AK661" i="147"/>
  <c r="AK662" i="147"/>
  <c r="AK649" i="147"/>
  <c r="AK667" i="147"/>
  <c r="AK668" i="147"/>
  <c r="AK669" i="147"/>
  <c r="AK670" i="147"/>
  <c r="AK671" i="147"/>
  <c r="AK672" i="147"/>
  <c r="AK663" i="147"/>
  <c r="AK673" i="147"/>
  <c r="AK674" i="147"/>
  <c r="AK675" i="147"/>
  <c r="AK676" i="147"/>
  <c r="AK677" i="147"/>
  <c r="AK666" i="147"/>
  <c r="AK665" i="147"/>
  <c r="AK681" i="147"/>
  <c r="AK682" i="147"/>
  <c r="AK683" i="147"/>
  <c r="AK684" i="147"/>
  <c r="AK685" i="147"/>
  <c r="AK664" i="147"/>
  <c r="AK686" i="147"/>
  <c r="AK687" i="147"/>
  <c r="AK688" i="147"/>
  <c r="AK690" i="147"/>
  <c r="AK691" i="147"/>
  <c r="AK695" i="147"/>
  <c r="AK696" i="147"/>
  <c r="AK699" i="147"/>
  <c r="AK700" i="147"/>
  <c r="AK701" i="147"/>
  <c r="AK702" i="147"/>
  <c r="AK703" i="147"/>
  <c r="AK704" i="147"/>
  <c r="AK705" i="147"/>
  <c r="AK706" i="147"/>
  <c r="AK707" i="147"/>
  <c r="AK708" i="147"/>
  <c r="AK709" i="147"/>
  <c r="AK710" i="147"/>
  <c r="AK711" i="147"/>
  <c r="AK712" i="147"/>
  <c r="AK713" i="147"/>
  <c r="AK714" i="147"/>
  <c r="AK715" i="147"/>
  <c r="AK716" i="147"/>
  <c r="AK726" i="147"/>
  <c r="AK727" i="147"/>
  <c r="AK728" i="147"/>
  <c r="AK717" i="147"/>
  <c r="AK718" i="147"/>
  <c r="AK719" i="147"/>
  <c r="AK720" i="147"/>
  <c r="AK721" i="147"/>
  <c r="AK722" i="147"/>
  <c r="AK723" i="147"/>
  <c r="AK724" i="147"/>
  <c r="AK725" i="147"/>
  <c r="AK729" i="147"/>
  <c r="AK730" i="147"/>
  <c r="AK731" i="147"/>
  <c r="AK732" i="147"/>
  <c r="AK733" i="147"/>
  <c r="AK734" i="147"/>
  <c r="AK735" i="147"/>
  <c r="AK736" i="147"/>
  <c r="AK698" i="147"/>
  <c r="AK697" i="147"/>
  <c r="AW649" i="147"/>
  <c r="AW650" i="147"/>
  <c r="AW644" i="147"/>
  <c r="AW645" i="147"/>
  <c r="AW646" i="147"/>
  <c r="AW647" i="147"/>
  <c r="AW648" i="147"/>
  <c r="AW656" i="147"/>
  <c r="AW657" i="147"/>
  <c r="AW651" i="147"/>
  <c r="AW658" i="147"/>
  <c r="AW659" i="147"/>
  <c r="AW660" i="147"/>
  <c r="AW661" i="147"/>
  <c r="AW662" i="147"/>
  <c r="AW655" i="147"/>
  <c r="AW654" i="147"/>
  <c r="AW653" i="147"/>
  <c r="AW663" i="147"/>
  <c r="AW664" i="147"/>
  <c r="AW665" i="147"/>
  <c r="AW666" i="147"/>
  <c r="AW652" i="147"/>
  <c r="AW668" i="147"/>
  <c r="AW669" i="147"/>
  <c r="AW670" i="147"/>
  <c r="AW671" i="147"/>
  <c r="AW672" i="147"/>
  <c r="AW673" i="147"/>
  <c r="AW674" i="147"/>
  <c r="AW675" i="147"/>
  <c r="AW676" i="147"/>
  <c r="AW677" i="147"/>
  <c r="AW678" i="147"/>
  <c r="AW679" i="147"/>
  <c r="AW680" i="147"/>
  <c r="AW681" i="147"/>
  <c r="AW682" i="147"/>
  <c r="AW683" i="147"/>
  <c r="AW684" i="147"/>
  <c r="AW667" i="147"/>
  <c r="AW685" i="147"/>
  <c r="AW686" i="147"/>
  <c r="AW687" i="147"/>
  <c r="AW688" i="147"/>
  <c r="AW690" i="147"/>
  <c r="AW691" i="147"/>
  <c r="AW692" i="147"/>
  <c r="AW693" i="147"/>
  <c r="AW694" i="147"/>
  <c r="AW695" i="147"/>
  <c r="AW696" i="147"/>
  <c r="AW697" i="147"/>
  <c r="AW698" i="147"/>
  <c r="AW699" i="147"/>
  <c r="AW700" i="147"/>
  <c r="AW701" i="147"/>
  <c r="AW702" i="147"/>
  <c r="AW703" i="147"/>
  <c r="AW704" i="147"/>
  <c r="AW705" i="147"/>
  <c r="AW706" i="147"/>
  <c r="AW707" i="147"/>
  <c r="AW708" i="147"/>
  <c r="AW709" i="147"/>
  <c r="AW710" i="147"/>
  <c r="AW711" i="147"/>
  <c r="AW712" i="147"/>
  <c r="AW713" i="147"/>
  <c r="AW716" i="147"/>
  <c r="AW714" i="147"/>
  <c r="AW726" i="147"/>
  <c r="AW717" i="147"/>
  <c r="AW718" i="147"/>
  <c r="AW719" i="147"/>
  <c r="AW720" i="147"/>
  <c r="AW721" i="147"/>
  <c r="AW722" i="147"/>
  <c r="AW723" i="147"/>
  <c r="AW724" i="147"/>
  <c r="AW725" i="147"/>
  <c r="AW727" i="147"/>
  <c r="AW728" i="147"/>
  <c r="AW729" i="147"/>
  <c r="AW730" i="147"/>
  <c r="AW731" i="147"/>
  <c r="AW732" i="147"/>
  <c r="AW733" i="147"/>
  <c r="AW734" i="147"/>
  <c r="AW735" i="147"/>
  <c r="AW736" i="147"/>
  <c r="AW715" i="147"/>
  <c r="BL644" i="147"/>
  <c r="BL645" i="147"/>
  <c r="BL646" i="147"/>
  <c r="BL648" i="147"/>
  <c r="BL649" i="147"/>
  <c r="BL651" i="147"/>
  <c r="BL652" i="147"/>
  <c r="BL653" i="147"/>
  <c r="BL654" i="147"/>
  <c r="BL655" i="147"/>
  <c r="BL656" i="147"/>
  <c r="BL657" i="147"/>
  <c r="BL658" i="147"/>
  <c r="BL650" i="147"/>
  <c r="BL659" i="147"/>
  <c r="BL663" i="147"/>
  <c r="BL664" i="147"/>
  <c r="BL665" i="147"/>
  <c r="BL666" i="147"/>
  <c r="BL660" i="147"/>
  <c r="BL661" i="147"/>
  <c r="BL667" i="147"/>
  <c r="BL668" i="147"/>
  <c r="BL669" i="147"/>
  <c r="BL670" i="147"/>
  <c r="BL671" i="147"/>
  <c r="BL672" i="147"/>
  <c r="BL662" i="147"/>
  <c r="BL673" i="147"/>
  <c r="BL674" i="147"/>
  <c r="BL675" i="147"/>
  <c r="BL676" i="147"/>
  <c r="BL677" i="147"/>
  <c r="BL678" i="147"/>
  <c r="BL679" i="147"/>
  <c r="BL680" i="147"/>
  <c r="BL681" i="147"/>
  <c r="BL682" i="147"/>
  <c r="BL683" i="147"/>
  <c r="BL684" i="147"/>
  <c r="BL685" i="147"/>
  <c r="BL686" i="147"/>
  <c r="BL687" i="147"/>
  <c r="BL688" i="147"/>
  <c r="BL690" i="147"/>
  <c r="BL691" i="147"/>
  <c r="BL692" i="147"/>
  <c r="BL694" i="147"/>
  <c r="BL695" i="147"/>
  <c r="BL696" i="147"/>
  <c r="BL697" i="147"/>
  <c r="BL698" i="147"/>
  <c r="BL699" i="147"/>
  <c r="BL700" i="147"/>
  <c r="BL701" i="147"/>
  <c r="BL702" i="147"/>
  <c r="BL703" i="147"/>
  <c r="BL704" i="147"/>
  <c r="BL705" i="147"/>
  <c r="BL693" i="147"/>
  <c r="BL714" i="147"/>
  <c r="BL715" i="147"/>
  <c r="BL717" i="147"/>
  <c r="BL718" i="147"/>
  <c r="BL719" i="147"/>
  <c r="BL720" i="147"/>
  <c r="BL721" i="147"/>
  <c r="BL722" i="147"/>
  <c r="BL723" i="147"/>
  <c r="BL724" i="147"/>
  <c r="BL725" i="147"/>
  <c r="BL726" i="147"/>
  <c r="BL727" i="147"/>
  <c r="BL728" i="147"/>
  <c r="BL716" i="147"/>
  <c r="BL706" i="147"/>
  <c r="BL707" i="147"/>
  <c r="BL708" i="147"/>
  <c r="BL709" i="147"/>
  <c r="BL710" i="147"/>
  <c r="BL711" i="147"/>
  <c r="BL712" i="147"/>
  <c r="BL713" i="147"/>
  <c r="BL731" i="147"/>
  <c r="BL732" i="147"/>
  <c r="BL729" i="147"/>
  <c r="BL730" i="147"/>
  <c r="BL733" i="147"/>
  <c r="BL734" i="147"/>
  <c r="BL735" i="147"/>
  <c r="BL736" i="147"/>
  <c r="BL647" i="147"/>
  <c r="BX644" i="147"/>
  <c r="BX645" i="147"/>
  <c r="BX646" i="147"/>
  <c r="BX647" i="147"/>
  <c r="BX648" i="147"/>
  <c r="BX649" i="147"/>
  <c r="BX651" i="147"/>
  <c r="BX652" i="147"/>
  <c r="BX653" i="147"/>
  <c r="BX654" i="147"/>
  <c r="BX655" i="147"/>
  <c r="BX656" i="147"/>
  <c r="BX657" i="147"/>
  <c r="BX658" i="147"/>
  <c r="BX661" i="147"/>
  <c r="BX663" i="147"/>
  <c r="BX664" i="147"/>
  <c r="BX665" i="147"/>
  <c r="BX666" i="147"/>
  <c r="BX650" i="147"/>
  <c r="BX659" i="147"/>
  <c r="BX662" i="147"/>
  <c r="BX660" i="147"/>
  <c r="BX667" i="147"/>
  <c r="BX668" i="147"/>
  <c r="BX669" i="147"/>
  <c r="BX670" i="147"/>
  <c r="BX671" i="147"/>
  <c r="BX672" i="147"/>
  <c r="BX673" i="147"/>
  <c r="BX674" i="147"/>
  <c r="BX675" i="147"/>
  <c r="BX676" i="147"/>
  <c r="BX677" i="147"/>
  <c r="BX678" i="147"/>
  <c r="BX679" i="147"/>
  <c r="BX680" i="147"/>
  <c r="BX681" i="147"/>
  <c r="BX682" i="147"/>
  <c r="BX683" i="147"/>
  <c r="BX684" i="147"/>
  <c r="BX685" i="147"/>
  <c r="BX686" i="147"/>
  <c r="BX687" i="147"/>
  <c r="BX688" i="147"/>
  <c r="BX690" i="147"/>
  <c r="BX691" i="147"/>
  <c r="BX692" i="147"/>
  <c r="BX693" i="147"/>
  <c r="BX694" i="147"/>
  <c r="BX695" i="147"/>
  <c r="BX696" i="147"/>
  <c r="BX697" i="147"/>
  <c r="BX698" i="147"/>
  <c r="BX699" i="147"/>
  <c r="BX700" i="147"/>
  <c r="BX701" i="147"/>
  <c r="BX702" i="147"/>
  <c r="BX703" i="147"/>
  <c r="BX704" i="147"/>
  <c r="BX705" i="147"/>
  <c r="BX716" i="147"/>
  <c r="BX714" i="147"/>
  <c r="BX715" i="147"/>
  <c r="BX717" i="147"/>
  <c r="BX718" i="147"/>
  <c r="BX719" i="147"/>
  <c r="BX720" i="147"/>
  <c r="BX721" i="147"/>
  <c r="BX722" i="147"/>
  <c r="BX723" i="147"/>
  <c r="BX724" i="147"/>
  <c r="BX725" i="147"/>
  <c r="BX726" i="147"/>
  <c r="BX727" i="147"/>
  <c r="BX728" i="147"/>
  <c r="BX706" i="147"/>
  <c r="BX707" i="147"/>
  <c r="BX708" i="147"/>
  <c r="BX709" i="147"/>
  <c r="BX710" i="147"/>
  <c r="BX711" i="147"/>
  <c r="BX712" i="147"/>
  <c r="BX713" i="147"/>
  <c r="BX729" i="147"/>
  <c r="BX730" i="147"/>
  <c r="BX731" i="147"/>
  <c r="BX732" i="147"/>
  <c r="BX733" i="147"/>
  <c r="BX734" i="147"/>
  <c r="BX735" i="147"/>
  <c r="BX736" i="147"/>
  <c r="CJ644" i="147"/>
  <c r="CJ645" i="147"/>
  <c r="CJ646" i="147"/>
  <c r="CJ647" i="147"/>
  <c r="CJ648" i="147"/>
  <c r="CJ649" i="147"/>
  <c r="CJ651" i="147"/>
  <c r="CJ652" i="147"/>
  <c r="CJ653" i="147"/>
  <c r="CJ654" i="147"/>
  <c r="CJ655" i="147"/>
  <c r="CJ650" i="147"/>
  <c r="CJ656" i="147"/>
  <c r="CJ657" i="147"/>
  <c r="CJ658" i="147"/>
  <c r="CJ663" i="147"/>
  <c r="CJ664" i="147"/>
  <c r="CJ665" i="147"/>
  <c r="CJ666" i="147"/>
  <c r="CJ662" i="147"/>
  <c r="CJ659" i="147"/>
  <c r="CJ661" i="147"/>
  <c r="CJ667" i="147"/>
  <c r="CJ668" i="147"/>
  <c r="CJ669" i="147"/>
  <c r="CJ670" i="147"/>
  <c r="CJ671" i="147"/>
  <c r="CJ660" i="147"/>
  <c r="CJ672" i="147"/>
  <c r="CJ673" i="147"/>
  <c r="CJ674" i="147"/>
  <c r="CJ675" i="147"/>
  <c r="CJ676" i="147"/>
  <c r="CJ677" i="147"/>
  <c r="CJ678" i="147"/>
  <c r="CJ679" i="147"/>
  <c r="CJ680" i="147"/>
  <c r="CJ681" i="147"/>
  <c r="CJ682" i="147"/>
  <c r="CJ683" i="147"/>
  <c r="CJ685" i="147"/>
  <c r="CJ686" i="147"/>
  <c r="CJ687" i="147"/>
  <c r="CJ688" i="147"/>
  <c r="CJ690" i="147"/>
  <c r="CJ691" i="147"/>
  <c r="CJ692" i="147"/>
  <c r="CJ684" i="147"/>
  <c r="CJ694" i="147"/>
  <c r="CJ695" i="147"/>
  <c r="CJ696" i="147"/>
  <c r="CJ697" i="147"/>
  <c r="CJ698" i="147"/>
  <c r="CJ699" i="147"/>
  <c r="CJ700" i="147"/>
  <c r="CJ701" i="147"/>
  <c r="CJ702" i="147"/>
  <c r="CJ703" i="147"/>
  <c r="CJ704" i="147"/>
  <c r="CJ705" i="147"/>
  <c r="CJ693" i="147"/>
  <c r="CJ706" i="147"/>
  <c r="CJ707" i="147"/>
  <c r="CJ708" i="147"/>
  <c r="CJ709" i="147"/>
  <c r="CJ710" i="147"/>
  <c r="CJ711" i="147"/>
  <c r="CJ712" i="147"/>
  <c r="CJ713" i="147"/>
  <c r="CJ717" i="147"/>
  <c r="CJ718" i="147"/>
  <c r="CJ719" i="147"/>
  <c r="CJ720" i="147"/>
  <c r="CJ721" i="147"/>
  <c r="CJ722" i="147"/>
  <c r="CJ723" i="147"/>
  <c r="CJ724" i="147"/>
  <c r="CJ725" i="147"/>
  <c r="CJ726" i="147"/>
  <c r="CJ727" i="147"/>
  <c r="CJ728" i="147"/>
  <c r="CJ714" i="147"/>
  <c r="CJ715" i="147"/>
  <c r="CJ732" i="147"/>
  <c r="CJ716" i="147"/>
  <c r="CJ731" i="147"/>
  <c r="CJ729" i="147"/>
  <c r="CJ730" i="147"/>
  <c r="CJ733" i="147"/>
  <c r="CJ734" i="147"/>
  <c r="CJ735" i="147"/>
  <c r="CJ736" i="147"/>
  <c r="CV644" i="147"/>
  <c r="CV645" i="147"/>
  <c r="CV646" i="147"/>
  <c r="CV647" i="147"/>
  <c r="CV648" i="147"/>
  <c r="CV649" i="147"/>
  <c r="CV651" i="147"/>
  <c r="CV652" i="147"/>
  <c r="CV653" i="147"/>
  <c r="CV654" i="147"/>
  <c r="CV650" i="147"/>
  <c r="CV656" i="147"/>
  <c r="CV657" i="147"/>
  <c r="CV658" i="147"/>
  <c r="CV655" i="147"/>
  <c r="CV663" i="147"/>
  <c r="CV664" i="147"/>
  <c r="CV665" i="147"/>
  <c r="CV666" i="147"/>
  <c r="CV660" i="147"/>
  <c r="CV661" i="147"/>
  <c r="CV662" i="147"/>
  <c r="CV659" i="147"/>
  <c r="CV667" i="147"/>
  <c r="CV668" i="147"/>
  <c r="CV669" i="147"/>
  <c r="CV670" i="147"/>
  <c r="CV671" i="147"/>
  <c r="CV672" i="147"/>
  <c r="CV673" i="147"/>
  <c r="CV674" i="147"/>
  <c r="CV675" i="147"/>
  <c r="CV676" i="147"/>
  <c r="CV677" i="147"/>
  <c r="CV678" i="147"/>
  <c r="CV679" i="147"/>
  <c r="CV680" i="147"/>
  <c r="CV681" i="147"/>
  <c r="CV682" i="147"/>
  <c r="CV683" i="147"/>
  <c r="CV684" i="147"/>
  <c r="CV685" i="147"/>
  <c r="CV686" i="147"/>
  <c r="CV687" i="147"/>
  <c r="CV688" i="147"/>
  <c r="CV690" i="147"/>
  <c r="CV691" i="147"/>
  <c r="CV692" i="147"/>
  <c r="CV694" i="147"/>
  <c r="CV695" i="147"/>
  <c r="CV696" i="147"/>
  <c r="CV697" i="147"/>
  <c r="CV698" i="147"/>
  <c r="CV699" i="147"/>
  <c r="CV700" i="147"/>
  <c r="CV701" i="147"/>
  <c r="CV702" i="147"/>
  <c r="CV703" i="147"/>
  <c r="CV704" i="147"/>
  <c r="CV705" i="147"/>
  <c r="CV693" i="147"/>
  <c r="CV706" i="147"/>
  <c r="CV707" i="147"/>
  <c r="CV708" i="147"/>
  <c r="CV709" i="147"/>
  <c r="CV710" i="147"/>
  <c r="CV711" i="147"/>
  <c r="CV712" i="147"/>
  <c r="CV713" i="147"/>
  <c r="CV717" i="147"/>
  <c r="CV718" i="147"/>
  <c r="CV719" i="147"/>
  <c r="CV720" i="147"/>
  <c r="CV721" i="147"/>
  <c r="CV722" i="147"/>
  <c r="CV723" i="147"/>
  <c r="CV724" i="147"/>
  <c r="CV725" i="147"/>
  <c r="CV726" i="147"/>
  <c r="CV727" i="147"/>
  <c r="CV716" i="147"/>
  <c r="CV714" i="147"/>
  <c r="CV715" i="147"/>
  <c r="CV728" i="147"/>
  <c r="CV731" i="147"/>
  <c r="CV732" i="147"/>
  <c r="CV729" i="147"/>
  <c r="CV730" i="147"/>
  <c r="CV733" i="147"/>
  <c r="CV734" i="147"/>
  <c r="CV735" i="147"/>
  <c r="CV736" i="147"/>
  <c r="DH644" i="147"/>
  <c r="DH645" i="147"/>
  <c r="DH646" i="147"/>
  <c r="DH647" i="147"/>
  <c r="DH648" i="147"/>
  <c r="DH649" i="147"/>
  <c r="DH650" i="147"/>
  <c r="DH651" i="147"/>
  <c r="DH652" i="147"/>
  <c r="DH653" i="147"/>
  <c r="DH655" i="147"/>
  <c r="DH656" i="147"/>
  <c r="DH657" i="147"/>
  <c r="DH658" i="147"/>
  <c r="DH659" i="147"/>
  <c r="DH662" i="147"/>
  <c r="DH663" i="147"/>
  <c r="DH664" i="147"/>
  <c r="DH666" i="147"/>
  <c r="DH660" i="147"/>
  <c r="DH661" i="147"/>
  <c r="DH667" i="147"/>
  <c r="DH668" i="147"/>
  <c r="DH669" i="147"/>
  <c r="DH670" i="147"/>
  <c r="DH671" i="147"/>
  <c r="DH672" i="147"/>
  <c r="DH673" i="147"/>
  <c r="DH674" i="147"/>
  <c r="DH675" i="147"/>
  <c r="DH676" i="147"/>
  <c r="DH677" i="147"/>
  <c r="DH678" i="147"/>
  <c r="DH679" i="147"/>
  <c r="DH680" i="147"/>
  <c r="DH681" i="147"/>
  <c r="DH682" i="147"/>
  <c r="DH683" i="147"/>
  <c r="DH685" i="147"/>
  <c r="DH686" i="147"/>
  <c r="DH687" i="147"/>
  <c r="DH688" i="147"/>
  <c r="DH690" i="147"/>
  <c r="DH691" i="147"/>
  <c r="DH692" i="147"/>
  <c r="DH684" i="147"/>
  <c r="DH693" i="147"/>
  <c r="DH694" i="147"/>
  <c r="DH695" i="147"/>
  <c r="DH696" i="147"/>
  <c r="DH697" i="147"/>
  <c r="DH698" i="147"/>
  <c r="DH699" i="147"/>
  <c r="DH700" i="147"/>
  <c r="DH701" i="147"/>
  <c r="DH702" i="147"/>
  <c r="DH703" i="147"/>
  <c r="DH704" i="147"/>
  <c r="DH705" i="147"/>
  <c r="DH716" i="147"/>
  <c r="DH714" i="147"/>
  <c r="DH715" i="147"/>
  <c r="DH706" i="147"/>
  <c r="DH707" i="147"/>
  <c r="DH708" i="147"/>
  <c r="DH709" i="147"/>
  <c r="DH710" i="147"/>
  <c r="DH711" i="147"/>
  <c r="DH712" i="147"/>
  <c r="DH713" i="147"/>
  <c r="DH717" i="147"/>
  <c r="DH718" i="147"/>
  <c r="DH719" i="147"/>
  <c r="DH720" i="147"/>
  <c r="DH721" i="147"/>
  <c r="DH722" i="147"/>
  <c r="DH723" i="147"/>
  <c r="DH724" i="147"/>
  <c r="DH725" i="147"/>
  <c r="DH726" i="147"/>
  <c r="DH727" i="147"/>
  <c r="DH732" i="147"/>
  <c r="DH728" i="147"/>
  <c r="DH729" i="147"/>
  <c r="DH730" i="147"/>
  <c r="DH731" i="147"/>
  <c r="DH733" i="147"/>
  <c r="DH734" i="147"/>
  <c r="DH735" i="147"/>
  <c r="DH736" i="147"/>
  <c r="DT644" i="147"/>
  <c r="DT645" i="147"/>
  <c r="DT646" i="147"/>
  <c r="DT647" i="147"/>
  <c r="DT651" i="147"/>
  <c r="DT652" i="147"/>
  <c r="DT653" i="147"/>
  <c r="DT654" i="147"/>
  <c r="DT650" i="147"/>
  <c r="DT656" i="147"/>
  <c r="DT657" i="147"/>
  <c r="DT655" i="147"/>
  <c r="DT662" i="147"/>
  <c r="DT663" i="147"/>
  <c r="DT664" i="147"/>
  <c r="DT665" i="147"/>
  <c r="DT666" i="147"/>
  <c r="DT658" i="147"/>
  <c r="DT659" i="147"/>
  <c r="DT661" i="147"/>
  <c r="DT667" i="147"/>
  <c r="DT668" i="147"/>
  <c r="DT669" i="147"/>
  <c r="DT670" i="147"/>
  <c r="DT671" i="147"/>
  <c r="DT672" i="147"/>
  <c r="DT673" i="147"/>
  <c r="DT674" i="147"/>
  <c r="DT675" i="147"/>
  <c r="DT676" i="147"/>
  <c r="DT677" i="147"/>
  <c r="DT660" i="147"/>
  <c r="DT678" i="147"/>
  <c r="DT679" i="147"/>
  <c r="DT680" i="147"/>
  <c r="DT681" i="147"/>
  <c r="DT682" i="147"/>
  <c r="DT683" i="147"/>
  <c r="DT685" i="147"/>
  <c r="DT686" i="147"/>
  <c r="DT687" i="147"/>
  <c r="DT688" i="147"/>
  <c r="DT690" i="147"/>
  <c r="DT691" i="147"/>
  <c r="DT692" i="147"/>
  <c r="DT684" i="147"/>
  <c r="DT694" i="147"/>
  <c r="DT695" i="147"/>
  <c r="DT696" i="147"/>
  <c r="DT697" i="147"/>
  <c r="DT698" i="147"/>
  <c r="DT699" i="147"/>
  <c r="DT700" i="147"/>
  <c r="DT701" i="147"/>
  <c r="DT702" i="147"/>
  <c r="DT703" i="147"/>
  <c r="DT704" i="147"/>
  <c r="DT705" i="147"/>
  <c r="DT693" i="147"/>
  <c r="DT714" i="147"/>
  <c r="DT715" i="147"/>
  <c r="DT706" i="147"/>
  <c r="DT707" i="147"/>
  <c r="DT708" i="147"/>
  <c r="DT709" i="147"/>
  <c r="DT710" i="147"/>
  <c r="DT711" i="147"/>
  <c r="DT712" i="147"/>
  <c r="DT713" i="147"/>
  <c r="DT717" i="147"/>
  <c r="DT718" i="147"/>
  <c r="DT719" i="147"/>
  <c r="DT720" i="147"/>
  <c r="DT721" i="147"/>
  <c r="DT722" i="147"/>
  <c r="DT723" i="147"/>
  <c r="DT724" i="147"/>
  <c r="DT725" i="147"/>
  <c r="DT726" i="147"/>
  <c r="DT727" i="147"/>
  <c r="DT728" i="147"/>
  <c r="DT731" i="147"/>
  <c r="DT732" i="147"/>
  <c r="DT716" i="147"/>
  <c r="DT729" i="147"/>
  <c r="DT730" i="147"/>
  <c r="DT733" i="147"/>
  <c r="DT734" i="147"/>
  <c r="DT735" i="147"/>
  <c r="DT736" i="147"/>
  <c r="DT648" i="147"/>
  <c r="EH644" i="147"/>
  <c r="EH645" i="147"/>
  <c r="EH646" i="147"/>
  <c r="EH647" i="147"/>
  <c r="EH648" i="147"/>
  <c r="EH649" i="147"/>
  <c r="EH650" i="147"/>
  <c r="EH651" i="147"/>
  <c r="EH652" i="147"/>
  <c r="EH653" i="147"/>
  <c r="EH654" i="147"/>
  <c r="EH655" i="147"/>
  <c r="EH656" i="147"/>
  <c r="EH657" i="147"/>
  <c r="EH658" i="147"/>
  <c r="EH659" i="147"/>
  <c r="EH660" i="147"/>
  <c r="EH661" i="147"/>
  <c r="EH662" i="147"/>
  <c r="EH663" i="147"/>
  <c r="EH664" i="147"/>
  <c r="EH665" i="147"/>
  <c r="EH666" i="147"/>
  <c r="EH667" i="147"/>
  <c r="EH668" i="147"/>
  <c r="EH669" i="147"/>
  <c r="EH670" i="147"/>
  <c r="EH671" i="147"/>
  <c r="EH672" i="147"/>
  <c r="EH673" i="147"/>
  <c r="EH674" i="147"/>
  <c r="EH675" i="147"/>
  <c r="EH676" i="147"/>
  <c r="EH677" i="147"/>
  <c r="EH678" i="147"/>
  <c r="EH679" i="147"/>
  <c r="EH680" i="147"/>
  <c r="EH681" i="147"/>
  <c r="EH682" i="147"/>
  <c r="EH683" i="147"/>
  <c r="EH684" i="147"/>
  <c r="EH685" i="147"/>
  <c r="EH686" i="147"/>
  <c r="EH687" i="147"/>
  <c r="EH688" i="147"/>
  <c r="EH690" i="147"/>
  <c r="EH691" i="147"/>
  <c r="EH692" i="147"/>
  <c r="EH694" i="147"/>
  <c r="EH695" i="147"/>
  <c r="EH696" i="147"/>
  <c r="EH697" i="147"/>
  <c r="EH698" i="147"/>
  <c r="EH699" i="147"/>
  <c r="EH700" i="147"/>
  <c r="EH701" i="147"/>
  <c r="EH702" i="147"/>
  <c r="EH703" i="147"/>
  <c r="EH704" i="147"/>
  <c r="EH693" i="147"/>
  <c r="EH705" i="147"/>
  <c r="EH706" i="147"/>
  <c r="EH707" i="147"/>
  <c r="EH708" i="147"/>
  <c r="EH709" i="147"/>
  <c r="EH710" i="147"/>
  <c r="EH711" i="147"/>
  <c r="EH712" i="147"/>
  <c r="EH713" i="147"/>
  <c r="EH714" i="147"/>
  <c r="EH715" i="147"/>
  <c r="EH716" i="147"/>
  <c r="EH717" i="147"/>
  <c r="EH718" i="147"/>
  <c r="EH719" i="147"/>
  <c r="EH720" i="147"/>
  <c r="EH721" i="147"/>
  <c r="EH722" i="147"/>
  <c r="EH723" i="147"/>
  <c r="EH724" i="147"/>
  <c r="EH725" i="147"/>
  <c r="EH726" i="147"/>
  <c r="EH727" i="147"/>
  <c r="EH728" i="147"/>
  <c r="EH729" i="147"/>
  <c r="EH730" i="147"/>
  <c r="EH731" i="147"/>
  <c r="EH732" i="147"/>
  <c r="EH733" i="147"/>
  <c r="EH734" i="147"/>
  <c r="EH735" i="147"/>
  <c r="EH736" i="147"/>
  <c r="ET644" i="147"/>
  <c r="ET645" i="147"/>
  <c r="ET646" i="147"/>
  <c r="ET647" i="147"/>
  <c r="ET648" i="147"/>
  <c r="ET649" i="147"/>
  <c r="ET650" i="147"/>
  <c r="ET651" i="147"/>
  <c r="ET652" i="147"/>
  <c r="ET653" i="147"/>
  <c r="ET654" i="147"/>
  <c r="ET655" i="147"/>
  <c r="ET656" i="147"/>
  <c r="ET657" i="147"/>
  <c r="ET658" i="147"/>
  <c r="ET659" i="147"/>
  <c r="ET660" i="147"/>
  <c r="ET661" i="147"/>
  <c r="ET662" i="147"/>
  <c r="ET663" i="147"/>
  <c r="ET664" i="147"/>
  <c r="ET665" i="147"/>
  <c r="ET666" i="147"/>
  <c r="ET667" i="147"/>
  <c r="ET668" i="147"/>
  <c r="ET669" i="147"/>
  <c r="ET670" i="147"/>
  <c r="ET671" i="147"/>
  <c r="ET672" i="147"/>
  <c r="ET673" i="147"/>
  <c r="ET674" i="147"/>
  <c r="ET675" i="147"/>
  <c r="ET676" i="147"/>
  <c r="ET677" i="147"/>
  <c r="ET678" i="147"/>
  <c r="ET679" i="147"/>
  <c r="ET680" i="147"/>
  <c r="ET681" i="147"/>
  <c r="ET682" i="147"/>
  <c r="ET683" i="147"/>
  <c r="ET684" i="147"/>
  <c r="ET685" i="147"/>
  <c r="ET686" i="147"/>
  <c r="ET687" i="147"/>
  <c r="ET688" i="147"/>
  <c r="ET690" i="147"/>
  <c r="ET691" i="147"/>
  <c r="ET692" i="147"/>
  <c r="ET693" i="147"/>
  <c r="ET694" i="147"/>
  <c r="ET695" i="147"/>
  <c r="ET696" i="147"/>
  <c r="ET697" i="147"/>
  <c r="ET698" i="147"/>
  <c r="ET699" i="147"/>
  <c r="ET700" i="147"/>
  <c r="ET701" i="147"/>
  <c r="ET702" i="147"/>
  <c r="ET703" i="147"/>
  <c r="ET704" i="147"/>
  <c r="ET705" i="147"/>
  <c r="ET706" i="147"/>
  <c r="ET707" i="147"/>
  <c r="ET708" i="147"/>
  <c r="ET709" i="147"/>
  <c r="ET710" i="147"/>
  <c r="ET711" i="147"/>
  <c r="ET712" i="147"/>
  <c r="ET713" i="147"/>
  <c r="ET714" i="147"/>
  <c r="ET715" i="147"/>
  <c r="ET716" i="147"/>
  <c r="ET717" i="147"/>
  <c r="ET718" i="147"/>
  <c r="ET719" i="147"/>
  <c r="ET720" i="147"/>
  <c r="ET721" i="147"/>
  <c r="ET722" i="147"/>
  <c r="ET723" i="147"/>
  <c r="ET724" i="147"/>
  <c r="ET725" i="147"/>
  <c r="ET726" i="147"/>
  <c r="ET727" i="147"/>
  <c r="ET728" i="147"/>
  <c r="ET729" i="147"/>
  <c r="ET730" i="147"/>
  <c r="ET731" i="147"/>
  <c r="ET732" i="147"/>
  <c r="ET733" i="147"/>
  <c r="ET734" i="147"/>
  <c r="ET735" i="147"/>
  <c r="ET736" i="147"/>
  <c r="V644" i="147"/>
  <c r="V645" i="147"/>
  <c r="V646" i="147"/>
  <c r="V647" i="147"/>
  <c r="V648" i="147"/>
  <c r="V649" i="147"/>
  <c r="V650" i="147"/>
  <c r="V651" i="147"/>
  <c r="V656" i="147"/>
  <c r="V657" i="147"/>
  <c r="V658" i="147"/>
  <c r="V652" i="147"/>
  <c r="V653" i="147"/>
  <c r="V654" i="147"/>
  <c r="V655" i="147"/>
  <c r="V661" i="147"/>
  <c r="V659" i="147"/>
  <c r="V660" i="147"/>
  <c r="V662" i="147"/>
  <c r="V663" i="147"/>
  <c r="V664" i="147"/>
  <c r="V665" i="147"/>
  <c r="V666" i="147"/>
  <c r="V669" i="147"/>
  <c r="V670" i="147"/>
  <c r="V671" i="147"/>
  <c r="V672" i="147"/>
  <c r="V673" i="147"/>
  <c r="V674" i="147"/>
  <c r="V675" i="147"/>
  <c r="V676" i="147"/>
  <c r="V677" i="147"/>
  <c r="V678" i="147"/>
  <c r="V679" i="147"/>
  <c r="V680" i="147"/>
  <c r="V681" i="147"/>
  <c r="V682" i="147"/>
  <c r="V683" i="147"/>
  <c r="V684" i="147"/>
  <c r="V685" i="147"/>
  <c r="V686" i="147"/>
  <c r="V687" i="147"/>
  <c r="V688" i="147"/>
  <c r="V691" i="147"/>
  <c r="V692" i="147"/>
  <c r="V693" i="147"/>
  <c r="V694" i="147"/>
  <c r="V695" i="147"/>
  <c r="V697" i="147"/>
  <c r="V699" i="147"/>
  <c r="V700" i="147"/>
  <c r="V701" i="147"/>
  <c r="V702" i="147"/>
  <c r="V703" i="147"/>
  <c r="V704" i="147"/>
  <c r="V705" i="147"/>
  <c r="V717" i="147"/>
  <c r="V718" i="147"/>
  <c r="V719" i="147"/>
  <c r="V720" i="147"/>
  <c r="V721" i="147"/>
  <c r="V722" i="147"/>
  <c r="V723" i="147"/>
  <c r="V724" i="147"/>
  <c r="V725" i="147"/>
  <c r="V706" i="147"/>
  <c r="V707" i="147"/>
  <c r="V708" i="147"/>
  <c r="V709" i="147"/>
  <c r="V710" i="147"/>
  <c r="V711" i="147"/>
  <c r="V712" i="147"/>
  <c r="V713" i="147"/>
  <c r="V714" i="147"/>
  <c r="V715" i="147"/>
  <c r="V716" i="147"/>
  <c r="V729" i="147"/>
  <c r="V731" i="147"/>
  <c r="V732" i="147"/>
  <c r="V730" i="147"/>
  <c r="V726" i="147"/>
  <c r="V727" i="147"/>
  <c r="V728" i="147"/>
  <c r="V733" i="147"/>
  <c r="V734" i="147"/>
  <c r="V735" i="147"/>
  <c r="V736" i="147"/>
  <c r="V698" i="147"/>
  <c r="V696" i="147"/>
  <c r="AL644" i="147"/>
  <c r="AL645" i="147"/>
  <c r="AL646" i="147"/>
  <c r="AL647" i="147"/>
  <c r="AL648" i="147"/>
  <c r="AL649" i="147"/>
  <c r="AL650" i="147"/>
  <c r="AL659" i="147"/>
  <c r="AL660" i="147"/>
  <c r="AL661" i="147"/>
  <c r="AL662" i="147"/>
  <c r="AL655" i="147"/>
  <c r="AL654" i="147"/>
  <c r="AL653" i="147"/>
  <c r="AL656" i="147"/>
  <c r="AL657" i="147"/>
  <c r="AL658" i="147"/>
  <c r="AL652" i="147"/>
  <c r="AL651" i="147"/>
  <c r="AL668" i="147"/>
  <c r="AL669" i="147"/>
  <c r="AL670" i="147"/>
  <c r="AL671" i="147"/>
  <c r="AL663" i="147"/>
  <c r="AL667" i="147"/>
  <c r="AL673" i="147"/>
  <c r="AL674" i="147"/>
  <c r="AL675" i="147"/>
  <c r="AL676" i="147"/>
  <c r="AL677" i="147"/>
  <c r="AL672" i="147"/>
  <c r="AL665" i="147"/>
  <c r="AL666" i="147"/>
  <c r="AL679" i="147"/>
  <c r="AL680" i="147"/>
  <c r="AL681" i="147"/>
  <c r="AL682" i="147"/>
  <c r="AL683" i="147"/>
  <c r="AL678" i="147"/>
  <c r="AL664" i="147"/>
  <c r="AL686" i="147"/>
  <c r="AL687" i="147"/>
  <c r="AL688" i="147"/>
  <c r="AL690" i="147"/>
  <c r="AL691" i="147"/>
  <c r="AL692" i="147"/>
  <c r="AL693" i="147"/>
  <c r="AL694" i="147"/>
  <c r="AL684" i="147"/>
  <c r="AL695" i="147"/>
  <c r="AL696" i="147"/>
  <c r="AL697" i="147"/>
  <c r="AL698" i="147"/>
  <c r="AL699" i="147"/>
  <c r="AL700" i="147"/>
  <c r="AL701" i="147"/>
  <c r="AL702" i="147"/>
  <c r="AL703" i="147"/>
  <c r="AL704" i="147"/>
  <c r="AL705" i="147"/>
  <c r="AL685" i="147"/>
  <c r="AL706" i="147"/>
  <c r="AL707" i="147"/>
  <c r="AL708" i="147"/>
  <c r="AL709" i="147"/>
  <c r="AL710" i="147"/>
  <c r="AL711" i="147"/>
  <c r="AL712" i="147"/>
  <c r="AL713" i="147"/>
  <c r="AL714" i="147"/>
  <c r="AL715" i="147"/>
  <c r="AL716" i="147"/>
  <c r="AL717" i="147"/>
  <c r="AL718" i="147"/>
  <c r="AL719" i="147"/>
  <c r="AL720" i="147"/>
  <c r="AL721" i="147"/>
  <c r="AL722" i="147"/>
  <c r="AL723" i="147"/>
  <c r="AL724" i="147"/>
  <c r="AL725" i="147"/>
  <c r="AL726" i="147"/>
  <c r="AL727" i="147"/>
  <c r="AL728" i="147"/>
  <c r="AL729" i="147"/>
  <c r="AL730" i="147"/>
  <c r="AL731" i="147"/>
  <c r="AL732" i="147"/>
  <c r="AL733" i="147"/>
  <c r="AL734" i="147"/>
  <c r="AL735" i="147"/>
  <c r="AL736" i="147"/>
  <c r="AX651" i="147"/>
  <c r="AX652" i="147"/>
  <c r="AX653" i="147"/>
  <c r="AX654" i="147"/>
  <c r="AX655" i="147"/>
  <c r="AX650" i="147"/>
  <c r="AX647" i="147"/>
  <c r="AX649" i="147"/>
  <c r="AX648" i="147"/>
  <c r="AX656" i="147"/>
  <c r="AX657" i="147"/>
  <c r="AX644" i="147"/>
  <c r="AX658" i="147"/>
  <c r="AX659" i="147"/>
  <c r="AX660" i="147"/>
  <c r="AX661" i="147"/>
  <c r="AX662" i="147"/>
  <c r="AX646" i="147"/>
  <c r="AX645" i="147"/>
  <c r="AX667" i="147"/>
  <c r="AX663" i="147"/>
  <c r="AX664" i="147"/>
  <c r="AX665" i="147"/>
  <c r="AX666" i="147"/>
  <c r="AX668" i="147"/>
  <c r="AX669" i="147"/>
  <c r="AX670" i="147"/>
  <c r="AX671" i="147"/>
  <c r="AX673" i="147"/>
  <c r="AX674" i="147"/>
  <c r="AX675" i="147"/>
  <c r="AX676" i="147"/>
  <c r="AX677" i="147"/>
  <c r="AX679" i="147"/>
  <c r="AX680" i="147"/>
  <c r="AX681" i="147"/>
  <c r="AX682" i="147"/>
  <c r="AX683" i="147"/>
  <c r="AX678" i="147"/>
  <c r="AX672" i="147"/>
  <c r="AX684" i="147"/>
  <c r="AX685" i="147"/>
  <c r="AX686" i="147"/>
  <c r="AX687" i="147"/>
  <c r="AX688" i="147"/>
  <c r="AX690" i="147"/>
  <c r="AX691" i="147"/>
  <c r="AX692" i="147"/>
  <c r="AX693" i="147"/>
  <c r="AX694" i="147"/>
  <c r="AX695" i="147"/>
  <c r="AX696" i="147"/>
  <c r="AX697" i="147"/>
  <c r="AX698" i="147"/>
  <c r="AX699" i="147"/>
  <c r="AX700" i="147"/>
  <c r="AX701" i="147"/>
  <c r="AX702" i="147"/>
  <c r="AX703" i="147"/>
  <c r="AX704" i="147"/>
  <c r="AX705" i="147"/>
  <c r="AX706" i="147"/>
  <c r="AX707" i="147"/>
  <c r="AX708" i="147"/>
  <c r="AX709" i="147"/>
  <c r="AX710" i="147"/>
  <c r="AX711" i="147"/>
  <c r="AX712" i="147"/>
  <c r="AX713" i="147"/>
  <c r="AX714" i="147"/>
  <c r="AX715" i="147"/>
  <c r="AX716" i="147"/>
  <c r="AX717" i="147"/>
  <c r="AX718" i="147"/>
  <c r="AX719" i="147"/>
  <c r="AX720" i="147"/>
  <c r="AX721" i="147"/>
  <c r="AX722" i="147"/>
  <c r="AX723" i="147"/>
  <c r="AX724" i="147"/>
  <c r="AX725" i="147"/>
  <c r="AX726" i="147"/>
  <c r="AX727" i="147"/>
  <c r="AX728" i="147"/>
  <c r="AX729" i="147"/>
  <c r="AX730" i="147"/>
  <c r="AX731" i="147"/>
  <c r="AX732" i="147"/>
  <c r="AX733" i="147"/>
  <c r="AX734" i="147"/>
  <c r="AX735" i="147"/>
  <c r="AX736" i="147"/>
  <c r="BM644" i="147"/>
  <c r="BM645" i="147"/>
  <c r="BM646" i="147"/>
  <c r="BM647" i="147"/>
  <c r="BM648" i="147"/>
  <c r="BM649" i="147"/>
  <c r="BM650" i="147"/>
  <c r="BM656" i="147"/>
  <c r="BM657" i="147"/>
  <c r="BM651" i="147"/>
  <c r="BM652" i="147"/>
  <c r="BM653" i="147"/>
  <c r="BM654" i="147"/>
  <c r="BM655" i="147"/>
  <c r="BM659" i="147"/>
  <c r="BM660" i="147"/>
  <c r="BM661" i="147"/>
  <c r="BM658" i="147"/>
  <c r="BM663" i="147"/>
  <c r="BM664" i="147"/>
  <c r="BM665" i="147"/>
  <c r="BM666" i="147"/>
  <c r="BM662" i="147"/>
  <c r="BM667" i="147"/>
  <c r="BM668" i="147"/>
  <c r="BM669" i="147"/>
  <c r="BM670" i="147"/>
  <c r="BM671" i="147"/>
  <c r="BM672" i="147"/>
  <c r="BM673" i="147"/>
  <c r="BM674" i="147"/>
  <c r="BM675" i="147"/>
  <c r="BM676" i="147"/>
  <c r="BM677" i="147"/>
  <c r="BM678" i="147"/>
  <c r="BM679" i="147"/>
  <c r="BM680" i="147"/>
  <c r="BM681" i="147"/>
  <c r="BM682" i="147"/>
  <c r="BM685" i="147"/>
  <c r="BM686" i="147"/>
  <c r="BM687" i="147"/>
  <c r="BM688" i="147"/>
  <c r="BM690" i="147"/>
  <c r="BM691" i="147"/>
  <c r="BM684" i="147"/>
  <c r="BM693" i="147"/>
  <c r="BM694" i="147"/>
  <c r="BM695" i="147"/>
  <c r="BM696" i="147"/>
  <c r="BM697" i="147"/>
  <c r="BM698" i="147"/>
  <c r="BM699" i="147"/>
  <c r="BM700" i="147"/>
  <c r="BM701" i="147"/>
  <c r="BM702" i="147"/>
  <c r="BM703" i="147"/>
  <c r="BM692" i="147"/>
  <c r="BM683" i="147"/>
  <c r="BM704" i="147"/>
  <c r="BM706" i="147"/>
  <c r="BM707" i="147"/>
  <c r="BM708" i="147"/>
  <c r="BM709" i="147"/>
  <c r="BM710" i="147"/>
  <c r="BM711" i="147"/>
  <c r="BM712" i="147"/>
  <c r="BM713" i="147"/>
  <c r="BM714" i="147"/>
  <c r="BM715" i="147"/>
  <c r="BM716" i="147"/>
  <c r="BM705" i="147"/>
  <c r="BM717" i="147"/>
  <c r="BM718" i="147"/>
  <c r="BM719" i="147"/>
  <c r="BM720" i="147"/>
  <c r="BM721" i="147"/>
  <c r="BM722" i="147"/>
  <c r="BM723" i="147"/>
  <c r="BM724" i="147"/>
  <c r="BM725" i="147"/>
  <c r="BM726" i="147"/>
  <c r="BM727" i="147"/>
  <c r="BM728" i="147"/>
  <c r="BM729" i="147"/>
  <c r="BM730" i="147"/>
  <c r="BM731" i="147"/>
  <c r="BM732" i="147"/>
  <c r="BM733" i="147"/>
  <c r="BM734" i="147"/>
  <c r="BM735" i="147"/>
  <c r="BM736" i="147"/>
  <c r="BY644" i="147"/>
  <c r="BY645" i="147"/>
  <c r="BY646" i="147"/>
  <c r="BY647" i="147"/>
  <c r="BY648" i="147"/>
  <c r="BY649" i="147"/>
  <c r="BY650" i="147"/>
  <c r="BY651" i="147"/>
  <c r="BY652" i="147"/>
  <c r="BY653" i="147"/>
  <c r="BY654" i="147"/>
  <c r="BY655" i="147"/>
  <c r="BY656" i="147"/>
  <c r="BY657" i="147"/>
  <c r="BY658" i="147"/>
  <c r="BY659" i="147"/>
  <c r="BY660" i="147"/>
  <c r="BY661" i="147"/>
  <c r="BY663" i="147"/>
  <c r="BY664" i="147"/>
  <c r="BY665" i="147"/>
  <c r="BY666" i="147"/>
  <c r="BY667" i="147"/>
  <c r="BY668" i="147"/>
  <c r="BY669" i="147"/>
  <c r="BY670" i="147"/>
  <c r="BY671" i="147"/>
  <c r="BY672" i="147"/>
  <c r="BY662" i="147"/>
  <c r="BY673" i="147"/>
  <c r="BY674" i="147"/>
  <c r="BY675" i="147"/>
  <c r="BY676" i="147"/>
  <c r="BY677" i="147"/>
  <c r="BY678" i="147"/>
  <c r="BY679" i="147"/>
  <c r="BY680" i="147"/>
  <c r="BY681" i="147"/>
  <c r="BY682" i="147"/>
  <c r="BY683" i="147"/>
  <c r="BY684" i="147"/>
  <c r="BY685" i="147"/>
  <c r="BY686" i="147"/>
  <c r="BY687" i="147"/>
  <c r="BY688" i="147"/>
  <c r="BY690" i="147"/>
  <c r="BY692" i="147"/>
  <c r="BY693" i="147"/>
  <c r="BY691" i="147"/>
  <c r="BY694" i="147"/>
  <c r="BY695" i="147"/>
  <c r="BY696" i="147"/>
  <c r="BY697" i="147"/>
  <c r="BY698" i="147"/>
  <c r="BY699" i="147"/>
  <c r="BY700" i="147"/>
  <c r="BY701" i="147"/>
  <c r="BY702" i="147"/>
  <c r="BY705" i="147"/>
  <c r="BY706" i="147"/>
  <c r="BY707" i="147"/>
  <c r="BY708" i="147"/>
  <c r="BY709" i="147"/>
  <c r="BY710" i="147"/>
  <c r="BY711" i="147"/>
  <c r="BY712" i="147"/>
  <c r="BY713" i="147"/>
  <c r="BY714" i="147"/>
  <c r="BY715" i="147"/>
  <c r="BY716" i="147"/>
  <c r="BY703" i="147"/>
  <c r="BY704" i="147"/>
  <c r="BY717" i="147"/>
  <c r="BY718" i="147"/>
  <c r="BY719" i="147"/>
  <c r="BY720" i="147"/>
  <c r="BY721" i="147"/>
  <c r="BY722" i="147"/>
  <c r="BY723" i="147"/>
  <c r="BY724" i="147"/>
  <c r="BY725" i="147"/>
  <c r="BY726" i="147"/>
  <c r="BY727" i="147"/>
  <c r="BY728" i="147"/>
  <c r="BY729" i="147"/>
  <c r="BY730" i="147"/>
  <c r="BY731" i="147"/>
  <c r="BY732" i="147"/>
  <c r="BY733" i="147"/>
  <c r="BY734" i="147"/>
  <c r="BY735" i="147"/>
  <c r="BY736" i="147"/>
  <c r="CK644" i="147"/>
  <c r="CK645" i="147"/>
  <c r="CK646" i="147"/>
  <c r="CK647" i="147"/>
  <c r="CK648" i="147"/>
  <c r="CK649" i="147"/>
  <c r="CK650" i="147"/>
  <c r="CK656" i="147"/>
  <c r="CK657" i="147"/>
  <c r="CK658" i="147"/>
  <c r="CK659" i="147"/>
  <c r="CK660" i="147"/>
  <c r="CK654" i="147"/>
  <c r="CK653" i="147"/>
  <c r="CK652" i="147"/>
  <c r="CK655" i="147"/>
  <c r="CK663" i="147"/>
  <c r="CK664" i="147"/>
  <c r="CK665" i="147"/>
  <c r="CK666" i="147"/>
  <c r="CK662" i="147"/>
  <c r="CK661" i="147"/>
  <c r="CK667" i="147"/>
  <c r="CK668" i="147"/>
  <c r="CK669" i="147"/>
  <c r="CK670" i="147"/>
  <c r="CK671" i="147"/>
  <c r="CK651" i="147"/>
  <c r="CK672" i="147"/>
  <c r="CK673" i="147"/>
  <c r="CK674" i="147"/>
  <c r="CK675" i="147"/>
  <c r="CK676" i="147"/>
  <c r="CK677" i="147"/>
  <c r="CK678" i="147"/>
  <c r="CK679" i="147"/>
  <c r="CK680" i="147"/>
  <c r="CK681" i="147"/>
  <c r="CK682" i="147"/>
  <c r="CK685" i="147"/>
  <c r="CK686" i="147"/>
  <c r="CK687" i="147"/>
  <c r="CK688" i="147"/>
  <c r="CK690" i="147"/>
  <c r="CK684" i="147"/>
  <c r="CK694" i="147"/>
  <c r="CK695" i="147"/>
  <c r="CK696" i="147"/>
  <c r="CK697" i="147"/>
  <c r="CK698" i="147"/>
  <c r="CK699" i="147"/>
  <c r="CK700" i="147"/>
  <c r="CK701" i="147"/>
  <c r="CK702" i="147"/>
  <c r="CK692" i="147"/>
  <c r="CK693" i="147"/>
  <c r="CK683" i="147"/>
  <c r="CK706" i="147"/>
  <c r="CK707" i="147"/>
  <c r="CK708" i="147"/>
  <c r="CK709" i="147"/>
  <c r="CK710" i="147"/>
  <c r="CK711" i="147"/>
  <c r="CK712" i="147"/>
  <c r="CK713" i="147"/>
  <c r="CK714" i="147"/>
  <c r="CK715" i="147"/>
  <c r="CK716" i="147"/>
  <c r="CK703" i="147"/>
  <c r="CK704" i="147"/>
  <c r="CK705" i="147"/>
  <c r="CK717" i="147"/>
  <c r="CK718" i="147"/>
  <c r="CK719" i="147"/>
  <c r="CK720" i="147"/>
  <c r="CK721" i="147"/>
  <c r="CK722" i="147"/>
  <c r="CK723" i="147"/>
  <c r="CK724" i="147"/>
  <c r="CK725" i="147"/>
  <c r="CK726" i="147"/>
  <c r="CK727" i="147"/>
  <c r="CK728" i="147"/>
  <c r="CK729" i="147"/>
  <c r="CK730" i="147"/>
  <c r="CK731" i="147"/>
  <c r="CK732" i="147"/>
  <c r="CK733" i="147"/>
  <c r="CK734" i="147"/>
  <c r="CK735" i="147"/>
  <c r="CK736" i="147"/>
  <c r="CW644" i="147"/>
  <c r="CW645" i="147"/>
  <c r="CW646" i="147"/>
  <c r="CW647" i="147"/>
  <c r="CW648" i="147"/>
  <c r="CW649" i="147"/>
  <c r="CW650" i="147"/>
  <c r="CW651" i="147"/>
  <c r="CW652" i="147"/>
  <c r="CW653" i="147"/>
  <c r="CW654" i="147"/>
  <c r="CW656" i="147"/>
  <c r="CW657" i="147"/>
  <c r="CW655" i="147"/>
  <c r="CW659" i="147"/>
  <c r="CW660" i="147"/>
  <c r="CW663" i="147"/>
  <c r="CW664" i="147"/>
  <c r="CW665" i="147"/>
  <c r="CW666" i="147"/>
  <c r="CW661" i="147"/>
  <c r="CW662" i="147"/>
  <c r="CW658" i="147"/>
  <c r="CW667" i="147"/>
  <c r="CW668" i="147"/>
  <c r="CW670" i="147"/>
  <c r="CW671" i="147"/>
  <c r="CW672" i="147"/>
  <c r="CW673" i="147"/>
  <c r="CW674" i="147"/>
  <c r="CW675" i="147"/>
  <c r="CW676" i="147"/>
  <c r="CW677" i="147"/>
  <c r="CW678" i="147"/>
  <c r="CW679" i="147"/>
  <c r="CW680" i="147"/>
  <c r="CW681" i="147"/>
  <c r="CW685" i="147"/>
  <c r="CW686" i="147"/>
  <c r="CW687" i="147"/>
  <c r="CW688" i="147"/>
  <c r="CW690" i="147"/>
  <c r="CW692" i="147"/>
  <c r="CW693" i="147"/>
  <c r="CW694" i="147"/>
  <c r="CW695" i="147"/>
  <c r="CW696" i="147"/>
  <c r="CW697" i="147"/>
  <c r="CW698" i="147"/>
  <c r="CW699" i="147"/>
  <c r="CW700" i="147"/>
  <c r="CW701" i="147"/>
  <c r="CW702" i="147"/>
  <c r="CW691" i="147"/>
  <c r="CW684" i="147"/>
  <c r="CW703" i="147"/>
  <c r="CW704" i="147"/>
  <c r="CW705" i="147"/>
  <c r="CW706" i="147"/>
  <c r="CW707" i="147"/>
  <c r="CW708" i="147"/>
  <c r="CW709" i="147"/>
  <c r="CW710" i="147"/>
  <c r="CW711" i="147"/>
  <c r="CW712" i="147"/>
  <c r="CW713" i="147"/>
  <c r="CW714" i="147"/>
  <c r="CW715" i="147"/>
  <c r="CW716" i="147"/>
  <c r="CW717" i="147"/>
  <c r="CW718" i="147"/>
  <c r="CW719" i="147"/>
  <c r="CW720" i="147"/>
  <c r="CW721" i="147"/>
  <c r="CW722" i="147"/>
  <c r="CW723" i="147"/>
  <c r="CW724" i="147"/>
  <c r="CW725" i="147"/>
  <c r="CW726" i="147"/>
  <c r="CW727" i="147"/>
  <c r="CW728" i="147"/>
  <c r="CW729" i="147"/>
  <c r="CW730" i="147"/>
  <c r="CW731" i="147"/>
  <c r="CW732" i="147"/>
  <c r="CW733" i="147"/>
  <c r="CW734" i="147"/>
  <c r="CW735" i="147"/>
  <c r="CW736" i="147"/>
  <c r="DI644" i="147"/>
  <c r="DI645" i="147"/>
  <c r="DI646" i="147"/>
  <c r="DI647" i="147"/>
  <c r="DI648" i="147"/>
  <c r="DI649" i="147"/>
  <c r="DI650" i="147"/>
  <c r="DI651" i="147"/>
  <c r="DI652" i="147"/>
  <c r="DI653" i="147"/>
  <c r="DI654" i="147"/>
  <c r="DI655" i="147"/>
  <c r="DI656" i="147"/>
  <c r="DI657" i="147"/>
  <c r="DI659" i="147"/>
  <c r="DI660" i="147"/>
  <c r="DI658" i="147"/>
  <c r="DI662" i="147"/>
  <c r="DI663" i="147"/>
  <c r="DI664" i="147"/>
  <c r="DI665" i="147"/>
  <c r="DI666" i="147"/>
  <c r="DI661" i="147"/>
  <c r="DI667" i="147"/>
  <c r="DI668" i="147"/>
  <c r="DI669" i="147"/>
  <c r="DI670" i="147"/>
  <c r="DI671" i="147"/>
  <c r="DI672" i="147"/>
  <c r="DI673" i="147"/>
  <c r="DI674" i="147"/>
  <c r="DI675" i="147"/>
  <c r="DI676" i="147"/>
  <c r="DI677" i="147"/>
  <c r="DI678" i="147"/>
  <c r="DI679" i="147"/>
  <c r="DI680" i="147"/>
  <c r="DI681" i="147"/>
  <c r="DI682" i="147"/>
  <c r="DI683" i="147"/>
  <c r="DI684" i="147"/>
  <c r="DI685" i="147"/>
  <c r="DI686" i="147"/>
  <c r="DI687" i="147"/>
  <c r="DI688" i="147"/>
  <c r="DI693" i="147"/>
  <c r="DI694" i="147"/>
  <c r="DI695" i="147"/>
  <c r="DI696" i="147"/>
  <c r="DI697" i="147"/>
  <c r="DI698" i="147"/>
  <c r="DI699" i="147"/>
  <c r="DI700" i="147"/>
  <c r="DI701" i="147"/>
  <c r="DI702" i="147"/>
  <c r="DI692" i="147"/>
  <c r="DI705" i="147"/>
  <c r="DI706" i="147"/>
  <c r="DI707" i="147"/>
  <c r="DI708" i="147"/>
  <c r="DI709" i="147"/>
  <c r="DI710" i="147"/>
  <c r="DI711" i="147"/>
  <c r="DI712" i="147"/>
  <c r="DI713" i="147"/>
  <c r="DI714" i="147"/>
  <c r="DI715" i="147"/>
  <c r="DI716" i="147"/>
  <c r="DI703" i="147"/>
  <c r="DI704" i="147"/>
  <c r="DI717" i="147"/>
  <c r="DI718" i="147"/>
  <c r="DI719" i="147"/>
  <c r="DI720" i="147"/>
  <c r="DI721" i="147"/>
  <c r="DI722" i="147"/>
  <c r="DI723" i="147"/>
  <c r="DI724" i="147"/>
  <c r="DI725" i="147"/>
  <c r="DI726" i="147"/>
  <c r="DI727" i="147"/>
  <c r="DI728" i="147"/>
  <c r="DI729" i="147"/>
  <c r="DI730" i="147"/>
  <c r="DI731" i="147"/>
  <c r="DI732" i="147"/>
  <c r="DI733" i="147"/>
  <c r="DI734" i="147"/>
  <c r="DI735" i="147"/>
  <c r="DI736" i="147"/>
  <c r="DU644" i="147"/>
  <c r="DU645" i="147"/>
  <c r="DU646" i="147"/>
  <c r="DU647" i="147"/>
  <c r="DU648" i="147"/>
  <c r="DU649" i="147"/>
  <c r="DU650" i="147"/>
  <c r="DU651" i="147"/>
  <c r="DU652" i="147"/>
  <c r="DU653" i="147"/>
  <c r="DU654" i="147"/>
  <c r="DU656" i="147"/>
  <c r="DU657" i="147"/>
  <c r="DU658" i="147"/>
  <c r="DU659" i="147"/>
  <c r="DU660" i="147"/>
  <c r="DU655" i="147"/>
  <c r="DU662" i="147"/>
  <c r="DU663" i="147"/>
  <c r="DU664" i="147"/>
  <c r="DU665" i="147"/>
  <c r="DU666" i="147"/>
  <c r="DU667" i="147"/>
  <c r="DU668" i="147"/>
  <c r="DU669" i="147"/>
  <c r="DU670" i="147"/>
  <c r="DU671" i="147"/>
  <c r="DU661" i="147"/>
  <c r="DU672" i="147"/>
  <c r="DU673" i="147"/>
  <c r="DU674" i="147"/>
  <c r="DU675" i="147"/>
  <c r="DU676" i="147"/>
  <c r="DU677" i="147"/>
  <c r="DU678" i="147"/>
  <c r="DU679" i="147"/>
  <c r="DU680" i="147"/>
  <c r="DU681" i="147"/>
  <c r="DU682" i="147"/>
  <c r="DU685" i="147"/>
  <c r="DU686" i="147"/>
  <c r="DU687" i="147"/>
  <c r="DU688" i="147"/>
  <c r="DU690" i="147"/>
  <c r="DU684" i="147"/>
  <c r="DU683" i="147"/>
  <c r="DU692" i="147"/>
  <c r="DU691" i="147"/>
  <c r="DU694" i="147"/>
  <c r="DU695" i="147"/>
  <c r="DU696" i="147"/>
  <c r="DU697" i="147"/>
  <c r="DU698" i="147"/>
  <c r="DU699" i="147"/>
  <c r="DU700" i="147"/>
  <c r="DU701" i="147"/>
  <c r="DU702" i="147"/>
  <c r="DU706" i="147"/>
  <c r="DU707" i="147"/>
  <c r="DU708" i="147"/>
  <c r="DU709" i="147"/>
  <c r="DU710" i="147"/>
  <c r="DU711" i="147"/>
  <c r="DU712" i="147"/>
  <c r="DU713" i="147"/>
  <c r="DU714" i="147"/>
  <c r="DU715" i="147"/>
  <c r="DU716" i="147"/>
  <c r="DU693" i="147"/>
  <c r="DU705" i="147"/>
  <c r="DU703" i="147"/>
  <c r="DU704" i="147"/>
  <c r="DU717" i="147"/>
  <c r="DU718" i="147"/>
  <c r="DU719" i="147"/>
  <c r="DU720" i="147"/>
  <c r="DU721" i="147"/>
  <c r="DU722" i="147"/>
  <c r="DU723" i="147"/>
  <c r="DU724" i="147"/>
  <c r="DU725" i="147"/>
  <c r="DU726" i="147"/>
  <c r="DU727" i="147"/>
  <c r="DU728" i="147"/>
  <c r="DU729" i="147"/>
  <c r="DU730" i="147"/>
  <c r="DU731" i="147"/>
  <c r="DU732" i="147"/>
  <c r="DU733" i="147"/>
  <c r="DU734" i="147"/>
  <c r="DU735" i="147"/>
  <c r="DU736" i="147"/>
  <c r="EI644" i="147"/>
  <c r="EI645" i="147"/>
  <c r="EI646" i="147"/>
  <c r="EI647" i="147"/>
  <c r="EI650" i="147"/>
  <c r="EI651" i="147"/>
  <c r="EI652" i="147"/>
  <c r="EI653" i="147"/>
  <c r="EI654" i="147"/>
  <c r="EI648" i="147"/>
  <c r="EI655" i="147"/>
  <c r="EI656" i="147"/>
  <c r="EI657" i="147"/>
  <c r="EI658" i="147"/>
  <c r="EI659" i="147"/>
  <c r="EI660" i="147"/>
  <c r="EI649" i="147"/>
  <c r="EI661" i="147"/>
  <c r="EI662" i="147"/>
  <c r="EI663" i="147"/>
  <c r="EI664" i="147"/>
  <c r="EI665" i="147"/>
  <c r="EI666" i="147"/>
  <c r="EI667" i="147"/>
  <c r="EI668" i="147"/>
  <c r="EI669" i="147"/>
  <c r="EI670" i="147"/>
  <c r="EI671" i="147"/>
  <c r="EI672" i="147"/>
  <c r="EI673" i="147"/>
  <c r="EI674" i="147"/>
  <c r="EI675" i="147"/>
  <c r="EI676" i="147"/>
  <c r="EI677" i="147"/>
  <c r="EI678" i="147"/>
  <c r="EI679" i="147"/>
  <c r="EI680" i="147"/>
  <c r="EI681" i="147"/>
  <c r="EI682" i="147"/>
  <c r="EI684" i="147"/>
  <c r="EI685" i="147"/>
  <c r="EI686" i="147"/>
  <c r="EI687" i="147"/>
  <c r="EI688" i="147"/>
  <c r="EI690" i="147"/>
  <c r="EI691" i="147"/>
  <c r="EI683" i="147"/>
  <c r="EI692" i="147"/>
  <c r="EI694" i="147"/>
  <c r="EI695" i="147"/>
  <c r="EI696" i="147"/>
  <c r="EI697" i="147"/>
  <c r="EI698" i="147"/>
  <c r="EI699" i="147"/>
  <c r="EI700" i="147"/>
  <c r="EI701" i="147"/>
  <c r="EI702" i="147"/>
  <c r="EI703" i="147"/>
  <c r="EI704" i="147"/>
  <c r="EI693" i="147"/>
  <c r="EI705" i="147"/>
  <c r="EI706" i="147"/>
  <c r="EI707" i="147"/>
  <c r="EI708" i="147"/>
  <c r="EI709" i="147"/>
  <c r="EI710" i="147"/>
  <c r="EI711" i="147"/>
  <c r="EI712" i="147"/>
  <c r="EI713" i="147"/>
  <c r="EI714" i="147"/>
  <c r="EI715" i="147"/>
  <c r="EI716" i="147"/>
  <c r="EI727" i="147"/>
  <c r="EI728" i="147"/>
  <c r="EI729" i="147"/>
  <c r="EI730" i="147"/>
  <c r="EI731" i="147"/>
  <c r="EI732" i="147"/>
  <c r="EI733" i="147"/>
  <c r="EI734" i="147"/>
  <c r="EI735" i="147"/>
  <c r="EI736" i="147"/>
  <c r="EI725" i="147"/>
  <c r="EI726" i="147"/>
  <c r="EI717" i="147"/>
  <c r="EI718" i="147"/>
  <c r="EI719" i="147"/>
  <c r="EI720" i="147"/>
  <c r="EI721" i="147"/>
  <c r="EI722" i="147"/>
  <c r="EI723" i="147"/>
  <c r="EI724" i="147"/>
  <c r="EU644" i="147"/>
  <c r="EU645" i="147"/>
  <c r="EU646" i="147"/>
  <c r="EU647" i="147"/>
  <c r="EU651" i="147"/>
  <c r="EU652" i="147"/>
  <c r="EU653" i="147"/>
  <c r="EU654" i="147"/>
  <c r="EU649" i="147"/>
  <c r="EU648" i="147"/>
  <c r="EU650" i="147"/>
  <c r="EU655" i="147"/>
  <c r="EU656" i="147"/>
  <c r="EU657" i="147"/>
  <c r="EU658" i="147"/>
  <c r="EU659" i="147"/>
  <c r="EU660" i="147"/>
  <c r="EU662" i="147"/>
  <c r="EU663" i="147"/>
  <c r="EU664" i="147"/>
  <c r="EU665" i="147"/>
  <c r="EU661" i="147"/>
  <c r="EU666" i="147"/>
  <c r="EU667" i="147"/>
  <c r="EU668" i="147"/>
  <c r="EU669" i="147"/>
  <c r="EU670" i="147"/>
  <c r="EU671" i="147"/>
  <c r="EU672" i="147"/>
  <c r="EU673" i="147"/>
  <c r="EU674" i="147"/>
  <c r="EU675" i="147"/>
  <c r="EU676" i="147"/>
  <c r="EU677" i="147"/>
  <c r="EU678" i="147"/>
  <c r="EU679" i="147"/>
  <c r="EU680" i="147"/>
  <c r="EU681" i="147"/>
  <c r="EU682" i="147"/>
  <c r="EU683" i="147"/>
  <c r="EU684" i="147"/>
  <c r="EU685" i="147"/>
  <c r="EU686" i="147"/>
  <c r="EU687" i="147"/>
  <c r="EU688" i="147"/>
  <c r="EU690" i="147"/>
  <c r="EU691" i="147"/>
  <c r="EU692" i="147"/>
  <c r="EU693" i="147"/>
  <c r="EU694" i="147"/>
  <c r="EU695" i="147"/>
  <c r="EU696" i="147"/>
  <c r="EU697" i="147"/>
  <c r="EU698" i="147"/>
  <c r="EU699" i="147"/>
  <c r="EU700" i="147"/>
  <c r="EU701" i="147"/>
  <c r="EU702" i="147"/>
  <c r="EU703" i="147"/>
  <c r="EU704" i="147"/>
  <c r="EU705" i="147"/>
  <c r="EU706" i="147"/>
  <c r="EU707" i="147"/>
  <c r="EU708" i="147"/>
  <c r="EU709" i="147"/>
  <c r="EU710" i="147"/>
  <c r="EU711" i="147"/>
  <c r="EU712" i="147"/>
  <c r="EU713" i="147"/>
  <c r="EU714" i="147"/>
  <c r="EU715" i="147"/>
  <c r="EU716" i="147"/>
  <c r="EU728" i="147"/>
  <c r="EU729" i="147"/>
  <c r="EU730" i="147"/>
  <c r="EU731" i="147"/>
  <c r="EU732" i="147"/>
  <c r="EU733" i="147"/>
  <c r="EU734" i="147"/>
  <c r="EU735" i="147"/>
  <c r="EU736" i="147"/>
  <c r="EU727" i="147"/>
  <c r="EU725" i="147"/>
  <c r="EU726" i="147"/>
  <c r="EU717" i="147"/>
  <c r="EU718" i="147"/>
  <c r="EU719" i="147"/>
  <c r="EU720" i="147"/>
  <c r="EU721" i="147"/>
  <c r="EU722" i="147"/>
  <c r="EU723" i="147"/>
  <c r="EU724" i="147"/>
  <c r="J652" i="147"/>
  <c r="J664" i="147"/>
  <c r="J676" i="147"/>
  <c r="J688" i="147"/>
  <c r="J701" i="147"/>
  <c r="J713" i="147"/>
  <c r="J725" i="147"/>
  <c r="J677" i="147"/>
  <c r="J714" i="147"/>
  <c r="J653" i="147"/>
  <c r="J665" i="147"/>
  <c r="J690" i="147"/>
  <c r="J702" i="147"/>
  <c r="J726" i="147"/>
  <c r="J654" i="147"/>
  <c r="J666" i="147"/>
  <c r="J678" i="147"/>
  <c r="J691" i="147"/>
  <c r="J703" i="147"/>
  <c r="J715" i="147"/>
  <c r="J727" i="147"/>
  <c r="J655" i="147"/>
  <c r="J667" i="147"/>
  <c r="J679" i="147"/>
  <c r="J704" i="147"/>
  <c r="J716" i="147"/>
  <c r="J728" i="147"/>
  <c r="J645" i="147"/>
  <c r="J657" i="147"/>
  <c r="J669" i="147"/>
  <c r="J681" i="147"/>
  <c r="J694" i="147"/>
  <c r="J706" i="147"/>
  <c r="J718" i="147"/>
  <c r="J730" i="147"/>
  <c r="J646" i="147"/>
  <c r="J658" i="147"/>
  <c r="J670" i="147"/>
  <c r="J682" i="147"/>
  <c r="J695" i="147"/>
  <c r="J707" i="147"/>
  <c r="J719" i="147"/>
  <c r="J731" i="147"/>
  <c r="J647" i="147"/>
  <c r="J659" i="147"/>
  <c r="J671" i="147"/>
  <c r="J683" i="147"/>
  <c r="J696" i="147"/>
  <c r="J708" i="147"/>
  <c r="J720" i="147"/>
  <c r="J732" i="147"/>
  <c r="J648" i="147"/>
  <c r="J660" i="147"/>
  <c r="J672" i="147"/>
  <c r="J684" i="147"/>
  <c r="J697" i="147"/>
  <c r="J709" i="147"/>
  <c r="J721" i="147"/>
  <c r="J733" i="147"/>
  <c r="J649" i="147"/>
  <c r="J661" i="147"/>
  <c r="J673" i="147"/>
  <c r="J685" i="147"/>
  <c r="J698" i="147"/>
  <c r="J710" i="147"/>
  <c r="J722" i="147"/>
  <c r="J734" i="147"/>
  <c r="J651" i="147"/>
  <c r="J663" i="147"/>
  <c r="J675" i="147"/>
  <c r="J687" i="147"/>
  <c r="J700" i="147"/>
  <c r="J712" i="147"/>
  <c r="J724" i="147"/>
  <c r="J736" i="147"/>
  <c r="J717" i="147"/>
  <c r="J650" i="147"/>
  <c r="J723" i="147"/>
  <c r="J705" i="147"/>
  <c r="J656" i="147"/>
  <c r="J729" i="147"/>
  <c r="J662" i="147"/>
  <c r="J735" i="147"/>
  <c r="J668" i="147"/>
  <c r="J699" i="147"/>
  <c r="J674" i="147"/>
  <c r="J686" i="147"/>
  <c r="J693" i="147"/>
  <c r="J711" i="147"/>
  <c r="X644" i="147"/>
  <c r="X645" i="147"/>
  <c r="X646" i="147"/>
  <c r="X647" i="147"/>
  <c r="X648" i="147"/>
  <c r="X651" i="147"/>
  <c r="X652" i="147"/>
  <c r="X653" i="147"/>
  <c r="X654" i="147"/>
  <c r="X655" i="147"/>
  <c r="X650" i="147"/>
  <c r="X649" i="147"/>
  <c r="X659" i="147"/>
  <c r="X660" i="147"/>
  <c r="X661" i="147"/>
  <c r="X656" i="147"/>
  <c r="X657" i="147"/>
  <c r="X658" i="147"/>
  <c r="X662" i="147"/>
  <c r="X663" i="147"/>
  <c r="X664" i="147"/>
  <c r="X665" i="147"/>
  <c r="X666" i="147"/>
  <c r="X668" i="147"/>
  <c r="X669" i="147"/>
  <c r="X670" i="147"/>
  <c r="X671" i="147"/>
  <c r="X672" i="147"/>
  <c r="X673" i="147"/>
  <c r="X675" i="147"/>
  <c r="X676" i="147"/>
  <c r="X677" i="147"/>
  <c r="X678" i="147"/>
  <c r="X686" i="147"/>
  <c r="X687" i="147"/>
  <c r="X688" i="147"/>
  <c r="X690" i="147"/>
  <c r="X691" i="147"/>
  <c r="X692" i="147"/>
  <c r="X679" i="147"/>
  <c r="X680" i="147"/>
  <c r="X682" i="147"/>
  <c r="X683" i="147"/>
  <c r="X685" i="147"/>
  <c r="X684" i="147"/>
  <c r="X696" i="147"/>
  <c r="X697" i="147"/>
  <c r="X698" i="147"/>
  <c r="X699" i="147"/>
  <c r="X700" i="147"/>
  <c r="X701" i="147"/>
  <c r="X702" i="147"/>
  <c r="X693" i="147"/>
  <c r="X694" i="147"/>
  <c r="X706" i="147"/>
  <c r="X707" i="147"/>
  <c r="X708" i="147"/>
  <c r="X709" i="147"/>
  <c r="X710" i="147"/>
  <c r="X711" i="147"/>
  <c r="X712" i="147"/>
  <c r="X713" i="147"/>
  <c r="X714" i="147"/>
  <c r="X715" i="147"/>
  <c r="X716" i="147"/>
  <c r="X704" i="147"/>
  <c r="X705" i="147"/>
  <c r="X703" i="147"/>
  <c r="X717" i="147"/>
  <c r="X718" i="147"/>
  <c r="X719" i="147"/>
  <c r="X720" i="147"/>
  <c r="X721" i="147"/>
  <c r="X722" i="147"/>
  <c r="X723" i="147"/>
  <c r="X724" i="147"/>
  <c r="X725" i="147"/>
  <c r="X726" i="147"/>
  <c r="X727" i="147"/>
  <c r="X728" i="147"/>
  <c r="X729" i="147"/>
  <c r="X730" i="147"/>
  <c r="X731" i="147"/>
  <c r="X732" i="147"/>
  <c r="X733" i="147"/>
  <c r="X734" i="147"/>
  <c r="X735" i="147"/>
  <c r="X736" i="147"/>
  <c r="AM644" i="147"/>
  <c r="AM645" i="147"/>
  <c r="AM646" i="147"/>
  <c r="AM647" i="147"/>
  <c r="AM648" i="147"/>
  <c r="AM649" i="147"/>
  <c r="AM650" i="147"/>
  <c r="AM651" i="147"/>
  <c r="AM652" i="147"/>
  <c r="AM653" i="147"/>
  <c r="AM654" i="147"/>
  <c r="AM655" i="147"/>
  <c r="AM656" i="147"/>
  <c r="AM657" i="147"/>
  <c r="AM658" i="147"/>
  <c r="AM659" i="147"/>
  <c r="AM660" i="147"/>
  <c r="AM661" i="147"/>
  <c r="AM663" i="147"/>
  <c r="AM664" i="147"/>
  <c r="AM665" i="147"/>
  <c r="AM666" i="147"/>
  <c r="AM667" i="147"/>
  <c r="AM662" i="147"/>
  <c r="AM668" i="147"/>
  <c r="AM669" i="147"/>
  <c r="AM670" i="147"/>
  <c r="AM671" i="147"/>
  <c r="AM672" i="147"/>
  <c r="AM679" i="147"/>
  <c r="AM680" i="147"/>
  <c r="AM681" i="147"/>
  <c r="AM682" i="147"/>
  <c r="AM683" i="147"/>
  <c r="AM684" i="147"/>
  <c r="AM685" i="147"/>
  <c r="AM673" i="147"/>
  <c r="AM674" i="147"/>
  <c r="AM675" i="147"/>
  <c r="AM676" i="147"/>
  <c r="AM677" i="147"/>
  <c r="AM678" i="147"/>
  <c r="AM694" i="147"/>
  <c r="AM686" i="147"/>
  <c r="AM687" i="147"/>
  <c r="AM688" i="147"/>
  <c r="AM690" i="147"/>
  <c r="AM691" i="147"/>
  <c r="AM692" i="147"/>
  <c r="AM693" i="147"/>
  <c r="AM695" i="147"/>
  <c r="AM696" i="147"/>
  <c r="AM697" i="147"/>
  <c r="AM698" i="147"/>
  <c r="AM699" i="147"/>
  <c r="AM700" i="147"/>
  <c r="AM701" i="147"/>
  <c r="AM702" i="147"/>
  <c r="AM706" i="147"/>
  <c r="AM707" i="147"/>
  <c r="AM708" i="147"/>
  <c r="AM709" i="147"/>
  <c r="AM710" i="147"/>
  <c r="AM711" i="147"/>
  <c r="AM712" i="147"/>
  <c r="AM713" i="147"/>
  <c r="AM714" i="147"/>
  <c r="AM715" i="147"/>
  <c r="AM716" i="147"/>
  <c r="AM704" i="147"/>
  <c r="AM703" i="147"/>
  <c r="AM705" i="147"/>
  <c r="AM717" i="147"/>
  <c r="AM718" i="147"/>
  <c r="AM719" i="147"/>
  <c r="AM720" i="147"/>
  <c r="AM721" i="147"/>
  <c r="AM722" i="147"/>
  <c r="AM723" i="147"/>
  <c r="AM724" i="147"/>
  <c r="AM725" i="147"/>
  <c r="AM726" i="147"/>
  <c r="AM728" i="147"/>
  <c r="AM727" i="147"/>
  <c r="AM729" i="147"/>
  <c r="AM730" i="147"/>
  <c r="AM731" i="147"/>
  <c r="AM732" i="147"/>
  <c r="AM733" i="147"/>
  <c r="AM734" i="147"/>
  <c r="AM735" i="147"/>
  <c r="AM736" i="147"/>
  <c r="AY644" i="147"/>
  <c r="AY645" i="147"/>
  <c r="AY646" i="147"/>
  <c r="AY647" i="147"/>
  <c r="AY648" i="147"/>
  <c r="AY649" i="147"/>
  <c r="AY650" i="147"/>
  <c r="AY651" i="147"/>
  <c r="AY652" i="147"/>
  <c r="AY653" i="147"/>
  <c r="AY654" i="147"/>
  <c r="AY655" i="147"/>
  <c r="AY656" i="147"/>
  <c r="AY657" i="147"/>
  <c r="AY658" i="147"/>
  <c r="AY659" i="147"/>
  <c r="AY660" i="147"/>
  <c r="AY663" i="147"/>
  <c r="AY664" i="147"/>
  <c r="AY665" i="147"/>
  <c r="AY666" i="147"/>
  <c r="AY667" i="147"/>
  <c r="AY662" i="147"/>
  <c r="AY661" i="147"/>
  <c r="AY672" i="147"/>
  <c r="AY668" i="147"/>
  <c r="AY679" i="147"/>
  <c r="AY680" i="147"/>
  <c r="AY681" i="147"/>
  <c r="AY682" i="147"/>
  <c r="AY683" i="147"/>
  <c r="AY684" i="147"/>
  <c r="AY678" i="147"/>
  <c r="AY671" i="147"/>
  <c r="AY670" i="147"/>
  <c r="AY669" i="147"/>
  <c r="AY673" i="147"/>
  <c r="AY674" i="147"/>
  <c r="AY675" i="147"/>
  <c r="AY676" i="147"/>
  <c r="AY677" i="147"/>
  <c r="AY692" i="147"/>
  <c r="AY693" i="147"/>
  <c r="AY685" i="147"/>
  <c r="AY686" i="147"/>
  <c r="AY687" i="147"/>
  <c r="AY688" i="147"/>
  <c r="AY690" i="147"/>
  <c r="AY691" i="147"/>
  <c r="AY703" i="147"/>
  <c r="AY694" i="147"/>
  <c r="AY695" i="147"/>
  <c r="AY696" i="147"/>
  <c r="AY697" i="147"/>
  <c r="AY698" i="147"/>
  <c r="AY699" i="147"/>
  <c r="AY700" i="147"/>
  <c r="AY701" i="147"/>
  <c r="AY702" i="147"/>
  <c r="AY706" i="147"/>
  <c r="AY707" i="147"/>
  <c r="AY708" i="147"/>
  <c r="AY709" i="147"/>
  <c r="AY710" i="147"/>
  <c r="AY711" i="147"/>
  <c r="AY712" i="147"/>
  <c r="AY713" i="147"/>
  <c r="AY714" i="147"/>
  <c r="AY715" i="147"/>
  <c r="AY716" i="147"/>
  <c r="AY705" i="147"/>
  <c r="AY717" i="147"/>
  <c r="AY718" i="147"/>
  <c r="AY719" i="147"/>
  <c r="AY720" i="147"/>
  <c r="AY721" i="147"/>
  <c r="AY722" i="147"/>
  <c r="AY723" i="147"/>
  <c r="AY724" i="147"/>
  <c r="AY725" i="147"/>
  <c r="AY726" i="147"/>
  <c r="AY704" i="147"/>
  <c r="AY727" i="147"/>
  <c r="AY728" i="147"/>
  <c r="AY729" i="147"/>
  <c r="AY730" i="147"/>
  <c r="AY731" i="147"/>
  <c r="AY732" i="147"/>
  <c r="AY733" i="147"/>
  <c r="AY734" i="147"/>
  <c r="AY735" i="147"/>
  <c r="AY736" i="147"/>
  <c r="BN644" i="147"/>
  <c r="BN645" i="147"/>
  <c r="BN646" i="147"/>
  <c r="BN647" i="147"/>
  <c r="BN648" i="147"/>
  <c r="BN649" i="147"/>
  <c r="BN650" i="147"/>
  <c r="BN651" i="147"/>
  <c r="BN652" i="147"/>
  <c r="BN653" i="147"/>
  <c r="BN654" i="147"/>
  <c r="BN655" i="147"/>
  <c r="BN656" i="147"/>
  <c r="BN657" i="147"/>
  <c r="BN658" i="147"/>
  <c r="BN659" i="147"/>
  <c r="BN660" i="147"/>
  <c r="BN661" i="147"/>
  <c r="BN663" i="147"/>
  <c r="BN664" i="147"/>
  <c r="BN665" i="147"/>
  <c r="BN666" i="147"/>
  <c r="BN662" i="147"/>
  <c r="BN667" i="147"/>
  <c r="BN668" i="147"/>
  <c r="BN669" i="147"/>
  <c r="BN670" i="147"/>
  <c r="BN671" i="147"/>
  <c r="BN672" i="147"/>
  <c r="BN673" i="147"/>
  <c r="BN674" i="147"/>
  <c r="BN675" i="147"/>
  <c r="BN676" i="147"/>
  <c r="BN677" i="147"/>
  <c r="BN678" i="147"/>
  <c r="BN679" i="147"/>
  <c r="BN680" i="147"/>
  <c r="BN681" i="147"/>
  <c r="BN682" i="147"/>
  <c r="BN683" i="147"/>
  <c r="BN685" i="147"/>
  <c r="BN686" i="147"/>
  <c r="BN687" i="147"/>
  <c r="BN688" i="147"/>
  <c r="BN690" i="147"/>
  <c r="BN691" i="147"/>
  <c r="BN692" i="147"/>
  <c r="BN693" i="147"/>
  <c r="BN684" i="147"/>
  <c r="BN694" i="147"/>
  <c r="BN695" i="147"/>
  <c r="BN696" i="147"/>
  <c r="BN697" i="147"/>
  <c r="BN698" i="147"/>
  <c r="BN699" i="147"/>
  <c r="BN700" i="147"/>
  <c r="BN701" i="147"/>
  <c r="BN702" i="147"/>
  <c r="BN703" i="147"/>
  <c r="BN704" i="147"/>
  <c r="BN705" i="147"/>
  <c r="BN706" i="147"/>
  <c r="BN707" i="147"/>
  <c r="BN708" i="147"/>
  <c r="BN709" i="147"/>
  <c r="BN710" i="147"/>
  <c r="BN711" i="147"/>
  <c r="BN712" i="147"/>
  <c r="BN713" i="147"/>
  <c r="BN714" i="147"/>
  <c r="BN715" i="147"/>
  <c r="BN716" i="147"/>
  <c r="BN717" i="147"/>
  <c r="BN718" i="147"/>
  <c r="BN719" i="147"/>
  <c r="BN720" i="147"/>
  <c r="BN721" i="147"/>
  <c r="BN722" i="147"/>
  <c r="BN723" i="147"/>
  <c r="BN724" i="147"/>
  <c r="BN725" i="147"/>
  <c r="BN726" i="147"/>
  <c r="BN727" i="147"/>
  <c r="BN728" i="147"/>
  <c r="BN729" i="147"/>
  <c r="BN730" i="147"/>
  <c r="BN731" i="147"/>
  <c r="BN732" i="147"/>
  <c r="BN733" i="147"/>
  <c r="BN734" i="147"/>
  <c r="BN735" i="147"/>
  <c r="BN736" i="147"/>
  <c r="BZ644" i="147"/>
  <c r="BZ645" i="147"/>
  <c r="BZ646" i="147"/>
  <c r="BZ647" i="147"/>
  <c r="BZ648" i="147"/>
  <c r="BZ649" i="147"/>
  <c r="BZ650" i="147"/>
  <c r="BZ651" i="147"/>
  <c r="BZ652" i="147"/>
  <c r="BZ653" i="147"/>
  <c r="BZ654" i="147"/>
  <c r="BZ655" i="147"/>
  <c r="BZ656" i="147"/>
  <c r="BZ657" i="147"/>
  <c r="BZ659" i="147"/>
  <c r="BZ660" i="147"/>
  <c r="BZ661" i="147"/>
  <c r="BZ663" i="147"/>
  <c r="BZ664" i="147"/>
  <c r="BZ665" i="147"/>
  <c r="BZ666" i="147"/>
  <c r="BZ658" i="147"/>
  <c r="BZ662" i="147"/>
  <c r="BZ667" i="147"/>
  <c r="BZ668" i="147"/>
  <c r="BZ669" i="147"/>
  <c r="BZ670" i="147"/>
  <c r="BZ671" i="147"/>
  <c r="BZ672" i="147"/>
  <c r="BZ673" i="147"/>
  <c r="BZ674" i="147"/>
  <c r="BZ675" i="147"/>
  <c r="BZ676" i="147"/>
  <c r="BZ677" i="147"/>
  <c r="BZ678" i="147"/>
  <c r="BZ679" i="147"/>
  <c r="BZ680" i="147"/>
  <c r="BZ681" i="147"/>
  <c r="BZ682" i="147"/>
  <c r="BZ683" i="147"/>
  <c r="BZ684" i="147"/>
  <c r="BZ685" i="147"/>
  <c r="BZ686" i="147"/>
  <c r="BZ687" i="147"/>
  <c r="BZ688" i="147"/>
  <c r="BZ690" i="147"/>
  <c r="BZ691" i="147"/>
  <c r="BZ692" i="147"/>
  <c r="BZ693" i="147"/>
  <c r="BZ694" i="147"/>
  <c r="BZ695" i="147"/>
  <c r="BZ696" i="147"/>
  <c r="BZ697" i="147"/>
  <c r="BZ698" i="147"/>
  <c r="BZ699" i="147"/>
  <c r="BZ700" i="147"/>
  <c r="BZ701" i="147"/>
  <c r="BZ702" i="147"/>
  <c r="BZ703" i="147"/>
  <c r="BZ704" i="147"/>
  <c r="BZ705" i="147"/>
  <c r="BZ706" i="147"/>
  <c r="BZ707" i="147"/>
  <c r="BZ708" i="147"/>
  <c r="BZ709" i="147"/>
  <c r="BZ710" i="147"/>
  <c r="BZ711" i="147"/>
  <c r="BZ712" i="147"/>
  <c r="BZ713" i="147"/>
  <c r="BZ714" i="147"/>
  <c r="BZ715" i="147"/>
  <c r="BZ716" i="147"/>
  <c r="BZ717" i="147"/>
  <c r="BZ718" i="147"/>
  <c r="BZ719" i="147"/>
  <c r="BZ720" i="147"/>
  <c r="BZ721" i="147"/>
  <c r="BZ722" i="147"/>
  <c r="BZ723" i="147"/>
  <c r="BZ724" i="147"/>
  <c r="BZ725" i="147"/>
  <c r="BZ726" i="147"/>
  <c r="BZ727" i="147"/>
  <c r="BZ728" i="147"/>
  <c r="BZ729" i="147"/>
  <c r="BZ730" i="147"/>
  <c r="BZ731" i="147"/>
  <c r="BZ732" i="147"/>
  <c r="BZ733" i="147"/>
  <c r="BZ734" i="147"/>
  <c r="BZ735" i="147"/>
  <c r="BZ736" i="147"/>
  <c r="CL644" i="147"/>
  <c r="CL645" i="147"/>
  <c r="CL646" i="147"/>
  <c r="CL647" i="147"/>
  <c r="CL648" i="147"/>
  <c r="CL649" i="147"/>
  <c r="CL650" i="147"/>
  <c r="CL651" i="147"/>
  <c r="CL652" i="147"/>
  <c r="CL653" i="147"/>
  <c r="CL654" i="147"/>
  <c r="CL655" i="147"/>
  <c r="CL656" i="147"/>
  <c r="CL657" i="147"/>
  <c r="CL658" i="147"/>
  <c r="CL659" i="147"/>
  <c r="CL660" i="147"/>
  <c r="CL661" i="147"/>
  <c r="CL663" i="147"/>
  <c r="CL664" i="147"/>
  <c r="CL665" i="147"/>
  <c r="CL666" i="147"/>
  <c r="CL662" i="147"/>
  <c r="CL667" i="147"/>
  <c r="CL690" i="147"/>
  <c r="CL691" i="147"/>
  <c r="CL692" i="147"/>
  <c r="CL693" i="147"/>
  <c r="CL694" i="147"/>
  <c r="CL695" i="147"/>
  <c r="CL696" i="147"/>
  <c r="CL697" i="147"/>
  <c r="CL698" i="147"/>
  <c r="CL699" i="147"/>
  <c r="CL700" i="147"/>
  <c r="CL701" i="147"/>
  <c r="CL702" i="147"/>
  <c r="CL703" i="147"/>
  <c r="CL704" i="147"/>
  <c r="CL705" i="147"/>
  <c r="CL706" i="147"/>
  <c r="CL707" i="147"/>
  <c r="CL708" i="147"/>
  <c r="CL709" i="147"/>
  <c r="CL710" i="147"/>
  <c r="CL711" i="147"/>
  <c r="CL712" i="147"/>
  <c r="CL713" i="147"/>
  <c r="CL714" i="147"/>
  <c r="CL715" i="147"/>
  <c r="CL716" i="147"/>
  <c r="CL717" i="147"/>
  <c r="CL718" i="147"/>
  <c r="CL719" i="147"/>
  <c r="CL720" i="147"/>
  <c r="CL721" i="147"/>
  <c r="CL722" i="147"/>
  <c r="CL723" i="147"/>
  <c r="CL724" i="147"/>
  <c r="CL725" i="147"/>
  <c r="CL726" i="147"/>
  <c r="CL727" i="147"/>
  <c r="CL728" i="147"/>
  <c r="CL729" i="147"/>
  <c r="CL730" i="147"/>
  <c r="CL731" i="147"/>
  <c r="CL732" i="147"/>
  <c r="CL733" i="147"/>
  <c r="CL734" i="147"/>
  <c r="CL735" i="147"/>
  <c r="CL736" i="147"/>
  <c r="CX644" i="147"/>
  <c r="CX645" i="147"/>
  <c r="CX646" i="147"/>
  <c r="CX647" i="147"/>
  <c r="CX648" i="147"/>
  <c r="CX649" i="147"/>
  <c r="CX650" i="147"/>
  <c r="CX651" i="147"/>
  <c r="CX652" i="147"/>
  <c r="CX653" i="147"/>
  <c r="CX654" i="147"/>
  <c r="CX655" i="147"/>
  <c r="CX656" i="147"/>
  <c r="CX657" i="147"/>
  <c r="CX659" i="147"/>
  <c r="CX660" i="147"/>
  <c r="CX661" i="147"/>
  <c r="CX663" i="147"/>
  <c r="CX664" i="147"/>
  <c r="CX665" i="147"/>
  <c r="CX666" i="147"/>
  <c r="CX662" i="147"/>
  <c r="CX658" i="147"/>
  <c r="CX667" i="147"/>
  <c r="CX668" i="147"/>
  <c r="CX669" i="147"/>
  <c r="CX670" i="147"/>
  <c r="CX671" i="147"/>
  <c r="CX672" i="147"/>
  <c r="CX673" i="147"/>
  <c r="CX675" i="147"/>
  <c r="CX676" i="147"/>
  <c r="CX677" i="147"/>
  <c r="CX678" i="147"/>
  <c r="CX679" i="147"/>
  <c r="CX680" i="147"/>
  <c r="CX681" i="147"/>
  <c r="CX682" i="147"/>
  <c r="CX683" i="147"/>
  <c r="CX684" i="147"/>
  <c r="CX685" i="147"/>
  <c r="CX686" i="147"/>
  <c r="CX687" i="147"/>
  <c r="CX688" i="147"/>
  <c r="CX690" i="147"/>
  <c r="CX691" i="147"/>
  <c r="CX692" i="147"/>
  <c r="CX693" i="147"/>
  <c r="CX694" i="147"/>
  <c r="CX695" i="147"/>
  <c r="CX696" i="147"/>
  <c r="CX697" i="147"/>
  <c r="CX698" i="147"/>
  <c r="CX699" i="147"/>
  <c r="CX700" i="147"/>
  <c r="CX701" i="147"/>
  <c r="CX702" i="147"/>
  <c r="CX703" i="147"/>
  <c r="CX704" i="147"/>
  <c r="CX705" i="147"/>
  <c r="CX706" i="147"/>
  <c r="CX707" i="147"/>
  <c r="CX708" i="147"/>
  <c r="CX709" i="147"/>
  <c r="CX710" i="147"/>
  <c r="CX711" i="147"/>
  <c r="CX712" i="147"/>
  <c r="CX713" i="147"/>
  <c r="CX714" i="147"/>
  <c r="CX715" i="147"/>
  <c r="CX716" i="147"/>
  <c r="CX717" i="147"/>
  <c r="CX718" i="147"/>
  <c r="CX719" i="147"/>
  <c r="CX720" i="147"/>
  <c r="CX721" i="147"/>
  <c r="CX722" i="147"/>
  <c r="CX723" i="147"/>
  <c r="CX724" i="147"/>
  <c r="CX725" i="147"/>
  <c r="CX726" i="147"/>
  <c r="CX727" i="147"/>
  <c r="CX728" i="147"/>
  <c r="CX729" i="147"/>
  <c r="CX730" i="147"/>
  <c r="CX731" i="147"/>
  <c r="CX732" i="147"/>
  <c r="CX733" i="147"/>
  <c r="CX734" i="147"/>
  <c r="CX735" i="147"/>
  <c r="CX736" i="147"/>
  <c r="CX674" i="147"/>
  <c r="DJ644" i="147"/>
  <c r="DJ645" i="147"/>
  <c r="DJ646" i="147"/>
  <c r="DJ647" i="147"/>
  <c r="DJ648" i="147"/>
  <c r="DJ649" i="147"/>
  <c r="DJ650" i="147"/>
  <c r="DJ651" i="147"/>
  <c r="DJ652" i="147"/>
  <c r="DJ653" i="147"/>
  <c r="DJ654" i="147"/>
  <c r="DJ655" i="147"/>
  <c r="DJ656" i="147"/>
  <c r="DJ657" i="147"/>
  <c r="DJ659" i="147"/>
  <c r="DJ660" i="147"/>
  <c r="DJ661" i="147"/>
  <c r="DJ658" i="147"/>
  <c r="DJ662" i="147"/>
  <c r="DJ663" i="147"/>
  <c r="DJ664" i="147"/>
  <c r="DJ665" i="147"/>
  <c r="DJ666" i="147"/>
  <c r="DJ667" i="147"/>
  <c r="DJ668" i="147"/>
  <c r="DJ669" i="147"/>
  <c r="DJ670" i="147"/>
  <c r="DJ671" i="147"/>
  <c r="DJ672" i="147"/>
  <c r="DJ673" i="147"/>
  <c r="DJ674" i="147"/>
  <c r="DJ675" i="147"/>
  <c r="DJ676" i="147"/>
  <c r="DJ677" i="147"/>
  <c r="DJ678" i="147"/>
  <c r="DJ679" i="147"/>
  <c r="DJ680" i="147"/>
  <c r="DJ681" i="147"/>
  <c r="DJ682" i="147"/>
  <c r="DJ683" i="147"/>
  <c r="DJ684" i="147"/>
  <c r="DJ685" i="147"/>
  <c r="DJ686" i="147"/>
  <c r="DJ687" i="147"/>
  <c r="DJ688" i="147"/>
  <c r="DJ690" i="147"/>
  <c r="DJ691" i="147"/>
  <c r="DJ692" i="147"/>
  <c r="DJ693" i="147"/>
  <c r="DJ694" i="147"/>
  <c r="DJ695" i="147"/>
  <c r="DJ696" i="147"/>
  <c r="DJ697" i="147"/>
  <c r="DJ698" i="147"/>
  <c r="DJ699" i="147"/>
  <c r="DJ700" i="147"/>
  <c r="DJ701" i="147"/>
  <c r="DJ702" i="147"/>
  <c r="DJ703" i="147"/>
  <c r="DJ704" i="147"/>
  <c r="DJ705" i="147"/>
  <c r="DJ706" i="147"/>
  <c r="DJ707" i="147"/>
  <c r="DJ708" i="147"/>
  <c r="DJ709" i="147"/>
  <c r="DJ710" i="147"/>
  <c r="DJ711" i="147"/>
  <c r="DJ712" i="147"/>
  <c r="DJ713" i="147"/>
  <c r="DJ714" i="147"/>
  <c r="DJ715" i="147"/>
  <c r="DJ716" i="147"/>
  <c r="DJ717" i="147"/>
  <c r="DJ718" i="147"/>
  <c r="DJ719" i="147"/>
  <c r="DJ720" i="147"/>
  <c r="DJ721" i="147"/>
  <c r="DJ722" i="147"/>
  <c r="DJ723" i="147"/>
  <c r="DJ724" i="147"/>
  <c r="DJ725" i="147"/>
  <c r="DJ726" i="147"/>
  <c r="DJ727" i="147"/>
  <c r="DJ728" i="147"/>
  <c r="DJ729" i="147"/>
  <c r="DJ730" i="147"/>
  <c r="DJ731" i="147"/>
  <c r="DJ732" i="147"/>
  <c r="DJ733" i="147"/>
  <c r="DJ734" i="147"/>
  <c r="DJ735" i="147"/>
  <c r="DJ736" i="147"/>
  <c r="DV644" i="147"/>
  <c r="DV645" i="147"/>
  <c r="DV646" i="147"/>
  <c r="DV647" i="147"/>
  <c r="DV648" i="147"/>
  <c r="DV649" i="147"/>
  <c r="DV650" i="147"/>
  <c r="DV651" i="147"/>
  <c r="DV652" i="147"/>
  <c r="DV653" i="147"/>
  <c r="DV654" i="147"/>
  <c r="DV655" i="147"/>
  <c r="DV656" i="147"/>
  <c r="DV657" i="147"/>
  <c r="DV658" i="147"/>
  <c r="DV659" i="147"/>
  <c r="DV660" i="147"/>
  <c r="DV661" i="147"/>
  <c r="DV662" i="147"/>
  <c r="DV663" i="147"/>
  <c r="DV664" i="147"/>
  <c r="DV665" i="147"/>
  <c r="DV666" i="147"/>
  <c r="DV667" i="147"/>
  <c r="DV668" i="147"/>
  <c r="DV669" i="147"/>
  <c r="DV670" i="147"/>
  <c r="DV671" i="147"/>
  <c r="DV672" i="147"/>
  <c r="DV673" i="147"/>
  <c r="DV674" i="147"/>
  <c r="DV675" i="147"/>
  <c r="DV676" i="147"/>
  <c r="DV678" i="147"/>
  <c r="DV679" i="147"/>
  <c r="DV680" i="147"/>
  <c r="DV681" i="147"/>
  <c r="DV682" i="147"/>
  <c r="DV683" i="147"/>
  <c r="DV677" i="147"/>
  <c r="DV685" i="147"/>
  <c r="DV686" i="147"/>
  <c r="DV687" i="147"/>
  <c r="DV688" i="147"/>
  <c r="DV690" i="147"/>
  <c r="DV691" i="147"/>
  <c r="DV692" i="147"/>
  <c r="DV684" i="147"/>
  <c r="DV694" i="147"/>
  <c r="DV695" i="147"/>
  <c r="DV696" i="147"/>
  <c r="DV697" i="147"/>
  <c r="DV698" i="147"/>
  <c r="DV699" i="147"/>
  <c r="DV700" i="147"/>
  <c r="DV701" i="147"/>
  <c r="DV702" i="147"/>
  <c r="DV703" i="147"/>
  <c r="DV704" i="147"/>
  <c r="DV705" i="147"/>
  <c r="DV693" i="147"/>
  <c r="DV706" i="147"/>
  <c r="DV707" i="147"/>
  <c r="DV708" i="147"/>
  <c r="DV709" i="147"/>
  <c r="DV710" i="147"/>
  <c r="DV711" i="147"/>
  <c r="DV712" i="147"/>
  <c r="DV713" i="147"/>
  <c r="DV714" i="147"/>
  <c r="DV715" i="147"/>
  <c r="DV716" i="147"/>
  <c r="DV717" i="147"/>
  <c r="DV718" i="147"/>
  <c r="DV719" i="147"/>
  <c r="DV720" i="147"/>
  <c r="DV721" i="147"/>
  <c r="DV722" i="147"/>
  <c r="DV723" i="147"/>
  <c r="DV724" i="147"/>
  <c r="DV725" i="147"/>
  <c r="DV726" i="147"/>
  <c r="DV727" i="147"/>
  <c r="DV728" i="147"/>
  <c r="DV729" i="147"/>
  <c r="DV730" i="147"/>
  <c r="DV731" i="147"/>
  <c r="DV732" i="147"/>
  <c r="DV733" i="147"/>
  <c r="DV734" i="147"/>
  <c r="DV735" i="147"/>
  <c r="DV736" i="147"/>
  <c r="EJ644" i="147"/>
  <c r="EJ645" i="147"/>
  <c r="EJ646" i="147"/>
  <c r="EJ647" i="147"/>
  <c r="EJ648" i="147"/>
  <c r="EJ649" i="147"/>
  <c r="EJ650" i="147"/>
  <c r="EJ651" i="147"/>
  <c r="EJ652" i="147"/>
  <c r="EJ653" i="147"/>
  <c r="EJ654" i="147"/>
  <c r="EJ655" i="147"/>
  <c r="EJ656" i="147"/>
  <c r="EJ657" i="147"/>
  <c r="EJ658" i="147"/>
  <c r="EJ659" i="147"/>
  <c r="EJ661" i="147"/>
  <c r="EJ660" i="147"/>
  <c r="EJ662" i="147"/>
  <c r="EJ663" i="147"/>
  <c r="EJ664" i="147"/>
  <c r="EJ665" i="147"/>
  <c r="EJ666" i="147"/>
  <c r="EJ667" i="147"/>
  <c r="EJ668" i="147"/>
  <c r="EJ669" i="147"/>
  <c r="EJ670" i="147"/>
  <c r="EJ671" i="147"/>
  <c r="EJ677" i="147"/>
  <c r="EJ678" i="147"/>
  <c r="EJ679" i="147"/>
  <c r="EJ680" i="147"/>
  <c r="EJ681" i="147"/>
  <c r="EJ682" i="147"/>
  <c r="EJ683" i="147"/>
  <c r="EJ684" i="147"/>
  <c r="EJ672" i="147"/>
  <c r="EJ673" i="147"/>
  <c r="EJ674" i="147"/>
  <c r="EJ675" i="147"/>
  <c r="EJ676" i="147"/>
  <c r="EJ685" i="147"/>
  <c r="EJ686" i="147"/>
  <c r="EJ687" i="147"/>
  <c r="EJ688" i="147"/>
  <c r="EJ690" i="147"/>
  <c r="EJ691" i="147"/>
  <c r="EJ692" i="147"/>
  <c r="EJ694" i="147"/>
  <c r="EJ695" i="147"/>
  <c r="EJ696" i="147"/>
  <c r="EJ697" i="147"/>
  <c r="EJ698" i="147"/>
  <c r="EJ699" i="147"/>
  <c r="EJ700" i="147"/>
  <c r="EJ701" i="147"/>
  <c r="EJ702" i="147"/>
  <c r="EJ703" i="147"/>
  <c r="EJ704" i="147"/>
  <c r="EJ693" i="147"/>
  <c r="EJ705" i="147"/>
  <c r="EJ706" i="147"/>
  <c r="EJ707" i="147"/>
  <c r="EJ708" i="147"/>
  <c r="EJ709" i="147"/>
  <c r="EJ710" i="147"/>
  <c r="EJ711" i="147"/>
  <c r="EJ712" i="147"/>
  <c r="EJ713" i="147"/>
  <c r="EJ714" i="147"/>
  <c r="EJ715" i="147"/>
  <c r="EJ716" i="147"/>
  <c r="EJ717" i="147"/>
  <c r="EJ718" i="147"/>
  <c r="EJ719" i="147"/>
  <c r="EJ720" i="147"/>
  <c r="EJ721" i="147"/>
  <c r="EJ722" i="147"/>
  <c r="EJ723" i="147"/>
  <c r="EJ724" i="147"/>
  <c r="EJ725" i="147"/>
  <c r="EJ726" i="147"/>
  <c r="EJ727" i="147"/>
  <c r="EJ728" i="147"/>
  <c r="EJ729" i="147"/>
  <c r="EJ730" i="147"/>
  <c r="EJ731" i="147"/>
  <c r="EJ732" i="147"/>
  <c r="EJ733" i="147"/>
  <c r="EJ734" i="147"/>
  <c r="EJ735" i="147"/>
  <c r="EJ736" i="147"/>
  <c r="EV644" i="147"/>
  <c r="EV645" i="147"/>
  <c r="EV646" i="147"/>
  <c r="EV647" i="147"/>
  <c r="EV648" i="147"/>
  <c r="EV649" i="147"/>
  <c r="EV650" i="147"/>
  <c r="EV652" i="147"/>
  <c r="EV651" i="147"/>
  <c r="EV655" i="147"/>
  <c r="EV656" i="147"/>
  <c r="EV657" i="147"/>
  <c r="EV658" i="147"/>
  <c r="EV659" i="147"/>
  <c r="EV654" i="147"/>
  <c r="EV660" i="147"/>
  <c r="EV653" i="147"/>
  <c r="EV661" i="147"/>
  <c r="EV662" i="147"/>
  <c r="EV663" i="147"/>
  <c r="EV664" i="147"/>
  <c r="EV665" i="147"/>
  <c r="EV666" i="147"/>
  <c r="EV667" i="147"/>
  <c r="EV668" i="147"/>
  <c r="EV669" i="147"/>
  <c r="EV670" i="147"/>
  <c r="EV671" i="147"/>
  <c r="EV677" i="147"/>
  <c r="EV678" i="147"/>
  <c r="EV679" i="147"/>
  <c r="EV680" i="147"/>
  <c r="EV681" i="147"/>
  <c r="EV682" i="147"/>
  <c r="EV683" i="147"/>
  <c r="EV684" i="147"/>
  <c r="EV672" i="147"/>
  <c r="EV673" i="147"/>
  <c r="EV674" i="147"/>
  <c r="EV675" i="147"/>
  <c r="EV676" i="147"/>
  <c r="EV685" i="147"/>
  <c r="EV686" i="147"/>
  <c r="EV687" i="147"/>
  <c r="EV688" i="147"/>
  <c r="EV690" i="147"/>
  <c r="EV691" i="147"/>
  <c r="EV693" i="147"/>
  <c r="EV694" i="147"/>
  <c r="EV695" i="147"/>
  <c r="EV696" i="147"/>
  <c r="EV697" i="147"/>
  <c r="EV698" i="147"/>
  <c r="EV699" i="147"/>
  <c r="EV700" i="147"/>
  <c r="EV701" i="147"/>
  <c r="EV702" i="147"/>
  <c r="EV703" i="147"/>
  <c r="EV692" i="147"/>
  <c r="EV704" i="147"/>
  <c r="EV705" i="147"/>
  <c r="EV706" i="147"/>
  <c r="EV707" i="147"/>
  <c r="EV708" i="147"/>
  <c r="EV709" i="147"/>
  <c r="EV710" i="147"/>
  <c r="EV711" i="147"/>
  <c r="EV712" i="147"/>
  <c r="EV713" i="147"/>
  <c r="EV714" i="147"/>
  <c r="EV715" i="147"/>
  <c r="EV716" i="147"/>
  <c r="EV717" i="147"/>
  <c r="EV718" i="147"/>
  <c r="EV719" i="147"/>
  <c r="EV720" i="147"/>
  <c r="EV721" i="147"/>
  <c r="EV722" i="147"/>
  <c r="EV723" i="147"/>
  <c r="EV724" i="147"/>
  <c r="EV725" i="147"/>
  <c r="EV726" i="147"/>
  <c r="EV727" i="147"/>
  <c r="EV728" i="147"/>
  <c r="EV729" i="147"/>
  <c r="EV730" i="147"/>
  <c r="EV731" i="147"/>
  <c r="EV732" i="147"/>
  <c r="EV733" i="147"/>
  <c r="EV734" i="147"/>
  <c r="EV735" i="147"/>
  <c r="EV736" i="147"/>
  <c r="K644" i="147"/>
  <c r="K645" i="147"/>
  <c r="K646" i="147"/>
  <c r="K647" i="147"/>
  <c r="K648" i="147"/>
  <c r="K649" i="147"/>
  <c r="K650" i="147"/>
  <c r="K651" i="147"/>
  <c r="K652" i="147"/>
  <c r="K653" i="147"/>
  <c r="K654" i="147"/>
  <c r="K655" i="147"/>
  <c r="K659" i="147"/>
  <c r="K660" i="147"/>
  <c r="K661" i="147"/>
  <c r="K662" i="147"/>
  <c r="K656" i="147"/>
  <c r="K657" i="147"/>
  <c r="K658" i="147"/>
  <c r="K663" i="147"/>
  <c r="K664" i="147"/>
  <c r="K665" i="147"/>
  <c r="K666" i="147"/>
  <c r="K667" i="147"/>
  <c r="K668" i="147"/>
  <c r="K669" i="147"/>
  <c r="K670" i="147"/>
  <c r="K671" i="147"/>
  <c r="K672" i="147"/>
  <c r="K673" i="147"/>
  <c r="K674" i="147"/>
  <c r="K675" i="147"/>
  <c r="K676" i="147"/>
  <c r="K677" i="147"/>
  <c r="K678" i="147"/>
  <c r="K679" i="147"/>
  <c r="K680" i="147"/>
  <c r="K681" i="147"/>
  <c r="K682" i="147"/>
  <c r="K683" i="147"/>
  <c r="K684" i="147"/>
  <c r="K686" i="147"/>
  <c r="K687" i="147"/>
  <c r="K688" i="147"/>
  <c r="K690" i="147"/>
  <c r="K691" i="147"/>
  <c r="K692" i="147"/>
  <c r="K693" i="147"/>
  <c r="K694" i="147"/>
  <c r="K685" i="147"/>
  <c r="K695" i="147"/>
  <c r="K696" i="147"/>
  <c r="K697" i="147"/>
  <c r="K698" i="147"/>
  <c r="K699" i="147"/>
  <c r="K700" i="147"/>
  <c r="K701" i="147"/>
  <c r="K702" i="147"/>
  <c r="K703" i="147"/>
  <c r="K704" i="147"/>
  <c r="K705" i="147"/>
  <c r="K706" i="147"/>
  <c r="K707" i="147"/>
  <c r="K708" i="147"/>
  <c r="K709" i="147"/>
  <c r="K710" i="147"/>
  <c r="K711" i="147"/>
  <c r="K712" i="147"/>
  <c r="K713" i="147"/>
  <c r="K714" i="147"/>
  <c r="K715" i="147"/>
  <c r="K716" i="147"/>
  <c r="K717" i="147"/>
  <c r="K718" i="147"/>
  <c r="K719" i="147"/>
  <c r="K720" i="147"/>
  <c r="K721" i="147"/>
  <c r="K722" i="147"/>
  <c r="K723" i="147"/>
  <c r="K724" i="147"/>
  <c r="K725" i="147"/>
  <c r="K726" i="147"/>
  <c r="K727" i="147"/>
  <c r="K728" i="147"/>
  <c r="K729" i="147"/>
  <c r="K730" i="147"/>
  <c r="K731" i="147"/>
  <c r="K732" i="147"/>
  <c r="K733" i="147"/>
  <c r="K734" i="147"/>
  <c r="K735" i="147"/>
  <c r="K736" i="147"/>
  <c r="Y649" i="147"/>
  <c r="Y650" i="147"/>
  <c r="Y656" i="147"/>
  <c r="Y657" i="147"/>
  <c r="Y658" i="147"/>
  <c r="Y646" i="147"/>
  <c r="Y651" i="147"/>
  <c r="Y652" i="147"/>
  <c r="Y653" i="147"/>
  <c r="Y654" i="147"/>
  <c r="Y655" i="147"/>
  <c r="Y644" i="147"/>
  <c r="Y659" i="147"/>
  <c r="Y660" i="147"/>
  <c r="Y661" i="147"/>
  <c r="Y662" i="147"/>
  <c r="Y647" i="147"/>
  <c r="Y645" i="147"/>
  <c r="Y648" i="147"/>
  <c r="Y663" i="147"/>
  <c r="Y664" i="147"/>
  <c r="Y665" i="147"/>
  <c r="Y666" i="147"/>
  <c r="Y667" i="147"/>
  <c r="Y668" i="147"/>
  <c r="Y669" i="147"/>
  <c r="Y670" i="147"/>
  <c r="Y671" i="147"/>
  <c r="Y672" i="147"/>
  <c r="Y673" i="147"/>
  <c r="Y674" i="147"/>
  <c r="Y675" i="147"/>
  <c r="Y676" i="147"/>
  <c r="Y677" i="147"/>
  <c r="Y678" i="147"/>
  <c r="Y679" i="147"/>
  <c r="Y680" i="147"/>
  <c r="Y681" i="147"/>
  <c r="Y682" i="147"/>
  <c r="Y683" i="147"/>
  <c r="Y684" i="147"/>
  <c r="Y685" i="147"/>
  <c r="Y686" i="147"/>
  <c r="Y687" i="147"/>
  <c r="Y688" i="147"/>
  <c r="Y690" i="147"/>
  <c r="Y691" i="147"/>
  <c r="Y692" i="147"/>
  <c r="Y693" i="147"/>
  <c r="Y694" i="147"/>
  <c r="Y695" i="147"/>
  <c r="Y696" i="147"/>
  <c r="Y697" i="147"/>
  <c r="Y698" i="147"/>
  <c r="Y699" i="147"/>
  <c r="Y700" i="147"/>
  <c r="Y701" i="147"/>
  <c r="Y702" i="147"/>
  <c r="Y703" i="147"/>
  <c r="Y704" i="147"/>
  <c r="Y705" i="147"/>
  <c r="Y706" i="147"/>
  <c r="Y707" i="147"/>
  <c r="Y708" i="147"/>
  <c r="Y709" i="147"/>
  <c r="Y710" i="147"/>
  <c r="Y711" i="147"/>
  <c r="Y712" i="147"/>
  <c r="Y713" i="147"/>
  <c r="Y716" i="147"/>
  <c r="Y717" i="147"/>
  <c r="Y718" i="147"/>
  <c r="Y719" i="147"/>
  <c r="Y720" i="147"/>
  <c r="Y721" i="147"/>
  <c r="Y722" i="147"/>
  <c r="Y723" i="147"/>
  <c r="Y724" i="147"/>
  <c r="Y725" i="147"/>
  <c r="Y714" i="147"/>
  <c r="Y729" i="147"/>
  <c r="Y730" i="147"/>
  <c r="Y731" i="147"/>
  <c r="Y732" i="147"/>
  <c r="Y733" i="147"/>
  <c r="Y734" i="147"/>
  <c r="Y735" i="147"/>
  <c r="Y736" i="147"/>
  <c r="Y715" i="147"/>
  <c r="Y726" i="147"/>
  <c r="Y727" i="147"/>
  <c r="Y728" i="147"/>
  <c r="AN644" i="147"/>
  <c r="AN645" i="147"/>
  <c r="AN646" i="147"/>
  <c r="AN647" i="147"/>
  <c r="AN648" i="147"/>
  <c r="AN649" i="147"/>
  <c r="AN650" i="147"/>
  <c r="AN651" i="147"/>
  <c r="AN652" i="147"/>
  <c r="AN653" i="147"/>
  <c r="AN654" i="147"/>
  <c r="AN655" i="147"/>
  <c r="AN656" i="147"/>
  <c r="AN657" i="147"/>
  <c r="AN658" i="147"/>
  <c r="AN663" i="147"/>
  <c r="AN664" i="147"/>
  <c r="AN665" i="147"/>
  <c r="AN666" i="147"/>
  <c r="AN667" i="147"/>
  <c r="AN659" i="147"/>
  <c r="AN660" i="147"/>
  <c r="AN661" i="147"/>
  <c r="AN662" i="147"/>
  <c r="AN668" i="147"/>
  <c r="AN669" i="147"/>
  <c r="AN670" i="147"/>
  <c r="AN671" i="147"/>
  <c r="AN672" i="147"/>
  <c r="AN673" i="147"/>
  <c r="AN674" i="147"/>
  <c r="AN675" i="147"/>
  <c r="AN676" i="147"/>
  <c r="AN677" i="147"/>
  <c r="AN679" i="147"/>
  <c r="AN680" i="147"/>
  <c r="AN681" i="147"/>
  <c r="AN682" i="147"/>
  <c r="AN683" i="147"/>
  <c r="AN684" i="147"/>
  <c r="AN678" i="147"/>
  <c r="AN685" i="147"/>
  <c r="AN686" i="147"/>
  <c r="AN687" i="147"/>
  <c r="AN688" i="147"/>
  <c r="AN690" i="147"/>
  <c r="AN691" i="147"/>
  <c r="AN692" i="147"/>
  <c r="AN693" i="147"/>
  <c r="AN695" i="147"/>
  <c r="AN696" i="147"/>
  <c r="AN697" i="147"/>
  <c r="AN698" i="147"/>
  <c r="AN699" i="147"/>
  <c r="AN700" i="147"/>
  <c r="AN701" i="147"/>
  <c r="AN702" i="147"/>
  <c r="AN703" i="147"/>
  <c r="AN704" i="147"/>
  <c r="AN705" i="147"/>
  <c r="AN694" i="147"/>
  <c r="AN716" i="147"/>
  <c r="AN706" i="147"/>
  <c r="AN707" i="147"/>
  <c r="AN708" i="147"/>
  <c r="AN709" i="147"/>
  <c r="AN710" i="147"/>
  <c r="AN711" i="147"/>
  <c r="AN712" i="147"/>
  <c r="AN713" i="147"/>
  <c r="AN717" i="147"/>
  <c r="AN718" i="147"/>
  <c r="AN719" i="147"/>
  <c r="AN720" i="147"/>
  <c r="AN721" i="147"/>
  <c r="AN722" i="147"/>
  <c r="AN723" i="147"/>
  <c r="AN724" i="147"/>
  <c r="AN725" i="147"/>
  <c r="AN726" i="147"/>
  <c r="AN727" i="147"/>
  <c r="AN728" i="147"/>
  <c r="AN714" i="147"/>
  <c r="AN715" i="147"/>
  <c r="AN732" i="147"/>
  <c r="AN729" i="147"/>
  <c r="AN730" i="147"/>
  <c r="AN731" i="147"/>
  <c r="AN733" i="147"/>
  <c r="AN734" i="147"/>
  <c r="AN735" i="147"/>
  <c r="AN736" i="147"/>
  <c r="AZ644" i="147"/>
  <c r="AZ645" i="147"/>
  <c r="AZ646" i="147"/>
  <c r="AZ647" i="147"/>
  <c r="AZ648" i="147"/>
  <c r="AZ649" i="147"/>
  <c r="AZ650" i="147"/>
  <c r="AZ651" i="147"/>
  <c r="AZ652" i="147"/>
  <c r="AZ653" i="147"/>
  <c r="AZ654" i="147"/>
  <c r="AZ655" i="147"/>
  <c r="AZ656" i="147"/>
  <c r="AZ657" i="147"/>
  <c r="AZ658" i="147"/>
  <c r="AZ661" i="147"/>
  <c r="AZ663" i="147"/>
  <c r="AZ664" i="147"/>
  <c r="AZ665" i="147"/>
  <c r="AZ666" i="147"/>
  <c r="AZ662" i="147"/>
  <c r="AZ659" i="147"/>
  <c r="AZ668" i="147"/>
  <c r="AZ669" i="147"/>
  <c r="AZ670" i="147"/>
  <c r="AZ671" i="147"/>
  <c r="AZ672" i="147"/>
  <c r="AZ667" i="147"/>
  <c r="AZ660" i="147"/>
  <c r="AZ673" i="147"/>
  <c r="AZ674" i="147"/>
  <c r="AZ675" i="147"/>
  <c r="AZ676" i="147"/>
  <c r="AZ677" i="147"/>
  <c r="AZ679" i="147"/>
  <c r="AZ680" i="147"/>
  <c r="AZ681" i="147"/>
  <c r="AZ682" i="147"/>
  <c r="AZ683" i="147"/>
  <c r="AZ684" i="147"/>
  <c r="AZ678" i="147"/>
  <c r="AZ685" i="147"/>
  <c r="AZ686" i="147"/>
  <c r="AZ687" i="147"/>
  <c r="AZ688" i="147"/>
  <c r="AZ690" i="147"/>
  <c r="AZ691" i="147"/>
  <c r="AZ692" i="147"/>
  <c r="AZ694" i="147"/>
  <c r="AZ695" i="147"/>
  <c r="AZ696" i="147"/>
  <c r="AZ697" i="147"/>
  <c r="AZ698" i="147"/>
  <c r="AZ699" i="147"/>
  <c r="AZ700" i="147"/>
  <c r="AZ701" i="147"/>
  <c r="AZ702" i="147"/>
  <c r="AZ703" i="147"/>
  <c r="AZ704" i="147"/>
  <c r="AZ705" i="147"/>
  <c r="AZ693" i="147"/>
  <c r="AZ706" i="147"/>
  <c r="AZ707" i="147"/>
  <c r="AZ708" i="147"/>
  <c r="AZ709" i="147"/>
  <c r="AZ710" i="147"/>
  <c r="AZ711" i="147"/>
  <c r="AZ712" i="147"/>
  <c r="AZ713" i="147"/>
  <c r="AZ717" i="147"/>
  <c r="AZ718" i="147"/>
  <c r="AZ719" i="147"/>
  <c r="AZ720" i="147"/>
  <c r="AZ721" i="147"/>
  <c r="AZ722" i="147"/>
  <c r="AZ723" i="147"/>
  <c r="AZ724" i="147"/>
  <c r="AZ725" i="147"/>
  <c r="AZ726" i="147"/>
  <c r="AZ727" i="147"/>
  <c r="AZ728" i="147"/>
  <c r="AZ714" i="147"/>
  <c r="AZ715" i="147"/>
  <c r="AZ716" i="147"/>
  <c r="AZ732" i="147"/>
  <c r="AZ729" i="147"/>
  <c r="AZ730" i="147"/>
  <c r="AZ731" i="147"/>
  <c r="AZ733" i="147"/>
  <c r="AZ734" i="147"/>
  <c r="AZ735" i="147"/>
  <c r="AZ736" i="147"/>
  <c r="BO645" i="147"/>
  <c r="BO646" i="147"/>
  <c r="BO647" i="147"/>
  <c r="BO648" i="147"/>
  <c r="BO651" i="147"/>
  <c r="BO652" i="147"/>
  <c r="BO653" i="147"/>
  <c r="BO654" i="147"/>
  <c r="BO649" i="147"/>
  <c r="BO650" i="147"/>
  <c r="BO655" i="147"/>
  <c r="BO656" i="147"/>
  <c r="BO657" i="147"/>
  <c r="BO659" i="147"/>
  <c r="BO660" i="147"/>
  <c r="BO658" i="147"/>
  <c r="BO663" i="147"/>
  <c r="BO664" i="147"/>
  <c r="BO665" i="147"/>
  <c r="BO666" i="147"/>
  <c r="BO661" i="147"/>
  <c r="BO662" i="147"/>
  <c r="BO667" i="147"/>
  <c r="BO668" i="147"/>
  <c r="BO669" i="147"/>
  <c r="BO670" i="147"/>
  <c r="BO671" i="147"/>
  <c r="BO672" i="147"/>
  <c r="BO673" i="147"/>
  <c r="BO674" i="147"/>
  <c r="BO675" i="147"/>
  <c r="BO676" i="147"/>
  <c r="BO677" i="147"/>
  <c r="BO678" i="147"/>
  <c r="BO679" i="147"/>
  <c r="BO680" i="147"/>
  <c r="BO681" i="147"/>
  <c r="BO682" i="147"/>
  <c r="BO685" i="147"/>
  <c r="BO686" i="147"/>
  <c r="BO687" i="147"/>
  <c r="BO688" i="147"/>
  <c r="BO690" i="147"/>
  <c r="BO691" i="147"/>
  <c r="BO692" i="147"/>
  <c r="BO683" i="147"/>
  <c r="BO684" i="147"/>
  <c r="BO693" i="147"/>
  <c r="BO694" i="147"/>
  <c r="BO695" i="147"/>
  <c r="BO696" i="147"/>
  <c r="BO697" i="147"/>
  <c r="BO698" i="147"/>
  <c r="BO699" i="147"/>
  <c r="BO700" i="147"/>
  <c r="BO701" i="147"/>
  <c r="BO702" i="147"/>
  <c r="BO703" i="147"/>
  <c r="BO704" i="147"/>
  <c r="BO705" i="147"/>
  <c r="BO706" i="147"/>
  <c r="BO707" i="147"/>
  <c r="BO708" i="147"/>
  <c r="BO709" i="147"/>
  <c r="BO710" i="147"/>
  <c r="BO711" i="147"/>
  <c r="BO712" i="147"/>
  <c r="BO713" i="147"/>
  <c r="BO714" i="147"/>
  <c r="BO715" i="147"/>
  <c r="BO716" i="147"/>
  <c r="BO727" i="147"/>
  <c r="BO728" i="147"/>
  <c r="BO729" i="147"/>
  <c r="BO730" i="147"/>
  <c r="BO731" i="147"/>
  <c r="BO732" i="147"/>
  <c r="BO733" i="147"/>
  <c r="BO734" i="147"/>
  <c r="BO735" i="147"/>
  <c r="BO736" i="147"/>
  <c r="BO717" i="147"/>
  <c r="BO718" i="147"/>
  <c r="BO719" i="147"/>
  <c r="BO720" i="147"/>
  <c r="BO721" i="147"/>
  <c r="BO722" i="147"/>
  <c r="BO723" i="147"/>
  <c r="BO724" i="147"/>
  <c r="BO725" i="147"/>
  <c r="BO726" i="147"/>
  <c r="BO644" i="147"/>
  <c r="CA644" i="147"/>
  <c r="CA645" i="147"/>
  <c r="CA646" i="147"/>
  <c r="CA647" i="147"/>
  <c r="CA648" i="147"/>
  <c r="CA649" i="147"/>
  <c r="CA651" i="147"/>
  <c r="CA652" i="147"/>
  <c r="CA653" i="147"/>
  <c r="CA654" i="147"/>
  <c r="CA650" i="147"/>
  <c r="CA655" i="147"/>
  <c r="CA656" i="147"/>
  <c r="CA657" i="147"/>
  <c r="CA658" i="147"/>
  <c r="CA659" i="147"/>
  <c r="CA660" i="147"/>
  <c r="CA661" i="147"/>
  <c r="CA663" i="147"/>
  <c r="CA664" i="147"/>
  <c r="CA665" i="147"/>
  <c r="CA666" i="147"/>
  <c r="CA662" i="147"/>
  <c r="CA667" i="147"/>
  <c r="CA668" i="147"/>
  <c r="CA669" i="147"/>
  <c r="CA670" i="147"/>
  <c r="CA671" i="147"/>
  <c r="CA672" i="147"/>
  <c r="CA673" i="147"/>
  <c r="CA674" i="147"/>
  <c r="CA675" i="147"/>
  <c r="CA676" i="147"/>
  <c r="CA677" i="147"/>
  <c r="CA678" i="147"/>
  <c r="CA679" i="147"/>
  <c r="CA680" i="147"/>
  <c r="CA681" i="147"/>
  <c r="CA682" i="147"/>
  <c r="CA683" i="147"/>
  <c r="CA685" i="147"/>
  <c r="CA686" i="147"/>
  <c r="CA687" i="147"/>
  <c r="CA688" i="147"/>
  <c r="CA690" i="147"/>
  <c r="CA691" i="147"/>
  <c r="CA692" i="147"/>
  <c r="CA693" i="147"/>
  <c r="CA684" i="147"/>
  <c r="CA694" i="147"/>
  <c r="CA695" i="147"/>
  <c r="CA697" i="147"/>
  <c r="CA698" i="147"/>
  <c r="CA699" i="147"/>
  <c r="CA700" i="147"/>
  <c r="CA701" i="147"/>
  <c r="CA702" i="147"/>
  <c r="CA703" i="147"/>
  <c r="CA704" i="147"/>
  <c r="CA705" i="147"/>
  <c r="CA706" i="147"/>
  <c r="CA707" i="147"/>
  <c r="CA708" i="147"/>
  <c r="CA709" i="147"/>
  <c r="CA710" i="147"/>
  <c r="CA711" i="147"/>
  <c r="CA712" i="147"/>
  <c r="CA713" i="147"/>
  <c r="CA714" i="147"/>
  <c r="CA715" i="147"/>
  <c r="CA716" i="147"/>
  <c r="CA725" i="147"/>
  <c r="CA726" i="147"/>
  <c r="CA729" i="147"/>
  <c r="CA730" i="147"/>
  <c r="CA731" i="147"/>
  <c r="CA732" i="147"/>
  <c r="CA733" i="147"/>
  <c r="CA734" i="147"/>
  <c r="CA735" i="147"/>
  <c r="CA736" i="147"/>
  <c r="CA727" i="147"/>
  <c r="CA728" i="147"/>
  <c r="CA717" i="147"/>
  <c r="CA718" i="147"/>
  <c r="CA719" i="147"/>
  <c r="CA720" i="147"/>
  <c r="CA721" i="147"/>
  <c r="CA722" i="147"/>
  <c r="CA723" i="147"/>
  <c r="CA724" i="147"/>
  <c r="CA696" i="147"/>
  <c r="CM644" i="147"/>
  <c r="CM645" i="147"/>
  <c r="CM646" i="147"/>
  <c r="CM647" i="147"/>
  <c r="CM648" i="147"/>
  <c r="CM649" i="147"/>
  <c r="CM651" i="147"/>
  <c r="CM652" i="147"/>
  <c r="CM653" i="147"/>
  <c r="CM654" i="147"/>
  <c r="CM655" i="147"/>
  <c r="CM650" i="147"/>
  <c r="CM658" i="147"/>
  <c r="CM659" i="147"/>
  <c r="CM660" i="147"/>
  <c r="CM656" i="147"/>
  <c r="CM657" i="147"/>
  <c r="CM663" i="147"/>
  <c r="CM664" i="147"/>
  <c r="CM665" i="147"/>
  <c r="CM666" i="147"/>
  <c r="CM662" i="147"/>
  <c r="CM661" i="147"/>
  <c r="CM667" i="147"/>
  <c r="CM668" i="147"/>
  <c r="CM669" i="147"/>
  <c r="CM670" i="147"/>
  <c r="CM671" i="147"/>
  <c r="CM672" i="147"/>
  <c r="CM673" i="147"/>
  <c r="CM674" i="147"/>
  <c r="CM675" i="147"/>
  <c r="CM676" i="147"/>
  <c r="CM677" i="147"/>
  <c r="CM678" i="147"/>
  <c r="CM679" i="147"/>
  <c r="CM680" i="147"/>
  <c r="CM681" i="147"/>
  <c r="CM682" i="147"/>
  <c r="CM683" i="147"/>
  <c r="CM685" i="147"/>
  <c r="CM686" i="147"/>
  <c r="CM691" i="147"/>
  <c r="CM692" i="147"/>
  <c r="CM684" i="147"/>
  <c r="CM694" i="147"/>
  <c r="CM695" i="147"/>
  <c r="CM696" i="147"/>
  <c r="CM697" i="147"/>
  <c r="CM698" i="147"/>
  <c r="CM699" i="147"/>
  <c r="CM700" i="147"/>
  <c r="CM701" i="147"/>
  <c r="CM702" i="147"/>
  <c r="CM703" i="147"/>
  <c r="CM704" i="147"/>
  <c r="CM705" i="147"/>
  <c r="CM693" i="147"/>
  <c r="CM706" i="147"/>
  <c r="CM707" i="147"/>
  <c r="CM708" i="147"/>
  <c r="CM709" i="147"/>
  <c r="CM710" i="147"/>
  <c r="CM711" i="147"/>
  <c r="CM712" i="147"/>
  <c r="CM713" i="147"/>
  <c r="CM714" i="147"/>
  <c r="CM715" i="147"/>
  <c r="CM716" i="147"/>
  <c r="CM717" i="147"/>
  <c r="CM718" i="147"/>
  <c r="CM719" i="147"/>
  <c r="CM720" i="147"/>
  <c r="CM721" i="147"/>
  <c r="CM722" i="147"/>
  <c r="CM723" i="147"/>
  <c r="CM724" i="147"/>
  <c r="CM728" i="147"/>
  <c r="CM729" i="147"/>
  <c r="CM730" i="147"/>
  <c r="CM731" i="147"/>
  <c r="CM732" i="147"/>
  <c r="CM733" i="147"/>
  <c r="CM734" i="147"/>
  <c r="CM735" i="147"/>
  <c r="CM736" i="147"/>
  <c r="CM725" i="147"/>
  <c r="CM726" i="147"/>
  <c r="CM727" i="147"/>
  <c r="CY644" i="147"/>
  <c r="CY645" i="147"/>
  <c r="CY646" i="147"/>
  <c r="CY647" i="147"/>
  <c r="CY648" i="147"/>
  <c r="CY651" i="147"/>
  <c r="CY652" i="147"/>
  <c r="CY653" i="147"/>
  <c r="CY654" i="147"/>
  <c r="CY655" i="147"/>
  <c r="CY649" i="147"/>
  <c r="CY658" i="147"/>
  <c r="CY650" i="147"/>
  <c r="CY659" i="147"/>
  <c r="CY660" i="147"/>
  <c r="CY656" i="147"/>
  <c r="CY661" i="147"/>
  <c r="CY663" i="147"/>
  <c r="CY664" i="147"/>
  <c r="CY665" i="147"/>
  <c r="CY666" i="147"/>
  <c r="CY662" i="147"/>
  <c r="CY667" i="147"/>
  <c r="CY668" i="147"/>
  <c r="CY669" i="147"/>
  <c r="CY670" i="147"/>
  <c r="CY671" i="147"/>
  <c r="CY672" i="147"/>
  <c r="CY674" i="147"/>
  <c r="CY675" i="147"/>
  <c r="CY676" i="147"/>
  <c r="CY677" i="147"/>
  <c r="CY678" i="147"/>
  <c r="CY679" i="147"/>
  <c r="CY680" i="147"/>
  <c r="CY681" i="147"/>
  <c r="CY682" i="147"/>
  <c r="CY684" i="147"/>
  <c r="CY685" i="147"/>
  <c r="CY686" i="147"/>
  <c r="CY687" i="147"/>
  <c r="CY688" i="147"/>
  <c r="CY690" i="147"/>
  <c r="CY691" i="147"/>
  <c r="CY692" i="147"/>
  <c r="CY683" i="147"/>
  <c r="CY693" i="147"/>
  <c r="CY694" i="147"/>
  <c r="CY695" i="147"/>
  <c r="CY696" i="147"/>
  <c r="CY697" i="147"/>
  <c r="CY698" i="147"/>
  <c r="CY699" i="147"/>
  <c r="CY700" i="147"/>
  <c r="CY701" i="147"/>
  <c r="CY702" i="147"/>
  <c r="CY703" i="147"/>
  <c r="CY704" i="147"/>
  <c r="CY705" i="147"/>
  <c r="CY706" i="147"/>
  <c r="CY707" i="147"/>
  <c r="CY708" i="147"/>
  <c r="CY709" i="147"/>
  <c r="CY710" i="147"/>
  <c r="CY711" i="147"/>
  <c r="CY712" i="147"/>
  <c r="CY713" i="147"/>
  <c r="CY714" i="147"/>
  <c r="CY715" i="147"/>
  <c r="CY716" i="147"/>
  <c r="CY727" i="147"/>
  <c r="CY728" i="147"/>
  <c r="CY729" i="147"/>
  <c r="CY730" i="147"/>
  <c r="CY731" i="147"/>
  <c r="CY732" i="147"/>
  <c r="CY733" i="147"/>
  <c r="CY734" i="147"/>
  <c r="CY735" i="147"/>
  <c r="CY736" i="147"/>
  <c r="CY717" i="147"/>
  <c r="CY718" i="147"/>
  <c r="CY719" i="147"/>
  <c r="CY720" i="147"/>
  <c r="CY721" i="147"/>
  <c r="CY722" i="147"/>
  <c r="CY723" i="147"/>
  <c r="CY724" i="147"/>
  <c r="CY725" i="147"/>
  <c r="CY726" i="147"/>
  <c r="CY657" i="147"/>
  <c r="DK644" i="147"/>
  <c r="DK645" i="147"/>
  <c r="DK646" i="147"/>
  <c r="DK647" i="147"/>
  <c r="DK648" i="147"/>
  <c r="DK651" i="147"/>
  <c r="DK652" i="147"/>
  <c r="DK653" i="147"/>
  <c r="DK654" i="147"/>
  <c r="DK656" i="147"/>
  <c r="DK657" i="147"/>
  <c r="DK649" i="147"/>
  <c r="DK659" i="147"/>
  <c r="DK660" i="147"/>
  <c r="DK658" i="147"/>
  <c r="DK655" i="147"/>
  <c r="DK662" i="147"/>
  <c r="DK663" i="147"/>
  <c r="DK664" i="147"/>
  <c r="DK665" i="147"/>
  <c r="DK666" i="147"/>
  <c r="DK661" i="147"/>
  <c r="DK650" i="147"/>
  <c r="DK667" i="147"/>
  <c r="DK668" i="147"/>
  <c r="DK669" i="147"/>
  <c r="DK670" i="147"/>
  <c r="DK671" i="147"/>
  <c r="DK672" i="147"/>
  <c r="DK673" i="147"/>
  <c r="DK674" i="147"/>
  <c r="DK675" i="147"/>
  <c r="DK676" i="147"/>
  <c r="DK677" i="147"/>
  <c r="DK678" i="147"/>
  <c r="DK679" i="147"/>
  <c r="DK680" i="147"/>
  <c r="DK681" i="147"/>
  <c r="DK682" i="147"/>
  <c r="DK683" i="147"/>
  <c r="DK684" i="147"/>
  <c r="DK685" i="147"/>
  <c r="DK686" i="147"/>
  <c r="DK687" i="147"/>
  <c r="DK688" i="147"/>
  <c r="DK690" i="147"/>
  <c r="DK691" i="147"/>
  <c r="DK692" i="147"/>
  <c r="DK693" i="147"/>
  <c r="DK694" i="147"/>
  <c r="DK695" i="147"/>
  <c r="DK696" i="147"/>
  <c r="DK697" i="147"/>
  <c r="DK698" i="147"/>
  <c r="DK699" i="147"/>
  <c r="DK700" i="147"/>
  <c r="DK701" i="147"/>
  <c r="DK702" i="147"/>
  <c r="DK703" i="147"/>
  <c r="DK704" i="147"/>
  <c r="DK705" i="147"/>
  <c r="DK706" i="147"/>
  <c r="DK707" i="147"/>
  <c r="DK708" i="147"/>
  <c r="DK709" i="147"/>
  <c r="DK710" i="147"/>
  <c r="DK711" i="147"/>
  <c r="DK712" i="147"/>
  <c r="DK713" i="147"/>
  <c r="DK714" i="147"/>
  <c r="DK715" i="147"/>
  <c r="DK716" i="147"/>
  <c r="DK728" i="147"/>
  <c r="DK729" i="147"/>
  <c r="DK730" i="147"/>
  <c r="DK731" i="147"/>
  <c r="DK732" i="147"/>
  <c r="DK733" i="147"/>
  <c r="DK734" i="147"/>
  <c r="DK735" i="147"/>
  <c r="DK736" i="147"/>
  <c r="DK717" i="147"/>
  <c r="DK718" i="147"/>
  <c r="DK719" i="147"/>
  <c r="DK720" i="147"/>
  <c r="DK721" i="147"/>
  <c r="DK722" i="147"/>
  <c r="DK723" i="147"/>
  <c r="DK724" i="147"/>
  <c r="DK727" i="147"/>
  <c r="DK725" i="147"/>
  <c r="DK726" i="147"/>
  <c r="DW644" i="147"/>
  <c r="DW645" i="147"/>
  <c r="DW646" i="147"/>
  <c r="DW647" i="147"/>
  <c r="DW650" i="147"/>
  <c r="DW651" i="147"/>
  <c r="DW652" i="147"/>
  <c r="DW653" i="147"/>
  <c r="DW654" i="147"/>
  <c r="DW655" i="147"/>
  <c r="DW648" i="147"/>
  <c r="DW649" i="147"/>
  <c r="DW656" i="147"/>
  <c r="DW657" i="147"/>
  <c r="DW658" i="147"/>
  <c r="DW659" i="147"/>
  <c r="DW660" i="147"/>
  <c r="DW662" i="147"/>
  <c r="DW663" i="147"/>
  <c r="DW664" i="147"/>
  <c r="DW665" i="147"/>
  <c r="DW666" i="147"/>
  <c r="DW661" i="147"/>
  <c r="DW667" i="147"/>
  <c r="DW668" i="147"/>
  <c r="DW669" i="147"/>
  <c r="DW670" i="147"/>
  <c r="DW671" i="147"/>
  <c r="DW672" i="147"/>
  <c r="DW673" i="147"/>
  <c r="DW674" i="147"/>
  <c r="DW675" i="147"/>
  <c r="DW676" i="147"/>
  <c r="DW677" i="147"/>
  <c r="DW678" i="147"/>
  <c r="DW679" i="147"/>
  <c r="DW680" i="147"/>
  <c r="DW681" i="147"/>
  <c r="DW682" i="147"/>
  <c r="DW683" i="147"/>
  <c r="DW685" i="147"/>
  <c r="DW686" i="147"/>
  <c r="DW687" i="147"/>
  <c r="DW688" i="147"/>
  <c r="DW690" i="147"/>
  <c r="DW691" i="147"/>
  <c r="DW692" i="147"/>
  <c r="DW684" i="147"/>
  <c r="DW693" i="147"/>
  <c r="DW694" i="147"/>
  <c r="DW695" i="147"/>
  <c r="DW696" i="147"/>
  <c r="DW697" i="147"/>
  <c r="DW698" i="147"/>
  <c r="DW699" i="147"/>
  <c r="DW700" i="147"/>
  <c r="DW701" i="147"/>
  <c r="DW702" i="147"/>
  <c r="DW703" i="147"/>
  <c r="DW704" i="147"/>
  <c r="DW706" i="147"/>
  <c r="DW707" i="147"/>
  <c r="DW708" i="147"/>
  <c r="DW709" i="147"/>
  <c r="DW710" i="147"/>
  <c r="DW711" i="147"/>
  <c r="DW712" i="147"/>
  <c r="DW713" i="147"/>
  <c r="DW714" i="147"/>
  <c r="DW715" i="147"/>
  <c r="DW716" i="147"/>
  <c r="DW705" i="147"/>
  <c r="DW725" i="147"/>
  <c r="DW726" i="147"/>
  <c r="DW728" i="147"/>
  <c r="DW729" i="147"/>
  <c r="DW730" i="147"/>
  <c r="DW731" i="147"/>
  <c r="DW732" i="147"/>
  <c r="DW733" i="147"/>
  <c r="DW734" i="147"/>
  <c r="DW735" i="147"/>
  <c r="DW736" i="147"/>
  <c r="DW717" i="147"/>
  <c r="DW718" i="147"/>
  <c r="DW719" i="147"/>
  <c r="DW720" i="147"/>
  <c r="DW721" i="147"/>
  <c r="DW722" i="147"/>
  <c r="DW723" i="147"/>
  <c r="DW724" i="147"/>
  <c r="DW727" i="147"/>
  <c r="EK649" i="147"/>
  <c r="EK651" i="147"/>
  <c r="EK652" i="147"/>
  <c r="EK653" i="147"/>
  <c r="EK654" i="147"/>
  <c r="EK646" i="147"/>
  <c r="EK655" i="147"/>
  <c r="EK656" i="147"/>
  <c r="EK657" i="147"/>
  <c r="EK644" i="147"/>
  <c r="EK648" i="147"/>
  <c r="EK647" i="147"/>
  <c r="EK650" i="147"/>
  <c r="EK645" i="147"/>
  <c r="EK661" i="147"/>
  <c r="EK660" i="147"/>
  <c r="EK662" i="147"/>
  <c r="EK663" i="147"/>
  <c r="EK664" i="147"/>
  <c r="EK665" i="147"/>
  <c r="EK666" i="147"/>
  <c r="EK658" i="147"/>
  <c r="EK659" i="147"/>
  <c r="EK667" i="147"/>
  <c r="EK668" i="147"/>
  <c r="EK669" i="147"/>
  <c r="EK670" i="147"/>
  <c r="EK671" i="147"/>
  <c r="EK677" i="147"/>
  <c r="EK678" i="147"/>
  <c r="EK679" i="147"/>
  <c r="EK680" i="147"/>
  <c r="EK681" i="147"/>
  <c r="EK682" i="147"/>
  <c r="EK683" i="147"/>
  <c r="EK672" i="147"/>
  <c r="EK673" i="147"/>
  <c r="EK674" i="147"/>
  <c r="EK675" i="147"/>
  <c r="EK676" i="147"/>
  <c r="EK684" i="147"/>
  <c r="EK685" i="147"/>
  <c r="EK686" i="147"/>
  <c r="EK687" i="147"/>
  <c r="EK688" i="147"/>
  <c r="EK690" i="147"/>
  <c r="EK691" i="147"/>
  <c r="EK693" i="147"/>
  <c r="EK694" i="147"/>
  <c r="EK695" i="147"/>
  <c r="EK696" i="147"/>
  <c r="EK697" i="147"/>
  <c r="EK698" i="147"/>
  <c r="EK699" i="147"/>
  <c r="EK700" i="147"/>
  <c r="EK701" i="147"/>
  <c r="EK705" i="147"/>
  <c r="EK706" i="147"/>
  <c r="EK707" i="147"/>
  <c r="EK708" i="147"/>
  <c r="EK709" i="147"/>
  <c r="EK710" i="147"/>
  <c r="EK711" i="147"/>
  <c r="EK712" i="147"/>
  <c r="EK713" i="147"/>
  <c r="EK714" i="147"/>
  <c r="EK715" i="147"/>
  <c r="EK716" i="147"/>
  <c r="EK717" i="147"/>
  <c r="EK718" i="147"/>
  <c r="EK719" i="147"/>
  <c r="EK720" i="147"/>
  <c r="EK721" i="147"/>
  <c r="EK722" i="147"/>
  <c r="EK723" i="147"/>
  <c r="EK724" i="147"/>
  <c r="EK725" i="147"/>
  <c r="EK726" i="147"/>
  <c r="EK727" i="147"/>
  <c r="EK703" i="147"/>
  <c r="EK692" i="147"/>
  <c r="EK702" i="147"/>
  <c r="EK704" i="147"/>
  <c r="EK728" i="147"/>
  <c r="EK729" i="147"/>
  <c r="EK730" i="147"/>
  <c r="EK731" i="147"/>
  <c r="EK732" i="147"/>
  <c r="EK733" i="147"/>
  <c r="EK734" i="147"/>
  <c r="EK735" i="147"/>
  <c r="EK736" i="147"/>
  <c r="EW651" i="147"/>
  <c r="EW652" i="147"/>
  <c r="EW653" i="147"/>
  <c r="EW654" i="147"/>
  <c r="EW655" i="147"/>
  <c r="EW656" i="147"/>
  <c r="EW657" i="147"/>
  <c r="EW650" i="147"/>
  <c r="EW644" i="147"/>
  <c r="EW649" i="147"/>
  <c r="EW646" i="147"/>
  <c r="EW648" i="147"/>
  <c r="EW645" i="147"/>
  <c r="EW662" i="147"/>
  <c r="EW663" i="147"/>
  <c r="EW664" i="147"/>
  <c r="EW665" i="147"/>
  <c r="EW666" i="147"/>
  <c r="EW647" i="147"/>
  <c r="EW660" i="147"/>
  <c r="EW659" i="147"/>
  <c r="EW658" i="147"/>
  <c r="EW661" i="147"/>
  <c r="EW667" i="147"/>
  <c r="EW668" i="147"/>
  <c r="EW669" i="147"/>
  <c r="EW670" i="147"/>
  <c r="EW671" i="147"/>
  <c r="EW672" i="147"/>
  <c r="EW673" i="147"/>
  <c r="EW674" i="147"/>
  <c r="EW675" i="147"/>
  <c r="EW676" i="147"/>
  <c r="EW677" i="147"/>
  <c r="EW678" i="147"/>
  <c r="EW679" i="147"/>
  <c r="EW680" i="147"/>
  <c r="EW681" i="147"/>
  <c r="EW682" i="147"/>
  <c r="EW683" i="147"/>
  <c r="EW685" i="147"/>
  <c r="EW686" i="147"/>
  <c r="EW687" i="147"/>
  <c r="EW688" i="147"/>
  <c r="EW690" i="147"/>
  <c r="EW684" i="147"/>
  <c r="EW692" i="147"/>
  <c r="EW693" i="147"/>
  <c r="EW691" i="147"/>
  <c r="EW702" i="147"/>
  <c r="EW694" i="147"/>
  <c r="EW695" i="147"/>
  <c r="EW696" i="147"/>
  <c r="EW697" i="147"/>
  <c r="EW698" i="147"/>
  <c r="EW699" i="147"/>
  <c r="EW700" i="147"/>
  <c r="EW701" i="147"/>
  <c r="EW703" i="147"/>
  <c r="EW704" i="147"/>
  <c r="EW705" i="147"/>
  <c r="EW706" i="147"/>
  <c r="EW707" i="147"/>
  <c r="EW708" i="147"/>
  <c r="EW709" i="147"/>
  <c r="EW710" i="147"/>
  <c r="EW711" i="147"/>
  <c r="EW712" i="147"/>
  <c r="EW713" i="147"/>
  <c r="EW714" i="147"/>
  <c r="EW715" i="147"/>
  <c r="EW716" i="147"/>
  <c r="EW717" i="147"/>
  <c r="EW718" i="147"/>
  <c r="EW719" i="147"/>
  <c r="EW720" i="147"/>
  <c r="EW721" i="147"/>
  <c r="EW722" i="147"/>
  <c r="EW723" i="147"/>
  <c r="EW724" i="147"/>
  <c r="EW725" i="147"/>
  <c r="EW726" i="147"/>
  <c r="EW727" i="147"/>
  <c r="EW728" i="147"/>
  <c r="EW729" i="147"/>
  <c r="EW730" i="147"/>
  <c r="EW731" i="147"/>
  <c r="EW732" i="147"/>
  <c r="EW733" i="147"/>
  <c r="EW734" i="147"/>
  <c r="EW735" i="147"/>
  <c r="EW736" i="147"/>
  <c r="L644" i="147"/>
  <c r="L645" i="147"/>
  <c r="L646" i="147"/>
  <c r="L647" i="147"/>
  <c r="L648" i="147"/>
  <c r="L652" i="147"/>
  <c r="L653" i="147"/>
  <c r="L654" i="147"/>
  <c r="L655" i="147"/>
  <c r="L659" i="147"/>
  <c r="L660" i="147"/>
  <c r="L661" i="147"/>
  <c r="L649" i="147"/>
  <c r="L656" i="147"/>
  <c r="L657" i="147"/>
  <c r="L658" i="147"/>
  <c r="L662" i="147"/>
  <c r="L650" i="147"/>
  <c r="L651" i="147"/>
  <c r="L663" i="147"/>
  <c r="L664" i="147"/>
  <c r="L665" i="147"/>
  <c r="L666" i="147"/>
  <c r="L667" i="147"/>
  <c r="L668" i="147"/>
  <c r="L669" i="147"/>
  <c r="L670" i="147"/>
  <c r="L671" i="147"/>
  <c r="L673" i="147"/>
  <c r="L674" i="147"/>
  <c r="L675" i="147"/>
  <c r="L676" i="147"/>
  <c r="L677" i="147"/>
  <c r="L678" i="147"/>
  <c r="L672" i="147"/>
  <c r="L686" i="147"/>
  <c r="L687" i="147"/>
  <c r="L688" i="147"/>
  <c r="L690" i="147"/>
  <c r="L691" i="147"/>
  <c r="L692" i="147"/>
  <c r="L679" i="147"/>
  <c r="L680" i="147"/>
  <c r="L681" i="147"/>
  <c r="L682" i="147"/>
  <c r="L683" i="147"/>
  <c r="L684" i="147"/>
  <c r="L685" i="147"/>
  <c r="L695" i="147"/>
  <c r="L696" i="147"/>
  <c r="L697" i="147"/>
  <c r="L698" i="147"/>
  <c r="L699" i="147"/>
  <c r="L700" i="147"/>
  <c r="L701" i="147"/>
  <c r="L702" i="147"/>
  <c r="L693" i="147"/>
  <c r="L706" i="147"/>
  <c r="L707" i="147"/>
  <c r="L708" i="147"/>
  <c r="L709" i="147"/>
  <c r="L710" i="147"/>
  <c r="L711" i="147"/>
  <c r="L712" i="147"/>
  <c r="L713" i="147"/>
  <c r="L714" i="147"/>
  <c r="L715" i="147"/>
  <c r="L716" i="147"/>
  <c r="L717" i="147"/>
  <c r="L703" i="147"/>
  <c r="L704" i="147"/>
  <c r="L718" i="147"/>
  <c r="L719" i="147"/>
  <c r="L720" i="147"/>
  <c r="L721" i="147"/>
  <c r="L722" i="147"/>
  <c r="L723" i="147"/>
  <c r="L724" i="147"/>
  <c r="L725" i="147"/>
  <c r="L726" i="147"/>
  <c r="L727" i="147"/>
  <c r="L728" i="147"/>
  <c r="L694" i="147"/>
  <c r="L705" i="147"/>
  <c r="L729" i="147"/>
  <c r="L730" i="147"/>
  <c r="L731" i="147"/>
  <c r="L732" i="147"/>
  <c r="L733" i="147"/>
  <c r="L734" i="147"/>
  <c r="L735" i="147"/>
  <c r="L736" i="147"/>
  <c r="Z644" i="147"/>
  <c r="Z645" i="147"/>
  <c r="Z646" i="147"/>
  <c r="Z647" i="147"/>
  <c r="Z648" i="147"/>
  <c r="Z650" i="147"/>
  <c r="Z655" i="147"/>
  <c r="Z654" i="147"/>
  <c r="Z656" i="147"/>
  <c r="Z657" i="147"/>
  <c r="Z658" i="147"/>
  <c r="Z659" i="147"/>
  <c r="Z660" i="147"/>
  <c r="Z662" i="147"/>
  <c r="Z653" i="147"/>
  <c r="Z651" i="147"/>
  <c r="Z649" i="147"/>
  <c r="Z652" i="147"/>
  <c r="Z664" i="147"/>
  <c r="Z665" i="147"/>
  <c r="Z666" i="147"/>
  <c r="Z667" i="147"/>
  <c r="Z672" i="147"/>
  <c r="Z673" i="147"/>
  <c r="Z674" i="147"/>
  <c r="Z675" i="147"/>
  <c r="Z676" i="147"/>
  <c r="Z677" i="147"/>
  <c r="Z678" i="147"/>
  <c r="Z679" i="147"/>
  <c r="Z680" i="147"/>
  <c r="Z681" i="147"/>
  <c r="Z682" i="147"/>
  <c r="Z683" i="147"/>
  <c r="Z670" i="147"/>
  <c r="Z669" i="147"/>
  <c r="Z668" i="147"/>
  <c r="Z686" i="147"/>
  <c r="Z687" i="147"/>
  <c r="Z688" i="147"/>
  <c r="Z690" i="147"/>
  <c r="Z691" i="147"/>
  <c r="Z692" i="147"/>
  <c r="Z693" i="147"/>
  <c r="Z694" i="147"/>
  <c r="Z685" i="147"/>
  <c r="Z684" i="147"/>
  <c r="Z695" i="147"/>
  <c r="Z696" i="147"/>
  <c r="Z697" i="147"/>
  <c r="Z698" i="147"/>
  <c r="Z699" i="147"/>
  <c r="Z700" i="147"/>
  <c r="Z701" i="147"/>
  <c r="Z702" i="147"/>
  <c r="Z703" i="147"/>
  <c r="Z704" i="147"/>
  <c r="Z705" i="147"/>
  <c r="Z706" i="147"/>
  <c r="Z707" i="147"/>
  <c r="Z708" i="147"/>
  <c r="Z709" i="147"/>
  <c r="Z710" i="147"/>
  <c r="Z711" i="147"/>
  <c r="Z712" i="147"/>
  <c r="Z713" i="147"/>
  <c r="Z714" i="147"/>
  <c r="Z715" i="147"/>
  <c r="Z716" i="147"/>
  <c r="Z717" i="147"/>
  <c r="Z718" i="147"/>
  <c r="Z719" i="147"/>
  <c r="Z720" i="147"/>
  <c r="Z721" i="147"/>
  <c r="Z722" i="147"/>
  <c r="Z723" i="147"/>
  <c r="Z724" i="147"/>
  <c r="Z725" i="147"/>
  <c r="Z726" i="147"/>
  <c r="Z727" i="147"/>
  <c r="Z728" i="147"/>
  <c r="Z729" i="147"/>
  <c r="Z730" i="147"/>
  <c r="Z731" i="147"/>
  <c r="Z732" i="147"/>
  <c r="Z733" i="147"/>
  <c r="Z734" i="147"/>
  <c r="Z735" i="147"/>
  <c r="Z736" i="147"/>
  <c r="AO644" i="147"/>
  <c r="AO645" i="147"/>
  <c r="AO646" i="147"/>
  <c r="AO647" i="147"/>
  <c r="AO648" i="147"/>
  <c r="AO649" i="147"/>
  <c r="AO650" i="147"/>
  <c r="AO651" i="147"/>
  <c r="AO652" i="147"/>
  <c r="AO653" i="147"/>
  <c r="AO654" i="147"/>
  <c r="AO655" i="147"/>
  <c r="AO656" i="147"/>
  <c r="AO657" i="147"/>
  <c r="AO658" i="147"/>
  <c r="AO659" i="147"/>
  <c r="AO660" i="147"/>
  <c r="AO661" i="147"/>
  <c r="AO663" i="147"/>
  <c r="AO664" i="147"/>
  <c r="AO665" i="147"/>
  <c r="AO666" i="147"/>
  <c r="AO667" i="147"/>
  <c r="AO662" i="147"/>
  <c r="AO668" i="147"/>
  <c r="AO669" i="147"/>
  <c r="AO670" i="147"/>
  <c r="AO671" i="147"/>
  <c r="AO672" i="147"/>
  <c r="AO673" i="147"/>
  <c r="AO674" i="147"/>
  <c r="AO675" i="147"/>
  <c r="AO676" i="147"/>
  <c r="AO677" i="147"/>
  <c r="AO678" i="147"/>
  <c r="AO679" i="147"/>
  <c r="AO680" i="147"/>
  <c r="AO681" i="147"/>
  <c r="AO682" i="147"/>
  <c r="AO684" i="147"/>
  <c r="AO683" i="147"/>
  <c r="AO685" i="147"/>
  <c r="AO686" i="147"/>
  <c r="AO687" i="147"/>
  <c r="AO688" i="147"/>
  <c r="AO690" i="147"/>
  <c r="AO691" i="147"/>
  <c r="AO693" i="147"/>
  <c r="AO695" i="147"/>
  <c r="AO696" i="147"/>
  <c r="AO697" i="147"/>
  <c r="AO698" i="147"/>
  <c r="AO699" i="147"/>
  <c r="AO700" i="147"/>
  <c r="AO701" i="147"/>
  <c r="AO702" i="147"/>
  <c r="AO703" i="147"/>
  <c r="AO694" i="147"/>
  <c r="AO692" i="147"/>
  <c r="AO706" i="147"/>
  <c r="AO707" i="147"/>
  <c r="AO708" i="147"/>
  <c r="AO709" i="147"/>
  <c r="AO710" i="147"/>
  <c r="AO711" i="147"/>
  <c r="AO712" i="147"/>
  <c r="AO713" i="147"/>
  <c r="AO714" i="147"/>
  <c r="AO715" i="147"/>
  <c r="AO716" i="147"/>
  <c r="AO704" i="147"/>
  <c r="AO705" i="147"/>
  <c r="AO717" i="147"/>
  <c r="AO718" i="147"/>
  <c r="AO719" i="147"/>
  <c r="AO720" i="147"/>
  <c r="AO721" i="147"/>
  <c r="AO722" i="147"/>
  <c r="AO723" i="147"/>
  <c r="AO724" i="147"/>
  <c r="AO725" i="147"/>
  <c r="AO726" i="147"/>
  <c r="AO727" i="147"/>
  <c r="AO728" i="147"/>
  <c r="AO729" i="147"/>
  <c r="AO730" i="147"/>
  <c r="AO731" i="147"/>
  <c r="AO732" i="147"/>
  <c r="AO733" i="147"/>
  <c r="AO734" i="147"/>
  <c r="AO735" i="147"/>
  <c r="AO736" i="147"/>
  <c r="BA644" i="147"/>
  <c r="BA645" i="147"/>
  <c r="BA646" i="147"/>
  <c r="BA647" i="147"/>
  <c r="BA648" i="147"/>
  <c r="BA649" i="147"/>
  <c r="BA650" i="147"/>
  <c r="BA656" i="147"/>
  <c r="BA657" i="147"/>
  <c r="BA658" i="147"/>
  <c r="BA652" i="147"/>
  <c r="BA651" i="147"/>
  <c r="BA659" i="147"/>
  <c r="BA660" i="147"/>
  <c r="BA661" i="147"/>
  <c r="BA655" i="147"/>
  <c r="BA653" i="147"/>
  <c r="BA663" i="147"/>
  <c r="BA664" i="147"/>
  <c r="BA665" i="147"/>
  <c r="BA666" i="147"/>
  <c r="BA662" i="147"/>
  <c r="BA668" i="147"/>
  <c r="BA669" i="147"/>
  <c r="BA670" i="147"/>
  <c r="BA671" i="147"/>
  <c r="BA672" i="147"/>
  <c r="BA667" i="147"/>
  <c r="BA654" i="147"/>
  <c r="BA673" i="147"/>
  <c r="BA674" i="147"/>
  <c r="BA675" i="147"/>
  <c r="BA676" i="147"/>
  <c r="BA677" i="147"/>
  <c r="BA678" i="147"/>
  <c r="BA679" i="147"/>
  <c r="BA680" i="147"/>
  <c r="BA681" i="147"/>
  <c r="BA682" i="147"/>
  <c r="BA685" i="147"/>
  <c r="BA686" i="147"/>
  <c r="BA687" i="147"/>
  <c r="BA688" i="147"/>
  <c r="BA690" i="147"/>
  <c r="BA691" i="147"/>
  <c r="BA683" i="147"/>
  <c r="BA692" i="147"/>
  <c r="BA684" i="147"/>
  <c r="BA694" i="147"/>
  <c r="BA695" i="147"/>
  <c r="BA696" i="147"/>
  <c r="BA697" i="147"/>
  <c r="BA698" i="147"/>
  <c r="BA699" i="147"/>
  <c r="BA700" i="147"/>
  <c r="BA701" i="147"/>
  <c r="BA702" i="147"/>
  <c r="BA703" i="147"/>
  <c r="BA693" i="147"/>
  <c r="BA705" i="147"/>
  <c r="BA706" i="147"/>
  <c r="BA707" i="147"/>
  <c r="BA708" i="147"/>
  <c r="BA709" i="147"/>
  <c r="BA710" i="147"/>
  <c r="BA711" i="147"/>
  <c r="BA712" i="147"/>
  <c r="BA713" i="147"/>
  <c r="BA714" i="147"/>
  <c r="BA715" i="147"/>
  <c r="BA716" i="147"/>
  <c r="BA704" i="147"/>
  <c r="BA717" i="147"/>
  <c r="BA718" i="147"/>
  <c r="BA719" i="147"/>
  <c r="BA720" i="147"/>
  <c r="BA721" i="147"/>
  <c r="BA722" i="147"/>
  <c r="BA723" i="147"/>
  <c r="BA724" i="147"/>
  <c r="BA725" i="147"/>
  <c r="BA726" i="147"/>
  <c r="BA727" i="147"/>
  <c r="BA728" i="147"/>
  <c r="BA729" i="147"/>
  <c r="BA730" i="147"/>
  <c r="BA731" i="147"/>
  <c r="BA732" i="147"/>
  <c r="BA733" i="147"/>
  <c r="BA734" i="147"/>
  <c r="BA735" i="147"/>
  <c r="BA736" i="147"/>
  <c r="BP644" i="147"/>
  <c r="BP645" i="147"/>
  <c r="BP646" i="147"/>
  <c r="BP647" i="147"/>
  <c r="BP648" i="147"/>
  <c r="BP649" i="147"/>
  <c r="BP650" i="147"/>
  <c r="BP655" i="147"/>
  <c r="BP654" i="147"/>
  <c r="BP653" i="147"/>
  <c r="BP652" i="147"/>
  <c r="BP651" i="147"/>
  <c r="BP656" i="147"/>
  <c r="BP657" i="147"/>
  <c r="BP659" i="147"/>
  <c r="BP660" i="147"/>
  <c r="BP661" i="147"/>
  <c r="BP662" i="147"/>
  <c r="BP658" i="147"/>
  <c r="BP667" i="147"/>
  <c r="BP668" i="147"/>
  <c r="BP669" i="147"/>
  <c r="BP670" i="147"/>
  <c r="BP671" i="147"/>
  <c r="BP663" i="147"/>
  <c r="BP664" i="147"/>
  <c r="BP665" i="147"/>
  <c r="BP666" i="147"/>
  <c r="BP672" i="147"/>
  <c r="BP673" i="147"/>
  <c r="BP674" i="147"/>
  <c r="BP675" i="147"/>
  <c r="BP676" i="147"/>
  <c r="BP677" i="147"/>
  <c r="BP678" i="147"/>
  <c r="BP679" i="147"/>
  <c r="BP680" i="147"/>
  <c r="BP681" i="147"/>
  <c r="BP682" i="147"/>
  <c r="BP683" i="147"/>
  <c r="BP684" i="147"/>
  <c r="BP685" i="147"/>
  <c r="BP686" i="147"/>
  <c r="BP687" i="147"/>
  <c r="BP688" i="147"/>
  <c r="BP690" i="147"/>
  <c r="BP691" i="147"/>
  <c r="BP693" i="147"/>
  <c r="BP692" i="147"/>
  <c r="BP694" i="147"/>
  <c r="BP695" i="147"/>
  <c r="BP696" i="147"/>
  <c r="BP697" i="147"/>
  <c r="BP698" i="147"/>
  <c r="BP699" i="147"/>
  <c r="BP700" i="147"/>
  <c r="BP701" i="147"/>
  <c r="BP702" i="147"/>
  <c r="BP703" i="147"/>
  <c r="BP704" i="147"/>
  <c r="BP705" i="147"/>
  <c r="BP706" i="147"/>
  <c r="BP707" i="147"/>
  <c r="BP708" i="147"/>
  <c r="BP709" i="147"/>
  <c r="BP710" i="147"/>
  <c r="BP711" i="147"/>
  <c r="BP712" i="147"/>
  <c r="BP713" i="147"/>
  <c r="BP714" i="147"/>
  <c r="BP715" i="147"/>
  <c r="BP716" i="147"/>
  <c r="BP717" i="147"/>
  <c r="BP718" i="147"/>
  <c r="BP719" i="147"/>
  <c r="BP720" i="147"/>
  <c r="BP721" i="147"/>
  <c r="BP722" i="147"/>
  <c r="BP723" i="147"/>
  <c r="BP724" i="147"/>
  <c r="BP725" i="147"/>
  <c r="BP726" i="147"/>
  <c r="BP727" i="147"/>
  <c r="BP728" i="147"/>
  <c r="BP729" i="147"/>
  <c r="BP730" i="147"/>
  <c r="BP731" i="147"/>
  <c r="BP732" i="147"/>
  <c r="BP733" i="147"/>
  <c r="BP734" i="147"/>
  <c r="BP735" i="147"/>
  <c r="BP736" i="147"/>
  <c r="CB644" i="147"/>
  <c r="CB645" i="147"/>
  <c r="CB646" i="147"/>
  <c r="CB647" i="147"/>
  <c r="CB648" i="147"/>
  <c r="CB649" i="147"/>
  <c r="CB650" i="147"/>
  <c r="CB656" i="147"/>
  <c r="CB657" i="147"/>
  <c r="CB653" i="147"/>
  <c r="CB652" i="147"/>
  <c r="CB658" i="147"/>
  <c r="CB651" i="147"/>
  <c r="CB659" i="147"/>
  <c r="CB654" i="147"/>
  <c r="CB661" i="147"/>
  <c r="CB660" i="147"/>
  <c r="CB662" i="147"/>
  <c r="CB655" i="147"/>
  <c r="CB667" i="147"/>
  <c r="CB668" i="147"/>
  <c r="CB669" i="147"/>
  <c r="CB670" i="147"/>
  <c r="CB671" i="147"/>
  <c r="CB663" i="147"/>
  <c r="CB664" i="147"/>
  <c r="CB665" i="147"/>
  <c r="CB666" i="147"/>
  <c r="CB673" i="147"/>
  <c r="CB674" i="147"/>
  <c r="CB675" i="147"/>
  <c r="CB676" i="147"/>
  <c r="CB677" i="147"/>
  <c r="CB672" i="147"/>
  <c r="CB678" i="147"/>
  <c r="CB679" i="147"/>
  <c r="CB680" i="147"/>
  <c r="CB681" i="147"/>
  <c r="CB682" i="147"/>
  <c r="CB683" i="147"/>
  <c r="CB684" i="147"/>
  <c r="CB685" i="147"/>
  <c r="CB686" i="147"/>
  <c r="CB687" i="147"/>
  <c r="CB688" i="147"/>
  <c r="CB690" i="147"/>
  <c r="CB691" i="147"/>
  <c r="CB692" i="147"/>
  <c r="CB693" i="147"/>
  <c r="CB694" i="147"/>
  <c r="CB695" i="147"/>
  <c r="CB697" i="147"/>
  <c r="CB698" i="147"/>
  <c r="CB699" i="147"/>
  <c r="CB700" i="147"/>
  <c r="CB701" i="147"/>
  <c r="CB702" i="147"/>
  <c r="CB703" i="147"/>
  <c r="CB704" i="147"/>
  <c r="CB705" i="147"/>
  <c r="CB706" i="147"/>
  <c r="CB707" i="147"/>
  <c r="CB708" i="147"/>
  <c r="CB709" i="147"/>
  <c r="CB710" i="147"/>
  <c r="CB711" i="147"/>
  <c r="CB712" i="147"/>
  <c r="CB713" i="147"/>
  <c r="CB714" i="147"/>
  <c r="CB715" i="147"/>
  <c r="CB716" i="147"/>
  <c r="CB717" i="147"/>
  <c r="CB718" i="147"/>
  <c r="CB719" i="147"/>
  <c r="CB720" i="147"/>
  <c r="CB721" i="147"/>
  <c r="CB722" i="147"/>
  <c r="CB723" i="147"/>
  <c r="CB724" i="147"/>
  <c r="CB725" i="147"/>
  <c r="CB726" i="147"/>
  <c r="CB727" i="147"/>
  <c r="CB728" i="147"/>
  <c r="CB729" i="147"/>
  <c r="CB730" i="147"/>
  <c r="CB731" i="147"/>
  <c r="CB732" i="147"/>
  <c r="CB733" i="147"/>
  <c r="CB734" i="147"/>
  <c r="CB735" i="147"/>
  <c r="CB736" i="147"/>
  <c r="CB696" i="147"/>
  <c r="CN644" i="147"/>
  <c r="CN645" i="147"/>
  <c r="CN646" i="147"/>
  <c r="CN647" i="147"/>
  <c r="CN648" i="147"/>
  <c r="CN649" i="147"/>
  <c r="CN650" i="147"/>
  <c r="CN651" i="147"/>
  <c r="CN652" i="147"/>
  <c r="CN653" i="147"/>
  <c r="CN654" i="147"/>
  <c r="CN655" i="147"/>
  <c r="CN658" i="147"/>
  <c r="CN656" i="147"/>
  <c r="CN657" i="147"/>
  <c r="CN659" i="147"/>
  <c r="CN664" i="147"/>
  <c r="CN665" i="147"/>
  <c r="CN666" i="147"/>
  <c r="CN667" i="147"/>
  <c r="CN668" i="147"/>
  <c r="CN669" i="147"/>
  <c r="CN670" i="147"/>
  <c r="CN671" i="147"/>
  <c r="CN660" i="147"/>
  <c r="CN661" i="147"/>
  <c r="CN678" i="147"/>
  <c r="CN679" i="147"/>
  <c r="CN680" i="147"/>
  <c r="CN681" i="147"/>
  <c r="CN682" i="147"/>
  <c r="CN683" i="147"/>
  <c r="CN684" i="147"/>
  <c r="CN672" i="147"/>
  <c r="CN673" i="147"/>
  <c r="CN674" i="147"/>
  <c r="CN675" i="147"/>
  <c r="CN676" i="147"/>
  <c r="CN677" i="147"/>
  <c r="CN685" i="147"/>
  <c r="CN686" i="147"/>
  <c r="CN687" i="147"/>
  <c r="CN688" i="147"/>
  <c r="CN690" i="147"/>
  <c r="CN691" i="147"/>
  <c r="CN692" i="147"/>
  <c r="CN694" i="147"/>
  <c r="CN695" i="147"/>
  <c r="CN696" i="147"/>
  <c r="CN697" i="147"/>
  <c r="CN698" i="147"/>
  <c r="CN699" i="147"/>
  <c r="CN700" i="147"/>
  <c r="CN701" i="147"/>
  <c r="CN702" i="147"/>
  <c r="CN703" i="147"/>
  <c r="CN704" i="147"/>
  <c r="CN693" i="147"/>
  <c r="CN705" i="147"/>
  <c r="CN706" i="147"/>
  <c r="CN707" i="147"/>
  <c r="CN708" i="147"/>
  <c r="CN709" i="147"/>
  <c r="CN710" i="147"/>
  <c r="CN711" i="147"/>
  <c r="CN712" i="147"/>
  <c r="CN713" i="147"/>
  <c r="CN714" i="147"/>
  <c r="CN715" i="147"/>
  <c r="CN716" i="147"/>
  <c r="CN717" i="147"/>
  <c r="CN718" i="147"/>
  <c r="CN719" i="147"/>
  <c r="CN720" i="147"/>
  <c r="CN721" i="147"/>
  <c r="CN722" i="147"/>
  <c r="CN723" i="147"/>
  <c r="CN724" i="147"/>
  <c r="CN725" i="147"/>
  <c r="CN726" i="147"/>
  <c r="CN727" i="147"/>
  <c r="CN728" i="147"/>
  <c r="CN729" i="147"/>
  <c r="CN730" i="147"/>
  <c r="CN731" i="147"/>
  <c r="CN732" i="147"/>
  <c r="CN733" i="147"/>
  <c r="CN734" i="147"/>
  <c r="CN735" i="147"/>
  <c r="CN736" i="147"/>
  <c r="CZ650" i="147"/>
  <c r="CZ655" i="147"/>
  <c r="CZ661" i="147"/>
  <c r="CZ664" i="147"/>
  <c r="CZ666" i="147"/>
  <c r="CZ657" i="147"/>
  <c r="CZ692" i="147"/>
  <c r="CZ693" i="147"/>
  <c r="CZ694" i="147"/>
  <c r="CZ699" i="147"/>
  <c r="CZ700" i="147"/>
  <c r="CZ701" i="147"/>
  <c r="CZ702" i="147"/>
  <c r="CZ703" i="147"/>
  <c r="CZ704" i="147"/>
  <c r="CZ705" i="147"/>
  <c r="CZ706" i="147"/>
  <c r="CZ707" i="147"/>
  <c r="CZ708" i="147"/>
  <c r="CZ709" i="147"/>
  <c r="CZ710" i="147"/>
  <c r="CZ711" i="147"/>
  <c r="CZ712" i="147"/>
  <c r="CZ713" i="147"/>
  <c r="CZ714" i="147"/>
  <c r="CZ715" i="147"/>
  <c r="CZ716" i="147"/>
  <c r="CZ717" i="147"/>
  <c r="CZ718" i="147"/>
  <c r="CZ719" i="147"/>
  <c r="CZ720" i="147"/>
  <c r="CZ721" i="147"/>
  <c r="CZ722" i="147"/>
  <c r="CZ723" i="147"/>
  <c r="CZ724" i="147"/>
  <c r="CZ725" i="147"/>
  <c r="CZ726" i="147"/>
  <c r="CZ727" i="147"/>
  <c r="CZ728" i="147"/>
  <c r="CZ729" i="147"/>
  <c r="CZ730" i="147"/>
  <c r="CZ731" i="147"/>
  <c r="CZ732" i="147"/>
  <c r="CZ733" i="147"/>
  <c r="CZ734" i="147"/>
  <c r="CZ735" i="147"/>
  <c r="CZ736" i="147"/>
  <c r="CZ648" i="147"/>
  <c r="CZ646" i="147"/>
  <c r="CZ647" i="147"/>
  <c r="CZ644" i="147"/>
  <c r="CZ698" i="147"/>
  <c r="CZ697" i="147"/>
  <c r="CZ696" i="147"/>
  <c r="DL644" i="147"/>
  <c r="DL645" i="147"/>
  <c r="DL646" i="147"/>
  <c r="DL647" i="147"/>
  <c r="DL648" i="147"/>
  <c r="DL649" i="147"/>
  <c r="DL650" i="147"/>
  <c r="DL654" i="147"/>
  <c r="DL653" i="147"/>
  <c r="DL652" i="147"/>
  <c r="DL651" i="147"/>
  <c r="DL656" i="147"/>
  <c r="DL657" i="147"/>
  <c r="DL655" i="147"/>
  <c r="DL659" i="147"/>
  <c r="DL661" i="147"/>
  <c r="DL658" i="147"/>
  <c r="DL660" i="147"/>
  <c r="DL667" i="147"/>
  <c r="DL668" i="147"/>
  <c r="DL669" i="147"/>
  <c r="DL670" i="147"/>
  <c r="DL671" i="147"/>
  <c r="DL662" i="147"/>
  <c r="DL663" i="147"/>
  <c r="DL664" i="147"/>
  <c r="DL665" i="147"/>
  <c r="DL666" i="147"/>
  <c r="DL672" i="147"/>
  <c r="DL673" i="147"/>
  <c r="DL674" i="147"/>
  <c r="DL675" i="147"/>
  <c r="DL676" i="147"/>
  <c r="DL677" i="147"/>
  <c r="DL678" i="147"/>
  <c r="DL679" i="147"/>
  <c r="DL680" i="147"/>
  <c r="DL681" i="147"/>
  <c r="DL682" i="147"/>
  <c r="DL683" i="147"/>
  <c r="DL684" i="147"/>
  <c r="DL685" i="147"/>
  <c r="DL686" i="147"/>
  <c r="DL687" i="147"/>
  <c r="DL688" i="147"/>
  <c r="DL690" i="147"/>
  <c r="DL691" i="147"/>
  <c r="DL692" i="147"/>
  <c r="DL694" i="147"/>
  <c r="DL695" i="147"/>
  <c r="DL696" i="147"/>
  <c r="DL697" i="147"/>
  <c r="DL698" i="147"/>
  <c r="DL699" i="147"/>
  <c r="DL700" i="147"/>
  <c r="DL701" i="147"/>
  <c r="DL702" i="147"/>
  <c r="DL703" i="147"/>
  <c r="DL704" i="147"/>
  <c r="DL705" i="147"/>
  <c r="DL693" i="147"/>
  <c r="DL706" i="147"/>
  <c r="DL707" i="147"/>
  <c r="DL708" i="147"/>
  <c r="DL709" i="147"/>
  <c r="DL710" i="147"/>
  <c r="DL711" i="147"/>
  <c r="DL712" i="147"/>
  <c r="DL713" i="147"/>
  <c r="DL714" i="147"/>
  <c r="DL715" i="147"/>
  <c r="DL716" i="147"/>
  <c r="DL717" i="147"/>
  <c r="DL718" i="147"/>
  <c r="DL719" i="147"/>
  <c r="DL720" i="147"/>
  <c r="DL721" i="147"/>
  <c r="DL722" i="147"/>
  <c r="DL723" i="147"/>
  <c r="DL724" i="147"/>
  <c r="DL725" i="147"/>
  <c r="DL726" i="147"/>
  <c r="DL727" i="147"/>
  <c r="DL728" i="147"/>
  <c r="DL729" i="147"/>
  <c r="DL730" i="147"/>
  <c r="DL731" i="147"/>
  <c r="DL732" i="147"/>
  <c r="DL733" i="147"/>
  <c r="DL734" i="147"/>
  <c r="DL735" i="147"/>
  <c r="DL736" i="147"/>
  <c r="DY649" i="147"/>
  <c r="DY648" i="147"/>
  <c r="DY651" i="147"/>
  <c r="DY652" i="147"/>
  <c r="DY653" i="147"/>
  <c r="DY654" i="147"/>
  <c r="DY656" i="147"/>
  <c r="DY657" i="147"/>
  <c r="DY650" i="147"/>
  <c r="DY647" i="147"/>
  <c r="DY646" i="147"/>
  <c r="DY645" i="147"/>
  <c r="DY644" i="147"/>
  <c r="DY660" i="147"/>
  <c r="DY655" i="147"/>
  <c r="DY658" i="147"/>
  <c r="DY659" i="147"/>
  <c r="DY662" i="147"/>
  <c r="DY663" i="147"/>
  <c r="DY664" i="147"/>
  <c r="DY665" i="147"/>
  <c r="DY666" i="147"/>
  <c r="DY661" i="147"/>
  <c r="DY667" i="147"/>
  <c r="DY668" i="147"/>
  <c r="DY669" i="147"/>
  <c r="DY670" i="147"/>
  <c r="DY671" i="147"/>
  <c r="DY672" i="147"/>
  <c r="DY673" i="147"/>
  <c r="DY674" i="147"/>
  <c r="DY675" i="147"/>
  <c r="DY676" i="147"/>
  <c r="DY678" i="147"/>
  <c r="DY679" i="147"/>
  <c r="DY680" i="147"/>
  <c r="DY681" i="147"/>
  <c r="DY682" i="147"/>
  <c r="DY683" i="147"/>
  <c r="DY684" i="147"/>
  <c r="DY677" i="147"/>
  <c r="DY693" i="147"/>
  <c r="DY691" i="147"/>
  <c r="DY692" i="147"/>
  <c r="DY686" i="147"/>
  <c r="DY690" i="147"/>
  <c r="DY703" i="147"/>
  <c r="DY704" i="147"/>
  <c r="DY687" i="147"/>
  <c r="DY702" i="147"/>
  <c r="DY685" i="147"/>
  <c r="DY688" i="147"/>
  <c r="DY706" i="147"/>
  <c r="DY707" i="147"/>
  <c r="DY708" i="147"/>
  <c r="DY709" i="147"/>
  <c r="DY710" i="147"/>
  <c r="DY711" i="147"/>
  <c r="DY712" i="147"/>
  <c r="DY713" i="147"/>
  <c r="DY714" i="147"/>
  <c r="DY715" i="147"/>
  <c r="DY716" i="147"/>
  <c r="DY717" i="147"/>
  <c r="DY718" i="147"/>
  <c r="DY719" i="147"/>
  <c r="DY720" i="147"/>
  <c r="DY721" i="147"/>
  <c r="DY722" i="147"/>
  <c r="DY723" i="147"/>
  <c r="DY724" i="147"/>
  <c r="DY725" i="147"/>
  <c r="DY726" i="147"/>
  <c r="DY727" i="147"/>
  <c r="DY695" i="147"/>
  <c r="DY698" i="147"/>
  <c r="DY701" i="147"/>
  <c r="DY696" i="147"/>
  <c r="DY699" i="147"/>
  <c r="DY705" i="147"/>
  <c r="DY694" i="147"/>
  <c r="DY697" i="147"/>
  <c r="DY700" i="147"/>
  <c r="DY728" i="147"/>
  <c r="DY729" i="147"/>
  <c r="DY730" i="147"/>
  <c r="DY731" i="147"/>
  <c r="DY732" i="147"/>
  <c r="DY733" i="147"/>
  <c r="DY734" i="147"/>
  <c r="DY735" i="147"/>
  <c r="DY736" i="147"/>
  <c r="EL644" i="147"/>
  <c r="EL645" i="147"/>
  <c r="EL646" i="147"/>
  <c r="EL647" i="147"/>
  <c r="EL648" i="147"/>
  <c r="EL649" i="147"/>
  <c r="EL650" i="147"/>
  <c r="EL655" i="147"/>
  <c r="EL656" i="147"/>
  <c r="EL657" i="147"/>
  <c r="EL654" i="147"/>
  <c r="EL653" i="147"/>
  <c r="EL651" i="147"/>
  <c r="EL661" i="147"/>
  <c r="EL662" i="147"/>
  <c r="EL663" i="147"/>
  <c r="EL664" i="147"/>
  <c r="EL665" i="147"/>
  <c r="EL666" i="147"/>
  <c r="EL658" i="147"/>
  <c r="EL659" i="147"/>
  <c r="EL660" i="147"/>
  <c r="EL667" i="147"/>
  <c r="EL668" i="147"/>
  <c r="EL669" i="147"/>
  <c r="EL670" i="147"/>
  <c r="EL671" i="147"/>
  <c r="EL652" i="147"/>
  <c r="EL672" i="147"/>
  <c r="EL673" i="147"/>
  <c r="EL674" i="147"/>
  <c r="EL675" i="147"/>
  <c r="EL676" i="147"/>
  <c r="EL677" i="147"/>
  <c r="EL678" i="147"/>
  <c r="EL679" i="147"/>
  <c r="EL680" i="147"/>
  <c r="EL681" i="147"/>
  <c r="EL682" i="147"/>
  <c r="EL683" i="147"/>
  <c r="EL684" i="147"/>
  <c r="EL685" i="147"/>
  <c r="EL686" i="147"/>
  <c r="EL687" i="147"/>
  <c r="EL688" i="147"/>
  <c r="EL690" i="147"/>
  <c r="EL691" i="147"/>
  <c r="EL693" i="147"/>
  <c r="EL692" i="147"/>
  <c r="EL694" i="147"/>
  <c r="EL695" i="147"/>
  <c r="EL696" i="147"/>
  <c r="EL697" i="147"/>
  <c r="EL698" i="147"/>
  <c r="EL699" i="147"/>
  <c r="EL700" i="147"/>
  <c r="EL701" i="147"/>
  <c r="EL702" i="147"/>
  <c r="EL703" i="147"/>
  <c r="EL704" i="147"/>
  <c r="EL717" i="147"/>
  <c r="EL718" i="147"/>
  <c r="EL719" i="147"/>
  <c r="EL720" i="147"/>
  <c r="EL721" i="147"/>
  <c r="EL722" i="147"/>
  <c r="EL723" i="147"/>
  <c r="EL724" i="147"/>
  <c r="EL714" i="147"/>
  <c r="EL728" i="147"/>
  <c r="EL731" i="147"/>
  <c r="EL727" i="147"/>
  <c r="EL726" i="147"/>
  <c r="EL730" i="147"/>
  <c r="EL732" i="147"/>
  <c r="EL707" i="147"/>
  <c r="EL710" i="147"/>
  <c r="EL713" i="147"/>
  <c r="EL715" i="147"/>
  <c r="EL725" i="147"/>
  <c r="EL729" i="147"/>
  <c r="EL705" i="147"/>
  <c r="EL708" i="147"/>
  <c r="EL711" i="147"/>
  <c r="EL706" i="147"/>
  <c r="EL709" i="147"/>
  <c r="EL712" i="147"/>
  <c r="EL716" i="147"/>
  <c r="EL735" i="147"/>
  <c r="EL734" i="147"/>
  <c r="EL733" i="147"/>
  <c r="EL736" i="147"/>
  <c r="EX644" i="147"/>
  <c r="EX645" i="147"/>
  <c r="EX646" i="147"/>
  <c r="EX647" i="147"/>
  <c r="EX648" i="147"/>
  <c r="EX649" i="147"/>
  <c r="EX650" i="147"/>
  <c r="EX651" i="147"/>
  <c r="EX652" i="147"/>
  <c r="EX653" i="147"/>
  <c r="EX654" i="147"/>
  <c r="EX655" i="147"/>
  <c r="EX656" i="147"/>
  <c r="EX657" i="147"/>
  <c r="EX662" i="147"/>
  <c r="EX663" i="147"/>
  <c r="EX664" i="147"/>
  <c r="EX665" i="147"/>
  <c r="EX666" i="147"/>
  <c r="EX660" i="147"/>
  <c r="EX659" i="147"/>
  <c r="EX667" i="147"/>
  <c r="EX668" i="147"/>
  <c r="EX669" i="147"/>
  <c r="EX670" i="147"/>
  <c r="EX671" i="147"/>
  <c r="EX661" i="147"/>
  <c r="EX672" i="147"/>
  <c r="EX673" i="147"/>
  <c r="EX674" i="147"/>
  <c r="EX675" i="147"/>
  <c r="EX676" i="147"/>
  <c r="EX677" i="147"/>
  <c r="EX658" i="147"/>
  <c r="EX678" i="147"/>
  <c r="EX679" i="147"/>
  <c r="EX680" i="147"/>
  <c r="EX681" i="147"/>
  <c r="EX682" i="147"/>
  <c r="EX683" i="147"/>
  <c r="EX684" i="147"/>
  <c r="EX685" i="147"/>
  <c r="EX686" i="147"/>
  <c r="EX687" i="147"/>
  <c r="EX688" i="147"/>
  <c r="EX690" i="147"/>
  <c r="EX691" i="147"/>
  <c r="EX692" i="147"/>
  <c r="EX693" i="147"/>
  <c r="EX694" i="147"/>
  <c r="EX695" i="147"/>
  <c r="EX696" i="147"/>
  <c r="EX697" i="147"/>
  <c r="EX698" i="147"/>
  <c r="EX699" i="147"/>
  <c r="EX700" i="147"/>
  <c r="EX701" i="147"/>
  <c r="EX702" i="147"/>
  <c r="EX703" i="147"/>
  <c r="EX704" i="147"/>
  <c r="EX705" i="147"/>
  <c r="EX706" i="147"/>
  <c r="EX707" i="147"/>
  <c r="EX708" i="147"/>
  <c r="EX709" i="147"/>
  <c r="EX710" i="147"/>
  <c r="EX711" i="147"/>
  <c r="EX712" i="147"/>
  <c r="EX713" i="147"/>
  <c r="EX714" i="147"/>
  <c r="EX717" i="147"/>
  <c r="EX718" i="147"/>
  <c r="EX719" i="147"/>
  <c r="EX720" i="147"/>
  <c r="EX721" i="147"/>
  <c r="EX722" i="147"/>
  <c r="EX723" i="147"/>
  <c r="EX724" i="147"/>
  <c r="EX715" i="147"/>
  <c r="EX716" i="147"/>
  <c r="EX731" i="147"/>
  <c r="EX732" i="147"/>
  <c r="EX728" i="147"/>
  <c r="EX729" i="147"/>
  <c r="EX730" i="147"/>
  <c r="EX727" i="147"/>
  <c r="EX725" i="147"/>
  <c r="EX726" i="147"/>
  <c r="EX733" i="147"/>
  <c r="EX734" i="147"/>
  <c r="EX735" i="147"/>
  <c r="EX736" i="147"/>
  <c r="M644" i="147"/>
  <c r="M645" i="147"/>
  <c r="M646" i="147"/>
  <c r="M647" i="147"/>
  <c r="M648" i="147"/>
  <c r="M649" i="147"/>
  <c r="M650" i="147"/>
  <c r="M651" i="147"/>
  <c r="M656" i="147"/>
  <c r="M657" i="147"/>
  <c r="M658" i="147"/>
  <c r="M654" i="147"/>
  <c r="M653" i="147"/>
  <c r="M652" i="147"/>
  <c r="M659" i="147"/>
  <c r="M660" i="147"/>
  <c r="M661" i="147"/>
  <c r="M662" i="147"/>
  <c r="M655" i="147"/>
  <c r="M663" i="147"/>
  <c r="M664" i="147"/>
  <c r="M665" i="147"/>
  <c r="M666" i="147"/>
  <c r="M668" i="147"/>
  <c r="M669" i="147"/>
  <c r="M670" i="147"/>
  <c r="M671" i="147"/>
  <c r="M672" i="147"/>
  <c r="M667" i="147"/>
  <c r="M673" i="147"/>
  <c r="M674" i="147"/>
  <c r="M675" i="147"/>
  <c r="M676" i="147"/>
  <c r="M677" i="147"/>
  <c r="M678" i="147"/>
  <c r="M679" i="147"/>
  <c r="M680" i="147"/>
  <c r="M681" i="147"/>
  <c r="M682" i="147"/>
  <c r="M683" i="147"/>
  <c r="M684" i="147"/>
  <c r="M685" i="147"/>
  <c r="M686" i="147"/>
  <c r="M687" i="147"/>
  <c r="M688" i="147"/>
  <c r="M690" i="147"/>
  <c r="M691" i="147"/>
  <c r="M692" i="147"/>
  <c r="M693" i="147"/>
  <c r="M694" i="147"/>
  <c r="M695" i="147"/>
  <c r="M696" i="147"/>
  <c r="M697" i="147"/>
  <c r="M698" i="147"/>
  <c r="M699" i="147"/>
  <c r="M700" i="147"/>
  <c r="M701" i="147"/>
  <c r="M702" i="147"/>
  <c r="M703" i="147"/>
  <c r="M704" i="147"/>
  <c r="M705" i="147"/>
  <c r="M706" i="147"/>
  <c r="M707" i="147"/>
  <c r="M708" i="147"/>
  <c r="M709" i="147"/>
  <c r="M710" i="147"/>
  <c r="M711" i="147"/>
  <c r="M712" i="147"/>
  <c r="M713" i="147"/>
  <c r="M714" i="147"/>
  <c r="M715" i="147"/>
  <c r="M716" i="147"/>
  <c r="M717" i="147"/>
  <c r="M718" i="147"/>
  <c r="M719" i="147"/>
  <c r="M720" i="147"/>
  <c r="M721" i="147"/>
  <c r="M722" i="147"/>
  <c r="M723" i="147"/>
  <c r="M724" i="147"/>
  <c r="M725" i="147"/>
  <c r="M728" i="147"/>
  <c r="M729" i="147"/>
  <c r="M730" i="147"/>
  <c r="M731" i="147"/>
  <c r="M732" i="147"/>
  <c r="M733" i="147"/>
  <c r="M734" i="147"/>
  <c r="M735" i="147"/>
  <c r="M736" i="147"/>
  <c r="M726" i="147"/>
  <c r="M727" i="147"/>
  <c r="AC644" i="147"/>
  <c r="AC645" i="147"/>
  <c r="AC646" i="147"/>
  <c r="AC647" i="147"/>
  <c r="AC648" i="147"/>
  <c r="AC649" i="147"/>
  <c r="AC650" i="147"/>
  <c r="AC651" i="147"/>
  <c r="AC652" i="147"/>
  <c r="AC653" i="147"/>
  <c r="AC654" i="147"/>
  <c r="AC655" i="147"/>
  <c r="AC656" i="147"/>
  <c r="AC657" i="147"/>
  <c r="AC658" i="147"/>
  <c r="AC659" i="147"/>
  <c r="AC660" i="147"/>
  <c r="AC661" i="147"/>
  <c r="AC662" i="147"/>
  <c r="AC663" i="147"/>
  <c r="AC664" i="147"/>
  <c r="AC665" i="147"/>
  <c r="AC666" i="147"/>
  <c r="AC667" i="147"/>
  <c r="AC668" i="147"/>
  <c r="AC669" i="147"/>
  <c r="AC670" i="147"/>
  <c r="AC671" i="147"/>
  <c r="AC672" i="147"/>
  <c r="AC673" i="147"/>
  <c r="AC674" i="147"/>
  <c r="AC675" i="147"/>
  <c r="AC676" i="147"/>
  <c r="AC677" i="147"/>
  <c r="AC678" i="147"/>
  <c r="AC679" i="147"/>
  <c r="AC680" i="147"/>
  <c r="AC681" i="147"/>
  <c r="AC682" i="147"/>
  <c r="AC686" i="147"/>
  <c r="AC687" i="147"/>
  <c r="AC688" i="147"/>
  <c r="AC690" i="147"/>
  <c r="AC691" i="147"/>
  <c r="AC684" i="147"/>
  <c r="AC685" i="147"/>
  <c r="AC692" i="147"/>
  <c r="AC693" i="147"/>
  <c r="AC695" i="147"/>
  <c r="AC696" i="147"/>
  <c r="AC697" i="147"/>
  <c r="AC698" i="147"/>
  <c r="AC699" i="147"/>
  <c r="AC700" i="147"/>
  <c r="AC701" i="147"/>
  <c r="AC702" i="147"/>
  <c r="AC703" i="147"/>
  <c r="AC683" i="147"/>
  <c r="AC694" i="147"/>
  <c r="AC704" i="147"/>
  <c r="AC705" i="147"/>
  <c r="AC706" i="147"/>
  <c r="AC707" i="147"/>
  <c r="AC708" i="147"/>
  <c r="AC709" i="147"/>
  <c r="AC710" i="147"/>
  <c r="AC711" i="147"/>
  <c r="AC712" i="147"/>
  <c r="AC713" i="147"/>
  <c r="AC714" i="147"/>
  <c r="AC715" i="147"/>
  <c r="AC716" i="147"/>
  <c r="AC717" i="147"/>
  <c r="AC718" i="147"/>
  <c r="AC719" i="147"/>
  <c r="AC720" i="147"/>
  <c r="AC721" i="147"/>
  <c r="AC722" i="147"/>
  <c r="AC723" i="147"/>
  <c r="AC724" i="147"/>
  <c r="AC725" i="147"/>
  <c r="AC726" i="147"/>
  <c r="AC727" i="147"/>
  <c r="AC728" i="147"/>
  <c r="AC729" i="147"/>
  <c r="AC730" i="147"/>
  <c r="AC731" i="147"/>
  <c r="AC732" i="147"/>
  <c r="AC733" i="147"/>
  <c r="AC734" i="147"/>
  <c r="AC735" i="147"/>
  <c r="AC736" i="147"/>
  <c r="AP644" i="147"/>
  <c r="AP645" i="147"/>
  <c r="AP646" i="147"/>
  <c r="AP647" i="147"/>
  <c r="AP648" i="147"/>
  <c r="AP649" i="147"/>
  <c r="AP650" i="147"/>
  <c r="AP651" i="147"/>
  <c r="AP652" i="147"/>
  <c r="AP653" i="147"/>
  <c r="AP654" i="147"/>
  <c r="AP655" i="147"/>
  <c r="AP656" i="147"/>
  <c r="AP657" i="147"/>
  <c r="AP658" i="147"/>
  <c r="AP659" i="147"/>
  <c r="AP660" i="147"/>
  <c r="AP661" i="147"/>
  <c r="AP663" i="147"/>
  <c r="AP664" i="147"/>
  <c r="AP665" i="147"/>
  <c r="AP666" i="147"/>
  <c r="AP667" i="147"/>
  <c r="AP662" i="147"/>
  <c r="AP668" i="147"/>
  <c r="AP669" i="147"/>
  <c r="AP670" i="147"/>
  <c r="AP671" i="147"/>
  <c r="AP672" i="147"/>
  <c r="AP673" i="147"/>
  <c r="AP674" i="147"/>
  <c r="AP675" i="147"/>
  <c r="AP676" i="147"/>
  <c r="AP677" i="147"/>
  <c r="AP679" i="147"/>
  <c r="AP680" i="147"/>
  <c r="AP681" i="147"/>
  <c r="AP682" i="147"/>
  <c r="AP683" i="147"/>
  <c r="AP684" i="147"/>
  <c r="AP678" i="147"/>
  <c r="AP685" i="147"/>
  <c r="AP686" i="147"/>
  <c r="AP687" i="147"/>
  <c r="AP688" i="147"/>
  <c r="AP690" i="147"/>
  <c r="AP691" i="147"/>
  <c r="AP692" i="147"/>
  <c r="AP693" i="147"/>
  <c r="AP695" i="147"/>
  <c r="AP696" i="147"/>
  <c r="AP697" i="147"/>
  <c r="AP698" i="147"/>
  <c r="AP699" i="147"/>
  <c r="AP700" i="147"/>
  <c r="AP701" i="147"/>
  <c r="AP702" i="147"/>
  <c r="AP703" i="147"/>
  <c r="AP704" i="147"/>
  <c r="AP705" i="147"/>
  <c r="AP694" i="147"/>
  <c r="AP706" i="147"/>
  <c r="AP707" i="147"/>
  <c r="AP708" i="147"/>
  <c r="AP709" i="147"/>
  <c r="AP710" i="147"/>
  <c r="AP711" i="147"/>
  <c r="AP712" i="147"/>
  <c r="AP713" i="147"/>
  <c r="AP714" i="147"/>
  <c r="AP715" i="147"/>
  <c r="AP716" i="147"/>
  <c r="AP717" i="147"/>
  <c r="AP718" i="147"/>
  <c r="AP719" i="147"/>
  <c r="AP720" i="147"/>
  <c r="AP721" i="147"/>
  <c r="AP722" i="147"/>
  <c r="AP723" i="147"/>
  <c r="AP724" i="147"/>
  <c r="AP725" i="147"/>
  <c r="AP726" i="147"/>
  <c r="AP727" i="147"/>
  <c r="AP728" i="147"/>
  <c r="AP729" i="147"/>
  <c r="AP730" i="147"/>
  <c r="AP731" i="147"/>
  <c r="AP732" i="147"/>
  <c r="AP733" i="147"/>
  <c r="AP734" i="147"/>
  <c r="AP735" i="147"/>
  <c r="AP736" i="147"/>
  <c r="BB644" i="147"/>
  <c r="BB646" i="147"/>
  <c r="BB647" i="147"/>
  <c r="BB648" i="147"/>
  <c r="BB649" i="147"/>
  <c r="BB650" i="147"/>
  <c r="BB651" i="147"/>
  <c r="BB652" i="147"/>
  <c r="BB653" i="147"/>
  <c r="BB654" i="147"/>
  <c r="BB655" i="147"/>
  <c r="BB656" i="147"/>
  <c r="BB657" i="147"/>
  <c r="BB658" i="147"/>
  <c r="BB659" i="147"/>
  <c r="BB660" i="147"/>
  <c r="BB661" i="147"/>
  <c r="BB663" i="147"/>
  <c r="BB664" i="147"/>
  <c r="BB665" i="147"/>
  <c r="BB666" i="147"/>
  <c r="BB667" i="147"/>
  <c r="BB662" i="147"/>
  <c r="BB668" i="147"/>
  <c r="BB669" i="147"/>
  <c r="BB670" i="147"/>
  <c r="BB671" i="147"/>
  <c r="BB672" i="147"/>
  <c r="BB673" i="147"/>
  <c r="BB674" i="147"/>
  <c r="BB675" i="147"/>
  <c r="BB676" i="147"/>
  <c r="BB677" i="147"/>
  <c r="BB678" i="147"/>
  <c r="BB679" i="147"/>
  <c r="BB680" i="147"/>
  <c r="BB681" i="147"/>
  <c r="BB682" i="147"/>
  <c r="BB683" i="147"/>
  <c r="BB684" i="147"/>
  <c r="BB685" i="147"/>
  <c r="BB686" i="147"/>
  <c r="BB687" i="147"/>
  <c r="BB688" i="147"/>
  <c r="BB690" i="147"/>
  <c r="BB691" i="147"/>
  <c r="BB692" i="147"/>
  <c r="BB693" i="147"/>
  <c r="BB694" i="147"/>
  <c r="BB695" i="147"/>
  <c r="BB696" i="147"/>
  <c r="BB697" i="147"/>
  <c r="BB698" i="147"/>
  <c r="BB699" i="147"/>
  <c r="BB700" i="147"/>
  <c r="BB701" i="147"/>
  <c r="BB702" i="147"/>
  <c r="BB703" i="147"/>
  <c r="BB704" i="147"/>
  <c r="BB705" i="147"/>
  <c r="BB706" i="147"/>
  <c r="BB707" i="147"/>
  <c r="BB708" i="147"/>
  <c r="BB709" i="147"/>
  <c r="BB710" i="147"/>
  <c r="BB711" i="147"/>
  <c r="BB712" i="147"/>
  <c r="BB713" i="147"/>
  <c r="BB714" i="147"/>
  <c r="BB715" i="147"/>
  <c r="BB716" i="147"/>
  <c r="BB717" i="147"/>
  <c r="BB718" i="147"/>
  <c r="BB719" i="147"/>
  <c r="BB720" i="147"/>
  <c r="BB721" i="147"/>
  <c r="BB722" i="147"/>
  <c r="BB723" i="147"/>
  <c r="BB724" i="147"/>
  <c r="BB725" i="147"/>
  <c r="BB726" i="147"/>
  <c r="BB727" i="147"/>
  <c r="BB728" i="147"/>
  <c r="BB729" i="147"/>
  <c r="BB730" i="147"/>
  <c r="BB731" i="147"/>
  <c r="BB732" i="147"/>
  <c r="BB733" i="147"/>
  <c r="BB734" i="147"/>
  <c r="BB735" i="147"/>
  <c r="BB736" i="147"/>
  <c r="BQ650" i="147"/>
  <c r="BQ651" i="147"/>
  <c r="BQ652" i="147"/>
  <c r="BQ653" i="147"/>
  <c r="BQ654" i="147"/>
  <c r="BQ656" i="147"/>
  <c r="BQ657" i="147"/>
  <c r="BQ658" i="147"/>
  <c r="BQ649" i="147"/>
  <c r="BQ644" i="147"/>
  <c r="BQ648" i="147"/>
  <c r="BQ645" i="147"/>
  <c r="BQ655" i="147"/>
  <c r="BQ646" i="147"/>
  <c r="BQ659" i="147"/>
  <c r="BQ660" i="147"/>
  <c r="BQ647" i="147"/>
  <c r="BQ663" i="147"/>
  <c r="BQ664" i="147"/>
  <c r="BQ665" i="147"/>
  <c r="BQ666" i="147"/>
  <c r="BQ661" i="147"/>
  <c r="BQ662" i="147"/>
  <c r="BQ672" i="147"/>
  <c r="BQ667" i="147"/>
  <c r="BQ668" i="147"/>
  <c r="BQ669" i="147"/>
  <c r="BQ670" i="147"/>
  <c r="BQ671" i="147"/>
  <c r="BQ673" i="147"/>
  <c r="BQ674" i="147"/>
  <c r="BQ675" i="147"/>
  <c r="BQ676" i="147"/>
  <c r="BQ677" i="147"/>
  <c r="BQ678" i="147"/>
  <c r="BQ679" i="147"/>
  <c r="BQ680" i="147"/>
  <c r="BQ681" i="147"/>
  <c r="BQ682" i="147"/>
  <c r="BQ683" i="147"/>
  <c r="BQ684" i="147"/>
  <c r="BQ685" i="147"/>
  <c r="BQ686" i="147"/>
  <c r="BQ687" i="147"/>
  <c r="BQ688" i="147"/>
  <c r="BQ690" i="147"/>
  <c r="BQ691" i="147"/>
  <c r="BQ693" i="147"/>
  <c r="BQ692" i="147"/>
  <c r="BQ705" i="147"/>
  <c r="BQ694" i="147"/>
  <c r="BQ695" i="147"/>
  <c r="BQ696" i="147"/>
  <c r="BQ697" i="147"/>
  <c r="BQ698" i="147"/>
  <c r="BQ699" i="147"/>
  <c r="BQ700" i="147"/>
  <c r="BQ701" i="147"/>
  <c r="BQ702" i="147"/>
  <c r="BQ706" i="147"/>
  <c r="BQ707" i="147"/>
  <c r="BQ708" i="147"/>
  <c r="BQ709" i="147"/>
  <c r="BQ710" i="147"/>
  <c r="BQ711" i="147"/>
  <c r="BQ712" i="147"/>
  <c r="BQ713" i="147"/>
  <c r="BQ714" i="147"/>
  <c r="BQ715" i="147"/>
  <c r="BQ716" i="147"/>
  <c r="BQ717" i="147"/>
  <c r="BQ718" i="147"/>
  <c r="BQ719" i="147"/>
  <c r="BQ720" i="147"/>
  <c r="BQ721" i="147"/>
  <c r="BQ722" i="147"/>
  <c r="BQ723" i="147"/>
  <c r="BQ724" i="147"/>
  <c r="BQ725" i="147"/>
  <c r="BQ726" i="147"/>
  <c r="BQ727" i="147"/>
  <c r="BQ728" i="147"/>
  <c r="BQ704" i="147"/>
  <c r="BQ703" i="147"/>
  <c r="BQ729" i="147"/>
  <c r="BQ730" i="147"/>
  <c r="BQ731" i="147"/>
  <c r="BQ732" i="147"/>
  <c r="BQ733" i="147"/>
  <c r="BQ734" i="147"/>
  <c r="BQ735" i="147"/>
  <c r="BQ736" i="147"/>
  <c r="CC651" i="147"/>
  <c r="CC652" i="147"/>
  <c r="CC653" i="147"/>
  <c r="CC654" i="147"/>
  <c r="CC656" i="147"/>
  <c r="CC657" i="147"/>
  <c r="CC658" i="147"/>
  <c r="CC647" i="147"/>
  <c r="CC646" i="147"/>
  <c r="CC645" i="147"/>
  <c r="CC648" i="147"/>
  <c r="CC644" i="147"/>
  <c r="CC649" i="147"/>
  <c r="CC650" i="147"/>
  <c r="CC655" i="147"/>
  <c r="CC659" i="147"/>
  <c r="CC661" i="147"/>
  <c r="CC663" i="147"/>
  <c r="CC664" i="147"/>
  <c r="CC665" i="147"/>
  <c r="CC666" i="147"/>
  <c r="CC660" i="147"/>
  <c r="CC662" i="147"/>
  <c r="CC667" i="147"/>
  <c r="CC668" i="147"/>
  <c r="CC669" i="147"/>
  <c r="CC670" i="147"/>
  <c r="CC671" i="147"/>
  <c r="CC672" i="147"/>
  <c r="CC673" i="147"/>
  <c r="CC674" i="147"/>
  <c r="CC675" i="147"/>
  <c r="CC676" i="147"/>
  <c r="CC677" i="147"/>
  <c r="CC678" i="147"/>
  <c r="CC679" i="147"/>
  <c r="CC680" i="147"/>
  <c r="CC681" i="147"/>
  <c r="CC682" i="147"/>
  <c r="CC683" i="147"/>
  <c r="CC684" i="147"/>
  <c r="CC685" i="147"/>
  <c r="CC686" i="147"/>
  <c r="CC687" i="147"/>
  <c r="CC688" i="147"/>
  <c r="CC690" i="147"/>
  <c r="CC691" i="147"/>
  <c r="CC692" i="147"/>
  <c r="CC693" i="147"/>
  <c r="CC705" i="147"/>
  <c r="CC694" i="147"/>
  <c r="CC695" i="147"/>
  <c r="CC696" i="147"/>
  <c r="CC697" i="147"/>
  <c r="CC698" i="147"/>
  <c r="CC699" i="147"/>
  <c r="CC700" i="147"/>
  <c r="CC701" i="147"/>
  <c r="CC702" i="147"/>
  <c r="CC703" i="147"/>
  <c r="CC704" i="147"/>
  <c r="CC706" i="147"/>
  <c r="CC707" i="147"/>
  <c r="CC708" i="147"/>
  <c r="CC709" i="147"/>
  <c r="CC710" i="147"/>
  <c r="CC711" i="147"/>
  <c r="CC712" i="147"/>
  <c r="CC713" i="147"/>
  <c r="CC714" i="147"/>
  <c r="CC715" i="147"/>
  <c r="CC716" i="147"/>
  <c r="CC717" i="147"/>
  <c r="CC718" i="147"/>
  <c r="CC719" i="147"/>
  <c r="CC720" i="147"/>
  <c r="CC721" i="147"/>
  <c r="CC722" i="147"/>
  <c r="CC723" i="147"/>
  <c r="CC724" i="147"/>
  <c r="CC725" i="147"/>
  <c r="CC726" i="147"/>
  <c r="CC727" i="147"/>
  <c r="CC728" i="147"/>
  <c r="CC729" i="147"/>
  <c r="CC730" i="147"/>
  <c r="CC731" i="147"/>
  <c r="CC732" i="147"/>
  <c r="CC733" i="147"/>
  <c r="CC734" i="147"/>
  <c r="CC735" i="147"/>
  <c r="CC736" i="147"/>
  <c r="CO650" i="147"/>
  <c r="CO651" i="147"/>
  <c r="CO652" i="147"/>
  <c r="CO653" i="147"/>
  <c r="CO654" i="147"/>
  <c r="CO656" i="147"/>
  <c r="CO657" i="147"/>
  <c r="CO658" i="147"/>
  <c r="CO649" i="147"/>
  <c r="CO645" i="147"/>
  <c r="CO655" i="147"/>
  <c r="CO648" i="147"/>
  <c r="CO644" i="147"/>
  <c r="CO647" i="147"/>
  <c r="CO646" i="147"/>
  <c r="CO663" i="147"/>
  <c r="CO664" i="147"/>
  <c r="CO665" i="147"/>
  <c r="CO666" i="147"/>
  <c r="CO659" i="147"/>
  <c r="CO662" i="147"/>
  <c r="CO667" i="147"/>
  <c r="CO668" i="147"/>
  <c r="CO669" i="147"/>
  <c r="CO670" i="147"/>
  <c r="CO671" i="147"/>
  <c r="CO678" i="147"/>
  <c r="CO679" i="147"/>
  <c r="CO680" i="147"/>
  <c r="CO681" i="147"/>
  <c r="CO682" i="147"/>
  <c r="CO683" i="147"/>
  <c r="CO684" i="147"/>
  <c r="CO672" i="147"/>
  <c r="CO673" i="147"/>
  <c r="CO674" i="147"/>
  <c r="CO675" i="147"/>
  <c r="CO676" i="147"/>
  <c r="CO677" i="147"/>
  <c r="CO693" i="147"/>
  <c r="CO691" i="147"/>
  <c r="CO692" i="147"/>
  <c r="CO703" i="147"/>
  <c r="CO704" i="147"/>
  <c r="CO705" i="147"/>
  <c r="CO687" i="147"/>
  <c r="CO685" i="147"/>
  <c r="CO688" i="147"/>
  <c r="CO706" i="147"/>
  <c r="CO707" i="147"/>
  <c r="CO708" i="147"/>
  <c r="CO709" i="147"/>
  <c r="CO710" i="147"/>
  <c r="CO711" i="147"/>
  <c r="CO712" i="147"/>
  <c r="CO713" i="147"/>
  <c r="CO714" i="147"/>
  <c r="CO715" i="147"/>
  <c r="CO716" i="147"/>
  <c r="CO686" i="147"/>
  <c r="CO690" i="147"/>
  <c r="CO695" i="147"/>
  <c r="CO698" i="147"/>
  <c r="CO701" i="147"/>
  <c r="CO717" i="147"/>
  <c r="CO718" i="147"/>
  <c r="CO719" i="147"/>
  <c r="CO720" i="147"/>
  <c r="CO721" i="147"/>
  <c r="CO722" i="147"/>
  <c r="CO723" i="147"/>
  <c r="CO724" i="147"/>
  <c r="CO725" i="147"/>
  <c r="CO726" i="147"/>
  <c r="CO727" i="147"/>
  <c r="CO696" i="147"/>
  <c r="CO699" i="147"/>
  <c r="CO694" i="147"/>
  <c r="CO697" i="147"/>
  <c r="CO700" i="147"/>
  <c r="CO702" i="147"/>
  <c r="CO728" i="147"/>
  <c r="CO729" i="147"/>
  <c r="CO730" i="147"/>
  <c r="CO731" i="147"/>
  <c r="CO732" i="147"/>
  <c r="CO733" i="147"/>
  <c r="CO734" i="147"/>
  <c r="CO735" i="147"/>
  <c r="CO736" i="147"/>
  <c r="DA649" i="147"/>
  <c r="DA651" i="147"/>
  <c r="DA652" i="147"/>
  <c r="DA653" i="147"/>
  <c r="DA654" i="147"/>
  <c r="DA656" i="147"/>
  <c r="DA657" i="147"/>
  <c r="DA658" i="147"/>
  <c r="DA644" i="147"/>
  <c r="DA648" i="147"/>
  <c r="DA647" i="147"/>
  <c r="DA655" i="147"/>
  <c r="DA646" i="147"/>
  <c r="DA645" i="147"/>
  <c r="DA650" i="147"/>
  <c r="DA660" i="147"/>
  <c r="DA661" i="147"/>
  <c r="DA663" i="147"/>
  <c r="DA664" i="147"/>
  <c r="DA665" i="147"/>
  <c r="DA666" i="147"/>
  <c r="DA662" i="147"/>
  <c r="DA667" i="147"/>
  <c r="DA668" i="147"/>
  <c r="DA669" i="147"/>
  <c r="DA670" i="147"/>
  <c r="DA671" i="147"/>
  <c r="DA659" i="147"/>
  <c r="DA672" i="147"/>
  <c r="DA673" i="147"/>
  <c r="DA674" i="147"/>
  <c r="DA675" i="147"/>
  <c r="DA676" i="147"/>
  <c r="DA677" i="147"/>
  <c r="DA678" i="147"/>
  <c r="DA679" i="147"/>
  <c r="DA680" i="147"/>
  <c r="DA681" i="147"/>
  <c r="DA682" i="147"/>
  <c r="DA683" i="147"/>
  <c r="DA684" i="147"/>
  <c r="DA692" i="147"/>
  <c r="DA685" i="147"/>
  <c r="DA686" i="147"/>
  <c r="DA687" i="147"/>
  <c r="DA688" i="147"/>
  <c r="DA693" i="147"/>
  <c r="DA691" i="147"/>
  <c r="DA694" i="147"/>
  <c r="DA695" i="147"/>
  <c r="DA696" i="147"/>
  <c r="DA697" i="147"/>
  <c r="DA698" i="147"/>
  <c r="DA699" i="147"/>
  <c r="DA700" i="147"/>
  <c r="DA701" i="147"/>
  <c r="DA702" i="147"/>
  <c r="DA705" i="147"/>
  <c r="DA706" i="147"/>
  <c r="DA707" i="147"/>
  <c r="DA708" i="147"/>
  <c r="DA709" i="147"/>
  <c r="DA710" i="147"/>
  <c r="DA711" i="147"/>
  <c r="DA712" i="147"/>
  <c r="DA713" i="147"/>
  <c r="DA714" i="147"/>
  <c r="DA715" i="147"/>
  <c r="DA716" i="147"/>
  <c r="DA717" i="147"/>
  <c r="DA718" i="147"/>
  <c r="DA719" i="147"/>
  <c r="DA720" i="147"/>
  <c r="DA721" i="147"/>
  <c r="DA722" i="147"/>
  <c r="DA723" i="147"/>
  <c r="DA724" i="147"/>
  <c r="DA725" i="147"/>
  <c r="DA726" i="147"/>
  <c r="DA727" i="147"/>
  <c r="DA704" i="147"/>
  <c r="DA703" i="147"/>
  <c r="DA728" i="147"/>
  <c r="DA729" i="147"/>
  <c r="DA730" i="147"/>
  <c r="DA731" i="147"/>
  <c r="DA732" i="147"/>
  <c r="DA733" i="147"/>
  <c r="DA734" i="147"/>
  <c r="DA735" i="147"/>
  <c r="DA736" i="147"/>
  <c r="DM650" i="147"/>
  <c r="DM651" i="147"/>
  <c r="DM652" i="147"/>
  <c r="DM653" i="147"/>
  <c r="DM654" i="147"/>
  <c r="DM645" i="147"/>
  <c r="DM649" i="147"/>
  <c r="DM656" i="147"/>
  <c r="DM657" i="147"/>
  <c r="DM658" i="147"/>
  <c r="DM655" i="147"/>
  <c r="DM647" i="147"/>
  <c r="DM646" i="147"/>
  <c r="DM644" i="147"/>
  <c r="DM659" i="147"/>
  <c r="DM661" i="147"/>
  <c r="DM662" i="147"/>
  <c r="DM663" i="147"/>
  <c r="DM664" i="147"/>
  <c r="DM665" i="147"/>
  <c r="DM666" i="147"/>
  <c r="DM660" i="147"/>
  <c r="DM648" i="147"/>
  <c r="DM667" i="147"/>
  <c r="DM668" i="147"/>
  <c r="DM669" i="147"/>
  <c r="DM670" i="147"/>
  <c r="DM671" i="147"/>
  <c r="DM672" i="147"/>
  <c r="DM673" i="147"/>
  <c r="DM674" i="147"/>
  <c r="DM675" i="147"/>
  <c r="DM676" i="147"/>
  <c r="DM677" i="147"/>
  <c r="DM678" i="147"/>
  <c r="DM679" i="147"/>
  <c r="DM680" i="147"/>
  <c r="DM681" i="147"/>
  <c r="DM682" i="147"/>
  <c r="DM683" i="147"/>
  <c r="DM684" i="147"/>
  <c r="DM691" i="147"/>
  <c r="DM693" i="147"/>
  <c r="DM685" i="147"/>
  <c r="DM686" i="147"/>
  <c r="DM687" i="147"/>
  <c r="DM688" i="147"/>
  <c r="DM690" i="147"/>
  <c r="DM692" i="147"/>
  <c r="DM694" i="147"/>
  <c r="DM695" i="147"/>
  <c r="DM696" i="147"/>
  <c r="DM697" i="147"/>
  <c r="DM698" i="147"/>
  <c r="DM699" i="147"/>
  <c r="DM700" i="147"/>
  <c r="DM701" i="147"/>
  <c r="DM705" i="147"/>
  <c r="DM703" i="147"/>
  <c r="DM704" i="147"/>
  <c r="DM706" i="147"/>
  <c r="DM707" i="147"/>
  <c r="DM708" i="147"/>
  <c r="DM709" i="147"/>
  <c r="DM710" i="147"/>
  <c r="DM711" i="147"/>
  <c r="DM712" i="147"/>
  <c r="DM713" i="147"/>
  <c r="DM714" i="147"/>
  <c r="DM715" i="147"/>
  <c r="DM716" i="147"/>
  <c r="DM717" i="147"/>
  <c r="DM718" i="147"/>
  <c r="DM719" i="147"/>
  <c r="DM720" i="147"/>
  <c r="DM721" i="147"/>
  <c r="DM722" i="147"/>
  <c r="DM723" i="147"/>
  <c r="DM724" i="147"/>
  <c r="DM725" i="147"/>
  <c r="DM726" i="147"/>
  <c r="DM727" i="147"/>
  <c r="DM702" i="147"/>
  <c r="DM728" i="147"/>
  <c r="DM729" i="147"/>
  <c r="DM730" i="147"/>
  <c r="DM731" i="147"/>
  <c r="DM732" i="147"/>
  <c r="DM733" i="147"/>
  <c r="DM734" i="147"/>
  <c r="DM735" i="147"/>
  <c r="DM736" i="147"/>
  <c r="DZ644" i="147"/>
  <c r="DZ645" i="147"/>
  <c r="DZ646" i="147"/>
  <c r="DZ647" i="147"/>
  <c r="DZ648" i="147"/>
  <c r="DZ649" i="147"/>
  <c r="DZ650" i="147"/>
  <c r="DZ656" i="147"/>
  <c r="DZ657" i="147"/>
  <c r="DZ654" i="147"/>
  <c r="DZ652" i="147"/>
  <c r="DZ651" i="147"/>
  <c r="DZ660" i="147"/>
  <c r="DZ655" i="147"/>
  <c r="DZ653" i="147"/>
  <c r="DZ662" i="147"/>
  <c r="DZ663" i="147"/>
  <c r="DZ664" i="147"/>
  <c r="DZ665" i="147"/>
  <c r="DZ666" i="147"/>
  <c r="DZ661" i="147"/>
  <c r="DZ659" i="147"/>
  <c r="DZ658" i="147"/>
  <c r="DZ667" i="147"/>
  <c r="DZ668" i="147"/>
  <c r="DZ669" i="147"/>
  <c r="DZ670" i="147"/>
  <c r="DZ671" i="147"/>
  <c r="DZ672" i="147"/>
  <c r="DZ673" i="147"/>
  <c r="DZ674" i="147"/>
  <c r="DZ675" i="147"/>
  <c r="DZ676" i="147"/>
  <c r="DZ677" i="147"/>
  <c r="DZ678" i="147"/>
  <c r="DZ679" i="147"/>
  <c r="DZ680" i="147"/>
  <c r="DZ681" i="147"/>
  <c r="DZ682" i="147"/>
  <c r="DZ683" i="147"/>
  <c r="DZ684" i="147"/>
  <c r="DZ685" i="147"/>
  <c r="DZ686" i="147"/>
  <c r="DZ687" i="147"/>
  <c r="DZ688" i="147"/>
  <c r="DZ690" i="147"/>
  <c r="DZ691" i="147"/>
  <c r="DZ693" i="147"/>
  <c r="DZ694" i="147"/>
  <c r="DZ695" i="147"/>
  <c r="DZ696" i="147"/>
  <c r="DZ697" i="147"/>
  <c r="DZ698" i="147"/>
  <c r="DZ699" i="147"/>
  <c r="DZ700" i="147"/>
  <c r="DZ701" i="147"/>
  <c r="DZ702" i="147"/>
  <c r="DZ703" i="147"/>
  <c r="DZ704" i="147"/>
  <c r="DZ692" i="147"/>
  <c r="DZ705" i="147"/>
  <c r="DZ717" i="147"/>
  <c r="DZ718" i="147"/>
  <c r="DZ719" i="147"/>
  <c r="DZ720" i="147"/>
  <c r="DZ721" i="147"/>
  <c r="DZ722" i="147"/>
  <c r="DZ723" i="147"/>
  <c r="DZ724" i="147"/>
  <c r="DZ714" i="147"/>
  <c r="DZ715" i="147"/>
  <c r="DZ716" i="147"/>
  <c r="DZ706" i="147"/>
  <c r="DZ707" i="147"/>
  <c r="DZ708" i="147"/>
  <c r="DZ709" i="147"/>
  <c r="DZ710" i="147"/>
  <c r="DZ711" i="147"/>
  <c r="DZ712" i="147"/>
  <c r="DZ713" i="147"/>
  <c r="DZ725" i="147"/>
  <c r="DZ726" i="147"/>
  <c r="DZ731" i="147"/>
  <c r="DZ729" i="147"/>
  <c r="DZ730" i="147"/>
  <c r="DZ727" i="147"/>
  <c r="DZ728" i="147"/>
  <c r="DZ732" i="147"/>
  <c r="DZ733" i="147"/>
  <c r="DZ734" i="147"/>
  <c r="DZ735" i="147"/>
  <c r="DZ736" i="147"/>
  <c r="EM644" i="147"/>
  <c r="EM645" i="147"/>
  <c r="EM646" i="147"/>
  <c r="EM647" i="147"/>
  <c r="EM648" i="147"/>
  <c r="EM649" i="147"/>
  <c r="EM650" i="147"/>
  <c r="EM651" i="147"/>
  <c r="EM652" i="147"/>
  <c r="EM653" i="147"/>
  <c r="EM654" i="147"/>
  <c r="EM658" i="147"/>
  <c r="EM659" i="147"/>
  <c r="EM660" i="147"/>
  <c r="EM661" i="147"/>
  <c r="EM655" i="147"/>
  <c r="EM656" i="147"/>
  <c r="EM657" i="147"/>
  <c r="EM662" i="147"/>
  <c r="EM663" i="147"/>
  <c r="EM664" i="147"/>
  <c r="EM665" i="147"/>
  <c r="EM666" i="147"/>
  <c r="EM667" i="147"/>
  <c r="EM668" i="147"/>
  <c r="EM669" i="147"/>
  <c r="EM670" i="147"/>
  <c r="EM671" i="147"/>
  <c r="EM672" i="147"/>
  <c r="EM673" i="147"/>
  <c r="EM674" i="147"/>
  <c r="EM675" i="147"/>
  <c r="EM676" i="147"/>
  <c r="EM677" i="147"/>
  <c r="EM678" i="147"/>
  <c r="EM679" i="147"/>
  <c r="EM680" i="147"/>
  <c r="EM681" i="147"/>
  <c r="EM682" i="147"/>
  <c r="EM683" i="147"/>
  <c r="EM685" i="147"/>
  <c r="EM686" i="147"/>
  <c r="EM687" i="147"/>
  <c r="EM688" i="147"/>
  <c r="EM690" i="147"/>
  <c r="EM691" i="147"/>
  <c r="EM692" i="147"/>
  <c r="EM693" i="147"/>
  <c r="EM684" i="147"/>
  <c r="EM694" i="147"/>
  <c r="EM695" i="147"/>
  <c r="EM696" i="147"/>
  <c r="EM697" i="147"/>
  <c r="EM698" i="147"/>
  <c r="EM699" i="147"/>
  <c r="EM700" i="147"/>
  <c r="EM701" i="147"/>
  <c r="EM702" i="147"/>
  <c r="EM703" i="147"/>
  <c r="EM704" i="147"/>
  <c r="EM705" i="147"/>
  <c r="EM706" i="147"/>
  <c r="EM707" i="147"/>
  <c r="EM708" i="147"/>
  <c r="EM709" i="147"/>
  <c r="EM710" i="147"/>
  <c r="EM711" i="147"/>
  <c r="EM712" i="147"/>
  <c r="EM713" i="147"/>
  <c r="EM714" i="147"/>
  <c r="EM715" i="147"/>
  <c r="EM716" i="147"/>
  <c r="EM717" i="147"/>
  <c r="EM718" i="147"/>
  <c r="EM719" i="147"/>
  <c r="EM720" i="147"/>
  <c r="EM721" i="147"/>
  <c r="EM722" i="147"/>
  <c r="EM723" i="147"/>
  <c r="EM724" i="147"/>
  <c r="EM725" i="147"/>
  <c r="EM726" i="147"/>
  <c r="EM727" i="147"/>
  <c r="EM728" i="147"/>
  <c r="EM729" i="147"/>
  <c r="EM730" i="147"/>
  <c r="EM731" i="147"/>
  <c r="EM732" i="147"/>
  <c r="EM733" i="147"/>
  <c r="EM734" i="147"/>
  <c r="EM735" i="147"/>
  <c r="EM736" i="147"/>
  <c r="N651" i="147"/>
  <c r="N644" i="147"/>
  <c r="N648" i="147"/>
  <c r="N649" i="147"/>
  <c r="N646" i="147"/>
  <c r="N645" i="147"/>
  <c r="N655" i="147"/>
  <c r="N654" i="147"/>
  <c r="N647" i="147"/>
  <c r="N653" i="147"/>
  <c r="N652" i="147"/>
  <c r="N659" i="147"/>
  <c r="N660" i="147"/>
  <c r="N661" i="147"/>
  <c r="N662" i="147"/>
  <c r="N650" i="147"/>
  <c r="N656" i="147"/>
  <c r="N657" i="147"/>
  <c r="N667" i="147"/>
  <c r="N663" i="147"/>
  <c r="N666" i="147"/>
  <c r="N658" i="147"/>
  <c r="N673" i="147"/>
  <c r="N674" i="147"/>
  <c r="N675" i="147"/>
  <c r="N676" i="147"/>
  <c r="N677" i="147"/>
  <c r="N665" i="147"/>
  <c r="N668" i="147"/>
  <c r="N669" i="147"/>
  <c r="N670" i="147"/>
  <c r="N671" i="147"/>
  <c r="N672" i="147"/>
  <c r="N664" i="147"/>
  <c r="N679" i="147"/>
  <c r="N680" i="147"/>
  <c r="N681" i="147"/>
  <c r="N682" i="147"/>
  <c r="N683" i="147"/>
  <c r="N678" i="147"/>
  <c r="N684" i="147"/>
  <c r="N686" i="147"/>
  <c r="N687" i="147"/>
  <c r="N688" i="147"/>
  <c r="N690" i="147"/>
  <c r="N691" i="147"/>
  <c r="N692" i="147"/>
  <c r="N693" i="147"/>
  <c r="N694" i="147"/>
  <c r="N685" i="147"/>
  <c r="N695" i="147"/>
  <c r="N696" i="147"/>
  <c r="N697" i="147"/>
  <c r="N698" i="147"/>
  <c r="N699" i="147"/>
  <c r="N700" i="147"/>
  <c r="N701" i="147"/>
  <c r="N702" i="147"/>
  <c r="N703" i="147"/>
  <c r="N704" i="147"/>
  <c r="N705" i="147"/>
  <c r="N706" i="147"/>
  <c r="N707" i="147"/>
  <c r="N708" i="147"/>
  <c r="N709" i="147"/>
  <c r="N710" i="147"/>
  <c r="N711" i="147"/>
  <c r="N712" i="147"/>
  <c r="N713" i="147"/>
  <c r="N714" i="147"/>
  <c r="N715" i="147"/>
  <c r="N716" i="147"/>
  <c r="N717" i="147"/>
  <c r="N718" i="147"/>
  <c r="N719" i="147"/>
  <c r="N720" i="147"/>
  <c r="N721" i="147"/>
  <c r="N722" i="147"/>
  <c r="N723" i="147"/>
  <c r="N724" i="147"/>
  <c r="N725" i="147"/>
  <c r="N726" i="147"/>
  <c r="N727" i="147"/>
  <c r="N728" i="147"/>
  <c r="N729" i="147"/>
  <c r="N730" i="147"/>
  <c r="N731" i="147"/>
  <c r="N732" i="147"/>
  <c r="N733" i="147"/>
  <c r="N734" i="147"/>
  <c r="N735" i="147"/>
  <c r="N736" i="147"/>
  <c r="AD644" i="147"/>
  <c r="AD645" i="147"/>
  <c r="AD646" i="147"/>
  <c r="AD647" i="147"/>
  <c r="AD648" i="147"/>
  <c r="AD649" i="147"/>
  <c r="AD650" i="147"/>
  <c r="AD651" i="147"/>
  <c r="AD652" i="147"/>
  <c r="AD653" i="147"/>
  <c r="AD654" i="147"/>
  <c r="AD655" i="147"/>
  <c r="AD656" i="147"/>
  <c r="AD657" i="147"/>
  <c r="AD658" i="147"/>
  <c r="AD659" i="147"/>
  <c r="AD660" i="147"/>
  <c r="AD661" i="147"/>
  <c r="AD662" i="147"/>
  <c r="AD663" i="147"/>
  <c r="AD664" i="147"/>
  <c r="AD665" i="147"/>
  <c r="AD666" i="147"/>
  <c r="AD667" i="147"/>
  <c r="AD668" i="147"/>
  <c r="AD669" i="147"/>
  <c r="AD671" i="147"/>
  <c r="AD672" i="147"/>
  <c r="AD673" i="147"/>
  <c r="AD674" i="147"/>
  <c r="AD675" i="147"/>
  <c r="AD676" i="147"/>
  <c r="AD677" i="147"/>
  <c r="AD678" i="147"/>
  <c r="AD679" i="147"/>
  <c r="AD680" i="147"/>
  <c r="AD681" i="147"/>
  <c r="AD682" i="147"/>
  <c r="AD683" i="147"/>
  <c r="AD684" i="147"/>
  <c r="AD686" i="147"/>
  <c r="AD687" i="147"/>
  <c r="AD688" i="147"/>
  <c r="AD690" i="147"/>
  <c r="AD691" i="147"/>
  <c r="AD692" i="147"/>
  <c r="AD693" i="147"/>
  <c r="AD685" i="147"/>
  <c r="AD695" i="147"/>
  <c r="AD696" i="147"/>
  <c r="AD697" i="147"/>
  <c r="AD698" i="147"/>
  <c r="AD699" i="147"/>
  <c r="AD700" i="147"/>
  <c r="AD701" i="147"/>
  <c r="AD702" i="147"/>
  <c r="AD703" i="147"/>
  <c r="AD704" i="147"/>
  <c r="AD705" i="147"/>
  <c r="AD694" i="147"/>
  <c r="AD706" i="147"/>
  <c r="AD707" i="147"/>
  <c r="AD708" i="147"/>
  <c r="AD709" i="147"/>
  <c r="AD710" i="147"/>
  <c r="AD711" i="147"/>
  <c r="AD712" i="147"/>
  <c r="AD713" i="147"/>
  <c r="AD714" i="147"/>
  <c r="AD715" i="147"/>
  <c r="AD716" i="147"/>
  <c r="AD717" i="147"/>
  <c r="AD718" i="147"/>
  <c r="AD719" i="147"/>
  <c r="AD720" i="147"/>
  <c r="AD721" i="147"/>
  <c r="AD722" i="147"/>
  <c r="AD723" i="147"/>
  <c r="AD724" i="147"/>
  <c r="AD725" i="147"/>
  <c r="AD726" i="147"/>
  <c r="AD727" i="147"/>
  <c r="AD728" i="147"/>
  <c r="AD729" i="147"/>
  <c r="AD730" i="147"/>
  <c r="AD731" i="147"/>
  <c r="AD732" i="147"/>
  <c r="AD733" i="147"/>
  <c r="AD734" i="147"/>
  <c r="AD735" i="147"/>
  <c r="AD736" i="147"/>
  <c r="AQ644" i="147"/>
  <c r="AQ645" i="147"/>
  <c r="AQ646" i="147"/>
  <c r="AQ647" i="147"/>
  <c r="AQ648" i="147"/>
  <c r="AQ649" i="147"/>
  <c r="AQ650" i="147"/>
  <c r="AQ651" i="147"/>
  <c r="AQ652" i="147"/>
  <c r="AQ653" i="147"/>
  <c r="AQ654" i="147"/>
  <c r="AQ655" i="147"/>
  <c r="AQ659" i="147"/>
  <c r="AQ660" i="147"/>
  <c r="AQ656" i="147"/>
  <c r="AQ657" i="147"/>
  <c r="AQ658" i="147"/>
  <c r="AQ662" i="147"/>
  <c r="AQ663" i="147"/>
  <c r="AQ664" i="147"/>
  <c r="AQ665" i="147"/>
  <c r="AQ666" i="147"/>
  <c r="AQ661" i="147"/>
  <c r="AQ668" i="147"/>
  <c r="AQ669" i="147"/>
  <c r="AQ670" i="147"/>
  <c r="AQ671" i="147"/>
  <c r="AQ672" i="147"/>
  <c r="AQ667" i="147"/>
  <c r="AQ673" i="147"/>
  <c r="AQ674" i="147"/>
  <c r="AQ675" i="147"/>
  <c r="AQ676" i="147"/>
  <c r="AQ677" i="147"/>
  <c r="AQ679" i="147"/>
  <c r="AQ680" i="147"/>
  <c r="AQ681" i="147"/>
  <c r="AQ682" i="147"/>
  <c r="AQ683" i="147"/>
  <c r="AQ678" i="147"/>
  <c r="AQ684" i="147"/>
  <c r="AQ685" i="147"/>
  <c r="AQ686" i="147"/>
  <c r="AQ687" i="147"/>
  <c r="AQ688" i="147"/>
  <c r="AQ690" i="147"/>
  <c r="AQ691" i="147"/>
  <c r="AQ692" i="147"/>
  <c r="AQ693" i="147"/>
  <c r="AQ695" i="147"/>
  <c r="AQ696" i="147"/>
  <c r="AQ699" i="147"/>
  <c r="AQ700" i="147"/>
  <c r="AQ701" i="147"/>
  <c r="AQ702" i="147"/>
  <c r="AQ703" i="147"/>
  <c r="AQ704" i="147"/>
  <c r="AQ705" i="147"/>
  <c r="AQ694" i="147"/>
  <c r="AQ706" i="147"/>
  <c r="AQ707" i="147"/>
  <c r="AQ708" i="147"/>
  <c r="AQ709" i="147"/>
  <c r="AQ710" i="147"/>
  <c r="AQ711" i="147"/>
  <c r="AQ712" i="147"/>
  <c r="AQ713" i="147"/>
  <c r="AQ714" i="147"/>
  <c r="AQ715" i="147"/>
  <c r="AQ716" i="147"/>
  <c r="AQ729" i="147"/>
  <c r="AQ730" i="147"/>
  <c r="AQ731" i="147"/>
  <c r="AQ732" i="147"/>
  <c r="AQ733" i="147"/>
  <c r="AQ734" i="147"/>
  <c r="AQ735" i="147"/>
  <c r="AQ736" i="147"/>
  <c r="AQ726" i="147"/>
  <c r="AQ717" i="147"/>
  <c r="AQ718" i="147"/>
  <c r="AQ719" i="147"/>
  <c r="AQ720" i="147"/>
  <c r="AQ721" i="147"/>
  <c r="AQ722" i="147"/>
  <c r="AQ723" i="147"/>
  <c r="AQ724" i="147"/>
  <c r="AQ725" i="147"/>
  <c r="AQ727" i="147"/>
  <c r="AQ728" i="147"/>
  <c r="AQ698" i="147"/>
  <c r="AQ697" i="147"/>
  <c r="BC644" i="147"/>
  <c r="BC645" i="147"/>
  <c r="BC646" i="147"/>
  <c r="BC647" i="147"/>
  <c r="BC648" i="147"/>
  <c r="BC651" i="147"/>
  <c r="BC652" i="147"/>
  <c r="BC653" i="147"/>
  <c r="BC654" i="147"/>
  <c r="BC649" i="147"/>
  <c r="BC650" i="147"/>
  <c r="BC656" i="147"/>
  <c r="BC657" i="147"/>
  <c r="BC658" i="147"/>
  <c r="BC659" i="147"/>
  <c r="BC660" i="147"/>
  <c r="BC661" i="147"/>
  <c r="BC663" i="147"/>
  <c r="BC664" i="147"/>
  <c r="BC665" i="147"/>
  <c r="BC666" i="147"/>
  <c r="BC655" i="147"/>
  <c r="BC667" i="147"/>
  <c r="BC668" i="147"/>
  <c r="BC669" i="147"/>
  <c r="BC670" i="147"/>
  <c r="BC671" i="147"/>
  <c r="BC672" i="147"/>
  <c r="BC662" i="147"/>
  <c r="BC673" i="147"/>
  <c r="BC674" i="147"/>
  <c r="BC675" i="147"/>
  <c r="BC676" i="147"/>
  <c r="BC677" i="147"/>
  <c r="BC678" i="147"/>
  <c r="BC679" i="147"/>
  <c r="BC680" i="147"/>
  <c r="BC681" i="147"/>
  <c r="BC682" i="147"/>
  <c r="BC683" i="147"/>
  <c r="BC684" i="147"/>
  <c r="BC685" i="147"/>
  <c r="BC686" i="147"/>
  <c r="BC687" i="147"/>
  <c r="BC688" i="147"/>
  <c r="BC690" i="147"/>
  <c r="BC691" i="147"/>
  <c r="BC692" i="147"/>
  <c r="BC694" i="147"/>
  <c r="BC695" i="147"/>
  <c r="BC696" i="147"/>
  <c r="BC697" i="147"/>
  <c r="BC698" i="147"/>
  <c r="BC699" i="147"/>
  <c r="BC700" i="147"/>
  <c r="BC701" i="147"/>
  <c r="BC702" i="147"/>
  <c r="BC703" i="147"/>
  <c r="BC704" i="147"/>
  <c r="BC705" i="147"/>
  <c r="BC706" i="147"/>
  <c r="BC707" i="147"/>
  <c r="BC708" i="147"/>
  <c r="BC709" i="147"/>
  <c r="BC710" i="147"/>
  <c r="BC711" i="147"/>
  <c r="BC712" i="147"/>
  <c r="BC713" i="147"/>
  <c r="BC714" i="147"/>
  <c r="BC715" i="147"/>
  <c r="BC716" i="147"/>
  <c r="BC693" i="147"/>
  <c r="BC729" i="147"/>
  <c r="BC730" i="147"/>
  <c r="BC731" i="147"/>
  <c r="BC732" i="147"/>
  <c r="BC733" i="147"/>
  <c r="BC734" i="147"/>
  <c r="BC735" i="147"/>
  <c r="BC736" i="147"/>
  <c r="BC726" i="147"/>
  <c r="BC717" i="147"/>
  <c r="BC718" i="147"/>
  <c r="BC719" i="147"/>
  <c r="BC720" i="147"/>
  <c r="BC721" i="147"/>
  <c r="BC722" i="147"/>
  <c r="BC723" i="147"/>
  <c r="BC724" i="147"/>
  <c r="BC725" i="147"/>
  <c r="BC727" i="147"/>
  <c r="BC728" i="147"/>
  <c r="BR644" i="147"/>
  <c r="BR646" i="147"/>
  <c r="BR647" i="147"/>
  <c r="BR648" i="147"/>
  <c r="BR649" i="147"/>
  <c r="BR650" i="147"/>
  <c r="BR656" i="147"/>
  <c r="BR657" i="147"/>
  <c r="BR658" i="147"/>
  <c r="BR654" i="147"/>
  <c r="BR653" i="147"/>
  <c r="BR655" i="147"/>
  <c r="BR659" i="147"/>
  <c r="BR663" i="147"/>
  <c r="BR664" i="147"/>
  <c r="BR665" i="147"/>
  <c r="BR666" i="147"/>
  <c r="BR651" i="147"/>
  <c r="BR660" i="147"/>
  <c r="BR667" i="147"/>
  <c r="BR668" i="147"/>
  <c r="BR669" i="147"/>
  <c r="BR670" i="147"/>
  <c r="BR671" i="147"/>
  <c r="BR672" i="147"/>
  <c r="BR661" i="147"/>
  <c r="BR662" i="147"/>
  <c r="BR673" i="147"/>
  <c r="BR674" i="147"/>
  <c r="BR675" i="147"/>
  <c r="BR676" i="147"/>
  <c r="BR677" i="147"/>
  <c r="BR678" i="147"/>
  <c r="BR679" i="147"/>
  <c r="BR680" i="147"/>
  <c r="BR681" i="147"/>
  <c r="BR682" i="147"/>
  <c r="BR683" i="147"/>
  <c r="BR684" i="147"/>
  <c r="BR685" i="147"/>
  <c r="BR686" i="147"/>
  <c r="BR687" i="147"/>
  <c r="BR688" i="147"/>
  <c r="BR690" i="147"/>
  <c r="BR691" i="147"/>
  <c r="BR693" i="147"/>
  <c r="BR694" i="147"/>
  <c r="BR695" i="147"/>
  <c r="BR696" i="147"/>
  <c r="BR697" i="147"/>
  <c r="BR698" i="147"/>
  <c r="BR699" i="147"/>
  <c r="BR700" i="147"/>
  <c r="BR701" i="147"/>
  <c r="BR702" i="147"/>
  <c r="BR703" i="147"/>
  <c r="BR704" i="147"/>
  <c r="BR705" i="147"/>
  <c r="BR717" i="147"/>
  <c r="BR718" i="147"/>
  <c r="BR719" i="147"/>
  <c r="BR720" i="147"/>
  <c r="BR721" i="147"/>
  <c r="BR722" i="147"/>
  <c r="BR723" i="147"/>
  <c r="BR724" i="147"/>
  <c r="BR692" i="147"/>
  <c r="BR714" i="147"/>
  <c r="BR715" i="147"/>
  <c r="BR707" i="147"/>
  <c r="BR710" i="147"/>
  <c r="BR713" i="147"/>
  <c r="BR727" i="147"/>
  <c r="BR728" i="147"/>
  <c r="BR732" i="147"/>
  <c r="BR729" i="147"/>
  <c r="BR730" i="147"/>
  <c r="BR731" i="147"/>
  <c r="BR708" i="147"/>
  <c r="BR711" i="147"/>
  <c r="BR716" i="147"/>
  <c r="BR706" i="147"/>
  <c r="BR709" i="147"/>
  <c r="BR712" i="147"/>
  <c r="BR725" i="147"/>
  <c r="BR726" i="147"/>
  <c r="BR736" i="147"/>
  <c r="BR734" i="147"/>
  <c r="BR733" i="147"/>
  <c r="BR735" i="147"/>
  <c r="CD644" i="147"/>
  <c r="CD645" i="147"/>
  <c r="CD646" i="147"/>
  <c r="CD647" i="147"/>
  <c r="CD648" i="147"/>
  <c r="CD649" i="147"/>
  <c r="CD650" i="147"/>
  <c r="CD655" i="147"/>
  <c r="CD656" i="147"/>
  <c r="CD657" i="147"/>
  <c r="CD658" i="147"/>
  <c r="CD651" i="147"/>
  <c r="CD652" i="147"/>
  <c r="CD653" i="147"/>
  <c r="CD654" i="147"/>
  <c r="CD663" i="147"/>
  <c r="CD664" i="147"/>
  <c r="CD665" i="147"/>
  <c r="CD666" i="147"/>
  <c r="CD660" i="147"/>
  <c r="CD667" i="147"/>
  <c r="CD668" i="147"/>
  <c r="CD669" i="147"/>
  <c r="CD670" i="147"/>
  <c r="CD671" i="147"/>
  <c r="CD659" i="147"/>
  <c r="CD661" i="147"/>
  <c r="CD673" i="147"/>
  <c r="CD674" i="147"/>
  <c r="CD675" i="147"/>
  <c r="CD676" i="147"/>
  <c r="CD677" i="147"/>
  <c r="CD672" i="147"/>
  <c r="CD662" i="147"/>
  <c r="CD678" i="147"/>
  <c r="CD679" i="147"/>
  <c r="CD680" i="147"/>
  <c r="CD681" i="147"/>
  <c r="CD682" i="147"/>
  <c r="CD683" i="147"/>
  <c r="CD684" i="147"/>
  <c r="CD685" i="147"/>
  <c r="CD686" i="147"/>
  <c r="CD687" i="147"/>
  <c r="CD688" i="147"/>
  <c r="CD690" i="147"/>
  <c r="CD691" i="147"/>
  <c r="CD693" i="147"/>
  <c r="CD694" i="147"/>
  <c r="CD695" i="147"/>
  <c r="CD696" i="147"/>
  <c r="CD697" i="147"/>
  <c r="CD698" i="147"/>
  <c r="CD699" i="147"/>
  <c r="CD700" i="147"/>
  <c r="CD701" i="147"/>
  <c r="CD702" i="147"/>
  <c r="CD703" i="147"/>
  <c r="CD704" i="147"/>
  <c r="CD705" i="147"/>
  <c r="CD692" i="147"/>
  <c r="CD706" i="147"/>
  <c r="CD707" i="147"/>
  <c r="CD708" i="147"/>
  <c r="CD709" i="147"/>
  <c r="CD710" i="147"/>
  <c r="CD711" i="147"/>
  <c r="CD712" i="147"/>
  <c r="CD713" i="147"/>
  <c r="CD717" i="147"/>
  <c r="CD718" i="147"/>
  <c r="CD719" i="147"/>
  <c r="CD720" i="147"/>
  <c r="CD721" i="147"/>
  <c r="CD722" i="147"/>
  <c r="CD723" i="147"/>
  <c r="CD724" i="147"/>
  <c r="CD716" i="147"/>
  <c r="CD714" i="147"/>
  <c r="CD715" i="147"/>
  <c r="CD725" i="147"/>
  <c r="CD726" i="147"/>
  <c r="CD732" i="147"/>
  <c r="CD729" i="147"/>
  <c r="CD730" i="147"/>
  <c r="CD727" i="147"/>
  <c r="CD728" i="147"/>
  <c r="CD731" i="147"/>
  <c r="CD733" i="147"/>
  <c r="CD734" i="147"/>
  <c r="CD735" i="147"/>
  <c r="CD736" i="147"/>
  <c r="CP644" i="147"/>
  <c r="CP645" i="147"/>
  <c r="CP646" i="147"/>
  <c r="CP647" i="147"/>
  <c r="CP648" i="147"/>
  <c r="CP649" i="147"/>
  <c r="CP650" i="147"/>
  <c r="CP651" i="147"/>
  <c r="CP652" i="147"/>
  <c r="CP653" i="147"/>
  <c r="CP654" i="147"/>
  <c r="CP656" i="147"/>
  <c r="CP657" i="147"/>
  <c r="CP658" i="147"/>
  <c r="CP655" i="147"/>
  <c r="CP661" i="147"/>
  <c r="CP660" i="147"/>
  <c r="CP663" i="147"/>
  <c r="CP664" i="147"/>
  <c r="CP665" i="147"/>
  <c r="CP666" i="147"/>
  <c r="CP659" i="147"/>
  <c r="CP662" i="147"/>
  <c r="CP667" i="147"/>
  <c r="CP668" i="147"/>
  <c r="CP669" i="147"/>
  <c r="CP670" i="147"/>
  <c r="CP671" i="147"/>
  <c r="CP672" i="147"/>
  <c r="CP673" i="147"/>
  <c r="CP674" i="147"/>
  <c r="CP675" i="147"/>
  <c r="CP676" i="147"/>
  <c r="CP677" i="147"/>
  <c r="CP678" i="147"/>
  <c r="CP679" i="147"/>
  <c r="CP680" i="147"/>
  <c r="CP681" i="147"/>
  <c r="CP682" i="147"/>
  <c r="CP683" i="147"/>
  <c r="CP684" i="147"/>
  <c r="CP685" i="147"/>
  <c r="CP686" i="147"/>
  <c r="CP687" i="147"/>
  <c r="CP688" i="147"/>
  <c r="CP690" i="147"/>
  <c r="CP691" i="147"/>
  <c r="CP693" i="147"/>
  <c r="CP694" i="147"/>
  <c r="CP695" i="147"/>
  <c r="CP696" i="147"/>
  <c r="CP697" i="147"/>
  <c r="CP698" i="147"/>
  <c r="CP699" i="147"/>
  <c r="CP700" i="147"/>
  <c r="CP701" i="147"/>
  <c r="CP702" i="147"/>
  <c r="CP703" i="147"/>
  <c r="CP704" i="147"/>
  <c r="CP692" i="147"/>
  <c r="CP705" i="147"/>
  <c r="CP717" i="147"/>
  <c r="CP718" i="147"/>
  <c r="CP719" i="147"/>
  <c r="CP720" i="147"/>
  <c r="CP721" i="147"/>
  <c r="CP722" i="147"/>
  <c r="CP723" i="147"/>
  <c r="CP724" i="147"/>
  <c r="CP706" i="147"/>
  <c r="CP707" i="147"/>
  <c r="CP708" i="147"/>
  <c r="CP709" i="147"/>
  <c r="CP710" i="147"/>
  <c r="CP711" i="147"/>
  <c r="CP712" i="147"/>
  <c r="CP713" i="147"/>
  <c r="CP716" i="147"/>
  <c r="CP714" i="147"/>
  <c r="CP715" i="147"/>
  <c r="CP731" i="147"/>
  <c r="CP732" i="147"/>
  <c r="CP725" i="147"/>
  <c r="CP726" i="147"/>
  <c r="CP728" i="147"/>
  <c r="CP729" i="147"/>
  <c r="CP730" i="147"/>
  <c r="CP727" i="147"/>
  <c r="CP733" i="147"/>
  <c r="CP734" i="147"/>
  <c r="CP735" i="147"/>
  <c r="CP736" i="147"/>
  <c r="DB644" i="147"/>
  <c r="DB645" i="147"/>
  <c r="DB646" i="147"/>
  <c r="DB647" i="147"/>
  <c r="DB648" i="147"/>
  <c r="DB649" i="147"/>
  <c r="DB650" i="147"/>
  <c r="DB656" i="147"/>
  <c r="DB657" i="147"/>
  <c r="DB658" i="147"/>
  <c r="DB655" i="147"/>
  <c r="DB651" i="147"/>
  <c r="DB652" i="147"/>
  <c r="DB653" i="147"/>
  <c r="DB654" i="147"/>
  <c r="DB661" i="147"/>
  <c r="DB663" i="147"/>
  <c r="DB664" i="147"/>
  <c r="DB665" i="147"/>
  <c r="DB666" i="147"/>
  <c r="DB662" i="147"/>
  <c r="DB667" i="147"/>
  <c r="DB668" i="147"/>
  <c r="DB669" i="147"/>
  <c r="DB670" i="147"/>
  <c r="DB671" i="147"/>
  <c r="DB660" i="147"/>
  <c r="DB672" i="147"/>
  <c r="DB673" i="147"/>
  <c r="DB674" i="147"/>
  <c r="DB675" i="147"/>
  <c r="DB676" i="147"/>
  <c r="DB677" i="147"/>
  <c r="DB659" i="147"/>
  <c r="DB678" i="147"/>
  <c r="DB679" i="147"/>
  <c r="DB680" i="147"/>
  <c r="DB681" i="147"/>
  <c r="DB682" i="147"/>
  <c r="DB683" i="147"/>
  <c r="DB684" i="147"/>
  <c r="DB685" i="147"/>
  <c r="DB686" i="147"/>
  <c r="DB687" i="147"/>
  <c r="DB688" i="147"/>
  <c r="DB690" i="147"/>
  <c r="DB691" i="147"/>
  <c r="DB693" i="147"/>
  <c r="DB694" i="147"/>
  <c r="DB695" i="147"/>
  <c r="DB696" i="147"/>
  <c r="DB697" i="147"/>
  <c r="DB698" i="147"/>
  <c r="DB699" i="147"/>
  <c r="DB700" i="147"/>
  <c r="DB701" i="147"/>
  <c r="DB702" i="147"/>
  <c r="DB703" i="147"/>
  <c r="DB704" i="147"/>
  <c r="DB692" i="147"/>
  <c r="DB705" i="147"/>
  <c r="DB714" i="147"/>
  <c r="DB715" i="147"/>
  <c r="DB717" i="147"/>
  <c r="DB718" i="147"/>
  <c r="DB719" i="147"/>
  <c r="DB720" i="147"/>
  <c r="DB721" i="147"/>
  <c r="DB722" i="147"/>
  <c r="DB723" i="147"/>
  <c r="DB724" i="147"/>
  <c r="DB731" i="147"/>
  <c r="DB707" i="147"/>
  <c r="DB710" i="147"/>
  <c r="DB713" i="147"/>
  <c r="DB727" i="147"/>
  <c r="DB728" i="147"/>
  <c r="DB729" i="147"/>
  <c r="DB730" i="147"/>
  <c r="DB732" i="147"/>
  <c r="DB708" i="147"/>
  <c r="DB711" i="147"/>
  <c r="DB725" i="147"/>
  <c r="DB726" i="147"/>
  <c r="DB716" i="147"/>
  <c r="DB706" i="147"/>
  <c r="DB709" i="147"/>
  <c r="DB712" i="147"/>
  <c r="DB733" i="147"/>
  <c r="DB736" i="147"/>
  <c r="DB734" i="147"/>
  <c r="DB735" i="147"/>
  <c r="DN644" i="147"/>
  <c r="DN645" i="147"/>
  <c r="DN646" i="147"/>
  <c r="DN647" i="147"/>
  <c r="DN648" i="147"/>
  <c r="DN649" i="147"/>
  <c r="DN650" i="147"/>
  <c r="DN656" i="147"/>
  <c r="DN657" i="147"/>
  <c r="DN654" i="147"/>
  <c r="DN653" i="147"/>
  <c r="DN652" i="147"/>
  <c r="DN655" i="147"/>
  <c r="DN651" i="147"/>
  <c r="DN658" i="147"/>
  <c r="DN659" i="147"/>
  <c r="DN661" i="147"/>
  <c r="DN662" i="147"/>
  <c r="DN663" i="147"/>
  <c r="DN664" i="147"/>
  <c r="DN665" i="147"/>
  <c r="DN666" i="147"/>
  <c r="DN660" i="147"/>
  <c r="DN667" i="147"/>
  <c r="DN668" i="147"/>
  <c r="DN669" i="147"/>
  <c r="DN670" i="147"/>
  <c r="DN671" i="147"/>
  <c r="DN672" i="147"/>
  <c r="DN673" i="147"/>
  <c r="DN674" i="147"/>
  <c r="DN675" i="147"/>
  <c r="DN676" i="147"/>
  <c r="DN677" i="147"/>
  <c r="DN678" i="147"/>
  <c r="DN679" i="147"/>
  <c r="DN680" i="147"/>
  <c r="DN681" i="147"/>
  <c r="DN682" i="147"/>
  <c r="DN683" i="147"/>
  <c r="DN684" i="147"/>
  <c r="DN685" i="147"/>
  <c r="DN686" i="147"/>
  <c r="DN687" i="147"/>
  <c r="DN688" i="147"/>
  <c r="DN690" i="147"/>
  <c r="DN691" i="147"/>
  <c r="DN693" i="147"/>
  <c r="DN694" i="147"/>
  <c r="DN695" i="147"/>
  <c r="DN696" i="147"/>
  <c r="DN697" i="147"/>
  <c r="DN698" i="147"/>
  <c r="DN699" i="147"/>
  <c r="DN700" i="147"/>
  <c r="DN701" i="147"/>
  <c r="DN702" i="147"/>
  <c r="DN703" i="147"/>
  <c r="DN704" i="147"/>
  <c r="DN692" i="147"/>
  <c r="DN717" i="147"/>
  <c r="DN718" i="147"/>
  <c r="DN719" i="147"/>
  <c r="DN720" i="147"/>
  <c r="DN721" i="147"/>
  <c r="DN722" i="147"/>
  <c r="DN723" i="147"/>
  <c r="DN724" i="147"/>
  <c r="DN716" i="147"/>
  <c r="DN714" i="147"/>
  <c r="DN715" i="147"/>
  <c r="DN706" i="147"/>
  <c r="DN707" i="147"/>
  <c r="DN708" i="147"/>
  <c r="DN709" i="147"/>
  <c r="DN710" i="147"/>
  <c r="DN711" i="147"/>
  <c r="DN712" i="147"/>
  <c r="DN713" i="147"/>
  <c r="DN705" i="147"/>
  <c r="DN732" i="147"/>
  <c r="DN728" i="147"/>
  <c r="DN729" i="147"/>
  <c r="DN730" i="147"/>
  <c r="DN731" i="147"/>
  <c r="DN727" i="147"/>
  <c r="DN725" i="147"/>
  <c r="DN726" i="147"/>
  <c r="DN733" i="147"/>
  <c r="DN734" i="147"/>
  <c r="DN735" i="147"/>
  <c r="DN736" i="147"/>
  <c r="EA644" i="147"/>
  <c r="EA645" i="147"/>
  <c r="EA646" i="147"/>
  <c r="EA647" i="147"/>
  <c r="EA648" i="147"/>
  <c r="EA649" i="147"/>
  <c r="EA655" i="147"/>
  <c r="EA650" i="147"/>
  <c r="EA658" i="147"/>
  <c r="EA659" i="147"/>
  <c r="EA660" i="147"/>
  <c r="EA661" i="147"/>
  <c r="EA653" i="147"/>
  <c r="EA652" i="147"/>
  <c r="EA651" i="147"/>
  <c r="EA654" i="147"/>
  <c r="EA656" i="147"/>
  <c r="EA657" i="147"/>
  <c r="EA662" i="147"/>
  <c r="EA663" i="147"/>
  <c r="EA664" i="147"/>
  <c r="EA665" i="147"/>
  <c r="EA666" i="147"/>
  <c r="EA667" i="147"/>
  <c r="EA668" i="147"/>
  <c r="EA669" i="147"/>
  <c r="EA670" i="147"/>
  <c r="EA671" i="147"/>
  <c r="EA672" i="147"/>
  <c r="EA673" i="147"/>
  <c r="EA674" i="147"/>
  <c r="EA675" i="147"/>
  <c r="EA676" i="147"/>
  <c r="EA677" i="147"/>
  <c r="EA678" i="147"/>
  <c r="EA679" i="147"/>
  <c r="EA680" i="147"/>
  <c r="EA681" i="147"/>
  <c r="EA682" i="147"/>
  <c r="EA683" i="147"/>
  <c r="EA684" i="147"/>
  <c r="EA685" i="147"/>
  <c r="EA686" i="147"/>
  <c r="EA687" i="147"/>
  <c r="EA688" i="147"/>
  <c r="EA690" i="147"/>
  <c r="EA691" i="147"/>
  <c r="EA692" i="147"/>
  <c r="EA693" i="147"/>
  <c r="EA694" i="147"/>
  <c r="EA695" i="147"/>
  <c r="EA696" i="147"/>
  <c r="EA697" i="147"/>
  <c r="EA698" i="147"/>
  <c r="EA699" i="147"/>
  <c r="EA700" i="147"/>
  <c r="EA701" i="147"/>
  <c r="EA702" i="147"/>
  <c r="EA703" i="147"/>
  <c r="EA704" i="147"/>
  <c r="EA705" i="147"/>
  <c r="EA706" i="147"/>
  <c r="EA707" i="147"/>
  <c r="EA708" i="147"/>
  <c r="EA709" i="147"/>
  <c r="EA710" i="147"/>
  <c r="EA711" i="147"/>
  <c r="EA712" i="147"/>
  <c r="EA713" i="147"/>
  <c r="EA714" i="147"/>
  <c r="EA715" i="147"/>
  <c r="EA716" i="147"/>
  <c r="EA717" i="147"/>
  <c r="EA718" i="147"/>
  <c r="EA719" i="147"/>
  <c r="EA720" i="147"/>
  <c r="EA721" i="147"/>
  <c r="EA722" i="147"/>
  <c r="EA723" i="147"/>
  <c r="EA724" i="147"/>
  <c r="EA725" i="147"/>
  <c r="EA726" i="147"/>
  <c r="EA727" i="147"/>
  <c r="EA728" i="147"/>
  <c r="EA729" i="147"/>
  <c r="EA730" i="147"/>
  <c r="EA731" i="147"/>
  <c r="EA732" i="147"/>
  <c r="EA733" i="147"/>
  <c r="EA734" i="147"/>
  <c r="EA735" i="147"/>
  <c r="EA736" i="147"/>
  <c r="EN644" i="147"/>
  <c r="EN645" i="147"/>
  <c r="EN646" i="147"/>
  <c r="EN647" i="147"/>
  <c r="EN648" i="147"/>
  <c r="EN651" i="147"/>
  <c r="EN652" i="147"/>
  <c r="EN653" i="147"/>
  <c r="EN654" i="147"/>
  <c r="EN650" i="147"/>
  <c r="EN649" i="147"/>
  <c r="EN658" i="147"/>
  <c r="EN659" i="147"/>
  <c r="EN660" i="147"/>
  <c r="EN661" i="147"/>
  <c r="EN655" i="147"/>
  <c r="EN656" i="147"/>
  <c r="EN657" i="147"/>
  <c r="EN662" i="147"/>
  <c r="EN663" i="147"/>
  <c r="EN664" i="147"/>
  <c r="EN665" i="147"/>
  <c r="EN666" i="147"/>
  <c r="EN667" i="147"/>
  <c r="EN668" i="147"/>
  <c r="EN669" i="147"/>
  <c r="EN670" i="147"/>
  <c r="EN671" i="147"/>
  <c r="EN672" i="147"/>
  <c r="EN673" i="147"/>
  <c r="EN674" i="147"/>
  <c r="EN675" i="147"/>
  <c r="EN676" i="147"/>
  <c r="EN677" i="147"/>
  <c r="EN678" i="147"/>
  <c r="EN679" i="147"/>
  <c r="EN680" i="147"/>
  <c r="EN681" i="147"/>
  <c r="EN682" i="147"/>
  <c r="EN685" i="147"/>
  <c r="EN686" i="147"/>
  <c r="EN687" i="147"/>
  <c r="EN688" i="147"/>
  <c r="EN690" i="147"/>
  <c r="EN691" i="147"/>
  <c r="EN692" i="147"/>
  <c r="EN693" i="147"/>
  <c r="EN694" i="147"/>
  <c r="EN695" i="147"/>
  <c r="EN696" i="147"/>
  <c r="EN697" i="147"/>
  <c r="EN698" i="147"/>
  <c r="EN699" i="147"/>
  <c r="EN700" i="147"/>
  <c r="EN701" i="147"/>
  <c r="EN683" i="147"/>
  <c r="EN684" i="147"/>
  <c r="EN705" i="147"/>
  <c r="EN706" i="147"/>
  <c r="EN707" i="147"/>
  <c r="EN708" i="147"/>
  <c r="EN709" i="147"/>
  <c r="EN710" i="147"/>
  <c r="EN711" i="147"/>
  <c r="EN712" i="147"/>
  <c r="EN713" i="147"/>
  <c r="EN714" i="147"/>
  <c r="EN715" i="147"/>
  <c r="EN716" i="147"/>
  <c r="EN703" i="147"/>
  <c r="EN704" i="147"/>
  <c r="EN702" i="147"/>
  <c r="EN717" i="147"/>
  <c r="EN718" i="147"/>
  <c r="EN719" i="147"/>
  <c r="EN720" i="147"/>
  <c r="EN721" i="147"/>
  <c r="EN722" i="147"/>
  <c r="EN723" i="147"/>
  <c r="EN724" i="147"/>
  <c r="EN725" i="147"/>
  <c r="EN726" i="147"/>
  <c r="EN727" i="147"/>
  <c r="EN728" i="147"/>
  <c r="EN729" i="147"/>
  <c r="EN730" i="147"/>
  <c r="EN731" i="147"/>
  <c r="EN732" i="147"/>
  <c r="EN733" i="147"/>
  <c r="EN734" i="147"/>
  <c r="EN735" i="147"/>
  <c r="EN736" i="147"/>
  <c r="O644" i="147"/>
  <c r="O645" i="147"/>
  <c r="O646" i="147"/>
  <c r="O647" i="147"/>
  <c r="O648" i="147"/>
  <c r="O649" i="147"/>
  <c r="O650" i="147"/>
  <c r="O651" i="147"/>
  <c r="O652" i="147"/>
  <c r="O653" i="147"/>
  <c r="O654" i="147"/>
  <c r="O655" i="147"/>
  <c r="O656" i="147"/>
  <c r="O657" i="147"/>
  <c r="O658" i="147"/>
  <c r="O659" i="147"/>
  <c r="O660" i="147"/>
  <c r="O661" i="147"/>
  <c r="O663" i="147"/>
  <c r="O664" i="147"/>
  <c r="O665" i="147"/>
  <c r="O666" i="147"/>
  <c r="O667" i="147"/>
  <c r="O662" i="147"/>
  <c r="O668" i="147"/>
  <c r="O669" i="147"/>
  <c r="O670" i="147"/>
  <c r="O671" i="147"/>
  <c r="O672" i="147"/>
  <c r="O673" i="147"/>
  <c r="O674" i="147"/>
  <c r="O675" i="147"/>
  <c r="O676" i="147"/>
  <c r="O677" i="147"/>
  <c r="O679" i="147"/>
  <c r="O680" i="147"/>
  <c r="O681" i="147"/>
  <c r="O682" i="147"/>
  <c r="O683" i="147"/>
  <c r="O684" i="147"/>
  <c r="O685" i="147"/>
  <c r="O678" i="147"/>
  <c r="O686" i="147"/>
  <c r="O687" i="147"/>
  <c r="O688" i="147"/>
  <c r="O690" i="147"/>
  <c r="O691" i="147"/>
  <c r="O693" i="147"/>
  <c r="O694" i="147"/>
  <c r="O703" i="147"/>
  <c r="O706" i="147"/>
  <c r="O707" i="147"/>
  <c r="O708" i="147"/>
  <c r="O709" i="147"/>
  <c r="O710" i="147"/>
  <c r="O711" i="147"/>
  <c r="O712" i="147"/>
  <c r="O713" i="147"/>
  <c r="O714" i="147"/>
  <c r="O715" i="147"/>
  <c r="O716" i="147"/>
  <c r="O692" i="147"/>
  <c r="O695" i="147"/>
  <c r="O696" i="147"/>
  <c r="O697" i="147"/>
  <c r="O698" i="147"/>
  <c r="O699" i="147"/>
  <c r="O700" i="147"/>
  <c r="O701" i="147"/>
  <c r="O702" i="147"/>
  <c r="O705" i="147"/>
  <c r="O704" i="147"/>
  <c r="O717" i="147"/>
  <c r="O718" i="147"/>
  <c r="O719" i="147"/>
  <c r="O720" i="147"/>
  <c r="O721" i="147"/>
  <c r="O722" i="147"/>
  <c r="O723" i="147"/>
  <c r="O724" i="147"/>
  <c r="O725" i="147"/>
  <c r="O726" i="147"/>
  <c r="O727" i="147"/>
  <c r="O728" i="147"/>
  <c r="O729" i="147"/>
  <c r="O730" i="147"/>
  <c r="O731" i="147"/>
  <c r="O732" i="147"/>
  <c r="O733" i="147"/>
  <c r="O734" i="147"/>
  <c r="O735" i="147"/>
  <c r="O736" i="147"/>
  <c r="AF644" i="147"/>
  <c r="AF645" i="147"/>
  <c r="AF646" i="147"/>
  <c r="AF647" i="147"/>
  <c r="AF648" i="147"/>
  <c r="AF649" i="147"/>
  <c r="AF650" i="147"/>
  <c r="AF651" i="147"/>
  <c r="AF652" i="147"/>
  <c r="AF653" i="147"/>
  <c r="AF654" i="147"/>
  <c r="AF655" i="147"/>
  <c r="AF659" i="147"/>
  <c r="AF660" i="147"/>
  <c r="AF658" i="147"/>
  <c r="AF661" i="147"/>
  <c r="AF662" i="147"/>
  <c r="AF656" i="147"/>
  <c r="AF657" i="147"/>
  <c r="AF667" i="147"/>
  <c r="AF668" i="147"/>
  <c r="AF669" i="147"/>
  <c r="AF670" i="147"/>
  <c r="AF671" i="147"/>
  <c r="AF663" i="147"/>
  <c r="AF664" i="147"/>
  <c r="AF665" i="147"/>
  <c r="AF666" i="147"/>
  <c r="AF672" i="147"/>
  <c r="AF673" i="147"/>
  <c r="AF674" i="147"/>
  <c r="AF675" i="147"/>
  <c r="AF676" i="147"/>
  <c r="AF677" i="147"/>
  <c r="AF678" i="147"/>
  <c r="AF680" i="147"/>
  <c r="AF681" i="147"/>
  <c r="AF682" i="147"/>
  <c r="AF683" i="147"/>
  <c r="AF684" i="147"/>
  <c r="AF686" i="147"/>
  <c r="AF687" i="147"/>
  <c r="AF688" i="147"/>
  <c r="AF690" i="147"/>
  <c r="AF691" i="147"/>
  <c r="AF692" i="147"/>
  <c r="AF685" i="147"/>
  <c r="AF694" i="147"/>
  <c r="AF695" i="147"/>
  <c r="AF696" i="147"/>
  <c r="AF697" i="147"/>
  <c r="AF698" i="147"/>
  <c r="AF699" i="147"/>
  <c r="AF700" i="147"/>
  <c r="AF701" i="147"/>
  <c r="AF702" i="147"/>
  <c r="AF703" i="147"/>
  <c r="AF704" i="147"/>
  <c r="AF705" i="147"/>
  <c r="AF706" i="147"/>
  <c r="AF707" i="147"/>
  <c r="AF708" i="147"/>
  <c r="AF709" i="147"/>
  <c r="AF710" i="147"/>
  <c r="AF711" i="147"/>
  <c r="AF712" i="147"/>
  <c r="AF713" i="147"/>
  <c r="AF714" i="147"/>
  <c r="AF715" i="147"/>
  <c r="AF716" i="147"/>
  <c r="AF717" i="147"/>
  <c r="AF718" i="147"/>
  <c r="AF719" i="147"/>
  <c r="AF720" i="147"/>
  <c r="AF721" i="147"/>
  <c r="AF722" i="147"/>
  <c r="AF723" i="147"/>
  <c r="AF724" i="147"/>
  <c r="AF725" i="147"/>
  <c r="AF726" i="147"/>
  <c r="AF727" i="147"/>
  <c r="AF728" i="147"/>
  <c r="AF729" i="147"/>
  <c r="AF730" i="147"/>
  <c r="AF731" i="147"/>
  <c r="AF732" i="147"/>
  <c r="AF733" i="147"/>
  <c r="AF734" i="147"/>
  <c r="AF735" i="147"/>
  <c r="AF736" i="147"/>
  <c r="AR644" i="147"/>
  <c r="AR645" i="147"/>
  <c r="AR646" i="147"/>
  <c r="AR647" i="147"/>
  <c r="AR648" i="147"/>
  <c r="AR649" i="147"/>
  <c r="AR650" i="147"/>
  <c r="AR651" i="147"/>
  <c r="AR652" i="147"/>
  <c r="AR653" i="147"/>
  <c r="AR654" i="147"/>
  <c r="AR655" i="147"/>
  <c r="AR659" i="147"/>
  <c r="AR658" i="147"/>
  <c r="AR662" i="147"/>
  <c r="AR656" i="147"/>
  <c r="AR660" i="147"/>
  <c r="AR661" i="147"/>
  <c r="AR663" i="147"/>
  <c r="AR664" i="147"/>
  <c r="AR665" i="147"/>
  <c r="AR666" i="147"/>
  <c r="AR668" i="147"/>
  <c r="AR669" i="147"/>
  <c r="AR670" i="147"/>
  <c r="AR671" i="147"/>
  <c r="AR657" i="147"/>
  <c r="AR667" i="147"/>
  <c r="AR672" i="147"/>
  <c r="AR678" i="147"/>
  <c r="AR679" i="147"/>
  <c r="AR680" i="147"/>
  <c r="AR681" i="147"/>
  <c r="AR682" i="147"/>
  <c r="AR683" i="147"/>
  <c r="AR684" i="147"/>
  <c r="AR673" i="147"/>
  <c r="AR674" i="147"/>
  <c r="AR675" i="147"/>
  <c r="AR676" i="147"/>
  <c r="AR677" i="147"/>
  <c r="AR685" i="147"/>
  <c r="AR686" i="147"/>
  <c r="AR687" i="147"/>
  <c r="AR688" i="147"/>
  <c r="AR690" i="147"/>
  <c r="AR691" i="147"/>
  <c r="AR692" i="147"/>
  <c r="AR693" i="147"/>
  <c r="AR695" i="147"/>
  <c r="AR696" i="147"/>
  <c r="AR697" i="147"/>
  <c r="AR698" i="147"/>
  <c r="AR699" i="147"/>
  <c r="AR700" i="147"/>
  <c r="AR701" i="147"/>
  <c r="AR702" i="147"/>
  <c r="AR703" i="147"/>
  <c r="AR704" i="147"/>
  <c r="AR705" i="147"/>
  <c r="AR694" i="147"/>
  <c r="AR706" i="147"/>
  <c r="AR707" i="147"/>
  <c r="AR708" i="147"/>
  <c r="AR709" i="147"/>
  <c r="AR710" i="147"/>
  <c r="AR711" i="147"/>
  <c r="AR712" i="147"/>
  <c r="AR713" i="147"/>
  <c r="AR714" i="147"/>
  <c r="AR715" i="147"/>
  <c r="AR716" i="147"/>
  <c r="AR717" i="147"/>
  <c r="AR718" i="147"/>
  <c r="AR719" i="147"/>
  <c r="AR720" i="147"/>
  <c r="AR721" i="147"/>
  <c r="AR722" i="147"/>
  <c r="AR723" i="147"/>
  <c r="AR724" i="147"/>
  <c r="AR725" i="147"/>
  <c r="AR726" i="147"/>
  <c r="AR727" i="147"/>
  <c r="AR728" i="147"/>
  <c r="AR729" i="147"/>
  <c r="AR730" i="147"/>
  <c r="AR731" i="147"/>
  <c r="AR732" i="147"/>
  <c r="AR733" i="147"/>
  <c r="AR734" i="147"/>
  <c r="AR735" i="147"/>
  <c r="AR736" i="147"/>
  <c r="BD644" i="147"/>
  <c r="BD645" i="147"/>
  <c r="BD646" i="147"/>
  <c r="BD647" i="147"/>
  <c r="BD648" i="147"/>
  <c r="BD649" i="147"/>
  <c r="BD650" i="147"/>
  <c r="BD655" i="147"/>
  <c r="BD653" i="147"/>
  <c r="BD652" i="147"/>
  <c r="BD651" i="147"/>
  <c r="BD656" i="147"/>
  <c r="BD657" i="147"/>
  <c r="BD658" i="147"/>
  <c r="BD659" i="147"/>
  <c r="BD661" i="147"/>
  <c r="BD663" i="147"/>
  <c r="BD664" i="147"/>
  <c r="BD665" i="147"/>
  <c r="BD666" i="147"/>
  <c r="BD667" i="147"/>
  <c r="BD668" i="147"/>
  <c r="BD669" i="147"/>
  <c r="BD670" i="147"/>
  <c r="BD671" i="147"/>
  <c r="BD672" i="147"/>
  <c r="BD654" i="147"/>
  <c r="BD662" i="147"/>
  <c r="BD660" i="147"/>
  <c r="BD678" i="147"/>
  <c r="BD679" i="147"/>
  <c r="BD680" i="147"/>
  <c r="BD681" i="147"/>
  <c r="BD682" i="147"/>
  <c r="BD683" i="147"/>
  <c r="BD684" i="147"/>
  <c r="BD673" i="147"/>
  <c r="BD674" i="147"/>
  <c r="BD675" i="147"/>
  <c r="BD676" i="147"/>
  <c r="BD677" i="147"/>
  <c r="BD685" i="147"/>
  <c r="BD686" i="147"/>
  <c r="BD687" i="147"/>
  <c r="BD688" i="147"/>
  <c r="BD690" i="147"/>
  <c r="BD691" i="147"/>
  <c r="BD692" i="147"/>
  <c r="BD694" i="147"/>
  <c r="BD695" i="147"/>
  <c r="BD696" i="147"/>
  <c r="BD697" i="147"/>
  <c r="BD698" i="147"/>
  <c r="BD699" i="147"/>
  <c r="BD700" i="147"/>
  <c r="BD701" i="147"/>
  <c r="BD702" i="147"/>
  <c r="BD703" i="147"/>
  <c r="BD704" i="147"/>
  <c r="BD693" i="147"/>
  <c r="BD705" i="147"/>
  <c r="BD706" i="147"/>
  <c r="BD707" i="147"/>
  <c r="BD708" i="147"/>
  <c r="BD709" i="147"/>
  <c r="BD710" i="147"/>
  <c r="BD711" i="147"/>
  <c r="BD712" i="147"/>
  <c r="BD713" i="147"/>
  <c r="BD714" i="147"/>
  <c r="BD715" i="147"/>
  <c r="BD716" i="147"/>
  <c r="BD717" i="147"/>
  <c r="BD718" i="147"/>
  <c r="BD719" i="147"/>
  <c r="BD720" i="147"/>
  <c r="BD721" i="147"/>
  <c r="BD722" i="147"/>
  <c r="BD723" i="147"/>
  <c r="BD724" i="147"/>
  <c r="BD725" i="147"/>
  <c r="BD726" i="147"/>
  <c r="BD727" i="147"/>
  <c r="BD728" i="147"/>
  <c r="BD729" i="147"/>
  <c r="BD730" i="147"/>
  <c r="BD731" i="147"/>
  <c r="BD732" i="147"/>
  <c r="BD733" i="147"/>
  <c r="BD734" i="147"/>
  <c r="BD735" i="147"/>
  <c r="BD736" i="147"/>
  <c r="BS644" i="147"/>
  <c r="BS645" i="147"/>
  <c r="BS646" i="147"/>
  <c r="BS647" i="147"/>
  <c r="BS648" i="147"/>
  <c r="BS649" i="147"/>
  <c r="BS650" i="147"/>
  <c r="BS651" i="147"/>
  <c r="BS652" i="147"/>
  <c r="BS653" i="147"/>
  <c r="BS654" i="147"/>
  <c r="BS655" i="147"/>
  <c r="BS658" i="147"/>
  <c r="BS659" i="147"/>
  <c r="BS660" i="147"/>
  <c r="BS661" i="147"/>
  <c r="BS656" i="147"/>
  <c r="BS657" i="147"/>
  <c r="BS662" i="147"/>
  <c r="BS663" i="147"/>
  <c r="BS664" i="147"/>
  <c r="BS665" i="147"/>
  <c r="BS693" i="147"/>
  <c r="BS694" i="147"/>
  <c r="BS696" i="147"/>
  <c r="BS697" i="147"/>
  <c r="BS699" i="147"/>
  <c r="BS700" i="147"/>
  <c r="BS701" i="147"/>
  <c r="BS702" i="147"/>
  <c r="BS703" i="147"/>
  <c r="BS704" i="147"/>
  <c r="BS705" i="147"/>
  <c r="BS706" i="147"/>
  <c r="BS707" i="147"/>
  <c r="BS708" i="147"/>
  <c r="BS709" i="147"/>
  <c r="BS710" i="147"/>
  <c r="BS711" i="147"/>
  <c r="BS712" i="147"/>
  <c r="BS713" i="147"/>
  <c r="BS714" i="147"/>
  <c r="BS715" i="147"/>
  <c r="BS716" i="147"/>
  <c r="BS717" i="147"/>
  <c r="BS718" i="147"/>
  <c r="BS719" i="147"/>
  <c r="BS720" i="147"/>
  <c r="BS721" i="147"/>
  <c r="BS722" i="147"/>
  <c r="BS723" i="147"/>
  <c r="BS724" i="147"/>
  <c r="BS725" i="147"/>
  <c r="BS726" i="147"/>
  <c r="BS727" i="147"/>
  <c r="BS728" i="147"/>
  <c r="BS729" i="147"/>
  <c r="BS730" i="147"/>
  <c r="BS731" i="147"/>
  <c r="BS732" i="147"/>
  <c r="BS733" i="147"/>
  <c r="BS734" i="147"/>
  <c r="BS735" i="147"/>
  <c r="BS736" i="147"/>
  <c r="BS698" i="147"/>
  <c r="CE644" i="147"/>
  <c r="CE645" i="147"/>
  <c r="CE646" i="147"/>
  <c r="CE647" i="147"/>
  <c r="CE648" i="147"/>
  <c r="CE649" i="147"/>
  <c r="CE650" i="147"/>
  <c r="CE655" i="147"/>
  <c r="CE651" i="147"/>
  <c r="CE652" i="147"/>
  <c r="CE653" i="147"/>
  <c r="CE654" i="147"/>
  <c r="CE659" i="147"/>
  <c r="CE660" i="147"/>
  <c r="CE661" i="147"/>
  <c r="CE656" i="147"/>
  <c r="CE657" i="147"/>
  <c r="CE658" i="147"/>
  <c r="CE663" i="147"/>
  <c r="CE664" i="147"/>
  <c r="CE665" i="147"/>
  <c r="CE666" i="147"/>
  <c r="CE667" i="147"/>
  <c r="CE668" i="147"/>
  <c r="CE669" i="147"/>
  <c r="CE670" i="147"/>
  <c r="CE671" i="147"/>
  <c r="CE672" i="147"/>
  <c r="CE673" i="147"/>
  <c r="CE674" i="147"/>
  <c r="CE662" i="147"/>
  <c r="CE690" i="147"/>
  <c r="CE692" i="147"/>
  <c r="CE693" i="147"/>
  <c r="CE694" i="147"/>
  <c r="CE695" i="147"/>
  <c r="CE696" i="147"/>
  <c r="CE697" i="147"/>
  <c r="CE698" i="147"/>
  <c r="CE699" i="147"/>
  <c r="CE700" i="147"/>
  <c r="CE701" i="147"/>
  <c r="CE702" i="147"/>
  <c r="CE703" i="147"/>
  <c r="CE704" i="147"/>
  <c r="CE705" i="147"/>
  <c r="CE706" i="147"/>
  <c r="CE707" i="147"/>
  <c r="CE708" i="147"/>
  <c r="CE709" i="147"/>
  <c r="CE710" i="147"/>
  <c r="CE711" i="147"/>
  <c r="CE712" i="147"/>
  <c r="CE713" i="147"/>
  <c r="CE714" i="147"/>
  <c r="CE715" i="147"/>
  <c r="CE716" i="147"/>
  <c r="CE717" i="147"/>
  <c r="CE718" i="147"/>
  <c r="CE719" i="147"/>
  <c r="CE720" i="147"/>
  <c r="CE721" i="147"/>
  <c r="CE722" i="147"/>
  <c r="CE723" i="147"/>
  <c r="CE724" i="147"/>
  <c r="CE725" i="147"/>
  <c r="CE726" i="147"/>
  <c r="CE727" i="147"/>
  <c r="CE728" i="147"/>
  <c r="CE729" i="147"/>
  <c r="CE730" i="147"/>
  <c r="CE731" i="147"/>
  <c r="CE732" i="147"/>
  <c r="CE733" i="147"/>
  <c r="CE734" i="147"/>
  <c r="CE735" i="147"/>
  <c r="CE736" i="147"/>
  <c r="CQ646" i="147"/>
  <c r="CQ647" i="147"/>
  <c r="CQ648" i="147"/>
  <c r="CQ649" i="147"/>
  <c r="CQ650" i="147"/>
  <c r="CQ659" i="147"/>
  <c r="CQ660" i="147"/>
  <c r="CQ661" i="147"/>
  <c r="CQ656" i="147"/>
  <c r="CQ657" i="147"/>
  <c r="CQ663" i="147"/>
  <c r="CQ664" i="147"/>
  <c r="CQ665" i="147"/>
  <c r="CQ666" i="147"/>
  <c r="CQ658" i="147"/>
  <c r="CQ655" i="147"/>
  <c r="CQ662" i="147"/>
  <c r="CQ667" i="147"/>
  <c r="CQ668" i="147"/>
  <c r="CQ669" i="147"/>
  <c r="CQ670" i="147"/>
  <c r="CQ671" i="147"/>
  <c r="CQ672" i="147"/>
  <c r="CQ673" i="147"/>
  <c r="CQ674" i="147"/>
  <c r="CQ675" i="147"/>
  <c r="CQ676" i="147"/>
  <c r="CQ677" i="147"/>
  <c r="CQ678" i="147"/>
  <c r="CQ679" i="147"/>
  <c r="CQ680" i="147"/>
  <c r="CQ681" i="147"/>
  <c r="CQ682" i="147"/>
  <c r="CQ683" i="147"/>
  <c r="CQ684" i="147"/>
  <c r="CQ685" i="147"/>
  <c r="CQ686" i="147"/>
  <c r="CQ687" i="147"/>
  <c r="CQ688" i="147"/>
  <c r="CQ690" i="147"/>
  <c r="CQ691" i="147"/>
  <c r="CQ692" i="147"/>
  <c r="CQ693" i="147"/>
  <c r="CQ694" i="147"/>
  <c r="CQ695" i="147"/>
  <c r="CQ696" i="147"/>
  <c r="CQ697" i="147"/>
  <c r="CQ698" i="147"/>
  <c r="CQ699" i="147"/>
  <c r="CQ700" i="147"/>
  <c r="CQ701" i="147"/>
  <c r="CQ702" i="147"/>
  <c r="CQ703" i="147"/>
  <c r="CQ704" i="147"/>
  <c r="CQ705" i="147"/>
  <c r="CQ706" i="147"/>
  <c r="CQ707" i="147"/>
  <c r="CQ708" i="147"/>
  <c r="CQ709" i="147"/>
  <c r="CQ710" i="147"/>
  <c r="CQ711" i="147"/>
  <c r="CQ712" i="147"/>
  <c r="CQ713" i="147"/>
  <c r="CQ714" i="147"/>
  <c r="CQ715" i="147"/>
  <c r="CQ716" i="147"/>
  <c r="CQ717" i="147"/>
  <c r="CQ718" i="147"/>
  <c r="CQ719" i="147"/>
  <c r="CQ720" i="147"/>
  <c r="CQ721" i="147"/>
  <c r="CQ722" i="147"/>
  <c r="CQ723" i="147"/>
  <c r="CQ724" i="147"/>
  <c r="CQ725" i="147"/>
  <c r="CQ726" i="147"/>
  <c r="CQ727" i="147"/>
  <c r="CQ728" i="147"/>
  <c r="CQ729" i="147"/>
  <c r="CQ730" i="147"/>
  <c r="CQ731" i="147"/>
  <c r="CQ732" i="147"/>
  <c r="CQ733" i="147"/>
  <c r="CQ734" i="147"/>
  <c r="CQ735" i="147"/>
  <c r="CQ736" i="147"/>
  <c r="CQ644" i="147"/>
  <c r="DC644" i="147"/>
  <c r="DC645" i="147"/>
  <c r="DC646" i="147"/>
  <c r="DC647" i="147"/>
  <c r="DC648" i="147"/>
  <c r="DC649" i="147"/>
  <c r="DC650" i="147"/>
  <c r="DC655" i="147"/>
  <c r="DC651" i="147"/>
  <c r="DC652" i="147"/>
  <c r="DC653" i="147"/>
  <c r="DC654" i="147"/>
  <c r="DC656" i="147"/>
  <c r="DC657" i="147"/>
  <c r="DC659" i="147"/>
  <c r="DC660" i="147"/>
  <c r="DC661" i="147"/>
  <c r="DC658" i="147"/>
  <c r="DC663" i="147"/>
  <c r="DC664" i="147"/>
  <c r="DC665" i="147"/>
  <c r="DC662" i="147"/>
  <c r="DC691" i="147"/>
  <c r="DC695" i="147"/>
  <c r="DC699" i="147"/>
  <c r="DC700" i="147"/>
  <c r="DC701" i="147"/>
  <c r="DC702" i="147"/>
  <c r="DC703" i="147"/>
  <c r="DC704" i="147"/>
  <c r="DC705" i="147"/>
  <c r="DC706" i="147"/>
  <c r="DC707" i="147"/>
  <c r="DC708" i="147"/>
  <c r="DC709" i="147"/>
  <c r="DC710" i="147"/>
  <c r="DC711" i="147"/>
  <c r="DC712" i="147"/>
  <c r="DC713" i="147"/>
  <c r="DC714" i="147"/>
  <c r="DC715" i="147"/>
  <c r="DC716" i="147"/>
  <c r="DC717" i="147"/>
  <c r="DC718" i="147"/>
  <c r="DC719" i="147"/>
  <c r="DC720" i="147"/>
  <c r="DC721" i="147"/>
  <c r="DC722" i="147"/>
  <c r="DC723" i="147"/>
  <c r="DC724" i="147"/>
  <c r="DC725" i="147"/>
  <c r="DC726" i="147"/>
  <c r="DC727" i="147"/>
  <c r="DC728" i="147"/>
  <c r="DC729" i="147"/>
  <c r="DC730" i="147"/>
  <c r="DC731" i="147"/>
  <c r="DC732" i="147"/>
  <c r="DC733" i="147"/>
  <c r="DC734" i="147"/>
  <c r="DC735" i="147"/>
  <c r="DC736" i="147"/>
  <c r="DC698" i="147"/>
  <c r="DC697" i="147"/>
  <c r="DC696" i="147"/>
  <c r="DO644" i="147"/>
  <c r="DO645" i="147"/>
  <c r="DO646" i="147"/>
  <c r="DO647" i="147"/>
  <c r="DO648" i="147"/>
  <c r="DO649" i="147"/>
  <c r="DO650" i="147"/>
  <c r="DO651" i="147"/>
  <c r="DO652" i="147"/>
  <c r="DO653" i="147"/>
  <c r="DO654" i="147"/>
  <c r="DO655" i="147"/>
  <c r="DO658" i="147"/>
  <c r="DO659" i="147"/>
  <c r="DO660" i="147"/>
  <c r="DO661" i="147"/>
  <c r="DO656" i="147"/>
  <c r="DO657" i="147"/>
  <c r="DO662" i="147"/>
  <c r="DO663" i="147"/>
  <c r="DO664" i="147"/>
  <c r="DO665" i="147"/>
  <c r="DO666" i="147"/>
  <c r="DO667" i="147"/>
  <c r="DO668" i="147"/>
  <c r="DO669" i="147"/>
  <c r="DO670" i="147"/>
  <c r="DO671" i="147"/>
  <c r="DO672" i="147"/>
  <c r="DO673" i="147"/>
  <c r="DO674" i="147"/>
  <c r="DO675" i="147"/>
  <c r="DO676" i="147"/>
  <c r="DO677" i="147"/>
  <c r="DO678" i="147"/>
  <c r="DO679" i="147"/>
  <c r="DO680" i="147"/>
  <c r="DO681" i="147"/>
  <c r="DO682" i="147"/>
  <c r="DO683" i="147"/>
  <c r="DO685" i="147"/>
  <c r="DO686" i="147"/>
  <c r="DO687" i="147"/>
  <c r="DO688" i="147"/>
  <c r="DO690" i="147"/>
  <c r="DO691" i="147"/>
  <c r="DO692" i="147"/>
  <c r="DO693" i="147"/>
  <c r="DO694" i="147"/>
  <c r="DO695" i="147"/>
  <c r="DO696" i="147"/>
  <c r="DO697" i="147"/>
  <c r="DO698" i="147"/>
  <c r="DO699" i="147"/>
  <c r="DO700" i="147"/>
  <c r="DO701" i="147"/>
  <c r="DO702" i="147"/>
  <c r="DO703" i="147"/>
  <c r="DO704" i="147"/>
  <c r="DO705" i="147"/>
  <c r="DO684" i="147"/>
  <c r="DO706" i="147"/>
  <c r="DO707" i="147"/>
  <c r="DO708" i="147"/>
  <c r="DO709" i="147"/>
  <c r="DO710" i="147"/>
  <c r="DO711" i="147"/>
  <c r="DO712" i="147"/>
  <c r="DO713" i="147"/>
  <c r="DO714" i="147"/>
  <c r="DO715" i="147"/>
  <c r="DO716" i="147"/>
  <c r="DO717" i="147"/>
  <c r="DO718" i="147"/>
  <c r="DO719" i="147"/>
  <c r="DO720" i="147"/>
  <c r="DO721" i="147"/>
  <c r="DO722" i="147"/>
  <c r="DO723" i="147"/>
  <c r="DO724" i="147"/>
  <c r="DO725" i="147"/>
  <c r="DO726" i="147"/>
  <c r="DO727" i="147"/>
  <c r="DO728" i="147"/>
  <c r="DO729" i="147"/>
  <c r="DO730" i="147"/>
  <c r="DO731" i="147"/>
  <c r="DO732" i="147"/>
  <c r="DO733" i="147"/>
  <c r="DO734" i="147"/>
  <c r="DO735" i="147"/>
  <c r="DO736" i="147"/>
  <c r="EC650" i="147"/>
  <c r="EC644" i="147"/>
  <c r="EC645" i="147"/>
  <c r="EC646" i="147"/>
  <c r="EC647" i="147"/>
  <c r="EC649" i="147"/>
  <c r="EC648" i="147"/>
  <c r="EC651" i="147"/>
  <c r="EC652" i="147"/>
  <c r="EC653" i="147"/>
  <c r="EC654" i="147"/>
  <c r="EC656" i="147"/>
  <c r="EC657" i="147"/>
  <c r="EC655" i="147"/>
  <c r="EC658" i="147"/>
  <c r="EC659" i="147"/>
  <c r="EC660" i="147"/>
  <c r="EC661" i="147"/>
  <c r="EC667" i="147"/>
  <c r="EC668" i="147"/>
  <c r="EC669" i="147"/>
  <c r="EC670" i="147"/>
  <c r="EC671" i="147"/>
  <c r="EC665" i="147"/>
  <c r="EC672" i="147"/>
  <c r="EC673" i="147"/>
  <c r="EC674" i="147"/>
  <c r="EC675" i="147"/>
  <c r="EC676" i="147"/>
  <c r="EC677" i="147"/>
  <c r="EC664" i="147"/>
  <c r="EC663" i="147"/>
  <c r="EC678" i="147"/>
  <c r="EC679" i="147"/>
  <c r="EC680" i="147"/>
  <c r="EC681" i="147"/>
  <c r="EC682" i="147"/>
  <c r="EC683" i="147"/>
  <c r="EC684" i="147"/>
  <c r="EC666" i="147"/>
  <c r="EC662" i="147"/>
  <c r="EC685" i="147"/>
  <c r="EC686" i="147"/>
  <c r="EC687" i="147"/>
  <c r="EC688" i="147"/>
  <c r="EC690" i="147"/>
  <c r="EC691" i="147"/>
  <c r="EC692" i="147"/>
  <c r="EC693" i="147"/>
  <c r="EC694" i="147"/>
  <c r="EC695" i="147"/>
  <c r="EC696" i="147"/>
  <c r="EC697" i="147"/>
  <c r="EC698" i="147"/>
  <c r="EC699" i="147"/>
  <c r="EC700" i="147"/>
  <c r="EC701" i="147"/>
  <c r="EC702" i="147"/>
  <c r="EC703" i="147"/>
  <c r="EC704" i="147"/>
  <c r="EC705" i="147"/>
  <c r="EC706" i="147"/>
  <c r="EC707" i="147"/>
  <c r="EC708" i="147"/>
  <c r="EC709" i="147"/>
  <c r="EC710" i="147"/>
  <c r="EC711" i="147"/>
  <c r="EC712" i="147"/>
  <c r="EC713" i="147"/>
  <c r="EC714" i="147"/>
  <c r="EC715" i="147"/>
  <c r="EC716" i="147"/>
  <c r="EC725" i="147"/>
  <c r="EC726" i="147"/>
  <c r="EC728" i="147"/>
  <c r="EC729" i="147"/>
  <c r="EC730" i="147"/>
  <c r="EC731" i="147"/>
  <c r="EC732" i="147"/>
  <c r="EC733" i="147"/>
  <c r="EC734" i="147"/>
  <c r="EC735" i="147"/>
  <c r="EC736" i="147"/>
  <c r="EC717" i="147"/>
  <c r="EC718" i="147"/>
  <c r="EC719" i="147"/>
  <c r="EC720" i="147"/>
  <c r="EC721" i="147"/>
  <c r="EC722" i="147"/>
  <c r="EC723" i="147"/>
  <c r="EC724" i="147"/>
  <c r="EC727" i="147"/>
  <c r="EO644" i="147"/>
  <c r="EO645" i="147"/>
  <c r="EO646" i="147"/>
  <c r="EO647" i="147"/>
  <c r="EO650" i="147"/>
  <c r="EO655" i="147"/>
  <c r="EO656" i="147"/>
  <c r="EO657" i="147"/>
  <c r="EO649" i="147"/>
  <c r="EO651" i="147"/>
  <c r="EO652" i="147"/>
  <c r="EO653" i="147"/>
  <c r="EO654" i="147"/>
  <c r="EO648" i="147"/>
  <c r="EO658" i="147"/>
  <c r="EO659" i="147"/>
  <c r="EO660" i="147"/>
  <c r="EO661" i="147"/>
  <c r="EO662" i="147"/>
  <c r="EO663" i="147"/>
  <c r="EO664" i="147"/>
  <c r="EO665" i="147"/>
  <c r="EO666" i="147"/>
  <c r="EO667" i="147"/>
  <c r="EO668" i="147"/>
  <c r="EO669" i="147"/>
  <c r="EO670" i="147"/>
  <c r="EO671" i="147"/>
  <c r="EO672" i="147"/>
  <c r="EO673" i="147"/>
  <c r="EO674" i="147"/>
  <c r="EO675" i="147"/>
  <c r="EO676" i="147"/>
  <c r="EO677" i="147"/>
  <c r="EO678" i="147"/>
  <c r="EO679" i="147"/>
  <c r="EO680" i="147"/>
  <c r="EO681" i="147"/>
  <c r="EO682" i="147"/>
  <c r="EO683" i="147"/>
  <c r="EO684" i="147"/>
  <c r="EO685" i="147"/>
  <c r="EO686" i="147"/>
  <c r="EO687" i="147"/>
  <c r="EO688" i="147"/>
  <c r="EO690" i="147"/>
  <c r="EO691" i="147"/>
  <c r="EO692" i="147"/>
  <c r="EO693" i="147"/>
  <c r="EO694" i="147"/>
  <c r="EO695" i="147"/>
  <c r="EO696" i="147"/>
  <c r="EO697" i="147"/>
  <c r="EO698" i="147"/>
  <c r="EO699" i="147"/>
  <c r="EO700" i="147"/>
  <c r="EO701" i="147"/>
  <c r="EO702" i="147"/>
  <c r="EO703" i="147"/>
  <c r="EO704" i="147"/>
  <c r="EO705" i="147"/>
  <c r="EO706" i="147"/>
  <c r="EO707" i="147"/>
  <c r="EO708" i="147"/>
  <c r="EO709" i="147"/>
  <c r="EO710" i="147"/>
  <c r="EO711" i="147"/>
  <c r="EO712" i="147"/>
  <c r="EO713" i="147"/>
  <c r="EO715" i="147"/>
  <c r="EO716" i="147"/>
  <c r="EO727" i="147"/>
  <c r="EO725" i="147"/>
  <c r="EO726" i="147"/>
  <c r="EO728" i="147"/>
  <c r="EO729" i="147"/>
  <c r="EO730" i="147"/>
  <c r="EO731" i="147"/>
  <c r="EO732" i="147"/>
  <c r="EO733" i="147"/>
  <c r="EO734" i="147"/>
  <c r="EO735" i="147"/>
  <c r="EO736" i="147"/>
  <c r="EO714" i="147"/>
  <c r="EO717" i="147"/>
  <c r="EO718" i="147"/>
  <c r="EO719" i="147"/>
  <c r="EO720" i="147"/>
  <c r="EO721" i="147"/>
  <c r="EO722" i="147"/>
  <c r="EO723" i="147"/>
  <c r="EO724" i="147"/>
  <c r="P644" i="147"/>
  <c r="P645" i="147"/>
  <c r="P646" i="147"/>
  <c r="P647" i="147"/>
  <c r="P648" i="147"/>
  <c r="P649" i="147"/>
  <c r="P650" i="147"/>
  <c r="P652" i="147"/>
  <c r="P653" i="147"/>
  <c r="P654" i="147"/>
  <c r="P655" i="147"/>
  <c r="P651" i="147"/>
  <c r="P656" i="147"/>
  <c r="P657" i="147"/>
  <c r="P658" i="147"/>
  <c r="P659" i="147"/>
  <c r="P660" i="147"/>
  <c r="P663" i="147"/>
  <c r="P664" i="147"/>
  <c r="P665" i="147"/>
  <c r="P666" i="147"/>
  <c r="P667" i="147"/>
  <c r="P662" i="147"/>
  <c r="P668" i="147"/>
  <c r="P669" i="147"/>
  <c r="P670" i="147"/>
  <c r="P671" i="147"/>
  <c r="P672" i="147"/>
  <c r="P661" i="147"/>
  <c r="P673" i="147"/>
  <c r="P674" i="147"/>
  <c r="P675" i="147"/>
  <c r="P676" i="147"/>
  <c r="P677" i="147"/>
  <c r="P682" i="147"/>
  <c r="P683" i="147"/>
  <c r="P684" i="147"/>
  <c r="P686" i="147"/>
  <c r="P687" i="147"/>
  <c r="P688" i="147"/>
  <c r="P690" i="147"/>
  <c r="P691" i="147"/>
  <c r="P692" i="147"/>
  <c r="P693" i="147"/>
  <c r="P685" i="147"/>
  <c r="P694" i="147"/>
  <c r="P695" i="147"/>
  <c r="P696" i="147"/>
  <c r="P697" i="147"/>
  <c r="P698" i="147"/>
  <c r="P699" i="147"/>
  <c r="P700" i="147"/>
  <c r="P701" i="147"/>
  <c r="P702" i="147"/>
  <c r="P703" i="147"/>
  <c r="P704" i="147"/>
  <c r="P705" i="147"/>
  <c r="P706" i="147"/>
  <c r="P707" i="147"/>
  <c r="P708" i="147"/>
  <c r="P709" i="147"/>
  <c r="P710" i="147"/>
  <c r="P711" i="147"/>
  <c r="P712" i="147"/>
  <c r="P713" i="147"/>
  <c r="P714" i="147"/>
  <c r="P715" i="147"/>
  <c r="P717" i="147"/>
  <c r="P718" i="147"/>
  <c r="P719" i="147"/>
  <c r="P720" i="147"/>
  <c r="P721" i="147"/>
  <c r="P722" i="147"/>
  <c r="P723" i="147"/>
  <c r="P724" i="147"/>
  <c r="P725" i="147"/>
  <c r="P726" i="147"/>
  <c r="P727" i="147"/>
  <c r="P728" i="147"/>
  <c r="P716" i="147"/>
  <c r="P731" i="147"/>
  <c r="P730" i="147"/>
  <c r="P729" i="147"/>
  <c r="P732" i="147"/>
  <c r="P733" i="147"/>
  <c r="P734" i="147"/>
  <c r="P735" i="147"/>
  <c r="P736" i="147"/>
  <c r="AG649" i="147"/>
  <c r="AG650" i="147"/>
  <c r="AG651" i="147"/>
  <c r="AG652" i="147"/>
  <c r="AG653" i="147"/>
  <c r="AG654" i="147"/>
  <c r="AG655" i="147"/>
  <c r="AG645" i="147"/>
  <c r="AG656" i="147"/>
  <c r="AG657" i="147"/>
  <c r="AG658" i="147"/>
  <c r="AG647" i="147"/>
  <c r="AG646" i="147"/>
  <c r="AG648" i="147"/>
  <c r="AG644" i="147"/>
  <c r="AG659" i="147"/>
  <c r="AG660" i="147"/>
  <c r="AG661" i="147"/>
  <c r="AG662" i="147"/>
  <c r="AG663" i="147"/>
  <c r="AG664" i="147"/>
  <c r="AG665" i="147"/>
  <c r="AG666" i="147"/>
  <c r="AG667" i="147"/>
  <c r="AG668" i="147"/>
  <c r="AG669" i="147"/>
  <c r="AG670" i="147"/>
  <c r="AG671" i="147"/>
  <c r="AG672" i="147"/>
  <c r="AG673" i="147"/>
  <c r="AG674" i="147"/>
  <c r="AG675" i="147"/>
  <c r="AG676" i="147"/>
  <c r="AG677" i="147"/>
  <c r="AG678" i="147"/>
  <c r="AG679" i="147"/>
  <c r="AG680" i="147"/>
  <c r="AG681" i="147"/>
  <c r="AG682" i="147"/>
  <c r="AG683" i="147"/>
  <c r="AG684" i="147"/>
  <c r="AG685" i="147"/>
  <c r="AG694" i="147"/>
  <c r="AG686" i="147"/>
  <c r="AG687" i="147"/>
  <c r="AG688" i="147"/>
  <c r="AG690" i="147"/>
  <c r="AG691" i="147"/>
  <c r="AG693" i="147"/>
  <c r="AG695" i="147"/>
  <c r="AG696" i="147"/>
  <c r="AG697" i="147"/>
  <c r="AG698" i="147"/>
  <c r="AG699" i="147"/>
  <c r="AG700" i="147"/>
  <c r="AG701" i="147"/>
  <c r="AG702" i="147"/>
  <c r="AG692" i="147"/>
  <c r="AG703" i="147"/>
  <c r="AG705" i="147"/>
  <c r="AG706" i="147"/>
  <c r="AG707" i="147"/>
  <c r="AG708" i="147"/>
  <c r="AG709" i="147"/>
  <c r="AG710" i="147"/>
  <c r="AG711" i="147"/>
  <c r="AG712" i="147"/>
  <c r="AG713" i="147"/>
  <c r="AG714" i="147"/>
  <c r="AG715" i="147"/>
  <c r="AG716" i="147"/>
  <c r="AG717" i="147"/>
  <c r="AG718" i="147"/>
  <c r="AG719" i="147"/>
  <c r="AG720" i="147"/>
  <c r="AG721" i="147"/>
  <c r="AG722" i="147"/>
  <c r="AG723" i="147"/>
  <c r="AG724" i="147"/>
  <c r="AG725" i="147"/>
  <c r="AG726" i="147"/>
  <c r="AG727" i="147"/>
  <c r="AG728" i="147"/>
  <c r="AG704" i="147"/>
  <c r="AG729" i="147"/>
  <c r="AG730" i="147"/>
  <c r="AG731" i="147"/>
  <c r="AG732" i="147"/>
  <c r="AG733" i="147"/>
  <c r="AG734" i="147"/>
  <c r="AG735" i="147"/>
  <c r="AG736" i="147"/>
  <c r="AS651" i="147"/>
  <c r="AS652" i="147"/>
  <c r="AS653" i="147"/>
  <c r="AS654" i="147"/>
  <c r="AS655" i="147"/>
  <c r="AS656" i="147"/>
  <c r="AS657" i="147"/>
  <c r="AS658" i="147"/>
  <c r="AS645" i="147"/>
  <c r="AS644" i="147"/>
  <c r="AS648" i="147"/>
  <c r="AS650" i="147"/>
  <c r="AS647" i="147"/>
  <c r="AS649" i="147"/>
  <c r="AS646" i="147"/>
  <c r="AS662" i="147"/>
  <c r="AS663" i="147"/>
  <c r="AS664" i="147"/>
  <c r="AS665" i="147"/>
  <c r="AS666" i="147"/>
  <c r="AS659" i="147"/>
  <c r="AS660" i="147"/>
  <c r="AS661" i="147"/>
  <c r="AS667" i="147"/>
  <c r="AS668" i="147"/>
  <c r="AS669" i="147"/>
  <c r="AS670" i="147"/>
  <c r="AS671" i="147"/>
  <c r="AS672" i="147"/>
  <c r="AS678" i="147"/>
  <c r="AS679" i="147"/>
  <c r="AS680" i="147"/>
  <c r="AS681" i="147"/>
  <c r="AS682" i="147"/>
  <c r="AS683" i="147"/>
  <c r="AS684" i="147"/>
  <c r="AS673" i="147"/>
  <c r="AS674" i="147"/>
  <c r="AS675" i="147"/>
  <c r="AS676" i="147"/>
  <c r="AS677" i="147"/>
  <c r="AS685" i="147"/>
  <c r="AS686" i="147"/>
  <c r="AS687" i="147"/>
  <c r="AS688" i="147"/>
  <c r="AS690" i="147"/>
  <c r="AS691" i="147"/>
  <c r="AS692" i="147"/>
  <c r="AS694" i="147"/>
  <c r="AS705" i="147"/>
  <c r="AS695" i="147"/>
  <c r="AS696" i="147"/>
  <c r="AS697" i="147"/>
  <c r="AS698" i="147"/>
  <c r="AS699" i="147"/>
  <c r="AS700" i="147"/>
  <c r="AS701" i="147"/>
  <c r="AS702" i="147"/>
  <c r="AS704" i="147"/>
  <c r="AS693" i="147"/>
  <c r="AS706" i="147"/>
  <c r="AS707" i="147"/>
  <c r="AS708" i="147"/>
  <c r="AS709" i="147"/>
  <c r="AS710" i="147"/>
  <c r="AS711" i="147"/>
  <c r="AS712" i="147"/>
  <c r="AS713" i="147"/>
  <c r="AS714" i="147"/>
  <c r="AS715" i="147"/>
  <c r="AS716" i="147"/>
  <c r="AS717" i="147"/>
  <c r="AS718" i="147"/>
  <c r="AS719" i="147"/>
  <c r="AS720" i="147"/>
  <c r="AS721" i="147"/>
  <c r="AS722" i="147"/>
  <c r="AS723" i="147"/>
  <c r="AS724" i="147"/>
  <c r="AS725" i="147"/>
  <c r="AS726" i="147"/>
  <c r="AS727" i="147"/>
  <c r="AS728" i="147"/>
  <c r="AS703" i="147"/>
  <c r="AS729" i="147"/>
  <c r="AS730" i="147"/>
  <c r="AS731" i="147"/>
  <c r="AS732" i="147"/>
  <c r="AS733" i="147"/>
  <c r="AS734" i="147"/>
  <c r="AS735" i="147"/>
  <c r="AS736" i="147"/>
  <c r="BE651" i="147"/>
  <c r="BE652" i="147"/>
  <c r="BE653" i="147"/>
  <c r="BE654" i="147"/>
  <c r="BE646" i="147"/>
  <c r="BE656" i="147"/>
  <c r="BE657" i="147"/>
  <c r="BE658" i="147"/>
  <c r="BE644" i="147"/>
  <c r="BE648" i="147"/>
  <c r="BE650" i="147"/>
  <c r="BE647" i="147"/>
  <c r="BE649" i="147"/>
  <c r="BE660" i="147"/>
  <c r="BE662" i="147"/>
  <c r="BE645" i="147"/>
  <c r="BE661" i="147"/>
  <c r="BE663" i="147"/>
  <c r="BE664" i="147"/>
  <c r="BE665" i="147"/>
  <c r="BE666" i="147"/>
  <c r="BE655" i="147"/>
  <c r="BE659" i="147"/>
  <c r="BE672" i="147"/>
  <c r="BE667" i="147"/>
  <c r="BE668" i="147"/>
  <c r="BE669" i="147"/>
  <c r="BE670" i="147"/>
  <c r="BE671" i="147"/>
  <c r="BE673" i="147"/>
  <c r="BE674" i="147"/>
  <c r="BE675" i="147"/>
  <c r="BE676" i="147"/>
  <c r="BE677" i="147"/>
  <c r="BE678" i="147"/>
  <c r="BE679" i="147"/>
  <c r="BE680" i="147"/>
  <c r="BE681" i="147"/>
  <c r="BE682" i="147"/>
  <c r="BE683" i="147"/>
  <c r="BE684" i="147"/>
  <c r="BE693" i="147"/>
  <c r="BE692" i="147"/>
  <c r="BE704" i="147"/>
  <c r="BE703" i="147"/>
  <c r="BE687" i="147"/>
  <c r="BE691" i="147"/>
  <c r="BE685" i="147"/>
  <c r="BE688" i="147"/>
  <c r="BE705" i="147"/>
  <c r="BE706" i="147"/>
  <c r="BE707" i="147"/>
  <c r="BE708" i="147"/>
  <c r="BE709" i="147"/>
  <c r="BE710" i="147"/>
  <c r="BE711" i="147"/>
  <c r="BE712" i="147"/>
  <c r="BE713" i="147"/>
  <c r="BE714" i="147"/>
  <c r="BE715" i="147"/>
  <c r="BE716" i="147"/>
  <c r="BE686" i="147"/>
  <c r="BE690" i="147"/>
  <c r="BE717" i="147"/>
  <c r="BE718" i="147"/>
  <c r="BE719" i="147"/>
  <c r="BE720" i="147"/>
  <c r="BE721" i="147"/>
  <c r="BE722" i="147"/>
  <c r="BE723" i="147"/>
  <c r="BE724" i="147"/>
  <c r="BE725" i="147"/>
  <c r="BE726" i="147"/>
  <c r="BE727" i="147"/>
  <c r="BE728" i="147"/>
  <c r="BE696" i="147"/>
  <c r="BE699" i="147"/>
  <c r="BE702" i="147"/>
  <c r="BE694" i="147"/>
  <c r="BE697" i="147"/>
  <c r="BE700" i="147"/>
  <c r="BE695" i="147"/>
  <c r="BE698" i="147"/>
  <c r="BE701" i="147"/>
  <c r="BE729" i="147"/>
  <c r="BE730" i="147"/>
  <c r="BE731" i="147"/>
  <c r="BE732" i="147"/>
  <c r="BE733" i="147"/>
  <c r="BE734" i="147"/>
  <c r="BE735" i="147"/>
  <c r="BE736" i="147"/>
  <c r="BT644" i="147"/>
  <c r="BT645" i="147"/>
  <c r="BT646" i="147"/>
  <c r="BT647" i="147"/>
  <c r="BT648" i="147"/>
  <c r="BT651" i="147"/>
  <c r="BT652" i="147"/>
  <c r="BT653" i="147"/>
  <c r="BT654" i="147"/>
  <c r="BT655" i="147"/>
  <c r="BT649" i="147"/>
  <c r="BT650" i="147"/>
  <c r="BT658" i="147"/>
  <c r="BT659" i="147"/>
  <c r="BT660" i="147"/>
  <c r="BT661" i="147"/>
  <c r="BT657" i="147"/>
  <c r="BT662" i="147"/>
  <c r="BT663" i="147"/>
  <c r="BT664" i="147"/>
  <c r="BT665" i="147"/>
  <c r="BT666" i="147"/>
  <c r="BT656" i="147"/>
  <c r="BT667" i="147"/>
  <c r="BT668" i="147"/>
  <c r="BT669" i="147"/>
  <c r="BT670" i="147"/>
  <c r="BT671" i="147"/>
  <c r="BT673" i="147"/>
  <c r="BT674" i="147"/>
  <c r="BT675" i="147"/>
  <c r="BT676" i="147"/>
  <c r="BT677" i="147"/>
  <c r="BT672" i="147"/>
  <c r="BT678" i="147"/>
  <c r="BT683" i="147"/>
  <c r="BT684" i="147"/>
  <c r="BT685" i="147"/>
  <c r="BT686" i="147"/>
  <c r="BT687" i="147"/>
  <c r="BT688" i="147"/>
  <c r="BT690" i="147"/>
  <c r="BT691" i="147"/>
  <c r="BT679" i="147"/>
  <c r="BT680" i="147"/>
  <c r="BT681" i="147"/>
  <c r="BT682" i="147"/>
  <c r="BT694" i="147"/>
  <c r="BT695" i="147"/>
  <c r="BT696" i="147"/>
  <c r="BT697" i="147"/>
  <c r="BT698" i="147"/>
  <c r="BT699" i="147"/>
  <c r="BT700" i="147"/>
  <c r="BT701" i="147"/>
  <c r="BT702" i="147"/>
  <c r="BT692" i="147"/>
  <c r="BT693" i="147"/>
  <c r="BT706" i="147"/>
  <c r="BT707" i="147"/>
  <c r="BT708" i="147"/>
  <c r="BT709" i="147"/>
  <c r="BT710" i="147"/>
  <c r="BT711" i="147"/>
  <c r="BT712" i="147"/>
  <c r="BT713" i="147"/>
  <c r="BT714" i="147"/>
  <c r="BT715" i="147"/>
  <c r="BT716" i="147"/>
  <c r="BT705" i="147"/>
  <c r="BT703" i="147"/>
  <c r="BT704" i="147"/>
  <c r="BT717" i="147"/>
  <c r="BT718" i="147"/>
  <c r="BT719" i="147"/>
  <c r="BT720" i="147"/>
  <c r="BT721" i="147"/>
  <c r="BT722" i="147"/>
  <c r="BT723" i="147"/>
  <c r="BT724" i="147"/>
  <c r="BT725" i="147"/>
  <c r="BT726" i="147"/>
  <c r="BT727" i="147"/>
  <c r="BT728" i="147"/>
  <c r="BT729" i="147"/>
  <c r="BT730" i="147"/>
  <c r="BT731" i="147"/>
  <c r="BT732" i="147"/>
  <c r="BT733" i="147"/>
  <c r="BT734" i="147"/>
  <c r="BT735" i="147"/>
  <c r="BT736" i="147"/>
  <c r="CF644" i="147"/>
  <c r="CF645" i="147"/>
  <c r="CF646" i="147"/>
  <c r="CF647" i="147"/>
  <c r="CF648" i="147"/>
  <c r="CF651" i="147"/>
  <c r="CF652" i="147"/>
  <c r="CF653" i="147"/>
  <c r="CF654" i="147"/>
  <c r="CF655" i="147"/>
  <c r="CF649" i="147"/>
  <c r="CF650" i="147"/>
  <c r="CF659" i="147"/>
  <c r="CF660" i="147"/>
  <c r="CF661" i="147"/>
  <c r="CF656" i="147"/>
  <c r="CF657" i="147"/>
  <c r="CF658" i="147"/>
  <c r="CF662" i="147"/>
  <c r="CF663" i="147"/>
  <c r="CF664" i="147"/>
  <c r="CF665" i="147"/>
  <c r="CF666" i="147"/>
  <c r="CF667" i="147"/>
  <c r="CF672" i="147"/>
  <c r="CF675" i="147"/>
  <c r="CF676" i="147"/>
  <c r="CF677" i="147"/>
  <c r="CF687" i="147"/>
  <c r="CF688" i="147"/>
  <c r="CF690" i="147"/>
  <c r="CF691" i="147"/>
  <c r="CF683" i="147"/>
  <c r="CF681" i="147"/>
  <c r="CF682" i="147"/>
  <c r="CF695" i="147"/>
  <c r="CF696" i="147"/>
  <c r="CF698" i="147"/>
  <c r="CF699" i="147"/>
  <c r="CF700" i="147"/>
  <c r="CF701" i="147"/>
  <c r="CF702" i="147"/>
  <c r="CF706" i="147"/>
  <c r="CF707" i="147"/>
  <c r="CF708" i="147"/>
  <c r="CF709" i="147"/>
  <c r="CF710" i="147"/>
  <c r="CF711" i="147"/>
  <c r="CF712" i="147"/>
  <c r="CF713" i="147"/>
  <c r="CF714" i="147"/>
  <c r="CF715" i="147"/>
  <c r="CF716" i="147"/>
  <c r="CF703" i="147"/>
  <c r="CF704" i="147"/>
  <c r="CF705" i="147"/>
  <c r="CF717" i="147"/>
  <c r="CF718" i="147"/>
  <c r="CF719" i="147"/>
  <c r="CF720" i="147"/>
  <c r="CF721" i="147"/>
  <c r="CF722" i="147"/>
  <c r="CF723" i="147"/>
  <c r="CF724" i="147"/>
  <c r="CF725" i="147"/>
  <c r="CF726" i="147"/>
  <c r="CF727" i="147"/>
  <c r="CF729" i="147"/>
  <c r="CF730" i="147"/>
  <c r="CF731" i="147"/>
  <c r="CF732" i="147"/>
  <c r="CF733" i="147"/>
  <c r="CF734" i="147"/>
  <c r="CF735" i="147"/>
  <c r="CF736" i="147"/>
  <c r="CF728" i="147"/>
  <c r="CF697" i="147"/>
  <c r="CR644" i="147"/>
  <c r="CR645" i="147"/>
  <c r="CR646" i="147"/>
  <c r="CR647" i="147"/>
  <c r="CR648" i="147"/>
  <c r="CR651" i="147"/>
  <c r="CR655" i="147"/>
  <c r="CR650" i="147"/>
  <c r="CR649" i="147"/>
  <c r="CR659" i="147"/>
  <c r="CR660" i="147"/>
  <c r="CR661" i="147"/>
  <c r="CR658" i="147"/>
  <c r="CR656" i="147"/>
  <c r="CR657" i="147"/>
  <c r="CR663" i="147"/>
  <c r="CR664" i="147"/>
  <c r="CR665" i="147"/>
  <c r="CR666" i="147"/>
  <c r="CR662" i="147"/>
  <c r="CR667" i="147"/>
  <c r="CR668" i="147"/>
  <c r="CR669" i="147"/>
  <c r="CR670" i="147"/>
  <c r="CR671" i="147"/>
  <c r="CR672" i="147"/>
  <c r="CR673" i="147"/>
  <c r="CR674" i="147"/>
  <c r="CR675" i="147"/>
  <c r="CR676" i="147"/>
  <c r="CR677" i="147"/>
  <c r="CR678" i="147"/>
  <c r="CR684" i="147"/>
  <c r="CR685" i="147"/>
  <c r="CR686" i="147"/>
  <c r="CR687" i="147"/>
  <c r="CR688" i="147"/>
  <c r="CR690" i="147"/>
  <c r="CR691" i="147"/>
  <c r="CR683" i="147"/>
  <c r="CR679" i="147"/>
  <c r="CR680" i="147"/>
  <c r="CR681" i="147"/>
  <c r="CR682" i="147"/>
  <c r="CR694" i="147"/>
  <c r="CR695" i="147"/>
  <c r="CR696" i="147"/>
  <c r="CR697" i="147"/>
  <c r="CR698" i="147"/>
  <c r="CR699" i="147"/>
  <c r="CR700" i="147"/>
  <c r="CR701" i="147"/>
  <c r="CR693" i="147"/>
  <c r="CR692" i="147"/>
  <c r="CR706" i="147"/>
  <c r="CR707" i="147"/>
  <c r="CR708" i="147"/>
  <c r="CR709" i="147"/>
  <c r="CR710" i="147"/>
  <c r="CR711" i="147"/>
  <c r="CR712" i="147"/>
  <c r="CR713" i="147"/>
  <c r="CR714" i="147"/>
  <c r="CR715" i="147"/>
  <c r="CR716" i="147"/>
  <c r="CR703" i="147"/>
  <c r="CR704" i="147"/>
  <c r="CR705" i="147"/>
  <c r="CR702" i="147"/>
  <c r="CR717" i="147"/>
  <c r="CR718" i="147"/>
  <c r="CR719" i="147"/>
  <c r="CR720" i="147"/>
  <c r="CR721" i="147"/>
  <c r="CR722" i="147"/>
  <c r="CR723" i="147"/>
  <c r="CR724" i="147"/>
  <c r="CR725" i="147"/>
  <c r="CR726" i="147"/>
  <c r="CR727" i="147"/>
  <c r="CR728" i="147"/>
  <c r="CR729" i="147"/>
  <c r="CR730" i="147"/>
  <c r="CR731" i="147"/>
  <c r="CR732" i="147"/>
  <c r="CR733" i="147"/>
  <c r="CR734" i="147"/>
  <c r="CR735" i="147"/>
  <c r="CR736" i="147"/>
  <c r="DD644" i="147"/>
  <c r="DD645" i="147"/>
  <c r="DD646" i="147"/>
  <c r="DD647" i="147"/>
  <c r="DD648" i="147"/>
  <c r="DD651" i="147"/>
  <c r="DD652" i="147"/>
  <c r="DD653" i="147"/>
  <c r="DD654" i="147"/>
  <c r="DD655" i="147"/>
  <c r="DD649" i="147"/>
  <c r="DD650" i="147"/>
  <c r="DD656" i="147"/>
  <c r="DD657" i="147"/>
  <c r="DD659" i="147"/>
  <c r="DD660" i="147"/>
  <c r="DD661" i="147"/>
  <c r="DD658" i="147"/>
  <c r="DD663" i="147"/>
  <c r="DD664" i="147"/>
  <c r="DD665" i="147"/>
  <c r="DD666" i="147"/>
  <c r="DD662" i="147"/>
  <c r="DD667" i="147"/>
  <c r="DD668" i="147"/>
  <c r="DD669" i="147"/>
  <c r="DD670" i="147"/>
  <c r="DD671" i="147"/>
  <c r="DD672" i="147"/>
  <c r="DD673" i="147"/>
  <c r="DD674" i="147"/>
  <c r="DD675" i="147"/>
  <c r="DD676" i="147"/>
  <c r="DD677" i="147"/>
  <c r="DD678" i="147"/>
  <c r="DD685" i="147"/>
  <c r="DD686" i="147"/>
  <c r="DD687" i="147"/>
  <c r="DD688" i="147"/>
  <c r="DD690" i="147"/>
  <c r="DD691" i="147"/>
  <c r="DD684" i="147"/>
  <c r="DD683" i="147"/>
  <c r="DD694" i="147"/>
  <c r="DD695" i="147"/>
  <c r="DD696" i="147"/>
  <c r="DD697" i="147"/>
  <c r="DD698" i="147"/>
  <c r="DD699" i="147"/>
  <c r="DD700" i="147"/>
  <c r="DD701" i="147"/>
  <c r="DD679" i="147"/>
  <c r="DD692" i="147"/>
  <c r="DD681" i="147"/>
  <c r="DD682" i="147"/>
  <c r="DD706" i="147"/>
  <c r="DD707" i="147"/>
  <c r="DD708" i="147"/>
  <c r="DD709" i="147"/>
  <c r="DD710" i="147"/>
  <c r="DD711" i="147"/>
  <c r="DD712" i="147"/>
  <c r="DD713" i="147"/>
  <c r="DD714" i="147"/>
  <c r="DD715" i="147"/>
  <c r="DD716" i="147"/>
  <c r="DD680" i="147"/>
  <c r="DD702" i="147"/>
  <c r="DD703" i="147"/>
  <c r="DD704" i="147"/>
  <c r="DD717" i="147"/>
  <c r="DD718" i="147"/>
  <c r="DD719" i="147"/>
  <c r="DD720" i="147"/>
  <c r="DD721" i="147"/>
  <c r="DD722" i="147"/>
  <c r="DD723" i="147"/>
  <c r="DD724" i="147"/>
  <c r="DD725" i="147"/>
  <c r="DD726" i="147"/>
  <c r="DD727" i="147"/>
  <c r="DD693" i="147"/>
  <c r="DD705" i="147"/>
  <c r="DD728" i="147"/>
  <c r="DD729" i="147"/>
  <c r="DD730" i="147"/>
  <c r="DD731" i="147"/>
  <c r="DD732" i="147"/>
  <c r="DD733" i="147"/>
  <c r="DD734" i="147"/>
  <c r="DD735" i="147"/>
  <c r="DD736" i="147"/>
  <c r="DP644" i="147"/>
  <c r="DP645" i="147"/>
  <c r="DP646" i="147"/>
  <c r="DP647" i="147"/>
  <c r="DP648" i="147"/>
  <c r="DP649" i="147"/>
  <c r="DP651" i="147"/>
  <c r="DP652" i="147"/>
  <c r="DP653" i="147"/>
  <c r="DP654" i="147"/>
  <c r="DP655" i="147"/>
  <c r="DP650" i="147"/>
  <c r="DP658" i="147"/>
  <c r="DP659" i="147"/>
  <c r="DP660" i="147"/>
  <c r="DP661" i="147"/>
  <c r="DP656" i="147"/>
  <c r="DP657" i="147"/>
  <c r="DP662" i="147"/>
  <c r="DP663" i="147"/>
  <c r="DP664" i="147"/>
  <c r="DP665" i="147"/>
  <c r="DP666" i="147"/>
  <c r="DP667" i="147"/>
  <c r="DP668" i="147"/>
  <c r="DP669" i="147"/>
  <c r="DP670" i="147"/>
  <c r="DP671" i="147"/>
  <c r="DP672" i="147"/>
  <c r="DP673" i="147"/>
  <c r="DP674" i="147"/>
  <c r="DP675" i="147"/>
  <c r="DP676" i="147"/>
  <c r="DP677" i="147"/>
  <c r="DP678" i="147"/>
  <c r="DP685" i="147"/>
  <c r="DP686" i="147"/>
  <c r="DP687" i="147"/>
  <c r="DP688" i="147"/>
  <c r="DP690" i="147"/>
  <c r="DP691" i="147"/>
  <c r="DP683" i="147"/>
  <c r="DP684" i="147"/>
  <c r="DP679" i="147"/>
  <c r="DP680" i="147"/>
  <c r="DP681" i="147"/>
  <c r="DP682" i="147"/>
  <c r="DP694" i="147"/>
  <c r="DP695" i="147"/>
  <c r="DP696" i="147"/>
  <c r="DP697" i="147"/>
  <c r="DP698" i="147"/>
  <c r="DP699" i="147"/>
  <c r="DP700" i="147"/>
  <c r="DP701" i="147"/>
  <c r="DP693" i="147"/>
  <c r="DP692" i="147"/>
  <c r="DP706" i="147"/>
  <c r="DP707" i="147"/>
  <c r="DP708" i="147"/>
  <c r="DP709" i="147"/>
  <c r="DP710" i="147"/>
  <c r="DP711" i="147"/>
  <c r="DP712" i="147"/>
  <c r="DP713" i="147"/>
  <c r="DP714" i="147"/>
  <c r="DP715" i="147"/>
  <c r="DP716" i="147"/>
  <c r="DP702" i="147"/>
  <c r="DP705" i="147"/>
  <c r="DP703" i="147"/>
  <c r="DP704" i="147"/>
  <c r="DP717" i="147"/>
  <c r="DP718" i="147"/>
  <c r="DP719" i="147"/>
  <c r="DP720" i="147"/>
  <c r="DP721" i="147"/>
  <c r="DP722" i="147"/>
  <c r="DP723" i="147"/>
  <c r="DP724" i="147"/>
  <c r="DP725" i="147"/>
  <c r="DP726" i="147"/>
  <c r="DP727" i="147"/>
  <c r="DP728" i="147"/>
  <c r="DP729" i="147"/>
  <c r="DP730" i="147"/>
  <c r="DP731" i="147"/>
  <c r="DP732" i="147"/>
  <c r="DP733" i="147"/>
  <c r="DP734" i="147"/>
  <c r="DP735" i="147"/>
  <c r="DP736" i="147"/>
  <c r="ED644" i="147"/>
  <c r="ED645" i="147"/>
  <c r="ED646" i="147"/>
  <c r="ED647" i="147"/>
  <c r="ED649" i="147"/>
  <c r="ED651" i="147"/>
  <c r="ED652" i="147"/>
  <c r="ED653" i="147"/>
  <c r="ED654" i="147"/>
  <c r="ED648" i="147"/>
  <c r="ED655" i="147"/>
  <c r="ED656" i="147"/>
  <c r="ED657" i="147"/>
  <c r="ED650" i="147"/>
  <c r="ED658" i="147"/>
  <c r="ED659" i="147"/>
  <c r="ED660" i="147"/>
  <c r="ED661" i="147"/>
  <c r="ED667" i="147"/>
  <c r="ED668" i="147"/>
  <c r="ED669" i="147"/>
  <c r="ED670" i="147"/>
  <c r="ED671" i="147"/>
  <c r="ED665" i="147"/>
  <c r="ED672" i="147"/>
  <c r="ED673" i="147"/>
  <c r="ED674" i="147"/>
  <c r="ED675" i="147"/>
  <c r="ED676" i="147"/>
  <c r="ED663" i="147"/>
  <c r="ED678" i="147"/>
  <c r="ED679" i="147"/>
  <c r="ED680" i="147"/>
  <c r="ED681" i="147"/>
  <c r="ED682" i="147"/>
  <c r="ED666" i="147"/>
  <c r="ED662" i="147"/>
  <c r="ED664" i="147"/>
  <c r="ED677" i="147"/>
  <c r="ED684" i="147"/>
  <c r="ED685" i="147"/>
  <c r="ED686" i="147"/>
  <c r="ED687" i="147"/>
  <c r="ED688" i="147"/>
  <c r="ED690" i="147"/>
  <c r="ED691" i="147"/>
  <c r="ED692" i="147"/>
  <c r="ED693" i="147"/>
  <c r="ED683" i="147"/>
  <c r="ED694" i="147"/>
  <c r="ED695" i="147"/>
  <c r="ED696" i="147"/>
  <c r="ED697" i="147"/>
  <c r="ED698" i="147"/>
  <c r="ED699" i="147"/>
  <c r="ED700" i="147"/>
  <c r="ED701" i="147"/>
  <c r="ED702" i="147"/>
  <c r="ED703" i="147"/>
  <c r="ED704" i="147"/>
  <c r="ED705" i="147"/>
  <c r="ED706" i="147"/>
  <c r="ED707" i="147"/>
  <c r="ED708" i="147"/>
  <c r="ED709" i="147"/>
  <c r="ED710" i="147"/>
  <c r="ED711" i="147"/>
  <c r="ED712" i="147"/>
  <c r="ED713" i="147"/>
  <c r="ED714" i="147"/>
  <c r="ED715" i="147"/>
  <c r="ED716" i="147"/>
  <c r="ED717" i="147"/>
  <c r="ED718" i="147"/>
  <c r="ED719" i="147"/>
  <c r="ED720" i="147"/>
  <c r="ED721" i="147"/>
  <c r="ED722" i="147"/>
  <c r="ED723" i="147"/>
  <c r="ED724" i="147"/>
  <c r="ED725" i="147"/>
  <c r="ED726" i="147"/>
  <c r="ED727" i="147"/>
  <c r="ED728" i="147"/>
  <c r="ED729" i="147"/>
  <c r="ED730" i="147"/>
  <c r="ED731" i="147"/>
  <c r="ED732" i="147"/>
  <c r="ED733" i="147"/>
  <c r="ED734" i="147"/>
  <c r="ED735" i="147"/>
  <c r="ED736" i="147"/>
  <c r="EP648" i="147"/>
  <c r="EP649" i="147"/>
  <c r="EP650" i="147"/>
  <c r="EP646" i="147"/>
  <c r="EP645" i="147"/>
  <c r="EP644" i="147"/>
  <c r="EP651" i="147"/>
  <c r="EP652" i="147"/>
  <c r="EP653" i="147"/>
  <c r="EP654" i="147"/>
  <c r="EP658" i="147"/>
  <c r="EP659" i="147"/>
  <c r="EP660" i="147"/>
  <c r="EP661" i="147"/>
  <c r="EP647" i="147"/>
  <c r="EP655" i="147"/>
  <c r="EP656" i="147"/>
  <c r="EP657" i="147"/>
  <c r="EP662" i="147"/>
  <c r="EP663" i="147"/>
  <c r="EP664" i="147"/>
  <c r="EP665" i="147"/>
  <c r="EP666" i="147"/>
  <c r="EP667" i="147"/>
  <c r="EP668" i="147"/>
  <c r="EP669" i="147"/>
  <c r="EP670" i="147"/>
  <c r="EP671" i="147"/>
  <c r="EP672" i="147"/>
  <c r="EP673" i="147"/>
  <c r="EP674" i="147"/>
  <c r="EP675" i="147"/>
  <c r="EP676" i="147"/>
  <c r="EP678" i="147"/>
  <c r="EP679" i="147"/>
  <c r="EP680" i="147"/>
  <c r="EP681" i="147"/>
  <c r="EP682" i="147"/>
  <c r="EP677" i="147"/>
  <c r="EP685" i="147"/>
  <c r="EP686" i="147"/>
  <c r="EP687" i="147"/>
  <c r="EP688" i="147"/>
  <c r="EP690" i="147"/>
  <c r="EP691" i="147"/>
  <c r="EP692" i="147"/>
  <c r="EP693" i="147"/>
  <c r="EP683" i="147"/>
  <c r="EP684" i="147"/>
  <c r="EP694" i="147"/>
  <c r="EP695" i="147"/>
  <c r="EP696" i="147"/>
  <c r="EP697" i="147"/>
  <c r="EP698" i="147"/>
  <c r="EP699" i="147"/>
  <c r="EP700" i="147"/>
  <c r="EP701" i="147"/>
  <c r="EP702" i="147"/>
  <c r="EP703" i="147"/>
  <c r="EP704" i="147"/>
  <c r="EP705" i="147"/>
  <c r="EP706" i="147"/>
  <c r="EP707" i="147"/>
  <c r="EP708" i="147"/>
  <c r="EP709" i="147"/>
  <c r="EP710" i="147"/>
  <c r="EP711" i="147"/>
  <c r="EP712" i="147"/>
  <c r="EP713" i="147"/>
  <c r="EP714" i="147"/>
  <c r="EP715" i="147"/>
  <c r="EP716" i="147"/>
  <c r="EP717" i="147"/>
  <c r="EP718" i="147"/>
  <c r="EP719" i="147"/>
  <c r="EP720" i="147"/>
  <c r="EP721" i="147"/>
  <c r="EP722" i="147"/>
  <c r="EP723" i="147"/>
  <c r="EP724" i="147"/>
  <c r="EP725" i="147"/>
  <c r="EP726" i="147"/>
  <c r="EP727" i="147"/>
  <c r="EP728" i="147"/>
  <c r="EP729" i="147"/>
  <c r="EP730" i="147"/>
  <c r="EP731" i="147"/>
  <c r="EP732" i="147"/>
  <c r="EP733" i="147"/>
  <c r="EP734" i="147"/>
  <c r="EP735" i="147"/>
  <c r="EP736" i="147"/>
  <c r="Q644" i="147"/>
  <c r="Q645" i="147"/>
  <c r="Q646" i="147"/>
  <c r="Q647" i="147"/>
  <c r="Q648" i="147"/>
  <c r="Q649" i="147"/>
  <c r="Q650" i="147"/>
  <c r="Q651" i="147"/>
  <c r="Q656" i="147"/>
  <c r="Q657" i="147"/>
  <c r="Q658" i="147"/>
  <c r="Q655" i="147"/>
  <c r="Q654" i="147"/>
  <c r="Q653" i="147"/>
  <c r="Q652" i="147"/>
  <c r="Q659" i="147"/>
  <c r="Q660" i="147"/>
  <c r="Q661" i="147"/>
  <c r="Q663" i="147"/>
  <c r="Q664" i="147"/>
  <c r="Q665" i="147"/>
  <c r="Q666" i="147"/>
  <c r="Q667" i="147"/>
  <c r="Q662" i="147"/>
  <c r="Q668" i="147"/>
  <c r="Q669" i="147"/>
  <c r="Q670" i="147"/>
  <c r="Q671" i="147"/>
  <c r="Q672" i="147"/>
  <c r="Q673" i="147"/>
  <c r="Q674" i="147"/>
  <c r="Q675" i="147"/>
  <c r="Q676" i="147"/>
  <c r="Q677" i="147"/>
  <c r="Q678" i="147"/>
  <c r="Q679" i="147"/>
  <c r="Q680" i="147"/>
  <c r="Q681" i="147"/>
  <c r="Q682" i="147"/>
  <c r="Q683" i="147"/>
  <c r="Q686" i="147"/>
  <c r="Q687" i="147"/>
  <c r="Q688" i="147"/>
  <c r="Q690" i="147"/>
  <c r="Q691" i="147"/>
  <c r="Q694" i="147"/>
  <c r="Q684" i="147"/>
  <c r="Q695" i="147"/>
  <c r="Q696" i="147"/>
  <c r="Q697" i="147"/>
  <c r="Q698" i="147"/>
  <c r="Q699" i="147"/>
  <c r="Q700" i="147"/>
  <c r="Q701" i="147"/>
  <c r="Q702" i="147"/>
  <c r="Q703" i="147"/>
  <c r="Q693" i="147"/>
  <c r="Q692" i="147"/>
  <c r="Q705" i="147"/>
  <c r="Q685" i="147"/>
  <c r="Q706" i="147"/>
  <c r="Q707" i="147"/>
  <c r="Q708" i="147"/>
  <c r="Q709" i="147"/>
  <c r="Q710" i="147"/>
  <c r="Q711" i="147"/>
  <c r="Q712" i="147"/>
  <c r="Q713" i="147"/>
  <c r="Q714" i="147"/>
  <c r="Q715" i="147"/>
  <c r="Q716" i="147"/>
  <c r="Q704" i="147"/>
  <c r="Q717" i="147"/>
  <c r="Q718" i="147"/>
  <c r="Q719" i="147"/>
  <c r="Q720" i="147"/>
  <c r="Q721" i="147"/>
  <c r="Q722" i="147"/>
  <c r="Q723" i="147"/>
  <c r="Q724" i="147"/>
  <c r="Q725" i="147"/>
  <c r="Q726" i="147"/>
  <c r="Q727" i="147"/>
  <c r="Q728" i="147"/>
  <c r="Q729" i="147"/>
  <c r="Q730" i="147"/>
  <c r="Q731" i="147"/>
  <c r="Q732" i="147"/>
  <c r="Q733" i="147"/>
  <c r="Q734" i="147"/>
  <c r="Q735" i="147"/>
  <c r="Q736" i="147"/>
  <c r="AH644" i="147"/>
  <c r="AH645" i="147"/>
  <c r="AH646" i="147"/>
  <c r="AH647" i="147"/>
  <c r="AH648" i="147"/>
  <c r="AH649" i="147"/>
  <c r="AH650" i="147"/>
  <c r="AH656" i="147"/>
  <c r="AH657" i="147"/>
  <c r="AH658" i="147"/>
  <c r="AH655" i="147"/>
  <c r="AH653" i="147"/>
  <c r="AH652" i="147"/>
  <c r="AH651" i="147"/>
  <c r="AH663" i="147"/>
  <c r="AH664" i="147"/>
  <c r="AH665" i="147"/>
  <c r="AH666" i="147"/>
  <c r="AH667" i="147"/>
  <c r="AH654" i="147"/>
  <c r="AH662" i="147"/>
  <c r="AH660" i="147"/>
  <c r="AH661" i="147"/>
  <c r="AH659" i="147"/>
  <c r="AH668" i="147"/>
  <c r="AH669" i="147"/>
  <c r="AH670" i="147"/>
  <c r="AH671" i="147"/>
  <c r="AH672" i="147"/>
  <c r="AH673" i="147"/>
  <c r="AH674" i="147"/>
  <c r="AH675" i="147"/>
  <c r="AH676" i="147"/>
  <c r="AH677" i="147"/>
  <c r="AH679" i="147"/>
  <c r="AH680" i="147"/>
  <c r="AH681" i="147"/>
  <c r="AH682" i="147"/>
  <c r="AH683" i="147"/>
  <c r="AH684" i="147"/>
  <c r="AH685" i="147"/>
  <c r="AH686" i="147"/>
  <c r="AH687" i="147"/>
  <c r="AH688" i="147"/>
  <c r="AH690" i="147"/>
  <c r="AH691" i="147"/>
  <c r="AH692" i="147"/>
  <c r="AH693" i="147"/>
  <c r="AH695" i="147"/>
  <c r="AH696" i="147"/>
  <c r="AH697" i="147"/>
  <c r="AH698" i="147"/>
  <c r="AH699" i="147"/>
  <c r="AH700" i="147"/>
  <c r="AH701" i="147"/>
  <c r="AH702" i="147"/>
  <c r="AH703" i="147"/>
  <c r="AH704" i="147"/>
  <c r="AH705" i="147"/>
  <c r="AH717" i="147"/>
  <c r="AH718" i="147"/>
  <c r="AH719" i="147"/>
  <c r="AH720" i="147"/>
  <c r="AH721" i="147"/>
  <c r="AH722" i="147"/>
  <c r="AH723" i="147"/>
  <c r="AH724" i="147"/>
  <c r="AH725" i="147"/>
  <c r="AH714" i="147"/>
  <c r="AH715" i="147"/>
  <c r="AH707" i="147"/>
  <c r="AH710" i="147"/>
  <c r="AH713" i="147"/>
  <c r="AH731" i="147"/>
  <c r="AH726" i="147"/>
  <c r="AH727" i="147"/>
  <c r="AH728" i="147"/>
  <c r="AH708" i="147"/>
  <c r="AH711" i="147"/>
  <c r="AH729" i="147"/>
  <c r="AH730" i="147"/>
  <c r="AH732" i="147"/>
  <c r="AH716" i="147"/>
  <c r="AH706" i="147"/>
  <c r="AH709" i="147"/>
  <c r="AH712" i="147"/>
  <c r="AH735" i="147"/>
  <c r="AH734" i="147"/>
  <c r="AH736" i="147"/>
  <c r="AH733" i="147"/>
  <c r="AT644" i="147"/>
  <c r="AT645" i="147"/>
  <c r="AT646" i="147"/>
  <c r="AT647" i="147"/>
  <c r="AT648" i="147"/>
  <c r="AT649" i="147"/>
  <c r="AT650" i="147"/>
  <c r="AT656" i="147"/>
  <c r="AT657" i="147"/>
  <c r="AT658" i="147"/>
  <c r="AT651" i="147"/>
  <c r="AT652" i="147"/>
  <c r="AT653" i="147"/>
  <c r="AT654" i="147"/>
  <c r="AT655" i="147"/>
  <c r="AT662" i="147"/>
  <c r="AT663" i="147"/>
  <c r="AT664" i="147"/>
  <c r="AT665" i="147"/>
  <c r="AT666" i="147"/>
  <c r="AT667" i="147"/>
  <c r="AT659" i="147"/>
  <c r="AT660" i="147"/>
  <c r="AT661" i="147"/>
  <c r="AT668" i="147"/>
  <c r="AT669" i="147"/>
  <c r="AT670" i="147"/>
  <c r="AT671" i="147"/>
  <c r="AT672" i="147"/>
  <c r="AT673" i="147"/>
  <c r="AT674" i="147"/>
  <c r="AT675" i="147"/>
  <c r="AT676" i="147"/>
  <c r="AT677" i="147"/>
  <c r="AT678" i="147"/>
  <c r="AT679" i="147"/>
  <c r="AT680" i="147"/>
  <c r="AT681" i="147"/>
  <c r="AT682" i="147"/>
  <c r="AT683" i="147"/>
  <c r="AT684" i="147"/>
  <c r="AT685" i="147"/>
  <c r="AT686" i="147"/>
  <c r="AT687" i="147"/>
  <c r="AT688" i="147"/>
  <c r="AT690" i="147"/>
  <c r="AT691" i="147"/>
  <c r="AT694" i="147"/>
  <c r="AT693" i="147"/>
  <c r="AT695" i="147"/>
  <c r="AT696" i="147"/>
  <c r="AT699" i="147"/>
  <c r="AT700" i="147"/>
  <c r="AT701" i="147"/>
  <c r="AT702" i="147"/>
  <c r="AT703" i="147"/>
  <c r="AT704" i="147"/>
  <c r="AT705" i="147"/>
  <c r="AT692" i="147"/>
  <c r="AT717" i="147"/>
  <c r="AT718" i="147"/>
  <c r="AT719" i="147"/>
  <c r="AT720" i="147"/>
  <c r="AT721" i="147"/>
  <c r="AT722" i="147"/>
  <c r="AT723" i="147"/>
  <c r="AT724" i="147"/>
  <c r="AT725" i="147"/>
  <c r="AT716" i="147"/>
  <c r="AT706" i="147"/>
  <c r="AT707" i="147"/>
  <c r="AT708" i="147"/>
  <c r="AT709" i="147"/>
  <c r="AT710" i="147"/>
  <c r="AT711" i="147"/>
  <c r="AT712" i="147"/>
  <c r="AT713" i="147"/>
  <c r="AT714" i="147"/>
  <c r="AT715" i="147"/>
  <c r="AT731" i="147"/>
  <c r="AT726" i="147"/>
  <c r="AT729" i="147"/>
  <c r="AT730" i="147"/>
  <c r="AT727" i="147"/>
  <c r="AT728" i="147"/>
  <c r="AT732" i="147"/>
  <c r="AT733" i="147"/>
  <c r="AT734" i="147"/>
  <c r="AT735" i="147"/>
  <c r="AT736" i="147"/>
  <c r="AT698" i="147"/>
  <c r="AT697" i="147"/>
  <c r="BI644" i="147"/>
  <c r="BI645" i="147"/>
  <c r="BI646" i="147"/>
  <c r="BI647" i="147"/>
  <c r="BI648" i="147"/>
  <c r="BI649" i="147"/>
  <c r="BI650" i="147"/>
  <c r="BI656" i="147"/>
  <c r="BI657" i="147"/>
  <c r="BI651" i="147"/>
  <c r="BI652" i="147"/>
  <c r="BI653" i="147"/>
  <c r="BI654" i="147"/>
  <c r="BI655" i="147"/>
  <c r="BI659" i="147"/>
  <c r="BI660" i="147"/>
  <c r="BI661" i="147"/>
  <c r="BI662" i="147"/>
  <c r="BI658" i="147"/>
  <c r="BI663" i="147"/>
  <c r="BI664" i="147"/>
  <c r="BI665" i="147"/>
  <c r="BI666" i="147"/>
  <c r="BI667" i="147"/>
  <c r="BI668" i="147"/>
  <c r="BI669" i="147"/>
  <c r="BI670" i="147"/>
  <c r="BI671" i="147"/>
  <c r="BI672" i="147"/>
  <c r="BI673" i="147"/>
  <c r="BI674" i="147"/>
  <c r="BI675" i="147"/>
  <c r="BI676" i="147"/>
  <c r="BI677" i="147"/>
  <c r="BI678" i="147"/>
  <c r="BI679" i="147"/>
  <c r="BI680" i="147"/>
  <c r="BI681" i="147"/>
  <c r="BI682" i="147"/>
  <c r="BI683" i="147"/>
  <c r="BI684" i="147"/>
  <c r="BI685" i="147"/>
  <c r="BI686" i="147"/>
  <c r="BI687" i="147"/>
  <c r="BI688" i="147"/>
  <c r="BI690" i="147"/>
  <c r="BI691" i="147"/>
  <c r="BI692" i="147"/>
  <c r="BI693" i="147"/>
  <c r="BI694" i="147"/>
  <c r="BI695" i="147"/>
  <c r="BI696" i="147"/>
  <c r="BI697" i="147"/>
  <c r="BI698" i="147"/>
  <c r="BI699" i="147"/>
  <c r="BI700" i="147"/>
  <c r="BI701" i="147"/>
  <c r="BI702" i="147"/>
  <c r="BI703" i="147"/>
  <c r="BI704" i="147"/>
  <c r="BI705" i="147"/>
  <c r="BI706" i="147"/>
  <c r="BI707" i="147"/>
  <c r="BI708" i="147"/>
  <c r="BI709" i="147"/>
  <c r="BI710" i="147"/>
  <c r="BI711" i="147"/>
  <c r="BI712" i="147"/>
  <c r="BI713" i="147"/>
  <c r="BI714" i="147"/>
  <c r="BI715" i="147"/>
  <c r="BI716" i="147"/>
  <c r="BI729" i="147"/>
  <c r="BI730" i="147"/>
  <c r="BI731" i="147"/>
  <c r="BI732" i="147"/>
  <c r="BI733" i="147"/>
  <c r="BI734" i="147"/>
  <c r="BI735" i="147"/>
  <c r="BI736" i="147"/>
  <c r="BI717" i="147"/>
  <c r="BI718" i="147"/>
  <c r="BI719" i="147"/>
  <c r="BI720" i="147"/>
  <c r="BI721" i="147"/>
  <c r="BI722" i="147"/>
  <c r="BI723" i="147"/>
  <c r="BI724" i="147"/>
  <c r="BI725" i="147"/>
  <c r="BI726" i="147"/>
  <c r="BI727" i="147"/>
  <c r="BI728" i="147"/>
  <c r="BU650" i="147"/>
  <c r="BU647" i="147"/>
  <c r="BU651" i="147"/>
  <c r="BU652" i="147"/>
  <c r="BU653" i="147"/>
  <c r="BU654" i="147"/>
  <c r="BU656" i="147"/>
  <c r="BU657" i="147"/>
  <c r="BU645" i="147"/>
  <c r="BU644" i="147"/>
  <c r="BU648" i="147"/>
  <c r="BU649" i="147"/>
  <c r="BU658" i="147"/>
  <c r="BU659" i="147"/>
  <c r="BU660" i="147"/>
  <c r="BU661" i="147"/>
  <c r="BU655" i="147"/>
  <c r="BU646" i="147"/>
  <c r="BU662" i="147"/>
  <c r="BU663" i="147"/>
  <c r="BU664" i="147"/>
  <c r="BU665" i="147"/>
  <c r="BU666" i="147"/>
  <c r="BU667" i="147"/>
  <c r="BU668" i="147"/>
  <c r="BU669" i="147"/>
  <c r="BU670" i="147"/>
  <c r="BU671" i="147"/>
  <c r="BU672" i="147"/>
  <c r="BU673" i="147"/>
  <c r="BU674" i="147"/>
  <c r="BU675" i="147"/>
  <c r="BU676" i="147"/>
  <c r="BU677" i="147"/>
  <c r="BU678" i="147"/>
  <c r="BU679" i="147"/>
  <c r="BU680" i="147"/>
  <c r="BU681" i="147"/>
  <c r="BU682" i="147"/>
  <c r="BU683" i="147"/>
  <c r="BU684" i="147"/>
  <c r="BU685" i="147"/>
  <c r="BU686" i="147"/>
  <c r="BU687" i="147"/>
  <c r="BU688" i="147"/>
  <c r="BU690" i="147"/>
  <c r="BU691" i="147"/>
  <c r="BU692" i="147"/>
  <c r="BU693" i="147"/>
  <c r="BU694" i="147"/>
  <c r="BU695" i="147"/>
  <c r="BU696" i="147"/>
  <c r="BU697" i="147"/>
  <c r="BU698" i="147"/>
  <c r="BU699" i="147"/>
  <c r="BU700" i="147"/>
  <c r="BU701" i="147"/>
  <c r="BU702" i="147"/>
  <c r="BU703" i="147"/>
  <c r="BU704" i="147"/>
  <c r="BU705" i="147"/>
  <c r="BU706" i="147"/>
  <c r="BU707" i="147"/>
  <c r="BU708" i="147"/>
  <c r="BU709" i="147"/>
  <c r="BU710" i="147"/>
  <c r="BU711" i="147"/>
  <c r="BU712" i="147"/>
  <c r="BU713" i="147"/>
  <c r="BU716" i="147"/>
  <c r="BU715" i="147"/>
  <c r="BU727" i="147"/>
  <c r="BU728" i="147"/>
  <c r="BU714" i="147"/>
  <c r="BU729" i="147"/>
  <c r="BU730" i="147"/>
  <c r="BU731" i="147"/>
  <c r="BU732" i="147"/>
  <c r="BU733" i="147"/>
  <c r="BU734" i="147"/>
  <c r="BU735" i="147"/>
  <c r="BU736" i="147"/>
  <c r="BU717" i="147"/>
  <c r="BU718" i="147"/>
  <c r="BU719" i="147"/>
  <c r="BU720" i="147"/>
  <c r="BU721" i="147"/>
  <c r="BU722" i="147"/>
  <c r="BU723" i="147"/>
  <c r="BU724" i="147"/>
  <c r="BU725" i="147"/>
  <c r="BU726" i="147"/>
  <c r="CG650" i="147"/>
  <c r="CG644" i="147"/>
  <c r="CG645" i="147"/>
  <c r="CG646" i="147"/>
  <c r="CG647" i="147"/>
  <c r="CG648" i="147"/>
  <c r="CG649" i="147"/>
  <c r="CG656" i="147"/>
  <c r="CG657" i="147"/>
  <c r="CG651" i="147"/>
  <c r="CG652" i="147"/>
  <c r="CG653" i="147"/>
  <c r="CG654" i="147"/>
  <c r="CG659" i="147"/>
  <c r="CG660" i="147"/>
  <c r="CG661" i="147"/>
  <c r="CG655" i="147"/>
  <c r="CG662" i="147"/>
  <c r="CG658" i="147"/>
  <c r="CG667" i="147"/>
  <c r="CG668" i="147"/>
  <c r="CG669" i="147"/>
  <c r="CG670" i="147"/>
  <c r="CG671" i="147"/>
  <c r="CG664" i="147"/>
  <c r="CG672" i="147"/>
  <c r="CG673" i="147"/>
  <c r="CG674" i="147"/>
  <c r="CG675" i="147"/>
  <c r="CG676" i="147"/>
  <c r="CG677" i="147"/>
  <c r="CG663" i="147"/>
  <c r="CG666" i="147"/>
  <c r="CG678" i="147"/>
  <c r="CG679" i="147"/>
  <c r="CG680" i="147"/>
  <c r="CG681" i="147"/>
  <c r="CG682" i="147"/>
  <c r="CG683" i="147"/>
  <c r="CG684" i="147"/>
  <c r="CG665" i="147"/>
  <c r="CG685" i="147"/>
  <c r="CG686" i="147"/>
  <c r="CG687" i="147"/>
  <c r="CG688" i="147"/>
  <c r="CG690" i="147"/>
  <c r="CG691" i="147"/>
  <c r="CG692" i="147"/>
  <c r="CG693" i="147"/>
  <c r="CG694" i="147"/>
  <c r="CG695" i="147"/>
  <c r="CG696" i="147"/>
  <c r="CG697" i="147"/>
  <c r="CG698" i="147"/>
  <c r="CG699" i="147"/>
  <c r="CG700" i="147"/>
  <c r="CG701" i="147"/>
  <c r="CG702" i="147"/>
  <c r="CG703" i="147"/>
  <c r="CG704" i="147"/>
  <c r="CG705" i="147"/>
  <c r="CG706" i="147"/>
  <c r="CG707" i="147"/>
  <c r="CG708" i="147"/>
  <c r="CG709" i="147"/>
  <c r="CG710" i="147"/>
  <c r="CG711" i="147"/>
  <c r="CG712" i="147"/>
  <c r="CG713" i="147"/>
  <c r="CG716" i="147"/>
  <c r="CG714" i="147"/>
  <c r="CG715" i="147"/>
  <c r="CG717" i="147"/>
  <c r="CG718" i="147"/>
  <c r="CG719" i="147"/>
  <c r="CG720" i="147"/>
  <c r="CG721" i="147"/>
  <c r="CG722" i="147"/>
  <c r="CG723" i="147"/>
  <c r="CG724" i="147"/>
  <c r="CG725" i="147"/>
  <c r="CG726" i="147"/>
  <c r="CG727" i="147"/>
  <c r="CG729" i="147"/>
  <c r="CG730" i="147"/>
  <c r="CG731" i="147"/>
  <c r="CG732" i="147"/>
  <c r="CG733" i="147"/>
  <c r="CG734" i="147"/>
  <c r="CG735" i="147"/>
  <c r="CG736" i="147"/>
  <c r="CG728" i="147"/>
  <c r="CS650" i="147"/>
  <c r="CS644" i="147"/>
  <c r="CS645" i="147"/>
  <c r="CS646" i="147"/>
  <c r="CS647" i="147"/>
  <c r="CS648" i="147"/>
  <c r="CS656" i="147"/>
  <c r="CS657" i="147"/>
  <c r="CS649" i="147"/>
  <c r="CS651" i="147"/>
  <c r="CS659" i="147"/>
  <c r="CS660" i="147"/>
  <c r="CS661" i="147"/>
  <c r="CS658" i="147"/>
  <c r="CS654" i="147"/>
  <c r="CS662" i="147"/>
  <c r="CS653" i="147"/>
  <c r="CS652" i="147"/>
  <c r="CS663" i="147"/>
  <c r="CS664" i="147"/>
  <c r="CS665" i="147"/>
  <c r="CS666" i="147"/>
  <c r="CS655" i="147"/>
  <c r="CS667" i="147"/>
  <c r="CS668" i="147"/>
  <c r="CS669" i="147"/>
  <c r="CS670" i="147"/>
  <c r="CS671" i="147"/>
  <c r="CS672" i="147"/>
  <c r="CS673" i="147"/>
  <c r="CS674" i="147"/>
  <c r="CS675" i="147"/>
  <c r="CS676" i="147"/>
  <c r="CS677" i="147"/>
  <c r="CS678" i="147"/>
  <c r="CS679" i="147"/>
  <c r="CS680" i="147"/>
  <c r="CS681" i="147"/>
  <c r="CS682" i="147"/>
  <c r="CS683" i="147"/>
  <c r="CS684" i="147"/>
  <c r="CS685" i="147"/>
  <c r="CS686" i="147"/>
  <c r="CS687" i="147"/>
  <c r="CS688" i="147"/>
  <c r="CS690" i="147"/>
  <c r="CS691" i="147"/>
  <c r="CS692" i="147"/>
  <c r="CS693" i="147"/>
  <c r="CS694" i="147"/>
  <c r="CS695" i="147"/>
  <c r="CS696" i="147"/>
  <c r="CS697" i="147"/>
  <c r="CS699" i="147"/>
  <c r="CS700" i="147"/>
  <c r="CS701" i="147"/>
  <c r="CS702" i="147"/>
  <c r="CS703" i="147"/>
  <c r="CS704" i="147"/>
  <c r="CS705" i="147"/>
  <c r="CS706" i="147"/>
  <c r="CS707" i="147"/>
  <c r="CS708" i="147"/>
  <c r="CS709" i="147"/>
  <c r="CS710" i="147"/>
  <c r="CS711" i="147"/>
  <c r="CS712" i="147"/>
  <c r="CS713" i="147"/>
  <c r="CS716" i="147"/>
  <c r="CS715" i="147"/>
  <c r="CS717" i="147"/>
  <c r="CS718" i="147"/>
  <c r="CS719" i="147"/>
  <c r="CS720" i="147"/>
  <c r="CS721" i="147"/>
  <c r="CS722" i="147"/>
  <c r="CS723" i="147"/>
  <c r="CS724" i="147"/>
  <c r="CS725" i="147"/>
  <c r="CS726" i="147"/>
  <c r="CS714" i="147"/>
  <c r="CS728" i="147"/>
  <c r="CS729" i="147"/>
  <c r="CS730" i="147"/>
  <c r="CS731" i="147"/>
  <c r="CS732" i="147"/>
  <c r="CS733" i="147"/>
  <c r="CS734" i="147"/>
  <c r="CS735" i="147"/>
  <c r="CS736" i="147"/>
  <c r="CS727" i="147"/>
  <c r="CS698" i="147"/>
  <c r="DE644" i="147"/>
  <c r="DE645" i="147"/>
  <c r="DE646" i="147"/>
  <c r="DE647" i="147"/>
  <c r="DE648" i="147"/>
  <c r="DE650" i="147"/>
  <c r="DE656" i="147"/>
  <c r="DE657" i="147"/>
  <c r="DE655" i="147"/>
  <c r="DE653" i="147"/>
  <c r="DE652" i="147"/>
  <c r="DE659" i="147"/>
  <c r="DE660" i="147"/>
  <c r="DE661" i="147"/>
  <c r="DE658" i="147"/>
  <c r="DE649" i="147"/>
  <c r="DE654" i="147"/>
  <c r="DE663" i="147"/>
  <c r="DE664" i="147"/>
  <c r="DE665" i="147"/>
  <c r="DE666" i="147"/>
  <c r="DE667" i="147"/>
  <c r="DE668" i="147"/>
  <c r="DE669" i="147"/>
  <c r="DE670" i="147"/>
  <c r="DE671" i="147"/>
  <c r="DE672" i="147"/>
  <c r="DE673" i="147"/>
  <c r="DE674" i="147"/>
  <c r="DE675" i="147"/>
  <c r="DE676" i="147"/>
  <c r="DE677" i="147"/>
  <c r="DE662" i="147"/>
  <c r="DE678" i="147"/>
  <c r="DE679" i="147"/>
  <c r="DE680" i="147"/>
  <c r="DE681" i="147"/>
  <c r="DE682" i="147"/>
  <c r="DE683" i="147"/>
  <c r="DE684" i="147"/>
  <c r="DE685" i="147"/>
  <c r="DE686" i="147"/>
  <c r="DE687" i="147"/>
  <c r="DE688" i="147"/>
  <c r="DE690" i="147"/>
  <c r="DE691" i="147"/>
  <c r="DE692" i="147"/>
  <c r="DE693" i="147"/>
  <c r="DE694" i="147"/>
  <c r="DE695" i="147"/>
  <c r="DE696" i="147"/>
  <c r="DE697" i="147"/>
  <c r="DE698" i="147"/>
  <c r="DE699" i="147"/>
  <c r="DE700" i="147"/>
  <c r="DE701" i="147"/>
  <c r="DE702" i="147"/>
  <c r="DE703" i="147"/>
  <c r="DE704" i="147"/>
  <c r="DE705" i="147"/>
  <c r="DE706" i="147"/>
  <c r="DE707" i="147"/>
  <c r="DE708" i="147"/>
  <c r="DE709" i="147"/>
  <c r="DE710" i="147"/>
  <c r="DE711" i="147"/>
  <c r="DE712" i="147"/>
  <c r="DE713" i="147"/>
  <c r="DE714" i="147"/>
  <c r="DE715" i="147"/>
  <c r="DE716" i="147"/>
  <c r="DE727" i="147"/>
  <c r="DE717" i="147"/>
  <c r="DE718" i="147"/>
  <c r="DE719" i="147"/>
  <c r="DE720" i="147"/>
  <c r="DE721" i="147"/>
  <c r="DE722" i="147"/>
  <c r="DE723" i="147"/>
  <c r="DE724" i="147"/>
  <c r="DE728" i="147"/>
  <c r="DE729" i="147"/>
  <c r="DE730" i="147"/>
  <c r="DE731" i="147"/>
  <c r="DE732" i="147"/>
  <c r="DE733" i="147"/>
  <c r="DE734" i="147"/>
  <c r="DE735" i="147"/>
  <c r="DE736" i="147"/>
  <c r="DE725" i="147"/>
  <c r="DE726" i="147"/>
  <c r="DQ650" i="147"/>
  <c r="DQ645" i="147"/>
  <c r="DQ649" i="147"/>
  <c r="DQ644" i="147"/>
  <c r="DQ648" i="147"/>
  <c r="DQ656" i="147"/>
  <c r="DQ657" i="147"/>
  <c r="DQ647" i="147"/>
  <c r="DQ655" i="147"/>
  <c r="DQ658" i="147"/>
  <c r="DQ659" i="147"/>
  <c r="DQ660" i="147"/>
  <c r="DQ661" i="147"/>
  <c r="DQ654" i="147"/>
  <c r="DQ653" i="147"/>
  <c r="DQ651" i="147"/>
  <c r="DQ652" i="147"/>
  <c r="DQ646" i="147"/>
  <c r="DQ662" i="147"/>
  <c r="DQ663" i="147"/>
  <c r="DQ664" i="147"/>
  <c r="DQ665" i="147"/>
  <c r="DQ666" i="147"/>
  <c r="DQ667" i="147"/>
  <c r="DQ668" i="147"/>
  <c r="DQ669" i="147"/>
  <c r="DQ670" i="147"/>
  <c r="DQ671" i="147"/>
  <c r="DQ672" i="147"/>
  <c r="DQ673" i="147"/>
  <c r="DQ674" i="147"/>
  <c r="DQ675" i="147"/>
  <c r="DQ676" i="147"/>
  <c r="DQ677" i="147"/>
  <c r="DQ678" i="147"/>
  <c r="DQ679" i="147"/>
  <c r="DQ680" i="147"/>
  <c r="DQ681" i="147"/>
  <c r="DQ682" i="147"/>
  <c r="DQ683" i="147"/>
  <c r="DQ684" i="147"/>
  <c r="DQ685" i="147"/>
  <c r="DQ686" i="147"/>
  <c r="DQ687" i="147"/>
  <c r="DQ688" i="147"/>
  <c r="DQ690" i="147"/>
  <c r="DQ691" i="147"/>
  <c r="DQ692" i="147"/>
  <c r="DQ693" i="147"/>
  <c r="DQ694" i="147"/>
  <c r="DQ695" i="147"/>
  <c r="DQ696" i="147"/>
  <c r="DQ697" i="147"/>
  <c r="DQ698" i="147"/>
  <c r="DQ699" i="147"/>
  <c r="DQ700" i="147"/>
  <c r="DQ701" i="147"/>
  <c r="DQ702" i="147"/>
  <c r="DQ703" i="147"/>
  <c r="DQ704" i="147"/>
  <c r="DQ705" i="147"/>
  <c r="DQ706" i="147"/>
  <c r="DQ707" i="147"/>
  <c r="DQ708" i="147"/>
  <c r="DQ709" i="147"/>
  <c r="DQ710" i="147"/>
  <c r="DQ711" i="147"/>
  <c r="DQ712" i="147"/>
  <c r="DQ713" i="147"/>
  <c r="DQ716" i="147"/>
  <c r="DQ715" i="147"/>
  <c r="DQ717" i="147"/>
  <c r="DQ718" i="147"/>
  <c r="DQ719" i="147"/>
  <c r="DQ720" i="147"/>
  <c r="DQ721" i="147"/>
  <c r="DQ722" i="147"/>
  <c r="DQ723" i="147"/>
  <c r="DQ724" i="147"/>
  <c r="DQ727" i="147"/>
  <c r="DQ728" i="147"/>
  <c r="DQ729" i="147"/>
  <c r="DQ730" i="147"/>
  <c r="DQ731" i="147"/>
  <c r="DQ732" i="147"/>
  <c r="DQ733" i="147"/>
  <c r="DQ734" i="147"/>
  <c r="DQ735" i="147"/>
  <c r="DQ736" i="147"/>
  <c r="DQ714" i="147"/>
  <c r="DQ725" i="147"/>
  <c r="DQ726" i="147"/>
  <c r="EE644" i="147"/>
  <c r="EE645" i="147"/>
  <c r="EE646" i="147"/>
  <c r="EE647" i="147"/>
  <c r="EE648" i="147"/>
  <c r="EE649" i="147"/>
  <c r="EE650" i="147"/>
  <c r="EE656" i="147"/>
  <c r="EE657" i="147"/>
  <c r="EE655" i="147"/>
  <c r="EE658" i="147"/>
  <c r="EE659" i="147"/>
  <c r="EE660" i="147"/>
  <c r="EE654" i="147"/>
  <c r="EE653" i="147"/>
  <c r="EE652" i="147"/>
  <c r="EE651" i="147"/>
  <c r="EE662" i="147"/>
  <c r="EE663" i="147"/>
  <c r="EE664" i="147"/>
  <c r="EE665" i="147"/>
  <c r="EE666" i="147"/>
  <c r="EE661" i="147"/>
  <c r="EE667" i="147"/>
  <c r="EE668" i="147"/>
  <c r="EE669" i="147"/>
  <c r="EE670" i="147"/>
  <c r="EE671" i="147"/>
  <c r="EE678" i="147"/>
  <c r="EE679" i="147"/>
  <c r="EE680" i="147"/>
  <c r="EE681" i="147"/>
  <c r="EE682" i="147"/>
  <c r="EE683" i="147"/>
  <c r="EE684" i="147"/>
  <c r="EE672" i="147"/>
  <c r="EE673" i="147"/>
  <c r="EE674" i="147"/>
  <c r="EE675" i="147"/>
  <c r="EE676" i="147"/>
  <c r="EE677" i="147"/>
  <c r="EE693" i="147"/>
  <c r="EE692" i="147"/>
  <c r="EE685" i="147"/>
  <c r="EE686" i="147"/>
  <c r="EE687" i="147"/>
  <c r="EE688" i="147"/>
  <c r="EE690" i="147"/>
  <c r="EE703" i="147"/>
  <c r="EE704" i="147"/>
  <c r="EE705" i="147"/>
  <c r="EE706" i="147"/>
  <c r="EE707" i="147"/>
  <c r="EE708" i="147"/>
  <c r="EE709" i="147"/>
  <c r="EE710" i="147"/>
  <c r="EE711" i="147"/>
  <c r="EE712" i="147"/>
  <c r="EE713" i="147"/>
  <c r="EE714" i="147"/>
  <c r="EE715" i="147"/>
  <c r="EE716" i="147"/>
  <c r="EE691" i="147"/>
  <c r="EE694" i="147"/>
  <c r="EE695" i="147"/>
  <c r="EE696" i="147"/>
  <c r="EE697" i="147"/>
  <c r="EE698" i="147"/>
  <c r="EE699" i="147"/>
  <c r="EE700" i="147"/>
  <c r="EE701" i="147"/>
  <c r="EE702" i="147"/>
  <c r="EE717" i="147"/>
  <c r="EE718" i="147"/>
  <c r="EE719" i="147"/>
  <c r="EE720" i="147"/>
  <c r="EE721" i="147"/>
  <c r="EE722" i="147"/>
  <c r="EE723" i="147"/>
  <c r="EE724" i="147"/>
  <c r="EE725" i="147"/>
  <c r="EE726" i="147"/>
  <c r="EE727" i="147"/>
  <c r="EE728" i="147"/>
  <c r="EE729" i="147"/>
  <c r="EE730" i="147"/>
  <c r="EE731" i="147"/>
  <c r="EE732" i="147"/>
  <c r="EE733" i="147"/>
  <c r="EE734" i="147"/>
  <c r="EE735" i="147"/>
  <c r="EE736" i="147"/>
  <c r="EQ644" i="147"/>
  <c r="EQ645" i="147"/>
  <c r="EQ646" i="147"/>
  <c r="EQ647" i="147"/>
  <c r="EQ648" i="147"/>
  <c r="EQ649" i="147"/>
  <c r="EQ650" i="147"/>
  <c r="EQ655" i="147"/>
  <c r="EQ656" i="147"/>
  <c r="EQ657" i="147"/>
  <c r="EQ651" i="147"/>
  <c r="EQ652" i="147"/>
  <c r="EQ653" i="147"/>
  <c r="EQ654" i="147"/>
  <c r="EQ658" i="147"/>
  <c r="EQ659" i="147"/>
  <c r="EQ660" i="147"/>
  <c r="EQ662" i="147"/>
  <c r="EQ663" i="147"/>
  <c r="EQ664" i="147"/>
  <c r="EQ665" i="147"/>
  <c r="EQ666" i="147"/>
  <c r="EQ661" i="147"/>
  <c r="EQ670" i="147"/>
  <c r="EQ678" i="147"/>
  <c r="EQ679" i="147"/>
  <c r="EQ680" i="147"/>
  <c r="EQ681" i="147"/>
  <c r="EQ682" i="147"/>
  <c r="EQ683" i="147"/>
  <c r="EQ684" i="147"/>
  <c r="EQ669" i="147"/>
  <c r="EQ677" i="147"/>
  <c r="EQ668" i="147"/>
  <c r="EQ667" i="147"/>
  <c r="EQ671" i="147"/>
  <c r="EQ672" i="147"/>
  <c r="EQ673" i="147"/>
  <c r="EQ674" i="147"/>
  <c r="EQ675" i="147"/>
  <c r="EQ676" i="147"/>
  <c r="EQ685" i="147"/>
  <c r="EQ686" i="147"/>
  <c r="EQ687" i="147"/>
  <c r="EQ688" i="147"/>
  <c r="EQ690" i="147"/>
  <c r="EQ692" i="147"/>
  <c r="EQ693" i="147"/>
  <c r="EQ691" i="147"/>
  <c r="EQ702" i="147"/>
  <c r="EQ705" i="147"/>
  <c r="EQ706" i="147"/>
  <c r="EQ707" i="147"/>
  <c r="EQ708" i="147"/>
  <c r="EQ709" i="147"/>
  <c r="EQ710" i="147"/>
  <c r="EQ711" i="147"/>
  <c r="EQ712" i="147"/>
  <c r="EQ713" i="147"/>
  <c r="EQ714" i="147"/>
  <c r="EQ715" i="147"/>
  <c r="EQ716" i="147"/>
  <c r="EQ703" i="147"/>
  <c r="EQ704" i="147"/>
  <c r="EQ694" i="147"/>
  <c r="EQ695" i="147"/>
  <c r="EQ696" i="147"/>
  <c r="EQ697" i="147"/>
  <c r="EQ698" i="147"/>
  <c r="EQ699" i="147"/>
  <c r="EQ700" i="147"/>
  <c r="EQ701" i="147"/>
  <c r="EQ717" i="147"/>
  <c r="EQ718" i="147"/>
  <c r="EQ719" i="147"/>
  <c r="EQ720" i="147"/>
  <c r="EQ721" i="147"/>
  <c r="EQ722" i="147"/>
  <c r="EQ723" i="147"/>
  <c r="EQ724" i="147"/>
  <c r="EQ725" i="147"/>
  <c r="EQ726" i="147"/>
  <c r="EQ727" i="147"/>
  <c r="EQ728" i="147"/>
  <c r="EQ729" i="147"/>
  <c r="EQ730" i="147"/>
  <c r="EQ731" i="147"/>
  <c r="EQ732" i="147"/>
  <c r="EQ733" i="147"/>
  <c r="EQ734" i="147"/>
  <c r="EQ735" i="147"/>
  <c r="EQ736" i="147"/>
  <c r="R644" i="147"/>
  <c r="R645" i="147"/>
  <c r="R646" i="147"/>
  <c r="R647" i="147"/>
  <c r="R648" i="147"/>
  <c r="R649" i="147"/>
  <c r="R650" i="147"/>
  <c r="R651" i="147"/>
  <c r="R652" i="147"/>
  <c r="R653" i="147"/>
  <c r="R654" i="147"/>
  <c r="R655" i="147"/>
  <c r="R656" i="147"/>
  <c r="R657" i="147"/>
  <c r="R658" i="147"/>
  <c r="R659" i="147"/>
  <c r="R660" i="147"/>
  <c r="R661" i="147"/>
  <c r="R662" i="147"/>
  <c r="R663" i="147"/>
  <c r="R664" i="147"/>
  <c r="R665" i="147"/>
  <c r="R666" i="147"/>
  <c r="R667" i="147"/>
  <c r="R668" i="147"/>
  <c r="R669" i="147"/>
  <c r="R670" i="147"/>
  <c r="R671" i="147"/>
  <c r="R672" i="147"/>
  <c r="R673" i="147"/>
  <c r="R674" i="147"/>
  <c r="R675" i="147"/>
  <c r="R676" i="147"/>
  <c r="R677" i="147"/>
  <c r="R679" i="147"/>
  <c r="R680" i="147"/>
  <c r="R681" i="147"/>
  <c r="R682" i="147"/>
  <c r="R683" i="147"/>
  <c r="R684" i="147"/>
  <c r="R678" i="147"/>
  <c r="R686" i="147"/>
  <c r="R687" i="147"/>
  <c r="R688" i="147"/>
  <c r="R690" i="147"/>
  <c r="R691" i="147"/>
  <c r="R692" i="147"/>
  <c r="R693" i="147"/>
  <c r="R685" i="147"/>
  <c r="R694" i="147"/>
  <c r="R695" i="147"/>
  <c r="R696" i="147"/>
  <c r="R697" i="147"/>
  <c r="R698" i="147"/>
  <c r="R699" i="147"/>
  <c r="R700" i="147"/>
  <c r="R701" i="147"/>
  <c r="R702" i="147"/>
  <c r="R703" i="147"/>
  <c r="R704" i="147"/>
  <c r="R705" i="147"/>
  <c r="R706" i="147"/>
  <c r="R707" i="147"/>
  <c r="R708" i="147"/>
  <c r="R709" i="147"/>
  <c r="R710" i="147"/>
  <c r="R711" i="147"/>
  <c r="R712" i="147"/>
  <c r="R713" i="147"/>
  <c r="R714" i="147"/>
  <c r="R715" i="147"/>
  <c r="R716" i="147"/>
  <c r="R717" i="147"/>
  <c r="R718" i="147"/>
  <c r="R719" i="147"/>
  <c r="R720" i="147"/>
  <c r="R721" i="147"/>
  <c r="R722" i="147"/>
  <c r="R723" i="147"/>
  <c r="R724" i="147"/>
  <c r="R725" i="147"/>
  <c r="R726" i="147"/>
  <c r="R727" i="147"/>
  <c r="R728" i="147"/>
  <c r="R729" i="147"/>
  <c r="R730" i="147"/>
  <c r="R731" i="147"/>
  <c r="R732" i="147"/>
  <c r="R733" i="147"/>
  <c r="R734" i="147"/>
  <c r="R735" i="147"/>
  <c r="R736" i="147"/>
  <c r="AI644" i="147"/>
  <c r="AI645" i="147"/>
  <c r="AI646" i="147"/>
  <c r="AI647" i="147"/>
  <c r="AI648" i="147"/>
  <c r="AI649" i="147"/>
  <c r="AI650" i="147"/>
  <c r="AI659" i="147"/>
  <c r="AI660" i="147"/>
  <c r="AI661" i="147"/>
  <c r="AI654" i="147"/>
  <c r="AI656" i="147"/>
  <c r="AI657" i="147"/>
  <c r="AI658" i="147"/>
  <c r="AI653" i="147"/>
  <c r="AI652" i="147"/>
  <c r="AI651" i="147"/>
  <c r="AI655" i="147"/>
  <c r="AI662" i="147"/>
  <c r="AI663" i="147"/>
  <c r="AI664" i="147"/>
  <c r="AI665" i="147"/>
  <c r="AI666" i="147"/>
  <c r="AI667" i="147"/>
  <c r="AI668" i="147"/>
  <c r="AI669" i="147"/>
  <c r="AI670" i="147"/>
  <c r="AI671" i="147"/>
  <c r="AI672" i="147"/>
  <c r="AI673" i="147"/>
  <c r="AI674" i="147"/>
  <c r="AI675" i="147"/>
  <c r="AI676" i="147"/>
  <c r="AI677" i="147"/>
  <c r="AI678" i="147"/>
  <c r="AI679" i="147"/>
  <c r="AI680" i="147"/>
  <c r="AI681" i="147"/>
  <c r="AI682" i="147"/>
  <c r="AI683" i="147"/>
  <c r="AI684" i="147"/>
  <c r="AI686" i="147"/>
  <c r="AI687" i="147"/>
  <c r="AI688" i="147"/>
  <c r="AI690" i="147"/>
  <c r="AI691" i="147"/>
  <c r="AI692" i="147"/>
  <c r="AI693" i="147"/>
  <c r="AI694" i="147"/>
  <c r="AI685" i="147"/>
  <c r="AI695" i="147"/>
  <c r="AI696" i="147"/>
  <c r="AI697" i="147"/>
  <c r="AI698" i="147"/>
  <c r="AI699" i="147"/>
  <c r="AI700" i="147"/>
  <c r="AI701" i="147"/>
  <c r="AI702" i="147"/>
  <c r="AI703" i="147"/>
  <c r="AI704" i="147"/>
  <c r="AI705" i="147"/>
  <c r="AI706" i="147"/>
  <c r="AI707" i="147"/>
  <c r="AI708" i="147"/>
  <c r="AI709" i="147"/>
  <c r="AI710" i="147"/>
  <c r="AI711" i="147"/>
  <c r="AI712" i="147"/>
  <c r="AI713" i="147"/>
  <c r="AI714" i="147"/>
  <c r="AI715" i="147"/>
  <c r="AI716" i="147"/>
  <c r="AI717" i="147"/>
  <c r="AI718" i="147"/>
  <c r="AI719" i="147"/>
  <c r="AI720" i="147"/>
  <c r="AI721" i="147"/>
  <c r="AI722" i="147"/>
  <c r="AI723" i="147"/>
  <c r="AI724" i="147"/>
  <c r="AI725" i="147"/>
  <c r="AI726" i="147"/>
  <c r="AI727" i="147"/>
  <c r="AI728" i="147"/>
  <c r="AI729" i="147"/>
  <c r="AI730" i="147"/>
  <c r="AI731" i="147"/>
  <c r="AI732" i="147"/>
  <c r="AI733" i="147"/>
  <c r="AI734" i="147"/>
  <c r="AI735" i="147"/>
  <c r="AI736" i="147"/>
  <c r="AU644" i="147"/>
  <c r="AU645" i="147"/>
  <c r="AU646" i="147"/>
  <c r="AU647" i="147"/>
  <c r="AU648" i="147"/>
  <c r="AU649" i="147"/>
  <c r="AU650" i="147"/>
  <c r="AU659" i="147"/>
  <c r="AU660" i="147"/>
  <c r="AU661" i="147"/>
  <c r="AU655" i="147"/>
  <c r="AU654" i="147"/>
  <c r="AU653" i="147"/>
  <c r="AU658" i="147"/>
  <c r="AU652" i="147"/>
  <c r="AU662" i="147"/>
  <c r="AU651" i="147"/>
  <c r="AU656" i="147"/>
  <c r="AU663" i="147"/>
  <c r="AU664" i="147"/>
  <c r="AU665" i="147"/>
  <c r="AU666" i="147"/>
  <c r="AU668" i="147"/>
  <c r="AU669" i="147"/>
  <c r="AU670" i="147"/>
  <c r="AU671" i="147"/>
  <c r="AU672" i="147"/>
  <c r="AU657" i="147"/>
  <c r="AU667" i="147"/>
  <c r="AU673" i="147"/>
  <c r="AU674" i="147"/>
  <c r="AU675" i="147"/>
  <c r="AU676" i="147"/>
  <c r="AU677" i="147"/>
  <c r="AU678" i="147"/>
  <c r="AU680" i="147"/>
  <c r="AU681" i="147"/>
  <c r="AU682" i="147"/>
  <c r="AU683" i="147"/>
  <c r="AU684" i="147"/>
  <c r="AU685" i="147"/>
  <c r="AU686" i="147"/>
  <c r="AU687" i="147"/>
  <c r="AU688" i="147"/>
  <c r="AU690" i="147"/>
  <c r="AU691" i="147"/>
  <c r="AU692" i="147"/>
  <c r="AU694" i="147"/>
  <c r="AU695" i="147"/>
  <c r="AU696" i="147"/>
  <c r="AU697" i="147"/>
  <c r="AU698" i="147"/>
  <c r="AU699" i="147"/>
  <c r="AU700" i="147"/>
  <c r="AU701" i="147"/>
  <c r="AU702" i="147"/>
  <c r="AU703" i="147"/>
  <c r="AU704" i="147"/>
  <c r="AU705" i="147"/>
  <c r="AU706" i="147"/>
  <c r="AU707" i="147"/>
  <c r="AU708" i="147"/>
  <c r="AU709" i="147"/>
  <c r="AU710" i="147"/>
  <c r="AU711" i="147"/>
  <c r="AU712" i="147"/>
  <c r="AU713" i="147"/>
  <c r="AU714" i="147"/>
  <c r="AU715" i="147"/>
  <c r="AU716" i="147"/>
  <c r="AU717" i="147"/>
  <c r="AU718" i="147"/>
  <c r="AU719" i="147"/>
  <c r="AU720" i="147"/>
  <c r="AU721" i="147"/>
  <c r="AU722" i="147"/>
  <c r="AU723" i="147"/>
  <c r="AU724" i="147"/>
  <c r="AU725" i="147"/>
  <c r="AU726" i="147"/>
  <c r="AU727" i="147"/>
  <c r="AU728" i="147"/>
  <c r="AU729" i="147"/>
  <c r="AU730" i="147"/>
  <c r="AU731" i="147"/>
  <c r="AU732" i="147"/>
  <c r="AU733" i="147"/>
  <c r="AU734" i="147"/>
  <c r="AU735" i="147"/>
  <c r="AU736" i="147"/>
  <c r="BJ646" i="147"/>
  <c r="BJ645" i="147"/>
  <c r="BJ644" i="147"/>
  <c r="BJ648" i="147"/>
  <c r="BJ651" i="147"/>
  <c r="BJ652" i="147"/>
  <c r="BJ653" i="147"/>
  <c r="BJ654" i="147"/>
  <c r="BJ655" i="147"/>
  <c r="BJ649" i="147"/>
  <c r="BJ650" i="147"/>
  <c r="BJ659" i="147"/>
  <c r="BJ660" i="147"/>
  <c r="BJ661" i="147"/>
  <c r="BJ662" i="147"/>
  <c r="BJ647" i="147"/>
  <c r="BJ656" i="147"/>
  <c r="BJ657" i="147"/>
  <c r="BJ658" i="147"/>
  <c r="BJ664" i="147"/>
  <c r="BJ663" i="147"/>
  <c r="BJ672" i="147"/>
  <c r="BJ673" i="147"/>
  <c r="BJ674" i="147"/>
  <c r="BJ675" i="147"/>
  <c r="BJ676" i="147"/>
  <c r="BJ677" i="147"/>
  <c r="BJ666" i="147"/>
  <c r="BJ667" i="147"/>
  <c r="BJ668" i="147"/>
  <c r="BJ669" i="147"/>
  <c r="BJ670" i="147"/>
  <c r="BJ671" i="147"/>
  <c r="BJ665" i="147"/>
  <c r="BJ678" i="147"/>
  <c r="BJ679" i="147"/>
  <c r="BJ680" i="147"/>
  <c r="BJ681" i="147"/>
  <c r="BJ682" i="147"/>
  <c r="BJ683" i="147"/>
  <c r="BJ685" i="147"/>
  <c r="BJ686" i="147"/>
  <c r="BJ687" i="147"/>
  <c r="BJ688" i="147"/>
  <c r="BJ690" i="147"/>
  <c r="BJ691" i="147"/>
  <c r="BJ692" i="147"/>
  <c r="BJ693" i="147"/>
  <c r="BJ684" i="147"/>
  <c r="BJ694" i="147"/>
  <c r="BJ695" i="147"/>
  <c r="BJ696" i="147"/>
  <c r="BJ697" i="147"/>
  <c r="BJ698" i="147"/>
  <c r="BJ699" i="147"/>
  <c r="BJ700" i="147"/>
  <c r="BJ701" i="147"/>
  <c r="BJ702" i="147"/>
  <c r="BJ703" i="147"/>
  <c r="BJ704" i="147"/>
  <c r="BJ705" i="147"/>
  <c r="BJ706" i="147"/>
  <c r="BJ707" i="147"/>
  <c r="BJ708" i="147"/>
  <c r="BJ709" i="147"/>
  <c r="BJ710" i="147"/>
  <c r="BJ711" i="147"/>
  <c r="BJ712" i="147"/>
  <c r="BJ713" i="147"/>
  <c r="BJ714" i="147"/>
  <c r="BJ715" i="147"/>
  <c r="BJ716" i="147"/>
  <c r="BJ717" i="147"/>
  <c r="BJ718" i="147"/>
  <c r="BJ719" i="147"/>
  <c r="BJ720" i="147"/>
  <c r="BJ721" i="147"/>
  <c r="BJ722" i="147"/>
  <c r="BJ723" i="147"/>
  <c r="BJ724" i="147"/>
  <c r="BJ725" i="147"/>
  <c r="BJ726" i="147"/>
  <c r="BJ727" i="147"/>
  <c r="BJ728" i="147"/>
  <c r="BJ729" i="147"/>
  <c r="BJ730" i="147"/>
  <c r="BJ731" i="147"/>
  <c r="BJ732" i="147"/>
  <c r="BJ733" i="147"/>
  <c r="BJ734" i="147"/>
  <c r="BJ735" i="147"/>
  <c r="BJ736" i="147"/>
  <c r="BV644" i="147"/>
  <c r="BV645" i="147"/>
  <c r="BV646" i="147"/>
  <c r="BV647" i="147"/>
  <c r="BV648" i="147"/>
  <c r="BV649" i="147"/>
  <c r="BV650" i="147"/>
  <c r="BV655" i="147"/>
  <c r="BV654" i="147"/>
  <c r="BV658" i="147"/>
  <c r="BV659" i="147"/>
  <c r="BV660" i="147"/>
  <c r="BV661" i="147"/>
  <c r="BV662" i="147"/>
  <c r="BV653" i="147"/>
  <c r="BV651" i="147"/>
  <c r="BV657" i="147"/>
  <c r="BV652" i="147"/>
  <c r="BV663" i="147"/>
  <c r="BV664" i="147"/>
  <c r="BV665" i="147"/>
  <c r="BV666" i="147"/>
  <c r="BV656" i="147"/>
  <c r="BV673" i="147"/>
  <c r="BV674" i="147"/>
  <c r="BV675" i="147"/>
  <c r="BV676" i="147"/>
  <c r="BV677" i="147"/>
  <c r="BV672" i="147"/>
  <c r="BV678" i="147"/>
  <c r="BV679" i="147"/>
  <c r="BV680" i="147"/>
  <c r="BV681" i="147"/>
  <c r="BV682" i="147"/>
  <c r="BV683" i="147"/>
  <c r="BV668" i="147"/>
  <c r="BV667" i="147"/>
  <c r="BV671" i="147"/>
  <c r="BV670" i="147"/>
  <c r="BV669" i="147"/>
  <c r="BV684" i="147"/>
  <c r="BV685" i="147"/>
  <c r="BV686" i="147"/>
  <c r="BV687" i="147"/>
  <c r="BV688" i="147"/>
  <c r="BV690" i="147"/>
  <c r="BV691" i="147"/>
  <c r="BV692" i="147"/>
  <c r="BV693" i="147"/>
  <c r="BV694" i="147"/>
  <c r="BV695" i="147"/>
  <c r="BV696" i="147"/>
  <c r="BV697" i="147"/>
  <c r="BV698" i="147"/>
  <c r="BV699" i="147"/>
  <c r="BV700" i="147"/>
  <c r="BV701" i="147"/>
  <c r="BV702" i="147"/>
  <c r="BV703" i="147"/>
  <c r="BV704" i="147"/>
  <c r="BV705" i="147"/>
  <c r="BV706" i="147"/>
  <c r="BV707" i="147"/>
  <c r="BV708" i="147"/>
  <c r="BV709" i="147"/>
  <c r="BV710" i="147"/>
  <c r="BV711" i="147"/>
  <c r="BV712" i="147"/>
  <c r="BV713" i="147"/>
  <c r="BV714" i="147"/>
  <c r="BV715" i="147"/>
  <c r="BV716" i="147"/>
  <c r="BV717" i="147"/>
  <c r="BV718" i="147"/>
  <c r="BV719" i="147"/>
  <c r="BV720" i="147"/>
  <c r="BV721" i="147"/>
  <c r="BV722" i="147"/>
  <c r="BV723" i="147"/>
  <c r="BV724" i="147"/>
  <c r="BV725" i="147"/>
  <c r="BV726" i="147"/>
  <c r="BV727" i="147"/>
  <c r="BV728" i="147"/>
  <c r="BV729" i="147"/>
  <c r="BV730" i="147"/>
  <c r="BV731" i="147"/>
  <c r="BV732" i="147"/>
  <c r="BV733" i="147"/>
  <c r="BV734" i="147"/>
  <c r="BV735" i="147"/>
  <c r="BV736" i="147"/>
  <c r="CH644" i="147"/>
  <c r="CH645" i="147"/>
  <c r="CH646" i="147"/>
  <c r="CH647" i="147"/>
  <c r="CH648" i="147"/>
  <c r="CH651" i="147"/>
  <c r="CH652" i="147"/>
  <c r="CH653" i="147"/>
  <c r="CH654" i="147"/>
  <c r="CH659" i="147"/>
  <c r="CH660" i="147"/>
  <c r="CH661" i="147"/>
  <c r="CH662" i="147"/>
  <c r="CH649" i="147"/>
  <c r="CH656" i="147"/>
  <c r="CH657" i="147"/>
  <c r="CH650" i="147"/>
  <c r="CH655" i="147"/>
  <c r="CH658" i="147"/>
  <c r="CH667" i="147"/>
  <c r="CH668" i="147"/>
  <c r="CH669" i="147"/>
  <c r="CH670" i="147"/>
  <c r="CH671" i="147"/>
  <c r="CH664" i="147"/>
  <c r="CH672" i="147"/>
  <c r="CH673" i="147"/>
  <c r="CH674" i="147"/>
  <c r="CH675" i="147"/>
  <c r="CH676" i="147"/>
  <c r="CH677" i="147"/>
  <c r="CH666" i="147"/>
  <c r="CH665" i="147"/>
  <c r="CH678" i="147"/>
  <c r="CH679" i="147"/>
  <c r="CH680" i="147"/>
  <c r="CH681" i="147"/>
  <c r="CH682" i="147"/>
  <c r="CH683" i="147"/>
  <c r="CH663" i="147"/>
  <c r="CH685" i="147"/>
  <c r="CH686" i="147"/>
  <c r="CH687" i="147"/>
  <c r="CH688" i="147"/>
  <c r="CH690" i="147"/>
  <c r="CH691" i="147"/>
  <c r="CH692" i="147"/>
  <c r="CH693" i="147"/>
  <c r="CH684" i="147"/>
  <c r="CH694" i="147"/>
  <c r="CH695" i="147"/>
  <c r="CH696" i="147"/>
  <c r="CH697" i="147"/>
  <c r="CH698" i="147"/>
  <c r="CH699" i="147"/>
  <c r="CH700" i="147"/>
  <c r="CH701" i="147"/>
  <c r="CH702" i="147"/>
  <c r="CH703" i="147"/>
  <c r="CH704" i="147"/>
  <c r="CH705" i="147"/>
  <c r="CH706" i="147"/>
  <c r="CH707" i="147"/>
  <c r="CH708" i="147"/>
  <c r="CH709" i="147"/>
  <c r="CH710" i="147"/>
  <c r="CH711" i="147"/>
  <c r="CH712" i="147"/>
  <c r="CH713" i="147"/>
  <c r="CH714" i="147"/>
  <c r="CH715" i="147"/>
  <c r="CH716" i="147"/>
  <c r="CH717" i="147"/>
  <c r="CH718" i="147"/>
  <c r="CH719" i="147"/>
  <c r="CH720" i="147"/>
  <c r="CH721" i="147"/>
  <c r="CH722" i="147"/>
  <c r="CH723" i="147"/>
  <c r="CH724" i="147"/>
  <c r="CH725" i="147"/>
  <c r="CH726" i="147"/>
  <c r="CH727" i="147"/>
  <c r="CH729" i="147"/>
  <c r="CH730" i="147"/>
  <c r="CH731" i="147"/>
  <c r="CH732" i="147"/>
  <c r="CH733" i="147"/>
  <c r="CH734" i="147"/>
  <c r="CH735" i="147"/>
  <c r="CH736" i="147"/>
  <c r="CH728" i="147"/>
  <c r="CT649" i="147"/>
  <c r="CT644" i="147"/>
  <c r="CT648" i="147"/>
  <c r="CT655" i="147"/>
  <c r="CT651" i="147"/>
  <c r="CT652" i="147"/>
  <c r="CT653" i="147"/>
  <c r="CT654" i="147"/>
  <c r="CT646" i="147"/>
  <c r="CT645" i="147"/>
  <c r="CT650" i="147"/>
  <c r="CT659" i="147"/>
  <c r="CT660" i="147"/>
  <c r="CT661" i="147"/>
  <c r="CT662" i="147"/>
  <c r="CT647" i="147"/>
  <c r="CT658" i="147"/>
  <c r="CT656" i="147"/>
  <c r="CT657" i="147"/>
  <c r="CT663" i="147"/>
  <c r="CT664" i="147"/>
  <c r="CT665" i="147"/>
  <c r="CT666" i="147"/>
  <c r="CT667" i="147"/>
  <c r="CT668" i="147"/>
  <c r="CT669" i="147"/>
  <c r="CT670" i="147"/>
  <c r="CT671" i="147"/>
  <c r="CT672" i="147"/>
  <c r="CT673" i="147"/>
  <c r="CT674" i="147"/>
  <c r="CT675" i="147"/>
  <c r="CT676" i="147"/>
  <c r="CT677" i="147"/>
  <c r="CT678" i="147"/>
  <c r="CT679" i="147"/>
  <c r="CT680" i="147"/>
  <c r="CT681" i="147"/>
  <c r="CT682" i="147"/>
  <c r="CT684" i="147"/>
  <c r="CT685" i="147"/>
  <c r="CT686" i="147"/>
  <c r="CT687" i="147"/>
  <c r="CT688" i="147"/>
  <c r="CT690" i="147"/>
  <c r="CT691" i="147"/>
  <c r="CT692" i="147"/>
  <c r="CT693" i="147"/>
  <c r="CT683" i="147"/>
  <c r="CT694" i="147"/>
  <c r="CT695" i="147"/>
  <c r="CT696" i="147"/>
  <c r="CT697" i="147"/>
  <c r="CT698" i="147"/>
  <c r="CT699" i="147"/>
  <c r="CT700" i="147"/>
  <c r="CT701" i="147"/>
  <c r="CT702" i="147"/>
  <c r="CT703" i="147"/>
  <c r="CT704" i="147"/>
  <c r="CT705" i="147"/>
  <c r="CT706" i="147"/>
  <c r="CT707" i="147"/>
  <c r="CT708" i="147"/>
  <c r="CT709" i="147"/>
  <c r="CT710" i="147"/>
  <c r="CT711" i="147"/>
  <c r="CT712" i="147"/>
  <c r="CT713" i="147"/>
  <c r="CT714" i="147"/>
  <c r="CT715" i="147"/>
  <c r="CT716" i="147"/>
  <c r="CT717" i="147"/>
  <c r="CT718" i="147"/>
  <c r="CT719" i="147"/>
  <c r="CT720" i="147"/>
  <c r="CT721" i="147"/>
  <c r="CT722" i="147"/>
  <c r="CT723" i="147"/>
  <c r="CT724" i="147"/>
  <c r="CT725" i="147"/>
  <c r="CT726" i="147"/>
  <c r="CT727" i="147"/>
  <c r="CT728" i="147"/>
  <c r="CT729" i="147"/>
  <c r="CT730" i="147"/>
  <c r="CT731" i="147"/>
  <c r="CT732" i="147"/>
  <c r="CT733" i="147"/>
  <c r="CT734" i="147"/>
  <c r="CT735" i="147"/>
  <c r="CT736" i="147"/>
  <c r="DF649" i="147"/>
  <c r="DF646" i="147"/>
  <c r="DF654" i="147"/>
  <c r="DF653" i="147"/>
  <c r="DF645" i="147"/>
  <c r="DF652" i="147"/>
  <c r="DF656" i="147"/>
  <c r="DF657" i="147"/>
  <c r="DF651" i="147"/>
  <c r="DF655" i="147"/>
  <c r="DF659" i="147"/>
  <c r="DF660" i="147"/>
  <c r="DF661" i="147"/>
  <c r="DF662" i="147"/>
  <c r="DF648" i="147"/>
  <c r="DF647" i="147"/>
  <c r="DF644" i="147"/>
  <c r="DF658" i="147"/>
  <c r="DF650" i="147"/>
  <c r="DF665" i="147"/>
  <c r="DF664" i="147"/>
  <c r="DF672" i="147"/>
  <c r="DF673" i="147"/>
  <c r="DF674" i="147"/>
  <c r="DF675" i="147"/>
  <c r="DF676" i="147"/>
  <c r="DF663" i="147"/>
  <c r="DF667" i="147"/>
  <c r="DF668" i="147"/>
  <c r="DF669" i="147"/>
  <c r="DF670" i="147"/>
  <c r="DF671" i="147"/>
  <c r="DF666" i="147"/>
  <c r="DF677" i="147"/>
  <c r="DF678" i="147"/>
  <c r="DF679" i="147"/>
  <c r="DF680" i="147"/>
  <c r="DF681" i="147"/>
  <c r="DF682" i="147"/>
  <c r="DF685" i="147"/>
  <c r="DF686" i="147"/>
  <c r="DF687" i="147"/>
  <c r="DF688" i="147"/>
  <c r="DF690" i="147"/>
  <c r="DF691" i="147"/>
  <c r="DF692" i="147"/>
  <c r="DF693" i="147"/>
  <c r="DF683" i="147"/>
  <c r="DF694" i="147"/>
  <c r="DF695" i="147"/>
  <c r="DF696" i="147"/>
  <c r="DF699" i="147"/>
  <c r="DF700" i="147"/>
  <c r="DF701" i="147"/>
  <c r="DF702" i="147"/>
  <c r="DF703" i="147"/>
  <c r="DF704" i="147"/>
  <c r="DF705" i="147"/>
  <c r="DF706" i="147"/>
  <c r="DF707" i="147"/>
  <c r="DF708" i="147"/>
  <c r="DF709" i="147"/>
  <c r="DF710" i="147"/>
  <c r="DF711" i="147"/>
  <c r="DF712" i="147"/>
  <c r="DF713" i="147"/>
  <c r="DF714" i="147"/>
  <c r="DF715" i="147"/>
  <c r="DF716" i="147"/>
  <c r="DF684" i="147"/>
  <c r="DF717" i="147"/>
  <c r="DF718" i="147"/>
  <c r="DF719" i="147"/>
  <c r="DF720" i="147"/>
  <c r="DF721" i="147"/>
  <c r="DF722" i="147"/>
  <c r="DF723" i="147"/>
  <c r="DF724" i="147"/>
  <c r="DF725" i="147"/>
  <c r="DF726" i="147"/>
  <c r="DF727" i="147"/>
  <c r="DF728" i="147"/>
  <c r="DF729" i="147"/>
  <c r="DF730" i="147"/>
  <c r="DF731" i="147"/>
  <c r="DF732" i="147"/>
  <c r="DF733" i="147"/>
  <c r="DF734" i="147"/>
  <c r="DF735" i="147"/>
  <c r="DF736" i="147"/>
  <c r="DF698" i="147"/>
  <c r="DF697" i="147"/>
  <c r="DR644" i="147"/>
  <c r="DR645" i="147"/>
  <c r="DR646" i="147"/>
  <c r="DR647" i="147"/>
  <c r="DR648" i="147"/>
  <c r="DR651" i="147"/>
  <c r="DR652" i="147"/>
  <c r="DR653" i="147"/>
  <c r="DR654" i="147"/>
  <c r="DR650" i="147"/>
  <c r="DR660" i="147"/>
  <c r="DR661" i="147"/>
  <c r="DR649" i="147"/>
  <c r="DR662" i="147"/>
  <c r="DR663" i="147"/>
  <c r="DR664" i="147"/>
  <c r="DR665" i="147"/>
  <c r="DR666" i="147"/>
  <c r="DR672" i="147"/>
  <c r="DR673" i="147"/>
  <c r="DR674" i="147"/>
  <c r="DR675" i="147"/>
  <c r="DR676" i="147"/>
  <c r="DR678" i="147"/>
  <c r="DR679" i="147"/>
  <c r="DR680" i="147"/>
  <c r="DR681" i="147"/>
  <c r="DR682" i="147"/>
  <c r="DR669" i="147"/>
  <c r="DR668" i="147"/>
  <c r="DR677" i="147"/>
  <c r="DR667" i="147"/>
  <c r="DR671" i="147"/>
  <c r="DR670" i="147"/>
  <c r="DR683" i="147"/>
  <c r="DR685" i="147"/>
  <c r="DR686" i="147"/>
  <c r="DR687" i="147"/>
  <c r="DR688" i="147"/>
  <c r="DR690" i="147"/>
  <c r="DR691" i="147"/>
  <c r="DR692" i="147"/>
  <c r="DR693" i="147"/>
  <c r="DR684" i="147"/>
  <c r="DR694" i="147"/>
  <c r="DR695" i="147"/>
  <c r="DR696" i="147"/>
  <c r="DR697" i="147"/>
  <c r="DR698" i="147"/>
  <c r="DR699" i="147"/>
  <c r="DR700" i="147"/>
  <c r="DR701" i="147"/>
  <c r="DR702" i="147"/>
  <c r="DR703" i="147"/>
  <c r="DR704" i="147"/>
  <c r="DR705" i="147"/>
  <c r="DR706" i="147"/>
  <c r="DR707" i="147"/>
  <c r="DR708" i="147"/>
  <c r="DR709" i="147"/>
  <c r="DR710" i="147"/>
  <c r="DR711" i="147"/>
  <c r="DR712" i="147"/>
  <c r="DR713" i="147"/>
  <c r="DR714" i="147"/>
  <c r="DR715" i="147"/>
  <c r="DR716" i="147"/>
  <c r="DR717" i="147"/>
  <c r="DR718" i="147"/>
  <c r="DR719" i="147"/>
  <c r="DR720" i="147"/>
  <c r="DR721" i="147"/>
  <c r="DR722" i="147"/>
  <c r="DR723" i="147"/>
  <c r="DR724" i="147"/>
  <c r="DR725" i="147"/>
  <c r="DR726" i="147"/>
  <c r="DR727" i="147"/>
  <c r="DR728" i="147"/>
  <c r="DR729" i="147"/>
  <c r="DR730" i="147"/>
  <c r="DR731" i="147"/>
  <c r="DR732" i="147"/>
  <c r="DR733" i="147"/>
  <c r="DR734" i="147"/>
  <c r="DR735" i="147"/>
  <c r="DR736" i="147"/>
  <c r="DR656" i="147"/>
  <c r="DR659" i="147"/>
  <c r="DR658" i="147"/>
  <c r="DR657" i="147"/>
  <c r="EF644" i="147"/>
  <c r="EF645" i="147"/>
  <c r="EF646" i="147"/>
  <c r="EF647" i="147"/>
  <c r="EF648" i="147"/>
  <c r="EF649" i="147"/>
  <c r="EF651" i="147"/>
  <c r="EF652" i="147"/>
  <c r="EF653" i="147"/>
  <c r="EF654" i="147"/>
  <c r="EF650" i="147"/>
  <c r="EF656" i="147"/>
  <c r="EF657" i="147"/>
  <c r="EF655" i="147"/>
  <c r="EF662" i="147"/>
  <c r="EF663" i="147"/>
  <c r="EF664" i="147"/>
  <c r="EF665" i="147"/>
  <c r="EF666" i="147"/>
  <c r="EF660" i="147"/>
  <c r="EF658" i="147"/>
  <c r="EF659" i="147"/>
  <c r="EF667" i="147"/>
  <c r="EF668" i="147"/>
  <c r="EF669" i="147"/>
  <c r="EF670" i="147"/>
  <c r="EF671" i="147"/>
  <c r="EF661" i="147"/>
  <c r="EF672" i="147"/>
  <c r="EF673" i="147"/>
  <c r="EF674" i="147"/>
  <c r="EF675" i="147"/>
  <c r="EF676" i="147"/>
  <c r="EF677" i="147"/>
  <c r="EF678" i="147"/>
  <c r="EF679" i="147"/>
  <c r="EF680" i="147"/>
  <c r="EF681" i="147"/>
  <c r="EF682" i="147"/>
  <c r="EF683" i="147"/>
  <c r="EF684" i="147"/>
  <c r="EF685" i="147"/>
  <c r="EF686" i="147"/>
  <c r="EF687" i="147"/>
  <c r="EF688" i="147"/>
  <c r="EF690" i="147"/>
  <c r="EF691" i="147"/>
  <c r="EF692" i="147"/>
  <c r="EF694" i="147"/>
  <c r="EF695" i="147"/>
  <c r="EF696" i="147"/>
  <c r="EF697" i="147"/>
  <c r="EF698" i="147"/>
  <c r="EF699" i="147"/>
  <c r="EF700" i="147"/>
  <c r="EF701" i="147"/>
  <c r="EF702" i="147"/>
  <c r="EF703" i="147"/>
  <c r="EF704" i="147"/>
  <c r="EF693" i="147"/>
  <c r="EF717" i="147"/>
  <c r="EF718" i="147"/>
  <c r="EF719" i="147"/>
  <c r="EF720" i="147"/>
  <c r="EF721" i="147"/>
  <c r="EF722" i="147"/>
  <c r="EF723" i="147"/>
  <c r="EF724" i="147"/>
  <c r="EF725" i="147"/>
  <c r="EF726" i="147"/>
  <c r="EF727" i="147"/>
  <c r="EF714" i="147"/>
  <c r="EF715" i="147"/>
  <c r="EF716" i="147"/>
  <c r="EF705" i="147"/>
  <c r="EF706" i="147"/>
  <c r="EF707" i="147"/>
  <c r="EF708" i="147"/>
  <c r="EF709" i="147"/>
  <c r="EF710" i="147"/>
  <c r="EF711" i="147"/>
  <c r="EF712" i="147"/>
  <c r="EF713" i="147"/>
  <c r="EF728" i="147"/>
  <c r="EF731" i="147"/>
  <c r="EF729" i="147"/>
  <c r="EF730" i="147"/>
  <c r="EF732" i="147"/>
  <c r="EF733" i="147"/>
  <c r="EF734" i="147"/>
  <c r="EF735" i="147"/>
  <c r="EF736" i="147"/>
  <c r="ER644" i="147"/>
  <c r="ER645" i="147"/>
  <c r="ER646" i="147"/>
  <c r="ER647" i="147"/>
  <c r="ER648" i="147"/>
  <c r="ER649" i="147"/>
  <c r="ER651" i="147"/>
  <c r="ER652" i="147"/>
  <c r="ER653" i="147"/>
  <c r="ER654" i="147"/>
  <c r="ER655" i="147"/>
  <c r="ER656" i="147"/>
  <c r="ER657" i="147"/>
  <c r="ER650" i="147"/>
  <c r="ER662" i="147"/>
  <c r="ER663" i="147"/>
  <c r="ER664" i="147"/>
  <c r="ER665" i="147"/>
  <c r="ER666" i="147"/>
  <c r="ER660" i="147"/>
  <c r="ER661" i="147"/>
  <c r="ER658" i="147"/>
  <c r="ER659" i="147"/>
  <c r="ER667" i="147"/>
  <c r="ER668" i="147"/>
  <c r="ER669" i="147"/>
  <c r="ER670" i="147"/>
  <c r="ER671" i="147"/>
  <c r="ER672" i="147"/>
  <c r="ER673" i="147"/>
  <c r="ER674" i="147"/>
  <c r="ER675" i="147"/>
  <c r="ER676" i="147"/>
  <c r="ER677" i="147"/>
  <c r="ER678" i="147"/>
  <c r="ER679" i="147"/>
  <c r="ER680" i="147"/>
  <c r="ER681" i="147"/>
  <c r="ER682" i="147"/>
  <c r="ER683" i="147"/>
  <c r="ER684" i="147"/>
  <c r="ER685" i="147"/>
  <c r="ER686" i="147"/>
  <c r="ER687" i="147"/>
  <c r="ER688" i="147"/>
  <c r="ER690" i="147"/>
  <c r="ER691" i="147"/>
  <c r="ER692" i="147"/>
  <c r="ER693" i="147"/>
  <c r="ER694" i="147"/>
  <c r="ER695" i="147"/>
  <c r="ER696" i="147"/>
  <c r="ER697" i="147"/>
  <c r="ER698" i="147"/>
  <c r="ER699" i="147"/>
  <c r="ER700" i="147"/>
  <c r="ER701" i="147"/>
  <c r="ER702" i="147"/>
  <c r="ER703" i="147"/>
  <c r="ER704" i="147"/>
  <c r="ER715" i="147"/>
  <c r="ER716" i="147"/>
  <c r="ER717" i="147"/>
  <c r="ER718" i="147"/>
  <c r="ER719" i="147"/>
  <c r="ER720" i="147"/>
  <c r="ER721" i="147"/>
  <c r="ER722" i="147"/>
  <c r="ER723" i="147"/>
  <c r="ER724" i="147"/>
  <c r="ER725" i="147"/>
  <c r="ER726" i="147"/>
  <c r="ER727" i="147"/>
  <c r="ER705" i="147"/>
  <c r="ER706" i="147"/>
  <c r="ER707" i="147"/>
  <c r="ER708" i="147"/>
  <c r="ER709" i="147"/>
  <c r="ER710" i="147"/>
  <c r="ER711" i="147"/>
  <c r="ER712" i="147"/>
  <c r="ER713" i="147"/>
  <c r="ER714" i="147"/>
  <c r="ER732" i="147"/>
  <c r="ER730" i="147"/>
  <c r="ER731" i="147"/>
  <c r="ER728" i="147"/>
  <c r="ER729" i="147"/>
  <c r="ER733" i="147"/>
  <c r="ER734" i="147"/>
  <c r="ER735" i="147"/>
  <c r="ER736" i="147"/>
  <c r="S644" i="147"/>
  <c r="S645" i="147"/>
  <c r="S646" i="147"/>
  <c r="S647" i="147"/>
  <c r="S648" i="147"/>
  <c r="S649" i="147"/>
  <c r="S650" i="147"/>
  <c r="S652" i="147"/>
  <c r="S653" i="147"/>
  <c r="S654" i="147"/>
  <c r="S655" i="147"/>
  <c r="S651" i="147"/>
  <c r="S659" i="147"/>
  <c r="S660" i="147"/>
  <c r="S661" i="147"/>
  <c r="S662" i="147"/>
  <c r="S663" i="147"/>
  <c r="S664" i="147"/>
  <c r="S665" i="147"/>
  <c r="S666" i="147"/>
  <c r="S657" i="147"/>
  <c r="S656" i="147"/>
  <c r="S668" i="147"/>
  <c r="S669" i="147"/>
  <c r="S670" i="147"/>
  <c r="S671" i="147"/>
  <c r="S672" i="147"/>
  <c r="S667" i="147"/>
  <c r="S673" i="147"/>
  <c r="S674" i="147"/>
  <c r="S675" i="147"/>
  <c r="S676" i="147"/>
  <c r="S677" i="147"/>
  <c r="S678" i="147"/>
  <c r="S658" i="147"/>
  <c r="S679" i="147"/>
  <c r="S680" i="147"/>
  <c r="S681" i="147"/>
  <c r="S682" i="147"/>
  <c r="S683" i="147"/>
  <c r="S685" i="147"/>
  <c r="S684" i="147"/>
  <c r="S686" i="147"/>
  <c r="S687" i="147"/>
  <c r="S688" i="147"/>
  <c r="S690" i="147"/>
  <c r="S691" i="147"/>
  <c r="S692" i="147"/>
  <c r="S694" i="147"/>
  <c r="S695" i="147"/>
  <c r="S696" i="147"/>
  <c r="S698" i="147"/>
  <c r="S699" i="147"/>
  <c r="S700" i="147"/>
  <c r="S701" i="147"/>
  <c r="S702" i="147"/>
  <c r="S703" i="147"/>
  <c r="S704" i="147"/>
  <c r="S705" i="147"/>
  <c r="S693" i="147"/>
  <c r="S706" i="147"/>
  <c r="S707" i="147"/>
  <c r="S708" i="147"/>
  <c r="S709" i="147"/>
  <c r="S710" i="147"/>
  <c r="S711" i="147"/>
  <c r="S712" i="147"/>
  <c r="S713" i="147"/>
  <c r="S714" i="147"/>
  <c r="S715" i="147"/>
  <c r="S716" i="147"/>
  <c r="S717" i="147"/>
  <c r="S718" i="147"/>
  <c r="S719" i="147"/>
  <c r="S720" i="147"/>
  <c r="S721" i="147"/>
  <c r="S722" i="147"/>
  <c r="S723" i="147"/>
  <c r="S724" i="147"/>
  <c r="S725" i="147"/>
  <c r="S729" i="147"/>
  <c r="S730" i="147"/>
  <c r="S731" i="147"/>
  <c r="S732" i="147"/>
  <c r="S733" i="147"/>
  <c r="S734" i="147"/>
  <c r="S735" i="147"/>
  <c r="S736" i="147"/>
  <c r="S726" i="147"/>
  <c r="S727" i="147"/>
  <c r="S728" i="147"/>
  <c r="S697" i="147"/>
  <c r="AJ644" i="147"/>
  <c r="AJ645" i="147"/>
  <c r="AJ646" i="147"/>
  <c r="AJ647" i="147"/>
  <c r="AJ648" i="147"/>
  <c r="AJ651" i="147"/>
  <c r="AJ652" i="147"/>
  <c r="AJ653" i="147"/>
  <c r="AJ654" i="147"/>
  <c r="AJ655" i="147"/>
  <c r="AJ649" i="147"/>
  <c r="AJ650" i="147"/>
  <c r="AJ659" i="147"/>
  <c r="AJ660" i="147"/>
  <c r="AJ661" i="147"/>
  <c r="AJ656" i="147"/>
  <c r="AJ657" i="147"/>
  <c r="AJ662" i="147"/>
  <c r="AJ663" i="147"/>
  <c r="AJ664" i="147"/>
  <c r="AJ665" i="147"/>
  <c r="AJ666" i="147"/>
  <c r="AJ667" i="147"/>
  <c r="AJ668" i="147"/>
  <c r="AJ669" i="147"/>
  <c r="AJ670" i="147"/>
  <c r="AJ671" i="147"/>
  <c r="AJ673" i="147"/>
  <c r="AJ674" i="147"/>
  <c r="AJ675" i="147"/>
  <c r="AJ676" i="147"/>
  <c r="AJ677" i="147"/>
  <c r="AJ678" i="147"/>
  <c r="AJ672" i="147"/>
  <c r="AJ686" i="147"/>
  <c r="AJ687" i="147"/>
  <c r="AJ688" i="147"/>
  <c r="AJ690" i="147"/>
  <c r="AJ691" i="147"/>
  <c r="AJ685" i="147"/>
  <c r="AJ683" i="147"/>
  <c r="AJ679" i="147"/>
  <c r="AJ695" i="147"/>
  <c r="AJ696" i="147"/>
  <c r="AJ697" i="147"/>
  <c r="AJ698" i="147"/>
  <c r="AJ699" i="147"/>
  <c r="AJ700" i="147"/>
  <c r="AJ701" i="147"/>
  <c r="AJ702" i="147"/>
  <c r="AJ680" i="147"/>
  <c r="AJ681" i="147"/>
  <c r="AJ692" i="147"/>
  <c r="AJ682" i="147"/>
  <c r="AJ706" i="147"/>
  <c r="AJ707" i="147"/>
  <c r="AJ708" i="147"/>
  <c r="AJ709" i="147"/>
  <c r="AJ710" i="147"/>
  <c r="AJ711" i="147"/>
  <c r="AJ712" i="147"/>
  <c r="AJ713" i="147"/>
  <c r="AJ714" i="147"/>
  <c r="AJ715" i="147"/>
  <c r="AJ716" i="147"/>
  <c r="AJ694" i="147"/>
  <c r="AJ684" i="147"/>
  <c r="AJ704" i="147"/>
  <c r="AJ693" i="147"/>
  <c r="AJ703" i="147"/>
  <c r="AJ705" i="147"/>
  <c r="AJ717" i="147"/>
  <c r="AJ718" i="147"/>
  <c r="AJ719" i="147"/>
  <c r="AJ720" i="147"/>
  <c r="AJ721" i="147"/>
  <c r="AJ722" i="147"/>
  <c r="AJ723" i="147"/>
  <c r="AJ724" i="147"/>
  <c r="AJ725" i="147"/>
  <c r="AJ726" i="147"/>
  <c r="AJ727" i="147"/>
  <c r="AJ728" i="147"/>
  <c r="AJ729" i="147"/>
  <c r="AJ730" i="147"/>
  <c r="AJ731" i="147"/>
  <c r="AJ732" i="147"/>
  <c r="AJ733" i="147"/>
  <c r="AJ734" i="147"/>
  <c r="AJ735" i="147"/>
  <c r="AJ736" i="147"/>
  <c r="AV644" i="147"/>
  <c r="AV645" i="147"/>
  <c r="AV646" i="147"/>
  <c r="AV647" i="147"/>
  <c r="AV648" i="147"/>
  <c r="AV651" i="147"/>
  <c r="AV652" i="147"/>
  <c r="AV653" i="147"/>
  <c r="AV654" i="147"/>
  <c r="AV655" i="147"/>
  <c r="AV649" i="147"/>
  <c r="AV650" i="147"/>
  <c r="AV656" i="147"/>
  <c r="AV657" i="147"/>
  <c r="AV658" i="147"/>
  <c r="AV659" i="147"/>
  <c r="AV660" i="147"/>
  <c r="AV661" i="147"/>
  <c r="AV663" i="147"/>
  <c r="AV664" i="147"/>
  <c r="AV665" i="147"/>
  <c r="AV666" i="147"/>
  <c r="AV662" i="147"/>
  <c r="AV668" i="147"/>
  <c r="AV669" i="147"/>
  <c r="AV670" i="147"/>
  <c r="AV671" i="147"/>
  <c r="AV673" i="147"/>
  <c r="AV674" i="147"/>
  <c r="AV675" i="147"/>
  <c r="AV676" i="147"/>
  <c r="AV677" i="147"/>
  <c r="AV678" i="147"/>
  <c r="AV667" i="147"/>
  <c r="AV672" i="147"/>
  <c r="AV685" i="147"/>
  <c r="AV686" i="147"/>
  <c r="AV687" i="147"/>
  <c r="AV688" i="147"/>
  <c r="AV690" i="147"/>
  <c r="AV691" i="147"/>
  <c r="AV684" i="147"/>
  <c r="AV679" i="147"/>
  <c r="AV680" i="147"/>
  <c r="AV681" i="147"/>
  <c r="AV682" i="147"/>
  <c r="AV683" i="147"/>
  <c r="AV694" i="147"/>
  <c r="AV695" i="147"/>
  <c r="AV696" i="147"/>
  <c r="AV697" i="147"/>
  <c r="AV698" i="147"/>
  <c r="AV699" i="147"/>
  <c r="AV700" i="147"/>
  <c r="AV701" i="147"/>
  <c r="AV702" i="147"/>
  <c r="AV693" i="147"/>
  <c r="AV692" i="147"/>
  <c r="AV706" i="147"/>
  <c r="AV707" i="147"/>
  <c r="AV708" i="147"/>
  <c r="AV709" i="147"/>
  <c r="AV710" i="147"/>
  <c r="AV711" i="147"/>
  <c r="AV712" i="147"/>
  <c r="AV713" i="147"/>
  <c r="AV714" i="147"/>
  <c r="AV715" i="147"/>
  <c r="AV716" i="147"/>
  <c r="AV705" i="147"/>
  <c r="AV704" i="147"/>
  <c r="AV703" i="147"/>
  <c r="AV717" i="147"/>
  <c r="AV718" i="147"/>
  <c r="AV719" i="147"/>
  <c r="AV720" i="147"/>
  <c r="AV721" i="147"/>
  <c r="AV722" i="147"/>
  <c r="AV723" i="147"/>
  <c r="AV724" i="147"/>
  <c r="AV725" i="147"/>
  <c r="AV726" i="147"/>
  <c r="AV727" i="147"/>
  <c r="AV728" i="147"/>
  <c r="AV729" i="147"/>
  <c r="AV730" i="147"/>
  <c r="AV731" i="147"/>
  <c r="AV732" i="147"/>
  <c r="AV733" i="147"/>
  <c r="AV734" i="147"/>
  <c r="AV735" i="147"/>
  <c r="AV736" i="147"/>
  <c r="BK644" i="147"/>
  <c r="BK645" i="147"/>
  <c r="BK647" i="147"/>
  <c r="BK648" i="147"/>
  <c r="BK649" i="147"/>
  <c r="BK650" i="147"/>
  <c r="BK656" i="147"/>
  <c r="BK657" i="147"/>
  <c r="BK658" i="147"/>
  <c r="BK651" i="147"/>
  <c r="BK652" i="147"/>
  <c r="BK653" i="147"/>
  <c r="BK654" i="147"/>
  <c r="BK655" i="147"/>
  <c r="BK659" i="147"/>
  <c r="BK660" i="147"/>
  <c r="BK663" i="147"/>
  <c r="BK664" i="147"/>
  <c r="BK665" i="147"/>
  <c r="BK666" i="147"/>
  <c r="BK662" i="147"/>
  <c r="BK661" i="147"/>
  <c r="BK667" i="147"/>
  <c r="BK668" i="147"/>
  <c r="BK669" i="147"/>
  <c r="BK670" i="147"/>
  <c r="BK671" i="147"/>
  <c r="BK673" i="147"/>
  <c r="BK674" i="147"/>
  <c r="BK675" i="147"/>
  <c r="BK676" i="147"/>
  <c r="BK677" i="147"/>
  <c r="BK678" i="147"/>
  <c r="BK679" i="147"/>
  <c r="BK680" i="147"/>
  <c r="BK681" i="147"/>
  <c r="BK682" i="147"/>
  <c r="BK683" i="147"/>
  <c r="BK684" i="147"/>
  <c r="BK672" i="147"/>
  <c r="BK693" i="147"/>
  <c r="BK692" i="147"/>
  <c r="BK685" i="147"/>
  <c r="BK686" i="147"/>
  <c r="BK687" i="147"/>
  <c r="BK688" i="147"/>
  <c r="BK690" i="147"/>
  <c r="BK691" i="147"/>
  <c r="BK704" i="147"/>
  <c r="BK703" i="147"/>
  <c r="BK706" i="147"/>
  <c r="BK707" i="147"/>
  <c r="BK708" i="147"/>
  <c r="BK709" i="147"/>
  <c r="BK710" i="147"/>
  <c r="BK711" i="147"/>
  <c r="BK712" i="147"/>
  <c r="BK713" i="147"/>
  <c r="BK714" i="147"/>
  <c r="BK715" i="147"/>
  <c r="BK716" i="147"/>
  <c r="BK694" i="147"/>
  <c r="BK695" i="147"/>
  <c r="BK696" i="147"/>
  <c r="BK697" i="147"/>
  <c r="BK698" i="147"/>
  <c r="BK699" i="147"/>
  <c r="BK700" i="147"/>
  <c r="BK701" i="147"/>
  <c r="BK702" i="147"/>
  <c r="BK705" i="147"/>
  <c r="BK717" i="147"/>
  <c r="BK718" i="147"/>
  <c r="BK719" i="147"/>
  <c r="BK720" i="147"/>
  <c r="BK721" i="147"/>
  <c r="BK722" i="147"/>
  <c r="BK723" i="147"/>
  <c r="BK724" i="147"/>
  <c r="BK725" i="147"/>
  <c r="BK726" i="147"/>
  <c r="BK727" i="147"/>
  <c r="BK728" i="147"/>
  <c r="BK729" i="147"/>
  <c r="BK730" i="147"/>
  <c r="BK731" i="147"/>
  <c r="BK732" i="147"/>
  <c r="BK733" i="147"/>
  <c r="BK734" i="147"/>
  <c r="BK735" i="147"/>
  <c r="BK736" i="147"/>
  <c r="BK646" i="147"/>
  <c r="BW644" i="147"/>
  <c r="BW645" i="147"/>
  <c r="BW646" i="147"/>
  <c r="BW647" i="147"/>
  <c r="BW648" i="147"/>
  <c r="BW649" i="147"/>
  <c r="BW650" i="147"/>
  <c r="BW656" i="147"/>
  <c r="BW657" i="147"/>
  <c r="BW658" i="147"/>
  <c r="BW655" i="147"/>
  <c r="BW654" i="147"/>
  <c r="BW659" i="147"/>
  <c r="BW660" i="147"/>
  <c r="BW652" i="147"/>
  <c r="BW651" i="147"/>
  <c r="BW663" i="147"/>
  <c r="BW664" i="147"/>
  <c r="BW665" i="147"/>
  <c r="BW666" i="147"/>
  <c r="BW653" i="147"/>
  <c r="BW662" i="147"/>
  <c r="BW661" i="147"/>
  <c r="BW669" i="147"/>
  <c r="BW678" i="147"/>
  <c r="BW679" i="147"/>
  <c r="BW680" i="147"/>
  <c r="BW681" i="147"/>
  <c r="BW682" i="147"/>
  <c r="BW683" i="147"/>
  <c r="BW684" i="147"/>
  <c r="BW668" i="147"/>
  <c r="BW673" i="147"/>
  <c r="BW674" i="147"/>
  <c r="BW675" i="147"/>
  <c r="BW676" i="147"/>
  <c r="BW677" i="147"/>
  <c r="BW672" i="147"/>
  <c r="BW667" i="147"/>
  <c r="BW671" i="147"/>
  <c r="BW670" i="147"/>
  <c r="BW692" i="147"/>
  <c r="BW685" i="147"/>
  <c r="BW686" i="147"/>
  <c r="BW687" i="147"/>
  <c r="BW688" i="147"/>
  <c r="BW690" i="147"/>
  <c r="BW691" i="147"/>
  <c r="BW693" i="147"/>
  <c r="BW706" i="147"/>
  <c r="BW707" i="147"/>
  <c r="BW708" i="147"/>
  <c r="BW709" i="147"/>
  <c r="BW710" i="147"/>
  <c r="BW711" i="147"/>
  <c r="BW712" i="147"/>
  <c r="BW713" i="147"/>
  <c r="BW714" i="147"/>
  <c r="BW715" i="147"/>
  <c r="BW716" i="147"/>
  <c r="BW703" i="147"/>
  <c r="BW704" i="147"/>
  <c r="BW694" i="147"/>
  <c r="BW695" i="147"/>
  <c r="BW696" i="147"/>
  <c r="BW697" i="147"/>
  <c r="BW698" i="147"/>
  <c r="BW699" i="147"/>
  <c r="BW700" i="147"/>
  <c r="BW701" i="147"/>
  <c r="BW702" i="147"/>
  <c r="BW705" i="147"/>
  <c r="BW717" i="147"/>
  <c r="BW718" i="147"/>
  <c r="BW719" i="147"/>
  <c r="BW720" i="147"/>
  <c r="BW721" i="147"/>
  <c r="BW722" i="147"/>
  <c r="BW723" i="147"/>
  <c r="BW724" i="147"/>
  <c r="BW725" i="147"/>
  <c r="BW726" i="147"/>
  <c r="BW727" i="147"/>
  <c r="BW728" i="147"/>
  <c r="BW729" i="147"/>
  <c r="BW730" i="147"/>
  <c r="BW731" i="147"/>
  <c r="BW732" i="147"/>
  <c r="BW733" i="147"/>
  <c r="BW734" i="147"/>
  <c r="BW735" i="147"/>
  <c r="BW736" i="147"/>
  <c r="CI644" i="147"/>
  <c r="CI645" i="147"/>
  <c r="CI646" i="147"/>
  <c r="CI647" i="147"/>
  <c r="CI648" i="147"/>
  <c r="CI649" i="147"/>
  <c r="CI650" i="147"/>
  <c r="CI655" i="147"/>
  <c r="CI656" i="147"/>
  <c r="CI657" i="147"/>
  <c r="CI658" i="147"/>
  <c r="CI659" i="147"/>
  <c r="CI660" i="147"/>
  <c r="CI654" i="147"/>
  <c r="CI653" i="147"/>
  <c r="CI652" i="147"/>
  <c r="CI651" i="147"/>
  <c r="CI663" i="147"/>
  <c r="CI664" i="147"/>
  <c r="CI665" i="147"/>
  <c r="CI666" i="147"/>
  <c r="CI662" i="147"/>
  <c r="CI661" i="147"/>
  <c r="CI668" i="147"/>
  <c r="CI669" i="147"/>
  <c r="CI670" i="147"/>
  <c r="CI671" i="147"/>
  <c r="CI678" i="147"/>
  <c r="CI679" i="147"/>
  <c r="CI680" i="147"/>
  <c r="CI682" i="147"/>
  <c r="CI683" i="147"/>
  <c r="CI684" i="147"/>
  <c r="CI672" i="147"/>
  <c r="CI673" i="147"/>
  <c r="CI674" i="147"/>
  <c r="CI675" i="147"/>
  <c r="CI676" i="147"/>
  <c r="CI677" i="147"/>
  <c r="CI685" i="147"/>
  <c r="CI686" i="147"/>
  <c r="CI687" i="147"/>
  <c r="CI688" i="147"/>
  <c r="CI692" i="147"/>
  <c r="CI693" i="147"/>
  <c r="CI706" i="147"/>
  <c r="CI707" i="147"/>
  <c r="CI708" i="147"/>
  <c r="CI709" i="147"/>
  <c r="CI710" i="147"/>
  <c r="CI711" i="147"/>
  <c r="CI712" i="147"/>
  <c r="CI713" i="147"/>
  <c r="CI714" i="147"/>
  <c r="CI715" i="147"/>
  <c r="CI716" i="147"/>
  <c r="CI694" i="147"/>
  <c r="CI696" i="147"/>
  <c r="CI697" i="147"/>
  <c r="CI698" i="147"/>
  <c r="CI699" i="147"/>
  <c r="CI700" i="147"/>
  <c r="CI701" i="147"/>
  <c r="CI702" i="147"/>
  <c r="CI704" i="147"/>
  <c r="CI717" i="147"/>
  <c r="CI718" i="147"/>
  <c r="CI719" i="147"/>
  <c r="CI720" i="147"/>
  <c r="CI721" i="147"/>
  <c r="CI722" i="147"/>
  <c r="CI723" i="147"/>
  <c r="CI724" i="147"/>
  <c r="CI725" i="147"/>
  <c r="CI726" i="147"/>
  <c r="CI703" i="147"/>
  <c r="CI705" i="147"/>
  <c r="CI727" i="147"/>
  <c r="CI729" i="147"/>
  <c r="CI730" i="147"/>
  <c r="CI731" i="147"/>
  <c r="CI732" i="147"/>
  <c r="CI733" i="147"/>
  <c r="CI734" i="147"/>
  <c r="CI735" i="147"/>
  <c r="CI736" i="147"/>
  <c r="CI728" i="147"/>
  <c r="CU644" i="147"/>
  <c r="CU645" i="147"/>
  <c r="CU646" i="147"/>
  <c r="CU647" i="147"/>
  <c r="CU648" i="147"/>
  <c r="CU649" i="147"/>
  <c r="CU650" i="147"/>
  <c r="CU655" i="147"/>
  <c r="CU656" i="147"/>
  <c r="CU657" i="147"/>
  <c r="CU652" i="147"/>
  <c r="CU651" i="147"/>
  <c r="CU659" i="147"/>
  <c r="CU660" i="147"/>
  <c r="CU658" i="147"/>
  <c r="CU663" i="147"/>
  <c r="CU664" i="147"/>
  <c r="CU665" i="147"/>
  <c r="CU666" i="147"/>
  <c r="CU654" i="147"/>
  <c r="CU661" i="147"/>
  <c r="CU662" i="147"/>
  <c r="CU653" i="147"/>
  <c r="CU669" i="147"/>
  <c r="CU678" i="147"/>
  <c r="CU679" i="147"/>
  <c r="CU680" i="147"/>
  <c r="CU681" i="147"/>
  <c r="CU682" i="147"/>
  <c r="CU683" i="147"/>
  <c r="CU684" i="147"/>
  <c r="CU668" i="147"/>
  <c r="CU667" i="147"/>
  <c r="CU671" i="147"/>
  <c r="CU670" i="147"/>
  <c r="CU672" i="147"/>
  <c r="CU673" i="147"/>
  <c r="CU674" i="147"/>
  <c r="CU675" i="147"/>
  <c r="CU676" i="147"/>
  <c r="CU677" i="147"/>
  <c r="CU692" i="147"/>
  <c r="CU693" i="147"/>
  <c r="CU685" i="147"/>
  <c r="CU686" i="147"/>
  <c r="CU687" i="147"/>
  <c r="CU688" i="147"/>
  <c r="CU690" i="147"/>
  <c r="CU691" i="147"/>
  <c r="CU702" i="147"/>
  <c r="CU703" i="147"/>
  <c r="CU704" i="147"/>
  <c r="CU706" i="147"/>
  <c r="CU707" i="147"/>
  <c r="CU708" i="147"/>
  <c r="CU709" i="147"/>
  <c r="CU710" i="147"/>
  <c r="CU711" i="147"/>
  <c r="CU712" i="147"/>
  <c r="CU713" i="147"/>
  <c r="CU714" i="147"/>
  <c r="CU715" i="147"/>
  <c r="CU716" i="147"/>
  <c r="CU694" i="147"/>
  <c r="CU695" i="147"/>
  <c r="CU696" i="147"/>
  <c r="CU697" i="147"/>
  <c r="CU698" i="147"/>
  <c r="CU699" i="147"/>
  <c r="CU700" i="147"/>
  <c r="CU701" i="147"/>
  <c r="CU705" i="147"/>
  <c r="CU717" i="147"/>
  <c r="CU718" i="147"/>
  <c r="CU719" i="147"/>
  <c r="CU720" i="147"/>
  <c r="CU721" i="147"/>
  <c r="CU722" i="147"/>
  <c r="CU723" i="147"/>
  <c r="CU724" i="147"/>
  <c r="CU725" i="147"/>
  <c r="CU726" i="147"/>
  <c r="CU727" i="147"/>
  <c r="CU728" i="147"/>
  <c r="CU729" i="147"/>
  <c r="CU730" i="147"/>
  <c r="CU731" i="147"/>
  <c r="CU732" i="147"/>
  <c r="CU733" i="147"/>
  <c r="CU734" i="147"/>
  <c r="CU735" i="147"/>
  <c r="CU736" i="147"/>
  <c r="DG644" i="147"/>
  <c r="DG645" i="147"/>
  <c r="DG646" i="147"/>
  <c r="DG647" i="147"/>
  <c r="DG648" i="147"/>
  <c r="DG649" i="147"/>
  <c r="DG650" i="147"/>
  <c r="DG651" i="147"/>
  <c r="DG652" i="147"/>
  <c r="DG653" i="147"/>
  <c r="DG654" i="147"/>
  <c r="DG656" i="147"/>
  <c r="DG657" i="147"/>
  <c r="DG655" i="147"/>
  <c r="DG659" i="147"/>
  <c r="DG660" i="147"/>
  <c r="DG658" i="147"/>
  <c r="DG662" i="147"/>
  <c r="DG663" i="147"/>
  <c r="DG664" i="147"/>
  <c r="DG665" i="147"/>
  <c r="DG666" i="147"/>
  <c r="DG661" i="147"/>
  <c r="DG667" i="147"/>
  <c r="DG668" i="147"/>
  <c r="DG669" i="147"/>
  <c r="DG670" i="147"/>
  <c r="DG671" i="147"/>
  <c r="DG672" i="147"/>
  <c r="DG673" i="147"/>
  <c r="DG674" i="147"/>
  <c r="DG675" i="147"/>
  <c r="DG676" i="147"/>
  <c r="DG677" i="147"/>
  <c r="DG678" i="147"/>
  <c r="DG679" i="147"/>
  <c r="DG680" i="147"/>
  <c r="DG681" i="147"/>
  <c r="DG682" i="147"/>
  <c r="DG683" i="147"/>
  <c r="DG684" i="147"/>
  <c r="DG692" i="147"/>
  <c r="DG685" i="147"/>
  <c r="DG686" i="147"/>
  <c r="DG687" i="147"/>
  <c r="DG688" i="147"/>
  <c r="DG690" i="147"/>
  <c r="DG693" i="147"/>
  <c r="DG694" i="147"/>
  <c r="DG695" i="147"/>
  <c r="DG696" i="147"/>
  <c r="DG697" i="147"/>
  <c r="DG698" i="147"/>
  <c r="DG699" i="147"/>
  <c r="DG700" i="147"/>
  <c r="DG701" i="147"/>
  <c r="DG702" i="147"/>
  <c r="DG706" i="147"/>
  <c r="DG707" i="147"/>
  <c r="DG708" i="147"/>
  <c r="DG709" i="147"/>
  <c r="DG710" i="147"/>
  <c r="DG711" i="147"/>
  <c r="DG712" i="147"/>
  <c r="DG713" i="147"/>
  <c r="DG714" i="147"/>
  <c r="DG715" i="147"/>
  <c r="DG716" i="147"/>
  <c r="DG703" i="147"/>
  <c r="DG704" i="147"/>
  <c r="DG705" i="147"/>
  <c r="DG691" i="147"/>
  <c r="DG717" i="147"/>
  <c r="DG718" i="147"/>
  <c r="DG719" i="147"/>
  <c r="DG720" i="147"/>
  <c r="DG721" i="147"/>
  <c r="DG722" i="147"/>
  <c r="DG723" i="147"/>
  <c r="DG724" i="147"/>
  <c r="DG725" i="147"/>
  <c r="DG726" i="147"/>
  <c r="DG727" i="147"/>
  <c r="DG728" i="147"/>
  <c r="DG729" i="147"/>
  <c r="DG730" i="147"/>
  <c r="DG731" i="147"/>
  <c r="DG732" i="147"/>
  <c r="DG733" i="147"/>
  <c r="DG734" i="147"/>
  <c r="DG735" i="147"/>
  <c r="DG736" i="147"/>
  <c r="DS644" i="147"/>
  <c r="DS645" i="147"/>
  <c r="DS646" i="147"/>
  <c r="DS647" i="147"/>
  <c r="DS648" i="147"/>
  <c r="DS649" i="147"/>
  <c r="DS650" i="147"/>
  <c r="DS656" i="147"/>
  <c r="DS657" i="147"/>
  <c r="DS651" i="147"/>
  <c r="DS652" i="147"/>
  <c r="DS654" i="147"/>
  <c r="DS655" i="147"/>
  <c r="DS658" i="147"/>
  <c r="DS659" i="147"/>
  <c r="DS660" i="147"/>
  <c r="DS662" i="147"/>
  <c r="DS663" i="147"/>
  <c r="DS664" i="147"/>
  <c r="DS665" i="147"/>
  <c r="DS666" i="147"/>
  <c r="DS661" i="147"/>
  <c r="DS670" i="147"/>
  <c r="DS678" i="147"/>
  <c r="DS679" i="147"/>
  <c r="DS680" i="147"/>
  <c r="DS681" i="147"/>
  <c r="DS682" i="147"/>
  <c r="DS683" i="147"/>
  <c r="DS684" i="147"/>
  <c r="DS669" i="147"/>
  <c r="DS672" i="147"/>
  <c r="DS673" i="147"/>
  <c r="DS674" i="147"/>
  <c r="DS675" i="147"/>
  <c r="DS676" i="147"/>
  <c r="DS668" i="147"/>
  <c r="DS677" i="147"/>
  <c r="DS667" i="147"/>
  <c r="DS671" i="147"/>
  <c r="DS692" i="147"/>
  <c r="DS691" i="147"/>
  <c r="DS693" i="147"/>
  <c r="DS685" i="147"/>
  <c r="DS686" i="147"/>
  <c r="DS687" i="147"/>
  <c r="DS688" i="147"/>
  <c r="DS690" i="147"/>
  <c r="DS694" i="147"/>
  <c r="DS695" i="147"/>
  <c r="DS696" i="147"/>
  <c r="DS697" i="147"/>
  <c r="DS698" i="147"/>
  <c r="DS699" i="147"/>
  <c r="DS700" i="147"/>
  <c r="DS701" i="147"/>
  <c r="DS706" i="147"/>
  <c r="DS707" i="147"/>
  <c r="DS708" i="147"/>
  <c r="DS709" i="147"/>
  <c r="DS710" i="147"/>
  <c r="DS711" i="147"/>
  <c r="DS712" i="147"/>
  <c r="DS713" i="147"/>
  <c r="DS714" i="147"/>
  <c r="DS715" i="147"/>
  <c r="DS716" i="147"/>
  <c r="DS702" i="147"/>
  <c r="DS705" i="147"/>
  <c r="DS703" i="147"/>
  <c r="DS717" i="147"/>
  <c r="DS718" i="147"/>
  <c r="DS719" i="147"/>
  <c r="DS720" i="147"/>
  <c r="DS721" i="147"/>
  <c r="DS722" i="147"/>
  <c r="DS723" i="147"/>
  <c r="DS724" i="147"/>
  <c r="DS725" i="147"/>
  <c r="DS726" i="147"/>
  <c r="DS704" i="147"/>
  <c r="DS727" i="147"/>
  <c r="DS728" i="147"/>
  <c r="DS729" i="147"/>
  <c r="DS730" i="147"/>
  <c r="DS731" i="147"/>
  <c r="DS732" i="147"/>
  <c r="DS733" i="147"/>
  <c r="DS734" i="147"/>
  <c r="DS735" i="147"/>
  <c r="DS736" i="147"/>
  <c r="EG644" i="147"/>
  <c r="EG645" i="147"/>
  <c r="EG646" i="147"/>
  <c r="EG647" i="147"/>
  <c r="EG648" i="147"/>
  <c r="EG649" i="147"/>
  <c r="EG650" i="147"/>
  <c r="EG656" i="147"/>
  <c r="EG657" i="147"/>
  <c r="EG655" i="147"/>
  <c r="EG658" i="147"/>
  <c r="EG659" i="147"/>
  <c r="EG660" i="147"/>
  <c r="EG654" i="147"/>
  <c r="EG653" i="147"/>
  <c r="EG652" i="147"/>
  <c r="EG661" i="147"/>
  <c r="EG651" i="147"/>
  <c r="EG662" i="147"/>
  <c r="EG663" i="147"/>
  <c r="EG664" i="147"/>
  <c r="EG665" i="147"/>
  <c r="EG666" i="147"/>
  <c r="EG667" i="147"/>
  <c r="EG668" i="147"/>
  <c r="EG669" i="147"/>
  <c r="EG670" i="147"/>
  <c r="EG671" i="147"/>
  <c r="EG672" i="147"/>
  <c r="EG673" i="147"/>
  <c r="EG674" i="147"/>
  <c r="EG675" i="147"/>
  <c r="EG676" i="147"/>
  <c r="EG677" i="147"/>
  <c r="EG678" i="147"/>
  <c r="EG679" i="147"/>
  <c r="EG680" i="147"/>
  <c r="EG681" i="147"/>
  <c r="EG682" i="147"/>
  <c r="EG685" i="147"/>
  <c r="EG686" i="147"/>
  <c r="EG687" i="147"/>
  <c r="EG688" i="147"/>
  <c r="EG690" i="147"/>
  <c r="EG683" i="147"/>
  <c r="EG684" i="147"/>
  <c r="EG691" i="147"/>
  <c r="EG694" i="147"/>
  <c r="EG695" i="147"/>
  <c r="EG696" i="147"/>
  <c r="EG697" i="147"/>
  <c r="EG698" i="147"/>
  <c r="EG699" i="147"/>
  <c r="EG700" i="147"/>
  <c r="EG701" i="147"/>
  <c r="EG702" i="147"/>
  <c r="EG692" i="147"/>
  <c r="EG693" i="147"/>
  <c r="EG703" i="147"/>
  <c r="EG704" i="147"/>
  <c r="EG705" i="147"/>
  <c r="EG706" i="147"/>
  <c r="EG707" i="147"/>
  <c r="EG708" i="147"/>
  <c r="EG709" i="147"/>
  <c r="EG710" i="147"/>
  <c r="EG711" i="147"/>
  <c r="EG712" i="147"/>
  <c r="EG713" i="147"/>
  <c r="EG714" i="147"/>
  <c r="EG715" i="147"/>
  <c r="EG716" i="147"/>
  <c r="EG717" i="147"/>
  <c r="EG718" i="147"/>
  <c r="EG719" i="147"/>
  <c r="EG720" i="147"/>
  <c r="EG721" i="147"/>
  <c r="EG722" i="147"/>
  <c r="EG723" i="147"/>
  <c r="EG724" i="147"/>
  <c r="EG725" i="147"/>
  <c r="EG726" i="147"/>
  <c r="EG727" i="147"/>
  <c r="EG728" i="147"/>
  <c r="EG729" i="147"/>
  <c r="EG730" i="147"/>
  <c r="EG731" i="147"/>
  <c r="EG732" i="147"/>
  <c r="EG733" i="147"/>
  <c r="EG734" i="147"/>
  <c r="EG735" i="147"/>
  <c r="EG736" i="147"/>
  <c r="ES644" i="147"/>
  <c r="ES645" i="147"/>
  <c r="ES646" i="147"/>
  <c r="ES647" i="147"/>
  <c r="ES648" i="147"/>
  <c r="ES649" i="147"/>
  <c r="ES650" i="147"/>
  <c r="ES655" i="147"/>
  <c r="ES656" i="147"/>
  <c r="ES657" i="147"/>
  <c r="ES651" i="147"/>
  <c r="ES658" i="147"/>
  <c r="ES659" i="147"/>
  <c r="ES660" i="147"/>
  <c r="ES654" i="147"/>
  <c r="ES662" i="147"/>
  <c r="ES663" i="147"/>
  <c r="ES664" i="147"/>
  <c r="ES665" i="147"/>
  <c r="ES666" i="147"/>
  <c r="ES653" i="147"/>
  <c r="ES661" i="147"/>
  <c r="ES667" i="147"/>
  <c r="ES668" i="147"/>
  <c r="ES669" i="147"/>
  <c r="ES670" i="147"/>
  <c r="ES671" i="147"/>
  <c r="ES652" i="147"/>
  <c r="ES672" i="147"/>
  <c r="ES673" i="147"/>
  <c r="ES674" i="147"/>
  <c r="ES675" i="147"/>
  <c r="ES676" i="147"/>
  <c r="ES677" i="147"/>
  <c r="ES678" i="147"/>
  <c r="ES679" i="147"/>
  <c r="ES680" i="147"/>
  <c r="ES681" i="147"/>
  <c r="ES682" i="147"/>
  <c r="ES683" i="147"/>
  <c r="ES684" i="147"/>
  <c r="ES685" i="147"/>
  <c r="ES686" i="147"/>
  <c r="ES687" i="147"/>
  <c r="ES688" i="147"/>
  <c r="ES690" i="147"/>
  <c r="ES692" i="147"/>
  <c r="ES694" i="147"/>
  <c r="ES695" i="147"/>
  <c r="ES696" i="147"/>
  <c r="ES697" i="147"/>
  <c r="ES698" i="147"/>
  <c r="ES699" i="147"/>
  <c r="ES700" i="147"/>
  <c r="ES701" i="147"/>
  <c r="ES702" i="147"/>
  <c r="ES691" i="147"/>
  <c r="ES705" i="147"/>
  <c r="ES706" i="147"/>
  <c r="ES707" i="147"/>
  <c r="ES708" i="147"/>
  <c r="ES709" i="147"/>
  <c r="ES710" i="147"/>
  <c r="ES711" i="147"/>
  <c r="ES712" i="147"/>
  <c r="ES713" i="147"/>
  <c r="ES714" i="147"/>
  <c r="ES715" i="147"/>
  <c r="ES716" i="147"/>
  <c r="ES703" i="147"/>
  <c r="ES704" i="147"/>
  <c r="ES693" i="147"/>
  <c r="ES717" i="147"/>
  <c r="ES718" i="147"/>
  <c r="ES719" i="147"/>
  <c r="ES720" i="147"/>
  <c r="ES721" i="147"/>
  <c r="ES722" i="147"/>
  <c r="ES723" i="147"/>
  <c r="ES724" i="147"/>
  <c r="ES725" i="147"/>
  <c r="ES726" i="147"/>
  <c r="ES727" i="147"/>
  <c r="ES728" i="147"/>
  <c r="ES729" i="147"/>
  <c r="ES730" i="147"/>
  <c r="ES731" i="147"/>
  <c r="ES732" i="147"/>
  <c r="ES733" i="147"/>
  <c r="ES734" i="147"/>
  <c r="ES735" i="147"/>
  <c r="ES736" i="147"/>
  <c r="CT414" i="147"/>
  <c r="DF426" i="147"/>
  <c r="DF427" i="147"/>
  <c r="DF428" i="147"/>
  <c r="AU474" i="147"/>
  <c r="DF534" i="147"/>
  <c r="AU549" i="147"/>
  <c r="DF451" i="147"/>
  <c r="AU483" i="147"/>
  <c r="AU544" i="147"/>
  <c r="AU548" i="147"/>
  <c r="AU550" i="147"/>
  <c r="AU556" i="147"/>
  <c r="AU568" i="147"/>
  <c r="AU575" i="147"/>
  <c r="BV469" i="147"/>
  <c r="AU476" i="147"/>
  <c r="DF520" i="147"/>
  <c r="R533" i="147"/>
  <c r="AU547" i="147"/>
  <c r="AU553" i="147"/>
  <c r="DF576" i="147"/>
  <c r="DF620" i="147"/>
  <c r="BJ639" i="147"/>
  <c r="AU448" i="147"/>
  <c r="DF484" i="147"/>
  <c r="AU546" i="147"/>
  <c r="AU554" i="147"/>
  <c r="DF577" i="147"/>
  <c r="DF581" i="147"/>
  <c r="CT432" i="147"/>
  <c r="BV461" i="147"/>
  <c r="BV491" i="147"/>
  <c r="AU536" i="147"/>
  <c r="DF549" i="147"/>
  <c r="DF551" i="147"/>
  <c r="DF552" i="147"/>
  <c r="AU558" i="147"/>
  <c r="DF570" i="147"/>
  <c r="AU579" i="147"/>
  <c r="AU590" i="147"/>
  <c r="AI602" i="147"/>
  <c r="AU479" i="147"/>
  <c r="DF485" i="147"/>
  <c r="AU537" i="147"/>
  <c r="AU542" i="147"/>
  <c r="DF548" i="147"/>
  <c r="AU574" i="147"/>
  <c r="AU593" i="147"/>
  <c r="DF605" i="147"/>
  <c r="DF423" i="147"/>
  <c r="CT431" i="147"/>
  <c r="AU475" i="147"/>
  <c r="AU535" i="147"/>
  <c r="DF556" i="147"/>
  <c r="DF559" i="147"/>
  <c r="AU564" i="147"/>
  <c r="AU565" i="147"/>
  <c r="AU566" i="147"/>
  <c r="AI399" i="147"/>
  <c r="DF453" i="147"/>
  <c r="BV498" i="147"/>
  <c r="DF553" i="147"/>
  <c r="AU585" i="147"/>
  <c r="AU591" i="147"/>
  <c r="AU592" i="147"/>
  <c r="DF614" i="147"/>
  <c r="CT381" i="147"/>
  <c r="DF457" i="147"/>
  <c r="DF482" i="147"/>
  <c r="BV503" i="147"/>
  <c r="AU545" i="147"/>
  <c r="AU573" i="147"/>
  <c r="AU576" i="147"/>
  <c r="AU578" i="147"/>
  <c r="BV436" i="147"/>
  <c r="DF533" i="147"/>
  <c r="AU551" i="147"/>
  <c r="AU552" i="147"/>
  <c r="AU570" i="147"/>
  <c r="AL392" i="147"/>
  <c r="CF392" i="147"/>
  <c r="AL394" i="147"/>
  <c r="AO394" i="147"/>
  <c r="B397" i="147"/>
  <c r="AN397" i="147"/>
  <c r="AR371" i="147"/>
  <c r="AR373" i="147" s="1"/>
  <c r="AR405" i="147"/>
  <c r="B406" i="147"/>
  <c r="AN406" i="147"/>
  <c r="AQ1163" i="489"/>
  <c r="AQ406" i="147"/>
  <c r="CF1163" i="489"/>
  <c r="CF406" i="147"/>
  <c r="B412" i="147"/>
  <c r="AQ412" i="147"/>
  <c r="CF1023" i="489"/>
  <c r="CF412" i="147"/>
  <c r="AH415" i="147"/>
  <c r="AQ415" i="147"/>
  <c r="CF1135" i="489"/>
  <c r="CF415" i="147"/>
  <c r="CV415" i="147"/>
  <c r="B419" i="147"/>
  <c r="AF1164" i="489"/>
  <c r="AF1172" i="489" s="1"/>
  <c r="AF1179" i="489" s="1"/>
  <c r="AF422" i="147"/>
  <c r="AK1164" i="489"/>
  <c r="AK422" i="147"/>
  <c r="AT1164" i="489"/>
  <c r="AT1172" i="489" s="1"/>
  <c r="AT1179" i="489" s="1"/>
  <c r="AT422" i="147"/>
  <c r="BS1164" i="489"/>
  <c r="BS422" i="147"/>
  <c r="CZ1164" i="489"/>
  <c r="CZ422" i="147"/>
  <c r="DF1164" i="489"/>
  <c r="DF422" i="147"/>
  <c r="Y424" i="147"/>
  <c r="AK424" i="147"/>
  <c r="AQ424" i="147"/>
  <c r="DM1192" i="489"/>
  <c r="DM1200" i="489" s="1"/>
  <c r="DM1207" i="489" s="1"/>
  <c r="DM424" i="147"/>
  <c r="AV425" i="147"/>
  <c r="CF425" i="147"/>
  <c r="DC425" i="147"/>
  <c r="AE426" i="147"/>
  <c r="Y432" i="147"/>
  <c r="AK432" i="147"/>
  <c r="Y433" i="147"/>
  <c r="AK433" i="147"/>
  <c r="CS440" i="147"/>
  <c r="AH442" i="147"/>
  <c r="AQ442" i="147"/>
  <c r="Y447" i="147"/>
  <c r="AK447" i="147"/>
  <c r="AT447" i="147"/>
  <c r="CS447" i="147"/>
  <c r="DL447" i="147"/>
  <c r="CS1192" i="489"/>
  <c r="CS449" i="147"/>
  <c r="AH1024" i="489"/>
  <c r="AH450" i="147"/>
  <c r="CH1024" i="489"/>
  <c r="CH1032" i="489" s="1"/>
  <c r="CH1265" i="489" s="1"/>
  <c r="CH1267" i="489" s="1"/>
  <c r="CH450" i="147"/>
  <c r="DC1024" i="489"/>
  <c r="DC450" i="147"/>
  <c r="Y1052" i="489"/>
  <c r="Y1060" i="489" s="1"/>
  <c r="Y1067" i="489" s="1"/>
  <c r="Y458" i="147"/>
  <c r="AK1052" i="489"/>
  <c r="AK458" i="147"/>
  <c r="CF1052" i="489"/>
  <c r="CF458" i="147"/>
  <c r="U467" i="147"/>
  <c r="AK478" i="147"/>
  <c r="AU478" i="147"/>
  <c r="CF478" i="147"/>
  <c r="CS478" i="147"/>
  <c r="DF478" i="147"/>
  <c r="V481" i="147"/>
  <c r="AF481" i="147"/>
  <c r="AK481" i="147"/>
  <c r="AU481" i="147"/>
  <c r="BS481" i="147"/>
  <c r="CS481" i="147"/>
  <c r="BT486" i="147"/>
  <c r="V506" i="147"/>
  <c r="CZ506" i="147"/>
  <c r="BU1013" i="489"/>
  <c r="BU1022" i="489" s="1"/>
  <c r="BU1039" i="489" s="1"/>
  <c r="BU512" i="147"/>
  <c r="CI1013" i="489"/>
  <c r="CI1022" i="489" s="1"/>
  <c r="CI1039" i="489" s="1"/>
  <c r="CI512" i="147"/>
  <c r="DD1013" i="489"/>
  <c r="DD512" i="147"/>
  <c r="B522" i="147"/>
  <c r="V522" i="147"/>
  <c r="DC522" i="147"/>
  <c r="J541" i="147"/>
  <c r="AK1221" i="489"/>
  <c r="AK541" i="147"/>
  <c r="AQ1221" i="489"/>
  <c r="AQ541" i="147"/>
  <c r="J555" i="147"/>
  <c r="AK555" i="147"/>
  <c r="AU555" i="147"/>
  <c r="J557" i="147"/>
  <c r="AK557" i="147"/>
  <c r="AU557" i="147"/>
  <c r="J560" i="147"/>
  <c r="V560" i="147"/>
  <c r="CF560" i="147"/>
  <c r="DD560" i="147"/>
  <c r="DC582" i="147"/>
  <c r="BT595" i="147"/>
  <c r="V601" i="147"/>
  <c r="BD371" i="147"/>
  <c r="BD636" i="147"/>
  <c r="BK371" i="147"/>
  <c r="BK640" i="147"/>
  <c r="DS371" i="147"/>
  <c r="EY330" i="147"/>
  <c r="J377" i="147"/>
  <c r="J379" i="147"/>
  <c r="J381" i="147"/>
  <c r="J383" i="147"/>
  <c r="J385" i="147"/>
  <c r="J387" i="147"/>
  <c r="J389" i="147"/>
  <c r="J391" i="147"/>
  <c r="J393" i="147"/>
  <c r="J395" i="147"/>
  <c r="J397" i="147"/>
  <c r="J399" i="147"/>
  <c r="J401" i="147"/>
  <c r="J403" i="147"/>
  <c r="J405" i="147"/>
  <c r="J407" i="147"/>
  <c r="J409" i="147"/>
  <c r="J411" i="147"/>
  <c r="J413" i="147"/>
  <c r="J415" i="147"/>
  <c r="J417" i="147"/>
  <c r="J419" i="147"/>
  <c r="J421" i="147"/>
  <c r="J423" i="147"/>
  <c r="J425" i="147"/>
  <c r="J427" i="147"/>
  <c r="J429" i="147"/>
  <c r="J431" i="147"/>
  <c r="J433" i="147"/>
  <c r="J435" i="147"/>
  <c r="J437" i="147"/>
  <c r="J439" i="147"/>
  <c r="J441" i="147"/>
  <c r="J443" i="147"/>
  <c r="J445" i="147"/>
  <c r="J447" i="147"/>
  <c r="J449" i="147"/>
  <c r="J453" i="147"/>
  <c r="J455" i="147"/>
  <c r="J457" i="147"/>
  <c r="J459" i="147"/>
  <c r="J461" i="147"/>
  <c r="J463" i="147"/>
  <c r="J465" i="147"/>
  <c r="J467" i="147"/>
  <c r="J469" i="147"/>
  <c r="J471" i="147"/>
  <c r="J473" i="147"/>
  <c r="J475" i="147"/>
  <c r="J477" i="147"/>
  <c r="J479" i="147"/>
  <c r="J481" i="147"/>
  <c r="J483" i="147"/>
  <c r="J485" i="147"/>
  <c r="J487" i="147"/>
  <c r="J489" i="147"/>
  <c r="J491" i="147"/>
  <c r="J493" i="147"/>
  <c r="J495" i="147"/>
  <c r="J497" i="147"/>
  <c r="J499" i="147"/>
  <c r="J501" i="147"/>
  <c r="J503" i="147"/>
  <c r="J505" i="147"/>
  <c r="J507" i="147"/>
  <c r="J509" i="147"/>
  <c r="J511" i="147"/>
  <c r="J513" i="147"/>
  <c r="J515" i="147"/>
  <c r="J517" i="147"/>
  <c r="J519" i="147"/>
  <c r="J521" i="147"/>
  <c r="J523" i="147"/>
  <c r="J525" i="147"/>
  <c r="J527" i="147"/>
  <c r="J529" i="147"/>
  <c r="J531" i="147"/>
  <c r="J533" i="147"/>
  <c r="J535" i="147"/>
  <c r="J574" i="147"/>
  <c r="J576" i="147"/>
  <c r="J578" i="147"/>
  <c r="J580" i="147"/>
  <c r="J582" i="147"/>
  <c r="J584" i="147"/>
  <c r="J586" i="147"/>
  <c r="J588" i="147"/>
  <c r="J590" i="147"/>
  <c r="J592" i="147"/>
  <c r="J594" i="147"/>
  <c r="J596" i="147"/>
  <c r="J601" i="147"/>
  <c r="J603" i="147"/>
  <c r="J605" i="147"/>
  <c r="J607" i="147"/>
  <c r="J609" i="147"/>
  <c r="J611" i="147"/>
  <c r="J613" i="147"/>
  <c r="J615" i="147"/>
  <c r="J617" i="147"/>
  <c r="J619" i="147"/>
  <c r="J621" i="147"/>
  <c r="J623" i="147"/>
  <c r="J625" i="147"/>
  <c r="J627" i="147"/>
  <c r="J629" i="147"/>
  <c r="J632" i="147"/>
  <c r="J634" i="147"/>
  <c r="J636" i="147"/>
  <c r="J638" i="147"/>
  <c r="J640" i="147"/>
  <c r="J642" i="147"/>
  <c r="J644" i="147"/>
  <c r="J376" i="147"/>
  <c r="J378" i="147"/>
  <c r="J380" i="147"/>
  <c r="J382" i="147"/>
  <c r="J384" i="147"/>
  <c r="J386" i="147"/>
  <c r="J388" i="147"/>
  <c r="J390" i="147"/>
  <c r="J392" i="147"/>
  <c r="J394" i="147"/>
  <c r="J396" i="147"/>
  <c r="J398" i="147"/>
  <c r="J400" i="147"/>
  <c r="J402" i="147"/>
  <c r="J404" i="147"/>
  <c r="J406" i="147"/>
  <c r="J408" i="147"/>
  <c r="J410" i="147"/>
  <c r="J412" i="147"/>
  <c r="J414" i="147"/>
  <c r="J416" i="147"/>
  <c r="J418" i="147"/>
  <c r="J420" i="147"/>
  <c r="J422" i="147"/>
  <c r="J424" i="147"/>
  <c r="J426" i="147"/>
  <c r="J428" i="147"/>
  <c r="J430" i="147"/>
  <c r="J432" i="147"/>
  <c r="J434" i="147"/>
  <c r="J436" i="147"/>
  <c r="J438" i="147"/>
  <c r="J440" i="147"/>
  <c r="J442" i="147"/>
  <c r="J444" i="147"/>
  <c r="J446" i="147"/>
  <c r="J448" i="147"/>
  <c r="J450" i="147"/>
  <c r="J454" i="147"/>
  <c r="J456" i="147"/>
  <c r="J458" i="147"/>
  <c r="J460" i="147"/>
  <c r="J462" i="147"/>
  <c r="J464" i="147"/>
  <c r="J466" i="147"/>
  <c r="J468" i="147"/>
  <c r="J470" i="147"/>
  <c r="J472" i="147"/>
  <c r="J474" i="147"/>
  <c r="J476" i="147"/>
  <c r="J478" i="147"/>
  <c r="J480" i="147"/>
  <c r="J482" i="147"/>
  <c r="J484" i="147"/>
  <c r="J486" i="147"/>
  <c r="J488" i="147"/>
  <c r="J490" i="147"/>
  <c r="J492" i="147"/>
  <c r="J494" i="147"/>
  <c r="J496" i="147"/>
  <c r="J498" i="147"/>
  <c r="J500" i="147"/>
  <c r="J502" i="147"/>
  <c r="J504" i="147"/>
  <c r="J506" i="147"/>
  <c r="J508" i="147"/>
  <c r="J510" i="147"/>
  <c r="J512" i="147"/>
  <c r="J514" i="147"/>
  <c r="J516" i="147"/>
  <c r="J518" i="147"/>
  <c r="J520" i="147"/>
  <c r="J522" i="147"/>
  <c r="J524" i="147"/>
  <c r="J526" i="147"/>
  <c r="J528" i="147"/>
  <c r="J530" i="147"/>
  <c r="J532" i="147"/>
  <c r="J534" i="147"/>
  <c r="J536" i="147"/>
  <c r="J538" i="147"/>
  <c r="J550" i="147"/>
  <c r="J573" i="147"/>
  <c r="J575" i="147"/>
  <c r="J577" i="147"/>
  <c r="J579" i="147"/>
  <c r="J581" i="147"/>
  <c r="J583" i="147"/>
  <c r="J585" i="147"/>
  <c r="J587" i="147"/>
  <c r="J589" i="147"/>
  <c r="J591" i="147"/>
  <c r="J593" i="147"/>
  <c r="J595" i="147"/>
  <c r="J597" i="147"/>
  <c r="J600" i="147"/>
  <c r="J602" i="147"/>
  <c r="J604" i="147"/>
  <c r="J606" i="147"/>
  <c r="J608" i="147"/>
  <c r="J610" i="147"/>
  <c r="J612" i="147"/>
  <c r="J614" i="147"/>
  <c r="J616" i="147"/>
  <c r="J618" i="147"/>
  <c r="J620" i="147"/>
  <c r="J622" i="147"/>
  <c r="J624" i="147"/>
  <c r="J626" i="147"/>
  <c r="J628" i="147"/>
  <c r="J631" i="147"/>
  <c r="J633" i="147"/>
  <c r="J635" i="147"/>
  <c r="J637" i="147"/>
  <c r="J639" i="147"/>
  <c r="J641" i="147"/>
  <c r="J643" i="147"/>
  <c r="J571" i="147"/>
  <c r="J569" i="147"/>
  <c r="J563" i="147"/>
  <c r="L375" i="147"/>
  <c r="L376" i="147"/>
  <c r="L377" i="147"/>
  <c r="L378" i="147"/>
  <c r="L379" i="147"/>
  <c r="L380" i="147"/>
  <c r="L381" i="147"/>
  <c r="L382" i="147"/>
  <c r="L383" i="147"/>
  <c r="L384" i="147"/>
  <c r="L385" i="147"/>
  <c r="L386" i="147"/>
  <c r="L401" i="147"/>
  <c r="L402" i="147"/>
  <c r="L403" i="147"/>
  <c r="L404" i="147"/>
  <c r="L405" i="147"/>
  <c r="L406" i="147"/>
  <c r="L407" i="147"/>
  <c r="L408" i="147"/>
  <c r="L409" i="147"/>
  <c r="L410" i="147"/>
  <c r="L411" i="147"/>
  <c r="L412" i="147"/>
  <c r="L413" i="147"/>
  <c r="L414" i="147"/>
  <c r="L415" i="147"/>
  <c r="L416" i="147"/>
  <c r="L417" i="147"/>
  <c r="L418" i="147"/>
  <c r="L419" i="147"/>
  <c r="L420" i="147"/>
  <c r="L421" i="147"/>
  <c r="L422" i="147"/>
  <c r="L423" i="147"/>
  <c r="L424" i="147"/>
  <c r="L425" i="147"/>
  <c r="L426" i="147"/>
  <c r="L427" i="147"/>
  <c r="L428" i="147"/>
  <c r="L387" i="147"/>
  <c r="L388" i="147"/>
  <c r="L389" i="147"/>
  <c r="L390" i="147"/>
  <c r="L391" i="147"/>
  <c r="L392" i="147"/>
  <c r="L393" i="147"/>
  <c r="L394" i="147"/>
  <c r="L395" i="147"/>
  <c r="L396" i="147"/>
  <c r="L397" i="147"/>
  <c r="L398" i="147"/>
  <c r="L399" i="147"/>
  <c r="L400" i="147"/>
  <c r="L429" i="147"/>
  <c r="L430" i="147"/>
  <c r="L431" i="147"/>
  <c r="L432" i="147"/>
  <c r="L433" i="147"/>
  <c r="L434" i="147"/>
  <c r="L435" i="147"/>
  <c r="L436" i="147"/>
  <c r="L437" i="147"/>
  <c r="L438" i="147"/>
  <c r="L439" i="147"/>
  <c r="L440" i="147"/>
  <c r="L441" i="147"/>
  <c r="L442" i="147"/>
  <c r="L443" i="147"/>
  <c r="L444" i="147"/>
  <c r="L445" i="147"/>
  <c r="L446" i="147"/>
  <c r="L447" i="147"/>
  <c r="L448" i="147"/>
  <c r="L449" i="147"/>
  <c r="L450" i="147"/>
  <c r="L451" i="147"/>
  <c r="L452" i="147"/>
  <c r="L453" i="147"/>
  <c r="L454" i="147"/>
  <c r="L455" i="147"/>
  <c r="L456" i="147"/>
  <c r="L457" i="147"/>
  <c r="L458" i="147"/>
  <c r="L459" i="147"/>
  <c r="L460" i="147"/>
  <c r="L461" i="147"/>
  <c r="L462" i="147"/>
  <c r="L463" i="147"/>
  <c r="L464" i="147"/>
  <c r="L465" i="147"/>
  <c r="L466" i="147"/>
  <c r="L467" i="147"/>
  <c r="L468" i="147"/>
  <c r="L469" i="147"/>
  <c r="L470" i="147"/>
  <c r="L471" i="147"/>
  <c r="L472" i="147"/>
  <c r="L473" i="147"/>
  <c r="L474" i="147"/>
  <c r="L475" i="147"/>
  <c r="L476" i="147"/>
  <c r="L477" i="147"/>
  <c r="L478" i="147"/>
  <c r="L479" i="147"/>
  <c r="L480" i="147"/>
  <c r="L481" i="147"/>
  <c r="L482" i="147"/>
  <c r="L483" i="147"/>
  <c r="L484" i="147"/>
  <c r="L485" i="147"/>
  <c r="L486" i="147"/>
  <c r="L487" i="147"/>
  <c r="L488" i="147"/>
  <c r="L489" i="147"/>
  <c r="L490" i="147"/>
  <c r="L491" i="147"/>
  <c r="L492" i="147"/>
  <c r="L493" i="147"/>
  <c r="L494" i="147"/>
  <c r="L495" i="147"/>
  <c r="L496" i="147"/>
  <c r="L497" i="147"/>
  <c r="L498" i="147"/>
  <c r="L499" i="147"/>
  <c r="L500" i="147"/>
  <c r="L501" i="147"/>
  <c r="L502" i="147"/>
  <c r="L503" i="147"/>
  <c r="L504" i="147"/>
  <c r="L505" i="147"/>
  <c r="L506" i="147"/>
  <c r="L507" i="147"/>
  <c r="L508" i="147"/>
  <c r="L509" i="147"/>
  <c r="L510" i="147"/>
  <c r="L511" i="147"/>
  <c r="L512" i="147"/>
  <c r="L513" i="147"/>
  <c r="L514" i="147"/>
  <c r="L515" i="147"/>
  <c r="L516" i="147"/>
  <c r="L517" i="147"/>
  <c r="L518" i="147"/>
  <c r="L519" i="147"/>
  <c r="L520" i="147"/>
  <c r="L521" i="147"/>
  <c r="L522" i="147"/>
  <c r="L523" i="147"/>
  <c r="L524" i="147"/>
  <c r="L525" i="147"/>
  <c r="L526" i="147"/>
  <c r="L527" i="147"/>
  <c r="L528" i="147"/>
  <c r="L529" i="147"/>
  <c r="L530" i="147"/>
  <c r="L531" i="147"/>
  <c r="L532" i="147"/>
  <c r="L533" i="147"/>
  <c r="L534" i="147"/>
  <c r="L535" i="147"/>
  <c r="L536" i="147"/>
  <c r="L537" i="147"/>
  <c r="L538" i="147"/>
  <c r="L539" i="147"/>
  <c r="L540" i="147"/>
  <c r="L541" i="147"/>
  <c r="L542" i="147"/>
  <c r="L543" i="147"/>
  <c r="L544" i="147"/>
  <c r="L545" i="147"/>
  <c r="L546" i="147"/>
  <c r="L547" i="147"/>
  <c r="L548" i="147"/>
  <c r="L549" i="147"/>
  <c r="L550" i="147"/>
  <c r="L551" i="147"/>
  <c r="L552" i="147"/>
  <c r="L553" i="147"/>
  <c r="L554" i="147"/>
  <c r="L555" i="147"/>
  <c r="L556" i="147"/>
  <c r="L557" i="147"/>
  <c r="L558" i="147"/>
  <c r="L559" i="147"/>
  <c r="L560" i="147"/>
  <c r="L561" i="147"/>
  <c r="L562" i="147"/>
  <c r="L563" i="147"/>
  <c r="L564" i="147"/>
  <c r="L565" i="147"/>
  <c r="L566" i="147"/>
  <c r="L568" i="147"/>
  <c r="L569" i="147"/>
  <c r="L570" i="147"/>
  <c r="L571" i="147"/>
  <c r="L572" i="147"/>
  <c r="L574" i="147"/>
  <c r="L575" i="147"/>
  <c r="L576" i="147"/>
  <c r="L578" i="147"/>
  <c r="L581" i="147"/>
  <c r="L583" i="147"/>
  <c r="L586" i="147"/>
  <c r="L589" i="147"/>
  <c r="L591" i="147"/>
  <c r="L593" i="147"/>
  <c r="L595" i="147"/>
  <c r="L596" i="147"/>
  <c r="L597" i="147"/>
  <c r="L598" i="147"/>
  <c r="L600" i="147"/>
  <c r="L601" i="147"/>
  <c r="L602" i="147"/>
  <c r="L603" i="147"/>
  <c r="L604" i="147"/>
  <c r="L605" i="147"/>
  <c r="L606" i="147"/>
  <c r="L607" i="147"/>
  <c r="L608" i="147"/>
  <c r="L609" i="147"/>
  <c r="L610" i="147"/>
  <c r="L611" i="147"/>
  <c r="L612" i="147"/>
  <c r="L613" i="147"/>
  <c r="L614" i="147"/>
  <c r="L615" i="147"/>
  <c r="L616" i="147"/>
  <c r="L617" i="147"/>
  <c r="L618" i="147"/>
  <c r="L619" i="147"/>
  <c r="L620" i="147"/>
  <c r="L621" i="147"/>
  <c r="L622" i="147"/>
  <c r="L623" i="147"/>
  <c r="L624" i="147"/>
  <c r="L625" i="147"/>
  <c r="L626" i="147"/>
  <c r="L627" i="147"/>
  <c r="L628" i="147"/>
  <c r="L629" i="147"/>
  <c r="L631" i="147"/>
  <c r="L632" i="147"/>
  <c r="L633" i="147"/>
  <c r="L634" i="147"/>
  <c r="L635" i="147"/>
  <c r="L636" i="147"/>
  <c r="L637" i="147"/>
  <c r="L638" i="147"/>
  <c r="L639" i="147"/>
  <c r="L640" i="147"/>
  <c r="L641" i="147"/>
  <c r="L642" i="147"/>
  <c r="L643" i="147"/>
  <c r="L580" i="147"/>
  <c r="N375" i="147"/>
  <c r="N376" i="147"/>
  <c r="N377" i="147"/>
  <c r="N378" i="147"/>
  <c r="N387" i="147"/>
  <c r="N388" i="147"/>
  <c r="N389" i="147"/>
  <c r="N390" i="147"/>
  <c r="N391" i="147"/>
  <c r="N392" i="147"/>
  <c r="N393" i="147"/>
  <c r="N394" i="147"/>
  <c r="N395" i="147"/>
  <c r="N396" i="147"/>
  <c r="N397" i="147"/>
  <c r="N398" i="147"/>
  <c r="N399" i="147"/>
  <c r="N400" i="147"/>
  <c r="N401" i="147"/>
  <c r="N402" i="147"/>
  <c r="N403" i="147"/>
  <c r="N404" i="147"/>
  <c r="N405" i="147"/>
  <c r="N406" i="147"/>
  <c r="N407" i="147"/>
  <c r="N408" i="147"/>
  <c r="N409" i="147"/>
  <c r="N410" i="147"/>
  <c r="N411" i="147"/>
  <c r="N412" i="147"/>
  <c r="N413" i="147"/>
  <c r="N414" i="147"/>
  <c r="N415" i="147"/>
  <c r="N416" i="147"/>
  <c r="N417" i="147"/>
  <c r="N418" i="147"/>
  <c r="N419" i="147"/>
  <c r="N420" i="147"/>
  <c r="N421" i="147"/>
  <c r="N422" i="147"/>
  <c r="N423" i="147"/>
  <c r="N424" i="147"/>
  <c r="N425" i="147"/>
  <c r="N426" i="147"/>
  <c r="N427" i="147"/>
  <c r="N428" i="147"/>
  <c r="N379" i="147"/>
  <c r="N380" i="147"/>
  <c r="N382" i="147"/>
  <c r="N383" i="147"/>
  <c r="N384" i="147"/>
  <c r="N385" i="147"/>
  <c r="N386" i="147"/>
  <c r="N429" i="147"/>
  <c r="N430" i="147"/>
  <c r="N431" i="147"/>
  <c r="N432" i="147"/>
  <c r="N433" i="147"/>
  <c r="N434" i="147"/>
  <c r="N435" i="147"/>
  <c r="N436" i="147"/>
  <c r="N437" i="147"/>
  <c r="N438" i="147"/>
  <c r="N439" i="147"/>
  <c r="N440" i="147"/>
  <c r="N441" i="147"/>
  <c r="N442" i="147"/>
  <c r="N443" i="147"/>
  <c r="N444" i="147"/>
  <c r="N445" i="147"/>
  <c r="N446" i="147"/>
  <c r="N447" i="147"/>
  <c r="N448" i="147"/>
  <c r="N449" i="147"/>
  <c r="N450" i="147"/>
  <c r="N451" i="147"/>
  <c r="N452" i="147"/>
  <c r="N453" i="147"/>
  <c r="N454" i="147"/>
  <c r="N455" i="147"/>
  <c r="N456" i="147"/>
  <c r="N457" i="147"/>
  <c r="N458" i="147"/>
  <c r="N459" i="147"/>
  <c r="N460" i="147"/>
  <c r="N461" i="147"/>
  <c r="N462" i="147"/>
  <c r="N463" i="147"/>
  <c r="N464" i="147"/>
  <c r="N465" i="147"/>
  <c r="N466" i="147"/>
  <c r="N467" i="147"/>
  <c r="N468" i="147"/>
  <c r="N469" i="147"/>
  <c r="N470" i="147"/>
  <c r="N471" i="147"/>
  <c r="N472" i="147"/>
  <c r="N473" i="147"/>
  <c r="N474" i="147"/>
  <c r="N475" i="147"/>
  <c r="N476" i="147"/>
  <c r="N477" i="147"/>
  <c r="N478" i="147"/>
  <c r="N479" i="147"/>
  <c r="N480" i="147"/>
  <c r="N481" i="147"/>
  <c r="N482" i="147"/>
  <c r="N483" i="147"/>
  <c r="N484" i="147"/>
  <c r="N485" i="147"/>
  <c r="N486" i="147"/>
  <c r="N487" i="147"/>
  <c r="N488" i="147"/>
  <c r="N489" i="147"/>
  <c r="N490" i="147"/>
  <c r="N491" i="147"/>
  <c r="N492" i="147"/>
  <c r="N493" i="147"/>
  <c r="N494" i="147"/>
  <c r="N497" i="147"/>
  <c r="N498" i="147"/>
  <c r="N499" i="147"/>
  <c r="N500" i="147"/>
  <c r="N501" i="147"/>
  <c r="N502" i="147"/>
  <c r="N503" i="147"/>
  <c r="N504" i="147"/>
  <c r="N505" i="147"/>
  <c r="N506" i="147"/>
  <c r="N507" i="147"/>
  <c r="N508" i="147"/>
  <c r="N509" i="147"/>
  <c r="N510" i="147"/>
  <c r="N511" i="147"/>
  <c r="N512" i="147"/>
  <c r="N513" i="147"/>
  <c r="N514" i="147"/>
  <c r="N515" i="147"/>
  <c r="N516" i="147"/>
  <c r="N517" i="147"/>
  <c r="N518" i="147"/>
  <c r="N519" i="147"/>
  <c r="N520" i="147"/>
  <c r="N521" i="147"/>
  <c r="N522" i="147"/>
  <c r="N523" i="147"/>
  <c r="N524" i="147"/>
  <c r="N525" i="147"/>
  <c r="N526" i="147"/>
  <c r="N527" i="147"/>
  <c r="N528" i="147"/>
  <c r="N529" i="147"/>
  <c r="N530" i="147"/>
  <c r="N531" i="147"/>
  <c r="N532" i="147"/>
  <c r="N533" i="147"/>
  <c r="N534" i="147"/>
  <c r="N535" i="147"/>
  <c r="N536" i="147"/>
  <c r="N537" i="147"/>
  <c r="N539" i="147"/>
  <c r="N540" i="147"/>
  <c r="N541" i="147"/>
  <c r="N542" i="147"/>
  <c r="N543" i="147"/>
  <c r="N544" i="147"/>
  <c r="N545" i="147"/>
  <c r="N546" i="147"/>
  <c r="N547" i="147"/>
  <c r="N548" i="147"/>
  <c r="N549" i="147"/>
  <c r="N551" i="147"/>
  <c r="N552" i="147"/>
  <c r="N553" i="147"/>
  <c r="N554" i="147"/>
  <c r="N555" i="147"/>
  <c r="N556" i="147"/>
  <c r="N557" i="147"/>
  <c r="N558" i="147"/>
  <c r="N559" i="147"/>
  <c r="N560" i="147"/>
  <c r="N561" i="147"/>
  <c r="N562" i="147"/>
  <c r="N563" i="147"/>
  <c r="N564" i="147"/>
  <c r="N565" i="147"/>
  <c r="N566" i="147"/>
  <c r="N568" i="147"/>
  <c r="N569" i="147"/>
  <c r="N495" i="147"/>
  <c r="N496" i="147"/>
  <c r="N570" i="147"/>
  <c r="N571" i="147"/>
  <c r="N572" i="147"/>
  <c r="N573" i="147"/>
  <c r="N574" i="147"/>
  <c r="N575" i="147"/>
  <c r="N576" i="147"/>
  <c r="N577" i="147"/>
  <c r="N578" i="147"/>
  <c r="N579" i="147"/>
  <c r="N580" i="147"/>
  <c r="N581" i="147"/>
  <c r="N582" i="147"/>
  <c r="N583" i="147"/>
  <c r="N584" i="147"/>
  <c r="N585" i="147"/>
  <c r="N586" i="147"/>
  <c r="N587" i="147"/>
  <c r="N588" i="147"/>
  <c r="N589" i="147"/>
  <c r="N590" i="147"/>
  <c r="N591" i="147"/>
  <c r="N592" i="147"/>
  <c r="N593" i="147"/>
  <c r="N594" i="147"/>
  <c r="N595" i="147"/>
  <c r="N596" i="147"/>
  <c r="N597" i="147"/>
  <c r="N598" i="147"/>
  <c r="N600" i="147"/>
  <c r="N601" i="147"/>
  <c r="N602" i="147"/>
  <c r="N603" i="147"/>
  <c r="N604" i="147"/>
  <c r="N605" i="147"/>
  <c r="N606" i="147"/>
  <c r="N607" i="147"/>
  <c r="N608" i="147"/>
  <c r="N609" i="147"/>
  <c r="N610" i="147"/>
  <c r="N611" i="147"/>
  <c r="N612" i="147"/>
  <c r="N613" i="147"/>
  <c r="N614" i="147"/>
  <c r="N615" i="147"/>
  <c r="N616" i="147"/>
  <c r="N617" i="147"/>
  <c r="N618" i="147"/>
  <c r="N619" i="147"/>
  <c r="N620" i="147"/>
  <c r="N621" i="147"/>
  <c r="N622" i="147"/>
  <c r="N623" i="147"/>
  <c r="N624" i="147"/>
  <c r="N625" i="147"/>
  <c r="N626" i="147"/>
  <c r="N627" i="147"/>
  <c r="N628" i="147"/>
  <c r="N629" i="147"/>
  <c r="N631" i="147"/>
  <c r="N632" i="147"/>
  <c r="N633" i="147"/>
  <c r="N634" i="147"/>
  <c r="N635" i="147"/>
  <c r="N636" i="147"/>
  <c r="N637" i="147"/>
  <c r="N638" i="147"/>
  <c r="N639" i="147"/>
  <c r="N640" i="147"/>
  <c r="N641" i="147"/>
  <c r="N642" i="147"/>
  <c r="N643" i="147"/>
  <c r="P375" i="147"/>
  <c r="P376" i="147"/>
  <c r="P377" i="147"/>
  <c r="P378" i="147"/>
  <c r="P379" i="147"/>
  <c r="P380" i="147"/>
  <c r="P381" i="147"/>
  <c r="P382" i="147"/>
  <c r="P383" i="147"/>
  <c r="P384" i="147"/>
  <c r="P385" i="147"/>
  <c r="P386" i="147"/>
  <c r="P401" i="147"/>
  <c r="P402" i="147"/>
  <c r="P403" i="147"/>
  <c r="P404" i="147"/>
  <c r="P405" i="147"/>
  <c r="P406" i="147"/>
  <c r="P407" i="147"/>
  <c r="P408" i="147"/>
  <c r="P409" i="147"/>
  <c r="P410" i="147"/>
  <c r="P411" i="147"/>
  <c r="P412" i="147"/>
  <c r="P413" i="147"/>
  <c r="P414" i="147"/>
  <c r="P415" i="147"/>
  <c r="P416" i="147"/>
  <c r="P417" i="147"/>
  <c r="P418" i="147"/>
  <c r="P419" i="147"/>
  <c r="P420" i="147"/>
  <c r="P421" i="147"/>
  <c r="P422" i="147"/>
  <c r="P423" i="147"/>
  <c r="P424" i="147"/>
  <c r="P425" i="147"/>
  <c r="P426" i="147"/>
  <c r="P427" i="147"/>
  <c r="P428" i="147"/>
  <c r="P429" i="147"/>
  <c r="P430" i="147"/>
  <c r="P431" i="147"/>
  <c r="P432" i="147"/>
  <c r="P433" i="147"/>
  <c r="P434" i="147"/>
  <c r="P435" i="147"/>
  <c r="P436" i="147"/>
  <c r="P437" i="147"/>
  <c r="P438" i="147"/>
  <c r="P439" i="147"/>
  <c r="P440" i="147"/>
  <c r="P441" i="147"/>
  <c r="P442" i="147"/>
  <c r="P443" i="147"/>
  <c r="P444" i="147"/>
  <c r="P445" i="147"/>
  <c r="P387" i="147"/>
  <c r="P388" i="147"/>
  <c r="P389" i="147"/>
  <c r="P391" i="147"/>
  <c r="P393" i="147"/>
  <c r="P395" i="147"/>
  <c r="P397" i="147"/>
  <c r="P399" i="147"/>
  <c r="P390" i="147"/>
  <c r="P392" i="147"/>
  <c r="P394" i="147"/>
  <c r="P396" i="147"/>
  <c r="P398" i="147"/>
  <c r="P400" i="147"/>
  <c r="P446" i="147"/>
  <c r="P447" i="147"/>
  <c r="P448" i="147"/>
  <c r="P449" i="147"/>
  <c r="P450" i="147"/>
  <c r="P451" i="147"/>
  <c r="P452" i="147"/>
  <c r="P453" i="147"/>
  <c r="P454" i="147"/>
  <c r="P455" i="147"/>
  <c r="P456" i="147"/>
  <c r="P457" i="147"/>
  <c r="P458" i="147"/>
  <c r="P459" i="147"/>
  <c r="P460" i="147"/>
  <c r="P461" i="147"/>
  <c r="P462" i="147"/>
  <c r="P463" i="147"/>
  <c r="P464" i="147"/>
  <c r="P465" i="147"/>
  <c r="P466" i="147"/>
  <c r="P467" i="147"/>
  <c r="P468" i="147"/>
  <c r="P469" i="147"/>
  <c r="P470" i="147"/>
  <c r="P471" i="147"/>
  <c r="P472" i="147"/>
  <c r="P473" i="147"/>
  <c r="P474" i="147"/>
  <c r="P475" i="147"/>
  <c r="P476" i="147"/>
  <c r="P477" i="147"/>
  <c r="P478" i="147"/>
  <c r="P479" i="147"/>
  <c r="P480" i="147"/>
  <c r="P481" i="147"/>
  <c r="P482" i="147"/>
  <c r="P483" i="147"/>
  <c r="P484" i="147"/>
  <c r="P485" i="147"/>
  <c r="P486" i="147"/>
  <c r="P487" i="147"/>
  <c r="P488" i="147"/>
  <c r="P489" i="147"/>
  <c r="P490" i="147"/>
  <c r="P491" i="147"/>
  <c r="P492" i="147"/>
  <c r="P493" i="147"/>
  <c r="P494" i="147"/>
  <c r="P495" i="147"/>
  <c r="P496" i="147"/>
  <c r="P497" i="147"/>
  <c r="P498" i="147"/>
  <c r="P499" i="147"/>
  <c r="P500" i="147"/>
  <c r="P501" i="147"/>
  <c r="P502" i="147"/>
  <c r="P503" i="147"/>
  <c r="P504" i="147"/>
  <c r="P505" i="147"/>
  <c r="P506" i="147"/>
  <c r="P507" i="147"/>
  <c r="P508" i="147"/>
  <c r="P509" i="147"/>
  <c r="P510" i="147"/>
  <c r="P511" i="147"/>
  <c r="P512" i="147"/>
  <c r="P513" i="147"/>
  <c r="P514" i="147"/>
  <c r="P515" i="147"/>
  <c r="P516" i="147"/>
  <c r="P517" i="147"/>
  <c r="P518" i="147"/>
  <c r="P519" i="147"/>
  <c r="P520" i="147"/>
  <c r="P521" i="147"/>
  <c r="P522" i="147"/>
  <c r="P523" i="147"/>
  <c r="P524" i="147"/>
  <c r="P525" i="147"/>
  <c r="P526" i="147"/>
  <c r="P527" i="147"/>
  <c r="P528" i="147"/>
  <c r="P529" i="147"/>
  <c r="P530" i="147"/>
  <c r="P531" i="147"/>
  <c r="P532" i="147"/>
  <c r="P533" i="147"/>
  <c r="P534" i="147"/>
  <c r="P535" i="147"/>
  <c r="P536" i="147"/>
  <c r="P537" i="147"/>
  <c r="P538" i="147"/>
  <c r="P539" i="147"/>
  <c r="P540" i="147"/>
  <c r="P541" i="147"/>
  <c r="P542" i="147"/>
  <c r="P543" i="147"/>
  <c r="P544" i="147"/>
  <c r="P545" i="147"/>
  <c r="P546" i="147"/>
  <c r="P547" i="147"/>
  <c r="P548" i="147"/>
  <c r="P549" i="147"/>
  <c r="P550" i="147"/>
  <c r="P551" i="147"/>
  <c r="P552" i="147"/>
  <c r="P553" i="147"/>
  <c r="P554" i="147"/>
  <c r="P555" i="147"/>
  <c r="P556" i="147"/>
  <c r="P557" i="147"/>
  <c r="P558" i="147"/>
  <c r="P559" i="147"/>
  <c r="P561" i="147"/>
  <c r="P562" i="147"/>
  <c r="P563" i="147"/>
  <c r="P565" i="147"/>
  <c r="P566" i="147"/>
  <c r="P568" i="147"/>
  <c r="P569" i="147"/>
  <c r="P570" i="147"/>
  <c r="P571" i="147"/>
  <c r="P572" i="147"/>
  <c r="P573" i="147"/>
  <c r="P574" i="147"/>
  <c r="P575" i="147"/>
  <c r="P576" i="147"/>
  <c r="P577" i="147"/>
  <c r="P578" i="147"/>
  <c r="P579" i="147"/>
  <c r="P580" i="147"/>
  <c r="P581" i="147"/>
  <c r="P582" i="147"/>
  <c r="P583" i="147"/>
  <c r="P584" i="147"/>
  <c r="P585" i="147"/>
  <c r="P595" i="147"/>
  <c r="P596" i="147"/>
  <c r="P597" i="147"/>
  <c r="P598" i="147"/>
  <c r="P600" i="147"/>
  <c r="P601" i="147"/>
  <c r="P602" i="147"/>
  <c r="P603" i="147"/>
  <c r="P604" i="147"/>
  <c r="P605" i="147"/>
  <c r="P606" i="147"/>
  <c r="P607" i="147"/>
  <c r="P608" i="147"/>
  <c r="P609" i="147"/>
  <c r="P610" i="147"/>
  <c r="P611" i="147"/>
  <c r="P612" i="147"/>
  <c r="P613" i="147"/>
  <c r="P614" i="147"/>
  <c r="P615" i="147"/>
  <c r="P616" i="147"/>
  <c r="P617" i="147"/>
  <c r="P618" i="147"/>
  <c r="P619" i="147"/>
  <c r="P620" i="147"/>
  <c r="P621" i="147"/>
  <c r="P622" i="147"/>
  <c r="P623" i="147"/>
  <c r="P624" i="147"/>
  <c r="P625" i="147"/>
  <c r="P626" i="147"/>
  <c r="P627" i="147"/>
  <c r="P628" i="147"/>
  <c r="P629" i="147"/>
  <c r="P631" i="147"/>
  <c r="P632" i="147"/>
  <c r="P633" i="147"/>
  <c r="P634" i="147"/>
  <c r="P635" i="147"/>
  <c r="P636" i="147"/>
  <c r="P637" i="147"/>
  <c r="P638" i="147"/>
  <c r="P639" i="147"/>
  <c r="P640" i="147"/>
  <c r="P641" i="147"/>
  <c r="P642" i="147"/>
  <c r="P643" i="147"/>
  <c r="P589" i="147"/>
  <c r="R375" i="147"/>
  <c r="R376" i="147"/>
  <c r="R377" i="147"/>
  <c r="R378" i="147"/>
  <c r="R379" i="147"/>
  <c r="R380" i="147"/>
  <c r="R381" i="147"/>
  <c r="R382" i="147"/>
  <c r="R383" i="147"/>
  <c r="R384" i="147"/>
  <c r="R385" i="147"/>
  <c r="R386" i="147"/>
  <c r="R387" i="147"/>
  <c r="R388" i="147"/>
  <c r="R389" i="147"/>
  <c r="R390" i="147"/>
  <c r="R391" i="147"/>
  <c r="R392" i="147"/>
  <c r="R393" i="147"/>
  <c r="R394" i="147"/>
  <c r="R395" i="147"/>
  <c r="R396" i="147"/>
  <c r="R397" i="147"/>
  <c r="R398" i="147"/>
  <c r="R399" i="147"/>
  <c r="R400" i="147"/>
  <c r="R401" i="147"/>
  <c r="R402" i="147"/>
  <c r="R403" i="147"/>
  <c r="R404" i="147"/>
  <c r="R405" i="147"/>
  <c r="R406" i="147"/>
  <c r="R407" i="147"/>
  <c r="R408" i="147"/>
  <c r="R409" i="147"/>
  <c r="R410" i="147"/>
  <c r="R411" i="147"/>
  <c r="R412" i="147"/>
  <c r="R413" i="147"/>
  <c r="R414" i="147"/>
  <c r="R415" i="147"/>
  <c r="R416" i="147"/>
  <c r="R417" i="147"/>
  <c r="R418" i="147"/>
  <c r="R419" i="147"/>
  <c r="R420" i="147"/>
  <c r="R421" i="147"/>
  <c r="R422" i="147"/>
  <c r="R423" i="147"/>
  <c r="R424" i="147"/>
  <c r="R425" i="147"/>
  <c r="R426" i="147"/>
  <c r="R427" i="147"/>
  <c r="R428" i="147"/>
  <c r="R429" i="147"/>
  <c r="R430" i="147"/>
  <c r="R431" i="147"/>
  <c r="R432" i="147"/>
  <c r="R433" i="147"/>
  <c r="R434" i="147"/>
  <c r="R435" i="147"/>
  <c r="R436" i="147"/>
  <c r="R437" i="147"/>
  <c r="R438" i="147"/>
  <c r="R439" i="147"/>
  <c r="R440" i="147"/>
  <c r="R441" i="147"/>
  <c r="R442" i="147"/>
  <c r="R443" i="147"/>
  <c r="R444" i="147"/>
  <c r="R445" i="147"/>
  <c r="R446" i="147"/>
  <c r="R447" i="147"/>
  <c r="R448" i="147"/>
  <c r="R449" i="147"/>
  <c r="R450" i="147"/>
  <c r="R451" i="147"/>
  <c r="R452" i="147"/>
  <c r="R453" i="147"/>
  <c r="R454" i="147"/>
  <c r="R455" i="147"/>
  <c r="R456" i="147"/>
  <c r="R457" i="147"/>
  <c r="R458" i="147"/>
  <c r="R459" i="147"/>
  <c r="R460" i="147"/>
  <c r="R461" i="147"/>
  <c r="R462" i="147"/>
  <c r="R463" i="147"/>
  <c r="R464" i="147"/>
  <c r="R465" i="147"/>
  <c r="R466" i="147"/>
  <c r="R467" i="147"/>
  <c r="R468" i="147"/>
  <c r="R469" i="147"/>
  <c r="R470" i="147"/>
  <c r="R471" i="147"/>
  <c r="R472" i="147"/>
  <c r="R473" i="147"/>
  <c r="R474" i="147"/>
  <c r="R475" i="147"/>
  <c r="R476" i="147"/>
  <c r="R477" i="147"/>
  <c r="R478" i="147"/>
  <c r="R479" i="147"/>
  <c r="R480" i="147"/>
  <c r="R481" i="147"/>
  <c r="R482" i="147"/>
  <c r="R483" i="147"/>
  <c r="R484" i="147"/>
  <c r="R485" i="147"/>
  <c r="R486" i="147"/>
  <c r="R487" i="147"/>
  <c r="R488" i="147"/>
  <c r="R489" i="147"/>
  <c r="R490" i="147"/>
  <c r="R491" i="147"/>
  <c r="R492" i="147"/>
  <c r="R493" i="147"/>
  <c r="R494" i="147"/>
  <c r="R497" i="147"/>
  <c r="R498" i="147"/>
  <c r="R499" i="147"/>
  <c r="R500" i="147"/>
  <c r="R501" i="147"/>
  <c r="R502" i="147"/>
  <c r="R503" i="147"/>
  <c r="R504" i="147"/>
  <c r="R505" i="147"/>
  <c r="R506" i="147"/>
  <c r="R507" i="147"/>
  <c r="R508" i="147"/>
  <c r="R509" i="147"/>
  <c r="R510" i="147"/>
  <c r="R511" i="147"/>
  <c r="R512" i="147"/>
  <c r="R513" i="147"/>
  <c r="R514" i="147"/>
  <c r="R515" i="147"/>
  <c r="R516" i="147"/>
  <c r="R517" i="147"/>
  <c r="R518" i="147"/>
  <c r="R519" i="147"/>
  <c r="R520" i="147"/>
  <c r="R521" i="147"/>
  <c r="R522" i="147"/>
  <c r="R523" i="147"/>
  <c r="R524" i="147"/>
  <c r="R525" i="147"/>
  <c r="R526" i="147"/>
  <c r="R527" i="147"/>
  <c r="R528" i="147"/>
  <c r="R529" i="147"/>
  <c r="R530" i="147"/>
  <c r="R531" i="147"/>
  <c r="R532" i="147"/>
  <c r="R534" i="147"/>
  <c r="R535" i="147"/>
  <c r="R536" i="147"/>
  <c r="R537" i="147"/>
  <c r="R538" i="147"/>
  <c r="R539" i="147"/>
  <c r="R540" i="147"/>
  <c r="R541" i="147"/>
  <c r="R542" i="147"/>
  <c r="R543" i="147"/>
  <c r="R544" i="147"/>
  <c r="R545" i="147"/>
  <c r="R546" i="147"/>
  <c r="R547" i="147"/>
  <c r="R548" i="147"/>
  <c r="R549" i="147"/>
  <c r="R550" i="147"/>
  <c r="R551" i="147"/>
  <c r="R552" i="147"/>
  <c r="R553" i="147"/>
  <c r="R554" i="147"/>
  <c r="R555" i="147"/>
  <c r="R556" i="147"/>
  <c r="R557" i="147"/>
  <c r="R558" i="147"/>
  <c r="R559" i="147"/>
  <c r="R560" i="147"/>
  <c r="R561" i="147"/>
  <c r="R562" i="147"/>
  <c r="R563" i="147"/>
  <c r="R564" i="147"/>
  <c r="R565" i="147"/>
  <c r="R566" i="147"/>
  <c r="R568" i="147"/>
  <c r="R569" i="147"/>
  <c r="R495" i="147"/>
  <c r="R496" i="147"/>
  <c r="R570" i="147"/>
  <c r="R571" i="147"/>
  <c r="R572" i="147"/>
  <c r="R573" i="147"/>
  <c r="R574" i="147"/>
  <c r="R575" i="147"/>
  <c r="R576" i="147"/>
  <c r="R577" i="147"/>
  <c r="R578" i="147"/>
  <c r="R579" i="147"/>
  <c r="R580" i="147"/>
  <c r="R581" i="147"/>
  <c r="R582" i="147"/>
  <c r="R583" i="147"/>
  <c r="R584" i="147"/>
  <c r="R585" i="147"/>
  <c r="R586" i="147"/>
  <c r="R587" i="147"/>
  <c r="R588" i="147"/>
  <c r="R589" i="147"/>
  <c r="R590" i="147"/>
  <c r="R591" i="147"/>
  <c r="R592" i="147"/>
  <c r="R593" i="147"/>
  <c r="R594" i="147"/>
  <c r="R595" i="147"/>
  <c r="R596" i="147"/>
  <c r="R597" i="147"/>
  <c r="R598" i="147"/>
  <c r="R600" i="147"/>
  <c r="R601" i="147"/>
  <c r="R602" i="147"/>
  <c r="R603" i="147"/>
  <c r="R604" i="147"/>
  <c r="R605" i="147"/>
  <c r="R606" i="147"/>
  <c r="R607" i="147"/>
  <c r="R608" i="147"/>
  <c r="R609" i="147"/>
  <c r="R610" i="147"/>
  <c r="R611" i="147"/>
  <c r="R612" i="147"/>
  <c r="R613" i="147"/>
  <c r="R614" i="147"/>
  <c r="R615" i="147"/>
  <c r="R616" i="147"/>
  <c r="R617" i="147"/>
  <c r="R618" i="147"/>
  <c r="R619" i="147"/>
  <c r="R620" i="147"/>
  <c r="R621" i="147"/>
  <c r="R622" i="147"/>
  <c r="R623" i="147"/>
  <c r="R624" i="147"/>
  <c r="R625" i="147"/>
  <c r="R626" i="147"/>
  <c r="R627" i="147"/>
  <c r="R628" i="147"/>
  <c r="R629" i="147"/>
  <c r="R631" i="147"/>
  <c r="R632" i="147"/>
  <c r="R633" i="147"/>
  <c r="R634" i="147"/>
  <c r="R635" i="147"/>
  <c r="R636" i="147"/>
  <c r="R637" i="147"/>
  <c r="R638" i="147"/>
  <c r="R639" i="147"/>
  <c r="R640" i="147"/>
  <c r="R641" i="147"/>
  <c r="R642" i="147"/>
  <c r="R643" i="147"/>
  <c r="T375" i="147"/>
  <c r="T376" i="147"/>
  <c r="T377" i="147"/>
  <c r="T378" i="147"/>
  <c r="T379" i="147"/>
  <c r="T380" i="147"/>
  <c r="T381" i="147"/>
  <c r="T382" i="147"/>
  <c r="T383" i="147"/>
  <c r="T384" i="147"/>
  <c r="T385" i="147"/>
  <c r="T386" i="147"/>
  <c r="T401" i="147"/>
  <c r="T402" i="147"/>
  <c r="T403" i="147"/>
  <c r="T404" i="147"/>
  <c r="T405" i="147"/>
  <c r="T406" i="147"/>
  <c r="T407" i="147"/>
  <c r="T408" i="147"/>
  <c r="T409" i="147"/>
  <c r="T410" i="147"/>
  <c r="T411" i="147"/>
  <c r="T412" i="147"/>
  <c r="T413" i="147"/>
  <c r="T414" i="147"/>
  <c r="T415" i="147"/>
  <c r="T416" i="147"/>
  <c r="T417" i="147"/>
  <c r="T418" i="147"/>
  <c r="T419" i="147"/>
  <c r="T420" i="147"/>
  <c r="T422" i="147"/>
  <c r="T423" i="147"/>
  <c r="T424" i="147"/>
  <c r="T425" i="147"/>
  <c r="T426" i="147"/>
  <c r="T427" i="147"/>
  <c r="T428" i="147"/>
  <c r="T387" i="147"/>
  <c r="T388" i="147"/>
  <c r="T389" i="147"/>
  <c r="T390" i="147"/>
  <c r="T391" i="147"/>
  <c r="T392" i="147"/>
  <c r="T393" i="147"/>
  <c r="T394" i="147"/>
  <c r="T395" i="147"/>
  <c r="T396" i="147"/>
  <c r="T397" i="147"/>
  <c r="T398" i="147"/>
  <c r="T399" i="147"/>
  <c r="T400" i="147"/>
  <c r="T429" i="147"/>
  <c r="T430" i="147"/>
  <c r="T431" i="147"/>
  <c r="T432" i="147"/>
  <c r="T433" i="147"/>
  <c r="T434" i="147"/>
  <c r="T435" i="147"/>
  <c r="T436" i="147"/>
  <c r="T437" i="147"/>
  <c r="T438" i="147"/>
  <c r="T439" i="147"/>
  <c r="T440" i="147"/>
  <c r="T441" i="147"/>
  <c r="T442" i="147"/>
  <c r="T443" i="147"/>
  <c r="T444" i="147"/>
  <c r="T445" i="147"/>
  <c r="T446" i="147"/>
  <c r="T447" i="147"/>
  <c r="T448" i="147"/>
  <c r="T449" i="147"/>
  <c r="T450" i="147"/>
  <c r="T451" i="147"/>
  <c r="T452" i="147"/>
  <c r="T453" i="147"/>
  <c r="T454" i="147"/>
  <c r="T455" i="147"/>
  <c r="T456" i="147"/>
  <c r="T457" i="147"/>
  <c r="T458" i="147"/>
  <c r="T459" i="147"/>
  <c r="T460" i="147"/>
  <c r="T461" i="147"/>
  <c r="T462" i="147"/>
  <c r="T463" i="147"/>
  <c r="T464" i="147"/>
  <c r="T465" i="147"/>
  <c r="T466" i="147"/>
  <c r="T467" i="147"/>
  <c r="T468" i="147"/>
  <c r="T469" i="147"/>
  <c r="T470" i="147"/>
  <c r="T471" i="147"/>
  <c r="T472" i="147"/>
  <c r="T473" i="147"/>
  <c r="T474" i="147"/>
  <c r="T475" i="147"/>
  <c r="T476" i="147"/>
  <c r="T477" i="147"/>
  <c r="T478" i="147"/>
  <c r="T479" i="147"/>
  <c r="T480" i="147"/>
  <c r="T481" i="147"/>
  <c r="T482" i="147"/>
  <c r="T483" i="147"/>
  <c r="T484" i="147"/>
  <c r="T485" i="147"/>
  <c r="T486" i="147"/>
  <c r="T487" i="147"/>
  <c r="T488" i="147"/>
  <c r="T489" i="147"/>
  <c r="T490" i="147"/>
  <c r="T491" i="147"/>
  <c r="T492" i="147"/>
  <c r="T493" i="147"/>
  <c r="T494" i="147"/>
  <c r="T495" i="147"/>
  <c r="T496" i="147"/>
  <c r="T497" i="147"/>
  <c r="T498" i="147"/>
  <c r="T499" i="147"/>
  <c r="T500" i="147"/>
  <c r="T501" i="147"/>
  <c r="T502" i="147"/>
  <c r="T503" i="147"/>
  <c r="T504" i="147"/>
  <c r="T505" i="147"/>
  <c r="T506" i="147"/>
  <c r="T507" i="147"/>
  <c r="T508" i="147"/>
  <c r="T509" i="147"/>
  <c r="T510" i="147"/>
  <c r="T511" i="147"/>
  <c r="T512" i="147"/>
  <c r="T513" i="147"/>
  <c r="T514" i="147"/>
  <c r="T515" i="147"/>
  <c r="T516" i="147"/>
  <c r="T517" i="147"/>
  <c r="T518" i="147"/>
  <c r="T519" i="147"/>
  <c r="T520" i="147"/>
  <c r="T521" i="147"/>
  <c r="T522" i="147"/>
  <c r="T523" i="147"/>
  <c r="T524" i="147"/>
  <c r="T525" i="147"/>
  <c r="T526" i="147"/>
  <c r="T527" i="147"/>
  <c r="T528" i="147"/>
  <c r="T529" i="147"/>
  <c r="T530" i="147"/>
  <c r="T531" i="147"/>
  <c r="T532" i="147"/>
  <c r="T533" i="147"/>
  <c r="T534" i="147"/>
  <c r="T535" i="147"/>
  <c r="T536" i="147"/>
  <c r="T537" i="147"/>
  <c r="T538" i="147"/>
  <c r="T539" i="147"/>
  <c r="T540" i="147"/>
  <c r="T541" i="147"/>
  <c r="T542" i="147"/>
  <c r="T543" i="147"/>
  <c r="T544" i="147"/>
  <c r="T545" i="147"/>
  <c r="T546" i="147"/>
  <c r="T547" i="147"/>
  <c r="T548" i="147"/>
  <c r="T549" i="147"/>
  <c r="T550" i="147"/>
  <c r="T551" i="147"/>
  <c r="T552" i="147"/>
  <c r="T553" i="147"/>
  <c r="T554" i="147"/>
  <c r="T555" i="147"/>
  <c r="T556" i="147"/>
  <c r="T557" i="147"/>
  <c r="T558" i="147"/>
  <c r="T559" i="147"/>
  <c r="T560" i="147"/>
  <c r="T561" i="147"/>
  <c r="T562" i="147"/>
  <c r="T563" i="147"/>
  <c r="T564" i="147"/>
  <c r="T565" i="147"/>
  <c r="T566" i="147"/>
  <c r="T568" i="147"/>
  <c r="T569" i="147"/>
  <c r="T570" i="147"/>
  <c r="T571" i="147"/>
  <c r="T572" i="147"/>
  <c r="T573" i="147"/>
  <c r="T574" i="147"/>
  <c r="T575" i="147"/>
  <c r="T576" i="147"/>
  <c r="T577" i="147"/>
  <c r="T578" i="147"/>
  <c r="T579" i="147"/>
  <c r="T580" i="147"/>
  <c r="T581" i="147"/>
  <c r="T582" i="147"/>
  <c r="T583" i="147"/>
  <c r="T584" i="147"/>
  <c r="T585" i="147"/>
  <c r="T586" i="147"/>
  <c r="T587" i="147"/>
  <c r="T588" i="147"/>
  <c r="T589" i="147"/>
  <c r="T590" i="147"/>
  <c r="T591" i="147"/>
  <c r="T592" i="147"/>
  <c r="T593" i="147"/>
  <c r="T594" i="147"/>
  <c r="T595" i="147"/>
  <c r="T596" i="147"/>
  <c r="T597" i="147"/>
  <c r="T598" i="147"/>
  <c r="T600" i="147"/>
  <c r="T601" i="147"/>
  <c r="T602" i="147"/>
  <c r="T603" i="147"/>
  <c r="T604" i="147"/>
  <c r="T605" i="147"/>
  <c r="T606" i="147"/>
  <c r="T607" i="147"/>
  <c r="T608" i="147"/>
  <c r="T609" i="147"/>
  <c r="T610" i="147"/>
  <c r="T611" i="147"/>
  <c r="T612" i="147"/>
  <c r="T613" i="147"/>
  <c r="T614" i="147"/>
  <c r="T615" i="147"/>
  <c r="T616" i="147"/>
  <c r="T617" i="147"/>
  <c r="T618" i="147"/>
  <c r="T619" i="147"/>
  <c r="T620" i="147"/>
  <c r="T621" i="147"/>
  <c r="T622" i="147"/>
  <c r="T623" i="147"/>
  <c r="T624" i="147"/>
  <c r="T625" i="147"/>
  <c r="T626" i="147"/>
  <c r="T627" i="147"/>
  <c r="T628" i="147"/>
  <c r="T629" i="147"/>
  <c r="T631" i="147"/>
  <c r="T632" i="147"/>
  <c r="T633" i="147"/>
  <c r="T634" i="147"/>
  <c r="T635" i="147"/>
  <c r="T636" i="147"/>
  <c r="T637" i="147"/>
  <c r="T638" i="147"/>
  <c r="T639" i="147"/>
  <c r="T640" i="147"/>
  <c r="T641" i="147"/>
  <c r="T642" i="147"/>
  <c r="T643" i="147"/>
  <c r="X375" i="147"/>
  <c r="X376" i="147"/>
  <c r="X377" i="147"/>
  <c r="X378" i="147"/>
  <c r="X379" i="147"/>
  <c r="X380" i="147"/>
  <c r="X381" i="147"/>
  <c r="X382" i="147"/>
  <c r="X383" i="147"/>
  <c r="X384" i="147"/>
  <c r="X385" i="147"/>
  <c r="X386" i="147"/>
  <c r="X401" i="147"/>
  <c r="X402" i="147"/>
  <c r="X403" i="147"/>
  <c r="X404" i="147"/>
  <c r="X405" i="147"/>
  <c r="X406" i="147"/>
  <c r="X407" i="147"/>
  <c r="X408" i="147"/>
  <c r="X409" i="147"/>
  <c r="X410" i="147"/>
  <c r="X411" i="147"/>
  <c r="X412" i="147"/>
  <c r="X413" i="147"/>
  <c r="X414" i="147"/>
  <c r="X415" i="147"/>
  <c r="X416" i="147"/>
  <c r="X417" i="147"/>
  <c r="X418" i="147"/>
  <c r="X419" i="147"/>
  <c r="X420" i="147"/>
  <c r="X421" i="147"/>
  <c r="X422" i="147"/>
  <c r="X423" i="147"/>
  <c r="X424" i="147"/>
  <c r="X425" i="147"/>
  <c r="X426" i="147"/>
  <c r="X427" i="147"/>
  <c r="X428" i="147"/>
  <c r="X429" i="147"/>
  <c r="X430" i="147"/>
  <c r="X431" i="147"/>
  <c r="X432" i="147"/>
  <c r="X433" i="147"/>
  <c r="X434" i="147"/>
  <c r="X435" i="147"/>
  <c r="X436" i="147"/>
  <c r="X437" i="147"/>
  <c r="X438" i="147"/>
  <c r="X439" i="147"/>
  <c r="X440" i="147"/>
  <c r="X441" i="147"/>
  <c r="X442" i="147"/>
  <c r="X443" i="147"/>
  <c r="X444" i="147"/>
  <c r="X445" i="147"/>
  <c r="X387" i="147"/>
  <c r="X388" i="147"/>
  <c r="X389" i="147"/>
  <c r="X390" i="147"/>
  <c r="X391" i="147"/>
  <c r="X392" i="147"/>
  <c r="X393" i="147"/>
  <c r="X394" i="147"/>
  <c r="X395" i="147"/>
  <c r="X396" i="147"/>
  <c r="X397" i="147"/>
  <c r="X398" i="147"/>
  <c r="X399" i="147"/>
  <c r="X400" i="147"/>
  <c r="X446" i="147"/>
  <c r="X447" i="147"/>
  <c r="X448" i="147"/>
  <c r="X449" i="147"/>
  <c r="X450" i="147"/>
  <c r="X451" i="147"/>
  <c r="X452" i="147"/>
  <c r="X453" i="147"/>
  <c r="X454" i="147"/>
  <c r="X455" i="147"/>
  <c r="X456" i="147"/>
  <c r="X457" i="147"/>
  <c r="X458" i="147"/>
  <c r="X459" i="147"/>
  <c r="X460" i="147"/>
  <c r="X461" i="147"/>
  <c r="X462" i="147"/>
  <c r="X463" i="147"/>
  <c r="X464" i="147"/>
  <c r="X465" i="147"/>
  <c r="X466" i="147"/>
  <c r="X467" i="147"/>
  <c r="X468" i="147"/>
  <c r="X469" i="147"/>
  <c r="X470" i="147"/>
  <c r="X471" i="147"/>
  <c r="X472" i="147"/>
  <c r="X473" i="147"/>
  <c r="X474" i="147"/>
  <c r="X475" i="147"/>
  <c r="X476" i="147"/>
  <c r="X477" i="147"/>
  <c r="X478" i="147"/>
  <c r="X479" i="147"/>
  <c r="X480" i="147"/>
  <c r="X481" i="147"/>
  <c r="X482" i="147"/>
  <c r="X483" i="147"/>
  <c r="X484" i="147"/>
  <c r="X485" i="147"/>
  <c r="X486" i="147"/>
  <c r="X487" i="147"/>
  <c r="X488" i="147"/>
  <c r="X489" i="147"/>
  <c r="X490" i="147"/>
  <c r="X491" i="147"/>
  <c r="X492" i="147"/>
  <c r="X493" i="147"/>
  <c r="X494" i="147"/>
  <c r="X495" i="147"/>
  <c r="X496" i="147"/>
  <c r="X497" i="147"/>
  <c r="X498" i="147"/>
  <c r="X499" i="147"/>
  <c r="X500" i="147"/>
  <c r="X501" i="147"/>
  <c r="X502" i="147"/>
  <c r="X503" i="147"/>
  <c r="X504" i="147"/>
  <c r="X505" i="147"/>
  <c r="X506" i="147"/>
  <c r="X511" i="147"/>
  <c r="X512" i="147"/>
  <c r="X513" i="147"/>
  <c r="X514" i="147"/>
  <c r="X515" i="147"/>
  <c r="X516" i="147"/>
  <c r="X517" i="147"/>
  <c r="X518" i="147"/>
  <c r="X519" i="147"/>
  <c r="X520" i="147"/>
  <c r="X521" i="147"/>
  <c r="X522" i="147"/>
  <c r="X523" i="147"/>
  <c r="X524" i="147"/>
  <c r="X531" i="147"/>
  <c r="X532" i="147"/>
  <c r="X533" i="147"/>
  <c r="X534" i="147"/>
  <c r="X535" i="147"/>
  <c r="X536" i="147"/>
  <c r="X537" i="147"/>
  <c r="X538" i="147"/>
  <c r="X539" i="147"/>
  <c r="X540" i="147"/>
  <c r="X541" i="147"/>
  <c r="X542" i="147"/>
  <c r="X543" i="147"/>
  <c r="X544" i="147"/>
  <c r="X545" i="147"/>
  <c r="X546" i="147"/>
  <c r="X547" i="147"/>
  <c r="X548" i="147"/>
  <c r="X549" i="147"/>
  <c r="X550" i="147"/>
  <c r="X551" i="147"/>
  <c r="X552" i="147"/>
  <c r="X553" i="147"/>
  <c r="X554" i="147"/>
  <c r="X555" i="147"/>
  <c r="X556" i="147"/>
  <c r="X557" i="147"/>
  <c r="X558" i="147"/>
  <c r="X559" i="147"/>
  <c r="X560" i="147"/>
  <c r="X561" i="147"/>
  <c r="X562" i="147"/>
  <c r="X563" i="147"/>
  <c r="X564" i="147"/>
  <c r="X565" i="147"/>
  <c r="X566" i="147"/>
  <c r="X568" i="147"/>
  <c r="X569" i="147"/>
  <c r="X570" i="147"/>
  <c r="X571" i="147"/>
  <c r="X572" i="147"/>
  <c r="X573" i="147"/>
  <c r="X574" i="147"/>
  <c r="X575" i="147"/>
  <c r="X576" i="147"/>
  <c r="X577" i="147"/>
  <c r="X578" i="147"/>
  <c r="X579" i="147"/>
  <c r="X580" i="147"/>
  <c r="X581" i="147"/>
  <c r="X582" i="147"/>
  <c r="X583" i="147"/>
  <c r="X584" i="147"/>
  <c r="X585" i="147"/>
  <c r="X586" i="147"/>
  <c r="X587" i="147"/>
  <c r="X588" i="147"/>
  <c r="X589" i="147"/>
  <c r="X590" i="147"/>
  <c r="X591" i="147"/>
  <c r="X592" i="147"/>
  <c r="X593" i="147"/>
  <c r="X594" i="147"/>
  <c r="X595" i="147"/>
  <c r="X596" i="147"/>
  <c r="X597" i="147"/>
  <c r="X598" i="147"/>
  <c r="X600" i="147"/>
  <c r="X601" i="147"/>
  <c r="X602" i="147"/>
  <c r="X603" i="147"/>
  <c r="X604" i="147"/>
  <c r="X605" i="147"/>
  <c r="X606" i="147"/>
  <c r="X607" i="147"/>
  <c r="X608" i="147"/>
  <c r="X609" i="147"/>
  <c r="X610" i="147"/>
  <c r="X611" i="147"/>
  <c r="X612" i="147"/>
  <c r="X613" i="147"/>
  <c r="X614" i="147"/>
  <c r="X615" i="147"/>
  <c r="X616" i="147"/>
  <c r="X617" i="147"/>
  <c r="X618" i="147"/>
  <c r="X619" i="147"/>
  <c r="X620" i="147"/>
  <c r="X621" i="147"/>
  <c r="X622" i="147"/>
  <c r="X623" i="147"/>
  <c r="X624" i="147"/>
  <c r="X625" i="147"/>
  <c r="X626" i="147"/>
  <c r="X627" i="147"/>
  <c r="X628" i="147"/>
  <c r="X629" i="147"/>
  <c r="X631" i="147"/>
  <c r="X632" i="147"/>
  <c r="X633" i="147"/>
  <c r="X634" i="147"/>
  <c r="X635" i="147"/>
  <c r="X636" i="147"/>
  <c r="X637" i="147"/>
  <c r="X638" i="147"/>
  <c r="X639" i="147"/>
  <c r="X640" i="147"/>
  <c r="X641" i="147"/>
  <c r="X642" i="147"/>
  <c r="X643" i="147"/>
  <c r="X529" i="147"/>
  <c r="X527" i="147"/>
  <c r="Z375" i="147"/>
  <c r="Z376" i="147"/>
  <c r="Z377" i="147"/>
  <c r="Z378" i="147"/>
  <c r="Z379" i="147"/>
  <c r="Z380" i="147"/>
  <c r="Z381" i="147"/>
  <c r="Z382" i="147"/>
  <c r="Z383" i="147"/>
  <c r="Z384" i="147"/>
  <c r="Z385" i="147"/>
  <c r="Z386" i="147"/>
  <c r="Z387" i="147"/>
  <c r="Z388" i="147"/>
  <c r="Z389" i="147"/>
  <c r="Z390" i="147"/>
  <c r="Z391" i="147"/>
  <c r="Z392" i="147"/>
  <c r="Z393" i="147"/>
  <c r="Z394" i="147"/>
  <c r="Z395" i="147"/>
  <c r="Z396" i="147"/>
  <c r="Z397" i="147"/>
  <c r="Z398" i="147"/>
  <c r="Z399" i="147"/>
  <c r="Z400" i="147"/>
  <c r="Z401" i="147"/>
  <c r="Z402" i="147"/>
  <c r="Z403" i="147"/>
  <c r="Z404" i="147"/>
  <c r="Z405" i="147"/>
  <c r="Z406" i="147"/>
  <c r="Z407" i="147"/>
  <c r="Z408" i="147"/>
  <c r="Z409" i="147"/>
  <c r="Z410" i="147"/>
  <c r="Z411" i="147"/>
  <c r="Z412" i="147"/>
  <c r="Z413" i="147"/>
  <c r="Z414" i="147"/>
  <c r="Z415" i="147"/>
  <c r="Z416" i="147"/>
  <c r="Z417" i="147"/>
  <c r="Z418" i="147"/>
  <c r="Z419" i="147"/>
  <c r="Z420" i="147"/>
  <c r="Z421" i="147"/>
  <c r="Z422" i="147"/>
  <c r="Z423" i="147"/>
  <c r="Z424" i="147"/>
  <c r="Z425" i="147"/>
  <c r="Z426" i="147"/>
  <c r="Z427" i="147"/>
  <c r="Z428" i="147"/>
  <c r="Z429" i="147"/>
  <c r="Z430" i="147"/>
  <c r="Z431" i="147"/>
  <c r="Z432" i="147"/>
  <c r="Z433" i="147"/>
  <c r="Z434" i="147"/>
  <c r="Z435" i="147"/>
  <c r="Z436" i="147"/>
  <c r="Z437" i="147"/>
  <c r="Z438" i="147"/>
  <c r="Z439" i="147"/>
  <c r="Z440" i="147"/>
  <c r="Z441" i="147"/>
  <c r="Z442" i="147"/>
  <c r="Z443" i="147"/>
  <c r="Z444" i="147"/>
  <c r="Z445" i="147"/>
  <c r="Z446" i="147"/>
  <c r="Z447" i="147"/>
  <c r="Z448" i="147"/>
  <c r="Z449" i="147"/>
  <c r="Z450" i="147"/>
  <c r="Z451" i="147"/>
  <c r="Z452" i="147"/>
  <c r="Z453" i="147"/>
  <c r="Z454" i="147"/>
  <c r="Z455" i="147"/>
  <c r="Z456" i="147"/>
  <c r="Z457" i="147"/>
  <c r="Z458" i="147"/>
  <c r="Z459" i="147"/>
  <c r="Z460" i="147"/>
  <c r="Z461" i="147"/>
  <c r="Z462" i="147"/>
  <c r="Z463" i="147"/>
  <c r="Z464" i="147"/>
  <c r="Z465" i="147"/>
  <c r="Z466" i="147"/>
  <c r="Z467" i="147"/>
  <c r="Z468" i="147"/>
  <c r="Z469" i="147"/>
  <c r="Z470" i="147"/>
  <c r="Z471" i="147"/>
  <c r="Z472" i="147"/>
  <c r="Z473" i="147"/>
  <c r="Z474" i="147"/>
  <c r="Z475" i="147"/>
  <c r="Z476" i="147"/>
  <c r="Z477" i="147"/>
  <c r="Z478" i="147"/>
  <c r="Z479" i="147"/>
  <c r="Z480" i="147"/>
  <c r="Z481" i="147"/>
  <c r="Z482" i="147"/>
  <c r="Z483" i="147"/>
  <c r="Z484" i="147"/>
  <c r="Z485" i="147"/>
  <c r="Z486" i="147"/>
  <c r="Z487" i="147"/>
  <c r="Z488" i="147"/>
  <c r="Z489" i="147"/>
  <c r="Z490" i="147"/>
  <c r="Z491" i="147"/>
  <c r="Z492" i="147"/>
  <c r="Z493" i="147"/>
  <c r="Z494" i="147"/>
  <c r="Z497" i="147"/>
  <c r="Z498" i="147"/>
  <c r="Z499" i="147"/>
  <c r="Z500" i="147"/>
  <c r="Z501" i="147"/>
  <c r="Z502" i="147"/>
  <c r="Z503" i="147"/>
  <c r="Z504" i="147"/>
  <c r="Z505" i="147"/>
  <c r="Z506" i="147"/>
  <c r="Z507" i="147"/>
  <c r="Z508" i="147"/>
  <c r="Z509" i="147"/>
  <c r="Z510" i="147"/>
  <c r="Z511" i="147"/>
  <c r="Z513" i="147"/>
  <c r="Z516" i="147"/>
  <c r="Z517" i="147"/>
  <c r="Z518" i="147"/>
  <c r="Z519" i="147"/>
  <c r="Z520" i="147"/>
  <c r="Z521" i="147"/>
  <c r="Z522" i="147"/>
  <c r="Z523" i="147"/>
  <c r="Z524" i="147"/>
  <c r="Z531" i="147"/>
  <c r="Z532" i="147"/>
  <c r="Z533" i="147"/>
  <c r="Z534" i="147"/>
  <c r="Z535" i="147"/>
  <c r="Z536" i="147"/>
  <c r="Z537" i="147"/>
  <c r="Z538" i="147"/>
  <c r="Z539" i="147"/>
  <c r="Z540" i="147"/>
  <c r="Z541" i="147"/>
  <c r="Z542" i="147"/>
  <c r="Z543" i="147"/>
  <c r="Z544" i="147"/>
  <c r="Z545" i="147"/>
  <c r="Z546" i="147"/>
  <c r="Z547" i="147"/>
  <c r="Z548" i="147"/>
  <c r="Z549" i="147"/>
  <c r="Z550" i="147"/>
  <c r="Z551" i="147"/>
  <c r="Z552" i="147"/>
  <c r="Z553" i="147"/>
  <c r="Z554" i="147"/>
  <c r="Z555" i="147"/>
  <c r="Z556" i="147"/>
  <c r="Z557" i="147"/>
  <c r="Z558" i="147"/>
  <c r="Z559" i="147"/>
  <c r="Z560" i="147"/>
  <c r="Z561" i="147"/>
  <c r="Z562" i="147"/>
  <c r="Z563" i="147"/>
  <c r="Z564" i="147"/>
  <c r="Z565" i="147"/>
  <c r="Z566" i="147"/>
  <c r="Z568" i="147"/>
  <c r="Z495" i="147"/>
  <c r="Z496" i="147"/>
  <c r="Z569" i="147"/>
  <c r="Z570" i="147"/>
  <c r="Z571" i="147"/>
  <c r="Z572" i="147"/>
  <c r="Z573" i="147"/>
  <c r="Z574" i="147"/>
  <c r="Z575" i="147"/>
  <c r="Z576" i="147"/>
  <c r="Z577" i="147"/>
  <c r="Z578" i="147"/>
  <c r="Z579" i="147"/>
  <c r="Z580" i="147"/>
  <c r="Z581" i="147"/>
  <c r="Z582" i="147"/>
  <c r="Z583" i="147"/>
  <c r="Z584" i="147"/>
  <c r="Z585" i="147"/>
  <c r="Z586" i="147"/>
  <c r="Z587" i="147"/>
  <c r="Z588" i="147"/>
  <c r="Z589" i="147"/>
  <c r="Z590" i="147"/>
  <c r="Z591" i="147"/>
  <c r="Z592" i="147"/>
  <c r="Z593" i="147"/>
  <c r="Z594" i="147"/>
  <c r="Z595" i="147"/>
  <c r="Z596" i="147"/>
  <c r="Z597" i="147"/>
  <c r="Z598" i="147"/>
  <c r="Z600" i="147"/>
  <c r="Z601" i="147"/>
  <c r="Z602" i="147"/>
  <c r="Z603" i="147"/>
  <c r="Z604" i="147"/>
  <c r="Z605" i="147"/>
  <c r="Z606" i="147"/>
  <c r="Z607" i="147"/>
  <c r="Z608" i="147"/>
  <c r="Z609" i="147"/>
  <c r="Z610" i="147"/>
  <c r="Z611" i="147"/>
  <c r="Z612" i="147"/>
  <c r="Z613" i="147"/>
  <c r="Z614" i="147"/>
  <c r="Z615" i="147"/>
  <c r="Z616" i="147"/>
  <c r="Z617" i="147"/>
  <c r="Z618" i="147"/>
  <c r="Z619" i="147"/>
  <c r="Z620" i="147"/>
  <c r="Z621" i="147"/>
  <c r="Z622" i="147"/>
  <c r="Z623" i="147"/>
  <c r="Z624" i="147"/>
  <c r="Z625" i="147"/>
  <c r="Z626" i="147"/>
  <c r="Z627" i="147"/>
  <c r="Z628" i="147"/>
  <c r="Z629" i="147"/>
  <c r="Z631" i="147"/>
  <c r="Z632" i="147"/>
  <c r="Z633" i="147"/>
  <c r="Z634" i="147"/>
  <c r="Z635" i="147"/>
  <c r="Z636" i="147"/>
  <c r="Z637" i="147"/>
  <c r="Z638" i="147"/>
  <c r="Z639" i="147"/>
  <c r="Z640" i="147"/>
  <c r="Z641" i="147"/>
  <c r="Z642" i="147"/>
  <c r="Z643" i="147"/>
  <c r="Z529" i="147"/>
  <c r="Z515" i="147"/>
  <c r="Z528" i="147"/>
  <c r="Z525" i="147"/>
  <c r="Z527" i="147"/>
  <c r="AD375" i="147"/>
  <c r="AD376" i="147"/>
  <c r="AD377" i="147"/>
  <c r="AD378" i="147"/>
  <c r="AD386" i="147"/>
  <c r="AD387" i="147"/>
  <c r="AD388" i="147"/>
  <c r="AD389" i="147"/>
  <c r="AD390" i="147"/>
  <c r="AD391" i="147"/>
  <c r="AD392" i="147"/>
  <c r="AD393" i="147"/>
  <c r="AD394" i="147"/>
  <c r="AD395" i="147"/>
  <c r="AD396" i="147"/>
  <c r="AD397" i="147"/>
  <c r="AD398" i="147"/>
  <c r="AD399" i="147"/>
  <c r="AD400" i="147"/>
  <c r="AD401" i="147"/>
  <c r="AD402" i="147"/>
  <c r="AD403" i="147"/>
  <c r="AD404" i="147"/>
  <c r="AD405" i="147"/>
  <c r="AD406" i="147"/>
  <c r="AD407" i="147"/>
  <c r="AD408" i="147"/>
  <c r="AD409" i="147"/>
  <c r="AD410" i="147"/>
  <c r="AD411" i="147"/>
  <c r="AD412" i="147"/>
  <c r="AD413" i="147"/>
  <c r="AD414" i="147"/>
  <c r="AD415" i="147"/>
  <c r="AD416" i="147"/>
  <c r="AD417" i="147"/>
  <c r="AD418" i="147"/>
  <c r="AD419" i="147"/>
  <c r="AD420" i="147"/>
  <c r="AD421" i="147"/>
  <c r="AD422" i="147"/>
  <c r="AD423" i="147"/>
  <c r="AD424" i="147"/>
  <c r="AD425" i="147"/>
  <c r="AD426" i="147"/>
  <c r="AD427" i="147"/>
  <c r="AD428" i="147"/>
  <c r="AD379" i="147"/>
  <c r="AD380" i="147"/>
  <c r="AD381" i="147"/>
  <c r="AD382" i="147"/>
  <c r="AD383" i="147"/>
  <c r="AD384" i="147"/>
  <c r="AD385" i="147"/>
  <c r="AD429" i="147"/>
  <c r="AD430" i="147"/>
  <c r="AD431" i="147"/>
  <c r="AD432" i="147"/>
  <c r="AD433" i="147"/>
  <c r="AD434" i="147"/>
  <c r="AD435" i="147"/>
  <c r="AD436" i="147"/>
  <c r="AD437" i="147"/>
  <c r="AD438" i="147"/>
  <c r="AD439" i="147"/>
  <c r="AD440" i="147"/>
  <c r="AD441" i="147"/>
  <c r="AD442" i="147"/>
  <c r="AD443" i="147"/>
  <c r="AD444" i="147"/>
  <c r="AD445" i="147"/>
  <c r="AD446" i="147"/>
  <c r="AD447" i="147"/>
  <c r="AD448" i="147"/>
  <c r="AD449" i="147"/>
  <c r="AD450" i="147"/>
  <c r="AD451" i="147"/>
  <c r="AD452" i="147"/>
  <c r="AD453" i="147"/>
  <c r="AD454" i="147"/>
  <c r="AD455" i="147"/>
  <c r="AD456" i="147"/>
  <c r="AD457" i="147"/>
  <c r="AD458" i="147"/>
  <c r="AD459" i="147"/>
  <c r="AD460" i="147"/>
  <c r="AD461" i="147"/>
  <c r="AD462" i="147"/>
  <c r="AD463" i="147"/>
  <c r="AD464" i="147"/>
  <c r="AD465" i="147"/>
  <c r="AD466" i="147"/>
  <c r="AD467" i="147"/>
  <c r="AD468" i="147"/>
  <c r="AD469" i="147"/>
  <c r="AD470" i="147"/>
  <c r="AD471" i="147"/>
  <c r="AD472" i="147"/>
  <c r="AD473" i="147"/>
  <c r="AD474" i="147"/>
  <c r="AD475" i="147"/>
  <c r="AD476" i="147"/>
  <c r="AD477" i="147"/>
  <c r="AD478" i="147"/>
  <c r="AD479" i="147"/>
  <c r="AD480" i="147"/>
  <c r="AD481" i="147"/>
  <c r="AD482" i="147"/>
  <c r="AD483" i="147"/>
  <c r="AD484" i="147"/>
  <c r="AD485" i="147"/>
  <c r="AD486" i="147"/>
  <c r="AD487" i="147"/>
  <c r="AD488" i="147"/>
  <c r="AD489" i="147"/>
  <c r="AD490" i="147"/>
  <c r="AD491" i="147"/>
  <c r="AD492" i="147"/>
  <c r="AD493" i="147"/>
  <c r="AD494" i="147"/>
  <c r="AD497" i="147"/>
  <c r="AD498" i="147"/>
  <c r="AD499" i="147"/>
  <c r="AD500" i="147"/>
  <c r="AD501" i="147"/>
  <c r="AD502" i="147"/>
  <c r="AD503" i="147"/>
  <c r="AD504" i="147"/>
  <c r="AD505" i="147"/>
  <c r="AD506" i="147"/>
  <c r="AD507" i="147"/>
  <c r="AD508" i="147"/>
  <c r="AD509" i="147"/>
  <c r="AD510" i="147"/>
  <c r="AD511" i="147"/>
  <c r="AD512" i="147"/>
  <c r="AD513" i="147"/>
  <c r="AD514" i="147"/>
  <c r="AD515" i="147"/>
  <c r="AD516" i="147"/>
  <c r="AD517" i="147"/>
  <c r="AD518" i="147"/>
  <c r="AD519" i="147"/>
  <c r="AD520" i="147"/>
  <c r="AD521" i="147"/>
  <c r="AD522" i="147"/>
  <c r="AD523" i="147"/>
  <c r="AD524" i="147"/>
  <c r="AD525" i="147"/>
  <c r="AD526" i="147"/>
  <c r="AD527" i="147"/>
  <c r="AD528" i="147"/>
  <c r="AD529" i="147"/>
  <c r="AD530" i="147"/>
  <c r="AD531" i="147"/>
  <c r="AD532" i="147"/>
  <c r="AD533" i="147"/>
  <c r="AD534" i="147"/>
  <c r="AD535" i="147"/>
  <c r="AD536" i="147"/>
  <c r="AD537" i="147"/>
  <c r="AD538" i="147"/>
  <c r="AD539" i="147"/>
  <c r="AD540" i="147"/>
  <c r="AD541" i="147"/>
  <c r="AD542" i="147"/>
  <c r="AD543" i="147"/>
  <c r="AD544" i="147"/>
  <c r="AD545" i="147"/>
  <c r="AD546" i="147"/>
  <c r="AD547" i="147"/>
  <c r="AD548" i="147"/>
  <c r="AD549" i="147"/>
  <c r="AD550" i="147"/>
  <c r="AD551" i="147"/>
  <c r="AD552" i="147"/>
  <c r="AD553" i="147"/>
  <c r="AD554" i="147"/>
  <c r="AD555" i="147"/>
  <c r="AD556" i="147"/>
  <c r="AD557" i="147"/>
  <c r="AD558" i="147"/>
  <c r="AD559" i="147"/>
  <c r="AD560" i="147"/>
  <c r="AD561" i="147"/>
  <c r="AD562" i="147"/>
  <c r="AD563" i="147"/>
  <c r="AD564" i="147"/>
  <c r="AD565" i="147"/>
  <c r="AD566" i="147"/>
  <c r="AD568" i="147"/>
  <c r="AD495" i="147"/>
  <c r="AD496" i="147"/>
  <c r="AD569" i="147"/>
  <c r="AD570" i="147"/>
  <c r="AD571" i="147"/>
  <c r="AD572" i="147"/>
  <c r="AD573" i="147"/>
  <c r="AD574" i="147"/>
  <c r="AD575" i="147"/>
  <c r="AD576" i="147"/>
  <c r="AD577" i="147"/>
  <c r="AD578" i="147"/>
  <c r="AD579" i="147"/>
  <c r="AD580" i="147"/>
  <c r="AD581" i="147"/>
  <c r="AD582" i="147"/>
  <c r="AD583" i="147"/>
  <c r="AD584" i="147"/>
  <c r="AD585" i="147"/>
  <c r="AD586" i="147"/>
  <c r="AD587" i="147"/>
  <c r="AD588" i="147"/>
  <c r="AD589" i="147"/>
  <c r="AD590" i="147"/>
  <c r="AD591" i="147"/>
  <c r="AD592" i="147"/>
  <c r="AD593" i="147"/>
  <c r="AD594" i="147"/>
  <c r="AD595" i="147"/>
  <c r="AD596" i="147"/>
  <c r="AD597" i="147"/>
  <c r="AD598" i="147"/>
  <c r="AD600" i="147"/>
  <c r="AD601" i="147"/>
  <c r="AD602" i="147"/>
  <c r="AD603" i="147"/>
  <c r="AD604" i="147"/>
  <c r="AD605" i="147"/>
  <c r="AD606" i="147"/>
  <c r="AD607" i="147"/>
  <c r="AD608" i="147"/>
  <c r="AD609" i="147"/>
  <c r="AD610" i="147"/>
  <c r="AD611" i="147"/>
  <c r="AD612" i="147"/>
  <c r="AD613" i="147"/>
  <c r="AD614" i="147"/>
  <c r="AD615" i="147"/>
  <c r="AD616" i="147"/>
  <c r="AD617" i="147"/>
  <c r="AD618" i="147"/>
  <c r="AD619" i="147"/>
  <c r="AD620" i="147"/>
  <c r="AD621" i="147"/>
  <c r="AD622" i="147"/>
  <c r="AD623" i="147"/>
  <c r="AD624" i="147"/>
  <c r="AD625" i="147"/>
  <c r="AD626" i="147"/>
  <c r="AD627" i="147"/>
  <c r="AD628" i="147"/>
  <c r="AD629" i="147"/>
  <c r="AD631" i="147"/>
  <c r="AD632" i="147"/>
  <c r="AD633" i="147"/>
  <c r="AD634" i="147"/>
  <c r="AD635" i="147"/>
  <c r="AD636" i="147"/>
  <c r="AD637" i="147"/>
  <c r="AD638" i="147"/>
  <c r="AD639" i="147"/>
  <c r="AD640" i="147"/>
  <c r="AD641" i="147"/>
  <c r="AD642" i="147"/>
  <c r="AD643" i="147"/>
  <c r="AG375" i="147"/>
  <c r="AG379" i="147"/>
  <c r="AG380" i="147"/>
  <c r="AG381" i="147"/>
  <c r="AG382" i="147"/>
  <c r="AG383" i="147"/>
  <c r="AG384" i="147"/>
  <c r="AG385" i="147"/>
  <c r="AG386" i="147"/>
  <c r="AG387" i="147"/>
  <c r="AG388" i="147"/>
  <c r="AG389" i="147"/>
  <c r="AG390" i="147"/>
  <c r="AG391" i="147"/>
  <c r="AG392" i="147"/>
  <c r="AG393" i="147"/>
  <c r="AG394" i="147"/>
  <c r="AG395" i="147"/>
  <c r="AG396" i="147"/>
  <c r="AG397" i="147"/>
  <c r="AG398" i="147"/>
  <c r="AG399" i="147"/>
  <c r="AG400" i="147"/>
  <c r="AG376" i="147"/>
  <c r="AG378" i="147"/>
  <c r="AG377" i="147"/>
  <c r="AG401" i="147"/>
  <c r="AG402" i="147"/>
  <c r="AG403" i="147"/>
  <c r="AG404" i="147"/>
  <c r="AG406" i="147"/>
  <c r="AG407" i="147"/>
  <c r="AG408" i="147"/>
  <c r="AG409" i="147"/>
  <c r="AG410" i="147"/>
  <c r="AG411" i="147"/>
  <c r="AG412" i="147"/>
  <c r="AG413" i="147"/>
  <c r="AG414" i="147"/>
  <c r="AG415" i="147"/>
  <c r="AG416" i="147"/>
  <c r="AG417" i="147"/>
  <c r="AG418" i="147"/>
  <c r="AG419" i="147"/>
  <c r="AG420" i="147"/>
  <c r="AG421" i="147"/>
  <c r="AG422" i="147"/>
  <c r="AG423" i="147"/>
  <c r="AG424" i="147"/>
  <c r="AG425" i="147"/>
  <c r="AG426" i="147"/>
  <c r="AG427" i="147"/>
  <c r="AG428" i="147"/>
  <c r="AG429" i="147"/>
  <c r="AG430" i="147"/>
  <c r="AG431" i="147"/>
  <c r="AG432" i="147"/>
  <c r="AG433" i="147"/>
  <c r="AG434" i="147"/>
  <c r="AG435" i="147"/>
  <c r="AG436" i="147"/>
  <c r="AG437" i="147"/>
  <c r="AG438" i="147"/>
  <c r="AG439" i="147"/>
  <c r="AG440" i="147"/>
  <c r="AG441" i="147"/>
  <c r="AG442" i="147"/>
  <c r="AG443" i="147"/>
  <c r="AG444" i="147"/>
  <c r="AG445" i="147"/>
  <c r="AG446" i="147"/>
  <c r="AG447" i="147"/>
  <c r="AG448" i="147"/>
  <c r="AG449" i="147"/>
  <c r="AG450" i="147"/>
  <c r="AG451" i="147"/>
  <c r="AG452" i="147"/>
  <c r="AG453" i="147"/>
  <c r="AG454" i="147"/>
  <c r="AG455" i="147"/>
  <c r="AG456" i="147"/>
  <c r="AG457" i="147"/>
  <c r="AG458" i="147"/>
  <c r="AG459" i="147"/>
  <c r="AG460" i="147"/>
  <c r="AG461" i="147"/>
  <c r="AG462" i="147"/>
  <c r="AG463" i="147"/>
  <c r="AG464" i="147"/>
  <c r="AG465" i="147"/>
  <c r="AG466" i="147"/>
  <c r="AG467" i="147"/>
  <c r="AG468" i="147"/>
  <c r="AG469" i="147"/>
  <c r="AG470" i="147"/>
  <c r="AG471" i="147"/>
  <c r="AG472" i="147"/>
  <c r="AG473" i="147"/>
  <c r="AG474" i="147"/>
  <c r="AG475" i="147"/>
  <c r="AG476" i="147"/>
  <c r="AG477" i="147"/>
  <c r="AG478" i="147"/>
  <c r="AG479" i="147"/>
  <c r="AG480" i="147"/>
  <c r="AG481" i="147"/>
  <c r="AG482" i="147"/>
  <c r="AG483" i="147"/>
  <c r="AG484" i="147"/>
  <c r="AG485" i="147"/>
  <c r="AG486" i="147"/>
  <c r="AG487" i="147"/>
  <c r="AG488" i="147"/>
  <c r="AG489" i="147"/>
  <c r="AG490" i="147"/>
  <c r="AG491" i="147"/>
  <c r="AG492" i="147"/>
  <c r="AG493" i="147"/>
  <c r="AG494" i="147"/>
  <c r="AG495" i="147"/>
  <c r="AG496" i="147"/>
  <c r="AG497" i="147"/>
  <c r="AG498" i="147"/>
  <c r="AG499" i="147"/>
  <c r="AG500" i="147"/>
  <c r="AG501" i="147"/>
  <c r="AG502" i="147"/>
  <c r="AG503" i="147"/>
  <c r="AG504" i="147"/>
  <c r="AG505" i="147"/>
  <c r="AG506" i="147"/>
  <c r="AG507" i="147"/>
  <c r="AG508" i="147"/>
  <c r="AG509" i="147"/>
  <c r="AG510" i="147"/>
  <c r="AG511" i="147"/>
  <c r="AG512" i="147"/>
  <c r="AG513" i="147"/>
  <c r="AG514" i="147"/>
  <c r="AG515" i="147"/>
  <c r="AG516" i="147"/>
  <c r="AG517" i="147"/>
  <c r="AG518" i="147"/>
  <c r="AG519" i="147"/>
  <c r="AG520" i="147"/>
  <c r="AG521" i="147"/>
  <c r="AG522" i="147"/>
  <c r="AG523" i="147"/>
  <c r="AG524" i="147"/>
  <c r="AG525" i="147"/>
  <c r="AG526" i="147"/>
  <c r="AG527" i="147"/>
  <c r="AG528" i="147"/>
  <c r="AG529" i="147"/>
  <c r="AG530" i="147"/>
  <c r="AG531" i="147"/>
  <c r="AG532" i="147"/>
  <c r="AG533" i="147"/>
  <c r="AG534" i="147"/>
  <c r="AG535" i="147"/>
  <c r="AG536" i="147"/>
  <c r="AG537" i="147"/>
  <c r="AG538" i="147"/>
  <c r="AG539" i="147"/>
  <c r="AG540" i="147"/>
  <c r="AG541" i="147"/>
  <c r="AG542" i="147"/>
  <c r="AG543" i="147"/>
  <c r="AG544" i="147"/>
  <c r="AG545" i="147"/>
  <c r="AG546" i="147"/>
  <c r="AG547" i="147"/>
  <c r="AG548" i="147"/>
  <c r="AG549" i="147"/>
  <c r="AG550" i="147"/>
  <c r="AG551" i="147"/>
  <c r="AG552" i="147"/>
  <c r="AG553" i="147"/>
  <c r="AG554" i="147"/>
  <c r="AG555" i="147"/>
  <c r="AG556" i="147"/>
  <c r="AG557" i="147"/>
  <c r="AG558" i="147"/>
  <c r="AG559" i="147"/>
  <c r="AG560" i="147"/>
  <c r="AG561" i="147"/>
  <c r="AG562" i="147"/>
  <c r="AG563" i="147"/>
  <c r="AG564" i="147"/>
  <c r="AG565" i="147"/>
  <c r="AG566" i="147"/>
  <c r="AG568" i="147"/>
  <c r="AG569" i="147"/>
  <c r="AG570" i="147"/>
  <c r="AG571" i="147"/>
  <c r="AG572" i="147"/>
  <c r="AG573" i="147"/>
  <c r="AG574" i="147"/>
  <c r="AG575" i="147"/>
  <c r="AG576" i="147"/>
  <c r="AG577" i="147"/>
  <c r="AG578" i="147"/>
  <c r="AG579" i="147"/>
  <c r="AG580" i="147"/>
  <c r="AG581" i="147"/>
  <c r="AG582" i="147"/>
  <c r="AG583" i="147"/>
  <c r="AG584" i="147"/>
  <c r="AG585" i="147"/>
  <c r="AG586" i="147"/>
  <c r="AG587" i="147"/>
  <c r="AG588" i="147"/>
  <c r="AG589" i="147"/>
  <c r="AG590" i="147"/>
  <c r="AG591" i="147"/>
  <c r="AG592" i="147"/>
  <c r="AG593" i="147"/>
  <c r="AG594" i="147"/>
  <c r="AG595" i="147"/>
  <c r="AG596" i="147"/>
  <c r="AG597" i="147"/>
  <c r="AG598" i="147"/>
  <c r="AG600" i="147"/>
  <c r="AG601" i="147"/>
  <c r="AG602" i="147"/>
  <c r="AG603" i="147"/>
  <c r="AG604" i="147"/>
  <c r="AG605" i="147"/>
  <c r="AG606" i="147"/>
  <c r="AG607" i="147"/>
  <c r="AG608" i="147"/>
  <c r="AG609" i="147"/>
  <c r="AG610" i="147"/>
  <c r="AG611" i="147"/>
  <c r="AG612" i="147"/>
  <c r="AG613" i="147"/>
  <c r="AG614" i="147"/>
  <c r="AG615" i="147"/>
  <c r="AG616" i="147"/>
  <c r="AG617" i="147"/>
  <c r="AG618" i="147"/>
  <c r="AG619" i="147"/>
  <c r="AG620" i="147"/>
  <c r="AG621" i="147"/>
  <c r="AG622" i="147"/>
  <c r="AG623" i="147"/>
  <c r="AG624" i="147"/>
  <c r="AG625" i="147"/>
  <c r="AG626" i="147"/>
  <c r="AG627" i="147"/>
  <c r="AG628" i="147"/>
  <c r="AG629" i="147"/>
  <c r="AG631" i="147"/>
  <c r="AG632" i="147"/>
  <c r="AG633" i="147"/>
  <c r="AG634" i="147"/>
  <c r="AG635" i="147"/>
  <c r="AG636" i="147"/>
  <c r="AG637" i="147"/>
  <c r="AG638" i="147"/>
  <c r="AG639" i="147"/>
  <c r="AG640" i="147"/>
  <c r="AG641" i="147"/>
  <c r="AG642" i="147"/>
  <c r="AG643" i="147"/>
  <c r="AI375" i="147"/>
  <c r="AI376" i="147"/>
  <c r="AI377" i="147"/>
  <c r="AI378" i="147"/>
  <c r="AI379" i="147"/>
  <c r="AI380" i="147"/>
  <c r="AI381" i="147"/>
  <c r="AI382" i="147"/>
  <c r="AI383" i="147"/>
  <c r="AI384" i="147"/>
  <c r="AI385" i="147"/>
  <c r="AI386" i="147"/>
  <c r="AI387" i="147"/>
  <c r="AI388" i="147"/>
  <c r="AI389" i="147"/>
  <c r="AI390" i="147"/>
  <c r="AI391" i="147"/>
  <c r="AI392" i="147"/>
  <c r="AI393" i="147"/>
  <c r="AI394" i="147"/>
  <c r="AI395" i="147"/>
  <c r="AI396" i="147"/>
  <c r="AI397" i="147"/>
  <c r="AI398" i="147"/>
  <c r="AI400" i="147"/>
  <c r="AI401" i="147"/>
  <c r="AI402" i="147"/>
  <c r="AI403" i="147"/>
  <c r="AI404" i="147"/>
  <c r="AI405" i="147"/>
  <c r="AI406" i="147"/>
  <c r="AI407" i="147"/>
  <c r="AI408" i="147"/>
  <c r="AI409" i="147"/>
  <c r="AI410" i="147"/>
  <c r="AI411" i="147"/>
  <c r="AI412" i="147"/>
  <c r="AI413" i="147"/>
  <c r="AI414" i="147"/>
  <c r="AI415" i="147"/>
  <c r="AI416" i="147"/>
  <c r="AI417" i="147"/>
  <c r="AI418" i="147"/>
  <c r="AI419" i="147"/>
  <c r="AI420" i="147"/>
  <c r="AI421" i="147"/>
  <c r="AI422" i="147"/>
  <c r="AI423" i="147"/>
  <c r="AI424" i="147"/>
  <c r="AI425" i="147"/>
  <c r="AI426" i="147"/>
  <c r="AI427" i="147"/>
  <c r="AI428" i="147"/>
  <c r="AI429" i="147"/>
  <c r="AI430" i="147"/>
  <c r="AI431" i="147"/>
  <c r="AI432" i="147"/>
  <c r="AI433" i="147"/>
  <c r="AI434" i="147"/>
  <c r="AI435" i="147"/>
  <c r="AI436" i="147"/>
  <c r="AI437" i="147"/>
  <c r="AI438" i="147"/>
  <c r="AI439" i="147"/>
  <c r="AI446" i="147"/>
  <c r="AI447" i="147"/>
  <c r="AI448" i="147"/>
  <c r="AI449" i="147"/>
  <c r="AI450" i="147"/>
  <c r="AI451" i="147"/>
  <c r="AI452" i="147"/>
  <c r="AI453" i="147"/>
  <c r="AI454" i="147"/>
  <c r="AI455" i="147"/>
  <c r="AI456" i="147"/>
  <c r="AI457" i="147"/>
  <c r="AI440" i="147"/>
  <c r="AI441" i="147"/>
  <c r="AI442" i="147"/>
  <c r="AI443" i="147"/>
  <c r="AI444" i="147"/>
  <c r="AI445" i="147"/>
  <c r="AI458" i="147"/>
  <c r="AI459" i="147"/>
  <c r="AI460" i="147"/>
  <c r="AI461" i="147"/>
  <c r="AI462" i="147"/>
  <c r="AI463" i="147"/>
  <c r="AI464" i="147"/>
  <c r="AI465" i="147"/>
  <c r="AI466" i="147"/>
  <c r="AI467" i="147"/>
  <c r="AI468" i="147"/>
  <c r="AI469" i="147"/>
  <c r="AI470" i="147"/>
  <c r="AI471" i="147"/>
  <c r="AI472" i="147"/>
  <c r="AI473" i="147"/>
  <c r="AI474" i="147"/>
  <c r="AI475" i="147"/>
  <c r="AI476" i="147"/>
  <c r="AI477" i="147"/>
  <c r="AI478" i="147"/>
  <c r="AI479" i="147"/>
  <c r="AI480" i="147"/>
  <c r="AI481" i="147"/>
  <c r="AI482" i="147"/>
  <c r="AI483" i="147"/>
  <c r="AI484" i="147"/>
  <c r="AI485" i="147"/>
  <c r="AI486" i="147"/>
  <c r="AI487" i="147"/>
  <c r="AI488" i="147"/>
  <c r="AI489" i="147"/>
  <c r="AI490" i="147"/>
  <c r="AI491" i="147"/>
  <c r="AI492" i="147"/>
  <c r="AI493" i="147"/>
  <c r="AI494" i="147"/>
  <c r="AI495" i="147"/>
  <c r="AI496" i="147"/>
  <c r="AI497" i="147"/>
  <c r="AI498" i="147"/>
  <c r="AI499" i="147"/>
  <c r="AI500" i="147"/>
  <c r="AI501" i="147"/>
  <c r="AI502" i="147"/>
  <c r="AI503" i="147"/>
  <c r="AI504" i="147"/>
  <c r="AI505" i="147"/>
  <c r="AI506" i="147"/>
  <c r="AI507" i="147"/>
  <c r="AI508" i="147"/>
  <c r="AI509" i="147"/>
  <c r="AI510" i="147"/>
  <c r="AI511" i="147"/>
  <c r="AI512" i="147"/>
  <c r="AI513" i="147"/>
  <c r="AI514" i="147"/>
  <c r="AI515" i="147"/>
  <c r="AI516" i="147"/>
  <c r="AI517" i="147"/>
  <c r="AI518" i="147"/>
  <c r="AI519" i="147"/>
  <c r="AI520" i="147"/>
  <c r="AI521" i="147"/>
  <c r="AI522" i="147"/>
  <c r="AI523" i="147"/>
  <c r="AI524" i="147"/>
  <c r="AI525" i="147"/>
  <c r="AI526" i="147"/>
  <c r="AI527" i="147"/>
  <c r="AI528" i="147"/>
  <c r="AI529" i="147"/>
  <c r="AI530" i="147"/>
  <c r="AI531" i="147"/>
  <c r="AI532" i="147"/>
  <c r="AI533" i="147"/>
  <c r="AI534" i="147"/>
  <c r="AI535" i="147"/>
  <c r="AI536" i="147"/>
  <c r="AI537" i="147"/>
  <c r="AI538" i="147"/>
  <c r="AI539" i="147"/>
  <c r="AI540" i="147"/>
  <c r="AI541" i="147"/>
  <c r="AI542" i="147"/>
  <c r="AI543" i="147"/>
  <c r="AI544" i="147"/>
  <c r="AI545" i="147"/>
  <c r="AI546" i="147"/>
  <c r="AI547" i="147"/>
  <c r="AI548" i="147"/>
  <c r="AI549" i="147"/>
  <c r="AI550" i="147"/>
  <c r="AI551" i="147"/>
  <c r="AI552" i="147"/>
  <c r="AI553" i="147"/>
  <c r="AI554" i="147"/>
  <c r="AI555" i="147"/>
  <c r="AI556" i="147"/>
  <c r="AI557" i="147"/>
  <c r="AI558" i="147"/>
  <c r="AI559" i="147"/>
  <c r="AI560" i="147"/>
  <c r="AI561" i="147"/>
  <c r="AI562" i="147"/>
  <c r="AI563" i="147"/>
  <c r="AI564" i="147"/>
  <c r="AI565" i="147"/>
  <c r="AI566" i="147"/>
  <c r="AI568" i="147"/>
  <c r="AI569" i="147"/>
  <c r="AI570" i="147"/>
  <c r="AI571" i="147"/>
  <c r="AI572" i="147"/>
  <c r="AI573" i="147"/>
  <c r="AI574" i="147"/>
  <c r="AI575" i="147"/>
  <c r="AI576" i="147"/>
  <c r="AI577" i="147"/>
  <c r="AI578" i="147"/>
  <c r="AI579" i="147"/>
  <c r="AI580" i="147"/>
  <c r="AI581" i="147"/>
  <c r="AI582" i="147"/>
  <c r="AI583" i="147"/>
  <c r="AI584" i="147"/>
  <c r="AI585" i="147"/>
  <c r="AI586" i="147"/>
  <c r="AI587" i="147"/>
  <c r="AI588" i="147"/>
  <c r="AI589" i="147"/>
  <c r="AI590" i="147"/>
  <c r="AI591" i="147"/>
  <c r="AI592" i="147"/>
  <c r="AI593" i="147"/>
  <c r="AI594" i="147"/>
  <c r="AI595" i="147"/>
  <c r="AI596" i="147"/>
  <c r="AI597" i="147"/>
  <c r="AI598" i="147"/>
  <c r="AI600" i="147"/>
  <c r="AI601" i="147"/>
  <c r="AI603" i="147"/>
  <c r="AI604" i="147"/>
  <c r="AI605" i="147"/>
  <c r="AI606" i="147"/>
  <c r="AI607" i="147"/>
  <c r="AI608" i="147"/>
  <c r="AI609" i="147"/>
  <c r="AI610" i="147"/>
  <c r="AI611" i="147"/>
  <c r="AI612" i="147"/>
  <c r="AI613" i="147"/>
  <c r="AI614" i="147"/>
  <c r="AI615" i="147"/>
  <c r="AI616" i="147"/>
  <c r="AI617" i="147"/>
  <c r="AI618" i="147"/>
  <c r="AI619" i="147"/>
  <c r="AI620" i="147"/>
  <c r="AI621" i="147"/>
  <c r="AI622" i="147"/>
  <c r="AI623" i="147"/>
  <c r="AI624" i="147"/>
  <c r="AI625" i="147"/>
  <c r="AI626" i="147"/>
  <c r="AI627" i="147"/>
  <c r="AI628" i="147"/>
  <c r="AI629" i="147"/>
  <c r="AI631" i="147"/>
  <c r="AI632" i="147"/>
  <c r="AI633" i="147"/>
  <c r="AI634" i="147"/>
  <c r="AI635" i="147"/>
  <c r="AI636" i="147"/>
  <c r="AI637" i="147"/>
  <c r="AI638" i="147"/>
  <c r="AI639" i="147"/>
  <c r="AI640" i="147"/>
  <c r="AI641" i="147"/>
  <c r="AI642" i="147"/>
  <c r="AI643" i="147"/>
  <c r="AK375" i="147"/>
  <c r="AK379" i="147"/>
  <c r="AK380" i="147"/>
  <c r="AK381" i="147"/>
  <c r="AK382" i="147"/>
  <c r="AK383" i="147"/>
  <c r="AK384" i="147"/>
  <c r="AK385" i="147"/>
  <c r="AK376" i="147"/>
  <c r="AK377" i="147"/>
  <c r="AK378" i="147"/>
  <c r="AK386" i="147"/>
  <c r="AK387" i="147"/>
  <c r="AK388" i="147"/>
  <c r="AK389" i="147"/>
  <c r="AK390" i="147"/>
  <c r="AK391" i="147"/>
  <c r="AK392" i="147"/>
  <c r="AK394" i="147"/>
  <c r="AK396" i="147"/>
  <c r="AK397" i="147"/>
  <c r="AK398" i="147"/>
  <c r="AK399" i="147"/>
  <c r="AK400" i="147"/>
  <c r="AK403" i="147"/>
  <c r="AK404" i="147"/>
  <c r="AK405" i="147"/>
  <c r="AK401" i="147"/>
  <c r="AK402" i="147"/>
  <c r="AK406" i="147"/>
  <c r="AK407" i="147"/>
  <c r="AK409" i="147"/>
  <c r="AK410" i="147"/>
  <c r="AK411" i="147"/>
  <c r="AK412" i="147"/>
  <c r="AK413" i="147"/>
  <c r="AK414" i="147"/>
  <c r="AK415" i="147"/>
  <c r="AK416" i="147"/>
  <c r="AK417" i="147"/>
  <c r="AK418" i="147"/>
  <c r="AK419" i="147"/>
  <c r="AK420" i="147"/>
  <c r="AK421" i="147"/>
  <c r="AK425" i="147"/>
  <c r="AK456" i="147"/>
  <c r="AK459" i="147"/>
  <c r="AK466" i="147"/>
  <c r="AK467" i="147"/>
  <c r="AK468" i="147"/>
  <c r="AK469" i="147"/>
  <c r="AK470" i="147"/>
  <c r="AK471" i="147"/>
  <c r="AK472" i="147"/>
  <c r="AK473" i="147"/>
  <c r="AK474" i="147"/>
  <c r="AK476" i="147"/>
  <c r="AK483" i="147"/>
  <c r="AK486" i="147"/>
  <c r="AK487" i="147"/>
  <c r="AK488" i="147"/>
  <c r="AK489" i="147"/>
  <c r="AK490" i="147"/>
  <c r="AK491" i="147"/>
  <c r="AK492" i="147"/>
  <c r="AK493" i="147"/>
  <c r="AK494" i="147"/>
  <c r="AK495" i="147"/>
  <c r="AK496" i="147"/>
  <c r="AK497" i="147"/>
  <c r="AK498" i="147"/>
  <c r="AK499" i="147"/>
  <c r="AK500" i="147"/>
  <c r="AK501" i="147"/>
  <c r="AK502" i="147"/>
  <c r="AK503" i="147"/>
  <c r="AK504" i="147"/>
  <c r="AK505" i="147"/>
  <c r="AK506" i="147"/>
  <c r="AK507" i="147"/>
  <c r="AK508" i="147"/>
  <c r="AK509" i="147"/>
  <c r="AK510" i="147"/>
  <c r="AK511" i="147"/>
  <c r="AK512" i="147"/>
  <c r="AK513" i="147"/>
  <c r="AK514" i="147"/>
  <c r="AK515" i="147"/>
  <c r="AK516" i="147"/>
  <c r="AK517" i="147"/>
  <c r="AK518" i="147"/>
  <c r="AK519" i="147"/>
  <c r="AK521" i="147"/>
  <c r="AK522" i="147"/>
  <c r="AK523" i="147"/>
  <c r="AK524" i="147"/>
  <c r="AK525" i="147"/>
  <c r="AK526" i="147"/>
  <c r="AK527" i="147"/>
  <c r="AK528" i="147"/>
  <c r="AK529" i="147"/>
  <c r="AK530" i="147"/>
  <c r="AK535" i="147"/>
  <c r="AK536" i="147"/>
  <c r="AK538" i="147"/>
  <c r="AK544" i="147"/>
  <c r="AK545" i="147"/>
  <c r="AK546" i="147"/>
  <c r="AK560" i="147"/>
  <c r="AK561" i="147"/>
  <c r="AK562" i="147"/>
  <c r="AK563" i="147"/>
  <c r="AK578" i="147"/>
  <c r="AK579" i="147"/>
  <c r="AK580" i="147"/>
  <c r="AK585" i="147"/>
  <c r="AK586" i="147"/>
  <c r="AK587" i="147"/>
  <c r="AK592" i="147"/>
  <c r="AK593" i="147"/>
  <c r="AK594" i="147"/>
  <c r="AK595" i="147"/>
  <c r="AK596" i="147"/>
  <c r="AK597" i="147"/>
  <c r="AK598" i="147"/>
  <c r="AK600" i="147"/>
  <c r="AK601" i="147"/>
  <c r="AK602" i="147"/>
  <c r="AK603" i="147"/>
  <c r="AK604" i="147"/>
  <c r="AK606" i="147"/>
  <c r="AK607" i="147"/>
  <c r="AK608" i="147"/>
  <c r="AK609" i="147"/>
  <c r="AK610" i="147"/>
  <c r="AK611" i="147"/>
  <c r="AK612" i="147"/>
  <c r="AK613" i="147"/>
  <c r="AK614" i="147"/>
  <c r="AK615" i="147"/>
  <c r="AK616" i="147"/>
  <c r="AK622" i="147"/>
  <c r="AK623" i="147"/>
  <c r="AK624" i="147"/>
  <c r="AK625" i="147"/>
  <c r="AK626" i="147"/>
  <c r="AK627" i="147"/>
  <c r="AK628" i="147"/>
  <c r="AK629" i="147"/>
  <c r="AK631" i="147"/>
  <c r="AK632" i="147"/>
  <c r="AK633" i="147"/>
  <c r="AK634" i="147"/>
  <c r="AK635" i="147"/>
  <c r="AK636" i="147"/>
  <c r="AK637" i="147"/>
  <c r="AK638" i="147"/>
  <c r="AK639" i="147"/>
  <c r="AK640" i="147"/>
  <c r="AK641" i="147"/>
  <c r="AK642" i="147"/>
  <c r="AK643" i="147"/>
  <c r="AK571" i="147"/>
  <c r="AK589" i="147"/>
  <c r="AK588" i="147"/>
  <c r="AK568" i="147"/>
  <c r="AK569" i="147"/>
  <c r="AM376" i="147"/>
  <c r="AM377" i="147"/>
  <c r="AM378" i="147"/>
  <c r="AM379" i="147"/>
  <c r="AM380" i="147"/>
  <c r="AM381" i="147"/>
  <c r="AM382" i="147"/>
  <c r="AM383" i="147"/>
  <c r="AM384" i="147"/>
  <c r="AM385" i="147"/>
  <c r="AM386" i="147"/>
  <c r="AM387" i="147"/>
  <c r="AM388" i="147"/>
  <c r="AM389" i="147"/>
  <c r="AM390" i="147"/>
  <c r="AM391" i="147"/>
  <c r="AM392" i="147"/>
  <c r="AM393" i="147"/>
  <c r="AM394" i="147"/>
  <c r="AM395" i="147"/>
  <c r="AM396" i="147"/>
  <c r="AM397" i="147"/>
  <c r="AM398" i="147"/>
  <c r="AM399" i="147"/>
  <c r="AM400" i="147"/>
  <c r="AM375" i="147"/>
  <c r="AM401" i="147"/>
  <c r="AM402" i="147"/>
  <c r="AM403" i="147"/>
  <c r="AM404" i="147"/>
  <c r="AM405" i="147"/>
  <c r="AM406" i="147"/>
  <c r="AM407" i="147"/>
  <c r="AM408" i="147"/>
  <c r="AM409" i="147"/>
  <c r="AM410" i="147"/>
  <c r="AM411" i="147"/>
  <c r="AM412" i="147"/>
  <c r="AM413" i="147"/>
  <c r="AM414" i="147"/>
  <c r="AM415" i="147"/>
  <c r="AM416" i="147"/>
  <c r="AM417" i="147"/>
  <c r="AM418" i="147"/>
  <c r="AM419" i="147"/>
  <c r="AM420" i="147"/>
  <c r="AM421" i="147"/>
  <c r="AM422" i="147"/>
  <c r="AM423" i="147"/>
  <c r="AM425" i="147"/>
  <c r="AM426" i="147"/>
  <c r="AM427" i="147"/>
  <c r="AM428" i="147"/>
  <c r="AM429" i="147"/>
  <c r="AM430" i="147"/>
  <c r="AM431" i="147"/>
  <c r="AM432" i="147"/>
  <c r="AM433" i="147"/>
  <c r="AM434" i="147"/>
  <c r="AM435" i="147"/>
  <c r="AM436" i="147"/>
  <c r="AM437" i="147"/>
  <c r="AM438" i="147"/>
  <c r="AM439" i="147"/>
  <c r="AM446" i="147"/>
  <c r="AM447" i="147"/>
  <c r="AM448" i="147"/>
  <c r="AM449" i="147"/>
  <c r="AM450" i="147"/>
  <c r="AM451" i="147"/>
  <c r="AM452" i="147"/>
  <c r="AM453" i="147"/>
  <c r="AM454" i="147"/>
  <c r="AM455" i="147"/>
  <c r="AM456" i="147"/>
  <c r="AM457" i="147"/>
  <c r="AM440" i="147"/>
  <c r="AM441" i="147"/>
  <c r="AM442" i="147"/>
  <c r="AM443" i="147"/>
  <c r="AM444" i="147"/>
  <c r="AM445" i="147"/>
  <c r="AM458" i="147"/>
  <c r="AM459" i="147"/>
  <c r="AM460" i="147"/>
  <c r="AM461" i="147"/>
  <c r="AM462" i="147"/>
  <c r="AM463" i="147"/>
  <c r="AM464" i="147"/>
  <c r="AM465" i="147"/>
  <c r="AM466" i="147"/>
  <c r="AM467" i="147"/>
  <c r="AM468" i="147"/>
  <c r="AM469" i="147"/>
  <c r="AM470" i="147"/>
  <c r="AM471" i="147"/>
  <c r="AM472" i="147"/>
  <c r="AM473" i="147"/>
  <c r="AM474" i="147"/>
  <c r="AM475" i="147"/>
  <c r="AM476" i="147"/>
  <c r="AM477" i="147"/>
  <c r="AM478" i="147"/>
  <c r="AM479" i="147"/>
  <c r="AM480" i="147"/>
  <c r="AM481" i="147"/>
  <c r="AM482" i="147"/>
  <c r="AM483" i="147"/>
  <c r="AM484" i="147"/>
  <c r="AM485" i="147"/>
  <c r="AM486" i="147"/>
  <c r="AM487" i="147"/>
  <c r="AM488" i="147"/>
  <c r="AM489" i="147"/>
  <c r="AM490" i="147"/>
  <c r="AM491" i="147"/>
  <c r="AM492" i="147"/>
  <c r="AM493" i="147"/>
  <c r="AM494" i="147"/>
  <c r="AM495" i="147"/>
  <c r="AM496" i="147"/>
  <c r="AM497" i="147"/>
  <c r="AM498" i="147"/>
  <c r="AM499" i="147"/>
  <c r="AM500" i="147"/>
  <c r="AM501" i="147"/>
  <c r="AM502" i="147"/>
  <c r="AM503" i="147"/>
  <c r="AM504" i="147"/>
  <c r="AM505" i="147"/>
  <c r="AM506" i="147"/>
  <c r="AM507" i="147"/>
  <c r="AM508" i="147"/>
  <c r="AM509" i="147"/>
  <c r="AM510" i="147"/>
  <c r="AM511" i="147"/>
  <c r="AM512" i="147"/>
  <c r="AM513" i="147"/>
  <c r="AM514" i="147"/>
  <c r="AM515" i="147"/>
  <c r="AM516" i="147"/>
  <c r="AM517" i="147"/>
  <c r="AM518" i="147"/>
  <c r="AM519" i="147"/>
  <c r="AM520" i="147"/>
  <c r="AM521" i="147"/>
  <c r="AM522" i="147"/>
  <c r="AM523" i="147"/>
  <c r="AM524" i="147"/>
  <c r="AM525" i="147"/>
  <c r="AM526" i="147"/>
  <c r="AM527" i="147"/>
  <c r="AM528" i="147"/>
  <c r="AM529" i="147"/>
  <c r="AM530" i="147"/>
  <c r="AM531" i="147"/>
  <c r="AM532" i="147"/>
  <c r="AM533" i="147"/>
  <c r="AM534" i="147"/>
  <c r="AM535" i="147"/>
  <c r="AM536" i="147"/>
  <c r="AM537" i="147"/>
  <c r="AM538" i="147"/>
  <c r="AM539" i="147"/>
  <c r="AM540" i="147"/>
  <c r="AM541" i="147"/>
  <c r="AM542" i="147"/>
  <c r="AM543" i="147"/>
  <c r="AM544" i="147"/>
  <c r="AM545" i="147"/>
  <c r="AM546" i="147"/>
  <c r="AM547" i="147"/>
  <c r="AM548" i="147"/>
  <c r="AM549" i="147"/>
  <c r="AM550" i="147"/>
  <c r="AM551" i="147"/>
  <c r="AM552" i="147"/>
  <c r="AM553" i="147"/>
  <c r="AM554" i="147"/>
  <c r="AM555" i="147"/>
  <c r="AM556" i="147"/>
  <c r="AM557" i="147"/>
  <c r="AM558" i="147"/>
  <c r="AM559" i="147"/>
  <c r="AM560" i="147"/>
  <c r="AM561" i="147"/>
  <c r="AM562" i="147"/>
  <c r="AM563" i="147"/>
  <c r="AM564" i="147"/>
  <c r="AM565" i="147"/>
  <c r="AM566" i="147"/>
  <c r="AM568" i="147"/>
  <c r="AM569" i="147"/>
  <c r="AM570" i="147"/>
  <c r="AM571" i="147"/>
  <c r="AM572" i="147"/>
  <c r="AM573" i="147"/>
  <c r="AM574" i="147"/>
  <c r="AM575" i="147"/>
  <c r="AM576" i="147"/>
  <c r="AM577" i="147"/>
  <c r="AM578" i="147"/>
  <c r="AM579" i="147"/>
  <c r="AM580" i="147"/>
  <c r="AM581" i="147"/>
  <c r="AM582" i="147"/>
  <c r="AM583" i="147"/>
  <c r="AM584" i="147"/>
  <c r="AM585" i="147"/>
  <c r="AM586" i="147"/>
  <c r="AM587" i="147"/>
  <c r="AM588" i="147"/>
  <c r="AM589" i="147"/>
  <c r="AM590" i="147"/>
  <c r="AM591" i="147"/>
  <c r="AM592" i="147"/>
  <c r="AM593" i="147"/>
  <c r="AM594" i="147"/>
  <c r="AM595" i="147"/>
  <c r="AM596" i="147"/>
  <c r="AM597" i="147"/>
  <c r="AM598" i="147"/>
  <c r="AM600" i="147"/>
  <c r="AM601" i="147"/>
  <c r="AM602" i="147"/>
  <c r="AM603" i="147"/>
  <c r="AM604" i="147"/>
  <c r="AM605" i="147"/>
  <c r="AM606" i="147"/>
  <c r="AM607" i="147"/>
  <c r="AM608" i="147"/>
  <c r="AM609" i="147"/>
  <c r="AM610" i="147"/>
  <c r="AM611" i="147"/>
  <c r="AM612" i="147"/>
  <c r="AM613" i="147"/>
  <c r="AM614" i="147"/>
  <c r="AM615" i="147"/>
  <c r="AM616" i="147"/>
  <c r="AM617" i="147"/>
  <c r="AM618" i="147"/>
  <c r="AM619" i="147"/>
  <c r="AM620" i="147"/>
  <c r="AM621" i="147"/>
  <c r="AM622" i="147"/>
  <c r="AM623" i="147"/>
  <c r="AM624" i="147"/>
  <c r="AM625" i="147"/>
  <c r="AM626" i="147"/>
  <c r="AM627" i="147"/>
  <c r="AM628" i="147"/>
  <c r="AM629" i="147"/>
  <c r="AM631" i="147"/>
  <c r="AM632" i="147"/>
  <c r="AM633" i="147"/>
  <c r="AM634" i="147"/>
  <c r="AM635" i="147"/>
  <c r="AM636" i="147"/>
  <c r="AM637" i="147"/>
  <c r="AM638" i="147"/>
  <c r="AM639" i="147"/>
  <c r="AM640" i="147"/>
  <c r="AM641" i="147"/>
  <c r="AM642" i="147"/>
  <c r="AM643" i="147"/>
  <c r="AO375" i="147"/>
  <c r="AO379" i="147"/>
  <c r="AO381" i="147"/>
  <c r="AO382" i="147"/>
  <c r="AO383" i="147"/>
  <c r="AO384" i="147"/>
  <c r="AO385" i="147"/>
  <c r="AO386" i="147"/>
  <c r="AO387" i="147"/>
  <c r="AO388" i="147"/>
  <c r="AO392" i="147"/>
  <c r="AO393" i="147"/>
  <c r="AO376" i="147"/>
  <c r="AO377" i="147"/>
  <c r="AO378" i="147"/>
  <c r="AO401" i="147"/>
  <c r="AO402" i="147"/>
  <c r="AO404" i="147"/>
  <c r="AO405" i="147"/>
  <c r="AO407" i="147"/>
  <c r="AO408" i="147"/>
  <c r="AO409" i="147"/>
  <c r="AO410" i="147"/>
  <c r="AO411" i="147"/>
  <c r="AO412" i="147"/>
  <c r="AO413" i="147"/>
  <c r="AO414" i="147"/>
  <c r="AO415" i="147"/>
  <c r="AO416" i="147"/>
  <c r="AO417" i="147"/>
  <c r="AO418" i="147"/>
  <c r="AO421" i="147"/>
  <c r="AO422" i="147"/>
  <c r="AO423" i="147"/>
  <c r="AO424" i="147"/>
  <c r="AO425" i="147"/>
  <c r="AO426" i="147"/>
  <c r="AO427" i="147"/>
  <c r="AO428" i="147"/>
  <c r="AO429" i="147"/>
  <c r="AO430" i="147"/>
  <c r="AO431" i="147"/>
  <c r="AO432" i="147"/>
  <c r="AO433" i="147"/>
  <c r="AO434" i="147"/>
  <c r="AO435" i="147"/>
  <c r="AO436" i="147"/>
  <c r="AO437" i="147"/>
  <c r="AO438" i="147"/>
  <c r="AO439" i="147"/>
  <c r="AO440" i="147"/>
  <c r="AO441" i="147"/>
  <c r="AO442" i="147"/>
  <c r="AO443" i="147"/>
  <c r="AO444" i="147"/>
  <c r="AO445" i="147"/>
  <c r="AO446" i="147"/>
  <c r="AO447" i="147"/>
  <c r="AO448" i="147"/>
  <c r="AO449" i="147"/>
  <c r="AO450" i="147"/>
  <c r="AO451" i="147"/>
  <c r="AO452" i="147"/>
  <c r="AO453" i="147"/>
  <c r="AO454" i="147"/>
  <c r="AO455" i="147"/>
  <c r="AO456" i="147"/>
  <c r="AO457" i="147"/>
  <c r="AO458" i="147"/>
  <c r="AO459" i="147"/>
  <c r="AO460" i="147"/>
  <c r="AO461" i="147"/>
  <c r="AO462" i="147"/>
  <c r="AO463" i="147"/>
  <c r="AO464" i="147"/>
  <c r="AO465" i="147"/>
  <c r="AO466" i="147"/>
  <c r="AO467" i="147"/>
  <c r="AO468" i="147"/>
  <c r="AO469" i="147"/>
  <c r="AO470" i="147"/>
  <c r="AO471" i="147"/>
  <c r="AO472" i="147"/>
  <c r="AO473" i="147"/>
  <c r="AO474" i="147"/>
  <c r="AO475" i="147"/>
  <c r="AO476" i="147"/>
  <c r="AO477" i="147"/>
  <c r="AO478" i="147"/>
  <c r="AO479" i="147"/>
  <c r="AO480" i="147"/>
  <c r="AO481" i="147"/>
  <c r="AO482" i="147"/>
  <c r="AO483" i="147"/>
  <c r="AO484" i="147"/>
  <c r="AO485" i="147"/>
  <c r="AO486" i="147"/>
  <c r="AO487" i="147"/>
  <c r="AO488" i="147"/>
  <c r="AO489" i="147"/>
  <c r="AO490" i="147"/>
  <c r="AO491" i="147"/>
  <c r="AO492" i="147"/>
  <c r="AO493" i="147"/>
  <c r="AO494" i="147"/>
  <c r="AO495" i="147"/>
  <c r="AO496" i="147"/>
  <c r="AO497" i="147"/>
  <c r="AO498" i="147"/>
  <c r="AO499" i="147"/>
  <c r="AO500" i="147"/>
  <c r="AO501" i="147"/>
  <c r="AO502" i="147"/>
  <c r="AO503" i="147"/>
  <c r="AO504" i="147"/>
  <c r="AO505" i="147"/>
  <c r="AO506" i="147"/>
  <c r="AO507" i="147"/>
  <c r="AO508" i="147"/>
  <c r="AO509" i="147"/>
  <c r="AO510" i="147"/>
  <c r="AO511" i="147"/>
  <c r="AO512" i="147"/>
  <c r="AO513" i="147"/>
  <c r="AO514" i="147"/>
  <c r="AO515" i="147"/>
  <c r="AO516" i="147"/>
  <c r="AO517" i="147"/>
  <c r="AO518" i="147"/>
  <c r="AO519" i="147"/>
  <c r="AO520" i="147"/>
  <c r="AO521" i="147"/>
  <c r="AO522" i="147"/>
  <c r="AO523" i="147"/>
  <c r="AO524" i="147"/>
  <c r="AO525" i="147"/>
  <c r="AO526" i="147"/>
  <c r="AO527" i="147"/>
  <c r="AO528" i="147"/>
  <c r="AO529" i="147"/>
  <c r="AO530" i="147"/>
  <c r="AO531" i="147"/>
  <c r="AO532" i="147"/>
  <c r="AO533" i="147"/>
  <c r="AO534" i="147"/>
  <c r="AO535" i="147"/>
  <c r="AO536" i="147"/>
  <c r="AO537" i="147"/>
  <c r="AO538" i="147"/>
  <c r="AO539" i="147"/>
  <c r="AO540" i="147"/>
  <c r="AO541" i="147"/>
  <c r="AO542" i="147"/>
  <c r="AO543" i="147"/>
  <c r="AO544" i="147"/>
  <c r="AO545" i="147"/>
  <c r="AO546" i="147"/>
  <c r="AO547" i="147"/>
  <c r="AO548" i="147"/>
  <c r="AO549" i="147"/>
  <c r="AO550" i="147"/>
  <c r="AO551" i="147"/>
  <c r="AO552" i="147"/>
  <c r="AO553" i="147"/>
  <c r="AO554" i="147"/>
  <c r="AO555" i="147"/>
  <c r="AO556" i="147"/>
  <c r="AO557" i="147"/>
  <c r="AO558" i="147"/>
  <c r="AO559" i="147"/>
  <c r="AO560" i="147"/>
  <c r="AO561" i="147"/>
  <c r="AO562" i="147"/>
  <c r="AO563" i="147"/>
  <c r="AO564" i="147"/>
  <c r="AO565" i="147"/>
  <c r="AO566" i="147"/>
  <c r="AO568" i="147"/>
  <c r="AO569" i="147"/>
  <c r="AO570" i="147"/>
  <c r="AO571" i="147"/>
  <c r="AO572" i="147"/>
  <c r="AO573" i="147"/>
  <c r="AO574" i="147"/>
  <c r="AO575" i="147"/>
  <c r="AO576" i="147"/>
  <c r="AO577" i="147"/>
  <c r="AO578" i="147"/>
  <c r="AO579" i="147"/>
  <c r="AO580" i="147"/>
  <c r="AO581" i="147"/>
  <c r="AO582" i="147"/>
  <c r="AO583" i="147"/>
  <c r="AO584" i="147"/>
  <c r="AO585" i="147"/>
  <c r="AO586" i="147"/>
  <c r="AO587" i="147"/>
  <c r="AO588" i="147"/>
  <c r="AO589" i="147"/>
  <c r="AO590" i="147"/>
  <c r="AO591" i="147"/>
  <c r="AO592" i="147"/>
  <c r="AO593" i="147"/>
  <c r="AO594" i="147"/>
  <c r="AO595" i="147"/>
  <c r="AO596" i="147"/>
  <c r="AO597" i="147"/>
  <c r="AO598" i="147"/>
  <c r="AO600" i="147"/>
  <c r="AO601" i="147"/>
  <c r="AO602" i="147"/>
  <c r="AO603" i="147"/>
  <c r="AO604" i="147"/>
  <c r="AO605" i="147"/>
  <c r="AO606" i="147"/>
  <c r="AO607" i="147"/>
  <c r="AO608" i="147"/>
  <c r="AO609" i="147"/>
  <c r="AO610" i="147"/>
  <c r="AO611" i="147"/>
  <c r="AO612" i="147"/>
  <c r="AO613" i="147"/>
  <c r="AO614" i="147"/>
  <c r="AO615" i="147"/>
  <c r="AO616" i="147"/>
  <c r="AO617" i="147"/>
  <c r="AO618" i="147"/>
  <c r="AO619" i="147"/>
  <c r="AO620" i="147"/>
  <c r="AO621" i="147"/>
  <c r="AO622" i="147"/>
  <c r="AO623" i="147"/>
  <c r="AO624" i="147"/>
  <c r="AO625" i="147"/>
  <c r="AO626" i="147"/>
  <c r="AO627" i="147"/>
  <c r="AO628" i="147"/>
  <c r="AO629" i="147"/>
  <c r="AO631" i="147"/>
  <c r="AO632" i="147"/>
  <c r="AO633" i="147"/>
  <c r="AO634" i="147"/>
  <c r="AO635" i="147"/>
  <c r="AO636" i="147"/>
  <c r="AO637" i="147"/>
  <c r="AO638" i="147"/>
  <c r="AO639" i="147"/>
  <c r="AO640" i="147"/>
  <c r="AO641" i="147"/>
  <c r="AO642" i="147"/>
  <c r="AO643" i="147"/>
  <c r="AQ375" i="147"/>
  <c r="AQ376" i="147"/>
  <c r="AQ377" i="147"/>
  <c r="AQ378" i="147"/>
  <c r="AQ379" i="147"/>
  <c r="AQ380" i="147"/>
  <c r="AQ381" i="147"/>
  <c r="AQ382" i="147"/>
  <c r="AQ383" i="147"/>
  <c r="AQ384" i="147"/>
  <c r="AQ385" i="147"/>
  <c r="AQ386" i="147"/>
  <c r="AQ387" i="147"/>
  <c r="AQ388" i="147"/>
  <c r="AQ389" i="147"/>
  <c r="AQ390" i="147"/>
  <c r="AQ391" i="147"/>
  <c r="AQ392" i="147"/>
  <c r="AQ393" i="147"/>
  <c r="AQ394" i="147"/>
  <c r="AQ395" i="147"/>
  <c r="AQ396" i="147"/>
  <c r="AQ398" i="147"/>
  <c r="AQ399" i="147"/>
  <c r="AQ402" i="147"/>
  <c r="AQ403" i="147"/>
  <c r="AQ405" i="147"/>
  <c r="AQ407" i="147"/>
  <c r="AQ408" i="147"/>
  <c r="AQ409" i="147"/>
  <c r="AQ416" i="147"/>
  <c r="AQ417" i="147"/>
  <c r="AQ418" i="147"/>
  <c r="AQ419" i="147"/>
  <c r="AQ420" i="147"/>
  <c r="AQ421" i="147"/>
  <c r="AQ425" i="147"/>
  <c r="AQ429" i="147"/>
  <c r="AQ431" i="147"/>
  <c r="AQ452" i="147"/>
  <c r="AQ454" i="147"/>
  <c r="AQ456" i="147"/>
  <c r="AQ458" i="147"/>
  <c r="AQ459" i="147"/>
  <c r="AQ466" i="147"/>
  <c r="AQ467" i="147"/>
  <c r="AQ468" i="147"/>
  <c r="AQ469" i="147"/>
  <c r="AQ470" i="147"/>
  <c r="AQ471" i="147"/>
  <c r="AQ472" i="147"/>
  <c r="AQ473" i="147"/>
  <c r="AQ474" i="147"/>
  <c r="AQ475" i="147"/>
  <c r="AQ476" i="147"/>
  <c r="AQ477" i="147"/>
  <c r="AQ479" i="147"/>
  <c r="AQ482" i="147"/>
  <c r="AQ483" i="147"/>
  <c r="AQ486" i="147"/>
  <c r="AQ487" i="147"/>
  <c r="AQ488" i="147"/>
  <c r="AQ489" i="147"/>
  <c r="AQ490" i="147"/>
  <c r="AQ491" i="147"/>
  <c r="AQ492" i="147"/>
  <c r="AQ493" i="147"/>
  <c r="AQ494" i="147"/>
  <c r="AQ495" i="147"/>
  <c r="AQ496" i="147"/>
  <c r="AQ497" i="147"/>
  <c r="AQ498" i="147"/>
  <c r="AQ499" i="147"/>
  <c r="AQ500" i="147"/>
  <c r="AQ501" i="147"/>
  <c r="AQ502" i="147"/>
  <c r="AQ503" i="147"/>
  <c r="AQ504" i="147"/>
  <c r="AQ505" i="147"/>
  <c r="AQ506" i="147"/>
  <c r="AQ507" i="147"/>
  <c r="AQ508" i="147"/>
  <c r="AQ509" i="147"/>
  <c r="AQ510" i="147"/>
  <c r="AQ511" i="147"/>
  <c r="AQ512" i="147"/>
  <c r="AQ513" i="147"/>
  <c r="AQ514" i="147"/>
  <c r="AQ515" i="147"/>
  <c r="AQ516" i="147"/>
  <c r="AQ517" i="147"/>
  <c r="AQ518" i="147"/>
  <c r="AQ519" i="147"/>
  <c r="AQ521" i="147"/>
  <c r="AQ522" i="147"/>
  <c r="AQ523" i="147"/>
  <c r="AQ524" i="147"/>
  <c r="AQ525" i="147"/>
  <c r="AQ526" i="147"/>
  <c r="AQ527" i="147"/>
  <c r="AQ528" i="147"/>
  <c r="AQ530" i="147"/>
  <c r="AQ531" i="147"/>
  <c r="AQ535" i="147"/>
  <c r="AQ536" i="147"/>
  <c r="AQ538" i="147"/>
  <c r="AQ544" i="147"/>
  <c r="AQ545" i="147"/>
  <c r="AQ546" i="147"/>
  <c r="AQ547" i="147"/>
  <c r="AQ548" i="147"/>
  <c r="AQ549" i="147"/>
  <c r="AQ550" i="147"/>
  <c r="AQ554" i="147"/>
  <c r="AQ555" i="147"/>
  <c r="AQ556" i="147"/>
  <c r="AQ557" i="147"/>
  <c r="AQ560" i="147"/>
  <c r="AQ561" i="147"/>
  <c r="AQ562" i="147"/>
  <c r="AQ563" i="147"/>
  <c r="AQ564" i="147"/>
  <c r="AQ565" i="147"/>
  <c r="AQ566" i="147"/>
  <c r="AQ568" i="147"/>
  <c r="AQ569" i="147"/>
  <c r="AQ570" i="147"/>
  <c r="AQ571" i="147"/>
  <c r="AQ572" i="147"/>
  <c r="AQ573" i="147"/>
  <c r="AQ574" i="147"/>
  <c r="AQ575" i="147"/>
  <c r="AQ578" i="147"/>
  <c r="AQ579" i="147"/>
  <c r="AQ580" i="147"/>
  <c r="AQ585" i="147"/>
  <c r="AQ586" i="147"/>
  <c r="AQ587" i="147"/>
  <c r="AQ588" i="147"/>
  <c r="AQ589" i="147"/>
  <c r="AQ590" i="147"/>
  <c r="AQ591" i="147"/>
  <c r="AQ592" i="147"/>
  <c r="AQ593" i="147"/>
  <c r="AQ595" i="147"/>
  <c r="AQ596" i="147"/>
  <c r="AQ597" i="147"/>
  <c r="AQ598" i="147"/>
  <c r="AQ600" i="147"/>
  <c r="AQ601" i="147"/>
  <c r="AQ602" i="147"/>
  <c r="AQ603" i="147"/>
  <c r="AQ604" i="147"/>
  <c r="AQ606" i="147"/>
  <c r="AQ607" i="147"/>
  <c r="AQ608" i="147"/>
  <c r="AQ609" i="147"/>
  <c r="AQ610" i="147"/>
  <c r="AQ611" i="147"/>
  <c r="AQ612" i="147"/>
  <c r="AQ613" i="147"/>
  <c r="AQ614" i="147"/>
  <c r="AQ615" i="147"/>
  <c r="AQ616" i="147"/>
  <c r="AQ617" i="147"/>
  <c r="AQ618" i="147"/>
  <c r="AQ619" i="147"/>
  <c r="AQ620" i="147"/>
  <c r="AQ621" i="147"/>
  <c r="AQ622" i="147"/>
  <c r="AQ623" i="147"/>
  <c r="AQ624" i="147"/>
  <c r="AQ625" i="147"/>
  <c r="AQ626" i="147"/>
  <c r="AQ627" i="147"/>
  <c r="AQ628" i="147"/>
  <c r="AQ629" i="147"/>
  <c r="AQ631" i="147"/>
  <c r="AQ632" i="147"/>
  <c r="AQ633" i="147"/>
  <c r="AQ634" i="147"/>
  <c r="AQ635" i="147"/>
  <c r="AQ636" i="147"/>
  <c r="AQ637" i="147"/>
  <c r="AQ638" i="147"/>
  <c r="AQ639" i="147"/>
  <c r="AQ640" i="147"/>
  <c r="AQ641" i="147"/>
  <c r="AQ642" i="147"/>
  <c r="AQ643" i="147"/>
  <c r="AQ529" i="147"/>
  <c r="AQ413" i="147"/>
  <c r="AS375" i="147"/>
  <c r="AS379" i="147"/>
  <c r="AS380" i="147"/>
  <c r="AS381" i="147"/>
  <c r="AS382" i="147"/>
  <c r="AS383" i="147"/>
  <c r="AS384" i="147"/>
  <c r="AS385" i="147"/>
  <c r="AS376" i="147"/>
  <c r="AS377" i="147"/>
  <c r="AS378" i="147"/>
  <c r="AS386" i="147"/>
  <c r="AS387" i="147"/>
  <c r="AS388" i="147"/>
  <c r="AS389" i="147"/>
  <c r="AS390" i="147"/>
  <c r="AS391" i="147"/>
  <c r="AS392" i="147"/>
  <c r="AS393" i="147"/>
  <c r="AS394" i="147"/>
  <c r="AS395" i="147"/>
  <c r="AS396" i="147"/>
  <c r="AS397" i="147"/>
  <c r="AS398" i="147"/>
  <c r="AS399" i="147"/>
  <c r="AS400" i="147"/>
  <c r="AS401" i="147"/>
  <c r="AS402" i="147"/>
  <c r="AS403" i="147"/>
  <c r="AS404" i="147"/>
  <c r="AS405" i="147"/>
  <c r="AS406" i="147"/>
  <c r="AS407" i="147"/>
  <c r="AS408" i="147"/>
  <c r="AS409" i="147"/>
  <c r="AS410" i="147"/>
  <c r="AS411" i="147"/>
  <c r="AS412" i="147"/>
  <c r="AS413" i="147"/>
  <c r="AS414" i="147"/>
  <c r="AS415" i="147"/>
  <c r="AS416" i="147"/>
  <c r="AS417" i="147"/>
  <c r="AS429" i="147"/>
  <c r="AS430" i="147"/>
  <c r="AS431" i="147"/>
  <c r="AS432" i="147"/>
  <c r="AS433" i="147"/>
  <c r="AS418" i="147"/>
  <c r="AS419" i="147"/>
  <c r="AS420" i="147"/>
  <c r="AS421" i="147"/>
  <c r="AS422" i="147"/>
  <c r="AS423" i="147"/>
  <c r="AS424" i="147"/>
  <c r="AS425" i="147"/>
  <c r="AS426" i="147"/>
  <c r="AS427" i="147"/>
  <c r="AS428" i="147"/>
  <c r="AS440" i="147"/>
  <c r="AS441" i="147"/>
  <c r="AS442" i="147"/>
  <c r="AS443" i="147"/>
  <c r="AS444" i="147"/>
  <c r="AS445" i="147"/>
  <c r="AS446" i="147"/>
  <c r="AS447" i="147"/>
  <c r="AS448" i="147"/>
  <c r="AS449" i="147"/>
  <c r="AS450" i="147"/>
  <c r="AS451" i="147"/>
  <c r="AS452" i="147"/>
  <c r="AS453" i="147"/>
  <c r="AS454" i="147"/>
  <c r="AS455" i="147"/>
  <c r="AS456" i="147"/>
  <c r="AS457" i="147"/>
  <c r="AS434" i="147"/>
  <c r="AS435" i="147"/>
  <c r="AS436" i="147"/>
  <c r="AS437" i="147"/>
  <c r="AS438" i="147"/>
  <c r="AS439" i="147"/>
  <c r="AS458" i="147"/>
  <c r="AS459" i="147"/>
  <c r="AS460" i="147"/>
  <c r="AS461" i="147"/>
  <c r="AS462" i="147"/>
  <c r="AS463" i="147"/>
  <c r="AS464" i="147"/>
  <c r="AS465" i="147"/>
  <c r="AS466" i="147"/>
  <c r="AS467" i="147"/>
  <c r="AS468" i="147"/>
  <c r="AS469" i="147"/>
  <c r="AS470" i="147"/>
  <c r="AS471" i="147"/>
  <c r="AS472" i="147"/>
  <c r="AS473" i="147"/>
  <c r="AS474" i="147"/>
  <c r="AS475" i="147"/>
  <c r="AS476" i="147"/>
  <c r="AS477" i="147"/>
  <c r="AS478" i="147"/>
  <c r="AS479" i="147"/>
  <c r="AS480" i="147"/>
  <c r="AS481" i="147"/>
  <c r="AS482" i="147"/>
  <c r="AS483" i="147"/>
  <c r="AS484" i="147"/>
  <c r="AS486" i="147"/>
  <c r="AS487" i="147"/>
  <c r="AS488" i="147"/>
  <c r="AS489" i="147"/>
  <c r="AS490" i="147"/>
  <c r="AS491" i="147"/>
  <c r="AS492" i="147"/>
  <c r="AS493" i="147"/>
  <c r="AS494" i="147"/>
  <c r="AS495" i="147"/>
  <c r="AS496" i="147"/>
  <c r="AS497" i="147"/>
  <c r="AS498" i="147"/>
  <c r="AS499" i="147"/>
  <c r="AS500" i="147"/>
  <c r="AS501" i="147"/>
  <c r="AS502" i="147"/>
  <c r="AS503" i="147"/>
  <c r="AS504" i="147"/>
  <c r="AS505" i="147"/>
  <c r="AS506" i="147"/>
  <c r="AS507" i="147"/>
  <c r="AS508" i="147"/>
  <c r="AS509" i="147"/>
  <c r="AS510" i="147"/>
  <c r="AS511" i="147"/>
  <c r="AS512" i="147"/>
  <c r="AS513" i="147"/>
  <c r="AS514" i="147"/>
  <c r="AS515" i="147"/>
  <c r="AS516" i="147"/>
  <c r="AS517" i="147"/>
  <c r="AS518" i="147"/>
  <c r="AS519" i="147"/>
  <c r="AS520" i="147"/>
  <c r="AS521" i="147"/>
  <c r="AS522" i="147"/>
  <c r="AS523" i="147"/>
  <c r="AS524" i="147"/>
  <c r="AS525" i="147"/>
  <c r="AS526" i="147"/>
  <c r="AS527" i="147"/>
  <c r="AS528" i="147"/>
  <c r="AS529" i="147"/>
  <c r="AS530" i="147"/>
  <c r="AS531" i="147"/>
  <c r="AS532" i="147"/>
  <c r="AS533" i="147"/>
  <c r="AS534" i="147"/>
  <c r="AS535" i="147"/>
  <c r="AS536" i="147"/>
  <c r="AS537" i="147"/>
  <c r="AS538" i="147"/>
  <c r="AS539" i="147"/>
  <c r="AS540" i="147"/>
  <c r="AS541" i="147"/>
  <c r="AS542" i="147"/>
  <c r="AS543" i="147"/>
  <c r="AS544" i="147"/>
  <c r="AS545" i="147"/>
  <c r="AS546" i="147"/>
  <c r="AS547" i="147"/>
  <c r="AS548" i="147"/>
  <c r="AS549" i="147"/>
  <c r="AS550" i="147"/>
  <c r="AS551" i="147"/>
  <c r="AS552" i="147"/>
  <c r="AS553" i="147"/>
  <c r="AS554" i="147"/>
  <c r="AS555" i="147"/>
  <c r="AS556" i="147"/>
  <c r="AS557" i="147"/>
  <c r="AS558" i="147"/>
  <c r="AS559" i="147"/>
  <c r="AS560" i="147"/>
  <c r="AS561" i="147"/>
  <c r="AS562" i="147"/>
  <c r="AS563" i="147"/>
  <c r="AS564" i="147"/>
  <c r="AS565" i="147"/>
  <c r="AS566" i="147"/>
  <c r="AS568" i="147"/>
  <c r="AS569" i="147"/>
  <c r="AS570" i="147"/>
  <c r="AS571" i="147"/>
  <c r="AS572" i="147"/>
  <c r="AS573" i="147"/>
  <c r="AS574" i="147"/>
  <c r="AS575" i="147"/>
  <c r="AS576" i="147"/>
  <c r="AS577" i="147"/>
  <c r="AS578" i="147"/>
  <c r="AS579" i="147"/>
  <c r="AS580" i="147"/>
  <c r="AS581" i="147"/>
  <c r="AS582" i="147"/>
  <c r="AS583" i="147"/>
  <c r="AS584" i="147"/>
  <c r="AS585" i="147"/>
  <c r="AS586" i="147"/>
  <c r="AS587" i="147"/>
  <c r="AS588" i="147"/>
  <c r="AS589" i="147"/>
  <c r="AS590" i="147"/>
  <c r="AS591" i="147"/>
  <c r="AS592" i="147"/>
  <c r="AS593" i="147"/>
  <c r="AS594" i="147"/>
  <c r="AS595" i="147"/>
  <c r="AS596" i="147"/>
  <c r="AS597" i="147"/>
  <c r="AS598" i="147"/>
  <c r="AS600" i="147"/>
  <c r="AS601" i="147"/>
  <c r="AS602" i="147"/>
  <c r="AS603" i="147"/>
  <c r="AS604" i="147"/>
  <c r="AS605" i="147"/>
  <c r="AS606" i="147"/>
  <c r="AS607" i="147"/>
  <c r="AS608" i="147"/>
  <c r="AS609" i="147"/>
  <c r="AS610" i="147"/>
  <c r="AS611" i="147"/>
  <c r="AS612" i="147"/>
  <c r="AS613" i="147"/>
  <c r="AS614" i="147"/>
  <c r="AS615" i="147"/>
  <c r="AS616" i="147"/>
  <c r="AS617" i="147"/>
  <c r="AS618" i="147"/>
  <c r="AS619" i="147"/>
  <c r="AS620" i="147"/>
  <c r="AS621" i="147"/>
  <c r="AS622" i="147"/>
  <c r="AS623" i="147"/>
  <c r="AS624" i="147"/>
  <c r="AS625" i="147"/>
  <c r="AS626" i="147"/>
  <c r="AS627" i="147"/>
  <c r="AS628" i="147"/>
  <c r="AS629" i="147"/>
  <c r="AS631" i="147"/>
  <c r="AS632" i="147"/>
  <c r="AS633" i="147"/>
  <c r="AS634" i="147"/>
  <c r="AS635" i="147"/>
  <c r="AS636" i="147"/>
  <c r="AS637" i="147"/>
  <c r="AS638" i="147"/>
  <c r="AS639" i="147"/>
  <c r="AS640" i="147"/>
  <c r="AS641" i="147"/>
  <c r="AS642" i="147"/>
  <c r="AS643" i="147"/>
  <c r="AU376" i="147"/>
  <c r="AU377" i="147"/>
  <c r="AU378" i="147"/>
  <c r="AU379" i="147"/>
  <c r="AU380" i="147"/>
  <c r="AU381" i="147"/>
  <c r="AU382" i="147"/>
  <c r="AU383" i="147"/>
  <c r="AU384" i="147"/>
  <c r="AU385" i="147"/>
  <c r="AU375" i="147"/>
  <c r="AU386" i="147"/>
  <c r="AU387" i="147"/>
  <c r="AU388" i="147"/>
  <c r="AU389" i="147"/>
  <c r="AU390" i="147"/>
  <c r="AU391" i="147"/>
  <c r="AU392" i="147"/>
  <c r="AU393" i="147"/>
  <c r="AU394" i="147"/>
  <c r="AU395" i="147"/>
  <c r="AU396" i="147"/>
  <c r="AU397" i="147"/>
  <c r="AU398" i="147"/>
  <c r="AU399" i="147"/>
  <c r="AU400" i="147"/>
  <c r="AU401" i="147"/>
  <c r="AU402" i="147"/>
  <c r="AU403" i="147"/>
  <c r="AU404" i="147"/>
  <c r="AU405" i="147"/>
  <c r="AU406" i="147"/>
  <c r="AU407" i="147"/>
  <c r="AU408" i="147"/>
  <c r="AU409" i="147"/>
  <c r="AU410" i="147"/>
  <c r="AU411" i="147"/>
  <c r="AU412" i="147"/>
  <c r="AU413" i="147"/>
  <c r="AU414" i="147"/>
  <c r="AU415" i="147"/>
  <c r="AU416" i="147"/>
  <c r="AU417" i="147"/>
  <c r="AU418" i="147"/>
  <c r="AU419" i="147"/>
  <c r="AU420" i="147"/>
  <c r="AU421" i="147"/>
  <c r="AU431" i="147"/>
  <c r="AU432" i="147"/>
  <c r="AU452" i="147"/>
  <c r="AU454" i="147"/>
  <c r="AU456" i="147"/>
  <c r="AU459" i="147"/>
  <c r="AU466" i="147"/>
  <c r="AU467" i="147"/>
  <c r="AU468" i="147"/>
  <c r="AU469" i="147"/>
  <c r="AU470" i="147"/>
  <c r="AU471" i="147"/>
  <c r="AU472" i="147"/>
  <c r="AU473" i="147"/>
  <c r="AU480" i="147"/>
  <c r="AU482" i="147"/>
  <c r="AU485" i="147"/>
  <c r="AU486" i="147"/>
  <c r="AU487" i="147"/>
  <c r="AU488" i="147"/>
  <c r="AU489" i="147"/>
  <c r="AU490" i="147"/>
  <c r="AU491" i="147"/>
  <c r="AU492" i="147"/>
  <c r="AU493" i="147"/>
  <c r="AU494" i="147"/>
  <c r="AU495" i="147"/>
  <c r="AU496" i="147"/>
  <c r="AU497" i="147"/>
  <c r="AU498" i="147"/>
  <c r="AU499" i="147"/>
  <c r="AU500" i="147"/>
  <c r="AU501" i="147"/>
  <c r="AU502" i="147"/>
  <c r="AU503" i="147"/>
  <c r="AU504" i="147"/>
  <c r="AU505" i="147"/>
  <c r="AU506" i="147"/>
  <c r="AU507" i="147"/>
  <c r="AU508" i="147"/>
  <c r="AU509" i="147"/>
  <c r="AU510" i="147"/>
  <c r="AU511" i="147"/>
  <c r="AU512" i="147"/>
  <c r="AU513" i="147"/>
  <c r="AU514" i="147"/>
  <c r="AU515" i="147"/>
  <c r="AU516" i="147"/>
  <c r="AU517" i="147"/>
  <c r="AU518" i="147"/>
  <c r="AU519" i="147"/>
  <c r="AU520" i="147"/>
  <c r="AU521" i="147"/>
  <c r="AU523" i="147"/>
  <c r="AU524" i="147"/>
  <c r="AU525" i="147"/>
  <c r="AU526" i="147"/>
  <c r="AU527" i="147"/>
  <c r="AU528" i="147"/>
  <c r="AU529" i="147"/>
  <c r="AU530" i="147"/>
  <c r="AU531" i="147"/>
  <c r="AU532" i="147"/>
  <c r="AU533" i="147"/>
  <c r="AU534" i="147"/>
  <c r="AU538" i="147"/>
  <c r="AU539" i="147"/>
  <c r="AU540" i="147"/>
  <c r="AU543" i="147"/>
  <c r="AU559" i="147"/>
  <c r="AU560" i="147"/>
  <c r="AU561" i="147"/>
  <c r="AU562" i="147"/>
  <c r="AU563" i="147"/>
  <c r="AU571" i="147"/>
  <c r="AU572" i="147"/>
  <c r="AU581" i="147"/>
  <c r="AU582" i="147"/>
  <c r="AU583" i="147"/>
  <c r="AU584" i="147"/>
  <c r="AU586" i="147"/>
  <c r="AU587" i="147"/>
  <c r="AU588" i="147"/>
  <c r="AU589" i="147"/>
  <c r="AU594" i="147"/>
  <c r="AU595" i="147"/>
  <c r="AU596" i="147"/>
  <c r="AU597" i="147"/>
  <c r="AU598" i="147"/>
  <c r="AU600" i="147"/>
  <c r="AU601" i="147"/>
  <c r="AU602" i="147"/>
  <c r="AU603" i="147"/>
  <c r="AU604" i="147"/>
  <c r="AU605" i="147"/>
  <c r="AU606" i="147"/>
  <c r="AU607" i="147"/>
  <c r="AU608" i="147"/>
  <c r="AU609" i="147"/>
  <c r="AU610" i="147"/>
  <c r="AU611" i="147"/>
  <c r="AU612" i="147"/>
  <c r="AU613" i="147"/>
  <c r="AU614" i="147"/>
  <c r="AU615" i="147"/>
  <c r="AU616" i="147"/>
  <c r="AU617" i="147"/>
  <c r="AU618" i="147"/>
  <c r="AU619" i="147"/>
  <c r="AU620" i="147"/>
  <c r="AU621" i="147"/>
  <c r="AU622" i="147"/>
  <c r="AU623" i="147"/>
  <c r="AU624" i="147"/>
  <c r="AU625" i="147"/>
  <c r="AU626" i="147"/>
  <c r="AU627" i="147"/>
  <c r="AU628" i="147"/>
  <c r="AU629" i="147"/>
  <c r="AU631" i="147"/>
  <c r="AU632" i="147"/>
  <c r="AU633" i="147"/>
  <c r="AU634" i="147"/>
  <c r="AU635" i="147"/>
  <c r="AU636" i="147"/>
  <c r="AU637" i="147"/>
  <c r="AU638" i="147"/>
  <c r="AU639" i="147"/>
  <c r="AU640" i="147"/>
  <c r="AU641" i="147"/>
  <c r="AU642" i="147"/>
  <c r="AU643" i="147"/>
  <c r="AU522" i="147"/>
  <c r="AU569" i="147"/>
  <c r="AU580" i="147"/>
  <c r="AW375" i="147"/>
  <c r="AW379" i="147"/>
  <c r="AW380" i="147"/>
  <c r="AW381" i="147"/>
  <c r="AW382" i="147"/>
  <c r="AW383" i="147"/>
  <c r="AW384" i="147"/>
  <c r="AW385" i="147"/>
  <c r="AW386" i="147"/>
  <c r="AW387" i="147"/>
  <c r="AW388" i="147"/>
  <c r="AW389" i="147"/>
  <c r="AW390" i="147"/>
  <c r="AW391" i="147"/>
  <c r="AW392" i="147"/>
  <c r="AW393" i="147"/>
  <c r="AW394" i="147"/>
  <c r="AW395" i="147"/>
  <c r="AW396" i="147"/>
  <c r="AW397" i="147"/>
  <c r="AW398" i="147"/>
  <c r="AW399" i="147"/>
  <c r="AW400" i="147"/>
  <c r="AW377" i="147"/>
  <c r="AW376" i="147"/>
  <c r="AW378" i="147"/>
  <c r="AW401" i="147"/>
  <c r="AW402" i="147"/>
  <c r="AW403" i="147"/>
  <c r="AW404" i="147"/>
  <c r="AW405" i="147"/>
  <c r="AW406" i="147"/>
  <c r="AW407" i="147"/>
  <c r="AW408" i="147"/>
  <c r="AW409" i="147"/>
  <c r="AW410" i="147"/>
  <c r="AW411" i="147"/>
  <c r="AW412" i="147"/>
  <c r="AW413" i="147"/>
  <c r="AW414" i="147"/>
  <c r="AW415" i="147"/>
  <c r="AW416" i="147"/>
  <c r="AW417" i="147"/>
  <c r="AW418" i="147"/>
  <c r="AW419" i="147"/>
  <c r="AW420" i="147"/>
  <c r="AW421" i="147"/>
  <c r="AW422" i="147"/>
  <c r="AW423" i="147"/>
  <c r="AW424" i="147"/>
  <c r="AW426" i="147"/>
  <c r="AW427" i="147"/>
  <c r="AW428" i="147"/>
  <c r="AW429" i="147"/>
  <c r="AW430" i="147"/>
  <c r="AW431" i="147"/>
  <c r="AW432" i="147"/>
  <c r="AW433" i="147"/>
  <c r="AW434" i="147"/>
  <c r="AW435" i="147"/>
  <c r="AW436" i="147"/>
  <c r="AW437" i="147"/>
  <c r="AW438" i="147"/>
  <c r="AW439" i="147"/>
  <c r="AW440" i="147"/>
  <c r="AW441" i="147"/>
  <c r="AW442" i="147"/>
  <c r="AW443" i="147"/>
  <c r="AW444" i="147"/>
  <c r="AW445" i="147"/>
  <c r="AW446" i="147"/>
  <c r="AW447" i="147"/>
  <c r="AW448" i="147"/>
  <c r="AW449" i="147"/>
  <c r="AW450" i="147"/>
  <c r="AW451" i="147"/>
  <c r="AW452" i="147"/>
  <c r="AW453" i="147"/>
  <c r="AW454" i="147"/>
  <c r="AW455" i="147"/>
  <c r="AW456" i="147"/>
  <c r="AW457" i="147"/>
  <c r="AW458" i="147"/>
  <c r="AW459" i="147"/>
  <c r="AW460" i="147"/>
  <c r="AW461" i="147"/>
  <c r="AW462" i="147"/>
  <c r="AW463" i="147"/>
  <c r="AW464" i="147"/>
  <c r="AW465" i="147"/>
  <c r="AW466" i="147"/>
  <c r="AW467" i="147"/>
  <c r="AW468" i="147"/>
  <c r="AW469" i="147"/>
  <c r="AW470" i="147"/>
  <c r="AW471" i="147"/>
  <c r="AW472" i="147"/>
  <c r="AW473" i="147"/>
  <c r="AW474" i="147"/>
  <c r="AW475" i="147"/>
  <c r="AW476" i="147"/>
  <c r="AW477" i="147"/>
  <c r="AW478" i="147"/>
  <c r="AW479" i="147"/>
  <c r="AW480" i="147"/>
  <c r="AW481" i="147"/>
  <c r="AW482" i="147"/>
  <c r="AW483" i="147"/>
  <c r="AW484" i="147"/>
  <c r="AW485" i="147"/>
  <c r="AW486" i="147"/>
  <c r="AW487" i="147"/>
  <c r="AW488" i="147"/>
  <c r="AW489" i="147"/>
  <c r="AW490" i="147"/>
  <c r="AW491" i="147"/>
  <c r="AW492" i="147"/>
  <c r="AW493" i="147"/>
  <c r="AW494" i="147"/>
  <c r="AW495" i="147"/>
  <c r="AW496" i="147"/>
  <c r="AW497" i="147"/>
  <c r="AW498" i="147"/>
  <c r="AW499" i="147"/>
  <c r="AW500" i="147"/>
  <c r="AW501" i="147"/>
  <c r="AW502" i="147"/>
  <c r="AW503" i="147"/>
  <c r="AW504" i="147"/>
  <c r="AW505" i="147"/>
  <c r="AW506" i="147"/>
  <c r="AW507" i="147"/>
  <c r="AW508" i="147"/>
  <c r="AW509" i="147"/>
  <c r="AW510" i="147"/>
  <c r="AW511" i="147"/>
  <c r="AW512" i="147"/>
  <c r="AW513" i="147"/>
  <c r="AW514" i="147"/>
  <c r="AW515" i="147"/>
  <c r="AW516" i="147"/>
  <c r="AW517" i="147"/>
  <c r="AW518" i="147"/>
  <c r="AW519" i="147"/>
  <c r="AW520" i="147"/>
  <c r="AW521" i="147"/>
  <c r="AW522" i="147"/>
  <c r="AW523" i="147"/>
  <c r="AW524" i="147"/>
  <c r="AW525" i="147"/>
  <c r="AW526" i="147"/>
  <c r="AW527" i="147"/>
  <c r="AW528" i="147"/>
  <c r="AW529" i="147"/>
  <c r="AW530" i="147"/>
  <c r="AW531" i="147"/>
  <c r="AW532" i="147"/>
  <c r="AW533" i="147"/>
  <c r="AW534" i="147"/>
  <c r="AW535" i="147"/>
  <c r="AW536" i="147"/>
  <c r="AW537" i="147"/>
  <c r="AW538" i="147"/>
  <c r="AW539" i="147"/>
  <c r="AW540" i="147"/>
  <c r="AW541" i="147"/>
  <c r="AW542" i="147"/>
  <c r="AW543" i="147"/>
  <c r="AW544" i="147"/>
  <c r="AW545" i="147"/>
  <c r="AW546" i="147"/>
  <c r="AW547" i="147"/>
  <c r="AW548" i="147"/>
  <c r="AW549" i="147"/>
  <c r="AW550" i="147"/>
  <c r="AW551" i="147"/>
  <c r="AW552" i="147"/>
  <c r="AW553" i="147"/>
  <c r="AW554" i="147"/>
  <c r="AW555" i="147"/>
  <c r="AW556" i="147"/>
  <c r="AW557" i="147"/>
  <c r="AW558" i="147"/>
  <c r="AW559" i="147"/>
  <c r="AW560" i="147"/>
  <c r="AW561" i="147"/>
  <c r="AW562" i="147"/>
  <c r="AW563" i="147"/>
  <c r="AW564" i="147"/>
  <c r="AW565" i="147"/>
  <c r="AW566" i="147"/>
  <c r="AW568" i="147"/>
  <c r="AW569" i="147"/>
  <c r="AW570" i="147"/>
  <c r="AW571" i="147"/>
  <c r="AW572" i="147"/>
  <c r="AW573" i="147"/>
  <c r="AW574" i="147"/>
  <c r="AW575" i="147"/>
  <c r="AW576" i="147"/>
  <c r="AW577" i="147"/>
  <c r="AW578" i="147"/>
  <c r="AW579" i="147"/>
  <c r="AW580" i="147"/>
  <c r="AW581" i="147"/>
  <c r="AW582" i="147"/>
  <c r="AW583" i="147"/>
  <c r="AW584" i="147"/>
  <c r="AW585" i="147"/>
  <c r="AW586" i="147"/>
  <c r="AW587" i="147"/>
  <c r="AW588" i="147"/>
  <c r="AW589" i="147"/>
  <c r="AW590" i="147"/>
  <c r="AW591" i="147"/>
  <c r="AW592" i="147"/>
  <c r="AW593" i="147"/>
  <c r="AW594" i="147"/>
  <c r="AW595" i="147"/>
  <c r="AW596" i="147"/>
  <c r="AW597" i="147"/>
  <c r="AW598" i="147"/>
  <c r="AW600" i="147"/>
  <c r="AW601" i="147"/>
  <c r="AW602" i="147"/>
  <c r="AW603" i="147"/>
  <c r="AW604" i="147"/>
  <c r="AW605" i="147"/>
  <c r="AW606" i="147"/>
  <c r="AW607" i="147"/>
  <c r="AW608" i="147"/>
  <c r="AW609" i="147"/>
  <c r="AW610" i="147"/>
  <c r="AW611" i="147"/>
  <c r="AW612" i="147"/>
  <c r="AW613" i="147"/>
  <c r="AW614" i="147"/>
  <c r="AW615" i="147"/>
  <c r="AW616" i="147"/>
  <c r="AW617" i="147"/>
  <c r="AW618" i="147"/>
  <c r="AW619" i="147"/>
  <c r="AW620" i="147"/>
  <c r="AW621" i="147"/>
  <c r="AW622" i="147"/>
  <c r="AW623" i="147"/>
  <c r="AW624" i="147"/>
  <c r="AW625" i="147"/>
  <c r="AW626" i="147"/>
  <c r="AW627" i="147"/>
  <c r="AW628" i="147"/>
  <c r="AW629" i="147"/>
  <c r="AW631" i="147"/>
  <c r="AW632" i="147"/>
  <c r="AW633" i="147"/>
  <c r="AW634" i="147"/>
  <c r="AW635" i="147"/>
  <c r="AW636" i="147"/>
  <c r="AW637" i="147"/>
  <c r="AW638" i="147"/>
  <c r="AW639" i="147"/>
  <c r="AW640" i="147"/>
  <c r="AW641" i="147"/>
  <c r="AW642" i="147"/>
  <c r="AW643" i="147"/>
  <c r="AY375" i="147"/>
  <c r="AY376" i="147"/>
  <c r="AY377" i="147"/>
  <c r="AY378" i="147"/>
  <c r="AY379" i="147"/>
  <c r="AY380" i="147"/>
  <c r="AY381" i="147"/>
  <c r="AY382" i="147"/>
  <c r="AY383" i="147"/>
  <c r="AY384" i="147"/>
  <c r="AY385" i="147"/>
  <c r="AY386" i="147"/>
  <c r="AY387" i="147"/>
  <c r="AY388" i="147"/>
  <c r="AY389" i="147"/>
  <c r="AY390" i="147"/>
  <c r="AY391" i="147"/>
  <c r="AY392" i="147"/>
  <c r="AY393" i="147"/>
  <c r="AY394" i="147"/>
  <c r="AY395" i="147"/>
  <c r="AY396" i="147"/>
  <c r="AY397" i="147"/>
  <c r="AY398" i="147"/>
  <c r="AY399" i="147"/>
  <c r="AY400" i="147"/>
  <c r="AY401" i="147"/>
  <c r="AY402" i="147"/>
  <c r="AY403" i="147"/>
  <c r="AY404" i="147"/>
  <c r="AY405" i="147"/>
  <c r="AY406" i="147"/>
  <c r="AY407" i="147"/>
  <c r="AY408" i="147"/>
  <c r="AY409" i="147"/>
  <c r="AY410" i="147"/>
  <c r="AY411" i="147"/>
  <c r="AY412" i="147"/>
  <c r="AY413" i="147"/>
  <c r="AY414" i="147"/>
  <c r="AY415" i="147"/>
  <c r="AY416" i="147"/>
  <c r="AY417" i="147"/>
  <c r="AY418" i="147"/>
  <c r="AY419" i="147"/>
  <c r="AY420" i="147"/>
  <c r="AY421" i="147"/>
  <c r="AY422" i="147"/>
  <c r="AY423" i="147"/>
  <c r="AY424" i="147"/>
  <c r="AY425" i="147"/>
  <c r="AY426" i="147"/>
  <c r="AY427" i="147"/>
  <c r="AY428" i="147"/>
  <c r="AY429" i="147"/>
  <c r="AY430" i="147"/>
  <c r="AY431" i="147"/>
  <c r="AY432" i="147"/>
  <c r="AY433" i="147"/>
  <c r="AY434" i="147"/>
  <c r="AY435" i="147"/>
  <c r="AY436" i="147"/>
  <c r="AY437" i="147"/>
  <c r="AY438" i="147"/>
  <c r="AY446" i="147"/>
  <c r="AY447" i="147"/>
  <c r="AY448" i="147"/>
  <c r="AY449" i="147"/>
  <c r="AY450" i="147"/>
  <c r="AY451" i="147"/>
  <c r="AY452" i="147"/>
  <c r="AY453" i="147"/>
  <c r="AY454" i="147"/>
  <c r="AY455" i="147"/>
  <c r="AY456" i="147"/>
  <c r="AY457" i="147"/>
  <c r="AY439" i="147"/>
  <c r="AY440" i="147"/>
  <c r="AY441" i="147"/>
  <c r="AY442" i="147"/>
  <c r="AY443" i="147"/>
  <c r="AY444" i="147"/>
  <c r="AY445" i="147"/>
  <c r="AY458" i="147"/>
  <c r="AY459" i="147"/>
  <c r="AY460" i="147"/>
  <c r="AY461" i="147"/>
  <c r="AY462" i="147"/>
  <c r="AY463" i="147"/>
  <c r="AY464" i="147"/>
  <c r="AY465" i="147"/>
  <c r="AY466" i="147"/>
  <c r="AY467" i="147"/>
  <c r="AY468" i="147"/>
  <c r="AY469" i="147"/>
  <c r="AY470" i="147"/>
  <c r="AY471" i="147"/>
  <c r="AY472" i="147"/>
  <c r="AY473" i="147"/>
  <c r="AY474" i="147"/>
  <c r="AY475" i="147"/>
  <c r="AY476" i="147"/>
  <c r="AY477" i="147"/>
  <c r="AY478" i="147"/>
  <c r="AY479" i="147"/>
  <c r="AY480" i="147"/>
  <c r="AY481" i="147"/>
  <c r="AY482" i="147"/>
  <c r="AY483" i="147"/>
  <c r="AY484" i="147"/>
  <c r="AY485" i="147"/>
  <c r="AY486" i="147"/>
  <c r="AY487" i="147"/>
  <c r="AY488" i="147"/>
  <c r="AY489" i="147"/>
  <c r="AY490" i="147"/>
  <c r="AY491" i="147"/>
  <c r="AY492" i="147"/>
  <c r="AY493" i="147"/>
  <c r="AY494" i="147"/>
  <c r="AY495" i="147"/>
  <c r="AY496" i="147"/>
  <c r="AY497" i="147"/>
  <c r="AY498" i="147"/>
  <c r="AY499" i="147"/>
  <c r="AY500" i="147"/>
  <c r="AY501" i="147"/>
  <c r="AY502" i="147"/>
  <c r="AY503" i="147"/>
  <c r="AY504" i="147"/>
  <c r="AY505" i="147"/>
  <c r="AY506" i="147"/>
  <c r="AY507" i="147"/>
  <c r="AY508" i="147"/>
  <c r="AY509" i="147"/>
  <c r="AY510" i="147"/>
  <c r="AY511" i="147"/>
  <c r="AY512" i="147"/>
  <c r="AY513" i="147"/>
  <c r="AY514" i="147"/>
  <c r="AY515" i="147"/>
  <c r="AY516" i="147"/>
  <c r="AY517" i="147"/>
  <c r="AY518" i="147"/>
  <c r="AY519" i="147"/>
  <c r="AY520" i="147"/>
  <c r="AY521" i="147"/>
  <c r="AY522" i="147"/>
  <c r="AY523" i="147"/>
  <c r="AY524" i="147"/>
  <c r="AY525" i="147"/>
  <c r="AY526" i="147"/>
  <c r="AY527" i="147"/>
  <c r="AY528" i="147"/>
  <c r="AY529" i="147"/>
  <c r="AY530" i="147"/>
  <c r="AY531" i="147"/>
  <c r="AY532" i="147"/>
  <c r="AY533" i="147"/>
  <c r="AY534" i="147"/>
  <c r="AY535" i="147"/>
  <c r="AY536" i="147"/>
  <c r="AY537" i="147"/>
  <c r="AY538" i="147"/>
  <c r="AY539" i="147"/>
  <c r="AY540" i="147"/>
  <c r="AY541" i="147"/>
  <c r="AY542" i="147"/>
  <c r="AY543" i="147"/>
  <c r="AY544" i="147"/>
  <c r="AY545" i="147"/>
  <c r="AY546" i="147"/>
  <c r="AY547" i="147"/>
  <c r="AY548" i="147"/>
  <c r="AY549" i="147"/>
  <c r="AY550" i="147"/>
  <c r="AY551" i="147"/>
  <c r="AY552" i="147"/>
  <c r="AY553" i="147"/>
  <c r="AY554" i="147"/>
  <c r="AY555" i="147"/>
  <c r="AY556" i="147"/>
  <c r="AY557" i="147"/>
  <c r="AY558" i="147"/>
  <c r="AY559" i="147"/>
  <c r="AY560" i="147"/>
  <c r="AY561" i="147"/>
  <c r="AY562" i="147"/>
  <c r="AY563" i="147"/>
  <c r="AY564" i="147"/>
  <c r="AY565" i="147"/>
  <c r="AY566" i="147"/>
  <c r="AY568" i="147"/>
  <c r="AY569" i="147"/>
  <c r="AY570" i="147"/>
  <c r="AY571" i="147"/>
  <c r="AY572" i="147"/>
  <c r="AY573" i="147"/>
  <c r="AY574" i="147"/>
  <c r="AY575" i="147"/>
  <c r="AY576" i="147"/>
  <c r="AY577" i="147"/>
  <c r="AY578" i="147"/>
  <c r="AY579" i="147"/>
  <c r="AY580" i="147"/>
  <c r="AY581" i="147"/>
  <c r="AY582" i="147"/>
  <c r="AY583" i="147"/>
  <c r="AY584" i="147"/>
  <c r="AY585" i="147"/>
  <c r="AY586" i="147"/>
  <c r="AY587" i="147"/>
  <c r="AY588" i="147"/>
  <c r="AY589" i="147"/>
  <c r="AY590" i="147"/>
  <c r="AY591" i="147"/>
  <c r="AY592" i="147"/>
  <c r="AY593" i="147"/>
  <c r="AY594" i="147"/>
  <c r="AY595" i="147"/>
  <c r="AY596" i="147"/>
  <c r="AY597" i="147"/>
  <c r="AY598" i="147"/>
  <c r="AY600" i="147"/>
  <c r="AY601" i="147"/>
  <c r="AY602" i="147"/>
  <c r="AY603" i="147"/>
  <c r="AY604" i="147"/>
  <c r="AY605" i="147"/>
  <c r="AY606" i="147"/>
  <c r="AY607" i="147"/>
  <c r="AY608" i="147"/>
  <c r="AY609" i="147"/>
  <c r="AY610" i="147"/>
  <c r="AY611" i="147"/>
  <c r="AY612" i="147"/>
  <c r="AY613" i="147"/>
  <c r="AY614" i="147"/>
  <c r="AY615" i="147"/>
  <c r="AY616" i="147"/>
  <c r="AY617" i="147"/>
  <c r="AY618" i="147"/>
  <c r="AY619" i="147"/>
  <c r="AY620" i="147"/>
  <c r="AY621" i="147"/>
  <c r="AY622" i="147"/>
  <c r="AY623" i="147"/>
  <c r="AY624" i="147"/>
  <c r="AY625" i="147"/>
  <c r="AY626" i="147"/>
  <c r="AY627" i="147"/>
  <c r="AY628" i="147"/>
  <c r="AY629" i="147"/>
  <c r="AY631" i="147"/>
  <c r="AY632" i="147"/>
  <c r="AY633" i="147"/>
  <c r="AY634" i="147"/>
  <c r="AY635" i="147"/>
  <c r="AY636" i="147"/>
  <c r="AY637" i="147"/>
  <c r="AY638" i="147"/>
  <c r="AY639" i="147"/>
  <c r="AY640" i="147"/>
  <c r="AY641" i="147"/>
  <c r="AY642" i="147"/>
  <c r="AY643" i="147"/>
  <c r="BA375" i="147"/>
  <c r="BA379" i="147"/>
  <c r="BA380" i="147"/>
  <c r="BA381" i="147"/>
  <c r="BA382" i="147"/>
  <c r="BA383" i="147"/>
  <c r="BA384" i="147"/>
  <c r="BA385" i="147"/>
  <c r="BA376" i="147"/>
  <c r="BA377" i="147"/>
  <c r="BA378" i="147"/>
  <c r="BA386" i="147"/>
  <c r="BA387" i="147"/>
  <c r="BA388" i="147"/>
  <c r="BA389" i="147"/>
  <c r="BA390" i="147"/>
  <c r="BA391" i="147"/>
  <c r="BA392" i="147"/>
  <c r="BA393" i="147"/>
  <c r="BA394" i="147"/>
  <c r="BA395" i="147"/>
  <c r="BA396" i="147"/>
  <c r="BA397" i="147"/>
  <c r="BA398" i="147"/>
  <c r="BA399" i="147"/>
  <c r="BA400" i="147"/>
  <c r="BA403" i="147"/>
  <c r="BA404" i="147"/>
  <c r="BA405" i="147"/>
  <c r="BA401" i="147"/>
  <c r="BA402" i="147"/>
  <c r="BA429" i="147"/>
  <c r="BA430" i="147"/>
  <c r="BA431" i="147"/>
  <c r="BA432" i="147"/>
  <c r="BA433" i="147"/>
  <c r="BA406" i="147"/>
  <c r="BA407" i="147"/>
  <c r="BA408" i="147"/>
  <c r="BA409" i="147"/>
  <c r="BA410" i="147"/>
  <c r="BA411" i="147"/>
  <c r="BA412" i="147"/>
  <c r="BA413" i="147"/>
  <c r="BA414" i="147"/>
  <c r="BA415" i="147"/>
  <c r="BA416" i="147"/>
  <c r="BA417" i="147"/>
  <c r="BA418" i="147"/>
  <c r="BA419" i="147"/>
  <c r="BA420" i="147"/>
  <c r="BA421" i="147"/>
  <c r="BA422" i="147"/>
  <c r="BA423" i="147"/>
  <c r="BA424" i="147"/>
  <c r="BA425" i="147"/>
  <c r="BA426" i="147"/>
  <c r="BA427" i="147"/>
  <c r="BA428" i="147"/>
  <c r="BA439" i="147"/>
  <c r="BA440" i="147"/>
  <c r="BA441" i="147"/>
  <c r="BA442" i="147"/>
  <c r="BA443" i="147"/>
  <c r="BA444" i="147"/>
  <c r="BA445" i="147"/>
  <c r="BA446" i="147"/>
  <c r="BA447" i="147"/>
  <c r="BA448" i="147"/>
  <c r="BA449" i="147"/>
  <c r="BA450" i="147"/>
  <c r="BA451" i="147"/>
  <c r="BA452" i="147"/>
  <c r="BA453" i="147"/>
  <c r="BA454" i="147"/>
  <c r="BA455" i="147"/>
  <c r="BA456" i="147"/>
  <c r="BA457" i="147"/>
  <c r="BA434" i="147"/>
  <c r="BA435" i="147"/>
  <c r="BA436" i="147"/>
  <c r="BA437" i="147"/>
  <c r="BA438" i="147"/>
  <c r="BA458" i="147"/>
  <c r="BA459" i="147"/>
  <c r="BA460" i="147"/>
  <c r="BA461" i="147"/>
  <c r="BA462" i="147"/>
  <c r="BA463" i="147"/>
  <c r="BA464" i="147"/>
  <c r="BA465" i="147"/>
  <c r="BA466" i="147"/>
  <c r="BA467" i="147"/>
  <c r="BA468" i="147"/>
  <c r="BA469" i="147"/>
  <c r="BA470" i="147"/>
  <c r="BA471" i="147"/>
  <c r="BA472" i="147"/>
  <c r="BA473" i="147"/>
  <c r="BA474" i="147"/>
  <c r="BA475" i="147"/>
  <c r="BA476" i="147"/>
  <c r="BA477" i="147"/>
  <c r="BA478" i="147"/>
  <c r="BA479" i="147"/>
  <c r="BA480" i="147"/>
  <c r="BA482" i="147"/>
  <c r="BA483" i="147"/>
  <c r="BA484" i="147"/>
  <c r="BA485" i="147"/>
  <c r="BA486" i="147"/>
  <c r="BA487" i="147"/>
  <c r="BA488" i="147"/>
  <c r="BA489" i="147"/>
  <c r="BA490" i="147"/>
  <c r="BA491" i="147"/>
  <c r="BA492" i="147"/>
  <c r="BA493" i="147"/>
  <c r="BA494" i="147"/>
  <c r="BA495" i="147"/>
  <c r="BA496" i="147"/>
  <c r="BA497" i="147"/>
  <c r="BA498" i="147"/>
  <c r="BA499" i="147"/>
  <c r="BA500" i="147"/>
  <c r="BA501" i="147"/>
  <c r="BA502" i="147"/>
  <c r="BA503" i="147"/>
  <c r="BA504" i="147"/>
  <c r="BA505" i="147"/>
  <c r="BA506" i="147"/>
  <c r="BA507" i="147"/>
  <c r="BA508" i="147"/>
  <c r="BA509" i="147"/>
  <c r="BA510" i="147"/>
  <c r="BA511" i="147"/>
  <c r="BA512" i="147"/>
  <c r="BA513" i="147"/>
  <c r="BA514" i="147"/>
  <c r="BA515" i="147"/>
  <c r="BA516" i="147"/>
  <c r="BA517" i="147"/>
  <c r="BA518" i="147"/>
  <c r="BA519" i="147"/>
  <c r="BA520" i="147"/>
  <c r="BA521" i="147"/>
  <c r="BA522" i="147"/>
  <c r="BA523" i="147"/>
  <c r="BA524" i="147"/>
  <c r="BA525" i="147"/>
  <c r="BA526" i="147"/>
  <c r="BA527" i="147"/>
  <c r="BA528" i="147"/>
  <c r="BA529" i="147"/>
  <c r="BA530" i="147"/>
  <c r="BA531" i="147"/>
  <c r="BA532" i="147"/>
  <c r="BA533" i="147"/>
  <c r="BA534" i="147"/>
  <c r="BA535" i="147"/>
  <c r="BA536" i="147"/>
  <c r="BA537" i="147"/>
  <c r="BA538" i="147"/>
  <c r="BA539" i="147"/>
  <c r="BA540" i="147"/>
  <c r="BA541" i="147"/>
  <c r="BA542" i="147"/>
  <c r="BA543" i="147"/>
  <c r="BA544" i="147"/>
  <c r="BA545" i="147"/>
  <c r="BA546" i="147"/>
  <c r="BA547" i="147"/>
  <c r="BA548" i="147"/>
  <c r="BA549" i="147"/>
  <c r="BA550" i="147"/>
  <c r="BA551" i="147"/>
  <c r="BA552" i="147"/>
  <c r="BA553" i="147"/>
  <c r="BA554" i="147"/>
  <c r="BA555" i="147"/>
  <c r="BA556" i="147"/>
  <c r="BA557" i="147"/>
  <c r="BA558" i="147"/>
  <c r="BA559" i="147"/>
  <c r="BA560" i="147"/>
  <c r="BA561" i="147"/>
  <c r="BA562" i="147"/>
  <c r="BA563" i="147"/>
  <c r="BA564" i="147"/>
  <c r="BA565" i="147"/>
  <c r="BA566" i="147"/>
  <c r="BA568" i="147"/>
  <c r="BA569" i="147"/>
  <c r="BA570" i="147"/>
  <c r="BA571" i="147"/>
  <c r="BA572" i="147"/>
  <c r="BA573" i="147"/>
  <c r="BA574" i="147"/>
  <c r="BA575" i="147"/>
  <c r="BA576" i="147"/>
  <c r="BA577" i="147"/>
  <c r="BA578" i="147"/>
  <c r="BA579" i="147"/>
  <c r="BA580" i="147"/>
  <c r="BA581" i="147"/>
  <c r="BA582" i="147"/>
  <c r="BA583" i="147"/>
  <c r="BA584" i="147"/>
  <c r="BA585" i="147"/>
  <c r="BA586" i="147"/>
  <c r="BA587" i="147"/>
  <c r="BA588" i="147"/>
  <c r="BA589" i="147"/>
  <c r="BA590" i="147"/>
  <c r="BA591" i="147"/>
  <c r="BA592" i="147"/>
  <c r="BA593" i="147"/>
  <c r="BA594" i="147"/>
  <c r="BA595" i="147"/>
  <c r="BA596" i="147"/>
  <c r="BA597" i="147"/>
  <c r="BA598" i="147"/>
  <c r="BA600" i="147"/>
  <c r="BA601" i="147"/>
  <c r="BA602" i="147"/>
  <c r="BA603" i="147"/>
  <c r="BA604" i="147"/>
  <c r="BA605" i="147"/>
  <c r="BA606" i="147"/>
  <c r="BA607" i="147"/>
  <c r="BA608" i="147"/>
  <c r="BA609" i="147"/>
  <c r="BA610" i="147"/>
  <c r="BA611" i="147"/>
  <c r="BA612" i="147"/>
  <c r="BA613" i="147"/>
  <c r="BA614" i="147"/>
  <c r="BA615" i="147"/>
  <c r="BA616" i="147"/>
  <c r="BA617" i="147"/>
  <c r="BA618" i="147"/>
  <c r="BA619" i="147"/>
  <c r="BA620" i="147"/>
  <c r="BA621" i="147"/>
  <c r="BA622" i="147"/>
  <c r="BA623" i="147"/>
  <c r="BA624" i="147"/>
  <c r="BA625" i="147"/>
  <c r="BA626" i="147"/>
  <c r="BA627" i="147"/>
  <c r="BA628" i="147"/>
  <c r="BA629" i="147"/>
  <c r="BA631" i="147"/>
  <c r="BA632" i="147"/>
  <c r="BA633" i="147"/>
  <c r="BA634" i="147"/>
  <c r="BA635" i="147"/>
  <c r="BA636" i="147"/>
  <c r="BA637" i="147"/>
  <c r="BA638" i="147"/>
  <c r="BA639" i="147"/>
  <c r="BA640" i="147"/>
  <c r="BA641" i="147"/>
  <c r="BA642" i="147"/>
  <c r="BA643" i="147"/>
  <c r="BC376" i="147"/>
  <c r="BC377" i="147"/>
  <c r="BC378" i="147"/>
  <c r="BC379" i="147"/>
  <c r="BC380" i="147"/>
  <c r="BC381" i="147"/>
  <c r="BC382" i="147"/>
  <c r="BC383" i="147"/>
  <c r="BC384" i="147"/>
  <c r="BC385" i="147"/>
  <c r="BC386" i="147"/>
  <c r="BC387" i="147"/>
  <c r="BC388" i="147"/>
  <c r="BC389" i="147"/>
  <c r="BC390" i="147"/>
  <c r="BC391" i="147"/>
  <c r="BC392" i="147"/>
  <c r="BC393" i="147"/>
  <c r="BC394" i="147"/>
  <c r="BC395" i="147"/>
  <c r="BC397" i="147"/>
  <c r="BC399" i="147"/>
  <c r="BC400" i="147"/>
  <c r="BC401" i="147"/>
  <c r="BC402" i="147"/>
  <c r="BC403" i="147"/>
  <c r="BC404" i="147"/>
  <c r="BC405" i="147"/>
  <c r="BC406" i="147"/>
  <c r="BC407" i="147"/>
  <c r="BC408" i="147"/>
  <c r="BC409" i="147"/>
  <c r="BC410" i="147"/>
  <c r="BC411" i="147"/>
  <c r="BC412" i="147"/>
  <c r="BC413" i="147"/>
  <c r="BC414" i="147"/>
  <c r="BC415" i="147"/>
  <c r="BC416" i="147"/>
  <c r="BC417" i="147"/>
  <c r="BC418" i="147"/>
  <c r="BC419" i="147"/>
  <c r="BC420" i="147"/>
  <c r="BC421" i="147"/>
  <c r="BC422" i="147"/>
  <c r="BC423" i="147"/>
  <c r="BC424" i="147"/>
  <c r="BC425" i="147"/>
  <c r="BC426" i="147"/>
  <c r="BC427" i="147"/>
  <c r="BC428" i="147"/>
  <c r="BC375" i="147"/>
  <c r="BC429" i="147"/>
  <c r="BC430" i="147"/>
  <c r="BC431" i="147"/>
  <c r="BC432" i="147"/>
  <c r="BC433" i="147"/>
  <c r="BC434" i="147"/>
  <c r="BC435" i="147"/>
  <c r="BC436" i="147"/>
  <c r="BC437" i="147"/>
  <c r="BC438" i="147"/>
  <c r="BC446" i="147"/>
  <c r="BC447" i="147"/>
  <c r="BC448" i="147"/>
  <c r="BC449" i="147"/>
  <c r="BC450" i="147"/>
  <c r="BC451" i="147"/>
  <c r="BC452" i="147"/>
  <c r="BC453" i="147"/>
  <c r="BC454" i="147"/>
  <c r="BC455" i="147"/>
  <c r="BC456" i="147"/>
  <c r="BC457" i="147"/>
  <c r="BC439" i="147"/>
  <c r="BC440" i="147"/>
  <c r="BC441" i="147"/>
  <c r="BC442" i="147"/>
  <c r="BC443" i="147"/>
  <c r="BC444" i="147"/>
  <c r="BC445" i="147"/>
  <c r="BC458" i="147"/>
  <c r="BC459" i="147"/>
  <c r="BC460" i="147"/>
  <c r="BC461" i="147"/>
  <c r="BC462" i="147"/>
  <c r="BC463" i="147"/>
  <c r="BC464" i="147"/>
  <c r="BC465" i="147"/>
  <c r="BC466" i="147"/>
  <c r="BC467" i="147"/>
  <c r="BC468" i="147"/>
  <c r="BC469" i="147"/>
  <c r="BC470" i="147"/>
  <c r="BC471" i="147"/>
  <c r="BC472" i="147"/>
  <c r="BC473" i="147"/>
  <c r="BC474" i="147"/>
  <c r="BC475" i="147"/>
  <c r="BC476" i="147"/>
  <c r="BC477" i="147"/>
  <c r="BC478" i="147"/>
  <c r="BC479" i="147"/>
  <c r="BC480" i="147"/>
  <c r="BC481" i="147"/>
  <c r="BC482" i="147"/>
  <c r="BC483" i="147"/>
  <c r="BC484" i="147"/>
  <c r="BC485" i="147"/>
  <c r="BC486" i="147"/>
  <c r="BC487" i="147"/>
  <c r="BC488" i="147"/>
  <c r="BC489" i="147"/>
  <c r="BC490" i="147"/>
  <c r="BC491" i="147"/>
  <c r="BC492" i="147"/>
  <c r="BC493" i="147"/>
  <c r="BC494" i="147"/>
  <c r="BC495" i="147"/>
  <c r="BC496" i="147"/>
  <c r="BC497" i="147"/>
  <c r="BC498" i="147"/>
  <c r="BC499" i="147"/>
  <c r="BC500" i="147"/>
  <c r="BC501" i="147"/>
  <c r="BC502" i="147"/>
  <c r="BC503" i="147"/>
  <c r="BC504" i="147"/>
  <c r="BC505" i="147"/>
  <c r="BC506" i="147"/>
  <c r="BC507" i="147"/>
  <c r="BC508" i="147"/>
  <c r="BC509" i="147"/>
  <c r="BC510" i="147"/>
  <c r="BC511" i="147"/>
  <c r="BC512" i="147"/>
  <c r="BC513" i="147"/>
  <c r="BC514" i="147"/>
  <c r="BC515" i="147"/>
  <c r="BC516" i="147"/>
  <c r="BC517" i="147"/>
  <c r="BC518" i="147"/>
  <c r="BC519" i="147"/>
  <c r="BC520" i="147"/>
  <c r="BC521" i="147"/>
  <c r="BC522" i="147"/>
  <c r="BC523" i="147"/>
  <c r="BC524" i="147"/>
  <c r="BC525" i="147"/>
  <c r="BC526" i="147"/>
  <c r="BC527" i="147"/>
  <c r="BC528" i="147"/>
  <c r="BC529" i="147"/>
  <c r="BC530" i="147"/>
  <c r="BC531" i="147"/>
  <c r="BC532" i="147"/>
  <c r="BC533" i="147"/>
  <c r="BC534" i="147"/>
  <c r="BC535" i="147"/>
  <c r="BC536" i="147"/>
  <c r="BC537" i="147"/>
  <c r="BC538" i="147"/>
  <c r="BC539" i="147"/>
  <c r="BC540" i="147"/>
  <c r="BC541" i="147"/>
  <c r="BC542" i="147"/>
  <c r="BC543" i="147"/>
  <c r="BC544" i="147"/>
  <c r="BC545" i="147"/>
  <c r="BC546" i="147"/>
  <c r="BC547" i="147"/>
  <c r="BC548" i="147"/>
  <c r="BC549" i="147"/>
  <c r="BC550" i="147"/>
  <c r="BC551" i="147"/>
  <c r="BC552" i="147"/>
  <c r="BC553" i="147"/>
  <c r="BC554" i="147"/>
  <c r="BC555" i="147"/>
  <c r="BC556" i="147"/>
  <c r="BC557" i="147"/>
  <c r="BC558" i="147"/>
  <c r="BC559" i="147"/>
  <c r="BC560" i="147"/>
  <c r="BC561" i="147"/>
  <c r="BC562" i="147"/>
  <c r="BC563" i="147"/>
  <c r="BC564" i="147"/>
  <c r="BC565" i="147"/>
  <c r="BC566" i="147"/>
  <c r="BC568" i="147"/>
  <c r="BC569" i="147"/>
  <c r="BC570" i="147"/>
  <c r="BC571" i="147"/>
  <c r="BC572" i="147"/>
  <c r="BC573" i="147"/>
  <c r="BC574" i="147"/>
  <c r="BC575" i="147"/>
  <c r="BC576" i="147"/>
  <c r="BC577" i="147"/>
  <c r="BC578" i="147"/>
  <c r="BC579" i="147"/>
  <c r="BC580" i="147"/>
  <c r="BC581" i="147"/>
  <c r="BC582" i="147"/>
  <c r="BC583" i="147"/>
  <c r="BC584" i="147"/>
  <c r="BC585" i="147"/>
  <c r="BC586" i="147"/>
  <c r="BC587" i="147"/>
  <c r="BC588" i="147"/>
  <c r="BC589" i="147"/>
  <c r="BC590" i="147"/>
  <c r="BC591" i="147"/>
  <c r="BC592" i="147"/>
  <c r="BC593" i="147"/>
  <c r="BC594" i="147"/>
  <c r="BC595" i="147"/>
  <c r="BC596" i="147"/>
  <c r="BC597" i="147"/>
  <c r="BC598" i="147"/>
  <c r="BC600" i="147"/>
  <c r="BC601" i="147"/>
  <c r="BC602" i="147"/>
  <c r="BC603" i="147"/>
  <c r="BC604" i="147"/>
  <c r="BC605" i="147"/>
  <c r="BC606" i="147"/>
  <c r="BC607" i="147"/>
  <c r="BC608" i="147"/>
  <c r="BC609" i="147"/>
  <c r="BC610" i="147"/>
  <c r="BC611" i="147"/>
  <c r="BC612" i="147"/>
  <c r="BC613" i="147"/>
  <c r="BC614" i="147"/>
  <c r="BC615" i="147"/>
  <c r="BC616" i="147"/>
  <c r="BC617" i="147"/>
  <c r="BC618" i="147"/>
  <c r="BC619" i="147"/>
  <c r="BC620" i="147"/>
  <c r="BC621" i="147"/>
  <c r="BC622" i="147"/>
  <c r="BC623" i="147"/>
  <c r="BC624" i="147"/>
  <c r="BC625" i="147"/>
  <c r="BC626" i="147"/>
  <c r="BC627" i="147"/>
  <c r="BC628" i="147"/>
  <c r="BC629" i="147"/>
  <c r="BC631" i="147"/>
  <c r="BC632" i="147"/>
  <c r="BC633" i="147"/>
  <c r="BC634" i="147"/>
  <c r="BC635" i="147"/>
  <c r="BC636" i="147"/>
  <c r="BC637" i="147"/>
  <c r="BC638" i="147"/>
  <c r="BC639" i="147"/>
  <c r="BC640" i="147"/>
  <c r="BC641" i="147"/>
  <c r="BC642" i="147"/>
  <c r="BC643" i="147"/>
  <c r="BE375" i="147"/>
  <c r="BE379" i="147"/>
  <c r="BE380" i="147"/>
  <c r="BE381" i="147"/>
  <c r="BE382" i="147"/>
  <c r="BE383" i="147"/>
  <c r="BE384" i="147"/>
  <c r="BE385" i="147"/>
  <c r="BE386" i="147"/>
  <c r="BE387" i="147"/>
  <c r="BE388" i="147"/>
  <c r="BE389" i="147"/>
  <c r="BE390" i="147"/>
  <c r="BE391" i="147"/>
  <c r="BE392" i="147"/>
  <c r="BE393" i="147"/>
  <c r="BE394" i="147"/>
  <c r="BE395" i="147"/>
  <c r="BE396" i="147"/>
  <c r="BE397" i="147"/>
  <c r="BE398" i="147"/>
  <c r="BE399" i="147"/>
  <c r="BE400" i="147"/>
  <c r="BE376" i="147"/>
  <c r="BE377" i="147"/>
  <c r="BE378" i="147"/>
  <c r="BE401" i="147"/>
  <c r="BE402" i="147"/>
  <c r="BE403" i="147"/>
  <c r="BE404" i="147"/>
  <c r="BE405" i="147"/>
  <c r="BE406" i="147"/>
  <c r="BE407" i="147"/>
  <c r="BE408" i="147"/>
  <c r="BE409" i="147"/>
  <c r="BE410" i="147"/>
  <c r="BE411" i="147"/>
  <c r="BE412" i="147"/>
  <c r="BE413" i="147"/>
  <c r="BE414" i="147"/>
  <c r="BE415" i="147"/>
  <c r="BE416" i="147"/>
  <c r="BE417" i="147"/>
  <c r="BE418" i="147"/>
  <c r="BE419" i="147"/>
  <c r="BE420" i="147"/>
  <c r="BE421" i="147"/>
  <c r="BE422" i="147"/>
  <c r="BE423" i="147"/>
  <c r="BE424" i="147"/>
  <c r="BE425" i="147"/>
  <c r="BE426" i="147"/>
  <c r="BE427" i="147"/>
  <c r="BE428" i="147"/>
  <c r="BE429" i="147"/>
  <c r="BE430" i="147"/>
  <c r="BE431" i="147"/>
  <c r="BE432" i="147"/>
  <c r="BE433" i="147"/>
  <c r="BE434" i="147"/>
  <c r="BE435" i="147"/>
  <c r="BE436" i="147"/>
  <c r="BE437" i="147"/>
  <c r="BE438" i="147"/>
  <c r="BE439" i="147"/>
  <c r="BE440" i="147"/>
  <c r="BE441" i="147"/>
  <c r="BE442" i="147"/>
  <c r="BE443" i="147"/>
  <c r="BE444" i="147"/>
  <c r="BE445" i="147"/>
  <c r="BE446" i="147"/>
  <c r="BE447" i="147"/>
  <c r="BE448" i="147"/>
  <c r="BE449" i="147"/>
  <c r="BE450" i="147"/>
  <c r="BE451" i="147"/>
  <c r="BE452" i="147"/>
  <c r="BE453" i="147"/>
  <c r="BE454" i="147"/>
  <c r="BE455" i="147"/>
  <c r="BE456" i="147"/>
  <c r="BE457" i="147"/>
  <c r="BE458" i="147"/>
  <c r="BE459" i="147"/>
  <c r="BE460" i="147"/>
  <c r="BE461" i="147"/>
  <c r="BE462" i="147"/>
  <c r="BE463" i="147"/>
  <c r="BE464" i="147"/>
  <c r="BE465" i="147"/>
  <c r="BE466" i="147"/>
  <c r="BE467" i="147"/>
  <c r="BE468" i="147"/>
  <c r="BE469" i="147"/>
  <c r="BE470" i="147"/>
  <c r="BE471" i="147"/>
  <c r="BE472" i="147"/>
  <c r="BE473" i="147"/>
  <c r="BE474" i="147"/>
  <c r="BE475" i="147"/>
  <c r="BE476" i="147"/>
  <c r="BE477" i="147"/>
  <c r="BE478" i="147"/>
  <c r="BE479" i="147"/>
  <c r="BE480" i="147"/>
  <c r="BE481" i="147"/>
  <c r="BE482" i="147"/>
  <c r="BE483" i="147"/>
  <c r="BE484" i="147"/>
  <c r="BE485" i="147"/>
  <c r="BE486" i="147"/>
  <c r="BE487" i="147"/>
  <c r="BE488" i="147"/>
  <c r="BE489" i="147"/>
  <c r="BE490" i="147"/>
  <c r="BE491" i="147"/>
  <c r="BE492" i="147"/>
  <c r="BE493" i="147"/>
  <c r="BE494" i="147"/>
  <c r="BE495" i="147"/>
  <c r="BE496" i="147"/>
  <c r="BE497" i="147"/>
  <c r="BE498" i="147"/>
  <c r="BE499" i="147"/>
  <c r="BE500" i="147"/>
  <c r="BE501" i="147"/>
  <c r="BE502" i="147"/>
  <c r="BE503" i="147"/>
  <c r="BE504" i="147"/>
  <c r="BE505" i="147"/>
  <c r="BE506" i="147"/>
  <c r="BE507" i="147"/>
  <c r="BE508" i="147"/>
  <c r="BE509" i="147"/>
  <c r="BE510" i="147"/>
  <c r="BE511" i="147"/>
  <c r="BE512" i="147"/>
  <c r="BE513" i="147"/>
  <c r="BE514" i="147"/>
  <c r="BE515" i="147"/>
  <c r="BE516" i="147"/>
  <c r="BE517" i="147"/>
  <c r="BE518" i="147"/>
  <c r="BE519" i="147"/>
  <c r="BE520" i="147"/>
  <c r="BE521" i="147"/>
  <c r="BE522" i="147"/>
  <c r="BE523" i="147"/>
  <c r="BE524" i="147"/>
  <c r="BE525" i="147"/>
  <c r="BE526" i="147"/>
  <c r="BE527" i="147"/>
  <c r="BE528" i="147"/>
  <c r="BE529" i="147"/>
  <c r="BE530" i="147"/>
  <c r="BE531" i="147"/>
  <c r="BE532" i="147"/>
  <c r="BE533" i="147"/>
  <c r="BE534" i="147"/>
  <c r="BE535" i="147"/>
  <c r="BE536" i="147"/>
  <c r="BE537" i="147"/>
  <c r="BE538" i="147"/>
  <c r="BE539" i="147"/>
  <c r="BE540" i="147"/>
  <c r="BE541" i="147"/>
  <c r="BE542" i="147"/>
  <c r="BE543" i="147"/>
  <c r="BE544" i="147"/>
  <c r="BE545" i="147"/>
  <c r="BE546" i="147"/>
  <c r="BE547" i="147"/>
  <c r="BE548" i="147"/>
  <c r="BE549" i="147"/>
  <c r="BE550" i="147"/>
  <c r="BE551" i="147"/>
  <c r="BE552" i="147"/>
  <c r="BE553" i="147"/>
  <c r="BE554" i="147"/>
  <c r="BE555" i="147"/>
  <c r="BE556" i="147"/>
  <c r="BE557" i="147"/>
  <c r="BE558" i="147"/>
  <c r="BE559" i="147"/>
  <c r="BE560" i="147"/>
  <c r="BE561" i="147"/>
  <c r="BE562" i="147"/>
  <c r="BE563" i="147"/>
  <c r="BE564" i="147"/>
  <c r="BE565" i="147"/>
  <c r="BE566" i="147"/>
  <c r="BE568" i="147"/>
  <c r="BE569" i="147"/>
  <c r="BE570" i="147"/>
  <c r="BE571" i="147"/>
  <c r="BE572" i="147"/>
  <c r="BE573" i="147"/>
  <c r="BE574" i="147"/>
  <c r="BE575" i="147"/>
  <c r="BE576" i="147"/>
  <c r="BE577" i="147"/>
  <c r="BE578" i="147"/>
  <c r="BE579" i="147"/>
  <c r="BE580" i="147"/>
  <c r="BE581" i="147"/>
  <c r="BE582" i="147"/>
  <c r="BE583" i="147"/>
  <c r="BE584" i="147"/>
  <c r="BE585" i="147"/>
  <c r="BE586" i="147"/>
  <c r="BE587" i="147"/>
  <c r="BE588" i="147"/>
  <c r="BE589" i="147"/>
  <c r="BE590" i="147"/>
  <c r="BE591" i="147"/>
  <c r="BE592" i="147"/>
  <c r="BE593" i="147"/>
  <c r="BE594" i="147"/>
  <c r="BE595" i="147"/>
  <c r="BE596" i="147"/>
  <c r="BE597" i="147"/>
  <c r="BE598" i="147"/>
  <c r="BE600" i="147"/>
  <c r="BE601" i="147"/>
  <c r="BE602" i="147"/>
  <c r="BE603" i="147"/>
  <c r="BE604" i="147"/>
  <c r="BE605" i="147"/>
  <c r="BE606" i="147"/>
  <c r="BE607" i="147"/>
  <c r="BE608" i="147"/>
  <c r="BE609" i="147"/>
  <c r="BE610" i="147"/>
  <c r="BE611" i="147"/>
  <c r="BE612" i="147"/>
  <c r="BE613" i="147"/>
  <c r="BE614" i="147"/>
  <c r="BE615" i="147"/>
  <c r="BE616" i="147"/>
  <c r="BE617" i="147"/>
  <c r="BE618" i="147"/>
  <c r="BE619" i="147"/>
  <c r="BE620" i="147"/>
  <c r="BE621" i="147"/>
  <c r="BE622" i="147"/>
  <c r="BE623" i="147"/>
  <c r="BE624" i="147"/>
  <c r="BE625" i="147"/>
  <c r="BE626" i="147"/>
  <c r="BE627" i="147"/>
  <c r="BE628" i="147"/>
  <c r="BE629" i="147"/>
  <c r="BE631" i="147"/>
  <c r="BE632" i="147"/>
  <c r="BE633" i="147"/>
  <c r="BE634" i="147"/>
  <c r="BE635" i="147"/>
  <c r="BE636" i="147"/>
  <c r="BE638" i="147"/>
  <c r="BE639" i="147"/>
  <c r="BE640" i="147"/>
  <c r="BE641" i="147"/>
  <c r="BE642" i="147"/>
  <c r="BE643" i="147"/>
  <c r="BJ375" i="147"/>
  <c r="BJ376" i="147"/>
  <c r="BJ377" i="147"/>
  <c r="BJ378" i="147"/>
  <c r="BJ386" i="147"/>
  <c r="BJ387" i="147"/>
  <c r="BJ388" i="147"/>
  <c r="BJ389" i="147"/>
  <c r="BJ390" i="147"/>
  <c r="BJ391" i="147"/>
  <c r="BJ392" i="147"/>
  <c r="BJ393" i="147"/>
  <c r="BJ394" i="147"/>
  <c r="BJ395" i="147"/>
  <c r="BJ396" i="147"/>
  <c r="BJ397" i="147"/>
  <c r="BJ398" i="147"/>
  <c r="BJ399" i="147"/>
  <c r="BJ400" i="147"/>
  <c r="BJ401" i="147"/>
  <c r="BJ402" i="147"/>
  <c r="BJ403" i="147"/>
  <c r="BJ404" i="147"/>
  <c r="BJ405" i="147"/>
  <c r="BJ406" i="147"/>
  <c r="BJ407" i="147"/>
  <c r="BJ408" i="147"/>
  <c r="BJ409" i="147"/>
  <c r="BJ410" i="147"/>
  <c r="BJ411" i="147"/>
  <c r="BJ412" i="147"/>
  <c r="BJ413" i="147"/>
  <c r="BJ414" i="147"/>
  <c r="BJ415" i="147"/>
  <c r="BJ416" i="147"/>
  <c r="BJ417" i="147"/>
  <c r="BJ418" i="147"/>
  <c r="BJ419" i="147"/>
  <c r="BJ420" i="147"/>
  <c r="BJ421" i="147"/>
  <c r="BJ422" i="147"/>
  <c r="BJ423" i="147"/>
  <c r="BJ424" i="147"/>
  <c r="BJ425" i="147"/>
  <c r="BJ426" i="147"/>
  <c r="BJ427" i="147"/>
  <c r="BJ428" i="147"/>
  <c r="BJ379" i="147"/>
  <c r="BJ380" i="147"/>
  <c r="BJ381" i="147"/>
  <c r="BJ382" i="147"/>
  <c r="BJ383" i="147"/>
  <c r="BJ384" i="147"/>
  <c r="BJ385" i="147"/>
  <c r="BJ429" i="147"/>
  <c r="BJ430" i="147"/>
  <c r="BJ431" i="147"/>
  <c r="BJ432" i="147"/>
  <c r="BJ433" i="147"/>
  <c r="BJ434" i="147"/>
  <c r="BJ435" i="147"/>
  <c r="BJ436" i="147"/>
  <c r="BJ437" i="147"/>
  <c r="BJ438" i="147"/>
  <c r="BJ439" i="147"/>
  <c r="BJ440" i="147"/>
  <c r="BJ441" i="147"/>
  <c r="BJ442" i="147"/>
  <c r="BJ443" i="147"/>
  <c r="BJ444" i="147"/>
  <c r="BJ445" i="147"/>
  <c r="BJ446" i="147"/>
  <c r="BJ447" i="147"/>
  <c r="BJ448" i="147"/>
  <c r="BJ449" i="147"/>
  <c r="BJ450" i="147"/>
  <c r="BJ451" i="147"/>
  <c r="BJ452" i="147"/>
  <c r="BJ453" i="147"/>
  <c r="BJ454" i="147"/>
  <c r="BJ455" i="147"/>
  <c r="BJ456" i="147"/>
  <c r="BJ457" i="147"/>
  <c r="BJ458" i="147"/>
  <c r="BJ459" i="147"/>
  <c r="BJ460" i="147"/>
  <c r="BJ461" i="147"/>
  <c r="BJ462" i="147"/>
  <c r="BJ463" i="147"/>
  <c r="BJ464" i="147"/>
  <c r="BJ465" i="147"/>
  <c r="BJ466" i="147"/>
  <c r="BJ467" i="147"/>
  <c r="BJ468" i="147"/>
  <c r="BJ469" i="147"/>
  <c r="BJ470" i="147"/>
  <c r="BJ471" i="147"/>
  <c r="BJ472" i="147"/>
  <c r="BJ473" i="147"/>
  <c r="BJ474" i="147"/>
  <c r="BJ475" i="147"/>
  <c r="BJ476" i="147"/>
  <c r="BJ477" i="147"/>
  <c r="BJ478" i="147"/>
  <c r="BJ479" i="147"/>
  <c r="BJ480" i="147"/>
  <c r="BJ481" i="147"/>
  <c r="BJ482" i="147"/>
  <c r="BJ483" i="147"/>
  <c r="BJ484" i="147"/>
  <c r="BJ485" i="147"/>
  <c r="BJ486" i="147"/>
  <c r="BJ487" i="147"/>
  <c r="BJ488" i="147"/>
  <c r="BJ489" i="147"/>
  <c r="BJ490" i="147"/>
  <c r="BJ491" i="147"/>
  <c r="BJ492" i="147"/>
  <c r="BJ493" i="147"/>
  <c r="BJ497" i="147"/>
  <c r="BJ498" i="147"/>
  <c r="BJ499" i="147"/>
  <c r="BJ500" i="147"/>
  <c r="BJ501" i="147"/>
  <c r="BJ502" i="147"/>
  <c r="BJ503" i="147"/>
  <c r="BJ504" i="147"/>
  <c r="BJ505" i="147"/>
  <c r="BJ506" i="147"/>
  <c r="BJ507" i="147"/>
  <c r="BJ508" i="147"/>
  <c r="BJ509" i="147"/>
  <c r="BJ510" i="147"/>
  <c r="BJ511" i="147"/>
  <c r="BJ512" i="147"/>
  <c r="BJ513" i="147"/>
  <c r="BJ514" i="147"/>
  <c r="BJ515" i="147"/>
  <c r="BJ516" i="147"/>
  <c r="BJ517" i="147"/>
  <c r="BJ518" i="147"/>
  <c r="BJ519" i="147"/>
  <c r="BJ520" i="147"/>
  <c r="BJ521" i="147"/>
  <c r="BJ522" i="147"/>
  <c r="BJ523" i="147"/>
  <c r="BJ524" i="147"/>
  <c r="BJ525" i="147"/>
  <c r="BJ526" i="147"/>
  <c r="BJ527" i="147"/>
  <c r="BJ528" i="147"/>
  <c r="BJ529" i="147"/>
  <c r="BJ530" i="147"/>
  <c r="BJ531" i="147"/>
  <c r="BJ532" i="147"/>
  <c r="BJ533" i="147"/>
  <c r="BJ534" i="147"/>
  <c r="BJ535" i="147"/>
  <c r="BJ536" i="147"/>
  <c r="BJ537" i="147"/>
  <c r="BJ538" i="147"/>
  <c r="BJ539" i="147"/>
  <c r="BJ540" i="147"/>
  <c r="BJ541" i="147"/>
  <c r="BJ542" i="147"/>
  <c r="BJ543" i="147"/>
  <c r="BJ544" i="147"/>
  <c r="BJ545" i="147"/>
  <c r="BJ546" i="147"/>
  <c r="BJ547" i="147"/>
  <c r="BJ548" i="147"/>
  <c r="BJ549" i="147"/>
  <c r="BJ550" i="147"/>
  <c r="BJ551" i="147"/>
  <c r="BJ552" i="147"/>
  <c r="BJ553" i="147"/>
  <c r="BJ554" i="147"/>
  <c r="BJ555" i="147"/>
  <c r="BJ556" i="147"/>
  <c r="BJ557" i="147"/>
  <c r="BJ558" i="147"/>
  <c r="BJ559" i="147"/>
  <c r="BJ560" i="147"/>
  <c r="BJ561" i="147"/>
  <c r="BJ562" i="147"/>
  <c r="BJ563" i="147"/>
  <c r="BJ564" i="147"/>
  <c r="BJ565" i="147"/>
  <c r="BJ566" i="147"/>
  <c r="BJ568" i="147"/>
  <c r="BJ494" i="147"/>
  <c r="BJ495" i="147"/>
  <c r="BJ496" i="147"/>
  <c r="BJ569" i="147"/>
  <c r="BJ570" i="147"/>
  <c r="BJ571" i="147"/>
  <c r="BJ572" i="147"/>
  <c r="BJ573" i="147"/>
  <c r="BJ574" i="147"/>
  <c r="BJ575" i="147"/>
  <c r="BJ576" i="147"/>
  <c r="BJ577" i="147"/>
  <c r="BJ578" i="147"/>
  <c r="BJ579" i="147"/>
  <c r="BJ580" i="147"/>
  <c r="BJ581" i="147"/>
  <c r="BJ582" i="147"/>
  <c r="BJ583" i="147"/>
  <c r="BJ584" i="147"/>
  <c r="BJ585" i="147"/>
  <c r="BJ586" i="147"/>
  <c r="BJ587" i="147"/>
  <c r="BJ588" i="147"/>
  <c r="BJ589" i="147"/>
  <c r="BJ590" i="147"/>
  <c r="BJ591" i="147"/>
  <c r="BJ592" i="147"/>
  <c r="BJ593" i="147"/>
  <c r="BJ594" i="147"/>
  <c r="BJ595" i="147"/>
  <c r="BJ596" i="147"/>
  <c r="BJ597" i="147"/>
  <c r="BJ598" i="147"/>
  <c r="BJ600" i="147"/>
  <c r="BJ601" i="147"/>
  <c r="BJ602" i="147"/>
  <c r="BJ603" i="147"/>
  <c r="BJ604" i="147"/>
  <c r="BJ605" i="147"/>
  <c r="BJ606" i="147"/>
  <c r="BJ607" i="147"/>
  <c r="BJ608" i="147"/>
  <c r="BJ609" i="147"/>
  <c r="BJ610" i="147"/>
  <c r="BJ611" i="147"/>
  <c r="BJ612" i="147"/>
  <c r="BJ613" i="147"/>
  <c r="BJ614" i="147"/>
  <c r="BJ615" i="147"/>
  <c r="BJ616" i="147"/>
  <c r="BJ617" i="147"/>
  <c r="BJ618" i="147"/>
  <c r="BJ619" i="147"/>
  <c r="BJ620" i="147"/>
  <c r="BJ621" i="147"/>
  <c r="BJ622" i="147"/>
  <c r="BJ623" i="147"/>
  <c r="BJ624" i="147"/>
  <c r="BJ625" i="147"/>
  <c r="BJ626" i="147"/>
  <c r="BJ627" i="147"/>
  <c r="BJ628" i="147"/>
  <c r="BJ629" i="147"/>
  <c r="BJ631" i="147"/>
  <c r="BJ632" i="147"/>
  <c r="BJ633" i="147"/>
  <c r="BJ634" i="147"/>
  <c r="BJ635" i="147"/>
  <c r="BJ636" i="147"/>
  <c r="BJ637" i="147"/>
  <c r="BJ638" i="147"/>
  <c r="BJ640" i="147"/>
  <c r="BJ641" i="147"/>
  <c r="BJ642" i="147"/>
  <c r="BJ643" i="147"/>
  <c r="BL375" i="147"/>
  <c r="BL376" i="147"/>
  <c r="BL377" i="147"/>
  <c r="BL378" i="147"/>
  <c r="BL379" i="147"/>
  <c r="BL380" i="147"/>
  <c r="BL381" i="147"/>
  <c r="BL382" i="147"/>
  <c r="BL383" i="147"/>
  <c r="BL384" i="147"/>
  <c r="BL385" i="147"/>
  <c r="BL400" i="147"/>
  <c r="BL401" i="147"/>
  <c r="BL402" i="147"/>
  <c r="BL403" i="147"/>
  <c r="BL404" i="147"/>
  <c r="BL405" i="147"/>
  <c r="BL406" i="147"/>
  <c r="BL407" i="147"/>
  <c r="BL408" i="147"/>
  <c r="BL409" i="147"/>
  <c r="BL410" i="147"/>
  <c r="BL411" i="147"/>
  <c r="BL412" i="147"/>
  <c r="BL413" i="147"/>
  <c r="BL414" i="147"/>
  <c r="BL415" i="147"/>
  <c r="BL416" i="147"/>
  <c r="BL417" i="147"/>
  <c r="BL418" i="147"/>
  <c r="BL419" i="147"/>
  <c r="BL420" i="147"/>
  <c r="BL421" i="147"/>
  <c r="BL422" i="147"/>
  <c r="BL423" i="147"/>
  <c r="BL424" i="147"/>
  <c r="BL425" i="147"/>
  <c r="BL426" i="147"/>
  <c r="BL427" i="147"/>
  <c r="BL428" i="147"/>
  <c r="BL429" i="147"/>
  <c r="BL430" i="147"/>
  <c r="BL431" i="147"/>
  <c r="BL432" i="147"/>
  <c r="BL433" i="147"/>
  <c r="BL434" i="147"/>
  <c r="BL435" i="147"/>
  <c r="BL436" i="147"/>
  <c r="BL437" i="147"/>
  <c r="BL438" i="147"/>
  <c r="BL439" i="147"/>
  <c r="BL440" i="147"/>
  <c r="BL441" i="147"/>
  <c r="BL442" i="147"/>
  <c r="BL443" i="147"/>
  <c r="BL444" i="147"/>
  <c r="BL445" i="147"/>
  <c r="BL386" i="147"/>
  <c r="BL387" i="147"/>
  <c r="BL388" i="147"/>
  <c r="BL389" i="147"/>
  <c r="BL390" i="147"/>
  <c r="BL392" i="147"/>
  <c r="BL394" i="147"/>
  <c r="BL396" i="147"/>
  <c r="BL398" i="147"/>
  <c r="BL391" i="147"/>
  <c r="BL393" i="147"/>
  <c r="BL395" i="147"/>
  <c r="BL397" i="147"/>
  <c r="BL399" i="147"/>
  <c r="BL446" i="147"/>
  <c r="BL447" i="147"/>
  <c r="BL448" i="147"/>
  <c r="BL449" i="147"/>
  <c r="BL450" i="147"/>
  <c r="BL451" i="147"/>
  <c r="BL452" i="147"/>
  <c r="BL453" i="147"/>
  <c r="BL454" i="147"/>
  <c r="BL455" i="147"/>
  <c r="BL456" i="147"/>
  <c r="BL457" i="147"/>
  <c r="BL458" i="147"/>
  <c r="BL459" i="147"/>
  <c r="BL460" i="147"/>
  <c r="BL461" i="147"/>
  <c r="BL462" i="147"/>
  <c r="BL463" i="147"/>
  <c r="BL464" i="147"/>
  <c r="BL465" i="147"/>
  <c r="BL466" i="147"/>
  <c r="BL467" i="147"/>
  <c r="BL468" i="147"/>
  <c r="BL469" i="147"/>
  <c r="BL470" i="147"/>
  <c r="BL471" i="147"/>
  <c r="BL472" i="147"/>
  <c r="BL473" i="147"/>
  <c r="BL474" i="147"/>
  <c r="BL475" i="147"/>
  <c r="BL476" i="147"/>
  <c r="BL477" i="147"/>
  <c r="BL478" i="147"/>
  <c r="BL479" i="147"/>
  <c r="BL480" i="147"/>
  <c r="BL481" i="147"/>
  <c r="BL482" i="147"/>
  <c r="BL483" i="147"/>
  <c r="BL484" i="147"/>
  <c r="BL485" i="147"/>
  <c r="BL486" i="147"/>
  <c r="BL487" i="147"/>
  <c r="BL488" i="147"/>
  <c r="BL489" i="147"/>
  <c r="BL490" i="147"/>
  <c r="BL491" i="147"/>
  <c r="BL492" i="147"/>
  <c r="BL493" i="147"/>
  <c r="BL494" i="147"/>
  <c r="BL495" i="147"/>
  <c r="BL496" i="147"/>
  <c r="BL497" i="147"/>
  <c r="BL498" i="147"/>
  <c r="BL499" i="147"/>
  <c r="BL500" i="147"/>
  <c r="BL501" i="147"/>
  <c r="BL502" i="147"/>
  <c r="BL503" i="147"/>
  <c r="BL504" i="147"/>
  <c r="BL505" i="147"/>
  <c r="BL506" i="147"/>
  <c r="BL507" i="147"/>
  <c r="BL508" i="147"/>
  <c r="BL509" i="147"/>
  <c r="BL510" i="147"/>
  <c r="BL511" i="147"/>
  <c r="BL512" i="147"/>
  <c r="BL513" i="147"/>
  <c r="BL514" i="147"/>
  <c r="BL515" i="147"/>
  <c r="BL516" i="147"/>
  <c r="BL517" i="147"/>
  <c r="BL518" i="147"/>
  <c r="BL519" i="147"/>
  <c r="BL520" i="147"/>
  <c r="BL521" i="147"/>
  <c r="BL522" i="147"/>
  <c r="BL523" i="147"/>
  <c r="BL524" i="147"/>
  <c r="BL525" i="147"/>
  <c r="BL526" i="147"/>
  <c r="BL527" i="147"/>
  <c r="BL528" i="147"/>
  <c r="BL529" i="147"/>
  <c r="BL530" i="147"/>
  <c r="BL531" i="147"/>
  <c r="BL532" i="147"/>
  <c r="BL533" i="147"/>
  <c r="BL534" i="147"/>
  <c r="BL535" i="147"/>
  <c r="BL536" i="147"/>
  <c r="BL537" i="147"/>
  <c r="BL538" i="147"/>
  <c r="BL539" i="147"/>
  <c r="BL540" i="147"/>
  <c r="BL541" i="147"/>
  <c r="BL542" i="147"/>
  <c r="BL543" i="147"/>
  <c r="BL544" i="147"/>
  <c r="BL545" i="147"/>
  <c r="BL546" i="147"/>
  <c r="BL547" i="147"/>
  <c r="BL548" i="147"/>
  <c r="BL549" i="147"/>
  <c r="BL550" i="147"/>
  <c r="BL551" i="147"/>
  <c r="BL552" i="147"/>
  <c r="BL553" i="147"/>
  <c r="BL554" i="147"/>
  <c r="BL555" i="147"/>
  <c r="BL556" i="147"/>
  <c r="BL557" i="147"/>
  <c r="BL558" i="147"/>
  <c r="BL559" i="147"/>
  <c r="BL560" i="147"/>
  <c r="BL561" i="147"/>
  <c r="BL562" i="147"/>
  <c r="BL563" i="147"/>
  <c r="BL564" i="147"/>
  <c r="BL565" i="147"/>
  <c r="BL566" i="147"/>
  <c r="BL568" i="147"/>
  <c r="BL569" i="147"/>
  <c r="BL570" i="147"/>
  <c r="BL571" i="147"/>
  <c r="BL572" i="147"/>
  <c r="BL573" i="147"/>
  <c r="BL574" i="147"/>
  <c r="BL575" i="147"/>
  <c r="BL576" i="147"/>
  <c r="BL577" i="147"/>
  <c r="BL578" i="147"/>
  <c r="BL579" i="147"/>
  <c r="BL580" i="147"/>
  <c r="BL581" i="147"/>
  <c r="BL582" i="147"/>
  <c r="BL583" i="147"/>
  <c r="BL584" i="147"/>
  <c r="BL585" i="147"/>
  <c r="BL586" i="147"/>
  <c r="BL587" i="147"/>
  <c r="BL588" i="147"/>
  <c r="BL589" i="147"/>
  <c r="BL590" i="147"/>
  <c r="BL591" i="147"/>
  <c r="BL592" i="147"/>
  <c r="BL593" i="147"/>
  <c r="BL594" i="147"/>
  <c r="BL595" i="147"/>
  <c r="BL596" i="147"/>
  <c r="BL597" i="147"/>
  <c r="BL598" i="147"/>
  <c r="BL600" i="147"/>
  <c r="BL601" i="147"/>
  <c r="BL602" i="147"/>
  <c r="BL603" i="147"/>
  <c r="BL604" i="147"/>
  <c r="BL605" i="147"/>
  <c r="BL606" i="147"/>
  <c r="BL607" i="147"/>
  <c r="BL608" i="147"/>
  <c r="BL609" i="147"/>
  <c r="BL610" i="147"/>
  <c r="BL611" i="147"/>
  <c r="BL612" i="147"/>
  <c r="BL613" i="147"/>
  <c r="BL614" i="147"/>
  <c r="BL615" i="147"/>
  <c r="BL616" i="147"/>
  <c r="BL617" i="147"/>
  <c r="BL618" i="147"/>
  <c r="BL619" i="147"/>
  <c r="BL620" i="147"/>
  <c r="BL621" i="147"/>
  <c r="BL622" i="147"/>
  <c r="BL623" i="147"/>
  <c r="BL624" i="147"/>
  <c r="BL625" i="147"/>
  <c r="BL626" i="147"/>
  <c r="BL627" i="147"/>
  <c r="BL628" i="147"/>
  <c r="BL629" i="147"/>
  <c r="BL631" i="147"/>
  <c r="BL632" i="147"/>
  <c r="BL633" i="147"/>
  <c r="BL634" i="147"/>
  <c r="BL635" i="147"/>
  <c r="BL636" i="147"/>
  <c r="BL637" i="147"/>
  <c r="BL638" i="147"/>
  <c r="BL639" i="147"/>
  <c r="BL640" i="147"/>
  <c r="BL642" i="147"/>
  <c r="BL643" i="147"/>
  <c r="BN375" i="147"/>
  <c r="BN376" i="147"/>
  <c r="BN377" i="147"/>
  <c r="BN378" i="147"/>
  <c r="BN379" i="147"/>
  <c r="BN380" i="147"/>
  <c r="BN381" i="147"/>
  <c r="BN382" i="147"/>
  <c r="BN383" i="147"/>
  <c r="BN384" i="147"/>
  <c r="BN385" i="147"/>
  <c r="BN386" i="147"/>
  <c r="BN387" i="147"/>
  <c r="BN388" i="147"/>
  <c r="BN389" i="147"/>
  <c r="BN390" i="147"/>
  <c r="BN391" i="147"/>
  <c r="BN392" i="147"/>
  <c r="BN393" i="147"/>
  <c r="BN394" i="147"/>
  <c r="BN395" i="147"/>
  <c r="BN396" i="147"/>
  <c r="BN397" i="147"/>
  <c r="BN398" i="147"/>
  <c r="BN399" i="147"/>
  <c r="BN400" i="147"/>
  <c r="BN401" i="147"/>
  <c r="BN402" i="147"/>
  <c r="BN403" i="147"/>
  <c r="BN404" i="147"/>
  <c r="BN405" i="147"/>
  <c r="BN406" i="147"/>
  <c r="BN407" i="147"/>
  <c r="BN408" i="147"/>
  <c r="BN409" i="147"/>
  <c r="BN410" i="147"/>
  <c r="BN411" i="147"/>
  <c r="BN412" i="147"/>
  <c r="BN413" i="147"/>
  <c r="BN414" i="147"/>
  <c r="BN415" i="147"/>
  <c r="BN416" i="147"/>
  <c r="BN417" i="147"/>
  <c r="BN418" i="147"/>
  <c r="BN419" i="147"/>
  <c r="BN420" i="147"/>
  <c r="BN421" i="147"/>
  <c r="BN422" i="147"/>
  <c r="BN423" i="147"/>
  <c r="BN424" i="147"/>
  <c r="BN425" i="147"/>
  <c r="BN426" i="147"/>
  <c r="BN427" i="147"/>
  <c r="BN428" i="147"/>
  <c r="BN429" i="147"/>
  <c r="BN430" i="147"/>
  <c r="BN431" i="147"/>
  <c r="BN432" i="147"/>
  <c r="BN433" i="147"/>
  <c r="BN434" i="147"/>
  <c r="BN435" i="147"/>
  <c r="BN436" i="147"/>
  <c r="BN437" i="147"/>
  <c r="BN438" i="147"/>
  <c r="BN439" i="147"/>
  <c r="BN440" i="147"/>
  <c r="BN441" i="147"/>
  <c r="BN442" i="147"/>
  <c r="BN443" i="147"/>
  <c r="BN444" i="147"/>
  <c r="BN445" i="147"/>
  <c r="BN446" i="147"/>
  <c r="BN447" i="147"/>
  <c r="BN448" i="147"/>
  <c r="BN449" i="147"/>
  <c r="BN450" i="147"/>
  <c r="BN451" i="147"/>
  <c r="BN452" i="147"/>
  <c r="BN453" i="147"/>
  <c r="BN454" i="147"/>
  <c r="BN455" i="147"/>
  <c r="BN456" i="147"/>
  <c r="BN457" i="147"/>
  <c r="BN458" i="147"/>
  <c r="BN459" i="147"/>
  <c r="BN460" i="147"/>
  <c r="BN461" i="147"/>
  <c r="BN462" i="147"/>
  <c r="BN463" i="147"/>
  <c r="BN464" i="147"/>
  <c r="BN465" i="147"/>
  <c r="BN466" i="147"/>
  <c r="BN467" i="147"/>
  <c r="BN468" i="147"/>
  <c r="BN469" i="147"/>
  <c r="BN470" i="147"/>
  <c r="BN471" i="147"/>
  <c r="BN472" i="147"/>
  <c r="BN473" i="147"/>
  <c r="BN474" i="147"/>
  <c r="BN475" i="147"/>
  <c r="BN476" i="147"/>
  <c r="BN477" i="147"/>
  <c r="BN478" i="147"/>
  <c r="BN479" i="147"/>
  <c r="BN480" i="147"/>
  <c r="BN481" i="147"/>
  <c r="BN482" i="147"/>
  <c r="BN483" i="147"/>
  <c r="BN484" i="147"/>
  <c r="BN485" i="147"/>
  <c r="BN486" i="147"/>
  <c r="BN487" i="147"/>
  <c r="BN488" i="147"/>
  <c r="BN489" i="147"/>
  <c r="BN490" i="147"/>
  <c r="BN491" i="147"/>
  <c r="BN492" i="147"/>
  <c r="BN493" i="147"/>
  <c r="BN497" i="147"/>
  <c r="BN498" i="147"/>
  <c r="BN499" i="147"/>
  <c r="BN500" i="147"/>
  <c r="BN501" i="147"/>
  <c r="BN502" i="147"/>
  <c r="BN503" i="147"/>
  <c r="BN504" i="147"/>
  <c r="BN505" i="147"/>
  <c r="BN506" i="147"/>
  <c r="BN507" i="147"/>
  <c r="BN508" i="147"/>
  <c r="BN509" i="147"/>
  <c r="BN510" i="147"/>
  <c r="BN511" i="147"/>
  <c r="BN512" i="147"/>
  <c r="BN513" i="147"/>
  <c r="BN514" i="147"/>
  <c r="BN515" i="147"/>
  <c r="BN516" i="147"/>
  <c r="BN517" i="147"/>
  <c r="BN518" i="147"/>
  <c r="BN519" i="147"/>
  <c r="BN520" i="147"/>
  <c r="BN521" i="147"/>
  <c r="BN522" i="147"/>
  <c r="BN523" i="147"/>
  <c r="BN524" i="147"/>
  <c r="BN525" i="147"/>
  <c r="BN526" i="147"/>
  <c r="BN527" i="147"/>
  <c r="BN528" i="147"/>
  <c r="BN529" i="147"/>
  <c r="BN530" i="147"/>
  <c r="BN531" i="147"/>
  <c r="BN532" i="147"/>
  <c r="BN533" i="147"/>
  <c r="BN534" i="147"/>
  <c r="BN535" i="147"/>
  <c r="BN536" i="147"/>
  <c r="BN537" i="147"/>
  <c r="BN538" i="147"/>
  <c r="BN539" i="147"/>
  <c r="BN540" i="147"/>
  <c r="BN541" i="147"/>
  <c r="BN542" i="147"/>
  <c r="BN543" i="147"/>
  <c r="BN544" i="147"/>
  <c r="BN545" i="147"/>
  <c r="BN546" i="147"/>
  <c r="BN547" i="147"/>
  <c r="BN548" i="147"/>
  <c r="BN549" i="147"/>
  <c r="BN550" i="147"/>
  <c r="BN551" i="147"/>
  <c r="BN552" i="147"/>
  <c r="BN553" i="147"/>
  <c r="BN554" i="147"/>
  <c r="BN555" i="147"/>
  <c r="BN556" i="147"/>
  <c r="BN557" i="147"/>
  <c r="BN558" i="147"/>
  <c r="BN559" i="147"/>
  <c r="BN560" i="147"/>
  <c r="BN561" i="147"/>
  <c r="BN562" i="147"/>
  <c r="BN563" i="147"/>
  <c r="BN564" i="147"/>
  <c r="BN565" i="147"/>
  <c r="BN566" i="147"/>
  <c r="BN568" i="147"/>
  <c r="BN494" i="147"/>
  <c r="BN495" i="147"/>
  <c r="BN496" i="147"/>
  <c r="BN569" i="147"/>
  <c r="BN570" i="147"/>
  <c r="BN571" i="147"/>
  <c r="BN572" i="147"/>
  <c r="BN573" i="147"/>
  <c r="BN574" i="147"/>
  <c r="BN575" i="147"/>
  <c r="BN576" i="147"/>
  <c r="BN577" i="147"/>
  <c r="BN578" i="147"/>
  <c r="BN579" i="147"/>
  <c r="BN580" i="147"/>
  <c r="BN581" i="147"/>
  <c r="BN582" i="147"/>
  <c r="BN583" i="147"/>
  <c r="BN584" i="147"/>
  <c r="BN585" i="147"/>
  <c r="BN586" i="147"/>
  <c r="BN587" i="147"/>
  <c r="BN588" i="147"/>
  <c r="BN589" i="147"/>
  <c r="BN590" i="147"/>
  <c r="BN591" i="147"/>
  <c r="BN592" i="147"/>
  <c r="BN593" i="147"/>
  <c r="BN594" i="147"/>
  <c r="BN595" i="147"/>
  <c r="BN596" i="147"/>
  <c r="BN597" i="147"/>
  <c r="BN598" i="147"/>
  <c r="BN600" i="147"/>
  <c r="BN601" i="147"/>
  <c r="BN602" i="147"/>
  <c r="BN603" i="147"/>
  <c r="BN604" i="147"/>
  <c r="BN605" i="147"/>
  <c r="BN606" i="147"/>
  <c r="BN607" i="147"/>
  <c r="BN608" i="147"/>
  <c r="BN609" i="147"/>
  <c r="BN610" i="147"/>
  <c r="BN611" i="147"/>
  <c r="BN612" i="147"/>
  <c r="BN613" i="147"/>
  <c r="BN614" i="147"/>
  <c r="BN615" i="147"/>
  <c r="BN616" i="147"/>
  <c r="BN617" i="147"/>
  <c r="BN618" i="147"/>
  <c r="BN619" i="147"/>
  <c r="BN620" i="147"/>
  <c r="BN621" i="147"/>
  <c r="BN622" i="147"/>
  <c r="BN623" i="147"/>
  <c r="BN624" i="147"/>
  <c r="BN625" i="147"/>
  <c r="BN626" i="147"/>
  <c r="BN627" i="147"/>
  <c r="BN628" i="147"/>
  <c r="BN631" i="147"/>
  <c r="BN632" i="147"/>
  <c r="BN633" i="147"/>
  <c r="BN634" i="147"/>
  <c r="BN635" i="147"/>
  <c r="BN636" i="147"/>
  <c r="BN637" i="147"/>
  <c r="BN638" i="147"/>
  <c r="BN639" i="147"/>
  <c r="BN640" i="147"/>
  <c r="BN641" i="147"/>
  <c r="BN642" i="147"/>
  <c r="BN643" i="147"/>
  <c r="BP375" i="147"/>
  <c r="BP376" i="147"/>
  <c r="BP377" i="147"/>
  <c r="BP378" i="147"/>
  <c r="BP379" i="147"/>
  <c r="BP380" i="147"/>
  <c r="BP381" i="147"/>
  <c r="BP382" i="147"/>
  <c r="BP383" i="147"/>
  <c r="BP384" i="147"/>
  <c r="BP385" i="147"/>
  <c r="BP400" i="147"/>
  <c r="BP401" i="147"/>
  <c r="BP402" i="147"/>
  <c r="BP403" i="147"/>
  <c r="BP404" i="147"/>
  <c r="BP405" i="147"/>
  <c r="BP406" i="147"/>
  <c r="BP407" i="147"/>
  <c r="BP408" i="147"/>
  <c r="BP409" i="147"/>
  <c r="BP410" i="147"/>
  <c r="BP411" i="147"/>
  <c r="BP412" i="147"/>
  <c r="BP413" i="147"/>
  <c r="BP414" i="147"/>
  <c r="BP415" i="147"/>
  <c r="BP416" i="147"/>
  <c r="BP417" i="147"/>
  <c r="BP418" i="147"/>
  <c r="BP419" i="147"/>
  <c r="BP420" i="147"/>
  <c r="BP421" i="147"/>
  <c r="BP422" i="147"/>
  <c r="BP423" i="147"/>
  <c r="BP424" i="147"/>
  <c r="BP425" i="147"/>
  <c r="BP426" i="147"/>
  <c r="BP427" i="147"/>
  <c r="BP428" i="147"/>
  <c r="BP386" i="147"/>
  <c r="BP387" i="147"/>
  <c r="BP388" i="147"/>
  <c r="BP389" i="147"/>
  <c r="BP390" i="147"/>
  <c r="BP391" i="147"/>
  <c r="BP392" i="147"/>
  <c r="BP393" i="147"/>
  <c r="BP394" i="147"/>
  <c r="BP395" i="147"/>
  <c r="BP396" i="147"/>
  <c r="BP397" i="147"/>
  <c r="BP398" i="147"/>
  <c r="BP399" i="147"/>
  <c r="BP429" i="147"/>
  <c r="BP430" i="147"/>
  <c r="BP431" i="147"/>
  <c r="BP432" i="147"/>
  <c r="BP433" i="147"/>
  <c r="BP434" i="147"/>
  <c r="BP435" i="147"/>
  <c r="BP436" i="147"/>
  <c r="BP437" i="147"/>
  <c r="BP438" i="147"/>
  <c r="BP439" i="147"/>
  <c r="BP440" i="147"/>
  <c r="BP441" i="147"/>
  <c r="BP442" i="147"/>
  <c r="BP443" i="147"/>
  <c r="BP444" i="147"/>
  <c r="BP445" i="147"/>
  <c r="BP446" i="147"/>
  <c r="BP447" i="147"/>
  <c r="BP448" i="147"/>
  <c r="BP449" i="147"/>
  <c r="BP450" i="147"/>
  <c r="BP451" i="147"/>
  <c r="BP452" i="147"/>
  <c r="BP453" i="147"/>
  <c r="BP454" i="147"/>
  <c r="BP455" i="147"/>
  <c r="BP456" i="147"/>
  <c r="BP457" i="147"/>
  <c r="BP458" i="147"/>
  <c r="BP459" i="147"/>
  <c r="BP460" i="147"/>
  <c r="BP461" i="147"/>
  <c r="BP462" i="147"/>
  <c r="BP463" i="147"/>
  <c r="BP464" i="147"/>
  <c r="BP465" i="147"/>
  <c r="BP466" i="147"/>
  <c r="BP467" i="147"/>
  <c r="BP468" i="147"/>
  <c r="BP469" i="147"/>
  <c r="BP470" i="147"/>
  <c r="BP471" i="147"/>
  <c r="BP472" i="147"/>
  <c r="BP473" i="147"/>
  <c r="BP474" i="147"/>
  <c r="BP475" i="147"/>
  <c r="BP476" i="147"/>
  <c r="BP477" i="147"/>
  <c r="BP478" i="147"/>
  <c r="BP479" i="147"/>
  <c r="BP480" i="147"/>
  <c r="BP481" i="147"/>
  <c r="BP482" i="147"/>
  <c r="BP483" i="147"/>
  <c r="BP484" i="147"/>
  <c r="BP485" i="147"/>
  <c r="BP486" i="147"/>
  <c r="BP487" i="147"/>
  <c r="BP488" i="147"/>
  <c r="BP489" i="147"/>
  <c r="BP490" i="147"/>
  <c r="BP491" i="147"/>
  <c r="BP492" i="147"/>
  <c r="BP493" i="147"/>
  <c r="BP494" i="147"/>
  <c r="BP495" i="147"/>
  <c r="BP496" i="147"/>
  <c r="BP497" i="147"/>
  <c r="BP498" i="147"/>
  <c r="BP499" i="147"/>
  <c r="BP500" i="147"/>
  <c r="BP501" i="147"/>
  <c r="BP502" i="147"/>
  <c r="BP503" i="147"/>
  <c r="BP504" i="147"/>
  <c r="BP505" i="147"/>
  <c r="BP506" i="147"/>
  <c r="BP507" i="147"/>
  <c r="BP508" i="147"/>
  <c r="BP509" i="147"/>
  <c r="BP510" i="147"/>
  <c r="BP511" i="147"/>
  <c r="BP512" i="147"/>
  <c r="BP513" i="147"/>
  <c r="BP514" i="147"/>
  <c r="BP515" i="147"/>
  <c r="BP516" i="147"/>
  <c r="BP517" i="147"/>
  <c r="BP518" i="147"/>
  <c r="BP519" i="147"/>
  <c r="BP520" i="147"/>
  <c r="BP521" i="147"/>
  <c r="BP522" i="147"/>
  <c r="BP523" i="147"/>
  <c r="BP524" i="147"/>
  <c r="BP525" i="147"/>
  <c r="BP526" i="147"/>
  <c r="BP527" i="147"/>
  <c r="BP528" i="147"/>
  <c r="BP529" i="147"/>
  <c r="BP530" i="147"/>
  <c r="BP531" i="147"/>
  <c r="BP532" i="147"/>
  <c r="BP533" i="147"/>
  <c r="BP534" i="147"/>
  <c r="BP535" i="147"/>
  <c r="BP536" i="147"/>
  <c r="BP537" i="147"/>
  <c r="BP538" i="147"/>
  <c r="BP539" i="147"/>
  <c r="BP540" i="147"/>
  <c r="BP541" i="147"/>
  <c r="BP542" i="147"/>
  <c r="BP543" i="147"/>
  <c r="BP544" i="147"/>
  <c r="BP545" i="147"/>
  <c r="BP546" i="147"/>
  <c r="BP547" i="147"/>
  <c r="BP548" i="147"/>
  <c r="BP549" i="147"/>
  <c r="BP550" i="147"/>
  <c r="BP551" i="147"/>
  <c r="BP552" i="147"/>
  <c r="BP553" i="147"/>
  <c r="BP554" i="147"/>
  <c r="BP555" i="147"/>
  <c r="BP556" i="147"/>
  <c r="BP557" i="147"/>
  <c r="BP558" i="147"/>
  <c r="BP559" i="147"/>
  <c r="BP560" i="147"/>
  <c r="BP561" i="147"/>
  <c r="BP562" i="147"/>
  <c r="BP563" i="147"/>
  <c r="BP564" i="147"/>
  <c r="BP565" i="147"/>
  <c r="BP566" i="147"/>
  <c r="BP568" i="147"/>
  <c r="BP569" i="147"/>
  <c r="BP570" i="147"/>
  <c r="BP571" i="147"/>
  <c r="BP572" i="147"/>
  <c r="BP573" i="147"/>
  <c r="BP574" i="147"/>
  <c r="BP575" i="147"/>
  <c r="BP576" i="147"/>
  <c r="BP577" i="147"/>
  <c r="BP578" i="147"/>
  <c r="BP579" i="147"/>
  <c r="BP580" i="147"/>
  <c r="BP581" i="147"/>
  <c r="BP582" i="147"/>
  <c r="BP583" i="147"/>
  <c r="BP584" i="147"/>
  <c r="BP585" i="147"/>
  <c r="BP586" i="147"/>
  <c r="BP587" i="147"/>
  <c r="BP588" i="147"/>
  <c r="BP589" i="147"/>
  <c r="BP590" i="147"/>
  <c r="BP591" i="147"/>
  <c r="BP592" i="147"/>
  <c r="BP593" i="147"/>
  <c r="BP594" i="147"/>
  <c r="BP595" i="147"/>
  <c r="BP596" i="147"/>
  <c r="BP597" i="147"/>
  <c r="BP598" i="147"/>
  <c r="BP600" i="147"/>
  <c r="BP601" i="147"/>
  <c r="BP602" i="147"/>
  <c r="BP603" i="147"/>
  <c r="BP604" i="147"/>
  <c r="BP605" i="147"/>
  <c r="BP606" i="147"/>
  <c r="BP607" i="147"/>
  <c r="BP608" i="147"/>
  <c r="BP609" i="147"/>
  <c r="BP610" i="147"/>
  <c r="BP611" i="147"/>
  <c r="BP612" i="147"/>
  <c r="BP613" i="147"/>
  <c r="BP614" i="147"/>
  <c r="BP615" i="147"/>
  <c r="BP616" i="147"/>
  <c r="BP617" i="147"/>
  <c r="BP618" i="147"/>
  <c r="BP619" i="147"/>
  <c r="BP620" i="147"/>
  <c r="BP621" i="147"/>
  <c r="BP622" i="147"/>
  <c r="BP623" i="147"/>
  <c r="BP624" i="147"/>
  <c r="BP625" i="147"/>
  <c r="BP626" i="147"/>
  <c r="BP627" i="147"/>
  <c r="BP628" i="147"/>
  <c r="BP629" i="147"/>
  <c r="BP631" i="147"/>
  <c r="BP633" i="147"/>
  <c r="BP634" i="147"/>
  <c r="BP635" i="147"/>
  <c r="BP636" i="147"/>
  <c r="BP637" i="147"/>
  <c r="BP638" i="147"/>
  <c r="BP639" i="147"/>
  <c r="BP640" i="147"/>
  <c r="BP641" i="147"/>
  <c r="BP642" i="147"/>
  <c r="BP643" i="147"/>
  <c r="BR375" i="147"/>
  <c r="BR376" i="147"/>
  <c r="BR377" i="147"/>
  <c r="BR378" i="147"/>
  <c r="BR386" i="147"/>
  <c r="BR387" i="147"/>
  <c r="BR388" i="147"/>
  <c r="BR389" i="147"/>
  <c r="BR390" i="147"/>
  <c r="BR391" i="147"/>
  <c r="BR392" i="147"/>
  <c r="BR393" i="147"/>
  <c r="BR394" i="147"/>
  <c r="BR395" i="147"/>
  <c r="BR396" i="147"/>
  <c r="BR397" i="147"/>
  <c r="BR398" i="147"/>
  <c r="BR399" i="147"/>
  <c r="BR400" i="147"/>
  <c r="BR401" i="147"/>
  <c r="BR402" i="147"/>
  <c r="BR403" i="147"/>
  <c r="BR404" i="147"/>
  <c r="BR405" i="147"/>
  <c r="BR407" i="147"/>
  <c r="BR411" i="147"/>
  <c r="BR413" i="147"/>
  <c r="BR414" i="147"/>
  <c r="BR415" i="147"/>
  <c r="BR416" i="147"/>
  <c r="BR417" i="147"/>
  <c r="BR418" i="147"/>
  <c r="BR419" i="147"/>
  <c r="BR420" i="147"/>
  <c r="BR421" i="147"/>
  <c r="BR422" i="147"/>
  <c r="BR423" i="147"/>
  <c r="BR424" i="147"/>
  <c r="BR425" i="147"/>
  <c r="BR426" i="147"/>
  <c r="BR427" i="147"/>
  <c r="BR428" i="147"/>
  <c r="BR429" i="147"/>
  <c r="BR430" i="147"/>
  <c r="BR431" i="147"/>
  <c r="BR432" i="147"/>
  <c r="BR433" i="147"/>
  <c r="BR434" i="147"/>
  <c r="BR435" i="147"/>
  <c r="BR436" i="147"/>
  <c r="BR437" i="147"/>
  <c r="BR438" i="147"/>
  <c r="BR439" i="147"/>
  <c r="BR440" i="147"/>
  <c r="BR441" i="147"/>
  <c r="BR442" i="147"/>
  <c r="BR443" i="147"/>
  <c r="BR444" i="147"/>
  <c r="BR445" i="147"/>
  <c r="BR379" i="147"/>
  <c r="BR380" i="147"/>
  <c r="BR381" i="147"/>
  <c r="BR382" i="147"/>
  <c r="BR383" i="147"/>
  <c r="BR384" i="147"/>
  <c r="BR385" i="147"/>
  <c r="BR446" i="147"/>
  <c r="BR447" i="147"/>
  <c r="BR448" i="147"/>
  <c r="BR449" i="147"/>
  <c r="BR450" i="147"/>
  <c r="BR451" i="147"/>
  <c r="BR452" i="147"/>
  <c r="BR453" i="147"/>
  <c r="BR454" i="147"/>
  <c r="BR455" i="147"/>
  <c r="BR456" i="147"/>
  <c r="BR457" i="147"/>
  <c r="BR458" i="147"/>
  <c r="BR459" i="147"/>
  <c r="BR460" i="147"/>
  <c r="BR461" i="147"/>
  <c r="BR462" i="147"/>
  <c r="BR463" i="147"/>
  <c r="BR464" i="147"/>
  <c r="BR465" i="147"/>
  <c r="BR466" i="147"/>
  <c r="BR467" i="147"/>
  <c r="BR468" i="147"/>
  <c r="BR469" i="147"/>
  <c r="BR470" i="147"/>
  <c r="BR471" i="147"/>
  <c r="BR472" i="147"/>
  <c r="BR473" i="147"/>
  <c r="BR474" i="147"/>
  <c r="BR475" i="147"/>
  <c r="BR476" i="147"/>
  <c r="BR477" i="147"/>
  <c r="BR478" i="147"/>
  <c r="BR479" i="147"/>
  <c r="BR480" i="147"/>
  <c r="BR481" i="147"/>
  <c r="BR482" i="147"/>
  <c r="BR483" i="147"/>
  <c r="BR484" i="147"/>
  <c r="BR485" i="147"/>
  <c r="BR486" i="147"/>
  <c r="BR487" i="147"/>
  <c r="BR488" i="147"/>
  <c r="BR489" i="147"/>
  <c r="BR490" i="147"/>
  <c r="BR491" i="147"/>
  <c r="BR492" i="147"/>
  <c r="BR493" i="147"/>
  <c r="BR497" i="147"/>
  <c r="BR498" i="147"/>
  <c r="BR499" i="147"/>
  <c r="BR500" i="147"/>
  <c r="BR501" i="147"/>
  <c r="BR502" i="147"/>
  <c r="BR503" i="147"/>
  <c r="BR504" i="147"/>
  <c r="BR505" i="147"/>
  <c r="BR506" i="147"/>
  <c r="BR507" i="147"/>
  <c r="BR508" i="147"/>
  <c r="BR509" i="147"/>
  <c r="BR510" i="147"/>
  <c r="BR511" i="147"/>
  <c r="BR512" i="147"/>
  <c r="BR513" i="147"/>
  <c r="BR514" i="147"/>
  <c r="BR515" i="147"/>
  <c r="BR516" i="147"/>
  <c r="BR517" i="147"/>
  <c r="BR518" i="147"/>
  <c r="BR519" i="147"/>
  <c r="BR520" i="147"/>
  <c r="BR521" i="147"/>
  <c r="BR522" i="147"/>
  <c r="BR523" i="147"/>
  <c r="BR524" i="147"/>
  <c r="BR525" i="147"/>
  <c r="BR526" i="147"/>
  <c r="BR527" i="147"/>
  <c r="BR528" i="147"/>
  <c r="BR529" i="147"/>
  <c r="BR530" i="147"/>
  <c r="BR531" i="147"/>
  <c r="BR532" i="147"/>
  <c r="BR533" i="147"/>
  <c r="BR534" i="147"/>
  <c r="BR535" i="147"/>
  <c r="BR536" i="147"/>
  <c r="BR537" i="147"/>
  <c r="BR538" i="147"/>
  <c r="BR539" i="147"/>
  <c r="BR540" i="147"/>
  <c r="BR541" i="147"/>
  <c r="BR542" i="147"/>
  <c r="BR543" i="147"/>
  <c r="BR544" i="147"/>
  <c r="BR545" i="147"/>
  <c r="BR546" i="147"/>
  <c r="BR547" i="147"/>
  <c r="BR548" i="147"/>
  <c r="BR549" i="147"/>
  <c r="BR550" i="147"/>
  <c r="BR551" i="147"/>
  <c r="BR552" i="147"/>
  <c r="BR553" i="147"/>
  <c r="BR554" i="147"/>
  <c r="BR555" i="147"/>
  <c r="BR556" i="147"/>
  <c r="BR557" i="147"/>
  <c r="BR558" i="147"/>
  <c r="BR559" i="147"/>
  <c r="BR560" i="147"/>
  <c r="BR561" i="147"/>
  <c r="BR562" i="147"/>
  <c r="BR563" i="147"/>
  <c r="BR564" i="147"/>
  <c r="BR565" i="147"/>
  <c r="BR566" i="147"/>
  <c r="BR568" i="147"/>
  <c r="BR494" i="147"/>
  <c r="BR495" i="147"/>
  <c r="BR496" i="147"/>
  <c r="BR569" i="147"/>
  <c r="BR570" i="147"/>
  <c r="BR571" i="147"/>
  <c r="BR572" i="147"/>
  <c r="BR573" i="147"/>
  <c r="BR574" i="147"/>
  <c r="BR575" i="147"/>
  <c r="BR576" i="147"/>
  <c r="BR577" i="147"/>
  <c r="BR578" i="147"/>
  <c r="BR579" i="147"/>
  <c r="BR580" i="147"/>
  <c r="BR581" i="147"/>
  <c r="BR582" i="147"/>
  <c r="BR583" i="147"/>
  <c r="BR584" i="147"/>
  <c r="BR585" i="147"/>
  <c r="BR586" i="147"/>
  <c r="BR587" i="147"/>
  <c r="BR588" i="147"/>
  <c r="BR589" i="147"/>
  <c r="BR590" i="147"/>
  <c r="BR591" i="147"/>
  <c r="BR592" i="147"/>
  <c r="BR593" i="147"/>
  <c r="BR594" i="147"/>
  <c r="BR595" i="147"/>
  <c r="BR596" i="147"/>
  <c r="BR597" i="147"/>
  <c r="BR598" i="147"/>
  <c r="BR600" i="147"/>
  <c r="BR601" i="147"/>
  <c r="BR602" i="147"/>
  <c r="BR603" i="147"/>
  <c r="BR604" i="147"/>
  <c r="BR605" i="147"/>
  <c r="BR606" i="147"/>
  <c r="BR607" i="147"/>
  <c r="BR608" i="147"/>
  <c r="BR609" i="147"/>
  <c r="BR610" i="147"/>
  <c r="BR611" i="147"/>
  <c r="BR612" i="147"/>
  <c r="BR613" i="147"/>
  <c r="BR614" i="147"/>
  <c r="BR615" i="147"/>
  <c r="BR616" i="147"/>
  <c r="BR617" i="147"/>
  <c r="BR618" i="147"/>
  <c r="BR619" i="147"/>
  <c r="BR620" i="147"/>
  <c r="BR621" i="147"/>
  <c r="BR622" i="147"/>
  <c r="BR623" i="147"/>
  <c r="BR624" i="147"/>
  <c r="BR625" i="147"/>
  <c r="BR629" i="147"/>
  <c r="BR631" i="147"/>
  <c r="BR632" i="147"/>
  <c r="BR633" i="147"/>
  <c r="BR634" i="147"/>
  <c r="BR635" i="147"/>
  <c r="BR636" i="147"/>
  <c r="BR637" i="147"/>
  <c r="BR638" i="147"/>
  <c r="BR639" i="147"/>
  <c r="BR640" i="147"/>
  <c r="BR641" i="147"/>
  <c r="BR643" i="147"/>
  <c r="BR628" i="147"/>
  <c r="BR626" i="147"/>
  <c r="BT375" i="147"/>
  <c r="BT376" i="147"/>
  <c r="BT377" i="147"/>
  <c r="BT378" i="147"/>
  <c r="BT379" i="147"/>
  <c r="BT380" i="147"/>
  <c r="BT381" i="147"/>
  <c r="BT382" i="147"/>
  <c r="BT383" i="147"/>
  <c r="BT384" i="147"/>
  <c r="BT385" i="147"/>
  <c r="BT400" i="147"/>
  <c r="BT401" i="147"/>
  <c r="BT402" i="147"/>
  <c r="BT403" i="147"/>
  <c r="BT404" i="147"/>
  <c r="BT405" i="147"/>
  <c r="BT406" i="147"/>
  <c r="BT407" i="147"/>
  <c r="BT408" i="147"/>
  <c r="BT409" i="147"/>
  <c r="BT410" i="147"/>
  <c r="BT411" i="147"/>
  <c r="BT412" i="147"/>
  <c r="BT413" i="147"/>
  <c r="BT414" i="147"/>
  <c r="BT415" i="147"/>
  <c r="BT416" i="147"/>
  <c r="BT417" i="147"/>
  <c r="BT418" i="147"/>
  <c r="BT419" i="147"/>
  <c r="BT420" i="147"/>
  <c r="BT421" i="147"/>
  <c r="BT422" i="147"/>
  <c r="BT423" i="147"/>
  <c r="BT424" i="147"/>
  <c r="BT425" i="147"/>
  <c r="BT426" i="147"/>
  <c r="BT427" i="147"/>
  <c r="BT428" i="147"/>
  <c r="BT429" i="147"/>
  <c r="BT430" i="147"/>
  <c r="BT431" i="147"/>
  <c r="BT432" i="147"/>
  <c r="BT433" i="147"/>
  <c r="BT434" i="147"/>
  <c r="BT435" i="147"/>
  <c r="BT436" i="147"/>
  <c r="BT437" i="147"/>
  <c r="BT438" i="147"/>
  <c r="BT439" i="147"/>
  <c r="BT440" i="147"/>
  <c r="BT441" i="147"/>
  <c r="BT442" i="147"/>
  <c r="BT443" i="147"/>
  <c r="BT444" i="147"/>
  <c r="BT445" i="147"/>
  <c r="BT386" i="147"/>
  <c r="BT387" i="147"/>
  <c r="BT388" i="147"/>
  <c r="BT389" i="147"/>
  <c r="BT390" i="147"/>
  <c r="BT391" i="147"/>
  <c r="BT392" i="147"/>
  <c r="BT393" i="147"/>
  <c r="BT394" i="147"/>
  <c r="BT395" i="147"/>
  <c r="BT396" i="147"/>
  <c r="BT397" i="147"/>
  <c r="BT398" i="147"/>
  <c r="BT399" i="147"/>
  <c r="BT446" i="147"/>
  <c r="BT447" i="147"/>
  <c r="BT448" i="147"/>
  <c r="BT449" i="147"/>
  <c r="BT450" i="147"/>
  <c r="BT451" i="147"/>
  <c r="BT452" i="147"/>
  <c r="BT453" i="147"/>
  <c r="BT454" i="147"/>
  <c r="BT455" i="147"/>
  <c r="BT456" i="147"/>
  <c r="BT457" i="147"/>
  <c r="BT458" i="147"/>
  <c r="BT459" i="147"/>
  <c r="BT460" i="147"/>
  <c r="BT461" i="147"/>
  <c r="BT462" i="147"/>
  <c r="BT463" i="147"/>
  <c r="BT464" i="147"/>
  <c r="BT465" i="147"/>
  <c r="BT466" i="147"/>
  <c r="BT467" i="147"/>
  <c r="BT469" i="147"/>
  <c r="BT470" i="147"/>
  <c r="BT471" i="147"/>
  <c r="BT472" i="147"/>
  <c r="BT473" i="147"/>
  <c r="BT474" i="147"/>
  <c r="BT475" i="147"/>
  <c r="BT476" i="147"/>
  <c r="BT477" i="147"/>
  <c r="BT478" i="147"/>
  <c r="BT479" i="147"/>
  <c r="BT480" i="147"/>
  <c r="BT481" i="147"/>
  <c r="BT482" i="147"/>
  <c r="BT483" i="147"/>
  <c r="BT484" i="147"/>
  <c r="BT485" i="147"/>
  <c r="BT488" i="147"/>
  <c r="BT489" i="147"/>
  <c r="BT490" i="147"/>
  <c r="BT491" i="147"/>
  <c r="BT492" i="147"/>
  <c r="BT493" i="147"/>
  <c r="BT495" i="147"/>
  <c r="BT496" i="147"/>
  <c r="BT497" i="147"/>
  <c r="BT498" i="147"/>
  <c r="BT499" i="147"/>
  <c r="BT500" i="147"/>
  <c r="BT501" i="147"/>
  <c r="BT502" i="147"/>
  <c r="BT503" i="147"/>
  <c r="BT504" i="147"/>
  <c r="BT505" i="147"/>
  <c r="BT509" i="147"/>
  <c r="BT510" i="147"/>
  <c r="BT511" i="147"/>
  <c r="BT512" i="147"/>
  <c r="BT513" i="147"/>
  <c r="BT514" i="147"/>
  <c r="BT515" i="147"/>
  <c r="BT516" i="147"/>
  <c r="BT517" i="147"/>
  <c r="BT518" i="147"/>
  <c r="BT519" i="147"/>
  <c r="BT520" i="147"/>
  <c r="BT521" i="147"/>
  <c r="BT522" i="147"/>
  <c r="BT523" i="147"/>
  <c r="BT524" i="147"/>
  <c r="BT525" i="147"/>
  <c r="BT526" i="147"/>
  <c r="BT527" i="147"/>
  <c r="BT528" i="147"/>
  <c r="BT529" i="147"/>
  <c r="BT530" i="147"/>
  <c r="BT531" i="147"/>
  <c r="BT532" i="147"/>
  <c r="BT533" i="147"/>
  <c r="BT534" i="147"/>
  <c r="BT535" i="147"/>
  <c r="BT536" i="147"/>
  <c r="BT537" i="147"/>
  <c r="BT538" i="147"/>
  <c r="BT539" i="147"/>
  <c r="BT540" i="147"/>
  <c r="BT541" i="147"/>
  <c r="BT542" i="147"/>
  <c r="BT543" i="147"/>
  <c r="BT544" i="147"/>
  <c r="BT545" i="147"/>
  <c r="BT546" i="147"/>
  <c r="BT547" i="147"/>
  <c r="BT548" i="147"/>
  <c r="BT549" i="147"/>
  <c r="BT550" i="147"/>
  <c r="BT551" i="147"/>
  <c r="BT552" i="147"/>
  <c r="BT553" i="147"/>
  <c r="BT554" i="147"/>
  <c r="BT555" i="147"/>
  <c r="BT556" i="147"/>
  <c r="BT557" i="147"/>
  <c r="BT558" i="147"/>
  <c r="BT559" i="147"/>
  <c r="BT560" i="147"/>
  <c r="BT561" i="147"/>
  <c r="BT562" i="147"/>
  <c r="BT563" i="147"/>
  <c r="BT564" i="147"/>
  <c r="BT565" i="147"/>
  <c r="BT566" i="147"/>
  <c r="BT568" i="147"/>
  <c r="BT569" i="147"/>
  <c r="BT570" i="147"/>
  <c r="BT571" i="147"/>
  <c r="BT572" i="147"/>
  <c r="BT573" i="147"/>
  <c r="BT574" i="147"/>
  <c r="BT575" i="147"/>
  <c r="BT576" i="147"/>
  <c r="BT577" i="147"/>
  <c r="BT578" i="147"/>
  <c r="BT579" i="147"/>
  <c r="BT580" i="147"/>
  <c r="BT581" i="147"/>
  <c r="BT582" i="147"/>
  <c r="BT583" i="147"/>
  <c r="BT584" i="147"/>
  <c r="BT585" i="147"/>
  <c r="BT586" i="147"/>
  <c r="BT587" i="147"/>
  <c r="BT588" i="147"/>
  <c r="BT589" i="147"/>
  <c r="BT590" i="147"/>
  <c r="BT591" i="147"/>
  <c r="BT592" i="147"/>
  <c r="BT593" i="147"/>
  <c r="BT594" i="147"/>
  <c r="BT596" i="147"/>
  <c r="BT597" i="147"/>
  <c r="BT598" i="147"/>
  <c r="BT600" i="147"/>
  <c r="BT601" i="147"/>
  <c r="BT602" i="147"/>
  <c r="BT603" i="147"/>
  <c r="BT604" i="147"/>
  <c r="BT605" i="147"/>
  <c r="BT606" i="147"/>
  <c r="BT607" i="147"/>
  <c r="BT608" i="147"/>
  <c r="BT609" i="147"/>
  <c r="BT610" i="147"/>
  <c r="BT611" i="147"/>
  <c r="BT612" i="147"/>
  <c r="BT613" i="147"/>
  <c r="BT614" i="147"/>
  <c r="BT615" i="147"/>
  <c r="BT616" i="147"/>
  <c r="BT617" i="147"/>
  <c r="BT618" i="147"/>
  <c r="BT619" i="147"/>
  <c r="BT620" i="147"/>
  <c r="BT621" i="147"/>
  <c r="BT622" i="147"/>
  <c r="BT623" i="147"/>
  <c r="BT624" i="147"/>
  <c r="BT625" i="147"/>
  <c r="BT626" i="147"/>
  <c r="BT627" i="147"/>
  <c r="BT628" i="147"/>
  <c r="BT629" i="147"/>
  <c r="BT631" i="147"/>
  <c r="BT632" i="147"/>
  <c r="BT633" i="147"/>
  <c r="BT634" i="147"/>
  <c r="BT635" i="147"/>
  <c r="BT636" i="147"/>
  <c r="BT637" i="147"/>
  <c r="BT638" i="147"/>
  <c r="BT639" i="147"/>
  <c r="BT640" i="147"/>
  <c r="BT641" i="147"/>
  <c r="BT642" i="147"/>
  <c r="BT643" i="147"/>
  <c r="BV375" i="147"/>
  <c r="BV376" i="147"/>
  <c r="BV377" i="147"/>
  <c r="BV378" i="147"/>
  <c r="BV379" i="147"/>
  <c r="BV380" i="147"/>
  <c r="BV381" i="147"/>
  <c r="BV382" i="147"/>
  <c r="BV383" i="147"/>
  <c r="BV384" i="147"/>
  <c r="BV385" i="147"/>
  <c r="BV386" i="147"/>
  <c r="BV387" i="147"/>
  <c r="BV388" i="147"/>
  <c r="BV389" i="147"/>
  <c r="BV390" i="147"/>
  <c r="BV391" i="147"/>
  <c r="BV392" i="147"/>
  <c r="BV393" i="147"/>
  <c r="BV394" i="147"/>
  <c r="BV395" i="147"/>
  <c r="BV396" i="147"/>
  <c r="BV397" i="147"/>
  <c r="BV398" i="147"/>
  <c r="BV399" i="147"/>
  <c r="BV400" i="147"/>
  <c r="BV401" i="147"/>
  <c r="BV402" i="147"/>
  <c r="BV403" i="147"/>
  <c r="BV404" i="147"/>
  <c r="BV405" i="147"/>
  <c r="BV406" i="147"/>
  <c r="BV407" i="147"/>
  <c r="BV408" i="147"/>
  <c r="BV409" i="147"/>
  <c r="BV410" i="147"/>
  <c r="BV411" i="147"/>
  <c r="BV412" i="147"/>
  <c r="BV413" i="147"/>
  <c r="BV414" i="147"/>
  <c r="BV415" i="147"/>
  <c r="BV416" i="147"/>
  <c r="BV417" i="147"/>
  <c r="BV418" i="147"/>
  <c r="BV419" i="147"/>
  <c r="BV420" i="147"/>
  <c r="BV421" i="147"/>
  <c r="BV422" i="147"/>
  <c r="BV423" i="147"/>
  <c r="BV424" i="147"/>
  <c r="BV425" i="147"/>
  <c r="BV426" i="147"/>
  <c r="BV427" i="147"/>
  <c r="BV428" i="147"/>
  <c r="BV429" i="147"/>
  <c r="BV430" i="147"/>
  <c r="BV431" i="147"/>
  <c r="BV432" i="147"/>
  <c r="BV433" i="147"/>
  <c r="BV434" i="147"/>
  <c r="BV435" i="147"/>
  <c r="BV437" i="147"/>
  <c r="BV438" i="147"/>
  <c r="BV439" i="147"/>
  <c r="BV440" i="147"/>
  <c r="BV442" i="147"/>
  <c r="BV443" i="147"/>
  <c r="BV444" i="147"/>
  <c r="BV445" i="147"/>
  <c r="BV446" i="147"/>
  <c r="BV447" i="147"/>
  <c r="BV448" i="147"/>
  <c r="BV449" i="147"/>
  <c r="BV450" i="147"/>
  <c r="BV451" i="147"/>
  <c r="BV452" i="147"/>
  <c r="BV453" i="147"/>
  <c r="BV454" i="147"/>
  <c r="BV455" i="147"/>
  <c r="BV456" i="147"/>
  <c r="BV457" i="147"/>
  <c r="BV458" i="147"/>
  <c r="BV459" i="147"/>
  <c r="BV460" i="147"/>
  <c r="BV462" i="147"/>
  <c r="BV463" i="147"/>
  <c r="BV464" i="147"/>
  <c r="BV465" i="147"/>
  <c r="BV466" i="147"/>
  <c r="BV467" i="147"/>
  <c r="BV468" i="147"/>
  <c r="BV470" i="147"/>
  <c r="BV471" i="147"/>
  <c r="BV472" i="147"/>
  <c r="BV473" i="147"/>
  <c r="BV474" i="147"/>
  <c r="BV475" i="147"/>
  <c r="BV476" i="147"/>
  <c r="BV477" i="147"/>
  <c r="BV478" i="147"/>
  <c r="BV479" i="147"/>
  <c r="BV480" i="147"/>
  <c r="BV481" i="147"/>
  <c r="BV482" i="147"/>
  <c r="BV483" i="147"/>
  <c r="BV484" i="147"/>
  <c r="BV485" i="147"/>
  <c r="BV486" i="147"/>
  <c r="BV487" i="147"/>
  <c r="BV488" i="147"/>
  <c r="BV489" i="147"/>
  <c r="BV492" i="147"/>
  <c r="BV493" i="147"/>
  <c r="BV497" i="147"/>
  <c r="BV499" i="147"/>
  <c r="BV500" i="147"/>
  <c r="BV501" i="147"/>
  <c r="BV502" i="147"/>
  <c r="BV504" i="147"/>
  <c r="BV505" i="147"/>
  <c r="BV506" i="147"/>
  <c r="BV507" i="147"/>
  <c r="BV508" i="147"/>
  <c r="BV509" i="147"/>
  <c r="BV510" i="147"/>
  <c r="BV511" i="147"/>
  <c r="BV512" i="147"/>
  <c r="BV513" i="147"/>
  <c r="BV514" i="147"/>
  <c r="BV515" i="147"/>
  <c r="BV516" i="147"/>
  <c r="BV517" i="147"/>
  <c r="BV518" i="147"/>
  <c r="BV519" i="147"/>
  <c r="BV520" i="147"/>
  <c r="BV521" i="147"/>
  <c r="BV522" i="147"/>
  <c r="BV523" i="147"/>
  <c r="BV524" i="147"/>
  <c r="BV525" i="147"/>
  <c r="BV526" i="147"/>
  <c r="BV527" i="147"/>
  <c r="BV528" i="147"/>
  <c r="BV529" i="147"/>
  <c r="BV530" i="147"/>
  <c r="BV531" i="147"/>
  <c r="BV532" i="147"/>
  <c r="BV533" i="147"/>
  <c r="BV534" i="147"/>
  <c r="BV535" i="147"/>
  <c r="BV536" i="147"/>
  <c r="BV537" i="147"/>
  <c r="BV538" i="147"/>
  <c r="BV539" i="147"/>
  <c r="BV540" i="147"/>
  <c r="BV541" i="147"/>
  <c r="BV542" i="147"/>
  <c r="BV543" i="147"/>
  <c r="BV544" i="147"/>
  <c r="BV545" i="147"/>
  <c r="BV546" i="147"/>
  <c r="BV547" i="147"/>
  <c r="BV548" i="147"/>
  <c r="BV549" i="147"/>
  <c r="BV550" i="147"/>
  <c r="BV551" i="147"/>
  <c r="BV552" i="147"/>
  <c r="BV553" i="147"/>
  <c r="BV554" i="147"/>
  <c r="BV555" i="147"/>
  <c r="BV556" i="147"/>
  <c r="BV557" i="147"/>
  <c r="BV558" i="147"/>
  <c r="BV559" i="147"/>
  <c r="BV560" i="147"/>
  <c r="BV561" i="147"/>
  <c r="BV562" i="147"/>
  <c r="BV563" i="147"/>
  <c r="BV564" i="147"/>
  <c r="BV565" i="147"/>
  <c r="BV566" i="147"/>
  <c r="BV568" i="147"/>
  <c r="BV494" i="147"/>
  <c r="BV495" i="147"/>
  <c r="BV496" i="147"/>
  <c r="BV569" i="147"/>
  <c r="BV570" i="147"/>
  <c r="BV571" i="147"/>
  <c r="BV572" i="147"/>
  <c r="BV573" i="147"/>
  <c r="BV574" i="147"/>
  <c r="BV575" i="147"/>
  <c r="BV576" i="147"/>
  <c r="BV577" i="147"/>
  <c r="BV578" i="147"/>
  <c r="BV579" i="147"/>
  <c r="BV580" i="147"/>
  <c r="BV581" i="147"/>
  <c r="BV582" i="147"/>
  <c r="BV583" i="147"/>
  <c r="BV584" i="147"/>
  <c r="BV585" i="147"/>
  <c r="BV586" i="147"/>
  <c r="BV587" i="147"/>
  <c r="BV588" i="147"/>
  <c r="BV589" i="147"/>
  <c r="BV590" i="147"/>
  <c r="BV591" i="147"/>
  <c r="BV592" i="147"/>
  <c r="BV593" i="147"/>
  <c r="BV594" i="147"/>
  <c r="BV595" i="147"/>
  <c r="BV596" i="147"/>
  <c r="BV597" i="147"/>
  <c r="BV598" i="147"/>
  <c r="BV600" i="147"/>
  <c r="BV601" i="147"/>
  <c r="BV602" i="147"/>
  <c r="BV603" i="147"/>
  <c r="BV604" i="147"/>
  <c r="BV605" i="147"/>
  <c r="BV606" i="147"/>
  <c r="BV607" i="147"/>
  <c r="BV608" i="147"/>
  <c r="BV609" i="147"/>
  <c r="BV610" i="147"/>
  <c r="BV611" i="147"/>
  <c r="BV612" i="147"/>
  <c r="BV613" i="147"/>
  <c r="BV614" i="147"/>
  <c r="BV615" i="147"/>
  <c r="BV616" i="147"/>
  <c r="BV617" i="147"/>
  <c r="BV618" i="147"/>
  <c r="BV619" i="147"/>
  <c r="BV620" i="147"/>
  <c r="BV621" i="147"/>
  <c r="BV622" i="147"/>
  <c r="BV623" i="147"/>
  <c r="BV624" i="147"/>
  <c r="BV625" i="147"/>
  <c r="BV626" i="147"/>
  <c r="BV627" i="147"/>
  <c r="BV628" i="147"/>
  <c r="BV629" i="147"/>
  <c r="BV631" i="147"/>
  <c r="BV632" i="147"/>
  <c r="BV633" i="147"/>
  <c r="BV634" i="147"/>
  <c r="BV635" i="147"/>
  <c r="BV636" i="147"/>
  <c r="BV637" i="147"/>
  <c r="BV638" i="147"/>
  <c r="BV639" i="147"/>
  <c r="BV640" i="147"/>
  <c r="BV641" i="147"/>
  <c r="BV642" i="147"/>
  <c r="BV643" i="147"/>
  <c r="BX375" i="147"/>
  <c r="BX376" i="147"/>
  <c r="BX377" i="147"/>
  <c r="BX378" i="147"/>
  <c r="BX379" i="147"/>
  <c r="BX380" i="147"/>
  <c r="BX381" i="147"/>
  <c r="BX382" i="147"/>
  <c r="BX383" i="147"/>
  <c r="BX384" i="147"/>
  <c r="BX385" i="147"/>
  <c r="BX400" i="147"/>
  <c r="BX401" i="147"/>
  <c r="BX402" i="147"/>
  <c r="BX403" i="147"/>
  <c r="BX404" i="147"/>
  <c r="BX405" i="147"/>
  <c r="BX406" i="147"/>
  <c r="BX407" i="147"/>
  <c r="BX408" i="147"/>
  <c r="BX409" i="147"/>
  <c r="BX410" i="147"/>
  <c r="BX411" i="147"/>
  <c r="BX412" i="147"/>
  <c r="BX413" i="147"/>
  <c r="BX414" i="147"/>
  <c r="BX415" i="147"/>
  <c r="BX416" i="147"/>
  <c r="BX417" i="147"/>
  <c r="BX418" i="147"/>
  <c r="BX419" i="147"/>
  <c r="BX420" i="147"/>
  <c r="BX421" i="147"/>
  <c r="BX422" i="147"/>
  <c r="BX423" i="147"/>
  <c r="BX424" i="147"/>
  <c r="BX425" i="147"/>
  <c r="BX426" i="147"/>
  <c r="BX427" i="147"/>
  <c r="BX428" i="147"/>
  <c r="BX386" i="147"/>
  <c r="BX387" i="147"/>
  <c r="BX388" i="147"/>
  <c r="BX389" i="147"/>
  <c r="BX390" i="147"/>
  <c r="BX391" i="147"/>
  <c r="BX392" i="147"/>
  <c r="BX393" i="147"/>
  <c r="BX394" i="147"/>
  <c r="BX395" i="147"/>
  <c r="BX396" i="147"/>
  <c r="BX397" i="147"/>
  <c r="BX398" i="147"/>
  <c r="BX399" i="147"/>
  <c r="BX429" i="147"/>
  <c r="BX430" i="147"/>
  <c r="BX431" i="147"/>
  <c r="BX432" i="147"/>
  <c r="BX433" i="147"/>
  <c r="BX434" i="147"/>
  <c r="BX435" i="147"/>
  <c r="BX436" i="147"/>
  <c r="BX437" i="147"/>
  <c r="BX438" i="147"/>
  <c r="BX439" i="147"/>
  <c r="BX440" i="147"/>
  <c r="BX441" i="147"/>
  <c r="BX442" i="147"/>
  <c r="BX443" i="147"/>
  <c r="BX444" i="147"/>
  <c r="BX445" i="147"/>
  <c r="BX446" i="147"/>
  <c r="BX447" i="147"/>
  <c r="BX448" i="147"/>
  <c r="BX449" i="147"/>
  <c r="BX450" i="147"/>
  <c r="BX451" i="147"/>
  <c r="BX452" i="147"/>
  <c r="BX453" i="147"/>
  <c r="BX454" i="147"/>
  <c r="BX455" i="147"/>
  <c r="BX456" i="147"/>
  <c r="BX457" i="147"/>
  <c r="BX458" i="147"/>
  <c r="BX459" i="147"/>
  <c r="BX460" i="147"/>
  <c r="BX461" i="147"/>
  <c r="BX462" i="147"/>
  <c r="BX464" i="147"/>
  <c r="BX465" i="147"/>
  <c r="BX466" i="147"/>
  <c r="BX467" i="147"/>
  <c r="BX468" i="147"/>
  <c r="BX469" i="147"/>
  <c r="BX470" i="147"/>
  <c r="BX471" i="147"/>
  <c r="BX472" i="147"/>
  <c r="BX473" i="147"/>
  <c r="BX474" i="147"/>
  <c r="BX475" i="147"/>
  <c r="BX476" i="147"/>
  <c r="BX477" i="147"/>
  <c r="BX478" i="147"/>
  <c r="BX479" i="147"/>
  <c r="BX480" i="147"/>
  <c r="BX481" i="147"/>
  <c r="BX482" i="147"/>
  <c r="BX483" i="147"/>
  <c r="BX484" i="147"/>
  <c r="BX485" i="147"/>
  <c r="BX486" i="147"/>
  <c r="BX487" i="147"/>
  <c r="BX488" i="147"/>
  <c r="BX489" i="147"/>
  <c r="BX490" i="147"/>
  <c r="BX491" i="147"/>
  <c r="BX492" i="147"/>
  <c r="BX493" i="147"/>
  <c r="BX494" i="147"/>
  <c r="BX495" i="147"/>
  <c r="BX496" i="147"/>
  <c r="BX497" i="147"/>
  <c r="BX498" i="147"/>
  <c r="BX499" i="147"/>
  <c r="BX500" i="147"/>
  <c r="BX501" i="147"/>
  <c r="BX502" i="147"/>
  <c r="BX503" i="147"/>
  <c r="BX504" i="147"/>
  <c r="BX506" i="147"/>
  <c r="BX507" i="147"/>
  <c r="BX508" i="147"/>
  <c r="BX509" i="147"/>
  <c r="BX510" i="147"/>
  <c r="BX511" i="147"/>
  <c r="BX512" i="147"/>
  <c r="BX513" i="147"/>
  <c r="BX514" i="147"/>
  <c r="BX515" i="147"/>
  <c r="BX516" i="147"/>
  <c r="BX517" i="147"/>
  <c r="BX518" i="147"/>
  <c r="BX519" i="147"/>
  <c r="BX520" i="147"/>
  <c r="BX521" i="147"/>
  <c r="BX522" i="147"/>
  <c r="BX523" i="147"/>
  <c r="BX524" i="147"/>
  <c r="BX525" i="147"/>
  <c r="BX526" i="147"/>
  <c r="BX527" i="147"/>
  <c r="BX528" i="147"/>
  <c r="BX529" i="147"/>
  <c r="BX530" i="147"/>
  <c r="BX531" i="147"/>
  <c r="BX532" i="147"/>
  <c r="BX533" i="147"/>
  <c r="BX534" i="147"/>
  <c r="BX535" i="147"/>
  <c r="BX536" i="147"/>
  <c r="BX537" i="147"/>
  <c r="BX538" i="147"/>
  <c r="BX539" i="147"/>
  <c r="BX540" i="147"/>
  <c r="BX541" i="147"/>
  <c r="BX542" i="147"/>
  <c r="BX543" i="147"/>
  <c r="BX544" i="147"/>
  <c r="BX545" i="147"/>
  <c r="BX546" i="147"/>
  <c r="BX547" i="147"/>
  <c r="BX548" i="147"/>
  <c r="BX549" i="147"/>
  <c r="BX550" i="147"/>
  <c r="BX551" i="147"/>
  <c r="BX552" i="147"/>
  <c r="BX553" i="147"/>
  <c r="BX554" i="147"/>
  <c r="BX555" i="147"/>
  <c r="BX556" i="147"/>
  <c r="BX557" i="147"/>
  <c r="BX558" i="147"/>
  <c r="BX559" i="147"/>
  <c r="BX560" i="147"/>
  <c r="BX561" i="147"/>
  <c r="BX562" i="147"/>
  <c r="BX563" i="147"/>
  <c r="BX564" i="147"/>
  <c r="BX565" i="147"/>
  <c r="BX566" i="147"/>
  <c r="BX568" i="147"/>
  <c r="BX569" i="147"/>
  <c r="BX570" i="147"/>
  <c r="BX571" i="147"/>
  <c r="BX572" i="147"/>
  <c r="BX573" i="147"/>
  <c r="BX574" i="147"/>
  <c r="BX575" i="147"/>
  <c r="BX576" i="147"/>
  <c r="BX577" i="147"/>
  <c r="BX578" i="147"/>
  <c r="BX579" i="147"/>
  <c r="BX580" i="147"/>
  <c r="BX581" i="147"/>
  <c r="BX582" i="147"/>
  <c r="BX583" i="147"/>
  <c r="BX584" i="147"/>
  <c r="BX585" i="147"/>
  <c r="BX586" i="147"/>
  <c r="BX587" i="147"/>
  <c r="BX588" i="147"/>
  <c r="BX589" i="147"/>
  <c r="BX590" i="147"/>
  <c r="BX591" i="147"/>
  <c r="BX592" i="147"/>
  <c r="BX593" i="147"/>
  <c r="BX594" i="147"/>
  <c r="BX595" i="147"/>
  <c r="BX596" i="147"/>
  <c r="BX597" i="147"/>
  <c r="BX598" i="147"/>
  <c r="BX600" i="147"/>
  <c r="BX601" i="147"/>
  <c r="BX602" i="147"/>
  <c r="BX603" i="147"/>
  <c r="BX604" i="147"/>
  <c r="BX605" i="147"/>
  <c r="BX606" i="147"/>
  <c r="BX607" i="147"/>
  <c r="BX608" i="147"/>
  <c r="BX609" i="147"/>
  <c r="BX610" i="147"/>
  <c r="BX611" i="147"/>
  <c r="BX612" i="147"/>
  <c r="BX613" i="147"/>
  <c r="BX614" i="147"/>
  <c r="BX615" i="147"/>
  <c r="BX616" i="147"/>
  <c r="BX617" i="147"/>
  <c r="BX618" i="147"/>
  <c r="BX619" i="147"/>
  <c r="BX620" i="147"/>
  <c r="BX621" i="147"/>
  <c r="BX622" i="147"/>
  <c r="BX623" i="147"/>
  <c r="BX624" i="147"/>
  <c r="BX625" i="147"/>
  <c r="BX626" i="147"/>
  <c r="BX627" i="147"/>
  <c r="BX628" i="147"/>
  <c r="BX629" i="147"/>
  <c r="BX631" i="147"/>
  <c r="BX632" i="147"/>
  <c r="BX633" i="147"/>
  <c r="BX634" i="147"/>
  <c r="BX635" i="147"/>
  <c r="BX636" i="147"/>
  <c r="BX637" i="147"/>
  <c r="BX638" i="147"/>
  <c r="BX639" i="147"/>
  <c r="BX640" i="147"/>
  <c r="BX641" i="147"/>
  <c r="BX642" i="147"/>
  <c r="BX643" i="147"/>
  <c r="BZ375" i="147"/>
  <c r="BZ376" i="147"/>
  <c r="BZ377" i="147"/>
  <c r="BZ378" i="147"/>
  <c r="BZ386" i="147"/>
  <c r="BZ387" i="147"/>
  <c r="BZ388" i="147"/>
  <c r="BZ389" i="147"/>
  <c r="BZ390" i="147"/>
  <c r="BZ391" i="147"/>
  <c r="BZ392" i="147"/>
  <c r="BZ393" i="147"/>
  <c r="BZ394" i="147"/>
  <c r="BZ395" i="147"/>
  <c r="BZ396" i="147"/>
  <c r="BZ397" i="147"/>
  <c r="BZ398" i="147"/>
  <c r="BZ399" i="147"/>
  <c r="BZ400" i="147"/>
  <c r="BZ401" i="147"/>
  <c r="BZ402" i="147"/>
  <c r="BZ403" i="147"/>
  <c r="BZ404" i="147"/>
  <c r="BZ405" i="147"/>
  <c r="BZ406" i="147"/>
  <c r="BZ407" i="147"/>
  <c r="BZ408" i="147"/>
  <c r="BZ409" i="147"/>
  <c r="BZ410" i="147"/>
  <c r="BZ411" i="147"/>
  <c r="BZ412" i="147"/>
  <c r="BZ413" i="147"/>
  <c r="BZ414" i="147"/>
  <c r="BZ415" i="147"/>
  <c r="BZ416" i="147"/>
  <c r="BZ417" i="147"/>
  <c r="BZ418" i="147"/>
  <c r="BZ419" i="147"/>
  <c r="BZ420" i="147"/>
  <c r="BZ421" i="147"/>
  <c r="BZ422" i="147"/>
  <c r="BZ423" i="147"/>
  <c r="BZ424" i="147"/>
  <c r="BZ425" i="147"/>
  <c r="BZ426" i="147"/>
  <c r="BZ427" i="147"/>
  <c r="BZ428" i="147"/>
  <c r="BZ379" i="147"/>
  <c r="BZ380" i="147"/>
  <c r="BZ381" i="147"/>
  <c r="BZ382" i="147"/>
  <c r="BZ383" i="147"/>
  <c r="BZ384" i="147"/>
  <c r="BZ385" i="147"/>
  <c r="BZ429" i="147"/>
  <c r="BZ430" i="147"/>
  <c r="BZ431" i="147"/>
  <c r="BZ432" i="147"/>
  <c r="BZ433" i="147"/>
  <c r="BZ434" i="147"/>
  <c r="BZ435" i="147"/>
  <c r="BZ436" i="147"/>
  <c r="BZ437" i="147"/>
  <c r="BZ438" i="147"/>
  <c r="BZ439" i="147"/>
  <c r="BZ440" i="147"/>
  <c r="BZ441" i="147"/>
  <c r="BZ442" i="147"/>
  <c r="BZ443" i="147"/>
  <c r="BZ444" i="147"/>
  <c r="BZ445" i="147"/>
  <c r="BZ446" i="147"/>
  <c r="BZ447" i="147"/>
  <c r="BZ448" i="147"/>
  <c r="BZ449" i="147"/>
  <c r="BZ450" i="147"/>
  <c r="BZ451" i="147"/>
  <c r="BZ452" i="147"/>
  <c r="BZ453" i="147"/>
  <c r="BZ454" i="147"/>
  <c r="BZ455" i="147"/>
  <c r="BZ456" i="147"/>
  <c r="BZ457" i="147"/>
  <c r="BZ458" i="147"/>
  <c r="BZ459" i="147"/>
  <c r="BZ460" i="147"/>
  <c r="BZ461" i="147"/>
  <c r="BZ462" i="147"/>
  <c r="BZ463" i="147"/>
  <c r="BZ464" i="147"/>
  <c r="BZ465" i="147"/>
  <c r="BZ466" i="147"/>
  <c r="BZ467" i="147"/>
  <c r="BZ468" i="147"/>
  <c r="BZ469" i="147"/>
  <c r="BZ471" i="147"/>
  <c r="BZ472" i="147"/>
  <c r="BZ473" i="147"/>
  <c r="BZ474" i="147"/>
  <c r="BZ475" i="147"/>
  <c r="BZ476" i="147"/>
  <c r="BZ477" i="147"/>
  <c r="BZ478" i="147"/>
  <c r="BZ479" i="147"/>
  <c r="BZ480" i="147"/>
  <c r="BZ481" i="147"/>
  <c r="BZ482" i="147"/>
  <c r="BZ483" i="147"/>
  <c r="BZ484" i="147"/>
  <c r="BZ485" i="147"/>
  <c r="BZ486" i="147"/>
  <c r="BZ487" i="147"/>
  <c r="BZ488" i="147"/>
  <c r="BZ489" i="147"/>
  <c r="BZ490" i="147"/>
  <c r="BZ491" i="147"/>
  <c r="BZ492" i="147"/>
  <c r="BZ493" i="147"/>
  <c r="BZ497" i="147"/>
  <c r="BZ498" i="147"/>
  <c r="BZ499" i="147"/>
  <c r="BZ500" i="147"/>
  <c r="BZ501" i="147"/>
  <c r="BZ502" i="147"/>
  <c r="BZ503" i="147"/>
  <c r="BZ504" i="147"/>
  <c r="BZ505" i="147"/>
  <c r="BZ506" i="147"/>
  <c r="BZ507" i="147"/>
  <c r="BZ508" i="147"/>
  <c r="BZ509" i="147"/>
  <c r="BZ510" i="147"/>
  <c r="BZ511" i="147"/>
  <c r="BZ512" i="147"/>
  <c r="BZ513" i="147"/>
  <c r="BZ514" i="147"/>
  <c r="BZ515" i="147"/>
  <c r="BZ516" i="147"/>
  <c r="BZ517" i="147"/>
  <c r="BZ518" i="147"/>
  <c r="BZ519" i="147"/>
  <c r="BZ520" i="147"/>
  <c r="BZ521" i="147"/>
  <c r="BZ522" i="147"/>
  <c r="BZ523" i="147"/>
  <c r="BZ524" i="147"/>
  <c r="BZ525" i="147"/>
  <c r="BZ526" i="147"/>
  <c r="BZ527" i="147"/>
  <c r="BZ528" i="147"/>
  <c r="BZ529" i="147"/>
  <c r="BZ530" i="147"/>
  <c r="BZ531" i="147"/>
  <c r="BZ532" i="147"/>
  <c r="BZ533" i="147"/>
  <c r="BZ534" i="147"/>
  <c r="BZ535" i="147"/>
  <c r="BZ536" i="147"/>
  <c r="BZ537" i="147"/>
  <c r="BZ538" i="147"/>
  <c r="BZ539" i="147"/>
  <c r="BZ540" i="147"/>
  <c r="BZ541" i="147"/>
  <c r="BZ542" i="147"/>
  <c r="BZ543" i="147"/>
  <c r="BZ544" i="147"/>
  <c r="BZ545" i="147"/>
  <c r="BZ546" i="147"/>
  <c r="BZ547" i="147"/>
  <c r="BZ548" i="147"/>
  <c r="BZ549" i="147"/>
  <c r="BZ550" i="147"/>
  <c r="BZ551" i="147"/>
  <c r="BZ552" i="147"/>
  <c r="BZ553" i="147"/>
  <c r="BZ554" i="147"/>
  <c r="BZ555" i="147"/>
  <c r="BZ556" i="147"/>
  <c r="BZ557" i="147"/>
  <c r="BZ558" i="147"/>
  <c r="BZ559" i="147"/>
  <c r="BZ560" i="147"/>
  <c r="BZ561" i="147"/>
  <c r="BZ562" i="147"/>
  <c r="BZ563" i="147"/>
  <c r="BZ564" i="147"/>
  <c r="BZ565" i="147"/>
  <c r="BZ566" i="147"/>
  <c r="BZ568" i="147"/>
  <c r="BZ494" i="147"/>
  <c r="BZ495" i="147"/>
  <c r="BZ496" i="147"/>
  <c r="BZ569" i="147"/>
  <c r="BZ570" i="147"/>
  <c r="BZ571" i="147"/>
  <c r="BZ572" i="147"/>
  <c r="BZ573" i="147"/>
  <c r="BZ574" i="147"/>
  <c r="BZ575" i="147"/>
  <c r="BZ576" i="147"/>
  <c r="BZ577" i="147"/>
  <c r="BZ578" i="147"/>
  <c r="BZ579" i="147"/>
  <c r="BZ580" i="147"/>
  <c r="BZ581" i="147"/>
  <c r="BZ582" i="147"/>
  <c r="BZ583" i="147"/>
  <c r="BZ584" i="147"/>
  <c r="BZ585" i="147"/>
  <c r="BZ586" i="147"/>
  <c r="BZ587" i="147"/>
  <c r="BZ588" i="147"/>
  <c r="BZ589" i="147"/>
  <c r="BZ590" i="147"/>
  <c r="BZ591" i="147"/>
  <c r="BZ592" i="147"/>
  <c r="BZ593" i="147"/>
  <c r="BZ594" i="147"/>
  <c r="BZ595" i="147"/>
  <c r="BZ596" i="147"/>
  <c r="BZ597" i="147"/>
  <c r="BZ598" i="147"/>
  <c r="BZ600" i="147"/>
  <c r="BZ601" i="147"/>
  <c r="BZ602" i="147"/>
  <c r="BZ603" i="147"/>
  <c r="BZ604" i="147"/>
  <c r="BZ605" i="147"/>
  <c r="BZ606" i="147"/>
  <c r="BZ607" i="147"/>
  <c r="BZ608" i="147"/>
  <c r="BZ609" i="147"/>
  <c r="BZ610" i="147"/>
  <c r="BZ611" i="147"/>
  <c r="BZ612" i="147"/>
  <c r="BZ613" i="147"/>
  <c r="BZ614" i="147"/>
  <c r="BZ615" i="147"/>
  <c r="BZ616" i="147"/>
  <c r="BZ617" i="147"/>
  <c r="BZ618" i="147"/>
  <c r="BZ619" i="147"/>
  <c r="BZ620" i="147"/>
  <c r="BZ621" i="147"/>
  <c r="BZ622" i="147"/>
  <c r="BZ623" i="147"/>
  <c r="BZ624" i="147"/>
  <c r="BZ625" i="147"/>
  <c r="BZ626" i="147"/>
  <c r="BZ627" i="147"/>
  <c r="BZ628" i="147"/>
  <c r="BZ629" i="147"/>
  <c r="BZ631" i="147"/>
  <c r="BZ632" i="147"/>
  <c r="BZ633" i="147"/>
  <c r="BZ634" i="147"/>
  <c r="BZ635" i="147"/>
  <c r="BZ636" i="147"/>
  <c r="BZ637" i="147"/>
  <c r="BZ638" i="147"/>
  <c r="BZ639" i="147"/>
  <c r="BZ640" i="147"/>
  <c r="BZ641" i="147"/>
  <c r="BZ642" i="147"/>
  <c r="BZ643" i="147"/>
  <c r="CB375" i="147"/>
  <c r="CB376" i="147"/>
  <c r="CB377" i="147"/>
  <c r="CB378" i="147"/>
  <c r="CB379" i="147"/>
  <c r="CB380" i="147"/>
  <c r="CB381" i="147"/>
  <c r="CB382" i="147"/>
  <c r="CB383" i="147"/>
  <c r="CB384" i="147"/>
  <c r="CB385" i="147"/>
  <c r="CB400" i="147"/>
  <c r="CB401" i="147"/>
  <c r="CB402" i="147"/>
  <c r="CB403" i="147"/>
  <c r="CB404" i="147"/>
  <c r="CB405" i="147"/>
  <c r="CB406" i="147"/>
  <c r="CB407" i="147"/>
  <c r="CB408" i="147"/>
  <c r="CB409" i="147"/>
  <c r="CB410" i="147"/>
  <c r="CB411" i="147"/>
  <c r="CB412" i="147"/>
  <c r="CB413" i="147"/>
  <c r="CB414" i="147"/>
  <c r="CB415" i="147"/>
  <c r="CB416" i="147"/>
  <c r="CB417" i="147"/>
  <c r="CB418" i="147"/>
  <c r="CB419" i="147"/>
  <c r="CB420" i="147"/>
  <c r="CB421" i="147"/>
  <c r="CB422" i="147"/>
  <c r="CB423" i="147"/>
  <c r="CB424" i="147"/>
  <c r="CB425" i="147"/>
  <c r="CB426" i="147"/>
  <c r="CB427" i="147"/>
  <c r="CB428" i="147"/>
  <c r="CB429" i="147"/>
  <c r="CB430" i="147"/>
  <c r="CB431" i="147"/>
  <c r="CB433" i="147"/>
  <c r="CB435" i="147"/>
  <c r="CB436" i="147"/>
  <c r="CB437" i="147"/>
  <c r="CB438" i="147"/>
  <c r="CB439" i="147"/>
  <c r="CB440" i="147"/>
  <c r="CB441" i="147"/>
  <c r="CB442" i="147"/>
  <c r="CB444" i="147"/>
  <c r="CB445" i="147"/>
  <c r="CB386" i="147"/>
  <c r="CB387" i="147"/>
  <c r="CB388" i="147"/>
  <c r="CB389" i="147"/>
  <c r="CB391" i="147"/>
  <c r="CB393" i="147"/>
  <c r="CB395" i="147"/>
  <c r="CB397" i="147"/>
  <c r="CB399" i="147"/>
  <c r="CB390" i="147"/>
  <c r="CB392" i="147"/>
  <c r="CB394" i="147"/>
  <c r="CB396" i="147"/>
  <c r="CB398" i="147"/>
  <c r="CB446" i="147"/>
  <c r="CB447" i="147"/>
  <c r="CB448" i="147"/>
  <c r="CB449" i="147"/>
  <c r="CB450" i="147"/>
  <c r="CB451" i="147"/>
  <c r="CB452" i="147"/>
  <c r="CB453" i="147"/>
  <c r="CB454" i="147"/>
  <c r="CB455" i="147"/>
  <c r="CB456" i="147"/>
  <c r="CB457" i="147"/>
  <c r="CB458" i="147"/>
  <c r="CB459" i="147"/>
  <c r="CB461" i="147"/>
  <c r="CB462" i="147"/>
  <c r="CB463" i="147"/>
  <c r="CB464" i="147"/>
  <c r="CB465" i="147"/>
  <c r="CB466" i="147"/>
  <c r="CB468" i="147"/>
  <c r="CB469" i="147"/>
  <c r="CB470" i="147"/>
  <c r="CB471" i="147"/>
  <c r="CB472" i="147"/>
  <c r="CB473" i="147"/>
  <c r="CB474" i="147"/>
  <c r="CB475" i="147"/>
  <c r="CB476" i="147"/>
  <c r="CB477" i="147"/>
  <c r="CB478" i="147"/>
  <c r="CB479" i="147"/>
  <c r="CB480" i="147"/>
  <c r="CB481" i="147"/>
  <c r="CB482" i="147"/>
  <c r="CB483" i="147"/>
  <c r="CB486" i="147"/>
  <c r="CB487" i="147"/>
  <c r="CB490" i="147"/>
  <c r="CB491" i="147"/>
  <c r="CB492" i="147"/>
  <c r="CB493" i="147"/>
  <c r="CB494" i="147"/>
  <c r="CB495" i="147"/>
  <c r="CB496" i="147"/>
  <c r="CB498" i="147"/>
  <c r="CB499" i="147"/>
  <c r="CB500" i="147"/>
  <c r="CB501" i="147"/>
  <c r="CB503" i="147"/>
  <c r="CB504" i="147"/>
  <c r="CB505" i="147"/>
  <c r="CB506" i="147"/>
  <c r="CB507" i="147"/>
  <c r="CB508" i="147"/>
  <c r="CB509" i="147"/>
  <c r="CB510" i="147"/>
  <c r="CB511" i="147"/>
  <c r="CB512" i="147"/>
  <c r="CB515" i="147"/>
  <c r="CB516" i="147"/>
  <c r="CB517" i="147"/>
  <c r="CB518" i="147"/>
  <c r="CB519" i="147"/>
  <c r="CB520" i="147"/>
  <c r="CB521" i="147"/>
  <c r="CB522" i="147"/>
  <c r="CB523" i="147"/>
  <c r="CB524" i="147"/>
  <c r="CB525" i="147"/>
  <c r="CB526" i="147"/>
  <c r="CB527" i="147"/>
  <c r="CB528" i="147"/>
  <c r="CB529" i="147"/>
  <c r="CB530" i="147"/>
  <c r="CB531" i="147"/>
  <c r="CB532" i="147"/>
  <c r="CB533" i="147"/>
  <c r="CB534" i="147"/>
  <c r="CB535" i="147"/>
  <c r="CB536" i="147"/>
  <c r="CB537" i="147"/>
  <c r="CB538" i="147"/>
  <c r="CB541" i="147"/>
  <c r="CB542" i="147"/>
  <c r="CB543" i="147"/>
  <c r="CB544" i="147"/>
  <c r="CB545" i="147"/>
  <c r="CB546" i="147"/>
  <c r="CB547" i="147"/>
  <c r="CB548" i="147"/>
  <c r="CB549" i="147"/>
  <c r="CB550" i="147"/>
  <c r="CB551" i="147"/>
  <c r="CB552" i="147"/>
  <c r="CB553" i="147"/>
  <c r="CB554" i="147"/>
  <c r="CB555" i="147"/>
  <c r="CB556" i="147"/>
  <c r="CB557" i="147"/>
  <c r="CB558" i="147"/>
  <c r="CB560" i="147"/>
  <c r="CB561" i="147"/>
  <c r="CB562" i="147"/>
  <c r="CB563" i="147"/>
  <c r="CB564" i="147"/>
  <c r="CB565" i="147"/>
  <c r="CB566" i="147"/>
  <c r="CB570" i="147"/>
  <c r="CB571" i="147"/>
  <c r="CB573" i="147"/>
  <c r="CB574" i="147"/>
  <c r="CB575" i="147"/>
  <c r="CB576" i="147"/>
  <c r="CB577" i="147"/>
  <c r="CB578" i="147"/>
  <c r="CB579" i="147"/>
  <c r="CB580" i="147"/>
  <c r="CB583" i="147"/>
  <c r="CB584" i="147"/>
  <c r="CB585" i="147"/>
  <c r="CB586" i="147"/>
  <c r="CB587" i="147"/>
  <c r="CB588" i="147"/>
  <c r="CB589" i="147"/>
  <c r="CB590" i="147"/>
  <c r="CB591" i="147"/>
  <c r="CB592" i="147"/>
  <c r="CB593" i="147"/>
  <c r="CB594" i="147"/>
  <c r="CB595" i="147"/>
  <c r="CB597" i="147"/>
  <c r="CB600" i="147"/>
  <c r="CB601" i="147"/>
  <c r="CB602" i="147"/>
  <c r="CB603" i="147"/>
  <c r="CB604" i="147"/>
  <c r="CB605" i="147"/>
  <c r="CB606" i="147"/>
  <c r="CB607" i="147"/>
  <c r="CB608" i="147"/>
  <c r="CB609" i="147"/>
  <c r="CB610" i="147"/>
  <c r="CB611" i="147"/>
  <c r="CB612" i="147"/>
  <c r="CB613" i="147"/>
  <c r="CB614" i="147"/>
  <c r="CB615" i="147"/>
  <c r="CB616" i="147"/>
  <c r="CB617" i="147"/>
  <c r="CB618" i="147"/>
  <c r="CB619" i="147"/>
  <c r="CB620" i="147"/>
  <c r="CB621" i="147"/>
  <c r="CB622" i="147"/>
  <c r="CB623" i="147"/>
  <c r="CB624" i="147"/>
  <c r="CB625" i="147"/>
  <c r="CB626" i="147"/>
  <c r="CB627" i="147"/>
  <c r="CB628" i="147"/>
  <c r="CB629" i="147"/>
  <c r="CB631" i="147"/>
  <c r="CB632" i="147"/>
  <c r="CB633" i="147"/>
  <c r="CB634" i="147"/>
  <c r="CB635" i="147"/>
  <c r="CB636" i="147"/>
  <c r="CB637" i="147"/>
  <c r="CB638" i="147"/>
  <c r="CB639" i="147"/>
  <c r="CB640" i="147"/>
  <c r="CB641" i="147"/>
  <c r="CB642" i="147"/>
  <c r="CB643" i="147"/>
  <c r="CB569" i="147"/>
  <c r="CD375" i="147"/>
  <c r="CD376" i="147"/>
  <c r="CD377" i="147"/>
  <c r="CD378" i="147"/>
  <c r="CD379" i="147"/>
  <c r="CD380" i="147"/>
  <c r="CD381" i="147"/>
  <c r="CD382" i="147"/>
  <c r="CD383" i="147"/>
  <c r="CD384" i="147"/>
  <c r="CD385" i="147"/>
  <c r="CD386" i="147"/>
  <c r="CD387" i="147"/>
  <c r="CD388" i="147"/>
  <c r="CD389" i="147"/>
  <c r="CD390" i="147"/>
  <c r="CD391" i="147"/>
  <c r="CD392" i="147"/>
  <c r="CD393" i="147"/>
  <c r="CD394" i="147"/>
  <c r="CD395" i="147"/>
  <c r="CD396" i="147"/>
  <c r="CD397" i="147"/>
  <c r="CD398" i="147"/>
  <c r="CD399" i="147"/>
  <c r="CD400" i="147"/>
  <c r="CD401" i="147"/>
  <c r="CD402" i="147"/>
  <c r="CD403" i="147"/>
  <c r="CD404" i="147"/>
  <c r="CD405" i="147"/>
  <c r="CD406" i="147"/>
  <c r="CD407" i="147"/>
  <c r="CD408" i="147"/>
  <c r="CD409" i="147"/>
  <c r="CD410" i="147"/>
  <c r="CD411" i="147"/>
  <c r="CD412" i="147"/>
  <c r="CD413" i="147"/>
  <c r="CD414" i="147"/>
  <c r="CD415" i="147"/>
  <c r="CD416" i="147"/>
  <c r="CD417" i="147"/>
  <c r="CD418" i="147"/>
  <c r="CD419" i="147"/>
  <c r="CD420" i="147"/>
  <c r="CD421" i="147"/>
  <c r="CD422" i="147"/>
  <c r="CD423" i="147"/>
  <c r="CD424" i="147"/>
  <c r="CD425" i="147"/>
  <c r="CD426" i="147"/>
  <c r="CD427" i="147"/>
  <c r="CD428" i="147"/>
  <c r="CD429" i="147"/>
  <c r="CD430" i="147"/>
  <c r="CD431" i="147"/>
  <c r="CD432" i="147"/>
  <c r="CD433" i="147"/>
  <c r="CD434" i="147"/>
  <c r="CD435" i="147"/>
  <c r="CD436" i="147"/>
  <c r="CD437" i="147"/>
  <c r="CD438" i="147"/>
  <c r="CD439" i="147"/>
  <c r="CD440" i="147"/>
  <c r="CD441" i="147"/>
  <c r="CD442" i="147"/>
  <c r="CD443" i="147"/>
  <c r="CD444" i="147"/>
  <c r="CD445" i="147"/>
  <c r="CD446" i="147"/>
  <c r="CD447" i="147"/>
  <c r="CD448" i="147"/>
  <c r="CD449" i="147"/>
  <c r="CD450" i="147"/>
  <c r="CD451" i="147"/>
  <c r="CD452" i="147"/>
  <c r="CD453" i="147"/>
  <c r="CD454" i="147"/>
  <c r="CD455" i="147"/>
  <c r="CD456" i="147"/>
  <c r="CD457" i="147"/>
  <c r="CD458" i="147"/>
  <c r="CD459" i="147"/>
  <c r="CD460" i="147"/>
  <c r="CD461" i="147"/>
  <c r="CD462" i="147"/>
  <c r="CD463" i="147"/>
  <c r="CD464" i="147"/>
  <c r="CD465" i="147"/>
  <c r="CD466" i="147"/>
  <c r="CD467" i="147"/>
  <c r="CD468" i="147"/>
  <c r="CD469" i="147"/>
  <c r="CD470" i="147"/>
  <c r="CD471" i="147"/>
  <c r="CD472" i="147"/>
  <c r="CD473" i="147"/>
  <c r="CD474" i="147"/>
  <c r="CD475" i="147"/>
  <c r="CD476" i="147"/>
  <c r="CD477" i="147"/>
  <c r="CD478" i="147"/>
  <c r="CD479" i="147"/>
  <c r="CD480" i="147"/>
  <c r="CD481" i="147"/>
  <c r="CD482" i="147"/>
  <c r="CD483" i="147"/>
  <c r="CD484" i="147"/>
  <c r="CD485" i="147"/>
  <c r="CD486" i="147"/>
  <c r="CD487" i="147"/>
  <c r="CD488" i="147"/>
  <c r="CD489" i="147"/>
  <c r="CD490" i="147"/>
  <c r="CD491" i="147"/>
  <c r="CD492" i="147"/>
  <c r="CD493" i="147"/>
  <c r="CD497" i="147"/>
  <c r="CD498" i="147"/>
  <c r="CD499" i="147"/>
  <c r="CD500" i="147"/>
  <c r="CD501" i="147"/>
  <c r="CD502" i="147"/>
  <c r="CD503" i="147"/>
  <c r="CD504" i="147"/>
  <c r="CD505" i="147"/>
  <c r="CD506" i="147"/>
  <c r="CD507" i="147"/>
  <c r="CD508" i="147"/>
  <c r="CD509" i="147"/>
  <c r="CD510" i="147"/>
  <c r="CD511" i="147"/>
  <c r="CD512" i="147"/>
  <c r="CD513" i="147"/>
  <c r="CD514" i="147"/>
  <c r="CD515" i="147"/>
  <c r="CD516" i="147"/>
  <c r="CD517" i="147"/>
  <c r="CD518" i="147"/>
  <c r="CD519" i="147"/>
  <c r="CD520" i="147"/>
  <c r="CD521" i="147"/>
  <c r="CD522" i="147"/>
  <c r="CD523" i="147"/>
  <c r="CD524" i="147"/>
  <c r="CD525" i="147"/>
  <c r="CD526" i="147"/>
  <c r="CD527" i="147"/>
  <c r="CD528" i="147"/>
  <c r="CD529" i="147"/>
  <c r="CD530" i="147"/>
  <c r="CD531" i="147"/>
  <c r="CD532" i="147"/>
  <c r="CD533" i="147"/>
  <c r="CD534" i="147"/>
  <c r="CD535" i="147"/>
  <c r="CD536" i="147"/>
  <c r="CD537" i="147"/>
  <c r="CD538" i="147"/>
  <c r="CD539" i="147"/>
  <c r="CD540" i="147"/>
  <c r="CD541" i="147"/>
  <c r="CD542" i="147"/>
  <c r="CD543" i="147"/>
  <c r="CD544" i="147"/>
  <c r="CD545" i="147"/>
  <c r="CD546" i="147"/>
  <c r="CD547" i="147"/>
  <c r="CD548" i="147"/>
  <c r="CD549" i="147"/>
  <c r="CD550" i="147"/>
  <c r="CD551" i="147"/>
  <c r="CD552" i="147"/>
  <c r="CD553" i="147"/>
  <c r="CD554" i="147"/>
  <c r="CD555" i="147"/>
  <c r="CD556" i="147"/>
  <c r="CD557" i="147"/>
  <c r="CD558" i="147"/>
  <c r="CD559" i="147"/>
  <c r="CD560" i="147"/>
  <c r="CD561" i="147"/>
  <c r="CD562" i="147"/>
  <c r="CD563" i="147"/>
  <c r="CD564" i="147"/>
  <c r="CD565" i="147"/>
  <c r="CD566" i="147"/>
  <c r="CD568" i="147"/>
  <c r="CD494" i="147"/>
  <c r="CD495" i="147"/>
  <c r="CD569" i="147"/>
  <c r="CD570" i="147"/>
  <c r="CD571" i="147"/>
  <c r="CD572" i="147"/>
  <c r="CD573" i="147"/>
  <c r="CD574" i="147"/>
  <c r="CD575" i="147"/>
  <c r="CD576" i="147"/>
  <c r="CD577" i="147"/>
  <c r="CD578" i="147"/>
  <c r="CD579" i="147"/>
  <c r="CD580" i="147"/>
  <c r="CD581" i="147"/>
  <c r="CD582" i="147"/>
  <c r="CD583" i="147"/>
  <c r="CD584" i="147"/>
  <c r="CD585" i="147"/>
  <c r="CD586" i="147"/>
  <c r="CD587" i="147"/>
  <c r="CD588" i="147"/>
  <c r="CD589" i="147"/>
  <c r="CD590" i="147"/>
  <c r="CD591" i="147"/>
  <c r="CD592" i="147"/>
  <c r="CD593" i="147"/>
  <c r="CD594" i="147"/>
  <c r="CD595" i="147"/>
  <c r="CD596" i="147"/>
  <c r="CD597" i="147"/>
  <c r="CD598" i="147"/>
  <c r="CD600" i="147"/>
  <c r="CD601" i="147"/>
  <c r="CD602" i="147"/>
  <c r="CD603" i="147"/>
  <c r="CD604" i="147"/>
  <c r="CD605" i="147"/>
  <c r="CD606" i="147"/>
  <c r="CD607" i="147"/>
  <c r="CD608" i="147"/>
  <c r="CD609" i="147"/>
  <c r="CD610" i="147"/>
  <c r="CD611" i="147"/>
  <c r="CD612" i="147"/>
  <c r="CD613" i="147"/>
  <c r="CD614" i="147"/>
  <c r="CD615" i="147"/>
  <c r="CD616" i="147"/>
  <c r="CD617" i="147"/>
  <c r="CD618" i="147"/>
  <c r="CD619" i="147"/>
  <c r="CD620" i="147"/>
  <c r="CD621" i="147"/>
  <c r="CD622" i="147"/>
  <c r="CD623" i="147"/>
  <c r="CD624" i="147"/>
  <c r="CD625" i="147"/>
  <c r="CD626" i="147"/>
  <c r="CD627" i="147"/>
  <c r="CD628" i="147"/>
  <c r="CD629" i="147"/>
  <c r="CD631" i="147"/>
  <c r="CD632" i="147"/>
  <c r="CD633" i="147"/>
  <c r="CD634" i="147"/>
  <c r="CD635" i="147"/>
  <c r="CD636" i="147"/>
  <c r="CD637" i="147"/>
  <c r="CD638" i="147"/>
  <c r="CD639" i="147"/>
  <c r="CD640" i="147"/>
  <c r="CD641" i="147"/>
  <c r="CD642" i="147"/>
  <c r="CD643" i="147"/>
  <c r="CF375" i="147"/>
  <c r="CF376" i="147"/>
  <c r="CF377" i="147"/>
  <c r="CF378" i="147"/>
  <c r="CF379" i="147"/>
  <c r="CF380" i="147"/>
  <c r="CF383" i="147"/>
  <c r="CF384" i="147"/>
  <c r="CF385" i="147"/>
  <c r="CF410" i="147"/>
  <c r="CF411" i="147"/>
  <c r="CF416" i="147"/>
  <c r="CF417" i="147"/>
  <c r="CF418" i="147"/>
  <c r="CF419" i="147"/>
  <c r="CF420" i="147"/>
  <c r="CF426" i="147"/>
  <c r="CF386" i="147"/>
  <c r="CF387" i="147"/>
  <c r="CF452" i="147"/>
  <c r="CF454" i="147"/>
  <c r="CF456" i="147"/>
  <c r="CF459" i="147"/>
  <c r="CF466" i="147"/>
  <c r="CF467" i="147"/>
  <c r="CF468" i="147"/>
  <c r="CF469" i="147"/>
  <c r="CF470" i="147"/>
  <c r="CF471" i="147"/>
  <c r="CF472" i="147"/>
  <c r="CF473" i="147"/>
  <c r="CF474" i="147"/>
  <c r="CF476" i="147"/>
  <c r="CF486" i="147"/>
  <c r="CF487" i="147"/>
  <c r="CF488" i="147"/>
  <c r="CF489" i="147"/>
  <c r="CF490" i="147"/>
  <c r="CF491" i="147"/>
  <c r="CF492" i="147"/>
  <c r="CF493" i="147"/>
  <c r="CF494" i="147"/>
  <c r="CF495" i="147"/>
  <c r="CF496" i="147"/>
  <c r="CF497" i="147"/>
  <c r="CF498" i="147"/>
  <c r="CF499" i="147"/>
  <c r="CF500" i="147"/>
  <c r="CF501" i="147"/>
  <c r="CF502" i="147"/>
  <c r="CF503" i="147"/>
  <c r="CF504" i="147"/>
  <c r="CF505" i="147"/>
  <c r="CF506" i="147"/>
  <c r="CF516" i="147"/>
  <c r="CF517" i="147"/>
  <c r="CF518" i="147"/>
  <c r="CF519" i="147"/>
  <c r="CF521" i="147"/>
  <c r="CF522" i="147"/>
  <c r="CF523" i="147"/>
  <c r="CF526" i="147"/>
  <c r="CF527" i="147"/>
  <c r="CF528" i="147"/>
  <c r="CF531" i="147"/>
  <c r="CF537" i="147"/>
  <c r="CF538" i="147"/>
  <c r="CF541" i="147"/>
  <c r="CF542" i="147"/>
  <c r="CF550" i="147"/>
  <c r="CF565" i="147"/>
  <c r="CF573" i="147"/>
  <c r="CF574" i="147"/>
  <c r="CF575" i="147"/>
  <c r="CF590" i="147"/>
  <c r="CF591" i="147"/>
  <c r="CF592" i="147"/>
  <c r="CF593" i="147"/>
  <c r="CF594" i="147"/>
  <c r="CF595" i="147"/>
  <c r="CF596" i="147"/>
  <c r="CF597" i="147"/>
  <c r="CF598" i="147"/>
  <c r="CF600" i="147"/>
  <c r="CF601" i="147"/>
  <c r="CF602" i="147"/>
  <c r="CF603" i="147"/>
  <c r="CF605" i="147"/>
  <c r="CF606" i="147"/>
  <c r="CF607" i="147"/>
  <c r="CF608" i="147"/>
  <c r="CF609" i="147"/>
  <c r="CF610" i="147"/>
  <c r="CF611" i="147"/>
  <c r="CF612" i="147"/>
  <c r="CF613" i="147"/>
  <c r="CF614" i="147"/>
  <c r="CF615" i="147"/>
  <c r="CF616" i="147"/>
  <c r="CF617" i="147"/>
  <c r="CF618" i="147"/>
  <c r="CF619" i="147"/>
  <c r="CF620" i="147"/>
  <c r="CF621" i="147"/>
  <c r="CF622" i="147"/>
  <c r="CF623" i="147"/>
  <c r="CF624" i="147"/>
  <c r="CF625" i="147"/>
  <c r="CF626" i="147"/>
  <c r="CF627" i="147"/>
  <c r="CF628" i="147"/>
  <c r="CF629" i="147"/>
  <c r="CF631" i="147"/>
  <c r="CF632" i="147"/>
  <c r="CF633" i="147"/>
  <c r="CF634" i="147"/>
  <c r="CF635" i="147"/>
  <c r="CF636" i="147"/>
  <c r="CF637" i="147"/>
  <c r="CF638" i="147"/>
  <c r="CF639" i="147"/>
  <c r="CF640" i="147"/>
  <c r="CF641" i="147"/>
  <c r="CF642" i="147"/>
  <c r="CF643" i="147"/>
  <c r="CF571" i="147"/>
  <c r="CF529" i="147"/>
  <c r="CF515" i="147"/>
  <c r="CF413" i="147"/>
  <c r="CF525" i="147"/>
  <c r="CF524" i="147"/>
  <c r="CF569" i="147"/>
  <c r="CF580" i="147"/>
  <c r="CF563" i="147"/>
  <c r="CF589" i="147"/>
  <c r="CH375" i="147"/>
  <c r="CH376" i="147"/>
  <c r="CH377" i="147"/>
  <c r="CH378" i="147"/>
  <c r="CH386" i="147"/>
  <c r="CH387" i="147"/>
  <c r="CH388" i="147"/>
  <c r="CH389" i="147"/>
  <c r="CH390" i="147"/>
  <c r="CH391" i="147"/>
  <c r="CH392" i="147"/>
  <c r="CH393" i="147"/>
  <c r="CH394" i="147"/>
  <c r="CH395" i="147"/>
  <c r="CH396" i="147"/>
  <c r="CH397" i="147"/>
  <c r="CH398" i="147"/>
  <c r="CH399" i="147"/>
  <c r="CH400" i="147"/>
  <c r="CH401" i="147"/>
  <c r="CH402" i="147"/>
  <c r="CH403" i="147"/>
  <c r="CH404" i="147"/>
  <c r="CH405" i="147"/>
  <c r="CH406" i="147"/>
  <c r="CH407" i="147"/>
  <c r="CH408" i="147"/>
  <c r="CH409" i="147"/>
  <c r="CH410" i="147"/>
  <c r="CH411" i="147"/>
  <c r="CH412" i="147"/>
  <c r="CH413" i="147"/>
  <c r="CH414" i="147"/>
  <c r="CH415" i="147"/>
  <c r="CH416" i="147"/>
  <c r="CH417" i="147"/>
  <c r="CH418" i="147"/>
  <c r="CH419" i="147"/>
  <c r="CH420" i="147"/>
  <c r="CH421" i="147"/>
  <c r="CH422" i="147"/>
  <c r="CH423" i="147"/>
  <c r="CH424" i="147"/>
  <c r="CH425" i="147"/>
  <c r="CH426" i="147"/>
  <c r="CH427" i="147"/>
  <c r="CH428" i="147"/>
  <c r="CH429" i="147"/>
  <c r="CH430" i="147"/>
  <c r="CH431" i="147"/>
  <c r="CH432" i="147"/>
  <c r="CH433" i="147"/>
  <c r="CH434" i="147"/>
  <c r="CH435" i="147"/>
  <c r="CH436" i="147"/>
  <c r="CH437" i="147"/>
  <c r="CH438" i="147"/>
  <c r="CH439" i="147"/>
  <c r="CH440" i="147"/>
  <c r="CH441" i="147"/>
  <c r="CH442" i="147"/>
  <c r="CH443" i="147"/>
  <c r="CH444" i="147"/>
  <c r="CH445" i="147"/>
  <c r="CH379" i="147"/>
  <c r="CH380" i="147"/>
  <c r="CH381" i="147"/>
  <c r="CH382" i="147"/>
  <c r="CH383" i="147"/>
  <c r="CH384" i="147"/>
  <c r="CH385" i="147"/>
  <c r="CH446" i="147"/>
  <c r="CH447" i="147"/>
  <c r="CH448" i="147"/>
  <c r="CH449" i="147"/>
  <c r="CH451" i="147"/>
  <c r="CH452" i="147"/>
  <c r="CH453" i="147"/>
  <c r="CH454" i="147"/>
  <c r="CH455" i="147"/>
  <c r="CH456" i="147"/>
  <c r="CH457" i="147"/>
  <c r="CH458" i="147"/>
  <c r="CH459" i="147"/>
  <c r="CH460" i="147"/>
  <c r="CH461" i="147"/>
  <c r="CH462" i="147"/>
  <c r="CH463" i="147"/>
  <c r="CH464" i="147"/>
  <c r="CH465" i="147"/>
  <c r="CH466" i="147"/>
  <c r="CH467" i="147"/>
  <c r="CH468" i="147"/>
  <c r="CH469" i="147"/>
  <c r="CH470" i="147"/>
  <c r="CH471" i="147"/>
  <c r="CH472" i="147"/>
  <c r="CH473" i="147"/>
  <c r="CH474" i="147"/>
  <c r="CH475" i="147"/>
  <c r="CH476" i="147"/>
  <c r="CH477" i="147"/>
  <c r="CH478" i="147"/>
  <c r="CH479" i="147"/>
  <c r="CH480" i="147"/>
  <c r="CH481" i="147"/>
  <c r="CH482" i="147"/>
  <c r="CH483" i="147"/>
  <c r="CH484" i="147"/>
  <c r="CH485" i="147"/>
  <c r="CH486" i="147"/>
  <c r="CH487" i="147"/>
  <c r="CH488" i="147"/>
  <c r="CH489" i="147"/>
  <c r="CH490" i="147"/>
  <c r="CH491" i="147"/>
  <c r="CH492" i="147"/>
  <c r="CH493" i="147"/>
  <c r="CH497" i="147"/>
  <c r="CH498" i="147"/>
  <c r="CH499" i="147"/>
  <c r="CH500" i="147"/>
  <c r="CH501" i="147"/>
  <c r="CH502" i="147"/>
  <c r="CH503" i="147"/>
  <c r="CH504" i="147"/>
  <c r="CH505" i="147"/>
  <c r="CH506" i="147"/>
  <c r="CH507" i="147"/>
  <c r="CH508" i="147"/>
  <c r="CH509" i="147"/>
  <c r="CH510" i="147"/>
  <c r="CH511" i="147"/>
  <c r="CH512" i="147"/>
  <c r="CH513" i="147"/>
  <c r="CH514" i="147"/>
  <c r="CH515" i="147"/>
  <c r="CH516" i="147"/>
  <c r="CH517" i="147"/>
  <c r="CH518" i="147"/>
  <c r="CH519" i="147"/>
  <c r="CH520" i="147"/>
  <c r="CH521" i="147"/>
  <c r="CH522" i="147"/>
  <c r="CH523" i="147"/>
  <c r="CH524" i="147"/>
  <c r="CH525" i="147"/>
  <c r="CH526" i="147"/>
  <c r="CH527" i="147"/>
  <c r="CH528" i="147"/>
  <c r="CH529" i="147"/>
  <c r="CH530" i="147"/>
  <c r="CH531" i="147"/>
  <c r="CH532" i="147"/>
  <c r="CH533" i="147"/>
  <c r="CH534" i="147"/>
  <c r="CH535" i="147"/>
  <c r="CH536" i="147"/>
  <c r="CH537" i="147"/>
  <c r="CH538" i="147"/>
  <c r="CH539" i="147"/>
  <c r="CH540" i="147"/>
  <c r="CH541" i="147"/>
  <c r="CH542" i="147"/>
  <c r="CH543" i="147"/>
  <c r="CH544" i="147"/>
  <c r="CH545" i="147"/>
  <c r="CH546" i="147"/>
  <c r="CH547" i="147"/>
  <c r="CH548" i="147"/>
  <c r="CH549" i="147"/>
  <c r="CH550" i="147"/>
  <c r="CH551" i="147"/>
  <c r="CH552" i="147"/>
  <c r="CH553" i="147"/>
  <c r="CH554" i="147"/>
  <c r="CH555" i="147"/>
  <c r="CH556" i="147"/>
  <c r="CH557" i="147"/>
  <c r="CH558" i="147"/>
  <c r="CH559" i="147"/>
  <c r="CH560" i="147"/>
  <c r="CH561" i="147"/>
  <c r="CH562" i="147"/>
  <c r="CH563" i="147"/>
  <c r="CH564" i="147"/>
  <c r="CH565" i="147"/>
  <c r="CH566" i="147"/>
  <c r="CH568" i="147"/>
  <c r="CH494" i="147"/>
  <c r="CH495" i="147"/>
  <c r="CH496" i="147"/>
  <c r="CH569" i="147"/>
  <c r="CH570" i="147"/>
  <c r="CH571" i="147"/>
  <c r="CH572" i="147"/>
  <c r="CH573" i="147"/>
  <c r="CH574" i="147"/>
  <c r="CH575" i="147"/>
  <c r="CH576" i="147"/>
  <c r="CH577" i="147"/>
  <c r="CH578" i="147"/>
  <c r="CH579" i="147"/>
  <c r="CH580" i="147"/>
  <c r="CH581" i="147"/>
  <c r="CH582" i="147"/>
  <c r="CH583" i="147"/>
  <c r="CH584" i="147"/>
  <c r="CH585" i="147"/>
  <c r="CH586" i="147"/>
  <c r="CH587" i="147"/>
  <c r="CH588" i="147"/>
  <c r="CH589" i="147"/>
  <c r="CH590" i="147"/>
  <c r="CH591" i="147"/>
  <c r="CH592" i="147"/>
  <c r="CH593" i="147"/>
  <c r="CH594" i="147"/>
  <c r="CH595" i="147"/>
  <c r="CH596" i="147"/>
  <c r="CH597" i="147"/>
  <c r="CH598" i="147"/>
  <c r="CH600" i="147"/>
  <c r="CH601" i="147"/>
  <c r="CH602" i="147"/>
  <c r="CH603" i="147"/>
  <c r="CH604" i="147"/>
  <c r="CH605" i="147"/>
  <c r="CH606" i="147"/>
  <c r="CH607" i="147"/>
  <c r="CH608" i="147"/>
  <c r="CH609" i="147"/>
  <c r="CH610" i="147"/>
  <c r="CH611" i="147"/>
  <c r="CH612" i="147"/>
  <c r="CH613" i="147"/>
  <c r="CH614" i="147"/>
  <c r="CH615" i="147"/>
  <c r="CH616" i="147"/>
  <c r="CH617" i="147"/>
  <c r="CH618" i="147"/>
  <c r="CH619" i="147"/>
  <c r="CH620" i="147"/>
  <c r="CH621" i="147"/>
  <c r="CH622" i="147"/>
  <c r="CH623" i="147"/>
  <c r="CH624" i="147"/>
  <c r="CH625" i="147"/>
  <c r="CH626" i="147"/>
  <c r="CH627" i="147"/>
  <c r="CH628" i="147"/>
  <c r="CH629" i="147"/>
  <c r="CH631" i="147"/>
  <c r="CH632" i="147"/>
  <c r="CH633" i="147"/>
  <c r="CH634" i="147"/>
  <c r="CH635" i="147"/>
  <c r="CH636" i="147"/>
  <c r="CH637" i="147"/>
  <c r="CH638" i="147"/>
  <c r="CH639" i="147"/>
  <c r="CH640" i="147"/>
  <c r="CH641" i="147"/>
  <c r="CH642" i="147"/>
  <c r="CH643" i="147"/>
  <c r="CJ375" i="147"/>
  <c r="CJ376" i="147"/>
  <c r="CJ377" i="147"/>
  <c r="CJ378" i="147"/>
  <c r="CJ379" i="147"/>
  <c r="CJ380" i="147"/>
  <c r="CJ381" i="147"/>
  <c r="CJ382" i="147"/>
  <c r="CJ383" i="147"/>
  <c r="CJ384" i="147"/>
  <c r="CJ385" i="147"/>
  <c r="CJ400" i="147"/>
  <c r="CJ401" i="147"/>
  <c r="CJ402" i="147"/>
  <c r="CJ403" i="147"/>
  <c r="CJ404" i="147"/>
  <c r="CJ405" i="147"/>
  <c r="CJ406" i="147"/>
  <c r="CJ407" i="147"/>
  <c r="CJ408" i="147"/>
  <c r="CJ409" i="147"/>
  <c r="CJ410" i="147"/>
  <c r="CJ411" i="147"/>
  <c r="CJ412" i="147"/>
  <c r="CJ413" i="147"/>
  <c r="CJ414" i="147"/>
  <c r="CJ415" i="147"/>
  <c r="CJ416" i="147"/>
  <c r="CJ417" i="147"/>
  <c r="CJ418" i="147"/>
  <c r="CJ419" i="147"/>
  <c r="CJ420" i="147"/>
  <c r="CJ421" i="147"/>
  <c r="CJ422" i="147"/>
  <c r="CJ423" i="147"/>
  <c r="CJ424" i="147"/>
  <c r="CJ425" i="147"/>
  <c r="CJ426" i="147"/>
  <c r="CJ427" i="147"/>
  <c r="CJ428" i="147"/>
  <c r="CJ429" i="147"/>
  <c r="CJ430" i="147"/>
  <c r="CJ431" i="147"/>
  <c r="CJ432" i="147"/>
  <c r="CJ433" i="147"/>
  <c r="CJ434" i="147"/>
  <c r="CJ435" i="147"/>
  <c r="CJ436" i="147"/>
  <c r="CJ437" i="147"/>
  <c r="CJ438" i="147"/>
  <c r="CJ439" i="147"/>
  <c r="CJ440" i="147"/>
  <c r="CJ441" i="147"/>
  <c r="CJ442" i="147"/>
  <c r="CJ443" i="147"/>
  <c r="CJ444" i="147"/>
  <c r="CJ445" i="147"/>
  <c r="CJ386" i="147"/>
  <c r="CJ387" i="147"/>
  <c r="CJ388" i="147"/>
  <c r="CJ389" i="147"/>
  <c r="CJ390" i="147"/>
  <c r="CJ391" i="147"/>
  <c r="CJ392" i="147"/>
  <c r="CJ393" i="147"/>
  <c r="CJ394" i="147"/>
  <c r="CJ395" i="147"/>
  <c r="CJ396" i="147"/>
  <c r="CJ397" i="147"/>
  <c r="CJ398" i="147"/>
  <c r="CJ399" i="147"/>
  <c r="CJ446" i="147"/>
  <c r="CJ447" i="147"/>
  <c r="CJ448" i="147"/>
  <c r="CJ449" i="147"/>
  <c r="CJ450" i="147"/>
  <c r="CJ451" i="147"/>
  <c r="CJ452" i="147"/>
  <c r="CJ453" i="147"/>
  <c r="CJ454" i="147"/>
  <c r="CJ455" i="147"/>
  <c r="CJ456" i="147"/>
  <c r="CJ457" i="147"/>
  <c r="CJ458" i="147"/>
  <c r="CJ459" i="147"/>
  <c r="CJ460" i="147"/>
  <c r="CJ461" i="147"/>
  <c r="CJ462" i="147"/>
  <c r="CJ463" i="147"/>
  <c r="CJ464" i="147"/>
  <c r="CJ465" i="147"/>
  <c r="CJ466" i="147"/>
  <c r="CJ467" i="147"/>
  <c r="CJ468" i="147"/>
  <c r="CJ469" i="147"/>
  <c r="CJ470" i="147"/>
  <c r="CJ471" i="147"/>
  <c r="CJ472" i="147"/>
  <c r="CJ473" i="147"/>
  <c r="CJ474" i="147"/>
  <c r="CJ475" i="147"/>
  <c r="CJ476" i="147"/>
  <c r="CJ477" i="147"/>
  <c r="CJ478" i="147"/>
  <c r="CJ479" i="147"/>
  <c r="CJ480" i="147"/>
  <c r="CJ481" i="147"/>
  <c r="CJ482" i="147"/>
  <c r="CJ483" i="147"/>
  <c r="CJ484" i="147"/>
  <c r="CJ485" i="147"/>
  <c r="CJ486" i="147"/>
  <c r="CJ487" i="147"/>
  <c r="CJ488" i="147"/>
  <c r="CJ489" i="147"/>
  <c r="CJ490" i="147"/>
  <c r="CJ491" i="147"/>
  <c r="CJ492" i="147"/>
  <c r="CJ493" i="147"/>
  <c r="CJ494" i="147"/>
  <c r="CJ495" i="147"/>
  <c r="CJ496" i="147"/>
  <c r="CJ497" i="147"/>
  <c r="CJ498" i="147"/>
  <c r="CJ499" i="147"/>
  <c r="CJ500" i="147"/>
  <c r="CJ501" i="147"/>
  <c r="CJ502" i="147"/>
  <c r="CJ503" i="147"/>
  <c r="CJ504" i="147"/>
  <c r="CJ505" i="147"/>
  <c r="CJ506" i="147"/>
  <c r="CJ507" i="147"/>
  <c r="CJ508" i="147"/>
  <c r="CJ509" i="147"/>
  <c r="CJ510" i="147"/>
  <c r="CJ511" i="147"/>
  <c r="CJ512" i="147"/>
  <c r="CJ513" i="147"/>
  <c r="CJ514" i="147"/>
  <c r="CJ515" i="147"/>
  <c r="CJ516" i="147"/>
  <c r="CJ517" i="147"/>
  <c r="CJ518" i="147"/>
  <c r="CJ519" i="147"/>
  <c r="CJ520" i="147"/>
  <c r="CJ521" i="147"/>
  <c r="CJ522" i="147"/>
  <c r="CJ523" i="147"/>
  <c r="CJ524" i="147"/>
  <c r="CJ525" i="147"/>
  <c r="CJ526" i="147"/>
  <c r="CJ527" i="147"/>
  <c r="CJ528" i="147"/>
  <c r="CJ529" i="147"/>
  <c r="CJ530" i="147"/>
  <c r="CJ531" i="147"/>
  <c r="CJ532" i="147"/>
  <c r="CJ533" i="147"/>
  <c r="CJ534" i="147"/>
  <c r="CJ535" i="147"/>
  <c r="CJ536" i="147"/>
  <c r="CJ537" i="147"/>
  <c r="CJ538" i="147"/>
  <c r="CJ539" i="147"/>
  <c r="CJ540" i="147"/>
  <c r="CJ541" i="147"/>
  <c r="CJ542" i="147"/>
  <c r="CJ543" i="147"/>
  <c r="CJ544" i="147"/>
  <c r="CJ545" i="147"/>
  <c r="CJ546" i="147"/>
  <c r="CJ547" i="147"/>
  <c r="CJ548" i="147"/>
  <c r="CJ549" i="147"/>
  <c r="CJ550" i="147"/>
  <c r="CJ551" i="147"/>
  <c r="CJ552" i="147"/>
  <c r="CJ553" i="147"/>
  <c r="CJ554" i="147"/>
  <c r="CJ555" i="147"/>
  <c r="CJ556" i="147"/>
  <c r="CJ557" i="147"/>
  <c r="CJ558" i="147"/>
  <c r="CJ559" i="147"/>
  <c r="CJ560" i="147"/>
  <c r="CJ561" i="147"/>
  <c r="CJ562" i="147"/>
  <c r="CJ563" i="147"/>
  <c r="CJ564" i="147"/>
  <c r="CJ565" i="147"/>
  <c r="CJ566" i="147"/>
  <c r="CJ568" i="147"/>
  <c r="CJ569" i="147"/>
  <c r="CJ570" i="147"/>
  <c r="CJ571" i="147"/>
  <c r="CJ572" i="147"/>
  <c r="CJ573" i="147"/>
  <c r="CJ574" i="147"/>
  <c r="CJ575" i="147"/>
  <c r="CJ576" i="147"/>
  <c r="CJ577" i="147"/>
  <c r="CJ578" i="147"/>
  <c r="CJ579" i="147"/>
  <c r="CJ580" i="147"/>
  <c r="CJ581" i="147"/>
  <c r="CJ582" i="147"/>
  <c r="CJ583" i="147"/>
  <c r="CJ584" i="147"/>
  <c r="CJ585" i="147"/>
  <c r="CJ586" i="147"/>
  <c r="CJ587" i="147"/>
  <c r="CJ588" i="147"/>
  <c r="CJ589" i="147"/>
  <c r="CJ590" i="147"/>
  <c r="CJ591" i="147"/>
  <c r="CJ592" i="147"/>
  <c r="CJ593" i="147"/>
  <c r="CJ594" i="147"/>
  <c r="CJ595" i="147"/>
  <c r="CJ596" i="147"/>
  <c r="CJ597" i="147"/>
  <c r="CJ598" i="147"/>
  <c r="CJ600" i="147"/>
  <c r="CJ601" i="147"/>
  <c r="CJ602" i="147"/>
  <c r="CJ603" i="147"/>
  <c r="CJ604" i="147"/>
  <c r="CJ605" i="147"/>
  <c r="CJ606" i="147"/>
  <c r="CJ607" i="147"/>
  <c r="CJ608" i="147"/>
  <c r="CJ609" i="147"/>
  <c r="CJ610" i="147"/>
  <c r="CJ611" i="147"/>
  <c r="CJ612" i="147"/>
  <c r="CJ613" i="147"/>
  <c r="CJ614" i="147"/>
  <c r="CJ615" i="147"/>
  <c r="CJ616" i="147"/>
  <c r="CJ617" i="147"/>
  <c r="CJ618" i="147"/>
  <c r="CJ619" i="147"/>
  <c r="CJ620" i="147"/>
  <c r="CJ621" i="147"/>
  <c r="CJ622" i="147"/>
  <c r="CJ623" i="147"/>
  <c r="CJ624" i="147"/>
  <c r="CJ625" i="147"/>
  <c r="CJ626" i="147"/>
  <c r="CJ627" i="147"/>
  <c r="CJ628" i="147"/>
  <c r="CJ629" i="147"/>
  <c r="CJ631" i="147"/>
  <c r="CJ632" i="147"/>
  <c r="CJ633" i="147"/>
  <c r="CJ634" i="147"/>
  <c r="CJ635" i="147"/>
  <c r="CJ636" i="147"/>
  <c r="CJ637" i="147"/>
  <c r="CJ638" i="147"/>
  <c r="CJ639" i="147"/>
  <c r="CJ640" i="147"/>
  <c r="CJ641" i="147"/>
  <c r="CJ642" i="147"/>
  <c r="CJ643" i="147"/>
  <c r="CL375" i="147"/>
  <c r="CL376" i="147"/>
  <c r="CL377" i="147"/>
  <c r="CL378" i="147"/>
  <c r="CL379" i="147"/>
  <c r="CL380" i="147"/>
  <c r="CL383" i="147"/>
  <c r="CL384" i="147"/>
  <c r="CL385" i="147"/>
  <c r="CL386" i="147"/>
  <c r="CL387" i="147"/>
  <c r="CL388" i="147"/>
  <c r="CL389" i="147"/>
  <c r="CL390" i="147"/>
  <c r="CL391" i="147"/>
  <c r="CL392" i="147"/>
  <c r="CL393" i="147"/>
  <c r="CL394" i="147"/>
  <c r="CL395" i="147"/>
  <c r="CL396" i="147"/>
  <c r="CL397" i="147"/>
  <c r="CL398" i="147"/>
  <c r="CL399" i="147"/>
  <c r="CL400" i="147"/>
  <c r="CL401" i="147"/>
  <c r="CL402" i="147"/>
  <c r="CL403" i="147"/>
  <c r="CL404" i="147"/>
  <c r="CL405" i="147"/>
  <c r="CL406" i="147"/>
  <c r="CL407" i="147"/>
  <c r="CL408" i="147"/>
  <c r="CL409" i="147"/>
  <c r="CL410" i="147"/>
  <c r="CL411" i="147"/>
  <c r="CL412" i="147"/>
  <c r="CL413" i="147"/>
  <c r="CL414" i="147"/>
  <c r="CL415" i="147"/>
  <c r="CL416" i="147"/>
  <c r="CL417" i="147"/>
  <c r="CL418" i="147"/>
  <c r="CL419" i="147"/>
  <c r="CL420" i="147"/>
  <c r="CL421" i="147"/>
  <c r="CL422" i="147"/>
  <c r="CL423" i="147"/>
  <c r="CL424" i="147"/>
  <c r="CL425" i="147"/>
  <c r="CL426" i="147"/>
  <c r="CL427" i="147"/>
  <c r="CL428" i="147"/>
  <c r="CL429" i="147"/>
  <c r="CL430" i="147"/>
  <c r="CL431" i="147"/>
  <c r="CL432" i="147"/>
  <c r="CL433" i="147"/>
  <c r="CL434" i="147"/>
  <c r="CL435" i="147"/>
  <c r="CL436" i="147"/>
  <c r="CL437" i="147"/>
  <c r="CL438" i="147"/>
  <c r="CL439" i="147"/>
  <c r="CL440" i="147"/>
  <c r="CL441" i="147"/>
  <c r="CL442" i="147"/>
  <c r="CL443" i="147"/>
  <c r="CL444" i="147"/>
  <c r="CL445" i="147"/>
  <c r="CL446" i="147"/>
  <c r="CL447" i="147"/>
  <c r="CL448" i="147"/>
  <c r="CL449" i="147"/>
  <c r="CL450" i="147"/>
  <c r="CL451" i="147"/>
  <c r="CL452" i="147"/>
  <c r="CL453" i="147"/>
  <c r="CL454" i="147"/>
  <c r="CL455" i="147"/>
  <c r="CL456" i="147"/>
  <c r="CL457" i="147"/>
  <c r="CL458" i="147"/>
  <c r="CL459" i="147"/>
  <c r="CL460" i="147"/>
  <c r="CL461" i="147"/>
  <c r="CL462" i="147"/>
  <c r="CL463" i="147"/>
  <c r="CL464" i="147"/>
  <c r="CL465" i="147"/>
  <c r="CL466" i="147"/>
  <c r="CL467" i="147"/>
  <c r="CL468" i="147"/>
  <c r="CL469" i="147"/>
  <c r="CL470" i="147"/>
  <c r="CL471" i="147"/>
  <c r="CL472" i="147"/>
  <c r="CL473" i="147"/>
  <c r="CL474" i="147"/>
  <c r="CL475" i="147"/>
  <c r="CL476" i="147"/>
  <c r="CL477" i="147"/>
  <c r="CL478" i="147"/>
  <c r="CL479" i="147"/>
  <c r="CL480" i="147"/>
  <c r="CL481" i="147"/>
  <c r="CL482" i="147"/>
  <c r="CL483" i="147"/>
  <c r="CL484" i="147"/>
  <c r="CL485" i="147"/>
  <c r="CL486" i="147"/>
  <c r="CL487" i="147"/>
  <c r="CL488" i="147"/>
  <c r="CL489" i="147"/>
  <c r="CL490" i="147"/>
  <c r="CL491" i="147"/>
  <c r="CL492" i="147"/>
  <c r="CL493" i="147"/>
  <c r="CL497" i="147"/>
  <c r="CL498" i="147"/>
  <c r="CL499" i="147"/>
  <c r="CL500" i="147"/>
  <c r="CL501" i="147"/>
  <c r="CL502" i="147"/>
  <c r="CL503" i="147"/>
  <c r="CL504" i="147"/>
  <c r="CL505" i="147"/>
  <c r="CL506" i="147"/>
  <c r="CL507" i="147"/>
  <c r="CL508" i="147"/>
  <c r="CL509" i="147"/>
  <c r="CL510" i="147"/>
  <c r="CL511" i="147"/>
  <c r="CL512" i="147"/>
  <c r="CL513" i="147"/>
  <c r="CL514" i="147"/>
  <c r="CL515" i="147"/>
  <c r="CL516" i="147"/>
  <c r="CL517" i="147"/>
  <c r="CL518" i="147"/>
  <c r="CL519" i="147"/>
  <c r="CL520" i="147"/>
  <c r="CL521" i="147"/>
  <c r="CL522" i="147"/>
  <c r="CL523" i="147"/>
  <c r="CL524" i="147"/>
  <c r="CL525" i="147"/>
  <c r="CL526" i="147"/>
  <c r="CL527" i="147"/>
  <c r="CL528" i="147"/>
  <c r="CL529" i="147"/>
  <c r="CL530" i="147"/>
  <c r="CL531" i="147"/>
  <c r="CL532" i="147"/>
  <c r="CL533" i="147"/>
  <c r="CL534" i="147"/>
  <c r="CL535" i="147"/>
  <c r="CL536" i="147"/>
  <c r="CL537" i="147"/>
  <c r="CL538" i="147"/>
  <c r="CL539" i="147"/>
  <c r="CL540" i="147"/>
  <c r="CL541" i="147"/>
  <c r="CL542" i="147"/>
  <c r="CL543" i="147"/>
  <c r="CL544" i="147"/>
  <c r="CL545" i="147"/>
  <c r="CL546" i="147"/>
  <c r="CL547" i="147"/>
  <c r="CL548" i="147"/>
  <c r="CL549" i="147"/>
  <c r="CL550" i="147"/>
  <c r="CL551" i="147"/>
  <c r="CL552" i="147"/>
  <c r="CL553" i="147"/>
  <c r="CL554" i="147"/>
  <c r="CL555" i="147"/>
  <c r="CL556" i="147"/>
  <c r="CL557" i="147"/>
  <c r="CL558" i="147"/>
  <c r="CL559" i="147"/>
  <c r="CL560" i="147"/>
  <c r="CL561" i="147"/>
  <c r="CL562" i="147"/>
  <c r="CL563" i="147"/>
  <c r="CL564" i="147"/>
  <c r="CL565" i="147"/>
  <c r="CL566" i="147"/>
  <c r="CL568" i="147"/>
  <c r="CL494" i="147"/>
  <c r="CL495" i="147"/>
  <c r="CL496" i="147"/>
  <c r="CL569" i="147"/>
  <c r="CL570" i="147"/>
  <c r="CL571" i="147"/>
  <c r="CL572" i="147"/>
  <c r="CL573" i="147"/>
  <c r="CL574" i="147"/>
  <c r="CL575" i="147"/>
  <c r="CL576" i="147"/>
  <c r="CL577" i="147"/>
  <c r="CL578" i="147"/>
  <c r="CL579" i="147"/>
  <c r="CL580" i="147"/>
  <c r="CL581" i="147"/>
  <c r="CL582" i="147"/>
  <c r="CL583" i="147"/>
  <c r="CL584" i="147"/>
  <c r="CL585" i="147"/>
  <c r="CL586" i="147"/>
  <c r="CL587" i="147"/>
  <c r="CL588" i="147"/>
  <c r="CL589" i="147"/>
  <c r="CL590" i="147"/>
  <c r="CL591" i="147"/>
  <c r="CL592" i="147"/>
  <c r="CL593" i="147"/>
  <c r="CL594" i="147"/>
  <c r="CL595" i="147"/>
  <c r="CL596" i="147"/>
  <c r="CL597" i="147"/>
  <c r="CL598" i="147"/>
  <c r="CL600" i="147"/>
  <c r="CL601" i="147"/>
  <c r="CL602" i="147"/>
  <c r="CL603" i="147"/>
  <c r="CL604" i="147"/>
  <c r="CL605" i="147"/>
  <c r="CL606" i="147"/>
  <c r="CL607" i="147"/>
  <c r="CL608" i="147"/>
  <c r="CL609" i="147"/>
  <c r="CL610" i="147"/>
  <c r="CL611" i="147"/>
  <c r="CL612" i="147"/>
  <c r="CL613" i="147"/>
  <c r="CL614" i="147"/>
  <c r="CL615" i="147"/>
  <c r="CL616" i="147"/>
  <c r="CL617" i="147"/>
  <c r="CL618" i="147"/>
  <c r="CL619" i="147"/>
  <c r="CL620" i="147"/>
  <c r="CL621" i="147"/>
  <c r="CL622" i="147"/>
  <c r="CL623" i="147"/>
  <c r="CL624" i="147"/>
  <c r="CL625" i="147"/>
  <c r="CL626" i="147"/>
  <c r="CL627" i="147"/>
  <c r="CL628" i="147"/>
  <c r="CL629" i="147"/>
  <c r="CL631" i="147"/>
  <c r="CL632" i="147"/>
  <c r="CL633" i="147"/>
  <c r="CL634" i="147"/>
  <c r="CL635" i="147"/>
  <c r="CL636" i="147"/>
  <c r="CL637" i="147"/>
  <c r="CL638" i="147"/>
  <c r="CL639" i="147"/>
  <c r="CL640" i="147"/>
  <c r="CL641" i="147"/>
  <c r="CL642" i="147"/>
  <c r="CL643" i="147"/>
  <c r="CN375" i="147"/>
  <c r="CN376" i="147"/>
  <c r="CN377" i="147"/>
  <c r="CN378" i="147"/>
  <c r="CN379" i="147"/>
  <c r="CN380" i="147"/>
  <c r="CN381" i="147"/>
  <c r="CN382" i="147"/>
  <c r="CN383" i="147"/>
  <c r="CN384" i="147"/>
  <c r="CN385" i="147"/>
  <c r="CN400" i="147"/>
  <c r="CN401" i="147"/>
  <c r="CN402" i="147"/>
  <c r="CN403" i="147"/>
  <c r="CN404" i="147"/>
  <c r="CN405" i="147"/>
  <c r="CN406" i="147"/>
  <c r="CN407" i="147"/>
  <c r="CN408" i="147"/>
  <c r="CN409" i="147"/>
  <c r="CN410" i="147"/>
  <c r="CN411" i="147"/>
  <c r="CN412" i="147"/>
  <c r="CN413" i="147"/>
  <c r="CN414" i="147"/>
  <c r="CN415" i="147"/>
  <c r="CN416" i="147"/>
  <c r="CN417" i="147"/>
  <c r="CN418" i="147"/>
  <c r="CN419" i="147"/>
  <c r="CN420" i="147"/>
  <c r="CN421" i="147"/>
  <c r="CN422" i="147"/>
  <c r="CN423" i="147"/>
  <c r="CN424" i="147"/>
  <c r="CN425" i="147"/>
  <c r="CN426" i="147"/>
  <c r="CN427" i="147"/>
  <c r="CN428" i="147"/>
  <c r="CN386" i="147"/>
  <c r="CN387" i="147"/>
  <c r="CN388" i="147"/>
  <c r="CN389" i="147"/>
  <c r="CN390" i="147"/>
  <c r="CN391" i="147"/>
  <c r="CN392" i="147"/>
  <c r="CN393" i="147"/>
  <c r="CN394" i="147"/>
  <c r="CN395" i="147"/>
  <c r="CN396" i="147"/>
  <c r="CN397" i="147"/>
  <c r="CN398" i="147"/>
  <c r="CN399" i="147"/>
  <c r="CN429" i="147"/>
  <c r="CN430" i="147"/>
  <c r="CN431" i="147"/>
  <c r="CN432" i="147"/>
  <c r="CN433" i="147"/>
  <c r="CN434" i="147"/>
  <c r="CN435" i="147"/>
  <c r="CN436" i="147"/>
  <c r="CN437" i="147"/>
  <c r="CN438" i="147"/>
  <c r="CN439" i="147"/>
  <c r="CN440" i="147"/>
  <c r="CN441" i="147"/>
  <c r="CN442" i="147"/>
  <c r="CN443" i="147"/>
  <c r="CN444" i="147"/>
  <c r="CN445" i="147"/>
  <c r="CN446" i="147"/>
  <c r="CN447" i="147"/>
  <c r="CN448" i="147"/>
  <c r="CN449" i="147"/>
  <c r="CN450" i="147"/>
  <c r="CN451" i="147"/>
  <c r="CN452" i="147"/>
  <c r="CN453" i="147"/>
  <c r="CN454" i="147"/>
  <c r="CN455" i="147"/>
  <c r="CN456" i="147"/>
  <c r="CN457" i="147"/>
  <c r="CN458" i="147"/>
  <c r="CN459" i="147"/>
  <c r="CN460" i="147"/>
  <c r="CN461" i="147"/>
  <c r="CN462" i="147"/>
  <c r="CN463" i="147"/>
  <c r="CN464" i="147"/>
  <c r="CN465" i="147"/>
  <c r="CN466" i="147"/>
  <c r="CN467" i="147"/>
  <c r="CN468" i="147"/>
  <c r="CN469" i="147"/>
  <c r="CN470" i="147"/>
  <c r="CN471" i="147"/>
  <c r="CN472" i="147"/>
  <c r="CN473" i="147"/>
  <c r="CN474" i="147"/>
  <c r="CN475" i="147"/>
  <c r="CN476" i="147"/>
  <c r="CN477" i="147"/>
  <c r="CN478" i="147"/>
  <c r="CN479" i="147"/>
  <c r="CN480" i="147"/>
  <c r="CN481" i="147"/>
  <c r="CN482" i="147"/>
  <c r="CN483" i="147"/>
  <c r="CN484" i="147"/>
  <c r="CN485" i="147"/>
  <c r="CN486" i="147"/>
  <c r="CN487" i="147"/>
  <c r="CN488" i="147"/>
  <c r="CN489" i="147"/>
  <c r="CN490" i="147"/>
  <c r="CN491" i="147"/>
  <c r="CN492" i="147"/>
  <c r="CN493" i="147"/>
  <c r="CN494" i="147"/>
  <c r="CN495" i="147"/>
  <c r="CN496" i="147"/>
  <c r="CN497" i="147"/>
  <c r="CN498" i="147"/>
  <c r="CN499" i="147"/>
  <c r="CN500" i="147"/>
  <c r="CN501" i="147"/>
  <c r="CN502" i="147"/>
  <c r="CN503" i="147"/>
  <c r="CN504" i="147"/>
  <c r="CN505" i="147"/>
  <c r="CN506" i="147"/>
  <c r="CN507" i="147"/>
  <c r="CN508" i="147"/>
  <c r="CN509" i="147"/>
  <c r="CN510" i="147"/>
  <c r="CN511" i="147"/>
  <c r="CN512" i="147"/>
  <c r="CN513" i="147"/>
  <c r="CN514" i="147"/>
  <c r="CN515" i="147"/>
  <c r="CN516" i="147"/>
  <c r="CN517" i="147"/>
  <c r="CN518" i="147"/>
  <c r="CN519" i="147"/>
  <c r="CN520" i="147"/>
  <c r="CN521" i="147"/>
  <c r="CN522" i="147"/>
  <c r="CN523" i="147"/>
  <c r="CN524" i="147"/>
  <c r="CN525" i="147"/>
  <c r="CN526" i="147"/>
  <c r="CN527" i="147"/>
  <c r="CN528" i="147"/>
  <c r="CN529" i="147"/>
  <c r="CN530" i="147"/>
  <c r="CN531" i="147"/>
  <c r="CN532" i="147"/>
  <c r="CN533" i="147"/>
  <c r="CN534" i="147"/>
  <c r="CN535" i="147"/>
  <c r="CN536" i="147"/>
  <c r="CN537" i="147"/>
  <c r="CN538" i="147"/>
  <c r="CN539" i="147"/>
  <c r="CN540" i="147"/>
  <c r="CN541" i="147"/>
  <c r="CN542" i="147"/>
  <c r="CN543" i="147"/>
  <c r="CN544" i="147"/>
  <c r="CN545" i="147"/>
  <c r="CN546" i="147"/>
  <c r="CN547" i="147"/>
  <c r="CN548" i="147"/>
  <c r="CN549" i="147"/>
  <c r="CN550" i="147"/>
  <c r="CN551" i="147"/>
  <c r="CN552" i="147"/>
  <c r="CN553" i="147"/>
  <c r="CN554" i="147"/>
  <c r="CN555" i="147"/>
  <c r="CN556" i="147"/>
  <c r="CN557" i="147"/>
  <c r="CN558" i="147"/>
  <c r="CN559" i="147"/>
  <c r="CN560" i="147"/>
  <c r="CN561" i="147"/>
  <c r="CN562" i="147"/>
  <c r="CN563" i="147"/>
  <c r="CN564" i="147"/>
  <c r="CN565" i="147"/>
  <c r="CN566" i="147"/>
  <c r="CN568" i="147"/>
  <c r="CN569" i="147"/>
  <c r="CN570" i="147"/>
  <c r="CN571" i="147"/>
  <c r="CN572" i="147"/>
  <c r="CN573" i="147"/>
  <c r="CN574" i="147"/>
  <c r="CN575" i="147"/>
  <c r="CN576" i="147"/>
  <c r="CN577" i="147"/>
  <c r="CN578" i="147"/>
  <c r="CN579" i="147"/>
  <c r="CN580" i="147"/>
  <c r="CN581" i="147"/>
  <c r="CN582" i="147"/>
  <c r="CN583" i="147"/>
  <c r="CN584" i="147"/>
  <c r="CN585" i="147"/>
  <c r="CN586" i="147"/>
  <c r="CN587" i="147"/>
  <c r="CN588" i="147"/>
  <c r="CN589" i="147"/>
  <c r="CN590" i="147"/>
  <c r="CN591" i="147"/>
  <c r="CN592" i="147"/>
  <c r="CN593" i="147"/>
  <c r="CN594" i="147"/>
  <c r="CN595" i="147"/>
  <c r="CN596" i="147"/>
  <c r="CN597" i="147"/>
  <c r="CN598" i="147"/>
  <c r="CN600" i="147"/>
  <c r="CN601" i="147"/>
  <c r="CN602" i="147"/>
  <c r="CN603" i="147"/>
  <c r="CN604" i="147"/>
  <c r="CN605" i="147"/>
  <c r="CN606" i="147"/>
  <c r="CN607" i="147"/>
  <c r="CN608" i="147"/>
  <c r="CN609" i="147"/>
  <c r="CN610" i="147"/>
  <c r="CN611" i="147"/>
  <c r="CN612" i="147"/>
  <c r="CN613" i="147"/>
  <c r="CN614" i="147"/>
  <c r="CN615" i="147"/>
  <c r="CN616" i="147"/>
  <c r="CN617" i="147"/>
  <c r="CN618" i="147"/>
  <c r="CN619" i="147"/>
  <c r="CN620" i="147"/>
  <c r="CN621" i="147"/>
  <c r="CN622" i="147"/>
  <c r="CN623" i="147"/>
  <c r="CN624" i="147"/>
  <c r="CN625" i="147"/>
  <c r="CN626" i="147"/>
  <c r="CN627" i="147"/>
  <c r="CN628" i="147"/>
  <c r="CN629" i="147"/>
  <c r="CN631" i="147"/>
  <c r="CN632" i="147"/>
  <c r="CN633" i="147"/>
  <c r="CN634" i="147"/>
  <c r="CN635" i="147"/>
  <c r="CN636" i="147"/>
  <c r="CN637" i="147"/>
  <c r="CN638" i="147"/>
  <c r="CN639" i="147"/>
  <c r="CN640" i="147"/>
  <c r="CN641" i="147"/>
  <c r="CN642" i="147"/>
  <c r="CN643" i="147"/>
  <c r="CP375" i="147"/>
  <c r="CP376" i="147"/>
  <c r="CP377" i="147"/>
  <c r="CP378" i="147"/>
  <c r="CP386" i="147"/>
  <c r="CP387" i="147"/>
  <c r="CP388" i="147"/>
  <c r="CP389" i="147"/>
  <c r="CP390" i="147"/>
  <c r="CP391" i="147"/>
  <c r="CP392" i="147"/>
  <c r="CP393" i="147"/>
  <c r="CP394" i="147"/>
  <c r="CP395" i="147"/>
  <c r="CP396" i="147"/>
  <c r="CP397" i="147"/>
  <c r="CP398" i="147"/>
  <c r="CP399" i="147"/>
  <c r="CP400" i="147"/>
  <c r="CP401" i="147"/>
  <c r="CP402" i="147"/>
  <c r="CP403" i="147"/>
  <c r="CP404" i="147"/>
  <c r="CP405" i="147"/>
  <c r="CP406" i="147"/>
  <c r="CP407" i="147"/>
  <c r="CP408" i="147"/>
  <c r="CP409" i="147"/>
  <c r="CP410" i="147"/>
  <c r="CP411" i="147"/>
  <c r="CP412" i="147"/>
  <c r="CP413" i="147"/>
  <c r="CP414" i="147"/>
  <c r="CP415" i="147"/>
  <c r="CP416" i="147"/>
  <c r="CP417" i="147"/>
  <c r="CP418" i="147"/>
  <c r="CP419" i="147"/>
  <c r="CP420" i="147"/>
  <c r="CP421" i="147"/>
  <c r="CP422" i="147"/>
  <c r="CP423" i="147"/>
  <c r="CP424" i="147"/>
  <c r="CP425" i="147"/>
  <c r="CP426" i="147"/>
  <c r="CP427" i="147"/>
  <c r="CP428" i="147"/>
  <c r="CP379" i="147"/>
  <c r="CP380" i="147"/>
  <c r="CP383" i="147"/>
  <c r="CP384" i="147"/>
  <c r="CP385" i="147"/>
  <c r="CP429" i="147"/>
  <c r="CP430" i="147"/>
  <c r="CP431" i="147"/>
  <c r="CP432" i="147"/>
  <c r="CP433" i="147"/>
  <c r="CP434" i="147"/>
  <c r="CP435" i="147"/>
  <c r="CP436" i="147"/>
  <c r="CP437" i="147"/>
  <c r="CP438" i="147"/>
  <c r="CP439" i="147"/>
  <c r="CP440" i="147"/>
  <c r="CP441" i="147"/>
  <c r="CP442" i="147"/>
  <c r="CP443" i="147"/>
  <c r="CP444" i="147"/>
  <c r="CP445" i="147"/>
  <c r="CP446" i="147"/>
  <c r="CP447" i="147"/>
  <c r="CP448" i="147"/>
  <c r="CP449" i="147"/>
  <c r="CP450" i="147"/>
  <c r="CP451" i="147"/>
  <c r="CP452" i="147"/>
  <c r="CP453" i="147"/>
  <c r="CP454" i="147"/>
  <c r="CP455" i="147"/>
  <c r="CP456" i="147"/>
  <c r="CP457" i="147"/>
  <c r="CP458" i="147"/>
  <c r="CP459" i="147"/>
  <c r="CP460" i="147"/>
  <c r="CP461" i="147"/>
  <c r="CP462" i="147"/>
  <c r="CP463" i="147"/>
  <c r="CP464" i="147"/>
  <c r="CP465" i="147"/>
  <c r="CP466" i="147"/>
  <c r="CP467" i="147"/>
  <c r="CP468" i="147"/>
  <c r="CP469" i="147"/>
  <c r="CP470" i="147"/>
  <c r="CP471" i="147"/>
  <c r="CP472" i="147"/>
  <c r="CP473" i="147"/>
  <c r="CP474" i="147"/>
  <c r="CP475" i="147"/>
  <c r="CP476" i="147"/>
  <c r="CP477" i="147"/>
  <c r="CP478" i="147"/>
  <c r="CP479" i="147"/>
  <c r="CP480" i="147"/>
  <c r="CP481" i="147"/>
  <c r="CP482" i="147"/>
  <c r="CP483" i="147"/>
  <c r="CP484" i="147"/>
  <c r="CP485" i="147"/>
  <c r="CP486" i="147"/>
  <c r="CP487" i="147"/>
  <c r="CP488" i="147"/>
  <c r="CP489" i="147"/>
  <c r="CP490" i="147"/>
  <c r="CP491" i="147"/>
  <c r="CP492" i="147"/>
  <c r="CP493" i="147"/>
  <c r="CP497" i="147"/>
  <c r="CP498" i="147"/>
  <c r="CP499" i="147"/>
  <c r="CP500" i="147"/>
  <c r="CP501" i="147"/>
  <c r="CP502" i="147"/>
  <c r="CP503" i="147"/>
  <c r="CP504" i="147"/>
  <c r="CP505" i="147"/>
  <c r="CP506" i="147"/>
  <c r="CP507" i="147"/>
  <c r="CP508" i="147"/>
  <c r="CP509" i="147"/>
  <c r="CP510" i="147"/>
  <c r="CP511" i="147"/>
  <c r="CP512" i="147"/>
  <c r="CP513" i="147"/>
  <c r="CP514" i="147"/>
  <c r="CP515" i="147"/>
  <c r="CP516" i="147"/>
  <c r="CP517" i="147"/>
  <c r="CP518" i="147"/>
  <c r="CP519" i="147"/>
  <c r="CP520" i="147"/>
  <c r="CP521" i="147"/>
  <c r="CP522" i="147"/>
  <c r="CP523" i="147"/>
  <c r="CP524" i="147"/>
  <c r="CP525" i="147"/>
  <c r="CP526" i="147"/>
  <c r="CP527" i="147"/>
  <c r="CP528" i="147"/>
  <c r="CP529" i="147"/>
  <c r="CP530" i="147"/>
  <c r="CP531" i="147"/>
  <c r="CP532" i="147"/>
  <c r="CP533" i="147"/>
  <c r="CP534" i="147"/>
  <c r="CP535" i="147"/>
  <c r="CP536" i="147"/>
  <c r="CP537" i="147"/>
  <c r="CP538" i="147"/>
  <c r="CP539" i="147"/>
  <c r="CP540" i="147"/>
  <c r="CP541" i="147"/>
  <c r="CP542" i="147"/>
  <c r="CP543" i="147"/>
  <c r="CP544" i="147"/>
  <c r="CP545" i="147"/>
  <c r="CP546" i="147"/>
  <c r="CP547" i="147"/>
  <c r="CP548" i="147"/>
  <c r="CP549" i="147"/>
  <c r="CP550" i="147"/>
  <c r="CP551" i="147"/>
  <c r="CP552" i="147"/>
  <c r="CP553" i="147"/>
  <c r="CP554" i="147"/>
  <c r="CP555" i="147"/>
  <c r="CP556" i="147"/>
  <c r="CP557" i="147"/>
  <c r="CP558" i="147"/>
  <c r="CP559" i="147"/>
  <c r="CP560" i="147"/>
  <c r="CP561" i="147"/>
  <c r="CP562" i="147"/>
  <c r="CP563" i="147"/>
  <c r="CP564" i="147"/>
  <c r="CP565" i="147"/>
  <c r="CP566" i="147"/>
  <c r="CP568" i="147"/>
  <c r="CP494" i="147"/>
  <c r="CP495" i="147"/>
  <c r="CP496" i="147"/>
  <c r="CP569" i="147"/>
  <c r="CP570" i="147"/>
  <c r="CP571" i="147"/>
  <c r="CP572" i="147"/>
  <c r="CP573" i="147"/>
  <c r="CP574" i="147"/>
  <c r="CP575" i="147"/>
  <c r="CP576" i="147"/>
  <c r="CP577" i="147"/>
  <c r="CP578" i="147"/>
  <c r="CP579" i="147"/>
  <c r="CP580" i="147"/>
  <c r="CP581" i="147"/>
  <c r="CP582" i="147"/>
  <c r="CP583" i="147"/>
  <c r="CP584" i="147"/>
  <c r="CP585" i="147"/>
  <c r="CP586" i="147"/>
  <c r="CP587" i="147"/>
  <c r="CP588" i="147"/>
  <c r="CP589" i="147"/>
  <c r="CP590" i="147"/>
  <c r="CP591" i="147"/>
  <c r="CP592" i="147"/>
  <c r="CP593" i="147"/>
  <c r="CP594" i="147"/>
  <c r="CP595" i="147"/>
  <c r="CP596" i="147"/>
  <c r="CP597" i="147"/>
  <c r="CP598" i="147"/>
  <c r="CP600" i="147"/>
  <c r="CP601" i="147"/>
  <c r="CP602" i="147"/>
  <c r="CP603" i="147"/>
  <c r="CP604" i="147"/>
  <c r="CP605" i="147"/>
  <c r="CP606" i="147"/>
  <c r="CP607" i="147"/>
  <c r="CP608" i="147"/>
  <c r="CP609" i="147"/>
  <c r="CP610" i="147"/>
  <c r="CP611" i="147"/>
  <c r="CP612" i="147"/>
  <c r="CP613" i="147"/>
  <c r="CP614" i="147"/>
  <c r="CP615" i="147"/>
  <c r="CP616" i="147"/>
  <c r="CP617" i="147"/>
  <c r="CP618" i="147"/>
  <c r="CP619" i="147"/>
  <c r="CP620" i="147"/>
  <c r="CP621" i="147"/>
  <c r="CP622" i="147"/>
  <c r="CP623" i="147"/>
  <c r="CP624" i="147"/>
  <c r="CP625" i="147"/>
  <c r="CP626" i="147"/>
  <c r="CP627" i="147"/>
  <c r="CP628" i="147"/>
  <c r="CP629" i="147"/>
  <c r="CP631" i="147"/>
  <c r="CP632" i="147"/>
  <c r="CP633" i="147"/>
  <c r="CP634" i="147"/>
  <c r="CP635" i="147"/>
  <c r="CP636" i="147"/>
  <c r="CP637" i="147"/>
  <c r="CP638" i="147"/>
  <c r="CP639" i="147"/>
  <c r="CP640" i="147"/>
  <c r="CP641" i="147"/>
  <c r="CP642" i="147"/>
  <c r="CP643" i="147"/>
  <c r="CR375" i="147"/>
  <c r="CR376" i="147"/>
  <c r="CR377" i="147"/>
  <c r="CR378" i="147"/>
  <c r="CR379" i="147"/>
  <c r="CR380" i="147"/>
  <c r="CR381" i="147"/>
  <c r="CR382" i="147"/>
  <c r="CR383" i="147"/>
  <c r="CR384" i="147"/>
  <c r="CR385" i="147"/>
  <c r="CR400" i="147"/>
  <c r="CR401" i="147"/>
  <c r="CR402" i="147"/>
  <c r="CR403" i="147"/>
  <c r="CR404" i="147"/>
  <c r="CR405" i="147"/>
  <c r="CR406" i="147"/>
  <c r="CR407" i="147"/>
  <c r="CR408" i="147"/>
  <c r="CR409" i="147"/>
  <c r="CR410" i="147"/>
  <c r="CR411" i="147"/>
  <c r="CR412" i="147"/>
  <c r="CR413" i="147"/>
  <c r="CR414" i="147"/>
  <c r="CR415" i="147"/>
  <c r="CR416" i="147"/>
  <c r="CR417" i="147"/>
  <c r="CR418" i="147"/>
  <c r="CR419" i="147"/>
  <c r="CR420" i="147"/>
  <c r="CR421" i="147"/>
  <c r="CR422" i="147"/>
  <c r="CR423" i="147"/>
  <c r="CR424" i="147"/>
  <c r="CR425" i="147"/>
  <c r="CR426" i="147"/>
  <c r="CR427" i="147"/>
  <c r="CR428" i="147"/>
  <c r="CR429" i="147"/>
  <c r="CR430" i="147"/>
  <c r="CR431" i="147"/>
  <c r="CR432" i="147"/>
  <c r="CR433" i="147"/>
  <c r="CR434" i="147"/>
  <c r="CR435" i="147"/>
  <c r="CR436" i="147"/>
  <c r="CR437" i="147"/>
  <c r="CR438" i="147"/>
  <c r="CR439" i="147"/>
  <c r="CR440" i="147"/>
  <c r="CR441" i="147"/>
  <c r="CR442" i="147"/>
  <c r="CR443" i="147"/>
  <c r="CR444" i="147"/>
  <c r="CR445" i="147"/>
  <c r="CR386" i="147"/>
  <c r="CR387" i="147"/>
  <c r="CR388" i="147"/>
  <c r="CR390" i="147"/>
  <c r="CR392" i="147"/>
  <c r="CR394" i="147"/>
  <c r="CR396" i="147"/>
  <c r="CR398" i="147"/>
  <c r="CR389" i="147"/>
  <c r="CR391" i="147"/>
  <c r="CR393" i="147"/>
  <c r="CR395" i="147"/>
  <c r="CR397" i="147"/>
  <c r="CR399" i="147"/>
  <c r="CR446" i="147"/>
  <c r="CR447" i="147"/>
  <c r="CR448" i="147"/>
  <c r="CR449" i="147"/>
  <c r="CR450" i="147"/>
  <c r="CR451" i="147"/>
  <c r="CR452" i="147"/>
  <c r="CR453" i="147"/>
  <c r="CR454" i="147"/>
  <c r="CR455" i="147"/>
  <c r="CR456" i="147"/>
  <c r="CR457" i="147"/>
  <c r="CR458" i="147"/>
  <c r="CR459" i="147"/>
  <c r="CR460" i="147"/>
  <c r="CR461" i="147"/>
  <c r="CR462" i="147"/>
  <c r="CR463" i="147"/>
  <c r="CR464" i="147"/>
  <c r="CR465" i="147"/>
  <c r="CR466" i="147"/>
  <c r="CR467" i="147"/>
  <c r="CR468" i="147"/>
  <c r="CR469" i="147"/>
  <c r="CR470" i="147"/>
  <c r="CR471" i="147"/>
  <c r="CR472" i="147"/>
  <c r="CR473" i="147"/>
  <c r="CR474" i="147"/>
  <c r="CR475" i="147"/>
  <c r="CR476" i="147"/>
  <c r="CR477" i="147"/>
  <c r="CR478" i="147"/>
  <c r="CR479" i="147"/>
  <c r="CR480" i="147"/>
  <c r="CR481" i="147"/>
  <c r="CR482" i="147"/>
  <c r="CR483" i="147"/>
  <c r="CR484" i="147"/>
  <c r="CR485" i="147"/>
  <c r="CR486" i="147"/>
  <c r="CR487" i="147"/>
  <c r="CR488" i="147"/>
  <c r="CR489" i="147"/>
  <c r="CR490" i="147"/>
  <c r="CR491" i="147"/>
  <c r="CR492" i="147"/>
  <c r="CR493" i="147"/>
  <c r="CR494" i="147"/>
  <c r="CR495" i="147"/>
  <c r="CR496" i="147"/>
  <c r="CR497" i="147"/>
  <c r="CR498" i="147"/>
  <c r="CR499" i="147"/>
  <c r="CR500" i="147"/>
  <c r="CR501" i="147"/>
  <c r="CR502" i="147"/>
  <c r="CR503" i="147"/>
  <c r="CR504" i="147"/>
  <c r="CR505" i="147"/>
  <c r="CR506" i="147"/>
  <c r="CR507" i="147"/>
  <c r="CR508" i="147"/>
  <c r="CR509" i="147"/>
  <c r="CR510" i="147"/>
  <c r="CR511" i="147"/>
  <c r="CR512" i="147"/>
  <c r="CR513" i="147"/>
  <c r="CR514" i="147"/>
  <c r="CR515" i="147"/>
  <c r="CR516" i="147"/>
  <c r="CR517" i="147"/>
  <c r="CR518" i="147"/>
  <c r="CR519" i="147"/>
  <c r="CR520" i="147"/>
  <c r="CR521" i="147"/>
  <c r="CR522" i="147"/>
  <c r="CR523" i="147"/>
  <c r="CR524" i="147"/>
  <c r="CR525" i="147"/>
  <c r="CR526" i="147"/>
  <c r="CR527" i="147"/>
  <c r="CR528" i="147"/>
  <c r="CR529" i="147"/>
  <c r="CR530" i="147"/>
  <c r="CR531" i="147"/>
  <c r="CR532" i="147"/>
  <c r="CR533" i="147"/>
  <c r="CR534" i="147"/>
  <c r="CR535" i="147"/>
  <c r="CR536" i="147"/>
  <c r="CR537" i="147"/>
  <c r="CR538" i="147"/>
  <c r="CR539" i="147"/>
  <c r="CR540" i="147"/>
  <c r="CR541" i="147"/>
  <c r="CR542" i="147"/>
  <c r="CR543" i="147"/>
  <c r="CR544" i="147"/>
  <c r="CR545" i="147"/>
  <c r="CR546" i="147"/>
  <c r="CR547" i="147"/>
  <c r="CR548" i="147"/>
  <c r="CR549" i="147"/>
  <c r="CR550" i="147"/>
  <c r="CR551" i="147"/>
  <c r="CR552" i="147"/>
  <c r="CR553" i="147"/>
  <c r="CR554" i="147"/>
  <c r="CR555" i="147"/>
  <c r="CR556" i="147"/>
  <c r="CR557" i="147"/>
  <c r="CR558" i="147"/>
  <c r="CR559" i="147"/>
  <c r="CR560" i="147"/>
  <c r="CR561" i="147"/>
  <c r="CR562" i="147"/>
  <c r="CR563" i="147"/>
  <c r="CR564" i="147"/>
  <c r="CR565" i="147"/>
  <c r="CR566" i="147"/>
  <c r="CR568" i="147"/>
  <c r="CR569" i="147"/>
  <c r="CR570" i="147"/>
  <c r="CR571" i="147"/>
  <c r="CR572" i="147"/>
  <c r="CR573" i="147"/>
  <c r="CR574" i="147"/>
  <c r="CR575" i="147"/>
  <c r="CR576" i="147"/>
  <c r="CR577" i="147"/>
  <c r="CR578" i="147"/>
  <c r="CR579" i="147"/>
  <c r="CR580" i="147"/>
  <c r="CR581" i="147"/>
  <c r="CR582" i="147"/>
  <c r="CR583" i="147"/>
  <c r="CR584" i="147"/>
  <c r="CR585" i="147"/>
  <c r="CR586" i="147"/>
  <c r="CR587" i="147"/>
  <c r="CR588" i="147"/>
  <c r="CR589" i="147"/>
  <c r="CR590" i="147"/>
  <c r="CR591" i="147"/>
  <c r="CR592" i="147"/>
  <c r="CR593" i="147"/>
  <c r="CR594" i="147"/>
  <c r="CR595" i="147"/>
  <c r="CR596" i="147"/>
  <c r="CR597" i="147"/>
  <c r="CR598" i="147"/>
  <c r="CR600" i="147"/>
  <c r="CR601" i="147"/>
  <c r="CR602" i="147"/>
  <c r="CR603" i="147"/>
  <c r="CR604" i="147"/>
  <c r="CR605" i="147"/>
  <c r="CR606" i="147"/>
  <c r="CR607" i="147"/>
  <c r="CR608" i="147"/>
  <c r="CR609" i="147"/>
  <c r="CR610" i="147"/>
  <c r="CR611" i="147"/>
  <c r="CR612" i="147"/>
  <c r="CR613" i="147"/>
  <c r="CR614" i="147"/>
  <c r="CR615" i="147"/>
  <c r="CR616" i="147"/>
  <c r="CR617" i="147"/>
  <c r="CR618" i="147"/>
  <c r="CR619" i="147"/>
  <c r="CR620" i="147"/>
  <c r="CR621" i="147"/>
  <c r="CR622" i="147"/>
  <c r="CR623" i="147"/>
  <c r="CR624" i="147"/>
  <c r="CR625" i="147"/>
  <c r="CR627" i="147"/>
  <c r="CR628" i="147"/>
  <c r="CR629" i="147"/>
  <c r="CR631" i="147"/>
  <c r="CR632" i="147"/>
  <c r="CR633" i="147"/>
  <c r="CR634" i="147"/>
  <c r="CR635" i="147"/>
  <c r="CR636" i="147"/>
  <c r="CR637" i="147"/>
  <c r="CR638" i="147"/>
  <c r="CR639" i="147"/>
  <c r="CR640" i="147"/>
  <c r="CR641" i="147"/>
  <c r="CR642" i="147"/>
  <c r="CR643" i="147"/>
  <c r="CR626" i="147"/>
  <c r="CT375" i="147"/>
  <c r="CT376" i="147"/>
  <c r="CT377" i="147"/>
  <c r="CT378" i="147"/>
  <c r="CT379" i="147"/>
  <c r="CT380" i="147"/>
  <c r="CT383" i="147"/>
  <c r="CT384" i="147"/>
  <c r="CT385" i="147"/>
  <c r="CT386" i="147"/>
  <c r="CT387" i="147"/>
  <c r="CT388" i="147"/>
  <c r="CT389" i="147"/>
  <c r="CT390" i="147"/>
  <c r="CT391" i="147"/>
  <c r="CT392" i="147"/>
  <c r="CT393" i="147"/>
  <c r="CT394" i="147"/>
  <c r="CT395" i="147"/>
  <c r="CT396" i="147"/>
  <c r="CT397" i="147"/>
  <c r="CT398" i="147"/>
  <c r="CT399" i="147"/>
  <c r="CT400" i="147"/>
  <c r="CT401" i="147"/>
  <c r="CT402" i="147"/>
  <c r="CT403" i="147"/>
  <c r="CT404" i="147"/>
  <c r="CT405" i="147"/>
  <c r="CT406" i="147"/>
  <c r="CT407" i="147"/>
  <c r="CT408" i="147"/>
  <c r="CT409" i="147"/>
  <c r="CT410" i="147"/>
  <c r="CT411" i="147"/>
  <c r="CT412" i="147"/>
  <c r="CT416" i="147"/>
  <c r="CT418" i="147"/>
  <c r="CT419" i="147"/>
  <c r="CT420" i="147"/>
  <c r="CT421" i="147"/>
  <c r="CT422" i="147"/>
  <c r="CT423" i="147"/>
  <c r="CT424" i="147"/>
  <c r="CT425" i="147"/>
  <c r="CT426" i="147"/>
  <c r="CT427" i="147"/>
  <c r="CT428" i="147"/>
  <c r="CT429" i="147"/>
  <c r="CT430" i="147"/>
  <c r="CT433" i="147"/>
  <c r="CT434" i="147"/>
  <c r="CT435" i="147"/>
  <c r="CT436" i="147"/>
  <c r="CT437" i="147"/>
  <c r="CT438" i="147"/>
  <c r="CT439" i="147"/>
  <c r="CT440" i="147"/>
  <c r="CT441" i="147"/>
  <c r="CT442" i="147"/>
  <c r="CT443" i="147"/>
  <c r="CT444" i="147"/>
  <c r="CT445" i="147"/>
  <c r="CT446" i="147"/>
  <c r="CT447" i="147"/>
  <c r="CT448" i="147"/>
  <c r="CT449" i="147"/>
  <c r="CT450" i="147"/>
  <c r="CT451" i="147"/>
  <c r="CT452" i="147"/>
  <c r="CT453" i="147"/>
  <c r="CT454" i="147"/>
  <c r="CT455" i="147"/>
  <c r="CT456" i="147"/>
  <c r="CT457" i="147"/>
  <c r="CT458" i="147"/>
  <c r="CT459" i="147"/>
  <c r="CT460" i="147"/>
  <c r="CT461" i="147"/>
  <c r="CT462" i="147"/>
  <c r="CT463" i="147"/>
  <c r="CT464" i="147"/>
  <c r="CT465" i="147"/>
  <c r="CT466" i="147"/>
  <c r="CT467" i="147"/>
  <c r="CT468" i="147"/>
  <c r="CT469" i="147"/>
  <c r="CT470" i="147"/>
  <c r="CT471" i="147"/>
  <c r="CT472" i="147"/>
  <c r="CT473" i="147"/>
  <c r="CT474" i="147"/>
  <c r="CT475" i="147"/>
  <c r="CT476" i="147"/>
  <c r="CT477" i="147"/>
  <c r="CT478" i="147"/>
  <c r="CT479" i="147"/>
  <c r="CT480" i="147"/>
  <c r="CT481" i="147"/>
  <c r="CT482" i="147"/>
  <c r="CT483" i="147"/>
  <c r="CT484" i="147"/>
  <c r="CT485" i="147"/>
  <c r="CT486" i="147"/>
  <c r="CT487" i="147"/>
  <c r="CT488" i="147"/>
  <c r="CT489" i="147"/>
  <c r="CT490" i="147"/>
  <c r="CT491" i="147"/>
  <c r="CT492" i="147"/>
  <c r="CT493" i="147"/>
  <c r="CT497" i="147"/>
  <c r="CT498" i="147"/>
  <c r="CT499" i="147"/>
  <c r="CT500" i="147"/>
  <c r="CT501" i="147"/>
  <c r="CT502" i="147"/>
  <c r="CT503" i="147"/>
  <c r="CT504" i="147"/>
  <c r="CT505" i="147"/>
  <c r="CT506" i="147"/>
  <c r="CT507" i="147"/>
  <c r="CT508" i="147"/>
  <c r="CT509" i="147"/>
  <c r="CT510" i="147"/>
  <c r="CT511" i="147"/>
  <c r="CT512" i="147"/>
  <c r="CT513" i="147"/>
  <c r="CT514" i="147"/>
  <c r="CT515" i="147"/>
  <c r="CT516" i="147"/>
  <c r="CT517" i="147"/>
  <c r="CT518" i="147"/>
  <c r="CT519" i="147"/>
  <c r="CT520" i="147"/>
  <c r="CT521" i="147"/>
  <c r="CT522" i="147"/>
  <c r="CT523" i="147"/>
  <c r="CT524" i="147"/>
  <c r="CT525" i="147"/>
  <c r="CT526" i="147"/>
  <c r="CT527" i="147"/>
  <c r="CT528" i="147"/>
  <c r="CT529" i="147"/>
  <c r="CT530" i="147"/>
  <c r="CT531" i="147"/>
  <c r="CT532" i="147"/>
  <c r="CT533" i="147"/>
  <c r="CT534" i="147"/>
  <c r="CT535" i="147"/>
  <c r="CT536" i="147"/>
  <c r="CT537" i="147"/>
  <c r="CT538" i="147"/>
  <c r="CT539" i="147"/>
  <c r="CT540" i="147"/>
  <c r="CT541" i="147"/>
  <c r="CT542" i="147"/>
  <c r="CT543" i="147"/>
  <c r="CT544" i="147"/>
  <c r="CT545" i="147"/>
  <c r="CT546" i="147"/>
  <c r="CT547" i="147"/>
  <c r="CT548" i="147"/>
  <c r="CT549" i="147"/>
  <c r="CT550" i="147"/>
  <c r="CT551" i="147"/>
  <c r="CT552" i="147"/>
  <c r="CT553" i="147"/>
  <c r="CT554" i="147"/>
  <c r="CT555" i="147"/>
  <c r="CT556" i="147"/>
  <c r="CT557" i="147"/>
  <c r="CT558" i="147"/>
  <c r="CT559" i="147"/>
  <c r="CT560" i="147"/>
  <c r="CT561" i="147"/>
  <c r="CT562" i="147"/>
  <c r="CT563" i="147"/>
  <c r="CT564" i="147"/>
  <c r="CT565" i="147"/>
  <c r="CT566" i="147"/>
  <c r="CT568" i="147"/>
  <c r="CT494" i="147"/>
  <c r="CT495" i="147"/>
  <c r="CT496" i="147"/>
  <c r="CT569" i="147"/>
  <c r="CT570" i="147"/>
  <c r="CT571" i="147"/>
  <c r="CT572" i="147"/>
  <c r="CT573" i="147"/>
  <c r="CT574" i="147"/>
  <c r="CT575" i="147"/>
  <c r="CT576" i="147"/>
  <c r="CT577" i="147"/>
  <c r="CT578" i="147"/>
  <c r="CT579" i="147"/>
  <c r="CT580" i="147"/>
  <c r="CT581" i="147"/>
  <c r="CT582" i="147"/>
  <c r="CT583" i="147"/>
  <c r="CT584" i="147"/>
  <c r="CT585" i="147"/>
  <c r="CT586" i="147"/>
  <c r="CT587" i="147"/>
  <c r="CT588" i="147"/>
  <c r="CT589" i="147"/>
  <c r="CT590" i="147"/>
  <c r="CT591" i="147"/>
  <c r="CT592" i="147"/>
  <c r="CT593" i="147"/>
  <c r="CT594" i="147"/>
  <c r="CT595" i="147"/>
  <c r="CT596" i="147"/>
  <c r="CT597" i="147"/>
  <c r="CT598" i="147"/>
  <c r="CT600" i="147"/>
  <c r="CT601" i="147"/>
  <c r="CT602" i="147"/>
  <c r="CT603" i="147"/>
  <c r="CT604" i="147"/>
  <c r="CT605" i="147"/>
  <c r="CT606" i="147"/>
  <c r="CT607" i="147"/>
  <c r="CT608" i="147"/>
  <c r="CT609" i="147"/>
  <c r="CT610" i="147"/>
  <c r="CT611" i="147"/>
  <c r="CT612" i="147"/>
  <c r="CT613" i="147"/>
  <c r="CT614" i="147"/>
  <c r="CT615" i="147"/>
  <c r="CT616" i="147"/>
  <c r="CT617" i="147"/>
  <c r="CT618" i="147"/>
  <c r="CT619" i="147"/>
  <c r="CT620" i="147"/>
  <c r="CT621" i="147"/>
  <c r="CT622" i="147"/>
  <c r="CT623" i="147"/>
  <c r="CT624" i="147"/>
  <c r="CT625" i="147"/>
  <c r="CT626" i="147"/>
  <c r="CT627" i="147"/>
  <c r="CT628" i="147"/>
  <c r="CT629" i="147"/>
  <c r="CT631" i="147"/>
  <c r="CT632" i="147"/>
  <c r="CT633" i="147"/>
  <c r="CT634" i="147"/>
  <c r="CT635" i="147"/>
  <c r="CT636" i="147"/>
  <c r="CT637" i="147"/>
  <c r="CT638" i="147"/>
  <c r="CT639" i="147"/>
  <c r="CT640" i="147"/>
  <c r="CT641" i="147"/>
  <c r="CT642" i="147"/>
  <c r="CT643" i="147"/>
  <c r="CT413" i="147"/>
  <c r="CT417" i="147"/>
  <c r="CV375" i="147"/>
  <c r="CV376" i="147"/>
  <c r="CV377" i="147"/>
  <c r="CV378" i="147"/>
  <c r="CV379" i="147"/>
  <c r="CV380" i="147"/>
  <c r="CV381" i="147"/>
  <c r="CV382" i="147"/>
  <c r="CV383" i="147"/>
  <c r="CV384" i="147"/>
  <c r="CV385" i="147"/>
  <c r="CV400" i="147"/>
  <c r="CV401" i="147"/>
  <c r="CV402" i="147"/>
  <c r="CV403" i="147"/>
  <c r="CV404" i="147"/>
  <c r="CV405" i="147"/>
  <c r="CV406" i="147"/>
  <c r="CV407" i="147"/>
  <c r="CV408" i="147"/>
  <c r="CV409" i="147"/>
  <c r="CV410" i="147"/>
  <c r="CV411" i="147"/>
  <c r="CV412" i="147"/>
  <c r="CV413" i="147"/>
  <c r="CV416" i="147"/>
  <c r="CV417" i="147"/>
  <c r="CV418" i="147"/>
  <c r="CV419" i="147"/>
  <c r="CV420" i="147"/>
  <c r="CV421" i="147"/>
  <c r="CV422" i="147"/>
  <c r="CV423" i="147"/>
  <c r="CV424" i="147"/>
  <c r="CV425" i="147"/>
  <c r="CV426" i="147"/>
  <c r="CV427" i="147"/>
  <c r="CV428" i="147"/>
  <c r="CV386" i="147"/>
  <c r="CV387" i="147"/>
  <c r="CV388" i="147"/>
  <c r="CV389" i="147"/>
  <c r="CV390" i="147"/>
  <c r="CV391" i="147"/>
  <c r="CV392" i="147"/>
  <c r="CV393" i="147"/>
  <c r="CV394" i="147"/>
  <c r="CV395" i="147"/>
  <c r="CV396" i="147"/>
  <c r="CV397" i="147"/>
  <c r="CV398" i="147"/>
  <c r="CV399" i="147"/>
  <c r="CV429" i="147"/>
  <c r="CV431" i="147"/>
  <c r="CV432" i="147"/>
  <c r="CV433" i="147"/>
  <c r="CV434" i="147"/>
  <c r="CV435" i="147"/>
  <c r="CV436" i="147"/>
  <c r="CV437" i="147"/>
  <c r="CV438" i="147"/>
  <c r="CV439" i="147"/>
  <c r="CV440" i="147"/>
  <c r="CV441" i="147"/>
  <c r="CV442" i="147"/>
  <c r="CV443" i="147"/>
  <c r="CV444" i="147"/>
  <c r="CV445" i="147"/>
  <c r="CV446" i="147"/>
  <c r="CV447" i="147"/>
  <c r="CV448" i="147"/>
  <c r="CV449" i="147"/>
  <c r="CV450" i="147"/>
  <c r="CV451" i="147"/>
  <c r="CV452" i="147"/>
  <c r="CV453" i="147"/>
  <c r="CV454" i="147"/>
  <c r="CV455" i="147"/>
  <c r="CV456" i="147"/>
  <c r="CV457" i="147"/>
  <c r="CV458" i="147"/>
  <c r="CV459" i="147"/>
  <c r="CV460" i="147"/>
  <c r="CV461" i="147"/>
  <c r="CV462" i="147"/>
  <c r="CV463" i="147"/>
  <c r="CV464" i="147"/>
  <c r="CV465" i="147"/>
  <c r="CV466" i="147"/>
  <c r="CV467" i="147"/>
  <c r="CV468" i="147"/>
  <c r="CV469" i="147"/>
  <c r="CV470" i="147"/>
  <c r="CV471" i="147"/>
  <c r="CV472" i="147"/>
  <c r="CV473" i="147"/>
  <c r="CV474" i="147"/>
  <c r="CV475" i="147"/>
  <c r="CV476" i="147"/>
  <c r="CV477" i="147"/>
  <c r="CV478" i="147"/>
  <c r="CV479" i="147"/>
  <c r="CV480" i="147"/>
  <c r="CV481" i="147"/>
  <c r="CV482" i="147"/>
  <c r="CV483" i="147"/>
  <c r="CV484" i="147"/>
  <c r="CV485" i="147"/>
  <c r="CV486" i="147"/>
  <c r="CV487" i="147"/>
  <c r="CV488" i="147"/>
  <c r="CV489" i="147"/>
  <c r="CV490" i="147"/>
  <c r="CV491" i="147"/>
  <c r="CV492" i="147"/>
  <c r="CV493" i="147"/>
  <c r="CV494" i="147"/>
  <c r="CV495" i="147"/>
  <c r="CV496" i="147"/>
  <c r="CV497" i="147"/>
  <c r="CV498" i="147"/>
  <c r="CV499" i="147"/>
  <c r="CV500" i="147"/>
  <c r="CV501" i="147"/>
  <c r="CV502" i="147"/>
  <c r="CV503" i="147"/>
  <c r="CV504" i="147"/>
  <c r="CV505" i="147"/>
  <c r="CV506" i="147"/>
  <c r="CV507" i="147"/>
  <c r="CV508" i="147"/>
  <c r="CV509" i="147"/>
  <c r="CV510" i="147"/>
  <c r="CV511" i="147"/>
  <c r="CV512" i="147"/>
  <c r="CV513" i="147"/>
  <c r="CV514" i="147"/>
  <c r="CV515" i="147"/>
  <c r="CV516" i="147"/>
  <c r="CV517" i="147"/>
  <c r="CV518" i="147"/>
  <c r="CV519" i="147"/>
  <c r="CV520" i="147"/>
  <c r="CV521" i="147"/>
  <c r="CV522" i="147"/>
  <c r="CV523" i="147"/>
  <c r="CV524" i="147"/>
  <c r="CV525" i="147"/>
  <c r="CV526" i="147"/>
  <c r="CV527" i="147"/>
  <c r="CV528" i="147"/>
  <c r="CV529" i="147"/>
  <c r="CV530" i="147"/>
  <c r="CV531" i="147"/>
  <c r="CV532" i="147"/>
  <c r="CV533" i="147"/>
  <c r="CV534" i="147"/>
  <c r="CV535" i="147"/>
  <c r="CV536" i="147"/>
  <c r="CV537" i="147"/>
  <c r="CV538" i="147"/>
  <c r="CV539" i="147"/>
  <c r="CV540" i="147"/>
  <c r="CV541" i="147"/>
  <c r="CV542" i="147"/>
  <c r="CV543" i="147"/>
  <c r="CV544" i="147"/>
  <c r="CV545" i="147"/>
  <c r="CV546" i="147"/>
  <c r="CV547" i="147"/>
  <c r="CV548" i="147"/>
  <c r="CV549" i="147"/>
  <c r="CV550" i="147"/>
  <c r="CV551" i="147"/>
  <c r="CV552" i="147"/>
  <c r="CV553" i="147"/>
  <c r="CV554" i="147"/>
  <c r="CV555" i="147"/>
  <c r="CV556" i="147"/>
  <c r="CV557" i="147"/>
  <c r="CV558" i="147"/>
  <c r="CV559" i="147"/>
  <c r="CV560" i="147"/>
  <c r="CV561" i="147"/>
  <c r="CV562" i="147"/>
  <c r="CV563" i="147"/>
  <c r="CV564" i="147"/>
  <c r="CV565" i="147"/>
  <c r="CV566" i="147"/>
  <c r="CV568" i="147"/>
  <c r="CV569" i="147"/>
  <c r="CV570" i="147"/>
  <c r="CV571" i="147"/>
  <c r="CV572" i="147"/>
  <c r="CV573" i="147"/>
  <c r="CV574" i="147"/>
  <c r="CV575" i="147"/>
  <c r="CV576" i="147"/>
  <c r="CV577" i="147"/>
  <c r="CV578" i="147"/>
  <c r="CV579" i="147"/>
  <c r="CV580" i="147"/>
  <c r="CV581" i="147"/>
  <c r="CV582" i="147"/>
  <c r="CV583" i="147"/>
  <c r="CV584" i="147"/>
  <c r="CV585" i="147"/>
  <c r="CV586" i="147"/>
  <c r="CV587" i="147"/>
  <c r="CV588" i="147"/>
  <c r="CV589" i="147"/>
  <c r="CV590" i="147"/>
  <c r="CV591" i="147"/>
  <c r="CV592" i="147"/>
  <c r="CV593" i="147"/>
  <c r="CV594" i="147"/>
  <c r="CV595" i="147"/>
  <c r="CV596" i="147"/>
  <c r="CV597" i="147"/>
  <c r="CV598" i="147"/>
  <c r="CV600" i="147"/>
  <c r="CV601" i="147"/>
  <c r="CV602" i="147"/>
  <c r="CV603" i="147"/>
  <c r="CV604" i="147"/>
  <c r="CV605" i="147"/>
  <c r="CV606" i="147"/>
  <c r="CV607" i="147"/>
  <c r="CV608" i="147"/>
  <c r="CV609" i="147"/>
  <c r="CV610" i="147"/>
  <c r="CV611" i="147"/>
  <c r="CV612" i="147"/>
  <c r="CV613" i="147"/>
  <c r="CV614" i="147"/>
  <c r="CV615" i="147"/>
  <c r="CV616" i="147"/>
  <c r="CV617" i="147"/>
  <c r="CV618" i="147"/>
  <c r="CV619" i="147"/>
  <c r="CV620" i="147"/>
  <c r="CV621" i="147"/>
  <c r="CV622" i="147"/>
  <c r="CV623" i="147"/>
  <c r="CV624" i="147"/>
  <c r="CV625" i="147"/>
  <c r="CV626" i="147"/>
  <c r="CV627" i="147"/>
  <c r="CV628" i="147"/>
  <c r="CV629" i="147"/>
  <c r="CV631" i="147"/>
  <c r="CV632" i="147"/>
  <c r="CV633" i="147"/>
  <c r="CV634" i="147"/>
  <c r="CV635" i="147"/>
  <c r="CV636" i="147"/>
  <c r="CV637" i="147"/>
  <c r="CV638" i="147"/>
  <c r="CV639" i="147"/>
  <c r="CV640" i="147"/>
  <c r="CV641" i="147"/>
  <c r="CV642" i="147"/>
  <c r="CV643" i="147"/>
  <c r="CX375" i="147"/>
  <c r="CX377" i="147"/>
  <c r="CX378" i="147"/>
  <c r="CX386" i="147"/>
  <c r="CX387" i="147"/>
  <c r="CX388" i="147"/>
  <c r="CX389" i="147"/>
  <c r="CX390" i="147"/>
  <c r="CX391" i="147"/>
  <c r="CX392" i="147"/>
  <c r="CX393" i="147"/>
  <c r="CX394" i="147"/>
  <c r="CX395" i="147"/>
  <c r="CX396" i="147"/>
  <c r="CX397" i="147"/>
  <c r="CX398" i="147"/>
  <c r="CX399" i="147"/>
  <c r="CX400" i="147"/>
  <c r="CX401" i="147"/>
  <c r="CX402" i="147"/>
  <c r="CX403" i="147"/>
  <c r="CX404" i="147"/>
  <c r="CX405" i="147"/>
  <c r="CX406" i="147"/>
  <c r="CX407" i="147"/>
  <c r="CX408" i="147"/>
  <c r="CX409" i="147"/>
  <c r="CX410" i="147"/>
  <c r="CX411" i="147"/>
  <c r="CX412" i="147"/>
  <c r="CX413" i="147"/>
  <c r="CX414" i="147"/>
  <c r="CX415" i="147"/>
  <c r="CX416" i="147"/>
  <c r="CX417" i="147"/>
  <c r="CX418" i="147"/>
  <c r="CX419" i="147"/>
  <c r="CX420" i="147"/>
  <c r="CX421" i="147"/>
  <c r="CX422" i="147"/>
  <c r="CX423" i="147"/>
  <c r="CX424" i="147"/>
  <c r="CX425" i="147"/>
  <c r="CX426" i="147"/>
  <c r="CX427" i="147"/>
  <c r="CX428" i="147"/>
  <c r="CX429" i="147"/>
  <c r="CX430" i="147"/>
  <c r="CX431" i="147"/>
  <c r="CX432" i="147"/>
  <c r="CX433" i="147"/>
  <c r="CX434" i="147"/>
  <c r="CX435" i="147"/>
  <c r="CX436" i="147"/>
  <c r="CX437" i="147"/>
  <c r="CX438" i="147"/>
  <c r="CX439" i="147"/>
  <c r="CX440" i="147"/>
  <c r="CX441" i="147"/>
  <c r="CX442" i="147"/>
  <c r="CX443" i="147"/>
  <c r="CX444" i="147"/>
  <c r="CX445" i="147"/>
  <c r="CX379" i="147"/>
  <c r="CX380" i="147"/>
  <c r="CX381" i="147"/>
  <c r="CX382" i="147"/>
  <c r="CX383" i="147"/>
  <c r="CX384" i="147"/>
  <c r="CX385" i="147"/>
  <c r="CX446" i="147"/>
  <c r="CX447" i="147"/>
  <c r="CX448" i="147"/>
  <c r="CX449" i="147"/>
  <c r="CX450" i="147"/>
  <c r="CX451" i="147"/>
  <c r="CX452" i="147"/>
  <c r="CX453" i="147"/>
  <c r="CX454" i="147"/>
  <c r="CX455" i="147"/>
  <c r="CX456" i="147"/>
  <c r="CX457" i="147"/>
  <c r="CX458" i="147"/>
  <c r="CX459" i="147"/>
  <c r="CX460" i="147"/>
  <c r="CX461" i="147"/>
  <c r="CX462" i="147"/>
  <c r="CX463" i="147"/>
  <c r="CX464" i="147"/>
  <c r="CX465" i="147"/>
  <c r="CX466" i="147"/>
  <c r="CX467" i="147"/>
  <c r="CX468" i="147"/>
  <c r="CX469" i="147"/>
  <c r="CX470" i="147"/>
  <c r="CX471" i="147"/>
  <c r="CX472" i="147"/>
  <c r="CX473" i="147"/>
  <c r="CX474" i="147"/>
  <c r="CX475" i="147"/>
  <c r="CX476" i="147"/>
  <c r="CX477" i="147"/>
  <c r="CX478" i="147"/>
  <c r="CX479" i="147"/>
  <c r="CX480" i="147"/>
  <c r="CX481" i="147"/>
  <c r="CX482" i="147"/>
  <c r="CX483" i="147"/>
  <c r="CX484" i="147"/>
  <c r="CX485" i="147"/>
  <c r="CX486" i="147"/>
  <c r="CX487" i="147"/>
  <c r="CX488" i="147"/>
  <c r="CX489" i="147"/>
  <c r="CX490" i="147"/>
  <c r="CX491" i="147"/>
  <c r="CX492" i="147"/>
  <c r="CX493" i="147"/>
  <c r="CX497" i="147"/>
  <c r="CX498" i="147"/>
  <c r="CX499" i="147"/>
  <c r="CX500" i="147"/>
  <c r="CX501" i="147"/>
  <c r="CX502" i="147"/>
  <c r="CX503" i="147"/>
  <c r="CX504" i="147"/>
  <c r="CX505" i="147"/>
  <c r="CX506" i="147"/>
  <c r="CX507" i="147"/>
  <c r="CX508" i="147"/>
  <c r="CX509" i="147"/>
  <c r="CX510" i="147"/>
  <c r="CX511" i="147"/>
  <c r="CX512" i="147"/>
  <c r="CX513" i="147"/>
  <c r="CX514" i="147"/>
  <c r="CX515" i="147"/>
  <c r="CX516" i="147"/>
  <c r="CX517" i="147"/>
  <c r="CX518" i="147"/>
  <c r="CX519" i="147"/>
  <c r="CX520" i="147"/>
  <c r="CX521" i="147"/>
  <c r="CX522" i="147"/>
  <c r="CX523" i="147"/>
  <c r="CX524" i="147"/>
  <c r="CX525" i="147"/>
  <c r="CX526" i="147"/>
  <c r="CX527" i="147"/>
  <c r="CX528" i="147"/>
  <c r="CX529" i="147"/>
  <c r="CX530" i="147"/>
  <c r="CX531" i="147"/>
  <c r="CX532" i="147"/>
  <c r="CX533" i="147"/>
  <c r="CX534" i="147"/>
  <c r="CX535" i="147"/>
  <c r="CX536" i="147"/>
  <c r="CX537" i="147"/>
  <c r="CX538" i="147"/>
  <c r="CX539" i="147"/>
  <c r="CX540" i="147"/>
  <c r="CX541" i="147"/>
  <c r="CX542" i="147"/>
  <c r="CX543" i="147"/>
  <c r="CX544" i="147"/>
  <c r="CX545" i="147"/>
  <c r="CX546" i="147"/>
  <c r="CX547" i="147"/>
  <c r="CX548" i="147"/>
  <c r="CX549" i="147"/>
  <c r="CX550" i="147"/>
  <c r="CX551" i="147"/>
  <c r="CX552" i="147"/>
  <c r="CX553" i="147"/>
  <c r="CX554" i="147"/>
  <c r="CX555" i="147"/>
  <c r="CX556" i="147"/>
  <c r="CX557" i="147"/>
  <c r="CX558" i="147"/>
  <c r="CX559" i="147"/>
  <c r="CX560" i="147"/>
  <c r="CX561" i="147"/>
  <c r="CX562" i="147"/>
  <c r="CX563" i="147"/>
  <c r="CX564" i="147"/>
  <c r="CX565" i="147"/>
  <c r="CX566" i="147"/>
  <c r="CX568" i="147"/>
  <c r="CX494" i="147"/>
  <c r="CX495" i="147"/>
  <c r="CX496" i="147"/>
  <c r="CX569" i="147"/>
  <c r="CX570" i="147"/>
  <c r="CX571" i="147"/>
  <c r="CX572" i="147"/>
  <c r="CX573" i="147"/>
  <c r="CX574" i="147"/>
  <c r="CX575" i="147"/>
  <c r="CX576" i="147"/>
  <c r="CX577" i="147"/>
  <c r="CX578" i="147"/>
  <c r="CX579" i="147"/>
  <c r="CX580" i="147"/>
  <c r="CX581" i="147"/>
  <c r="CX582" i="147"/>
  <c r="CX583" i="147"/>
  <c r="CX584" i="147"/>
  <c r="CX585" i="147"/>
  <c r="CX586" i="147"/>
  <c r="CX587" i="147"/>
  <c r="CX588" i="147"/>
  <c r="CX589" i="147"/>
  <c r="CX590" i="147"/>
  <c r="CX591" i="147"/>
  <c r="CX592" i="147"/>
  <c r="CX593" i="147"/>
  <c r="CX594" i="147"/>
  <c r="CX595" i="147"/>
  <c r="CX596" i="147"/>
  <c r="CX597" i="147"/>
  <c r="CX598" i="147"/>
  <c r="CX600" i="147"/>
  <c r="CX601" i="147"/>
  <c r="CX602" i="147"/>
  <c r="CX603" i="147"/>
  <c r="CX604" i="147"/>
  <c r="CX605" i="147"/>
  <c r="CX606" i="147"/>
  <c r="CX607" i="147"/>
  <c r="CX608" i="147"/>
  <c r="CX609" i="147"/>
  <c r="CX610" i="147"/>
  <c r="CX611" i="147"/>
  <c r="CX612" i="147"/>
  <c r="CX613" i="147"/>
  <c r="CX614" i="147"/>
  <c r="CX615" i="147"/>
  <c r="CX616" i="147"/>
  <c r="CX617" i="147"/>
  <c r="CX618" i="147"/>
  <c r="CX619" i="147"/>
  <c r="CX620" i="147"/>
  <c r="CX621" i="147"/>
  <c r="CX622" i="147"/>
  <c r="CX623" i="147"/>
  <c r="CX624" i="147"/>
  <c r="CX625" i="147"/>
  <c r="CX626" i="147"/>
  <c r="CX627" i="147"/>
  <c r="CX628" i="147"/>
  <c r="CX629" i="147"/>
  <c r="CX631" i="147"/>
  <c r="CX632" i="147"/>
  <c r="CX633" i="147"/>
  <c r="CX634" i="147"/>
  <c r="CX635" i="147"/>
  <c r="CX636" i="147"/>
  <c r="CX637" i="147"/>
  <c r="CX638" i="147"/>
  <c r="CX639" i="147"/>
  <c r="CX640" i="147"/>
  <c r="CX641" i="147"/>
  <c r="CX642" i="147"/>
  <c r="CX643" i="147"/>
  <c r="CZ375" i="147"/>
  <c r="CZ376" i="147"/>
  <c r="CZ377" i="147"/>
  <c r="CZ378" i="147"/>
  <c r="CZ379" i="147"/>
  <c r="CZ380" i="147"/>
  <c r="CZ383" i="147"/>
  <c r="CZ384" i="147"/>
  <c r="CZ385" i="147"/>
  <c r="CZ400" i="147"/>
  <c r="CZ401" i="147"/>
  <c r="CZ402" i="147"/>
  <c r="CZ403" i="147"/>
  <c r="CZ406" i="147"/>
  <c r="CZ407" i="147"/>
  <c r="CZ408" i="147"/>
  <c r="CZ410" i="147"/>
  <c r="CZ412" i="147"/>
  <c r="CZ413" i="147"/>
  <c r="CZ414" i="147"/>
  <c r="CZ415" i="147"/>
  <c r="CZ416" i="147"/>
  <c r="CZ417" i="147"/>
  <c r="CZ418" i="147"/>
  <c r="CZ419" i="147"/>
  <c r="CZ420" i="147"/>
  <c r="CZ421" i="147"/>
  <c r="CZ426" i="147"/>
  <c r="CZ427" i="147"/>
  <c r="CZ428" i="147"/>
  <c r="CZ429" i="147"/>
  <c r="CZ430" i="147"/>
  <c r="CZ431" i="147"/>
  <c r="CZ432" i="147"/>
  <c r="CZ433" i="147"/>
  <c r="CZ434" i="147"/>
  <c r="CZ435" i="147"/>
  <c r="CZ436" i="147"/>
  <c r="CZ437" i="147"/>
  <c r="CZ438" i="147"/>
  <c r="CZ439" i="147"/>
  <c r="CZ440" i="147"/>
  <c r="CZ441" i="147"/>
  <c r="CZ442" i="147"/>
  <c r="CZ443" i="147"/>
  <c r="CZ444" i="147"/>
  <c r="CZ445" i="147"/>
  <c r="CZ386" i="147"/>
  <c r="CZ387" i="147"/>
  <c r="CZ388" i="147"/>
  <c r="CZ389" i="147"/>
  <c r="CZ390" i="147"/>
  <c r="CZ391" i="147"/>
  <c r="CZ392" i="147"/>
  <c r="CZ393" i="147"/>
  <c r="CZ394" i="147"/>
  <c r="CZ395" i="147"/>
  <c r="CZ396" i="147"/>
  <c r="CZ397" i="147"/>
  <c r="CZ398" i="147"/>
  <c r="CZ399" i="147"/>
  <c r="CZ446" i="147"/>
  <c r="CZ447" i="147"/>
  <c r="CZ448" i="147"/>
  <c r="CZ449" i="147"/>
  <c r="CZ450" i="147"/>
  <c r="CZ451" i="147"/>
  <c r="CZ452" i="147"/>
  <c r="CZ453" i="147"/>
  <c r="CZ454" i="147"/>
  <c r="CZ455" i="147"/>
  <c r="CZ456" i="147"/>
  <c r="CZ457" i="147"/>
  <c r="CZ458" i="147"/>
  <c r="CZ459" i="147"/>
  <c r="CZ460" i="147"/>
  <c r="CZ461" i="147"/>
  <c r="CZ462" i="147"/>
  <c r="CZ463" i="147"/>
  <c r="CZ464" i="147"/>
  <c r="CZ465" i="147"/>
  <c r="CZ474" i="147"/>
  <c r="CZ475" i="147"/>
  <c r="CZ476" i="147"/>
  <c r="CZ477" i="147"/>
  <c r="CZ479" i="147"/>
  <c r="CZ480" i="147"/>
  <c r="CZ481" i="147"/>
  <c r="CZ482" i="147"/>
  <c r="CZ483" i="147"/>
  <c r="CZ484" i="147"/>
  <c r="CZ485" i="147"/>
  <c r="CZ486" i="147"/>
  <c r="CZ488" i="147"/>
  <c r="CZ490" i="147"/>
  <c r="CZ492" i="147"/>
  <c r="CZ516" i="147"/>
  <c r="CZ517" i="147"/>
  <c r="CZ518" i="147"/>
  <c r="CZ519" i="147"/>
  <c r="CZ520" i="147"/>
  <c r="CZ521" i="147"/>
  <c r="CZ522" i="147"/>
  <c r="CZ523" i="147"/>
  <c r="CZ524" i="147"/>
  <c r="CZ525" i="147"/>
  <c r="CZ531" i="147"/>
  <c r="CZ535" i="147"/>
  <c r="CZ536" i="147"/>
  <c r="CZ537" i="147"/>
  <c r="CZ538" i="147"/>
  <c r="CZ539" i="147"/>
  <c r="CZ540" i="147"/>
  <c r="CZ541" i="147"/>
  <c r="CZ542" i="147"/>
  <c r="CZ543" i="147"/>
  <c r="CZ546" i="147"/>
  <c r="CZ547" i="147"/>
  <c r="CZ548" i="147"/>
  <c r="CZ549" i="147"/>
  <c r="CZ550" i="147"/>
  <c r="CZ551" i="147"/>
  <c r="CZ552" i="147"/>
  <c r="CZ553" i="147"/>
  <c r="CZ554" i="147"/>
  <c r="CZ555" i="147"/>
  <c r="CZ556" i="147"/>
  <c r="CZ557" i="147"/>
  <c r="CZ558" i="147"/>
  <c r="CZ559" i="147"/>
  <c r="CZ560" i="147"/>
  <c r="CZ561" i="147"/>
  <c r="CZ562" i="147"/>
  <c r="CZ563" i="147"/>
  <c r="CZ564" i="147"/>
  <c r="CZ565" i="147"/>
  <c r="CZ566" i="147"/>
  <c r="CZ568" i="147"/>
  <c r="CZ569" i="147"/>
  <c r="CZ570" i="147"/>
  <c r="CZ571" i="147"/>
  <c r="CZ572" i="147"/>
  <c r="CZ573" i="147"/>
  <c r="CZ574" i="147"/>
  <c r="CZ575" i="147"/>
  <c r="CZ576" i="147"/>
  <c r="CZ577" i="147"/>
  <c r="CZ578" i="147"/>
  <c r="CZ579" i="147"/>
  <c r="CZ580" i="147"/>
  <c r="CZ581" i="147"/>
  <c r="CZ582" i="147"/>
  <c r="CZ583" i="147"/>
  <c r="CZ584" i="147"/>
  <c r="CZ585" i="147"/>
  <c r="CZ586" i="147"/>
  <c r="CZ587" i="147"/>
  <c r="CZ588" i="147"/>
  <c r="CZ589" i="147"/>
  <c r="CZ590" i="147"/>
  <c r="CZ591" i="147"/>
  <c r="CZ592" i="147"/>
  <c r="CZ593" i="147"/>
  <c r="CZ594" i="147"/>
  <c r="CZ595" i="147"/>
  <c r="CZ596" i="147"/>
  <c r="CZ597" i="147"/>
  <c r="CZ598" i="147"/>
  <c r="CZ600" i="147"/>
  <c r="CZ601" i="147"/>
  <c r="CZ602" i="147"/>
  <c r="CZ603" i="147"/>
  <c r="CZ604" i="147"/>
  <c r="CZ608" i="147"/>
  <c r="CZ609" i="147"/>
  <c r="CZ610" i="147"/>
  <c r="CZ611" i="147"/>
  <c r="CZ612" i="147"/>
  <c r="CZ613" i="147"/>
  <c r="CZ614" i="147"/>
  <c r="CZ615" i="147"/>
  <c r="CZ616" i="147"/>
  <c r="CZ617" i="147"/>
  <c r="CZ618" i="147"/>
  <c r="CZ619" i="147"/>
  <c r="CZ620" i="147"/>
  <c r="CZ621" i="147"/>
  <c r="CZ627" i="147"/>
  <c r="CZ628" i="147"/>
  <c r="CZ629" i="147"/>
  <c r="CZ631" i="147"/>
  <c r="CZ632" i="147"/>
  <c r="CZ633" i="147"/>
  <c r="CZ634" i="147"/>
  <c r="CZ635" i="147"/>
  <c r="CZ638" i="147"/>
  <c r="CZ639" i="147"/>
  <c r="CZ643" i="147"/>
  <c r="CZ529" i="147"/>
  <c r="CZ515" i="147"/>
  <c r="CZ528" i="147"/>
  <c r="CZ545" i="147"/>
  <c r="CZ544" i="147"/>
  <c r="CZ527" i="147"/>
  <c r="CZ626" i="147"/>
  <c r="CZ624" i="147"/>
  <c r="CZ625" i="147"/>
  <c r="CZ623" i="147"/>
  <c r="CZ622" i="147"/>
  <c r="DB375" i="147"/>
  <c r="DB376" i="147"/>
  <c r="DB377" i="147"/>
  <c r="DB378" i="147"/>
  <c r="DB379" i="147"/>
  <c r="DB380" i="147"/>
  <c r="DB381" i="147"/>
  <c r="DB382" i="147"/>
  <c r="DB383" i="147"/>
  <c r="DB384" i="147"/>
  <c r="DB385" i="147"/>
  <c r="DB386" i="147"/>
  <c r="DB387" i="147"/>
  <c r="DB388" i="147"/>
  <c r="DB389" i="147"/>
  <c r="DB390" i="147"/>
  <c r="DB391" i="147"/>
  <c r="DB392" i="147"/>
  <c r="DB393" i="147"/>
  <c r="DB394" i="147"/>
  <c r="DB395" i="147"/>
  <c r="DB396" i="147"/>
  <c r="DB397" i="147"/>
  <c r="DB398" i="147"/>
  <c r="DB399" i="147"/>
  <c r="DB400" i="147"/>
  <c r="DB401" i="147"/>
  <c r="DB402" i="147"/>
  <c r="DB403" i="147"/>
  <c r="DB404" i="147"/>
  <c r="DB405" i="147"/>
  <c r="DB406" i="147"/>
  <c r="DB407" i="147"/>
  <c r="DB408" i="147"/>
  <c r="DB409" i="147"/>
  <c r="DB410" i="147"/>
  <c r="DB411" i="147"/>
  <c r="DB412" i="147"/>
  <c r="DB413" i="147"/>
  <c r="DB414" i="147"/>
  <c r="DB415" i="147"/>
  <c r="DB416" i="147"/>
  <c r="DB417" i="147"/>
  <c r="DB418" i="147"/>
  <c r="DB419" i="147"/>
  <c r="DB420" i="147"/>
  <c r="DB421" i="147"/>
  <c r="DB422" i="147"/>
  <c r="DB423" i="147"/>
  <c r="DB424" i="147"/>
  <c r="DB425" i="147"/>
  <c r="DB426" i="147"/>
  <c r="DB427" i="147"/>
  <c r="DB428" i="147"/>
  <c r="DB429" i="147"/>
  <c r="DB430" i="147"/>
  <c r="DB431" i="147"/>
  <c r="DB432" i="147"/>
  <c r="DB433" i="147"/>
  <c r="DB434" i="147"/>
  <c r="DB435" i="147"/>
  <c r="DB436" i="147"/>
  <c r="DB437" i="147"/>
  <c r="DB438" i="147"/>
  <c r="DB439" i="147"/>
  <c r="DB440" i="147"/>
  <c r="DB441" i="147"/>
  <c r="DB442" i="147"/>
  <c r="DB443" i="147"/>
  <c r="DB444" i="147"/>
  <c r="DB445" i="147"/>
  <c r="DB446" i="147"/>
  <c r="DB447" i="147"/>
  <c r="DB448" i="147"/>
  <c r="DB449" i="147"/>
  <c r="DB450" i="147"/>
  <c r="DB451" i="147"/>
  <c r="DB452" i="147"/>
  <c r="DB453" i="147"/>
  <c r="DB454" i="147"/>
  <c r="DB455" i="147"/>
  <c r="DB456" i="147"/>
  <c r="DB457" i="147"/>
  <c r="DB458" i="147"/>
  <c r="DB459" i="147"/>
  <c r="DB460" i="147"/>
  <c r="DB461" i="147"/>
  <c r="DB462" i="147"/>
  <c r="DB463" i="147"/>
  <c r="DB464" i="147"/>
  <c r="DB465" i="147"/>
  <c r="DB466" i="147"/>
  <c r="DB467" i="147"/>
  <c r="DB468" i="147"/>
  <c r="DB469" i="147"/>
  <c r="DB470" i="147"/>
  <c r="DB471" i="147"/>
  <c r="DB472" i="147"/>
  <c r="DB473" i="147"/>
  <c r="DB474" i="147"/>
  <c r="DB475" i="147"/>
  <c r="DB476" i="147"/>
  <c r="DB477" i="147"/>
  <c r="DB478" i="147"/>
  <c r="DB479" i="147"/>
  <c r="DB480" i="147"/>
  <c r="DB481" i="147"/>
  <c r="DB482" i="147"/>
  <c r="DB483" i="147"/>
  <c r="DB484" i="147"/>
  <c r="DB485" i="147"/>
  <c r="DB486" i="147"/>
  <c r="DB487" i="147"/>
  <c r="DB488" i="147"/>
  <c r="DB489" i="147"/>
  <c r="DB490" i="147"/>
  <c r="DB491" i="147"/>
  <c r="DB492" i="147"/>
  <c r="DB493" i="147"/>
  <c r="DB497" i="147"/>
  <c r="DB498" i="147"/>
  <c r="DB499" i="147"/>
  <c r="DB500" i="147"/>
  <c r="DB501" i="147"/>
  <c r="DB502" i="147"/>
  <c r="DB503" i="147"/>
  <c r="DB504" i="147"/>
  <c r="DB505" i="147"/>
  <c r="DB506" i="147"/>
  <c r="DB507" i="147"/>
  <c r="DB508" i="147"/>
  <c r="DB509" i="147"/>
  <c r="DB510" i="147"/>
  <c r="DB511" i="147"/>
  <c r="DB512" i="147"/>
  <c r="DB513" i="147"/>
  <c r="DB514" i="147"/>
  <c r="DB515" i="147"/>
  <c r="DB516" i="147"/>
  <c r="DB517" i="147"/>
  <c r="DB518" i="147"/>
  <c r="DB519" i="147"/>
  <c r="DB520" i="147"/>
  <c r="DB521" i="147"/>
  <c r="DB522" i="147"/>
  <c r="DB523" i="147"/>
  <c r="DB524" i="147"/>
  <c r="DB525" i="147"/>
  <c r="DB526" i="147"/>
  <c r="DB527" i="147"/>
  <c r="DB528" i="147"/>
  <c r="DB529" i="147"/>
  <c r="DB530" i="147"/>
  <c r="DB531" i="147"/>
  <c r="DB532" i="147"/>
  <c r="DB533" i="147"/>
  <c r="DB534" i="147"/>
  <c r="DB535" i="147"/>
  <c r="DB536" i="147"/>
  <c r="DB537" i="147"/>
  <c r="DB538" i="147"/>
  <c r="DB539" i="147"/>
  <c r="DB540" i="147"/>
  <c r="DB541" i="147"/>
  <c r="DB542" i="147"/>
  <c r="DB543" i="147"/>
  <c r="DB544" i="147"/>
  <c r="DB545" i="147"/>
  <c r="DB546" i="147"/>
  <c r="DB547" i="147"/>
  <c r="DB548" i="147"/>
  <c r="DB549" i="147"/>
  <c r="DB550" i="147"/>
  <c r="DB551" i="147"/>
  <c r="DB552" i="147"/>
  <c r="DB553" i="147"/>
  <c r="DB554" i="147"/>
  <c r="DB555" i="147"/>
  <c r="DB556" i="147"/>
  <c r="DB557" i="147"/>
  <c r="DB558" i="147"/>
  <c r="DB559" i="147"/>
  <c r="DB560" i="147"/>
  <c r="DB561" i="147"/>
  <c r="DB562" i="147"/>
  <c r="DB563" i="147"/>
  <c r="DB564" i="147"/>
  <c r="DB565" i="147"/>
  <c r="DB566" i="147"/>
  <c r="DB568" i="147"/>
  <c r="DB494" i="147"/>
  <c r="DB495" i="147"/>
  <c r="DB496" i="147"/>
  <c r="DB569" i="147"/>
  <c r="DB570" i="147"/>
  <c r="DB571" i="147"/>
  <c r="DB572" i="147"/>
  <c r="DB573" i="147"/>
  <c r="DB574" i="147"/>
  <c r="DB575" i="147"/>
  <c r="DB576" i="147"/>
  <c r="DB577" i="147"/>
  <c r="DB578" i="147"/>
  <c r="DB579" i="147"/>
  <c r="DB580" i="147"/>
  <c r="DB581" i="147"/>
  <c r="DB582" i="147"/>
  <c r="DB583" i="147"/>
  <c r="DB584" i="147"/>
  <c r="DB585" i="147"/>
  <c r="DB586" i="147"/>
  <c r="DB587" i="147"/>
  <c r="DB588" i="147"/>
  <c r="DB589" i="147"/>
  <c r="DB590" i="147"/>
  <c r="DB591" i="147"/>
  <c r="DB592" i="147"/>
  <c r="DB593" i="147"/>
  <c r="DB594" i="147"/>
  <c r="DB595" i="147"/>
  <c r="DB596" i="147"/>
  <c r="DB597" i="147"/>
  <c r="DB598" i="147"/>
  <c r="DB600" i="147"/>
  <c r="DB601" i="147"/>
  <c r="DB602" i="147"/>
  <c r="DB603" i="147"/>
  <c r="DB604" i="147"/>
  <c r="DB605" i="147"/>
  <c r="DB606" i="147"/>
  <c r="DB607" i="147"/>
  <c r="DB608" i="147"/>
  <c r="DB609" i="147"/>
  <c r="DB610" i="147"/>
  <c r="DB611" i="147"/>
  <c r="DB612" i="147"/>
  <c r="DB613" i="147"/>
  <c r="DB614" i="147"/>
  <c r="DB615" i="147"/>
  <c r="DB616" i="147"/>
  <c r="DB617" i="147"/>
  <c r="DB618" i="147"/>
  <c r="DB619" i="147"/>
  <c r="DB620" i="147"/>
  <c r="DB621" i="147"/>
  <c r="DB622" i="147"/>
  <c r="DB623" i="147"/>
  <c r="DB624" i="147"/>
  <c r="DB625" i="147"/>
  <c r="DB626" i="147"/>
  <c r="DB627" i="147"/>
  <c r="DB628" i="147"/>
  <c r="DB629" i="147"/>
  <c r="DB631" i="147"/>
  <c r="DB632" i="147"/>
  <c r="DB633" i="147"/>
  <c r="DB634" i="147"/>
  <c r="DB635" i="147"/>
  <c r="DB636" i="147"/>
  <c r="DB637" i="147"/>
  <c r="DB638" i="147"/>
  <c r="DB639" i="147"/>
  <c r="DB640" i="147"/>
  <c r="DB641" i="147"/>
  <c r="DB642" i="147"/>
  <c r="DB643" i="147"/>
  <c r="DD375" i="147"/>
  <c r="DD376" i="147"/>
  <c r="DD377" i="147"/>
  <c r="DD378" i="147"/>
  <c r="DD379" i="147"/>
  <c r="DD380" i="147"/>
  <c r="DD381" i="147"/>
  <c r="DD382" i="147"/>
  <c r="DD383" i="147"/>
  <c r="DD384" i="147"/>
  <c r="DD385" i="147"/>
  <c r="DD400" i="147"/>
  <c r="DD401" i="147"/>
  <c r="DD402" i="147"/>
  <c r="DD403" i="147"/>
  <c r="DD404" i="147"/>
  <c r="DD405" i="147"/>
  <c r="DD406" i="147"/>
  <c r="DD407" i="147"/>
  <c r="DD408" i="147"/>
  <c r="DD409" i="147"/>
  <c r="DD410" i="147"/>
  <c r="DD411" i="147"/>
  <c r="DD412" i="147"/>
  <c r="DD413" i="147"/>
  <c r="DD414" i="147"/>
  <c r="DD415" i="147"/>
  <c r="DD416" i="147"/>
  <c r="DD417" i="147"/>
  <c r="DD418" i="147"/>
  <c r="DD419" i="147"/>
  <c r="DD420" i="147"/>
  <c r="DD421" i="147"/>
  <c r="DD422" i="147"/>
  <c r="DD423" i="147"/>
  <c r="DD424" i="147"/>
  <c r="DD425" i="147"/>
  <c r="DD426" i="147"/>
  <c r="DD427" i="147"/>
  <c r="DD428" i="147"/>
  <c r="DD386" i="147"/>
  <c r="DD387" i="147"/>
  <c r="DD388" i="147"/>
  <c r="DD389" i="147"/>
  <c r="DD390" i="147"/>
  <c r="DD391" i="147"/>
  <c r="DD392" i="147"/>
  <c r="DD393" i="147"/>
  <c r="DD394" i="147"/>
  <c r="DD395" i="147"/>
  <c r="DD396" i="147"/>
  <c r="DD397" i="147"/>
  <c r="DD398" i="147"/>
  <c r="DD399" i="147"/>
  <c r="DD429" i="147"/>
  <c r="DD430" i="147"/>
  <c r="DD431" i="147"/>
  <c r="DD432" i="147"/>
  <c r="DD433" i="147"/>
  <c r="DD434" i="147"/>
  <c r="DD435" i="147"/>
  <c r="DD436" i="147"/>
  <c r="DD437" i="147"/>
  <c r="DD438" i="147"/>
  <c r="DD439" i="147"/>
  <c r="DD440" i="147"/>
  <c r="DD441" i="147"/>
  <c r="DD442" i="147"/>
  <c r="DD443" i="147"/>
  <c r="DD444" i="147"/>
  <c r="DD445" i="147"/>
  <c r="DD446" i="147"/>
  <c r="DD447" i="147"/>
  <c r="DD448" i="147"/>
  <c r="DD449" i="147"/>
  <c r="DD450" i="147"/>
  <c r="DD451" i="147"/>
  <c r="DD452" i="147"/>
  <c r="DD453" i="147"/>
  <c r="DD454" i="147"/>
  <c r="DD455" i="147"/>
  <c r="DD456" i="147"/>
  <c r="DD457" i="147"/>
  <c r="DD458" i="147"/>
  <c r="DD459" i="147"/>
  <c r="DD460" i="147"/>
  <c r="DD461" i="147"/>
  <c r="DD462" i="147"/>
  <c r="DD463" i="147"/>
  <c r="DD464" i="147"/>
  <c r="DD465" i="147"/>
  <c r="DD466" i="147"/>
  <c r="DD467" i="147"/>
  <c r="DD468" i="147"/>
  <c r="DD469" i="147"/>
  <c r="DD470" i="147"/>
  <c r="DD471" i="147"/>
  <c r="DD472" i="147"/>
  <c r="DD473" i="147"/>
  <c r="DD474" i="147"/>
  <c r="DD475" i="147"/>
  <c r="DD476" i="147"/>
  <c r="DD477" i="147"/>
  <c r="DD478" i="147"/>
  <c r="DD479" i="147"/>
  <c r="DD480" i="147"/>
  <c r="DD481" i="147"/>
  <c r="DD482" i="147"/>
  <c r="DD483" i="147"/>
  <c r="DD484" i="147"/>
  <c r="DD485" i="147"/>
  <c r="DD486" i="147"/>
  <c r="DD487" i="147"/>
  <c r="DD488" i="147"/>
  <c r="DD489" i="147"/>
  <c r="DD490" i="147"/>
  <c r="DD491" i="147"/>
  <c r="DD492" i="147"/>
  <c r="DD493" i="147"/>
  <c r="DD494" i="147"/>
  <c r="DD495" i="147"/>
  <c r="DD496" i="147"/>
  <c r="DD497" i="147"/>
  <c r="DD498" i="147"/>
  <c r="DD499" i="147"/>
  <c r="DD500" i="147"/>
  <c r="DD501" i="147"/>
  <c r="DD502" i="147"/>
  <c r="DD503" i="147"/>
  <c r="DD504" i="147"/>
  <c r="DD505" i="147"/>
  <c r="DD506" i="147"/>
  <c r="DD516" i="147"/>
  <c r="DD517" i="147"/>
  <c r="DD518" i="147"/>
  <c r="DD519" i="147"/>
  <c r="DD520" i="147"/>
  <c r="DD521" i="147"/>
  <c r="DD522" i="147"/>
  <c r="DD523" i="147"/>
  <c r="DD524" i="147"/>
  <c r="DD525" i="147"/>
  <c r="DD530" i="147"/>
  <c r="DD531" i="147"/>
  <c r="DD532" i="147"/>
  <c r="DD533" i="147"/>
  <c r="DD534" i="147"/>
  <c r="DD535" i="147"/>
  <c r="DD536" i="147"/>
  <c r="DD537" i="147"/>
  <c r="DD538" i="147"/>
  <c r="DD539" i="147"/>
  <c r="DD540" i="147"/>
  <c r="DD541" i="147"/>
  <c r="DD542" i="147"/>
  <c r="DD543" i="147"/>
  <c r="DD544" i="147"/>
  <c r="DD545" i="147"/>
  <c r="DD546" i="147"/>
  <c r="DD547" i="147"/>
  <c r="DD548" i="147"/>
  <c r="DD549" i="147"/>
  <c r="DD550" i="147"/>
  <c r="DD551" i="147"/>
  <c r="DD552" i="147"/>
  <c r="DD553" i="147"/>
  <c r="DD554" i="147"/>
  <c r="DD555" i="147"/>
  <c r="DD556" i="147"/>
  <c r="DD557" i="147"/>
  <c r="DD558" i="147"/>
  <c r="DD559" i="147"/>
  <c r="DD565" i="147"/>
  <c r="DD566" i="147"/>
  <c r="DD568" i="147"/>
  <c r="DD569" i="147"/>
  <c r="DD570" i="147"/>
  <c r="DD572" i="147"/>
  <c r="DD573" i="147"/>
  <c r="DD574" i="147"/>
  <c r="DD575" i="147"/>
  <c r="DD576" i="147"/>
  <c r="DD577" i="147"/>
  <c r="DD578" i="147"/>
  <c r="DD579" i="147"/>
  <c r="DD580" i="147"/>
  <c r="DD581" i="147"/>
  <c r="DD582" i="147"/>
  <c r="DD583" i="147"/>
  <c r="DD584" i="147"/>
  <c r="DD585" i="147"/>
  <c r="DD590" i="147"/>
  <c r="DD591" i="147"/>
  <c r="DD592" i="147"/>
  <c r="DD593" i="147"/>
  <c r="DD594" i="147"/>
  <c r="DD595" i="147"/>
  <c r="DD596" i="147"/>
  <c r="DD597" i="147"/>
  <c r="DD598" i="147"/>
  <c r="DD600" i="147"/>
  <c r="DD601" i="147"/>
  <c r="DD602" i="147"/>
  <c r="DD603" i="147"/>
  <c r="DD604" i="147"/>
  <c r="DD605" i="147"/>
  <c r="DD606" i="147"/>
  <c r="DD607" i="147"/>
  <c r="DD608" i="147"/>
  <c r="DD609" i="147"/>
  <c r="DD610" i="147"/>
  <c r="DD611" i="147"/>
  <c r="DD612" i="147"/>
  <c r="DD613" i="147"/>
  <c r="DD614" i="147"/>
  <c r="DD615" i="147"/>
  <c r="DD616" i="147"/>
  <c r="DD617" i="147"/>
  <c r="DD618" i="147"/>
  <c r="DD619" i="147"/>
  <c r="DD620" i="147"/>
  <c r="DD621" i="147"/>
  <c r="DD622" i="147"/>
  <c r="DD623" i="147"/>
  <c r="DD624" i="147"/>
  <c r="DD625" i="147"/>
  <c r="DD626" i="147"/>
  <c r="DD627" i="147"/>
  <c r="DD628" i="147"/>
  <c r="DD629" i="147"/>
  <c r="DD631" i="147"/>
  <c r="DD632" i="147"/>
  <c r="DD633" i="147"/>
  <c r="DD634" i="147"/>
  <c r="DD635" i="147"/>
  <c r="DD636" i="147"/>
  <c r="DD637" i="147"/>
  <c r="DD638" i="147"/>
  <c r="DD639" i="147"/>
  <c r="DD640" i="147"/>
  <c r="DD641" i="147"/>
  <c r="DD642" i="147"/>
  <c r="DD643" i="147"/>
  <c r="DD571" i="147"/>
  <c r="DD515" i="147"/>
  <c r="DD529" i="147"/>
  <c r="DD563" i="147"/>
  <c r="DD527" i="147"/>
  <c r="DD589" i="147"/>
  <c r="DF375" i="147"/>
  <c r="DF376" i="147"/>
  <c r="DF377" i="147"/>
  <c r="DF378" i="147"/>
  <c r="DF386" i="147"/>
  <c r="DF387" i="147"/>
  <c r="DF388" i="147"/>
  <c r="DF389" i="147"/>
  <c r="DF390" i="147"/>
  <c r="DF391" i="147"/>
  <c r="DF392" i="147"/>
  <c r="DF393" i="147"/>
  <c r="DF394" i="147"/>
  <c r="DF395" i="147"/>
  <c r="DF396" i="147"/>
  <c r="DF397" i="147"/>
  <c r="DF398" i="147"/>
  <c r="DF399" i="147"/>
  <c r="DF400" i="147"/>
  <c r="DF401" i="147"/>
  <c r="DF402" i="147"/>
  <c r="DF403" i="147"/>
  <c r="DF404" i="147"/>
  <c r="DF405" i="147"/>
  <c r="DF406" i="147"/>
  <c r="DF407" i="147"/>
  <c r="DF408" i="147"/>
  <c r="DF409" i="147"/>
  <c r="DF410" i="147"/>
  <c r="DF411" i="147"/>
  <c r="DF412" i="147"/>
  <c r="DF413" i="147"/>
  <c r="DF414" i="147"/>
  <c r="DF415" i="147"/>
  <c r="DF416" i="147"/>
  <c r="DF417" i="147"/>
  <c r="DF418" i="147"/>
  <c r="DF419" i="147"/>
  <c r="DF420" i="147"/>
  <c r="DF421" i="147"/>
  <c r="DF425" i="147"/>
  <c r="DF379" i="147"/>
  <c r="DF380" i="147"/>
  <c r="DF381" i="147"/>
  <c r="DF382" i="147"/>
  <c r="DF383" i="147"/>
  <c r="DF384" i="147"/>
  <c r="DF385" i="147"/>
  <c r="DF429" i="147"/>
  <c r="DF431" i="147"/>
  <c r="DF432" i="147"/>
  <c r="DF433" i="147"/>
  <c r="DF434" i="147"/>
  <c r="DF435" i="147"/>
  <c r="DF436" i="147"/>
  <c r="DF437" i="147"/>
  <c r="DF438" i="147"/>
  <c r="DF439" i="147"/>
  <c r="DF440" i="147"/>
  <c r="DF441" i="147"/>
  <c r="DF442" i="147"/>
  <c r="DF443" i="147"/>
  <c r="DF444" i="147"/>
  <c r="DF445" i="147"/>
  <c r="DF446" i="147"/>
  <c r="DF447" i="147"/>
  <c r="DF448" i="147"/>
  <c r="DF449" i="147"/>
  <c r="DF450" i="147"/>
  <c r="DF452" i="147"/>
  <c r="DF454" i="147"/>
  <c r="DF455" i="147"/>
  <c r="DF456" i="147"/>
  <c r="DF458" i="147"/>
  <c r="DF459" i="147"/>
  <c r="DF460" i="147"/>
  <c r="DF461" i="147"/>
  <c r="DF462" i="147"/>
  <c r="DF463" i="147"/>
  <c r="DF464" i="147"/>
  <c r="DF465" i="147"/>
  <c r="DF466" i="147"/>
  <c r="DF467" i="147"/>
  <c r="DF468" i="147"/>
  <c r="DF469" i="147"/>
  <c r="DF470" i="147"/>
  <c r="DF471" i="147"/>
  <c r="DF472" i="147"/>
  <c r="DF473" i="147"/>
  <c r="DF474" i="147"/>
  <c r="DF475" i="147"/>
  <c r="DF476" i="147"/>
  <c r="DF477" i="147"/>
  <c r="DF479" i="147"/>
  <c r="DF480" i="147"/>
  <c r="DF481" i="147"/>
  <c r="DF483" i="147"/>
  <c r="DF486" i="147"/>
  <c r="DF487" i="147"/>
  <c r="DF488" i="147"/>
  <c r="DF489" i="147"/>
  <c r="DF490" i="147"/>
  <c r="DF491" i="147"/>
  <c r="DF492" i="147"/>
  <c r="DF493" i="147"/>
  <c r="DF497" i="147"/>
  <c r="DF498" i="147"/>
  <c r="DF499" i="147"/>
  <c r="DF500" i="147"/>
  <c r="DF501" i="147"/>
  <c r="DF502" i="147"/>
  <c r="DF503" i="147"/>
  <c r="DF504" i="147"/>
  <c r="DF505" i="147"/>
  <c r="DF506" i="147"/>
  <c r="DF507" i="147"/>
  <c r="DF508" i="147"/>
  <c r="DF509" i="147"/>
  <c r="DF510" i="147"/>
  <c r="DF511" i="147"/>
  <c r="DF512" i="147"/>
  <c r="DF513" i="147"/>
  <c r="DF514" i="147"/>
  <c r="DF515" i="147"/>
  <c r="DF516" i="147"/>
  <c r="DF517" i="147"/>
  <c r="DF518" i="147"/>
  <c r="DF519" i="147"/>
  <c r="DF521" i="147"/>
  <c r="DF522" i="147"/>
  <c r="DF523" i="147"/>
  <c r="DF524" i="147"/>
  <c r="DF525" i="147"/>
  <c r="DF526" i="147"/>
  <c r="DF527" i="147"/>
  <c r="DF528" i="147"/>
  <c r="DF529" i="147"/>
  <c r="DF530" i="147"/>
  <c r="DF531" i="147"/>
  <c r="DF535" i="147"/>
  <c r="DF536" i="147"/>
  <c r="DF537" i="147"/>
  <c r="DF538" i="147"/>
  <c r="DF539" i="147"/>
  <c r="DF540" i="147"/>
  <c r="DF541" i="147"/>
  <c r="DF542" i="147"/>
  <c r="DF543" i="147"/>
  <c r="DF544" i="147"/>
  <c r="DF545" i="147"/>
  <c r="DF546" i="147"/>
  <c r="DF547" i="147"/>
  <c r="DF550" i="147"/>
  <c r="DF554" i="147"/>
  <c r="DF555" i="147"/>
  <c r="DF558" i="147"/>
  <c r="DF560" i="147"/>
  <c r="DF561" i="147"/>
  <c r="DF494" i="147"/>
  <c r="DF495" i="147"/>
  <c r="DF496" i="147"/>
  <c r="DF571" i="147"/>
  <c r="DF585" i="147"/>
  <c r="DF586" i="147"/>
  <c r="DF587" i="147"/>
  <c r="DF590" i="147"/>
  <c r="DF591" i="147"/>
  <c r="DF592" i="147"/>
  <c r="DF593" i="147"/>
  <c r="DF594" i="147"/>
  <c r="DF595" i="147"/>
  <c r="DF596" i="147"/>
  <c r="DF597" i="147"/>
  <c r="DF598" i="147"/>
  <c r="DF600" i="147"/>
  <c r="DF601" i="147"/>
  <c r="DF602" i="147"/>
  <c r="DF603" i="147"/>
  <c r="DF604" i="147"/>
  <c r="DF606" i="147"/>
  <c r="DF607" i="147"/>
  <c r="DF608" i="147"/>
  <c r="DF609" i="147"/>
  <c r="DF610" i="147"/>
  <c r="DF611" i="147"/>
  <c r="DF612" i="147"/>
  <c r="DF613" i="147"/>
  <c r="DF617" i="147"/>
  <c r="DF618" i="147"/>
  <c r="DF619" i="147"/>
  <c r="DF622" i="147"/>
  <c r="DF623" i="147"/>
  <c r="DF624" i="147"/>
  <c r="DF625" i="147"/>
  <c r="DF626" i="147"/>
  <c r="DF627" i="147"/>
  <c r="DF628" i="147"/>
  <c r="DF629" i="147"/>
  <c r="DF631" i="147"/>
  <c r="DF632" i="147"/>
  <c r="DF633" i="147"/>
  <c r="DF634" i="147"/>
  <c r="DF635" i="147"/>
  <c r="DF636" i="147"/>
  <c r="DF637" i="147"/>
  <c r="DF638" i="147"/>
  <c r="DF639" i="147"/>
  <c r="DF640" i="147"/>
  <c r="DF641" i="147"/>
  <c r="DF642" i="147"/>
  <c r="DF643" i="147"/>
  <c r="DF588" i="147"/>
  <c r="DF583" i="147"/>
  <c r="DF589" i="147"/>
  <c r="DF569" i="147"/>
  <c r="DF572" i="147"/>
  <c r="DF573" i="147"/>
  <c r="DF574" i="147"/>
  <c r="DF578" i="147"/>
  <c r="DF579" i="147"/>
  <c r="DF580" i="147"/>
  <c r="DF575" i="147"/>
  <c r="DF584" i="147"/>
  <c r="DF564" i="147"/>
  <c r="DF568" i="147"/>
  <c r="DF562" i="147"/>
  <c r="DF563" i="147"/>
  <c r="DF566" i="147"/>
  <c r="DH375" i="147"/>
  <c r="DH376" i="147"/>
  <c r="DH377" i="147"/>
  <c r="DH378" i="147"/>
  <c r="DH379" i="147"/>
  <c r="DH380" i="147"/>
  <c r="DH381" i="147"/>
  <c r="DH382" i="147"/>
  <c r="DH383" i="147"/>
  <c r="DH384" i="147"/>
  <c r="DH385" i="147"/>
  <c r="DH400" i="147"/>
  <c r="DH401" i="147"/>
  <c r="DH402" i="147"/>
  <c r="DH403" i="147"/>
  <c r="DH404" i="147"/>
  <c r="DH405" i="147"/>
  <c r="DH406" i="147"/>
  <c r="DH407" i="147"/>
  <c r="DH408" i="147"/>
  <c r="DH409" i="147"/>
  <c r="DH410" i="147"/>
  <c r="DH411" i="147"/>
  <c r="DH412" i="147"/>
  <c r="DH413" i="147"/>
  <c r="DH414" i="147"/>
  <c r="DH415" i="147"/>
  <c r="DH416" i="147"/>
  <c r="DH417" i="147"/>
  <c r="DH418" i="147"/>
  <c r="DH419" i="147"/>
  <c r="DH420" i="147"/>
  <c r="DH421" i="147"/>
  <c r="DH422" i="147"/>
  <c r="DH423" i="147"/>
  <c r="DH424" i="147"/>
  <c r="DH425" i="147"/>
  <c r="DH426" i="147"/>
  <c r="DH427" i="147"/>
  <c r="DH428" i="147"/>
  <c r="DH429" i="147"/>
  <c r="DH430" i="147"/>
  <c r="DH431" i="147"/>
  <c r="DH432" i="147"/>
  <c r="DH433" i="147"/>
  <c r="DH434" i="147"/>
  <c r="DH435" i="147"/>
  <c r="DH436" i="147"/>
  <c r="DH437" i="147"/>
  <c r="DH438" i="147"/>
  <c r="DH439" i="147"/>
  <c r="DH440" i="147"/>
  <c r="DH441" i="147"/>
  <c r="DH442" i="147"/>
  <c r="DH443" i="147"/>
  <c r="DH444" i="147"/>
  <c r="DH445" i="147"/>
  <c r="DH386" i="147"/>
  <c r="DH387" i="147"/>
  <c r="DH388" i="147"/>
  <c r="DH389" i="147"/>
  <c r="DH391" i="147"/>
  <c r="DH393" i="147"/>
  <c r="DH395" i="147"/>
  <c r="DH397" i="147"/>
  <c r="DH399" i="147"/>
  <c r="DH390" i="147"/>
  <c r="DH392" i="147"/>
  <c r="DH394" i="147"/>
  <c r="DH396" i="147"/>
  <c r="DH398" i="147"/>
  <c r="DH446" i="147"/>
  <c r="DH447" i="147"/>
  <c r="DH448" i="147"/>
  <c r="DH449" i="147"/>
  <c r="DH450" i="147"/>
  <c r="DH451" i="147"/>
  <c r="DH452" i="147"/>
  <c r="DH453" i="147"/>
  <c r="DH454" i="147"/>
  <c r="DH455" i="147"/>
  <c r="DH456" i="147"/>
  <c r="DH457" i="147"/>
  <c r="DH458" i="147"/>
  <c r="DH459" i="147"/>
  <c r="DH460" i="147"/>
  <c r="DH461" i="147"/>
  <c r="DH462" i="147"/>
  <c r="DH463" i="147"/>
  <c r="DH464" i="147"/>
  <c r="DH465" i="147"/>
  <c r="DH466" i="147"/>
  <c r="DH467" i="147"/>
  <c r="DH468" i="147"/>
  <c r="DH469" i="147"/>
  <c r="DH470" i="147"/>
  <c r="DH471" i="147"/>
  <c r="DH472" i="147"/>
  <c r="DH473" i="147"/>
  <c r="DH474" i="147"/>
  <c r="DH475" i="147"/>
  <c r="DH476" i="147"/>
  <c r="DH477" i="147"/>
  <c r="DH478" i="147"/>
  <c r="DH479" i="147"/>
  <c r="DH480" i="147"/>
  <c r="DH481" i="147"/>
  <c r="DH482" i="147"/>
  <c r="DH483" i="147"/>
  <c r="DH484" i="147"/>
  <c r="DH485" i="147"/>
  <c r="DH486" i="147"/>
  <c r="DH487" i="147"/>
  <c r="DH488" i="147"/>
  <c r="DH489" i="147"/>
  <c r="DH490" i="147"/>
  <c r="DH491" i="147"/>
  <c r="DH492" i="147"/>
  <c r="DH493" i="147"/>
  <c r="DH494" i="147"/>
  <c r="DH495" i="147"/>
  <c r="DH496" i="147"/>
  <c r="DH497" i="147"/>
  <c r="DH498" i="147"/>
  <c r="DH499" i="147"/>
  <c r="DH500" i="147"/>
  <c r="DH501" i="147"/>
  <c r="DH502" i="147"/>
  <c r="DH503" i="147"/>
  <c r="DH504" i="147"/>
  <c r="DH505" i="147"/>
  <c r="DH506" i="147"/>
  <c r="DH507" i="147"/>
  <c r="DH508" i="147"/>
  <c r="DH509" i="147"/>
  <c r="DH510" i="147"/>
  <c r="DH511" i="147"/>
  <c r="DH512" i="147"/>
  <c r="DH513" i="147"/>
  <c r="DH514" i="147"/>
  <c r="DH515" i="147"/>
  <c r="DH516" i="147"/>
  <c r="DH517" i="147"/>
  <c r="DH518" i="147"/>
  <c r="DH519" i="147"/>
  <c r="DH520" i="147"/>
  <c r="DH521" i="147"/>
  <c r="DH522" i="147"/>
  <c r="DH523" i="147"/>
  <c r="DH524" i="147"/>
  <c r="DH525" i="147"/>
  <c r="DH526" i="147"/>
  <c r="DH527" i="147"/>
  <c r="DH528" i="147"/>
  <c r="DH529" i="147"/>
  <c r="DH530" i="147"/>
  <c r="DH531" i="147"/>
  <c r="DH532" i="147"/>
  <c r="DH533" i="147"/>
  <c r="DH534" i="147"/>
  <c r="DH535" i="147"/>
  <c r="DH536" i="147"/>
  <c r="DH537" i="147"/>
  <c r="DH538" i="147"/>
  <c r="DH539" i="147"/>
  <c r="DH540" i="147"/>
  <c r="DH541" i="147"/>
  <c r="DH542" i="147"/>
  <c r="DH543" i="147"/>
  <c r="DH544" i="147"/>
  <c r="DH545" i="147"/>
  <c r="DH546" i="147"/>
  <c r="DH547" i="147"/>
  <c r="DH548" i="147"/>
  <c r="DH549" i="147"/>
  <c r="DH550" i="147"/>
  <c r="DH551" i="147"/>
  <c r="DH552" i="147"/>
  <c r="DH553" i="147"/>
  <c r="DH554" i="147"/>
  <c r="DH555" i="147"/>
  <c r="DH556" i="147"/>
  <c r="DH557" i="147"/>
  <c r="DH558" i="147"/>
  <c r="DH559" i="147"/>
  <c r="DH560" i="147"/>
  <c r="DH561" i="147"/>
  <c r="DH562" i="147"/>
  <c r="DH563" i="147"/>
  <c r="DH564" i="147"/>
  <c r="DH565" i="147"/>
  <c r="DH566" i="147"/>
  <c r="DH568" i="147"/>
  <c r="DH569" i="147"/>
  <c r="DH570" i="147"/>
  <c r="DH571" i="147"/>
  <c r="DH572" i="147"/>
  <c r="DH573" i="147"/>
  <c r="DH574" i="147"/>
  <c r="DH575" i="147"/>
  <c r="DH576" i="147"/>
  <c r="DH577" i="147"/>
  <c r="DH578" i="147"/>
  <c r="DH579" i="147"/>
  <c r="DH580" i="147"/>
  <c r="DH581" i="147"/>
  <c r="DH582" i="147"/>
  <c r="DH583" i="147"/>
  <c r="DH584" i="147"/>
  <c r="DH585" i="147"/>
  <c r="DH586" i="147"/>
  <c r="DH587" i="147"/>
  <c r="DH588" i="147"/>
  <c r="DH589" i="147"/>
  <c r="DH590" i="147"/>
  <c r="DH591" i="147"/>
  <c r="DH592" i="147"/>
  <c r="DH593" i="147"/>
  <c r="DH594" i="147"/>
  <c r="DH595" i="147"/>
  <c r="DH596" i="147"/>
  <c r="DH597" i="147"/>
  <c r="DH598" i="147"/>
  <c r="DH600" i="147"/>
  <c r="DH601" i="147"/>
  <c r="DH602" i="147"/>
  <c r="DH603" i="147"/>
  <c r="DH604" i="147"/>
  <c r="DH605" i="147"/>
  <c r="DH606" i="147"/>
  <c r="DH607" i="147"/>
  <c r="DH608" i="147"/>
  <c r="DH609" i="147"/>
  <c r="DH610" i="147"/>
  <c r="DH611" i="147"/>
  <c r="DH612" i="147"/>
  <c r="DH613" i="147"/>
  <c r="DH614" i="147"/>
  <c r="DH615" i="147"/>
  <c r="DH616" i="147"/>
  <c r="DH617" i="147"/>
  <c r="DH618" i="147"/>
  <c r="DH619" i="147"/>
  <c r="DH620" i="147"/>
  <c r="DH621" i="147"/>
  <c r="DH622" i="147"/>
  <c r="DH623" i="147"/>
  <c r="DH624" i="147"/>
  <c r="DH625" i="147"/>
  <c r="DH626" i="147"/>
  <c r="DH627" i="147"/>
  <c r="DH628" i="147"/>
  <c r="DH629" i="147"/>
  <c r="DH631" i="147"/>
  <c r="DH632" i="147"/>
  <c r="DH633" i="147"/>
  <c r="DH634" i="147"/>
  <c r="DH635" i="147"/>
  <c r="DH636" i="147"/>
  <c r="DH637" i="147"/>
  <c r="DH638" i="147"/>
  <c r="DH639" i="147"/>
  <c r="DH640" i="147"/>
  <c r="DH641" i="147"/>
  <c r="DH642" i="147"/>
  <c r="DH643" i="147"/>
  <c r="DJ375" i="147"/>
  <c r="DJ376" i="147"/>
  <c r="DJ377" i="147"/>
  <c r="DJ378" i="147"/>
  <c r="DJ379" i="147"/>
  <c r="DJ380" i="147"/>
  <c r="DJ381" i="147"/>
  <c r="DJ382" i="147"/>
  <c r="DJ383" i="147"/>
  <c r="DJ384" i="147"/>
  <c r="DJ385" i="147"/>
  <c r="DJ386" i="147"/>
  <c r="DJ387" i="147"/>
  <c r="DJ388" i="147"/>
  <c r="DJ389" i="147"/>
  <c r="DJ390" i="147"/>
  <c r="DJ391" i="147"/>
  <c r="DJ392" i="147"/>
  <c r="DJ393" i="147"/>
  <c r="DJ394" i="147"/>
  <c r="DJ395" i="147"/>
  <c r="DJ396" i="147"/>
  <c r="DJ397" i="147"/>
  <c r="DJ398" i="147"/>
  <c r="DJ399" i="147"/>
  <c r="DJ400" i="147"/>
  <c r="DJ401" i="147"/>
  <c r="DJ402" i="147"/>
  <c r="DJ403" i="147"/>
  <c r="DJ404" i="147"/>
  <c r="DJ405" i="147"/>
  <c r="DJ406" i="147"/>
  <c r="DJ407" i="147"/>
  <c r="DJ408" i="147"/>
  <c r="DJ409" i="147"/>
  <c r="DJ410" i="147"/>
  <c r="DJ411" i="147"/>
  <c r="DJ412" i="147"/>
  <c r="DJ413" i="147"/>
  <c r="DJ414" i="147"/>
  <c r="DJ415" i="147"/>
  <c r="DJ416" i="147"/>
  <c r="DJ417" i="147"/>
  <c r="DJ418" i="147"/>
  <c r="DJ419" i="147"/>
  <c r="DJ420" i="147"/>
  <c r="DJ421" i="147"/>
  <c r="DJ422" i="147"/>
  <c r="DJ423" i="147"/>
  <c r="DJ424" i="147"/>
  <c r="DJ425" i="147"/>
  <c r="DJ426" i="147"/>
  <c r="DJ427" i="147"/>
  <c r="DJ428" i="147"/>
  <c r="DJ429" i="147"/>
  <c r="DJ430" i="147"/>
  <c r="DJ431" i="147"/>
  <c r="DJ432" i="147"/>
  <c r="DJ433" i="147"/>
  <c r="DJ434" i="147"/>
  <c r="DJ435" i="147"/>
  <c r="DJ436" i="147"/>
  <c r="DJ437" i="147"/>
  <c r="DJ438" i="147"/>
  <c r="DJ439" i="147"/>
  <c r="DJ440" i="147"/>
  <c r="DJ441" i="147"/>
  <c r="DJ442" i="147"/>
  <c r="DJ443" i="147"/>
  <c r="DJ444" i="147"/>
  <c r="DJ445" i="147"/>
  <c r="DJ446" i="147"/>
  <c r="DJ447" i="147"/>
  <c r="DJ448" i="147"/>
  <c r="DJ449" i="147"/>
  <c r="DJ450" i="147"/>
  <c r="DJ451" i="147"/>
  <c r="DJ452" i="147"/>
  <c r="DJ453" i="147"/>
  <c r="DJ454" i="147"/>
  <c r="DJ455" i="147"/>
  <c r="DJ456" i="147"/>
  <c r="DJ457" i="147"/>
  <c r="DJ458" i="147"/>
  <c r="DJ459" i="147"/>
  <c r="DJ460" i="147"/>
  <c r="DJ461" i="147"/>
  <c r="DJ462" i="147"/>
  <c r="DJ463" i="147"/>
  <c r="DJ464" i="147"/>
  <c r="DJ465" i="147"/>
  <c r="DJ466" i="147"/>
  <c r="DJ467" i="147"/>
  <c r="DJ468" i="147"/>
  <c r="DJ469" i="147"/>
  <c r="DJ470" i="147"/>
  <c r="DJ471" i="147"/>
  <c r="DJ472" i="147"/>
  <c r="DJ473" i="147"/>
  <c r="DJ474" i="147"/>
  <c r="DJ475" i="147"/>
  <c r="DJ476" i="147"/>
  <c r="DJ477" i="147"/>
  <c r="DJ478" i="147"/>
  <c r="DJ479" i="147"/>
  <c r="DJ480" i="147"/>
  <c r="DJ481" i="147"/>
  <c r="DJ482" i="147"/>
  <c r="DJ483" i="147"/>
  <c r="DJ484" i="147"/>
  <c r="DJ485" i="147"/>
  <c r="DJ486" i="147"/>
  <c r="DJ487" i="147"/>
  <c r="DJ488" i="147"/>
  <c r="DJ489" i="147"/>
  <c r="DJ490" i="147"/>
  <c r="DJ491" i="147"/>
  <c r="DJ492" i="147"/>
  <c r="DJ493" i="147"/>
  <c r="DJ497" i="147"/>
  <c r="DJ498" i="147"/>
  <c r="DJ499" i="147"/>
  <c r="DJ500" i="147"/>
  <c r="DJ501" i="147"/>
  <c r="DJ502" i="147"/>
  <c r="DJ503" i="147"/>
  <c r="DJ504" i="147"/>
  <c r="DJ505" i="147"/>
  <c r="DJ506" i="147"/>
  <c r="DJ507" i="147"/>
  <c r="DJ508" i="147"/>
  <c r="DJ509" i="147"/>
  <c r="DJ510" i="147"/>
  <c r="DJ511" i="147"/>
  <c r="DJ512" i="147"/>
  <c r="DJ513" i="147"/>
  <c r="DJ514" i="147"/>
  <c r="DJ515" i="147"/>
  <c r="DJ516" i="147"/>
  <c r="DJ517" i="147"/>
  <c r="DJ518" i="147"/>
  <c r="DJ519" i="147"/>
  <c r="DJ520" i="147"/>
  <c r="DJ521" i="147"/>
  <c r="DJ522" i="147"/>
  <c r="DJ523" i="147"/>
  <c r="DJ524" i="147"/>
  <c r="DJ525" i="147"/>
  <c r="DJ526" i="147"/>
  <c r="DJ527" i="147"/>
  <c r="DJ528" i="147"/>
  <c r="DJ529" i="147"/>
  <c r="DJ530" i="147"/>
  <c r="DJ531" i="147"/>
  <c r="DJ532" i="147"/>
  <c r="DJ533" i="147"/>
  <c r="DJ534" i="147"/>
  <c r="DJ535" i="147"/>
  <c r="DJ536" i="147"/>
  <c r="DJ537" i="147"/>
  <c r="DJ538" i="147"/>
  <c r="DJ539" i="147"/>
  <c r="DJ540" i="147"/>
  <c r="DJ541" i="147"/>
  <c r="DJ542" i="147"/>
  <c r="DJ543" i="147"/>
  <c r="DJ544" i="147"/>
  <c r="DJ545" i="147"/>
  <c r="DJ546" i="147"/>
  <c r="DJ547" i="147"/>
  <c r="DJ548" i="147"/>
  <c r="DJ549" i="147"/>
  <c r="DJ550" i="147"/>
  <c r="DJ551" i="147"/>
  <c r="DJ552" i="147"/>
  <c r="DJ553" i="147"/>
  <c r="DJ554" i="147"/>
  <c r="DJ555" i="147"/>
  <c r="DJ556" i="147"/>
  <c r="DJ557" i="147"/>
  <c r="DJ558" i="147"/>
  <c r="DJ559" i="147"/>
  <c r="DJ560" i="147"/>
  <c r="DJ561" i="147"/>
  <c r="DJ562" i="147"/>
  <c r="DJ563" i="147"/>
  <c r="DJ564" i="147"/>
  <c r="DJ565" i="147"/>
  <c r="DJ566" i="147"/>
  <c r="DJ568" i="147"/>
  <c r="DJ494" i="147"/>
  <c r="DJ495" i="147"/>
  <c r="DJ496" i="147"/>
  <c r="DJ569" i="147"/>
  <c r="DJ570" i="147"/>
  <c r="DJ571" i="147"/>
  <c r="DJ572" i="147"/>
  <c r="DJ573" i="147"/>
  <c r="DJ574" i="147"/>
  <c r="DJ575" i="147"/>
  <c r="DJ576" i="147"/>
  <c r="DJ577" i="147"/>
  <c r="DJ578" i="147"/>
  <c r="DJ579" i="147"/>
  <c r="DJ580" i="147"/>
  <c r="DJ581" i="147"/>
  <c r="DJ582" i="147"/>
  <c r="DJ583" i="147"/>
  <c r="DJ584" i="147"/>
  <c r="DJ585" i="147"/>
  <c r="DJ586" i="147"/>
  <c r="DJ587" i="147"/>
  <c r="DJ588" i="147"/>
  <c r="DJ589" i="147"/>
  <c r="DJ590" i="147"/>
  <c r="DJ591" i="147"/>
  <c r="DJ592" i="147"/>
  <c r="DJ593" i="147"/>
  <c r="DJ594" i="147"/>
  <c r="DJ595" i="147"/>
  <c r="DJ596" i="147"/>
  <c r="DJ597" i="147"/>
  <c r="DJ598" i="147"/>
  <c r="DJ600" i="147"/>
  <c r="DJ601" i="147"/>
  <c r="DJ602" i="147"/>
  <c r="DJ603" i="147"/>
  <c r="DJ604" i="147"/>
  <c r="DJ605" i="147"/>
  <c r="DJ606" i="147"/>
  <c r="DJ607" i="147"/>
  <c r="DJ608" i="147"/>
  <c r="DJ609" i="147"/>
  <c r="DJ610" i="147"/>
  <c r="DJ611" i="147"/>
  <c r="DJ612" i="147"/>
  <c r="DJ613" i="147"/>
  <c r="DJ614" i="147"/>
  <c r="DJ615" i="147"/>
  <c r="DJ616" i="147"/>
  <c r="DJ617" i="147"/>
  <c r="DJ618" i="147"/>
  <c r="DJ619" i="147"/>
  <c r="DJ620" i="147"/>
  <c r="DJ621" i="147"/>
  <c r="DJ622" i="147"/>
  <c r="DJ623" i="147"/>
  <c r="DJ624" i="147"/>
  <c r="DJ625" i="147"/>
  <c r="DJ627" i="147"/>
  <c r="DJ628" i="147"/>
  <c r="DJ629" i="147"/>
  <c r="DJ631" i="147"/>
  <c r="DJ632" i="147"/>
  <c r="DJ633" i="147"/>
  <c r="DJ634" i="147"/>
  <c r="DJ635" i="147"/>
  <c r="DJ636" i="147"/>
  <c r="DJ637" i="147"/>
  <c r="DJ638" i="147"/>
  <c r="DJ639" i="147"/>
  <c r="DJ640" i="147"/>
  <c r="DJ641" i="147"/>
  <c r="DJ642" i="147"/>
  <c r="DJ643" i="147"/>
  <c r="DJ626" i="147"/>
  <c r="DL375" i="147"/>
  <c r="DL376" i="147"/>
  <c r="DL377" i="147"/>
  <c r="DL378" i="147"/>
  <c r="DL379" i="147"/>
  <c r="DL380" i="147"/>
  <c r="DL381" i="147"/>
  <c r="DL382" i="147"/>
  <c r="DL383" i="147"/>
  <c r="DL384" i="147"/>
  <c r="DL385" i="147"/>
  <c r="DL400" i="147"/>
  <c r="DL401" i="147"/>
  <c r="DL402" i="147"/>
  <c r="DL403" i="147"/>
  <c r="DL404" i="147"/>
  <c r="DL405" i="147"/>
  <c r="DL406" i="147"/>
  <c r="DL407" i="147"/>
  <c r="DL408" i="147"/>
  <c r="DL409" i="147"/>
  <c r="DL410" i="147"/>
  <c r="DL411" i="147"/>
  <c r="DL412" i="147"/>
  <c r="DL413" i="147"/>
  <c r="DL414" i="147"/>
  <c r="DL415" i="147"/>
  <c r="DL416" i="147"/>
  <c r="DL417" i="147"/>
  <c r="DL418" i="147"/>
  <c r="DL419" i="147"/>
  <c r="DL420" i="147"/>
  <c r="DL421" i="147"/>
  <c r="DL422" i="147"/>
  <c r="DL423" i="147"/>
  <c r="DL424" i="147"/>
  <c r="DL425" i="147"/>
  <c r="DL426" i="147"/>
  <c r="DL427" i="147"/>
  <c r="DL428" i="147"/>
  <c r="DL386" i="147"/>
  <c r="DL387" i="147"/>
  <c r="DL388" i="147"/>
  <c r="DL389" i="147"/>
  <c r="DL390" i="147"/>
  <c r="DL391" i="147"/>
  <c r="DL392" i="147"/>
  <c r="DL393" i="147"/>
  <c r="DL394" i="147"/>
  <c r="DL395" i="147"/>
  <c r="DL396" i="147"/>
  <c r="DL397" i="147"/>
  <c r="DL398" i="147"/>
  <c r="DL399" i="147"/>
  <c r="DL429" i="147"/>
  <c r="DL430" i="147"/>
  <c r="DL431" i="147"/>
  <c r="DL432" i="147"/>
  <c r="DL433" i="147"/>
  <c r="DL434" i="147"/>
  <c r="DL435" i="147"/>
  <c r="DL436" i="147"/>
  <c r="DL437" i="147"/>
  <c r="DL438" i="147"/>
  <c r="DL439" i="147"/>
  <c r="DL440" i="147"/>
  <c r="DL441" i="147"/>
  <c r="DL442" i="147"/>
  <c r="DL443" i="147"/>
  <c r="DL444" i="147"/>
  <c r="DL445" i="147"/>
  <c r="DL446" i="147"/>
  <c r="DL448" i="147"/>
  <c r="DL449" i="147"/>
  <c r="DL450" i="147"/>
  <c r="DL451" i="147"/>
  <c r="DL452" i="147"/>
  <c r="DL453" i="147"/>
  <c r="DL454" i="147"/>
  <c r="DL455" i="147"/>
  <c r="DL456" i="147"/>
  <c r="DL457" i="147"/>
  <c r="DL458" i="147"/>
  <c r="DL459" i="147"/>
  <c r="DL460" i="147"/>
  <c r="DL461" i="147"/>
  <c r="DL462" i="147"/>
  <c r="DL463" i="147"/>
  <c r="DL464" i="147"/>
  <c r="DL465" i="147"/>
  <c r="DL466" i="147"/>
  <c r="DL467" i="147"/>
  <c r="DL468" i="147"/>
  <c r="DL469" i="147"/>
  <c r="DL470" i="147"/>
  <c r="DL471" i="147"/>
  <c r="DL472" i="147"/>
  <c r="DL473" i="147"/>
  <c r="DL474" i="147"/>
  <c r="DL475" i="147"/>
  <c r="DL476" i="147"/>
  <c r="DL477" i="147"/>
  <c r="DL478" i="147"/>
  <c r="DL479" i="147"/>
  <c r="DL480" i="147"/>
  <c r="DL481" i="147"/>
  <c r="DL482" i="147"/>
  <c r="DL483" i="147"/>
  <c r="DL484" i="147"/>
  <c r="DL485" i="147"/>
  <c r="DL486" i="147"/>
  <c r="DL487" i="147"/>
  <c r="DL488" i="147"/>
  <c r="DL489" i="147"/>
  <c r="DL490" i="147"/>
  <c r="DL491" i="147"/>
  <c r="DL492" i="147"/>
  <c r="DL493" i="147"/>
  <c r="DL494" i="147"/>
  <c r="DL495" i="147"/>
  <c r="DL496" i="147"/>
  <c r="DL497" i="147"/>
  <c r="DL498" i="147"/>
  <c r="DL499" i="147"/>
  <c r="DL500" i="147"/>
  <c r="DL501" i="147"/>
  <c r="DL502" i="147"/>
  <c r="DL503" i="147"/>
  <c r="DL504" i="147"/>
  <c r="DL505" i="147"/>
  <c r="DL506" i="147"/>
  <c r="DL507" i="147"/>
  <c r="DL508" i="147"/>
  <c r="DL509" i="147"/>
  <c r="DL510" i="147"/>
  <c r="DL511" i="147"/>
  <c r="DL512" i="147"/>
  <c r="DL513" i="147"/>
  <c r="DL514" i="147"/>
  <c r="DL515" i="147"/>
  <c r="DL516" i="147"/>
  <c r="DL517" i="147"/>
  <c r="DL518" i="147"/>
  <c r="DL519" i="147"/>
  <c r="DL520" i="147"/>
  <c r="DL521" i="147"/>
  <c r="DL522" i="147"/>
  <c r="DL523" i="147"/>
  <c r="DL524" i="147"/>
  <c r="DL525" i="147"/>
  <c r="DL526" i="147"/>
  <c r="DL527" i="147"/>
  <c r="DL528" i="147"/>
  <c r="DL529" i="147"/>
  <c r="DL530" i="147"/>
  <c r="DL531" i="147"/>
  <c r="DL532" i="147"/>
  <c r="DL533" i="147"/>
  <c r="DL534" i="147"/>
  <c r="DL535" i="147"/>
  <c r="DL536" i="147"/>
  <c r="DL537" i="147"/>
  <c r="DL538" i="147"/>
  <c r="DL539" i="147"/>
  <c r="DL540" i="147"/>
  <c r="DL541" i="147"/>
  <c r="DL542" i="147"/>
  <c r="DL543" i="147"/>
  <c r="DL544" i="147"/>
  <c r="DL545" i="147"/>
  <c r="DL546" i="147"/>
  <c r="DL547" i="147"/>
  <c r="DL548" i="147"/>
  <c r="DL549" i="147"/>
  <c r="DL550" i="147"/>
  <c r="DL551" i="147"/>
  <c r="DL552" i="147"/>
  <c r="DL553" i="147"/>
  <c r="DL554" i="147"/>
  <c r="DL555" i="147"/>
  <c r="DL556" i="147"/>
  <c r="DL557" i="147"/>
  <c r="DL558" i="147"/>
  <c r="DL559" i="147"/>
  <c r="DL560" i="147"/>
  <c r="DL561" i="147"/>
  <c r="DL562" i="147"/>
  <c r="DL563" i="147"/>
  <c r="DL564" i="147"/>
  <c r="DL565" i="147"/>
  <c r="DL566" i="147"/>
  <c r="DL568" i="147"/>
  <c r="DL569" i="147"/>
  <c r="DL570" i="147"/>
  <c r="DL571" i="147"/>
  <c r="DL572" i="147"/>
  <c r="DL573" i="147"/>
  <c r="DL574" i="147"/>
  <c r="DL575" i="147"/>
  <c r="DL576" i="147"/>
  <c r="DL577" i="147"/>
  <c r="DL578" i="147"/>
  <c r="DL579" i="147"/>
  <c r="DL580" i="147"/>
  <c r="DL581" i="147"/>
  <c r="DL582" i="147"/>
  <c r="DL583" i="147"/>
  <c r="DL584" i="147"/>
  <c r="DL585" i="147"/>
  <c r="DL586" i="147"/>
  <c r="DL587" i="147"/>
  <c r="DL588" i="147"/>
  <c r="DL589" i="147"/>
  <c r="DL590" i="147"/>
  <c r="DL591" i="147"/>
  <c r="DL592" i="147"/>
  <c r="DL593" i="147"/>
  <c r="DL594" i="147"/>
  <c r="DL595" i="147"/>
  <c r="DL596" i="147"/>
  <c r="DL597" i="147"/>
  <c r="DL598" i="147"/>
  <c r="DL600" i="147"/>
  <c r="DL601" i="147"/>
  <c r="DL602" i="147"/>
  <c r="DL603" i="147"/>
  <c r="DL604" i="147"/>
  <c r="DL605" i="147"/>
  <c r="DL606" i="147"/>
  <c r="DL607" i="147"/>
  <c r="DL608" i="147"/>
  <c r="DL609" i="147"/>
  <c r="DL610" i="147"/>
  <c r="DL611" i="147"/>
  <c r="DL612" i="147"/>
  <c r="DL613" i="147"/>
  <c r="DL614" i="147"/>
  <c r="DL615" i="147"/>
  <c r="DL616" i="147"/>
  <c r="DL617" i="147"/>
  <c r="DL618" i="147"/>
  <c r="DL619" i="147"/>
  <c r="DL620" i="147"/>
  <c r="DL621" i="147"/>
  <c r="DL622" i="147"/>
  <c r="DL623" i="147"/>
  <c r="DL624" i="147"/>
  <c r="DL625" i="147"/>
  <c r="DL626" i="147"/>
  <c r="DL627" i="147"/>
  <c r="DL628" i="147"/>
  <c r="DL629" i="147"/>
  <c r="DL631" i="147"/>
  <c r="DL632" i="147"/>
  <c r="DL633" i="147"/>
  <c r="DL634" i="147"/>
  <c r="DL635" i="147"/>
  <c r="DL636" i="147"/>
  <c r="DL637" i="147"/>
  <c r="DL638" i="147"/>
  <c r="DL639" i="147"/>
  <c r="DL640" i="147"/>
  <c r="DL641" i="147"/>
  <c r="DL642" i="147"/>
  <c r="DL643" i="147"/>
  <c r="DN375" i="147"/>
  <c r="DN376" i="147"/>
  <c r="DN377" i="147"/>
  <c r="DN378" i="147"/>
  <c r="DN386" i="147"/>
  <c r="DN387" i="147"/>
  <c r="DN388" i="147"/>
  <c r="DN389" i="147"/>
  <c r="DN390" i="147"/>
  <c r="DN391" i="147"/>
  <c r="DN392" i="147"/>
  <c r="DN393" i="147"/>
  <c r="DN394" i="147"/>
  <c r="DN395" i="147"/>
  <c r="DN396" i="147"/>
  <c r="DN397" i="147"/>
  <c r="DN398" i="147"/>
  <c r="DN399" i="147"/>
  <c r="DN400" i="147"/>
  <c r="DN401" i="147"/>
  <c r="DN402" i="147"/>
  <c r="DN403" i="147"/>
  <c r="DN404" i="147"/>
  <c r="DN405" i="147"/>
  <c r="DN406" i="147"/>
  <c r="DN407" i="147"/>
  <c r="DN408" i="147"/>
  <c r="DN409" i="147"/>
  <c r="DN410" i="147"/>
  <c r="DN411" i="147"/>
  <c r="DN412" i="147"/>
  <c r="DN413" i="147"/>
  <c r="DN414" i="147"/>
  <c r="DN415" i="147"/>
  <c r="DN416" i="147"/>
  <c r="DN417" i="147"/>
  <c r="DN418" i="147"/>
  <c r="DN419" i="147"/>
  <c r="DN420" i="147"/>
  <c r="DN421" i="147"/>
  <c r="DN422" i="147"/>
  <c r="DN423" i="147"/>
  <c r="DN424" i="147"/>
  <c r="DN425" i="147"/>
  <c r="DN426" i="147"/>
  <c r="DN427" i="147"/>
  <c r="DN428" i="147"/>
  <c r="DN429" i="147"/>
  <c r="DN430" i="147"/>
  <c r="DN431" i="147"/>
  <c r="DN432" i="147"/>
  <c r="DN433" i="147"/>
  <c r="DN434" i="147"/>
  <c r="DN435" i="147"/>
  <c r="DN436" i="147"/>
  <c r="DN437" i="147"/>
  <c r="DN438" i="147"/>
  <c r="DN439" i="147"/>
  <c r="DN440" i="147"/>
  <c r="DN441" i="147"/>
  <c r="DN442" i="147"/>
  <c r="DN443" i="147"/>
  <c r="DN444" i="147"/>
  <c r="DN445" i="147"/>
  <c r="DN379" i="147"/>
  <c r="DN380" i="147"/>
  <c r="DN381" i="147"/>
  <c r="DN382" i="147"/>
  <c r="DN383" i="147"/>
  <c r="DN384" i="147"/>
  <c r="DN385" i="147"/>
  <c r="DN446" i="147"/>
  <c r="DN447" i="147"/>
  <c r="DN448" i="147"/>
  <c r="DN450" i="147"/>
  <c r="DN451" i="147"/>
  <c r="DN452" i="147"/>
  <c r="DN453" i="147"/>
  <c r="DN454" i="147"/>
  <c r="DN455" i="147"/>
  <c r="DN456" i="147"/>
  <c r="DN457" i="147"/>
  <c r="DN458" i="147"/>
  <c r="DN459" i="147"/>
  <c r="DN460" i="147"/>
  <c r="DN461" i="147"/>
  <c r="DN462" i="147"/>
  <c r="DN463" i="147"/>
  <c r="DN464" i="147"/>
  <c r="DN465" i="147"/>
  <c r="DN466" i="147"/>
  <c r="DN467" i="147"/>
  <c r="DN468" i="147"/>
  <c r="DN469" i="147"/>
  <c r="DN470" i="147"/>
  <c r="DN471" i="147"/>
  <c r="DN472" i="147"/>
  <c r="DN473" i="147"/>
  <c r="DN474" i="147"/>
  <c r="DN475" i="147"/>
  <c r="DN476" i="147"/>
  <c r="DN477" i="147"/>
  <c r="DN478" i="147"/>
  <c r="DN479" i="147"/>
  <c r="DN480" i="147"/>
  <c r="DN481" i="147"/>
  <c r="DN482" i="147"/>
  <c r="DN483" i="147"/>
  <c r="DN484" i="147"/>
  <c r="DN485" i="147"/>
  <c r="DN486" i="147"/>
  <c r="DN487" i="147"/>
  <c r="DN488" i="147"/>
  <c r="DN489" i="147"/>
  <c r="DN490" i="147"/>
  <c r="DN491" i="147"/>
  <c r="DN492" i="147"/>
  <c r="DN493" i="147"/>
  <c r="DN497" i="147"/>
  <c r="DN498" i="147"/>
  <c r="DN499" i="147"/>
  <c r="DN500" i="147"/>
  <c r="DN501" i="147"/>
  <c r="DN502" i="147"/>
  <c r="DN503" i="147"/>
  <c r="DN504" i="147"/>
  <c r="DN505" i="147"/>
  <c r="DN506" i="147"/>
  <c r="DN507" i="147"/>
  <c r="DN508" i="147"/>
  <c r="DN509" i="147"/>
  <c r="DN510" i="147"/>
  <c r="DN511" i="147"/>
  <c r="DN512" i="147"/>
  <c r="DN513" i="147"/>
  <c r="DN514" i="147"/>
  <c r="DN515" i="147"/>
  <c r="DN516" i="147"/>
  <c r="DN517" i="147"/>
  <c r="DN518" i="147"/>
  <c r="DN519" i="147"/>
  <c r="DN520" i="147"/>
  <c r="DN521" i="147"/>
  <c r="DN522" i="147"/>
  <c r="DN523" i="147"/>
  <c r="DN524" i="147"/>
  <c r="DN525" i="147"/>
  <c r="DN526" i="147"/>
  <c r="DN527" i="147"/>
  <c r="DN528" i="147"/>
  <c r="DN529" i="147"/>
  <c r="DN530" i="147"/>
  <c r="DN531" i="147"/>
  <c r="DN532" i="147"/>
  <c r="DN533" i="147"/>
  <c r="DN534" i="147"/>
  <c r="DN535" i="147"/>
  <c r="DN536" i="147"/>
  <c r="DN537" i="147"/>
  <c r="DN538" i="147"/>
  <c r="DN539" i="147"/>
  <c r="DN540" i="147"/>
  <c r="DN541" i="147"/>
  <c r="DN542" i="147"/>
  <c r="DN543" i="147"/>
  <c r="DN544" i="147"/>
  <c r="DN545" i="147"/>
  <c r="DN546" i="147"/>
  <c r="DN547" i="147"/>
  <c r="DN548" i="147"/>
  <c r="DN549" i="147"/>
  <c r="DN550" i="147"/>
  <c r="DN551" i="147"/>
  <c r="DN552" i="147"/>
  <c r="DN553" i="147"/>
  <c r="DN554" i="147"/>
  <c r="DN555" i="147"/>
  <c r="DN556" i="147"/>
  <c r="DN557" i="147"/>
  <c r="DN558" i="147"/>
  <c r="DN559" i="147"/>
  <c r="DN560" i="147"/>
  <c r="DN561" i="147"/>
  <c r="DN562" i="147"/>
  <c r="DN563" i="147"/>
  <c r="DN564" i="147"/>
  <c r="DN565" i="147"/>
  <c r="DN566" i="147"/>
  <c r="DN568" i="147"/>
  <c r="DN494" i="147"/>
  <c r="DN495" i="147"/>
  <c r="DN496" i="147"/>
  <c r="DN569" i="147"/>
  <c r="DN570" i="147"/>
  <c r="DN571" i="147"/>
  <c r="DN572" i="147"/>
  <c r="DN573" i="147"/>
  <c r="DN574" i="147"/>
  <c r="DN575" i="147"/>
  <c r="DN576" i="147"/>
  <c r="DN577" i="147"/>
  <c r="DN578" i="147"/>
  <c r="DN579" i="147"/>
  <c r="DN580" i="147"/>
  <c r="DN581" i="147"/>
  <c r="DN582" i="147"/>
  <c r="DN583" i="147"/>
  <c r="DN584" i="147"/>
  <c r="DN585" i="147"/>
  <c r="DN586" i="147"/>
  <c r="DN587" i="147"/>
  <c r="DN588" i="147"/>
  <c r="DN589" i="147"/>
  <c r="DN590" i="147"/>
  <c r="DN591" i="147"/>
  <c r="DN592" i="147"/>
  <c r="DN593" i="147"/>
  <c r="DN594" i="147"/>
  <c r="DN595" i="147"/>
  <c r="DN596" i="147"/>
  <c r="DN597" i="147"/>
  <c r="DN598" i="147"/>
  <c r="DN600" i="147"/>
  <c r="DN601" i="147"/>
  <c r="DN602" i="147"/>
  <c r="DN603" i="147"/>
  <c r="DN604" i="147"/>
  <c r="DN605" i="147"/>
  <c r="DN606" i="147"/>
  <c r="DN607" i="147"/>
  <c r="DN608" i="147"/>
  <c r="DN609" i="147"/>
  <c r="DN610" i="147"/>
  <c r="DN611" i="147"/>
  <c r="DN612" i="147"/>
  <c r="DN613" i="147"/>
  <c r="DN614" i="147"/>
  <c r="DN615" i="147"/>
  <c r="DN616" i="147"/>
  <c r="DN617" i="147"/>
  <c r="DN618" i="147"/>
  <c r="DN619" i="147"/>
  <c r="DN620" i="147"/>
  <c r="DN621" i="147"/>
  <c r="DN622" i="147"/>
  <c r="DN623" i="147"/>
  <c r="DN624" i="147"/>
  <c r="DN625" i="147"/>
  <c r="DN626" i="147"/>
  <c r="DN627" i="147"/>
  <c r="DN628" i="147"/>
  <c r="DN629" i="147"/>
  <c r="DN631" i="147"/>
  <c r="DN632" i="147"/>
  <c r="DN633" i="147"/>
  <c r="DN634" i="147"/>
  <c r="DN635" i="147"/>
  <c r="DN636" i="147"/>
  <c r="DN637" i="147"/>
  <c r="DN638" i="147"/>
  <c r="DN639" i="147"/>
  <c r="DN640" i="147"/>
  <c r="DN641" i="147"/>
  <c r="DN642" i="147"/>
  <c r="DN643" i="147"/>
  <c r="DP375" i="147"/>
  <c r="DP376" i="147"/>
  <c r="DP377" i="147"/>
  <c r="DP378" i="147"/>
  <c r="DP379" i="147"/>
  <c r="DP380" i="147"/>
  <c r="DP381" i="147"/>
  <c r="DP382" i="147"/>
  <c r="DP383" i="147"/>
  <c r="DP384" i="147"/>
  <c r="DP385" i="147"/>
  <c r="DP400" i="147"/>
  <c r="DP401" i="147"/>
  <c r="DP402" i="147"/>
  <c r="DP403" i="147"/>
  <c r="DP404" i="147"/>
  <c r="DP405" i="147"/>
  <c r="DP406" i="147"/>
  <c r="DP407" i="147"/>
  <c r="DP408" i="147"/>
  <c r="DP409" i="147"/>
  <c r="DP410" i="147"/>
  <c r="DP411" i="147"/>
  <c r="DP412" i="147"/>
  <c r="DP413" i="147"/>
  <c r="DP414" i="147"/>
  <c r="DP415" i="147"/>
  <c r="DP416" i="147"/>
  <c r="DP417" i="147"/>
  <c r="DP418" i="147"/>
  <c r="DP419" i="147"/>
  <c r="DP420" i="147"/>
  <c r="DP421" i="147"/>
  <c r="DP422" i="147"/>
  <c r="DP423" i="147"/>
  <c r="DP424" i="147"/>
  <c r="DP425" i="147"/>
  <c r="DP426" i="147"/>
  <c r="DP427" i="147"/>
  <c r="DP428" i="147"/>
  <c r="DP429" i="147"/>
  <c r="DP430" i="147"/>
  <c r="DP431" i="147"/>
  <c r="DP432" i="147"/>
  <c r="DP433" i="147"/>
  <c r="DP434" i="147"/>
  <c r="DP435" i="147"/>
  <c r="DP436" i="147"/>
  <c r="DP437" i="147"/>
  <c r="DP438" i="147"/>
  <c r="DP439" i="147"/>
  <c r="DP440" i="147"/>
  <c r="DP441" i="147"/>
  <c r="DP442" i="147"/>
  <c r="DP443" i="147"/>
  <c r="DP444" i="147"/>
  <c r="DP445" i="147"/>
  <c r="DP386" i="147"/>
  <c r="DP387" i="147"/>
  <c r="DP388" i="147"/>
  <c r="DP389" i="147"/>
  <c r="DP390" i="147"/>
  <c r="DP391" i="147"/>
  <c r="DP392" i="147"/>
  <c r="DP393" i="147"/>
  <c r="DP394" i="147"/>
  <c r="DP395" i="147"/>
  <c r="DP396" i="147"/>
  <c r="DP397" i="147"/>
  <c r="DP398" i="147"/>
  <c r="DP399" i="147"/>
  <c r="DP446" i="147"/>
  <c r="DP447" i="147"/>
  <c r="DP448" i="147"/>
  <c r="DP449" i="147"/>
  <c r="DP450" i="147"/>
  <c r="DP451" i="147"/>
  <c r="DP452" i="147"/>
  <c r="DP453" i="147"/>
  <c r="DP454" i="147"/>
  <c r="DP455" i="147"/>
  <c r="DP456" i="147"/>
  <c r="DP457" i="147"/>
  <c r="DP458" i="147"/>
  <c r="DP459" i="147"/>
  <c r="DP460" i="147"/>
  <c r="DP461" i="147"/>
  <c r="DP462" i="147"/>
  <c r="DP463" i="147"/>
  <c r="DP464" i="147"/>
  <c r="DP465" i="147"/>
  <c r="DP466" i="147"/>
  <c r="DP467" i="147"/>
  <c r="DP468" i="147"/>
  <c r="DP469" i="147"/>
  <c r="DP470" i="147"/>
  <c r="DP471" i="147"/>
  <c r="DP472" i="147"/>
  <c r="DP473" i="147"/>
  <c r="DP474" i="147"/>
  <c r="DP475" i="147"/>
  <c r="DP476" i="147"/>
  <c r="DP477" i="147"/>
  <c r="DP478" i="147"/>
  <c r="DP479" i="147"/>
  <c r="DP480" i="147"/>
  <c r="DP481" i="147"/>
  <c r="DP482" i="147"/>
  <c r="DP483" i="147"/>
  <c r="DP484" i="147"/>
  <c r="DP485" i="147"/>
  <c r="DP486" i="147"/>
  <c r="DP487" i="147"/>
  <c r="DP488" i="147"/>
  <c r="DP489" i="147"/>
  <c r="DP490" i="147"/>
  <c r="DP491" i="147"/>
  <c r="DP492" i="147"/>
  <c r="DP493" i="147"/>
  <c r="DP494" i="147"/>
  <c r="DP495" i="147"/>
  <c r="DP496" i="147"/>
  <c r="DP497" i="147"/>
  <c r="DP498" i="147"/>
  <c r="DP499" i="147"/>
  <c r="DP500" i="147"/>
  <c r="DP501" i="147"/>
  <c r="DP502" i="147"/>
  <c r="DP503" i="147"/>
  <c r="DP504" i="147"/>
  <c r="DP505" i="147"/>
  <c r="DP506" i="147"/>
  <c r="DP507" i="147"/>
  <c r="DP508" i="147"/>
  <c r="DP509" i="147"/>
  <c r="DP510" i="147"/>
  <c r="DP511" i="147"/>
  <c r="DP512" i="147"/>
  <c r="DP513" i="147"/>
  <c r="DP514" i="147"/>
  <c r="DP515" i="147"/>
  <c r="DP516" i="147"/>
  <c r="DP517" i="147"/>
  <c r="DP518" i="147"/>
  <c r="DP519" i="147"/>
  <c r="DP520" i="147"/>
  <c r="DP521" i="147"/>
  <c r="DP522" i="147"/>
  <c r="DP523" i="147"/>
  <c r="DP524" i="147"/>
  <c r="DP525" i="147"/>
  <c r="DP526" i="147"/>
  <c r="DP527" i="147"/>
  <c r="DP528" i="147"/>
  <c r="DP529" i="147"/>
  <c r="DP530" i="147"/>
  <c r="DP531" i="147"/>
  <c r="DP532" i="147"/>
  <c r="DP533" i="147"/>
  <c r="DP534" i="147"/>
  <c r="DP535" i="147"/>
  <c r="DP536" i="147"/>
  <c r="DP537" i="147"/>
  <c r="DP538" i="147"/>
  <c r="DP539" i="147"/>
  <c r="DP540" i="147"/>
  <c r="DP541" i="147"/>
  <c r="DP542" i="147"/>
  <c r="DP543" i="147"/>
  <c r="DP544" i="147"/>
  <c r="DP545" i="147"/>
  <c r="DP546" i="147"/>
  <c r="DP547" i="147"/>
  <c r="DP548" i="147"/>
  <c r="DP549" i="147"/>
  <c r="DP550" i="147"/>
  <c r="DP551" i="147"/>
  <c r="DP552" i="147"/>
  <c r="DP553" i="147"/>
  <c r="DP554" i="147"/>
  <c r="DP555" i="147"/>
  <c r="DP556" i="147"/>
  <c r="DP557" i="147"/>
  <c r="DP558" i="147"/>
  <c r="DP559" i="147"/>
  <c r="DP560" i="147"/>
  <c r="DP561" i="147"/>
  <c r="DP562" i="147"/>
  <c r="DP563" i="147"/>
  <c r="DP564" i="147"/>
  <c r="DP565" i="147"/>
  <c r="DP566" i="147"/>
  <c r="DP568" i="147"/>
  <c r="DP569" i="147"/>
  <c r="DP570" i="147"/>
  <c r="DP571" i="147"/>
  <c r="DP572" i="147"/>
  <c r="DP573" i="147"/>
  <c r="DP574" i="147"/>
  <c r="DP575" i="147"/>
  <c r="DP576" i="147"/>
  <c r="DP577" i="147"/>
  <c r="DP578" i="147"/>
  <c r="DP579" i="147"/>
  <c r="DP580" i="147"/>
  <c r="DP581" i="147"/>
  <c r="DP582" i="147"/>
  <c r="DP583" i="147"/>
  <c r="DP584" i="147"/>
  <c r="DP585" i="147"/>
  <c r="DP586" i="147"/>
  <c r="DP587" i="147"/>
  <c r="DP588" i="147"/>
  <c r="DP589" i="147"/>
  <c r="DP590" i="147"/>
  <c r="DP591" i="147"/>
  <c r="DP592" i="147"/>
  <c r="DP593" i="147"/>
  <c r="DP594" i="147"/>
  <c r="DP595" i="147"/>
  <c r="DP596" i="147"/>
  <c r="DP597" i="147"/>
  <c r="DP598" i="147"/>
  <c r="DP600" i="147"/>
  <c r="DP601" i="147"/>
  <c r="DP602" i="147"/>
  <c r="DP603" i="147"/>
  <c r="DP604" i="147"/>
  <c r="DP605" i="147"/>
  <c r="DP606" i="147"/>
  <c r="DP607" i="147"/>
  <c r="DP608" i="147"/>
  <c r="DP609" i="147"/>
  <c r="DP610" i="147"/>
  <c r="DP611" i="147"/>
  <c r="DP612" i="147"/>
  <c r="DP613" i="147"/>
  <c r="DP614" i="147"/>
  <c r="DP615" i="147"/>
  <c r="DP616" i="147"/>
  <c r="DP617" i="147"/>
  <c r="DP618" i="147"/>
  <c r="DP619" i="147"/>
  <c r="DP620" i="147"/>
  <c r="DP621" i="147"/>
  <c r="DP622" i="147"/>
  <c r="DP623" i="147"/>
  <c r="DP624" i="147"/>
  <c r="DP625" i="147"/>
  <c r="DP626" i="147"/>
  <c r="DP627" i="147"/>
  <c r="DP628" i="147"/>
  <c r="DP629" i="147"/>
  <c r="DP631" i="147"/>
  <c r="DP632" i="147"/>
  <c r="DP633" i="147"/>
  <c r="DP634" i="147"/>
  <c r="DP635" i="147"/>
  <c r="DP636" i="147"/>
  <c r="DP637" i="147"/>
  <c r="DP638" i="147"/>
  <c r="DP639" i="147"/>
  <c r="DP640" i="147"/>
  <c r="DP641" i="147"/>
  <c r="DP642" i="147"/>
  <c r="DP643" i="147"/>
  <c r="DR375" i="147"/>
  <c r="DR376" i="147"/>
  <c r="DR377" i="147"/>
  <c r="DR378" i="147"/>
  <c r="DR379" i="147"/>
  <c r="DR380" i="147"/>
  <c r="DR381" i="147"/>
  <c r="DR382" i="147"/>
  <c r="DR383" i="147"/>
  <c r="DR384" i="147"/>
  <c r="DR385" i="147"/>
  <c r="DR386" i="147"/>
  <c r="DR387" i="147"/>
  <c r="DR388" i="147"/>
  <c r="DR389" i="147"/>
  <c r="DR390" i="147"/>
  <c r="DR391" i="147"/>
  <c r="DR392" i="147"/>
  <c r="DR393" i="147"/>
  <c r="DR394" i="147"/>
  <c r="DR395" i="147"/>
  <c r="DR396" i="147"/>
  <c r="DR397" i="147"/>
  <c r="DR398" i="147"/>
  <c r="DR399" i="147"/>
  <c r="DR400" i="147"/>
  <c r="DR401" i="147"/>
  <c r="DR402" i="147"/>
  <c r="DR403" i="147"/>
  <c r="DR404" i="147"/>
  <c r="DR405" i="147"/>
  <c r="DR406" i="147"/>
  <c r="DR407" i="147"/>
  <c r="DR408" i="147"/>
  <c r="DR409" i="147"/>
  <c r="DR410" i="147"/>
  <c r="DR411" i="147"/>
  <c r="DR412" i="147"/>
  <c r="DR413" i="147"/>
  <c r="DR414" i="147"/>
  <c r="DR415" i="147"/>
  <c r="DR416" i="147"/>
  <c r="DR417" i="147"/>
  <c r="DR418" i="147"/>
  <c r="DR419" i="147"/>
  <c r="DR420" i="147"/>
  <c r="DR421" i="147"/>
  <c r="DR422" i="147"/>
  <c r="DR423" i="147"/>
  <c r="DR424" i="147"/>
  <c r="DR425" i="147"/>
  <c r="DR426" i="147"/>
  <c r="DR427" i="147"/>
  <c r="DR428" i="147"/>
  <c r="DR429" i="147"/>
  <c r="DR430" i="147"/>
  <c r="DR431" i="147"/>
  <c r="DR432" i="147"/>
  <c r="DR433" i="147"/>
  <c r="DR434" i="147"/>
  <c r="DR435" i="147"/>
  <c r="DR436" i="147"/>
  <c r="DR437" i="147"/>
  <c r="DR438" i="147"/>
  <c r="DR439" i="147"/>
  <c r="DR440" i="147"/>
  <c r="DR441" i="147"/>
  <c r="DR442" i="147"/>
  <c r="DR443" i="147"/>
  <c r="DR444" i="147"/>
  <c r="DR445" i="147"/>
  <c r="DR446" i="147"/>
  <c r="DR447" i="147"/>
  <c r="DR448" i="147"/>
  <c r="DR449" i="147"/>
  <c r="DR450" i="147"/>
  <c r="DR451" i="147"/>
  <c r="DR452" i="147"/>
  <c r="DR453" i="147"/>
  <c r="DR454" i="147"/>
  <c r="DR455" i="147"/>
  <c r="DR456" i="147"/>
  <c r="DR457" i="147"/>
  <c r="DR458" i="147"/>
  <c r="DR459" i="147"/>
  <c r="DR460" i="147"/>
  <c r="DR461" i="147"/>
  <c r="DR462" i="147"/>
  <c r="DR463" i="147"/>
  <c r="DR464" i="147"/>
  <c r="DR465" i="147"/>
  <c r="DR466" i="147"/>
  <c r="DR467" i="147"/>
  <c r="DR468" i="147"/>
  <c r="DR469" i="147"/>
  <c r="DR470" i="147"/>
  <c r="DR471" i="147"/>
  <c r="DR472" i="147"/>
  <c r="DR473" i="147"/>
  <c r="DR474" i="147"/>
  <c r="DR475" i="147"/>
  <c r="DR476" i="147"/>
  <c r="DR477" i="147"/>
  <c r="DR478" i="147"/>
  <c r="DR479" i="147"/>
  <c r="DR480" i="147"/>
  <c r="DR481" i="147"/>
  <c r="DR482" i="147"/>
  <c r="DR483" i="147"/>
  <c r="DR484" i="147"/>
  <c r="DR485" i="147"/>
  <c r="DR486" i="147"/>
  <c r="DR487" i="147"/>
  <c r="DR488" i="147"/>
  <c r="DR489" i="147"/>
  <c r="DR490" i="147"/>
  <c r="DR491" i="147"/>
  <c r="DR492" i="147"/>
  <c r="DR493" i="147"/>
  <c r="DR497" i="147"/>
  <c r="DR498" i="147"/>
  <c r="DR499" i="147"/>
  <c r="DR500" i="147"/>
  <c r="DR501" i="147"/>
  <c r="DR502" i="147"/>
  <c r="DR503" i="147"/>
  <c r="DR504" i="147"/>
  <c r="DR505" i="147"/>
  <c r="DR506" i="147"/>
  <c r="DR507" i="147"/>
  <c r="DR508" i="147"/>
  <c r="DR509" i="147"/>
  <c r="DR510" i="147"/>
  <c r="DR511" i="147"/>
  <c r="DR512" i="147"/>
  <c r="DR513" i="147"/>
  <c r="DR514" i="147"/>
  <c r="DR515" i="147"/>
  <c r="DR516" i="147"/>
  <c r="DR517" i="147"/>
  <c r="DR518" i="147"/>
  <c r="DR519" i="147"/>
  <c r="DR520" i="147"/>
  <c r="DR521" i="147"/>
  <c r="DR522" i="147"/>
  <c r="DR523" i="147"/>
  <c r="DR524" i="147"/>
  <c r="DR525" i="147"/>
  <c r="DR526" i="147"/>
  <c r="DR527" i="147"/>
  <c r="DR528" i="147"/>
  <c r="DR529" i="147"/>
  <c r="DR530" i="147"/>
  <c r="DR531" i="147"/>
  <c r="DR532" i="147"/>
  <c r="DR533" i="147"/>
  <c r="DR534" i="147"/>
  <c r="DR535" i="147"/>
  <c r="DR536" i="147"/>
  <c r="DR537" i="147"/>
  <c r="DR538" i="147"/>
  <c r="DR539" i="147"/>
  <c r="DR540" i="147"/>
  <c r="DR541" i="147"/>
  <c r="DR542" i="147"/>
  <c r="DR543" i="147"/>
  <c r="DR544" i="147"/>
  <c r="DR545" i="147"/>
  <c r="DR546" i="147"/>
  <c r="DR547" i="147"/>
  <c r="DR548" i="147"/>
  <c r="DR549" i="147"/>
  <c r="DR550" i="147"/>
  <c r="DR551" i="147"/>
  <c r="DR552" i="147"/>
  <c r="DR553" i="147"/>
  <c r="DR554" i="147"/>
  <c r="DR555" i="147"/>
  <c r="DR556" i="147"/>
  <c r="DR557" i="147"/>
  <c r="DR558" i="147"/>
  <c r="DR559" i="147"/>
  <c r="DR560" i="147"/>
  <c r="DR561" i="147"/>
  <c r="DR562" i="147"/>
  <c r="DR563" i="147"/>
  <c r="DR564" i="147"/>
  <c r="DR565" i="147"/>
  <c r="DR566" i="147"/>
  <c r="DR568" i="147"/>
  <c r="DR494" i="147"/>
  <c r="DR495" i="147"/>
  <c r="DR496" i="147"/>
  <c r="DR569" i="147"/>
  <c r="DR570" i="147"/>
  <c r="DR571" i="147"/>
  <c r="DR572" i="147"/>
  <c r="DR573" i="147"/>
  <c r="DR574" i="147"/>
  <c r="DR575" i="147"/>
  <c r="DR576" i="147"/>
  <c r="DR577" i="147"/>
  <c r="DR578" i="147"/>
  <c r="DR579" i="147"/>
  <c r="DR580" i="147"/>
  <c r="DR581" i="147"/>
  <c r="DR582" i="147"/>
  <c r="DR583" i="147"/>
  <c r="DR584" i="147"/>
  <c r="DR585" i="147"/>
  <c r="DR586" i="147"/>
  <c r="DR587" i="147"/>
  <c r="DR588" i="147"/>
  <c r="DR589" i="147"/>
  <c r="DR590" i="147"/>
  <c r="DR591" i="147"/>
  <c r="DR592" i="147"/>
  <c r="DR593" i="147"/>
  <c r="DR594" i="147"/>
  <c r="DR595" i="147"/>
  <c r="DR596" i="147"/>
  <c r="DR597" i="147"/>
  <c r="DR598" i="147"/>
  <c r="DR600" i="147"/>
  <c r="DR601" i="147"/>
  <c r="DR602" i="147"/>
  <c r="DR603" i="147"/>
  <c r="DR604" i="147"/>
  <c r="DR605" i="147"/>
  <c r="DR606" i="147"/>
  <c r="DR607" i="147"/>
  <c r="DR608" i="147"/>
  <c r="DR609" i="147"/>
  <c r="DR610" i="147"/>
  <c r="DR611" i="147"/>
  <c r="DR612" i="147"/>
  <c r="DR613" i="147"/>
  <c r="DR614" i="147"/>
  <c r="DR615" i="147"/>
  <c r="DR616" i="147"/>
  <c r="DR617" i="147"/>
  <c r="DR618" i="147"/>
  <c r="DR619" i="147"/>
  <c r="DR620" i="147"/>
  <c r="DR621" i="147"/>
  <c r="DR622" i="147"/>
  <c r="DR623" i="147"/>
  <c r="DR624" i="147"/>
  <c r="DR625" i="147"/>
  <c r="DR626" i="147"/>
  <c r="DR627" i="147"/>
  <c r="DR628" i="147"/>
  <c r="DR629" i="147"/>
  <c r="DR631" i="147"/>
  <c r="DR632" i="147"/>
  <c r="DR633" i="147"/>
  <c r="DR634" i="147"/>
  <c r="DR635" i="147"/>
  <c r="DR636" i="147"/>
  <c r="DR637" i="147"/>
  <c r="DR638" i="147"/>
  <c r="DR639" i="147"/>
  <c r="DR640" i="147"/>
  <c r="DR641" i="147"/>
  <c r="DR642" i="147"/>
  <c r="DR643" i="147"/>
  <c r="DT375" i="147"/>
  <c r="DT376" i="147"/>
  <c r="DT377" i="147"/>
  <c r="DT378" i="147"/>
  <c r="DT379" i="147"/>
  <c r="DT380" i="147"/>
  <c r="DT381" i="147"/>
  <c r="DT382" i="147"/>
  <c r="DT383" i="147"/>
  <c r="DT384" i="147"/>
  <c r="DT385" i="147"/>
  <c r="DT400" i="147"/>
  <c r="DT401" i="147"/>
  <c r="DT402" i="147"/>
  <c r="DT403" i="147"/>
  <c r="DT404" i="147"/>
  <c r="DT405" i="147"/>
  <c r="DT406" i="147"/>
  <c r="DT407" i="147"/>
  <c r="DT408" i="147"/>
  <c r="DT409" i="147"/>
  <c r="DT410" i="147"/>
  <c r="DT411" i="147"/>
  <c r="DT412" i="147"/>
  <c r="DT413" i="147"/>
  <c r="DT414" i="147"/>
  <c r="DT415" i="147"/>
  <c r="DT416" i="147"/>
  <c r="DT417" i="147"/>
  <c r="DT418" i="147"/>
  <c r="DT419" i="147"/>
  <c r="DT420" i="147"/>
  <c r="DT421" i="147"/>
  <c r="DT422" i="147"/>
  <c r="DT423" i="147"/>
  <c r="DT424" i="147"/>
  <c r="DT425" i="147"/>
  <c r="DT426" i="147"/>
  <c r="DT427" i="147"/>
  <c r="DT386" i="147"/>
  <c r="DT387" i="147"/>
  <c r="DT388" i="147"/>
  <c r="DT389" i="147"/>
  <c r="DT390" i="147"/>
  <c r="DT391" i="147"/>
  <c r="DT392" i="147"/>
  <c r="DT393" i="147"/>
  <c r="DT394" i="147"/>
  <c r="DT395" i="147"/>
  <c r="DT396" i="147"/>
  <c r="DT397" i="147"/>
  <c r="DT398" i="147"/>
  <c r="DT399" i="147"/>
  <c r="DT428" i="147"/>
  <c r="DT429" i="147"/>
  <c r="DT430" i="147"/>
  <c r="DT431" i="147"/>
  <c r="DT432" i="147"/>
  <c r="DT433" i="147"/>
  <c r="DT434" i="147"/>
  <c r="DT435" i="147"/>
  <c r="DT436" i="147"/>
  <c r="DT437" i="147"/>
  <c r="DT438" i="147"/>
  <c r="DT439" i="147"/>
  <c r="DT440" i="147"/>
  <c r="DT441" i="147"/>
  <c r="DT442" i="147"/>
  <c r="DT443" i="147"/>
  <c r="DT444" i="147"/>
  <c r="DT445" i="147"/>
  <c r="DT446" i="147"/>
  <c r="DT447" i="147"/>
  <c r="DT448" i="147"/>
  <c r="DT449" i="147"/>
  <c r="DT450" i="147"/>
  <c r="DT451" i="147"/>
  <c r="DT452" i="147"/>
  <c r="DT453" i="147"/>
  <c r="DT454" i="147"/>
  <c r="DT455" i="147"/>
  <c r="DT456" i="147"/>
  <c r="DT457" i="147"/>
  <c r="DT458" i="147"/>
  <c r="DT459" i="147"/>
  <c r="DT460" i="147"/>
  <c r="DT461" i="147"/>
  <c r="DT462" i="147"/>
  <c r="DT463" i="147"/>
  <c r="DT464" i="147"/>
  <c r="DT465" i="147"/>
  <c r="DT466" i="147"/>
  <c r="DT467" i="147"/>
  <c r="DT468" i="147"/>
  <c r="DT469" i="147"/>
  <c r="DT470" i="147"/>
  <c r="DT471" i="147"/>
  <c r="DT472" i="147"/>
  <c r="DT473" i="147"/>
  <c r="DT474" i="147"/>
  <c r="DT475" i="147"/>
  <c r="DT476" i="147"/>
  <c r="DT477" i="147"/>
  <c r="DT478" i="147"/>
  <c r="DT479" i="147"/>
  <c r="DT480" i="147"/>
  <c r="DT481" i="147"/>
  <c r="DT482" i="147"/>
  <c r="DT483" i="147"/>
  <c r="DT484" i="147"/>
  <c r="DT485" i="147"/>
  <c r="DT486" i="147"/>
  <c r="DT487" i="147"/>
  <c r="DT488" i="147"/>
  <c r="DT489" i="147"/>
  <c r="DT490" i="147"/>
  <c r="DT491" i="147"/>
  <c r="DT492" i="147"/>
  <c r="DT493" i="147"/>
  <c r="DT494" i="147"/>
  <c r="DT495" i="147"/>
  <c r="DT496" i="147"/>
  <c r="DT497" i="147"/>
  <c r="DT498" i="147"/>
  <c r="DT499" i="147"/>
  <c r="DT500" i="147"/>
  <c r="DT501" i="147"/>
  <c r="DT502" i="147"/>
  <c r="DT503" i="147"/>
  <c r="DT504" i="147"/>
  <c r="DT505" i="147"/>
  <c r="DT506" i="147"/>
  <c r="DT507" i="147"/>
  <c r="DT508" i="147"/>
  <c r="DT509" i="147"/>
  <c r="DT510" i="147"/>
  <c r="DT511" i="147"/>
  <c r="DT512" i="147"/>
  <c r="DT513" i="147"/>
  <c r="DT514" i="147"/>
  <c r="DT515" i="147"/>
  <c r="DT516" i="147"/>
  <c r="DT517" i="147"/>
  <c r="DT518" i="147"/>
  <c r="DT519" i="147"/>
  <c r="DT520" i="147"/>
  <c r="DT521" i="147"/>
  <c r="DT522" i="147"/>
  <c r="DT523" i="147"/>
  <c r="DT524" i="147"/>
  <c r="DT525" i="147"/>
  <c r="DT526" i="147"/>
  <c r="DT527" i="147"/>
  <c r="DT528" i="147"/>
  <c r="DT529" i="147"/>
  <c r="DT530" i="147"/>
  <c r="DT531" i="147"/>
  <c r="DT532" i="147"/>
  <c r="DT533" i="147"/>
  <c r="DT534" i="147"/>
  <c r="DT535" i="147"/>
  <c r="DT536" i="147"/>
  <c r="DT537" i="147"/>
  <c r="DT538" i="147"/>
  <c r="DT539" i="147"/>
  <c r="DT540" i="147"/>
  <c r="DT541" i="147"/>
  <c r="DT542" i="147"/>
  <c r="DT543" i="147"/>
  <c r="DT544" i="147"/>
  <c r="DT545" i="147"/>
  <c r="DT546" i="147"/>
  <c r="DT547" i="147"/>
  <c r="DT548" i="147"/>
  <c r="DT549" i="147"/>
  <c r="DT550" i="147"/>
  <c r="DT551" i="147"/>
  <c r="DT552" i="147"/>
  <c r="DT553" i="147"/>
  <c r="DT554" i="147"/>
  <c r="DT555" i="147"/>
  <c r="DT556" i="147"/>
  <c r="DT557" i="147"/>
  <c r="DT558" i="147"/>
  <c r="DT559" i="147"/>
  <c r="DT560" i="147"/>
  <c r="DT561" i="147"/>
  <c r="DT562" i="147"/>
  <c r="DT563" i="147"/>
  <c r="DT564" i="147"/>
  <c r="DT565" i="147"/>
  <c r="DT566" i="147"/>
  <c r="DT568" i="147"/>
  <c r="DT569" i="147"/>
  <c r="DT570" i="147"/>
  <c r="DT571" i="147"/>
  <c r="DT572" i="147"/>
  <c r="DT573" i="147"/>
  <c r="DT574" i="147"/>
  <c r="DT575" i="147"/>
  <c r="DT576" i="147"/>
  <c r="DT577" i="147"/>
  <c r="DT578" i="147"/>
  <c r="DT579" i="147"/>
  <c r="DT580" i="147"/>
  <c r="DT581" i="147"/>
  <c r="DT582" i="147"/>
  <c r="DT583" i="147"/>
  <c r="DT584" i="147"/>
  <c r="DT585" i="147"/>
  <c r="DT586" i="147"/>
  <c r="DT587" i="147"/>
  <c r="DT588" i="147"/>
  <c r="DT589" i="147"/>
  <c r="DT590" i="147"/>
  <c r="DT591" i="147"/>
  <c r="DT592" i="147"/>
  <c r="DT593" i="147"/>
  <c r="DT594" i="147"/>
  <c r="DT595" i="147"/>
  <c r="DT596" i="147"/>
  <c r="DT597" i="147"/>
  <c r="DT598" i="147"/>
  <c r="DT600" i="147"/>
  <c r="DT601" i="147"/>
  <c r="DT602" i="147"/>
  <c r="DT603" i="147"/>
  <c r="DT604" i="147"/>
  <c r="DT605" i="147"/>
  <c r="DT606" i="147"/>
  <c r="DT607" i="147"/>
  <c r="DT608" i="147"/>
  <c r="DT609" i="147"/>
  <c r="DT610" i="147"/>
  <c r="DT611" i="147"/>
  <c r="DT612" i="147"/>
  <c r="DT613" i="147"/>
  <c r="DT614" i="147"/>
  <c r="DT615" i="147"/>
  <c r="DT616" i="147"/>
  <c r="DT617" i="147"/>
  <c r="DT618" i="147"/>
  <c r="DT619" i="147"/>
  <c r="DT620" i="147"/>
  <c r="DT621" i="147"/>
  <c r="DT622" i="147"/>
  <c r="DT623" i="147"/>
  <c r="DT624" i="147"/>
  <c r="DT625" i="147"/>
  <c r="DT626" i="147"/>
  <c r="DT627" i="147"/>
  <c r="DT628" i="147"/>
  <c r="DT629" i="147"/>
  <c r="DT631" i="147"/>
  <c r="DT632" i="147"/>
  <c r="DT633" i="147"/>
  <c r="DT634" i="147"/>
  <c r="DT635" i="147"/>
  <c r="DT636" i="147"/>
  <c r="DT637" i="147"/>
  <c r="DT638" i="147"/>
  <c r="DT639" i="147"/>
  <c r="DT640" i="147"/>
  <c r="DT641" i="147"/>
  <c r="DT642" i="147"/>
  <c r="DT643" i="147"/>
  <c r="DV375" i="147"/>
  <c r="DV376" i="147"/>
  <c r="DV377" i="147"/>
  <c r="DV378" i="147"/>
  <c r="DV386" i="147"/>
  <c r="DV387" i="147"/>
  <c r="DV388" i="147"/>
  <c r="DV389" i="147"/>
  <c r="DV390" i="147"/>
  <c r="DV391" i="147"/>
  <c r="DV392" i="147"/>
  <c r="DV393" i="147"/>
  <c r="DV394" i="147"/>
  <c r="DV395" i="147"/>
  <c r="DV396" i="147"/>
  <c r="DV397" i="147"/>
  <c r="DV398" i="147"/>
  <c r="DV399" i="147"/>
  <c r="DV400" i="147"/>
  <c r="DV401" i="147"/>
  <c r="DV402" i="147"/>
  <c r="DV403" i="147"/>
  <c r="DV404" i="147"/>
  <c r="DV405" i="147"/>
  <c r="DV406" i="147"/>
  <c r="DV407" i="147"/>
  <c r="DV408" i="147"/>
  <c r="DV409" i="147"/>
  <c r="DV410" i="147"/>
  <c r="DV411" i="147"/>
  <c r="DV412" i="147"/>
  <c r="DV413" i="147"/>
  <c r="DV414" i="147"/>
  <c r="DV416" i="147"/>
  <c r="DV417" i="147"/>
  <c r="DV418" i="147"/>
  <c r="DV419" i="147"/>
  <c r="DV420" i="147"/>
  <c r="DV421" i="147"/>
  <c r="DV422" i="147"/>
  <c r="DV423" i="147"/>
  <c r="DV424" i="147"/>
  <c r="DV425" i="147"/>
  <c r="DV426" i="147"/>
  <c r="DV427" i="147"/>
  <c r="DV379" i="147"/>
  <c r="DV380" i="147"/>
  <c r="DV381" i="147"/>
  <c r="DV382" i="147"/>
  <c r="DV383" i="147"/>
  <c r="DV384" i="147"/>
  <c r="DV385" i="147"/>
  <c r="DV428" i="147"/>
  <c r="DV429" i="147"/>
  <c r="DV430" i="147"/>
  <c r="DV431" i="147"/>
  <c r="DV432" i="147"/>
  <c r="DV433" i="147"/>
  <c r="DV434" i="147"/>
  <c r="DV435" i="147"/>
  <c r="DV436" i="147"/>
  <c r="DV437" i="147"/>
  <c r="DV438" i="147"/>
  <c r="DV439" i="147"/>
  <c r="DV440" i="147"/>
  <c r="DV441" i="147"/>
  <c r="DV442" i="147"/>
  <c r="DV443" i="147"/>
  <c r="DV444" i="147"/>
  <c r="DV445" i="147"/>
  <c r="DV446" i="147"/>
  <c r="DV447" i="147"/>
  <c r="DV448" i="147"/>
  <c r="DV449" i="147"/>
  <c r="DV450" i="147"/>
  <c r="DV451" i="147"/>
  <c r="DV452" i="147"/>
  <c r="DV453" i="147"/>
  <c r="DV454" i="147"/>
  <c r="DV455" i="147"/>
  <c r="DV456" i="147"/>
  <c r="DV457" i="147"/>
  <c r="DV458" i="147"/>
  <c r="DV459" i="147"/>
  <c r="DV460" i="147"/>
  <c r="DV461" i="147"/>
  <c r="DV462" i="147"/>
  <c r="DV463" i="147"/>
  <c r="DV464" i="147"/>
  <c r="DV465" i="147"/>
  <c r="DV466" i="147"/>
  <c r="DV467" i="147"/>
  <c r="DV468" i="147"/>
  <c r="DV469" i="147"/>
  <c r="DV470" i="147"/>
  <c r="DV471" i="147"/>
  <c r="DV472" i="147"/>
  <c r="DV473" i="147"/>
  <c r="DV474" i="147"/>
  <c r="DV475" i="147"/>
  <c r="DV476" i="147"/>
  <c r="DV477" i="147"/>
  <c r="DV478" i="147"/>
  <c r="DV479" i="147"/>
  <c r="DV480" i="147"/>
  <c r="DV481" i="147"/>
  <c r="DV482" i="147"/>
  <c r="DV483" i="147"/>
  <c r="DV484" i="147"/>
  <c r="DV485" i="147"/>
  <c r="DV486" i="147"/>
  <c r="DV487" i="147"/>
  <c r="DV488" i="147"/>
  <c r="DV489" i="147"/>
  <c r="DV490" i="147"/>
  <c r="DV491" i="147"/>
  <c r="DV492" i="147"/>
  <c r="DV493" i="147"/>
  <c r="DV497" i="147"/>
  <c r="DV498" i="147"/>
  <c r="DV499" i="147"/>
  <c r="DV500" i="147"/>
  <c r="DV501" i="147"/>
  <c r="DV502" i="147"/>
  <c r="DV503" i="147"/>
  <c r="DV504" i="147"/>
  <c r="DV505" i="147"/>
  <c r="DV506" i="147"/>
  <c r="DV507" i="147"/>
  <c r="DV508" i="147"/>
  <c r="DV509" i="147"/>
  <c r="DV510" i="147"/>
  <c r="DV511" i="147"/>
  <c r="DV512" i="147"/>
  <c r="DV513" i="147"/>
  <c r="DV514" i="147"/>
  <c r="DV515" i="147"/>
  <c r="DV516" i="147"/>
  <c r="DV517" i="147"/>
  <c r="DV518" i="147"/>
  <c r="DV519" i="147"/>
  <c r="DV520" i="147"/>
  <c r="DV521" i="147"/>
  <c r="DV522" i="147"/>
  <c r="DV523" i="147"/>
  <c r="DV524" i="147"/>
  <c r="DV525" i="147"/>
  <c r="DV526" i="147"/>
  <c r="DV527" i="147"/>
  <c r="DV528" i="147"/>
  <c r="DV529" i="147"/>
  <c r="DV530" i="147"/>
  <c r="DV531" i="147"/>
  <c r="DV532" i="147"/>
  <c r="DV533" i="147"/>
  <c r="DV534" i="147"/>
  <c r="DV535" i="147"/>
  <c r="DV536" i="147"/>
  <c r="DV537" i="147"/>
  <c r="DV538" i="147"/>
  <c r="DV539" i="147"/>
  <c r="DV540" i="147"/>
  <c r="DV541" i="147"/>
  <c r="DV542" i="147"/>
  <c r="DV543" i="147"/>
  <c r="DV544" i="147"/>
  <c r="DV545" i="147"/>
  <c r="DV546" i="147"/>
  <c r="DV547" i="147"/>
  <c r="DV548" i="147"/>
  <c r="DV549" i="147"/>
  <c r="DV550" i="147"/>
  <c r="DV551" i="147"/>
  <c r="DV552" i="147"/>
  <c r="DV553" i="147"/>
  <c r="DV554" i="147"/>
  <c r="DV555" i="147"/>
  <c r="DV556" i="147"/>
  <c r="DV557" i="147"/>
  <c r="DV558" i="147"/>
  <c r="DV559" i="147"/>
  <c r="DV560" i="147"/>
  <c r="DV561" i="147"/>
  <c r="DV562" i="147"/>
  <c r="DV563" i="147"/>
  <c r="DV564" i="147"/>
  <c r="DV565" i="147"/>
  <c r="DV566" i="147"/>
  <c r="DV568" i="147"/>
  <c r="DV494" i="147"/>
  <c r="DV495" i="147"/>
  <c r="DV496" i="147"/>
  <c r="DV569" i="147"/>
  <c r="DV570" i="147"/>
  <c r="DV571" i="147"/>
  <c r="DV572" i="147"/>
  <c r="DV573" i="147"/>
  <c r="DV574" i="147"/>
  <c r="DV575" i="147"/>
  <c r="DV576" i="147"/>
  <c r="DV577" i="147"/>
  <c r="DV578" i="147"/>
  <c r="DV579" i="147"/>
  <c r="DV580" i="147"/>
  <c r="DV581" i="147"/>
  <c r="DV582" i="147"/>
  <c r="DV583" i="147"/>
  <c r="DV584" i="147"/>
  <c r="DV585" i="147"/>
  <c r="DV586" i="147"/>
  <c r="DV587" i="147"/>
  <c r="DV588" i="147"/>
  <c r="DV589" i="147"/>
  <c r="DV590" i="147"/>
  <c r="DV591" i="147"/>
  <c r="DV592" i="147"/>
  <c r="DV593" i="147"/>
  <c r="DV594" i="147"/>
  <c r="DV595" i="147"/>
  <c r="DV596" i="147"/>
  <c r="DV597" i="147"/>
  <c r="DV598" i="147"/>
  <c r="DV600" i="147"/>
  <c r="DV601" i="147"/>
  <c r="DV602" i="147"/>
  <c r="DV603" i="147"/>
  <c r="DV604" i="147"/>
  <c r="DV605" i="147"/>
  <c r="DV606" i="147"/>
  <c r="DV607" i="147"/>
  <c r="DV608" i="147"/>
  <c r="DV609" i="147"/>
  <c r="DV610" i="147"/>
  <c r="DV611" i="147"/>
  <c r="DV612" i="147"/>
  <c r="DV613" i="147"/>
  <c r="DV614" i="147"/>
  <c r="DV615" i="147"/>
  <c r="DV616" i="147"/>
  <c r="DV617" i="147"/>
  <c r="DV618" i="147"/>
  <c r="DV619" i="147"/>
  <c r="DV620" i="147"/>
  <c r="DV621" i="147"/>
  <c r="DV622" i="147"/>
  <c r="DV623" i="147"/>
  <c r="DV624" i="147"/>
  <c r="DV625" i="147"/>
  <c r="DV626" i="147"/>
  <c r="DV627" i="147"/>
  <c r="DV628" i="147"/>
  <c r="DV629" i="147"/>
  <c r="DV631" i="147"/>
  <c r="DV632" i="147"/>
  <c r="DV633" i="147"/>
  <c r="DV634" i="147"/>
  <c r="DV635" i="147"/>
  <c r="DV636" i="147"/>
  <c r="DV637" i="147"/>
  <c r="DV638" i="147"/>
  <c r="DV639" i="147"/>
  <c r="DV640" i="147"/>
  <c r="DV641" i="147"/>
  <c r="DV642" i="147"/>
  <c r="DV643" i="147"/>
  <c r="DY379" i="147"/>
  <c r="DY380" i="147"/>
  <c r="DY381" i="147"/>
  <c r="DY382" i="147"/>
  <c r="DY383" i="147"/>
  <c r="DY384" i="147"/>
  <c r="DY385" i="147"/>
  <c r="DY386" i="147"/>
  <c r="DY387" i="147"/>
  <c r="DY388" i="147"/>
  <c r="DY389" i="147"/>
  <c r="DY390" i="147"/>
  <c r="DY391" i="147"/>
  <c r="DY392" i="147"/>
  <c r="DY393" i="147"/>
  <c r="DY394" i="147"/>
  <c r="DY395" i="147"/>
  <c r="DY396" i="147"/>
  <c r="DY397" i="147"/>
  <c r="DY398" i="147"/>
  <c r="DY399" i="147"/>
  <c r="DY376" i="147"/>
  <c r="DY378" i="147"/>
  <c r="DY375" i="147"/>
  <c r="DY377" i="147"/>
  <c r="DY400" i="147"/>
  <c r="DY401" i="147"/>
  <c r="DY402" i="147"/>
  <c r="DY403" i="147"/>
  <c r="DY404" i="147"/>
  <c r="DY405" i="147"/>
  <c r="DY406" i="147"/>
  <c r="DY407" i="147"/>
  <c r="DY408" i="147"/>
  <c r="DY409" i="147"/>
  <c r="DY410" i="147"/>
  <c r="DY411" i="147"/>
  <c r="DY412" i="147"/>
  <c r="DY413" i="147"/>
  <c r="DY414" i="147"/>
  <c r="DY415" i="147"/>
  <c r="DY416" i="147"/>
  <c r="DY417" i="147"/>
  <c r="DY418" i="147"/>
  <c r="DY419" i="147"/>
  <c r="DY420" i="147"/>
  <c r="DY421" i="147"/>
  <c r="DY422" i="147"/>
  <c r="DY423" i="147"/>
  <c r="DY424" i="147"/>
  <c r="DY425" i="147"/>
  <c r="DY426" i="147"/>
  <c r="DY427" i="147"/>
  <c r="DY428" i="147"/>
  <c r="DY429" i="147"/>
  <c r="DY430" i="147"/>
  <c r="DY431" i="147"/>
  <c r="DY432" i="147"/>
  <c r="DY433" i="147"/>
  <c r="DY434" i="147"/>
  <c r="DY435" i="147"/>
  <c r="DY436" i="147"/>
  <c r="DY437" i="147"/>
  <c r="DY438" i="147"/>
  <c r="DY439" i="147"/>
  <c r="DY440" i="147"/>
  <c r="DY441" i="147"/>
  <c r="DY442" i="147"/>
  <c r="DY443" i="147"/>
  <c r="DY444" i="147"/>
  <c r="DY445" i="147"/>
  <c r="DY446" i="147"/>
  <c r="DY447" i="147"/>
  <c r="DY448" i="147"/>
  <c r="DY449" i="147"/>
  <c r="DY450" i="147"/>
  <c r="DY451" i="147"/>
  <c r="DY452" i="147"/>
  <c r="DY453" i="147"/>
  <c r="DY454" i="147"/>
  <c r="DY455" i="147"/>
  <c r="DY456" i="147"/>
  <c r="DY457" i="147"/>
  <c r="DY458" i="147"/>
  <c r="DY459" i="147"/>
  <c r="DY460" i="147"/>
  <c r="DY461" i="147"/>
  <c r="DY462" i="147"/>
  <c r="DY463" i="147"/>
  <c r="DY464" i="147"/>
  <c r="DY465" i="147"/>
  <c r="DY466" i="147"/>
  <c r="DY467" i="147"/>
  <c r="DY468" i="147"/>
  <c r="DY469" i="147"/>
  <c r="DY470" i="147"/>
  <c r="DY471" i="147"/>
  <c r="DY472" i="147"/>
  <c r="DY473" i="147"/>
  <c r="DY474" i="147"/>
  <c r="DY475" i="147"/>
  <c r="DY476" i="147"/>
  <c r="DY477" i="147"/>
  <c r="DY478" i="147"/>
  <c r="DY479" i="147"/>
  <c r="DY480" i="147"/>
  <c r="DY481" i="147"/>
  <c r="DY482" i="147"/>
  <c r="DY483" i="147"/>
  <c r="DY484" i="147"/>
  <c r="DY485" i="147"/>
  <c r="DY486" i="147"/>
  <c r="DY487" i="147"/>
  <c r="DY488" i="147"/>
  <c r="DY489" i="147"/>
  <c r="DY490" i="147"/>
  <c r="DY491" i="147"/>
  <c r="DY492" i="147"/>
  <c r="DY493" i="147"/>
  <c r="DY494" i="147"/>
  <c r="DY495" i="147"/>
  <c r="DY496" i="147"/>
  <c r="DY497" i="147"/>
  <c r="DY498" i="147"/>
  <c r="DY499" i="147"/>
  <c r="DY500" i="147"/>
  <c r="DY501" i="147"/>
  <c r="DY502" i="147"/>
  <c r="DY503" i="147"/>
  <c r="DY504" i="147"/>
  <c r="DY505" i="147"/>
  <c r="DY506" i="147"/>
  <c r="DY507" i="147"/>
  <c r="DY508" i="147"/>
  <c r="DY509" i="147"/>
  <c r="DY510" i="147"/>
  <c r="DY511" i="147"/>
  <c r="DY512" i="147"/>
  <c r="DY513" i="147"/>
  <c r="DY514" i="147"/>
  <c r="DY515" i="147"/>
  <c r="DY516" i="147"/>
  <c r="DY517" i="147"/>
  <c r="DY518" i="147"/>
  <c r="DY519" i="147"/>
  <c r="DY520" i="147"/>
  <c r="DY521" i="147"/>
  <c r="DY522" i="147"/>
  <c r="DY523" i="147"/>
  <c r="DY524" i="147"/>
  <c r="DY525" i="147"/>
  <c r="DY526" i="147"/>
  <c r="DY527" i="147"/>
  <c r="DY528" i="147"/>
  <c r="DY529" i="147"/>
  <c r="DY530" i="147"/>
  <c r="DY531" i="147"/>
  <c r="DY532" i="147"/>
  <c r="DY533" i="147"/>
  <c r="DY534" i="147"/>
  <c r="DY535" i="147"/>
  <c r="DY536" i="147"/>
  <c r="DY537" i="147"/>
  <c r="DY538" i="147"/>
  <c r="DY539" i="147"/>
  <c r="DY540" i="147"/>
  <c r="DY541" i="147"/>
  <c r="DY542" i="147"/>
  <c r="DY543" i="147"/>
  <c r="DY544" i="147"/>
  <c r="DY545" i="147"/>
  <c r="DY546" i="147"/>
  <c r="DY547" i="147"/>
  <c r="DY548" i="147"/>
  <c r="DY549" i="147"/>
  <c r="DY550" i="147"/>
  <c r="DY551" i="147"/>
  <c r="DY552" i="147"/>
  <c r="DY553" i="147"/>
  <c r="DY554" i="147"/>
  <c r="DY555" i="147"/>
  <c r="DY556" i="147"/>
  <c r="DY557" i="147"/>
  <c r="DY558" i="147"/>
  <c r="DY559" i="147"/>
  <c r="DY560" i="147"/>
  <c r="DY561" i="147"/>
  <c r="DY562" i="147"/>
  <c r="DY563" i="147"/>
  <c r="DY564" i="147"/>
  <c r="DY565" i="147"/>
  <c r="DY566" i="147"/>
  <c r="DY568" i="147"/>
  <c r="DY569" i="147"/>
  <c r="DY570" i="147"/>
  <c r="DY571" i="147"/>
  <c r="DY572" i="147"/>
  <c r="DY573" i="147"/>
  <c r="DY574" i="147"/>
  <c r="DY575" i="147"/>
  <c r="DY576" i="147"/>
  <c r="DY577" i="147"/>
  <c r="DY578" i="147"/>
  <c r="DY579" i="147"/>
  <c r="DY580" i="147"/>
  <c r="DY581" i="147"/>
  <c r="DY582" i="147"/>
  <c r="DY583" i="147"/>
  <c r="DY584" i="147"/>
  <c r="DY585" i="147"/>
  <c r="DY586" i="147"/>
  <c r="DY587" i="147"/>
  <c r="DY588" i="147"/>
  <c r="DY589" i="147"/>
  <c r="DY590" i="147"/>
  <c r="DY591" i="147"/>
  <c r="DY592" i="147"/>
  <c r="DY593" i="147"/>
  <c r="DY594" i="147"/>
  <c r="DY595" i="147"/>
  <c r="DY596" i="147"/>
  <c r="DY597" i="147"/>
  <c r="DY598" i="147"/>
  <c r="DY600" i="147"/>
  <c r="DY601" i="147"/>
  <c r="DY602" i="147"/>
  <c r="DY603" i="147"/>
  <c r="DY604" i="147"/>
  <c r="DY605" i="147"/>
  <c r="DY606" i="147"/>
  <c r="DY607" i="147"/>
  <c r="DY608" i="147"/>
  <c r="DY609" i="147"/>
  <c r="DY610" i="147"/>
  <c r="DY611" i="147"/>
  <c r="DY612" i="147"/>
  <c r="DY613" i="147"/>
  <c r="DY614" i="147"/>
  <c r="DY615" i="147"/>
  <c r="DY616" i="147"/>
  <c r="DY617" i="147"/>
  <c r="DY618" i="147"/>
  <c r="DY619" i="147"/>
  <c r="DY620" i="147"/>
  <c r="DY621" i="147"/>
  <c r="DY622" i="147"/>
  <c r="DY623" i="147"/>
  <c r="DY624" i="147"/>
  <c r="DY625" i="147"/>
  <c r="DY626" i="147"/>
  <c r="DY627" i="147"/>
  <c r="DY628" i="147"/>
  <c r="DY629" i="147"/>
  <c r="DY631" i="147"/>
  <c r="DY632" i="147"/>
  <c r="DY633" i="147"/>
  <c r="DY634" i="147"/>
  <c r="DY635" i="147"/>
  <c r="DY636" i="147"/>
  <c r="DY637" i="147"/>
  <c r="DY638" i="147"/>
  <c r="DY639" i="147"/>
  <c r="DY640" i="147"/>
  <c r="DY641" i="147"/>
  <c r="DY642" i="147"/>
  <c r="DY643" i="147"/>
  <c r="EA375" i="147"/>
  <c r="EA376" i="147"/>
  <c r="EA377" i="147"/>
  <c r="EA378" i="147"/>
  <c r="EA379" i="147"/>
  <c r="EA380" i="147"/>
  <c r="EA381" i="147"/>
  <c r="EA382" i="147"/>
  <c r="EA383" i="147"/>
  <c r="EA384" i="147"/>
  <c r="EA385" i="147"/>
  <c r="EA386" i="147"/>
  <c r="EA387" i="147"/>
  <c r="EA388" i="147"/>
  <c r="EA389" i="147"/>
  <c r="EA390" i="147"/>
  <c r="EA391" i="147"/>
  <c r="EA392" i="147"/>
  <c r="EA393" i="147"/>
  <c r="EA394" i="147"/>
  <c r="EA395" i="147"/>
  <c r="EA396" i="147"/>
  <c r="EA397" i="147"/>
  <c r="EA398" i="147"/>
  <c r="EA399" i="147"/>
  <c r="EA400" i="147"/>
  <c r="EA401" i="147"/>
  <c r="EA402" i="147"/>
  <c r="EA403" i="147"/>
  <c r="EA404" i="147"/>
  <c r="EA405" i="147"/>
  <c r="EA406" i="147"/>
  <c r="EA407" i="147"/>
  <c r="EA408" i="147"/>
  <c r="EA409" i="147"/>
  <c r="EA410" i="147"/>
  <c r="EA411" i="147"/>
  <c r="EA412" i="147"/>
  <c r="EA413" i="147"/>
  <c r="EA414" i="147"/>
  <c r="EA415" i="147"/>
  <c r="EA416" i="147"/>
  <c r="EA417" i="147"/>
  <c r="EA418" i="147"/>
  <c r="EA419" i="147"/>
  <c r="EA420" i="147"/>
  <c r="EA421" i="147"/>
  <c r="EA422" i="147"/>
  <c r="EA423" i="147"/>
  <c r="EA424" i="147"/>
  <c r="EA425" i="147"/>
  <c r="EA426" i="147"/>
  <c r="EA427" i="147"/>
  <c r="EA428" i="147"/>
  <c r="EA429" i="147"/>
  <c r="EA430" i="147"/>
  <c r="EA431" i="147"/>
  <c r="EA432" i="147"/>
  <c r="EA433" i="147"/>
  <c r="EA434" i="147"/>
  <c r="EA435" i="147"/>
  <c r="EA436" i="147"/>
  <c r="EA437" i="147"/>
  <c r="EA438" i="147"/>
  <c r="EA445" i="147"/>
  <c r="EA446" i="147"/>
  <c r="EA447" i="147"/>
  <c r="EA448" i="147"/>
  <c r="EA449" i="147"/>
  <c r="EA450" i="147"/>
  <c r="EA451" i="147"/>
  <c r="EA452" i="147"/>
  <c r="EA453" i="147"/>
  <c r="EA454" i="147"/>
  <c r="EA455" i="147"/>
  <c r="EA456" i="147"/>
  <c r="EA457" i="147"/>
  <c r="EA439" i="147"/>
  <c r="EA440" i="147"/>
  <c r="EA441" i="147"/>
  <c r="EA442" i="147"/>
  <c r="EA443" i="147"/>
  <c r="EA444" i="147"/>
  <c r="EA458" i="147"/>
  <c r="EA459" i="147"/>
  <c r="EA460" i="147"/>
  <c r="EA461" i="147"/>
  <c r="EA462" i="147"/>
  <c r="EA463" i="147"/>
  <c r="EA464" i="147"/>
  <c r="EA465" i="147"/>
  <c r="EA466" i="147"/>
  <c r="EA467" i="147"/>
  <c r="EA468" i="147"/>
  <c r="EA469" i="147"/>
  <c r="EA470" i="147"/>
  <c r="EA471" i="147"/>
  <c r="EA472" i="147"/>
  <c r="EA473" i="147"/>
  <c r="EA474" i="147"/>
  <c r="EA475" i="147"/>
  <c r="EA476" i="147"/>
  <c r="EA477" i="147"/>
  <c r="EA478" i="147"/>
  <c r="EA479" i="147"/>
  <c r="EA480" i="147"/>
  <c r="EA481" i="147"/>
  <c r="EA482" i="147"/>
  <c r="EA483" i="147"/>
  <c r="EA484" i="147"/>
  <c r="EA485" i="147"/>
  <c r="EA486" i="147"/>
  <c r="EA487" i="147"/>
  <c r="EA488" i="147"/>
  <c r="EA489" i="147"/>
  <c r="EA490" i="147"/>
  <c r="EA491" i="147"/>
  <c r="EA492" i="147"/>
  <c r="EA493" i="147"/>
  <c r="EA494" i="147"/>
  <c r="EA495" i="147"/>
  <c r="EA496" i="147"/>
  <c r="EA497" i="147"/>
  <c r="EA498" i="147"/>
  <c r="EA499" i="147"/>
  <c r="EA500" i="147"/>
  <c r="EA501" i="147"/>
  <c r="EA502" i="147"/>
  <c r="EA503" i="147"/>
  <c r="EA504" i="147"/>
  <c r="EA505" i="147"/>
  <c r="EA506" i="147"/>
  <c r="EA507" i="147"/>
  <c r="EA508" i="147"/>
  <c r="EA509" i="147"/>
  <c r="EA510" i="147"/>
  <c r="EA511" i="147"/>
  <c r="EA512" i="147"/>
  <c r="EA513" i="147"/>
  <c r="EA514" i="147"/>
  <c r="EA515" i="147"/>
  <c r="EA516" i="147"/>
  <c r="EA517" i="147"/>
  <c r="EA518" i="147"/>
  <c r="EA519" i="147"/>
  <c r="EA520" i="147"/>
  <c r="EA521" i="147"/>
  <c r="EA522" i="147"/>
  <c r="EA523" i="147"/>
  <c r="EA524" i="147"/>
  <c r="EA525" i="147"/>
  <c r="EA526" i="147"/>
  <c r="EA527" i="147"/>
  <c r="EA528" i="147"/>
  <c r="EA529" i="147"/>
  <c r="EA530" i="147"/>
  <c r="EA531" i="147"/>
  <c r="EA532" i="147"/>
  <c r="EA533" i="147"/>
  <c r="EA534" i="147"/>
  <c r="EA535" i="147"/>
  <c r="EA536" i="147"/>
  <c r="EA537" i="147"/>
  <c r="EA538" i="147"/>
  <c r="EA539" i="147"/>
  <c r="EA540" i="147"/>
  <c r="EA541" i="147"/>
  <c r="EA542" i="147"/>
  <c r="EA543" i="147"/>
  <c r="EA544" i="147"/>
  <c r="EA545" i="147"/>
  <c r="EA546" i="147"/>
  <c r="EA547" i="147"/>
  <c r="EA548" i="147"/>
  <c r="EA549" i="147"/>
  <c r="EA550" i="147"/>
  <c r="EA551" i="147"/>
  <c r="EA552" i="147"/>
  <c r="EA553" i="147"/>
  <c r="EA554" i="147"/>
  <c r="EA555" i="147"/>
  <c r="EA556" i="147"/>
  <c r="EA557" i="147"/>
  <c r="EA558" i="147"/>
  <c r="EA559" i="147"/>
  <c r="EA560" i="147"/>
  <c r="EA561" i="147"/>
  <c r="EA562" i="147"/>
  <c r="EA563" i="147"/>
  <c r="EA564" i="147"/>
  <c r="EA565" i="147"/>
  <c r="EA566" i="147"/>
  <c r="EA568" i="147"/>
  <c r="EA569" i="147"/>
  <c r="EA570" i="147"/>
  <c r="EA571" i="147"/>
  <c r="EA572" i="147"/>
  <c r="EA573" i="147"/>
  <c r="EA574" i="147"/>
  <c r="EA575" i="147"/>
  <c r="EA576" i="147"/>
  <c r="EA577" i="147"/>
  <c r="EA578" i="147"/>
  <c r="EA579" i="147"/>
  <c r="EA580" i="147"/>
  <c r="EA581" i="147"/>
  <c r="EA582" i="147"/>
  <c r="EA583" i="147"/>
  <c r="EA584" i="147"/>
  <c r="EA585" i="147"/>
  <c r="EA586" i="147"/>
  <c r="EA587" i="147"/>
  <c r="EA588" i="147"/>
  <c r="EA589" i="147"/>
  <c r="EA590" i="147"/>
  <c r="EA591" i="147"/>
  <c r="EA592" i="147"/>
  <c r="EA593" i="147"/>
  <c r="EA594" i="147"/>
  <c r="EA595" i="147"/>
  <c r="EA596" i="147"/>
  <c r="EA597" i="147"/>
  <c r="EA598" i="147"/>
  <c r="EA600" i="147"/>
  <c r="EA601" i="147"/>
  <c r="EA602" i="147"/>
  <c r="EA603" i="147"/>
  <c r="EA604" i="147"/>
  <c r="EA605" i="147"/>
  <c r="EA606" i="147"/>
  <c r="EA607" i="147"/>
  <c r="EA608" i="147"/>
  <c r="EA609" i="147"/>
  <c r="EA610" i="147"/>
  <c r="EA611" i="147"/>
  <c r="EA612" i="147"/>
  <c r="EA613" i="147"/>
  <c r="EA614" i="147"/>
  <c r="EA615" i="147"/>
  <c r="EA616" i="147"/>
  <c r="EA617" i="147"/>
  <c r="EA618" i="147"/>
  <c r="EA619" i="147"/>
  <c r="EA620" i="147"/>
  <c r="EA621" i="147"/>
  <c r="EA622" i="147"/>
  <c r="EA623" i="147"/>
  <c r="EA624" i="147"/>
  <c r="EA625" i="147"/>
  <c r="EA626" i="147"/>
  <c r="EA627" i="147"/>
  <c r="EA628" i="147"/>
  <c r="EA629" i="147"/>
  <c r="EA631" i="147"/>
  <c r="EA632" i="147"/>
  <c r="EA633" i="147"/>
  <c r="EA634" i="147"/>
  <c r="EA635" i="147"/>
  <c r="EA636" i="147"/>
  <c r="EA637" i="147"/>
  <c r="EA638" i="147"/>
  <c r="EA639" i="147"/>
  <c r="EA640" i="147"/>
  <c r="EA641" i="147"/>
  <c r="EA642" i="147"/>
  <c r="EA643" i="147"/>
  <c r="ED375" i="147"/>
  <c r="ED376" i="147"/>
  <c r="ED377" i="147"/>
  <c r="ED378" i="147"/>
  <c r="ED386" i="147"/>
  <c r="ED387" i="147"/>
  <c r="ED388" i="147"/>
  <c r="ED389" i="147"/>
  <c r="ED390" i="147"/>
  <c r="ED391" i="147"/>
  <c r="ED392" i="147"/>
  <c r="ED393" i="147"/>
  <c r="ED394" i="147"/>
  <c r="ED395" i="147"/>
  <c r="ED396" i="147"/>
  <c r="ED397" i="147"/>
  <c r="ED398" i="147"/>
  <c r="ED399" i="147"/>
  <c r="ED400" i="147"/>
  <c r="ED401" i="147"/>
  <c r="ED402" i="147"/>
  <c r="ED403" i="147"/>
  <c r="ED404" i="147"/>
  <c r="ED405" i="147"/>
  <c r="ED406" i="147"/>
  <c r="ED407" i="147"/>
  <c r="ED408" i="147"/>
  <c r="ED409" i="147"/>
  <c r="ED410" i="147"/>
  <c r="ED411" i="147"/>
  <c r="ED412" i="147"/>
  <c r="ED413" i="147"/>
  <c r="ED414" i="147"/>
  <c r="ED415" i="147"/>
  <c r="ED416" i="147"/>
  <c r="ED417" i="147"/>
  <c r="ED418" i="147"/>
  <c r="ED419" i="147"/>
  <c r="ED420" i="147"/>
  <c r="ED421" i="147"/>
  <c r="ED422" i="147"/>
  <c r="ED423" i="147"/>
  <c r="ED424" i="147"/>
  <c r="ED425" i="147"/>
  <c r="ED426" i="147"/>
  <c r="ED427" i="147"/>
  <c r="ED428" i="147"/>
  <c r="ED429" i="147"/>
  <c r="ED430" i="147"/>
  <c r="ED431" i="147"/>
  <c r="ED432" i="147"/>
  <c r="ED433" i="147"/>
  <c r="ED434" i="147"/>
  <c r="ED435" i="147"/>
  <c r="ED436" i="147"/>
  <c r="ED437" i="147"/>
  <c r="ED438" i="147"/>
  <c r="ED439" i="147"/>
  <c r="ED440" i="147"/>
  <c r="ED441" i="147"/>
  <c r="ED442" i="147"/>
  <c r="ED443" i="147"/>
  <c r="ED444" i="147"/>
  <c r="ED379" i="147"/>
  <c r="ED380" i="147"/>
  <c r="ED381" i="147"/>
  <c r="ED382" i="147"/>
  <c r="ED383" i="147"/>
  <c r="ED384" i="147"/>
  <c r="ED385" i="147"/>
  <c r="ED445" i="147"/>
  <c r="ED446" i="147"/>
  <c r="ED447" i="147"/>
  <c r="ED448" i="147"/>
  <c r="ED449" i="147"/>
  <c r="ED450" i="147"/>
  <c r="ED451" i="147"/>
  <c r="ED452" i="147"/>
  <c r="ED453" i="147"/>
  <c r="ED454" i="147"/>
  <c r="ED455" i="147"/>
  <c r="ED456" i="147"/>
  <c r="ED457" i="147"/>
  <c r="ED458" i="147"/>
  <c r="ED459" i="147"/>
  <c r="ED460" i="147"/>
  <c r="ED461" i="147"/>
  <c r="ED462" i="147"/>
  <c r="ED463" i="147"/>
  <c r="ED464" i="147"/>
  <c r="ED465" i="147"/>
  <c r="ED466" i="147"/>
  <c r="ED467" i="147"/>
  <c r="ED468" i="147"/>
  <c r="ED469" i="147"/>
  <c r="ED470" i="147"/>
  <c r="ED471" i="147"/>
  <c r="ED472" i="147"/>
  <c r="ED473" i="147"/>
  <c r="ED474" i="147"/>
  <c r="ED475" i="147"/>
  <c r="ED476" i="147"/>
  <c r="ED477" i="147"/>
  <c r="ED478" i="147"/>
  <c r="ED479" i="147"/>
  <c r="ED480" i="147"/>
  <c r="ED481" i="147"/>
  <c r="ED482" i="147"/>
  <c r="ED483" i="147"/>
  <c r="ED484" i="147"/>
  <c r="ED485" i="147"/>
  <c r="ED486" i="147"/>
  <c r="ED487" i="147"/>
  <c r="ED488" i="147"/>
  <c r="ED489" i="147"/>
  <c r="ED490" i="147"/>
  <c r="ED491" i="147"/>
  <c r="ED492" i="147"/>
  <c r="ED493" i="147"/>
  <c r="ED497" i="147"/>
  <c r="ED498" i="147"/>
  <c r="ED499" i="147"/>
  <c r="ED500" i="147"/>
  <c r="ED501" i="147"/>
  <c r="ED502" i="147"/>
  <c r="ED503" i="147"/>
  <c r="ED504" i="147"/>
  <c r="ED505" i="147"/>
  <c r="ED506" i="147"/>
  <c r="ED507" i="147"/>
  <c r="ED508" i="147"/>
  <c r="ED509" i="147"/>
  <c r="ED510" i="147"/>
  <c r="ED511" i="147"/>
  <c r="ED512" i="147"/>
  <c r="ED513" i="147"/>
  <c r="ED514" i="147"/>
  <c r="ED515" i="147"/>
  <c r="ED516" i="147"/>
  <c r="ED517" i="147"/>
  <c r="ED518" i="147"/>
  <c r="ED519" i="147"/>
  <c r="ED520" i="147"/>
  <c r="ED521" i="147"/>
  <c r="ED522" i="147"/>
  <c r="ED523" i="147"/>
  <c r="ED524" i="147"/>
  <c r="ED525" i="147"/>
  <c r="ED526" i="147"/>
  <c r="ED527" i="147"/>
  <c r="ED528" i="147"/>
  <c r="ED529" i="147"/>
  <c r="ED530" i="147"/>
  <c r="ED531" i="147"/>
  <c r="ED532" i="147"/>
  <c r="ED533" i="147"/>
  <c r="ED534" i="147"/>
  <c r="ED535" i="147"/>
  <c r="ED536" i="147"/>
  <c r="ED537" i="147"/>
  <c r="ED538" i="147"/>
  <c r="ED539" i="147"/>
  <c r="ED540" i="147"/>
  <c r="ED541" i="147"/>
  <c r="ED542" i="147"/>
  <c r="ED543" i="147"/>
  <c r="ED544" i="147"/>
  <c r="ED545" i="147"/>
  <c r="ED546" i="147"/>
  <c r="ED547" i="147"/>
  <c r="ED548" i="147"/>
  <c r="ED549" i="147"/>
  <c r="ED550" i="147"/>
  <c r="ED551" i="147"/>
  <c r="ED552" i="147"/>
  <c r="ED553" i="147"/>
  <c r="ED554" i="147"/>
  <c r="ED555" i="147"/>
  <c r="ED556" i="147"/>
  <c r="ED557" i="147"/>
  <c r="ED558" i="147"/>
  <c r="ED559" i="147"/>
  <c r="ED560" i="147"/>
  <c r="ED561" i="147"/>
  <c r="ED562" i="147"/>
  <c r="ED563" i="147"/>
  <c r="ED564" i="147"/>
  <c r="ED565" i="147"/>
  <c r="ED566" i="147"/>
  <c r="ED568" i="147"/>
  <c r="ED494" i="147"/>
  <c r="ED495" i="147"/>
  <c r="ED496" i="147"/>
  <c r="ED569" i="147"/>
  <c r="ED570" i="147"/>
  <c r="ED571" i="147"/>
  <c r="ED572" i="147"/>
  <c r="ED573" i="147"/>
  <c r="ED574" i="147"/>
  <c r="ED575" i="147"/>
  <c r="ED576" i="147"/>
  <c r="ED577" i="147"/>
  <c r="ED578" i="147"/>
  <c r="ED579" i="147"/>
  <c r="ED580" i="147"/>
  <c r="ED581" i="147"/>
  <c r="ED582" i="147"/>
  <c r="ED583" i="147"/>
  <c r="ED584" i="147"/>
  <c r="ED585" i="147"/>
  <c r="ED586" i="147"/>
  <c r="ED587" i="147"/>
  <c r="ED588" i="147"/>
  <c r="ED589" i="147"/>
  <c r="ED590" i="147"/>
  <c r="ED591" i="147"/>
  <c r="ED592" i="147"/>
  <c r="ED593" i="147"/>
  <c r="ED594" i="147"/>
  <c r="ED595" i="147"/>
  <c r="ED596" i="147"/>
  <c r="ED597" i="147"/>
  <c r="ED598" i="147"/>
  <c r="ED600" i="147"/>
  <c r="ED601" i="147"/>
  <c r="ED602" i="147"/>
  <c r="ED603" i="147"/>
  <c r="ED604" i="147"/>
  <c r="ED605" i="147"/>
  <c r="ED606" i="147"/>
  <c r="ED607" i="147"/>
  <c r="ED608" i="147"/>
  <c r="ED609" i="147"/>
  <c r="ED610" i="147"/>
  <c r="ED611" i="147"/>
  <c r="ED612" i="147"/>
  <c r="ED613" i="147"/>
  <c r="ED614" i="147"/>
  <c r="ED615" i="147"/>
  <c r="ED616" i="147"/>
  <c r="ED617" i="147"/>
  <c r="ED618" i="147"/>
  <c r="ED619" i="147"/>
  <c r="ED620" i="147"/>
  <c r="ED621" i="147"/>
  <c r="ED622" i="147"/>
  <c r="ED623" i="147"/>
  <c r="ED624" i="147"/>
  <c r="ED625" i="147"/>
  <c r="ED626" i="147"/>
  <c r="ED627" i="147"/>
  <c r="ED628" i="147"/>
  <c r="ED629" i="147"/>
  <c r="ED631" i="147"/>
  <c r="ED632" i="147"/>
  <c r="ED633" i="147"/>
  <c r="ED634" i="147"/>
  <c r="ED635" i="147"/>
  <c r="ED636" i="147"/>
  <c r="ED637" i="147"/>
  <c r="ED638" i="147"/>
  <c r="ED639" i="147"/>
  <c r="ED640" i="147"/>
  <c r="ED641" i="147"/>
  <c r="ED642" i="147"/>
  <c r="ED643" i="147"/>
  <c r="EF375" i="147"/>
  <c r="EF376" i="147"/>
  <c r="EF377" i="147"/>
  <c r="EF378" i="147"/>
  <c r="EF379" i="147"/>
  <c r="EF380" i="147"/>
  <c r="EF381" i="147"/>
  <c r="EF382" i="147"/>
  <c r="EF383" i="147"/>
  <c r="EF384" i="147"/>
  <c r="EF385" i="147"/>
  <c r="EF400" i="147"/>
  <c r="EF401" i="147"/>
  <c r="EF402" i="147"/>
  <c r="EF403" i="147"/>
  <c r="EF404" i="147"/>
  <c r="EF405" i="147"/>
  <c r="EF406" i="147"/>
  <c r="EF407" i="147"/>
  <c r="EF408" i="147"/>
  <c r="EF409" i="147"/>
  <c r="EF410" i="147"/>
  <c r="EF411" i="147"/>
  <c r="EF412" i="147"/>
  <c r="EF413" i="147"/>
  <c r="EF414" i="147"/>
  <c r="EF415" i="147"/>
  <c r="EF416" i="147"/>
  <c r="EF417" i="147"/>
  <c r="EF418" i="147"/>
  <c r="EF419" i="147"/>
  <c r="EF420" i="147"/>
  <c r="EF421" i="147"/>
  <c r="EF422" i="147"/>
  <c r="EF423" i="147"/>
  <c r="EF424" i="147"/>
  <c r="EF425" i="147"/>
  <c r="EF426" i="147"/>
  <c r="EF427" i="147"/>
  <c r="EF428" i="147"/>
  <c r="EF429" i="147"/>
  <c r="EF430" i="147"/>
  <c r="EF431" i="147"/>
  <c r="EF432" i="147"/>
  <c r="EF433" i="147"/>
  <c r="EF434" i="147"/>
  <c r="EF435" i="147"/>
  <c r="EF436" i="147"/>
  <c r="EF437" i="147"/>
  <c r="EF438" i="147"/>
  <c r="EF439" i="147"/>
  <c r="EF440" i="147"/>
  <c r="EF441" i="147"/>
  <c r="EF442" i="147"/>
  <c r="EF443" i="147"/>
  <c r="EF444" i="147"/>
  <c r="EF386" i="147"/>
  <c r="EF387" i="147"/>
  <c r="EF388" i="147"/>
  <c r="EF389" i="147"/>
  <c r="EF390" i="147"/>
  <c r="EF391" i="147"/>
  <c r="EF392" i="147"/>
  <c r="EF393" i="147"/>
  <c r="EF394" i="147"/>
  <c r="EF395" i="147"/>
  <c r="EF396" i="147"/>
  <c r="EF397" i="147"/>
  <c r="EF398" i="147"/>
  <c r="EF399" i="147"/>
  <c r="EF445" i="147"/>
  <c r="EF446" i="147"/>
  <c r="EF447" i="147"/>
  <c r="EF448" i="147"/>
  <c r="EF449" i="147"/>
  <c r="EF450" i="147"/>
  <c r="EF451" i="147"/>
  <c r="EF452" i="147"/>
  <c r="EF453" i="147"/>
  <c r="EF454" i="147"/>
  <c r="EF455" i="147"/>
  <c r="EF456" i="147"/>
  <c r="EF457" i="147"/>
  <c r="EF458" i="147"/>
  <c r="EF459" i="147"/>
  <c r="EF460" i="147"/>
  <c r="EF461" i="147"/>
  <c r="EF462" i="147"/>
  <c r="EF463" i="147"/>
  <c r="EF464" i="147"/>
  <c r="EF465" i="147"/>
  <c r="EF466" i="147"/>
  <c r="EF467" i="147"/>
  <c r="EF468" i="147"/>
  <c r="EF469" i="147"/>
  <c r="EF470" i="147"/>
  <c r="EF471" i="147"/>
  <c r="EF472" i="147"/>
  <c r="EF473" i="147"/>
  <c r="EF474" i="147"/>
  <c r="EF475" i="147"/>
  <c r="EF476" i="147"/>
  <c r="EF477" i="147"/>
  <c r="EF478" i="147"/>
  <c r="EF479" i="147"/>
  <c r="EF480" i="147"/>
  <c r="EF481" i="147"/>
  <c r="EF482" i="147"/>
  <c r="EF483" i="147"/>
  <c r="EF484" i="147"/>
  <c r="EF485" i="147"/>
  <c r="EF486" i="147"/>
  <c r="EF487" i="147"/>
  <c r="EF488" i="147"/>
  <c r="EF489" i="147"/>
  <c r="EF490" i="147"/>
  <c r="EF491" i="147"/>
  <c r="EF492" i="147"/>
  <c r="EF493" i="147"/>
  <c r="EF494" i="147"/>
  <c r="EF495" i="147"/>
  <c r="EF496" i="147"/>
  <c r="EF497" i="147"/>
  <c r="EF498" i="147"/>
  <c r="EF499" i="147"/>
  <c r="EF500" i="147"/>
  <c r="EF501" i="147"/>
  <c r="EF502" i="147"/>
  <c r="EF503" i="147"/>
  <c r="EF504" i="147"/>
  <c r="EF505" i="147"/>
  <c r="EF506" i="147"/>
  <c r="EF507" i="147"/>
  <c r="EF508" i="147"/>
  <c r="EF509" i="147"/>
  <c r="EF510" i="147"/>
  <c r="EF511" i="147"/>
  <c r="EF512" i="147"/>
  <c r="EF513" i="147"/>
  <c r="EF514" i="147"/>
  <c r="EF515" i="147"/>
  <c r="EF516" i="147"/>
  <c r="EF517" i="147"/>
  <c r="EF518" i="147"/>
  <c r="EF519" i="147"/>
  <c r="EF520" i="147"/>
  <c r="EF521" i="147"/>
  <c r="EF522" i="147"/>
  <c r="EF523" i="147"/>
  <c r="EF524" i="147"/>
  <c r="EF525" i="147"/>
  <c r="EF526" i="147"/>
  <c r="EF527" i="147"/>
  <c r="EF528" i="147"/>
  <c r="EF529" i="147"/>
  <c r="EF530" i="147"/>
  <c r="EF531" i="147"/>
  <c r="EF532" i="147"/>
  <c r="EF533" i="147"/>
  <c r="EF534" i="147"/>
  <c r="EF535" i="147"/>
  <c r="EF536" i="147"/>
  <c r="EF537" i="147"/>
  <c r="EF538" i="147"/>
  <c r="EF539" i="147"/>
  <c r="EF540" i="147"/>
  <c r="EF541" i="147"/>
  <c r="EF542" i="147"/>
  <c r="EF543" i="147"/>
  <c r="EF544" i="147"/>
  <c r="EF545" i="147"/>
  <c r="EF546" i="147"/>
  <c r="EF547" i="147"/>
  <c r="EF548" i="147"/>
  <c r="EF549" i="147"/>
  <c r="EF550" i="147"/>
  <c r="EF551" i="147"/>
  <c r="EF552" i="147"/>
  <c r="EF553" i="147"/>
  <c r="EF554" i="147"/>
  <c r="EF555" i="147"/>
  <c r="EF556" i="147"/>
  <c r="EF557" i="147"/>
  <c r="EF558" i="147"/>
  <c r="EF559" i="147"/>
  <c r="EF560" i="147"/>
  <c r="EF561" i="147"/>
  <c r="EF562" i="147"/>
  <c r="EF563" i="147"/>
  <c r="EF564" i="147"/>
  <c r="EF565" i="147"/>
  <c r="EF566" i="147"/>
  <c r="EF568" i="147"/>
  <c r="EF569" i="147"/>
  <c r="EF570" i="147"/>
  <c r="EF571" i="147"/>
  <c r="EF572" i="147"/>
  <c r="EF573" i="147"/>
  <c r="EF574" i="147"/>
  <c r="EF575" i="147"/>
  <c r="EF576" i="147"/>
  <c r="EF577" i="147"/>
  <c r="EF578" i="147"/>
  <c r="EF579" i="147"/>
  <c r="EF580" i="147"/>
  <c r="EF581" i="147"/>
  <c r="EF582" i="147"/>
  <c r="EF583" i="147"/>
  <c r="EF584" i="147"/>
  <c r="EF585" i="147"/>
  <c r="EF586" i="147"/>
  <c r="EF587" i="147"/>
  <c r="EF588" i="147"/>
  <c r="EF589" i="147"/>
  <c r="EF590" i="147"/>
  <c r="EF591" i="147"/>
  <c r="EF592" i="147"/>
  <c r="EF593" i="147"/>
  <c r="EF594" i="147"/>
  <c r="EF595" i="147"/>
  <c r="EF596" i="147"/>
  <c r="EF597" i="147"/>
  <c r="EF598" i="147"/>
  <c r="EF600" i="147"/>
  <c r="EF601" i="147"/>
  <c r="EF602" i="147"/>
  <c r="EF603" i="147"/>
  <c r="EF604" i="147"/>
  <c r="EF605" i="147"/>
  <c r="EF606" i="147"/>
  <c r="EF607" i="147"/>
  <c r="EF608" i="147"/>
  <c r="EF609" i="147"/>
  <c r="EF610" i="147"/>
  <c r="EF611" i="147"/>
  <c r="EF612" i="147"/>
  <c r="EF613" i="147"/>
  <c r="EF614" i="147"/>
  <c r="EF615" i="147"/>
  <c r="EF616" i="147"/>
  <c r="EF617" i="147"/>
  <c r="EF618" i="147"/>
  <c r="EF619" i="147"/>
  <c r="EF620" i="147"/>
  <c r="EF621" i="147"/>
  <c r="EF622" i="147"/>
  <c r="EF623" i="147"/>
  <c r="EF624" i="147"/>
  <c r="EF625" i="147"/>
  <c r="EF626" i="147"/>
  <c r="EF627" i="147"/>
  <c r="EF628" i="147"/>
  <c r="EF629" i="147"/>
  <c r="EF631" i="147"/>
  <c r="EF632" i="147"/>
  <c r="EF633" i="147"/>
  <c r="EF634" i="147"/>
  <c r="EF635" i="147"/>
  <c r="EF636" i="147"/>
  <c r="EF637" i="147"/>
  <c r="EF638" i="147"/>
  <c r="EF639" i="147"/>
  <c r="EF640" i="147"/>
  <c r="EF641" i="147"/>
  <c r="EF642" i="147"/>
  <c r="EF643" i="147"/>
  <c r="EH375" i="147"/>
  <c r="EH376" i="147"/>
  <c r="EH377" i="147"/>
  <c r="EH378" i="147"/>
  <c r="EH379" i="147"/>
  <c r="EH380" i="147"/>
  <c r="EH381" i="147"/>
  <c r="EH382" i="147"/>
  <c r="EH383" i="147"/>
  <c r="EH384" i="147"/>
  <c r="EH385" i="147"/>
  <c r="EH386" i="147"/>
  <c r="EH387" i="147"/>
  <c r="EH388" i="147"/>
  <c r="EH389" i="147"/>
  <c r="EH390" i="147"/>
  <c r="EH391" i="147"/>
  <c r="EH392" i="147"/>
  <c r="EH393" i="147"/>
  <c r="EH394" i="147"/>
  <c r="EH395" i="147"/>
  <c r="EH396" i="147"/>
  <c r="EH397" i="147"/>
  <c r="EH398" i="147"/>
  <c r="EH399" i="147"/>
  <c r="EH400" i="147"/>
  <c r="EH401" i="147"/>
  <c r="EH402" i="147"/>
  <c r="EH403" i="147"/>
  <c r="EH404" i="147"/>
  <c r="EH405" i="147"/>
  <c r="EH406" i="147"/>
  <c r="EH407" i="147"/>
  <c r="EH408" i="147"/>
  <c r="EH409" i="147"/>
  <c r="EH410" i="147"/>
  <c r="EH411" i="147"/>
  <c r="EH412" i="147"/>
  <c r="EH413" i="147"/>
  <c r="EH414" i="147"/>
  <c r="EH415" i="147"/>
  <c r="EH416" i="147"/>
  <c r="EH417" i="147"/>
  <c r="EH418" i="147"/>
  <c r="EH419" i="147"/>
  <c r="EH420" i="147"/>
  <c r="EH421" i="147"/>
  <c r="EH422" i="147"/>
  <c r="EH423" i="147"/>
  <c r="EH424" i="147"/>
  <c r="EH425" i="147"/>
  <c r="EH426" i="147"/>
  <c r="EH427" i="147"/>
  <c r="EH428" i="147"/>
  <c r="EH429" i="147"/>
  <c r="EH430" i="147"/>
  <c r="EH431" i="147"/>
  <c r="EH432" i="147"/>
  <c r="EH433" i="147"/>
  <c r="EH434" i="147"/>
  <c r="EH435" i="147"/>
  <c r="EH436" i="147"/>
  <c r="EH437" i="147"/>
  <c r="EH438" i="147"/>
  <c r="EH439" i="147"/>
  <c r="EH440" i="147"/>
  <c r="EH441" i="147"/>
  <c r="EH442" i="147"/>
  <c r="EH443" i="147"/>
  <c r="EH444" i="147"/>
  <c r="EH445" i="147"/>
  <c r="EH446" i="147"/>
  <c r="EH447" i="147"/>
  <c r="EH448" i="147"/>
  <c r="EH449" i="147"/>
  <c r="EH450" i="147"/>
  <c r="EH451" i="147"/>
  <c r="EH452" i="147"/>
  <c r="EH453" i="147"/>
  <c r="EH454" i="147"/>
  <c r="EH455" i="147"/>
  <c r="EH456" i="147"/>
  <c r="EH457" i="147"/>
  <c r="EH458" i="147"/>
  <c r="EH459" i="147"/>
  <c r="EH460" i="147"/>
  <c r="EH461" i="147"/>
  <c r="EH462" i="147"/>
  <c r="EH463" i="147"/>
  <c r="EH464" i="147"/>
  <c r="EH465" i="147"/>
  <c r="EH466" i="147"/>
  <c r="EH467" i="147"/>
  <c r="EH468" i="147"/>
  <c r="EH469" i="147"/>
  <c r="EH470" i="147"/>
  <c r="EH471" i="147"/>
  <c r="EH472" i="147"/>
  <c r="EH473" i="147"/>
  <c r="EH474" i="147"/>
  <c r="EH475" i="147"/>
  <c r="EH476" i="147"/>
  <c r="EH477" i="147"/>
  <c r="EH478" i="147"/>
  <c r="EH479" i="147"/>
  <c r="EH480" i="147"/>
  <c r="EH481" i="147"/>
  <c r="EH482" i="147"/>
  <c r="EH483" i="147"/>
  <c r="EH484" i="147"/>
  <c r="EH485" i="147"/>
  <c r="EH486" i="147"/>
  <c r="EH487" i="147"/>
  <c r="EH488" i="147"/>
  <c r="EH489" i="147"/>
  <c r="EH490" i="147"/>
  <c r="EH491" i="147"/>
  <c r="EH492" i="147"/>
  <c r="EH493" i="147"/>
  <c r="EH497" i="147"/>
  <c r="EH498" i="147"/>
  <c r="EH499" i="147"/>
  <c r="EH500" i="147"/>
  <c r="EH501" i="147"/>
  <c r="EH502" i="147"/>
  <c r="EH503" i="147"/>
  <c r="EH504" i="147"/>
  <c r="EH505" i="147"/>
  <c r="EH506" i="147"/>
  <c r="EH507" i="147"/>
  <c r="EH508" i="147"/>
  <c r="EH509" i="147"/>
  <c r="EH510" i="147"/>
  <c r="EH511" i="147"/>
  <c r="EH512" i="147"/>
  <c r="EH513" i="147"/>
  <c r="EH514" i="147"/>
  <c r="EH515" i="147"/>
  <c r="EH516" i="147"/>
  <c r="EH517" i="147"/>
  <c r="EH518" i="147"/>
  <c r="EH519" i="147"/>
  <c r="EH520" i="147"/>
  <c r="EH521" i="147"/>
  <c r="EH522" i="147"/>
  <c r="EH523" i="147"/>
  <c r="EH524" i="147"/>
  <c r="EH525" i="147"/>
  <c r="EH526" i="147"/>
  <c r="EH527" i="147"/>
  <c r="EH528" i="147"/>
  <c r="EH529" i="147"/>
  <c r="EH530" i="147"/>
  <c r="EH531" i="147"/>
  <c r="EH532" i="147"/>
  <c r="EH533" i="147"/>
  <c r="EH534" i="147"/>
  <c r="EH535" i="147"/>
  <c r="EH536" i="147"/>
  <c r="EH537" i="147"/>
  <c r="EH538" i="147"/>
  <c r="EH539" i="147"/>
  <c r="EH540" i="147"/>
  <c r="EH541" i="147"/>
  <c r="EH542" i="147"/>
  <c r="EH543" i="147"/>
  <c r="EH544" i="147"/>
  <c r="EH545" i="147"/>
  <c r="EH546" i="147"/>
  <c r="EH547" i="147"/>
  <c r="EH548" i="147"/>
  <c r="EH549" i="147"/>
  <c r="EH550" i="147"/>
  <c r="EH551" i="147"/>
  <c r="EH552" i="147"/>
  <c r="EH553" i="147"/>
  <c r="EH554" i="147"/>
  <c r="EH555" i="147"/>
  <c r="EH556" i="147"/>
  <c r="EH557" i="147"/>
  <c r="EH558" i="147"/>
  <c r="EH559" i="147"/>
  <c r="EH560" i="147"/>
  <c r="EH561" i="147"/>
  <c r="EH562" i="147"/>
  <c r="EH563" i="147"/>
  <c r="EH564" i="147"/>
  <c r="EH565" i="147"/>
  <c r="EH566" i="147"/>
  <c r="EH568" i="147"/>
  <c r="EH494" i="147"/>
  <c r="EH495" i="147"/>
  <c r="EH496" i="147"/>
  <c r="EH569" i="147"/>
  <c r="EH570" i="147"/>
  <c r="EH571" i="147"/>
  <c r="EH572" i="147"/>
  <c r="EH573" i="147"/>
  <c r="EH574" i="147"/>
  <c r="EH575" i="147"/>
  <c r="EH576" i="147"/>
  <c r="EH577" i="147"/>
  <c r="EH578" i="147"/>
  <c r="EH579" i="147"/>
  <c r="EH580" i="147"/>
  <c r="EH581" i="147"/>
  <c r="EH582" i="147"/>
  <c r="EH583" i="147"/>
  <c r="EH584" i="147"/>
  <c r="EH585" i="147"/>
  <c r="EH586" i="147"/>
  <c r="EH587" i="147"/>
  <c r="EH588" i="147"/>
  <c r="EH589" i="147"/>
  <c r="EH590" i="147"/>
  <c r="EH591" i="147"/>
  <c r="EH592" i="147"/>
  <c r="EH593" i="147"/>
  <c r="EH594" i="147"/>
  <c r="EH595" i="147"/>
  <c r="EH596" i="147"/>
  <c r="EH597" i="147"/>
  <c r="EH598" i="147"/>
  <c r="EH600" i="147"/>
  <c r="EH601" i="147"/>
  <c r="EH602" i="147"/>
  <c r="EH603" i="147"/>
  <c r="EH604" i="147"/>
  <c r="EH605" i="147"/>
  <c r="EH606" i="147"/>
  <c r="EH607" i="147"/>
  <c r="EH608" i="147"/>
  <c r="EH609" i="147"/>
  <c r="EH610" i="147"/>
  <c r="EH611" i="147"/>
  <c r="EH612" i="147"/>
  <c r="EH613" i="147"/>
  <c r="EH614" i="147"/>
  <c r="EH615" i="147"/>
  <c r="EH616" i="147"/>
  <c r="EH617" i="147"/>
  <c r="EH618" i="147"/>
  <c r="EH619" i="147"/>
  <c r="EH620" i="147"/>
  <c r="EH621" i="147"/>
  <c r="EH622" i="147"/>
  <c r="EH623" i="147"/>
  <c r="EH624" i="147"/>
  <c r="EH625" i="147"/>
  <c r="EH626" i="147"/>
  <c r="EH627" i="147"/>
  <c r="EH628" i="147"/>
  <c r="EH629" i="147"/>
  <c r="EH631" i="147"/>
  <c r="EH632" i="147"/>
  <c r="EH633" i="147"/>
  <c r="EH634" i="147"/>
  <c r="EH635" i="147"/>
  <c r="EH636" i="147"/>
  <c r="EH637" i="147"/>
  <c r="EH638" i="147"/>
  <c r="EH639" i="147"/>
  <c r="EH640" i="147"/>
  <c r="EH641" i="147"/>
  <c r="EH642" i="147"/>
  <c r="EH643" i="147"/>
  <c r="EJ375" i="147"/>
  <c r="EJ376" i="147"/>
  <c r="EJ377" i="147"/>
  <c r="EJ378" i="147"/>
  <c r="EJ379" i="147"/>
  <c r="EJ380" i="147"/>
  <c r="EJ381" i="147"/>
  <c r="EJ382" i="147"/>
  <c r="EJ383" i="147"/>
  <c r="EJ384" i="147"/>
  <c r="EJ385" i="147"/>
  <c r="EJ400" i="147"/>
  <c r="EJ401" i="147"/>
  <c r="EJ402" i="147"/>
  <c r="EJ403" i="147"/>
  <c r="EJ404" i="147"/>
  <c r="EJ405" i="147"/>
  <c r="EJ406" i="147"/>
  <c r="EJ407" i="147"/>
  <c r="EJ408" i="147"/>
  <c r="EJ409" i="147"/>
  <c r="EJ410" i="147"/>
  <c r="EJ411" i="147"/>
  <c r="EJ412" i="147"/>
  <c r="EJ413" i="147"/>
  <c r="EJ414" i="147"/>
  <c r="EJ415" i="147"/>
  <c r="EJ416" i="147"/>
  <c r="EJ417" i="147"/>
  <c r="EJ418" i="147"/>
  <c r="EJ419" i="147"/>
  <c r="EJ420" i="147"/>
  <c r="EJ421" i="147"/>
  <c r="EJ422" i="147"/>
  <c r="EJ423" i="147"/>
  <c r="EJ424" i="147"/>
  <c r="EJ425" i="147"/>
  <c r="EJ426" i="147"/>
  <c r="EJ427" i="147"/>
  <c r="EJ386" i="147"/>
  <c r="EJ387" i="147"/>
  <c r="EJ388" i="147"/>
  <c r="EJ389" i="147"/>
  <c r="EJ390" i="147"/>
  <c r="EJ391" i="147"/>
  <c r="EJ392" i="147"/>
  <c r="EJ393" i="147"/>
  <c r="EJ394" i="147"/>
  <c r="EJ395" i="147"/>
  <c r="EJ396" i="147"/>
  <c r="EJ397" i="147"/>
  <c r="EJ398" i="147"/>
  <c r="EJ399" i="147"/>
  <c r="EJ428" i="147"/>
  <c r="EJ429" i="147"/>
  <c r="EJ430" i="147"/>
  <c r="EJ431" i="147"/>
  <c r="EJ432" i="147"/>
  <c r="EJ433" i="147"/>
  <c r="EJ434" i="147"/>
  <c r="EJ435" i="147"/>
  <c r="EJ436" i="147"/>
  <c r="EJ437" i="147"/>
  <c r="EJ438" i="147"/>
  <c r="EJ439" i="147"/>
  <c r="EJ440" i="147"/>
  <c r="EJ441" i="147"/>
  <c r="EJ442" i="147"/>
  <c r="EJ443" i="147"/>
  <c r="EJ444" i="147"/>
  <c r="EJ445" i="147"/>
  <c r="EJ446" i="147"/>
  <c r="EJ447" i="147"/>
  <c r="EJ448" i="147"/>
  <c r="EJ449" i="147"/>
  <c r="EJ450" i="147"/>
  <c r="EJ451" i="147"/>
  <c r="EJ452" i="147"/>
  <c r="EJ453" i="147"/>
  <c r="EJ454" i="147"/>
  <c r="EJ455" i="147"/>
  <c r="EJ456" i="147"/>
  <c r="EJ457" i="147"/>
  <c r="EJ458" i="147"/>
  <c r="EJ459" i="147"/>
  <c r="EJ460" i="147"/>
  <c r="EJ461" i="147"/>
  <c r="EJ462" i="147"/>
  <c r="EJ463" i="147"/>
  <c r="EJ464" i="147"/>
  <c r="EJ465" i="147"/>
  <c r="EJ466" i="147"/>
  <c r="EJ467" i="147"/>
  <c r="EJ468" i="147"/>
  <c r="EJ469" i="147"/>
  <c r="EJ470" i="147"/>
  <c r="EJ471" i="147"/>
  <c r="EJ472" i="147"/>
  <c r="EJ473" i="147"/>
  <c r="EJ474" i="147"/>
  <c r="EJ475" i="147"/>
  <c r="EJ476" i="147"/>
  <c r="EJ477" i="147"/>
  <c r="EJ478" i="147"/>
  <c r="EJ479" i="147"/>
  <c r="EJ480" i="147"/>
  <c r="EJ481" i="147"/>
  <c r="EJ482" i="147"/>
  <c r="EJ483" i="147"/>
  <c r="EJ484" i="147"/>
  <c r="EJ485" i="147"/>
  <c r="EJ486" i="147"/>
  <c r="EJ487" i="147"/>
  <c r="EJ488" i="147"/>
  <c r="EJ489" i="147"/>
  <c r="EJ490" i="147"/>
  <c r="EJ491" i="147"/>
  <c r="EJ492" i="147"/>
  <c r="EJ493" i="147"/>
  <c r="EJ494" i="147"/>
  <c r="EJ495" i="147"/>
  <c r="EJ496" i="147"/>
  <c r="EJ497" i="147"/>
  <c r="EJ498" i="147"/>
  <c r="EJ499" i="147"/>
  <c r="EJ500" i="147"/>
  <c r="EJ501" i="147"/>
  <c r="EJ502" i="147"/>
  <c r="EJ503" i="147"/>
  <c r="EJ504" i="147"/>
  <c r="EJ505" i="147"/>
  <c r="EJ506" i="147"/>
  <c r="EJ507" i="147"/>
  <c r="EJ508" i="147"/>
  <c r="EJ509" i="147"/>
  <c r="EJ510" i="147"/>
  <c r="EJ511" i="147"/>
  <c r="EJ512" i="147"/>
  <c r="EJ513" i="147"/>
  <c r="EJ514" i="147"/>
  <c r="EJ515" i="147"/>
  <c r="EJ516" i="147"/>
  <c r="EJ517" i="147"/>
  <c r="EJ518" i="147"/>
  <c r="EJ519" i="147"/>
  <c r="EJ520" i="147"/>
  <c r="EJ521" i="147"/>
  <c r="EJ522" i="147"/>
  <c r="EJ523" i="147"/>
  <c r="EJ524" i="147"/>
  <c r="EJ525" i="147"/>
  <c r="EJ526" i="147"/>
  <c r="EJ527" i="147"/>
  <c r="EJ528" i="147"/>
  <c r="EJ529" i="147"/>
  <c r="EJ530" i="147"/>
  <c r="EJ531" i="147"/>
  <c r="EJ532" i="147"/>
  <c r="EJ533" i="147"/>
  <c r="EJ534" i="147"/>
  <c r="EJ535" i="147"/>
  <c r="EJ536" i="147"/>
  <c r="EJ537" i="147"/>
  <c r="EJ538" i="147"/>
  <c r="EJ539" i="147"/>
  <c r="EJ540" i="147"/>
  <c r="EJ541" i="147"/>
  <c r="EJ542" i="147"/>
  <c r="EJ543" i="147"/>
  <c r="EJ544" i="147"/>
  <c r="EJ545" i="147"/>
  <c r="EJ546" i="147"/>
  <c r="EJ547" i="147"/>
  <c r="EJ548" i="147"/>
  <c r="EJ549" i="147"/>
  <c r="EJ550" i="147"/>
  <c r="EJ551" i="147"/>
  <c r="EJ552" i="147"/>
  <c r="EJ553" i="147"/>
  <c r="EJ554" i="147"/>
  <c r="EJ555" i="147"/>
  <c r="EJ556" i="147"/>
  <c r="EJ557" i="147"/>
  <c r="EJ558" i="147"/>
  <c r="EJ559" i="147"/>
  <c r="EJ560" i="147"/>
  <c r="EJ561" i="147"/>
  <c r="EJ562" i="147"/>
  <c r="EJ563" i="147"/>
  <c r="EJ564" i="147"/>
  <c r="EJ565" i="147"/>
  <c r="EJ566" i="147"/>
  <c r="EJ568" i="147"/>
  <c r="EJ569" i="147"/>
  <c r="EJ570" i="147"/>
  <c r="EJ571" i="147"/>
  <c r="EJ572" i="147"/>
  <c r="EJ573" i="147"/>
  <c r="EJ574" i="147"/>
  <c r="EJ575" i="147"/>
  <c r="EJ576" i="147"/>
  <c r="EJ577" i="147"/>
  <c r="EJ578" i="147"/>
  <c r="EJ579" i="147"/>
  <c r="EJ580" i="147"/>
  <c r="EJ581" i="147"/>
  <c r="EJ582" i="147"/>
  <c r="EJ583" i="147"/>
  <c r="EJ584" i="147"/>
  <c r="EJ585" i="147"/>
  <c r="EJ586" i="147"/>
  <c r="EJ587" i="147"/>
  <c r="EJ588" i="147"/>
  <c r="EJ589" i="147"/>
  <c r="EJ590" i="147"/>
  <c r="EJ591" i="147"/>
  <c r="EJ592" i="147"/>
  <c r="EJ593" i="147"/>
  <c r="EJ594" i="147"/>
  <c r="EJ595" i="147"/>
  <c r="EJ596" i="147"/>
  <c r="EJ597" i="147"/>
  <c r="EJ598" i="147"/>
  <c r="EJ600" i="147"/>
  <c r="EJ601" i="147"/>
  <c r="EJ602" i="147"/>
  <c r="EJ603" i="147"/>
  <c r="EJ604" i="147"/>
  <c r="EJ605" i="147"/>
  <c r="EJ606" i="147"/>
  <c r="EJ607" i="147"/>
  <c r="EJ608" i="147"/>
  <c r="EJ609" i="147"/>
  <c r="EJ610" i="147"/>
  <c r="EJ611" i="147"/>
  <c r="EJ612" i="147"/>
  <c r="EJ613" i="147"/>
  <c r="EJ614" i="147"/>
  <c r="EJ615" i="147"/>
  <c r="EJ616" i="147"/>
  <c r="EJ617" i="147"/>
  <c r="EJ618" i="147"/>
  <c r="EJ619" i="147"/>
  <c r="EJ620" i="147"/>
  <c r="EJ621" i="147"/>
  <c r="EJ622" i="147"/>
  <c r="EJ623" i="147"/>
  <c r="EJ624" i="147"/>
  <c r="EJ625" i="147"/>
  <c r="EJ626" i="147"/>
  <c r="EJ627" i="147"/>
  <c r="EJ628" i="147"/>
  <c r="EJ629" i="147"/>
  <c r="EJ631" i="147"/>
  <c r="EJ632" i="147"/>
  <c r="EJ633" i="147"/>
  <c r="EJ634" i="147"/>
  <c r="EJ635" i="147"/>
  <c r="EJ636" i="147"/>
  <c r="EJ637" i="147"/>
  <c r="EJ638" i="147"/>
  <c r="EJ639" i="147"/>
  <c r="EJ640" i="147"/>
  <c r="EJ641" i="147"/>
  <c r="EJ642" i="147"/>
  <c r="EJ643" i="147"/>
  <c r="EL375" i="147"/>
  <c r="EL376" i="147"/>
  <c r="EL377" i="147"/>
  <c r="EL378" i="147"/>
  <c r="EL386" i="147"/>
  <c r="EL387" i="147"/>
  <c r="EL388" i="147"/>
  <c r="EL389" i="147"/>
  <c r="EL390" i="147"/>
  <c r="EL391" i="147"/>
  <c r="EL392" i="147"/>
  <c r="EL393" i="147"/>
  <c r="EL394" i="147"/>
  <c r="EL395" i="147"/>
  <c r="EL396" i="147"/>
  <c r="EL397" i="147"/>
  <c r="EL398" i="147"/>
  <c r="EL399" i="147"/>
  <c r="EL400" i="147"/>
  <c r="EL401" i="147"/>
  <c r="EL402" i="147"/>
  <c r="EL403" i="147"/>
  <c r="EL404" i="147"/>
  <c r="EL405" i="147"/>
  <c r="EL406" i="147"/>
  <c r="EL407" i="147"/>
  <c r="EL408" i="147"/>
  <c r="EL409" i="147"/>
  <c r="EL410" i="147"/>
  <c r="EL411" i="147"/>
  <c r="EL412" i="147"/>
  <c r="EL413" i="147"/>
  <c r="EL414" i="147"/>
  <c r="EL415" i="147"/>
  <c r="EL416" i="147"/>
  <c r="EL417" i="147"/>
  <c r="EL418" i="147"/>
  <c r="EL419" i="147"/>
  <c r="EL420" i="147"/>
  <c r="EL421" i="147"/>
  <c r="EL422" i="147"/>
  <c r="EL423" i="147"/>
  <c r="EL424" i="147"/>
  <c r="EL425" i="147"/>
  <c r="EL426" i="147"/>
  <c r="EL427" i="147"/>
  <c r="EL379" i="147"/>
  <c r="EL380" i="147"/>
  <c r="EL381" i="147"/>
  <c r="EL382" i="147"/>
  <c r="EL383" i="147"/>
  <c r="EL384" i="147"/>
  <c r="EL385" i="147"/>
  <c r="EL428" i="147"/>
  <c r="EL429" i="147"/>
  <c r="EL430" i="147"/>
  <c r="EL431" i="147"/>
  <c r="EL432" i="147"/>
  <c r="EL433" i="147"/>
  <c r="EL434" i="147"/>
  <c r="EL435" i="147"/>
  <c r="EL436" i="147"/>
  <c r="EL437" i="147"/>
  <c r="EL438" i="147"/>
  <c r="EL439" i="147"/>
  <c r="EL440" i="147"/>
  <c r="EL441" i="147"/>
  <c r="EL442" i="147"/>
  <c r="EL443" i="147"/>
  <c r="EL444" i="147"/>
  <c r="EL445" i="147"/>
  <c r="EL446" i="147"/>
  <c r="EL447" i="147"/>
  <c r="EL448" i="147"/>
  <c r="EL449" i="147"/>
  <c r="EL450" i="147"/>
  <c r="EL451" i="147"/>
  <c r="EL452" i="147"/>
  <c r="EL453" i="147"/>
  <c r="EL454" i="147"/>
  <c r="EL455" i="147"/>
  <c r="EL456" i="147"/>
  <c r="EL457" i="147"/>
  <c r="EL458" i="147"/>
  <c r="EL459" i="147"/>
  <c r="EL460" i="147"/>
  <c r="EL461" i="147"/>
  <c r="EL462" i="147"/>
  <c r="EL463" i="147"/>
  <c r="EL464" i="147"/>
  <c r="EL465" i="147"/>
  <c r="EL466" i="147"/>
  <c r="EL467" i="147"/>
  <c r="EL468" i="147"/>
  <c r="EL469" i="147"/>
  <c r="EL470" i="147"/>
  <c r="EL471" i="147"/>
  <c r="EL472" i="147"/>
  <c r="EL473" i="147"/>
  <c r="EL474" i="147"/>
  <c r="EL475" i="147"/>
  <c r="EL476" i="147"/>
  <c r="EL477" i="147"/>
  <c r="EL478" i="147"/>
  <c r="EL479" i="147"/>
  <c r="EL480" i="147"/>
  <c r="EL481" i="147"/>
  <c r="EL482" i="147"/>
  <c r="EL483" i="147"/>
  <c r="EL484" i="147"/>
  <c r="EL485" i="147"/>
  <c r="EL486" i="147"/>
  <c r="EL487" i="147"/>
  <c r="EL488" i="147"/>
  <c r="EL489" i="147"/>
  <c r="EL490" i="147"/>
  <c r="EL491" i="147"/>
  <c r="EL492" i="147"/>
  <c r="EL493" i="147"/>
  <c r="EL497" i="147"/>
  <c r="EL498" i="147"/>
  <c r="EL499" i="147"/>
  <c r="EL500" i="147"/>
  <c r="EL501" i="147"/>
  <c r="EL502" i="147"/>
  <c r="EL503" i="147"/>
  <c r="EL504" i="147"/>
  <c r="EL505" i="147"/>
  <c r="EL506" i="147"/>
  <c r="EL507" i="147"/>
  <c r="EL508" i="147"/>
  <c r="EL509" i="147"/>
  <c r="EL510" i="147"/>
  <c r="EL511" i="147"/>
  <c r="EL512" i="147"/>
  <c r="EL513" i="147"/>
  <c r="EL514" i="147"/>
  <c r="EL515" i="147"/>
  <c r="EL516" i="147"/>
  <c r="EL517" i="147"/>
  <c r="EL518" i="147"/>
  <c r="EL519" i="147"/>
  <c r="EL520" i="147"/>
  <c r="EL521" i="147"/>
  <c r="EL522" i="147"/>
  <c r="EL523" i="147"/>
  <c r="EL524" i="147"/>
  <c r="EL525" i="147"/>
  <c r="EL526" i="147"/>
  <c r="EL527" i="147"/>
  <c r="EL528" i="147"/>
  <c r="EL529" i="147"/>
  <c r="EL530" i="147"/>
  <c r="EL531" i="147"/>
  <c r="EL532" i="147"/>
  <c r="EL533" i="147"/>
  <c r="EL534" i="147"/>
  <c r="EL535" i="147"/>
  <c r="EL536" i="147"/>
  <c r="EL537" i="147"/>
  <c r="EL538" i="147"/>
  <c r="EL539" i="147"/>
  <c r="EL540" i="147"/>
  <c r="EL541" i="147"/>
  <c r="EL542" i="147"/>
  <c r="EL543" i="147"/>
  <c r="EL544" i="147"/>
  <c r="EL545" i="147"/>
  <c r="EL546" i="147"/>
  <c r="EL547" i="147"/>
  <c r="EL548" i="147"/>
  <c r="EL549" i="147"/>
  <c r="EL550" i="147"/>
  <c r="EL551" i="147"/>
  <c r="EL552" i="147"/>
  <c r="EL553" i="147"/>
  <c r="EL554" i="147"/>
  <c r="EL555" i="147"/>
  <c r="EL556" i="147"/>
  <c r="EL557" i="147"/>
  <c r="EL558" i="147"/>
  <c r="EL559" i="147"/>
  <c r="EL560" i="147"/>
  <c r="EL561" i="147"/>
  <c r="EL562" i="147"/>
  <c r="EL563" i="147"/>
  <c r="EL564" i="147"/>
  <c r="EL565" i="147"/>
  <c r="EL566" i="147"/>
  <c r="EL568" i="147"/>
  <c r="EL494" i="147"/>
  <c r="EL495" i="147"/>
  <c r="EL496" i="147"/>
  <c r="EL569" i="147"/>
  <c r="EL570" i="147"/>
  <c r="EL571" i="147"/>
  <c r="EL572" i="147"/>
  <c r="EL573" i="147"/>
  <c r="EL574" i="147"/>
  <c r="EL575" i="147"/>
  <c r="EL576" i="147"/>
  <c r="EL577" i="147"/>
  <c r="EL578" i="147"/>
  <c r="EL579" i="147"/>
  <c r="EL580" i="147"/>
  <c r="EL581" i="147"/>
  <c r="EL582" i="147"/>
  <c r="EL583" i="147"/>
  <c r="EL584" i="147"/>
  <c r="EL585" i="147"/>
  <c r="EL586" i="147"/>
  <c r="EL587" i="147"/>
  <c r="EL588" i="147"/>
  <c r="EL589" i="147"/>
  <c r="EL590" i="147"/>
  <c r="EL591" i="147"/>
  <c r="EL592" i="147"/>
  <c r="EL593" i="147"/>
  <c r="EL594" i="147"/>
  <c r="EL595" i="147"/>
  <c r="EL596" i="147"/>
  <c r="EL597" i="147"/>
  <c r="EL598" i="147"/>
  <c r="EL600" i="147"/>
  <c r="EL601" i="147"/>
  <c r="EL602" i="147"/>
  <c r="EL603" i="147"/>
  <c r="EL604" i="147"/>
  <c r="EL605" i="147"/>
  <c r="EL606" i="147"/>
  <c r="EL607" i="147"/>
  <c r="EL608" i="147"/>
  <c r="EL609" i="147"/>
  <c r="EL610" i="147"/>
  <c r="EL611" i="147"/>
  <c r="EL612" i="147"/>
  <c r="EL613" i="147"/>
  <c r="EL614" i="147"/>
  <c r="EL615" i="147"/>
  <c r="EL616" i="147"/>
  <c r="EL617" i="147"/>
  <c r="EL618" i="147"/>
  <c r="EL619" i="147"/>
  <c r="EL620" i="147"/>
  <c r="EL621" i="147"/>
  <c r="EL622" i="147"/>
  <c r="EL623" i="147"/>
  <c r="EL624" i="147"/>
  <c r="EL625" i="147"/>
  <c r="EL626" i="147"/>
  <c r="EL627" i="147"/>
  <c r="EL628" i="147"/>
  <c r="EL629" i="147"/>
  <c r="EL631" i="147"/>
  <c r="EL632" i="147"/>
  <c r="EL633" i="147"/>
  <c r="EL634" i="147"/>
  <c r="EL635" i="147"/>
  <c r="EL636" i="147"/>
  <c r="EL637" i="147"/>
  <c r="EL638" i="147"/>
  <c r="EL639" i="147"/>
  <c r="EL640" i="147"/>
  <c r="EL641" i="147"/>
  <c r="EL642" i="147"/>
  <c r="EL643" i="147"/>
  <c r="EN375" i="147"/>
  <c r="EN376" i="147"/>
  <c r="EN377" i="147"/>
  <c r="EN378" i="147"/>
  <c r="EN379" i="147"/>
  <c r="EN380" i="147"/>
  <c r="EN381" i="147"/>
  <c r="EN382" i="147"/>
  <c r="EN383" i="147"/>
  <c r="EN384" i="147"/>
  <c r="EN385" i="147"/>
  <c r="EN400" i="147"/>
  <c r="EN401" i="147"/>
  <c r="EN402" i="147"/>
  <c r="EN403" i="147"/>
  <c r="EN404" i="147"/>
  <c r="EN405" i="147"/>
  <c r="EN406" i="147"/>
  <c r="EN407" i="147"/>
  <c r="EN408" i="147"/>
  <c r="EN409" i="147"/>
  <c r="EN410" i="147"/>
  <c r="EN411" i="147"/>
  <c r="EN412" i="147"/>
  <c r="EN413" i="147"/>
  <c r="EN414" i="147"/>
  <c r="EN415" i="147"/>
  <c r="EN416" i="147"/>
  <c r="EN417" i="147"/>
  <c r="EN418" i="147"/>
  <c r="EN419" i="147"/>
  <c r="EN420" i="147"/>
  <c r="EN421" i="147"/>
  <c r="EN422" i="147"/>
  <c r="EN423" i="147"/>
  <c r="EN424" i="147"/>
  <c r="EN425" i="147"/>
  <c r="EN426" i="147"/>
  <c r="EN427" i="147"/>
  <c r="EN428" i="147"/>
  <c r="EN429" i="147"/>
  <c r="EN430" i="147"/>
  <c r="EN431" i="147"/>
  <c r="EN432" i="147"/>
  <c r="EN433" i="147"/>
  <c r="EN434" i="147"/>
  <c r="EN435" i="147"/>
  <c r="EN436" i="147"/>
  <c r="EN437" i="147"/>
  <c r="EN438" i="147"/>
  <c r="EN439" i="147"/>
  <c r="EN440" i="147"/>
  <c r="EN441" i="147"/>
  <c r="EN442" i="147"/>
  <c r="EN443" i="147"/>
  <c r="EN444" i="147"/>
  <c r="EN386" i="147"/>
  <c r="EN387" i="147"/>
  <c r="EN388" i="147"/>
  <c r="EN389" i="147"/>
  <c r="EN391" i="147"/>
  <c r="EN393" i="147"/>
  <c r="EN395" i="147"/>
  <c r="EN397" i="147"/>
  <c r="EN399" i="147"/>
  <c r="EN390" i="147"/>
  <c r="EN392" i="147"/>
  <c r="EN394" i="147"/>
  <c r="EN396" i="147"/>
  <c r="EN398" i="147"/>
  <c r="EN445" i="147"/>
  <c r="EN446" i="147"/>
  <c r="EN447" i="147"/>
  <c r="EN448" i="147"/>
  <c r="EN449" i="147"/>
  <c r="EN450" i="147"/>
  <c r="EN451" i="147"/>
  <c r="EN452" i="147"/>
  <c r="EN453" i="147"/>
  <c r="EN454" i="147"/>
  <c r="EN455" i="147"/>
  <c r="EN456" i="147"/>
  <c r="EN457" i="147"/>
  <c r="EN458" i="147"/>
  <c r="EN459" i="147"/>
  <c r="EN460" i="147"/>
  <c r="EN461" i="147"/>
  <c r="EN462" i="147"/>
  <c r="EN463" i="147"/>
  <c r="EN464" i="147"/>
  <c r="EN465" i="147"/>
  <c r="EN466" i="147"/>
  <c r="EN467" i="147"/>
  <c r="EN468" i="147"/>
  <c r="EN469" i="147"/>
  <c r="EN470" i="147"/>
  <c r="EN471" i="147"/>
  <c r="EN472" i="147"/>
  <c r="EN473" i="147"/>
  <c r="EN474" i="147"/>
  <c r="EN475" i="147"/>
  <c r="EN476" i="147"/>
  <c r="EN477" i="147"/>
  <c r="EN478" i="147"/>
  <c r="EN479" i="147"/>
  <c r="EN480" i="147"/>
  <c r="EN481" i="147"/>
  <c r="EN482" i="147"/>
  <c r="EN483" i="147"/>
  <c r="EN484" i="147"/>
  <c r="EN485" i="147"/>
  <c r="EN486" i="147"/>
  <c r="EN487" i="147"/>
  <c r="EN488" i="147"/>
  <c r="EN489" i="147"/>
  <c r="EN490" i="147"/>
  <c r="EN491" i="147"/>
  <c r="EN492" i="147"/>
  <c r="EN493" i="147"/>
  <c r="EN494" i="147"/>
  <c r="EN495" i="147"/>
  <c r="EN496" i="147"/>
  <c r="EN497" i="147"/>
  <c r="EN498" i="147"/>
  <c r="EN499" i="147"/>
  <c r="EN500" i="147"/>
  <c r="EN501" i="147"/>
  <c r="EN502" i="147"/>
  <c r="EN503" i="147"/>
  <c r="EN504" i="147"/>
  <c r="EN505" i="147"/>
  <c r="EN506" i="147"/>
  <c r="EN507" i="147"/>
  <c r="EN508" i="147"/>
  <c r="EN509" i="147"/>
  <c r="EN510" i="147"/>
  <c r="EN511" i="147"/>
  <c r="EN512" i="147"/>
  <c r="EN513" i="147"/>
  <c r="EN514" i="147"/>
  <c r="EN515" i="147"/>
  <c r="EN516" i="147"/>
  <c r="EN517" i="147"/>
  <c r="EN518" i="147"/>
  <c r="EN519" i="147"/>
  <c r="EN520" i="147"/>
  <c r="EN521" i="147"/>
  <c r="EN522" i="147"/>
  <c r="EN523" i="147"/>
  <c r="EN524" i="147"/>
  <c r="EN525" i="147"/>
  <c r="EN526" i="147"/>
  <c r="EN527" i="147"/>
  <c r="EN528" i="147"/>
  <c r="EN529" i="147"/>
  <c r="EN530" i="147"/>
  <c r="EN531" i="147"/>
  <c r="EN532" i="147"/>
  <c r="EN533" i="147"/>
  <c r="EN534" i="147"/>
  <c r="EN535" i="147"/>
  <c r="EN536" i="147"/>
  <c r="EN537" i="147"/>
  <c r="EN538" i="147"/>
  <c r="EN539" i="147"/>
  <c r="EN540" i="147"/>
  <c r="EN541" i="147"/>
  <c r="EN542" i="147"/>
  <c r="EN543" i="147"/>
  <c r="EN544" i="147"/>
  <c r="EN545" i="147"/>
  <c r="EN546" i="147"/>
  <c r="EN547" i="147"/>
  <c r="EN548" i="147"/>
  <c r="EN549" i="147"/>
  <c r="EN550" i="147"/>
  <c r="EN551" i="147"/>
  <c r="EN552" i="147"/>
  <c r="EN553" i="147"/>
  <c r="EN554" i="147"/>
  <c r="EN555" i="147"/>
  <c r="EN556" i="147"/>
  <c r="EN557" i="147"/>
  <c r="EN558" i="147"/>
  <c r="EN559" i="147"/>
  <c r="EN560" i="147"/>
  <c r="EN561" i="147"/>
  <c r="EN562" i="147"/>
  <c r="EN563" i="147"/>
  <c r="EN564" i="147"/>
  <c r="EN565" i="147"/>
  <c r="EN566" i="147"/>
  <c r="EN568" i="147"/>
  <c r="EN569" i="147"/>
  <c r="EN570" i="147"/>
  <c r="EN571" i="147"/>
  <c r="EN572" i="147"/>
  <c r="EN573" i="147"/>
  <c r="EN574" i="147"/>
  <c r="EN575" i="147"/>
  <c r="EN576" i="147"/>
  <c r="EN577" i="147"/>
  <c r="EN578" i="147"/>
  <c r="EN579" i="147"/>
  <c r="EN580" i="147"/>
  <c r="EN581" i="147"/>
  <c r="EN582" i="147"/>
  <c r="EN583" i="147"/>
  <c r="EN584" i="147"/>
  <c r="EN585" i="147"/>
  <c r="EN586" i="147"/>
  <c r="EN587" i="147"/>
  <c r="EN588" i="147"/>
  <c r="EN589" i="147"/>
  <c r="EN590" i="147"/>
  <c r="EN591" i="147"/>
  <c r="EN592" i="147"/>
  <c r="EN593" i="147"/>
  <c r="EN594" i="147"/>
  <c r="EN595" i="147"/>
  <c r="EN596" i="147"/>
  <c r="EN597" i="147"/>
  <c r="EN598" i="147"/>
  <c r="EN600" i="147"/>
  <c r="EN601" i="147"/>
  <c r="EN602" i="147"/>
  <c r="EN603" i="147"/>
  <c r="EN604" i="147"/>
  <c r="EN605" i="147"/>
  <c r="EN606" i="147"/>
  <c r="EN607" i="147"/>
  <c r="EN608" i="147"/>
  <c r="EN609" i="147"/>
  <c r="EN610" i="147"/>
  <c r="EN611" i="147"/>
  <c r="EN612" i="147"/>
  <c r="EN613" i="147"/>
  <c r="EN614" i="147"/>
  <c r="EN615" i="147"/>
  <c r="EN616" i="147"/>
  <c r="EN617" i="147"/>
  <c r="EN618" i="147"/>
  <c r="EN619" i="147"/>
  <c r="EN620" i="147"/>
  <c r="EN621" i="147"/>
  <c r="EN622" i="147"/>
  <c r="EN623" i="147"/>
  <c r="EN624" i="147"/>
  <c r="EN625" i="147"/>
  <c r="EN626" i="147"/>
  <c r="EN627" i="147"/>
  <c r="EN628" i="147"/>
  <c r="EN629" i="147"/>
  <c r="EN631" i="147"/>
  <c r="EN632" i="147"/>
  <c r="EN633" i="147"/>
  <c r="EN634" i="147"/>
  <c r="EN635" i="147"/>
  <c r="EN636" i="147"/>
  <c r="EN637" i="147"/>
  <c r="EN638" i="147"/>
  <c r="EN639" i="147"/>
  <c r="EN640" i="147"/>
  <c r="EN641" i="147"/>
  <c r="EN642" i="147"/>
  <c r="EN643" i="147"/>
  <c r="EP375" i="147"/>
  <c r="EP376" i="147"/>
  <c r="EP377" i="147"/>
  <c r="EP378" i="147"/>
  <c r="EP379" i="147"/>
  <c r="EP380" i="147"/>
  <c r="EP381" i="147"/>
  <c r="EP382" i="147"/>
  <c r="EP383" i="147"/>
  <c r="EP384" i="147"/>
  <c r="EP385" i="147"/>
  <c r="EP386" i="147"/>
  <c r="EP387" i="147"/>
  <c r="EP388" i="147"/>
  <c r="EP389" i="147"/>
  <c r="EP390" i="147"/>
  <c r="EP391" i="147"/>
  <c r="EP392" i="147"/>
  <c r="EP393" i="147"/>
  <c r="EP394" i="147"/>
  <c r="EP395" i="147"/>
  <c r="EP396" i="147"/>
  <c r="EP397" i="147"/>
  <c r="EP398" i="147"/>
  <c r="EP399" i="147"/>
  <c r="EP400" i="147"/>
  <c r="EP401" i="147"/>
  <c r="EP402" i="147"/>
  <c r="EP403" i="147"/>
  <c r="EP404" i="147"/>
  <c r="EP405" i="147"/>
  <c r="EP406" i="147"/>
  <c r="EP407" i="147"/>
  <c r="EP408" i="147"/>
  <c r="EP409" i="147"/>
  <c r="EP410" i="147"/>
  <c r="EP411" i="147"/>
  <c r="EP412" i="147"/>
  <c r="EP413" i="147"/>
  <c r="EP414" i="147"/>
  <c r="EP415" i="147"/>
  <c r="EP416" i="147"/>
  <c r="EP417" i="147"/>
  <c r="EP418" i="147"/>
  <c r="EP419" i="147"/>
  <c r="EP420" i="147"/>
  <c r="EP421" i="147"/>
  <c r="EP422" i="147"/>
  <c r="EP423" i="147"/>
  <c r="EP424" i="147"/>
  <c r="EP425" i="147"/>
  <c r="EP426" i="147"/>
  <c r="EP427" i="147"/>
  <c r="EP428" i="147"/>
  <c r="EP429" i="147"/>
  <c r="EP430" i="147"/>
  <c r="EP431" i="147"/>
  <c r="EP432" i="147"/>
  <c r="EP433" i="147"/>
  <c r="EP434" i="147"/>
  <c r="EP435" i="147"/>
  <c r="EP436" i="147"/>
  <c r="EP437" i="147"/>
  <c r="EP438" i="147"/>
  <c r="EP439" i="147"/>
  <c r="EP440" i="147"/>
  <c r="EP441" i="147"/>
  <c r="EP442" i="147"/>
  <c r="EP443" i="147"/>
  <c r="EP444" i="147"/>
  <c r="EP445" i="147"/>
  <c r="EP446" i="147"/>
  <c r="EP447" i="147"/>
  <c r="EP448" i="147"/>
  <c r="EP449" i="147"/>
  <c r="EP450" i="147"/>
  <c r="EP451" i="147"/>
  <c r="EP452" i="147"/>
  <c r="EP453" i="147"/>
  <c r="EP454" i="147"/>
  <c r="EP455" i="147"/>
  <c r="EP456" i="147"/>
  <c r="EP457" i="147"/>
  <c r="EP458" i="147"/>
  <c r="EP459" i="147"/>
  <c r="EP460" i="147"/>
  <c r="EP461" i="147"/>
  <c r="EP462" i="147"/>
  <c r="EP463" i="147"/>
  <c r="EP464" i="147"/>
  <c r="EP465" i="147"/>
  <c r="EP466" i="147"/>
  <c r="EP467" i="147"/>
  <c r="EP468" i="147"/>
  <c r="EP469" i="147"/>
  <c r="EP470" i="147"/>
  <c r="EP471" i="147"/>
  <c r="EP472" i="147"/>
  <c r="EP473" i="147"/>
  <c r="EP474" i="147"/>
  <c r="EP475" i="147"/>
  <c r="EP476" i="147"/>
  <c r="EP477" i="147"/>
  <c r="EP478" i="147"/>
  <c r="EP479" i="147"/>
  <c r="EP480" i="147"/>
  <c r="EP481" i="147"/>
  <c r="EP482" i="147"/>
  <c r="EP483" i="147"/>
  <c r="EP484" i="147"/>
  <c r="EP485" i="147"/>
  <c r="EP486" i="147"/>
  <c r="EP487" i="147"/>
  <c r="EP488" i="147"/>
  <c r="EP489" i="147"/>
  <c r="EP490" i="147"/>
  <c r="EP491" i="147"/>
  <c r="EP492" i="147"/>
  <c r="EP493" i="147"/>
  <c r="EP497" i="147"/>
  <c r="EP498" i="147"/>
  <c r="EP499" i="147"/>
  <c r="EP500" i="147"/>
  <c r="EP501" i="147"/>
  <c r="EP502" i="147"/>
  <c r="EP503" i="147"/>
  <c r="EP504" i="147"/>
  <c r="EP505" i="147"/>
  <c r="EP506" i="147"/>
  <c r="EP507" i="147"/>
  <c r="EP508" i="147"/>
  <c r="EP509" i="147"/>
  <c r="EP510" i="147"/>
  <c r="EP511" i="147"/>
  <c r="EP512" i="147"/>
  <c r="EP513" i="147"/>
  <c r="EP514" i="147"/>
  <c r="EP515" i="147"/>
  <c r="EP516" i="147"/>
  <c r="EP517" i="147"/>
  <c r="EP518" i="147"/>
  <c r="EP519" i="147"/>
  <c r="EP520" i="147"/>
  <c r="EP521" i="147"/>
  <c r="EP522" i="147"/>
  <c r="EP523" i="147"/>
  <c r="EP524" i="147"/>
  <c r="EP525" i="147"/>
  <c r="EP526" i="147"/>
  <c r="EP527" i="147"/>
  <c r="EP528" i="147"/>
  <c r="EP529" i="147"/>
  <c r="EP530" i="147"/>
  <c r="EP531" i="147"/>
  <c r="EP532" i="147"/>
  <c r="EP533" i="147"/>
  <c r="EP534" i="147"/>
  <c r="EP535" i="147"/>
  <c r="EP536" i="147"/>
  <c r="EP537" i="147"/>
  <c r="EP538" i="147"/>
  <c r="EP539" i="147"/>
  <c r="EP540" i="147"/>
  <c r="EP541" i="147"/>
  <c r="EP542" i="147"/>
  <c r="EP543" i="147"/>
  <c r="EP544" i="147"/>
  <c r="EP545" i="147"/>
  <c r="EP546" i="147"/>
  <c r="EP547" i="147"/>
  <c r="EP548" i="147"/>
  <c r="EP549" i="147"/>
  <c r="EP550" i="147"/>
  <c r="EP551" i="147"/>
  <c r="EP552" i="147"/>
  <c r="EP553" i="147"/>
  <c r="EP554" i="147"/>
  <c r="EP555" i="147"/>
  <c r="EP556" i="147"/>
  <c r="EP557" i="147"/>
  <c r="EP558" i="147"/>
  <c r="EP559" i="147"/>
  <c r="EP560" i="147"/>
  <c r="EP561" i="147"/>
  <c r="EP562" i="147"/>
  <c r="EP563" i="147"/>
  <c r="EP564" i="147"/>
  <c r="EP565" i="147"/>
  <c r="EP566" i="147"/>
  <c r="EP568" i="147"/>
  <c r="EP494" i="147"/>
  <c r="EP495" i="147"/>
  <c r="EP496" i="147"/>
  <c r="EP569" i="147"/>
  <c r="EP570" i="147"/>
  <c r="EP571" i="147"/>
  <c r="EP572" i="147"/>
  <c r="EP573" i="147"/>
  <c r="EP574" i="147"/>
  <c r="EP575" i="147"/>
  <c r="EP576" i="147"/>
  <c r="EP577" i="147"/>
  <c r="EP578" i="147"/>
  <c r="EP579" i="147"/>
  <c r="EP580" i="147"/>
  <c r="EP581" i="147"/>
  <c r="EP582" i="147"/>
  <c r="EP583" i="147"/>
  <c r="EP584" i="147"/>
  <c r="EP585" i="147"/>
  <c r="EP586" i="147"/>
  <c r="EP587" i="147"/>
  <c r="EP588" i="147"/>
  <c r="EP589" i="147"/>
  <c r="EP590" i="147"/>
  <c r="EP591" i="147"/>
  <c r="EP592" i="147"/>
  <c r="EP593" i="147"/>
  <c r="EP594" i="147"/>
  <c r="EP595" i="147"/>
  <c r="EP596" i="147"/>
  <c r="EP597" i="147"/>
  <c r="EP598" i="147"/>
  <c r="EP600" i="147"/>
  <c r="EP601" i="147"/>
  <c r="EP602" i="147"/>
  <c r="EP603" i="147"/>
  <c r="EP604" i="147"/>
  <c r="EP605" i="147"/>
  <c r="EP606" i="147"/>
  <c r="EP607" i="147"/>
  <c r="EP608" i="147"/>
  <c r="EP609" i="147"/>
  <c r="EP610" i="147"/>
  <c r="EP611" i="147"/>
  <c r="EP612" i="147"/>
  <c r="EP613" i="147"/>
  <c r="EP614" i="147"/>
  <c r="EP615" i="147"/>
  <c r="EP616" i="147"/>
  <c r="EP617" i="147"/>
  <c r="EP618" i="147"/>
  <c r="EP619" i="147"/>
  <c r="EP620" i="147"/>
  <c r="EP621" i="147"/>
  <c r="EP622" i="147"/>
  <c r="EP623" i="147"/>
  <c r="EP624" i="147"/>
  <c r="EP625" i="147"/>
  <c r="EP626" i="147"/>
  <c r="EP627" i="147"/>
  <c r="EP628" i="147"/>
  <c r="EP629" i="147"/>
  <c r="EP631" i="147"/>
  <c r="EP632" i="147"/>
  <c r="EP633" i="147"/>
  <c r="EP634" i="147"/>
  <c r="EP635" i="147"/>
  <c r="EP636" i="147"/>
  <c r="EP637" i="147"/>
  <c r="EP638" i="147"/>
  <c r="EP639" i="147"/>
  <c r="EP640" i="147"/>
  <c r="EP641" i="147"/>
  <c r="EP642" i="147"/>
  <c r="EP643" i="147"/>
  <c r="ER375" i="147"/>
  <c r="ER376" i="147"/>
  <c r="ER377" i="147"/>
  <c r="ER378" i="147"/>
  <c r="ER379" i="147"/>
  <c r="ER380" i="147"/>
  <c r="ER381" i="147"/>
  <c r="ER382" i="147"/>
  <c r="ER383" i="147"/>
  <c r="ER384" i="147"/>
  <c r="ER385" i="147"/>
  <c r="ER400" i="147"/>
  <c r="ER401" i="147"/>
  <c r="ER402" i="147"/>
  <c r="ER403" i="147"/>
  <c r="ER404" i="147"/>
  <c r="ER405" i="147"/>
  <c r="ER406" i="147"/>
  <c r="ER407" i="147"/>
  <c r="ER408" i="147"/>
  <c r="ER409" i="147"/>
  <c r="ER410" i="147"/>
  <c r="ER411" i="147"/>
  <c r="ER412" i="147"/>
  <c r="ER413" i="147"/>
  <c r="ER414" i="147"/>
  <c r="ER415" i="147"/>
  <c r="ER416" i="147"/>
  <c r="ER417" i="147"/>
  <c r="ER418" i="147"/>
  <c r="ER419" i="147"/>
  <c r="ER420" i="147"/>
  <c r="ER421" i="147"/>
  <c r="ER422" i="147"/>
  <c r="ER423" i="147"/>
  <c r="ER424" i="147"/>
  <c r="ER425" i="147"/>
  <c r="ER426" i="147"/>
  <c r="ER427" i="147"/>
  <c r="ER386" i="147"/>
  <c r="ER387" i="147"/>
  <c r="ER388" i="147"/>
  <c r="ER389" i="147"/>
  <c r="ER390" i="147"/>
  <c r="ER391" i="147"/>
  <c r="ER392" i="147"/>
  <c r="ER393" i="147"/>
  <c r="ER394" i="147"/>
  <c r="ER395" i="147"/>
  <c r="ER396" i="147"/>
  <c r="ER397" i="147"/>
  <c r="ER398" i="147"/>
  <c r="ER399" i="147"/>
  <c r="ER428" i="147"/>
  <c r="ER429" i="147"/>
  <c r="ER430" i="147"/>
  <c r="ER431" i="147"/>
  <c r="ER432" i="147"/>
  <c r="ER433" i="147"/>
  <c r="ER434" i="147"/>
  <c r="ER435" i="147"/>
  <c r="ER436" i="147"/>
  <c r="ER437" i="147"/>
  <c r="ER438" i="147"/>
  <c r="ER439" i="147"/>
  <c r="ER440" i="147"/>
  <c r="ER441" i="147"/>
  <c r="ER442" i="147"/>
  <c r="ER443" i="147"/>
  <c r="ER444" i="147"/>
  <c r="ER445" i="147"/>
  <c r="ER446" i="147"/>
  <c r="ER447" i="147"/>
  <c r="ER448" i="147"/>
  <c r="ER449" i="147"/>
  <c r="ER450" i="147"/>
  <c r="ER451" i="147"/>
  <c r="ER452" i="147"/>
  <c r="ER453" i="147"/>
  <c r="ER454" i="147"/>
  <c r="ER455" i="147"/>
  <c r="ER456" i="147"/>
  <c r="ER457" i="147"/>
  <c r="ER458" i="147"/>
  <c r="ER459" i="147"/>
  <c r="ER460" i="147"/>
  <c r="ER461" i="147"/>
  <c r="ER462" i="147"/>
  <c r="ER463" i="147"/>
  <c r="ER464" i="147"/>
  <c r="ER465" i="147"/>
  <c r="ER466" i="147"/>
  <c r="ER467" i="147"/>
  <c r="ER468" i="147"/>
  <c r="ER469" i="147"/>
  <c r="ER470" i="147"/>
  <c r="ER471" i="147"/>
  <c r="ER472" i="147"/>
  <c r="ER473" i="147"/>
  <c r="ER474" i="147"/>
  <c r="ER475" i="147"/>
  <c r="ER476" i="147"/>
  <c r="ER477" i="147"/>
  <c r="ER478" i="147"/>
  <c r="ER479" i="147"/>
  <c r="ER480" i="147"/>
  <c r="ER481" i="147"/>
  <c r="ER482" i="147"/>
  <c r="ER483" i="147"/>
  <c r="ER484" i="147"/>
  <c r="ER485" i="147"/>
  <c r="ER486" i="147"/>
  <c r="ER487" i="147"/>
  <c r="ER488" i="147"/>
  <c r="ER489" i="147"/>
  <c r="ER490" i="147"/>
  <c r="ER491" i="147"/>
  <c r="ER492" i="147"/>
  <c r="ER493" i="147"/>
  <c r="ER494" i="147"/>
  <c r="ER495" i="147"/>
  <c r="ER496" i="147"/>
  <c r="ER497" i="147"/>
  <c r="ER498" i="147"/>
  <c r="ER499" i="147"/>
  <c r="ER500" i="147"/>
  <c r="ER501" i="147"/>
  <c r="ER502" i="147"/>
  <c r="ER503" i="147"/>
  <c r="ER504" i="147"/>
  <c r="ER505" i="147"/>
  <c r="ER506" i="147"/>
  <c r="ER507" i="147"/>
  <c r="ER508" i="147"/>
  <c r="ER509" i="147"/>
  <c r="ER510" i="147"/>
  <c r="ER511" i="147"/>
  <c r="ER512" i="147"/>
  <c r="ER513" i="147"/>
  <c r="ER514" i="147"/>
  <c r="ER515" i="147"/>
  <c r="ER516" i="147"/>
  <c r="ER517" i="147"/>
  <c r="ER518" i="147"/>
  <c r="ER519" i="147"/>
  <c r="ER520" i="147"/>
  <c r="ER521" i="147"/>
  <c r="ER522" i="147"/>
  <c r="ER523" i="147"/>
  <c r="ER524" i="147"/>
  <c r="ER525" i="147"/>
  <c r="ER526" i="147"/>
  <c r="ER527" i="147"/>
  <c r="ER528" i="147"/>
  <c r="ER529" i="147"/>
  <c r="ER530" i="147"/>
  <c r="ER531" i="147"/>
  <c r="ER532" i="147"/>
  <c r="ER533" i="147"/>
  <c r="ER534" i="147"/>
  <c r="ER535" i="147"/>
  <c r="ER536" i="147"/>
  <c r="ER537" i="147"/>
  <c r="ER538" i="147"/>
  <c r="ER539" i="147"/>
  <c r="ER540" i="147"/>
  <c r="ER541" i="147"/>
  <c r="ER542" i="147"/>
  <c r="ER543" i="147"/>
  <c r="ER544" i="147"/>
  <c r="ER545" i="147"/>
  <c r="ER546" i="147"/>
  <c r="ER547" i="147"/>
  <c r="ER548" i="147"/>
  <c r="ER549" i="147"/>
  <c r="ER550" i="147"/>
  <c r="ER551" i="147"/>
  <c r="ER552" i="147"/>
  <c r="ER553" i="147"/>
  <c r="ER554" i="147"/>
  <c r="ER555" i="147"/>
  <c r="ER556" i="147"/>
  <c r="ER557" i="147"/>
  <c r="ER558" i="147"/>
  <c r="ER559" i="147"/>
  <c r="ER560" i="147"/>
  <c r="ER561" i="147"/>
  <c r="ER562" i="147"/>
  <c r="ER563" i="147"/>
  <c r="ER564" i="147"/>
  <c r="ER565" i="147"/>
  <c r="ER566" i="147"/>
  <c r="ER568" i="147"/>
  <c r="ER569" i="147"/>
  <c r="ER570" i="147"/>
  <c r="ER571" i="147"/>
  <c r="ER572" i="147"/>
  <c r="ER573" i="147"/>
  <c r="ER574" i="147"/>
  <c r="ER575" i="147"/>
  <c r="ER576" i="147"/>
  <c r="ER577" i="147"/>
  <c r="ER578" i="147"/>
  <c r="ER579" i="147"/>
  <c r="ER580" i="147"/>
  <c r="ER581" i="147"/>
  <c r="ER582" i="147"/>
  <c r="ER583" i="147"/>
  <c r="ER584" i="147"/>
  <c r="ER585" i="147"/>
  <c r="ER586" i="147"/>
  <c r="ER587" i="147"/>
  <c r="ER588" i="147"/>
  <c r="ER589" i="147"/>
  <c r="ER590" i="147"/>
  <c r="ER591" i="147"/>
  <c r="ER592" i="147"/>
  <c r="ER593" i="147"/>
  <c r="ER594" i="147"/>
  <c r="ER595" i="147"/>
  <c r="ER596" i="147"/>
  <c r="ER597" i="147"/>
  <c r="ER598" i="147"/>
  <c r="ER600" i="147"/>
  <c r="ER601" i="147"/>
  <c r="ER602" i="147"/>
  <c r="ER603" i="147"/>
  <c r="ER604" i="147"/>
  <c r="ER605" i="147"/>
  <c r="ER606" i="147"/>
  <c r="ER607" i="147"/>
  <c r="ER608" i="147"/>
  <c r="ER609" i="147"/>
  <c r="ER610" i="147"/>
  <c r="ER611" i="147"/>
  <c r="ER612" i="147"/>
  <c r="ER613" i="147"/>
  <c r="ER614" i="147"/>
  <c r="ER615" i="147"/>
  <c r="ER616" i="147"/>
  <c r="ER617" i="147"/>
  <c r="ER618" i="147"/>
  <c r="ER619" i="147"/>
  <c r="ER620" i="147"/>
  <c r="ER621" i="147"/>
  <c r="ER622" i="147"/>
  <c r="ER623" i="147"/>
  <c r="ER624" i="147"/>
  <c r="ER625" i="147"/>
  <c r="ER626" i="147"/>
  <c r="ER627" i="147"/>
  <c r="ER628" i="147"/>
  <c r="ER629" i="147"/>
  <c r="ER631" i="147"/>
  <c r="ER632" i="147"/>
  <c r="ER633" i="147"/>
  <c r="ER634" i="147"/>
  <c r="ER635" i="147"/>
  <c r="ER636" i="147"/>
  <c r="ER637" i="147"/>
  <c r="ER638" i="147"/>
  <c r="ER639" i="147"/>
  <c r="ER640" i="147"/>
  <c r="ER641" i="147"/>
  <c r="ER642" i="147"/>
  <c r="ER643" i="147"/>
  <c r="ET375" i="147"/>
  <c r="ET376" i="147"/>
  <c r="ET377" i="147"/>
  <c r="ET378" i="147"/>
  <c r="ET386" i="147"/>
  <c r="ET387" i="147"/>
  <c r="ET388" i="147"/>
  <c r="ET389" i="147"/>
  <c r="ET390" i="147"/>
  <c r="ET391" i="147"/>
  <c r="ET392" i="147"/>
  <c r="ET393" i="147"/>
  <c r="ET394" i="147"/>
  <c r="ET395" i="147"/>
  <c r="ET396" i="147"/>
  <c r="ET397" i="147"/>
  <c r="ET398" i="147"/>
  <c r="ET399" i="147"/>
  <c r="ET400" i="147"/>
  <c r="ET401" i="147"/>
  <c r="ET402" i="147"/>
  <c r="ET403" i="147"/>
  <c r="ET404" i="147"/>
  <c r="ET405" i="147"/>
  <c r="ET406" i="147"/>
  <c r="ET407" i="147"/>
  <c r="ET408" i="147"/>
  <c r="ET409" i="147"/>
  <c r="ET410" i="147"/>
  <c r="ET411" i="147"/>
  <c r="ET412" i="147"/>
  <c r="ET413" i="147"/>
  <c r="ET414" i="147"/>
  <c r="ET415" i="147"/>
  <c r="ET416" i="147"/>
  <c r="ET417" i="147"/>
  <c r="ET418" i="147"/>
  <c r="ET419" i="147"/>
  <c r="ET420" i="147"/>
  <c r="ET421" i="147"/>
  <c r="ET422" i="147"/>
  <c r="ET423" i="147"/>
  <c r="ET424" i="147"/>
  <c r="ET425" i="147"/>
  <c r="ET426" i="147"/>
  <c r="ET427" i="147"/>
  <c r="ET428" i="147"/>
  <c r="ET429" i="147"/>
  <c r="ET430" i="147"/>
  <c r="ET431" i="147"/>
  <c r="ET432" i="147"/>
  <c r="ET433" i="147"/>
  <c r="ET434" i="147"/>
  <c r="ET435" i="147"/>
  <c r="ET436" i="147"/>
  <c r="ET437" i="147"/>
  <c r="ET438" i="147"/>
  <c r="ET439" i="147"/>
  <c r="ET440" i="147"/>
  <c r="ET441" i="147"/>
  <c r="ET442" i="147"/>
  <c r="ET443" i="147"/>
  <c r="ET444" i="147"/>
  <c r="ET379" i="147"/>
  <c r="ET380" i="147"/>
  <c r="ET381" i="147"/>
  <c r="ET382" i="147"/>
  <c r="ET383" i="147"/>
  <c r="ET384" i="147"/>
  <c r="ET385" i="147"/>
  <c r="ET445" i="147"/>
  <c r="ET446" i="147"/>
  <c r="ET447" i="147"/>
  <c r="ET448" i="147"/>
  <c r="ET449" i="147"/>
  <c r="ET450" i="147"/>
  <c r="ET451" i="147"/>
  <c r="ET452" i="147"/>
  <c r="ET453" i="147"/>
  <c r="ET454" i="147"/>
  <c r="ET455" i="147"/>
  <c r="ET456" i="147"/>
  <c r="ET457" i="147"/>
  <c r="ET458" i="147"/>
  <c r="ET459" i="147"/>
  <c r="ET460" i="147"/>
  <c r="ET461" i="147"/>
  <c r="ET462" i="147"/>
  <c r="ET463" i="147"/>
  <c r="ET464" i="147"/>
  <c r="ET465" i="147"/>
  <c r="ET466" i="147"/>
  <c r="ET467" i="147"/>
  <c r="ET468" i="147"/>
  <c r="ET469" i="147"/>
  <c r="ET470" i="147"/>
  <c r="ET471" i="147"/>
  <c r="ET472" i="147"/>
  <c r="ET473" i="147"/>
  <c r="ET474" i="147"/>
  <c r="ET475" i="147"/>
  <c r="ET476" i="147"/>
  <c r="ET477" i="147"/>
  <c r="ET478" i="147"/>
  <c r="ET479" i="147"/>
  <c r="ET480" i="147"/>
  <c r="ET481" i="147"/>
  <c r="ET482" i="147"/>
  <c r="ET483" i="147"/>
  <c r="ET484" i="147"/>
  <c r="ET485" i="147"/>
  <c r="ET486" i="147"/>
  <c r="ET487" i="147"/>
  <c r="ET488" i="147"/>
  <c r="ET489" i="147"/>
  <c r="ET490" i="147"/>
  <c r="ET491" i="147"/>
  <c r="ET492" i="147"/>
  <c r="ET493" i="147"/>
  <c r="ET496" i="147"/>
  <c r="ET497" i="147"/>
  <c r="ET498" i="147"/>
  <c r="ET499" i="147"/>
  <c r="ET500" i="147"/>
  <c r="ET501" i="147"/>
  <c r="ET502" i="147"/>
  <c r="ET503" i="147"/>
  <c r="ET504" i="147"/>
  <c r="ET505" i="147"/>
  <c r="ET506" i="147"/>
  <c r="ET507" i="147"/>
  <c r="ET508" i="147"/>
  <c r="ET509" i="147"/>
  <c r="ET510" i="147"/>
  <c r="ET511" i="147"/>
  <c r="ET512" i="147"/>
  <c r="ET513" i="147"/>
  <c r="ET514" i="147"/>
  <c r="ET515" i="147"/>
  <c r="ET516" i="147"/>
  <c r="ET517" i="147"/>
  <c r="ET518" i="147"/>
  <c r="ET519" i="147"/>
  <c r="ET520" i="147"/>
  <c r="ET521" i="147"/>
  <c r="ET522" i="147"/>
  <c r="ET523" i="147"/>
  <c r="ET524" i="147"/>
  <c r="ET525" i="147"/>
  <c r="ET526" i="147"/>
  <c r="ET527" i="147"/>
  <c r="ET528" i="147"/>
  <c r="ET529" i="147"/>
  <c r="ET530" i="147"/>
  <c r="ET531" i="147"/>
  <c r="ET532" i="147"/>
  <c r="ET533" i="147"/>
  <c r="ET534" i="147"/>
  <c r="ET535" i="147"/>
  <c r="ET536" i="147"/>
  <c r="ET537" i="147"/>
  <c r="ET538" i="147"/>
  <c r="ET539" i="147"/>
  <c r="ET540" i="147"/>
  <c r="ET541" i="147"/>
  <c r="ET542" i="147"/>
  <c r="ET543" i="147"/>
  <c r="ET544" i="147"/>
  <c r="ET545" i="147"/>
  <c r="ET546" i="147"/>
  <c r="ET547" i="147"/>
  <c r="ET548" i="147"/>
  <c r="ET549" i="147"/>
  <c r="ET550" i="147"/>
  <c r="ET551" i="147"/>
  <c r="ET552" i="147"/>
  <c r="ET553" i="147"/>
  <c r="ET554" i="147"/>
  <c r="ET555" i="147"/>
  <c r="ET556" i="147"/>
  <c r="ET557" i="147"/>
  <c r="ET558" i="147"/>
  <c r="ET559" i="147"/>
  <c r="ET560" i="147"/>
  <c r="ET561" i="147"/>
  <c r="ET562" i="147"/>
  <c r="ET563" i="147"/>
  <c r="ET564" i="147"/>
  <c r="ET565" i="147"/>
  <c r="ET566" i="147"/>
  <c r="ET568" i="147"/>
  <c r="ET494" i="147"/>
  <c r="ET495" i="147"/>
  <c r="ET569" i="147"/>
  <c r="ET570" i="147"/>
  <c r="ET571" i="147"/>
  <c r="ET572" i="147"/>
  <c r="ET573" i="147"/>
  <c r="ET574" i="147"/>
  <c r="ET575" i="147"/>
  <c r="ET576" i="147"/>
  <c r="ET577" i="147"/>
  <c r="ET578" i="147"/>
  <c r="ET579" i="147"/>
  <c r="ET580" i="147"/>
  <c r="ET581" i="147"/>
  <c r="ET582" i="147"/>
  <c r="ET583" i="147"/>
  <c r="ET584" i="147"/>
  <c r="ET585" i="147"/>
  <c r="ET586" i="147"/>
  <c r="ET587" i="147"/>
  <c r="ET588" i="147"/>
  <c r="ET589" i="147"/>
  <c r="ET590" i="147"/>
  <c r="ET591" i="147"/>
  <c r="ET592" i="147"/>
  <c r="ET593" i="147"/>
  <c r="ET594" i="147"/>
  <c r="ET595" i="147"/>
  <c r="ET596" i="147"/>
  <c r="ET597" i="147"/>
  <c r="ET598" i="147"/>
  <c r="ET600" i="147"/>
  <c r="ET601" i="147"/>
  <c r="ET602" i="147"/>
  <c r="ET603" i="147"/>
  <c r="ET604" i="147"/>
  <c r="ET605" i="147"/>
  <c r="ET606" i="147"/>
  <c r="ET607" i="147"/>
  <c r="ET608" i="147"/>
  <c r="ET609" i="147"/>
  <c r="ET610" i="147"/>
  <c r="ET611" i="147"/>
  <c r="ET612" i="147"/>
  <c r="ET613" i="147"/>
  <c r="ET614" i="147"/>
  <c r="ET615" i="147"/>
  <c r="ET616" i="147"/>
  <c r="ET617" i="147"/>
  <c r="ET618" i="147"/>
  <c r="ET619" i="147"/>
  <c r="ET620" i="147"/>
  <c r="ET621" i="147"/>
  <c r="ET622" i="147"/>
  <c r="ET623" i="147"/>
  <c r="ET624" i="147"/>
  <c r="ET625" i="147"/>
  <c r="ET626" i="147"/>
  <c r="ET627" i="147"/>
  <c r="ET628" i="147"/>
  <c r="ET629" i="147"/>
  <c r="ET631" i="147"/>
  <c r="ET632" i="147"/>
  <c r="ET633" i="147"/>
  <c r="ET634" i="147"/>
  <c r="ET635" i="147"/>
  <c r="ET636" i="147"/>
  <c r="ET637" i="147"/>
  <c r="ET638" i="147"/>
  <c r="ET639" i="147"/>
  <c r="ET640" i="147"/>
  <c r="ET641" i="147"/>
  <c r="ET642" i="147"/>
  <c r="ET643" i="147"/>
  <c r="EV375" i="147"/>
  <c r="EV376" i="147"/>
  <c r="EV377" i="147"/>
  <c r="EV378" i="147"/>
  <c r="EV379" i="147"/>
  <c r="EV381" i="147"/>
  <c r="EV382" i="147"/>
  <c r="EV383" i="147"/>
  <c r="EV384" i="147"/>
  <c r="EV385" i="147"/>
  <c r="EV400" i="147"/>
  <c r="EV401" i="147"/>
  <c r="EV402" i="147"/>
  <c r="EV403" i="147"/>
  <c r="EV404" i="147"/>
  <c r="EV405" i="147"/>
  <c r="EV406" i="147"/>
  <c r="EV407" i="147"/>
  <c r="EV408" i="147"/>
  <c r="EV409" i="147"/>
  <c r="EV410" i="147"/>
  <c r="EV411" i="147"/>
  <c r="EV412" i="147"/>
  <c r="EV413" i="147"/>
  <c r="EV414" i="147"/>
  <c r="EV415" i="147"/>
  <c r="EV416" i="147"/>
  <c r="EV417" i="147"/>
  <c r="EV418" i="147"/>
  <c r="EV419" i="147"/>
  <c r="EV420" i="147"/>
  <c r="EV421" i="147"/>
  <c r="EV422" i="147"/>
  <c r="EV423" i="147"/>
  <c r="EV424" i="147"/>
  <c r="EV425" i="147"/>
  <c r="EV426" i="147"/>
  <c r="EV427" i="147"/>
  <c r="EV428" i="147"/>
  <c r="EV429" i="147"/>
  <c r="EV430" i="147"/>
  <c r="EV431" i="147"/>
  <c r="EV432" i="147"/>
  <c r="EV433" i="147"/>
  <c r="EV434" i="147"/>
  <c r="EV435" i="147"/>
  <c r="EV436" i="147"/>
  <c r="EV437" i="147"/>
  <c r="EV438" i="147"/>
  <c r="EV439" i="147"/>
  <c r="EV440" i="147"/>
  <c r="EV441" i="147"/>
  <c r="EV442" i="147"/>
  <c r="EV443" i="147"/>
  <c r="EV444" i="147"/>
  <c r="EV386" i="147"/>
  <c r="EV387" i="147"/>
  <c r="EV388" i="147"/>
  <c r="EV389" i="147"/>
  <c r="EV390" i="147"/>
  <c r="EV391" i="147"/>
  <c r="EV392" i="147"/>
  <c r="EV393" i="147"/>
  <c r="EV394" i="147"/>
  <c r="EV395" i="147"/>
  <c r="EV396" i="147"/>
  <c r="EV397" i="147"/>
  <c r="EV398" i="147"/>
  <c r="EV399" i="147"/>
  <c r="EV445" i="147"/>
  <c r="EV446" i="147"/>
  <c r="EV447" i="147"/>
  <c r="EV448" i="147"/>
  <c r="EV449" i="147"/>
  <c r="EV450" i="147"/>
  <c r="EV451" i="147"/>
  <c r="EV452" i="147"/>
  <c r="EV453" i="147"/>
  <c r="EV454" i="147"/>
  <c r="EV455" i="147"/>
  <c r="EV456" i="147"/>
  <c r="EV457" i="147"/>
  <c r="EV458" i="147"/>
  <c r="EV459" i="147"/>
  <c r="EV460" i="147"/>
  <c r="EV461" i="147"/>
  <c r="EV462" i="147"/>
  <c r="EV463" i="147"/>
  <c r="EV464" i="147"/>
  <c r="EV465" i="147"/>
  <c r="EV466" i="147"/>
  <c r="EV467" i="147"/>
  <c r="EV468" i="147"/>
  <c r="EV469" i="147"/>
  <c r="EV470" i="147"/>
  <c r="EV471" i="147"/>
  <c r="EV472" i="147"/>
  <c r="EV473" i="147"/>
  <c r="EV474" i="147"/>
  <c r="EV475" i="147"/>
  <c r="EV476" i="147"/>
  <c r="EV477" i="147"/>
  <c r="EV478" i="147"/>
  <c r="EV479" i="147"/>
  <c r="EV480" i="147"/>
  <c r="EV481" i="147"/>
  <c r="EV482" i="147"/>
  <c r="EV483" i="147"/>
  <c r="EV484" i="147"/>
  <c r="EV485" i="147"/>
  <c r="EV486" i="147"/>
  <c r="EV487" i="147"/>
  <c r="EV488" i="147"/>
  <c r="EV489" i="147"/>
  <c r="EV490" i="147"/>
  <c r="EV491" i="147"/>
  <c r="EV492" i="147"/>
  <c r="EV493" i="147"/>
  <c r="EV494" i="147"/>
  <c r="EV495" i="147"/>
  <c r="EV496" i="147"/>
  <c r="EV497" i="147"/>
  <c r="EV498" i="147"/>
  <c r="EV499" i="147"/>
  <c r="EV500" i="147"/>
  <c r="EV501" i="147"/>
  <c r="EV502" i="147"/>
  <c r="EV503" i="147"/>
  <c r="EV504" i="147"/>
  <c r="EV505" i="147"/>
  <c r="EV506" i="147"/>
  <c r="EV507" i="147"/>
  <c r="EV508" i="147"/>
  <c r="EV509" i="147"/>
  <c r="EV510" i="147"/>
  <c r="EV511" i="147"/>
  <c r="EV512" i="147"/>
  <c r="EV513" i="147"/>
  <c r="EV514" i="147"/>
  <c r="EV515" i="147"/>
  <c r="EV516" i="147"/>
  <c r="EV517" i="147"/>
  <c r="EV518" i="147"/>
  <c r="EV519" i="147"/>
  <c r="EV520" i="147"/>
  <c r="EV521" i="147"/>
  <c r="EV522" i="147"/>
  <c r="EV523" i="147"/>
  <c r="EV524" i="147"/>
  <c r="EV525" i="147"/>
  <c r="EV526" i="147"/>
  <c r="EV527" i="147"/>
  <c r="EV528" i="147"/>
  <c r="EV529" i="147"/>
  <c r="EV530" i="147"/>
  <c r="EV531" i="147"/>
  <c r="EV532" i="147"/>
  <c r="EV533" i="147"/>
  <c r="EV534" i="147"/>
  <c r="EV535" i="147"/>
  <c r="EV536" i="147"/>
  <c r="EV537" i="147"/>
  <c r="EV538" i="147"/>
  <c r="EV539" i="147"/>
  <c r="EV540" i="147"/>
  <c r="EV541" i="147"/>
  <c r="EV542" i="147"/>
  <c r="EV543" i="147"/>
  <c r="EV544" i="147"/>
  <c r="EV545" i="147"/>
  <c r="EV546" i="147"/>
  <c r="EV547" i="147"/>
  <c r="EV548" i="147"/>
  <c r="EV549" i="147"/>
  <c r="EV550" i="147"/>
  <c r="EV551" i="147"/>
  <c r="EV552" i="147"/>
  <c r="EV553" i="147"/>
  <c r="EV554" i="147"/>
  <c r="EV555" i="147"/>
  <c r="EV556" i="147"/>
  <c r="EV557" i="147"/>
  <c r="EV558" i="147"/>
  <c r="EV559" i="147"/>
  <c r="EV560" i="147"/>
  <c r="EV568" i="147"/>
  <c r="EV569" i="147"/>
  <c r="EV571" i="147"/>
  <c r="EV572" i="147"/>
  <c r="EV573" i="147"/>
  <c r="EV574" i="147"/>
  <c r="EV575" i="147"/>
  <c r="EV576" i="147"/>
  <c r="EV577" i="147"/>
  <c r="EV578" i="147"/>
  <c r="EV579" i="147"/>
  <c r="EV580" i="147"/>
  <c r="EV581" i="147"/>
  <c r="EV582" i="147"/>
  <c r="EV583" i="147"/>
  <c r="EV584" i="147"/>
  <c r="EV585" i="147"/>
  <c r="EV595" i="147"/>
  <c r="EV596" i="147"/>
  <c r="EV597" i="147"/>
  <c r="EV598" i="147"/>
  <c r="EV600" i="147"/>
  <c r="EV601" i="147"/>
  <c r="EV602" i="147"/>
  <c r="EV603" i="147"/>
  <c r="EV604" i="147"/>
  <c r="EV605" i="147"/>
  <c r="EV606" i="147"/>
  <c r="EV607" i="147"/>
  <c r="EV608" i="147"/>
  <c r="EV609" i="147"/>
  <c r="EV610" i="147"/>
  <c r="EV611" i="147"/>
  <c r="EV612" i="147"/>
  <c r="EV613" i="147"/>
  <c r="EV614" i="147"/>
  <c r="EV615" i="147"/>
  <c r="EV616" i="147"/>
  <c r="EV617" i="147"/>
  <c r="EV618" i="147"/>
  <c r="EV619" i="147"/>
  <c r="EV620" i="147"/>
  <c r="EV621" i="147"/>
  <c r="EV622" i="147"/>
  <c r="EV623" i="147"/>
  <c r="EV624" i="147"/>
  <c r="EV625" i="147"/>
  <c r="EV626" i="147"/>
  <c r="EV627" i="147"/>
  <c r="EV628" i="147"/>
  <c r="EV629" i="147"/>
  <c r="EV631" i="147"/>
  <c r="EV632" i="147"/>
  <c r="EV633" i="147"/>
  <c r="EV634" i="147"/>
  <c r="EV635" i="147"/>
  <c r="EV636" i="147"/>
  <c r="EV637" i="147"/>
  <c r="EV638" i="147"/>
  <c r="EV639" i="147"/>
  <c r="EV640" i="147"/>
  <c r="EV641" i="147"/>
  <c r="EV642" i="147"/>
  <c r="EV643" i="147"/>
  <c r="EV563" i="147"/>
  <c r="EV589" i="147"/>
  <c r="EX380" i="147"/>
  <c r="EX381" i="147"/>
  <c r="EX382" i="147"/>
  <c r="EX383" i="147"/>
  <c r="EX384" i="147"/>
  <c r="EX385" i="147"/>
  <c r="EX386" i="147"/>
  <c r="EX387" i="147"/>
  <c r="EX388" i="147"/>
  <c r="EX389" i="147"/>
  <c r="EX390" i="147"/>
  <c r="EX391" i="147"/>
  <c r="EX392" i="147"/>
  <c r="EX393" i="147"/>
  <c r="EX394" i="147"/>
  <c r="EX395" i="147"/>
  <c r="EX396" i="147"/>
  <c r="EX397" i="147"/>
  <c r="EX398" i="147"/>
  <c r="EX399" i="147"/>
  <c r="EX400" i="147"/>
  <c r="EX401" i="147"/>
  <c r="EX402" i="147"/>
  <c r="EX403" i="147"/>
  <c r="EX404" i="147"/>
  <c r="EX405" i="147"/>
  <c r="EX406" i="147"/>
  <c r="EX407" i="147"/>
  <c r="EX408" i="147"/>
  <c r="EX409" i="147"/>
  <c r="EX410" i="147"/>
  <c r="EX411" i="147"/>
  <c r="EX412" i="147"/>
  <c r="EX413" i="147"/>
  <c r="EX414" i="147"/>
  <c r="EX415" i="147"/>
  <c r="EX416" i="147"/>
  <c r="EX417" i="147"/>
  <c r="EX418" i="147"/>
  <c r="EX419" i="147"/>
  <c r="EX420" i="147"/>
  <c r="EX421" i="147"/>
  <c r="EX422" i="147"/>
  <c r="EX423" i="147"/>
  <c r="EX424" i="147"/>
  <c r="EX425" i="147"/>
  <c r="EX426" i="147"/>
  <c r="EX427" i="147"/>
  <c r="EX428" i="147"/>
  <c r="EX429" i="147"/>
  <c r="EX430" i="147"/>
  <c r="EX431" i="147"/>
  <c r="EX432" i="147"/>
  <c r="EX433" i="147"/>
  <c r="EX434" i="147"/>
  <c r="EX435" i="147"/>
  <c r="EX436" i="147"/>
  <c r="EX437" i="147"/>
  <c r="EX438" i="147"/>
  <c r="EX439" i="147"/>
  <c r="EX440" i="147"/>
  <c r="EX441" i="147"/>
  <c r="EX442" i="147"/>
  <c r="EX443" i="147"/>
  <c r="EX444" i="147"/>
  <c r="EX445" i="147"/>
  <c r="EX446" i="147"/>
  <c r="EX447" i="147"/>
  <c r="EX448" i="147"/>
  <c r="EX449" i="147"/>
  <c r="EX450" i="147"/>
  <c r="EX451" i="147"/>
  <c r="EX452" i="147"/>
  <c r="EX453" i="147"/>
  <c r="EX454" i="147"/>
  <c r="EX455" i="147"/>
  <c r="EX456" i="147"/>
  <c r="EX457" i="147"/>
  <c r="EX458" i="147"/>
  <c r="EX459" i="147"/>
  <c r="EX460" i="147"/>
  <c r="EX461" i="147"/>
  <c r="EX462" i="147"/>
  <c r="EX463" i="147"/>
  <c r="EX464" i="147"/>
  <c r="EX465" i="147"/>
  <c r="EX466" i="147"/>
  <c r="EX467" i="147"/>
  <c r="EX468" i="147"/>
  <c r="EX469" i="147"/>
  <c r="EX470" i="147"/>
  <c r="EX471" i="147"/>
  <c r="EX472" i="147"/>
  <c r="EX473" i="147"/>
  <c r="EX474" i="147"/>
  <c r="EX475" i="147"/>
  <c r="EX476" i="147"/>
  <c r="EX477" i="147"/>
  <c r="EX478" i="147"/>
  <c r="EX479" i="147"/>
  <c r="EX480" i="147"/>
  <c r="EX481" i="147"/>
  <c r="EX482" i="147"/>
  <c r="EX483" i="147"/>
  <c r="EX484" i="147"/>
  <c r="EX485" i="147"/>
  <c r="EX486" i="147"/>
  <c r="EX487" i="147"/>
  <c r="EX488" i="147"/>
  <c r="EX489" i="147"/>
  <c r="EX490" i="147"/>
  <c r="EX491" i="147"/>
  <c r="EX492" i="147"/>
  <c r="EX493" i="147"/>
  <c r="EX496" i="147"/>
  <c r="EX497" i="147"/>
  <c r="EX498" i="147"/>
  <c r="EX499" i="147"/>
  <c r="EX500" i="147"/>
  <c r="EX501" i="147"/>
  <c r="EX502" i="147"/>
  <c r="EX503" i="147"/>
  <c r="EX504" i="147"/>
  <c r="EX505" i="147"/>
  <c r="EX506" i="147"/>
  <c r="EX507" i="147"/>
  <c r="EX508" i="147"/>
  <c r="EX509" i="147"/>
  <c r="EX510" i="147"/>
  <c r="EX511" i="147"/>
  <c r="EX512" i="147"/>
  <c r="EX513" i="147"/>
  <c r="EX514" i="147"/>
  <c r="EX515" i="147"/>
  <c r="EX516" i="147"/>
  <c r="EX517" i="147"/>
  <c r="EX518" i="147"/>
  <c r="EX519" i="147"/>
  <c r="EX520" i="147"/>
  <c r="EX521" i="147"/>
  <c r="EX522" i="147"/>
  <c r="EX523" i="147"/>
  <c r="EX524" i="147"/>
  <c r="EX525" i="147"/>
  <c r="EX526" i="147"/>
  <c r="EX527" i="147"/>
  <c r="EX528" i="147"/>
  <c r="EX529" i="147"/>
  <c r="EX530" i="147"/>
  <c r="EX531" i="147"/>
  <c r="EX532" i="147"/>
  <c r="EX533" i="147"/>
  <c r="EX534" i="147"/>
  <c r="EX535" i="147"/>
  <c r="EX536" i="147"/>
  <c r="EX537" i="147"/>
  <c r="EX538" i="147"/>
  <c r="EX539" i="147"/>
  <c r="EX540" i="147"/>
  <c r="EX541" i="147"/>
  <c r="EX542" i="147"/>
  <c r="EX543" i="147"/>
  <c r="EX544" i="147"/>
  <c r="EX545" i="147"/>
  <c r="EX546" i="147"/>
  <c r="EX547" i="147"/>
  <c r="EX548" i="147"/>
  <c r="EX549" i="147"/>
  <c r="EX550" i="147"/>
  <c r="EX551" i="147"/>
  <c r="EX552" i="147"/>
  <c r="EX553" i="147"/>
  <c r="EX554" i="147"/>
  <c r="EX555" i="147"/>
  <c r="EX556" i="147"/>
  <c r="EX557" i="147"/>
  <c r="EX558" i="147"/>
  <c r="EX559" i="147"/>
  <c r="EX560" i="147"/>
  <c r="EX561" i="147"/>
  <c r="EX562" i="147"/>
  <c r="EX563" i="147"/>
  <c r="EX564" i="147"/>
  <c r="EX565" i="147"/>
  <c r="EX566" i="147"/>
  <c r="EX568" i="147"/>
  <c r="EX494" i="147"/>
  <c r="EX495" i="147"/>
  <c r="EX569" i="147"/>
  <c r="EX570" i="147"/>
  <c r="EX571" i="147"/>
  <c r="EX572" i="147"/>
  <c r="EX573" i="147"/>
  <c r="EX574" i="147"/>
  <c r="EX575" i="147"/>
  <c r="EX576" i="147"/>
  <c r="EX577" i="147"/>
  <c r="EX578" i="147"/>
  <c r="EX579" i="147"/>
  <c r="EX580" i="147"/>
  <c r="EX581" i="147"/>
  <c r="EX582" i="147"/>
  <c r="EX583" i="147"/>
  <c r="EX584" i="147"/>
  <c r="EX585" i="147"/>
  <c r="EX586" i="147"/>
  <c r="EX587" i="147"/>
  <c r="EX588" i="147"/>
  <c r="EX589" i="147"/>
  <c r="EX590" i="147"/>
  <c r="EX591" i="147"/>
  <c r="EX592" i="147"/>
  <c r="EX593" i="147"/>
  <c r="EX594" i="147"/>
  <c r="EX595" i="147"/>
  <c r="EX596" i="147"/>
  <c r="EX597" i="147"/>
  <c r="EX598" i="147"/>
  <c r="EX600" i="147"/>
  <c r="EX601" i="147"/>
  <c r="EX602" i="147"/>
  <c r="EX603" i="147"/>
  <c r="EX604" i="147"/>
  <c r="EX605" i="147"/>
  <c r="EX606" i="147"/>
  <c r="EX607" i="147"/>
  <c r="EX608" i="147"/>
  <c r="EX609" i="147"/>
  <c r="EX610" i="147"/>
  <c r="EX611" i="147"/>
  <c r="EX612" i="147"/>
  <c r="EX613" i="147"/>
  <c r="EX614" i="147"/>
  <c r="EX615" i="147"/>
  <c r="EX616" i="147"/>
  <c r="EX617" i="147"/>
  <c r="EX618" i="147"/>
  <c r="EX619" i="147"/>
  <c r="EX620" i="147"/>
  <c r="EX621" i="147"/>
  <c r="EX622" i="147"/>
  <c r="EX623" i="147"/>
  <c r="EX624" i="147"/>
  <c r="EX625" i="147"/>
  <c r="EX626" i="147"/>
  <c r="EX627" i="147"/>
  <c r="EX628" i="147"/>
  <c r="EX629" i="147"/>
  <c r="EX631" i="147"/>
  <c r="EX632" i="147"/>
  <c r="EX633" i="147"/>
  <c r="EX634" i="147"/>
  <c r="EX635" i="147"/>
  <c r="EX636" i="147"/>
  <c r="EX637" i="147"/>
  <c r="EX638" i="147"/>
  <c r="EX639" i="147"/>
  <c r="EX640" i="147"/>
  <c r="EX641" i="147"/>
  <c r="EX642" i="147"/>
  <c r="EX643" i="147"/>
  <c r="EY17" i="147"/>
  <c r="O387" i="147"/>
  <c r="AN392" i="147"/>
  <c r="B394" i="147"/>
  <c r="AN394" i="147"/>
  <c r="CF394" i="147"/>
  <c r="AO397" i="147"/>
  <c r="CF1219" i="489"/>
  <c r="CF397" i="147"/>
  <c r="AG371" i="147"/>
  <c r="AG405" i="147"/>
  <c r="AJ406" i="147"/>
  <c r="AO406" i="147"/>
  <c r="BR1163" i="489"/>
  <c r="BR406" i="147"/>
  <c r="AE66" i="489"/>
  <c r="AE412" i="147"/>
  <c r="BR412" i="147"/>
  <c r="B413" i="147"/>
  <c r="AX1135" i="489"/>
  <c r="AX1144" i="489" s="1"/>
  <c r="AX1151" i="489" s="1"/>
  <c r="AX415" i="147"/>
  <c r="CT415" i="147"/>
  <c r="EY48" i="147"/>
  <c r="AN418" i="147"/>
  <c r="AO419" i="147"/>
  <c r="EY50" i="147"/>
  <c r="AO420" i="147"/>
  <c r="T371" i="147"/>
  <c r="T373" i="147" s="1"/>
  <c r="T421" i="147"/>
  <c r="Y1164" i="489"/>
  <c r="Y422" i="147"/>
  <c r="AH1164" i="489"/>
  <c r="AH1172" i="489" s="1"/>
  <c r="AH1179" i="489" s="1"/>
  <c r="AH422" i="147"/>
  <c r="AQ1164" i="489"/>
  <c r="AQ422" i="147"/>
  <c r="AX1164" i="489"/>
  <c r="AX1172" i="489" s="1"/>
  <c r="AX1179" i="489" s="1"/>
  <c r="AX422" i="147"/>
  <c r="CF1164" i="489"/>
  <c r="CF422" i="147"/>
  <c r="DC1164" i="489"/>
  <c r="DC422" i="147"/>
  <c r="AH424" i="147"/>
  <c r="AM424" i="147"/>
  <c r="DF424" i="147"/>
  <c r="AE425" i="147"/>
  <c r="AL425" i="147"/>
  <c r="AW425" i="147"/>
  <c r="BS425" i="147"/>
  <c r="CZ425" i="147"/>
  <c r="B1220" i="489"/>
  <c r="B432" i="147"/>
  <c r="AH432" i="147"/>
  <c r="AQ432" i="147"/>
  <c r="CF432" i="147"/>
  <c r="AH433" i="147"/>
  <c r="AQ433" i="147"/>
  <c r="CS1136" i="489"/>
  <c r="CS1144" i="489" s="1"/>
  <c r="CS1151" i="489" s="1"/>
  <c r="CS433" i="147"/>
  <c r="Y1248" i="489"/>
  <c r="Y442" i="147"/>
  <c r="AK1248" i="489"/>
  <c r="AK442" i="147"/>
  <c r="CA442" i="147"/>
  <c r="AH447" i="147"/>
  <c r="AQ447" i="147"/>
  <c r="CF996" i="489"/>
  <c r="CF447" i="147"/>
  <c r="DC447" i="147"/>
  <c r="B450" i="147"/>
  <c r="AK1024" i="489"/>
  <c r="AK1032" i="489" s="1"/>
  <c r="AK1039" i="489" s="1"/>
  <c r="AK450" i="147"/>
  <c r="CF1024" i="489"/>
  <c r="CF450" i="147"/>
  <c r="AE1052" i="489"/>
  <c r="AE1060" i="489" s="1"/>
  <c r="AE1067" i="489" s="1"/>
  <c r="AE458" i="147"/>
  <c r="BS1052" i="489"/>
  <c r="BS1060" i="489" s="1"/>
  <c r="BS1067" i="489" s="1"/>
  <c r="BS458" i="147"/>
  <c r="DC1052" i="489"/>
  <c r="DC458" i="147"/>
  <c r="AF478" i="147"/>
  <c r="AQ478" i="147"/>
  <c r="BS478" i="147"/>
  <c r="CQ478" i="147"/>
  <c r="CZ1250" i="489"/>
  <c r="CZ478" i="147"/>
  <c r="Y481" i="147"/>
  <c r="AH481" i="147"/>
  <c r="AQ481" i="147"/>
  <c r="BA481" i="147"/>
  <c r="CF481" i="147"/>
  <c r="DC481" i="147"/>
  <c r="U1125" i="489"/>
  <c r="U495" i="147"/>
  <c r="U506" i="147"/>
  <c r="BT506" i="147"/>
  <c r="DC506" i="147"/>
  <c r="Y1013" i="489"/>
  <c r="Y1022" i="489" s="1"/>
  <c r="Y512" i="147"/>
  <c r="CF1013" i="489"/>
  <c r="CF512" i="147"/>
  <c r="CZ1013" i="489"/>
  <c r="CZ512" i="147"/>
  <c r="U522" i="147"/>
  <c r="AE522" i="147"/>
  <c r="Y541" i="147"/>
  <c r="AU1221" i="489"/>
  <c r="AU541" i="147"/>
  <c r="AH555" i="147"/>
  <c r="Y557" i="147"/>
  <c r="DF557" i="147"/>
  <c r="B560" i="147"/>
  <c r="P560" i="147"/>
  <c r="AE560" i="147"/>
  <c r="DC560" i="147"/>
  <c r="M371" i="147"/>
  <c r="M373" i="147" s="1"/>
  <c r="M575" i="147"/>
  <c r="CF582" i="147"/>
  <c r="DF582" i="147"/>
  <c r="AZ371" i="147"/>
  <c r="AZ373" i="147" s="1"/>
  <c r="AZ594" i="147"/>
  <c r="V595" i="147"/>
  <c r="B596" i="147"/>
  <c r="CB596" i="147"/>
  <c r="AH601" i="147"/>
  <c r="BE371" i="147"/>
  <c r="BE373" i="147" s="1"/>
  <c r="BE637" i="147"/>
  <c r="BL371" i="147"/>
  <c r="BL373" i="147" s="1"/>
  <c r="BL641" i="147"/>
  <c r="DH371" i="147"/>
  <c r="DH373" i="147" s="1"/>
  <c r="EY294" i="147"/>
  <c r="K375" i="147"/>
  <c r="K376" i="147"/>
  <c r="K377" i="147"/>
  <c r="K378" i="147"/>
  <c r="K379" i="147"/>
  <c r="K380" i="147"/>
  <c r="K381" i="147"/>
  <c r="K382" i="147"/>
  <c r="K383" i="147"/>
  <c r="K384" i="147"/>
  <c r="K385" i="147"/>
  <c r="K386" i="147"/>
  <c r="K387" i="147"/>
  <c r="K388" i="147"/>
  <c r="K389" i="147"/>
  <c r="K390" i="147"/>
  <c r="K391" i="147"/>
  <c r="K392" i="147"/>
  <c r="K393" i="147"/>
  <c r="K394" i="147"/>
  <c r="K395" i="147"/>
  <c r="K396" i="147"/>
  <c r="K397" i="147"/>
  <c r="K398" i="147"/>
  <c r="K399" i="147"/>
  <c r="K400" i="147"/>
  <c r="K401" i="147"/>
  <c r="K402" i="147"/>
  <c r="K403" i="147"/>
  <c r="K404" i="147"/>
  <c r="K405" i="147"/>
  <c r="K406" i="147"/>
  <c r="K407" i="147"/>
  <c r="K408" i="147"/>
  <c r="K409" i="147"/>
  <c r="K410" i="147"/>
  <c r="K411" i="147"/>
  <c r="K412" i="147"/>
  <c r="K413" i="147"/>
  <c r="K414" i="147"/>
  <c r="K415" i="147"/>
  <c r="K416" i="147"/>
  <c r="K417" i="147"/>
  <c r="K418" i="147"/>
  <c r="K419" i="147"/>
  <c r="K420" i="147"/>
  <c r="K421" i="147"/>
  <c r="K422" i="147"/>
  <c r="K423" i="147"/>
  <c r="K424" i="147"/>
  <c r="K425" i="147"/>
  <c r="K426" i="147"/>
  <c r="K427" i="147"/>
  <c r="K428" i="147"/>
  <c r="K429" i="147"/>
  <c r="K430" i="147"/>
  <c r="K431" i="147"/>
  <c r="K432" i="147"/>
  <c r="K433" i="147"/>
  <c r="K434" i="147"/>
  <c r="K435" i="147"/>
  <c r="K436" i="147"/>
  <c r="K437" i="147"/>
  <c r="K438" i="147"/>
  <c r="K439" i="147"/>
  <c r="K446" i="147"/>
  <c r="K447" i="147"/>
  <c r="K448" i="147"/>
  <c r="K449" i="147"/>
  <c r="K450" i="147"/>
  <c r="K451" i="147"/>
  <c r="K452" i="147"/>
  <c r="K453" i="147"/>
  <c r="K454" i="147"/>
  <c r="K455" i="147"/>
  <c r="K456" i="147"/>
  <c r="K457" i="147"/>
  <c r="K458" i="147"/>
  <c r="K440" i="147"/>
  <c r="K441" i="147"/>
  <c r="K442" i="147"/>
  <c r="K443" i="147"/>
  <c r="K444" i="147"/>
  <c r="K445" i="147"/>
  <c r="K459" i="147"/>
  <c r="K460" i="147"/>
  <c r="K461" i="147"/>
  <c r="K462" i="147"/>
  <c r="K463" i="147"/>
  <c r="K464" i="147"/>
  <c r="K465" i="147"/>
  <c r="K466" i="147"/>
  <c r="K467" i="147"/>
  <c r="K468" i="147"/>
  <c r="K469" i="147"/>
  <c r="K470" i="147"/>
  <c r="K471" i="147"/>
  <c r="K472" i="147"/>
  <c r="K473" i="147"/>
  <c r="K474" i="147"/>
  <c r="K475" i="147"/>
  <c r="K476" i="147"/>
  <c r="K477" i="147"/>
  <c r="K478" i="147"/>
  <c r="K479" i="147"/>
  <c r="K480" i="147"/>
  <c r="K481" i="147"/>
  <c r="K482" i="147"/>
  <c r="K483" i="147"/>
  <c r="K484" i="147"/>
  <c r="K485" i="147"/>
  <c r="K486" i="147"/>
  <c r="K487" i="147"/>
  <c r="K488" i="147"/>
  <c r="K489" i="147"/>
  <c r="K490" i="147"/>
  <c r="K491" i="147"/>
  <c r="K492" i="147"/>
  <c r="K493" i="147"/>
  <c r="K494" i="147"/>
  <c r="K495" i="147"/>
  <c r="K496" i="147"/>
  <c r="K497" i="147"/>
  <c r="K498" i="147"/>
  <c r="K499" i="147"/>
  <c r="K500" i="147"/>
  <c r="K501" i="147"/>
  <c r="K502" i="147"/>
  <c r="K503" i="147"/>
  <c r="K504" i="147"/>
  <c r="K505" i="147"/>
  <c r="K506" i="147"/>
  <c r="K507" i="147"/>
  <c r="K508" i="147"/>
  <c r="K509" i="147"/>
  <c r="K510" i="147"/>
  <c r="K511" i="147"/>
  <c r="K512" i="147"/>
  <c r="K513" i="147"/>
  <c r="K514" i="147"/>
  <c r="K515" i="147"/>
  <c r="K516" i="147"/>
  <c r="K517" i="147"/>
  <c r="K518" i="147"/>
  <c r="K519" i="147"/>
  <c r="K520" i="147"/>
  <c r="K521" i="147"/>
  <c r="K522" i="147"/>
  <c r="K523" i="147"/>
  <c r="K524" i="147"/>
  <c r="K525" i="147"/>
  <c r="K526" i="147"/>
  <c r="K527" i="147"/>
  <c r="K528" i="147"/>
  <c r="K529" i="147"/>
  <c r="K530" i="147"/>
  <c r="K531" i="147"/>
  <c r="K532" i="147"/>
  <c r="K533" i="147"/>
  <c r="K534" i="147"/>
  <c r="K535" i="147"/>
  <c r="K536" i="147"/>
  <c r="K537" i="147"/>
  <c r="K538" i="147"/>
  <c r="K539" i="147"/>
  <c r="K540" i="147"/>
  <c r="K541" i="147"/>
  <c r="K542" i="147"/>
  <c r="K543" i="147"/>
  <c r="K544" i="147"/>
  <c r="K545" i="147"/>
  <c r="K546" i="147"/>
  <c r="K547" i="147"/>
  <c r="K548" i="147"/>
  <c r="K549" i="147"/>
  <c r="K550" i="147"/>
  <c r="K551" i="147"/>
  <c r="K552" i="147"/>
  <c r="K553" i="147"/>
  <c r="K554" i="147"/>
  <c r="K555" i="147"/>
  <c r="K556" i="147"/>
  <c r="K557" i="147"/>
  <c r="K558" i="147"/>
  <c r="K559" i="147"/>
  <c r="K560" i="147"/>
  <c r="K561" i="147"/>
  <c r="K562" i="147"/>
  <c r="K563" i="147"/>
  <c r="K564" i="147"/>
  <c r="K565" i="147"/>
  <c r="K566" i="147"/>
  <c r="K568" i="147"/>
  <c r="K569" i="147"/>
  <c r="K570" i="147"/>
  <c r="K571" i="147"/>
  <c r="K572" i="147"/>
  <c r="K573" i="147"/>
  <c r="K575" i="147"/>
  <c r="K577" i="147"/>
  <c r="K579" i="147"/>
  <c r="K580" i="147"/>
  <c r="K582" i="147"/>
  <c r="K584" i="147"/>
  <c r="K585" i="147"/>
  <c r="K587" i="147"/>
  <c r="K588" i="147"/>
  <c r="K589" i="147"/>
  <c r="K590" i="147"/>
  <c r="K592" i="147"/>
  <c r="K594" i="147"/>
  <c r="K595" i="147"/>
  <c r="K596" i="147"/>
  <c r="K597" i="147"/>
  <c r="K598" i="147"/>
  <c r="K600" i="147"/>
  <c r="K601" i="147"/>
  <c r="K602" i="147"/>
  <c r="K603" i="147"/>
  <c r="K604" i="147"/>
  <c r="K605" i="147"/>
  <c r="K606" i="147"/>
  <c r="K607" i="147"/>
  <c r="K608" i="147"/>
  <c r="K609" i="147"/>
  <c r="K610" i="147"/>
  <c r="K611" i="147"/>
  <c r="K612" i="147"/>
  <c r="K613" i="147"/>
  <c r="K614" i="147"/>
  <c r="K615" i="147"/>
  <c r="K616" i="147"/>
  <c r="K617" i="147"/>
  <c r="K618" i="147"/>
  <c r="K619" i="147"/>
  <c r="K620" i="147"/>
  <c r="K621" i="147"/>
  <c r="K622" i="147"/>
  <c r="K623" i="147"/>
  <c r="K624" i="147"/>
  <c r="K625" i="147"/>
  <c r="K626" i="147"/>
  <c r="K627" i="147"/>
  <c r="K628" i="147"/>
  <c r="K629" i="147"/>
  <c r="K631" i="147"/>
  <c r="K632" i="147"/>
  <c r="K633" i="147"/>
  <c r="K634" i="147"/>
  <c r="K635" i="147"/>
  <c r="K636" i="147"/>
  <c r="K637" i="147"/>
  <c r="K638" i="147"/>
  <c r="K639" i="147"/>
  <c r="K640" i="147"/>
  <c r="K641" i="147"/>
  <c r="K642" i="147"/>
  <c r="K643" i="147"/>
  <c r="M375" i="147"/>
  <c r="M379" i="147"/>
  <c r="M380" i="147"/>
  <c r="M381" i="147"/>
  <c r="M382" i="147"/>
  <c r="M383" i="147"/>
  <c r="M384" i="147"/>
  <c r="M385" i="147"/>
  <c r="M386" i="147"/>
  <c r="M376" i="147"/>
  <c r="M377" i="147"/>
  <c r="M378" i="147"/>
  <c r="M387" i="147"/>
  <c r="M388" i="147"/>
  <c r="M389" i="147"/>
  <c r="M390" i="147"/>
  <c r="M391" i="147"/>
  <c r="M392" i="147"/>
  <c r="M393" i="147"/>
  <c r="M394" i="147"/>
  <c r="M395" i="147"/>
  <c r="M396" i="147"/>
  <c r="M397" i="147"/>
  <c r="M398" i="147"/>
  <c r="M399" i="147"/>
  <c r="M400" i="147"/>
  <c r="M401" i="147"/>
  <c r="M402" i="147"/>
  <c r="M403" i="147"/>
  <c r="M404" i="147"/>
  <c r="M405" i="147"/>
  <c r="M406" i="147"/>
  <c r="M407" i="147"/>
  <c r="M408" i="147"/>
  <c r="M409" i="147"/>
  <c r="M410" i="147"/>
  <c r="M411" i="147"/>
  <c r="M412" i="147"/>
  <c r="M413" i="147"/>
  <c r="M414" i="147"/>
  <c r="M415" i="147"/>
  <c r="M416" i="147"/>
  <c r="M417" i="147"/>
  <c r="M429" i="147"/>
  <c r="M430" i="147"/>
  <c r="M431" i="147"/>
  <c r="M432" i="147"/>
  <c r="M433" i="147"/>
  <c r="M418" i="147"/>
  <c r="M419" i="147"/>
  <c r="M420" i="147"/>
  <c r="M421" i="147"/>
  <c r="M422" i="147"/>
  <c r="M423" i="147"/>
  <c r="M424" i="147"/>
  <c r="M425" i="147"/>
  <c r="M426" i="147"/>
  <c r="M427" i="147"/>
  <c r="M428" i="147"/>
  <c r="M440" i="147"/>
  <c r="M441" i="147"/>
  <c r="M442" i="147"/>
  <c r="M443" i="147"/>
  <c r="M444" i="147"/>
  <c r="M445" i="147"/>
  <c r="M446" i="147"/>
  <c r="M447" i="147"/>
  <c r="M448" i="147"/>
  <c r="M449" i="147"/>
  <c r="M450" i="147"/>
  <c r="M451" i="147"/>
  <c r="M452" i="147"/>
  <c r="M453" i="147"/>
  <c r="M454" i="147"/>
  <c r="M455" i="147"/>
  <c r="M456" i="147"/>
  <c r="M457" i="147"/>
  <c r="M458" i="147"/>
  <c r="M434" i="147"/>
  <c r="M435" i="147"/>
  <c r="M436" i="147"/>
  <c r="M437" i="147"/>
  <c r="M438" i="147"/>
  <c r="M439" i="147"/>
  <c r="M459" i="147"/>
  <c r="M460" i="147"/>
  <c r="M461" i="147"/>
  <c r="M462" i="147"/>
  <c r="M463" i="147"/>
  <c r="M464" i="147"/>
  <c r="M465" i="147"/>
  <c r="M466" i="147"/>
  <c r="M467" i="147"/>
  <c r="M468" i="147"/>
  <c r="M469" i="147"/>
  <c r="M470" i="147"/>
  <c r="M471" i="147"/>
  <c r="M472" i="147"/>
  <c r="M473" i="147"/>
  <c r="M474" i="147"/>
  <c r="M475" i="147"/>
  <c r="M476" i="147"/>
  <c r="M477" i="147"/>
  <c r="M478" i="147"/>
  <c r="M479" i="147"/>
  <c r="M480" i="147"/>
  <c r="M481" i="147"/>
  <c r="M482" i="147"/>
  <c r="M483" i="147"/>
  <c r="M484" i="147"/>
  <c r="M485" i="147"/>
  <c r="M486" i="147"/>
  <c r="M487" i="147"/>
  <c r="M488" i="147"/>
  <c r="M489" i="147"/>
  <c r="M490" i="147"/>
  <c r="M491" i="147"/>
  <c r="M492" i="147"/>
  <c r="M493" i="147"/>
  <c r="M494" i="147"/>
  <c r="M495" i="147"/>
  <c r="M496" i="147"/>
  <c r="M497" i="147"/>
  <c r="M498" i="147"/>
  <c r="M499" i="147"/>
  <c r="M500" i="147"/>
  <c r="M501" i="147"/>
  <c r="M502" i="147"/>
  <c r="M503" i="147"/>
  <c r="M504" i="147"/>
  <c r="M505" i="147"/>
  <c r="M506" i="147"/>
  <c r="M507" i="147"/>
  <c r="M508" i="147"/>
  <c r="M509" i="147"/>
  <c r="M510" i="147"/>
  <c r="M511" i="147"/>
  <c r="M512" i="147"/>
  <c r="M513" i="147"/>
  <c r="M514" i="147"/>
  <c r="M515" i="147"/>
  <c r="M516" i="147"/>
  <c r="M517" i="147"/>
  <c r="M518" i="147"/>
  <c r="M519" i="147"/>
  <c r="M520" i="147"/>
  <c r="M521" i="147"/>
  <c r="M522" i="147"/>
  <c r="M523" i="147"/>
  <c r="M524" i="147"/>
  <c r="M525" i="147"/>
  <c r="M526" i="147"/>
  <c r="M527" i="147"/>
  <c r="M528" i="147"/>
  <c r="M529" i="147"/>
  <c r="M530" i="147"/>
  <c r="M531" i="147"/>
  <c r="M532" i="147"/>
  <c r="M533" i="147"/>
  <c r="M534" i="147"/>
  <c r="M535" i="147"/>
  <c r="M536" i="147"/>
  <c r="M537" i="147"/>
  <c r="M538" i="147"/>
  <c r="M539" i="147"/>
  <c r="M540" i="147"/>
  <c r="M541" i="147"/>
  <c r="M542" i="147"/>
  <c r="M543" i="147"/>
  <c r="M544" i="147"/>
  <c r="M545" i="147"/>
  <c r="M546" i="147"/>
  <c r="M547" i="147"/>
  <c r="M548" i="147"/>
  <c r="M549" i="147"/>
  <c r="M550" i="147"/>
  <c r="M551" i="147"/>
  <c r="M552" i="147"/>
  <c r="M553" i="147"/>
  <c r="M554" i="147"/>
  <c r="M555" i="147"/>
  <c r="M556" i="147"/>
  <c r="M557" i="147"/>
  <c r="M558" i="147"/>
  <c r="M559" i="147"/>
  <c r="M560" i="147"/>
  <c r="M561" i="147"/>
  <c r="M562" i="147"/>
  <c r="M563" i="147"/>
  <c r="M564" i="147"/>
  <c r="M565" i="147"/>
  <c r="M566" i="147"/>
  <c r="M568" i="147"/>
  <c r="M569" i="147"/>
  <c r="M570" i="147"/>
  <c r="M571" i="147"/>
  <c r="M572" i="147"/>
  <c r="M573" i="147"/>
  <c r="M574" i="147"/>
  <c r="M576" i="147"/>
  <c r="M577" i="147"/>
  <c r="M578" i="147"/>
  <c r="M579" i="147"/>
  <c r="M580" i="147"/>
  <c r="M581" i="147"/>
  <c r="M582" i="147"/>
  <c r="M583" i="147"/>
  <c r="M584" i="147"/>
  <c r="M585" i="147"/>
  <c r="M586" i="147"/>
  <c r="M587" i="147"/>
  <c r="M588" i="147"/>
  <c r="M590" i="147"/>
  <c r="M591" i="147"/>
  <c r="M592" i="147"/>
  <c r="M593" i="147"/>
  <c r="M594" i="147"/>
  <c r="M595" i="147"/>
  <c r="M596" i="147"/>
  <c r="M597" i="147"/>
  <c r="M598" i="147"/>
  <c r="M600" i="147"/>
  <c r="M601" i="147"/>
  <c r="M602" i="147"/>
  <c r="M603" i="147"/>
  <c r="M604" i="147"/>
  <c r="M605" i="147"/>
  <c r="M606" i="147"/>
  <c r="M607" i="147"/>
  <c r="M608" i="147"/>
  <c r="M609" i="147"/>
  <c r="M610" i="147"/>
  <c r="M611" i="147"/>
  <c r="M612" i="147"/>
  <c r="M613" i="147"/>
  <c r="M614" i="147"/>
  <c r="M615" i="147"/>
  <c r="M616" i="147"/>
  <c r="M617" i="147"/>
  <c r="M618" i="147"/>
  <c r="M619" i="147"/>
  <c r="M620" i="147"/>
  <c r="M621" i="147"/>
  <c r="M622" i="147"/>
  <c r="M623" i="147"/>
  <c r="M624" i="147"/>
  <c r="M625" i="147"/>
  <c r="M626" i="147"/>
  <c r="M627" i="147"/>
  <c r="M628" i="147"/>
  <c r="M629" i="147"/>
  <c r="M631" i="147"/>
  <c r="M632" i="147"/>
  <c r="M633" i="147"/>
  <c r="M634" i="147"/>
  <c r="M635" i="147"/>
  <c r="M636" i="147"/>
  <c r="M637" i="147"/>
  <c r="M638" i="147"/>
  <c r="M639" i="147"/>
  <c r="M640" i="147"/>
  <c r="M641" i="147"/>
  <c r="M642" i="147"/>
  <c r="M643" i="147"/>
  <c r="M589" i="147"/>
  <c r="O376" i="147"/>
  <c r="O377" i="147"/>
  <c r="O379" i="147"/>
  <c r="O381" i="147"/>
  <c r="O382" i="147"/>
  <c r="O383" i="147"/>
  <c r="O384" i="147"/>
  <c r="O385" i="147"/>
  <c r="O386" i="147"/>
  <c r="O375" i="147"/>
  <c r="O388" i="147"/>
  <c r="O389" i="147"/>
  <c r="O390" i="147"/>
  <c r="O391" i="147"/>
  <c r="O392" i="147"/>
  <c r="O393" i="147"/>
  <c r="O394" i="147"/>
  <c r="O395" i="147"/>
  <c r="O396" i="147"/>
  <c r="O397" i="147"/>
  <c r="O398" i="147"/>
  <c r="O399" i="147"/>
  <c r="O400" i="147"/>
  <c r="O401" i="147"/>
  <c r="O402" i="147"/>
  <c r="O403" i="147"/>
  <c r="O404" i="147"/>
  <c r="O405" i="147"/>
  <c r="O406" i="147"/>
  <c r="O407" i="147"/>
  <c r="O408" i="147"/>
  <c r="O409" i="147"/>
  <c r="O410" i="147"/>
  <c r="O411" i="147"/>
  <c r="O412" i="147"/>
  <c r="O413" i="147"/>
  <c r="O414" i="147"/>
  <c r="O415" i="147"/>
  <c r="O416" i="147"/>
  <c r="O417" i="147"/>
  <c r="O418" i="147"/>
  <c r="O419" i="147"/>
  <c r="O420" i="147"/>
  <c r="O421" i="147"/>
  <c r="O422" i="147"/>
  <c r="O423" i="147"/>
  <c r="O424" i="147"/>
  <c r="O425" i="147"/>
  <c r="O426" i="147"/>
  <c r="O427" i="147"/>
  <c r="O428" i="147"/>
  <c r="O429" i="147"/>
  <c r="O430" i="147"/>
  <c r="O431" i="147"/>
  <c r="O432" i="147"/>
  <c r="O433" i="147"/>
  <c r="O434" i="147"/>
  <c r="O435" i="147"/>
  <c r="O436" i="147"/>
  <c r="O437" i="147"/>
  <c r="O438" i="147"/>
  <c r="O439" i="147"/>
  <c r="O446" i="147"/>
  <c r="O447" i="147"/>
  <c r="O448" i="147"/>
  <c r="O449" i="147"/>
  <c r="O450" i="147"/>
  <c r="O451" i="147"/>
  <c r="O452" i="147"/>
  <c r="O453" i="147"/>
  <c r="O454" i="147"/>
  <c r="O455" i="147"/>
  <c r="O456" i="147"/>
  <c r="O457" i="147"/>
  <c r="O458" i="147"/>
  <c r="O440" i="147"/>
  <c r="O441" i="147"/>
  <c r="O442" i="147"/>
  <c r="O443" i="147"/>
  <c r="O444" i="147"/>
  <c r="O445" i="147"/>
  <c r="O459" i="147"/>
  <c r="O460" i="147"/>
  <c r="O461" i="147"/>
  <c r="O462" i="147"/>
  <c r="O463" i="147"/>
  <c r="O464" i="147"/>
  <c r="O465" i="147"/>
  <c r="O466" i="147"/>
  <c r="O467" i="147"/>
  <c r="O468" i="147"/>
  <c r="O469" i="147"/>
  <c r="O470" i="147"/>
  <c r="O471" i="147"/>
  <c r="O472" i="147"/>
  <c r="O473" i="147"/>
  <c r="O474" i="147"/>
  <c r="O475" i="147"/>
  <c r="O476" i="147"/>
  <c r="O477" i="147"/>
  <c r="O478" i="147"/>
  <c r="O479" i="147"/>
  <c r="O480" i="147"/>
  <c r="O481" i="147"/>
  <c r="O482" i="147"/>
  <c r="O483" i="147"/>
  <c r="O484" i="147"/>
  <c r="O485" i="147"/>
  <c r="O486" i="147"/>
  <c r="O487" i="147"/>
  <c r="O488" i="147"/>
  <c r="O489" i="147"/>
  <c r="O490" i="147"/>
  <c r="O491" i="147"/>
  <c r="O492" i="147"/>
  <c r="O493" i="147"/>
  <c r="O494" i="147"/>
  <c r="O495" i="147"/>
  <c r="O496" i="147"/>
  <c r="O497" i="147"/>
  <c r="O498" i="147"/>
  <c r="O499" i="147"/>
  <c r="O500" i="147"/>
  <c r="O501" i="147"/>
  <c r="O502" i="147"/>
  <c r="O503" i="147"/>
  <c r="O504" i="147"/>
  <c r="O505" i="147"/>
  <c r="O506" i="147"/>
  <c r="O507" i="147"/>
  <c r="O508" i="147"/>
  <c r="O509" i="147"/>
  <c r="O510" i="147"/>
  <c r="O511" i="147"/>
  <c r="O512" i="147"/>
  <c r="O513" i="147"/>
  <c r="O514" i="147"/>
  <c r="O515" i="147"/>
  <c r="O516" i="147"/>
  <c r="O517" i="147"/>
  <c r="O518" i="147"/>
  <c r="O519" i="147"/>
  <c r="O520" i="147"/>
  <c r="O521" i="147"/>
  <c r="O522" i="147"/>
  <c r="O523" i="147"/>
  <c r="O524" i="147"/>
  <c r="O525" i="147"/>
  <c r="O526" i="147"/>
  <c r="O527" i="147"/>
  <c r="O528" i="147"/>
  <c r="O529" i="147"/>
  <c r="O530" i="147"/>
  <c r="O531" i="147"/>
  <c r="O532" i="147"/>
  <c r="O533" i="147"/>
  <c r="O534" i="147"/>
  <c r="O535" i="147"/>
  <c r="O536" i="147"/>
  <c r="O537" i="147"/>
  <c r="O538" i="147"/>
  <c r="O539" i="147"/>
  <c r="O540" i="147"/>
  <c r="O541" i="147"/>
  <c r="O542" i="147"/>
  <c r="O543" i="147"/>
  <c r="O544" i="147"/>
  <c r="O545" i="147"/>
  <c r="O546" i="147"/>
  <c r="O547" i="147"/>
  <c r="O548" i="147"/>
  <c r="O549" i="147"/>
  <c r="O550" i="147"/>
  <c r="O551" i="147"/>
  <c r="O552" i="147"/>
  <c r="O553" i="147"/>
  <c r="O554" i="147"/>
  <c r="O555" i="147"/>
  <c r="O556" i="147"/>
  <c r="O557" i="147"/>
  <c r="O558" i="147"/>
  <c r="O559" i="147"/>
  <c r="O560" i="147"/>
  <c r="O561" i="147"/>
  <c r="O562" i="147"/>
  <c r="O563" i="147"/>
  <c r="O564" i="147"/>
  <c r="O565" i="147"/>
  <c r="O566" i="147"/>
  <c r="O568" i="147"/>
  <c r="O569" i="147"/>
  <c r="O570" i="147"/>
  <c r="O571" i="147"/>
  <c r="O572" i="147"/>
  <c r="O573" i="147"/>
  <c r="O574" i="147"/>
  <c r="O575" i="147"/>
  <c r="O576" i="147"/>
  <c r="O577" i="147"/>
  <c r="O578" i="147"/>
  <c r="O579" i="147"/>
  <c r="O580" i="147"/>
  <c r="O581" i="147"/>
  <c r="O582" i="147"/>
  <c r="O583" i="147"/>
  <c r="O584" i="147"/>
  <c r="O585" i="147"/>
  <c r="O586" i="147"/>
  <c r="O587" i="147"/>
  <c r="O588" i="147"/>
  <c r="O589" i="147"/>
  <c r="O590" i="147"/>
  <c r="O591" i="147"/>
  <c r="O592" i="147"/>
  <c r="O593" i="147"/>
  <c r="O594" i="147"/>
  <c r="O595" i="147"/>
  <c r="O596" i="147"/>
  <c r="O597" i="147"/>
  <c r="O598" i="147"/>
  <c r="O600" i="147"/>
  <c r="O601" i="147"/>
  <c r="O602" i="147"/>
  <c r="O603" i="147"/>
  <c r="O604" i="147"/>
  <c r="O605" i="147"/>
  <c r="O606" i="147"/>
  <c r="O607" i="147"/>
  <c r="O608" i="147"/>
  <c r="O609" i="147"/>
  <c r="O610" i="147"/>
  <c r="O611" i="147"/>
  <c r="O612" i="147"/>
  <c r="O613" i="147"/>
  <c r="O614" i="147"/>
  <c r="O615" i="147"/>
  <c r="O616" i="147"/>
  <c r="O617" i="147"/>
  <c r="O618" i="147"/>
  <c r="O619" i="147"/>
  <c r="O620" i="147"/>
  <c r="O621" i="147"/>
  <c r="O622" i="147"/>
  <c r="O623" i="147"/>
  <c r="O624" i="147"/>
  <c r="O625" i="147"/>
  <c r="O626" i="147"/>
  <c r="O627" i="147"/>
  <c r="O628" i="147"/>
  <c r="O629" i="147"/>
  <c r="O631" i="147"/>
  <c r="O632" i="147"/>
  <c r="O633" i="147"/>
  <c r="O634" i="147"/>
  <c r="O635" i="147"/>
  <c r="O636" i="147"/>
  <c r="O637" i="147"/>
  <c r="O638" i="147"/>
  <c r="O639" i="147"/>
  <c r="O640" i="147"/>
  <c r="O641" i="147"/>
  <c r="O642" i="147"/>
  <c r="O643" i="147"/>
  <c r="Q375" i="147"/>
  <c r="Q379" i="147"/>
  <c r="Q380" i="147"/>
  <c r="Q381" i="147"/>
  <c r="Q382" i="147"/>
  <c r="Q383" i="147"/>
  <c r="Q384" i="147"/>
  <c r="Q385" i="147"/>
  <c r="Q386" i="147"/>
  <c r="Q387" i="147"/>
  <c r="Q388" i="147"/>
  <c r="Q389" i="147"/>
  <c r="Q390" i="147"/>
  <c r="Q391" i="147"/>
  <c r="Q392" i="147"/>
  <c r="Q393" i="147"/>
  <c r="Q394" i="147"/>
  <c r="Q395" i="147"/>
  <c r="Q396" i="147"/>
  <c r="Q397" i="147"/>
  <c r="Q398" i="147"/>
  <c r="Q399" i="147"/>
  <c r="Q400" i="147"/>
  <c r="Q377" i="147"/>
  <c r="Q376" i="147"/>
  <c r="Q378" i="147"/>
  <c r="Q401" i="147"/>
  <c r="Q402" i="147"/>
  <c r="Q403" i="147"/>
  <c r="Q404" i="147"/>
  <c r="Q405" i="147"/>
  <c r="Q406" i="147"/>
  <c r="Q407" i="147"/>
  <c r="Q408" i="147"/>
  <c r="Q409" i="147"/>
  <c r="Q410" i="147"/>
  <c r="Q411" i="147"/>
  <c r="Q412" i="147"/>
  <c r="Q413" i="147"/>
  <c r="Q414" i="147"/>
  <c r="Q415" i="147"/>
  <c r="Q416" i="147"/>
  <c r="Q417" i="147"/>
  <c r="Q418" i="147"/>
  <c r="Q419" i="147"/>
  <c r="Q420" i="147"/>
  <c r="Q421" i="147"/>
  <c r="Q422" i="147"/>
  <c r="Q423" i="147"/>
  <c r="Q424" i="147"/>
  <c r="Q425" i="147"/>
  <c r="Q426" i="147"/>
  <c r="Q427" i="147"/>
  <c r="Q428" i="147"/>
  <c r="Q429" i="147"/>
  <c r="Q430" i="147"/>
  <c r="Q431" i="147"/>
  <c r="Q432" i="147"/>
  <c r="Q433" i="147"/>
  <c r="Q434" i="147"/>
  <c r="Q435" i="147"/>
  <c r="Q436" i="147"/>
  <c r="Q437" i="147"/>
  <c r="Q438" i="147"/>
  <c r="Q439" i="147"/>
  <c r="Q440" i="147"/>
  <c r="Q441" i="147"/>
  <c r="Q442" i="147"/>
  <c r="Q443" i="147"/>
  <c r="Q444" i="147"/>
  <c r="Q445" i="147"/>
  <c r="Q446" i="147"/>
  <c r="Q447" i="147"/>
  <c r="Q448" i="147"/>
  <c r="Q449" i="147"/>
  <c r="Q450" i="147"/>
  <c r="Q451" i="147"/>
  <c r="Q452" i="147"/>
  <c r="Q455" i="147"/>
  <c r="Q456" i="147"/>
  <c r="Q457" i="147"/>
  <c r="Q458" i="147"/>
  <c r="Q459" i="147"/>
  <c r="Q460" i="147"/>
  <c r="Q461" i="147"/>
  <c r="Q462" i="147"/>
  <c r="Q463" i="147"/>
  <c r="Q464" i="147"/>
  <c r="Q465" i="147"/>
  <c r="Q466" i="147"/>
  <c r="Q467" i="147"/>
  <c r="Q468" i="147"/>
  <c r="Q469" i="147"/>
  <c r="Q470" i="147"/>
  <c r="Q471" i="147"/>
  <c r="Q472" i="147"/>
  <c r="Q473" i="147"/>
  <c r="Q474" i="147"/>
  <c r="Q475" i="147"/>
  <c r="Q476" i="147"/>
  <c r="Q477" i="147"/>
  <c r="Q478" i="147"/>
  <c r="Q479" i="147"/>
  <c r="Q480" i="147"/>
  <c r="Q481" i="147"/>
  <c r="Q482" i="147"/>
  <c r="Q483" i="147"/>
  <c r="Q484" i="147"/>
  <c r="Q485" i="147"/>
  <c r="Q486" i="147"/>
  <c r="Q487" i="147"/>
  <c r="Q488" i="147"/>
  <c r="Q489" i="147"/>
  <c r="Q490" i="147"/>
  <c r="Q491" i="147"/>
  <c r="Q492" i="147"/>
  <c r="Q493" i="147"/>
  <c r="Q494" i="147"/>
  <c r="Q495" i="147"/>
  <c r="Q496" i="147"/>
  <c r="Q497" i="147"/>
  <c r="Q498" i="147"/>
  <c r="Q499" i="147"/>
  <c r="Q500" i="147"/>
  <c r="Q501" i="147"/>
  <c r="Q502" i="147"/>
  <c r="Q503" i="147"/>
  <c r="Q504" i="147"/>
  <c r="Q505" i="147"/>
  <c r="Q506" i="147"/>
  <c r="Q507" i="147"/>
  <c r="Q508" i="147"/>
  <c r="Q509" i="147"/>
  <c r="Q510" i="147"/>
  <c r="Q511" i="147"/>
  <c r="Q512" i="147"/>
  <c r="Q513" i="147"/>
  <c r="Q514" i="147"/>
  <c r="Q515" i="147"/>
  <c r="Q516" i="147"/>
  <c r="Q517" i="147"/>
  <c r="Q518" i="147"/>
  <c r="Q519" i="147"/>
  <c r="Q520" i="147"/>
  <c r="Q521" i="147"/>
  <c r="Q522" i="147"/>
  <c r="Q523" i="147"/>
  <c r="Q524" i="147"/>
  <c r="Q525" i="147"/>
  <c r="Q526" i="147"/>
  <c r="Q527" i="147"/>
  <c r="Q528" i="147"/>
  <c r="Q529" i="147"/>
  <c r="Q530" i="147"/>
  <c r="Q533" i="147"/>
  <c r="Q534" i="147"/>
  <c r="Q537" i="147"/>
  <c r="Q538" i="147"/>
  <c r="Q539" i="147"/>
  <c r="Q540" i="147"/>
  <c r="Q541" i="147"/>
  <c r="Q542" i="147"/>
  <c r="Q543" i="147"/>
  <c r="Q544" i="147"/>
  <c r="Q545" i="147"/>
  <c r="Q546" i="147"/>
  <c r="Q547" i="147"/>
  <c r="Q548" i="147"/>
  <c r="Q549" i="147"/>
  <c r="Q550" i="147"/>
  <c r="Q551" i="147"/>
  <c r="Q552" i="147"/>
  <c r="Q553" i="147"/>
  <c r="Q554" i="147"/>
  <c r="Q555" i="147"/>
  <c r="Q556" i="147"/>
  <c r="Q557" i="147"/>
  <c r="Q558" i="147"/>
  <c r="Q559" i="147"/>
  <c r="Q560" i="147"/>
  <c r="Q561" i="147"/>
  <c r="Q562" i="147"/>
  <c r="Q563" i="147"/>
  <c r="Q564" i="147"/>
  <c r="Q565" i="147"/>
  <c r="Q566" i="147"/>
  <c r="Q568" i="147"/>
  <c r="Q569" i="147"/>
  <c r="Q570" i="147"/>
  <c r="Q571" i="147"/>
  <c r="Q572" i="147"/>
  <c r="Q573" i="147"/>
  <c r="Q574" i="147"/>
  <c r="Q575" i="147"/>
  <c r="Q576" i="147"/>
  <c r="Q577" i="147"/>
  <c r="Q578" i="147"/>
  <c r="Q579" i="147"/>
  <c r="Q580" i="147"/>
  <c r="Q581" i="147"/>
  <c r="Q582" i="147"/>
  <c r="Q583" i="147"/>
  <c r="Q584" i="147"/>
  <c r="Q585" i="147"/>
  <c r="Q586" i="147"/>
  <c r="Q587" i="147"/>
  <c r="Q588" i="147"/>
  <c r="Q589" i="147"/>
  <c r="Q590" i="147"/>
  <c r="Q591" i="147"/>
  <c r="Q592" i="147"/>
  <c r="Q593" i="147"/>
  <c r="Q594" i="147"/>
  <c r="Q595" i="147"/>
  <c r="Q596" i="147"/>
  <c r="Q597" i="147"/>
  <c r="Q598" i="147"/>
  <c r="Q600" i="147"/>
  <c r="Q601" i="147"/>
  <c r="Q602" i="147"/>
  <c r="Q603" i="147"/>
  <c r="Q604" i="147"/>
  <c r="Q605" i="147"/>
  <c r="Q606" i="147"/>
  <c r="Q607" i="147"/>
  <c r="Q608" i="147"/>
  <c r="Q609" i="147"/>
  <c r="Q610" i="147"/>
  <c r="Q611" i="147"/>
  <c r="Q612" i="147"/>
  <c r="Q613" i="147"/>
  <c r="Q614" i="147"/>
  <c r="Q615" i="147"/>
  <c r="Q616" i="147"/>
  <c r="Q617" i="147"/>
  <c r="Q618" i="147"/>
  <c r="Q619" i="147"/>
  <c r="Q620" i="147"/>
  <c r="Q621" i="147"/>
  <c r="Q622" i="147"/>
  <c r="Q623" i="147"/>
  <c r="Q624" i="147"/>
  <c r="Q625" i="147"/>
  <c r="Q626" i="147"/>
  <c r="Q627" i="147"/>
  <c r="Q628" i="147"/>
  <c r="Q629" i="147"/>
  <c r="Q631" i="147"/>
  <c r="Q632" i="147"/>
  <c r="Q633" i="147"/>
  <c r="Q634" i="147"/>
  <c r="Q635" i="147"/>
  <c r="Q636" i="147"/>
  <c r="Q637" i="147"/>
  <c r="Q638" i="147"/>
  <c r="Q639" i="147"/>
  <c r="Q640" i="147"/>
  <c r="Q641" i="147"/>
  <c r="Q642" i="147"/>
  <c r="Q643" i="147"/>
  <c r="S375" i="147"/>
  <c r="S376" i="147"/>
  <c r="S377" i="147"/>
  <c r="S378" i="147"/>
  <c r="S379" i="147"/>
  <c r="S380" i="147"/>
  <c r="S381" i="147"/>
  <c r="S382" i="147"/>
  <c r="S383" i="147"/>
  <c r="S384" i="147"/>
  <c r="S385" i="147"/>
  <c r="S386" i="147"/>
  <c r="S387" i="147"/>
  <c r="S388" i="147"/>
  <c r="S389" i="147"/>
  <c r="S390" i="147"/>
  <c r="S391" i="147"/>
  <c r="S392" i="147"/>
  <c r="S393" i="147"/>
  <c r="S394" i="147"/>
  <c r="S395" i="147"/>
  <c r="S396" i="147"/>
  <c r="S397" i="147"/>
  <c r="S398" i="147"/>
  <c r="S399" i="147"/>
  <c r="S400" i="147"/>
  <c r="S401" i="147"/>
  <c r="S402" i="147"/>
  <c r="S403" i="147"/>
  <c r="S404" i="147"/>
  <c r="S405" i="147"/>
  <c r="S406" i="147"/>
  <c r="S407" i="147"/>
  <c r="S408" i="147"/>
  <c r="S409" i="147"/>
  <c r="S410" i="147"/>
  <c r="S411" i="147"/>
  <c r="S412" i="147"/>
  <c r="S413" i="147"/>
  <c r="S414" i="147"/>
  <c r="S415" i="147"/>
  <c r="S416" i="147"/>
  <c r="S417" i="147"/>
  <c r="S418" i="147"/>
  <c r="S419" i="147"/>
  <c r="S420" i="147"/>
  <c r="S421" i="147"/>
  <c r="S422" i="147"/>
  <c r="S423" i="147"/>
  <c r="S424" i="147"/>
  <c r="S425" i="147"/>
  <c r="S426" i="147"/>
  <c r="S427" i="147"/>
  <c r="S428" i="147"/>
  <c r="S429" i="147"/>
  <c r="S430" i="147"/>
  <c r="S431" i="147"/>
  <c r="S432" i="147"/>
  <c r="S433" i="147"/>
  <c r="S434" i="147"/>
  <c r="S435" i="147"/>
  <c r="S436" i="147"/>
  <c r="S437" i="147"/>
  <c r="S438" i="147"/>
  <c r="S439" i="147"/>
  <c r="S446" i="147"/>
  <c r="S447" i="147"/>
  <c r="S448" i="147"/>
  <c r="S449" i="147"/>
  <c r="S450" i="147"/>
  <c r="S451" i="147"/>
  <c r="S452" i="147"/>
  <c r="S453" i="147"/>
  <c r="S454" i="147"/>
  <c r="S455" i="147"/>
  <c r="S456" i="147"/>
  <c r="S457" i="147"/>
  <c r="S440" i="147"/>
  <c r="S441" i="147"/>
  <c r="S442" i="147"/>
  <c r="S443" i="147"/>
  <c r="S444" i="147"/>
  <c r="S445" i="147"/>
  <c r="S458" i="147"/>
  <c r="S459" i="147"/>
  <c r="S460" i="147"/>
  <c r="S461" i="147"/>
  <c r="S462" i="147"/>
  <c r="S463" i="147"/>
  <c r="S464" i="147"/>
  <c r="S465" i="147"/>
  <c r="S466" i="147"/>
  <c r="S467" i="147"/>
  <c r="S468" i="147"/>
  <c r="S469" i="147"/>
  <c r="S470" i="147"/>
  <c r="S471" i="147"/>
  <c r="S472" i="147"/>
  <c r="S473" i="147"/>
  <c r="S474" i="147"/>
  <c r="S475" i="147"/>
  <c r="S476" i="147"/>
  <c r="S477" i="147"/>
  <c r="S478" i="147"/>
  <c r="S479" i="147"/>
  <c r="S480" i="147"/>
  <c r="S481" i="147"/>
  <c r="S482" i="147"/>
  <c r="S483" i="147"/>
  <c r="S484" i="147"/>
  <c r="S485" i="147"/>
  <c r="S486" i="147"/>
  <c r="S487" i="147"/>
  <c r="S488" i="147"/>
  <c r="S489" i="147"/>
  <c r="S490" i="147"/>
  <c r="S491" i="147"/>
  <c r="S492" i="147"/>
  <c r="S493" i="147"/>
  <c r="S494" i="147"/>
  <c r="S495" i="147"/>
  <c r="S496" i="147"/>
  <c r="S497" i="147"/>
  <c r="S498" i="147"/>
  <c r="S499" i="147"/>
  <c r="S500" i="147"/>
  <c r="S501" i="147"/>
  <c r="S502" i="147"/>
  <c r="S503" i="147"/>
  <c r="S504" i="147"/>
  <c r="S505" i="147"/>
  <c r="S506" i="147"/>
  <c r="S507" i="147"/>
  <c r="S508" i="147"/>
  <c r="S509" i="147"/>
  <c r="S510" i="147"/>
  <c r="S511" i="147"/>
  <c r="S512" i="147"/>
  <c r="S513" i="147"/>
  <c r="S514" i="147"/>
  <c r="S515" i="147"/>
  <c r="S516" i="147"/>
  <c r="S517" i="147"/>
  <c r="S518" i="147"/>
  <c r="S519" i="147"/>
  <c r="S520" i="147"/>
  <c r="S521" i="147"/>
  <c r="S522" i="147"/>
  <c r="S523" i="147"/>
  <c r="S524" i="147"/>
  <c r="S525" i="147"/>
  <c r="S526" i="147"/>
  <c r="S527" i="147"/>
  <c r="S528" i="147"/>
  <c r="S529" i="147"/>
  <c r="S530" i="147"/>
  <c r="S531" i="147"/>
  <c r="S532" i="147"/>
  <c r="S533" i="147"/>
  <c r="S535" i="147"/>
  <c r="S536" i="147"/>
  <c r="S537" i="147"/>
  <c r="S538" i="147"/>
  <c r="S539" i="147"/>
  <c r="S540" i="147"/>
  <c r="S541" i="147"/>
  <c r="S542" i="147"/>
  <c r="S543" i="147"/>
  <c r="S544" i="147"/>
  <c r="S545" i="147"/>
  <c r="S546" i="147"/>
  <c r="S547" i="147"/>
  <c r="S548" i="147"/>
  <c r="S549" i="147"/>
  <c r="S550" i="147"/>
  <c r="S551" i="147"/>
  <c r="S552" i="147"/>
  <c r="S553" i="147"/>
  <c r="S554" i="147"/>
  <c r="S555" i="147"/>
  <c r="S556" i="147"/>
  <c r="S557" i="147"/>
  <c r="S558" i="147"/>
  <c r="S559" i="147"/>
  <c r="S560" i="147"/>
  <c r="S561" i="147"/>
  <c r="S562" i="147"/>
  <c r="S563" i="147"/>
  <c r="S564" i="147"/>
  <c r="S565" i="147"/>
  <c r="S566" i="147"/>
  <c r="S568" i="147"/>
  <c r="S569" i="147"/>
  <c r="S570" i="147"/>
  <c r="S571" i="147"/>
  <c r="S572" i="147"/>
  <c r="S573" i="147"/>
  <c r="S574" i="147"/>
  <c r="S575" i="147"/>
  <c r="S576" i="147"/>
  <c r="S577" i="147"/>
  <c r="S578" i="147"/>
  <c r="S579" i="147"/>
  <c r="S580" i="147"/>
  <c r="S581" i="147"/>
  <c r="S582" i="147"/>
  <c r="S583" i="147"/>
  <c r="S584" i="147"/>
  <c r="S585" i="147"/>
  <c r="S586" i="147"/>
  <c r="S587" i="147"/>
  <c r="S588" i="147"/>
  <c r="S589" i="147"/>
  <c r="S590" i="147"/>
  <c r="S591" i="147"/>
  <c r="S592" i="147"/>
  <c r="S593" i="147"/>
  <c r="S594" i="147"/>
  <c r="S595" i="147"/>
  <c r="S596" i="147"/>
  <c r="S597" i="147"/>
  <c r="S598" i="147"/>
  <c r="S600" i="147"/>
  <c r="S601" i="147"/>
  <c r="S602" i="147"/>
  <c r="S603" i="147"/>
  <c r="S604" i="147"/>
  <c r="S605" i="147"/>
  <c r="S606" i="147"/>
  <c r="S607" i="147"/>
  <c r="S608" i="147"/>
  <c r="S609" i="147"/>
  <c r="S610" i="147"/>
  <c r="S611" i="147"/>
  <c r="S612" i="147"/>
  <c r="S613" i="147"/>
  <c r="S614" i="147"/>
  <c r="S615" i="147"/>
  <c r="S616" i="147"/>
  <c r="S617" i="147"/>
  <c r="S618" i="147"/>
  <c r="S619" i="147"/>
  <c r="S620" i="147"/>
  <c r="S621" i="147"/>
  <c r="S622" i="147"/>
  <c r="S623" i="147"/>
  <c r="S624" i="147"/>
  <c r="S625" i="147"/>
  <c r="S626" i="147"/>
  <c r="S627" i="147"/>
  <c r="S628" i="147"/>
  <c r="S629" i="147"/>
  <c r="S631" i="147"/>
  <c r="S632" i="147"/>
  <c r="S633" i="147"/>
  <c r="S634" i="147"/>
  <c r="S635" i="147"/>
  <c r="S636" i="147"/>
  <c r="S637" i="147"/>
  <c r="S638" i="147"/>
  <c r="S639" i="147"/>
  <c r="S640" i="147"/>
  <c r="S641" i="147"/>
  <c r="S642" i="147"/>
  <c r="S643" i="147"/>
  <c r="V378" i="147"/>
  <c r="V387" i="147"/>
  <c r="V388" i="147"/>
  <c r="V389" i="147"/>
  <c r="V390" i="147"/>
  <c r="V391" i="147"/>
  <c r="V392" i="147"/>
  <c r="V393" i="147"/>
  <c r="V394" i="147"/>
  <c r="V395" i="147"/>
  <c r="V396" i="147"/>
  <c r="V397" i="147"/>
  <c r="V398" i="147"/>
  <c r="V399" i="147"/>
  <c r="V400" i="147"/>
  <c r="V401" i="147"/>
  <c r="V402" i="147"/>
  <c r="V403" i="147"/>
  <c r="V404" i="147"/>
  <c r="V405" i="147"/>
  <c r="V406" i="147"/>
  <c r="V407" i="147"/>
  <c r="V408" i="147"/>
  <c r="V409" i="147"/>
  <c r="V410" i="147"/>
  <c r="V411" i="147"/>
  <c r="V412" i="147"/>
  <c r="V413" i="147"/>
  <c r="V414" i="147"/>
  <c r="V415" i="147"/>
  <c r="V416" i="147"/>
  <c r="V417" i="147"/>
  <c r="V418" i="147"/>
  <c r="V419" i="147"/>
  <c r="V420" i="147"/>
  <c r="V421" i="147"/>
  <c r="V422" i="147"/>
  <c r="V423" i="147"/>
  <c r="V424" i="147"/>
  <c r="V425" i="147"/>
  <c r="V427" i="147"/>
  <c r="V428" i="147"/>
  <c r="V429" i="147"/>
  <c r="V430" i="147"/>
  <c r="V431" i="147"/>
  <c r="V432" i="147"/>
  <c r="V433" i="147"/>
  <c r="V434" i="147"/>
  <c r="V435" i="147"/>
  <c r="V436" i="147"/>
  <c r="V437" i="147"/>
  <c r="V438" i="147"/>
  <c r="V439" i="147"/>
  <c r="V440" i="147"/>
  <c r="V441" i="147"/>
  <c r="V442" i="147"/>
  <c r="V443" i="147"/>
  <c r="V444" i="147"/>
  <c r="V445" i="147"/>
  <c r="V380" i="147"/>
  <c r="V381" i="147"/>
  <c r="V382" i="147"/>
  <c r="V384" i="147"/>
  <c r="V385" i="147"/>
  <c r="V386" i="147"/>
  <c r="V446" i="147"/>
  <c r="V447" i="147"/>
  <c r="V448" i="147"/>
  <c r="V449" i="147"/>
  <c r="V450" i="147"/>
  <c r="V451" i="147"/>
  <c r="V452" i="147"/>
  <c r="V453" i="147"/>
  <c r="V454" i="147"/>
  <c r="V457" i="147"/>
  <c r="V458" i="147"/>
  <c r="V459" i="147"/>
  <c r="V460" i="147"/>
  <c r="V461" i="147"/>
  <c r="V462" i="147"/>
  <c r="V463" i="147"/>
  <c r="V464" i="147"/>
  <c r="V465" i="147"/>
  <c r="V474" i="147"/>
  <c r="V475" i="147"/>
  <c r="V478" i="147"/>
  <c r="V479" i="147"/>
  <c r="V480" i="147"/>
  <c r="V482" i="147"/>
  <c r="V483" i="147"/>
  <c r="V484" i="147"/>
  <c r="V485" i="147"/>
  <c r="V508" i="147"/>
  <c r="V510" i="147"/>
  <c r="V512" i="147"/>
  <c r="V514" i="147"/>
  <c r="V515" i="147"/>
  <c r="V516" i="147"/>
  <c r="V517" i="147"/>
  <c r="V520" i="147"/>
  <c r="V521" i="147"/>
  <c r="V525" i="147"/>
  <c r="V529" i="147"/>
  <c r="V530" i="147"/>
  <c r="V532" i="147"/>
  <c r="V533" i="147"/>
  <c r="V534" i="147"/>
  <c r="V537" i="147"/>
  <c r="V539" i="147"/>
  <c r="V540" i="147"/>
  <c r="V541" i="147"/>
  <c r="V542" i="147"/>
  <c r="V543" i="147"/>
  <c r="V546" i="147"/>
  <c r="V547" i="147"/>
  <c r="V548" i="147"/>
  <c r="V549" i="147"/>
  <c r="V551" i="147"/>
  <c r="V552" i="147"/>
  <c r="V553" i="147"/>
  <c r="V554" i="147"/>
  <c r="V555" i="147"/>
  <c r="V556" i="147"/>
  <c r="V557" i="147"/>
  <c r="V558" i="147"/>
  <c r="V559" i="147"/>
  <c r="V562" i="147"/>
  <c r="V563" i="147"/>
  <c r="V564" i="147"/>
  <c r="V566" i="147"/>
  <c r="V569" i="147"/>
  <c r="V570" i="147"/>
  <c r="V572" i="147"/>
  <c r="V576" i="147"/>
  <c r="V577" i="147"/>
  <c r="V578" i="147"/>
  <c r="V579" i="147"/>
  <c r="V580" i="147"/>
  <c r="V581" i="147"/>
  <c r="V582" i="147"/>
  <c r="V583" i="147"/>
  <c r="V584" i="147"/>
  <c r="V604" i="147"/>
  <c r="V608" i="147"/>
  <c r="V610" i="147"/>
  <c r="V611" i="147"/>
  <c r="V612" i="147"/>
  <c r="V613" i="147"/>
  <c r="V614" i="147"/>
  <c r="V615" i="147"/>
  <c r="V616" i="147"/>
  <c r="V622" i="147"/>
  <c r="V623" i="147"/>
  <c r="V624" i="147"/>
  <c r="V625" i="147"/>
  <c r="V626" i="147"/>
  <c r="V627" i="147"/>
  <c r="V628" i="147"/>
  <c r="V629" i="147"/>
  <c r="V631" i="147"/>
  <c r="V632" i="147"/>
  <c r="V633" i="147"/>
  <c r="V634" i="147"/>
  <c r="V635" i="147"/>
  <c r="V636" i="147"/>
  <c r="V637" i="147"/>
  <c r="V638" i="147"/>
  <c r="V639" i="147"/>
  <c r="V640" i="147"/>
  <c r="V641" i="147"/>
  <c r="V642" i="147"/>
  <c r="V643" i="147"/>
  <c r="V571" i="147"/>
  <c r="V600" i="147"/>
  <c r="V524" i="147"/>
  <c r="V589" i="147"/>
  <c r="V588" i="147"/>
  <c r="V545" i="147"/>
  <c r="V568" i="147"/>
  <c r="V544" i="147"/>
  <c r="V527" i="147"/>
  <c r="Y375" i="147"/>
  <c r="Y379" i="147"/>
  <c r="Y380" i="147"/>
  <c r="Y381" i="147"/>
  <c r="Y382" i="147"/>
  <c r="Y383" i="147"/>
  <c r="Y384" i="147"/>
  <c r="Y385" i="147"/>
  <c r="Y386" i="147"/>
  <c r="Y387" i="147"/>
  <c r="Y388" i="147"/>
  <c r="Y389" i="147"/>
  <c r="Y390" i="147"/>
  <c r="Y391" i="147"/>
  <c r="Y392" i="147"/>
  <c r="Y393" i="147"/>
  <c r="Y394" i="147"/>
  <c r="Y395" i="147"/>
  <c r="Y396" i="147"/>
  <c r="Y397" i="147"/>
  <c r="Y398" i="147"/>
  <c r="Y399" i="147"/>
  <c r="Y400" i="147"/>
  <c r="Y376" i="147"/>
  <c r="Y377" i="147"/>
  <c r="Y378" i="147"/>
  <c r="Y401" i="147"/>
  <c r="Y402" i="147"/>
  <c r="Y403" i="147"/>
  <c r="Y404" i="147"/>
  <c r="Y405" i="147"/>
  <c r="Y406" i="147"/>
  <c r="Y407" i="147"/>
  <c r="Y408" i="147"/>
  <c r="Y409" i="147"/>
  <c r="Y410" i="147"/>
  <c r="Y411" i="147"/>
  <c r="Y412" i="147"/>
  <c r="Y413" i="147"/>
  <c r="Y414" i="147"/>
  <c r="Y415" i="147"/>
  <c r="Y416" i="147"/>
  <c r="Y417" i="147"/>
  <c r="Y418" i="147"/>
  <c r="Y419" i="147"/>
  <c r="Y420" i="147"/>
  <c r="Y421" i="147"/>
  <c r="Y450" i="147"/>
  <c r="Y452" i="147"/>
  <c r="Y454" i="147"/>
  <c r="Y456" i="147"/>
  <c r="Y459" i="147"/>
  <c r="Y466" i="147"/>
  <c r="Y467" i="147"/>
  <c r="Y468" i="147"/>
  <c r="Y469" i="147"/>
  <c r="Y470" i="147"/>
  <c r="Y471" i="147"/>
  <c r="Y472" i="147"/>
  <c r="Y473" i="147"/>
  <c r="Y475" i="147"/>
  <c r="Y476" i="147"/>
  <c r="Y477" i="147"/>
  <c r="Y478" i="147"/>
  <c r="Y483" i="147"/>
  <c r="Y486" i="147"/>
  <c r="Y487" i="147"/>
  <c r="Y488" i="147"/>
  <c r="Y489" i="147"/>
  <c r="Y490" i="147"/>
  <c r="Y491" i="147"/>
  <c r="Y492" i="147"/>
  <c r="Y493" i="147"/>
  <c r="Y494" i="147"/>
  <c r="Y495" i="147"/>
  <c r="Y496" i="147"/>
  <c r="Y497" i="147"/>
  <c r="Y498" i="147"/>
  <c r="Y499" i="147"/>
  <c r="Y500" i="147"/>
  <c r="Y501" i="147"/>
  <c r="Y502" i="147"/>
  <c r="Y503" i="147"/>
  <c r="Y504" i="147"/>
  <c r="Y505" i="147"/>
  <c r="Y506" i="147"/>
  <c r="Y516" i="147"/>
  <c r="Y517" i="147"/>
  <c r="Y518" i="147"/>
  <c r="Y519" i="147"/>
  <c r="Y520" i="147"/>
  <c r="Y521" i="147"/>
  <c r="Y522" i="147"/>
  <c r="Y523" i="147"/>
  <c r="Y524" i="147"/>
  <c r="Y525" i="147"/>
  <c r="Y530" i="147"/>
  <c r="Y531" i="147"/>
  <c r="Y532" i="147"/>
  <c r="Y533" i="147"/>
  <c r="Y534" i="147"/>
  <c r="Y535" i="147"/>
  <c r="Y536" i="147"/>
  <c r="Y538" i="147"/>
  <c r="Y539" i="147"/>
  <c r="Y540" i="147"/>
  <c r="Y543" i="147"/>
  <c r="Y544" i="147"/>
  <c r="Y545" i="147"/>
  <c r="Y546" i="147"/>
  <c r="Y548" i="147"/>
  <c r="Y549" i="147"/>
  <c r="Y551" i="147"/>
  <c r="Y552" i="147"/>
  <c r="Y554" i="147"/>
  <c r="Y555" i="147"/>
  <c r="Y559" i="147"/>
  <c r="Y560" i="147"/>
  <c r="Y561" i="147"/>
  <c r="Y571" i="147"/>
  <c r="Y576" i="147"/>
  <c r="Y577" i="147"/>
  <c r="Y581" i="147"/>
  <c r="Y582" i="147"/>
  <c r="Y586" i="147"/>
  <c r="Y587" i="147"/>
  <c r="Y592" i="147"/>
  <c r="Y593" i="147"/>
  <c r="Y594" i="147"/>
  <c r="Y595" i="147"/>
  <c r="Y596" i="147"/>
  <c r="Y597" i="147"/>
  <c r="Y598" i="147"/>
  <c r="Y600" i="147"/>
  <c r="Y601" i="147"/>
  <c r="Y602" i="147"/>
  <c r="Y603" i="147"/>
  <c r="Y604" i="147"/>
  <c r="Y605" i="147"/>
  <c r="Y606" i="147"/>
  <c r="Y607" i="147"/>
  <c r="Y608" i="147"/>
  <c r="Y609" i="147"/>
  <c r="Y622" i="147"/>
  <c r="Y623" i="147"/>
  <c r="Y624" i="147"/>
  <c r="Y625" i="147"/>
  <c r="Y626" i="147"/>
  <c r="Y627" i="147"/>
  <c r="Y628" i="147"/>
  <c r="Y629" i="147"/>
  <c r="Y631" i="147"/>
  <c r="Y632" i="147"/>
  <c r="Y633" i="147"/>
  <c r="Y634" i="147"/>
  <c r="Y635" i="147"/>
  <c r="Y636" i="147"/>
  <c r="Y637" i="147"/>
  <c r="Y638" i="147"/>
  <c r="Y639" i="147"/>
  <c r="Y640" i="147"/>
  <c r="Y641" i="147"/>
  <c r="Y642" i="147"/>
  <c r="Y643" i="147"/>
  <c r="Y515" i="147"/>
  <c r="Y529" i="147"/>
  <c r="Y575" i="147"/>
  <c r="Y584" i="147"/>
  <c r="Y569" i="147"/>
  <c r="Y574" i="147"/>
  <c r="Y583" i="147"/>
  <c r="Y589" i="147"/>
  <c r="Y573" i="147"/>
  <c r="Y579" i="147"/>
  <c r="Y580" i="147"/>
  <c r="Y588" i="147"/>
  <c r="Y572" i="147"/>
  <c r="Y578" i="147"/>
  <c r="Y565" i="147"/>
  <c r="Y564" i="147"/>
  <c r="Y568" i="147"/>
  <c r="Y479" i="147"/>
  <c r="Y562" i="147"/>
  <c r="Y474" i="147"/>
  <c r="Y563" i="147"/>
  <c r="Y527" i="147"/>
  <c r="Y566" i="147"/>
  <c r="Y448" i="147"/>
  <c r="AC375" i="147"/>
  <c r="AC379" i="147"/>
  <c r="AC380" i="147"/>
  <c r="AC381" i="147"/>
  <c r="AC382" i="147"/>
  <c r="AC383" i="147"/>
  <c r="AC384" i="147"/>
  <c r="AC385" i="147"/>
  <c r="AC376" i="147"/>
  <c r="AC377" i="147"/>
  <c r="AC378" i="147"/>
  <c r="AC386" i="147"/>
  <c r="AC387" i="147"/>
  <c r="AC388" i="147"/>
  <c r="AC389" i="147"/>
  <c r="AC390" i="147"/>
  <c r="AC391" i="147"/>
  <c r="AC392" i="147"/>
  <c r="AC393" i="147"/>
  <c r="AC394" i="147"/>
  <c r="AC395" i="147"/>
  <c r="AC396" i="147"/>
  <c r="AC397" i="147"/>
  <c r="AC398" i="147"/>
  <c r="AC399" i="147"/>
  <c r="AC400" i="147"/>
  <c r="AC401" i="147"/>
  <c r="AC402" i="147"/>
  <c r="AC403" i="147"/>
  <c r="AC404" i="147"/>
  <c r="AC405" i="147"/>
  <c r="AC406" i="147"/>
  <c r="AC407" i="147"/>
  <c r="AC408" i="147"/>
  <c r="AC409" i="147"/>
  <c r="AC410" i="147"/>
  <c r="AC411" i="147"/>
  <c r="AC412" i="147"/>
  <c r="AC413" i="147"/>
  <c r="AC414" i="147"/>
  <c r="AC415" i="147"/>
  <c r="AC416" i="147"/>
  <c r="AC417" i="147"/>
  <c r="AC429" i="147"/>
  <c r="AC430" i="147"/>
  <c r="AC431" i="147"/>
  <c r="AC432" i="147"/>
  <c r="AC433" i="147"/>
  <c r="AC418" i="147"/>
  <c r="AC419" i="147"/>
  <c r="AC420" i="147"/>
  <c r="AC421" i="147"/>
  <c r="AC422" i="147"/>
  <c r="AC423" i="147"/>
  <c r="AC424" i="147"/>
  <c r="AC425" i="147"/>
  <c r="AC426" i="147"/>
  <c r="AC427" i="147"/>
  <c r="AC428" i="147"/>
  <c r="AC440" i="147"/>
  <c r="AC441" i="147"/>
  <c r="AC442" i="147"/>
  <c r="AC443" i="147"/>
  <c r="AC444" i="147"/>
  <c r="AC445" i="147"/>
  <c r="AC446" i="147"/>
  <c r="AC447" i="147"/>
  <c r="AC448" i="147"/>
  <c r="AC449" i="147"/>
  <c r="AC450" i="147"/>
  <c r="AC451" i="147"/>
  <c r="AC452" i="147"/>
  <c r="AC453" i="147"/>
  <c r="AC454" i="147"/>
  <c r="AC455" i="147"/>
  <c r="AC456" i="147"/>
  <c r="AC457" i="147"/>
  <c r="AC434" i="147"/>
  <c r="AC435" i="147"/>
  <c r="AC436" i="147"/>
  <c r="AC437" i="147"/>
  <c r="AC438" i="147"/>
  <c r="AC439" i="147"/>
  <c r="AC458" i="147"/>
  <c r="AC459" i="147"/>
  <c r="AC460" i="147"/>
  <c r="AC461" i="147"/>
  <c r="AC462" i="147"/>
  <c r="AC463" i="147"/>
  <c r="AC464" i="147"/>
  <c r="AC465" i="147"/>
  <c r="AC466" i="147"/>
  <c r="AC467" i="147"/>
  <c r="AC468" i="147"/>
  <c r="AC469" i="147"/>
  <c r="AC470" i="147"/>
  <c r="AC471" i="147"/>
  <c r="AC472" i="147"/>
  <c r="AC473" i="147"/>
  <c r="AC474" i="147"/>
  <c r="AC475" i="147"/>
  <c r="AC476" i="147"/>
  <c r="AC477" i="147"/>
  <c r="AC478" i="147"/>
  <c r="AC479" i="147"/>
  <c r="AC480" i="147"/>
  <c r="AC481" i="147"/>
  <c r="AC482" i="147"/>
  <c r="AC483" i="147"/>
  <c r="AC484" i="147"/>
  <c r="AC485" i="147"/>
  <c r="AC486" i="147"/>
  <c r="AC487" i="147"/>
  <c r="AC488" i="147"/>
  <c r="AC489" i="147"/>
  <c r="AC490" i="147"/>
  <c r="AC491" i="147"/>
  <c r="AC492" i="147"/>
  <c r="AC493" i="147"/>
  <c r="AC494" i="147"/>
  <c r="AC495" i="147"/>
  <c r="AC496" i="147"/>
  <c r="AC497" i="147"/>
  <c r="AC498" i="147"/>
  <c r="AC499" i="147"/>
  <c r="AC500" i="147"/>
  <c r="AC501" i="147"/>
  <c r="AC502" i="147"/>
  <c r="AC503" i="147"/>
  <c r="AC504" i="147"/>
  <c r="AC505" i="147"/>
  <c r="AC506" i="147"/>
  <c r="AC507" i="147"/>
  <c r="AC509" i="147"/>
  <c r="AC511" i="147"/>
  <c r="AC512" i="147"/>
  <c r="AC513" i="147"/>
  <c r="AC514" i="147"/>
  <c r="AC515" i="147"/>
  <c r="AC516" i="147"/>
  <c r="AC517" i="147"/>
  <c r="AC518" i="147"/>
  <c r="AC519" i="147"/>
  <c r="AC520" i="147"/>
  <c r="AC521" i="147"/>
  <c r="AC522" i="147"/>
  <c r="AC523" i="147"/>
  <c r="AC524" i="147"/>
  <c r="AC525" i="147"/>
  <c r="AC526" i="147"/>
  <c r="AC527" i="147"/>
  <c r="AC528" i="147"/>
  <c r="AC529" i="147"/>
  <c r="AC530" i="147"/>
  <c r="AC531" i="147"/>
  <c r="AC532" i="147"/>
  <c r="AC533" i="147"/>
  <c r="AC534" i="147"/>
  <c r="AC535" i="147"/>
  <c r="AC536" i="147"/>
  <c r="AC537" i="147"/>
  <c r="AC538" i="147"/>
  <c r="AC539" i="147"/>
  <c r="AC540" i="147"/>
  <c r="AC541" i="147"/>
  <c r="AC542" i="147"/>
  <c r="AC543" i="147"/>
  <c r="AC544" i="147"/>
  <c r="AC545" i="147"/>
  <c r="AC546" i="147"/>
  <c r="AC547" i="147"/>
  <c r="AC548" i="147"/>
  <c r="AC549" i="147"/>
  <c r="AC550" i="147"/>
  <c r="AC551" i="147"/>
  <c r="AC552" i="147"/>
  <c r="AC553" i="147"/>
  <c r="AC554" i="147"/>
  <c r="AC555" i="147"/>
  <c r="AC556" i="147"/>
  <c r="AC557" i="147"/>
  <c r="AC558" i="147"/>
  <c r="AC559" i="147"/>
  <c r="AC560" i="147"/>
  <c r="AC561" i="147"/>
  <c r="AC562" i="147"/>
  <c r="AC563" i="147"/>
  <c r="AC564" i="147"/>
  <c r="AC565" i="147"/>
  <c r="AC566" i="147"/>
  <c r="AC568" i="147"/>
  <c r="AC569" i="147"/>
  <c r="AC570" i="147"/>
  <c r="AC571" i="147"/>
  <c r="AC572" i="147"/>
  <c r="AC573" i="147"/>
  <c r="AC574" i="147"/>
  <c r="AC575" i="147"/>
  <c r="AC576" i="147"/>
  <c r="AC577" i="147"/>
  <c r="AC578" i="147"/>
  <c r="AC579" i="147"/>
  <c r="AC580" i="147"/>
  <c r="AC581" i="147"/>
  <c r="AC582" i="147"/>
  <c r="AC583" i="147"/>
  <c r="AC584" i="147"/>
  <c r="AC585" i="147"/>
  <c r="AC586" i="147"/>
  <c r="AC587" i="147"/>
  <c r="AC588" i="147"/>
  <c r="AC589" i="147"/>
  <c r="AC590" i="147"/>
  <c r="AC591" i="147"/>
  <c r="AC592" i="147"/>
  <c r="AC593" i="147"/>
  <c r="AC594" i="147"/>
  <c r="AC595" i="147"/>
  <c r="AC596" i="147"/>
  <c r="AC597" i="147"/>
  <c r="AC598" i="147"/>
  <c r="AC600" i="147"/>
  <c r="AC601" i="147"/>
  <c r="AC602" i="147"/>
  <c r="AC603" i="147"/>
  <c r="AC604" i="147"/>
  <c r="AC605" i="147"/>
  <c r="AC606" i="147"/>
  <c r="AC607" i="147"/>
  <c r="AC608" i="147"/>
  <c r="AC609" i="147"/>
  <c r="AC610" i="147"/>
  <c r="AC611" i="147"/>
  <c r="AC612" i="147"/>
  <c r="AC613" i="147"/>
  <c r="AC614" i="147"/>
  <c r="AC615" i="147"/>
  <c r="AC616" i="147"/>
  <c r="AC617" i="147"/>
  <c r="AC618" i="147"/>
  <c r="AC619" i="147"/>
  <c r="AC620" i="147"/>
  <c r="AC621" i="147"/>
  <c r="AC622" i="147"/>
  <c r="AC623" i="147"/>
  <c r="AC624" i="147"/>
  <c r="AC625" i="147"/>
  <c r="AC626" i="147"/>
  <c r="AC627" i="147"/>
  <c r="AC628" i="147"/>
  <c r="AC629" i="147"/>
  <c r="AC631" i="147"/>
  <c r="AC632" i="147"/>
  <c r="AC633" i="147"/>
  <c r="AC634" i="147"/>
  <c r="AC635" i="147"/>
  <c r="AC636" i="147"/>
  <c r="AC637" i="147"/>
  <c r="AC638" i="147"/>
  <c r="AC639" i="147"/>
  <c r="AC640" i="147"/>
  <c r="AC641" i="147"/>
  <c r="AC642" i="147"/>
  <c r="AC643" i="147"/>
  <c r="AF375" i="147"/>
  <c r="AF376" i="147"/>
  <c r="AF377" i="147"/>
  <c r="AF378" i="147"/>
  <c r="AF379" i="147"/>
  <c r="AF380" i="147"/>
  <c r="AF381" i="147"/>
  <c r="AF382" i="147"/>
  <c r="AF383" i="147"/>
  <c r="AF384" i="147"/>
  <c r="AF385" i="147"/>
  <c r="AF401" i="147"/>
  <c r="AF405" i="147"/>
  <c r="AF406" i="147"/>
  <c r="AF407" i="147"/>
  <c r="AF408" i="147"/>
  <c r="AF409" i="147"/>
  <c r="AF411" i="147"/>
  <c r="AF412" i="147"/>
  <c r="AF413" i="147"/>
  <c r="AF414" i="147"/>
  <c r="AF415" i="147"/>
  <c r="AF416" i="147"/>
  <c r="AF417" i="147"/>
  <c r="AF418" i="147"/>
  <c r="AF419" i="147"/>
  <c r="AF420" i="147"/>
  <c r="AF421" i="147"/>
  <c r="AF423" i="147"/>
  <c r="AF424" i="147"/>
  <c r="AF425" i="147"/>
  <c r="AF426" i="147"/>
  <c r="AF429" i="147"/>
  <c r="AF430" i="147"/>
  <c r="AF431" i="147"/>
  <c r="AF432" i="147"/>
  <c r="AF433" i="147"/>
  <c r="AF441" i="147"/>
  <c r="AF442" i="147"/>
  <c r="AF443" i="147"/>
  <c r="AF444" i="147"/>
  <c r="AF445" i="147"/>
  <c r="AF386" i="147"/>
  <c r="AF387" i="147"/>
  <c r="AF388" i="147"/>
  <c r="AF389" i="147"/>
  <c r="AF390" i="147"/>
  <c r="AF392" i="147"/>
  <c r="AF394" i="147"/>
  <c r="AF396" i="147"/>
  <c r="AF398" i="147"/>
  <c r="AF400" i="147"/>
  <c r="AF391" i="147"/>
  <c r="AF393" i="147"/>
  <c r="AF395" i="147"/>
  <c r="AF399" i="147"/>
  <c r="AF446" i="147"/>
  <c r="AF447" i="147"/>
  <c r="AF448" i="147"/>
  <c r="AF449" i="147"/>
  <c r="AF450" i="147"/>
  <c r="AF451" i="147"/>
  <c r="AF452" i="147"/>
  <c r="AF453" i="147"/>
  <c r="AF454" i="147"/>
  <c r="AF455" i="147"/>
  <c r="AF456" i="147"/>
  <c r="AF457" i="147"/>
  <c r="AF458" i="147"/>
  <c r="AF459" i="147"/>
  <c r="AF460" i="147"/>
  <c r="AF461" i="147"/>
  <c r="AF462" i="147"/>
  <c r="AF463" i="147"/>
  <c r="AF464" i="147"/>
  <c r="AF465" i="147"/>
  <c r="AF466" i="147"/>
  <c r="AF467" i="147"/>
  <c r="AF468" i="147"/>
  <c r="AF469" i="147"/>
  <c r="AF470" i="147"/>
  <c r="AF471" i="147"/>
  <c r="AF472" i="147"/>
  <c r="AF473" i="147"/>
  <c r="AF474" i="147"/>
  <c r="AF475" i="147"/>
  <c r="AF476" i="147"/>
  <c r="AF477" i="147"/>
  <c r="AF479" i="147"/>
  <c r="AF480" i="147"/>
  <c r="AF482" i="147"/>
  <c r="AF483" i="147"/>
  <c r="AF485" i="147"/>
  <c r="AF486" i="147"/>
  <c r="AF487" i="147"/>
  <c r="AF488" i="147"/>
  <c r="AF489" i="147"/>
  <c r="AF490" i="147"/>
  <c r="AF491" i="147"/>
  <c r="AF492" i="147"/>
  <c r="AF493" i="147"/>
  <c r="AF494" i="147"/>
  <c r="AF495" i="147"/>
  <c r="AF496" i="147"/>
  <c r="AF497" i="147"/>
  <c r="AF498" i="147"/>
  <c r="AF499" i="147"/>
  <c r="AF500" i="147"/>
  <c r="AF501" i="147"/>
  <c r="AF502" i="147"/>
  <c r="AF503" i="147"/>
  <c r="AF504" i="147"/>
  <c r="AF505" i="147"/>
  <c r="AF506" i="147"/>
  <c r="AF507" i="147"/>
  <c r="AF508" i="147"/>
  <c r="AF509" i="147"/>
  <c r="AF510" i="147"/>
  <c r="AF511" i="147"/>
  <c r="AF512" i="147"/>
  <c r="AF513" i="147"/>
  <c r="AF514" i="147"/>
  <c r="AF515" i="147"/>
  <c r="AF516" i="147"/>
  <c r="AF517" i="147"/>
  <c r="AF518" i="147"/>
  <c r="AF519" i="147"/>
  <c r="AF520" i="147"/>
  <c r="AF521" i="147"/>
  <c r="AF522" i="147"/>
  <c r="AF523" i="147"/>
  <c r="AF524" i="147"/>
  <c r="AF525" i="147"/>
  <c r="AF526" i="147"/>
  <c r="AF527" i="147"/>
  <c r="AF528" i="147"/>
  <c r="AF529" i="147"/>
  <c r="AF530" i="147"/>
  <c r="AF531" i="147"/>
  <c r="AF532" i="147"/>
  <c r="AF533" i="147"/>
  <c r="AF534" i="147"/>
  <c r="AF535" i="147"/>
  <c r="AF536" i="147"/>
  <c r="AF537" i="147"/>
  <c r="AF538" i="147"/>
  <c r="AF539" i="147"/>
  <c r="AF540" i="147"/>
  <c r="AF541" i="147"/>
  <c r="AF542" i="147"/>
  <c r="AF543" i="147"/>
  <c r="AF544" i="147"/>
  <c r="AF545" i="147"/>
  <c r="AF546" i="147"/>
  <c r="AF547" i="147"/>
  <c r="AF548" i="147"/>
  <c r="AF549" i="147"/>
  <c r="AF550" i="147"/>
  <c r="AF551" i="147"/>
  <c r="AF552" i="147"/>
  <c r="AF553" i="147"/>
  <c r="AF554" i="147"/>
  <c r="AF555" i="147"/>
  <c r="AF556" i="147"/>
  <c r="AF557" i="147"/>
  <c r="AF558" i="147"/>
  <c r="AF559" i="147"/>
  <c r="AF560" i="147"/>
  <c r="AF561" i="147"/>
  <c r="AF562" i="147"/>
  <c r="AF563" i="147"/>
  <c r="AF564" i="147"/>
  <c r="AF565" i="147"/>
  <c r="AF566" i="147"/>
  <c r="AF568" i="147"/>
  <c r="AF569" i="147"/>
  <c r="AF570" i="147"/>
  <c r="AF571" i="147"/>
  <c r="AF573" i="147"/>
  <c r="AF574" i="147"/>
  <c r="AF575" i="147"/>
  <c r="AF576" i="147"/>
  <c r="AF577" i="147"/>
  <c r="AF578" i="147"/>
  <c r="AF579" i="147"/>
  <c r="AF580" i="147"/>
  <c r="AF581" i="147"/>
  <c r="AF582" i="147"/>
  <c r="AF583" i="147"/>
  <c r="AF584" i="147"/>
  <c r="AF585" i="147"/>
  <c r="AF586" i="147"/>
  <c r="AF587" i="147"/>
  <c r="AF588" i="147"/>
  <c r="AF589" i="147"/>
  <c r="AF590" i="147"/>
  <c r="AF591" i="147"/>
  <c r="AF592" i="147"/>
  <c r="AF593" i="147"/>
  <c r="AF594" i="147"/>
  <c r="AF595" i="147"/>
  <c r="AF596" i="147"/>
  <c r="AF597" i="147"/>
  <c r="AF598" i="147"/>
  <c r="AF600" i="147"/>
  <c r="AF601" i="147"/>
  <c r="AF602" i="147"/>
  <c r="AF603" i="147"/>
  <c r="AF604" i="147"/>
  <c r="AF606" i="147"/>
  <c r="AF607" i="147"/>
  <c r="AF608" i="147"/>
  <c r="AF609" i="147"/>
  <c r="AF610" i="147"/>
  <c r="AF611" i="147"/>
  <c r="AF612" i="147"/>
  <c r="AF613" i="147"/>
  <c r="AF614" i="147"/>
  <c r="AF615" i="147"/>
  <c r="AF616" i="147"/>
  <c r="AF617" i="147"/>
  <c r="AF618" i="147"/>
  <c r="AF619" i="147"/>
  <c r="AF620" i="147"/>
  <c r="AF621" i="147"/>
  <c r="AF622" i="147"/>
  <c r="AF623" i="147"/>
  <c r="AF624" i="147"/>
  <c r="AF625" i="147"/>
  <c r="AF626" i="147"/>
  <c r="AF627" i="147"/>
  <c r="AF628" i="147"/>
  <c r="AF629" i="147"/>
  <c r="AF631" i="147"/>
  <c r="AF632" i="147"/>
  <c r="AF633" i="147"/>
  <c r="AF634" i="147"/>
  <c r="AF635" i="147"/>
  <c r="AF636" i="147"/>
  <c r="AF637" i="147"/>
  <c r="AF638" i="147"/>
  <c r="AF639" i="147"/>
  <c r="AF640" i="147"/>
  <c r="AF641" i="147"/>
  <c r="AF642" i="147"/>
  <c r="AF643" i="147"/>
  <c r="AH375" i="147"/>
  <c r="AH376" i="147"/>
  <c r="AH377" i="147"/>
  <c r="AH378" i="147"/>
  <c r="AH379" i="147"/>
  <c r="AH380" i="147"/>
  <c r="AH381" i="147"/>
  <c r="AH382" i="147"/>
  <c r="AH383" i="147"/>
  <c r="AH384" i="147"/>
  <c r="AH385" i="147"/>
  <c r="AH386" i="147"/>
  <c r="AH387" i="147"/>
  <c r="AH388" i="147"/>
  <c r="AH389" i="147"/>
  <c r="AH390" i="147"/>
  <c r="AH391" i="147"/>
  <c r="AH392" i="147"/>
  <c r="AH393" i="147"/>
  <c r="AH394" i="147"/>
  <c r="AH395" i="147"/>
  <c r="AH396" i="147"/>
  <c r="AH397" i="147"/>
  <c r="AH398" i="147"/>
  <c r="AH399" i="147"/>
  <c r="AH403" i="147"/>
  <c r="AH404" i="147"/>
  <c r="AH405" i="147"/>
  <c r="AH406" i="147"/>
  <c r="AH407" i="147"/>
  <c r="AH408" i="147"/>
  <c r="AH409" i="147"/>
  <c r="AH410" i="147"/>
  <c r="AH411" i="147"/>
  <c r="AH412" i="147"/>
  <c r="AH416" i="147"/>
  <c r="AH417" i="147"/>
  <c r="AH418" i="147"/>
  <c r="AH419" i="147"/>
  <c r="AH420" i="147"/>
  <c r="AH427" i="147"/>
  <c r="AH452" i="147"/>
  <c r="AH454" i="147"/>
  <c r="AH456" i="147"/>
  <c r="AH457" i="147"/>
  <c r="AH458" i="147"/>
  <c r="AH459" i="147"/>
  <c r="AH460" i="147"/>
  <c r="AH461" i="147"/>
  <c r="AH462" i="147"/>
  <c r="AH463" i="147"/>
  <c r="AH464" i="147"/>
  <c r="AH465" i="147"/>
  <c r="AH466" i="147"/>
  <c r="AH467" i="147"/>
  <c r="AH468" i="147"/>
  <c r="AH469" i="147"/>
  <c r="AH470" i="147"/>
  <c r="AH471" i="147"/>
  <c r="AH472" i="147"/>
  <c r="AH473" i="147"/>
  <c r="AH478" i="147"/>
  <c r="AH479" i="147"/>
  <c r="AH484" i="147"/>
  <c r="AH485" i="147"/>
  <c r="AH486" i="147"/>
  <c r="AH487" i="147"/>
  <c r="AH488" i="147"/>
  <c r="AH489" i="147"/>
  <c r="AH490" i="147"/>
  <c r="AH491" i="147"/>
  <c r="AH492" i="147"/>
  <c r="AH493" i="147"/>
  <c r="AH497" i="147"/>
  <c r="AH498" i="147"/>
  <c r="AH499" i="147"/>
  <c r="AH500" i="147"/>
  <c r="AH501" i="147"/>
  <c r="AH502" i="147"/>
  <c r="AH503" i="147"/>
  <c r="AH504" i="147"/>
  <c r="AH505" i="147"/>
  <c r="AH506" i="147"/>
  <c r="AH507" i="147"/>
  <c r="AH508" i="147"/>
  <c r="AH509" i="147"/>
  <c r="AH510" i="147"/>
  <c r="AH511" i="147"/>
  <c r="AH512" i="147"/>
  <c r="AH513" i="147"/>
  <c r="AH514" i="147"/>
  <c r="AH515" i="147"/>
  <c r="AH516" i="147"/>
  <c r="AH517" i="147"/>
  <c r="AH518" i="147"/>
  <c r="AH519" i="147"/>
  <c r="AH520" i="147"/>
  <c r="AH521" i="147"/>
  <c r="AH522" i="147"/>
  <c r="AH523" i="147"/>
  <c r="AH525" i="147"/>
  <c r="AH526" i="147"/>
  <c r="AH527" i="147"/>
  <c r="AH528" i="147"/>
  <c r="AH529" i="147"/>
  <c r="AH530" i="147"/>
  <c r="AH531" i="147"/>
  <c r="AH532" i="147"/>
  <c r="AH533" i="147"/>
  <c r="AH534" i="147"/>
  <c r="AH535" i="147"/>
  <c r="AH536" i="147"/>
  <c r="AH537" i="147"/>
  <c r="AH538" i="147"/>
  <c r="AH539" i="147"/>
  <c r="AH540" i="147"/>
  <c r="AH541" i="147"/>
  <c r="AH542" i="147"/>
  <c r="AH543" i="147"/>
  <c r="AH544" i="147"/>
  <c r="AH545" i="147"/>
  <c r="AH546" i="147"/>
  <c r="AH547" i="147"/>
  <c r="AH548" i="147"/>
  <c r="AH549" i="147"/>
  <c r="AH550" i="147"/>
  <c r="AH551" i="147"/>
  <c r="AH552" i="147"/>
  <c r="AH556" i="147"/>
  <c r="AH557" i="147"/>
  <c r="AH558" i="147"/>
  <c r="AH559" i="147"/>
  <c r="AH560" i="147"/>
  <c r="AH561" i="147"/>
  <c r="AH562" i="147"/>
  <c r="AH563" i="147"/>
  <c r="AH564" i="147"/>
  <c r="AH565" i="147"/>
  <c r="AH566" i="147"/>
  <c r="AH568" i="147"/>
  <c r="AH494" i="147"/>
  <c r="AH495" i="147"/>
  <c r="AH496" i="147"/>
  <c r="AH569" i="147"/>
  <c r="AH570" i="147"/>
  <c r="AH571" i="147"/>
  <c r="AH572" i="147"/>
  <c r="AH573" i="147"/>
  <c r="AH574" i="147"/>
  <c r="AH575" i="147"/>
  <c r="AH578" i="147"/>
  <c r="AH579" i="147"/>
  <c r="AH580" i="147"/>
  <c r="AH581" i="147"/>
  <c r="AH582" i="147"/>
  <c r="AH585" i="147"/>
  <c r="AH586" i="147"/>
  <c r="AH587" i="147"/>
  <c r="AH588" i="147"/>
  <c r="AH589" i="147"/>
  <c r="AH590" i="147"/>
  <c r="AH591" i="147"/>
  <c r="AH592" i="147"/>
  <c r="AH593" i="147"/>
  <c r="AH594" i="147"/>
  <c r="AH595" i="147"/>
  <c r="AH596" i="147"/>
  <c r="AH597" i="147"/>
  <c r="AH598" i="147"/>
  <c r="AH600" i="147"/>
  <c r="AH602" i="147"/>
  <c r="AH605" i="147"/>
  <c r="AH606" i="147"/>
  <c r="AH607" i="147"/>
  <c r="AH608" i="147"/>
  <c r="AH609" i="147"/>
  <c r="AH610" i="147"/>
  <c r="AH611" i="147"/>
  <c r="AH612" i="147"/>
  <c r="AH613" i="147"/>
  <c r="AH614" i="147"/>
  <c r="AH615" i="147"/>
  <c r="AH616" i="147"/>
  <c r="AH617" i="147"/>
  <c r="AH618" i="147"/>
  <c r="AH619" i="147"/>
  <c r="AH620" i="147"/>
  <c r="AH621" i="147"/>
  <c r="AH622" i="147"/>
  <c r="AH623" i="147"/>
  <c r="AH624" i="147"/>
  <c r="AH625" i="147"/>
  <c r="AH626" i="147"/>
  <c r="AH627" i="147"/>
  <c r="AH628" i="147"/>
  <c r="AH629" i="147"/>
  <c r="AH631" i="147"/>
  <c r="AH632" i="147"/>
  <c r="AH633" i="147"/>
  <c r="AH634" i="147"/>
  <c r="AH635" i="147"/>
  <c r="AH636" i="147"/>
  <c r="AH637" i="147"/>
  <c r="AH638" i="147"/>
  <c r="AH639" i="147"/>
  <c r="AH640" i="147"/>
  <c r="AH641" i="147"/>
  <c r="AH642" i="147"/>
  <c r="AH643" i="147"/>
  <c r="AH524" i="147"/>
  <c r="AH413" i="147"/>
  <c r="AH448" i="147"/>
  <c r="AJ375" i="147"/>
  <c r="AJ376" i="147"/>
  <c r="AJ377" i="147"/>
  <c r="AJ378" i="147"/>
  <c r="AJ379" i="147"/>
  <c r="AJ380" i="147"/>
  <c r="AJ381" i="147"/>
  <c r="AJ382" i="147"/>
  <c r="AJ383" i="147"/>
  <c r="AJ384" i="147"/>
  <c r="AJ385" i="147"/>
  <c r="AJ401" i="147"/>
  <c r="AJ402" i="147"/>
  <c r="AJ403" i="147"/>
  <c r="AJ404" i="147"/>
  <c r="AJ405" i="147"/>
  <c r="AJ407" i="147"/>
  <c r="AJ408" i="147"/>
  <c r="AJ409" i="147"/>
  <c r="AJ411" i="147"/>
  <c r="AJ412" i="147"/>
  <c r="AJ413" i="147"/>
  <c r="AJ414" i="147"/>
  <c r="AJ415" i="147"/>
  <c r="AJ416" i="147"/>
  <c r="AJ417" i="147"/>
  <c r="AJ418" i="147"/>
  <c r="AJ419" i="147"/>
  <c r="AJ420" i="147"/>
  <c r="AJ421" i="147"/>
  <c r="AJ422" i="147"/>
  <c r="AJ423" i="147"/>
  <c r="AJ424" i="147"/>
  <c r="AJ425" i="147"/>
  <c r="AJ426" i="147"/>
  <c r="AJ427" i="147"/>
  <c r="AJ428" i="147"/>
  <c r="AJ386" i="147"/>
  <c r="AJ387" i="147"/>
  <c r="AJ388" i="147"/>
  <c r="AJ389" i="147"/>
  <c r="AJ390" i="147"/>
  <c r="AJ391" i="147"/>
  <c r="AJ392" i="147"/>
  <c r="AJ393" i="147"/>
  <c r="AJ394" i="147"/>
  <c r="AJ395" i="147"/>
  <c r="AJ396" i="147"/>
  <c r="AJ397" i="147"/>
  <c r="AJ398" i="147"/>
  <c r="AJ399" i="147"/>
  <c r="AJ400" i="147"/>
  <c r="AJ429" i="147"/>
  <c r="AJ430" i="147"/>
  <c r="AJ431" i="147"/>
  <c r="AJ432" i="147"/>
  <c r="AJ433" i="147"/>
  <c r="AJ434" i="147"/>
  <c r="AJ435" i="147"/>
  <c r="AJ436" i="147"/>
  <c r="AJ437" i="147"/>
  <c r="AJ438" i="147"/>
  <c r="AJ439" i="147"/>
  <c r="AJ440" i="147"/>
  <c r="AJ441" i="147"/>
  <c r="AJ442" i="147"/>
  <c r="AJ443" i="147"/>
  <c r="AJ444" i="147"/>
  <c r="AJ445" i="147"/>
  <c r="AJ446" i="147"/>
  <c r="AJ447" i="147"/>
  <c r="AJ448" i="147"/>
  <c r="AJ449" i="147"/>
  <c r="AJ450" i="147"/>
  <c r="AJ451" i="147"/>
  <c r="AJ452" i="147"/>
  <c r="AJ453" i="147"/>
  <c r="AJ454" i="147"/>
  <c r="AJ455" i="147"/>
  <c r="AJ456" i="147"/>
  <c r="AJ457" i="147"/>
  <c r="AJ458" i="147"/>
  <c r="AJ459" i="147"/>
  <c r="AJ460" i="147"/>
  <c r="AJ461" i="147"/>
  <c r="AJ462" i="147"/>
  <c r="AJ463" i="147"/>
  <c r="AJ464" i="147"/>
  <c r="AJ465" i="147"/>
  <c r="AJ466" i="147"/>
  <c r="AJ467" i="147"/>
  <c r="AJ468" i="147"/>
  <c r="AJ469" i="147"/>
  <c r="AJ470" i="147"/>
  <c r="AJ471" i="147"/>
  <c r="AJ472" i="147"/>
  <c r="AJ473" i="147"/>
  <c r="AJ474" i="147"/>
  <c r="AJ475" i="147"/>
  <c r="AJ476" i="147"/>
  <c r="AJ477" i="147"/>
  <c r="AJ478" i="147"/>
  <c r="AJ479" i="147"/>
  <c r="AJ480" i="147"/>
  <c r="AJ481" i="147"/>
  <c r="AJ482" i="147"/>
  <c r="AJ483" i="147"/>
  <c r="AJ484" i="147"/>
  <c r="AJ485" i="147"/>
  <c r="AJ486" i="147"/>
  <c r="AJ487" i="147"/>
  <c r="AJ488" i="147"/>
  <c r="AJ489" i="147"/>
  <c r="AJ490" i="147"/>
  <c r="AJ491" i="147"/>
  <c r="AJ492" i="147"/>
  <c r="AJ493" i="147"/>
  <c r="AJ494" i="147"/>
  <c r="AJ495" i="147"/>
  <c r="AJ496" i="147"/>
  <c r="AJ497" i="147"/>
  <c r="AJ498" i="147"/>
  <c r="AJ499" i="147"/>
  <c r="AJ500" i="147"/>
  <c r="AJ501" i="147"/>
  <c r="AJ502" i="147"/>
  <c r="AJ503" i="147"/>
  <c r="AJ504" i="147"/>
  <c r="AJ505" i="147"/>
  <c r="AJ506" i="147"/>
  <c r="AJ507" i="147"/>
  <c r="AJ508" i="147"/>
  <c r="AJ509" i="147"/>
  <c r="AJ510" i="147"/>
  <c r="AJ511" i="147"/>
  <c r="AJ512" i="147"/>
  <c r="AJ513" i="147"/>
  <c r="AJ514" i="147"/>
  <c r="AJ515" i="147"/>
  <c r="AJ516" i="147"/>
  <c r="AJ517" i="147"/>
  <c r="AJ518" i="147"/>
  <c r="AJ519" i="147"/>
  <c r="AJ520" i="147"/>
  <c r="AJ521" i="147"/>
  <c r="AJ522" i="147"/>
  <c r="AJ523" i="147"/>
  <c r="AJ524" i="147"/>
  <c r="AJ525" i="147"/>
  <c r="AJ526" i="147"/>
  <c r="AJ527" i="147"/>
  <c r="AJ528" i="147"/>
  <c r="AJ529" i="147"/>
  <c r="AJ530" i="147"/>
  <c r="AJ531" i="147"/>
  <c r="AJ532" i="147"/>
  <c r="AJ533" i="147"/>
  <c r="AJ534" i="147"/>
  <c r="AJ535" i="147"/>
  <c r="AJ536" i="147"/>
  <c r="AJ537" i="147"/>
  <c r="AJ538" i="147"/>
  <c r="AJ539" i="147"/>
  <c r="AJ540" i="147"/>
  <c r="AJ541" i="147"/>
  <c r="AJ542" i="147"/>
  <c r="AJ543" i="147"/>
  <c r="AJ544" i="147"/>
  <c r="AJ545" i="147"/>
  <c r="AJ546" i="147"/>
  <c r="AJ547" i="147"/>
  <c r="AJ548" i="147"/>
  <c r="AJ549" i="147"/>
  <c r="AJ550" i="147"/>
  <c r="AJ551" i="147"/>
  <c r="AJ552" i="147"/>
  <c r="AJ553" i="147"/>
  <c r="AJ554" i="147"/>
  <c r="AJ555" i="147"/>
  <c r="AJ556" i="147"/>
  <c r="AJ557" i="147"/>
  <c r="AJ558" i="147"/>
  <c r="AJ559" i="147"/>
  <c r="AJ560" i="147"/>
  <c r="AJ561" i="147"/>
  <c r="AJ562" i="147"/>
  <c r="AJ563" i="147"/>
  <c r="AJ564" i="147"/>
  <c r="AJ565" i="147"/>
  <c r="AJ566" i="147"/>
  <c r="AJ568" i="147"/>
  <c r="AJ569" i="147"/>
  <c r="AJ570" i="147"/>
  <c r="AJ571" i="147"/>
  <c r="AJ572" i="147"/>
  <c r="AJ573" i="147"/>
  <c r="AJ574" i="147"/>
  <c r="AJ575" i="147"/>
  <c r="AJ576" i="147"/>
  <c r="AJ577" i="147"/>
  <c r="AJ578" i="147"/>
  <c r="AJ579" i="147"/>
  <c r="AJ580" i="147"/>
  <c r="AJ581" i="147"/>
  <c r="AJ582" i="147"/>
  <c r="AJ583" i="147"/>
  <c r="AJ584" i="147"/>
  <c r="AJ585" i="147"/>
  <c r="AJ586" i="147"/>
  <c r="AJ587" i="147"/>
  <c r="AJ588" i="147"/>
  <c r="AJ589" i="147"/>
  <c r="AJ590" i="147"/>
  <c r="AJ591" i="147"/>
  <c r="AJ592" i="147"/>
  <c r="AJ593" i="147"/>
  <c r="AJ594" i="147"/>
  <c r="AJ595" i="147"/>
  <c r="AJ596" i="147"/>
  <c r="AJ597" i="147"/>
  <c r="AJ598" i="147"/>
  <c r="AJ600" i="147"/>
  <c r="AJ601" i="147"/>
  <c r="AJ602" i="147"/>
  <c r="AJ603" i="147"/>
  <c r="AJ604" i="147"/>
  <c r="AJ605" i="147"/>
  <c r="AJ606" i="147"/>
  <c r="AJ607" i="147"/>
  <c r="AJ608" i="147"/>
  <c r="AJ609" i="147"/>
  <c r="AJ610" i="147"/>
  <c r="AJ611" i="147"/>
  <c r="AJ612" i="147"/>
  <c r="AJ613" i="147"/>
  <c r="AJ614" i="147"/>
  <c r="AJ615" i="147"/>
  <c r="AJ616" i="147"/>
  <c r="AJ617" i="147"/>
  <c r="AJ618" i="147"/>
  <c r="AJ619" i="147"/>
  <c r="AJ620" i="147"/>
  <c r="AJ621" i="147"/>
  <c r="AJ622" i="147"/>
  <c r="AJ623" i="147"/>
  <c r="AJ624" i="147"/>
  <c r="AJ625" i="147"/>
  <c r="AJ626" i="147"/>
  <c r="AJ627" i="147"/>
  <c r="AJ628" i="147"/>
  <c r="AJ629" i="147"/>
  <c r="AJ631" i="147"/>
  <c r="AJ632" i="147"/>
  <c r="AJ633" i="147"/>
  <c r="AJ634" i="147"/>
  <c r="AJ635" i="147"/>
  <c r="AJ636" i="147"/>
  <c r="AJ637" i="147"/>
  <c r="AJ638" i="147"/>
  <c r="AJ639" i="147"/>
  <c r="AJ640" i="147"/>
  <c r="AJ641" i="147"/>
  <c r="AJ642" i="147"/>
  <c r="AJ643" i="147"/>
  <c r="AL375" i="147"/>
  <c r="AL376" i="147"/>
  <c r="AL377" i="147"/>
  <c r="AL378" i="147"/>
  <c r="AL386" i="147"/>
  <c r="AL387" i="147"/>
  <c r="AL388" i="147"/>
  <c r="AL389" i="147"/>
  <c r="AL390" i="147"/>
  <c r="AL391" i="147"/>
  <c r="AL393" i="147"/>
  <c r="AL395" i="147"/>
  <c r="AL397" i="147"/>
  <c r="AL398" i="147"/>
  <c r="AL400" i="147"/>
  <c r="AL401" i="147"/>
  <c r="AL402" i="147"/>
  <c r="AL403" i="147"/>
  <c r="AL404" i="147"/>
  <c r="AL405" i="147"/>
  <c r="AL406" i="147"/>
  <c r="AL407" i="147"/>
  <c r="AL408" i="147"/>
  <c r="AL409" i="147"/>
  <c r="AL410" i="147"/>
  <c r="AL411" i="147"/>
  <c r="AL412" i="147"/>
  <c r="AL416" i="147"/>
  <c r="AL417" i="147"/>
  <c r="AL418" i="147"/>
  <c r="AL419" i="147"/>
  <c r="AL420" i="147"/>
  <c r="AL421" i="147"/>
  <c r="AL422" i="147"/>
  <c r="AL423" i="147"/>
  <c r="AL424" i="147"/>
  <c r="AL426" i="147"/>
  <c r="AL427" i="147"/>
  <c r="AL428" i="147"/>
  <c r="AL429" i="147"/>
  <c r="AL430" i="147"/>
  <c r="AL431" i="147"/>
  <c r="AL432" i="147"/>
  <c r="AL433" i="147"/>
  <c r="AL434" i="147"/>
  <c r="AL435" i="147"/>
  <c r="AL436" i="147"/>
  <c r="AL437" i="147"/>
  <c r="AL438" i="147"/>
  <c r="AL439" i="147"/>
  <c r="AL440" i="147"/>
  <c r="AL441" i="147"/>
  <c r="AL442" i="147"/>
  <c r="AL443" i="147"/>
  <c r="AL444" i="147"/>
  <c r="AL445" i="147"/>
  <c r="AL379" i="147"/>
  <c r="AL380" i="147"/>
  <c r="AL381" i="147"/>
  <c r="AL382" i="147"/>
  <c r="AL383" i="147"/>
  <c r="AL384" i="147"/>
  <c r="AL385" i="147"/>
  <c r="AL446" i="147"/>
  <c r="AL447" i="147"/>
  <c r="AL448" i="147"/>
  <c r="AL449" i="147"/>
  <c r="AL450" i="147"/>
  <c r="AL451" i="147"/>
  <c r="AL452" i="147"/>
  <c r="AL453" i="147"/>
  <c r="AL454" i="147"/>
  <c r="AL455" i="147"/>
  <c r="AL456" i="147"/>
  <c r="AL457" i="147"/>
  <c r="AL458" i="147"/>
  <c r="AL459" i="147"/>
  <c r="AL460" i="147"/>
  <c r="AL461" i="147"/>
  <c r="AL462" i="147"/>
  <c r="AL463" i="147"/>
  <c r="AL464" i="147"/>
  <c r="AL465" i="147"/>
  <c r="AL466" i="147"/>
  <c r="AL467" i="147"/>
  <c r="AL468" i="147"/>
  <c r="AL469" i="147"/>
  <c r="AL470" i="147"/>
  <c r="AL471" i="147"/>
  <c r="AL472" i="147"/>
  <c r="AL473" i="147"/>
  <c r="AL474" i="147"/>
  <c r="AL475" i="147"/>
  <c r="AL476" i="147"/>
  <c r="AL477" i="147"/>
  <c r="AL478" i="147"/>
  <c r="AL479" i="147"/>
  <c r="AL480" i="147"/>
  <c r="AL481" i="147"/>
  <c r="AL482" i="147"/>
  <c r="AL483" i="147"/>
  <c r="AL484" i="147"/>
  <c r="AL485" i="147"/>
  <c r="AL486" i="147"/>
  <c r="AL487" i="147"/>
  <c r="AL488" i="147"/>
  <c r="AL489" i="147"/>
  <c r="AL490" i="147"/>
  <c r="AL491" i="147"/>
  <c r="AL492" i="147"/>
  <c r="AL493" i="147"/>
  <c r="AL497" i="147"/>
  <c r="AL498" i="147"/>
  <c r="AL499" i="147"/>
  <c r="AL500" i="147"/>
  <c r="AL501" i="147"/>
  <c r="AL502" i="147"/>
  <c r="AL503" i="147"/>
  <c r="AL504" i="147"/>
  <c r="AL505" i="147"/>
  <c r="AL506" i="147"/>
  <c r="AL507" i="147"/>
  <c r="AL508" i="147"/>
  <c r="AL509" i="147"/>
  <c r="AL510" i="147"/>
  <c r="AL511" i="147"/>
  <c r="AL512" i="147"/>
  <c r="AL513" i="147"/>
  <c r="AL514" i="147"/>
  <c r="AL515" i="147"/>
  <c r="AL516" i="147"/>
  <c r="AL517" i="147"/>
  <c r="AL518" i="147"/>
  <c r="AL519" i="147"/>
  <c r="AL520" i="147"/>
  <c r="AL521" i="147"/>
  <c r="AL523" i="147"/>
  <c r="AL524" i="147"/>
  <c r="AL525" i="147"/>
  <c r="AL526" i="147"/>
  <c r="AL527" i="147"/>
  <c r="AL528" i="147"/>
  <c r="AL529" i="147"/>
  <c r="AL530" i="147"/>
  <c r="AL531" i="147"/>
  <c r="AL532" i="147"/>
  <c r="AL533" i="147"/>
  <c r="AL534" i="147"/>
  <c r="AL535" i="147"/>
  <c r="AL536" i="147"/>
  <c r="AL538" i="147"/>
  <c r="AL539" i="147"/>
  <c r="AL540" i="147"/>
  <c r="AL543" i="147"/>
  <c r="AL552" i="147"/>
  <c r="AL559" i="147"/>
  <c r="AL560" i="147"/>
  <c r="AL561" i="147"/>
  <c r="AL562" i="147"/>
  <c r="AL563" i="147"/>
  <c r="AL564" i="147"/>
  <c r="AL565" i="147"/>
  <c r="AL566" i="147"/>
  <c r="AL568" i="147"/>
  <c r="AL494" i="147"/>
  <c r="AL495" i="147"/>
  <c r="AL496" i="147"/>
  <c r="AL569" i="147"/>
  <c r="AL570" i="147"/>
  <c r="AL571" i="147"/>
  <c r="AL572" i="147"/>
  <c r="AL573" i="147"/>
  <c r="AL574" i="147"/>
  <c r="AL575" i="147"/>
  <c r="AL576" i="147"/>
  <c r="AL577" i="147"/>
  <c r="AL581" i="147"/>
  <c r="AL582" i="147"/>
  <c r="AL586" i="147"/>
  <c r="AL587" i="147"/>
  <c r="AL588" i="147"/>
  <c r="AL589" i="147"/>
  <c r="AL590" i="147"/>
  <c r="AL591" i="147"/>
  <c r="AL592" i="147"/>
  <c r="AL593" i="147"/>
  <c r="AL594" i="147"/>
  <c r="AL595" i="147"/>
  <c r="AL596" i="147"/>
  <c r="AL597" i="147"/>
  <c r="AL598" i="147"/>
  <c r="AL600" i="147"/>
  <c r="AL601" i="147"/>
  <c r="AL602" i="147"/>
  <c r="AL603" i="147"/>
  <c r="AL604" i="147"/>
  <c r="AL605" i="147"/>
  <c r="AL606" i="147"/>
  <c r="AL607" i="147"/>
  <c r="AL608" i="147"/>
  <c r="AL609" i="147"/>
  <c r="AL610" i="147"/>
  <c r="AL611" i="147"/>
  <c r="AL612" i="147"/>
  <c r="AL613" i="147"/>
  <c r="AL614" i="147"/>
  <c r="AL615" i="147"/>
  <c r="AL616" i="147"/>
  <c r="AL617" i="147"/>
  <c r="AL618" i="147"/>
  <c r="AL619" i="147"/>
  <c r="AL620" i="147"/>
  <c r="AL621" i="147"/>
  <c r="AL622" i="147"/>
  <c r="AL623" i="147"/>
  <c r="AL624" i="147"/>
  <c r="AL625" i="147"/>
  <c r="AL626" i="147"/>
  <c r="AL627" i="147"/>
  <c r="AL628" i="147"/>
  <c r="AL629" i="147"/>
  <c r="AL631" i="147"/>
  <c r="AL632" i="147"/>
  <c r="AL633" i="147"/>
  <c r="AL634" i="147"/>
  <c r="AL635" i="147"/>
  <c r="AL636" i="147"/>
  <c r="AL637" i="147"/>
  <c r="AL638" i="147"/>
  <c r="AL639" i="147"/>
  <c r="AL640" i="147"/>
  <c r="AL641" i="147"/>
  <c r="AL642" i="147"/>
  <c r="AL643" i="147"/>
  <c r="AL522" i="147"/>
  <c r="AL413" i="147"/>
  <c r="AL580" i="147"/>
  <c r="AN375" i="147"/>
  <c r="AN376" i="147"/>
  <c r="AN377" i="147"/>
  <c r="AN378" i="147"/>
  <c r="AN379" i="147"/>
  <c r="AN380" i="147"/>
  <c r="AN381" i="147"/>
  <c r="AN382" i="147"/>
  <c r="AN383" i="147"/>
  <c r="AN384" i="147"/>
  <c r="AN385" i="147"/>
  <c r="AN401" i="147"/>
  <c r="AN402" i="147"/>
  <c r="AN404" i="147"/>
  <c r="AN405" i="147"/>
  <c r="AN407" i="147"/>
  <c r="AN408" i="147"/>
  <c r="AN409" i="147"/>
  <c r="AN410" i="147"/>
  <c r="AN411" i="147"/>
  <c r="AN412" i="147"/>
  <c r="AN413" i="147"/>
  <c r="AN414" i="147"/>
  <c r="AN415" i="147"/>
  <c r="AN416" i="147"/>
  <c r="AN417" i="147"/>
  <c r="AN419" i="147"/>
  <c r="AN420" i="147"/>
  <c r="AN421" i="147"/>
  <c r="AN422" i="147"/>
  <c r="AN423" i="147"/>
  <c r="AN424" i="147"/>
  <c r="AN425" i="147"/>
  <c r="AN426" i="147"/>
  <c r="AN427" i="147"/>
  <c r="AN428" i="147"/>
  <c r="AN429" i="147"/>
  <c r="AN430" i="147"/>
  <c r="AN431" i="147"/>
  <c r="AN432" i="147"/>
  <c r="AN433" i="147"/>
  <c r="AN434" i="147"/>
  <c r="AN435" i="147"/>
  <c r="AN436" i="147"/>
  <c r="AN437" i="147"/>
  <c r="AN438" i="147"/>
  <c r="AN439" i="147"/>
  <c r="AN440" i="147"/>
  <c r="AN441" i="147"/>
  <c r="AN442" i="147"/>
  <c r="AN443" i="147"/>
  <c r="AN444" i="147"/>
  <c r="AN445" i="147"/>
  <c r="AN386" i="147"/>
  <c r="AN387" i="147"/>
  <c r="AN388" i="147"/>
  <c r="AN389" i="147"/>
  <c r="AN391" i="147"/>
  <c r="AN396" i="147"/>
  <c r="AN398" i="147"/>
  <c r="AN400" i="147"/>
  <c r="AN446" i="147"/>
  <c r="AN447" i="147"/>
  <c r="AN448" i="147"/>
  <c r="AN449" i="147"/>
  <c r="AN450" i="147"/>
  <c r="AN451" i="147"/>
  <c r="AN452" i="147"/>
  <c r="AN453" i="147"/>
  <c r="AN454" i="147"/>
  <c r="AN455" i="147"/>
  <c r="AN456" i="147"/>
  <c r="AN457" i="147"/>
  <c r="AN458" i="147"/>
  <c r="AN459" i="147"/>
  <c r="AN460" i="147"/>
  <c r="AN461" i="147"/>
  <c r="AN462" i="147"/>
  <c r="AN463" i="147"/>
  <c r="AN464" i="147"/>
  <c r="AN465" i="147"/>
  <c r="AN466" i="147"/>
  <c r="AN467" i="147"/>
  <c r="AN468" i="147"/>
  <c r="AN469" i="147"/>
  <c r="AN470" i="147"/>
  <c r="AN471" i="147"/>
  <c r="AN472" i="147"/>
  <c r="AN473" i="147"/>
  <c r="AN474" i="147"/>
  <c r="AN475" i="147"/>
  <c r="AN476" i="147"/>
  <c r="AN477" i="147"/>
  <c r="AN478" i="147"/>
  <c r="AN479" i="147"/>
  <c r="AN480" i="147"/>
  <c r="AN481" i="147"/>
  <c r="AN482" i="147"/>
  <c r="AN483" i="147"/>
  <c r="AN484" i="147"/>
  <c r="AN486" i="147"/>
  <c r="AN487" i="147"/>
  <c r="AN488" i="147"/>
  <c r="AN489" i="147"/>
  <c r="AN490" i="147"/>
  <c r="AN491" i="147"/>
  <c r="AN492" i="147"/>
  <c r="AN493" i="147"/>
  <c r="AN494" i="147"/>
  <c r="AN495" i="147"/>
  <c r="AN496" i="147"/>
  <c r="AN497" i="147"/>
  <c r="AN498" i="147"/>
  <c r="AN499" i="147"/>
  <c r="AN500" i="147"/>
  <c r="AN501" i="147"/>
  <c r="AN502" i="147"/>
  <c r="AN503" i="147"/>
  <c r="AN504" i="147"/>
  <c r="AN505" i="147"/>
  <c r="AN506" i="147"/>
  <c r="AN507" i="147"/>
  <c r="AN508" i="147"/>
  <c r="AN509" i="147"/>
  <c r="AN510" i="147"/>
  <c r="AN511" i="147"/>
  <c r="AN512" i="147"/>
  <c r="AN513" i="147"/>
  <c r="AN514" i="147"/>
  <c r="AN515" i="147"/>
  <c r="AN516" i="147"/>
  <c r="AN517" i="147"/>
  <c r="AN518" i="147"/>
  <c r="AN519" i="147"/>
  <c r="AN520" i="147"/>
  <c r="AN521" i="147"/>
  <c r="AN522" i="147"/>
  <c r="AN523" i="147"/>
  <c r="AN524" i="147"/>
  <c r="AN525" i="147"/>
  <c r="AN526" i="147"/>
  <c r="AN527" i="147"/>
  <c r="AN528" i="147"/>
  <c r="AN529" i="147"/>
  <c r="AN530" i="147"/>
  <c r="AN531" i="147"/>
  <c r="AN532" i="147"/>
  <c r="AN533" i="147"/>
  <c r="AN534" i="147"/>
  <c r="AN535" i="147"/>
  <c r="AN536" i="147"/>
  <c r="AN537" i="147"/>
  <c r="AN538" i="147"/>
  <c r="AN539" i="147"/>
  <c r="AN540" i="147"/>
  <c r="AN541" i="147"/>
  <c r="AN542" i="147"/>
  <c r="AN544" i="147"/>
  <c r="AN545" i="147"/>
  <c r="AN546" i="147"/>
  <c r="AN547" i="147"/>
  <c r="AN548" i="147"/>
  <c r="AN549" i="147"/>
  <c r="AN550" i="147"/>
  <c r="AN551" i="147"/>
  <c r="AN552" i="147"/>
  <c r="AN553" i="147"/>
  <c r="AN554" i="147"/>
  <c r="AN555" i="147"/>
  <c r="AN556" i="147"/>
  <c r="AN557" i="147"/>
  <c r="AN558" i="147"/>
  <c r="AN559" i="147"/>
  <c r="AN560" i="147"/>
  <c r="AN561" i="147"/>
  <c r="AN562" i="147"/>
  <c r="AN563" i="147"/>
  <c r="AN564" i="147"/>
  <c r="AN565" i="147"/>
  <c r="AN566" i="147"/>
  <c r="AN568" i="147"/>
  <c r="AN569" i="147"/>
  <c r="AN570" i="147"/>
  <c r="AN571" i="147"/>
  <c r="AN572" i="147"/>
  <c r="AN573" i="147"/>
  <c r="AN574" i="147"/>
  <c r="AN575" i="147"/>
  <c r="AN576" i="147"/>
  <c r="AN577" i="147"/>
  <c r="AN578" i="147"/>
  <c r="AN579" i="147"/>
  <c r="AN580" i="147"/>
  <c r="AN581" i="147"/>
  <c r="AN582" i="147"/>
  <c r="AN583" i="147"/>
  <c r="AN584" i="147"/>
  <c r="AN585" i="147"/>
  <c r="AN586" i="147"/>
  <c r="AN587" i="147"/>
  <c r="AN588" i="147"/>
  <c r="AN589" i="147"/>
  <c r="AN590" i="147"/>
  <c r="AN591" i="147"/>
  <c r="AN592" i="147"/>
  <c r="AN593" i="147"/>
  <c r="AN594" i="147"/>
  <c r="AN595" i="147"/>
  <c r="AN596" i="147"/>
  <c r="AN597" i="147"/>
  <c r="AN598" i="147"/>
  <c r="AN600" i="147"/>
  <c r="AN601" i="147"/>
  <c r="AN602" i="147"/>
  <c r="AN603" i="147"/>
  <c r="AN604" i="147"/>
  <c r="AN605" i="147"/>
  <c r="AN606" i="147"/>
  <c r="AN607" i="147"/>
  <c r="AN608" i="147"/>
  <c r="AN609" i="147"/>
  <c r="AN610" i="147"/>
  <c r="AN611" i="147"/>
  <c r="AN612" i="147"/>
  <c r="AN613" i="147"/>
  <c r="AN614" i="147"/>
  <c r="AN615" i="147"/>
  <c r="AN616" i="147"/>
  <c r="AN617" i="147"/>
  <c r="AN618" i="147"/>
  <c r="AN619" i="147"/>
  <c r="AN620" i="147"/>
  <c r="AN621" i="147"/>
  <c r="AN622" i="147"/>
  <c r="AN623" i="147"/>
  <c r="AN624" i="147"/>
  <c r="AN625" i="147"/>
  <c r="AN626" i="147"/>
  <c r="AN627" i="147"/>
  <c r="AN628" i="147"/>
  <c r="AN629" i="147"/>
  <c r="AN631" i="147"/>
  <c r="AN632" i="147"/>
  <c r="AN633" i="147"/>
  <c r="AN634" i="147"/>
  <c r="AN635" i="147"/>
  <c r="AN636" i="147"/>
  <c r="AN637" i="147"/>
  <c r="AN638" i="147"/>
  <c r="AN639" i="147"/>
  <c r="AN640" i="147"/>
  <c r="AN641" i="147"/>
  <c r="AN642" i="147"/>
  <c r="AN643" i="147"/>
  <c r="AP375" i="147"/>
  <c r="AP376" i="147"/>
  <c r="AP377" i="147"/>
  <c r="AP378" i="147"/>
  <c r="AP379" i="147"/>
  <c r="AP380" i="147"/>
  <c r="AP381" i="147"/>
  <c r="AP383" i="147"/>
  <c r="AP384" i="147"/>
  <c r="AP385" i="147"/>
  <c r="AP386" i="147"/>
  <c r="AP387" i="147"/>
  <c r="AP391" i="147"/>
  <c r="AP392" i="147"/>
  <c r="AP393" i="147"/>
  <c r="AP394" i="147"/>
  <c r="AP395" i="147"/>
  <c r="AP397" i="147"/>
  <c r="AP398" i="147"/>
  <c r="AP399" i="147"/>
  <c r="AP400" i="147"/>
  <c r="AP401" i="147"/>
  <c r="AP402" i="147"/>
  <c r="AP403" i="147"/>
  <c r="AP404" i="147"/>
  <c r="AP405" i="147"/>
  <c r="AP406" i="147"/>
  <c r="AP407" i="147"/>
  <c r="AP408" i="147"/>
  <c r="AP409" i="147"/>
  <c r="AP410" i="147"/>
  <c r="AP411" i="147"/>
  <c r="AP412" i="147"/>
  <c r="AP413" i="147"/>
  <c r="AP414" i="147"/>
  <c r="AP415" i="147"/>
  <c r="AP416" i="147"/>
  <c r="AP417" i="147"/>
  <c r="AP418" i="147"/>
  <c r="AP419" i="147"/>
  <c r="AP420" i="147"/>
  <c r="AP421" i="147"/>
  <c r="AP422" i="147"/>
  <c r="AP423" i="147"/>
  <c r="AP424" i="147"/>
  <c r="AP425" i="147"/>
  <c r="AP426" i="147"/>
  <c r="AP427" i="147"/>
  <c r="AP428" i="147"/>
  <c r="AP429" i="147"/>
  <c r="AP430" i="147"/>
  <c r="AP431" i="147"/>
  <c r="AP432" i="147"/>
  <c r="AP433" i="147"/>
  <c r="AP434" i="147"/>
  <c r="AP435" i="147"/>
  <c r="AP436" i="147"/>
  <c r="AP437" i="147"/>
  <c r="AP438" i="147"/>
  <c r="AP439" i="147"/>
  <c r="AP440" i="147"/>
  <c r="AP441" i="147"/>
  <c r="AP442" i="147"/>
  <c r="AP443" i="147"/>
  <c r="AP444" i="147"/>
  <c r="AP445" i="147"/>
  <c r="AP446" i="147"/>
  <c r="AP447" i="147"/>
  <c r="AP448" i="147"/>
  <c r="AP449" i="147"/>
  <c r="AP450" i="147"/>
  <c r="AP451" i="147"/>
  <c r="AP452" i="147"/>
  <c r="AP453" i="147"/>
  <c r="AP454" i="147"/>
  <c r="AP455" i="147"/>
  <c r="AP456" i="147"/>
  <c r="AP457" i="147"/>
  <c r="AP458" i="147"/>
  <c r="AP459" i="147"/>
  <c r="AP460" i="147"/>
  <c r="AP461" i="147"/>
  <c r="AP462" i="147"/>
  <c r="AP463" i="147"/>
  <c r="AP464" i="147"/>
  <c r="AP465" i="147"/>
  <c r="AP466" i="147"/>
  <c r="AP467" i="147"/>
  <c r="AP468" i="147"/>
  <c r="AP469" i="147"/>
  <c r="AP470" i="147"/>
  <c r="AP471" i="147"/>
  <c r="AP472" i="147"/>
  <c r="AP473" i="147"/>
  <c r="AP474" i="147"/>
  <c r="AP475" i="147"/>
  <c r="AP476" i="147"/>
  <c r="AP477" i="147"/>
  <c r="AP478" i="147"/>
  <c r="AP479" i="147"/>
  <c r="AP480" i="147"/>
  <c r="AP481" i="147"/>
  <c r="AP482" i="147"/>
  <c r="AP483" i="147"/>
  <c r="AP484" i="147"/>
  <c r="AP485" i="147"/>
  <c r="AP486" i="147"/>
  <c r="AP487" i="147"/>
  <c r="AP488" i="147"/>
  <c r="AP489" i="147"/>
  <c r="AP490" i="147"/>
  <c r="AP491" i="147"/>
  <c r="AP492" i="147"/>
  <c r="AP493" i="147"/>
  <c r="AP497" i="147"/>
  <c r="AP498" i="147"/>
  <c r="AP499" i="147"/>
  <c r="AP500" i="147"/>
  <c r="AP501" i="147"/>
  <c r="AP502" i="147"/>
  <c r="AP503" i="147"/>
  <c r="AP504" i="147"/>
  <c r="AP505" i="147"/>
  <c r="AP506" i="147"/>
  <c r="AP507" i="147"/>
  <c r="AP508" i="147"/>
  <c r="AP509" i="147"/>
  <c r="AP510" i="147"/>
  <c r="AP511" i="147"/>
  <c r="AP512" i="147"/>
  <c r="AP513" i="147"/>
  <c r="AP514" i="147"/>
  <c r="AP515" i="147"/>
  <c r="AP516" i="147"/>
  <c r="AP517" i="147"/>
  <c r="AP518" i="147"/>
  <c r="AP519" i="147"/>
  <c r="AP520" i="147"/>
  <c r="AP521" i="147"/>
  <c r="AP522" i="147"/>
  <c r="AP523" i="147"/>
  <c r="AP524" i="147"/>
  <c r="AP525" i="147"/>
  <c r="AP526" i="147"/>
  <c r="AP527" i="147"/>
  <c r="AP528" i="147"/>
  <c r="AP529" i="147"/>
  <c r="AP530" i="147"/>
  <c r="AP531" i="147"/>
  <c r="AP532" i="147"/>
  <c r="AP533" i="147"/>
  <c r="AP534" i="147"/>
  <c r="AP535" i="147"/>
  <c r="AP536" i="147"/>
  <c r="AP537" i="147"/>
  <c r="AP538" i="147"/>
  <c r="AP539" i="147"/>
  <c r="AP540" i="147"/>
  <c r="AP541" i="147"/>
  <c r="AP542" i="147"/>
  <c r="AP543" i="147"/>
  <c r="AP544" i="147"/>
  <c r="AP545" i="147"/>
  <c r="AP546" i="147"/>
  <c r="AP547" i="147"/>
  <c r="AP548" i="147"/>
  <c r="AP549" i="147"/>
  <c r="AP550" i="147"/>
  <c r="AP551" i="147"/>
  <c r="AP552" i="147"/>
  <c r="AP553" i="147"/>
  <c r="AP554" i="147"/>
  <c r="AP555" i="147"/>
  <c r="AP556" i="147"/>
  <c r="AP557" i="147"/>
  <c r="AP558" i="147"/>
  <c r="AP559" i="147"/>
  <c r="AP560" i="147"/>
  <c r="AP561" i="147"/>
  <c r="AP562" i="147"/>
  <c r="AP563" i="147"/>
  <c r="AP564" i="147"/>
  <c r="AP565" i="147"/>
  <c r="AP566" i="147"/>
  <c r="AP568" i="147"/>
  <c r="AP494" i="147"/>
  <c r="AP495" i="147"/>
  <c r="AP496" i="147"/>
  <c r="AP569" i="147"/>
  <c r="AP570" i="147"/>
  <c r="AP571" i="147"/>
  <c r="AP572" i="147"/>
  <c r="AP573" i="147"/>
  <c r="AP574" i="147"/>
  <c r="AP575" i="147"/>
  <c r="AP576" i="147"/>
  <c r="AP577" i="147"/>
  <c r="AP578" i="147"/>
  <c r="AP579" i="147"/>
  <c r="AP580" i="147"/>
  <c r="AP581" i="147"/>
  <c r="AP582" i="147"/>
  <c r="AP583" i="147"/>
  <c r="AP584" i="147"/>
  <c r="AP585" i="147"/>
  <c r="AP586" i="147"/>
  <c r="AP587" i="147"/>
  <c r="AP588" i="147"/>
  <c r="AP589" i="147"/>
  <c r="AP590" i="147"/>
  <c r="AP591" i="147"/>
  <c r="AP592" i="147"/>
  <c r="AP593" i="147"/>
  <c r="AP594" i="147"/>
  <c r="AP595" i="147"/>
  <c r="AP596" i="147"/>
  <c r="AP597" i="147"/>
  <c r="AP598" i="147"/>
  <c r="AP600" i="147"/>
  <c r="AP601" i="147"/>
  <c r="AP602" i="147"/>
  <c r="AP603" i="147"/>
  <c r="AP604" i="147"/>
  <c r="AP605" i="147"/>
  <c r="AP606" i="147"/>
  <c r="AP607" i="147"/>
  <c r="AP608" i="147"/>
  <c r="AP609" i="147"/>
  <c r="AP610" i="147"/>
  <c r="AP611" i="147"/>
  <c r="AP612" i="147"/>
  <c r="AP613" i="147"/>
  <c r="AP614" i="147"/>
  <c r="AP615" i="147"/>
  <c r="AP616" i="147"/>
  <c r="AP617" i="147"/>
  <c r="AP618" i="147"/>
  <c r="AP619" i="147"/>
  <c r="AP620" i="147"/>
  <c r="AP621" i="147"/>
  <c r="AP622" i="147"/>
  <c r="AP623" i="147"/>
  <c r="AP624" i="147"/>
  <c r="AP625" i="147"/>
  <c r="AP626" i="147"/>
  <c r="AP627" i="147"/>
  <c r="AP628" i="147"/>
  <c r="AP629" i="147"/>
  <c r="AP631" i="147"/>
  <c r="AP632" i="147"/>
  <c r="AP633" i="147"/>
  <c r="AP634" i="147"/>
  <c r="AP635" i="147"/>
  <c r="AP636" i="147"/>
  <c r="AP637" i="147"/>
  <c r="AP638" i="147"/>
  <c r="AP639" i="147"/>
  <c r="AP640" i="147"/>
  <c r="AP641" i="147"/>
  <c r="AP642" i="147"/>
  <c r="AP643" i="147"/>
  <c r="AR375" i="147"/>
  <c r="AR376" i="147"/>
  <c r="AR377" i="147"/>
  <c r="AR378" i="147"/>
  <c r="AR379" i="147"/>
  <c r="AR380" i="147"/>
  <c r="AR381" i="147"/>
  <c r="AR382" i="147"/>
  <c r="AR383" i="147"/>
  <c r="AR384" i="147"/>
  <c r="AR385" i="147"/>
  <c r="AR401" i="147"/>
  <c r="AR402" i="147"/>
  <c r="AR403" i="147"/>
  <c r="AR404" i="147"/>
  <c r="AR406" i="147"/>
  <c r="AR407" i="147"/>
  <c r="AR408" i="147"/>
  <c r="AR409" i="147"/>
  <c r="AR410" i="147"/>
  <c r="AR411" i="147"/>
  <c r="AR412" i="147"/>
  <c r="AR413" i="147"/>
  <c r="AR414" i="147"/>
  <c r="AR415" i="147"/>
  <c r="AR416" i="147"/>
  <c r="AR417" i="147"/>
  <c r="AR418" i="147"/>
  <c r="AR419" i="147"/>
  <c r="AR420" i="147"/>
  <c r="AR421" i="147"/>
  <c r="AR422" i="147"/>
  <c r="AR423" i="147"/>
  <c r="AR424" i="147"/>
  <c r="AR425" i="147"/>
  <c r="AR426" i="147"/>
  <c r="AR427" i="147"/>
  <c r="AR428" i="147"/>
  <c r="AR386" i="147"/>
  <c r="AR387" i="147"/>
  <c r="AR388" i="147"/>
  <c r="AR389" i="147"/>
  <c r="AR390" i="147"/>
  <c r="AR391" i="147"/>
  <c r="AR392" i="147"/>
  <c r="AR393" i="147"/>
  <c r="AR394" i="147"/>
  <c r="AR395" i="147"/>
  <c r="AR396" i="147"/>
  <c r="AR397" i="147"/>
  <c r="AR398" i="147"/>
  <c r="AR399" i="147"/>
  <c r="AR400" i="147"/>
  <c r="AR429" i="147"/>
  <c r="AR430" i="147"/>
  <c r="AR431" i="147"/>
  <c r="AR432" i="147"/>
  <c r="AR433" i="147"/>
  <c r="AR434" i="147"/>
  <c r="AR435" i="147"/>
  <c r="AR436" i="147"/>
  <c r="AR437" i="147"/>
  <c r="AR438" i="147"/>
  <c r="AR439" i="147"/>
  <c r="AR440" i="147"/>
  <c r="AR441" i="147"/>
  <c r="AR442" i="147"/>
  <c r="AR443" i="147"/>
  <c r="AR444" i="147"/>
  <c r="AR445" i="147"/>
  <c r="AR446" i="147"/>
  <c r="AR447" i="147"/>
  <c r="AR448" i="147"/>
  <c r="AR449" i="147"/>
  <c r="AR450" i="147"/>
  <c r="AR451" i="147"/>
  <c r="AR452" i="147"/>
  <c r="AR453" i="147"/>
  <c r="AR454" i="147"/>
  <c r="AR455" i="147"/>
  <c r="AR456" i="147"/>
  <c r="AR457" i="147"/>
  <c r="AR458" i="147"/>
  <c r="AR459" i="147"/>
  <c r="AR460" i="147"/>
  <c r="AR461" i="147"/>
  <c r="AR462" i="147"/>
  <c r="AR463" i="147"/>
  <c r="AR464" i="147"/>
  <c r="AR465" i="147"/>
  <c r="AR466" i="147"/>
  <c r="AR467" i="147"/>
  <c r="AR468" i="147"/>
  <c r="AR469" i="147"/>
  <c r="AR470" i="147"/>
  <c r="AR471" i="147"/>
  <c r="AR472" i="147"/>
  <c r="AR473" i="147"/>
  <c r="AR474" i="147"/>
  <c r="AR475" i="147"/>
  <c r="AR476" i="147"/>
  <c r="AR477" i="147"/>
  <c r="AR478" i="147"/>
  <c r="AR479" i="147"/>
  <c r="AR480" i="147"/>
  <c r="AR481" i="147"/>
  <c r="AR482" i="147"/>
  <c r="AR483" i="147"/>
  <c r="AR484" i="147"/>
  <c r="AR485" i="147"/>
  <c r="AR486" i="147"/>
  <c r="AR487" i="147"/>
  <c r="AR488" i="147"/>
  <c r="AR489" i="147"/>
  <c r="AR490" i="147"/>
  <c r="AR491" i="147"/>
  <c r="AR492" i="147"/>
  <c r="AR493" i="147"/>
  <c r="AR494" i="147"/>
  <c r="AR495" i="147"/>
  <c r="AR496" i="147"/>
  <c r="AR497" i="147"/>
  <c r="AR498" i="147"/>
  <c r="AR499" i="147"/>
  <c r="AR500" i="147"/>
  <c r="AR501" i="147"/>
  <c r="AR502" i="147"/>
  <c r="AR503" i="147"/>
  <c r="AR504" i="147"/>
  <c r="AR505" i="147"/>
  <c r="AR506" i="147"/>
  <c r="AR507" i="147"/>
  <c r="AR508" i="147"/>
  <c r="AR509" i="147"/>
  <c r="AR510" i="147"/>
  <c r="AR511" i="147"/>
  <c r="AR512" i="147"/>
  <c r="AR513" i="147"/>
  <c r="AR514" i="147"/>
  <c r="AR515" i="147"/>
  <c r="AR516" i="147"/>
  <c r="AR517" i="147"/>
  <c r="AR518" i="147"/>
  <c r="AR519" i="147"/>
  <c r="AR520" i="147"/>
  <c r="AR521" i="147"/>
  <c r="AR522" i="147"/>
  <c r="AR523" i="147"/>
  <c r="AR524" i="147"/>
  <c r="AR525" i="147"/>
  <c r="AR526" i="147"/>
  <c r="AR527" i="147"/>
  <c r="AR528" i="147"/>
  <c r="AR529" i="147"/>
  <c r="AR530" i="147"/>
  <c r="AR531" i="147"/>
  <c r="AR532" i="147"/>
  <c r="AR533" i="147"/>
  <c r="AR534" i="147"/>
  <c r="AR535" i="147"/>
  <c r="AR536" i="147"/>
  <c r="AR537" i="147"/>
  <c r="AR538" i="147"/>
  <c r="AR539" i="147"/>
  <c r="AR540" i="147"/>
  <c r="AR541" i="147"/>
  <c r="AR542" i="147"/>
  <c r="AR543" i="147"/>
  <c r="AR544" i="147"/>
  <c r="AR545" i="147"/>
  <c r="AR546" i="147"/>
  <c r="AR547" i="147"/>
  <c r="AR548" i="147"/>
  <c r="AR549" i="147"/>
  <c r="AR550" i="147"/>
  <c r="AR551" i="147"/>
  <c r="AR552" i="147"/>
  <c r="AR553" i="147"/>
  <c r="AR554" i="147"/>
  <c r="AR555" i="147"/>
  <c r="AR556" i="147"/>
  <c r="AR557" i="147"/>
  <c r="AR558" i="147"/>
  <c r="AR559" i="147"/>
  <c r="AR560" i="147"/>
  <c r="AR561" i="147"/>
  <c r="AR562" i="147"/>
  <c r="AR563" i="147"/>
  <c r="AR564" i="147"/>
  <c r="AR565" i="147"/>
  <c r="AR566" i="147"/>
  <c r="AR568" i="147"/>
  <c r="AR569" i="147"/>
  <c r="AR570" i="147"/>
  <c r="AR571" i="147"/>
  <c r="AR572" i="147"/>
  <c r="AR573" i="147"/>
  <c r="AR574" i="147"/>
  <c r="AR575" i="147"/>
  <c r="AR576" i="147"/>
  <c r="AR577" i="147"/>
  <c r="AR578" i="147"/>
  <c r="AR579" i="147"/>
  <c r="AR580" i="147"/>
  <c r="AR581" i="147"/>
  <c r="AR582" i="147"/>
  <c r="AR583" i="147"/>
  <c r="AR584" i="147"/>
  <c r="AR585" i="147"/>
  <c r="AR586" i="147"/>
  <c r="AR587" i="147"/>
  <c r="AR588" i="147"/>
  <c r="AR589" i="147"/>
  <c r="AR590" i="147"/>
  <c r="AR591" i="147"/>
  <c r="AR592" i="147"/>
  <c r="AR593" i="147"/>
  <c r="AR594" i="147"/>
  <c r="AR595" i="147"/>
  <c r="AR596" i="147"/>
  <c r="AR597" i="147"/>
  <c r="AR598" i="147"/>
  <c r="AR600" i="147"/>
  <c r="AR601" i="147"/>
  <c r="AR602" i="147"/>
  <c r="AR603" i="147"/>
  <c r="AR604" i="147"/>
  <c r="AR605" i="147"/>
  <c r="AR606" i="147"/>
  <c r="AR607" i="147"/>
  <c r="AR608" i="147"/>
  <c r="AR609" i="147"/>
  <c r="AR610" i="147"/>
  <c r="AR611" i="147"/>
  <c r="AR612" i="147"/>
  <c r="AR613" i="147"/>
  <c r="AR614" i="147"/>
  <c r="AR615" i="147"/>
  <c r="AR616" i="147"/>
  <c r="AR617" i="147"/>
  <c r="AR618" i="147"/>
  <c r="AR619" i="147"/>
  <c r="AR620" i="147"/>
  <c r="AR621" i="147"/>
  <c r="AR622" i="147"/>
  <c r="AR623" i="147"/>
  <c r="AR624" i="147"/>
  <c r="AR625" i="147"/>
  <c r="AR626" i="147"/>
  <c r="AR627" i="147"/>
  <c r="AR628" i="147"/>
  <c r="AR629" i="147"/>
  <c r="AR631" i="147"/>
  <c r="AR632" i="147"/>
  <c r="AR633" i="147"/>
  <c r="AR634" i="147"/>
  <c r="AR635" i="147"/>
  <c r="AR636" i="147"/>
  <c r="AR637" i="147"/>
  <c r="AR638" i="147"/>
  <c r="AR639" i="147"/>
  <c r="AR640" i="147"/>
  <c r="AR641" i="147"/>
  <c r="AR642" i="147"/>
  <c r="AR643" i="147"/>
  <c r="AT375" i="147"/>
  <c r="AT376" i="147"/>
  <c r="AT377" i="147"/>
  <c r="AT378" i="147"/>
  <c r="AT386" i="147"/>
  <c r="AT387" i="147"/>
  <c r="AT388" i="147"/>
  <c r="AT389" i="147"/>
  <c r="AT390" i="147"/>
  <c r="AT391" i="147"/>
  <c r="AT392" i="147"/>
  <c r="AT393" i="147"/>
  <c r="AT394" i="147"/>
  <c r="AT395" i="147"/>
  <c r="AT396" i="147"/>
  <c r="AT397" i="147"/>
  <c r="AT398" i="147"/>
  <c r="AT399" i="147"/>
  <c r="AT400" i="147"/>
  <c r="AT401" i="147"/>
  <c r="AT402" i="147"/>
  <c r="AT403" i="147"/>
  <c r="AT404" i="147"/>
  <c r="AT405" i="147"/>
  <c r="AT406" i="147"/>
  <c r="AT407" i="147"/>
  <c r="AT408" i="147"/>
  <c r="AT409" i="147"/>
  <c r="AT410" i="147"/>
  <c r="AT411" i="147"/>
  <c r="AT412" i="147"/>
  <c r="AT413" i="147"/>
  <c r="AT414" i="147"/>
  <c r="AT415" i="147"/>
  <c r="AT416" i="147"/>
  <c r="AT417" i="147"/>
  <c r="AT418" i="147"/>
  <c r="AT419" i="147"/>
  <c r="AT420" i="147"/>
  <c r="AT421" i="147"/>
  <c r="AT425" i="147"/>
  <c r="AT426" i="147"/>
  <c r="AT379" i="147"/>
  <c r="AT380" i="147"/>
  <c r="AT381" i="147"/>
  <c r="AT382" i="147"/>
  <c r="AT383" i="147"/>
  <c r="AT384" i="147"/>
  <c r="AT385" i="147"/>
  <c r="AT429" i="147"/>
  <c r="AT430" i="147"/>
  <c r="AT431" i="147"/>
  <c r="AT432" i="147"/>
  <c r="AT433" i="147"/>
  <c r="AT434" i="147"/>
  <c r="AT435" i="147"/>
  <c r="AT436" i="147"/>
  <c r="AT437" i="147"/>
  <c r="AT438" i="147"/>
  <c r="AT439" i="147"/>
  <c r="AT440" i="147"/>
  <c r="AT441" i="147"/>
  <c r="AT442" i="147"/>
  <c r="AT443" i="147"/>
  <c r="AT444" i="147"/>
  <c r="AT445" i="147"/>
  <c r="AT446" i="147"/>
  <c r="AT450" i="147"/>
  <c r="AT451" i="147"/>
  <c r="AT452" i="147"/>
  <c r="AT453" i="147"/>
  <c r="AT454" i="147"/>
  <c r="AT455" i="147"/>
  <c r="AT456" i="147"/>
  <c r="AT457" i="147"/>
  <c r="AT458" i="147"/>
  <c r="AT459" i="147"/>
  <c r="AT460" i="147"/>
  <c r="AT461" i="147"/>
  <c r="AT462" i="147"/>
  <c r="AT463" i="147"/>
  <c r="AT464" i="147"/>
  <c r="AT465" i="147"/>
  <c r="AT466" i="147"/>
  <c r="AT467" i="147"/>
  <c r="AT468" i="147"/>
  <c r="AT469" i="147"/>
  <c r="AT470" i="147"/>
  <c r="AT471" i="147"/>
  <c r="AT472" i="147"/>
  <c r="AT473" i="147"/>
  <c r="AT474" i="147"/>
  <c r="AT475" i="147"/>
  <c r="AT476" i="147"/>
  <c r="AT477" i="147"/>
  <c r="AT478" i="147"/>
  <c r="AT479" i="147"/>
  <c r="AT480" i="147"/>
  <c r="AT481" i="147"/>
  <c r="AT482" i="147"/>
  <c r="AT483" i="147"/>
  <c r="AT484" i="147"/>
  <c r="AT485" i="147"/>
  <c r="AT486" i="147"/>
  <c r="AT487" i="147"/>
  <c r="AT488" i="147"/>
  <c r="AT489" i="147"/>
  <c r="AT490" i="147"/>
  <c r="AT491" i="147"/>
  <c r="AT492" i="147"/>
  <c r="AT493" i="147"/>
  <c r="AT497" i="147"/>
  <c r="AT498" i="147"/>
  <c r="AT499" i="147"/>
  <c r="AT500" i="147"/>
  <c r="AT501" i="147"/>
  <c r="AT502" i="147"/>
  <c r="AT503" i="147"/>
  <c r="AT504" i="147"/>
  <c r="AT505" i="147"/>
  <c r="AT506" i="147"/>
  <c r="AT507" i="147"/>
  <c r="AT508" i="147"/>
  <c r="AT509" i="147"/>
  <c r="AT510" i="147"/>
  <c r="AT511" i="147"/>
  <c r="AT512" i="147"/>
  <c r="AT513" i="147"/>
  <c r="AT514" i="147"/>
  <c r="AT515" i="147"/>
  <c r="AT516" i="147"/>
  <c r="AT517" i="147"/>
  <c r="AT518" i="147"/>
  <c r="AT519" i="147"/>
  <c r="AT521" i="147"/>
  <c r="AT522" i="147"/>
  <c r="AT523" i="147"/>
  <c r="AT524" i="147"/>
  <c r="AT525" i="147"/>
  <c r="AT526" i="147"/>
  <c r="AT527" i="147"/>
  <c r="AT528" i="147"/>
  <c r="AT529" i="147"/>
  <c r="AT530" i="147"/>
  <c r="AT535" i="147"/>
  <c r="AT536" i="147"/>
  <c r="AT537" i="147"/>
  <c r="AT538" i="147"/>
  <c r="AT539" i="147"/>
  <c r="AT540" i="147"/>
  <c r="AT541" i="147"/>
  <c r="AT542" i="147"/>
  <c r="AT543" i="147"/>
  <c r="AT544" i="147"/>
  <c r="AT545" i="147"/>
  <c r="AT546" i="147"/>
  <c r="AT547" i="147"/>
  <c r="AT548" i="147"/>
  <c r="AT549" i="147"/>
  <c r="AT550" i="147"/>
  <c r="AT551" i="147"/>
  <c r="AT552" i="147"/>
  <c r="AT553" i="147"/>
  <c r="AT554" i="147"/>
  <c r="AT555" i="147"/>
  <c r="AT556" i="147"/>
  <c r="AT557" i="147"/>
  <c r="AT558" i="147"/>
  <c r="AT559" i="147"/>
  <c r="AT560" i="147"/>
  <c r="AT561" i="147"/>
  <c r="AT562" i="147"/>
  <c r="AT563" i="147"/>
  <c r="AT564" i="147"/>
  <c r="AT565" i="147"/>
  <c r="AT566" i="147"/>
  <c r="AT568" i="147"/>
  <c r="AT494" i="147"/>
  <c r="AT495" i="147"/>
  <c r="AT496" i="147"/>
  <c r="AT569" i="147"/>
  <c r="AT570" i="147"/>
  <c r="AT571" i="147"/>
  <c r="AT572" i="147"/>
  <c r="AT576" i="147"/>
  <c r="AT577" i="147"/>
  <c r="AT578" i="147"/>
  <c r="AT579" i="147"/>
  <c r="AT580" i="147"/>
  <c r="AT581" i="147"/>
  <c r="AT582" i="147"/>
  <c r="AT585" i="147"/>
  <c r="AT586" i="147"/>
  <c r="AT587" i="147"/>
  <c r="AT588" i="147"/>
  <c r="AT589" i="147"/>
  <c r="AT590" i="147"/>
  <c r="AT591" i="147"/>
  <c r="AT592" i="147"/>
  <c r="AT593" i="147"/>
  <c r="AT594" i="147"/>
  <c r="AT595" i="147"/>
  <c r="AT596" i="147"/>
  <c r="AT597" i="147"/>
  <c r="AT598" i="147"/>
  <c r="AT600" i="147"/>
  <c r="AT601" i="147"/>
  <c r="AT602" i="147"/>
  <c r="AT603" i="147"/>
  <c r="AT604" i="147"/>
  <c r="AT605" i="147"/>
  <c r="AT606" i="147"/>
  <c r="AT607" i="147"/>
  <c r="AT608" i="147"/>
  <c r="AT609" i="147"/>
  <c r="AT610" i="147"/>
  <c r="AT611" i="147"/>
  <c r="AT612" i="147"/>
  <c r="AT613" i="147"/>
  <c r="AT614" i="147"/>
  <c r="AT615" i="147"/>
  <c r="AT616" i="147"/>
  <c r="AT617" i="147"/>
  <c r="AT618" i="147"/>
  <c r="AT619" i="147"/>
  <c r="AT620" i="147"/>
  <c r="AT621" i="147"/>
  <c r="AT622" i="147"/>
  <c r="AT623" i="147"/>
  <c r="AT624" i="147"/>
  <c r="AT625" i="147"/>
  <c r="AT626" i="147"/>
  <c r="AT627" i="147"/>
  <c r="AT628" i="147"/>
  <c r="AT629" i="147"/>
  <c r="AT631" i="147"/>
  <c r="AT632" i="147"/>
  <c r="AT633" i="147"/>
  <c r="AT634" i="147"/>
  <c r="AT635" i="147"/>
  <c r="AT636" i="147"/>
  <c r="AT637" i="147"/>
  <c r="AT638" i="147"/>
  <c r="AT639" i="147"/>
  <c r="AT640" i="147"/>
  <c r="AT641" i="147"/>
  <c r="AT642" i="147"/>
  <c r="AT643" i="147"/>
  <c r="AV375" i="147"/>
  <c r="AV376" i="147"/>
  <c r="AV377" i="147"/>
  <c r="AV378" i="147"/>
  <c r="AV379" i="147"/>
  <c r="AV380" i="147"/>
  <c r="AV381" i="147"/>
  <c r="AV382" i="147"/>
  <c r="AV383" i="147"/>
  <c r="AV384" i="147"/>
  <c r="AV385" i="147"/>
  <c r="AV401" i="147"/>
  <c r="AV402" i="147"/>
  <c r="AV403" i="147"/>
  <c r="AV404" i="147"/>
  <c r="AV405" i="147"/>
  <c r="AV406" i="147"/>
  <c r="AV407" i="147"/>
  <c r="AV408" i="147"/>
  <c r="AV409" i="147"/>
  <c r="AV410" i="147"/>
  <c r="AV411" i="147"/>
  <c r="AV412" i="147"/>
  <c r="AV413" i="147"/>
  <c r="AV414" i="147"/>
  <c r="AV415" i="147"/>
  <c r="AV416" i="147"/>
  <c r="AV417" i="147"/>
  <c r="AV418" i="147"/>
  <c r="AV419" i="147"/>
  <c r="AV420" i="147"/>
  <c r="AV421" i="147"/>
  <c r="AV422" i="147"/>
  <c r="AV423" i="147"/>
  <c r="AV424" i="147"/>
  <c r="AV426" i="147"/>
  <c r="AV427" i="147"/>
  <c r="AV428" i="147"/>
  <c r="AV430" i="147"/>
  <c r="AV431" i="147"/>
  <c r="AV432" i="147"/>
  <c r="AV433" i="147"/>
  <c r="AV434" i="147"/>
  <c r="AV435" i="147"/>
  <c r="AV436" i="147"/>
  <c r="AV437" i="147"/>
  <c r="AV438" i="147"/>
  <c r="AV439" i="147"/>
  <c r="AV440" i="147"/>
  <c r="AV441" i="147"/>
  <c r="AV442" i="147"/>
  <c r="AV443" i="147"/>
  <c r="AV444" i="147"/>
  <c r="AV445" i="147"/>
  <c r="AV386" i="147"/>
  <c r="AV387" i="147"/>
  <c r="AV388" i="147"/>
  <c r="AV389" i="147"/>
  <c r="AV391" i="147"/>
  <c r="AV393" i="147"/>
  <c r="AV395" i="147"/>
  <c r="AV397" i="147"/>
  <c r="AV399" i="147"/>
  <c r="AV390" i="147"/>
  <c r="AV392" i="147"/>
  <c r="AV394" i="147"/>
  <c r="AV396" i="147"/>
  <c r="AV398" i="147"/>
  <c r="AV400" i="147"/>
  <c r="AV446" i="147"/>
  <c r="AV447" i="147"/>
  <c r="AV448" i="147"/>
  <c r="AV449" i="147"/>
  <c r="AV450" i="147"/>
  <c r="AV451" i="147"/>
  <c r="AV452" i="147"/>
  <c r="AV453" i="147"/>
  <c r="AV454" i="147"/>
  <c r="AV455" i="147"/>
  <c r="AV456" i="147"/>
  <c r="AV457" i="147"/>
  <c r="AV458" i="147"/>
  <c r="AV459" i="147"/>
  <c r="AV460" i="147"/>
  <c r="AV461" i="147"/>
  <c r="AV462" i="147"/>
  <c r="AV463" i="147"/>
  <c r="AV464" i="147"/>
  <c r="AV465" i="147"/>
  <c r="AV466" i="147"/>
  <c r="AV467" i="147"/>
  <c r="AV468" i="147"/>
  <c r="AV469" i="147"/>
  <c r="AV470" i="147"/>
  <c r="AV471" i="147"/>
  <c r="AV472" i="147"/>
  <c r="AV473" i="147"/>
  <c r="AV474" i="147"/>
  <c r="AV475" i="147"/>
  <c r="AV476" i="147"/>
  <c r="AV477" i="147"/>
  <c r="AV478" i="147"/>
  <c r="AV479" i="147"/>
  <c r="AV480" i="147"/>
  <c r="AV481" i="147"/>
  <c r="AV482" i="147"/>
  <c r="AV483" i="147"/>
  <c r="AV484" i="147"/>
  <c r="AV485" i="147"/>
  <c r="AV486" i="147"/>
  <c r="AV487" i="147"/>
  <c r="AV488" i="147"/>
  <c r="AV489" i="147"/>
  <c r="AV490" i="147"/>
  <c r="AV491" i="147"/>
  <c r="AV492" i="147"/>
  <c r="AV493" i="147"/>
  <c r="AV494" i="147"/>
  <c r="AV495" i="147"/>
  <c r="AV496" i="147"/>
  <c r="AV497" i="147"/>
  <c r="AV498" i="147"/>
  <c r="AV499" i="147"/>
  <c r="AV500" i="147"/>
  <c r="AV501" i="147"/>
  <c r="AV502" i="147"/>
  <c r="AV503" i="147"/>
  <c r="AV504" i="147"/>
  <c r="AV505" i="147"/>
  <c r="AV506" i="147"/>
  <c r="AV507" i="147"/>
  <c r="AV508" i="147"/>
  <c r="AV509" i="147"/>
  <c r="AV510" i="147"/>
  <c r="AV511" i="147"/>
  <c r="AV512" i="147"/>
  <c r="AV513" i="147"/>
  <c r="AV514" i="147"/>
  <c r="AV515" i="147"/>
  <c r="AV516" i="147"/>
  <c r="AV517" i="147"/>
  <c r="AV518" i="147"/>
  <c r="AV519" i="147"/>
  <c r="AV520" i="147"/>
  <c r="AV521" i="147"/>
  <c r="AV522" i="147"/>
  <c r="AV523" i="147"/>
  <c r="AV524" i="147"/>
  <c r="AV525" i="147"/>
  <c r="AV526" i="147"/>
  <c r="AV527" i="147"/>
  <c r="AV528" i="147"/>
  <c r="AV529" i="147"/>
  <c r="AV530" i="147"/>
  <c r="AV531" i="147"/>
  <c r="AV532" i="147"/>
  <c r="AV533" i="147"/>
  <c r="AV534" i="147"/>
  <c r="AV535" i="147"/>
  <c r="AV536" i="147"/>
  <c r="AV537" i="147"/>
  <c r="AV538" i="147"/>
  <c r="AV539" i="147"/>
  <c r="AV540" i="147"/>
  <c r="AV541" i="147"/>
  <c r="AV542" i="147"/>
  <c r="AV543" i="147"/>
  <c r="AV544" i="147"/>
  <c r="AV545" i="147"/>
  <c r="AV546" i="147"/>
  <c r="AV547" i="147"/>
  <c r="AV548" i="147"/>
  <c r="AV549" i="147"/>
  <c r="AV550" i="147"/>
  <c r="AV551" i="147"/>
  <c r="AV552" i="147"/>
  <c r="AV553" i="147"/>
  <c r="AV554" i="147"/>
  <c r="AV555" i="147"/>
  <c r="AV556" i="147"/>
  <c r="AV557" i="147"/>
  <c r="AV558" i="147"/>
  <c r="AV559" i="147"/>
  <c r="AV560" i="147"/>
  <c r="AV561" i="147"/>
  <c r="AV562" i="147"/>
  <c r="AV563" i="147"/>
  <c r="AV564" i="147"/>
  <c r="AV565" i="147"/>
  <c r="AV566" i="147"/>
  <c r="AV568" i="147"/>
  <c r="AV569" i="147"/>
  <c r="AV570" i="147"/>
  <c r="AV571" i="147"/>
  <c r="AV572" i="147"/>
  <c r="AV573" i="147"/>
  <c r="AV574" i="147"/>
  <c r="AV575" i="147"/>
  <c r="AV576" i="147"/>
  <c r="AV577" i="147"/>
  <c r="AV578" i="147"/>
  <c r="AV579" i="147"/>
  <c r="AV580" i="147"/>
  <c r="AV581" i="147"/>
  <c r="AV582" i="147"/>
  <c r="AV583" i="147"/>
  <c r="AV584" i="147"/>
  <c r="AV585" i="147"/>
  <c r="AV586" i="147"/>
  <c r="AV587" i="147"/>
  <c r="AV588" i="147"/>
  <c r="AV589" i="147"/>
  <c r="AV590" i="147"/>
  <c r="AV591" i="147"/>
  <c r="AV592" i="147"/>
  <c r="AV593" i="147"/>
  <c r="AV594" i="147"/>
  <c r="AV595" i="147"/>
  <c r="AV596" i="147"/>
  <c r="AV597" i="147"/>
  <c r="AV598" i="147"/>
  <c r="AV600" i="147"/>
  <c r="AV601" i="147"/>
  <c r="AV602" i="147"/>
  <c r="AV603" i="147"/>
  <c r="AV604" i="147"/>
  <c r="AV605" i="147"/>
  <c r="AV606" i="147"/>
  <c r="AV607" i="147"/>
  <c r="AV608" i="147"/>
  <c r="AV609" i="147"/>
  <c r="AV610" i="147"/>
  <c r="AV611" i="147"/>
  <c r="AV612" i="147"/>
  <c r="AV613" i="147"/>
  <c r="AV614" i="147"/>
  <c r="AV615" i="147"/>
  <c r="AV616" i="147"/>
  <c r="AV617" i="147"/>
  <c r="AV618" i="147"/>
  <c r="AV619" i="147"/>
  <c r="AV620" i="147"/>
  <c r="AV621" i="147"/>
  <c r="AV622" i="147"/>
  <c r="AV623" i="147"/>
  <c r="AV624" i="147"/>
  <c r="AV625" i="147"/>
  <c r="AV626" i="147"/>
  <c r="AV627" i="147"/>
  <c r="AV628" i="147"/>
  <c r="AV629" i="147"/>
  <c r="AV631" i="147"/>
  <c r="AV632" i="147"/>
  <c r="AV633" i="147"/>
  <c r="AV634" i="147"/>
  <c r="AV635" i="147"/>
  <c r="AV636" i="147"/>
  <c r="AV637" i="147"/>
  <c r="AV638" i="147"/>
  <c r="AV639" i="147"/>
  <c r="AV640" i="147"/>
  <c r="AV641" i="147"/>
  <c r="AV642" i="147"/>
  <c r="AV643" i="147"/>
  <c r="AX375" i="147"/>
  <c r="AX376" i="147"/>
  <c r="AX377" i="147"/>
  <c r="AX378" i="147"/>
  <c r="AX379" i="147"/>
  <c r="AX380" i="147"/>
  <c r="AX381" i="147"/>
  <c r="AX382" i="147"/>
  <c r="AX383" i="147"/>
  <c r="AX384" i="147"/>
  <c r="AX385" i="147"/>
  <c r="AX386" i="147"/>
  <c r="AX387" i="147"/>
  <c r="AX388" i="147"/>
  <c r="AX389" i="147"/>
  <c r="AX390" i="147"/>
  <c r="AX391" i="147"/>
  <c r="AX392" i="147"/>
  <c r="AX393" i="147"/>
  <c r="AX394" i="147"/>
  <c r="AX395" i="147"/>
  <c r="AX396" i="147"/>
  <c r="AX397" i="147"/>
  <c r="AX398" i="147"/>
  <c r="AX399" i="147"/>
  <c r="AX400" i="147"/>
  <c r="AX401" i="147"/>
  <c r="AX402" i="147"/>
  <c r="AX403" i="147"/>
  <c r="AX404" i="147"/>
  <c r="AX405" i="147"/>
  <c r="AX406" i="147"/>
  <c r="AX411" i="147"/>
  <c r="AX412" i="147"/>
  <c r="AX416" i="147"/>
  <c r="AX417" i="147"/>
  <c r="AX418" i="147"/>
  <c r="AX419" i="147"/>
  <c r="AX420" i="147"/>
  <c r="AX421" i="147"/>
  <c r="AX427" i="147"/>
  <c r="AX428" i="147"/>
  <c r="AX429" i="147"/>
  <c r="AX430" i="147"/>
  <c r="AX431" i="147"/>
  <c r="AX432" i="147"/>
  <c r="AX433" i="147"/>
  <c r="AX434" i="147"/>
  <c r="AX435" i="147"/>
  <c r="AX436" i="147"/>
  <c r="AX437" i="147"/>
  <c r="AX438" i="147"/>
  <c r="AX439" i="147"/>
  <c r="AX440" i="147"/>
  <c r="AX441" i="147"/>
  <c r="AX442" i="147"/>
  <c r="AX443" i="147"/>
  <c r="AX444" i="147"/>
  <c r="AX445" i="147"/>
  <c r="AX446" i="147"/>
  <c r="AX447" i="147"/>
  <c r="AX448" i="147"/>
  <c r="AX449" i="147"/>
  <c r="AX450" i="147"/>
  <c r="AX451" i="147"/>
  <c r="AX452" i="147"/>
  <c r="AX453" i="147"/>
  <c r="AX454" i="147"/>
  <c r="AX455" i="147"/>
  <c r="AX456" i="147"/>
  <c r="AX457" i="147"/>
  <c r="AX458" i="147"/>
  <c r="AX459" i="147"/>
  <c r="AX460" i="147"/>
  <c r="AX461" i="147"/>
  <c r="AX462" i="147"/>
  <c r="AX463" i="147"/>
  <c r="AX464" i="147"/>
  <c r="AX465" i="147"/>
  <c r="AX466" i="147"/>
  <c r="AX467" i="147"/>
  <c r="AX468" i="147"/>
  <c r="AX469" i="147"/>
  <c r="AX470" i="147"/>
  <c r="AX471" i="147"/>
  <c r="AX472" i="147"/>
  <c r="AX473" i="147"/>
  <c r="AX474" i="147"/>
  <c r="AX475" i="147"/>
  <c r="AX476" i="147"/>
  <c r="AX477" i="147"/>
  <c r="AX478" i="147"/>
  <c r="AX480" i="147"/>
  <c r="AX481" i="147"/>
  <c r="AX482" i="147"/>
  <c r="AX483" i="147"/>
  <c r="AX484" i="147"/>
  <c r="AX485" i="147"/>
  <c r="AX486" i="147"/>
  <c r="AX487" i="147"/>
  <c r="AX488" i="147"/>
  <c r="AX489" i="147"/>
  <c r="AX490" i="147"/>
  <c r="AX491" i="147"/>
  <c r="AX492" i="147"/>
  <c r="AX493" i="147"/>
  <c r="AX497" i="147"/>
  <c r="AX498" i="147"/>
  <c r="AX499" i="147"/>
  <c r="AX500" i="147"/>
  <c r="AX501" i="147"/>
  <c r="AX502" i="147"/>
  <c r="AX503" i="147"/>
  <c r="AX504" i="147"/>
  <c r="AX505" i="147"/>
  <c r="AX506" i="147"/>
  <c r="AX507" i="147"/>
  <c r="AX508" i="147"/>
  <c r="AX509" i="147"/>
  <c r="AX510" i="147"/>
  <c r="AX511" i="147"/>
  <c r="AX512" i="147"/>
  <c r="AX513" i="147"/>
  <c r="AX514" i="147"/>
  <c r="AX515" i="147"/>
  <c r="AX516" i="147"/>
  <c r="AX517" i="147"/>
  <c r="AX518" i="147"/>
  <c r="AX519" i="147"/>
  <c r="AX520" i="147"/>
  <c r="AX521" i="147"/>
  <c r="AX522" i="147"/>
  <c r="AX523" i="147"/>
  <c r="AX524" i="147"/>
  <c r="AX525" i="147"/>
  <c r="AX526" i="147"/>
  <c r="AX527" i="147"/>
  <c r="AX528" i="147"/>
  <c r="AX529" i="147"/>
  <c r="AX530" i="147"/>
  <c r="AX531" i="147"/>
  <c r="AX532" i="147"/>
  <c r="AX533" i="147"/>
  <c r="AX534" i="147"/>
  <c r="AX535" i="147"/>
  <c r="AX536" i="147"/>
  <c r="AX537" i="147"/>
  <c r="AX538" i="147"/>
  <c r="AX539" i="147"/>
  <c r="AX540" i="147"/>
  <c r="AX541" i="147"/>
  <c r="AX542" i="147"/>
  <c r="AX543" i="147"/>
  <c r="AX544" i="147"/>
  <c r="AX545" i="147"/>
  <c r="AX546" i="147"/>
  <c r="AX547" i="147"/>
  <c r="AX548" i="147"/>
  <c r="AX549" i="147"/>
  <c r="AX550" i="147"/>
  <c r="AX551" i="147"/>
  <c r="AX552" i="147"/>
  <c r="AX553" i="147"/>
  <c r="AX554" i="147"/>
  <c r="AX555" i="147"/>
  <c r="AX556" i="147"/>
  <c r="AX557" i="147"/>
  <c r="AX558" i="147"/>
  <c r="AX559" i="147"/>
  <c r="AX560" i="147"/>
  <c r="AX561" i="147"/>
  <c r="AX562" i="147"/>
  <c r="AX563" i="147"/>
  <c r="AX564" i="147"/>
  <c r="AX565" i="147"/>
  <c r="AX566" i="147"/>
  <c r="AX568" i="147"/>
  <c r="AX494" i="147"/>
  <c r="AX495" i="147"/>
  <c r="AX496" i="147"/>
  <c r="AX569" i="147"/>
  <c r="AX570" i="147"/>
  <c r="AX571" i="147"/>
  <c r="AX572" i="147"/>
  <c r="AX573" i="147"/>
  <c r="AX574" i="147"/>
  <c r="AX575" i="147"/>
  <c r="AX576" i="147"/>
  <c r="AX577" i="147"/>
  <c r="AX578" i="147"/>
  <c r="AX579" i="147"/>
  <c r="AX580" i="147"/>
  <c r="AX581" i="147"/>
  <c r="AX582" i="147"/>
  <c r="AX583" i="147"/>
  <c r="AX584" i="147"/>
  <c r="AX585" i="147"/>
  <c r="AX586" i="147"/>
  <c r="AX587" i="147"/>
  <c r="AX588" i="147"/>
  <c r="AX589" i="147"/>
  <c r="AX590" i="147"/>
  <c r="AX591" i="147"/>
  <c r="AX592" i="147"/>
  <c r="AX593" i="147"/>
  <c r="AX594" i="147"/>
  <c r="AX595" i="147"/>
  <c r="AX596" i="147"/>
  <c r="AX597" i="147"/>
  <c r="AX598" i="147"/>
  <c r="AX600" i="147"/>
  <c r="AX601" i="147"/>
  <c r="AX602" i="147"/>
  <c r="AX603" i="147"/>
  <c r="AX604" i="147"/>
  <c r="AX605" i="147"/>
  <c r="AX606" i="147"/>
  <c r="AX607" i="147"/>
  <c r="AX608" i="147"/>
  <c r="AX609" i="147"/>
  <c r="AX610" i="147"/>
  <c r="AX611" i="147"/>
  <c r="AX612" i="147"/>
  <c r="AX613" i="147"/>
  <c r="AX614" i="147"/>
  <c r="AX615" i="147"/>
  <c r="AX616" i="147"/>
  <c r="AX617" i="147"/>
  <c r="AX618" i="147"/>
  <c r="AX619" i="147"/>
  <c r="AX620" i="147"/>
  <c r="AX621" i="147"/>
  <c r="AX622" i="147"/>
  <c r="AX623" i="147"/>
  <c r="AX624" i="147"/>
  <c r="AX625" i="147"/>
  <c r="AX626" i="147"/>
  <c r="AX627" i="147"/>
  <c r="AX628" i="147"/>
  <c r="AX629" i="147"/>
  <c r="AX631" i="147"/>
  <c r="AX632" i="147"/>
  <c r="AX633" i="147"/>
  <c r="AX634" i="147"/>
  <c r="AX635" i="147"/>
  <c r="AX636" i="147"/>
  <c r="AX637" i="147"/>
  <c r="AX638" i="147"/>
  <c r="AX639" i="147"/>
  <c r="AX640" i="147"/>
  <c r="AX641" i="147"/>
  <c r="AX642" i="147"/>
  <c r="AX643" i="147"/>
  <c r="AX413" i="147"/>
  <c r="AZ375" i="147"/>
  <c r="AZ376" i="147"/>
  <c r="AZ377" i="147"/>
  <c r="AZ378" i="147"/>
  <c r="AZ379" i="147"/>
  <c r="AZ380" i="147"/>
  <c r="AZ381" i="147"/>
  <c r="AZ382" i="147"/>
  <c r="AZ383" i="147"/>
  <c r="AZ384" i="147"/>
  <c r="AZ385" i="147"/>
  <c r="AZ401" i="147"/>
  <c r="AZ402" i="147"/>
  <c r="AZ403" i="147"/>
  <c r="AZ404" i="147"/>
  <c r="AZ405" i="147"/>
  <c r="AZ406" i="147"/>
  <c r="AZ407" i="147"/>
  <c r="AZ408" i="147"/>
  <c r="AZ409" i="147"/>
  <c r="AZ410" i="147"/>
  <c r="AZ411" i="147"/>
  <c r="AZ412" i="147"/>
  <c r="AZ413" i="147"/>
  <c r="AZ414" i="147"/>
  <c r="AZ415" i="147"/>
  <c r="AZ416" i="147"/>
  <c r="AZ417" i="147"/>
  <c r="AZ418" i="147"/>
  <c r="AZ419" i="147"/>
  <c r="AZ420" i="147"/>
  <c r="AZ421" i="147"/>
  <c r="AZ422" i="147"/>
  <c r="AZ423" i="147"/>
  <c r="AZ424" i="147"/>
  <c r="AZ425" i="147"/>
  <c r="AZ426" i="147"/>
  <c r="AZ427" i="147"/>
  <c r="AZ428" i="147"/>
  <c r="AZ386" i="147"/>
  <c r="AZ387" i="147"/>
  <c r="AZ388" i="147"/>
  <c r="AZ389" i="147"/>
  <c r="AZ390" i="147"/>
  <c r="AZ391" i="147"/>
  <c r="AZ392" i="147"/>
  <c r="AZ393" i="147"/>
  <c r="AZ394" i="147"/>
  <c r="AZ395" i="147"/>
  <c r="AZ396" i="147"/>
  <c r="AZ397" i="147"/>
  <c r="AZ398" i="147"/>
  <c r="AZ399" i="147"/>
  <c r="AZ400" i="147"/>
  <c r="AZ429" i="147"/>
  <c r="AZ430" i="147"/>
  <c r="AZ431" i="147"/>
  <c r="AZ432" i="147"/>
  <c r="AZ433" i="147"/>
  <c r="AZ434" i="147"/>
  <c r="AZ435" i="147"/>
  <c r="AZ436" i="147"/>
  <c r="AZ437" i="147"/>
  <c r="AZ438" i="147"/>
  <c r="AZ439" i="147"/>
  <c r="AZ440" i="147"/>
  <c r="AZ441" i="147"/>
  <c r="AZ442" i="147"/>
  <c r="AZ443" i="147"/>
  <c r="AZ444" i="147"/>
  <c r="AZ445" i="147"/>
  <c r="AZ446" i="147"/>
  <c r="AZ447" i="147"/>
  <c r="AZ448" i="147"/>
  <c r="AZ449" i="147"/>
  <c r="AZ450" i="147"/>
  <c r="AZ451" i="147"/>
  <c r="AZ452" i="147"/>
  <c r="AZ453" i="147"/>
  <c r="AZ454" i="147"/>
  <c r="AZ455" i="147"/>
  <c r="AZ456" i="147"/>
  <c r="AZ457" i="147"/>
  <c r="AZ458" i="147"/>
  <c r="AZ459" i="147"/>
  <c r="AZ460" i="147"/>
  <c r="AZ461" i="147"/>
  <c r="AZ462" i="147"/>
  <c r="AZ463" i="147"/>
  <c r="AZ464" i="147"/>
  <c r="AZ465" i="147"/>
  <c r="AZ466" i="147"/>
  <c r="AZ467" i="147"/>
  <c r="AZ468" i="147"/>
  <c r="AZ469" i="147"/>
  <c r="AZ470" i="147"/>
  <c r="AZ471" i="147"/>
  <c r="AZ472" i="147"/>
  <c r="AZ473" i="147"/>
  <c r="AZ474" i="147"/>
  <c r="AZ475" i="147"/>
  <c r="AZ476" i="147"/>
  <c r="AZ477" i="147"/>
  <c r="AZ478" i="147"/>
  <c r="AZ479" i="147"/>
  <c r="AZ480" i="147"/>
  <c r="AZ481" i="147"/>
  <c r="AZ482" i="147"/>
  <c r="AZ483" i="147"/>
  <c r="AZ484" i="147"/>
  <c r="AZ485" i="147"/>
  <c r="AZ486" i="147"/>
  <c r="AZ487" i="147"/>
  <c r="AZ488" i="147"/>
  <c r="AZ489" i="147"/>
  <c r="AZ490" i="147"/>
  <c r="AZ491" i="147"/>
  <c r="AZ492" i="147"/>
  <c r="AZ493" i="147"/>
  <c r="AZ494" i="147"/>
  <c r="AZ495" i="147"/>
  <c r="AZ496" i="147"/>
  <c r="AZ497" i="147"/>
  <c r="AZ498" i="147"/>
  <c r="AZ499" i="147"/>
  <c r="AZ500" i="147"/>
  <c r="AZ501" i="147"/>
  <c r="AZ502" i="147"/>
  <c r="AZ503" i="147"/>
  <c r="AZ504" i="147"/>
  <c r="AZ505" i="147"/>
  <c r="AZ506" i="147"/>
  <c r="AZ507" i="147"/>
  <c r="AZ508" i="147"/>
  <c r="AZ509" i="147"/>
  <c r="AZ510" i="147"/>
  <c r="AZ511" i="147"/>
  <c r="AZ512" i="147"/>
  <c r="AZ513" i="147"/>
  <c r="AZ514" i="147"/>
  <c r="AZ515" i="147"/>
  <c r="AZ516" i="147"/>
  <c r="AZ517" i="147"/>
  <c r="AZ518" i="147"/>
  <c r="AZ519" i="147"/>
  <c r="AZ520" i="147"/>
  <c r="AZ521" i="147"/>
  <c r="AZ522" i="147"/>
  <c r="AZ523" i="147"/>
  <c r="AZ524" i="147"/>
  <c r="AZ525" i="147"/>
  <c r="AZ526" i="147"/>
  <c r="AZ527" i="147"/>
  <c r="AZ528" i="147"/>
  <c r="AZ529" i="147"/>
  <c r="AZ530" i="147"/>
  <c r="AZ531" i="147"/>
  <c r="AZ532" i="147"/>
  <c r="AZ533" i="147"/>
  <c r="AZ534" i="147"/>
  <c r="AZ535" i="147"/>
  <c r="AZ536" i="147"/>
  <c r="AZ537" i="147"/>
  <c r="AZ538" i="147"/>
  <c r="AZ539" i="147"/>
  <c r="AZ540" i="147"/>
  <c r="AZ541" i="147"/>
  <c r="AZ542" i="147"/>
  <c r="AZ543" i="147"/>
  <c r="AZ544" i="147"/>
  <c r="AZ545" i="147"/>
  <c r="AZ546" i="147"/>
  <c r="AZ547" i="147"/>
  <c r="AZ548" i="147"/>
  <c r="AZ549" i="147"/>
  <c r="AZ550" i="147"/>
  <c r="AZ551" i="147"/>
  <c r="AZ552" i="147"/>
  <c r="AZ553" i="147"/>
  <c r="AZ554" i="147"/>
  <c r="AZ555" i="147"/>
  <c r="AZ556" i="147"/>
  <c r="AZ557" i="147"/>
  <c r="AZ558" i="147"/>
  <c r="AZ559" i="147"/>
  <c r="AZ560" i="147"/>
  <c r="AZ561" i="147"/>
  <c r="AZ562" i="147"/>
  <c r="AZ563" i="147"/>
  <c r="AZ564" i="147"/>
  <c r="AZ565" i="147"/>
  <c r="AZ566" i="147"/>
  <c r="AZ568" i="147"/>
  <c r="AZ569" i="147"/>
  <c r="AZ570" i="147"/>
  <c r="AZ571" i="147"/>
  <c r="AZ572" i="147"/>
  <c r="AZ573" i="147"/>
  <c r="AZ574" i="147"/>
  <c r="AZ575" i="147"/>
  <c r="AZ576" i="147"/>
  <c r="AZ577" i="147"/>
  <c r="AZ578" i="147"/>
  <c r="AZ579" i="147"/>
  <c r="AZ580" i="147"/>
  <c r="AZ581" i="147"/>
  <c r="AZ582" i="147"/>
  <c r="AZ583" i="147"/>
  <c r="AZ584" i="147"/>
  <c r="AZ585" i="147"/>
  <c r="AZ586" i="147"/>
  <c r="AZ587" i="147"/>
  <c r="AZ588" i="147"/>
  <c r="AZ589" i="147"/>
  <c r="AZ590" i="147"/>
  <c r="AZ591" i="147"/>
  <c r="AZ592" i="147"/>
  <c r="AZ593" i="147"/>
  <c r="AZ595" i="147"/>
  <c r="AZ596" i="147"/>
  <c r="AZ597" i="147"/>
  <c r="AZ598" i="147"/>
  <c r="AZ600" i="147"/>
  <c r="AZ601" i="147"/>
  <c r="AZ602" i="147"/>
  <c r="AZ603" i="147"/>
  <c r="AZ604" i="147"/>
  <c r="AZ605" i="147"/>
  <c r="AZ606" i="147"/>
  <c r="AZ607" i="147"/>
  <c r="AZ608" i="147"/>
  <c r="AZ609" i="147"/>
  <c r="AZ610" i="147"/>
  <c r="AZ611" i="147"/>
  <c r="AZ612" i="147"/>
  <c r="AZ613" i="147"/>
  <c r="AZ614" i="147"/>
  <c r="AZ615" i="147"/>
  <c r="AZ616" i="147"/>
  <c r="AZ617" i="147"/>
  <c r="AZ618" i="147"/>
  <c r="AZ619" i="147"/>
  <c r="AZ620" i="147"/>
  <c r="AZ621" i="147"/>
  <c r="AZ622" i="147"/>
  <c r="AZ623" i="147"/>
  <c r="AZ624" i="147"/>
  <c r="AZ625" i="147"/>
  <c r="AZ626" i="147"/>
  <c r="AZ627" i="147"/>
  <c r="AZ628" i="147"/>
  <c r="AZ629" i="147"/>
  <c r="AZ631" i="147"/>
  <c r="AZ632" i="147"/>
  <c r="AZ633" i="147"/>
  <c r="AZ634" i="147"/>
  <c r="AZ635" i="147"/>
  <c r="AZ636" i="147"/>
  <c r="AZ637" i="147"/>
  <c r="AZ638" i="147"/>
  <c r="AZ639" i="147"/>
  <c r="AZ640" i="147"/>
  <c r="AZ641" i="147"/>
  <c r="AZ642" i="147"/>
  <c r="AZ643" i="147"/>
  <c r="BB375" i="147"/>
  <c r="BB376" i="147"/>
  <c r="BB377" i="147"/>
  <c r="BB378" i="147"/>
  <c r="BB386" i="147"/>
  <c r="BB387" i="147"/>
  <c r="BB388" i="147"/>
  <c r="BB389" i="147"/>
  <c r="BB390" i="147"/>
  <c r="BB391" i="147"/>
  <c r="BB392" i="147"/>
  <c r="BB393" i="147"/>
  <c r="BB394" i="147"/>
  <c r="BB395" i="147"/>
  <c r="BB396" i="147"/>
  <c r="BB397" i="147"/>
  <c r="BB398" i="147"/>
  <c r="BB399" i="147"/>
  <c r="BB400" i="147"/>
  <c r="BB401" i="147"/>
  <c r="BB402" i="147"/>
  <c r="BB403" i="147"/>
  <c r="BB404" i="147"/>
  <c r="BB405" i="147"/>
  <c r="BB406" i="147"/>
  <c r="BB407" i="147"/>
  <c r="BB408" i="147"/>
  <c r="BB409" i="147"/>
  <c r="BB410" i="147"/>
  <c r="BB411" i="147"/>
  <c r="BB412" i="147"/>
  <c r="BB413" i="147"/>
  <c r="BB414" i="147"/>
  <c r="BB415" i="147"/>
  <c r="BB416" i="147"/>
  <c r="BB417" i="147"/>
  <c r="BB418" i="147"/>
  <c r="BB419" i="147"/>
  <c r="BB420" i="147"/>
  <c r="BB421" i="147"/>
  <c r="BB422" i="147"/>
  <c r="BB423" i="147"/>
  <c r="BB424" i="147"/>
  <c r="BB425" i="147"/>
  <c r="BB426" i="147"/>
  <c r="BB427" i="147"/>
  <c r="BB428" i="147"/>
  <c r="BB429" i="147"/>
  <c r="BB430" i="147"/>
  <c r="BB431" i="147"/>
  <c r="BB432" i="147"/>
  <c r="BB433" i="147"/>
  <c r="BB434" i="147"/>
  <c r="BB435" i="147"/>
  <c r="BB436" i="147"/>
  <c r="BB437" i="147"/>
  <c r="BB438" i="147"/>
  <c r="BB439" i="147"/>
  <c r="BB440" i="147"/>
  <c r="BB441" i="147"/>
  <c r="BB442" i="147"/>
  <c r="BB443" i="147"/>
  <c r="BB444" i="147"/>
  <c r="BB445" i="147"/>
  <c r="BB379" i="147"/>
  <c r="BB380" i="147"/>
  <c r="BB381" i="147"/>
  <c r="BB382" i="147"/>
  <c r="BB383" i="147"/>
  <c r="BB384" i="147"/>
  <c r="BB385" i="147"/>
  <c r="BB446" i="147"/>
  <c r="BB447" i="147"/>
  <c r="BB448" i="147"/>
  <c r="BB449" i="147"/>
  <c r="BB450" i="147"/>
  <c r="BB451" i="147"/>
  <c r="BB452" i="147"/>
  <c r="BB453" i="147"/>
  <c r="BB454" i="147"/>
  <c r="BB455" i="147"/>
  <c r="BB456" i="147"/>
  <c r="BB457" i="147"/>
  <c r="BB458" i="147"/>
  <c r="BB459" i="147"/>
  <c r="BB460" i="147"/>
  <c r="BB461" i="147"/>
  <c r="BB462" i="147"/>
  <c r="BB463" i="147"/>
  <c r="BB464" i="147"/>
  <c r="BB465" i="147"/>
  <c r="BB466" i="147"/>
  <c r="BB467" i="147"/>
  <c r="BB468" i="147"/>
  <c r="BB469" i="147"/>
  <c r="BB470" i="147"/>
  <c r="BB471" i="147"/>
  <c r="BB472" i="147"/>
  <c r="BB473" i="147"/>
  <c r="BB474" i="147"/>
  <c r="BB475" i="147"/>
  <c r="BB476" i="147"/>
  <c r="BB477" i="147"/>
  <c r="BB478" i="147"/>
  <c r="BB479" i="147"/>
  <c r="BB480" i="147"/>
  <c r="BB481" i="147"/>
  <c r="BB482" i="147"/>
  <c r="BB483" i="147"/>
  <c r="BB484" i="147"/>
  <c r="BB485" i="147"/>
  <c r="BB486" i="147"/>
  <c r="BB487" i="147"/>
  <c r="BB488" i="147"/>
  <c r="BB489" i="147"/>
  <c r="BB490" i="147"/>
  <c r="BB491" i="147"/>
  <c r="BB492" i="147"/>
  <c r="BB493" i="147"/>
  <c r="BB497" i="147"/>
  <c r="BB498" i="147"/>
  <c r="BB499" i="147"/>
  <c r="BB500" i="147"/>
  <c r="BB501" i="147"/>
  <c r="BB502" i="147"/>
  <c r="BB503" i="147"/>
  <c r="BB504" i="147"/>
  <c r="BB505" i="147"/>
  <c r="BB506" i="147"/>
  <c r="BB507" i="147"/>
  <c r="BB508" i="147"/>
  <c r="BB509" i="147"/>
  <c r="BB510" i="147"/>
  <c r="BB511" i="147"/>
  <c r="BB512" i="147"/>
  <c r="BB513" i="147"/>
  <c r="BB514" i="147"/>
  <c r="BB515" i="147"/>
  <c r="BB516" i="147"/>
  <c r="BB517" i="147"/>
  <c r="BB518" i="147"/>
  <c r="BB519" i="147"/>
  <c r="BB520" i="147"/>
  <c r="BB521" i="147"/>
  <c r="BB522" i="147"/>
  <c r="BB523" i="147"/>
  <c r="BB524" i="147"/>
  <c r="BB525" i="147"/>
  <c r="BB526" i="147"/>
  <c r="BB527" i="147"/>
  <c r="BB528" i="147"/>
  <c r="BB529" i="147"/>
  <c r="BB530" i="147"/>
  <c r="BB531" i="147"/>
  <c r="BB532" i="147"/>
  <c r="BB533" i="147"/>
  <c r="BB534" i="147"/>
  <c r="BB535" i="147"/>
  <c r="BB536" i="147"/>
  <c r="BB537" i="147"/>
  <c r="BB538" i="147"/>
  <c r="BB539" i="147"/>
  <c r="BB540" i="147"/>
  <c r="BB541" i="147"/>
  <c r="BB542" i="147"/>
  <c r="BB543" i="147"/>
  <c r="BB544" i="147"/>
  <c r="BB545" i="147"/>
  <c r="BB546" i="147"/>
  <c r="BB547" i="147"/>
  <c r="BB548" i="147"/>
  <c r="BB549" i="147"/>
  <c r="BB550" i="147"/>
  <c r="BB551" i="147"/>
  <c r="BB552" i="147"/>
  <c r="BB553" i="147"/>
  <c r="BB554" i="147"/>
  <c r="BB555" i="147"/>
  <c r="BB556" i="147"/>
  <c r="BB557" i="147"/>
  <c r="BB558" i="147"/>
  <c r="BB559" i="147"/>
  <c r="BB560" i="147"/>
  <c r="BB561" i="147"/>
  <c r="BB562" i="147"/>
  <c r="BB563" i="147"/>
  <c r="BB564" i="147"/>
  <c r="BB565" i="147"/>
  <c r="BB566" i="147"/>
  <c r="BB568" i="147"/>
  <c r="BB494" i="147"/>
  <c r="BB495" i="147"/>
  <c r="BB496" i="147"/>
  <c r="BB569" i="147"/>
  <c r="BB570" i="147"/>
  <c r="BB571" i="147"/>
  <c r="BB572" i="147"/>
  <c r="BB573" i="147"/>
  <c r="BB574" i="147"/>
  <c r="BB575" i="147"/>
  <c r="BB576" i="147"/>
  <c r="BB577" i="147"/>
  <c r="BB578" i="147"/>
  <c r="BB579" i="147"/>
  <c r="BB580" i="147"/>
  <c r="BB581" i="147"/>
  <c r="BB582" i="147"/>
  <c r="BB583" i="147"/>
  <c r="BB584" i="147"/>
  <c r="BB585" i="147"/>
  <c r="BB586" i="147"/>
  <c r="BB587" i="147"/>
  <c r="BB588" i="147"/>
  <c r="BB589" i="147"/>
  <c r="BB590" i="147"/>
  <c r="BB591" i="147"/>
  <c r="BB592" i="147"/>
  <c r="BB593" i="147"/>
  <c r="BB594" i="147"/>
  <c r="BB595" i="147"/>
  <c r="BB596" i="147"/>
  <c r="BB597" i="147"/>
  <c r="BB598" i="147"/>
  <c r="BB600" i="147"/>
  <c r="BB601" i="147"/>
  <c r="BB602" i="147"/>
  <c r="BB603" i="147"/>
  <c r="BB604" i="147"/>
  <c r="BB605" i="147"/>
  <c r="BB606" i="147"/>
  <c r="BB607" i="147"/>
  <c r="BB608" i="147"/>
  <c r="BB609" i="147"/>
  <c r="BB610" i="147"/>
  <c r="BB611" i="147"/>
  <c r="BB612" i="147"/>
  <c r="BB613" i="147"/>
  <c r="BB614" i="147"/>
  <c r="BB615" i="147"/>
  <c r="BB616" i="147"/>
  <c r="BB617" i="147"/>
  <c r="BB618" i="147"/>
  <c r="BB619" i="147"/>
  <c r="BB620" i="147"/>
  <c r="BB621" i="147"/>
  <c r="BB622" i="147"/>
  <c r="BB623" i="147"/>
  <c r="BB624" i="147"/>
  <c r="BB625" i="147"/>
  <c r="BB626" i="147"/>
  <c r="BB627" i="147"/>
  <c r="BB628" i="147"/>
  <c r="BB629" i="147"/>
  <c r="BB631" i="147"/>
  <c r="BB632" i="147"/>
  <c r="BB633" i="147"/>
  <c r="BB634" i="147"/>
  <c r="BB635" i="147"/>
  <c r="BB636" i="147"/>
  <c r="BB637" i="147"/>
  <c r="BB638" i="147"/>
  <c r="BB639" i="147"/>
  <c r="BB640" i="147"/>
  <c r="BB641" i="147"/>
  <c r="BB642" i="147"/>
  <c r="BB643" i="147"/>
  <c r="BD375" i="147"/>
  <c r="BD376" i="147"/>
  <c r="BD377" i="147"/>
  <c r="BD378" i="147"/>
  <c r="BD379" i="147"/>
  <c r="BD380" i="147"/>
  <c r="BD381" i="147"/>
  <c r="BD382" i="147"/>
  <c r="BD383" i="147"/>
  <c r="BD384" i="147"/>
  <c r="BD385" i="147"/>
  <c r="BD401" i="147"/>
  <c r="BD402" i="147"/>
  <c r="BD403" i="147"/>
  <c r="BD404" i="147"/>
  <c r="BD405" i="147"/>
  <c r="BD406" i="147"/>
  <c r="BD407" i="147"/>
  <c r="BD408" i="147"/>
  <c r="BD409" i="147"/>
  <c r="BD410" i="147"/>
  <c r="BD411" i="147"/>
  <c r="BD412" i="147"/>
  <c r="BD413" i="147"/>
  <c r="BD414" i="147"/>
  <c r="BD415" i="147"/>
  <c r="BD416" i="147"/>
  <c r="BD417" i="147"/>
  <c r="BD418" i="147"/>
  <c r="BD419" i="147"/>
  <c r="BD420" i="147"/>
  <c r="BD421" i="147"/>
  <c r="BD422" i="147"/>
  <c r="BD423" i="147"/>
  <c r="BD424" i="147"/>
  <c r="BD425" i="147"/>
  <c r="BD426" i="147"/>
  <c r="BD427" i="147"/>
  <c r="BD428" i="147"/>
  <c r="BD429" i="147"/>
  <c r="BD430" i="147"/>
  <c r="BD431" i="147"/>
  <c r="BD432" i="147"/>
  <c r="BD433" i="147"/>
  <c r="BD434" i="147"/>
  <c r="BD435" i="147"/>
  <c r="BD436" i="147"/>
  <c r="BD437" i="147"/>
  <c r="BD438" i="147"/>
  <c r="BD439" i="147"/>
  <c r="BD440" i="147"/>
  <c r="BD441" i="147"/>
  <c r="BD442" i="147"/>
  <c r="BD443" i="147"/>
  <c r="BD444" i="147"/>
  <c r="BD445" i="147"/>
  <c r="BD386" i="147"/>
  <c r="BD387" i="147"/>
  <c r="BD388" i="147"/>
  <c r="BD389" i="147"/>
  <c r="BD390" i="147"/>
  <c r="BD391" i="147"/>
  <c r="BD392" i="147"/>
  <c r="BD393" i="147"/>
  <c r="BD394" i="147"/>
  <c r="BD395" i="147"/>
  <c r="BD396" i="147"/>
  <c r="BD397" i="147"/>
  <c r="BD398" i="147"/>
  <c r="BD399" i="147"/>
  <c r="BD400" i="147"/>
  <c r="BD446" i="147"/>
  <c r="BD447" i="147"/>
  <c r="BD448" i="147"/>
  <c r="BD449" i="147"/>
  <c r="BD450" i="147"/>
  <c r="BD451" i="147"/>
  <c r="BD452" i="147"/>
  <c r="BD453" i="147"/>
  <c r="BD454" i="147"/>
  <c r="BD455" i="147"/>
  <c r="BD456" i="147"/>
  <c r="BD457" i="147"/>
  <c r="BD458" i="147"/>
  <c r="BD459" i="147"/>
  <c r="BD460" i="147"/>
  <c r="BD461" i="147"/>
  <c r="BD462" i="147"/>
  <c r="BD463" i="147"/>
  <c r="BD464" i="147"/>
  <c r="BD465" i="147"/>
  <c r="BD466" i="147"/>
  <c r="BD467" i="147"/>
  <c r="BD468" i="147"/>
  <c r="BD469" i="147"/>
  <c r="BD470" i="147"/>
  <c r="BD471" i="147"/>
  <c r="BD472" i="147"/>
  <c r="BD473" i="147"/>
  <c r="BD474" i="147"/>
  <c r="BD475" i="147"/>
  <c r="BD476" i="147"/>
  <c r="BD477" i="147"/>
  <c r="BD478" i="147"/>
  <c r="BD479" i="147"/>
  <c r="BD480" i="147"/>
  <c r="BD481" i="147"/>
  <c r="BD482" i="147"/>
  <c r="BD483" i="147"/>
  <c r="BD484" i="147"/>
  <c r="BD485" i="147"/>
  <c r="BD486" i="147"/>
  <c r="BD487" i="147"/>
  <c r="BD488" i="147"/>
  <c r="BD489" i="147"/>
  <c r="BD490" i="147"/>
  <c r="BD491" i="147"/>
  <c r="BD492" i="147"/>
  <c r="BD493" i="147"/>
  <c r="BD494" i="147"/>
  <c r="BD495" i="147"/>
  <c r="BD496" i="147"/>
  <c r="BD497" i="147"/>
  <c r="BD498" i="147"/>
  <c r="BD499" i="147"/>
  <c r="BD500" i="147"/>
  <c r="BD501" i="147"/>
  <c r="BD502" i="147"/>
  <c r="BD503" i="147"/>
  <c r="BD504" i="147"/>
  <c r="BD505" i="147"/>
  <c r="BD506" i="147"/>
  <c r="BD507" i="147"/>
  <c r="BD508" i="147"/>
  <c r="BD509" i="147"/>
  <c r="BD510" i="147"/>
  <c r="BD511" i="147"/>
  <c r="BD512" i="147"/>
  <c r="BD513" i="147"/>
  <c r="BD514" i="147"/>
  <c r="BD515" i="147"/>
  <c r="BD516" i="147"/>
  <c r="BD517" i="147"/>
  <c r="BD518" i="147"/>
  <c r="BD519" i="147"/>
  <c r="BD520" i="147"/>
  <c r="BD521" i="147"/>
  <c r="BD522" i="147"/>
  <c r="BD523" i="147"/>
  <c r="BD524" i="147"/>
  <c r="BD525" i="147"/>
  <c r="BD526" i="147"/>
  <c r="BD527" i="147"/>
  <c r="BD528" i="147"/>
  <c r="BD529" i="147"/>
  <c r="BD530" i="147"/>
  <c r="BD531" i="147"/>
  <c r="BD532" i="147"/>
  <c r="BD533" i="147"/>
  <c r="BD534" i="147"/>
  <c r="BD535" i="147"/>
  <c r="BD536" i="147"/>
  <c r="BD537" i="147"/>
  <c r="BD538" i="147"/>
  <c r="BD539" i="147"/>
  <c r="BD540" i="147"/>
  <c r="BD541" i="147"/>
  <c r="BD542" i="147"/>
  <c r="BD543" i="147"/>
  <c r="BD544" i="147"/>
  <c r="BD545" i="147"/>
  <c r="BD546" i="147"/>
  <c r="BD547" i="147"/>
  <c r="BD548" i="147"/>
  <c r="BD549" i="147"/>
  <c r="BD550" i="147"/>
  <c r="BD551" i="147"/>
  <c r="BD552" i="147"/>
  <c r="BD553" i="147"/>
  <c r="BD554" i="147"/>
  <c r="BD555" i="147"/>
  <c r="BD556" i="147"/>
  <c r="BD557" i="147"/>
  <c r="BD558" i="147"/>
  <c r="BD559" i="147"/>
  <c r="BD560" i="147"/>
  <c r="BD561" i="147"/>
  <c r="BD562" i="147"/>
  <c r="BD563" i="147"/>
  <c r="BD564" i="147"/>
  <c r="BD565" i="147"/>
  <c r="BD566" i="147"/>
  <c r="BD568" i="147"/>
  <c r="BD569" i="147"/>
  <c r="BD570" i="147"/>
  <c r="BD571" i="147"/>
  <c r="BD572" i="147"/>
  <c r="BD573" i="147"/>
  <c r="BD574" i="147"/>
  <c r="BD575" i="147"/>
  <c r="BD576" i="147"/>
  <c r="BD577" i="147"/>
  <c r="BD578" i="147"/>
  <c r="BD579" i="147"/>
  <c r="BD580" i="147"/>
  <c r="BD581" i="147"/>
  <c r="BD582" i="147"/>
  <c r="BD583" i="147"/>
  <c r="BD584" i="147"/>
  <c r="BD585" i="147"/>
  <c r="BD586" i="147"/>
  <c r="BD587" i="147"/>
  <c r="BD588" i="147"/>
  <c r="BD589" i="147"/>
  <c r="BD590" i="147"/>
  <c r="BD591" i="147"/>
  <c r="BD592" i="147"/>
  <c r="BD593" i="147"/>
  <c r="BD594" i="147"/>
  <c r="BD595" i="147"/>
  <c r="BD596" i="147"/>
  <c r="BD597" i="147"/>
  <c r="BD598" i="147"/>
  <c r="BD600" i="147"/>
  <c r="BD601" i="147"/>
  <c r="BD602" i="147"/>
  <c r="BD603" i="147"/>
  <c r="BD604" i="147"/>
  <c r="BD605" i="147"/>
  <c r="BD606" i="147"/>
  <c r="BD607" i="147"/>
  <c r="BD608" i="147"/>
  <c r="BD609" i="147"/>
  <c r="BD610" i="147"/>
  <c r="BD611" i="147"/>
  <c r="BD612" i="147"/>
  <c r="BD613" i="147"/>
  <c r="BD614" i="147"/>
  <c r="BD615" i="147"/>
  <c r="BD616" i="147"/>
  <c r="BD617" i="147"/>
  <c r="BD618" i="147"/>
  <c r="BD619" i="147"/>
  <c r="BD620" i="147"/>
  <c r="BD621" i="147"/>
  <c r="BD622" i="147"/>
  <c r="BD623" i="147"/>
  <c r="BD624" i="147"/>
  <c r="BD625" i="147"/>
  <c r="BD626" i="147"/>
  <c r="BD627" i="147"/>
  <c r="BD628" i="147"/>
  <c r="BD629" i="147"/>
  <c r="BD631" i="147"/>
  <c r="BD632" i="147"/>
  <c r="BD633" i="147"/>
  <c r="BD634" i="147"/>
  <c r="BD635" i="147"/>
  <c r="BD637" i="147"/>
  <c r="BD638" i="147"/>
  <c r="BD639" i="147"/>
  <c r="BD640" i="147"/>
  <c r="BD641" i="147"/>
  <c r="BD642" i="147"/>
  <c r="BD643" i="147"/>
  <c r="BI375" i="147"/>
  <c r="BI379" i="147"/>
  <c r="BI380" i="147"/>
  <c r="BI381" i="147"/>
  <c r="BI382" i="147"/>
  <c r="BI383" i="147"/>
  <c r="BI384" i="147"/>
  <c r="BI385" i="147"/>
  <c r="BI376" i="147"/>
  <c r="BI377" i="147"/>
  <c r="BI378" i="147"/>
  <c r="BI386" i="147"/>
  <c r="BI387" i="147"/>
  <c r="BI388" i="147"/>
  <c r="BI389" i="147"/>
  <c r="BI390" i="147"/>
  <c r="BI391" i="147"/>
  <c r="BI392" i="147"/>
  <c r="BI393" i="147"/>
  <c r="BI394" i="147"/>
  <c r="BI395" i="147"/>
  <c r="BI396" i="147"/>
  <c r="BI397" i="147"/>
  <c r="BI398" i="147"/>
  <c r="BI399" i="147"/>
  <c r="BI400" i="147"/>
  <c r="BI401" i="147"/>
  <c r="BI402" i="147"/>
  <c r="BI403" i="147"/>
  <c r="BI404" i="147"/>
  <c r="BI405" i="147"/>
  <c r="BI406" i="147"/>
  <c r="BI407" i="147"/>
  <c r="BI408" i="147"/>
  <c r="BI409" i="147"/>
  <c r="BI410" i="147"/>
  <c r="BI411" i="147"/>
  <c r="BI412" i="147"/>
  <c r="BI413" i="147"/>
  <c r="BI414" i="147"/>
  <c r="BI415" i="147"/>
  <c r="BI416" i="147"/>
  <c r="BI417" i="147"/>
  <c r="BI429" i="147"/>
  <c r="BI430" i="147"/>
  <c r="BI431" i="147"/>
  <c r="BI432" i="147"/>
  <c r="BI433" i="147"/>
  <c r="BI418" i="147"/>
  <c r="BI419" i="147"/>
  <c r="BI420" i="147"/>
  <c r="BI421" i="147"/>
  <c r="BI422" i="147"/>
  <c r="BI423" i="147"/>
  <c r="BI424" i="147"/>
  <c r="BI425" i="147"/>
  <c r="BI426" i="147"/>
  <c r="BI427" i="147"/>
  <c r="BI428" i="147"/>
  <c r="BI439" i="147"/>
  <c r="BI440" i="147"/>
  <c r="BI441" i="147"/>
  <c r="BI442" i="147"/>
  <c r="BI443" i="147"/>
  <c r="BI444" i="147"/>
  <c r="BI445" i="147"/>
  <c r="BI446" i="147"/>
  <c r="BI447" i="147"/>
  <c r="BI448" i="147"/>
  <c r="BI449" i="147"/>
  <c r="BI450" i="147"/>
  <c r="BI451" i="147"/>
  <c r="BI452" i="147"/>
  <c r="BI453" i="147"/>
  <c r="BI454" i="147"/>
  <c r="BI455" i="147"/>
  <c r="BI456" i="147"/>
  <c r="BI457" i="147"/>
  <c r="BI434" i="147"/>
  <c r="BI435" i="147"/>
  <c r="BI436" i="147"/>
  <c r="BI437" i="147"/>
  <c r="BI438" i="147"/>
  <c r="BI458" i="147"/>
  <c r="BI459" i="147"/>
  <c r="BI460" i="147"/>
  <c r="BI461" i="147"/>
  <c r="BI462" i="147"/>
  <c r="BI463" i="147"/>
  <c r="BI464" i="147"/>
  <c r="BI465" i="147"/>
  <c r="BI466" i="147"/>
  <c r="BI467" i="147"/>
  <c r="BI468" i="147"/>
  <c r="BI469" i="147"/>
  <c r="BI470" i="147"/>
  <c r="BI471" i="147"/>
  <c r="BI472" i="147"/>
  <c r="BI473" i="147"/>
  <c r="BI474" i="147"/>
  <c r="BI475" i="147"/>
  <c r="BI476" i="147"/>
  <c r="BI477" i="147"/>
  <c r="BI478" i="147"/>
  <c r="BI479" i="147"/>
  <c r="BI480" i="147"/>
  <c r="BI481" i="147"/>
  <c r="BI482" i="147"/>
  <c r="BI483" i="147"/>
  <c r="BI484" i="147"/>
  <c r="BI485" i="147"/>
  <c r="BI486" i="147"/>
  <c r="BI487" i="147"/>
  <c r="BI488" i="147"/>
  <c r="BI489" i="147"/>
  <c r="BI490" i="147"/>
  <c r="BI491" i="147"/>
  <c r="BI492" i="147"/>
  <c r="BI493" i="147"/>
  <c r="BI494" i="147"/>
  <c r="BI495" i="147"/>
  <c r="BI496" i="147"/>
  <c r="BI497" i="147"/>
  <c r="BI498" i="147"/>
  <c r="BI499" i="147"/>
  <c r="BI500" i="147"/>
  <c r="BI501" i="147"/>
  <c r="BI502" i="147"/>
  <c r="BI503" i="147"/>
  <c r="BI504" i="147"/>
  <c r="BI505" i="147"/>
  <c r="BI506" i="147"/>
  <c r="BI507" i="147"/>
  <c r="BI508" i="147"/>
  <c r="BI509" i="147"/>
  <c r="BI510" i="147"/>
  <c r="BI511" i="147"/>
  <c r="BI512" i="147"/>
  <c r="BI513" i="147"/>
  <c r="BI514" i="147"/>
  <c r="BI515" i="147"/>
  <c r="BI516" i="147"/>
  <c r="BI517" i="147"/>
  <c r="BI518" i="147"/>
  <c r="BI519" i="147"/>
  <c r="BI520" i="147"/>
  <c r="BI521" i="147"/>
  <c r="BI522" i="147"/>
  <c r="BI523" i="147"/>
  <c r="BI524" i="147"/>
  <c r="BI525" i="147"/>
  <c r="BI526" i="147"/>
  <c r="BI527" i="147"/>
  <c r="BI528" i="147"/>
  <c r="BI529" i="147"/>
  <c r="BI530" i="147"/>
  <c r="BI531" i="147"/>
  <c r="BI532" i="147"/>
  <c r="BI533" i="147"/>
  <c r="BI534" i="147"/>
  <c r="BI535" i="147"/>
  <c r="BI536" i="147"/>
  <c r="BI537" i="147"/>
  <c r="BI538" i="147"/>
  <c r="BI539" i="147"/>
  <c r="BI540" i="147"/>
  <c r="BI541" i="147"/>
  <c r="BI542" i="147"/>
  <c r="BI543" i="147"/>
  <c r="BI544" i="147"/>
  <c r="BI545" i="147"/>
  <c r="BI546" i="147"/>
  <c r="BI547" i="147"/>
  <c r="BI548" i="147"/>
  <c r="BI549" i="147"/>
  <c r="BI550" i="147"/>
  <c r="BI551" i="147"/>
  <c r="BI552" i="147"/>
  <c r="BI553" i="147"/>
  <c r="BI554" i="147"/>
  <c r="BI555" i="147"/>
  <c r="BI556" i="147"/>
  <c r="BI557" i="147"/>
  <c r="BI558" i="147"/>
  <c r="BI559" i="147"/>
  <c r="BI560" i="147"/>
  <c r="BI561" i="147"/>
  <c r="BI562" i="147"/>
  <c r="BI563" i="147"/>
  <c r="BI564" i="147"/>
  <c r="BI565" i="147"/>
  <c r="BI566" i="147"/>
  <c r="BI568" i="147"/>
  <c r="BI569" i="147"/>
  <c r="BI570" i="147"/>
  <c r="BI571" i="147"/>
  <c r="BI572" i="147"/>
  <c r="BI573" i="147"/>
  <c r="BI574" i="147"/>
  <c r="BI575" i="147"/>
  <c r="BI576" i="147"/>
  <c r="BI577" i="147"/>
  <c r="BI578" i="147"/>
  <c r="BI579" i="147"/>
  <c r="BI580" i="147"/>
  <c r="BI581" i="147"/>
  <c r="BI582" i="147"/>
  <c r="BI583" i="147"/>
  <c r="BI584" i="147"/>
  <c r="BI585" i="147"/>
  <c r="BI586" i="147"/>
  <c r="BI587" i="147"/>
  <c r="BI588" i="147"/>
  <c r="BI589" i="147"/>
  <c r="BI590" i="147"/>
  <c r="BI591" i="147"/>
  <c r="BI592" i="147"/>
  <c r="BI593" i="147"/>
  <c r="BI594" i="147"/>
  <c r="BI595" i="147"/>
  <c r="BI596" i="147"/>
  <c r="BI597" i="147"/>
  <c r="BI598" i="147"/>
  <c r="BI600" i="147"/>
  <c r="BI601" i="147"/>
  <c r="BI602" i="147"/>
  <c r="BI603" i="147"/>
  <c r="BI604" i="147"/>
  <c r="BI605" i="147"/>
  <c r="BI606" i="147"/>
  <c r="BI607" i="147"/>
  <c r="BI608" i="147"/>
  <c r="BI609" i="147"/>
  <c r="BI610" i="147"/>
  <c r="BI611" i="147"/>
  <c r="BI612" i="147"/>
  <c r="BI613" i="147"/>
  <c r="BI614" i="147"/>
  <c r="BI615" i="147"/>
  <c r="BI616" i="147"/>
  <c r="BI617" i="147"/>
  <c r="BI618" i="147"/>
  <c r="BI619" i="147"/>
  <c r="BI620" i="147"/>
  <c r="BI621" i="147"/>
  <c r="BI622" i="147"/>
  <c r="BI623" i="147"/>
  <c r="BI624" i="147"/>
  <c r="BI625" i="147"/>
  <c r="BI626" i="147"/>
  <c r="BI627" i="147"/>
  <c r="BI628" i="147"/>
  <c r="BI629" i="147"/>
  <c r="BI631" i="147"/>
  <c r="BI632" i="147"/>
  <c r="BI633" i="147"/>
  <c r="BI634" i="147"/>
  <c r="BI635" i="147"/>
  <c r="BI636" i="147"/>
  <c r="BI637" i="147"/>
  <c r="BI639" i="147"/>
  <c r="BI640" i="147"/>
  <c r="BI641" i="147"/>
  <c r="BI642" i="147"/>
  <c r="BI643" i="147"/>
  <c r="BK376" i="147"/>
  <c r="BK377" i="147"/>
  <c r="BK378" i="147"/>
  <c r="BK379" i="147"/>
  <c r="BK380" i="147"/>
  <c r="BK381" i="147"/>
  <c r="BK382" i="147"/>
  <c r="BK383" i="147"/>
  <c r="BK384" i="147"/>
  <c r="BK385" i="147"/>
  <c r="BK375" i="147"/>
  <c r="BK386" i="147"/>
  <c r="BK387" i="147"/>
  <c r="BK388" i="147"/>
  <c r="BK389" i="147"/>
  <c r="BK390" i="147"/>
  <c r="BK391" i="147"/>
  <c r="BK392" i="147"/>
  <c r="BK393" i="147"/>
  <c r="BK394" i="147"/>
  <c r="BK395" i="147"/>
  <c r="BK396" i="147"/>
  <c r="BK397" i="147"/>
  <c r="BK398" i="147"/>
  <c r="BK399" i="147"/>
  <c r="BK400" i="147"/>
  <c r="BK401" i="147"/>
  <c r="BK402" i="147"/>
  <c r="BK403" i="147"/>
  <c r="BK404" i="147"/>
  <c r="BK405" i="147"/>
  <c r="BK406" i="147"/>
  <c r="BK407" i="147"/>
  <c r="BK408" i="147"/>
  <c r="BK409" i="147"/>
  <c r="BK410" i="147"/>
  <c r="BK411" i="147"/>
  <c r="BK412" i="147"/>
  <c r="BK413" i="147"/>
  <c r="BK414" i="147"/>
  <c r="BK415" i="147"/>
  <c r="BK416" i="147"/>
  <c r="BK417" i="147"/>
  <c r="BK418" i="147"/>
  <c r="BK419" i="147"/>
  <c r="BK420" i="147"/>
  <c r="BK421" i="147"/>
  <c r="BK422" i="147"/>
  <c r="BK423" i="147"/>
  <c r="BK424" i="147"/>
  <c r="BK425" i="147"/>
  <c r="BK426" i="147"/>
  <c r="BK427" i="147"/>
  <c r="BK428" i="147"/>
  <c r="BK429" i="147"/>
  <c r="BK430" i="147"/>
  <c r="BK431" i="147"/>
  <c r="BK432" i="147"/>
  <c r="BK433" i="147"/>
  <c r="BK434" i="147"/>
  <c r="BK435" i="147"/>
  <c r="BK436" i="147"/>
  <c r="BK437" i="147"/>
  <c r="BK438" i="147"/>
  <c r="BK446" i="147"/>
  <c r="BK447" i="147"/>
  <c r="BK448" i="147"/>
  <c r="BK449" i="147"/>
  <c r="BK450" i="147"/>
  <c r="BK451" i="147"/>
  <c r="BK452" i="147"/>
  <c r="BK453" i="147"/>
  <c r="BK454" i="147"/>
  <c r="BK455" i="147"/>
  <c r="BK456" i="147"/>
  <c r="BK457" i="147"/>
  <c r="BK439" i="147"/>
  <c r="BK440" i="147"/>
  <c r="BK441" i="147"/>
  <c r="BK442" i="147"/>
  <c r="BK443" i="147"/>
  <c r="BK444" i="147"/>
  <c r="BK445" i="147"/>
  <c r="BK458" i="147"/>
  <c r="BK459" i="147"/>
  <c r="BK460" i="147"/>
  <c r="BK461" i="147"/>
  <c r="BK462" i="147"/>
  <c r="BK463" i="147"/>
  <c r="BK464" i="147"/>
  <c r="BK465" i="147"/>
  <c r="BK466" i="147"/>
  <c r="BK467" i="147"/>
  <c r="BK468" i="147"/>
  <c r="BK469" i="147"/>
  <c r="BK470" i="147"/>
  <c r="BK471" i="147"/>
  <c r="BK472" i="147"/>
  <c r="BK473" i="147"/>
  <c r="BK474" i="147"/>
  <c r="BK475" i="147"/>
  <c r="BK476" i="147"/>
  <c r="BK477" i="147"/>
  <c r="BK478" i="147"/>
  <c r="BK479" i="147"/>
  <c r="BK480" i="147"/>
  <c r="BK481" i="147"/>
  <c r="BK482" i="147"/>
  <c r="BK483" i="147"/>
  <c r="BK484" i="147"/>
  <c r="BK485" i="147"/>
  <c r="BK486" i="147"/>
  <c r="BK487" i="147"/>
  <c r="BK488" i="147"/>
  <c r="BK489" i="147"/>
  <c r="BK490" i="147"/>
  <c r="BK491" i="147"/>
  <c r="BK492" i="147"/>
  <c r="BK493" i="147"/>
  <c r="BK494" i="147"/>
  <c r="BK495" i="147"/>
  <c r="BK496" i="147"/>
  <c r="BK497" i="147"/>
  <c r="BK498" i="147"/>
  <c r="BK499" i="147"/>
  <c r="BK500" i="147"/>
  <c r="BK501" i="147"/>
  <c r="BK502" i="147"/>
  <c r="BK503" i="147"/>
  <c r="BK504" i="147"/>
  <c r="BK505" i="147"/>
  <c r="BK506" i="147"/>
  <c r="BK507" i="147"/>
  <c r="BK508" i="147"/>
  <c r="BK509" i="147"/>
  <c r="BK510" i="147"/>
  <c r="BK511" i="147"/>
  <c r="BK512" i="147"/>
  <c r="BK513" i="147"/>
  <c r="BK514" i="147"/>
  <c r="BK515" i="147"/>
  <c r="BK516" i="147"/>
  <c r="BK517" i="147"/>
  <c r="BK518" i="147"/>
  <c r="BK519" i="147"/>
  <c r="BK520" i="147"/>
  <c r="BK521" i="147"/>
  <c r="BK522" i="147"/>
  <c r="BK523" i="147"/>
  <c r="BK524" i="147"/>
  <c r="BK525" i="147"/>
  <c r="BK526" i="147"/>
  <c r="BK527" i="147"/>
  <c r="BK528" i="147"/>
  <c r="BK529" i="147"/>
  <c r="BK530" i="147"/>
  <c r="BK531" i="147"/>
  <c r="BK532" i="147"/>
  <c r="BK533" i="147"/>
  <c r="BK534" i="147"/>
  <c r="BK535" i="147"/>
  <c r="BK536" i="147"/>
  <c r="BK537" i="147"/>
  <c r="BK538" i="147"/>
  <c r="BK539" i="147"/>
  <c r="BK540" i="147"/>
  <c r="BK541" i="147"/>
  <c r="BK542" i="147"/>
  <c r="BK543" i="147"/>
  <c r="BK544" i="147"/>
  <c r="BK545" i="147"/>
  <c r="BK546" i="147"/>
  <c r="BK547" i="147"/>
  <c r="BK548" i="147"/>
  <c r="BK549" i="147"/>
  <c r="BK550" i="147"/>
  <c r="BK551" i="147"/>
  <c r="BK552" i="147"/>
  <c r="BK553" i="147"/>
  <c r="BK554" i="147"/>
  <c r="BK555" i="147"/>
  <c r="BK556" i="147"/>
  <c r="BK557" i="147"/>
  <c r="BK558" i="147"/>
  <c r="BK559" i="147"/>
  <c r="BK560" i="147"/>
  <c r="BK561" i="147"/>
  <c r="BK562" i="147"/>
  <c r="BK563" i="147"/>
  <c r="BK564" i="147"/>
  <c r="BK565" i="147"/>
  <c r="BK566" i="147"/>
  <c r="BK568" i="147"/>
  <c r="BK569" i="147"/>
  <c r="BK570" i="147"/>
  <c r="BK571" i="147"/>
  <c r="BK572" i="147"/>
  <c r="BK573" i="147"/>
  <c r="BK574" i="147"/>
  <c r="BK575" i="147"/>
  <c r="BK576" i="147"/>
  <c r="BK577" i="147"/>
  <c r="BK578" i="147"/>
  <c r="BK579" i="147"/>
  <c r="BK580" i="147"/>
  <c r="BK581" i="147"/>
  <c r="BK582" i="147"/>
  <c r="BK583" i="147"/>
  <c r="BK584" i="147"/>
  <c r="BK585" i="147"/>
  <c r="BK586" i="147"/>
  <c r="BK587" i="147"/>
  <c r="BK588" i="147"/>
  <c r="BK589" i="147"/>
  <c r="BK590" i="147"/>
  <c r="BK591" i="147"/>
  <c r="BK592" i="147"/>
  <c r="BK593" i="147"/>
  <c r="BK594" i="147"/>
  <c r="BK595" i="147"/>
  <c r="BK596" i="147"/>
  <c r="BK597" i="147"/>
  <c r="BK598" i="147"/>
  <c r="BK600" i="147"/>
  <c r="BK601" i="147"/>
  <c r="BK602" i="147"/>
  <c r="BK603" i="147"/>
  <c r="BK604" i="147"/>
  <c r="BK605" i="147"/>
  <c r="BK606" i="147"/>
  <c r="BK607" i="147"/>
  <c r="BK608" i="147"/>
  <c r="BK609" i="147"/>
  <c r="BK610" i="147"/>
  <c r="BK611" i="147"/>
  <c r="BK612" i="147"/>
  <c r="BK613" i="147"/>
  <c r="BK614" i="147"/>
  <c r="BK615" i="147"/>
  <c r="BK616" i="147"/>
  <c r="BK617" i="147"/>
  <c r="BK618" i="147"/>
  <c r="BK619" i="147"/>
  <c r="BK620" i="147"/>
  <c r="BK621" i="147"/>
  <c r="BK622" i="147"/>
  <c r="BK623" i="147"/>
  <c r="BK624" i="147"/>
  <c r="BK625" i="147"/>
  <c r="BK626" i="147"/>
  <c r="BK627" i="147"/>
  <c r="BK628" i="147"/>
  <c r="BK629" i="147"/>
  <c r="BK631" i="147"/>
  <c r="BK632" i="147"/>
  <c r="BK633" i="147"/>
  <c r="BK634" i="147"/>
  <c r="BK635" i="147"/>
  <c r="BK636" i="147"/>
  <c r="BK637" i="147"/>
  <c r="BK638" i="147"/>
  <c r="BK639" i="147"/>
  <c r="BK641" i="147"/>
  <c r="BK642" i="147"/>
  <c r="BK643" i="147"/>
  <c r="BM375" i="147"/>
  <c r="BM379" i="147"/>
  <c r="BM380" i="147"/>
  <c r="BM381" i="147"/>
  <c r="BM382" i="147"/>
  <c r="BM383" i="147"/>
  <c r="BM384" i="147"/>
  <c r="BM385" i="147"/>
  <c r="BM386" i="147"/>
  <c r="BM387" i="147"/>
  <c r="BM388" i="147"/>
  <c r="BM389" i="147"/>
  <c r="BM390" i="147"/>
  <c r="BM391" i="147"/>
  <c r="BM392" i="147"/>
  <c r="BM393" i="147"/>
  <c r="BM394" i="147"/>
  <c r="BM395" i="147"/>
  <c r="BM396" i="147"/>
  <c r="BM397" i="147"/>
  <c r="BM398" i="147"/>
  <c r="BM399" i="147"/>
  <c r="BM376" i="147"/>
  <c r="BM378" i="147"/>
  <c r="BM377" i="147"/>
  <c r="BM400" i="147"/>
  <c r="BM401" i="147"/>
  <c r="BM402" i="147"/>
  <c r="BM403" i="147"/>
  <c r="BM404" i="147"/>
  <c r="BM405" i="147"/>
  <c r="BM406" i="147"/>
  <c r="BM407" i="147"/>
  <c r="BM408" i="147"/>
  <c r="BM409" i="147"/>
  <c r="BM410" i="147"/>
  <c r="BM411" i="147"/>
  <c r="BM412" i="147"/>
  <c r="BM413" i="147"/>
  <c r="BM414" i="147"/>
  <c r="BM415" i="147"/>
  <c r="BM416" i="147"/>
  <c r="BM417" i="147"/>
  <c r="BM418" i="147"/>
  <c r="BM419" i="147"/>
  <c r="BM420" i="147"/>
  <c r="BM421" i="147"/>
  <c r="BM422" i="147"/>
  <c r="BM423" i="147"/>
  <c r="BM424" i="147"/>
  <c r="BM425" i="147"/>
  <c r="BM426" i="147"/>
  <c r="BM427" i="147"/>
  <c r="BM428" i="147"/>
  <c r="BM429" i="147"/>
  <c r="BM430" i="147"/>
  <c r="BM431" i="147"/>
  <c r="BM432" i="147"/>
  <c r="BM433" i="147"/>
  <c r="BM434" i="147"/>
  <c r="BM435" i="147"/>
  <c r="BM436" i="147"/>
  <c r="BM437" i="147"/>
  <c r="BM438" i="147"/>
  <c r="BM439" i="147"/>
  <c r="BM440" i="147"/>
  <c r="BM441" i="147"/>
  <c r="BM442" i="147"/>
  <c r="BM443" i="147"/>
  <c r="BM444" i="147"/>
  <c r="BM445" i="147"/>
  <c r="BM446" i="147"/>
  <c r="BM447" i="147"/>
  <c r="BM448" i="147"/>
  <c r="BM449" i="147"/>
  <c r="BM450" i="147"/>
  <c r="BM451" i="147"/>
  <c r="BM452" i="147"/>
  <c r="BM453" i="147"/>
  <c r="BM454" i="147"/>
  <c r="BM455" i="147"/>
  <c r="BM456" i="147"/>
  <c r="BM457" i="147"/>
  <c r="BM458" i="147"/>
  <c r="BM459" i="147"/>
  <c r="BM460" i="147"/>
  <c r="BM461" i="147"/>
  <c r="BM462" i="147"/>
  <c r="BM463" i="147"/>
  <c r="BM464" i="147"/>
  <c r="BM465" i="147"/>
  <c r="BM466" i="147"/>
  <c r="BM467" i="147"/>
  <c r="BM468" i="147"/>
  <c r="BM469" i="147"/>
  <c r="BM470" i="147"/>
  <c r="BM471" i="147"/>
  <c r="BM472" i="147"/>
  <c r="BM473" i="147"/>
  <c r="BM474" i="147"/>
  <c r="BM475" i="147"/>
  <c r="BM476" i="147"/>
  <c r="BM477" i="147"/>
  <c r="BM478" i="147"/>
  <c r="BM479" i="147"/>
  <c r="BM480" i="147"/>
  <c r="BM481" i="147"/>
  <c r="BM482" i="147"/>
  <c r="BM483" i="147"/>
  <c r="BM484" i="147"/>
  <c r="BM485" i="147"/>
  <c r="BM486" i="147"/>
  <c r="BM487" i="147"/>
  <c r="BM488" i="147"/>
  <c r="BM489" i="147"/>
  <c r="BM490" i="147"/>
  <c r="BM491" i="147"/>
  <c r="BM492" i="147"/>
  <c r="BM493" i="147"/>
  <c r="BM494" i="147"/>
  <c r="BM495" i="147"/>
  <c r="BM496" i="147"/>
  <c r="BM497" i="147"/>
  <c r="BM498" i="147"/>
  <c r="BM499" i="147"/>
  <c r="BM500" i="147"/>
  <c r="BM501" i="147"/>
  <c r="BM502" i="147"/>
  <c r="BM503" i="147"/>
  <c r="BM504" i="147"/>
  <c r="BM505" i="147"/>
  <c r="BM506" i="147"/>
  <c r="BM507" i="147"/>
  <c r="BM508" i="147"/>
  <c r="BM509" i="147"/>
  <c r="BM510" i="147"/>
  <c r="BM511" i="147"/>
  <c r="BM512" i="147"/>
  <c r="BM513" i="147"/>
  <c r="BM514" i="147"/>
  <c r="BM515" i="147"/>
  <c r="BM516" i="147"/>
  <c r="BM517" i="147"/>
  <c r="BM518" i="147"/>
  <c r="BM519" i="147"/>
  <c r="BM520" i="147"/>
  <c r="BM521" i="147"/>
  <c r="BM522" i="147"/>
  <c r="BM523" i="147"/>
  <c r="BM524" i="147"/>
  <c r="BM525" i="147"/>
  <c r="BM526" i="147"/>
  <c r="BM527" i="147"/>
  <c r="BM528" i="147"/>
  <c r="BM529" i="147"/>
  <c r="BM530" i="147"/>
  <c r="BM531" i="147"/>
  <c r="BM532" i="147"/>
  <c r="BM533" i="147"/>
  <c r="BM534" i="147"/>
  <c r="BM535" i="147"/>
  <c r="BM536" i="147"/>
  <c r="BM537" i="147"/>
  <c r="BM538" i="147"/>
  <c r="BM539" i="147"/>
  <c r="BM540" i="147"/>
  <c r="BM541" i="147"/>
  <c r="BM542" i="147"/>
  <c r="BM543" i="147"/>
  <c r="BM544" i="147"/>
  <c r="BM545" i="147"/>
  <c r="BM546" i="147"/>
  <c r="BM547" i="147"/>
  <c r="BM548" i="147"/>
  <c r="BM549" i="147"/>
  <c r="BM550" i="147"/>
  <c r="BM551" i="147"/>
  <c r="BM552" i="147"/>
  <c r="BM553" i="147"/>
  <c r="BM554" i="147"/>
  <c r="BM555" i="147"/>
  <c r="BM556" i="147"/>
  <c r="BM557" i="147"/>
  <c r="BM558" i="147"/>
  <c r="BM559" i="147"/>
  <c r="BM560" i="147"/>
  <c r="BM561" i="147"/>
  <c r="BM562" i="147"/>
  <c r="BM563" i="147"/>
  <c r="BM564" i="147"/>
  <c r="BM565" i="147"/>
  <c r="BM566" i="147"/>
  <c r="BM568" i="147"/>
  <c r="BM569" i="147"/>
  <c r="BM570" i="147"/>
  <c r="BM571" i="147"/>
  <c r="BM572" i="147"/>
  <c r="BM573" i="147"/>
  <c r="BM574" i="147"/>
  <c r="BM575" i="147"/>
  <c r="BM576" i="147"/>
  <c r="BM577" i="147"/>
  <c r="BM578" i="147"/>
  <c r="BM579" i="147"/>
  <c r="BM580" i="147"/>
  <c r="BM581" i="147"/>
  <c r="BM582" i="147"/>
  <c r="BM583" i="147"/>
  <c r="BM584" i="147"/>
  <c r="BM585" i="147"/>
  <c r="BM586" i="147"/>
  <c r="BM587" i="147"/>
  <c r="BM588" i="147"/>
  <c r="BM589" i="147"/>
  <c r="BM590" i="147"/>
  <c r="BM591" i="147"/>
  <c r="BM592" i="147"/>
  <c r="BM593" i="147"/>
  <c r="BM594" i="147"/>
  <c r="BM595" i="147"/>
  <c r="BM596" i="147"/>
  <c r="BM597" i="147"/>
  <c r="BM598" i="147"/>
  <c r="BM600" i="147"/>
  <c r="BM601" i="147"/>
  <c r="BM602" i="147"/>
  <c r="BM603" i="147"/>
  <c r="BM604" i="147"/>
  <c r="BM605" i="147"/>
  <c r="BM606" i="147"/>
  <c r="BM607" i="147"/>
  <c r="BM608" i="147"/>
  <c r="BM609" i="147"/>
  <c r="BM610" i="147"/>
  <c r="BM611" i="147"/>
  <c r="BM612" i="147"/>
  <c r="BM613" i="147"/>
  <c r="BM614" i="147"/>
  <c r="BM615" i="147"/>
  <c r="BM616" i="147"/>
  <c r="BM617" i="147"/>
  <c r="BM618" i="147"/>
  <c r="BM619" i="147"/>
  <c r="BM620" i="147"/>
  <c r="BM621" i="147"/>
  <c r="BM622" i="147"/>
  <c r="BM623" i="147"/>
  <c r="BM624" i="147"/>
  <c r="BM625" i="147"/>
  <c r="BM626" i="147"/>
  <c r="BM627" i="147"/>
  <c r="BM628" i="147"/>
  <c r="BM629" i="147"/>
  <c r="BM631" i="147"/>
  <c r="BM632" i="147"/>
  <c r="BM635" i="147"/>
  <c r="BM636" i="147"/>
  <c r="BM637" i="147"/>
  <c r="BM638" i="147"/>
  <c r="BM639" i="147"/>
  <c r="BM640" i="147"/>
  <c r="BM641" i="147"/>
  <c r="BM642" i="147"/>
  <c r="BM643" i="147"/>
  <c r="BM634" i="147"/>
  <c r="BO375" i="147"/>
  <c r="BO376" i="147"/>
  <c r="BO377" i="147"/>
  <c r="BO378" i="147"/>
  <c r="BO379" i="147"/>
  <c r="BO380" i="147"/>
  <c r="BO381" i="147"/>
  <c r="BO382" i="147"/>
  <c r="BO383" i="147"/>
  <c r="BO384" i="147"/>
  <c r="BO385" i="147"/>
  <c r="BO386" i="147"/>
  <c r="BO387" i="147"/>
  <c r="BO388" i="147"/>
  <c r="BO389" i="147"/>
  <c r="BO390" i="147"/>
  <c r="BO391" i="147"/>
  <c r="BO392" i="147"/>
  <c r="BO393" i="147"/>
  <c r="BO394" i="147"/>
  <c r="BO395" i="147"/>
  <c r="BO396" i="147"/>
  <c r="BO397" i="147"/>
  <c r="BO398" i="147"/>
  <c r="BO399" i="147"/>
  <c r="BO400" i="147"/>
  <c r="BO401" i="147"/>
  <c r="BO402" i="147"/>
  <c r="BO403" i="147"/>
  <c r="BO404" i="147"/>
  <c r="BO405" i="147"/>
  <c r="BO406" i="147"/>
  <c r="BO407" i="147"/>
  <c r="BO408" i="147"/>
  <c r="BO409" i="147"/>
  <c r="BO410" i="147"/>
  <c r="BO411" i="147"/>
  <c r="BO412" i="147"/>
  <c r="BO413" i="147"/>
  <c r="BO414" i="147"/>
  <c r="BO415" i="147"/>
  <c r="BO416" i="147"/>
  <c r="BO417" i="147"/>
  <c r="BO418" i="147"/>
  <c r="BO419" i="147"/>
  <c r="BO420" i="147"/>
  <c r="BO421" i="147"/>
  <c r="BO422" i="147"/>
  <c r="BO423" i="147"/>
  <c r="BO424" i="147"/>
  <c r="BO425" i="147"/>
  <c r="BO426" i="147"/>
  <c r="BO427" i="147"/>
  <c r="BO428" i="147"/>
  <c r="BO429" i="147"/>
  <c r="BO430" i="147"/>
  <c r="BO431" i="147"/>
  <c r="BO432" i="147"/>
  <c r="BO433" i="147"/>
  <c r="BO434" i="147"/>
  <c r="BO435" i="147"/>
  <c r="BO436" i="147"/>
  <c r="BO437" i="147"/>
  <c r="BO438" i="147"/>
  <c r="BO446" i="147"/>
  <c r="BO447" i="147"/>
  <c r="BO448" i="147"/>
  <c r="BO449" i="147"/>
  <c r="BO450" i="147"/>
  <c r="BO451" i="147"/>
  <c r="BO452" i="147"/>
  <c r="BO453" i="147"/>
  <c r="BO454" i="147"/>
  <c r="BO455" i="147"/>
  <c r="BO456" i="147"/>
  <c r="BO457" i="147"/>
  <c r="BO439" i="147"/>
  <c r="BO440" i="147"/>
  <c r="BO441" i="147"/>
  <c r="BO442" i="147"/>
  <c r="BO443" i="147"/>
  <c r="BO444" i="147"/>
  <c r="BO445" i="147"/>
  <c r="BO458" i="147"/>
  <c r="BO459" i="147"/>
  <c r="BO460" i="147"/>
  <c r="BO461" i="147"/>
  <c r="BO462" i="147"/>
  <c r="BO463" i="147"/>
  <c r="BO464" i="147"/>
  <c r="BO465" i="147"/>
  <c r="BO466" i="147"/>
  <c r="BO467" i="147"/>
  <c r="BO468" i="147"/>
  <c r="BO469" i="147"/>
  <c r="BO470" i="147"/>
  <c r="BO471" i="147"/>
  <c r="BO472" i="147"/>
  <c r="BO473" i="147"/>
  <c r="BO474" i="147"/>
  <c r="BO475" i="147"/>
  <c r="BO476" i="147"/>
  <c r="BO477" i="147"/>
  <c r="BO478" i="147"/>
  <c r="BO479" i="147"/>
  <c r="BO480" i="147"/>
  <c r="BO481" i="147"/>
  <c r="BO482" i="147"/>
  <c r="BO483" i="147"/>
  <c r="BO484" i="147"/>
  <c r="BO485" i="147"/>
  <c r="BO486" i="147"/>
  <c r="BO487" i="147"/>
  <c r="BO488" i="147"/>
  <c r="BO489" i="147"/>
  <c r="BO490" i="147"/>
  <c r="BO491" i="147"/>
  <c r="BO492" i="147"/>
  <c r="BO493" i="147"/>
  <c r="BO494" i="147"/>
  <c r="BO495" i="147"/>
  <c r="BO496" i="147"/>
  <c r="BO497" i="147"/>
  <c r="BO498" i="147"/>
  <c r="BO499" i="147"/>
  <c r="BO500" i="147"/>
  <c r="BO501" i="147"/>
  <c r="BO502" i="147"/>
  <c r="BO503" i="147"/>
  <c r="BO504" i="147"/>
  <c r="BO505" i="147"/>
  <c r="BO506" i="147"/>
  <c r="BO507" i="147"/>
  <c r="BO508" i="147"/>
  <c r="BO509" i="147"/>
  <c r="BO510" i="147"/>
  <c r="BO511" i="147"/>
  <c r="BO512" i="147"/>
  <c r="BO513" i="147"/>
  <c r="BO514" i="147"/>
  <c r="BO515" i="147"/>
  <c r="BO516" i="147"/>
  <c r="BO517" i="147"/>
  <c r="BO518" i="147"/>
  <c r="BO519" i="147"/>
  <c r="BO520" i="147"/>
  <c r="BO521" i="147"/>
  <c r="BO522" i="147"/>
  <c r="BO523" i="147"/>
  <c r="BO524" i="147"/>
  <c r="BO525" i="147"/>
  <c r="BO526" i="147"/>
  <c r="BO527" i="147"/>
  <c r="BO528" i="147"/>
  <c r="BO529" i="147"/>
  <c r="BO530" i="147"/>
  <c r="BO531" i="147"/>
  <c r="BO532" i="147"/>
  <c r="BO533" i="147"/>
  <c r="BO534" i="147"/>
  <c r="BO535" i="147"/>
  <c r="BO536" i="147"/>
  <c r="BO537" i="147"/>
  <c r="BO538" i="147"/>
  <c r="BO539" i="147"/>
  <c r="BO540" i="147"/>
  <c r="BO541" i="147"/>
  <c r="BO542" i="147"/>
  <c r="BO543" i="147"/>
  <c r="BO544" i="147"/>
  <c r="BO545" i="147"/>
  <c r="BO546" i="147"/>
  <c r="BO547" i="147"/>
  <c r="BO548" i="147"/>
  <c r="BO549" i="147"/>
  <c r="BO550" i="147"/>
  <c r="BO551" i="147"/>
  <c r="BO552" i="147"/>
  <c r="BO553" i="147"/>
  <c r="BO554" i="147"/>
  <c r="BO555" i="147"/>
  <c r="BO556" i="147"/>
  <c r="BO557" i="147"/>
  <c r="BO558" i="147"/>
  <c r="BO559" i="147"/>
  <c r="BO560" i="147"/>
  <c r="BO561" i="147"/>
  <c r="BO562" i="147"/>
  <c r="BO563" i="147"/>
  <c r="BO564" i="147"/>
  <c r="BO565" i="147"/>
  <c r="BO566" i="147"/>
  <c r="BO568" i="147"/>
  <c r="BO569" i="147"/>
  <c r="BO570" i="147"/>
  <c r="BO571" i="147"/>
  <c r="BO572" i="147"/>
  <c r="BO573" i="147"/>
  <c r="BO574" i="147"/>
  <c r="BO575" i="147"/>
  <c r="BO576" i="147"/>
  <c r="BO577" i="147"/>
  <c r="BO578" i="147"/>
  <c r="BO579" i="147"/>
  <c r="BO580" i="147"/>
  <c r="BO581" i="147"/>
  <c r="BO582" i="147"/>
  <c r="BO583" i="147"/>
  <c r="BO584" i="147"/>
  <c r="BO585" i="147"/>
  <c r="BO586" i="147"/>
  <c r="BO587" i="147"/>
  <c r="BO588" i="147"/>
  <c r="BO589" i="147"/>
  <c r="BO590" i="147"/>
  <c r="BO591" i="147"/>
  <c r="BO592" i="147"/>
  <c r="BO593" i="147"/>
  <c r="BO594" i="147"/>
  <c r="BO595" i="147"/>
  <c r="BO596" i="147"/>
  <c r="BO597" i="147"/>
  <c r="BO598" i="147"/>
  <c r="BO600" i="147"/>
  <c r="BO601" i="147"/>
  <c r="BO602" i="147"/>
  <c r="BO603" i="147"/>
  <c r="BO604" i="147"/>
  <c r="BO605" i="147"/>
  <c r="BO606" i="147"/>
  <c r="BO607" i="147"/>
  <c r="BO608" i="147"/>
  <c r="BO609" i="147"/>
  <c r="BO610" i="147"/>
  <c r="BO611" i="147"/>
  <c r="BO612" i="147"/>
  <c r="BO613" i="147"/>
  <c r="BO614" i="147"/>
  <c r="BO615" i="147"/>
  <c r="BO616" i="147"/>
  <c r="BO617" i="147"/>
  <c r="BO618" i="147"/>
  <c r="BO619" i="147"/>
  <c r="BO620" i="147"/>
  <c r="BO621" i="147"/>
  <c r="BO622" i="147"/>
  <c r="BO624" i="147"/>
  <c r="BO625" i="147"/>
  <c r="BO626" i="147"/>
  <c r="BO627" i="147"/>
  <c r="BO628" i="147"/>
  <c r="BO629" i="147"/>
  <c r="BO632" i="147"/>
  <c r="BO633" i="147"/>
  <c r="BO634" i="147"/>
  <c r="BO635" i="147"/>
  <c r="BO636" i="147"/>
  <c r="BO637" i="147"/>
  <c r="BO638" i="147"/>
  <c r="BO639" i="147"/>
  <c r="BO640" i="147"/>
  <c r="BO641" i="147"/>
  <c r="BO642" i="147"/>
  <c r="BO643" i="147"/>
  <c r="BO623" i="147"/>
  <c r="BQ375" i="147"/>
  <c r="BQ379" i="147"/>
  <c r="BQ380" i="147"/>
  <c r="BQ381" i="147"/>
  <c r="BQ382" i="147"/>
  <c r="BQ383" i="147"/>
  <c r="BQ384" i="147"/>
  <c r="BQ385" i="147"/>
  <c r="BQ376" i="147"/>
  <c r="BQ377" i="147"/>
  <c r="BQ378" i="147"/>
  <c r="BQ386" i="147"/>
  <c r="BQ387" i="147"/>
  <c r="BQ388" i="147"/>
  <c r="BQ389" i="147"/>
  <c r="BQ390" i="147"/>
  <c r="BQ391" i="147"/>
  <c r="BQ392" i="147"/>
  <c r="BQ393" i="147"/>
  <c r="BQ394" i="147"/>
  <c r="BQ395" i="147"/>
  <c r="BQ396" i="147"/>
  <c r="BQ397" i="147"/>
  <c r="BQ398" i="147"/>
  <c r="BQ399" i="147"/>
  <c r="BQ403" i="147"/>
  <c r="BQ404" i="147"/>
  <c r="BQ405" i="147"/>
  <c r="BQ400" i="147"/>
  <c r="BQ401" i="147"/>
  <c r="BQ402" i="147"/>
  <c r="BQ429" i="147"/>
  <c r="BQ430" i="147"/>
  <c r="BQ431" i="147"/>
  <c r="BQ432" i="147"/>
  <c r="BQ406" i="147"/>
  <c r="BQ407" i="147"/>
  <c r="BQ408" i="147"/>
  <c r="BQ409" i="147"/>
  <c r="BQ410" i="147"/>
  <c r="BQ411" i="147"/>
  <c r="BQ412" i="147"/>
  <c r="BQ413" i="147"/>
  <c r="BQ414" i="147"/>
  <c r="BQ415" i="147"/>
  <c r="BQ416" i="147"/>
  <c r="BQ417" i="147"/>
  <c r="BQ418" i="147"/>
  <c r="BQ419" i="147"/>
  <c r="BQ420" i="147"/>
  <c r="BQ421" i="147"/>
  <c r="BQ422" i="147"/>
  <c r="BQ423" i="147"/>
  <c r="BQ424" i="147"/>
  <c r="BQ425" i="147"/>
  <c r="BQ426" i="147"/>
  <c r="BQ427" i="147"/>
  <c r="BQ428" i="147"/>
  <c r="BQ439" i="147"/>
  <c r="BQ440" i="147"/>
  <c r="BQ441" i="147"/>
  <c r="BQ442" i="147"/>
  <c r="BQ443" i="147"/>
  <c r="BQ444" i="147"/>
  <c r="BQ445" i="147"/>
  <c r="BQ446" i="147"/>
  <c r="BQ447" i="147"/>
  <c r="BQ448" i="147"/>
  <c r="BQ449" i="147"/>
  <c r="BQ450" i="147"/>
  <c r="BQ451" i="147"/>
  <c r="BQ452" i="147"/>
  <c r="BQ453" i="147"/>
  <c r="BQ454" i="147"/>
  <c r="BQ455" i="147"/>
  <c r="BQ456" i="147"/>
  <c r="BQ457" i="147"/>
  <c r="BQ433" i="147"/>
  <c r="BQ434" i="147"/>
  <c r="BQ435" i="147"/>
  <c r="BQ436" i="147"/>
  <c r="BQ437" i="147"/>
  <c r="BQ438" i="147"/>
  <c r="BQ458" i="147"/>
  <c r="BQ459" i="147"/>
  <c r="BQ460" i="147"/>
  <c r="BQ461" i="147"/>
  <c r="BQ462" i="147"/>
  <c r="BQ463" i="147"/>
  <c r="BQ464" i="147"/>
  <c r="BQ465" i="147"/>
  <c r="BQ466" i="147"/>
  <c r="BQ467" i="147"/>
  <c r="BQ468" i="147"/>
  <c r="BQ469" i="147"/>
  <c r="BQ470" i="147"/>
  <c r="BQ471" i="147"/>
  <c r="BQ472" i="147"/>
  <c r="BQ473" i="147"/>
  <c r="BQ474" i="147"/>
  <c r="BQ475" i="147"/>
  <c r="BQ476" i="147"/>
  <c r="BQ477" i="147"/>
  <c r="BQ478" i="147"/>
  <c r="BQ479" i="147"/>
  <c r="BQ480" i="147"/>
  <c r="BQ481" i="147"/>
  <c r="BQ482" i="147"/>
  <c r="BQ483" i="147"/>
  <c r="BQ484" i="147"/>
  <c r="BQ485" i="147"/>
  <c r="BQ486" i="147"/>
  <c r="BQ487" i="147"/>
  <c r="BQ488" i="147"/>
  <c r="BQ489" i="147"/>
  <c r="BQ490" i="147"/>
  <c r="BQ491" i="147"/>
  <c r="BQ492" i="147"/>
  <c r="BQ493" i="147"/>
  <c r="BQ494" i="147"/>
  <c r="BQ495" i="147"/>
  <c r="BQ496" i="147"/>
  <c r="BQ497" i="147"/>
  <c r="BQ498" i="147"/>
  <c r="BQ499" i="147"/>
  <c r="BQ500" i="147"/>
  <c r="BQ501" i="147"/>
  <c r="BQ502" i="147"/>
  <c r="BQ503" i="147"/>
  <c r="BQ504" i="147"/>
  <c r="BQ505" i="147"/>
  <c r="BQ506" i="147"/>
  <c r="BQ507" i="147"/>
  <c r="BQ508" i="147"/>
  <c r="BQ509" i="147"/>
  <c r="BQ510" i="147"/>
  <c r="BQ511" i="147"/>
  <c r="BQ512" i="147"/>
  <c r="BQ513" i="147"/>
  <c r="BQ514" i="147"/>
  <c r="BQ515" i="147"/>
  <c r="BQ516" i="147"/>
  <c r="BQ517" i="147"/>
  <c r="BQ518" i="147"/>
  <c r="BQ519" i="147"/>
  <c r="BQ520" i="147"/>
  <c r="BQ521" i="147"/>
  <c r="BQ522" i="147"/>
  <c r="BQ523" i="147"/>
  <c r="BQ524" i="147"/>
  <c r="BQ525" i="147"/>
  <c r="BQ526" i="147"/>
  <c r="BQ527" i="147"/>
  <c r="BQ528" i="147"/>
  <c r="BQ529" i="147"/>
  <c r="BQ530" i="147"/>
  <c r="BQ531" i="147"/>
  <c r="BQ532" i="147"/>
  <c r="BQ533" i="147"/>
  <c r="BQ534" i="147"/>
  <c r="BQ535" i="147"/>
  <c r="BQ536" i="147"/>
  <c r="BQ537" i="147"/>
  <c r="BQ538" i="147"/>
  <c r="BQ539" i="147"/>
  <c r="BQ540" i="147"/>
  <c r="BQ541" i="147"/>
  <c r="BQ542" i="147"/>
  <c r="BQ543" i="147"/>
  <c r="BQ544" i="147"/>
  <c r="BQ545" i="147"/>
  <c r="BQ546" i="147"/>
  <c r="BQ547" i="147"/>
  <c r="BQ548" i="147"/>
  <c r="BQ549" i="147"/>
  <c r="BQ550" i="147"/>
  <c r="BQ551" i="147"/>
  <c r="BQ552" i="147"/>
  <c r="BQ553" i="147"/>
  <c r="BQ554" i="147"/>
  <c r="BQ555" i="147"/>
  <c r="BQ556" i="147"/>
  <c r="BQ557" i="147"/>
  <c r="BQ558" i="147"/>
  <c r="BQ559" i="147"/>
  <c r="BQ560" i="147"/>
  <c r="BQ561" i="147"/>
  <c r="BQ562" i="147"/>
  <c r="BQ563" i="147"/>
  <c r="BQ564" i="147"/>
  <c r="BQ565" i="147"/>
  <c r="BQ566" i="147"/>
  <c r="BQ568" i="147"/>
  <c r="BQ569" i="147"/>
  <c r="BQ570" i="147"/>
  <c r="BQ571" i="147"/>
  <c r="BQ572" i="147"/>
  <c r="BQ573" i="147"/>
  <c r="BQ574" i="147"/>
  <c r="BQ575" i="147"/>
  <c r="BQ576" i="147"/>
  <c r="BQ577" i="147"/>
  <c r="BQ578" i="147"/>
  <c r="BQ579" i="147"/>
  <c r="BQ580" i="147"/>
  <c r="BQ581" i="147"/>
  <c r="BQ582" i="147"/>
  <c r="BQ583" i="147"/>
  <c r="BQ584" i="147"/>
  <c r="BQ585" i="147"/>
  <c r="BQ586" i="147"/>
  <c r="BQ587" i="147"/>
  <c r="BQ588" i="147"/>
  <c r="BQ589" i="147"/>
  <c r="BQ590" i="147"/>
  <c r="BQ591" i="147"/>
  <c r="BQ592" i="147"/>
  <c r="BQ593" i="147"/>
  <c r="BQ594" i="147"/>
  <c r="BQ595" i="147"/>
  <c r="BQ596" i="147"/>
  <c r="BQ597" i="147"/>
  <c r="BQ598" i="147"/>
  <c r="BQ600" i="147"/>
  <c r="BQ601" i="147"/>
  <c r="BQ602" i="147"/>
  <c r="BQ603" i="147"/>
  <c r="BQ604" i="147"/>
  <c r="BQ605" i="147"/>
  <c r="BQ606" i="147"/>
  <c r="BQ607" i="147"/>
  <c r="BQ608" i="147"/>
  <c r="BQ609" i="147"/>
  <c r="BQ610" i="147"/>
  <c r="BQ611" i="147"/>
  <c r="BQ612" i="147"/>
  <c r="BQ613" i="147"/>
  <c r="BQ614" i="147"/>
  <c r="BQ615" i="147"/>
  <c r="BQ616" i="147"/>
  <c r="BQ617" i="147"/>
  <c r="BQ618" i="147"/>
  <c r="BQ619" i="147"/>
  <c r="BQ620" i="147"/>
  <c r="BQ621" i="147"/>
  <c r="BQ622" i="147"/>
  <c r="BQ623" i="147"/>
  <c r="BQ624" i="147"/>
  <c r="BQ625" i="147"/>
  <c r="BQ626" i="147"/>
  <c r="BQ627" i="147"/>
  <c r="BQ628" i="147"/>
  <c r="BQ629" i="147"/>
  <c r="BQ631" i="147"/>
  <c r="BQ632" i="147"/>
  <c r="BQ633" i="147"/>
  <c r="BQ634" i="147"/>
  <c r="BQ636" i="147"/>
  <c r="BQ637" i="147"/>
  <c r="BQ638" i="147"/>
  <c r="BQ639" i="147"/>
  <c r="BQ640" i="147"/>
  <c r="BQ641" i="147"/>
  <c r="BQ642" i="147"/>
  <c r="BQ643" i="147"/>
  <c r="BS376" i="147"/>
  <c r="BS377" i="147"/>
  <c r="BS378" i="147"/>
  <c r="BS379" i="147"/>
  <c r="BS380" i="147"/>
  <c r="BS383" i="147"/>
  <c r="BS384" i="147"/>
  <c r="BS385" i="147"/>
  <c r="BS386" i="147"/>
  <c r="BS387" i="147"/>
  <c r="BS388" i="147"/>
  <c r="BS389" i="147"/>
  <c r="BS390" i="147"/>
  <c r="BS391" i="147"/>
  <c r="BS392" i="147"/>
  <c r="BS393" i="147"/>
  <c r="BS394" i="147"/>
  <c r="BS395" i="147"/>
  <c r="BS396" i="147"/>
  <c r="BS397" i="147"/>
  <c r="BS398" i="147"/>
  <c r="BS399" i="147"/>
  <c r="BS375" i="147"/>
  <c r="BS400" i="147"/>
  <c r="BS401" i="147"/>
  <c r="BS402" i="147"/>
  <c r="BS403" i="147"/>
  <c r="BS404" i="147"/>
  <c r="BS405" i="147"/>
  <c r="BS406" i="147"/>
  <c r="BS407" i="147"/>
  <c r="BS408" i="147"/>
  <c r="BS409" i="147"/>
  <c r="BS410" i="147"/>
  <c r="BS411" i="147"/>
  <c r="BS412" i="147"/>
  <c r="BS413" i="147"/>
  <c r="BS414" i="147"/>
  <c r="BS415" i="147"/>
  <c r="BS416" i="147"/>
  <c r="BS417" i="147"/>
  <c r="BS418" i="147"/>
  <c r="BS419" i="147"/>
  <c r="BS420" i="147"/>
  <c r="BS421" i="147"/>
  <c r="BS426" i="147"/>
  <c r="BS428" i="147"/>
  <c r="BS430" i="147"/>
  <c r="BS431" i="147"/>
  <c r="BS432" i="147"/>
  <c r="BS433" i="147"/>
  <c r="BS434" i="147"/>
  <c r="BS435" i="147"/>
  <c r="BS436" i="147"/>
  <c r="BS437" i="147"/>
  <c r="BS438" i="147"/>
  <c r="BS446" i="147"/>
  <c r="BS447" i="147"/>
  <c r="BS448" i="147"/>
  <c r="BS449" i="147"/>
  <c r="BS450" i="147"/>
  <c r="BS451" i="147"/>
  <c r="BS452" i="147"/>
  <c r="BS453" i="147"/>
  <c r="BS454" i="147"/>
  <c r="BS457" i="147"/>
  <c r="BS439" i="147"/>
  <c r="BS440" i="147"/>
  <c r="BS441" i="147"/>
  <c r="BS442" i="147"/>
  <c r="BS443" i="147"/>
  <c r="BS444" i="147"/>
  <c r="BS445" i="147"/>
  <c r="BS460" i="147"/>
  <c r="BS461" i="147"/>
  <c r="BS462" i="147"/>
  <c r="BS463" i="147"/>
  <c r="BS464" i="147"/>
  <c r="BS465" i="147"/>
  <c r="BS466" i="147"/>
  <c r="BS467" i="147"/>
  <c r="BS468" i="147"/>
  <c r="BS469" i="147"/>
  <c r="BS470" i="147"/>
  <c r="BS471" i="147"/>
  <c r="BS472" i="147"/>
  <c r="BS473" i="147"/>
  <c r="BS475" i="147"/>
  <c r="BS476" i="147"/>
  <c r="BS477" i="147"/>
  <c r="BS483" i="147"/>
  <c r="BS486" i="147"/>
  <c r="BS487" i="147"/>
  <c r="BS488" i="147"/>
  <c r="BS489" i="147"/>
  <c r="BS490" i="147"/>
  <c r="BS491" i="147"/>
  <c r="BS492" i="147"/>
  <c r="BS493" i="147"/>
  <c r="BS494" i="147"/>
  <c r="BS495" i="147"/>
  <c r="BS496" i="147"/>
  <c r="BS497" i="147"/>
  <c r="BS498" i="147"/>
  <c r="BS499" i="147"/>
  <c r="BS500" i="147"/>
  <c r="BS501" i="147"/>
  <c r="BS502" i="147"/>
  <c r="BS503" i="147"/>
  <c r="BS504" i="147"/>
  <c r="BS505" i="147"/>
  <c r="BS506" i="147"/>
  <c r="BS507" i="147"/>
  <c r="BS508" i="147"/>
  <c r="BS509" i="147"/>
  <c r="BS510" i="147"/>
  <c r="BS511" i="147"/>
  <c r="BS512" i="147"/>
  <c r="BS513" i="147"/>
  <c r="BS514" i="147"/>
  <c r="BS515" i="147"/>
  <c r="BS516" i="147"/>
  <c r="BS517" i="147"/>
  <c r="BS518" i="147"/>
  <c r="BS519" i="147"/>
  <c r="BS520" i="147"/>
  <c r="BS521" i="147"/>
  <c r="BS522" i="147"/>
  <c r="BS523" i="147"/>
  <c r="BS524" i="147"/>
  <c r="BS526" i="147"/>
  <c r="BS527" i="147"/>
  <c r="BS529" i="147"/>
  <c r="BS531" i="147"/>
  <c r="BS532" i="147"/>
  <c r="BS533" i="147"/>
  <c r="BS534" i="147"/>
  <c r="BS538" i="147"/>
  <c r="BS539" i="147"/>
  <c r="BS540" i="147"/>
  <c r="BS546" i="147"/>
  <c r="BS548" i="147"/>
  <c r="BS549" i="147"/>
  <c r="BS554" i="147"/>
  <c r="BS555" i="147"/>
  <c r="BS558" i="147"/>
  <c r="BS559" i="147"/>
  <c r="BS560" i="147"/>
  <c r="BS561" i="147"/>
  <c r="BS571" i="147"/>
  <c r="BS581" i="147"/>
  <c r="BS582" i="147"/>
  <c r="BS585" i="147"/>
  <c r="BS586" i="147"/>
  <c r="BS587" i="147"/>
  <c r="BS592" i="147"/>
  <c r="BS593" i="147"/>
  <c r="BS594" i="147"/>
  <c r="BS595" i="147"/>
  <c r="BS596" i="147"/>
  <c r="BS597" i="147"/>
  <c r="BS598" i="147"/>
  <c r="BS600" i="147"/>
  <c r="BS601" i="147"/>
  <c r="BS602" i="147"/>
  <c r="BS603" i="147"/>
  <c r="BS604" i="147"/>
  <c r="BS608" i="147"/>
  <c r="BS622" i="147"/>
  <c r="BS623" i="147"/>
  <c r="BS624" i="147"/>
  <c r="BS625" i="147"/>
  <c r="BS626" i="147"/>
  <c r="BS627" i="147"/>
  <c r="BS628" i="147"/>
  <c r="BS629" i="147"/>
  <c r="BS631" i="147"/>
  <c r="BS632" i="147"/>
  <c r="BS633" i="147"/>
  <c r="BS634" i="147"/>
  <c r="BS635" i="147"/>
  <c r="BS636" i="147"/>
  <c r="BS637" i="147"/>
  <c r="BS638" i="147"/>
  <c r="BS639" i="147"/>
  <c r="BS640" i="147"/>
  <c r="BS641" i="147"/>
  <c r="BS642" i="147"/>
  <c r="BS643" i="147"/>
  <c r="BS589" i="147"/>
  <c r="BS573" i="147"/>
  <c r="BS588" i="147"/>
  <c r="BS569" i="147"/>
  <c r="BS575" i="147"/>
  <c r="BS578" i="147"/>
  <c r="BS580" i="147"/>
  <c r="BS574" i="147"/>
  <c r="BS583" i="147"/>
  <c r="BS584" i="147"/>
  <c r="BS572" i="147"/>
  <c r="BS579" i="147"/>
  <c r="BS545" i="147"/>
  <c r="BS563" i="147"/>
  <c r="BS562" i="147"/>
  <c r="BS564" i="147"/>
  <c r="BS568" i="147"/>
  <c r="BS474" i="147"/>
  <c r="BS479" i="147"/>
  <c r="BS544" i="147"/>
  <c r="BS566" i="147"/>
  <c r="BU375" i="147"/>
  <c r="BU379" i="147"/>
  <c r="BU380" i="147"/>
  <c r="BU381" i="147"/>
  <c r="BU382" i="147"/>
  <c r="BU383" i="147"/>
  <c r="BU384" i="147"/>
  <c r="BU385" i="147"/>
  <c r="BU386" i="147"/>
  <c r="BU387" i="147"/>
  <c r="BU388" i="147"/>
  <c r="BU389" i="147"/>
  <c r="BU390" i="147"/>
  <c r="BU391" i="147"/>
  <c r="BU392" i="147"/>
  <c r="BU393" i="147"/>
  <c r="BU394" i="147"/>
  <c r="BU395" i="147"/>
  <c r="BU396" i="147"/>
  <c r="BU397" i="147"/>
  <c r="BU398" i="147"/>
  <c r="BU399" i="147"/>
  <c r="BU376" i="147"/>
  <c r="BU377" i="147"/>
  <c r="BU378" i="147"/>
  <c r="BU400" i="147"/>
  <c r="BU401" i="147"/>
  <c r="BU402" i="147"/>
  <c r="BU403" i="147"/>
  <c r="BU404" i="147"/>
  <c r="BU405" i="147"/>
  <c r="BU406" i="147"/>
  <c r="BU407" i="147"/>
  <c r="BU408" i="147"/>
  <c r="BU409" i="147"/>
  <c r="BU410" i="147"/>
  <c r="BU411" i="147"/>
  <c r="BU412" i="147"/>
  <c r="BU413" i="147"/>
  <c r="BU414" i="147"/>
  <c r="BU415" i="147"/>
  <c r="BU416" i="147"/>
  <c r="BU417" i="147"/>
  <c r="BU418" i="147"/>
  <c r="BU419" i="147"/>
  <c r="BU420" i="147"/>
  <c r="BU421" i="147"/>
  <c r="BU422" i="147"/>
  <c r="BU423" i="147"/>
  <c r="BU424" i="147"/>
  <c r="BU425" i="147"/>
  <c r="BU426" i="147"/>
  <c r="BU427" i="147"/>
  <c r="BU428" i="147"/>
  <c r="BU429" i="147"/>
  <c r="BU430" i="147"/>
  <c r="BU431" i="147"/>
  <c r="BU432" i="147"/>
  <c r="BU433" i="147"/>
  <c r="BU434" i="147"/>
  <c r="BU435" i="147"/>
  <c r="BU436" i="147"/>
  <c r="BU437" i="147"/>
  <c r="BU438" i="147"/>
  <c r="BU439" i="147"/>
  <c r="BU440" i="147"/>
  <c r="BU441" i="147"/>
  <c r="BU442" i="147"/>
  <c r="BU443" i="147"/>
  <c r="BU444" i="147"/>
  <c r="BU445" i="147"/>
  <c r="BU446" i="147"/>
  <c r="BU447" i="147"/>
  <c r="BU448" i="147"/>
  <c r="BU449" i="147"/>
  <c r="BU450" i="147"/>
  <c r="BU451" i="147"/>
  <c r="BU452" i="147"/>
  <c r="BU453" i="147"/>
  <c r="BU454" i="147"/>
  <c r="BU455" i="147"/>
  <c r="BU456" i="147"/>
  <c r="BU457" i="147"/>
  <c r="BU458" i="147"/>
  <c r="BU459" i="147"/>
  <c r="BU460" i="147"/>
  <c r="BU461" i="147"/>
  <c r="BU462" i="147"/>
  <c r="BU463" i="147"/>
  <c r="BU464" i="147"/>
  <c r="BU465" i="147"/>
  <c r="BU466" i="147"/>
  <c r="BU467" i="147"/>
  <c r="BU468" i="147"/>
  <c r="BU469" i="147"/>
  <c r="BU470" i="147"/>
  <c r="BU471" i="147"/>
  <c r="BU473" i="147"/>
  <c r="BU474" i="147"/>
  <c r="BU475" i="147"/>
  <c r="BU476" i="147"/>
  <c r="BU477" i="147"/>
  <c r="BU478" i="147"/>
  <c r="BU479" i="147"/>
  <c r="BU480" i="147"/>
  <c r="BU481" i="147"/>
  <c r="BU482" i="147"/>
  <c r="BU483" i="147"/>
  <c r="BU484" i="147"/>
  <c r="BU485" i="147"/>
  <c r="BU486" i="147"/>
  <c r="BU487" i="147"/>
  <c r="BU488" i="147"/>
  <c r="BU489" i="147"/>
  <c r="BU490" i="147"/>
  <c r="BU491" i="147"/>
  <c r="BU492" i="147"/>
  <c r="BU493" i="147"/>
  <c r="BU494" i="147"/>
  <c r="BU495" i="147"/>
  <c r="BU496" i="147"/>
  <c r="BU497" i="147"/>
  <c r="BU498" i="147"/>
  <c r="BU499" i="147"/>
  <c r="BU501" i="147"/>
  <c r="BU502" i="147"/>
  <c r="BU503" i="147"/>
  <c r="BU504" i="147"/>
  <c r="BU505" i="147"/>
  <c r="BU506" i="147"/>
  <c r="BU507" i="147"/>
  <c r="BU508" i="147"/>
  <c r="BU509" i="147"/>
  <c r="BU510" i="147"/>
  <c r="BU513" i="147"/>
  <c r="BU514" i="147"/>
  <c r="BU516" i="147"/>
  <c r="BU517" i="147"/>
  <c r="BU518" i="147"/>
  <c r="BU519" i="147"/>
  <c r="BU520" i="147"/>
  <c r="BU521" i="147"/>
  <c r="BU522" i="147"/>
  <c r="BU523" i="147"/>
  <c r="BU524" i="147"/>
  <c r="BU525" i="147"/>
  <c r="BU528" i="147"/>
  <c r="BU530" i="147"/>
  <c r="BU531" i="147"/>
  <c r="BU532" i="147"/>
  <c r="BU533" i="147"/>
  <c r="BU534" i="147"/>
  <c r="BU535" i="147"/>
  <c r="BU536" i="147"/>
  <c r="BU537" i="147"/>
  <c r="BU538" i="147"/>
  <c r="BU539" i="147"/>
  <c r="BU540" i="147"/>
  <c r="BU541" i="147"/>
  <c r="BU542" i="147"/>
  <c r="BU543" i="147"/>
  <c r="BU544" i="147"/>
  <c r="BU545" i="147"/>
  <c r="BU546" i="147"/>
  <c r="BU547" i="147"/>
  <c r="BU548" i="147"/>
  <c r="BU549" i="147"/>
  <c r="BU550" i="147"/>
  <c r="BU551" i="147"/>
  <c r="BU552" i="147"/>
  <c r="BU553" i="147"/>
  <c r="BU554" i="147"/>
  <c r="BU555" i="147"/>
  <c r="BU556" i="147"/>
  <c r="BU557" i="147"/>
  <c r="BU558" i="147"/>
  <c r="BU559" i="147"/>
  <c r="BU560" i="147"/>
  <c r="BU561" i="147"/>
  <c r="BU562" i="147"/>
  <c r="BU563" i="147"/>
  <c r="BU564" i="147"/>
  <c r="BU565" i="147"/>
  <c r="BU566" i="147"/>
  <c r="BU568" i="147"/>
  <c r="BU569" i="147"/>
  <c r="BU570" i="147"/>
  <c r="BU571" i="147"/>
  <c r="BU572" i="147"/>
  <c r="BU573" i="147"/>
  <c r="BU574" i="147"/>
  <c r="BU575" i="147"/>
  <c r="BU576" i="147"/>
  <c r="BU577" i="147"/>
  <c r="BU578" i="147"/>
  <c r="BU579" i="147"/>
  <c r="BU580" i="147"/>
  <c r="BU581" i="147"/>
  <c r="BU582" i="147"/>
  <c r="BU583" i="147"/>
  <c r="BU584" i="147"/>
  <c r="BU585" i="147"/>
  <c r="BU586" i="147"/>
  <c r="BU587" i="147"/>
  <c r="BU588" i="147"/>
  <c r="BU589" i="147"/>
  <c r="BU590" i="147"/>
  <c r="BU591" i="147"/>
  <c r="BU592" i="147"/>
  <c r="BU593" i="147"/>
  <c r="BU594" i="147"/>
  <c r="BU595" i="147"/>
  <c r="BU596" i="147"/>
  <c r="BU597" i="147"/>
  <c r="BU598" i="147"/>
  <c r="BU600" i="147"/>
  <c r="BU601" i="147"/>
  <c r="BU602" i="147"/>
  <c r="BU603" i="147"/>
  <c r="BU604" i="147"/>
  <c r="BU605" i="147"/>
  <c r="BU606" i="147"/>
  <c r="BU607" i="147"/>
  <c r="BU608" i="147"/>
  <c r="BU609" i="147"/>
  <c r="BU610" i="147"/>
  <c r="BU611" i="147"/>
  <c r="BU612" i="147"/>
  <c r="BU613" i="147"/>
  <c r="BU614" i="147"/>
  <c r="BU615" i="147"/>
  <c r="BU616" i="147"/>
  <c r="BU617" i="147"/>
  <c r="BU618" i="147"/>
  <c r="BU619" i="147"/>
  <c r="BU620" i="147"/>
  <c r="BU621" i="147"/>
  <c r="BU622" i="147"/>
  <c r="BU623" i="147"/>
  <c r="BU624" i="147"/>
  <c r="BU625" i="147"/>
  <c r="BU626" i="147"/>
  <c r="BU627" i="147"/>
  <c r="BU628" i="147"/>
  <c r="BU629" i="147"/>
  <c r="BU631" i="147"/>
  <c r="BU632" i="147"/>
  <c r="BU633" i="147"/>
  <c r="BU634" i="147"/>
  <c r="BU635" i="147"/>
  <c r="BU636" i="147"/>
  <c r="BU637" i="147"/>
  <c r="BU638" i="147"/>
  <c r="BU639" i="147"/>
  <c r="BU640" i="147"/>
  <c r="BU641" i="147"/>
  <c r="BU642" i="147"/>
  <c r="BU643" i="147"/>
  <c r="BU529" i="147"/>
  <c r="BU515" i="147"/>
  <c r="BU527" i="147"/>
  <c r="BW375" i="147"/>
  <c r="BW376" i="147"/>
  <c r="BW377" i="147"/>
  <c r="BW378" i="147"/>
  <c r="BW379" i="147"/>
  <c r="BW380" i="147"/>
  <c r="BW381" i="147"/>
  <c r="BW382" i="147"/>
  <c r="BW383" i="147"/>
  <c r="BW384" i="147"/>
  <c r="BW385" i="147"/>
  <c r="BW386" i="147"/>
  <c r="BW387" i="147"/>
  <c r="BW388" i="147"/>
  <c r="BW389" i="147"/>
  <c r="BW390" i="147"/>
  <c r="BW391" i="147"/>
  <c r="BW392" i="147"/>
  <c r="BW393" i="147"/>
  <c r="BW394" i="147"/>
  <c r="BW395" i="147"/>
  <c r="BW396" i="147"/>
  <c r="BW397" i="147"/>
  <c r="BW398" i="147"/>
  <c r="BW399" i="147"/>
  <c r="BW400" i="147"/>
  <c r="BW401" i="147"/>
  <c r="BW402" i="147"/>
  <c r="BW403" i="147"/>
  <c r="BW404" i="147"/>
  <c r="BW405" i="147"/>
  <c r="BW406" i="147"/>
  <c r="BW407" i="147"/>
  <c r="BW408" i="147"/>
  <c r="BW409" i="147"/>
  <c r="BW410" i="147"/>
  <c r="BW411" i="147"/>
  <c r="BW412" i="147"/>
  <c r="BW413" i="147"/>
  <c r="BW414" i="147"/>
  <c r="BW415" i="147"/>
  <c r="BW416" i="147"/>
  <c r="BW417" i="147"/>
  <c r="BW418" i="147"/>
  <c r="BW419" i="147"/>
  <c r="BW420" i="147"/>
  <c r="BW421" i="147"/>
  <c r="BW422" i="147"/>
  <c r="BW423" i="147"/>
  <c r="BW424" i="147"/>
  <c r="BW425" i="147"/>
  <c r="BW426" i="147"/>
  <c r="BW427" i="147"/>
  <c r="BW428" i="147"/>
  <c r="BW429" i="147"/>
  <c r="BW430" i="147"/>
  <c r="BW431" i="147"/>
  <c r="BW432" i="147"/>
  <c r="BW433" i="147"/>
  <c r="BW434" i="147"/>
  <c r="BW436" i="147"/>
  <c r="BW437" i="147"/>
  <c r="BW438" i="147"/>
  <c r="BW446" i="147"/>
  <c r="BW447" i="147"/>
  <c r="BW448" i="147"/>
  <c r="BW449" i="147"/>
  <c r="BW450" i="147"/>
  <c r="BW451" i="147"/>
  <c r="BW452" i="147"/>
  <c r="BW453" i="147"/>
  <c r="BW454" i="147"/>
  <c r="BW455" i="147"/>
  <c r="BW456" i="147"/>
  <c r="BW457" i="147"/>
  <c r="BW439" i="147"/>
  <c r="BW440" i="147"/>
  <c r="BW441" i="147"/>
  <c r="BW442" i="147"/>
  <c r="BW443" i="147"/>
  <c r="BW445" i="147"/>
  <c r="BW458" i="147"/>
  <c r="BW459" i="147"/>
  <c r="BW460" i="147"/>
  <c r="BW461" i="147"/>
  <c r="BW463" i="147"/>
  <c r="BW464" i="147"/>
  <c r="BW465" i="147"/>
  <c r="BW466" i="147"/>
  <c r="BW467" i="147"/>
  <c r="BW468" i="147"/>
  <c r="BW469" i="147"/>
  <c r="BW470" i="147"/>
  <c r="BW471" i="147"/>
  <c r="BW472" i="147"/>
  <c r="BW473" i="147"/>
  <c r="BW474" i="147"/>
  <c r="BW475" i="147"/>
  <c r="BW476" i="147"/>
  <c r="BW477" i="147"/>
  <c r="BW478" i="147"/>
  <c r="BW479" i="147"/>
  <c r="BW480" i="147"/>
  <c r="BW481" i="147"/>
  <c r="BW482" i="147"/>
  <c r="BW483" i="147"/>
  <c r="BW484" i="147"/>
  <c r="BW485" i="147"/>
  <c r="BW486" i="147"/>
  <c r="BW487" i="147"/>
  <c r="BW488" i="147"/>
  <c r="BW489" i="147"/>
  <c r="BW490" i="147"/>
  <c r="BW491" i="147"/>
  <c r="BW492" i="147"/>
  <c r="BW493" i="147"/>
  <c r="BW494" i="147"/>
  <c r="BW495" i="147"/>
  <c r="BW496" i="147"/>
  <c r="BW497" i="147"/>
  <c r="BW498" i="147"/>
  <c r="BW499" i="147"/>
  <c r="BW500" i="147"/>
  <c r="BW501" i="147"/>
  <c r="BW502" i="147"/>
  <c r="BW503" i="147"/>
  <c r="BW505" i="147"/>
  <c r="BW506" i="147"/>
  <c r="BW507" i="147"/>
  <c r="BW508" i="147"/>
  <c r="BW509" i="147"/>
  <c r="BW510" i="147"/>
  <c r="BW511" i="147"/>
  <c r="BW512" i="147"/>
  <c r="BW513" i="147"/>
  <c r="BW514" i="147"/>
  <c r="BW515" i="147"/>
  <c r="BW516" i="147"/>
  <c r="BW517" i="147"/>
  <c r="BW518" i="147"/>
  <c r="BW519" i="147"/>
  <c r="BW520" i="147"/>
  <c r="BW521" i="147"/>
  <c r="BW522" i="147"/>
  <c r="BW523" i="147"/>
  <c r="BW524" i="147"/>
  <c r="BW525" i="147"/>
  <c r="BW526" i="147"/>
  <c r="BW527" i="147"/>
  <c r="BW528" i="147"/>
  <c r="BW529" i="147"/>
  <c r="BW530" i="147"/>
  <c r="BW531" i="147"/>
  <c r="BW532" i="147"/>
  <c r="BW533" i="147"/>
  <c r="BW534" i="147"/>
  <c r="BW535" i="147"/>
  <c r="BW536" i="147"/>
  <c r="BW537" i="147"/>
  <c r="BW538" i="147"/>
  <c r="BW539" i="147"/>
  <c r="BW540" i="147"/>
  <c r="BW541" i="147"/>
  <c r="BW542" i="147"/>
  <c r="BW543" i="147"/>
  <c r="BW544" i="147"/>
  <c r="BW545" i="147"/>
  <c r="BW546" i="147"/>
  <c r="BW547" i="147"/>
  <c r="BW548" i="147"/>
  <c r="BW549" i="147"/>
  <c r="BW550" i="147"/>
  <c r="BW551" i="147"/>
  <c r="BW552" i="147"/>
  <c r="BW553" i="147"/>
  <c r="BW554" i="147"/>
  <c r="BW555" i="147"/>
  <c r="BW556" i="147"/>
  <c r="BW557" i="147"/>
  <c r="BW558" i="147"/>
  <c r="BW559" i="147"/>
  <c r="BW560" i="147"/>
  <c r="BW561" i="147"/>
  <c r="BW562" i="147"/>
  <c r="BW563" i="147"/>
  <c r="BW564" i="147"/>
  <c r="BW565" i="147"/>
  <c r="BW566" i="147"/>
  <c r="BW568" i="147"/>
  <c r="BW569" i="147"/>
  <c r="BW570" i="147"/>
  <c r="BW571" i="147"/>
  <c r="BW572" i="147"/>
  <c r="BW573" i="147"/>
  <c r="BW574" i="147"/>
  <c r="BW575" i="147"/>
  <c r="BW576" i="147"/>
  <c r="BW577" i="147"/>
  <c r="BW578" i="147"/>
  <c r="BW579" i="147"/>
  <c r="BW580" i="147"/>
  <c r="BW581" i="147"/>
  <c r="BW582" i="147"/>
  <c r="BW583" i="147"/>
  <c r="BW584" i="147"/>
  <c r="BW585" i="147"/>
  <c r="BW586" i="147"/>
  <c r="BW587" i="147"/>
  <c r="BW588" i="147"/>
  <c r="BW589" i="147"/>
  <c r="BW590" i="147"/>
  <c r="BW591" i="147"/>
  <c r="BW592" i="147"/>
  <c r="BW593" i="147"/>
  <c r="BW594" i="147"/>
  <c r="BW595" i="147"/>
  <c r="BW596" i="147"/>
  <c r="BW597" i="147"/>
  <c r="BW598" i="147"/>
  <c r="BW600" i="147"/>
  <c r="BW601" i="147"/>
  <c r="BW602" i="147"/>
  <c r="BW603" i="147"/>
  <c r="BW604" i="147"/>
  <c r="BW605" i="147"/>
  <c r="BW606" i="147"/>
  <c r="BW607" i="147"/>
  <c r="BW608" i="147"/>
  <c r="BW609" i="147"/>
  <c r="BW610" i="147"/>
  <c r="BW611" i="147"/>
  <c r="BW612" i="147"/>
  <c r="BW613" i="147"/>
  <c r="BW614" i="147"/>
  <c r="BW615" i="147"/>
  <c r="BW616" i="147"/>
  <c r="BW617" i="147"/>
  <c r="BW618" i="147"/>
  <c r="BW619" i="147"/>
  <c r="BW620" i="147"/>
  <c r="BW621" i="147"/>
  <c r="BW622" i="147"/>
  <c r="BW623" i="147"/>
  <c r="BW624" i="147"/>
  <c r="BW625" i="147"/>
  <c r="BW626" i="147"/>
  <c r="BW627" i="147"/>
  <c r="BW628" i="147"/>
  <c r="BW629" i="147"/>
  <c r="BW631" i="147"/>
  <c r="BW632" i="147"/>
  <c r="BW633" i="147"/>
  <c r="BW634" i="147"/>
  <c r="BW635" i="147"/>
  <c r="BW636" i="147"/>
  <c r="BW637" i="147"/>
  <c r="BW638" i="147"/>
  <c r="BW639" i="147"/>
  <c r="BW640" i="147"/>
  <c r="BW641" i="147"/>
  <c r="BW642" i="147"/>
  <c r="BW643" i="147"/>
  <c r="BY379" i="147"/>
  <c r="BY380" i="147"/>
  <c r="BY381" i="147"/>
  <c r="BY382" i="147"/>
  <c r="BY383" i="147"/>
  <c r="BY384" i="147"/>
  <c r="BY385" i="147"/>
  <c r="BY375" i="147"/>
  <c r="BY376" i="147"/>
  <c r="BY377" i="147"/>
  <c r="BY378" i="147"/>
  <c r="BY386" i="147"/>
  <c r="BY387" i="147"/>
  <c r="BY388" i="147"/>
  <c r="BY389" i="147"/>
  <c r="BY390" i="147"/>
  <c r="BY391" i="147"/>
  <c r="BY392" i="147"/>
  <c r="BY393" i="147"/>
  <c r="BY394" i="147"/>
  <c r="BY395" i="147"/>
  <c r="BY396" i="147"/>
  <c r="BY397" i="147"/>
  <c r="BY398" i="147"/>
  <c r="BY399" i="147"/>
  <c r="BY400" i="147"/>
  <c r="BY401" i="147"/>
  <c r="BY402" i="147"/>
  <c r="BY403" i="147"/>
  <c r="BY404" i="147"/>
  <c r="BY405" i="147"/>
  <c r="BY406" i="147"/>
  <c r="BY407" i="147"/>
  <c r="BY408" i="147"/>
  <c r="BY409" i="147"/>
  <c r="BY410" i="147"/>
  <c r="BY411" i="147"/>
  <c r="BY412" i="147"/>
  <c r="BY413" i="147"/>
  <c r="BY414" i="147"/>
  <c r="BY415" i="147"/>
  <c r="BY416" i="147"/>
  <c r="BY417" i="147"/>
  <c r="BY429" i="147"/>
  <c r="BY430" i="147"/>
  <c r="BY431" i="147"/>
  <c r="BY432" i="147"/>
  <c r="BY418" i="147"/>
  <c r="BY419" i="147"/>
  <c r="BY420" i="147"/>
  <c r="BY421" i="147"/>
  <c r="BY422" i="147"/>
  <c r="BY423" i="147"/>
  <c r="BY424" i="147"/>
  <c r="BY425" i="147"/>
  <c r="BY426" i="147"/>
  <c r="BY427" i="147"/>
  <c r="BY428" i="147"/>
  <c r="BY439" i="147"/>
  <c r="BY440" i="147"/>
  <c r="BY441" i="147"/>
  <c r="BY442" i="147"/>
  <c r="BY443" i="147"/>
  <c r="BY444" i="147"/>
  <c r="BY446" i="147"/>
  <c r="BY447" i="147"/>
  <c r="BY448" i="147"/>
  <c r="BY449" i="147"/>
  <c r="BY450" i="147"/>
  <c r="BY451" i="147"/>
  <c r="BY452" i="147"/>
  <c r="BY453" i="147"/>
  <c r="BY454" i="147"/>
  <c r="BY455" i="147"/>
  <c r="BY456" i="147"/>
  <c r="BY457" i="147"/>
  <c r="BY433" i="147"/>
  <c r="BY434" i="147"/>
  <c r="BY435" i="147"/>
  <c r="BY436" i="147"/>
  <c r="BY438" i="147"/>
  <c r="BY458" i="147"/>
  <c r="BY459" i="147"/>
  <c r="BY460" i="147"/>
  <c r="BY461" i="147"/>
  <c r="BY462" i="147"/>
  <c r="BY463" i="147"/>
  <c r="BY465" i="147"/>
  <c r="BY466" i="147"/>
  <c r="BY467" i="147"/>
  <c r="BY468" i="147"/>
  <c r="BY469" i="147"/>
  <c r="BY470" i="147"/>
  <c r="BY471" i="147"/>
  <c r="BY472" i="147"/>
  <c r="BY473" i="147"/>
  <c r="BY474" i="147"/>
  <c r="BY475" i="147"/>
  <c r="BY476" i="147"/>
  <c r="BY477" i="147"/>
  <c r="BY478" i="147"/>
  <c r="BY479" i="147"/>
  <c r="BY480" i="147"/>
  <c r="BY481" i="147"/>
  <c r="BY482" i="147"/>
  <c r="BY483" i="147"/>
  <c r="BY484" i="147"/>
  <c r="BY485" i="147"/>
  <c r="BY486" i="147"/>
  <c r="BY487" i="147"/>
  <c r="BY488" i="147"/>
  <c r="BY489" i="147"/>
  <c r="BY490" i="147"/>
  <c r="BY491" i="147"/>
  <c r="BY492" i="147"/>
  <c r="BY493" i="147"/>
  <c r="BY494" i="147"/>
  <c r="BY495" i="147"/>
  <c r="BY496" i="147"/>
  <c r="BY497" i="147"/>
  <c r="BY498" i="147"/>
  <c r="BY499" i="147"/>
  <c r="BY500" i="147"/>
  <c r="BY501" i="147"/>
  <c r="BY502" i="147"/>
  <c r="BY503" i="147"/>
  <c r="BY504" i="147"/>
  <c r="BY505" i="147"/>
  <c r="BY506" i="147"/>
  <c r="BY507" i="147"/>
  <c r="BY508" i="147"/>
  <c r="BY511" i="147"/>
  <c r="BY512" i="147"/>
  <c r="BY513" i="147"/>
  <c r="BY514" i="147"/>
  <c r="BY515" i="147"/>
  <c r="BY516" i="147"/>
  <c r="BY517" i="147"/>
  <c r="BY518" i="147"/>
  <c r="BY519" i="147"/>
  <c r="BY520" i="147"/>
  <c r="BY521" i="147"/>
  <c r="BY522" i="147"/>
  <c r="BY523" i="147"/>
  <c r="BY524" i="147"/>
  <c r="BY525" i="147"/>
  <c r="BY526" i="147"/>
  <c r="BY527" i="147"/>
  <c r="BY528" i="147"/>
  <c r="BY529" i="147"/>
  <c r="BY530" i="147"/>
  <c r="BY531" i="147"/>
  <c r="BY532" i="147"/>
  <c r="BY533" i="147"/>
  <c r="BY534" i="147"/>
  <c r="BY535" i="147"/>
  <c r="BY536" i="147"/>
  <c r="BY537" i="147"/>
  <c r="BY538" i="147"/>
  <c r="BY539" i="147"/>
  <c r="BY540" i="147"/>
  <c r="BY541" i="147"/>
  <c r="BY542" i="147"/>
  <c r="BY543" i="147"/>
  <c r="BY544" i="147"/>
  <c r="BY545" i="147"/>
  <c r="BY546" i="147"/>
  <c r="BY547" i="147"/>
  <c r="BY548" i="147"/>
  <c r="BY549" i="147"/>
  <c r="BY550" i="147"/>
  <c r="BY551" i="147"/>
  <c r="BY552" i="147"/>
  <c r="BY553" i="147"/>
  <c r="BY554" i="147"/>
  <c r="BY555" i="147"/>
  <c r="BY556" i="147"/>
  <c r="BY557" i="147"/>
  <c r="BY558" i="147"/>
  <c r="BY559" i="147"/>
  <c r="BY560" i="147"/>
  <c r="BY561" i="147"/>
  <c r="BY562" i="147"/>
  <c r="BY563" i="147"/>
  <c r="BY564" i="147"/>
  <c r="BY565" i="147"/>
  <c r="BY566" i="147"/>
  <c r="BY568" i="147"/>
  <c r="BY569" i="147"/>
  <c r="BY570" i="147"/>
  <c r="BY571" i="147"/>
  <c r="BY572" i="147"/>
  <c r="BY573" i="147"/>
  <c r="BY574" i="147"/>
  <c r="BY575" i="147"/>
  <c r="BY576" i="147"/>
  <c r="BY577" i="147"/>
  <c r="BY578" i="147"/>
  <c r="BY579" i="147"/>
  <c r="BY580" i="147"/>
  <c r="BY581" i="147"/>
  <c r="BY582" i="147"/>
  <c r="BY583" i="147"/>
  <c r="BY584" i="147"/>
  <c r="BY585" i="147"/>
  <c r="BY586" i="147"/>
  <c r="BY587" i="147"/>
  <c r="BY588" i="147"/>
  <c r="BY589" i="147"/>
  <c r="BY590" i="147"/>
  <c r="BY591" i="147"/>
  <c r="BY592" i="147"/>
  <c r="BY593" i="147"/>
  <c r="BY594" i="147"/>
  <c r="BY595" i="147"/>
  <c r="BY596" i="147"/>
  <c r="BY597" i="147"/>
  <c r="BY598" i="147"/>
  <c r="BY600" i="147"/>
  <c r="BY601" i="147"/>
  <c r="BY602" i="147"/>
  <c r="BY603" i="147"/>
  <c r="BY604" i="147"/>
  <c r="BY605" i="147"/>
  <c r="BY606" i="147"/>
  <c r="BY607" i="147"/>
  <c r="BY608" i="147"/>
  <c r="BY609" i="147"/>
  <c r="BY610" i="147"/>
  <c r="BY611" i="147"/>
  <c r="BY612" i="147"/>
  <c r="BY613" i="147"/>
  <c r="BY614" i="147"/>
  <c r="BY615" i="147"/>
  <c r="BY616" i="147"/>
  <c r="BY617" i="147"/>
  <c r="BY618" i="147"/>
  <c r="BY619" i="147"/>
  <c r="BY620" i="147"/>
  <c r="BY621" i="147"/>
  <c r="BY622" i="147"/>
  <c r="BY623" i="147"/>
  <c r="BY624" i="147"/>
  <c r="BY625" i="147"/>
  <c r="BY626" i="147"/>
  <c r="BY627" i="147"/>
  <c r="BY628" i="147"/>
  <c r="BY629" i="147"/>
  <c r="BY631" i="147"/>
  <c r="BY632" i="147"/>
  <c r="BY633" i="147"/>
  <c r="BY634" i="147"/>
  <c r="BY635" i="147"/>
  <c r="BY636" i="147"/>
  <c r="BY637" i="147"/>
  <c r="BY638" i="147"/>
  <c r="BY639" i="147"/>
  <c r="BY640" i="147"/>
  <c r="BY641" i="147"/>
  <c r="BY642" i="147"/>
  <c r="BY643" i="147"/>
  <c r="CA375" i="147"/>
  <c r="CA376" i="147"/>
  <c r="CA377" i="147"/>
  <c r="CA378" i="147"/>
  <c r="CA379" i="147"/>
  <c r="CA380" i="147"/>
  <c r="CA381" i="147"/>
  <c r="CA382" i="147"/>
  <c r="CA383" i="147"/>
  <c r="CA384" i="147"/>
  <c r="CA385" i="147"/>
  <c r="CA386" i="147"/>
  <c r="CA387" i="147"/>
  <c r="CA388" i="147"/>
  <c r="CA389" i="147"/>
  <c r="CA390" i="147"/>
  <c r="CA391" i="147"/>
  <c r="CA392" i="147"/>
  <c r="CA393" i="147"/>
  <c r="CA394" i="147"/>
  <c r="CA395" i="147"/>
  <c r="CA396" i="147"/>
  <c r="CA397" i="147"/>
  <c r="CA398" i="147"/>
  <c r="CA399" i="147"/>
  <c r="CA400" i="147"/>
  <c r="CA401" i="147"/>
  <c r="CA402" i="147"/>
  <c r="CA403" i="147"/>
  <c r="CA404" i="147"/>
  <c r="CA405" i="147"/>
  <c r="CA406" i="147"/>
  <c r="CA407" i="147"/>
  <c r="CA408" i="147"/>
  <c r="CA409" i="147"/>
  <c r="CA410" i="147"/>
  <c r="CA411" i="147"/>
  <c r="CA412" i="147"/>
  <c r="CA413" i="147"/>
  <c r="CA414" i="147"/>
  <c r="CA415" i="147"/>
  <c r="CA416" i="147"/>
  <c r="CA417" i="147"/>
  <c r="CA418" i="147"/>
  <c r="CA419" i="147"/>
  <c r="CA420" i="147"/>
  <c r="CA421" i="147"/>
  <c r="CA422" i="147"/>
  <c r="CA423" i="147"/>
  <c r="CA424" i="147"/>
  <c r="CA425" i="147"/>
  <c r="CA426" i="147"/>
  <c r="CA427" i="147"/>
  <c r="CA428" i="147"/>
  <c r="CA429" i="147"/>
  <c r="CA430" i="147"/>
  <c r="CA431" i="147"/>
  <c r="CA432" i="147"/>
  <c r="CA433" i="147"/>
  <c r="CA434" i="147"/>
  <c r="CA435" i="147"/>
  <c r="CA436" i="147"/>
  <c r="CA437" i="147"/>
  <c r="CA446" i="147"/>
  <c r="CA447" i="147"/>
  <c r="CA448" i="147"/>
  <c r="CA449" i="147"/>
  <c r="CA450" i="147"/>
  <c r="CA451" i="147"/>
  <c r="CA452" i="147"/>
  <c r="CA453" i="147"/>
  <c r="CA454" i="147"/>
  <c r="CA455" i="147"/>
  <c r="CA456" i="147"/>
  <c r="CA457" i="147"/>
  <c r="CA439" i="147"/>
  <c r="CA440" i="147"/>
  <c r="CA441" i="147"/>
  <c r="CA443" i="147"/>
  <c r="CA444" i="147"/>
  <c r="CA445" i="147"/>
  <c r="CA458" i="147"/>
  <c r="CA459" i="147"/>
  <c r="CA460" i="147"/>
  <c r="CA461" i="147"/>
  <c r="CA462" i="147"/>
  <c r="CA463" i="147"/>
  <c r="CA464" i="147"/>
  <c r="CA466" i="147"/>
  <c r="CA467" i="147"/>
  <c r="CA468" i="147"/>
  <c r="CA469" i="147"/>
  <c r="CA470" i="147"/>
  <c r="CA471" i="147"/>
  <c r="CA472" i="147"/>
  <c r="CA474" i="147"/>
  <c r="CA475" i="147"/>
  <c r="CA476" i="147"/>
  <c r="CA477" i="147"/>
  <c r="CA478" i="147"/>
  <c r="CA479" i="147"/>
  <c r="CA480" i="147"/>
  <c r="CA481" i="147"/>
  <c r="CA482" i="147"/>
  <c r="CA483" i="147"/>
  <c r="CA484" i="147"/>
  <c r="CA485" i="147"/>
  <c r="CA486" i="147"/>
  <c r="CA487" i="147"/>
  <c r="CA488" i="147"/>
  <c r="CA489" i="147"/>
  <c r="CA490" i="147"/>
  <c r="CA491" i="147"/>
  <c r="CA494" i="147"/>
  <c r="CA496" i="147"/>
  <c r="CA497" i="147"/>
  <c r="CA498" i="147"/>
  <c r="CA500" i="147"/>
  <c r="CA502" i="147"/>
  <c r="CA503" i="147"/>
  <c r="CA504" i="147"/>
  <c r="CA505" i="147"/>
  <c r="CA506" i="147"/>
  <c r="CA507" i="147"/>
  <c r="CA508" i="147"/>
  <c r="CA509" i="147"/>
  <c r="CA510" i="147"/>
  <c r="CA511" i="147"/>
  <c r="CA512" i="147"/>
  <c r="CA513" i="147"/>
  <c r="CA514" i="147"/>
  <c r="CA515" i="147"/>
  <c r="CA516" i="147"/>
  <c r="CA517" i="147"/>
  <c r="CA518" i="147"/>
  <c r="CA519" i="147"/>
  <c r="CA520" i="147"/>
  <c r="CA521" i="147"/>
  <c r="CA522" i="147"/>
  <c r="CA523" i="147"/>
  <c r="CA524" i="147"/>
  <c r="CA525" i="147"/>
  <c r="CA526" i="147"/>
  <c r="CA527" i="147"/>
  <c r="CA528" i="147"/>
  <c r="CA529" i="147"/>
  <c r="CA530" i="147"/>
  <c r="CA531" i="147"/>
  <c r="CA532" i="147"/>
  <c r="CA533" i="147"/>
  <c r="CA534" i="147"/>
  <c r="CA535" i="147"/>
  <c r="CA536" i="147"/>
  <c r="CA537" i="147"/>
  <c r="CA538" i="147"/>
  <c r="CA539" i="147"/>
  <c r="CA540" i="147"/>
  <c r="CA541" i="147"/>
  <c r="CA542" i="147"/>
  <c r="CA543" i="147"/>
  <c r="CA544" i="147"/>
  <c r="CA545" i="147"/>
  <c r="CA546" i="147"/>
  <c r="CA547" i="147"/>
  <c r="CA548" i="147"/>
  <c r="CA549" i="147"/>
  <c r="CA550" i="147"/>
  <c r="CA551" i="147"/>
  <c r="CA552" i="147"/>
  <c r="CA553" i="147"/>
  <c r="CA554" i="147"/>
  <c r="CA555" i="147"/>
  <c r="CA556" i="147"/>
  <c r="CA557" i="147"/>
  <c r="CA558" i="147"/>
  <c r="CA559" i="147"/>
  <c r="CA560" i="147"/>
  <c r="CA561" i="147"/>
  <c r="CA562" i="147"/>
  <c r="CA563" i="147"/>
  <c r="CA564" i="147"/>
  <c r="CA565" i="147"/>
  <c r="CA566" i="147"/>
  <c r="CA568" i="147"/>
  <c r="CA569" i="147"/>
  <c r="CA570" i="147"/>
  <c r="CA571" i="147"/>
  <c r="CA572" i="147"/>
  <c r="CA573" i="147"/>
  <c r="CA574" i="147"/>
  <c r="CA575" i="147"/>
  <c r="CA576" i="147"/>
  <c r="CA577" i="147"/>
  <c r="CA578" i="147"/>
  <c r="CA579" i="147"/>
  <c r="CA580" i="147"/>
  <c r="CA581" i="147"/>
  <c r="CA582" i="147"/>
  <c r="CA583" i="147"/>
  <c r="CA584" i="147"/>
  <c r="CA585" i="147"/>
  <c r="CA586" i="147"/>
  <c r="CA587" i="147"/>
  <c r="CA588" i="147"/>
  <c r="CA589" i="147"/>
  <c r="CA590" i="147"/>
  <c r="CA591" i="147"/>
  <c r="CA592" i="147"/>
  <c r="CA593" i="147"/>
  <c r="CA594" i="147"/>
  <c r="CA595" i="147"/>
  <c r="CA596" i="147"/>
  <c r="CA598" i="147"/>
  <c r="CA600" i="147"/>
  <c r="CA601" i="147"/>
  <c r="CA602" i="147"/>
  <c r="CA603" i="147"/>
  <c r="CA604" i="147"/>
  <c r="CA605" i="147"/>
  <c r="CA606" i="147"/>
  <c r="CA607" i="147"/>
  <c r="CA608" i="147"/>
  <c r="CA609" i="147"/>
  <c r="CA610" i="147"/>
  <c r="CA611" i="147"/>
  <c r="CA612" i="147"/>
  <c r="CA613" i="147"/>
  <c r="CA614" i="147"/>
  <c r="CA615" i="147"/>
  <c r="CA616" i="147"/>
  <c r="CA617" i="147"/>
  <c r="CA618" i="147"/>
  <c r="CA619" i="147"/>
  <c r="CA620" i="147"/>
  <c r="CA621" i="147"/>
  <c r="CA622" i="147"/>
  <c r="CA623" i="147"/>
  <c r="CA624" i="147"/>
  <c r="CA625" i="147"/>
  <c r="CA626" i="147"/>
  <c r="CA627" i="147"/>
  <c r="CA628" i="147"/>
  <c r="CA629" i="147"/>
  <c r="CA631" i="147"/>
  <c r="CA632" i="147"/>
  <c r="CA633" i="147"/>
  <c r="CA634" i="147"/>
  <c r="CA635" i="147"/>
  <c r="CA636" i="147"/>
  <c r="CA637" i="147"/>
  <c r="CA638" i="147"/>
  <c r="CA639" i="147"/>
  <c r="CA640" i="147"/>
  <c r="CA641" i="147"/>
  <c r="CA642" i="147"/>
  <c r="CA643" i="147"/>
  <c r="CC379" i="147"/>
  <c r="CC380" i="147"/>
  <c r="CC381" i="147"/>
  <c r="CC382" i="147"/>
  <c r="CC383" i="147"/>
  <c r="CC384" i="147"/>
  <c r="CC385" i="147"/>
  <c r="CC386" i="147"/>
  <c r="CC387" i="147"/>
  <c r="CC388" i="147"/>
  <c r="CC389" i="147"/>
  <c r="CC390" i="147"/>
  <c r="CC391" i="147"/>
  <c r="CC392" i="147"/>
  <c r="CC393" i="147"/>
  <c r="CC394" i="147"/>
  <c r="CC395" i="147"/>
  <c r="CC396" i="147"/>
  <c r="CC397" i="147"/>
  <c r="CC398" i="147"/>
  <c r="CC399" i="147"/>
  <c r="CC375" i="147"/>
  <c r="CC377" i="147"/>
  <c r="CC376" i="147"/>
  <c r="CC378" i="147"/>
  <c r="CC400" i="147"/>
  <c r="CC401" i="147"/>
  <c r="CC402" i="147"/>
  <c r="CC403" i="147"/>
  <c r="CC404" i="147"/>
  <c r="CC405" i="147"/>
  <c r="CC406" i="147"/>
  <c r="CC407" i="147"/>
  <c r="CC408" i="147"/>
  <c r="CC409" i="147"/>
  <c r="CC410" i="147"/>
  <c r="CC411" i="147"/>
  <c r="CC412" i="147"/>
  <c r="CC413" i="147"/>
  <c r="CC414" i="147"/>
  <c r="CC415" i="147"/>
  <c r="CC416" i="147"/>
  <c r="CC417" i="147"/>
  <c r="CC418" i="147"/>
  <c r="CC419" i="147"/>
  <c r="CC420" i="147"/>
  <c r="CC421" i="147"/>
  <c r="CC422" i="147"/>
  <c r="CC423" i="147"/>
  <c r="CC424" i="147"/>
  <c r="CC425" i="147"/>
  <c r="CC426" i="147"/>
  <c r="CC427" i="147"/>
  <c r="CC428" i="147"/>
  <c r="CC429" i="147"/>
  <c r="CC430" i="147"/>
  <c r="CC431" i="147"/>
  <c r="CC432" i="147"/>
  <c r="CC433" i="147"/>
  <c r="CC434" i="147"/>
  <c r="CC435" i="147"/>
  <c r="CC436" i="147"/>
  <c r="CC437" i="147"/>
  <c r="CC438" i="147"/>
  <c r="CC440" i="147"/>
  <c r="CC441" i="147"/>
  <c r="CC442" i="147"/>
  <c r="CC443" i="147"/>
  <c r="CC444" i="147"/>
  <c r="CC445" i="147"/>
  <c r="CC447" i="147"/>
  <c r="CC448" i="147"/>
  <c r="CC449" i="147"/>
  <c r="CC450" i="147"/>
  <c r="CC451" i="147"/>
  <c r="CC452" i="147"/>
  <c r="CC453" i="147"/>
  <c r="CC454" i="147"/>
  <c r="CC455" i="147"/>
  <c r="CC456" i="147"/>
  <c r="CC457" i="147"/>
  <c r="CC458" i="147"/>
  <c r="CC459" i="147"/>
  <c r="CC460" i="147"/>
  <c r="CC461" i="147"/>
  <c r="CC462" i="147"/>
  <c r="CC463" i="147"/>
  <c r="CC464" i="147"/>
  <c r="CC465" i="147"/>
  <c r="CC466" i="147"/>
  <c r="CC467" i="147"/>
  <c r="CC468" i="147"/>
  <c r="CC469" i="147"/>
  <c r="CC470" i="147"/>
  <c r="CC472" i="147"/>
  <c r="CC473" i="147"/>
  <c r="CC474" i="147"/>
  <c r="CC475" i="147"/>
  <c r="CC476" i="147"/>
  <c r="CC477" i="147"/>
  <c r="CC478" i="147"/>
  <c r="CC479" i="147"/>
  <c r="CC480" i="147"/>
  <c r="CC481" i="147"/>
  <c r="CC482" i="147"/>
  <c r="CC483" i="147"/>
  <c r="CC484" i="147"/>
  <c r="CC485" i="147"/>
  <c r="CC486" i="147"/>
  <c r="CC487" i="147"/>
  <c r="CC488" i="147"/>
  <c r="CC489" i="147"/>
  <c r="CC490" i="147"/>
  <c r="CC491" i="147"/>
  <c r="CC492" i="147"/>
  <c r="CC493" i="147"/>
  <c r="CC494" i="147"/>
  <c r="CC495" i="147"/>
  <c r="CC496" i="147"/>
  <c r="CC497" i="147"/>
  <c r="CC498" i="147"/>
  <c r="CC499" i="147"/>
  <c r="CC500" i="147"/>
  <c r="CC501" i="147"/>
  <c r="CC502" i="147"/>
  <c r="CC503" i="147"/>
  <c r="CC504" i="147"/>
  <c r="CC505" i="147"/>
  <c r="CC506" i="147"/>
  <c r="CC507" i="147"/>
  <c r="CC508" i="147"/>
  <c r="CC509" i="147"/>
  <c r="CC510" i="147"/>
  <c r="CC511" i="147"/>
  <c r="CC512" i="147"/>
  <c r="CC513" i="147"/>
  <c r="CC514" i="147"/>
  <c r="CC515" i="147"/>
  <c r="CC516" i="147"/>
  <c r="CC517" i="147"/>
  <c r="CC518" i="147"/>
  <c r="CC519" i="147"/>
  <c r="CC520" i="147"/>
  <c r="CC521" i="147"/>
  <c r="CC522" i="147"/>
  <c r="CC523" i="147"/>
  <c r="CC524" i="147"/>
  <c r="CC525" i="147"/>
  <c r="CC526" i="147"/>
  <c r="CC527" i="147"/>
  <c r="CC528" i="147"/>
  <c r="CC529" i="147"/>
  <c r="CC530" i="147"/>
  <c r="CC531" i="147"/>
  <c r="CC532" i="147"/>
  <c r="CC533" i="147"/>
  <c r="CC534" i="147"/>
  <c r="CC535" i="147"/>
  <c r="CC536" i="147"/>
  <c r="CC537" i="147"/>
  <c r="CC538" i="147"/>
  <c r="CC539" i="147"/>
  <c r="CC540" i="147"/>
  <c r="CC541" i="147"/>
  <c r="CC542" i="147"/>
  <c r="CC543" i="147"/>
  <c r="CC544" i="147"/>
  <c r="CC545" i="147"/>
  <c r="CC546" i="147"/>
  <c r="CC547" i="147"/>
  <c r="CC548" i="147"/>
  <c r="CC549" i="147"/>
  <c r="CC550" i="147"/>
  <c r="CC551" i="147"/>
  <c r="CC552" i="147"/>
  <c r="CC553" i="147"/>
  <c r="CC554" i="147"/>
  <c r="CC555" i="147"/>
  <c r="CC556" i="147"/>
  <c r="CC557" i="147"/>
  <c r="CC558" i="147"/>
  <c r="CC559" i="147"/>
  <c r="CC560" i="147"/>
  <c r="CC561" i="147"/>
  <c r="CC562" i="147"/>
  <c r="CC563" i="147"/>
  <c r="CC564" i="147"/>
  <c r="CC565" i="147"/>
  <c r="CC566" i="147"/>
  <c r="CC568" i="147"/>
  <c r="CC569" i="147"/>
  <c r="CC570" i="147"/>
  <c r="CC571" i="147"/>
  <c r="CC572" i="147"/>
  <c r="CC573" i="147"/>
  <c r="CC574" i="147"/>
  <c r="CC575" i="147"/>
  <c r="CC576" i="147"/>
  <c r="CC577" i="147"/>
  <c r="CC578" i="147"/>
  <c r="CC579" i="147"/>
  <c r="CC580" i="147"/>
  <c r="CC581" i="147"/>
  <c r="CC582" i="147"/>
  <c r="CC583" i="147"/>
  <c r="CC584" i="147"/>
  <c r="CC585" i="147"/>
  <c r="CC586" i="147"/>
  <c r="CC587" i="147"/>
  <c r="CC588" i="147"/>
  <c r="CC589" i="147"/>
  <c r="CC590" i="147"/>
  <c r="CC591" i="147"/>
  <c r="CC592" i="147"/>
  <c r="CC593" i="147"/>
  <c r="CC594" i="147"/>
  <c r="CC595" i="147"/>
  <c r="CC596" i="147"/>
  <c r="CC597" i="147"/>
  <c r="CC598" i="147"/>
  <c r="CC600" i="147"/>
  <c r="CC601" i="147"/>
  <c r="CC602" i="147"/>
  <c r="CC603" i="147"/>
  <c r="CC604" i="147"/>
  <c r="CC605" i="147"/>
  <c r="CC606" i="147"/>
  <c r="CC607" i="147"/>
  <c r="CC608" i="147"/>
  <c r="CC609" i="147"/>
  <c r="CC610" i="147"/>
  <c r="CC611" i="147"/>
  <c r="CC612" i="147"/>
  <c r="CC613" i="147"/>
  <c r="CC614" i="147"/>
  <c r="CC615" i="147"/>
  <c r="CC616" i="147"/>
  <c r="CC617" i="147"/>
  <c r="CC618" i="147"/>
  <c r="CC619" i="147"/>
  <c r="CC620" i="147"/>
  <c r="CC621" i="147"/>
  <c r="CC622" i="147"/>
  <c r="CC623" i="147"/>
  <c r="CC624" i="147"/>
  <c r="CC625" i="147"/>
  <c r="CC626" i="147"/>
  <c r="CC627" i="147"/>
  <c r="CC628" i="147"/>
  <c r="CC629" i="147"/>
  <c r="CC631" i="147"/>
  <c r="CC632" i="147"/>
  <c r="CC633" i="147"/>
  <c r="CC634" i="147"/>
  <c r="CC635" i="147"/>
  <c r="CC636" i="147"/>
  <c r="CC637" i="147"/>
  <c r="CC638" i="147"/>
  <c r="CC639" i="147"/>
  <c r="CC640" i="147"/>
  <c r="CC641" i="147"/>
  <c r="CC642" i="147"/>
  <c r="CC643" i="147"/>
  <c r="CE375" i="147"/>
  <c r="CE376" i="147"/>
  <c r="CE377" i="147"/>
  <c r="CE378" i="147"/>
  <c r="CE379" i="147"/>
  <c r="CE380" i="147"/>
  <c r="CE383" i="147"/>
  <c r="CE384" i="147"/>
  <c r="CE385" i="147"/>
  <c r="CE386" i="147"/>
  <c r="CE387" i="147"/>
  <c r="CE388" i="147"/>
  <c r="CE389" i="147"/>
  <c r="CE390" i="147"/>
  <c r="CE391" i="147"/>
  <c r="CE392" i="147"/>
  <c r="CE393" i="147"/>
  <c r="CE394" i="147"/>
  <c r="CE395" i="147"/>
  <c r="CE396" i="147"/>
  <c r="CE397" i="147"/>
  <c r="CE398" i="147"/>
  <c r="CE399" i="147"/>
  <c r="CE400" i="147"/>
  <c r="CE401" i="147"/>
  <c r="CE402" i="147"/>
  <c r="CE403" i="147"/>
  <c r="CE404" i="147"/>
  <c r="CE405" i="147"/>
  <c r="CE406" i="147"/>
  <c r="CE407" i="147"/>
  <c r="CE408" i="147"/>
  <c r="CE409" i="147"/>
  <c r="CE410" i="147"/>
  <c r="CE411" i="147"/>
  <c r="CE412" i="147"/>
  <c r="CE413" i="147"/>
  <c r="CE414" i="147"/>
  <c r="CE415" i="147"/>
  <c r="CE416" i="147"/>
  <c r="CE417" i="147"/>
  <c r="CE418" i="147"/>
  <c r="CE419" i="147"/>
  <c r="CE420" i="147"/>
  <c r="CE421" i="147"/>
  <c r="CE422" i="147"/>
  <c r="CE423" i="147"/>
  <c r="CE424" i="147"/>
  <c r="CE425" i="147"/>
  <c r="CE426" i="147"/>
  <c r="CE427" i="147"/>
  <c r="CE428" i="147"/>
  <c r="CE429" i="147"/>
  <c r="CE430" i="147"/>
  <c r="CE431" i="147"/>
  <c r="CE432" i="147"/>
  <c r="CE433" i="147"/>
  <c r="CE434" i="147"/>
  <c r="CE435" i="147"/>
  <c r="CE436" i="147"/>
  <c r="CE437" i="147"/>
  <c r="CE438" i="147"/>
  <c r="CE446" i="147"/>
  <c r="CE447" i="147"/>
  <c r="CE448" i="147"/>
  <c r="CE449" i="147"/>
  <c r="CE450" i="147"/>
  <c r="CE451" i="147"/>
  <c r="CE452" i="147"/>
  <c r="CE453" i="147"/>
  <c r="CE454" i="147"/>
  <c r="CE455" i="147"/>
  <c r="CE456" i="147"/>
  <c r="CE457" i="147"/>
  <c r="CE439" i="147"/>
  <c r="CE440" i="147"/>
  <c r="CE441" i="147"/>
  <c r="CE442" i="147"/>
  <c r="CE443" i="147"/>
  <c r="CE444" i="147"/>
  <c r="CE445" i="147"/>
  <c r="CE458" i="147"/>
  <c r="CE459" i="147"/>
  <c r="CE460" i="147"/>
  <c r="CE461" i="147"/>
  <c r="CE462" i="147"/>
  <c r="CE463" i="147"/>
  <c r="CE464" i="147"/>
  <c r="CE465" i="147"/>
  <c r="CE466" i="147"/>
  <c r="CE467" i="147"/>
  <c r="CE468" i="147"/>
  <c r="CE469" i="147"/>
  <c r="CE470" i="147"/>
  <c r="CE471" i="147"/>
  <c r="CE472" i="147"/>
  <c r="CE473" i="147"/>
  <c r="CE474" i="147"/>
  <c r="CE475" i="147"/>
  <c r="CE476" i="147"/>
  <c r="CE477" i="147"/>
  <c r="CE478" i="147"/>
  <c r="CE479" i="147"/>
  <c r="CE480" i="147"/>
  <c r="CE481" i="147"/>
  <c r="CE482" i="147"/>
  <c r="CE483" i="147"/>
  <c r="CE484" i="147"/>
  <c r="CE485" i="147"/>
  <c r="CE486" i="147"/>
  <c r="CE487" i="147"/>
  <c r="CE488" i="147"/>
  <c r="CE489" i="147"/>
  <c r="CE490" i="147"/>
  <c r="CE491" i="147"/>
  <c r="CE492" i="147"/>
  <c r="CE493" i="147"/>
  <c r="CE494" i="147"/>
  <c r="CE495" i="147"/>
  <c r="CE496" i="147"/>
  <c r="CE497" i="147"/>
  <c r="CE498" i="147"/>
  <c r="CE499" i="147"/>
  <c r="CE500" i="147"/>
  <c r="CE501" i="147"/>
  <c r="CE502" i="147"/>
  <c r="CE503" i="147"/>
  <c r="CE504" i="147"/>
  <c r="CE505" i="147"/>
  <c r="CE506" i="147"/>
  <c r="CE507" i="147"/>
  <c r="CE508" i="147"/>
  <c r="CE509" i="147"/>
  <c r="CE510" i="147"/>
  <c r="CE511" i="147"/>
  <c r="CE512" i="147"/>
  <c r="CE513" i="147"/>
  <c r="CE514" i="147"/>
  <c r="CE515" i="147"/>
  <c r="CE516" i="147"/>
  <c r="CE517" i="147"/>
  <c r="CE518" i="147"/>
  <c r="CE519" i="147"/>
  <c r="CE520" i="147"/>
  <c r="CE521" i="147"/>
  <c r="CE522" i="147"/>
  <c r="CE523" i="147"/>
  <c r="CE524" i="147"/>
  <c r="CE525" i="147"/>
  <c r="CE526" i="147"/>
  <c r="CE527" i="147"/>
  <c r="CE528" i="147"/>
  <c r="CE529" i="147"/>
  <c r="CE530" i="147"/>
  <c r="CE531" i="147"/>
  <c r="CE532" i="147"/>
  <c r="CE533" i="147"/>
  <c r="CE534" i="147"/>
  <c r="CE535" i="147"/>
  <c r="CE536" i="147"/>
  <c r="CE537" i="147"/>
  <c r="CE538" i="147"/>
  <c r="CE539" i="147"/>
  <c r="CE540" i="147"/>
  <c r="CE541" i="147"/>
  <c r="CE542" i="147"/>
  <c r="CE543" i="147"/>
  <c r="CE544" i="147"/>
  <c r="CE545" i="147"/>
  <c r="CE546" i="147"/>
  <c r="CE547" i="147"/>
  <c r="CE548" i="147"/>
  <c r="CE549" i="147"/>
  <c r="CE550" i="147"/>
  <c r="CE551" i="147"/>
  <c r="CE552" i="147"/>
  <c r="CE553" i="147"/>
  <c r="CE554" i="147"/>
  <c r="CE555" i="147"/>
  <c r="CE556" i="147"/>
  <c r="CE557" i="147"/>
  <c r="CE558" i="147"/>
  <c r="CE559" i="147"/>
  <c r="CE560" i="147"/>
  <c r="CE561" i="147"/>
  <c r="CE562" i="147"/>
  <c r="CE563" i="147"/>
  <c r="CE564" i="147"/>
  <c r="CE565" i="147"/>
  <c r="CE566" i="147"/>
  <c r="CE568" i="147"/>
  <c r="CE569" i="147"/>
  <c r="CE570" i="147"/>
  <c r="CE571" i="147"/>
  <c r="CE572" i="147"/>
  <c r="CE573" i="147"/>
  <c r="CE574" i="147"/>
  <c r="CE575" i="147"/>
  <c r="CE576" i="147"/>
  <c r="CE577" i="147"/>
  <c r="CE578" i="147"/>
  <c r="CE579" i="147"/>
  <c r="CE580" i="147"/>
  <c r="CE581" i="147"/>
  <c r="CE582" i="147"/>
  <c r="CE583" i="147"/>
  <c r="CE584" i="147"/>
  <c r="CE585" i="147"/>
  <c r="CE586" i="147"/>
  <c r="CE587" i="147"/>
  <c r="CE588" i="147"/>
  <c r="CE589" i="147"/>
  <c r="CE590" i="147"/>
  <c r="CE591" i="147"/>
  <c r="CE592" i="147"/>
  <c r="CE593" i="147"/>
  <c r="CE594" i="147"/>
  <c r="CE595" i="147"/>
  <c r="CE596" i="147"/>
  <c r="CE597" i="147"/>
  <c r="CE598" i="147"/>
  <c r="CE600" i="147"/>
  <c r="CE601" i="147"/>
  <c r="CE602" i="147"/>
  <c r="CE603" i="147"/>
  <c r="CE604" i="147"/>
  <c r="CE605" i="147"/>
  <c r="CE606" i="147"/>
  <c r="CE607" i="147"/>
  <c r="CE608" i="147"/>
  <c r="CE609" i="147"/>
  <c r="CE610" i="147"/>
  <c r="CE611" i="147"/>
  <c r="CE612" i="147"/>
  <c r="CE613" i="147"/>
  <c r="CE614" i="147"/>
  <c r="CE615" i="147"/>
  <c r="CE616" i="147"/>
  <c r="CE617" i="147"/>
  <c r="CE618" i="147"/>
  <c r="CE619" i="147"/>
  <c r="CE620" i="147"/>
  <c r="CE621" i="147"/>
  <c r="CE622" i="147"/>
  <c r="CE623" i="147"/>
  <c r="CE624" i="147"/>
  <c r="CE625" i="147"/>
  <c r="CE626" i="147"/>
  <c r="CE627" i="147"/>
  <c r="CE628" i="147"/>
  <c r="CE629" i="147"/>
  <c r="CE631" i="147"/>
  <c r="CE632" i="147"/>
  <c r="CE633" i="147"/>
  <c r="CE634" i="147"/>
  <c r="CE635" i="147"/>
  <c r="CE636" i="147"/>
  <c r="CE637" i="147"/>
  <c r="CE638" i="147"/>
  <c r="CE639" i="147"/>
  <c r="CE640" i="147"/>
  <c r="CE641" i="147"/>
  <c r="CE642" i="147"/>
  <c r="CE643" i="147"/>
  <c r="CG379" i="147"/>
  <c r="CG380" i="147"/>
  <c r="CG381" i="147"/>
  <c r="CG382" i="147"/>
  <c r="CG383" i="147"/>
  <c r="CG384" i="147"/>
  <c r="CG385" i="147"/>
  <c r="CG375" i="147"/>
  <c r="CG376" i="147"/>
  <c r="CG377" i="147"/>
  <c r="CG378" i="147"/>
  <c r="CG386" i="147"/>
  <c r="CG387" i="147"/>
  <c r="CG388" i="147"/>
  <c r="CG389" i="147"/>
  <c r="CG390" i="147"/>
  <c r="CG391" i="147"/>
  <c r="CG392" i="147"/>
  <c r="CG393" i="147"/>
  <c r="CG394" i="147"/>
  <c r="CG395" i="147"/>
  <c r="CG396" i="147"/>
  <c r="CG397" i="147"/>
  <c r="CG398" i="147"/>
  <c r="CG399" i="147"/>
  <c r="CG403" i="147"/>
  <c r="CG404" i="147"/>
  <c r="CG405" i="147"/>
  <c r="CG400" i="147"/>
  <c r="CG401" i="147"/>
  <c r="CG402" i="147"/>
  <c r="CG429" i="147"/>
  <c r="CG430" i="147"/>
  <c r="CG431" i="147"/>
  <c r="CG432" i="147"/>
  <c r="CG406" i="147"/>
  <c r="CG407" i="147"/>
  <c r="CG408" i="147"/>
  <c r="CG409" i="147"/>
  <c r="CG410" i="147"/>
  <c r="CG411" i="147"/>
  <c r="CG412" i="147"/>
  <c r="CG413" i="147"/>
  <c r="CG414" i="147"/>
  <c r="CG415" i="147"/>
  <c r="CG416" i="147"/>
  <c r="CG417" i="147"/>
  <c r="CG418" i="147"/>
  <c r="CG419" i="147"/>
  <c r="CG420" i="147"/>
  <c r="CG421" i="147"/>
  <c r="CG422" i="147"/>
  <c r="CG423" i="147"/>
  <c r="CG424" i="147"/>
  <c r="CG425" i="147"/>
  <c r="CG426" i="147"/>
  <c r="CG427" i="147"/>
  <c r="CG428" i="147"/>
  <c r="CG439" i="147"/>
  <c r="CG440" i="147"/>
  <c r="CG441" i="147"/>
  <c r="CG442" i="147"/>
  <c r="CG443" i="147"/>
  <c r="CG444" i="147"/>
  <c r="CG445" i="147"/>
  <c r="CG446" i="147"/>
  <c r="CG447" i="147"/>
  <c r="CG448" i="147"/>
  <c r="CG449" i="147"/>
  <c r="CG450" i="147"/>
  <c r="CG451" i="147"/>
  <c r="CG452" i="147"/>
  <c r="CG453" i="147"/>
  <c r="CG454" i="147"/>
  <c r="CG455" i="147"/>
  <c r="CG456" i="147"/>
  <c r="CG433" i="147"/>
  <c r="CG434" i="147"/>
  <c r="CG435" i="147"/>
  <c r="CG436" i="147"/>
  <c r="CG437" i="147"/>
  <c r="CG438" i="147"/>
  <c r="CG458" i="147"/>
  <c r="CG459" i="147"/>
  <c r="CG460" i="147"/>
  <c r="CG461" i="147"/>
  <c r="CG462" i="147"/>
  <c r="CG463" i="147"/>
  <c r="CG464" i="147"/>
  <c r="CG465" i="147"/>
  <c r="CG467" i="147"/>
  <c r="CG468" i="147"/>
  <c r="CG469" i="147"/>
  <c r="CG470" i="147"/>
  <c r="CG471" i="147"/>
  <c r="CG472" i="147"/>
  <c r="CG473" i="147"/>
  <c r="CG474" i="147"/>
  <c r="CG475" i="147"/>
  <c r="CG476" i="147"/>
  <c r="CG477" i="147"/>
  <c r="CG478" i="147"/>
  <c r="CG479" i="147"/>
  <c r="CG480" i="147"/>
  <c r="CG481" i="147"/>
  <c r="CG482" i="147"/>
  <c r="CG483" i="147"/>
  <c r="CG484" i="147"/>
  <c r="CG485" i="147"/>
  <c r="CG486" i="147"/>
  <c r="CG487" i="147"/>
  <c r="CG488" i="147"/>
  <c r="CG489" i="147"/>
  <c r="CG490" i="147"/>
  <c r="CG491" i="147"/>
  <c r="CG492" i="147"/>
  <c r="CG493" i="147"/>
  <c r="CG494" i="147"/>
  <c r="CG495" i="147"/>
  <c r="CG496" i="147"/>
  <c r="CG497" i="147"/>
  <c r="CG498" i="147"/>
  <c r="CG499" i="147"/>
  <c r="CG500" i="147"/>
  <c r="CG501" i="147"/>
  <c r="CG502" i="147"/>
  <c r="CG503" i="147"/>
  <c r="CG504" i="147"/>
  <c r="CG505" i="147"/>
  <c r="CG506" i="147"/>
  <c r="CG507" i="147"/>
  <c r="CG508" i="147"/>
  <c r="CG509" i="147"/>
  <c r="CG510" i="147"/>
  <c r="CG511" i="147"/>
  <c r="CG512" i="147"/>
  <c r="CG513" i="147"/>
  <c r="CG514" i="147"/>
  <c r="CG515" i="147"/>
  <c r="CG521" i="147"/>
  <c r="CG522" i="147"/>
  <c r="CG523" i="147"/>
  <c r="CG524" i="147"/>
  <c r="CG525" i="147"/>
  <c r="CG526" i="147"/>
  <c r="CG527" i="147"/>
  <c r="CG528" i="147"/>
  <c r="CG529" i="147"/>
  <c r="CG530" i="147"/>
  <c r="CG531" i="147"/>
  <c r="CG532" i="147"/>
  <c r="CG533" i="147"/>
  <c r="CG534" i="147"/>
  <c r="CG535" i="147"/>
  <c r="CG536" i="147"/>
  <c r="CG537" i="147"/>
  <c r="CG538" i="147"/>
  <c r="CG539" i="147"/>
  <c r="CG540" i="147"/>
  <c r="CG541" i="147"/>
  <c r="CG542" i="147"/>
  <c r="CG543" i="147"/>
  <c r="CG544" i="147"/>
  <c r="CG545" i="147"/>
  <c r="CG546" i="147"/>
  <c r="CG547" i="147"/>
  <c r="CG548" i="147"/>
  <c r="CG549" i="147"/>
  <c r="CG550" i="147"/>
  <c r="CG551" i="147"/>
  <c r="CG552" i="147"/>
  <c r="CG553" i="147"/>
  <c r="CG554" i="147"/>
  <c r="CG555" i="147"/>
  <c r="CG556" i="147"/>
  <c r="CG557" i="147"/>
  <c r="CG558" i="147"/>
  <c r="CG559" i="147"/>
  <c r="CG560" i="147"/>
  <c r="CG561" i="147"/>
  <c r="CG562" i="147"/>
  <c r="CG563" i="147"/>
  <c r="CG564" i="147"/>
  <c r="CG565" i="147"/>
  <c r="CG566" i="147"/>
  <c r="CG568" i="147"/>
  <c r="CG569" i="147"/>
  <c r="CG570" i="147"/>
  <c r="CG572" i="147"/>
  <c r="CG573" i="147"/>
  <c r="CG574" i="147"/>
  <c r="CG575" i="147"/>
  <c r="CG576" i="147"/>
  <c r="CG577" i="147"/>
  <c r="CG578" i="147"/>
  <c r="CG579" i="147"/>
  <c r="CG580" i="147"/>
  <c r="CG581" i="147"/>
  <c r="CG582" i="147"/>
  <c r="CG583" i="147"/>
  <c r="CG584" i="147"/>
  <c r="CG585" i="147"/>
  <c r="CG586" i="147"/>
  <c r="CG587" i="147"/>
  <c r="CG588" i="147"/>
  <c r="CG589" i="147"/>
  <c r="CG590" i="147"/>
  <c r="CG591" i="147"/>
  <c r="CG592" i="147"/>
  <c r="CG593" i="147"/>
  <c r="CG594" i="147"/>
  <c r="CG595" i="147"/>
  <c r="CG596" i="147"/>
  <c r="CG597" i="147"/>
  <c r="CG598" i="147"/>
  <c r="CG601" i="147"/>
  <c r="CG602" i="147"/>
  <c r="CG603" i="147"/>
  <c r="CG604" i="147"/>
  <c r="CG605" i="147"/>
  <c r="CG606" i="147"/>
  <c r="CG607" i="147"/>
  <c r="CG608" i="147"/>
  <c r="CG609" i="147"/>
  <c r="CG610" i="147"/>
  <c r="CG611" i="147"/>
  <c r="CG612" i="147"/>
  <c r="CG613" i="147"/>
  <c r="CG614" i="147"/>
  <c r="CG615" i="147"/>
  <c r="CG616" i="147"/>
  <c r="CG617" i="147"/>
  <c r="CG618" i="147"/>
  <c r="CG619" i="147"/>
  <c r="CG620" i="147"/>
  <c r="CG621" i="147"/>
  <c r="CG622" i="147"/>
  <c r="CG623" i="147"/>
  <c r="CG624" i="147"/>
  <c r="CG625" i="147"/>
  <c r="CG626" i="147"/>
  <c r="CG627" i="147"/>
  <c r="CG628" i="147"/>
  <c r="CG629" i="147"/>
  <c r="CG631" i="147"/>
  <c r="CG632" i="147"/>
  <c r="CG633" i="147"/>
  <c r="CG634" i="147"/>
  <c r="CG635" i="147"/>
  <c r="CG636" i="147"/>
  <c r="CG637" i="147"/>
  <c r="CG638" i="147"/>
  <c r="CG639" i="147"/>
  <c r="CG640" i="147"/>
  <c r="CG641" i="147"/>
  <c r="CG642" i="147"/>
  <c r="CG643" i="147"/>
  <c r="CG571" i="147"/>
  <c r="CG600" i="147"/>
  <c r="CG517" i="147"/>
  <c r="CI375" i="147"/>
  <c r="CI376" i="147"/>
  <c r="CI377" i="147"/>
  <c r="CI378" i="147"/>
  <c r="CI379" i="147"/>
  <c r="CI380" i="147"/>
  <c r="CI381" i="147"/>
  <c r="CI382" i="147"/>
  <c r="CI383" i="147"/>
  <c r="CI384" i="147"/>
  <c r="CI385" i="147"/>
  <c r="CI386" i="147"/>
  <c r="CI387" i="147"/>
  <c r="CI388" i="147"/>
  <c r="CI389" i="147"/>
  <c r="CI390" i="147"/>
  <c r="CI391" i="147"/>
  <c r="CI392" i="147"/>
  <c r="CI393" i="147"/>
  <c r="CI394" i="147"/>
  <c r="CI395" i="147"/>
  <c r="CI396" i="147"/>
  <c r="CI397" i="147"/>
  <c r="CI398" i="147"/>
  <c r="CI399" i="147"/>
  <c r="CI400" i="147"/>
  <c r="CI401" i="147"/>
  <c r="CI402" i="147"/>
  <c r="CI403" i="147"/>
  <c r="CI404" i="147"/>
  <c r="CI405" i="147"/>
  <c r="CI406" i="147"/>
  <c r="CI407" i="147"/>
  <c r="CI408" i="147"/>
  <c r="CI409" i="147"/>
  <c r="CI410" i="147"/>
  <c r="CI411" i="147"/>
  <c r="CI412" i="147"/>
  <c r="CI413" i="147"/>
  <c r="CI414" i="147"/>
  <c r="CI415" i="147"/>
  <c r="CI416" i="147"/>
  <c r="CI417" i="147"/>
  <c r="CI418" i="147"/>
  <c r="CI419" i="147"/>
  <c r="CI420" i="147"/>
  <c r="CI421" i="147"/>
  <c r="CI422" i="147"/>
  <c r="CI423" i="147"/>
  <c r="CI424" i="147"/>
  <c r="CI425" i="147"/>
  <c r="CI426" i="147"/>
  <c r="CI427" i="147"/>
  <c r="CI428" i="147"/>
  <c r="CI429" i="147"/>
  <c r="CI430" i="147"/>
  <c r="CI431" i="147"/>
  <c r="CI432" i="147"/>
  <c r="CI433" i="147"/>
  <c r="CI434" i="147"/>
  <c r="CI435" i="147"/>
  <c r="CI436" i="147"/>
  <c r="CI437" i="147"/>
  <c r="CI438" i="147"/>
  <c r="CI446" i="147"/>
  <c r="CI447" i="147"/>
  <c r="CI448" i="147"/>
  <c r="CI449" i="147"/>
  <c r="CI450" i="147"/>
  <c r="CI451" i="147"/>
  <c r="CI452" i="147"/>
  <c r="CI453" i="147"/>
  <c r="CI454" i="147"/>
  <c r="CI455" i="147"/>
  <c r="CI456" i="147"/>
  <c r="CI457" i="147"/>
  <c r="CI439" i="147"/>
  <c r="CI440" i="147"/>
  <c r="CI441" i="147"/>
  <c r="CI442" i="147"/>
  <c r="CI443" i="147"/>
  <c r="CI444" i="147"/>
  <c r="CI445" i="147"/>
  <c r="CI458" i="147"/>
  <c r="CI459" i="147"/>
  <c r="CI460" i="147"/>
  <c r="CI461" i="147"/>
  <c r="CI462" i="147"/>
  <c r="CI463" i="147"/>
  <c r="CI464" i="147"/>
  <c r="CI465" i="147"/>
  <c r="CI466" i="147"/>
  <c r="CI467" i="147"/>
  <c r="CI468" i="147"/>
  <c r="CI469" i="147"/>
  <c r="CI470" i="147"/>
  <c r="CI471" i="147"/>
  <c r="CI472" i="147"/>
  <c r="CI473" i="147"/>
  <c r="CI474" i="147"/>
  <c r="CI475" i="147"/>
  <c r="CI476" i="147"/>
  <c r="CI477" i="147"/>
  <c r="CI478" i="147"/>
  <c r="CI479" i="147"/>
  <c r="CI480" i="147"/>
  <c r="CI481" i="147"/>
  <c r="CI482" i="147"/>
  <c r="CI483" i="147"/>
  <c r="CI484" i="147"/>
  <c r="CI485" i="147"/>
  <c r="CI486" i="147"/>
  <c r="CI487" i="147"/>
  <c r="CI488" i="147"/>
  <c r="CI489" i="147"/>
  <c r="CI490" i="147"/>
  <c r="CI491" i="147"/>
  <c r="CI492" i="147"/>
  <c r="CI493" i="147"/>
  <c r="CI494" i="147"/>
  <c r="CI495" i="147"/>
  <c r="CI496" i="147"/>
  <c r="CI497" i="147"/>
  <c r="CI498" i="147"/>
  <c r="CI499" i="147"/>
  <c r="CI500" i="147"/>
  <c r="CI501" i="147"/>
  <c r="CI502" i="147"/>
  <c r="CI503" i="147"/>
  <c r="CI504" i="147"/>
  <c r="CI505" i="147"/>
  <c r="CI506" i="147"/>
  <c r="CI507" i="147"/>
  <c r="CI508" i="147"/>
  <c r="CI509" i="147"/>
  <c r="CI510" i="147"/>
  <c r="CI516" i="147"/>
  <c r="CI517" i="147"/>
  <c r="CI518" i="147"/>
  <c r="CI519" i="147"/>
  <c r="CI520" i="147"/>
  <c r="CI521" i="147"/>
  <c r="CI522" i="147"/>
  <c r="CI523" i="147"/>
  <c r="CI524" i="147"/>
  <c r="CI525" i="147"/>
  <c r="CI528" i="147"/>
  <c r="CI529" i="147"/>
  <c r="CI530" i="147"/>
  <c r="CI531" i="147"/>
  <c r="CI532" i="147"/>
  <c r="CI533" i="147"/>
  <c r="CI534" i="147"/>
  <c r="CI535" i="147"/>
  <c r="CI536" i="147"/>
  <c r="CI537" i="147"/>
  <c r="CI538" i="147"/>
  <c r="CI539" i="147"/>
  <c r="CI540" i="147"/>
  <c r="CI541" i="147"/>
  <c r="CI542" i="147"/>
  <c r="CI543" i="147"/>
  <c r="CI544" i="147"/>
  <c r="CI545" i="147"/>
  <c r="CI546" i="147"/>
  <c r="CI547" i="147"/>
  <c r="CI548" i="147"/>
  <c r="CI549" i="147"/>
  <c r="CI550" i="147"/>
  <c r="CI551" i="147"/>
  <c r="CI552" i="147"/>
  <c r="CI553" i="147"/>
  <c r="CI554" i="147"/>
  <c r="CI555" i="147"/>
  <c r="CI556" i="147"/>
  <c r="CI557" i="147"/>
  <c r="CI558" i="147"/>
  <c r="CI559" i="147"/>
  <c r="CI560" i="147"/>
  <c r="CI561" i="147"/>
  <c r="CI562" i="147"/>
  <c r="CI563" i="147"/>
  <c r="CI564" i="147"/>
  <c r="CI565" i="147"/>
  <c r="CI566" i="147"/>
  <c r="CI568" i="147"/>
  <c r="CI569" i="147"/>
  <c r="CI570" i="147"/>
  <c r="CI571" i="147"/>
  <c r="CI572" i="147"/>
  <c r="CI573" i="147"/>
  <c r="CI574" i="147"/>
  <c r="CI575" i="147"/>
  <c r="CI576" i="147"/>
  <c r="CI577" i="147"/>
  <c r="CI578" i="147"/>
  <c r="CI579" i="147"/>
  <c r="CI580" i="147"/>
  <c r="CI581" i="147"/>
  <c r="CI582" i="147"/>
  <c r="CI583" i="147"/>
  <c r="CI584" i="147"/>
  <c r="CI585" i="147"/>
  <c r="CI586" i="147"/>
  <c r="CI587" i="147"/>
  <c r="CI588" i="147"/>
  <c r="CI589" i="147"/>
  <c r="CI590" i="147"/>
  <c r="CI591" i="147"/>
  <c r="CI592" i="147"/>
  <c r="CI593" i="147"/>
  <c r="CI594" i="147"/>
  <c r="CI595" i="147"/>
  <c r="CI596" i="147"/>
  <c r="CI597" i="147"/>
  <c r="CI598" i="147"/>
  <c r="CI600" i="147"/>
  <c r="CI601" i="147"/>
  <c r="CI602" i="147"/>
  <c r="CI603" i="147"/>
  <c r="CI604" i="147"/>
  <c r="CI605" i="147"/>
  <c r="CI606" i="147"/>
  <c r="CI607" i="147"/>
  <c r="CI608" i="147"/>
  <c r="CI609" i="147"/>
  <c r="CI610" i="147"/>
  <c r="CI611" i="147"/>
  <c r="CI612" i="147"/>
  <c r="CI613" i="147"/>
  <c r="CI614" i="147"/>
  <c r="CI615" i="147"/>
  <c r="CI616" i="147"/>
  <c r="CI617" i="147"/>
  <c r="CI618" i="147"/>
  <c r="CI619" i="147"/>
  <c r="CI620" i="147"/>
  <c r="CI621" i="147"/>
  <c r="CI622" i="147"/>
  <c r="CI623" i="147"/>
  <c r="CI624" i="147"/>
  <c r="CI625" i="147"/>
  <c r="CI626" i="147"/>
  <c r="CI627" i="147"/>
  <c r="CI628" i="147"/>
  <c r="CI629" i="147"/>
  <c r="CI631" i="147"/>
  <c r="CI632" i="147"/>
  <c r="CI633" i="147"/>
  <c r="CI634" i="147"/>
  <c r="CI635" i="147"/>
  <c r="CI636" i="147"/>
  <c r="CI637" i="147"/>
  <c r="CI638" i="147"/>
  <c r="CI639" i="147"/>
  <c r="CI640" i="147"/>
  <c r="CI641" i="147"/>
  <c r="CI642" i="147"/>
  <c r="CI643" i="147"/>
  <c r="CI515" i="147"/>
  <c r="CI527" i="147"/>
  <c r="CK379" i="147"/>
  <c r="CK380" i="147"/>
  <c r="CK381" i="147"/>
  <c r="CK382" i="147"/>
  <c r="CK383" i="147"/>
  <c r="CK384" i="147"/>
  <c r="CK385" i="147"/>
  <c r="CK386" i="147"/>
  <c r="CK387" i="147"/>
  <c r="CK388" i="147"/>
  <c r="CK389" i="147"/>
  <c r="CK390" i="147"/>
  <c r="CK391" i="147"/>
  <c r="CK392" i="147"/>
  <c r="CK393" i="147"/>
  <c r="CK394" i="147"/>
  <c r="CK395" i="147"/>
  <c r="CK396" i="147"/>
  <c r="CK397" i="147"/>
  <c r="CK398" i="147"/>
  <c r="CK399" i="147"/>
  <c r="CK375" i="147"/>
  <c r="CK376" i="147"/>
  <c r="CK377" i="147"/>
  <c r="CK378" i="147"/>
  <c r="CK400" i="147"/>
  <c r="CK401" i="147"/>
  <c r="CK402" i="147"/>
  <c r="CK403" i="147"/>
  <c r="CK404" i="147"/>
  <c r="CK405" i="147"/>
  <c r="CK406" i="147"/>
  <c r="CK407" i="147"/>
  <c r="CK408" i="147"/>
  <c r="CK409" i="147"/>
  <c r="CK410" i="147"/>
  <c r="CK411" i="147"/>
  <c r="CK412" i="147"/>
  <c r="CK413" i="147"/>
  <c r="CK414" i="147"/>
  <c r="CK415" i="147"/>
  <c r="CK416" i="147"/>
  <c r="CK417" i="147"/>
  <c r="CK418" i="147"/>
  <c r="CK419" i="147"/>
  <c r="CK420" i="147"/>
  <c r="CK421" i="147"/>
  <c r="CK422" i="147"/>
  <c r="CK423" i="147"/>
  <c r="CK424" i="147"/>
  <c r="CK425" i="147"/>
  <c r="CK426" i="147"/>
  <c r="CK427" i="147"/>
  <c r="CK428" i="147"/>
  <c r="CK429" i="147"/>
  <c r="CK430" i="147"/>
  <c r="CK431" i="147"/>
  <c r="CK432" i="147"/>
  <c r="CK433" i="147"/>
  <c r="CK434" i="147"/>
  <c r="CK435" i="147"/>
  <c r="CK436" i="147"/>
  <c r="CK437" i="147"/>
  <c r="CK438" i="147"/>
  <c r="CK439" i="147"/>
  <c r="CK440" i="147"/>
  <c r="CK441" i="147"/>
  <c r="CK442" i="147"/>
  <c r="CK443" i="147"/>
  <c r="CK444" i="147"/>
  <c r="CK445" i="147"/>
  <c r="CK446" i="147"/>
  <c r="CK447" i="147"/>
  <c r="CK448" i="147"/>
  <c r="CK449" i="147"/>
  <c r="CK450" i="147"/>
  <c r="CK451" i="147"/>
  <c r="CK452" i="147"/>
  <c r="CK453" i="147"/>
  <c r="CK454" i="147"/>
  <c r="CK455" i="147"/>
  <c r="CK456" i="147"/>
  <c r="CK457" i="147"/>
  <c r="CK458" i="147"/>
  <c r="CK459" i="147"/>
  <c r="CK460" i="147"/>
  <c r="CK461" i="147"/>
  <c r="CK462" i="147"/>
  <c r="CK463" i="147"/>
  <c r="CK464" i="147"/>
  <c r="CK465" i="147"/>
  <c r="CK466" i="147"/>
  <c r="CK467" i="147"/>
  <c r="CK468" i="147"/>
  <c r="CK469" i="147"/>
  <c r="CK470" i="147"/>
  <c r="CK471" i="147"/>
  <c r="CK472" i="147"/>
  <c r="CK473" i="147"/>
  <c r="CK474" i="147"/>
  <c r="CK475" i="147"/>
  <c r="CK476" i="147"/>
  <c r="CK477" i="147"/>
  <c r="CK478" i="147"/>
  <c r="CK479" i="147"/>
  <c r="CK480" i="147"/>
  <c r="CK481" i="147"/>
  <c r="CK482" i="147"/>
  <c r="CK483" i="147"/>
  <c r="CK484" i="147"/>
  <c r="CK485" i="147"/>
  <c r="CK486" i="147"/>
  <c r="CK487" i="147"/>
  <c r="CK488" i="147"/>
  <c r="CK489" i="147"/>
  <c r="CK490" i="147"/>
  <c r="CK491" i="147"/>
  <c r="CK492" i="147"/>
  <c r="CK493" i="147"/>
  <c r="CK494" i="147"/>
  <c r="CK495" i="147"/>
  <c r="CK496" i="147"/>
  <c r="CK497" i="147"/>
  <c r="CK498" i="147"/>
  <c r="CK499" i="147"/>
  <c r="CK500" i="147"/>
  <c r="CK501" i="147"/>
  <c r="CK502" i="147"/>
  <c r="CK503" i="147"/>
  <c r="CK504" i="147"/>
  <c r="CK505" i="147"/>
  <c r="CK506" i="147"/>
  <c r="CK507" i="147"/>
  <c r="CK508" i="147"/>
  <c r="CK509" i="147"/>
  <c r="CK510" i="147"/>
  <c r="CK511" i="147"/>
  <c r="CK512" i="147"/>
  <c r="CK513" i="147"/>
  <c r="CK514" i="147"/>
  <c r="CK515" i="147"/>
  <c r="CK516" i="147"/>
  <c r="CK517" i="147"/>
  <c r="CK518" i="147"/>
  <c r="CK519" i="147"/>
  <c r="CK520" i="147"/>
  <c r="CK521" i="147"/>
  <c r="CK522" i="147"/>
  <c r="CK523" i="147"/>
  <c r="CK524" i="147"/>
  <c r="CK525" i="147"/>
  <c r="CK526" i="147"/>
  <c r="CK527" i="147"/>
  <c r="CK528" i="147"/>
  <c r="CK529" i="147"/>
  <c r="CK531" i="147"/>
  <c r="CK532" i="147"/>
  <c r="CK533" i="147"/>
  <c r="CK534" i="147"/>
  <c r="CK535" i="147"/>
  <c r="CK536" i="147"/>
  <c r="CK537" i="147"/>
  <c r="CK538" i="147"/>
  <c r="CK539" i="147"/>
  <c r="CK540" i="147"/>
  <c r="CK541" i="147"/>
  <c r="CK542" i="147"/>
  <c r="CK543" i="147"/>
  <c r="CK544" i="147"/>
  <c r="CK545" i="147"/>
  <c r="CK546" i="147"/>
  <c r="CK547" i="147"/>
  <c r="CK548" i="147"/>
  <c r="CK549" i="147"/>
  <c r="CK550" i="147"/>
  <c r="CK551" i="147"/>
  <c r="CK552" i="147"/>
  <c r="CK553" i="147"/>
  <c r="CK554" i="147"/>
  <c r="CK555" i="147"/>
  <c r="CK556" i="147"/>
  <c r="CK557" i="147"/>
  <c r="CK558" i="147"/>
  <c r="CK559" i="147"/>
  <c r="CK560" i="147"/>
  <c r="CK561" i="147"/>
  <c r="CK562" i="147"/>
  <c r="CK563" i="147"/>
  <c r="CK564" i="147"/>
  <c r="CK565" i="147"/>
  <c r="CK566" i="147"/>
  <c r="CK568" i="147"/>
  <c r="CK569" i="147"/>
  <c r="CK570" i="147"/>
  <c r="CK571" i="147"/>
  <c r="CK572" i="147"/>
  <c r="CK573" i="147"/>
  <c r="CK574" i="147"/>
  <c r="CK575" i="147"/>
  <c r="CK576" i="147"/>
  <c r="CK577" i="147"/>
  <c r="CK578" i="147"/>
  <c r="CK579" i="147"/>
  <c r="CK580" i="147"/>
  <c r="CK581" i="147"/>
  <c r="CK582" i="147"/>
  <c r="CK583" i="147"/>
  <c r="CK584" i="147"/>
  <c r="CK585" i="147"/>
  <c r="CK586" i="147"/>
  <c r="CK587" i="147"/>
  <c r="CK588" i="147"/>
  <c r="CK589" i="147"/>
  <c r="CK590" i="147"/>
  <c r="CK591" i="147"/>
  <c r="CK592" i="147"/>
  <c r="CK593" i="147"/>
  <c r="CK594" i="147"/>
  <c r="CK595" i="147"/>
  <c r="CK596" i="147"/>
  <c r="CK597" i="147"/>
  <c r="CK598" i="147"/>
  <c r="CK600" i="147"/>
  <c r="CK601" i="147"/>
  <c r="CK602" i="147"/>
  <c r="CK603" i="147"/>
  <c r="CK604" i="147"/>
  <c r="CK605" i="147"/>
  <c r="CK606" i="147"/>
  <c r="CK607" i="147"/>
  <c r="CK608" i="147"/>
  <c r="CK609" i="147"/>
  <c r="CK610" i="147"/>
  <c r="CK611" i="147"/>
  <c r="CK612" i="147"/>
  <c r="CK613" i="147"/>
  <c r="CK614" i="147"/>
  <c r="CK615" i="147"/>
  <c r="CK616" i="147"/>
  <c r="CK617" i="147"/>
  <c r="CK618" i="147"/>
  <c r="CK619" i="147"/>
  <c r="CK620" i="147"/>
  <c r="CK621" i="147"/>
  <c r="CK622" i="147"/>
  <c r="CK623" i="147"/>
  <c r="CK624" i="147"/>
  <c r="CK625" i="147"/>
  <c r="CK626" i="147"/>
  <c r="CK627" i="147"/>
  <c r="CK628" i="147"/>
  <c r="CK629" i="147"/>
  <c r="CK631" i="147"/>
  <c r="CK632" i="147"/>
  <c r="CK633" i="147"/>
  <c r="CK634" i="147"/>
  <c r="CK635" i="147"/>
  <c r="CK636" i="147"/>
  <c r="CK637" i="147"/>
  <c r="CK638" i="147"/>
  <c r="CK639" i="147"/>
  <c r="CK640" i="147"/>
  <c r="CK641" i="147"/>
  <c r="CK642" i="147"/>
  <c r="CK643" i="147"/>
  <c r="CM375" i="147"/>
  <c r="CM376" i="147"/>
  <c r="CM377" i="147"/>
  <c r="CM378" i="147"/>
  <c r="CM379" i="147"/>
  <c r="CM380" i="147"/>
  <c r="CM381" i="147"/>
  <c r="CM382" i="147"/>
  <c r="CM383" i="147"/>
  <c r="CM384" i="147"/>
  <c r="CM385" i="147"/>
  <c r="CM386" i="147"/>
  <c r="CM387" i="147"/>
  <c r="CM388" i="147"/>
  <c r="CM389" i="147"/>
  <c r="CM390" i="147"/>
  <c r="CM391" i="147"/>
  <c r="CM392" i="147"/>
  <c r="CM393" i="147"/>
  <c r="CM394" i="147"/>
  <c r="CM395" i="147"/>
  <c r="CM396" i="147"/>
  <c r="CM397" i="147"/>
  <c r="CM398" i="147"/>
  <c r="CM399" i="147"/>
  <c r="CM400" i="147"/>
  <c r="CM401" i="147"/>
  <c r="CM402" i="147"/>
  <c r="CM403" i="147"/>
  <c r="CM404" i="147"/>
  <c r="CM405" i="147"/>
  <c r="CM406" i="147"/>
  <c r="CM407" i="147"/>
  <c r="CM408" i="147"/>
  <c r="CM409" i="147"/>
  <c r="CM410" i="147"/>
  <c r="CM411" i="147"/>
  <c r="CM412" i="147"/>
  <c r="CM413" i="147"/>
  <c r="CM414" i="147"/>
  <c r="CM415" i="147"/>
  <c r="CM416" i="147"/>
  <c r="CM417" i="147"/>
  <c r="CM418" i="147"/>
  <c r="CM419" i="147"/>
  <c r="CM420" i="147"/>
  <c r="CM421" i="147"/>
  <c r="CM422" i="147"/>
  <c r="CM423" i="147"/>
  <c r="CM424" i="147"/>
  <c r="CM425" i="147"/>
  <c r="CM426" i="147"/>
  <c r="CM427" i="147"/>
  <c r="CM428" i="147"/>
  <c r="CM429" i="147"/>
  <c r="CM430" i="147"/>
  <c r="CM431" i="147"/>
  <c r="CM432" i="147"/>
  <c r="CM433" i="147"/>
  <c r="CM434" i="147"/>
  <c r="CM435" i="147"/>
  <c r="CM436" i="147"/>
  <c r="CM437" i="147"/>
  <c r="CM438" i="147"/>
  <c r="CM446" i="147"/>
  <c r="CM447" i="147"/>
  <c r="CM448" i="147"/>
  <c r="CM449" i="147"/>
  <c r="CM450" i="147"/>
  <c r="CM451" i="147"/>
  <c r="CM452" i="147"/>
  <c r="CM453" i="147"/>
  <c r="CM454" i="147"/>
  <c r="CM455" i="147"/>
  <c r="CM456" i="147"/>
  <c r="CM457" i="147"/>
  <c r="CM439" i="147"/>
  <c r="CM440" i="147"/>
  <c r="CM441" i="147"/>
  <c r="CM442" i="147"/>
  <c r="CM443" i="147"/>
  <c r="CM444" i="147"/>
  <c r="CM445" i="147"/>
  <c r="CM458" i="147"/>
  <c r="CM459" i="147"/>
  <c r="CM460" i="147"/>
  <c r="CM461" i="147"/>
  <c r="CM462" i="147"/>
  <c r="CM463" i="147"/>
  <c r="CM464" i="147"/>
  <c r="CM465" i="147"/>
  <c r="CM466" i="147"/>
  <c r="CM467" i="147"/>
  <c r="CM468" i="147"/>
  <c r="CM469" i="147"/>
  <c r="CM470" i="147"/>
  <c r="CM471" i="147"/>
  <c r="CM472" i="147"/>
  <c r="CM473" i="147"/>
  <c r="CM474" i="147"/>
  <c r="CM475" i="147"/>
  <c r="CM476" i="147"/>
  <c r="CM477" i="147"/>
  <c r="CM478" i="147"/>
  <c r="CM479" i="147"/>
  <c r="CM480" i="147"/>
  <c r="CM481" i="147"/>
  <c r="CM482" i="147"/>
  <c r="CM483" i="147"/>
  <c r="CM484" i="147"/>
  <c r="CM485" i="147"/>
  <c r="CM486" i="147"/>
  <c r="CM487" i="147"/>
  <c r="CM488" i="147"/>
  <c r="CM489" i="147"/>
  <c r="CM490" i="147"/>
  <c r="CM491" i="147"/>
  <c r="CM492" i="147"/>
  <c r="CM493" i="147"/>
  <c r="CM494" i="147"/>
  <c r="CM495" i="147"/>
  <c r="CM496" i="147"/>
  <c r="CM497" i="147"/>
  <c r="CM498" i="147"/>
  <c r="CM500" i="147"/>
  <c r="CM501" i="147"/>
  <c r="CM502" i="147"/>
  <c r="CM503" i="147"/>
  <c r="CM504" i="147"/>
  <c r="CM505" i="147"/>
  <c r="CM506" i="147"/>
  <c r="CM507" i="147"/>
  <c r="CM508" i="147"/>
  <c r="CM509" i="147"/>
  <c r="CM510" i="147"/>
  <c r="CM511" i="147"/>
  <c r="CM512" i="147"/>
  <c r="CM513" i="147"/>
  <c r="CM514" i="147"/>
  <c r="CM516" i="147"/>
  <c r="CM517" i="147"/>
  <c r="CM518" i="147"/>
  <c r="CM519" i="147"/>
  <c r="CM520" i="147"/>
  <c r="CM521" i="147"/>
  <c r="CM522" i="147"/>
  <c r="CM523" i="147"/>
  <c r="CM524" i="147"/>
  <c r="CM525" i="147"/>
  <c r="CM528" i="147"/>
  <c r="CM529" i="147"/>
  <c r="CM530" i="147"/>
  <c r="CM531" i="147"/>
  <c r="CM532" i="147"/>
  <c r="CM533" i="147"/>
  <c r="CM534" i="147"/>
  <c r="CM535" i="147"/>
  <c r="CM536" i="147"/>
  <c r="CM537" i="147"/>
  <c r="CM538" i="147"/>
  <c r="CM539" i="147"/>
  <c r="CM540" i="147"/>
  <c r="CM541" i="147"/>
  <c r="CM542" i="147"/>
  <c r="CM543" i="147"/>
  <c r="CM544" i="147"/>
  <c r="CM545" i="147"/>
  <c r="CM546" i="147"/>
  <c r="CM547" i="147"/>
  <c r="CM548" i="147"/>
  <c r="CM549" i="147"/>
  <c r="CM550" i="147"/>
  <c r="CM551" i="147"/>
  <c r="CM552" i="147"/>
  <c r="CM553" i="147"/>
  <c r="CM554" i="147"/>
  <c r="CM555" i="147"/>
  <c r="CM556" i="147"/>
  <c r="CM557" i="147"/>
  <c r="CM558" i="147"/>
  <c r="CM559" i="147"/>
  <c r="CM560" i="147"/>
  <c r="CM561" i="147"/>
  <c r="CM562" i="147"/>
  <c r="CM563" i="147"/>
  <c r="CM564" i="147"/>
  <c r="CM565" i="147"/>
  <c r="CM566" i="147"/>
  <c r="CM568" i="147"/>
  <c r="CM569" i="147"/>
  <c r="CM570" i="147"/>
  <c r="CM571" i="147"/>
  <c r="CM572" i="147"/>
  <c r="CM573" i="147"/>
  <c r="CM574" i="147"/>
  <c r="CM575" i="147"/>
  <c r="CM576" i="147"/>
  <c r="CM577" i="147"/>
  <c r="CM578" i="147"/>
  <c r="CM579" i="147"/>
  <c r="CM580" i="147"/>
  <c r="CM581" i="147"/>
  <c r="CM582" i="147"/>
  <c r="CM583" i="147"/>
  <c r="CM584" i="147"/>
  <c r="CM585" i="147"/>
  <c r="CM586" i="147"/>
  <c r="CM587" i="147"/>
  <c r="CM588" i="147"/>
  <c r="CM589" i="147"/>
  <c r="CM590" i="147"/>
  <c r="CM591" i="147"/>
  <c r="CM592" i="147"/>
  <c r="CM593" i="147"/>
  <c r="CM594" i="147"/>
  <c r="CM595" i="147"/>
  <c r="CM596" i="147"/>
  <c r="CM597" i="147"/>
  <c r="CM598" i="147"/>
  <c r="CM600" i="147"/>
  <c r="CM601" i="147"/>
  <c r="CM602" i="147"/>
  <c r="CM603" i="147"/>
  <c r="CM604" i="147"/>
  <c r="CM605" i="147"/>
  <c r="CM606" i="147"/>
  <c r="CM607" i="147"/>
  <c r="CM608" i="147"/>
  <c r="CM609" i="147"/>
  <c r="CM610" i="147"/>
  <c r="CM611" i="147"/>
  <c r="CM612" i="147"/>
  <c r="CM613" i="147"/>
  <c r="CM614" i="147"/>
  <c r="CM615" i="147"/>
  <c r="CM616" i="147"/>
  <c r="CM617" i="147"/>
  <c r="CM618" i="147"/>
  <c r="CM619" i="147"/>
  <c r="CM620" i="147"/>
  <c r="CM621" i="147"/>
  <c r="CM622" i="147"/>
  <c r="CM623" i="147"/>
  <c r="CM624" i="147"/>
  <c r="CM625" i="147"/>
  <c r="CM626" i="147"/>
  <c r="CM627" i="147"/>
  <c r="CM628" i="147"/>
  <c r="CM629" i="147"/>
  <c r="CM631" i="147"/>
  <c r="CM632" i="147"/>
  <c r="CM633" i="147"/>
  <c r="CM634" i="147"/>
  <c r="CM635" i="147"/>
  <c r="CM636" i="147"/>
  <c r="CM637" i="147"/>
  <c r="CM638" i="147"/>
  <c r="CM639" i="147"/>
  <c r="CM640" i="147"/>
  <c r="CM641" i="147"/>
  <c r="CM642" i="147"/>
  <c r="CM643" i="147"/>
  <c r="CM515" i="147"/>
  <c r="CM527" i="147"/>
  <c r="CO379" i="147"/>
  <c r="CO380" i="147"/>
  <c r="CO381" i="147"/>
  <c r="CO382" i="147"/>
  <c r="CO383" i="147"/>
  <c r="CO384" i="147"/>
  <c r="CO385" i="147"/>
  <c r="CO375" i="147"/>
  <c r="CO376" i="147"/>
  <c r="CO377" i="147"/>
  <c r="CO378" i="147"/>
  <c r="CO386" i="147"/>
  <c r="CO387" i="147"/>
  <c r="CO388" i="147"/>
  <c r="CO389" i="147"/>
  <c r="CO390" i="147"/>
  <c r="CO391" i="147"/>
  <c r="CO392" i="147"/>
  <c r="CO393" i="147"/>
  <c r="CO394" i="147"/>
  <c r="CO395" i="147"/>
  <c r="CO396" i="147"/>
  <c r="CO397" i="147"/>
  <c r="CO398" i="147"/>
  <c r="CO399" i="147"/>
  <c r="CO400" i="147"/>
  <c r="CO401" i="147"/>
  <c r="CO402" i="147"/>
  <c r="CO403" i="147"/>
  <c r="CO404" i="147"/>
  <c r="CO405" i="147"/>
  <c r="CO406" i="147"/>
  <c r="CO407" i="147"/>
  <c r="CO408" i="147"/>
  <c r="CO409" i="147"/>
  <c r="CO410" i="147"/>
  <c r="CO411" i="147"/>
  <c r="CO412" i="147"/>
  <c r="CO413" i="147"/>
  <c r="CO414" i="147"/>
  <c r="CO415" i="147"/>
  <c r="CO416" i="147"/>
  <c r="CO417" i="147"/>
  <c r="CO429" i="147"/>
  <c r="CO430" i="147"/>
  <c r="CO431" i="147"/>
  <c r="CO432" i="147"/>
  <c r="CO418" i="147"/>
  <c r="CO419" i="147"/>
  <c r="CO420" i="147"/>
  <c r="CO421" i="147"/>
  <c r="CO422" i="147"/>
  <c r="CO423" i="147"/>
  <c r="CO424" i="147"/>
  <c r="CO425" i="147"/>
  <c r="CO426" i="147"/>
  <c r="CO427" i="147"/>
  <c r="CO428" i="147"/>
  <c r="CO439" i="147"/>
  <c r="CO440" i="147"/>
  <c r="CO441" i="147"/>
  <c r="CO442" i="147"/>
  <c r="CO443" i="147"/>
  <c r="CO444" i="147"/>
  <c r="CO445" i="147"/>
  <c r="CO446" i="147"/>
  <c r="CO447" i="147"/>
  <c r="CO448" i="147"/>
  <c r="CO449" i="147"/>
  <c r="CO450" i="147"/>
  <c r="CO451" i="147"/>
  <c r="CO452" i="147"/>
  <c r="CO453" i="147"/>
  <c r="CO454" i="147"/>
  <c r="CO455" i="147"/>
  <c r="CO456" i="147"/>
  <c r="CO457" i="147"/>
  <c r="CO433" i="147"/>
  <c r="CO434" i="147"/>
  <c r="CO435" i="147"/>
  <c r="CO436" i="147"/>
  <c r="CO437" i="147"/>
  <c r="CO438" i="147"/>
  <c r="CO458" i="147"/>
  <c r="CO459" i="147"/>
  <c r="CO460" i="147"/>
  <c r="CO461" i="147"/>
  <c r="CO462" i="147"/>
  <c r="CO463" i="147"/>
  <c r="CO464" i="147"/>
  <c r="CO465" i="147"/>
  <c r="CO466" i="147"/>
  <c r="CO467" i="147"/>
  <c r="CO468" i="147"/>
  <c r="CO469" i="147"/>
  <c r="CO470" i="147"/>
  <c r="CO471" i="147"/>
  <c r="CO472" i="147"/>
  <c r="CO473" i="147"/>
  <c r="CO474" i="147"/>
  <c r="CO475" i="147"/>
  <c r="CO476" i="147"/>
  <c r="CO477" i="147"/>
  <c r="CO478" i="147"/>
  <c r="CO479" i="147"/>
  <c r="CO480" i="147"/>
  <c r="CO481" i="147"/>
  <c r="CO482" i="147"/>
  <c r="CO483" i="147"/>
  <c r="CO484" i="147"/>
  <c r="CO485" i="147"/>
  <c r="CO486" i="147"/>
  <c r="CO487" i="147"/>
  <c r="CO488" i="147"/>
  <c r="CO489" i="147"/>
  <c r="CO490" i="147"/>
  <c r="CO491" i="147"/>
  <c r="CO492" i="147"/>
  <c r="CO493" i="147"/>
  <c r="CO494" i="147"/>
  <c r="CO495" i="147"/>
  <c r="CO496" i="147"/>
  <c r="CO497" i="147"/>
  <c r="CO498" i="147"/>
  <c r="CO499" i="147"/>
  <c r="CO500" i="147"/>
  <c r="CO501" i="147"/>
  <c r="CO502" i="147"/>
  <c r="CO503" i="147"/>
  <c r="CO504" i="147"/>
  <c r="CO505" i="147"/>
  <c r="CO506" i="147"/>
  <c r="CO507" i="147"/>
  <c r="CO508" i="147"/>
  <c r="CO509" i="147"/>
  <c r="CO510" i="147"/>
  <c r="CO511" i="147"/>
  <c r="CO512" i="147"/>
  <c r="CO513" i="147"/>
  <c r="CO514" i="147"/>
  <c r="CO515" i="147"/>
  <c r="CO516" i="147"/>
  <c r="CO517" i="147"/>
  <c r="CO518" i="147"/>
  <c r="CO519" i="147"/>
  <c r="CO520" i="147"/>
  <c r="CO521" i="147"/>
  <c r="CO522" i="147"/>
  <c r="CO523" i="147"/>
  <c r="CO524" i="147"/>
  <c r="CO525" i="147"/>
  <c r="CO526" i="147"/>
  <c r="CO527" i="147"/>
  <c r="CO528" i="147"/>
  <c r="CO529" i="147"/>
  <c r="CO530" i="147"/>
  <c r="CO531" i="147"/>
  <c r="CO532" i="147"/>
  <c r="CO533" i="147"/>
  <c r="CO534" i="147"/>
  <c r="CO535" i="147"/>
  <c r="CO536" i="147"/>
  <c r="CO537" i="147"/>
  <c r="CO538" i="147"/>
  <c r="CO539" i="147"/>
  <c r="CO540" i="147"/>
  <c r="CO541" i="147"/>
  <c r="CO542" i="147"/>
  <c r="CO543" i="147"/>
  <c r="CO544" i="147"/>
  <c r="CO545" i="147"/>
  <c r="CO546" i="147"/>
  <c r="CO547" i="147"/>
  <c r="CO548" i="147"/>
  <c r="CO549" i="147"/>
  <c r="CO550" i="147"/>
  <c r="CO551" i="147"/>
  <c r="CO552" i="147"/>
  <c r="CO553" i="147"/>
  <c r="CO554" i="147"/>
  <c r="CO555" i="147"/>
  <c r="CO556" i="147"/>
  <c r="CO557" i="147"/>
  <c r="CO558" i="147"/>
  <c r="CO559" i="147"/>
  <c r="CO560" i="147"/>
  <c r="CO561" i="147"/>
  <c r="CO562" i="147"/>
  <c r="CO563" i="147"/>
  <c r="CO564" i="147"/>
  <c r="CO565" i="147"/>
  <c r="CO566" i="147"/>
  <c r="CO568" i="147"/>
  <c r="CO569" i="147"/>
  <c r="CO570" i="147"/>
  <c r="CO571" i="147"/>
  <c r="CO572" i="147"/>
  <c r="CO573" i="147"/>
  <c r="CO574" i="147"/>
  <c r="CO575" i="147"/>
  <c r="CO576" i="147"/>
  <c r="CO577" i="147"/>
  <c r="CO578" i="147"/>
  <c r="CO579" i="147"/>
  <c r="CO580" i="147"/>
  <c r="CO581" i="147"/>
  <c r="CO582" i="147"/>
  <c r="CO583" i="147"/>
  <c r="CO584" i="147"/>
  <c r="CO585" i="147"/>
  <c r="CO586" i="147"/>
  <c r="CO587" i="147"/>
  <c r="CO588" i="147"/>
  <c r="CO589" i="147"/>
  <c r="CO590" i="147"/>
  <c r="CO591" i="147"/>
  <c r="CO592" i="147"/>
  <c r="CO593" i="147"/>
  <c r="CO594" i="147"/>
  <c r="CO595" i="147"/>
  <c r="CO596" i="147"/>
  <c r="CO597" i="147"/>
  <c r="CO598" i="147"/>
  <c r="CO600" i="147"/>
  <c r="CO601" i="147"/>
  <c r="CO602" i="147"/>
  <c r="CO603" i="147"/>
  <c r="CO604" i="147"/>
  <c r="CO605" i="147"/>
  <c r="CO606" i="147"/>
  <c r="CO607" i="147"/>
  <c r="CO608" i="147"/>
  <c r="CO609" i="147"/>
  <c r="CO610" i="147"/>
  <c r="CO611" i="147"/>
  <c r="CO612" i="147"/>
  <c r="CO613" i="147"/>
  <c r="CO614" i="147"/>
  <c r="CO615" i="147"/>
  <c r="CO616" i="147"/>
  <c r="CO617" i="147"/>
  <c r="CO618" i="147"/>
  <c r="CO619" i="147"/>
  <c r="CO620" i="147"/>
  <c r="CO621" i="147"/>
  <c r="CO622" i="147"/>
  <c r="CO623" i="147"/>
  <c r="CO624" i="147"/>
  <c r="CO625" i="147"/>
  <c r="CO626" i="147"/>
  <c r="CO627" i="147"/>
  <c r="CO628" i="147"/>
  <c r="CO629" i="147"/>
  <c r="CO631" i="147"/>
  <c r="CO632" i="147"/>
  <c r="CO633" i="147"/>
  <c r="CO634" i="147"/>
  <c r="CO635" i="147"/>
  <c r="CO636" i="147"/>
  <c r="CO637" i="147"/>
  <c r="CO638" i="147"/>
  <c r="CO639" i="147"/>
  <c r="CO640" i="147"/>
  <c r="CO641" i="147"/>
  <c r="CO642" i="147"/>
  <c r="CO643" i="147"/>
  <c r="CQ375" i="147"/>
  <c r="CQ376" i="147"/>
  <c r="CQ377" i="147"/>
  <c r="CQ378" i="147"/>
  <c r="CQ379" i="147"/>
  <c r="CQ380" i="147"/>
  <c r="CQ381" i="147"/>
  <c r="CQ382" i="147"/>
  <c r="CQ383" i="147"/>
  <c r="CQ384" i="147"/>
  <c r="CQ385" i="147"/>
  <c r="CQ386" i="147"/>
  <c r="CQ387" i="147"/>
  <c r="CQ388" i="147"/>
  <c r="CQ389" i="147"/>
  <c r="CQ390" i="147"/>
  <c r="CQ391" i="147"/>
  <c r="CQ392" i="147"/>
  <c r="CQ393" i="147"/>
  <c r="CQ394" i="147"/>
  <c r="CQ395" i="147"/>
  <c r="CQ396" i="147"/>
  <c r="CQ397" i="147"/>
  <c r="CQ398" i="147"/>
  <c r="CQ399" i="147"/>
  <c r="CQ400" i="147"/>
  <c r="CQ401" i="147"/>
  <c r="CQ402" i="147"/>
  <c r="CQ403" i="147"/>
  <c r="CQ406" i="147"/>
  <c r="CQ407" i="147"/>
  <c r="CQ408" i="147"/>
  <c r="CQ409" i="147"/>
  <c r="CQ410" i="147"/>
  <c r="CQ411" i="147"/>
  <c r="CQ412" i="147"/>
  <c r="CQ413" i="147"/>
  <c r="CQ414" i="147"/>
  <c r="CQ415" i="147"/>
  <c r="CQ416" i="147"/>
  <c r="CQ417" i="147"/>
  <c r="CQ418" i="147"/>
  <c r="CQ419" i="147"/>
  <c r="CQ420" i="147"/>
  <c r="CQ421" i="147"/>
  <c r="CQ422" i="147"/>
  <c r="CQ423" i="147"/>
  <c r="CQ424" i="147"/>
  <c r="CQ425" i="147"/>
  <c r="CQ426" i="147"/>
  <c r="CQ427" i="147"/>
  <c r="CQ428" i="147"/>
  <c r="CQ429" i="147"/>
  <c r="CQ430" i="147"/>
  <c r="CQ431" i="147"/>
  <c r="CQ432" i="147"/>
  <c r="CQ433" i="147"/>
  <c r="CQ434" i="147"/>
  <c r="CQ435" i="147"/>
  <c r="CQ436" i="147"/>
  <c r="CQ437" i="147"/>
  <c r="CQ438" i="147"/>
  <c r="CQ446" i="147"/>
  <c r="CQ447" i="147"/>
  <c r="CQ448" i="147"/>
  <c r="CQ449" i="147"/>
  <c r="CQ450" i="147"/>
  <c r="CQ451" i="147"/>
  <c r="CQ452" i="147"/>
  <c r="CQ453" i="147"/>
  <c r="CQ454" i="147"/>
  <c r="CQ455" i="147"/>
  <c r="CQ456" i="147"/>
  <c r="CQ457" i="147"/>
  <c r="CQ439" i="147"/>
  <c r="CQ440" i="147"/>
  <c r="CQ441" i="147"/>
  <c r="CQ442" i="147"/>
  <c r="CQ443" i="147"/>
  <c r="CQ444" i="147"/>
  <c r="CQ445" i="147"/>
  <c r="CQ458" i="147"/>
  <c r="CQ459" i="147"/>
  <c r="CQ460" i="147"/>
  <c r="CQ461" i="147"/>
  <c r="CQ462" i="147"/>
  <c r="CQ463" i="147"/>
  <c r="CQ464" i="147"/>
  <c r="CQ465" i="147"/>
  <c r="CQ466" i="147"/>
  <c r="CQ467" i="147"/>
  <c r="CQ468" i="147"/>
  <c r="CQ469" i="147"/>
  <c r="CQ470" i="147"/>
  <c r="CQ471" i="147"/>
  <c r="CQ472" i="147"/>
  <c r="CQ473" i="147"/>
  <c r="CQ474" i="147"/>
  <c r="CQ475" i="147"/>
  <c r="CQ476" i="147"/>
  <c r="CQ477" i="147"/>
  <c r="CQ479" i="147"/>
  <c r="CQ480" i="147"/>
  <c r="CQ481" i="147"/>
  <c r="CQ482" i="147"/>
  <c r="CQ483" i="147"/>
  <c r="CQ484" i="147"/>
  <c r="CQ485" i="147"/>
  <c r="CQ486" i="147"/>
  <c r="CQ487" i="147"/>
  <c r="CQ488" i="147"/>
  <c r="CQ489" i="147"/>
  <c r="CQ490" i="147"/>
  <c r="CQ491" i="147"/>
  <c r="CQ492" i="147"/>
  <c r="CQ493" i="147"/>
  <c r="CQ494" i="147"/>
  <c r="CQ495" i="147"/>
  <c r="CQ496" i="147"/>
  <c r="CQ497" i="147"/>
  <c r="CQ498" i="147"/>
  <c r="CQ499" i="147"/>
  <c r="CQ500" i="147"/>
  <c r="CQ501" i="147"/>
  <c r="CQ502" i="147"/>
  <c r="CQ503" i="147"/>
  <c r="CQ504" i="147"/>
  <c r="CQ505" i="147"/>
  <c r="CQ506" i="147"/>
  <c r="CQ507" i="147"/>
  <c r="CQ508" i="147"/>
  <c r="CQ509" i="147"/>
  <c r="CQ510" i="147"/>
  <c r="CQ511" i="147"/>
  <c r="CQ512" i="147"/>
  <c r="CQ513" i="147"/>
  <c r="CQ514" i="147"/>
  <c r="CQ515" i="147"/>
  <c r="CQ516" i="147"/>
  <c r="CQ517" i="147"/>
  <c r="CQ518" i="147"/>
  <c r="CQ519" i="147"/>
  <c r="CQ520" i="147"/>
  <c r="CQ521" i="147"/>
  <c r="CQ522" i="147"/>
  <c r="CQ523" i="147"/>
  <c r="CQ524" i="147"/>
  <c r="CQ525" i="147"/>
  <c r="CQ526" i="147"/>
  <c r="CQ527" i="147"/>
  <c r="CQ528" i="147"/>
  <c r="CQ529" i="147"/>
  <c r="CQ530" i="147"/>
  <c r="CQ531" i="147"/>
  <c r="CQ535" i="147"/>
  <c r="CQ536" i="147"/>
  <c r="CQ537" i="147"/>
  <c r="CQ538" i="147"/>
  <c r="CQ539" i="147"/>
  <c r="CQ540" i="147"/>
  <c r="CQ541" i="147"/>
  <c r="CQ542" i="147"/>
  <c r="CQ543" i="147"/>
  <c r="CQ544" i="147"/>
  <c r="CQ545" i="147"/>
  <c r="CQ546" i="147"/>
  <c r="CQ547" i="147"/>
  <c r="CQ548" i="147"/>
  <c r="CQ549" i="147"/>
  <c r="CQ550" i="147"/>
  <c r="CQ551" i="147"/>
  <c r="CQ552" i="147"/>
  <c r="CQ553" i="147"/>
  <c r="CQ554" i="147"/>
  <c r="CQ555" i="147"/>
  <c r="CQ556" i="147"/>
  <c r="CQ557" i="147"/>
  <c r="CQ558" i="147"/>
  <c r="CQ559" i="147"/>
  <c r="CQ560" i="147"/>
  <c r="CQ561" i="147"/>
  <c r="CQ562" i="147"/>
  <c r="CQ563" i="147"/>
  <c r="CQ564" i="147"/>
  <c r="CQ565" i="147"/>
  <c r="CQ566" i="147"/>
  <c r="CQ568" i="147"/>
  <c r="CQ569" i="147"/>
  <c r="CQ570" i="147"/>
  <c r="CQ571" i="147"/>
  <c r="CQ572" i="147"/>
  <c r="CQ573" i="147"/>
  <c r="CQ574" i="147"/>
  <c r="CQ575" i="147"/>
  <c r="CQ576" i="147"/>
  <c r="CQ577" i="147"/>
  <c r="CQ578" i="147"/>
  <c r="CQ579" i="147"/>
  <c r="CQ580" i="147"/>
  <c r="CQ581" i="147"/>
  <c r="CQ582" i="147"/>
  <c r="CQ583" i="147"/>
  <c r="CQ584" i="147"/>
  <c r="CQ585" i="147"/>
  <c r="CQ586" i="147"/>
  <c r="CQ587" i="147"/>
  <c r="CQ588" i="147"/>
  <c r="CQ589" i="147"/>
  <c r="CQ590" i="147"/>
  <c r="CQ591" i="147"/>
  <c r="CQ592" i="147"/>
  <c r="CQ593" i="147"/>
  <c r="CQ594" i="147"/>
  <c r="CQ595" i="147"/>
  <c r="CQ596" i="147"/>
  <c r="CQ597" i="147"/>
  <c r="CQ598" i="147"/>
  <c r="CQ600" i="147"/>
  <c r="CQ601" i="147"/>
  <c r="CQ602" i="147"/>
  <c r="CQ603" i="147"/>
  <c r="CQ604" i="147"/>
  <c r="CQ606" i="147"/>
  <c r="CQ607" i="147"/>
  <c r="CQ608" i="147"/>
  <c r="CQ609" i="147"/>
  <c r="CQ610" i="147"/>
  <c r="CQ611" i="147"/>
  <c r="CQ612" i="147"/>
  <c r="CQ613" i="147"/>
  <c r="CQ614" i="147"/>
  <c r="CQ615" i="147"/>
  <c r="CQ616" i="147"/>
  <c r="CQ617" i="147"/>
  <c r="CQ618" i="147"/>
  <c r="CQ619" i="147"/>
  <c r="CQ620" i="147"/>
  <c r="CQ621" i="147"/>
  <c r="CQ622" i="147"/>
  <c r="CQ623" i="147"/>
  <c r="CQ624" i="147"/>
  <c r="CQ625" i="147"/>
  <c r="CQ627" i="147"/>
  <c r="CQ628" i="147"/>
  <c r="CQ629" i="147"/>
  <c r="CQ631" i="147"/>
  <c r="CQ632" i="147"/>
  <c r="CQ633" i="147"/>
  <c r="CQ634" i="147"/>
  <c r="CQ635" i="147"/>
  <c r="CQ636" i="147"/>
  <c r="CQ637" i="147"/>
  <c r="CQ638" i="147"/>
  <c r="CQ639" i="147"/>
  <c r="CQ640" i="147"/>
  <c r="CQ641" i="147"/>
  <c r="CQ643" i="147"/>
  <c r="CQ626" i="147"/>
  <c r="CS379" i="147"/>
  <c r="CS380" i="147"/>
  <c r="CS381" i="147"/>
  <c r="CS382" i="147"/>
  <c r="CS383" i="147"/>
  <c r="CS384" i="147"/>
  <c r="CS385" i="147"/>
  <c r="CS386" i="147"/>
  <c r="CS387" i="147"/>
  <c r="CS388" i="147"/>
  <c r="CS389" i="147"/>
  <c r="CS390" i="147"/>
  <c r="CS391" i="147"/>
  <c r="CS392" i="147"/>
  <c r="CS393" i="147"/>
  <c r="CS394" i="147"/>
  <c r="CS395" i="147"/>
  <c r="CS396" i="147"/>
  <c r="CS397" i="147"/>
  <c r="CS398" i="147"/>
  <c r="CS399" i="147"/>
  <c r="CS376" i="147"/>
  <c r="CS378" i="147"/>
  <c r="CS375" i="147"/>
  <c r="CS377" i="147"/>
  <c r="CS400" i="147"/>
  <c r="CS401" i="147"/>
  <c r="CS402" i="147"/>
  <c r="CS403" i="147"/>
  <c r="CS404" i="147"/>
  <c r="CS405" i="147"/>
  <c r="CS406" i="147"/>
  <c r="CS407" i="147"/>
  <c r="CS408" i="147"/>
  <c r="CS409" i="147"/>
  <c r="CS410" i="147"/>
  <c r="CS411" i="147"/>
  <c r="CS412" i="147"/>
  <c r="CS413" i="147"/>
  <c r="CS414" i="147"/>
  <c r="CS415" i="147"/>
  <c r="CS416" i="147"/>
  <c r="CS417" i="147"/>
  <c r="CS418" i="147"/>
  <c r="CS419" i="147"/>
  <c r="CS420" i="147"/>
  <c r="CS421" i="147"/>
  <c r="CS422" i="147"/>
  <c r="CS424" i="147"/>
  <c r="CS425" i="147"/>
  <c r="CS426" i="147"/>
  <c r="CS427" i="147"/>
  <c r="CS428" i="147"/>
  <c r="CS429" i="147"/>
  <c r="CS430" i="147"/>
  <c r="CS431" i="147"/>
  <c r="CS432" i="147"/>
  <c r="CS452" i="147"/>
  <c r="CS454" i="147"/>
  <c r="CS456" i="147"/>
  <c r="CS458" i="147"/>
  <c r="CS459" i="147"/>
  <c r="CS466" i="147"/>
  <c r="CS467" i="147"/>
  <c r="CS468" i="147"/>
  <c r="CS469" i="147"/>
  <c r="CS470" i="147"/>
  <c r="CS471" i="147"/>
  <c r="CS472" i="147"/>
  <c r="CS473" i="147"/>
  <c r="CS475" i="147"/>
  <c r="CS476" i="147"/>
  <c r="CS477" i="147"/>
  <c r="CS483" i="147"/>
  <c r="CS484" i="147"/>
  <c r="CS486" i="147"/>
  <c r="CS487" i="147"/>
  <c r="CS488" i="147"/>
  <c r="CS489" i="147"/>
  <c r="CS490" i="147"/>
  <c r="CS491" i="147"/>
  <c r="CS492" i="147"/>
  <c r="CS493" i="147"/>
  <c r="CS494" i="147"/>
  <c r="CS495" i="147"/>
  <c r="CS496" i="147"/>
  <c r="CS497" i="147"/>
  <c r="CS498" i="147"/>
  <c r="CS499" i="147"/>
  <c r="CS500" i="147"/>
  <c r="CS501" i="147"/>
  <c r="CS502" i="147"/>
  <c r="CS503" i="147"/>
  <c r="CS504" i="147"/>
  <c r="CS505" i="147"/>
  <c r="CS506" i="147"/>
  <c r="CS507" i="147"/>
  <c r="CS508" i="147"/>
  <c r="CS509" i="147"/>
  <c r="CS510" i="147"/>
  <c r="CS511" i="147"/>
  <c r="CS512" i="147"/>
  <c r="CS513" i="147"/>
  <c r="CS514" i="147"/>
  <c r="CS515" i="147"/>
  <c r="CS516" i="147"/>
  <c r="CS517" i="147"/>
  <c r="CS518" i="147"/>
  <c r="CS519" i="147"/>
  <c r="CS520" i="147"/>
  <c r="CS521" i="147"/>
  <c r="CS522" i="147"/>
  <c r="CS523" i="147"/>
  <c r="CS524" i="147"/>
  <c r="CS525" i="147"/>
  <c r="CS526" i="147"/>
  <c r="CS527" i="147"/>
  <c r="CS528" i="147"/>
  <c r="CS529" i="147"/>
  <c r="CS530" i="147"/>
  <c r="CS538" i="147"/>
  <c r="CS539" i="147"/>
  <c r="CS540" i="147"/>
  <c r="CS550" i="147"/>
  <c r="CS560" i="147"/>
  <c r="CS561" i="147"/>
  <c r="CS571" i="147"/>
  <c r="CS581" i="147"/>
  <c r="CS582" i="147"/>
  <c r="CS586" i="147"/>
  <c r="CS587" i="147"/>
  <c r="CS592" i="147"/>
  <c r="CS593" i="147"/>
  <c r="CS594" i="147"/>
  <c r="CS595" i="147"/>
  <c r="CS596" i="147"/>
  <c r="CS597" i="147"/>
  <c r="CS598" i="147"/>
  <c r="CS600" i="147"/>
  <c r="CS601" i="147"/>
  <c r="CS602" i="147"/>
  <c r="CS603" i="147"/>
  <c r="CS604" i="147"/>
  <c r="CS608" i="147"/>
  <c r="CS622" i="147"/>
  <c r="CS623" i="147"/>
  <c r="CS624" i="147"/>
  <c r="CS625" i="147"/>
  <c r="CS626" i="147"/>
  <c r="CS627" i="147"/>
  <c r="CS628" i="147"/>
  <c r="CS629" i="147"/>
  <c r="CS631" i="147"/>
  <c r="CS632" i="147"/>
  <c r="CS633" i="147"/>
  <c r="CS634" i="147"/>
  <c r="CS635" i="147"/>
  <c r="CS636" i="147"/>
  <c r="CS637" i="147"/>
  <c r="CS638" i="147"/>
  <c r="CS639" i="147"/>
  <c r="CS640" i="147"/>
  <c r="CS641" i="147"/>
  <c r="CS642" i="147"/>
  <c r="CS643" i="147"/>
  <c r="CS575" i="147"/>
  <c r="CS584" i="147"/>
  <c r="CS588" i="147"/>
  <c r="CS572" i="147"/>
  <c r="CS574" i="147"/>
  <c r="CS578" i="147"/>
  <c r="CS579" i="147"/>
  <c r="CS589" i="147"/>
  <c r="CS583" i="147"/>
  <c r="CS569" i="147"/>
  <c r="CS573" i="147"/>
  <c r="CS580" i="147"/>
  <c r="CS474" i="147"/>
  <c r="CS544" i="147"/>
  <c r="CS563" i="147"/>
  <c r="CS562" i="147"/>
  <c r="CS564" i="147"/>
  <c r="CS568" i="147"/>
  <c r="CS479" i="147"/>
  <c r="CS545" i="147"/>
  <c r="CS566" i="147"/>
  <c r="CS423" i="147"/>
  <c r="CS448" i="147"/>
  <c r="CU375" i="147"/>
  <c r="CU376" i="147"/>
  <c r="CU377" i="147"/>
  <c r="CU378" i="147"/>
  <c r="CU379" i="147"/>
  <c r="CU380" i="147"/>
  <c r="CU381" i="147"/>
  <c r="CU382" i="147"/>
  <c r="CU383" i="147"/>
  <c r="CU384" i="147"/>
  <c r="CU385" i="147"/>
  <c r="CU386" i="147"/>
  <c r="CU387" i="147"/>
  <c r="CU388" i="147"/>
  <c r="CU389" i="147"/>
  <c r="CU390" i="147"/>
  <c r="CU391" i="147"/>
  <c r="CU392" i="147"/>
  <c r="CU393" i="147"/>
  <c r="CU394" i="147"/>
  <c r="CU395" i="147"/>
  <c r="CU396" i="147"/>
  <c r="CU397" i="147"/>
  <c r="CU398" i="147"/>
  <c r="CU399" i="147"/>
  <c r="CU400" i="147"/>
  <c r="CU401" i="147"/>
  <c r="CU402" i="147"/>
  <c r="CU403" i="147"/>
  <c r="CU404" i="147"/>
  <c r="CU405" i="147"/>
  <c r="CU406" i="147"/>
  <c r="CU407" i="147"/>
  <c r="CU408" i="147"/>
  <c r="CU409" i="147"/>
  <c r="CU410" i="147"/>
  <c r="CU411" i="147"/>
  <c r="CU412" i="147"/>
  <c r="CU413" i="147"/>
  <c r="CU414" i="147"/>
  <c r="CU415" i="147"/>
  <c r="CU417" i="147"/>
  <c r="CU418" i="147"/>
  <c r="CU419" i="147"/>
  <c r="CU420" i="147"/>
  <c r="CU421" i="147"/>
  <c r="CU422" i="147"/>
  <c r="CU423" i="147"/>
  <c r="CU424" i="147"/>
  <c r="CU425" i="147"/>
  <c r="CU426" i="147"/>
  <c r="CU427" i="147"/>
  <c r="CU428" i="147"/>
  <c r="CU429" i="147"/>
  <c r="CU430" i="147"/>
  <c r="CU431" i="147"/>
  <c r="CU432" i="147"/>
  <c r="CU433" i="147"/>
  <c r="CU434" i="147"/>
  <c r="CU435" i="147"/>
  <c r="CU436" i="147"/>
  <c r="CU437" i="147"/>
  <c r="CU438" i="147"/>
  <c r="CU446" i="147"/>
  <c r="CU447" i="147"/>
  <c r="CU448" i="147"/>
  <c r="CU449" i="147"/>
  <c r="CU450" i="147"/>
  <c r="CU451" i="147"/>
  <c r="CU452" i="147"/>
  <c r="CU453" i="147"/>
  <c r="CU454" i="147"/>
  <c r="CU455" i="147"/>
  <c r="CU456" i="147"/>
  <c r="CU457" i="147"/>
  <c r="CU439" i="147"/>
  <c r="CU440" i="147"/>
  <c r="CU441" i="147"/>
  <c r="CU442" i="147"/>
  <c r="CU443" i="147"/>
  <c r="CU444" i="147"/>
  <c r="CU445" i="147"/>
  <c r="CU458" i="147"/>
  <c r="CU459" i="147"/>
  <c r="CU460" i="147"/>
  <c r="CU461" i="147"/>
  <c r="CU462" i="147"/>
  <c r="CU463" i="147"/>
  <c r="CU464" i="147"/>
  <c r="CU465" i="147"/>
  <c r="CU466" i="147"/>
  <c r="CU467" i="147"/>
  <c r="CU468" i="147"/>
  <c r="CU469" i="147"/>
  <c r="CU470" i="147"/>
  <c r="CU471" i="147"/>
  <c r="CU472" i="147"/>
  <c r="CU473" i="147"/>
  <c r="CU474" i="147"/>
  <c r="CU475" i="147"/>
  <c r="CU476" i="147"/>
  <c r="CU477" i="147"/>
  <c r="CU478" i="147"/>
  <c r="CU479" i="147"/>
  <c r="CU480" i="147"/>
  <c r="CU481" i="147"/>
  <c r="CU482" i="147"/>
  <c r="CU483" i="147"/>
  <c r="CU484" i="147"/>
  <c r="CU485" i="147"/>
  <c r="CU486" i="147"/>
  <c r="CU487" i="147"/>
  <c r="CU488" i="147"/>
  <c r="CU489" i="147"/>
  <c r="CU490" i="147"/>
  <c r="CU491" i="147"/>
  <c r="CU492" i="147"/>
  <c r="CU493" i="147"/>
  <c r="CU494" i="147"/>
  <c r="CU495" i="147"/>
  <c r="CU496" i="147"/>
  <c r="CU497" i="147"/>
  <c r="CU498" i="147"/>
  <c r="CU499" i="147"/>
  <c r="CU500" i="147"/>
  <c r="CU501" i="147"/>
  <c r="CU502" i="147"/>
  <c r="CU503" i="147"/>
  <c r="CU504" i="147"/>
  <c r="CU505" i="147"/>
  <c r="CU506" i="147"/>
  <c r="CU507" i="147"/>
  <c r="CU508" i="147"/>
  <c r="CU509" i="147"/>
  <c r="CU510" i="147"/>
  <c r="CU511" i="147"/>
  <c r="CU512" i="147"/>
  <c r="CU513" i="147"/>
  <c r="CU514" i="147"/>
  <c r="CU515" i="147"/>
  <c r="CU516" i="147"/>
  <c r="CU517" i="147"/>
  <c r="CU518" i="147"/>
  <c r="CU519" i="147"/>
  <c r="CU520" i="147"/>
  <c r="CU521" i="147"/>
  <c r="CU522" i="147"/>
  <c r="CU523" i="147"/>
  <c r="CU524" i="147"/>
  <c r="CU525" i="147"/>
  <c r="CU526" i="147"/>
  <c r="CU527" i="147"/>
  <c r="CU528" i="147"/>
  <c r="CU529" i="147"/>
  <c r="CU530" i="147"/>
  <c r="CU531" i="147"/>
  <c r="CU532" i="147"/>
  <c r="CU533" i="147"/>
  <c r="CU534" i="147"/>
  <c r="CU535" i="147"/>
  <c r="CU536" i="147"/>
  <c r="CU537" i="147"/>
  <c r="CU538" i="147"/>
  <c r="CU539" i="147"/>
  <c r="CU540" i="147"/>
  <c r="CU541" i="147"/>
  <c r="CU542" i="147"/>
  <c r="CU543" i="147"/>
  <c r="CU544" i="147"/>
  <c r="CU545" i="147"/>
  <c r="CU546" i="147"/>
  <c r="CU547" i="147"/>
  <c r="CU548" i="147"/>
  <c r="CU549" i="147"/>
  <c r="CU550" i="147"/>
  <c r="CU551" i="147"/>
  <c r="CU552" i="147"/>
  <c r="CU553" i="147"/>
  <c r="CU554" i="147"/>
  <c r="CU555" i="147"/>
  <c r="CU556" i="147"/>
  <c r="CU557" i="147"/>
  <c r="CU558" i="147"/>
  <c r="CU559" i="147"/>
  <c r="CU560" i="147"/>
  <c r="CU561" i="147"/>
  <c r="CU562" i="147"/>
  <c r="CU563" i="147"/>
  <c r="CU564" i="147"/>
  <c r="CU565" i="147"/>
  <c r="CU566" i="147"/>
  <c r="CU568" i="147"/>
  <c r="CU569" i="147"/>
  <c r="CU570" i="147"/>
  <c r="CU571" i="147"/>
  <c r="CU572" i="147"/>
  <c r="CU573" i="147"/>
  <c r="CU574" i="147"/>
  <c r="CU575" i="147"/>
  <c r="CU576" i="147"/>
  <c r="CU577" i="147"/>
  <c r="CU578" i="147"/>
  <c r="CU579" i="147"/>
  <c r="CU580" i="147"/>
  <c r="CU581" i="147"/>
  <c r="CU582" i="147"/>
  <c r="CU583" i="147"/>
  <c r="CU584" i="147"/>
  <c r="CU585" i="147"/>
  <c r="CU586" i="147"/>
  <c r="CU587" i="147"/>
  <c r="CU588" i="147"/>
  <c r="CU589" i="147"/>
  <c r="CU590" i="147"/>
  <c r="CU591" i="147"/>
  <c r="CU592" i="147"/>
  <c r="CU593" i="147"/>
  <c r="CU594" i="147"/>
  <c r="CU595" i="147"/>
  <c r="CU596" i="147"/>
  <c r="CU597" i="147"/>
  <c r="CU598" i="147"/>
  <c r="CU600" i="147"/>
  <c r="CU601" i="147"/>
  <c r="CU602" i="147"/>
  <c r="CU603" i="147"/>
  <c r="CU604" i="147"/>
  <c r="CU605" i="147"/>
  <c r="CU606" i="147"/>
  <c r="CU607" i="147"/>
  <c r="CU608" i="147"/>
  <c r="CU609" i="147"/>
  <c r="CU610" i="147"/>
  <c r="CU611" i="147"/>
  <c r="CU612" i="147"/>
  <c r="CU613" i="147"/>
  <c r="CU614" i="147"/>
  <c r="CU615" i="147"/>
  <c r="CU616" i="147"/>
  <c r="CU617" i="147"/>
  <c r="CU618" i="147"/>
  <c r="CU619" i="147"/>
  <c r="CU620" i="147"/>
  <c r="CU621" i="147"/>
  <c r="CU622" i="147"/>
  <c r="CU623" i="147"/>
  <c r="CU624" i="147"/>
  <c r="CU625" i="147"/>
  <c r="CU626" i="147"/>
  <c r="CU627" i="147"/>
  <c r="CU628" i="147"/>
  <c r="CU629" i="147"/>
  <c r="CU631" i="147"/>
  <c r="CU632" i="147"/>
  <c r="CU633" i="147"/>
  <c r="CU634" i="147"/>
  <c r="CU635" i="147"/>
  <c r="CU636" i="147"/>
  <c r="CU637" i="147"/>
  <c r="CU638" i="147"/>
  <c r="CU639" i="147"/>
  <c r="CU640" i="147"/>
  <c r="CU641" i="147"/>
  <c r="CU642" i="147"/>
  <c r="CU643" i="147"/>
  <c r="CU416" i="147"/>
  <c r="CW379" i="147"/>
  <c r="CW380" i="147"/>
  <c r="CW381" i="147"/>
  <c r="CW382" i="147"/>
  <c r="CW383" i="147"/>
  <c r="CW384" i="147"/>
  <c r="CW385" i="147"/>
  <c r="CW375" i="147"/>
  <c r="CW376" i="147"/>
  <c r="CW377" i="147"/>
  <c r="CW378" i="147"/>
  <c r="CW386" i="147"/>
  <c r="CW387" i="147"/>
  <c r="CW388" i="147"/>
  <c r="CW389" i="147"/>
  <c r="CW390" i="147"/>
  <c r="CW391" i="147"/>
  <c r="CW392" i="147"/>
  <c r="CW393" i="147"/>
  <c r="CW394" i="147"/>
  <c r="CW395" i="147"/>
  <c r="CW396" i="147"/>
  <c r="CW397" i="147"/>
  <c r="CW398" i="147"/>
  <c r="CW399" i="147"/>
  <c r="CW403" i="147"/>
  <c r="CW404" i="147"/>
  <c r="CW405" i="147"/>
  <c r="CW400" i="147"/>
  <c r="CW401" i="147"/>
  <c r="CW402" i="147"/>
  <c r="CW429" i="147"/>
  <c r="CW430" i="147"/>
  <c r="CW431" i="147"/>
  <c r="CW432" i="147"/>
  <c r="CW406" i="147"/>
  <c r="CW407" i="147"/>
  <c r="CW408" i="147"/>
  <c r="CW409" i="147"/>
  <c r="CW410" i="147"/>
  <c r="CW411" i="147"/>
  <c r="CW412" i="147"/>
  <c r="CW413" i="147"/>
  <c r="CW414" i="147"/>
  <c r="CW415" i="147"/>
  <c r="CW416" i="147"/>
  <c r="CW417" i="147"/>
  <c r="CW418" i="147"/>
  <c r="CW419" i="147"/>
  <c r="CW420" i="147"/>
  <c r="CW421" i="147"/>
  <c r="CW422" i="147"/>
  <c r="CW423" i="147"/>
  <c r="CW424" i="147"/>
  <c r="CW425" i="147"/>
  <c r="CW426" i="147"/>
  <c r="CW427" i="147"/>
  <c r="CW428" i="147"/>
  <c r="CW439" i="147"/>
  <c r="CW440" i="147"/>
  <c r="CW441" i="147"/>
  <c r="CW442" i="147"/>
  <c r="CW443" i="147"/>
  <c r="CW444" i="147"/>
  <c r="CW445" i="147"/>
  <c r="CW446" i="147"/>
  <c r="CW447" i="147"/>
  <c r="CW448" i="147"/>
  <c r="CW449" i="147"/>
  <c r="CW450" i="147"/>
  <c r="CW451" i="147"/>
  <c r="CW452" i="147"/>
  <c r="CW453" i="147"/>
  <c r="CW454" i="147"/>
  <c r="CW455" i="147"/>
  <c r="CW456" i="147"/>
  <c r="CW457" i="147"/>
  <c r="CW433" i="147"/>
  <c r="CW434" i="147"/>
  <c r="CW435" i="147"/>
  <c r="CW436" i="147"/>
  <c r="CW437" i="147"/>
  <c r="CW438" i="147"/>
  <c r="CW458" i="147"/>
  <c r="CW459" i="147"/>
  <c r="CW460" i="147"/>
  <c r="CW461" i="147"/>
  <c r="CW462" i="147"/>
  <c r="CW463" i="147"/>
  <c r="CW464" i="147"/>
  <c r="CW465" i="147"/>
  <c r="CW466" i="147"/>
  <c r="CW467" i="147"/>
  <c r="CW468" i="147"/>
  <c r="CW469" i="147"/>
  <c r="CW470" i="147"/>
  <c r="CW471" i="147"/>
  <c r="CW472" i="147"/>
  <c r="CW473" i="147"/>
  <c r="CW474" i="147"/>
  <c r="CW475" i="147"/>
  <c r="CW476" i="147"/>
  <c r="CW477" i="147"/>
  <c r="CW478" i="147"/>
  <c r="CW479" i="147"/>
  <c r="CW480" i="147"/>
  <c r="CW481" i="147"/>
  <c r="CW482" i="147"/>
  <c r="CW483" i="147"/>
  <c r="CW484" i="147"/>
  <c r="CW485" i="147"/>
  <c r="CW486" i="147"/>
  <c r="CW487" i="147"/>
  <c r="CW488" i="147"/>
  <c r="CW489" i="147"/>
  <c r="CW490" i="147"/>
  <c r="CW491" i="147"/>
  <c r="CW492" i="147"/>
  <c r="CW493" i="147"/>
  <c r="CW494" i="147"/>
  <c r="CW495" i="147"/>
  <c r="CW496" i="147"/>
  <c r="CW497" i="147"/>
  <c r="CW498" i="147"/>
  <c r="CW499" i="147"/>
  <c r="CW500" i="147"/>
  <c r="CW501" i="147"/>
  <c r="CW502" i="147"/>
  <c r="CW503" i="147"/>
  <c r="CW504" i="147"/>
  <c r="CW505" i="147"/>
  <c r="CW506" i="147"/>
  <c r="CW507" i="147"/>
  <c r="CW508" i="147"/>
  <c r="CW509" i="147"/>
  <c r="CW510" i="147"/>
  <c r="CW511" i="147"/>
  <c r="CW512" i="147"/>
  <c r="CW513" i="147"/>
  <c r="CW514" i="147"/>
  <c r="CW515" i="147"/>
  <c r="CW516" i="147"/>
  <c r="CW517" i="147"/>
  <c r="CW518" i="147"/>
  <c r="CW519" i="147"/>
  <c r="CW520" i="147"/>
  <c r="CW521" i="147"/>
  <c r="CW522" i="147"/>
  <c r="CW523" i="147"/>
  <c r="CW524" i="147"/>
  <c r="CW525" i="147"/>
  <c r="CW526" i="147"/>
  <c r="CW527" i="147"/>
  <c r="CW528" i="147"/>
  <c r="CW529" i="147"/>
  <c r="CW530" i="147"/>
  <c r="CW531" i="147"/>
  <c r="CW532" i="147"/>
  <c r="CW533" i="147"/>
  <c r="CW534" i="147"/>
  <c r="CW535" i="147"/>
  <c r="CW536" i="147"/>
  <c r="CW537" i="147"/>
  <c r="CW538" i="147"/>
  <c r="CW539" i="147"/>
  <c r="CW540" i="147"/>
  <c r="CW541" i="147"/>
  <c r="CW542" i="147"/>
  <c r="CW543" i="147"/>
  <c r="CW544" i="147"/>
  <c r="CW545" i="147"/>
  <c r="CW546" i="147"/>
  <c r="CW547" i="147"/>
  <c r="CW548" i="147"/>
  <c r="CW549" i="147"/>
  <c r="CW550" i="147"/>
  <c r="CW551" i="147"/>
  <c r="CW552" i="147"/>
  <c r="CW553" i="147"/>
  <c r="CW554" i="147"/>
  <c r="CW555" i="147"/>
  <c r="CW556" i="147"/>
  <c r="CW557" i="147"/>
  <c r="CW558" i="147"/>
  <c r="CW559" i="147"/>
  <c r="CW560" i="147"/>
  <c r="CW561" i="147"/>
  <c r="CW562" i="147"/>
  <c r="CW563" i="147"/>
  <c r="CW564" i="147"/>
  <c r="CW565" i="147"/>
  <c r="CW566" i="147"/>
  <c r="CW568" i="147"/>
  <c r="CW569" i="147"/>
  <c r="CW570" i="147"/>
  <c r="CW571" i="147"/>
  <c r="CW572" i="147"/>
  <c r="CW573" i="147"/>
  <c r="CW574" i="147"/>
  <c r="CW575" i="147"/>
  <c r="CW576" i="147"/>
  <c r="CW577" i="147"/>
  <c r="CW578" i="147"/>
  <c r="CW579" i="147"/>
  <c r="CW580" i="147"/>
  <c r="CW581" i="147"/>
  <c r="CW582" i="147"/>
  <c r="CW583" i="147"/>
  <c r="CW584" i="147"/>
  <c r="CW585" i="147"/>
  <c r="CW586" i="147"/>
  <c r="CW587" i="147"/>
  <c r="CW588" i="147"/>
  <c r="CW589" i="147"/>
  <c r="CW590" i="147"/>
  <c r="CW591" i="147"/>
  <c r="CW592" i="147"/>
  <c r="CW593" i="147"/>
  <c r="CW594" i="147"/>
  <c r="CW595" i="147"/>
  <c r="CW596" i="147"/>
  <c r="CW597" i="147"/>
  <c r="CW598" i="147"/>
  <c r="CW600" i="147"/>
  <c r="CW601" i="147"/>
  <c r="CW602" i="147"/>
  <c r="CW603" i="147"/>
  <c r="CW604" i="147"/>
  <c r="CW605" i="147"/>
  <c r="CW606" i="147"/>
  <c r="CW607" i="147"/>
  <c r="CW608" i="147"/>
  <c r="CW609" i="147"/>
  <c r="CW610" i="147"/>
  <c r="CW611" i="147"/>
  <c r="CW612" i="147"/>
  <c r="CW613" i="147"/>
  <c r="CW614" i="147"/>
  <c r="CW615" i="147"/>
  <c r="CW616" i="147"/>
  <c r="CW617" i="147"/>
  <c r="CW618" i="147"/>
  <c r="CW619" i="147"/>
  <c r="CW620" i="147"/>
  <c r="CW621" i="147"/>
  <c r="CW622" i="147"/>
  <c r="CW623" i="147"/>
  <c r="CW624" i="147"/>
  <c r="CW625" i="147"/>
  <c r="CW626" i="147"/>
  <c r="CW627" i="147"/>
  <c r="CW628" i="147"/>
  <c r="CW629" i="147"/>
  <c r="CW631" i="147"/>
  <c r="CW632" i="147"/>
  <c r="CW633" i="147"/>
  <c r="CW634" i="147"/>
  <c r="CW635" i="147"/>
  <c r="CW636" i="147"/>
  <c r="CW637" i="147"/>
  <c r="CW638" i="147"/>
  <c r="CW639" i="147"/>
  <c r="CW640" i="147"/>
  <c r="CW641" i="147"/>
  <c r="CW642" i="147"/>
  <c r="CW643" i="147"/>
  <c r="CY375" i="147"/>
  <c r="CY376" i="147"/>
  <c r="CY377" i="147"/>
  <c r="CY378" i="147"/>
  <c r="CY379" i="147"/>
  <c r="CY380" i="147"/>
  <c r="CY381" i="147"/>
  <c r="CY382" i="147"/>
  <c r="CY383" i="147"/>
  <c r="CY384" i="147"/>
  <c r="CY385" i="147"/>
  <c r="CY386" i="147"/>
  <c r="CY387" i="147"/>
  <c r="CY388" i="147"/>
  <c r="CY389" i="147"/>
  <c r="CY390" i="147"/>
  <c r="CY391" i="147"/>
  <c r="CY392" i="147"/>
  <c r="CY393" i="147"/>
  <c r="CY394" i="147"/>
  <c r="CY395" i="147"/>
  <c r="CY396" i="147"/>
  <c r="CY397" i="147"/>
  <c r="CY398" i="147"/>
  <c r="CY399" i="147"/>
  <c r="CY400" i="147"/>
  <c r="CY401" i="147"/>
  <c r="CY402" i="147"/>
  <c r="CY403" i="147"/>
  <c r="CY404" i="147"/>
  <c r="CY405" i="147"/>
  <c r="CY406" i="147"/>
  <c r="CY407" i="147"/>
  <c r="CY408" i="147"/>
  <c r="CY409" i="147"/>
  <c r="CY410" i="147"/>
  <c r="CY411" i="147"/>
  <c r="CY412" i="147"/>
  <c r="CY413" i="147"/>
  <c r="CY414" i="147"/>
  <c r="CY415" i="147"/>
  <c r="CY416" i="147"/>
  <c r="CY417" i="147"/>
  <c r="CY418" i="147"/>
  <c r="CY419" i="147"/>
  <c r="CY420" i="147"/>
  <c r="CY421" i="147"/>
  <c r="CY422" i="147"/>
  <c r="CY423" i="147"/>
  <c r="CY424" i="147"/>
  <c r="CY425" i="147"/>
  <c r="CY426" i="147"/>
  <c r="CY427" i="147"/>
  <c r="CY428" i="147"/>
  <c r="CY429" i="147"/>
  <c r="CY430" i="147"/>
  <c r="CY431" i="147"/>
  <c r="CY432" i="147"/>
  <c r="CY433" i="147"/>
  <c r="CY434" i="147"/>
  <c r="CY435" i="147"/>
  <c r="CY436" i="147"/>
  <c r="CY437" i="147"/>
  <c r="CY438" i="147"/>
  <c r="CY446" i="147"/>
  <c r="CY447" i="147"/>
  <c r="CY448" i="147"/>
  <c r="CY449" i="147"/>
  <c r="CY450" i="147"/>
  <c r="CY451" i="147"/>
  <c r="CY452" i="147"/>
  <c r="CY453" i="147"/>
  <c r="CY454" i="147"/>
  <c r="CY455" i="147"/>
  <c r="CY456" i="147"/>
  <c r="CY457" i="147"/>
  <c r="CY439" i="147"/>
  <c r="CY440" i="147"/>
  <c r="CY441" i="147"/>
  <c r="CY442" i="147"/>
  <c r="CY443" i="147"/>
  <c r="CY444" i="147"/>
  <c r="CY445" i="147"/>
  <c r="CY458" i="147"/>
  <c r="CY459" i="147"/>
  <c r="CY460" i="147"/>
  <c r="CY461" i="147"/>
  <c r="CY462" i="147"/>
  <c r="CY463" i="147"/>
  <c r="CY464" i="147"/>
  <c r="CY465" i="147"/>
  <c r="CY466" i="147"/>
  <c r="CY467" i="147"/>
  <c r="CY468" i="147"/>
  <c r="CY469" i="147"/>
  <c r="CY470" i="147"/>
  <c r="CY471" i="147"/>
  <c r="CY472" i="147"/>
  <c r="CY473" i="147"/>
  <c r="CY474" i="147"/>
  <c r="CY475" i="147"/>
  <c r="CY476" i="147"/>
  <c r="CY477" i="147"/>
  <c r="CY478" i="147"/>
  <c r="CY479" i="147"/>
  <c r="CY480" i="147"/>
  <c r="CY481" i="147"/>
  <c r="CY482" i="147"/>
  <c r="CY483" i="147"/>
  <c r="CY484" i="147"/>
  <c r="CY485" i="147"/>
  <c r="CY486" i="147"/>
  <c r="CY487" i="147"/>
  <c r="CY488" i="147"/>
  <c r="CY489" i="147"/>
  <c r="CY490" i="147"/>
  <c r="CY491" i="147"/>
  <c r="CY492" i="147"/>
  <c r="CY493" i="147"/>
  <c r="CY494" i="147"/>
  <c r="CY495" i="147"/>
  <c r="CY496" i="147"/>
  <c r="CY497" i="147"/>
  <c r="CY498" i="147"/>
  <c r="CY499" i="147"/>
  <c r="CY500" i="147"/>
  <c r="CY501" i="147"/>
  <c r="CY502" i="147"/>
  <c r="CY503" i="147"/>
  <c r="CY504" i="147"/>
  <c r="CY505" i="147"/>
  <c r="CY506" i="147"/>
  <c r="CY507" i="147"/>
  <c r="CY508" i="147"/>
  <c r="CY509" i="147"/>
  <c r="CY510" i="147"/>
  <c r="CY511" i="147"/>
  <c r="CY512" i="147"/>
  <c r="CY513" i="147"/>
  <c r="CY514" i="147"/>
  <c r="CY515" i="147"/>
  <c r="CY516" i="147"/>
  <c r="CY517" i="147"/>
  <c r="CY518" i="147"/>
  <c r="CY519" i="147"/>
  <c r="CY520" i="147"/>
  <c r="CY521" i="147"/>
  <c r="CY522" i="147"/>
  <c r="CY523" i="147"/>
  <c r="CY524" i="147"/>
  <c r="CY525" i="147"/>
  <c r="CY526" i="147"/>
  <c r="CY527" i="147"/>
  <c r="CY528" i="147"/>
  <c r="CY529" i="147"/>
  <c r="CY530" i="147"/>
  <c r="CY531" i="147"/>
  <c r="CY532" i="147"/>
  <c r="CY533" i="147"/>
  <c r="CY534" i="147"/>
  <c r="CY535" i="147"/>
  <c r="CY536" i="147"/>
  <c r="CY537" i="147"/>
  <c r="CY538" i="147"/>
  <c r="CY539" i="147"/>
  <c r="CY540" i="147"/>
  <c r="CY541" i="147"/>
  <c r="CY542" i="147"/>
  <c r="CY543" i="147"/>
  <c r="CY544" i="147"/>
  <c r="CY545" i="147"/>
  <c r="CY546" i="147"/>
  <c r="CY547" i="147"/>
  <c r="CY548" i="147"/>
  <c r="CY549" i="147"/>
  <c r="CY550" i="147"/>
  <c r="CY551" i="147"/>
  <c r="CY552" i="147"/>
  <c r="CY553" i="147"/>
  <c r="CY554" i="147"/>
  <c r="CY555" i="147"/>
  <c r="CY556" i="147"/>
  <c r="CY557" i="147"/>
  <c r="CY558" i="147"/>
  <c r="CY559" i="147"/>
  <c r="CY560" i="147"/>
  <c r="CY561" i="147"/>
  <c r="CY562" i="147"/>
  <c r="CY563" i="147"/>
  <c r="CY564" i="147"/>
  <c r="CY565" i="147"/>
  <c r="CY566" i="147"/>
  <c r="CY568" i="147"/>
  <c r="CY569" i="147"/>
  <c r="CY570" i="147"/>
  <c r="CY571" i="147"/>
  <c r="CY572" i="147"/>
  <c r="CY573" i="147"/>
  <c r="CY574" i="147"/>
  <c r="CY575" i="147"/>
  <c r="CY576" i="147"/>
  <c r="CY577" i="147"/>
  <c r="CY578" i="147"/>
  <c r="CY579" i="147"/>
  <c r="CY580" i="147"/>
  <c r="CY581" i="147"/>
  <c r="CY582" i="147"/>
  <c r="CY583" i="147"/>
  <c r="CY584" i="147"/>
  <c r="CY585" i="147"/>
  <c r="CY586" i="147"/>
  <c r="CY587" i="147"/>
  <c r="CY588" i="147"/>
  <c r="CY589" i="147"/>
  <c r="CY590" i="147"/>
  <c r="CY591" i="147"/>
  <c r="CY592" i="147"/>
  <c r="CY593" i="147"/>
  <c r="CY594" i="147"/>
  <c r="CY595" i="147"/>
  <c r="CY596" i="147"/>
  <c r="CY597" i="147"/>
  <c r="CY598" i="147"/>
  <c r="CY600" i="147"/>
  <c r="CY601" i="147"/>
  <c r="CY602" i="147"/>
  <c r="CY603" i="147"/>
  <c r="CY604" i="147"/>
  <c r="CY605" i="147"/>
  <c r="CY606" i="147"/>
  <c r="CY607" i="147"/>
  <c r="CY608" i="147"/>
  <c r="CY609" i="147"/>
  <c r="CY610" i="147"/>
  <c r="CY611" i="147"/>
  <c r="CY612" i="147"/>
  <c r="CY613" i="147"/>
  <c r="CY614" i="147"/>
  <c r="CY615" i="147"/>
  <c r="CY616" i="147"/>
  <c r="CY617" i="147"/>
  <c r="CY618" i="147"/>
  <c r="CY619" i="147"/>
  <c r="CY620" i="147"/>
  <c r="CY621" i="147"/>
  <c r="CY622" i="147"/>
  <c r="CY623" i="147"/>
  <c r="CY624" i="147"/>
  <c r="CY625" i="147"/>
  <c r="CY626" i="147"/>
  <c r="CY627" i="147"/>
  <c r="CY628" i="147"/>
  <c r="CY629" i="147"/>
  <c r="CY631" i="147"/>
  <c r="CY632" i="147"/>
  <c r="CY633" i="147"/>
  <c r="CY634" i="147"/>
  <c r="CY635" i="147"/>
  <c r="CY636" i="147"/>
  <c r="CY637" i="147"/>
  <c r="CY638" i="147"/>
  <c r="CY639" i="147"/>
  <c r="CY640" i="147"/>
  <c r="CY641" i="147"/>
  <c r="CY642" i="147"/>
  <c r="CY643" i="147"/>
  <c r="DA379" i="147"/>
  <c r="DA380" i="147"/>
  <c r="DA381" i="147"/>
  <c r="DA382" i="147"/>
  <c r="DA383" i="147"/>
  <c r="DA384" i="147"/>
  <c r="DA385" i="147"/>
  <c r="DA386" i="147"/>
  <c r="DA387" i="147"/>
  <c r="DA388" i="147"/>
  <c r="DA389" i="147"/>
  <c r="DA390" i="147"/>
  <c r="DA391" i="147"/>
  <c r="DA392" i="147"/>
  <c r="DA393" i="147"/>
  <c r="DA394" i="147"/>
  <c r="DA395" i="147"/>
  <c r="DA396" i="147"/>
  <c r="DA397" i="147"/>
  <c r="DA398" i="147"/>
  <c r="DA399" i="147"/>
  <c r="DA375" i="147"/>
  <c r="DA376" i="147"/>
  <c r="DA377" i="147"/>
  <c r="DA378" i="147"/>
  <c r="DA400" i="147"/>
  <c r="DA401" i="147"/>
  <c r="DA402" i="147"/>
  <c r="DA403" i="147"/>
  <c r="DA404" i="147"/>
  <c r="DA405" i="147"/>
  <c r="DA406" i="147"/>
  <c r="DA407" i="147"/>
  <c r="DA408" i="147"/>
  <c r="DA409" i="147"/>
  <c r="DA410" i="147"/>
  <c r="DA411" i="147"/>
  <c r="DA412" i="147"/>
  <c r="DA413" i="147"/>
  <c r="DA414" i="147"/>
  <c r="DA415" i="147"/>
  <c r="DA416" i="147"/>
  <c r="DA417" i="147"/>
  <c r="DA418" i="147"/>
  <c r="DA419" i="147"/>
  <c r="DA420" i="147"/>
  <c r="DA421" i="147"/>
  <c r="DA422" i="147"/>
  <c r="DA423" i="147"/>
  <c r="DA424" i="147"/>
  <c r="DA425" i="147"/>
  <c r="DA426" i="147"/>
  <c r="DA427" i="147"/>
  <c r="DA428" i="147"/>
  <c r="DA429" i="147"/>
  <c r="DA430" i="147"/>
  <c r="DA431" i="147"/>
  <c r="DA432" i="147"/>
  <c r="DA433" i="147"/>
  <c r="DA434" i="147"/>
  <c r="DA435" i="147"/>
  <c r="DA436" i="147"/>
  <c r="DA437" i="147"/>
  <c r="DA438" i="147"/>
  <c r="DA439" i="147"/>
  <c r="DA440" i="147"/>
  <c r="DA441" i="147"/>
  <c r="DA442" i="147"/>
  <c r="DA443" i="147"/>
  <c r="DA444" i="147"/>
  <c r="DA445" i="147"/>
  <c r="DA446" i="147"/>
  <c r="DA447" i="147"/>
  <c r="DA448" i="147"/>
  <c r="DA449" i="147"/>
  <c r="DA450" i="147"/>
  <c r="DA451" i="147"/>
  <c r="DA452" i="147"/>
  <c r="DA453" i="147"/>
  <c r="DA454" i="147"/>
  <c r="DA455" i="147"/>
  <c r="DA456" i="147"/>
  <c r="DA457" i="147"/>
  <c r="DA458" i="147"/>
  <c r="DA459" i="147"/>
  <c r="DA460" i="147"/>
  <c r="DA461" i="147"/>
  <c r="DA462" i="147"/>
  <c r="DA463" i="147"/>
  <c r="DA464" i="147"/>
  <c r="DA465" i="147"/>
  <c r="DA466" i="147"/>
  <c r="DA467" i="147"/>
  <c r="DA468" i="147"/>
  <c r="DA469" i="147"/>
  <c r="DA470" i="147"/>
  <c r="DA471" i="147"/>
  <c r="DA472" i="147"/>
  <c r="DA473" i="147"/>
  <c r="DA474" i="147"/>
  <c r="DA475" i="147"/>
  <c r="DA476" i="147"/>
  <c r="DA477" i="147"/>
  <c r="DA478" i="147"/>
  <c r="DA479" i="147"/>
  <c r="DA480" i="147"/>
  <c r="DA481" i="147"/>
  <c r="DA482" i="147"/>
  <c r="DA483" i="147"/>
  <c r="DA484" i="147"/>
  <c r="DA485" i="147"/>
  <c r="DA486" i="147"/>
  <c r="DA487" i="147"/>
  <c r="DA488" i="147"/>
  <c r="DA489" i="147"/>
  <c r="DA490" i="147"/>
  <c r="DA491" i="147"/>
  <c r="DA492" i="147"/>
  <c r="DA493" i="147"/>
  <c r="DA494" i="147"/>
  <c r="DA495" i="147"/>
  <c r="DA496" i="147"/>
  <c r="DA497" i="147"/>
  <c r="DA498" i="147"/>
  <c r="DA499" i="147"/>
  <c r="DA500" i="147"/>
  <c r="DA501" i="147"/>
  <c r="DA502" i="147"/>
  <c r="DA503" i="147"/>
  <c r="DA504" i="147"/>
  <c r="DA505" i="147"/>
  <c r="DA506" i="147"/>
  <c r="DA507" i="147"/>
  <c r="DA508" i="147"/>
  <c r="DA509" i="147"/>
  <c r="DA510" i="147"/>
  <c r="DA511" i="147"/>
  <c r="DA512" i="147"/>
  <c r="DA513" i="147"/>
  <c r="DA514" i="147"/>
  <c r="DA515" i="147"/>
  <c r="DA516" i="147"/>
  <c r="DA517" i="147"/>
  <c r="DA518" i="147"/>
  <c r="DA519" i="147"/>
  <c r="DA520" i="147"/>
  <c r="DA521" i="147"/>
  <c r="DA522" i="147"/>
  <c r="DA523" i="147"/>
  <c r="DA524" i="147"/>
  <c r="DA525" i="147"/>
  <c r="DA526" i="147"/>
  <c r="DA527" i="147"/>
  <c r="DA528" i="147"/>
  <c r="DA529" i="147"/>
  <c r="DA530" i="147"/>
  <c r="DA531" i="147"/>
  <c r="DA532" i="147"/>
  <c r="DA533" i="147"/>
  <c r="DA534" i="147"/>
  <c r="DA535" i="147"/>
  <c r="DA536" i="147"/>
  <c r="DA537" i="147"/>
  <c r="DA538" i="147"/>
  <c r="DA539" i="147"/>
  <c r="DA540" i="147"/>
  <c r="DA541" i="147"/>
  <c r="DA542" i="147"/>
  <c r="DA543" i="147"/>
  <c r="DA544" i="147"/>
  <c r="DA545" i="147"/>
  <c r="DA546" i="147"/>
  <c r="DA547" i="147"/>
  <c r="DA548" i="147"/>
  <c r="DA549" i="147"/>
  <c r="DA550" i="147"/>
  <c r="DA551" i="147"/>
  <c r="DA552" i="147"/>
  <c r="DA553" i="147"/>
  <c r="DA554" i="147"/>
  <c r="DA555" i="147"/>
  <c r="DA556" i="147"/>
  <c r="DA557" i="147"/>
  <c r="DA558" i="147"/>
  <c r="DA559" i="147"/>
  <c r="DA560" i="147"/>
  <c r="DA561" i="147"/>
  <c r="DA562" i="147"/>
  <c r="DA563" i="147"/>
  <c r="DA564" i="147"/>
  <c r="DA565" i="147"/>
  <c r="DA566" i="147"/>
  <c r="DA568" i="147"/>
  <c r="DA569" i="147"/>
  <c r="DA570" i="147"/>
  <c r="DA571" i="147"/>
  <c r="DA572" i="147"/>
  <c r="DA573" i="147"/>
  <c r="DA574" i="147"/>
  <c r="DA575" i="147"/>
  <c r="DA576" i="147"/>
  <c r="DA577" i="147"/>
  <c r="DA578" i="147"/>
  <c r="DA579" i="147"/>
  <c r="DA580" i="147"/>
  <c r="DA581" i="147"/>
  <c r="DA582" i="147"/>
  <c r="DA583" i="147"/>
  <c r="DA584" i="147"/>
  <c r="DA585" i="147"/>
  <c r="DA586" i="147"/>
  <c r="DA587" i="147"/>
  <c r="DA588" i="147"/>
  <c r="DA589" i="147"/>
  <c r="DA590" i="147"/>
  <c r="DA591" i="147"/>
  <c r="DA592" i="147"/>
  <c r="DA593" i="147"/>
  <c r="DA594" i="147"/>
  <c r="DA595" i="147"/>
  <c r="DA596" i="147"/>
  <c r="DA597" i="147"/>
  <c r="DA598" i="147"/>
  <c r="DA600" i="147"/>
  <c r="DA601" i="147"/>
  <c r="DA602" i="147"/>
  <c r="DA603" i="147"/>
  <c r="DA604" i="147"/>
  <c r="DA605" i="147"/>
  <c r="DA606" i="147"/>
  <c r="DA607" i="147"/>
  <c r="DA608" i="147"/>
  <c r="DA609" i="147"/>
  <c r="DA610" i="147"/>
  <c r="DA611" i="147"/>
  <c r="DA612" i="147"/>
  <c r="DA613" i="147"/>
  <c r="DA614" i="147"/>
  <c r="DA615" i="147"/>
  <c r="DA616" i="147"/>
  <c r="DA617" i="147"/>
  <c r="DA618" i="147"/>
  <c r="DA619" i="147"/>
  <c r="DA620" i="147"/>
  <c r="DA621" i="147"/>
  <c r="DA622" i="147"/>
  <c r="DA623" i="147"/>
  <c r="DA624" i="147"/>
  <c r="DA625" i="147"/>
  <c r="DA626" i="147"/>
  <c r="DA627" i="147"/>
  <c r="DA628" i="147"/>
  <c r="DA629" i="147"/>
  <c r="DA631" i="147"/>
  <c r="DA632" i="147"/>
  <c r="DA633" i="147"/>
  <c r="DA634" i="147"/>
  <c r="DA635" i="147"/>
  <c r="DA636" i="147"/>
  <c r="DA637" i="147"/>
  <c r="DA638" i="147"/>
  <c r="DA639" i="147"/>
  <c r="DA640" i="147"/>
  <c r="DA641" i="147"/>
  <c r="DA642" i="147"/>
  <c r="DA643" i="147"/>
  <c r="DC375" i="147"/>
  <c r="DC376" i="147"/>
  <c r="DC377" i="147"/>
  <c r="DC378" i="147"/>
  <c r="DC379" i="147"/>
  <c r="DC380" i="147"/>
  <c r="DC383" i="147"/>
  <c r="DC384" i="147"/>
  <c r="DC385" i="147"/>
  <c r="DC386" i="147"/>
  <c r="DC387" i="147"/>
  <c r="DC409" i="147"/>
  <c r="DC410" i="147"/>
  <c r="DC411" i="147"/>
  <c r="DC412" i="147"/>
  <c r="DC416" i="147"/>
  <c r="DC417" i="147"/>
  <c r="DC418" i="147"/>
  <c r="DC419" i="147"/>
  <c r="DC420" i="147"/>
  <c r="DC421" i="147"/>
  <c r="DC431" i="147"/>
  <c r="DC432" i="147"/>
  <c r="DC452" i="147"/>
  <c r="DC454" i="147"/>
  <c r="DC466" i="147"/>
  <c r="DC467" i="147"/>
  <c r="DC468" i="147"/>
  <c r="DC469" i="147"/>
  <c r="DC470" i="147"/>
  <c r="DC471" i="147"/>
  <c r="DC472" i="147"/>
  <c r="DC473" i="147"/>
  <c r="DC483" i="147"/>
  <c r="DC499" i="147"/>
  <c r="DC500" i="147"/>
  <c r="DC501" i="147"/>
  <c r="DC502" i="147"/>
  <c r="DC503" i="147"/>
  <c r="DC504" i="147"/>
  <c r="DC505" i="147"/>
  <c r="DC507" i="147"/>
  <c r="DC508" i="147"/>
  <c r="DC509" i="147"/>
  <c r="DC510" i="147"/>
  <c r="DC511" i="147"/>
  <c r="DC512" i="147"/>
  <c r="DC513" i="147"/>
  <c r="DC514" i="147"/>
  <c r="DC515" i="147"/>
  <c r="DC525" i="147"/>
  <c r="DC526" i="147"/>
  <c r="DC527" i="147"/>
  <c r="DC528" i="147"/>
  <c r="DC529" i="147"/>
  <c r="DC530" i="147"/>
  <c r="DC598" i="147"/>
  <c r="DC601" i="147"/>
  <c r="DC602" i="147"/>
  <c r="DC603" i="147"/>
  <c r="DC622" i="147"/>
  <c r="DC623" i="147"/>
  <c r="DC624" i="147"/>
  <c r="DC625" i="147"/>
  <c r="DC626" i="147"/>
  <c r="DC627" i="147"/>
  <c r="DC628" i="147"/>
  <c r="DC629" i="147"/>
  <c r="DC631" i="147"/>
  <c r="DC632" i="147"/>
  <c r="DC633" i="147"/>
  <c r="DC634" i="147"/>
  <c r="DC635" i="147"/>
  <c r="DC636" i="147"/>
  <c r="DC637" i="147"/>
  <c r="DC638" i="147"/>
  <c r="DC639" i="147"/>
  <c r="DC640" i="147"/>
  <c r="DC641" i="147"/>
  <c r="DC642" i="147"/>
  <c r="DC643" i="147"/>
  <c r="DC571" i="147"/>
  <c r="DC524" i="147"/>
  <c r="DC572" i="147"/>
  <c r="DC578" i="147"/>
  <c r="DC569" i="147"/>
  <c r="DC575" i="147"/>
  <c r="DC584" i="147"/>
  <c r="DC574" i="147"/>
  <c r="DC579" i="147"/>
  <c r="DC583" i="147"/>
  <c r="DC588" i="147"/>
  <c r="DC573" i="147"/>
  <c r="DC580" i="147"/>
  <c r="DC589" i="147"/>
  <c r="DC479" i="147"/>
  <c r="DC544" i="147"/>
  <c r="DC545" i="147"/>
  <c r="DC562" i="147"/>
  <c r="DC563" i="147"/>
  <c r="DC568" i="147"/>
  <c r="DC564" i="147"/>
  <c r="DC517" i="147"/>
  <c r="DC566" i="147"/>
  <c r="DE379" i="147"/>
  <c r="DE380" i="147"/>
  <c r="DE381" i="147"/>
  <c r="DE382" i="147"/>
  <c r="DE383" i="147"/>
  <c r="DE384" i="147"/>
  <c r="DE385" i="147"/>
  <c r="DE375" i="147"/>
  <c r="DE376" i="147"/>
  <c r="DE377" i="147"/>
  <c r="DE378" i="147"/>
  <c r="DE386" i="147"/>
  <c r="DE387" i="147"/>
  <c r="DE388" i="147"/>
  <c r="DE389" i="147"/>
  <c r="DE390" i="147"/>
  <c r="DE391" i="147"/>
  <c r="DE392" i="147"/>
  <c r="DE393" i="147"/>
  <c r="DE394" i="147"/>
  <c r="DE395" i="147"/>
  <c r="DE396" i="147"/>
  <c r="DE397" i="147"/>
  <c r="DE398" i="147"/>
  <c r="DE399" i="147"/>
  <c r="DE400" i="147"/>
  <c r="DE401" i="147"/>
  <c r="DE402" i="147"/>
  <c r="DE403" i="147"/>
  <c r="DE404" i="147"/>
  <c r="DE405" i="147"/>
  <c r="DE406" i="147"/>
  <c r="DE407" i="147"/>
  <c r="DE408" i="147"/>
  <c r="DE409" i="147"/>
  <c r="DE410" i="147"/>
  <c r="DE411" i="147"/>
  <c r="DE412" i="147"/>
  <c r="DE413" i="147"/>
  <c r="DE414" i="147"/>
  <c r="DE415" i="147"/>
  <c r="DE416" i="147"/>
  <c r="DE417" i="147"/>
  <c r="DE429" i="147"/>
  <c r="DE430" i="147"/>
  <c r="DE431" i="147"/>
  <c r="DE432" i="147"/>
  <c r="DE418" i="147"/>
  <c r="DE419" i="147"/>
  <c r="DE420" i="147"/>
  <c r="DE421" i="147"/>
  <c r="DE422" i="147"/>
  <c r="DE423" i="147"/>
  <c r="DE424" i="147"/>
  <c r="DE425" i="147"/>
  <c r="DE426" i="147"/>
  <c r="DE427" i="147"/>
  <c r="DE428" i="147"/>
  <c r="DE439" i="147"/>
  <c r="DE440" i="147"/>
  <c r="DE441" i="147"/>
  <c r="DE442" i="147"/>
  <c r="DE443" i="147"/>
  <c r="DE444" i="147"/>
  <c r="DE445" i="147"/>
  <c r="DE446" i="147"/>
  <c r="DE447" i="147"/>
  <c r="DE448" i="147"/>
  <c r="DE449" i="147"/>
  <c r="DE450" i="147"/>
  <c r="DE451" i="147"/>
  <c r="DE452" i="147"/>
  <c r="DE453" i="147"/>
  <c r="DE454" i="147"/>
  <c r="DE455" i="147"/>
  <c r="DE456" i="147"/>
  <c r="DE457" i="147"/>
  <c r="DE433" i="147"/>
  <c r="DE434" i="147"/>
  <c r="DE435" i="147"/>
  <c r="DE436" i="147"/>
  <c r="DE437" i="147"/>
  <c r="DE438" i="147"/>
  <c r="DE458" i="147"/>
  <c r="DE459" i="147"/>
  <c r="DE460" i="147"/>
  <c r="DE461" i="147"/>
  <c r="DE462" i="147"/>
  <c r="DE463" i="147"/>
  <c r="DE464" i="147"/>
  <c r="DE465" i="147"/>
  <c r="DE466" i="147"/>
  <c r="DE467" i="147"/>
  <c r="DE468" i="147"/>
  <c r="DE469" i="147"/>
  <c r="DE470" i="147"/>
  <c r="DE471" i="147"/>
  <c r="DE472" i="147"/>
  <c r="DE473" i="147"/>
  <c r="DE474" i="147"/>
  <c r="DE475" i="147"/>
  <c r="DE476" i="147"/>
  <c r="DE477" i="147"/>
  <c r="DE478" i="147"/>
  <c r="DE479" i="147"/>
  <c r="DE480" i="147"/>
  <c r="DE481" i="147"/>
  <c r="DE482" i="147"/>
  <c r="DE483" i="147"/>
  <c r="DE484" i="147"/>
  <c r="DE485" i="147"/>
  <c r="DE486" i="147"/>
  <c r="DE487" i="147"/>
  <c r="DE488" i="147"/>
  <c r="DE489" i="147"/>
  <c r="DE490" i="147"/>
  <c r="DE491" i="147"/>
  <c r="DE492" i="147"/>
  <c r="DE493" i="147"/>
  <c r="DE494" i="147"/>
  <c r="DE495" i="147"/>
  <c r="DE496" i="147"/>
  <c r="DE497" i="147"/>
  <c r="DE498" i="147"/>
  <c r="DE499" i="147"/>
  <c r="DE500" i="147"/>
  <c r="DE501" i="147"/>
  <c r="DE502" i="147"/>
  <c r="DE503" i="147"/>
  <c r="DE504" i="147"/>
  <c r="DE505" i="147"/>
  <c r="DE506" i="147"/>
  <c r="DE507" i="147"/>
  <c r="DE508" i="147"/>
  <c r="DE509" i="147"/>
  <c r="DE510" i="147"/>
  <c r="DE511" i="147"/>
  <c r="DE512" i="147"/>
  <c r="DE513" i="147"/>
  <c r="DE514" i="147"/>
  <c r="DE515" i="147"/>
  <c r="DE516" i="147"/>
  <c r="DE517" i="147"/>
  <c r="DE518" i="147"/>
  <c r="DE519" i="147"/>
  <c r="DE520" i="147"/>
  <c r="DE521" i="147"/>
  <c r="DE522" i="147"/>
  <c r="DE523" i="147"/>
  <c r="DE524" i="147"/>
  <c r="DE525" i="147"/>
  <c r="DE526" i="147"/>
  <c r="DE527" i="147"/>
  <c r="DE528" i="147"/>
  <c r="DE529" i="147"/>
  <c r="DE530" i="147"/>
  <c r="DE531" i="147"/>
  <c r="DE532" i="147"/>
  <c r="DE533" i="147"/>
  <c r="DE534" i="147"/>
  <c r="DE535" i="147"/>
  <c r="DE536" i="147"/>
  <c r="DE537" i="147"/>
  <c r="DE538" i="147"/>
  <c r="DE539" i="147"/>
  <c r="DE540" i="147"/>
  <c r="DE541" i="147"/>
  <c r="DE542" i="147"/>
  <c r="DE543" i="147"/>
  <c r="DE544" i="147"/>
  <c r="DE545" i="147"/>
  <c r="DE546" i="147"/>
  <c r="DE547" i="147"/>
  <c r="DE548" i="147"/>
  <c r="DE549" i="147"/>
  <c r="DE550" i="147"/>
  <c r="DE551" i="147"/>
  <c r="DE552" i="147"/>
  <c r="DE553" i="147"/>
  <c r="DE554" i="147"/>
  <c r="DE555" i="147"/>
  <c r="DE556" i="147"/>
  <c r="DE557" i="147"/>
  <c r="DE558" i="147"/>
  <c r="DE559" i="147"/>
  <c r="DE560" i="147"/>
  <c r="DE561" i="147"/>
  <c r="DE562" i="147"/>
  <c r="DE563" i="147"/>
  <c r="DE564" i="147"/>
  <c r="DE565" i="147"/>
  <c r="DE566" i="147"/>
  <c r="DE568" i="147"/>
  <c r="DE569" i="147"/>
  <c r="DE570" i="147"/>
  <c r="DE571" i="147"/>
  <c r="DE572" i="147"/>
  <c r="DE573" i="147"/>
  <c r="DE574" i="147"/>
  <c r="DE575" i="147"/>
  <c r="DE576" i="147"/>
  <c r="DE577" i="147"/>
  <c r="DE578" i="147"/>
  <c r="DE579" i="147"/>
  <c r="DE580" i="147"/>
  <c r="DE581" i="147"/>
  <c r="DE582" i="147"/>
  <c r="DE583" i="147"/>
  <c r="DE584" i="147"/>
  <c r="DE585" i="147"/>
  <c r="DE586" i="147"/>
  <c r="DE587" i="147"/>
  <c r="DE588" i="147"/>
  <c r="DE589" i="147"/>
  <c r="DE590" i="147"/>
  <c r="DE591" i="147"/>
  <c r="DE592" i="147"/>
  <c r="DE593" i="147"/>
  <c r="DE594" i="147"/>
  <c r="DE595" i="147"/>
  <c r="DE596" i="147"/>
  <c r="DE597" i="147"/>
  <c r="DE598" i="147"/>
  <c r="DE600" i="147"/>
  <c r="DE601" i="147"/>
  <c r="DE602" i="147"/>
  <c r="DE603" i="147"/>
  <c r="DE604" i="147"/>
  <c r="DE605" i="147"/>
  <c r="DE606" i="147"/>
  <c r="DE607" i="147"/>
  <c r="DE608" i="147"/>
  <c r="DE609" i="147"/>
  <c r="DE610" i="147"/>
  <c r="DE611" i="147"/>
  <c r="DE612" i="147"/>
  <c r="DE613" i="147"/>
  <c r="DE614" i="147"/>
  <c r="DE615" i="147"/>
  <c r="DE616" i="147"/>
  <c r="DE617" i="147"/>
  <c r="DE618" i="147"/>
  <c r="DE619" i="147"/>
  <c r="DE620" i="147"/>
  <c r="DE621" i="147"/>
  <c r="DE622" i="147"/>
  <c r="DE623" i="147"/>
  <c r="DE624" i="147"/>
  <c r="DE625" i="147"/>
  <c r="DE626" i="147"/>
  <c r="DE627" i="147"/>
  <c r="DE628" i="147"/>
  <c r="DE629" i="147"/>
  <c r="DE631" i="147"/>
  <c r="DE632" i="147"/>
  <c r="DE633" i="147"/>
  <c r="DE634" i="147"/>
  <c r="DE635" i="147"/>
  <c r="DE636" i="147"/>
  <c r="DE637" i="147"/>
  <c r="DE638" i="147"/>
  <c r="DE639" i="147"/>
  <c r="DE640" i="147"/>
  <c r="DE641" i="147"/>
  <c r="DE642" i="147"/>
  <c r="DE643" i="147"/>
  <c r="DG375" i="147"/>
  <c r="DG376" i="147"/>
  <c r="DG377" i="147"/>
  <c r="DG378" i="147"/>
  <c r="DG379" i="147"/>
  <c r="DG380" i="147"/>
  <c r="DG381" i="147"/>
  <c r="DG382" i="147"/>
  <c r="DG383" i="147"/>
  <c r="DG384" i="147"/>
  <c r="DG385" i="147"/>
  <c r="DG386" i="147"/>
  <c r="DG387" i="147"/>
  <c r="DG388" i="147"/>
  <c r="DG389" i="147"/>
  <c r="DG390" i="147"/>
  <c r="DG391" i="147"/>
  <c r="DG392" i="147"/>
  <c r="DG393" i="147"/>
  <c r="DG394" i="147"/>
  <c r="DG395" i="147"/>
  <c r="DG396" i="147"/>
  <c r="DG397" i="147"/>
  <c r="DG398" i="147"/>
  <c r="DG399" i="147"/>
  <c r="DG400" i="147"/>
  <c r="DG401" i="147"/>
  <c r="DG402" i="147"/>
  <c r="DG403" i="147"/>
  <c r="DG404" i="147"/>
  <c r="DG405" i="147"/>
  <c r="DG406" i="147"/>
  <c r="DG407" i="147"/>
  <c r="DG408" i="147"/>
  <c r="DG409" i="147"/>
  <c r="DG410" i="147"/>
  <c r="DG411" i="147"/>
  <c r="DG412" i="147"/>
  <c r="DG413" i="147"/>
  <c r="DG414" i="147"/>
  <c r="DG415" i="147"/>
  <c r="DG416" i="147"/>
  <c r="DG417" i="147"/>
  <c r="DG418" i="147"/>
  <c r="DG419" i="147"/>
  <c r="DG420" i="147"/>
  <c r="DG421" i="147"/>
  <c r="DG422" i="147"/>
  <c r="DG423" i="147"/>
  <c r="DG424" i="147"/>
  <c r="DG425" i="147"/>
  <c r="DG426" i="147"/>
  <c r="DG427" i="147"/>
  <c r="DG428" i="147"/>
  <c r="DG429" i="147"/>
  <c r="DG430" i="147"/>
  <c r="DG431" i="147"/>
  <c r="DG432" i="147"/>
  <c r="DG433" i="147"/>
  <c r="DG434" i="147"/>
  <c r="DG435" i="147"/>
  <c r="DG436" i="147"/>
  <c r="DG437" i="147"/>
  <c r="DG438" i="147"/>
  <c r="DG446" i="147"/>
  <c r="DG447" i="147"/>
  <c r="DG448" i="147"/>
  <c r="DG449" i="147"/>
  <c r="DG450" i="147"/>
  <c r="DG451" i="147"/>
  <c r="DG452" i="147"/>
  <c r="DG453" i="147"/>
  <c r="DG454" i="147"/>
  <c r="DG455" i="147"/>
  <c r="DG456" i="147"/>
  <c r="DG457" i="147"/>
  <c r="DG439" i="147"/>
  <c r="DG440" i="147"/>
  <c r="DG441" i="147"/>
  <c r="DG442" i="147"/>
  <c r="DG443" i="147"/>
  <c r="DG444" i="147"/>
  <c r="DG445" i="147"/>
  <c r="DG458" i="147"/>
  <c r="DG459" i="147"/>
  <c r="DG460" i="147"/>
  <c r="DG461" i="147"/>
  <c r="DG462" i="147"/>
  <c r="DG463" i="147"/>
  <c r="DG464" i="147"/>
  <c r="DG465" i="147"/>
  <c r="DG466" i="147"/>
  <c r="DG467" i="147"/>
  <c r="DG468" i="147"/>
  <c r="DG469" i="147"/>
  <c r="DG470" i="147"/>
  <c r="DG471" i="147"/>
  <c r="DG472" i="147"/>
  <c r="DG473" i="147"/>
  <c r="DG474" i="147"/>
  <c r="DG475" i="147"/>
  <c r="DG476" i="147"/>
  <c r="DG477" i="147"/>
  <c r="DG478" i="147"/>
  <c r="DG479" i="147"/>
  <c r="DG480" i="147"/>
  <c r="DG481" i="147"/>
  <c r="DG482" i="147"/>
  <c r="DG483" i="147"/>
  <c r="DG484" i="147"/>
  <c r="DG485" i="147"/>
  <c r="DG486" i="147"/>
  <c r="DG487" i="147"/>
  <c r="DG488" i="147"/>
  <c r="DG489" i="147"/>
  <c r="DG490" i="147"/>
  <c r="DG491" i="147"/>
  <c r="DG492" i="147"/>
  <c r="DG493" i="147"/>
  <c r="DG494" i="147"/>
  <c r="DG495" i="147"/>
  <c r="DG496" i="147"/>
  <c r="DG497" i="147"/>
  <c r="DG498" i="147"/>
  <c r="DG499" i="147"/>
  <c r="DG500" i="147"/>
  <c r="DG501" i="147"/>
  <c r="DG502" i="147"/>
  <c r="DG503" i="147"/>
  <c r="DG504" i="147"/>
  <c r="DG505" i="147"/>
  <c r="DG506" i="147"/>
  <c r="DG507" i="147"/>
  <c r="DG508" i="147"/>
  <c r="DG509" i="147"/>
  <c r="DG510" i="147"/>
  <c r="DG511" i="147"/>
  <c r="DG512" i="147"/>
  <c r="DG513" i="147"/>
  <c r="DG514" i="147"/>
  <c r="DG515" i="147"/>
  <c r="DG516" i="147"/>
  <c r="DG517" i="147"/>
  <c r="DG518" i="147"/>
  <c r="DG519" i="147"/>
  <c r="DG520" i="147"/>
  <c r="DG521" i="147"/>
  <c r="DG522" i="147"/>
  <c r="DG523" i="147"/>
  <c r="DG524" i="147"/>
  <c r="DG525" i="147"/>
  <c r="DG526" i="147"/>
  <c r="DG527" i="147"/>
  <c r="DG528" i="147"/>
  <c r="DG529" i="147"/>
  <c r="DG530" i="147"/>
  <c r="DG531" i="147"/>
  <c r="DG532" i="147"/>
  <c r="DG533" i="147"/>
  <c r="DG534" i="147"/>
  <c r="DG535" i="147"/>
  <c r="DG536" i="147"/>
  <c r="DG537" i="147"/>
  <c r="DG538" i="147"/>
  <c r="DG539" i="147"/>
  <c r="DG540" i="147"/>
  <c r="DG541" i="147"/>
  <c r="DG542" i="147"/>
  <c r="DG543" i="147"/>
  <c r="DG544" i="147"/>
  <c r="DG545" i="147"/>
  <c r="DG546" i="147"/>
  <c r="DG547" i="147"/>
  <c r="DG548" i="147"/>
  <c r="DG549" i="147"/>
  <c r="DG550" i="147"/>
  <c r="DG551" i="147"/>
  <c r="DG552" i="147"/>
  <c r="DG553" i="147"/>
  <c r="DG554" i="147"/>
  <c r="DG555" i="147"/>
  <c r="DG556" i="147"/>
  <c r="DG557" i="147"/>
  <c r="DG558" i="147"/>
  <c r="DG559" i="147"/>
  <c r="DG560" i="147"/>
  <c r="DG561" i="147"/>
  <c r="DG562" i="147"/>
  <c r="DG563" i="147"/>
  <c r="DG564" i="147"/>
  <c r="DG565" i="147"/>
  <c r="DG566" i="147"/>
  <c r="DG568" i="147"/>
  <c r="DG569" i="147"/>
  <c r="DG570" i="147"/>
  <c r="DG571" i="147"/>
  <c r="DG572" i="147"/>
  <c r="DG573" i="147"/>
  <c r="DG574" i="147"/>
  <c r="DG575" i="147"/>
  <c r="DG576" i="147"/>
  <c r="DG577" i="147"/>
  <c r="DG578" i="147"/>
  <c r="DG579" i="147"/>
  <c r="DG580" i="147"/>
  <c r="DG581" i="147"/>
  <c r="DG582" i="147"/>
  <c r="DG583" i="147"/>
  <c r="DG584" i="147"/>
  <c r="DG585" i="147"/>
  <c r="DG586" i="147"/>
  <c r="DG587" i="147"/>
  <c r="DG588" i="147"/>
  <c r="DG589" i="147"/>
  <c r="DG590" i="147"/>
  <c r="DG591" i="147"/>
  <c r="DG592" i="147"/>
  <c r="DG593" i="147"/>
  <c r="DG594" i="147"/>
  <c r="DG595" i="147"/>
  <c r="DG596" i="147"/>
  <c r="DG597" i="147"/>
  <c r="DG598" i="147"/>
  <c r="DG600" i="147"/>
  <c r="DG601" i="147"/>
  <c r="DG602" i="147"/>
  <c r="DG603" i="147"/>
  <c r="DG604" i="147"/>
  <c r="DG605" i="147"/>
  <c r="DG606" i="147"/>
  <c r="DG607" i="147"/>
  <c r="DG608" i="147"/>
  <c r="DG609" i="147"/>
  <c r="DG610" i="147"/>
  <c r="DG611" i="147"/>
  <c r="DG612" i="147"/>
  <c r="DG613" i="147"/>
  <c r="DG614" i="147"/>
  <c r="DG615" i="147"/>
  <c r="DG616" i="147"/>
  <c r="DG617" i="147"/>
  <c r="DG618" i="147"/>
  <c r="DG619" i="147"/>
  <c r="DG620" i="147"/>
  <c r="DG621" i="147"/>
  <c r="DG622" i="147"/>
  <c r="DG623" i="147"/>
  <c r="DG624" i="147"/>
  <c r="DG625" i="147"/>
  <c r="DG626" i="147"/>
  <c r="DG627" i="147"/>
  <c r="DG628" i="147"/>
  <c r="DG629" i="147"/>
  <c r="DG631" i="147"/>
  <c r="DG632" i="147"/>
  <c r="DG633" i="147"/>
  <c r="DG634" i="147"/>
  <c r="DG635" i="147"/>
  <c r="DG636" i="147"/>
  <c r="DG637" i="147"/>
  <c r="DG638" i="147"/>
  <c r="DG639" i="147"/>
  <c r="DG640" i="147"/>
  <c r="DG641" i="147"/>
  <c r="DG642" i="147"/>
  <c r="DG643" i="147"/>
  <c r="DI379" i="147"/>
  <c r="DI380" i="147"/>
  <c r="DI381" i="147"/>
  <c r="DI382" i="147"/>
  <c r="DI383" i="147"/>
  <c r="DI384" i="147"/>
  <c r="DI385" i="147"/>
  <c r="DI386" i="147"/>
  <c r="DI387" i="147"/>
  <c r="DI388" i="147"/>
  <c r="DI389" i="147"/>
  <c r="DI390" i="147"/>
  <c r="DI391" i="147"/>
  <c r="DI392" i="147"/>
  <c r="DI393" i="147"/>
  <c r="DI394" i="147"/>
  <c r="DI395" i="147"/>
  <c r="DI396" i="147"/>
  <c r="DI397" i="147"/>
  <c r="DI398" i="147"/>
  <c r="DI399" i="147"/>
  <c r="DI375" i="147"/>
  <c r="DI377" i="147"/>
  <c r="DI376" i="147"/>
  <c r="DI378" i="147"/>
  <c r="DI400" i="147"/>
  <c r="DI401" i="147"/>
  <c r="DI402" i="147"/>
  <c r="DI403" i="147"/>
  <c r="DI404" i="147"/>
  <c r="DI405" i="147"/>
  <c r="DI406" i="147"/>
  <c r="DI407" i="147"/>
  <c r="DI408" i="147"/>
  <c r="DI409" i="147"/>
  <c r="DI410" i="147"/>
  <c r="DI411" i="147"/>
  <c r="DI412" i="147"/>
  <c r="DI413" i="147"/>
  <c r="DI414" i="147"/>
  <c r="DI415" i="147"/>
  <c r="DI416" i="147"/>
  <c r="DI417" i="147"/>
  <c r="DI418" i="147"/>
  <c r="DI419" i="147"/>
  <c r="DI420" i="147"/>
  <c r="DI421" i="147"/>
  <c r="DI422" i="147"/>
  <c r="DI423" i="147"/>
  <c r="DI424" i="147"/>
  <c r="DI425" i="147"/>
  <c r="DI426" i="147"/>
  <c r="DI427" i="147"/>
  <c r="DI428" i="147"/>
  <c r="DI429" i="147"/>
  <c r="DI430" i="147"/>
  <c r="DI431" i="147"/>
  <c r="DI432" i="147"/>
  <c r="DI433" i="147"/>
  <c r="DI434" i="147"/>
  <c r="DI435" i="147"/>
  <c r="DI436" i="147"/>
  <c r="DI437" i="147"/>
  <c r="DI438" i="147"/>
  <c r="DI439" i="147"/>
  <c r="DI440" i="147"/>
  <c r="DI441" i="147"/>
  <c r="DI442" i="147"/>
  <c r="DI443" i="147"/>
  <c r="DI444" i="147"/>
  <c r="DI445" i="147"/>
  <c r="DI446" i="147"/>
  <c r="DI447" i="147"/>
  <c r="DI448" i="147"/>
  <c r="DI449" i="147"/>
  <c r="DI450" i="147"/>
  <c r="DI451" i="147"/>
  <c r="DI452" i="147"/>
  <c r="DI453" i="147"/>
  <c r="DI454" i="147"/>
  <c r="DI455" i="147"/>
  <c r="DI456" i="147"/>
  <c r="DI457" i="147"/>
  <c r="DI458" i="147"/>
  <c r="DI459" i="147"/>
  <c r="DI460" i="147"/>
  <c r="DI461" i="147"/>
  <c r="DI462" i="147"/>
  <c r="DI463" i="147"/>
  <c r="DI464" i="147"/>
  <c r="DI465" i="147"/>
  <c r="DI466" i="147"/>
  <c r="DI467" i="147"/>
  <c r="DI468" i="147"/>
  <c r="DI469" i="147"/>
  <c r="DI470" i="147"/>
  <c r="DI471" i="147"/>
  <c r="DI472" i="147"/>
  <c r="DI473" i="147"/>
  <c r="DI474" i="147"/>
  <c r="DI475" i="147"/>
  <c r="DI476" i="147"/>
  <c r="DI477" i="147"/>
  <c r="DI478" i="147"/>
  <c r="DI479" i="147"/>
  <c r="DI480" i="147"/>
  <c r="DI481" i="147"/>
  <c r="DI482" i="147"/>
  <c r="DI483" i="147"/>
  <c r="DI484" i="147"/>
  <c r="DI485" i="147"/>
  <c r="DI486" i="147"/>
  <c r="DI487" i="147"/>
  <c r="DI488" i="147"/>
  <c r="DI489" i="147"/>
  <c r="DI490" i="147"/>
  <c r="DI491" i="147"/>
  <c r="DI492" i="147"/>
  <c r="DI493" i="147"/>
  <c r="DI494" i="147"/>
  <c r="DI495" i="147"/>
  <c r="DI496" i="147"/>
  <c r="DI497" i="147"/>
  <c r="DI498" i="147"/>
  <c r="DI499" i="147"/>
  <c r="DI500" i="147"/>
  <c r="DI501" i="147"/>
  <c r="DI502" i="147"/>
  <c r="DI503" i="147"/>
  <c r="DI504" i="147"/>
  <c r="DI505" i="147"/>
  <c r="DI506" i="147"/>
  <c r="DI507" i="147"/>
  <c r="DI508" i="147"/>
  <c r="DI509" i="147"/>
  <c r="DI510" i="147"/>
  <c r="DI511" i="147"/>
  <c r="DI512" i="147"/>
  <c r="DI513" i="147"/>
  <c r="DI514" i="147"/>
  <c r="DI515" i="147"/>
  <c r="DI516" i="147"/>
  <c r="DI517" i="147"/>
  <c r="DI518" i="147"/>
  <c r="DI519" i="147"/>
  <c r="DI520" i="147"/>
  <c r="DI521" i="147"/>
  <c r="DI522" i="147"/>
  <c r="DI523" i="147"/>
  <c r="DI524" i="147"/>
  <c r="DI525" i="147"/>
  <c r="DI526" i="147"/>
  <c r="DI527" i="147"/>
  <c r="DI528" i="147"/>
  <c r="DI529" i="147"/>
  <c r="DI530" i="147"/>
  <c r="DI531" i="147"/>
  <c r="DI532" i="147"/>
  <c r="DI533" i="147"/>
  <c r="DI534" i="147"/>
  <c r="DI535" i="147"/>
  <c r="DI536" i="147"/>
  <c r="DI537" i="147"/>
  <c r="DI538" i="147"/>
  <c r="DI539" i="147"/>
  <c r="DI540" i="147"/>
  <c r="DI541" i="147"/>
  <c r="DI542" i="147"/>
  <c r="DI543" i="147"/>
  <c r="DI544" i="147"/>
  <c r="DI545" i="147"/>
  <c r="DI546" i="147"/>
  <c r="DI547" i="147"/>
  <c r="DI548" i="147"/>
  <c r="DI549" i="147"/>
  <c r="DI550" i="147"/>
  <c r="DI551" i="147"/>
  <c r="DI552" i="147"/>
  <c r="DI553" i="147"/>
  <c r="DI554" i="147"/>
  <c r="DI555" i="147"/>
  <c r="DI556" i="147"/>
  <c r="DI557" i="147"/>
  <c r="DI558" i="147"/>
  <c r="DI559" i="147"/>
  <c r="DI560" i="147"/>
  <c r="DI561" i="147"/>
  <c r="DI562" i="147"/>
  <c r="DI563" i="147"/>
  <c r="DI564" i="147"/>
  <c r="DI565" i="147"/>
  <c r="DI566" i="147"/>
  <c r="DI568" i="147"/>
  <c r="DI569" i="147"/>
  <c r="DI570" i="147"/>
  <c r="DI571" i="147"/>
  <c r="DI572" i="147"/>
  <c r="DI573" i="147"/>
  <c r="DI574" i="147"/>
  <c r="DI575" i="147"/>
  <c r="DI576" i="147"/>
  <c r="DI577" i="147"/>
  <c r="DI578" i="147"/>
  <c r="DI579" i="147"/>
  <c r="DI580" i="147"/>
  <c r="DI581" i="147"/>
  <c r="DI582" i="147"/>
  <c r="DI583" i="147"/>
  <c r="DI584" i="147"/>
  <c r="DI585" i="147"/>
  <c r="DI586" i="147"/>
  <c r="DI587" i="147"/>
  <c r="DI588" i="147"/>
  <c r="DI589" i="147"/>
  <c r="DI590" i="147"/>
  <c r="DI591" i="147"/>
  <c r="DI592" i="147"/>
  <c r="DI593" i="147"/>
  <c r="DI594" i="147"/>
  <c r="DI595" i="147"/>
  <c r="DI596" i="147"/>
  <c r="DI597" i="147"/>
  <c r="DI598" i="147"/>
  <c r="DI600" i="147"/>
  <c r="DI601" i="147"/>
  <c r="DI602" i="147"/>
  <c r="DI603" i="147"/>
  <c r="DI604" i="147"/>
  <c r="DI605" i="147"/>
  <c r="DI606" i="147"/>
  <c r="DI607" i="147"/>
  <c r="DI608" i="147"/>
  <c r="DI609" i="147"/>
  <c r="DI610" i="147"/>
  <c r="DI611" i="147"/>
  <c r="DI612" i="147"/>
  <c r="DI613" i="147"/>
  <c r="DI614" i="147"/>
  <c r="DI615" i="147"/>
  <c r="DI616" i="147"/>
  <c r="DI617" i="147"/>
  <c r="DI618" i="147"/>
  <c r="DI619" i="147"/>
  <c r="DI620" i="147"/>
  <c r="DI621" i="147"/>
  <c r="DI622" i="147"/>
  <c r="DI623" i="147"/>
  <c r="DI624" i="147"/>
  <c r="DI625" i="147"/>
  <c r="DI626" i="147"/>
  <c r="DI627" i="147"/>
  <c r="DI628" i="147"/>
  <c r="DI629" i="147"/>
  <c r="DI631" i="147"/>
  <c r="DI632" i="147"/>
  <c r="DI633" i="147"/>
  <c r="DI634" i="147"/>
  <c r="DI635" i="147"/>
  <c r="DI636" i="147"/>
  <c r="DI637" i="147"/>
  <c r="DI638" i="147"/>
  <c r="DI639" i="147"/>
  <c r="DI640" i="147"/>
  <c r="DI641" i="147"/>
  <c r="DI642" i="147"/>
  <c r="DI643" i="147"/>
  <c r="DK375" i="147"/>
  <c r="DK376" i="147"/>
  <c r="DK377" i="147"/>
  <c r="DK378" i="147"/>
  <c r="DK379" i="147"/>
  <c r="DK380" i="147"/>
  <c r="DK381" i="147"/>
  <c r="DK382" i="147"/>
  <c r="DK383" i="147"/>
  <c r="DK384" i="147"/>
  <c r="DK385" i="147"/>
  <c r="DK386" i="147"/>
  <c r="DK387" i="147"/>
  <c r="DK388" i="147"/>
  <c r="DK389" i="147"/>
  <c r="DK390" i="147"/>
  <c r="DK391" i="147"/>
  <c r="DK392" i="147"/>
  <c r="DK393" i="147"/>
  <c r="DK394" i="147"/>
  <c r="DK395" i="147"/>
  <c r="DK396" i="147"/>
  <c r="DK397" i="147"/>
  <c r="DK398" i="147"/>
  <c r="DK399" i="147"/>
  <c r="DK400" i="147"/>
  <c r="DK401" i="147"/>
  <c r="DK402" i="147"/>
  <c r="DK403" i="147"/>
  <c r="DK404" i="147"/>
  <c r="DK405" i="147"/>
  <c r="DK406" i="147"/>
  <c r="DK407" i="147"/>
  <c r="DK408" i="147"/>
  <c r="DK409" i="147"/>
  <c r="DK410" i="147"/>
  <c r="DK411" i="147"/>
  <c r="DK412" i="147"/>
  <c r="DK413" i="147"/>
  <c r="DK414" i="147"/>
  <c r="DK415" i="147"/>
  <c r="DK416" i="147"/>
  <c r="DK417" i="147"/>
  <c r="DK418" i="147"/>
  <c r="DK419" i="147"/>
  <c r="DK420" i="147"/>
  <c r="DK421" i="147"/>
  <c r="DK422" i="147"/>
  <c r="DK423" i="147"/>
  <c r="DK424" i="147"/>
  <c r="DK425" i="147"/>
  <c r="DK426" i="147"/>
  <c r="DK427" i="147"/>
  <c r="DK428" i="147"/>
  <c r="DK429" i="147"/>
  <c r="DK430" i="147"/>
  <c r="DK431" i="147"/>
  <c r="DK432" i="147"/>
  <c r="DK433" i="147"/>
  <c r="DK434" i="147"/>
  <c r="DK435" i="147"/>
  <c r="DK436" i="147"/>
  <c r="DK437" i="147"/>
  <c r="DK438" i="147"/>
  <c r="DK446" i="147"/>
  <c r="DK447" i="147"/>
  <c r="DK448" i="147"/>
  <c r="DK449" i="147"/>
  <c r="DK450" i="147"/>
  <c r="DK451" i="147"/>
  <c r="DK452" i="147"/>
  <c r="DK453" i="147"/>
  <c r="DK454" i="147"/>
  <c r="DK455" i="147"/>
  <c r="DK456" i="147"/>
  <c r="DK457" i="147"/>
  <c r="DK439" i="147"/>
  <c r="DK440" i="147"/>
  <c r="DK441" i="147"/>
  <c r="DK442" i="147"/>
  <c r="DK443" i="147"/>
  <c r="DK444" i="147"/>
  <c r="DK445" i="147"/>
  <c r="DK458" i="147"/>
  <c r="DK459" i="147"/>
  <c r="DK460" i="147"/>
  <c r="DK461" i="147"/>
  <c r="DK462" i="147"/>
  <c r="DK463" i="147"/>
  <c r="DK464" i="147"/>
  <c r="DK465" i="147"/>
  <c r="DK466" i="147"/>
  <c r="DK467" i="147"/>
  <c r="DK468" i="147"/>
  <c r="DK469" i="147"/>
  <c r="DK470" i="147"/>
  <c r="DK471" i="147"/>
  <c r="DK472" i="147"/>
  <c r="DK473" i="147"/>
  <c r="DK474" i="147"/>
  <c r="DK475" i="147"/>
  <c r="DK476" i="147"/>
  <c r="DK477" i="147"/>
  <c r="DK478" i="147"/>
  <c r="DK479" i="147"/>
  <c r="DK480" i="147"/>
  <c r="DK481" i="147"/>
  <c r="DK482" i="147"/>
  <c r="DK483" i="147"/>
  <c r="DK484" i="147"/>
  <c r="DK485" i="147"/>
  <c r="DK486" i="147"/>
  <c r="DK487" i="147"/>
  <c r="DK488" i="147"/>
  <c r="DK489" i="147"/>
  <c r="DK490" i="147"/>
  <c r="DK491" i="147"/>
  <c r="DK492" i="147"/>
  <c r="DK493" i="147"/>
  <c r="DK494" i="147"/>
  <c r="DK495" i="147"/>
  <c r="DK496" i="147"/>
  <c r="DK497" i="147"/>
  <c r="DK498" i="147"/>
  <c r="DK499" i="147"/>
  <c r="DK500" i="147"/>
  <c r="DK501" i="147"/>
  <c r="DK502" i="147"/>
  <c r="DK503" i="147"/>
  <c r="DK504" i="147"/>
  <c r="DK505" i="147"/>
  <c r="DK506" i="147"/>
  <c r="DK507" i="147"/>
  <c r="DK508" i="147"/>
  <c r="DK509" i="147"/>
  <c r="DK510" i="147"/>
  <c r="DK511" i="147"/>
  <c r="DK512" i="147"/>
  <c r="DK513" i="147"/>
  <c r="DK514" i="147"/>
  <c r="DK515" i="147"/>
  <c r="DK516" i="147"/>
  <c r="DK517" i="147"/>
  <c r="DK518" i="147"/>
  <c r="DK519" i="147"/>
  <c r="DK520" i="147"/>
  <c r="DK521" i="147"/>
  <c r="DK522" i="147"/>
  <c r="DK523" i="147"/>
  <c r="DK524" i="147"/>
  <c r="DK525" i="147"/>
  <c r="DK526" i="147"/>
  <c r="DK527" i="147"/>
  <c r="DK528" i="147"/>
  <c r="DK529" i="147"/>
  <c r="DK530" i="147"/>
  <c r="DK531" i="147"/>
  <c r="DK532" i="147"/>
  <c r="DK533" i="147"/>
  <c r="DK534" i="147"/>
  <c r="DK535" i="147"/>
  <c r="DK536" i="147"/>
  <c r="DK537" i="147"/>
  <c r="DK538" i="147"/>
  <c r="DK539" i="147"/>
  <c r="DK540" i="147"/>
  <c r="DK541" i="147"/>
  <c r="DK542" i="147"/>
  <c r="DK543" i="147"/>
  <c r="DK544" i="147"/>
  <c r="DK545" i="147"/>
  <c r="DK546" i="147"/>
  <c r="DK547" i="147"/>
  <c r="DK548" i="147"/>
  <c r="DK549" i="147"/>
  <c r="DK550" i="147"/>
  <c r="DK551" i="147"/>
  <c r="DK552" i="147"/>
  <c r="DK553" i="147"/>
  <c r="DK554" i="147"/>
  <c r="DK555" i="147"/>
  <c r="DK556" i="147"/>
  <c r="DK557" i="147"/>
  <c r="DK558" i="147"/>
  <c r="DK559" i="147"/>
  <c r="DK560" i="147"/>
  <c r="DK561" i="147"/>
  <c r="DK562" i="147"/>
  <c r="DK563" i="147"/>
  <c r="DK564" i="147"/>
  <c r="DK565" i="147"/>
  <c r="DK566" i="147"/>
  <c r="DK568" i="147"/>
  <c r="DK569" i="147"/>
  <c r="DK570" i="147"/>
  <c r="DK571" i="147"/>
  <c r="DK572" i="147"/>
  <c r="DK573" i="147"/>
  <c r="DK574" i="147"/>
  <c r="DK575" i="147"/>
  <c r="DK576" i="147"/>
  <c r="DK577" i="147"/>
  <c r="DK578" i="147"/>
  <c r="DK579" i="147"/>
  <c r="DK580" i="147"/>
  <c r="DK581" i="147"/>
  <c r="DK582" i="147"/>
  <c r="DK583" i="147"/>
  <c r="DK584" i="147"/>
  <c r="DK585" i="147"/>
  <c r="DK586" i="147"/>
  <c r="DK587" i="147"/>
  <c r="DK588" i="147"/>
  <c r="DK589" i="147"/>
  <c r="DK590" i="147"/>
  <c r="DK591" i="147"/>
  <c r="DK592" i="147"/>
  <c r="DK593" i="147"/>
  <c r="DK594" i="147"/>
  <c r="DK595" i="147"/>
  <c r="DK596" i="147"/>
  <c r="DK597" i="147"/>
  <c r="DK598" i="147"/>
  <c r="DK600" i="147"/>
  <c r="DK601" i="147"/>
  <c r="DK602" i="147"/>
  <c r="DK603" i="147"/>
  <c r="DK604" i="147"/>
  <c r="DK605" i="147"/>
  <c r="DK606" i="147"/>
  <c r="DK607" i="147"/>
  <c r="DK608" i="147"/>
  <c r="DK609" i="147"/>
  <c r="DK610" i="147"/>
  <c r="DK611" i="147"/>
  <c r="DK612" i="147"/>
  <c r="DK613" i="147"/>
  <c r="DK614" i="147"/>
  <c r="DK615" i="147"/>
  <c r="DK616" i="147"/>
  <c r="DK617" i="147"/>
  <c r="DK618" i="147"/>
  <c r="DK619" i="147"/>
  <c r="DK620" i="147"/>
  <c r="DK621" i="147"/>
  <c r="DK622" i="147"/>
  <c r="DK623" i="147"/>
  <c r="DK624" i="147"/>
  <c r="DK625" i="147"/>
  <c r="DK626" i="147"/>
  <c r="DK627" i="147"/>
  <c r="DK628" i="147"/>
  <c r="DK629" i="147"/>
  <c r="DK631" i="147"/>
  <c r="DK632" i="147"/>
  <c r="DK633" i="147"/>
  <c r="DK634" i="147"/>
  <c r="DK635" i="147"/>
  <c r="DK636" i="147"/>
  <c r="DK637" i="147"/>
  <c r="DK638" i="147"/>
  <c r="DK639" i="147"/>
  <c r="DK640" i="147"/>
  <c r="DK641" i="147"/>
  <c r="DK642" i="147"/>
  <c r="DK643" i="147"/>
  <c r="DM379" i="147"/>
  <c r="DM380" i="147"/>
  <c r="DM381" i="147"/>
  <c r="DM382" i="147"/>
  <c r="DM383" i="147"/>
  <c r="DM384" i="147"/>
  <c r="DM385" i="147"/>
  <c r="DM375" i="147"/>
  <c r="DM376" i="147"/>
  <c r="DM377" i="147"/>
  <c r="DM378" i="147"/>
  <c r="DM386" i="147"/>
  <c r="DM387" i="147"/>
  <c r="DM388" i="147"/>
  <c r="DM389" i="147"/>
  <c r="DM390" i="147"/>
  <c r="DM391" i="147"/>
  <c r="DM392" i="147"/>
  <c r="DM393" i="147"/>
  <c r="DM394" i="147"/>
  <c r="DM395" i="147"/>
  <c r="DM396" i="147"/>
  <c r="DM397" i="147"/>
  <c r="DM398" i="147"/>
  <c r="DM399" i="147"/>
  <c r="DM402" i="147"/>
  <c r="DM403" i="147"/>
  <c r="DM404" i="147"/>
  <c r="DM405" i="147"/>
  <c r="DM400" i="147"/>
  <c r="DM401" i="147"/>
  <c r="DM429" i="147"/>
  <c r="DM430" i="147"/>
  <c r="DM431" i="147"/>
  <c r="DM432" i="147"/>
  <c r="DM406" i="147"/>
  <c r="DM407" i="147"/>
  <c r="DM408" i="147"/>
  <c r="DM409" i="147"/>
  <c r="DM410" i="147"/>
  <c r="DM411" i="147"/>
  <c r="DM412" i="147"/>
  <c r="DM413" i="147"/>
  <c r="DM414" i="147"/>
  <c r="DM415" i="147"/>
  <c r="DM416" i="147"/>
  <c r="DM417" i="147"/>
  <c r="DM418" i="147"/>
  <c r="DM419" i="147"/>
  <c r="DM420" i="147"/>
  <c r="DM421" i="147"/>
  <c r="DM422" i="147"/>
  <c r="DM423" i="147"/>
  <c r="DM425" i="147"/>
  <c r="DM426" i="147"/>
  <c r="DM427" i="147"/>
  <c r="DM428" i="147"/>
  <c r="DM439" i="147"/>
  <c r="DM441" i="147"/>
  <c r="DM442" i="147"/>
  <c r="DM443" i="147"/>
  <c r="DM444" i="147"/>
  <c r="DM445" i="147"/>
  <c r="DM446" i="147"/>
  <c r="DM447" i="147"/>
  <c r="DM449" i="147"/>
  <c r="DM450" i="147"/>
  <c r="DM451" i="147"/>
  <c r="DM452" i="147"/>
  <c r="DM453" i="147"/>
  <c r="DM454" i="147"/>
  <c r="DM455" i="147"/>
  <c r="DM456" i="147"/>
  <c r="DM457" i="147"/>
  <c r="DM433" i="147"/>
  <c r="DM434" i="147"/>
  <c r="DM435" i="147"/>
  <c r="DM436" i="147"/>
  <c r="DM437" i="147"/>
  <c r="DM438" i="147"/>
  <c r="DM458" i="147"/>
  <c r="DM459" i="147"/>
  <c r="DM460" i="147"/>
  <c r="DM461" i="147"/>
  <c r="DM462" i="147"/>
  <c r="DM463" i="147"/>
  <c r="DM464" i="147"/>
  <c r="DM465" i="147"/>
  <c r="DM466" i="147"/>
  <c r="DM467" i="147"/>
  <c r="DM468" i="147"/>
  <c r="DM469" i="147"/>
  <c r="DM470" i="147"/>
  <c r="DM471" i="147"/>
  <c r="DM472" i="147"/>
  <c r="DM473" i="147"/>
  <c r="DM474" i="147"/>
  <c r="DM475" i="147"/>
  <c r="DM476" i="147"/>
  <c r="DM477" i="147"/>
  <c r="DM478" i="147"/>
  <c r="DM479" i="147"/>
  <c r="DM480" i="147"/>
  <c r="DM481" i="147"/>
  <c r="DM482" i="147"/>
  <c r="DM483" i="147"/>
  <c r="DM484" i="147"/>
  <c r="DM485" i="147"/>
  <c r="DM486" i="147"/>
  <c r="DM487" i="147"/>
  <c r="DM488" i="147"/>
  <c r="DM489" i="147"/>
  <c r="DM490" i="147"/>
  <c r="DM491" i="147"/>
  <c r="DM492" i="147"/>
  <c r="DM493" i="147"/>
  <c r="DM494" i="147"/>
  <c r="DM495" i="147"/>
  <c r="DM496" i="147"/>
  <c r="DM497" i="147"/>
  <c r="DM498" i="147"/>
  <c r="DM499" i="147"/>
  <c r="DM500" i="147"/>
  <c r="DM501" i="147"/>
  <c r="DM502" i="147"/>
  <c r="DM503" i="147"/>
  <c r="DM504" i="147"/>
  <c r="DM505" i="147"/>
  <c r="DM506" i="147"/>
  <c r="DM507" i="147"/>
  <c r="DM508" i="147"/>
  <c r="DM509" i="147"/>
  <c r="DM510" i="147"/>
  <c r="DM511" i="147"/>
  <c r="DM512" i="147"/>
  <c r="DM513" i="147"/>
  <c r="DM514" i="147"/>
  <c r="DM515" i="147"/>
  <c r="DM516" i="147"/>
  <c r="DM517" i="147"/>
  <c r="DM518" i="147"/>
  <c r="DM519" i="147"/>
  <c r="DM520" i="147"/>
  <c r="DM521" i="147"/>
  <c r="DM522" i="147"/>
  <c r="DM523" i="147"/>
  <c r="DM524" i="147"/>
  <c r="DM525" i="147"/>
  <c r="DM526" i="147"/>
  <c r="DM527" i="147"/>
  <c r="DM528" i="147"/>
  <c r="DM529" i="147"/>
  <c r="DM530" i="147"/>
  <c r="DM531" i="147"/>
  <c r="DM532" i="147"/>
  <c r="DM533" i="147"/>
  <c r="DM534" i="147"/>
  <c r="DM535" i="147"/>
  <c r="DM536" i="147"/>
  <c r="DM537" i="147"/>
  <c r="DM538" i="147"/>
  <c r="DM539" i="147"/>
  <c r="DM540" i="147"/>
  <c r="DM541" i="147"/>
  <c r="DM542" i="147"/>
  <c r="DM543" i="147"/>
  <c r="DM544" i="147"/>
  <c r="DM545" i="147"/>
  <c r="DM546" i="147"/>
  <c r="DM547" i="147"/>
  <c r="DM548" i="147"/>
  <c r="DM549" i="147"/>
  <c r="DM550" i="147"/>
  <c r="DM551" i="147"/>
  <c r="DM552" i="147"/>
  <c r="DM553" i="147"/>
  <c r="DM554" i="147"/>
  <c r="DM555" i="147"/>
  <c r="DM556" i="147"/>
  <c r="DM557" i="147"/>
  <c r="DM558" i="147"/>
  <c r="DM559" i="147"/>
  <c r="DM560" i="147"/>
  <c r="DM561" i="147"/>
  <c r="DM562" i="147"/>
  <c r="DM563" i="147"/>
  <c r="DM564" i="147"/>
  <c r="DM565" i="147"/>
  <c r="DM566" i="147"/>
  <c r="DM568" i="147"/>
  <c r="DM569" i="147"/>
  <c r="DM570" i="147"/>
  <c r="DM571" i="147"/>
  <c r="DM572" i="147"/>
  <c r="DM573" i="147"/>
  <c r="DM574" i="147"/>
  <c r="DM575" i="147"/>
  <c r="DM576" i="147"/>
  <c r="DM577" i="147"/>
  <c r="DM578" i="147"/>
  <c r="DM579" i="147"/>
  <c r="DM580" i="147"/>
  <c r="DM581" i="147"/>
  <c r="DM582" i="147"/>
  <c r="DM583" i="147"/>
  <c r="DM584" i="147"/>
  <c r="DM585" i="147"/>
  <c r="DM586" i="147"/>
  <c r="DM587" i="147"/>
  <c r="DM588" i="147"/>
  <c r="DM589" i="147"/>
  <c r="DM590" i="147"/>
  <c r="DM591" i="147"/>
  <c r="DM592" i="147"/>
  <c r="DM593" i="147"/>
  <c r="DM594" i="147"/>
  <c r="DM595" i="147"/>
  <c r="DM596" i="147"/>
  <c r="DM597" i="147"/>
  <c r="DM598" i="147"/>
  <c r="DM600" i="147"/>
  <c r="DM601" i="147"/>
  <c r="DM602" i="147"/>
  <c r="DM603" i="147"/>
  <c r="DM604" i="147"/>
  <c r="DM605" i="147"/>
  <c r="DM606" i="147"/>
  <c r="DM607" i="147"/>
  <c r="DM608" i="147"/>
  <c r="DM609" i="147"/>
  <c r="DM610" i="147"/>
  <c r="DM611" i="147"/>
  <c r="DM612" i="147"/>
  <c r="DM613" i="147"/>
  <c r="DM614" i="147"/>
  <c r="DM615" i="147"/>
  <c r="DM616" i="147"/>
  <c r="DM617" i="147"/>
  <c r="DM618" i="147"/>
  <c r="DM619" i="147"/>
  <c r="DM620" i="147"/>
  <c r="DM621" i="147"/>
  <c r="DM622" i="147"/>
  <c r="DM623" i="147"/>
  <c r="DM624" i="147"/>
  <c r="DM625" i="147"/>
  <c r="DM626" i="147"/>
  <c r="DM627" i="147"/>
  <c r="DM628" i="147"/>
  <c r="DM629" i="147"/>
  <c r="DM631" i="147"/>
  <c r="DM632" i="147"/>
  <c r="DM633" i="147"/>
  <c r="DM634" i="147"/>
  <c r="DM635" i="147"/>
  <c r="DM636" i="147"/>
  <c r="DM637" i="147"/>
  <c r="DM638" i="147"/>
  <c r="DM639" i="147"/>
  <c r="DM640" i="147"/>
  <c r="DM641" i="147"/>
  <c r="DM642" i="147"/>
  <c r="DM643" i="147"/>
  <c r="DO375" i="147"/>
  <c r="DO376" i="147"/>
  <c r="DO377" i="147"/>
  <c r="DO378" i="147"/>
  <c r="DO379" i="147"/>
  <c r="DO380" i="147"/>
  <c r="DO381" i="147"/>
  <c r="DO382" i="147"/>
  <c r="DO383" i="147"/>
  <c r="DO384" i="147"/>
  <c r="DO385" i="147"/>
  <c r="DO386" i="147"/>
  <c r="DO387" i="147"/>
  <c r="DO388" i="147"/>
  <c r="DO389" i="147"/>
  <c r="DO390" i="147"/>
  <c r="DO391" i="147"/>
  <c r="DO392" i="147"/>
  <c r="DO393" i="147"/>
  <c r="DO394" i="147"/>
  <c r="DO395" i="147"/>
  <c r="DO396" i="147"/>
  <c r="DO397" i="147"/>
  <c r="DO398" i="147"/>
  <c r="DO399" i="147"/>
  <c r="DO400" i="147"/>
  <c r="DO401" i="147"/>
  <c r="DO402" i="147"/>
  <c r="DO403" i="147"/>
  <c r="DO404" i="147"/>
  <c r="DO405" i="147"/>
  <c r="DO406" i="147"/>
  <c r="DO407" i="147"/>
  <c r="DO408" i="147"/>
  <c r="DO409" i="147"/>
  <c r="DO410" i="147"/>
  <c r="DO411" i="147"/>
  <c r="DO412" i="147"/>
  <c r="DO413" i="147"/>
  <c r="DO414" i="147"/>
  <c r="DO415" i="147"/>
  <c r="DO416" i="147"/>
  <c r="DO417" i="147"/>
  <c r="DO418" i="147"/>
  <c r="DO419" i="147"/>
  <c r="DO420" i="147"/>
  <c r="DO421" i="147"/>
  <c r="DO422" i="147"/>
  <c r="DO423" i="147"/>
  <c r="DO424" i="147"/>
  <c r="DO425" i="147"/>
  <c r="DO426" i="147"/>
  <c r="DO427" i="147"/>
  <c r="DO428" i="147"/>
  <c r="DO429" i="147"/>
  <c r="DO430" i="147"/>
  <c r="DO431" i="147"/>
  <c r="DO432" i="147"/>
  <c r="DO433" i="147"/>
  <c r="DO434" i="147"/>
  <c r="DO435" i="147"/>
  <c r="DO436" i="147"/>
  <c r="DO437" i="147"/>
  <c r="DO438" i="147"/>
  <c r="DO446" i="147"/>
  <c r="DO447" i="147"/>
  <c r="DO448" i="147"/>
  <c r="DO449" i="147"/>
  <c r="DO450" i="147"/>
  <c r="DO451" i="147"/>
  <c r="DO452" i="147"/>
  <c r="DO453" i="147"/>
  <c r="DO454" i="147"/>
  <c r="DO455" i="147"/>
  <c r="DO456" i="147"/>
  <c r="DO457" i="147"/>
  <c r="DO439" i="147"/>
  <c r="DO440" i="147"/>
  <c r="DO441" i="147"/>
  <c r="DO442" i="147"/>
  <c r="DO443" i="147"/>
  <c r="DO444" i="147"/>
  <c r="DO445" i="147"/>
  <c r="DO458" i="147"/>
  <c r="DO459" i="147"/>
  <c r="DO460" i="147"/>
  <c r="DO461" i="147"/>
  <c r="DO462" i="147"/>
  <c r="DO463" i="147"/>
  <c r="DO464" i="147"/>
  <c r="DO465" i="147"/>
  <c r="DO466" i="147"/>
  <c r="DO467" i="147"/>
  <c r="DO468" i="147"/>
  <c r="DO469" i="147"/>
  <c r="DO470" i="147"/>
  <c r="DO471" i="147"/>
  <c r="DO472" i="147"/>
  <c r="DO473" i="147"/>
  <c r="DO474" i="147"/>
  <c r="DO475" i="147"/>
  <c r="DO476" i="147"/>
  <c r="DO477" i="147"/>
  <c r="DO478" i="147"/>
  <c r="DO479" i="147"/>
  <c r="DO480" i="147"/>
  <c r="DO481" i="147"/>
  <c r="DO482" i="147"/>
  <c r="DO483" i="147"/>
  <c r="DO484" i="147"/>
  <c r="DO485" i="147"/>
  <c r="DO486" i="147"/>
  <c r="DO487" i="147"/>
  <c r="DO488" i="147"/>
  <c r="DO489" i="147"/>
  <c r="DO490" i="147"/>
  <c r="DO491" i="147"/>
  <c r="DO492" i="147"/>
  <c r="DO493" i="147"/>
  <c r="DO494" i="147"/>
  <c r="DO495" i="147"/>
  <c r="DO496" i="147"/>
  <c r="DO497" i="147"/>
  <c r="DO498" i="147"/>
  <c r="DO499" i="147"/>
  <c r="DO500" i="147"/>
  <c r="DO501" i="147"/>
  <c r="DO502" i="147"/>
  <c r="DO503" i="147"/>
  <c r="DO504" i="147"/>
  <c r="DO505" i="147"/>
  <c r="DO506" i="147"/>
  <c r="DO507" i="147"/>
  <c r="DO508" i="147"/>
  <c r="DO509" i="147"/>
  <c r="DO510" i="147"/>
  <c r="DO511" i="147"/>
  <c r="DO512" i="147"/>
  <c r="DO513" i="147"/>
  <c r="DO514" i="147"/>
  <c r="DO515" i="147"/>
  <c r="DO516" i="147"/>
  <c r="DO517" i="147"/>
  <c r="DO518" i="147"/>
  <c r="DO519" i="147"/>
  <c r="DO520" i="147"/>
  <c r="DO521" i="147"/>
  <c r="DO522" i="147"/>
  <c r="DO523" i="147"/>
  <c r="DO524" i="147"/>
  <c r="DO525" i="147"/>
  <c r="DO526" i="147"/>
  <c r="DO527" i="147"/>
  <c r="DO528" i="147"/>
  <c r="DO529" i="147"/>
  <c r="DO530" i="147"/>
  <c r="DO531" i="147"/>
  <c r="DO532" i="147"/>
  <c r="DO533" i="147"/>
  <c r="DO534" i="147"/>
  <c r="DO535" i="147"/>
  <c r="DO536" i="147"/>
  <c r="DO537" i="147"/>
  <c r="DO538" i="147"/>
  <c r="DO539" i="147"/>
  <c r="DO540" i="147"/>
  <c r="DO541" i="147"/>
  <c r="DO542" i="147"/>
  <c r="DO543" i="147"/>
  <c r="DO544" i="147"/>
  <c r="DO545" i="147"/>
  <c r="DO546" i="147"/>
  <c r="DO547" i="147"/>
  <c r="DO548" i="147"/>
  <c r="DO549" i="147"/>
  <c r="DO550" i="147"/>
  <c r="DO551" i="147"/>
  <c r="DO552" i="147"/>
  <c r="DO553" i="147"/>
  <c r="DO554" i="147"/>
  <c r="DO555" i="147"/>
  <c r="DO556" i="147"/>
  <c r="DO557" i="147"/>
  <c r="DO558" i="147"/>
  <c r="DO559" i="147"/>
  <c r="DO560" i="147"/>
  <c r="DO561" i="147"/>
  <c r="DO562" i="147"/>
  <c r="DO563" i="147"/>
  <c r="DO564" i="147"/>
  <c r="DO565" i="147"/>
  <c r="DO566" i="147"/>
  <c r="DO568" i="147"/>
  <c r="DO569" i="147"/>
  <c r="DO570" i="147"/>
  <c r="DO571" i="147"/>
  <c r="DO572" i="147"/>
  <c r="DO573" i="147"/>
  <c r="DO574" i="147"/>
  <c r="DO575" i="147"/>
  <c r="DO576" i="147"/>
  <c r="DO577" i="147"/>
  <c r="DO578" i="147"/>
  <c r="DO579" i="147"/>
  <c r="DO580" i="147"/>
  <c r="DO581" i="147"/>
  <c r="DO582" i="147"/>
  <c r="DO583" i="147"/>
  <c r="DO584" i="147"/>
  <c r="DO585" i="147"/>
  <c r="DO586" i="147"/>
  <c r="DO587" i="147"/>
  <c r="DO588" i="147"/>
  <c r="DO589" i="147"/>
  <c r="DO590" i="147"/>
  <c r="DO591" i="147"/>
  <c r="DO592" i="147"/>
  <c r="DO593" i="147"/>
  <c r="DO594" i="147"/>
  <c r="DO595" i="147"/>
  <c r="DO596" i="147"/>
  <c r="DO597" i="147"/>
  <c r="DO598" i="147"/>
  <c r="DO600" i="147"/>
  <c r="DO601" i="147"/>
  <c r="DO602" i="147"/>
  <c r="DO603" i="147"/>
  <c r="DO604" i="147"/>
  <c r="DO605" i="147"/>
  <c r="DO606" i="147"/>
  <c r="DO607" i="147"/>
  <c r="DO608" i="147"/>
  <c r="DO609" i="147"/>
  <c r="DO610" i="147"/>
  <c r="DO611" i="147"/>
  <c r="DO612" i="147"/>
  <c r="DO613" i="147"/>
  <c r="DO614" i="147"/>
  <c r="DO615" i="147"/>
  <c r="DO616" i="147"/>
  <c r="DO617" i="147"/>
  <c r="DO618" i="147"/>
  <c r="DO619" i="147"/>
  <c r="DO620" i="147"/>
  <c r="DO621" i="147"/>
  <c r="DO622" i="147"/>
  <c r="DO623" i="147"/>
  <c r="DO625" i="147"/>
  <c r="DO626" i="147"/>
  <c r="DO627" i="147"/>
  <c r="DO628" i="147"/>
  <c r="DO629" i="147"/>
  <c r="DO631" i="147"/>
  <c r="DO632" i="147"/>
  <c r="DO633" i="147"/>
  <c r="DO634" i="147"/>
  <c r="DO635" i="147"/>
  <c r="DO636" i="147"/>
  <c r="DO637" i="147"/>
  <c r="DO638" i="147"/>
  <c r="DO639" i="147"/>
  <c r="DO640" i="147"/>
  <c r="DO641" i="147"/>
  <c r="DO642" i="147"/>
  <c r="DO643" i="147"/>
  <c r="DO624" i="147"/>
  <c r="DQ379" i="147"/>
  <c r="DQ380" i="147"/>
  <c r="DQ381" i="147"/>
  <c r="DQ382" i="147"/>
  <c r="DQ383" i="147"/>
  <c r="DQ384" i="147"/>
  <c r="DQ385" i="147"/>
  <c r="DQ386" i="147"/>
  <c r="DQ387" i="147"/>
  <c r="DQ388" i="147"/>
  <c r="DQ389" i="147"/>
  <c r="DQ390" i="147"/>
  <c r="DQ391" i="147"/>
  <c r="DQ392" i="147"/>
  <c r="DQ393" i="147"/>
  <c r="DQ394" i="147"/>
  <c r="DQ395" i="147"/>
  <c r="DQ396" i="147"/>
  <c r="DQ397" i="147"/>
  <c r="DQ398" i="147"/>
  <c r="DQ399" i="147"/>
  <c r="DQ375" i="147"/>
  <c r="DQ376" i="147"/>
  <c r="DQ377" i="147"/>
  <c r="DQ378" i="147"/>
  <c r="DQ400" i="147"/>
  <c r="DQ401" i="147"/>
  <c r="DQ402" i="147"/>
  <c r="DQ403" i="147"/>
  <c r="DQ404" i="147"/>
  <c r="DQ405" i="147"/>
  <c r="DQ406" i="147"/>
  <c r="DQ407" i="147"/>
  <c r="DQ408" i="147"/>
  <c r="DQ409" i="147"/>
  <c r="DQ410" i="147"/>
  <c r="DQ411" i="147"/>
  <c r="DQ412" i="147"/>
  <c r="DQ413" i="147"/>
  <c r="DQ414" i="147"/>
  <c r="DQ415" i="147"/>
  <c r="DQ416" i="147"/>
  <c r="DQ417" i="147"/>
  <c r="DQ418" i="147"/>
  <c r="DQ419" i="147"/>
  <c r="DQ420" i="147"/>
  <c r="DQ421" i="147"/>
  <c r="DQ422" i="147"/>
  <c r="DQ423" i="147"/>
  <c r="DQ424" i="147"/>
  <c r="DQ425" i="147"/>
  <c r="DQ426" i="147"/>
  <c r="DQ427" i="147"/>
  <c r="DQ428" i="147"/>
  <c r="DQ429" i="147"/>
  <c r="DQ430" i="147"/>
  <c r="DQ431" i="147"/>
  <c r="DQ432" i="147"/>
  <c r="DQ433" i="147"/>
  <c r="DQ434" i="147"/>
  <c r="DQ435" i="147"/>
  <c r="DQ436" i="147"/>
  <c r="DQ437" i="147"/>
  <c r="DQ438" i="147"/>
  <c r="DQ439" i="147"/>
  <c r="DQ440" i="147"/>
  <c r="DQ441" i="147"/>
  <c r="DQ442" i="147"/>
  <c r="DQ443" i="147"/>
  <c r="DQ444" i="147"/>
  <c r="DQ445" i="147"/>
  <c r="DQ446" i="147"/>
  <c r="DQ447" i="147"/>
  <c r="DQ448" i="147"/>
  <c r="DQ449" i="147"/>
  <c r="DQ450" i="147"/>
  <c r="DQ451" i="147"/>
  <c r="DQ452" i="147"/>
  <c r="DQ453" i="147"/>
  <c r="DQ454" i="147"/>
  <c r="DQ455" i="147"/>
  <c r="DQ456" i="147"/>
  <c r="DQ457" i="147"/>
  <c r="DQ458" i="147"/>
  <c r="DQ459" i="147"/>
  <c r="DQ460" i="147"/>
  <c r="DQ461" i="147"/>
  <c r="DQ462" i="147"/>
  <c r="DQ463" i="147"/>
  <c r="DQ464" i="147"/>
  <c r="DQ465" i="147"/>
  <c r="DQ466" i="147"/>
  <c r="DQ467" i="147"/>
  <c r="DQ468" i="147"/>
  <c r="DQ469" i="147"/>
  <c r="DQ470" i="147"/>
  <c r="DQ471" i="147"/>
  <c r="DQ472" i="147"/>
  <c r="DQ473" i="147"/>
  <c r="DQ474" i="147"/>
  <c r="DQ475" i="147"/>
  <c r="DQ476" i="147"/>
  <c r="DQ477" i="147"/>
  <c r="DQ478" i="147"/>
  <c r="DQ479" i="147"/>
  <c r="DQ480" i="147"/>
  <c r="DQ481" i="147"/>
  <c r="DQ482" i="147"/>
  <c r="DQ483" i="147"/>
  <c r="DQ484" i="147"/>
  <c r="DQ485" i="147"/>
  <c r="DQ486" i="147"/>
  <c r="DQ487" i="147"/>
  <c r="DQ488" i="147"/>
  <c r="DQ489" i="147"/>
  <c r="DQ490" i="147"/>
  <c r="DQ491" i="147"/>
  <c r="DQ492" i="147"/>
  <c r="DQ493" i="147"/>
  <c r="DQ494" i="147"/>
  <c r="DQ495" i="147"/>
  <c r="DQ496" i="147"/>
  <c r="DQ497" i="147"/>
  <c r="DQ498" i="147"/>
  <c r="DQ499" i="147"/>
  <c r="DQ500" i="147"/>
  <c r="DQ501" i="147"/>
  <c r="DQ502" i="147"/>
  <c r="DQ503" i="147"/>
  <c r="DQ504" i="147"/>
  <c r="DQ505" i="147"/>
  <c r="DQ506" i="147"/>
  <c r="DQ507" i="147"/>
  <c r="DQ508" i="147"/>
  <c r="DQ509" i="147"/>
  <c r="DQ510" i="147"/>
  <c r="DQ511" i="147"/>
  <c r="DQ512" i="147"/>
  <c r="DQ513" i="147"/>
  <c r="DQ514" i="147"/>
  <c r="DQ515" i="147"/>
  <c r="DQ516" i="147"/>
  <c r="DQ517" i="147"/>
  <c r="DQ518" i="147"/>
  <c r="DQ519" i="147"/>
  <c r="DQ520" i="147"/>
  <c r="DQ521" i="147"/>
  <c r="DQ522" i="147"/>
  <c r="DQ523" i="147"/>
  <c r="DQ524" i="147"/>
  <c r="DQ525" i="147"/>
  <c r="DQ526" i="147"/>
  <c r="DQ527" i="147"/>
  <c r="DQ528" i="147"/>
  <c r="DQ529" i="147"/>
  <c r="DQ530" i="147"/>
  <c r="DQ531" i="147"/>
  <c r="DQ532" i="147"/>
  <c r="DQ533" i="147"/>
  <c r="DQ534" i="147"/>
  <c r="DQ535" i="147"/>
  <c r="DQ536" i="147"/>
  <c r="DQ537" i="147"/>
  <c r="DQ538" i="147"/>
  <c r="DQ539" i="147"/>
  <c r="DQ540" i="147"/>
  <c r="DQ541" i="147"/>
  <c r="DQ542" i="147"/>
  <c r="DQ543" i="147"/>
  <c r="DQ544" i="147"/>
  <c r="DQ545" i="147"/>
  <c r="DQ546" i="147"/>
  <c r="DQ547" i="147"/>
  <c r="DQ548" i="147"/>
  <c r="DQ549" i="147"/>
  <c r="DQ550" i="147"/>
  <c r="DQ551" i="147"/>
  <c r="DQ552" i="147"/>
  <c r="DQ553" i="147"/>
  <c r="DQ554" i="147"/>
  <c r="DQ555" i="147"/>
  <c r="DQ556" i="147"/>
  <c r="DQ557" i="147"/>
  <c r="DQ558" i="147"/>
  <c r="DQ559" i="147"/>
  <c r="DQ560" i="147"/>
  <c r="DQ561" i="147"/>
  <c r="DQ562" i="147"/>
  <c r="DQ563" i="147"/>
  <c r="DQ564" i="147"/>
  <c r="DQ565" i="147"/>
  <c r="DQ566" i="147"/>
  <c r="DQ568" i="147"/>
  <c r="DQ569" i="147"/>
  <c r="DQ570" i="147"/>
  <c r="DQ571" i="147"/>
  <c r="DQ572" i="147"/>
  <c r="DQ573" i="147"/>
  <c r="DQ574" i="147"/>
  <c r="DQ575" i="147"/>
  <c r="DQ576" i="147"/>
  <c r="DQ577" i="147"/>
  <c r="DQ578" i="147"/>
  <c r="DQ579" i="147"/>
  <c r="DQ580" i="147"/>
  <c r="DQ581" i="147"/>
  <c r="DQ582" i="147"/>
  <c r="DQ583" i="147"/>
  <c r="DQ584" i="147"/>
  <c r="DQ585" i="147"/>
  <c r="DQ586" i="147"/>
  <c r="DQ587" i="147"/>
  <c r="DQ588" i="147"/>
  <c r="DQ589" i="147"/>
  <c r="DQ590" i="147"/>
  <c r="DQ591" i="147"/>
  <c r="DQ592" i="147"/>
  <c r="DQ593" i="147"/>
  <c r="DQ594" i="147"/>
  <c r="DQ595" i="147"/>
  <c r="DQ596" i="147"/>
  <c r="DQ597" i="147"/>
  <c r="DQ598" i="147"/>
  <c r="DQ600" i="147"/>
  <c r="DQ601" i="147"/>
  <c r="DQ602" i="147"/>
  <c r="DQ603" i="147"/>
  <c r="DQ604" i="147"/>
  <c r="DQ605" i="147"/>
  <c r="DQ606" i="147"/>
  <c r="DQ607" i="147"/>
  <c r="DQ608" i="147"/>
  <c r="DQ609" i="147"/>
  <c r="DQ610" i="147"/>
  <c r="DQ611" i="147"/>
  <c r="DQ612" i="147"/>
  <c r="DQ613" i="147"/>
  <c r="DQ614" i="147"/>
  <c r="DQ615" i="147"/>
  <c r="DQ616" i="147"/>
  <c r="DQ617" i="147"/>
  <c r="DQ618" i="147"/>
  <c r="DQ619" i="147"/>
  <c r="DQ620" i="147"/>
  <c r="DQ621" i="147"/>
  <c r="DQ622" i="147"/>
  <c r="DQ623" i="147"/>
  <c r="DQ624" i="147"/>
  <c r="DQ625" i="147"/>
  <c r="DQ626" i="147"/>
  <c r="DQ627" i="147"/>
  <c r="DQ628" i="147"/>
  <c r="DQ629" i="147"/>
  <c r="DQ631" i="147"/>
  <c r="DQ632" i="147"/>
  <c r="DQ633" i="147"/>
  <c r="DQ634" i="147"/>
  <c r="DQ635" i="147"/>
  <c r="DQ636" i="147"/>
  <c r="DQ637" i="147"/>
  <c r="DQ638" i="147"/>
  <c r="DQ639" i="147"/>
  <c r="DQ640" i="147"/>
  <c r="DQ641" i="147"/>
  <c r="DQ642" i="147"/>
  <c r="DQ643" i="147"/>
  <c r="DS375" i="147"/>
  <c r="DS376" i="147"/>
  <c r="DS377" i="147"/>
  <c r="DS378" i="147"/>
  <c r="DS379" i="147"/>
  <c r="DS380" i="147"/>
  <c r="DS381" i="147"/>
  <c r="DS382" i="147"/>
  <c r="DS383" i="147"/>
  <c r="DS384" i="147"/>
  <c r="DS385" i="147"/>
  <c r="DS386" i="147"/>
  <c r="DS387" i="147"/>
  <c r="DS388" i="147"/>
  <c r="DS389" i="147"/>
  <c r="DS390" i="147"/>
  <c r="DS391" i="147"/>
  <c r="DS392" i="147"/>
  <c r="DS393" i="147"/>
  <c r="DS394" i="147"/>
  <c r="DS395" i="147"/>
  <c r="DS396" i="147"/>
  <c r="DS397" i="147"/>
  <c r="DS398" i="147"/>
  <c r="DS399" i="147"/>
  <c r="DS400" i="147"/>
  <c r="DS401" i="147"/>
  <c r="DS402" i="147"/>
  <c r="DS403" i="147"/>
  <c r="DS404" i="147"/>
  <c r="DS405" i="147"/>
  <c r="DS406" i="147"/>
  <c r="DS407" i="147"/>
  <c r="DS408" i="147"/>
  <c r="DS409" i="147"/>
  <c r="DS410" i="147"/>
  <c r="DS411" i="147"/>
  <c r="DS412" i="147"/>
  <c r="DS413" i="147"/>
  <c r="DS414" i="147"/>
  <c r="DS415" i="147"/>
  <c r="DS416" i="147"/>
  <c r="DS417" i="147"/>
  <c r="DS418" i="147"/>
  <c r="DS419" i="147"/>
  <c r="DS420" i="147"/>
  <c r="DS421" i="147"/>
  <c r="DS422" i="147"/>
  <c r="DS423" i="147"/>
  <c r="DS424" i="147"/>
  <c r="DS425" i="147"/>
  <c r="DS426" i="147"/>
  <c r="DS427" i="147"/>
  <c r="DS428" i="147"/>
  <c r="DS429" i="147"/>
  <c r="DS430" i="147"/>
  <c r="DS431" i="147"/>
  <c r="DS432" i="147"/>
  <c r="DS433" i="147"/>
  <c r="DS434" i="147"/>
  <c r="DS435" i="147"/>
  <c r="DS436" i="147"/>
  <c r="DS437" i="147"/>
  <c r="DS438" i="147"/>
  <c r="DS446" i="147"/>
  <c r="DS447" i="147"/>
  <c r="DS448" i="147"/>
  <c r="DS449" i="147"/>
  <c r="DS450" i="147"/>
  <c r="DS451" i="147"/>
  <c r="DS452" i="147"/>
  <c r="DS453" i="147"/>
  <c r="DS454" i="147"/>
  <c r="DS455" i="147"/>
  <c r="DS456" i="147"/>
  <c r="DS457" i="147"/>
  <c r="DS439" i="147"/>
  <c r="DS440" i="147"/>
  <c r="DS441" i="147"/>
  <c r="DS442" i="147"/>
  <c r="DS443" i="147"/>
  <c r="DS444" i="147"/>
  <c r="DS445" i="147"/>
  <c r="DS458" i="147"/>
  <c r="DS459" i="147"/>
  <c r="DS460" i="147"/>
  <c r="DS461" i="147"/>
  <c r="DS462" i="147"/>
  <c r="DS463" i="147"/>
  <c r="DS464" i="147"/>
  <c r="DS465" i="147"/>
  <c r="DS466" i="147"/>
  <c r="DS467" i="147"/>
  <c r="DS468" i="147"/>
  <c r="DS469" i="147"/>
  <c r="DS470" i="147"/>
  <c r="DS471" i="147"/>
  <c r="DS472" i="147"/>
  <c r="DS473" i="147"/>
  <c r="DS474" i="147"/>
  <c r="DS475" i="147"/>
  <c r="DS476" i="147"/>
  <c r="DS477" i="147"/>
  <c r="DS478" i="147"/>
  <c r="DS479" i="147"/>
  <c r="DS480" i="147"/>
  <c r="DS481" i="147"/>
  <c r="DS482" i="147"/>
  <c r="DS483" i="147"/>
  <c r="DS484" i="147"/>
  <c r="DS485" i="147"/>
  <c r="DS486" i="147"/>
  <c r="DS487" i="147"/>
  <c r="DS488" i="147"/>
  <c r="DS489" i="147"/>
  <c r="DS490" i="147"/>
  <c r="DS491" i="147"/>
  <c r="DS492" i="147"/>
  <c r="DS493" i="147"/>
  <c r="DS494" i="147"/>
  <c r="DS495" i="147"/>
  <c r="DS496" i="147"/>
  <c r="DS497" i="147"/>
  <c r="DS498" i="147"/>
  <c r="DS499" i="147"/>
  <c r="DS500" i="147"/>
  <c r="DS501" i="147"/>
  <c r="DS502" i="147"/>
  <c r="DS503" i="147"/>
  <c r="DS504" i="147"/>
  <c r="DS505" i="147"/>
  <c r="DS506" i="147"/>
  <c r="DS507" i="147"/>
  <c r="DS508" i="147"/>
  <c r="DS509" i="147"/>
  <c r="DS510" i="147"/>
  <c r="DS511" i="147"/>
  <c r="DS512" i="147"/>
  <c r="DS513" i="147"/>
  <c r="DS514" i="147"/>
  <c r="DS515" i="147"/>
  <c r="DS516" i="147"/>
  <c r="DS517" i="147"/>
  <c r="DS518" i="147"/>
  <c r="DS519" i="147"/>
  <c r="DS520" i="147"/>
  <c r="DS521" i="147"/>
  <c r="DS522" i="147"/>
  <c r="DS523" i="147"/>
  <c r="DS524" i="147"/>
  <c r="DS525" i="147"/>
  <c r="DS526" i="147"/>
  <c r="DS527" i="147"/>
  <c r="DS528" i="147"/>
  <c r="DS529" i="147"/>
  <c r="DS530" i="147"/>
  <c r="DS531" i="147"/>
  <c r="DS532" i="147"/>
  <c r="DS533" i="147"/>
  <c r="DS534" i="147"/>
  <c r="DS535" i="147"/>
  <c r="DS536" i="147"/>
  <c r="DS537" i="147"/>
  <c r="DS538" i="147"/>
  <c r="DS539" i="147"/>
  <c r="DS540" i="147"/>
  <c r="DS541" i="147"/>
  <c r="DS542" i="147"/>
  <c r="DS543" i="147"/>
  <c r="DS544" i="147"/>
  <c r="DS545" i="147"/>
  <c r="DS546" i="147"/>
  <c r="DS547" i="147"/>
  <c r="DS548" i="147"/>
  <c r="DS549" i="147"/>
  <c r="DS550" i="147"/>
  <c r="DS551" i="147"/>
  <c r="DS552" i="147"/>
  <c r="DS553" i="147"/>
  <c r="DS554" i="147"/>
  <c r="DS555" i="147"/>
  <c r="DS556" i="147"/>
  <c r="DS557" i="147"/>
  <c r="DS558" i="147"/>
  <c r="DS559" i="147"/>
  <c r="DS560" i="147"/>
  <c r="DS561" i="147"/>
  <c r="DS562" i="147"/>
  <c r="DS563" i="147"/>
  <c r="DS564" i="147"/>
  <c r="DS565" i="147"/>
  <c r="DS566" i="147"/>
  <c r="DS568" i="147"/>
  <c r="DS569" i="147"/>
  <c r="DS570" i="147"/>
  <c r="DS571" i="147"/>
  <c r="DS572" i="147"/>
  <c r="DS573" i="147"/>
  <c r="DS574" i="147"/>
  <c r="DS575" i="147"/>
  <c r="DS576" i="147"/>
  <c r="DS577" i="147"/>
  <c r="DS578" i="147"/>
  <c r="DS579" i="147"/>
  <c r="DS580" i="147"/>
  <c r="DS581" i="147"/>
  <c r="DS582" i="147"/>
  <c r="DS583" i="147"/>
  <c r="DS584" i="147"/>
  <c r="DS585" i="147"/>
  <c r="DS586" i="147"/>
  <c r="DS587" i="147"/>
  <c r="DS588" i="147"/>
  <c r="DS589" i="147"/>
  <c r="DS590" i="147"/>
  <c r="DS591" i="147"/>
  <c r="DS592" i="147"/>
  <c r="DS593" i="147"/>
  <c r="DS594" i="147"/>
  <c r="DS595" i="147"/>
  <c r="DS596" i="147"/>
  <c r="DS597" i="147"/>
  <c r="DS598" i="147"/>
  <c r="DS600" i="147"/>
  <c r="DS601" i="147"/>
  <c r="DS602" i="147"/>
  <c r="DS603" i="147"/>
  <c r="DS604" i="147"/>
  <c r="DS605" i="147"/>
  <c r="DS606" i="147"/>
  <c r="DS607" i="147"/>
  <c r="DS608" i="147"/>
  <c r="DS609" i="147"/>
  <c r="DS610" i="147"/>
  <c r="DS611" i="147"/>
  <c r="DS612" i="147"/>
  <c r="DS613" i="147"/>
  <c r="DS614" i="147"/>
  <c r="DS615" i="147"/>
  <c r="DS616" i="147"/>
  <c r="DS617" i="147"/>
  <c r="DS618" i="147"/>
  <c r="DS619" i="147"/>
  <c r="DS620" i="147"/>
  <c r="DS621" i="147"/>
  <c r="DS622" i="147"/>
  <c r="DS623" i="147"/>
  <c r="DS624" i="147"/>
  <c r="DS625" i="147"/>
  <c r="DS626" i="147"/>
  <c r="DS627" i="147"/>
  <c r="DS628" i="147"/>
  <c r="DS629" i="147"/>
  <c r="DS631" i="147"/>
  <c r="DS632" i="147"/>
  <c r="DS633" i="147"/>
  <c r="DS634" i="147"/>
  <c r="DS635" i="147"/>
  <c r="DS636" i="147"/>
  <c r="DS637" i="147"/>
  <c r="DS638" i="147"/>
  <c r="DS639" i="147"/>
  <c r="DS640" i="147"/>
  <c r="DS641" i="147"/>
  <c r="DS642" i="147"/>
  <c r="DS643" i="147"/>
  <c r="DU379" i="147"/>
  <c r="DU380" i="147"/>
  <c r="DU381" i="147"/>
  <c r="DU382" i="147"/>
  <c r="DU383" i="147"/>
  <c r="DU384" i="147"/>
  <c r="DU385" i="147"/>
  <c r="DU375" i="147"/>
  <c r="DU376" i="147"/>
  <c r="DU377" i="147"/>
  <c r="DU378" i="147"/>
  <c r="DU386" i="147"/>
  <c r="DU387" i="147"/>
  <c r="DU388" i="147"/>
  <c r="DU389" i="147"/>
  <c r="DU390" i="147"/>
  <c r="DU391" i="147"/>
  <c r="DU392" i="147"/>
  <c r="DU393" i="147"/>
  <c r="DU394" i="147"/>
  <c r="DU395" i="147"/>
  <c r="DU396" i="147"/>
  <c r="DU397" i="147"/>
  <c r="DU398" i="147"/>
  <c r="DU399" i="147"/>
  <c r="DU400" i="147"/>
  <c r="DU402" i="147"/>
  <c r="DU403" i="147"/>
  <c r="DU404" i="147"/>
  <c r="DU405" i="147"/>
  <c r="DU406" i="147"/>
  <c r="DU407" i="147"/>
  <c r="DU409" i="147"/>
  <c r="DU410" i="147"/>
  <c r="DU411" i="147"/>
  <c r="DU412" i="147"/>
  <c r="DU414" i="147"/>
  <c r="DU415" i="147"/>
  <c r="DU416" i="147"/>
  <c r="DU428" i="147"/>
  <c r="DU429" i="147"/>
  <c r="DU430" i="147"/>
  <c r="DU431" i="147"/>
  <c r="DU432" i="147"/>
  <c r="DU417" i="147"/>
  <c r="DU418" i="147"/>
  <c r="DU419" i="147"/>
  <c r="DU420" i="147"/>
  <c r="DU421" i="147"/>
  <c r="DU422" i="147"/>
  <c r="DU423" i="147"/>
  <c r="DU424" i="147"/>
  <c r="DU425" i="147"/>
  <c r="DU426" i="147"/>
  <c r="DU427" i="147"/>
  <c r="DU439" i="147"/>
  <c r="DU440" i="147"/>
  <c r="DU441" i="147"/>
  <c r="DU442" i="147"/>
  <c r="DU443" i="147"/>
  <c r="DU444" i="147"/>
  <c r="DU445" i="147"/>
  <c r="DU446" i="147"/>
  <c r="DU447" i="147"/>
  <c r="DU448" i="147"/>
  <c r="DU449" i="147"/>
  <c r="DU450" i="147"/>
  <c r="DU451" i="147"/>
  <c r="DU452" i="147"/>
  <c r="DU453" i="147"/>
  <c r="DU454" i="147"/>
  <c r="DU455" i="147"/>
  <c r="DU456" i="147"/>
  <c r="DU457" i="147"/>
  <c r="DU433" i="147"/>
  <c r="DU434" i="147"/>
  <c r="DU435" i="147"/>
  <c r="DU436" i="147"/>
  <c r="DU437" i="147"/>
  <c r="DU438" i="147"/>
  <c r="DU458" i="147"/>
  <c r="DU459" i="147"/>
  <c r="DU460" i="147"/>
  <c r="DU461" i="147"/>
  <c r="DU462" i="147"/>
  <c r="DU463" i="147"/>
  <c r="DU464" i="147"/>
  <c r="DU465" i="147"/>
  <c r="DU466" i="147"/>
  <c r="DU467" i="147"/>
  <c r="DU468" i="147"/>
  <c r="DU469" i="147"/>
  <c r="DU470" i="147"/>
  <c r="DU471" i="147"/>
  <c r="DU472" i="147"/>
  <c r="DU473" i="147"/>
  <c r="DU474" i="147"/>
  <c r="DU475" i="147"/>
  <c r="DU476" i="147"/>
  <c r="DU477" i="147"/>
  <c r="DU478" i="147"/>
  <c r="DU479" i="147"/>
  <c r="DU480" i="147"/>
  <c r="DU481" i="147"/>
  <c r="DU482" i="147"/>
  <c r="DU483" i="147"/>
  <c r="DU484" i="147"/>
  <c r="DU485" i="147"/>
  <c r="DU486" i="147"/>
  <c r="DU487" i="147"/>
  <c r="DU488" i="147"/>
  <c r="DU489" i="147"/>
  <c r="DU490" i="147"/>
  <c r="DU491" i="147"/>
  <c r="DU492" i="147"/>
  <c r="DU493" i="147"/>
  <c r="DU494" i="147"/>
  <c r="DU495" i="147"/>
  <c r="DU496" i="147"/>
  <c r="DU497" i="147"/>
  <c r="DU498" i="147"/>
  <c r="DU499" i="147"/>
  <c r="DU500" i="147"/>
  <c r="DU501" i="147"/>
  <c r="DU502" i="147"/>
  <c r="DU503" i="147"/>
  <c r="DU504" i="147"/>
  <c r="DU505" i="147"/>
  <c r="DU506" i="147"/>
  <c r="DU507" i="147"/>
  <c r="DU508" i="147"/>
  <c r="DU509" i="147"/>
  <c r="DU510" i="147"/>
  <c r="DU511" i="147"/>
  <c r="DU512" i="147"/>
  <c r="DU513" i="147"/>
  <c r="DU514" i="147"/>
  <c r="DU515" i="147"/>
  <c r="DU516" i="147"/>
  <c r="DU517" i="147"/>
  <c r="DU518" i="147"/>
  <c r="DU519" i="147"/>
  <c r="DU520" i="147"/>
  <c r="DU521" i="147"/>
  <c r="DU522" i="147"/>
  <c r="DU523" i="147"/>
  <c r="DU524" i="147"/>
  <c r="DU525" i="147"/>
  <c r="DU526" i="147"/>
  <c r="DU527" i="147"/>
  <c r="DU528" i="147"/>
  <c r="DU529" i="147"/>
  <c r="DU530" i="147"/>
  <c r="DU531" i="147"/>
  <c r="DU532" i="147"/>
  <c r="DU533" i="147"/>
  <c r="DU534" i="147"/>
  <c r="DU535" i="147"/>
  <c r="DU536" i="147"/>
  <c r="DU537" i="147"/>
  <c r="DU538" i="147"/>
  <c r="DU539" i="147"/>
  <c r="DU540" i="147"/>
  <c r="DU541" i="147"/>
  <c r="DU542" i="147"/>
  <c r="DU543" i="147"/>
  <c r="DU544" i="147"/>
  <c r="DU545" i="147"/>
  <c r="DU546" i="147"/>
  <c r="DU547" i="147"/>
  <c r="DU548" i="147"/>
  <c r="DU549" i="147"/>
  <c r="DU550" i="147"/>
  <c r="DU551" i="147"/>
  <c r="DU552" i="147"/>
  <c r="DU553" i="147"/>
  <c r="DU554" i="147"/>
  <c r="DU555" i="147"/>
  <c r="DU556" i="147"/>
  <c r="DU557" i="147"/>
  <c r="DU558" i="147"/>
  <c r="DU559" i="147"/>
  <c r="DU560" i="147"/>
  <c r="DU561" i="147"/>
  <c r="DU562" i="147"/>
  <c r="DU563" i="147"/>
  <c r="DU564" i="147"/>
  <c r="DU565" i="147"/>
  <c r="DU566" i="147"/>
  <c r="DU568" i="147"/>
  <c r="DU569" i="147"/>
  <c r="DU570" i="147"/>
  <c r="DU571" i="147"/>
  <c r="DU572" i="147"/>
  <c r="DU573" i="147"/>
  <c r="DU574" i="147"/>
  <c r="DU575" i="147"/>
  <c r="DU576" i="147"/>
  <c r="DU577" i="147"/>
  <c r="DU578" i="147"/>
  <c r="DU579" i="147"/>
  <c r="DU580" i="147"/>
  <c r="DU581" i="147"/>
  <c r="DU582" i="147"/>
  <c r="DU585" i="147"/>
  <c r="DU586" i="147"/>
  <c r="DU587" i="147"/>
  <c r="DU588" i="147"/>
  <c r="DU589" i="147"/>
  <c r="DU590" i="147"/>
  <c r="DU591" i="147"/>
  <c r="DU592" i="147"/>
  <c r="DU593" i="147"/>
  <c r="DU594" i="147"/>
  <c r="DU595" i="147"/>
  <c r="DU596" i="147"/>
  <c r="DU597" i="147"/>
  <c r="DU598" i="147"/>
  <c r="DU600" i="147"/>
  <c r="DU601" i="147"/>
  <c r="DU602" i="147"/>
  <c r="DU603" i="147"/>
  <c r="DU604" i="147"/>
  <c r="DU605" i="147"/>
  <c r="DU606" i="147"/>
  <c r="DU607" i="147"/>
  <c r="DU608" i="147"/>
  <c r="DU609" i="147"/>
  <c r="DU610" i="147"/>
  <c r="DU611" i="147"/>
  <c r="DU612" i="147"/>
  <c r="DU613" i="147"/>
  <c r="DU614" i="147"/>
  <c r="DU615" i="147"/>
  <c r="DU616" i="147"/>
  <c r="DU617" i="147"/>
  <c r="DU618" i="147"/>
  <c r="DU619" i="147"/>
  <c r="DU620" i="147"/>
  <c r="DU621" i="147"/>
  <c r="DU622" i="147"/>
  <c r="DU623" i="147"/>
  <c r="DU624" i="147"/>
  <c r="DU625" i="147"/>
  <c r="DU626" i="147"/>
  <c r="DU627" i="147"/>
  <c r="DU628" i="147"/>
  <c r="DU629" i="147"/>
  <c r="DU631" i="147"/>
  <c r="DU632" i="147"/>
  <c r="DU633" i="147"/>
  <c r="DU634" i="147"/>
  <c r="DU635" i="147"/>
  <c r="DU636" i="147"/>
  <c r="DU637" i="147"/>
  <c r="DU638" i="147"/>
  <c r="DU639" i="147"/>
  <c r="DU640" i="147"/>
  <c r="DU641" i="147"/>
  <c r="DU642" i="147"/>
  <c r="DU643" i="147"/>
  <c r="DU413" i="147"/>
  <c r="DW375" i="147"/>
  <c r="DW376" i="147"/>
  <c r="DW377" i="147"/>
  <c r="DW378" i="147"/>
  <c r="DW379" i="147"/>
  <c r="DW380" i="147"/>
  <c r="DW381" i="147"/>
  <c r="DW382" i="147"/>
  <c r="DW383" i="147"/>
  <c r="DW384" i="147"/>
  <c r="DW385" i="147"/>
  <c r="DW386" i="147"/>
  <c r="DW387" i="147"/>
  <c r="DW388" i="147"/>
  <c r="DW389" i="147"/>
  <c r="DW390" i="147"/>
  <c r="DW391" i="147"/>
  <c r="DW392" i="147"/>
  <c r="DW393" i="147"/>
  <c r="DW394" i="147"/>
  <c r="DW395" i="147"/>
  <c r="DW396" i="147"/>
  <c r="DW397" i="147"/>
  <c r="DW398" i="147"/>
  <c r="DW399" i="147"/>
  <c r="DW401" i="147"/>
  <c r="DW403" i="147"/>
  <c r="DW404" i="147"/>
  <c r="DW405" i="147"/>
  <c r="DW406" i="147"/>
  <c r="DW407" i="147"/>
  <c r="DW408" i="147"/>
  <c r="DW409" i="147"/>
  <c r="DW410" i="147"/>
  <c r="DW411" i="147"/>
  <c r="DW412" i="147"/>
  <c r="DW413" i="147"/>
  <c r="DW414" i="147"/>
  <c r="DW415" i="147"/>
  <c r="DW416" i="147"/>
  <c r="DW417" i="147"/>
  <c r="DW418" i="147"/>
  <c r="DW419" i="147"/>
  <c r="DW420" i="147"/>
  <c r="DW421" i="147"/>
  <c r="DW422" i="147"/>
  <c r="DW423" i="147"/>
  <c r="DW424" i="147"/>
  <c r="DW425" i="147"/>
  <c r="DW426" i="147"/>
  <c r="DW427" i="147"/>
  <c r="DW428" i="147"/>
  <c r="DW429" i="147"/>
  <c r="DW430" i="147"/>
  <c r="DW431" i="147"/>
  <c r="DW432" i="147"/>
  <c r="DW433" i="147"/>
  <c r="DW434" i="147"/>
  <c r="DW435" i="147"/>
  <c r="DW436" i="147"/>
  <c r="DW437" i="147"/>
  <c r="DW438" i="147"/>
  <c r="DW445" i="147"/>
  <c r="DW446" i="147"/>
  <c r="DW447" i="147"/>
  <c r="DW448" i="147"/>
  <c r="DW449" i="147"/>
  <c r="DW450" i="147"/>
  <c r="DW451" i="147"/>
  <c r="DW452" i="147"/>
  <c r="DW453" i="147"/>
  <c r="DW454" i="147"/>
  <c r="DW455" i="147"/>
  <c r="DW456" i="147"/>
  <c r="DW457" i="147"/>
  <c r="DW439" i="147"/>
  <c r="DW440" i="147"/>
  <c r="DW441" i="147"/>
  <c r="DW442" i="147"/>
  <c r="DW443" i="147"/>
  <c r="DW444" i="147"/>
  <c r="DW458" i="147"/>
  <c r="DW459" i="147"/>
  <c r="DW460" i="147"/>
  <c r="DW461" i="147"/>
  <c r="DW462" i="147"/>
  <c r="DW463" i="147"/>
  <c r="DW464" i="147"/>
  <c r="DW465" i="147"/>
  <c r="DW466" i="147"/>
  <c r="DW467" i="147"/>
  <c r="DW468" i="147"/>
  <c r="DW469" i="147"/>
  <c r="DW470" i="147"/>
  <c r="DW471" i="147"/>
  <c r="DW472" i="147"/>
  <c r="DW473" i="147"/>
  <c r="DW474" i="147"/>
  <c r="DW475" i="147"/>
  <c r="DW476" i="147"/>
  <c r="DW477" i="147"/>
  <c r="DW478" i="147"/>
  <c r="DW479" i="147"/>
  <c r="DW480" i="147"/>
  <c r="DW481" i="147"/>
  <c r="DW482" i="147"/>
  <c r="DW483" i="147"/>
  <c r="DW484" i="147"/>
  <c r="DW485" i="147"/>
  <c r="DW486" i="147"/>
  <c r="DW487" i="147"/>
  <c r="DW488" i="147"/>
  <c r="DW489" i="147"/>
  <c r="DW490" i="147"/>
  <c r="DW491" i="147"/>
  <c r="DW492" i="147"/>
  <c r="DW493" i="147"/>
  <c r="DW494" i="147"/>
  <c r="DW495" i="147"/>
  <c r="DW496" i="147"/>
  <c r="DW497" i="147"/>
  <c r="DW498" i="147"/>
  <c r="DW499" i="147"/>
  <c r="DW500" i="147"/>
  <c r="DW501" i="147"/>
  <c r="DW502" i="147"/>
  <c r="DW503" i="147"/>
  <c r="DW504" i="147"/>
  <c r="DW505" i="147"/>
  <c r="DW506" i="147"/>
  <c r="DW507" i="147"/>
  <c r="DW508" i="147"/>
  <c r="DW509" i="147"/>
  <c r="DW510" i="147"/>
  <c r="DW511" i="147"/>
  <c r="DW512" i="147"/>
  <c r="DW513" i="147"/>
  <c r="DW514" i="147"/>
  <c r="DW515" i="147"/>
  <c r="DW516" i="147"/>
  <c r="DW517" i="147"/>
  <c r="DW518" i="147"/>
  <c r="DW519" i="147"/>
  <c r="DW520" i="147"/>
  <c r="DW521" i="147"/>
  <c r="DW522" i="147"/>
  <c r="DW523" i="147"/>
  <c r="DW524" i="147"/>
  <c r="DW525" i="147"/>
  <c r="DW526" i="147"/>
  <c r="DW527" i="147"/>
  <c r="DW528" i="147"/>
  <c r="DW529" i="147"/>
  <c r="DW530" i="147"/>
  <c r="DW531" i="147"/>
  <c r="DW532" i="147"/>
  <c r="DW533" i="147"/>
  <c r="DW534" i="147"/>
  <c r="DW535" i="147"/>
  <c r="DW536" i="147"/>
  <c r="DW537" i="147"/>
  <c r="DW538" i="147"/>
  <c r="DW539" i="147"/>
  <c r="DW540" i="147"/>
  <c r="DW541" i="147"/>
  <c r="DW542" i="147"/>
  <c r="DW543" i="147"/>
  <c r="DW544" i="147"/>
  <c r="DW545" i="147"/>
  <c r="DW546" i="147"/>
  <c r="DW547" i="147"/>
  <c r="DW548" i="147"/>
  <c r="DW549" i="147"/>
  <c r="DW550" i="147"/>
  <c r="DW551" i="147"/>
  <c r="DW552" i="147"/>
  <c r="DW553" i="147"/>
  <c r="DW554" i="147"/>
  <c r="DW555" i="147"/>
  <c r="DW556" i="147"/>
  <c r="DW557" i="147"/>
  <c r="DW558" i="147"/>
  <c r="DW559" i="147"/>
  <c r="DW560" i="147"/>
  <c r="DW561" i="147"/>
  <c r="DW562" i="147"/>
  <c r="DW563" i="147"/>
  <c r="DW564" i="147"/>
  <c r="DW565" i="147"/>
  <c r="DW566" i="147"/>
  <c r="DW568" i="147"/>
  <c r="DW569" i="147"/>
  <c r="DW570" i="147"/>
  <c r="DW571" i="147"/>
  <c r="DW572" i="147"/>
  <c r="DW573" i="147"/>
  <c r="DW574" i="147"/>
  <c r="DW575" i="147"/>
  <c r="DW576" i="147"/>
  <c r="DW577" i="147"/>
  <c r="DW578" i="147"/>
  <c r="DW579" i="147"/>
  <c r="DW580" i="147"/>
  <c r="DW581" i="147"/>
  <c r="DW582" i="147"/>
  <c r="DW583" i="147"/>
  <c r="DW584" i="147"/>
  <c r="DW585" i="147"/>
  <c r="DW586" i="147"/>
  <c r="DW587" i="147"/>
  <c r="DW588" i="147"/>
  <c r="DW589" i="147"/>
  <c r="DW590" i="147"/>
  <c r="DW591" i="147"/>
  <c r="DW592" i="147"/>
  <c r="DW593" i="147"/>
  <c r="DW594" i="147"/>
  <c r="DW595" i="147"/>
  <c r="DW596" i="147"/>
  <c r="DW597" i="147"/>
  <c r="DW598" i="147"/>
  <c r="DW600" i="147"/>
  <c r="DW601" i="147"/>
  <c r="DW602" i="147"/>
  <c r="DW603" i="147"/>
  <c r="DW604" i="147"/>
  <c r="DW605" i="147"/>
  <c r="DW606" i="147"/>
  <c r="DW607" i="147"/>
  <c r="DW608" i="147"/>
  <c r="DW609" i="147"/>
  <c r="DW610" i="147"/>
  <c r="DW611" i="147"/>
  <c r="DW612" i="147"/>
  <c r="DW613" i="147"/>
  <c r="DW614" i="147"/>
  <c r="DW615" i="147"/>
  <c r="DW616" i="147"/>
  <c r="DW617" i="147"/>
  <c r="DW618" i="147"/>
  <c r="DW619" i="147"/>
  <c r="DW620" i="147"/>
  <c r="DW621" i="147"/>
  <c r="DW622" i="147"/>
  <c r="DW623" i="147"/>
  <c r="DW624" i="147"/>
  <c r="DW625" i="147"/>
  <c r="DW626" i="147"/>
  <c r="DW627" i="147"/>
  <c r="DW628" i="147"/>
  <c r="DW629" i="147"/>
  <c r="DW631" i="147"/>
  <c r="DW632" i="147"/>
  <c r="DW633" i="147"/>
  <c r="DW634" i="147"/>
  <c r="DW635" i="147"/>
  <c r="DW636" i="147"/>
  <c r="DW637" i="147"/>
  <c r="DW638" i="147"/>
  <c r="DW639" i="147"/>
  <c r="DW640" i="147"/>
  <c r="DW641" i="147"/>
  <c r="DW642" i="147"/>
  <c r="DW643" i="147"/>
  <c r="DZ375" i="147"/>
  <c r="DZ376" i="147"/>
  <c r="DZ377" i="147"/>
  <c r="DZ378" i="147"/>
  <c r="DZ379" i="147"/>
  <c r="DZ380" i="147"/>
  <c r="DZ381" i="147"/>
  <c r="DZ382" i="147"/>
  <c r="DZ383" i="147"/>
  <c r="DZ384" i="147"/>
  <c r="DZ385" i="147"/>
  <c r="DZ386" i="147"/>
  <c r="DZ387" i="147"/>
  <c r="DZ388" i="147"/>
  <c r="DZ389" i="147"/>
  <c r="DZ390" i="147"/>
  <c r="DZ391" i="147"/>
  <c r="DZ392" i="147"/>
  <c r="DZ393" i="147"/>
  <c r="DZ394" i="147"/>
  <c r="DZ395" i="147"/>
  <c r="DZ396" i="147"/>
  <c r="DZ397" i="147"/>
  <c r="DZ398" i="147"/>
  <c r="DZ399" i="147"/>
  <c r="DZ400" i="147"/>
  <c r="DZ401" i="147"/>
  <c r="DZ402" i="147"/>
  <c r="DZ403" i="147"/>
  <c r="DZ404" i="147"/>
  <c r="DZ405" i="147"/>
  <c r="DZ406" i="147"/>
  <c r="DZ407" i="147"/>
  <c r="DZ408" i="147"/>
  <c r="DZ409" i="147"/>
  <c r="DZ410" i="147"/>
  <c r="DZ411" i="147"/>
  <c r="DZ412" i="147"/>
  <c r="DZ413" i="147"/>
  <c r="DZ414" i="147"/>
  <c r="DZ415" i="147"/>
  <c r="DZ416" i="147"/>
  <c r="DZ417" i="147"/>
  <c r="DZ418" i="147"/>
  <c r="DZ419" i="147"/>
  <c r="DZ420" i="147"/>
  <c r="DZ421" i="147"/>
  <c r="DZ422" i="147"/>
  <c r="DZ423" i="147"/>
  <c r="DZ424" i="147"/>
  <c r="DZ425" i="147"/>
  <c r="DZ426" i="147"/>
  <c r="DZ427" i="147"/>
  <c r="DZ428" i="147"/>
  <c r="DZ429" i="147"/>
  <c r="DZ430" i="147"/>
  <c r="DZ431" i="147"/>
  <c r="DZ432" i="147"/>
  <c r="DZ433" i="147"/>
  <c r="DZ434" i="147"/>
  <c r="DZ435" i="147"/>
  <c r="DZ436" i="147"/>
  <c r="DZ437" i="147"/>
  <c r="DZ438" i="147"/>
  <c r="DZ439" i="147"/>
  <c r="DZ440" i="147"/>
  <c r="DZ441" i="147"/>
  <c r="DZ442" i="147"/>
  <c r="DZ443" i="147"/>
  <c r="DZ444" i="147"/>
  <c r="DZ445" i="147"/>
  <c r="DZ446" i="147"/>
  <c r="DZ447" i="147"/>
  <c r="DZ448" i="147"/>
  <c r="DZ449" i="147"/>
  <c r="DZ450" i="147"/>
  <c r="DZ451" i="147"/>
  <c r="DZ452" i="147"/>
  <c r="DZ453" i="147"/>
  <c r="DZ454" i="147"/>
  <c r="DZ455" i="147"/>
  <c r="DZ456" i="147"/>
  <c r="DZ457" i="147"/>
  <c r="DZ458" i="147"/>
  <c r="DZ459" i="147"/>
  <c r="DZ460" i="147"/>
  <c r="DZ461" i="147"/>
  <c r="DZ462" i="147"/>
  <c r="DZ463" i="147"/>
  <c r="DZ464" i="147"/>
  <c r="DZ465" i="147"/>
  <c r="DZ466" i="147"/>
  <c r="DZ467" i="147"/>
  <c r="DZ468" i="147"/>
  <c r="DZ469" i="147"/>
  <c r="DZ470" i="147"/>
  <c r="DZ471" i="147"/>
  <c r="DZ472" i="147"/>
  <c r="DZ473" i="147"/>
  <c r="DZ474" i="147"/>
  <c r="DZ475" i="147"/>
  <c r="DZ476" i="147"/>
  <c r="DZ477" i="147"/>
  <c r="DZ478" i="147"/>
  <c r="DZ479" i="147"/>
  <c r="DZ480" i="147"/>
  <c r="DZ481" i="147"/>
  <c r="DZ482" i="147"/>
  <c r="DZ483" i="147"/>
  <c r="DZ484" i="147"/>
  <c r="DZ485" i="147"/>
  <c r="DZ486" i="147"/>
  <c r="DZ487" i="147"/>
  <c r="DZ488" i="147"/>
  <c r="DZ489" i="147"/>
  <c r="DZ490" i="147"/>
  <c r="DZ491" i="147"/>
  <c r="DZ492" i="147"/>
  <c r="DZ493" i="147"/>
  <c r="DZ497" i="147"/>
  <c r="DZ498" i="147"/>
  <c r="DZ499" i="147"/>
  <c r="DZ500" i="147"/>
  <c r="DZ501" i="147"/>
  <c r="DZ502" i="147"/>
  <c r="DZ503" i="147"/>
  <c r="DZ504" i="147"/>
  <c r="DZ505" i="147"/>
  <c r="DZ506" i="147"/>
  <c r="DZ507" i="147"/>
  <c r="DZ508" i="147"/>
  <c r="DZ509" i="147"/>
  <c r="DZ510" i="147"/>
  <c r="DZ511" i="147"/>
  <c r="DZ512" i="147"/>
  <c r="DZ513" i="147"/>
  <c r="DZ514" i="147"/>
  <c r="DZ515" i="147"/>
  <c r="DZ516" i="147"/>
  <c r="DZ517" i="147"/>
  <c r="DZ518" i="147"/>
  <c r="DZ519" i="147"/>
  <c r="DZ520" i="147"/>
  <c r="DZ521" i="147"/>
  <c r="DZ522" i="147"/>
  <c r="DZ523" i="147"/>
  <c r="DZ524" i="147"/>
  <c r="DZ525" i="147"/>
  <c r="DZ526" i="147"/>
  <c r="DZ527" i="147"/>
  <c r="DZ528" i="147"/>
  <c r="DZ529" i="147"/>
  <c r="DZ530" i="147"/>
  <c r="DZ531" i="147"/>
  <c r="DZ532" i="147"/>
  <c r="DZ533" i="147"/>
  <c r="DZ534" i="147"/>
  <c r="DZ535" i="147"/>
  <c r="DZ536" i="147"/>
  <c r="DZ537" i="147"/>
  <c r="DZ538" i="147"/>
  <c r="DZ539" i="147"/>
  <c r="DZ540" i="147"/>
  <c r="DZ541" i="147"/>
  <c r="DZ542" i="147"/>
  <c r="DZ543" i="147"/>
  <c r="DZ544" i="147"/>
  <c r="DZ545" i="147"/>
  <c r="DZ546" i="147"/>
  <c r="DZ547" i="147"/>
  <c r="DZ548" i="147"/>
  <c r="DZ549" i="147"/>
  <c r="DZ550" i="147"/>
  <c r="DZ551" i="147"/>
  <c r="DZ552" i="147"/>
  <c r="DZ553" i="147"/>
  <c r="DZ554" i="147"/>
  <c r="DZ555" i="147"/>
  <c r="DZ556" i="147"/>
  <c r="DZ557" i="147"/>
  <c r="DZ558" i="147"/>
  <c r="DZ559" i="147"/>
  <c r="DZ560" i="147"/>
  <c r="DZ561" i="147"/>
  <c r="DZ562" i="147"/>
  <c r="DZ563" i="147"/>
  <c r="DZ564" i="147"/>
  <c r="DZ565" i="147"/>
  <c r="DZ566" i="147"/>
  <c r="DZ568" i="147"/>
  <c r="DZ494" i="147"/>
  <c r="DZ495" i="147"/>
  <c r="DZ496" i="147"/>
  <c r="DZ569" i="147"/>
  <c r="DZ570" i="147"/>
  <c r="DZ571" i="147"/>
  <c r="DZ572" i="147"/>
  <c r="DZ573" i="147"/>
  <c r="DZ574" i="147"/>
  <c r="DZ575" i="147"/>
  <c r="DZ576" i="147"/>
  <c r="DZ577" i="147"/>
  <c r="DZ578" i="147"/>
  <c r="DZ579" i="147"/>
  <c r="DZ580" i="147"/>
  <c r="DZ581" i="147"/>
  <c r="DZ582" i="147"/>
  <c r="DZ583" i="147"/>
  <c r="DZ584" i="147"/>
  <c r="DZ585" i="147"/>
  <c r="DZ586" i="147"/>
  <c r="DZ587" i="147"/>
  <c r="DZ588" i="147"/>
  <c r="DZ589" i="147"/>
  <c r="DZ590" i="147"/>
  <c r="DZ591" i="147"/>
  <c r="DZ592" i="147"/>
  <c r="DZ593" i="147"/>
  <c r="DZ594" i="147"/>
  <c r="DZ595" i="147"/>
  <c r="DZ596" i="147"/>
  <c r="DZ597" i="147"/>
  <c r="DZ598" i="147"/>
  <c r="DZ600" i="147"/>
  <c r="DZ601" i="147"/>
  <c r="DZ602" i="147"/>
  <c r="DZ603" i="147"/>
  <c r="DZ604" i="147"/>
  <c r="DZ606" i="147"/>
  <c r="DZ607" i="147"/>
  <c r="DZ608" i="147"/>
  <c r="DZ609" i="147"/>
  <c r="DZ610" i="147"/>
  <c r="DZ611" i="147"/>
  <c r="DZ612" i="147"/>
  <c r="DZ613" i="147"/>
  <c r="DZ614" i="147"/>
  <c r="DZ615" i="147"/>
  <c r="DZ616" i="147"/>
  <c r="DZ617" i="147"/>
  <c r="DZ618" i="147"/>
  <c r="DZ619" i="147"/>
  <c r="DZ620" i="147"/>
  <c r="DZ621" i="147"/>
  <c r="DZ622" i="147"/>
  <c r="DZ623" i="147"/>
  <c r="DZ624" i="147"/>
  <c r="DZ625" i="147"/>
  <c r="DZ626" i="147"/>
  <c r="DZ627" i="147"/>
  <c r="DZ628" i="147"/>
  <c r="DZ629" i="147"/>
  <c r="DZ631" i="147"/>
  <c r="DZ632" i="147"/>
  <c r="DZ633" i="147"/>
  <c r="DZ634" i="147"/>
  <c r="DZ635" i="147"/>
  <c r="DZ636" i="147"/>
  <c r="DZ637" i="147"/>
  <c r="DZ638" i="147"/>
  <c r="DZ639" i="147"/>
  <c r="DZ640" i="147"/>
  <c r="DZ641" i="147"/>
  <c r="DZ642" i="147"/>
  <c r="DZ643" i="147"/>
  <c r="EC379" i="147"/>
  <c r="EC380" i="147"/>
  <c r="EC381" i="147"/>
  <c r="EC382" i="147"/>
  <c r="EC383" i="147"/>
  <c r="EC384" i="147"/>
  <c r="EC385" i="147"/>
  <c r="EC375" i="147"/>
  <c r="EC376" i="147"/>
  <c r="EC377" i="147"/>
  <c r="EC378" i="147"/>
  <c r="EC386" i="147"/>
  <c r="EC387" i="147"/>
  <c r="EC388" i="147"/>
  <c r="EC389" i="147"/>
  <c r="EC390" i="147"/>
  <c r="EC391" i="147"/>
  <c r="EC392" i="147"/>
  <c r="EC393" i="147"/>
  <c r="EC394" i="147"/>
  <c r="EC395" i="147"/>
  <c r="EC396" i="147"/>
  <c r="EC397" i="147"/>
  <c r="EC398" i="147"/>
  <c r="EC399" i="147"/>
  <c r="EC402" i="147"/>
  <c r="EC403" i="147"/>
  <c r="EC404" i="147"/>
  <c r="EC405" i="147"/>
  <c r="EC400" i="147"/>
  <c r="EC401" i="147"/>
  <c r="EC428" i="147"/>
  <c r="EC429" i="147"/>
  <c r="EC430" i="147"/>
  <c r="EC431" i="147"/>
  <c r="EC432" i="147"/>
  <c r="EC406" i="147"/>
  <c r="EC407" i="147"/>
  <c r="EC408" i="147"/>
  <c r="EC409" i="147"/>
  <c r="EC410" i="147"/>
  <c r="EC411" i="147"/>
  <c r="EC412" i="147"/>
  <c r="EC413" i="147"/>
  <c r="EC414" i="147"/>
  <c r="EC415" i="147"/>
  <c r="EC416" i="147"/>
  <c r="EC417" i="147"/>
  <c r="EC418" i="147"/>
  <c r="EC419" i="147"/>
  <c r="EC420" i="147"/>
  <c r="EC421" i="147"/>
  <c r="EC422" i="147"/>
  <c r="EC423" i="147"/>
  <c r="EC424" i="147"/>
  <c r="EC425" i="147"/>
  <c r="EC426" i="147"/>
  <c r="EC427" i="147"/>
  <c r="EC439" i="147"/>
  <c r="EC440" i="147"/>
  <c r="EC441" i="147"/>
  <c r="EC442" i="147"/>
  <c r="EC443" i="147"/>
  <c r="EC444" i="147"/>
  <c r="EC445" i="147"/>
  <c r="EC446" i="147"/>
  <c r="EC447" i="147"/>
  <c r="EC448" i="147"/>
  <c r="EC449" i="147"/>
  <c r="EC450" i="147"/>
  <c r="EC451" i="147"/>
  <c r="EC452" i="147"/>
  <c r="EC453" i="147"/>
  <c r="EC454" i="147"/>
  <c r="EC455" i="147"/>
  <c r="EC456" i="147"/>
  <c r="EC457" i="147"/>
  <c r="EC433" i="147"/>
  <c r="EC434" i="147"/>
  <c r="EC435" i="147"/>
  <c r="EC436" i="147"/>
  <c r="EC437" i="147"/>
  <c r="EC438" i="147"/>
  <c r="EC458" i="147"/>
  <c r="EC459" i="147"/>
  <c r="EC460" i="147"/>
  <c r="EC461" i="147"/>
  <c r="EC462" i="147"/>
  <c r="EC463" i="147"/>
  <c r="EC464" i="147"/>
  <c r="EC465" i="147"/>
  <c r="EC466" i="147"/>
  <c r="EC467" i="147"/>
  <c r="EC468" i="147"/>
  <c r="EC469" i="147"/>
  <c r="EC470" i="147"/>
  <c r="EC471" i="147"/>
  <c r="EC472" i="147"/>
  <c r="EC473" i="147"/>
  <c r="EC474" i="147"/>
  <c r="EC475" i="147"/>
  <c r="EC476" i="147"/>
  <c r="EC477" i="147"/>
  <c r="EC478" i="147"/>
  <c r="EC479" i="147"/>
  <c r="EC480" i="147"/>
  <c r="EC481" i="147"/>
  <c r="EC482" i="147"/>
  <c r="EC483" i="147"/>
  <c r="EC484" i="147"/>
  <c r="EC485" i="147"/>
  <c r="EC486" i="147"/>
  <c r="EC487" i="147"/>
  <c r="EC488" i="147"/>
  <c r="EC489" i="147"/>
  <c r="EC490" i="147"/>
  <c r="EC491" i="147"/>
  <c r="EC492" i="147"/>
  <c r="EC493" i="147"/>
  <c r="EC494" i="147"/>
  <c r="EC495" i="147"/>
  <c r="EC496" i="147"/>
  <c r="EC497" i="147"/>
  <c r="EC498" i="147"/>
  <c r="EC499" i="147"/>
  <c r="EC500" i="147"/>
  <c r="EC501" i="147"/>
  <c r="EC502" i="147"/>
  <c r="EC503" i="147"/>
  <c r="EC504" i="147"/>
  <c r="EC505" i="147"/>
  <c r="EC506" i="147"/>
  <c r="EC507" i="147"/>
  <c r="EC508" i="147"/>
  <c r="EC509" i="147"/>
  <c r="EC510" i="147"/>
  <c r="EC511" i="147"/>
  <c r="EC512" i="147"/>
  <c r="EC513" i="147"/>
  <c r="EC514" i="147"/>
  <c r="EC515" i="147"/>
  <c r="EC516" i="147"/>
  <c r="EC517" i="147"/>
  <c r="EC518" i="147"/>
  <c r="EC519" i="147"/>
  <c r="EC520" i="147"/>
  <c r="EC521" i="147"/>
  <c r="EC522" i="147"/>
  <c r="EC523" i="147"/>
  <c r="EC524" i="147"/>
  <c r="EC525" i="147"/>
  <c r="EC526" i="147"/>
  <c r="EC527" i="147"/>
  <c r="EC528" i="147"/>
  <c r="EC529" i="147"/>
  <c r="EC530" i="147"/>
  <c r="EC531" i="147"/>
  <c r="EC532" i="147"/>
  <c r="EC533" i="147"/>
  <c r="EC534" i="147"/>
  <c r="EC535" i="147"/>
  <c r="EC536" i="147"/>
  <c r="EC537" i="147"/>
  <c r="EC538" i="147"/>
  <c r="EC539" i="147"/>
  <c r="EC540" i="147"/>
  <c r="EC541" i="147"/>
  <c r="EC542" i="147"/>
  <c r="EC543" i="147"/>
  <c r="EC544" i="147"/>
  <c r="EC545" i="147"/>
  <c r="EC546" i="147"/>
  <c r="EC547" i="147"/>
  <c r="EC548" i="147"/>
  <c r="EC549" i="147"/>
  <c r="EC550" i="147"/>
  <c r="EC551" i="147"/>
  <c r="EC552" i="147"/>
  <c r="EC553" i="147"/>
  <c r="EC554" i="147"/>
  <c r="EC555" i="147"/>
  <c r="EC556" i="147"/>
  <c r="EC557" i="147"/>
  <c r="EC558" i="147"/>
  <c r="EC559" i="147"/>
  <c r="EC560" i="147"/>
  <c r="EC561" i="147"/>
  <c r="EC562" i="147"/>
  <c r="EC563" i="147"/>
  <c r="EC564" i="147"/>
  <c r="EC565" i="147"/>
  <c r="EC566" i="147"/>
  <c r="EC568" i="147"/>
  <c r="EC569" i="147"/>
  <c r="EC570" i="147"/>
  <c r="EC571" i="147"/>
  <c r="EC572" i="147"/>
  <c r="EC573" i="147"/>
  <c r="EC574" i="147"/>
  <c r="EC575" i="147"/>
  <c r="EC576" i="147"/>
  <c r="EC577" i="147"/>
  <c r="EC578" i="147"/>
  <c r="EC579" i="147"/>
  <c r="EC580" i="147"/>
  <c r="EC581" i="147"/>
  <c r="EC582" i="147"/>
  <c r="EC583" i="147"/>
  <c r="EC584" i="147"/>
  <c r="EC585" i="147"/>
  <c r="EC586" i="147"/>
  <c r="EC587" i="147"/>
  <c r="EC588" i="147"/>
  <c r="EC589" i="147"/>
  <c r="EC590" i="147"/>
  <c r="EC591" i="147"/>
  <c r="EC592" i="147"/>
  <c r="EC593" i="147"/>
  <c r="EC594" i="147"/>
  <c r="EC595" i="147"/>
  <c r="EC596" i="147"/>
  <c r="EC597" i="147"/>
  <c r="EC598" i="147"/>
  <c r="EC600" i="147"/>
  <c r="EC601" i="147"/>
  <c r="EC602" i="147"/>
  <c r="EC603" i="147"/>
  <c r="EC604" i="147"/>
  <c r="EC605" i="147"/>
  <c r="EC606" i="147"/>
  <c r="EC607" i="147"/>
  <c r="EC608" i="147"/>
  <c r="EC609" i="147"/>
  <c r="EC610" i="147"/>
  <c r="EC611" i="147"/>
  <c r="EC612" i="147"/>
  <c r="EC613" i="147"/>
  <c r="EC614" i="147"/>
  <c r="EC615" i="147"/>
  <c r="EC616" i="147"/>
  <c r="EC617" i="147"/>
  <c r="EC618" i="147"/>
  <c r="EC619" i="147"/>
  <c r="EC620" i="147"/>
  <c r="EC621" i="147"/>
  <c r="EC622" i="147"/>
  <c r="EC623" i="147"/>
  <c r="EC624" i="147"/>
  <c r="EC625" i="147"/>
  <c r="EC626" i="147"/>
  <c r="EC627" i="147"/>
  <c r="EC628" i="147"/>
  <c r="EC629" i="147"/>
  <c r="EC631" i="147"/>
  <c r="EC632" i="147"/>
  <c r="EC633" i="147"/>
  <c r="EC634" i="147"/>
  <c r="EC635" i="147"/>
  <c r="EC636" i="147"/>
  <c r="EC637" i="147"/>
  <c r="EC638" i="147"/>
  <c r="EC639" i="147"/>
  <c r="EC640" i="147"/>
  <c r="EC641" i="147"/>
  <c r="EC642" i="147"/>
  <c r="EC643" i="147"/>
  <c r="EE375" i="147"/>
  <c r="EE376" i="147"/>
  <c r="EE377" i="147"/>
  <c r="EE378" i="147"/>
  <c r="EE379" i="147"/>
  <c r="EE380" i="147"/>
  <c r="EE381" i="147"/>
  <c r="EE382" i="147"/>
  <c r="EE383" i="147"/>
  <c r="EE384" i="147"/>
  <c r="EE385" i="147"/>
  <c r="EE386" i="147"/>
  <c r="EE387" i="147"/>
  <c r="EE388" i="147"/>
  <c r="EE389" i="147"/>
  <c r="EE390" i="147"/>
  <c r="EE391" i="147"/>
  <c r="EE392" i="147"/>
  <c r="EE393" i="147"/>
  <c r="EE394" i="147"/>
  <c r="EE395" i="147"/>
  <c r="EE396" i="147"/>
  <c r="EE397" i="147"/>
  <c r="EE398" i="147"/>
  <c r="EE399" i="147"/>
  <c r="EE400" i="147"/>
  <c r="EE401" i="147"/>
  <c r="EE402" i="147"/>
  <c r="EE403" i="147"/>
  <c r="EE404" i="147"/>
  <c r="EE405" i="147"/>
  <c r="EE406" i="147"/>
  <c r="EE407" i="147"/>
  <c r="EE408" i="147"/>
  <c r="EE409" i="147"/>
  <c r="EE410" i="147"/>
  <c r="EE411" i="147"/>
  <c r="EE412" i="147"/>
  <c r="EE413" i="147"/>
  <c r="EE414" i="147"/>
  <c r="EE415" i="147"/>
  <c r="EE416" i="147"/>
  <c r="EE417" i="147"/>
  <c r="EE418" i="147"/>
  <c r="EE419" i="147"/>
  <c r="EE420" i="147"/>
  <c r="EE421" i="147"/>
  <c r="EE422" i="147"/>
  <c r="EE423" i="147"/>
  <c r="EE424" i="147"/>
  <c r="EE425" i="147"/>
  <c r="EE426" i="147"/>
  <c r="EE427" i="147"/>
  <c r="EE428" i="147"/>
  <c r="EE429" i="147"/>
  <c r="EE430" i="147"/>
  <c r="EE431" i="147"/>
  <c r="EE432" i="147"/>
  <c r="EE433" i="147"/>
  <c r="EE434" i="147"/>
  <c r="EE435" i="147"/>
  <c r="EE436" i="147"/>
  <c r="EE437" i="147"/>
  <c r="EE438" i="147"/>
  <c r="EE445" i="147"/>
  <c r="EE446" i="147"/>
  <c r="EE447" i="147"/>
  <c r="EE448" i="147"/>
  <c r="EE449" i="147"/>
  <c r="EE450" i="147"/>
  <c r="EE451" i="147"/>
  <c r="EE452" i="147"/>
  <c r="EE453" i="147"/>
  <c r="EE454" i="147"/>
  <c r="EE455" i="147"/>
  <c r="EE456" i="147"/>
  <c r="EE457" i="147"/>
  <c r="EE439" i="147"/>
  <c r="EE440" i="147"/>
  <c r="EE441" i="147"/>
  <c r="EE442" i="147"/>
  <c r="EE443" i="147"/>
  <c r="EE444" i="147"/>
  <c r="EE458" i="147"/>
  <c r="EE459" i="147"/>
  <c r="EE460" i="147"/>
  <c r="EE461" i="147"/>
  <c r="EE462" i="147"/>
  <c r="EE463" i="147"/>
  <c r="EE464" i="147"/>
  <c r="EE465" i="147"/>
  <c r="EE466" i="147"/>
  <c r="EE467" i="147"/>
  <c r="EE468" i="147"/>
  <c r="EE469" i="147"/>
  <c r="EE470" i="147"/>
  <c r="EE471" i="147"/>
  <c r="EE472" i="147"/>
  <c r="EE473" i="147"/>
  <c r="EE474" i="147"/>
  <c r="EE475" i="147"/>
  <c r="EE476" i="147"/>
  <c r="EE477" i="147"/>
  <c r="EE478" i="147"/>
  <c r="EE479" i="147"/>
  <c r="EE480" i="147"/>
  <c r="EE481" i="147"/>
  <c r="EE482" i="147"/>
  <c r="EE483" i="147"/>
  <c r="EE484" i="147"/>
  <c r="EE485" i="147"/>
  <c r="EE486" i="147"/>
  <c r="EE487" i="147"/>
  <c r="EE488" i="147"/>
  <c r="EE489" i="147"/>
  <c r="EE490" i="147"/>
  <c r="EE491" i="147"/>
  <c r="EE492" i="147"/>
  <c r="EE493" i="147"/>
  <c r="EE494" i="147"/>
  <c r="EE495" i="147"/>
  <c r="EE496" i="147"/>
  <c r="EE497" i="147"/>
  <c r="EE498" i="147"/>
  <c r="EE499" i="147"/>
  <c r="EE500" i="147"/>
  <c r="EE501" i="147"/>
  <c r="EE502" i="147"/>
  <c r="EE503" i="147"/>
  <c r="EE504" i="147"/>
  <c r="EE505" i="147"/>
  <c r="EE506" i="147"/>
  <c r="EE507" i="147"/>
  <c r="EE508" i="147"/>
  <c r="EE509" i="147"/>
  <c r="EE510" i="147"/>
  <c r="EE511" i="147"/>
  <c r="EE512" i="147"/>
  <c r="EE513" i="147"/>
  <c r="EE514" i="147"/>
  <c r="EE515" i="147"/>
  <c r="EE516" i="147"/>
  <c r="EE517" i="147"/>
  <c r="EE518" i="147"/>
  <c r="EE519" i="147"/>
  <c r="EE520" i="147"/>
  <c r="EE521" i="147"/>
  <c r="EE522" i="147"/>
  <c r="EE523" i="147"/>
  <c r="EE524" i="147"/>
  <c r="EE525" i="147"/>
  <c r="EE526" i="147"/>
  <c r="EE527" i="147"/>
  <c r="EE528" i="147"/>
  <c r="EE529" i="147"/>
  <c r="EE530" i="147"/>
  <c r="EE531" i="147"/>
  <c r="EE532" i="147"/>
  <c r="EE533" i="147"/>
  <c r="EE534" i="147"/>
  <c r="EE535" i="147"/>
  <c r="EE536" i="147"/>
  <c r="EE537" i="147"/>
  <c r="EE538" i="147"/>
  <c r="EE539" i="147"/>
  <c r="EE540" i="147"/>
  <c r="EE541" i="147"/>
  <c r="EE542" i="147"/>
  <c r="EE543" i="147"/>
  <c r="EE544" i="147"/>
  <c r="EE545" i="147"/>
  <c r="EE546" i="147"/>
  <c r="EE547" i="147"/>
  <c r="EE548" i="147"/>
  <c r="EE549" i="147"/>
  <c r="EE550" i="147"/>
  <c r="EE551" i="147"/>
  <c r="EE552" i="147"/>
  <c r="EE553" i="147"/>
  <c r="EE554" i="147"/>
  <c r="EE555" i="147"/>
  <c r="EE556" i="147"/>
  <c r="EE557" i="147"/>
  <c r="EE558" i="147"/>
  <c r="EE559" i="147"/>
  <c r="EE560" i="147"/>
  <c r="EE561" i="147"/>
  <c r="EE562" i="147"/>
  <c r="EE563" i="147"/>
  <c r="EE564" i="147"/>
  <c r="EE565" i="147"/>
  <c r="EE566" i="147"/>
  <c r="EE568" i="147"/>
  <c r="EE569" i="147"/>
  <c r="EE570" i="147"/>
  <c r="EE571" i="147"/>
  <c r="EE572" i="147"/>
  <c r="EE573" i="147"/>
  <c r="EE574" i="147"/>
  <c r="EE575" i="147"/>
  <c r="EE576" i="147"/>
  <c r="EE577" i="147"/>
  <c r="EE578" i="147"/>
  <c r="EE579" i="147"/>
  <c r="EE580" i="147"/>
  <c r="EE581" i="147"/>
  <c r="EE582" i="147"/>
  <c r="EE583" i="147"/>
  <c r="EE584" i="147"/>
  <c r="EE585" i="147"/>
  <c r="EE586" i="147"/>
  <c r="EE587" i="147"/>
  <c r="EE588" i="147"/>
  <c r="EE589" i="147"/>
  <c r="EE590" i="147"/>
  <c r="EE591" i="147"/>
  <c r="EE592" i="147"/>
  <c r="EE593" i="147"/>
  <c r="EE594" i="147"/>
  <c r="EE595" i="147"/>
  <c r="EE596" i="147"/>
  <c r="EE597" i="147"/>
  <c r="EE598" i="147"/>
  <c r="EE600" i="147"/>
  <c r="EE601" i="147"/>
  <c r="EE602" i="147"/>
  <c r="EE603" i="147"/>
  <c r="EE604" i="147"/>
  <c r="EE605" i="147"/>
  <c r="EE606" i="147"/>
  <c r="EE607" i="147"/>
  <c r="EE608" i="147"/>
  <c r="EE609" i="147"/>
  <c r="EE610" i="147"/>
  <c r="EE611" i="147"/>
  <c r="EE612" i="147"/>
  <c r="EE613" i="147"/>
  <c r="EE614" i="147"/>
  <c r="EE615" i="147"/>
  <c r="EE616" i="147"/>
  <c r="EE617" i="147"/>
  <c r="EE618" i="147"/>
  <c r="EE619" i="147"/>
  <c r="EE620" i="147"/>
  <c r="EE621" i="147"/>
  <c r="EE622" i="147"/>
  <c r="EE623" i="147"/>
  <c r="EE624" i="147"/>
  <c r="EE625" i="147"/>
  <c r="EE626" i="147"/>
  <c r="EE627" i="147"/>
  <c r="EE628" i="147"/>
  <c r="EE629" i="147"/>
  <c r="EE631" i="147"/>
  <c r="EE632" i="147"/>
  <c r="EE633" i="147"/>
  <c r="EE634" i="147"/>
  <c r="EE635" i="147"/>
  <c r="EE636" i="147"/>
  <c r="EE637" i="147"/>
  <c r="EE638" i="147"/>
  <c r="EE639" i="147"/>
  <c r="EE640" i="147"/>
  <c r="EE641" i="147"/>
  <c r="EE642" i="147"/>
  <c r="EE643" i="147"/>
  <c r="EG379" i="147"/>
  <c r="EG380" i="147"/>
  <c r="EG381" i="147"/>
  <c r="EG382" i="147"/>
  <c r="EG383" i="147"/>
  <c r="EG384" i="147"/>
  <c r="EG385" i="147"/>
  <c r="EG386" i="147"/>
  <c r="EG387" i="147"/>
  <c r="EG388" i="147"/>
  <c r="EG389" i="147"/>
  <c r="EG390" i="147"/>
  <c r="EG391" i="147"/>
  <c r="EG392" i="147"/>
  <c r="EG393" i="147"/>
  <c r="EG394" i="147"/>
  <c r="EG395" i="147"/>
  <c r="EG396" i="147"/>
  <c r="EG397" i="147"/>
  <c r="EG398" i="147"/>
  <c r="EG399" i="147"/>
  <c r="EG375" i="147"/>
  <c r="EG376" i="147"/>
  <c r="EG377" i="147"/>
  <c r="EG378" i="147"/>
  <c r="EG400" i="147"/>
  <c r="EG401" i="147"/>
  <c r="EG402" i="147"/>
  <c r="EG403" i="147"/>
  <c r="EG404" i="147"/>
  <c r="EG405" i="147"/>
  <c r="EG406" i="147"/>
  <c r="EG407" i="147"/>
  <c r="EG408" i="147"/>
  <c r="EG409" i="147"/>
  <c r="EG410" i="147"/>
  <c r="EG411" i="147"/>
  <c r="EG412" i="147"/>
  <c r="EG413" i="147"/>
  <c r="EG414" i="147"/>
  <c r="EG415" i="147"/>
  <c r="EG416" i="147"/>
  <c r="EG417" i="147"/>
  <c r="EG418" i="147"/>
  <c r="EG419" i="147"/>
  <c r="EG420" i="147"/>
  <c r="EG421" i="147"/>
  <c r="EG422" i="147"/>
  <c r="EG423" i="147"/>
  <c r="EG424" i="147"/>
  <c r="EG425" i="147"/>
  <c r="EG426" i="147"/>
  <c r="EG427" i="147"/>
  <c r="EG428" i="147"/>
  <c r="EG429" i="147"/>
  <c r="EG430" i="147"/>
  <c r="EG431" i="147"/>
  <c r="EG432" i="147"/>
  <c r="EG433" i="147"/>
  <c r="EG434" i="147"/>
  <c r="EG435" i="147"/>
  <c r="EG436" i="147"/>
  <c r="EG437" i="147"/>
  <c r="EG438" i="147"/>
  <c r="EG439" i="147"/>
  <c r="EG440" i="147"/>
  <c r="EG441" i="147"/>
  <c r="EG442" i="147"/>
  <c r="EG443" i="147"/>
  <c r="EG444" i="147"/>
  <c r="EG445" i="147"/>
  <c r="EG446" i="147"/>
  <c r="EG447" i="147"/>
  <c r="EG448" i="147"/>
  <c r="EG449" i="147"/>
  <c r="EG450" i="147"/>
  <c r="EG451" i="147"/>
  <c r="EG452" i="147"/>
  <c r="EG453" i="147"/>
  <c r="EG454" i="147"/>
  <c r="EG455" i="147"/>
  <c r="EG456" i="147"/>
  <c r="EG457" i="147"/>
  <c r="EG458" i="147"/>
  <c r="EG459" i="147"/>
  <c r="EG460" i="147"/>
  <c r="EG461" i="147"/>
  <c r="EG462" i="147"/>
  <c r="EG463" i="147"/>
  <c r="EG464" i="147"/>
  <c r="EG465" i="147"/>
  <c r="EG466" i="147"/>
  <c r="EG467" i="147"/>
  <c r="EG468" i="147"/>
  <c r="EG469" i="147"/>
  <c r="EG470" i="147"/>
  <c r="EG471" i="147"/>
  <c r="EG472" i="147"/>
  <c r="EG473" i="147"/>
  <c r="EG474" i="147"/>
  <c r="EG475" i="147"/>
  <c r="EG476" i="147"/>
  <c r="EG477" i="147"/>
  <c r="EG478" i="147"/>
  <c r="EG479" i="147"/>
  <c r="EG480" i="147"/>
  <c r="EG481" i="147"/>
  <c r="EG482" i="147"/>
  <c r="EG483" i="147"/>
  <c r="EG484" i="147"/>
  <c r="EG485" i="147"/>
  <c r="EG486" i="147"/>
  <c r="EG487" i="147"/>
  <c r="EG488" i="147"/>
  <c r="EG489" i="147"/>
  <c r="EG490" i="147"/>
  <c r="EG491" i="147"/>
  <c r="EG492" i="147"/>
  <c r="EG493" i="147"/>
  <c r="EG494" i="147"/>
  <c r="EG495" i="147"/>
  <c r="EG496" i="147"/>
  <c r="EG497" i="147"/>
  <c r="EG498" i="147"/>
  <c r="EG499" i="147"/>
  <c r="EG500" i="147"/>
  <c r="EG501" i="147"/>
  <c r="EG502" i="147"/>
  <c r="EG503" i="147"/>
  <c r="EG504" i="147"/>
  <c r="EG505" i="147"/>
  <c r="EG506" i="147"/>
  <c r="EG507" i="147"/>
  <c r="EG508" i="147"/>
  <c r="EG509" i="147"/>
  <c r="EG510" i="147"/>
  <c r="EG511" i="147"/>
  <c r="EG512" i="147"/>
  <c r="EG513" i="147"/>
  <c r="EG514" i="147"/>
  <c r="EG515" i="147"/>
  <c r="EG516" i="147"/>
  <c r="EG517" i="147"/>
  <c r="EG518" i="147"/>
  <c r="EG519" i="147"/>
  <c r="EG520" i="147"/>
  <c r="EG521" i="147"/>
  <c r="EG522" i="147"/>
  <c r="EG523" i="147"/>
  <c r="EG524" i="147"/>
  <c r="EG525" i="147"/>
  <c r="EG526" i="147"/>
  <c r="EG527" i="147"/>
  <c r="EG528" i="147"/>
  <c r="EG529" i="147"/>
  <c r="EG530" i="147"/>
  <c r="EG531" i="147"/>
  <c r="EG532" i="147"/>
  <c r="EG533" i="147"/>
  <c r="EG534" i="147"/>
  <c r="EG535" i="147"/>
  <c r="EG536" i="147"/>
  <c r="EG537" i="147"/>
  <c r="EG538" i="147"/>
  <c r="EG539" i="147"/>
  <c r="EG540" i="147"/>
  <c r="EG541" i="147"/>
  <c r="EG542" i="147"/>
  <c r="EG543" i="147"/>
  <c r="EG544" i="147"/>
  <c r="EG545" i="147"/>
  <c r="EG546" i="147"/>
  <c r="EG547" i="147"/>
  <c r="EG548" i="147"/>
  <c r="EG549" i="147"/>
  <c r="EG550" i="147"/>
  <c r="EG551" i="147"/>
  <c r="EG552" i="147"/>
  <c r="EG553" i="147"/>
  <c r="EG554" i="147"/>
  <c r="EG555" i="147"/>
  <c r="EG556" i="147"/>
  <c r="EG557" i="147"/>
  <c r="EG558" i="147"/>
  <c r="EG559" i="147"/>
  <c r="EG560" i="147"/>
  <c r="EG561" i="147"/>
  <c r="EG562" i="147"/>
  <c r="EG563" i="147"/>
  <c r="EG564" i="147"/>
  <c r="EG565" i="147"/>
  <c r="EG566" i="147"/>
  <c r="EG568" i="147"/>
  <c r="EG569" i="147"/>
  <c r="EG570" i="147"/>
  <c r="EG571" i="147"/>
  <c r="EG572" i="147"/>
  <c r="EG573" i="147"/>
  <c r="EG574" i="147"/>
  <c r="EG575" i="147"/>
  <c r="EG576" i="147"/>
  <c r="EG577" i="147"/>
  <c r="EG578" i="147"/>
  <c r="EG579" i="147"/>
  <c r="EG580" i="147"/>
  <c r="EG581" i="147"/>
  <c r="EG582" i="147"/>
  <c r="EG583" i="147"/>
  <c r="EG584" i="147"/>
  <c r="EG585" i="147"/>
  <c r="EG586" i="147"/>
  <c r="EG587" i="147"/>
  <c r="EG588" i="147"/>
  <c r="EG589" i="147"/>
  <c r="EG590" i="147"/>
  <c r="EG591" i="147"/>
  <c r="EG592" i="147"/>
  <c r="EG593" i="147"/>
  <c r="EG594" i="147"/>
  <c r="EG595" i="147"/>
  <c r="EG596" i="147"/>
  <c r="EG597" i="147"/>
  <c r="EG598" i="147"/>
  <c r="EG600" i="147"/>
  <c r="EG601" i="147"/>
  <c r="EG602" i="147"/>
  <c r="EG603" i="147"/>
  <c r="EG604" i="147"/>
  <c r="EG605" i="147"/>
  <c r="EG606" i="147"/>
  <c r="EG607" i="147"/>
  <c r="EG608" i="147"/>
  <c r="EG609" i="147"/>
  <c r="EG610" i="147"/>
  <c r="EG611" i="147"/>
  <c r="EG612" i="147"/>
  <c r="EG613" i="147"/>
  <c r="EG614" i="147"/>
  <c r="EG615" i="147"/>
  <c r="EG616" i="147"/>
  <c r="EG617" i="147"/>
  <c r="EG618" i="147"/>
  <c r="EG619" i="147"/>
  <c r="EG620" i="147"/>
  <c r="EG621" i="147"/>
  <c r="EG622" i="147"/>
  <c r="EG623" i="147"/>
  <c r="EG624" i="147"/>
  <c r="EG625" i="147"/>
  <c r="EG626" i="147"/>
  <c r="EG627" i="147"/>
  <c r="EG628" i="147"/>
  <c r="EG629" i="147"/>
  <c r="EG631" i="147"/>
  <c r="EG632" i="147"/>
  <c r="EG633" i="147"/>
  <c r="EG634" i="147"/>
  <c r="EG635" i="147"/>
  <c r="EG636" i="147"/>
  <c r="EG637" i="147"/>
  <c r="EG638" i="147"/>
  <c r="EG639" i="147"/>
  <c r="EG640" i="147"/>
  <c r="EG641" i="147"/>
  <c r="EG642" i="147"/>
  <c r="EG643" i="147"/>
  <c r="EI375" i="147"/>
  <c r="EI376" i="147"/>
  <c r="EI377" i="147"/>
  <c r="EI378" i="147"/>
  <c r="EI379" i="147"/>
  <c r="EI380" i="147"/>
  <c r="EI381" i="147"/>
  <c r="EI382" i="147"/>
  <c r="EI383" i="147"/>
  <c r="EI384" i="147"/>
  <c r="EI385" i="147"/>
  <c r="EI386" i="147"/>
  <c r="EI387" i="147"/>
  <c r="EI388" i="147"/>
  <c r="EI389" i="147"/>
  <c r="EI390" i="147"/>
  <c r="EI391" i="147"/>
  <c r="EI392" i="147"/>
  <c r="EI393" i="147"/>
  <c r="EI394" i="147"/>
  <c r="EI395" i="147"/>
  <c r="EI396" i="147"/>
  <c r="EI397" i="147"/>
  <c r="EI398" i="147"/>
  <c r="EI399" i="147"/>
  <c r="EI400" i="147"/>
  <c r="EI401" i="147"/>
  <c r="EI402" i="147"/>
  <c r="EI403" i="147"/>
  <c r="EI404" i="147"/>
  <c r="EI405" i="147"/>
  <c r="EI406" i="147"/>
  <c r="EI407" i="147"/>
  <c r="EI408" i="147"/>
  <c r="EI409" i="147"/>
  <c r="EI410" i="147"/>
  <c r="EI411" i="147"/>
  <c r="EI412" i="147"/>
  <c r="EI413" i="147"/>
  <c r="EI414" i="147"/>
  <c r="EI415" i="147"/>
  <c r="EI416" i="147"/>
  <c r="EI417" i="147"/>
  <c r="EI418" i="147"/>
  <c r="EI419" i="147"/>
  <c r="EI420" i="147"/>
  <c r="EI421" i="147"/>
  <c r="EI422" i="147"/>
  <c r="EI423" i="147"/>
  <c r="EI424" i="147"/>
  <c r="EI425" i="147"/>
  <c r="EI426" i="147"/>
  <c r="EI427" i="147"/>
  <c r="EI428" i="147"/>
  <c r="EI429" i="147"/>
  <c r="EI430" i="147"/>
  <c r="EI431" i="147"/>
  <c r="EI432" i="147"/>
  <c r="EI433" i="147"/>
  <c r="EI434" i="147"/>
  <c r="EI435" i="147"/>
  <c r="EI436" i="147"/>
  <c r="EI437" i="147"/>
  <c r="EI438" i="147"/>
  <c r="EI445" i="147"/>
  <c r="EI446" i="147"/>
  <c r="EI447" i="147"/>
  <c r="EI448" i="147"/>
  <c r="EI449" i="147"/>
  <c r="EI450" i="147"/>
  <c r="EI451" i="147"/>
  <c r="EI452" i="147"/>
  <c r="EI453" i="147"/>
  <c r="EI454" i="147"/>
  <c r="EI455" i="147"/>
  <c r="EI456" i="147"/>
  <c r="EI457" i="147"/>
  <c r="EI439" i="147"/>
  <c r="EI440" i="147"/>
  <c r="EI441" i="147"/>
  <c r="EI442" i="147"/>
  <c r="EI443" i="147"/>
  <c r="EI444" i="147"/>
  <c r="EI458" i="147"/>
  <c r="EI459" i="147"/>
  <c r="EI460" i="147"/>
  <c r="EI461" i="147"/>
  <c r="EI462" i="147"/>
  <c r="EI463" i="147"/>
  <c r="EI464" i="147"/>
  <c r="EI465" i="147"/>
  <c r="EI466" i="147"/>
  <c r="EI467" i="147"/>
  <c r="EI468" i="147"/>
  <c r="EI469" i="147"/>
  <c r="EI470" i="147"/>
  <c r="EI471" i="147"/>
  <c r="EI472" i="147"/>
  <c r="EI473" i="147"/>
  <c r="EI474" i="147"/>
  <c r="EI475" i="147"/>
  <c r="EI476" i="147"/>
  <c r="EI477" i="147"/>
  <c r="EI478" i="147"/>
  <c r="EI479" i="147"/>
  <c r="EI480" i="147"/>
  <c r="EI481" i="147"/>
  <c r="EI482" i="147"/>
  <c r="EI483" i="147"/>
  <c r="EI484" i="147"/>
  <c r="EI485" i="147"/>
  <c r="EI486" i="147"/>
  <c r="EI487" i="147"/>
  <c r="EI488" i="147"/>
  <c r="EI489" i="147"/>
  <c r="EI490" i="147"/>
  <c r="EI491" i="147"/>
  <c r="EI492" i="147"/>
  <c r="EI493" i="147"/>
  <c r="EI494" i="147"/>
  <c r="EI495" i="147"/>
  <c r="EI496" i="147"/>
  <c r="EI497" i="147"/>
  <c r="EI498" i="147"/>
  <c r="EI499" i="147"/>
  <c r="EI500" i="147"/>
  <c r="EI501" i="147"/>
  <c r="EI502" i="147"/>
  <c r="EI503" i="147"/>
  <c r="EI504" i="147"/>
  <c r="EI505" i="147"/>
  <c r="EI506" i="147"/>
  <c r="EI507" i="147"/>
  <c r="EI508" i="147"/>
  <c r="EI509" i="147"/>
  <c r="EI510" i="147"/>
  <c r="EI511" i="147"/>
  <c r="EI512" i="147"/>
  <c r="EI513" i="147"/>
  <c r="EI514" i="147"/>
  <c r="EI515" i="147"/>
  <c r="EI516" i="147"/>
  <c r="EI517" i="147"/>
  <c r="EI518" i="147"/>
  <c r="EI519" i="147"/>
  <c r="EI520" i="147"/>
  <c r="EI521" i="147"/>
  <c r="EI522" i="147"/>
  <c r="EI523" i="147"/>
  <c r="EI524" i="147"/>
  <c r="EI525" i="147"/>
  <c r="EI526" i="147"/>
  <c r="EI527" i="147"/>
  <c r="EI528" i="147"/>
  <c r="EI529" i="147"/>
  <c r="EI530" i="147"/>
  <c r="EI531" i="147"/>
  <c r="EI532" i="147"/>
  <c r="EI533" i="147"/>
  <c r="EI534" i="147"/>
  <c r="EI535" i="147"/>
  <c r="EI536" i="147"/>
  <c r="EI537" i="147"/>
  <c r="EI538" i="147"/>
  <c r="EI539" i="147"/>
  <c r="EI540" i="147"/>
  <c r="EI541" i="147"/>
  <c r="EI542" i="147"/>
  <c r="EI543" i="147"/>
  <c r="EI544" i="147"/>
  <c r="EI545" i="147"/>
  <c r="EI546" i="147"/>
  <c r="EI547" i="147"/>
  <c r="EI548" i="147"/>
  <c r="EI549" i="147"/>
  <c r="EI550" i="147"/>
  <c r="EI551" i="147"/>
  <c r="EI552" i="147"/>
  <c r="EI553" i="147"/>
  <c r="EI554" i="147"/>
  <c r="EI555" i="147"/>
  <c r="EI556" i="147"/>
  <c r="EI557" i="147"/>
  <c r="EI558" i="147"/>
  <c r="EI559" i="147"/>
  <c r="EI560" i="147"/>
  <c r="EI561" i="147"/>
  <c r="EI562" i="147"/>
  <c r="EI563" i="147"/>
  <c r="EI564" i="147"/>
  <c r="EI565" i="147"/>
  <c r="EI566" i="147"/>
  <c r="EI568" i="147"/>
  <c r="EI569" i="147"/>
  <c r="EI570" i="147"/>
  <c r="EI571" i="147"/>
  <c r="EI572" i="147"/>
  <c r="EI573" i="147"/>
  <c r="EI574" i="147"/>
  <c r="EI575" i="147"/>
  <c r="EI576" i="147"/>
  <c r="EI577" i="147"/>
  <c r="EI578" i="147"/>
  <c r="EI579" i="147"/>
  <c r="EI580" i="147"/>
  <c r="EI581" i="147"/>
  <c r="EI582" i="147"/>
  <c r="EI583" i="147"/>
  <c r="EI584" i="147"/>
  <c r="EI585" i="147"/>
  <c r="EI586" i="147"/>
  <c r="EI587" i="147"/>
  <c r="EI588" i="147"/>
  <c r="EI589" i="147"/>
  <c r="EI590" i="147"/>
  <c r="EI591" i="147"/>
  <c r="EI592" i="147"/>
  <c r="EI593" i="147"/>
  <c r="EI594" i="147"/>
  <c r="EI595" i="147"/>
  <c r="EI596" i="147"/>
  <c r="EI597" i="147"/>
  <c r="EI598" i="147"/>
  <c r="EI600" i="147"/>
  <c r="EI601" i="147"/>
  <c r="EI602" i="147"/>
  <c r="EI603" i="147"/>
  <c r="EI604" i="147"/>
  <c r="EI605" i="147"/>
  <c r="EI606" i="147"/>
  <c r="EI607" i="147"/>
  <c r="EI608" i="147"/>
  <c r="EI609" i="147"/>
  <c r="EI610" i="147"/>
  <c r="EI611" i="147"/>
  <c r="EI612" i="147"/>
  <c r="EI613" i="147"/>
  <c r="EI614" i="147"/>
  <c r="EI615" i="147"/>
  <c r="EI616" i="147"/>
  <c r="EI617" i="147"/>
  <c r="EI618" i="147"/>
  <c r="EI619" i="147"/>
  <c r="EI620" i="147"/>
  <c r="EI621" i="147"/>
  <c r="EI622" i="147"/>
  <c r="EI623" i="147"/>
  <c r="EI624" i="147"/>
  <c r="EI625" i="147"/>
  <c r="EI626" i="147"/>
  <c r="EI627" i="147"/>
  <c r="EI628" i="147"/>
  <c r="EI629" i="147"/>
  <c r="EI631" i="147"/>
  <c r="EI632" i="147"/>
  <c r="EI633" i="147"/>
  <c r="EI634" i="147"/>
  <c r="EI635" i="147"/>
  <c r="EI636" i="147"/>
  <c r="EI637" i="147"/>
  <c r="EI638" i="147"/>
  <c r="EI639" i="147"/>
  <c r="EI640" i="147"/>
  <c r="EI641" i="147"/>
  <c r="EI642" i="147"/>
  <c r="EI643" i="147"/>
  <c r="EK379" i="147"/>
  <c r="EK380" i="147"/>
  <c r="EK381" i="147"/>
  <c r="EK382" i="147"/>
  <c r="EK383" i="147"/>
  <c r="EK384" i="147"/>
  <c r="EK385" i="147"/>
  <c r="EK375" i="147"/>
  <c r="EK376" i="147"/>
  <c r="EK377" i="147"/>
  <c r="EK378" i="147"/>
  <c r="EK386" i="147"/>
  <c r="EK387" i="147"/>
  <c r="EK388" i="147"/>
  <c r="EK389" i="147"/>
  <c r="EK390" i="147"/>
  <c r="EK391" i="147"/>
  <c r="EK392" i="147"/>
  <c r="EK393" i="147"/>
  <c r="EK394" i="147"/>
  <c r="EK395" i="147"/>
  <c r="EK396" i="147"/>
  <c r="EK397" i="147"/>
  <c r="EK398" i="147"/>
  <c r="EK399" i="147"/>
  <c r="EK400" i="147"/>
  <c r="EK401" i="147"/>
  <c r="EK402" i="147"/>
  <c r="EK403" i="147"/>
  <c r="EK404" i="147"/>
  <c r="EK405" i="147"/>
  <c r="EK406" i="147"/>
  <c r="EK407" i="147"/>
  <c r="EK408" i="147"/>
  <c r="EK409" i="147"/>
  <c r="EK410" i="147"/>
  <c r="EK411" i="147"/>
  <c r="EK412" i="147"/>
  <c r="EK413" i="147"/>
  <c r="EK414" i="147"/>
  <c r="EK415" i="147"/>
  <c r="EK416" i="147"/>
  <c r="EK428" i="147"/>
  <c r="EK429" i="147"/>
  <c r="EK430" i="147"/>
  <c r="EK431" i="147"/>
  <c r="EK432" i="147"/>
  <c r="EK417" i="147"/>
  <c r="EK418" i="147"/>
  <c r="EK419" i="147"/>
  <c r="EK420" i="147"/>
  <c r="EK421" i="147"/>
  <c r="EK422" i="147"/>
  <c r="EK423" i="147"/>
  <c r="EK424" i="147"/>
  <c r="EK425" i="147"/>
  <c r="EK426" i="147"/>
  <c r="EK427" i="147"/>
  <c r="EK439" i="147"/>
  <c r="EK440" i="147"/>
  <c r="EK441" i="147"/>
  <c r="EK442" i="147"/>
  <c r="EK443" i="147"/>
  <c r="EK444" i="147"/>
  <c r="EK445" i="147"/>
  <c r="EK446" i="147"/>
  <c r="EK447" i="147"/>
  <c r="EK448" i="147"/>
  <c r="EK449" i="147"/>
  <c r="EK450" i="147"/>
  <c r="EK451" i="147"/>
  <c r="EK452" i="147"/>
  <c r="EK453" i="147"/>
  <c r="EK454" i="147"/>
  <c r="EK455" i="147"/>
  <c r="EK456" i="147"/>
  <c r="EK457" i="147"/>
  <c r="EK433" i="147"/>
  <c r="EK434" i="147"/>
  <c r="EK435" i="147"/>
  <c r="EK436" i="147"/>
  <c r="EK437" i="147"/>
  <c r="EK438" i="147"/>
  <c r="EK458" i="147"/>
  <c r="EK459" i="147"/>
  <c r="EK460" i="147"/>
  <c r="EK461" i="147"/>
  <c r="EK462" i="147"/>
  <c r="EK463" i="147"/>
  <c r="EK464" i="147"/>
  <c r="EK465" i="147"/>
  <c r="EK466" i="147"/>
  <c r="EK467" i="147"/>
  <c r="EK468" i="147"/>
  <c r="EK469" i="147"/>
  <c r="EK470" i="147"/>
  <c r="EK471" i="147"/>
  <c r="EK472" i="147"/>
  <c r="EK473" i="147"/>
  <c r="EK474" i="147"/>
  <c r="EK475" i="147"/>
  <c r="EK476" i="147"/>
  <c r="EK477" i="147"/>
  <c r="EK478" i="147"/>
  <c r="EK479" i="147"/>
  <c r="EK480" i="147"/>
  <c r="EK481" i="147"/>
  <c r="EK482" i="147"/>
  <c r="EK483" i="147"/>
  <c r="EK484" i="147"/>
  <c r="EK485" i="147"/>
  <c r="EK486" i="147"/>
  <c r="EK487" i="147"/>
  <c r="EK488" i="147"/>
  <c r="EK489" i="147"/>
  <c r="EK490" i="147"/>
  <c r="EK491" i="147"/>
  <c r="EK492" i="147"/>
  <c r="EK493" i="147"/>
  <c r="EK494" i="147"/>
  <c r="EK495" i="147"/>
  <c r="EK496" i="147"/>
  <c r="EK497" i="147"/>
  <c r="EK498" i="147"/>
  <c r="EK499" i="147"/>
  <c r="EK500" i="147"/>
  <c r="EK501" i="147"/>
  <c r="EK502" i="147"/>
  <c r="EK503" i="147"/>
  <c r="EK504" i="147"/>
  <c r="EK505" i="147"/>
  <c r="EK506" i="147"/>
  <c r="EK507" i="147"/>
  <c r="EK508" i="147"/>
  <c r="EK509" i="147"/>
  <c r="EK510" i="147"/>
  <c r="EK511" i="147"/>
  <c r="EK512" i="147"/>
  <c r="EK513" i="147"/>
  <c r="EK514" i="147"/>
  <c r="EK515" i="147"/>
  <c r="EK516" i="147"/>
  <c r="EK517" i="147"/>
  <c r="EK518" i="147"/>
  <c r="EK519" i="147"/>
  <c r="EK520" i="147"/>
  <c r="EK521" i="147"/>
  <c r="EK522" i="147"/>
  <c r="EK523" i="147"/>
  <c r="EK524" i="147"/>
  <c r="EK525" i="147"/>
  <c r="EK526" i="147"/>
  <c r="EK527" i="147"/>
  <c r="EK528" i="147"/>
  <c r="EK529" i="147"/>
  <c r="EK530" i="147"/>
  <c r="EK531" i="147"/>
  <c r="EK532" i="147"/>
  <c r="EK533" i="147"/>
  <c r="EK534" i="147"/>
  <c r="EK535" i="147"/>
  <c r="EK536" i="147"/>
  <c r="EK537" i="147"/>
  <c r="EK538" i="147"/>
  <c r="EK539" i="147"/>
  <c r="EK540" i="147"/>
  <c r="EK541" i="147"/>
  <c r="EK542" i="147"/>
  <c r="EK543" i="147"/>
  <c r="EK544" i="147"/>
  <c r="EK545" i="147"/>
  <c r="EK546" i="147"/>
  <c r="EK547" i="147"/>
  <c r="EK548" i="147"/>
  <c r="EK549" i="147"/>
  <c r="EK550" i="147"/>
  <c r="EK551" i="147"/>
  <c r="EK552" i="147"/>
  <c r="EK553" i="147"/>
  <c r="EK554" i="147"/>
  <c r="EK555" i="147"/>
  <c r="EK556" i="147"/>
  <c r="EK557" i="147"/>
  <c r="EK558" i="147"/>
  <c r="EK559" i="147"/>
  <c r="EK560" i="147"/>
  <c r="EK561" i="147"/>
  <c r="EK562" i="147"/>
  <c r="EK563" i="147"/>
  <c r="EK564" i="147"/>
  <c r="EK565" i="147"/>
  <c r="EK566" i="147"/>
  <c r="EK568" i="147"/>
  <c r="EK569" i="147"/>
  <c r="EK570" i="147"/>
  <c r="EK571" i="147"/>
  <c r="EK572" i="147"/>
  <c r="EK573" i="147"/>
  <c r="EK574" i="147"/>
  <c r="EK575" i="147"/>
  <c r="EK576" i="147"/>
  <c r="EK577" i="147"/>
  <c r="EK578" i="147"/>
  <c r="EK579" i="147"/>
  <c r="EK580" i="147"/>
  <c r="EK581" i="147"/>
  <c r="EK582" i="147"/>
  <c r="EK583" i="147"/>
  <c r="EK584" i="147"/>
  <c r="EK585" i="147"/>
  <c r="EK586" i="147"/>
  <c r="EK587" i="147"/>
  <c r="EK588" i="147"/>
  <c r="EK589" i="147"/>
  <c r="EK590" i="147"/>
  <c r="EK591" i="147"/>
  <c r="EK592" i="147"/>
  <c r="EK593" i="147"/>
  <c r="EK594" i="147"/>
  <c r="EK595" i="147"/>
  <c r="EK596" i="147"/>
  <c r="EK597" i="147"/>
  <c r="EK598" i="147"/>
  <c r="EK600" i="147"/>
  <c r="EK601" i="147"/>
  <c r="EK602" i="147"/>
  <c r="EK603" i="147"/>
  <c r="EK604" i="147"/>
  <c r="EK605" i="147"/>
  <c r="EK606" i="147"/>
  <c r="EK607" i="147"/>
  <c r="EK608" i="147"/>
  <c r="EK609" i="147"/>
  <c r="EK610" i="147"/>
  <c r="EK611" i="147"/>
  <c r="EK612" i="147"/>
  <c r="EK613" i="147"/>
  <c r="EK614" i="147"/>
  <c r="EK615" i="147"/>
  <c r="EK616" i="147"/>
  <c r="EK617" i="147"/>
  <c r="EK618" i="147"/>
  <c r="EK619" i="147"/>
  <c r="EK620" i="147"/>
  <c r="EK621" i="147"/>
  <c r="EK622" i="147"/>
  <c r="EK623" i="147"/>
  <c r="EK624" i="147"/>
  <c r="EK625" i="147"/>
  <c r="EK626" i="147"/>
  <c r="EK627" i="147"/>
  <c r="EK628" i="147"/>
  <c r="EK629" i="147"/>
  <c r="EK631" i="147"/>
  <c r="EK632" i="147"/>
  <c r="EK633" i="147"/>
  <c r="EK634" i="147"/>
  <c r="EK635" i="147"/>
  <c r="EK636" i="147"/>
  <c r="EK637" i="147"/>
  <c r="EK638" i="147"/>
  <c r="EK639" i="147"/>
  <c r="EK640" i="147"/>
  <c r="EK641" i="147"/>
  <c r="EK642" i="147"/>
  <c r="EK643" i="147"/>
  <c r="EM375" i="147"/>
  <c r="EM376" i="147"/>
  <c r="EM377" i="147"/>
  <c r="EM378" i="147"/>
  <c r="EM379" i="147"/>
  <c r="EM380" i="147"/>
  <c r="EM381" i="147"/>
  <c r="EM382" i="147"/>
  <c r="EM383" i="147"/>
  <c r="EM384" i="147"/>
  <c r="EM385" i="147"/>
  <c r="EM386" i="147"/>
  <c r="EM387" i="147"/>
  <c r="EM388" i="147"/>
  <c r="EM389" i="147"/>
  <c r="EM390" i="147"/>
  <c r="EM391" i="147"/>
  <c r="EM392" i="147"/>
  <c r="EM393" i="147"/>
  <c r="EM394" i="147"/>
  <c r="EM395" i="147"/>
  <c r="EM396" i="147"/>
  <c r="EM397" i="147"/>
  <c r="EM398" i="147"/>
  <c r="EM399" i="147"/>
  <c r="EM400" i="147"/>
  <c r="EM401" i="147"/>
  <c r="EM402" i="147"/>
  <c r="EM403" i="147"/>
  <c r="EM404" i="147"/>
  <c r="EM405" i="147"/>
  <c r="EM406" i="147"/>
  <c r="EM407" i="147"/>
  <c r="EM408" i="147"/>
  <c r="EM409" i="147"/>
  <c r="EM410" i="147"/>
  <c r="EM411" i="147"/>
  <c r="EM412" i="147"/>
  <c r="EM413" i="147"/>
  <c r="EM414" i="147"/>
  <c r="EM415" i="147"/>
  <c r="EM416" i="147"/>
  <c r="EM417" i="147"/>
  <c r="EM418" i="147"/>
  <c r="EM419" i="147"/>
  <c r="EM420" i="147"/>
  <c r="EM421" i="147"/>
  <c r="EM422" i="147"/>
  <c r="EM423" i="147"/>
  <c r="EM424" i="147"/>
  <c r="EM425" i="147"/>
  <c r="EM426" i="147"/>
  <c r="EM427" i="147"/>
  <c r="EM428" i="147"/>
  <c r="EM429" i="147"/>
  <c r="EM430" i="147"/>
  <c r="EM431" i="147"/>
  <c r="EM432" i="147"/>
  <c r="EM433" i="147"/>
  <c r="EM434" i="147"/>
  <c r="EM435" i="147"/>
  <c r="EM436" i="147"/>
  <c r="EM437" i="147"/>
  <c r="EM438" i="147"/>
  <c r="EM445" i="147"/>
  <c r="EM446" i="147"/>
  <c r="EM447" i="147"/>
  <c r="EM448" i="147"/>
  <c r="EM449" i="147"/>
  <c r="EM450" i="147"/>
  <c r="EM451" i="147"/>
  <c r="EM452" i="147"/>
  <c r="EM453" i="147"/>
  <c r="EM454" i="147"/>
  <c r="EM455" i="147"/>
  <c r="EM456" i="147"/>
  <c r="EM457" i="147"/>
  <c r="EM439" i="147"/>
  <c r="EM440" i="147"/>
  <c r="EM441" i="147"/>
  <c r="EM442" i="147"/>
  <c r="EM443" i="147"/>
  <c r="EM444" i="147"/>
  <c r="EM458" i="147"/>
  <c r="EM459" i="147"/>
  <c r="EM460" i="147"/>
  <c r="EM461" i="147"/>
  <c r="EM462" i="147"/>
  <c r="EM463" i="147"/>
  <c r="EM464" i="147"/>
  <c r="EM465" i="147"/>
  <c r="EM466" i="147"/>
  <c r="EM467" i="147"/>
  <c r="EM468" i="147"/>
  <c r="EM469" i="147"/>
  <c r="EM470" i="147"/>
  <c r="EM471" i="147"/>
  <c r="EM472" i="147"/>
  <c r="EM473" i="147"/>
  <c r="EM474" i="147"/>
  <c r="EM475" i="147"/>
  <c r="EM476" i="147"/>
  <c r="EM477" i="147"/>
  <c r="EM478" i="147"/>
  <c r="EM479" i="147"/>
  <c r="EM480" i="147"/>
  <c r="EM481" i="147"/>
  <c r="EM482" i="147"/>
  <c r="EM483" i="147"/>
  <c r="EM484" i="147"/>
  <c r="EM485" i="147"/>
  <c r="EM486" i="147"/>
  <c r="EM487" i="147"/>
  <c r="EM488" i="147"/>
  <c r="EM489" i="147"/>
  <c r="EM490" i="147"/>
  <c r="EM491" i="147"/>
  <c r="EM492" i="147"/>
  <c r="EM493" i="147"/>
  <c r="EM494" i="147"/>
  <c r="EM495" i="147"/>
  <c r="EM496" i="147"/>
  <c r="EM497" i="147"/>
  <c r="EM498" i="147"/>
  <c r="EM499" i="147"/>
  <c r="EM500" i="147"/>
  <c r="EM501" i="147"/>
  <c r="EM502" i="147"/>
  <c r="EM503" i="147"/>
  <c r="EM504" i="147"/>
  <c r="EM505" i="147"/>
  <c r="EM506" i="147"/>
  <c r="EM507" i="147"/>
  <c r="EM508" i="147"/>
  <c r="EM509" i="147"/>
  <c r="EM510" i="147"/>
  <c r="EM511" i="147"/>
  <c r="EM512" i="147"/>
  <c r="EM513" i="147"/>
  <c r="EM514" i="147"/>
  <c r="EM515" i="147"/>
  <c r="EM516" i="147"/>
  <c r="EM517" i="147"/>
  <c r="EM518" i="147"/>
  <c r="EM519" i="147"/>
  <c r="EM520" i="147"/>
  <c r="EM521" i="147"/>
  <c r="EM522" i="147"/>
  <c r="EM523" i="147"/>
  <c r="EM524" i="147"/>
  <c r="EM525" i="147"/>
  <c r="EM526" i="147"/>
  <c r="EM527" i="147"/>
  <c r="EM528" i="147"/>
  <c r="EM529" i="147"/>
  <c r="EM530" i="147"/>
  <c r="EM531" i="147"/>
  <c r="EM532" i="147"/>
  <c r="EM533" i="147"/>
  <c r="EM534" i="147"/>
  <c r="EM535" i="147"/>
  <c r="EM536" i="147"/>
  <c r="EM537" i="147"/>
  <c r="EM538" i="147"/>
  <c r="EM539" i="147"/>
  <c r="EM540" i="147"/>
  <c r="EM541" i="147"/>
  <c r="EM542" i="147"/>
  <c r="EM543" i="147"/>
  <c r="EM544" i="147"/>
  <c r="EM545" i="147"/>
  <c r="EM546" i="147"/>
  <c r="EM547" i="147"/>
  <c r="EM548" i="147"/>
  <c r="EM549" i="147"/>
  <c r="EM550" i="147"/>
  <c r="EM551" i="147"/>
  <c r="EM552" i="147"/>
  <c r="EM553" i="147"/>
  <c r="EM554" i="147"/>
  <c r="EM555" i="147"/>
  <c r="EM556" i="147"/>
  <c r="EM557" i="147"/>
  <c r="EM558" i="147"/>
  <c r="EM559" i="147"/>
  <c r="EM560" i="147"/>
  <c r="EM561" i="147"/>
  <c r="EM562" i="147"/>
  <c r="EM563" i="147"/>
  <c r="EM564" i="147"/>
  <c r="EM565" i="147"/>
  <c r="EM566" i="147"/>
  <c r="EM568" i="147"/>
  <c r="EM569" i="147"/>
  <c r="EM570" i="147"/>
  <c r="EM571" i="147"/>
  <c r="EM572" i="147"/>
  <c r="EM573" i="147"/>
  <c r="EM574" i="147"/>
  <c r="EM575" i="147"/>
  <c r="EM576" i="147"/>
  <c r="EM577" i="147"/>
  <c r="EM578" i="147"/>
  <c r="EM579" i="147"/>
  <c r="EM580" i="147"/>
  <c r="EM581" i="147"/>
  <c r="EM582" i="147"/>
  <c r="EM583" i="147"/>
  <c r="EM584" i="147"/>
  <c r="EM585" i="147"/>
  <c r="EM586" i="147"/>
  <c r="EM587" i="147"/>
  <c r="EM588" i="147"/>
  <c r="EM589" i="147"/>
  <c r="EM590" i="147"/>
  <c r="EM591" i="147"/>
  <c r="EM592" i="147"/>
  <c r="EM593" i="147"/>
  <c r="EM594" i="147"/>
  <c r="EM595" i="147"/>
  <c r="EM596" i="147"/>
  <c r="EM597" i="147"/>
  <c r="EM598" i="147"/>
  <c r="EM600" i="147"/>
  <c r="EM601" i="147"/>
  <c r="EM602" i="147"/>
  <c r="EM603" i="147"/>
  <c r="EM604" i="147"/>
  <c r="EM605" i="147"/>
  <c r="EM606" i="147"/>
  <c r="EM607" i="147"/>
  <c r="EM608" i="147"/>
  <c r="EM609" i="147"/>
  <c r="EM610" i="147"/>
  <c r="EM611" i="147"/>
  <c r="EM612" i="147"/>
  <c r="EM613" i="147"/>
  <c r="EM614" i="147"/>
  <c r="EM615" i="147"/>
  <c r="EM616" i="147"/>
  <c r="EM617" i="147"/>
  <c r="EM618" i="147"/>
  <c r="EM619" i="147"/>
  <c r="EM620" i="147"/>
  <c r="EM621" i="147"/>
  <c r="EM622" i="147"/>
  <c r="EM623" i="147"/>
  <c r="EM624" i="147"/>
  <c r="EM625" i="147"/>
  <c r="EM626" i="147"/>
  <c r="EM627" i="147"/>
  <c r="EM628" i="147"/>
  <c r="EM629" i="147"/>
  <c r="EM631" i="147"/>
  <c r="EM632" i="147"/>
  <c r="EM633" i="147"/>
  <c r="EM634" i="147"/>
  <c r="EM635" i="147"/>
  <c r="EM636" i="147"/>
  <c r="EM637" i="147"/>
  <c r="EM638" i="147"/>
  <c r="EM639" i="147"/>
  <c r="EM640" i="147"/>
  <c r="EM641" i="147"/>
  <c r="EM642" i="147"/>
  <c r="EM643" i="147"/>
  <c r="EO379" i="147"/>
  <c r="EO380" i="147"/>
  <c r="EO381" i="147"/>
  <c r="EO382" i="147"/>
  <c r="EO383" i="147"/>
  <c r="EO384" i="147"/>
  <c r="EO385" i="147"/>
  <c r="EO386" i="147"/>
  <c r="EO387" i="147"/>
  <c r="EO388" i="147"/>
  <c r="EO389" i="147"/>
  <c r="EO390" i="147"/>
  <c r="EO391" i="147"/>
  <c r="EO392" i="147"/>
  <c r="EO393" i="147"/>
  <c r="EO394" i="147"/>
  <c r="EO395" i="147"/>
  <c r="EO396" i="147"/>
  <c r="EO397" i="147"/>
  <c r="EO398" i="147"/>
  <c r="EO399" i="147"/>
  <c r="EO375" i="147"/>
  <c r="EO377" i="147"/>
  <c r="EO376" i="147"/>
  <c r="EO378" i="147"/>
  <c r="EO400" i="147"/>
  <c r="EO401" i="147"/>
  <c r="EO402" i="147"/>
  <c r="EO403" i="147"/>
  <c r="EO404" i="147"/>
  <c r="EO405" i="147"/>
  <c r="EO406" i="147"/>
  <c r="EO407" i="147"/>
  <c r="EO408" i="147"/>
  <c r="EO409" i="147"/>
  <c r="EO410" i="147"/>
  <c r="EO411" i="147"/>
  <c r="EO412" i="147"/>
  <c r="EO413" i="147"/>
  <c r="EO414" i="147"/>
  <c r="EO415" i="147"/>
  <c r="EO416" i="147"/>
  <c r="EO417" i="147"/>
  <c r="EO418" i="147"/>
  <c r="EO419" i="147"/>
  <c r="EO420" i="147"/>
  <c r="EO421" i="147"/>
  <c r="EO422" i="147"/>
  <c r="EO423" i="147"/>
  <c r="EO424" i="147"/>
  <c r="EO425" i="147"/>
  <c r="EO426" i="147"/>
  <c r="EO427" i="147"/>
  <c r="EO428" i="147"/>
  <c r="EO429" i="147"/>
  <c r="EO430" i="147"/>
  <c r="EO431" i="147"/>
  <c r="EO432" i="147"/>
  <c r="EO433" i="147"/>
  <c r="EO434" i="147"/>
  <c r="EO435" i="147"/>
  <c r="EO436" i="147"/>
  <c r="EO437" i="147"/>
  <c r="EO438" i="147"/>
  <c r="EO439" i="147"/>
  <c r="EO440" i="147"/>
  <c r="EO441" i="147"/>
  <c r="EO442" i="147"/>
  <c r="EO443" i="147"/>
  <c r="EO444" i="147"/>
  <c r="EO445" i="147"/>
  <c r="EO446" i="147"/>
  <c r="EO447" i="147"/>
  <c r="EO448" i="147"/>
  <c r="EO449" i="147"/>
  <c r="EO450" i="147"/>
  <c r="EO451" i="147"/>
  <c r="EO452" i="147"/>
  <c r="EO453" i="147"/>
  <c r="EO454" i="147"/>
  <c r="EO455" i="147"/>
  <c r="EO456" i="147"/>
  <c r="EO457" i="147"/>
  <c r="EO458" i="147"/>
  <c r="EO459" i="147"/>
  <c r="EO460" i="147"/>
  <c r="EO461" i="147"/>
  <c r="EO462" i="147"/>
  <c r="EO463" i="147"/>
  <c r="EO464" i="147"/>
  <c r="EO465" i="147"/>
  <c r="EO466" i="147"/>
  <c r="EO467" i="147"/>
  <c r="EO468" i="147"/>
  <c r="EO469" i="147"/>
  <c r="EO470" i="147"/>
  <c r="EO471" i="147"/>
  <c r="EO472" i="147"/>
  <c r="EO473" i="147"/>
  <c r="EO474" i="147"/>
  <c r="EO475" i="147"/>
  <c r="EO476" i="147"/>
  <c r="EO477" i="147"/>
  <c r="EO478" i="147"/>
  <c r="EO479" i="147"/>
  <c r="EO480" i="147"/>
  <c r="EO481" i="147"/>
  <c r="EO482" i="147"/>
  <c r="EO483" i="147"/>
  <c r="EO484" i="147"/>
  <c r="EO485" i="147"/>
  <c r="EO486" i="147"/>
  <c r="EO487" i="147"/>
  <c r="EO488" i="147"/>
  <c r="EO489" i="147"/>
  <c r="EO490" i="147"/>
  <c r="EO491" i="147"/>
  <c r="EO492" i="147"/>
  <c r="EO493" i="147"/>
  <c r="EO494" i="147"/>
  <c r="EO495" i="147"/>
  <c r="EO496" i="147"/>
  <c r="EO497" i="147"/>
  <c r="EO498" i="147"/>
  <c r="EO499" i="147"/>
  <c r="EO500" i="147"/>
  <c r="EO501" i="147"/>
  <c r="EO502" i="147"/>
  <c r="EO503" i="147"/>
  <c r="EO504" i="147"/>
  <c r="EO505" i="147"/>
  <c r="EO506" i="147"/>
  <c r="EO507" i="147"/>
  <c r="EO508" i="147"/>
  <c r="EO509" i="147"/>
  <c r="EO510" i="147"/>
  <c r="EO511" i="147"/>
  <c r="EO512" i="147"/>
  <c r="EO513" i="147"/>
  <c r="EO514" i="147"/>
  <c r="EO515" i="147"/>
  <c r="EO516" i="147"/>
  <c r="EO517" i="147"/>
  <c r="EO518" i="147"/>
  <c r="EO519" i="147"/>
  <c r="EO520" i="147"/>
  <c r="EO521" i="147"/>
  <c r="EO522" i="147"/>
  <c r="EO523" i="147"/>
  <c r="EO524" i="147"/>
  <c r="EO525" i="147"/>
  <c r="EO526" i="147"/>
  <c r="EO527" i="147"/>
  <c r="EO528" i="147"/>
  <c r="EO529" i="147"/>
  <c r="EO530" i="147"/>
  <c r="EO531" i="147"/>
  <c r="EO532" i="147"/>
  <c r="EO533" i="147"/>
  <c r="EO534" i="147"/>
  <c r="EO535" i="147"/>
  <c r="EO536" i="147"/>
  <c r="EO537" i="147"/>
  <c r="EO538" i="147"/>
  <c r="EO539" i="147"/>
  <c r="EO540" i="147"/>
  <c r="EO541" i="147"/>
  <c r="EO542" i="147"/>
  <c r="EO543" i="147"/>
  <c r="EO544" i="147"/>
  <c r="EO545" i="147"/>
  <c r="EO546" i="147"/>
  <c r="EO547" i="147"/>
  <c r="EO548" i="147"/>
  <c r="EO549" i="147"/>
  <c r="EO550" i="147"/>
  <c r="EO551" i="147"/>
  <c r="EO552" i="147"/>
  <c r="EO553" i="147"/>
  <c r="EO554" i="147"/>
  <c r="EO555" i="147"/>
  <c r="EO556" i="147"/>
  <c r="EO557" i="147"/>
  <c r="EO558" i="147"/>
  <c r="EO559" i="147"/>
  <c r="EO560" i="147"/>
  <c r="EO561" i="147"/>
  <c r="EO562" i="147"/>
  <c r="EO563" i="147"/>
  <c r="EO564" i="147"/>
  <c r="EO565" i="147"/>
  <c r="EO566" i="147"/>
  <c r="EO568" i="147"/>
  <c r="EO569" i="147"/>
  <c r="EO570" i="147"/>
  <c r="EO571" i="147"/>
  <c r="EO572" i="147"/>
  <c r="EO573" i="147"/>
  <c r="EO574" i="147"/>
  <c r="EO575" i="147"/>
  <c r="EO576" i="147"/>
  <c r="EO577" i="147"/>
  <c r="EO578" i="147"/>
  <c r="EO579" i="147"/>
  <c r="EO580" i="147"/>
  <c r="EO581" i="147"/>
  <c r="EO582" i="147"/>
  <c r="EO583" i="147"/>
  <c r="EO584" i="147"/>
  <c r="EO585" i="147"/>
  <c r="EO586" i="147"/>
  <c r="EO587" i="147"/>
  <c r="EO588" i="147"/>
  <c r="EO589" i="147"/>
  <c r="EO590" i="147"/>
  <c r="EO591" i="147"/>
  <c r="EO592" i="147"/>
  <c r="EO593" i="147"/>
  <c r="EO594" i="147"/>
  <c r="EO595" i="147"/>
  <c r="EO596" i="147"/>
  <c r="EO597" i="147"/>
  <c r="EO598" i="147"/>
  <c r="EO600" i="147"/>
  <c r="EO601" i="147"/>
  <c r="EO602" i="147"/>
  <c r="EO603" i="147"/>
  <c r="EO604" i="147"/>
  <c r="EO605" i="147"/>
  <c r="EO606" i="147"/>
  <c r="EO607" i="147"/>
  <c r="EO608" i="147"/>
  <c r="EO609" i="147"/>
  <c r="EO610" i="147"/>
  <c r="EO611" i="147"/>
  <c r="EO612" i="147"/>
  <c r="EO613" i="147"/>
  <c r="EO614" i="147"/>
  <c r="EO615" i="147"/>
  <c r="EO616" i="147"/>
  <c r="EO617" i="147"/>
  <c r="EO618" i="147"/>
  <c r="EO619" i="147"/>
  <c r="EO620" i="147"/>
  <c r="EO621" i="147"/>
  <c r="EO622" i="147"/>
  <c r="EO623" i="147"/>
  <c r="EO624" i="147"/>
  <c r="EO625" i="147"/>
  <c r="EO626" i="147"/>
  <c r="EO627" i="147"/>
  <c r="EO628" i="147"/>
  <c r="EO629" i="147"/>
  <c r="EO631" i="147"/>
  <c r="EO632" i="147"/>
  <c r="EO633" i="147"/>
  <c r="EO634" i="147"/>
  <c r="EO635" i="147"/>
  <c r="EO636" i="147"/>
  <c r="EO637" i="147"/>
  <c r="EO638" i="147"/>
  <c r="EO639" i="147"/>
  <c r="EO640" i="147"/>
  <c r="EO641" i="147"/>
  <c r="EO642" i="147"/>
  <c r="EO643" i="147"/>
  <c r="EQ375" i="147"/>
  <c r="EQ376" i="147"/>
  <c r="EQ377" i="147"/>
  <c r="EQ378" i="147"/>
  <c r="EQ379" i="147"/>
  <c r="EQ380" i="147"/>
  <c r="EQ381" i="147"/>
  <c r="EQ382" i="147"/>
  <c r="EQ383" i="147"/>
  <c r="EQ384" i="147"/>
  <c r="EQ385" i="147"/>
  <c r="EQ386" i="147"/>
  <c r="EQ387" i="147"/>
  <c r="EQ388" i="147"/>
  <c r="EQ389" i="147"/>
  <c r="EQ390" i="147"/>
  <c r="EQ391" i="147"/>
  <c r="EQ392" i="147"/>
  <c r="EQ393" i="147"/>
  <c r="EQ394" i="147"/>
  <c r="EQ395" i="147"/>
  <c r="EQ396" i="147"/>
  <c r="EQ397" i="147"/>
  <c r="EQ398" i="147"/>
  <c r="EQ399" i="147"/>
  <c r="EQ400" i="147"/>
  <c r="EQ401" i="147"/>
  <c r="EQ402" i="147"/>
  <c r="EQ403" i="147"/>
  <c r="EQ404" i="147"/>
  <c r="EQ405" i="147"/>
  <c r="EQ406" i="147"/>
  <c r="EQ407" i="147"/>
  <c r="EQ408" i="147"/>
  <c r="EQ409" i="147"/>
  <c r="EQ410" i="147"/>
  <c r="EQ411" i="147"/>
  <c r="EQ412" i="147"/>
  <c r="EQ413" i="147"/>
  <c r="EQ414" i="147"/>
  <c r="EQ415" i="147"/>
  <c r="EQ416" i="147"/>
  <c r="EQ417" i="147"/>
  <c r="EQ418" i="147"/>
  <c r="EQ419" i="147"/>
  <c r="EQ420" i="147"/>
  <c r="EQ421" i="147"/>
  <c r="EQ422" i="147"/>
  <c r="EQ423" i="147"/>
  <c r="EQ424" i="147"/>
  <c r="EQ425" i="147"/>
  <c r="EQ426" i="147"/>
  <c r="EQ427" i="147"/>
  <c r="EQ428" i="147"/>
  <c r="EQ429" i="147"/>
  <c r="EQ430" i="147"/>
  <c r="EQ431" i="147"/>
  <c r="EQ432" i="147"/>
  <c r="EQ433" i="147"/>
  <c r="EQ434" i="147"/>
  <c r="EQ435" i="147"/>
  <c r="EQ436" i="147"/>
  <c r="EQ437" i="147"/>
  <c r="EQ438" i="147"/>
  <c r="EQ445" i="147"/>
  <c r="EQ446" i="147"/>
  <c r="EQ447" i="147"/>
  <c r="EQ448" i="147"/>
  <c r="EQ449" i="147"/>
  <c r="EQ450" i="147"/>
  <c r="EQ451" i="147"/>
  <c r="EQ452" i="147"/>
  <c r="EQ453" i="147"/>
  <c r="EQ454" i="147"/>
  <c r="EQ455" i="147"/>
  <c r="EQ456" i="147"/>
  <c r="EQ457" i="147"/>
  <c r="EQ439" i="147"/>
  <c r="EQ440" i="147"/>
  <c r="EQ441" i="147"/>
  <c r="EQ442" i="147"/>
  <c r="EQ443" i="147"/>
  <c r="EQ444" i="147"/>
  <c r="EQ458" i="147"/>
  <c r="EQ459" i="147"/>
  <c r="EQ460" i="147"/>
  <c r="EQ461" i="147"/>
  <c r="EQ462" i="147"/>
  <c r="EQ463" i="147"/>
  <c r="EQ464" i="147"/>
  <c r="EQ465" i="147"/>
  <c r="EQ466" i="147"/>
  <c r="EQ467" i="147"/>
  <c r="EQ468" i="147"/>
  <c r="EQ469" i="147"/>
  <c r="EQ470" i="147"/>
  <c r="EQ471" i="147"/>
  <c r="EQ472" i="147"/>
  <c r="EQ473" i="147"/>
  <c r="EQ474" i="147"/>
  <c r="EQ475" i="147"/>
  <c r="EQ476" i="147"/>
  <c r="EQ477" i="147"/>
  <c r="EQ478" i="147"/>
  <c r="EQ479" i="147"/>
  <c r="EQ480" i="147"/>
  <c r="EQ481" i="147"/>
  <c r="EQ482" i="147"/>
  <c r="EQ483" i="147"/>
  <c r="EQ484" i="147"/>
  <c r="EQ485" i="147"/>
  <c r="EQ486" i="147"/>
  <c r="EQ487" i="147"/>
  <c r="EQ488" i="147"/>
  <c r="EQ489" i="147"/>
  <c r="EQ490" i="147"/>
  <c r="EQ491" i="147"/>
  <c r="EQ492" i="147"/>
  <c r="EQ493" i="147"/>
  <c r="EQ494" i="147"/>
  <c r="EQ495" i="147"/>
  <c r="EQ496" i="147"/>
  <c r="EQ497" i="147"/>
  <c r="EQ498" i="147"/>
  <c r="EQ499" i="147"/>
  <c r="EQ500" i="147"/>
  <c r="EQ501" i="147"/>
  <c r="EQ502" i="147"/>
  <c r="EQ503" i="147"/>
  <c r="EQ504" i="147"/>
  <c r="EQ505" i="147"/>
  <c r="EQ506" i="147"/>
  <c r="EQ507" i="147"/>
  <c r="EQ508" i="147"/>
  <c r="EQ509" i="147"/>
  <c r="EQ510" i="147"/>
  <c r="EQ511" i="147"/>
  <c r="EQ512" i="147"/>
  <c r="EQ513" i="147"/>
  <c r="EQ514" i="147"/>
  <c r="EQ515" i="147"/>
  <c r="EQ516" i="147"/>
  <c r="EQ517" i="147"/>
  <c r="EQ518" i="147"/>
  <c r="EQ519" i="147"/>
  <c r="EQ520" i="147"/>
  <c r="EQ521" i="147"/>
  <c r="EQ522" i="147"/>
  <c r="EQ523" i="147"/>
  <c r="EQ524" i="147"/>
  <c r="EQ525" i="147"/>
  <c r="EQ526" i="147"/>
  <c r="EQ527" i="147"/>
  <c r="EQ528" i="147"/>
  <c r="EQ529" i="147"/>
  <c r="EQ530" i="147"/>
  <c r="EQ531" i="147"/>
  <c r="EQ532" i="147"/>
  <c r="EQ533" i="147"/>
  <c r="EQ534" i="147"/>
  <c r="EQ535" i="147"/>
  <c r="EQ536" i="147"/>
  <c r="EQ537" i="147"/>
  <c r="EQ538" i="147"/>
  <c r="EQ539" i="147"/>
  <c r="EQ540" i="147"/>
  <c r="EQ541" i="147"/>
  <c r="EQ542" i="147"/>
  <c r="EQ543" i="147"/>
  <c r="EQ544" i="147"/>
  <c r="EQ545" i="147"/>
  <c r="EQ546" i="147"/>
  <c r="EQ547" i="147"/>
  <c r="EQ548" i="147"/>
  <c r="EQ549" i="147"/>
  <c r="EQ550" i="147"/>
  <c r="EQ551" i="147"/>
  <c r="EQ552" i="147"/>
  <c r="EQ553" i="147"/>
  <c r="EQ554" i="147"/>
  <c r="EQ555" i="147"/>
  <c r="EQ556" i="147"/>
  <c r="EQ557" i="147"/>
  <c r="EQ558" i="147"/>
  <c r="EQ559" i="147"/>
  <c r="EQ560" i="147"/>
  <c r="EQ561" i="147"/>
  <c r="EQ562" i="147"/>
  <c r="EQ563" i="147"/>
  <c r="EQ564" i="147"/>
  <c r="EQ565" i="147"/>
  <c r="EQ566" i="147"/>
  <c r="EQ568" i="147"/>
  <c r="EQ569" i="147"/>
  <c r="EQ570" i="147"/>
  <c r="EQ571" i="147"/>
  <c r="EQ572" i="147"/>
  <c r="EQ573" i="147"/>
  <c r="EQ574" i="147"/>
  <c r="EQ575" i="147"/>
  <c r="EQ576" i="147"/>
  <c r="EQ577" i="147"/>
  <c r="EQ578" i="147"/>
  <c r="EQ579" i="147"/>
  <c r="EQ580" i="147"/>
  <c r="EQ581" i="147"/>
  <c r="EQ582" i="147"/>
  <c r="EQ583" i="147"/>
  <c r="EQ584" i="147"/>
  <c r="EQ585" i="147"/>
  <c r="EQ586" i="147"/>
  <c r="EQ587" i="147"/>
  <c r="EQ588" i="147"/>
  <c r="EQ589" i="147"/>
  <c r="EQ590" i="147"/>
  <c r="EQ591" i="147"/>
  <c r="EQ592" i="147"/>
  <c r="EQ593" i="147"/>
  <c r="EQ594" i="147"/>
  <c r="EQ595" i="147"/>
  <c r="EQ596" i="147"/>
  <c r="EQ597" i="147"/>
  <c r="EQ598" i="147"/>
  <c r="EQ600" i="147"/>
  <c r="EQ601" i="147"/>
  <c r="EQ602" i="147"/>
  <c r="EQ603" i="147"/>
  <c r="EQ604" i="147"/>
  <c r="EQ605" i="147"/>
  <c r="EQ606" i="147"/>
  <c r="EQ607" i="147"/>
  <c r="EQ608" i="147"/>
  <c r="EQ609" i="147"/>
  <c r="EQ610" i="147"/>
  <c r="EQ611" i="147"/>
  <c r="EQ612" i="147"/>
  <c r="EQ613" i="147"/>
  <c r="EQ614" i="147"/>
  <c r="EQ615" i="147"/>
  <c r="EQ616" i="147"/>
  <c r="EQ617" i="147"/>
  <c r="EQ618" i="147"/>
  <c r="EQ619" i="147"/>
  <c r="EQ620" i="147"/>
  <c r="EQ621" i="147"/>
  <c r="EQ622" i="147"/>
  <c r="EQ623" i="147"/>
  <c r="EQ624" i="147"/>
  <c r="EQ625" i="147"/>
  <c r="EQ626" i="147"/>
  <c r="EQ627" i="147"/>
  <c r="EQ628" i="147"/>
  <c r="EQ629" i="147"/>
  <c r="EQ631" i="147"/>
  <c r="EQ632" i="147"/>
  <c r="EQ633" i="147"/>
  <c r="EQ634" i="147"/>
  <c r="EQ635" i="147"/>
  <c r="EQ636" i="147"/>
  <c r="EQ637" i="147"/>
  <c r="EQ638" i="147"/>
  <c r="EQ639" i="147"/>
  <c r="EQ640" i="147"/>
  <c r="EQ641" i="147"/>
  <c r="EQ642" i="147"/>
  <c r="EQ643" i="147"/>
  <c r="ES379" i="147"/>
  <c r="ES380" i="147"/>
  <c r="ES381" i="147"/>
  <c r="ES382" i="147"/>
  <c r="ES383" i="147"/>
  <c r="ES384" i="147"/>
  <c r="ES385" i="147"/>
  <c r="ES375" i="147"/>
  <c r="ES376" i="147"/>
  <c r="ES377" i="147"/>
  <c r="ES378" i="147"/>
  <c r="ES386" i="147"/>
  <c r="ES387" i="147"/>
  <c r="ES388" i="147"/>
  <c r="ES389" i="147"/>
  <c r="ES390" i="147"/>
  <c r="ES391" i="147"/>
  <c r="ES392" i="147"/>
  <c r="ES393" i="147"/>
  <c r="ES394" i="147"/>
  <c r="ES395" i="147"/>
  <c r="ES396" i="147"/>
  <c r="ES397" i="147"/>
  <c r="ES398" i="147"/>
  <c r="ES399" i="147"/>
  <c r="ES402" i="147"/>
  <c r="ES403" i="147"/>
  <c r="ES404" i="147"/>
  <c r="ES405" i="147"/>
  <c r="ES400" i="147"/>
  <c r="ES401" i="147"/>
  <c r="ES428" i="147"/>
  <c r="ES429" i="147"/>
  <c r="ES430" i="147"/>
  <c r="ES431" i="147"/>
  <c r="ES432" i="147"/>
  <c r="ES406" i="147"/>
  <c r="ES407" i="147"/>
  <c r="ES408" i="147"/>
  <c r="ES409" i="147"/>
  <c r="ES410" i="147"/>
  <c r="ES411" i="147"/>
  <c r="ES412" i="147"/>
  <c r="ES413" i="147"/>
  <c r="ES414" i="147"/>
  <c r="ES415" i="147"/>
  <c r="ES416" i="147"/>
  <c r="ES417" i="147"/>
  <c r="ES418" i="147"/>
  <c r="ES419" i="147"/>
  <c r="ES420" i="147"/>
  <c r="ES421" i="147"/>
  <c r="ES422" i="147"/>
  <c r="ES423" i="147"/>
  <c r="ES424" i="147"/>
  <c r="ES425" i="147"/>
  <c r="ES426" i="147"/>
  <c r="ES427" i="147"/>
  <c r="ES439" i="147"/>
  <c r="ES440" i="147"/>
  <c r="ES441" i="147"/>
  <c r="ES442" i="147"/>
  <c r="ES443" i="147"/>
  <c r="ES444" i="147"/>
  <c r="ES445" i="147"/>
  <c r="ES446" i="147"/>
  <c r="ES447" i="147"/>
  <c r="ES448" i="147"/>
  <c r="ES449" i="147"/>
  <c r="ES450" i="147"/>
  <c r="ES451" i="147"/>
  <c r="ES452" i="147"/>
  <c r="ES453" i="147"/>
  <c r="ES454" i="147"/>
  <c r="ES455" i="147"/>
  <c r="ES456" i="147"/>
  <c r="ES457" i="147"/>
  <c r="ES433" i="147"/>
  <c r="ES434" i="147"/>
  <c r="ES435" i="147"/>
  <c r="ES436" i="147"/>
  <c r="ES437" i="147"/>
  <c r="ES438" i="147"/>
  <c r="ES458" i="147"/>
  <c r="ES459" i="147"/>
  <c r="ES460" i="147"/>
  <c r="ES461" i="147"/>
  <c r="ES462" i="147"/>
  <c r="ES463" i="147"/>
  <c r="ES464" i="147"/>
  <c r="ES465" i="147"/>
  <c r="ES466" i="147"/>
  <c r="ES467" i="147"/>
  <c r="ES468" i="147"/>
  <c r="ES469" i="147"/>
  <c r="ES470" i="147"/>
  <c r="ES471" i="147"/>
  <c r="ES472" i="147"/>
  <c r="ES473" i="147"/>
  <c r="ES474" i="147"/>
  <c r="ES475" i="147"/>
  <c r="ES476" i="147"/>
  <c r="ES477" i="147"/>
  <c r="ES478" i="147"/>
  <c r="ES479" i="147"/>
  <c r="ES480" i="147"/>
  <c r="ES481" i="147"/>
  <c r="ES482" i="147"/>
  <c r="ES483" i="147"/>
  <c r="ES484" i="147"/>
  <c r="ES485" i="147"/>
  <c r="ES486" i="147"/>
  <c r="ES487" i="147"/>
  <c r="ES488" i="147"/>
  <c r="ES489" i="147"/>
  <c r="ES490" i="147"/>
  <c r="ES491" i="147"/>
  <c r="ES492" i="147"/>
  <c r="ES493" i="147"/>
  <c r="ES494" i="147"/>
  <c r="ES495" i="147"/>
  <c r="ES496" i="147"/>
  <c r="ES497" i="147"/>
  <c r="ES498" i="147"/>
  <c r="ES499" i="147"/>
  <c r="ES500" i="147"/>
  <c r="ES501" i="147"/>
  <c r="ES502" i="147"/>
  <c r="ES503" i="147"/>
  <c r="ES504" i="147"/>
  <c r="ES505" i="147"/>
  <c r="ES506" i="147"/>
  <c r="ES507" i="147"/>
  <c r="ES508" i="147"/>
  <c r="ES509" i="147"/>
  <c r="ES510" i="147"/>
  <c r="ES511" i="147"/>
  <c r="ES512" i="147"/>
  <c r="ES513" i="147"/>
  <c r="ES514" i="147"/>
  <c r="ES515" i="147"/>
  <c r="ES516" i="147"/>
  <c r="ES517" i="147"/>
  <c r="ES518" i="147"/>
  <c r="ES519" i="147"/>
  <c r="ES520" i="147"/>
  <c r="ES521" i="147"/>
  <c r="ES522" i="147"/>
  <c r="ES523" i="147"/>
  <c r="ES524" i="147"/>
  <c r="ES525" i="147"/>
  <c r="ES526" i="147"/>
  <c r="ES527" i="147"/>
  <c r="ES528" i="147"/>
  <c r="ES529" i="147"/>
  <c r="ES530" i="147"/>
  <c r="ES531" i="147"/>
  <c r="ES532" i="147"/>
  <c r="ES533" i="147"/>
  <c r="ES534" i="147"/>
  <c r="ES535" i="147"/>
  <c r="ES536" i="147"/>
  <c r="ES537" i="147"/>
  <c r="ES538" i="147"/>
  <c r="ES539" i="147"/>
  <c r="ES540" i="147"/>
  <c r="ES541" i="147"/>
  <c r="ES542" i="147"/>
  <c r="ES543" i="147"/>
  <c r="ES544" i="147"/>
  <c r="ES545" i="147"/>
  <c r="ES546" i="147"/>
  <c r="ES547" i="147"/>
  <c r="ES548" i="147"/>
  <c r="ES549" i="147"/>
  <c r="ES550" i="147"/>
  <c r="ES551" i="147"/>
  <c r="ES552" i="147"/>
  <c r="ES553" i="147"/>
  <c r="ES554" i="147"/>
  <c r="ES555" i="147"/>
  <c r="ES556" i="147"/>
  <c r="ES557" i="147"/>
  <c r="ES558" i="147"/>
  <c r="ES559" i="147"/>
  <c r="ES560" i="147"/>
  <c r="ES561" i="147"/>
  <c r="ES562" i="147"/>
  <c r="ES563" i="147"/>
  <c r="ES564" i="147"/>
  <c r="ES565" i="147"/>
  <c r="ES566" i="147"/>
  <c r="ES568" i="147"/>
  <c r="ES569" i="147"/>
  <c r="ES570" i="147"/>
  <c r="ES571" i="147"/>
  <c r="ES572" i="147"/>
  <c r="ES573" i="147"/>
  <c r="ES574" i="147"/>
  <c r="ES575" i="147"/>
  <c r="ES576" i="147"/>
  <c r="ES577" i="147"/>
  <c r="ES578" i="147"/>
  <c r="ES579" i="147"/>
  <c r="ES580" i="147"/>
  <c r="ES581" i="147"/>
  <c r="ES582" i="147"/>
  <c r="ES583" i="147"/>
  <c r="ES584" i="147"/>
  <c r="ES585" i="147"/>
  <c r="ES586" i="147"/>
  <c r="ES587" i="147"/>
  <c r="ES588" i="147"/>
  <c r="ES589" i="147"/>
  <c r="ES590" i="147"/>
  <c r="ES591" i="147"/>
  <c r="ES592" i="147"/>
  <c r="ES593" i="147"/>
  <c r="ES594" i="147"/>
  <c r="ES595" i="147"/>
  <c r="ES596" i="147"/>
  <c r="ES597" i="147"/>
  <c r="ES598" i="147"/>
  <c r="ES600" i="147"/>
  <c r="ES601" i="147"/>
  <c r="ES602" i="147"/>
  <c r="ES603" i="147"/>
  <c r="ES604" i="147"/>
  <c r="ES605" i="147"/>
  <c r="ES606" i="147"/>
  <c r="ES607" i="147"/>
  <c r="ES608" i="147"/>
  <c r="ES609" i="147"/>
  <c r="ES610" i="147"/>
  <c r="ES611" i="147"/>
  <c r="ES612" i="147"/>
  <c r="ES613" i="147"/>
  <c r="ES614" i="147"/>
  <c r="ES615" i="147"/>
  <c r="ES616" i="147"/>
  <c r="ES617" i="147"/>
  <c r="ES618" i="147"/>
  <c r="ES619" i="147"/>
  <c r="ES620" i="147"/>
  <c r="ES621" i="147"/>
  <c r="ES622" i="147"/>
  <c r="ES623" i="147"/>
  <c r="ES624" i="147"/>
  <c r="ES625" i="147"/>
  <c r="ES626" i="147"/>
  <c r="ES627" i="147"/>
  <c r="ES628" i="147"/>
  <c r="ES629" i="147"/>
  <c r="ES631" i="147"/>
  <c r="ES632" i="147"/>
  <c r="ES633" i="147"/>
  <c r="ES634" i="147"/>
  <c r="ES635" i="147"/>
  <c r="ES636" i="147"/>
  <c r="ES637" i="147"/>
  <c r="ES638" i="147"/>
  <c r="ES639" i="147"/>
  <c r="ES640" i="147"/>
  <c r="ES641" i="147"/>
  <c r="ES642" i="147"/>
  <c r="ES643" i="147"/>
  <c r="EU375" i="147"/>
  <c r="EU376" i="147"/>
  <c r="EU377" i="147"/>
  <c r="EU378" i="147"/>
  <c r="EU379" i="147"/>
  <c r="EU380" i="147"/>
  <c r="EU381" i="147"/>
  <c r="EU382" i="147"/>
  <c r="EU383" i="147"/>
  <c r="EU384" i="147"/>
  <c r="EU385" i="147"/>
  <c r="EU386" i="147"/>
  <c r="EU387" i="147"/>
  <c r="EU388" i="147"/>
  <c r="EU389" i="147"/>
  <c r="EU390" i="147"/>
  <c r="EU391" i="147"/>
  <c r="EU392" i="147"/>
  <c r="EU393" i="147"/>
  <c r="EU394" i="147"/>
  <c r="EU395" i="147"/>
  <c r="EU396" i="147"/>
  <c r="EU397" i="147"/>
  <c r="EU398" i="147"/>
  <c r="EU399" i="147"/>
  <c r="EU400" i="147"/>
  <c r="EU401" i="147"/>
  <c r="EU402" i="147"/>
  <c r="EU403" i="147"/>
  <c r="EU404" i="147"/>
  <c r="EU405" i="147"/>
  <c r="EU406" i="147"/>
  <c r="EU407" i="147"/>
  <c r="EU408" i="147"/>
  <c r="EU409" i="147"/>
  <c r="EU410" i="147"/>
  <c r="EU411" i="147"/>
  <c r="EU412" i="147"/>
  <c r="EU413" i="147"/>
  <c r="EU414" i="147"/>
  <c r="EU415" i="147"/>
  <c r="EU416" i="147"/>
  <c r="EU417" i="147"/>
  <c r="EU418" i="147"/>
  <c r="EU419" i="147"/>
  <c r="EU420" i="147"/>
  <c r="EU421" i="147"/>
  <c r="EU422" i="147"/>
  <c r="EU423" i="147"/>
  <c r="EU424" i="147"/>
  <c r="EU425" i="147"/>
  <c r="EU426" i="147"/>
  <c r="EU427" i="147"/>
  <c r="EU428" i="147"/>
  <c r="EU429" i="147"/>
  <c r="EU430" i="147"/>
  <c r="EU431" i="147"/>
  <c r="EU432" i="147"/>
  <c r="EU433" i="147"/>
  <c r="EU434" i="147"/>
  <c r="EU435" i="147"/>
  <c r="EU436" i="147"/>
  <c r="EU437" i="147"/>
  <c r="EU438" i="147"/>
  <c r="EU445" i="147"/>
  <c r="EU446" i="147"/>
  <c r="EU447" i="147"/>
  <c r="EU448" i="147"/>
  <c r="EU449" i="147"/>
  <c r="EU450" i="147"/>
  <c r="EU451" i="147"/>
  <c r="EU452" i="147"/>
  <c r="EU453" i="147"/>
  <c r="EU454" i="147"/>
  <c r="EU455" i="147"/>
  <c r="EU456" i="147"/>
  <c r="EU457" i="147"/>
  <c r="EU439" i="147"/>
  <c r="EU440" i="147"/>
  <c r="EU441" i="147"/>
  <c r="EU442" i="147"/>
  <c r="EU443" i="147"/>
  <c r="EU444" i="147"/>
  <c r="EU458" i="147"/>
  <c r="EU459" i="147"/>
  <c r="EU460" i="147"/>
  <c r="EU461" i="147"/>
  <c r="EU462" i="147"/>
  <c r="EU463" i="147"/>
  <c r="EU464" i="147"/>
  <c r="EU465" i="147"/>
  <c r="EU466" i="147"/>
  <c r="EU467" i="147"/>
  <c r="EU468" i="147"/>
  <c r="EU469" i="147"/>
  <c r="EU470" i="147"/>
  <c r="EU471" i="147"/>
  <c r="EU472" i="147"/>
  <c r="EU473" i="147"/>
  <c r="EU474" i="147"/>
  <c r="EU475" i="147"/>
  <c r="EU476" i="147"/>
  <c r="EU477" i="147"/>
  <c r="EU478" i="147"/>
  <c r="EU479" i="147"/>
  <c r="EU480" i="147"/>
  <c r="EU481" i="147"/>
  <c r="EU482" i="147"/>
  <c r="EU483" i="147"/>
  <c r="EU484" i="147"/>
  <c r="EU485" i="147"/>
  <c r="EU486" i="147"/>
  <c r="EU487" i="147"/>
  <c r="EU488" i="147"/>
  <c r="EU489" i="147"/>
  <c r="EU490" i="147"/>
  <c r="EU491" i="147"/>
  <c r="EU492" i="147"/>
  <c r="EU493" i="147"/>
  <c r="EU494" i="147"/>
  <c r="EU495" i="147"/>
  <c r="EU496" i="147"/>
  <c r="EU497" i="147"/>
  <c r="EU498" i="147"/>
  <c r="EU499" i="147"/>
  <c r="EU500" i="147"/>
  <c r="EU501" i="147"/>
  <c r="EU502" i="147"/>
  <c r="EU503" i="147"/>
  <c r="EU504" i="147"/>
  <c r="EU505" i="147"/>
  <c r="EU506" i="147"/>
  <c r="EU507" i="147"/>
  <c r="EU508" i="147"/>
  <c r="EU509" i="147"/>
  <c r="EU510" i="147"/>
  <c r="EU511" i="147"/>
  <c r="EU512" i="147"/>
  <c r="EU513" i="147"/>
  <c r="EU514" i="147"/>
  <c r="EU515" i="147"/>
  <c r="EU516" i="147"/>
  <c r="EU517" i="147"/>
  <c r="EU518" i="147"/>
  <c r="EU519" i="147"/>
  <c r="EU520" i="147"/>
  <c r="EU521" i="147"/>
  <c r="EU522" i="147"/>
  <c r="EU523" i="147"/>
  <c r="EU524" i="147"/>
  <c r="EU525" i="147"/>
  <c r="EU526" i="147"/>
  <c r="EU527" i="147"/>
  <c r="EU528" i="147"/>
  <c r="EU529" i="147"/>
  <c r="EU530" i="147"/>
  <c r="EU531" i="147"/>
  <c r="EU532" i="147"/>
  <c r="EU533" i="147"/>
  <c r="EU534" i="147"/>
  <c r="EU535" i="147"/>
  <c r="EU536" i="147"/>
  <c r="EU537" i="147"/>
  <c r="EU538" i="147"/>
  <c r="EU539" i="147"/>
  <c r="EU540" i="147"/>
  <c r="EU541" i="147"/>
  <c r="EU542" i="147"/>
  <c r="EU543" i="147"/>
  <c r="EU544" i="147"/>
  <c r="EU545" i="147"/>
  <c r="EU546" i="147"/>
  <c r="EU547" i="147"/>
  <c r="EU548" i="147"/>
  <c r="EU549" i="147"/>
  <c r="EU550" i="147"/>
  <c r="EU551" i="147"/>
  <c r="EU552" i="147"/>
  <c r="EU553" i="147"/>
  <c r="EU554" i="147"/>
  <c r="EU555" i="147"/>
  <c r="EU556" i="147"/>
  <c r="EU557" i="147"/>
  <c r="EU558" i="147"/>
  <c r="EU559" i="147"/>
  <c r="EU560" i="147"/>
  <c r="EU561" i="147"/>
  <c r="EU562" i="147"/>
  <c r="EU563" i="147"/>
  <c r="EU564" i="147"/>
  <c r="EU565" i="147"/>
  <c r="EU566" i="147"/>
  <c r="EU568" i="147"/>
  <c r="EU569" i="147"/>
  <c r="EU570" i="147"/>
  <c r="EU571" i="147"/>
  <c r="EU572" i="147"/>
  <c r="EU573" i="147"/>
  <c r="EU574" i="147"/>
  <c r="EU575" i="147"/>
  <c r="EU576" i="147"/>
  <c r="EU577" i="147"/>
  <c r="EU578" i="147"/>
  <c r="EU579" i="147"/>
  <c r="EU580" i="147"/>
  <c r="EU581" i="147"/>
  <c r="EU582" i="147"/>
  <c r="EU583" i="147"/>
  <c r="EU584" i="147"/>
  <c r="EU585" i="147"/>
  <c r="EU586" i="147"/>
  <c r="EU587" i="147"/>
  <c r="EU588" i="147"/>
  <c r="EU589" i="147"/>
  <c r="EU590" i="147"/>
  <c r="EU591" i="147"/>
  <c r="EU592" i="147"/>
  <c r="EU593" i="147"/>
  <c r="EU594" i="147"/>
  <c r="EU595" i="147"/>
  <c r="EU596" i="147"/>
  <c r="EU597" i="147"/>
  <c r="EU598" i="147"/>
  <c r="EU600" i="147"/>
  <c r="EU601" i="147"/>
  <c r="EU602" i="147"/>
  <c r="EU603" i="147"/>
  <c r="EU604" i="147"/>
  <c r="EU605" i="147"/>
  <c r="EU606" i="147"/>
  <c r="EU607" i="147"/>
  <c r="EU608" i="147"/>
  <c r="EU609" i="147"/>
  <c r="EU610" i="147"/>
  <c r="EU611" i="147"/>
  <c r="EU612" i="147"/>
  <c r="EU613" i="147"/>
  <c r="EU614" i="147"/>
  <c r="EU615" i="147"/>
  <c r="EU616" i="147"/>
  <c r="EU617" i="147"/>
  <c r="EU618" i="147"/>
  <c r="EU619" i="147"/>
  <c r="EU620" i="147"/>
  <c r="EU621" i="147"/>
  <c r="EU622" i="147"/>
  <c r="EU623" i="147"/>
  <c r="EU624" i="147"/>
  <c r="EU625" i="147"/>
  <c r="EU626" i="147"/>
  <c r="EU627" i="147"/>
  <c r="EU628" i="147"/>
  <c r="EU629" i="147"/>
  <c r="EU631" i="147"/>
  <c r="EU632" i="147"/>
  <c r="EU633" i="147"/>
  <c r="EU634" i="147"/>
  <c r="EU635" i="147"/>
  <c r="EU636" i="147"/>
  <c r="EU637" i="147"/>
  <c r="EU638" i="147"/>
  <c r="EU639" i="147"/>
  <c r="EU640" i="147"/>
  <c r="EU641" i="147"/>
  <c r="EU642" i="147"/>
  <c r="EU643" i="147"/>
  <c r="EW379" i="147"/>
  <c r="EW380" i="147"/>
  <c r="EW381" i="147"/>
  <c r="EW382" i="147"/>
  <c r="EW383" i="147"/>
  <c r="EW384" i="147"/>
  <c r="EW385" i="147"/>
  <c r="EW386" i="147"/>
  <c r="EW387" i="147"/>
  <c r="EW388" i="147"/>
  <c r="EW389" i="147"/>
  <c r="EW390" i="147"/>
  <c r="EW391" i="147"/>
  <c r="EW392" i="147"/>
  <c r="EW393" i="147"/>
  <c r="EW394" i="147"/>
  <c r="EW395" i="147"/>
  <c r="EW396" i="147"/>
  <c r="EW397" i="147"/>
  <c r="EW398" i="147"/>
  <c r="EW399" i="147"/>
  <c r="EW375" i="147"/>
  <c r="EW376" i="147"/>
  <c r="EW377" i="147"/>
  <c r="EW378" i="147"/>
  <c r="EW400" i="147"/>
  <c r="EW401" i="147"/>
  <c r="EW402" i="147"/>
  <c r="EW403" i="147"/>
  <c r="EW404" i="147"/>
  <c r="EW405" i="147"/>
  <c r="EW406" i="147"/>
  <c r="EW407" i="147"/>
  <c r="EW408" i="147"/>
  <c r="EW409" i="147"/>
  <c r="EW410" i="147"/>
  <c r="EW411" i="147"/>
  <c r="EW412" i="147"/>
  <c r="EW413" i="147"/>
  <c r="EW414" i="147"/>
  <c r="EW415" i="147"/>
  <c r="EW416" i="147"/>
  <c r="EW417" i="147"/>
  <c r="EW418" i="147"/>
  <c r="EW419" i="147"/>
  <c r="EW420" i="147"/>
  <c r="EW421" i="147"/>
  <c r="EW422" i="147"/>
  <c r="EW423" i="147"/>
  <c r="EW424" i="147"/>
  <c r="EW425" i="147"/>
  <c r="EW426" i="147"/>
  <c r="EW427" i="147"/>
  <c r="EW428" i="147"/>
  <c r="EW429" i="147"/>
  <c r="EW430" i="147"/>
  <c r="EW431" i="147"/>
  <c r="EW432" i="147"/>
  <c r="EW433" i="147"/>
  <c r="EW434" i="147"/>
  <c r="EW435" i="147"/>
  <c r="EW436" i="147"/>
  <c r="EW437" i="147"/>
  <c r="EW438" i="147"/>
  <c r="EW439" i="147"/>
  <c r="EW440" i="147"/>
  <c r="EW441" i="147"/>
  <c r="EW442" i="147"/>
  <c r="EW443" i="147"/>
  <c r="EW444" i="147"/>
  <c r="EW445" i="147"/>
  <c r="EW446" i="147"/>
  <c r="EW447" i="147"/>
  <c r="EW448" i="147"/>
  <c r="EW449" i="147"/>
  <c r="EW450" i="147"/>
  <c r="EW451" i="147"/>
  <c r="EW452" i="147"/>
  <c r="EW453" i="147"/>
  <c r="EW454" i="147"/>
  <c r="EW455" i="147"/>
  <c r="EW456" i="147"/>
  <c r="EW457" i="147"/>
  <c r="EW458" i="147"/>
  <c r="EW459" i="147"/>
  <c r="EW460" i="147"/>
  <c r="EW461" i="147"/>
  <c r="EW462" i="147"/>
  <c r="EW463" i="147"/>
  <c r="EW464" i="147"/>
  <c r="EW465" i="147"/>
  <c r="EW466" i="147"/>
  <c r="EW467" i="147"/>
  <c r="EW468" i="147"/>
  <c r="EW469" i="147"/>
  <c r="EW470" i="147"/>
  <c r="EW471" i="147"/>
  <c r="EW472" i="147"/>
  <c r="EW473" i="147"/>
  <c r="EW474" i="147"/>
  <c r="EW475" i="147"/>
  <c r="EW476" i="147"/>
  <c r="EW477" i="147"/>
  <c r="EW478" i="147"/>
  <c r="EW479" i="147"/>
  <c r="EW480" i="147"/>
  <c r="EW481" i="147"/>
  <c r="EW482" i="147"/>
  <c r="EW483" i="147"/>
  <c r="EW484" i="147"/>
  <c r="EW485" i="147"/>
  <c r="EW486" i="147"/>
  <c r="EW487" i="147"/>
  <c r="EW488" i="147"/>
  <c r="EW489" i="147"/>
  <c r="EW490" i="147"/>
  <c r="EW491" i="147"/>
  <c r="EW492" i="147"/>
  <c r="EW493" i="147"/>
  <c r="EW494" i="147"/>
  <c r="EW495" i="147"/>
  <c r="EW496" i="147"/>
  <c r="EW497" i="147"/>
  <c r="EW498" i="147"/>
  <c r="EW499" i="147"/>
  <c r="EW500" i="147"/>
  <c r="EW501" i="147"/>
  <c r="EW502" i="147"/>
  <c r="EW503" i="147"/>
  <c r="EW504" i="147"/>
  <c r="EW505" i="147"/>
  <c r="EW506" i="147"/>
  <c r="EW507" i="147"/>
  <c r="EW508" i="147"/>
  <c r="EW509" i="147"/>
  <c r="EW510" i="147"/>
  <c r="EW511" i="147"/>
  <c r="EW512" i="147"/>
  <c r="EW513" i="147"/>
  <c r="EW514" i="147"/>
  <c r="EW515" i="147"/>
  <c r="EW516" i="147"/>
  <c r="EW517" i="147"/>
  <c r="EW518" i="147"/>
  <c r="EW519" i="147"/>
  <c r="EW520" i="147"/>
  <c r="EW521" i="147"/>
  <c r="EW522" i="147"/>
  <c r="EW523" i="147"/>
  <c r="EW524" i="147"/>
  <c r="EW525" i="147"/>
  <c r="EW526" i="147"/>
  <c r="EW527" i="147"/>
  <c r="EW528" i="147"/>
  <c r="EW529" i="147"/>
  <c r="EW530" i="147"/>
  <c r="EW531" i="147"/>
  <c r="EW532" i="147"/>
  <c r="EW533" i="147"/>
  <c r="EW534" i="147"/>
  <c r="EW535" i="147"/>
  <c r="EW536" i="147"/>
  <c r="EW537" i="147"/>
  <c r="EW538" i="147"/>
  <c r="EW539" i="147"/>
  <c r="EW540" i="147"/>
  <c r="EW541" i="147"/>
  <c r="EW542" i="147"/>
  <c r="EW543" i="147"/>
  <c r="EW544" i="147"/>
  <c r="EW545" i="147"/>
  <c r="EW546" i="147"/>
  <c r="EW547" i="147"/>
  <c r="EW548" i="147"/>
  <c r="EW549" i="147"/>
  <c r="EW550" i="147"/>
  <c r="EW551" i="147"/>
  <c r="EW552" i="147"/>
  <c r="EW553" i="147"/>
  <c r="EW554" i="147"/>
  <c r="EW555" i="147"/>
  <c r="EW556" i="147"/>
  <c r="EW557" i="147"/>
  <c r="EW558" i="147"/>
  <c r="EW559" i="147"/>
  <c r="EW560" i="147"/>
  <c r="EW561" i="147"/>
  <c r="EW562" i="147"/>
  <c r="EW563" i="147"/>
  <c r="EW564" i="147"/>
  <c r="EW565" i="147"/>
  <c r="EW566" i="147"/>
  <c r="EW568" i="147"/>
  <c r="EW569" i="147"/>
  <c r="EW570" i="147"/>
  <c r="EW571" i="147"/>
  <c r="EW572" i="147"/>
  <c r="EW573" i="147"/>
  <c r="EW574" i="147"/>
  <c r="EW575" i="147"/>
  <c r="EW576" i="147"/>
  <c r="EW577" i="147"/>
  <c r="EW578" i="147"/>
  <c r="EW579" i="147"/>
  <c r="EW580" i="147"/>
  <c r="EW581" i="147"/>
  <c r="EW582" i="147"/>
  <c r="EW583" i="147"/>
  <c r="EW584" i="147"/>
  <c r="EW585" i="147"/>
  <c r="EW586" i="147"/>
  <c r="EW587" i="147"/>
  <c r="EW588" i="147"/>
  <c r="EW589" i="147"/>
  <c r="EW590" i="147"/>
  <c r="EW591" i="147"/>
  <c r="EW592" i="147"/>
  <c r="EW593" i="147"/>
  <c r="EW594" i="147"/>
  <c r="EW595" i="147"/>
  <c r="EW596" i="147"/>
  <c r="EW597" i="147"/>
  <c r="EW598" i="147"/>
  <c r="EW600" i="147"/>
  <c r="EW601" i="147"/>
  <c r="EW602" i="147"/>
  <c r="EW603" i="147"/>
  <c r="EW604" i="147"/>
  <c r="EW605" i="147"/>
  <c r="EW606" i="147"/>
  <c r="EW607" i="147"/>
  <c r="EW608" i="147"/>
  <c r="EW609" i="147"/>
  <c r="EW610" i="147"/>
  <c r="EW611" i="147"/>
  <c r="EW612" i="147"/>
  <c r="EW613" i="147"/>
  <c r="EW614" i="147"/>
  <c r="EW615" i="147"/>
  <c r="EW616" i="147"/>
  <c r="EW617" i="147"/>
  <c r="EW618" i="147"/>
  <c r="EW619" i="147"/>
  <c r="EW620" i="147"/>
  <c r="EW621" i="147"/>
  <c r="EW622" i="147"/>
  <c r="EW623" i="147"/>
  <c r="EW624" i="147"/>
  <c r="EW625" i="147"/>
  <c r="EW626" i="147"/>
  <c r="EW627" i="147"/>
  <c r="EW628" i="147"/>
  <c r="EW629" i="147"/>
  <c r="EW631" i="147"/>
  <c r="EW632" i="147"/>
  <c r="EW633" i="147"/>
  <c r="EW634" i="147"/>
  <c r="EW635" i="147"/>
  <c r="EW636" i="147"/>
  <c r="EW637" i="147"/>
  <c r="EW638" i="147"/>
  <c r="EW639" i="147"/>
  <c r="EW640" i="147"/>
  <c r="EW641" i="147"/>
  <c r="EW642" i="147"/>
  <c r="EW643" i="147"/>
  <c r="DC595" i="147"/>
  <c r="G308" i="147"/>
  <c r="E308" i="147"/>
  <c r="F308" i="147"/>
  <c r="D308" i="147"/>
  <c r="G311" i="147"/>
  <c r="E311" i="147"/>
  <c r="F311" i="147"/>
  <c r="D311" i="147"/>
  <c r="D313" i="147"/>
  <c r="F313" i="147"/>
  <c r="E313" i="147"/>
  <c r="G313" i="147"/>
  <c r="G317" i="147"/>
  <c r="E317" i="147"/>
  <c r="F317" i="147"/>
  <c r="D317" i="147"/>
  <c r="D318" i="147"/>
  <c r="F318" i="147"/>
  <c r="E318" i="147"/>
  <c r="G318" i="147"/>
  <c r="G320" i="147"/>
  <c r="E320" i="147"/>
  <c r="F320" i="147"/>
  <c r="D320" i="147"/>
  <c r="G321" i="147"/>
  <c r="E321" i="147"/>
  <c r="F321" i="147"/>
  <c r="D321" i="147"/>
  <c r="G309" i="147"/>
  <c r="E309" i="147"/>
  <c r="F309" i="147"/>
  <c r="D309" i="147"/>
  <c r="G310" i="147"/>
  <c r="E310" i="147"/>
  <c r="F310" i="147"/>
  <c r="D310" i="147"/>
  <c r="G312" i="147"/>
  <c r="E312" i="147"/>
  <c r="F312" i="147"/>
  <c r="D312" i="147"/>
  <c r="F220" i="147"/>
  <c r="D220" i="147"/>
  <c r="E220" i="147"/>
  <c r="G220" i="147"/>
  <c r="F222" i="147"/>
  <c r="D222" i="147"/>
  <c r="E222" i="147"/>
  <c r="G222" i="147"/>
  <c r="F223" i="147"/>
  <c r="D223" i="147"/>
  <c r="E223" i="147"/>
  <c r="G223" i="147"/>
  <c r="F224" i="147"/>
  <c r="D224" i="147"/>
  <c r="E224" i="147"/>
  <c r="G224" i="147"/>
  <c r="F238" i="147"/>
  <c r="D238" i="147"/>
  <c r="E238" i="147"/>
  <c r="G238" i="147"/>
  <c r="F267" i="147"/>
  <c r="D267" i="147"/>
  <c r="E267" i="147"/>
  <c r="G267" i="147"/>
  <c r="F271" i="147"/>
  <c r="D271" i="147"/>
  <c r="E271" i="147"/>
  <c r="G271" i="147"/>
  <c r="F289" i="147"/>
  <c r="D289" i="147"/>
  <c r="E289" i="147"/>
  <c r="G289" i="147"/>
  <c r="F294" i="147"/>
  <c r="D294" i="147"/>
  <c r="E294" i="147"/>
  <c r="G294" i="147"/>
  <c r="F303" i="147"/>
  <c r="D303" i="147"/>
  <c r="E303" i="147"/>
  <c r="G303" i="147"/>
  <c r="F198" i="147"/>
  <c r="D198" i="147"/>
  <c r="G198" i="147"/>
  <c r="E198" i="147"/>
  <c r="G203" i="147"/>
  <c r="F203" i="147"/>
  <c r="D203" i="147"/>
  <c r="E203" i="147"/>
  <c r="G207" i="147"/>
  <c r="E207" i="147"/>
  <c r="F207" i="147"/>
  <c r="D207" i="147"/>
  <c r="F209" i="147"/>
  <c r="E209" i="147"/>
  <c r="G209" i="147"/>
  <c r="D209" i="147"/>
  <c r="F215" i="147"/>
  <c r="D215" i="147"/>
  <c r="E215" i="147"/>
  <c r="G215" i="147"/>
  <c r="F217" i="147"/>
  <c r="D217" i="147"/>
  <c r="E217" i="147"/>
  <c r="G217" i="147"/>
  <c r="F196" i="147"/>
  <c r="D196" i="147"/>
  <c r="G196" i="147"/>
  <c r="E196" i="147"/>
  <c r="F200" i="147"/>
  <c r="D200" i="147"/>
  <c r="G200" i="147"/>
  <c r="E200" i="147"/>
  <c r="G202" i="147"/>
  <c r="E202" i="147"/>
  <c r="F202" i="147"/>
  <c r="D202" i="147"/>
  <c r="G204" i="147"/>
  <c r="E204" i="147"/>
  <c r="F204" i="147"/>
  <c r="D204" i="147"/>
  <c r="G205" i="147"/>
  <c r="E205" i="147"/>
  <c r="F205" i="147"/>
  <c r="D205" i="147"/>
  <c r="G206" i="147"/>
  <c r="E206" i="147"/>
  <c r="F206" i="147"/>
  <c r="D206" i="147"/>
  <c r="G208" i="147"/>
  <c r="E208" i="147"/>
  <c r="F208" i="147"/>
  <c r="D208" i="147"/>
  <c r="F211" i="147"/>
  <c r="F149" i="489" s="1"/>
  <c r="D211" i="147"/>
  <c r="D149" i="489" s="1"/>
  <c r="E211" i="147"/>
  <c r="E149" i="489" s="1"/>
  <c r="G211" i="147"/>
  <c r="G149" i="489" s="1"/>
  <c r="F212" i="147"/>
  <c r="D212" i="147"/>
  <c r="E212" i="147"/>
  <c r="G212" i="147"/>
  <c r="F213" i="147"/>
  <c r="D213" i="147"/>
  <c r="E213" i="147"/>
  <c r="G213" i="147"/>
  <c r="F214" i="147"/>
  <c r="D214" i="147"/>
  <c r="E214" i="147"/>
  <c r="G214" i="147"/>
  <c r="F216" i="147"/>
  <c r="D216" i="147"/>
  <c r="E216" i="147"/>
  <c r="G216" i="147"/>
  <c r="F218" i="147"/>
  <c r="D218" i="147"/>
  <c r="E218" i="147"/>
  <c r="G218" i="147"/>
  <c r="F221" i="147"/>
  <c r="D221" i="147"/>
  <c r="E221" i="147"/>
  <c r="G221" i="147"/>
  <c r="F257" i="147"/>
  <c r="D257" i="147"/>
  <c r="E257" i="147"/>
  <c r="G257" i="147"/>
  <c r="F259" i="147"/>
  <c r="D259" i="147"/>
  <c r="E259" i="147"/>
  <c r="G259" i="147"/>
  <c r="F261" i="147"/>
  <c r="D261" i="147"/>
  <c r="E261" i="147"/>
  <c r="G261" i="147"/>
  <c r="F262" i="147"/>
  <c r="D262" i="147"/>
  <c r="E262" i="147"/>
  <c r="G262" i="147"/>
  <c r="F263" i="147"/>
  <c r="D263" i="147"/>
  <c r="E263" i="147"/>
  <c r="G263" i="147"/>
  <c r="F265" i="147"/>
  <c r="D265" i="147"/>
  <c r="E265" i="147"/>
  <c r="G265" i="147"/>
  <c r="F266" i="147"/>
  <c r="E266" i="147"/>
  <c r="D266" i="147"/>
  <c r="G266" i="147"/>
  <c r="F268" i="147"/>
  <c r="D268" i="147"/>
  <c r="E268" i="147"/>
  <c r="G268" i="147"/>
  <c r="F269" i="147"/>
  <c r="D269" i="147"/>
  <c r="E269" i="147"/>
  <c r="G269" i="147"/>
  <c r="F270" i="147"/>
  <c r="D270" i="147"/>
  <c r="E270" i="147"/>
  <c r="G270" i="147"/>
  <c r="F297" i="147"/>
  <c r="D297" i="147"/>
  <c r="E297" i="147"/>
  <c r="G297" i="147"/>
  <c r="F298" i="147"/>
  <c r="D298" i="147"/>
  <c r="E298" i="147"/>
  <c r="G298" i="147"/>
  <c r="F299" i="147"/>
  <c r="D299" i="147"/>
  <c r="E299" i="147"/>
  <c r="G299" i="147"/>
  <c r="F300" i="147"/>
  <c r="D300" i="147"/>
  <c r="E300" i="147"/>
  <c r="G300" i="147"/>
  <c r="G301" i="147"/>
  <c r="D301" i="147"/>
  <c r="F301" i="147"/>
  <c r="E301" i="147"/>
  <c r="G286" i="147"/>
  <c r="E286" i="147"/>
  <c r="F286" i="147"/>
  <c r="D286" i="147"/>
  <c r="G304" i="147"/>
  <c r="E304" i="147"/>
  <c r="F304" i="147"/>
  <c r="D304" i="147"/>
  <c r="F6" i="147"/>
  <c r="D6" i="147"/>
  <c r="G6" i="147"/>
  <c r="E6" i="147"/>
  <c r="F7" i="147"/>
  <c r="D7" i="147"/>
  <c r="G7" i="147"/>
  <c r="E7" i="147"/>
  <c r="F8" i="147"/>
  <c r="D8" i="147"/>
  <c r="G8" i="147"/>
  <c r="E8" i="147"/>
  <c r="F11" i="147"/>
  <c r="D11" i="147"/>
  <c r="G11" i="147"/>
  <c r="E11" i="147"/>
  <c r="F12" i="147"/>
  <c r="D12" i="147"/>
  <c r="G12" i="147"/>
  <c r="E12" i="147"/>
  <c r="F13" i="147"/>
  <c r="D13" i="147"/>
  <c r="G13" i="147"/>
  <c r="E13" i="147"/>
  <c r="F17" i="147"/>
  <c r="D17" i="147"/>
  <c r="G17" i="147"/>
  <c r="E17" i="147"/>
  <c r="F46" i="147"/>
  <c r="D46" i="147"/>
  <c r="G46" i="147"/>
  <c r="E46" i="147"/>
  <c r="F51" i="147"/>
  <c r="D51" i="147"/>
  <c r="G51" i="147"/>
  <c r="E51" i="147"/>
  <c r="F104" i="147"/>
  <c r="D104" i="147"/>
  <c r="G104" i="147"/>
  <c r="E104" i="147"/>
  <c r="F106" i="147"/>
  <c r="D106" i="147"/>
  <c r="G106" i="147"/>
  <c r="E106" i="147"/>
  <c r="F108" i="147"/>
  <c r="D108" i="147"/>
  <c r="G108" i="147"/>
  <c r="E108" i="147"/>
  <c r="F110" i="147"/>
  <c r="D110" i="147"/>
  <c r="G110" i="147"/>
  <c r="E110" i="147"/>
  <c r="F112" i="147"/>
  <c r="D112" i="147"/>
  <c r="G112" i="147"/>
  <c r="E112" i="147"/>
  <c r="F115" i="147"/>
  <c r="D115" i="147"/>
  <c r="G115" i="147"/>
  <c r="E115" i="147"/>
  <c r="F116" i="147"/>
  <c r="D116" i="147"/>
  <c r="G116" i="147"/>
  <c r="E116" i="147"/>
  <c r="F117" i="147"/>
  <c r="D117" i="147"/>
  <c r="G117" i="147"/>
  <c r="E117" i="147"/>
  <c r="F118" i="147"/>
  <c r="D118" i="147"/>
  <c r="G118" i="147"/>
  <c r="E118" i="147"/>
  <c r="F119" i="147"/>
  <c r="D119" i="147"/>
  <c r="G119" i="147"/>
  <c r="E119" i="147"/>
  <c r="F120" i="147"/>
  <c r="D120" i="147"/>
  <c r="G120" i="147"/>
  <c r="E120" i="147"/>
  <c r="F121" i="147"/>
  <c r="D121" i="147"/>
  <c r="G121" i="147"/>
  <c r="E121" i="147"/>
  <c r="F123" i="147"/>
  <c r="D123" i="147"/>
  <c r="G123" i="147"/>
  <c r="E123" i="147"/>
  <c r="F124" i="147"/>
  <c r="D124" i="147"/>
  <c r="G124" i="147"/>
  <c r="E124" i="147"/>
  <c r="F125" i="147"/>
  <c r="D125" i="147"/>
  <c r="G125" i="147"/>
  <c r="E125" i="147"/>
  <c r="F126" i="147"/>
  <c r="D126" i="147"/>
  <c r="G126" i="147"/>
  <c r="E126" i="147"/>
  <c r="F127" i="147"/>
  <c r="D127" i="147"/>
  <c r="G127" i="147"/>
  <c r="E127" i="147"/>
  <c r="F128" i="147"/>
  <c r="D128" i="147"/>
  <c r="G128" i="147"/>
  <c r="E128" i="147"/>
  <c r="F129" i="147"/>
  <c r="D129" i="147"/>
  <c r="G129" i="147"/>
  <c r="E129" i="147"/>
  <c r="F130" i="147"/>
  <c r="F167" i="489" s="1"/>
  <c r="D130" i="147"/>
  <c r="D167" i="489" s="1"/>
  <c r="G130" i="147"/>
  <c r="G167" i="489" s="1"/>
  <c r="E130" i="147"/>
  <c r="E167" i="489" s="1"/>
  <c r="F132" i="147"/>
  <c r="D132" i="147"/>
  <c r="G132" i="147"/>
  <c r="E132" i="147"/>
  <c r="F134" i="147"/>
  <c r="D134" i="147"/>
  <c r="G134" i="147"/>
  <c r="E134" i="147"/>
  <c r="F136" i="147"/>
  <c r="F17" i="489" s="1"/>
  <c r="D136" i="147"/>
  <c r="D17" i="489" s="1"/>
  <c r="G136" i="147"/>
  <c r="G17" i="489" s="1"/>
  <c r="E136" i="147"/>
  <c r="E17" i="489" s="1"/>
  <c r="F137" i="147"/>
  <c r="D137" i="147"/>
  <c r="G137" i="147"/>
  <c r="E137" i="147"/>
  <c r="F138" i="147"/>
  <c r="D138" i="147"/>
  <c r="G138" i="147"/>
  <c r="E138" i="147"/>
  <c r="F140" i="147"/>
  <c r="D140" i="147"/>
  <c r="G140" i="147"/>
  <c r="E140" i="147"/>
  <c r="F142" i="147"/>
  <c r="D142" i="147"/>
  <c r="G142" i="147"/>
  <c r="E142" i="147"/>
  <c r="F144" i="147"/>
  <c r="D144" i="147"/>
  <c r="G144" i="147"/>
  <c r="E144" i="147"/>
  <c r="F148" i="147"/>
  <c r="D148" i="147"/>
  <c r="G148" i="147"/>
  <c r="E148" i="147"/>
  <c r="G149" i="147"/>
  <c r="E149" i="147"/>
  <c r="D149" i="147"/>
  <c r="F149" i="147"/>
  <c r="F152" i="147"/>
  <c r="F47" i="489" s="1"/>
  <c r="E152" i="147"/>
  <c r="E47" i="489" s="1"/>
  <c r="D152" i="147"/>
  <c r="D47" i="489" s="1"/>
  <c r="G152" i="147"/>
  <c r="G47" i="489" s="1"/>
  <c r="F158" i="147"/>
  <c r="D158" i="147"/>
  <c r="E158" i="147"/>
  <c r="G158" i="147"/>
  <c r="F161" i="147"/>
  <c r="D161" i="147"/>
  <c r="E161" i="147"/>
  <c r="G161" i="147"/>
  <c r="F163" i="147"/>
  <c r="D163" i="147"/>
  <c r="E163" i="147"/>
  <c r="G163" i="147"/>
  <c r="F165" i="147"/>
  <c r="D165" i="147"/>
  <c r="E165" i="147"/>
  <c r="G165" i="147"/>
  <c r="E166" i="147"/>
  <c r="G166" i="147"/>
  <c r="F166" i="147"/>
  <c r="D166" i="147"/>
  <c r="F167" i="147"/>
  <c r="D167" i="147"/>
  <c r="E167" i="147"/>
  <c r="G167" i="147"/>
  <c r="F168" i="147"/>
  <c r="D168" i="147"/>
  <c r="E168" i="147"/>
  <c r="G168" i="147"/>
  <c r="F169" i="147"/>
  <c r="D169" i="147"/>
  <c r="E169" i="147"/>
  <c r="G169" i="147"/>
  <c r="F171" i="147"/>
  <c r="D171" i="147"/>
  <c r="E171" i="147"/>
  <c r="G171" i="147"/>
  <c r="E172" i="147"/>
  <c r="G172" i="147"/>
  <c r="F172" i="147"/>
  <c r="D172" i="147"/>
  <c r="F173" i="147"/>
  <c r="D173" i="147"/>
  <c r="E173" i="147"/>
  <c r="G173" i="147"/>
  <c r="E175" i="147"/>
  <c r="G175" i="147"/>
  <c r="F175" i="147"/>
  <c r="D175" i="147"/>
  <c r="G177" i="147"/>
  <c r="E177" i="147"/>
  <c r="F177" i="147"/>
  <c r="D177" i="147"/>
  <c r="G178" i="147"/>
  <c r="E178" i="147"/>
  <c r="F178" i="147"/>
  <c r="D178" i="147"/>
  <c r="G180" i="147"/>
  <c r="E180" i="147"/>
  <c r="F180" i="147"/>
  <c r="D180" i="147"/>
  <c r="D182" i="147"/>
  <c r="F182" i="147"/>
  <c r="E182" i="147"/>
  <c r="G182" i="147"/>
  <c r="G183" i="147"/>
  <c r="E183" i="147"/>
  <c r="F183" i="147"/>
  <c r="D183" i="147"/>
  <c r="D185" i="147"/>
  <c r="F185" i="147"/>
  <c r="E185" i="147"/>
  <c r="G185" i="147"/>
  <c r="D187" i="147"/>
  <c r="D209" i="489" s="1"/>
  <c r="F187" i="147"/>
  <c r="F209" i="489" s="1"/>
  <c r="E187" i="147"/>
  <c r="E209" i="489" s="1"/>
  <c r="G187" i="147"/>
  <c r="G209" i="489" s="1"/>
  <c r="F190" i="147"/>
  <c r="E190" i="147"/>
  <c r="G190" i="147"/>
  <c r="D190" i="147"/>
  <c r="G191" i="147"/>
  <c r="E191" i="147"/>
  <c r="F191" i="147"/>
  <c r="D191" i="147"/>
  <c r="G192" i="147"/>
  <c r="G29" i="489" s="1"/>
  <c r="E192" i="147"/>
  <c r="E29" i="489" s="1"/>
  <c r="F192" i="147"/>
  <c r="F29" i="489" s="1"/>
  <c r="D192" i="147"/>
  <c r="D29" i="489" s="1"/>
  <c r="G194" i="147"/>
  <c r="E194" i="147"/>
  <c r="F194" i="147"/>
  <c r="D194" i="147"/>
  <c r="G9" i="147"/>
  <c r="E9" i="147"/>
  <c r="D9" i="147"/>
  <c r="F9" i="147"/>
  <c r="G10" i="147"/>
  <c r="E10" i="147"/>
  <c r="D10" i="147"/>
  <c r="F10" i="147"/>
  <c r="F56" i="147"/>
  <c r="D56" i="147"/>
  <c r="G56" i="147"/>
  <c r="E56" i="147"/>
  <c r="F105" i="147"/>
  <c r="D105" i="147"/>
  <c r="G105" i="147"/>
  <c r="E105" i="147"/>
  <c r="F107" i="147"/>
  <c r="D107" i="147"/>
  <c r="G107" i="147"/>
  <c r="E107" i="147"/>
  <c r="F109" i="147"/>
  <c r="D109" i="147"/>
  <c r="G109" i="147"/>
  <c r="E109" i="147"/>
  <c r="F111" i="147"/>
  <c r="F30" i="489" s="1"/>
  <c r="D111" i="147"/>
  <c r="D30" i="489" s="1"/>
  <c r="G111" i="147"/>
  <c r="G30" i="489" s="1"/>
  <c r="E111" i="147"/>
  <c r="E30" i="489" s="1"/>
  <c r="F113" i="147"/>
  <c r="D113" i="147"/>
  <c r="G113" i="147"/>
  <c r="E113" i="147"/>
  <c r="F114" i="147"/>
  <c r="D114" i="147"/>
  <c r="G114" i="147"/>
  <c r="E114" i="147"/>
  <c r="F122" i="147"/>
  <c r="D122" i="147"/>
  <c r="G122" i="147"/>
  <c r="E122" i="147"/>
  <c r="F131" i="147"/>
  <c r="F107" i="489" s="1"/>
  <c r="D131" i="147"/>
  <c r="D107" i="489" s="1"/>
  <c r="G131" i="147"/>
  <c r="G107" i="489" s="1"/>
  <c r="E131" i="147"/>
  <c r="E107" i="489" s="1"/>
  <c r="F133" i="147"/>
  <c r="D133" i="147"/>
  <c r="G133" i="147"/>
  <c r="E133" i="147"/>
  <c r="F135" i="147"/>
  <c r="D135" i="147"/>
  <c r="G135" i="147"/>
  <c r="E135" i="147"/>
  <c r="F139" i="147"/>
  <c r="D139" i="147"/>
  <c r="G139" i="147"/>
  <c r="E139" i="147"/>
  <c r="F141" i="147"/>
  <c r="D141" i="147"/>
  <c r="G141" i="147"/>
  <c r="E141" i="147"/>
  <c r="F143" i="147"/>
  <c r="D143" i="147"/>
  <c r="G143" i="147"/>
  <c r="E143" i="147"/>
  <c r="F146" i="147"/>
  <c r="D146" i="147"/>
  <c r="G146" i="147"/>
  <c r="E146" i="147"/>
  <c r="G150" i="147"/>
  <c r="E150" i="147"/>
  <c r="D150" i="147"/>
  <c r="F150" i="147"/>
  <c r="G151" i="147"/>
  <c r="E151" i="147"/>
  <c r="D151" i="147"/>
  <c r="F151" i="147"/>
  <c r="F153" i="147"/>
  <c r="D153" i="147"/>
  <c r="E153" i="147"/>
  <c r="G153" i="147"/>
  <c r="F155" i="147"/>
  <c r="D155" i="147"/>
  <c r="E155" i="147"/>
  <c r="G155" i="147"/>
  <c r="F156" i="147"/>
  <c r="D156" i="147"/>
  <c r="E156" i="147"/>
  <c r="G156" i="147"/>
  <c r="F160" i="147"/>
  <c r="D160" i="147"/>
  <c r="E160" i="147"/>
  <c r="G160" i="147"/>
  <c r="F162" i="147"/>
  <c r="D162" i="147"/>
  <c r="E162" i="147"/>
  <c r="G162" i="147"/>
  <c r="F164" i="147"/>
  <c r="D164" i="147"/>
  <c r="E164" i="147"/>
  <c r="G164" i="147"/>
  <c r="E170" i="147"/>
  <c r="G170" i="147"/>
  <c r="F170" i="147"/>
  <c r="D170" i="147"/>
  <c r="F174" i="147"/>
  <c r="D174" i="147"/>
  <c r="E174" i="147"/>
  <c r="G174" i="147"/>
  <c r="G176" i="147"/>
  <c r="D176" i="147"/>
  <c r="E176" i="147"/>
  <c r="D179" i="147"/>
  <c r="F179" i="147"/>
  <c r="E179" i="147"/>
  <c r="G179" i="147"/>
  <c r="G181" i="147"/>
  <c r="E181" i="147"/>
  <c r="F181" i="147"/>
  <c r="D181" i="147"/>
  <c r="G184" i="147"/>
  <c r="E184" i="147"/>
  <c r="F184" i="147"/>
  <c r="D184" i="147"/>
  <c r="G186" i="147"/>
  <c r="E186" i="147"/>
  <c r="F186" i="147"/>
  <c r="D186" i="147"/>
  <c r="G188" i="147"/>
  <c r="E188" i="147"/>
  <c r="F188" i="147"/>
  <c r="D188" i="147"/>
  <c r="G189" i="147"/>
  <c r="E189" i="147"/>
  <c r="F189" i="147"/>
  <c r="D189" i="147"/>
  <c r="G195" i="147"/>
  <c r="E195" i="147"/>
  <c r="F195" i="147"/>
  <c r="D195" i="147"/>
  <c r="E5" i="147"/>
  <c r="D5" i="147"/>
  <c r="G5" i="147"/>
  <c r="F5" i="147"/>
  <c r="M23" i="168"/>
  <c r="M28" i="168"/>
  <c r="M21" i="168"/>
  <c r="M26" i="168"/>
  <c r="M24" i="168"/>
  <c r="M22" i="168"/>
  <c r="M27" i="168"/>
  <c r="M25" i="168"/>
  <c r="AE137" i="147"/>
  <c r="AE507" i="147" s="1"/>
  <c r="M19" i="172"/>
  <c r="M21" i="428"/>
  <c r="M21" i="416"/>
  <c r="M23" i="300"/>
  <c r="M24" i="172"/>
  <c r="M22" i="416"/>
  <c r="M24" i="300"/>
  <c r="M20" i="428"/>
  <c r="Q371" i="147"/>
  <c r="Q373" i="147" s="1"/>
  <c r="M25" i="428"/>
  <c r="M20" i="416"/>
  <c r="M25" i="416"/>
  <c r="M22" i="300"/>
  <c r="M23" i="172"/>
  <c r="L24" i="173"/>
  <c r="C966" i="489"/>
  <c r="M19" i="323"/>
  <c r="M19" i="423"/>
  <c r="M19" i="426"/>
  <c r="M20" i="176"/>
  <c r="M21" i="410"/>
  <c r="M20" i="417"/>
  <c r="M20" i="420"/>
  <c r="M26" i="410"/>
  <c r="M25" i="417"/>
  <c r="M25" i="420"/>
  <c r="N371" i="147"/>
  <c r="M24" i="410"/>
  <c r="M23" i="417"/>
  <c r="M21" i="417"/>
  <c r="M21" i="420"/>
  <c r="C935" i="489"/>
  <c r="C947" i="489"/>
  <c r="M26" i="417"/>
  <c r="M19" i="176"/>
  <c r="C895" i="489"/>
  <c r="C923" i="489"/>
  <c r="C962" i="489"/>
  <c r="M20" i="410"/>
  <c r="M27" i="428"/>
  <c r="M19" i="417"/>
  <c r="M19" i="420"/>
  <c r="M23" i="323"/>
  <c r="M23" i="423"/>
  <c r="C911" i="489"/>
  <c r="C937" i="489"/>
  <c r="M25" i="410"/>
  <c r="M24" i="417"/>
  <c r="M24" i="420"/>
  <c r="C964" i="489"/>
  <c r="M21" i="323"/>
  <c r="M21" i="423"/>
  <c r="M21" i="426"/>
  <c r="M22" i="176"/>
  <c r="M22" i="417"/>
  <c r="M22" i="420"/>
  <c r="M26" i="422"/>
  <c r="H14" i="160"/>
  <c r="G1" i="160" s="1"/>
  <c r="M24" i="167"/>
  <c r="M23" i="428"/>
  <c r="M26" i="169"/>
  <c r="M20" i="92"/>
  <c r="M22" i="167"/>
  <c r="M21" i="424"/>
  <c r="M26" i="428"/>
  <c r="M23" i="92"/>
  <c r="M25" i="167"/>
  <c r="M24" i="428"/>
  <c r="M19" i="168"/>
  <c r="M21" i="322"/>
  <c r="M21" i="325"/>
  <c r="M21" i="425"/>
  <c r="L20" i="172"/>
  <c r="M22" i="428"/>
  <c r="M25" i="169"/>
  <c r="M23" i="169"/>
  <c r="M21" i="419"/>
  <c r="M20" i="441"/>
  <c r="M21" i="169"/>
  <c r="M22" i="92"/>
  <c r="M20" i="288"/>
  <c r="BX371" i="147"/>
  <c r="BX373" i="147" s="1"/>
  <c r="C897" i="489"/>
  <c r="C822" i="489"/>
  <c r="C928" i="489"/>
  <c r="C916" i="489"/>
  <c r="C955" i="489"/>
  <c r="C904" i="489"/>
  <c r="C892" i="489"/>
  <c r="C933" i="489"/>
  <c r="C945" i="489"/>
  <c r="C960" i="489"/>
  <c r="C909" i="489"/>
  <c r="AQ1220" i="489"/>
  <c r="CF1248" i="489"/>
  <c r="CS1250" i="489"/>
  <c r="P1249" i="489"/>
  <c r="P1256" i="489" s="1"/>
  <c r="P1263" i="489" s="1"/>
  <c r="P306" i="489"/>
  <c r="P313" i="489" s="1"/>
  <c r="P336" i="489" s="1"/>
  <c r="B1209" i="489"/>
  <c r="CB1137" i="489"/>
  <c r="V1194" i="489"/>
  <c r="V1200" i="489" s="1"/>
  <c r="DC1221" i="489"/>
  <c r="V1249" i="489"/>
  <c r="C1209" i="489"/>
  <c r="C1054" i="489"/>
  <c r="C1210" i="489"/>
  <c r="B120" i="489"/>
  <c r="B1222" i="489"/>
  <c r="B1240" i="489"/>
  <c r="B1213" i="489"/>
  <c r="DC1248" i="489"/>
  <c r="DF1250" i="489"/>
  <c r="DF306" i="489"/>
  <c r="B1221" i="489"/>
  <c r="DC1153" i="489"/>
  <c r="C1222" i="489"/>
  <c r="CN1042" i="489"/>
  <c r="AM1192" i="489"/>
  <c r="AM1200" i="489" s="1"/>
  <c r="AM246" i="489"/>
  <c r="C1221" i="489"/>
  <c r="CF1249" i="489"/>
  <c r="DF1153" i="489"/>
  <c r="DF1162" i="489" s="1"/>
  <c r="DF206" i="489"/>
  <c r="B1223" i="489"/>
  <c r="CZ1154" i="489"/>
  <c r="X1181" i="489"/>
  <c r="X1190" i="489" s="1"/>
  <c r="X236" i="489"/>
  <c r="AE1097" i="489"/>
  <c r="B1069" i="489"/>
  <c r="DC1249" i="489"/>
  <c r="P997" i="489"/>
  <c r="P1004" i="489" s="1"/>
  <c r="U1070" i="489"/>
  <c r="C1195" i="489"/>
  <c r="AE236" i="489"/>
  <c r="AE253" i="489" s="1"/>
  <c r="AE334" i="489" s="1"/>
  <c r="AE1181" i="489"/>
  <c r="AF1191" i="489"/>
  <c r="AT246" i="489"/>
  <c r="AT253" i="489" s="1"/>
  <c r="AT334" i="489" s="1"/>
  <c r="AF1250" i="489"/>
  <c r="AF306" i="489"/>
  <c r="J1221" i="489"/>
  <c r="J1228" i="489" s="1"/>
  <c r="J276" i="489"/>
  <c r="DD1249" i="489"/>
  <c r="DD1256" i="489" s="1"/>
  <c r="DD306" i="489"/>
  <c r="AE997" i="489"/>
  <c r="B1215" i="489"/>
  <c r="B1186" i="489"/>
  <c r="CZ1126" i="489"/>
  <c r="B1099" i="489"/>
  <c r="B1182" i="489"/>
  <c r="BS1181" i="489"/>
  <c r="BS1190" i="489" s="1"/>
  <c r="BS236" i="489"/>
  <c r="B1241" i="489"/>
  <c r="B1214" i="489"/>
  <c r="AL1191" i="489"/>
  <c r="AL1200" i="489" s="1"/>
  <c r="AL1207" i="489" s="1"/>
  <c r="AL246" i="489"/>
  <c r="AL253" i="489" s="1"/>
  <c r="AL334" i="489" s="1"/>
  <c r="AH1080" i="489"/>
  <c r="AK1250" i="489"/>
  <c r="Y1221" i="489"/>
  <c r="V1014" i="489"/>
  <c r="AH1082" i="489"/>
  <c r="AH1070" i="489"/>
  <c r="AH1078" i="489" s="1"/>
  <c r="C1215" i="489"/>
  <c r="C1186" i="489"/>
  <c r="BB371" i="147"/>
  <c r="BB373" i="147" s="1"/>
  <c r="CQ1195" i="489"/>
  <c r="C1182" i="489"/>
  <c r="CF1181" i="489"/>
  <c r="AQ1250" i="489"/>
  <c r="R371" i="147"/>
  <c r="R373" i="147" s="1"/>
  <c r="C1137" i="489"/>
  <c r="AH1014" i="489"/>
  <c r="BR276" i="489"/>
  <c r="CZ1195" i="489"/>
  <c r="CZ999" i="489"/>
  <c r="CL1181" i="489"/>
  <c r="CL1190" i="489" s="1"/>
  <c r="CL236" i="489"/>
  <c r="AQ1191" i="489"/>
  <c r="CF1192" i="489"/>
  <c r="Y1220" i="489"/>
  <c r="AH1248" i="489"/>
  <c r="AU1250" i="489"/>
  <c r="AK1081" i="489"/>
  <c r="D1153" i="489"/>
  <c r="BR1186" i="489"/>
  <c r="BR1190" i="489" s="1"/>
  <c r="Z146" i="489"/>
  <c r="Z163" i="489" s="1"/>
  <c r="Z331" i="489" s="1"/>
  <c r="Z1015" i="489"/>
  <c r="B1239" i="489"/>
  <c r="B1192" i="489"/>
  <c r="B1237" i="489"/>
  <c r="BS1250" i="489"/>
  <c r="AQ1081" i="489"/>
  <c r="L1137" i="489"/>
  <c r="L1144" i="489" s="1"/>
  <c r="B1242" i="489"/>
  <c r="DC1181" i="489"/>
  <c r="C1192" i="489"/>
  <c r="DC1192" i="489"/>
  <c r="AX1080" i="489"/>
  <c r="AX1088" i="489" s="1"/>
  <c r="AX1095" i="489" s="1"/>
  <c r="AH1220" i="489"/>
  <c r="AQ1248" i="489"/>
  <c r="C1237" i="489"/>
  <c r="CF1250" i="489"/>
  <c r="C1242" i="489"/>
  <c r="B1211" i="489"/>
  <c r="EV1196" i="489"/>
  <c r="EV1200" i="489" s="1"/>
  <c r="EV1016" i="489"/>
  <c r="EW1197" i="489"/>
  <c r="EW1200" i="489" s="1"/>
  <c r="E54" i="147"/>
  <c r="E88" i="489" s="1"/>
  <c r="DF1192" i="489"/>
  <c r="AK1220" i="489"/>
  <c r="CA1248" i="489"/>
  <c r="CA1256" i="489" s="1"/>
  <c r="CA306" i="489"/>
  <c r="CA313" i="489" s="1"/>
  <c r="CA336" i="489" s="1"/>
  <c r="E97" i="147"/>
  <c r="CQ1250" i="489"/>
  <c r="J1249" i="489"/>
  <c r="J1256" i="489" s="1"/>
  <c r="J306" i="489"/>
  <c r="AQ1137" i="489"/>
  <c r="C1211" i="489"/>
  <c r="C1154" i="489"/>
  <c r="EY155" i="147"/>
  <c r="B1045" i="489"/>
  <c r="B1185" i="489"/>
  <c r="AN1191" i="489"/>
  <c r="AN1200" i="489" s="1"/>
  <c r="AN1207" i="489" s="1"/>
  <c r="AN246" i="489"/>
  <c r="AN253" i="489" s="1"/>
  <c r="AN334" i="489" s="1"/>
  <c r="C1220" i="489"/>
  <c r="CZ1210" i="489"/>
  <c r="AO1191" i="489"/>
  <c r="AO1200" i="489" s="1"/>
  <c r="AO1207" i="489" s="1"/>
  <c r="AO246" i="489"/>
  <c r="AO253" i="489" s="1"/>
  <c r="AO334" i="489" s="1"/>
  <c r="CZ1239" i="489"/>
  <c r="J1237" i="489"/>
  <c r="J296" i="489"/>
  <c r="CF1051" i="489"/>
  <c r="CF1191" i="489"/>
  <c r="U1237" i="489"/>
  <c r="Z1098" i="489"/>
  <c r="EY151" i="147"/>
  <c r="EY153" i="147"/>
  <c r="CF1237" i="489"/>
  <c r="B1196" i="489"/>
  <c r="B1224" i="489"/>
  <c r="C932" i="489"/>
  <c r="C944" i="489"/>
  <c r="M23" i="420"/>
  <c r="DD1237" i="489"/>
  <c r="DD1246" i="489" s="1"/>
  <c r="DD296" i="489"/>
  <c r="B1194" i="489"/>
  <c r="C919" i="489"/>
  <c r="Y1192" i="489"/>
  <c r="Y1200" i="489" s="1"/>
  <c r="Y1207" i="489" s="1"/>
  <c r="EY150" i="147"/>
  <c r="EV1237" i="489"/>
  <c r="C1194" i="489"/>
  <c r="C934" i="489"/>
  <c r="C946" i="489"/>
  <c r="AH1108" i="489"/>
  <c r="AH1192" i="489"/>
  <c r="F226" i="147"/>
  <c r="C961" i="489"/>
  <c r="B1184" i="489"/>
  <c r="B1191" i="489"/>
  <c r="CF1220" i="489"/>
  <c r="AK1108" i="489"/>
  <c r="AK1192" i="489"/>
  <c r="B1197" i="489"/>
  <c r="B1219" i="489"/>
  <c r="C1191" i="489"/>
  <c r="CS1220" i="489"/>
  <c r="AQ1192" i="489"/>
  <c r="EY152" i="147"/>
  <c r="CB1194" i="489"/>
  <c r="CB1200" i="489" s="1"/>
  <c r="CZ1182" i="489"/>
  <c r="C1219" i="489"/>
  <c r="DC1220" i="489"/>
  <c r="U1181" i="489"/>
  <c r="EY227" i="489"/>
  <c r="U1210" i="489"/>
  <c r="EV1240" i="489"/>
  <c r="V1181" i="489"/>
  <c r="B1195" i="489"/>
  <c r="C1239" i="489"/>
  <c r="CO371" i="147"/>
  <c r="CO373" i="147" s="1"/>
  <c r="AE81" i="147"/>
  <c r="AE451" i="147" s="1"/>
  <c r="AK81" i="147"/>
  <c r="AK451" i="147" s="1"/>
  <c r="Y81" i="147"/>
  <c r="Y451" i="147" s="1"/>
  <c r="Y1153" i="489"/>
  <c r="Y1162" i="489" s="1"/>
  <c r="Y206" i="489"/>
  <c r="AE1153" i="489"/>
  <c r="AE1162" i="489" s="1"/>
  <c r="CA1125" i="489"/>
  <c r="CA1134" i="489" s="1"/>
  <c r="CA1151" i="489" s="1"/>
  <c r="CA176" i="489"/>
  <c r="BR1130" i="489"/>
  <c r="BR1134" i="489" s="1"/>
  <c r="BR176" i="489"/>
  <c r="C899" i="489"/>
  <c r="C941" i="489"/>
  <c r="C917" i="489"/>
  <c r="C931" i="489"/>
  <c r="C943" i="489"/>
  <c r="C905" i="489"/>
  <c r="C958" i="489"/>
  <c r="C972" i="489"/>
  <c r="EV1099" i="489"/>
  <c r="C893" i="489"/>
  <c r="BM1045" i="489"/>
  <c r="B50" i="489"/>
  <c r="CZ1098" i="489"/>
  <c r="DR1098" i="489"/>
  <c r="V1070" i="489"/>
  <c r="U1042" i="489"/>
  <c r="CN86" i="489"/>
  <c r="BN371" i="147"/>
  <c r="BN373" i="147" s="1"/>
  <c r="C902" i="489"/>
  <c r="C967" i="489"/>
  <c r="M24" i="413"/>
  <c r="M20" i="322"/>
  <c r="M20" i="325"/>
  <c r="M20" i="425"/>
  <c r="CA371" i="147"/>
  <c r="CA373" i="147" s="1"/>
  <c r="M22" i="411"/>
  <c r="M20" i="103"/>
  <c r="M21" i="418"/>
  <c r="M21" i="421"/>
  <c r="M19" i="175"/>
  <c r="C890" i="489"/>
  <c r="M25" i="103"/>
  <c r="M22" i="413"/>
  <c r="M26" i="421"/>
  <c r="M20" i="411"/>
  <c r="M19" i="418"/>
  <c r="M19" i="421"/>
  <c r="M23" i="322"/>
  <c r="M23" i="325"/>
  <c r="M23" i="425"/>
  <c r="C959" i="489"/>
  <c r="M24" i="292"/>
  <c r="M25" i="411"/>
  <c r="M23" i="103"/>
  <c r="M20" i="102"/>
  <c r="M20" i="413"/>
  <c r="M28" i="413"/>
  <c r="M24" i="418"/>
  <c r="M24" i="421"/>
  <c r="M23" i="411"/>
  <c r="M21" i="103"/>
  <c r="M22" i="421"/>
  <c r="M20" i="175"/>
  <c r="M26" i="103"/>
  <c r="M23" i="413"/>
  <c r="M19" i="322"/>
  <c r="M19" i="325"/>
  <c r="M19" i="425"/>
  <c r="M20" i="292"/>
  <c r="M21" i="411"/>
  <c r="M19" i="103"/>
  <c r="M20" i="418"/>
  <c r="M20" i="421"/>
  <c r="C926" i="489"/>
  <c r="M25" i="292"/>
  <c r="M26" i="411"/>
  <c r="M24" i="103"/>
  <c r="M21" i="102"/>
  <c r="M21" i="413"/>
  <c r="M25" i="421"/>
  <c r="M19" i="411"/>
  <c r="M26" i="413"/>
  <c r="M24" i="175"/>
  <c r="C914" i="489"/>
  <c r="M24" i="411"/>
  <c r="M22" i="103"/>
  <c r="M19" i="102"/>
  <c r="M19" i="413"/>
  <c r="M23" i="421"/>
  <c r="M21" i="175"/>
  <c r="M23" i="406"/>
  <c r="M21" i="406"/>
  <c r="M29" i="406"/>
  <c r="M26" i="406"/>
  <c r="M19" i="406"/>
  <c r="M24" i="406"/>
  <c r="M22" i="406"/>
  <c r="M27" i="406"/>
  <c r="M25" i="406"/>
  <c r="M22" i="427"/>
  <c r="M27" i="427"/>
  <c r="M23" i="427"/>
  <c r="M21" i="427"/>
  <c r="M19" i="427"/>
  <c r="M23" i="405"/>
  <c r="M21" i="405"/>
  <c r="M29" i="405"/>
  <c r="M26" i="405"/>
  <c r="M19" i="405"/>
  <c r="M24" i="405"/>
  <c r="M22" i="405"/>
  <c r="M27" i="405"/>
  <c r="M25" i="405"/>
  <c r="M27" i="404"/>
  <c r="M21" i="404"/>
  <c r="M26" i="404"/>
  <c r="M19" i="404"/>
  <c r="M21" i="403"/>
  <c r="M29" i="403"/>
  <c r="M26" i="403"/>
  <c r="M19" i="403"/>
  <c r="M27" i="403"/>
  <c r="M27" i="402"/>
  <c r="M21" i="402"/>
  <c r="M29" i="402"/>
  <c r="M26" i="402"/>
  <c r="M19" i="402"/>
  <c r="M21" i="401"/>
  <c r="M26" i="401"/>
  <c r="M27" i="401"/>
  <c r="M19" i="166"/>
  <c r="M24" i="166"/>
  <c r="M19" i="435"/>
  <c r="M24" i="435"/>
  <c r="M22" i="435"/>
  <c r="M20" i="435"/>
  <c r="M23" i="435"/>
  <c r="M21" i="435"/>
  <c r="M21" i="434"/>
  <c r="M19" i="434"/>
  <c r="M22" i="434"/>
  <c r="M20" i="434"/>
  <c r="M21" i="400"/>
  <c r="M26" i="400"/>
  <c r="M24" i="400"/>
  <c r="M22" i="400"/>
  <c r="M27" i="400"/>
  <c r="M20" i="400"/>
  <c r="M25" i="400"/>
  <c r="M23" i="400"/>
  <c r="M19" i="399"/>
  <c r="M20" i="399"/>
  <c r="M19" i="397"/>
  <c r="M22" i="446"/>
  <c r="M20" i="446"/>
  <c r="M25" i="446"/>
  <c r="M21" i="446"/>
  <c r="M26" i="446"/>
  <c r="M25" i="298"/>
  <c r="M30" i="298"/>
  <c r="M23" i="298"/>
  <c r="M28" i="298"/>
  <c r="M26" i="298"/>
  <c r="M24" i="298"/>
  <c r="M29" i="298"/>
  <c r="M23" i="165"/>
  <c r="M21" i="165"/>
  <c r="M19" i="165"/>
  <c r="M22" i="165"/>
  <c r="M27" i="165"/>
  <c r="M20" i="165"/>
  <c r="M26" i="396"/>
  <c r="M19" i="396"/>
  <c r="M24" i="396"/>
  <c r="M29" i="396"/>
  <c r="M27" i="396"/>
  <c r="M20" i="396"/>
  <c r="M25" i="396"/>
  <c r="M23" i="396"/>
  <c r="M31" i="396"/>
  <c r="M28" i="396"/>
  <c r="M21" i="396"/>
  <c r="M28" i="120"/>
  <c r="M21" i="120"/>
  <c r="M26" i="120"/>
  <c r="M19" i="120"/>
  <c r="M24" i="120"/>
  <c r="M29" i="120"/>
  <c r="M22" i="120"/>
  <c r="M27" i="120"/>
  <c r="M20" i="120"/>
  <c r="M25" i="120"/>
  <c r="M25" i="398"/>
  <c r="M26" i="398"/>
  <c r="M19" i="398"/>
  <c r="M27" i="446"/>
  <c r="M21" i="397"/>
  <c r="M23" i="446"/>
  <c r="M25" i="397"/>
  <c r="M30" i="165"/>
  <c r="M20" i="298"/>
  <c r="M23" i="416"/>
  <c r="M27" i="398"/>
  <c r="M21" i="399"/>
  <c r="M21" i="414"/>
  <c r="M26" i="416"/>
  <c r="M26" i="165"/>
  <c r="C908" i="489"/>
  <c r="M32" i="120"/>
  <c r="C894" i="489"/>
  <c r="M28" i="446"/>
  <c r="M22" i="397"/>
  <c r="M22" i="399"/>
  <c r="M19" i="414"/>
  <c r="C936" i="489"/>
  <c r="M19" i="298"/>
  <c r="M22" i="403"/>
  <c r="C925" i="489"/>
  <c r="C949" i="489"/>
  <c r="M28" i="416"/>
  <c r="CN371" i="147"/>
  <c r="CN373" i="147" s="1"/>
  <c r="C938" i="489"/>
  <c r="C989" i="489"/>
  <c r="M22" i="298"/>
  <c r="M19" i="446"/>
  <c r="M25" i="403"/>
  <c r="M30" i="120"/>
  <c r="M25" i="165"/>
  <c r="AE1013" i="489"/>
  <c r="AE1022" i="489" s="1"/>
  <c r="U1013" i="489"/>
  <c r="U56" i="489"/>
  <c r="C1023" i="489"/>
  <c r="AW371" i="147"/>
  <c r="AW373" i="147" s="1"/>
  <c r="DC996" i="489"/>
  <c r="V1041" i="489"/>
  <c r="D1081" i="489"/>
  <c r="Y1165" i="489"/>
  <c r="C1173" i="489"/>
  <c r="AJ1154" i="489"/>
  <c r="AJ206" i="489"/>
  <c r="D1145" i="489"/>
  <c r="D1150" i="489" s="1"/>
  <c r="D182" i="93"/>
  <c r="D192" i="489"/>
  <c r="EV987" i="489"/>
  <c r="EV1071" i="489"/>
  <c r="M26" i="92"/>
  <c r="C1024" i="489"/>
  <c r="CA1041" i="489"/>
  <c r="CA1050" i="489" s="1"/>
  <c r="CA86" i="489"/>
  <c r="CA103" i="489" s="1"/>
  <c r="CA329" i="489" s="1"/>
  <c r="S371" i="147"/>
  <c r="S373" i="147" s="1"/>
  <c r="AU1109" i="489"/>
  <c r="AK1165" i="489"/>
  <c r="V1166" i="489"/>
  <c r="V1172" i="489" s="1"/>
  <c r="D1173" i="489"/>
  <c r="D222" i="489"/>
  <c r="U1145" i="489"/>
  <c r="U1150" i="489" s="1"/>
  <c r="U192" i="489"/>
  <c r="U323" i="489" s="1"/>
  <c r="E54" i="310"/>
  <c r="C927" i="489"/>
  <c r="C939" i="489"/>
  <c r="C965" i="489"/>
  <c r="M29" i="165"/>
  <c r="M23" i="426"/>
  <c r="CT1135" i="489"/>
  <c r="BS1080" i="489"/>
  <c r="BS1088" i="489" s="1"/>
  <c r="BS1095" i="489" s="1"/>
  <c r="Z1013" i="489"/>
  <c r="Z56" i="489"/>
  <c r="AE1098" i="489"/>
  <c r="BT1166" i="489"/>
  <c r="BT1172" i="489" s="1"/>
  <c r="BT216" i="489"/>
  <c r="EY257" i="147"/>
  <c r="DR1154" i="489"/>
  <c r="DR1162" i="489" s="1"/>
  <c r="DR1179" i="489" s="1"/>
  <c r="AE192" i="489"/>
  <c r="AE323" i="489" s="1"/>
  <c r="AE1145" i="489"/>
  <c r="AE1150" i="489" s="1"/>
  <c r="AE1151" i="489" s="1"/>
  <c r="D1118" i="489"/>
  <c r="D1122" i="489" s="1"/>
  <c r="D154" i="93"/>
  <c r="D162" i="489"/>
  <c r="DC1175" i="489"/>
  <c r="DC1178" i="489" s="1"/>
  <c r="DC222" i="489"/>
  <c r="C940" i="489"/>
  <c r="C953" i="489"/>
  <c r="M25" i="399"/>
  <c r="M24" i="92"/>
  <c r="AF1107" i="489"/>
  <c r="AF1116" i="489" s="1"/>
  <c r="AF1123" i="489" s="1"/>
  <c r="AF1051" i="489"/>
  <c r="AF1060" i="489" s="1"/>
  <c r="AQ1023" i="489"/>
  <c r="CV1135" i="489"/>
  <c r="CV1144" i="489" s="1"/>
  <c r="CV186" i="489"/>
  <c r="CF1080" i="489"/>
  <c r="C996" i="489"/>
  <c r="C998" i="489"/>
  <c r="DC1098" i="489"/>
  <c r="AU1165" i="489"/>
  <c r="B1061" i="489"/>
  <c r="BS1145" i="489"/>
  <c r="BS1150" i="489" s="1"/>
  <c r="BS1151" i="489" s="1"/>
  <c r="BS192" i="489"/>
  <c r="BS1118" i="489"/>
  <c r="BS1122" i="489" s="1"/>
  <c r="BS162" i="489"/>
  <c r="EN1174" i="489"/>
  <c r="EN1178" i="489" s="1"/>
  <c r="EY218" i="489"/>
  <c r="EN222" i="489"/>
  <c r="EN323" i="489" s="1"/>
  <c r="C915" i="489"/>
  <c r="AQ1107" i="489"/>
  <c r="AQ1051" i="489"/>
  <c r="BR1023" i="489"/>
  <c r="DV371" i="147"/>
  <c r="DV373" i="147" s="1"/>
  <c r="CZ1080" i="489"/>
  <c r="U1069" i="489"/>
  <c r="U1153" i="489"/>
  <c r="C1061" i="489"/>
  <c r="CE1118" i="489"/>
  <c r="CE1122" i="489" s="1"/>
  <c r="CE162" i="489"/>
  <c r="C903" i="489"/>
  <c r="CF1107" i="489"/>
  <c r="B1163" i="489"/>
  <c r="B1079" i="489"/>
  <c r="C1080" i="489"/>
  <c r="DC1080" i="489"/>
  <c r="Y996" i="489"/>
  <c r="AQ1024" i="489"/>
  <c r="C1052" i="489"/>
  <c r="V998" i="489"/>
  <c r="D1061" i="489"/>
  <c r="D1066" i="489" s="1"/>
  <c r="D98" i="93"/>
  <c r="D102" i="489"/>
  <c r="E98" i="93"/>
  <c r="E102" i="489"/>
  <c r="CQ1107" i="489"/>
  <c r="CQ1051" i="489"/>
  <c r="C1163" i="489"/>
  <c r="AH996" i="489"/>
  <c r="B1054" i="489"/>
  <c r="BM371" i="147"/>
  <c r="BR1027" i="489"/>
  <c r="CY371" i="147"/>
  <c r="CY373" i="147" s="1"/>
  <c r="CW1118" i="489"/>
  <c r="CW1122" i="489" s="1"/>
  <c r="CW162" i="489"/>
  <c r="CW323" i="489" s="1"/>
  <c r="F98" i="93"/>
  <c r="F102" i="489"/>
  <c r="C891" i="489"/>
  <c r="C995" i="489"/>
  <c r="CZ1107" i="489"/>
  <c r="CZ1051" i="489"/>
  <c r="C1135" i="489"/>
  <c r="AK996" i="489"/>
  <c r="CZ986" i="489"/>
  <c r="EV1100" i="489"/>
  <c r="G98" i="93"/>
  <c r="G102" i="489"/>
  <c r="M28" i="103"/>
  <c r="M25" i="92"/>
  <c r="AJ1163" i="489"/>
  <c r="AJ1172" i="489" s="1"/>
  <c r="AJ1265" i="489" s="1"/>
  <c r="AJ216" i="489"/>
  <c r="EY49" i="147"/>
  <c r="C1164" i="489"/>
  <c r="AE1080" i="489"/>
  <c r="AQ996" i="489"/>
  <c r="C985" i="489"/>
  <c r="DF1165" i="489"/>
  <c r="DF1172" i="489" s="1"/>
  <c r="DC1145" i="489"/>
  <c r="DC1150" i="489" s="1"/>
  <c r="DC192" i="489"/>
  <c r="DC1118" i="489"/>
  <c r="DC1122" i="489" s="1"/>
  <c r="DC162" i="489"/>
  <c r="D1175" i="489"/>
  <c r="M28" i="165"/>
  <c r="AN1163" i="489"/>
  <c r="AN1172" i="489" s="1"/>
  <c r="AN1179" i="489" s="1"/>
  <c r="AN216" i="489"/>
  <c r="AN223" i="489" s="1"/>
  <c r="AN333" i="489" s="1"/>
  <c r="AH1135" i="489"/>
  <c r="AT996" i="489"/>
  <c r="AT1004" i="489" s="1"/>
  <c r="F96" i="147"/>
  <c r="F77" i="489" s="1"/>
  <c r="C1041" i="489"/>
  <c r="J1109" i="489"/>
  <c r="J1116" i="489" s="1"/>
  <c r="J1123" i="489" s="1"/>
  <c r="J156" i="489"/>
  <c r="J163" i="489" s="1"/>
  <c r="J331" i="489" s="1"/>
  <c r="BS1175" i="489"/>
  <c r="BS1178" i="489" s="1"/>
  <c r="BS222" i="489"/>
  <c r="EG1062" i="489"/>
  <c r="EG1066" i="489" s="1"/>
  <c r="EY98" i="489"/>
  <c r="EG102" i="489"/>
  <c r="EG323" i="489" s="1"/>
  <c r="AO1163" i="489"/>
  <c r="AO1172" i="489" s="1"/>
  <c r="AO1179" i="489" s="1"/>
  <c r="AO216" i="489"/>
  <c r="AO223" i="489" s="1"/>
  <c r="AO333" i="489" s="1"/>
  <c r="AL1080" i="489"/>
  <c r="AL126" i="489"/>
  <c r="AL133" i="489" s="1"/>
  <c r="AL330" i="489" s="1"/>
  <c r="U1097" i="489"/>
  <c r="U1106" i="489" s="1"/>
  <c r="U1123" i="489" s="1"/>
  <c r="DF1081" i="489"/>
  <c r="AH1109" i="489"/>
  <c r="CE1175" i="489"/>
  <c r="CE1178" i="489" s="1"/>
  <c r="CE1179" i="489" s="1"/>
  <c r="CE222" i="489"/>
  <c r="CE223" i="489" s="1"/>
  <c r="CE333" i="489" s="1"/>
  <c r="C910" i="489"/>
  <c r="B1023" i="489"/>
  <c r="AQ1135" i="489"/>
  <c r="AV1080" i="489"/>
  <c r="AV1088" i="489" s="1"/>
  <c r="AV126" i="489"/>
  <c r="AV322" i="489" s="1"/>
  <c r="CS996" i="489"/>
  <c r="DN1108" i="489"/>
  <c r="DN1116" i="489" s="1"/>
  <c r="DN156" i="489"/>
  <c r="B1098" i="489"/>
  <c r="AK1109" i="489"/>
  <c r="J1165" i="489"/>
  <c r="J1172" i="489" s="1"/>
  <c r="J1179" i="489" s="1"/>
  <c r="J216" i="489"/>
  <c r="J223" i="489" s="1"/>
  <c r="J333" i="489" s="1"/>
  <c r="B1173" i="489"/>
  <c r="C896" i="489"/>
  <c r="M21" i="298"/>
  <c r="C830" i="489"/>
  <c r="C849" i="489"/>
  <c r="C863" i="489"/>
  <c r="C878" i="489"/>
  <c r="C850" i="489"/>
  <c r="C864" i="489"/>
  <c r="C879" i="489"/>
  <c r="C851" i="489"/>
  <c r="C865" i="489"/>
  <c r="C853" i="489"/>
  <c r="C866" i="489"/>
  <c r="C881" i="489"/>
  <c r="C836" i="489"/>
  <c r="C854" i="489"/>
  <c r="C867" i="489"/>
  <c r="C882" i="489"/>
  <c r="C837" i="489"/>
  <c r="C855" i="489"/>
  <c r="C868" i="489"/>
  <c r="C883" i="489"/>
  <c r="C823" i="489"/>
  <c r="C838" i="489"/>
  <c r="C856" i="489"/>
  <c r="C869" i="489"/>
  <c r="C884" i="489"/>
  <c r="C824" i="489"/>
  <c r="C839" i="489"/>
  <c r="C857" i="489"/>
  <c r="C870" i="489"/>
  <c r="C889" i="489"/>
  <c r="C825" i="489"/>
  <c r="C841" i="489"/>
  <c r="C858" i="489"/>
  <c r="C826" i="489"/>
  <c r="C842" i="489"/>
  <c r="C859" i="489"/>
  <c r="C872" i="489"/>
  <c r="C828" i="489"/>
  <c r="C843" i="489"/>
  <c r="C860" i="489"/>
  <c r="C876" i="489"/>
  <c r="C829" i="489"/>
  <c r="C848" i="489"/>
  <c r="C861" i="489"/>
  <c r="C877" i="489"/>
  <c r="W332" i="489"/>
  <c r="B1111" i="489"/>
  <c r="B122" i="489"/>
  <c r="B123" i="489"/>
  <c r="F574" i="489"/>
  <c r="C674" i="489"/>
  <c r="C716" i="489"/>
  <c r="C811" i="489"/>
  <c r="Y56" i="489"/>
  <c r="AE56" i="489"/>
  <c r="M21" i="174"/>
  <c r="M30" i="174"/>
  <c r="M22" i="174"/>
  <c r="M25" i="174"/>
  <c r="M23" i="174"/>
  <c r="M27" i="174"/>
  <c r="M19" i="174"/>
  <c r="M24" i="174"/>
  <c r="AK176" i="489"/>
  <c r="AU176" i="489"/>
  <c r="DF176" i="489"/>
  <c r="AF176" i="489"/>
  <c r="AF193" i="489" s="1"/>
  <c r="AF332" i="489" s="1"/>
  <c r="EY187" i="489"/>
  <c r="V192" i="489"/>
  <c r="V323" i="489" s="1"/>
  <c r="F32" i="380"/>
  <c r="F28" i="220"/>
  <c r="F30" i="220" s="1"/>
  <c r="F34" i="220" s="1"/>
  <c r="I222" i="147" s="1"/>
  <c r="F32" i="222"/>
  <c r="F28" i="392"/>
  <c r="F30" i="392" s="1"/>
  <c r="F34" i="392" s="1"/>
  <c r="I223" i="147" s="1"/>
  <c r="CM371" i="147"/>
  <c r="CM373" i="147" s="1"/>
  <c r="M29" i="411"/>
  <c r="DW371" i="147"/>
  <c r="DW373" i="147" s="1"/>
  <c r="EY324" i="147"/>
  <c r="EY42" i="147"/>
  <c r="CW371" i="147"/>
  <c r="CW373" i="147" s="1"/>
  <c r="M21" i="398"/>
  <c r="M22" i="401"/>
  <c r="M25" i="409"/>
  <c r="U985" i="489"/>
  <c r="DX371" i="147"/>
  <c r="M29" i="404"/>
  <c r="AU998" i="489"/>
  <c r="M25" i="418"/>
  <c r="EY13" i="147"/>
  <c r="M25" i="401"/>
  <c r="E22" i="147"/>
  <c r="E27" i="489" s="1"/>
  <c r="DL371" i="147"/>
  <c r="DL373" i="147" s="1"/>
  <c r="DL996" i="489"/>
  <c r="DL1004" i="489" s="1"/>
  <c r="M23" i="399"/>
  <c r="AL995" i="489"/>
  <c r="AL1004" i="489" s="1"/>
  <c r="AL36" i="489"/>
  <c r="M22" i="398"/>
  <c r="M23" i="403"/>
  <c r="M26" i="409"/>
  <c r="AN995" i="489"/>
  <c r="AN1004" i="489" s="1"/>
  <c r="AT371" i="147"/>
  <c r="AT373" i="147" s="1"/>
  <c r="DR26" i="489"/>
  <c r="EY333" i="147"/>
  <c r="AA1006" i="489"/>
  <c r="AA1010" i="489" s="1"/>
  <c r="EY38" i="489"/>
  <c r="AA42" i="489"/>
  <c r="AA323" i="489" s="1"/>
  <c r="E42" i="489"/>
  <c r="K371" i="147"/>
  <c r="F42" i="489"/>
  <c r="M24" i="409"/>
  <c r="M26" i="418"/>
  <c r="EY335" i="147"/>
  <c r="G42" i="489"/>
  <c r="L371" i="147"/>
  <c r="L373" i="147" s="1"/>
  <c r="M19" i="401"/>
  <c r="M22" i="409"/>
  <c r="X371" i="147"/>
  <c r="X373" i="147" s="1"/>
  <c r="EE1005" i="489"/>
  <c r="EE1010" i="489" s="1"/>
  <c r="EY37" i="489"/>
  <c r="EE42" i="489"/>
  <c r="EE323" i="489" s="1"/>
  <c r="M24" i="401"/>
  <c r="M24" i="403"/>
  <c r="D785" i="489"/>
  <c r="D809" i="489" s="1"/>
  <c r="D815" i="489" s="1"/>
  <c r="D626" i="489"/>
  <c r="D650" i="489" s="1"/>
  <c r="D656" i="489" s="1"/>
  <c r="DX338" i="489"/>
  <c r="D467" i="489"/>
  <c r="D491" i="489" s="1"/>
  <c r="D497" i="489" s="1"/>
  <c r="D944" i="489"/>
  <c r="D968" i="489" s="1"/>
  <c r="D974" i="489" s="1"/>
  <c r="M28" i="398"/>
  <c r="M22" i="414"/>
  <c r="M22" i="418"/>
  <c r="M26" i="420"/>
  <c r="AH998" i="489"/>
  <c r="AK998" i="489"/>
  <c r="AQ998" i="489"/>
  <c r="BA998" i="489"/>
  <c r="BA1004" i="489" s="1"/>
  <c r="BA36" i="489"/>
  <c r="BA322" i="489" s="1"/>
  <c r="Y998" i="489"/>
  <c r="CV371" i="147"/>
  <c r="CV373" i="147" s="1"/>
  <c r="AQ56" i="489"/>
  <c r="AX56" i="489"/>
  <c r="M23" i="292"/>
  <c r="M21" i="292"/>
  <c r="M19" i="292"/>
  <c r="M22" i="292"/>
  <c r="M23" i="290"/>
  <c r="M21" i="290"/>
  <c r="M19" i="290"/>
  <c r="M24" i="290"/>
  <c r="M22" i="290"/>
  <c r="M20" i="290"/>
  <c r="M25" i="290"/>
  <c r="AJ371" i="147"/>
  <c r="AJ373" i="147" s="1"/>
  <c r="M22" i="443"/>
  <c r="M19" i="442"/>
  <c r="BR371" i="147"/>
  <c r="BR373" i="147" s="1"/>
  <c r="AX371" i="147"/>
  <c r="AX373" i="147" s="1"/>
  <c r="M23" i="441"/>
  <c r="M21" i="441"/>
  <c r="M20" i="317"/>
  <c r="M21" i="393"/>
  <c r="AF371" i="147"/>
  <c r="AF373" i="147" s="1"/>
  <c r="AH371" i="147"/>
  <c r="AH373" i="147" s="1"/>
  <c r="M19" i="308"/>
  <c r="AL371" i="147"/>
  <c r="AL373" i="147" s="1"/>
  <c r="M19" i="288"/>
  <c r="M22" i="288"/>
  <c r="M21" i="286"/>
  <c r="M19" i="286"/>
  <c r="M20" i="286"/>
  <c r="AN371" i="147"/>
  <c r="AN373" i="147" s="1"/>
  <c r="M21" i="281"/>
  <c r="M19" i="281"/>
  <c r="M20" i="281"/>
  <c r="EX371" i="147"/>
  <c r="EX373" i="147" s="1"/>
  <c r="EY8" i="147"/>
  <c r="O371" i="147"/>
  <c r="O373" i="147" s="1"/>
  <c r="EV371" i="147"/>
  <c r="EV373" i="147" s="1"/>
  <c r="CL371" i="147"/>
  <c r="CL373" i="147" s="1"/>
  <c r="CT371" i="147"/>
  <c r="CT373" i="147" s="1"/>
  <c r="AP371" i="147"/>
  <c r="AP373" i="147" s="1"/>
  <c r="CX371" i="147"/>
  <c r="CX373" i="147" s="1"/>
  <c r="W371" i="147"/>
  <c r="W373" i="147" s="1"/>
  <c r="AO371" i="147"/>
  <c r="AO373" i="147" s="1"/>
  <c r="CP371" i="147"/>
  <c r="CP373" i="147" s="1"/>
  <c r="AI371" i="147"/>
  <c r="AI373" i="147" s="1"/>
  <c r="DU371" i="147"/>
  <c r="DU373" i="147" s="1"/>
  <c r="CQ371" i="147"/>
  <c r="CQ373" i="147" s="1"/>
  <c r="AM371" i="147"/>
  <c r="AM373" i="147" s="1"/>
  <c r="BW371" i="147"/>
  <c r="BW373" i="147" s="1"/>
  <c r="BV371" i="147"/>
  <c r="BV373" i="147" s="1"/>
  <c r="BY371" i="147"/>
  <c r="BY373" i="147" s="1"/>
  <c r="CC371" i="147"/>
  <c r="CC373" i="147" s="1"/>
  <c r="CG371" i="147"/>
  <c r="BT371" i="147"/>
  <c r="BT373" i="147" s="1"/>
  <c r="BZ371" i="147"/>
  <c r="BZ373" i="147" s="1"/>
  <c r="BU371" i="147"/>
  <c r="BU373" i="147" s="1"/>
  <c r="BA371" i="147"/>
  <c r="BA373" i="147" s="1"/>
  <c r="AS371" i="147"/>
  <c r="AS373" i="147" s="1"/>
  <c r="CD371" i="147"/>
  <c r="CD373" i="147" s="1"/>
  <c r="Z371" i="147"/>
  <c r="Z373" i="147" s="1"/>
  <c r="CK371" i="147"/>
  <c r="CK373" i="147" s="1"/>
  <c r="P371" i="147"/>
  <c r="P373" i="147" s="1"/>
  <c r="DZ371" i="147"/>
  <c r="DZ373" i="147" s="1"/>
  <c r="EY261" i="147"/>
  <c r="BO371" i="147"/>
  <c r="BO373" i="147" s="1"/>
  <c r="EY262" i="147"/>
  <c r="BP371" i="147"/>
  <c r="BP373" i="147" s="1"/>
  <c r="EY265" i="147"/>
  <c r="BQ371" i="147"/>
  <c r="BQ373" i="147" s="1"/>
  <c r="EY268" i="147"/>
  <c r="BI371" i="147"/>
  <c r="BI373" i="147" s="1"/>
  <c r="EY269" i="147"/>
  <c r="BJ371" i="147"/>
  <c r="BJ373" i="147" s="1"/>
  <c r="DE371" i="147"/>
  <c r="DE373" i="147" s="1"/>
  <c r="CR371" i="147"/>
  <c r="CR373" i="147" s="1"/>
  <c r="EY339" i="147"/>
  <c r="AA371" i="147"/>
  <c r="AA373" i="147" s="1"/>
  <c r="EY343" i="147"/>
  <c r="EB371" i="147"/>
  <c r="EY345" i="147"/>
  <c r="EH371" i="147"/>
  <c r="EH373" i="147" s="1"/>
  <c r="EY347" i="147"/>
  <c r="DO371" i="147"/>
  <c r="DO373" i="147" s="1"/>
  <c r="EY349" i="147"/>
  <c r="DQ371" i="147"/>
  <c r="DQ373" i="147" s="1"/>
  <c r="EY350" i="147"/>
  <c r="ED371" i="147"/>
  <c r="ED373" i="147" s="1"/>
  <c r="EY352" i="147"/>
  <c r="EF371" i="147"/>
  <c r="EF373" i="147" s="1"/>
  <c r="EY354" i="147"/>
  <c r="EI371" i="147"/>
  <c r="EI373" i="147" s="1"/>
  <c r="EY356" i="147"/>
  <c r="EO371" i="147"/>
  <c r="EO373" i="147" s="1"/>
  <c r="EY358" i="147"/>
  <c r="EQ371" i="147"/>
  <c r="EQ373" i="147" s="1"/>
  <c r="EY360" i="147"/>
  <c r="EK371" i="147"/>
  <c r="EK373" i="147" s="1"/>
  <c r="EY362" i="147"/>
  <c r="EM371" i="147"/>
  <c r="BC371" i="147"/>
  <c r="BC373" i="147" s="1"/>
  <c r="AQ371" i="147"/>
  <c r="AQ373" i="147" s="1"/>
  <c r="DM371" i="147"/>
  <c r="DM373" i="147" s="1"/>
  <c r="AV371" i="147"/>
  <c r="AV373" i="147" s="1"/>
  <c r="DN371" i="147"/>
  <c r="DN373" i="147" s="1"/>
  <c r="CH371" i="147"/>
  <c r="CH373" i="147" s="1"/>
  <c r="DD371" i="147"/>
  <c r="DD373" i="147" s="1"/>
  <c r="AC371" i="147"/>
  <c r="AC373" i="147" s="1"/>
  <c r="EY285" i="147"/>
  <c r="DR371" i="147"/>
  <c r="DR373" i="147" s="1"/>
  <c r="AD371" i="147"/>
  <c r="AD373" i="147" s="1"/>
  <c r="DA371" i="147"/>
  <c r="DA373" i="147" s="1"/>
  <c r="EY334" i="147"/>
  <c r="EW371" i="147"/>
  <c r="EW373" i="147" s="1"/>
  <c r="EY342" i="147"/>
  <c r="EA371" i="147"/>
  <c r="EA373" i="147" s="1"/>
  <c r="EY344" i="147"/>
  <c r="EC371" i="147"/>
  <c r="EY346" i="147"/>
  <c r="EJ371" i="147"/>
  <c r="EJ373" i="147" s="1"/>
  <c r="EY348" i="147"/>
  <c r="DP371" i="147"/>
  <c r="DP373" i="147" s="1"/>
  <c r="EY351" i="147"/>
  <c r="EE371" i="147"/>
  <c r="EE373" i="147" s="1"/>
  <c r="EY353" i="147"/>
  <c r="EG371" i="147"/>
  <c r="EG373" i="147" s="1"/>
  <c r="EY355" i="147"/>
  <c r="EN371" i="147"/>
  <c r="EN373" i="147" s="1"/>
  <c r="EY357" i="147"/>
  <c r="EP371" i="147"/>
  <c r="EP373" i="147" s="1"/>
  <c r="EY359" i="147"/>
  <c r="ER371" i="147"/>
  <c r="ER373" i="147" s="1"/>
  <c r="EY361" i="147"/>
  <c r="EL371" i="147"/>
  <c r="EL373" i="147" s="1"/>
  <c r="EY363" i="147"/>
  <c r="ES371" i="147"/>
  <c r="CB371" i="147"/>
  <c r="CB373" i="147" s="1"/>
  <c r="CF371" i="147"/>
  <c r="CF373" i="147" s="1"/>
  <c r="M26" i="166"/>
  <c r="M29" i="427"/>
  <c r="M26" i="427"/>
  <c r="M26" i="167"/>
  <c r="M24" i="398"/>
  <c r="M33" i="165"/>
  <c r="M23" i="397"/>
  <c r="M22" i="166"/>
  <c r="M24" i="402"/>
  <c r="M24" i="404"/>
  <c r="M24" i="427"/>
  <c r="M26" i="408"/>
  <c r="M27" i="92"/>
  <c r="M23" i="301"/>
  <c r="M23" i="418"/>
  <c r="EY307" i="147"/>
  <c r="M23" i="401"/>
  <c r="M20" i="166"/>
  <c r="M28" i="401"/>
  <c r="M22" i="402"/>
  <c r="M22" i="404"/>
  <c r="M26" i="397"/>
  <c r="M25" i="166"/>
  <c r="M27" i="167"/>
  <c r="M23" i="166"/>
  <c r="M25" i="402"/>
  <c r="M25" i="404"/>
  <c r="M25" i="427"/>
  <c r="M27" i="408"/>
  <c r="EY217" i="147"/>
  <c r="M31" i="165"/>
  <c r="M23" i="398"/>
  <c r="M27" i="409"/>
  <c r="EY292" i="147"/>
  <c r="M21" i="166"/>
  <c r="M23" i="402"/>
  <c r="M23" i="404"/>
  <c r="M20" i="306"/>
  <c r="M21" i="306" s="1"/>
  <c r="M20" i="443"/>
  <c r="M23" i="443"/>
  <c r="M21" i="443"/>
  <c r="M19" i="443"/>
  <c r="M22" i="442"/>
  <c r="M20" i="442"/>
  <c r="M19" i="441"/>
  <c r="M22" i="441"/>
  <c r="M19" i="318"/>
  <c r="M20" i="318"/>
  <c r="M23" i="317"/>
  <c r="M21" i="317"/>
  <c r="M19" i="317"/>
  <c r="M24" i="317"/>
  <c r="M22" i="317"/>
  <c r="M19" i="393"/>
  <c r="M24" i="393"/>
  <c r="M25" i="393"/>
  <c r="M23" i="393"/>
  <c r="M19" i="316"/>
  <c r="M24" i="316"/>
  <c r="M25" i="316"/>
  <c r="M23" i="316"/>
  <c r="M21" i="316"/>
  <c r="M19" i="276"/>
  <c r="M20" i="276"/>
  <c r="M20" i="315"/>
  <c r="M23" i="315"/>
  <c r="M21" i="315"/>
  <c r="M19" i="315"/>
  <c r="M22" i="314"/>
  <c r="M20" i="314"/>
  <c r="M21" i="314"/>
  <c r="M19" i="314"/>
  <c r="M23" i="313"/>
  <c r="M21" i="313"/>
  <c r="M19" i="313"/>
  <c r="M20" i="313"/>
  <c r="M22" i="308"/>
  <c r="M20" i="308"/>
  <c r="M23" i="308"/>
  <c r="M21" i="308"/>
  <c r="M21" i="307"/>
  <c r="M19" i="307"/>
  <c r="M24" i="307"/>
  <c r="M22" i="307"/>
  <c r="M20" i="307"/>
  <c r="M21" i="287"/>
  <c r="M19" i="287"/>
  <c r="M24" i="287"/>
  <c r="M22" i="287"/>
  <c r="M20" i="287"/>
  <c r="M19" i="284"/>
  <c r="M20" i="284"/>
  <c r="M21" i="284"/>
  <c r="M20" i="283"/>
  <c r="M19" i="283"/>
  <c r="M22" i="282"/>
  <c r="M20" i="282"/>
  <c r="M21" i="282"/>
  <c r="M19" i="282"/>
  <c r="M20" i="326"/>
  <c r="M23" i="326"/>
  <c r="M21" i="326"/>
  <c r="M26" i="326"/>
  <c r="M30" i="326"/>
  <c r="M19" i="326"/>
  <c r="M24" i="326"/>
  <c r="M22" i="326"/>
  <c r="M27" i="326"/>
  <c r="M25" i="97"/>
  <c r="M28" i="97"/>
  <c r="L21" i="97"/>
  <c r="M22" i="97"/>
  <c r="M19" i="97"/>
  <c r="M20" i="97"/>
  <c r="EY232" i="147"/>
  <c r="EY244" i="147"/>
  <c r="D29" i="412"/>
  <c r="J29" i="412" s="1"/>
  <c r="L23" i="412"/>
  <c r="L24" i="412"/>
  <c r="L19" i="412"/>
  <c r="L25" i="412"/>
  <c r="L22" i="412"/>
  <c r="L28" i="412"/>
  <c r="L20" i="412"/>
  <c r="L21" i="412"/>
  <c r="L26" i="412"/>
  <c r="L27" i="412"/>
  <c r="L22" i="171"/>
  <c r="L24" i="171"/>
  <c r="L19" i="171"/>
  <c r="EY86" i="147"/>
  <c r="EY101" i="147"/>
  <c r="EY126" i="147"/>
  <c r="EY129" i="147"/>
  <c r="EY134" i="147"/>
  <c r="EY176" i="147"/>
  <c r="EY179" i="147"/>
  <c r="EY204" i="147"/>
  <c r="EY259" i="147"/>
  <c r="EY263" i="147"/>
  <c r="EY272" i="147"/>
  <c r="EY282" i="147"/>
  <c r="EY289" i="147"/>
  <c r="EY291" i="147"/>
  <c r="EY301" i="147"/>
  <c r="EY311" i="147"/>
  <c r="EY325" i="147"/>
  <c r="C21" i="276"/>
  <c r="DC18" i="147" s="1"/>
  <c r="DC388" i="147" s="1"/>
  <c r="L19" i="276"/>
  <c r="L20" i="276"/>
  <c r="M19" i="285"/>
  <c r="M19" i="311"/>
  <c r="M22" i="286"/>
  <c r="C23" i="288"/>
  <c r="F23" i="288" s="1"/>
  <c r="M23" i="288" s="1"/>
  <c r="L20" i="288"/>
  <c r="L21" i="288"/>
  <c r="L22" i="288"/>
  <c r="L19" i="288"/>
  <c r="G26" i="393"/>
  <c r="L26" i="393"/>
  <c r="L23" i="443"/>
  <c r="L22" i="443"/>
  <c r="L19" i="443"/>
  <c r="L20" i="443"/>
  <c r="L21" i="443"/>
  <c r="D31" i="120"/>
  <c r="H31" i="120" s="1"/>
  <c r="L19" i="120"/>
  <c r="L22" i="120"/>
  <c r="L28" i="120"/>
  <c r="L23" i="120"/>
  <c r="L29" i="120"/>
  <c r="L27" i="120"/>
  <c r="L24" i="120"/>
  <c r="L30" i="120"/>
  <c r="L25" i="120"/>
  <c r="L21" i="120"/>
  <c r="L20" i="120"/>
  <c r="L26" i="120"/>
  <c r="L32" i="120"/>
  <c r="M28" i="397"/>
  <c r="L22" i="434"/>
  <c r="L23" i="434"/>
  <c r="L24" i="434"/>
  <c r="L21" i="434"/>
  <c r="L20" i="434"/>
  <c r="L19" i="434"/>
  <c r="M26" i="435"/>
  <c r="M24" i="407"/>
  <c r="D28" i="408"/>
  <c r="H28" i="408" s="1"/>
  <c r="L20" i="408"/>
  <c r="L26" i="408"/>
  <c r="L21" i="408"/>
  <c r="L27" i="408"/>
  <c r="L22" i="408"/>
  <c r="L25" i="408"/>
  <c r="L23" i="408"/>
  <c r="L24" i="408"/>
  <c r="L19" i="408"/>
  <c r="M25" i="412"/>
  <c r="EY180" i="147"/>
  <c r="C23" i="285"/>
  <c r="DC24" i="147" s="1"/>
  <c r="L22" i="285"/>
  <c r="L19" i="285"/>
  <c r="L20" i="285"/>
  <c r="L21" i="285"/>
  <c r="EY96" i="147"/>
  <c r="EY220" i="147"/>
  <c r="EY247" i="147"/>
  <c r="EY267" i="147"/>
  <c r="EY286" i="147"/>
  <c r="EY312" i="147"/>
  <c r="EY316" i="147"/>
  <c r="EY322" i="147"/>
  <c r="EY331" i="147"/>
  <c r="C24" i="286"/>
  <c r="G24" i="286" s="1"/>
  <c r="L19" i="286"/>
  <c r="L20" i="286"/>
  <c r="L21" i="286"/>
  <c r="L22" i="286"/>
  <c r="L23" i="286"/>
  <c r="L20" i="316"/>
  <c r="M20" i="316"/>
  <c r="L21" i="316"/>
  <c r="L19" i="316"/>
  <c r="L22" i="316"/>
  <c r="L23" i="316"/>
  <c r="L25" i="316"/>
  <c r="L24" i="316"/>
  <c r="L20" i="306"/>
  <c r="L19" i="306"/>
  <c r="M26" i="399"/>
  <c r="D28" i="409"/>
  <c r="J28" i="409" s="1"/>
  <c r="L25" i="409"/>
  <c r="L20" i="409"/>
  <c r="L26" i="409"/>
  <c r="L21" i="409"/>
  <c r="L27" i="409"/>
  <c r="L19" i="409"/>
  <c r="L24" i="409"/>
  <c r="L23" i="409"/>
  <c r="L22" i="409"/>
  <c r="L25" i="174"/>
  <c r="L19" i="174"/>
  <c r="L20" i="174"/>
  <c r="L21" i="174"/>
  <c r="L27" i="174"/>
  <c r="L24" i="174"/>
  <c r="L30" i="174"/>
  <c r="L29" i="174"/>
  <c r="L22" i="174"/>
  <c r="L23" i="174"/>
  <c r="L20" i="326"/>
  <c r="L26" i="326"/>
  <c r="L21" i="326"/>
  <c r="L27" i="326"/>
  <c r="L22" i="326"/>
  <c r="L29" i="326"/>
  <c r="L23" i="326"/>
  <c r="L30" i="326"/>
  <c r="L24" i="326"/>
  <c r="L19" i="326"/>
  <c r="L25" i="326"/>
  <c r="EY310" i="147"/>
  <c r="C23" i="311"/>
  <c r="G23" i="311" s="1"/>
  <c r="L20" i="311"/>
  <c r="L19" i="311"/>
  <c r="L22" i="311"/>
  <c r="L21" i="311"/>
  <c r="EY10" i="147"/>
  <c r="EY61" i="147"/>
  <c r="EY78" i="147"/>
  <c r="EY103" i="147"/>
  <c r="EY109" i="147"/>
  <c r="EY136" i="147"/>
  <c r="EY174" i="147"/>
  <c r="EY184" i="147"/>
  <c r="EY203" i="147"/>
  <c r="EY218" i="147"/>
  <c r="EY241" i="147"/>
  <c r="EY270" i="147"/>
  <c r="EY284" i="147"/>
  <c r="EY296" i="147"/>
  <c r="EY300" i="147"/>
  <c r="EY306" i="147"/>
  <c r="C24" i="308"/>
  <c r="F24" i="308" s="1"/>
  <c r="L23" i="308"/>
  <c r="L22" i="308"/>
  <c r="L19" i="308"/>
  <c r="L20" i="308"/>
  <c r="L21" i="308"/>
  <c r="C25" i="317"/>
  <c r="D25" i="317" s="1"/>
  <c r="L24" i="317"/>
  <c r="L20" i="317"/>
  <c r="L19" i="317"/>
  <c r="L21" i="317"/>
  <c r="L22" i="317"/>
  <c r="L23" i="317"/>
  <c r="M19" i="437"/>
  <c r="C26" i="290"/>
  <c r="DC43" i="147" s="1"/>
  <c r="DC177" i="489" s="1"/>
  <c r="L19" i="290"/>
  <c r="L22" i="290"/>
  <c r="L23" i="290"/>
  <c r="L24" i="290"/>
  <c r="L25" i="290"/>
  <c r="L20" i="290"/>
  <c r="L21" i="290"/>
  <c r="C29" i="446"/>
  <c r="AU56" i="147" s="1"/>
  <c r="L19" i="446"/>
  <c r="L25" i="446"/>
  <c r="L20" i="446"/>
  <c r="L26" i="446"/>
  <c r="L21" i="446"/>
  <c r="L27" i="446"/>
  <c r="L22" i="446"/>
  <c r="L28" i="446"/>
  <c r="L24" i="446"/>
  <c r="L23" i="446"/>
  <c r="L23" i="398"/>
  <c r="L24" i="398"/>
  <c r="L19" i="398"/>
  <c r="L25" i="398"/>
  <c r="L28" i="398"/>
  <c r="L22" i="398"/>
  <c r="L21" i="398"/>
  <c r="L26" i="398"/>
  <c r="L27" i="398"/>
  <c r="L20" i="398"/>
  <c r="C28" i="399"/>
  <c r="F28" i="399" s="1"/>
  <c r="M28" i="399" s="1"/>
  <c r="L22" i="399"/>
  <c r="L23" i="399"/>
  <c r="L19" i="399"/>
  <c r="L24" i="399"/>
  <c r="L21" i="399"/>
  <c r="L27" i="399"/>
  <c r="L26" i="399"/>
  <c r="L20" i="399"/>
  <c r="L25" i="399"/>
  <c r="M22" i="407"/>
  <c r="D28" i="410"/>
  <c r="H28" i="410" s="1"/>
  <c r="L25" i="410"/>
  <c r="L26" i="410"/>
  <c r="L21" i="410"/>
  <c r="L27" i="410"/>
  <c r="L20" i="410"/>
  <c r="L24" i="410"/>
  <c r="L19" i="410"/>
  <c r="L22" i="410"/>
  <c r="L23" i="410"/>
  <c r="M23" i="412"/>
  <c r="G21" i="415"/>
  <c r="L21" i="415"/>
  <c r="L22" i="417"/>
  <c r="L19" i="417"/>
  <c r="L23" i="417"/>
  <c r="L24" i="417"/>
  <c r="L25" i="417"/>
  <c r="L20" i="417"/>
  <c r="L26" i="417"/>
  <c r="L21" i="417"/>
  <c r="D27" i="420"/>
  <c r="J27" i="420" s="1"/>
  <c r="L26" i="420"/>
  <c r="L20" i="420"/>
  <c r="L25" i="420"/>
  <c r="L19" i="420"/>
  <c r="L24" i="420"/>
  <c r="L21" i="420"/>
  <c r="L23" i="420"/>
  <c r="L22" i="420"/>
  <c r="L22" i="323"/>
  <c r="L21" i="323"/>
  <c r="L20" i="323"/>
  <c r="L23" i="323"/>
  <c r="L19" i="323"/>
  <c r="L23" i="423"/>
  <c r="L22" i="423"/>
  <c r="L21" i="423"/>
  <c r="L20" i="423"/>
  <c r="L19" i="423"/>
  <c r="L21" i="426"/>
  <c r="L20" i="426"/>
  <c r="L19" i="426"/>
  <c r="L23" i="426"/>
  <c r="L22" i="426"/>
  <c r="EY34" i="147"/>
  <c r="EY183" i="147"/>
  <c r="EY293" i="147"/>
  <c r="EY329" i="147"/>
  <c r="EY6" i="147"/>
  <c r="EY39" i="147"/>
  <c r="EY98" i="147"/>
  <c r="EY131" i="147"/>
  <c r="EY144" i="147"/>
  <c r="EY167" i="147"/>
  <c r="EY168" i="147"/>
  <c r="EY171" i="147"/>
  <c r="EY172" i="147"/>
  <c r="EY173" i="147"/>
  <c r="EY175" i="147"/>
  <c r="EY194" i="147"/>
  <c r="EY200" i="147"/>
  <c r="EY213" i="147"/>
  <c r="EY224" i="147"/>
  <c r="EY225" i="147"/>
  <c r="M21" i="312"/>
  <c r="M22" i="285"/>
  <c r="M22" i="311"/>
  <c r="L21" i="400"/>
  <c r="L27" i="400"/>
  <c r="L22" i="400"/>
  <c r="L23" i="400"/>
  <c r="L19" i="400"/>
  <c r="L20" i="400"/>
  <c r="L26" i="400"/>
  <c r="L24" i="400"/>
  <c r="L25" i="400"/>
  <c r="C27" i="166"/>
  <c r="I27" i="166" s="1"/>
  <c r="L23" i="166"/>
  <c r="L24" i="166"/>
  <c r="L25" i="166"/>
  <c r="L22" i="166"/>
  <c r="L19" i="166"/>
  <c r="L20" i="166"/>
  <c r="L21" i="166"/>
  <c r="L26" i="166"/>
  <c r="C28" i="402"/>
  <c r="G28" i="402" s="1"/>
  <c r="L23" i="402"/>
  <c r="L29" i="402"/>
  <c r="L24" i="402"/>
  <c r="L19" i="402"/>
  <c r="L25" i="402"/>
  <c r="L22" i="402"/>
  <c r="L21" i="402"/>
  <c r="L26" i="402"/>
  <c r="L27" i="402"/>
  <c r="L20" i="402"/>
  <c r="C28" i="404"/>
  <c r="G28" i="404" s="1"/>
  <c r="L23" i="404"/>
  <c r="L29" i="404"/>
  <c r="L24" i="404"/>
  <c r="L19" i="404"/>
  <c r="L25" i="404"/>
  <c r="L22" i="404"/>
  <c r="L20" i="404"/>
  <c r="L21" i="404"/>
  <c r="L26" i="404"/>
  <c r="L27" i="404"/>
  <c r="C28" i="427"/>
  <c r="D28" i="427" s="1"/>
  <c r="L23" i="427"/>
  <c r="L29" i="427"/>
  <c r="L24" i="427"/>
  <c r="L19" i="427"/>
  <c r="L25" i="427"/>
  <c r="L22" i="427"/>
  <c r="L20" i="427"/>
  <c r="L21" i="427"/>
  <c r="L26" i="427"/>
  <c r="L27" i="427"/>
  <c r="M27" i="407"/>
  <c r="L23" i="428"/>
  <c r="L19" i="428"/>
  <c r="L24" i="428"/>
  <c r="L25" i="428"/>
  <c r="L22" i="428"/>
  <c r="L26" i="428"/>
  <c r="L27" i="428"/>
  <c r="L20" i="428"/>
  <c r="L21" i="428"/>
  <c r="M28" i="412"/>
  <c r="M22" i="169"/>
  <c r="L21" i="414"/>
  <c r="L22" i="414"/>
  <c r="L19" i="414"/>
  <c r="L19" i="416"/>
  <c r="L24" i="416"/>
  <c r="L25" i="416"/>
  <c r="L20" i="416"/>
  <c r="L26" i="416"/>
  <c r="L21" i="416"/>
  <c r="L22" i="416"/>
  <c r="L28" i="416"/>
  <c r="L23" i="416"/>
  <c r="C25" i="300"/>
  <c r="AU88" i="147" s="1"/>
  <c r="L19" i="300"/>
  <c r="L21" i="300"/>
  <c r="L22" i="300"/>
  <c r="L23" i="300"/>
  <c r="L24" i="300"/>
  <c r="M19" i="171"/>
  <c r="L19" i="172"/>
  <c r="L23" i="172"/>
  <c r="L24" i="172"/>
  <c r="L19" i="173"/>
  <c r="L22" i="173"/>
  <c r="L23" i="173"/>
  <c r="EY89" i="147"/>
  <c r="EY114" i="147"/>
  <c r="DC117" i="147"/>
  <c r="DC487" i="147" s="1"/>
  <c r="EY125" i="147"/>
  <c r="EY128" i="147"/>
  <c r="EY143" i="147"/>
  <c r="EY162" i="147"/>
  <c r="EY186" i="147"/>
  <c r="EY195" i="147"/>
  <c r="EY198" i="147"/>
  <c r="EY214" i="147"/>
  <c r="EY216" i="147"/>
  <c r="EY221" i="147"/>
  <c r="EY233" i="147"/>
  <c r="EY235" i="147"/>
  <c r="EY243" i="147"/>
  <c r="EY250" i="147"/>
  <c r="EY299" i="147"/>
  <c r="EY315" i="147"/>
  <c r="C22" i="284"/>
  <c r="I22" i="284" s="1"/>
  <c r="L20" i="284"/>
  <c r="L21" i="284"/>
  <c r="L19" i="284"/>
  <c r="L23" i="393"/>
  <c r="L24" i="393"/>
  <c r="L25" i="393"/>
  <c r="L20" i="393"/>
  <c r="M20" i="393"/>
  <c r="L21" i="393"/>
  <c r="L19" i="393"/>
  <c r="L22" i="393"/>
  <c r="C21" i="318"/>
  <c r="F21" i="318" s="1"/>
  <c r="L19" i="318"/>
  <c r="L20" i="318"/>
  <c r="M22" i="437"/>
  <c r="C30" i="396"/>
  <c r="AU53" i="147" s="1"/>
  <c r="L25" i="396"/>
  <c r="L31" i="396"/>
  <c r="L19" i="396"/>
  <c r="L24" i="396"/>
  <c r="L20" i="396"/>
  <c r="L26" i="396"/>
  <c r="L32" i="396"/>
  <c r="L21" i="396"/>
  <c r="L27" i="396"/>
  <c r="L22" i="396"/>
  <c r="L28" i="396"/>
  <c r="L23" i="396"/>
  <c r="L29" i="396"/>
  <c r="M32" i="396"/>
  <c r="M24" i="397"/>
  <c r="M20" i="407"/>
  <c r="M21" i="412"/>
  <c r="M26" i="97"/>
  <c r="EY158" i="147"/>
  <c r="L20" i="437"/>
  <c r="L21" i="437"/>
  <c r="L22" i="437"/>
  <c r="L19" i="437"/>
  <c r="EY100" i="147"/>
  <c r="EY115" i="147"/>
  <c r="EY133" i="147"/>
  <c r="EY142" i="147"/>
  <c r="EY163" i="147"/>
  <c r="EY166" i="147"/>
  <c r="EY185" i="147"/>
  <c r="EY192" i="147"/>
  <c r="EY202" i="147"/>
  <c r="EY212" i="147"/>
  <c r="EY215" i="147"/>
  <c r="EY223" i="147"/>
  <c r="EY238" i="147"/>
  <c r="M19" i="312"/>
  <c r="M20" i="285"/>
  <c r="M20" i="311"/>
  <c r="M23" i="286"/>
  <c r="C26" i="292"/>
  <c r="I26" i="292" s="1"/>
  <c r="L25" i="292"/>
  <c r="L24" i="292"/>
  <c r="L20" i="292"/>
  <c r="L19" i="292"/>
  <c r="L21" i="292"/>
  <c r="L22" i="292"/>
  <c r="L23" i="292"/>
  <c r="M24" i="434"/>
  <c r="M25" i="407"/>
  <c r="M22" i="410"/>
  <c r="L23" i="411"/>
  <c r="L24" i="411"/>
  <c r="L19" i="411"/>
  <c r="L25" i="411"/>
  <c r="L22" i="411"/>
  <c r="L28" i="411"/>
  <c r="L27" i="411"/>
  <c r="L26" i="411"/>
  <c r="L21" i="411"/>
  <c r="L20" i="411"/>
  <c r="L29" i="411"/>
  <c r="M27" i="411"/>
  <c r="M28" i="411"/>
  <c r="M26" i="412"/>
  <c r="D27" i="413"/>
  <c r="J27" i="413" s="1"/>
  <c r="L21" i="413"/>
  <c r="L22" i="413"/>
  <c r="L28" i="413"/>
  <c r="L23" i="413"/>
  <c r="L30" i="413"/>
  <c r="L24" i="413"/>
  <c r="L25" i="413"/>
  <c r="L20" i="413"/>
  <c r="L26" i="413"/>
  <c r="L19" i="413"/>
  <c r="M23" i="176"/>
  <c r="G20" i="414"/>
  <c r="L20" i="414"/>
  <c r="EY41" i="147"/>
  <c r="AE83" i="147"/>
  <c r="AE453" i="147" s="1"/>
  <c r="AE84" i="147"/>
  <c r="AE454" i="147" s="1"/>
  <c r="EY141" i="147"/>
  <c r="EY164" i="147"/>
  <c r="EY170" i="147"/>
  <c r="EY231" i="147"/>
  <c r="EY236" i="147"/>
  <c r="EY288" i="147"/>
  <c r="EY290" i="147"/>
  <c r="EY298" i="147"/>
  <c r="EY304" i="147"/>
  <c r="EY305" i="147"/>
  <c r="EY320" i="147"/>
  <c r="C24" i="313"/>
  <c r="L24" i="313" s="1"/>
  <c r="L19" i="313"/>
  <c r="L20" i="313"/>
  <c r="L21" i="313"/>
  <c r="L22" i="313"/>
  <c r="L23" i="313"/>
  <c r="C23" i="314"/>
  <c r="F23" i="314" s="1"/>
  <c r="M23" i="314" s="1"/>
  <c r="L19" i="314"/>
  <c r="L20" i="314"/>
  <c r="L21" i="314"/>
  <c r="L22" i="314"/>
  <c r="C32" i="165"/>
  <c r="G32" i="165" s="1"/>
  <c r="L19" i="165"/>
  <c r="L23" i="165"/>
  <c r="L29" i="165"/>
  <c r="L24" i="165"/>
  <c r="L30" i="165"/>
  <c r="L25" i="165"/>
  <c r="L31" i="165"/>
  <c r="L20" i="165"/>
  <c r="L26" i="165"/>
  <c r="L21" i="165"/>
  <c r="L27" i="165"/>
  <c r="L33" i="165"/>
  <c r="L22" i="165"/>
  <c r="L28" i="165"/>
  <c r="M27" i="399"/>
  <c r="M27" i="410"/>
  <c r="M19" i="412"/>
  <c r="L19" i="415"/>
  <c r="L20" i="415"/>
  <c r="L22" i="415"/>
  <c r="L23" i="415"/>
  <c r="L19" i="301"/>
  <c r="L20" i="301"/>
  <c r="L21" i="301"/>
  <c r="L22" i="301"/>
  <c r="L23" i="301"/>
  <c r="C27" i="419"/>
  <c r="I27" i="419" s="1"/>
  <c r="L24" i="419"/>
  <c r="L25" i="419"/>
  <c r="L20" i="419"/>
  <c r="L26" i="419"/>
  <c r="L21" i="419"/>
  <c r="L22" i="419"/>
  <c r="L19" i="419"/>
  <c r="L23" i="419"/>
  <c r="D27" i="422"/>
  <c r="H27" i="422" s="1"/>
  <c r="L22" i="422"/>
  <c r="L19" i="422"/>
  <c r="L23" i="422"/>
  <c r="L24" i="422"/>
  <c r="L25" i="422"/>
  <c r="L20" i="422"/>
  <c r="L26" i="422"/>
  <c r="L21" i="422"/>
  <c r="L23" i="324"/>
  <c r="L22" i="324"/>
  <c r="L21" i="324"/>
  <c r="L20" i="324"/>
  <c r="L19" i="324"/>
  <c r="L19" i="424"/>
  <c r="L23" i="424"/>
  <c r="L22" i="424"/>
  <c r="L21" i="424"/>
  <c r="L20" i="424"/>
  <c r="L25" i="97"/>
  <c r="L26" i="97"/>
  <c r="L20" i="97"/>
  <c r="L28" i="97"/>
  <c r="L19" i="97"/>
  <c r="L22" i="97"/>
  <c r="G26" i="174"/>
  <c r="L26" i="174"/>
  <c r="L22" i="176"/>
  <c r="L23" i="176"/>
  <c r="L24" i="176"/>
  <c r="L25" i="176"/>
  <c r="L20" i="176"/>
  <c r="L19" i="176"/>
  <c r="L21" i="176"/>
  <c r="EY102" i="147"/>
  <c r="EY135" i="147"/>
  <c r="EY140" i="147"/>
  <c r="EY161" i="147"/>
  <c r="EY165" i="147"/>
  <c r="EY191" i="147"/>
  <c r="EY196" i="147"/>
  <c r="EY211" i="147"/>
  <c r="EY222" i="147"/>
  <c r="EY228" i="147"/>
  <c r="EY240" i="147"/>
  <c r="EY271" i="147"/>
  <c r="EY283" i="147"/>
  <c r="EY303" i="147"/>
  <c r="EY314" i="147"/>
  <c r="BS321" i="147"/>
  <c r="BS691" i="147" s="1"/>
  <c r="C22" i="281"/>
  <c r="DC19" i="147" s="1"/>
  <c r="DC389" i="147" s="1"/>
  <c r="L19" i="281"/>
  <c r="L20" i="281"/>
  <c r="L21" i="281"/>
  <c r="C23" i="282"/>
  <c r="F23" i="282" s="1"/>
  <c r="L20" i="282"/>
  <c r="L19" i="282"/>
  <c r="L21" i="282"/>
  <c r="L22" i="282"/>
  <c r="M20" i="437"/>
  <c r="M27" i="397"/>
  <c r="L25" i="435"/>
  <c r="L20" i="435"/>
  <c r="L26" i="435"/>
  <c r="L21" i="435"/>
  <c r="L19" i="435"/>
  <c r="L24" i="435"/>
  <c r="L22" i="435"/>
  <c r="L23" i="435"/>
  <c r="M23" i="407"/>
  <c r="M24" i="412"/>
  <c r="C27" i="169"/>
  <c r="G27" i="169" s="1"/>
  <c r="L21" i="169"/>
  <c r="L22" i="169"/>
  <c r="L19" i="169"/>
  <c r="L23" i="169"/>
  <c r="L20" i="169"/>
  <c r="L26" i="169"/>
  <c r="L24" i="169"/>
  <c r="L25" i="169"/>
  <c r="C28" i="92"/>
  <c r="G28" i="92" s="1"/>
  <c r="L23" i="92"/>
  <c r="L19" i="92"/>
  <c r="L24" i="92"/>
  <c r="L25" i="92"/>
  <c r="L20" i="92"/>
  <c r="L26" i="92"/>
  <c r="L21" i="92"/>
  <c r="L27" i="92"/>
  <c r="L22" i="92"/>
  <c r="L21" i="175"/>
  <c r="L19" i="175"/>
  <c r="L23" i="175"/>
  <c r="L24" i="175"/>
  <c r="L20" i="175"/>
  <c r="EY9" i="147"/>
  <c r="EY97" i="147"/>
  <c r="EY111" i="147"/>
  <c r="EY120" i="147"/>
  <c r="EY124" i="147"/>
  <c r="EY127" i="147"/>
  <c r="EY130" i="147"/>
  <c r="EY139" i="147"/>
  <c r="EY160" i="147"/>
  <c r="EY206" i="147"/>
  <c r="EY266" i="147"/>
  <c r="EY297" i="147"/>
  <c r="EY308" i="147"/>
  <c r="EY318" i="147"/>
  <c r="EY332" i="147"/>
  <c r="EY336" i="147"/>
  <c r="C25" i="287"/>
  <c r="D25" i="287" s="1"/>
  <c r="L20" i="287"/>
  <c r="L24" i="287"/>
  <c r="L19" i="287"/>
  <c r="L21" i="287"/>
  <c r="L22" i="287"/>
  <c r="L23" i="287"/>
  <c r="L22" i="442"/>
  <c r="L19" i="442"/>
  <c r="L20" i="442"/>
  <c r="L21" i="442"/>
  <c r="L19" i="397"/>
  <c r="L25" i="397"/>
  <c r="L24" i="397"/>
  <c r="L20" i="397"/>
  <c r="L26" i="397"/>
  <c r="L21" i="397"/>
  <c r="L27" i="397"/>
  <c r="L22" i="397"/>
  <c r="L28" i="397"/>
  <c r="L23" i="397"/>
  <c r="L20" i="171"/>
  <c r="EY239" i="147"/>
  <c r="C22" i="312"/>
  <c r="D22" i="312" s="1"/>
  <c r="L19" i="312"/>
  <c r="L21" i="312"/>
  <c r="L20" i="312"/>
  <c r="EY7" i="147"/>
  <c r="EY11" i="147"/>
  <c r="EY12" i="147"/>
  <c r="EY51" i="147"/>
  <c r="EY110" i="147"/>
  <c r="EY138" i="147"/>
  <c r="EY169" i="147"/>
  <c r="EY177" i="147"/>
  <c r="EY178" i="147"/>
  <c r="EY187" i="147"/>
  <c r="EY190" i="147"/>
  <c r="EY207" i="147"/>
  <c r="EY209" i="147"/>
  <c r="EY242" i="147"/>
  <c r="EY295" i="147"/>
  <c r="EY309" i="147"/>
  <c r="EY323" i="147"/>
  <c r="C21" i="283"/>
  <c r="I21" i="283" s="1"/>
  <c r="L20" i="283"/>
  <c r="L19" i="283"/>
  <c r="C25" i="307"/>
  <c r="L25" i="307" s="1"/>
  <c r="L21" i="307"/>
  <c r="L22" i="307"/>
  <c r="L23" i="307"/>
  <c r="L24" i="307"/>
  <c r="L20" i="307"/>
  <c r="L19" i="307"/>
  <c r="D26" i="316"/>
  <c r="H26" i="316" s="1"/>
  <c r="L26" i="316"/>
  <c r="C24" i="441"/>
  <c r="G24" i="441" s="1"/>
  <c r="L19" i="441"/>
  <c r="L20" i="441"/>
  <c r="L21" i="441"/>
  <c r="L22" i="441"/>
  <c r="L23" i="441"/>
  <c r="D31" i="298"/>
  <c r="J31" i="298" s="1"/>
  <c r="L30" i="298"/>
  <c r="L25" i="298"/>
  <c r="L20" i="298"/>
  <c r="L26" i="298"/>
  <c r="L24" i="298"/>
  <c r="L19" i="298"/>
  <c r="L21" i="298"/>
  <c r="L27" i="298"/>
  <c r="L22" i="298"/>
  <c r="L28" i="298"/>
  <c r="L23" i="298"/>
  <c r="L29" i="298"/>
  <c r="C29" i="401"/>
  <c r="F29" i="401" s="1"/>
  <c r="M29" i="401" s="1"/>
  <c r="L23" i="401"/>
  <c r="L24" i="401"/>
  <c r="L19" i="401"/>
  <c r="L25" i="401"/>
  <c r="L22" i="401"/>
  <c r="L28" i="401"/>
  <c r="L20" i="401"/>
  <c r="L21" i="401"/>
  <c r="L26" i="401"/>
  <c r="L27" i="401"/>
  <c r="C28" i="403"/>
  <c r="F28" i="403" s="1"/>
  <c r="L23" i="403"/>
  <c r="L29" i="403"/>
  <c r="L24" i="403"/>
  <c r="L19" i="403"/>
  <c r="L25" i="403"/>
  <c r="L22" i="403"/>
  <c r="L27" i="403"/>
  <c r="L20" i="403"/>
  <c r="L21" i="403"/>
  <c r="L26" i="403"/>
  <c r="C28" i="405"/>
  <c r="F28" i="405" s="1"/>
  <c r="L23" i="405"/>
  <c r="L29" i="405"/>
  <c r="L24" i="405"/>
  <c r="L19" i="405"/>
  <c r="L25" i="405"/>
  <c r="L22" i="405"/>
  <c r="L20" i="405"/>
  <c r="L27" i="405"/>
  <c r="L21" i="405"/>
  <c r="L26" i="405"/>
  <c r="C28" i="406"/>
  <c r="F28" i="406" s="1"/>
  <c r="L23" i="406"/>
  <c r="L29" i="406"/>
  <c r="L24" i="406"/>
  <c r="L19" i="406"/>
  <c r="L25" i="406"/>
  <c r="L22" i="406"/>
  <c r="L27" i="406"/>
  <c r="L20" i="406"/>
  <c r="L21" i="406"/>
  <c r="L26" i="406"/>
  <c r="M21" i="407"/>
  <c r="L23" i="168"/>
  <c r="L29" i="168"/>
  <c r="L24" i="168"/>
  <c r="L19" i="168"/>
  <c r="L25" i="168"/>
  <c r="L22" i="168"/>
  <c r="L28" i="168"/>
  <c r="L20" i="168"/>
  <c r="L21" i="168"/>
  <c r="L26" i="168"/>
  <c r="L27" i="168"/>
  <c r="M22" i="412"/>
  <c r="I26" i="172"/>
  <c r="L26" i="172"/>
  <c r="G20" i="173"/>
  <c r="L20" i="173"/>
  <c r="M24" i="176"/>
  <c r="EY112" i="147"/>
  <c r="EY182" i="147"/>
  <c r="L21" i="407"/>
  <c r="L27" i="407"/>
  <c r="L22" i="407"/>
  <c r="L23" i="407"/>
  <c r="L19" i="407"/>
  <c r="L20" i="407"/>
  <c r="L26" i="407"/>
  <c r="L24" i="407"/>
  <c r="L25" i="407"/>
  <c r="E24" i="379"/>
  <c r="F24" i="379" s="1"/>
  <c r="E23" i="379"/>
  <c r="F23" i="379" s="1"/>
  <c r="E22" i="136"/>
  <c r="F22" i="136" s="1"/>
  <c r="F29" i="136" s="1"/>
  <c r="F30" i="136" s="1"/>
  <c r="F34" i="136" s="1"/>
  <c r="I320" i="147" s="1"/>
  <c r="E25" i="385"/>
  <c r="F25" i="385" s="1"/>
  <c r="F27" i="385" s="1"/>
  <c r="F28" i="385" s="1"/>
  <c r="F29" i="385" s="1"/>
  <c r="F33" i="385" s="1"/>
  <c r="I318" i="147" s="1"/>
  <c r="E25" i="226"/>
  <c r="F25" i="226" s="1"/>
  <c r="F27" i="226" s="1"/>
  <c r="F28" i="226" s="1"/>
  <c r="F29" i="226" s="1"/>
  <c r="F33" i="226" s="1"/>
  <c r="I317" i="147" s="1"/>
  <c r="E22" i="115"/>
  <c r="F22" i="115" s="1"/>
  <c r="E23" i="128"/>
  <c r="F23" i="128" s="1"/>
  <c r="E23" i="130"/>
  <c r="F23" i="130" s="1"/>
  <c r="E23" i="127"/>
  <c r="F23" i="127" s="1"/>
  <c r="E22" i="118"/>
  <c r="F22" i="118" s="1"/>
  <c r="F26" i="118" s="1"/>
  <c r="F28" i="118" s="1"/>
  <c r="F32" i="118" s="1"/>
  <c r="I307" i="147" s="1"/>
  <c r="E22" i="117"/>
  <c r="F22" i="117" s="1"/>
  <c r="F26" i="117" s="1"/>
  <c r="F28" i="117" s="1"/>
  <c r="F32" i="117" s="1"/>
  <c r="I306" i="147" s="1"/>
  <c r="EY40" i="147"/>
  <c r="EY62" i="147"/>
  <c r="EY82" i="147"/>
  <c r="EY99" i="147"/>
  <c r="EY113" i="147"/>
  <c r="EY132" i="147"/>
  <c r="EY156" i="147"/>
  <c r="EY181" i="147"/>
  <c r="EY188" i="147"/>
  <c r="EY189" i="147"/>
  <c r="EY205" i="147"/>
  <c r="EY208" i="147"/>
  <c r="EY234" i="147"/>
  <c r="EY302" i="147"/>
  <c r="EY313" i="147"/>
  <c r="EY317" i="147"/>
  <c r="M20" i="312"/>
  <c r="M21" i="285"/>
  <c r="M21" i="311"/>
  <c r="C24" i="315"/>
  <c r="D24" i="315" s="1"/>
  <c r="H24" i="315" s="1"/>
  <c r="L19" i="315"/>
  <c r="L20" i="315"/>
  <c r="L21" i="315"/>
  <c r="L22" i="315"/>
  <c r="L23" i="315"/>
  <c r="L22" i="167"/>
  <c r="L23" i="167"/>
  <c r="L19" i="167"/>
  <c r="L24" i="167"/>
  <c r="L21" i="167"/>
  <c r="L27" i="167"/>
  <c r="L20" i="167"/>
  <c r="L25" i="167"/>
  <c r="L26" i="167"/>
  <c r="M26" i="407"/>
  <c r="M23" i="410"/>
  <c r="M27" i="412"/>
  <c r="L21" i="103"/>
  <c r="L22" i="103"/>
  <c r="L28" i="103"/>
  <c r="L23" i="103"/>
  <c r="L20" i="103"/>
  <c r="L26" i="103"/>
  <c r="L24" i="103"/>
  <c r="L19" i="103"/>
  <c r="L25" i="103"/>
  <c r="L21" i="102"/>
  <c r="L22" i="102"/>
  <c r="L20" i="102"/>
  <c r="L19" i="102"/>
  <c r="C27" i="418"/>
  <c r="G27" i="418" s="1"/>
  <c r="L20" i="418"/>
  <c r="L26" i="418"/>
  <c r="L21" i="418"/>
  <c r="L22" i="418"/>
  <c r="L23" i="418"/>
  <c r="L24" i="418"/>
  <c r="L25" i="418"/>
  <c r="L19" i="418"/>
  <c r="C27" i="421"/>
  <c r="I27" i="421" s="1"/>
  <c r="L23" i="421"/>
  <c r="L22" i="421"/>
  <c r="L21" i="421"/>
  <c r="L24" i="421"/>
  <c r="L26" i="421"/>
  <c r="L25" i="421"/>
  <c r="L20" i="421"/>
  <c r="L19" i="421"/>
  <c r="L22" i="322"/>
  <c r="L23" i="322"/>
  <c r="L20" i="322"/>
  <c r="L21" i="322"/>
  <c r="L19" i="322"/>
  <c r="L23" i="325"/>
  <c r="L22" i="325"/>
  <c r="L19" i="325"/>
  <c r="L21" i="325"/>
  <c r="L20" i="325"/>
  <c r="L20" i="425"/>
  <c r="L19" i="425"/>
  <c r="L23" i="425"/>
  <c r="L22" i="425"/>
  <c r="L21" i="425"/>
  <c r="M22" i="171"/>
  <c r="CS246" i="489"/>
  <c r="CS253" i="489" s="1"/>
  <c r="CS334" i="489" s="1"/>
  <c r="AQ66" i="489"/>
  <c r="DM246" i="489"/>
  <c r="CH66" i="489"/>
  <c r="CH322" i="489" s="1"/>
  <c r="AH156" i="489"/>
  <c r="AH163" i="489" s="1"/>
  <c r="AH331" i="489" s="1"/>
  <c r="AH246" i="489"/>
  <c r="AH253" i="489" s="1"/>
  <c r="AH334" i="489" s="1"/>
  <c r="AL56" i="489"/>
  <c r="AK995" i="489"/>
  <c r="AL176" i="489"/>
  <c r="BT206" i="489"/>
  <c r="ET373" i="147"/>
  <c r="BR995" i="489"/>
  <c r="CF236" i="489"/>
  <c r="Y246" i="147"/>
  <c r="Y616" i="147" s="1"/>
  <c r="CF995" i="489"/>
  <c r="DC236" i="489"/>
  <c r="DF236" i="489"/>
  <c r="AJ276" i="489"/>
  <c r="AJ283" i="489" s="1"/>
  <c r="AJ335" i="489" s="1"/>
  <c r="AN276" i="489"/>
  <c r="AN156" i="489"/>
  <c r="AN163" i="489" s="1"/>
  <c r="AN331" i="489" s="1"/>
  <c r="AN36" i="489"/>
  <c r="AO276" i="489"/>
  <c r="AO156" i="489"/>
  <c r="AO163" i="489" s="1"/>
  <c r="AO331" i="489" s="1"/>
  <c r="AO36" i="489"/>
  <c r="AH176" i="489"/>
  <c r="AE296" i="489"/>
  <c r="U176" i="489"/>
  <c r="CN206" i="489"/>
  <c r="CN223" i="489" s="1"/>
  <c r="CN333" i="489" s="1"/>
  <c r="CN146" i="489"/>
  <c r="DC146" i="489"/>
  <c r="DC26" i="489"/>
  <c r="CZ176" i="489"/>
  <c r="CO296" i="489"/>
  <c r="CO313" i="489" s="1"/>
  <c r="CO336" i="489" s="1"/>
  <c r="CO236" i="489"/>
  <c r="CO253" i="489" s="1"/>
  <c r="CO334" i="489" s="1"/>
  <c r="CO26" i="489"/>
  <c r="V296" i="489"/>
  <c r="BR156" i="489"/>
  <c r="BR36" i="489"/>
  <c r="AQ176" i="489"/>
  <c r="CB56" i="489"/>
  <c r="DR56" i="489"/>
  <c r="X296" i="489"/>
  <c r="AX176" i="489"/>
  <c r="B91" i="489"/>
  <c r="B62" i="489"/>
  <c r="B92" i="489"/>
  <c r="U236" i="489"/>
  <c r="U253" i="489" s="1"/>
  <c r="U334" i="489" s="1"/>
  <c r="DD176" i="489"/>
  <c r="BS296" i="489"/>
  <c r="AJ56" i="489"/>
  <c r="CF296" i="489"/>
  <c r="B93" i="489"/>
  <c r="B63" i="489"/>
  <c r="DU176" i="489"/>
  <c r="DU321" i="489" s="1"/>
  <c r="CL296" i="489"/>
  <c r="CZ236" i="489"/>
  <c r="DR283" i="489"/>
  <c r="DR335" i="489" s="1"/>
  <c r="DR116" i="489"/>
  <c r="DR133" i="489" s="1"/>
  <c r="DR330" i="489" s="1"/>
  <c r="DR86" i="489"/>
  <c r="DR103" i="489" s="1"/>
  <c r="DR329" i="489" s="1"/>
  <c r="CA206" i="489"/>
  <c r="E22" i="310"/>
  <c r="F22" i="310" s="1"/>
  <c r="D291" i="147"/>
  <c r="E70" i="147"/>
  <c r="F62" i="147"/>
  <c r="F88" i="147"/>
  <c r="F37" i="147"/>
  <c r="CS245" i="147"/>
  <c r="E40" i="147"/>
  <c r="F227" i="147"/>
  <c r="CU373" i="147"/>
  <c r="G228" i="147"/>
  <c r="G29" i="411"/>
  <c r="C29" i="412"/>
  <c r="D29" i="446"/>
  <c r="J29" i="446" s="1"/>
  <c r="D42" i="147"/>
  <c r="D27" i="169"/>
  <c r="J27" i="169" s="1"/>
  <c r="C27" i="422"/>
  <c r="I27" i="422" s="1"/>
  <c r="G284" i="147"/>
  <c r="D28" i="399"/>
  <c r="J28" i="399" s="1"/>
  <c r="EU373" i="147"/>
  <c r="D27" i="421"/>
  <c r="H27" i="421" s="1"/>
  <c r="C28" i="410"/>
  <c r="E290" i="147"/>
  <c r="C31" i="298"/>
  <c r="F31" i="298" s="1"/>
  <c r="M31" i="298" s="1"/>
  <c r="D27" i="166"/>
  <c r="J27" i="166" s="1"/>
  <c r="C27" i="420"/>
  <c r="D28" i="92"/>
  <c r="J28" i="92" s="1"/>
  <c r="DC122" i="147"/>
  <c r="DC492" i="147" s="1"/>
  <c r="DC226" i="147"/>
  <c r="DC119" i="147"/>
  <c r="DC489" i="147" s="1"/>
  <c r="G42" i="93"/>
  <c r="E42" i="93"/>
  <c r="F42" i="93"/>
  <c r="D30" i="396"/>
  <c r="J30" i="396" s="1"/>
  <c r="D32" i="165"/>
  <c r="J32" i="165" s="1"/>
  <c r="E80" i="147"/>
  <c r="F52" i="147"/>
  <c r="F208" i="489" s="1"/>
  <c r="G251" i="147"/>
  <c r="F34" i="147"/>
  <c r="F283" i="147"/>
  <c r="E42" i="147"/>
  <c r="G233" i="147"/>
  <c r="E292" i="147"/>
  <c r="E101" i="147"/>
  <c r="E225" i="147"/>
  <c r="G281" i="147"/>
  <c r="E55" i="147"/>
  <c r="F77" i="147"/>
  <c r="F28" i="489" s="1"/>
  <c r="F232" i="147"/>
  <c r="F36" i="147"/>
  <c r="G45" i="147"/>
  <c r="E230" i="147"/>
  <c r="G272" i="147"/>
  <c r="G14" i="147"/>
  <c r="E14" i="147"/>
  <c r="F94" i="147"/>
  <c r="DC123" i="147"/>
  <c r="DC493" i="147" s="1"/>
  <c r="DC227" i="147"/>
  <c r="BS245" i="147"/>
  <c r="D246" i="147"/>
  <c r="E249" i="147"/>
  <c r="CE321" i="147"/>
  <c r="CE691" i="147" s="1"/>
  <c r="DI321" i="147"/>
  <c r="DI691" i="147" s="1"/>
  <c r="DC35" i="147"/>
  <c r="DC405" i="147" s="1"/>
  <c r="D55" i="147"/>
  <c r="AE85" i="147"/>
  <c r="AE455" i="147" s="1"/>
  <c r="CI321" i="147"/>
  <c r="CI691" i="147" s="1"/>
  <c r="F21" i="184"/>
  <c r="F20" i="379"/>
  <c r="D80" i="147"/>
  <c r="E82" i="147"/>
  <c r="G302" i="147"/>
  <c r="D316" i="147"/>
  <c r="D29" i="147"/>
  <c r="E282" i="147"/>
  <c r="D283" i="147"/>
  <c r="D285" i="147"/>
  <c r="D324" i="147"/>
  <c r="F26" i="147"/>
  <c r="D30" i="147"/>
  <c r="E29" i="147"/>
  <c r="G283" i="147"/>
  <c r="E285" i="147"/>
  <c r="G295" i="147"/>
  <c r="C31" i="120"/>
  <c r="I26" i="316"/>
  <c r="F26" i="172"/>
  <c r="M26" i="172" s="1"/>
  <c r="C21" i="173"/>
  <c r="L21" i="173" s="1"/>
  <c r="F26" i="174"/>
  <c r="M26" i="174" s="1"/>
  <c r="E26" i="147"/>
  <c r="G36" i="147"/>
  <c r="E37" i="147"/>
  <c r="F82" i="147"/>
  <c r="G96" i="147"/>
  <c r="G77" i="489" s="1"/>
  <c r="E236" i="147"/>
  <c r="G249" i="147"/>
  <c r="E250" i="147"/>
  <c r="F293" i="147"/>
  <c r="E316" i="147"/>
  <c r="DY373" i="147"/>
  <c r="D52" i="147"/>
  <c r="D208" i="489" s="1"/>
  <c r="G19" i="147"/>
  <c r="D26" i="147"/>
  <c r="E36" i="147"/>
  <c r="D37" i="147"/>
  <c r="D38" i="147"/>
  <c r="E45" i="147"/>
  <c r="E47" i="147"/>
  <c r="F53" i="147"/>
  <c r="D70" i="147"/>
  <c r="E89" i="147"/>
  <c r="F225" i="147"/>
  <c r="AY373" i="147"/>
  <c r="DJ373" i="147"/>
  <c r="E28" i="310"/>
  <c r="F28" i="310" s="1"/>
  <c r="D28" i="407"/>
  <c r="C28" i="407"/>
  <c r="I28" i="407" s="1"/>
  <c r="G21" i="372"/>
  <c r="I21" i="372"/>
  <c r="D21" i="372"/>
  <c r="H21" i="372" s="1"/>
  <c r="J24" i="433"/>
  <c r="H24" i="433"/>
  <c r="G20" i="371"/>
  <c r="F20" i="371"/>
  <c r="F25" i="293"/>
  <c r="I46" i="147" s="1"/>
  <c r="D28" i="167"/>
  <c r="C28" i="167"/>
  <c r="L28" i="167" s="1"/>
  <c r="C27" i="417"/>
  <c r="D27" i="417"/>
  <c r="H27" i="417" s="1"/>
  <c r="F21" i="162"/>
  <c r="F22" i="162" s="1"/>
  <c r="F26" i="162" s="1"/>
  <c r="I8" i="147" s="1"/>
  <c r="F25" i="294"/>
  <c r="I47" i="147" s="1"/>
  <c r="D25" i="300"/>
  <c r="H25" i="300" s="1"/>
  <c r="I21" i="370"/>
  <c r="F21" i="183"/>
  <c r="F21" i="137"/>
  <c r="F22" i="137" s="1"/>
  <c r="F26" i="137" s="1"/>
  <c r="I5" i="147" s="1"/>
  <c r="D21" i="370"/>
  <c r="H21" i="370" s="1"/>
  <c r="I20" i="372"/>
  <c r="D20" i="134"/>
  <c r="H20" i="134" s="1"/>
  <c r="E27" i="310"/>
  <c r="F27" i="310" s="1"/>
  <c r="F31" i="147"/>
  <c r="D35" i="147"/>
  <c r="D231" i="147"/>
  <c r="D90" i="489" s="1"/>
  <c r="D232" i="147"/>
  <c r="E235" i="147"/>
  <c r="D27" i="147"/>
  <c r="G18" i="147"/>
  <c r="D19" i="147"/>
  <c r="G35" i="147"/>
  <c r="D39" i="147"/>
  <c r="E52" i="147"/>
  <c r="E208" i="489" s="1"/>
  <c r="F55" i="147"/>
  <c r="D63" i="147"/>
  <c r="D66" i="147"/>
  <c r="E74" i="147"/>
  <c r="E76" i="147"/>
  <c r="D81" i="147"/>
  <c r="E88" i="147"/>
  <c r="F89" i="147"/>
  <c r="D225" i="147"/>
  <c r="D227" i="147"/>
  <c r="D230" i="147"/>
  <c r="E231" i="147"/>
  <c r="E90" i="489" s="1"/>
  <c r="E234" i="147"/>
  <c r="F239" i="147"/>
  <c r="G246" i="147"/>
  <c r="BS249" i="147"/>
  <c r="BS619" i="147" s="1"/>
  <c r="D275" i="147"/>
  <c r="D322" i="147"/>
  <c r="E324" i="147"/>
  <c r="F19" i="147"/>
  <c r="D53" i="147"/>
  <c r="G55" i="147"/>
  <c r="E62" i="147"/>
  <c r="E63" i="147"/>
  <c r="D64" i="147"/>
  <c r="D58" i="489" s="1"/>
  <c r="E66" i="147"/>
  <c r="E81" i="147"/>
  <c r="D82" i="147"/>
  <c r="D226" i="147"/>
  <c r="F231" i="147"/>
  <c r="F90" i="489" s="1"/>
  <c r="E233" i="147"/>
  <c r="D240" i="147"/>
  <c r="D249" i="147"/>
  <c r="CS249" i="147"/>
  <c r="CS619" i="147" s="1"/>
  <c r="D250" i="147"/>
  <c r="BS251" i="147"/>
  <c r="BS621" i="147" s="1"/>
  <c r="E275" i="147"/>
  <c r="D282" i="147"/>
  <c r="F302" i="147"/>
  <c r="E322" i="147"/>
  <c r="F324" i="147"/>
  <c r="F66" i="147"/>
  <c r="F275" i="147"/>
  <c r="G322" i="147"/>
  <c r="D28" i="428"/>
  <c r="C28" i="428"/>
  <c r="F28" i="428" s="1"/>
  <c r="M28" i="428" s="1"/>
  <c r="D238" i="93"/>
  <c r="G238" i="93"/>
  <c r="F25" i="279"/>
  <c r="I17" i="147" s="1"/>
  <c r="J25" i="177"/>
  <c r="G20" i="182"/>
  <c r="D20" i="182"/>
  <c r="H20" i="182" s="1"/>
  <c r="I20" i="182"/>
  <c r="F25" i="267"/>
  <c r="I265" i="147" s="1"/>
  <c r="D27" i="416"/>
  <c r="J27" i="416" s="1"/>
  <c r="C27" i="416"/>
  <c r="F27" i="416" s="1"/>
  <c r="M27" i="416" s="1"/>
  <c r="G21" i="371"/>
  <c r="G20" i="134"/>
  <c r="J26" i="379"/>
  <c r="G21" i="182"/>
  <c r="F21" i="373"/>
  <c r="I24" i="430"/>
  <c r="H33" i="205"/>
  <c r="H31" i="215"/>
  <c r="H28" i="216"/>
  <c r="F21" i="94"/>
  <c r="F22" i="94" s="1"/>
  <c r="F26" i="94" s="1"/>
  <c r="G27" i="147"/>
  <c r="F29" i="147"/>
  <c r="E30" i="147"/>
  <c r="E31" i="147"/>
  <c r="E33" i="147"/>
  <c r="D36" i="147"/>
  <c r="G38" i="147"/>
  <c r="G39" i="147"/>
  <c r="E41" i="147"/>
  <c r="G42" i="147"/>
  <c r="F44" i="147"/>
  <c r="G52" i="147"/>
  <c r="G208" i="489" s="1"/>
  <c r="E58" i="147"/>
  <c r="F64" i="147"/>
  <c r="F58" i="489" s="1"/>
  <c r="G66" i="147"/>
  <c r="E68" i="147"/>
  <c r="E69" i="147"/>
  <c r="F70" i="147"/>
  <c r="E78" i="147"/>
  <c r="E79" i="147"/>
  <c r="G80" i="147"/>
  <c r="G81" i="147"/>
  <c r="F83" i="147"/>
  <c r="E84" i="147"/>
  <c r="F86" i="147"/>
  <c r="D89" i="147"/>
  <c r="D96" i="147"/>
  <c r="D77" i="489" s="1"/>
  <c r="F98" i="147"/>
  <c r="E100" i="147"/>
  <c r="E228" i="147"/>
  <c r="G231" i="147"/>
  <c r="G90" i="489" s="1"/>
  <c r="G232" i="147"/>
  <c r="G240" i="147"/>
  <c r="E243" i="147"/>
  <c r="F245" i="147"/>
  <c r="CS246" i="147"/>
  <c r="CS616" i="147" s="1"/>
  <c r="DF246" i="147"/>
  <c r="DF616" i="147" s="1"/>
  <c r="E246" i="147"/>
  <c r="DC246" i="147"/>
  <c r="DC616" i="147" s="1"/>
  <c r="F251" i="147"/>
  <c r="G252" i="147"/>
  <c r="D272" i="147"/>
  <c r="F290" i="147"/>
  <c r="F295" i="147"/>
  <c r="E295" i="147"/>
  <c r="D18" i="147"/>
  <c r="F30" i="147"/>
  <c r="F33" i="147"/>
  <c r="G44" i="147"/>
  <c r="F58" i="147"/>
  <c r="G64" i="147"/>
  <c r="G58" i="489" s="1"/>
  <c r="F68" i="147"/>
  <c r="G70" i="147"/>
  <c r="F78" i="147"/>
  <c r="F84" i="147"/>
  <c r="F100" i="147"/>
  <c r="F243" i="147"/>
  <c r="E244" i="147"/>
  <c r="E279" i="147"/>
  <c r="G279" i="147"/>
  <c r="D279" i="147"/>
  <c r="G292" i="147"/>
  <c r="F292" i="147"/>
  <c r="E305" i="147"/>
  <c r="F305" i="147"/>
  <c r="D305" i="147"/>
  <c r="F315" i="147"/>
  <c r="G222" i="489" s="1"/>
  <c r="D315" i="147"/>
  <c r="E222" i="489" s="1"/>
  <c r="F18" i="147"/>
  <c r="F23" i="147"/>
  <c r="E24" i="147"/>
  <c r="G26" i="147"/>
  <c r="E27" i="147"/>
  <c r="G30" i="147"/>
  <c r="G33" i="147"/>
  <c r="G58" i="147"/>
  <c r="G68" i="147"/>
  <c r="G78" i="147"/>
  <c r="G100" i="147"/>
  <c r="G243" i="147"/>
  <c r="E252" i="147"/>
  <c r="D252" i="147"/>
  <c r="E281" i="147"/>
  <c r="D281" i="147"/>
  <c r="F27" i="147"/>
  <c r="D33" i="147"/>
  <c r="G37" i="147"/>
  <c r="E38" i="147"/>
  <c r="F39" i="147"/>
  <c r="F42" i="147"/>
  <c r="D44" i="147"/>
  <c r="G53" i="147"/>
  <c r="D58" i="147"/>
  <c r="E64" i="147"/>
  <c r="E58" i="489" s="1"/>
  <c r="E65" i="147"/>
  <c r="D68" i="147"/>
  <c r="E72" i="147"/>
  <c r="D78" i="147"/>
  <c r="F80" i="147"/>
  <c r="F81" i="147"/>
  <c r="G82" i="147"/>
  <c r="E83" i="147"/>
  <c r="D84" i="147"/>
  <c r="D86" i="147"/>
  <c r="D100" i="147"/>
  <c r="E226" i="147"/>
  <c r="E227" i="147"/>
  <c r="D228" i="147"/>
  <c r="E232" i="147"/>
  <c r="F233" i="147"/>
  <c r="F234" i="147"/>
  <c r="F235" i="147"/>
  <c r="F236" i="147"/>
  <c r="E240" i="147"/>
  <c r="F242" i="147"/>
  <c r="D243" i="147"/>
  <c r="G244" i="147"/>
  <c r="F247" i="147"/>
  <c r="Y251" i="147"/>
  <c r="Y621" i="147" s="1"/>
  <c r="E251" i="147"/>
  <c r="DC251" i="147"/>
  <c r="DC621" i="147" s="1"/>
  <c r="V251" i="147"/>
  <c r="V621" i="147" s="1"/>
  <c r="D251" i="147"/>
  <c r="CS251" i="147"/>
  <c r="CS621" i="147" s="1"/>
  <c r="F252" i="147"/>
  <c r="F272" i="147"/>
  <c r="E272" i="147"/>
  <c r="F281" i="147"/>
  <c r="G291" i="147"/>
  <c r="E291" i="147"/>
  <c r="G296" i="147"/>
  <c r="F296" i="147"/>
  <c r="E307" i="147"/>
  <c r="G314" i="147"/>
  <c r="E314" i="147"/>
  <c r="D314" i="147"/>
  <c r="G323" i="147"/>
  <c r="F323" i="147"/>
  <c r="D54" i="310"/>
  <c r="V249" i="147"/>
  <c r="V619" i="147" s="1"/>
  <c r="F250" i="147"/>
  <c r="G275" i="147"/>
  <c r="F282" i="147"/>
  <c r="G285" i="147"/>
  <c r="F316" i="147"/>
  <c r="G324" i="147"/>
  <c r="E29" i="310"/>
  <c r="G250" i="147"/>
  <c r="G282" i="147"/>
  <c r="D302" i="147"/>
  <c r="CJ373" i="147"/>
  <c r="DK373" i="147"/>
  <c r="E182" i="93"/>
  <c r="E238" i="93"/>
  <c r="F266" i="93"/>
  <c r="F294" i="93"/>
  <c r="E266" i="93"/>
  <c r="E294" i="93"/>
  <c r="F182" i="93"/>
  <c r="F238" i="93"/>
  <c r="D266" i="93"/>
  <c r="G266" i="93"/>
  <c r="D294" i="93"/>
  <c r="G294" i="93"/>
  <c r="J31" i="120"/>
  <c r="J29" i="168"/>
  <c r="H29" i="168"/>
  <c r="G24" i="173"/>
  <c r="I24" i="173"/>
  <c r="I20" i="184"/>
  <c r="D20" i="184"/>
  <c r="H20" i="184" s="1"/>
  <c r="C28" i="408"/>
  <c r="I20" i="129"/>
  <c r="G20" i="129"/>
  <c r="D20" i="129"/>
  <c r="G20" i="183"/>
  <c r="I20" i="183"/>
  <c r="F20" i="183"/>
  <c r="D20" i="183"/>
  <c r="J21" i="190"/>
  <c r="H21" i="190"/>
  <c r="F25" i="273"/>
  <c r="I269" i="147" s="1"/>
  <c r="F22" i="161"/>
  <c r="F23" i="161" s="1"/>
  <c r="F27" i="161" s="1"/>
  <c r="I6" i="147" s="1"/>
  <c r="F22" i="163"/>
  <c r="F23" i="163" s="1"/>
  <c r="F27" i="163" s="1"/>
  <c r="I9" i="147" s="1"/>
  <c r="F25" i="278"/>
  <c r="I13" i="147" s="1"/>
  <c r="F26" i="316"/>
  <c r="M26" i="316" s="1"/>
  <c r="C28" i="409"/>
  <c r="AU77" i="147"/>
  <c r="AU28" i="489" s="1"/>
  <c r="I20" i="414"/>
  <c r="C21" i="171"/>
  <c r="DC104" i="147" s="1"/>
  <c r="DC474" i="147" s="1"/>
  <c r="I20" i="171"/>
  <c r="D20" i="171"/>
  <c r="J24" i="176"/>
  <c r="J24" i="431"/>
  <c r="H24" i="431"/>
  <c r="G21" i="134"/>
  <c r="I21" i="134"/>
  <c r="I29" i="411"/>
  <c r="C27" i="413"/>
  <c r="D27" i="418"/>
  <c r="F20" i="171"/>
  <c r="M20" i="171" s="1"/>
  <c r="I26" i="174"/>
  <c r="I20" i="371"/>
  <c r="I21" i="373"/>
  <c r="I21" i="184"/>
  <c r="G24" i="431"/>
  <c r="F20" i="134"/>
  <c r="F21" i="134"/>
  <c r="F31" i="29"/>
  <c r="F35" i="29" s="1"/>
  <c r="F23" i="101"/>
  <c r="F24" i="101" s="1"/>
  <c r="F28" i="101" s="1"/>
  <c r="I281" i="147" s="1"/>
  <c r="G26" i="172"/>
  <c r="F21" i="370"/>
  <c r="F22" i="370" s="1"/>
  <c r="F24" i="370" s="1"/>
  <c r="D20" i="371"/>
  <c r="H20" i="371" s="1"/>
  <c r="F21" i="371"/>
  <c r="F20" i="182"/>
  <c r="F21" i="182"/>
  <c r="F21" i="372"/>
  <c r="G21" i="183"/>
  <c r="D21" i="373"/>
  <c r="D21" i="184"/>
  <c r="H21" i="184" s="1"/>
  <c r="H24" i="430"/>
  <c r="J23" i="191"/>
  <c r="F23" i="436"/>
  <c r="F27" i="436" s="1"/>
  <c r="I228" i="147" s="1"/>
  <c r="F25" i="265"/>
  <c r="I259" i="147" s="1"/>
  <c r="F25" i="268"/>
  <c r="I261" i="147" s="1"/>
  <c r="F25" i="269"/>
  <c r="I262" i="147" s="1"/>
  <c r="F25" i="271"/>
  <c r="I268" i="147" s="1"/>
  <c r="F19" i="379"/>
  <c r="G20" i="379"/>
  <c r="I20" i="379"/>
  <c r="H23" i="379"/>
  <c r="D14" i="147"/>
  <c r="E18" i="147"/>
  <c r="E19" i="147"/>
  <c r="D20" i="147"/>
  <c r="G20" i="147"/>
  <c r="F21" i="147"/>
  <c r="F147" i="489" s="1"/>
  <c r="F22" i="147"/>
  <c r="F27" i="489" s="1"/>
  <c r="E23" i="147"/>
  <c r="D24" i="147"/>
  <c r="G24" i="147"/>
  <c r="F25" i="147"/>
  <c r="E28" i="147"/>
  <c r="D31" i="147"/>
  <c r="E32" i="147"/>
  <c r="D34" i="147"/>
  <c r="G34" i="147"/>
  <c r="E35" i="147"/>
  <c r="F38" i="147"/>
  <c r="F40" i="147"/>
  <c r="D41" i="147"/>
  <c r="G41" i="147"/>
  <c r="D43" i="147"/>
  <c r="D177" i="489" s="1"/>
  <c r="G43" i="147"/>
  <c r="G177" i="489" s="1"/>
  <c r="F45" i="147"/>
  <c r="D47" i="147"/>
  <c r="G47" i="147"/>
  <c r="F48" i="147"/>
  <c r="D49" i="147"/>
  <c r="G49" i="147"/>
  <c r="F50" i="147"/>
  <c r="F54" i="147"/>
  <c r="F88" i="489" s="1"/>
  <c r="D57" i="147"/>
  <c r="G57" i="147"/>
  <c r="F59" i="147"/>
  <c r="D60" i="147"/>
  <c r="G60" i="147"/>
  <c r="F61" i="147"/>
  <c r="D62" i="147"/>
  <c r="G62" i="147"/>
  <c r="G63" i="147"/>
  <c r="D65" i="147"/>
  <c r="G65" i="147"/>
  <c r="F67" i="147"/>
  <c r="D69" i="147"/>
  <c r="G69" i="147"/>
  <c r="F71" i="147"/>
  <c r="D72" i="147"/>
  <c r="G72" i="147"/>
  <c r="F73" i="147"/>
  <c r="D74" i="147"/>
  <c r="G74" i="147"/>
  <c r="F75" i="147"/>
  <c r="D76" i="147"/>
  <c r="G76" i="147"/>
  <c r="D79" i="147"/>
  <c r="G79" i="147"/>
  <c r="D85" i="147"/>
  <c r="G85" i="147"/>
  <c r="G86" i="147"/>
  <c r="F87" i="147"/>
  <c r="D88" i="147"/>
  <c r="G88" i="147"/>
  <c r="E90" i="147"/>
  <c r="D91" i="147"/>
  <c r="G91" i="147"/>
  <c r="F93" i="147"/>
  <c r="E94" i="147"/>
  <c r="D95" i="147"/>
  <c r="G95" i="147"/>
  <c r="F97" i="147"/>
  <c r="E98" i="147"/>
  <c r="D99" i="147"/>
  <c r="G99" i="147"/>
  <c r="F101" i="147"/>
  <c r="E102" i="147"/>
  <c r="D103" i="147"/>
  <c r="G103" i="147"/>
  <c r="G225" i="147"/>
  <c r="G226" i="147"/>
  <c r="G227" i="147"/>
  <c r="F230" i="147"/>
  <c r="D233" i="147"/>
  <c r="D234" i="147"/>
  <c r="G234" i="147"/>
  <c r="D235" i="147"/>
  <c r="G235" i="147"/>
  <c r="D236" i="147"/>
  <c r="G236" i="147"/>
  <c r="E237" i="147"/>
  <c r="U237" i="147"/>
  <c r="CZ237" i="147"/>
  <c r="CZ607" i="147" s="1"/>
  <c r="D239" i="147"/>
  <c r="G239" i="147"/>
  <c r="F240" i="147"/>
  <c r="E241" i="147"/>
  <c r="D242" i="147"/>
  <c r="G242" i="147"/>
  <c r="F244" i="147"/>
  <c r="D245" i="147"/>
  <c r="G245" i="147"/>
  <c r="DC245" i="147"/>
  <c r="F246" i="147"/>
  <c r="BS246" i="147"/>
  <c r="BS616" i="147" s="1"/>
  <c r="D247" i="147"/>
  <c r="G247" i="147"/>
  <c r="E248" i="147"/>
  <c r="V248" i="147"/>
  <c r="V618" i="147" s="1"/>
  <c r="CS248" i="147"/>
  <c r="CS618" i="147" s="1"/>
  <c r="F249" i="147"/>
  <c r="Y249" i="147"/>
  <c r="Y619" i="147" s="1"/>
  <c r="DC249" i="147"/>
  <c r="DC619" i="147" s="1"/>
  <c r="AK251" i="147"/>
  <c r="AK621" i="147" s="1"/>
  <c r="DF251" i="147"/>
  <c r="DF621" i="147" s="1"/>
  <c r="F279" i="147"/>
  <c r="E284" i="147"/>
  <c r="D290" i="147"/>
  <c r="G290" i="147"/>
  <c r="D292" i="147"/>
  <c r="D293" i="147"/>
  <c r="G293" i="147"/>
  <c r="D296" i="147"/>
  <c r="E306" i="147"/>
  <c r="G307" i="147"/>
  <c r="E323" i="147"/>
  <c r="F325" i="147"/>
  <c r="AG373" i="147"/>
  <c r="EB372" i="147"/>
  <c r="EB740" i="147" s="1"/>
  <c r="J375" i="147"/>
  <c r="EY5" i="147"/>
  <c r="E20" i="147"/>
  <c r="F28" i="147"/>
  <c r="F32" i="147"/>
  <c r="E34" i="147"/>
  <c r="F35" i="147"/>
  <c r="E43" i="147"/>
  <c r="E177" i="489" s="1"/>
  <c r="E49" i="147"/>
  <c r="E57" i="147"/>
  <c r="E60" i="147"/>
  <c r="D83" i="147"/>
  <c r="E85" i="147"/>
  <c r="F90" i="147"/>
  <c r="E91" i="147"/>
  <c r="D92" i="147"/>
  <c r="G92" i="147"/>
  <c r="E95" i="147"/>
  <c r="E99" i="147"/>
  <c r="F102" i="147"/>
  <c r="E103" i="147"/>
  <c r="G230" i="147"/>
  <c r="F237" i="147"/>
  <c r="V237" i="147"/>
  <c r="V607" i="147" s="1"/>
  <c r="DC237" i="147"/>
  <c r="DC607" i="147" s="1"/>
  <c r="E239" i="147"/>
  <c r="F241" i="147"/>
  <c r="E242" i="147"/>
  <c r="E245" i="147"/>
  <c r="Y245" i="147"/>
  <c r="DF245" i="147"/>
  <c r="E247" i="147"/>
  <c r="F248" i="147"/>
  <c r="Y248" i="147"/>
  <c r="Y618" i="147" s="1"/>
  <c r="DC248" i="147"/>
  <c r="DC618" i="147" s="1"/>
  <c r="F284" i="147"/>
  <c r="E293" i="147"/>
  <c r="E296" i="147"/>
  <c r="G305" i="147"/>
  <c r="F306" i="147"/>
  <c r="D307" i="147"/>
  <c r="G315" i="147"/>
  <c r="ES373" i="147"/>
  <c r="F20" i="147"/>
  <c r="D21" i="147"/>
  <c r="D147" i="489" s="1"/>
  <c r="G21" i="147"/>
  <c r="G147" i="489" s="1"/>
  <c r="D22" i="147"/>
  <c r="D27" i="489" s="1"/>
  <c r="G22" i="147"/>
  <c r="G27" i="489" s="1"/>
  <c r="F24" i="147"/>
  <c r="D25" i="147"/>
  <c r="G25" i="147"/>
  <c r="D40" i="147"/>
  <c r="G40" i="147"/>
  <c r="F41" i="147"/>
  <c r="F43" i="147"/>
  <c r="F177" i="489" s="1"/>
  <c r="D45" i="147"/>
  <c r="D48" i="147"/>
  <c r="G48" i="147"/>
  <c r="F49" i="147"/>
  <c r="D50" i="147"/>
  <c r="G50" i="147"/>
  <c r="D54" i="147"/>
  <c r="D88" i="489" s="1"/>
  <c r="G54" i="147"/>
  <c r="G88" i="489" s="1"/>
  <c r="F57" i="147"/>
  <c r="D59" i="147"/>
  <c r="G59" i="147"/>
  <c r="F60" i="147"/>
  <c r="D61" i="147"/>
  <c r="G61" i="147"/>
  <c r="F63" i="147"/>
  <c r="F65" i="147"/>
  <c r="D67" i="147"/>
  <c r="G67" i="147"/>
  <c r="F69" i="147"/>
  <c r="D71" i="147"/>
  <c r="G71" i="147"/>
  <c r="F72" i="147"/>
  <c r="D73" i="147"/>
  <c r="G73" i="147"/>
  <c r="F74" i="147"/>
  <c r="D75" i="147"/>
  <c r="G75" i="147"/>
  <c r="F76" i="147"/>
  <c r="D77" i="147"/>
  <c r="D28" i="489" s="1"/>
  <c r="G77" i="147"/>
  <c r="G28" i="489" s="1"/>
  <c r="F79" i="147"/>
  <c r="F85" i="147"/>
  <c r="D87" i="147"/>
  <c r="G87" i="147"/>
  <c r="F91" i="147"/>
  <c r="E92" i="147"/>
  <c r="D93" i="147"/>
  <c r="G93" i="147"/>
  <c r="F95" i="147"/>
  <c r="E96" i="147"/>
  <c r="E77" i="489" s="1"/>
  <c r="D97" i="147"/>
  <c r="G97" i="147"/>
  <c r="F99" i="147"/>
  <c r="D101" i="147"/>
  <c r="G101" i="147"/>
  <c r="F103" i="147"/>
  <c r="BS237" i="147"/>
  <c r="BS607" i="147" s="1"/>
  <c r="AK248" i="147"/>
  <c r="AK618" i="147" s="1"/>
  <c r="G306" i="147"/>
  <c r="D325" i="147"/>
  <c r="G325" i="147"/>
  <c r="D23" i="147"/>
  <c r="D28" i="147"/>
  <c r="D32" i="147"/>
  <c r="E77" i="147"/>
  <c r="E28" i="489" s="1"/>
  <c r="D90" i="147"/>
  <c r="D94" i="147"/>
  <c r="D98" i="147"/>
  <c r="D102" i="147"/>
  <c r="F228" i="147"/>
  <c r="D237" i="147"/>
  <c r="G237" i="147"/>
  <c r="D241" i="147"/>
  <c r="D248" i="147"/>
  <c r="G248" i="147"/>
  <c r="E283" i="147"/>
  <c r="D284" i="147"/>
  <c r="F291" i="147"/>
  <c r="E315" i="147"/>
  <c r="F222" i="489" s="1"/>
  <c r="D323" i="147"/>
  <c r="K373" i="147"/>
  <c r="AB373" i="147"/>
  <c r="BD373" i="147"/>
  <c r="BK373" i="147"/>
  <c r="DS373" i="147"/>
  <c r="EM373" i="147"/>
  <c r="E23" i="310"/>
  <c r="F23" i="310" s="1"/>
  <c r="E24" i="310"/>
  <c r="C28" i="400"/>
  <c r="D28" i="400"/>
  <c r="G22" i="312"/>
  <c r="C29" i="397"/>
  <c r="L29" i="397" s="1"/>
  <c r="D29" i="397"/>
  <c r="D27" i="103"/>
  <c r="C27" i="103"/>
  <c r="L30" i="103"/>
  <c r="I25" i="287"/>
  <c r="F26" i="393"/>
  <c r="M26" i="393" s="1"/>
  <c r="I26" i="393"/>
  <c r="F25" i="295"/>
  <c r="I48" i="147" s="1"/>
  <c r="I30" i="396"/>
  <c r="H29" i="411"/>
  <c r="J29" i="411"/>
  <c r="I21" i="415"/>
  <c r="I20" i="172"/>
  <c r="D20" i="172"/>
  <c r="F20" i="172"/>
  <c r="M20" i="172" s="1"/>
  <c r="C21" i="172"/>
  <c r="L21" i="172" s="1"/>
  <c r="G20" i="172"/>
  <c r="D20" i="370"/>
  <c r="G20" i="370"/>
  <c r="I20" i="370"/>
  <c r="F20" i="373"/>
  <c r="G20" i="373"/>
  <c r="I20" i="373"/>
  <c r="D20" i="373"/>
  <c r="G24" i="432"/>
  <c r="I24" i="432"/>
  <c r="D26" i="393"/>
  <c r="D29" i="398"/>
  <c r="C29" i="398"/>
  <c r="L29" i="398" s="1"/>
  <c r="G29" i="168"/>
  <c r="I29" i="168"/>
  <c r="D27" i="419"/>
  <c r="I28" i="406"/>
  <c r="G27" i="422"/>
  <c r="J26" i="326"/>
  <c r="H26" i="326"/>
  <c r="J20" i="372"/>
  <c r="H20" i="372"/>
  <c r="G24" i="433"/>
  <c r="I24" i="433"/>
  <c r="J21" i="189"/>
  <c r="F30" i="411"/>
  <c r="F31" i="411" s="1"/>
  <c r="F35" i="411" s="1"/>
  <c r="I78" i="147" s="1"/>
  <c r="J20" i="414"/>
  <c r="J21" i="415"/>
  <c r="F25" i="300"/>
  <c r="M25" i="300" s="1"/>
  <c r="J27" i="326"/>
  <c r="I21" i="129"/>
  <c r="D21" i="129"/>
  <c r="I20" i="189"/>
  <c r="D20" i="189"/>
  <c r="F20" i="189"/>
  <c r="F22" i="160"/>
  <c r="F23" i="160" s="1"/>
  <c r="F27" i="160" s="1"/>
  <c r="I7" i="147" s="1"/>
  <c r="F25" i="280"/>
  <c r="I14" i="147" s="1"/>
  <c r="G26" i="316"/>
  <c r="F25" i="296"/>
  <c r="I49" i="147" s="1"/>
  <c r="F30" i="396"/>
  <c r="M30" i="396" s="1"/>
  <c r="F29" i="168"/>
  <c r="M29" i="168" s="1"/>
  <c r="C23" i="97"/>
  <c r="L23" i="97" s="1"/>
  <c r="I21" i="97"/>
  <c r="D21" i="97"/>
  <c r="F21" i="97"/>
  <c r="M21" i="97" s="1"/>
  <c r="F27" i="97"/>
  <c r="H23" i="176"/>
  <c r="G20" i="189"/>
  <c r="F25" i="340"/>
  <c r="I15" i="147" s="1"/>
  <c r="D26" i="290"/>
  <c r="F27" i="418"/>
  <c r="M27" i="418" s="1"/>
  <c r="I20" i="173"/>
  <c r="D20" i="173"/>
  <c r="F20" i="173"/>
  <c r="M20" i="173" s="1"/>
  <c r="F24" i="173"/>
  <c r="M24" i="173" s="1"/>
  <c r="G21" i="97"/>
  <c r="G21" i="129"/>
  <c r="F20" i="372"/>
  <c r="G20" i="372"/>
  <c r="F20" i="184"/>
  <c r="G20" i="184"/>
  <c r="J24" i="432"/>
  <c r="F22" i="135"/>
  <c r="F24" i="135" s="1"/>
  <c r="F28" i="135" s="1"/>
  <c r="I168" i="147" s="1"/>
  <c r="F21" i="129"/>
  <c r="F22" i="129" s="1"/>
  <c r="D21" i="371"/>
  <c r="D21" i="182"/>
  <c r="D21" i="183"/>
  <c r="D21" i="134"/>
  <c r="F21" i="198"/>
  <c r="F22" i="112"/>
  <c r="F23" i="112" s="1"/>
  <c r="F27" i="112" s="1"/>
  <c r="I295" i="147" s="1"/>
  <c r="G21" i="379"/>
  <c r="I21" i="379"/>
  <c r="D21" i="379"/>
  <c r="H28" i="379"/>
  <c r="G20" i="171"/>
  <c r="F23" i="339"/>
  <c r="F26" i="339" s="1"/>
  <c r="F27" i="339" s="1"/>
  <c r="F31" i="339" s="1"/>
  <c r="I135" i="147" s="1"/>
  <c r="F24" i="194"/>
  <c r="F27" i="194" s="1"/>
  <c r="F28" i="194" s="1"/>
  <c r="F32" i="194" s="1"/>
  <c r="I161" i="147" s="1"/>
  <c r="F21" i="303"/>
  <c r="F22" i="303" s="1"/>
  <c r="F26" i="303" s="1"/>
  <c r="I232" i="147" s="1"/>
  <c r="F21" i="272"/>
  <c r="F22" i="272" s="1"/>
  <c r="F26" i="272" s="1"/>
  <c r="I267" i="147" s="1"/>
  <c r="F21" i="275"/>
  <c r="F22" i="275" s="1"/>
  <c r="F26" i="275" s="1"/>
  <c r="I271" i="147" s="1"/>
  <c r="F24" i="132"/>
  <c r="F25" i="132" s="1"/>
  <c r="F29" i="132" s="1"/>
  <c r="I283" i="147" s="1"/>
  <c r="F24" i="106"/>
  <c r="F25" i="106" s="1"/>
  <c r="F29" i="106" s="1"/>
  <c r="I284" i="147" s="1"/>
  <c r="F25" i="227"/>
  <c r="I294" i="147" s="1"/>
  <c r="G19" i="379"/>
  <c r="H20" i="379"/>
  <c r="J22" i="379"/>
  <c r="J25" i="379"/>
  <c r="H27" i="379"/>
  <c r="F21" i="302"/>
  <c r="F22" i="302" s="1"/>
  <c r="F26" i="302" s="1"/>
  <c r="I231" i="147" s="1"/>
  <c r="I90" i="489" s="1"/>
  <c r="I86" i="93" s="1"/>
  <c r="F25" i="264"/>
  <c r="I257" i="147" s="1"/>
  <c r="F25" i="266"/>
  <c r="I263" i="147" s="1"/>
  <c r="F21" i="270"/>
  <c r="F22" i="270" s="1"/>
  <c r="F26" i="270" s="1"/>
  <c r="I266" i="147" s="1"/>
  <c r="F21" i="274"/>
  <c r="F22" i="274" s="1"/>
  <c r="F26" i="274" s="1"/>
  <c r="I270" i="147" s="1"/>
  <c r="F23" i="209"/>
  <c r="F24" i="209" s="1"/>
  <c r="F28" i="209" s="1"/>
  <c r="I279" i="147" s="1"/>
  <c r="F21" i="379"/>
  <c r="F21" i="125"/>
  <c r="F27" i="125" s="1"/>
  <c r="F28" i="125" s="1"/>
  <c r="F32" i="125" s="1"/>
  <c r="I323" i="147" s="1"/>
  <c r="F22" i="104"/>
  <c r="F23" i="104" s="1"/>
  <c r="F27" i="104" s="1"/>
  <c r="I291" i="147" s="1"/>
  <c r="D19" i="379"/>
  <c r="DG373" i="147"/>
  <c r="DB373" i="147"/>
  <c r="F23" i="111"/>
  <c r="F24" i="111" s="1"/>
  <c r="F28" i="111" s="1"/>
  <c r="I293" i="147" s="1"/>
  <c r="F24" i="186"/>
  <c r="F27" i="186" s="1"/>
  <c r="F28" i="186" s="1"/>
  <c r="F32" i="186" s="1"/>
  <c r="I125" i="147" s="1"/>
  <c r="F23" i="445"/>
  <c r="E24" i="445" s="1"/>
  <c r="F24" i="445" s="1"/>
  <c r="F27" i="445" s="1"/>
  <c r="F28" i="445" s="1"/>
  <c r="F32" i="445" s="1"/>
  <c r="I126" i="147" s="1"/>
  <c r="F26" i="350"/>
  <c r="F26" i="352"/>
  <c r="F28" i="352" s="1"/>
  <c r="F32" i="352" s="1"/>
  <c r="I176" i="147" s="1"/>
  <c r="F25" i="214"/>
  <c r="F25" i="376"/>
  <c r="F22" i="349"/>
  <c r="F31" i="349" s="1"/>
  <c r="F33" i="349" s="1"/>
  <c r="F37" i="349" s="1"/>
  <c r="I173" i="147" s="1"/>
  <c r="F25" i="391"/>
  <c r="F28" i="389"/>
  <c r="F30" i="389" s="1"/>
  <c r="F32" i="389" s="1"/>
  <c r="F36" i="389" s="1"/>
  <c r="I217" i="147" s="1"/>
  <c r="F26" i="216"/>
  <c r="F28" i="216" s="1"/>
  <c r="F30" i="216" s="1"/>
  <c r="F34" i="216" s="1"/>
  <c r="I215" i="147" s="1"/>
  <c r="F24" i="328"/>
  <c r="F25" i="328" s="1"/>
  <c r="F26" i="328" s="1"/>
  <c r="F30" i="328" s="1"/>
  <c r="I241" i="147" s="1"/>
  <c r="F24" i="338"/>
  <c r="F25" i="338" s="1"/>
  <c r="F26" i="338" s="1"/>
  <c r="F30" i="338" s="1"/>
  <c r="I243" i="147" s="1"/>
  <c r="F24" i="90"/>
  <c r="F25" i="90" s="1"/>
  <c r="F26" i="90" s="1"/>
  <c r="E19" i="95" s="1"/>
  <c r="F19" i="95" s="1"/>
  <c r="F23" i="95" s="1"/>
  <c r="F24" i="95" s="1"/>
  <c r="F28" i="95" s="1"/>
  <c r="F24" i="329"/>
  <c r="F25" i="329" s="1"/>
  <c r="F26" i="329" s="1"/>
  <c r="F30" i="329" s="1"/>
  <c r="I242" i="147" s="1"/>
  <c r="F24" i="323"/>
  <c r="F25" i="323" s="1"/>
  <c r="F29" i="323" s="1"/>
  <c r="I97" i="147" s="1"/>
  <c r="F24" i="123"/>
  <c r="F27" i="123" s="1"/>
  <c r="F28" i="123" s="1"/>
  <c r="F32" i="123" s="1"/>
  <c r="I127" i="147" s="1"/>
  <c r="F24" i="206"/>
  <c r="F25" i="206" s="1"/>
  <c r="F26" i="206" s="1"/>
  <c r="F30" i="206" s="1"/>
  <c r="I239" i="147" s="1"/>
  <c r="F23" i="159"/>
  <c r="F26" i="159" s="1"/>
  <c r="F27" i="159" s="1"/>
  <c r="F31" i="159" s="1"/>
  <c r="I131" i="147" s="1"/>
  <c r="I107" i="489" s="1"/>
  <c r="F23" i="319"/>
  <c r="F26" i="319" s="1"/>
  <c r="F27" i="319" s="1"/>
  <c r="F31" i="319" s="1"/>
  <c r="I134" i="147" s="1"/>
  <c r="F22" i="229"/>
  <c r="F23" i="229" s="1"/>
  <c r="F27" i="229" s="1"/>
  <c r="I233" i="147" s="1"/>
  <c r="F24" i="395"/>
  <c r="F26" i="395" s="1"/>
  <c r="F27" i="395" s="1"/>
  <c r="F31" i="395" s="1"/>
  <c r="I129" i="147" s="1"/>
  <c r="F23" i="109"/>
  <c r="F24" i="109" s="1"/>
  <c r="F28" i="109" s="1"/>
  <c r="I290" i="147" s="1"/>
  <c r="F23" i="110"/>
  <c r="F24" i="110" s="1"/>
  <c r="F28" i="110" s="1"/>
  <c r="I292" i="147" s="1"/>
  <c r="F24" i="424"/>
  <c r="F25" i="424" s="1"/>
  <c r="F29" i="424" s="1"/>
  <c r="I101" i="147" s="1"/>
  <c r="F24" i="426"/>
  <c r="F25" i="426" s="1"/>
  <c r="F29" i="426" s="1"/>
  <c r="I103" i="147" s="1"/>
  <c r="F23" i="320"/>
  <c r="F26" i="320" s="1"/>
  <c r="F27" i="320" s="1"/>
  <c r="F31" i="320" s="1"/>
  <c r="I132" i="147" s="1"/>
  <c r="F27" i="202"/>
  <c r="F29" i="202" s="1"/>
  <c r="F30" i="202" s="1"/>
  <c r="F34" i="202" s="1"/>
  <c r="I184" i="147" s="1"/>
  <c r="F27" i="377"/>
  <c r="F29" i="377" s="1"/>
  <c r="F30" i="377" s="1"/>
  <c r="F34" i="377" s="1"/>
  <c r="I185" i="147" s="1"/>
  <c r="F23" i="321"/>
  <c r="F26" i="321" s="1"/>
  <c r="F27" i="321" s="1"/>
  <c r="F31" i="321" s="1"/>
  <c r="I133" i="147" s="1"/>
  <c r="F24" i="325"/>
  <c r="F25" i="325" s="1"/>
  <c r="F29" i="325" s="1"/>
  <c r="I99" i="147" s="1"/>
  <c r="F24" i="187"/>
  <c r="F27" i="187" s="1"/>
  <c r="F28" i="187" s="1"/>
  <c r="F32" i="187" s="1"/>
  <c r="I128" i="147" s="1"/>
  <c r="EC373" i="147"/>
  <c r="F22" i="197"/>
  <c r="F22" i="232"/>
  <c r="F22" i="124"/>
  <c r="F25" i="124" s="1"/>
  <c r="F26" i="124" s="1"/>
  <c r="F30" i="124" s="1"/>
  <c r="I322" i="147" s="1"/>
  <c r="F24" i="125"/>
  <c r="F26" i="121"/>
  <c r="F22" i="175"/>
  <c r="F30" i="299"/>
  <c r="F32" i="299" s="1"/>
  <c r="F36" i="299" s="1"/>
  <c r="I188" i="147" s="1"/>
  <c r="F24" i="443"/>
  <c r="F25" i="443" s="1"/>
  <c r="F29" i="443" s="1"/>
  <c r="I40" i="147" s="1"/>
  <c r="F26" i="359"/>
  <c r="F27" i="359" s="1"/>
  <c r="F31" i="359" s="1"/>
  <c r="I237" i="147" s="1"/>
  <c r="F26" i="351"/>
  <c r="F27" i="351" s="1"/>
  <c r="F31" i="351" s="1"/>
  <c r="I236" i="147" s="1"/>
  <c r="F23" i="333"/>
  <c r="F24" i="333" s="1"/>
  <c r="F28" i="333" s="1"/>
  <c r="I272" i="147" s="1"/>
  <c r="F24" i="99"/>
  <c r="F25" i="99" s="1"/>
  <c r="F29" i="99" s="1"/>
  <c r="I275" i="147" s="1"/>
  <c r="F24" i="105"/>
  <c r="F25" i="105" s="1"/>
  <c r="F29" i="105" s="1"/>
  <c r="I282" i="147" s="1"/>
  <c r="F23" i="164"/>
  <c r="F24" i="164" s="1"/>
  <c r="F28" i="164" s="1"/>
  <c r="I10" i="147" s="1"/>
  <c r="F26" i="196"/>
  <c r="F28" i="196" s="1"/>
  <c r="F29" i="196" s="1"/>
  <c r="F33" i="196" s="1"/>
  <c r="I169" i="147" s="1"/>
  <c r="F30" i="231"/>
  <c r="F31" i="231" s="1"/>
  <c r="F35" i="231" s="1"/>
  <c r="I235" i="147" s="1"/>
  <c r="F21" i="306"/>
  <c r="F22" i="306" s="1"/>
  <c r="F26" i="306" s="1"/>
  <c r="I41" i="147" s="1"/>
  <c r="F24" i="126"/>
  <c r="F25" i="126" s="1"/>
  <c r="F29" i="126" s="1"/>
  <c r="I324" i="147" s="1"/>
  <c r="F25" i="434"/>
  <c r="F26" i="434" s="1"/>
  <c r="F30" i="434" s="1"/>
  <c r="I61" i="147" s="1"/>
  <c r="F23" i="179"/>
  <c r="F24" i="179" s="1"/>
  <c r="F28" i="179" s="1"/>
  <c r="I113" i="147" s="1"/>
  <c r="F22" i="230"/>
  <c r="F23" i="230" s="1"/>
  <c r="F27" i="230" s="1"/>
  <c r="I234" i="147" s="1"/>
  <c r="F22" i="297"/>
  <c r="F23" i="297" s="1"/>
  <c r="F27" i="297" s="1"/>
  <c r="I51" i="147" s="1"/>
  <c r="F27" i="435"/>
  <c r="F28" i="435" s="1"/>
  <c r="F32" i="435" s="1"/>
  <c r="I62" i="147" s="1"/>
  <c r="F30" i="375"/>
  <c r="F32" i="375" s="1"/>
  <c r="F34" i="375" s="1"/>
  <c r="F38" i="375" s="1"/>
  <c r="I187" i="147" s="1"/>
  <c r="I209" i="489" s="1"/>
  <c r="I197" i="93" s="1"/>
  <c r="F24" i="122"/>
  <c r="F27" i="122" s="1"/>
  <c r="F29" i="122" s="1"/>
  <c r="F33" i="122" s="1"/>
  <c r="I165" i="147" s="1"/>
  <c r="F29" i="138"/>
  <c r="F30" i="138" s="1"/>
  <c r="F32" i="138" s="1"/>
  <c r="F36" i="138" s="1"/>
  <c r="I186" i="147" s="1"/>
  <c r="F25" i="178"/>
  <c r="F26" i="178" s="1"/>
  <c r="F30" i="178" s="1"/>
  <c r="F26" i="330"/>
  <c r="F28" i="330" s="1"/>
  <c r="F29" i="330" s="1"/>
  <c r="F33" i="330" s="1"/>
  <c r="I299" i="147" s="1"/>
  <c r="F28" i="100"/>
  <c r="F29" i="100" s="1"/>
  <c r="F30" i="100" s="1"/>
  <c r="F34" i="100" s="1"/>
  <c r="I312" i="147" s="1"/>
  <c r="F28" i="357"/>
  <c r="F29" i="357" s="1"/>
  <c r="F30" i="357" s="1"/>
  <c r="F34" i="357" s="1"/>
  <c r="I313" i="147" s="1"/>
  <c r="F27" i="236"/>
  <c r="F28" i="236" s="1"/>
  <c r="F29" i="236" s="1"/>
  <c r="F33" i="236" s="1"/>
  <c r="I315" i="147" s="1"/>
  <c r="F24" i="234"/>
  <c r="F27" i="234" s="1"/>
  <c r="F29" i="234" s="1"/>
  <c r="F33" i="234" s="1"/>
  <c r="I166" i="147" s="1"/>
  <c r="F25" i="363"/>
  <c r="F26" i="363" s="1"/>
  <c r="F30" i="363" s="1"/>
  <c r="I246" i="147" s="1"/>
  <c r="F28" i="331"/>
  <c r="F29" i="331" s="1"/>
  <c r="F33" i="331" s="1"/>
  <c r="I300" i="147" s="1"/>
  <c r="F25" i="116"/>
  <c r="F27" i="116" s="1"/>
  <c r="F31" i="116" s="1"/>
  <c r="F32" i="353"/>
  <c r="F34" i="353" s="1"/>
  <c r="F38" i="353" s="1"/>
  <c r="I177" i="147" s="1"/>
  <c r="F25" i="361"/>
  <c r="F26" i="361" s="1"/>
  <c r="F30" i="361" s="1"/>
  <c r="I245" i="147" s="1"/>
  <c r="F24" i="425"/>
  <c r="F25" i="425" s="1"/>
  <c r="F29" i="425" s="1"/>
  <c r="I102" i="147" s="1"/>
  <c r="F23" i="142"/>
  <c r="F26" i="142" s="1"/>
  <c r="F27" i="142" s="1"/>
  <c r="F31" i="142" s="1"/>
  <c r="I130" i="147" s="1"/>
  <c r="I167" i="489" s="1"/>
  <c r="I157" i="93" s="1"/>
  <c r="F24" i="185"/>
  <c r="F27" i="185" s="1"/>
  <c r="F28" i="185" s="1"/>
  <c r="F32" i="185" s="1"/>
  <c r="I124" i="147" s="1"/>
  <c r="F24" i="1"/>
  <c r="F27" i="1" s="1"/>
  <c r="F28" i="1" s="1"/>
  <c r="F32" i="1" s="1"/>
  <c r="I136" i="147" s="1"/>
  <c r="I17" i="489" s="1"/>
  <c r="I17" i="93" s="1"/>
  <c r="F24" i="324"/>
  <c r="F25" i="324" s="1"/>
  <c r="F29" i="324" s="1"/>
  <c r="I98" i="147" s="1"/>
  <c r="F27" i="439"/>
  <c r="F23" i="442"/>
  <c r="F24" i="442" s="1"/>
  <c r="F28" i="442" s="1"/>
  <c r="I39" i="147" s="1"/>
  <c r="F29" i="235"/>
  <c r="F30" i="235" s="1"/>
  <c r="F34" i="235" s="1"/>
  <c r="I170" i="147" s="1"/>
  <c r="F26" i="235"/>
  <c r="F29" i="200"/>
  <c r="F31" i="200" s="1"/>
  <c r="F33" i="200" s="1"/>
  <c r="F37" i="200" s="1"/>
  <c r="I181" i="147" s="1"/>
  <c r="F27" i="204"/>
  <c r="F26" i="356"/>
  <c r="F28" i="356" s="1"/>
  <c r="F29" i="356" s="1"/>
  <c r="F33" i="356" s="1"/>
  <c r="I212" i="147" s="1"/>
  <c r="F22" i="126"/>
  <c r="F32" i="387"/>
  <c r="F34" i="387" s="1"/>
  <c r="F38" i="387" s="1"/>
  <c r="I163" i="147" s="1"/>
  <c r="F30" i="354"/>
  <c r="F32" i="354" s="1"/>
  <c r="F36" i="354" s="1"/>
  <c r="I178" i="147" s="1"/>
  <c r="F29" i="355"/>
  <c r="F31" i="355" s="1"/>
  <c r="F35" i="355" s="1"/>
  <c r="I189" i="147" s="1"/>
  <c r="F27" i="384"/>
  <c r="F28" i="384" s="1"/>
  <c r="F29" i="384" s="1"/>
  <c r="F33" i="384" s="1"/>
  <c r="I316" i="147" s="1"/>
  <c r="F28" i="228"/>
  <c r="F29" i="228" s="1"/>
  <c r="F31" i="228" s="1"/>
  <c r="F33" i="228" s="1"/>
  <c r="F37" i="228" s="1"/>
  <c r="I182" i="147" s="1"/>
  <c r="F26" i="210"/>
  <c r="F28" i="210" s="1"/>
  <c r="F29" i="210" s="1"/>
  <c r="F33" i="210" s="1"/>
  <c r="I298" i="147" s="1"/>
  <c r="F28" i="332"/>
  <c r="F29" i="332" s="1"/>
  <c r="F33" i="332" s="1"/>
  <c r="I301" i="147" s="1"/>
  <c r="F30" i="374"/>
  <c r="F32" i="374" s="1"/>
  <c r="F36" i="374" s="1"/>
  <c r="I179" i="147" s="1"/>
  <c r="F26" i="107"/>
  <c r="F28" i="107" s="1"/>
  <c r="F29" i="107" s="1"/>
  <c r="F33" i="107" s="1"/>
  <c r="I211" i="147" s="1"/>
  <c r="I149" i="489" s="1"/>
  <c r="I141" i="93" s="1"/>
  <c r="F27" i="114"/>
  <c r="F28" i="114" s="1"/>
  <c r="F29" i="114" s="1"/>
  <c r="F33" i="114" s="1"/>
  <c r="I314" i="147" s="1"/>
  <c r="F32" i="378"/>
  <c r="F34" i="378" s="1"/>
  <c r="F38" i="378" s="1"/>
  <c r="I162" i="147" s="1"/>
  <c r="F32" i="388"/>
  <c r="F34" i="388" s="1"/>
  <c r="F38" i="388" s="1"/>
  <c r="I164" i="147" s="1"/>
  <c r="CG373" i="147"/>
  <c r="F24" i="322"/>
  <c r="F25" i="322" s="1"/>
  <c r="F29" i="322" s="1"/>
  <c r="I96" i="147" s="1"/>
  <c r="I77" i="489" s="1"/>
  <c r="I73" i="93" s="1"/>
  <c r="F24" i="423"/>
  <c r="F25" i="423" s="1"/>
  <c r="F29" i="423" s="1"/>
  <c r="I100" i="147" s="1"/>
  <c r="DX372" i="147"/>
  <c r="DX740" i="147" s="1"/>
  <c r="E20" i="211"/>
  <c r="F20" i="211" s="1"/>
  <c r="F23" i="211" s="1"/>
  <c r="F25" i="211" s="1"/>
  <c r="F29" i="211" s="1"/>
  <c r="I296" i="147" s="1"/>
  <c r="F22" i="386"/>
  <c r="F25" i="386" s="1"/>
  <c r="F29" i="386" s="1"/>
  <c r="F31" i="386" s="1"/>
  <c r="F35" i="386" s="1"/>
  <c r="I190" i="147" s="1"/>
  <c r="F22" i="337"/>
  <c r="F28" i="337" s="1"/>
  <c r="F29" i="337" s="1"/>
  <c r="F33" i="337" s="1"/>
  <c r="I158" i="147" s="1"/>
  <c r="F22" i="341"/>
  <c r="F30" i="341" s="1"/>
  <c r="F31" i="341" s="1"/>
  <c r="F35" i="341" s="1"/>
  <c r="I144" i="147" s="1"/>
  <c r="F22" i="342"/>
  <c r="F30" i="342" s="1"/>
  <c r="F31" i="342" s="1"/>
  <c r="F35" i="342" s="1"/>
  <c r="I143" i="147" s="1"/>
  <c r="F22" i="335"/>
  <c r="F30" i="335" s="1"/>
  <c r="F31" i="335" s="1"/>
  <c r="F35" i="335" s="1"/>
  <c r="I142" i="147" s="1"/>
  <c r="F22" i="334"/>
  <c r="F30" i="334" s="1"/>
  <c r="F31" i="334" s="1"/>
  <c r="F35" i="334" s="1"/>
  <c r="I141" i="147" s="1"/>
  <c r="F24" i="432"/>
  <c r="F31" i="432" s="1"/>
  <c r="F32" i="432" s="1"/>
  <c r="F36" i="432" s="1"/>
  <c r="I139" i="147" s="1"/>
  <c r="F24" i="430"/>
  <c r="F31" i="430" s="1"/>
  <c r="F32" i="430" s="1"/>
  <c r="F36" i="430" s="1"/>
  <c r="I137" i="147" s="1"/>
  <c r="F21" i="301"/>
  <c r="F21" i="415"/>
  <c r="F21" i="437"/>
  <c r="F22" i="336"/>
  <c r="F30" i="336" s="1"/>
  <c r="F31" i="336" s="1"/>
  <c r="F35" i="336" s="1"/>
  <c r="I156" i="147" s="1"/>
  <c r="F31" i="192"/>
  <c r="I155" i="147" s="1"/>
  <c r="F24" i="399"/>
  <c r="M24" i="399" s="1"/>
  <c r="F20" i="305"/>
  <c r="F26" i="305" s="1"/>
  <c r="F27" i="305" s="1"/>
  <c r="F31" i="305" s="1"/>
  <c r="I302" i="147" s="1"/>
  <c r="F19" i="203"/>
  <c r="F22" i="203" s="1"/>
  <c r="F23" i="203" s="1"/>
  <c r="F27" i="203" s="1"/>
  <c r="I238" i="147" s="1"/>
  <c r="F23" i="89"/>
  <c r="F19" i="191"/>
  <c r="F24" i="191" s="1"/>
  <c r="F26" i="191" s="1"/>
  <c r="F27" i="191" s="1"/>
  <c r="F31" i="191" s="1"/>
  <c r="I153" i="147" s="1"/>
  <c r="F19" i="189"/>
  <c r="F24" i="433"/>
  <c r="F31" i="433" s="1"/>
  <c r="F32" i="433" s="1"/>
  <c r="F36" i="433" s="1"/>
  <c r="I140" i="147" s="1"/>
  <c r="F24" i="431"/>
  <c r="F31" i="431" s="1"/>
  <c r="F32" i="431" s="1"/>
  <c r="F36" i="431" s="1"/>
  <c r="I138" i="147" s="1"/>
  <c r="F26" i="221"/>
  <c r="F35" i="221" s="1"/>
  <c r="F24" i="446"/>
  <c r="M24" i="446" s="1"/>
  <c r="F20" i="119"/>
  <c r="F24" i="119" s="1"/>
  <c r="F25" i="119" s="1"/>
  <c r="F29" i="119" s="1"/>
  <c r="I325" i="147" s="1"/>
  <c r="F19" i="190"/>
  <c r="F27" i="298"/>
  <c r="M27" i="298" s="1"/>
  <c r="F22" i="315"/>
  <c r="F22" i="313"/>
  <c r="M22" i="313" s="1"/>
  <c r="F23" i="287"/>
  <c r="F23" i="277"/>
  <c r="F22" i="102"/>
  <c r="F22" i="193"/>
  <c r="F26" i="193" s="1"/>
  <c r="F28" i="193" s="1"/>
  <c r="F29" i="193" s="1"/>
  <c r="F33" i="193" s="1"/>
  <c r="I160" i="147" s="1"/>
  <c r="F20" i="414"/>
  <c r="F21" i="288"/>
  <c r="F23" i="307"/>
  <c r="M23" i="307" s="1"/>
  <c r="D21" i="276" l="1"/>
  <c r="J21" i="276" s="1"/>
  <c r="F21" i="276"/>
  <c r="DM322" i="489"/>
  <c r="DF1200" i="489"/>
  <c r="M23" i="101"/>
  <c r="EY740" i="147"/>
  <c r="I740" i="147" s="1"/>
  <c r="DT371" i="147"/>
  <c r="DT373" i="147" s="1"/>
  <c r="H27" i="420"/>
  <c r="M24" i="132"/>
  <c r="AE156" i="489"/>
  <c r="DC486" i="147"/>
  <c r="AQ1060" i="489"/>
  <c r="AQ1067" i="489" s="1"/>
  <c r="D28" i="405"/>
  <c r="J28" i="405" s="1"/>
  <c r="F26" i="290"/>
  <c r="M26" i="290" s="1"/>
  <c r="M27" i="290" s="1"/>
  <c r="H28" i="409"/>
  <c r="I28" i="405"/>
  <c r="I21" i="318"/>
  <c r="I23" i="288"/>
  <c r="G21" i="318"/>
  <c r="D21" i="318"/>
  <c r="H21" i="318" s="1"/>
  <c r="F22" i="284"/>
  <c r="G23" i="288"/>
  <c r="G22" i="284"/>
  <c r="D23" i="288"/>
  <c r="H23" i="288" s="1"/>
  <c r="D22" i="284"/>
  <c r="I21" i="276"/>
  <c r="D29" i="401"/>
  <c r="J29" i="401" s="1"/>
  <c r="AK1200" i="489"/>
  <c r="F27" i="166"/>
  <c r="M27" i="166" s="1"/>
  <c r="M28" i="166" s="1"/>
  <c r="EY118" i="147"/>
  <c r="C1043" i="489"/>
  <c r="I29" i="446"/>
  <c r="I23" i="311"/>
  <c r="DC25" i="147"/>
  <c r="F23" i="311"/>
  <c r="F24" i="311" s="1"/>
  <c r="F25" i="311" s="1"/>
  <c r="F29" i="311" s="1"/>
  <c r="I25" i="147" s="1"/>
  <c r="F29" i="446"/>
  <c r="M29" i="446" s="1"/>
  <c r="M30" i="446" s="1"/>
  <c r="G27" i="166"/>
  <c r="D21" i="283"/>
  <c r="H21" i="283" s="1"/>
  <c r="J26" i="316"/>
  <c r="I29" i="401"/>
  <c r="D24" i="441"/>
  <c r="J24" i="441" s="1"/>
  <c r="D23" i="282"/>
  <c r="F23" i="285"/>
  <c r="H29" i="412"/>
  <c r="CN1050" i="489"/>
  <c r="D23" i="285"/>
  <c r="J23" i="285" s="1"/>
  <c r="J28" i="408"/>
  <c r="CS1024" i="489"/>
  <c r="CS1032" i="489" s="1"/>
  <c r="CS1039" i="489" s="1"/>
  <c r="D24" i="308"/>
  <c r="G24" i="308"/>
  <c r="I24" i="308"/>
  <c r="CF1136" i="489"/>
  <c r="I23" i="285"/>
  <c r="F27" i="421"/>
  <c r="M27" i="421" s="1"/>
  <c r="D26" i="292"/>
  <c r="H26" i="292" s="1"/>
  <c r="B1041" i="489"/>
  <c r="DC44" i="147"/>
  <c r="DC414" i="147" s="1"/>
  <c r="F26" i="292"/>
  <c r="M26" i="292" s="1"/>
  <c r="DC45" i="147"/>
  <c r="EY45" i="147" s="1"/>
  <c r="EY148" i="147"/>
  <c r="J28" i="410"/>
  <c r="I25" i="317"/>
  <c r="G26" i="290"/>
  <c r="G25" i="317"/>
  <c r="F25" i="317"/>
  <c r="M25" i="317" s="1"/>
  <c r="M26" i="317" s="1"/>
  <c r="AH186" i="489"/>
  <c r="AH1060" i="489"/>
  <c r="AH1067" i="489" s="1"/>
  <c r="DC518" i="147"/>
  <c r="F22" i="312"/>
  <c r="D25" i="307"/>
  <c r="J25" i="307" s="1"/>
  <c r="W741" i="147"/>
  <c r="I25" i="307"/>
  <c r="M24" i="99"/>
  <c r="M24" i="105"/>
  <c r="DC29" i="147"/>
  <c r="DC399" i="147" s="1"/>
  <c r="G25" i="307"/>
  <c r="F25" i="307"/>
  <c r="M25" i="307" s="1"/>
  <c r="M26" i="307" s="1"/>
  <c r="B1130" i="489"/>
  <c r="AK994" i="489"/>
  <c r="F28" i="404"/>
  <c r="F30" i="404" s="1"/>
  <c r="F31" i="404" s="1"/>
  <c r="F35" i="404" s="1"/>
  <c r="I67" i="147" s="1"/>
  <c r="I22" i="312"/>
  <c r="AQ994" i="489"/>
  <c r="B1125" i="489"/>
  <c r="G24" i="313"/>
  <c r="CZ1041" i="489"/>
  <c r="EY146" i="147"/>
  <c r="AK1136" i="489"/>
  <c r="F24" i="441"/>
  <c r="F25" i="441" s="1"/>
  <c r="F26" i="441" s="1"/>
  <c r="F30" i="441" s="1"/>
  <c r="I38" i="147" s="1"/>
  <c r="F21" i="283"/>
  <c r="M21" i="283" s="1"/>
  <c r="M22" i="283" s="1"/>
  <c r="F27" i="169"/>
  <c r="U193" i="489"/>
  <c r="U332" i="489" s="1"/>
  <c r="EY77" i="489"/>
  <c r="J27" i="422"/>
  <c r="EY121" i="147"/>
  <c r="U86" i="489"/>
  <c r="I24" i="441"/>
  <c r="F32" i="165"/>
  <c r="M32" i="165" s="1"/>
  <c r="M34" i="165" s="1"/>
  <c r="DC31" i="147"/>
  <c r="DC401" i="147" s="1"/>
  <c r="U1041" i="489"/>
  <c r="U1050" i="489" s="1"/>
  <c r="I24" i="313"/>
  <c r="D24" i="313"/>
  <c r="H24" i="313" s="1"/>
  <c r="F24" i="313"/>
  <c r="M24" i="313" s="1"/>
  <c r="G21" i="283"/>
  <c r="J994" i="489"/>
  <c r="Y1136" i="489"/>
  <c r="Y1144" i="489" s="1"/>
  <c r="Y1151" i="489" s="1"/>
  <c r="G28" i="427"/>
  <c r="C140" i="93"/>
  <c r="F28" i="92"/>
  <c r="M28" i="92" s="1"/>
  <c r="M29" i="92" s="1"/>
  <c r="F24" i="286"/>
  <c r="M24" i="286" s="1"/>
  <c r="M25" i="286" s="1"/>
  <c r="D24" i="286"/>
  <c r="H24" i="286" s="1"/>
  <c r="C50" i="93"/>
  <c r="I28" i="92"/>
  <c r="M24" i="324"/>
  <c r="I28" i="427"/>
  <c r="F24" i="315"/>
  <c r="M24" i="315" s="1"/>
  <c r="AH1116" i="489"/>
  <c r="AH1123" i="489" s="1"/>
  <c r="F28" i="427"/>
  <c r="M28" i="427" s="1"/>
  <c r="I22" i="281"/>
  <c r="AH1200" i="489"/>
  <c r="AH1207" i="489" s="1"/>
  <c r="G28" i="399"/>
  <c r="I28" i="399"/>
  <c r="I24" i="315"/>
  <c r="D28" i="406"/>
  <c r="J28" i="406" s="1"/>
  <c r="G25" i="287"/>
  <c r="C115" i="93"/>
  <c r="F25" i="287"/>
  <c r="M25" i="287" s="1"/>
  <c r="F28" i="402"/>
  <c r="M28" i="402" s="1"/>
  <c r="M30" i="402" s="1"/>
  <c r="I28" i="402"/>
  <c r="D28" i="402"/>
  <c r="H28" i="402" s="1"/>
  <c r="EY137" i="147"/>
  <c r="Y1172" i="489"/>
  <c r="Y1179" i="489" s="1"/>
  <c r="M24" i="424"/>
  <c r="J20" i="134"/>
  <c r="B1164" i="489"/>
  <c r="CS1200" i="489"/>
  <c r="CS1207" i="489" s="1"/>
  <c r="F22" i="281"/>
  <c r="F23" i="281" s="1"/>
  <c r="F24" i="281" s="1"/>
  <c r="F28" i="281" s="1"/>
  <c r="I19" i="147" s="1"/>
  <c r="D22" i="281"/>
  <c r="J22" i="281" s="1"/>
  <c r="G22" i="281"/>
  <c r="F27" i="419"/>
  <c r="F28" i="419" s="1"/>
  <c r="F29" i="419" s="1"/>
  <c r="F33" i="419" s="1"/>
  <c r="I92" i="147" s="1"/>
  <c r="I28" i="404"/>
  <c r="CQ999" i="489"/>
  <c r="D28" i="404"/>
  <c r="J28" i="404" s="1"/>
  <c r="I169" i="489"/>
  <c r="I159" i="93" s="1"/>
  <c r="I78" i="489"/>
  <c r="I74" i="93" s="1"/>
  <c r="H27" i="413"/>
  <c r="G23" i="282"/>
  <c r="E211" i="489"/>
  <c r="E121" i="489"/>
  <c r="E115" i="93" s="1"/>
  <c r="E150" i="489"/>
  <c r="E31" i="489"/>
  <c r="F101" i="93"/>
  <c r="F180" i="489"/>
  <c r="G81" i="489"/>
  <c r="G110" i="489"/>
  <c r="G202" i="489"/>
  <c r="G49" i="489"/>
  <c r="G172" i="489"/>
  <c r="G18" i="489"/>
  <c r="DC519" i="147"/>
  <c r="EB86" i="489"/>
  <c r="EB103" i="489" s="1"/>
  <c r="EB329" i="489" s="1"/>
  <c r="EB1047" i="489"/>
  <c r="EB1050" i="489" s="1"/>
  <c r="EB1067" i="489" s="1"/>
  <c r="CZ1079" i="489"/>
  <c r="V1043" i="489"/>
  <c r="EB146" i="489"/>
  <c r="EB163" i="489" s="1"/>
  <c r="EB331" i="489" s="1"/>
  <c r="EB1101" i="489"/>
  <c r="EB1106" i="489" s="1"/>
  <c r="EB1123" i="489" s="1"/>
  <c r="V1018" i="489"/>
  <c r="I23" i="282"/>
  <c r="I28" i="403"/>
  <c r="E117" i="489"/>
  <c r="G118" i="489"/>
  <c r="G178" i="489"/>
  <c r="D117" i="489"/>
  <c r="F150" i="489"/>
  <c r="F211" i="489"/>
  <c r="F121" i="489"/>
  <c r="F115" i="93" s="1"/>
  <c r="F31" i="489"/>
  <c r="B998" i="489"/>
  <c r="I207" i="489"/>
  <c r="I195" i="93" s="1"/>
  <c r="I87" i="489"/>
  <c r="I83" i="93" s="1"/>
  <c r="C104" i="93"/>
  <c r="EB176" i="489"/>
  <c r="EB193" i="489" s="1"/>
  <c r="EB332" i="489" s="1"/>
  <c r="EB1131" i="489"/>
  <c r="EB1134" i="489" s="1"/>
  <c r="EB1151" i="489" s="1"/>
  <c r="I120" i="489"/>
  <c r="I114" i="93" s="1"/>
  <c r="I60" i="489"/>
  <c r="I58" i="93" s="1"/>
  <c r="I101" i="93"/>
  <c r="D28" i="403"/>
  <c r="D118" i="489"/>
  <c r="D178" i="489"/>
  <c r="D168" i="93" s="1"/>
  <c r="E181" i="489"/>
  <c r="E61" i="489"/>
  <c r="E91" i="489"/>
  <c r="G150" i="489"/>
  <c r="G211" i="489"/>
  <c r="G121" i="489"/>
  <c r="G115" i="93" s="1"/>
  <c r="G31" i="489"/>
  <c r="F118" i="489"/>
  <c r="F178" i="489"/>
  <c r="F168" i="93" s="1"/>
  <c r="C1045" i="489"/>
  <c r="CZ1015" i="489"/>
  <c r="CB1080" i="489"/>
  <c r="CB1088" i="489" s="1"/>
  <c r="CB126" i="489"/>
  <c r="EB116" i="489"/>
  <c r="EB133" i="489" s="1"/>
  <c r="EB330" i="489" s="1"/>
  <c r="EB1073" i="489"/>
  <c r="EB1078" i="489" s="1"/>
  <c r="EB1095" i="489" s="1"/>
  <c r="G28" i="403"/>
  <c r="F181" i="489"/>
  <c r="F61" i="489"/>
  <c r="F91" i="489"/>
  <c r="E210" i="489"/>
  <c r="G117" i="489"/>
  <c r="G207" i="489"/>
  <c r="G87" i="489"/>
  <c r="I31" i="489"/>
  <c r="I150" i="489"/>
  <c r="I142" i="93" s="1"/>
  <c r="I211" i="489"/>
  <c r="I199" i="93" s="1"/>
  <c r="I121" i="489"/>
  <c r="I115" i="93" s="1"/>
  <c r="I79" i="489"/>
  <c r="I75" i="93" s="1"/>
  <c r="I198" i="489"/>
  <c r="I186" i="93" s="1"/>
  <c r="I168" i="489"/>
  <c r="I158" i="93" s="1"/>
  <c r="I138" i="489"/>
  <c r="I130" i="93" s="1"/>
  <c r="I108" i="489"/>
  <c r="I102" i="93" s="1"/>
  <c r="I52" i="489"/>
  <c r="I50" i="93" s="1"/>
  <c r="I19" i="489"/>
  <c r="E148" i="489"/>
  <c r="E140" i="93" s="1"/>
  <c r="E168" i="489"/>
  <c r="E138" i="489"/>
  <c r="E108" i="489"/>
  <c r="E52" i="489"/>
  <c r="E50" i="93" s="1"/>
  <c r="E79" i="489"/>
  <c r="E198" i="489"/>
  <c r="E186" i="93" s="1"/>
  <c r="E19" i="489"/>
  <c r="E19" i="93" s="1"/>
  <c r="DC600" i="147"/>
  <c r="Y1024" i="489"/>
  <c r="Y1032" i="489" s="1"/>
  <c r="Y1039" i="489" s="1"/>
  <c r="Y66" i="489"/>
  <c r="Y73" i="489" s="1"/>
  <c r="Y328" i="489" s="1"/>
  <c r="EA1086" i="489"/>
  <c r="EA1088" i="489" s="1"/>
  <c r="EA1095" i="489" s="1"/>
  <c r="EA126" i="489"/>
  <c r="EA133" i="489" s="1"/>
  <c r="EA330" i="489" s="1"/>
  <c r="K1109" i="489"/>
  <c r="K1116" i="489" s="1"/>
  <c r="K1123" i="489" s="1"/>
  <c r="K156" i="489"/>
  <c r="K163" i="489" s="1"/>
  <c r="K331" i="489" s="1"/>
  <c r="I178" i="489"/>
  <c r="I168" i="93" s="1"/>
  <c r="I118" i="489"/>
  <c r="I112" i="93" s="1"/>
  <c r="D207" i="489"/>
  <c r="D87" i="489"/>
  <c r="D1051" i="489" s="1"/>
  <c r="D181" i="489"/>
  <c r="D61" i="489"/>
  <c r="D1027" i="489" s="1"/>
  <c r="D91" i="489"/>
  <c r="E118" i="489"/>
  <c r="E178" i="489"/>
  <c r="AM322" i="489"/>
  <c r="G148" i="489"/>
  <c r="G140" i="93" s="1"/>
  <c r="G198" i="489"/>
  <c r="G168" i="489"/>
  <c r="G158" i="93" s="1"/>
  <c r="G138" i="489"/>
  <c r="G108" i="489"/>
  <c r="G52" i="489"/>
  <c r="G50" i="93" s="1"/>
  <c r="G79" i="489"/>
  <c r="G19" i="489"/>
  <c r="G26" i="489" s="1"/>
  <c r="DF1108" i="489"/>
  <c r="DF1116" i="489" s="1"/>
  <c r="DF1123" i="489" s="1"/>
  <c r="C987" i="489"/>
  <c r="EW1071" i="489"/>
  <c r="EA1030" i="489"/>
  <c r="EA1032" i="489" s="1"/>
  <c r="EA66" i="489"/>
  <c r="CB1024" i="489"/>
  <c r="CB1032" i="489" s="1"/>
  <c r="CB66" i="489"/>
  <c r="CB73" i="489" s="1"/>
  <c r="CB328" i="489" s="1"/>
  <c r="D120" i="489"/>
  <c r="D60" i="489"/>
  <c r="I23" i="314"/>
  <c r="G181" i="489"/>
  <c r="G61" i="489"/>
  <c r="G91" i="489"/>
  <c r="G120" i="489"/>
  <c r="G60" i="489"/>
  <c r="AU148" i="489"/>
  <c r="D148" i="489"/>
  <c r="D168" i="489"/>
  <c r="D108" i="489"/>
  <c r="D1070" i="489" s="1"/>
  <c r="D52" i="489"/>
  <c r="D79" i="489"/>
  <c r="D1043" i="489" s="1"/>
  <c r="D198" i="489"/>
  <c r="D138" i="489"/>
  <c r="D19" i="489"/>
  <c r="D19" i="93" s="1"/>
  <c r="EA1142" i="489"/>
  <c r="EA1144" i="489" s="1"/>
  <c r="EA1151" i="489" s="1"/>
  <c r="EA186" i="489"/>
  <c r="EA193" i="489" s="1"/>
  <c r="EA332" i="489" s="1"/>
  <c r="V987" i="489"/>
  <c r="E207" i="489"/>
  <c r="E87" i="489"/>
  <c r="D23" i="314"/>
  <c r="H23" i="314" s="1"/>
  <c r="F120" i="489"/>
  <c r="F60" i="489"/>
  <c r="D210" i="489"/>
  <c r="F210" i="489"/>
  <c r="F148" i="489"/>
  <c r="F140" i="93" s="1"/>
  <c r="F168" i="489"/>
  <c r="F138" i="489"/>
  <c r="F108" i="489"/>
  <c r="F52" i="489"/>
  <c r="F198" i="489"/>
  <c r="F79" i="489"/>
  <c r="F75" i="93" s="1"/>
  <c r="F19" i="489"/>
  <c r="C86" i="489"/>
  <c r="C19" i="93"/>
  <c r="CZ1072" i="489"/>
  <c r="CT1080" i="489"/>
  <c r="CT1088" i="489" s="1"/>
  <c r="CT1095" i="489" s="1"/>
  <c r="CT126" i="489"/>
  <c r="CT133" i="489" s="1"/>
  <c r="CT330" i="489" s="1"/>
  <c r="G23" i="314"/>
  <c r="E101" i="93"/>
  <c r="E180" i="489"/>
  <c r="D202" i="489"/>
  <c r="D49" i="489"/>
  <c r="D56" i="489" s="1"/>
  <c r="D172" i="489"/>
  <c r="D110" i="489"/>
  <c r="D1072" i="489" s="1"/>
  <c r="D81" i="489"/>
  <c r="D77" i="93" s="1"/>
  <c r="D18" i="489"/>
  <c r="CZ1052" i="489"/>
  <c r="CZ1060" i="489" s="1"/>
  <c r="EB56" i="489"/>
  <c r="EB73" i="489" s="1"/>
  <c r="EB328" i="489" s="1"/>
  <c r="EB1019" i="489"/>
  <c r="EB1022" i="489" s="1"/>
  <c r="EB1039" i="489" s="1"/>
  <c r="V1098" i="489"/>
  <c r="H31" i="298"/>
  <c r="E120" i="489"/>
  <c r="E60" i="489"/>
  <c r="F117" i="489"/>
  <c r="G101" i="93"/>
  <c r="G180" i="489"/>
  <c r="F81" i="489"/>
  <c r="F202" i="489"/>
  <c r="F49" i="489"/>
  <c r="F172" i="489"/>
  <c r="F110" i="489"/>
  <c r="F18" i="489"/>
  <c r="F18" i="93" s="1"/>
  <c r="DE1083" i="489"/>
  <c r="DE1088" i="489" s="1"/>
  <c r="DE1095" i="489" s="1"/>
  <c r="DE126" i="489"/>
  <c r="DE133" i="489" s="1"/>
  <c r="DE330" i="489" s="1"/>
  <c r="EB26" i="489"/>
  <c r="EB991" i="489"/>
  <c r="EB994" i="489" s="1"/>
  <c r="AX1052" i="489"/>
  <c r="AX1060" i="489" s="1"/>
  <c r="AX1067" i="489" s="1"/>
  <c r="AX96" i="489"/>
  <c r="AX103" i="489" s="1"/>
  <c r="AX329" i="489" s="1"/>
  <c r="G210" i="489"/>
  <c r="F207" i="489"/>
  <c r="F87" i="489"/>
  <c r="D121" i="489"/>
  <c r="D211" i="489"/>
  <c r="D1167" i="489" s="1"/>
  <c r="D150" i="489"/>
  <c r="D31" i="489"/>
  <c r="D36" i="489" s="1"/>
  <c r="D101" i="93"/>
  <c r="D180" i="489"/>
  <c r="E81" i="489"/>
  <c r="E202" i="489"/>
  <c r="E49" i="489"/>
  <c r="E172" i="489"/>
  <c r="E110" i="489"/>
  <c r="E18" i="489"/>
  <c r="C77" i="93"/>
  <c r="EB206" i="489"/>
  <c r="EB223" i="489" s="1"/>
  <c r="EB333" i="489" s="1"/>
  <c r="EB1159" i="489"/>
  <c r="EB1162" i="489" s="1"/>
  <c r="EB1179" i="489" s="1"/>
  <c r="AK1172" i="489"/>
  <c r="I181" i="489"/>
  <c r="I171" i="93" s="1"/>
  <c r="I61" i="489"/>
  <c r="I59" i="93" s="1"/>
  <c r="I91" i="489"/>
  <c r="I87" i="93" s="1"/>
  <c r="M23" i="333"/>
  <c r="AF1067" i="489"/>
  <c r="EV1056" i="489"/>
  <c r="CQ1055" i="489"/>
  <c r="CH1039" i="489"/>
  <c r="C740" i="147"/>
  <c r="DX737" i="147"/>
  <c r="DX738" i="147"/>
  <c r="DX739" i="147"/>
  <c r="EB599" i="147"/>
  <c r="EB737" i="147"/>
  <c r="EB738" i="147"/>
  <c r="EB739" i="147"/>
  <c r="DX689" i="147"/>
  <c r="DX599" i="147"/>
  <c r="EB689" i="147"/>
  <c r="AK1051" i="489"/>
  <c r="AK1060" i="489" s="1"/>
  <c r="AK1067" i="489" s="1"/>
  <c r="E188" i="93"/>
  <c r="D188" i="93"/>
  <c r="D323" i="489"/>
  <c r="EX1154" i="489"/>
  <c r="EX1162" i="489" s="1"/>
  <c r="EX1179" i="489" s="1"/>
  <c r="EX206" i="489"/>
  <c r="EX223" i="489" s="1"/>
  <c r="EX333" i="489" s="1"/>
  <c r="F188" i="93"/>
  <c r="G188" i="93"/>
  <c r="W1154" i="489"/>
  <c r="W1162" i="489" s="1"/>
  <c r="W1179" i="489" s="1"/>
  <c r="W206" i="489"/>
  <c r="W223" i="489" s="1"/>
  <c r="W333" i="489" s="1"/>
  <c r="DC395" i="147"/>
  <c r="CB997" i="489"/>
  <c r="CB1004" i="489" s="1"/>
  <c r="B286" i="93"/>
  <c r="I25" i="300"/>
  <c r="G189" i="93"/>
  <c r="BR1019" i="489"/>
  <c r="CZ1113" i="489"/>
  <c r="J1053" i="489"/>
  <c r="J1060" i="489" s="1"/>
  <c r="J96" i="489"/>
  <c r="DC1043" i="489"/>
  <c r="BR1158" i="489"/>
  <c r="BR1162" i="489" s="1"/>
  <c r="BR206" i="489"/>
  <c r="BM1047" i="489"/>
  <c r="EY83" i="489"/>
  <c r="EV1154" i="489"/>
  <c r="Y1249" i="489"/>
  <c r="Y1256" i="489" s="1"/>
  <c r="CZ990" i="489"/>
  <c r="AU1053" i="489"/>
  <c r="J1042" i="489"/>
  <c r="BR1030" i="489"/>
  <c r="EV1044" i="489"/>
  <c r="Y1238" i="489"/>
  <c r="Y1246" i="489" s="1"/>
  <c r="Y296" i="489"/>
  <c r="AH1079" i="489"/>
  <c r="AU1042" i="489"/>
  <c r="AU1249" i="489"/>
  <c r="CF986" i="489"/>
  <c r="AU1238" i="489"/>
  <c r="AU1246" i="489" s="1"/>
  <c r="AU296" i="489"/>
  <c r="BR1170" i="489"/>
  <c r="BR1172" i="489" s="1"/>
  <c r="C79" i="93"/>
  <c r="C1047" i="489"/>
  <c r="CZ1046" i="489"/>
  <c r="C134" i="93"/>
  <c r="CF1042" i="489"/>
  <c r="CF1050" i="489" s="1"/>
  <c r="CB986" i="489"/>
  <c r="C162" i="93"/>
  <c r="AL1249" i="489"/>
  <c r="EW1155" i="489"/>
  <c r="C22" i="93"/>
  <c r="AL1238" i="489"/>
  <c r="AL1246" i="489" s="1"/>
  <c r="AL296" i="489"/>
  <c r="C145" i="93"/>
  <c r="C1113" i="489"/>
  <c r="D189" i="93"/>
  <c r="D1157" i="489"/>
  <c r="D75" i="93"/>
  <c r="EY279" i="147"/>
  <c r="EW989" i="489"/>
  <c r="DF1249" i="489"/>
  <c r="DF1256" i="489" s="1"/>
  <c r="EV988" i="489"/>
  <c r="CZ1103" i="489"/>
  <c r="BK1103" i="489"/>
  <c r="BK1106" i="489" s="1"/>
  <c r="BK146" i="489"/>
  <c r="EW1045" i="489"/>
  <c r="DF1238" i="489"/>
  <c r="DF1246" i="489" s="1"/>
  <c r="DF296" i="489"/>
  <c r="DF313" i="489" s="1"/>
  <c r="DF336" i="489" s="1"/>
  <c r="CB1053" i="489"/>
  <c r="F189" i="93"/>
  <c r="E189" i="93"/>
  <c r="B142" i="93"/>
  <c r="BR991" i="489"/>
  <c r="BK1113" i="489"/>
  <c r="BK1116" i="489" s="1"/>
  <c r="BK156" i="489"/>
  <c r="CB1042" i="489"/>
  <c r="CB1050" i="489" s="1"/>
  <c r="M27" i="316"/>
  <c r="E217" i="93"/>
  <c r="DC323" i="489"/>
  <c r="M24" i="323"/>
  <c r="D225" i="93"/>
  <c r="D1193" i="489"/>
  <c r="E225" i="93"/>
  <c r="D1109" i="489"/>
  <c r="G216" i="93"/>
  <c r="E216" i="93"/>
  <c r="EW1000" i="489"/>
  <c r="EV999" i="489"/>
  <c r="CZ1100" i="489"/>
  <c r="BS1100" i="489"/>
  <c r="BS1106" i="489" s="1"/>
  <c r="BS1123" i="489" s="1"/>
  <c r="CN1158" i="489"/>
  <c r="DE1110" i="489"/>
  <c r="CQ998" i="489"/>
  <c r="C219" i="93"/>
  <c r="C1187" i="489"/>
  <c r="BR1243" i="489"/>
  <c r="BR1246" i="489" s="1"/>
  <c r="BR296" i="489"/>
  <c r="BR1254" i="489"/>
  <c r="V1239" i="489"/>
  <c r="BT1222" i="489"/>
  <c r="BT1228" i="489" s="1"/>
  <c r="BT276" i="489"/>
  <c r="CF1193" i="489"/>
  <c r="K1193" i="489"/>
  <c r="K1200" i="489" s="1"/>
  <c r="K246" i="489"/>
  <c r="EY239" i="489"/>
  <c r="B225" i="93"/>
  <c r="B1193" i="489"/>
  <c r="DC1238" i="489"/>
  <c r="CF1238" i="489"/>
  <c r="AQ1249" i="489"/>
  <c r="AK1249" i="489"/>
  <c r="AK1256" i="489" s="1"/>
  <c r="C281" i="93"/>
  <c r="AE1183" i="489"/>
  <c r="AE1190" i="489" s="1"/>
  <c r="AE1207" i="489" s="1"/>
  <c r="CV1023" i="489"/>
  <c r="CV1032" i="489" s="1"/>
  <c r="CV66" i="489"/>
  <c r="CZ1247" i="489"/>
  <c r="AF1247" i="489"/>
  <c r="AF1256" i="489" s="1"/>
  <c r="B279" i="93"/>
  <c r="AL266" i="489"/>
  <c r="AL1209" i="489"/>
  <c r="AL1218" i="489" s="1"/>
  <c r="C245" i="93"/>
  <c r="F216" i="93"/>
  <c r="D216" i="93"/>
  <c r="DC1100" i="489"/>
  <c r="CW1100" i="489"/>
  <c r="C132" i="93"/>
  <c r="U1242" i="489"/>
  <c r="CZ998" i="489"/>
  <c r="C142" i="93"/>
  <c r="B219" i="93"/>
  <c r="B1187" i="489"/>
  <c r="AH1015" i="489"/>
  <c r="U1250" i="489"/>
  <c r="U1256" i="489" s="1"/>
  <c r="U306" i="489"/>
  <c r="CS1249" i="489"/>
  <c r="BS1249" i="489"/>
  <c r="AN1249" i="489"/>
  <c r="AN1256" i="489" s="1"/>
  <c r="AN306" i="489"/>
  <c r="J1238" i="489"/>
  <c r="J1246" i="489" s="1"/>
  <c r="J1263" i="489" s="1"/>
  <c r="B270" i="93"/>
  <c r="DC1183" i="489"/>
  <c r="C215" i="93"/>
  <c r="C1183" i="489"/>
  <c r="DV1023" i="489"/>
  <c r="DV1032" i="489" s="1"/>
  <c r="DV66" i="489"/>
  <c r="CT1023" i="489"/>
  <c r="CT1032" i="489" s="1"/>
  <c r="CT66" i="489"/>
  <c r="CQ1247" i="489"/>
  <c r="AN1079" i="489"/>
  <c r="AN1088" i="489" s="1"/>
  <c r="AN1095" i="489" s="1"/>
  <c r="AN126" i="489"/>
  <c r="AN133" i="489" s="1"/>
  <c r="AN330" i="489" s="1"/>
  <c r="EX1181" i="489"/>
  <c r="EX1190" i="489" s="1"/>
  <c r="EX236" i="489"/>
  <c r="B213" i="93"/>
  <c r="G217" i="93"/>
  <c r="F225" i="93"/>
  <c r="G225" i="93"/>
  <c r="F20" i="93"/>
  <c r="D20" i="93"/>
  <c r="EW990" i="489"/>
  <c r="EW1102" i="489"/>
  <c r="EW1215" i="489"/>
  <c r="EV1252" i="489"/>
  <c r="EV989" i="489"/>
  <c r="EV1101" i="489"/>
  <c r="EV1106" i="489" s="1"/>
  <c r="EV1214" i="489"/>
  <c r="CL1100" i="489"/>
  <c r="CL1106" i="489" s="1"/>
  <c r="CL1264" i="489" s="1"/>
  <c r="Z1185" i="489"/>
  <c r="CN1242" i="489"/>
  <c r="CN1246" i="489" s="1"/>
  <c r="CN1263" i="489" s="1"/>
  <c r="CN296" i="489"/>
  <c r="CN313" i="489" s="1"/>
  <c r="CN336" i="489" s="1"/>
  <c r="DE998" i="489"/>
  <c r="CZ1142" i="489"/>
  <c r="C231" i="93"/>
  <c r="C1199" i="489"/>
  <c r="BR1001" i="489"/>
  <c r="BR1105" i="489"/>
  <c r="EY145" i="489"/>
  <c r="B137" i="93"/>
  <c r="B1105" i="489"/>
  <c r="AQ1238" i="489"/>
  <c r="AK1238" i="489"/>
  <c r="AK1246" i="489" s="1"/>
  <c r="AK296" i="489"/>
  <c r="C270" i="93"/>
  <c r="B130" i="93"/>
  <c r="BT1182" i="489"/>
  <c r="BT1190" i="489" s="1"/>
  <c r="BT1207" i="489" s="1"/>
  <c r="BT236" i="489"/>
  <c r="BT253" i="489" s="1"/>
  <c r="BT334" i="489" s="1"/>
  <c r="U1182" i="489"/>
  <c r="U1190" i="489" s="1"/>
  <c r="U1207" i="489" s="1"/>
  <c r="AF1237" i="489"/>
  <c r="AF1246" i="489" s="1"/>
  <c r="AF296" i="489"/>
  <c r="AF313" i="489" s="1"/>
  <c r="AF336" i="489" s="1"/>
  <c r="AO1107" i="489"/>
  <c r="AO1116" i="489" s="1"/>
  <c r="AO1123" i="489" s="1"/>
  <c r="AO266" i="489"/>
  <c r="AO1209" i="489"/>
  <c r="AO1218" i="489" s="1"/>
  <c r="AO1264" i="489" s="1"/>
  <c r="AL1079" i="489"/>
  <c r="AL1088" i="489" s="1"/>
  <c r="AL1095" i="489" s="1"/>
  <c r="W1181" i="489"/>
  <c r="W1190" i="489" s="1"/>
  <c r="W1207" i="489" s="1"/>
  <c r="W236" i="489"/>
  <c r="W253" i="489" s="1"/>
  <c r="W334" i="489" s="1"/>
  <c r="C213" i="93"/>
  <c r="DC1222" i="489"/>
  <c r="G20" i="93"/>
  <c r="E20" i="93"/>
  <c r="CE1100" i="489"/>
  <c r="CN1185" i="489"/>
  <c r="CN1190" i="489" s="1"/>
  <c r="CN1207" i="489" s="1"/>
  <c r="CN236" i="489"/>
  <c r="CN253" i="489" s="1"/>
  <c r="CN334" i="489" s="1"/>
  <c r="U1158" i="489"/>
  <c r="BK1142" i="489"/>
  <c r="BK1144" i="489" s="1"/>
  <c r="BK1151" i="489" s="1"/>
  <c r="BK186" i="489"/>
  <c r="BK193" i="489" s="1"/>
  <c r="BK332" i="489" s="1"/>
  <c r="B231" i="93"/>
  <c r="B1199" i="489"/>
  <c r="C33" i="93"/>
  <c r="C1001" i="489"/>
  <c r="C137" i="93"/>
  <c r="C1105" i="489"/>
  <c r="AH1239" i="489"/>
  <c r="AH1246" i="489" s="1"/>
  <c r="AH296" i="489"/>
  <c r="AH1250" i="489"/>
  <c r="U1015" i="489"/>
  <c r="CS1238" i="489"/>
  <c r="CS1246" i="489" s="1"/>
  <c r="CS296" i="489"/>
  <c r="BS1238" i="489"/>
  <c r="AN1238" i="489"/>
  <c r="AN1246" i="489" s="1"/>
  <c r="AN1263" i="489" s="1"/>
  <c r="AN296" i="489"/>
  <c r="B281" i="93"/>
  <c r="AQ997" i="489"/>
  <c r="AQ1004" i="489" s="1"/>
  <c r="C130" i="93"/>
  <c r="CG1138" i="489"/>
  <c r="CG1144" i="489" s="1"/>
  <c r="CG186" i="489"/>
  <c r="V1182" i="489"/>
  <c r="CQ1237" i="489"/>
  <c r="CQ1246" i="489" s="1"/>
  <c r="CQ296" i="489"/>
  <c r="AQ1237" i="489"/>
  <c r="AQ296" i="489"/>
  <c r="DW1107" i="489"/>
  <c r="DW1116" i="489" s="1"/>
  <c r="DW156" i="489"/>
  <c r="AN266" i="489"/>
  <c r="AN1209" i="489"/>
  <c r="AN1218" i="489" s="1"/>
  <c r="M30" i="401"/>
  <c r="M33" i="396"/>
  <c r="M28" i="421"/>
  <c r="M30" i="168"/>
  <c r="DX630" i="147"/>
  <c r="DM1265" i="489"/>
  <c r="DM1267" i="489" s="1"/>
  <c r="AC1184" i="489"/>
  <c r="AC1190" i="489" s="1"/>
  <c r="AC236" i="489"/>
  <c r="AC266" i="489"/>
  <c r="AC283" i="489" s="1"/>
  <c r="AC335" i="489" s="1"/>
  <c r="AC1216" i="489"/>
  <c r="AC1218" i="489" s="1"/>
  <c r="AC1235" i="489" s="1"/>
  <c r="BS323" i="489"/>
  <c r="CE323" i="489"/>
  <c r="D185" i="93"/>
  <c r="F185" i="93"/>
  <c r="G185" i="93"/>
  <c r="E185" i="93"/>
  <c r="I244" i="147"/>
  <c r="E33" i="506"/>
  <c r="F33" i="506" s="1"/>
  <c r="F34" i="506" s="1"/>
  <c r="F36" i="506" s="1"/>
  <c r="CT1136" i="489"/>
  <c r="CT1144" i="489" s="1"/>
  <c r="CT1151" i="489" s="1"/>
  <c r="C1058" i="489"/>
  <c r="C90" i="93"/>
  <c r="B78" i="93"/>
  <c r="B1046" i="489"/>
  <c r="AE1099" i="489"/>
  <c r="AE1106" i="489" s="1"/>
  <c r="AE1123" i="489" s="1"/>
  <c r="C1046" i="489"/>
  <c r="C78" i="93"/>
  <c r="U1018" i="489"/>
  <c r="CW1097" i="489"/>
  <c r="CW146" i="489"/>
  <c r="CW163" i="489" s="1"/>
  <c r="B136" i="93"/>
  <c r="B1104" i="489"/>
  <c r="AJ1074" i="489"/>
  <c r="F50" i="93"/>
  <c r="X321" i="489"/>
  <c r="B22" i="93"/>
  <c r="BR1104" i="489"/>
  <c r="EY144" i="489"/>
  <c r="CE1097" i="489"/>
  <c r="CE1106" i="489" s="1"/>
  <c r="CE1264" i="489" s="1"/>
  <c r="CE146" i="489"/>
  <c r="CE163" i="489" s="1"/>
  <c r="AJ1158" i="489"/>
  <c r="AJ1162" i="489" s="1"/>
  <c r="AJ1179" i="489" s="1"/>
  <c r="G129" i="93"/>
  <c r="BM1046" i="489"/>
  <c r="C17" i="93"/>
  <c r="EB567" i="147"/>
  <c r="EB630" i="147"/>
  <c r="D50" i="93"/>
  <c r="E129" i="93"/>
  <c r="CO1018" i="489"/>
  <c r="CL321" i="489"/>
  <c r="Z1103" i="489"/>
  <c r="F77" i="93"/>
  <c r="F129" i="93"/>
  <c r="CF987" i="489"/>
  <c r="CF26" i="489"/>
  <c r="E77" i="93"/>
  <c r="D129" i="93"/>
  <c r="C136" i="93"/>
  <c r="C1104" i="489"/>
  <c r="DC1099" i="489"/>
  <c r="CB987" i="489"/>
  <c r="CB26" i="489"/>
  <c r="CB43" i="489" s="1"/>
  <c r="CB327" i="489" s="1"/>
  <c r="CO1103" i="489"/>
  <c r="AX321" i="489"/>
  <c r="CS73" i="489"/>
  <c r="CS328" i="489" s="1"/>
  <c r="DR43" i="489"/>
  <c r="DR327" i="489" s="1"/>
  <c r="M30" i="427"/>
  <c r="EV1213" i="489"/>
  <c r="EW1214" i="489"/>
  <c r="DC615" i="147"/>
  <c r="CQ1215" i="489"/>
  <c r="DC1212" i="489"/>
  <c r="C244" i="93"/>
  <c r="C1212" i="489"/>
  <c r="BK1225" i="489"/>
  <c r="BK1228" i="489" s="1"/>
  <c r="BK276" i="489"/>
  <c r="BS615" i="147"/>
  <c r="BS741" i="147" s="1"/>
  <c r="CS615" i="147"/>
  <c r="CS741" i="147" s="1"/>
  <c r="BK1216" i="489"/>
  <c r="EY264" i="489"/>
  <c r="DE1215" i="489"/>
  <c r="BT1212" i="489"/>
  <c r="CZ1216" i="489"/>
  <c r="C257" i="93"/>
  <c r="C1225" i="489"/>
  <c r="CZ1225" i="489"/>
  <c r="DF615" i="147"/>
  <c r="DF741" i="147" s="1"/>
  <c r="V1212" i="489"/>
  <c r="DX688" i="147"/>
  <c r="DX567" i="147"/>
  <c r="Y615" i="147"/>
  <c r="Y741" i="147" s="1"/>
  <c r="V318" i="489"/>
  <c r="EW1114" i="489"/>
  <c r="EW1142" i="489"/>
  <c r="EW1002" i="489"/>
  <c r="EV1141" i="489"/>
  <c r="U318" i="489"/>
  <c r="EV1001" i="489"/>
  <c r="EV1113" i="489"/>
  <c r="B1053" i="489"/>
  <c r="B85" i="93"/>
  <c r="BN1143" i="489"/>
  <c r="DM253" i="489"/>
  <c r="DM319" i="489" s="1"/>
  <c r="DM320" i="489" s="1"/>
  <c r="CL253" i="489"/>
  <c r="CL334" i="489" s="1"/>
  <c r="X253" i="489"/>
  <c r="X334" i="489" s="1"/>
  <c r="B35" i="93"/>
  <c r="B1003" i="489"/>
  <c r="DE1000" i="489"/>
  <c r="B175" i="93"/>
  <c r="B1143" i="489"/>
  <c r="B147" i="93"/>
  <c r="B1115" i="489"/>
  <c r="DE1112" i="489"/>
  <c r="CB156" i="489"/>
  <c r="CB163" i="489" s="1"/>
  <c r="CB331" i="489" s="1"/>
  <c r="CB1109" i="489"/>
  <c r="CB1116" i="489" s="1"/>
  <c r="CB1123" i="489" s="1"/>
  <c r="E172" i="93"/>
  <c r="U1014" i="489"/>
  <c r="C57" i="93"/>
  <c r="C1025" i="489"/>
  <c r="BR1003" i="489"/>
  <c r="EY35" i="489"/>
  <c r="C147" i="93"/>
  <c r="C1115" i="489"/>
  <c r="F172" i="93"/>
  <c r="E141" i="93"/>
  <c r="U1053" i="489"/>
  <c r="U1060" i="489" s="1"/>
  <c r="U96" i="489"/>
  <c r="U103" i="489" s="1"/>
  <c r="U329" i="489" s="1"/>
  <c r="C197" i="93"/>
  <c r="BR1115" i="489"/>
  <c r="EY155" i="489"/>
  <c r="C35" i="93"/>
  <c r="C1003" i="489"/>
  <c r="G141" i="93"/>
  <c r="U1025" i="489"/>
  <c r="U1032" i="489" s="1"/>
  <c r="C46" i="93"/>
  <c r="DD1053" i="489"/>
  <c r="DD1060" i="489" s="1"/>
  <c r="DD1067" i="489" s="1"/>
  <c r="DD96" i="489"/>
  <c r="DD103" i="489" s="1"/>
  <c r="DD329" i="489" s="1"/>
  <c r="CF1053" i="489"/>
  <c r="CF1060" i="489" s="1"/>
  <c r="D172" i="93"/>
  <c r="D1140" i="489"/>
  <c r="D286" i="93"/>
  <c r="D141" i="93"/>
  <c r="U216" i="489"/>
  <c r="U1165" i="489"/>
  <c r="U1172" i="489" s="1"/>
  <c r="C85" i="93"/>
  <c r="C1053" i="489"/>
  <c r="C32" i="93"/>
  <c r="C1000" i="489"/>
  <c r="C175" i="93"/>
  <c r="C1143" i="489"/>
  <c r="EV1014" i="489"/>
  <c r="DD66" i="489"/>
  <c r="DD1025" i="489"/>
  <c r="DD1032" i="489" s="1"/>
  <c r="CF1025" i="489"/>
  <c r="CF1032" i="489" s="1"/>
  <c r="F141" i="93"/>
  <c r="CZ1000" i="489"/>
  <c r="C144" i="93"/>
  <c r="C1112" i="489"/>
  <c r="EV1053" i="489"/>
  <c r="DD1165" i="489"/>
  <c r="DD1172" i="489" s="1"/>
  <c r="DD216" i="489"/>
  <c r="E159" i="93"/>
  <c r="EY59" i="489"/>
  <c r="P66" i="489"/>
  <c r="P1025" i="489"/>
  <c r="P1032" i="489" s="1"/>
  <c r="CZ1112" i="489"/>
  <c r="CQ1000" i="489"/>
  <c r="EV1025" i="489"/>
  <c r="EV1032" i="489" s="1"/>
  <c r="DD1014" i="489"/>
  <c r="DD1022" i="489" s="1"/>
  <c r="CF1014" i="489"/>
  <c r="CF1022" i="489" s="1"/>
  <c r="G159" i="93"/>
  <c r="P1165" i="489"/>
  <c r="P1172" i="489" s="1"/>
  <c r="P1179" i="489" s="1"/>
  <c r="P216" i="489"/>
  <c r="P223" i="489" s="1"/>
  <c r="P333" i="489" s="1"/>
  <c r="CQ1112" i="489"/>
  <c r="EV1165" i="489"/>
  <c r="G172" i="93"/>
  <c r="D159" i="93"/>
  <c r="P56" i="489"/>
  <c r="P1014" i="489"/>
  <c r="P1022" i="489" s="1"/>
  <c r="F159" i="93"/>
  <c r="P96" i="489"/>
  <c r="P103" i="489" s="1"/>
  <c r="P329" i="489" s="1"/>
  <c r="P1053" i="489"/>
  <c r="P1060" i="489" s="1"/>
  <c r="P1067" i="489" s="1"/>
  <c r="EY89" i="489"/>
  <c r="CV193" i="489"/>
  <c r="CV332" i="489" s="1"/>
  <c r="C73" i="93"/>
  <c r="AU86" i="489"/>
  <c r="AU1041" i="489"/>
  <c r="J1041" i="489"/>
  <c r="J86" i="489"/>
  <c r="CN103" i="489"/>
  <c r="CN329" i="489" s="1"/>
  <c r="C29" i="93"/>
  <c r="CA193" i="489"/>
  <c r="CA332" i="489" s="1"/>
  <c r="U997" i="489"/>
  <c r="U1004" i="489" s="1"/>
  <c r="U36" i="489"/>
  <c r="CH73" i="489"/>
  <c r="CH319" i="489" s="1"/>
  <c r="CH320" i="489" s="1"/>
  <c r="B1025" i="489"/>
  <c r="B57" i="93"/>
  <c r="B46" i="93"/>
  <c r="AL73" i="489"/>
  <c r="AL328" i="489" s="1"/>
  <c r="AL43" i="489"/>
  <c r="AL327" i="489" s="1"/>
  <c r="AH1144" i="489"/>
  <c r="AH1151" i="489" s="1"/>
  <c r="F255" i="93"/>
  <c r="B88" i="93"/>
  <c r="B1000" i="489"/>
  <c r="B32" i="93"/>
  <c r="B1016" i="489"/>
  <c r="B48" i="93"/>
  <c r="E18" i="93"/>
  <c r="E271" i="93"/>
  <c r="B284" i="93"/>
  <c r="B227" i="93"/>
  <c r="C269" i="93"/>
  <c r="C146" i="93"/>
  <c r="B191" i="93"/>
  <c r="B158" i="93"/>
  <c r="B217" i="93"/>
  <c r="C84" i="93"/>
  <c r="B245" i="93"/>
  <c r="G255" i="93"/>
  <c r="B987" i="489"/>
  <c r="B19" i="93"/>
  <c r="B60" i="93"/>
  <c r="B132" i="93"/>
  <c r="G18" i="93"/>
  <c r="F90" i="93"/>
  <c r="F286" i="93"/>
  <c r="F242" i="93"/>
  <c r="B171" i="93"/>
  <c r="B131" i="93"/>
  <c r="B271" i="93"/>
  <c r="C47" i="93"/>
  <c r="B58" i="93"/>
  <c r="C230" i="93"/>
  <c r="B242" i="93"/>
  <c r="B202" i="93"/>
  <c r="B162" i="93"/>
  <c r="C280" i="93"/>
  <c r="B140" i="93"/>
  <c r="B18" i="93"/>
  <c r="D255" i="93"/>
  <c r="D1192" i="489"/>
  <c r="D224" i="93"/>
  <c r="E74" i="93"/>
  <c r="B996" i="489"/>
  <c r="B28" i="93"/>
  <c r="B1001" i="489"/>
  <c r="B33" i="93"/>
  <c r="B1212" i="489"/>
  <c r="B244" i="93"/>
  <c r="G186" i="93"/>
  <c r="C105" i="93"/>
  <c r="C58" i="93"/>
  <c r="C112" i="93"/>
  <c r="C86" i="93"/>
  <c r="B187" i="93"/>
  <c r="C135" i="93"/>
  <c r="B55" i="93"/>
  <c r="D45" i="93"/>
  <c r="G45" i="93"/>
  <c r="B143" i="93"/>
  <c r="C131" i="93"/>
  <c r="C51" i="93"/>
  <c r="B111" i="93"/>
  <c r="C187" i="93"/>
  <c r="C196" i="93"/>
  <c r="C226" i="93"/>
  <c r="B47" i="93"/>
  <c r="B34" i="93"/>
  <c r="B167" i="93"/>
  <c r="B49" i="93"/>
  <c r="F157" i="93"/>
  <c r="F45" i="93"/>
  <c r="B201" i="93"/>
  <c r="B246" i="93"/>
  <c r="B186" i="93"/>
  <c r="C62" i="93"/>
  <c r="B195" i="93"/>
  <c r="B255" i="93"/>
  <c r="C170" i="93"/>
  <c r="G270" i="93"/>
  <c r="B86" i="93"/>
  <c r="B24" i="93"/>
  <c r="C30" i="93"/>
  <c r="B20" i="93"/>
  <c r="C106" i="93"/>
  <c r="B173" i="93"/>
  <c r="C31" i="93"/>
  <c r="G157" i="93"/>
  <c r="G56" i="93"/>
  <c r="E45" i="93"/>
  <c r="D56" i="93"/>
  <c r="B87" i="93"/>
  <c r="B117" i="93"/>
  <c r="B254" i="93"/>
  <c r="C111" i="93"/>
  <c r="C275" i="93"/>
  <c r="B27" i="93"/>
  <c r="B51" i="93"/>
  <c r="B144" i="93"/>
  <c r="C243" i="93"/>
  <c r="C107" i="93"/>
  <c r="B226" i="93"/>
  <c r="B21" i="93"/>
  <c r="C55" i="93"/>
  <c r="B230" i="93"/>
  <c r="D22" i="93"/>
  <c r="C198" i="93"/>
  <c r="C279" i="93"/>
  <c r="B104" i="93"/>
  <c r="C274" i="93"/>
  <c r="B229" i="93"/>
  <c r="C246" i="93"/>
  <c r="D23" i="93"/>
  <c r="D157" i="93"/>
  <c r="E255" i="93"/>
  <c r="B139" i="93"/>
  <c r="B105" i="93"/>
  <c r="B199" i="93"/>
  <c r="B114" i="93"/>
  <c r="C195" i="93"/>
  <c r="C174" i="93"/>
  <c r="B251" i="93"/>
  <c r="B62" i="93"/>
  <c r="B172" i="93"/>
  <c r="C83" i="93"/>
  <c r="C118" i="93"/>
  <c r="B269" i="93"/>
  <c r="C167" i="93"/>
  <c r="F270" i="93"/>
  <c r="B135" i="93"/>
  <c r="E270" i="93"/>
  <c r="D270" i="93"/>
  <c r="C253" i="93"/>
  <c r="C247" i="93"/>
  <c r="B76" i="93"/>
  <c r="C190" i="93"/>
  <c r="B252" i="93"/>
  <c r="B145" i="93"/>
  <c r="C199" i="93"/>
  <c r="E157" i="93"/>
  <c r="F74" i="93"/>
  <c r="B200" i="93"/>
  <c r="C59" i="93"/>
  <c r="C27" i="93"/>
  <c r="C163" i="93"/>
  <c r="B275" i="93"/>
  <c r="B228" i="93"/>
  <c r="C139" i="93"/>
  <c r="C191" i="93"/>
  <c r="B243" i="93"/>
  <c r="B83" i="93"/>
  <c r="B160" i="93"/>
  <c r="B146" i="93"/>
  <c r="C214" i="93"/>
  <c r="B30" i="93"/>
  <c r="B280" i="93"/>
  <c r="B133" i="93"/>
  <c r="C282" i="93"/>
  <c r="B285" i="93"/>
  <c r="C254" i="93"/>
  <c r="G224" i="93"/>
  <c r="F224" i="93"/>
  <c r="D74" i="93"/>
  <c r="E56" i="93"/>
  <c r="B61" i="93"/>
  <c r="B116" i="93"/>
  <c r="C87" i="93"/>
  <c r="B74" i="93"/>
  <c r="C251" i="93"/>
  <c r="B115" i="93"/>
  <c r="C102" i="93"/>
  <c r="B174" i="93"/>
  <c r="C223" i="93"/>
  <c r="C202" i="93"/>
  <c r="B170" i="93"/>
  <c r="B223" i="93"/>
  <c r="B103" i="93"/>
  <c r="B218" i="93"/>
  <c r="B198" i="93"/>
  <c r="B273" i="93"/>
  <c r="B106" i="93"/>
  <c r="B256" i="93"/>
  <c r="C143" i="93"/>
  <c r="F56" i="93"/>
  <c r="E224" i="93"/>
  <c r="B89" i="93"/>
  <c r="B84" i="93"/>
  <c r="C283" i="93"/>
  <c r="C114" i="93"/>
  <c r="B163" i="93"/>
  <c r="B23" i="93"/>
  <c r="C241" i="93"/>
  <c r="C24" i="93"/>
  <c r="B241" i="93"/>
  <c r="B272" i="93"/>
  <c r="B50" i="93"/>
  <c r="C28" i="93"/>
  <c r="B216" i="93"/>
  <c r="B247" i="93"/>
  <c r="B274" i="93"/>
  <c r="F23" i="93"/>
  <c r="D115" i="93"/>
  <c r="G90" i="93"/>
  <c r="G286" i="93"/>
  <c r="E242" i="93"/>
  <c r="B56" i="93"/>
  <c r="C171" i="93"/>
  <c r="B59" i="93"/>
  <c r="B112" i="93"/>
  <c r="C34" i="93"/>
  <c r="B188" i="93"/>
  <c r="B107" i="93"/>
  <c r="B77" i="93"/>
  <c r="B214" i="93"/>
  <c r="C252" i="93"/>
  <c r="B189" i="93"/>
  <c r="B257" i="93"/>
  <c r="B190" i="93"/>
  <c r="G23" i="93"/>
  <c r="B31" i="93"/>
  <c r="B75" i="93"/>
  <c r="B102" i="93"/>
  <c r="B215" i="93"/>
  <c r="F271" i="93"/>
  <c r="E90" i="93"/>
  <c r="G242" i="93"/>
  <c r="C227" i="93"/>
  <c r="B283" i="93"/>
  <c r="C21" i="93"/>
  <c r="B196" i="93"/>
  <c r="C218" i="93"/>
  <c r="B118" i="93"/>
  <c r="B134" i="93"/>
  <c r="B253" i="93"/>
  <c r="B224" i="93"/>
  <c r="B161" i="93"/>
  <c r="B282" i="93"/>
  <c r="M27" i="292"/>
  <c r="G29" i="401"/>
  <c r="M24" i="314"/>
  <c r="D1210" i="489"/>
  <c r="J20" i="184"/>
  <c r="AE1266" i="489"/>
  <c r="M23" i="209"/>
  <c r="M24" i="423"/>
  <c r="M24" i="426"/>
  <c r="L23" i="333"/>
  <c r="AK1116" i="489"/>
  <c r="AK1123" i="489" s="1"/>
  <c r="L23" i="101"/>
  <c r="L23" i="209"/>
  <c r="D991" i="489"/>
  <c r="BT1026" i="489"/>
  <c r="BT1032" i="489" s="1"/>
  <c r="BT1039" i="489" s="1"/>
  <c r="C126" i="489"/>
  <c r="C1030" i="489"/>
  <c r="DC1182" i="489"/>
  <c r="DC1190" i="489" s="1"/>
  <c r="C296" i="489"/>
  <c r="C1114" i="489"/>
  <c r="B1086" i="489"/>
  <c r="CA1166" i="489"/>
  <c r="CA1172" i="489" s="1"/>
  <c r="CA1179" i="489" s="1"/>
  <c r="AJ1045" i="489"/>
  <c r="AJ1050" i="489" s="1"/>
  <c r="AJ1067" i="489" s="1"/>
  <c r="L1182" i="489"/>
  <c r="L1190" i="489" s="1"/>
  <c r="L1207" i="489" s="1"/>
  <c r="EW1101" i="489"/>
  <c r="B1157" i="489"/>
  <c r="CZ1222" i="489"/>
  <c r="AQ1080" i="489"/>
  <c r="C26" i="489"/>
  <c r="B1141" i="489"/>
  <c r="AE1079" i="489"/>
  <c r="AE1088" i="489" s="1"/>
  <c r="AE1095" i="489" s="1"/>
  <c r="BT1155" i="489"/>
  <c r="BT1162" i="489" s="1"/>
  <c r="BT1179" i="489" s="1"/>
  <c r="C216" i="489"/>
  <c r="C1243" i="489"/>
  <c r="BM1075" i="489"/>
  <c r="BM1078" i="489" s="1"/>
  <c r="L24" i="132"/>
  <c r="C1198" i="489"/>
  <c r="DC1239" i="489"/>
  <c r="B1159" i="489"/>
  <c r="AJ1185" i="489"/>
  <c r="AJ1190" i="489" s="1"/>
  <c r="AJ1207" i="489" s="1"/>
  <c r="L1221" i="489"/>
  <c r="L1228" i="489" s="1"/>
  <c r="L1235" i="489" s="1"/>
  <c r="V1108" i="489"/>
  <c r="V1116" i="489" s="1"/>
  <c r="L22" i="133"/>
  <c r="EW1241" i="489"/>
  <c r="EW1246" i="489" s="1"/>
  <c r="DE266" i="489"/>
  <c r="DE321" i="489" s="1"/>
  <c r="DE1214" i="489"/>
  <c r="DC1154" i="489"/>
  <c r="CZ1111" i="489"/>
  <c r="CQ1251" i="489"/>
  <c r="AX1219" i="489"/>
  <c r="AX1228" i="489" s="1"/>
  <c r="AX1235" i="489" s="1"/>
  <c r="C1214" i="489"/>
  <c r="DC1026" i="489"/>
  <c r="AE1163" i="489"/>
  <c r="AE1172" i="489" s="1"/>
  <c r="AE1179" i="489" s="1"/>
  <c r="DC1125" i="489"/>
  <c r="C36" i="489"/>
  <c r="U991" i="489"/>
  <c r="C1142" i="489"/>
  <c r="V1211" i="489"/>
  <c r="C1155" i="489"/>
  <c r="DC1138" i="489"/>
  <c r="BM1086" i="489"/>
  <c r="BM1088" i="489" s="1"/>
  <c r="BM126" i="489"/>
  <c r="CF1247" i="489"/>
  <c r="EV1156" i="489"/>
  <c r="C1103" i="489"/>
  <c r="B1170" i="489"/>
  <c r="AQ1013" i="489"/>
  <c r="AQ1022" i="489" s="1"/>
  <c r="AJ1130" i="489"/>
  <c r="EW1184" i="489"/>
  <c r="EW1190" i="489" s="1"/>
  <c r="EW1207" i="489" s="1"/>
  <c r="CZ1214" i="489"/>
  <c r="BR1079" i="489"/>
  <c r="B1158" i="489"/>
  <c r="B1113" i="489"/>
  <c r="DC1155" i="489"/>
  <c r="D1125" i="489"/>
  <c r="C276" i="489"/>
  <c r="C1131" i="489"/>
  <c r="V1138" i="489"/>
  <c r="V1144" i="489" s="1"/>
  <c r="CT1013" i="489"/>
  <c r="CT1022" i="489" s="1"/>
  <c r="DC1211" i="489"/>
  <c r="BM1159" i="489"/>
  <c r="BM1162" i="489" s="1"/>
  <c r="AX1023" i="489"/>
  <c r="AX1032" i="489" s="1"/>
  <c r="CZ1018" i="489"/>
  <c r="AK1182" i="489"/>
  <c r="AK1190" i="489" s="1"/>
  <c r="AK1207" i="489" s="1"/>
  <c r="AQ1247" i="489"/>
  <c r="AQ1256" i="489" s="1"/>
  <c r="AJ1102" i="489"/>
  <c r="AJ1106" i="489" s="1"/>
  <c r="AJ1123" i="489" s="1"/>
  <c r="DC1127" i="489"/>
  <c r="L24" i="105"/>
  <c r="CF1239" i="489"/>
  <c r="DE1222" i="489"/>
  <c r="CG1250" i="489"/>
  <c r="CG1256" i="489" s="1"/>
  <c r="V1154" i="489"/>
  <c r="AK1219" i="489"/>
  <c r="AK1228" i="489" s="1"/>
  <c r="C1139" i="489"/>
  <c r="DF1221" i="489"/>
  <c r="DF1228" i="489" s="1"/>
  <c r="C116" i="489"/>
  <c r="DD1126" i="489"/>
  <c r="DD1134" i="489" s="1"/>
  <c r="DD1151" i="489" s="1"/>
  <c r="B1019" i="489"/>
  <c r="CF1182" i="489"/>
  <c r="CF1190" i="489" s="1"/>
  <c r="CT1247" i="489"/>
  <c r="CT1256" i="489" s="1"/>
  <c r="CT1263" i="489" s="1"/>
  <c r="BM1170" i="489"/>
  <c r="BM1172" i="489" s="1"/>
  <c r="BM216" i="489"/>
  <c r="AX1013" i="489"/>
  <c r="AX1022" i="489" s="1"/>
  <c r="CZ1045" i="489"/>
  <c r="B1002" i="489"/>
  <c r="EW1017" i="489"/>
  <c r="EW1022" i="489" s="1"/>
  <c r="EW1039" i="489" s="1"/>
  <c r="DE1111" i="489"/>
  <c r="CG1127" i="489"/>
  <c r="CG1134" i="489" s="1"/>
  <c r="AT1080" i="489"/>
  <c r="BS1239" i="489"/>
  <c r="CQ1139" i="489"/>
  <c r="C1111" i="489"/>
  <c r="CF1210" i="489"/>
  <c r="E19" i="127"/>
  <c r="F19" i="127" s="1"/>
  <c r="I305" i="147"/>
  <c r="AU458" i="147"/>
  <c r="U1239" i="489"/>
  <c r="U1246" i="489" s="1"/>
  <c r="DF1182" i="489"/>
  <c r="DF1190" i="489" s="1"/>
  <c r="DF1207" i="489" s="1"/>
  <c r="B1030" i="489"/>
  <c r="CF1221" i="489"/>
  <c r="CF1228" i="489" s="1"/>
  <c r="BS1248" i="489"/>
  <c r="AX1247" i="489"/>
  <c r="AX1256" i="489" s="1"/>
  <c r="AX1263" i="489" s="1"/>
  <c r="DC1042" i="489"/>
  <c r="DC1050" i="489" s="1"/>
  <c r="CZ1102" i="489"/>
  <c r="B992" i="489"/>
  <c r="AE1248" i="489"/>
  <c r="B1135" i="489"/>
  <c r="AL1013" i="489"/>
  <c r="AL1022" i="489" s="1"/>
  <c r="CA986" i="489"/>
  <c r="CA994" i="489" s="1"/>
  <c r="CA1264" i="489" s="1"/>
  <c r="AH1013" i="489"/>
  <c r="EW988" i="489"/>
  <c r="CZ1074" i="489"/>
  <c r="V1127" i="489"/>
  <c r="BR1219" i="489"/>
  <c r="EW1253" i="489"/>
  <c r="CZ1191" i="489"/>
  <c r="DL1220" i="489"/>
  <c r="DL1228" i="489" s="1"/>
  <c r="DL1235" i="489" s="1"/>
  <c r="E19" i="98"/>
  <c r="F19" i="98" s="1"/>
  <c r="F23" i="98" s="1"/>
  <c r="F24" i="98" s="1"/>
  <c r="F28" i="98" s="1"/>
  <c r="I288" i="147" s="1"/>
  <c r="I285" i="147"/>
  <c r="BN1030" i="489"/>
  <c r="BN1032" i="489" s="1"/>
  <c r="EY64" i="489"/>
  <c r="BN66" i="489"/>
  <c r="CB266" i="489"/>
  <c r="CB1210" i="489"/>
  <c r="CB1218" i="489" s="1"/>
  <c r="AX1108" i="489"/>
  <c r="AX1116" i="489" s="1"/>
  <c r="AX1123" i="489" s="1"/>
  <c r="CB1015" i="489"/>
  <c r="CB1022" i="489" s="1"/>
  <c r="DC989" i="489"/>
  <c r="EV1140" i="489"/>
  <c r="B1243" i="489"/>
  <c r="BR992" i="489"/>
  <c r="EY24" i="489"/>
  <c r="CB1182" i="489"/>
  <c r="CB1190" i="489" s="1"/>
  <c r="CB1207" i="489" s="1"/>
  <c r="C96" i="489"/>
  <c r="C1086" i="489"/>
  <c r="C66" i="489"/>
  <c r="CZ1185" i="489"/>
  <c r="B1198" i="489"/>
  <c r="CZ1215" i="489"/>
  <c r="AL1247" i="489"/>
  <c r="AH1247" i="489"/>
  <c r="AH1256" i="489" s="1"/>
  <c r="EW1072" i="489"/>
  <c r="EW1078" i="489" s="1"/>
  <c r="CZ1242" i="489"/>
  <c r="V986" i="489"/>
  <c r="C56" i="489"/>
  <c r="C1074" i="489"/>
  <c r="V1250" i="489"/>
  <c r="V1256" i="489" s="1"/>
  <c r="EW1141" i="489"/>
  <c r="CZ1209" i="489"/>
  <c r="C206" i="489"/>
  <c r="CQ1191" i="489"/>
  <c r="CQ1200" i="489" s="1"/>
  <c r="CQ1207" i="489" s="1"/>
  <c r="CN991" i="489"/>
  <c r="CN994" i="489" s="1"/>
  <c r="CN1011" i="489" s="1"/>
  <c r="BN1019" i="489"/>
  <c r="EY53" i="489"/>
  <c r="CB1054" i="489"/>
  <c r="DC1237" i="489"/>
  <c r="B1142" i="489"/>
  <c r="BR1002" i="489"/>
  <c r="CB1221" i="489"/>
  <c r="AT1220" i="489"/>
  <c r="AT1228" i="489" s="1"/>
  <c r="AT1235" i="489" s="1"/>
  <c r="C156" i="489"/>
  <c r="C1159" i="489"/>
  <c r="C186" i="489"/>
  <c r="CZ1130" i="489"/>
  <c r="B1103" i="489"/>
  <c r="CZ1254" i="489"/>
  <c r="EW1044" i="489"/>
  <c r="CZ1158" i="489"/>
  <c r="C306" i="489"/>
  <c r="CQ1111" i="489"/>
  <c r="BR1195" i="489"/>
  <c r="CQ266" i="489"/>
  <c r="CQ1209" i="489"/>
  <c r="BN1142" i="489"/>
  <c r="BN186" i="489"/>
  <c r="AF1080" i="489"/>
  <c r="AF1088" i="489" s="1"/>
  <c r="AF1095" i="489" s="1"/>
  <c r="AQ266" i="489"/>
  <c r="AQ1209" i="489"/>
  <c r="AQ1218" i="489" s="1"/>
  <c r="EV1112" i="489"/>
  <c r="B1131" i="489"/>
  <c r="CF1126" i="489"/>
  <c r="CF1134" i="489" s="1"/>
  <c r="BR1114" i="489"/>
  <c r="C246" i="489"/>
  <c r="C1170" i="489"/>
  <c r="B1114" i="489"/>
  <c r="AF1192" i="489"/>
  <c r="AF1200" i="489" s="1"/>
  <c r="AF1207" i="489" s="1"/>
  <c r="C176" i="489"/>
  <c r="BK1254" i="489"/>
  <c r="BK1256" i="489" s="1"/>
  <c r="EY304" i="489"/>
  <c r="BK306" i="489"/>
  <c r="DU1219" i="489"/>
  <c r="DU1228" i="489" s="1"/>
  <c r="DU1235" i="489" s="1"/>
  <c r="L24" i="99"/>
  <c r="EW1157" i="489"/>
  <c r="CF1079" i="489"/>
  <c r="C1158" i="489"/>
  <c r="CZ1251" i="489"/>
  <c r="U986" i="489"/>
  <c r="EW1113" i="489"/>
  <c r="CQ1214" i="489"/>
  <c r="N1154" i="489"/>
  <c r="N1162" i="489" s="1"/>
  <c r="AK1080" i="489"/>
  <c r="AK1088" i="489" s="1"/>
  <c r="CZ991" i="489"/>
  <c r="BR1251" i="489"/>
  <c r="D1024" i="489"/>
  <c r="B1183" i="489"/>
  <c r="BN1131" i="489"/>
  <c r="EY173" i="489"/>
  <c r="CB1136" i="489"/>
  <c r="CB1144" i="489" s="1"/>
  <c r="CB1151" i="489" s="1"/>
  <c r="B991" i="489"/>
  <c r="BR1198" i="489"/>
  <c r="EY244" i="489"/>
  <c r="U1126" i="489"/>
  <c r="U1134" i="489" s="1"/>
  <c r="U1151" i="489" s="1"/>
  <c r="C992" i="489"/>
  <c r="BK266" i="489"/>
  <c r="BK1215" i="489"/>
  <c r="BK1218" i="489" s="1"/>
  <c r="CZ1139" i="489"/>
  <c r="BR1139" i="489"/>
  <c r="E33" i="207"/>
  <c r="F33" i="207" s="1"/>
  <c r="F34" i="207" s="1"/>
  <c r="F36" i="207" s="1"/>
  <c r="F40" i="207" s="1"/>
  <c r="I198" i="147" s="1"/>
  <c r="I250" i="147"/>
  <c r="BN1243" i="489"/>
  <c r="EY293" i="489"/>
  <c r="DV1013" i="489"/>
  <c r="DV1022" i="489" s="1"/>
  <c r="C146" i="489"/>
  <c r="BT1138" i="489"/>
  <c r="BT1144" i="489" s="1"/>
  <c r="BT1151" i="489" s="1"/>
  <c r="V1155" i="489"/>
  <c r="CV1013" i="489"/>
  <c r="CV1022" i="489" s="1"/>
  <c r="V1015" i="489"/>
  <c r="AE989" i="489"/>
  <c r="AE994" i="489" s="1"/>
  <c r="BR1103" i="489"/>
  <c r="C1002" i="489"/>
  <c r="AQ1182" i="489"/>
  <c r="AQ1190" i="489" s="1"/>
  <c r="EW1129" i="489"/>
  <c r="EW1134" i="489" s="1"/>
  <c r="DS1095" i="489"/>
  <c r="DS1265" i="489"/>
  <c r="DS1267" i="489" s="1"/>
  <c r="DC1209" i="489"/>
  <c r="AE1239" i="489"/>
  <c r="CQ1222" i="489"/>
  <c r="AQ1079" i="489"/>
  <c r="V1099" i="489"/>
  <c r="DV1247" i="489"/>
  <c r="DV1256" i="489" s="1"/>
  <c r="DV1263" i="489" s="1"/>
  <c r="C1019" i="489"/>
  <c r="BT266" i="489"/>
  <c r="BT1211" i="489"/>
  <c r="CV1247" i="489"/>
  <c r="CV1256" i="489" s="1"/>
  <c r="CV1263" i="489" s="1"/>
  <c r="V1054" i="489"/>
  <c r="V1060" i="489" s="1"/>
  <c r="AE1237" i="489"/>
  <c r="DF1080" i="489"/>
  <c r="DF1088" i="489" s="1"/>
  <c r="AF266" i="489"/>
  <c r="AF1209" i="489"/>
  <c r="AF1218" i="489" s="1"/>
  <c r="AF1264" i="489" s="1"/>
  <c r="CA998" i="489"/>
  <c r="CA1004" i="489" s="1"/>
  <c r="AJ1018" i="489"/>
  <c r="AJ1022" i="489" s="1"/>
  <c r="AJ1039" i="489" s="1"/>
  <c r="D1238" i="489"/>
  <c r="EW266" i="489"/>
  <c r="EW1213" i="489"/>
  <c r="C922" i="489"/>
  <c r="C906" i="489"/>
  <c r="G861" i="489"/>
  <c r="F861" i="489"/>
  <c r="F843" i="489"/>
  <c r="G851" i="489"/>
  <c r="F851" i="489"/>
  <c r="F821" i="489"/>
  <c r="F891" i="489"/>
  <c r="G891" i="489"/>
  <c r="F833" i="489"/>
  <c r="G779" i="489"/>
  <c r="F779" i="489"/>
  <c r="AE1249" i="489"/>
  <c r="EY299" i="489"/>
  <c r="CS186" i="489"/>
  <c r="P36" i="489"/>
  <c r="P43" i="489" s="1"/>
  <c r="DF246" i="489"/>
  <c r="DF253" i="489" s="1"/>
  <c r="DF334" i="489" s="1"/>
  <c r="AE1023" i="489"/>
  <c r="AE1032" i="489" s="1"/>
  <c r="AE1039" i="489" s="1"/>
  <c r="AX316" i="489"/>
  <c r="D1137" i="489"/>
  <c r="DR986" i="489"/>
  <c r="DR994" i="489" s="1"/>
  <c r="DR1011" i="489" s="1"/>
  <c r="U1078" i="489"/>
  <c r="L186" i="489"/>
  <c r="AH1026" i="489"/>
  <c r="AH1032" i="489" s="1"/>
  <c r="U1082" i="489"/>
  <c r="U1088" i="489" s="1"/>
  <c r="EY120" i="489"/>
  <c r="AT1192" i="489"/>
  <c r="AT1200" i="489" s="1"/>
  <c r="AT1207" i="489" s="1"/>
  <c r="EV236" i="489"/>
  <c r="AK1137" i="489"/>
  <c r="DX691" i="147"/>
  <c r="AH116" i="489"/>
  <c r="EV1183" i="489"/>
  <c r="EV1190" i="489" s="1"/>
  <c r="EV1207" i="489" s="1"/>
  <c r="DD313" i="489"/>
  <c r="DD336" i="489" s="1"/>
  <c r="D1069" i="489"/>
  <c r="DX690" i="147"/>
  <c r="AE36" i="489"/>
  <c r="DX644" i="147"/>
  <c r="DX645" i="147"/>
  <c r="DX646" i="147"/>
  <c r="DX647" i="147"/>
  <c r="DX648" i="147"/>
  <c r="DX649" i="147"/>
  <c r="DX650" i="147"/>
  <c r="DX655" i="147"/>
  <c r="DX651" i="147"/>
  <c r="DX652" i="147"/>
  <c r="DX653" i="147"/>
  <c r="DX654" i="147"/>
  <c r="DX656" i="147"/>
  <c r="DX657" i="147"/>
  <c r="DX658" i="147"/>
  <c r="DX659" i="147"/>
  <c r="DX661" i="147"/>
  <c r="DX667" i="147"/>
  <c r="DX668" i="147"/>
  <c r="DX669" i="147"/>
  <c r="DX670" i="147"/>
  <c r="DX671" i="147"/>
  <c r="DX662" i="147"/>
  <c r="DX663" i="147"/>
  <c r="DX664" i="147"/>
  <c r="DX665" i="147"/>
  <c r="DX666" i="147"/>
  <c r="DX660" i="147"/>
  <c r="DX672" i="147"/>
  <c r="DX673" i="147"/>
  <c r="DX674" i="147"/>
  <c r="DX675" i="147"/>
  <c r="DX676" i="147"/>
  <c r="DX678" i="147"/>
  <c r="DX679" i="147"/>
  <c r="DX680" i="147"/>
  <c r="DX682" i="147"/>
  <c r="DX683" i="147"/>
  <c r="DX684" i="147"/>
  <c r="DX677" i="147"/>
  <c r="DX685" i="147"/>
  <c r="DX686" i="147"/>
  <c r="DX693" i="147"/>
  <c r="DX692" i="147"/>
  <c r="DX694" i="147"/>
  <c r="DX695" i="147"/>
  <c r="DX696" i="147"/>
  <c r="DX697" i="147"/>
  <c r="DX698" i="147"/>
  <c r="DX699" i="147"/>
  <c r="DX700" i="147"/>
  <c r="DX701" i="147"/>
  <c r="DX702" i="147"/>
  <c r="DX703" i="147"/>
  <c r="DX704" i="147"/>
  <c r="DX706" i="147"/>
  <c r="DX707" i="147"/>
  <c r="DX708" i="147"/>
  <c r="DX709" i="147"/>
  <c r="DX710" i="147"/>
  <c r="DX711" i="147"/>
  <c r="DX712" i="147"/>
  <c r="DX713" i="147"/>
  <c r="DX714" i="147"/>
  <c r="DX715" i="147"/>
  <c r="DX716" i="147"/>
  <c r="DX705" i="147"/>
  <c r="DX717" i="147"/>
  <c r="DX718" i="147"/>
  <c r="DX719" i="147"/>
  <c r="DX720" i="147"/>
  <c r="DX721" i="147"/>
  <c r="DX722" i="147"/>
  <c r="DX723" i="147"/>
  <c r="DX724" i="147"/>
  <c r="DX725" i="147"/>
  <c r="DX726" i="147"/>
  <c r="DX727" i="147"/>
  <c r="DX728" i="147"/>
  <c r="DX729" i="147"/>
  <c r="DX730" i="147"/>
  <c r="DX731" i="147"/>
  <c r="DX732" i="147"/>
  <c r="DX733" i="147"/>
  <c r="DX734" i="147"/>
  <c r="DX735" i="147"/>
  <c r="DX736" i="147"/>
  <c r="EB644" i="147"/>
  <c r="EB645" i="147"/>
  <c r="EB646" i="147"/>
  <c r="EB647" i="147"/>
  <c r="EB648" i="147"/>
  <c r="EB651" i="147"/>
  <c r="EB652" i="147"/>
  <c r="EB653" i="147"/>
  <c r="EB654" i="147"/>
  <c r="EB655" i="147"/>
  <c r="EB649" i="147"/>
  <c r="EB650" i="147"/>
  <c r="EB658" i="147"/>
  <c r="EB659" i="147"/>
  <c r="EB660" i="147"/>
  <c r="EB661" i="147"/>
  <c r="EB657" i="147"/>
  <c r="EB662" i="147"/>
  <c r="EB663" i="147"/>
  <c r="EB664" i="147"/>
  <c r="EB665" i="147"/>
  <c r="EB666" i="147"/>
  <c r="EB656" i="147"/>
  <c r="EB667" i="147"/>
  <c r="EB668" i="147"/>
  <c r="EB669" i="147"/>
  <c r="EB670" i="147"/>
  <c r="EB671" i="147"/>
  <c r="EB672" i="147"/>
  <c r="EB673" i="147"/>
  <c r="EB674" i="147"/>
  <c r="EB675" i="147"/>
  <c r="EB676" i="147"/>
  <c r="EB677" i="147"/>
  <c r="EB678" i="147"/>
  <c r="EB679" i="147"/>
  <c r="EB680" i="147"/>
  <c r="EB681" i="147"/>
  <c r="EB682" i="147"/>
  <c r="EB684" i="147"/>
  <c r="EB685" i="147"/>
  <c r="EB686" i="147"/>
  <c r="EB687" i="147"/>
  <c r="EB688" i="147"/>
  <c r="EB690" i="147"/>
  <c r="EB691" i="147"/>
  <c r="EB683" i="147"/>
  <c r="EB694" i="147"/>
  <c r="EB695" i="147"/>
  <c r="EB696" i="147"/>
  <c r="EB697" i="147"/>
  <c r="EB698" i="147"/>
  <c r="EB699" i="147"/>
  <c r="EB700" i="147"/>
  <c r="EB701" i="147"/>
  <c r="EB692" i="147"/>
  <c r="EB705" i="147"/>
  <c r="EB706" i="147"/>
  <c r="EB707" i="147"/>
  <c r="EB708" i="147"/>
  <c r="EB709" i="147"/>
  <c r="EB710" i="147"/>
  <c r="EB711" i="147"/>
  <c r="EB712" i="147"/>
  <c r="EB713" i="147"/>
  <c r="EB714" i="147"/>
  <c r="EB715" i="147"/>
  <c r="EB716" i="147"/>
  <c r="EB703" i="147"/>
  <c r="EB704" i="147"/>
  <c r="EB693" i="147"/>
  <c r="EB702" i="147"/>
  <c r="EB717" i="147"/>
  <c r="EB718" i="147"/>
  <c r="EB719" i="147"/>
  <c r="EB720" i="147"/>
  <c r="EB721" i="147"/>
  <c r="EB722" i="147"/>
  <c r="EB723" i="147"/>
  <c r="EB724" i="147"/>
  <c r="EB725" i="147"/>
  <c r="EB726" i="147"/>
  <c r="EB727" i="147"/>
  <c r="EB728" i="147"/>
  <c r="EB729" i="147"/>
  <c r="EB730" i="147"/>
  <c r="EB731" i="147"/>
  <c r="EB732" i="147"/>
  <c r="EB733" i="147"/>
  <c r="EB734" i="147"/>
  <c r="EB735" i="147"/>
  <c r="EB736" i="147"/>
  <c r="DX681" i="147"/>
  <c r="DX687" i="147"/>
  <c r="V741" i="147"/>
  <c r="B1210" i="489"/>
  <c r="Y1228" i="489"/>
  <c r="EX741" i="147"/>
  <c r="J313" i="489"/>
  <c r="J336" i="489" s="1"/>
  <c r="AE741" i="147"/>
  <c r="V1073" i="489"/>
  <c r="DK741" i="147"/>
  <c r="CQ741" i="147"/>
  <c r="DT741" i="147"/>
  <c r="AG741" i="147"/>
  <c r="Z741" i="147"/>
  <c r="P741" i="147"/>
  <c r="EW741" i="147"/>
  <c r="DS741" i="147"/>
  <c r="DQ741" i="147"/>
  <c r="CI741" i="147"/>
  <c r="O741" i="147"/>
  <c r="EP741" i="147"/>
  <c r="EH741" i="147"/>
  <c r="DB741" i="147"/>
  <c r="CH741" i="147"/>
  <c r="BV741" i="147"/>
  <c r="BP741" i="147"/>
  <c r="BE741" i="147"/>
  <c r="AW741" i="147"/>
  <c r="EQ741" i="147"/>
  <c r="EO741" i="147"/>
  <c r="EI741" i="147"/>
  <c r="EG741" i="147"/>
  <c r="DZ741" i="147"/>
  <c r="BO741" i="147"/>
  <c r="BD741" i="147"/>
  <c r="AV741" i="147"/>
  <c r="DP741" i="147"/>
  <c r="DH741" i="147"/>
  <c r="AQ741" i="147"/>
  <c r="CU741" i="147"/>
  <c r="BY741" i="147"/>
  <c r="AR741" i="147"/>
  <c r="Q741" i="147"/>
  <c r="DY741" i="147"/>
  <c r="DD741" i="147"/>
  <c r="CR741" i="147"/>
  <c r="BZ741" i="147"/>
  <c r="BT741" i="147"/>
  <c r="BL741" i="147"/>
  <c r="AI741" i="147"/>
  <c r="DA741" i="147"/>
  <c r="CK741" i="147"/>
  <c r="BW741" i="147"/>
  <c r="AC741" i="147"/>
  <c r="ER741" i="147"/>
  <c r="EJ741" i="147"/>
  <c r="EA741" i="147"/>
  <c r="CV741" i="147"/>
  <c r="CJ741" i="147"/>
  <c r="BR741" i="147"/>
  <c r="BJ741" i="147"/>
  <c r="AY741" i="147"/>
  <c r="R741" i="147"/>
  <c r="CO741" i="147"/>
  <c r="CM741" i="147"/>
  <c r="CA741" i="147"/>
  <c r="BQ741" i="147"/>
  <c r="BK741" i="147"/>
  <c r="BI741" i="147"/>
  <c r="DR741" i="147"/>
  <c r="AM741" i="147"/>
  <c r="DG741" i="147"/>
  <c r="AX741" i="147"/>
  <c r="AT741" i="147"/>
  <c r="AN741" i="147"/>
  <c r="AJ741" i="147"/>
  <c r="DJ741" i="147"/>
  <c r="CL741" i="147"/>
  <c r="CD741" i="147"/>
  <c r="CB741" i="147"/>
  <c r="BC741" i="147"/>
  <c r="BA741" i="147"/>
  <c r="AS741" i="147"/>
  <c r="L741" i="147"/>
  <c r="DO741" i="147"/>
  <c r="DM741" i="147"/>
  <c r="M741" i="147"/>
  <c r="ET741" i="147"/>
  <c r="EL741" i="147"/>
  <c r="ED741" i="147"/>
  <c r="CN741" i="147"/>
  <c r="AK741" i="147"/>
  <c r="T741" i="147"/>
  <c r="N741" i="147"/>
  <c r="EU741" i="147"/>
  <c r="EM741" i="147"/>
  <c r="EE741" i="147"/>
  <c r="DE741" i="147"/>
  <c r="CC741" i="147"/>
  <c r="AZ741" i="147"/>
  <c r="AP741" i="147"/>
  <c r="AH741" i="147"/>
  <c r="AF741" i="147"/>
  <c r="DL741" i="147"/>
  <c r="CT741" i="147"/>
  <c r="DU741" i="147"/>
  <c r="BU741" i="147"/>
  <c r="K741" i="147"/>
  <c r="EV741" i="147"/>
  <c r="CX741" i="147"/>
  <c r="CF741" i="147"/>
  <c r="AO741" i="147"/>
  <c r="AD741" i="147"/>
  <c r="ES741" i="147"/>
  <c r="EK741" i="147"/>
  <c r="EC741" i="147"/>
  <c r="DW741" i="147"/>
  <c r="CY741" i="147"/>
  <c r="CW741" i="147"/>
  <c r="CG741" i="147"/>
  <c r="CE741" i="147"/>
  <c r="EN741" i="147"/>
  <c r="EF741" i="147"/>
  <c r="BN741" i="147"/>
  <c r="X741" i="147"/>
  <c r="DI741" i="147"/>
  <c r="BM741" i="147"/>
  <c r="BB741" i="147"/>
  <c r="AL741" i="147"/>
  <c r="S741" i="147"/>
  <c r="DV741" i="147"/>
  <c r="DN741" i="147"/>
  <c r="CP741" i="147"/>
  <c r="BX741" i="147"/>
  <c r="CZ741" i="147"/>
  <c r="EB375" i="147"/>
  <c r="EB376" i="147"/>
  <c r="EB377" i="147"/>
  <c r="EB378" i="147"/>
  <c r="EB379" i="147"/>
  <c r="EB380" i="147"/>
  <c r="EB381" i="147"/>
  <c r="EB382" i="147"/>
  <c r="EB383" i="147"/>
  <c r="EB384" i="147"/>
  <c r="EB385" i="147"/>
  <c r="EB400" i="147"/>
  <c r="EB401" i="147"/>
  <c r="EB402" i="147"/>
  <c r="EB403" i="147"/>
  <c r="EB404" i="147"/>
  <c r="EB405" i="147"/>
  <c r="EB406" i="147"/>
  <c r="EB407" i="147"/>
  <c r="EB408" i="147"/>
  <c r="EB409" i="147"/>
  <c r="EB410" i="147"/>
  <c r="EB411" i="147"/>
  <c r="EB412" i="147"/>
  <c r="EB413" i="147"/>
  <c r="EB414" i="147"/>
  <c r="EB415" i="147"/>
  <c r="EB416" i="147"/>
  <c r="EB417" i="147"/>
  <c r="EB418" i="147"/>
  <c r="EB419" i="147"/>
  <c r="EB420" i="147"/>
  <c r="EB421" i="147"/>
  <c r="EB422" i="147"/>
  <c r="EB423" i="147"/>
  <c r="EB424" i="147"/>
  <c r="EB425" i="147"/>
  <c r="EB426" i="147"/>
  <c r="EB427" i="147"/>
  <c r="EB386" i="147"/>
  <c r="EB387" i="147"/>
  <c r="EB388" i="147"/>
  <c r="EB389" i="147"/>
  <c r="EB390" i="147"/>
  <c r="EB391" i="147"/>
  <c r="EB392" i="147"/>
  <c r="EB393" i="147"/>
  <c r="EB394" i="147"/>
  <c r="EB395" i="147"/>
  <c r="EB396" i="147"/>
  <c r="EB397" i="147"/>
  <c r="EB398" i="147"/>
  <c r="EB399" i="147"/>
  <c r="EB428" i="147"/>
  <c r="EB429" i="147"/>
  <c r="EB430" i="147"/>
  <c r="EB431" i="147"/>
  <c r="EB432" i="147"/>
  <c r="EB433" i="147"/>
  <c r="EB434" i="147"/>
  <c r="EB435" i="147"/>
  <c r="EB436" i="147"/>
  <c r="EB437" i="147"/>
  <c r="EB438" i="147"/>
  <c r="EB439" i="147"/>
  <c r="EB440" i="147"/>
  <c r="EB441" i="147"/>
  <c r="EB442" i="147"/>
  <c r="EB443" i="147"/>
  <c r="EB444" i="147"/>
  <c r="EB445" i="147"/>
  <c r="EB446" i="147"/>
  <c r="EB447" i="147"/>
  <c r="EB448" i="147"/>
  <c r="EB449" i="147"/>
  <c r="EB450" i="147"/>
  <c r="EB451" i="147"/>
  <c r="EB452" i="147"/>
  <c r="EB453" i="147"/>
  <c r="EB454" i="147"/>
  <c r="EB455" i="147"/>
  <c r="EB456" i="147"/>
  <c r="EB457" i="147"/>
  <c r="EB458" i="147"/>
  <c r="EB459" i="147"/>
  <c r="EB460" i="147"/>
  <c r="EB461" i="147"/>
  <c r="EB462" i="147"/>
  <c r="EB463" i="147"/>
  <c r="EB464" i="147"/>
  <c r="EB465" i="147"/>
  <c r="EB466" i="147"/>
  <c r="EB467" i="147"/>
  <c r="EB468" i="147"/>
  <c r="EB469" i="147"/>
  <c r="EB470" i="147"/>
  <c r="EB471" i="147"/>
  <c r="EB472" i="147"/>
  <c r="EB473" i="147"/>
  <c r="EB474" i="147"/>
  <c r="EB475" i="147"/>
  <c r="EB476" i="147"/>
  <c r="EB477" i="147"/>
  <c r="EB478" i="147"/>
  <c r="EB479" i="147"/>
  <c r="EB480" i="147"/>
  <c r="EB481" i="147"/>
  <c r="EB482" i="147"/>
  <c r="EB483" i="147"/>
  <c r="EB484" i="147"/>
  <c r="EB485" i="147"/>
  <c r="EB486" i="147"/>
  <c r="EB487" i="147"/>
  <c r="EB488" i="147"/>
  <c r="EB489" i="147"/>
  <c r="EB490" i="147"/>
  <c r="EB491" i="147"/>
  <c r="EB492" i="147"/>
  <c r="EB493" i="147"/>
  <c r="EB494" i="147"/>
  <c r="EB495" i="147"/>
  <c r="EB496" i="147"/>
  <c r="EB497" i="147"/>
  <c r="EB498" i="147"/>
  <c r="EB499" i="147"/>
  <c r="EB500" i="147"/>
  <c r="EB501" i="147"/>
  <c r="EB502" i="147"/>
  <c r="EB503" i="147"/>
  <c r="EB504" i="147"/>
  <c r="EB505" i="147"/>
  <c r="EB506" i="147"/>
  <c r="EB507" i="147"/>
  <c r="EB508" i="147"/>
  <c r="EB509" i="147"/>
  <c r="EB510" i="147"/>
  <c r="EB511" i="147"/>
  <c r="EB512" i="147"/>
  <c r="EB513" i="147"/>
  <c r="EB514" i="147"/>
  <c r="EB515" i="147"/>
  <c r="EB516" i="147"/>
  <c r="EB517" i="147"/>
  <c r="EB518" i="147"/>
  <c r="EB519" i="147"/>
  <c r="EB520" i="147"/>
  <c r="EB521" i="147"/>
  <c r="EB522" i="147"/>
  <c r="EB523" i="147"/>
  <c r="EB524" i="147"/>
  <c r="EB525" i="147"/>
  <c r="EB526" i="147"/>
  <c r="EB527" i="147"/>
  <c r="EB528" i="147"/>
  <c r="EB529" i="147"/>
  <c r="EB530" i="147"/>
  <c r="EB531" i="147"/>
  <c r="EB532" i="147"/>
  <c r="EB533" i="147"/>
  <c r="EB534" i="147"/>
  <c r="EB535" i="147"/>
  <c r="EB536" i="147"/>
  <c r="EB537" i="147"/>
  <c r="EB538" i="147"/>
  <c r="EB539" i="147"/>
  <c r="EB540" i="147"/>
  <c r="EB541" i="147"/>
  <c r="EB542" i="147"/>
  <c r="EB543" i="147"/>
  <c r="EB544" i="147"/>
  <c r="EB545" i="147"/>
  <c r="EB546" i="147"/>
  <c r="EB547" i="147"/>
  <c r="EB548" i="147"/>
  <c r="EB549" i="147"/>
  <c r="EB550" i="147"/>
  <c r="EB551" i="147"/>
  <c r="EB552" i="147"/>
  <c r="EB553" i="147"/>
  <c r="EB554" i="147"/>
  <c r="EB555" i="147"/>
  <c r="EB556" i="147"/>
  <c r="EB557" i="147"/>
  <c r="EB558" i="147"/>
  <c r="EB559" i="147"/>
  <c r="EB560" i="147"/>
  <c r="EB561" i="147"/>
  <c r="EB562" i="147"/>
  <c r="EB563" i="147"/>
  <c r="EB564" i="147"/>
  <c r="EB565" i="147"/>
  <c r="EB566" i="147"/>
  <c r="EB568" i="147"/>
  <c r="EB569" i="147"/>
  <c r="EB570" i="147"/>
  <c r="EB571" i="147"/>
  <c r="EB572" i="147"/>
  <c r="EB573" i="147"/>
  <c r="EB574" i="147"/>
  <c r="EB575" i="147"/>
  <c r="EB576" i="147"/>
  <c r="EB577" i="147"/>
  <c r="EB578" i="147"/>
  <c r="EB579" i="147"/>
  <c r="EB580" i="147"/>
  <c r="EB581" i="147"/>
  <c r="EB582" i="147"/>
  <c r="EB583" i="147"/>
  <c r="EB584" i="147"/>
  <c r="EB585" i="147"/>
  <c r="EB586" i="147"/>
  <c r="EB587" i="147"/>
  <c r="EB588" i="147"/>
  <c r="EB589" i="147"/>
  <c r="EB590" i="147"/>
  <c r="EB591" i="147"/>
  <c r="EB592" i="147"/>
  <c r="EB593" i="147"/>
  <c r="EB594" i="147"/>
  <c r="EB595" i="147"/>
  <c r="EB596" i="147"/>
  <c r="EB597" i="147"/>
  <c r="EB598" i="147"/>
  <c r="EB600" i="147"/>
  <c r="EB601" i="147"/>
  <c r="EB602" i="147"/>
  <c r="EB603" i="147"/>
  <c r="EB604" i="147"/>
  <c r="EB605" i="147"/>
  <c r="EB606" i="147"/>
  <c r="EB607" i="147"/>
  <c r="EB608" i="147"/>
  <c r="EB609" i="147"/>
  <c r="EB610" i="147"/>
  <c r="EB611" i="147"/>
  <c r="EB612" i="147"/>
  <c r="EB613" i="147"/>
  <c r="EB614" i="147"/>
  <c r="EB615" i="147"/>
  <c r="EB616" i="147"/>
  <c r="EB617" i="147"/>
  <c r="EB618" i="147"/>
  <c r="EB619" i="147"/>
  <c r="EB620" i="147"/>
  <c r="EB621" i="147"/>
  <c r="EB622" i="147"/>
  <c r="EB623" i="147"/>
  <c r="EB624" i="147"/>
  <c r="EB625" i="147"/>
  <c r="EB626" i="147"/>
  <c r="EB627" i="147"/>
  <c r="EB628" i="147"/>
  <c r="EB629" i="147"/>
  <c r="EB631" i="147"/>
  <c r="EB632" i="147"/>
  <c r="EB633" i="147"/>
  <c r="EB634" i="147"/>
  <c r="EB635" i="147"/>
  <c r="EB636" i="147"/>
  <c r="EB637" i="147"/>
  <c r="EB638" i="147"/>
  <c r="EB639" i="147"/>
  <c r="EB640" i="147"/>
  <c r="EB641" i="147"/>
  <c r="EB642" i="147"/>
  <c r="EB643" i="147"/>
  <c r="U371" i="147"/>
  <c r="U607" i="147"/>
  <c r="U741" i="147" s="1"/>
  <c r="AU447" i="147"/>
  <c r="EY227" i="147"/>
  <c r="DC597" i="147"/>
  <c r="DC596" i="147"/>
  <c r="EY53" i="147"/>
  <c r="AU423" i="147"/>
  <c r="EY56" i="147"/>
  <c r="AU426" i="147"/>
  <c r="DC1247" i="489"/>
  <c r="DC413" i="147"/>
  <c r="DX375" i="147"/>
  <c r="DX376" i="147"/>
  <c r="DX377" i="147"/>
  <c r="DX378" i="147"/>
  <c r="DX379" i="147"/>
  <c r="DX380" i="147"/>
  <c r="DX381" i="147"/>
  <c r="DX382" i="147"/>
  <c r="DX383" i="147"/>
  <c r="DX384" i="147"/>
  <c r="DX385" i="147"/>
  <c r="DX400" i="147"/>
  <c r="DX401" i="147"/>
  <c r="DX402" i="147"/>
  <c r="DX403" i="147"/>
  <c r="DX404" i="147"/>
  <c r="DX405" i="147"/>
  <c r="DX406" i="147"/>
  <c r="DX407" i="147"/>
  <c r="DX408" i="147"/>
  <c r="DX409" i="147"/>
  <c r="DX410" i="147"/>
  <c r="DX411" i="147"/>
  <c r="DX412" i="147"/>
  <c r="DX413" i="147"/>
  <c r="DX414" i="147"/>
  <c r="DX415" i="147"/>
  <c r="DX416" i="147"/>
  <c r="DX417" i="147"/>
  <c r="DX418" i="147"/>
  <c r="DX419" i="147"/>
  <c r="DX420" i="147"/>
  <c r="DX421" i="147"/>
  <c r="DX422" i="147"/>
  <c r="DX423" i="147"/>
  <c r="DX424" i="147"/>
  <c r="DX425" i="147"/>
  <c r="DX426" i="147"/>
  <c r="DX427" i="147"/>
  <c r="DX428" i="147"/>
  <c r="DX429" i="147"/>
  <c r="DX430" i="147"/>
  <c r="DX431" i="147"/>
  <c r="DX432" i="147"/>
  <c r="DX433" i="147"/>
  <c r="DX434" i="147"/>
  <c r="DX435" i="147"/>
  <c r="DX436" i="147"/>
  <c r="DX437" i="147"/>
  <c r="DX438" i="147"/>
  <c r="DX439" i="147"/>
  <c r="DX440" i="147"/>
  <c r="DX441" i="147"/>
  <c r="DX442" i="147"/>
  <c r="DX443" i="147"/>
  <c r="DX444" i="147"/>
  <c r="DX386" i="147"/>
  <c r="DX387" i="147"/>
  <c r="DX388" i="147"/>
  <c r="DX390" i="147"/>
  <c r="DX392" i="147"/>
  <c r="DX394" i="147"/>
  <c r="DX396" i="147"/>
  <c r="DX398" i="147"/>
  <c r="DX389" i="147"/>
  <c r="DX391" i="147"/>
  <c r="DX393" i="147"/>
  <c r="DX395" i="147"/>
  <c r="DX397" i="147"/>
  <c r="DX399" i="147"/>
  <c r="DX445" i="147"/>
  <c r="DX446" i="147"/>
  <c r="DX447" i="147"/>
  <c r="DX448" i="147"/>
  <c r="DX449" i="147"/>
  <c r="DX450" i="147"/>
  <c r="DX451" i="147"/>
  <c r="DX452" i="147"/>
  <c r="DX453" i="147"/>
  <c r="DX454" i="147"/>
  <c r="DX455" i="147"/>
  <c r="DX456" i="147"/>
  <c r="DX457" i="147"/>
  <c r="DX458" i="147"/>
  <c r="DX459" i="147"/>
  <c r="DX460" i="147"/>
  <c r="DX461" i="147"/>
  <c r="DX462" i="147"/>
  <c r="DX463" i="147"/>
  <c r="DX464" i="147"/>
  <c r="DX465" i="147"/>
  <c r="DX466" i="147"/>
  <c r="DX467" i="147"/>
  <c r="DX468" i="147"/>
  <c r="DX469" i="147"/>
  <c r="DX470" i="147"/>
  <c r="DX471" i="147"/>
  <c r="DX472" i="147"/>
  <c r="DX473" i="147"/>
  <c r="DX474" i="147"/>
  <c r="DX475" i="147"/>
  <c r="DX476" i="147"/>
  <c r="DX477" i="147"/>
  <c r="DX478" i="147"/>
  <c r="DX479" i="147"/>
  <c r="DX480" i="147"/>
  <c r="DX481" i="147"/>
  <c r="DX482" i="147"/>
  <c r="DX483" i="147"/>
  <c r="DX484" i="147"/>
  <c r="DX485" i="147"/>
  <c r="DX486" i="147"/>
  <c r="DX487" i="147"/>
  <c r="DX488" i="147"/>
  <c r="DX489" i="147"/>
  <c r="DX490" i="147"/>
  <c r="DX491" i="147"/>
  <c r="DX492" i="147"/>
  <c r="DX493" i="147"/>
  <c r="DX494" i="147"/>
  <c r="DX495" i="147"/>
  <c r="DX496" i="147"/>
  <c r="DX497" i="147"/>
  <c r="DX498" i="147"/>
  <c r="DX499" i="147"/>
  <c r="DX500" i="147"/>
  <c r="DX501" i="147"/>
  <c r="DX502" i="147"/>
  <c r="DX503" i="147"/>
  <c r="DX504" i="147"/>
  <c r="DX505" i="147"/>
  <c r="DX506" i="147"/>
  <c r="DX507" i="147"/>
  <c r="DX508" i="147"/>
  <c r="DX509" i="147"/>
  <c r="DX510" i="147"/>
  <c r="DX511" i="147"/>
  <c r="DX512" i="147"/>
  <c r="DX513" i="147"/>
  <c r="DX514" i="147"/>
  <c r="DX515" i="147"/>
  <c r="DX516" i="147"/>
  <c r="DX517" i="147"/>
  <c r="DX518" i="147"/>
  <c r="DX519" i="147"/>
  <c r="DX520" i="147"/>
  <c r="DX521" i="147"/>
  <c r="DX522" i="147"/>
  <c r="DX523" i="147"/>
  <c r="DX524" i="147"/>
  <c r="DX525" i="147"/>
  <c r="DX526" i="147"/>
  <c r="DX527" i="147"/>
  <c r="DX528" i="147"/>
  <c r="DX529" i="147"/>
  <c r="DX530" i="147"/>
  <c r="DX531" i="147"/>
  <c r="DX532" i="147"/>
  <c r="DX533" i="147"/>
  <c r="DX534" i="147"/>
  <c r="DX535" i="147"/>
  <c r="DX536" i="147"/>
  <c r="DX537" i="147"/>
  <c r="DX538" i="147"/>
  <c r="DX539" i="147"/>
  <c r="DX540" i="147"/>
  <c r="DX541" i="147"/>
  <c r="DX542" i="147"/>
  <c r="DX543" i="147"/>
  <c r="DX544" i="147"/>
  <c r="DX545" i="147"/>
  <c r="DX546" i="147"/>
  <c r="DX547" i="147"/>
  <c r="DX548" i="147"/>
  <c r="DX549" i="147"/>
  <c r="DX550" i="147"/>
  <c r="DX551" i="147"/>
  <c r="DX552" i="147"/>
  <c r="DX553" i="147"/>
  <c r="DX554" i="147"/>
  <c r="DX555" i="147"/>
  <c r="DX556" i="147"/>
  <c r="DX557" i="147"/>
  <c r="DX558" i="147"/>
  <c r="DX559" i="147"/>
  <c r="DX560" i="147"/>
  <c r="DX561" i="147"/>
  <c r="DX562" i="147"/>
  <c r="DX563" i="147"/>
  <c r="DX564" i="147"/>
  <c r="DX565" i="147"/>
  <c r="DX566" i="147"/>
  <c r="DX568" i="147"/>
  <c r="DX569" i="147"/>
  <c r="DX570" i="147"/>
  <c r="DX571" i="147"/>
  <c r="DX572" i="147"/>
  <c r="DX573" i="147"/>
  <c r="DX574" i="147"/>
  <c r="DX575" i="147"/>
  <c r="DX576" i="147"/>
  <c r="DX577" i="147"/>
  <c r="DX578" i="147"/>
  <c r="DX579" i="147"/>
  <c r="DX580" i="147"/>
  <c r="DX581" i="147"/>
  <c r="DX582" i="147"/>
  <c r="DX583" i="147"/>
  <c r="DX584" i="147"/>
  <c r="DX585" i="147"/>
  <c r="DX586" i="147"/>
  <c r="DX587" i="147"/>
  <c r="DX588" i="147"/>
  <c r="DX589" i="147"/>
  <c r="DX590" i="147"/>
  <c r="DX591" i="147"/>
  <c r="DX592" i="147"/>
  <c r="DX593" i="147"/>
  <c r="DX594" i="147"/>
  <c r="DX595" i="147"/>
  <c r="DX596" i="147"/>
  <c r="DX597" i="147"/>
  <c r="DX598" i="147"/>
  <c r="DX600" i="147"/>
  <c r="DX601" i="147"/>
  <c r="DX602" i="147"/>
  <c r="DX603" i="147"/>
  <c r="DX604" i="147"/>
  <c r="DX605" i="147"/>
  <c r="DX606" i="147"/>
  <c r="DX607" i="147"/>
  <c r="DX608" i="147"/>
  <c r="DX609" i="147"/>
  <c r="DX610" i="147"/>
  <c r="DX611" i="147"/>
  <c r="DX612" i="147"/>
  <c r="DX613" i="147"/>
  <c r="DX614" i="147"/>
  <c r="DX615" i="147"/>
  <c r="DX616" i="147"/>
  <c r="DX617" i="147"/>
  <c r="DX618" i="147"/>
  <c r="DX619" i="147"/>
  <c r="DX620" i="147"/>
  <c r="DX621" i="147"/>
  <c r="DX622" i="147"/>
  <c r="DX623" i="147"/>
  <c r="DX624" i="147"/>
  <c r="DX625" i="147"/>
  <c r="DX626" i="147"/>
  <c r="DX627" i="147"/>
  <c r="DX628" i="147"/>
  <c r="DX629" i="147"/>
  <c r="DX631" i="147"/>
  <c r="DX632" i="147"/>
  <c r="DX633" i="147"/>
  <c r="DX634" i="147"/>
  <c r="DX635" i="147"/>
  <c r="DX636" i="147"/>
  <c r="DX637" i="147"/>
  <c r="DX638" i="147"/>
  <c r="DX639" i="147"/>
  <c r="DX640" i="147"/>
  <c r="DX641" i="147"/>
  <c r="DX642" i="147"/>
  <c r="DX643" i="147"/>
  <c r="DC394" i="147"/>
  <c r="AQ1172" i="489"/>
  <c r="M24" i="325"/>
  <c r="E19" i="108"/>
  <c r="F19" i="108" s="1"/>
  <c r="F23" i="108" s="1"/>
  <c r="F24" i="108" s="1"/>
  <c r="F28" i="108" s="1"/>
  <c r="I289" i="147" s="1"/>
  <c r="F21" i="173"/>
  <c r="M21" i="173" s="1"/>
  <c r="M25" i="173" s="1"/>
  <c r="E19" i="96"/>
  <c r="F19" i="96" s="1"/>
  <c r="F22" i="96" s="1"/>
  <c r="F23" i="96" s="1"/>
  <c r="F27" i="96" s="1"/>
  <c r="I286" i="147" s="1"/>
  <c r="H21" i="276"/>
  <c r="D21" i="171"/>
  <c r="H21" i="171" s="1"/>
  <c r="G21" i="171"/>
  <c r="I21" i="171"/>
  <c r="F21" i="171"/>
  <c r="M21" i="171" s="1"/>
  <c r="B1026" i="489"/>
  <c r="B1154" i="489"/>
  <c r="AH193" i="489"/>
  <c r="AH332" i="489" s="1"/>
  <c r="M24" i="322"/>
  <c r="H14" i="162"/>
  <c r="G1" i="162" s="1"/>
  <c r="AQ1116" i="489"/>
  <c r="AQ1123" i="489" s="1"/>
  <c r="D318" i="489"/>
  <c r="DF1179" i="489"/>
  <c r="M29" i="428"/>
  <c r="M28" i="418"/>
  <c r="AE73" i="489"/>
  <c r="AE328" i="489" s="1"/>
  <c r="M27" i="435"/>
  <c r="F24" i="314"/>
  <c r="F25" i="314" s="1"/>
  <c r="F29" i="314" s="1"/>
  <c r="I32" i="147" s="1"/>
  <c r="U66" i="489"/>
  <c r="B1167" i="489"/>
  <c r="CZ296" i="489"/>
  <c r="EY29" i="489"/>
  <c r="J997" i="489"/>
  <c r="J1004" i="489" s="1"/>
  <c r="Z1022" i="489"/>
  <c r="Z1039" i="489" s="1"/>
  <c r="DD1263" i="489"/>
  <c r="AQ1200" i="489"/>
  <c r="B1137" i="489"/>
  <c r="F27" i="292"/>
  <c r="F28" i="292" s="1"/>
  <c r="F32" i="292" s="1"/>
  <c r="I44" i="147" s="1"/>
  <c r="J36" i="489"/>
  <c r="M22" i="281"/>
  <c r="AQ1153" i="489"/>
  <c r="AQ1162" i="489" s="1"/>
  <c r="AQ206" i="489"/>
  <c r="CF1069" i="489"/>
  <c r="CF1078" i="489" s="1"/>
  <c r="CF116" i="489"/>
  <c r="AT1069" i="489"/>
  <c r="AT1078" i="489" s="1"/>
  <c r="AT1264" i="489" s="1"/>
  <c r="AT116" i="489"/>
  <c r="AT321" i="489" s="1"/>
  <c r="CF266" i="489"/>
  <c r="CF1209" i="489"/>
  <c r="R1081" i="489"/>
  <c r="R1088" i="489" s="1"/>
  <c r="R1265" i="489" s="1"/>
  <c r="R126" i="489"/>
  <c r="R322" i="489" s="1"/>
  <c r="C1102" i="489"/>
  <c r="AX1192" i="489"/>
  <c r="AX1200" i="489" s="1"/>
  <c r="AX1207" i="489" s="1"/>
  <c r="AX246" i="489"/>
  <c r="AX253" i="489" s="1"/>
  <c r="AX334" i="489" s="1"/>
  <c r="B1075" i="489"/>
  <c r="EV1251" i="489"/>
  <c r="C1018" i="489"/>
  <c r="CO1182" i="489"/>
  <c r="CO1190" i="489" s="1"/>
  <c r="CO1207" i="489" s="1"/>
  <c r="C1075" i="489"/>
  <c r="V266" i="489"/>
  <c r="V1213" i="489"/>
  <c r="DF1069" i="489"/>
  <c r="DF1078" i="489" s="1"/>
  <c r="DF116" i="489"/>
  <c r="D1213" i="489"/>
  <c r="C1126" i="489"/>
  <c r="EV997" i="489"/>
  <c r="CQ1069" i="489"/>
  <c r="CQ1078" i="489" s="1"/>
  <c r="CQ116" i="489"/>
  <c r="CO1099" i="489"/>
  <c r="CO146" i="489"/>
  <c r="CO163" i="489" s="1"/>
  <c r="CO331" i="489" s="1"/>
  <c r="AQ1069" i="489"/>
  <c r="AQ1078" i="489" s="1"/>
  <c r="AQ116" i="489"/>
  <c r="D1102" i="489"/>
  <c r="V1101" i="489"/>
  <c r="U1222" i="489"/>
  <c r="U1228" i="489" s="1"/>
  <c r="U276" i="489"/>
  <c r="C1238" i="489"/>
  <c r="CZ1237" i="489"/>
  <c r="C1213" i="489"/>
  <c r="EV266" i="489"/>
  <c r="EV1209" i="489"/>
  <c r="DD266" i="489"/>
  <c r="DD283" i="489" s="1"/>
  <c r="DD335" i="489" s="1"/>
  <c r="DD1209" i="489"/>
  <c r="DD1218" i="489" s="1"/>
  <c r="DD1235" i="489" s="1"/>
  <c r="EI1253" i="489"/>
  <c r="EI1256" i="489" s="1"/>
  <c r="EI1263" i="489" s="1"/>
  <c r="EI306" i="489"/>
  <c r="EI313" i="489" s="1"/>
  <c r="EI336" i="489" s="1"/>
  <c r="CL1207" i="489"/>
  <c r="D1075" i="489"/>
  <c r="D1240" i="489"/>
  <c r="J266" i="489"/>
  <c r="J283" i="489" s="1"/>
  <c r="J335" i="489" s="1"/>
  <c r="J1209" i="489"/>
  <c r="J1218" i="489" s="1"/>
  <c r="J1235" i="489" s="1"/>
  <c r="C997" i="489"/>
  <c r="BN1242" i="489"/>
  <c r="BN296" i="489"/>
  <c r="BN313" i="489" s="1"/>
  <c r="BN336" i="489" s="1"/>
  <c r="EI1110" i="489"/>
  <c r="EI1116" i="489" s="1"/>
  <c r="EI156" i="489"/>
  <c r="AL1221" i="489"/>
  <c r="C1099" i="489"/>
  <c r="AF1219" i="489"/>
  <c r="C1240" i="489"/>
  <c r="D266" i="489"/>
  <c r="D1209" i="489"/>
  <c r="V1237" i="489"/>
  <c r="BN1130" i="489"/>
  <c r="BN176" i="489"/>
  <c r="BN193" i="489" s="1"/>
  <c r="BN332" i="489" s="1"/>
  <c r="AK1153" i="489"/>
  <c r="AK1162" i="489" s="1"/>
  <c r="AK206" i="489"/>
  <c r="BR1102" i="489"/>
  <c r="D997" i="489"/>
  <c r="BN1018" i="489"/>
  <c r="BN1022" i="489" s="1"/>
  <c r="BN56" i="489"/>
  <c r="B997" i="489"/>
  <c r="CF1200" i="489"/>
  <c r="EV1212" i="489"/>
  <c r="BR1075" i="489"/>
  <c r="BR1078" i="489" s="1"/>
  <c r="BR116" i="489"/>
  <c r="AK1069" i="489"/>
  <c r="AK1078" i="489" s="1"/>
  <c r="AK116" i="489"/>
  <c r="AQ1219" i="489"/>
  <c r="AQ1228" i="489" s="1"/>
  <c r="D1099" i="489"/>
  <c r="B1074" i="489"/>
  <c r="CZ1238" i="489"/>
  <c r="AE266" i="489"/>
  <c r="AE283" i="489" s="1"/>
  <c r="AE335" i="489" s="1"/>
  <c r="AE1209" i="489"/>
  <c r="AE1218" i="489" s="1"/>
  <c r="AE1235" i="489" s="1"/>
  <c r="AM253" i="489"/>
  <c r="AM317" i="489"/>
  <c r="CS1248" i="489"/>
  <c r="CS306" i="489"/>
  <c r="B1018" i="489"/>
  <c r="BS1192" i="489"/>
  <c r="BS1200" i="489" s="1"/>
  <c r="BS1207" i="489" s="1"/>
  <c r="BS246" i="489"/>
  <c r="BS253" i="489" s="1"/>
  <c r="BS334" i="489" s="1"/>
  <c r="BB1223" i="489"/>
  <c r="BB1228" i="489" s="1"/>
  <c r="BB276" i="489"/>
  <c r="BB322" i="489" s="1"/>
  <c r="V1240" i="489"/>
  <c r="AJ1238" i="489"/>
  <c r="EY288" i="489"/>
  <c r="P266" i="489"/>
  <c r="P1209" i="489"/>
  <c r="P1218" i="489" s="1"/>
  <c r="AM1207" i="489"/>
  <c r="AM1265" i="489"/>
  <c r="AM1267" i="489" s="1"/>
  <c r="CN266" i="489"/>
  <c r="CN283" i="489" s="1"/>
  <c r="CN335" i="489" s="1"/>
  <c r="CN1211" i="489"/>
  <c r="CN1218" i="489" s="1"/>
  <c r="CN1235" i="489" s="1"/>
  <c r="U266" i="489"/>
  <c r="U1211" i="489"/>
  <c r="U1218" i="489" s="1"/>
  <c r="CF1256" i="489"/>
  <c r="EW1252" i="489"/>
  <c r="BR266" i="489"/>
  <c r="BR283" i="489" s="1"/>
  <c r="BR335" i="489" s="1"/>
  <c r="BR1215" i="489"/>
  <c r="BR1218" i="489" s="1"/>
  <c r="DC1210" i="489"/>
  <c r="DC266" i="489"/>
  <c r="CT1220" i="489"/>
  <c r="CT1228" i="489" s="1"/>
  <c r="CT1235" i="489" s="1"/>
  <c r="CT276" i="489"/>
  <c r="CT283" i="489" s="1"/>
  <c r="CT335" i="489" s="1"/>
  <c r="V1017" i="489"/>
  <c r="X1207" i="489"/>
  <c r="X1264" i="489"/>
  <c r="X1267" i="489" s="1"/>
  <c r="B1238" i="489"/>
  <c r="CB1237" i="489"/>
  <c r="CB1246" i="489" s="1"/>
  <c r="CB1263" i="489" s="1"/>
  <c r="CB296" i="489"/>
  <c r="CB313" i="489" s="1"/>
  <c r="CB336" i="489" s="1"/>
  <c r="D1018" i="489"/>
  <c r="EV1239" i="489"/>
  <c r="EV1246" i="489" s="1"/>
  <c r="BR1223" i="489"/>
  <c r="AU997" i="489"/>
  <c r="AJ1126" i="489"/>
  <c r="AJ1134" i="489" s="1"/>
  <c r="AJ1151" i="489" s="1"/>
  <c r="B1126" i="489"/>
  <c r="AH1088" i="489"/>
  <c r="AH1095" i="489" s="1"/>
  <c r="BS1221" i="489"/>
  <c r="BS1228" i="489" s="1"/>
  <c r="BS276" i="489"/>
  <c r="L1153" i="489"/>
  <c r="L1162" i="489" s="1"/>
  <c r="L206" i="489"/>
  <c r="Z1182" i="489"/>
  <c r="Z236" i="489"/>
  <c r="Z253" i="489" s="1"/>
  <c r="Z334" i="489" s="1"/>
  <c r="AU266" i="489"/>
  <c r="AU1209" i="489"/>
  <c r="AU1218" i="489" s="1"/>
  <c r="AK266" i="489"/>
  <c r="AK1209" i="489"/>
  <c r="AK1218" i="489" s="1"/>
  <c r="CS1069" i="489"/>
  <c r="CS1078" i="489" s="1"/>
  <c r="CS116" i="489"/>
  <c r="CA1263" i="489"/>
  <c r="CZ1192" i="489"/>
  <c r="Z1099" i="489"/>
  <c r="R1069" i="489"/>
  <c r="R1078" i="489" s="1"/>
  <c r="R116" i="489"/>
  <c r="R321" i="489" s="1"/>
  <c r="AK997" i="489"/>
  <c r="AK1004" i="489" s="1"/>
  <c r="B1102" i="489"/>
  <c r="CZ266" i="489"/>
  <c r="CZ1211" i="489"/>
  <c r="CS1221" i="489"/>
  <c r="CS1228" i="489" s="1"/>
  <c r="V1241" i="489"/>
  <c r="EY24" i="147"/>
  <c r="DC1051" i="489"/>
  <c r="V1184" i="489"/>
  <c r="DE1195" i="489"/>
  <c r="DE1200" i="489" s="1"/>
  <c r="DE1207" i="489" s="1"/>
  <c r="DE246" i="489"/>
  <c r="DE253" i="489" s="1"/>
  <c r="DE334" i="489" s="1"/>
  <c r="AF1220" i="489"/>
  <c r="AF276" i="489"/>
  <c r="C1223" i="489"/>
  <c r="DE1223" i="489"/>
  <c r="E28" i="439"/>
  <c r="F31" i="496"/>
  <c r="F32" i="496" s="1"/>
  <c r="F34" i="496" s="1"/>
  <c r="F38" i="496" s="1"/>
  <c r="I201" i="147" s="1"/>
  <c r="CO1210" i="489"/>
  <c r="CO1218" i="489" s="1"/>
  <c r="CO1235" i="489" s="1"/>
  <c r="CO283" i="489"/>
  <c r="CO335" i="489" s="1"/>
  <c r="EW1225" i="489"/>
  <c r="EW1228" i="489" s="1"/>
  <c r="EY273" i="489"/>
  <c r="BN1186" i="489"/>
  <c r="BN1190" i="489" s="1"/>
  <c r="BN1207" i="489" s="1"/>
  <c r="BN236" i="489"/>
  <c r="BN253" i="489" s="1"/>
  <c r="BN334" i="489" s="1"/>
  <c r="CZ1223" i="489"/>
  <c r="D1223" i="489"/>
  <c r="C1241" i="489"/>
  <c r="B1225" i="489"/>
  <c r="AH1222" i="489"/>
  <c r="AH1228" i="489" s="1"/>
  <c r="AH1235" i="489" s="1"/>
  <c r="AN1219" i="489"/>
  <c r="AN1228" i="489" s="1"/>
  <c r="EV1211" i="489"/>
  <c r="CQ1223" i="489"/>
  <c r="AN1051" i="489"/>
  <c r="AN1060" i="489" s="1"/>
  <c r="AN1067" i="489" s="1"/>
  <c r="AN96" i="489"/>
  <c r="D1184" i="489"/>
  <c r="B1181" i="489"/>
  <c r="DN1192" i="489"/>
  <c r="DN1200" i="489" s="1"/>
  <c r="DN1207" i="489" s="1"/>
  <c r="DN246" i="489"/>
  <c r="DN253" i="489" s="1"/>
  <c r="DN334" i="489" s="1"/>
  <c r="AL1051" i="489"/>
  <c r="AL1060" i="489" s="1"/>
  <c r="AL1067" i="489" s="1"/>
  <c r="AL96" i="489"/>
  <c r="V1222" i="489"/>
  <c r="V1228" i="489" s="1"/>
  <c r="V276" i="489"/>
  <c r="AL1219" i="489"/>
  <c r="AL276" i="489"/>
  <c r="D1241" i="489"/>
  <c r="C1181" i="489"/>
  <c r="EV1224" i="489"/>
  <c r="EV1228" i="489" s="1"/>
  <c r="AO1219" i="489"/>
  <c r="AO1228" i="489" s="1"/>
  <c r="BW1181" i="489"/>
  <c r="BW1190" i="489" s="1"/>
  <c r="BW236" i="489"/>
  <c r="BW321" i="489" s="1"/>
  <c r="M24" i="425"/>
  <c r="CB1220" i="489"/>
  <c r="CN1098" i="489"/>
  <c r="CN1106" i="489" s="1"/>
  <c r="CN1123" i="489" s="1"/>
  <c r="AO1051" i="489"/>
  <c r="AO1060" i="489" s="1"/>
  <c r="AO1067" i="489" s="1"/>
  <c r="AO96" i="489"/>
  <c r="CZ1181" i="489"/>
  <c r="AJ1239" i="489"/>
  <c r="AJ296" i="489"/>
  <c r="AJ313" i="489" s="1"/>
  <c r="AJ336" i="489" s="1"/>
  <c r="C1128" i="489"/>
  <c r="CI1153" i="489"/>
  <c r="CI1162" i="489" s="1"/>
  <c r="CI206" i="489"/>
  <c r="CI223" i="489" s="1"/>
  <c r="CI333" i="489" s="1"/>
  <c r="CB1153" i="489"/>
  <c r="CB1162" i="489" s="1"/>
  <c r="CB1179" i="489" s="1"/>
  <c r="CB206" i="489"/>
  <c r="CB223" i="489" s="1"/>
  <c r="CB333" i="489" s="1"/>
  <c r="V1125" i="489"/>
  <c r="C1156" i="489"/>
  <c r="B1129" i="489"/>
  <c r="D1128" i="489"/>
  <c r="CF1153" i="489"/>
  <c r="CF1162" i="489" s="1"/>
  <c r="CF206" i="489"/>
  <c r="Z1153" i="489"/>
  <c r="Z1162" i="489" s="1"/>
  <c r="Z1179" i="489" s="1"/>
  <c r="Z206" i="489"/>
  <c r="Z223" i="489" s="1"/>
  <c r="Z333" i="489" s="1"/>
  <c r="D1156" i="489"/>
  <c r="C1125" i="489"/>
  <c r="U1154" i="489"/>
  <c r="CZ1125" i="489"/>
  <c r="EV1127" i="489"/>
  <c r="EV1134" i="489" s="1"/>
  <c r="B1156" i="489"/>
  <c r="CN1154" i="489"/>
  <c r="CN1162" i="489" s="1"/>
  <c r="CN1179" i="489" s="1"/>
  <c r="V1128" i="489"/>
  <c r="DD1153" i="489"/>
  <c r="DD1162" i="489" s="1"/>
  <c r="DD206" i="489"/>
  <c r="V1156" i="489"/>
  <c r="EV1072" i="489"/>
  <c r="EV1078" i="489" s="1"/>
  <c r="E19" i="494"/>
  <c r="F19" i="494" s="1"/>
  <c r="F22" i="494" s="1"/>
  <c r="F23" i="494" s="1"/>
  <c r="F27" i="494" s="1"/>
  <c r="I287" i="147" s="1"/>
  <c r="C731" i="489"/>
  <c r="DR1071" i="489"/>
  <c r="B1044" i="489"/>
  <c r="B1073" i="489"/>
  <c r="BR1017" i="489"/>
  <c r="CN1067" i="489"/>
  <c r="W1097" i="489"/>
  <c r="W1106" i="489" s="1"/>
  <c r="W146" i="489"/>
  <c r="BR990" i="489"/>
  <c r="EY22" i="489"/>
  <c r="BR26" i="489"/>
  <c r="BR43" i="489" s="1"/>
  <c r="BR327" i="489" s="1"/>
  <c r="AJ1071" i="489"/>
  <c r="AJ116" i="489"/>
  <c r="AJ133" i="489" s="1"/>
  <c r="AJ330" i="489" s="1"/>
  <c r="B1017" i="489"/>
  <c r="C1073" i="489"/>
  <c r="B990" i="489"/>
  <c r="V1044" i="489"/>
  <c r="V1050" i="489" s="1"/>
  <c r="C1100" i="489"/>
  <c r="C990" i="489"/>
  <c r="D1073" i="489"/>
  <c r="C1044" i="489"/>
  <c r="CZ1071" i="489"/>
  <c r="C1017" i="489"/>
  <c r="V1100" i="489"/>
  <c r="D1100" i="489"/>
  <c r="D1044" i="489"/>
  <c r="D990" i="489"/>
  <c r="D1017" i="489"/>
  <c r="DC1097" i="489"/>
  <c r="C1071" i="489"/>
  <c r="BR56" i="489"/>
  <c r="BN1101" i="489"/>
  <c r="BN1106" i="489" s="1"/>
  <c r="BN146" i="489"/>
  <c r="M25" i="434"/>
  <c r="EY31" i="489"/>
  <c r="C717" i="489"/>
  <c r="CF156" i="489"/>
  <c r="CF163" i="489" s="1"/>
  <c r="CF331" i="489" s="1"/>
  <c r="EY149" i="489"/>
  <c r="EY209" i="489"/>
  <c r="F22" i="371"/>
  <c r="F24" i="371" s="1"/>
  <c r="F25" i="371" s="1"/>
  <c r="F29" i="371" s="1"/>
  <c r="I118" i="147" s="1"/>
  <c r="F28" i="166"/>
  <c r="F29" i="166" s="1"/>
  <c r="F33" i="166" s="1"/>
  <c r="I63" i="147" s="1"/>
  <c r="C669" i="489"/>
  <c r="AQ36" i="489"/>
  <c r="AQ43" i="489" s="1"/>
  <c r="AQ327" i="489" s="1"/>
  <c r="AH1004" i="489"/>
  <c r="AH1011" i="489" s="1"/>
  <c r="C834" i="489"/>
  <c r="BT223" i="489"/>
  <c r="BT333" i="489" s="1"/>
  <c r="AQ1144" i="489"/>
  <c r="AQ1151" i="489" s="1"/>
  <c r="CO1015" i="489"/>
  <c r="CO56" i="489"/>
  <c r="F27" i="316"/>
  <c r="F28" i="316" s="1"/>
  <c r="F32" i="316" s="1"/>
  <c r="I34" i="147" s="1"/>
  <c r="I117" i="489" s="1"/>
  <c r="I111" i="93" s="1"/>
  <c r="C1015" i="489"/>
  <c r="M29" i="399"/>
  <c r="F27" i="393"/>
  <c r="F28" i="393" s="1"/>
  <c r="F32" i="393" s="1"/>
  <c r="I35" i="147" s="1"/>
  <c r="F28" i="167"/>
  <c r="F29" i="167" s="1"/>
  <c r="F30" i="167" s="1"/>
  <c r="F34" i="167" s="1"/>
  <c r="I71" i="147" s="1"/>
  <c r="C924" i="489"/>
  <c r="Y1004" i="489"/>
  <c r="Y1011" i="489" s="1"/>
  <c r="V1013" i="489"/>
  <c r="EY179" i="489"/>
  <c r="F28" i="190"/>
  <c r="F29" i="190" s="1"/>
  <c r="F33" i="190" s="1"/>
  <c r="I152" i="147" s="1"/>
  <c r="I47" i="489" s="1"/>
  <c r="I45" i="93" s="1"/>
  <c r="AT1011" i="489"/>
  <c r="E132" i="489"/>
  <c r="B1145" i="489"/>
  <c r="B1166" i="489"/>
  <c r="B1081" i="489"/>
  <c r="CS1108" i="489"/>
  <c r="CS156" i="489"/>
  <c r="CS163" i="489" s="1"/>
  <c r="CS331" i="489" s="1"/>
  <c r="DR1101" i="489"/>
  <c r="DR1106" i="489" s="1"/>
  <c r="DR1123" i="489" s="1"/>
  <c r="CZ1145" i="489"/>
  <c r="CZ1150" i="489" s="1"/>
  <c r="CZ192" i="489"/>
  <c r="AT1108" i="489"/>
  <c r="AT1116" i="489" s="1"/>
  <c r="AT1123" i="489" s="1"/>
  <c r="AT156" i="489"/>
  <c r="AT163" i="489" s="1"/>
  <c r="AT331" i="489" s="1"/>
  <c r="BR1138" i="489"/>
  <c r="EY180" i="489"/>
  <c r="CQ1081" i="489"/>
  <c r="D988" i="489"/>
  <c r="D1083" i="489"/>
  <c r="CE1266" i="489"/>
  <c r="DC1109" i="489"/>
  <c r="EN1179" i="489"/>
  <c r="EN1266" i="489"/>
  <c r="EN1267" i="489" s="1"/>
  <c r="B1110" i="489"/>
  <c r="CS1109" i="489"/>
  <c r="AL1165" i="489"/>
  <c r="AL1172" i="489" s="1"/>
  <c r="AL1179" i="489" s="1"/>
  <c r="AL216" i="489"/>
  <c r="AL223" i="489" s="1"/>
  <c r="AL333" i="489" s="1"/>
  <c r="CZ1167" i="489"/>
  <c r="CZ1172" i="489" s="1"/>
  <c r="CZ1097" i="489"/>
  <c r="C1051" i="489"/>
  <c r="EY88" i="147"/>
  <c r="CF1175" i="489"/>
  <c r="CF1178" i="489" s="1"/>
  <c r="CF222" i="489"/>
  <c r="C1081" i="489"/>
  <c r="AV133" i="489"/>
  <c r="AV317" i="489"/>
  <c r="E70" i="93"/>
  <c r="E72" i="489"/>
  <c r="DR1127" i="489"/>
  <c r="DR1134" i="489" s="1"/>
  <c r="DR1151" i="489" s="1"/>
  <c r="CQ1110" i="489"/>
  <c r="CS1081" i="489"/>
  <c r="CS1088" i="489" s="1"/>
  <c r="CS126" i="489"/>
  <c r="BM1061" i="489"/>
  <c r="BM1066" i="489" s="1"/>
  <c r="EY97" i="489"/>
  <c r="EY102" i="489" s="1"/>
  <c r="BM102" i="489"/>
  <c r="BM323" i="489" s="1"/>
  <c r="CL1118" i="489"/>
  <c r="CL1122" i="489" s="1"/>
  <c r="CL162" i="489"/>
  <c r="CF1081" i="489"/>
  <c r="C1055" i="489"/>
  <c r="BS318" i="489"/>
  <c r="BS163" i="489"/>
  <c r="BS331" i="489" s="1"/>
  <c r="CV1151" i="489"/>
  <c r="DE1167" i="489"/>
  <c r="DE1172" i="489" s="1"/>
  <c r="DE1179" i="489" s="1"/>
  <c r="EV1015" i="489"/>
  <c r="DX1237" i="489"/>
  <c r="DX1238" i="489"/>
  <c r="DX1239" i="489"/>
  <c r="DX1240" i="489"/>
  <c r="DX1241" i="489"/>
  <c r="DX1243" i="489"/>
  <c r="DX1244" i="489"/>
  <c r="EY1244" i="489" s="1"/>
  <c r="E1244" i="489" s="1"/>
  <c r="DX1245" i="489"/>
  <c r="EY1245" i="489" s="1"/>
  <c r="E1245" i="489" s="1"/>
  <c r="DX1242" i="489"/>
  <c r="DX1249" i="489"/>
  <c r="DX1250" i="489"/>
  <c r="DX1251" i="489"/>
  <c r="DX1252" i="489"/>
  <c r="DX1247" i="489"/>
  <c r="DX1248" i="489"/>
  <c r="DX1258" i="489"/>
  <c r="EY1258" i="489" s="1"/>
  <c r="E1258" i="489" s="1"/>
  <c r="DX1259" i="489"/>
  <c r="EY1259" i="489" s="1"/>
  <c r="E1259" i="489" s="1"/>
  <c r="DX1260" i="489"/>
  <c r="EY1260" i="489" s="1"/>
  <c r="E1260" i="489" s="1"/>
  <c r="DX1257" i="489"/>
  <c r="DX1253" i="489"/>
  <c r="DX1254" i="489"/>
  <c r="DX1209" i="489"/>
  <c r="DX1210" i="489"/>
  <c r="DX1261" i="489"/>
  <c r="EY1261" i="489" s="1"/>
  <c r="E1261" i="489" s="1"/>
  <c r="DX1255" i="489"/>
  <c r="EY1255" i="489" s="1"/>
  <c r="E1255" i="489" s="1"/>
  <c r="DX1211" i="489"/>
  <c r="DX1214" i="489"/>
  <c r="DX1215" i="489"/>
  <c r="DX1212" i="489"/>
  <c r="DX1213" i="489"/>
  <c r="DX1216" i="489"/>
  <c r="DX1217" i="489"/>
  <c r="EY1217" i="489" s="1"/>
  <c r="E1217" i="489" s="1"/>
  <c r="DX1219" i="489"/>
  <c r="DX1220" i="489"/>
  <c r="DX1221" i="489"/>
  <c r="DX1222" i="489"/>
  <c r="DX1224" i="489"/>
  <c r="DX1225" i="489"/>
  <c r="DX1226" i="489"/>
  <c r="EY1226" i="489" s="1"/>
  <c r="E1226" i="489" s="1"/>
  <c r="DX1227" i="489"/>
  <c r="EY1227" i="489" s="1"/>
  <c r="E1227" i="489" s="1"/>
  <c r="DX1223" i="489"/>
  <c r="DX1233" i="489"/>
  <c r="EY1233" i="489" s="1"/>
  <c r="E1233" i="489" s="1"/>
  <c r="DX1181" i="489"/>
  <c r="DX1182" i="489"/>
  <c r="DX1231" i="489"/>
  <c r="EY1231" i="489" s="1"/>
  <c r="E1231" i="489" s="1"/>
  <c r="DX1229" i="489"/>
  <c r="DX1230" i="489"/>
  <c r="EY1230" i="489" s="1"/>
  <c r="E1230" i="489" s="1"/>
  <c r="DX1232" i="489"/>
  <c r="EY1232" i="489" s="1"/>
  <c r="E1232" i="489" s="1"/>
  <c r="DX1183" i="489"/>
  <c r="DX1184" i="489"/>
  <c r="DX1185" i="489"/>
  <c r="DX1186" i="489"/>
  <c r="DX1187" i="489"/>
  <c r="EY1187" i="489" s="1"/>
  <c r="E1187" i="489" s="1"/>
  <c r="DX1188" i="489"/>
  <c r="EY1188" i="489" s="1"/>
  <c r="E1188" i="489" s="1"/>
  <c r="DX1189" i="489"/>
  <c r="EY1189" i="489" s="1"/>
  <c r="E1189" i="489" s="1"/>
  <c r="DX1191" i="489"/>
  <c r="DX1192" i="489"/>
  <c r="DX1196" i="489"/>
  <c r="EY1196" i="489" s="1"/>
  <c r="E1196" i="489" s="1"/>
  <c r="DX1197" i="489"/>
  <c r="EY1197" i="489" s="1"/>
  <c r="E1197" i="489" s="1"/>
  <c r="DX1198" i="489"/>
  <c r="DX1199" i="489"/>
  <c r="EY1199" i="489" s="1"/>
  <c r="E1199" i="489" s="1"/>
  <c r="DX1201" i="489"/>
  <c r="DX1202" i="489"/>
  <c r="EY1202" i="489" s="1"/>
  <c r="E1202" i="489" s="1"/>
  <c r="DX1203" i="489"/>
  <c r="EY1203" i="489" s="1"/>
  <c r="E1203" i="489" s="1"/>
  <c r="DX1204" i="489"/>
  <c r="EY1204" i="489" s="1"/>
  <c r="E1204" i="489" s="1"/>
  <c r="DX1205" i="489"/>
  <c r="EY1205" i="489" s="1"/>
  <c r="E1205" i="489" s="1"/>
  <c r="DX1194" i="489"/>
  <c r="DX1195" i="489"/>
  <c r="DX1193" i="489"/>
  <c r="EY1193" i="489" s="1"/>
  <c r="E1193" i="489" s="1"/>
  <c r="AN1011" i="489"/>
  <c r="DL1011" i="489"/>
  <c r="V1097" i="489"/>
  <c r="B1013" i="489"/>
  <c r="B45" i="93"/>
  <c r="DC1081" i="489"/>
  <c r="DC318" i="489"/>
  <c r="CR1083" i="489"/>
  <c r="CR1088" i="489" s="1"/>
  <c r="CR1095" i="489" s="1"/>
  <c r="CF1108" i="489"/>
  <c r="EV1111" i="489"/>
  <c r="EY151" i="489"/>
  <c r="CQ1138" i="489"/>
  <c r="D1110" i="489"/>
  <c r="CF1145" i="489"/>
  <c r="CF1150" i="489" s="1"/>
  <c r="CF192" i="489"/>
  <c r="C1110" i="489"/>
  <c r="AT1081" i="489"/>
  <c r="EY158" i="489"/>
  <c r="EY162" i="489" s="1"/>
  <c r="BR1173" i="489"/>
  <c r="BR1178" i="489" s="1"/>
  <c r="EY217" i="489"/>
  <c r="BR222" i="489"/>
  <c r="BR323" i="489" s="1"/>
  <c r="CF1109" i="489"/>
  <c r="CZ1175" i="489"/>
  <c r="CZ1178" i="489" s="1"/>
  <c r="CZ222" i="489"/>
  <c r="EV1043" i="489"/>
  <c r="AJ223" i="489"/>
  <c r="AJ333" i="489" s="1"/>
  <c r="C1145" i="489"/>
  <c r="AV1265" i="489"/>
  <c r="AV1267" i="489" s="1"/>
  <c r="AV1095" i="489"/>
  <c r="EY219" i="489"/>
  <c r="B1082" i="489"/>
  <c r="DC1266" i="489"/>
  <c r="CR1027" i="489"/>
  <c r="CR1032" i="489" s="1"/>
  <c r="CR66" i="489"/>
  <c r="EV1139" i="489"/>
  <c r="CZ1014" i="489"/>
  <c r="EY48" i="489"/>
  <c r="CL1145" i="489"/>
  <c r="CL1150" i="489" s="1"/>
  <c r="CL1151" i="489" s="1"/>
  <c r="CL192" i="489"/>
  <c r="CL193" i="489" s="1"/>
  <c r="CL332" i="489" s="1"/>
  <c r="C1138" i="489"/>
  <c r="BR1032" i="489"/>
  <c r="BS1266" i="489"/>
  <c r="AL1109" i="489"/>
  <c r="AL1116" i="489" s="1"/>
  <c r="AL1123" i="489" s="1"/>
  <c r="AL156" i="489"/>
  <c r="AL163" i="489" s="1"/>
  <c r="AL331" i="489" s="1"/>
  <c r="C999" i="489"/>
  <c r="B1136" i="489"/>
  <c r="EW1112" i="489"/>
  <c r="B1165" i="489"/>
  <c r="EV1168" i="489"/>
  <c r="EV1172" i="489" s="1"/>
  <c r="CZ1042" i="489"/>
  <c r="CZ1153" i="489"/>
  <c r="DC1136" i="489"/>
  <c r="D1014" i="489"/>
  <c r="BU1153" i="489"/>
  <c r="BU1162" i="489" s="1"/>
  <c r="BU206" i="489"/>
  <c r="BU223" i="489" s="1"/>
  <c r="BU333" i="489" s="1"/>
  <c r="B1101" i="489"/>
  <c r="AQ1032" i="489"/>
  <c r="C1118" i="489"/>
  <c r="C1108" i="489"/>
  <c r="EV1155" i="489"/>
  <c r="F126" i="93"/>
  <c r="F132" i="489"/>
  <c r="DN163" i="489"/>
  <c r="C1167" i="489"/>
  <c r="EW1140" i="489"/>
  <c r="EY182" i="489"/>
  <c r="DF1137" i="489"/>
  <c r="DF1144" i="489" s="1"/>
  <c r="DF1151" i="489" s="1"/>
  <c r="DF186" i="489"/>
  <c r="CZ1110" i="489"/>
  <c r="EV1084" i="489"/>
  <c r="EV1088" i="489" s="1"/>
  <c r="CZ1101" i="489"/>
  <c r="V1072" i="489"/>
  <c r="D1042" i="489"/>
  <c r="C1070" i="489"/>
  <c r="V1153" i="489"/>
  <c r="B1042" i="489"/>
  <c r="D1178" i="489"/>
  <c r="AW1080" i="489"/>
  <c r="AW1088" i="489" s="1"/>
  <c r="C705" i="489"/>
  <c r="AW126" i="489"/>
  <c r="AW322" i="489" s="1"/>
  <c r="F70" i="93"/>
  <c r="F72" i="489"/>
  <c r="EW1169" i="489"/>
  <c r="EW1172" i="489" s="1"/>
  <c r="CZ1138" i="489"/>
  <c r="CZ1127" i="489"/>
  <c r="CZ1069" i="489"/>
  <c r="B1175" i="489"/>
  <c r="D1101" i="489"/>
  <c r="CB1069" i="489"/>
  <c r="CB1078" i="489" s="1"/>
  <c r="CB116" i="489"/>
  <c r="C1079" i="489"/>
  <c r="C986" i="489"/>
  <c r="B1014" i="489"/>
  <c r="B988" i="489"/>
  <c r="EC1033" i="489"/>
  <c r="EC1038" i="489" s="1"/>
  <c r="EY67" i="489"/>
  <c r="EY72" i="489" s="1"/>
  <c r="EC72" i="489"/>
  <c r="C1153" i="489"/>
  <c r="CL1175" i="489"/>
  <c r="CL1178" i="489" s="1"/>
  <c r="CL1179" i="489" s="1"/>
  <c r="CL222" i="489"/>
  <c r="CL223" i="489" s="1"/>
  <c r="CL333" i="489" s="1"/>
  <c r="BA1011" i="489"/>
  <c r="BA1265" i="489"/>
  <c r="BA1267" i="489" s="1"/>
  <c r="AL1011" i="489"/>
  <c r="C1013" i="489"/>
  <c r="DN1123" i="489"/>
  <c r="EG318" i="489"/>
  <c r="EG103" i="489"/>
  <c r="EW1085" i="489"/>
  <c r="EW1088" i="489" s="1"/>
  <c r="C1165" i="489"/>
  <c r="CZ1070" i="489"/>
  <c r="CF1137" i="489"/>
  <c r="D1127" i="489"/>
  <c r="C1014" i="489"/>
  <c r="V1069" i="489"/>
  <c r="B1127" i="489"/>
  <c r="EY197" i="489"/>
  <c r="B1072" i="489"/>
  <c r="EC1089" i="489"/>
  <c r="EC1094" i="489" s="1"/>
  <c r="EC1095" i="489" s="1"/>
  <c r="EY127" i="489"/>
  <c r="EC132" i="489"/>
  <c r="EC133" i="489" s="1"/>
  <c r="EC330" i="489" s="1"/>
  <c r="AE318" i="489"/>
  <c r="AE193" i="489"/>
  <c r="AE332" i="489" s="1"/>
  <c r="U1266" i="489"/>
  <c r="CA1067" i="489"/>
  <c r="CQ1167" i="489"/>
  <c r="CQ1172" i="489" s="1"/>
  <c r="CQ1179" i="489" s="1"/>
  <c r="CG1097" i="489"/>
  <c r="CG1106" i="489" s="1"/>
  <c r="CG146" i="489"/>
  <c r="CG163" i="489" s="1"/>
  <c r="CG331" i="489" s="1"/>
  <c r="AA1011" i="489"/>
  <c r="AA1266" i="489"/>
  <c r="AA1267" i="489" s="1"/>
  <c r="EY137" i="489"/>
  <c r="CZ1083" i="489"/>
  <c r="G182" i="93"/>
  <c r="G192" i="489"/>
  <c r="DR1070" i="489"/>
  <c r="DC1069" i="489"/>
  <c r="DC1078" i="489" s="1"/>
  <c r="DC116" i="489"/>
  <c r="C1175" i="489"/>
  <c r="B129" i="93"/>
  <c r="B1097" i="489"/>
  <c r="CW318" i="489"/>
  <c r="BR1083" i="489"/>
  <c r="CS1165" i="489"/>
  <c r="CS1172" i="489" s="1"/>
  <c r="CS1179" i="489" s="1"/>
  <c r="CS216" i="489"/>
  <c r="CS223" i="489" s="1"/>
  <c r="CS333" i="489" s="1"/>
  <c r="C1042" i="489"/>
  <c r="C988" i="489"/>
  <c r="B1070" i="489"/>
  <c r="B1083" i="489"/>
  <c r="L1151" i="489"/>
  <c r="C1069" i="489"/>
  <c r="S1081" i="489"/>
  <c r="S1088" i="489" s="1"/>
  <c r="EY119" i="489"/>
  <c r="S126" i="489"/>
  <c r="S322" i="489" s="1"/>
  <c r="B185" i="93"/>
  <c r="B1153" i="489"/>
  <c r="B1118" i="489"/>
  <c r="EG1067" i="489"/>
  <c r="EG1266" i="489"/>
  <c r="EG1267" i="489" s="1"/>
  <c r="CQ1083" i="489"/>
  <c r="DC1165" i="489"/>
  <c r="CW1266" i="489"/>
  <c r="C1101" i="489"/>
  <c r="C1072" i="489"/>
  <c r="B1080" i="489"/>
  <c r="B1027" i="489"/>
  <c r="G132" i="489"/>
  <c r="EE1011" i="489"/>
  <c r="EE1266" i="489"/>
  <c r="EE1267" i="489" s="1"/>
  <c r="C1136" i="489"/>
  <c r="EJ1146" i="489"/>
  <c r="EJ1150" i="489" s="1"/>
  <c r="EJ1151" i="489" s="1"/>
  <c r="EY188" i="489"/>
  <c r="EY192" i="489" s="1"/>
  <c r="EJ192" i="489"/>
  <c r="C1082" i="489"/>
  <c r="D1097" i="489"/>
  <c r="DR1014" i="489"/>
  <c r="DR1022" i="489" s="1"/>
  <c r="DR1039" i="489" s="1"/>
  <c r="CZ1081" i="489"/>
  <c r="C1097" i="489"/>
  <c r="CZ1118" i="489"/>
  <c r="CZ1122" i="489" s="1"/>
  <c r="CZ162" i="489"/>
  <c r="B1109" i="489"/>
  <c r="CQ1060" i="489"/>
  <c r="CQ1067" i="489" s="1"/>
  <c r="C1127" i="489"/>
  <c r="C1027" i="489"/>
  <c r="BS1165" i="489"/>
  <c r="BS1172" i="489" s="1"/>
  <c r="BS1179" i="489" s="1"/>
  <c r="EY107" i="489"/>
  <c r="EN318" i="489"/>
  <c r="EN223" i="489"/>
  <c r="G70" i="93"/>
  <c r="G72" i="489"/>
  <c r="B1107" i="489"/>
  <c r="P1011" i="489"/>
  <c r="EJ1090" i="489"/>
  <c r="EJ1094" i="489" s="1"/>
  <c r="EY128" i="489"/>
  <c r="EJ132" i="489"/>
  <c r="AL1135" i="489"/>
  <c r="AL1144" i="489" s="1"/>
  <c r="AL1151" i="489" s="1"/>
  <c r="AL186" i="489"/>
  <c r="AL193" i="489" s="1"/>
  <c r="AL332" i="489" s="1"/>
  <c r="DR1042" i="489"/>
  <c r="DR1050" i="489" s="1"/>
  <c r="DR1067" i="489" s="1"/>
  <c r="DC1137" i="489"/>
  <c r="AO1079" i="489"/>
  <c r="AO1088" i="489" s="1"/>
  <c r="AO126" i="489"/>
  <c r="AO133" i="489" s="1"/>
  <c r="AO330" i="489" s="1"/>
  <c r="C1109" i="489"/>
  <c r="CY1145" i="489"/>
  <c r="CY1150" i="489" s="1"/>
  <c r="CY192" i="489"/>
  <c r="CY323" i="489" s="1"/>
  <c r="BR1110" i="489"/>
  <c r="EY150" i="489"/>
  <c r="CF1165" i="489"/>
  <c r="CF1172" i="489" s="1"/>
  <c r="CE318" i="489"/>
  <c r="C1083" i="489"/>
  <c r="DV1135" i="489"/>
  <c r="DV1144" i="489" s="1"/>
  <c r="DV186" i="489"/>
  <c r="B1138" i="489"/>
  <c r="Z73" i="489"/>
  <c r="D1107" i="489"/>
  <c r="C1107" i="489"/>
  <c r="B1108" i="489"/>
  <c r="B999" i="489"/>
  <c r="C852" i="489"/>
  <c r="B1056" i="489"/>
  <c r="B1051" i="489"/>
  <c r="B1028" i="489"/>
  <c r="B1169" i="489"/>
  <c r="B1128" i="489"/>
  <c r="B1112" i="489"/>
  <c r="B1168" i="489"/>
  <c r="B1043" i="489"/>
  <c r="B1029" i="489"/>
  <c r="B1052" i="489"/>
  <c r="DX1156" i="489"/>
  <c r="DX1157" i="489"/>
  <c r="DX1158" i="489"/>
  <c r="DX1159" i="489"/>
  <c r="DX1160" i="489"/>
  <c r="EY1160" i="489" s="1"/>
  <c r="E1160" i="489" s="1"/>
  <c r="DX1161" i="489"/>
  <c r="EY1161" i="489" s="1"/>
  <c r="E1161" i="489" s="1"/>
  <c r="DX1170" i="489"/>
  <c r="DX1171" i="489"/>
  <c r="EY1171" i="489" s="1"/>
  <c r="E1171" i="489" s="1"/>
  <c r="DX1176" i="489"/>
  <c r="EY1176" i="489" s="1"/>
  <c r="E1176" i="489" s="1"/>
  <c r="DX1177" i="489"/>
  <c r="EY1177" i="489" s="1"/>
  <c r="E1177" i="489" s="1"/>
  <c r="DX1130" i="489"/>
  <c r="DX1131" i="489"/>
  <c r="DX1132" i="489"/>
  <c r="EY1132" i="489" s="1"/>
  <c r="E1132" i="489" s="1"/>
  <c r="DX1133" i="489"/>
  <c r="EY1133" i="489" s="1"/>
  <c r="E1133" i="489" s="1"/>
  <c r="DX1129" i="489"/>
  <c r="DX1141" i="489"/>
  <c r="DX1142" i="489"/>
  <c r="DX1143" i="489"/>
  <c r="DX1147" i="489"/>
  <c r="EY1147" i="489" s="1"/>
  <c r="E1147" i="489" s="1"/>
  <c r="DX1148" i="489"/>
  <c r="EY1148" i="489" s="1"/>
  <c r="E1148" i="489" s="1"/>
  <c r="DX1149" i="489"/>
  <c r="EY1149" i="489" s="1"/>
  <c r="E1149" i="489" s="1"/>
  <c r="DX1102" i="489"/>
  <c r="DX1103" i="489"/>
  <c r="DX1104" i="489"/>
  <c r="DX1105" i="489"/>
  <c r="DX1113" i="489"/>
  <c r="DX1114" i="489"/>
  <c r="DX1115" i="489"/>
  <c r="DX1119" i="489"/>
  <c r="EY1119" i="489" s="1"/>
  <c r="E1119" i="489" s="1"/>
  <c r="DX1120" i="489"/>
  <c r="EY1120" i="489" s="1"/>
  <c r="E1120" i="489" s="1"/>
  <c r="DX1121" i="489"/>
  <c r="EY1121" i="489" s="1"/>
  <c r="E1121" i="489" s="1"/>
  <c r="DX1073" i="489"/>
  <c r="DX1074" i="489"/>
  <c r="DX1075" i="489"/>
  <c r="DX1076" i="489"/>
  <c r="EY1076" i="489" s="1"/>
  <c r="E1076" i="489" s="1"/>
  <c r="DX1077" i="489"/>
  <c r="EY1077" i="489" s="1"/>
  <c r="E1077" i="489" s="1"/>
  <c r="DX1091" i="489"/>
  <c r="EY1091" i="489" s="1"/>
  <c r="E1091" i="489" s="1"/>
  <c r="DX1086" i="489"/>
  <c r="DX1087" i="489"/>
  <c r="EY1087" i="489" s="1"/>
  <c r="E1087" i="489" s="1"/>
  <c r="DX1092" i="489"/>
  <c r="EY1092" i="489" s="1"/>
  <c r="E1092" i="489" s="1"/>
  <c r="DX1093" i="489"/>
  <c r="EY1093" i="489" s="1"/>
  <c r="E1093" i="489" s="1"/>
  <c r="DX1072" i="489"/>
  <c r="DX1069" i="489"/>
  <c r="DX1083" i="489"/>
  <c r="DX1080" i="489"/>
  <c r="DX1089" i="489"/>
  <c r="DX1099" i="489"/>
  <c r="DX1112" i="489"/>
  <c r="DX1084" i="489"/>
  <c r="DX1090" i="489"/>
  <c r="DX1097" i="489"/>
  <c r="DX1071" i="489"/>
  <c r="DX1085" i="489"/>
  <c r="DX1082" i="489"/>
  <c r="DX1079" i="489"/>
  <c r="DX1101" i="489"/>
  <c r="DX1098" i="489"/>
  <c r="DX1111" i="489"/>
  <c r="DX1070" i="489"/>
  <c r="DX1109" i="489"/>
  <c r="DX1118" i="489"/>
  <c r="DX1127" i="489"/>
  <c r="DX1140" i="489"/>
  <c r="DX1137" i="489"/>
  <c r="DX1146" i="489"/>
  <c r="DX1081" i="489"/>
  <c r="DX1100" i="489"/>
  <c r="DX1110" i="489"/>
  <c r="DX1107" i="489"/>
  <c r="DX1108" i="489"/>
  <c r="DX1126" i="489"/>
  <c r="DX1136" i="489"/>
  <c r="DX1128" i="489"/>
  <c r="DX1125" i="489"/>
  <c r="DX1138" i="489"/>
  <c r="DX1135" i="489"/>
  <c r="DX1145" i="489"/>
  <c r="DX1153" i="489"/>
  <c r="DX1167" i="489"/>
  <c r="DX1164" i="489"/>
  <c r="DX1174" i="489"/>
  <c r="EY1174" i="489" s="1"/>
  <c r="E1174" i="489" s="1"/>
  <c r="DX1117" i="489"/>
  <c r="DX1155" i="489"/>
  <c r="DX1169" i="489"/>
  <c r="DX1166" i="489"/>
  <c r="DX1163" i="489"/>
  <c r="DX1173" i="489"/>
  <c r="DX1139" i="489"/>
  <c r="DX1154" i="489"/>
  <c r="DX1168" i="489"/>
  <c r="DX1165" i="489"/>
  <c r="DX1175" i="489"/>
  <c r="B1085" i="489"/>
  <c r="B1084" i="489"/>
  <c r="B1155" i="489"/>
  <c r="B1057" i="489"/>
  <c r="B1100" i="489"/>
  <c r="B1015" i="489"/>
  <c r="B1071" i="489"/>
  <c r="B1055" i="489"/>
  <c r="B1139" i="489"/>
  <c r="C840" i="489"/>
  <c r="C862" i="489"/>
  <c r="F25" i="286"/>
  <c r="F26" i="286" s="1"/>
  <c r="F30" i="286" s="1"/>
  <c r="I27" i="147" s="1"/>
  <c r="M25" i="313"/>
  <c r="F22" i="372"/>
  <c r="F24" i="372" s="1"/>
  <c r="F25" i="372" s="1"/>
  <c r="F29" i="372" s="1"/>
  <c r="I120" i="147" s="1"/>
  <c r="AE1004" i="489"/>
  <c r="DX1013" i="489"/>
  <c r="DX1014" i="489"/>
  <c r="DX1015" i="489"/>
  <c r="DX1016" i="489"/>
  <c r="EY1016" i="489" s="1"/>
  <c r="E1016" i="489" s="1"/>
  <c r="DX1017" i="489"/>
  <c r="DX1018" i="489"/>
  <c r="DX1019" i="489"/>
  <c r="DX1020" i="489"/>
  <c r="EY1020" i="489" s="1"/>
  <c r="E1020" i="489" s="1"/>
  <c r="DX1021" i="489"/>
  <c r="EY1021" i="489" s="1"/>
  <c r="E1021" i="489" s="1"/>
  <c r="DX1023" i="489"/>
  <c r="DX1024" i="489"/>
  <c r="DX1025" i="489"/>
  <c r="DX1026" i="489"/>
  <c r="DX1027" i="489"/>
  <c r="DX1028" i="489"/>
  <c r="EY1028" i="489" s="1"/>
  <c r="E1028" i="489" s="1"/>
  <c r="DX1029" i="489"/>
  <c r="EY1029" i="489" s="1"/>
  <c r="E1029" i="489" s="1"/>
  <c r="DX1030" i="489"/>
  <c r="DX1031" i="489"/>
  <c r="EY1031" i="489" s="1"/>
  <c r="E1031" i="489" s="1"/>
  <c r="DX1033" i="489"/>
  <c r="DX1034" i="489"/>
  <c r="EY1034" i="489" s="1"/>
  <c r="E1034" i="489" s="1"/>
  <c r="DX1035" i="489"/>
  <c r="EY1035" i="489" s="1"/>
  <c r="E1035" i="489" s="1"/>
  <c r="DX1036" i="489"/>
  <c r="EY1036" i="489" s="1"/>
  <c r="E1036" i="489" s="1"/>
  <c r="DX1037" i="489"/>
  <c r="EY1037" i="489" s="1"/>
  <c r="E1037" i="489" s="1"/>
  <c r="DX1061" i="489"/>
  <c r="DX1062" i="489"/>
  <c r="EY1062" i="489" s="1"/>
  <c r="E1062" i="489" s="1"/>
  <c r="DX1063" i="489"/>
  <c r="EY1063" i="489" s="1"/>
  <c r="E1063" i="489" s="1"/>
  <c r="DX1064" i="489"/>
  <c r="EY1064" i="489" s="1"/>
  <c r="E1064" i="489" s="1"/>
  <c r="DX1065" i="489"/>
  <c r="EY1065" i="489" s="1"/>
  <c r="E1065" i="489" s="1"/>
  <c r="DX1054" i="489"/>
  <c r="DX1055" i="489"/>
  <c r="EY1055" i="489" s="1"/>
  <c r="E1055" i="489" s="1"/>
  <c r="DX1056" i="489"/>
  <c r="DX1057" i="489"/>
  <c r="EY1057" i="489" s="1"/>
  <c r="E1057" i="489" s="1"/>
  <c r="DX1058" i="489"/>
  <c r="EY1058" i="489" s="1"/>
  <c r="E1058" i="489" s="1"/>
  <c r="DX1059" i="489"/>
  <c r="EY1059" i="489" s="1"/>
  <c r="E1059" i="489" s="1"/>
  <c r="DX1041" i="489"/>
  <c r="DX1042" i="489"/>
  <c r="DX1043" i="489"/>
  <c r="DX1044" i="489"/>
  <c r="DX1045" i="489"/>
  <c r="DX1046" i="489"/>
  <c r="DX1047" i="489"/>
  <c r="DX1048" i="489"/>
  <c r="EY1048" i="489" s="1"/>
  <c r="E1048" i="489" s="1"/>
  <c r="DX1049" i="489"/>
  <c r="EY1049" i="489" s="1"/>
  <c r="E1049" i="489" s="1"/>
  <c r="DX1051" i="489"/>
  <c r="DX1052" i="489"/>
  <c r="DX1053" i="489"/>
  <c r="AQ73" i="489"/>
  <c r="AQ328" i="489" s="1"/>
  <c r="C780" i="489"/>
  <c r="EY42" i="489"/>
  <c r="B985" i="489"/>
  <c r="B17" i="93"/>
  <c r="C733" i="489"/>
  <c r="C708" i="489"/>
  <c r="C681" i="489"/>
  <c r="C739" i="489"/>
  <c r="C750" i="489"/>
  <c r="C700" i="489"/>
  <c r="C793" i="489"/>
  <c r="C713" i="489"/>
  <c r="C808" i="489"/>
  <c r="C806" i="489"/>
  <c r="C779" i="489"/>
  <c r="C718" i="489"/>
  <c r="C759" i="489"/>
  <c r="C732" i="489"/>
  <c r="C736" i="489"/>
  <c r="C798" i="489"/>
  <c r="C771" i="489"/>
  <c r="C749" i="489"/>
  <c r="C792" i="489"/>
  <c r="C952" i="489"/>
  <c r="C751" i="489"/>
  <c r="C745" i="489"/>
  <c r="C778" i="489"/>
  <c r="C709" i="489"/>
  <c r="C757" i="489"/>
  <c r="C807" i="489"/>
  <c r="C805" i="489"/>
  <c r="C748" i="489"/>
  <c r="C800" i="489"/>
  <c r="C666" i="489"/>
  <c r="C795" i="489"/>
  <c r="C787" i="489"/>
  <c r="C769" i="489"/>
  <c r="C712" i="489"/>
  <c r="C683" i="489"/>
  <c r="C782" i="489"/>
  <c r="C802" i="489"/>
  <c r="C760" i="489"/>
  <c r="C724" i="489"/>
  <c r="C770" i="489"/>
  <c r="C777" i="489"/>
  <c r="C682" i="489"/>
  <c r="C735" i="489"/>
  <c r="C772" i="489"/>
  <c r="C763" i="489"/>
  <c r="C723" i="489"/>
  <c r="C704" i="489"/>
  <c r="C677" i="489"/>
  <c r="C746" i="489"/>
  <c r="C799" i="489"/>
  <c r="C707" i="489"/>
  <c r="C734" i="489"/>
  <c r="C665" i="489"/>
  <c r="C804" i="489"/>
  <c r="C786" i="489"/>
  <c r="G574" i="489"/>
  <c r="F575" i="489"/>
  <c r="C684" i="489"/>
  <c r="C687" i="489"/>
  <c r="DX335" i="489"/>
  <c r="DX332" i="489"/>
  <c r="DX336" i="489"/>
  <c r="DX333" i="489"/>
  <c r="DX327" i="489"/>
  <c r="DX328" i="489"/>
  <c r="DX329" i="489"/>
  <c r="DX330" i="489"/>
  <c r="DX331" i="489"/>
  <c r="DX334" i="489"/>
  <c r="CI56" i="489"/>
  <c r="BU56" i="489"/>
  <c r="DD56" i="489"/>
  <c r="BS176" i="489"/>
  <c r="CQ176" i="489"/>
  <c r="B101" i="93"/>
  <c r="F22" i="134"/>
  <c r="F23" i="134" s="1"/>
  <c r="F27" i="134" s="1"/>
  <c r="I146" i="147" s="1"/>
  <c r="M32" i="298"/>
  <c r="D21" i="173"/>
  <c r="H21" i="173" s="1"/>
  <c r="I21" i="173"/>
  <c r="F27" i="422"/>
  <c r="F28" i="422" s="1"/>
  <c r="F29" i="422" s="1"/>
  <c r="F33" i="422" s="1"/>
  <c r="I95" i="147" s="1"/>
  <c r="H32" i="165"/>
  <c r="G28" i="167"/>
  <c r="EY17" i="489"/>
  <c r="AE371" i="147"/>
  <c r="AE373" i="147" s="1"/>
  <c r="DC997" i="489"/>
  <c r="DC985" i="489"/>
  <c r="M30" i="411"/>
  <c r="EV1000" i="489"/>
  <c r="CF997" i="489"/>
  <c r="EE318" i="489"/>
  <c r="EE43" i="489"/>
  <c r="DD997" i="489"/>
  <c r="DD1004" i="489" s="1"/>
  <c r="DD36" i="489"/>
  <c r="V997" i="489"/>
  <c r="V1004" i="489" s="1"/>
  <c r="EW1001" i="489"/>
  <c r="CZ985" i="489"/>
  <c r="BT985" i="489"/>
  <c r="BT994" i="489" s="1"/>
  <c r="BT26" i="489"/>
  <c r="EY77" i="147"/>
  <c r="AU996" i="489"/>
  <c r="CS371" i="147"/>
  <c r="CS373" i="147" s="1"/>
  <c r="V985" i="489"/>
  <c r="Y371" i="147"/>
  <c r="Y373" i="147" s="1"/>
  <c r="L21" i="306"/>
  <c r="DX995" i="489"/>
  <c r="DX993" i="489"/>
  <c r="EY993" i="489" s="1"/>
  <c r="E993" i="489" s="1"/>
  <c r="DX1003" i="489"/>
  <c r="EY1003" i="489" s="1"/>
  <c r="E1003" i="489" s="1"/>
  <c r="DX1009" i="489"/>
  <c r="EY1009" i="489" s="1"/>
  <c r="E1009" i="489" s="1"/>
  <c r="DX989" i="489"/>
  <c r="DX1007" i="489"/>
  <c r="EY1007" i="489" s="1"/>
  <c r="E1007" i="489" s="1"/>
  <c r="DX1008" i="489"/>
  <c r="EY1008" i="489" s="1"/>
  <c r="E1008" i="489" s="1"/>
  <c r="DX1005" i="489"/>
  <c r="DX1006" i="489"/>
  <c r="EY1006" i="489" s="1"/>
  <c r="E1006" i="489" s="1"/>
  <c r="DX991" i="489"/>
  <c r="DX999" i="489"/>
  <c r="DX1000" i="489"/>
  <c r="DX986" i="489"/>
  <c r="DX992" i="489"/>
  <c r="DX1001" i="489"/>
  <c r="DX990" i="489"/>
  <c r="DX985" i="489"/>
  <c r="DX987" i="489"/>
  <c r="DX1002" i="489"/>
  <c r="DX996" i="489"/>
  <c r="DX988" i="489"/>
  <c r="DX998" i="489"/>
  <c r="DX997" i="489"/>
  <c r="EY338" i="489"/>
  <c r="AA318" i="489"/>
  <c r="AA43" i="489"/>
  <c r="V988" i="489"/>
  <c r="CS998" i="489"/>
  <c r="CS1004" i="489" s="1"/>
  <c r="CF998" i="489"/>
  <c r="BS998" i="489"/>
  <c r="BS1004" i="489" s="1"/>
  <c r="BS36" i="489"/>
  <c r="AF998" i="489"/>
  <c r="AF1004" i="489" s="1"/>
  <c r="AF36" i="489"/>
  <c r="BA43" i="489"/>
  <c r="BA317" i="489"/>
  <c r="C630" i="489"/>
  <c r="C588" i="489"/>
  <c r="C620" i="489"/>
  <c r="M24" i="443"/>
  <c r="M23" i="442"/>
  <c r="DU995" i="489"/>
  <c r="DU1004" i="489" s="1"/>
  <c r="AX995" i="489"/>
  <c r="AX1004" i="489" s="1"/>
  <c r="AH66" i="489"/>
  <c r="CZ206" i="489"/>
  <c r="CH317" i="489"/>
  <c r="DM317" i="489"/>
  <c r="D306" i="489"/>
  <c r="C522" i="489"/>
  <c r="EY242" i="489"/>
  <c r="EY302" i="489"/>
  <c r="EY243" i="489"/>
  <c r="EY303" i="489"/>
  <c r="EY20" i="489"/>
  <c r="EY81" i="489"/>
  <c r="EY291" i="489"/>
  <c r="EY230" i="489"/>
  <c r="EV296" i="489"/>
  <c r="EY143" i="489"/>
  <c r="EY271" i="489"/>
  <c r="EY272" i="489"/>
  <c r="EY203" i="489"/>
  <c r="EY51" i="489"/>
  <c r="EY141" i="489"/>
  <c r="EY110" i="489"/>
  <c r="EY201" i="489"/>
  <c r="EY232" i="489"/>
  <c r="EV176" i="489"/>
  <c r="L236" i="489"/>
  <c r="C550" i="489"/>
  <c r="C545" i="489"/>
  <c r="C552" i="489"/>
  <c r="C551" i="489"/>
  <c r="C557" i="489"/>
  <c r="C523" i="489"/>
  <c r="C548" i="489"/>
  <c r="DF371" i="147"/>
  <c r="DF373" i="147" s="1"/>
  <c r="CZ371" i="147"/>
  <c r="CZ373" i="147" s="1"/>
  <c r="BS371" i="147"/>
  <c r="BS373" i="147" s="1"/>
  <c r="CE371" i="147"/>
  <c r="CE373" i="147" s="1"/>
  <c r="CT176" i="489"/>
  <c r="CT193" i="489" s="1"/>
  <c r="CT332" i="489" s="1"/>
  <c r="CF36" i="489"/>
  <c r="DR176" i="489"/>
  <c r="DR193" i="489" s="1"/>
  <c r="DR332" i="489" s="1"/>
  <c r="CG176" i="489"/>
  <c r="CZ146" i="489"/>
  <c r="EY79" i="489"/>
  <c r="L24" i="323"/>
  <c r="L25" i="434"/>
  <c r="DI371" i="147"/>
  <c r="DI373" i="147" s="1"/>
  <c r="CI371" i="147"/>
  <c r="CI373" i="147" s="1"/>
  <c r="V371" i="147"/>
  <c r="V373" i="147" s="1"/>
  <c r="E26" i="376"/>
  <c r="F26" i="376" s="1"/>
  <c r="F27" i="376" s="1"/>
  <c r="F29" i="376" s="1"/>
  <c r="F33" i="376" s="1"/>
  <c r="I175" i="147" s="1"/>
  <c r="E27" i="350"/>
  <c r="F27" i="350" s="1"/>
  <c r="F28" i="350" s="1"/>
  <c r="F30" i="350" s="1"/>
  <c r="F34" i="350" s="1"/>
  <c r="I174" i="147" s="1"/>
  <c r="EY240" i="489"/>
  <c r="E29" i="469"/>
  <c r="F29" i="469" s="1"/>
  <c r="F30" i="469" s="1"/>
  <c r="F32" i="469" s="1"/>
  <c r="F36" i="469" s="1"/>
  <c r="I219" i="147" s="1"/>
  <c r="F29" i="438"/>
  <c r="F30" i="438" s="1"/>
  <c r="F32" i="438" s="1"/>
  <c r="F36" i="438" s="1"/>
  <c r="I218" i="147" s="1"/>
  <c r="E32" i="205"/>
  <c r="L24" i="426"/>
  <c r="F22" i="183"/>
  <c r="F25" i="183" s="1"/>
  <c r="F26" i="183" s="1"/>
  <c r="F30" i="183" s="1"/>
  <c r="I121" i="147" s="1"/>
  <c r="EY82" i="489"/>
  <c r="L24" i="102"/>
  <c r="E30" i="215"/>
  <c r="F30" i="215" s="1"/>
  <c r="F31" i="215" s="1"/>
  <c r="F32" i="215" s="1"/>
  <c r="F36" i="215" s="1"/>
  <c r="I213" i="147" s="1"/>
  <c r="E30" i="366"/>
  <c r="F30" i="366" s="1"/>
  <c r="F31" i="366" s="1"/>
  <c r="F32" i="366" s="1"/>
  <c r="F36" i="366" s="1"/>
  <c r="I214" i="147" s="1"/>
  <c r="E26" i="391"/>
  <c r="E26" i="214"/>
  <c r="E31" i="89"/>
  <c r="F31" i="89" s="1"/>
  <c r="F32" i="89" s="1"/>
  <c r="F34" i="89" s="1"/>
  <c r="F38" i="89" s="1"/>
  <c r="I194" i="147" s="1"/>
  <c r="E27" i="91"/>
  <c r="F27" i="91" s="1"/>
  <c r="F28" i="91" s="1"/>
  <c r="F30" i="91" s="1"/>
  <c r="F34" i="91" s="1"/>
  <c r="I203" i="147" s="1"/>
  <c r="E27" i="382"/>
  <c r="F27" i="382" s="1"/>
  <c r="F28" i="382" s="1"/>
  <c r="F30" i="382" s="1"/>
  <c r="F34" i="382" s="1"/>
  <c r="I204" i="147" s="1"/>
  <c r="E27" i="383"/>
  <c r="F27" i="383" s="1"/>
  <c r="F28" i="383" s="1"/>
  <c r="F30" i="383" s="1"/>
  <c r="F34" i="383" s="1"/>
  <c r="I205" i="147" s="1"/>
  <c r="E26" i="482"/>
  <c r="F28" i="479"/>
  <c r="F29" i="479" s="1"/>
  <c r="F31" i="479" s="1"/>
  <c r="F35" i="479" s="1"/>
  <c r="I193" i="147" s="1"/>
  <c r="E29" i="213"/>
  <c r="F29" i="213" s="1"/>
  <c r="F30" i="213" s="1"/>
  <c r="E33" i="481"/>
  <c r="F33" i="481" s="1"/>
  <c r="F34" i="481" s="1"/>
  <c r="F36" i="481" s="1"/>
  <c r="F40" i="481" s="1"/>
  <c r="I199" i="147" s="1"/>
  <c r="F28" i="421"/>
  <c r="F29" i="421" s="1"/>
  <c r="F33" i="421" s="1"/>
  <c r="I94" i="147" s="1"/>
  <c r="CF176" i="489"/>
  <c r="L24" i="414"/>
  <c r="F25" i="370"/>
  <c r="F29" i="370" s="1"/>
  <c r="I116" i="147" s="1"/>
  <c r="J25" i="317"/>
  <c r="H25" i="317"/>
  <c r="M27" i="393"/>
  <c r="J24" i="315"/>
  <c r="F30" i="403"/>
  <c r="F31" i="403" s="1"/>
  <c r="F35" i="403" s="1"/>
  <c r="I66" i="147" s="1"/>
  <c r="M28" i="403"/>
  <c r="M30" i="403" s="1"/>
  <c r="AU72" i="147"/>
  <c r="AU442" i="147" s="1"/>
  <c r="L28" i="407"/>
  <c r="L29" i="407" s="1"/>
  <c r="EY19" i="489"/>
  <c r="L29" i="97"/>
  <c r="I32" i="165"/>
  <c r="L32" i="165"/>
  <c r="L34" i="165" s="1"/>
  <c r="AU54" i="147"/>
  <c r="AU88" i="489" s="1"/>
  <c r="AU1052" i="489" s="1"/>
  <c r="AU65" i="147"/>
  <c r="AU435" i="147" s="1"/>
  <c r="L28" i="402"/>
  <c r="L30" i="402" s="1"/>
  <c r="EY18" i="489"/>
  <c r="EY18" i="147"/>
  <c r="F24" i="301"/>
  <c r="F25" i="301" s="1"/>
  <c r="F29" i="301" s="1"/>
  <c r="I89" i="147" s="1"/>
  <c r="M21" i="301"/>
  <c r="M24" i="301" s="1"/>
  <c r="G28" i="407"/>
  <c r="H29" i="446"/>
  <c r="F28" i="410"/>
  <c r="L28" i="410"/>
  <c r="L29" i="410" s="1"/>
  <c r="G29" i="412"/>
  <c r="L29" i="412"/>
  <c r="L30" i="412" s="1"/>
  <c r="EY140" i="489"/>
  <c r="EY231" i="489"/>
  <c r="L24" i="325"/>
  <c r="EY261" i="489"/>
  <c r="EY35" i="147"/>
  <c r="AU87" i="147"/>
  <c r="AU457" i="147" s="1"/>
  <c r="L28" i="92"/>
  <c r="L29" i="92" s="1"/>
  <c r="EY199" i="489"/>
  <c r="EY19" i="147"/>
  <c r="L24" i="301"/>
  <c r="L25" i="173"/>
  <c r="AU67" i="147"/>
  <c r="AU437" i="147" s="1"/>
  <c r="L28" i="404"/>
  <c r="L30" i="404" s="1"/>
  <c r="EY123" i="147"/>
  <c r="L31" i="326"/>
  <c r="DC28" i="147"/>
  <c r="DC398" i="147" s="1"/>
  <c r="L23" i="288"/>
  <c r="L24" i="288" s="1"/>
  <c r="F24" i="288"/>
  <c r="F25" i="288" s="1"/>
  <c r="F29" i="288" s="1"/>
  <c r="I28" i="147" s="1"/>
  <c r="M21" i="288"/>
  <c r="M24" i="288" s="1"/>
  <c r="EY32" i="489"/>
  <c r="EY269" i="489"/>
  <c r="EY80" i="489"/>
  <c r="EY226" i="147"/>
  <c r="EY170" i="489"/>
  <c r="L23" i="437"/>
  <c r="G25" i="300"/>
  <c r="L25" i="300"/>
  <c r="L26" i="300" s="1"/>
  <c r="AU69" i="147"/>
  <c r="AU439" i="147" s="1"/>
  <c r="L28" i="427"/>
  <c r="L30" i="427" s="1"/>
  <c r="F27" i="290"/>
  <c r="F28" i="290" s="1"/>
  <c r="F32" i="290" s="1"/>
  <c r="I43" i="147" s="1"/>
  <c r="I177" i="489" s="1"/>
  <c r="I167" i="93" s="1"/>
  <c r="M23" i="287"/>
  <c r="F23" i="284"/>
  <c r="F24" i="284" s="1"/>
  <c r="F28" i="284" s="1"/>
  <c r="I22" i="147" s="1"/>
  <c r="I27" i="489" s="1"/>
  <c r="M22" i="284"/>
  <c r="M23" i="284" s="1"/>
  <c r="F24" i="285"/>
  <c r="F25" i="285" s="1"/>
  <c r="F29" i="285" s="1"/>
  <c r="I24" i="147" s="1"/>
  <c r="M23" i="285"/>
  <c r="M24" i="285" s="1"/>
  <c r="AU52" i="147"/>
  <c r="AU208" i="489" s="1"/>
  <c r="L31" i="120"/>
  <c r="L33" i="120" s="1"/>
  <c r="AU55" i="147"/>
  <c r="L31" i="298"/>
  <c r="L32" i="298" s="1"/>
  <c r="EY152" i="489"/>
  <c r="EY109" i="489"/>
  <c r="I27" i="418"/>
  <c r="L27" i="418"/>
  <c r="L28" i="418" s="1"/>
  <c r="AU91" i="147"/>
  <c r="AU461" i="147" s="1"/>
  <c r="L29" i="167"/>
  <c r="EY49" i="489"/>
  <c r="L26" i="176"/>
  <c r="EY172" i="489"/>
  <c r="L30" i="411"/>
  <c r="G30" i="396"/>
  <c r="L30" i="396"/>
  <c r="L33" i="396" s="1"/>
  <c r="EY108" i="489"/>
  <c r="I26" i="290"/>
  <c r="L26" i="290"/>
  <c r="L27" i="290" s="1"/>
  <c r="F28" i="169"/>
  <c r="F29" i="169" s="1"/>
  <c r="F33" i="169" s="1"/>
  <c r="I80" i="147" s="1"/>
  <c r="M27" i="169"/>
  <c r="M28" i="169" s="1"/>
  <c r="EY33" i="489"/>
  <c r="EY212" i="489"/>
  <c r="EY21" i="489"/>
  <c r="G24" i="315"/>
  <c r="L24" i="315"/>
  <c r="L25" i="315" s="1"/>
  <c r="DC33" i="147"/>
  <c r="DC403" i="147" s="1"/>
  <c r="DC38" i="147"/>
  <c r="L24" i="441"/>
  <c r="L25" i="441" s="1"/>
  <c r="DC23" i="147"/>
  <c r="DC393" i="147" s="1"/>
  <c r="L22" i="312"/>
  <c r="L23" i="312" s="1"/>
  <c r="EY321" i="147"/>
  <c r="EY142" i="489"/>
  <c r="AJ146" i="489"/>
  <c r="EY228" i="489"/>
  <c r="L27" i="172"/>
  <c r="L24" i="443"/>
  <c r="EY251" i="147"/>
  <c r="F24" i="282"/>
  <c r="F25" i="282" s="1"/>
  <c r="F29" i="282" s="1"/>
  <c r="I20" i="147" s="1"/>
  <c r="M23" i="282"/>
  <c r="M24" i="282" s="1"/>
  <c r="EY237" i="147"/>
  <c r="AU83" i="147"/>
  <c r="L27" i="413"/>
  <c r="L31" i="413" s="1"/>
  <c r="EY249" i="147"/>
  <c r="AU95" i="147"/>
  <c r="L27" i="422"/>
  <c r="L28" i="422" s="1"/>
  <c r="EY62" i="489"/>
  <c r="EY61" i="489"/>
  <c r="EY270" i="489"/>
  <c r="EY34" i="489"/>
  <c r="EY111" i="489"/>
  <c r="EY287" i="489"/>
  <c r="EY112" i="489"/>
  <c r="L24" i="322"/>
  <c r="DC21" i="147"/>
  <c r="L21" i="283"/>
  <c r="L22" i="283" s="1"/>
  <c r="EY25" i="147"/>
  <c r="L27" i="435"/>
  <c r="L25" i="415"/>
  <c r="L23" i="314"/>
  <c r="L24" i="314" s="1"/>
  <c r="DC32" i="147"/>
  <c r="DC402" i="147" s="1"/>
  <c r="G26" i="292"/>
  <c r="L26" i="292"/>
  <c r="L27" i="292" s="1"/>
  <c r="EY84" i="147"/>
  <c r="EY119" i="147"/>
  <c r="I24" i="286"/>
  <c r="L24" i="286"/>
  <c r="L25" i="286" s="1"/>
  <c r="DC27" i="147"/>
  <c r="DC397" i="147" s="1"/>
  <c r="EY117" i="147"/>
  <c r="EY248" i="147"/>
  <c r="F23" i="414"/>
  <c r="F24" i="414" s="1"/>
  <c r="F25" i="414" s="1"/>
  <c r="F29" i="414" s="1"/>
  <c r="I84" i="147" s="1"/>
  <c r="M20" i="414"/>
  <c r="M24" i="414" s="1"/>
  <c r="F22" i="318"/>
  <c r="F23" i="318" s="1"/>
  <c r="F27" i="318" s="1"/>
  <c r="I37" i="147" s="1"/>
  <c r="M21" i="318"/>
  <c r="M22" i="318" s="1"/>
  <c r="F28" i="400"/>
  <c r="L28" i="400"/>
  <c r="L29" i="400" s="1"/>
  <c r="L21" i="171"/>
  <c r="L25" i="171" s="1"/>
  <c r="AU93" i="147"/>
  <c r="L27" i="420"/>
  <c r="L28" i="420" s="1"/>
  <c r="EY92" i="489"/>
  <c r="EY181" i="489"/>
  <c r="EY91" i="489"/>
  <c r="EY122" i="489"/>
  <c r="EY63" i="489"/>
  <c r="EY121" i="489"/>
  <c r="EY139" i="489"/>
  <c r="EY200" i="489"/>
  <c r="EY202" i="489"/>
  <c r="G27" i="421"/>
  <c r="L27" i="421"/>
  <c r="L28" i="421" s="1"/>
  <c r="AU94" i="147"/>
  <c r="AU464" i="147" s="1"/>
  <c r="EY122" i="147"/>
  <c r="DC20" i="147"/>
  <c r="DC390" i="147" s="1"/>
  <c r="L23" i="282"/>
  <c r="L24" i="282" s="1"/>
  <c r="EY263" i="489"/>
  <c r="EY198" i="489"/>
  <c r="L30" i="398"/>
  <c r="DC30" i="147"/>
  <c r="L24" i="308"/>
  <c r="L25" i="308" s="1"/>
  <c r="M22" i="315"/>
  <c r="F30" i="406"/>
  <c r="F31" i="406" s="1"/>
  <c r="F35" i="406" s="1"/>
  <c r="I70" i="147" s="1"/>
  <c r="M28" i="406"/>
  <c r="M30" i="406" s="1"/>
  <c r="EY245" i="147"/>
  <c r="G28" i="428"/>
  <c r="L28" i="428"/>
  <c r="L29" i="428" s="1"/>
  <c r="F27" i="417"/>
  <c r="L27" i="417"/>
  <c r="L28" i="417" s="1"/>
  <c r="EY123" i="489"/>
  <c r="EY183" i="489"/>
  <c r="EY60" i="489"/>
  <c r="AQ276" i="489"/>
  <c r="EY93" i="489"/>
  <c r="EY246" i="147"/>
  <c r="EY229" i="489"/>
  <c r="EY292" i="489"/>
  <c r="L26" i="307"/>
  <c r="DC26" i="147"/>
  <c r="DC396" i="147" s="1"/>
  <c r="L25" i="287"/>
  <c r="L26" i="287" s="1"/>
  <c r="L24" i="423"/>
  <c r="G29" i="446"/>
  <c r="L29" i="446"/>
  <c r="L30" i="446" s="1"/>
  <c r="D23" i="311"/>
  <c r="L23" i="311"/>
  <c r="L24" i="311" s="1"/>
  <c r="L27" i="316"/>
  <c r="F28" i="407"/>
  <c r="F23" i="312"/>
  <c r="F24" i="312" s="1"/>
  <c r="F28" i="312" s="1"/>
  <c r="I23" i="147" s="1"/>
  <c r="M22" i="312"/>
  <c r="M23" i="312" s="1"/>
  <c r="EY153" i="489"/>
  <c r="EY241" i="489"/>
  <c r="EY124" i="489"/>
  <c r="EY290" i="489"/>
  <c r="L30" i="168"/>
  <c r="AU64" i="147"/>
  <c r="AU58" i="489" s="1"/>
  <c r="L29" i="401"/>
  <c r="L30" i="401" s="1"/>
  <c r="L30" i="397"/>
  <c r="G27" i="419"/>
  <c r="L27" i="419"/>
  <c r="L28" i="419" s="1"/>
  <c r="AU92" i="147"/>
  <c r="AU462" i="147" s="1"/>
  <c r="EY167" i="489"/>
  <c r="DC37" i="147"/>
  <c r="L21" i="318"/>
  <c r="L22" i="318" s="1"/>
  <c r="DC22" i="147"/>
  <c r="DC27" i="489" s="1"/>
  <c r="L22" i="284"/>
  <c r="L23" i="284" s="1"/>
  <c r="EY260" i="489"/>
  <c r="G21" i="276"/>
  <c r="L21" i="276"/>
  <c r="L22" i="276" s="1"/>
  <c r="F24" i="415"/>
  <c r="F25" i="415" s="1"/>
  <c r="F26" i="415" s="1"/>
  <c r="F30" i="415" s="1"/>
  <c r="M21" i="415"/>
  <c r="M25" i="415" s="1"/>
  <c r="AU74" i="147"/>
  <c r="L28" i="409"/>
  <c r="L29" i="409" s="1"/>
  <c r="F25" i="308"/>
  <c r="F26" i="308" s="1"/>
  <c r="F30" i="308" s="1"/>
  <c r="I30" i="147" s="1"/>
  <c r="M24" i="308"/>
  <c r="M25" i="308" s="1"/>
  <c r="EY184" i="489"/>
  <c r="EY301" i="489"/>
  <c r="EY87" i="489"/>
  <c r="EY154" i="489"/>
  <c r="EY23" i="489"/>
  <c r="L24" i="425"/>
  <c r="AU66" i="147"/>
  <c r="AU436" i="147" s="1"/>
  <c r="L28" i="403"/>
  <c r="L30" i="403" s="1"/>
  <c r="L22" i="281"/>
  <c r="L24" i="424"/>
  <c r="EY43" i="147"/>
  <c r="AU63" i="147"/>
  <c r="L27" i="166"/>
  <c r="L28" i="166" s="1"/>
  <c r="G23" i="285"/>
  <c r="L23" i="285"/>
  <c r="L24" i="285" s="1"/>
  <c r="F28" i="174"/>
  <c r="M28" i="174" s="1"/>
  <c r="M31" i="174" s="1"/>
  <c r="L28" i="174"/>
  <c r="L31" i="174" s="1"/>
  <c r="F30" i="405"/>
  <c r="F31" i="405" s="1"/>
  <c r="F35" i="405" s="1"/>
  <c r="I68" i="147" s="1"/>
  <c r="M28" i="405"/>
  <c r="M30" i="405" s="1"/>
  <c r="EY213" i="489"/>
  <c r="EY237" i="489"/>
  <c r="EY185" i="489"/>
  <c r="G28" i="405"/>
  <c r="L28" i="405"/>
  <c r="L30" i="405" s="1"/>
  <c r="AU68" i="147"/>
  <c r="AU438" i="147" s="1"/>
  <c r="EY262" i="489"/>
  <c r="L24" i="324"/>
  <c r="L25" i="313"/>
  <c r="L27" i="393"/>
  <c r="L28" i="399"/>
  <c r="L29" i="399" s="1"/>
  <c r="AU59" i="147"/>
  <c r="AU429" i="147" s="1"/>
  <c r="EY113" i="489"/>
  <c r="BM116" i="489"/>
  <c r="F23" i="102"/>
  <c r="F24" i="102" s="1"/>
  <c r="M22" i="102"/>
  <c r="F23" i="437"/>
  <c r="F24" i="437" s="1"/>
  <c r="F28" i="437" s="1"/>
  <c r="I42" i="147" s="1"/>
  <c r="M21" i="437"/>
  <c r="M23" i="437" s="1"/>
  <c r="F22" i="276"/>
  <c r="F23" i="276" s="1"/>
  <c r="F27" i="276" s="1"/>
  <c r="I18" i="147" s="1"/>
  <c r="M21" i="276"/>
  <c r="M22" i="276" s="1"/>
  <c r="F27" i="103"/>
  <c r="L27" i="103"/>
  <c r="L31" i="103" s="1"/>
  <c r="F28" i="408"/>
  <c r="L28" i="408"/>
  <c r="L29" i="408" s="1"/>
  <c r="G27" i="416"/>
  <c r="L27" i="416"/>
  <c r="L29" i="416" s="1"/>
  <c r="EY214" i="489"/>
  <c r="EY50" i="489"/>
  <c r="EY52" i="489"/>
  <c r="G28" i="406"/>
  <c r="L28" i="406"/>
  <c r="L30" i="406" s="1"/>
  <c r="AU70" i="147"/>
  <c r="L23" i="442"/>
  <c r="EY171" i="489"/>
  <c r="DR146" i="489"/>
  <c r="DR163" i="489" s="1"/>
  <c r="DR331" i="489" s="1"/>
  <c r="L25" i="175"/>
  <c r="I27" i="169"/>
  <c r="L27" i="169"/>
  <c r="L28" i="169" s="1"/>
  <c r="AU80" i="147"/>
  <c r="EY289" i="489"/>
  <c r="EY258" i="489"/>
  <c r="EY257" i="489"/>
  <c r="L25" i="317"/>
  <c r="L26" i="317" s="1"/>
  <c r="DC36" i="147"/>
  <c r="EY169" i="489"/>
  <c r="CA216" i="489"/>
  <c r="CF126" i="489"/>
  <c r="D276" i="489"/>
  <c r="CF96" i="489"/>
  <c r="CF103" i="489" s="1"/>
  <c r="CF329" i="489" s="1"/>
  <c r="CZ126" i="489"/>
  <c r="AQ246" i="489"/>
  <c r="BS216" i="489"/>
  <c r="BS223" i="489" s="1"/>
  <c r="BS333" i="489" s="1"/>
  <c r="BT66" i="489"/>
  <c r="CZ36" i="489"/>
  <c r="AT36" i="489"/>
  <c r="CF216" i="489"/>
  <c r="AQ186" i="489"/>
  <c r="AQ193" i="489" s="1"/>
  <c r="AQ332" i="489" s="1"/>
  <c r="CF246" i="489"/>
  <c r="CF253" i="489" s="1"/>
  <c r="CF334" i="489" s="1"/>
  <c r="CZ216" i="489"/>
  <c r="AX126" i="489"/>
  <c r="AX133" i="489" s="1"/>
  <c r="AX330" i="489" s="1"/>
  <c r="CR126" i="489"/>
  <c r="CR133" i="489" s="1"/>
  <c r="AE96" i="489"/>
  <c r="CZ156" i="489"/>
  <c r="AT276" i="489"/>
  <c r="AT283" i="489" s="1"/>
  <c r="AT335" i="489" s="1"/>
  <c r="AK36" i="489"/>
  <c r="CT306" i="489"/>
  <c r="I31" i="298"/>
  <c r="AX216" i="489"/>
  <c r="AX223" i="489" s="1"/>
  <c r="AX333" i="489" s="1"/>
  <c r="DE36" i="489"/>
  <c r="AE306" i="489"/>
  <c r="AE313" i="489" s="1"/>
  <c r="AE336" i="489" s="1"/>
  <c r="Y306" i="489"/>
  <c r="AK276" i="489"/>
  <c r="DV306" i="489"/>
  <c r="AH306" i="489"/>
  <c r="G31" i="298"/>
  <c r="CF306" i="489"/>
  <c r="CF313" i="489" s="1"/>
  <c r="CF336" i="489" s="1"/>
  <c r="DS126" i="489"/>
  <c r="DS322" i="489" s="1"/>
  <c r="BS96" i="489"/>
  <c r="DE156" i="489"/>
  <c r="DE163" i="489" s="1"/>
  <c r="DE331" i="489" s="1"/>
  <c r="CS36" i="489"/>
  <c r="CZ276" i="489"/>
  <c r="AK126" i="489"/>
  <c r="V126" i="489"/>
  <c r="BT186" i="489"/>
  <c r="BT193" i="489" s="1"/>
  <c r="BT332" i="489" s="1"/>
  <c r="AL306" i="489"/>
  <c r="CQ96" i="489"/>
  <c r="CQ103" i="489" s="1"/>
  <c r="CQ329" i="489" s="1"/>
  <c r="BS306" i="489"/>
  <c r="BS313" i="489" s="1"/>
  <c r="BS336" i="489" s="1"/>
  <c r="DE216" i="489"/>
  <c r="DE223" i="489" s="1"/>
  <c r="DE333" i="489" s="1"/>
  <c r="CS276" i="489"/>
  <c r="AK216" i="489"/>
  <c r="CZ66" i="489"/>
  <c r="BR246" i="489"/>
  <c r="AK96" i="489"/>
  <c r="AK103" i="489" s="1"/>
  <c r="AK329" i="489" s="1"/>
  <c r="DE276" i="489"/>
  <c r="V246" i="489"/>
  <c r="EW246" i="489"/>
  <c r="EV246" i="489"/>
  <c r="CF66" i="489"/>
  <c r="CQ66" i="489"/>
  <c r="BR306" i="489"/>
  <c r="AQ126" i="489"/>
  <c r="DL36" i="489"/>
  <c r="AK306" i="489"/>
  <c r="Y246" i="489"/>
  <c r="Y253" i="489" s="1"/>
  <c r="Y334" i="489" s="1"/>
  <c r="EW276" i="489"/>
  <c r="EV276" i="489"/>
  <c r="CF186" i="489"/>
  <c r="CZ186" i="489"/>
  <c r="Y276" i="489"/>
  <c r="BR126" i="489"/>
  <c r="AQ216" i="489"/>
  <c r="AQ223" i="489" s="1"/>
  <c r="AQ333" i="489" s="1"/>
  <c r="DF156" i="489"/>
  <c r="DF163" i="489" s="1"/>
  <c r="DF331" i="489" s="1"/>
  <c r="DL276" i="489"/>
  <c r="DL283" i="489" s="1"/>
  <c r="DL335" i="489" s="1"/>
  <c r="CB96" i="489"/>
  <c r="EW306" i="489"/>
  <c r="L276" i="489"/>
  <c r="Y156" i="489"/>
  <c r="Y163" i="489" s="1"/>
  <c r="Y331" i="489" s="1"/>
  <c r="DU36" i="489"/>
  <c r="CB276" i="489"/>
  <c r="EV306" i="489"/>
  <c r="DF126" i="489"/>
  <c r="CQ186" i="489"/>
  <c r="BR216" i="489"/>
  <c r="AF246" i="489"/>
  <c r="AF253" i="489" s="1"/>
  <c r="AF334" i="489" s="1"/>
  <c r="AK246" i="489"/>
  <c r="CB246" i="489"/>
  <c r="AT126" i="489"/>
  <c r="AT133" i="489" s="1"/>
  <c r="AT330" i="489" s="1"/>
  <c r="AK156" i="489"/>
  <c r="AK163" i="489" s="1"/>
  <c r="AK331" i="489" s="1"/>
  <c r="AH216" i="489"/>
  <c r="AH223" i="489" s="1"/>
  <c r="AH333" i="489" s="1"/>
  <c r="AF126" i="489"/>
  <c r="AF133" i="489" s="1"/>
  <c r="AF330" i="489" s="1"/>
  <c r="DU276" i="489"/>
  <c r="DU283" i="489" s="1"/>
  <c r="DU335" i="489" s="1"/>
  <c r="CV306" i="489"/>
  <c r="CZ246" i="489"/>
  <c r="CZ253" i="489" s="1"/>
  <c r="CZ334" i="489" s="1"/>
  <c r="CZ306" i="489"/>
  <c r="DF216" i="489"/>
  <c r="DF223" i="489" s="1"/>
  <c r="DF333" i="489" s="1"/>
  <c r="DF276" i="489"/>
  <c r="AT216" i="489"/>
  <c r="AT223" i="489" s="1"/>
  <c r="AT333" i="489" s="1"/>
  <c r="AX306" i="489"/>
  <c r="AX313" i="489" s="1"/>
  <c r="AX336" i="489" s="1"/>
  <c r="AF216" i="489"/>
  <c r="AF223" i="489" s="1"/>
  <c r="AF333" i="489" s="1"/>
  <c r="AX36" i="489"/>
  <c r="F22" i="189"/>
  <c r="F23" i="189" s="1"/>
  <c r="F27" i="189" s="1"/>
  <c r="I151" i="147" s="1"/>
  <c r="CA36" i="489"/>
  <c r="AH36" i="489"/>
  <c r="CQ306" i="489"/>
  <c r="CQ313" i="489" s="1"/>
  <c r="CQ336" i="489" s="1"/>
  <c r="AK66" i="489"/>
  <c r="AK186" i="489"/>
  <c r="AK193" i="489" s="1"/>
  <c r="AK332" i="489" s="1"/>
  <c r="CG306" i="489"/>
  <c r="CG322" i="489" s="1"/>
  <c r="V306" i="489"/>
  <c r="V313" i="489" s="1"/>
  <c r="V336" i="489" s="1"/>
  <c r="CQ276" i="489"/>
  <c r="AQ306" i="489"/>
  <c r="AQ313" i="489" s="1"/>
  <c r="AQ336" i="489" s="1"/>
  <c r="AX276" i="489"/>
  <c r="AX283" i="489" s="1"/>
  <c r="AX335" i="489" s="1"/>
  <c r="AH276" i="489"/>
  <c r="AH283" i="489" s="1"/>
  <c r="AH335" i="489" s="1"/>
  <c r="AQ96" i="489"/>
  <c r="AQ103" i="489" s="1"/>
  <c r="AQ329" i="489" s="1"/>
  <c r="BS126" i="489"/>
  <c r="BS133" i="489" s="1"/>
  <c r="BS330" i="489" s="1"/>
  <c r="AX156" i="489"/>
  <c r="AX163" i="489" s="1"/>
  <c r="AX331" i="489" s="1"/>
  <c r="AF156" i="489"/>
  <c r="AF163" i="489" s="1"/>
  <c r="AF331" i="489" s="1"/>
  <c r="H30" i="396"/>
  <c r="CF56" i="489"/>
  <c r="EW296" i="489"/>
  <c r="AH56" i="489"/>
  <c r="F28" i="418"/>
  <c r="F29" i="418" s="1"/>
  <c r="F33" i="418" s="1"/>
  <c r="I91" i="147" s="1"/>
  <c r="EW206" i="489"/>
  <c r="EW236" i="489"/>
  <c r="CV56" i="489"/>
  <c r="CV321" i="489" s="1"/>
  <c r="CN26" i="489"/>
  <c r="J25" i="300"/>
  <c r="CA26" i="489"/>
  <c r="J21" i="370"/>
  <c r="CZ96" i="489"/>
  <c r="DR236" i="489"/>
  <c r="DR253" i="489" s="1"/>
  <c r="DR334" i="489" s="1"/>
  <c r="AK236" i="489"/>
  <c r="EW176" i="489"/>
  <c r="CS176" i="489"/>
  <c r="EW116" i="489"/>
  <c r="DV56" i="489"/>
  <c r="DV321" i="489" s="1"/>
  <c r="EW56" i="489"/>
  <c r="AJ86" i="489"/>
  <c r="AJ103" i="489" s="1"/>
  <c r="AJ329" i="489" s="1"/>
  <c r="CB236" i="489"/>
  <c r="DR296" i="489"/>
  <c r="DR313" i="489" s="1"/>
  <c r="DR336" i="489" s="1"/>
  <c r="BM86" i="489"/>
  <c r="EW26" i="489"/>
  <c r="BR146" i="489"/>
  <c r="AQ236" i="489"/>
  <c r="CT56" i="489"/>
  <c r="AJ236" i="489"/>
  <c r="AJ253" i="489" s="1"/>
  <c r="AJ334" i="489" s="1"/>
  <c r="DR206" i="489"/>
  <c r="DR223" i="489" s="1"/>
  <c r="DR333" i="489" s="1"/>
  <c r="BM206" i="489"/>
  <c r="EW146" i="489"/>
  <c r="BR236" i="489"/>
  <c r="EW86" i="489"/>
  <c r="CG86" i="489"/>
  <c r="CQ246" i="489"/>
  <c r="CQ253" i="489" s="1"/>
  <c r="CQ334" i="489" s="1"/>
  <c r="CF276" i="489"/>
  <c r="N206" i="489"/>
  <c r="N321" i="489" s="1"/>
  <c r="AX66" i="489"/>
  <c r="CZ86" i="489"/>
  <c r="V146" i="489"/>
  <c r="EV86" i="489"/>
  <c r="CQ126" i="489"/>
  <c r="Y96" i="489"/>
  <c r="EW36" i="489"/>
  <c r="AX186" i="489"/>
  <c r="AX193" i="489" s="1"/>
  <c r="AX332" i="489" s="1"/>
  <c r="CZ116" i="489"/>
  <c r="CL313" i="489"/>
  <c r="CL316" i="489"/>
  <c r="DU193" i="489"/>
  <c r="DU332" i="489" s="1"/>
  <c r="DU316" i="489"/>
  <c r="DD193" i="489"/>
  <c r="DD332" i="489" s="1"/>
  <c r="Y186" i="489"/>
  <c r="Y193" i="489" s="1"/>
  <c r="Y332" i="489" s="1"/>
  <c r="EV116" i="489"/>
  <c r="EW66" i="489"/>
  <c r="V116" i="489"/>
  <c r="H116" i="489"/>
  <c r="EV36" i="489"/>
  <c r="Y36" i="489"/>
  <c r="AE126" i="489"/>
  <c r="AE133" i="489" s="1"/>
  <c r="AE330" i="489" s="1"/>
  <c r="EV146" i="489"/>
  <c r="EW96" i="489"/>
  <c r="AN43" i="489"/>
  <c r="AJ36" i="489"/>
  <c r="DC206" i="489"/>
  <c r="EV66" i="489"/>
  <c r="F296" i="489"/>
  <c r="AE216" i="489"/>
  <c r="DR73" i="489"/>
  <c r="DR328" i="489" s="1"/>
  <c r="AJ176" i="489"/>
  <c r="AJ193" i="489" s="1"/>
  <c r="AJ332" i="489" s="1"/>
  <c r="CZ26" i="489"/>
  <c r="EW126" i="489"/>
  <c r="U126" i="489"/>
  <c r="AJ156" i="489"/>
  <c r="EV96" i="489"/>
  <c r="V156" i="489"/>
  <c r="V36" i="489"/>
  <c r="AJ73" i="489"/>
  <c r="AJ328" i="489" s="1"/>
  <c r="D246" i="489"/>
  <c r="EV206" i="489"/>
  <c r="AO43" i="489"/>
  <c r="EW156" i="489"/>
  <c r="U116" i="489"/>
  <c r="EV126" i="489"/>
  <c r="CO43" i="489"/>
  <c r="DC296" i="489"/>
  <c r="AQ156" i="489"/>
  <c r="AQ163" i="489" s="1"/>
  <c r="AQ331" i="489" s="1"/>
  <c r="U296" i="489"/>
  <c r="U313" i="489" s="1"/>
  <c r="U336" i="489" s="1"/>
  <c r="CQ36" i="489"/>
  <c r="EW186" i="489"/>
  <c r="E236" i="489"/>
  <c r="EV156" i="489"/>
  <c r="Y126" i="489"/>
  <c r="Y133" i="489" s="1"/>
  <c r="Y330" i="489" s="1"/>
  <c r="V216" i="489"/>
  <c r="BR66" i="489"/>
  <c r="V56" i="489"/>
  <c r="V176" i="489"/>
  <c r="CQ156" i="489"/>
  <c r="CQ163" i="489" s="1"/>
  <c r="CQ331" i="489" s="1"/>
  <c r="AE26" i="489"/>
  <c r="EW216" i="489"/>
  <c r="DC246" i="489"/>
  <c r="DC253" i="489" s="1"/>
  <c r="DC334" i="489" s="1"/>
  <c r="EV186" i="489"/>
  <c r="Y216" i="489"/>
  <c r="Y223" i="489" s="1"/>
  <c r="Y333" i="489" s="1"/>
  <c r="BR96" i="489"/>
  <c r="BR103" i="489" s="1"/>
  <c r="BR329" i="489" s="1"/>
  <c r="E296" i="489"/>
  <c r="V96" i="489"/>
  <c r="CN163" i="489"/>
  <c r="CN331" i="489" s="1"/>
  <c r="CQ216" i="489"/>
  <c r="CQ223" i="489" s="1"/>
  <c r="CQ333" i="489" s="1"/>
  <c r="AE86" i="489"/>
  <c r="D296" i="489"/>
  <c r="EV216" i="489"/>
  <c r="V186" i="489"/>
  <c r="U26" i="489"/>
  <c r="BR186" i="489"/>
  <c r="BR193" i="489" s="1"/>
  <c r="BR332" i="489" s="1"/>
  <c r="AF96" i="489"/>
  <c r="AE146" i="489"/>
  <c r="AE163" i="489" s="1"/>
  <c r="AE331" i="489" s="1"/>
  <c r="D146" i="489"/>
  <c r="U146" i="489"/>
  <c r="U163" i="489" s="1"/>
  <c r="U331" i="489" s="1"/>
  <c r="X313" i="489"/>
  <c r="X316" i="489"/>
  <c r="AE206" i="489"/>
  <c r="U206" i="489"/>
  <c r="AH126" i="489"/>
  <c r="G296" i="489"/>
  <c r="G236" i="489"/>
  <c r="V236" i="489"/>
  <c r="V86" i="489"/>
  <c r="AF56" i="489"/>
  <c r="EV26" i="489"/>
  <c r="V66" i="489"/>
  <c r="D236" i="489"/>
  <c r="V206" i="489"/>
  <c r="EV56" i="489"/>
  <c r="J176" i="489"/>
  <c r="F32" i="310"/>
  <c r="J26" i="292"/>
  <c r="F22" i="182"/>
  <c r="E19" i="233" s="1"/>
  <c r="F19" i="233" s="1"/>
  <c r="F21" i="233" s="1"/>
  <c r="F22" i="233" s="1"/>
  <c r="F26" i="233" s="1"/>
  <c r="I226" i="147" s="1"/>
  <c r="J27" i="421"/>
  <c r="F31" i="120"/>
  <c r="M31" i="120" s="1"/>
  <c r="M33" i="120" s="1"/>
  <c r="J20" i="371"/>
  <c r="F27" i="413"/>
  <c r="M27" i="413" s="1"/>
  <c r="F37" i="221"/>
  <c r="F41" i="221" s="1"/>
  <c r="I224" i="147" s="1"/>
  <c r="F22" i="184"/>
  <c r="E19" i="358" s="1"/>
  <c r="F19" i="358" s="1"/>
  <c r="F21" i="358" s="1"/>
  <c r="F22" i="358" s="1"/>
  <c r="F26" i="358" s="1"/>
  <c r="I227" i="147" s="1"/>
  <c r="J21" i="184"/>
  <c r="I27" i="413"/>
  <c r="G27" i="413"/>
  <c r="F32" i="298"/>
  <c r="F33" i="298" s="1"/>
  <c r="F37" i="298" s="1"/>
  <c r="I55" i="147" s="1"/>
  <c r="F22" i="373"/>
  <c r="F24" i="373" s="1"/>
  <c r="F25" i="373" s="1"/>
  <c r="F29" i="373" s="1"/>
  <c r="I122" i="147" s="1"/>
  <c r="J21" i="372"/>
  <c r="F28" i="409"/>
  <c r="I28" i="409"/>
  <c r="G28" i="409"/>
  <c r="H28" i="405"/>
  <c r="F29" i="428"/>
  <c r="F30" i="428" s="1"/>
  <c r="F34" i="428" s="1"/>
  <c r="I76" i="147" s="1"/>
  <c r="F34" i="380"/>
  <c r="F38" i="380" s="1"/>
  <c r="I207" i="147" s="1"/>
  <c r="G28" i="410"/>
  <c r="G27" i="420"/>
  <c r="F30" i="401"/>
  <c r="F31" i="401" s="1"/>
  <c r="F35" i="401" s="1"/>
  <c r="I64" i="147" s="1"/>
  <c r="I58" i="489" s="1"/>
  <c r="I56" i="93" s="1"/>
  <c r="I27" i="420"/>
  <c r="F26" i="307"/>
  <c r="F27" i="307" s="1"/>
  <c r="F31" i="307" s="1"/>
  <c r="I29" i="147" s="1"/>
  <c r="F27" i="420"/>
  <c r="F29" i="399"/>
  <c r="F30" i="399" s="1"/>
  <c r="F34" i="399" s="1"/>
  <c r="I59" i="147" s="1"/>
  <c r="F29" i="412"/>
  <c r="H28" i="92"/>
  <c r="H28" i="399"/>
  <c r="J27" i="417"/>
  <c r="H27" i="169"/>
  <c r="EY372" i="147"/>
  <c r="BM373" i="147"/>
  <c r="J20" i="182"/>
  <c r="H27" i="166"/>
  <c r="G31" i="120"/>
  <c r="I31" i="120"/>
  <c r="H27" i="416"/>
  <c r="U373" i="147"/>
  <c r="I29" i="412"/>
  <c r="AU79" i="147"/>
  <c r="F30" i="168"/>
  <c r="F31" i="168" s="1"/>
  <c r="F35" i="168" s="1"/>
  <c r="I77" i="147" s="1"/>
  <c r="I28" i="489" s="1"/>
  <c r="I28" i="93" s="1"/>
  <c r="F30" i="427"/>
  <c r="F31" i="427" s="1"/>
  <c r="F35" i="427" s="1"/>
  <c r="I69" i="147" s="1"/>
  <c r="D210" i="93"/>
  <c r="F33" i="396"/>
  <c r="F34" i="396" s="1"/>
  <c r="F38" i="396" s="1"/>
  <c r="I53" i="147" s="1"/>
  <c r="E126" i="93"/>
  <c r="I28" i="410"/>
  <c r="AU75" i="147"/>
  <c r="D42" i="93"/>
  <c r="E19" i="131"/>
  <c r="F19" i="131" s="1"/>
  <c r="F21" i="131" s="1"/>
  <c r="F22" i="131" s="1"/>
  <c r="F26" i="131" s="1"/>
  <c r="I225" i="147" s="1"/>
  <c r="I210" i="489" s="1"/>
  <c r="I198" i="93" s="1"/>
  <c r="F25" i="129"/>
  <c r="F26" i="129" s="1"/>
  <c r="F30" i="129" s="1"/>
  <c r="I117" i="147" s="1"/>
  <c r="F34" i="222"/>
  <c r="F38" i="222" s="1"/>
  <c r="I206" i="147" s="1"/>
  <c r="E26" i="219"/>
  <c r="F26" i="219" s="1"/>
  <c r="E33" i="309"/>
  <c r="F33" i="309" s="1"/>
  <c r="F34" i="309" s="1"/>
  <c r="F36" i="309" s="1"/>
  <c r="F40" i="309" s="1"/>
  <c r="I196" i="147" s="1"/>
  <c r="E210" i="93"/>
  <c r="F210" i="93"/>
  <c r="G210" i="93"/>
  <c r="EB373" i="147"/>
  <c r="G21" i="173"/>
  <c r="DC106" i="147"/>
  <c r="J28" i="167"/>
  <c r="H28" i="167"/>
  <c r="I27" i="417"/>
  <c r="G27" i="417"/>
  <c r="AU90" i="147"/>
  <c r="J28" i="407"/>
  <c r="H28" i="407"/>
  <c r="I28" i="167"/>
  <c r="AU71" i="147"/>
  <c r="E24" i="177"/>
  <c r="F24" i="177" s="1"/>
  <c r="F27" i="177" s="1"/>
  <c r="F28" i="177" s="1"/>
  <c r="F32" i="177" s="1"/>
  <c r="I112" i="147" s="1"/>
  <c r="E31" i="208"/>
  <c r="F31" i="208" s="1"/>
  <c r="F32" i="208" s="1"/>
  <c r="F34" i="208" s="1"/>
  <c r="F38" i="208" s="1"/>
  <c r="I200" i="147" s="1"/>
  <c r="I28" i="428"/>
  <c r="AU76" i="147"/>
  <c r="J28" i="428"/>
  <c r="H28" i="428"/>
  <c r="I27" i="416"/>
  <c r="AU85" i="147"/>
  <c r="H21" i="373"/>
  <c r="J21" i="373"/>
  <c r="H26" i="174"/>
  <c r="J26" i="174"/>
  <c r="H20" i="171"/>
  <c r="J20" i="171"/>
  <c r="H20" i="183"/>
  <c r="J20" i="183"/>
  <c r="H20" i="129"/>
  <c r="J20" i="129"/>
  <c r="I28" i="408"/>
  <c r="G28" i="408"/>
  <c r="AU73" i="147"/>
  <c r="J27" i="418"/>
  <c r="H27" i="418"/>
  <c r="H21" i="182"/>
  <c r="J21" i="182"/>
  <c r="J20" i="173"/>
  <c r="H20" i="173"/>
  <c r="J21" i="97"/>
  <c r="H21" i="97"/>
  <c r="J20" i="189"/>
  <c r="H20" i="189"/>
  <c r="H29" i="398"/>
  <c r="J29" i="398"/>
  <c r="J26" i="393"/>
  <c r="H26" i="393"/>
  <c r="J23" i="282"/>
  <c r="H23" i="282"/>
  <c r="G30" i="103"/>
  <c r="I30" i="103"/>
  <c r="J81" i="147"/>
  <c r="J29" i="397"/>
  <c r="H29" i="397"/>
  <c r="H28" i="400"/>
  <c r="J28" i="400"/>
  <c r="H19" i="379"/>
  <c r="J19" i="379"/>
  <c r="J21" i="379"/>
  <c r="H21" i="379"/>
  <c r="H21" i="371"/>
  <c r="J21" i="371"/>
  <c r="H24" i="308"/>
  <c r="J24" i="308"/>
  <c r="J20" i="370"/>
  <c r="H20" i="370"/>
  <c r="J20" i="172"/>
  <c r="H20" i="172"/>
  <c r="J21" i="318"/>
  <c r="J25" i="287"/>
  <c r="H25" i="287"/>
  <c r="H30" i="103"/>
  <c r="J30" i="103"/>
  <c r="G29" i="397"/>
  <c r="F29" i="397"/>
  <c r="I29" i="397"/>
  <c r="AU57" i="147"/>
  <c r="G28" i="400"/>
  <c r="I28" i="400"/>
  <c r="AU60" i="147"/>
  <c r="F33" i="310"/>
  <c r="H21" i="134"/>
  <c r="J21" i="134"/>
  <c r="J21" i="173"/>
  <c r="G23" i="97"/>
  <c r="D23" i="97"/>
  <c r="I23" i="97"/>
  <c r="F23" i="97"/>
  <c r="DC107" i="147"/>
  <c r="H27" i="419"/>
  <c r="J27" i="419"/>
  <c r="J22" i="284"/>
  <c r="H22" i="284"/>
  <c r="J28" i="403"/>
  <c r="H28" i="403"/>
  <c r="I27" i="103"/>
  <c r="G27" i="103"/>
  <c r="AU81" i="147"/>
  <c r="AU451" i="147" s="1"/>
  <c r="H21" i="183"/>
  <c r="J21" i="183"/>
  <c r="G28" i="174"/>
  <c r="I28" i="174"/>
  <c r="DC108" i="147"/>
  <c r="H29" i="401"/>
  <c r="H26" i="290"/>
  <c r="J26" i="290"/>
  <c r="J21" i="129"/>
  <c r="H21" i="129"/>
  <c r="J23" i="288"/>
  <c r="J28" i="427"/>
  <c r="H28" i="427"/>
  <c r="G29" i="398"/>
  <c r="I29" i="398"/>
  <c r="F29" i="398"/>
  <c r="AU58" i="147"/>
  <c r="J20" i="373"/>
  <c r="H20" i="373"/>
  <c r="I21" i="172"/>
  <c r="F21" i="172"/>
  <c r="G21" i="172"/>
  <c r="D21" i="172"/>
  <c r="DC105" i="147"/>
  <c r="H27" i="103"/>
  <c r="J27" i="103"/>
  <c r="J22" i="312"/>
  <c r="H22" i="312"/>
  <c r="F30" i="90"/>
  <c r="I240" i="147" s="1"/>
  <c r="E29" i="180"/>
  <c r="F29" i="180" s="1"/>
  <c r="E29" i="181"/>
  <c r="F29" i="181" s="1"/>
  <c r="F19" i="365"/>
  <c r="F21" i="365" s="1"/>
  <c r="F22" i="365" s="1"/>
  <c r="F26" i="365" s="1"/>
  <c r="I252" i="147" s="1"/>
  <c r="E19" i="362"/>
  <c r="F19" i="362" s="1"/>
  <c r="F23" i="362" s="1"/>
  <c r="F24" i="362" s="1"/>
  <c r="F28" i="362" s="1"/>
  <c r="I251" i="147" s="1"/>
  <c r="F161" i="87"/>
  <c r="E26" i="390"/>
  <c r="F26" i="390" s="1"/>
  <c r="E25" i="205"/>
  <c r="F25" i="205" s="1"/>
  <c r="E21" i="127"/>
  <c r="F21" i="127" s="1"/>
  <c r="E19" i="128"/>
  <c r="F19" i="128" s="1"/>
  <c r="E19" i="130"/>
  <c r="F19" i="130" s="1"/>
  <c r="E21" i="128"/>
  <c r="F21" i="128" s="1"/>
  <c r="F32" i="205"/>
  <c r="E21" i="130"/>
  <c r="F21" i="130" s="1"/>
  <c r="E19" i="277"/>
  <c r="F19" i="277" s="1"/>
  <c r="F25" i="277" s="1"/>
  <c r="F26" i="277" s="1"/>
  <c r="F30" i="277" s="1"/>
  <c r="I12" i="147" s="1"/>
  <c r="E19" i="113"/>
  <c r="F19" i="113" s="1"/>
  <c r="F23" i="113" s="1"/>
  <c r="F24" i="113" s="1"/>
  <c r="F28" i="113" s="1"/>
  <c r="I11" i="147" s="1"/>
  <c r="E19" i="394"/>
  <c r="F19" i="394" s="1"/>
  <c r="F23" i="394" s="1"/>
  <c r="F24" i="394" s="1"/>
  <c r="F28" i="394" s="1"/>
  <c r="I303" i="147" s="1"/>
  <c r="E19" i="304"/>
  <c r="F19" i="304" s="1"/>
  <c r="F25" i="304" s="1"/>
  <c r="F26" i="304" s="1"/>
  <c r="F30" i="304" s="1"/>
  <c r="I304" i="147" s="1"/>
  <c r="DX373" i="147"/>
  <c r="F30" i="379"/>
  <c r="F31" i="379" s="1"/>
  <c r="F35" i="379" s="1"/>
  <c r="I321" i="147" s="1"/>
  <c r="E19" i="212"/>
  <c r="F19" i="212" s="1"/>
  <c r="E21" i="115"/>
  <c r="F21" i="115" s="1"/>
  <c r="E20" i="212"/>
  <c r="F20" i="212" s="1"/>
  <c r="E19" i="115"/>
  <c r="F19" i="115" s="1"/>
  <c r="N373" i="147"/>
  <c r="BR1256" i="489" l="1"/>
  <c r="AH313" i="489"/>
  <c r="AH336" i="489" s="1"/>
  <c r="C103" i="489"/>
  <c r="E116" i="489"/>
  <c r="AU316" i="489"/>
  <c r="D66" i="489"/>
  <c r="J24" i="286"/>
  <c r="J21" i="283"/>
  <c r="EY31" i="147"/>
  <c r="AT1088" i="489"/>
  <c r="EY1143" i="489"/>
  <c r="E1143" i="489" s="1"/>
  <c r="CW1106" i="489"/>
  <c r="CW1264" i="489" s="1"/>
  <c r="CW1267" i="489" s="1"/>
  <c r="EY29" i="147"/>
  <c r="W321" i="489"/>
  <c r="AK1144" i="489"/>
  <c r="AK1151" i="489" s="1"/>
  <c r="EV1060" i="489"/>
  <c r="Y313" i="489"/>
  <c r="Y336" i="489" s="1"/>
  <c r="G19" i="93"/>
  <c r="H24" i="441"/>
  <c r="F26" i="317"/>
  <c r="F27" i="317" s="1"/>
  <c r="F31" i="317" s="1"/>
  <c r="I36" i="147" s="1"/>
  <c r="F22" i="283"/>
  <c r="F23" i="283" s="1"/>
  <c r="F27" i="283" s="1"/>
  <c r="I21" i="147" s="1"/>
  <c r="I147" i="489" s="1"/>
  <c r="I139" i="93" s="1"/>
  <c r="M25" i="315"/>
  <c r="F25" i="315"/>
  <c r="F26" i="315" s="1"/>
  <c r="F30" i="315" s="1"/>
  <c r="I33" i="147" s="1"/>
  <c r="U223" i="489"/>
  <c r="U333" i="489" s="1"/>
  <c r="M28" i="404"/>
  <c r="M30" i="404" s="1"/>
  <c r="G86" i="489"/>
  <c r="D1136" i="489"/>
  <c r="M23" i="311"/>
  <c r="M24" i="311" s="1"/>
  <c r="DC415" i="147"/>
  <c r="EY415" i="147" s="1"/>
  <c r="G77" i="93"/>
  <c r="AO317" i="489"/>
  <c r="CF323" i="489"/>
  <c r="F30" i="402"/>
  <c r="F31" i="402" s="1"/>
  <c r="F35" i="402" s="1"/>
  <c r="I65" i="147" s="1"/>
  <c r="H25" i="307"/>
  <c r="AK1179" i="489"/>
  <c r="EV1162" i="489"/>
  <c r="EV1179" i="489" s="1"/>
  <c r="F30" i="446"/>
  <c r="F31" i="446" s="1"/>
  <c r="F35" i="446" s="1"/>
  <c r="I56" i="147" s="1"/>
  <c r="I148" i="489" s="1"/>
  <c r="I140" i="93" s="1"/>
  <c r="D126" i="489"/>
  <c r="CB1060" i="489"/>
  <c r="EY1105" i="489"/>
  <c r="E1105" i="489" s="1"/>
  <c r="CS313" i="489"/>
  <c r="CS336" i="489" s="1"/>
  <c r="H28" i="404"/>
  <c r="CF1144" i="489"/>
  <c r="EV1022" i="489"/>
  <c r="EV1039" i="489" s="1"/>
  <c r="EY44" i="147"/>
  <c r="EY416" i="147"/>
  <c r="I416" i="147" s="1"/>
  <c r="H23" i="285"/>
  <c r="J24" i="313"/>
  <c r="EY683" i="147"/>
  <c r="I683" i="147" s="1"/>
  <c r="H28" i="406"/>
  <c r="F29" i="92"/>
  <c r="F30" i="92" s="1"/>
  <c r="F34" i="92" s="1"/>
  <c r="I87" i="147" s="1"/>
  <c r="CQ1256" i="489"/>
  <c r="CQ1263" i="489" s="1"/>
  <c r="E168" i="93"/>
  <c r="AL321" i="489"/>
  <c r="AL313" i="489"/>
  <c r="AL336" i="489" s="1"/>
  <c r="DC1246" i="489"/>
  <c r="D86" i="489"/>
  <c r="U1263" i="489"/>
  <c r="D987" i="489"/>
  <c r="D1045" i="489"/>
  <c r="AK223" i="489"/>
  <c r="AK333" i="489" s="1"/>
  <c r="U1162" i="489"/>
  <c r="U1179" i="489" s="1"/>
  <c r="D999" i="489"/>
  <c r="M26" i="287"/>
  <c r="DE316" i="489"/>
  <c r="AK313" i="489"/>
  <c r="AK336" i="489" s="1"/>
  <c r="F26" i="287"/>
  <c r="F27" i="287" s="1"/>
  <c r="F31" i="287" s="1"/>
  <c r="I26" i="147" s="1"/>
  <c r="V1067" i="489"/>
  <c r="J1011" i="489"/>
  <c r="CB133" i="489"/>
  <c r="CB330" i="489" s="1"/>
  <c r="CE1123" i="489"/>
  <c r="BR313" i="489"/>
  <c r="BR336" i="489" s="1"/>
  <c r="C223" i="489"/>
  <c r="M28" i="167"/>
  <c r="M29" i="167" s="1"/>
  <c r="V1190" i="489"/>
  <c r="V1207" i="489" s="1"/>
  <c r="H22" i="281"/>
  <c r="D116" i="489"/>
  <c r="D133" i="489" s="1"/>
  <c r="D135" i="489" s="1"/>
  <c r="M27" i="419"/>
  <c r="M28" i="419" s="1"/>
  <c r="F34" i="165"/>
  <c r="F35" i="165" s="1"/>
  <c r="F39" i="165" s="1"/>
  <c r="I54" i="147" s="1"/>
  <c r="I88" i="489" s="1"/>
  <c r="I84" i="93" s="1"/>
  <c r="CB1039" i="489"/>
  <c r="F116" i="489"/>
  <c r="G56" i="489"/>
  <c r="EY737" i="147"/>
  <c r="C737" i="147" s="1"/>
  <c r="AT1095" i="489"/>
  <c r="AL1256" i="489"/>
  <c r="AL1263" i="489" s="1"/>
  <c r="D1126" i="489"/>
  <c r="D206" i="489"/>
  <c r="F24" i="127"/>
  <c r="F25" i="127" s="1"/>
  <c r="F29" i="127" s="1"/>
  <c r="I308" i="147" s="1"/>
  <c r="BR223" i="489"/>
  <c r="BR333" i="489" s="1"/>
  <c r="M24" i="441"/>
  <c r="M25" i="441" s="1"/>
  <c r="AU1050" i="489"/>
  <c r="C670" i="489"/>
  <c r="F56" i="489"/>
  <c r="EY1073" i="489"/>
  <c r="E1073" i="489" s="1"/>
  <c r="D156" i="489"/>
  <c r="D216" i="489"/>
  <c r="F25" i="313"/>
  <c r="F26" i="313" s="1"/>
  <c r="F30" i="313" s="1"/>
  <c r="I31" i="147" s="1"/>
  <c r="EY987" i="489"/>
  <c r="E987" i="489" s="1"/>
  <c r="EW1116" i="489"/>
  <c r="I120" i="93"/>
  <c r="G75" i="93"/>
  <c r="C789" i="489"/>
  <c r="EY599" i="147"/>
  <c r="I599" i="147" s="1"/>
  <c r="EV1144" i="489"/>
  <c r="DE1228" i="489"/>
  <c r="D140" i="93"/>
  <c r="D986" i="489"/>
  <c r="D1108" i="489"/>
  <c r="CT321" i="489"/>
  <c r="EY999" i="489"/>
  <c r="E999" i="489" s="1"/>
  <c r="BN1039" i="489"/>
  <c r="CH328" i="489"/>
  <c r="CH337" i="489" s="1"/>
  <c r="D18" i="93"/>
  <c r="G146" i="489"/>
  <c r="EY1030" i="489"/>
  <c r="E1030" i="489" s="1"/>
  <c r="BM133" i="489"/>
  <c r="BM330" i="489" s="1"/>
  <c r="J28" i="402"/>
  <c r="EY1254" i="489"/>
  <c r="E1254" i="489" s="1"/>
  <c r="J23" i="314"/>
  <c r="CZ1256" i="489"/>
  <c r="D1154" i="489"/>
  <c r="D186" i="93"/>
  <c r="Z1106" i="489"/>
  <c r="Z1123" i="489" s="1"/>
  <c r="F19" i="93"/>
  <c r="D1138" i="489"/>
  <c r="J21" i="171"/>
  <c r="AK133" i="489"/>
  <c r="AK330" i="489" s="1"/>
  <c r="J1265" i="489"/>
  <c r="D186" i="489"/>
  <c r="L317" i="489"/>
  <c r="CF1246" i="489"/>
  <c r="CF1263" i="489" s="1"/>
  <c r="AQ133" i="489"/>
  <c r="AQ330" i="489" s="1"/>
  <c r="AN1235" i="489"/>
  <c r="CZ1144" i="489"/>
  <c r="AJ1078" i="489"/>
  <c r="AJ1095" i="489" s="1"/>
  <c r="BK321" i="489"/>
  <c r="EY738" i="147"/>
  <c r="C738" i="147" s="1"/>
  <c r="J1050" i="489"/>
  <c r="J1067" i="489" s="1"/>
  <c r="EY1142" i="489"/>
  <c r="E1142" i="489" s="1"/>
  <c r="C721" i="489"/>
  <c r="EY1086" i="489"/>
  <c r="E1086" i="489" s="1"/>
  <c r="F186" i="93"/>
  <c r="CV322" i="489"/>
  <c r="BR1004" i="489"/>
  <c r="E86" i="489"/>
  <c r="EY1131" i="489"/>
  <c r="E1131" i="489" s="1"/>
  <c r="D96" i="489"/>
  <c r="J322" i="489"/>
  <c r="BR1263" i="489"/>
  <c r="E75" i="93"/>
  <c r="EY1056" i="489"/>
  <c r="E1056" i="489" s="1"/>
  <c r="EY1170" i="489"/>
  <c r="E1170" i="489" s="1"/>
  <c r="I27" i="93"/>
  <c r="CQ1004" i="489"/>
  <c r="CQ1011" i="489" s="1"/>
  <c r="DC391" i="147"/>
  <c r="DC147" i="489"/>
  <c r="DC994" i="489"/>
  <c r="C398" i="489"/>
  <c r="F23" i="171"/>
  <c r="E104" i="93"/>
  <c r="EA73" i="489"/>
  <c r="EA322" i="489"/>
  <c r="EA317" i="489"/>
  <c r="I31" i="93"/>
  <c r="C441" i="489"/>
  <c r="G168" i="93"/>
  <c r="EY739" i="147"/>
  <c r="C739" i="147" s="1"/>
  <c r="C706" i="489"/>
  <c r="D104" i="93"/>
  <c r="EA1265" i="489"/>
  <c r="EA1267" i="489" s="1"/>
  <c r="EA1039" i="489"/>
  <c r="I131" i="93"/>
  <c r="I59" i="489"/>
  <c r="I57" i="93" s="1"/>
  <c r="I64" i="93" s="1"/>
  <c r="I179" i="489"/>
  <c r="I169" i="93" s="1"/>
  <c r="I172" i="489"/>
  <c r="I162" i="93" s="1"/>
  <c r="I166" i="93" s="1"/>
  <c r="I110" i="489"/>
  <c r="I81" i="489"/>
  <c r="I146" i="489"/>
  <c r="I49" i="489"/>
  <c r="I202" i="489"/>
  <c r="I190" i="93" s="1"/>
  <c r="I194" i="93" s="1"/>
  <c r="I18" i="489"/>
  <c r="I18" i="93" s="1"/>
  <c r="EW1050" i="489"/>
  <c r="EW1067" i="489" s="1"/>
  <c r="F104" i="93"/>
  <c r="I19" i="93"/>
  <c r="EY1129" i="489"/>
  <c r="E1129" i="489" s="1"/>
  <c r="EY989" i="489"/>
  <c r="E989" i="489" s="1"/>
  <c r="EB1011" i="489"/>
  <c r="EB1264" i="489"/>
  <c r="EB1267" i="489" s="1"/>
  <c r="EB43" i="489"/>
  <c r="EB321" i="489"/>
  <c r="EB316" i="489"/>
  <c r="G104" i="93"/>
  <c r="EW1162" i="489"/>
  <c r="EW1179" i="489" s="1"/>
  <c r="EY1115" i="489"/>
  <c r="E1115" i="489" s="1"/>
  <c r="C322" i="489"/>
  <c r="EW1256" i="489"/>
  <c r="EW1263" i="489" s="1"/>
  <c r="CS1256" i="489"/>
  <c r="CS1263" i="489" s="1"/>
  <c r="F709" i="489"/>
  <c r="BT283" i="489"/>
  <c r="BT335" i="489" s="1"/>
  <c r="EY1249" i="489"/>
  <c r="E1249" i="489" s="1"/>
  <c r="Z1190" i="489"/>
  <c r="Z1207" i="489" s="1"/>
  <c r="C662" i="489"/>
  <c r="CV1265" i="489"/>
  <c r="EV1256" i="489"/>
  <c r="EV1263" i="489" s="1"/>
  <c r="AE1246" i="489"/>
  <c r="AE1264" i="489" s="1"/>
  <c r="AU1264" i="489"/>
  <c r="DE1116" i="489"/>
  <c r="DE1123" i="489" s="1"/>
  <c r="C480" i="489"/>
  <c r="C477" i="489"/>
  <c r="C531" i="489"/>
  <c r="BR1022" i="489"/>
  <c r="EY1019" i="489"/>
  <c r="E1019" i="489" s="1"/>
  <c r="CZ1050" i="489"/>
  <c r="CZ1067" i="489" s="1"/>
  <c r="EW1106" i="489"/>
  <c r="EY1114" i="489"/>
  <c r="E1114" i="489" s="1"/>
  <c r="BR1116" i="489"/>
  <c r="C460" i="489"/>
  <c r="BR133" i="489"/>
  <c r="BR330" i="489" s="1"/>
  <c r="C488" i="489"/>
  <c r="CF133" i="489"/>
  <c r="CF330" i="489" s="1"/>
  <c r="EV1050" i="489"/>
  <c r="EV1067" i="489" s="1"/>
  <c r="BM1050" i="489"/>
  <c r="BM1067" i="489" s="1"/>
  <c r="EY1047" i="489"/>
  <c r="E1047" i="489" s="1"/>
  <c r="DC1054" i="489"/>
  <c r="EY1054" i="489" s="1"/>
  <c r="E1054" i="489" s="1"/>
  <c r="AU1060" i="489"/>
  <c r="AU1067" i="489" s="1"/>
  <c r="DC96" i="489"/>
  <c r="EY90" i="489"/>
  <c r="EY1053" i="489"/>
  <c r="E1053" i="489" s="1"/>
  <c r="AH1022" i="489"/>
  <c r="AH1264" i="489" s="1"/>
  <c r="AQ1039" i="489"/>
  <c r="C758" i="489"/>
  <c r="C458" i="489"/>
  <c r="EV994" i="489"/>
  <c r="U994" i="489"/>
  <c r="U1011" i="489" s="1"/>
  <c r="F25" i="173"/>
  <c r="F26" i="173" s="1"/>
  <c r="F30" i="173" s="1"/>
  <c r="I106" i="147" s="1"/>
  <c r="BT1265" i="489"/>
  <c r="BT1218" i="489"/>
  <c r="BT1235" i="489" s="1"/>
  <c r="EY689" i="147"/>
  <c r="C689" i="147" s="1"/>
  <c r="CE1267" i="489"/>
  <c r="EW994" i="489"/>
  <c r="CG1151" i="489"/>
  <c r="CA322" i="489"/>
  <c r="CI321" i="489"/>
  <c r="C463" i="489"/>
  <c r="V283" i="489"/>
  <c r="V335" i="489" s="1"/>
  <c r="C459" i="489"/>
  <c r="AK1263" i="489"/>
  <c r="DE1218" i="489"/>
  <c r="DE1264" i="489" s="1"/>
  <c r="DE1004" i="489"/>
  <c r="DE1011" i="489" s="1"/>
  <c r="EY1141" i="489"/>
  <c r="E1141" i="489" s="1"/>
  <c r="C722" i="489"/>
  <c r="EW1095" i="489"/>
  <c r="EW1144" i="489"/>
  <c r="EW1151" i="489" s="1"/>
  <c r="BN1246" i="489"/>
  <c r="BN1263" i="489" s="1"/>
  <c r="F323" i="489"/>
  <c r="AH321" i="489"/>
  <c r="C468" i="489"/>
  <c r="C475" i="489"/>
  <c r="CZ1228" i="489"/>
  <c r="CZ994" i="489"/>
  <c r="CZ323" i="489"/>
  <c r="EY986" i="489"/>
  <c r="E986" i="489" s="1"/>
  <c r="G22" i="93"/>
  <c r="EY736" i="147"/>
  <c r="I736" i="147" s="1"/>
  <c r="C438" i="489"/>
  <c r="CQ133" i="489"/>
  <c r="CQ330" i="489" s="1"/>
  <c r="U1067" i="489"/>
  <c r="AH1263" i="489"/>
  <c r="D1058" i="489"/>
  <c r="D90" i="93"/>
  <c r="CZ1200" i="489"/>
  <c r="DF1263" i="489"/>
  <c r="BK163" i="489"/>
  <c r="BK331" i="489" s="1"/>
  <c r="CB994" i="489"/>
  <c r="CB1011" i="489" s="1"/>
  <c r="AQ1246" i="489"/>
  <c r="AQ1263" i="489" s="1"/>
  <c r="G323" i="489"/>
  <c r="E286" i="93"/>
  <c r="F22" i="93"/>
  <c r="D1239" i="489"/>
  <c r="CZ1004" i="489"/>
  <c r="D1185" i="489"/>
  <c r="G74" i="93"/>
  <c r="D271" i="93"/>
  <c r="D217" i="93"/>
  <c r="EY567" i="147"/>
  <c r="C567" i="147" s="1"/>
  <c r="G271" i="93"/>
  <c r="Y1263" i="489"/>
  <c r="G162" i="93"/>
  <c r="F134" i="93"/>
  <c r="E79" i="93"/>
  <c r="G79" i="93"/>
  <c r="C502" i="489"/>
  <c r="E134" i="93"/>
  <c r="E22" i="93"/>
  <c r="G134" i="93"/>
  <c r="G145" i="93"/>
  <c r="E23" i="93"/>
  <c r="F217" i="93"/>
  <c r="BK1123" i="489"/>
  <c r="E323" i="489"/>
  <c r="CF1067" i="489"/>
  <c r="D162" i="93"/>
  <c r="D1130" i="489"/>
  <c r="F79" i="93"/>
  <c r="EY117" i="489"/>
  <c r="D134" i="93"/>
  <c r="D79" i="93"/>
  <c r="D1047" i="489"/>
  <c r="CB1067" i="489"/>
  <c r="DC126" i="489"/>
  <c r="DC133" i="489" s="1"/>
  <c r="DC330" i="489" s="1"/>
  <c r="E145" i="93"/>
  <c r="C133" i="489"/>
  <c r="CF994" i="489"/>
  <c r="D145" i="93"/>
  <c r="D1113" i="489"/>
  <c r="F162" i="93"/>
  <c r="F145" i="93"/>
  <c r="E162" i="93"/>
  <c r="BS1246" i="489"/>
  <c r="BS1256" i="489"/>
  <c r="BS1265" i="489" s="1"/>
  <c r="U317" i="489"/>
  <c r="CF223" i="489"/>
  <c r="CF333" i="489" s="1"/>
  <c r="DD321" i="489"/>
  <c r="C486" i="489"/>
  <c r="AN1264" i="489"/>
  <c r="AL316" i="489"/>
  <c r="CF321" i="489"/>
  <c r="AO1235" i="489"/>
  <c r="AL283" i="489"/>
  <c r="AL335" i="489" s="1"/>
  <c r="U1022" i="489"/>
  <c r="C467" i="489"/>
  <c r="EY630" i="147"/>
  <c r="C630" i="147" s="1"/>
  <c r="AN321" i="489"/>
  <c r="AN316" i="489"/>
  <c r="DW163" i="489"/>
  <c r="DW322" i="489"/>
  <c r="DW317" i="489"/>
  <c r="C537" i="489"/>
  <c r="G537" i="489"/>
  <c r="F537" i="489"/>
  <c r="C571" i="489"/>
  <c r="D132" i="93"/>
  <c r="F137" i="93"/>
  <c r="E33" i="93"/>
  <c r="E137" i="93"/>
  <c r="F219" i="93"/>
  <c r="E219" i="93"/>
  <c r="F213" i="93"/>
  <c r="F245" i="93"/>
  <c r="E130" i="93"/>
  <c r="F130" i="93"/>
  <c r="AN283" i="489"/>
  <c r="AN335" i="489" s="1"/>
  <c r="EX321" i="489"/>
  <c r="EX253" i="489"/>
  <c r="EX316" i="489"/>
  <c r="EX1264" i="489"/>
  <c r="EX1267" i="489" s="1"/>
  <c r="EX1207" i="489"/>
  <c r="AN313" i="489"/>
  <c r="AN336" i="489" s="1"/>
  <c r="K1207" i="489"/>
  <c r="K1265" i="489"/>
  <c r="K1267" i="489" s="1"/>
  <c r="F132" i="93"/>
  <c r="D137" i="93"/>
  <c r="D1105" i="489"/>
  <c r="G33" i="93"/>
  <c r="G137" i="93"/>
  <c r="D219" i="93"/>
  <c r="D1187" i="489"/>
  <c r="G219" i="93"/>
  <c r="D213" i="93"/>
  <c r="D1181" i="489"/>
  <c r="D245" i="93"/>
  <c r="G130" i="93"/>
  <c r="D130" i="93"/>
  <c r="D1098" i="489"/>
  <c r="G142" i="93"/>
  <c r="F142" i="93"/>
  <c r="AU449" i="147"/>
  <c r="EY449" i="147" s="1"/>
  <c r="DC400" i="147"/>
  <c r="DW1123" i="489"/>
  <c r="DW1265" i="489"/>
  <c r="DW1267" i="489" s="1"/>
  <c r="AO321" i="489"/>
  <c r="AO316" i="489"/>
  <c r="E132" i="93"/>
  <c r="F33" i="93"/>
  <c r="F231" i="93"/>
  <c r="E231" i="93"/>
  <c r="G213" i="93"/>
  <c r="G245" i="93"/>
  <c r="F281" i="93"/>
  <c r="E281" i="93"/>
  <c r="E215" i="93"/>
  <c r="F215" i="93"/>
  <c r="AF1263" i="489"/>
  <c r="AO283" i="489"/>
  <c r="AO335" i="489" s="1"/>
  <c r="D142" i="93"/>
  <c r="K253" i="489"/>
  <c r="K322" i="489"/>
  <c r="K317" i="489"/>
  <c r="G132" i="93"/>
  <c r="D33" i="93"/>
  <c r="D1001" i="489"/>
  <c r="D231" i="93"/>
  <c r="D1199" i="489"/>
  <c r="G231" i="93"/>
  <c r="E213" i="93"/>
  <c r="E245" i="93"/>
  <c r="D281" i="93"/>
  <c r="G281" i="93"/>
  <c r="G215" i="93"/>
  <c r="D215" i="93"/>
  <c r="D1183" i="489"/>
  <c r="DC1079" i="489"/>
  <c r="DC1088" i="489" s="1"/>
  <c r="DC1095" i="489" s="1"/>
  <c r="E142" i="93"/>
  <c r="AQ1088" i="489"/>
  <c r="AQ1265" i="489" s="1"/>
  <c r="EY1045" i="489"/>
  <c r="E1045" i="489" s="1"/>
  <c r="V1218" i="489"/>
  <c r="V1235" i="489" s="1"/>
  <c r="EV1116" i="489"/>
  <c r="EY1113" i="489"/>
  <c r="E1113" i="489" s="1"/>
  <c r="CO1022" i="489"/>
  <c r="CO1039" i="489" s="1"/>
  <c r="CZ1190" i="489"/>
  <c r="CA1265" i="489"/>
  <c r="CA1267" i="489" s="1"/>
  <c r="EY1185" i="489"/>
  <c r="E1185" i="489" s="1"/>
  <c r="CO1106" i="489"/>
  <c r="CO1123" i="489" s="1"/>
  <c r="CZ1022" i="489"/>
  <c r="CZ1039" i="489" s="1"/>
  <c r="EY991" i="489"/>
  <c r="E991" i="489" s="1"/>
  <c r="CQ1144" i="489"/>
  <c r="CQ1151" i="489" s="1"/>
  <c r="EY1018" i="489"/>
  <c r="E1018" i="489" s="1"/>
  <c r="CB1228" i="489"/>
  <c r="CB1235" i="489" s="1"/>
  <c r="EY1103" i="489"/>
  <c r="E1103" i="489" s="1"/>
  <c r="AQ1235" i="489"/>
  <c r="EY992" i="489"/>
  <c r="E992" i="489" s="1"/>
  <c r="BR994" i="489"/>
  <c r="EY1074" i="489"/>
  <c r="E1074" i="489" s="1"/>
  <c r="EV1004" i="489"/>
  <c r="E19" i="300"/>
  <c r="F19" i="300" s="1"/>
  <c r="F26" i="300" s="1"/>
  <c r="F27" i="300" s="1"/>
  <c r="F31" i="300" s="1"/>
  <c r="I88" i="147" s="1"/>
  <c r="EY1216" i="489"/>
  <c r="E1216" i="489" s="1"/>
  <c r="EY1046" i="489"/>
  <c r="E1046" i="489" s="1"/>
  <c r="BR1088" i="489"/>
  <c r="CZ1162" i="489"/>
  <c r="CZ1179" i="489" s="1"/>
  <c r="EY1212" i="489"/>
  <c r="E1212" i="489" s="1"/>
  <c r="CQ1228" i="489"/>
  <c r="CZ1218" i="489"/>
  <c r="EY1159" i="489"/>
  <c r="E1159" i="489" s="1"/>
  <c r="E19" i="139"/>
  <c r="F19" i="139" s="1"/>
  <c r="F21" i="139" s="1"/>
  <c r="F22" i="139" s="1"/>
  <c r="F26" i="139" s="1"/>
  <c r="I230" i="147" s="1"/>
  <c r="EY1025" i="489"/>
  <c r="E1025" i="489" s="1"/>
  <c r="EY1158" i="489"/>
  <c r="E1158" i="489" s="1"/>
  <c r="EY1225" i="489"/>
  <c r="E1225" i="489" s="1"/>
  <c r="EY1157" i="489"/>
  <c r="E1157" i="489" s="1"/>
  <c r="DL1265" i="489"/>
  <c r="DL1267" i="489" s="1"/>
  <c r="DC1106" i="489"/>
  <c r="EY1104" i="489"/>
  <c r="E1104" i="489" s="1"/>
  <c r="EY1002" i="489"/>
  <c r="E1002" i="489" s="1"/>
  <c r="EW1004" i="489"/>
  <c r="EY1111" i="489"/>
  <c r="E1111" i="489" s="1"/>
  <c r="E30" i="413"/>
  <c r="F30" i="413" s="1"/>
  <c r="M30" i="413" s="1"/>
  <c r="M31" i="413" s="1"/>
  <c r="EI322" i="489"/>
  <c r="EY1198" i="489"/>
  <c r="E1198" i="489" s="1"/>
  <c r="AF283" i="489"/>
  <c r="AF335" i="489" s="1"/>
  <c r="L1265" i="489"/>
  <c r="DM334" i="489"/>
  <c r="DM337" i="489" s="1"/>
  <c r="BU321" i="489"/>
  <c r="AC253" i="489"/>
  <c r="AC316" i="489"/>
  <c r="AC321" i="489"/>
  <c r="AC1264" i="489"/>
  <c r="AC1267" i="489" s="1"/>
  <c r="AC1207" i="489"/>
  <c r="DD223" i="489"/>
  <c r="DD333" i="489" s="1"/>
  <c r="BR1144" i="489"/>
  <c r="BR1151" i="489" s="1"/>
  <c r="BN1144" i="489"/>
  <c r="BN1265" i="489" s="1"/>
  <c r="CQ1116" i="489"/>
  <c r="CQ1123" i="489" s="1"/>
  <c r="CZ1116" i="489"/>
  <c r="AF322" i="489"/>
  <c r="C163" i="489"/>
  <c r="P317" i="489"/>
  <c r="EY996" i="489"/>
  <c r="E996" i="489" s="1"/>
  <c r="CF1218" i="489"/>
  <c r="EY1214" i="489"/>
  <c r="E1214" i="489" s="1"/>
  <c r="EV283" i="489"/>
  <c r="EV335" i="489" s="1"/>
  <c r="AF321" i="489"/>
  <c r="BT321" i="489"/>
  <c r="EW1218" i="489"/>
  <c r="EW1235" i="489" s="1"/>
  <c r="DC1218" i="489"/>
  <c r="EV253" i="489"/>
  <c r="EV334" i="489" s="1"/>
  <c r="AQ1207" i="489"/>
  <c r="EC323" i="489"/>
  <c r="CO316" i="489"/>
  <c r="CO321" i="489"/>
  <c r="F40" i="506"/>
  <c r="I197" i="147"/>
  <c r="I89" i="489" s="1"/>
  <c r="BM321" i="489"/>
  <c r="CS322" i="489"/>
  <c r="BM322" i="489"/>
  <c r="D17" i="93"/>
  <c r="D985" i="489"/>
  <c r="CF322" i="489"/>
  <c r="U322" i="489"/>
  <c r="BN322" i="489"/>
  <c r="G136" i="93"/>
  <c r="E78" i="93"/>
  <c r="P321" i="489"/>
  <c r="E136" i="93"/>
  <c r="EV322" i="489"/>
  <c r="Y322" i="489"/>
  <c r="BT322" i="489"/>
  <c r="CR322" i="489"/>
  <c r="DF133" i="489"/>
  <c r="DF330" i="489" s="1"/>
  <c r="DF322" i="489"/>
  <c r="DD322" i="489"/>
  <c r="CW321" i="489"/>
  <c r="CW316" i="489"/>
  <c r="AJ322" i="489"/>
  <c r="DL322" i="489"/>
  <c r="AH322" i="489"/>
  <c r="BK322" i="489"/>
  <c r="G17" i="93"/>
  <c r="G78" i="93"/>
  <c r="F136" i="93"/>
  <c r="DE322" i="489"/>
  <c r="F78" i="93"/>
  <c r="D136" i="93"/>
  <c r="D1104" i="489"/>
  <c r="V322" i="489"/>
  <c r="CB322" i="489"/>
  <c r="AQ321" i="489"/>
  <c r="AK321" i="489"/>
  <c r="E17" i="93"/>
  <c r="AX322" i="489"/>
  <c r="AE322" i="489"/>
  <c r="L322" i="489"/>
  <c r="F17" i="93"/>
  <c r="DU322" i="489"/>
  <c r="BS322" i="489"/>
  <c r="DV322" i="489"/>
  <c r="D78" i="93"/>
  <c r="D1046" i="489"/>
  <c r="CE316" i="489"/>
  <c r="CE321" i="489"/>
  <c r="CT322" i="489"/>
  <c r="DN322" i="489"/>
  <c r="AT322" i="489"/>
  <c r="L223" i="489"/>
  <c r="L333" i="489" s="1"/>
  <c r="L321" i="489"/>
  <c r="Z321" i="489"/>
  <c r="CL323" i="489"/>
  <c r="EJ193" i="489"/>
  <c r="EJ332" i="489" s="1"/>
  <c r="EJ323" i="489"/>
  <c r="U321" i="489"/>
  <c r="CQ321" i="489"/>
  <c r="BN321" i="489"/>
  <c r="DR321" i="489"/>
  <c r="EV321" i="489"/>
  <c r="C453" i="489"/>
  <c r="CB321" i="489"/>
  <c r="AO103" i="489"/>
  <c r="AO329" i="489" s="1"/>
  <c r="AO322" i="489"/>
  <c r="EW322" i="489"/>
  <c r="P322" i="489"/>
  <c r="AL103" i="489"/>
  <c r="AL329" i="489" s="1"/>
  <c r="AL322" i="489"/>
  <c r="AN103" i="489"/>
  <c r="AN329" i="489" s="1"/>
  <c r="AN322" i="489"/>
  <c r="AQ322" i="489"/>
  <c r="P1265" i="489"/>
  <c r="CZ321" i="489"/>
  <c r="AU321" i="489"/>
  <c r="J103" i="489"/>
  <c r="J329" i="489" s="1"/>
  <c r="J321" i="489"/>
  <c r="AE321" i="489"/>
  <c r="V321" i="489"/>
  <c r="CG103" i="489"/>
  <c r="CG329" i="489" s="1"/>
  <c r="CG321" i="489"/>
  <c r="EW321" i="489"/>
  <c r="AJ321" i="489"/>
  <c r="D73" i="489"/>
  <c r="D75" i="489" s="1"/>
  <c r="CZ73" i="489"/>
  <c r="CZ328" i="489" s="1"/>
  <c r="CZ322" i="489"/>
  <c r="AK73" i="489"/>
  <c r="AK328" i="489" s="1"/>
  <c r="AK322" i="489"/>
  <c r="CQ73" i="489"/>
  <c r="CQ328" i="489" s="1"/>
  <c r="CQ322" i="489"/>
  <c r="BR73" i="489"/>
  <c r="BR328" i="489" s="1"/>
  <c r="BR322" i="489"/>
  <c r="BR321" i="489"/>
  <c r="BT316" i="489"/>
  <c r="CA316" i="489"/>
  <c r="CA321" i="489"/>
  <c r="C484" i="489"/>
  <c r="CN43" i="489"/>
  <c r="CN327" i="489" s="1"/>
  <c r="CN337" i="489" s="1"/>
  <c r="CN321" i="489"/>
  <c r="E19" i="291"/>
  <c r="F19" i="291" s="1"/>
  <c r="F21" i="291" s="1"/>
  <c r="F22" i="291" s="1"/>
  <c r="F26" i="291" s="1"/>
  <c r="I45" i="147" s="1"/>
  <c r="E158" i="93"/>
  <c r="F248" i="93"/>
  <c r="F244" i="93"/>
  <c r="F257" i="93"/>
  <c r="E244" i="93"/>
  <c r="DD1039" i="489"/>
  <c r="D244" i="93"/>
  <c r="D1212" i="489"/>
  <c r="DF1211" i="489"/>
  <c r="DF1218" i="489" s="1"/>
  <c r="DF1235" i="489" s="1"/>
  <c r="DF266" i="489"/>
  <c r="DF283" i="489" s="1"/>
  <c r="DF335" i="489" s="1"/>
  <c r="CS1211" i="489"/>
  <c r="CS1218" i="489" s="1"/>
  <c r="CS1264" i="489" s="1"/>
  <c r="CS266" i="489"/>
  <c r="CS283" i="489" s="1"/>
  <c r="CS335" i="489" s="1"/>
  <c r="G244" i="93"/>
  <c r="Y1211" i="489"/>
  <c r="Y1218" i="489" s="1"/>
  <c r="Y1264" i="489" s="1"/>
  <c r="Y266" i="489"/>
  <c r="Y283" i="489" s="1"/>
  <c r="Y335" i="489" s="1"/>
  <c r="D257" i="93"/>
  <c r="D1225" i="489"/>
  <c r="E248" i="93"/>
  <c r="D248" i="93"/>
  <c r="D1216" i="489"/>
  <c r="E257" i="93"/>
  <c r="G248" i="93"/>
  <c r="BS1211" i="489"/>
  <c r="BS1218" i="489" s="1"/>
  <c r="BS266" i="489"/>
  <c r="BS283" i="489" s="1"/>
  <c r="BS335" i="489" s="1"/>
  <c r="G257" i="93"/>
  <c r="CZ313" i="489"/>
  <c r="CZ336" i="489" s="1"/>
  <c r="P1039" i="489"/>
  <c r="BM318" i="489"/>
  <c r="BR318" i="489"/>
  <c r="CF1039" i="489"/>
  <c r="P73" i="489"/>
  <c r="P328" i="489" s="1"/>
  <c r="F175" i="93"/>
  <c r="D175" i="93"/>
  <c r="D1143" i="489"/>
  <c r="F32" i="93"/>
  <c r="C738" i="489"/>
  <c r="F144" i="93"/>
  <c r="C668" i="489"/>
  <c r="D35" i="93"/>
  <c r="D1003" i="489"/>
  <c r="D147" i="93"/>
  <c r="D1115" i="489"/>
  <c r="F35" i="93"/>
  <c r="G32" i="93"/>
  <c r="E57" i="93"/>
  <c r="F147" i="93"/>
  <c r="G144" i="93"/>
  <c r="C766" i="489"/>
  <c r="E197" i="93"/>
  <c r="AT316" i="489"/>
  <c r="E46" i="93"/>
  <c r="E85" i="93"/>
  <c r="G46" i="93"/>
  <c r="D32" i="93"/>
  <c r="D1000" i="489"/>
  <c r="E35" i="93"/>
  <c r="F57" i="93"/>
  <c r="D57" i="93"/>
  <c r="D1025" i="489"/>
  <c r="E175" i="93"/>
  <c r="G85" i="93"/>
  <c r="E32" i="93"/>
  <c r="BT43" i="489"/>
  <c r="BT327" i="489" s="1"/>
  <c r="D144" i="93"/>
  <c r="D1112" i="489"/>
  <c r="E147" i="93"/>
  <c r="G35" i="93"/>
  <c r="F197" i="93"/>
  <c r="D197" i="93"/>
  <c r="D1165" i="489"/>
  <c r="G197" i="93"/>
  <c r="E144" i="93"/>
  <c r="G147" i="93"/>
  <c r="F46" i="93"/>
  <c r="D46" i="93"/>
  <c r="G57" i="93"/>
  <c r="F85" i="93"/>
  <c r="D1053" i="489"/>
  <c r="D85" i="93"/>
  <c r="G175" i="93"/>
  <c r="L253" i="489"/>
  <c r="L334" i="489" s="1"/>
  <c r="BM223" i="489"/>
  <c r="BM333" i="489" s="1"/>
  <c r="L193" i="489"/>
  <c r="L332" i="489" s="1"/>
  <c r="DV193" i="489"/>
  <c r="DV332" i="489" s="1"/>
  <c r="CG317" i="489"/>
  <c r="DS317" i="489"/>
  <c r="R317" i="489"/>
  <c r="CB103" i="489"/>
  <c r="CB329" i="489" s="1"/>
  <c r="D73" i="93"/>
  <c r="D1041" i="489"/>
  <c r="G73" i="93"/>
  <c r="E73" i="93"/>
  <c r="D242" i="93"/>
  <c r="F73" i="93"/>
  <c r="C450" i="489"/>
  <c r="C487" i="489"/>
  <c r="C469" i="489"/>
  <c r="C483" i="489"/>
  <c r="DF193" i="489"/>
  <c r="DF332" i="489" s="1"/>
  <c r="D29" i="93"/>
  <c r="F158" i="93"/>
  <c r="G29" i="93"/>
  <c r="E29" i="93"/>
  <c r="D158" i="93"/>
  <c r="F29" i="93"/>
  <c r="CS193" i="489"/>
  <c r="CS332" i="489" s="1"/>
  <c r="CG193" i="489"/>
  <c r="CG332" i="489" s="1"/>
  <c r="BS193" i="489"/>
  <c r="BS332" i="489" s="1"/>
  <c r="CR73" i="489"/>
  <c r="CR328" i="489" s="1"/>
  <c r="U73" i="489"/>
  <c r="U328" i="489" s="1"/>
  <c r="BT73" i="489"/>
  <c r="BT328" i="489" s="1"/>
  <c r="BN73" i="489"/>
  <c r="BN328" i="489" s="1"/>
  <c r="CO73" i="489"/>
  <c r="CO328" i="489" s="1"/>
  <c r="DD73" i="489"/>
  <c r="DD328" i="489" s="1"/>
  <c r="AX43" i="489"/>
  <c r="AX327" i="489" s="1"/>
  <c r="DU43" i="489"/>
  <c r="DU327" i="489" s="1"/>
  <c r="DU337" i="489" s="1"/>
  <c r="AT43" i="489"/>
  <c r="AT327" i="489" s="1"/>
  <c r="AT337" i="489" s="1"/>
  <c r="AF43" i="489"/>
  <c r="AF327" i="489" s="1"/>
  <c r="V43" i="489"/>
  <c r="V327" i="489" s="1"/>
  <c r="AH43" i="489"/>
  <c r="AH327" i="489" s="1"/>
  <c r="BS43" i="489"/>
  <c r="BS327" i="489" s="1"/>
  <c r="J317" i="489"/>
  <c r="CS43" i="489"/>
  <c r="CS327" i="489" s="1"/>
  <c r="AK43" i="489"/>
  <c r="AK327" i="489" s="1"/>
  <c r="CF43" i="489"/>
  <c r="CF327" i="489" s="1"/>
  <c r="DL43" i="489"/>
  <c r="DL327" i="489" s="1"/>
  <c r="DL337" i="489" s="1"/>
  <c r="DE43" i="489"/>
  <c r="DE327" i="489" s="1"/>
  <c r="D26" i="489"/>
  <c r="BN1134" i="489"/>
  <c r="BR1228" i="489"/>
  <c r="BR1235" i="489" s="1"/>
  <c r="G251" i="93"/>
  <c r="E251" i="93"/>
  <c r="G283" i="93"/>
  <c r="G187" i="93"/>
  <c r="F227" i="93"/>
  <c r="E187" i="93"/>
  <c r="G106" i="93"/>
  <c r="F31" i="93"/>
  <c r="D34" i="93"/>
  <c r="F30" i="93"/>
  <c r="G196" i="93"/>
  <c r="G241" i="93"/>
  <c r="E146" i="93"/>
  <c r="F84" i="93"/>
  <c r="E246" i="93"/>
  <c r="G24" i="93"/>
  <c r="F269" i="93"/>
  <c r="E30" i="93"/>
  <c r="G170" i="93"/>
  <c r="F202" i="93"/>
  <c r="F28" i="93"/>
  <c r="D191" i="93"/>
  <c r="D111" i="93"/>
  <c r="E191" i="93"/>
  <c r="E196" i="93"/>
  <c r="G174" i="93"/>
  <c r="G190" i="93"/>
  <c r="F199" i="93"/>
  <c r="D83" i="93"/>
  <c r="D218" i="93"/>
  <c r="F198" i="93"/>
  <c r="E135" i="93"/>
  <c r="F280" i="93"/>
  <c r="E199" i="93"/>
  <c r="G34" i="93"/>
  <c r="F112" i="93"/>
  <c r="E198" i="93"/>
  <c r="G243" i="93"/>
  <c r="F252" i="93"/>
  <c r="D202" i="93"/>
  <c r="D195" i="93"/>
  <c r="E202" i="93"/>
  <c r="G163" i="93"/>
  <c r="E111" i="93"/>
  <c r="E47" i="93"/>
  <c r="G111" i="93"/>
  <c r="G274" i="93"/>
  <c r="F254" i="93"/>
  <c r="D139" i="93"/>
  <c r="D146" i="93"/>
  <c r="G31" i="93"/>
  <c r="E218" i="93"/>
  <c r="G47" i="93"/>
  <c r="E254" i="93"/>
  <c r="G146" i="93"/>
  <c r="F196" i="93"/>
  <c r="E83" i="93"/>
  <c r="F83" i="93"/>
  <c r="G275" i="93"/>
  <c r="E195" i="93"/>
  <c r="CF1151" i="489"/>
  <c r="E86" i="93"/>
  <c r="G195" i="93"/>
  <c r="F214" i="93"/>
  <c r="G21" i="93"/>
  <c r="F143" i="93"/>
  <c r="D223" i="93"/>
  <c r="D230" i="93"/>
  <c r="G199" i="93"/>
  <c r="E247" i="93"/>
  <c r="G86" i="93"/>
  <c r="G230" i="93"/>
  <c r="D243" i="93"/>
  <c r="E139" i="93"/>
  <c r="F105" i="93"/>
  <c r="F139" i="93"/>
  <c r="F114" i="93"/>
  <c r="G107" i="93"/>
  <c r="E226" i="93"/>
  <c r="D84" i="93"/>
  <c r="E59" i="93"/>
  <c r="F253" i="93"/>
  <c r="G269" i="93"/>
  <c r="F246" i="93"/>
  <c r="D241" i="93"/>
  <c r="D135" i="93"/>
  <c r="G254" i="93"/>
  <c r="F106" i="93"/>
  <c r="G226" i="93"/>
  <c r="G135" i="93"/>
  <c r="D170" i="93"/>
  <c r="E223" i="93"/>
  <c r="F62" i="93"/>
  <c r="F131" i="93"/>
  <c r="D30" i="93"/>
  <c r="D105" i="93"/>
  <c r="F223" i="93"/>
  <c r="G105" i="93"/>
  <c r="F102" i="93"/>
  <c r="G118" i="93"/>
  <c r="G279" i="93"/>
  <c r="D59" i="93"/>
  <c r="D58" i="93"/>
  <c r="D280" i="93"/>
  <c r="E87" i="93"/>
  <c r="F24" i="93"/>
  <c r="D247" i="93"/>
  <c r="G143" i="93"/>
  <c r="F274" i="93"/>
  <c r="G218" i="93"/>
  <c r="E102" i="93"/>
  <c r="E241" i="93"/>
  <c r="F51" i="93"/>
  <c r="D198" i="93"/>
  <c r="D51" i="93"/>
  <c r="D131" i="93"/>
  <c r="F241" i="93"/>
  <c r="E51" i="93"/>
  <c r="G131" i="93"/>
  <c r="G202" i="93"/>
  <c r="D87" i="93"/>
  <c r="D187" i="93"/>
  <c r="F111" i="93"/>
  <c r="E227" i="93"/>
  <c r="F34" i="93"/>
  <c r="E243" i="93"/>
  <c r="E106" i="93"/>
  <c r="G246" i="93"/>
  <c r="F190" i="93"/>
  <c r="G247" i="93"/>
  <c r="E114" i="93"/>
  <c r="F174" i="93"/>
  <c r="E282" i="93"/>
  <c r="D47" i="93"/>
  <c r="D62" i="93"/>
  <c r="D55" i="93"/>
  <c r="G30" i="93"/>
  <c r="E62" i="93"/>
  <c r="G191" i="93"/>
  <c r="E279" i="93"/>
  <c r="F58" i="93"/>
  <c r="D283" i="93"/>
  <c r="F279" i="93"/>
  <c r="F195" i="93"/>
  <c r="E283" i="93"/>
  <c r="F135" i="93"/>
  <c r="E170" i="93"/>
  <c r="E274" i="93"/>
  <c r="E84" i="93"/>
  <c r="E214" i="93"/>
  <c r="F47" i="93"/>
  <c r="D106" i="93"/>
  <c r="D31" i="93"/>
  <c r="F163" i="93"/>
  <c r="D86" i="93"/>
  <c r="D174" i="93"/>
  <c r="D167" i="93"/>
  <c r="G198" i="93"/>
  <c r="E174" i="93"/>
  <c r="G55" i="93"/>
  <c r="F187" i="93"/>
  <c r="D171" i="93"/>
  <c r="G59" i="93"/>
  <c r="E28" i="93"/>
  <c r="F59" i="93"/>
  <c r="E171" i="93"/>
  <c r="D279" i="93"/>
  <c r="F146" i="93"/>
  <c r="D112" i="93"/>
  <c r="E190" i="93"/>
  <c r="E280" i="93"/>
  <c r="E253" i="93"/>
  <c r="D282" i="93"/>
  <c r="E55" i="93"/>
  <c r="F86" i="93"/>
  <c r="D274" i="93"/>
  <c r="D246" i="93"/>
  <c r="F275" i="93"/>
  <c r="D226" i="93"/>
  <c r="D163" i="93"/>
  <c r="E163" i="93"/>
  <c r="G167" i="93"/>
  <c r="C481" i="489"/>
  <c r="G114" i="93"/>
  <c r="D227" i="93"/>
  <c r="G87" i="93"/>
  <c r="E252" i="93"/>
  <c r="F87" i="93"/>
  <c r="F230" i="93"/>
  <c r="D196" i="93"/>
  <c r="D253" i="93"/>
  <c r="F282" i="93"/>
  <c r="G83" i="93"/>
  <c r="E24" i="93"/>
  <c r="D21" i="93"/>
  <c r="E167" i="93"/>
  <c r="F226" i="93"/>
  <c r="D190" i="93"/>
  <c r="D199" i="93"/>
  <c r="F107" i="93"/>
  <c r="G28" i="93"/>
  <c r="D275" i="93"/>
  <c r="E275" i="93"/>
  <c r="D27" i="93"/>
  <c r="E105" i="93"/>
  <c r="G102" i="93"/>
  <c r="G171" i="93"/>
  <c r="F283" i="93"/>
  <c r="G84" i="93"/>
  <c r="F218" i="93"/>
  <c r="F170" i="93"/>
  <c r="D214" i="93"/>
  <c r="E21" i="93"/>
  <c r="G139" i="93"/>
  <c r="E34" i="93"/>
  <c r="D269" i="93"/>
  <c r="E31" i="93"/>
  <c r="G214" i="93"/>
  <c r="G282" i="93"/>
  <c r="D254" i="93"/>
  <c r="F27" i="93"/>
  <c r="D28" i="93"/>
  <c r="F118" i="93"/>
  <c r="G252" i="93"/>
  <c r="D107" i="93"/>
  <c r="F55" i="93"/>
  <c r="E107" i="93"/>
  <c r="D251" i="93"/>
  <c r="G51" i="93"/>
  <c r="E131" i="93"/>
  <c r="D102" i="93"/>
  <c r="G27" i="93"/>
  <c r="E27" i="93"/>
  <c r="G227" i="93"/>
  <c r="G58" i="93"/>
  <c r="F171" i="93"/>
  <c r="E58" i="93"/>
  <c r="G280" i="93"/>
  <c r="F247" i="93"/>
  <c r="F243" i="93"/>
  <c r="D24" i="93"/>
  <c r="E269" i="93"/>
  <c r="G112" i="93"/>
  <c r="G223" i="93"/>
  <c r="E230" i="93"/>
  <c r="E143" i="93"/>
  <c r="G253" i="93"/>
  <c r="F21" i="93"/>
  <c r="D143" i="93"/>
  <c r="F251" i="93"/>
  <c r="D252" i="93"/>
  <c r="F191" i="93"/>
  <c r="D118" i="93"/>
  <c r="F167" i="93"/>
  <c r="E118" i="93"/>
  <c r="E112" i="93"/>
  <c r="G62" i="93"/>
  <c r="D114" i="93"/>
  <c r="EY1044" i="489"/>
  <c r="E1044" i="489" s="1"/>
  <c r="AU1004" i="489"/>
  <c r="AU1011" i="489" s="1"/>
  <c r="BR1106" i="489"/>
  <c r="CF1207" i="489"/>
  <c r="C482" i="489"/>
  <c r="EY734" i="147"/>
  <c r="I734" i="147" s="1"/>
  <c r="AE1256" i="489"/>
  <c r="C451" i="489"/>
  <c r="AL1228" i="489"/>
  <c r="AL1235" i="489" s="1"/>
  <c r="AK1235" i="489"/>
  <c r="EY1242" i="489"/>
  <c r="E1242" i="489" s="1"/>
  <c r="CF1088" i="489"/>
  <c r="CF1095" i="489" s="1"/>
  <c r="EY1243" i="489"/>
  <c r="E1243" i="489" s="1"/>
  <c r="D1055" i="489"/>
  <c r="CS133" i="489"/>
  <c r="CS330" i="489" s="1"/>
  <c r="EY735" i="147"/>
  <c r="I735" i="147" s="1"/>
  <c r="C452" i="489"/>
  <c r="EY1252" i="489"/>
  <c r="E1252" i="489" s="1"/>
  <c r="C929" i="489"/>
  <c r="EY1251" i="489"/>
  <c r="E1251" i="489" s="1"/>
  <c r="DC1162" i="489"/>
  <c r="D1155" i="489"/>
  <c r="D1222" i="489"/>
  <c r="D996" i="489"/>
  <c r="D1019" i="489"/>
  <c r="D1111" i="489"/>
  <c r="D1220" i="489"/>
  <c r="DC998" i="489"/>
  <c r="EY998" i="489" s="1"/>
  <c r="E998" i="489" s="1"/>
  <c r="D1030" i="489"/>
  <c r="D1082" i="489"/>
  <c r="D1191" i="489"/>
  <c r="D1221" i="489"/>
  <c r="EY210" i="489"/>
  <c r="DC1166" i="489"/>
  <c r="EY1166" i="489" s="1"/>
  <c r="E1166" i="489" s="1"/>
  <c r="D1142" i="489"/>
  <c r="D1079" i="489"/>
  <c r="D176" i="489"/>
  <c r="AU440" i="147"/>
  <c r="EY440" i="147" s="1"/>
  <c r="I440" i="147" s="1"/>
  <c r="DC407" i="147"/>
  <c r="EY407" i="147" s="1"/>
  <c r="I407" i="147" s="1"/>
  <c r="BK313" i="489"/>
  <c r="BK336" i="489" s="1"/>
  <c r="BK317" i="489"/>
  <c r="D1182" i="489"/>
  <c r="D998" i="489"/>
  <c r="D1131" i="489"/>
  <c r="D1163" i="489"/>
  <c r="BM1095" i="489"/>
  <c r="C43" i="489"/>
  <c r="DV1039" i="489"/>
  <c r="DV1264" i="489"/>
  <c r="CQ1218" i="489"/>
  <c r="C73" i="489"/>
  <c r="D992" i="489"/>
  <c r="D1074" i="489"/>
  <c r="D1078" i="489" s="1"/>
  <c r="D1166" i="489"/>
  <c r="BM317" i="489"/>
  <c r="D1243" i="489"/>
  <c r="C313" i="489"/>
  <c r="DC408" i="147"/>
  <c r="EY408" i="147" s="1"/>
  <c r="I408" i="147" s="1"/>
  <c r="N1179" i="489"/>
  <c r="N1264" i="489"/>
  <c r="N1267" i="489" s="1"/>
  <c r="D1002" i="489"/>
  <c r="CA1011" i="489"/>
  <c r="D1242" i="489"/>
  <c r="D1211" i="489"/>
  <c r="D1015" i="489"/>
  <c r="BM1265" i="489"/>
  <c r="D1052" i="489"/>
  <c r="BK1265" i="489"/>
  <c r="BK1263" i="489"/>
  <c r="D1186" i="489"/>
  <c r="D1158" i="489"/>
  <c r="CG1263" i="489"/>
  <c r="CG1265" i="489"/>
  <c r="D1054" i="489"/>
  <c r="D1086" i="489"/>
  <c r="E24" i="416"/>
  <c r="F24" i="416" s="1"/>
  <c r="M24" i="416" s="1"/>
  <c r="M29" i="416" s="1"/>
  <c r="I86" i="147"/>
  <c r="CV1039" i="489"/>
  <c r="CV1264" i="489"/>
  <c r="BK1264" i="489"/>
  <c r="BK1235" i="489"/>
  <c r="BR1200" i="489"/>
  <c r="BR1207" i="489" s="1"/>
  <c r="D1080" i="489"/>
  <c r="D1114" i="489"/>
  <c r="AL1264" i="489"/>
  <c r="AL1039" i="489"/>
  <c r="AX1039" i="489"/>
  <c r="AX1264" i="489"/>
  <c r="BM1179" i="489"/>
  <c r="D1194" i="489"/>
  <c r="D1159" i="489"/>
  <c r="D995" i="489"/>
  <c r="BK283" i="489"/>
  <c r="BK316" i="489"/>
  <c r="D1164" i="489"/>
  <c r="D1198" i="489"/>
  <c r="DC1013" i="489"/>
  <c r="DC1022" i="489" s="1"/>
  <c r="D1170" i="489"/>
  <c r="D1023" i="489"/>
  <c r="D1219" i="489"/>
  <c r="BN317" i="489"/>
  <c r="D1103" i="489"/>
  <c r="DC1134" i="489"/>
  <c r="D1135" i="489"/>
  <c r="D1139" i="489"/>
  <c r="D1013" i="489"/>
  <c r="C193" i="489"/>
  <c r="D989" i="489"/>
  <c r="D1214" i="489"/>
  <c r="C317" i="489"/>
  <c r="D1195" i="489"/>
  <c r="D1026" i="489"/>
  <c r="D1215" i="489"/>
  <c r="D1237" i="489"/>
  <c r="CT1264" i="489"/>
  <c r="CT1039" i="489"/>
  <c r="EY1071" i="489"/>
  <c r="E1071" i="489" s="1"/>
  <c r="CQ316" i="489"/>
  <c r="EY990" i="489"/>
  <c r="E990" i="489" s="1"/>
  <c r="CZ193" i="489"/>
  <c r="CZ332" i="489" s="1"/>
  <c r="V1265" i="489"/>
  <c r="EY1224" i="489"/>
  <c r="E1224" i="489" s="1"/>
  <c r="EY1222" i="489"/>
  <c r="E1222" i="489" s="1"/>
  <c r="EY1026" i="489"/>
  <c r="E1026" i="489" s="1"/>
  <c r="G126" i="93"/>
  <c r="G298" i="93" s="1"/>
  <c r="C489" i="489"/>
  <c r="C444" i="489"/>
  <c r="F791" i="489"/>
  <c r="F712" i="489"/>
  <c r="F518" i="489"/>
  <c r="C572" i="489"/>
  <c r="F670" i="489"/>
  <c r="G840" i="489"/>
  <c r="F671" i="489"/>
  <c r="F750" i="489"/>
  <c r="F770" i="489"/>
  <c r="F778" i="489"/>
  <c r="F706" i="489"/>
  <c r="C781" i="489"/>
  <c r="F542" i="489"/>
  <c r="F682" i="489"/>
  <c r="F717" i="489"/>
  <c r="F768" i="489"/>
  <c r="F708" i="489"/>
  <c r="F666" i="489"/>
  <c r="F772" i="489"/>
  <c r="C454" i="489"/>
  <c r="C425" i="489"/>
  <c r="F700" i="489"/>
  <c r="C382" i="489"/>
  <c r="F787" i="489"/>
  <c r="F676" i="489"/>
  <c r="F723" i="489"/>
  <c r="F679" i="489"/>
  <c r="F683" i="489"/>
  <c r="F786" i="489"/>
  <c r="F710" i="489"/>
  <c r="F747" i="489"/>
  <c r="F716" i="489"/>
  <c r="G833" i="489"/>
  <c r="F721" i="489"/>
  <c r="F720" i="489"/>
  <c r="F776" i="489"/>
  <c r="F745" i="489"/>
  <c r="F735" i="489"/>
  <c r="G821" i="489"/>
  <c r="G834" i="489"/>
  <c r="F834" i="489"/>
  <c r="C479" i="489"/>
  <c r="F704" i="489"/>
  <c r="C386" i="489"/>
  <c r="C835" i="489"/>
  <c r="F788" i="489"/>
  <c r="F680" i="489"/>
  <c r="F730" i="489"/>
  <c r="F759" i="489"/>
  <c r="F699" i="489"/>
  <c r="F769" i="489"/>
  <c r="F703" i="489"/>
  <c r="F777" i="489"/>
  <c r="F751" i="489"/>
  <c r="C433" i="489"/>
  <c r="F790" i="489"/>
  <c r="F789" i="489"/>
  <c r="C913" i="489"/>
  <c r="F731" i="489"/>
  <c r="F744" i="489"/>
  <c r="C362" i="489"/>
  <c r="C847" i="489"/>
  <c r="F719" i="489"/>
  <c r="F665" i="489"/>
  <c r="F792" i="489"/>
  <c r="F758" i="489"/>
  <c r="F762" i="489"/>
  <c r="F707" i="489"/>
  <c r="F781" i="489"/>
  <c r="G892" i="489"/>
  <c r="F892" i="489"/>
  <c r="F722" i="489"/>
  <c r="F534" i="489"/>
  <c r="C827" i="489"/>
  <c r="C406" i="489"/>
  <c r="C547" i="489"/>
  <c r="F732" i="489"/>
  <c r="F748" i="489"/>
  <c r="F756" i="489"/>
  <c r="F669" i="489"/>
  <c r="F664" i="489"/>
  <c r="F771" i="489"/>
  <c r="C689" i="489"/>
  <c r="F711" i="489"/>
  <c r="F785" i="489"/>
  <c r="F733" i="489"/>
  <c r="F749" i="489"/>
  <c r="C456" i="489"/>
  <c r="C359" i="489"/>
  <c r="F543" i="489"/>
  <c r="C664" i="489"/>
  <c r="F528" i="489"/>
  <c r="F739" i="489"/>
  <c r="F746" i="489"/>
  <c r="F681" i="489"/>
  <c r="F734" i="489"/>
  <c r="F738" i="489"/>
  <c r="F668" i="489"/>
  <c r="EY1183" i="489"/>
  <c r="E1183" i="489" s="1"/>
  <c r="EY1130" i="489"/>
  <c r="E1130" i="489" s="1"/>
  <c r="J43" i="489"/>
  <c r="J327" i="489" s="1"/>
  <c r="E56" i="489"/>
  <c r="G116" i="489"/>
  <c r="F236" i="489"/>
  <c r="C474" i="489"/>
  <c r="AN317" i="489"/>
  <c r="AQ1179" i="489"/>
  <c r="AH316" i="489"/>
  <c r="U1265" i="489"/>
  <c r="EY1082" i="489"/>
  <c r="E1082" i="489" s="1"/>
  <c r="EY1240" i="489"/>
  <c r="E1240" i="489" s="1"/>
  <c r="EY1156" i="489"/>
  <c r="E1156" i="489" s="1"/>
  <c r="CT1265" i="489"/>
  <c r="U1095" i="489"/>
  <c r="EY1184" i="489"/>
  <c r="E1184" i="489" s="1"/>
  <c r="EY733" i="147"/>
  <c r="I733" i="147" s="1"/>
  <c r="CF1179" i="489"/>
  <c r="EV313" i="489"/>
  <c r="EV336" i="489" s="1"/>
  <c r="EY1102" i="489"/>
  <c r="E1102" i="489" s="1"/>
  <c r="DN317" i="489"/>
  <c r="C683" i="147"/>
  <c r="DX741" i="147"/>
  <c r="EB741" i="147"/>
  <c r="EY105" i="147"/>
  <c r="DC475" i="147"/>
  <c r="EY475" i="147" s="1"/>
  <c r="EY107" i="147"/>
  <c r="DC477" i="147"/>
  <c r="EY477" i="147" s="1"/>
  <c r="EY57" i="147"/>
  <c r="AU427" i="147"/>
  <c r="EY427" i="147" s="1"/>
  <c r="J371" i="147"/>
  <c r="J451" i="147"/>
  <c r="J741" i="147" s="1"/>
  <c r="EY85" i="147"/>
  <c r="AU455" i="147"/>
  <c r="EY455" i="147" s="1"/>
  <c r="EY76" i="147"/>
  <c r="AU446" i="147"/>
  <c r="EY446" i="147" s="1"/>
  <c r="I446" i="147" s="1"/>
  <c r="EY71" i="147"/>
  <c r="AU441" i="147"/>
  <c r="EY90" i="147"/>
  <c r="AU460" i="147"/>
  <c r="EY106" i="147"/>
  <c r="DC476" i="147"/>
  <c r="EY476" i="147" s="1"/>
  <c r="I476" i="147" s="1"/>
  <c r="EY75" i="147"/>
  <c r="AU445" i="147"/>
  <c r="DC1163" i="489"/>
  <c r="DC406" i="147"/>
  <c r="EY406" i="147" s="1"/>
  <c r="I406" i="147" s="1"/>
  <c r="AU1024" i="489"/>
  <c r="AU1032" i="489" s="1"/>
  <c r="AU1039" i="489" s="1"/>
  <c r="AU450" i="147"/>
  <c r="EY450" i="147" s="1"/>
  <c r="I450" i="147" s="1"/>
  <c r="AU1220" i="489"/>
  <c r="AU1228" i="489" s="1"/>
  <c r="AU1235" i="489" s="1"/>
  <c r="AU434" i="147"/>
  <c r="EY434" i="147" s="1"/>
  <c r="I434" i="147" s="1"/>
  <c r="AU425" i="147"/>
  <c r="EY425" i="147" s="1"/>
  <c r="I425" i="147" s="1"/>
  <c r="AU1192" i="489"/>
  <c r="AU1200" i="489" s="1"/>
  <c r="AU1207" i="489" s="1"/>
  <c r="AU424" i="147"/>
  <c r="EY58" i="147"/>
  <c r="AU428" i="147"/>
  <c r="EY428" i="147" s="1"/>
  <c r="DC1250" i="489"/>
  <c r="DC1256" i="489" s="1"/>
  <c r="DC478" i="147"/>
  <c r="EY478" i="147" s="1"/>
  <c r="EY60" i="147"/>
  <c r="AU430" i="147"/>
  <c r="EY430" i="147" s="1"/>
  <c r="EY73" i="147"/>
  <c r="AU443" i="147"/>
  <c r="EY443" i="147" s="1"/>
  <c r="EY178" i="489"/>
  <c r="AU433" i="147"/>
  <c r="EY433" i="147" s="1"/>
  <c r="I433" i="147" s="1"/>
  <c r="EY74" i="147"/>
  <c r="AU444" i="147"/>
  <c r="DC392" i="147"/>
  <c r="EY392" i="147" s="1"/>
  <c r="I392" i="147" s="1"/>
  <c r="EY93" i="147"/>
  <c r="AU463" i="147"/>
  <c r="EY463" i="147" s="1"/>
  <c r="EY95" i="147"/>
  <c r="AU465" i="147"/>
  <c r="EY465" i="147" s="1"/>
  <c r="I465" i="147" s="1"/>
  <c r="EY83" i="147"/>
  <c r="AU453" i="147"/>
  <c r="EY453" i="147" s="1"/>
  <c r="AU1164" i="489"/>
  <c r="AU1172" i="489" s="1"/>
  <c r="AU1179" i="489" s="1"/>
  <c r="AU422" i="147"/>
  <c r="EY422" i="147" s="1"/>
  <c r="C416" i="147"/>
  <c r="EY663" i="147"/>
  <c r="I663" i="147" s="1"/>
  <c r="EY542" i="147"/>
  <c r="EY467" i="147"/>
  <c r="I467" i="147" s="1"/>
  <c r="F29" i="413"/>
  <c r="D313" i="489"/>
  <c r="D315" i="489" s="1"/>
  <c r="DD316" i="489"/>
  <c r="CQ193" i="489"/>
  <c r="CQ332" i="489" s="1"/>
  <c r="EY1000" i="489"/>
  <c r="E1000" i="489" s="1"/>
  <c r="C401" i="489"/>
  <c r="EY1052" i="489"/>
  <c r="E1052" i="489" s="1"/>
  <c r="EY1043" i="489"/>
  <c r="E1043" i="489" s="1"/>
  <c r="EY1154" i="489"/>
  <c r="E1154" i="489" s="1"/>
  <c r="EY1126" i="489"/>
  <c r="E1126" i="489" s="1"/>
  <c r="EY1098" i="489"/>
  <c r="E1098" i="489" s="1"/>
  <c r="EY1099" i="489"/>
  <c r="E1099" i="489" s="1"/>
  <c r="DF1095" i="489"/>
  <c r="EV1123" i="489"/>
  <c r="EY1182" i="489"/>
  <c r="E1182" i="489" s="1"/>
  <c r="EY1213" i="489"/>
  <c r="E1213" i="489" s="1"/>
  <c r="EY1215" i="489"/>
  <c r="E1215" i="489" s="1"/>
  <c r="EY1238" i="489"/>
  <c r="E1238" i="489" s="1"/>
  <c r="AJ1246" i="489"/>
  <c r="AJ1263" i="489" s="1"/>
  <c r="CZ1246" i="489"/>
  <c r="G266" i="489"/>
  <c r="EY571" i="147"/>
  <c r="I571" i="147" s="1"/>
  <c r="E318" i="489"/>
  <c r="V1246" i="489"/>
  <c r="V1263" i="489" s="1"/>
  <c r="V1022" i="489"/>
  <c r="V1039" i="489" s="1"/>
  <c r="V1162" i="489"/>
  <c r="V1179" i="489" s="1"/>
  <c r="CZ318" i="489"/>
  <c r="CF1116" i="489"/>
  <c r="CF1123" i="489" s="1"/>
  <c r="CS1095" i="489"/>
  <c r="U1235" i="489"/>
  <c r="EY1221" i="489"/>
  <c r="E1221" i="489" s="1"/>
  <c r="DR1078" i="489"/>
  <c r="DR1095" i="489" s="1"/>
  <c r="EY1253" i="489"/>
  <c r="E1253" i="489" s="1"/>
  <c r="CZ1266" i="489"/>
  <c r="H14" i="163"/>
  <c r="G1" i="163" s="1"/>
  <c r="EY617" i="147"/>
  <c r="EY656" i="147"/>
  <c r="I656" i="147" s="1"/>
  <c r="EY537" i="147"/>
  <c r="C754" i="489"/>
  <c r="AH1265" i="489"/>
  <c r="EY644" i="147"/>
  <c r="I644" i="147" s="1"/>
  <c r="AF1228" i="489"/>
  <c r="AF1235" i="489" s="1"/>
  <c r="E19" i="133"/>
  <c r="F19" i="133" s="1"/>
  <c r="F25" i="184"/>
  <c r="F26" i="184" s="1"/>
  <c r="F30" i="184" s="1"/>
  <c r="I123" i="147" s="1"/>
  <c r="F31" i="174"/>
  <c r="F32" i="174" s="1"/>
  <c r="F36" i="174" s="1"/>
  <c r="I108" i="147" s="1"/>
  <c r="E19" i="327"/>
  <c r="F19" i="327" s="1"/>
  <c r="F21" i="327" s="1"/>
  <c r="F22" i="327" s="1"/>
  <c r="F26" i="327" s="1"/>
  <c r="I148" i="147" s="1"/>
  <c r="I180" i="489" s="1"/>
  <c r="I170" i="93" s="1"/>
  <c r="EY1146" i="489"/>
  <c r="E1146" i="489" s="1"/>
  <c r="EY1210" i="489"/>
  <c r="E1210" i="489" s="1"/>
  <c r="EY1109" i="489"/>
  <c r="E1109" i="489" s="1"/>
  <c r="U283" i="489"/>
  <c r="U335" i="489" s="1"/>
  <c r="EY1075" i="489"/>
  <c r="E1075" i="489" s="1"/>
  <c r="DN1265" i="489"/>
  <c r="DN1267" i="489" s="1"/>
  <c r="C421" i="489"/>
  <c r="C388" i="489"/>
  <c r="C430" i="489"/>
  <c r="EY1239" i="489"/>
  <c r="E1239" i="489" s="1"/>
  <c r="EY595" i="147"/>
  <c r="I595" i="147" s="1"/>
  <c r="F318" i="489"/>
  <c r="EV1218" i="489"/>
  <c r="EV1235" i="489" s="1"/>
  <c r="E266" i="489"/>
  <c r="EY1169" i="489"/>
  <c r="E1169" i="489" s="1"/>
  <c r="EY1112" i="489"/>
  <c r="E1112" i="489" s="1"/>
  <c r="CF318" i="489"/>
  <c r="F266" i="489"/>
  <c r="EY515" i="147"/>
  <c r="I515" i="147" s="1"/>
  <c r="EY1085" i="489"/>
  <c r="E1085" i="489" s="1"/>
  <c r="EY649" i="147"/>
  <c r="I649" i="147" s="1"/>
  <c r="EY610" i="147"/>
  <c r="I610" i="147" s="1"/>
  <c r="EY459" i="147"/>
  <c r="I459" i="147" s="1"/>
  <c r="EY1223" i="489"/>
  <c r="E1223" i="489" s="1"/>
  <c r="L1179" i="489"/>
  <c r="L1264" i="489"/>
  <c r="R1095" i="489"/>
  <c r="R1264" i="489"/>
  <c r="R1267" i="489" s="1"/>
  <c r="EY380" i="147"/>
  <c r="I380" i="147" s="1"/>
  <c r="M27" i="422"/>
  <c r="M28" i="422" s="1"/>
  <c r="EY1090" i="489"/>
  <c r="E1090" i="489" s="1"/>
  <c r="AK1264" i="489"/>
  <c r="EY386" i="147"/>
  <c r="I386" i="147" s="1"/>
  <c r="EY72" i="147"/>
  <c r="AU1248" i="489"/>
  <c r="AU1256" i="489" s="1"/>
  <c r="AU1263" i="489" s="1"/>
  <c r="AN1265" i="489"/>
  <c r="EI163" i="489"/>
  <c r="EI317" i="489"/>
  <c r="EY482" i="147"/>
  <c r="I482" i="147" s="1"/>
  <c r="DC1191" i="489"/>
  <c r="EY1191" i="489" s="1"/>
  <c r="DC1219" i="489"/>
  <c r="DC1228" i="489" s="1"/>
  <c r="BB283" i="489"/>
  <c r="BB317" i="489"/>
  <c r="EY1014" i="489"/>
  <c r="E1014" i="489" s="1"/>
  <c r="EY652" i="147"/>
  <c r="I652" i="147" s="1"/>
  <c r="P1264" i="489"/>
  <c r="P1235" i="489"/>
  <c r="AM334" i="489"/>
  <c r="AM337" i="489" s="1"/>
  <c r="AM319" i="489"/>
  <c r="AM320" i="489" s="1"/>
  <c r="P283" i="489"/>
  <c r="P335" i="489" s="1"/>
  <c r="P316" i="489"/>
  <c r="EI1123" i="489"/>
  <c r="EI1265" i="489"/>
  <c r="EI1267" i="489" s="1"/>
  <c r="EY1101" i="489"/>
  <c r="E1101" i="489" s="1"/>
  <c r="BB1265" i="489"/>
  <c r="BB1267" i="489" s="1"/>
  <c r="BB1235" i="489"/>
  <c r="AK1095" i="489"/>
  <c r="F33" i="120"/>
  <c r="F34" i="120" s="1"/>
  <c r="F38" i="120" s="1"/>
  <c r="I52" i="147" s="1"/>
  <c r="I208" i="489" s="1"/>
  <c r="I196" i="93" s="1"/>
  <c r="I204" i="93" s="1"/>
  <c r="R316" i="489"/>
  <c r="R133" i="489"/>
  <c r="C413" i="489"/>
  <c r="C417" i="489"/>
  <c r="EY1140" i="489"/>
  <c r="E1140" i="489" s="1"/>
  <c r="EY1017" i="489"/>
  <c r="E1017" i="489" s="1"/>
  <c r="C428" i="489"/>
  <c r="EY1027" i="489"/>
  <c r="E1027" i="489" s="1"/>
  <c r="CZ1134" i="489"/>
  <c r="BR1039" i="489"/>
  <c r="EY1241" i="489"/>
  <c r="E1241" i="489" s="1"/>
  <c r="EY375" i="147"/>
  <c r="I375" i="147" s="1"/>
  <c r="C574" i="489"/>
  <c r="C696" i="489"/>
  <c r="BW1207" i="489"/>
  <c r="BW1264" i="489"/>
  <c r="BW1267" i="489" s="1"/>
  <c r="EY1072" i="489"/>
  <c r="E1072" i="489" s="1"/>
  <c r="DC1194" i="489"/>
  <c r="C801" i="489"/>
  <c r="EY1138" i="489"/>
  <c r="E1138" i="489" s="1"/>
  <c r="CF1266" i="489"/>
  <c r="EY1195" i="489"/>
  <c r="E1195" i="489" s="1"/>
  <c r="EY1128" i="489"/>
  <c r="E1128" i="489" s="1"/>
  <c r="EY1084" i="489"/>
  <c r="E1084" i="489" s="1"/>
  <c r="Y1265" i="489"/>
  <c r="Z316" i="489"/>
  <c r="EY1070" i="489"/>
  <c r="E1070" i="489" s="1"/>
  <c r="EY1186" i="489"/>
  <c r="E1186" i="489" s="1"/>
  <c r="BW316" i="489"/>
  <c r="BW253" i="489"/>
  <c r="C348" i="489"/>
  <c r="EY529" i="147"/>
  <c r="I529" i="147" s="1"/>
  <c r="EY518" i="147"/>
  <c r="EV1095" i="489"/>
  <c r="CN1264" i="489"/>
  <c r="CN1267" i="489" s="1"/>
  <c r="EV1151" i="489"/>
  <c r="DD1179" i="489"/>
  <c r="DD1264" i="489"/>
  <c r="EY1175" i="489"/>
  <c r="E1175" i="489" s="1"/>
  <c r="EY1110" i="489"/>
  <c r="E1110" i="489" s="1"/>
  <c r="C405" i="489"/>
  <c r="EY1165" i="489"/>
  <c r="E1165" i="489" s="1"/>
  <c r="EY1167" i="489"/>
  <c r="E1167" i="489" s="1"/>
  <c r="EY1100" i="489"/>
  <c r="E1100" i="489" s="1"/>
  <c r="C740" i="489"/>
  <c r="CI1179" i="489"/>
  <c r="CI1264" i="489"/>
  <c r="CI1267" i="489" s="1"/>
  <c r="EV193" i="489"/>
  <c r="EV332" i="489" s="1"/>
  <c r="DF1265" i="489"/>
  <c r="G318" i="489"/>
  <c r="V1106" i="489"/>
  <c r="V1123" i="489" s="1"/>
  <c r="F25" i="182"/>
  <c r="F26" i="182" s="1"/>
  <c r="F30" i="182" s="1"/>
  <c r="I119" i="147" s="1"/>
  <c r="V1134" i="489"/>
  <c r="V1151" i="489" s="1"/>
  <c r="C901" i="489"/>
  <c r="EY1155" i="489"/>
  <c r="E1155" i="489" s="1"/>
  <c r="EY1118" i="489"/>
  <c r="E1118" i="489" s="1"/>
  <c r="EY405" i="147"/>
  <c r="I405" i="147" s="1"/>
  <c r="EY480" i="147"/>
  <c r="EY514" i="147"/>
  <c r="I514" i="147" s="1"/>
  <c r="EY524" i="147"/>
  <c r="I524" i="147" s="1"/>
  <c r="W163" i="489"/>
  <c r="W316" i="489"/>
  <c r="EY1139" i="489"/>
  <c r="E1139" i="489" s="1"/>
  <c r="EY578" i="147"/>
  <c r="EY568" i="147"/>
  <c r="I568" i="147" s="1"/>
  <c r="C365" i="489"/>
  <c r="W1123" i="489"/>
  <c r="W1264" i="489"/>
  <c r="W1267" i="489" s="1"/>
  <c r="C363" i="489"/>
  <c r="EY1015" i="489"/>
  <c r="E1015" i="489" s="1"/>
  <c r="EY378" i="147"/>
  <c r="I378" i="147" s="1"/>
  <c r="BN163" i="489"/>
  <c r="BN316" i="489"/>
  <c r="BN1123" i="489"/>
  <c r="C381" i="489"/>
  <c r="C415" i="489"/>
  <c r="EY1042" i="489"/>
  <c r="E1042" i="489" s="1"/>
  <c r="C389" i="489"/>
  <c r="C392" i="489"/>
  <c r="C416" i="489"/>
  <c r="C404" i="489"/>
  <c r="CZ223" i="489"/>
  <c r="CZ333" i="489" s="1"/>
  <c r="C353" i="489"/>
  <c r="EY532" i="147"/>
  <c r="I532" i="147" s="1"/>
  <c r="C350" i="489"/>
  <c r="C427" i="489"/>
  <c r="EY1001" i="489"/>
  <c r="E1001" i="489" s="1"/>
  <c r="EY1137" i="489"/>
  <c r="E1137" i="489" s="1"/>
  <c r="EY1127" i="489"/>
  <c r="E1127" i="489" s="1"/>
  <c r="EY1083" i="489"/>
  <c r="E1083" i="489" s="1"/>
  <c r="EY1168" i="489"/>
  <c r="E1168" i="489" s="1"/>
  <c r="EY1081" i="489"/>
  <c r="E1081" i="489" s="1"/>
  <c r="V1078" i="489"/>
  <c r="V1095" i="489" s="1"/>
  <c r="CZ1088" i="489"/>
  <c r="C394" i="489"/>
  <c r="C399" i="489"/>
  <c r="EC1039" i="489"/>
  <c r="EC1266" i="489"/>
  <c r="EC1267" i="489" s="1"/>
  <c r="AV330" i="489"/>
  <c r="AV337" i="489" s="1"/>
  <c r="AV319" i="489"/>
  <c r="AV320" i="489" s="1"/>
  <c r="CQ1088" i="489"/>
  <c r="CQ1095" i="489" s="1"/>
  <c r="EY79" i="147"/>
  <c r="AU1108" i="489"/>
  <c r="AU1116" i="489" s="1"/>
  <c r="AU1123" i="489" s="1"/>
  <c r="CE331" i="489"/>
  <c r="CE337" i="489" s="1"/>
  <c r="CE319" i="489"/>
  <c r="CE320" i="489" s="1"/>
  <c r="CY318" i="489"/>
  <c r="CY193" i="489"/>
  <c r="S317" i="489"/>
  <c r="S133" i="489"/>
  <c r="AW1095" i="489"/>
  <c r="AW1265" i="489"/>
  <c r="AW1267" i="489" s="1"/>
  <c r="DN331" i="489"/>
  <c r="DN337" i="489" s="1"/>
  <c r="DN319" i="489"/>
  <c r="DN320" i="489" s="1"/>
  <c r="CZ1106" i="489"/>
  <c r="CY1266" i="489"/>
  <c r="CY1267" i="489" s="1"/>
  <c r="CY1151" i="489"/>
  <c r="CZ1078" i="489"/>
  <c r="BS1011" i="489"/>
  <c r="CB1095" i="489"/>
  <c r="DX1206" i="489"/>
  <c r="EY1201" i="489"/>
  <c r="DX1256" i="489"/>
  <c r="EY1247" i="489"/>
  <c r="BM1266" i="489"/>
  <c r="C900" i="489"/>
  <c r="CF1004" i="489"/>
  <c r="C918" i="489"/>
  <c r="DX1246" i="489"/>
  <c r="EY1237" i="489"/>
  <c r="C880" i="489"/>
  <c r="S1095" i="489"/>
  <c r="S1265" i="489"/>
  <c r="S1267" i="489" s="1"/>
  <c r="BU1179" i="489"/>
  <c r="BU1264" i="489"/>
  <c r="BU1267" i="489" s="1"/>
  <c r="EY222" i="489"/>
  <c r="EJ318" i="489"/>
  <c r="EJ133" i="489"/>
  <c r="CG1123" i="489"/>
  <c r="CG1264" i="489"/>
  <c r="BR1266" i="489"/>
  <c r="BR1179" i="489"/>
  <c r="CL318" i="489"/>
  <c r="CL163" i="489"/>
  <c r="CL331" i="489" s="1"/>
  <c r="AE1011" i="489"/>
  <c r="CW331" i="489"/>
  <c r="CW337" i="489" s="1"/>
  <c r="CW319" i="489"/>
  <c r="CW320" i="489" s="1"/>
  <c r="EY132" i="489"/>
  <c r="EY323" i="489" s="1"/>
  <c r="CR1265" i="489"/>
  <c r="CR1267" i="489" s="1"/>
  <c r="CR1039" i="489"/>
  <c r="DX1234" i="489"/>
  <c r="EY1229" i="489"/>
  <c r="DX1218" i="489"/>
  <c r="EY1209" i="489"/>
  <c r="CL1266" i="489"/>
  <c r="CL1267" i="489" s="1"/>
  <c r="CL1123" i="489"/>
  <c r="AT1265" i="489"/>
  <c r="AT1267" i="489" s="1"/>
  <c r="AU1136" i="489"/>
  <c r="AU1144" i="489" s="1"/>
  <c r="AU1151" i="489" s="1"/>
  <c r="AU186" i="489"/>
  <c r="AU193" i="489" s="1"/>
  <c r="AU332" i="489" s="1"/>
  <c r="EJ1095" i="489"/>
  <c r="EJ1266" i="489"/>
  <c r="EJ1267" i="489" s="1"/>
  <c r="C954" i="489"/>
  <c r="DX1228" i="489"/>
  <c r="CS1116" i="489"/>
  <c r="CS1123" i="489" s="1"/>
  <c r="AX1011" i="489"/>
  <c r="AX1265" i="489"/>
  <c r="CS1011" i="489"/>
  <c r="BT1011" i="489"/>
  <c r="EN333" i="489"/>
  <c r="EN337" i="489" s="1"/>
  <c r="EN319" i="489"/>
  <c r="EN320" i="489" s="1"/>
  <c r="DX1200" i="489"/>
  <c r="EY207" i="489"/>
  <c r="EY55" i="147"/>
  <c r="AU1080" i="489"/>
  <c r="AU1088" i="489" s="1"/>
  <c r="AU1095" i="489" s="1"/>
  <c r="DV1265" i="489"/>
  <c r="DV1151" i="489"/>
  <c r="EG329" i="489"/>
  <c r="EG337" i="489" s="1"/>
  <c r="EG319" i="489"/>
  <c r="EG320" i="489" s="1"/>
  <c r="EC318" i="489"/>
  <c r="EC73" i="489"/>
  <c r="AW133" i="489"/>
  <c r="AW317" i="489"/>
  <c r="DX1190" i="489"/>
  <c r="EY1181" i="489"/>
  <c r="DX1262" i="489"/>
  <c r="EY1257" i="489"/>
  <c r="AK1011" i="489"/>
  <c r="AK1265" i="489"/>
  <c r="DU1011" i="489"/>
  <c r="DU1265" i="489"/>
  <c r="DU1267" i="489" s="1"/>
  <c r="AF1011" i="489"/>
  <c r="DD1011" i="489"/>
  <c r="DD1265" i="489"/>
  <c r="Z328" i="489"/>
  <c r="Z337" i="489" s="1"/>
  <c r="Z319" i="489"/>
  <c r="Z320" i="489" s="1"/>
  <c r="AO1095" i="489"/>
  <c r="AO1265" i="489"/>
  <c r="AO1267" i="489" s="1"/>
  <c r="AQ1011" i="489"/>
  <c r="D1266" i="489"/>
  <c r="DX1088" i="489"/>
  <c r="DX1078" i="489"/>
  <c r="EY1069" i="489"/>
  <c r="C420" i="489"/>
  <c r="DX1162" i="489"/>
  <c r="EY1153" i="489"/>
  <c r="DX1150" i="489"/>
  <c r="EY1145" i="489"/>
  <c r="DX1144" i="489"/>
  <c r="V994" i="489"/>
  <c r="DX1178" i="489"/>
  <c r="EY1173" i="489"/>
  <c r="DX1106" i="489"/>
  <c r="EY1097" i="489"/>
  <c r="EY988" i="489"/>
  <c r="E988" i="489" s="1"/>
  <c r="DX1172" i="489"/>
  <c r="DX1134" i="489"/>
  <c r="EY1125" i="489"/>
  <c r="C385" i="489"/>
  <c r="C390" i="489"/>
  <c r="DX1122" i="489"/>
  <c r="EY1117" i="489"/>
  <c r="DX1094" i="489"/>
  <c r="EY1089" i="489"/>
  <c r="AJ163" i="489"/>
  <c r="AJ331" i="489" s="1"/>
  <c r="C346" i="489"/>
  <c r="DX1116" i="489"/>
  <c r="C956" i="489"/>
  <c r="EY997" i="489"/>
  <c r="E997" i="489" s="1"/>
  <c r="DX1004" i="489"/>
  <c r="DX1038" i="489"/>
  <c r="EY1033" i="489"/>
  <c r="EY1038" i="489" s="1"/>
  <c r="DX1010" i="489"/>
  <c r="EY1005" i="489"/>
  <c r="EY1010" i="489" s="1"/>
  <c r="DX1022" i="489"/>
  <c r="DX1066" i="489"/>
  <c r="EY1061" i="489"/>
  <c r="DX994" i="489"/>
  <c r="EY985" i="489"/>
  <c r="DX1050" i="489"/>
  <c r="EY1041" i="489"/>
  <c r="DX1032" i="489"/>
  <c r="DX1060" i="489"/>
  <c r="EY1051" i="489"/>
  <c r="X319" i="489"/>
  <c r="X320" i="489" s="1"/>
  <c r="X336" i="489"/>
  <c r="X337" i="489" s="1"/>
  <c r="CL336" i="489"/>
  <c r="CF316" i="489"/>
  <c r="DR337" i="489"/>
  <c r="AN327" i="489"/>
  <c r="CO327" i="489"/>
  <c r="EE319" i="489"/>
  <c r="EE320" i="489" s="1"/>
  <c r="EE327" i="489"/>
  <c r="EE337" i="489" s="1"/>
  <c r="AA319" i="489"/>
  <c r="AA320" i="489" s="1"/>
  <c r="AA327" i="489"/>
  <c r="AA337" i="489" s="1"/>
  <c r="AO327" i="489"/>
  <c r="P327" i="489"/>
  <c r="CR330" i="489"/>
  <c r="BA319" i="489"/>
  <c r="BA320" i="489" s="1"/>
  <c r="BA327" i="489"/>
  <c r="BA337" i="489" s="1"/>
  <c r="C743" i="489"/>
  <c r="C549" i="489"/>
  <c r="C761" i="489"/>
  <c r="C773" i="489"/>
  <c r="C701" i="489"/>
  <c r="C695" i="489"/>
  <c r="C678" i="489"/>
  <c r="C515" i="489"/>
  <c r="C752" i="489"/>
  <c r="C744" i="489"/>
  <c r="C730" i="489"/>
  <c r="C774" i="489"/>
  <c r="C729" i="489"/>
  <c r="C768" i="489"/>
  <c r="C737" i="489"/>
  <c r="C783" i="489"/>
  <c r="C692" i="489"/>
  <c r="C775" i="489"/>
  <c r="G575" i="489"/>
  <c r="F576" i="489"/>
  <c r="F893" i="489"/>
  <c r="C728" i="489"/>
  <c r="DX337" i="489"/>
  <c r="C553" i="489"/>
  <c r="C540" i="489"/>
  <c r="BU73" i="489"/>
  <c r="BU316" i="489"/>
  <c r="CI73" i="489"/>
  <c r="CI316" i="489"/>
  <c r="E19" i="188"/>
  <c r="F19" i="188" s="1"/>
  <c r="F26" i="188" s="1"/>
  <c r="F27" i="188" s="1"/>
  <c r="F31" i="188" s="1"/>
  <c r="I150" i="147" s="1"/>
  <c r="C558" i="489"/>
  <c r="C561" i="489"/>
  <c r="EY108" i="147"/>
  <c r="EY674" i="147"/>
  <c r="I674" i="147" s="1"/>
  <c r="EY525" i="147"/>
  <c r="I525" i="147" s="1"/>
  <c r="EY487" i="147"/>
  <c r="I487" i="147" s="1"/>
  <c r="EY598" i="147"/>
  <c r="I598" i="147" s="1"/>
  <c r="EY631" i="147"/>
  <c r="I631" i="147" s="1"/>
  <c r="C544" i="489"/>
  <c r="C559" i="489"/>
  <c r="C518" i="489"/>
  <c r="C649" i="489"/>
  <c r="C633" i="489"/>
  <c r="DD43" i="489"/>
  <c r="DD317" i="489"/>
  <c r="C628" i="489"/>
  <c r="C637" i="489"/>
  <c r="C580" i="489"/>
  <c r="C612" i="489"/>
  <c r="C641" i="489"/>
  <c r="C576" i="489"/>
  <c r="C619" i="489"/>
  <c r="C616" i="489"/>
  <c r="C601" i="489"/>
  <c r="C636" i="489"/>
  <c r="C627" i="489"/>
  <c r="C618" i="489"/>
  <c r="C573" i="489"/>
  <c r="C639" i="489"/>
  <c r="C644" i="489"/>
  <c r="C610" i="489"/>
  <c r="C589" i="489"/>
  <c r="C635" i="489"/>
  <c r="C632" i="489"/>
  <c r="C626" i="489"/>
  <c r="C647" i="489"/>
  <c r="C622" i="489"/>
  <c r="C600" i="489"/>
  <c r="C643" i="489"/>
  <c r="C640" i="489"/>
  <c r="C564" i="489"/>
  <c r="C629" i="489"/>
  <c r="C634" i="489"/>
  <c r="C587" i="489"/>
  <c r="C617" i="489"/>
  <c r="C638" i="489"/>
  <c r="C577" i="489"/>
  <c r="C590" i="489"/>
  <c r="C648" i="489"/>
  <c r="C575" i="489"/>
  <c r="C645" i="489"/>
  <c r="C642" i="489"/>
  <c r="C585" i="489"/>
  <c r="C611" i="489"/>
  <c r="C599" i="489"/>
  <c r="C625" i="489"/>
  <c r="C646" i="489"/>
  <c r="C525" i="489"/>
  <c r="C623" i="489"/>
  <c r="DC371" i="147"/>
  <c r="DC373" i="147" s="1"/>
  <c r="AQ283" i="489"/>
  <c r="AQ335" i="489" s="1"/>
  <c r="L316" i="489"/>
  <c r="CF193" i="489"/>
  <c r="CF332" i="489" s="1"/>
  <c r="DE283" i="489"/>
  <c r="CG316" i="489"/>
  <c r="CG313" i="489"/>
  <c r="CA317" i="489"/>
  <c r="CZ163" i="489"/>
  <c r="CZ331" i="489" s="1"/>
  <c r="CA223" i="489"/>
  <c r="CA333" i="489" s="1"/>
  <c r="BR253" i="489"/>
  <c r="BR334" i="489" s="1"/>
  <c r="AQ253" i="489"/>
  <c r="AQ334" i="489" s="1"/>
  <c r="CN316" i="489"/>
  <c r="EW133" i="489"/>
  <c r="EW330" i="489" s="1"/>
  <c r="CF283" i="489"/>
  <c r="CF335" i="489" s="1"/>
  <c r="CR317" i="489"/>
  <c r="CB317" i="489"/>
  <c r="CB316" i="489"/>
  <c r="BS317" i="489"/>
  <c r="BT317" i="489"/>
  <c r="DL317" i="489"/>
  <c r="AE317" i="489"/>
  <c r="AK317" i="489"/>
  <c r="EW313" i="489"/>
  <c r="EW336" i="489" s="1"/>
  <c r="D253" i="489"/>
  <c r="D255" i="489" s="1"/>
  <c r="E26" i="489"/>
  <c r="EV73" i="489"/>
  <c r="EV328" i="489" s="1"/>
  <c r="AE223" i="489"/>
  <c r="AE333" i="489" s="1"/>
  <c r="AL317" i="489"/>
  <c r="L283" i="489"/>
  <c r="AT317" i="489"/>
  <c r="DR316" i="489"/>
  <c r="DS133" i="489"/>
  <c r="AK283" i="489"/>
  <c r="AK335" i="489" s="1"/>
  <c r="AH73" i="489"/>
  <c r="AH328" i="489" s="1"/>
  <c r="CB283" i="489"/>
  <c r="CB335" i="489" s="1"/>
  <c r="DU317" i="489"/>
  <c r="C535" i="489"/>
  <c r="C565" i="489"/>
  <c r="EY28" i="489"/>
  <c r="EY30" i="489"/>
  <c r="CF317" i="489"/>
  <c r="EY78" i="489"/>
  <c r="EY86" i="489" s="1"/>
  <c r="EY297" i="489"/>
  <c r="C529" i="489"/>
  <c r="C541" i="489"/>
  <c r="EY268" i="489"/>
  <c r="EY88" i="489"/>
  <c r="EY148" i="489"/>
  <c r="EY47" i="489"/>
  <c r="EY56" i="489" s="1"/>
  <c r="EW283" i="489"/>
  <c r="EW335" i="489" s="1"/>
  <c r="EW253" i="489"/>
  <c r="EW334" i="489" s="1"/>
  <c r="C532" i="489"/>
  <c r="C534" i="489"/>
  <c r="C536" i="489"/>
  <c r="DC216" i="489"/>
  <c r="DC223" i="489" s="1"/>
  <c r="DC333" i="489" s="1"/>
  <c r="G156" i="489"/>
  <c r="EY52" i="147"/>
  <c r="AU371" i="147"/>
  <c r="AU373" i="147" s="1"/>
  <c r="AU216" i="489"/>
  <c r="AU223" i="489" s="1"/>
  <c r="AU333" i="489" s="1"/>
  <c r="AK371" i="147"/>
  <c r="AK373" i="147" s="1"/>
  <c r="CT73" i="489"/>
  <c r="CT328" i="489" s="1"/>
  <c r="CT316" i="489"/>
  <c r="F306" i="489"/>
  <c r="F313" i="489" s="1"/>
  <c r="F315" i="489" s="1"/>
  <c r="E146" i="489"/>
  <c r="DF317" i="489"/>
  <c r="CS317" i="489"/>
  <c r="DE317" i="489"/>
  <c r="CZ317" i="489"/>
  <c r="EY146" i="489"/>
  <c r="D283" i="489"/>
  <c r="D285" i="489" s="1"/>
  <c r="V253" i="489"/>
  <c r="V334" i="489" s="1"/>
  <c r="AH317" i="489"/>
  <c r="AE103" i="489"/>
  <c r="AE329" i="489" s="1"/>
  <c r="EW223" i="489"/>
  <c r="EW333" i="489" s="1"/>
  <c r="EW163" i="489"/>
  <c r="EW331" i="489" s="1"/>
  <c r="DR319" i="489"/>
  <c r="DR320" i="489" s="1"/>
  <c r="CZ283" i="489"/>
  <c r="CZ335" i="489" s="1"/>
  <c r="V133" i="489"/>
  <c r="V330" i="489" s="1"/>
  <c r="CZ133" i="489"/>
  <c r="CZ330" i="489" s="1"/>
  <c r="CZ103" i="489"/>
  <c r="CZ329" i="489" s="1"/>
  <c r="CB253" i="489"/>
  <c r="CF73" i="489"/>
  <c r="CF328" i="489" s="1"/>
  <c r="EY206" i="489"/>
  <c r="F30" i="181"/>
  <c r="F31" i="181" s="1"/>
  <c r="F35" i="181" s="1"/>
  <c r="I115" i="147" s="1"/>
  <c r="F30" i="180"/>
  <c r="F31" i="180" s="1"/>
  <c r="F35" i="180" s="1"/>
  <c r="I114" i="147" s="1"/>
  <c r="F28" i="439"/>
  <c r="F29" i="439" s="1"/>
  <c r="F31" i="439" s="1"/>
  <c r="F35" i="439" s="1"/>
  <c r="I192" i="147" s="1"/>
  <c r="I29" i="489" s="1"/>
  <c r="E24" i="197"/>
  <c r="F24" i="197" s="1"/>
  <c r="F29" i="197" s="1"/>
  <c r="F31" i="197" s="1"/>
  <c r="F35" i="197" s="1"/>
  <c r="I171" i="147" s="1"/>
  <c r="F33" i="205"/>
  <c r="F35" i="205" s="1"/>
  <c r="F39" i="205" s="1"/>
  <c r="I195" i="147" s="1"/>
  <c r="EY36" i="147"/>
  <c r="M27" i="103"/>
  <c r="F29" i="103"/>
  <c r="EY438" i="147"/>
  <c r="I438" i="147" s="1"/>
  <c r="EY68" i="147"/>
  <c r="EY474" i="147"/>
  <c r="EY104" i="147"/>
  <c r="EY65" i="147"/>
  <c r="F22" i="172"/>
  <c r="F27" i="172" s="1"/>
  <c r="F28" i="172" s="1"/>
  <c r="F32" i="172" s="1"/>
  <c r="I105" i="147" s="1"/>
  <c r="M21" i="172"/>
  <c r="M27" i="172" s="1"/>
  <c r="F30" i="412"/>
  <c r="F31" i="412" s="1"/>
  <c r="F35" i="412" s="1"/>
  <c r="I79" i="147" s="1"/>
  <c r="M29" i="412"/>
  <c r="M30" i="412" s="1"/>
  <c r="EY63" i="147"/>
  <c r="EY20" i="147"/>
  <c r="EY390" i="147"/>
  <c r="I390" i="147" s="1"/>
  <c r="EY69" i="147"/>
  <c r="EY439" i="147"/>
  <c r="I439" i="147" s="1"/>
  <c r="F28" i="420"/>
  <c r="F29" i="420" s="1"/>
  <c r="F33" i="420" s="1"/>
  <c r="I93" i="147" s="1"/>
  <c r="M27" i="420"/>
  <c r="M28" i="420" s="1"/>
  <c r="EY402" i="147"/>
  <c r="I402" i="147" s="1"/>
  <c r="EY32" i="147"/>
  <c r="EY296" i="489"/>
  <c r="EY116" i="489"/>
  <c r="EY87" i="147"/>
  <c r="EY457" i="147"/>
  <c r="EY22" i="147"/>
  <c r="F29" i="407"/>
  <c r="F30" i="407" s="1"/>
  <c r="F34" i="407" s="1"/>
  <c r="I72" i="147" s="1"/>
  <c r="M28" i="407"/>
  <c r="M29" i="407" s="1"/>
  <c r="EY397" i="147"/>
  <c r="I397" i="147" s="1"/>
  <c r="EY27" i="147"/>
  <c r="F29" i="410"/>
  <c r="F30" i="410" s="1"/>
  <c r="F34" i="410" s="1"/>
  <c r="I75" i="147" s="1"/>
  <c r="M28" i="410"/>
  <c r="M29" i="410" s="1"/>
  <c r="EY59" i="147"/>
  <c r="EY64" i="147"/>
  <c r="F28" i="417"/>
  <c r="F29" i="417" s="1"/>
  <c r="F33" i="417" s="1"/>
  <c r="I90" i="147" s="1"/>
  <c r="M27" i="417"/>
  <c r="M28" i="417" s="1"/>
  <c r="EY94" i="147"/>
  <c r="F29" i="400"/>
  <c r="F30" i="400" s="1"/>
  <c r="F34" i="400" s="1"/>
  <c r="I60" i="147" s="1"/>
  <c r="M28" i="400"/>
  <c r="M29" i="400" s="1"/>
  <c r="EY67" i="147"/>
  <c r="F24" i="97"/>
  <c r="F29" i="97" s="1"/>
  <c r="F30" i="97" s="1"/>
  <c r="F34" i="97" s="1"/>
  <c r="I107" i="147" s="1"/>
  <c r="M23" i="97"/>
  <c r="M29" i="97" s="1"/>
  <c r="F29" i="409"/>
  <c r="F30" i="409" s="1"/>
  <c r="F34" i="409" s="1"/>
  <c r="I74" i="147" s="1"/>
  <c r="M28" i="409"/>
  <c r="M29" i="409" s="1"/>
  <c r="EY37" i="147"/>
  <c r="EY30" i="147"/>
  <c r="EY400" i="147"/>
  <c r="I400" i="147" s="1"/>
  <c r="EY91" i="147"/>
  <c r="EY424" i="147"/>
  <c r="EY54" i="147"/>
  <c r="EY26" i="147"/>
  <c r="EY396" i="147"/>
  <c r="I396" i="147" s="1"/>
  <c r="EY393" i="147"/>
  <c r="I393" i="147" s="1"/>
  <c r="EY23" i="147"/>
  <c r="F30" i="398"/>
  <c r="F31" i="398" s="1"/>
  <c r="F35" i="398" s="1"/>
  <c r="I58" i="147" s="1"/>
  <c r="M29" i="398"/>
  <c r="M30" i="398" s="1"/>
  <c r="EY81" i="147"/>
  <c r="EY70" i="147"/>
  <c r="EY436" i="147"/>
  <c r="I436" i="147" s="1"/>
  <c r="EY66" i="147"/>
  <c r="EY21" i="147"/>
  <c r="EY259" i="489"/>
  <c r="EY266" i="489" s="1"/>
  <c r="EY38" i="147"/>
  <c r="EY211" i="489"/>
  <c r="EY26" i="489"/>
  <c r="F30" i="397"/>
  <c r="F31" i="397" s="1"/>
  <c r="F35" i="397" s="1"/>
  <c r="I57" i="147" s="1"/>
  <c r="M29" i="397"/>
  <c r="M30" i="397" s="1"/>
  <c r="EY80" i="147"/>
  <c r="F29" i="408"/>
  <c r="F30" i="408" s="1"/>
  <c r="F34" i="408" s="1"/>
  <c r="I73" i="147" s="1"/>
  <c r="M28" i="408"/>
  <c r="M29" i="408" s="1"/>
  <c r="F25" i="102"/>
  <c r="M24" i="102"/>
  <c r="EY462" i="147"/>
  <c r="I462" i="147" s="1"/>
  <c r="EY92" i="147"/>
  <c r="J23" i="311"/>
  <c r="H23" i="311"/>
  <c r="E19" i="199"/>
  <c r="F19" i="199" s="1"/>
  <c r="F22" i="199" s="1"/>
  <c r="F23" i="199" s="1"/>
  <c r="F27" i="199" s="1"/>
  <c r="E23" i="175"/>
  <c r="F23" i="175" s="1"/>
  <c r="E24" i="171"/>
  <c r="F24" i="171" s="1"/>
  <c r="M24" i="171" s="1"/>
  <c r="M25" i="171" s="1"/>
  <c r="EY236" i="489"/>
  <c r="EY403" i="147"/>
  <c r="I403" i="147" s="1"/>
  <c r="EY33" i="147"/>
  <c r="EY28" i="147"/>
  <c r="EW103" i="489"/>
  <c r="EW329" i="489" s="1"/>
  <c r="DC176" i="489"/>
  <c r="BR316" i="489"/>
  <c r="F156" i="489"/>
  <c r="E306" i="489"/>
  <c r="E313" i="489" s="1"/>
  <c r="E315" i="489" s="1"/>
  <c r="AU156" i="489"/>
  <c r="AU163" i="489" s="1"/>
  <c r="AU331" i="489" s="1"/>
  <c r="CT313" i="489"/>
  <c r="CT336" i="489" s="1"/>
  <c r="CT317" i="489"/>
  <c r="G306" i="489"/>
  <c r="G313" i="489" s="1"/>
  <c r="G315" i="489" s="1"/>
  <c r="AU126" i="489"/>
  <c r="AU133" i="489" s="1"/>
  <c r="AU330" i="489" s="1"/>
  <c r="BR163" i="489"/>
  <c r="E156" i="489"/>
  <c r="CV313" i="489"/>
  <c r="CV336" i="489" s="1"/>
  <c r="CV317" i="489"/>
  <c r="DV313" i="489"/>
  <c r="DV336" i="489" s="1"/>
  <c r="DV317" i="489"/>
  <c r="AU36" i="489"/>
  <c r="AU96" i="489"/>
  <c r="AU103" i="489" s="1"/>
  <c r="AU329" i="489" s="1"/>
  <c r="H126" i="489"/>
  <c r="AU276" i="489"/>
  <c r="AU283" i="489" s="1"/>
  <c r="AU335" i="489" s="1"/>
  <c r="DC306" i="489"/>
  <c r="DC313" i="489" s="1"/>
  <c r="DC336" i="489" s="1"/>
  <c r="EW73" i="489"/>
  <c r="EW328" i="489" s="1"/>
  <c r="AK316" i="489"/>
  <c r="CS86" i="489"/>
  <c r="Y86" i="489"/>
  <c r="DV73" i="489"/>
  <c r="DV328" i="489" s="1"/>
  <c r="DV316" i="489"/>
  <c r="DF86" i="489"/>
  <c r="DC56" i="489"/>
  <c r="F26" i="489"/>
  <c r="F176" i="489"/>
  <c r="E176" i="489"/>
  <c r="CV73" i="489"/>
  <c r="CV328" i="489" s="1"/>
  <c r="CV316" i="489"/>
  <c r="DC86" i="489"/>
  <c r="CA43" i="489"/>
  <c r="G176" i="489"/>
  <c r="BS86" i="489"/>
  <c r="EY493" i="147"/>
  <c r="EW316" i="489"/>
  <c r="AK253" i="489"/>
  <c r="AK334" i="489" s="1"/>
  <c r="AQ316" i="489"/>
  <c r="F86" i="489"/>
  <c r="G96" i="489"/>
  <c r="F276" i="489"/>
  <c r="BM103" i="489"/>
  <c r="BM316" i="489"/>
  <c r="EW193" i="489"/>
  <c r="EW332" i="489" s="1"/>
  <c r="U133" i="489"/>
  <c r="U330" i="489" s="1"/>
  <c r="F66" i="489"/>
  <c r="CQ283" i="489"/>
  <c r="CQ335" i="489" s="1"/>
  <c r="V223" i="489"/>
  <c r="V333" i="489" s="1"/>
  <c r="V103" i="489"/>
  <c r="V329" i="489" s="1"/>
  <c r="E126" i="489"/>
  <c r="E133" i="489" s="1"/>
  <c r="E135" i="489" s="1"/>
  <c r="G246" i="489"/>
  <c r="G253" i="489" s="1"/>
  <c r="G255" i="489" s="1"/>
  <c r="E66" i="489"/>
  <c r="E276" i="489"/>
  <c r="AJ316" i="489"/>
  <c r="AF103" i="489"/>
  <c r="AF329" i="489" s="1"/>
  <c r="AF317" i="489"/>
  <c r="CZ316" i="489"/>
  <c r="CZ43" i="489"/>
  <c r="CZ327" i="489" s="1"/>
  <c r="Y317" i="489"/>
  <c r="Y43" i="489"/>
  <c r="Y327" i="489" s="1"/>
  <c r="AH133" i="489"/>
  <c r="AH330" i="489" s="1"/>
  <c r="E206" i="489"/>
  <c r="BR317" i="489"/>
  <c r="EV133" i="489"/>
  <c r="EV330" i="489" s="1"/>
  <c r="E96" i="489"/>
  <c r="EW317" i="489"/>
  <c r="EW43" i="489"/>
  <c r="EW327" i="489" s="1"/>
  <c r="V163" i="489"/>
  <c r="V331" i="489" s="1"/>
  <c r="AE316" i="489"/>
  <c r="AE43" i="489"/>
  <c r="AE327" i="489" s="1"/>
  <c r="G36" i="489"/>
  <c r="G126" i="489"/>
  <c r="EV163" i="489"/>
  <c r="EV331" i="489" s="1"/>
  <c r="E36" i="489"/>
  <c r="E246" i="489"/>
  <c r="E253" i="489" s="1"/>
  <c r="E255" i="489" s="1"/>
  <c r="N223" i="489"/>
  <c r="N316" i="489"/>
  <c r="G216" i="489"/>
  <c r="EV317" i="489"/>
  <c r="F146" i="489"/>
  <c r="G276" i="489"/>
  <c r="G206" i="489"/>
  <c r="J193" i="489"/>
  <c r="J316" i="489"/>
  <c r="F36" i="489"/>
  <c r="E186" i="489"/>
  <c r="F206" i="489"/>
  <c r="CQ317" i="489"/>
  <c r="CQ43" i="489"/>
  <c r="CQ327" i="489" s="1"/>
  <c r="V317" i="489"/>
  <c r="AJ317" i="489"/>
  <c r="AJ43" i="489"/>
  <c r="G66" i="489"/>
  <c r="EV316" i="489"/>
  <c r="EV43" i="489"/>
  <c r="EV327" i="489" s="1"/>
  <c r="E216" i="489"/>
  <c r="V193" i="489"/>
  <c r="V332" i="489" s="1"/>
  <c r="F126" i="489"/>
  <c r="G186" i="489"/>
  <c r="V73" i="489"/>
  <c r="V328" i="489" s="1"/>
  <c r="AQ317" i="489"/>
  <c r="F216" i="489"/>
  <c r="F96" i="489"/>
  <c r="U316" i="489"/>
  <c r="U43" i="489"/>
  <c r="U327" i="489" s="1"/>
  <c r="F186" i="489"/>
  <c r="F246" i="489"/>
  <c r="AF73" i="489"/>
  <c r="AF328" i="489" s="1"/>
  <c r="AF316" i="489"/>
  <c r="V316" i="489"/>
  <c r="EV223" i="489"/>
  <c r="EV333" i="489" s="1"/>
  <c r="EV103" i="489"/>
  <c r="EV329" i="489" s="1"/>
  <c r="AX317" i="489"/>
  <c r="AX73" i="489"/>
  <c r="EY688" i="147"/>
  <c r="I688" i="147" s="1"/>
  <c r="EY640" i="147"/>
  <c r="I640" i="147" s="1"/>
  <c r="EY677" i="147"/>
  <c r="I677" i="147" s="1"/>
  <c r="EY490" i="147"/>
  <c r="I490" i="147" s="1"/>
  <c r="EY698" i="147"/>
  <c r="I698" i="147" s="1"/>
  <c r="EY472" i="147"/>
  <c r="I472" i="147" s="1"/>
  <c r="EY625" i="147"/>
  <c r="I625" i="147" s="1"/>
  <c r="EY579" i="147"/>
  <c r="EY580" i="147"/>
  <c r="EY569" i="147"/>
  <c r="I569" i="147" s="1"/>
  <c r="EY694" i="147"/>
  <c r="I694" i="147" s="1"/>
  <c r="EY732" i="147"/>
  <c r="I732" i="147" s="1"/>
  <c r="EY507" i="147"/>
  <c r="I507" i="147" s="1"/>
  <c r="EY590" i="147"/>
  <c r="EY385" i="147"/>
  <c r="I385" i="147" s="1"/>
  <c r="EY423" i="147"/>
  <c r="I423" i="147" s="1"/>
  <c r="EY538" i="147"/>
  <c r="I538" i="147" s="1"/>
  <c r="EY622" i="147"/>
  <c r="I622" i="147" s="1"/>
  <c r="EY512" i="147"/>
  <c r="I512" i="147" s="1"/>
  <c r="EY558" i="147"/>
  <c r="I558" i="147" s="1"/>
  <c r="EY468" i="147"/>
  <c r="I468" i="147" s="1"/>
  <c r="EY551" i="147"/>
  <c r="I551" i="147" s="1"/>
  <c r="EY585" i="147"/>
  <c r="I585" i="147" s="1"/>
  <c r="EY657" i="147"/>
  <c r="I657" i="147" s="1"/>
  <c r="EY675" i="147"/>
  <c r="I675" i="147" s="1"/>
  <c r="EY576" i="147"/>
  <c r="I576" i="147" s="1"/>
  <c r="EY492" i="147"/>
  <c r="I492" i="147" s="1"/>
  <c r="EY479" i="147"/>
  <c r="EY607" i="147"/>
  <c r="I607" i="147" s="1"/>
  <c r="EY668" i="147"/>
  <c r="I668" i="147" s="1"/>
  <c r="EY549" i="147"/>
  <c r="I549" i="147" s="1"/>
  <c r="EY447" i="147"/>
  <c r="I447" i="147" s="1"/>
  <c r="EY384" i="147"/>
  <c r="I384" i="147" s="1"/>
  <c r="EY481" i="147"/>
  <c r="EY669" i="147"/>
  <c r="I669" i="147" s="1"/>
  <c r="EY600" i="147"/>
  <c r="EY731" i="147"/>
  <c r="I731" i="147" s="1"/>
  <c r="EY510" i="147"/>
  <c r="I510" i="147" s="1"/>
  <c r="EY550" i="147"/>
  <c r="EY552" i="147"/>
  <c r="I552" i="147" s="1"/>
  <c r="EY484" i="147"/>
  <c r="EY695" i="147"/>
  <c r="I695" i="147" s="1"/>
  <c r="EY679" i="147"/>
  <c r="EY461" i="147"/>
  <c r="I461" i="147" s="1"/>
  <c r="EY382" i="147"/>
  <c r="I382" i="147" s="1"/>
  <c r="EY592" i="147"/>
  <c r="I592" i="147" s="1"/>
  <c r="EY687" i="147"/>
  <c r="I687" i="147" s="1"/>
  <c r="E25" i="176"/>
  <c r="F25" i="176" s="1"/>
  <c r="F26" i="482"/>
  <c r="F27" i="482" s="1"/>
  <c r="F29" i="482" s="1"/>
  <c r="F33" i="482" s="1"/>
  <c r="I210" i="147" s="1"/>
  <c r="EY676" i="147"/>
  <c r="I676" i="147" s="1"/>
  <c r="EY554" i="147"/>
  <c r="I554" i="147" s="1"/>
  <c r="EY566" i="147"/>
  <c r="I566" i="147" s="1"/>
  <c r="EY685" i="147"/>
  <c r="I685" i="147" s="1"/>
  <c r="EY616" i="147"/>
  <c r="I616" i="147" s="1"/>
  <c r="EY420" i="147"/>
  <c r="I420" i="147" s="1"/>
  <c r="EY642" i="147"/>
  <c r="I642" i="147" s="1"/>
  <c r="EY678" i="147"/>
  <c r="EY517" i="147"/>
  <c r="I517" i="147" s="1"/>
  <c r="EY667" i="147"/>
  <c r="EY573" i="147"/>
  <c r="I573" i="147" s="1"/>
  <c r="EY591" i="147"/>
  <c r="EY661" i="147"/>
  <c r="I661" i="147" s="1"/>
  <c r="EY410" i="147"/>
  <c r="I410" i="147" s="1"/>
  <c r="EY730" i="147"/>
  <c r="I730" i="147" s="1"/>
  <c r="EY426" i="147"/>
  <c r="I426" i="147" s="1"/>
  <c r="EY541" i="147"/>
  <c r="EY563" i="147"/>
  <c r="I563" i="147" s="1"/>
  <c r="EY500" i="147"/>
  <c r="I500" i="147" s="1"/>
  <c r="EY696" i="147"/>
  <c r="I696" i="147" s="1"/>
  <c r="EY531" i="147"/>
  <c r="I531" i="147" s="1"/>
  <c r="EY662" i="147"/>
  <c r="I662" i="147" s="1"/>
  <c r="EY565" i="147"/>
  <c r="EY575" i="147"/>
  <c r="I575" i="147" s="1"/>
  <c r="EY670" i="147"/>
  <c r="I670" i="147" s="1"/>
  <c r="EY651" i="147"/>
  <c r="I651" i="147" s="1"/>
  <c r="EY471" i="147"/>
  <c r="I471" i="147" s="1"/>
  <c r="EY583" i="147"/>
  <c r="I583" i="147" s="1"/>
  <c r="EY629" i="147"/>
  <c r="EY603" i="147"/>
  <c r="I603" i="147" s="1"/>
  <c r="EY645" i="147"/>
  <c r="I645" i="147" s="1"/>
  <c r="EY452" i="147"/>
  <c r="EY454" i="147"/>
  <c r="I454" i="147" s="1"/>
  <c r="EY376" i="147"/>
  <c r="I376" i="147" s="1"/>
  <c r="EY700" i="147"/>
  <c r="I700" i="147" s="1"/>
  <c r="EY653" i="147"/>
  <c r="I653" i="147" s="1"/>
  <c r="EY650" i="147"/>
  <c r="I650" i="147" s="1"/>
  <c r="EY597" i="147"/>
  <c r="I597" i="147" s="1"/>
  <c r="EY613" i="147"/>
  <c r="I613" i="147" s="1"/>
  <c r="EY589" i="147"/>
  <c r="I589" i="147" s="1"/>
  <c r="EY437" i="147"/>
  <c r="I437" i="147" s="1"/>
  <c r="EY620" i="147"/>
  <c r="I620" i="147" s="1"/>
  <c r="EY516" i="147"/>
  <c r="I516" i="147" s="1"/>
  <c r="EY577" i="147"/>
  <c r="I577" i="147" s="1"/>
  <c r="EY690" i="147"/>
  <c r="I690" i="147" s="1"/>
  <c r="EY432" i="147"/>
  <c r="I432" i="147" s="1"/>
  <c r="EY703" i="147"/>
  <c r="I703" i="147" s="1"/>
  <c r="EY458" i="147"/>
  <c r="EY509" i="147"/>
  <c r="I509" i="147" s="1"/>
  <c r="EY431" i="147"/>
  <c r="I431" i="147" s="1"/>
  <c r="EY664" i="147"/>
  <c r="I664" i="147" s="1"/>
  <c r="EY389" i="147"/>
  <c r="I389" i="147" s="1"/>
  <c r="EY485" i="147"/>
  <c r="EY503" i="147"/>
  <c r="I503" i="147" s="1"/>
  <c r="EY604" i="147"/>
  <c r="I604" i="147" s="1"/>
  <c r="EY606" i="147"/>
  <c r="I606" i="147" s="1"/>
  <c r="EY621" i="147"/>
  <c r="I621" i="147" s="1"/>
  <c r="EY381" i="147"/>
  <c r="I381" i="147" s="1"/>
  <c r="EY647" i="147"/>
  <c r="I647" i="147" s="1"/>
  <c r="EY555" i="147"/>
  <c r="I555" i="147" s="1"/>
  <c r="EY673" i="147"/>
  <c r="I673" i="147" s="1"/>
  <c r="EY419" i="147"/>
  <c r="I419" i="147" s="1"/>
  <c r="EY614" i="147"/>
  <c r="I614" i="147" s="1"/>
  <c r="EY686" i="147"/>
  <c r="I686" i="147" s="1"/>
  <c r="EY564" i="147"/>
  <c r="I564" i="147" s="1"/>
  <c r="EY526" i="147"/>
  <c r="I526" i="147" s="1"/>
  <c r="EY574" i="147"/>
  <c r="I574" i="147" s="1"/>
  <c r="EY632" i="147"/>
  <c r="I632" i="147" s="1"/>
  <c r="EY413" i="147"/>
  <c r="I413" i="147" s="1"/>
  <c r="EY553" i="147"/>
  <c r="EY444" i="147"/>
  <c r="EY672" i="147"/>
  <c r="I672" i="147" s="1"/>
  <c r="EY519" i="147"/>
  <c r="EY456" i="147"/>
  <c r="EY561" i="147"/>
  <c r="I561" i="147" s="1"/>
  <c r="EY608" i="147"/>
  <c r="I608" i="147" s="1"/>
  <c r="EY466" i="147"/>
  <c r="I466" i="147" s="1"/>
  <c r="EY508" i="147"/>
  <c r="I508" i="147" s="1"/>
  <c r="EY582" i="147"/>
  <c r="I582" i="147" s="1"/>
  <c r="EY693" i="147"/>
  <c r="I693" i="147" s="1"/>
  <c r="EY623" i="147"/>
  <c r="I623" i="147" s="1"/>
  <c r="E19" i="364"/>
  <c r="F19" i="364" s="1"/>
  <c r="F22" i="364" s="1"/>
  <c r="F23" i="364" s="1"/>
  <c r="F27" i="364" s="1"/>
  <c r="I249" i="147" s="1"/>
  <c r="EY692" i="147"/>
  <c r="I692" i="147" s="1"/>
  <c r="EY527" i="147"/>
  <c r="I527" i="147" s="1"/>
  <c r="EY628" i="147"/>
  <c r="I628" i="147" s="1"/>
  <c r="EY723" i="147"/>
  <c r="I723" i="147" s="1"/>
  <c r="EY718" i="147"/>
  <c r="I718" i="147" s="1"/>
  <c r="EY706" i="147"/>
  <c r="I706" i="147" s="1"/>
  <c r="EY724" i="147"/>
  <c r="I724" i="147" s="1"/>
  <c r="EY717" i="147"/>
  <c r="I717" i="147" s="1"/>
  <c r="EY705" i="147"/>
  <c r="I705" i="147" s="1"/>
  <c r="EY712" i="147"/>
  <c r="I712" i="147" s="1"/>
  <c r="EY704" i="147"/>
  <c r="I704" i="147" s="1"/>
  <c r="EY729" i="147"/>
  <c r="I729" i="147" s="1"/>
  <c r="EY711" i="147"/>
  <c r="I711" i="147" s="1"/>
  <c r="EY702" i="147"/>
  <c r="I702" i="147" s="1"/>
  <c r="EY728" i="147"/>
  <c r="I728" i="147" s="1"/>
  <c r="EY716" i="147"/>
  <c r="I716" i="147" s="1"/>
  <c r="EY701" i="147"/>
  <c r="I701" i="147" s="1"/>
  <c r="EY619" i="147"/>
  <c r="EY727" i="147"/>
  <c r="I727" i="147" s="1"/>
  <c r="EY715" i="147"/>
  <c r="I715" i="147" s="1"/>
  <c r="EY634" i="147"/>
  <c r="I634" i="147" s="1"/>
  <c r="EY726" i="147"/>
  <c r="I726" i="147" s="1"/>
  <c r="EY714" i="147"/>
  <c r="I714" i="147" s="1"/>
  <c r="EY725" i="147"/>
  <c r="I725" i="147" s="1"/>
  <c r="EY713" i="147"/>
  <c r="I713" i="147" s="1"/>
  <c r="EY722" i="147"/>
  <c r="I722" i="147" s="1"/>
  <c r="EY710" i="147"/>
  <c r="I710" i="147" s="1"/>
  <c r="EY721" i="147"/>
  <c r="I721" i="147" s="1"/>
  <c r="EY618" i="147"/>
  <c r="EY720" i="147"/>
  <c r="I720" i="147" s="1"/>
  <c r="EY708" i="147"/>
  <c r="I708" i="147" s="1"/>
  <c r="EY691" i="147"/>
  <c r="I691" i="147" s="1"/>
  <c r="EY719" i="147"/>
  <c r="I719" i="147" s="1"/>
  <c r="EY707" i="147"/>
  <c r="I707" i="147" s="1"/>
  <c r="EY709" i="147"/>
  <c r="I709" i="147" s="1"/>
  <c r="EY637" i="147"/>
  <c r="I637" i="147" s="1"/>
  <c r="EY611" i="147"/>
  <c r="I611" i="147" s="1"/>
  <c r="EY536" i="147"/>
  <c r="I536" i="147" s="1"/>
  <c r="EY497" i="147"/>
  <c r="I497" i="147" s="1"/>
  <c r="EY601" i="147"/>
  <c r="I601" i="147" s="1"/>
  <c r="EY615" i="147"/>
  <c r="I615" i="147" s="1"/>
  <c r="EY501" i="147"/>
  <c r="I501" i="147" s="1"/>
  <c r="EY388" i="147"/>
  <c r="I388" i="147" s="1"/>
  <c r="EY533" i="147"/>
  <c r="I533" i="147" s="1"/>
  <c r="EY494" i="147"/>
  <c r="I494" i="147" s="1"/>
  <c r="EY539" i="147"/>
  <c r="I539" i="147" s="1"/>
  <c r="EY588" i="147"/>
  <c r="I588" i="147" s="1"/>
  <c r="EY511" i="147"/>
  <c r="I511" i="147" s="1"/>
  <c r="EY442" i="147"/>
  <c r="EY394" i="147"/>
  <c r="I394" i="147" s="1"/>
  <c r="EY495" i="147"/>
  <c r="I495" i="147" s="1"/>
  <c r="EY496" i="147"/>
  <c r="I496" i="147" s="1"/>
  <c r="EY486" i="147"/>
  <c r="I486" i="147" s="1"/>
  <c r="EY391" i="147"/>
  <c r="EY666" i="147"/>
  <c r="I666" i="147" s="1"/>
  <c r="EY633" i="147"/>
  <c r="I633" i="147" s="1"/>
  <c r="EY409" i="147"/>
  <c r="I409" i="147" s="1"/>
  <c r="EY660" i="147"/>
  <c r="I660" i="147" s="1"/>
  <c r="EY641" i="147"/>
  <c r="I641" i="147" s="1"/>
  <c r="EY528" i="147"/>
  <c r="I528" i="147" s="1"/>
  <c r="EY559" i="147"/>
  <c r="I559" i="147" s="1"/>
  <c r="EY556" i="147"/>
  <c r="I556" i="147" s="1"/>
  <c r="EY421" i="147"/>
  <c r="I421" i="147" s="1"/>
  <c r="EY417" i="147"/>
  <c r="I417" i="147" s="1"/>
  <c r="EY646" i="147"/>
  <c r="I646" i="147" s="1"/>
  <c r="EY570" i="147"/>
  <c r="I570" i="147" s="1"/>
  <c r="EY399" i="147"/>
  <c r="I399" i="147" s="1"/>
  <c r="EY635" i="147"/>
  <c r="I635" i="147" s="1"/>
  <c r="EY491" i="147"/>
  <c r="I491" i="147" s="1"/>
  <c r="EY504" i="147"/>
  <c r="I504" i="147" s="1"/>
  <c r="EY684" i="147"/>
  <c r="I684" i="147" s="1"/>
  <c r="EY545" i="147"/>
  <c r="I545" i="147" s="1"/>
  <c r="EY665" i="147"/>
  <c r="I665" i="147" s="1"/>
  <c r="EY609" i="147"/>
  <c r="I609" i="147" s="1"/>
  <c r="EY535" i="147"/>
  <c r="I535" i="147" s="1"/>
  <c r="EY520" i="147"/>
  <c r="EY643" i="147"/>
  <c r="I643" i="147" s="1"/>
  <c r="EY596" i="147"/>
  <c r="I596" i="147" s="1"/>
  <c r="EY655" i="147"/>
  <c r="I655" i="147" s="1"/>
  <c r="EY540" i="147"/>
  <c r="I540" i="147" s="1"/>
  <c r="EY572" i="147"/>
  <c r="EY557" i="147"/>
  <c r="I557" i="147" s="1"/>
  <c r="EY429" i="147"/>
  <c r="I429" i="147" s="1"/>
  <c r="EY448" i="147"/>
  <c r="I448" i="147" s="1"/>
  <c r="EY469" i="147"/>
  <c r="I469" i="147" s="1"/>
  <c r="EY602" i="147"/>
  <c r="I602" i="147" s="1"/>
  <c r="EY605" i="147"/>
  <c r="I605" i="147" s="1"/>
  <c r="EY548" i="147"/>
  <c r="I548" i="147" s="1"/>
  <c r="EY659" i="147"/>
  <c r="I659" i="147" s="1"/>
  <c r="EY544" i="147"/>
  <c r="I544" i="147" s="1"/>
  <c r="EY499" i="147"/>
  <c r="I499" i="147" s="1"/>
  <c r="EY506" i="147"/>
  <c r="I506" i="147" s="1"/>
  <c r="EY671" i="147"/>
  <c r="I671" i="147" s="1"/>
  <c r="EY624" i="147"/>
  <c r="I624" i="147" s="1"/>
  <c r="EY522" i="147"/>
  <c r="I522" i="147" s="1"/>
  <c r="EY521" i="147"/>
  <c r="I521" i="147" s="1"/>
  <c r="EY543" i="147"/>
  <c r="I543" i="147" s="1"/>
  <c r="EY530" i="147"/>
  <c r="I530" i="147" s="1"/>
  <c r="EY534" i="147"/>
  <c r="I534" i="147" s="1"/>
  <c r="EY404" i="147"/>
  <c r="I404" i="147" s="1"/>
  <c r="EY546" i="147"/>
  <c r="I546" i="147" s="1"/>
  <c r="EY581" i="147"/>
  <c r="I581" i="147" s="1"/>
  <c r="EY483" i="147"/>
  <c r="I483" i="147" s="1"/>
  <c r="EY435" i="147"/>
  <c r="EY473" i="147"/>
  <c r="I473" i="147" s="1"/>
  <c r="EY680" i="147"/>
  <c r="EY387" i="147"/>
  <c r="I387" i="147" s="1"/>
  <c r="EY464" i="147"/>
  <c r="I464" i="147" s="1"/>
  <c r="EY502" i="147"/>
  <c r="I502" i="147" s="1"/>
  <c r="EY626" i="147"/>
  <c r="I626" i="147" s="1"/>
  <c r="EY654" i="147"/>
  <c r="I654" i="147" s="1"/>
  <c r="EY489" i="147"/>
  <c r="EY488" i="147"/>
  <c r="I488" i="147" s="1"/>
  <c r="EY383" i="147"/>
  <c r="I383" i="147" s="1"/>
  <c r="EY412" i="147"/>
  <c r="I412" i="147" s="1"/>
  <c r="EY593" i="147"/>
  <c r="I593" i="147" s="1"/>
  <c r="EY584" i="147"/>
  <c r="I584" i="147" s="1"/>
  <c r="EY612" i="147"/>
  <c r="I612" i="147" s="1"/>
  <c r="EY682" i="147"/>
  <c r="I682" i="147" s="1"/>
  <c r="EY414" i="147"/>
  <c r="I414" i="147" s="1"/>
  <c r="EY398" i="147"/>
  <c r="I398" i="147" s="1"/>
  <c r="EY697" i="147"/>
  <c r="I697" i="147" s="1"/>
  <c r="EY636" i="147"/>
  <c r="I636" i="147" s="1"/>
  <c r="EY395" i="147"/>
  <c r="I395" i="147" s="1"/>
  <c r="EY562" i="147"/>
  <c r="EY523" i="147"/>
  <c r="I523" i="147" s="1"/>
  <c r="EY681" i="147"/>
  <c r="EY379" i="147"/>
  <c r="I379" i="147" s="1"/>
  <c r="EY560" i="147"/>
  <c r="I560" i="147" s="1"/>
  <c r="EY594" i="147"/>
  <c r="I594" i="147" s="1"/>
  <c r="EY648" i="147"/>
  <c r="I648" i="147" s="1"/>
  <c r="EY411" i="147"/>
  <c r="I411" i="147" s="1"/>
  <c r="EY377" i="147"/>
  <c r="I377" i="147" s="1"/>
  <c r="EY547" i="147"/>
  <c r="I547" i="147" s="1"/>
  <c r="EY587" i="147"/>
  <c r="I587" i="147" s="1"/>
  <c r="EY401" i="147"/>
  <c r="I401" i="147" s="1"/>
  <c r="EY418" i="147"/>
  <c r="I418" i="147" s="1"/>
  <c r="EY699" i="147"/>
  <c r="I699" i="147" s="1"/>
  <c r="EY658" i="147"/>
  <c r="I658" i="147" s="1"/>
  <c r="EY638" i="147"/>
  <c r="I638" i="147" s="1"/>
  <c r="EY586" i="147"/>
  <c r="I586" i="147" s="1"/>
  <c r="EY627" i="147"/>
  <c r="I627" i="147" s="1"/>
  <c r="EY498" i="147"/>
  <c r="I498" i="147" s="1"/>
  <c r="EY505" i="147"/>
  <c r="I505" i="147" s="1"/>
  <c r="EY470" i="147"/>
  <c r="I470" i="147" s="1"/>
  <c r="EY513" i="147"/>
  <c r="I513" i="147" s="1"/>
  <c r="EY639" i="147"/>
  <c r="I639" i="147" s="1"/>
  <c r="D126" i="93"/>
  <c r="D298" i="93" s="1"/>
  <c r="E19" i="360"/>
  <c r="F19" i="360" s="1"/>
  <c r="F22" i="360" s="1"/>
  <c r="F23" i="360" s="1"/>
  <c r="F27" i="360" s="1"/>
  <c r="I248" i="147" s="1"/>
  <c r="F298" i="93"/>
  <c r="E298" i="93"/>
  <c r="F24" i="130"/>
  <c r="F25" i="130" s="1"/>
  <c r="F29" i="130" s="1"/>
  <c r="I309" i="147" s="1"/>
  <c r="H23" i="97"/>
  <c r="J23" i="97"/>
  <c r="J21" i="172"/>
  <c r="H21" i="172"/>
  <c r="H28" i="174"/>
  <c r="J28" i="174"/>
  <c r="F24" i="115"/>
  <c r="F25" i="115" s="1"/>
  <c r="F29" i="115" s="1"/>
  <c r="I311" i="147" s="1"/>
  <c r="E25" i="326"/>
  <c r="F25" i="326" s="1"/>
  <c r="E30" i="201"/>
  <c r="F30" i="201" s="1"/>
  <c r="F31" i="201" s="1"/>
  <c r="F33" i="201" s="1"/>
  <c r="F34" i="201" s="1"/>
  <c r="F38" i="201" s="1"/>
  <c r="I183" i="147" s="1"/>
  <c r="F26" i="214"/>
  <c r="F27" i="214" s="1"/>
  <c r="F29" i="214" s="1"/>
  <c r="F33" i="214" s="1"/>
  <c r="I208" i="147" s="1"/>
  <c r="E27" i="121"/>
  <c r="F27" i="121" s="1"/>
  <c r="F28" i="121" s="1"/>
  <c r="F30" i="121" s="1"/>
  <c r="F34" i="121" s="1"/>
  <c r="I167" i="147" s="1"/>
  <c r="E24" i="232"/>
  <c r="F24" i="232" s="1"/>
  <c r="F29" i="232" s="1"/>
  <c r="F31" i="232" s="1"/>
  <c r="F35" i="232" s="1"/>
  <c r="I172" i="147" s="1"/>
  <c r="F26" i="391"/>
  <c r="F27" i="391" s="1"/>
  <c r="F29" i="391" s="1"/>
  <c r="F33" i="391" s="1"/>
  <c r="I209" i="147" s="1"/>
  <c r="F24" i="128"/>
  <c r="F25" i="128" s="1"/>
  <c r="F29" i="128" s="1"/>
  <c r="I310" i="147" s="1"/>
  <c r="F24" i="212"/>
  <c r="F26" i="212" s="1"/>
  <c r="F30" i="212" s="1"/>
  <c r="I297" i="147" s="1"/>
  <c r="CZ1263" i="489" l="1"/>
  <c r="CW1123" i="489"/>
  <c r="Y321" i="489"/>
  <c r="I391" i="147"/>
  <c r="D103" i="489"/>
  <c r="D105" i="489" s="1"/>
  <c r="D223" i="489"/>
  <c r="D225" i="489" s="1"/>
  <c r="I148" i="93"/>
  <c r="I435" i="147"/>
  <c r="G103" i="489"/>
  <c r="G105" i="489" s="1"/>
  <c r="C679" i="489"/>
  <c r="CB1265" i="489"/>
  <c r="AH1039" i="489"/>
  <c r="I678" i="147"/>
  <c r="F133" i="489"/>
  <c r="F135" i="489" s="1"/>
  <c r="I457" i="147"/>
  <c r="DC1263" i="489"/>
  <c r="I737" i="147"/>
  <c r="I738" i="147"/>
  <c r="E278" i="93"/>
  <c r="CZ1151" i="489"/>
  <c r="G163" i="489"/>
  <c r="G165" i="489" s="1"/>
  <c r="J1264" i="489"/>
  <c r="J1267" i="489" s="1"/>
  <c r="U1264" i="489"/>
  <c r="U1267" i="489" s="1"/>
  <c r="CZ1207" i="489"/>
  <c r="EW1123" i="489"/>
  <c r="EY96" i="489"/>
  <c r="D317" i="489"/>
  <c r="I424" i="147"/>
  <c r="EV1011" i="489"/>
  <c r="C391" i="489"/>
  <c r="AE1263" i="489"/>
  <c r="C582" i="489"/>
  <c r="C599" i="147"/>
  <c r="D163" i="489"/>
  <c r="D165" i="489" s="1"/>
  <c r="D193" i="489"/>
  <c r="D195" i="489" s="1"/>
  <c r="C440" i="489"/>
  <c r="C455" i="489"/>
  <c r="C524" i="489"/>
  <c r="D1022" i="489"/>
  <c r="BM1264" i="489"/>
  <c r="BM1267" i="489" s="1"/>
  <c r="CZ1235" i="489"/>
  <c r="F694" i="489"/>
  <c r="E103" i="489"/>
  <c r="E105" i="489" s="1"/>
  <c r="C560" i="489"/>
  <c r="I739" i="147"/>
  <c r="BR1011" i="489"/>
  <c r="EY1079" i="489"/>
  <c r="E1079" i="489" s="1"/>
  <c r="CV1267" i="489"/>
  <c r="EV1265" i="489"/>
  <c r="G260" i="93"/>
  <c r="D1134" i="489"/>
  <c r="I176" i="93"/>
  <c r="I183" i="93" s="1"/>
  <c r="CN319" i="489"/>
  <c r="CN320" i="489" s="1"/>
  <c r="I26" i="93"/>
  <c r="G222" i="93"/>
  <c r="G232" i="93"/>
  <c r="C631" i="489"/>
  <c r="I211" i="93"/>
  <c r="EA328" i="489"/>
  <c r="EA337" i="489" s="1"/>
  <c r="EA319" i="489"/>
  <c r="EA320" i="489" s="1"/>
  <c r="D232" i="93"/>
  <c r="C471" i="489"/>
  <c r="I132" i="93"/>
  <c r="I138" i="93" s="1"/>
  <c r="I155" i="93" s="1"/>
  <c r="E288" i="93"/>
  <c r="I77" i="93"/>
  <c r="I82" i="93" s="1"/>
  <c r="I104" i="93"/>
  <c r="I110" i="93" s="1"/>
  <c r="I127" i="93" s="1"/>
  <c r="EB319" i="489"/>
  <c r="EB320" i="489" s="1"/>
  <c r="EB327" i="489"/>
  <c r="EB337" i="489" s="1"/>
  <c r="BR1123" i="489"/>
  <c r="G278" i="93"/>
  <c r="I85" i="93"/>
  <c r="I92" i="93" s="1"/>
  <c r="F705" i="489"/>
  <c r="I47" i="93"/>
  <c r="I54" i="93" s="1"/>
  <c r="I71" i="93" s="1"/>
  <c r="I29" i="93"/>
  <c r="DE1235" i="489"/>
  <c r="D222" i="93"/>
  <c r="F232" i="93"/>
  <c r="D260" i="93"/>
  <c r="C736" i="147"/>
  <c r="D250" i="93"/>
  <c r="Z1264" i="489"/>
  <c r="Z1267" i="489" s="1"/>
  <c r="D288" i="93"/>
  <c r="BT1264" i="489"/>
  <c r="BT1267" i="489" s="1"/>
  <c r="DF321" i="489"/>
  <c r="BN1151" i="489"/>
  <c r="I630" i="147"/>
  <c r="D120" i="93"/>
  <c r="D82" i="93"/>
  <c r="C562" i="489"/>
  <c r="G54" i="93"/>
  <c r="C439" i="489"/>
  <c r="D1050" i="489"/>
  <c r="AQ1095" i="489"/>
  <c r="DC103" i="489"/>
  <c r="DC329" i="489" s="1"/>
  <c r="DC1060" i="489"/>
  <c r="DC1067" i="489" s="1"/>
  <c r="AL319" i="489"/>
  <c r="AL320" i="489" s="1"/>
  <c r="AL337" i="489"/>
  <c r="F82" i="93"/>
  <c r="AN1267" i="489"/>
  <c r="AN319" i="489"/>
  <c r="AN320" i="489" s="1"/>
  <c r="AH1267" i="489"/>
  <c r="E64" i="93"/>
  <c r="CR337" i="489"/>
  <c r="C583" i="489"/>
  <c r="D36" i="93"/>
  <c r="C464" i="489"/>
  <c r="CZ1011" i="489"/>
  <c r="EW1011" i="489"/>
  <c r="CF1264" i="489"/>
  <c r="DU319" i="489"/>
  <c r="DU320" i="489" s="1"/>
  <c r="I689" i="147"/>
  <c r="DE1265" i="489"/>
  <c r="DE1267" i="489" s="1"/>
  <c r="BT319" i="489"/>
  <c r="BT320" i="489" s="1"/>
  <c r="AT319" i="489"/>
  <c r="AT320" i="489" s="1"/>
  <c r="CB1264" i="489"/>
  <c r="DL319" i="489"/>
  <c r="DL320" i="489" s="1"/>
  <c r="AQ1264" i="489"/>
  <c r="AQ1267" i="489" s="1"/>
  <c r="BS1264" i="489"/>
  <c r="BS1267" i="489" s="1"/>
  <c r="I427" i="147"/>
  <c r="I430" i="147"/>
  <c r="D166" i="93"/>
  <c r="C591" i="489"/>
  <c r="D54" i="93"/>
  <c r="U1039" i="489"/>
  <c r="AO337" i="489"/>
  <c r="I567" i="147"/>
  <c r="BS1263" i="489"/>
  <c r="E194" i="93"/>
  <c r="CZ1123" i="489"/>
  <c r="C449" i="489"/>
  <c r="D1106" i="489"/>
  <c r="F253" i="489"/>
  <c r="F255" i="489" s="1"/>
  <c r="G133" i="489"/>
  <c r="G135" i="489" s="1"/>
  <c r="CO319" i="489"/>
  <c r="CO320" i="489" s="1"/>
  <c r="I116" i="489"/>
  <c r="C10" i="310" s="1"/>
  <c r="E10" i="310" s="1"/>
  <c r="AE1265" i="489"/>
  <c r="AE1267" i="489" s="1"/>
  <c r="C609" i="489"/>
  <c r="AO319" i="489"/>
  <c r="AO320" i="489" s="1"/>
  <c r="I485" i="147"/>
  <c r="I484" i="147"/>
  <c r="CR319" i="489"/>
  <c r="CR320" i="489" s="1"/>
  <c r="CO337" i="489"/>
  <c r="D994" i="489"/>
  <c r="L1267" i="489"/>
  <c r="K334" i="489"/>
  <c r="K337" i="489" s="1"/>
  <c r="K319" i="489"/>
  <c r="K320" i="489" s="1"/>
  <c r="DW331" i="489"/>
  <c r="DW337" i="489" s="1"/>
  <c r="DW319" i="489"/>
  <c r="DW320" i="489" s="1"/>
  <c r="BR1265" i="489"/>
  <c r="C663" i="489"/>
  <c r="DC1107" i="489"/>
  <c r="EY147" i="489"/>
  <c r="EY156" i="489" s="1"/>
  <c r="EY163" i="489" s="1"/>
  <c r="DC156" i="489"/>
  <c r="DC163" i="489" s="1"/>
  <c r="DC331" i="489" s="1"/>
  <c r="EX334" i="489"/>
  <c r="EX337" i="489" s="1"/>
  <c r="EX319" i="489"/>
  <c r="EX320" i="489" s="1"/>
  <c r="F570" i="489"/>
  <c r="C431" i="489"/>
  <c r="C377" i="489"/>
  <c r="C466" i="489"/>
  <c r="C785" i="489"/>
  <c r="I489" i="147"/>
  <c r="CO1264" i="489"/>
  <c r="CO1267" i="489" s="1"/>
  <c r="I458" i="147"/>
  <c r="M19" i="300"/>
  <c r="M26" i="300" s="1"/>
  <c r="I520" i="147"/>
  <c r="I415" i="147"/>
  <c r="I442" i="147"/>
  <c r="CF1235" i="489"/>
  <c r="I236" i="489"/>
  <c r="C14" i="310" s="1"/>
  <c r="E14" i="310" s="1"/>
  <c r="I600" i="147"/>
  <c r="BR1095" i="489"/>
  <c r="F31" i="413"/>
  <c r="F32" i="413" s="1"/>
  <c r="F36" i="413" s="1"/>
  <c r="I83" i="147" s="1"/>
  <c r="I453" i="147" s="1"/>
  <c r="I422" i="147"/>
  <c r="DC1264" i="489"/>
  <c r="I26" i="489"/>
  <c r="C7" i="310" s="1"/>
  <c r="E7" i="310" s="1"/>
  <c r="AN337" i="489"/>
  <c r="CG1267" i="489"/>
  <c r="CQ1235" i="489"/>
  <c r="CZ1265" i="489"/>
  <c r="Y1267" i="489"/>
  <c r="I463" i="147"/>
  <c r="EW1264" i="489"/>
  <c r="I477" i="147"/>
  <c r="I562" i="147"/>
  <c r="I456" i="147"/>
  <c r="EY1211" i="489"/>
  <c r="E1211" i="489" s="1"/>
  <c r="DC1235" i="489"/>
  <c r="EW1265" i="489"/>
  <c r="F29" i="416"/>
  <c r="F30" i="416" s="1"/>
  <c r="F34" i="416" s="1"/>
  <c r="I85" i="147" s="1"/>
  <c r="I455" i="147" s="1"/>
  <c r="EY1013" i="489"/>
  <c r="E1013" i="489" s="1"/>
  <c r="E1022" i="489" s="1"/>
  <c r="I541" i="147"/>
  <c r="P1267" i="489"/>
  <c r="I176" i="489"/>
  <c r="I266" i="489"/>
  <c r="G204" i="93"/>
  <c r="F204" i="93"/>
  <c r="AC334" i="489"/>
  <c r="AC337" i="489" s="1"/>
  <c r="AC319" i="489"/>
  <c r="AC320" i="489" s="1"/>
  <c r="E204" i="93"/>
  <c r="D1116" i="489"/>
  <c r="D92" i="93"/>
  <c r="F278" i="93"/>
  <c r="D138" i="93"/>
  <c r="BR1264" i="489"/>
  <c r="AX1267" i="489"/>
  <c r="BN1264" i="489"/>
  <c r="BN1267" i="489" s="1"/>
  <c r="DV1267" i="489"/>
  <c r="DC321" i="489"/>
  <c r="CS103" i="489"/>
  <c r="CS329" i="489" s="1"/>
  <c r="CS337" i="489" s="1"/>
  <c r="CS321" i="489"/>
  <c r="BS103" i="489"/>
  <c r="BS329" i="489" s="1"/>
  <c r="BS337" i="489" s="1"/>
  <c r="BS321" i="489"/>
  <c r="G73" i="489"/>
  <c r="G75" i="489" s="1"/>
  <c r="F73" i="489"/>
  <c r="F75" i="489" s="1"/>
  <c r="CT1267" i="489"/>
  <c r="BT337" i="489"/>
  <c r="D43" i="489"/>
  <c r="D45" i="489" s="1"/>
  <c r="G843" i="489"/>
  <c r="C734" i="147"/>
  <c r="AL1265" i="489"/>
  <c r="AL1267" i="489" s="1"/>
  <c r="I629" i="147"/>
  <c r="C629" i="147"/>
  <c r="D316" i="489"/>
  <c r="DF1264" i="489"/>
  <c r="DF1267" i="489" s="1"/>
  <c r="CS1235" i="489"/>
  <c r="D64" i="93"/>
  <c r="F288" i="93"/>
  <c r="Y1235" i="489"/>
  <c r="BS1235" i="489"/>
  <c r="D110" i="93"/>
  <c r="D127" i="93" s="1"/>
  <c r="D278" i="93"/>
  <c r="F502" i="489"/>
  <c r="AU43" i="489"/>
  <c r="AU327" i="489" s="1"/>
  <c r="I428" i="147"/>
  <c r="I478" i="147"/>
  <c r="C735" i="147"/>
  <c r="D204" i="93"/>
  <c r="D176" i="93"/>
  <c r="AK337" i="489"/>
  <c r="D1218" i="489"/>
  <c r="D26" i="93"/>
  <c r="E176" i="93"/>
  <c r="I619" i="147"/>
  <c r="D1172" i="489"/>
  <c r="G148" i="93"/>
  <c r="EY1164" i="489"/>
  <c r="E1164" i="489" s="1"/>
  <c r="I518" i="147"/>
  <c r="D1228" i="489"/>
  <c r="I444" i="147"/>
  <c r="E92" i="93"/>
  <c r="I565" i="147"/>
  <c r="D1246" i="489"/>
  <c r="D1263" i="489" s="1"/>
  <c r="EY1024" i="489"/>
  <c r="E1024" i="489" s="1"/>
  <c r="D1144" i="489"/>
  <c r="D1032" i="489"/>
  <c r="D194" i="93"/>
  <c r="D1162" i="489"/>
  <c r="I580" i="147"/>
  <c r="D1190" i="489"/>
  <c r="D1088" i="489"/>
  <c r="D1095" i="489" s="1"/>
  <c r="BK1267" i="489"/>
  <c r="D1060" i="489"/>
  <c r="C11" i="310"/>
  <c r="E11" i="310" s="1"/>
  <c r="I681" i="147"/>
  <c r="I579" i="147"/>
  <c r="F22" i="133"/>
  <c r="F23" i="133" s="1"/>
  <c r="F27" i="133" s="1"/>
  <c r="I149" i="147" s="1"/>
  <c r="M19" i="133"/>
  <c r="M22" i="133" s="1"/>
  <c r="CQ1264" i="489"/>
  <c r="BK335" i="489"/>
  <c r="BK337" i="489" s="1"/>
  <c r="BK319" i="489"/>
  <c r="BK320" i="489" s="1"/>
  <c r="I679" i="147"/>
  <c r="E32" i="219"/>
  <c r="F32" i="219" s="1"/>
  <c r="F33" i="219" s="1"/>
  <c r="F35" i="219" s="1"/>
  <c r="F39" i="219" s="1"/>
  <c r="I220" i="147" s="1"/>
  <c r="I590" i="147" s="1"/>
  <c r="I247" i="147"/>
  <c r="I617" i="147" s="1"/>
  <c r="I542" i="147"/>
  <c r="DC1172" i="489"/>
  <c r="DC1179" i="489" s="1"/>
  <c r="I156" i="489"/>
  <c r="DC1023" i="489"/>
  <c r="D148" i="93"/>
  <c r="I246" i="489"/>
  <c r="I66" i="489"/>
  <c r="DC1135" i="489"/>
  <c r="I680" i="147"/>
  <c r="I618" i="147"/>
  <c r="I667" i="147"/>
  <c r="I296" i="489"/>
  <c r="I449" i="147"/>
  <c r="I578" i="147"/>
  <c r="D1200" i="489"/>
  <c r="I537" i="147"/>
  <c r="I206" i="489"/>
  <c r="I475" i="147"/>
  <c r="I553" i="147"/>
  <c r="I493" i="147"/>
  <c r="I443" i="147"/>
  <c r="CL337" i="489"/>
  <c r="F398" i="489"/>
  <c r="E73" i="489"/>
  <c r="E75" i="489" s="1"/>
  <c r="F346" i="489"/>
  <c r="F385" i="489"/>
  <c r="C921" i="489"/>
  <c r="G26" i="93"/>
  <c r="E54" i="93"/>
  <c r="F64" i="93"/>
  <c r="G166" i="93"/>
  <c r="F194" i="93"/>
  <c r="G64" i="93"/>
  <c r="G110" i="93"/>
  <c r="G92" i="93"/>
  <c r="C435" i="489"/>
  <c r="C461" i="489"/>
  <c r="E120" i="93"/>
  <c r="G749" i="489"/>
  <c r="G757" i="489"/>
  <c r="G665" i="489"/>
  <c r="G793" i="489"/>
  <c r="C472" i="489"/>
  <c r="G720" i="489"/>
  <c r="G723" i="489"/>
  <c r="G768" i="489"/>
  <c r="G712" i="489"/>
  <c r="G394" i="489"/>
  <c r="G791" i="489"/>
  <c r="C372" i="489"/>
  <c r="C755" i="489"/>
  <c r="C520" i="489"/>
  <c r="G711" i="489"/>
  <c r="C888" i="489"/>
  <c r="F724" i="489"/>
  <c r="C950" i="489"/>
  <c r="G759" i="489"/>
  <c r="G680" i="489"/>
  <c r="G788" i="489"/>
  <c r="G761" i="489"/>
  <c r="F382" i="489"/>
  <c r="G706" i="489"/>
  <c r="G388" i="489"/>
  <c r="C691" i="489"/>
  <c r="G668" i="489"/>
  <c r="F760" i="489"/>
  <c r="F508" i="489"/>
  <c r="G789" i="489"/>
  <c r="F573" i="489"/>
  <c r="F761" i="489"/>
  <c r="G776" i="489"/>
  <c r="C490" i="489"/>
  <c r="C462" i="489"/>
  <c r="F504" i="489"/>
  <c r="F693" i="489"/>
  <c r="G738" i="489"/>
  <c r="F678" i="489"/>
  <c r="G748" i="489"/>
  <c r="G719" i="489"/>
  <c r="G401" i="489"/>
  <c r="G731" i="489"/>
  <c r="F753" i="489"/>
  <c r="G735" i="489"/>
  <c r="G721" i="489"/>
  <c r="F520" i="489"/>
  <c r="G676" i="489"/>
  <c r="F742" i="489"/>
  <c r="G682" i="489"/>
  <c r="G542" i="489"/>
  <c r="G734" i="489"/>
  <c r="G528" i="489"/>
  <c r="F783" i="489"/>
  <c r="C370" i="489"/>
  <c r="G669" i="489"/>
  <c r="C387" i="489"/>
  <c r="F539" i="489"/>
  <c r="G781" i="489"/>
  <c r="F846" i="489"/>
  <c r="G790" i="489"/>
  <c r="F386" i="489"/>
  <c r="G742" i="489"/>
  <c r="G717" i="489"/>
  <c r="G399" i="489"/>
  <c r="G750" i="489"/>
  <c r="F684" i="489"/>
  <c r="G681" i="489"/>
  <c r="G363" i="489"/>
  <c r="G739" i="489"/>
  <c r="G733" i="489"/>
  <c r="G732" i="489"/>
  <c r="C393" i="489"/>
  <c r="G716" i="489"/>
  <c r="G398" i="489"/>
  <c r="F696" i="489"/>
  <c r="C426" i="489"/>
  <c r="G778" i="489"/>
  <c r="C412" i="489"/>
  <c r="G518" i="489"/>
  <c r="F687" i="489"/>
  <c r="G746" i="489"/>
  <c r="G664" i="489"/>
  <c r="G346" i="489"/>
  <c r="G756" i="489"/>
  <c r="C871" i="489"/>
  <c r="G745" i="489"/>
  <c r="F510" i="489"/>
  <c r="F755" i="489"/>
  <c r="F773" i="489"/>
  <c r="G771" i="489"/>
  <c r="G722" i="489"/>
  <c r="G707" i="489"/>
  <c r="G389" i="489"/>
  <c r="G744" i="489"/>
  <c r="C347" i="489"/>
  <c r="G747" i="489"/>
  <c r="G683" i="489"/>
  <c r="G365" i="489"/>
  <c r="F695" i="489"/>
  <c r="G770" i="489"/>
  <c r="G353" i="489"/>
  <c r="G671" i="489"/>
  <c r="F879" i="489"/>
  <c r="G777" i="489"/>
  <c r="G769" i="489"/>
  <c r="C506" i="489"/>
  <c r="G786" i="489"/>
  <c r="F533" i="489"/>
  <c r="F775" i="489"/>
  <c r="F782" i="489"/>
  <c r="F766" i="489"/>
  <c r="G785" i="489"/>
  <c r="F677" i="489"/>
  <c r="F774" i="489"/>
  <c r="F736" i="489"/>
  <c r="G534" i="489"/>
  <c r="G762" i="489"/>
  <c r="G758" i="489"/>
  <c r="G792" i="489"/>
  <c r="F839" i="489"/>
  <c r="G679" i="489"/>
  <c r="F743" i="489"/>
  <c r="F691" i="489"/>
  <c r="G730" i="489"/>
  <c r="F674" i="489"/>
  <c r="G710" i="489"/>
  <c r="G392" i="489"/>
  <c r="F729" i="489"/>
  <c r="G787" i="489"/>
  <c r="F728" i="489"/>
  <c r="C473" i="489"/>
  <c r="C476" i="489"/>
  <c r="C445" i="489"/>
  <c r="E148" i="93"/>
  <c r="F515" i="489"/>
  <c r="F530" i="489"/>
  <c r="F757" i="489"/>
  <c r="F793" i="489"/>
  <c r="G703" i="489"/>
  <c r="G385" i="489"/>
  <c r="G699" i="489"/>
  <c r="G381" i="489"/>
  <c r="F767" i="489"/>
  <c r="G666" i="489"/>
  <c r="G348" i="489"/>
  <c r="G708" i="489"/>
  <c r="F525" i="489"/>
  <c r="F166" i="93"/>
  <c r="F394" i="489"/>
  <c r="G283" i="489"/>
  <c r="G285" i="489" s="1"/>
  <c r="F389" i="489"/>
  <c r="F363" i="489"/>
  <c r="F401" i="489"/>
  <c r="AK1267" i="489"/>
  <c r="F148" i="93"/>
  <c r="G176" i="93"/>
  <c r="C578" i="489"/>
  <c r="F110" i="93"/>
  <c r="E26" i="93"/>
  <c r="EY300" i="489"/>
  <c r="F26" i="93"/>
  <c r="E82" i="93"/>
  <c r="F92" i="93"/>
  <c r="G120" i="93"/>
  <c r="G127" i="93" s="1"/>
  <c r="F120" i="93"/>
  <c r="DR1264" i="489"/>
  <c r="DR1267" i="489" s="1"/>
  <c r="EY1250" i="489"/>
  <c r="E1250" i="489" s="1"/>
  <c r="DC741" i="147"/>
  <c r="AE337" i="489"/>
  <c r="AU306" i="489"/>
  <c r="AU313" i="489" s="1"/>
  <c r="AU336" i="489" s="1"/>
  <c r="EY298" i="489"/>
  <c r="E166" i="93"/>
  <c r="E183" i="93" s="1"/>
  <c r="C376" i="489"/>
  <c r="F399" i="489"/>
  <c r="EY1220" i="489"/>
  <c r="E1220" i="489" s="1"/>
  <c r="F350" i="489"/>
  <c r="F365" i="489"/>
  <c r="F392" i="489"/>
  <c r="C733" i="147"/>
  <c r="F353" i="489"/>
  <c r="F388" i="489"/>
  <c r="F176" i="93"/>
  <c r="F348" i="489"/>
  <c r="F381" i="489"/>
  <c r="EV1264" i="489"/>
  <c r="F390" i="489"/>
  <c r="CL319" i="489"/>
  <c r="CL320" i="489" s="1"/>
  <c r="G138" i="93"/>
  <c r="C442" i="147"/>
  <c r="C553" i="147"/>
  <c r="C463" i="147"/>
  <c r="C443" i="147"/>
  <c r="C453" i="147"/>
  <c r="C480" i="147"/>
  <c r="C484" i="147"/>
  <c r="C590" i="147"/>
  <c r="C459" i="147"/>
  <c r="C455" i="147"/>
  <c r="C478" i="147"/>
  <c r="C610" i="147"/>
  <c r="C618" i="147"/>
  <c r="C619" i="147"/>
  <c r="C485" i="147"/>
  <c r="C430" i="147"/>
  <c r="C568" i="147"/>
  <c r="C550" i="147"/>
  <c r="C475" i="147"/>
  <c r="C578" i="147"/>
  <c r="C542" i="147"/>
  <c r="C541" i="147"/>
  <c r="C481" i="147"/>
  <c r="C449" i="147"/>
  <c r="C518" i="147"/>
  <c r="C482" i="147"/>
  <c r="C537" i="147"/>
  <c r="C454" i="147"/>
  <c r="C565" i="147"/>
  <c r="C427" i="147"/>
  <c r="C375" i="147"/>
  <c r="C489" i="147"/>
  <c r="C456" i="147"/>
  <c r="C437" i="147"/>
  <c r="C457" i="147"/>
  <c r="C458" i="147"/>
  <c r="C479" i="147"/>
  <c r="C452" i="147"/>
  <c r="C580" i="147"/>
  <c r="C617" i="147"/>
  <c r="C591" i="147"/>
  <c r="C579" i="147"/>
  <c r="C474" i="147"/>
  <c r="C562" i="147"/>
  <c r="C572" i="147"/>
  <c r="C444" i="147"/>
  <c r="C423" i="147"/>
  <c r="C428" i="147"/>
  <c r="C477" i="147"/>
  <c r="E138" i="93"/>
  <c r="C649" i="147"/>
  <c r="C719" i="147"/>
  <c r="C712" i="147"/>
  <c r="C703" i="147"/>
  <c r="C650" i="147"/>
  <c r="C679" i="147"/>
  <c r="C731" i="147"/>
  <c r="C691" i="147"/>
  <c r="C705" i="147"/>
  <c r="C693" i="147"/>
  <c r="C686" i="147"/>
  <c r="C653" i="147"/>
  <c r="C667" i="147"/>
  <c r="C695" i="147"/>
  <c r="C668" i="147"/>
  <c r="C675" i="147"/>
  <c r="C655" i="147"/>
  <c r="C708" i="147"/>
  <c r="C715" i="147"/>
  <c r="C717" i="147"/>
  <c r="C690" i="147"/>
  <c r="C697" i="147"/>
  <c r="C680" i="147"/>
  <c r="C660" i="147"/>
  <c r="C720" i="147"/>
  <c r="C727" i="147"/>
  <c r="C724" i="147"/>
  <c r="C696" i="147"/>
  <c r="C678" i="147"/>
  <c r="C676" i="147"/>
  <c r="C706" i="147"/>
  <c r="C692" i="147"/>
  <c r="C673" i="147"/>
  <c r="C721" i="147"/>
  <c r="C701" i="147"/>
  <c r="C718" i="147"/>
  <c r="C700" i="147"/>
  <c r="C670" i="147"/>
  <c r="C669" i="147"/>
  <c r="C677" i="147"/>
  <c r="C652" i="147"/>
  <c r="C648" i="147"/>
  <c r="C666" i="147"/>
  <c r="C710" i="147"/>
  <c r="C716" i="147"/>
  <c r="C723" i="147"/>
  <c r="C664" i="147"/>
  <c r="C657" i="147"/>
  <c r="C671" i="147"/>
  <c r="C722" i="147"/>
  <c r="C728" i="147"/>
  <c r="C685" i="147"/>
  <c r="C687" i="147"/>
  <c r="C732" i="147"/>
  <c r="C665" i="147"/>
  <c r="C713" i="147"/>
  <c r="C702" i="147"/>
  <c r="C730" i="147"/>
  <c r="C694" i="147"/>
  <c r="C674" i="147"/>
  <c r="C654" i="147"/>
  <c r="C725" i="147"/>
  <c r="C711" i="147"/>
  <c r="C663" i="147"/>
  <c r="C658" i="147"/>
  <c r="C681" i="147"/>
  <c r="C682" i="147"/>
  <c r="C684" i="147"/>
  <c r="C709" i="147"/>
  <c r="C714" i="147"/>
  <c r="C729" i="147"/>
  <c r="C651" i="147"/>
  <c r="C661" i="147"/>
  <c r="C698" i="147"/>
  <c r="C688" i="147"/>
  <c r="C656" i="147"/>
  <c r="C699" i="147"/>
  <c r="C659" i="147"/>
  <c r="C707" i="147"/>
  <c r="C726" i="147"/>
  <c r="C704" i="147"/>
  <c r="C672" i="147"/>
  <c r="C662" i="147"/>
  <c r="P319" i="489"/>
  <c r="P320" i="489" s="1"/>
  <c r="AJ1264" i="489"/>
  <c r="AJ1267" i="489" s="1"/>
  <c r="EY1192" i="489"/>
  <c r="E1192" i="489" s="1"/>
  <c r="E110" i="93"/>
  <c r="AU741" i="147"/>
  <c r="C384" i="147"/>
  <c r="C640" i="147"/>
  <c r="C377" i="147"/>
  <c r="C625" i="147"/>
  <c r="C524" i="147"/>
  <c r="C505" i="147"/>
  <c r="C638" i="147"/>
  <c r="C401" i="147"/>
  <c r="C411" i="147"/>
  <c r="C594" i="147"/>
  <c r="C523" i="147"/>
  <c r="C593" i="147"/>
  <c r="C488" i="147"/>
  <c r="C502" i="147"/>
  <c r="C581" i="147"/>
  <c r="C530" i="147"/>
  <c r="C522" i="147"/>
  <c r="C499" i="147"/>
  <c r="C605" i="147"/>
  <c r="C557" i="147"/>
  <c r="C596" i="147"/>
  <c r="C520" i="147"/>
  <c r="C545" i="147"/>
  <c r="C635" i="147"/>
  <c r="C417" i="147"/>
  <c r="C528" i="147"/>
  <c r="C391" i="147"/>
  <c r="C494" i="147"/>
  <c r="C501" i="147"/>
  <c r="C536" i="147"/>
  <c r="C637" i="147"/>
  <c r="C628" i="147"/>
  <c r="C608" i="147"/>
  <c r="C519" i="147"/>
  <c r="C574" i="147"/>
  <c r="C419" i="147"/>
  <c r="C621" i="147"/>
  <c r="C503" i="147"/>
  <c r="C432" i="147"/>
  <c r="C620" i="147"/>
  <c r="C597" i="147"/>
  <c r="C603" i="147"/>
  <c r="C426" i="147"/>
  <c r="C592" i="147"/>
  <c r="C461" i="147"/>
  <c r="C576" i="147"/>
  <c r="C585" i="147"/>
  <c r="C468" i="147"/>
  <c r="C622" i="147"/>
  <c r="C569" i="147"/>
  <c r="C490" i="147"/>
  <c r="C462" i="147"/>
  <c r="C436" i="147"/>
  <c r="C424" i="147"/>
  <c r="C392" i="147"/>
  <c r="C433" i="147"/>
  <c r="C438" i="147"/>
  <c r="C631" i="147"/>
  <c r="C378" i="147"/>
  <c r="C386" i="147"/>
  <c r="C380" i="147"/>
  <c r="C595" i="147"/>
  <c r="C571" i="147"/>
  <c r="C639" i="147"/>
  <c r="C470" i="147"/>
  <c r="C498" i="147"/>
  <c r="C586" i="147"/>
  <c r="C418" i="147"/>
  <c r="C587" i="147"/>
  <c r="C560" i="147"/>
  <c r="C636" i="147"/>
  <c r="C398" i="147"/>
  <c r="C584" i="147"/>
  <c r="C412" i="147"/>
  <c r="C626" i="147"/>
  <c r="C464" i="147"/>
  <c r="C387" i="147"/>
  <c r="C473" i="147"/>
  <c r="C483" i="147"/>
  <c r="C546" i="147"/>
  <c r="C534" i="147"/>
  <c r="C543" i="147"/>
  <c r="C521" i="147"/>
  <c r="C624" i="147"/>
  <c r="C506" i="147"/>
  <c r="C544" i="147"/>
  <c r="C548" i="147"/>
  <c r="C602" i="147"/>
  <c r="C469" i="147"/>
  <c r="C429" i="147"/>
  <c r="C643" i="147"/>
  <c r="C535" i="147"/>
  <c r="C491" i="147"/>
  <c r="C399" i="147"/>
  <c r="C646" i="147"/>
  <c r="C421" i="147"/>
  <c r="C559" i="147"/>
  <c r="C450" i="147"/>
  <c r="C409" i="147"/>
  <c r="C486" i="147"/>
  <c r="C495" i="147"/>
  <c r="C394" i="147"/>
  <c r="C511" i="147"/>
  <c r="C539" i="147"/>
  <c r="C434" i="147"/>
  <c r="C388" i="147"/>
  <c r="C615" i="147"/>
  <c r="C497" i="147"/>
  <c r="C634" i="147"/>
  <c r="C623" i="147"/>
  <c r="C582" i="147"/>
  <c r="C466" i="147"/>
  <c r="C406" i="147"/>
  <c r="C632" i="147"/>
  <c r="C526" i="147"/>
  <c r="C564" i="147"/>
  <c r="C614" i="147"/>
  <c r="C555" i="147"/>
  <c r="C381" i="147"/>
  <c r="C606" i="147"/>
  <c r="C509" i="147"/>
  <c r="C422" i="147"/>
  <c r="C577" i="147"/>
  <c r="C613" i="147"/>
  <c r="C376" i="147"/>
  <c r="C645" i="147"/>
  <c r="C583" i="147"/>
  <c r="C575" i="147"/>
  <c r="C531" i="147"/>
  <c r="C500" i="147"/>
  <c r="C573" i="147"/>
  <c r="C517" i="147"/>
  <c r="C642" i="147"/>
  <c r="C616" i="147"/>
  <c r="C566" i="147"/>
  <c r="C382" i="147"/>
  <c r="C415" i="147"/>
  <c r="C510" i="147"/>
  <c r="C600" i="147"/>
  <c r="C447" i="147"/>
  <c r="C607" i="147"/>
  <c r="C492" i="147"/>
  <c r="C551" i="147"/>
  <c r="C558" i="147"/>
  <c r="C538" i="147"/>
  <c r="C507" i="147"/>
  <c r="C446" i="147"/>
  <c r="C476" i="147"/>
  <c r="C440" i="147"/>
  <c r="C396" i="147"/>
  <c r="C400" i="147"/>
  <c r="C407" i="147"/>
  <c r="C397" i="147"/>
  <c r="C402" i="147"/>
  <c r="C439" i="147"/>
  <c r="C390" i="147"/>
  <c r="C598" i="147"/>
  <c r="C525" i="147"/>
  <c r="C532" i="147"/>
  <c r="C514" i="147"/>
  <c r="C405" i="147"/>
  <c r="C529" i="147"/>
  <c r="C515" i="147"/>
  <c r="C644" i="147"/>
  <c r="C467" i="147"/>
  <c r="C513" i="147"/>
  <c r="C627" i="147"/>
  <c r="C547" i="147"/>
  <c r="C379" i="147"/>
  <c r="C395" i="147"/>
  <c r="C414" i="147"/>
  <c r="C612" i="147"/>
  <c r="C383" i="147"/>
  <c r="C465" i="147"/>
  <c r="C435" i="147"/>
  <c r="C404" i="147"/>
  <c r="C425" i="147"/>
  <c r="C448" i="147"/>
  <c r="C540" i="147"/>
  <c r="C609" i="147"/>
  <c r="C504" i="147"/>
  <c r="C570" i="147"/>
  <c r="C556" i="147"/>
  <c r="C641" i="147"/>
  <c r="C633" i="147"/>
  <c r="C496" i="147"/>
  <c r="C588" i="147"/>
  <c r="C533" i="147"/>
  <c r="C601" i="147"/>
  <c r="C611" i="147"/>
  <c r="C527" i="147"/>
  <c r="C508" i="147"/>
  <c r="C561" i="147"/>
  <c r="C413" i="147"/>
  <c r="C647" i="147"/>
  <c r="C604" i="147"/>
  <c r="C389" i="147"/>
  <c r="C431" i="147"/>
  <c r="C516" i="147"/>
  <c r="C589" i="147"/>
  <c r="C471" i="147"/>
  <c r="C563" i="147"/>
  <c r="C410" i="147"/>
  <c r="C420" i="147"/>
  <c r="C554" i="147"/>
  <c r="C552" i="147"/>
  <c r="C549" i="147"/>
  <c r="C512" i="147"/>
  <c r="C385" i="147"/>
  <c r="C472" i="147"/>
  <c r="C493" i="147"/>
  <c r="C403" i="147"/>
  <c r="C408" i="147"/>
  <c r="C393" i="147"/>
  <c r="C487" i="147"/>
  <c r="H14" i="164"/>
  <c r="AF1265" i="489"/>
  <c r="AF1267" i="489" s="1"/>
  <c r="C584" i="489"/>
  <c r="C694" i="489"/>
  <c r="C957" i="489"/>
  <c r="P337" i="489"/>
  <c r="C563" i="489"/>
  <c r="CF337" i="489"/>
  <c r="C504" i="489"/>
  <c r="C592" i="489"/>
  <c r="C756" i="489"/>
  <c r="C432" i="489"/>
  <c r="DC1200" i="489"/>
  <c r="DC1207" i="489" s="1"/>
  <c r="CV337" i="489"/>
  <c r="R330" i="489"/>
  <c r="R337" i="489" s="1"/>
  <c r="R319" i="489"/>
  <c r="R320" i="489" s="1"/>
  <c r="C508" i="489"/>
  <c r="C710" i="489"/>
  <c r="C767" i="489"/>
  <c r="C784" i="489"/>
  <c r="EY1219" i="489"/>
  <c r="C478" i="489"/>
  <c r="C797" i="489"/>
  <c r="EI331" i="489"/>
  <c r="EI337" i="489" s="1"/>
  <c r="EI319" i="489"/>
  <c r="EI320" i="489" s="1"/>
  <c r="C465" i="489"/>
  <c r="C697" i="489"/>
  <c r="C510" i="489"/>
  <c r="C351" i="489"/>
  <c r="F562" i="489"/>
  <c r="BB335" i="489"/>
  <c r="BB337" i="489" s="1"/>
  <c r="BB319" i="489"/>
  <c r="BB320" i="489" s="1"/>
  <c r="EY1248" i="489"/>
  <c r="E1248" i="489" s="1"/>
  <c r="C521" i="489"/>
  <c r="AQ319" i="489"/>
  <c r="AQ320" i="489" s="1"/>
  <c r="C418" i="489"/>
  <c r="EY1108" i="489"/>
  <c r="E1108" i="489" s="1"/>
  <c r="EY1194" i="489"/>
  <c r="E1194" i="489" s="1"/>
  <c r="C424" i="489"/>
  <c r="C437" i="489"/>
  <c r="CQ1265" i="489"/>
  <c r="DV337" i="489"/>
  <c r="BW334" i="489"/>
  <c r="BW337" i="489" s="1"/>
  <c r="BW319" i="489"/>
  <c r="BW320" i="489" s="1"/>
  <c r="C457" i="489"/>
  <c r="C776" i="489"/>
  <c r="C414" i="489"/>
  <c r="F532" i="489"/>
  <c r="C373" i="489"/>
  <c r="DX1263" i="489"/>
  <c r="DD1267" i="489"/>
  <c r="DX1207" i="489"/>
  <c r="CZ1095" i="489"/>
  <c r="W331" i="489"/>
  <c r="W337" i="489" s="1"/>
  <c r="W319" i="489"/>
  <c r="W320" i="489" s="1"/>
  <c r="BN331" i="489"/>
  <c r="BN337" i="489" s="1"/>
  <c r="BN319" i="489"/>
  <c r="BN320" i="489" s="1"/>
  <c r="C411" i="489"/>
  <c r="EY1163" i="489"/>
  <c r="EY118" i="489"/>
  <c r="EY126" i="489" s="1"/>
  <c r="EY133" i="489" s="1"/>
  <c r="DX1266" i="489"/>
  <c r="CS1265" i="489"/>
  <c r="CS1267" i="489" s="1"/>
  <c r="EY318" i="489"/>
  <c r="V1011" i="489"/>
  <c r="V1264" i="489"/>
  <c r="V1267" i="489" s="1"/>
  <c r="E1237" i="489"/>
  <c r="EY1246" i="489"/>
  <c r="E1257" i="489"/>
  <c r="EY1262" i="489"/>
  <c r="EJ330" i="489"/>
  <c r="EJ337" i="489" s="1"/>
  <c r="EJ319" i="489"/>
  <c r="EJ320" i="489" s="1"/>
  <c r="CY332" i="489"/>
  <c r="CY337" i="489" s="1"/>
  <c r="CY319" i="489"/>
  <c r="CY320" i="489" s="1"/>
  <c r="C948" i="489"/>
  <c r="AU1265" i="489"/>
  <c r="AU1267" i="489" s="1"/>
  <c r="C747" i="489"/>
  <c r="E1247" i="489"/>
  <c r="E43" i="489"/>
  <c r="E45" i="489" s="1"/>
  <c r="E1181" i="489"/>
  <c r="EY1190" i="489"/>
  <c r="E1201" i="489"/>
  <c r="EY1206" i="489"/>
  <c r="C671" i="489"/>
  <c r="E1191" i="489"/>
  <c r="E1209" i="489"/>
  <c r="DX1235" i="489"/>
  <c r="C442" i="489"/>
  <c r="C920" i="489"/>
  <c r="CZ1264" i="489"/>
  <c r="DX1265" i="489"/>
  <c r="E1229" i="489"/>
  <c r="EY1234" i="489"/>
  <c r="EY1136" i="489"/>
  <c r="E1136" i="489" s="1"/>
  <c r="DX1264" i="489"/>
  <c r="AW330" i="489"/>
  <c r="AW337" i="489" s="1"/>
  <c r="AW319" i="489"/>
  <c r="AW320" i="489" s="1"/>
  <c r="C907" i="489"/>
  <c r="CF1011" i="489"/>
  <c r="CF1265" i="489"/>
  <c r="EC328" i="489"/>
  <c r="EC337" i="489" s="1"/>
  <c r="EC319" i="489"/>
  <c r="EC320" i="489" s="1"/>
  <c r="EY1080" i="489"/>
  <c r="E1080" i="489" s="1"/>
  <c r="S319" i="489"/>
  <c r="S320" i="489" s="1"/>
  <c r="S330" i="489"/>
  <c r="S337" i="489" s="1"/>
  <c r="C951" i="489"/>
  <c r="C912" i="489"/>
  <c r="EY1078" i="489"/>
  <c r="E1069" i="489"/>
  <c r="EY1150" i="489"/>
  <c r="E1145" i="489"/>
  <c r="DX1095" i="489"/>
  <c r="EY1162" i="489"/>
  <c r="E1153" i="489"/>
  <c r="DX1179" i="489"/>
  <c r="AQ337" i="489"/>
  <c r="E1061" i="489"/>
  <c r="EY1066" i="489"/>
  <c r="EY1094" i="489"/>
  <c r="E1089" i="489"/>
  <c r="EY1106" i="489"/>
  <c r="E1097" i="489"/>
  <c r="EY1134" i="489"/>
  <c r="E1125" i="489"/>
  <c r="DX1123" i="489"/>
  <c r="DX1039" i="489"/>
  <c r="EY1122" i="489"/>
  <c r="E1117" i="489"/>
  <c r="DX1151" i="489"/>
  <c r="E1173" i="489"/>
  <c r="EY1178" i="489"/>
  <c r="F404" i="489"/>
  <c r="E32" i="390"/>
  <c r="F32" i="390" s="1"/>
  <c r="F33" i="390" s="1"/>
  <c r="F35" i="390" s="1"/>
  <c r="F39" i="390" s="1"/>
  <c r="I221" i="147" s="1"/>
  <c r="I591" i="147" s="1"/>
  <c r="E22" i="198"/>
  <c r="F22" i="198" s="1"/>
  <c r="F25" i="198" s="1"/>
  <c r="F27" i="198" s="1"/>
  <c r="F31" i="198" s="1"/>
  <c r="I180" i="147" s="1"/>
  <c r="I550" i="147" s="1"/>
  <c r="E1051" i="489"/>
  <c r="EY1060" i="489"/>
  <c r="E1005" i="489"/>
  <c r="EY1050" i="489"/>
  <c r="E1041" i="489"/>
  <c r="E1033" i="489"/>
  <c r="DX1067" i="489"/>
  <c r="EY994" i="489"/>
  <c r="E985" i="489"/>
  <c r="DX1011" i="489"/>
  <c r="AF337" i="489"/>
  <c r="U337" i="489"/>
  <c r="C597" i="489"/>
  <c r="EW337" i="489"/>
  <c r="CG319" i="489"/>
  <c r="CG320" i="489" s="1"/>
  <c r="CG336" i="489"/>
  <c r="CG337" i="489" s="1"/>
  <c r="EV337" i="489"/>
  <c r="DE319" i="489"/>
  <c r="DE320" i="489" s="1"/>
  <c r="DE335" i="489"/>
  <c r="DE337" i="489" s="1"/>
  <c r="L319" i="489"/>
  <c r="L320" i="489" s="1"/>
  <c r="L335" i="489"/>
  <c r="CT337" i="489"/>
  <c r="CB319" i="489"/>
  <c r="CB320" i="489" s="1"/>
  <c r="CB334" i="489"/>
  <c r="CB337" i="489" s="1"/>
  <c r="CQ337" i="489"/>
  <c r="AH337" i="489"/>
  <c r="C586" i="489"/>
  <c r="CZ337" i="489"/>
  <c r="CA319" i="489"/>
  <c r="CA320" i="489" s="1"/>
  <c r="CA327" i="489"/>
  <c r="CA337" i="489" s="1"/>
  <c r="BR319" i="489"/>
  <c r="BR320" i="489" s="1"/>
  <c r="BR331" i="489"/>
  <c r="BR337" i="489" s="1"/>
  <c r="AJ319" i="489"/>
  <c r="AJ320" i="489" s="1"/>
  <c r="AJ327" i="489"/>
  <c r="AJ337" i="489" s="1"/>
  <c r="DD319" i="489"/>
  <c r="DD320" i="489" s="1"/>
  <c r="DD327" i="489"/>
  <c r="DD337" i="489" s="1"/>
  <c r="V337" i="489"/>
  <c r="CI319" i="489"/>
  <c r="CI320" i="489" s="1"/>
  <c r="CI328" i="489"/>
  <c r="CI337" i="489" s="1"/>
  <c r="BU319" i="489"/>
  <c r="BU320" i="489" s="1"/>
  <c r="BU328" i="489"/>
  <c r="BU337" i="489" s="1"/>
  <c r="BM319" i="489"/>
  <c r="BM320" i="489" s="1"/>
  <c r="BM329" i="489"/>
  <c r="BM337" i="489" s="1"/>
  <c r="AX319" i="489"/>
  <c r="AX320" i="489" s="1"/>
  <c r="AX328" i="489"/>
  <c r="AX337" i="489" s="1"/>
  <c r="DS319" i="489"/>
  <c r="DS320" i="489" s="1"/>
  <c r="DS330" i="489"/>
  <c r="DS337" i="489" s="1"/>
  <c r="N319" i="489"/>
  <c r="N320" i="489" s="1"/>
  <c r="N333" i="489"/>
  <c r="J319" i="489"/>
  <c r="J320" i="489" s="1"/>
  <c r="J332" i="489"/>
  <c r="C581" i="489"/>
  <c r="C812" i="489"/>
  <c r="C764" i="489"/>
  <c r="C570" i="489"/>
  <c r="C538" i="489"/>
  <c r="C742" i="489"/>
  <c r="C675" i="489"/>
  <c r="C813" i="489"/>
  <c r="C762" i="489"/>
  <c r="C693" i="489"/>
  <c r="C366" i="489"/>
  <c r="C517" i="489"/>
  <c r="C699" i="489"/>
  <c r="C603" i="489"/>
  <c r="C753" i="489"/>
  <c r="C676" i="489"/>
  <c r="G576" i="489"/>
  <c r="F577" i="489"/>
  <c r="C667" i="489"/>
  <c r="C796" i="489"/>
  <c r="C790" i="489"/>
  <c r="C711" i="489"/>
  <c r="C720" i="489"/>
  <c r="C448" i="489"/>
  <c r="C680" i="489"/>
  <c r="AH319" i="489"/>
  <c r="AH320" i="489" s="1"/>
  <c r="EY103" i="489"/>
  <c r="EY168" i="489"/>
  <c r="EY176" i="489" s="1"/>
  <c r="EY321" i="489" s="1"/>
  <c r="C516" i="489"/>
  <c r="AK319" i="489"/>
  <c r="AK320" i="489" s="1"/>
  <c r="CF319" i="489"/>
  <c r="CF320" i="489" s="1"/>
  <c r="C528" i="489"/>
  <c r="C519" i="489"/>
  <c r="C569" i="489"/>
  <c r="C621" i="489"/>
  <c r="C604" i="489"/>
  <c r="C613" i="489"/>
  <c r="C615" i="489"/>
  <c r="C566" i="489"/>
  <c r="C602" i="489"/>
  <c r="C594" i="489"/>
  <c r="C530" i="489"/>
  <c r="C608" i="489"/>
  <c r="C614" i="489"/>
  <c r="C607" i="489"/>
  <c r="C596" i="489"/>
  <c r="C624" i="489"/>
  <c r="C598" i="489"/>
  <c r="DC995" i="489"/>
  <c r="C546" i="489"/>
  <c r="AF319" i="489"/>
  <c r="AF320" i="489" s="1"/>
  <c r="CV319" i="489"/>
  <c r="CV320" i="489" s="1"/>
  <c r="E163" i="489"/>
  <c r="E165" i="489" s="1"/>
  <c r="BS316" i="489"/>
  <c r="G193" i="489"/>
  <c r="G195" i="489" s="1"/>
  <c r="F163" i="489"/>
  <c r="F165" i="489" s="1"/>
  <c r="E283" i="489"/>
  <c r="E285" i="489" s="1"/>
  <c r="AE319" i="489"/>
  <c r="AE320" i="489" s="1"/>
  <c r="CQ319" i="489"/>
  <c r="CQ320" i="489" s="1"/>
  <c r="DC36" i="489"/>
  <c r="CZ319" i="489"/>
  <c r="CZ320" i="489" s="1"/>
  <c r="CT319" i="489"/>
  <c r="CT320" i="489" s="1"/>
  <c r="F103" i="489"/>
  <c r="F105" i="489" s="1"/>
  <c r="F283" i="489"/>
  <c r="F285" i="489" s="1"/>
  <c r="DV319" i="489"/>
  <c r="DV320" i="489" s="1"/>
  <c r="Y316" i="489"/>
  <c r="DC316" i="489"/>
  <c r="EY208" i="489"/>
  <c r="EY216" i="489" s="1"/>
  <c r="EY223" i="489" s="1"/>
  <c r="C595" i="489"/>
  <c r="F193" i="489"/>
  <c r="F195" i="489" s="1"/>
  <c r="U319" i="489"/>
  <c r="U320" i="489" s="1"/>
  <c r="CS316" i="489"/>
  <c r="G82" i="93"/>
  <c r="C593" i="489"/>
  <c r="C539" i="489"/>
  <c r="EY371" i="147"/>
  <c r="EY373" i="147" s="1"/>
  <c r="F26" i="176"/>
  <c r="F27" i="176" s="1"/>
  <c r="F31" i="176" s="1"/>
  <c r="I110" i="147" s="1"/>
  <c r="I480" i="147" s="1"/>
  <c r="M25" i="176"/>
  <c r="M26" i="176" s="1"/>
  <c r="EY267" i="489"/>
  <c r="EY276" i="489" s="1"/>
  <c r="EY283" i="489" s="1"/>
  <c r="DC276" i="489"/>
  <c r="DC283" i="489" s="1"/>
  <c r="DC335" i="489" s="1"/>
  <c r="EY58" i="489"/>
  <c r="AU66" i="489"/>
  <c r="M23" i="175"/>
  <c r="M25" i="175" s="1"/>
  <c r="F25" i="175"/>
  <c r="F26" i="175" s="1"/>
  <c r="F30" i="175" s="1"/>
  <c r="I109" i="147" s="1"/>
  <c r="I479" i="147" s="1"/>
  <c r="EY238" i="489"/>
  <c r="EY246" i="489" s="1"/>
  <c r="EY253" i="489" s="1"/>
  <c r="AU246" i="489"/>
  <c r="AU253" i="489" s="1"/>
  <c r="AU334" i="489" s="1"/>
  <c r="EY57" i="489"/>
  <c r="DC66" i="489"/>
  <c r="F25" i="171"/>
  <c r="F26" i="171" s="1"/>
  <c r="F30" i="171" s="1"/>
  <c r="I104" i="147" s="1"/>
  <c r="I474" i="147" s="1"/>
  <c r="EY177" i="489"/>
  <c r="EY186" i="489" s="1"/>
  <c r="DC186" i="489"/>
  <c r="DC193" i="489" s="1"/>
  <c r="DC332" i="489" s="1"/>
  <c r="F31" i="326"/>
  <c r="F32" i="326" s="1"/>
  <c r="F36" i="326" s="1"/>
  <c r="I111" i="147" s="1"/>
  <c r="M25" i="326"/>
  <c r="M31" i="326" s="1"/>
  <c r="F29" i="102"/>
  <c r="I82" i="147" s="1"/>
  <c r="I452" i="147" s="1"/>
  <c r="E30" i="103"/>
  <c r="F30" i="103" s="1"/>
  <c r="EY27" i="489"/>
  <c r="EY36" i="489" s="1"/>
  <c r="EW319" i="489"/>
  <c r="EW320" i="489" s="1"/>
  <c r="Y103" i="489"/>
  <c r="DF103" i="489"/>
  <c r="DF316" i="489"/>
  <c r="E193" i="489"/>
  <c r="E195" i="489" s="1"/>
  <c r="G223" i="489"/>
  <c r="G225" i="489" s="1"/>
  <c r="F317" i="489"/>
  <c r="E316" i="489"/>
  <c r="V319" i="489"/>
  <c r="V320" i="489" s="1"/>
  <c r="EV319" i="489"/>
  <c r="EV320" i="489" s="1"/>
  <c r="F316" i="489"/>
  <c r="G317" i="489"/>
  <c r="E317" i="489"/>
  <c r="E223" i="489"/>
  <c r="E225" i="489" s="1"/>
  <c r="G43" i="489"/>
  <c r="G316" i="489"/>
  <c r="F223" i="489"/>
  <c r="F225" i="489" s="1"/>
  <c r="F43" i="489"/>
  <c r="G288" i="93"/>
  <c r="G295" i="93" s="1"/>
  <c r="F54" i="93"/>
  <c r="G36" i="93"/>
  <c r="E36" i="93"/>
  <c r="F36" i="93"/>
  <c r="F43" i="93" s="1"/>
  <c r="F138" i="93"/>
  <c r="G194" i="93"/>
  <c r="F250" i="93"/>
  <c r="F222" i="93"/>
  <c r="E250" i="93"/>
  <c r="E222" i="93"/>
  <c r="G250" i="93"/>
  <c r="G267" i="93" s="1"/>
  <c r="EY451" i="147"/>
  <c r="EY445" i="147"/>
  <c r="I445" i="147" s="1"/>
  <c r="EY460" i="147"/>
  <c r="I460" i="147" s="1"/>
  <c r="EY441" i="147"/>
  <c r="I441" i="147" s="1"/>
  <c r="E232" i="93"/>
  <c r="J373" i="147"/>
  <c r="F260" i="93"/>
  <c r="E260" i="93"/>
  <c r="EY193" i="489" l="1"/>
  <c r="CB1267" i="489"/>
  <c r="F725" i="489"/>
  <c r="G71" i="93"/>
  <c r="D1067" i="489"/>
  <c r="F183" i="93"/>
  <c r="E295" i="93"/>
  <c r="G239" i="93"/>
  <c r="D1123" i="489"/>
  <c r="D267" i="93"/>
  <c r="D1151" i="489"/>
  <c r="E211" i="93"/>
  <c r="D239" i="93"/>
  <c r="G211" i="93"/>
  <c r="D1039" i="489"/>
  <c r="E71" i="93"/>
  <c r="D99" i="93"/>
  <c r="F295" i="93"/>
  <c r="EV1267" i="489"/>
  <c r="EY306" i="489"/>
  <c r="EY313" i="489" s="1"/>
  <c r="F517" i="489"/>
  <c r="C344" i="489"/>
  <c r="F667" i="489"/>
  <c r="CS319" i="489"/>
  <c r="CS320" i="489" s="1"/>
  <c r="D295" i="93"/>
  <c r="I99" i="93"/>
  <c r="I296" i="93"/>
  <c r="G99" i="93"/>
  <c r="C358" i="489"/>
  <c r="F211" i="93"/>
  <c r="D155" i="93"/>
  <c r="G155" i="93"/>
  <c r="C380" i="489"/>
  <c r="E127" i="93"/>
  <c r="E99" i="93"/>
  <c r="F99" i="93"/>
  <c r="D319" i="489"/>
  <c r="CF1267" i="489"/>
  <c r="BS319" i="489"/>
  <c r="BS320" i="489" s="1"/>
  <c r="D71" i="93"/>
  <c r="D296" i="93"/>
  <c r="I481" i="147"/>
  <c r="I30" i="489"/>
  <c r="I30" i="93" s="1"/>
  <c r="I36" i="93" s="1"/>
  <c r="I519" i="147"/>
  <c r="C579" i="489"/>
  <c r="D43" i="93"/>
  <c r="F765" i="489"/>
  <c r="CZ1267" i="489"/>
  <c r="E155" i="93"/>
  <c r="EY1218" i="489"/>
  <c r="G43" i="93"/>
  <c r="C419" i="489"/>
  <c r="I186" i="489"/>
  <c r="F12" i="310" s="1"/>
  <c r="I253" i="489"/>
  <c r="I276" i="489"/>
  <c r="I283" i="489" s="1"/>
  <c r="I216" i="489"/>
  <c r="I223" i="489" s="1"/>
  <c r="I126" i="489"/>
  <c r="I133" i="489" s="1"/>
  <c r="C349" i="489"/>
  <c r="C447" i="489"/>
  <c r="BR1267" i="489"/>
  <c r="EY316" i="489"/>
  <c r="D211" i="93"/>
  <c r="F784" i="489"/>
  <c r="F536" i="489"/>
  <c r="F377" i="489"/>
  <c r="G386" i="489"/>
  <c r="EY1107" i="489"/>
  <c r="E1107" i="489" s="1"/>
  <c r="DC1116" i="489"/>
  <c r="DC1123" i="489" s="1"/>
  <c r="F662" i="489"/>
  <c r="EY1172" i="489"/>
  <c r="EY1179" i="489" s="1"/>
  <c r="EW1267" i="489"/>
  <c r="CQ1267" i="489"/>
  <c r="G704" i="489"/>
  <c r="I56" i="489"/>
  <c r="C8" i="310" s="1"/>
  <c r="G774" i="489"/>
  <c r="G755" i="489"/>
  <c r="EY1022" i="489"/>
  <c r="I86" i="489"/>
  <c r="C9" i="310" s="1"/>
  <c r="E9" i="310" s="1"/>
  <c r="C364" i="489"/>
  <c r="C216" i="93"/>
  <c r="C1184" i="489"/>
  <c r="C236" i="489"/>
  <c r="F523" i="489"/>
  <c r="C248" i="93"/>
  <c r="C1216" i="489"/>
  <c r="C266" i="489"/>
  <c r="C283" i="489" s="1"/>
  <c r="AU73" i="489"/>
  <c r="AU328" i="489" s="1"/>
  <c r="AU337" i="489" s="1"/>
  <c r="AU322" i="489"/>
  <c r="DC73" i="489"/>
  <c r="DC328" i="489" s="1"/>
  <c r="DC322" i="489"/>
  <c r="D1235" i="489"/>
  <c r="D1264" i="489"/>
  <c r="F737" i="489"/>
  <c r="D297" i="93"/>
  <c r="D1265" i="489"/>
  <c r="D183" i="93"/>
  <c r="G502" i="489"/>
  <c r="D1207" i="489"/>
  <c r="G183" i="93"/>
  <c r="G743" i="489"/>
  <c r="EY43" i="489"/>
  <c r="DC43" i="489"/>
  <c r="DC327" i="489" s="1"/>
  <c r="EY327" i="489" s="1"/>
  <c r="D1179" i="489"/>
  <c r="C12" i="310"/>
  <c r="F8" i="310"/>
  <c r="H8" i="310" s="1"/>
  <c r="I8" i="310"/>
  <c r="K8" i="310" s="1"/>
  <c r="F11" i="310"/>
  <c r="I11" i="310"/>
  <c r="K11" i="310" s="1"/>
  <c r="F559" i="489"/>
  <c r="F14" i="310"/>
  <c r="H14" i="310" s="1"/>
  <c r="I14" i="310"/>
  <c r="K14" i="310" s="1"/>
  <c r="C16" i="310"/>
  <c r="E16" i="310" s="1"/>
  <c r="I96" i="489"/>
  <c r="C15" i="310"/>
  <c r="E15" i="310" s="1"/>
  <c r="C400" i="489"/>
  <c r="C719" i="489"/>
  <c r="DC1032" i="489"/>
  <c r="DC1039" i="489" s="1"/>
  <c r="EY1023" i="489"/>
  <c r="DC1144" i="489"/>
  <c r="DC1151" i="489" s="1"/>
  <c r="EY1135" i="489"/>
  <c r="E1135" i="489" s="1"/>
  <c r="I306" i="489"/>
  <c r="I313" i="489" s="1"/>
  <c r="C13" i="310"/>
  <c r="E13" i="310" s="1"/>
  <c r="I163" i="489"/>
  <c r="C410" i="489"/>
  <c r="F71" i="93"/>
  <c r="F127" i="93"/>
  <c r="G775" i="489"/>
  <c r="G760" i="489"/>
  <c r="G677" i="489"/>
  <c r="G674" i="489"/>
  <c r="G783" i="489"/>
  <c r="G525" i="489"/>
  <c r="F826" i="489"/>
  <c r="F763" i="489"/>
  <c r="G695" i="489"/>
  <c r="G772" i="489"/>
  <c r="F884" i="489"/>
  <c r="F571" i="489"/>
  <c r="F393" i="489"/>
  <c r="F870" i="489"/>
  <c r="F663" i="489"/>
  <c r="G782" i="489"/>
  <c r="F561" i="489"/>
  <c r="G684" i="489"/>
  <c r="G794" i="489"/>
  <c r="F794" i="489"/>
  <c r="F698" i="489"/>
  <c r="G510" i="489"/>
  <c r="G696" i="489"/>
  <c r="F754" i="489"/>
  <c r="C436" i="489"/>
  <c r="G894" i="489"/>
  <c r="F894" i="489"/>
  <c r="G515" i="489"/>
  <c r="G533" i="489"/>
  <c r="G879" i="489"/>
  <c r="F566" i="489"/>
  <c r="G670" i="489"/>
  <c r="G530" i="489"/>
  <c r="G728" i="489"/>
  <c r="F741" i="489"/>
  <c r="G773" i="489"/>
  <c r="G543" i="489"/>
  <c r="G753" i="489"/>
  <c r="G520" i="489"/>
  <c r="F887" i="489"/>
  <c r="G893" i="489"/>
  <c r="G709" i="489"/>
  <c r="F347" i="489"/>
  <c r="F506" i="489"/>
  <c r="F370" i="489"/>
  <c r="F688" i="489"/>
  <c r="G573" i="489"/>
  <c r="F752" i="489"/>
  <c r="G839" i="489"/>
  <c r="G844" i="489" s="1"/>
  <c r="G508" i="489"/>
  <c r="G767" i="489"/>
  <c r="G729" i="489"/>
  <c r="G766" i="489"/>
  <c r="F516" i="489"/>
  <c r="G694" i="489"/>
  <c r="G846" i="489"/>
  <c r="F780" i="489"/>
  <c r="G736" i="489"/>
  <c r="F740" i="489"/>
  <c r="G539" i="489"/>
  <c r="C485" i="489"/>
  <c r="C371" i="489"/>
  <c r="G700" i="489"/>
  <c r="G751" i="489"/>
  <c r="F697" i="489"/>
  <c r="C963" i="489"/>
  <c r="G724" i="489"/>
  <c r="C690" i="489"/>
  <c r="F675" i="489"/>
  <c r="G725" i="489"/>
  <c r="F546" i="489"/>
  <c r="G705" i="489"/>
  <c r="G691" i="489"/>
  <c r="F692" i="489"/>
  <c r="G678" i="489"/>
  <c r="F372" i="489"/>
  <c r="F690" i="489"/>
  <c r="F569" i="489"/>
  <c r="E43" i="93"/>
  <c r="G350" i="489"/>
  <c r="G376" i="489"/>
  <c r="G382" i="489"/>
  <c r="EY1228" i="489"/>
  <c r="F359" i="489"/>
  <c r="F376" i="489"/>
  <c r="C451" i="147"/>
  <c r="EY741" i="147"/>
  <c r="C460" i="147"/>
  <c r="C441" i="147"/>
  <c r="C445" i="147"/>
  <c r="H14" i="113"/>
  <c r="G1" i="164"/>
  <c r="EY334" i="489"/>
  <c r="C672" i="489"/>
  <c r="E1066" i="489"/>
  <c r="C369" i="489"/>
  <c r="C688" i="489"/>
  <c r="E1219" i="489"/>
  <c r="E1228" i="489" s="1"/>
  <c r="EY1256" i="489"/>
  <c r="EY1263" i="489" s="1"/>
  <c r="C403" i="489"/>
  <c r="C361" i="489"/>
  <c r="F351" i="489"/>
  <c r="C378" i="489"/>
  <c r="F391" i="489"/>
  <c r="C375" i="489"/>
  <c r="EY1200" i="489"/>
  <c r="EY1207" i="489" s="1"/>
  <c r="G532" i="489"/>
  <c r="F373" i="489"/>
  <c r="C423" i="489"/>
  <c r="C356" i="489"/>
  <c r="E1163" i="489"/>
  <c r="E1172" i="489" s="1"/>
  <c r="C429" i="489"/>
  <c r="C434" i="489"/>
  <c r="C470" i="489"/>
  <c r="C533" i="489"/>
  <c r="DX1267" i="489"/>
  <c r="EY1088" i="489"/>
  <c r="EY1095" i="489" s="1"/>
  <c r="EY1266" i="489"/>
  <c r="E1190" i="489"/>
  <c r="E1262" i="489"/>
  <c r="C352" i="489"/>
  <c r="E1218" i="489"/>
  <c r="F352" i="489"/>
  <c r="E1234" i="489"/>
  <c r="E1200" i="489"/>
  <c r="E1206" i="489"/>
  <c r="E1256" i="489"/>
  <c r="E1246" i="489"/>
  <c r="C407" i="489"/>
  <c r="E1150" i="489"/>
  <c r="E1134" i="489"/>
  <c r="E1094" i="489"/>
  <c r="C374" i="489"/>
  <c r="EY1067" i="489"/>
  <c r="E1088" i="489"/>
  <c r="E1162" i="489"/>
  <c r="E1122" i="489"/>
  <c r="C443" i="489"/>
  <c r="E1078" i="489"/>
  <c r="E1106" i="489"/>
  <c r="C357" i="489"/>
  <c r="C345" i="489"/>
  <c r="E1178" i="489"/>
  <c r="F362" i="489"/>
  <c r="F405" i="489"/>
  <c r="DC1004" i="489"/>
  <c r="EY995" i="489"/>
  <c r="E994" i="489"/>
  <c r="E1010" i="489"/>
  <c r="E1038" i="489"/>
  <c r="E1050" i="489"/>
  <c r="E1060" i="489"/>
  <c r="EY336" i="489"/>
  <c r="L337" i="489"/>
  <c r="EY335" i="489"/>
  <c r="DF319" i="489"/>
  <c r="DF320" i="489" s="1"/>
  <c r="DF329" i="489"/>
  <c r="DF337" i="489" s="1"/>
  <c r="EY332" i="489"/>
  <c r="J337" i="489"/>
  <c r="N337" i="489"/>
  <c r="EY333" i="489"/>
  <c r="Y319" i="489"/>
  <c r="Y320" i="489" s="1"/>
  <c r="Y329" i="489"/>
  <c r="EY330" i="489"/>
  <c r="EY331" i="489"/>
  <c r="C493" i="489"/>
  <c r="G359" i="489"/>
  <c r="C422" i="489"/>
  <c r="C741" i="489"/>
  <c r="C702" i="489"/>
  <c r="C379" i="489"/>
  <c r="C698" i="489"/>
  <c r="C814" i="489"/>
  <c r="C703" i="489"/>
  <c r="F366" i="489"/>
  <c r="G577" i="489"/>
  <c r="C791" i="489"/>
  <c r="C803" i="489"/>
  <c r="C788" i="489"/>
  <c r="G390" i="489"/>
  <c r="G404" i="489"/>
  <c r="C402" i="489"/>
  <c r="C685" i="489"/>
  <c r="C794" i="489"/>
  <c r="C725" i="489"/>
  <c r="C526" i="489"/>
  <c r="C652" i="489"/>
  <c r="C653" i="489"/>
  <c r="AU317" i="489"/>
  <c r="C542" i="489"/>
  <c r="DC317" i="489"/>
  <c r="EY66" i="489"/>
  <c r="F31" i="103"/>
  <c r="F32" i="103" s="1"/>
  <c r="F36" i="103" s="1"/>
  <c r="I81" i="147" s="1"/>
  <c r="M30" i="103"/>
  <c r="M31" i="103" s="1"/>
  <c r="F319" i="489"/>
  <c r="F320" i="489" s="1"/>
  <c r="F321" i="489" s="1"/>
  <c r="F322" i="489" s="1"/>
  <c r="F45" i="489"/>
  <c r="E319" i="489"/>
  <c r="E320" i="489" s="1"/>
  <c r="E321" i="489" s="1"/>
  <c r="E322" i="489" s="1"/>
  <c r="G319" i="489"/>
  <c r="G320" i="489" s="1"/>
  <c r="G321" i="489" s="1"/>
  <c r="G322" i="489" s="1"/>
  <c r="G45" i="489"/>
  <c r="E239" i="93"/>
  <c r="F267" i="93"/>
  <c r="G296" i="93"/>
  <c r="E267" i="93"/>
  <c r="F296" i="93"/>
  <c r="F239" i="93"/>
  <c r="E296" i="93"/>
  <c r="G297" i="93"/>
  <c r="F155" i="93"/>
  <c r="F297" i="93"/>
  <c r="E297" i="93"/>
  <c r="F344" i="489" l="1"/>
  <c r="EY322" i="489"/>
  <c r="C321" i="489"/>
  <c r="G737" i="489"/>
  <c r="F578" i="489"/>
  <c r="D299" i="93"/>
  <c r="D300" i="93" s="1"/>
  <c r="I297" i="93"/>
  <c r="I43" i="93"/>
  <c r="I299" i="93" s="1"/>
  <c r="I300" i="93" s="1"/>
  <c r="F387" i="489"/>
  <c r="D320" i="489"/>
  <c r="D321" i="489" s="1"/>
  <c r="D322" i="489" s="1"/>
  <c r="G570" i="489"/>
  <c r="G299" i="93"/>
  <c r="G300" i="93" s="1"/>
  <c r="F380" i="489"/>
  <c r="AU319" i="489"/>
  <c r="AU320" i="489" s="1"/>
  <c r="I36" i="489"/>
  <c r="I317" i="489" s="1"/>
  <c r="I12" i="310"/>
  <c r="K12" i="310" s="1"/>
  <c r="EY328" i="489"/>
  <c r="EY1235" i="489"/>
  <c r="I193" i="489"/>
  <c r="F358" i="489"/>
  <c r="EY1264" i="489"/>
  <c r="DC337" i="489"/>
  <c r="DC319" i="489"/>
  <c r="DC320" i="489" s="1"/>
  <c r="F10" i="310"/>
  <c r="F13" i="310"/>
  <c r="H13" i="310" s="1"/>
  <c r="I13" i="310"/>
  <c r="K13" i="310" s="1"/>
  <c r="E1116" i="489"/>
  <c r="E1123" i="489" s="1"/>
  <c r="F15" i="310"/>
  <c r="H15" i="310" s="1"/>
  <c r="I15" i="310"/>
  <c r="K15" i="310" s="1"/>
  <c r="G517" i="489"/>
  <c r="G358" i="489"/>
  <c r="I10" i="310"/>
  <c r="K10" i="310" s="1"/>
  <c r="C383" i="489"/>
  <c r="EY1116" i="489"/>
  <c r="EY1123" i="489" s="1"/>
  <c r="C765" i="489"/>
  <c r="G662" i="489"/>
  <c r="G536" i="489"/>
  <c r="G377" i="489"/>
  <c r="G784" i="489"/>
  <c r="I73" i="489"/>
  <c r="I316" i="489"/>
  <c r="F364" i="489"/>
  <c r="G523" i="489"/>
  <c r="G364" i="489"/>
  <c r="C316" i="489"/>
  <c r="C253" i="489"/>
  <c r="C319" i="489" s="1"/>
  <c r="C320" i="489" s="1"/>
  <c r="D1267" i="489"/>
  <c r="G667" i="489"/>
  <c r="G765" i="489"/>
  <c r="E1144" i="489"/>
  <c r="E1151" i="489" s="1"/>
  <c r="EY1144" i="489"/>
  <c r="EY1151" i="489" s="1"/>
  <c r="F702" i="489"/>
  <c r="G325" i="489"/>
  <c r="F325" i="489"/>
  <c r="E325" i="489"/>
  <c r="L14" i="310"/>
  <c r="I9" i="310"/>
  <c r="K9" i="310" s="1"/>
  <c r="F9" i="310"/>
  <c r="F400" i="489"/>
  <c r="F718" i="489"/>
  <c r="G559" i="489"/>
  <c r="F16" i="310"/>
  <c r="H16" i="310" s="1"/>
  <c r="I16" i="310"/>
  <c r="K16" i="310" s="1"/>
  <c r="E1023" i="489"/>
  <c r="EY1032" i="489"/>
  <c r="EY1039" i="489" s="1"/>
  <c r="I451" i="147"/>
  <c r="L8" i="310"/>
  <c r="E8" i="310"/>
  <c r="N8" i="310" s="1"/>
  <c r="I103" i="489"/>
  <c r="FM133" i="489" s="1"/>
  <c r="C360" i="489"/>
  <c r="C367" i="489" s="1"/>
  <c r="F689" i="489"/>
  <c r="G566" i="489"/>
  <c r="G754" i="489"/>
  <c r="G693" i="489"/>
  <c r="G663" i="489"/>
  <c r="G884" i="489"/>
  <c r="G562" i="489"/>
  <c r="G698" i="489"/>
  <c r="F661" i="489"/>
  <c r="G347" i="489"/>
  <c r="G506" i="489"/>
  <c r="G895" i="489"/>
  <c r="F895" i="489"/>
  <c r="G387" i="489"/>
  <c r="G546" i="489"/>
  <c r="G763" i="489"/>
  <c r="G795" i="489"/>
  <c r="F795" i="489"/>
  <c r="G369" i="489"/>
  <c r="G393" i="489"/>
  <c r="G870" i="489"/>
  <c r="G780" i="489"/>
  <c r="F701" i="489"/>
  <c r="G370" i="489"/>
  <c r="G688" i="489"/>
  <c r="G887" i="489"/>
  <c r="G740" i="489"/>
  <c r="G752" i="489"/>
  <c r="G504" i="489"/>
  <c r="G561" i="489"/>
  <c r="F519" i="489"/>
  <c r="G826" i="489"/>
  <c r="G831" i="489" s="1"/>
  <c r="G516" i="489"/>
  <c r="G687" i="489"/>
  <c r="G741" i="489"/>
  <c r="G571" i="489"/>
  <c r="G692" i="489"/>
  <c r="G675" i="489"/>
  <c r="G685" i="489" s="1"/>
  <c r="G697" i="489"/>
  <c r="G372" i="489"/>
  <c r="G690" i="489"/>
  <c r="G569" i="489"/>
  <c r="F356" i="489"/>
  <c r="G375" i="489"/>
  <c r="F403" i="489"/>
  <c r="F375" i="489"/>
  <c r="F378" i="489"/>
  <c r="F361" i="489"/>
  <c r="F345" i="489"/>
  <c r="F374" i="489"/>
  <c r="F357" i="489"/>
  <c r="G378" i="489"/>
  <c r="F349" i="489"/>
  <c r="C741" i="147"/>
  <c r="F369" i="489"/>
  <c r="H14" i="277"/>
  <c r="G1" i="113"/>
  <c r="G391" i="489"/>
  <c r="G351" i="489"/>
  <c r="G373" i="489"/>
  <c r="G403" i="489"/>
  <c r="C726" i="489"/>
  <c r="E1263" i="489"/>
  <c r="E1095" i="489"/>
  <c r="E1266" i="489"/>
  <c r="E1264" i="489"/>
  <c r="E1179" i="489"/>
  <c r="E1207" i="489"/>
  <c r="DC1011" i="489"/>
  <c r="DC1265" i="489"/>
  <c r="DC1267" i="489" s="1"/>
  <c r="G352" i="489"/>
  <c r="E1235" i="489"/>
  <c r="C494" i="489"/>
  <c r="C384" i="489"/>
  <c r="F406" i="489"/>
  <c r="F402" i="489"/>
  <c r="EY1004" i="489"/>
  <c r="E995" i="489"/>
  <c r="E1067" i="489"/>
  <c r="G362" i="489"/>
  <c r="G366" i="489"/>
  <c r="EY329" i="489"/>
  <c r="Y337" i="489"/>
  <c r="F379" i="489"/>
  <c r="C606" i="489"/>
  <c r="F579" i="489"/>
  <c r="C831" i="489"/>
  <c r="G405" i="489"/>
  <c r="C844" i="489"/>
  <c r="C543" i="489"/>
  <c r="C605" i="489"/>
  <c r="C654" i="489"/>
  <c r="EY73" i="489"/>
  <c r="EY319" i="489" s="1"/>
  <c r="EY320" i="489" s="1"/>
  <c r="EY317" i="489"/>
  <c r="E299" i="93"/>
  <c r="E300" i="93" s="1"/>
  <c r="D30" i="310"/>
  <c r="F299" i="93"/>
  <c r="F300" i="93" s="1"/>
  <c r="M14" i="310"/>
  <c r="N14" i="310"/>
  <c r="K7" i="310"/>
  <c r="H12" i="310"/>
  <c r="L12" i="310" l="1"/>
  <c r="M15" i="310"/>
  <c r="G344" i="489"/>
  <c r="G578" i="489"/>
  <c r="D325" i="489"/>
  <c r="N15" i="310"/>
  <c r="FM163" i="489"/>
  <c r="L10" i="310"/>
  <c r="EY337" i="489"/>
  <c r="H10" i="310"/>
  <c r="N10" i="310" s="1"/>
  <c r="L15" i="310"/>
  <c r="I43" i="489"/>
  <c r="FM73" i="489" s="1"/>
  <c r="F7" i="310"/>
  <c r="N13" i="310"/>
  <c r="F383" i="489"/>
  <c r="L13" i="310"/>
  <c r="G701" i="489"/>
  <c r="F764" i="489"/>
  <c r="I17" i="310"/>
  <c r="G885" i="489"/>
  <c r="M16" i="310"/>
  <c r="M8" i="310"/>
  <c r="O8" i="310" s="1"/>
  <c r="L16" i="310"/>
  <c r="G400" i="489"/>
  <c r="G718" i="489"/>
  <c r="E1032" i="489"/>
  <c r="E1039" i="489" s="1"/>
  <c r="H9" i="310"/>
  <c r="L9" i="310"/>
  <c r="G513" i="489"/>
  <c r="G345" i="489"/>
  <c r="F360" i="489"/>
  <c r="G567" i="489"/>
  <c r="F371" i="489"/>
  <c r="G519" i="489"/>
  <c r="G526" i="489" s="1"/>
  <c r="G796" i="489"/>
  <c r="F796" i="489"/>
  <c r="G702" i="489"/>
  <c r="G896" i="489"/>
  <c r="F896" i="489"/>
  <c r="G689" i="489"/>
  <c r="G661" i="489"/>
  <c r="G672" i="489" s="1"/>
  <c r="G361" i="489"/>
  <c r="G356" i="489"/>
  <c r="F384" i="489"/>
  <c r="G357" i="489"/>
  <c r="G383" i="489"/>
  <c r="G380" i="489"/>
  <c r="G349" i="489"/>
  <c r="C408" i="489"/>
  <c r="H14" i="278"/>
  <c r="G1" i="277"/>
  <c r="C650" i="489"/>
  <c r="EY1265" i="489"/>
  <c r="EY1267" i="489" s="1"/>
  <c r="EY1011" i="489"/>
  <c r="C343" i="489"/>
  <c r="C446" i="489"/>
  <c r="F407" i="489"/>
  <c r="M13" i="310"/>
  <c r="E1004" i="489"/>
  <c r="L11" i="310"/>
  <c r="H11" i="310"/>
  <c r="C885" i="489"/>
  <c r="G379" i="489"/>
  <c r="C809" i="489"/>
  <c r="C815" i="489" s="1"/>
  <c r="F685" i="489"/>
  <c r="G579" i="489"/>
  <c r="F580" i="489"/>
  <c r="C513" i="489"/>
  <c r="F343" i="489"/>
  <c r="G374" i="489"/>
  <c r="G402" i="489"/>
  <c r="G406" i="489"/>
  <c r="F526" i="489"/>
  <c r="C567" i="489"/>
  <c r="C973" i="489"/>
  <c r="C655" i="489"/>
  <c r="F17" i="310"/>
  <c r="F672" i="489"/>
  <c r="F24" i="310"/>
  <c r="F25" i="310" s="1"/>
  <c r="N16" i="310"/>
  <c r="D35" i="310"/>
  <c r="O14" i="310"/>
  <c r="K17" i="310"/>
  <c r="I18" i="310" s="1"/>
  <c r="F29" i="310"/>
  <c r="O15" i="310" l="1"/>
  <c r="M10" i="310"/>
  <c r="O10" i="310" s="1"/>
  <c r="O13" i="310"/>
  <c r="I319" i="489"/>
  <c r="I320" i="489" s="1"/>
  <c r="I321" i="489" s="1"/>
  <c r="I322" i="489" s="1"/>
  <c r="G764" i="489"/>
  <c r="O16" i="310"/>
  <c r="N9" i="310"/>
  <c r="M9" i="310"/>
  <c r="G726" i="489"/>
  <c r="G897" i="489"/>
  <c r="F897" i="489"/>
  <c r="G371" i="489"/>
  <c r="C495" i="489"/>
  <c r="C496" i="489" s="1"/>
  <c r="G797" i="489"/>
  <c r="F797" i="489"/>
  <c r="G360" i="489"/>
  <c r="G367" i="489" s="1"/>
  <c r="C354" i="489"/>
  <c r="C491" i="489"/>
  <c r="H14" i="280"/>
  <c r="G1" i="278"/>
  <c r="E1011" i="489"/>
  <c r="E1265" i="489"/>
  <c r="E1267" i="489" s="1"/>
  <c r="F410" i="489"/>
  <c r="G407" i="489"/>
  <c r="F567" i="489"/>
  <c r="C968" i="489"/>
  <c r="C974" i="489" s="1"/>
  <c r="N11" i="310"/>
  <c r="M11" i="310"/>
  <c r="F726" i="489"/>
  <c r="G580" i="489"/>
  <c r="F581" i="489"/>
  <c r="G384" i="489"/>
  <c r="G343" i="489"/>
  <c r="G354" i="489" s="1"/>
  <c r="C656" i="489"/>
  <c r="H7" i="310"/>
  <c r="L7" i="310"/>
  <c r="L17" i="310" s="1"/>
  <c r="E12" i="310"/>
  <c r="C17" i="310"/>
  <c r="G22" i="310"/>
  <c r="G23" i="310"/>
  <c r="F34" i="310"/>
  <c r="F30" i="310"/>
  <c r="O9" i="310" l="1"/>
  <c r="G798" i="489"/>
  <c r="F798" i="489"/>
  <c r="G898" i="489"/>
  <c r="F898" i="489"/>
  <c r="C497" i="489"/>
  <c r="G1" i="280"/>
  <c r="H14" i="340"/>
  <c r="O11" i="310"/>
  <c r="F411" i="489"/>
  <c r="G410" i="489"/>
  <c r="G581" i="489"/>
  <c r="F582" i="489"/>
  <c r="F513" i="489"/>
  <c r="N7" i="310"/>
  <c r="H17" i="310"/>
  <c r="F18" i="310" s="1"/>
  <c r="M7" i="310"/>
  <c r="G24" i="310"/>
  <c r="E17" i="310"/>
  <c r="C18" i="310" s="1"/>
  <c r="M12" i="310"/>
  <c r="N12" i="310"/>
  <c r="F35" i="310"/>
  <c r="G27" i="310"/>
  <c r="G28" i="310"/>
  <c r="G899" i="489" l="1"/>
  <c r="F899" i="489"/>
  <c r="G799" i="489"/>
  <c r="F799" i="489"/>
  <c r="H14" i="493"/>
  <c r="G1" i="340"/>
  <c r="F412" i="489"/>
  <c r="G582" i="489"/>
  <c r="F583" i="489"/>
  <c r="G411" i="489"/>
  <c r="N17" i="310"/>
  <c r="O7" i="310"/>
  <c r="O12" i="310"/>
  <c r="M17" i="310"/>
  <c r="M18" i="310" s="1"/>
  <c r="G29" i="310"/>
  <c r="G32" i="310"/>
  <c r="G33" i="310"/>
  <c r="G800" i="489" l="1"/>
  <c r="F800" i="489"/>
  <c r="G900" i="489"/>
  <c r="F900" i="489"/>
  <c r="H14" i="279"/>
  <c r="G1" i="493"/>
  <c r="F413" i="489"/>
  <c r="G412" i="489"/>
  <c r="G583" i="489"/>
  <c r="F584" i="489"/>
  <c r="O17" i="310"/>
  <c r="G34" i="310"/>
  <c r="G901" i="489" l="1"/>
  <c r="F901" i="489"/>
  <c r="G801" i="489"/>
  <c r="F801" i="489"/>
  <c r="H14" i="276"/>
  <c r="G1" i="279"/>
  <c r="F414" i="489"/>
  <c r="G584" i="489"/>
  <c r="F585" i="489"/>
  <c r="G413" i="489"/>
  <c r="G802" i="489" l="1"/>
  <c r="F802" i="489"/>
  <c r="G902" i="489"/>
  <c r="F902" i="489"/>
  <c r="H14" i="281"/>
  <c r="G1" i="276"/>
  <c r="F415" i="489"/>
  <c r="G414" i="489"/>
  <c r="F586" i="489"/>
  <c r="G585" i="489"/>
  <c r="E354" i="489"/>
  <c r="G903" i="489" l="1"/>
  <c r="F903" i="489"/>
  <c r="G803" i="489"/>
  <c r="F803" i="489"/>
  <c r="H14" i="282"/>
  <c r="G1" i="281"/>
  <c r="F416" i="489"/>
  <c r="G586" i="489"/>
  <c r="F587" i="489"/>
  <c r="G415" i="489"/>
  <c r="F831" i="489"/>
  <c r="F354" i="489"/>
  <c r="G904" i="489" l="1"/>
  <c r="F904" i="489"/>
  <c r="G804" i="489"/>
  <c r="F804" i="489"/>
  <c r="H14" i="283"/>
  <c r="G1" i="282"/>
  <c r="F417" i="489"/>
  <c r="F588" i="489"/>
  <c r="G587" i="489"/>
  <c r="G416" i="489"/>
  <c r="G905" i="489" l="1"/>
  <c r="F905" i="489"/>
  <c r="G805" i="489"/>
  <c r="F805" i="489"/>
  <c r="H14" i="284"/>
  <c r="G1" i="283"/>
  <c r="F418" i="489"/>
  <c r="G417" i="489"/>
  <c r="G588" i="489"/>
  <c r="F589" i="489"/>
  <c r="G906" i="489" l="1"/>
  <c r="F906" i="489"/>
  <c r="G806" i="489"/>
  <c r="F806" i="489"/>
  <c r="H14" i="312"/>
  <c r="G1" i="284"/>
  <c r="F419" i="489"/>
  <c r="G589" i="489"/>
  <c r="F590" i="489"/>
  <c r="G418" i="489"/>
  <c r="G907" i="489" l="1"/>
  <c r="F907" i="489"/>
  <c r="G807" i="489"/>
  <c r="F807" i="489"/>
  <c r="H14" i="285"/>
  <c r="G1" i="312"/>
  <c r="F420" i="489"/>
  <c r="F808" i="489"/>
  <c r="G590" i="489"/>
  <c r="F591" i="489"/>
  <c r="G419" i="489"/>
  <c r="G908" i="489" l="1"/>
  <c r="F908" i="489"/>
  <c r="H14" i="311"/>
  <c r="G1" i="285"/>
  <c r="F421" i="489"/>
  <c r="G591" i="489"/>
  <c r="F592" i="489"/>
  <c r="F811" i="489"/>
  <c r="G420" i="489"/>
  <c r="G909" i="489" l="1"/>
  <c r="F909" i="489"/>
  <c r="G808" i="489"/>
  <c r="G809" i="489" s="1"/>
  <c r="H14" i="287"/>
  <c r="G1" i="311"/>
  <c r="F422" i="489"/>
  <c r="F593" i="489"/>
  <c r="G592" i="489"/>
  <c r="G811" i="489"/>
  <c r="G421" i="489"/>
  <c r="G813" i="489" l="1"/>
  <c r="F813" i="489"/>
  <c r="G910" i="489"/>
  <c r="F910" i="489"/>
  <c r="G812" i="489"/>
  <c r="F812" i="489"/>
  <c r="H14" i="286"/>
  <c r="G1" i="287"/>
  <c r="F423" i="489"/>
  <c r="F594" i="489"/>
  <c r="G422" i="489"/>
  <c r="G814" i="489" l="1"/>
  <c r="G815" i="489" s="1"/>
  <c r="G593" i="489"/>
  <c r="G911" i="489"/>
  <c r="F911" i="489"/>
  <c r="H14" i="288"/>
  <c r="G1" i="286"/>
  <c r="F424" i="489"/>
  <c r="G594" i="489"/>
  <c r="F595" i="489"/>
  <c r="G423" i="489"/>
  <c r="G912" i="489" l="1"/>
  <c r="F912" i="489"/>
  <c r="H14" i="307"/>
  <c r="G1" i="288"/>
  <c r="F425" i="489"/>
  <c r="G595" i="489"/>
  <c r="F596" i="489"/>
  <c r="G424" i="489"/>
  <c r="G913" i="489" l="1"/>
  <c r="F913" i="489"/>
  <c r="H14" i="308"/>
  <c r="G1" i="307"/>
  <c r="F426" i="489"/>
  <c r="G596" i="489"/>
  <c r="F597" i="489"/>
  <c r="G425" i="489"/>
  <c r="E844" i="489"/>
  <c r="E367" i="489"/>
  <c r="G914" i="489" l="1"/>
  <c r="F914" i="489"/>
  <c r="H14" i="313"/>
  <c r="G1" i="308"/>
  <c r="F427" i="489"/>
  <c r="G597" i="489"/>
  <c r="F598" i="489"/>
  <c r="G426" i="489"/>
  <c r="F844" i="489"/>
  <c r="F367" i="489"/>
  <c r="G915" i="489" l="1"/>
  <c r="F915" i="489"/>
  <c r="H14" i="314"/>
  <c r="G1" i="313"/>
  <c r="F428" i="489"/>
  <c r="G598" i="489"/>
  <c r="F599" i="489"/>
  <c r="G427" i="489"/>
  <c r="G916" i="489" l="1"/>
  <c r="F916" i="489"/>
  <c r="H14" i="315"/>
  <c r="G1" i="314"/>
  <c r="F429" i="489"/>
  <c r="G599" i="489"/>
  <c r="F600" i="489"/>
  <c r="G428" i="489"/>
  <c r="G917" i="489" l="1"/>
  <c r="F917" i="489"/>
  <c r="H14" i="316"/>
  <c r="G1" i="315"/>
  <c r="F430" i="489"/>
  <c r="G600" i="489"/>
  <c r="F601" i="489"/>
  <c r="G429" i="489"/>
  <c r="G918" i="489" l="1"/>
  <c r="F918" i="489"/>
  <c r="H14" i="393"/>
  <c r="G1" i="316"/>
  <c r="F431" i="489"/>
  <c r="G601" i="489"/>
  <c r="F602" i="489"/>
  <c r="G430" i="489"/>
  <c r="G919" i="489" l="1"/>
  <c r="F919" i="489"/>
  <c r="H14" i="317"/>
  <c r="G1" i="393"/>
  <c r="F432" i="489"/>
  <c r="G602" i="489"/>
  <c r="F603" i="489"/>
  <c r="G431" i="489"/>
  <c r="G920" i="489" l="1"/>
  <c r="F920" i="489"/>
  <c r="H14" i="318"/>
  <c r="G1" i="317"/>
  <c r="F433" i="489"/>
  <c r="G603" i="489"/>
  <c r="F604" i="489"/>
  <c r="G432" i="489"/>
  <c r="G921" i="489" l="1"/>
  <c r="F921" i="489"/>
  <c r="H14" i="441"/>
  <c r="G1" i="318"/>
  <c r="F434" i="489"/>
  <c r="G604" i="489"/>
  <c r="F605" i="489"/>
  <c r="G433" i="489"/>
  <c r="G922" i="489" l="1"/>
  <c r="F922" i="489"/>
  <c r="H14" i="442"/>
  <c r="G1" i="441"/>
  <c r="F435" i="489"/>
  <c r="G605" i="489"/>
  <c r="F606" i="489"/>
  <c r="G434" i="489"/>
  <c r="G923" i="489" l="1"/>
  <c r="F923" i="489"/>
  <c r="H14" i="443"/>
  <c r="G1" i="442"/>
  <c r="F436" i="489"/>
  <c r="F607" i="489"/>
  <c r="G606" i="489"/>
  <c r="G435" i="489"/>
  <c r="G924" i="489" l="1"/>
  <c r="F924" i="489"/>
  <c r="H14" i="306"/>
  <c r="G1" i="443"/>
  <c r="F437" i="489"/>
  <c r="G607" i="489"/>
  <c r="F608" i="489"/>
  <c r="G436" i="489"/>
  <c r="G925" i="489" l="1"/>
  <c r="F925" i="489"/>
  <c r="G408" i="489"/>
  <c r="H14" i="437"/>
  <c r="G1" i="306"/>
  <c r="F438" i="489"/>
  <c r="F609" i="489"/>
  <c r="G608" i="489"/>
  <c r="G437" i="489"/>
  <c r="G926" i="489" l="1"/>
  <c r="F926" i="489"/>
  <c r="H14" i="290"/>
  <c r="G1" i="437"/>
  <c r="F439" i="489"/>
  <c r="G609" i="489"/>
  <c r="F610" i="489"/>
  <c r="G438" i="489"/>
  <c r="G927" i="489" l="1"/>
  <c r="F927" i="489"/>
  <c r="H14" i="292"/>
  <c r="G1" i="290"/>
  <c r="F440" i="489"/>
  <c r="F611" i="489"/>
  <c r="G610" i="489"/>
  <c r="G439" i="489"/>
  <c r="G928" i="489" l="1"/>
  <c r="F928" i="489"/>
  <c r="H14" i="291"/>
  <c r="G1" i="292"/>
  <c r="F441" i="489"/>
  <c r="G611" i="489"/>
  <c r="F612" i="489"/>
  <c r="G440" i="489"/>
  <c r="G929" i="489" l="1"/>
  <c r="F929" i="489"/>
  <c r="H14" i="293"/>
  <c r="G1" i="291"/>
  <c r="F442" i="489"/>
  <c r="G612" i="489"/>
  <c r="F613" i="489"/>
  <c r="G441" i="489"/>
  <c r="G930" i="489" l="1"/>
  <c r="F930" i="489"/>
  <c r="H14" i="294"/>
  <c r="G1" i="293"/>
  <c r="F443" i="489"/>
  <c r="G613" i="489"/>
  <c r="F614" i="489"/>
  <c r="G442" i="489"/>
  <c r="G931" i="489" l="1"/>
  <c r="F931" i="489"/>
  <c r="H14" i="295"/>
  <c r="G1" i="294"/>
  <c r="F444" i="489"/>
  <c r="G614" i="489"/>
  <c r="F615" i="489"/>
  <c r="G443" i="489"/>
  <c r="G932" i="489" l="1"/>
  <c r="F932" i="489"/>
  <c r="H14" i="296"/>
  <c r="G1" i="295"/>
  <c r="F445" i="489"/>
  <c r="G615" i="489"/>
  <c r="F616" i="489"/>
  <c r="G444" i="489"/>
  <c r="G933" i="489" l="1"/>
  <c r="F933" i="489"/>
  <c r="H14" i="429"/>
  <c r="G1" i="296"/>
  <c r="F446" i="489"/>
  <c r="F617" i="489"/>
  <c r="G616" i="489"/>
  <c r="G445" i="489"/>
  <c r="G934" i="489" l="1"/>
  <c r="F934" i="489"/>
  <c r="H14" i="297"/>
  <c r="G1" i="429"/>
  <c r="F447" i="489"/>
  <c r="G617" i="489"/>
  <c r="F618" i="489"/>
  <c r="G446" i="489"/>
  <c r="G935" i="489" l="1"/>
  <c r="F935" i="489"/>
  <c r="H14" i="120"/>
  <c r="G1" i="297"/>
  <c r="F448" i="489"/>
  <c r="F619" i="489"/>
  <c r="G618" i="489"/>
  <c r="G447" i="489"/>
  <c r="G936" i="489" l="1"/>
  <c r="F936" i="489"/>
  <c r="H14" i="396"/>
  <c r="G1" i="120"/>
  <c r="F449" i="489"/>
  <c r="G619" i="489"/>
  <c r="F620" i="489"/>
  <c r="G448" i="489"/>
  <c r="G937" i="489" l="1"/>
  <c r="F937" i="489"/>
  <c r="H14" i="165"/>
  <c r="G1" i="396"/>
  <c r="F450" i="489"/>
  <c r="F621" i="489"/>
  <c r="G620" i="489"/>
  <c r="G449" i="489"/>
  <c r="G938" i="489" l="1"/>
  <c r="F938" i="489"/>
  <c r="H14" i="298"/>
  <c r="G1" i="165"/>
  <c r="F451" i="489"/>
  <c r="G621" i="489"/>
  <c r="F622" i="489"/>
  <c r="G450" i="489"/>
  <c r="G939" i="489" l="1"/>
  <c r="F939" i="489"/>
  <c r="H14" i="446"/>
  <c r="G1" i="298"/>
  <c r="F452" i="489"/>
  <c r="G622" i="489"/>
  <c r="F623" i="489"/>
  <c r="G451" i="489"/>
  <c r="G940" i="489" l="1"/>
  <c r="F940" i="489"/>
  <c r="H14" i="397"/>
  <c r="G1" i="446"/>
  <c r="F453" i="489"/>
  <c r="G623" i="489"/>
  <c r="F624" i="489"/>
  <c r="G452" i="489"/>
  <c r="G941" i="489" l="1"/>
  <c r="F941" i="489"/>
  <c r="H14" i="398"/>
  <c r="G1" i="397"/>
  <c r="F454" i="489"/>
  <c r="F625" i="489"/>
  <c r="G624" i="489"/>
  <c r="G453" i="489"/>
  <c r="G942" i="489" l="1"/>
  <c r="F942" i="489"/>
  <c r="H14" i="399"/>
  <c r="G1" i="398"/>
  <c r="F455" i="489"/>
  <c r="G625" i="489"/>
  <c r="F626" i="489"/>
  <c r="G454" i="489"/>
  <c r="G943" i="489" l="1"/>
  <c r="F943" i="489"/>
  <c r="H14" i="400"/>
  <c r="G1" i="399"/>
  <c r="F456" i="489"/>
  <c r="F627" i="489"/>
  <c r="G626" i="489"/>
  <c r="G455" i="489"/>
  <c r="G944" i="489" l="1"/>
  <c r="F944" i="489"/>
  <c r="H14" i="434"/>
  <c r="G1" i="400"/>
  <c r="F457" i="489"/>
  <c r="F628" i="489"/>
  <c r="G627" i="489"/>
  <c r="G456" i="489"/>
  <c r="G945" i="489" l="1"/>
  <c r="F945" i="489"/>
  <c r="H14" i="435"/>
  <c r="G1" i="434"/>
  <c r="F458" i="489"/>
  <c r="G628" i="489"/>
  <c r="F629" i="489"/>
  <c r="G457" i="489"/>
  <c r="G946" i="489" l="1"/>
  <c r="F946" i="489"/>
  <c r="H14" i="166"/>
  <c r="G1" i="435"/>
  <c r="F459" i="489"/>
  <c r="G629" i="489"/>
  <c r="F630" i="489"/>
  <c r="G458" i="489"/>
  <c r="G947" i="489" l="1"/>
  <c r="F947" i="489"/>
  <c r="H14" i="401"/>
  <c r="G1" i="166"/>
  <c r="F460" i="489"/>
  <c r="F631" i="489"/>
  <c r="G630" i="489"/>
  <c r="G459" i="489"/>
  <c r="G948" i="489" l="1"/>
  <c r="F948" i="489"/>
  <c r="H14" i="402"/>
  <c r="G1" i="401"/>
  <c r="F461" i="489"/>
  <c r="G631" i="489"/>
  <c r="F632" i="489"/>
  <c r="G460" i="489"/>
  <c r="G949" i="489" l="1"/>
  <c r="F949" i="489"/>
  <c r="H14" i="403"/>
  <c r="G1" i="402"/>
  <c r="F462" i="489"/>
  <c r="G632" i="489"/>
  <c r="F633" i="489"/>
  <c r="G461" i="489"/>
  <c r="G950" i="489" l="1"/>
  <c r="F950" i="489"/>
  <c r="H14" i="404"/>
  <c r="G1" i="403"/>
  <c r="F463" i="489"/>
  <c r="G633" i="489"/>
  <c r="F634" i="489"/>
  <c r="G462" i="489"/>
  <c r="G951" i="489" l="1"/>
  <c r="F951" i="489"/>
  <c r="H14" i="405"/>
  <c r="G1" i="404"/>
  <c r="F464" i="489"/>
  <c r="F635" i="489"/>
  <c r="G634" i="489"/>
  <c r="G463" i="489"/>
  <c r="G952" i="489" l="1"/>
  <c r="F952" i="489"/>
  <c r="H14" i="427"/>
  <c r="G1" i="405"/>
  <c r="F465" i="489"/>
  <c r="G635" i="489"/>
  <c r="F636" i="489"/>
  <c r="G464" i="489"/>
  <c r="E885" i="489"/>
  <c r="E408" i="489"/>
  <c r="G953" i="489" l="1"/>
  <c r="F953" i="489"/>
  <c r="H14" i="406"/>
  <c r="G1" i="427"/>
  <c r="F466" i="489"/>
  <c r="G636" i="489"/>
  <c r="F637" i="489"/>
  <c r="G465" i="489"/>
  <c r="F885" i="489"/>
  <c r="F408" i="489"/>
  <c r="G954" i="489" l="1"/>
  <c r="F954" i="489"/>
  <c r="H14" i="167"/>
  <c r="G1" i="406"/>
  <c r="F467" i="489"/>
  <c r="G637" i="489"/>
  <c r="F638" i="489"/>
  <c r="G466" i="489"/>
  <c r="G955" i="489" l="1"/>
  <c r="F955" i="489"/>
  <c r="H14" i="407"/>
  <c r="G1" i="167"/>
  <c r="F468" i="489"/>
  <c r="G638" i="489"/>
  <c r="F639" i="489"/>
  <c r="G467" i="489"/>
  <c r="G956" i="489" l="1"/>
  <c r="F956" i="489"/>
  <c r="H14" i="408"/>
  <c r="G1" i="407"/>
  <c r="F469" i="489"/>
  <c r="F640" i="489"/>
  <c r="G639" i="489"/>
  <c r="G468" i="489"/>
  <c r="G957" i="489" l="1"/>
  <c r="F957" i="489"/>
  <c r="G1" i="408"/>
  <c r="H14" i="409"/>
  <c r="F470" i="489"/>
  <c r="G640" i="489"/>
  <c r="F641" i="489"/>
  <c r="G469" i="489"/>
  <c r="G958" i="489" l="1"/>
  <c r="F958" i="489"/>
  <c r="H14" i="410"/>
  <c r="G1" i="409"/>
  <c r="F471" i="489"/>
  <c r="G641" i="489"/>
  <c r="F642" i="489"/>
  <c r="G470" i="489"/>
  <c r="G959" i="489" l="1"/>
  <c r="F959" i="489"/>
  <c r="H14" i="428"/>
  <c r="G1" i="410"/>
  <c r="F472" i="489"/>
  <c r="G642" i="489"/>
  <c r="F643" i="489"/>
  <c r="G471" i="489"/>
  <c r="G960" i="489" l="1"/>
  <c r="F960" i="489"/>
  <c r="H14" i="168"/>
  <c r="G1" i="428"/>
  <c r="F473" i="489"/>
  <c r="G643" i="489"/>
  <c r="F644" i="489"/>
  <c r="G472" i="489"/>
  <c r="G961" i="489" l="1"/>
  <c r="F961" i="489"/>
  <c r="H14" i="411"/>
  <c r="G1" i="168"/>
  <c r="F474" i="489"/>
  <c r="G644" i="489"/>
  <c r="F645" i="489"/>
  <c r="G473" i="489"/>
  <c r="G962" i="489" l="1"/>
  <c r="F962" i="489"/>
  <c r="H14" i="412"/>
  <c r="G1" i="411"/>
  <c r="F475" i="489"/>
  <c r="G645" i="489"/>
  <c r="F646" i="489"/>
  <c r="G474" i="489"/>
  <c r="G963" i="489" l="1"/>
  <c r="F963" i="489"/>
  <c r="H14" i="169"/>
  <c r="G1" i="412"/>
  <c r="F476" i="489"/>
  <c r="G646" i="489"/>
  <c r="F647" i="489"/>
  <c r="G475" i="489"/>
  <c r="G964" i="489" l="1"/>
  <c r="F964" i="489"/>
  <c r="H14" i="103"/>
  <c r="G1" i="169"/>
  <c r="F477" i="489"/>
  <c r="G647" i="489"/>
  <c r="F648" i="489"/>
  <c r="G476" i="489"/>
  <c r="G965" i="489" l="1"/>
  <c r="F965" i="489"/>
  <c r="H14" i="102"/>
  <c r="G1" i="103"/>
  <c r="F478" i="489"/>
  <c r="F649" i="489"/>
  <c r="G648" i="489"/>
  <c r="G477" i="489"/>
  <c r="G966" i="489" l="1"/>
  <c r="F966" i="489"/>
  <c r="H14" i="413"/>
  <c r="G1" i="102"/>
  <c r="F479" i="489"/>
  <c r="G649" i="489"/>
  <c r="G650" i="489" s="1"/>
  <c r="F652" i="489"/>
  <c r="G478" i="489"/>
  <c r="F967" i="489" l="1"/>
  <c r="H14" i="414"/>
  <c r="G1" i="413"/>
  <c r="F480" i="489"/>
  <c r="G652" i="489"/>
  <c r="F653" i="489"/>
  <c r="G479" i="489"/>
  <c r="G967" i="489" l="1"/>
  <c r="G968" i="489" s="1"/>
  <c r="F970" i="489"/>
  <c r="H14" i="416"/>
  <c r="G1" i="414"/>
  <c r="F481" i="489"/>
  <c r="G653" i="489"/>
  <c r="F654" i="489"/>
  <c r="G970" i="489"/>
  <c r="G480" i="489"/>
  <c r="G972" i="489" l="1"/>
  <c r="F972" i="489"/>
  <c r="G971" i="489"/>
  <c r="F971" i="489"/>
  <c r="H14" i="415"/>
  <c r="G1" i="416"/>
  <c r="F482" i="489"/>
  <c r="G654" i="489"/>
  <c r="G655" i="489" s="1"/>
  <c r="G656" i="489" s="1"/>
  <c r="G481" i="489"/>
  <c r="G973" i="489" l="1"/>
  <c r="G974" i="489" s="1"/>
  <c r="H14" i="92"/>
  <c r="G1" i="415"/>
  <c r="F483" i="489"/>
  <c r="G482" i="489"/>
  <c r="H14" i="300" l="1"/>
  <c r="G1" i="92"/>
  <c r="F484" i="489"/>
  <c r="G483" i="489"/>
  <c r="H14" i="301" l="1"/>
  <c r="G1" i="300"/>
  <c r="F485" i="489"/>
  <c r="G484" i="489"/>
  <c r="H14" i="417" l="1"/>
  <c r="G1" i="301"/>
  <c r="F486" i="489"/>
  <c r="G485" i="489"/>
  <c r="H14" i="418" l="1"/>
  <c r="G1" i="417"/>
  <c r="F487" i="489"/>
  <c r="G486" i="489"/>
  <c r="H14" i="419" l="1"/>
  <c r="G1" i="418"/>
  <c r="F488" i="489"/>
  <c r="G487" i="489"/>
  <c r="H14" i="420" l="1"/>
  <c r="G1" i="419"/>
  <c r="F489" i="489"/>
  <c r="G488" i="489"/>
  <c r="H14" i="421" l="1"/>
  <c r="G1" i="420"/>
  <c r="F490" i="489"/>
  <c r="G489" i="489"/>
  <c r="H14" i="422" l="1"/>
  <c r="G1" i="421"/>
  <c r="F809" i="489"/>
  <c r="F493" i="489"/>
  <c r="G490" i="489"/>
  <c r="G491" i="489" s="1"/>
  <c r="F650" i="489"/>
  <c r="H14" i="322" l="1"/>
  <c r="G1" i="422"/>
  <c r="F494" i="489"/>
  <c r="G493" i="489"/>
  <c r="H14" i="323" l="1"/>
  <c r="G1" i="322"/>
  <c r="F814" i="489"/>
  <c r="F815" i="489" s="1"/>
  <c r="E814" i="489"/>
  <c r="E815" i="489" s="1"/>
  <c r="F495" i="489"/>
  <c r="F655" i="489"/>
  <c r="F656" i="489" s="1"/>
  <c r="G494" i="489"/>
  <c r="H14" i="324" l="1"/>
  <c r="G1" i="323"/>
  <c r="G495" i="489"/>
  <c r="G496" i="489" s="1"/>
  <c r="G497" i="489" s="1"/>
  <c r="H14" i="325" l="1"/>
  <c r="G1" i="324"/>
  <c r="F32" i="213"/>
  <c r="F36" i="213" s="1"/>
  <c r="I202" i="147" s="1"/>
  <c r="I572" i="147" l="1"/>
  <c r="I741" i="147" s="1"/>
  <c r="I371" i="147"/>
  <c r="H14" i="423"/>
  <c r="G1" i="325"/>
  <c r="H14" i="424" l="1"/>
  <c r="G1" i="423"/>
  <c r="E968" i="489"/>
  <c r="H14" i="425" l="1"/>
  <c r="G1" i="424"/>
  <c r="F968" i="489"/>
  <c r="F491" i="489"/>
  <c r="H14" i="426" l="1"/>
  <c r="G1" i="425"/>
  <c r="H14" i="171" l="1"/>
  <c r="G1" i="426"/>
  <c r="F973" i="489"/>
  <c r="F974" i="489" s="1"/>
  <c r="H14" i="172" l="1"/>
  <c r="G1" i="171"/>
  <c r="F496" i="489"/>
  <c r="F497" i="489" s="1"/>
  <c r="H14" i="173" l="1"/>
  <c r="G1" i="172"/>
  <c r="B7" i="93"/>
  <c r="A5" i="93"/>
  <c r="H14" i="97" l="1"/>
  <c r="G1" i="173"/>
  <c r="H14" i="174" l="1"/>
  <c r="G1" i="97"/>
  <c r="H14" i="175" l="1"/>
  <c r="G1" i="174"/>
  <c r="H14" i="176" l="1"/>
  <c r="G1" i="175"/>
  <c r="H14" i="326" l="1"/>
  <c r="G1" i="176"/>
  <c r="H14" i="177" l="1"/>
  <c r="G1" i="326"/>
  <c r="H14" i="179" l="1"/>
  <c r="G1" i="177"/>
  <c r="H14" i="180" l="1"/>
  <c r="G1" i="179"/>
  <c r="H14" i="181" l="1"/>
  <c r="G1" i="180"/>
  <c r="H14" i="370" l="1"/>
  <c r="G1" i="181"/>
  <c r="H14" i="129" l="1"/>
  <c r="G1" i="370"/>
  <c r="H14" i="371" l="1"/>
  <c r="G1" i="129"/>
  <c r="H14" i="182" l="1"/>
  <c r="G1" i="371"/>
  <c r="H14" i="372" l="1"/>
  <c r="G1" i="182"/>
  <c r="H14" i="183" l="1"/>
  <c r="G1" i="372"/>
  <c r="H14" i="373" l="1"/>
  <c r="G1" i="183"/>
  <c r="H14" i="184" l="1"/>
  <c r="G1" i="373"/>
  <c r="H14" i="185" l="1"/>
  <c r="G1" i="184"/>
  <c r="G1" i="185" l="1"/>
  <c r="H14" i="186"/>
  <c r="H14" i="445" l="1"/>
  <c r="G1" i="186"/>
  <c r="H14" i="123" l="1"/>
  <c r="G1" i="445"/>
  <c r="H14" i="187" l="1"/>
  <c r="G1" i="123"/>
  <c r="H14" i="395" l="1"/>
  <c r="G1" i="187"/>
  <c r="H14" i="142" l="1"/>
  <c r="G1" i="395"/>
  <c r="H14" i="159" l="1"/>
  <c r="G1" i="142"/>
  <c r="H14" i="320" l="1"/>
  <c r="G1" i="159"/>
  <c r="H14" i="321" l="1"/>
  <c r="G1" i="320"/>
  <c r="H14" i="319" l="1"/>
  <c r="G1" i="321"/>
  <c r="H14" i="339" l="1"/>
  <c r="G1" i="319"/>
  <c r="H14" i="1" l="1"/>
  <c r="G1" i="339"/>
  <c r="H14" i="430" l="1"/>
  <c r="G1" i="1"/>
  <c r="H14" i="431" l="1"/>
  <c r="G1" i="430"/>
  <c r="H14" i="432" l="1"/>
  <c r="G1" i="431"/>
  <c r="H14" i="433" l="1"/>
  <c r="G1" i="432"/>
  <c r="H14" i="334" l="1"/>
  <c r="G1" i="433"/>
  <c r="H14" i="335" l="1"/>
  <c r="G1" i="334"/>
  <c r="H14" i="342" l="1"/>
  <c r="G1" i="335"/>
  <c r="H14" i="341" l="1"/>
  <c r="G1" i="342"/>
  <c r="H14" i="495" l="1"/>
  <c r="G1" i="341"/>
  <c r="H14" i="134" l="1"/>
  <c r="H14" i="480" s="1"/>
  <c r="G1" i="495"/>
  <c r="H14" i="327" l="1"/>
  <c r="G1" i="480"/>
  <c r="G1" i="134"/>
  <c r="H14" i="133" l="1"/>
  <c r="G1" i="327"/>
  <c r="H14" i="188" l="1"/>
  <c r="G1" i="133"/>
  <c r="H14" i="189" l="1"/>
  <c r="G1" i="188"/>
  <c r="H14" i="190" l="1"/>
  <c r="G1" i="189"/>
  <c r="H14" i="191" l="1"/>
  <c r="G1" i="190"/>
  <c r="H14" i="490" l="1"/>
  <c r="G1" i="191"/>
  <c r="H14" i="192" l="1"/>
  <c r="G1" i="490"/>
  <c r="H14" i="336" l="1"/>
  <c r="H14" i="472" s="1"/>
  <c r="H14" i="337" s="1"/>
  <c r="G1" i="192"/>
  <c r="G1" i="472" l="1"/>
  <c r="G1" i="336"/>
  <c r="H14" i="492" l="1"/>
  <c r="G1" i="337"/>
  <c r="H14" i="193" l="1"/>
  <c r="G1" i="492"/>
  <c r="H14" i="194" l="1"/>
  <c r="G1" i="193"/>
  <c r="H14" i="378" l="1"/>
  <c r="G1" i="194"/>
  <c r="H14" i="387" l="1"/>
  <c r="G1" i="378"/>
  <c r="H14" i="388" l="1"/>
  <c r="G1" i="387"/>
  <c r="H14" i="122" l="1"/>
  <c r="G1" i="388"/>
  <c r="H14" i="234" l="1"/>
  <c r="G1" i="122"/>
  <c r="H14" i="121" l="1"/>
  <c r="G1" i="234"/>
  <c r="H14" i="135" l="1"/>
  <c r="G1" i="121"/>
  <c r="H14" i="196" l="1"/>
  <c r="G1" i="135"/>
  <c r="H14" i="235" l="1"/>
  <c r="G1" i="196"/>
  <c r="H14" i="197" l="1"/>
  <c r="G1" i="235"/>
  <c r="H14" i="232" l="1"/>
  <c r="G1" i="197"/>
  <c r="H14" i="349" l="1"/>
  <c r="G1" i="232"/>
  <c r="H15" i="350" l="1"/>
  <c r="H14" i="376" s="1"/>
  <c r="G1" i="349"/>
  <c r="H14" i="352" l="1"/>
  <c r="G1" i="376"/>
  <c r="H14" i="353" l="1"/>
  <c r="G1" i="352"/>
  <c r="H14" i="354" l="1"/>
  <c r="G1" i="353"/>
  <c r="H14" i="374" l="1"/>
  <c r="G1" i="354"/>
  <c r="H14" i="198" l="1"/>
  <c r="G1" i="374"/>
  <c r="H14" i="200" l="1"/>
  <c r="G1" i="198"/>
  <c r="H14" i="228" l="1"/>
  <c r="G1" i="200"/>
  <c r="H14" i="201" l="1"/>
  <c r="G1" i="228"/>
  <c r="H14" i="202" l="1"/>
  <c r="G1" i="201"/>
  <c r="H14" i="377" l="1"/>
  <c r="G1" i="202"/>
  <c r="H14" i="138" l="1"/>
  <c r="G1" i="377"/>
  <c r="H15" i="375" l="1"/>
  <c r="H14" i="299" s="1"/>
  <c r="G1" i="138"/>
  <c r="H14" i="355" l="1"/>
  <c r="G1" i="299"/>
  <c r="H14" i="386" l="1"/>
  <c r="G1" i="355"/>
  <c r="H14" i="204" l="1"/>
  <c r="H14" i="439" s="1"/>
  <c r="H14" i="479" s="1"/>
  <c r="H14" i="89" s="1"/>
  <c r="H14" i="205" s="1"/>
  <c r="G1" i="386"/>
  <c r="G1" i="439" l="1"/>
  <c r="G1" i="479"/>
  <c r="G1" i="204"/>
  <c r="G1" i="89" l="1"/>
  <c r="H14" i="309" l="1"/>
  <c r="H14" i="506" s="1"/>
  <c r="H14" i="207" s="1"/>
  <c r="H14" i="481" s="1"/>
  <c r="H14" i="208" s="1"/>
  <c r="G1" i="205"/>
  <c r="G1" i="309" l="1"/>
  <c r="G1" i="481" l="1"/>
  <c r="G1" i="207"/>
  <c r="H14" i="496" l="1"/>
  <c r="G1" i="208"/>
  <c r="H14" i="213" l="1"/>
  <c r="G1" i="496"/>
  <c r="G1" i="213" l="1"/>
  <c r="H14" i="91"/>
  <c r="H14" i="382" l="1"/>
  <c r="G1" i="91"/>
  <c r="H14" i="383" l="1"/>
  <c r="G1" i="382"/>
  <c r="H14" i="222" l="1"/>
  <c r="G1" i="383"/>
  <c r="H14" i="380" l="1"/>
  <c r="G1" i="222"/>
  <c r="H14" i="214" l="1"/>
  <c r="G1" i="380"/>
  <c r="H14" i="391" l="1"/>
  <c r="H14" i="482" s="1"/>
  <c r="H14" i="107" s="1"/>
  <c r="G1" i="214"/>
  <c r="G1" i="482" l="1"/>
  <c r="G1" i="391"/>
  <c r="H14" i="356" l="1"/>
  <c r="G1" i="107"/>
  <c r="H14" i="215" l="1"/>
  <c r="G1" i="356"/>
  <c r="H14" i="366" l="1"/>
  <c r="G1" i="215"/>
  <c r="H14" i="216" l="1"/>
  <c r="G1" i="366"/>
  <c r="H14" i="389" l="1"/>
  <c r="G1" i="216"/>
  <c r="H14" i="218" l="1"/>
  <c r="G1" i="389"/>
  <c r="H14" i="438" l="1"/>
  <c r="G1" i="218"/>
  <c r="G1" i="438" l="1"/>
  <c r="H14" i="469"/>
  <c r="G1" i="469" l="1"/>
  <c r="H14" i="219"/>
  <c r="G1" i="219" s="1"/>
  <c r="H14" i="390" l="1"/>
  <c r="H14" i="220" s="1"/>
  <c r="G1" i="390" l="1"/>
  <c r="H14" i="392"/>
  <c r="G1" i="220"/>
  <c r="H14" i="221" l="1"/>
  <c r="G1" i="392"/>
  <c r="H14" i="131" l="1"/>
  <c r="G1" i="221"/>
  <c r="H14" i="233" l="1"/>
  <c r="G1" i="131"/>
  <c r="H14" i="358" l="1"/>
  <c r="G1" i="233"/>
  <c r="G1" i="358" l="1"/>
  <c r="H14" i="436"/>
  <c r="H14" i="511" s="1"/>
  <c r="G1" i="511" l="1"/>
  <c r="H14" i="139"/>
  <c r="H14" i="302" s="1"/>
  <c r="G1" i="436"/>
  <c r="G1" i="139" l="1"/>
  <c r="H14" i="303"/>
  <c r="G1" i="302"/>
  <c r="H14" i="229" l="1"/>
  <c r="G1" i="303"/>
  <c r="H14" i="230" l="1"/>
  <c r="G1" i="229"/>
  <c r="H14" i="231" l="1"/>
  <c r="G1" i="230"/>
  <c r="H14" i="351" l="1"/>
  <c r="G1" i="231"/>
  <c r="H14" i="359" l="1"/>
  <c r="G1" i="351"/>
  <c r="H14" i="203" l="1"/>
  <c r="G1" i="359"/>
  <c r="H14" i="206" l="1"/>
  <c r="G1" i="203"/>
  <c r="H14" i="90" l="1"/>
  <c r="G1" i="206"/>
  <c r="H14" i="328" l="1"/>
  <c r="G1" i="90"/>
  <c r="H14" i="329" l="1"/>
  <c r="G1" i="328"/>
  <c r="H14" i="338" l="1"/>
  <c r="G1" i="329"/>
  <c r="H14" i="178" l="1"/>
  <c r="G1" i="338"/>
  <c r="H14" i="361" l="1"/>
  <c r="G1" i="178"/>
  <c r="H14" i="363" l="1"/>
  <c r="G1" i="361"/>
  <c r="H14" i="199" l="1"/>
  <c r="G1" i="363"/>
  <c r="H14" i="360" l="1"/>
  <c r="G1" i="199"/>
  <c r="H14" i="364" l="1"/>
  <c r="G1" i="360"/>
  <c r="H14" i="95" l="1"/>
  <c r="G1" i="364"/>
  <c r="H14" i="362" l="1"/>
  <c r="G1" i="95"/>
  <c r="H14" i="365" l="1"/>
  <c r="G1" i="362"/>
  <c r="H14" i="457" l="1"/>
  <c r="G1" i="365"/>
  <c r="H14" i="458" l="1"/>
  <c r="G1" i="457"/>
  <c r="H14" i="459" l="1"/>
  <c r="G1" i="458"/>
  <c r="H14" i="460" l="1"/>
  <c r="G1" i="459"/>
  <c r="H14" i="264" l="1"/>
  <c r="G1" i="460"/>
  <c r="H14" i="470" l="1"/>
  <c r="G1" i="264"/>
  <c r="H14" i="265" l="1"/>
  <c r="H14" i="507" s="1"/>
  <c r="H14" i="268" s="1"/>
  <c r="G1" i="470"/>
  <c r="G1" i="507" l="1"/>
  <c r="G1" i="265"/>
  <c r="H14" i="269" l="1"/>
  <c r="G1" i="268"/>
  <c r="G1" i="269" l="1"/>
  <c r="H14" i="266"/>
  <c r="H14" i="475" s="1"/>
  <c r="H14" i="267" s="1"/>
  <c r="G1" i="475" l="1"/>
  <c r="G1" i="266"/>
  <c r="H14" i="270" l="1"/>
  <c r="G1" i="267"/>
  <c r="H14" i="272" l="1"/>
  <c r="G1" i="270"/>
  <c r="H14" i="271" l="1"/>
  <c r="G1" i="272"/>
  <c r="H14" i="273" l="1"/>
  <c r="G1" i="271"/>
  <c r="H14" i="274" l="1"/>
  <c r="G1" i="273"/>
  <c r="H14" i="275" l="1"/>
  <c r="G1" i="274"/>
  <c r="G1" i="275" l="1"/>
  <c r="H14" i="333"/>
  <c r="H14" i="500" l="1"/>
  <c r="G1" i="333"/>
  <c r="H14" i="501" l="1"/>
  <c r="G1" i="500"/>
  <c r="G1" i="501" l="1"/>
  <c r="H14" i="99"/>
  <c r="G1" i="99" l="1"/>
  <c r="H14" i="502"/>
  <c r="H14" i="503" l="1"/>
  <c r="G1" i="502"/>
  <c r="H14" i="497" l="1"/>
  <c r="G1" i="503"/>
  <c r="G1" i="497" l="1"/>
  <c r="H14" i="209"/>
  <c r="H14" i="504" l="1"/>
  <c r="G1" i="209"/>
  <c r="H14" i="105"/>
  <c r="H14" i="132" l="1"/>
  <c r="G1" i="105"/>
  <c r="H14" i="101"/>
  <c r="G1" i="101" s="1"/>
  <c r="G1" i="504"/>
  <c r="H14" i="106" l="1"/>
  <c r="G1" i="132"/>
  <c r="H14" i="94" l="1"/>
  <c r="G1" i="106"/>
  <c r="G1" i="94" l="1"/>
  <c r="H14" i="494"/>
  <c r="G1" i="494" s="1"/>
  <c r="H14" i="96"/>
  <c r="H14" i="98" l="1"/>
  <c r="G1" i="96"/>
  <c r="H14" i="108" l="1"/>
  <c r="G1" i="98"/>
  <c r="H14" i="109" l="1"/>
  <c r="G1" i="108"/>
  <c r="H14" i="104" l="1"/>
  <c r="G1" i="109"/>
  <c r="H14" i="110" l="1"/>
  <c r="G1" i="104"/>
  <c r="H14" i="111" l="1"/>
  <c r="G1" i="110"/>
  <c r="H14" i="227" l="1"/>
  <c r="G1" i="111"/>
  <c r="H14" i="112" l="1"/>
  <c r="G1" i="227"/>
  <c r="H14" i="211" l="1"/>
  <c r="G1" i="112"/>
  <c r="H14" i="212" l="1"/>
  <c r="G1" i="211"/>
  <c r="H14" i="210" l="1"/>
  <c r="G1" i="212"/>
  <c r="H14" i="330" l="1"/>
  <c r="G1" i="210"/>
  <c r="H14" i="331" l="1"/>
  <c r="G1" i="330"/>
  <c r="H14" i="332" l="1"/>
  <c r="G1" i="331"/>
  <c r="H14" i="305" l="1"/>
  <c r="G1" i="332"/>
  <c r="H14" i="394" l="1"/>
  <c r="G1" i="305"/>
  <c r="H14" i="304" l="1"/>
  <c r="G1" i="394"/>
  <c r="H14" i="116" l="1"/>
  <c r="G1" i="304"/>
  <c r="H14" i="117" l="1"/>
  <c r="G1" i="116"/>
  <c r="H14" i="118" l="1"/>
  <c r="G1" i="117"/>
  <c r="H14" i="127" l="1"/>
  <c r="G1" i="118"/>
  <c r="H14" i="130" l="1"/>
  <c r="G1" i="127"/>
  <c r="H14" i="128" l="1"/>
  <c r="G1" i="130"/>
  <c r="H14" i="115" l="1"/>
  <c r="G1" i="128"/>
  <c r="H14" i="100" l="1"/>
  <c r="G1" i="115"/>
  <c r="H14" i="357" l="1"/>
  <c r="G1" i="100"/>
  <c r="H14" i="114" l="1"/>
  <c r="G1" i="357"/>
  <c r="G1" i="114" l="1"/>
  <c r="H14" i="384"/>
  <c r="G1" i="384" s="1"/>
  <c r="H14" i="236"/>
  <c r="G1" i="236" l="1"/>
  <c r="H14" i="226"/>
  <c r="H14" i="385"/>
  <c r="G1" i="385" l="1"/>
  <c r="H14" i="510"/>
  <c r="G1" i="226"/>
  <c r="H14" i="136" l="1"/>
  <c r="G1" i="136" s="1"/>
  <c r="G1" i="510"/>
  <c r="H14" i="379" l="1"/>
  <c r="H14" i="124" s="1"/>
  <c r="G1" i="379" l="1"/>
  <c r="H14" i="125"/>
  <c r="G1" i="124"/>
  <c r="H14" i="126" l="1"/>
  <c r="G1" i="125"/>
  <c r="H14" i="119" l="1"/>
  <c r="G1" i="126"/>
  <c r="G1" i="119" l="1"/>
  <c r="H14" i="471"/>
  <c r="G1" i="471" l="1"/>
  <c r="H14" i="474"/>
  <c r="G1" i="474" l="1"/>
  <c r="H14" i="478"/>
  <c r="G1" i="478" s="1"/>
  <c r="G1" i="506" l="1"/>
</calcChain>
</file>

<file path=xl/comments1.xml><?xml version="1.0" encoding="utf-8"?>
<comments xmlns="http://schemas.openxmlformats.org/spreadsheetml/2006/main">
  <authors>
    <author>User</author>
  </authors>
  <commentList>
    <comment ref="C26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 менее 500</t>
        </r>
      </text>
    </comment>
    <comment ref="C29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 менее 90
</t>
        </r>
      </text>
    </comment>
    <comment ref="C36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норма 700</t>
        </r>
      </text>
    </comment>
  </commentList>
</comments>
</file>

<file path=xl/sharedStrings.xml><?xml version="1.0" encoding="utf-8"?>
<sst xmlns="http://schemas.openxmlformats.org/spreadsheetml/2006/main" count="16365" uniqueCount="1419">
  <si>
    <t>Унифицированная форма № ОП-1</t>
  </si>
  <si>
    <t>Утверждена постановлением Госкомстата</t>
  </si>
  <si>
    <t>России от 25.12.98 № 132</t>
  </si>
  <si>
    <t>КОДЫ</t>
  </si>
  <si>
    <t>Форма по ОКУД</t>
  </si>
  <si>
    <t>по ОКПО</t>
  </si>
  <si>
    <t>(организация)</t>
  </si>
  <si>
    <t>(структурное подразделение)</t>
  </si>
  <si>
    <t>Вид деятельности по ОКДП</t>
  </si>
  <si>
    <t>(наименование блюда)</t>
  </si>
  <si>
    <t>Номер блюда по сборнику рецептур, ТТК, СТП</t>
  </si>
  <si>
    <t>Вид операции</t>
  </si>
  <si>
    <t>номер</t>
  </si>
  <si>
    <t>дата</t>
  </si>
  <si>
    <t>1</t>
  </si>
  <si>
    <t>Порядковый номер калькуляции,
дата утверждения</t>
  </si>
  <si>
    <t>№ 1                                            от    " _____  " _____ 2012 г.</t>
  </si>
  <si>
    <t xml:space="preserve">№ </t>
  </si>
  <si>
    <t>от    " _____  " _________ 2012 г.</t>
  </si>
  <si>
    <t>Но- мер по по- рядку</t>
  </si>
  <si>
    <t>Продукты</t>
  </si>
  <si>
    <t>нор-
ма, кг</t>
  </si>
  <si>
    <t>цена,
руб. коп.</t>
  </si>
  <si>
    <t>сумма, руб. коп.</t>
  </si>
  <si>
    <t>наименование</t>
  </si>
  <si>
    <t>код</t>
  </si>
  <si>
    <t>Крупа гречневая</t>
  </si>
  <si>
    <t>2</t>
  </si>
  <si>
    <t>Вода</t>
  </si>
  <si>
    <t>3</t>
  </si>
  <si>
    <t>Сахар</t>
  </si>
  <si>
    <t>Масло сливочное</t>
  </si>
  <si>
    <t>4</t>
  </si>
  <si>
    <t>Соль</t>
  </si>
  <si>
    <t>Молоко</t>
  </si>
  <si>
    <t xml:space="preserve">Общая стоимость сырьевого набора </t>
  </si>
  <si>
    <t>Выход всего в готовом виде, грамм</t>
  </si>
  <si>
    <t>Выход одного блюда в готовом виде, грамм</t>
  </si>
  <si>
    <t>Выход блюд (порций)</t>
  </si>
  <si>
    <t>Цена продажи блюда, руб. коп.</t>
  </si>
  <si>
    <t>Х</t>
  </si>
  <si>
    <t>Калькуляцию составил</t>
  </si>
  <si>
    <t>УТВЕРЖДАЮ                                                         Руководитель организации</t>
  </si>
  <si>
    <t>5</t>
  </si>
  <si>
    <t>6</t>
  </si>
  <si>
    <t>Мука пшеничная</t>
  </si>
  <si>
    <t>Томатное пюре</t>
  </si>
  <si>
    <t>Морковь</t>
  </si>
  <si>
    <t>Лук репчатый</t>
  </si>
  <si>
    <t>Повар</t>
  </si>
  <si>
    <t>Картофель</t>
  </si>
  <si>
    <t>Сметана</t>
  </si>
  <si>
    <t>Свекла</t>
  </si>
  <si>
    <t>Капуста свежая</t>
  </si>
  <si>
    <t>Говядина (котлетное мясо)</t>
  </si>
  <si>
    <t>Макаронные изделия</t>
  </si>
  <si>
    <t>Ванилин</t>
  </si>
  <si>
    <t>Творог</t>
  </si>
  <si>
    <t>КАЛЬКУЛЯЦИОННАЯ КАРТОЧКА</t>
  </si>
  <si>
    <t>0330501</t>
  </si>
  <si>
    <t>Яблоки свежие</t>
  </si>
  <si>
    <t>21</t>
  </si>
  <si>
    <t>Лимонная кислота</t>
  </si>
  <si>
    <t>Крахмал картофельный</t>
  </si>
  <si>
    <t>936/3-1982</t>
  </si>
  <si>
    <t>Кисель из яблок</t>
  </si>
  <si>
    <t>Крупа манная</t>
  </si>
  <si>
    <t>01.01.2013</t>
  </si>
  <si>
    <t>Крупа рисовая</t>
  </si>
  <si>
    <t>Макароны</t>
  </si>
  <si>
    <t>под-пись</t>
  </si>
  <si>
    <t>Масса каши</t>
  </si>
  <si>
    <t>Сухари панировочные</t>
  </si>
  <si>
    <t>Бульон из птицы</t>
  </si>
  <si>
    <t>Масло растительное</t>
  </si>
  <si>
    <t>Соль йодированная</t>
  </si>
  <si>
    <t>Соус сметанный</t>
  </si>
  <si>
    <t>Сухари</t>
  </si>
  <si>
    <t>Петрушка зеленая</t>
  </si>
  <si>
    <t>Сметана 20% жирности</t>
  </si>
  <si>
    <t>Усть-Джегутинское муниципальное казённое учреждение "Централизованная бухгалтерия"</t>
  </si>
  <si>
    <t xml:space="preserve">п/п № </t>
  </si>
  <si>
    <t>Наименование товара</t>
  </si>
  <si>
    <t>л</t>
  </si>
  <si>
    <t>Лавровый лист</t>
  </si>
  <si>
    <t>Молоко сгущенное</t>
  </si>
  <si>
    <t>Наименование сборника рецептур: "Сборник рецептур на продукцию для обучающихся во всех образовательных учреждениях", под ред. Могильного М.П., 2011 г.</t>
  </si>
  <si>
    <t>Гречневая крупа (ядрица быстроразваривающаяся)</t>
  </si>
  <si>
    <t>Масса на порцию</t>
  </si>
  <si>
    <t>Масса на 10 порций</t>
  </si>
  <si>
    <t>Наименование продуктов, полуфабрикатов</t>
  </si>
  <si>
    <t>Масса на 100 порций</t>
  </si>
  <si>
    <t>брутто, кг</t>
  </si>
  <si>
    <t>цена за кг
руб. коп.</t>
  </si>
  <si>
    <t>нетто, кг</t>
  </si>
  <si>
    <t>Жир-сырец говяжий</t>
  </si>
  <si>
    <t>Хлеб пшеничный</t>
  </si>
  <si>
    <t>Масса полуфабриката</t>
  </si>
  <si>
    <t>Масса готовых изделий</t>
  </si>
  <si>
    <t>Масса белого соуса</t>
  </si>
  <si>
    <t xml:space="preserve">Выход: </t>
  </si>
  <si>
    <t>Яйца 1/80 шт   46 гр-1 шт</t>
  </si>
  <si>
    <t>Петрушка (корень)</t>
  </si>
  <si>
    <t>Масса вареной птицы</t>
  </si>
  <si>
    <t>Суп с макаронными изделиями на бульоне из птицы</t>
  </si>
  <si>
    <t>Зелень петрушки</t>
  </si>
  <si>
    <t>Наименование блюда</t>
  </si>
  <si>
    <t>выход блюда, г</t>
  </si>
  <si>
    <t>цена</t>
  </si>
  <si>
    <t xml:space="preserve">Завтрак </t>
  </si>
  <si>
    <t>Чай с сахаром</t>
  </si>
  <si>
    <t>итого завтрак</t>
  </si>
  <si>
    <t>Обед</t>
  </si>
  <si>
    <t>итого обед</t>
  </si>
  <si>
    <t>Чай с лимоном</t>
  </si>
  <si>
    <t>Какао с молоком</t>
  </si>
  <si>
    <t>Суп картофельный с мясными фрикадельками</t>
  </si>
  <si>
    <t xml:space="preserve">  Выход  с  сахаром</t>
  </si>
  <si>
    <t>Чай-заварка</t>
  </si>
  <si>
    <t>Чай высшего или 1-сорта</t>
  </si>
  <si>
    <t>Соус сметанный с томатом и луком</t>
  </si>
  <si>
    <t>Соус сметанный № 330</t>
  </si>
  <si>
    <t>Чай -заварка № 375</t>
  </si>
  <si>
    <t>Масса пюре</t>
  </si>
  <si>
    <t xml:space="preserve">Соль </t>
  </si>
  <si>
    <t>Маргарин столовый</t>
  </si>
  <si>
    <t>Дрожжи (прессованные)</t>
  </si>
  <si>
    <t>Влажность, %</t>
  </si>
  <si>
    <t>Мука пшеничная на подсып</t>
  </si>
  <si>
    <t>Маргарин (для смазки)</t>
  </si>
  <si>
    <t>Булочка с повидлом обсыпная (масса 100 г)</t>
  </si>
  <si>
    <t>Компот из яблок и слив</t>
  </si>
  <si>
    <t>Яблоки</t>
  </si>
  <si>
    <t>Слива</t>
  </si>
  <si>
    <t>Сахар-песок</t>
  </si>
  <si>
    <t>Кислота лимонная</t>
  </si>
  <si>
    <t>номер рецепта</t>
  </si>
  <si>
    <t>Компот из смеси сухофруктов</t>
  </si>
  <si>
    <t>кг</t>
  </si>
  <si>
    <t>Фрикадельки мясные</t>
  </si>
  <si>
    <t>Яйца 2шт</t>
  </si>
  <si>
    <t>Бульон или вода</t>
  </si>
  <si>
    <t>Фрикадельки № 105</t>
  </si>
  <si>
    <t>Кофейный напиток</t>
  </si>
  <si>
    <t>Молоко сгущенное с сахаром (консервы)</t>
  </si>
  <si>
    <t>Кисель из плодов шиповника (витаминный)</t>
  </si>
  <si>
    <t>Плоды шиповника сушеные</t>
  </si>
  <si>
    <t>Курица</t>
  </si>
  <si>
    <t>Масса тушеной птицы</t>
  </si>
  <si>
    <t>Масса готового риса с овощами</t>
  </si>
  <si>
    <t>Чай с молоком</t>
  </si>
  <si>
    <t>Кофейный напиток с молоком сгущенным</t>
  </si>
  <si>
    <t>Кофейный напиток с молоком</t>
  </si>
  <si>
    <t xml:space="preserve">Молоко </t>
  </si>
  <si>
    <t>Какао-порошок</t>
  </si>
  <si>
    <t>Какао с молоком сгущенным</t>
  </si>
  <si>
    <t>Молоко цельное сгущенное с сахаром</t>
  </si>
  <si>
    <t>Напиток из плодов шиповника</t>
  </si>
  <si>
    <t>Соус кетчуп, сладкий</t>
  </si>
  <si>
    <t>Огурцы консервированные</t>
  </si>
  <si>
    <t>Булочка "Школьная" 1шт</t>
  </si>
  <si>
    <t>Тесто дрожжевое для пирожков печеных простых</t>
  </si>
  <si>
    <t>Тесто дрожжевое для пирожков печеных сдобных</t>
  </si>
  <si>
    <t>Меланж</t>
  </si>
  <si>
    <t>Тесто дрожжевое для ватрушек, пирожков, кулебяк</t>
  </si>
  <si>
    <t>Фарш творожный (для ватрушек, пирожков и вареников)</t>
  </si>
  <si>
    <t>Яйцо 1 шт</t>
  </si>
  <si>
    <t>Ватрушки творожные</t>
  </si>
  <si>
    <t>Тесто дрожжевое № 405</t>
  </si>
  <si>
    <t>Фарш № 468</t>
  </si>
  <si>
    <t>Меланж для смазки ватрушек</t>
  </si>
  <si>
    <t>Жир для смазки листов</t>
  </si>
  <si>
    <t>Гамбургер с сосиской молочной</t>
  </si>
  <si>
    <t>Сосиски молочные 1шт</t>
  </si>
  <si>
    <t xml:space="preserve">Говядина </t>
  </si>
  <si>
    <t>Масса отварного мяса</t>
  </si>
  <si>
    <t>Масса рыбы жареной</t>
  </si>
  <si>
    <t>Фарш мясной с луком</t>
  </si>
  <si>
    <t>Масса пассерованного лука</t>
  </si>
  <si>
    <t>Петрушка (зелень)</t>
  </si>
  <si>
    <t>Капуста белокачанная свежая</t>
  </si>
  <si>
    <t>Масса готовой капусты</t>
  </si>
  <si>
    <t>Масса пассерованнго лука</t>
  </si>
  <si>
    <t>Фарш картофельный с луком</t>
  </si>
  <si>
    <t>Пирожки печеные с фаршем картофельным</t>
  </si>
  <si>
    <t>Фарш № 467</t>
  </si>
  <si>
    <t>Меланж для смазки пирожков</t>
  </si>
  <si>
    <t>Пирожки печеные с фаршем мясным</t>
  </si>
  <si>
    <t>Фарш № 457</t>
  </si>
  <si>
    <t>Крупа гречневая из ядрицы быстроразваривающейся</t>
  </si>
  <si>
    <t xml:space="preserve">  Выход  с  маслом</t>
  </si>
  <si>
    <t>Фарш № 461</t>
  </si>
  <si>
    <t>Каша рассыпчатая гречневая (гарнир)</t>
  </si>
  <si>
    <t>Масса гречневой каши № 171</t>
  </si>
  <si>
    <t>Яблоки сушеные</t>
  </si>
  <si>
    <t>Кисель из яблок сушеных</t>
  </si>
  <si>
    <t>Макаронные изделия отварные</t>
  </si>
  <si>
    <t>Масса отварных макарон № 202</t>
  </si>
  <si>
    <t>Макароны отварные с сыром</t>
  </si>
  <si>
    <t>Сосиски</t>
  </si>
  <si>
    <t>Изюм</t>
  </si>
  <si>
    <t>Пудра рафинированная</t>
  </si>
  <si>
    <t>Итого</t>
  </si>
  <si>
    <t>Аммоний углекислый (разрыхлитель)</t>
  </si>
  <si>
    <t>Кекс "Столичный" (масса 75 г)</t>
  </si>
  <si>
    <t>Хлеб</t>
  </si>
  <si>
    <t>Масса тушеного мяса</t>
  </si>
  <si>
    <t>Гуляш с соусом томатным</t>
  </si>
  <si>
    <t>итого за первый день</t>
  </si>
  <si>
    <t>итого за второй день</t>
  </si>
  <si>
    <t>итого за третий день</t>
  </si>
  <si>
    <t>итого за четвертый день</t>
  </si>
  <si>
    <t>итого за пятый день</t>
  </si>
  <si>
    <t>итого за шестой день</t>
  </si>
  <si>
    <t xml:space="preserve">итого за седьмой день </t>
  </si>
  <si>
    <t>итого за девятый день</t>
  </si>
  <si>
    <t>итого за восьмой день</t>
  </si>
  <si>
    <t>итого за десятый день</t>
  </si>
  <si>
    <t>итого</t>
  </si>
  <si>
    <t>Пирожки печеные с фаршем из свежей капусты</t>
  </si>
  <si>
    <t>Масса на1кг</t>
  </si>
  <si>
    <t>стоимость</t>
  </si>
  <si>
    <t>Петрушка корень</t>
  </si>
  <si>
    <t>Петрушка</t>
  </si>
  <si>
    <t>Сливы</t>
  </si>
  <si>
    <t>завтрак</t>
  </si>
  <si>
    <t>обед</t>
  </si>
  <si>
    <t>процент</t>
  </si>
  <si>
    <t>к-во детей</t>
  </si>
  <si>
    <t>Апельсин</t>
  </si>
  <si>
    <t>Свекла столовая</t>
  </si>
  <si>
    <t>Дрожжи хлебопекарные</t>
  </si>
  <si>
    <t>Наименование продуктов</t>
  </si>
  <si>
    <t>норма на одного ребенка в день</t>
  </si>
  <si>
    <t>Мука пшеничная высшего сорта</t>
  </si>
  <si>
    <t>Говядина (бескостное мясо)</t>
  </si>
  <si>
    <t>Молоко пастеризованное 2,5% жирн.</t>
  </si>
  <si>
    <t>Морковь столовая</t>
  </si>
  <si>
    <t>Чай черный байховый высшего сорта</t>
  </si>
  <si>
    <t>Сахар белый свекловичный</t>
  </si>
  <si>
    <t>Дрожжи пекарные прессованные</t>
  </si>
  <si>
    <t>Пюре томатное концентрированное</t>
  </si>
  <si>
    <t>Лист лавровый обработанный</t>
  </si>
  <si>
    <t>Смеси сушеных фруктов</t>
  </si>
  <si>
    <t>Повидло из яблок</t>
  </si>
  <si>
    <t>Масло подсолнечное рафинированное</t>
  </si>
  <si>
    <t xml:space="preserve">Масло сливочное фасованное 72,5% жир. </t>
  </si>
  <si>
    <t xml:space="preserve">Порошок какао без добавок сахара </t>
  </si>
  <si>
    <t>Минтай (рыба замороженная, обезглавленная, потрошеная)</t>
  </si>
  <si>
    <t>Жир сырой крупного рогатого скота</t>
  </si>
  <si>
    <t>15.11.30.111</t>
  </si>
  <si>
    <t>15.12.11.112</t>
  </si>
  <si>
    <t>15.11.11.141</t>
  </si>
  <si>
    <t>15.51.11.121</t>
  </si>
  <si>
    <t>15.51.30.143</t>
  </si>
  <si>
    <t>15.51.40.171</t>
  </si>
  <si>
    <t>15.51.40.113</t>
  </si>
  <si>
    <t>15.51.52.232</t>
  </si>
  <si>
    <t>15.51.51.113</t>
  </si>
  <si>
    <t>Молоко цельное сгущенное с сахаром 8,5% жир.</t>
  </si>
  <si>
    <t>Итого по лоту "Поставка мяса, мяса птицы"</t>
  </si>
  <si>
    <t>Итого по лоту "Поставка молочных продуктов"</t>
  </si>
  <si>
    <t>01.12.113.114</t>
  </si>
  <si>
    <t>01.11.21.129</t>
  </si>
  <si>
    <t>01.13.22.130</t>
  </si>
  <si>
    <t xml:space="preserve">Лимон </t>
  </si>
  <si>
    <t>01.12.11.121</t>
  </si>
  <si>
    <t>01.12.11.111</t>
  </si>
  <si>
    <t>01.12.11.118</t>
  </si>
  <si>
    <t>Петрушка корневая</t>
  </si>
  <si>
    <t>01.12.11.113</t>
  </si>
  <si>
    <t>01.13.23.124</t>
  </si>
  <si>
    <t>01.13.23.111</t>
  </si>
  <si>
    <t xml:space="preserve">Яблоки </t>
  </si>
  <si>
    <t>Лот "Поставка овощей и фруктов"</t>
  </si>
  <si>
    <t>Итого по лоту "Поставка овощей и фруктов"</t>
  </si>
  <si>
    <t>Лот "Поставка крупяных, бакалейных и других изделий"</t>
  </si>
  <si>
    <t>15.61.21.113</t>
  </si>
  <si>
    <t>15.61.32.133</t>
  </si>
  <si>
    <t>Крупа гречневая - ядрица быстроразваривающаяся</t>
  </si>
  <si>
    <t>15.61.31.121</t>
  </si>
  <si>
    <t>15.61.32.113</t>
  </si>
  <si>
    <t>15.43.10.111</t>
  </si>
  <si>
    <t>15.42.11.141</t>
  </si>
  <si>
    <t>15.85.11.111</t>
  </si>
  <si>
    <t>Макаронные изделия высшего сорта</t>
  </si>
  <si>
    <t>24.14.61.141</t>
  </si>
  <si>
    <t>15.89.13.111</t>
  </si>
  <si>
    <t>15.33.25.111</t>
  </si>
  <si>
    <t>Виноград сушеный (изюм)</t>
  </si>
  <si>
    <t>15.84.13.000</t>
  </si>
  <si>
    <t>24.14.34.136</t>
  </si>
  <si>
    <t>15.62.22.113</t>
  </si>
  <si>
    <t>15.87.20.174</t>
  </si>
  <si>
    <t>15.33.22.125</t>
  </si>
  <si>
    <t>15.83.12.112</t>
  </si>
  <si>
    <t>15.32.10.143</t>
  </si>
  <si>
    <t>14.40.10.161</t>
  </si>
  <si>
    <t>15.61.33.225</t>
  </si>
  <si>
    <t>15.33.25.125</t>
  </si>
  <si>
    <t>15.33.14.122</t>
  </si>
  <si>
    <t>15.86.13.121</t>
  </si>
  <si>
    <t>15.33.25.123</t>
  </si>
  <si>
    <t>01.24.20.113</t>
  </si>
  <si>
    <t>Лот "Поставка хлебобулочных изделий"</t>
  </si>
  <si>
    <t>15.81.11.131</t>
  </si>
  <si>
    <t>15.81.11.111</t>
  </si>
  <si>
    <t>Рис</t>
  </si>
  <si>
    <t>Яблоки, груши, чернослив, урюк, курага, изюм (сухофрукты)</t>
  </si>
  <si>
    <t>Меланж (яйцо)</t>
  </si>
  <si>
    <t>Лот "Поставка мяса, мяса птицы"</t>
  </si>
  <si>
    <t>Итого по лоту "Поставка крупяных, бакалейных и других изделий"</t>
  </si>
  <si>
    <t>Итого по лоту  "Поставка крупяных, бакалейных и других изделий"</t>
  </si>
  <si>
    <t>Итого по лоту "Поставка хлебобулочных изделий"</t>
  </si>
  <si>
    <t>Лот "Поставка молочных продуктов"</t>
  </si>
  <si>
    <t>местный бюджет</t>
  </si>
  <si>
    <t>респ. бюджет</t>
  </si>
  <si>
    <t>Распределение бюджета</t>
  </si>
  <si>
    <t>забить вручную</t>
  </si>
  <si>
    <t>Всего по всем лотам</t>
  </si>
  <si>
    <t>Крупа пшенная</t>
  </si>
  <si>
    <t>15.61.32.141</t>
  </si>
  <si>
    <t>Пшено шлифованное высшего сорта</t>
  </si>
  <si>
    <t>Сыр российский</t>
  </si>
  <si>
    <t>Сыр российский 45% жирн.</t>
  </si>
  <si>
    <t>Батон белого хлеба</t>
  </si>
  <si>
    <t>Колбаса полукопченая</t>
  </si>
  <si>
    <t xml:space="preserve">Калькуляцию составил: </t>
  </si>
  <si>
    <t>руководитель-главный бухгалтер Централизованной бухгалтерии</t>
  </si>
  <si>
    <t>Л.Б.Мамаева</t>
  </si>
  <si>
    <t>Колбаса полукопченная</t>
  </si>
  <si>
    <t>Бутерброды с колбасой</t>
  </si>
  <si>
    <t>Бутерброды горячие с колбасой</t>
  </si>
  <si>
    <t>Борщ с фасолью и картофелем</t>
  </si>
  <si>
    <t>Фасоль</t>
  </si>
  <si>
    <t>Чеснок</t>
  </si>
  <si>
    <t>Горох</t>
  </si>
  <si>
    <t>Лук зеленый</t>
  </si>
  <si>
    <t>Суп картофельный</t>
  </si>
  <si>
    <t>Петрушка зеленая (укроп)</t>
  </si>
  <si>
    <t>Крупа перловая</t>
  </si>
  <si>
    <t>Мука</t>
  </si>
  <si>
    <t>Суп картофельный с горохом</t>
  </si>
  <si>
    <t>Горох лушеный</t>
  </si>
  <si>
    <t>Петушка (корень)</t>
  </si>
  <si>
    <t>Суп картофельный с крупой перловой</t>
  </si>
  <si>
    <t>Суп картофельный с макаронными изделиями</t>
  </si>
  <si>
    <t>Картофель отварной</t>
  </si>
  <si>
    <t>Масса вареного картофеля</t>
  </si>
  <si>
    <t>Соус № 330</t>
  </si>
  <si>
    <t xml:space="preserve">Вода </t>
  </si>
  <si>
    <t>Картофель отварной с луком</t>
  </si>
  <si>
    <t>Картофель в молоке</t>
  </si>
  <si>
    <t xml:space="preserve">Лук репчатый </t>
  </si>
  <si>
    <t>Капуста тушеная</t>
  </si>
  <si>
    <t>Раствор лимонной кислоты</t>
  </si>
  <si>
    <t>Выход всего в готовом виде, грамм (без соуса)</t>
  </si>
  <si>
    <t>Выход одного блюда в готовом виде, грамм (без соуса)</t>
  </si>
  <si>
    <t>Лист лавровый</t>
  </si>
  <si>
    <t>Масса лука пассерованного</t>
  </si>
  <si>
    <t>Соус № 331</t>
  </si>
  <si>
    <t>Масса готового блюда</t>
  </si>
  <si>
    <t>Соус сметанный с томатом</t>
  </si>
  <si>
    <t>Масса жареного картофеля</t>
  </si>
  <si>
    <t>Картофель, жаренный брусочками, дольками и.т.д.</t>
  </si>
  <si>
    <t>Масса вареной капусты</t>
  </si>
  <si>
    <t>Для фарша:</t>
  </si>
  <si>
    <t xml:space="preserve">    морковь</t>
  </si>
  <si>
    <t xml:space="preserve">   лук репчатый</t>
  </si>
  <si>
    <t xml:space="preserve">   рис</t>
  </si>
  <si>
    <t xml:space="preserve">   зелень петрушки</t>
  </si>
  <si>
    <t xml:space="preserve">   масло растительное</t>
  </si>
  <si>
    <t>Масса фарша</t>
  </si>
  <si>
    <t>Перец сладкий</t>
  </si>
  <si>
    <t xml:space="preserve">   морковь</t>
  </si>
  <si>
    <t xml:space="preserve">   помидоры</t>
  </si>
  <si>
    <t>Помидоры</t>
  </si>
  <si>
    <t>Огурцы</t>
  </si>
  <si>
    <t xml:space="preserve"> Выход с маслом и сахаром</t>
  </si>
  <si>
    <t>Пшено</t>
  </si>
  <si>
    <t>Макароны отварные с овощами</t>
  </si>
  <si>
    <t>Масса готовых овощей</t>
  </si>
  <si>
    <t>Яйца вареные</t>
  </si>
  <si>
    <t>Яйца  1 шт.</t>
  </si>
  <si>
    <t>Масса омлетной смеси</t>
  </si>
  <si>
    <t>Масса готового омлета</t>
  </si>
  <si>
    <t>Омлет с сыром</t>
  </si>
  <si>
    <t>Яйца  1/20 шт.</t>
  </si>
  <si>
    <t>Масса готовых сырников</t>
  </si>
  <si>
    <t>Яйца  1/10 шт.</t>
  </si>
  <si>
    <t>Сода пищевая</t>
  </si>
  <si>
    <t>Масса готовых оладий</t>
  </si>
  <si>
    <t>Минтай ( обезглавленная, потрошеная)</t>
  </si>
  <si>
    <t>Масса припущенной рыбы</t>
  </si>
  <si>
    <t>Петрушка зелень</t>
  </si>
  <si>
    <t>Гарнир № 302, 310, 312, 315, 317, 321</t>
  </si>
  <si>
    <t>Плов из отварной говядины</t>
  </si>
  <si>
    <t>Говядина (боковой и наружный куски тазобедренной части)</t>
  </si>
  <si>
    <t>Бульон</t>
  </si>
  <si>
    <t>Масса гарнира</t>
  </si>
  <si>
    <t>Масса обжаренных колбасных изделий</t>
  </si>
  <si>
    <t>Соус сметанный с луком</t>
  </si>
  <si>
    <t>Говядина (верхний, внутренний, наружный, боковой куски тазобедренной части)</t>
  </si>
  <si>
    <t>Гарнир № 309, 310, 312, 313, 314, 315, 316, 318, 321, 324</t>
  </si>
  <si>
    <t>Масса соуса и овощей</t>
  </si>
  <si>
    <t>Гарнир № 310, 312, 315</t>
  </si>
  <si>
    <t>Гарнир № 310, 312, 314, 315</t>
  </si>
  <si>
    <t>Гарнир № 302, 303, 310, 312, 315, 321</t>
  </si>
  <si>
    <t>Гарнир №309, 310, 312, 315, 318</t>
  </si>
  <si>
    <t>Гарнир № 302, 308, 311, 312, 313, 314, 315, 321</t>
  </si>
  <si>
    <t>Жаркое по-домашнему</t>
  </si>
  <si>
    <t xml:space="preserve">Сметана </t>
  </si>
  <si>
    <t>Гарнир № 302, 304, 309, 312, 314, 315, 316, 321</t>
  </si>
  <si>
    <t>Льезон</t>
  </si>
  <si>
    <t xml:space="preserve">Яйцо 1шт. </t>
  </si>
  <si>
    <t>Яйца 1/10шт</t>
  </si>
  <si>
    <t>Масса жареного шницеля</t>
  </si>
  <si>
    <t>Гарнир № 302, 306, 309, 310, 313, 314, 315, 316</t>
  </si>
  <si>
    <t>Котлетная масса</t>
  </si>
  <si>
    <t>Масса запеченных котлет</t>
  </si>
  <si>
    <t>Соус № 333</t>
  </si>
  <si>
    <t>Фарш-соус № 329</t>
  </si>
  <si>
    <t>цены</t>
  </si>
  <si>
    <t>итого кол-во</t>
  </si>
  <si>
    <t>Лот  "Поставка молочных продуктов и яиц"</t>
  </si>
  <si>
    <t>Лот  "Поставка мяса, мяса птицы и рыбы"</t>
  </si>
  <si>
    <t xml:space="preserve">Пудра рафинированная сахарная </t>
  </si>
  <si>
    <t>Котлеты рубленые, запеченные с молочным соусом</t>
  </si>
  <si>
    <t>Гарнир № 310, 315, 316</t>
  </si>
  <si>
    <t>Соус молочный густой (для фарширования)</t>
  </si>
  <si>
    <t>Петрушка зеленная</t>
  </si>
  <si>
    <t>Масса готового рассып риса</t>
  </si>
  <si>
    <t>Масса готовых тефтелей</t>
  </si>
  <si>
    <t>Сироп консервированного компота</t>
  </si>
  <si>
    <t>вода</t>
  </si>
  <si>
    <t>Дрожжи</t>
  </si>
  <si>
    <t>Масса теста</t>
  </si>
  <si>
    <t>Масса готовых блинов</t>
  </si>
  <si>
    <t>Выход: с маслом</t>
  </si>
  <si>
    <t>Яйца</t>
  </si>
  <si>
    <t>Тесто для вареников</t>
  </si>
  <si>
    <t>Вареники с творожным фаршем</t>
  </si>
  <si>
    <t>Тесто для вареников №393</t>
  </si>
  <si>
    <t>Фарш №468 творожный</t>
  </si>
  <si>
    <t>Масса сырых вареников</t>
  </si>
  <si>
    <t>Масса вареных вареников</t>
  </si>
  <si>
    <t xml:space="preserve">Гарнир № 304, 305, 310, 312, 314 </t>
  </si>
  <si>
    <t>Горошек зеленный консервир</t>
  </si>
  <si>
    <t>Масса тушеной птицы и овощей</t>
  </si>
  <si>
    <t>Птица жареная</t>
  </si>
  <si>
    <t>Масса жареной птицы</t>
  </si>
  <si>
    <t xml:space="preserve">Гарнир №302,304,305,314,321,323 </t>
  </si>
  <si>
    <t xml:space="preserve">Гарнир №302,304,305,310,312,315 </t>
  </si>
  <si>
    <t>Внутренний жир</t>
  </si>
  <si>
    <t xml:space="preserve">Сухари </t>
  </si>
  <si>
    <t>Масса полуфабриката панированного в сухарях</t>
  </si>
  <si>
    <t>Масса жаренных котлет</t>
  </si>
  <si>
    <t>Гарнир №302,312,314</t>
  </si>
  <si>
    <t>Масса катлетной массы</t>
  </si>
  <si>
    <t>Сыр</t>
  </si>
  <si>
    <t>Масса запеченных катлет</t>
  </si>
  <si>
    <t>Соус №332</t>
  </si>
  <si>
    <t>Гарнир №306,310</t>
  </si>
  <si>
    <t>Масса готовых фрикаделек</t>
  </si>
  <si>
    <t>Гарнир №312,318</t>
  </si>
  <si>
    <t>Фарш:</t>
  </si>
  <si>
    <t>Кабачки</t>
  </si>
  <si>
    <t>Масса готовых зраз</t>
  </si>
  <si>
    <t>Гарнир №303,309,318</t>
  </si>
  <si>
    <t>Масса жаренной птицы</t>
  </si>
  <si>
    <t>Масса гарнира и соуса</t>
  </si>
  <si>
    <t>01.12.11.112</t>
  </si>
  <si>
    <t>Рис шлифованный</t>
  </si>
  <si>
    <t>Компот концентрированный из плодов консервированных</t>
  </si>
  <si>
    <t>Икра кабачковая</t>
  </si>
  <si>
    <t>Мука пшеничная в/с</t>
  </si>
  <si>
    <t>Маргарин</t>
  </si>
  <si>
    <t>Меланж для смазки</t>
  </si>
  <si>
    <t>Молоко кипяченое</t>
  </si>
  <si>
    <t>Пюре картофельное</t>
  </si>
  <si>
    <t>0,15*</t>
  </si>
  <si>
    <t>* Масса кипяченого молока</t>
  </si>
  <si>
    <t>Картофель жареный (из сырого)</t>
  </si>
  <si>
    <t>Капуста белокачанная</t>
  </si>
  <si>
    <t>Раствор лимонной кислоты 3% -ный</t>
  </si>
  <si>
    <t>Перец черный горошком</t>
  </si>
  <si>
    <t>Перец черный</t>
  </si>
  <si>
    <t>Зеленый горошек консервированный</t>
  </si>
  <si>
    <t>Бефстроганов из отварной говядины (2 вариант)</t>
  </si>
  <si>
    <t>Масса рисовой каши № 171</t>
  </si>
  <si>
    <t>Каша рассыпчатая рисовая (гарнир)</t>
  </si>
  <si>
    <t>Рыба жареная (2 вариант)</t>
  </si>
  <si>
    <t>Плов из отварной говядины (2 вариант)</t>
  </si>
  <si>
    <t>Фрикадельки из кур или бройлеров-цыплят</t>
  </si>
  <si>
    <t>Бананы</t>
  </si>
  <si>
    <t>Груши</t>
  </si>
  <si>
    <t xml:space="preserve">Виноград </t>
  </si>
  <si>
    <t>Груши свежие</t>
  </si>
  <si>
    <t>Виноград столовый</t>
  </si>
  <si>
    <t>Виноград</t>
  </si>
  <si>
    <t>Абрикосы</t>
  </si>
  <si>
    <t>Персики</t>
  </si>
  <si>
    <t>Черешня</t>
  </si>
  <si>
    <t>Земляника садовая</t>
  </si>
  <si>
    <t>Арбуз</t>
  </si>
  <si>
    <t>Дыня</t>
  </si>
  <si>
    <t>Апельсины</t>
  </si>
  <si>
    <t>Мандарины</t>
  </si>
  <si>
    <t>Салат зеленый</t>
  </si>
  <si>
    <t>Салат</t>
  </si>
  <si>
    <t>Яйцо (1/10 шт.)</t>
  </si>
  <si>
    <t>Салат свежий</t>
  </si>
  <si>
    <t xml:space="preserve">Масло сливочное </t>
  </si>
  <si>
    <t>Салат зеленый с огурцами</t>
  </si>
  <si>
    <t>Огурцы свежие</t>
  </si>
  <si>
    <t>Салат зеленый с огурцами и помидорами</t>
  </si>
  <si>
    <t>Помидоры свежие</t>
  </si>
  <si>
    <t>Салат из свежих огурцов</t>
  </si>
  <si>
    <t>Салат из сырых овощей</t>
  </si>
  <si>
    <t>Салат "Весна"</t>
  </si>
  <si>
    <t>Редис красный обрезной</t>
  </si>
  <si>
    <t>Яйца (1,5 шт)</t>
  </si>
  <si>
    <t>Редис красный</t>
  </si>
  <si>
    <t>Салат из редиса с огурцами и яйцом</t>
  </si>
  <si>
    <t>Яйца (3 шт)</t>
  </si>
  <si>
    <t>Чизбургер</t>
  </si>
  <si>
    <t>Огурцы соленые</t>
  </si>
  <si>
    <t>Зеленый горошек</t>
  </si>
  <si>
    <t>Капуста квашеная</t>
  </si>
  <si>
    <t>Винегрет № 67 (с капустой)</t>
  </si>
  <si>
    <t>Фасоль стручковая консервированная</t>
  </si>
  <si>
    <t>Винегрет овощной с фасолью</t>
  </si>
  <si>
    <t>Помидоры соленые</t>
  </si>
  <si>
    <t>Овощи натуральные соленые (огурцы)</t>
  </si>
  <si>
    <t>Овощи натуральные соленые (помидоры)</t>
  </si>
  <si>
    <t>Овощи натуральные свежие (помидоры)</t>
  </si>
  <si>
    <t>Сельдь с картофелем</t>
  </si>
  <si>
    <t>Сельдь слабосоленая</t>
  </si>
  <si>
    <t>Котлеты рубленные из кур, запеченные с соусом молочным</t>
  </si>
  <si>
    <t>Зразы из кур, бройлеров-цыплят с омлетом и овощами</t>
  </si>
  <si>
    <t>Меланж (яйца)</t>
  </si>
  <si>
    <t>Борщ зеленый</t>
  </si>
  <si>
    <t>Щавель</t>
  </si>
  <si>
    <t>Шпинат</t>
  </si>
  <si>
    <t>Яйца 1/2 шт.</t>
  </si>
  <si>
    <t>Говядина, тушенная в сметане</t>
  </si>
  <si>
    <t>Гарнир № 302, 309, 312, 313, 314</t>
  </si>
  <si>
    <t>Масса соуса</t>
  </si>
  <si>
    <t>Суп-лапша домашняя</t>
  </si>
  <si>
    <t>Лапша домашняя</t>
  </si>
  <si>
    <t>Мука на подсып</t>
  </si>
  <si>
    <t>Яйца 6,25 шт.</t>
  </si>
  <si>
    <t>Выход подсушенной лапши:</t>
  </si>
  <si>
    <t>Лапша домашняя № 114</t>
  </si>
  <si>
    <t>Масса вареной лапши</t>
  </si>
  <si>
    <t>ПРОВЕРКА</t>
  </si>
  <si>
    <t>Картофель молодой</t>
  </si>
  <si>
    <t>Картофель отварной молодой</t>
  </si>
  <si>
    <t>Тесто для оладий № 400</t>
  </si>
  <si>
    <t>Тесто для оладий</t>
  </si>
  <si>
    <t>Яйца 3/5 шт.</t>
  </si>
  <si>
    <t>Салат из моркови с сахаром</t>
  </si>
  <si>
    <t>Салат "Летний"</t>
  </si>
  <si>
    <t>Яйца 2,5 шт.</t>
  </si>
  <si>
    <t>Салат картофельный с кукурузой и морковью</t>
  </si>
  <si>
    <t xml:space="preserve">Картофель </t>
  </si>
  <si>
    <t>Кукуруза консервированная сахарная</t>
  </si>
  <si>
    <t>Кукуруза консервированная</t>
  </si>
  <si>
    <t>Гарнир № 302, 304, 310, 312, 315</t>
  </si>
  <si>
    <t xml:space="preserve">Наименование учреждения </t>
  </si>
  <si>
    <t>Расходы на питание обучающихся в зависимости от дней посещения</t>
  </si>
  <si>
    <t xml:space="preserve">период </t>
  </si>
  <si>
    <t>п/п №</t>
  </si>
  <si>
    <t>Дни по меню</t>
  </si>
  <si>
    <t>Общая стоимость питания по меню</t>
  </si>
  <si>
    <t>в т.ч. по источникам финансирования</t>
  </si>
  <si>
    <t>к-во детодней</t>
  </si>
  <si>
    <t>взносы родителей</t>
  </si>
  <si>
    <t>Первый день</t>
  </si>
  <si>
    <t>Второй день</t>
  </si>
  <si>
    <t>Третий день</t>
  </si>
  <si>
    <t>Четвертый день</t>
  </si>
  <si>
    <t>Пятый день</t>
  </si>
  <si>
    <t>Шестой день</t>
  </si>
  <si>
    <t>Седьмой день</t>
  </si>
  <si>
    <t>Итого за месяц</t>
  </si>
  <si>
    <t>Булочка "Веснушка" (масса 50 г)</t>
  </si>
  <si>
    <t>Белки</t>
  </si>
  <si>
    <t>Жиры</t>
  </si>
  <si>
    <t>Углеводы</t>
  </si>
  <si>
    <t>Энергетическая ценность</t>
  </si>
  <si>
    <t>к-во дней</t>
  </si>
  <si>
    <t>цена на день</t>
  </si>
  <si>
    <t>Общая стоимость питания на одного обуч.</t>
  </si>
  <si>
    <t>всего на день</t>
  </si>
  <si>
    <t>Распределение средств по источникам финансирования</t>
  </si>
  <si>
    <t>цена 1 яйца</t>
  </si>
  <si>
    <t>Джем абрикосовый</t>
  </si>
  <si>
    <t>Бутерброды горячие с сыром российским</t>
  </si>
  <si>
    <t>Масло сливочное (порциями)</t>
  </si>
  <si>
    <t>Колбаса полукопченая (порциями)</t>
  </si>
  <si>
    <t>Салат из свежих помидоров и огурцов с луком репчатым</t>
  </si>
  <si>
    <t>Салат из свежих помидоров и огурцов с луком зеленым</t>
  </si>
  <si>
    <t>Салат из свежих помидоров с луком зеленым</t>
  </si>
  <si>
    <t>Салат из свежих помидоров с луком репчатым</t>
  </si>
  <si>
    <t>Салат картофельный с морковью и зеленым горошком</t>
  </si>
  <si>
    <t>Горошок зеленый консервированный</t>
  </si>
  <si>
    <t>Яйцо 2 шт.</t>
  </si>
  <si>
    <t>Салат картофельный с капустой свежей и кукурузой</t>
  </si>
  <si>
    <t>Кукуруза сахарная консервированная</t>
  </si>
  <si>
    <t>Салат из овощей</t>
  </si>
  <si>
    <t>Яйца 3 шт.</t>
  </si>
  <si>
    <t>Масса прогретой капусты</t>
  </si>
  <si>
    <t>Вода кипяченая</t>
  </si>
  <si>
    <t>Салат витаминный ( 1 вариант)</t>
  </si>
  <si>
    <t>Лимон (для сока)</t>
  </si>
  <si>
    <t>Салат из свеклы отварной</t>
  </si>
  <si>
    <t>Каша рассыпчатая гречневая с маслом и сахаром</t>
  </si>
  <si>
    <t>Каша рассыпчатая рисовая маслом и сахаром</t>
  </si>
  <si>
    <t>Каша рассыпчатая пшенная с маслом и сахаром</t>
  </si>
  <si>
    <t>Каша рассыпчатая перловая с маслом и сахаром</t>
  </si>
  <si>
    <t>Каша жидкая молочная из манной крупы с маслом и сахаром</t>
  </si>
  <si>
    <t>Каша жидкая молочная из крупы пшенной с маслом и сахаром</t>
  </si>
  <si>
    <t>Каша жидкая молочная из гречневой крупы с маслом и сахаром</t>
  </si>
  <si>
    <t>Каша вязкая молочная из риса с маслом и сахаром</t>
  </si>
  <si>
    <t>Каша вязкая молочная из крупы перловой с маслом и сахаром</t>
  </si>
  <si>
    <t>Каша вязкая молочная из крупы гречневой с маслом и сахаром</t>
  </si>
  <si>
    <t>Каша вязкая молочная из крупы пшенной с маслом и сахаром</t>
  </si>
  <si>
    <t>Каша жидкая молочная из крупы перловой с маслом и сахаром</t>
  </si>
  <si>
    <t>Каша жидкая молочная из крупы рисовой с маслом и сахаром</t>
  </si>
  <si>
    <t>Рыба припущенная (минтай) с маслом</t>
  </si>
  <si>
    <t xml:space="preserve">Рыба жареная (минтай) </t>
  </si>
  <si>
    <t>Наименование сборника рецептур: "Сборник рецептур на продукцию для обучающихся во всех образовательных учреждениях", под ред. Могильного М.П., 2011 г. (рекомендован НИИ питания  РАМН  1 ноября 2011 г.)</t>
  </si>
  <si>
    <t>Суп молочный с макаронными изделиями</t>
  </si>
  <si>
    <t>Выход:</t>
  </si>
  <si>
    <t>Суп молочный с крупой гречневой</t>
  </si>
  <si>
    <t>Суп молочный с крупой перловой</t>
  </si>
  <si>
    <t>Суп картофельный с вермишелью</t>
  </si>
  <si>
    <t>Вермишель</t>
  </si>
  <si>
    <t>Салат из белокачанной капусты с морковью</t>
  </si>
  <si>
    <t>Картофельное пюре с луком пассерованным</t>
  </si>
  <si>
    <t>Выход :</t>
  </si>
  <si>
    <t>Винегрет овощной (с горошком) с луком зеленым</t>
  </si>
  <si>
    <t>Винегрет овощной (с капустой) с луком зеленым</t>
  </si>
  <si>
    <t>Сырники из творога с молоком сгущенным</t>
  </si>
  <si>
    <t>Оладьи из творога с молоком сгущенным</t>
  </si>
  <si>
    <t>Свекла, тушенная в сметанном соусе</t>
  </si>
  <si>
    <t>Картофель и овощи, тушенные в сметанном соусе</t>
  </si>
  <si>
    <t>Соус № 331 сметанный с томатом</t>
  </si>
  <si>
    <t>Голубцы овощные с соусом сметанным и томатом</t>
  </si>
  <si>
    <t>Перец, фаршированный овощами и рисомс соусом сметанныи и томатом</t>
  </si>
  <si>
    <t>Соус № 330 сметанный</t>
  </si>
  <si>
    <t>Мясо отварное с соусом сметанным</t>
  </si>
  <si>
    <t>Сосиски отварные со сливочным маслом</t>
  </si>
  <si>
    <t>Соус № 332 сметанный с луком</t>
  </si>
  <si>
    <t>Сосиски жареные с соусом сметанным и луком</t>
  </si>
  <si>
    <t>Мясо тушеное с соусом</t>
  </si>
  <si>
    <t>Мясо тушеное с соусом (2 вариант)</t>
  </si>
  <si>
    <t>Рагу из овощей</t>
  </si>
  <si>
    <t>Репа</t>
  </si>
  <si>
    <t>Капуста свежая белокачанная</t>
  </si>
  <si>
    <t>Масса рагу</t>
  </si>
  <si>
    <t>Масса пассерованного лука с маслом</t>
  </si>
  <si>
    <t>Масса обжареных голубцов</t>
  </si>
  <si>
    <t>Фрикадельки из говядины в соусе сметанном с томатом</t>
  </si>
  <si>
    <t>Черешня с сахаром</t>
  </si>
  <si>
    <t>Земляника садовая с сахаром</t>
  </si>
  <si>
    <t>Апельсины с сахаром</t>
  </si>
  <si>
    <t>Мандарины с сахаром</t>
  </si>
  <si>
    <t xml:space="preserve">Кисель из яблок </t>
  </si>
  <si>
    <t>Блины с маслом сливочным</t>
  </si>
  <si>
    <t>Блины с медом</t>
  </si>
  <si>
    <t>Мед</t>
  </si>
  <si>
    <t>Выход с медом</t>
  </si>
  <si>
    <t>01.25.21.110</t>
  </si>
  <si>
    <t>Мед натуральный пчелиный</t>
  </si>
  <si>
    <t>Мясо птицы  (тушка)</t>
  </si>
  <si>
    <t>Блины с молоком сгущенным</t>
  </si>
  <si>
    <t>Выход с молоком сгущенным</t>
  </si>
  <si>
    <t>Куриные окорочка</t>
  </si>
  <si>
    <t>Плов из куриных окорочков</t>
  </si>
  <si>
    <t>Рагу из куриных окорочков</t>
  </si>
  <si>
    <t>Мясо птицы  (окорочка, бедра) охлажденные</t>
  </si>
  <si>
    <t>Птица отварная (куриные окорочка)</t>
  </si>
  <si>
    <t>Куриные окорочка тушеные в соусе с овощами</t>
  </si>
  <si>
    <t xml:space="preserve">Компот из яблок </t>
  </si>
  <si>
    <t>Блины с повидлом яблочным</t>
  </si>
  <si>
    <t>Повидло яблочное</t>
  </si>
  <si>
    <t>Фарш из свежей капусты с луком</t>
  </si>
  <si>
    <t>Яйца 1/13 шт.</t>
  </si>
  <si>
    <t>Масло растительное (для смазки противня)</t>
  </si>
  <si>
    <t>Масса готовой запеканки</t>
  </si>
  <si>
    <t>Запеканка манная с маслом</t>
  </si>
  <si>
    <t>Запеканка манная с молоком сгущенным</t>
  </si>
  <si>
    <t>Масса готового пудинга</t>
  </si>
  <si>
    <t>Омлет натуральный с маслом</t>
  </si>
  <si>
    <t>Макаронные изделия отварные с маслом</t>
  </si>
  <si>
    <t>Эссенция</t>
  </si>
  <si>
    <t>Разрыхлитель (аммоний углекислый)</t>
  </si>
  <si>
    <t>Каша жидкая молочная из крупы овсяной с маслом и сахаром</t>
  </si>
  <si>
    <t>Крупа овсяная</t>
  </si>
  <si>
    <t>Крупа ячневая</t>
  </si>
  <si>
    <t>Каша жидкая молочная из крупы ячневой с маслом и сахаром</t>
  </si>
  <si>
    <t>Запеканка рисовая с молоком сгущенным</t>
  </si>
  <si>
    <t>Запеканка рисовая с маслом</t>
  </si>
  <si>
    <t>Мороженое пломбир</t>
  </si>
  <si>
    <t>Вода питьевая 19 л</t>
  </si>
  <si>
    <t>Зефир</t>
  </si>
  <si>
    <t>Сок натуральный виноградный (в банках 3 л)</t>
  </si>
  <si>
    <t>Блюда на основании Сборника рецептур на продукцию для обучающихся во всех образовательных учреждениях (под ред. Могильного М.П., 2011 г.)</t>
  </si>
  <si>
    <t>Конфеты, глазированные шоколадом (Морские)</t>
  </si>
  <si>
    <t>Конфеты сливочные (Коровка)</t>
  </si>
  <si>
    <t>Кефир 2,5 % жирности</t>
  </si>
  <si>
    <t>Йогурт питьевой 1,5% жирности</t>
  </si>
  <si>
    <t xml:space="preserve">Творог с массовой долей жира от 9,0% </t>
  </si>
  <si>
    <t xml:space="preserve"> руб. бутыль</t>
  </si>
  <si>
    <t>МКОУ "Лицей  № 1"</t>
  </si>
  <si>
    <t>МКОУ"СОШ № 2"</t>
  </si>
  <si>
    <t>МКОУ"СОШ № 3"</t>
  </si>
  <si>
    <t>МКОУ"Гимназия  № 4"</t>
  </si>
  <si>
    <t>МКОУ"СОШ № 5"</t>
  </si>
  <si>
    <t>МКОУ"Гимназия  № 6"</t>
  </si>
  <si>
    <t>МКОУ"Лицей  № 7"</t>
  </si>
  <si>
    <t>МКОУ"СОШ с. Важное"</t>
  </si>
  <si>
    <t>МКОУ"СОШ а. Гюрюльдеук"</t>
  </si>
  <si>
    <t>МКОУ"СОШ а. Джегуты"</t>
  </si>
  <si>
    <t>МКОУ"СОШ с.Койдан"</t>
  </si>
  <si>
    <t>МКОУ"СОШ ст. Красногорской"</t>
  </si>
  <si>
    <t>МКОУ"СОШ а. Кызыл-Кала"</t>
  </si>
  <si>
    <t>МКОУ"СОШ а. Новая Джегута"</t>
  </si>
  <si>
    <t>МКОУ"СОШ а.Сары-Тюз"</t>
  </si>
  <si>
    <t>МКОУ"СОШ  а.Эльтаркач"</t>
  </si>
  <si>
    <t>Гуляш из отварной говядины</t>
  </si>
  <si>
    <t>Гарнир №302, 303, 310</t>
  </si>
  <si>
    <t>Говядина (вырезка, толстый, тоний края)</t>
  </si>
  <si>
    <t>Масса жареного мяса</t>
  </si>
  <si>
    <t>Соус № 326</t>
  </si>
  <si>
    <t>Гарнир №302, 305, 309, 310, 312, 313, 314, 317, 321</t>
  </si>
  <si>
    <t>Соус молочный (для подачи к блюду)</t>
  </si>
  <si>
    <t>Антрекот</t>
  </si>
  <si>
    <t>Говядина (толстый, тоний края)</t>
  </si>
  <si>
    <t>Масса жареного антрекота</t>
  </si>
  <si>
    <t>Гарнир №311, 313, 314, 325</t>
  </si>
  <si>
    <t xml:space="preserve">Бефстроганов </t>
  </si>
  <si>
    <t>Говядина (вырезка, тлстый и тонкий края, верхний и внутренний куски тазобедренной части)</t>
  </si>
  <si>
    <t>Масса соуса и пассерованного лука</t>
  </si>
  <si>
    <t>Гарнир № 310, 314, 320</t>
  </si>
  <si>
    <t>Масса пассерованного лука и томата</t>
  </si>
  <si>
    <t>Гарнир № 302, 306, 309, 313, 314, 315, 321, 324</t>
  </si>
  <si>
    <t xml:space="preserve">Масса гарнира </t>
  </si>
  <si>
    <t>Плов из курицы</t>
  </si>
  <si>
    <t>Поджарка из говядины</t>
  </si>
  <si>
    <t>Булочка с повидлом обсыпная (масса 50 г)</t>
  </si>
  <si>
    <t>Каша рассыпчатая пшенная (гарнир)</t>
  </si>
  <si>
    <t>Масса пшенной каши № 171</t>
  </si>
  <si>
    <t>Восьмой день</t>
  </si>
  <si>
    <t>Девятый день</t>
  </si>
  <si>
    <t>Десятый день</t>
  </si>
  <si>
    <t>Соус молочный (для подачи к блюду) (30 гр)</t>
  </si>
  <si>
    <t>Соус сметанный с томатом (30 гр.)</t>
  </si>
  <si>
    <t>Соус сметанный с луком (30 гр.)</t>
  </si>
  <si>
    <t>Соус сметанный с томатом и луком (30 гр)</t>
  </si>
  <si>
    <t>Соус сметанный с томатом (50 гр.)</t>
  </si>
  <si>
    <t>Соус сметанный с луком (50 гр.)</t>
  </si>
  <si>
    <t>Птица, тушеная в соусе с овощами</t>
  </si>
  <si>
    <t>Каша рассыпчатая рисовая маслом</t>
  </si>
  <si>
    <t>Каша рассыпчатая перловая с маслом</t>
  </si>
  <si>
    <t>Каша рассыпчатая пшенная с маслом</t>
  </si>
  <si>
    <t>Поджарка из говядины (2 вариант)</t>
  </si>
  <si>
    <t>Гуляш с соусом томатным (2 вариант)</t>
  </si>
  <si>
    <t>Жаркое по-домашнему (2 вариант)</t>
  </si>
  <si>
    <t>Масса тушеной рыбы</t>
  </si>
  <si>
    <t>Масса готовой рыбы с тушеными овощами и соусом</t>
  </si>
  <si>
    <t>Выход</t>
  </si>
  <si>
    <t>Гарнир № 310, 312</t>
  </si>
  <si>
    <t>Коржики молочные (масса 75 г)</t>
  </si>
  <si>
    <t>Натрий двууглекислый</t>
  </si>
  <si>
    <t>Бутерброды с джемом абрикосовым и маслом</t>
  </si>
  <si>
    <t>Бутерброды с сыром российским и маслом</t>
  </si>
  <si>
    <t>Рагу из птицы</t>
  </si>
  <si>
    <t>Птица  тушенная в соусе</t>
  </si>
  <si>
    <t>Мясо птицы филе</t>
  </si>
  <si>
    <t>Птица отварная (филе)</t>
  </si>
  <si>
    <t>Филе птицы</t>
  </si>
  <si>
    <t>Булочка школьная 100 г</t>
  </si>
  <si>
    <t>Булочка школьная 30 г</t>
  </si>
  <si>
    <t>Булочка школьная 50 г</t>
  </si>
  <si>
    <t>Булочка "Веснушка" (масса 100 г)</t>
  </si>
  <si>
    <t>Масса жареных изделий</t>
  </si>
  <si>
    <t>Гарнир № 302, 306, 310, 312, 313, 314, 315, 321</t>
  </si>
  <si>
    <t>Хек филе</t>
  </si>
  <si>
    <t>Минтай филе</t>
  </si>
  <si>
    <t>Рыба хек (филе), тушенная в томате с овощами</t>
  </si>
  <si>
    <t>Рыба минтай (филе), тушенная в томате с овощами</t>
  </si>
  <si>
    <t>Котлеты рубленные из мяса птицы (окорочка)</t>
  </si>
  <si>
    <t>Котлеты рубленные из кур (окорочка), запеченные с соусом молочным</t>
  </si>
  <si>
    <t>Птица  (окорочка) тушенная в соусе</t>
  </si>
  <si>
    <t>Фрикадельки из куриных окорочков или бройлеров-цыплят</t>
  </si>
  <si>
    <t>Масса котлетной массы</t>
  </si>
  <si>
    <t>Фарш: соус № 329</t>
  </si>
  <si>
    <t>Полдник</t>
  </si>
  <si>
    <t>итого полдник</t>
  </si>
  <si>
    <t>Конфеты сливочные ( Лёвушка)</t>
  </si>
  <si>
    <t>Печенье овсяное</t>
  </si>
  <si>
    <t>Пряники</t>
  </si>
  <si>
    <t>Конфеты желейные (мармелад)</t>
  </si>
  <si>
    <t>Вафли с пралиновыми начинками</t>
  </si>
  <si>
    <t>Курага</t>
  </si>
  <si>
    <t>Финики</t>
  </si>
  <si>
    <t>Орех грецкий</t>
  </si>
  <si>
    <t>Кексы</t>
  </si>
  <si>
    <t>Земляника садовая (клубника)</t>
  </si>
  <si>
    <t>Конфеты Батончики</t>
  </si>
  <si>
    <t>Хлопья овсяные "Геркулес"</t>
  </si>
  <si>
    <t>Джем абрикосовый (клубничный и др)</t>
  </si>
  <si>
    <t>Кетчуп томатный</t>
  </si>
  <si>
    <t>Корица молотая</t>
  </si>
  <si>
    <t>Пряности обработанные прочие</t>
  </si>
  <si>
    <t>Мандарин (мандора)</t>
  </si>
  <si>
    <t>Морковь столовая молодая</t>
  </si>
  <si>
    <t>Капуста свежая молодая</t>
  </si>
  <si>
    <t>Свекла столовая свежая</t>
  </si>
  <si>
    <t>Сок натуральный (виноградный, яблочный и др. в пакетах)</t>
  </si>
  <si>
    <t>Конфеты ирис (Золотой ключик)</t>
  </si>
  <si>
    <t>Конфеты шоколадные ("Российские" (плитка)</t>
  </si>
  <si>
    <t>1-ый</t>
  </si>
  <si>
    <t>2-ой</t>
  </si>
  <si>
    <t>3-ий</t>
  </si>
  <si>
    <t>10-ый</t>
  </si>
  <si>
    <t>9-ый</t>
  </si>
  <si>
    <t>8-ой</t>
  </si>
  <si>
    <t>4-ый</t>
  </si>
  <si>
    <t>5-ый</t>
  </si>
  <si>
    <t>6-ой</t>
  </si>
  <si>
    <t>7-ой</t>
  </si>
  <si>
    <t>Салат из белокачанной капусты с морковью (молодой)</t>
  </si>
  <si>
    <t>Капуста белокачанная  молодая</t>
  </si>
  <si>
    <t>Морковь молодая</t>
  </si>
  <si>
    <t>Пудинг из творога (запеченный) со сгущенным молоком</t>
  </si>
  <si>
    <t>Варенье (абрикосовое)</t>
  </si>
  <si>
    <t>Варенье абрикосовое</t>
  </si>
  <si>
    <t>Оладьи с вареньем абрикосовым</t>
  </si>
  <si>
    <t>Каша пшенная с изюмом</t>
  </si>
  <si>
    <t>Итого завтрак за все дни</t>
  </si>
  <si>
    <t>Итого обед за все дни</t>
  </si>
  <si>
    <t>Итого полдник за все дни</t>
  </si>
  <si>
    <t>Борщ с картофелем</t>
  </si>
  <si>
    <t>Щи из свежей капусты</t>
  </si>
  <si>
    <t>Щи из свежей капусты и картофеля</t>
  </si>
  <si>
    <t>Щи зелёные</t>
  </si>
  <si>
    <t>Итого за все дни завтрак</t>
  </si>
  <si>
    <t>Итого за все дни обед</t>
  </si>
  <si>
    <t>Итого за все дни полдник</t>
  </si>
  <si>
    <t>Рыба (минтай), тушенная в томате с овощами</t>
  </si>
  <si>
    <t>Конфеты, глазированные шоколадом (Степ, Марс)</t>
  </si>
  <si>
    <t>Конфеты "Тортимилка" 1 шт. 17,5 гр</t>
  </si>
  <si>
    <t>Чечевица</t>
  </si>
  <si>
    <t>Крупа пшеничная</t>
  </si>
  <si>
    <t>Щи из квашеной капусты с картофелем</t>
  </si>
  <si>
    <t xml:space="preserve">Капуста квашеная </t>
  </si>
  <si>
    <t>Суп крестьянский с крупой овсяной</t>
  </si>
  <si>
    <t>Суп крестьянский с крупой перловой</t>
  </si>
  <si>
    <t>Суп крестьянский с крупой пшеничной</t>
  </si>
  <si>
    <t>Суп крестьянский с пшеном</t>
  </si>
  <si>
    <t>Суп из овощей</t>
  </si>
  <si>
    <t>Фасоль овощная</t>
  </si>
  <si>
    <t>Суп картофельный с пшеном</t>
  </si>
  <si>
    <t>Суп картофельный с рисом</t>
  </si>
  <si>
    <t>Суп картофельный с крупой овсяной</t>
  </si>
  <si>
    <t>Суп картофельный с крупой пшеничной</t>
  </si>
  <si>
    <t>Суп картофельный с фасолью</t>
  </si>
  <si>
    <t>Суп картофельный с чечевицей</t>
  </si>
  <si>
    <t>Суп картофельный с рыбными фрикадельками</t>
  </si>
  <si>
    <t>Фрикадельки рыбные № 107 на порцию 250 г</t>
  </si>
  <si>
    <t>Минтай</t>
  </si>
  <si>
    <t>Яйца 1,25шт</t>
  </si>
  <si>
    <t>Клёцки</t>
  </si>
  <si>
    <t>Яйца 2,2 шт</t>
  </si>
  <si>
    <t>Выход теста</t>
  </si>
  <si>
    <t>Суп картофельный с клёцками</t>
  </si>
  <si>
    <t>Клёцки готовые № 109</t>
  </si>
  <si>
    <t>Суп с рисом</t>
  </si>
  <si>
    <t>Суп с крупой перловой</t>
  </si>
  <si>
    <t>Суп с крупой овсяной</t>
  </si>
  <si>
    <t>Суп с крупой ячневой</t>
  </si>
  <si>
    <t>Суп с крупой пшеничной</t>
  </si>
  <si>
    <t>Крупа кукурузная</t>
  </si>
  <si>
    <t>Суп молочный с крупой кукурузной</t>
  </si>
  <si>
    <t>Суп молочный с крупой манной</t>
  </si>
  <si>
    <t>Суп молочный с пшеном</t>
  </si>
  <si>
    <t>Суп крестьянский с хлопьями  овсяными "Геркулес"</t>
  </si>
  <si>
    <t>Суп картофельный с хлопьями овсяными "Геркулес"</t>
  </si>
  <si>
    <t>Суп молочный с рисом</t>
  </si>
  <si>
    <t>Суп молочный с хлопьями овсяными "Геркулес"</t>
  </si>
  <si>
    <t>Суп крестьянский с рисом</t>
  </si>
  <si>
    <t>Суп с пшеном</t>
  </si>
  <si>
    <t>Яйца 1/20 шт.</t>
  </si>
  <si>
    <t>Масса готового крупеника</t>
  </si>
  <si>
    <t>Крупеник из гречневой крупы с маслом</t>
  </si>
  <si>
    <t>Крупеник из гречневой крупы с йогуртом</t>
  </si>
  <si>
    <t>Йогурт</t>
  </si>
  <si>
    <t>Крупеник из пшеничной крупы с маслом</t>
  </si>
  <si>
    <t>Крупеник из пшеничной крупы с йогуртом</t>
  </si>
  <si>
    <t>Петрушка зелtная</t>
  </si>
  <si>
    <t>Цена</t>
  </si>
  <si>
    <t xml:space="preserve">Цена  продуктов питания </t>
  </si>
  <si>
    <t>цена единицы товара</t>
  </si>
  <si>
    <t>ед. изм.</t>
  </si>
  <si>
    <t>Рассольник</t>
  </si>
  <si>
    <t>Рассольник ленинградский</t>
  </si>
  <si>
    <t>Рис отварной</t>
  </si>
  <si>
    <t xml:space="preserve">  Выход </t>
  </si>
  <si>
    <t>Салат из моркови и яблок с яйцом</t>
  </si>
  <si>
    <t>Яйцо  2 шт.</t>
  </si>
  <si>
    <t>Котлеты рубленные из мяса птицы с маслом</t>
  </si>
  <si>
    <t>Хлопья овсяные "Ясно солнышко"</t>
  </si>
  <si>
    <t>Хлеб пшеничный нарезной</t>
  </si>
  <si>
    <t>Хлеб пшенично-ржаной нарезной</t>
  </si>
  <si>
    <t>Салат из свеклы с зеленым горошком</t>
  </si>
  <si>
    <t>Салат из свеклы с яблоками</t>
  </si>
  <si>
    <t>Салат овощной с яблоками</t>
  </si>
  <si>
    <t>Лимоны (для сока)</t>
  </si>
  <si>
    <t xml:space="preserve">Сосиски "Халяль" </t>
  </si>
  <si>
    <t>полдник</t>
  </si>
  <si>
    <t>Хлопья овсяные Ясно солнышко</t>
  </si>
  <si>
    <t>Каша вязкая овсяная "Ясно солнышко"</t>
  </si>
  <si>
    <t>Свекольник со сметаной и яйцом</t>
  </si>
  <si>
    <t>Яйца 1/5 шт.</t>
  </si>
  <si>
    <t>Шницель натуральный рубленый из говядины</t>
  </si>
  <si>
    <t xml:space="preserve">Тефтели из говядины 2-й вариант с рисом </t>
  </si>
  <si>
    <t>Сок натуральный фруктовый с сахаром (3л.)</t>
  </si>
  <si>
    <t>Печенье сахарное "Юбилейное"</t>
  </si>
  <si>
    <t xml:space="preserve">Яйца куриные                                              </t>
  </si>
  <si>
    <t>Йогурт натуральный 5% (Fruttis) в пакетиках</t>
  </si>
  <si>
    <t>Соус малиновый</t>
  </si>
  <si>
    <t>Малина</t>
  </si>
  <si>
    <t>Вишня</t>
  </si>
  <si>
    <t>Черная смородина</t>
  </si>
  <si>
    <t>Содержание витаминов</t>
  </si>
  <si>
    <t>С, мг</t>
  </si>
  <si>
    <t>В1, мг</t>
  </si>
  <si>
    <t>В2, мг</t>
  </si>
  <si>
    <t>А, рет. Экв.</t>
  </si>
  <si>
    <t>Содержание минералов</t>
  </si>
  <si>
    <t>кальций, мг</t>
  </si>
  <si>
    <t>фосфор, мг</t>
  </si>
  <si>
    <t>магний, мг</t>
  </si>
  <si>
    <t>железо, мг</t>
  </si>
  <si>
    <t>калий, мг</t>
  </si>
  <si>
    <t>йод, мг</t>
  </si>
  <si>
    <t>селен, мг</t>
  </si>
  <si>
    <t>Бутерброды с маслом сливочным</t>
  </si>
  <si>
    <t>Соус абрикосовый</t>
  </si>
  <si>
    <t>Абрикосы свежие</t>
  </si>
  <si>
    <t>Соус абрикосовый (курага)</t>
  </si>
  <si>
    <t>Соус черносмородиновый</t>
  </si>
  <si>
    <t>Соус яблочный</t>
  </si>
  <si>
    <t>С</t>
  </si>
  <si>
    <t>А</t>
  </si>
  <si>
    <t>В1</t>
  </si>
  <si>
    <t>В2</t>
  </si>
  <si>
    <t>Пищевые вещества (г)</t>
  </si>
  <si>
    <t>Витамины (мг)</t>
  </si>
  <si>
    <t>Минеральные вещества (мг)</t>
  </si>
  <si>
    <t>Е</t>
  </si>
  <si>
    <t>Отклонение</t>
  </si>
  <si>
    <t>Рекомендуемая норма суточная</t>
  </si>
  <si>
    <t>цинк, Zn</t>
  </si>
  <si>
    <t>железо, Fe</t>
  </si>
  <si>
    <t>фосфор, Р</t>
  </si>
  <si>
    <t>магний, Mg</t>
  </si>
  <si>
    <t>кальций, Са</t>
  </si>
  <si>
    <t>калий, мг K</t>
  </si>
  <si>
    <t>йод, I</t>
  </si>
  <si>
    <t>селен</t>
  </si>
  <si>
    <t>Приложение N 7</t>
  </si>
  <si>
    <t>к СанПиН 2.3/2.4.3590-20</t>
  </si>
  <si>
    <t>СРЕДНЕСУТОЧНЫЕ НАБОРЫ ПИЩЕВОЙ ПРОДУКЦИИ (МИНИМАЛЬНЫЕ)</t>
  </si>
  <si>
    <t>Таблица 1</t>
  </si>
  <si>
    <t>N</t>
  </si>
  <si>
    <t>Наименование пищевой продукции или группы пищевой продукции</t>
  </si>
  <si>
    <t>Итого за сутки</t>
  </si>
  <si>
    <t>3 - 7 лет</t>
  </si>
  <si>
    <t>Творог (5% - 9% м.д.ж.)</t>
  </si>
  <si>
    <t>Мясо 1-й категории</t>
  </si>
  <si>
    <t>Субпродукты (печень, язык, сердце)</t>
  </si>
  <si>
    <t>Рыба (филе), в т.ч. филе слабо- или малосоленое</t>
  </si>
  <si>
    <t>Яйцо, шт.</t>
  </si>
  <si>
    <t>Фрукты свежие</t>
  </si>
  <si>
    <t>Сухофрукты</t>
  </si>
  <si>
    <t>Хлеб ржаной</t>
  </si>
  <si>
    <t>Крупы, бобовые</t>
  </si>
  <si>
    <t>Кондитерские изделия</t>
  </si>
  <si>
    <t>Чай</t>
  </si>
  <si>
    <t>Сахар (в том числе для приготовления блюд и напитков, в случае использования пищевой продукции промышленного выпуска, содержащих сахар, выдача сахара должна быть уменьшена в зависимости от его содержания в используемой готовой пищевой продукции)</t>
  </si>
  <si>
    <t>Крахмал</t>
  </si>
  <si>
    <t>Соль пищевая поваренная йодированная</t>
  </si>
  <si>
    <t>Таблица 2</t>
  </si>
  <si>
    <t>7 - 11 лет</t>
  </si>
  <si>
    <t>12 лет и старше</t>
  </si>
  <si>
    <t>Овощи (свежие, мороженые, консервированные), включая соленые и квашеные (не более 10% от общего количества овощей), в т.ч. томат-пюре, зелень, г</t>
  </si>
  <si>
    <t>Соки плодоовощные, напитки витаминизированные, в т.ч. инстантные</t>
  </si>
  <si>
    <t>Птица (цыплята-бройлеры потрошеные - 1 кат)</t>
  </si>
  <si>
    <t>Кисломолочная пищевая продукция</t>
  </si>
  <si>
    <t>Специи</t>
  </si>
  <si>
    <t xml:space="preserve">Среднесуточные наборы пищевой продукции для организации питания детей от 7 до 18 лет (в нетто г, мл, на 1 ребенка в сутки)
</t>
  </si>
  <si>
    <t>Приложение N 9</t>
  </si>
  <si>
    <t>Блюдо</t>
  </si>
  <si>
    <t>Масса порций</t>
  </si>
  <si>
    <t>от 1 года до 3 лет</t>
  </si>
  <si>
    <t>Каша, или овощное, или яичное, или творожное, или мясное блюдо (допускается комбинация разных блюд завтрака, при этом выход каждого блюда может быть уменьшен при условии соблюдения общей массы блюд завтрака)</t>
  </si>
  <si>
    <t>130 - 150</t>
  </si>
  <si>
    <t>150 - 200</t>
  </si>
  <si>
    <t>200 - 250</t>
  </si>
  <si>
    <t>Закуска (холодное блюдо) (салат, овощи и т.п.)</t>
  </si>
  <si>
    <t>30 - 40</t>
  </si>
  <si>
    <t>50 - 60</t>
  </si>
  <si>
    <t>60 - 100</t>
  </si>
  <si>
    <t>100 - 150</t>
  </si>
  <si>
    <t>Первое блюдо</t>
  </si>
  <si>
    <t>150 - 180</t>
  </si>
  <si>
    <t>180 - 200</t>
  </si>
  <si>
    <t>250 - 300</t>
  </si>
  <si>
    <t>Второе блюдо (мясное, рыбное, блюдо из мяса птицы)</t>
  </si>
  <si>
    <t>70 - 80</t>
  </si>
  <si>
    <t>90 - 120</t>
  </si>
  <si>
    <t>100 - 120</t>
  </si>
  <si>
    <t>Гарнир</t>
  </si>
  <si>
    <t>110 - 120</t>
  </si>
  <si>
    <t>180 - 230</t>
  </si>
  <si>
    <t>Третье блюдо (компот, кисель, чай, напиток кофейный, какао-напиток, напиток из шиповника, сок)</t>
  </si>
  <si>
    <t>Фрукты</t>
  </si>
  <si>
    <t>МАССА ПОРЦИЙ ДЛЯ ДЕТЕЙ В ЗАВИСИМОСТИ ОТ ВОЗРАСТА (В ГРАММАХ)</t>
  </si>
  <si>
    <t>Таблица 3</t>
  </si>
  <si>
    <t xml:space="preserve">Суммарные объемы блюд по приемам пищи (в граммах - не менее)
(в граммах - не менее)
</t>
  </si>
  <si>
    <t>Показатели</t>
  </si>
  <si>
    <t>от 1 до 3 лет</t>
  </si>
  <si>
    <t>от 3 до 7 лет</t>
  </si>
  <si>
    <t>от 7 до 12 лет</t>
  </si>
  <si>
    <t>Завтрак</t>
  </si>
  <si>
    <t>Второй завтрак</t>
  </si>
  <si>
    <t>Ужин</t>
  </si>
  <si>
    <t>Второй ужин</t>
  </si>
  <si>
    <t>Приложение 2</t>
  </si>
  <si>
    <t>к МР 2.4.0179-20</t>
  </si>
  <si>
    <t>МР 2.4.0179-20. 2.4. Гигиена детей и подростков. Рекомендации по организации питания обучающихся общеобразовательных организаций. Методические рекомендации</t>
  </si>
  <si>
    <t>Режим питания по приемам пищи</t>
  </si>
  <si>
    <t>1 смена</t>
  </si>
  <si>
    <t>2 смена</t>
  </si>
  <si>
    <t>Прием пищи</t>
  </si>
  <si>
    <t>Часы приема</t>
  </si>
  <si>
    <t>% к суточной калорийности</t>
  </si>
  <si>
    <t>9.30 - 11.00</t>
  </si>
  <si>
    <t>20 - 25</t>
  </si>
  <si>
    <t>7.30 - 8.30</t>
  </si>
  <si>
    <t>13.30 - 14.30</t>
  </si>
  <si>
    <t>12.30 - 13.30</t>
  </si>
  <si>
    <t>30 - 35</t>
  </si>
  <si>
    <t>15.30 - 16.30</t>
  </si>
  <si>
    <t>18.30 - 19.30</t>
  </si>
  <si>
    <t>Вариант 1.</t>
  </si>
  <si>
    <t>Примерное меню завтраков для обучающихся</t>
  </si>
  <si>
    <t>1 - 4-х и 5 - 11-х классов</t>
  </si>
  <si>
    <t>Название блюда</t>
  </si>
  <si>
    <t>1 - 4 классы</t>
  </si>
  <si>
    <t>5 - 11 классы</t>
  </si>
  <si>
    <t>Выход (вес) порции</t>
  </si>
  <si>
    <t>(мл или гр)</t>
  </si>
  <si>
    <t>1 НЕДЕЛЯ</t>
  </si>
  <si>
    <t>Понедельник</t>
  </si>
  <si>
    <t>Каша гречневая молочная</t>
  </si>
  <si>
    <t>Чай &lt;*&gt;</t>
  </si>
  <si>
    <t>Хлеб &lt;**&gt;</t>
  </si>
  <si>
    <t>Сыр (Российский и др.)</t>
  </si>
  <si>
    <t>Вторник</t>
  </si>
  <si>
    <t>Омлет натуральный</t>
  </si>
  <si>
    <t>Зеленый горошек отварной консервированный</t>
  </si>
  <si>
    <t>Среда</t>
  </si>
  <si>
    <t>Рыба припущенная</t>
  </si>
  <si>
    <t>Картофельное пюре</t>
  </si>
  <si>
    <t>Чай с лимоном &lt;*&gt;</t>
  </si>
  <si>
    <t>200/7</t>
  </si>
  <si>
    <t>Четверг</t>
  </si>
  <si>
    <t>Запеканка творожно-морковная со сметанным соусом</t>
  </si>
  <si>
    <t>200/15</t>
  </si>
  <si>
    <t>220/20</t>
  </si>
  <si>
    <t>Пятница</t>
  </si>
  <si>
    <t>Макаронные изделия с тертым сыром</t>
  </si>
  <si>
    <t>2 НЕДЕЛЯ</t>
  </si>
  <si>
    <t>Каша пшенная молочная</t>
  </si>
  <si>
    <t>Чай фруктовый &lt;*&gt;</t>
  </si>
  <si>
    <t>Запеканка рисовая со сметанным соусом</t>
  </si>
  <si>
    <t>Каша овсяная молочная</t>
  </si>
  <si>
    <t>Пудинг творожный с изюмом</t>
  </si>
  <si>
    <t>Подлива фруктовая</t>
  </si>
  <si>
    <t>Биточки (мясо или птица)</t>
  </si>
  <si>
    <t>Морковь тертая с р/м</t>
  </si>
  <si>
    <t>Запеканка рисовая</t>
  </si>
  <si>
    <t>Кисель из ягод (замороженных или свежих)</t>
  </si>
  <si>
    <t>Йогурт порционный</t>
  </si>
  <si>
    <t>Сырники творожно-морковные с соусом молочным</t>
  </si>
  <si>
    <t>Тефтели рыбные</t>
  </si>
  <si>
    <t>Компот из сухофруктов</t>
  </si>
  <si>
    <t>Каша манная молочная</t>
  </si>
  <si>
    <t>Кукуруза консервированная отварная</t>
  </si>
  <si>
    <t>Каша вязкая молочная из пшеничной крупы</t>
  </si>
  <si>
    <t>Тефтели (мясо или птица)</t>
  </si>
  <si>
    <t>Каша гречневая рассыпчатая</t>
  </si>
  <si>
    <t>Овощи свежие в нарезке</t>
  </si>
  <si>
    <t>Сок фруктовый</t>
  </si>
  <si>
    <t>2 вариант</t>
  </si>
  <si>
    <t>Примерное меню обедов для обучающихся</t>
  </si>
  <si>
    <t>Салат зеленый с помидорами с р/м</t>
  </si>
  <si>
    <t>Суп гороховый</t>
  </si>
  <si>
    <t>Биточки (мясо, птица)</t>
  </si>
  <si>
    <t>Овощное рагу</t>
  </si>
  <si>
    <t>Хлеб ржаной (ржано-пшеничный)</t>
  </si>
  <si>
    <t>Огурцы свежие (или соленые) в нарезке</t>
  </si>
  <si>
    <t>Борщ со сметаной</t>
  </si>
  <si>
    <t>250/10</t>
  </si>
  <si>
    <t>Картофель отварной (запеченный)</t>
  </si>
  <si>
    <t>Салат из свежих овощей с р/м</t>
  </si>
  <si>
    <t>Суп рисовый с картофелем</t>
  </si>
  <si>
    <t>Бефстроганов</t>
  </si>
  <si>
    <t>Компот из плодов сухих (шиповник) &lt;*&gt;</t>
  </si>
  <si>
    <t>Помидор свежий (или соленый) в нарезке</t>
  </si>
  <si>
    <t>Плов из птицы</t>
  </si>
  <si>
    <t>Компот из свежих яблок</t>
  </si>
  <si>
    <t>Салат из моркови с яблоком с р/м</t>
  </si>
  <si>
    <t>Суп с макаронными изделиями</t>
  </si>
  <si>
    <t>Печень по-строгановски</t>
  </si>
  <si>
    <t>Овощи свежие (или соленые) в нарезке</t>
  </si>
  <si>
    <t>Суп овощной со сметаной</t>
  </si>
  <si>
    <t>Тефтели (мясные)</t>
  </si>
  <si>
    <t>Рис припущенный</t>
  </si>
  <si>
    <t>Салат зеленый с огурцом с р/м</t>
  </si>
  <si>
    <t>Рассольник по-ленинградски</t>
  </si>
  <si>
    <t>Рыба, запеченная с картофелем по-русски</t>
  </si>
  <si>
    <t>Сок фруктовый (овощной)</t>
  </si>
  <si>
    <t>Салат витаминный с р/м</t>
  </si>
  <si>
    <t>Суп картофельный с рисовой крупой</t>
  </si>
  <si>
    <t>Котлеты (мясо или птица)</t>
  </si>
  <si>
    <t>Салат из моркови с яблоками с р/м</t>
  </si>
  <si>
    <t>Суп рыбный</t>
  </si>
  <si>
    <t>Котлета рубленая (мясо или птица), запеченная с соусом молочным</t>
  </si>
  <si>
    <t>Понедельник &lt;**&gt;</t>
  </si>
  <si>
    <t>Салат из свеклы с р/м</t>
  </si>
  <si>
    <t>Суп крестьянский с крупой</t>
  </si>
  <si>
    <t>Щи из свежей (или квашеной) капусты с картофелем</t>
  </si>
  <si>
    <t>Тефтели (мясо, птица)</t>
  </si>
  <si>
    <t>Салат из моркови с р/м</t>
  </si>
  <si>
    <t>Борщ с картофелем и фасолью</t>
  </si>
  <si>
    <t>Плов из мяса (птицы)</t>
  </si>
  <si>
    <t>Напиток клюквенный</t>
  </si>
  <si>
    <t>Огурец соленый</t>
  </si>
  <si>
    <t>Суп овощной с мясными фрикадельками</t>
  </si>
  <si>
    <t>250/20</t>
  </si>
  <si>
    <t>Котлета рыбная</t>
  </si>
  <si>
    <t>Овощи свежие (или соленые) в нарезке (огурцы)</t>
  </si>
  <si>
    <t>Вермишель отварная</t>
  </si>
  <si>
    <t>Компот из ягод (замороженных или свежих)</t>
  </si>
  <si>
    <t>Куры тушеные</t>
  </si>
  <si>
    <t>Компот из плодов сухих (изюм) &lt;*&gt;</t>
  </si>
  <si>
    <t>Салат картофельный с зеленым горошком с р/м</t>
  </si>
  <si>
    <t>Суп овощной</t>
  </si>
  <si>
    <t>Винегрет с р/м</t>
  </si>
  <si>
    <t>Рыба тушеная в томате с овощами</t>
  </si>
  <si>
    <t>Овощи в нарезке - огурец свежий</t>
  </si>
  <si>
    <t>Каша рисовая</t>
  </si>
  <si>
    <t xml:space="preserve">Всего </t>
  </si>
  <si>
    <t>ПРОМ</t>
  </si>
  <si>
    <t>54-16к-2020</t>
  </si>
  <si>
    <t>Наименование сборника рецептур: "Сборник рецептур блюд и кулинарных изделий для организации питания воспитанников дошкольных организаций (3-7) лет. Москва-2020</t>
  </si>
  <si>
    <t>Масло сливочное 82,5% мдж</t>
  </si>
  <si>
    <t>Конфеты Батончик (Ротфронт)</t>
  </si>
  <si>
    <t>Каша молочная "Дружба"</t>
  </si>
  <si>
    <r>
      <t xml:space="preserve">Технологическая карта </t>
    </r>
    <r>
      <rPr>
        <b/>
        <sz val="20"/>
        <rFont val="Times New Roman"/>
        <family val="1"/>
        <charset val="204"/>
      </rPr>
      <t>№ 8.4</t>
    </r>
  </si>
  <si>
    <t>Наименование изделия: Рыба, тушеная с овощами</t>
  </si>
  <si>
    <r>
      <t xml:space="preserve">Номер рецептуры: </t>
    </r>
    <r>
      <rPr>
        <b/>
        <u/>
        <sz val="14"/>
        <rFont val="Times New Roman"/>
        <family val="1"/>
        <charset val="204"/>
      </rPr>
      <t xml:space="preserve"> №247</t>
    </r>
  </si>
  <si>
    <r>
      <t xml:space="preserve">Наименование сборника рецептур: </t>
    </r>
    <r>
      <rPr>
        <u/>
        <sz val="12"/>
        <rFont val="Times New Roman"/>
        <family val="1"/>
        <charset val="204"/>
      </rPr>
      <t>Сборник рецептур блюд и кулинарных изделий для питания детей в дошкольных организациях. 2011 г.</t>
    </r>
  </si>
  <si>
    <t>Наименование сырья</t>
  </si>
  <si>
    <t>Расход сырья и полуфабрикатов</t>
  </si>
  <si>
    <t>1 порция</t>
  </si>
  <si>
    <t>брутто, г</t>
  </si>
  <si>
    <t>нетто, г</t>
  </si>
  <si>
    <t>Минтай неразделанный</t>
  </si>
  <si>
    <t>Или треска неразделанная</t>
  </si>
  <si>
    <t>Или рыбное филе</t>
  </si>
  <si>
    <t>с 01.01.</t>
  </si>
  <si>
    <t>Масса тушеной рыбы с овощами</t>
  </si>
  <si>
    <t>Химический состав данного блюда</t>
  </si>
  <si>
    <t>Пищевые вещества</t>
  </si>
  <si>
    <t>Витамин С, мг</t>
  </si>
  <si>
    <t>белки, г</t>
  </si>
  <si>
    <t>жиры, г</t>
  </si>
  <si>
    <t>углеводы, г</t>
  </si>
  <si>
    <t>энерг. ценность, ккал</t>
  </si>
  <si>
    <t>Требования к качеству:</t>
  </si>
  <si>
    <r>
      <t xml:space="preserve">Внешний вид: </t>
    </r>
    <r>
      <rPr>
        <sz val="12"/>
        <rFont val="Times New Roman"/>
        <family val="1"/>
        <charset val="204"/>
      </rPr>
      <t>тушеный кусочек филе рыбы с овощами и соусом</t>
    </r>
  </si>
  <si>
    <r>
      <t xml:space="preserve">Консистенция: </t>
    </r>
    <r>
      <rPr>
        <sz val="12"/>
        <rFont val="Times New Roman"/>
        <family val="1"/>
        <charset val="204"/>
      </rPr>
      <t>мягкая, сочная</t>
    </r>
  </si>
  <si>
    <r>
      <t>Цвет</t>
    </r>
    <r>
      <rPr>
        <sz val="12"/>
        <rFont val="Times New Roman"/>
        <family val="1"/>
        <charset val="204"/>
      </rPr>
      <t>: филе рыбы на разрезе – белый, соуса – розовый, овощей - натуральный</t>
    </r>
  </si>
  <si>
    <r>
      <t>Вкус :</t>
    </r>
    <r>
      <rPr>
        <sz val="12"/>
        <rFont val="Times New Roman"/>
        <family val="1"/>
        <charset val="204"/>
      </rPr>
      <t>рыбы в сочетании с соусом и овощами</t>
    </r>
  </si>
  <si>
    <r>
      <t xml:space="preserve">Запах: </t>
    </r>
    <r>
      <rPr>
        <sz val="12"/>
        <rFont val="Times New Roman"/>
        <family val="1"/>
        <charset val="204"/>
      </rPr>
      <t>продуктов, входящих в блюдо</t>
    </r>
  </si>
  <si>
    <t>1-3</t>
  </si>
  <si>
    <t>3-7</t>
  </si>
  <si>
    <r>
      <t xml:space="preserve">Технология приготовления: </t>
    </r>
    <r>
      <rPr>
        <sz val="12"/>
        <rFont val="Times New Roman"/>
        <family val="1"/>
        <charset val="204"/>
      </rPr>
      <t>рыбное филе нарезают на порционные куски, укладывают посуду в два слоя, чередуя со слоями нерезаной соломкой морковью и репчатого лука. Заливают водой, добавляют томатное пюре, масло растительное. Посуду закрывают крышкой и тушат 30 мин до готовности. Отпускают с овощами, с которыми тушилась рыба.</t>
    </r>
  </si>
  <si>
    <t>54-11р-2020</t>
  </si>
  <si>
    <t>Наименование сборника рецептур: "Сборник рецептур блюд и кулинарных изделий для организации горячих завтраков и обедов обучающимся 1-4 -х классов общеобразовательных организаций. Федеральная служба по надзору в сфере защиты прав потребителей и благополучия человека. Москва. 2020</t>
  </si>
  <si>
    <t>итого за третий день второй недели</t>
  </si>
  <si>
    <t>итого за первый день первой недели</t>
  </si>
  <si>
    <t>итого за второй день первой недели</t>
  </si>
  <si>
    <t>итого за третий день первой недели</t>
  </si>
  <si>
    <t>итого за четвертый день первой недели</t>
  </si>
  <si>
    <t>итого за пятый день первой недели</t>
  </si>
  <si>
    <t>итого за первый день второй недели</t>
  </si>
  <si>
    <t>итого за второй день второй недели</t>
  </si>
  <si>
    <t>итого за четвертый день второй недели день</t>
  </si>
  <si>
    <t>Наименование сборника рецептур: "Технологические карты и рецептуры для приготовления 700 блюд в детских садах, Пермь</t>
  </si>
  <si>
    <t xml:space="preserve">Сливочное масло </t>
  </si>
  <si>
    <t>Соус томатный с овощами</t>
  </si>
  <si>
    <t>Вторая неделя первый день (6)</t>
  </si>
  <si>
    <t>Вторая неделя четвертый день (9)</t>
  </si>
  <si>
    <t xml:space="preserve">Всего за 10 дней </t>
  </si>
  <si>
    <t>Первая неделя Первый день (1)</t>
  </si>
  <si>
    <t>Первая неделя Второй день (2)</t>
  </si>
  <si>
    <t>Первая неделя Третий день (3)</t>
  </si>
  <si>
    <t>Первая неделя Четвертый день (4)</t>
  </si>
  <si>
    <t>Первая неделя Пятый день (5)</t>
  </si>
  <si>
    <t>Вторая неделя Второй день (7)</t>
  </si>
  <si>
    <t>Вторая неделя Третий день (8)</t>
  </si>
  <si>
    <t>Вторая неделя Пятый день (10)</t>
  </si>
  <si>
    <t>Куриное филе</t>
  </si>
  <si>
    <t>потреб-ность на указанное количество детей, кг</t>
  </si>
  <si>
    <t>хлеб черн.</t>
  </si>
  <si>
    <t>хлеб бел.</t>
  </si>
  <si>
    <t>сладкое</t>
  </si>
  <si>
    <t>гарнир</t>
  </si>
  <si>
    <t>2 блюдо</t>
  </si>
  <si>
    <t>1 блюдо</t>
  </si>
  <si>
    <t>закуска</t>
  </si>
  <si>
    <t>фрукты</t>
  </si>
  <si>
    <t>Завтрак 2</t>
  </si>
  <si>
    <t>хлеб</t>
  </si>
  <si>
    <t>гор.напиток</t>
  </si>
  <si>
    <t>гор.блюдо</t>
  </si>
  <si>
    <t>Калорийность</t>
  </si>
  <si>
    <t>Выход, г</t>
  </si>
  <si>
    <t>№ рец.</t>
  </si>
  <si>
    <t>Раздел</t>
  </si>
  <si>
    <t>День</t>
  </si>
  <si>
    <t>Отд./корп</t>
  </si>
  <si>
    <t>-</t>
  </si>
  <si>
    <t>Школа</t>
  </si>
  <si>
    <t>Мясо птицы  (окорочка, бедра) свежемороженное</t>
  </si>
  <si>
    <t>итого за пятый день второй недели</t>
  </si>
  <si>
    <t>Вторая неделя Четвертый день (9)</t>
  </si>
  <si>
    <t>средняя цена</t>
  </si>
  <si>
    <t>январь 2022</t>
  </si>
  <si>
    <t>день меню</t>
  </si>
  <si>
    <t>В</t>
  </si>
  <si>
    <t>февраль 2022</t>
  </si>
  <si>
    <t>март 2022</t>
  </si>
  <si>
    <t>апрель 2022</t>
  </si>
  <si>
    <t>май 2022</t>
  </si>
  <si>
    <t>айран</t>
  </si>
  <si>
    <t>Молоко 2,5% мдж</t>
  </si>
  <si>
    <t>Фарш: соус №329</t>
  </si>
  <si>
    <t>" ___ " ___________ 202   г.</t>
  </si>
  <si>
    <t>Картофель отварной в сметанном соусе</t>
  </si>
  <si>
    <t xml:space="preserve">Картофель, тушенный с луком и томатом в сметанном соусе </t>
  </si>
  <si>
    <t>Плов из говядины</t>
  </si>
  <si>
    <t>Мясо, жаренное крупным куском с молочным соусом</t>
  </si>
  <si>
    <t>Мясо, жаренное крупным куском (2 вариант) с молочным соусом</t>
  </si>
  <si>
    <t>Мясо духовое в сметанном соусе</t>
  </si>
  <si>
    <t>Котлеты (биточки, шницели) из говядины с томатным соусом</t>
  </si>
  <si>
    <t>Бефстроганов из отварной говядины со сметанным соусом</t>
  </si>
  <si>
    <t xml:space="preserve">Каша рассыпчатая гречневая с маслом </t>
  </si>
  <si>
    <t>Тефтели из говядины 1-й вариант</t>
  </si>
  <si>
    <t>Соус сметанный № 331</t>
  </si>
  <si>
    <t>Гарнир № 302, 306, 309, 310, 312, 313, 314, 315, 321</t>
  </si>
  <si>
    <t>Котлеты домашние со сметанным соусом и томатом (2 шт)</t>
  </si>
  <si>
    <t>Гарнир № 302, 304, 310, 312, 313, 314, 315</t>
  </si>
  <si>
    <t>Голубцы с мясом и рисом в сметанном соусе с томатом</t>
  </si>
  <si>
    <t>Гарнир № 302, 304, 305, 310, 312, 315</t>
  </si>
  <si>
    <t>Птица отварная со сметанным соусом и томатом</t>
  </si>
  <si>
    <t>Соус сметанный с томатом № 331</t>
  </si>
  <si>
    <t>на 40%</t>
  </si>
  <si>
    <t>Котлеты рубленные из филе птицы со сметанным соусом с томатом и луком</t>
  </si>
  <si>
    <t>2022 г.</t>
  </si>
  <si>
    <t>федеральный</t>
  </si>
  <si>
    <t>республиканский</t>
  </si>
  <si>
    <t>Яйца  1,6 шт.</t>
  </si>
  <si>
    <t>Омлет с картофелем</t>
  </si>
  <si>
    <t>Овощи натуральные свежие (огурцы)</t>
  </si>
  <si>
    <t>Борщ с капустой и картофелем, со сметаной</t>
  </si>
  <si>
    <t xml:space="preserve">Соль йодированная </t>
  </si>
  <si>
    <t>Сгущенное молоко</t>
  </si>
  <si>
    <t>Запеканка из творога со сгущенным молоком</t>
  </si>
  <si>
    <t>Всего полдник</t>
  </si>
  <si>
    <t>Возрастная группа 7-11 лет</t>
  </si>
  <si>
    <t>Всего завтрак</t>
  </si>
  <si>
    <t>ВСЕГО ОБЕД</t>
  </si>
  <si>
    <t>ВСЕГО ПОЛДНИК</t>
  </si>
  <si>
    <t>должно по спецификации</t>
  </si>
  <si>
    <t>Суммарные объемы блюд по приемам пищи</t>
  </si>
  <si>
    <t>(в граммах - не менее)</t>
  </si>
  <si>
    <t xml:space="preserve">Постановление Главного государственного санитарного врача РФ от 27.10.2020 N 32 "Об утверждении санитарно-эпидемиологических правил и норм СанПиН 2.3/2.4.3590-20 "Санитарно-эпидемиологические требования к организации общественного питания населения" (вместе с "СанПиН 2.3/2.4.3590-20. Санитарно-эпидемиологические правила и нормы...") </t>
  </si>
  <si>
    <t>120/30</t>
  </si>
  <si>
    <t xml:space="preserve">Сыр российский (порциями) </t>
  </si>
  <si>
    <t>Чай с вареньем</t>
  </si>
  <si>
    <t>Варенье (абрикосовое, малиновое)</t>
  </si>
  <si>
    <t xml:space="preserve">Варенье </t>
  </si>
  <si>
    <t>200/20</t>
  </si>
  <si>
    <t>200/5</t>
  </si>
  <si>
    <t>Запеканка манная с изюмом</t>
  </si>
  <si>
    <t xml:space="preserve">  Выход  с  молоком сгущенным</t>
  </si>
  <si>
    <t>Макаронник с мясом</t>
  </si>
  <si>
    <t>Масса готовых мясопродуктов</t>
  </si>
  <si>
    <t>Масса запеченного блюда</t>
  </si>
  <si>
    <t>Выход: с джемом</t>
  </si>
  <si>
    <t>Компот из плодов консервированных (вишня)</t>
  </si>
  <si>
    <t>Компот из вишни</t>
  </si>
  <si>
    <t>Компот из абрикосов</t>
  </si>
  <si>
    <t xml:space="preserve">Компот из апельсинов </t>
  </si>
  <si>
    <t>Цедра</t>
  </si>
  <si>
    <t>Компот из мандаринов</t>
  </si>
  <si>
    <t>Компот из плодов консервированных персики</t>
  </si>
  <si>
    <t>Персики (половинки или кусочки)</t>
  </si>
  <si>
    <t>Компот из кураги</t>
  </si>
  <si>
    <t>УТВЕРЖДЕНО</t>
  </si>
  <si>
    <t>ТЕХНОЛОГИЧЕСКАЯ КАРТА</t>
  </si>
  <si>
    <t>Хлеб намазывают маслом.</t>
  </si>
  <si>
    <t>Технология приготовления</t>
  </si>
  <si>
    <t>Требования к качеству</t>
  </si>
  <si>
    <t>Внешний вид:</t>
  </si>
  <si>
    <t>ровные ломтики хлеба, намазанные маслом</t>
  </si>
  <si>
    <t>Консистенция:</t>
  </si>
  <si>
    <t>хлеба-мягкая, масла-мажущаяся</t>
  </si>
  <si>
    <t>Цвет:</t>
  </si>
  <si>
    <t>соответствует виду масла</t>
  </si>
  <si>
    <t>Вкус:</t>
  </si>
  <si>
    <t>соответствует вкусу масла</t>
  </si>
  <si>
    <t>Запах:</t>
  </si>
  <si>
    <t>масла в сочетании со свежим хлебом</t>
  </si>
  <si>
    <r>
      <t>Наименование кулинарного изделия (блюда):</t>
    </r>
    <r>
      <rPr>
        <b/>
        <sz val="12"/>
        <color rgb="FF000000"/>
        <rFont val="Times New Roman"/>
        <family val="1"/>
        <charset val="204"/>
      </rPr>
      <t xml:space="preserve"> </t>
    </r>
  </si>
  <si>
    <t>_____________________</t>
  </si>
  <si>
    <t xml:space="preserve"> УТВЕРЖДЕНО</t>
  </si>
  <si>
    <t>Для приготовления льезона желтки яиц разводятся кипяченным и охлажденным до 60-70°C молоком и прогреваем, постоянно помешивая (не допуская кипения), до загустения.
Для приготовления льезона необходимо: На каждые 100 мл молока, 1 яичный желток.</t>
  </si>
  <si>
    <t>Запеканка из творога с морковью и молоком сгущенным</t>
  </si>
  <si>
    <t>Соус томатный № 331</t>
  </si>
  <si>
    <t>200/15/7</t>
  </si>
  <si>
    <t>150/50/15</t>
  </si>
  <si>
    <t>Вес блюда</t>
  </si>
  <si>
    <t xml:space="preserve">Пищевые вещества </t>
  </si>
  <si>
    <t>N рецептуры</t>
  </si>
  <si>
    <t>Энергети-ческая ценность</t>
  </si>
  <si>
    <t>N рецеп-туры</t>
  </si>
  <si>
    <t>Угле-воды</t>
  </si>
  <si>
    <t>итого за 3-ий день второй недели</t>
  </si>
  <si>
    <t>Тефтели из говядины 2-й вариант с рисом со сметанным соусом и томатом</t>
  </si>
  <si>
    <t xml:space="preserve">Приложение </t>
  </si>
  <si>
    <t>итого за 4-ый день второй недели</t>
  </si>
  <si>
    <t>итого за 5-ый день второй недели</t>
  </si>
  <si>
    <t>Среднее значение за период</t>
  </si>
  <si>
    <t>Среднее значение за период завтрак</t>
  </si>
  <si>
    <t>Среднее значение за период обед</t>
  </si>
  <si>
    <t>Среднее значение за период полдник</t>
  </si>
  <si>
    <t>Котлеты рубленные из филе птицы с маслом</t>
  </si>
  <si>
    <t>Котлеты из говядины с маслом</t>
  </si>
  <si>
    <t>Шницель (биточки, котлеты) из говядины</t>
  </si>
  <si>
    <t>Оладьи с творогом и маслом</t>
  </si>
  <si>
    <t>1 нед</t>
  </si>
  <si>
    <t>2 нед</t>
  </si>
  <si>
    <t>3 нед</t>
  </si>
  <si>
    <t>4 нед</t>
  </si>
  <si>
    <t>5 нед</t>
  </si>
  <si>
    <t>6 нед</t>
  </si>
  <si>
    <t>7 нед</t>
  </si>
  <si>
    <t>8 нед</t>
  </si>
  <si>
    <t>9 нед</t>
  </si>
  <si>
    <t>10 нед</t>
  </si>
  <si>
    <t>11 нед</t>
  </si>
  <si>
    <t>12 нед</t>
  </si>
  <si>
    <t>13 нед</t>
  </si>
  <si>
    <t>Тефтели из говядины 2-й вариант (с рисом (2 шт) и соусом сметанным с томатом)</t>
  </si>
  <si>
    <t xml:space="preserve">МБОУ </t>
  </si>
  <si>
    <t xml:space="preserve">Йогурт  порционный </t>
  </si>
  <si>
    <t xml:space="preserve">Фасоль </t>
  </si>
  <si>
    <t xml:space="preserve">Яйца куриные   8,39                               </t>
  </si>
  <si>
    <t>Рекомендуемая норма з</t>
  </si>
  <si>
    <t xml:space="preserve">статистика </t>
  </si>
  <si>
    <t>ОКПО</t>
  </si>
  <si>
    <t>Булочка "Творожная" (масса 50 г)</t>
  </si>
  <si>
    <t>Меланж (для смазки)</t>
  </si>
  <si>
    <t>Итого сырья</t>
  </si>
  <si>
    <t>Помидоры свежие в нарезке</t>
  </si>
  <si>
    <t>Огурцы свежие в нарезке</t>
  </si>
  <si>
    <t>Огурцы, помидоры в нарезке</t>
  </si>
  <si>
    <t>Мороженое пломбир Кореновское</t>
  </si>
  <si>
    <t>приказом от ______ 2023 N ____</t>
  </si>
  <si>
    <t>НЕДЕЛЬНОЕ (ОСНОВНОЕ) МЕНЮ ПРИГОТАВЛИВАЕМЫХ БЛЮД ДЛЯ ДЕТЕЙ В ПРИШКОЛЬНОМ ЛЕТНЕМ ЛАГЕРЕ С ДНЕВНЫМ ПРЕБЫВАНИЕМ  ОБЩЕОБРАЗОВАТЕЛЬНЫХ ОРГАНИЗАЦИЙ УСТЬ-ДЖЕГУТИНСКОГО МУНИЦИПАЛЬНОГО РАЙОНА</t>
  </si>
  <si>
    <t>Вводится 5 июня 2023 г.</t>
  </si>
  <si>
    <t>Комиссия, изучив цены торговых точек, в целях  заключения договоров на поставку продуктов питания,  обосновали цены на следующие продукты питания на июнь 2023 года</t>
  </si>
  <si>
    <t>Сезон: летний</t>
  </si>
  <si>
    <t xml:space="preserve">Всего за 7  дней </t>
  </si>
  <si>
    <t>Всего за 7 дней</t>
  </si>
  <si>
    <t xml:space="preserve"> Первый день </t>
  </si>
  <si>
    <t xml:space="preserve"> Второй день </t>
  </si>
  <si>
    <t xml:space="preserve">итого за 1-ый день </t>
  </si>
  <si>
    <t xml:space="preserve">итого за 2-ой день </t>
  </si>
  <si>
    <t xml:space="preserve"> Третий день </t>
  </si>
  <si>
    <t xml:space="preserve">итого за 3-ий день </t>
  </si>
  <si>
    <t xml:space="preserve"> Четвертый день </t>
  </si>
  <si>
    <t xml:space="preserve">итого за 4-ый день </t>
  </si>
  <si>
    <t xml:space="preserve"> Пятый день </t>
  </si>
  <si>
    <t xml:space="preserve">итого за 5-ый день </t>
  </si>
  <si>
    <t xml:space="preserve">итого за 6-ой день </t>
  </si>
  <si>
    <t>итого за 7-ой день</t>
  </si>
  <si>
    <t>среднее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</si>
</sst>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0.000"/>
    <numFmt numFmtId="165" formatCode="0.0000"/>
    <numFmt numFmtId="166" formatCode="0.00000"/>
    <numFmt numFmtId="167" formatCode="0.000000"/>
    <numFmt numFmtId="168" formatCode="#,##0.000"/>
    <numFmt numFmtId="169" formatCode="#,##0.0000"/>
    <numFmt numFmtId="170" formatCode="#,##0.000000"/>
    <numFmt numFmtId="171" formatCode="0.00000000"/>
    <numFmt numFmtId="172" formatCode="#,##0.0"/>
    <numFmt numFmtId="173" formatCode="#,##0.0000000"/>
    <numFmt numFmtId="174" formatCode="#,##0.00000"/>
    <numFmt numFmtId="175" formatCode="0.0"/>
  </numFmts>
  <fonts count="73" x14ac:knownFonts="1">
    <font>
      <sz val="11"/>
      <name val="Times New Roman"/>
      <charset val="204"/>
    </font>
    <font>
      <sz val="12"/>
      <color theme="1"/>
      <name val="Times New Roman"/>
      <family val="2"/>
      <charset val="204"/>
    </font>
    <font>
      <sz val="12"/>
      <color theme="1"/>
      <name val="Times New Roman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9"/>
      <name val="Times New Roman"/>
      <family val="1"/>
      <charset val="204"/>
    </font>
    <font>
      <sz val="6"/>
      <name val="Times New Roman"/>
      <family val="1"/>
      <charset val="204"/>
    </font>
    <font>
      <sz val="10"/>
      <name val="Times New Roman"/>
      <family val="1"/>
      <charset val="204"/>
    </font>
    <font>
      <sz val="6.5"/>
      <name val="Times New Roman"/>
      <family val="1"/>
      <charset val="204"/>
    </font>
    <font>
      <sz val="8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Arial"/>
      <family val="2"/>
      <charset val="204"/>
    </font>
    <font>
      <b/>
      <sz val="11"/>
      <name val="Times New Roman"/>
      <family val="1"/>
      <charset val="204"/>
    </font>
    <font>
      <sz val="7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u/>
      <sz val="10"/>
      <color indexed="12"/>
      <name val="Times New Roman"/>
      <family val="1"/>
      <charset val="204"/>
    </font>
    <font>
      <i/>
      <sz val="9"/>
      <name val="Times New Roman"/>
      <family val="1"/>
      <charset val="204"/>
    </font>
    <font>
      <sz val="12"/>
      <color theme="1"/>
      <name val="Times New Roman"/>
      <family val="2"/>
      <charset val="204"/>
    </font>
    <font>
      <sz val="10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i/>
      <u/>
      <sz val="10"/>
      <color rgb="FF000000"/>
      <name val="Times New Roman"/>
      <family val="1"/>
      <charset val="204"/>
    </font>
    <font>
      <sz val="14"/>
      <color theme="1"/>
      <name val="Times New Roman"/>
      <family val="2"/>
      <charset val="204"/>
    </font>
    <font>
      <b/>
      <i/>
      <sz val="10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9"/>
      <color theme="1"/>
      <name val="Times New Roman"/>
      <family val="2"/>
      <charset val="204"/>
    </font>
    <font>
      <sz val="11"/>
      <color theme="1"/>
      <name val="Times New Roman"/>
      <family val="2"/>
      <charset val="204"/>
    </font>
    <font>
      <sz val="8"/>
      <color theme="1"/>
      <name val="Times New Roman"/>
      <family val="2"/>
      <charset val="204"/>
    </font>
    <font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color theme="1"/>
      <name val="Times New Roman"/>
      <family val="2"/>
      <charset val="204"/>
    </font>
    <font>
      <sz val="10"/>
      <name val="Times New Roman"/>
      <family val="2"/>
      <charset val="204"/>
    </font>
    <font>
      <b/>
      <sz val="9"/>
      <color rgb="FFC00000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0"/>
      <color theme="1"/>
      <name val="Times New Roman"/>
      <family val="2"/>
      <charset val="204"/>
    </font>
    <font>
      <b/>
      <i/>
      <u/>
      <sz val="10"/>
      <color rgb="FF000000"/>
      <name val="Times New Roman"/>
      <family val="1"/>
      <charset val="204"/>
    </font>
    <font>
      <i/>
      <u/>
      <sz val="9"/>
      <color rgb="FF000000"/>
      <name val="Times New Roman"/>
      <family val="1"/>
      <charset val="204"/>
    </font>
    <font>
      <sz val="9"/>
      <color rgb="FF000000"/>
      <name val="Times New Roman"/>
      <family val="2"/>
      <charset val="204"/>
    </font>
    <font>
      <b/>
      <sz val="9"/>
      <name val="Times New Roman"/>
      <family val="2"/>
      <charset val="204"/>
    </font>
    <font>
      <b/>
      <sz val="12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i/>
      <u/>
      <sz val="9"/>
      <color rgb="FF000000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i/>
      <sz val="9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u/>
      <sz val="11"/>
      <color theme="10"/>
      <name val="Times New Roman"/>
      <family val="1"/>
      <charset val="204"/>
    </font>
    <font>
      <b/>
      <sz val="20"/>
      <name val="Times New Roman"/>
      <family val="1"/>
      <charset val="204"/>
    </font>
    <font>
      <b/>
      <u/>
      <sz val="14"/>
      <name val="Times New Roman"/>
      <family val="1"/>
      <charset val="204"/>
    </font>
    <font>
      <u/>
      <sz val="12"/>
      <name val="Times New Roman"/>
      <family val="1"/>
      <charset val="204"/>
    </font>
    <font>
      <sz val="16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sz val="11"/>
      <color theme="1"/>
      <name val="Calibri"/>
      <family val="2"/>
      <scheme val="minor"/>
    </font>
    <font>
      <sz val="9"/>
      <name val="Times New Roman"/>
      <family val="2"/>
      <charset val="204"/>
    </font>
    <font>
      <i/>
      <sz val="14"/>
      <color rgb="FF0000FF"/>
      <name val="Times New Roman"/>
      <family val="1"/>
      <charset val="204"/>
    </font>
    <font>
      <i/>
      <sz val="1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9"/>
      <color theme="1"/>
      <name val="Times New Roman"/>
      <family val="1"/>
      <charset val="204"/>
    </font>
  </fonts>
  <fills count="4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000000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7EFAA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A94D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99F9AB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983D7"/>
        <bgColor indexed="64"/>
      </patternFill>
    </fill>
    <fill>
      <patternFill patternType="solid">
        <fgColor rgb="FF54EE1E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4BFB75"/>
        <bgColor indexed="64"/>
      </patternFill>
    </fill>
    <fill>
      <patternFill patternType="solid">
        <fgColor rgb="FF36F8EA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9BDF5"/>
        <bgColor indexed="64"/>
      </patternFill>
    </fill>
    <fill>
      <patternFill patternType="solid">
        <fgColor rgb="FFFCDEFE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FF99FF"/>
        <bgColor indexed="64"/>
      </patternFill>
    </fill>
    <fill>
      <patternFill patternType="solid">
        <fgColor rgb="FFFF66FF"/>
        <bgColor rgb="FF000000"/>
      </patternFill>
    </fill>
  </fills>
  <borders count="4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18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7" fillId="0" borderId="0"/>
    <xf numFmtId="0" fontId="4" fillId="0" borderId="0"/>
    <xf numFmtId="0" fontId="3" fillId="0" borderId="0"/>
    <xf numFmtId="0" fontId="60" fillId="0" borderId="0" applyNumberFormat="0" applyFill="0" applyBorder="0" applyAlignment="0" applyProtection="0"/>
    <xf numFmtId="0" fontId="67" fillId="0" borderId="0"/>
  </cellStyleXfs>
  <cellXfs count="1653">
    <xf numFmtId="0" fontId="0" fillId="0" borderId="0" xfId="0"/>
    <xf numFmtId="0" fontId="5" fillId="0" borderId="0" xfId="0" applyFont="1"/>
    <xf numFmtId="0" fontId="7" fillId="0" borderId="0" xfId="0" applyFont="1"/>
    <xf numFmtId="0" fontId="7" fillId="0" borderId="2" xfId="0" applyFont="1" applyBorder="1"/>
    <xf numFmtId="0" fontId="10" fillId="0" borderId="0" xfId="0" applyFont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0" fontId="12" fillId="0" borderId="0" xfId="0" applyFont="1" applyAlignment="1">
      <alignment horizontal="right"/>
    </xf>
    <xf numFmtId="49" fontId="5" fillId="0" borderId="3" xfId="0" applyNumberFormat="1" applyFont="1" applyBorder="1" applyAlignment="1">
      <alignment horizontal="center"/>
    </xf>
    <xf numFmtId="164" fontId="5" fillId="0" borderId="4" xfId="0" applyNumberFormat="1" applyFont="1" applyBorder="1" applyAlignment="1">
      <alignment horizontal="center"/>
    </xf>
    <xf numFmtId="2" fontId="5" fillId="0" borderId="5" xfId="0" applyNumberFormat="1" applyFont="1" applyBorder="1" applyAlignment="1">
      <alignment horizontal="center"/>
    </xf>
    <xf numFmtId="0" fontId="13" fillId="0" borderId="0" xfId="0" applyFont="1"/>
    <xf numFmtId="49" fontId="5" fillId="0" borderId="6" xfId="0" applyNumberFormat="1" applyFont="1" applyBorder="1" applyAlignment="1">
      <alignment horizontal="center"/>
    </xf>
    <xf numFmtId="164" fontId="5" fillId="0" borderId="7" xfId="0" applyNumberFormat="1" applyFont="1" applyBorder="1" applyAlignment="1">
      <alignment horizontal="center"/>
    </xf>
    <xf numFmtId="2" fontId="5" fillId="0" borderId="2" xfId="0" applyNumberFormat="1" applyFont="1" applyBorder="1" applyAlignment="1">
      <alignment horizontal="center"/>
    </xf>
    <xf numFmtId="0" fontId="5" fillId="0" borderId="2" xfId="0" applyFont="1" applyBorder="1" applyAlignment="1">
      <alignment horizontal="left" wrapText="1"/>
    </xf>
    <xf numFmtId="0" fontId="14" fillId="0" borderId="8" xfId="0" applyFont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5" fillId="0" borderId="9" xfId="0" applyFont="1" applyBorder="1" applyAlignment="1">
      <alignment wrapText="1"/>
    </xf>
    <xf numFmtId="0" fontId="5" fillId="0" borderId="10" xfId="0" applyFont="1" applyBorder="1" applyAlignment="1">
      <alignment wrapText="1"/>
    </xf>
    <xf numFmtId="0" fontId="5" fillId="0" borderId="2" xfId="0" applyFont="1" applyBorder="1" applyAlignment="1">
      <alignment wrapText="1"/>
    </xf>
    <xf numFmtId="164" fontId="5" fillId="0" borderId="2" xfId="0" applyNumberFormat="1" applyFont="1" applyBorder="1" applyAlignment="1">
      <alignment horizontal="center"/>
    </xf>
    <xf numFmtId="0" fontId="15" fillId="0" borderId="0" xfId="2"/>
    <xf numFmtId="0" fontId="5" fillId="0" borderId="2" xfId="2" applyFont="1" applyBorder="1" applyAlignment="1">
      <alignment horizontal="center" wrapText="1"/>
    </xf>
    <xf numFmtId="0" fontId="7" fillId="0" borderId="2" xfId="2" applyFont="1" applyBorder="1" applyAlignment="1">
      <alignment horizontal="center"/>
    </xf>
    <xf numFmtId="0" fontId="5" fillId="0" borderId="2" xfId="2" applyFont="1" applyBorder="1" applyAlignment="1">
      <alignment horizontal="center"/>
    </xf>
    <xf numFmtId="0" fontId="9" fillId="0" borderId="2" xfId="2" applyFont="1" applyBorder="1" applyAlignment="1">
      <alignment horizontal="center" vertical="center"/>
    </xf>
    <xf numFmtId="2" fontId="5" fillId="0" borderId="2" xfId="2" applyNumberFormat="1" applyFont="1" applyBorder="1" applyAlignment="1">
      <alignment horizontal="center" vertical="center"/>
    </xf>
    <xf numFmtId="0" fontId="14" fillId="0" borderId="8" xfId="2" applyFont="1" applyBorder="1" applyAlignment="1">
      <alignment horizontal="center" vertical="center"/>
    </xf>
    <xf numFmtId="0" fontId="13" fillId="0" borderId="0" xfId="2" applyFont="1"/>
    <xf numFmtId="0" fontId="13" fillId="0" borderId="11" xfId="2" applyFont="1" applyBorder="1" applyAlignment="1">
      <alignment horizontal="center"/>
    </xf>
    <xf numFmtId="0" fontId="13" fillId="0" borderId="1" xfId="2" applyFont="1" applyBorder="1" applyAlignment="1">
      <alignment horizontal="center"/>
    </xf>
    <xf numFmtId="0" fontId="13" fillId="0" borderId="8" xfId="2" applyFont="1" applyBorder="1" applyAlignment="1">
      <alignment horizontal="center"/>
    </xf>
    <xf numFmtId="164" fontId="7" fillId="0" borderId="2" xfId="2" applyNumberFormat="1" applyFont="1" applyBorder="1" applyAlignment="1">
      <alignment horizontal="center"/>
    </xf>
    <xf numFmtId="0" fontId="5" fillId="0" borderId="8" xfId="2" applyFont="1" applyBorder="1" applyAlignment="1">
      <alignment horizontal="center" vertical="center"/>
    </xf>
    <xf numFmtId="0" fontId="5" fillId="0" borderId="2" xfId="2" applyFont="1" applyBorder="1" applyAlignment="1">
      <alignment horizontal="center" vertical="center"/>
    </xf>
    <xf numFmtId="164" fontId="5" fillId="0" borderId="2" xfId="2" applyNumberFormat="1" applyFont="1" applyBorder="1" applyAlignment="1">
      <alignment horizontal="center" vertical="center"/>
    </xf>
    <xf numFmtId="49" fontId="7" fillId="0" borderId="2" xfId="2" applyNumberFormat="1" applyFont="1" applyBorder="1" applyAlignment="1">
      <alignment horizontal="center"/>
    </xf>
    <xf numFmtId="2" fontId="5" fillId="0" borderId="8" xfId="2" applyNumberFormat="1" applyFont="1" applyBorder="1" applyAlignment="1">
      <alignment horizontal="center"/>
    </xf>
    <xf numFmtId="2" fontId="5" fillId="0" borderId="5" xfId="2" applyNumberFormat="1" applyFont="1" applyBorder="1" applyAlignment="1">
      <alignment horizontal="center"/>
    </xf>
    <xf numFmtId="164" fontId="5" fillId="0" borderId="8" xfId="2" applyNumberFormat="1" applyFont="1" applyBorder="1" applyAlignment="1">
      <alignment horizontal="center"/>
    </xf>
    <xf numFmtId="0" fontId="13" fillId="0" borderId="5" xfId="2" applyFont="1" applyBorder="1" applyAlignment="1">
      <alignment horizontal="center"/>
    </xf>
    <xf numFmtId="2" fontId="7" fillId="0" borderId="5" xfId="2" applyNumberFormat="1" applyFont="1" applyBorder="1" applyAlignment="1">
      <alignment horizontal="center"/>
    </xf>
    <xf numFmtId="0" fontId="7" fillId="0" borderId="5" xfId="2" applyFont="1" applyBorder="1" applyAlignment="1">
      <alignment horizontal="center"/>
    </xf>
    <xf numFmtId="164" fontId="5" fillId="0" borderId="5" xfId="2" applyNumberFormat="1" applyFont="1" applyBorder="1" applyAlignment="1">
      <alignment horizontal="center"/>
    </xf>
    <xf numFmtId="0" fontId="7" fillId="0" borderId="12" xfId="2" applyFont="1" applyBorder="1" applyAlignment="1">
      <alignment horizontal="center"/>
    </xf>
    <xf numFmtId="0" fontId="7" fillId="0" borderId="13" xfId="2" applyFont="1" applyBorder="1" applyAlignment="1">
      <alignment horizontal="center"/>
    </xf>
    <xf numFmtId="2" fontId="7" fillId="0" borderId="13" xfId="2" applyNumberFormat="1" applyFont="1" applyBorder="1" applyAlignment="1">
      <alignment horizontal="center"/>
    </xf>
    <xf numFmtId="165" fontId="7" fillId="0" borderId="14" xfId="2" applyNumberFormat="1" applyFont="1" applyBorder="1" applyAlignment="1">
      <alignment horizontal="center"/>
    </xf>
    <xf numFmtId="2" fontId="5" fillId="0" borderId="15" xfId="2" applyNumberFormat="1" applyFont="1" applyBorder="1" applyAlignment="1">
      <alignment horizontal="center"/>
    </xf>
    <xf numFmtId="2" fontId="5" fillId="0" borderId="15" xfId="2" applyNumberFormat="1" applyFont="1" applyBorder="1" applyAlignment="1">
      <alignment horizontal="left"/>
    </xf>
    <xf numFmtId="2" fontId="5" fillId="0" borderId="16" xfId="2" applyNumberFormat="1" applyFont="1" applyBorder="1" applyAlignment="1">
      <alignment horizontal="center"/>
    </xf>
    <xf numFmtId="2" fontId="5" fillId="0" borderId="13" xfId="2" applyNumberFormat="1" applyFont="1" applyBorder="1" applyAlignment="1">
      <alignment horizontal="center"/>
    </xf>
    <xf numFmtId="164" fontId="5" fillId="0" borderId="14" xfId="2" applyNumberFormat="1" applyFont="1" applyBorder="1" applyAlignment="1">
      <alignment horizontal="center"/>
    </xf>
    <xf numFmtId="49" fontId="5" fillId="0" borderId="15" xfId="2" applyNumberFormat="1" applyFont="1" applyBorder="1" applyAlignment="1">
      <alignment horizontal="center"/>
    </xf>
    <xf numFmtId="0" fontId="5" fillId="0" borderId="17" xfId="2" applyFont="1" applyBorder="1" applyAlignment="1">
      <alignment wrapText="1"/>
    </xf>
    <xf numFmtId="49" fontId="5" fillId="0" borderId="18" xfId="2" applyNumberFormat="1" applyFont="1" applyBorder="1" applyAlignment="1">
      <alignment horizontal="center"/>
    </xf>
    <xf numFmtId="2" fontId="7" fillId="0" borderId="2" xfId="2" applyNumberFormat="1" applyFont="1" applyBorder="1" applyAlignment="1">
      <alignment horizontal="center"/>
    </xf>
    <xf numFmtId="165" fontId="7" fillId="0" borderId="7" xfId="2" applyNumberFormat="1" applyFont="1" applyBorder="1" applyAlignment="1">
      <alignment horizontal="center"/>
    </xf>
    <xf numFmtId="2" fontId="5" fillId="0" borderId="6" xfId="2" applyNumberFormat="1" applyFont="1" applyBorder="1" applyAlignment="1">
      <alignment horizontal="center"/>
    </xf>
    <xf numFmtId="2" fontId="5" fillId="0" borderId="6" xfId="2" applyNumberFormat="1" applyFont="1" applyBorder="1" applyAlignment="1">
      <alignment horizontal="left"/>
    </xf>
    <xf numFmtId="2" fontId="5" fillId="0" borderId="18" xfId="2" applyNumberFormat="1" applyFont="1" applyBorder="1" applyAlignment="1">
      <alignment horizontal="center"/>
    </xf>
    <xf numFmtId="2" fontId="5" fillId="0" borderId="2" xfId="2" applyNumberFormat="1" applyFont="1" applyBorder="1" applyAlignment="1">
      <alignment horizontal="center"/>
    </xf>
    <xf numFmtId="49" fontId="5" fillId="0" borderId="7" xfId="2" applyNumberFormat="1" applyFont="1" applyBorder="1" applyAlignment="1">
      <alignment horizontal="center"/>
    </xf>
    <xf numFmtId="2" fontId="5" fillId="0" borderId="19" xfId="2" applyNumberFormat="1" applyFont="1" applyBorder="1" applyAlignment="1">
      <alignment horizontal="center"/>
    </xf>
    <xf numFmtId="2" fontId="5" fillId="0" borderId="19" xfId="2" applyNumberFormat="1" applyFont="1" applyBorder="1" applyAlignment="1">
      <alignment horizontal="left"/>
    </xf>
    <xf numFmtId="0" fontId="5" fillId="0" borderId="10" xfId="2" applyFont="1" applyBorder="1" applyAlignment="1">
      <alignment wrapText="1"/>
    </xf>
    <xf numFmtId="49" fontId="5" fillId="0" borderId="20" xfId="0" applyNumberFormat="1" applyFont="1" applyBorder="1" applyAlignment="1">
      <alignment horizontal="center"/>
    </xf>
    <xf numFmtId="165" fontId="7" fillId="0" borderId="4" xfId="2" applyNumberFormat="1" applyFont="1" applyBorder="1" applyAlignment="1">
      <alignment horizontal="center"/>
    </xf>
    <xf numFmtId="0" fontId="5" fillId="0" borderId="9" xfId="2" applyFont="1" applyBorder="1" applyAlignment="1">
      <alignment wrapText="1"/>
    </xf>
    <xf numFmtId="0" fontId="7" fillId="0" borderId="16" xfId="2" applyFont="1" applyBorder="1" applyAlignment="1">
      <alignment horizontal="center" vertical="center"/>
    </xf>
    <xf numFmtId="0" fontId="7" fillId="0" borderId="13" xfId="2" applyFont="1" applyBorder="1" applyAlignment="1">
      <alignment horizontal="center" vertical="top" wrapText="1"/>
    </xf>
    <xf numFmtId="0" fontId="7" fillId="0" borderId="16" xfId="2" applyFont="1" applyBorder="1" applyAlignment="1">
      <alignment horizontal="center" vertical="top" wrapText="1"/>
    </xf>
    <xf numFmtId="0" fontId="7" fillId="0" borderId="18" xfId="2" applyFont="1" applyBorder="1" applyAlignment="1">
      <alignment horizontal="center" vertical="top" wrapText="1"/>
    </xf>
    <xf numFmtId="0" fontId="9" fillId="0" borderId="18" xfId="2" applyFont="1" applyBorder="1" applyAlignment="1">
      <alignment horizontal="center" vertical="center"/>
    </xf>
    <xf numFmtId="0" fontId="7" fillId="0" borderId="0" xfId="2" applyFont="1"/>
    <xf numFmtId="0" fontId="13" fillId="0" borderId="1" xfId="2" applyFont="1" applyBorder="1"/>
    <xf numFmtId="0" fontId="13" fillId="0" borderId="8" xfId="2" applyFont="1" applyBorder="1"/>
    <xf numFmtId="0" fontId="7" fillId="0" borderId="0" xfId="2" applyFont="1" applyBorder="1"/>
    <xf numFmtId="0" fontId="12" fillId="0" borderId="0" xfId="2" applyFont="1" applyAlignment="1">
      <alignment horizontal="right"/>
    </xf>
    <xf numFmtId="0" fontId="5" fillId="0" borderId="0" xfId="2" applyFont="1"/>
    <xf numFmtId="0" fontId="5" fillId="0" borderId="0" xfId="2" applyFont="1" applyBorder="1" applyAlignment="1">
      <alignment horizontal="center"/>
    </xf>
    <xf numFmtId="0" fontId="7" fillId="0" borderId="0" xfId="2" applyFont="1" applyAlignment="1">
      <alignment horizontal="right"/>
    </xf>
    <xf numFmtId="0" fontId="7" fillId="0" borderId="0" xfId="2" applyFont="1" applyBorder="1" applyAlignment="1">
      <alignment horizontal="left"/>
    </xf>
    <xf numFmtId="0" fontId="10" fillId="0" borderId="0" xfId="2" applyFont="1" applyBorder="1" applyAlignment="1">
      <alignment horizontal="center"/>
    </xf>
    <xf numFmtId="0" fontId="9" fillId="0" borderId="0" xfId="2" applyFont="1"/>
    <xf numFmtId="0" fontId="7" fillId="0" borderId="0" xfId="3"/>
    <xf numFmtId="0" fontId="7" fillId="0" borderId="0" xfId="3" applyFont="1"/>
    <xf numFmtId="0" fontId="7" fillId="0" borderId="2" xfId="3" applyFont="1" applyBorder="1" applyAlignment="1">
      <alignment horizontal="center" vertical="center" wrapText="1"/>
    </xf>
    <xf numFmtId="0" fontId="17" fillId="0" borderId="0" xfId="3" applyFont="1"/>
    <xf numFmtId="168" fontId="5" fillId="0" borderId="2" xfId="0" applyNumberFormat="1" applyFont="1" applyBorder="1" applyAlignment="1">
      <alignment horizontal="center"/>
    </xf>
    <xf numFmtId="168" fontId="5" fillId="0" borderId="5" xfId="0" applyNumberFormat="1" applyFont="1" applyBorder="1" applyAlignment="1">
      <alignment horizontal="center" vertical="center"/>
    </xf>
    <xf numFmtId="168" fontId="5" fillId="0" borderId="2" xfId="0" applyNumberFormat="1" applyFont="1" applyBorder="1" applyAlignment="1">
      <alignment horizontal="center" vertical="center"/>
    </xf>
    <xf numFmtId="0" fontId="19" fillId="2" borderId="2" xfId="0" applyFont="1" applyFill="1" applyBorder="1" applyAlignment="1">
      <alignment wrapText="1"/>
    </xf>
    <xf numFmtId="168" fontId="19" fillId="2" borderId="2" xfId="0" applyNumberFormat="1" applyFont="1" applyFill="1" applyBorder="1" applyAlignment="1">
      <alignment horizontal="center"/>
    </xf>
    <xf numFmtId="2" fontId="19" fillId="2" borderId="2" xfId="0" applyNumberFormat="1" applyFont="1" applyFill="1" applyBorder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164" fontId="5" fillId="0" borderId="2" xfId="0" applyNumberFormat="1" applyFont="1" applyBorder="1" applyAlignment="1">
      <alignment horizontal="center" wrapText="1"/>
    </xf>
    <xf numFmtId="49" fontId="19" fillId="2" borderId="2" xfId="0" applyNumberFormat="1" applyFont="1" applyFill="1" applyBorder="1" applyAlignment="1">
      <alignment horizontal="center"/>
    </xf>
    <xf numFmtId="164" fontId="19" fillId="2" borderId="2" xfId="0" applyNumberFormat="1" applyFont="1" applyFill="1" applyBorder="1" applyAlignment="1">
      <alignment horizontal="center" wrapText="1"/>
    </xf>
    <xf numFmtId="164" fontId="19" fillId="2" borderId="2" xfId="0" applyNumberFormat="1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14" fillId="0" borderId="2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15" fillId="0" borderId="2" xfId="0" applyFont="1" applyBorder="1" applyAlignment="1">
      <alignment horizontal="center" vertical="center"/>
    </xf>
    <xf numFmtId="0" fontId="15" fillId="0" borderId="0" xfId="0" applyFont="1" applyBorder="1"/>
    <xf numFmtId="0" fontId="15" fillId="0" borderId="1" xfId="0" applyFont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15" fillId="0" borderId="0" xfId="0" applyFont="1" applyBorder="1" applyAlignment="1">
      <alignment horizontal="center" vertical="center"/>
    </xf>
    <xf numFmtId="169" fontId="5" fillId="0" borderId="2" xfId="0" applyNumberFormat="1" applyFont="1" applyBorder="1" applyAlignment="1">
      <alignment horizontal="center"/>
    </xf>
    <xf numFmtId="165" fontId="5" fillId="0" borderId="2" xfId="0" applyNumberFormat="1" applyFont="1" applyBorder="1" applyAlignment="1">
      <alignment horizontal="center"/>
    </xf>
    <xf numFmtId="165" fontId="19" fillId="2" borderId="2" xfId="0" applyNumberFormat="1" applyFont="1" applyFill="1" applyBorder="1" applyAlignment="1">
      <alignment horizontal="center"/>
    </xf>
    <xf numFmtId="167" fontId="5" fillId="0" borderId="2" xfId="0" applyNumberFormat="1" applyFont="1" applyBorder="1" applyAlignment="1">
      <alignment horizontal="center"/>
    </xf>
    <xf numFmtId="167" fontId="19" fillId="2" borderId="2" xfId="0" applyNumberFormat="1" applyFont="1" applyFill="1" applyBorder="1" applyAlignment="1">
      <alignment horizontal="center"/>
    </xf>
    <xf numFmtId="0" fontId="23" fillId="0" borderId="2" xfId="0" applyFont="1" applyFill="1" applyBorder="1" applyAlignment="1">
      <alignment horizontal="left" vertical="center" wrapText="1"/>
    </xf>
    <xf numFmtId="0" fontId="23" fillId="0" borderId="2" xfId="0" applyFont="1" applyFill="1" applyBorder="1" applyAlignment="1">
      <alignment horizontal="center" vertical="center" wrapText="1"/>
    </xf>
    <xf numFmtId="4" fontId="23" fillId="0" borderId="2" xfId="0" applyNumberFormat="1" applyFont="1" applyFill="1" applyBorder="1" applyAlignment="1">
      <alignment horizontal="center" vertical="center" wrapText="1"/>
    </xf>
    <xf numFmtId="0" fontId="23" fillId="2" borderId="2" xfId="0" applyFont="1" applyFill="1" applyBorder="1" applyAlignment="1">
      <alignment horizontal="left" vertical="center" wrapText="1"/>
    </xf>
    <xf numFmtId="4" fontId="23" fillId="2" borderId="2" xfId="0" applyNumberFormat="1" applyFont="1" applyFill="1" applyBorder="1" applyAlignment="1">
      <alignment horizontal="center" vertical="center" wrapText="1"/>
    </xf>
    <xf numFmtId="0" fontId="24" fillId="2" borderId="2" xfId="0" applyFont="1" applyFill="1" applyBorder="1" applyAlignment="1">
      <alignment horizontal="center" vertical="center" wrapText="1"/>
    </xf>
    <xf numFmtId="0" fontId="23" fillId="2" borderId="2" xfId="0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/>
    </xf>
    <xf numFmtId="0" fontId="5" fillId="0" borderId="2" xfId="0" applyFont="1" applyFill="1" applyBorder="1" applyAlignment="1">
      <alignment wrapText="1"/>
    </xf>
    <xf numFmtId="168" fontId="5" fillId="0" borderId="2" xfId="0" applyNumberFormat="1" applyFont="1" applyFill="1" applyBorder="1" applyAlignment="1">
      <alignment horizontal="center"/>
    </xf>
    <xf numFmtId="166" fontId="5" fillId="0" borderId="2" xfId="0" applyNumberFormat="1" applyFont="1" applyBorder="1" applyAlignment="1">
      <alignment horizontal="center"/>
    </xf>
    <xf numFmtId="164" fontId="5" fillId="0" borderId="2" xfId="0" applyNumberFormat="1" applyFont="1" applyFill="1" applyBorder="1" applyAlignment="1">
      <alignment horizontal="center"/>
    </xf>
    <xf numFmtId="2" fontId="5" fillId="0" borderId="2" xfId="0" applyNumberFormat="1" applyFont="1" applyFill="1" applyBorder="1" applyAlignment="1">
      <alignment horizontal="center"/>
    </xf>
    <xf numFmtId="164" fontId="5" fillId="0" borderId="2" xfId="0" applyNumberFormat="1" applyFont="1" applyFill="1" applyBorder="1" applyAlignment="1">
      <alignment horizontal="center" wrapText="1"/>
    </xf>
    <xf numFmtId="1" fontId="5" fillId="0" borderId="2" xfId="0" applyNumberFormat="1" applyFont="1" applyFill="1" applyBorder="1" applyAlignment="1">
      <alignment horizontal="center"/>
    </xf>
    <xf numFmtId="165" fontId="5" fillId="0" borderId="2" xfId="0" applyNumberFormat="1" applyFont="1" applyFill="1" applyBorder="1" applyAlignment="1">
      <alignment horizontal="center"/>
    </xf>
    <xf numFmtId="164" fontId="5" fillId="0" borderId="2" xfId="0" applyNumberFormat="1" applyFont="1" applyBorder="1" applyAlignment="1">
      <alignment horizontal="center" vertical="center"/>
    </xf>
    <xf numFmtId="4" fontId="21" fillId="0" borderId="2" xfId="4" applyNumberFormat="1" applyFont="1" applyBorder="1" applyAlignment="1">
      <alignment horizontal="center"/>
    </xf>
    <xf numFmtId="0" fontId="38" fillId="0" borderId="2" xfId="0" applyFont="1" applyBorder="1" applyAlignment="1">
      <alignment horizontal="center"/>
    </xf>
    <xf numFmtId="3" fontId="28" fillId="0" borderId="2" xfId="4" applyNumberFormat="1" applyFont="1" applyBorder="1" applyAlignment="1">
      <alignment horizontal="center"/>
    </xf>
    <xf numFmtId="0" fontId="10" fillId="2" borderId="2" xfId="3" applyFont="1" applyFill="1" applyBorder="1" applyAlignment="1">
      <alignment horizontal="center" wrapText="1"/>
    </xf>
    <xf numFmtId="2" fontId="7" fillId="0" borderId="5" xfId="3" applyNumberFormat="1" applyFont="1" applyFill="1" applyBorder="1" applyAlignment="1">
      <alignment horizontal="center" wrapText="1"/>
    </xf>
    <xf numFmtId="4" fontId="7" fillId="2" borderId="2" xfId="3" applyNumberFormat="1" applyFont="1" applyFill="1" applyBorder="1" applyAlignment="1">
      <alignment horizontal="center" wrapText="1"/>
    </xf>
    <xf numFmtId="0" fontId="5" fillId="0" borderId="2" xfId="3" applyFont="1" applyBorder="1" applyAlignment="1">
      <alignment horizontal="center" wrapText="1"/>
    </xf>
    <xf numFmtId="0" fontId="10" fillId="5" borderId="2" xfId="3" applyFont="1" applyFill="1" applyBorder="1" applyAlignment="1">
      <alignment horizontal="center" wrapText="1"/>
    </xf>
    <xf numFmtId="0" fontId="10" fillId="5" borderId="2" xfId="3" applyFont="1" applyFill="1" applyBorder="1" applyAlignment="1">
      <alignment horizontal="left" wrapText="1"/>
    </xf>
    <xf numFmtId="4" fontId="21" fillId="0" borderId="2" xfId="4" applyNumberFormat="1" applyFont="1" applyFill="1" applyBorder="1" applyAlignment="1">
      <alignment horizontal="center"/>
    </xf>
    <xf numFmtId="4" fontId="7" fillId="5" borderId="2" xfId="3" applyNumberFormat="1" applyFont="1" applyFill="1" applyBorder="1" applyAlignment="1">
      <alignment horizontal="center" wrapText="1"/>
    </xf>
    <xf numFmtId="0" fontId="14" fillId="5" borderId="2" xfId="3" applyFont="1" applyFill="1" applyBorder="1" applyAlignment="1">
      <alignment horizontal="center" wrapText="1"/>
    </xf>
    <xf numFmtId="0" fontId="14" fillId="2" borderId="2" xfId="3" applyFont="1" applyFill="1" applyBorder="1" applyAlignment="1">
      <alignment horizontal="center" wrapText="1"/>
    </xf>
    <xf numFmtId="0" fontId="38" fillId="2" borderId="2" xfId="0" applyFont="1" applyFill="1" applyBorder="1" applyAlignment="1">
      <alignment horizontal="center"/>
    </xf>
    <xf numFmtId="0" fontId="38" fillId="6" borderId="2" xfId="0" applyFont="1" applyFill="1" applyBorder="1" applyAlignment="1">
      <alignment horizontal="center"/>
    </xf>
    <xf numFmtId="0" fontId="10" fillId="2" borderId="2" xfId="0" applyFont="1" applyFill="1" applyBorder="1" applyAlignment="1">
      <alignment horizontal="center"/>
    </xf>
    <xf numFmtId="0" fontId="10" fillId="2" borderId="2" xfId="0" applyFont="1" applyFill="1" applyBorder="1" applyAlignment="1"/>
    <xf numFmtId="0" fontId="38" fillId="2" borderId="2" xfId="0" applyFont="1" applyFill="1" applyBorder="1" applyAlignment="1">
      <alignment horizontal="center" wrapText="1"/>
    </xf>
    <xf numFmtId="0" fontId="38" fillId="2" borderId="5" xfId="0" applyFont="1" applyFill="1" applyBorder="1" applyAlignment="1">
      <alignment horizontal="center"/>
    </xf>
    <xf numFmtId="4" fontId="0" fillId="0" borderId="2" xfId="0" applyNumberFormat="1" applyBorder="1" applyAlignment="1">
      <alignment horizontal="center"/>
    </xf>
    <xf numFmtId="0" fontId="10" fillId="9" borderId="2" xfId="0" applyFont="1" applyFill="1" applyBorder="1" applyAlignment="1"/>
    <xf numFmtId="168" fontId="10" fillId="2" borderId="2" xfId="3" applyNumberFormat="1" applyFont="1" applyFill="1" applyBorder="1" applyAlignment="1">
      <alignment horizontal="center" wrapText="1"/>
    </xf>
    <xf numFmtId="4" fontId="7" fillId="11" borderId="2" xfId="3" applyNumberFormat="1" applyFont="1" applyFill="1" applyBorder="1" applyAlignment="1">
      <alignment horizontal="center" wrapText="1"/>
    </xf>
    <xf numFmtId="168" fontId="7" fillId="5" borderId="2" xfId="3" applyNumberFormat="1" applyFont="1" applyFill="1" applyBorder="1" applyAlignment="1">
      <alignment horizontal="center" wrapText="1"/>
    </xf>
    <xf numFmtId="0" fontId="10" fillId="11" borderId="2" xfId="3" applyFont="1" applyFill="1" applyBorder="1" applyAlignment="1">
      <alignment horizontal="left" wrapText="1"/>
    </xf>
    <xf numFmtId="0" fontId="7" fillId="12" borderId="2" xfId="3" applyFont="1" applyFill="1" applyBorder="1" applyAlignment="1">
      <alignment horizontal="justify"/>
    </xf>
    <xf numFmtId="0" fontId="10" fillId="12" borderId="2" xfId="3" applyFont="1" applyFill="1" applyBorder="1" applyAlignment="1">
      <alignment horizontal="center"/>
    </xf>
    <xf numFmtId="0" fontId="23" fillId="0" borderId="2" xfId="0" applyFont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2" fontId="7" fillId="2" borderId="5" xfId="3" applyNumberFormat="1" applyFont="1" applyFill="1" applyBorder="1" applyAlignment="1">
      <alignment horizontal="center" wrapText="1"/>
    </xf>
    <xf numFmtId="2" fontId="7" fillId="2" borderId="2" xfId="3" applyNumberFormat="1" applyFont="1" applyFill="1" applyBorder="1" applyAlignment="1">
      <alignment horizontal="center" wrapText="1"/>
    </xf>
    <xf numFmtId="168" fontId="7" fillId="2" borderId="2" xfId="3" applyNumberFormat="1" applyFont="1" applyFill="1" applyBorder="1" applyAlignment="1">
      <alignment horizontal="center" wrapText="1"/>
    </xf>
    <xf numFmtId="4" fontId="10" fillId="12" borderId="2" xfId="3" applyNumberFormat="1" applyFont="1" applyFill="1" applyBorder="1" applyAlignment="1">
      <alignment horizontal="center"/>
    </xf>
    <xf numFmtId="0" fontId="23" fillId="0" borderId="2" xfId="0" applyFont="1" applyBorder="1" applyAlignment="1">
      <alignment horizontal="center" wrapText="1"/>
    </xf>
    <xf numFmtId="0" fontId="23" fillId="0" borderId="2" xfId="0" applyFont="1" applyFill="1" applyBorder="1" applyAlignment="1">
      <alignment horizontal="left" wrapText="1"/>
    </xf>
    <xf numFmtId="0" fontId="8" fillId="0" borderId="0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0" fillId="0" borderId="0" xfId="0" applyAlignment="1">
      <alignment horizontal="right"/>
    </xf>
    <xf numFmtId="1" fontId="12" fillId="0" borderId="2" xfId="0" applyNumberFormat="1" applyFont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/>
    </xf>
    <xf numFmtId="0" fontId="5" fillId="0" borderId="2" xfId="0" applyFont="1" applyBorder="1" applyAlignment="1">
      <alignment horizontal="left" vertical="center"/>
    </xf>
    <xf numFmtId="4" fontId="5" fillId="0" borderId="2" xfId="0" applyNumberFormat="1" applyFont="1" applyBorder="1" applyAlignment="1">
      <alignment horizontal="center" vertical="center" wrapText="1"/>
    </xf>
    <xf numFmtId="0" fontId="23" fillId="0" borderId="2" xfId="0" applyNumberFormat="1" applyFont="1" applyFill="1" applyBorder="1" applyAlignment="1">
      <alignment horizontal="left" wrapText="1"/>
    </xf>
    <xf numFmtId="1" fontId="19" fillId="2" borderId="2" xfId="0" applyNumberFormat="1" applyFont="1" applyFill="1" applyBorder="1" applyAlignment="1">
      <alignment horizontal="center"/>
    </xf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165" fontId="19" fillId="2" borderId="18" xfId="0" applyNumberFormat="1" applyFont="1" applyFill="1" applyBorder="1" applyAlignment="1">
      <alignment horizontal="center"/>
    </xf>
    <xf numFmtId="1" fontId="5" fillId="2" borderId="2" xfId="0" applyNumberFormat="1" applyFont="1" applyFill="1" applyBorder="1" applyAlignment="1">
      <alignment horizontal="center"/>
    </xf>
    <xf numFmtId="165" fontId="5" fillId="2" borderId="2" xfId="0" applyNumberFormat="1" applyFont="1" applyFill="1" applyBorder="1" applyAlignment="1">
      <alignment horizontal="center"/>
    </xf>
    <xf numFmtId="2" fontId="5" fillId="2" borderId="2" xfId="0" applyNumberFormat="1" applyFont="1" applyFill="1" applyBorder="1" applyAlignment="1">
      <alignment horizontal="center"/>
    </xf>
    <xf numFmtId="171" fontId="5" fillId="0" borderId="2" xfId="0" applyNumberFormat="1" applyFont="1" applyBorder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19" fillId="0" borderId="2" xfId="0" applyFont="1" applyBorder="1" applyAlignment="1">
      <alignment wrapText="1"/>
    </xf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49" fontId="19" fillId="0" borderId="2" xfId="0" applyNumberFormat="1" applyFont="1" applyFill="1" applyBorder="1" applyAlignment="1">
      <alignment horizontal="center"/>
    </xf>
    <xf numFmtId="0" fontId="19" fillId="0" borderId="2" xfId="0" applyFont="1" applyFill="1" applyBorder="1" applyAlignment="1">
      <alignment wrapText="1"/>
    </xf>
    <xf numFmtId="165" fontId="19" fillId="0" borderId="2" xfId="0" applyNumberFormat="1" applyFont="1" applyFill="1" applyBorder="1" applyAlignment="1">
      <alignment horizontal="center"/>
    </xf>
    <xf numFmtId="2" fontId="19" fillId="0" borderId="2" xfId="0" applyNumberFormat="1" applyFont="1" applyFill="1" applyBorder="1" applyAlignment="1">
      <alignment horizontal="center"/>
    </xf>
    <xf numFmtId="164" fontId="19" fillId="0" borderId="2" xfId="0" applyNumberFormat="1" applyFont="1" applyFill="1" applyBorder="1" applyAlignment="1">
      <alignment horizontal="center" wrapText="1"/>
    </xf>
    <xf numFmtId="164" fontId="19" fillId="0" borderId="2" xfId="0" applyNumberFormat="1" applyFont="1" applyFill="1" applyBorder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37" fillId="2" borderId="2" xfId="0" applyFont="1" applyFill="1" applyBorder="1" applyAlignment="1">
      <alignment horizontal="center" wrapText="1"/>
    </xf>
    <xf numFmtId="0" fontId="39" fillId="0" borderId="2" xfId="0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/>
    </xf>
    <xf numFmtId="3" fontId="5" fillId="0" borderId="5" xfId="0" applyNumberFormat="1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2" fontId="19" fillId="16" borderId="2" xfId="0" applyNumberFormat="1" applyFont="1" applyFill="1" applyBorder="1" applyAlignment="1">
      <alignment horizontal="center"/>
    </xf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5" fillId="2" borderId="2" xfId="0" applyFont="1" applyFill="1" applyBorder="1" applyAlignment="1">
      <alignment wrapText="1"/>
    </xf>
    <xf numFmtId="164" fontId="5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1" fontId="19" fillId="0" borderId="2" xfId="0" applyNumberFormat="1" applyFont="1" applyFill="1" applyBorder="1" applyAlignment="1">
      <alignment horizontal="center"/>
    </xf>
    <xf numFmtId="167" fontId="5" fillId="2" borderId="2" xfId="0" applyNumberFormat="1" applyFont="1" applyFill="1" applyBorder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0" fontId="0" fillId="0" borderId="0" xfId="0" applyAlignment="1">
      <alignment horizontal="right"/>
    </xf>
    <xf numFmtId="166" fontId="5" fillId="2" borderId="2" xfId="0" applyNumberFormat="1" applyFont="1" applyFill="1" applyBorder="1" applyAlignment="1">
      <alignment horizontal="center"/>
    </xf>
    <xf numFmtId="166" fontId="5" fillId="0" borderId="2" xfId="0" applyNumberFormat="1" applyFont="1" applyFill="1" applyBorder="1" applyAlignment="1">
      <alignment horizontal="center"/>
    </xf>
    <xf numFmtId="172" fontId="5" fillId="0" borderId="2" xfId="0" applyNumberFormat="1" applyFont="1" applyBorder="1" applyAlignment="1">
      <alignment horizontal="center" vertical="center"/>
    </xf>
    <xf numFmtId="4" fontId="5" fillId="0" borderId="2" xfId="0" applyNumberFormat="1" applyFont="1" applyBorder="1" applyAlignment="1">
      <alignment horizontal="center"/>
    </xf>
    <xf numFmtId="4" fontId="19" fillId="2" borderId="2" xfId="0" applyNumberFormat="1" applyFont="1" applyFill="1" applyBorder="1" applyAlignment="1">
      <alignment horizontal="center"/>
    </xf>
    <xf numFmtId="4" fontId="19" fillId="0" borderId="2" xfId="0" applyNumberFormat="1" applyFont="1" applyFill="1" applyBorder="1" applyAlignment="1">
      <alignment horizontal="center"/>
    </xf>
    <xf numFmtId="4" fontId="5" fillId="0" borderId="2" xfId="0" applyNumberFormat="1" applyFont="1" applyBorder="1" applyAlignment="1">
      <alignment horizontal="center" vertical="center"/>
    </xf>
    <xf numFmtId="1" fontId="23" fillId="0" borderId="2" xfId="0" applyNumberFormat="1" applyFont="1" applyFill="1" applyBorder="1" applyAlignment="1">
      <alignment horizontal="center" vertical="center" wrapText="1"/>
    </xf>
    <xf numFmtId="1" fontId="23" fillId="2" borderId="2" xfId="0" applyNumberFormat="1" applyFont="1" applyFill="1" applyBorder="1" applyAlignment="1">
      <alignment horizontal="center" vertical="center" wrapText="1"/>
    </xf>
    <xf numFmtId="0" fontId="23" fillId="2" borderId="2" xfId="0" applyFont="1" applyFill="1" applyBorder="1" applyAlignment="1">
      <alignment vertical="center" wrapText="1"/>
    </xf>
    <xf numFmtId="0" fontId="21" fillId="2" borderId="2" xfId="0" applyFont="1" applyFill="1" applyBorder="1" applyAlignment="1">
      <alignment horizontal="center" vertical="center" wrapText="1"/>
    </xf>
    <xf numFmtId="0" fontId="0" fillId="2" borderId="2" xfId="0" applyFill="1" applyBorder="1"/>
    <xf numFmtId="170" fontId="7" fillId="0" borderId="2" xfId="0" applyNumberFormat="1" applyFont="1" applyBorder="1" applyAlignment="1">
      <alignment horizontal="center"/>
    </xf>
    <xf numFmtId="170" fontId="7" fillId="0" borderId="2" xfId="0" applyNumberFormat="1" applyFont="1" applyFill="1" applyBorder="1" applyAlignment="1">
      <alignment horizontal="center"/>
    </xf>
    <xf numFmtId="0" fontId="7" fillId="6" borderId="2" xfId="0" applyFont="1" applyFill="1" applyBorder="1" applyAlignment="1">
      <alignment horizontal="left" vertical="center" wrapText="1"/>
    </xf>
    <xf numFmtId="0" fontId="7" fillId="6" borderId="2" xfId="0" applyFont="1" applyFill="1" applyBorder="1" applyAlignment="1">
      <alignment wrapText="1"/>
    </xf>
    <xf numFmtId="2" fontId="7" fillId="6" borderId="2" xfId="0" applyNumberFormat="1" applyFont="1" applyFill="1" applyBorder="1" applyAlignment="1">
      <alignment wrapText="1"/>
    </xf>
    <xf numFmtId="0" fontId="0" fillId="0" borderId="0" xfId="0" applyFill="1" applyBorder="1"/>
    <xf numFmtId="0" fontId="37" fillId="0" borderId="5" xfId="0" applyFont="1" applyBorder="1" applyAlignment="1">
      <alignment horizontal="center" vertical="center" wrapText="1"/>
    </xf>
    <xf numFmtId="0" fontId="37" fillId="18" borderId="18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5" fillId="0" borderId="0" xfId="0" applyFont="1" applyAlignment="1">
      <alignment vertical="top"/>
    </xf>
    <xf numFmtId="2" fontId="0" fillId="0" borderId="0" xfId="0" applyNumberFormat="1" applyFill="1" applyBorder="1" applyAlignment="1">
      <alignment horizontal="center"/>
    </xf>
    <xf numFmtId="4" fontId="7" fillId="2" borderId="2" xfId="0" applyNumberFormat="1" applyFont="1" applyFill="1" applyBorder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0" fontId="0" fillId="0" borderId="0" xfId="0" applyAlignment="1">
      <alignment horizontal="right"/>
    </xf>
    <xf numFmtId="173" fontId="7" fillId="0" borderId="2" xfId="0" applyNumberFormat="1" applyFont="1" applyBorder="1" applyAlignment="1">
      <alignment horizontal="center"/>
    </xf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23" fillId="2" borderId="2" xfId="0" applyFont="1" applyFill="1" applyBorder="1" applyAlignment="1">
      <alignment horizontal="left" wrapText="1"/>
    </xf>
    <xf numFmtId="0" fontId="8" fillId="0" borderId="0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left"/>
    </xf>
    <xf numFmtId="0" fontId="5" fillId="0" borderId="2" xfId="0" applyFont="1" applyBorder="1" applyAlignment="1">
      <alignment horizontal="center" wrapText="1"/>
    </xf>
    <xf numFmtId="168" fontId="5" fillId="0" borderId="2" xfId="0" applyNumberFormat="1" applyFont="1" applyBorder="1" applyAlignment="1">
      <alignment horizontal="center" wrapText="1"/>
    </xf>
    <xf numFmtId="168" fontId="5" fillId="0" borderId="2" xfId="0" applyNumberFormat="1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4" fontId="0" fillId="20" borderId="2" xfId="0" applyNumberFormat="1" applyFill="1" applyBorder="1" applyAlignment="1">
      <alignment horizontal="center"/>
    </xf>
    <xf numFmtId="4" fontId="0" fillId="20" borderId="0" xfId="0" applyNumberFormat="1" applyFill="1" applyBorder="1" applyAlignment="1">
      <alignment horizontal="center"/>
    </xf>
    <xf numFmtId="0" fontId="22" fillId="20" borderId="2" xfId="0" applyFont="1" applyFill="1" applyBorder="1" applyAlignment="1">
      <alignment horizontal="center" wrapText="1"/>
    </xf>
    <xf numFmtId="0" fontId="23" fillId="21" borderId="2" xfId="0" applyFont="1" applyFill="1" applyBorder="1" applyAlignment="1">
      <alignment horizontal="center" wrapText="1"/>
    </xf>
    <xf numFmtId="0" fontId="23" fillId="21" borderId="2" xfId="0" applyFont="1" applyFill="1" applyBorder="1" applyAlignment="1">
      <alignment horizontal="left" wrapText="1"/>
    </xf>
    <xf numFmtId="0" fontId="15" fillId="0" borderId="0" xfId="2" applyAlignment="1">
      <alignment wrapText="1"/>
    </xf>
    <xf numFmtId="0" fontId="15" fillId="0" borderId="0" xfId="2" applyAlignment="1">
      <alignment wrapText="1"/>
    </xf>
    <xf numFmtId="0" fontId="15" fillId="0" borderId="0" xfId="2" applyBorder="1" applyAlignment="1">
      <alignment wrapText="1"/>
    </xf>
    <xf numFmtId="0" fontId="15" fillId="0" borderId="0" xfId="2" applyAlignment="1">
      <alignment horizontal="center" wrapText="1"/>
    </xf>
    <xf numFmtId="0" fontId="15" fillId="0" borderId="1" xfId="2" applyBorder="1" applyAlignment="1">
      <alignment wrapText="1"/>
    </xf>
    <xf numFmtId="0" fontId="15" fillId="21" borderId="2" xfId="2" applyFont="1" applyFill="1" applyBorder="1" applyAlignment="1">
      <alignment horizontal="center" vertical="center" wrapText="1"/>
    </xf>
    <xf numFmtId="4" fontId="15" fillId="21" borderId="2" xfId="2" applyNumberFormat="1" applyFont="1" applyFill="1" applyBorder="1" applyAlignment="1">
      <alignment horizontal="center" vertical="center" wrapText="1"/>
    </xf>
    <xf numFmtId="0" fontId="15" fillId="0" borderId="2" xfId="2" applyBorder="1" applyAlignment="1">
      <alignment horizontal="center" wrapText="1"/>
    </xf>
    <xf numFmtId="0" fontId="15" fillId="0" borderId="2" xfId="2" applyBorder="1" applyAlignment="1">
      <alignment wrapText="1"/>
    </xf>
    <xf numFmtId="4" fontId="15" fillId="21" borderId="2" xfId="2" applyNumberFormat="1" applyFill="1" applyBorder="1" applyAlignment="1">
      <alignment horizontal="center" wrapText="1"/>
    </xf>
    <xf numFmtId="0" fontId="15" fillId="21" borderId="2" xfId="2" applyFont="1" applyFill="1" applyBorder="1" applyAlignment="1">
      <alignment horizontal="center" vertical="center" wrapText="1"/>
    </xf>
    <xf numFmtId="0" fontId="15" fillId="0" borderId="0" xfId="2" applyAlignment="1">
      <alignment wrapText="1"/>
    </xf>
    <xf numFmtId="0" fontId="20" fillId="21" borderId="2" xfId="0" applyFont="1" applyFill="1" applyBorder="1" applyAlignment="1">
      <alignment horizontal="right"/>
    </xf>
    <xf numFmtId="0" fontId="21" fillId="21" borderId="2" xfId="0" applyFont="1" applyFill="1" applyBorder="1"/>
    <xf numFmtId="0" fontId="21" fillId="21" borderId="2" xfId="0" applyFont="1" applyFill="1" applyBorder="1" applyAlignment="1">
      <alignment horizontal="center" vertical="center"/>
    </xf>
    <xf numFmtId="0" fontId="21" fillId="21" borderId="2" xfId="0" applyFont="1" applyFill="1" applyBorder="1" applyAlignment="1">
      <alignment horizontal="right"/>
    </xf>
    <xf numFmtId="4" fontId="21" fillId="21" borderId="2" xfId="0" applyNumberFormat="1" applyFont="1" applyFill="1" applyBorder="1" applyAlignment="1">
      <alignment horizontal="center"/>
    </xf>
    <xf numFmtId="174" fontId="7" fillId="0" borderId="2" xfId="0" applyNumberFormat="1" applyFont="1" applyBorder="1" applyAlignment="1">
      <alignment horizontal="center" wrapText="1"/>
    </xf>
    <xf numFmtId="174" fontId="7" fillId="0" borderId="2" xfId="0" applyNumberFormat="1" applyFont="1" applyBorder="1" applyAlignment="1">
      <alignment horizontal="center"/>
    </xf>
    <xf numFmtId="174" fontId="7" fillId="0" borderId="2" xfId="0" applyNumberFormat="1" applyFont="1" applyFill="1" applyBorder="1" applyAlignment="1">
      <alignment horizontal="center"/>
    </xf>
    <xf numFmtId="174" fontId="7" fillId="0" borderId="2" xfId="0" applyNumberFormat="1" applyFont="1" applyFill="1" applyBorder="1" applyAlignment="1">
      <alignment horizontal="center" wrapText="1"/>
    </xf>
    <xf numFmtId="174" fontId="7" fillId="0" borderId="2" xfId="0" quotePrefix="1" applyNumberFormat="1" applyFont="1" applyBorder="1" applyAlignment="1">
      <alignment horizontal="center"/>
    </xf>
    <xf numFmtId="174" fontId="23" fillId="0" borderId="18" xfId="0" applyNumberFormat="1" applyFont="1" applyFill="1" applyBorder="1" applyAlignment="1">
      <alignment horizontal="center" wrapText="1"/>
    </xf>
    <xf numFmtId="4" fontId="5" fillId="0" borderId="0" xfId="2" applyNumberFormat="1" applyFont="1"/>
    <xf numFmtId="2" fontId="10" fillId="2" borderId="2" xfId="3" applyNumberFormat="1" applyFont="1" applyFill="1" applyBorder="1" applyAlignment="1">
      <alignment horizontal="center" wrapText="1"/>
    </xf>
    <xf numFmtId="0" fontId="7" fillId="0" borderId="0" xfId="3" applyAlignment="1"/>
    <xf numFmtId="0" fontId="7" fillId="10" borderId="0" xfId="3" applyFill="1" applyAlignment="1"/>
    <xf numFmtId="0" fontId="5" fillId="0" borderId="2" xfId="3" applyFont="1" applyFill="1" applyBorder="1" applyAlignment="1">
      <alignment horizontal="center" wrapText="1"/>
    </xf>
    <xf numFmtId="0" fontId="7" fillId="0" borderId="2" xfId="3" applyFont="1" applyFill="1" applyBorder="1" applyAlignment="1">
      <alignment horizontal="center" wrapText="1"/>
    </xf>
    <xf numFmtId="0" fontId="5" fillId="6" borderId="2" xfId="3" applyFont="1" applyFill="1" applyBorder="1" applyAlignment="1">
      <alignment horizontal="center" wrapText="1"/>
    </xf>
    <xf numFmtId="0" fontId="5" fillId="11" borderId="2" xfId="3" applyFont="1" applyFill="1" applyBorder="1" applyAlignment="1">
      <alignment horizontal="center" wrapText="1"/>
    </xf>
    <xf numFmtId="0" fontId="7" fillId="11" borderId="2" xfId="3" applyFont="1" applyFill="1" applyBorder="1" applyAlignment="1">
      <alignment horizontal="center" wrapText="1"/>
    </xf>
    <xf numFmtId="0" fontId="5" fillId="2" borderId="2" xfId="3" applyFont="1" applyFill="1" applyBorder="1" applyAlignment="1">
      <alignment horizontal="center" wrapText="1"/>
    </xf>
    <xf numFmtId="0" fontId="7" fillId="2" borderId="2" xfId="3" applyFont="1" applyFill="1" applyBorder="1" applyAlignment="1">
      <alignment horizontal="center" wrapText="1"/>
    </xf>
    <xf numFmtId="0" fontId="5" fillId="5" borderId="2" xfId="3" applyFont="1" applyFill="1" applyBorder="1" applyAlignment="1">
      <alignment horizontal="center" wrapText="1"/>
    </xf>
    <xf numFmtId="0" fontId="7" fillId="5" borderId="2" xfId="3" applyFont="1" applyFill="1" applyBorder="1" applyAlignment="1">
      <alignment horizontal="center" wrapText="1"/>
    </xf>
    <xf numFmtId="0" fontId="7" fillId="0" borderId="2" xfId="3" applyFont="1" applyBorder="1" applyAlignment="1">
      <alignment horizontal="center" wrapText="1"/>
    </xf>
    <xf numFmtId="0" fontId="7" fillId="12" borderId="2" xfId="3" applyFont="1" applyFill="1" applyBorder="1" applyAlignment="1"/>
    <xf numFmtId="0" fontId="7" fillId="0" borderId="0" xfId="3" applyFont="1" applyAlignment="1"/>
    <xf numFmtId="0" fontId="15" fillId="0" borderId="0" xfId="2" applyAlignment="1">
      <alignment wrapText="1"/>
    </xf>
    <xf numFmtId="0" fontId="15" fillId="21" borderId="2" xfId="2" applyFont="1" applyFill="1" applyBorder="1" applyAlignment="1">
      <alignment wrapText="1"/>
    </xf>
    <xf numFmtId="0" fontId="15" fillId="21" borderId="2" xfId="2" applyFill="1" applyBorder="1" applyAlignment="1">
      <alignment wrapText="1"/>
    </xf>
    <xf numFmtId="0" fontId="15" fillId="0" borderId="0" xfId="2" applyFill="1" applyBorder="1" applyAlignment="1">
      <alignment wrapText="1"/>
    </xf>
    <xf numFmtId="0" fontId="15" fillId="0" borderId="0" xfId="2" applyFont="1" applyFill="1" applyBorder="1" applyAlignment="1">
      <alignment wrapText="1"/>
    </xf>
    <xf numFmtId="0" fontId="15" fillId="0" borderId="0" xfId="2" applyFill="1" applyBorder="1" applyAlignment="1">
      <alignment horizontal="center" wrapText="1"/>
    </xf>
    <xf numFmtId="4" fontId="15" fillId="0" borderId="0" xfId="2" applyNumberFormat="1" applyFill="1" applyBorder="1" applyAlignment="1">
      <alignment horizontal="center" wrapText="1"/>
    </xf>
    <xf numFmtId="4" fontId="37" fillId="21" borderId="2" xfId="0" applyNumberFormat="1" applyFont="1" applyFill="1" applyBorder="1" applyAlignment="1">
      <alignment horizontal="center"/>
    </xf>
    <xf numFmtId="3" fontId="37" fillId="21" borderId="2" xfId="0" applyNumberFormat="1" applyFont="1" applyFill="1" applyBorder="1" applyAlignment="1">
      <alignment horizontal="center"/>
    </xf>
    <xf numFmtId="3" fontId="21" fillId="21" borderId="2" xfId="0" applyNumberFormat="1" applyFont="1" applyFill="1" applyBorder="1" applyAlignment="1">
      <alignment horizontal="center"/>
    </xf>
    <xf numFmtId="4" fontId="41" fillId="2" borderId="2" xfId="0" applyNumberFormat="1" applyFont="1" applyFill="1" applyBorder="1" applyAlignment="1">
      <alignment horizontal="center"/>
    </xf>
    <xf numFmtId="3" fontId="41" fillId="2" borderId="2" xfId="0" applyNumberFormat="1" applyFont="1" applyFill="1" applyBorder="1" applyAlignment="1">
      <alignment horizontal="center"/>
    </xf>
    <xf numFmtId="2" fontId="41" fillId="2" borderId="2" xfId="0" applyNumberFormat="1" applyFont="1" applyFill="1" applyBorder="1" applyAlignment="1">
      <alignment horizontal="center"/>
    </xf>
    <xf numFmtId="4" fontId="35" fillId="2" borderId="2" xfId="0" applyNumberFormat="1" applyFont="1" applyFill="1" applyBorder="1" applyAlignment="1">
      <alignment horizontal="center"/>
    </xf>
    <xf numFmtId="0" fontId="35" fillId="2" borderId="2" xfId="0" applyFont="1" applyFill="1" applyBorder="1" applyAlignment="1">
      <alignment horizontal="center"/>
    </xf>
    <xf numFmtId="2" fontId="35" fillId="2" borderId="2" xfId="0" applyNumberFormat="1" applyFont="1" applyFill="1" applyBorder="1" applyAlignment="1">
      <alignment horizontal="center"/>
    </xf>
    <xf numFmtId="0" fontId="8" fillId="0" borderId="0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0" fontId="0" fillId="0" borderId="0" xfId="0" applyAlignment="1">
      <alignment horizontal="right"/>
    </xf>
    <xf numFmtId="4" fontId="0" fillId="2" borderId="2" xfId="0" applyNumberFormat="1" applyFill="1" applyBorder="1" applyAlignment="1">
      <alignment horizontal="center"/>
    </xf>
    <xf numFmtId="4" fontId="23" fillId="22" borderId="2" xfId="0" applyNumberFormat="1" applyFont="1" applyFill="1" applyBorder="1" applyAlignment="1">
      <alignment horizontal="center" wrapText="1"/>
    </xf>
    <xf numFmtId="3" fontId="23" fillId="20" borderId="2" xfId="0" applyNumberFormat="1" applyFont="1" applyFill="1" applyBorder="1" applyAlignment="1">
      <alignment horizontal="center" wrapText="1"/>
    </xf>
    <xf numFmtId="0" fontId="19" fillId="2" borderId="2" xfId="0" applyFont="1" applyFill="1" applyBorder="1" applyAlignment="1">
      <alignment horizontal="center" wrapText="1"/>
    </xf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0" fontId="23" fillId="23" borderId="2" xfId="0" applyFont="1" applyFill="1" applyBorder="1" applyAlignment="1">
      <alignment horizontal="center" wrapText="1"/>
    </xf>
    <xf numFmtId="0" fontId="23" fillId="23" borderId="2" xfId="0" applyFont="1" applyFill="1" applyBorder="1" applyAlignment="1">
      <alignment horizontal="left" wrapText="1"/>
    </xf>
    <xf numFmtId="3" fontId="23" fillId="23" borderId="18" xfId="0" applyNumberFormat="1" applyFont="1" applyFill="1" applyBorder="1" applyAlignment="1">
      <alignment horizontal="center" wrapText="1"/>
    </xf>
    <xf numFmtId="174" fontId="7" fillId="23" borderId="2" xfId="0" applyNumberFormat="1" applyFont="1" applyFill="1" applyBorder="1" applyAlignment="1">
      <alignment horizontal="center"/>
    </xf>
    <xf numFmtId="4" fontId="0" fillId="23" borderId="2" xfId="0" applyNumberFormat="1" applyFill="1" applyBorder="1" applyAlignment="1">
      <alignment horizontal="center"/>
    </xf>
    <xf numFmtId="3" fontId="23" fillId="23" borderId="2" xfId="0" applyNumberFormat="1" applyFont="1" applyFill="1" applyBorder="1" applyAlignment="1">
      <alignment horizontal="center" wrapText="1"/>
    </xf>
    <xf numFmtId="0" fontId="33" fillId="0" borderId="0" xfId="0" applyFont="1" applyBorder="1" applyAlignment="1">
      <alignment horizontal="center" wrapText="1"/>
    </xf>
    <xf numFmtId="0" fontId="42" fillId="2" borderId="2" xfId="0" applyFont="1" applyFill="1" applyBorder="1" applyAlignment="1">
      <alignment horizontal="center" vertical="center" wrapText="1"/>
    </xf>
    <xf numFmtId="1" fontId="22" fillId="2" borderId="2" xfId="0" applyNumberFormat="1" applyFont="1" applyFill="1" applyBorder="1" applyAlignment="1">
      <alignment horizontal="center" wrapText="1"/>
    </xf>
    <xf numFmtId="174" fontId="7" fillId="0" borderId="2" xfId="0" quotePrefix="1" applyNumberFormat="1" applyFont="1" applyBorder="1" applyAlignment="1">
      <alignment horizontal="center" wrapText="1"/>
    </xf>
    <xf numFmtId="174" fontId="7" fillId="0" borderId="2" xfId="3" applyNumberFormat="1" applyFont="1" applyFill="1" applyBorder="1" applyAlignment="1">
      <alignment horizont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1" fontId="12" fillId="0" borderId="2" xfId="0" applyNumberFormat="1" applyFont="1" applyFill="1" applyBorder="1" applyAlignment="1">
      <alignment horizontal="center" vertical="center"/>
    </xf>
    <xf numFmtId="167" fontId="5" fillId="0" borderId="2" xfId="0" applyNumberFormat="1" applyFont="1" applyFill="1" applyBorder="1" applyAlignment="1">
      <alignment horizontal="center"/>
    </xf>
    <xf numFmtId="0" fontId="0" fillId="0" borderId="0" xfId="0"/>
    <xf numFmtId="2" fontId="5" fillId="0" borderId="2" xfId="0" applyNumberFormat="1" applyFont="1" applyBorder="1" applyAlignment="1">
      <alignment horizontal="center"/>
    </xf>
    <xf numFmtId="0" fontId="7" fillId="0" borderId="0" xfId="3"/>
    <xf numFmtId="0" fontId="25" fillId="0" borderId="0" xfId="0" applyFont="1" applyBorder="1" applyAlignment="1">
      <alignment horizontal="center" wrapText="1"/>
    </xf>
    <xf numFmtId="0" fontId="26" fillId="2" borderId="2" xfId="0" applyFont="1" applyFill="1" applyBorder="1" applyAlignment="1">
      <alignment horizontal="center" vertical="center" wrapText="1"/>
    </xf>
    <xf numFmtId="2" fontId="7" fillId="0" borderId="5" xfId="3" applyNumberFormat="1" applyFont="1" applyFill="1" applyBorder="1" applyAlignment="1">
      <alignment horizontal="center" wrapText="1"/>
    </xf>
    <xf numFmtId="0" fontId="7" fillId="0" borderId="2" xfId="3" applyFont="1" applyFill="1" applyBorder="1" applyAlignment="1">
      <alignment horizontal="left" wrapText="1"/>
    </xf>
    <xf numFmtId="0" fontId="5" fillId="0" borderId="2" xfId="3" applyFont="1" applyBorder="1" applyAlignment="1">
      <alignment horizontal="center" wrapText="1"/>
    </xf>
    <xf numFmtId="0" fontId="5" fillId="0" borderId="2" xfId="3" applyFont="1" applyFill="1" applyBorder="1" applyAlignment="1">
      <alignment horizontal="center" wrapText="1"/>
    </xf>
    <xf numFmtId="1" fontId="5" fillId="2" borderId="2" xfId="0" applyNumberFormat="1" applyFont="1" applyFill="1" applyBorder="1" applyAlignment="1">
      <alignment horizontal="center"/>
    </xf>
    <xf numFmtId="0" fontId="23" fillId="0" borderId="2" xfId="0" applyFont="1" applyFill="1" applyBorder="1" applyAlignment="1">
      <alignment horizontal="left" wrapText="1"/>
    </xf>
    <xf numFmtId="0" fontId="23" fillId="0" borderId="2" xfId="0" applyFont="1" applyFill="1" applyBorder="1" applyAlignment="1">
      <alignment horizontal="center" wrapText="1"/>
    </xf>
    <xf numFmtId="1" fontId="23" fillId="0" borderId="2" xfId="0" applyNumberFormat="1" applyFont="1" applyFill="1" applyBorder="1" applyAlignment="1">
      <alignment horizontal="center" wrapText="1"/>
    </xf>
    <xf numFmtId="2" fontId="23" fillId="0" borderId="2" xfId="0" applyNumberFormat="1" applyFont="1" applyFill="1" applyBorder="1" applyAlignment="1">
      <alignment horizontal="center" wrapText="1"/>
    </xf>
    <xf numFmtId="0" fontId="23" fillId="0" borderId="2" xfId="0" applyFont="1" applyBorder="1" applyAlignment="1">
      <alignment horizontal="center" wrapText="1"/>
    </xf>
    <xf numFmtId="1" fontId="23" fillId="2" borderId="2" xfId="0" applyNumberFormat="1" applyFont="1" applyFill="1" applyBorder="1" applyAlignment="1">
      <alignment horizontal="center" wrapText="1"/>
    </xf>
    <xf numFmtId="4" fontId="23" fillId="0" borderId="2" xfId="0" applyNumberFormat="1" applyFont="1" applyFill="1" applyBorder="1" applyAlignment="1">
      <alignment horizontal="center" wrapText="1"/>
    </xf>
    <xf numFmtId="4" fontId="0" fillId="0" borderId="2" xfId="0" applyNumberFormat="1" applyBorder="1" applyAlignment="1">
      <alignment horizontal="center"/>
    </xf>
    <xf numFmtId="4" fontId="0" fillId="2" borderId="2" xfId="0" applyNumberFormat="1" applyFill="1" applyBorder="1" applyAlignment="1">
      <alignment horizontal="center"/>
    </xf>
    <xf numFmtId="3" fontId="23" fillId="0" borderId="2" xfId="0" applyNumberFormat="1" applyFont="1" applyFill="1" applyBorder="1" applyAlignment="1">
      <alignment horizontal="center" wrapText="1"/>
    </xf>
    <xf numFmtId="0" fontId="10" fillId="2" borderId="2" xfId="0" applyFont="1" applyFill="1" applyBorder="1" applyAlignment="1">
      <alignment horizontal="center" wrapText="1"/>
    </xf>
    <xf numFmtId="4" fontId="15" fillId="21" borderId="2" xfId="2" applyNumberFormat="1" applyFill="1" applyBorder="1" applyAlignment="1">
      <alignment horizontal="center" wrapText="1"/>
    </xf>
    <xf numFmtId="0" fontId="15" fillId="0" borderId="2" xfId="2" applyBorder="1" applyAlignment="1">
      <alignment horizontal="center" wrapText="1"/>
    </xf>
    <xf numFmtId="174" fontId="7" fillId="0" borderId="2" xfId="0" applyNumberFormat="1" applyFont="1" applyFill="1" applyBorder="1" applyAlignment="1">
      <alignment horizontal="center"/>
    </xf>
    <xf numFmtId="2" fontId="23" fillId="0" borderId="2" xfId="0" applyNumberFormat="1" applyFont="1" applyFill="1" applyBorder="1" applyAlignment="1">
      <alignment horizontal="center" vertical="center" wrapText="1"/>
    </xf>
    <xf numFmtId="2" fontId="23" fillId="2" borderId="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3" fontId="23" fillId="25" borderId="18" xfId="0" applyNumberFormat="1" applyFont="1" applyFill="1" applyBorder="1" applyAlignment="1">
      <alignment horizont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170" fontId="5" fillId="0" borderId="2" xfId="0" applyNumberFormat="1" applyFont="1" applyBorder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33" fillId="0" borderId="0" xfId="0" applyFont="1" applyAlignment="1">
      <alignment wrapText="1"/>
    </xf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22" fillId="2" borderId="2" xfId="0" applyFont="1" applyFill="1" applyBorder="1" applyAlignment="1">
      <alignment horizontal="left" vertical="center" wrapText="1"/>
    </xf>
    <xf numFmtId="0" fontId="0" fillId="0" borderId="0" xfId="0"/>
    <xf numFmtId="0" fontId="0" fillId="0" borderId="0" xfId="0"/>
    <xf numFmtId="0" fontId="15" fillId="0" borderId="0" xfId="2" applyAlignment="1">
      <alignment wrapText="1"/>
    </xf>
    <xf numFmtId="0" fontId="15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/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0" fillId="0" borderId="0" xfId="0" applyBorder="1"/>
    <xf numFmtId="166" fontId="23" fillId="0" borderId="2" xfId="0" applyNumberFormat="1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1" fontId="5" fillId="0" borderId="2" xfId="0" applyNumberFormat="1" applyFont="1" applyBorder="1" applyAlignment="1">
      <alignment horizontal="center" vertical="center"/>
    </xf>
    <xf numFmtId="0" fontId="45" fillId="13" borderId="23" xfId="0" applyFont="1" applyFill="1" applyBorder="1" applyAlignment="1">
      <alignment horizontal="center" vertical="center" wrapText="1"/>
    </xf>
    <xf numFmtId="0" fontId="45" fillId="8" borderId="23" xfId="0" applyFont="1" applyFill="1" applyBorder="1" applyAlignment="1">
      <alignment horizontal="center" vertical="center" wrapText="1"/>
    </xf>
    <xf numFmtId="166" fontId="23" fillId="0" borderId="2" xfId="0" applyNumberFormat="1" applyFont="1" applyFill="1" applyBorder="1" applyAlignment="1">
      <alignment horizontal="center" wrapText="1"/>
    </xf>
    <xf numFmtId="2" fontId="23" fillId="21" borderId="2" xfId="0" applyNumberFormat="1" applyFont="1" applyFill="1" applyBorder="1" applyAlignment="1">
      <alignment horizontal="center" wrapText="1"/>
    </xf>
    <xf numFmtId="0" fontId="26" fillId="3" borderId="2" xfId="0" applyFont="1" applyFill="1" applyBorder="1" applyAlignment="1">
      <alignment horizontal="left" vertical="center" wrapText="1"/>
    </xf>
    <xf numFmtId="166" fontId="23" fillId="2" borderId="2" xfId="0" applyNumberFormat="1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0" fontId="0" fillId="0" borderId="0" xfId="0"/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0" fontId="0" fillId="0" borderId="0" xfId="0" applyAlignment="1">
      <alignment horizontal="right"/>
    </xf>
    <xf numFmtId="166" fontId="22" fillId="3" borderId="2" xfId="0" applyNumberFormat="1" applyFont="1" applyFill="1" applyBorder="1" applyAlignment="1">
      <alignment horizontal="center" vertical="center" wrapText="1"/>
    </xf>
    <xf numFmtId="0" fontId="0" fillId="0" borderId="0" xfId="0"/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0" fontId="0" fillId="0" borderId="0" xfId="0" applyAlignment="1">
      <alignment horizontal="right"/>
    </xf>
    <xf numFmtId="174" fontId="5" fillId="0" borderId="2" xfId="0" applyNumberFormat="1" applyFont="1" applyBorder="1" applyAlignment="1">
      <alignment horizontal="center"/>
    </xf>
    <xf numFmtId="0" fontId="15" fillId="21" borderId="2" xfId="2" applyFill="1" applyBorder="1" applyAlignment="1">
      <alignment wrapText="1"/>
    </xf>
    <xf numFmtId="4" fontId="15" fillId="21" borderId="2" xfId="2" applyNumberFormat="1" applyFont="1" applyFill="1" applyBorder="1" applyAlignment="1">
      <alignment horizontal="center" wrapText="1"/>
    </xf>
    <xf numFmtId="0" fontId="15" fillId="28" borderId="2" xfId="2" applyFill="1" applyBorder="1" applyAlignment="1">
      <alignment wrapText="1"/>
    </xf>
    <xf numFmtId="0" fontId="0" fillId="0" borderId="0" xfId="0"/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0" fontId="0" fillId="0" borderId="0" xfId="0"/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0" fillId="0" borderId="0" xfId="0"/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29" fillId="19" borderId="2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166" fontId="7" fillId="0" borderId="2" xfId="0" applyNumberFormat="1" applyFont="1" applyBorder="1" applyAlignment="1">
      <alignment horizontal="center"/>
    </xf>
    <xf numFmtId="0" fontId="0" fillId="0" borderId="0" xfId="0"/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0" fontId="0" fillId="0" borderId="0" xfId="0"/>
    <xf numFmtId="4" fontId="23" fillId="2" borderId="2" xfId="0" applyNumberFormat="1" applyFont="1" applyFill="1" applyBorder="1" applyAlignment="1">
      <alignment horizontal="center" wrapText="1"/>
    </xf>
    <xf numFmtId="49" fontId="22" fillId="2" borderId="2" xfId="0" applyNumberFormat="1" applyFont="1" applyFill="1" applyBorder="1" applyAlignment="1">
      <alignment horizontal="left" wrapText="1"/>
    </xf>
    <xf numFmtId="4" fontId="15" fillId="0" borderId="5" xfId="3" applyNumberFormat="1" applyFont="1" applyFill="1" applyBorder="1" applyAlignment="1">
      <alignment horizontal="center" wrapText="1"/>
    </xf>
    <xf numFmtId="4" fontId="47" fillId="0" borderId="2" xfId="4" applyNumberFormat="1" applyFont="1" applyFill="1" applyBorder="1" applyAlignment="1">
      <alignment horizontal="center"/>
    </xf>
    <xf numFmtId="4" fontId="49" fillId="0" borderId="2" xfId="4" applyNumberFormat="1" applyFont="1" applyFill="1" applyBorder="1" applyAlignment="1">
      <alignment horizontal="center"/>
    </xf>
    <xf numFmtId="4" fontId="15" fillId="0" borderId="2" xfId="3" applyNumberFormat="1" applyFont="1" applyFill="1" applyBorder="1" applyAlignment="1">
      <alignment horizontal="center" wrapText="1"/>
    </xf>
    <xf numFmtId="0" fontId="15" fillId="0" borderId="2" xfId="3" applyFont="1" applyFill="1" applyBorder="1" applyAlignment="1">
      <alignment horizontal="left" wrapText="1"/>
    </xf>
    <xf numFmtId="4" fontId="47" fillId="0" borderId="2" xfId="4" applyNumberFormat="1" applyFont="1" applyBorder="1" applyAlignment="1">
      <alignment horizontal="left" wrapText="1"/>
    </xf>
    <xf numFmtId="4" fontId="47" fillId="0" borderId="2" xfId="4" applyNumberFormat="1" applyFont="1" applyFill="1" applyBorder="1" applyAlignment="1">
      <alignment horizontal="left" wrapText="1"/>
    </xf>
    <xf numFmtId="0" fontId="45" fillId="8" borderId="23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/>
    <xf numFmtId="3" fontId="28" fillId="0" borderId="2" xfId="4" applyNumberFormat="1" applyFont="1" applyFill="1" applyBorder="1" applyAlignment="1">
      <alignment horizontal="center"/>
    </xf>
    <xf numFmtId="166" fontId="22" fillId="2" borderId="2" xfId="0" applyNumberFormat="1" applyFont="1" applyFill="1" applyBorder="1" applyAlignment="1">
      <alignment horizontal="center" vertical="center" wrapText="1"/>
    </xf>
    <xf numFmtId="0" fontId="0" fillId="2" borderId="0" xfId="0" applyFill="1"/>
    <xf numFmtId="0" fontId="0" fillId="22" borderId="2" xfId="0" applyFill="1" applyBorder="1"/>
    <xf numFmtId="0" fontId="0" fillId="22" borderId="0" xfId="0" applyFill="1"/>
    <xf numFmtId="0" fontId="0" fillId="21" borderId="0" xfId="0" applyFill="1"/>
    <xf numFmtId="2" fontId="0" fillId="21" borderId="2" xfId="0" applyNumberFormat="1" applyFill="1" applyBorder="1" applyAlignment="1">
      <alignment horizontal="center"/>
    </xf>
    <xf numFmtId="2" fontId="0" fillId="2" borderId="2" xfId="0" applyNumberFormat="1" applyFill="1" applyBorder="1" applyAlignment="1">
      <alignment horizontal="center"/>
    </xf>
    <xf numFmtId="2" fontId="0" fillId="2" borderId="2" xfId="0" applyNumberFormat="1" applyFill="1" applyBorder="1" applyAlignment="1">
      <alignment horizontal="center" vertical="center"/>
    </xf>
    <xf numFmtId="0" fontId="22" fillId="22" borderId="2" xfId="0" applyFont="1" applyFill="1" applyBorder="1" applyAlignment="1">
      <alignment horizontal="left" vertical="center" wrapText="1"/>
    </xf>
    <xf numFmtId="0" fontId="24" fillId="22" borderId="22" xfId="0" applyFont="1" applyFill="1" applyBorder="1" applyAlignment="1">
      <alignment horizontal="center" vertical="center" wrapText="1"/>
    </xf>
    <xf numFmtId="0" fontId="22" fillId="22" borderId="2" xfId="0" applyFont="1" applyFill="1" applyBorder="1" applyAlignment="1">
      <alignment horizontal="center" vertical="center" wrapText="1"/>
    </xf>
    <xf numFmtId="164" fontId="15" fillId="23" borderId="2" xfId="0" applyNumberFormat="1" applyFont="1" applyFill="1" applyBorder="1" applyAlignment="1">
      <alignment horizontal="center"/>
    </xf>
    <xf numFmtId="4" fontId="0" fillId="23" borderId="2" xfId="0" applyNumberFormat="1" applyFill="1" applyBorder="1" applyAlignment="1">
      <alignment horizontal="center" vertical="center"/>
    </xf>
    <xf numFmtId="2" fontId="0" fillId="22" borderId="2" xfId="0" applyNumberFormat="1" applyFill="1" applyBorder="1" applyAlignment="1">
      <alignment horizontal="center"/>
    </xf>
    <xf numFmtId="1" fontId="0" fillId="21" borderId="2" xfId="0" applyNumberFormat="1" applyFill="1" applyBorder="1" applyAlignment="1">
      <alignment horizontal="center" vertical="center"/>
    </xf>
    <xf numFmtId="1" fontId="0" fillId="2" borderId="2" xfId="0" applyNumberFormat="1" applyFill="1" applyBorder="1" applyAlignment="1">
      <alignment horizontal="center" vertical="center"/>
    </xf>
    <xf numFmtId="1" fontId="0" fillId="22" borderId="2" xfId="0" applyNumberFormat="1" applyFill="1" applyBorder="1" applyAlignment="1">
      <alignment horizontal="center"/>
    </xf>
    <xf numFmtId="0" fontId="0" fillId="0" borderId="0" xfId="0"/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0" fillId="0" borderId="0" xfId="0"/>
    <xf numFmtId="0" fontId="8" fillId="0" borderId="0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174" fontId="23" fillId="0" borderId="2" xfId="0" applyNumberFormat="1" applyFont="1" applyFill="1" applyBorder="1" applyAlignment="1">
      <alignment vertical="center" wrapText="1"/>
    </xf>
    <xf numFmtId="0" fontId="46" fillId="22" borderId="2" xfId="0" applyFont="1" applyFill="1" applyBorder="1" applyAlignment="1">
      <alignment horizontal="left" wrapText="1"/>
    </xf>
    <xf numFmtId="49" fontId="46" fillId="22" borderId="2" xfId="0" applyNumberFormat="1" applyFont="1" applyFill="1" applyBorder="1" applyAlignment="1">
      <alignment horizontal="left" wrapText="1"/>
    </xf>
    <xf numFmtId="4" fontId="21" fillId="22" borderId="2" xfId="0" applyNumberFormat="1" applyFont="1" applyFill="1" applyBorder="1" applyAlignment="1">
      <alignment horizontal="center" wrapText="1"/>
    </xf>
    <xf numFmtId="0" fontId="43" fillId="2" borderId="2" xfId="0" applyFont="1" applyFill="1" applyBorder="1" applyAlignment="1">
      <alignment horizontal="center" vertical="center" wrapText="1"/>
    </xf>
    <xf numFmtId="0" fontId="52" fillId="2" borderId="2" xfId="0" applyFont="1" applyFill="1" applyBorder="1" applyAlignment="1">
      <alignment horizontal="center" vertical="center" wrapText="1"/>
    </xf>
    <xf numFmtId="0" fontId="53" fillId="22" borderId="2" xfId="0" applyFont="1" applyFill="1" applyBorder="1" applyAlignment="1">
      <alignment horizontal="center" vertical="center" wrapText="1"/>
    </xf>
    <xf numFmtId="0" fontId="5" fillId="31" borderId="2" xfId="0" applyFont="1" applyFill="1" applyBorder="1"/>
    <xf numFmtId="49" fontId="15" fillId="31" borderId="2" xfId="0" applyNumberFormat="1" applyFont="1" applyFill="1" applyBorder="1" applyAlignment="1">
      <alignment wrapText="1"/>
    </xf>
    <xf numFmtId="174" fontId="23" fillId="0" borderId="2" xfId="0" applyNumberFormat="1" applyFont="1" applyFill="1" applyBorder="1" applyAlignment="1">
      <alignment horizontal="left" vertical="center" wrapText="1"/>
    </xf>
    <xf numFmtId="0" fontId="34" fillId="18" borderId="23" xfId="0" applyFont="1" applyFill="1" applyBorder="1" applyAlignment="1">
      <alignment horizontal="center" vertical="center" wrapText="1"/>
    </xf>
    <xf numFmtId="0" fontId="15" fillId="0" borderId="0" xfId="2" applyAlignment="1">
      <alignment wrapText="1"/>
    </xf>
    <xf numFmtId="2" fontId="0" fillId="0" borderId="0" xfId="0" applyNumberFormat="1"/>
    <xf numFmtId="0" fontId="0" fillId="0" borderId="0" xfId="0"/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0" fillId="0" borderId="0" xfId="0"/>
    <xf numFmtId="0" fontId="8" fillId="0" borderId="0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4" fontId="47" fillId="0" borderId="2" xfId="3" applyNumberFormat="1" applyFont="1" applyFill="1" applyBorder="1" applyAlignment="1">
      <alignment horizontal="center" wrapText="1"/>
    </xf>
    <xf numFmtId="0" fontId="23" fillId="10" borderId="2" xfId="0" applyFont="1" applyFill="1" applyBorder="1" applyAlignment="1">
      <alignment horizontal="left" wrapText="1"/>
    </xf>
    <xf numFmtId="0" fontId="15" fillId="10" borderId="2" xfId="3" applyFont="1" applyFill="1" applyBorder="1" applyAlignment="1">
      <alignment horizontal="left" wrapText="1"/>
    </xf>
    <xf numFmtId="0" fontId="7" fillId="10" borderId="2" xfId="3" applyFont="1" applyFill="1" applyBorder="1" applyAlignment="1">
      <alignment horizontal="left" wrapText="1"/>
    </xf>
    <xf numFmtId="0" fontId="0" fillId="0" borderId="0" xfId="0"/>
    <xf numFmtId="0" fontId="8" fillId="0" borderId="0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4" fontId="13" fillId="0" borderId="0" xfId="0" applyNumberFormat="1" applyFont="1"/>
    <xf numFmtId="164" fontId="13" fillId="0" borderId="0" xfId="0" applyNumberFormat="1" applyFont="1"/>
    <xf numFmtId="4" fontId="13" fillId="0" borderId="0" xfId="0" applyNumberFormat="1" applyFont="1" applyFill="1"/>
    <xf numFmtId="165" fontId="13" fillId="0" borderId="0" xfId="0" applyNumberFormat="1" applyFont="1"/>
    <xf numFmtId="0" fontId="21" fillId="0" borderId="2" xfId="0" applyNumberFormat="1" applyFont="1" applyFill="1" applyBorder="1" applyAlignment="1">
      <alignment horizontal="left" wrapText="1"/>
    </xf>
    <xf numFmtId="0" fontId="0" fillId="0" borderId="0" xfId="0" applyAlignment="1">
      <alignment wrapText="1"/>
    </xf>
    <xf numFmtId="0" fontId="15" fillId="3" borderId="2" xfId="0" applyFont="1" applyFill="1" applyBorder="1" applyAlignment="1">
      <alignment horizontal="left" wrapText="1"/>
    </xf>
    <xf numFmtId="0" fontId="33" fillId="3" borderId="2" xfId="0" applyFont="1" applyFill="1" applyBorder="1" applyAlignment="1">
      <alignment horizontal="left" wrapText="1"/>
    </xf>
    <xf numFmtId="0" fontId="33" fillId="3" borderId="2" xfId="0" applyFont="1" applyFill="1" applyBorder="1" applyAlignment="1">
      <alignment horizontal="left" vertical="center" wrapText="1"/>
    </xf>
    <xf numFmtId="0" fontId="21" fillId="0" borderId="0" xfId="0" applyFont="1" applyFill="1" applyBorder="1" applyAlignment="1">
      <alignment horizontal="right" wrapText="1"/>
    </xf>
    <xf numFmtId="0" fontId="7" fillId="6" borderId="2" xfId="0" applyFont="1" applyFill="1" applyBorder="1" applyAlignment="1">
      <alignment horizontal="left" wrapText="1"/>
    </xf>
    <xf numFmtId="0" fontId="10" fillId="2" borderId="5" xfId="0" applyFont="1" applyFill="1" applyBorder="1" applyAlignment="1">
      <alignment horizontal="center" wrapText="1"/>
    </xf>
    <xf numFmtId="0" fontId="10" fillId="9" borderId="2" xfId="0" applyFont="1" applyFill="1" applyBorder="1" applyAlignment="1">
      <alignment wrapText="1"/>
    </xf>
    <xf numFmtId="0" fontId="0" fillId="21" borderId="2" xfId="0" applyFill="1" applyBorder="1" applyAlignment="1">
      <alignment horizontal="left" wrapText="1"/>
    </xf>
    <xf numFmtId="0" fontId="0" fillId="2" borderId="2" xfId="0" applyFill="1" applyBorder="1" applyAlignment="1">
      <alignment horizontal="left" wrapText="1"/>
    </xf>
    <xf numFmtId="0" fontId="0" fillId="22" borderId="2" xfId="0" applyFill="1" applyBorder="1" applyAlignment="1">
      <alignment horizontal="left" wrapText="1"/>
    </xf>
    <xf numFmtId="0" fontId="45" fillId="13" borderId="23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1" fontId="0" fillId="0" borderId="0" xfId="0" applyNumberFormat="1"/>
    <xf numFmtId="1" fontId="23" fillId="22" borderId="2" xfId="0" applyNumberFormat="1" applyFont="1" applyFill="1" applyBorder="1" applyAlignment="1">
      <alignment horizontal="center" vertical="center" wrapText="1"/>
    </xf>
    <xf numFmtId="1" fontId="22" fillId="2" borderId="2" xfId="0" applyNumberFormat="1" applyFont="1" applyFill="1" applyBorder="1" applyAlignment="1">
      <alignment horizontal="center" vertical="center" wrapText="1"/>
    </xf>
    <xf numFmtId="1" fontId="0" fillId="0" borderId="0" xfId="0" applyNumberFormat="1" applyAlignment="1">
      <alignment horizontal="center"/>
    </xf>
    <xf numFmtId="1" fontId="37" fillId="18" borderId="23" xfId="0" applyNumberFormat="1" applyFont="1" applyFill="1" applyBorder="1" applyAlignment="1">
      <alignment horizontal="center" vertical="center" wrapText="1"/>
    </xf>
    <xf numFmtId="1" fontId="37" fillId="0" borderId="5" xfId="0" applyNumberFormat="1" applyFont="1" applyBorder="1" applyAlignment="1">
      <alignment horizontal="center" vertical="center" wrapText="1"/>
    </xf>
    <xf numFmtId="1" fontId="0" fillId="22" borderId="2" xfId="0" applyNumberFormat="1" applyFill="1" applyBorder="1" applyAlignment="1">
      <alignment horizontal="center" vertical="center"/>
    </xf>
    <xf numFmtId="1" fontId="0" fillId="21" borderId="2" xfId="0" applyNumberFormat="1" applyFill="1" applyBorder="1" applyAlignment="1">
      <alignment horizontal="center"/>
    </xf>
    <xf numFmtId="1" fontId="37" fillId="0" borderId="0" xfId="0" applyNumberFormat="1" applyFont="1" applyBorder="1" applyAlignment="1">
      <alignment horizontal="center" wrapText="1"/>
    </xf>
    <xf numFmtId="2" fontId="36" fillId="0" borderId="0" xfId="0" applyNumberFormat="1" applyFont="1" applyBorder="1" applyAlignment="1">
      <alignment horizontal="center" wrapText="1"/>
    </xf>
    <xf numFmtId="2" fontId="33" fillId="0" borderId="0" xfId="0" applyNumberFormat="1" applyFont="1" applyBorder="1" applyAlignment="1">
      <alignment horizontal="center" wrapText="1"/>
    </xf>
    <xf numFmtId="2" fontId="21" fillId="2" borderId="2" xfId="0" applyNumberFormat="1" applyFont="1" applyFill="1" applyBorder="1" applyAlignment="1">
      <alignment horizontal="center" vertical="center" wrapText="1"/>
    </xf>
    <xf numFmtId="2" fontId="21" fillId="22" borderId="2" xfId="0" applyNumberFormat="1" applyFont="1" applyFill="1" applyBorder="1" applyAlignment="1">
      <alignment horizontal="center" vertical="center" wrapText="1"/>
    </xf>
    <xf numFmtId="2" fontId="22" fillId="2" borderId="2" xfId="0" applyNumberFormat="1" applyFont="1" applyFill="1" applyBorder="1" applyAlignment="1">
      <alignment horizontal="center" vertical="center" wrapText="1"/>
    </xf>
    <xf numFmtId="2" fontId="23" fillId="22" borderId="2" xfId="0" applyNumberFormat="1" applyFont="1" applyFill="1" applyBorder="1" applyAlignment="1">
      <alignment horizontal="center" vertical="center" wrapText="1"/>
    </xf>
    <xf numFmtId="2" fontId="22" fillId="3" borderId="2" xfId="0" applyNumberFormat="1" applyFont="1" applyFill="1" applyBorder="1" applyAlignment="1">
      <alignment horizontal="center" vertical="center" wrapText="1"/>
    </xf>
    <xf numFmtId="2" fontId="32" fillId="0" borderId="0" xfId="0" applyNumberFormat="1" applyFont="1" applyBorder="1" applyAlignment="1">
      <alignment horizontal="center" vertical="center"/>
    </xf>
    <xf numFmtId="2" fontId="0" fillId="0" borderId="0" xfId="0" applyNumberFormat="1" applyBorder="1" applyAlignment="1">
      <alignment horizontal="center"/>
    </xf>
    <xf numFmtId="2" fontId="40" fillId="19" borderId="2" xfId="0" applyNumberFormat="1" applyFont="1" applyFill="1" applyBorder="1" applyAlignment="1">
      <alignment horizontal="center" vertical="center"/>
    </xf>
    <xf numFmtId="2" fontId="37" fillId="18" borderId="23" xfId="0" applyNumberFormat="1" applyFont="1" applyFill="1" applyBorder="1" applyAlignment="1">
      <alignment horizontal="center" vertical="center" wrapText="1"/>
    </xf>
    <xf numFmtId="2" fontId="16" fillId="18" borderId="2" xfId="0" applyNumberFormat="1" applyFont="1" applyFill="1" applyBorder="1" applyAlignment="1">
      <alignment horizontal="center" vertical="center"/>
    </xf>
    <xf numFmtId="2" fontId="37" fillId="0" borderId="5" xfId="0" applyNumberFormat="1" applyFont="1" applyBorder="1" applyAlignment="1">
      <alignment horizontal="center" vertical="center" wrapText="1"/>
    </xf>
    <xf numFmtId="2" fontId="37" fillId="0" borderId="2" xfId="0" applyNumberFormat="1" applyFont="1" applyBorder="1" applyAlignment="1">
      <alignment horizontal="center" vertical="center" wrapText="1"/>
    </xf>
    <xf numFmtId="2" fontId="37" fillId="0" borderId="2" xfId="0" applyNumberFormat="1" applyFont="1" applyFill="1" applyBorder="1" applyAlignment="1">
      <alignment horizontal="center" vertical="center" wrapText="1"/>
    </xf>
    <xf numFmtId="2" fontId="38" fillId="2" borderId="2" xfId="0" applyNumberFormat="1" applyFont="1" applyFill="1" applyBorder="1" applyAlignment="1">
      <alignment horizontal="center"/>
    </xf>
    <xf numFmtId="2" fontId="37" fillId="2" borderId="2" xfId="0" applyNumberFormat="1" applyFont="1" applyFill="1" applyBorder="1" applyAlignment="1">
      <alignment horizontal="center" vertical="center"/>
    </xf>
    <xf numFmtId="2" fontId="21" fillId="0" borderId="2" xfId="0" applyNumberFormat="1" applyFont="1" applyFill="1" applyBorder="1" applyAlignment="1">
      <alignment horizontal="center" vertical="center"/>
    </xf>
    <xf numFmtId="2" fontId="7" fillId="6" borderId="2" xfId="0" applyNumberFormat="1" applyFont="1" applyFill="1" applyBorder="1" applyAlignment="1">
      <alignment horizontal="center"/>
    </xf>
    <xf numFmtId="2" fontId="21" fillId="6" borderId="2" xfId="0" applyNumberFormat="1" applyFont="1" applyFill="1" applyBorder="1" applyAlignment="1">
      <alignment horizontal="center"/>
    </xf>
    <xf numFmtId="2" fontId="35" fillId="2" borderId="2" xfId="0" applyNumberFormat="1" applyFont="1" applyFill="1" applyBorder="1" applyAlignment="1">
      <alignment horizontal="center" vertical="center"/>
    </xf>
    <xf numFmtId="2" fontId="23" fillId="7" borderId="2" xfId="0" applyNumberFormat="1" applyFont="1" applyFill="1" applyBorder="1" applyAlignment="1">
      <alignment horizontal="center"/>
    </xf>
    <xf numFmtId="2" fontId="23" fillId="4" borderId="2" xfId="0" applyNumberFormat="1" applyFont="1" applyFill="1" applyBorder="1" applyAlignment="1">
      <alignment horizontal="center"/>
    </xf>
    <xf numFmtId="2" fontId="10" fillId="9" borderId="2" xfId="0" applyNumberFormat="1" applyFont="1" applyFill="1" applyBorder="1" applyAlignment="1">
      <alignment horizontal="center"/>
    </xf>
    <xf numFmtId="2" fontId="0" fillId="22" borderId="2" xfId="0" applyNumberFormat="1" applyFill="1" applyBorder="1" applyAlignment="1">
      <alignment horizontal="center" vertical="center"/>
    </xf>
    <xf numFmtId="2" fontId="37" fillId="0" borderId="0" xfId="0" applyNumberFormat="1" applyFont="1" applyBorder="1" applyAlignment="1">
      <alignment horizontal="center" wrapText="1"/>
    </xf>
    <xf numFmtId="2" fontId="0" fillId="0" borderId="0" xfId="0" applyNumberFormat="1" applyAlignment="1">
      <alignment horizontal="center"/>
    </xf>
    <xf numFmtId="1" fontId="36" fillId="0" borderId="0" xfId="0" applyNumberFormat="1" applyFont="1" applyBorder="1" applyAlignment="1">
      <alignment horizontal="center" wrapText="1"/>
    </xf>
    <xf numFmtId="1" fontId="25" fillId="0" borderId="0" xfId="0" applyNumberFormat="1" applyFont="1" applyBorder="1" applyAlignment="1">
      <alignment horizontal="center" wrapText="1"/>
    </xf>
    <xf numFmtId="1" fontId="21" fillId="2" borderId="2" xfId="0" applyNumberFormat="1" applyFont="1" applyFill="1" applyBorder="1" applyAlignment="1">
      <alignment horizontal="center" vertical="center" wrapText="1"/>
    </xf>
    <xf numFmtId="1" fontId="21" fillId="22" borderId="2" xfId="0" applyNumberFormat="1" applyFont="1" applyFill="1" applyBorder="1" applyAlignment="1">
      <alignment horizontal="center" vertical="center" wrapText="1"/>
    </xf>
    <xf numFmtId="1" fontId="38" fillId="0" borderId="2" xfId="0" applyNumberFormat="1" applyFont="1" applyBorder="1" applyAlignment="1">
      <alignment horizontal="center" vertical="center" wrapText="1"/>
    </xf>
    <xf numFmtId="1" fontId="37" fillId="2" borderId="2" xfId="0" applyNumberFormat="1" applyFont="1" applyFill="1" applyBorder="1" applyAlignment="1">
      <alignment horizontal="center" vertical="center"/>
    </xf>
    <xf numFmtId="1" fontId="21" fillId="0" borderId="2" xfId="0" applyNumberFormat="1" applyFont="1" applyFill="1" applyBorder="1" applyAlignment="1">
      <alignment horizontal="center" vertical="center"/>
    </xf>
    <xf numFmtId="1" fontId="35" fillId="2" borderId="2" xfId="0" applyNumberFormat="1" applyFont="1" applyFill="1" applyBorder="1" applyAlignment="1">
      <alignment horizontal="center" vertical="center"/>
    </xf>
    <xf numFmtId="1" fontId="29" fillId="19" borderId="2" xfId="0" applyNumberFormat="1" applyFont="1" applyFill="1" applyBorder="1" applyAlignment="1">
      <alignment horizontal="center" vertical="center" wrapText="1"/>
    </xf>
    <xf numFmtId="1" fontId="23" fillId="23" borderId="2" xfId="0" applyNumberFormat="1" applyFont="1" applyFill="1" applyBorder="1" applyAlignment="1">
      <alignment horizontal="center" wrapText="1"/>
    </xf>
    <xf numFmtId="1" fontId="23" fillId="20" borderId="2" xfId="0" applyNumberFormat="1" applyFont="1" applyFill="1" applyBorder="1" applyAlignment="1">
      <alignment horizontal="center" wrapText="1"/>
    </xf>
    <xf numFmtId="1" fontId="23" fillId="21" borderId="2" xfId="0" applyNumberFormat="1" applyFont="1" applyFill="1" applyBorder="1" applyAlignment="1">
      <alignment horizontal="center" wrapText="1"/>
    </xf>
    <xf numFmtId="1" fontId="0" fillId="2" borderId="2" xfId="0" applyNumberFormat="1" applyFill="1" applyBorder="1"/>
    <xf numFmtId="2" fontId="44" fillId="0" borderId="24" xfId="0" applyNumberFormat="1" applyFont="1" applyBorder="1" applyAlignment="1">
      <alignment horizontal="center" vertical="center" wrapText="1"/>
    </xf>
    <xf numFmtId="2" fontId="23" fillId="21" borderId="2" xfId="0" applyNumberFormat="1" applyFont="1" applyFill="1" applyBorder="1" applyAlignment="1">
      <alignment horizontal="center" vertical="center" wrapText="1"/>
    </xf>
    <xf numFmtId="2" fontId="23" fillId="25" borderId="18" xfId="0" applyNumberFormat="1" applyFont="1" applyFill="1" applyBorder="1" applyAlignment="1">
      <alignment horizontal="center" wrapText="1"/>
    </xf>
    <xf numFmtId="2" fontId="23" fillId="23" borderId="18" xfId="0" applyNumberFormat="1" applyFont="1" applyFill="1" applyBorder="1" applyAlignment="1">
      <alignment horizontal="center" wrapText="1"/>
    </xf>
    <xf numFmtId="2" fontId="23" fillId="23" borderId="2" xfId="0" applyNumberFormat="1" applyFont="1" applyFill="1" applyBorder="1" applyAlignment="1">
      <alignment horizontal="center" wrapText="1"/>
    </xf>
    <xf numFmtId="2" fontId="23" fillId="20" borderId="2" xfId="0" applyNumberFormat="1" applyFont="1" applyFill="1" applyBorder="1" applyAlignment="1">
      <alignment horizontal="center" wrapText="1"/>
    </xf>
    <xf numFmtId="2" fontId="23" fillId="22" borderId="2" xfId="0" applyNumberFormat="1" applyFont="1" applyFill="1" applyBorder="1" applyAlignment="1">
      <alignment horizontal="center" wrapText="1"/>
    </xf>
    <xf numFmtId="168" fontId="5" fillId="2" borderId="2" xfId="0" applyNumberFormat="1" applyFont="1" applyFill="1" applyBorder="1" applyAlignment="1">
      <alignment horizontal="center"/>
    </xf>
    <xf numFmtId="169" fontId="5" fillId="0" borderId="2" xfId="0" applyNumberFormat="1" applyFont="1" applyFill="1" applyBorder="1" applyAlignment="1">
      <alignment horizontal="center"/>
    </xf>
    <xf numFmtId="2" fontId="30" fillId="0" borderId="5" xfId="0" applyNumberFormat="1" applyFont="1" applyBorder="1" applyAlignment="1">
      <alignment horizontal="center" vertical="center" wrapText="1"/>
    </xf>
    <xf numFmtId="166" fontId="23" fillId="0" borderId="5" xfId="0" applyNumberFormat="1" applyFont="1" applyFill="1" applyBorder="1" applyAlignment="1">
      <alignment horizontal="center" vertical="center" wrapText="1"/>
    </xf>
    <xf numFmtId="166" fontId="0" fillId="2" borderId="2" xfId="0" applyNumberFormat="1" applyFill="1" applyBorder="1" applyAlignment="1">
      <alignment horizontal="center" vertical="center"/>
    </xf>
    <xf numFmtId="166" fontId="10" fillId="22" borderId="22" xfId="0" applyNumberFormat="1" applyFont="1" applyFill="1" applyBorder="1" applyAlignment="1">
      <alignment horizontal="center"/>
    </xf>
    <xf numFmtId="166" fontId="27" fillId="6" borderId="2" xfId="0" applyNumberFormat="1" applyFont="1" applyFill="1" applyBorder="1" applyAlignment="1">
      <alignment horizontal="center" vertical="center" wrapText="1"/>
    </xf>
    <xf numFmtId="166" fontId="0" fillId="2" borderId="2" xfId="0" applyNumberFormat="1" applyFill="1" applyBorder="1" applyAlignment="1">
      <alignment horizontal="center"/>
    </xf>
    <xf numFmtId="166" fontId="0" fillId="0" borderId="0" xfId="0" applyNumberFormat="1" applyAlignment="1">
      <alignment horizontal="center"/>
    </xf>
    <xf numFmtId="166" fontId="10" fillId="15" borderId="23" xfId="0" applyNumberFormat="1" applyFont="1" applyFill="1" applyBorder="1" applyAlignment="1">
      <alignment horizontal="center" vertical="center"/>
    </xf>
    <xf numFmtId="0" fontId="0" fillId="0" borderId="0" xfId="0"/>
    <xf numFmtId="4" fontId="7" fillId="11" borderId="2" xfId="3" applyNumberFormat="1" applyFont="1" applyFill="1" applyBorder="1" applyAlignment="1">
      <alignment horizontal="center" vertical="center" wrapText="1"/>
    </xf>
    <xf numFmtId="1" fontId="23" fillId="2" borderId="2" xfId="0" applyNumberFormat="1" applyFont="1" applyFill="1" applyBorder="1" applyAlignment="1">
      <alignment vertical="center" wrapText="1"/>
    </xf>
    <xf numFmtId="1" fontId="27" fillId="2" borderId="22" xfId="0" applyNumberFormat="1" applyFont="1" applyFill="1" applyBorder="1" applyAlignment="1">
      <alignment horizontal="center" vertical="center" wrapText="1"/>
    </xf>
    <xf numFmtId="174" fontId="23" fillId="0" borderId="2" xfId="0" applyNumberFormat="1" applyFont="1" applyFill="1" applyBorder="1" applyAlignment="1">
      <alignment horizontal="center" vertical="center" wrapText="1"/>
    </xf>
    <xf numFmtId="3" fontId="23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0" fillId="0" borderId="0" xfId="0" applyAlignment="1">
      <alignment horizontal="right"/>
    </xf>
    <xf numFmtId="174" fontId="23" fillId="2" borderId="2" xfId="0" applyNumberFormat="1" applyFont="1" applyFill="1" applyBorder="1" applyAlignment="1">
      <alignment horizontal="center" vertical="center" wrapText="1"/>
    </xf>
    <xf numFmtId="1" fontId="15" fillId="0" borderId="2" xfId="0" applyNumberFormat="1" applyFont="1" applyBorder="1" applyAlignment="1">
      <alignment horizontal="center" vertical="center"/>
    </xf>
    <xf numFmtId="170" fontId="7" fillId="0" borderId="2" xfId="0" quotePrefix="1" applyNumberFormat="1" applyFont="1" applyFill="1" applyBorder="1" applyAlignment="1">
      <alignment horizontal="center"/>
    </xf>
    <xf numFmtId="0" fontId="20" fillId="0" borderId="0" xfId="0" applyFont="1" applyFill="1" applyBorder="1" applyAlignment="1">
      <alignment horizontal="right" wrapText="1"/>
    </xf>
    <xf numFmtId="2" fontId="33" fillId="0" borderId="0" xfId="0" applyNumberFormat="1" applyFont="1" applyFill="1" applyBorder="1" applyAlignment="1">
      <alignment horizontal="center" vertical="center"/>
    </xf>
    <xf numFmtId="1" fontId="33" fillId="0" borderId="0" xfId="0" applyNumberFormat="1" applyFont="1" applyFill="1" applyBorder="1" applyAlignment="1">
      <alignment horizontal="center" vertical="center"/>
    </xf>
    <xf numFmtId="2" fontId="33" fillId="0" borderId="0" xfId="0" applyNumberFormat="1" applyFont="1" applyBorder="1" applyAlignment="1">
      <alignment horizontal="center" vertical="center"/>
    </xf>
    <xf numFmtId="2" fontId="17" fillId="0" borderId="0" xfId="0" applyNumberFormat="1" applyFont="1" applyFill="1" applyBorder="1" applyAlignment="1">
      <alignment horizontal="center"/>
    </xf>
    <xf numFmtId="0" fontId="0" fillId="0" borderId="0" xfId="0" applyBorder="1" applyAlignment="1">
      <alignment wrapText="1"/>
    </xf>
    <xf numFmtId="0" fontId="20" fillId="0" borderId="0" xfId="0" applyFont="1" applyFill="1" applyBorder="1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29" fillId="19" borderId="7" xfId="0" applyFont="1" applyFill="1" applyBorder="1" applyAlignment="1">
      <alignment horizontal="center" vertical="center" wrapText="1"/>
    </xf>
    <xf numFmtId="0" fontId="7" fillId="0" borderId="22" xfId="3" applyFont="1" applyFill="1" applyBorder="1" applyAlignment="1">
      <alignment horizontal="center" vertical="center" wrapText="1"/>
    </xf>
    <xf numFmtId="174" fontId="7" fillId="0" borderId="5" xfId="0" applyNumberFormat="1" applyFont="1" applyBorder="1" applyAlignment="1">
      <alignment horizontal="center" wrapText="1"/>
    </xf>
    <xf numFmtId="174" fontId="7" fillId="0" borderId="5" xfId="3" applyNumberFormat="1" applyFont="1" applyFill="1" applyBorder="1" applyAlignment="1">
      <alignment horizontal="center" wrapText="1"/>
    </xf>
    <xf numFmtId="4" fontId="7" fillId="0" borderId="22" xfId="3" applyNumberFormat="1" applyFont="1" applyFill="1" applyBorder="1" applyAlignment="1">
      <alignment horizontal="center" vertical="center" wrapText="1"/>
    </xf>
    <xf numFmtId="0" fontId="23" fillId="0" borderId="2" xfId="0" applyNumberFormat="1" applyFont="1" applyFill="1" applyBorder="1" applyAlignment="1">
      <alignment horizontal="center" wrapText="1"/>
    </xf>
    <xf numFmtId="0" fontId="45" fillId="8" borderId="23" xfId="0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1" fontId="23" fillId="0" borderId="5" xfId="0" applyNumberFormat="1" applyFont="1" applyFill="1" applyBorder="1" applyAlignment="1">
      <alignment horizontal="center" vertical="center" wrapText="1"/>
    </xf>
    <xf numFmtId="1" fontId="27" fillId="6" borderId="2" xfId="0" applyNumberFormat="1" applyFont="1" applyFill="1" applyBorder="1" applyAlignment="1">
      <alignment horizontal="center" vertical="center" wrapText="1"/>
    </xf>
    <xf numFmtId="4" fontId="17" fillId="26" borderId="2" xfId="0" applyNumberFormat="1" applyFont="1" applyFill="1" applyBorder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0" fillId="0" borderId="0" xfId="0" applyAlignment="1">
      <alignment horizontal="right"/>
    </xf>
    <xf numFmtId="1" fontId="0" fillId="0" borderId="0" xfId="0" applyNumberFormat="1" applyAlignment="1">
      <alignment horizontal="center" vertical="center"/>
    </xf>
    <xf numFmtId="1" fontId="37" fillId="0" borderId="0" xfId="0" applyNumberFormat="1" applyFont="1" applyBorder="1" applyAlignment="1">
      <alignment horizontal="center" vertical="center" wrapText="1"/>
    </xf>
    <xf numFmtId="1" fontId="36" fillId="0" borderId="0" xfId="0" applyNumberFormat="1" applyFont="1" applyFill="1" applyBorder="1" applyAlignment="1">
      <alignment horizontal="center" vertical="center"/>
    </xf>
    <xf numFmtId="1" fontId="17" fillId="0" borderId="0" xfId="0" applyNumberFormat="1" applyFont="1" applyFill="1" applyBorder="1" applyAlignment="1">
      <alignment horizontal="center" vertical="center"/>
    </xf>
    <xf numFmtId="1" fontId="0" fillId="0" borderId="0" xfId="0" applyNumberFormat="1" applyFill="1" applyBorder="1" applyAlignment="1">
      <alignment horizontal="center" vertical="center"/>
    </xf>
    <xf numFmtId="1" fontId="0" fillId="0" borderId="0" xfId="0" applyNumberFormat="1" applyBorder="1" applyAlignment="1">
      <alignment horizontal="center" vertical="center"/>
    </xf>
    <xf numFmtId="1" fontId="38" fillId="2" borderId="2" xfId="0" applyNumberFormat="1" applyFont="1" applyFill="1" applyBorder="1" applyAlignment="1">
      <alignment horizontal="center" vertical="center"/>
    </xf>
    <xf numFmtId="1" fontId="0" fillId="33" borderId="2" xfId="0" applyNumberFormat="1" applyFill="1" applyBorder="1" applyAlignment="1">
      <alignment horizontal="center" vertical="center"/>
    </xf>
    <xf numFmtId="2" fontId="0" fillId="33" borderId="2" xfId="0" applyNumberFormat="1" applyFill="1" applyBorder="1" applyAlignment="1">
      <alignment horizontal="center"/>
    </xf>
    <xf numFmtId="1" fontId="0" fillId="33" borderId="2" xfId="0" applyNumberFormat="1" applyFill="1" applyBorder="1" applyAlignment="1">
      <alignment horizontal="center"/>
    </xf>
    <xf numFmtId="0" fontId="12" fillId="0" borderId="2" xfId="0" applyFont="1" applyFill="1" applyBorder="1" applyAlignment="1">
      <alignment horizontal="center" vertical="center" wrapText="1"/>
    </xf>
    <xf numFmtId="1" fontId="0" fillId="0" borderId="2" xfId="0" applyNumberFormat="1" applyFill="1" applyBorder="1" applyAlignment="1">
      <alignment horizontal="center" vertical="center"/>
    </xf>
    <xf numFmtId="2" fontId="0" fillId="0" borderId="2" xfId="0" applyNumberFormat="1" applyFill="1" applyBorder="1" applyAlignment="1">
      <alignment horizontal="center"/>
    </xf>
    <xf numFmtId="1" fontId="0" fillId="0" borderId="2" xfId="0" applyNumberFormat="1" applyFill="1" applyBorder="1" applyAlignment="1">
      <alignment horizontal="center"/>
    </xf>
    <xf numFmtId="166" fontId="0" fillId="0" borderId="2" xfId="0" applyNumberFormat="1" applyFill="1" applyBorder="1" applyAlignment="1">
      <alignment horizontal="center" vertical="center"/>
    </xf>
    <xf numFmtId="0" fontId="0" fillId="0" borderId="0" xfId="0" applyFill="1"/>
    <xf numFmtId="0" fontId="0" fillId="0" borderId="22" xfId="0" applyFill="1" applyBorder="1"/>
    <xf numFmtId="0" fontId="0" fillId="33" borderId="22" xfId="0" applyFill="1" applyBorder="1" applyAlignment="1">
      <alignment horizontal="center" vertical="center"/>
    </xf>
    <xf numFmtId="0" fontId="0" fillId="33" borderId="2" xfId="0" applyFill="1" applyBorder="1" applyAlignment="1">
      <alignment wrapText="1"/>
    </xf>
    <xf numFmtId="166" fontId="0" fillId="33" borderId="2" xfId="0" applyNumberFormat="1" applyFill="1" applyBorder="1" applyAlignment="1">
      <alignment horizontal="center"/>
    </xf>
    <xf numFmtId="166" fontId="12" fillId="33" borderId="2" xfId="0" applyNumberFormat="1" applyFont="1" applyFill="1" applyBorder="1" applyAlignment="1">
      <alignment horizontal="center"/>
    </xf>
    <xf numFmtId="174" fontId="21" fillId="22" borderId="22" xfId="0" applyNumberFormat="1" applyFont="1" applyFill="1" applyBorder="1" applyAlignment="1">
      <alignment horizontal="center" vertical="center" wrapText="1"/>
    </xf>
    <xf numFmtId="174" fontId="7" fillId="22" borderId="22" xfId="0" applyNumberFormat="1" applyFont="1" applyFill="1" applyBorder="1" applyAlignment="1">
      <alignment horizontal="center"/>
    </xf>
    <xf numFmtId="174" fontId="22" fillId="2" borderId="2" xfId="0" applyNumberFormat="1" applyFont="1" applyFill="1" applyBorder="1" applyAlignment="1">
      <alignment horizontal="center" vertical="center" wrapText="1"/>
    </xf>
    <xf numFmtId="174" fontId="21" fillId="22" borderId="2" xfId="0" applyNumberFormat="1" applyFont="1" applyFill="1" applyBorder="1" applyAlignment="1">
      <alignment horizontal="center" vertical="center" wrapText="1"/>
    </xf>
    <xf numFmtId="174" fontId="23" fillId="22" borderId="2" xfId="0" applyNumberFormat="1" applyFont="1" applyFill="1" applyBorder="1" applyAlignment="1">
      <alignment horizontal="center" vertical="center" wrapText="1"/>
    </xf>
    <xf numFmtId="166" fontId="15" fillId="0" borderId="2" xfId="3" applyNumberFormat="1" applyFont="1" applyFill="1" applyBorder="1" applyAlignment="1">
      <alignment horizontal="left" wrapText="1"/>
    </xf>
    <xf numFmtId="166" fontId="7" fillId="0" borderId="2" xfId="3" applyNumberFormat="1" applyFont="1" applyFill="1" applyBorder="1" applyAlignment="1">
      <alignment horizontal="left" wrapText="1"/>
    </xf>
    <xf numFmtId="1" fontId="7" fillId="0" borderId="2" xfId="3" applyNumberFormat="1" applyFont="1" applyFill="1" applyBorder="1" applyAlignment="1">
      <alignment horizontal="left" wrapText="1"/>
    </xf>
    <xf numFmtId="166" fontId="21" fillId="0" borderId="2" xfId="0" applyNumberFormat="1" applyFont="1" applyBorder="1" applyAlignment="1">
      <alignment horizontal="left" wrapText="1"/>
    </xf>
    <xf numFmtId="174" fontId="7" fillId="6" borderId="2" xfId="0" applyNumberFormat="1" applyFont="1" applyFill="1" applyBorder="1" applyAlignment="1">
      <alignment horizontal="center" vertical="center"/>
    </xf>
    <xf numFmtId="174" fontId="10" fillId="2" borderId="2" xfId="0" applyNumberFormat="1" applyFont="1" applyFill="1" applyBorder="1" applyAlignment="1">
      <alignment horizontal="center" vertical="center"/>
    </xf>
    <xf numFmtId="174" fontId="7" fillId="2" borderId="2" xfId="0" applyNumberFormat="1" applyFont="1" applyFill="1" applyBorder="1" applyAlignment="1">
      <alignment horizontal="center" vertical="center" wrapText="1"/>
    </xf>
    <xf numFmtId="174" fontId="7" fillId="2" borderId="0" xfId="0" applyNumberFormat="1" applyFont="1" applyFill="1" applyAlignment="1">
      <alignment horizontal="center" vertical="center"/>
    </xf>
    <xf numFmtId="174" fontId="10" fillId="9" borderId="2" xfId="0" applyNumberFormat="1" applyFont="1" applyFill="1" applyBorder="1" applyAlignment="1">
      <alignment horizontal="center" vertical="center"/>
    </xf>
    <xf numFmtId="4" fontId="7" fillId="0" borderId="2" xfId="0" applyNumberFormat="1" applyFont="1" applyFill="1" applyBorder="1" applyAlignment="1">
      <alignment horizontal="center" vertical="center"/>
    </xf>
    <xf numFmtId="4" fontId="7" fillId="6" borderId="2" xfId="0" applyNumberFormat="1" applyFont="1" applyFill="1" applyBorder="1" applyAlignment="1">
      <alignment horizontal="center" vertical="center"/>
    </xf>
    <xf numFmtId="4" fontId="10" fillId="2" borderId="2" xfId="0" applyNumberFormat="1" applyFont="1" applyFill="1" applyBorder="1" applyAlignment="1">
      <alignment horizontal="center" vertical="center"/>
    </xf>
    <xf numFmtId="4" fontId="7" fillId="2" borderId="2" xfId="0" applyNumberFormat="1" applyFont="1" applyFill="1" applyBorder="1" applyAlignment="1">
      <alignment horizontal="center" vertical="center" wrapText="1"/>
    </xf>
    <xf numFmtId="4" fontId="7" fillId="2" borderId="5" xfId="0" applyNumberFormat="1" applyFont="1" applyFill="1" applyBorder="1" applyAlignment="1">
      <alignment horizontal="center" vertical="center"/>
    </xf>
    <xf numFmtId="4" fontId="10" fillId="9" borderId="2" xfId="0" applyNumberFormat="1" applyFont="1" applyFill="1" applyBorder="1" applyAlignment="1">
      <alignment horizontal="center" vertical="center"/>
    </xf>
    <xf numFmtId="4" fontId="15" fillId="21" borderId="2" xfId="0" applyNumberFormat="1" applyFont="1" applyFill="1" applyBorder="1" applyAlignment="1">
      <alignment horizontal="center"/>
    </xf>
    <xf numFmtId="4" fontId="17" fillId="24" borderId="2" xfId="0" applyNumberFormat="1" applyFont="1" applyFill="1" applyBorder="1" applyAlignment="1">
      <alignment horizontal="center"/>
    </xf>
    <xf numFmtId="1" fontId="55" fillId="0" borderId="0" xfId="0" applyNumberFormat="1" applyFont="1" applyFill="1" applyBorder="1" applyAlignment="1">
      <alignment horizontal="right"/>
    </xf>
    <xf numFmtId="1" fontId="55" fillId="0" borderId="0" xfId="0" applyNumberFormat="1" applyFont="1" applyBorder="1" applyAlignment="1">
      <alignment horizontal="right"/>
    </xf>
    <xf numFmtId="0" fontId="0" fillId="21" borderId="2" xfId="0" applyFill="1" applyBorder="1" applyAlignment="1">
      <alignment horizontal="center" wrapText="1"/>
    </xf>
    <xf numFmtId="2" fontId="0" fillId="21" borderId="2" xfId="0" applyNumberFormat="1" applyFill="1" applyBorder="1" applyAlignment="1">
      <alignment horizontal="center" wrapText="1"/>
    </xf>
    <xf numFmtId="4" fontId="22" fillId="2" borderId="2" xfId="0" applyNumberFormat="1" applyFont="1" applyFill="1" applyBorder="1" applyAlignment="1">
      <alignment horizontal="center" wrapText="1"/>
    </xf>
    <xf numFmtId="166" fontId="7" fillId="6" borderId="2" xfId="0" applyNumberFormat="1" applyFont="1" applyFill="1" applyBorder="1" applyAlignment="1">
      <alignment horizontal="center"/>
    </xf>
    <xf numFmtId="166" fontId="10" fillId="2" borderId="2" xfId="0" applyNumberFormat="1" applyFont="1" applyFill="1" applyBorder="1" applyAlignment="1">
      <alignment horizontal="center"/>
    </xf>
    <xf numFmtId="166" fontId="7" fillId="2" borderId="2" xfId="0" applyNumberFormat="1" applyFont="1" applyFill="1" applyBorder="1" applyAlignment="1">
      <alignment horizontal="center" wrapText="1"/>
    </xf>
    <xf numFmtId="166" fontId="7" fillId="7" borderId="18" xfId="0" applyNumberFormat="1" applyFont="1" applyFill="1" applyBorder="1" applyAlignment="1">
      <alignment horizontal="center"/>
    </xf>
    <xf numFmtId="166" fontId="7" fillId="4" borderId="8" xfId="0" applyNumberFormat="1" applyFont="1" applyFill="1" applyBorder="1" applyAlignment="1">
      <alignment horizontal="center"/>
    </xf>
    <xf numFmtId="166" fontId="10" fillId="9" borderId="2" xfId="0" applyNumberFormat="1" applyFont="1" applyFill="1" applyBorder="1" applyAlignment="1">
      <alignment horizontal="center"/>
    </xf>
    <xf numFmtId="1" fontId="5" fillId="0" borderId="2" xfId="0" applyNumberFormat="1" applyFont="1" applyFill="1" applyBorder="1" applyAlignment="1">
      <alignment horizontal="center" wrapText="1"/>
    </xf>
    <xf numFmtId="2" fontId="0" fillId="30" borderId="2" xfId="0" applyNumberFormat="1" applyFill="1" applyBorder="1" applyAlignment="1">
      <alignment horizontal="center"/>
    </xf>
    <xf numFmtId="2" fontId="12" fillId="22" borderId="2" xfId="0" applyNumberFormat="1" applyFont="1" applyFill="1" applyBorder="1" applyAlignment="1">
      <alignment horizontal="center"/>
    </xf>
    <xf numFmtId="165" fontId="7" fillId="6" borderId="2" xfId="0" applyNumberFormat="1" applyFont="1" applyFill="1" applyBorder="1" applyAlignment="1">
      <alignment horizontal="center"/>
    </xf>
    <xf numFmtId="1" fontId="7" fillId="21" borderId="2" xfId="0" applyNumberFormat="1" applyFont="1" applyFill="1" applyBorder="1" applyAlignment="1">
      <alignment horizontal="center"/>
    </xf>
    <xf numFmtId="165" fontId="10" fillId="9" borderId="2" xfId="0" applyNumberFormat="1" applyFont="1" applyFill="1" applyBorder="1" applyAlignment="1">
      <alignment horizontal="center"/>
    </xf>
    <xf numFmtId="4" fontId="15" fillId="0" borderId="0" xfId="2" applyNumberFormat="1" applyAlignment="1">
      <alignment wrapText="1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0" fillId="0" borderId="0" xfId="0" applyBorder="1"/>
    <xf numFmtId="4" fontId="22" fillId="2" borderId="2" xfId="0" applyNumberFormat="1" applyFont="1" applyFill="1" applyBorder="1" applyAlignment="1">
      <alignment horizontal="center" vertical="center" wrapText="1"/>
    </xf>
    <xf numFmtId="4" fontId="23" fillId="22" borderId="2" xfId="0" applyNumberFormat="1" applyFont="1" applyFill="1" applyBorder="1" applyAlignment="1">
      <alignment horizontal="center" vertical="center" wrapText="1"/>
    </xf>
    <xf numFmtId="3" fontId="23" fillId="2" borderId="2" xfId="0" applyNumberFormat="1" applyFont="1" applyFill="1" applyBorder="1" applyAlignment="1">
      <alignment horizontal="center" vertical="center" wrapText="1"/>
    </xf>
    <xf numFmtId="3" fontId="22" fillId="2" borderId="2" xfId="0" applyNumberFormat="1" applyFont="1" applyFill="1" applyBorder="1" applyAlignment="1">
      <alignment horizontal="center" vertical="center" wrapText="1"/>
    </xf>
    <xf numFmtId="3" fontId="23" fillId="22" borderId="2" xfId="0" applyNumberFormat="1" applyFont="1" applyFill="1" applyBorder="1" applyAlignment="1">
      <alignment horizontal="center" vertical="center" wrapText="1"/>
    </xf>
    <xf numFmtId="4" fontId="21" fillId="22" borderId="2" xfId="0" applyNumberFormat="1" applyFont="1" applyFill="1" applyBorder="1" applyAlignment="1">
      <alignment horizontal="center" vertical="center" wrapText="1"/>
    </xf>
    <xf numFmtId="3" fontId="21" fillId="22" borderId="2" xfId="0" applyNumberFormat="1" applyFont="1" applyFill="1" applyBorder="1" applyAlignment="1">
      <alignment horizontal="center" vertical="center" wrapText="1"/>
    </xf>
    <xf numFmtId="4" fontId="7" fillId="37" borderId="22" xfId="3" applyNumberFormat="1" applyFont="1" applyFill="1" applyBorder="1" applyAlignment="1">
      <alignment horizontal="center" vertical="center" wrapText="1"/>
    </xf>
    <xf numFmtId="166" fontId="23" fillId="37" borderId="5" xfId="0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9" fillId="13" borderId="2" xfId="0" applyFont="1" applyFill="1" applyBorder="1" applyAlignment="1">
      <alignment horizontal="center" vertical="center" wrapText="1"/>
    </xf>
    <xf numFmtId="1" fontId="29" fillId="34" borderId="2" xfId="0" applyNumberFormat="1" applyFont="1" applyFill="1" applyBorder="1" applyAlignment="1">
      <alignment horizontal="center" vertical="center" wrapText="1"/>
    </xf>
    <xf numFmtId="0" fontId="29" fillId="34" borderId="18" xfId="0" applyFont="1" applyFill="1" applyBorder="1" applyAlignment="1">
      <alignment horizontal="center" vertical="center" wrapText="1"/>
    </xf>
    <xf numFmtId="1" fontId="21" fillId="2" borderId="22" xfId="0" applyNumberFormat="1" applyFont="1" applyFill="1" applyBorder="1" applyAlignment="1">
      <alignment horizontal="center" vertical="center" wrapText="1"/>
    </xf>
    <xf numFmtId="1" fontId="21" fillId="22" borderId="22" xfId="0" applyNumberFormat="1" applyFont="1" applyFill="1" applyBorder="1" applyAlignment="1">
      <alignment horizontal="center" vertical="center" wrapText="1"/>
    </xf>
    <xf numFmtId="0" fontId="49" fillId="0" borderId="7" xfId="0" applyFont="1" applyBorder="1" applyAlignment="1">
      <alignment horizontal="center" vertical="center" wrapText="1"/>
    </xf>
    <xf numFmtId="0" fontId="42" fillId="3" borderId="2" xfId="0" applyFont="1" applyFill="1" applyBorder="1" applyAlignment="1">
      <alignment horizontal="center" vertical="center" wrapText="1"/>
    </xf>
    <xf numFmtId="0" fontId="22" fillId="3" borderId="2" xfId="0" applyFont="1" applyFill="1" applyBorder="1" applyAlignment="1">
      <alignment horizontal="left" vertical="center" wrapText="1"/>
    </xf>
    <xf numFmtId="3" fontId="22" fillId="3" borderId="2" xfId="0" applyNumberFormat="1" applyFont="1" applyFill="1" applyBorder="1" applyAlignment="1">
      <alignment horizontal="center" vertical="center" wrapText="1"/>
    </xf>
    <xf numFmtId="4" fontId="22" fillId="3" borderId="2" xfId="0" applyNumberFormat="1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 vertical="center"/>
    </xf>
    <xf numFmtId="0" fontId="48" fillId="0" borderId="2" xfId="0" applyFont="1" applyBorder="1" applyAlignment="1">
      <alignment horizontal="center" vertical="center" wrapText="1"/>
    </xf>
    <xf numFmtId="0" fontId="48" fillId="0" borderId="2" xfId="0" applyFont="1" applyBorder="1" applyAlignment="1">
      <alignment vertical="center" wrapText="1"/>
    </xf>
    <xf numFmtId="0" fontId="48" fillId="0" borderId="0" xfId="0" applyFont="1"/>
    <xf numFmtId="17" fontId="48" fillId="0" borderId="2" xfId="0" applyNumberFormat="1" applyFont="1" applyBorder="1" applyAlignment="1">
      <alignment horizontal="center" vertical="center" wrapText="1"/>
    </xf>
    <xf numFmtId="0" fontId="60" fillId="0" borderId="2" xfId="6" applyBorder="1" applyAlignment="1">
      <alignment vertical="center" wrapText="1"/>
    </xf>
    <xf numFmtId="0" fontId="15" fillId="0" borderId="0" xfId="0" applyFont="1"/>
    <xf numFmtId="3" fontId="23" fillId="2" borderId="2" xfId="0" applyNumberFormat="1" applyFont="1" applyFill="1" applyBorder="1" applyAlignment="1">
      <alignment horizontal="center" wrapText="1"/>
    </xf>
    <xf numFmtId="3" fontId="22" fillId="2" borderId="2" xfId="0" applyNumberFormat="1" applyFont="1" applyFill="1" applyBorder="1" applyAlignment="1">
      <alignment horizontal="center" wrapText="1"/>
    </xf>
    <xf numFmtId="2" fontId="23" fillId="2" borderId="2" xfId="0" applyNumberFormat="1" applyFont="1" applyFill="1" applyBorder="1" applyAlignment="1">
      <alignment horizontal="center" wrapText="1"/>
    </xf>
    <xf numFmtId="2" fontId="22" fillId="2" borderId="2" xfId="0" applyNumberFormat="1" applyFont="1" applyFill="1" applyBorder="1" applyAlignment="1">
      <alignment horizontal="center" wrapText="1"/>
    </xf>
    <xf numFmtId="166" fontId="23" fillId="2" borderId="2" xfId="0" applyNumberFormat="1" applyFont="1" applyFill="1" applyBorder="1" applyAlignment="1">
      <alignment horizontal="center" wrapText="1"/>
    </xf>
    <xf numFmtId="166" fontId="22" fillId="2" borderId="2" xfId="0" applyNumberFormat="1" applyFont="1" applyFill="1" applyBorder="1" applyAlignment="1">
      <alignment horizontal="center" wrapText="1"/>
    </xf>
    <xf numFmtId="3" fontId="22" fillId="3" borderId="2" xfId="0" applyNumberFormat="1" applyFont="1" applyFill="1" applyBorder="1" applyAlignment="1">
      <alignment horizontal="center" wrapText="1"/>
    </xf>
    <xf numFmtId="174" fontId="23" fillId="2" borderId="2" xfId="0" applyNumberFormat="1" applyFont="1" applyFill="1" applyBorder="1" applyAlignment="1">
      <alignment horizontal="center" wrapText="1"/>
    </xf>
    <xf numFmtId="174" fontId="22" fillId="2" borderId="2" xfId="0" applyNumberFormat="1" applyFont="1" applyFill="1" applyBorder="1" applyAlignment="1">
      <alignment horizontal="center" wrapText="1"/>
    </xf>
    <xf numFmtId="174" fontId="23" fillId="0" borderId="2" xfId="0" applyNumberFormat="1" applyFont="1" applyFill="1" applyBorder="1" applyAlignment="1">
      <alignment horizontal="center" wrapText="1"/>
    </xf>
    <xf numFmtId="2" fontId="23" fillId="0" borderId="2" xfId="0" applyNumberFormat="1" applyFont="1" applyFill="1" applyBorder="1" applyAlignment="1">
      <alignment horizontal="left" vertical="center" wrapText="1"/>
    </xf>
    <xf numFmtId="0" fontId="0" fillId="0" borderId="0" xfId="0"/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4" fontId="22" fillId="3" borderId="2" xfId="0" applyNumberFormat="1" applyFont="1" applyFill="1" applyBorder="1" applyAlignment="1">
      <alignment horizontal="center" wrapText="1"/>
    </xf>
    <xf numFmtId="174" fontId="22" fillId="3" borderId="2" xfId="0" applyNumberFormat="1" applyFont="1" applyFill="1" applyBorder="1" applyAlignment="1">
      <alignment horizontal="center" wrapText="1"/>
    </xf>
    <xf numFmtId="3" fontId="23" fillId="22" borderId="2" xfId="0" applyNumberFormat="1" applyFont="1" applyFill="1" applyBorder="1" applyAlignment="1">
      <alignment horizontal="center" wrapText="1"/>
    </xf>
    <xf numFmtId="3" fontId="21" fillId="22" borderId="2" xfId="0" applyNumberFormat="1" applyFont="1" applyFill="1" applyBorder="1" applyAlignment="1">
      <alignment horizontal="center" wrapText="1"/>
    </xf>
    <xf numFmtId="174" fontId="21" fillId="22" borderId="2" xfId="0" applyNumberFormat="1" applyFont="1" applyFill="1" applyBorder="1" applyAlignment="1">
      <alignment horizontal="center" wrapText="1"/>
    </xf>
    <xf numFmtId="169" fontId="23" fillId="2" borderId="2" xfId="0" applyNumberFormat="1" applyFont="1" applyFill="1" applyBorder="1" applyAlignment="1">
      <alignment horizontal="center" wrapText="1"/>
    </xf>
    <xf numFmtId="169" fontId="22" fillId="3" borderId="2" xfId="0" applyNumberFormat="1" applyFont="1" applyFill="1" applyBorder="1" applyAlignment="1">
      <alignment horizontal="center" wrapText="1"/>
    </xf>
    <xf numFmtId="169" fontId="23" fillId="2" borderId="2" xfId="0" applyNumberFormat="1" applyFont="1" applyFill="1" applyBorder="1" applyAlignment="1">
      <alignment horizontal="center" vertical="center" wrapText="1"/>
    </xf>
    <xf numFmtId="165" fontId="22" fillId="3" borderId="2" xfId="0" applyNumberFormat="1" applyFont="1" applyFill="1" applyBorder="1" applyAlignment="1">
      <alignment horizontal="center" vertical="center" wrapText="1"/>
    </xf>
    <xf numFmtId="164" fontId="22" fillId="3" borderId="2" xfId="0" applyNumberFormat="1" applyFont="1" applyFill="1" applyBorder="1" applyAlignment="1">
      <alignment horizontal="center" wrapText="1"/>
    </xf>
    <xf numFmtId="172" fontId="5" fillId="0" borderId="2" xfId="0" applyNumberFormat="1" applyFont="1" applyBorder="1" applyAlignment="1">
      <alignment horizontal="center"/>
    </xf>
    <xf numFmtId="169" fontId="22" fillId="3" borderId="2" xfId="0" applyNumberFormat="1" applyFont="1" applyFill="1" applyBorder="1" applyAlignment="1">
      <alignment horizontal="center" vertical="center" wrapText="1"/>
    </xf>
    <xf numFmtId="2" fontId="21" fillId="22" borderId="2" xfId="0" applyNumberFormat="1" applyFont="1" applyFill="1" applyBorder="1" applyAlignment="1">
      <alignment horizontal="center" wrapText="1"/>
    </xf>
    <xf numFmtId="2" fontId="22" fillId="3" borderId="2" xfId="0" applyNumberFormat="1" applyFont="1" applyFill="1" applyBorder="1" applyAlignment="1">
      <alignment horizontal="center" wrapText="1"/>
    </xf>
    <xf numFmtId="1" fontId="22" fillId="3" borderId="2" xfId="0" applyNumberFormat="1" applyFont="1" applyFill="1" applyBorder="1" applyAlignment="1">
      <alignment horizontal="center" wrapText="1"/>
    </xf>
    <xf numFmtId="166" fontId="22" fillId="3" borderId="2" xfId="0" applyNumberFormat="1" applyFont="1" applyFill="1" applyBorder="1" applyAlignment="1">
      <alignment horizontal="center" wrapText="1"/>
    </xf>
    <xf numFmtId="174" fontId="23" fillId="22" borderId="2" xfId="0" applyNumberFormat="1" applyFont="1" applyFill="1" applyBorder="1" applyAlignment="1">
      <alignment horizontal="center" wrapText="1"/>
    </xf>
    <xf numFmtId="169" fontId="22" fillId="3" borderId="22" xfId="0" applyNumberFormat="1" applyFont="1" applyFill="1" applyBorder="1" applyAlignment="1">
      <alignment horizontal="center" wrapText="1"/>
    </xf>
    <xf numFmtId="166" fontId="22" fillId="3" borderId="22" xfId="0" applyNumberFormat="1" applyFont="1" applyFill="1" applyBorder="1" applyAlignment="1">
      <alignment horizontal="center" wrapText="1"/>
    </xf>
    <xf numFmtId="174" fontId="21" fillId="22" borderId="22" xfId="0" applyNumberFormat="1" applyFont="1" applyFill="1" applyBorder="1" applyAlignment="1">
      <alignment horizontal="center" wrapText="1"/>
    </xf>
    <xf numFmtId="1" fontId="22" fillId="35" borderId="2" xfId="0" applyNumberFormat="1" applyFont="1" applyFill="1" applyBorder="1" applyAlignment="1">
      <alignment horizontal="center" wrapText="1"/>
    </xf>
    <xf numFmtId="0" fontId="26" fillId="35" borderId="2" xfId="0" applyFont="1" applyFill="1" applyBorder="1" applyAlignment="1">
      <alignment horizontal="left" vertical="center" wrapText="1"/>
    </xf>
    <xf numFmtId="0" fontId="36" fillId="35" borderId="2" xfId="0" applyFont="1" applyFill="1" applyBorder="1" applyAlignment="1">
      <alignment horizontal="left" wrapText="1"/>
    </xf>
    <xf numFmtId="2" fontId="22" fillId="35" borderId="2" xfId="0" applyNumberFormat="1" applyFont="1" applyFill="1" applyBorder="1" applyAlignment="1">
      <alignment horizontal="center" wrapText="1"/>
    </xf>
    <xf numFmtId="2" fontId="28" fillId="0" borderId="0" xfId="0" applyNumberFormat="1" applyFont="1" applyFill="1" applyBorder="1" applyAlignment="1">
      <alignment horizontal="center" vertical="center"/>
    </xf>
    <xf numFmtId="2" fontId="28" fillId="0" borderId="0" xfId="0" applyNumberFormat="1" applyFont="1" applyFill="1" applyBorder="1" applyAlignment="1">
      <alignment horizontal="center"/>
    </xf>
    <xf numFmtId="165" fontId="5" fillId="0" borderId="2" xfId="0" applyNumberFormat="1" applyFont="1" applyBorder="1" applyAlignment="1">
      <alignment horizontal="center" wrapText="1"/>
    </xf>
    <xf numFmtId="0" fontId="12" fillId="31" borderId="2" xfId="0" applyNumberFormat="1" applyFont="1" applyFill="1" applyBorder="1" applyAlignment="1">
      <alignment wrapText="1"/>
    </xf>
    <xf numFmtId="4" fontId="17" fillId="29" borderId="0" xfId="3" applyNumberFormat="1" applyFont="1" applyFill="1" applyAlignment="1"/>
    <xf numFmtId="0" fontId="7" fillId="0" borderId="0" xfId="3" applyFill="1"/>
    <xf numFmtId="0" fontId="7" fillId="0" borderId="0" xfId="3" applyFill="1" applyAlignment="1"/>
    <xf numFmtId="170" fontId="7" fillId="0" borderId="2" xfId="0" quotePrefix="1" applyNumberFormat="1" applyFont="1" applyBorder="1" applyAlignment="1">
      <alignment horizontal="center"/>
    </xf>
    <xf numFmtId="2" fontId="23" fillId="10" borderId="2" xfId="0" applyNumberFormat="1" applyFont="1" applyFill="1" applyBorder="1" applyAlignment="1">
      <alignment horizontal="center" wrapText="1"/>
    </xf>
    <xf numFmtId="3" fontId="23" fillId="10" borderId="2" xfId="0" applyNumberFormat="1" applyFont="1" applyFill="1" applyBorder="1" applyAlignment="1">
      <alignment horizontal="center" wrapText="1"/>
    </xf>
    <xf numFmtId="0" fontId="12" fillId="0" borderId="0" xfId="0" applyFont="1" applyAlignment="1">
      <alignment wrapText="1"/>
    </xf>
    <xf numFmtId="174" fontId="7" fillId="0" borderId="18" xfId="0" applyNumberFormat="1" applyFont="1" applyBorder="1" applyAlignment="1">
      <alignment horizontal="center"/>
    </xf>
    <xf numFmtId="0" fontId="0" fillId="0" borderId="0" xfId="0"/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4" fontId="23" fillId="10" borderId="2" xfId="0" applyNumberFormat="1" applyFont="1" applyFill="1" applyBorder="1" applyAlignment="1">
      <alignment horizontal="left" wrapText="1"/>
    </xf>
    <xf numFmtId="0" fontId="27" fillId="10" borderId="2" xfId="0" applyFont="1" applyFill="1" applyBorder="1" applyAlignment="1">
      <alignment horizontal="left" wrapText="1"/>
    </xf>
    <xf numFmtId="0" fontId="0" fillId="0" borderId="0" xfId="0"/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0" fontId="0" fillId="0" borderId="0" xfId="0" applyAlignment="1">
      <alignment horizontal="right"/>
    </xf>
    <xf numFmtId="1" fontId="23" fillId="0" borderId="2" xfId="0" quotePrefix="1" applyNumberFormat="1" applyFont="1" applyFill="1" applyBorder="1" applyAlignment="1">
      <alignment horizontal="center" wrapText="1"/>
    </xf>
    <xf numFmtId="0" fontId="0" fillId="0" borderId="0" xfId="0"/>
    <xf numFmtId="0" fontId="40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7" fillId="0" borderId="33" xfId="0" applyFont="1" applyBorder="1" applyAlignment="1">
      <alignment horizontal="center" vertical="center" wrapText="1"/>
    </xf>
    <xf numFmtId="0" fontId="65" fillId="0" borderId="0" xfId="0" applyFont="1" applyAlignment="1">
      <alignment vertical="center"/>
    </xf>
    <xf numFmtId="0" fontId="66" fillId="0" borderId="0" xfId="0" applyFont="1" applyAlignment="1">
      <alignment vertical="center"/>
    </xf>
    <xf numFmtId="0" fontId="17" fillId="0" borderId="30" xfId="0" applyFont="1" applyBorder="1" applyAlignment="1">
      <alignment horizontal="center" vertical="center" wrapText="1"/>
    </xf>
    <xf numFmtId="0" fontId="16" fillId="0" borderId="0" xfId="0" applyFont="1" applyAlignment="1">
      <alignment horizontal="justify" vertical="center"/>
    </xf>
    <xf numFmtId="0" fontId="16" fillId="0" borderId="0" xfId="0" applyFont="1" applyAlignment="1">
      <alignment vertical="center"/>
    </xf>
    <xf numFmtId="0" fontId="17" fillId="0" borderId="2" xfId="0" applyFont="1" applyBorder="1" applyAlignment="1">
      <alignment vertical="center" wrapText="1"/>
    </xf>
    <xf numFmtId="0" fontId="17" fillId="0" borderId="2" xfId="0" applyFont="1" applyBorder="1" applyAlignment="1">
      <alignment horizontal="center" vertical="center" wrapText="1"/>
    </xf>
    <xf numFmtId="0" fontId="64" fillId="0" borderId="2" xfId="0" applyFont="1" applyBorder="1" applyAlignment="1">
      <alignment vertical="center" wrapText="1"/>
    </xf>
    <xf numFmtId="0" fontId="64" fillId="0" borderId="2" xfId="0" applyFont="1" applyBorder="1" applyAlignment="1">
      <alignment horizontal="center" vertical="center" wrapText="1"/>
    </xf>
    <xf numFmtId="49" fontId="17" fillId="0" borderId="35" xfId="0" applyNumberFormat="1" applyFont="1" applyBorder="1" applyAlignment="1">
      <alignment horizontal="center" vertical="center" wrapText="1"/>
    </xf>
    <xf numFmtId="0" fontId="0" fillId="0" borderId="0" xfId="0"/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15" fillId="0" borderId="2" xfId="0" applyFont="1" applyBorder="1" applyAlignment="1">
      <alignment horizontal="center" vertical="center"/>
    </xf>
    <xf numFmtId="0" fontId="43" fillId="0" borderId="5" xfId="0" applyFont="1" applyBorder="1" applyAlignment="1">
      <alignment horizontal="center" vertical="center" wrapText="1"/>
    </xf>
    <xf numFmtId="0" fontId="0" fillId="0" borderId="0" xfId="0"/>
    <xf numFmtId="174" fontId="7" fillId="17" borderId="2" xfId="0" applyNumberFormat="1" applyFont="1" applyFill="1" applyBorder="1" applyAlignment="1">
      <alignment horizontal="center"/>
    </xf>
    <xf numFmtId="4" fontId="0" fillId="31" borderId="2" xfId="0" applyNumberFormat="1" applyFill="1" applyBorder="1" applyAlignment="1">
      <alignment horizontal="center" vertical="center"/>
    </xf>
    <xf numFmtId="4" fontId="12" fillId="31" borderId="2" xfId="0" applyNumberFormat="1" applyFont="1" applyFill="1" applyBorder="1" applyAlignment="1">
      <alignment horizontal="center" vertical="center"/>
    </xf>
    <xf numFmtId="0" fontId="0" fillId="0" borderId="0" xfId="0"/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15" fillId="0" borderId="2" xfId="0" applyFont="1" applyBorder="1" applyAlignment="1">
      <alignment horizontal="center" vertical="center"/>
    </xf>
    <xf numFmtId="9" fontId="13" fillId="0" borderId="0" xfId="0" applyNumberFormat="1" applyFont="1"/>
    <xf numFmtId="0" fontId="0" fillId="0" borderId="0" xfId="0"/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0" fontId="15" fillId="0" borderId="2" xfId="0" applyFont="1" applyBorder="1" applyAlignment="1">
      <alignment horizontal="center" vertical="center"/>
    </xf>
    <xf numFmtId="4" fontId="23" fillId="0" borderId="2" xfId="0" applyNumberFormat="1" applyFont="1" applyFill="1" applyBorder="1" applyAlignment="1">
      <alignment horizontal="left" vertical="center" wrapText="1"/>
    </xf>
    <xf numFmtId="0" fontId="0" fillId="0" borderId="0" xfId="0"/>
    <xf numFmtId="4" fontId="22" fillId="35" borderId="2" xfId="0" applyNumberFormat="1" applyFont="1" applyFill="1" applyBorder="1" applyAlignment="1">
      <alignment horizontal="center" wrapText="1"/>
    </xf>
    <xf numFmtId="3" fontId="22" fillId="35" borderId="2" xfId="0" applyNumberFormat="1" applyFont="1" applyFill="1" applyBorder="1" applyAlignment="1">
      <alignment horizontal="center" wrapText="1"/>
    </xf>
    <xf numFmtId="174" fontId="22" fillId="35" borderId="2" xfId="0" applyNumberFormat="1" applyFont="1" applyFill="1" applyBorder="1" applyAlignment="1">
      <alignment horizontal="center" wrapText="1"/>
    </xf>
    <xf numFmtId="0" fontId="67" fillId="0" borderId="0" xfId="7"/>
    <xf numFmtId="1" fontId="67" fillId="38" borderId="12" xfId="7" applyNumberFormat="1" applyFill="1" applyBorder="1" applyProtection="1">
      <protection locked="0"/>
    </xf>
    <xf numFmtId="1" fontId="67" fillId="38" borderId="13" xfId="7" applyNumberFormat="1" applyFill="1" applyBorder="1" applyProtection="1">
      <protection locked="0"/>
    </xf>
    <xf numFmtId="2" fontId="67" fillId="38" borderId="13" xfId="7" applyNumberFormat="1" applyFill="1" applyBorder="1" applyProtection="1">
      <protection locked="0"/>
    </xf>
    <xf numFmtId="0" fontId="67" fillId="38" borderId="13" xfId="7" applyFill="1" applyBorder="1" applyAlignment="1" applyProtection="1">
      <alignment wrapText="1"/>
      <protection locked="0"/>
    </xf>
    <xf numFmtId="0" fontId="67" fillId="38" borderId="13" xfId="7" applyFill="1" applyBorder="1" applyProtection="1">
      <protection locked="0"/>
    </xf>
    <xf numFmtId="0" fontId="67" fillId="0" borderId="36" xfId="7" applyBorder="1"/>
    <xf numFmtId="1" fontId="67" fillId="38" borderId="37" xfId="7" applyNumberFormat="1" applyFill="1" applyBorder="1" applyProtection="1">
      <protection locked="0"/>
    </xf>
    <xf numFmtId="1" fontId="67" fillId="38" borderId="22" xfId="7" applyNumberFormat="1" applyFill="1" applyBorder="1" applyProtection="1">
      <protection locked="0"/>
    </xf>
    <xf numFmtId="2" fontId="67" fillId="38" borderId="22" xfId="7" applyNumberFormat="1" applyFill="1" applyBorder="1" applyProtection="1">
      <protection locked="0"/>
    </xf>
    <xf numFmtId="0" fontId="67" fillId="38" borderId="22" xfId="7" applyFill="1" applyBorder="1" applyAlignment="1" applyProtection="1">
      <alignment wrapText="1"/>
      <protection locked="0"/>
    </xf>
    <xf numFmtId="0" fontId="67" fillId="38" borderId="22" xfId="7" applyFill="1" applyBorder="1" applyProtection="1">
      <protection locked="0"/>
    </xf>
    <xf numFmtId="0" fontId="67" fillId="0" borderId="38" xfId="7" applyBorder="1"/>
    <xf numFmtId="1" fontId="67" fillId="38" borderId="39" xfId="7" applyNumberFormat="1" applyFill="1" applyBorder="1" applyProtection="1">
      <protection locked="0"/>
    </xf>
    <xf numFmtId="1" fontId="67" fillId="38" borderId="2" xfId="7" applyNumberFormat="1" applyFill="1" applyBorder="1" applyProtection="1">
      <protection locked="0"/>
    </xf>
    <xf numFmtId="2" fontId="67" fillId="38" borderId="2" xfId="7" applyNumberFormat="1" applyFill="1" applyBorder="1" applyProtection="1">
      <protection locked="0"/>
    </xf>
    <xf numFmtId="0" fontId="67" fillId="38" borderId="2" xfId="7" applyFill="1" applyBorder="1" applyAlignment="1" applyProtection="1">
      <alignment wrapText="1"/>
      <protection locked="0"/>
    </xf>
    <xf numFmtId="0" fontId="67" fillId="38" borderId="2" xfId="7" applyFill="1" applyBorder="1" applyProtection="1">
      <protection locked="0"/>
    </xf>
    <xf numFmtId="0" fontId="67" fillId="0" borderId="2" xfId="7" applyBorder="1"/>
    <xf numFmtId="1" fontId="67" fillId="38" borderId="40" xfId="7" applyNumberFormat="1" applyFill="1" applyBorder="1" applyProtection="1">
      <protection locked="0"/>
    </xf>
    <xf numFmtId="1" fontId="67" fillId="38" borderId="5" xfId="7" applyNumberFormat="1" applyFill="1" applyBorder="1" applyProtection="1">
      <protection locked="0"/>
    </xf>
    <xf numFmtId="2" fontId="67" fillId="38" borderId="5" xfId="7" applyNumberFormat="1" applyFill="1" applyBorder="1" applyProtection="1">
      <protection locked="0"/>
    </xf>
    <xf numFmtId="0" fontId="67" fillId="38" borderId="5" xfId="7" applyFill="1" applyBorder="1" applyAlignment="1" applyProtection="1">
      <alignment wrapText="1"/>
      <protection locked="0"/>
    </xf>
    <xf numFmtId="0" fontId="67" fillId="38" borderId="5" xfId="7" applyFill="1" applyBorder="1" applyProtection="1">
      <protection locked="0"/>
    </xf>
    <xf numFmtId="0" fontId="67" fillId="0" borderId="5" xfId="7" applyBorder="1"/>
    <xf numFmtId="1" fontId="67" fillId="38" borderId="41" xfId="7" applyNumberFormat="1" applyFill="1" applyBorder="1" applyProtection="1">
      <protection locked="0"/>
    </xf>
    <xf numFmtId="1" fontId="67" fillId="38" borderId="42" xfId="7" applyNumberFormat="1" applyFill="1" applyBorder="1" applyProtection="1">
      <protection locked="0"/>
    </xf>
    <xf numFmtId="2" fontId="67" fillId="38" borderId="42" xfId="7" applyNumberFormat="1" applyFill="1" applyBorder="1" applyProtection="1">
      <protection locked="0"/>
    </xf>
    <xf numFmtId="0" fontId="67" fillId="38" borderId="42" xfId="7" applyFill="1" applyBorder="1" applyAlignment="1" applyProtection="1">
      <alignment wrapText="1"/>
      <protection locked="0"/>
    </xf>
    <xf numFmtId="0" fontId="67" fillId="38" borderId="42" xfId="7" applyFill="1" applyBorder="1" applyProtection="1">
      <protection locked="0"/>
    </xf>
    <xf numFmtId="0" fontId="67" fillId="16" borderId="42" xfId="7" applyFill="1" applyBorder="1"/>
    <xf numFmtId="0" fontId="67" fillId="0" borderId="43" xfId="7" applyBorder="1"/>
    <xf numFmtId="0" fontId="67" fillId="0" borderId="42" xfId="7" applyBorder="1"/>
    <xf numFmtId="0" fontId="67" fillId="0" borderId="44" xfId="7" applyBorder="1" applyAlignment="1">
      <alignment horizontal="center"/>
    </xf>
    <xf numFmtId="0" fontId="67" fillId="0" borderId="45" xfId="7" applyBorder="1" applyAlignment="1">
      <alignment horizontal="center"/>
    </xf>
    <xf numFmtId="0" fontId="67" fillId="0" borderId="46" xfId="7" applyBorder="1" applyAlignment="1">
      <alignment horizontal="center"/>
    </xf>
    <xf numFmtId="14" fontId="67" fillId="38" borderId="2" xfId="7" applyNumberFormat="1" applyFill="1" applyBorder="1" applyProtection="1">
      <protection locked="0"/>
    </xf>
    <xf numFmtId="49" fontId="67" fillId="38" borderId="2" xfId="7" applyNumberFormat="1" applyFill="1" applyBorder="1" applyProtection="1">
      <protection locked="0"/>
    </xf>
    <xf numFmtId="174" fontId="22" fillId="3" borderId="2" xfId="0" applyNumberFormat="1" applyFont="1" applyFill="1" applyBorder="1" applyAlignment="1">
      <alignment horizontal="center" vertical="center" wrapText="1"/>
    </xf>
    <xf numFmtId="174" fontId="22" fillId="3" borderId="22" xfId="0" applyNumberFormat="1" applyFont="1" applyFill="1" applyBorder="1" applyAlignment="1">
      <alignment horizontal="center" wrapText="1"/>
    </xf>
    <xf numFmtId="174" fontId="7" fillId="2" borderId="2" xfId="0" applyNumberFormat="1" applyFont="1" applyFill="1" applyBorder="1" applyAlignment="1">
      <alignment horizontal="center"/>
    </xf>
    <xf numFmtId="4" fontId="15" fillId="21" borderId="22" xfId="2" applyNumberFormat="1" applyFont="1" applyFill="1" applyBorder="1" applyAlignment="1">
      <alignment horizontal="center" wrapText="1"/>
    </xf>
    <xf numFmtId="4" fontId="15" fillId="39" borderId="47" xfId="2" applyNumberFormat="1" applyFont="1" applyFill="1" applyBorder="1" applyAlignment="1">
      <alignment horizontal="center" wrapText="1"/>
    </xf>
    <xf numFmtId="4" fontId="15" fillId="39" borderId="47" xfId="2" applyNumberFormat="1" applyFill="1" applyBorder="1" applyAlignment="1">
      <alignment horizontal="center" wrapText="1"/>
    </xf>
    <xf numFmtId="0" fontId="15" fillId="21" borderId="2" xfId="2" applyFill="1" applyBorder="1" applyAlignment="1">
      <alignment horizontal="center" wrapText="1"/>
    </xf>
    <xf numFmtId="49" fontId="15" fillId="2" borderId="2" xfId="2" applyNumberFormat="1" applyFill="1" applyBorder="1" applyAlignment="1">
      <alignment horizontal="center" wrapText="1"/>
    </xf>
    <xf numFmtId="0" fontId="15" fillId="2" borderId="2" xfId="2" applyFill="1" applyBorder="1" applyAlignment="1">
      <alignment horizontal="center" wrapText="1"/>
    </xf>
    <xf numFmtId="1" fontId="15" fillId="0" borderId="2" xfId="2" applyNumberFormat="1" applyBorder="1" applyAlignment="1">
      <alignment horizontal="center" wrapText="1"/>
    </xf>
    <xf numFmtId="0" fontId="15" fillId="0" borderId="2" xfId="2" applyBorder="1"/>
    <xf numFmtId="49" fontId="15" fillId="0" borderId="2" xfId="2" applyNumberFormat="1" applyBorder="1"/>
    <xf numFmtId="49" fontId="15" fillId="2" borderId="2" xfId="2" applyNumberFormat="1" applyFill="1" applyBorder="1" applyAlignment="1">
      <alignment horizontal="center"/>
    </xf>
    <xf numFmtId="0" fontId="15" fillId="16" borderId="2" xfId="2" applyFill="1" applyBorder="1" applyAlignment="1">
      <alignment horizontal="center" wrapText="1"/>
    </xf>
    <xf numFmtId="0" fontId="15" fillId="16" borderId="0" xfId="2" applyFill="1" applyAlignment="1">
      <alignment wrapText="1"/>
    </xf>
    <xf numFmtId="0" fontId="15" fillId="16" borderId="0" xfId="2" applyFill="1"/>
    <xf numFmtId="0" fontId="15" fillId="0" borderId="2" xfId="2" applyBorder="1" applyAlignment="1">
      <alignment horizontal="center"/>
    </xf>
    <xf numFmtId="166" fontId="12" fillId="14" borderId="23" xfId="0" applyNumberFormat="1" applyFont="1" applyFill="1" applyBorder="1" applyAlignment="1">
      <alignment horizontal="center" vertical="center" wrapText="1"/>
    </xf>
    <xf numFmtId="166" fontId="12" fillId="8" borderId="23" xfId="0" applyNumberFormat="1" applyFont="1" applyFill="1" applyBorder="1" applyAlignment="1">
      <alignment horizontal="center" vertical="center"/>
    </xf>
    <xf numFmtId="0" fontId="37" fillId="0" borderId="0" xfId="0" applyFont="1" applyBorder="1" applyAlignment="1">
      <alignment horizontal="left" wrapText="1"/>
    </xf>
    <xf numFmtId="0" fontId="36" fillId="0" borderId="0" xfId="0" applyFont="1" applyBorder="1" applyAlignment="1">
      <alignment horizontal="center" wrapText="1"/>
    </xf>
    <xf numFmtId="0" fontId="0" fillId="0" borderId="0" xfId="0"/>
    <xf numFmtId="0" fontId="0" fillId="0" borderId="0" xfId="0"/>
    <xf numFmtId="4" fontId="23" fillId="0" borderId="2" xfId="0" applyNumberFormat="1" applyFont="1" applyFill="1" applyBorder="1" applyAlignment="1">
      <alignment vertical="center" wrapText="1"/>
    </xf>
    <xf numFmtId="166" fontId="22" fillId="35" borderId="2" xfId="0" applyNumberFormat="1" applyFont="1" applyFill="1" applyBorder="1" applyAlignment="1">
      <alignment horizontal="center" wrapText="1"/>
    </xf>
    <xf numFmtId="0" fontId="0" fillId="0" borderId="0" xfId="0"/>
    <xf numFmtId="0" fontId="15" fillId="0" borderId="0" xfId="0" applyFont="1" applyBorder="1" applyAlignment="1">
      <alignment horizontal="right"/>
    </xf>
    <xf numFmtId="0" fontId="15" fillId="0" borderId="0" xfId="0" applyFont="1" applyBorder="1" applyAlignment="1">
      <alignment horizontal="center"/>
    </xf>
    <xf numFmtId="0" fontId="7" fillId="0" borderId="0" xfId="2" applyFont="1" applyBorder="1" applyAlignment="1">
      <alignment horizontal="center" vertical="center" wrapText="1"/>
    </xf>
    <xf numFmtId="0" fontId="7" fillId="0" borderId="2" xfId="0" applyFont="1" applyBorder="1"/>
    <xf numFmtId="0" fontId="5" fillId="0" borderId="0" xfId="0" applyFont="1" applyAlignment="1">
      <alignment horizontal="center"/>
    </xf>
    <xf numFmtId="0" fontId="0" fillId="0" borderId="0" xfId="0"/>
    <xf numFmtId="165" fontId="7" fillId="0" borderId="2" xfId="0" applyNumberFormat="1" applyFont="1" applyBorder="1"/>
    <xf numFmtId="0" fontId="15" fillId="0" borderId="0" xfId="0" applyFont="1" applyBorder="1" applyAlignment="1">
      <alignment horizontal="left"/>
    </xf>
    <xf numFmtId="0" fontId="16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 vertical="center"/>
    </xf>
    <xf numFmtId="49" fontId="10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 wrapText="1"/>
    </xf>
    <xf numFmtId="164" fontId="5" fillId="0" borderId="0" xfId="0" applyNumberFormat="1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14" fillId="0" borderId="0" xfId="0" applyFont="1" applyBorder="1" applyAlignment="1">
      <alignment horizontal="center" vertical="center"/>
    </xf>
    <xf numFmtId="4" fontId="5" fillId="0" borderId="5" xfId="0" applyNumberFormat="1" applyFont="1" applyBorder="1" applyAlignment="1">
      <alignment horizontal="center" vertical="center"/>
    </xf>
    <xf numFmtId="175" fontId="19" fillId="2" borderId="2" xfId="0" applyNumberFormat="1" applyFont="1" applyFill="1" applyBorder="1" applyAlignment="1">
      <alignment horizontal="center"/>
    </xf>
    <xf numFmtId="166" fontId="19" fillId="2" borderId="2" xfId="0" applyNumberFormat="1" applyFont="1" applyFill="1" applyBorder="1" applyAlignment="1">
      <alignment horizontal="center"/>
    </xf>
    <xf numFmtId="2" fontId="5" fillId="0" borderId="2" xfId="0" quotePrefix="1" applyNumberFormat="1" applyFont="1" applyFill="1" applyBorder="1" applyAlignment="1">
      <alignment horizontal="center"/>
    </xf>
    <xf numFmtId="175" fontId="19" fillId="2" borderId="2" xfId="0" applyNumberFormat="1" applyFont="1" applyFill="1" applyBorder="1" applyAlignment="1">
      <alignment horizontal="center" wrapText="1"/>
    </xf>
    <xf numFmtId="167" fontId="7" fillId="2" borderId="2" xfId="0" applyNumberFormat="1" applyFont="1" applyFill="1" applyBorder="1" applyAlignment="1">
      <alignment horizontal="center"/>
    </xf>
    <xf numFmtId="0" fontId="0" fillId="21" borderId="5" xfId="0" applyFill="1" applyBorder="1" applyAlignment="1">
      <alignment horizontal="center" vertical="center"/>
    </xf>
    <xf numFmtId="0" fontId="0" fillId="0" borderId="0" xfId="0"/>
    <xf numFmtId="1" fontId="68" fillId="0" borderId="2" xfId="0" applyNumberFormat="1" applyFont="1" applyBorder="1" applyAlignment="1">
      <alignment horizontal="center" vertical="center" wrapText="1"/>
    </xf>
    <xf numFmtId="0" fontId="38" fillId="40" borderId="2" xfId="0" applyFont="1" applyFill="1" applyBorder="1" applyAlignment="1">
      <alignment horizontal="center"/>
    </xf>
    <xf numFmtId="0" fontId="7" fillId="40" borderId="2" xfId="0" applyFont="1" applyFill="1" applyBorder="1" applyAlignment="1">
      <alignment wrapText="1"/>
    </xf>
    <xf numFmtId="174" fontId="7" fillId="40" borderId="2" xfId="0" applyNumberFormat="1" applyFont="1" applyFill="1" applyBorder="1" applyAlignment="1">
      <alignment horizontal="center" vertical="center"/>
    </xf>
    <xf numFmtId="4" fontId="7" fillId="40" borderId="2" xfId="0" applyNumberFormat="1" applyFont="1" applyFill="1" applyBorder="1" applyAlignment="1">
      <alignment horizontal="center" vertical="center"/>
    </xf>
    <xf numFmtId="2" fontId="23" fillId="41" borderId="2" xfId="0" applyNumberFormat="1" applyFont="1" applyFill="1" applyBorder="1" applyAlignment="1">
      <alignment horizontal="center"/>
    </xf>
    <xf numFmtId="168" fontId="7" fillId="40" borderId="2" xfId="0" applyNumberFormat="1" applyFont="1" applyFill="1" applyBorder="1" applyAlignment="1">
      <alignment horizontal="center" vertical="center"/>
    </xf>
    <xf numFmtId="0" fontId="40" fillId="19" borderId="24" xfId="0" applyFont="1" applyFill="1" applyBorder="1" applyAlignment="1">
      <alignment horizontal="center" vertical="center"/>
    </xf>
    <xf numFmtId="0" fontId="40" fillId="19" borderId="25" xfId="0" applyFont="1" applyFill="1" applyBorder="1" applyAlignment="1">
      <alignment horizontal="center" vertical="center" wrapText="1"/>
    </xf>
    <xf numFmtId="1" fontId="40" fillId="19" borderId="25" xfId="0" applyNumberFormat="1" applyFont="1" applyFill="1" applyBorder="1" applyAlignment="1">
      <alignment horizontal="center" vertical="center"/>
    </xf>
    <xf numFmtId="2" fontId="40" fillId="19" borderId="25" xfId="0" applyNumberFormat="1" applyFont="1" applyFill="1" applyBorder="1" applyAlignment="1">
      <alignment horizontal="center" vertical="center"/>
    </xf>
    <xf numFmtId="2" fontId="40" fillId="19" borderId="22" xfId="0" applyNumberFormat="1" applyFont="1" applyFill="1" applyBorder="1" applyAlignment="1">
      <alignment horizontal="center" vertical="center"/>
    </xf>
    <xf numFmtId="1" fontId="15" fillId="19" borderId="22" xfId="0" applyNumberFormat="1" applyFont="1" applyFill="1" applyBorder="1" applyAlignment="1">
      <alignment horizontal="center" vertical="center"/>
    </xf>
    <xf numFmtId="0" fontId="0" fillId="0" borderId="2" xfId="0" applyBorder="1"/>
    <xf numFmtId="1" fontId="15" fillId="0" borderId="2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wrapText="1"/>
    </xf>
    <xf numFmtId="1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/>
    </xf>
    <xf numFmtId="1" fontId="0" fillId="0" borderId="2" xfId="0" applyNumberFormat="1" applyBorder="1" applyAlignment="1">
      <alignment horizontal="center"/>
    </xf>
    <xf numFmtId="166" fontId="12" fillId="2" borderId="2" xfId="0" applyNumberFormat="1" applyFont="1" applyFill="1" applyBorder="1" applyAlignment="1">
      <alignment horizontal="center" vertical="center" wrapText="1"/>
    </xf>
    <xf numFmtId="166" fontId="12" fillId="14" borderId="2" xfId="0" applyNumberFormat="1" applyFont="1" applyFill="1" applyBorder="1" applyAlignment="1">
      <alignment horizontal="center" vertical="center" wrapText="1"/>
    </xf>
    <xf numFmtId="166" fontId="12" fillId="8" borderId="2" xfId="0" applyNumberFormat="1" applyFont="1" applyFill="1" applyBorder="1" applyAlignment="1">
      <alignment horizontal="center" vertical="center"/>
    </xf>
    <xf numFmtId="166" fontId="10" fillId="15" borderId="2" xfId="0" applyNumberFormat="1" applyFont="1" applyFill="1" applyBorder="1" applyAlignment="1">
      <alignment horizontal="center" vertical="center"/>
    </xf>
    <xf numFmtId="0" fontId="12" fillId="9" borderId="2" xfId="0" applyFont="1" applyFill="1" applyBorder="1" applyAlignment="1">
      <alignment horizontal="center" vertical="center"/>
    </xf>
    <xf numFmtId="0" fontId="12" fillId="9" borderId="2" xfId="0" applyFont="1" applyFill="1" applyBorder="1" applyAlignment="1">
      <alignment horizontal="center" vertical="center" wrapText="1"/>
    </xf>
    <xf numFmtId="174" fontId="12" fillId="9" borderId="2" xfId="0" applyNumberFormat="1" applyFont="1" applyFill="1" applyBorder="1" applyAlignment="1">
      <alignment horizontal="center" vertical="center"/>
    </xf>
    <xf numFmtId="4" fontId="12" fillId="9" borderId="2" xfId="0" applyNumberFormat="1" applyFont="1" applyFill="1" applyBorder="1" applyAlignment="1">
      <alignment horizontal="center" vertical="center"/>
    </xf>
    <xf numFmtId="2" fontId="12" fillId="9" borderId="2" xfId="0" applyNumberFormat="1" applyFont="1" applyFill="1" applyBorder="1" applyAlignment="1">
      <alignment horizontal="center" vertical="center"/>
    </xf>
    <xf numFmtId="166" fontId="12" fillId="9" borderId="2" xfId="0" applyNumberFormat="1" applyFont="1" applyFill="1" applyBorder="1" applyAlignment="1">
      <alignment horizontal="center" vertical="center"/>
    </xf>
    <xf numFmtId="4" fontId="0" fillId="21" borderId="2" xfId="0" applyNumberFormat="1" applyFill="1" applyBorder="1" applyAlignment="1">
      <alignment horizontal="left" wrapText="1"/>
    </xf>
    <xf numFmtId="0" fontId="0" fillId="0" borderId="0" xfId="0"/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15" fillId="0" borderId="2" xfId="0" applyFont="1" applyBorder="1" applyAlignment="1">
      <alignment horizontal="center" vertical="center"/>
    </xf>
    <xf numFmtId="172" fontId="5" fillId="0" borderId="5" xfId="0" applyNumberFormat="1" applyFont="1" applyBorder="1" applyAlignment="1">
      <alignment horizontal="center" vertical="center"/>
    </xf>
    <xf numFmtId="0" fontId="17" fillId="0" borderId="1" xfId="3" applyFont="1" applyBorder="1" applyAlignment="1">
      <alignment vertical="center" wrapText="1"/>
    </xf>
    <xf numFmtId="0" fontId="36" fillId="0" borderId="0" xfId="0" applyFont="1" applyBorder="1" applyAlignment="1">
      <alignment horizontal="center" wrapText="1"/>
    </xf>
    <xf numFmtId="0" fontId="33" fillId="0" borderId="0" xfId="0" applyFont="1" applyBorder="1" applyAlignment="1">
      <alignment horizontal="left" wrapText="1"/>
    </xf>
    <xf numFmtId="0" fontId="37" fillId="0" borderId="0" xfId="0" applyFont="1" applyBorder="1" applyAlignment="1">
      <alignment horizontal="left" wrapText="1"/>
    </xf>
    <xf numFmtId="0" fontId="0" fillId="0" borderId="0" xfId="0"/>
    <xf numFmtId="2" fontId="5" fillId="0" borderId="2" xfId="3" applyNumberFormat="1" applyFont="1" applyBorder="1" applyAlignment="1">
      <alignment horizontal="center" vertical="center" wrapText="1"/>
    </xf>
    <xf numFmtId="2" fontId="9" fillId="0" borderId="2" xfId="3" applyNumberFormat="1" applyFont="1" applyBorder="1" applyAlignment="1">
      <alignment horizontal="center" vertical="center" wrapText="1"/>
    </xf>
    <xf numFmtId="4" fontId="23" fillId="0" borderId="2" xfId="0" applyNumberFormat="1" applyFont="1" applyFill="1" applyBorder="1" applyAlignment="1">
      <alignment horizontal="left" wrapText="1"/>
    </xf>
    <xf numFmtId="4" fontId="23" fillId="2" borderId="2" xfId="0" applyNumberFormat="1" applyFont="1" applyFill="1" applyBorder="1" applyAlignment="1">
      <alignment horizontal="left" wrapText="1"/>
    </xf>
    <xf numFmtId="172" fontId="19" fillId="2" borderId="2" xfId="0" applyNumberFormat="1" applyFont="1" applyFill="1" applyBorder="1" applyAlignment="1">
      <alignment horizontal="center"/>
    </xf>
    <xf numFmtId="4" fontId="21" fillId="22" borderId="22" xfId="0" applyNumberFormat="1" applyFont="1" applyFill="1" applyBorder="1" applyAlignment="1">
      <alignment horizontal="center" wrapText="1"/>
    </xf>
    <xf numFmtId="3" fontId="0" fillId="31" borderId="2" xfId="0" applyNumberFormat="1" applyFill="1" applyBorder="1" applyAlignment="1">
      <alignment horizontal="center" vertical="center"/>
    </xf>
    <xf numFmtId="3" fontId="12" fillId="31" borderId="2" xfId="0" applyNumberFormat="1" applyFont="1" applyFill="1" applyBorder="1" applyAlignment="1">
      <alignment horizontal="center" vertical="center"/>
    </xf>
    <xf numFmtId="3" fontId="7" fillId="27" borderId="2" xfId="0" applyNumberFormat="1" applyFont="1" applyFill="1" applyBorder="1" applyAlignment="1">
      <alignment horizontal="center" vertical="distributed"/>
    </xf>
    <xf numFmtId="3" fontId="7" fillId="0" borderId="2" xfId="0" applyNumberFormat="1" applyFont="1" applyFill="1" applyBorder="1" applyAlignment="1">
      <alignment horizontal="center" vertical="distributed"/>
    </xf>
    <xf numFmtId="3" fontId="15" fillId="21" borderId="2" xfId="2" applyNumberFormat="1" applyFill="1" applyBorder="1" applyAlignment="1">
      <alignment horizontal="center" wrapText="1"/>
    </xf>
    <xf numFmtId="2" fontId="15" fillId="0" borderId="2" xfId="2" applyNumberFormat="1" applyBorder="1" applyAlignment="1">
      <alignment wrapText="1"/>
    </xf>
    <xf numFmtId="2" fontId="15" fillId="21" borderId="2" xfId="2" applyNumberFormat="1" applyFill="1" applyBorder="1" applyAlignment="1">
      <alignment wrapText="1"/>
    </xf>
    <xf numFmtId="0" fontId="34" fillId="18" borderId="18" xfId="0" applyFont="1" applyFill="1" applyBorder="1" applyAlignment="1">
      <alignment horizontal="center" vertical="center" wrapText="1"/>
    </xf>
    <xf numFmtId="0" fontId="34" fillId="18" borderId="23" xfId="0" applyFont="1" applyFill="1" applyBorder="1" applyAlignment="1">
      <alignment horizontal="center" vertical="center" wrapText="1"/>
    </xf>
    <xf numFmtId="0" fontId="34" fillId="18" borderId="7" xfId="0" applyFont="1" applyFill="1" applyBorder="1" applyAlignment="1">
      <alignment horizontal="center" vertical="center" wrapText="1"/>
    </xf>
    <xf numFmtId="0" fontId="33" fillId="0" borderId="0" xfId="0" applyFont="1" applyBorder="1" applyAlignment="1">
      <alignment horizontal="right"/>
    </xf>
    <xf numFmtId="0" fontId="33" fillId="0" borderId="0" xfId="0" applyFont="1" applyBorder="1" applyAlignment="1">
      <alignment horizontal="center"/>
    </xf>
    <xf numFmtId="0" fontId="36" fillId="0" borderId="0" xfId="0" applyFont="1" applyAlignment="1">
      <alignment horizontal="center" wrapText="1"/>
    </xf>
    <xf numFmtId="0" fontId="0" fillId="0" borderId="0" xfId="0"/>
    <xf numFmtId="166" fontId="27" fillId="39" borderId="2" xfId="0" applyNumberFormat="1" applyFont="1" applyFill="1" applyBorder="1" applyAlignment="1">
      <alignment horizontal="center" vertical="center" wrapText="1"/>
    </xf>
    <xf numFmtId="0" fontId="10" fillId="39" borderId="2" xfId="0" applyFont="1" applyFill="1" applyBorder="1" applyAlignment="1">
      <alignment horizontal="center" wrapText="1"/>
    </xf>
    <xf numFmtId="0" fontId="10" fillId="39" borderId="2" xfId="0" applyFont="1" applyFill="1" applyBorder="1" applyAlignment="1">
      <alignment horizontal="center"/>
    </xf>
    <xf numFmtId="174" fontId="10" fillId="39" borderId="2" xfId="0" applyNumberFormat="1" applyFont="1" applyFill="1" applyBorder="1" applyAlignment="1">
      <alignment horizontal="center" vertical="center"/>
    </xf>
    <xf numFmtId="4" fontId="10" fillId="39" borderId="2" xfId="0" applyNumberFormat="1" applyFont="1" applyFill="1" applyBorder="1" applyAlignment="1">
      <alignment horizontal="center" vertical="center"/>
    </xf>
    <xf numFmtId="0" fontId="10" fillId="39" borderId="2" xfId="0" applyFont="1" applyFill="1" applyBorder="1" applyAlignment="1"/>
    <xf numFmtId="2" fontId="35" fillId="39" borderId="2" xfId="0" applyNumberFormat="1" applyFont="1" applyFill="1" applyBorder="1" applyAlignment="1">
      <alignment horizontal="center" vertical="center"/>
    </xf>
    <xf numFmtId="1" fontId="35" fillId="39" borderId="2" xfId="0" applyNumberFormat="1" applyFont="1" applyFill="1" applyBorder="1" applyAlignment="1">
      <alignment horizontal="center" vertical="center"/>
    </xf>
    <xf numFmtId="2" fontId="7" fillId="21" borderId="2" xfId="0" applyNumberFormat="1" applyFont="1" applyFill="1" applyBorder="1" applyAlignment="1">
      <alignment horizontal="center"/>
    </xf>
    <xf numFmtId="0" fontId="38" fillId="39" borderId="2" xfId="0" applyFont="1" applyFill="1" applyBorder="1" applyAlignment="1">
      <alignment horizontal="center" wrapText="1"/>
    </xf>
    <xf numFmtId="174" fontId="7" fillId="39" borderId="2" xfId="0" applyNumberFormat="1" applyFont="1" applyFill="1" applyBorder="1" applyAlignment="1">
      <alignment horizontal="center" vertical="center" wrapText="1"/>
    </xf>
    <xf numFmtId="4" fontId="7" fillId="39" borderId="2" xfId="0" applyNumberFormat="1" applyFont="1" applyFill="1" applyBorder="1" applyAlignment="1">
      <alignment horizontal="center" vertical="center" wrapText="1"/>
    </xf>
    <xf numFmtId="2" fontId="21" fillId="39" borderId="2" xfId="0" applyNumberFormat="1" applyFont="1" applyFill="1" applyBorder="1" applyAlignment="1">
      <alignment horizontal="center" vertical="center" wrapText="1"/>
    </xf>
    <xf numFmtId="1" fontId="21" fillId="39" borderId="2" xfId="0" applyNumberFormat="1" applyFont="1" applyFill="1" applyBorder="1" applyAlignment="1">
      <alignment horizontal="center" vertical="center" wrapText="1"/>
    </xf>
    <xf numFmtId="0" fontId="10" fillId="0" borderId="18" xfId="0" applyFont="1" applyFill="1" applyBorder="1" applyAlignment="1"/>
    <xf numFmtId="0" fontId="10" fillId="0" borderId="23" xfId="0" applyFont="1" applyFill="1" applyBorder="1" applyAlignment="1">
      <alignment wrapText="1"/>
    </xf>
    <xf numFmtId="174" fontId="10" fillId="0" borderId="23" xfId="0" applyNumberFormat="1" applyFont="1" applyFill="1" applyBorder="1" applyAlignment="1">
      <alignment horizontal="center" vertical="center"/>
    </xf>
    <xf numFmtId="4" fontId="10" fillId="0" borderId="23" xfId="0" applyNumberFormat="1" applyFont="1" applyFill="1" applyBorder="1" applyAlignment="1">
      <alignment horizontal="center" vertical="center"/>
    </xf>
    <xf numFmtId="2" fontId="10" fillId="0" borderId="23" xfId="0" applyNumberFormat="1" applyFont="1" applyFill="1" applyBorder="1" applyAlignment="1">
      <alignment horizontal="center"/>
    </xf>
    <xf numFmtId="166" fontId="10" fillId="0" borderId="23" xfId="0" applyNumberFormat="1" applyFont="1" applyFill="1" applyBorder="1" applyAlignment="1">
      <alignment horizontal="center"/>
    </xf>
    <xf numFmtId="2" fontId="10" fillId="0" borderId="18" xfId="0" applyNumberFormat="1" applyFont="1" applyFill="1" applyBorder="1" applyAlignment="1">
      <alignment horizontal="center"/>
    </xf>
    <xf numFmtId="2" fontId="10" fillId="0" borderId="7" xfId="0" applyNumberFormat="1" applyFont="1" applyFill="1" applyBorder="1" applyAlignment="1">
      <alignment horizontal="center"/>
    </xf>
    <xf numFmtId="0" fontId="40" fillId="0" borderId="24" xfId="0" applyFont="1" applyFill="1" applyBorder="1" applyAlignment="1">
      <alignment horizontal="center" vertical="center"/>
    </xf>
    <xf numFmtId="0" fontId="40" fillId="0" borderId="25" xfId="0" applyFont="1" applyFill="1" applyBorder="1" applyAlignment="1">
      <alignment horizontal="center" vertical="center" wrapText="1"/>
    </xf>
    <xf numFmtId="1" fontId="40" fillId="0" borderId="25" xfId="0" applyNumberFormat="1" applyFont="1" applyFill="1" applyBorder="1" applyAlignment="1">
      <alignment horizontal="center" vertical="center"/>
    </xf>
    <xf numFmtId="2" fontId="40" fillId="0" borderId="25" xfId="0" applyNumberFormat="1" applyFont="1" applyFill="1" applyBorder="1" applyAlignment="1">
      <alignment horizontal="center" vertical="center"/>
    </xf>
    <xf numFmtId="2" fontId="40" fillId="0" borderId="24" xfId="0" applyNumberFormat="1" applyFont="1" applyFill="1" applyBorder="1" applyAlignment="1">
      <alignment horizontal="center" vertical="center"/>
    </xf>
    <xf numFmtId="1" fontId="15" fillId="0" borderId="25" xfId="0" applyNumberFormat="1" applyFont="1" applyFill="1" applyBorder="1" applyAlignment="1">
      <alignment horizontal="center" vertical="center"/>
    </xf>
    <xf numFmtId="1" fontId="15" fillId="0" borderId="26" xfId="0" applyNumberFormat="1" applyFont="1" applyFill="1" applyBorder="1" applyAlignment="1">
      <alignment horizontal="center" vertical="center"/>
    </xf>
    <xf numFmtId="1" fontId="15" fillId="0" borderId="22" xfId="0" applyNumberFormat="1" applyFont="1" applyFill="1" applyBorder="1" applyAlignment="1">
      <alignment horizontal="center" vertical="center"/>
    </xf>
    <xf numFmtId="4" fontId="17" fillId="0" borderId="0" xfId="0" applyNumberFormat="1" applyFont="1" applyFill="1" applyBorder="1" applyAlignment="1">
      <alignment horizontal="center"/>
    </xf>
    <xf numFmtId="4" fontId="7" fillId="0" borderId="0" xfId="0" applyNumberFormat="1" applyFont="1" applyFill="1" applyBorder="1" applyAlignment="1">
      <alignment horizontal="center"/>
    </xf>
    <xf numFmtId="0" fontId="5" fillId="36" borderId="2" xfId="0" applyFont="1" applyFill="1" applyBorder="1"/>
    <xf numFmtId="0" fontId="14" fillId="36" borderId="2" xfId="0" applyFont="1" applyFill="1" applyBorder="1" applyAlignment="1">
      <alignment horizontal="center" vertical="center" wrapText="1"/>
    </xf>
    <xf numFmtId="1" fontId="5" fillId="36" borderId="2" xfId="0" applyNumberFormat="1" applyFont="1" applyFill="1" applyBorder="1" applyAlignment="1">
      <alignment horizontal="center" vertical="center"/>
    </xf>
    <xf numFmtId="2" fontId="5" fillId="36" borderId="2" xfId="0" applyNumberFormat="1" applyFont="1" applyFill="1" applyBorder="1" applyAlignment="1">
      <alignment horizontal="center"/>
    </xf>
    <xf numFmtId="1" fontId="5" fillId="36" borderId="2" xfId="0" applyNumberFormat="1" applyFont="1" applyFill="1" applyBorder="1" applyAlignment="1">
      <alignment horizontal="center"/>
    </xf>
    <xf numFmtId="166" fontId="5" fillId="36" borderId="2" xfId="0" applyNumberFormat="1" applyFont="1" applyFill="1" applyBorder="1" applyAlignment="1">
      <alignment horizontal="center" vertical="center" wrapText="1"/>
    </xf>
    <xf numFmtId="3" fontId="0" fillId="2" borderId="2" xfId="0" applyNumberFormat="1" applyFill="1" applyBorder="1" applyAlignment="1">
      <alignment horizontal="center" vertical="center"/>
    </xf>
    <xf numFmtId="3" fontId="0" fillId="22" borderId="2" xfId="0" applyNumberFormat="1" applyFill="1" applyBorder="1" applyAlignment="1">
      <alignment horizontal="center" vertical="center"/>
    </xf>
    <xf numFmtId="3" fontId="0" fillId="21" borderId="2" xfId="0" applyNumberFormat="1" applyFill="1" applyBorder="1" applyAlignment="1">
      <alignment horizontal="center" vertical="center"/>
    </xf>
    <xf numFmtId="4" fontId="0" fillId="2" borderId="2" xfId="0" applyNumberFormat="1" applyFill="1" applyBorder="1" applyAlignment="1">
      <alignment horizontal="center" vertical="center"/>
    </xf>
    <xf numFmtId="4" fontId="0" fillId="22" borderId="2" xfId="0" applyNumberFormat="1" applyFill="1" applyBorder="1" applyAlignment="1">
      <alignment horizontal="center" vertical="center"/>
    </xf>
    <xf numFmtId="4" fontId="0" fillId="21" borderId="2" xfId="0" applyNumberFormat="1" applyFill="1" applyBorder="1" applyAlignment="1">
      <alignment horizontal="center"/>
    </xf>
    <xf numFmtId="4" fontId="0" fillId="22" borderId="2" xfId="0" applyNumberFormat="1" applyFill="1" applyBorder="1" applyAlignment="1">
      <alignment horizontal="center"/>
    </xf>
    <xf numFmtId="4" fontId="0" fillId="21" borderId="2" xfId="0" applyNumberFormat="1" applyFill="1" applyBorder="1" applyAlignment="1">
      <alignment horizontal="center" wrapText="1"/>
    </xf>
    <xf numFmtId="0" fontId="0" fillId="10" borderId="2" xfId="0" applyFill="1" applyBorder="1"/>
    <xf numFmtId="0" fontId="0" fillId="10" borderId="2" xfId="0" applyFill="1" applyBorder="1" applyAlignment="1">
      <alignment horizontal="left" wrapText="1"/>
    </xf>
    <xf numFmtId="3" fontId="0" fillId="10" borderId="2" xfId="0" applyNumberFormat="1" applyFill="1" applyBorder="1" applyAlignment="1">
      <alignment horizontal="center" vertical="center"/>
    </xf>
    <xf numFmtId="4" fontId="0" fillId="10" borderId="2" xfId="0" applyNumberFormat="1" applyFill="1" applyBorder="1" applyAlignment="1">
      <alignment horizontal="center" vertical="center"/>
    </xf>
    <xf numFmtId="1" fontId="0" fillId="10" borderId="2" xfId="0" applyNumberFormat="1" applyFill="1" applyBorder="1" applyAlignment="1">
      <alignment horizontal="center" vertical="center"/>
    </xf>
    <xf numFmtId="2" fontId="0" fillId="10" borderId="2" xfId="0" applyNumberFormat="1" applyFill="1" applyBorder="1" applyAlignment="1">
      <alignment horizontal="center" vertical="center"/>
    </xf>
    <xf numFmtId="169" fontId="7" fillId="6" borderId="2" xfId="0" applyNumberFormat="1" applyFont="1" applyFill="1" applyBorder="1" applyAlignment="1">
      <alignment horizontal="center"/>
    </xf>
    <xf numFmtId="169" fontId="10" fillId="39" borderId="2" xfId="0" applyNumberFormat="1" applyFont="1" applyFill="1" applyBorder="1" applyAlignment="1">
      <alignment horizontal="center"/>
    </xf>
    <xf numFmtId="169" fontId="7" fillId="39" borderId="2" xfId="0" applyNumberFormat="1" applyFont="1" applyFill="1" applyBorder="1" applyAlignment="1">
      <alignment horizontal="center" wrapText="1"/>
    </xf>
    <xf numFmtId="169" fontId="7" fillId="4" borderId="8" xfId="0" applyNumberFormat="1" applyFont="1" applyFill="1" applyBorder="1" applyAlignment="1">
      <alignment horizontal="center"/>
    </xf>
    <xf numFmtId="0" fontId="12" fillId="43" borderId="2" xfId="0" applyFont="1" applyFill="1" applyBorder="1" applyAlignment="1">
      <alignment horizontal="center" vertical="center"/>
    </xf>
    <xf numFmtId="0" fontId="12" fillId="43" borderId="2" xfId="0" applyFont="1" applyFill="1" applyBorder="1" applyAlignment="1">
      <alignment horizontal="center" vertical="center" wrapText="1"/>
    </xf>
    <xf numFmtId="174" fontId="12" fillId="43" borderId="2" xfId="0" applyNumberFormat="1" applyFont="1" applyFill="1" applyBorder="1" applyAlignment="1">
      <alignment horizontal="center" vertical="center"/>
    </xf>
    <xf numFmtId="4" fontId="12" fillId="43" borderId="2" xfId="0" applyNumberFormat="1" applyFont="1" applyFill="1" applyBorder="1" applyAlignment="1">
      <alignment horizontal="center" vertical="center"/>
    </xf>
    <xf numFmtId="2" fontId="12" fillId="43" borderId="2" xfId="0" applyNumberFormat="1" applyFont="1" applyFill="1" applyBorder="1" applyAlignment="1">
      <alignment horizontal="center" vertical="center"/>
    </xf>
    <xf numFmtId="4" fontId="0" fillId="18" borderId="2" xfId="0" applyNumberFormat="1" applyFill="1" applyBorder="1" applyAlignment="1">
      <alignment horizontal="center" wrapText="1"/>
    </xf>
    <xf numFmtId="0" fontId="15" fillId="2" borderId="2" xfId="2" applyFill="1" applyBorder="1" applyAlignment="1">
      <alignment wrapText="1"/>
    </xf>
    <xf numFmtId="0" fontId="0" fillId="0" borderId="0" xfId="0"/>
    <xf numFmtId="0" fontId="48" fillId="0" borderId="2" xfId="0" applyFont="1" applyBorder="1" applyAlignment="1">
      <alignment horizontal="center" vertical="center" wrapText="1"/>
    </xf>
    <xf numFmtId="0" fontId="0" fillId="0" borderId="0" xfId="0"/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15" fillId="0" borderId="2" xfId="0" applyFont="1" applyBorder="1" applyAlignment="1">
      <alignment horizontal="center" vertical="center"/>
    </xf>
    <xf numFmtId="0" fontId="48" fillId="0" borderId="0" xfId="0" applyFont="1" applyAlignment="1">
      <alignment horizontal="justify" vertical="center"/>
    </xf>
    <xf numFmtId="0" fontId="69" fillId="0" borderId="0" xfId="0" applyFont="1"/>
    <xf numFmtId="0" fontId="0" fillId="0" borderId="0" xfId="0"/>
    <xf numFmtId="0" fontId="8" fillId="0" borderId="0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0" fontId="15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 wrapText="1"/>
    </xf>
    <xf numFmtId="0" fontId="40" fillId="19" borderId="2" xfId="0" applyFont="1" applyFill="1" applyBorder="1" applyAlignment="1">
      <alignment horizontal="center" vertical="center"/>
    </xf>
    <xf numFmtId="0" fontId="37" fillId="0" borderId="0" xfId="0" applyFont="1" applyBorder="1" applyAlignment="1">
      <alignment horizontal="left" wrapText="1"/>
    </xf>
    <xf numFmtId="0" fontId="36" fillId="0" borderId="0" xfId="0" applyFont="1" applyBorder="1" applyAlignment="1">
      <alignment horizontal="center" wrapText="1"/>
    </xf>
    <xf numFmtId="0" fontId="0" fillId="0" borderId="0" xfId="0"/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15" fillId="0" borderId="2" xfId="0" applyFont="1" applyBorder="1" applyAlignment="1">
      <alignment horizontal="center" vertical="center"/>
    </xf>
    <xf numFmtId="175" fontId="5" fillId="0" borderId="2" xfId="0" applyNumberFormat="1" applyFont="1" applyBorder="1" applyAlignment="1">
      <alignment horizontal="center"/>
    </xf>
    <xf numFmtId="0" fontId="5" fillId="0" borderId="5" xfId="0" applyNumberFormat="1" applyFont="1" applyBorder="1" applyAlignment="1">
      <alignment horizontal="center" vertical="center"/>
    </xf>
    <xf numFmtId="0" fontId="5" fillId="0" borderId="2" xfId="0" applyNumberFormat="1" applyFont="1" applyBorder="1" applyAlignment="1">
      <alignment horizontal="center" vertical="center"/>
    </xf>
    <xf numFmtId="175" fontId="5" fillId="0" borderId="2" xfId="0" applyNumberFormat="1" applyFont="1" applyFill="1" applyBorder="1" applyAlignment="1">
      <alignment horizontal="center"/>
    </xf>
    <xf numFmtId="3" fontId="23" fillId="42" borderId="2" xfId="0" applyNumberFormat="1" applyFont="1" applyFill="1" applyBorder="1" applyAlignment="1">
      <alignment horizontal="center" vertical="center" wrapText="1"/>
    </xf>
    <xf numFmtId="3" fontId="7" fillId="6" borderId="2" xfId="0" applyNumberFormat="1" applyFont="1" applyFill="1" applyBorder="1" applyAlignment="1">
      <alignment horizontal="center"/>
    </xf>
    <xf numFmtId="0" fontId="0" fillId="0" borderId="0" xfId="0"/>
    <xf numFmtId="0" fontId="15" fillId="0" borderId="0" xfId="0" applyFont="1" applyAlignment="1">
      <alignment horizontal="right"/>
    </xf>
    <xf numFmtId="0" fontId="15" fillId="0" borderId="0" xfId="0" applyFont="1" applyBorder="1" applyAlignment="1">
      <alignment wrapText="1"/>
    </xf>
    <xf numFmtId="0" fontId="8" fillId="0" borderId="0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0" fillId="0" borderId="1" xfId="0" applyBorder="1"/>
    <xf numFmtId="0" fontId="5" fillId="0" borderId="2" xfId="0" applyFont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15" fillId="0" borderId="2" xfId="0" applyFont="1" applyBorder="1" applyAlignment="1">
      <alignment horizontal="center" vertical="center"/>
    </xf>
    <xf numFmtId="0" fontId="0" fillId="0" borderId="0" xfId="0"/>
    <xf numFmtId="1" fontId="15" fillId="0" borderId="0" xfId="0" applyNumberFormat="1" applyFont="1" applyBorder="1" applyAlignment="1">
      <alignment horizontal="left"/>
    </xf>
    <xf numFmtId="0" fontId="70" fillId="0" borderId="0" xfId="0" applyFont="1"/>
    <xf numFmtId="3" fontId="12" fillId="0" borderId="0" xfId="0" applyNumberFormat="1" applyFont="1" applyAlignment="1">
      <alignment horizontal="center"/>
    </xf>
    <xf numFmtId="0" fontId="17" fillId="0" borderId="0" xfId="0" applyFont="1" applyBorder="1" applyAlignment="1">
      <alignment wrapText="1"/>
    </xf>
    <xf numFmtId="0" fontId="17" fillId="0" borderId="0" xfId="0" applyFont="1" applyBorder="1" applyAlignment="1">
      <alignment horizontal="right" wrapText="1"/>
    </xf>
    <xf numFmtId="1" fontId="15" fillId="0" borderId="2" xfId="0" applyNumberFormat="1" applyFont="1" applyBorder="1" applyAlignment="1">
      <alignment horizontal="center"/>
    </xf>
    <xf numFmtId="2" fontId="23" fillId="39" borderId="2" xfId="0" applyNumberFormat="1" applyFont="1" applyFill="1" applyBorder="1" applyAlignment="1">
      <alignment horizontal="center" wrapText="1"/>
    </xf>
    <xf numFmtId="3" fontId="23" fillId="39" borderId="2" xfId="0" applyNumberFormat="1" applyFont="1" applyFill="1" applyBorder="1" applyAlignment="1">
      <alignment horizontal="center" wrapText="1"/>
    </xf>
    <xf numFmtId="2" fontId="23" fillId="39" borderId="18" xfId="0" applyNumberFormat="1" applyFont="1" applyFill="1" applyBorder="1" applyAlignment="1">
      <alignment horizontal="center" wrapText="1"/>
    </xf>
    <xf numFmtId="3" fontId="23" fillId="39" borderId="18" xfId="0" applyNumberFormat="1" applyFont="1" applyFill="1" applyBorder="1" applyAlignment="1">
      <alignment horizontal="center" wrapText="1"/>
    </xf>
    <xf numFmtId="2" fontId="23" fillId="39" borderId="2" xfId="0" applyNumberFormat="1" applyFont="1" applyFill="1" applyBorder="1" applyAlignment="1">
      <alignment horizontal="center" vertical="center" wrapText="1"/>
    </xf>
    <xf numFmtId="0" fontId="23" fillId="39" borderId="2" xfId="0" applyFont="1" applyFill="1" applyBorder="1" applyAlignment="1">
      <alignment horizontal="center" wrapText="1"/>
    </xf>
    <xf numFmtId="0" fontId="0" fillId="0" borderId="0" xfId="0"/>
    <xf numFmtId="1" fontId="23" fillId="39" borderId="2" xfId="0" applyNumberFormat="1" applyFont="1" applyFill="1" applyBorder="1" applyAlignment="1">
      <alignment horizontal="center" wrapText="1"/>
    </xf>
    <xf numFmtId="175" fontId="19" fillId="2" borderId="7" xfId="0" applyNumberFormat="1" applyFont="1" applyFill="1" applyBorder="1" applyAlignment="1">
      <alignment horizontal="center"/>
    </xf>
    <xf numFmtId="2" fontId="7" fillId="2" borderId="2" xfId="0" applyNumberFormat="1" applyFont="1" applyFill="1" applyBorder="1" applyAlignment="1">
      <alignment horizontal="center"/>
    </xf>
    <xf numFmtId="0" fontId="7" fillId="0" borderId="2" xfId="0" applyFont="1" applyBorder="1"/>
    <xf numFmtId="2" fontId="21" fillId="0" borderId="2" xfId="0" applyNumberFormat="1" applyFont="1" applyBorder="1" applyAlignment="1">
      <alignment horizontal="center" vertical="center" wrapText="1"/>
    </xf>
    <xf numFmtId="2" fontId="33" fillId="0" borderId="0" xfId="0" applyNumberFormat="1" applyFont="1" applyFill="1" applyBorder="1" applyAlignment="1">
      <alignment horizontal="center" vertical="center"/>
    </xf>
    <xf numFmtId="0" fontId="34" fillId="18" borderId="23" xfId="0" applyFont="1" applyFill="1" applyBorder="1" applyAlignment="1">
      <alignment horizontal="center" vertical="center" wrapText="1"/>
    </xf>
    <xf numFmtId="0" fontId="0" fillId="0" borderId="0" xfId="0"/>
    <xf numFmtId="166" fontId="7" fillId="0" borderId="2" xfId="0" applyNumberFormat="1" applyFont="1" applyBorder="1"/>
    <xf numFmtId="0" fontId="33" fillId="0" borderId="0" xfId="0" applyFont="1" applyAlignment="1">
      <alignment horizontal="center"/>
    </xf>
    <xf numFmtId="0" fontId="33" fillId="0" borderId="0" xfId="0" applyFont="1"/>
    <xf numFmtId="49" fontId="57" fillId="0" borderId="0" xfId="0" applyNumberFormat="1" applyFont="1" applyBorder="1" applyAlignment="1">
      <alignment horizontal="left" wrapText="1"/>
    </xf>
    <xf numFmtId="0" fontId="47" fillId="0" borderId="0" xfId="0" applyFont="1" applyAlignment="1">
      <alignment horizontal="center"/>
    </xf>
    <xf numFmtId="0" fontId="36" fillId="0" borderId="0" xfId="0" applyFont="1" applyBorder="1" applyAlignment="1">
      <alignment horizontal="center" wrapText="1"/>
    </xf>
    <xf numFmtId="0" fontId="0" fillId="0" borderId="0" xfId="0"/>
    <xf numFmtId="0" fontId="56" fillId="0" borderId="0" xfId="0" applyFont="1" applyBorder="1" applyAlignment="1">
      <alignment horizontal="center" vertical="center" wrapText="1"/>
    </xf>
    <xf numFmtId="0" fontId="56" fillId="21" borderId="0" xfId="0" applyFont="1" applyFill="1" applyBorder="1" applyAlignment="1">
      <alignment horizontal="center" vertical="center" wrapText="1"/>
    </xf>
    <xf numFmtId="1" fontId="29" fillId="21" borderId="2" xfId="0" applyNumberFormat="1" applyFont="1" applyFill="1" applyBorder="1" applyAlignment="1">
      <alignment horizontal="center" vertical="center" wrapText="1"/>
    </xf>
    <xf numFmtId="2" fontId="23" fillId="21" borderId="18" xfId="0" applyNumberFormat="1" applyFont="1" applyFill="1" applyBorder="1" applyAlignment="1">
      <alignment horizontal="center" wrapText="1"/>
    </xf>
    <xf numFmtId="2" fontId="0" fillId="21" borderId="0" xfId="0" applyNumberFormat="1" applyFill="1"/>
    <xf numFmtId="2" fontId="16" fillId="18" borderId="0" xfId="0" applyNumberFormat="1" applyFont="1" applyFill="1" applyBorder="1" applyAlignment="1">
      <alignment horizontal="center" vertical="center"/>
    </xf>
    <xf numFmtId="2" fontId="57" fillId="0" borderId="0" xfId="0" applyNumberFormat="1" applyFont="1" applyAlignment="1">
      <alignment horizontal="center" vertical="center" wrapText="1"/>
    </xf>
    <xf numFmtId="2" fontId="57" fillId="0" borderId="0" xfId="0" applyNumberFormat="1" applyFont="1" applyBorder="1" applyAlignment="1">
      <alignment horizontal="left" wrapText="1"/>
    </xf>
    <xf numFmtId="2" fontId="58" fillId="0" borderId="0" xfId="0" applyNumberFormat="1" applyFont="1" applyBorder="1" applyAlignment="1">
      <alignment horizontal="center" wrapText="1"/>
    </xf>
    <xf numFmtId="2" fontId="25" fillId="0" borderId="0" xfId="0" applyNumberFormat="1" applyFont="1" applyBorder="1" applyAlignment="1">
      <alignment horizontal="center" wrapText="1"/>
    </xf>
    <xf numFmtId="2" fontId="31" fillId="0" borderId="0" xfId="0" applyNumberFormat="1" applyFont="1" applyBorder="1" applyAlignment="1">
      <alignment horizontal="left" wrapText="1"/>
    </xf>
    <xf numFmtId="2" fontId="21" fillId="2" borderId="22" xfId="0" applyNumberFormat="1" applyFont="1" applyFill="1" applyBorder="1" applyAlignment="1">
      <alignment horizontal="center" vertical="center" wrapText="1"/>
    </xf>
    <xf numFmtId="2" fontId="21" fillId="22" borderId="22" xfId="0" applyNumberFormat="1" applyFont="1" applyFill="1" applyBorder="1" applyAlignment="1">
      <alignment horizontal="center" vertical="center" wrapText="1"/>
    </xf>
    <xf numFmtId="2" fontId="55" fillId="0" borderId="0" xfId="0" applyNumberFormat="1" applyFont="1" applyFill="1" applyBorder="1" applyAlignment="1">
      <alignment horizontal="right"/>
    </xf>
    <xf numFmtId="2" fontId="55" fillId="0" borderId="0" xfId="0" applyNumberFormat="1" applyFont="1" applyBorder="1" applyAlignment="1">
      <alignment horizontal="right"/>
    </xf>
    <xf numFmtId="2" fontId="15" fillId="19" borderId="22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/>
    </xf>
    <xf numFmtId="2" fontId="38" fillId="0" borderId="2" xfId="0" applyNumberFormat="1" applyFont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/>
    </xf>
    <xf numFmtId="174" fontId="12" fillId="0" borderId="2" xfId="0" applyNumberFormat="1" applyFont="1" applyFill="1" applyBorder="1" applyAlignment="1">
      <alignment horizontal="center" vertical="center"/>
    </xf>
    <xf numFmtId="4" fontId="12" fillId="0" borderId="2" xfId="0" applyNumberFormat="1" applyFont="1" applyFill="1" applyBorder="1" applyAlignment="1">
      <alignment horizontal="center" vertical="center"/>
    </xf>
    <xf numFmtId="166" fontId="12" fillId="0" borderId="2" xfId="0" applyNumberFormat="1" applyFont="1" applyFill="1" applyBorder="1" applyAlignment="1">
      <alignment horizontal="center" vertical="center"/>
    </xf>
    <xf numFmtId="2" fontId="12" fillId="0" borderId="2" xfId="0" applyNumberFormat="1" applyFont="1" applyFill="1" applyBorder="1" applyAlignment="1">
      <alignment horizontal="center" vertical="center"/>
    </xf>
    <xf numFmtId="2" fontId="12" fillId="0" borderId="0" xfId="0" applyNumberFormat="1" applyFont="1" applyFill="1" applyBorder="1" applyAlignment="1">
      <alignment horizontal="center" vertical="center"/>
    </xf>
    <xf numFmtId="1" fontId="21" fillId="0" borderId="8" xfId="0" applyNumberFormat="1" applyFont="1" applyFill="1" applyBorder="1" applyAlignment="1">
      <alignment horizontal="center" vertical="center"/>
    </xf>
    <xf numFmtId="1" fontId="21" fillId="0" borderId="18" xfId="0" applyNumberFormat="1" applyFont="1" applyFill="1" applyBorder="1" applyAlignment="1">
      <alignment horizontal="center" vertical="center"/>
    </xf>
    <xf numFmtId="2" fontId="21" fillId="6" borderId="18" xfId="0" applyNumberFormat="1" applyFont="1" applyFill="1" applyBorder="1" applyAlignment="1">
      <alignment horizontal="center"/>
    </xf>
    <xf numFmtId="1" fontId="35" fillId="39" borderId="18" xfId="0" applyNumberFormat="1" applyFont="1" applyFill="1" applyBorder="1" applyAlignment="1">
      <alignment horizontal="center" vertical="center"/>
    </xf>
    <xf numFmtId="1" fontId="21" fillId="39" borderId="18" xfId="0" applyNumberFormat="1" applyFont="1" applyFill="1" applyBorder="1" applyAlignment="1">
      <alignment horizontal="center" vertical="center" wrapText="1"/>
    </xf>
    <xf numFmtId="0" fontId="15" fillId="0" borderId="18" xfId="3" applyFont="1" applyFill="1" applyBorder="1" applyAlignment="1">
      <alignment horizontal="left" wrapText="1"/>
    </xf>
    <xf numFmtId="2" fontId="23" fillId="7" borderId="18" xfId="0" applyNumberFormat="1" applyFont="1" applyFill="1" applyBorder="1" applyAlignment="1">
      <alignment horizontal="center"/>
    </xf>
    <xf numFmtId="2" fontId="7" fillId="6" borderId="18" xfId="0" applyNumberFormat="1" applyFont="1" applyFill="1" applyBorder="1" applyAlignment="1">
      <alignment horizontal="center"/>
    </xf>
    <xf numFmtId="2" fontId="12" fillId="43" borderId="18" xfId="0" applyNumberFormat="1" applyFont="1" applyFill="1" applyBorder="1" applyAlignment="1">
      <alignment horizontal="center" vertical="center"/>
    </xf>
    <xf numFmtId="1" fontId="37" fillId="2" borderId="18" xfId="0" applyNumberFormat="1" applyFont="1" applyFill="1" applyBorder="1" applyAlignment="1">
      <alignment horizontal="center" vertical="center"/>
    </xf>
    <xf numFmtId="1" fontId="35" fillId="2" borderId="18" xfId="0" applyNumberFormat="1" applyFont="1" applyFill="1" applyBorder="1" applyAlignment="1">
      <alignment horizontal="center" vertical="center"/>
    </xf>
    <xf numFmtId="1" fontId="21" fillId="2" borderId="18" xfId="0" applyNumberFormat="1" applyFont="1" applyFill="1" applyBorder="1" applyAlignment="1">
      <alignment horizontal="center" vertical="center" wrapText="1"/>
    </xf>
    <xf numFmtId="2" fontId="10" fillId="9" borderId="18" xfId="0" applyNumberFormat="1" applyFont="1" applyFill="1" applyBorder="1" applyAlignment="1">
      <alignment horizontal="center"/>
    </xf>
    <xf numFmtId="2" fontId="23" fillId="41" borderId="18" xfId="0" applyNumberFormat="1" applyFont="1" applyFill="1" applyBorder="1" applyAlignment="1">
      <alignment horizontal="center"/>
    </xf>
    <xf numFmtId="2" fontId="12" fillId="9" borderId="18" xfId="0" applyNumberFormat="1" applyFont="1" applyFill="1" applyBorder="1" applyAlignment="1">
      <alignment horizontal="center" vertical="center"/>
    </xf>
    <xf numFmtId="2" fontId="15" fillId="0" borderId="2" xfId="3" applyNumberFormat="1" applyFont="1" applyFill="1" applyBorder="1" applyAlignment="1">
      <alignment horizontal="left" wrapText="1"/>
    </xf>
    <xf numFmtId="2" fontId="10" fillId="0" borderId="2" xfId="0" applyNumberFormat="1" applyFont="1" applyFill="1" applyBorder="1" applyAlignment="1">
      <alignment horizontal="center"/>
    </xf>
    <xf numFmtId="169" fontId="21" fillId="6" borderId="2" xfId="0" applyNumberFormat="1" applyFont="1" applyFill="1" applyBorder="1" applyAlignment="1">
      <alignment horizontal="center"/>
    </xf>
    <xf numFmtId="3" fontId="12" fillId="43" borderId="2" xfId="0" applyNumberFormat="1" applyFont="1" applyFill="1" applyBorder="1" applyAlignment="1">
      <alignment horizontal="center" vertical="center"/>
    </xf>
    <xf numFmtId="165" fontId="12" fillId="43" borderId="2" xfId="0" applyNumberFormat="1" applyFont="1" applyFill="1" applyBorder="1" applyAlignment="1">
      <alignment horizontal="center" vertical="center"/>
    </xf>
    <xf numFmtId="165" fontId="23" fillId="7" borderId="2" xfId="0" applyNumberFormat="1" applyFont="1" applyFill="1" applyBorder="1" applyAlignment="1">
      <alignment horizontal="center"/>
    </xf>
    <xf numFmtId="4" fontId="0" fillId="0" borderId="2" xfId="0" applyNumberFormat="1" applyFill="1" applyBorder="1" applyAlignment="1">
      <alignment horizontal="center" wrapText="1"/>
    </xf>
    <xf numFmtId="1" fontId="28" fillId="0" borderId="0" xfId="0" applyNumberFormat="1" applyFont="1" applyFill="1" applyBorder="1" applyAlignment="1">
      <alignment horizontal="center" vertical="center"/>
    </xf>
    <xf numFmtId="1" fontId="72" fillId="0" borderId="0" xfId="0" applyNumberFormat="1" applyFont="1" applyFill="1" applyBorder="1" applyAlignment="1">
      <alignment horizontal="center" vertical="center"/>
    </xf>
    <xf numFmtId="1" fontId="5" fillId="0" borderId="0" xfId="0" applyNumberFormat="1" applyFont="1" applyFill="1" applyBorder="1" applyAlignment="1">
      <alignment horizontal="center" vertical="center"/>
    </xf>
    <xf numFmtId="2" fontId="5" fillId="0" borderId="0" xfId="0" applyNumberFormat="1" applyFont="1" applyFill="1" applyBorder="1" applyAlignment="1">
      <alignment horizontal="center"/>
    </xf>
    <xf numFmtId="165" fontId="12" fillId="9" borderId="2" xfId="0" applyNumberFormat="1" applyFont="1" applyFill="1" applyBorder="1" applyAlignment="1">
      <alignment horizontal="center" vertical="center"/>
    </xf>
    <xf numFmtId="3" fontId="7" fillId="7" borderId="18" xfId="0" applyNumberFormat="1" applyFont="1" applyFill="1" applyBorder="1" applyAlignment="1">
      <alignment horizontal="center"/>
    </xf>
    <xf numFmtId="165" fontId="21" fillId="6" borderId="2" xfId="0" applyNumberFormat="1" applyFont="1" applyFill="1" applyBorder="1" applyAlignment="1">
      <alignment horizontal="center"/>
    </xf>
    <xf numFmtId="3" fontId="23" fillId="0" borderId="2" xfId="0" applyNumberFormat="1" applyFont="1" applyFill="1" applyBorder="1" applyAlignment="1">
      <alignment horizontal="left" wrapText="1"/>
    </xf>
    <xf numFmtId="3" fontId="23" fillId="2" borderId="2" xfId="0" applyNumberFormat="1" applyFont="1" applyFill="1" applyBorder="1" applyAlignment="1">
      <alignment horizontal="left" wrapText="1"/>
    </xf>
    <xf numFmtId="3" fontId="22" fillId="2" borderId="2" xfId="0" applyNumberFormat="1" applyFont="1" applyFill="1" applyBorder="1" applyAlignment="1">
      <alignment horizontal="left" wrapText="1"/>
    </xf>
    <xf numFmtId="3" fontId="46" fillId="22" borderId="2" xfId="0" applyNumberFormat="1" applyFont="1" applyFill="1" applyBorder="1" applyAlignment="1">
      <alignment horizontal="left" wrapText="1"/>
    </xf>
    <xf numFmtId="3" fontId="22" fillId="22" borderId="2" xfId="0" applyNumberFormat="1" applyFont="1" applyFill="1" applyBorder="1" applyAlignment="1">
      <alignment horizontal="left" wrapText="1"/>
    </xf>
    <xf numFmtId="3" fontId="15" fillId="31" borderId="2" xfId="0" applyNumberFormat="1" applyFont="1" applyFill="1" applyBorder="1" applyAlignment="1">
      <alignment wrapText="1"/>
    </xf>
    <xf numFmtId="0" fontId="57" fillId="0" borderId="0" xfId="0" applyFont="1" applyAlignment="1">
      <alignment horizontal="left" vertical="center" wrapText="1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2" fontId="21" fillId="0" borderId="2" xfId="0" applyNumberFormat="1" applyFont="1" applyBorder="1" applyAlignment="1">
      <alignment horizontal="center" vertical="center" wrapText="1"/>
    </xf>
    <xf numFmtId="0" fontId="47" fillId="0" borderId="0" xfId="0" applyFont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33" fillId="0" borderId="0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37" fillId="0" borderId="0" xfId="0" applyFont="1" applyBorder="1" applyAlignment="1">
      <alignment horizontal="center" vertical="center" wrapText="1"/>
    </xf>
    <xf numFmtId="0" fontId="23" fillId="22" borderId="2" xfId="0" applyFont="1" applyFill="1" applyBorder="1" applyAlignment="1">
      <alignment horizontal="center" vertical="center" wrapText="1"/>
    </xf>
    <xf numFmtId="0" fontId="21" fillId="22" borderId="2" xfId="0" applyFont="1" applyFill="1" applyBorder="1" applyAlignment="1">
      <alignment horizontal="center" vertical="center" wrapText="1"/>
    </xf>
    <xf numFmtId="3" fontId="47" fillId="0" borderId="0" xfId="0" applyNumberFormat="1" applyFont="1" applyAlignment="1">
      <alignment horizontal="center" vertical="center"/>
    </xf>
    <xf numFmtId="3" fontId="33" fillId="0" borderId="0" xfId="0" applyNumberFormat="1" applyFont="1" applyBorder="1" applyAlignment="1">
      <alignment horizontal="center" vertical="center" wrapText="1"/>
    </xf>
    <xf numFmtId="3" fontId="37" fillId="0" borderId="0" xfId="0" applyNumberFormat="1" applyFont="1" applyBorder="1" applyAlignment="1">
      <alignment horizontal="center" vertical="center" wrapText="1"/>
    </xf>
    <xf numFmtId="3" fontId="0" fillId="0" borderId="0" xfId="0" applyNumberFormat="1" applyAlignment="1">
      <alignment horizontal="center" vertical="center"/>
    </xf>
    <xf numFmtId="1" fontId="0" fillId="31" borderId="2" xfId="0" applyNumberFormat="1" applyFill="1" applyBorder="1" applyAlignment="1">
      <alignment horizontal="center" vertical="center"/>
    </xf>
    <xf numFmtId="1" fontId="10" fillId="31" borderId="2" xfId="0" applyNumberFormat="1" applyFont="1" applyFill="1" applyBorder="1" applyAlignment="1">
      <alignment horizontal="center" vertical="center"/>
    </xf>
    <xf numFmtId="1" fontId="12" fillId="31" borderId="2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/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horizontal="right"/>
    </xf>
    <xf numFmtId="0" fontId="8" fillId="0" borderId="0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0" xfId="0" applyFont="1" applyAlignment="1">
      <alignment horizontal="right"/>
    </xf>
    <xf numFmtId="0" fontId="8" fillId="0" borderId="0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0" fillId="0" borderId="0" xfId="0"/>
    <xf numFmtId="0" fontId="5" fillId="0" borderId="2" xfId="0" applyFont="1" applyBorder="1" applyAlignment="1">
      <alignment horizontal="left" wrapText="1"/>
    </xf>
    <xf numFmtId="0" fontId="15" fillId="0" borderId="2" xfId="0" applyFont="1" applyBorder="1" applyAlignment="1">
      <alignment horizontal="center" vertical="center"/>
    </xf>
    <xf numFmtId="1" fontId="29" fillId="0" borderId="2" xfId="0" applyNumberFormat="1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wrapText="1"/>
    </xf>
    <xf numFmtId="0" fontId="15" fillId="37" borderId="2" xfId="2" applyFill="1" applyBorder="1"/>
    <xf numFmtId="0" fontId="15" fillId="3" borderId="2" xfId="2" applyFill="1" applyBorder="1"/>
    <xf numFmtId="3" fontId="23" fillId="3" borderId="2" xfId="0" applyNumberFormat="1" applyFont="1" applyFill="1" applyBorder="1" applyAlignment="1">
      <alignment horizontal="center" wrapText="1"/>
    </xf>
    <xf numFmtId="174" fontId="23" fillId="3" borderId="2" xfId="0" applyNumberFormat="1" applyFont="1" applyFill="1" applyBorder="1" applyAlignment="1">
      <alignment horizontal="center" wrapText="1"/>
    </xf>
    <xf numFmtId="4" fontId="23" fillId="3" borderId="2" xfId="0" applyNumberFormat="1" applyFont="1" applyFill="1" applyBorder="1" applyAlignment="1">
      <alignment horizontal="center" wrapText="1"/>
    </xf>
    <xf numFmtId="0" fontId="0" fillId="0" borderId="0" xfId="0"/>
    <xf numFmtId="4" fontId="47" fillId="0" borderId="7" xfId="3" applyNumberFormat="1" applyFont="1" applyFill="1" applyBorder="1" applyAlignment="1">
      <alignment horizontal="center" wrapText="1"/>
    </xf>
    <xf numFmtId="4" fontId="15" fillId="0" borderId="7" xfId="3" applyNumberFormat="1" applyFont="1" applyFill="1" applyBorder="1" applyAlignment="1">
      <alignment horizontal="center" wrapText="1"/>
    </xf>
    <xf numFmtId="0" fontId="7" fillId="16" borderId="2" xfId="3" applyFont="1" applyFill="1" applyBorder="1" applyAlignment="1">
      <alignment horizontal="center" wrapText="1"/>
    </xf>
    <xf numFmtId="0" fontId="15" fillId="21" borderId="2" xfId="3" applyFont="1" applyFill="1" applyBorder="1" applyAlignment="1">
      <alignment horizontal="left" wrapText="1"/>
    </xf>
    <xf numFmtId="4" fontId="47" fillId="21" borderId="2" xfId="4" applyNumberFormat="1" applyFont="1" applyFill="1" applyBorder="1" applyAlignment="1">
      <alignment horizontal="left" wrapText="1"/>
    </xf>
    <xf numFmtId="4" fontId="21" fillId="2" borderId="2" xfId="0" applyNumberFormat="1" applyFont="1" applyFill="1" applyBorder="1" applyAlignment="1">
      <alignment horizontal="center" vertical="center" wrapText="1"/>
    </xf>
    <xf numFmtId="4" fontId="47" fillId="18" borderId="2" xfId="4" applyNumberFormat="1" applyFont="1" applyFill="1" applyBorder="1" applyAlignment="1">
      <alignment horizontal="center"/>
    </xf>
    <xf numFmtId="4" fontId="49" fillId="18" borderId="2" xfId="4" applyNumberFormat="1" applyFont="1" applyFill="1" applyBorder="1" applyAlignment="1">
      <alignment horizontal="center"/>
    </xf>
    <xf numFmtId="4" fontId="15" fillId="18" borderId="2" xfId="3" applyNumberFormat="1" applyFont="1" applyFill="1" applyBorder="1" applyAlignment="1">
      <alignment horizontal="center" wrapText="1"/>
    </xf>
    <xf numFmtId="4" fontId="47" fillId="18" borderId="5" xfId="3" applyNumberFormat="1" applyFont="1" applyFill="1" applyBorder="1" applyAlignment="1">
      <alignment horizontal="center" wrapText="1"/>
    </xf>
    <xf numFmtId="0" fontId="15" fillId="0" borderId="0" xfId="0" applyFont="1" applyAlignment="1">
      <alignment horizontal="right"/>
    </xf>
    <xf numFmtId="0" fontId="8" fillId="0" borderId="0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0" fillId="0" borderId="0" xfId="0"/>
    <xf numFmtId="0" fontId="5" fillId="0" borderId="2" xfId="0" applyFont="1" applyBorder="1" applyAlignment="1">
      <alignment horizontal="left" wrapText="1"/>
    </xf>
    <xf numFmtId="0" fontId="15" fillId="0" borderId="2" xfId="0" applyFont="1" applyBorder="1" applyAlignment="1">
      <alignment horizontal="center" vertical="center"/>
    </xf>
    <xf numFmtId="0" fontId="0" fillId="0" borderId="0" xfId="0"/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horizontal="right"/>
    </xf>
    <xf numFmtId="0" fontId="8" fillId="0" borderId="0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wrapText="1"/>
    </xf>
    <xf numFmtId="0" fontId="21" fillId="0" borderId="2" xfId="0" applyFont="1" applyBorder="1" applyAlignment="1">
      <alignment horizontal="right" wrapText="1"/>
    </xf>
    <xf numFmtId="0" fontId="15" fillId="2" borderId="2" xfId="0" applyFont="1" applyFill="1" applyBorder="1" applyAlignment="1">
      <alignment horizontal="center"/>
    </xf>
    <xf numFmtId="0" fontId="5" fillId="0" borderId="2" xfId="0" applyFont="1" applyBorder="1"/>
    <xf numFmtId="0" fontId="72" fillId="0" borderId="2" xfId="0" applyFont="1" applyBorder="1" applyAlignment="1">
      <alignment horizontal="center" vertical="center"/>
    </xf>
    <xf numFmtId="0" fontId="15" fillId="0" borderId="2" xfId="0" applyFont="1" applyFill="1" applyBorder="1" applyAlignment="1">
      <alignment horizontal="left" vertical="center" wrapText="1"/>
    </xf>
    <xf numFmtId="2" fontId="15" fillId="0" borderId="2" xfId="0" applyNumberFormat="1" applyFont="1" applyFill="1" applyBorder="1" applyAlignment="1">
      <alignment horizontal="center" vertical="center" wrapText="1"/>
    </xf>
    <xf numFmtId="174" fontId="5" fillId="0" borderId="2" xfId="0" applyNumberFormat="1" applyFont="1" applyFill="1" applyBorder="1" applyAlignment="1">
      <alignment horizontal="center"/>
    </xf>
    <xf numFmtId="4" fontId="15" fillId="16" borderId="2" xfId="3" applyNumberFormat="1" applyFont="1" applyFill="1" applyBorder="1" applyAlignment="1">
      <alignment horizontal="center" wrapText="1"/>
    </xf>
    <xf numFmtId="4" fontId="49" fillId="16" borderId="2" xfId="4" applyNumberFormat="1" applyFont="1" applyFill="1" applyBorder="1" applyAlignment="1">
      <alignment horizontal="center"/>
    </xf>
    <xf numFmtId="2" fontId="47" fillId="16" borderId="5" xfId="3" applyNumberFormat="1" applyFont="1" applyFill="1" applyBorder="1" applyAlignment="1">
      <alignment horizontal="center" wrapText="1"/>
    </xf>
    <xf numFmtId="4" fontId="47" fillId="16" borderId="5" xfId="3" applyNumberFormat="1" applyFont="1" applyFill="1" applyBorder="1" applyAlignment="1">
      <alignment horizontal="center" wrapText="1"/>
    </xf>
    <xf numFmtId="4" fontId="47" fillId="16" borderId="5" xfId="3" applyNumberFormat="1" applyFont="1" applyFill="1" applyBorder="1" applyAlignment="1">
      <alignment horizontal="center" vertical="center" wrapText="1"/>
    </xf>
    <xf numFmtId="0" fontId="57" fillId="0" borderId="0" xfId="0" applyFont="1" applyBorder="1" applyAlignment="1">
      <alignment horizontal="left" wrapText="1"/>
    </xf>
    <xf numFmtId="166" fontId="15" fillId="0" borderId="2" xfId="0" applyNumberFormat="1" applyFont="1" applyFill="1" applyBorder="1" applyAlignment="1">
      <alignment horizontal="center" vertical="center" wrapText="1"/>
    </xf>
    <xf numFmtId="4" fontId="22" fillId="2" borderId="18" xfId="0" applyNumberFormat="1" applyFont="1" applyFill="1" applyBorder="1" applyAlignment="1">
      <alignment horizontal="center" wrapText="1"/>
    </xf>
    <xf numFmtId="4" fontId="22" fillId="2" borderId="47" xfId="0" applyNumberFormat="1" applyFont="1" applyFill="1" applyBorder="1" applyAlignment="1">
      <alignment horizontal="center" wrapText="1"/>
    </xf>
    <xf numFmtId="0" fontId="0" fillId="0" borderId="47" xfId="0" applyBorder="1"/>
    <xf numFmtId="1" fontId="27" fillId="0" borderId="2" xfId="0" applyNumberFormat="1" applyFont="1" applyFill="1" applyBorder="1" applyAlignment="1">
      <alignment horizontal="center" vertical="center" wrapText="1"/>
    </xf>
    <xf numFmtId="4" fontId="22" fillId="2" borderId="21" xfId="0" applyNumberFormat="1" applyFont="1" applyFill="1" applyBorder="1" applyAlignment="1">
      <alignment horizontal="center" vertical="center" wrapText="1"/>
    </xf>
    <xf numFmtId="1" fontId="15" fillId="0" borderId="2" xfId="0" applyNumberFormat="1" applyFont="1" applyFill="1" applyBorder="1" applyAlignment="1">
      <alignment horizontal="center" vertical="center" wrapText="1"/>
    </xf>
    <xf numFmtId="4" fontId="29" fillId="0" borderId="2" xfId="0" applyNumberFormat="1" applyFont="1" applyFill="1" applyBorder="1" applyAlignment="1">
      <alignment horizontal="center" vertical="center" wrapText="1"/>
    </xf>
    <xf numFmtId="4" fontId="14" fillId="31" borderId="2" xfId="0" applyNumberFormat="1" applyFont="1" applyFill="1" applyBorder="1" applyAlignment="1">
      <alignment horizontal="center" vertical="center"/>
    </xf>
    <xf numFmtId="2" fontId="0" fillId="31" borderId="2" xfId="0" applyNumberFormat="1" applyFill="1" applyBorder="1" applyAlignment="1">
      <alignment horizontal="center" vertical="center"/>
    </xf>
    <xf numFmtId="2" fontId="10" fillId="31" borderId="2" xfId="0" applyNumberFormat="1" applyFont="1" applyFill="1" applyBorder="1" applyAlignment="1">
      <alignment horizontal="center" vertical="center"/>
    </xf>
    <xf numFmtId="2" fontId="12" fillId="31" borderId="2" xfId="0" applyNumberFormat="1" applyFont="1" applyFill="1" applyBorder="1" applyAlignment="1">
      <alignment horizontal="center" vertical="center"/>
    </xf>
    <xf numFmtId="0" fontId="16" fillId="0" borderId="0" xfId="3" applyFont="1" applyAlignment="1">
      <alignment horizontal="center"/>
    </xf>
    <xf numFmtId="0" fontId="10" fillId="0" borderId="0" xfId="3" applyFont="1" applyAlignment="1">
      <alignment horizontal="center"/>
    </xf>
    <xf numFmtId="0" fontId="17" fillId="0" borderId="0" xfId="3" applyFont="1" applyBorder="1" applyAlignment="1">
      <alignment vertical="center" wrapText="1"/>
    </xf>
    <xf numFmtId="0" fontId="17" fillId="0" borderId="1" xfId="3" applyFont="1" applyBorder="1" applyAlignment="1">
      <alignment horizontal="right" vertical="center" wrapText="1"/>
    </xf>
    <xf numFmtId="0" fontId="15" fillId="21" borderId="2" xfId="2" applyFont="1" applyFill="1" applyBorder="1" applyAlignment="1">
      <alignment wrapText="1"/>
    </xf>
    <xf numFmtId="0" fontId="15" fillId="21" borderId="2" xfId="2" applyFill="1" applyBorder="1" applyAlignment="1">
      <alignment wrapText="1"/>
    </xf>
    <xf numFmtId="0" fontId="7" fillId="21" borderId="2" xfId="2" applyFont="1" applyFill="1" applyBorder="1" applyAlignment="1">
      <alignment horizontal="center" vertical="center" wrapText="1"/>
    </xf>
    <xf numFmtId="0" fontId="15" fillId="0" borderId="0" xfId="2" applyAlignment="1">
      <alignment wrapText="1"/>
    </xf>
    <xf numFmtId="0" fontId="16" fillId="0" borderId="0" xfId="2" applyFont="1" applyAlignment="1">
      <alignment horizontal="center" vertical="center" wrapText="1"/>
    </xf>
    <xf numFmtId="0" fontId="15" fillId="21" borderId="22" xfId="2" applyFont="1" applyFill="1" applyBorder="1" applyAlignment="1">
      <alignment horizontal="center" vertical="center" wrapText="1"/>
    </xf>
    <xf numFmtId="0" fontId="15" fillId="21" borderId="5" xfId="2" applyFont="1" applyFill="1" applyBorder="1" applyAlignment="1">
      <alignment horizontal="center" vertical="center" wrapText="1"/>
    </xf>
    <xf numFmtId="0" fontId="15" fillId="5" borderId="24" xfId="2" applyFill="1" applyBorder="1" applyAlignment="1">
      <alignment horizontal="center" vertical="center" wrapText="1"/>
    </xf>
    <xf numFmtId="0" fontId="15" fillId="5" borderId="25" xfId="2" applyFill="1" applyBorder="1" applyAlignment="1">
      <alignment horizontal="center" vertical="center" wrapText="1"/>
    </xf>
    <xf numFmtId="0" fontId="15" fillId="5" borderId="26" xfId="2" applyFill="1" applyBorder="1" applyAlignment="1">
      <alignment horizontal="center" vertical="center" wrapText="1"/>
    </xf>
    <xf numFmtId="0" fontId="15" fillId="10" borderId="18" xfId="2" applyFill="1" applyBorder="1" applyAlignment="1">
      <alignment horizontal="center" vertical="center" wrapText="1"/>
    </xf>
    <xf numFmtId="0" fontId="15" fillId="10" borderId="23" xfId="2" applyFill="1" applyBorder="1" applyAlignment="1">
      <alignment horizontal="center" vertical="center" wrapText="1"/>
    </xf>
    <xf numFmtId="0" fontId="15" fillId="10" borderId="7" xfId="2" applyFill="1" applyBorder="1" applyAlignment="1">
      <alignment horizontal="center" vertical="center" wrapText="1"/>
    </xf>
    <xf numFmtId="0" fontId="15" fillId="32" borderId="18" xfId="2" applyFill="1" applyBorder="1" applyAlignment="1">
      <alignment horizontal="center" vertical="center" wrapText="1"/>
    </xf>
    <xf numFmtId="0" fontId="15" fillId="32" borderId="23" xfId="2" applyFill="1" applyBorder="1" applyAlignment="1">
      <alignment horizontal="center" vertical="center" wrapText="1"/>
    </xf>
    <xf numFmtId="0" fontId="15" fillId="32" borderId="7" xfId="2" applyFill="1" applyBorder="1" applyAlignment="1">
      <alignment horizontal="center" vertical="center" wrapText="1"/>
    </xf>
    <xf numFmtId="0" fontId="36" fillId="21" borderId="18" xfId="0" applyFont="1" applyFill="1" applyBorder="1" applyAlignment="1">
      <alignment horizontal="center" vertical="center"/>
    </xf>
    <xf numFmtId="0" fontId="36" fillId="21" borderId="1" xfId="0" applyFont="1" applyFill="1" applyBorder="1" applyAlignment="1">
      <alignment horizontal="center" vertical="center"/>
    </xf>
    <xf numFmtId="0" fontId="36" fillId="21" borderId="23" xfId="0" applyFont="1" applyFill="1" applyBorder="1" applyAlignment="1">
      <alignment horizontal="center" vertical="center"/>
    </xf>
    <xf numFmtId="0" fontId="36" fillId="21" borderId="7" xfId="0" applyFont="1" applyFill="1" applyBorder="1" applyAlignment="1">
      <alignment horizontal="center" vertical="center"/>
    </xf>
    <xf numFmtId="0" fontId="20" fillId="0" borderId="18" xfId="0" applyFont="1" applyFill="1" applyBorder="1" applyAlignment="1">
      <alignment horizontal="center"/>
    </xf>
    <xf numFmtId="0" fontId="20" fillId="0" borderId="23" xfId="0" applyFont="1" applyFill="1" applyBorder="1" applyAlignment="1">
      <alignment horizontal="center"/>
    </xf>
    <xf numFmtId="0" fontId="20" fillId="0" borderId="7" xfId="0" applyFont="1" applyFill="1" applyBorder="1" applyAlignment="1">
      <alignment horizontal="center"/>
    </xf>
    <xf numFmtId="0" fontId="20" fillId="21" borderId="18" xfId="0" applyFont="1" applyFill="1" applyBorder="1" applyAlignment="1">
      <alignment horizontal="right"/>
    </xf>
    <xf numFmtId="0" fontId="20" fillId="21" borderId="7" xfId="0" applyFont="1" applyFill="1" applyBorder="1" applyAlignment="1">
      <alignment horizontal="right"/>
    </xf>
    <xf numFmtId="0" fontId="41" fillId="2" borderId="18" xfId="0" applyFont="1" applyFill="1" applyBorder="1" applyAlignment="1">
      <alignment horizontal="right"/>
    </xf>
    <xf numFmtId="0" fontId="41" fillId="2" borderId="7" xfId="0" applyFont="1" applyFill="1" applyBorder="1" applyAlignment="1">
      <alignment horizontal="right"/>
    </xf>
    <xf numFmtId="0" fontId="37" fillId="21" borderId="18" xfId="0" applyFont="1" applyFill="1" applyBorder="1" applyAlignment="1">
      <alignment horizontal="right"/>
    </xf>
    <xf numFmtId="0" fontId="37" fillId="21" borderId="7" xfId="0" applyFont="1" applyFill="1" applyBorder="1" applyAlignment="1">
      <alignment horizontal="right"/>
    </xf>
    <xf numFmtId="0" fontId="9" fillId="0" borderId="2" xfId="0" applyFont="1" applyBorder="1"/>
    <xf numFmtId="0" fontId="35" fillId="2" borderId="18" xfId="0" applyFont="1" applyFill="1" applyBorder="1" applyAlignment="1">
      <alignment horizontal="right"/>
    </xf>
    <xf numFmtId="0" fontId="35" fillId="2" borderId="7" xfId="0" applyFont="1" applyFill="1" applyBorder="1" applyAlignment="1">
      <alignment horizontal="right"/>
    </xf>
    <xf numFmtId="0" fontId="15" fillId="28" borderId="2" xfId="2" applyFill="1" applyBorder="1" applyAlignment="1">
      <alignment wrapText="1"/>
    </xf>
    <xf numFmtId="0" fontId="45" fillId="2" borderId="18" xfId="0" applyFont="1" applyFill="1" applyBorder="1" applyAlignment="1">
      <alignment horizontal="center" vertical="center" wrapText="1"/>
    </xf>
    <xf numFmtId="0" fontId="45" fillId="2" borderId="23" xfId="0" applyFont="1" applyFill="1" applyBorder="1" applyAlignment="1">
      <alignment horizontal="center" vertical="center" wrapText="1"/>
    </xf>
    <xf numFmtId="0" fontId="45" fillId="2" borderId="7" xfId="0" applyFont="1" applyFill="1" applyBorder="1" applyAlignment="1">
      <alignment horizontal="center" vertical="center" wrapText="1"/>
    </xf>
    <xf numFmtId="0" fontId="45" fillId="8" borderId="18" xfId="0" applyFont="1" applyFill="1" applyBorder="1" applyAlignment="1">
      <alignment horizontal="center" vertical="center" wrapText="1"/>
    </xf>
    <xf numFmtId="0" fontId="45" fillId="8" borderId="23" xfId="0" applyFont="1" applyFill="1" applyBorder="1" applyAlignment="1">
      <alignment horizontal="center" vertical="center" wrapText="1"/>
    </xf>
    <xf numFmtId="0" fontId="56" fillId="0" borderId="1" xfId="0" applyFont="1" applyBorder="1" applyAlignment="1">
      <alignment horizontal="center" vertical="center" wrapText="1"/>
    </xf>
    <xf numFmtId="2" fontId="30" fillId="2" borderId="18" xfId="0" applyNumberFormat="1" applyFont="1" applyFill="1" applyBorder="1" applyAlignment="1">
      <alignment horizontal="center" vertical="center" wrapText="1"/>
    </xf>
    <xf numFmtId="2" fontId="30" fillId="2" borderId="23" xfId="0" applyNumberFormat="1" applyFont="1" applyFill="1" applyBorder="1" applyAlignment="1">
      <alignment horizontal="center" vertical="center" wrapText="1"/>
    </xf>
    <xf numFmtId="2" fontId="30" fillId="2" borderId="7" xfId="0" applyNumberFormat="1" applyFont="1" applyFill="1" applyBorder="1" applyAlignment="1">
      <alignment horizontal="center" vertical="center" wrapText="1"/>
    </xf>
    <xf numFmtId="0" fontId="44" fillId="0" borderId="22" xfId="0" applyFont="1" applyBorder="1" applyAlignment="1">
      <alignment horizontal="center" vertical="center" wrapText="1"/>
    </xf>
    <xf numFmtId="0" fontId="44" fillId="0" borderId="5" xfId="0" applyFont="1" applyBorder="1" applyAlignment="1">
      <alignment horizontal="center" vertical="center" wrapText="1"/>
    </xf>
    <xf numFmtId="1" fontId="23" fillId="0" borderId="22" xfId="0" applyNumberFormat="1" applyFont="1" applyBorder="1" applyAlignment="1">
      <alignment horizontal="center" vertical="center" wrapText="1"/>
    </xf>
    <xf numFmtId="1" fontId="23" fillId="0" borderId="5" xfId="0" applyNumberFormat="1" applyFont="1" applyBorder="1" applyAlignment="1">
      <alignment horizontal="center" vertical="center" wrapText="1"/>
    </xf>
    <xf numFmtId="0" fontId="37" fillId="0" borderId="22" xfId="0" applyFont="1" applyFill="1" applyBorder="1" applyAlignment="1">
      <alignment horizontal="center" vertical="center" wrapText="1"/>
    </xf>
    <xf numFmtId="0" fontId="37" fillId="0" borderId="5" xfId="0" applyFont="1" applyFill="1" applyBorder="1" applyAlignment="1">
      <alignment horizontal="center" vertical="center" wrapText="1"/>
    </xf>
    <xf numFmtId="2" fontId="23" fillId="21" borderId="22" xfId="0" applyNumberFormat="1" applyFont="1" applyFill="1" applyBorder="1" applyAlignment="1">
      <alignment horizontal="center" vertical="center" wrapText="1"/>
    </xf>
    <xf numFmtId="2" fontId="23" fillId="21" borderId="5" xfId="0" applyNumberFormat="1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5" fillId="0" borderId="18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45" fillId="15" borderId="23" xfId="0" applyFont="1" applyFill="1" applyBorder="1" applyAlignment="1">
      <alignment vertical="center"/>
    </xf>
    <xf numFmtId="0" fontId="0" fillId="2" borderId="2" xfId="0" applyFill="1" applyBorder="1" applyAlignment="1">
      <alignment horizontal="center" vertical="center"/>
    </xf>
    <xf numFmtId="0" fontId="45" fillId="13" borderId="18" xfId="0" applyFont="1" applyFill="1" applyBorder="1" applyAlignment="1">
      <alignment horizontal="center" vertical="center" wrapText="1"/>
    </xf>
    <xf numFmtId="0" fontId="45" fillId="13" borderId="23" xfId="0" applyFont="1" applyFill="1" applyBorder="1" applyAlignment="1">
      <alignment horizontal="center" vertical="center" wrapText="1"/>
    </xf>
    <xf numFmtId="0" fontId="45" fillId="13" borderId="7" xfId="0" applyFont="1" applyFill="1" applyBorder="1" applyAlignment="1">
      <alignment horizontal="center" vertical="center" wrapText="1"/>
    </xf>
    <xf numFmtId="0" fontId="45" fillId="14" borderId="18" xfId="0" applyFont="1" applyFill="1" applyBorder="1" applyAlignment="1">
      <alignment horizontal="center" vertical="center" wrapText="1"/>
    </xf>
    <xf numFmtId="0" fontId="45" fillId="14" borderId="23" xfId="0" applyFont="1" applyFill="1" applyBorder="1" applyAlignment="1">
      <alignment horizontal="center" vertical="center" wrapText="1"/>
    </xf>
    <xf numFmtId="0" fontId="45" fillId="14" borderId="7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left" wrapText="1"/>
    </xf>
    <xf numFmtId="0" fontId="57" fillId="0" borderId="0" xfId="0" applyFont="1" applyAlignment="1">
      <alignment horizontal="right" vertical="center" wrapText="1"/>
    </xf>
    <xf numFmtId="0" fontId="57" fillId="0" borderId="0" xfId="0" applyFont="1" applyAlignment="1">
      <alignment horizontal="right"/>
    </xf>
    <xf numFmtId="0" fontId="58" fillId="0" borderId="0" xfId="0" applyFont="1" applyBorder="1" applyAlignment="1">
      <alignment horizontal="center" wrapText="1"/>
    </xf>
    <xf numFmtId="0" fontId="24" fillId="0" borderId="22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24" fillId="0" borderId="5" xfId="0" applyFont="1" applyFill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 wrapText="1"/>
    </xf>
    <xf numFmtId="0" fontId="15" fillId="0" borderId="22" xfId="0" applyFont="1" applyBorder="1" applyAlignment="1">
      <alignment horizontal="center" vertical="center" wrapText="1"/>
    </xf>
    <xf numFmtId="0" fontId="15" fillId="0" borderId="21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166" fontId="12" fillId="14" borderId="2" xfId="0" applyNumberFormat="1" applyFont="1" applyFill="1" applyBorder="1" applyAlignment="1">
      <alignment horizontal="center" vertical="center" wrapText="1"/>
    </xf>
    <xf numFmtId="166" fontId="12" fillId="8" borderId="2" xfId="0" applyNumberFormat="1" applyFont="1" applyFill="1" applyBorder="1" applyAlignment="1">
      <alignment horizontal="center" vertical="center" wrapText="1"/>
    </xf>
    <xf numFmtId="166" fontId="12" fillId="8" borderId="2" xfId="0" applyNumberFormat="1" applyFont="1" applyFill="1" applyBorder="1" applyAlignment="1">
      <alignment horizontal="center" vertical="center"/>
    </xf>
    <xf numFmtId="2" fontId="33" fillId="0" borderId="0" xfId="0" applyNumberFormat="1" applyFont="1" applyFill="1" applyBorder="1" applyAlignment="1">
      <alignment horizontal="center" vertical="center"/>
    </xf>
    <xf numFmtId="2" fontId="17" fillId="18" borderId="18" xfId="0" applyNumberFormat="1" applyFont="1" applyFill="1" applyBorder="1" applyAlignment="1">
      <alignment horizontal="center" vertical="center"/>
    </xf>
    <xf numFmtId="2" fontId="17" fillId="18" borderId="23" xfId="0" applyNumberFormat="1" applyFont="1" applyFill="1" applyBorder="1" applyAlignment="1">
      <alignment horizontal="center" vertical="center"/>
    </xf>
    <xf numFmtId="2" fontId="17" fillId="18" borderId="7" xfId="0" applyNumberFormat="1" applyFont="1" applyFill="1" applyBorder="1" applyAlignment="1">
      <alignment horizontal="center" vertical="center"/>
    </xf>
    <xf numFmtId="166" fontId="12" fillId="8" borderId="18" xfId="0" applyNumberFormat="1" applyFont="1" applyFill="1" applyBorder="1" applyAlignment="1">
      <alignment horizontal="center" vertical="center" wrapText="1"/>
    </xf>
    <xf numFmtId="166" fontId="12" fillId="8" borderId="23" xfId="0" applyNumberFormat="1" applyFont="1" applyFill="1" applyBorder="1" applyAlignment="1">
      <alignment horizontal="center" vertical="center"/>
    </xf>
    <xf numFmtId="1" fontId="15" fillId="0" borderId="2" xfId="0" applyNumberFormat="1" applyFont="1" applyBorder="1" applyAlignment="1">
      <alignment horizontal="center" vertical="center" wrapText="1"/>
    </xf>
    <xf numFmtId="166" fontId="12" fillId="2" borderId="18" xfId="0" applyNumberFormat="1" applyFont="1" applyFill="1" applyBorder="1" applyAlignment="1">
      <alignment horizontal="center" vertical="center" wrapText="1"/>
    </xf>
    <xf numFmtId="166" fontId="12" fillId="2" borderId="23" xfId="0" applyNumberFormat="1" applyFont="1" applyFill="1" applyBorder="1" applyAlignment="1">
      <alignment horizontal="center" vertical="center" wrapText="1"/>
    </xf>
    <xf numFmtId="166" fontId="12" fillId="2" borderId="7" xfId="0" applyNumberFormat="1" applyFont="1" applyFill="1" applyBorder="1" applyAlignment="1">
      <alignment horizontal="center" vertical="center" wrapText="1"/>
    </xf>
    <xf numFmtId="166" fontId="12" fillId="13" borderId="23" xfId="0" applyNumberFormat="1" applyFont="1" applyFill="1" applyBorder="1" applyAlignment="1">
      <alignment horizontal="center" vertical="center" wrapText="1"/>
    </xf>
    <xf numFmtId="166" fontId="12" fillId="13" borderId="7" xfId="0" applyNumberFormat="1" applyFont="1" applyFill="1" applyBorder="1" applyAlignment="1">
      <alignment horizontal="center" vertical="center" wrapText="1"/>
    </xf>
    <xf numFmtId="1" fontId="21" fillId="0" borderId="2" xfId="0" applyNumberFormat="1" applyFont="1" applyBorder="1" applyAlignment="1">
      <alignment horizontal="center" vertical="center" wrapText="1"/>
    </xf>
    <xf numFmtId="166" fontId="12" fillId="14" borderId="18" xfId="0" applyNumberFormat="1" applyFont="1" applyFill="1" applyBorder="1" applyAlignment="1">
      <alignment horizontal="center" vertical="center" wrapText="1"/>
    </xf>
    <xf numFmtId="166" fontId="12" fillId="14" borderId="23" xfId="0" applyNumberFormat="1" applyFont="1" applyFill="1" applyBorder="1" applyAlignment="1">
      <alignment horizontal="center" vertical="center" wrapText="1"/>
    </xf>
    <xf numFmtId="0" fontId="23" fillId="0" borderId="2" xfId="0" applyFont="1" applyBorder="1" applyAlignment="1">
      <alignment vertical="center" wrapText="1"/>
    </xf>
    <xf numFmtId="0" fontId="23" fillId="0" borderId="2" xfId="0" applyFont="1" applyBorder="1" applyAlignment="1">
      <alignment horizontal="center" vertical="center" wrapText="1"/>
    </xf>
    <xf numFmtId="1" fontId="23" fillId="0" borderId="2" xfId="0" applyNumberFormat="1" applyFont="1" applyBorder="1" applyAlignment="1">
      <alignment horizontal="center" vertical="center" wrapText="1"/>
    </xf>
    <xf numFmtId="2" fontId="23" fillId="0" borderId="2" xfId="0" applyNumberFormat="1" applyFont="1" applyBorder="1" applyAlignment="1">
      <alignment horizontal="center" vertical="center" wrapText="1"/>
    </xf>
    <xf numFmtId="2" fontId="21" fillId="0" borderId="2" xfId="0" applyNumberFormat="1" applyFont="1" applyBorder="1" applyAlignment="1">
      <alignment horizontal="center" vertical="center" wrapText="1"/>
    </xf>
    <xf numFmtId="0" fontId="0" fillId="21" borderId="22" xfId="0" applyFill="1" applyBorder="1" applyAlignment="1">
      <alignment horizontal="center" vertical="center"/>
    </xf>
    <xf numFmtId="0" fontId="0" fillId="21" borderId="21" xfId="0" applyFill="1" applyBorder="1" applyAlignment="1">
      <alignment horizontal="center" vertical="center"/>
    </xf>
    <xf numFmtId="0" fontId="0" fillId="21" borderId="5" xfId="0" applyFill="1" applyBorder="1" applyAlignment="1">
      <alignment horizontal="center" vertical="center"/>
    </xf>
    <xf numFmtId="0" fontId="40" fillId="19" borderId="2" xfId="0" applyFont="1" applyFill="1" applyBorder="1" applyAlignment="1">
      <alignment horizontal="center" vertical="center"/>
    </xf>
    <xf numFmtId="166" fontId="12" fillId="2" borderId="2" xfId="0" applyNumberFormat="1" applyFont="1" applyFill="1" applyBorder="1" applyAlignment="1">
      <alignment horizontal="center" vertical="center" wrapText="1"/>
    </xf>
    <xf numFmtId="166" fontId="12" fillId="13" borderId="2" xfId="0" applyNumberFormat="1" applyFont="1" applyFill="1" applyBorder="1" applyAlignment="1">
      <alignment horizontal="center" vertical="center" wrapText="1"/>
    </xf>
    <xf numFmtId="0" fontId="15" fillId="21" borderId="22" xfId="0" applyFont="1" applyFill="1" applyBorder="1" applyAlignment="1">
      <alignment horizontal="center" vertical="center"/>
    </xf>
    <xf numFmtId="2" fontId="16" fillId="18" borderId="18" xfId="0" applyNumberFormat="1" applyFont="1" applyFill="1" applyBorder="1" applyAlignment="1">
      <alignment horizontal="center" vertical="center"/>
    </xf>
    <xf numFmtId="2" fontId="16" fillId="18" borderId="23" xfId="0" applyNumberFormat="1" applyFont="1" applyFill="1" applyBorder="1" applyAlignment="1">
      <alignment horizontal="center" vertical="center"/>
    </xf>
    <xf numFmtId="1" fontId="21" fillId="0" borderId="18" xfId="0" applyNumberFormat="1" applyFont="1" applyBorder="1" applyAlignment="1">
      <alignment horizontal="center" vertical="center" wrapText="1"/>
    </xf>
    <xf numFmtId="1" fontId="21" fillId="0" borderId="23" xfId="0" applyNumberFormat="1" applyFont="1" applyBorder="1" applyAlignment="1">
      <alignment horizontal="center" vertical="center" wrapText="1"/>
    </xf>
    <xf numFmtId="1" fontId="21" fillId="0" borderId="7" xfId="0" applyNumberFormat="1" applyFont="1" applyBorder="1" applyAlignment="1">
      <alignment horizontal="center" vertical="center" wrapText="1"/>
    </xf>
    <xf numFmtId="0" fontId="43" fillId="0" borderId="22" xfId="0" applyFont="1" applyFill="1" applyBorder="1" applyAlignment="1">
      <alignment horizontal="center" vertical="center" wrapText="1"/>
    </xf>
    <xf numFmtId="0" fontId="43" fillId="0" borderId="21" xfId="0" applyFont="1" applyFill="1" applyBorder="1" applyAlignment="1">
      <alignment horizontal="center" vertical="center" wrapText="1"/>
    </xf>
    <xf numFmtId="0" fontId="43" fillId="0" borderId="5" xfId="0" applyFont="1" applyFill="1" applyBorder="1" applyAlignment="1">
      <alignment horizontal="center" vertical="center" wrapText="1"/>
    </xf>
    <xf numFmtId="0" fontId="43" fillId="0" borderId="22" xfId="0" applyFont="1" applyBorder="1" applyAlignment="1">
      <alignment horizontal="center" vertical="center" wrapText="1"/>
    </xf>
    <xf numFmtId="0" fontId="43" fillId="0" borderId="21" xfId="0" applyFont="1" applyBorder="1" applyAlignment="1">
      <alignment horizontal="center" vertical="center" wrapText="1"/>
    </xf>
    <xf numFmtId="0" fontId="43" fillId="0" borderId="5" xfId="0" applyFont="1" applyBorder="1" applyAlignment="1">
      <alignment horizontal="center" vertical="center" wrapText="1"/>
    </xf>
    <xf numFmtId="0" fontId="57" fillId="0" borderId="0" xfId="0" applyFont="1" applyAlignment="1">
      <alignment horizontal="center" vertical="center"/>
    </xf>
    <xf numFmtId="0" fontId="54" fillId="0" borderId="22" xfId="0" applyFont="1" applyFill="1" applyBorder="1" applyAlignment="1">
      <alignment horizontal="center" vertical="center" wrapText="1"/>
    </xf>
    <xf numFmtId="0" fontId="54" fillId="0" borderId="21" xfId="0" applyFont="1" applyFill="1" applyBorder="1" applyAlignment="1">
      <alignment horizontal="center" vertical="center" wrapText="1"/>
    </xf>
    <xf numFmtId="0" fontId="54" fillId="0" borderId="5" xfId="0" applyFont="1" applyFill="1" applyBorder="1" applyAlignment="1">
      <alignment horizontal="center" vertical="center" wrapText="1"/>
    </xf>
    <xf numFmtId="0" fontId="57" fillId="0" borderId="0" xfId="0" applyFont="1" applyBorder="1" applyAlignment="1">
      <alignment horizontal="center" wrapText="1"/>
    </xf>
    <xf numFmtId="3" fontId="23" fillId="0" borderId="2" xfId="0" applyNumberFormat="1" applyFont="1" applyBorder="1" applyAlignment="1">
      <alignment horizontal="center" vertical="center" wrapText="1"/>
    </xf>
    <xf numFmtId="4" fontId="15" fillId="0" borderId="2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wrapText="1"/>
    </xf>
    <xf numFmtId="0" fontId="1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6" fillId="0" borderId="0" xfId="0" applyFont="1" applyAlignment="1">
      <alignment horizontal="center"/>
    </xf>
    <xf numFmtId="0" fontId="16" fillId="0" borderId="11" xfId="0" applyFont="1" applyBorder="1" applyAlignment="1">
      <alignment horizontal="center"/>
    </xf>
    <xf numFmtId="0" fontId="17" fillId="0" borderId="0" xfId="0" applyFont="1" applyAlignment="1">
      <alignment horizontal="left"/>
    </xf>
    <xf numFmtId="0" fontId="17" fillId="0" borderId="0" xfId="0" applyFont="1" applyBorder="1" applyAlignment="1">
      <alignment horizontal="left" wrapText="1"/>
    </xf>
    <xf numFmtId="0" fontId="17" fillId="0" borderId="0" xfId="0" applyFont="1" applyBorder="1" applyAlignment="1"/>
    <xf numFmtId="0" fontId="17" fillId="0" borderId="0" xfId="0" applyFont="1" applyBorder="1" applyAlignment="1">
      <alignment horizontal="left" vertical="center"/>
    </xf>
    <xf numFmtId="0" fontId="0" fillId="2" borderId="0" xfId="0" applyFill="1" applyBorder="1" applyAlignment="1">
      <alignment horizontal="right"/>
    </xf>
    <xf numFmtId="0" fontId="15" fillId="0" borderId="0" xfId="0" applyFont="1"/>
    <xf numFmtId="0" fontId="0" fillId="0" borderId="0" xfId="0"/>
    <xf numFmtId="0" fontId="71" fillId="0" borderId="0" xfId="0" applyFont="1" applyAlignment="1"/>
    <xf numFmtId="49" fontId="71" fillId="0" borderId="0" xfId="0" applyNumberFormat="1" applyFont="1" applyAlignment="1">
      <alignment wrapText="1"/>
    </xf>
    <xf numFmtId="0" fontId="12" fillId="0" borderId="0" xfId="0" applyFont="1" applyAlignment="1">
      <alignment horizontal="center"/>
    </xf>
    <xf numFmtId="0" fontId="15" fillId="0" borderId="0" xfId="0" applyFont="1" applyBorder="1" applyAlignment="1">
      <alignment horizontal="right"/>
    </xf>
    <xf numFmtId="0" fontId="16" fillId="0" borderId="0" xfId="0" applyFont="1" applyAlignment="1">
      <alignment horizontal="right"/>
    </xf>
    <xf numFmtId="0" fontId="7" fillId="2" borderId="1" xfId="0" applyFont="1" applyFill="1" applyBorder="1" applyAlignment="1">
      <alignment horizontal="center"/>
    </xf>
    <xf numFmtId="14" fontId="10" fillId="0" borderId="2" xfId="0" applyNumberFormat="1" applyFont="1" applyBorder="1" applyAlignment="1">
      <alignment horizontal="center" vertical="center"/>
    </xf>
    <xf numFmtId="49" fontId="10" fillId="0" borderId="2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0" fontId="5" fillId="0" borderId="8" xfId="0" applyFont="1" applyBorder="1" applyAlignment="1">
      <alignment horizontal="left" wrapText="1"/>
    </xf>
    <xf numFmtId="0" fontId="5" fillId="0" borderId="1" xfId="0" applyFont="1" applyBorder="1" applyAlignment="1">
      <alignment horizontal="left" wrapText="1"/>
    </xf>
    <xf numFmtId="0" fontId="5" fillId="0" borderId="18" xfId="0" applyFont="1" applyBorder="1" applyAlignment="1">
      <alignment horizontal="left" wrapText="1"/>
    </xf>
    <xf numFmtId="0" fontId="5" fillId="0" borderId="23" xfId="0" applyFont="1" applyBorder="1" applyAlignment="1">
      <alignment horizontal="left" wrapText="1"/>
    </xf>
    <xf numFmtId="0" fontId="5" fillId="0" borderId="18" xfId="0" applyFont="1" applyBorder="1" applyAlignment="1">
      <alignment horizontal="left" vertical="center" wrapText="1"/>
    </xf>
    <xf numFmtId="0" fontId="5" fillId="0" borderId="23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center" vertical="center" wrapText="1"/>
    </xf>
    <xf numFmtId="0" fontId="17" fillId="2" borderId="0" xfId="0" applyFont="1" applyFill="1"/>
    <xf numFmtId="0" fontId="15" fillId="0" borderId="0" xfId="0" applyFont="1" applyAlignment="1">
      <alignment horizontal="right"/>
    </xf>
    <xf numFmtId="0" fontId="15" fillId="0" borderId="0" xfId="0" applyFont="1" applyBorder="1" applyAlignment="1">
      <alignment wrapText="1"/>
    </xf>
    <xf numFmtId="0" fontId="8" fillId="0" borderId="0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5" fillId="0" borderId="2" xfId="0" applyFont="1" applyBorder="1" applyAlignment="1">
      <alignment horizontal="center" vertical="center"/>
    </xf>
    <xf numFmtId="0" fontId="40" fillId="0" borderId="1" xfId="0" applyFont="1" applyBorder="1" applyAlignment="1">
      <alignment horizontal="center"/>
    </xf>
    <xf numFmtId="0" fontId="15" fillId="0" borderId="0" xfId="2" applyFont="1" applyBorder="1" applyAlignment="1">
      <alignment horizontal="center" vertical="center" wrapText="1"/>
    </xf>
    <xf numFmtId="0" fontId="10" fillId="0" borderId="0" xfId="0" applyFont="1" applyAlignment="1">
      <alignment horizontal="right"/>
    </xf>
    <xf numFmtId="0" fontId="10" fillId="0" borderId="11" xfId="0" applyFont="1" applyBorder="1" applyAlignment="1">
      <alignment horizontal="right"/>
    </xf>
    <xf numFmtId="0" fontId="17" fillId="0" borderId="0" xfId="0" applyFont="1" applyFill="1"/>
    <xf numFmtId="0" fontId="7" fillId="0" borderId="1" xfId="0" applyFont="1" applyBorder="1" applyAlignment="1">
      <alignment horizontal="left"/>
    </xf>
    <xf numFmtId="0" fontId="0" fillId="0" borderId="0" xfId="0" applyBorder="1" applyAlignment="1">
      <alignment horizontal="right"/>
    </xf>
    <xf numFmtId="0" fontId="0" fillId="0" borderId="1" xfId="0" applyBorder="1" applyAlignment="1">
      <alignment horizontal="left"/>
    </xf>
    <xf numFmtId="0" fontId="0" fillId="0" borderId="0" xfId="0" applyBorder="1"/>
    <xf numFmtId="0" fontId="16" fillId="0" borderId="1" xfId="0" applyFont="1" applyBorder="1" applyAlignment="1">
      <alignment horizontal="center"/>
    </xf>
    <xf numFmtId="0" fontId="0" fillId="0" borderId="0" xfId="0" applyBorder="1" applyAlignment="1">
      <alignment horizontal="left"/>
    </xf>
    <xf numFmtId="0" fontId="59" fillId="0" borderId="1" xfId="0" applyFont="1" applyBorder="1" applyAlignment="1">
      <alignment horizontal="center"/>
    </xf>
    <xf numFmtId="0" fontId="5" fillId="0" borderId="7" xfId="0" applyFont="1" applyBorder="1" applyAlignment="1">
      <alignment horizontal="left" wrapText="1"/>
    </xf>
    <xf numFmtId="0" fontId="9" fillId="0" borderId="2" xfId="0" applyFont="1" applyBorder="1" applyAlignment="1">
      <alignment horizontal="center" vertical="center" wrapText="1"/>
    </xf>
    <xf numFmtId="0" fontId="48" fillId="0" borderId="1" xfId="0" applyFont="1" applyBorder="1" applyAlignment="1">
      <alignment horizontal="center"/>
    </xf>
    <xf numFmtId="0" fontId="40" fillId="0" borderId="1" xfId="0" applyFont="1" applyBorder="1" applyAlignment="1">
      <alignment horizontal="center" wrapText="1"/>
    </xf>
    <xf numFmtId="0" fontId="15" fillId="0" borderId="25" xfId="0" applyFont="1" applyBorder="1" applyAlignment="1">
      <alignment wrapText="1"/>
    </xf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horizontal="right"/>
    </xf>
    <xf numFmtId="0" fontId="15" fillId="0" borderId="2" xfId="0" applyFont="1" applyBorder="1" applyAlignment="1">
      <alignment horizontal="center" vertical="center"/>
    </xf>
    <xf numFmtId="0" fontId="40" fillId="0" borderId="0" xfId="0" applyFont="1" applyAlignment="1">
      <alignment horizontal="justify" vertical="center"/>
    </xf>
    <xf numFmtId="0" fontId="16" fillId="0" borderId="0" xfId="0" applyFont="1" applyAlignment="1">
      <alignment horizontal="justify" vertical="center"/>
    </xf>
    <xf numFmtId="0" fontId="66" fillId="0" borderId="0" xfId="0" applyFont="1" applyAlignment="1">
      <alignment vertical="center"/>
    </xf>
    <xf numFmtId="0" fontId="17" fillId="0" borderId="28" xfId="0" applyFont="1" applyBorder="1" applyAlignment="1">
      <alignment horizontal="center" vertical="center" wrapText="1"/>
    </xf>
    <xf numFmtId="0" fontId="17" fillId="0" borderId="29" xfId="0" applyFont="1" applyBorder="1" applyAlignment="1">
      <alignment horizontal="center" vertical="center" wrapText="1"/>
    </xf>
    <xf numFmtId="0" fontId="17" fillId="0" borderId="34" xfId="0" applyFont="1" applyBorder="1" applyAlignment="1">
      <alignment horizontal="center" vertical="center" wrapText="1"/>
    </xf>
    <xf numFmtId="0" fontId="17" fillId="0" borderId="32" xfId="0" applyFont="1" applyBorder="1" applyAlignment="1">
      <alignment horizontal="center" vertical="center" wrapText="1"/>
    </xf>
    <xf numFmtId="0" fontId="17" fillId="0" borderId="31" xfId="0" applyFont="1" applyBorder="1" applyAlignment="1">
      <alignment horizontal="center" vertical="center" wrapText="1"/>
    </xf>
    <xf numFmtId="0" fontId="17" fillId="0" borderId="30" xfId="0" applyFont="1" applyBorder="1" applyAlignment="1">
      <alignment horizontal="center" vertical="center" wrapText="1"/>
    </xf>
    <xf numFmtId="0" fontId="5" fillId="0" borderId="18" xfId="2" applyFont="1" applyBorder="1" applyAlignment="1">
      <alignment horizontal="left" vertical="top" wrapText="1"/>
    </xf>
    <xf numFmtId="0" fontId="5" fillId="0" borderId="2" xfId="2" applyFont="1" applyBorder="1" applyAlignment="1">
      <alignment horizontal="left" vertical="top" wrapText="1"/>
    </xf>
    <xf numFmtId="0" fontId="5" fillId="0" borderId="2" xfId="2" applyFont="1" applyBorder="1" applyAlignment="1">
      <alignment horizontal="center" wrapText="1"/>
    </xf>
    <xf numFmtId="0" fontId="9" fillId="0" borderId="2" xfId="2" applyFont="1" applyBorder="1" applyAlignment="1">
      <alignment horizontal="center" wrapText="1"/>
    </xf>
    <xf numFmtId="0" fontId="5" fillId="0" borderId="18" xfId="2" applyFont="1" applyBorder="1" applyAlignment="1">
      <alignment horizontal="left" wrapText="1"/>
    </xf>
    <xf numFmtId="0" fontId="5" fillId="0" borderId="23" xfId="2" applyFont="1" applyBorder="1" applyAlignment="1">
      <alignment horizontal="left" wrapText="1"/>
    </xf>
    <xf numFmtId="0" fontId="5" fillId="0" borderId="18" xfId="2" applyFont="1" applyBorder="1" applyAlignment="1">
      <alignment horizontal="left" vertical="center" wrapText="1"/>
    </xf>
    <xf numFmtId="0" fontId="5" fillId="0" borderId="23" xfId="2" applyFont="1" applyBorder="1" applyAlignment="1">
      <alignment horizontal="left" vertical="center" wrapText="1"/>
    </xf>
    <xf numFmtId="0" fontId="13" fillId="0" borderId="2" xfId="2" applyFont="1" applyBorder="1" applyAlignment="1">
      <alignment horizontal="center" vertical="center" wrapText="1"/>
    </xf>
    <xf numFmtId="0" fontId="5" fillId="0" borderId="10" xfId="2" applyFont="1" applyBorder="1" applyAlignment="1">
      <alignment wrapText="1"/>
    </xf>
    <xf numFmtId="0" fontId="5" fillId="0" borderId="20" xfId="2" applyFont="1" applyBorder="1" applyAlignment="1">
      <alignment wrapText="1"/>
    </xf>
    <xf numFmtId="0" fontId="5" fillId="0" borderId="2" xfId="2" applyFont="1" applyBorder="1" applyAlignment="1">
      <alignment horizontal="left" wrapText="1"/>
    </xf>
    <xf numFmtId="0" fontId="5" fillId="0" borderId="5" xfId="2" applyFont="1" applyBorder="1" applyAlignment="1">
      <alignment horizontal="left" wrapText="1"/>
    </xf>
    <xf numFmtId="0" fontId="9" fillId="0" borderId="18" xfId="2" applyFont="1" applyBorder="1" applyAlignment="1">
      <alignment horizontal="center"/>
    </xf>
    <xf numFmtId="0" fontId="9" fillId="0" borderId="7" xfId="2" applyFont="1" applyBorder="1" applyAlignment="1">
      <alignment horizontal="center"/>
    </xf>
    <xf numFmtId="0" fontId="5" fillId="0" borderId="18" xfId="2" applyFont="1" applyBorder="1" applyAlignment="1">
      <alignment horizontal="left"/>
    </xf>
    <xf numFmtId="0" fontId="5" fillId="0" borderId="2" xfId="2" applyFont="1" applyBorder="1" applyAlignment="1">
      <alignment horizontal="left"/>
    </xf>
    <xf numFmtId="0" fontId="5" fillId="0" borderId="2" xfId="2" applyFont="1" applyBorder="1" applyAlignment="1">
      <alignment horizontal="center"/>
    </xf>
    <xf numFmtId="0" fontId="7" fillId="0" borderId="2" xfId="2" applyFont="1" applyBorder="1" applyAlignment="1">
      <alignment horizontal="center"/>
    </xf>
    <xf numFmtId="0" fontId="9" fillId="0" borderId="2" xfId="2" applyFont="1" applyBorder="1" applyAlignment="1">
      <alignment horizontal="center"/>
    </xf>
    <xf numFmtId="0" fontId="9" fillId="0" borderId="22" xfId="0" applyFont="1" applyBorder="1" applyAlignment="1">
      <alignment horizontal="center" vertical="center" wrapText="1"/>
    </xf>
    <xf numFmtId="0" fontId="9" fillId="0" borderId="21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7" fillId="0" borderId="2" xfId="2" applyFont="1" applyBorder="1" applyAlignment="1">
      <alignment horizontal="center" wrapText="1"/>
    </xf>
    <xf numFmtId="0" fontId="9" fillId="0" borderId="2" xfId="2" applyFont="1" applyBorder="1" applyAlignment="1">
      <alignment horizontal="center" vertical="center"/>
    </xf>
    <xf numFmtId="0" fontId="9" fillId="0" borderId="24" xfId="2" applyFont="1" applyBorder="1" applyAlignment="1">
      <alignment horizontal="center"/>
    </xf>
    <xf numFmtId="0" fontId="9" fillId="0" borderId="25" xfId="2" applyFont="1" applyBorder="1" applyAlignment="1">
      <alignment horizontal="center"/>
    </xf>
    <xf numFmtId="0" fontId="9" fillId="0" borderId="26" xfId="2" applyFont="1" applyBorder="1" applyAlignment="1">
      <alignment horizontal="center"/>
    </xf>
    <xf numFmtId="49" fontId="13" fillId="0" borderId="27" xfId="2" applyNumberFormat="1" applyFont="1" applyBorder="1"/>
    <xf numFmtId="49" fontId="13" fillId="0" borderId="0" xfId="2" applyNumberFormat="1" applyFont="1" applyBorder="1"/>
    <xf numFmtId="0" fontId="13" fillId="0" borderId="2" xfId="2" applyFont="1" applyBorder="1" applyAlignment="1">
      <alignment horizontal="center" vertical="top" wrapText="1"/>
    </xf>
    <xf numFmtId="0" fontId="9" fillId="0" borderId="24" xfId="2" applyFont="1" applyBorder="1" applyAlignment="1">
      <alignment horizontal="center" vertical="center" wrapText="1"/>
    </xf>
    <xf numFmtId="0" fontId="9" fillId="0" borderId="25" xfId="2" applyFont="1" applyBorder="1" applyAlignment="1">
      <alignment horizontal="center" vertical="center" wrapText="1"/>
    </xf>
    <xf numFmtId="0" fontId="9" fillId="0" borderId="27" xfId="2" applyFont="1" applyBorder="1" applyAlignment="1">
      <alignment horizontal="center" vertical="center" wrapText="1"/>
    </xf>
    <xf numFmtId="0" fontId="9" fillId="0" borderId="0" xfId="2" applyFont="1" applyBorder="1" applyAlignment="1">
      <alignment horizontal="center" vertical="center" wrapText="1"/>
    </xf>
    <xf numFmtId="0" fontId="9" fillId="0" borderId="8" xfId="2" applyFont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 wrapText="1"/>
    </xf>
    <xf numFmtId="0" fontId="7" fillId="0" borderId="2" xfId="2" applyFont="1" applyBorder="1" applyAlignment="1">
      <alignment horizontal="right"/>
    </xf>
    <xf numFmtId="0" fontId="5" fillId="0" borderId="2" xfId="2" applyFont="1" applyBorder="1" applyAlignment="1">
      <alignment horizontal="center" vertical="center"/>
    </xf>
    <xf numFmtId="0" fontId="5" fillId="0" borderId="18" xfId="2" applyFont="1" applyBorder="1" applyAlignment="1">
      <alignment horizontal="center" vertical="center"/>
    </xf>
    <xf numFmtId="0" fontId="5" fillId="0" borderId="7" xfId="2" applyFont="1" applyBorder="1" applyAlignment="1">
      <alignment horizontal="center" vertical="center"/>
    </xf>
    <xf numFmtId="49" fontId="12" fillId="0" borderId="18" xfId="2" applyNumberFormat="1" applyFont="1" applyBorder="1" applyAlignment="1">
      <alignment horizontal="center" vertical="center"/>
    </xf>
    <xf numFmtId="49" fontId="12" fillId="0" borderId="7" xfId="2" applyNumberFormat="1" applyFont="1" applyBorder="1" applyAlignment="1">
      <alignment horizontal="center" vertical="center"/>
    </xf>
    <xf numFmtId="49" fontId="10" fillId="0" borderId="18" xfId="2" applyNumberFormat="1" applyFont="1" applyBorder="1" applyAlignment="1">
      <alignment horizontal="center" vertical="center"/>
    </xf>
    <xf numFmtId="49" fontId="10" fillId="0" borderId="7" xfId="2" applyNumberFormat="1" applyFont="1" applyBorder="1" applyAlignment="1">
      <alignment horizontal="center" vertical="center"/>
    </xf>
    <xf numFmtId="0" fontId="8" fillId="0" borderId="25" xfId="2" applyFont="1" applyBorder="1" applyAlignment="1">
      <alignment horizontal="center" vertical="top"/>
    </xf>
    <xf numFmtId="0" fontId="7" fillId="0" borderId="25" xfId="2" applyFont="1" applyBorder="1" applyAlignment="1">
      <alignment horizontal="right"/>
    </xf>
    <xf numFmtId="0" fontId="7" fillId="0" borderId="0" xfId="2" applyFont="1" applyBorder="1" applyAlignment="1">
      <alignment horizontal="right"/>
    </xf>
    <xf numFmtId="49" fontId="11" fillId="0" borderId="2" xfId="2" applyNumberFormat="1" applyFont="1" applyBorder="1" applyAlignment="1">
      <alignment horizontal="center"/>
    </xf>
    <xf numFmtId="0" fontId="7" fillId="0" borderId="1" xfId="2" applyFont="1" applyBorder="1" applyAlignment="1">
      <alignment horizontal="left"/>
    </xf>
    <xf numFmtId="0" fontId="7" fillId="0" borderId="11" xfId="2" applyFont="1" applyBorder="1" applyAlignment="1">
      <alignment horizontal="right"/>
    </xf>
    <xf numFmtId="0" fontId="5" fillId="0" borderId="2" xfId="0" applyFont="1" applyBorder="1" applyAlignment="1">
      <alignment horizontal="right"/>
    </xf>
    <xf numFmtId="0" fontId="8" fillId="0" borderId="25" xfId="2" applyFont="1" applyBorder="1" applyAlignment="1">
      <alignment horizontal="center" vertical="center"/>
    </xf>
    <xf numFmtId="0" fontId="7" fillId="0" borderId="2" xfId="0" applyFont="1" applyBorder="1"/>
    <xf numFmtId="0" fontId="7" fillId="0" borderId="18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10" fillId="0" borderId="1" xfId="2" applyFont="1" applyBorder="1" applyAlignment="1">
      <alignment horizontal="center"/>
    </xf>
    <xf numFmtId="0" fontId="7" fillId="0" borderId="2" xfId="2" applyFont="1" applyBorder="1" applyAlignment="1">
      <alignment horizontal="left"/>
    </xf>
    <xf numFmtId="0" fontId="6" fillId="0" borderId="0" xfId="2" applyFont="1" applyAlignment="1">
      <alignment horizontal="right"/>
    </xf>
    <xf numFmtId="0" fontId="5" fillId="0" borderId="0" xfId="2" applyFont="1" applyBorder="1" applyAlignment="1">
      <alignment horizontal="center"/>
    </xf>
    <xf numFmtId="0" fontId="5" fillId="0" borderId="11" xfId="2" applyFont="1" applyBorder="1" applyAlignment="1">
      <alignment horizontal="center"/>
    </xf>
    <xf numFmtId="0" fontId="7" fillId="0" borderId="0" xfId="2" applyFont="1" applyAlignment="1">
      <alignment horizontal="right"/>
    </xf>
    <xf numFmtId="49" fontId="7" fillId="0" borderId="18" xfId="0" applyNumberFormat="1" applyFont="1" applyBorder="1" applyAlignment="1">
      <alignment horizontal="center"/>
    </xf>
    <xf numFmtId="49" fontId="7" fillId="0" borderId="7" xfId="0" applyNumberFormat="1" applyFont="1" applyBorder="1" applyAlignment="1">
      <alignment horizontal="center"/>
    </xf>
    <xf numFmtId="0" fontId="67" fillId="38" borderId="18" xfId="7" applyFill="1" applyBorder="1" applyAlignment="1" applyProtection="1">
      <protection locked="0"/>
    </xf>
    <xf numFmtId="0" fontId="67" fillId="38" borderId="23" xfId="7" applyFill="1" applyBorder="1" applyAlignment="1" applyProtection="1">
      <protection locked="0"/>
    </xf>
    <xf numFmtId="0" fontId="67" fillId="0" borderId="7" xfId="7" applyBorder="1" applyAlignment="1" applyProtection="1">
      <protection locked="0"/>
    </xf>
    <xf numFmtId="0" fontId="40" fillId="0" borderId="0" xfId="0" applyFont="1" applyAlignment="1">
      <alignment horizontal="center" vertical="center"/>
    </xf>
    <xf numFmtId="0" fontId="48" fillId="0" borderId="0" xfId="0" applyFont="1" applyAlignment="1">
      <alignment horizontal="right" vertical="center"/>
    </xf>
    <xf numFmtId="0" fontId="48" fillId="0" borderId="0" xfId="0" applyFont="1" applyFill="1" applyBorder="1" applyAlignment="1">
      <alignment vertical="center" wrapText="1"/>
    </xf>
    <xf numFmtId="0" fontId="40" fillId="0" borderId="0" xfId="0" applyFont="1" applyAlignment="1">
      <alignment horizontal="center" vertical="center" wrapText="1"/>
    </xf>
    <xf numFmtId="0" fontId="48" fillId="0" borderId="2" xfId="0" applyFont="1" applyBorder="1" applyAlignment="1">
      <alignment horizontal="center" vertical="center" wrapText="1"/>
    </xf>
    <xf numFmtId="0" fontId="59" fillId="0" borderId="0" xfId="0" applyFont="1" applyAlignment="1">
      <alignment horizontal="center" vertical="center"/>
    </xf>
    <xf numFmtId="0" fontId="48" fillId="0" borderId="0" xfId="0" applyFont="1" applyAlignment="1">
      <alignment horizontal="right" vertical="center" wrapText="1"/>
    </xf>
  </cellXfs>
  <cellStyles count="8">
    <cellStyle name="Гиперссылка" xfId="6" builtinId="8"/>
    <cellStyle name="Гиперссылка 2" xfId="1"/>
    <cellStyle name="Обычный" xfId="0" builtinId="0"/>
    <cellStyle name="Обычный 2" xfId="2"/>
    <cellStyle name="Обычный 3" xfId="3"/>
    <cellStyle name="Обычный 4" xfId="4"/>
    <cellStyle name="Обычный 4 2" xfId="5"/>
    <cellStyle name="Обычный 5" xfId="7"/>
  </cellStyles>
  <dxfs count="171"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rgb="FFF8DCF2"/>
          </stop>
          <stop position="1">
            <color rgb="FF1FED77"/>
          </stop>
        </gradientFill>
      </fill>
    </dxf>
    <dxf>
      <fill>
        <gradientFill degree="90">
          <stop position="0">
            <color rgb="FFF8DCF2"/>
          </stop>
          <stop position="1">
            <color rgb="FF54EE1E"/>
          </stop>
        </gradientFill>
      </fill>
    </dxf>
    <dxf>
      <fill>
        <gradientFill degree="90">
          <stop position="0">
            <color rgb="FFF8DCF2"/>
          </stop>
          <stop position="1">
            <color rgb="FF1FED77"/>
          </stop>
        </gradientFill>
      </fill>
    </dxf>
    <dxf>
      <fill>
        <gradientFill degree="90">
          <stop position="0">
            <color rgb="FFF8DCF2"/>
          </stop>
          <stop position="1">
            <color rgb="FF54EE1E"/>
          </stop>
        </gradientFill>
      </fill>
    </dxf>
    <dxf>
      <fill>
        <gradientFill degree="90">
          <stop position="0">
            <color rgb="FFF8DCF2"/>
          </stop>
          <stop position="1">
            <color rgb="FF1FED77"/>
          </stop>
        </gradientFill>
      </fill>
    </dxf>
    <dxf>
      <fill>
        <gradientFill degree="90">
          <stop position="0">
            <color rgb="FFF8DCF2"/>
          </stop>
          <stop position="1">
            <color rgb="FF54EE1E"/>
          </stop>
        </gradientFill>
      </fill>
    </dxf>
    <dxf>
      <fill>
        <gradientFill degree="90">
          <stop position="0">
            <color rgb="FFF8DCF2"/>
          </stop>
          <stop position="1">
            <color rgb="FF1FED77"/>
          </stop>
        </gradientFill>
      </fill>
    </dxf>
    <dxf>
      <fill>
        <gradientFill degree="90">
          <stop position="0">
            <color rgb="FFF8DCF2"/>
          </stop>
          <stop position="1">
            <color rgb="FF54EE1E"/>
          </stop>
        </gradientFill>
      </fill>
    </dxf>
    <dxf>
      <fill>
        <gradientFill degree="90">
          <stop position="0">
            <color rgb="FFFFCCCC"/>
          </stop>
          <stop position="1">
            <color rgb="FF00B050"/>
          </stop>
        </gradientFill>
      </fill>
    </dxf>
    <dxf>
      <fill>
        <patternFill>
          <bgColor rgb="FFFF0000"/>
        </pattern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66FF"/>
          </stop>
        </gradientFill>
      </fill>
    </dxf>
    <dxf>
      <fill>
        <gradientFill degree="90">
          <stop position="0">
            <color rgb="FFFFCCCC"/>
          </stop>
          <stop position="1">
            <color rgb="FF00B050"/>
          </stop>
        </gradientFill>
      </fill>
    </dxf>
    <dxf>
      <fill>
        <patternFill>
          <bgColor rgb="FFFF0000"/>
        </pattern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66FF"/>
          </stop>
        </gradientFill>
      </fill>
    </dxf>
    <dxf>
      <fill>
        <patternFill>
          <bgColor rgb="FFFF0000"/>
        </pattern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66FF"/>
          </stop>
        </gradientFill>
      </fill>
    </dxf>
    <dxf>
      <fill>
        <patternFill>
          <bgColor rgb="FFFF0000"/>
        </pattern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66FF"/>
          </stop>
        </gradientFill>
      </fill>
    </dxf>
    <dxf>
      <fill>
        <patternFill>
          <bgColor rgb="FFFF0000"/>
        </pattern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66FF"/>
          </stop>
        </gradientFill>
      </fill>
    </dxf>
    <dxf>
      <fill>
        <patternFill>
          <bgColor rgb="FFFF0000"/>
        </pattern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66FF"/>
          </stop>
        </gradientFill>
      </fill>
    </dxf>
    <dxf>
      <fill>
        <gradientFill degree="90">
          <stop position="0">
            <color rgb="FFFFCCCC"/>
          </stop>
          <stop position="1">
            <color rgb="FF00B050"/>
          </stop>
        </gradientFill>
      </fill>
    </dxf>
    <dxf>
      <fill>
        <patternFill>
          <bgColor rgb="FFFF0000"/>
        </pattern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66FF"/>
          </stop>
        </gradientFill>
      </fill>
    </dxf>
    <dxf>
      <fill>
        <gradientFill degree="90">
          <stop position="0">
            <color rgb="FFFFCCCC"/>
          </stop>
          <stop position="1">
            <color rgb="FF00B050"/>
          </stop>
        </gradientFill>
      </fill>
    </dxf>
    <dxf>
      <fill>
        <patternFill>
          <bgColor rgb="FFFF0000"/>
        </pattern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66FF"/>
          </stop>
        </gradientFill>
      </fill>
    </dxf>
    <dxf>
      <fill>
        <patternFill>
          <bgColor rgb="FFFF0000"/>
        </pattern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66FF"/>
          </stop>
        </gradientFill>
      </fill>
    </dxf>
    <dxf>
      <fill>
        <patternFill>
          <bgColor rgb="FFFF0000"/>
        </pattern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66FF"/>
          </stop>
        </gradientFill>
      </fill>
    </dxf>
    <dxf>
      <fill>
        <gradientFill degree="90">
          <stop position="0">
            <color rgb="FFFFCCCC"/>
          </stop>
          <stop position="1">
            <color rgb="FF00B050"/>
          </stop>
        </gradientFill>
      </fill>
    </dxf>
    <dxf>
      <fill>
        <patternFill>
          <bgColor rgb="FFFF0000"/>
        </pattern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66FF"/>
          </stop>
        </gradientFill>
      </fill>
    </dxf>
    <dxf>
      <fill>
        <gradientFill degree="90">
          <stop position="0">
            <color rgb="FFFFCCCC"/>
          </stop>
          <stop position="1">
            <color rgb="FF00B050"/>
          </stop>
        </gradientFill>
      </fill>
    </dxf>
    <dxf>
      <fill>
        <patternFill>
          <bgColor rgb="FFFF0000"/>
        </pattern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66FF"/>
          </stop>
        </gradientFill>
      </fill>
    </dxf>
    <dxf>
      <fill>
        <patternFill>
          <bgColor rgb="FFFF0000"/>
        </pattern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66FF"/>
          </stop>
        </gradientFill>
      </fill>
    </dxf>
    <dxf>
      <fill>
        <patternFill>
          <bgColor rgb="FFFF0000"/>
        </pattern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66FF"/>
          </stop>
        </gradientFill>
      </fill>
    </dxf>
    <dxf>
      <fill>
        <gradientFill degree="90">
          <stop position="0">
            <color rgb="FFFFCCCC"/>
          </stop>
          <stop position="1">
            <color rgb="FF00B050"/>
          </stop>
        </gradientFill>
      </fill>
    </dxf>
    <dxf>
      <fill>
        <patternFill>
          <bgColor rgb="FFFF0000"/>
        </pattern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66FF"/>
          </stop>
        </gradientFill>
      </fill>
    </dxf>
    <dxf>
      <fill>
        <patternFill>
          <bgColor rgb="FFFF0000"/>
        </pattern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66FF"/>
          </stop>
        </gradientFill>
      </fill>
    </dxf>
    <dxf>
      <fill>
        <gradientFill degree="90">
          <stop position="0">
            <color rgb="FFFFCCCC"/>
          </stop>
          <stop position="1">
            <color rgb="FF00B050"/>
          </stop>
        </gradientFill>
      </fill>
    </dxf>
    <dxf>
      <fill>
        <patternFill>
          <bgColor rgb="FFFF0000"/>
        </pattern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66FF"/>
          </stop>
        </gradientFill>
      </fill>
    </dxf>
    <dxf>
      <fill>
        <gradientFill degree="90">
          <stop position="0">
            <color rgb="FFFFCCCC"/>
          </stop>
          <stop position="1">
            <color rgb="FF00B050"/>
          </stop>
        </gradientFill>
      </fill>
    </dxf>
    <dxf>
      <fill>
        <patternFill>
          <bgColor rgb="FFFF0000"/>
        </pattern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66FF"/>
          </stop>
        </gradientFill>
      </fill>
    </dxf>
    <dxf>
      <fill>
        <gradientFill degree="90">
          <stop position="0">
            <color rgb="FFFFCCCC"/>
          </stop>
          <stop position="1">
            <color rgb="FF00B050"/>
          </stop>
        </gradientFill>
      </fill>
    </dxf>
    <dxf>
      <fill>
        <patternFill>
          <bgColor rgb="FFFF0000"/>
        </pattern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66FF"/>
          </stop>
        </gradientFill>
      </fill>
    </dxf>
    <dxf>
      <fill>
        <patternFill>
          <bgColor rgb="FFFF0000"/>
        </pattern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66FF"/>
          </stop>
        </gradientFill>
      </fill>
    </dxf>
    <dxf>
      <fill>
        <patternFill>
          <bgColor rgb="FFFF0000"/>
        </pattern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66FF"/>
          </stop>
        </gradientFill>
      </fill>
    </dxf>
    <dxf>
      <fill>
        <patternFill>
          <bgColor rgb="FFFF0000"/>
        </pattern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66FF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rgb="FFFFCCCC"/>
          </stop>
          <stop position="1">
            <color rgb="FF00B050"/>
          </stop>
        </gradientFill>
      </fill>
    </dxf>
    <dxf>
      <fill>
        <gradientFill degree="90">
          <stop position="0">
            <color rgb="FFFFCCCC"/>
          </stop>
          <stop position="1">
            <color rgb="FF00B05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theme="0" tint="-5.0965910824915313E-2"/>
          </stop>
          <stop position="1">
            <color rgb="FF00FF00"/>
          </stop>
        </gradientFill>
      </fill>
    </dxf>
    <dxf>
      <fill>
        <gradientFill degree="90">
          <stop position="0">
            <color theme="0" tint="-0.1490218817712943"/>
          </stop>
          <stop position="1">
            <color rgb="FF00FF00"/>
          </stop>
        </gradientFill>
      </fill>
    </dxf>
    <dxf>
      <fill>
        <gradientFill degree="90">
          <stop position="0">
            <color rgb="FFF8DCF2"/>
          </stop>
          <stop position="1">
            <color rgb="FF1FED77"/>
          </stop>
        </gradientFill>
      </fill>
    </dxf>
    <dxf>
      <fill>
        <gradientFill degree="90">
          <stop position="0">
            <color rgb="FFF8DCF2"/>
          </stop>
          <stop position="1">
            <color rgb="FF54EE1E"/>
          </stop>
        </gradientFill>
      </fill>
    </dxf>
    <dxf>
      <fill>
        <gradientFill degree="90">
          <stop position="0">
            <color rgb="FFF8DCF2"/>
          </stop>
          <stop position="1">
            <color rgb="FF1FED77"/>
          </stop>
        </gradientFill>
      </fill>
    </dxf>
    <dxf>
      <fill>
        <gradientFill degree="90">
          <stop position="0">
            <color rgb="FFF8DCF2"/>
          </stop>
          <stop position="1">
            <color rgb="FF54EE1E"/>
          </stop>
        </gradientFill>
      </fill>
    </dxf>
    <dxf>
      <fill>
        <gradientFill degree="90">
          <stop position="0">
            <color rgb="FFF8DCF2"/>
          </stop>
          <stop position="1">
            <color rgb="FF1FED77"/>
          </stop>
        </gradientFill>
      </fill>
    </dxf>
    <dxf>
      <fill>
        <gradientFill degree="90">
          <stop position="0">
            <color rgb="FFF8DCF2"/>
          </stop>
          <stop position="1">
            <color rgb="FF54EE1E"/>
          </stop>
        </gradientFill>
      </fill>
    </dxf>
    <dxf>
      <fill>
        <gradientFill degree="90">
          <stop position="0">
            <color rgb="FFF8DCF2"/>
          </stop>
          <stop position="1">
            <color rgb="FF1FED77"/>
          </stop>
        </gradientFill>
      </fill>
    </dxf>
    <dxf>
      <fill>
        <gradientFill degree="90">
          <stop position="0">
            <color rgb="FFF8DCF2"/>
          </stop>
          <stop position="1">
            <color rgb="FF54EE1E"/>
          </stop>
        </gradientFill>
      </fill>
    </dxf>
    <dxf>
      <fill>
        <gradientFill degree="90">
          <stop position="0">
            <color rgb="FFFFFF00"/>
          </stop>
          <stop position="1">
            <color theme="9" tint="0.40000610370189521"/>
          </stop>
        </gradientFill>
      </fill>
    </dxf>
    <dxf>
      <fill>
        <gradientFill degree="90">
          <stop position="0">
            <color rgb="FFFFFF00"/>
          </stop>
          <stop position="1">
            <color rgb="FF36F8EA"/>
          </stop>
        </gradientFill>
      </fill>
    </dxf>
    <dxf>
      <fill>
        <gradientFill degree="90">
          <stop position="0">
            <color rgb="FFFFFF00"/>
          </stop>
          <stop position="1">
            <color rgb="FF36F8EA"/>
          </stop>
        </gradientFill>
      </fill>
    </dxf>
    <dxf>
      <fill>
        <gradientFill degree="90">
          <stop position="0">
            <color rgb="FFFFFF00"/>
          </stop>
          <stop position="1">
            <color rgb="FF36F8EA"/>
          </stop>
        </gradientFill>
      </fill>
    </dxf>
    <dxf>
      <fill>
        <gradientFill degree="90">
          <stop position="0">
            <color rgb="FFFFFF00"/>
          </stop>
          <stop position="1">
            <color rgb="FF36F8EA"/>
          </stop>
        </gradientFill>
      </fill>
    </dxf>
    <dxf>
      <fill>
        <gradientFill degree="90">
          <stop position="0">
            <color rgb="FFFFFF00"/>
          </stop>
          <stop position="1">
            <color rgb="FF36F8EA"/>
          </stop>
        </gradientFill>
      </fill>
    </dxf>
    <dxf>
      <fill>
        <gradientFill degree="90">
          <stop position="0">
            <color rgb="FFFFFF00"/>
          </stop>
          <stop position="1">
            <color rgb="FF36F8EA"/>
          </stop>
        </gradientFill>
      </fill>
    </dxf>
    <dxf>
      <fill>
        <gradientFill degree="90">
          <stop position="0">
            <color rgb="FFFFFF00"/>
          </stop>
          <stop position="1">
            <color rgb="FF36F8EA"/>
          </stop>
        </gradientFill>
      </fill>
    </dxf>
    <dxf>
      <fill>
        <gradientFill degree="90">
          <stop position="0">
            <color rgb="FFFFFF00"/>
          </stop>
          <stop position="1">
            <color rgb="FF36F8EA"/>
          </stop>
        </gradientFill>
      </fill>
    </dxf>
    <dxf>
      <fill>
        <gradientFill degree="90">
          <stop position="0">
            <color rgb="FFFFFF00"/>
          </stop>
          <stop position="1">
            <color rgb="FF36F8EA"/>
          </stop>
        </gradientFill>
      </fill>
    </dxf>
    <dxf>
      <fill>
        <gradientFill degree="90">
          <stop position="0">
            <color rgb="FFFFFF00"/>
          </stop>
          <stop position="1">
            <color rgb="FF36F8EA"/>
          </stop>
        </gradientFill>
      </fill>
    </dxf>
    <dxf>
      <fill>
        <gradientFill degree="90">
          <stop position="0">
            <color rgb="FFFFFF00"/>
          </stop>
          <stop position="1">
            <color rgb="FF36F8EA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rgb="FFFFCCCC"/>
          </stop>
          <stop position="1">
            <color rgb="FF00B050"/>
          </stop>
        </gradientFill>
      </fill>
    </dxf>
    <dxf>
      <fill>
        <gradientFill degree="90">
          <stop position="0">
            <color rgb="FFFFCCCC"/>
          </stop>
          <stop position="1">
            <color rgb="FF00B050"/>
          </stop>
        </gradientFill>
      </fill>
    </dxf>
    <dxf>
      <fill>
        <gradientFill degree="90">
          <stop position="0">
            <color rgb="FFFFFF00"/>
          </stop>
          <stop position="1">
            <color rgb="FF66FF99"/>
          </stop>
        </gradientFill>
      </fill>
    </dxf>
    <dxf>
      <fill>
        <gradientFill degree="90">
          <stop position="0">
            <color rgb="FFFFFF00"/>
          </stop>
          <stop position="1">
            <color rgb="FF66FF99"/>
          </stop>
        </gradientFill>
      </fill>
    </dxf>
    <dxf>
      <fill>
        <gradientFill degree="90">
          <stop position="0">
            <color rgb="FFFFFF00"/>
          </stop>
          <stop position="1">
            <color rgb="FF66FF99"/>
          </stop>
        </gradientFill>
      </fill>
    </dxf>
    <dxf>
      <fill>
        <gradientFill degree="90">
          <stop position="0">
            <color rgb="FF00FF00"/>
          </stop>
          <stop position="1">
            <color rgb="FFFF0000"/>
          </stop>
        </gradientFill>
      </fill>
    </dxf>
    <dxf>
      <fill>
        <gradientFill degree="90">
          <stop position="0">
            <color rgb="FFFFFF0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rgb="FFB4E6C9"/>
          </stop>
          <stop position="1">
            <color theme="4" tint="0.80001220740379042"/>
          </stop>
        </gradientFill>
      </fill>
    </dxf>
    <dxf>
      <fill>
        <gradientFill degree="90">
          <stop position="0">
            <color rgb="FFFFFF00"/>
          </stop>
          <stop position="1">
            <color rgb="FF54EE1E"/>
          </stop>
        </gradientFill>
      </fill>
    </dxf>
  </dxfs>
  <tableStyles count="0" defaultTableStyle="TableStyleMedium2" defaultPivotStyle="PivotStyleLight16"/>
  <colors>
    <mruColors>
      <color rgb="FF00FF00"/>
      <color rgb="FF29E382"/>
      <color rgb="FF99FFCC"/>
      <color rgb="FFF9BDF5"/>
      <color rgb="FFFFFFCC"/>
      <color rgb="FFFCDEFE"/>
      <color rgb="FF79FF79"/>
      <color rgb="FFFF99FF"/>
      <color rgb="FF00FF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303" Type="http://schemas.openxmlformats.org/officeDocument/2006/relationships/worksheet" Target="worksheets/sheet303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35" Type="http://schemas.openxmlformats.org/officeDocument/2006/relationships/worksheet" Target="worksheets/sheet335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25" Type="http://schemas.openxmlformats.org/officeDocument/2006/relationships/worksheet" Target="worksheets/sheet325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worksheet" Target="worksheets/sheet315.xml"/><Relationship Id="rId336" Type="http://schemas.openxmlformats.org/officeDocument/2006/relationships/worksheet" Target="worksheets/sheet336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2" Type="http://schemas.openxmlformats.org/officeDocument/2006/relationships/worksheet" Target="worksheets/sheet302.xml"/><Relationship Id="rId307" Type="http://schemas.openxmlformats.org/officeDocument/2006/relationships/worksheet" Target="worksheets/sheet307.xml"/><Relationship Id="rId323" Type="http://schemas.openxmlformats.org/officeDocument/2006/relationships/worksheet" Target="worksheets/sheet323.xml"/><Relationship Id="rId328" Type="http://schemas.openxmlformats.org/officeDocument/2006/relationships/worksheet" Target="worksheets/sheet328.xml"/><Relationship Id="rId344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3" Type="http://schemas.openxmlformats.org/officeDocument/2006/relationships/worksheet" Target="worksheets/sheet31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334" Type="http://schemas.openxmlformats.org/officeDocument/2006/relationships/worksheet" Target="worksheets/sheet33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theme" Target="theme/theme1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styles" Target="styles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454025</xdr:colOff>
      <xdr:row>28</xdr:row>
      <xdr:rowOff>109855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5601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940425" cy="50171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9</xdr:col>
      <xdr:colOff>454025</xdr:colOff>
      <xdr:row>48</xdr:row>
      <xdr:rowOff>43180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5601-000003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433060"/>
          <a:ext cx="5940425" cy="3022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7</xdr:col>
      <xdr:colOff>170815</xdr:colOff>
      <xdr:row>97</xdr:row>
      <xdr:rowOff>172085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5601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8763000"/>
          <a:ext cx="4438015" cy="84093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8.bin"/></Relationships>
</file>

<file path=xl/worksheets/_rels/sheet3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T341"/>
  <sheetViews>
    <sheetView tabSelected="1" view="pageBreakPreview" topLeftCell="A33" zoomScale="110" zoomScaleNormal="100" zoomScaleSheetLayoutView="110" workbookViewId="0">
      <selection activeCell="I73" sqref="I73"/>
    </sheetView>
  </sheetViews>
  <sheetFormatPr defaultColWidth="8.88671875" defaultRowHeight="13.2" x14ac:dyDescent="0.25"/>
  <cols>
    <col min="1" max="1" width="5.33203125" style="86" customWidth="1"/>
    <col min="2" max="2" width="10.6640625" style="86" customWidth="1"/>
    <col min="3" max="3" width="9.6640625" style="409" hidden="1" customWidth="1"/>
    <col min="4" max="4" width="56.44140625" style="86" customWidth="1"/>
    <col min="5" max="5" width="5.33203125" style="86" customWidth="1"/>
    <col min="6" max="6" width="10.88671875" style="86" customWidth="1"/>
    <col min="7" max="7" width="8.6640625" style="86" customWidth="1"/>
    <col min="8" max="8" width="12.6640625" style="86" customWidth="1"/>
    <col min="9" max="16384" width="8.88671875" style="86"/>
  </cols>
  <sheetData>
    <row r="1" spans="1:7" ht="17.399999999999999" customHeight="1" x14ac:dyDescent="0.25">
      <c r="A1" s="1389" t="s">
        <v>80</v>
      </c>
      <c r="B1" s="1389"/>
      <c r="C1" s="1389"/>
      <c r="D1" s="1389"/>
      <c r="E1" s="1389"/>
      <c r="F1" s="1389"/>
    </row>
    <row r="2" spans="1:7" ht="18.600000000000001" customHeight="1" x14ac:dyDescent="0.3">
      <c r="A2" s="1388" t="s">
        <v>905</v>
      </c>
      <c r="B2" s="1388"/>
      <c r="C2" s="1388"/>
      <c r="D2" s="1388"/>
      <c r="E2" s="1388"/>
      <c r="F2" s="1388"/>
    </row>
    <row r="3" spans="1:7" ht="51" customHeight="1" x14ac:dyDescent="0.25">
      <c r="A3" s="1390" t="s">
        <v>1402</v>
      </c>
      <c r="B3" s="1390"/>
      <c r="C3" s="1390"/>
      <c r="D3" s="1390"/>
      <c r="E3" s="1390"/>
      <c r="F3" s="1390"/>
    </row>
    <row r="4" spans="1:7" s="409" customFormat="1" ht="16.2" customHeight="1" x14ac:dyDescent="0.25">
      <c r="A4" s="1391"/>
      <c r="B4" s="1391"/>
      <c r="C4" s="1072"/>
      <c r="D4" s="1072" t="s">
        <v>1401</v>
      </c>
      <c r="E4" s="1072"/>
      <c r="F4" s="1072"/>
    </row>
    <row r="5" spans="1:7" ht="50.4" customHeight="1" x14ac:dyDescent="0.25">
      <c r="A5" s="1077" t="s">
        <v>81</v>
      </c>
      <c r="B5" s="1077"/>
      <c r="C5" s="1077"/>
      <c r="D5" s="1077" t="s">
        <v>82</v>
      </c>
      <c r="E5" s="1078" t="s">
        <v>907</v>
      </c>
      <c r="F5" s="88" t="s">
        <v>906</v>
      </c>
    </row>
    <row r="6" spans="1:7" ht="21" customHeight="1" x14ac:dyDescent="0.25">
      <c r="A6" s="165"/>
      <c r="B6" s="165"/>
      <c r="C6" s="165"/>
      <c r="D6" s="336" t="s">
        <v>425</v>
      </c>
      <c r="E6" s="164"/>
      <c r="F6" s="165"/>
      <c r="G6" s="337"/>
    </row>
    <row r="7" spans="1:7" ht="15" customHeight="1" x14ac:dyDescent="0.25">
      <c r="A7" s="138">
        <v>1</v>
      </c>
      <c r="B7" s="138" t="s">
        <v>252</v>
      </c>
      <c r="C7" s="414"/>
      <c r="D7" s="1339" t="s">
        <v>235</v>
      </c>
      <c r="E7" s="136" t="s">
        <v>138</v>
      </c>
      <c r="F7" s="1372">
        <v>560</v>
      </c>
      <c r="G7" s="337"/>
    </row>
    <row r="8" spans="1:7" ht="15" customHeight="1" x14ac:dyDescent="0.25">
      <c r="A8" s="138">
        <v>2</v>
      </c>
      <c r="B8" s="138" t="s">
        <v>251</v>
      </c>
      <c r="C8" s="414"/>
      <c r="D8" s="1339" t="s">
        <v>1253</v>
      </c>
      <c r="E8" s="136" t="s">
        <v>138</v>
      </c>
      <c r="F8" s="1373">
        <v>193</v>
      </c>
      <c r="G8" s="337"/>
    </row>
    <row r="9" spans="1:7" s="409" customFormat="1" ht="15" customHeight="1" x14ac:dyDescent="0.25">
      <c r="A9" s="414">
        <v>3</v>
      </c>
      <c r="B9" s="414"/>
      <c r="C9" s="414"/>
      <c r="D9" s="1339" t="s">
        <v>676</v>
      </c>
      <c r="E9" s="412" t="s">
        <v>138</v>
      </c>
      <c r="F9" s="1373">
        <v>195</v>
      </c>
      <c r="G9" s="337" t="s">
        <v>1390</v>
      </c>
    </row>
    <row r="10" spans="1:7" s="409" customFormat="1" ht="15" customHeight="1" x14ac:dyDescent="0.25">
      <c r="A10" s="414">
        <v>4</v>
      </c>
      <c r="B10" s="414"/>
      <c r="C10" s="414"/>
      <c r="D10" s="1339" t="s">
        <v>781</v>
      </c>
      <c r="E10" s="412" t="s">
        <v>138</v>
      </c>
      <c r="F10" s="1345">
        <v>320</v>
      </c>
      <c r="G10" s="337"/>
    </row>
    <row r="11" spans="1:7" ht="15" customHeight="1" x14ac:dyDescent="0.25">
      <c r="A11" s="414">
        <v>5</v>
      </c>
      <c r="B11" s="138"/>
      <c r="C11" s="414"/>
      <c r="D11" s="540" t="s">
        <v>922</v>
      </c>
      <c r="E11" s="136" t="s">
        <v>138</v>
      </c>
      <c r="F11" s="1373">
        <v>325</v>
      </c>
      <c r="G11" s="337">
        <v>425</v>
      </c>
    </row>
    <row r="12" spans="1:7" ht="15" customHeight="1" x14ac:dyDescent="0.25">
      <c r="A12" s="414">
        <v>6</v>
      </c>
      <c r="B12" s="138"/>
      <c r="C12" s="414"/>
      <c r="D12" s="540" t="s">
        <v>330</v>
      </c>
      <c r="E12" s="136" t="s">
        <v>138</v>
      </c>
      <c r="F12" s="1373">
        <v>400</v>
      </c>
      <c r="G12" s="337"/>
    </row>
    <row r="13" spans="1:7" ht="15" customHeight="1" x14ac:dyDescent="0.25">
      <c r="A13" s="414">
        <v>7</v>
      </c>
      <c r="B13" s="134" t="s">
        <v>250</v>
      </c>
      <c r="C13" s="134"/>
      <c r="D13" s="1339" t="s">
        <v>249</v>
      </c>
      <c r="E13" s="136" t="s">
        <v>138</v>
      </c>
      <c r="F13" s="1373">
        <v>100</v>
      </c>
      <c r="G13" s="337"/>
    </row>
    <row r="14" spans="1:7" ht="15" customHeight="1" x14ac:dyDescent="0.25">
      <c r="A14" s="414">
        <v>8</v>
      </c>
      <c r="B14" s="134"/>
      <c r="C14" s="134"/>
      <c r="D14" s="413" t="s">
        <v>248</v>
      </c>
      <c r="E14" s="136" t="s">
        <v>138</v>
      </c>
      <c r="F14" s="1374">
        <v>178</v>
      </c>
      <c r="G14" s="337"/>
    </row>
    <row r="15" spans="1:7" s="409" customFormat="1" ht="15" customHeight="1" x14ac:dyDescent="0.25">
      <c r="A15" s="414">
        <v>9</v>
      </c>
      <c r="B15" s="134"/>
      <c r="C15" s="134"/>
      <c r="D15" s="540" t="s">
        <v>790</v>
      </c>
      <c r="E15" s="412" t="s">
        <v>138</v>
      </c>
      <c r="F15" s="1374">
        <v>400</v>
      </c>
      <c r="G15" s="337"/>
    </row>
    <row r="16" spans="1:7" s="409" customFormat="1" ht="15" customHeight="1" x14ac:dyDescent="0.25">
      <c r="A16" s="414">
        <v>10</v>
      </c>
      <c r="B16" s="134"/>
      <c r="C16" s="134"/>
      <c r="D16" s="1339" t="s">
        <v>791</v>
      </c>
      <c r="E16" s="412" t="s">
        <v>138</v>
      </c>
      <c r="F16" s="1374">
        <v>332</v>
      </c>
      <c r="G16" s="337"/>
    </row>
    <row r="17" spans="1:9" ht="15" customHeight="1" x14ac:dyDescent="0.25">
      <c r="A17" s="414">
        <v>11</v>
      </c>
      <c r="B17" s="134"/>
      <c r="C17" s="134"/>
      <c r="D17" s="540" t="s">
        <v>537</v>
      </c>
      <c r="E17" s="136" t="s">
        <v>138</v>
      </c>
      <c r="F17" s="536">
        <v>180</v>
      </c>
      <c r="G17" s="337"/>
    </row>
    <row r="18" spans="1:9" ht="15" customHeight="1" x14ac:dyDescent="0.25">
      <c r="A18" s="139"/>
      <c r="B18" s="143"/>
      <c r="C18" s="143"/>
      <c r="D18" s="140" t="s">
        <v>260</v>
      </c>
      <c r="E18" s="139"/>
      <c r="F18" s="155">
        <f>SUM(F7:F17)</f>
        <v>3183</v>
      </c>
      <c r="G18" s="338"/>
      <c r="H18" s="86" t="s">
        <v>318</v>
      </c>
    </row>
    <row r="19" spans="1:9" ht="21" customHeight="1" x14ac:dyDescent="0.25">
      <c r="A19" s="135"/>
      <c r="B19" s="144"/>
      <c r="C19" s="144"/>
      <c r="D19" s="135" t="s">
        <v>424</v>
      </c>
      <c r="E19" s="135"/>
      <c r="F19" s="153"/>
      <c r="G19" s="337"/>
    </row>
    <row r="20" spans="1:9" ht="14.1" customHeight="1" x14ac:dyDescent="0.25">
      <c r="A20" s="339">
        <v>12</v>
      </c>
      <c r="B20" s="134" t="s">
        <v>253</v>
      </c>
      <c r="C20" s="134"/>
      <c r="D20" s="1340" t="s">
        <v>236</v>
      </c>
      <c r="E20" s="132" t="s">
        <v>83</v>
      </c>
      <c r="F20" s="537">
        <v>80</v>
      </c>
      <c r="G20" s="337"/>
    </row>
    <row r="21" spans="1:9" ht="14.1" customHeight="1" x14ac:dyDescent="0.25">
      <c r="A21" s="339">
        <v>13</v>
      </c>
      <c r="B21" s="134" t="s">
        <v>254</v>
      </c>
      <c r="C21" s="134"/>
      <c r="D21" s="1340" t="s">
        <v>246</v>
      </c>
      <c r="E21" s="132" t="s">
        <v>138</v>
      </c>
      <c r="F21" s="537">
        <v>710</v>
      </c>
      <c r="G21" s="337"/>
    </row>
    <row r="22" spans="1:9" ht="14.1" customHeight="1" x14ac:dyDescent="0.25">
      <c r="A22" s="415">
        <v>14</v>
      </c>
      <c r="B22" s="134" t="s">
        <v>255</v>
      </c>
      <c r="C22" s="134"/>
      <c r="D22" s="1340" t="s">
        <v>324</v>
      </c>
      <c r="E22" s="132" t="s">
        <v>138</v>
      </c>
      <c r="F22" s="537">
        <v>719</v>
      </c>
      <c r="G22" s="337"/>
    </row>
    <row r="23" spans="1:9" ht="14.1" customHeight="1" x14ac:dyDescent="0.25">
      <c r="A23" s="415">
        <v>15</v>
      </c>
      <c r="B23" s="134" t="s">
        <v>256</v>
      </c>
      <c r="C23" s="134"/>
      <c r="D23" s="1340" t="s">
        <v>714</v>
      </c>
      <c r="E23" s="132" t="s">
        <v>138</v>
      </c>
      <c r="F23" s="537">
        <v>350</v>
      </c>
      <c r="G23" s="337"/>
    </row>
    <row r="24" spans="1:9" ht="14.1" customHeight="1" x14ac:dyDescent="0.25">
      <c r="A24" s="415">
        <v>16</v>
      </c>
      <c r="B24" s="134" t="s">
        <v>257</v>
      </c>
      <c r="C24" s="134"/>
      <c r="D24" s="1340" t="s">
        <v>79</v>
      </c>
      <c r="E24" s="132" t="s">
        <v>83</v>
      </c>
      <c r="F24" s="537">
        <v>234</v>
      </c>
      <c r="G24" s="337"/>
    </row>
    <row r="25" spans="1:9" ht="14.1" customHeight="1" x14ac:dyDescent="0.25">
      <c r="A25" s="415">
        <v>17</v>
      </c>
      <c r="B25" s="134" t="s">
        <v>258</v>
      </c>
      <c r="C25" s="134"/>
      <c r="D25" s="1340" t="s">
        <v>259</v>
      </c>
      <c r="E25" s="132" t="s">
        <v>138</v>
      </c>
      <c r="F25" s="537">
        <v>250</v>
      </c>
      <c r="G25" s="337"/>
    </row>
    <row r="26" spans="1:9" s="409" customFormat="1" ht="14.1" hidden="1" customHeight="1" x14ac:dyDescent="0.25">
      <c r="A26" s="415">
        <v>18</v>
      </c>
      <c r="B26" s="134"/>
      <c r="C26" s="134"/>
      <c r="D26" s="542" t="s">
        <v>712</v>
      </c>
      <c r="E26" s="132" t="s">
        <v>138</v>
      </c>
      <c r="F26" s="537">
        <v>108</v>
      </c>
      <c r="G26" s="337" t="s">
        <v>1264</v>
      </c>
    </row>
    <row r="27" spans="1:9" s="409" customFormat="1" ht="14.1" hidden="1" customHeight="1" x14ac:dyDescent="0.25">
      <c r="A27" s="415">
        <v>19</v>
      </c>
      <c r="B27" s="134"/>
      <c r="C27" s="134"/>
      <c r="D27" s="542" t="s">
        <v>713</v>
      </c>
      <c r="E27" s="132" t="s">
        <v>138</v>
      </c>
      <c r="F27" s="537">
        <v>125</v>
      </c>
      <c r="G27" s="337"/>
    </row>
    <row r="28" spans="1:9" s="409" customFormat="1" ht="14.1" customHeight="1" x14ac:dyDescent="0.25">
      <c r="A28" s="415">
        <v>20</v>
      </c>
      <c r="B28" s="134"/>
      <c r="C28" s="134"/>
      <c r="D28" s="1340" t="s">
        <v>1386</v>
      </c>
      <c r="E28" s="132" t="s">
        <v>138</v>
      </c>
      <c r="F28" s="537">
        <v>440</v>
      </c>
      <c r="G28" s="337">
        <v>44</v>
      </c>
    </row>
    <row r="29" spans="1:9" ht="14.1" hidden="1" customHeight="1" x14ac:dyDescent="0.25">
      <c r="A29" s="415">
        <v>21</v>
      </c>
      <c r="B29" s="415" t="s">
        <v>674</v>
      </c>
      <c r="C29" s="415"/>
      <c r="D29" s="540" t="s">
        <v>675</v>
      </c>
      <c r="E29" s="132" t="s">
        <v>138</v>
      </c>
      <c r="F29" s="537">
        <v>320</v>
      </c>
      <c r="G29" s="337"/>
    </row>
    <row r="30" spans="1:9" ht="15" customHeight="1" x14ac:dyDescent="0.3">
      <c r="A30" s="415">
        <v>22</v>
      </c>
      <c r="B30" s="339" t="s">
        <v>303</v>
      </c>
      <c r="C30" s="415"/>
      <c r="D30" s="1339" t="s">
        <v>1388</v>
      </c>
      <c r="E30" s="340" t="s">
        <v>138</v>
      </c>
      <c r="F30" s="1344">
        <f>H30</f>
        <v>152.16999999999999</v>
      </c>
      <c r="G30" s="884">
        <v>7</v>
      </c>
      <c r="H30" s="86">
        <f>G30/0.46*10</f>
        <v>152.173913043478</v>
      </c>
      <c r="I30" s="409" t="s">
        <v>596</v>
      </c>
    </row>
    <row r="31" spans="1:9" ht="19.95" customHeight="1" x14ac:dyDescent="0.25">
      <c r="A31" s="341"/>
      <c r="B31" s="342"/>
      <c r="C31" s="342"/>
      <c r="D31" s="156" t="s">
        <v>261</v>
      </c>
      <c r="E31" s="343"/>
      <c r="F31" s="700">
        <f>SUM(F20:F30)</f>
        <v>3488.17</v>
      </c>
      <c r="G31" s="337"/>
    </row>
    <row r="32" spans="1:9" ht="19.95" customHeight="1" x14ac:dyDescent="0.25">
      <c r="A32" s="344"/>
      <c r="B32" s="344"/>
      <c r="C32" s="344"/>
      <c r="D32" s="135" t="s">
        <v>274</v>
      </c>
      <c r="E32" s="345"/>
      <c r="F32" s="166"/>
      <c r="G32" s="337"/>
    </row>
    <row r="33" spans="1:7" ht="14.1" customHeight="1" x14ac:dyDescent="0.25">
      <c r="A33" s="339">
        <v>23</v>
      </c>
      <c r="B33" s="134" t="s">
        <v>262</v>
      </c>
      <c r="C33" s="134"/>
      <c r="D33" s="1340" t="s">
        <v>53</v>
      </c>
      <c r="E33" s="132" t="s">
        <v>138</v>
      </c>
      <c r="F33" s="1343">
        <v>53</v>
      </c>
      <c r="G33" s="337"/>
    </row>
    <row r="34" spans="1:7" s="409" customFormat="1" ht="14.1" hidden="1" customHeight="1" x14ac:dyDescent="0.25">
      <c r="A34" s="415">
        <v>24</v>
      </c>
      <c r="B34" s="546"/>
      <c r="C34" s="546"/>
      <c r="D34" s="542" t="s">
        <v>820</v>
      </c>
      <c r="E34" s="141" t="s">
        <v>138</v>
      </c>
      <c r="F34" s="1371">
        <v>20</v>
      </c>
      <c r="G34" s="337"/>
    </row>
    <row r="35" spans="1:7" ht="14.1" customHeight="1" x14ac:dyDescent="0.25">
      <c r="A35" s="415">
        <v>25</v>
      </c>
      <c r="B35" s="134" t="s">
        <v>263</v>
      </c>
      <c r="C35" s="134"/>
      <c r="D35" s="1340" t="s">
        <v>50</v>
      </c>
      <c r="E35" s="141" t="s">
        <v>138</v>
      </c>
      <c r="F35" s="1343">
        <v>50</v>
      </c>
      <c r="G35" s="337"/>
    </row>
    <row r="36" spans="1:7" ht="13.65" hidden="1" customHeight="1" x14ac:dyDescent="0.25">
      <c r="A36" s="415">
        <v>26</v>
      </c>
      <c r="B36" s="134"/>
      <c r="C36" s="134"/>
      <c r="D36" s="542" t="s">
        <v>556</v>
      </c>
      <c r="E36" s="141" t="s">
        <v>138</v>
      </c>
      <c r="F36" s="1371">
        <v>25</v>
      </c>
      <c r="G36" s="337"/>
    </row>
    <row r="37" spans="1:7" ht="13.65" customHeight="1" x14ac:dyDescent="0.25">
      <c r="A37" s="415">
        <v>27</v>
      </c>
      <c r="B37" s="134" t="s">
        <v>264</v>
      </c>
      <c r="C37" s="134"/>
      <c r="D37" s="1340" t="s">
        <v>265</v>
      </c>
      <c r="E37" s="141" t="s">
        <v>138</v>
      </c>
      <c r="F37" s="1343">
        <v>180</v>
      </c>
      <c r="G37" s="337"/>
    </row>
    <row r="38" spans="1:7" ht="13.65" customHeight="1" x14ac:dyDescent="0.25">
      <c r="A38" s="415">
        <v>28</v>
      </c>
      <c r="B38" s="134" t="s">
        <v>266</v>
      </c>
      <c r="C38" s="134"/>
      <c r="D38" s="1340" t="s">
        <v>48</v>
      </c>
      <c r="E38" s="141" t="s">
        <v>138</v>
      </c>
      <c r="F38" s="1343">
        <v>50</v>
      </c>
      <c r="G38" s="337"/>
    </row>
    <row r="39" spans="1:7" ht="13.65" customHeight="1" x14ac:dyDescent="0.25">
      <c r="A39" s="415">
        <v>29</v>
      </c>
      <c r="B39" s="134"/>
      <c r="C39" s="134"/>
      <c r="D39" s="1340" t="s">
        <v>337</v>
      </c>
      <c r="E39" s="141" t="s">
        <v>138</v>
      </c>
      <c r="F39" s="1371">
        <v>300</v>
      </c>
      <c r="G39" s="337"/>
    </row>
    <row r="40" spans="1:7" ht="13.65" hidden="1" customHeight="1" x14ac:dyDescent="0.25">
      <c r="A40" s="415">
        <v>30</v>
      </c>
      <c r="B40" s="134"/>
      <c r="C40" s="134"/>
      <c r="D40" s="542" t="s">
        <v>335</v>
      </c>
      <c r="E40" s="141" t="s">
        <v>138</v>
      </c>
      <c r="F40" s="1371">
        <v>200</v>
      </c>
      <c r="G40" s="337"/>
    </row>
    <row r="41" spans="1:7" ht="13.65" customHeight="1" x14ac:dyDescent="0.25">
      <c r="A41" s="415">
        <v>31</v>
      </c>
      <c r="B41" s="134"/>
      <c r="C41" s="134"/>
      <c r="D41" s="1340" t="s">
        <v>376</v>
      </c>
      <c r="E41" s="141" t="s">
        <v>138</v>
      </c>
      <c r="F41" s="1343">
        <v>106</v>
      </c>
      <c r="G41" s="337"/>
    </row>
    <row r="42" spans="1:7" ht="13.65" customHeight="1" x14ac:dyDescent="0.25">
      <c r="A42" s="415">
        <v>32</v>
      </c>
      <c r="B42" s="134"/>
      <c r="C42" s="134"/>
      <c r="D42" s="1340" t="s">
        <v>377</v>
      </c>
      <c r="E42" s="141" t="s">
        <v>138</v>
      </c>
      <c r="F42" s="1343">
        <v>60</v>
      </c>
      <c r="G42" s="337"/>
    </row>
    <row r="43" spans="1:7" ht="13.65" hidden="1" customHeight="1" x14ac:dyDescent="0.25">
      <c r="A43" s="415">
        <v>33</v>
      </c>
      <c r="B43" s="134"/>
      <c r="C43" s="134"/>
      <c r="D43" s="542" t="s">
        <v>508</v>
      </c>
      <c r="E43" s="141" t="s">
        <v>138</v>
      </c>
      <c r="F43" s="1371">
        <v>200</v>
      </c>
      <c r="G43" s="337"/>
    </row>
    <row r="44" spans="1:7" ht="13.65" customHeight="1" x14ac:dyDescent="0.25">
      <c r="A44" s="415">
        <v>34</v>
      </c>
      <c r="B44" s="134" t="s">
        <v>267</v>
      </c>
      <c r="C44" s="134"/>
      <c r="D44" s="1340" t="s">
        <v>237</v>
      </c>
      <c r="E44" s="141" t="s">
        <v>138</v>
      </c>
      <c r="F44" s="1343">
        <v>50</v>
      </c>
      <c r="G44" s="337"/>
    </row>
    <row r="45" spans="1:7" s="409" customFormat="1" ht="13.65" hidden="1" customHeight="1" x14ac:dyDescent="0.25">
      <c r="A45" s="415">
        <v>35</v>
      </c>
      <c r="B45" s="546"/>
      <c r="C45" s="546"/>
      <c r="D45" s="542" t="s">
        <v>819</v>
      </c>
      <c r="E45" s="141" t="s">
        <v>138</v>
      </c>
      <c r="F45" s="1371">
        <v>35</v>
      </c>
      <c r="G45" s="337"/>
    </row>
    <row r="46" spans="1:7" ht="13.65" hidden="1" customHeight="1" x14ac:dyDescent="0.25">
      <c r="A46" s="415">
        <v>36</v>
      </c>
      <c r="B46" s="134"/>
      <c r="C46" s="134"/>
      <c r="D46" s="542" t="s">
        <v>373</v>
      </c>
      <c r="E46" s="141" t="s">
        <v>138</v>
      </c>
      <c r="F46" s="1371">
        <v>250</v>
      </c>
      <c r="G46" s="337"/>
    </row>
    <row r="47" spans="1:7" ht="13.65" customHeight="1" x14ac:dyDescent="0.25">
      <c r="A47" s="415">
        <v>37</v>
      </c>
      <c r="B47" s="134" t="s">
        <v>268</v>
      </c>
      <c r="C47" s="134"/>
      <c r="D47" s="1340" t="s">
        <v>269</v>
      </c>
      <c r="E47" s="141" t="s">
        <v>138</v>
      </c>
      <c r="F47" s="1371">
        <v>300</v>
      </c>
      <c r="G47" s="337"/>
    </row>
    <row r="48" spans="1:7" ht="13.65" customHeight="1" x14ac:dyDescent="0.25">
      <c r="A48" s="415">
        <v>38</v>
      </c>
      <c r="B48" s="134" t="s">
        <v>268</v>
      </c>
      <c r="C48" s="134"/>
      <c r="D48" s="1340" t="s">
        <v>78</v>
      </c>
      <c r="E48" s="141" t="s">
        <v>138</v>
      </c>
      <c r="F48" s="1371">
        <v>300</v>
      </c>
      <c r="G48" s="337"/>
    </row>
    <row r="49" spans="1:10" ht="13.65" hidden="1" customHeight="1" x14ac:dyDescent="0.25">
      <c r="A49" s="415">
        <v>39</v>
      </c>
      <c r="B49" s="134"/>
      <c r="C49" s="134"/>
      <c r="D49" s="542" t="s">
        <v>542</v>
      </c>
      <c r="E49" s="141" t="s">
        <v>138</v>
      </c>
      <c r="F49" s="1371">
        <v>260</v>
      </c>
      <c r="G49" s="337"/>
    </row>
    <row r="50" spans="1:10" ht="13.65" hidden="1" customHeight="1" x14ac:dyDescent="0.25">
      <c r="A50" s="415">
        <v>40</v>
      </c>
      <c r="B50" s="134"/>
      <c r="C50" s="134"/>
      <c r="D50" s="542" t="s">
        <v>543</v>
      </c>
      <c r="E50" s="141" t="s">
        <v>138</v>
      </c>
      <c r="F50" s="1371">
        <v>260</v>
      </c>
      <c r="G50" s="886"/>
    </row>
    <row r="51" spans="1:10" ht="13.65" customHeight="1" x14ac:dyDescent="0.25">
      <c r="A51" s="415">
        <v>41</v>
      </c>
      <c r="B51" s="134" t="s">
        <v>270</v>
      </c>
      <c r="C51" s="134"/>
      <c r="D51" s="1340" t="s">
        <v>230</v>
      </c>
      <c r="E51" s="141" t="s">
        <v>138</v>
      </c>
      <c r="F51" s="1343">
        <v>30</v>
      </c>
      <c r="G51" s="886"/>
    </row>
    <row r="52" spans="1:10" s="409" customFormat="1" ht="13.65" hidden="1" customHeight="1" x14ac:dyDescent="0.25">
      <c r="A52" s="415">
        <v>42</v>
      </c>
      <c r="B52" s="134"/>
      <c r="C52" s="134"/>
      <c r="D52" s="542" t="s">
        <v>821</v>
      </c>
      <c r="E52" s="141" t="s">
        <v>138</v>
      </c>
      <c r="F52" s="1371">
        <v>36</v>
      </c>
      <c r="G52" s="886"/>
    </row>
    <row r="53" spans="1:10" ht="13.65" hidden="1" customHeight="1" x14ac:dyDescent="0.25">
      <c r="A53" s="415">
        <v>43</v>
      </c>
      <c r="B53" s="134" t="s">
        <v>471</v>
      </c>
      <c r="C53" s="134"/>
      <c r="D53" s="542" t="s">
        <v>466</v>
      </c>
      <c r="E53" s="141" t="s">
        <v>138</v>
      </c>
      <c r="F53" s="1371">
        <v>160</v>
      </c>
      <c r="G53" s="886"/>
    </row>
    <row r="54" spans="1:10" ht="13.65" hidden="1" customHeight="1" x14ac:dyDescent="0.25">
      <c r="A54" s="415">
        <v>44</v>
      </c>
      <c r="B54" s="134"/>
      <c r="C54" s="134"/>
      <c r="D54" s="542" t="s">
        <v>659</v>
      </c>
      <c r="E54" s="141" t="s">
        <v>138</v>
      </c>
      <c r="F54" s="1371">
        <v>60</v>
      </c>
      <c r="G54" s="886"/>
    </row>
    <row r="55" spans="1:10" ht="13.65" hidden="1" customHeight="1" x14ac:dyDescent="0.25">
      <c r="A55" s="415">
        <v>45</v>
      </c>
      <c r="B55" s="134" t="s">
        <v>271</v>
      </c>
      <c r="C55" s="134"/>
      <c r="D55" s="542" t="s">
        <v>224</v>
      </c>
      <c r="E55" s="141" t="s">
        <v>138</v>
      </c>
      <c r="F55" s="1371">
        <v>100</v>
      </c>
      <c r="G55" s="886"/>
    </row>
    <row r="56" spans="1:10" ht="13.65" hidden="1" customHeight="1" x14ac:dyDescent="0.25">
      <c r="A56" s="415">
        <v>46</v>
      </c>
      <c r="B56" s="134"/>
      <c r="C56" s="134"/>
      <c r="D56" s="542" t="s">
        <v>522</v>
      </c>
      <c r="E56" s="141" t="s">
        <v>138</v>
      </c>
      <c r="F56" s="1371">
        <v>50</v>
      </c>
      <c r="G56" s="886"/>
      <c r="J56" s="885"/>
    </row>
    <row r="57" spans="1:10" ht="13.65" hidden="1" customHeight="1" x14ac:dyDescent="0.25">
      <c r="A57" s="415">
        <v>47</v>
      </c>
      <c r="B57" s="134"/>
      <c r="C57" s="134"/>
      <c r="D57" s="542" t="s">
        <v>502</v>
      </c>
      <c r="E57" s="141" t="s">
        <v>138</v>
      </c>
      <c r="F57" s="1371">
        <v>160</v>
      </c>
      <c r="G57" s="886"/>
    </row>
    <row r="58" spans="1:10" ht="13.65" hidden="1" customHeight="1" x14ac:dyDescent="0.25">
      <c r="A58" s="415">
        <v>48</v>
      </c>
      <c r="B58" s="134"/>
      <c r="C58" s="134"/>
      <c r="D58" s="542" t="s">
        <v>811</v>
      </c>
      <c r="E58" s="141" t="s">
        <v>138</v>
      </c>
      <c r="F58" s="1371">
        <v>160</v>
      </c>
      <c r="G58" s="886"/>
    </row>
    <row r="59" spans="1:10" s="409" customFormat="1" ht="13.65" hidden="1" customHeight="1" x14ac:dyDescent="0.25">
      <c r="A59" s="415"/>
      <c r="B59" s="134"/>
      <c r="C59" s="134"/>
      <c r="D59" s="542" t="s">
        <v>935</v>
      </c>
      <c r="E59" s="141" t="s">
        <v>138</v>
      </c>
      <c r="F59" s="1371">
        <v>250</v>
      </c>
      <c r="G59" s="886"/>
    </row>
    <row r="60" spans="1:10" s="409" customFormat="1" ht="13.65" hidden="1" customHeight="1" x14ac:dyDescent="0.25">
      <c r="A60" s="415"/>
      <c r="B60" s="134"/>
      <c r="C60" s="134"/>
      <c r="D60" s="542" t="s">
        <v>936</v>
      </c>
      <c r="E60" s="141" t="s">
        <v>138</v>
      </c>
      <c r="F60" s="1371">
        <v>250</v>
      </c>
      <c r="G60" s="886"/>
    </row>
    <row r="61" spans="1:10" s="409" customFormat="1" ht="13.65" hidden="1" customHeight="1" x14ac:dyDescent="0.25">
      <c r="A61" s="415"/>
      <c r="B61" s="134"/>
      <c r="C61" s="134"/>
      <c r="D61" s="542" t="s">
        <v>937</v>
      </c>
      <c r="E61" s="141" t="s">
        <v>138</v>
      </c>
      <c r="F61" s="1371">
        <v>250</v>
      </c>
      <c r="G61" s="886"/>
    </row>
    <row r="62" spans="1:10" ht="13.65" hidden="1" customHeight="1" x14ac:dyDescent="0.25">
      <c r="A62" s="415">
        <v>49</v>
      </c>
      <c r="B62" s="134"/>
      <c r="C62" s="134"/>
      <c r="D62" s="542" t="s">
        <v>504</v>
      </c>
      <c r="E62" s="141" t="s">
        <v>138</v>
      </c>
      <c r="F62" s="1371">
        <v>25</v>
      </c>
      <c r="G62" s="886"/>
    </row>
    <row r="63" spans="1:10" ht="13.65" hidden="1" customHeight="1" x14ac:dyDescent="0.25">
      <c r="A63" s="415">
        <v>50</v>
      </c>
      <c r="B63" s="134"/>
      <c r="C63" s="134"/>
      <c r="D63" s="542" t="s">
        <v>505</v>
      </c>
      <c r="E63" s="141" t="s">
        <v>138</v>
      </c>
      <c r="F63" s="1371">
        <v>25</v>
      </c>
      <c r="G63" s="886"/>
    </row>
    <row r="64" spans="1:10" ht="13.65" customHeight="1" x14ac:dyDescent="0.25">
      <c r="A64" s="415">
        <v>51</v>
      </c>
      <c r="B64" s="134"/>
      <c r="C64" s="134"/>
      <c r="D64" s="1340" t="s">
        <v>229</v>
      </c>
      <c r="E64" s="141" t="s">
        <v>138</v>
      </c>
      <c r="F64" s="1343">
        <v>124</v>
      </c>
      <c r="G64" s="886"/>
    </row>
    <row r="65" spans="1:7" ht="13.65" hidden="1" customHeight="1" x14ac:dyDescent="0.25">
      <c r="A65" s="415">
        <v>52</v>
      </c>
      <c r="B65" s="134"/>
      <c r="C65" s="134"/>
      <c r="D65" s="542" t="s">
        <v>818</v>
      </c>
      <c r="E65" s="141" t="s">
        <v>138</v>
      </c>
      <c r="F65" s="1371">
        <v>120</v>
      </c>
      <c r="G65" s="886"/>
    </row>
    <row r="66" spans="1:7" ht="13.65" customHeight="1" x14ac:dyDescent="0.25">
      <c r="A66" s="415">
        <v>53</v>
      </c>
      <c r="B66" s="134"/>
      <c r="C66" s="134"/>
      <c r="D66" s="1340" t="s">
        <v>494</v>
      </c>
      <c r="E66" s="141" t="s">
        <v>138</v>
      </c>
      <c r="F66" s="1342">
        <v>115</v>
      </c>
      <c r="G66" s="886"/>
    </row>
    <row r="67" spans="1:7" ht="13.65" customHeight="1" x14ac:dyDescent="0.25">
      <c r="A67" s="415">
        <v>54</v>
      </c>
      <c r="B67" s="134"/>
      <c r="C67" s="134"/>
      <c r="D67" s="1340" t="s">
        <v>495</v>
      </c>
      <c r="E67" s="141" t="s">
        <v>138</v>
      </c>
      <c r="F67" s="1343">
        <v>240</v>
      </c>
      <c r="G67" s="886"/>
    </row>
    <row r="68" spans="1:7" ht="13.65" hidden="1" customHeight="1" x14ac:dyDescent="0.25">
      <c r="A68" s="415">
        <v>55</v>
      </c>
      <c r="B68" s="134"/>
      <c r="C68" s="134"/>
      <c r="D68" s="542" t="s">
        <v>500</v>
      </c>
      <c r="E68" s="141" t="s">
        <v>138</v>
      </c>
      <c r="F68" s="538">
        <v>180</v>
      </c>
      <c r="G68" s="886"/>
    </row>
    <row r="69" spans="1:7" ht="13.65" hidden="1" customHeight="1" x14ac:dyDescent="0.25">
      <c r="A69" s="415">
        <v>56</v>
      </c>
      <c r="B69" s="134"/>
      <c r="C69" s="134"/>
      <c r="D69" s="542" t="s">
        <v>501</v>
      </c>
      <c r="E69" s="141" t="s">
        <v>138</v>
      </c>
      <c r="F69" s="538">
        <v>180</v>
      </c>
      <c r="G69" s="886"/>
    </row>
    <row r="70" spans="1:7" ht="13.65" hidden="1" customHeight="1" x14ac:dyDescent="0.25">
      <c r="A70" s="415">
        <v>57</v>
      </c>
      <c r="B70" s="134"/>
      <c r="C70" s="134"/>
      <c r="D70" s="542" t="s">
        <v>496</v>
      </c>
      <c r="E70" s="132" t="s">
        <v>138</v>
      </c>
      <c r="F70" s="538">
        <v>250</v>
      </c>
      <c r="G70" s="886"/>
    </row>
    <row r="71" spans="1:7" ht="14.1" customHeight="1" x14ac:dyDescent="0.25">
      <c r="A71" s="415">
        <v>58</v>
      </c>
      <c r="B71" s="134" t="s">
        <v>272</v>
      </c>
      <c r="C71" s="134"/>
      <c r="D71" s="1340" t="s">
        <v>273</v>
      </c>
      <c r="E71" s="132" t="s">
        <v>138</v>
      </c>
      <c r="F71" s="1343">
        <v>91</v>
      </c>
      <c r="G71" s="886"/>
    </row>
    <row r="72" spans="1:7" ht="15.6" customHeight="1" x14ac:dyDescent="0.25">
      <c r="A72" s="341"/>
      <c r="B72" s="342"/>
      <c r="C72" s="342"/>
      <c r="D72" s="156" t="s">
        <v>275</v>
      </c>
      <c r="E72" s="343"/>
      <c r="F72" s="154">
        <f>SUM(F33:F71)</f>
        <v>5555</v>
      </c>
      <c r="G72" s="337"/>
    </row>
    <row r="73" spans="1:7" ht="26.4" customHeight="1" x14ac:dyDescent="0.25">
      <c r="A73" s="344"/>
      <c r="B73" s="344"/>
      <c r="C73" s="344"/>
      <c r="D73" s="135" t="s">
        <v>276</v>
      </c>
      <c r="E73" s="345"/>
      <c r="F73" s="137"/>
      <c r="G73" s="337"/>
    </row>
    <row r="74" spans="1:7" ht="15" customHeight="1" x14ac:dyDescent="0.25">
      <c r="A74" s="339">
        <v>59</v>
      </c>
      <c r="B74" s="339" t="s">
        <v>277</v>
      </c>
      <c r="C74" s="415"/>
      <c r="D74" s="1339" t="s">
        <v>234</v>
      </c>
      <c r="E74" s="340" t="s">
        <v>138</v>
      </c>
      <c r="F74" s="539">
        <v>36</v>
      </c>
      <c r="G74" s="337"/>
    </row>
    <row r="75" spans="1:7" ht="15" customHeight="1" x14ac:dyDescent="0.25">
      <c r="A75" s="339">
        <v>60</v>
      </c>
      <c r="B75" s="339" t="s">
        <v>278</v>
      </c>
      <c r="C75" s="415"/>
      <c r="D75" s="1339" t="s">
        <v>279</v>
      </c>
      <c r="E75" s="340" t="s">
        <v>138</v>
      </c>
      <c r="F75" s="1344">
        <v>100</v>
      </c>
      <c r="G75" s="337"/>
    </row>
    <row r="76" spans="1:7" ht="15" customHeight="1" x14ac:dyDescent="0.25">
      <c r="A76" s="415">
        <v>61</v>
      </c>
      <c r="B76" s="339" t="s">
        <v>280</v>
      </c>
      <c r="C76" s="415"/>
      <c r="D76" s="1339" t="s">
        <v>66</v>
      </c>
      <c r="E76" s="340" t="s">
        <v>138</v>
      </c>
      <c r="F76" s="1370">
        <v>40</v>
      </c>
      <c r="G76" s="337"/>
    </row>
    <row r="77" spans="1:7" ht="15" customHeight="1" x14ac:dyDescent="0.25">
      <c r="A77" s="415">
        <v>62</v>
      </c>
      <c r="B77" s="339"/>
      <c r="C77" s="415"/>
      <c r="D77" s="540" t="s">
        <v>340</v>
      </c>
      <c r="E77" s="340" t="s">
        <v>138</v>
      </c>
      <c r="F77" s="1370">
        <v>40</v>
      </c>
      <c r="G77" s="337"/>
    </row>
    <row r="78" spans="1:7" s="409" customFormat="1" ht="15" customHeight="1" x14ac:dyDescent="0.25">
      <c r="A78" s="415">
        <v>63</v>
      </c>
      <c r="B78" s="415"/>
      <c r="C78" s="415"/>
      <c r="D78" s="540" t="s">
        <v>700</v>
      </c>
      <c r="E78" s="340" t="s">
        <v>138</v>
      </c>
      <c r="F78" s="1370">
        <v>35</v>
      </c>
      <c r="G78" s="337"/>
    </row>
    <row r="79" spans="1:7" s="409" customFormat="1" ht="15" customHeight="1" x14ac:dyDescent="0.25">
      <c r="A79" s="415">
        <v>64</v>
      </c>
      <c r="B79" s="415"/>
      <c r="C79" s="415"/>
      <c r="D79" s="540" t="s">
        <v>701</v>
      </c>
      <c r="E79" s="340" t="s">
        <v>138</v>
      </c>
      <c r="F79" s="1370">
        <v>35</v>
      </c>
      <c r="G79" s="337"/>
    </row>
    <row r="80" spans="1:7" s="409" customFormat="1" ht="15" customHeight="1" x14ac:dyDescent="0.25">
      <c r="A80" s="415">
        <v>65</v>
      </c>
      <c r="B80" s="415"/>
      <c r="C80" s="415"/>
      <c r="D80" s="540" t="s">
        <v>857</v>
      </c>
      <c r="E80" s="340" t="s">
        <v>138</v>
      </c>
      <c r="F80" s="1370">
        <v>35</v>
      </c>
      <c r="G80" s="337"/>
    </row>
    <row r="81" spans="1:7" s="409" customFormat="1" ht="15" customHeight="1" x14ac:dyDescent="0.25">
      <c r="A81" s="415">
        <v>66</v>
      </c>
      <c r="B81" s="415"/>
      <c r="C81" s="415"/>
      <c r="D81" s="540" t="s">
        <v>886</v>
      </c>
      <c r="E81" s="340" t="s">
        <v>138</v>
      </c>
      <c r="F81" s="1370">
        <v>36</v>
      </c>
      <c r="G81" s="337"/>
    </row>
    <row r="82" spans="1:7" ht="15" customHeight="1" x14ac:dyDescent="0.25">
      <c r="A82" s="415">
        <v>67</v>
      </c>
      <c r="B82" s="339" t="s">
        <v>321</v>
      </c>
      <c r="C82" s="415"/>
      <c r="D82" s="1339" t="s">
        <v>322</v>
      </c>
      <c r="E82" s="340" t="s">
        <v>138</v>
      </c>
      <c r="F82" s="1370">
        <v>60</v>
      </c>
      <c r="G82" s="337"/>
    </row>
    <row r="83" spans="1:7" ht="15" customHeight="1" x14ac:dyDescent="0.25">
      <c r="A83" s="415">
        <v>68</v>
      </c>
      <c r="B83" s="339" t="s">
        <v>281</v>
      </c>
      <c r="C83" s="415"/>
      <c r="D83" s="1339" t="s">
        <v>472</v>
      </c>
      <c r="E83" s="340" t="s">
        <v>138</v>
      </c>
      <c r="F83" s="1370">
        <v>98</v>
      </c>
      <c r="G83" s="337"/>
    </row>
    <row r="84" spans="1:7" s="409" customFormat="1" ht="15" customHeight="1" x14ac:dyDescent="0.25">
      <c r="A84" s="415">
        <v>69</v>
      </c>
      <c r="B84" s="415"/>
      <c r="C84" s="415"/>
      <c r="D84" s="540" t="s">
        <v>813</v>
      </c>
      <c r="E84" s="340" t="s">
        <v>138</v>
      </c>
      <c r="F84" s="1370">
        <v>65</v>
      </c>
      <c r="G84" s="337"/>
    </row>
    <row r="85" spans="1:7" s="409" customFormat="1" ht="15" customHeight="1" x14ac:dyDescent="0.25">
      <c r="A85" s="415">
        <v>70</v>
      </c>
      <c r="B85" s="415"/>
      <c r="C85" s="415"/>
      <c r="D85" s="540" t="s">
        <v>915</v>
      </c>
      <c r="E85" s="340" t="s">
        <v>138</v>
      </c>
      <c r="F85" s="1370">
        <v>150</v>
      </c>
      <c r="G85" s="337"/>
    </row>
    <row r="86" spans="1:7" ht="15" customHeight="1" x14ac:dyDescent="0.25">
      <c r="A86" s="415">
        <v>71</v>
      </c>
      <c r="B86" s="339" t="s">
        <v>282</v>
      </c>
      <c r="C86" s="415"/>
      <c r="D86" s="1339" t="s">
        <v>125</v>
      </c>
      <c r="E86" s="340" t="s">
        <v>138</v>
      </c>
      <c r="F86" s="1370">
        <v>198</v>
      </c>
      <c r="G86" s="337"/>
    </row>
    <row r="87" spans="1:7" ht="15" customHeight="1" x14ac:dyDescent="0.25">
      <c r="A87" s="415">
        <v>72</v>
      </c>
      <c r="B87" s="339" t="s">
        <v>283</v>
      </c>
      <c r="C87" s="415"/>
      <c r="D87" s="1339" t="s">
        <v>245</v>
      </c>
      <c r="E87" s="340" t="s">
        <v>138</v>
      </c>
      <c r="F87" s="1370">
        <v>120</v>
      </c>
      <c r="G87" s="337"/>
    </row>
    <row r="88" spans="1:7" ht="15" customHeight="1" x14ac:dyDescent="0.25">
      <c r="A88" s="415">
        <v>73</v>
      </c>
      <c r="B88" s="339" t="s">
        <v>284</v>
      </c>
      <c r="C88" s="415"/>
      <c r="D88" s="1339" t="s">
        <v>285</v>
      </c>
      <c r="E88" s="340" t="s">
        <v>138</v>
      </c>
      <c r="F88" s="1370">
        <v>50</v>
      </c>
      <c r="G88" s="337"/>
    </row>
    <row r="89" spans="1:7" ht="15" customHeight="1" x14ac:dyDescent="0.25">
      <c r="A89" s="415">
        <v>74</v>
      </c>
      <c r="B89" s="339"/>
      <c r="C89" s="415"/>
      <c r="D89" s="1339" t="s">
        <v>638</v>
      </c>
      <c r="E89" s="340" t="s">
        <v>138</v>
      </c>
      <c r="F89" s="1370">
        <v>50</v>
      </c>
      <c r="G89" s="337"/>
    </row>
    <row r="90" spans="1:7" ht="15" customHeight="1" x14ac:dyDescent="0.25">
      <c r="A90" s="415">
        <v>75</v>
      </c>
      <c r="B90" s="339" t="s">
        <v>286</v>
      </c>
      <c r="C90" s="415"/>
      <c r="D90" s="1339" t="s">
        <v>56</v>
      </c>
      <c r="E90" s="340" t="s">
        <v>138</v>
      </c>
      <c r="F90" s="539">
        <v>5000</v>
      </c>
      <c r="G90" s="337"/>
    </row>
    <row r="91" spans="1:7" s="409" customFormat="1" ht="15" customHeight="1" x14ac:dyDescent="0.25">
      <c r="A91" s="415">
        <v>76</v>
      </c>
      <c r="B91" s="415"/>
      <c r="C91" s="415"/>
      <c r="D91" s="540" t="s">
        <v>697</v>
      </c>
      <c r="E91" s="340" t="s">
        <v>83</v>
      </c>
      <c r="F91" s="539">
        <v>100</v>
      </c>
      <c r="G91" s="337"/>
    </row>
    <row r="92" spans="1:7" ht="15" customHeight="1" x14ac:dyDescent="0.25">
      <c r="A92" s="415">
        <v>77</v>
      </c>
      <c r="B92" s="339"/>
      <c r="C92" s="415"/>
      <c r="D92" s="540" t="s">
        <v>390</v>
      </c>
      <c r="E92" s="340" t="s">
        <v>138</v>
      </c>
      <c r="F92" s="539">
        <v>40</v>
      </c>
      <c r="G92" s="337"/>
    </row>
    <row r="93" spans="1:7" ht="15" customHeight="1" x14ac:dyDescent="0.25">
      <c r="A93" s="415">
        <v>78</v>
      </c>
      <c r="B93" s="339" t="s">
        <v>287</v>
      </c>
      <c r="C93" s="415"/>
      <c r="D93" s="1339" t="s">
        <v>240</v>
      </c>
      <c r="E93" s="340" t="s">
        <v>138</v>
      </c>
      <c r="F93" s="539">
        <v>455</v>
      </c>
      <c r="G93" s="337"/>
    </row>
    <row r="94" spans="1:7" ht="15" customHeight="1" x14ac:dyDescent="0.25">
      <c r="A94" s="415">
        <v>79</v>
      </c>
      <c r="B94" s="339" t="s">
        <v>288</v>
      </c>
      <c r="C94" s="415"/>
      <c r="D94" s="1339" t="s">
        <v>289</v>
      </c>
      <c r="E94" s="340" t="s">
        <v>138</v>
      </c>
      <c r="F94" s="539">
        <v>400</v>
      </c>
      <c r="G94" s="337"/>
    </row>
    <row r="95" spans="1:7" ht="15" customHeight="1" x14ac:dyDescent="0.25">
      <c r="A95" s="415">
        <v>80</v>
      </c>
      <c r="B95" s="339" t="s">
        <v>290</v>
      </c>
      <c r="C95" s="415"/>
      <c r="D95" s="1339" t="s">
        <v>247</v>
      </c>
      <c r="E95" s="340" t="s">
        <v>138</v>
      </c>
      <c r="F95" s="539">
        <v>625</v>
      </c>
      <c r="G95" s="337"/>
    </row>
    <row r="96" spans="1:7" ht="15" customHeight="1" x14ac:dyDescent="0.25">
      <c r="A96" s="415">
        <v>81</v>
      </c>
      <c r="B96" s="339"/>
      <c r="C96" s="415"/>
      <c r="D96" s="1339" t="s">
        <v>143</v>
      </c>
      <c r="E96" s="340" t="s">
        <v>138</v>
      </c>
      <c r="F96" s="539">
        <v>435</v>
      </c>
      <c r="G96" s="337"/>
    </row>
    <row r="97" spans="1:7" ht="15" customHeight="1" x14ac:dyDescent="0.25">
      <c r="A97" s="415">
        <v>82</v>
      </c>
      <c r="B97" s="339"/>
      <c r="C97" s="415"/>
      <c r="D97" s="540" t="s">
        <v>815</v>
      </c>
      <c r="E97" s="340" t="s">
        <v>138</v>
      </c>
      <c r="F97" s="539">
        <v>150</v>
      </c>
      <c r="G97" s="337"/>
    </row>
    <row r="98" spans="1:7" ht="15" customHeight="1" x14ac:dyDescent="0.25">
      <c r="A98" s="415">
        <v>83</v>
      </c>
      <c r="B98" s="339" t="s">
        <v>291</v>
      </c>
      <c r="C98" s="415"/>
      <c r="D98" s="1339" t="s">
        <v>135</v>
      </c>
      <c r="E98" s="340" t="s">
        <v>138</v>
      </c>
      <c r="F98" s="539">
        <v>290</v>
      </c>
      <c r="G98" s="337"/>
    </row>
    <row r="99" spans="1:7" ht="15" customHeight="1" x14ac:dyDescent="0.25">
      <c r="A99" s="415">
        <v>84</v>
      </c>
      <c r="B99" s="339" t="s">
        <v>292</v>
      </c>
      <c r="C99" s="415"/>
      <c r="D99" s="1339" t="s">
        <v>63</v>
      </c>
      <c r="E99" s="340" t="s">
        <v>138</v>
      </c>
      <c r="F99" s="539">
        <v>111</v>
      </c>
      <c r="G99" s="337"/>
    </row>
    <row r="100" spans="1:7" ht="15" customHeight="1" x14ac:dyDescent="0.25">
      <c r="A100" s="415">
        <v>85</v>
      </c>
      <c r="B100" s="339" t="s">
        <v>293</v>
      </c>
      <c r="C100" s="415"/>
      <c r="D100" s="1339" t="s">
        <v>242</v>
      </c>
      <c r="E100" s="340" t="s">
        <v>138</v>
      </c>
      <c r="F100" s="539">
        <v>1000</v>
      </c>
      <c r="G100" s="337"/>
    </row>
    <row r="101" spans="1:7" ht="15" customHeight="1" x14ac:dyDescent="0.25">
      <c r="A101" s="415">
        <v>86</v>
      </c>
      <c r="B101" s="339"/>
      <c r="C101" s="415"/>
      <c r="D101" s="1339" t="s">
        <v>159</v>
      </c>
      <c r="E101" s="340" t="s">
        <v>138</v>
      </c>
      <c r="F101" s="539">
        <v>120</v>
      </c>
      <c r="G101" s="337"/>
    </row>
    <row r="102" spans="1:7" ht="15" customHeight="1" x14ac:dyDescent="0.25">
      <c r="A102" s="415">
        <v>87</v>
      </c>
      <c r="B102" s="339"/>
      <c r="C102" s="415"/>
      <c r="D102" s="540" t="s">
        <v>532</v>
      </c>
      <c r="E102" s="340" t="s">
        <v>138</v>
      </c>
      <c r="F102" s="539">
        <v>120</v>
      </c>
      <c r="G102" s="337"/>
    </row>
    <row r="103" spans="1:7" ht="15" customHeight="1" x14ac:dyDescent="0.25">
      <c r="A103" s="415">
        <v>88</v>
      </c>
      <c r="B103" s="339"/>
      <c r="C103" s="415"/>
      <c r="D103" s="1339" t="s">
        <v>528</v>
      </c>
      <c r="E103" s="340" t="s">
        <v>138</v>
      </c>
      <c r="F103" s="1370">
        <v>112</v>
      </c>
      <c r="G103" s="886"/>
    </row>
    <row r="104" spans="1:7" ht="15" customHeight="1" x14ac:dyDescent="0.25">
      <c r="A104" s="415">
        <v>89</v>
      </c>
      <c r="B104" s="339" t="s">
        <v>294</v>
      </c>
      <c r="C104" s="415"/>
      <c r="D104" s="1339" t="s">
        <v>244</v>
      </c>
      <c r="E104" s="340" t="s">
        <v>138</v>
      </c>
      <c r="F104" s="1370">
        <v>140</v>
      </c>
      <c r="G104" s="886"/>
    </row>
    <row r="105" spans="1:7" ht="15" customHeight="1" x14ac:dyDescent="0.25">
      <c r="A105" s="415">
        <v>90</v>
      </c>
      <c r="B105" s="339"/>
      <c r="C105" s="415"/>
      <c r="D105" s="540" t="s">
        <v>814</v>
      </c>
      <c r="E105" s="340" t="s">
        <v>138</v>
      </c>
      <c r="F105" s="1370">
        <v>160</v>
      </c>
      <c r="G105" s="886"/>
    </row>
    <row r="106" spans="1:7" s="409" customFormat="1" ht="15" customHeight="1" x14ac:dyDescent="0.25">
      <c r="A106" s="415">
        <v>91</v>
      </c>
      <c r="B106" s="415"/>
      <c r="C106" s="415"/>
      <c r="D106" s="540" t="s">
        <v>1310</v>
      </c>
      <c r="E106" s="340" t="s">
        <v>138</v>
      </c>
      <c r="F106" s="1370">
        <v>400</v>
      </c>
      <c r="G106" s="886"/>
    </row>
    <row r="107" spans="1:7" ht="15" customHeight="1" x14ac:dyDescent="0.25">
      <c r="A107" s="415">
        <v>92</v>
      </c>
      <c r="B107" s="339" t="s">
        <v>295</v>
      </c>
      <c r="C107" s="415"/>
      <c r="D107" s="1339" t="s">
        <v>239</v>
      </c>
      <c r="E107" s="340" t="s">
        <v>138</v>
      </c>
      <c r="F107" s="1344">
        <v>76</v>
      </c>
      <c r="G107" s="886"/>
    </row>
    <row r="108" spans="1:7" ht="15" customHeight="1" x14ac:dyDescent="0.25">
      <c r="A108" s="415">
        <v>93</v>
      </c>
      <c r="B108" s="339"/>
      <c r="C108" s="415"/>
      <c r="D108" s="540" t="s">
        <v>426</v>
      </c>
      <c r="E108" s="340" t="s">
        <v>138</v>
      </c>
      <c r="F108" s="1370">
        <v>140</v>
      </c>
      <c r="G108" s="886"/>
    </row>
    <row r="109" spans="1:7" ht="15" customHeight="1" x14ac:dyDescent="0.25">
      <c r="A109" s="415">
        <v>94</v>
      </c>
      <c r="B109" s="339" t="s">
        <v>296</v>
      </c>
      <c r="C109" s="415"/>
      <c r="D109" s="540" t="s">
        <v>930</v>
      </c>
      <c r="E109" s="340" t="s">
        <v>83</v>
      </c>
      <c r="F109" s="1370">
        <v>39</v>
      </c>
      <c r="G109" s="886"/>
    </row>
    <row r="110" spans="1:7" ht="15" customHeight="1" x14ac:dyDescent="0.25">
      <c r="A110" s="415">
        <v>95</v>
      </c>
      <c r="B110" s="339" t="s">
        <v>297</v>
      </c>
      <c r="C110" s="415"/>
      <c r="D110" s="1339" t="s">
        <v>1295</v>
      </c>
      <c r="E110" s="1338" t="s">
        <v>138</v>
      </c>
      <c r="F110" s="1370">
        <v>24</v>
      </c>
      <c r="G110" s="886"/>
    </row>
    <row r="111" spans="1:7" ht="15" customHeight="1" x14ac:dyDescent="0.25">
      <c r="A111" s="415">
        <v>96</v>
      </c>
      <c r="B111" s="339" t="s">
        <v>298</v>
      </c>
      <c r="C111" s="415"/>
      <c r="D111" s="1339" t="s">
        <v>72</v>
      </c>
      <c r="E111" s="340" t="s">
        <v>138</v>
      </c>
      <c r="F111" s="1370">
        <v>118</v>
      </c>
      <c r="G111" s="886"/>
    </row>
    <row r="112" spans="1:7" ht="15" customHeight="1" x14ac:dyDescent="0.25">
      <c r="A112" s="415">
        <v>97</v>
      </c>
      <c r="B112" s="339" t="s">
        <v>299</v>
      </c>
      <c r="C112" s="415"/>
      <c r="D112" s="1339" t="s">
        <v>243</v>
      </c>
      <c r="E112" s="340" t="s">
        <v>138</v>
      </c>
      <c r="F112" s="1370">
        <v>130</v>
      </c>
      <c r="G112" s="886"/>
    </row>
    <row r="113" spans="1:7" ht="15" customHeight="1" x14ac:dyDescent="0.25">
      <c r="A113" s="415">
        <v>98</v>
      </c>
      <c r="B113" s="339" t="s">
        <v>300</v>
      </c>
      <c r="C113" s="415"/>
      <c r="D113" s="1339" t="s">
        <v>241</v>
      </c>
      <c r="E113" s="340" t="s">
        <v>138</v>
      </c>
      <c r="F113" s="1344">
        <v>230</v>
      </c>
      <c r="G113" s="886"/>
    </row>
    <row r="114" spans="1:7" ht="15" customHeight="1" x14ac:dyDescent="0.25">
      <c r="A114" s="415">
        <v>99</v>
      </c>
      <c r="B114" s="339"/>
      <c r="C114" s="415"/>
      <c r="D114" s="1339" t="s">
        <v>474</v>
      </c>
      <c r="E114" s="340" t="s">
        <v>138</v>
      </c>
      <c r="F114" s="1370">
        <v>120</v>
      </c>
      <c r="G114" s="886"/>
    </row>
    <row r="115" spans="1:7" ht="15" customHeight="1" x14ac:dyDescent="0.25">
      <c r="A115" s="415">
        <v>100</v>
      </c>
      <c r="B115" s="339"/>
      <c r="C115" s="415"/>
      <c r="D115" s="540" t="s">
        <v>146</v>
      </c>
      <c r="E115" s="340" t="s">
        <v>138</v>
      </c>
      <c r="F115" s="1370">
        <v>100</v>
      </c>
      <c r="G115" s="886"/>
    </row>
    <row r="116" spans="1:7" ht="15" customHeight="1" x14ac:dyDescent="0.25">
      <c r="A116" s="415">
        <v>101</v>
      </c>
      <c r="B116" s="339"/>
      <c r="C116" s="415"/>
      <c r="D116" s="540" t="s">
        <v>698</v>
      </c>
      <c r="E116" s="340" t="s">
        <v>138</v>
      </c>
      <c r="F116" s="1370">
        <v>2000</v>
      </c>
      <c r="G116" s="886"/>
    </row>
    <row r="117" spans="1:7" s="409" customFormat="1" ht="15" customHeight="1" x14ac:dyDescent="0.25">
      <c r="A117" s="415">
        <v>102</v>
      </c>
      <c r="B117" s="415"/>
      <c r="C117" s="415"/>
      <c r="D117" s="540" t="s">
        <v>816</v>
      </c>
      <c r="E117" s="340" t="s">
        <v>138</v>
      </c>
      <c r="F117" s="1370">
        <v>1210</v>
      </c>
      <c r="G117" s="886"/>
    </row>
    <row r="118" spans="1:7" s="409" customFormat="1" ht="15" customHeight="1" x14ac:dyDescent="0.25">
      <c r="A118" s="415">
        <v>103</v>
      </c>
      <c r="B118" s="415"/>
      <c r="C118" s="415"/>
      <c r="D118" s="540" t="s">
        <v>817</v>
      </c>
      <c r="E118" s="340" t="s">
        <v>138</v>
      </c>
      <c r="F118" s="1370">
        <v>1420</v>
      </c>
      <c r="G118" s="886"/>
    </row>
    <row r="119" spans="1:7" ht="15" customHeight="1" x14ac:dyDescent="0.25">
      <c r="A119" s="415">
        <v>104</v>
      </c>
      <c r="B119" s="415"/>
      <c r="C119" s="415"/>
      <c r="D119" s="1339" t="s">
        <v>336</v>
      </c>
      <c r="E119" s="340" t="s">
        <v>138</v>
      </c>
      <c r="F119" s="1370">
        <v>50</v>
      </c>
      <c r="G119" s="886"/>
    </row>
    <row r="120" spans="1:7" ht="15" customHeight="1" x14ac:dyDescent="0.25">
      <c r="A120" s="415">
        <v>105</v>
      </c>
      <c r="B120" s="415"/>
      <c r="C120" s="415"/>
      <c r="D120" s="1339" t="s">
        <v>1387</v>
      </c>
      <c r="E120" s="340" t="s">
        <v>138</v>
      </c>
      <c r="F120" s="1370">
        <v>180</v>
      </c>
      <c r="G120" s="886"/>
    </row>
    <row r="121" spans="1:7" s="409" customFormat="1" ht="15" customHeight="1" x14ac:dyDescent="0.25">
      <c r="A121" s="415">
        <v>106</v>
      </c>
      <c r="B121" s="415"/>
      <c r="C121" s="415"/>
      <c r="D121" s="1339" t="s">
        <v>856</v>
      </c>
      <c r="E121" s="340" t="s">
        <v>138</v>
      </c>
      <c r="F121" s="1370">
        <v>125</v>
      </c>
      <c r="G121" s="886"/>
    </row>
    <row r="122" spans="1:7" s="409" customFormat="1" ht="15" customHeight="1" x14ac:dyDescent="0.25">
      <c r="A122" s="415">
        <v>107</v>
      </c>
      <c r="B122" s="415"/>
      <c r="C122" s="415"/>
      <c r="D122" s="540" t="s">
        <v>807</v>
      </c>
      <c r="E122" s="340" t="s">
        <v>138</v>
      </c>
      <c r="F122" s="1370">
        <v>250</v>
      </c>
      <c r="G122" s="886"/>
    </row>
    <row r="123" spans="1:7" s="409" customFormat="1" ht="15" customHeight="1" x14ac:dyDescent="0.25">
      <c r="A123" s="415">
        <v>108</v>
      </c>
      <c r="B123" s="415"/>
      <c r="C123" s="415"/>
      <c r="D123" s="540" t="s">
        <v>808</v>
      </c>
      <c r="E123" s="340" t="s">
        <v>138</v>
      </c>
      <c r="F123" s="1370">
        <v>250</v>
      </c>
      <c r="G123" s="886"/>
    </row>
    <row r="124" spans="1:7" s="409" customFormat="1" ht="15" customHeight="1" x14ac:dyDescent="0.25">
      <c r="A124" s="415">
        <v>109</v>
      </c>
      <c r="B124" s="415"/>
      <c r="C124" s="415"/>
      <c r="D124" s="540" t="s">
        <v>809</v>
      </c>
      <c r="E124" s="340" t="s">
        <v>138</v>
      </c>
      <c r="F124" s="1370">
        <v>250</v>
      </c>
      <c r="G124" s="886"/>
    </row>
    <row r="125" spans="1:7" ht="15" customHeight="1" x14ac:dyDescent="0.25">
      <c r="A125" s="415">
        <v>110</v>
      </c>
      <c r="B125" s="339" t="s">
        <v>301</v>
      </c>
      <c r="C125" s="415"/>
      <c r="D125" s="1339" t="s">
        <v>238</v>
      </c>
      <c r="E125" s="340" t="s">
        <v>138</v>
      </c>
      <c r="F125" s="1370">
        <v>900</v>
      </c>
      <c r="G125" s="886"/>
    </row>
    <row r="126" spans="1:7" ht="15" customHeight="1" x14ac:dyDescent="0.25">
      <c r="A126" s="415">
        <v>111</v>
      </c>
      <c r="B126" s="339" t="s">
        <v>302</v>
      </c>
      <c r="C126" s="415"/>
      <c r="D126" s="1339" t="s">
        <v>194</v>
      </c>
      <c r="E126" s="340" t="s">
        <v>138</v>
      </c>
      <c r="F126" s="1370">
        <v>130</v>
      </c>
      <c r="G126" s="886"/>
    </row>
    <row r="127" spans="1:7" ht="15" customHeight="1" x14ac:dyDescent="0.25">
      <c r="A127" s="415">
        <v>112</v>
      </c>
      <c r="B127" s="339"/>
      <c r="C127" s="415"/>
      <c r="D127" s="540" t="s">
        <v>473</v>
      </c>
      <c r="E127" s="340" t="s">
        <v>138</v>
      </c>
      <c r="F127" s="1370">
        <v>181</v>
      </c>
      <c r="G127" s="886"/>
    </row>
    <row r="128" spans="1:7" ht="15" customHeight="1" x14ac:dyDescent="0.25">
      <c r="A128" s="415">
        <v>113</v>
      </c>
      <c r="B128" s="339"/>
      <c r="C128" s="415"/>
      <c r="D128" s="1339" t="s">
        <v>487</v>
      </c>
      <c r="E128" s="340" t="s">
        <v>138</v>
      </c>
      <c r="F128" s="1370">
        <v>126</v>
      </c>
      <c r="G128" s="886"/>
    </row>
    <row r="129" spans="1:8" ht="15" customHeight="1" x14ac:dyDescent="0.25">
      <c r="A129" s="415">
        <v>114</v>
      </c>
      <c r="B129" s="339"/>
      <c r="C129" s="415"/>
      <c r="D129" s="1339" t="s">
        <v>530</v>
      </c>
      <c r="E129" s="340" t="s">
        <v>138</v>
      </c>
      <c r="F129" s="539">
        <v>147</v>
      </c>
      <c r="G129" s="886"/>
    </row>
    <row r="130" spans="1:8" ht="15" customHeight="1" x14ac:dyDescent="0.25">
      <c r="A130" s="415">
        <v>115</v>
      </c>
      <c r="B130" s="339"/>
      <c r="C130" s="415"/>
      <c r="D130" s="1339" t="s">
        <v>567</v>
      </c>
      <c r="E130" s="340" t="s">
        <v>138</v>
      </c>
      <c r="F130" s="539">
        <v>143</v>
      </c>
      <c r="G130" s="886"/>
    </row>
    <row r="131" spans="1:8" ht="15" customHeight="1" x14ac:dyDescent="0.25">
      <c r="A131" s="415">
        <v>116</v>
      </c>
      <c r="B131" s="339"/>
      <c r="C131" s="415"/>
      <c r="D131" s="540" t="s">
        <v>163</v>
      </c>
      <c r="E131" s="340" t="s">
        <v>138</v>
      </c>
      <c r="F131" s="539">
        <f>180</f>
        <v>180</v>
      </c>
      <c r="G131" s="886"/>
    </row>
    <row r="132" spans="1:8" ht="15" customHeight="1" x14ac:dyDescent="0.25">
      <c r="A132" s="415">
        <v>117</v>
      </c>
      <c r="B132" s="339"/>
      <c r="C132" s="415"/>
      <c r="D132" s="540" t="s">
        <v>486</v>
      </c>
      <c r="E132" s="340" t="s">
        <v>138</v>
      </c>
      <c r="F132" s="539">
        <v>1420</v>
      </c>
      <c r="G132" s="886"/>
    </row>
    <row r="133" spans="1:8" ht="15" customHeight="1" x14ac:dyDescent="0.25">
      <c r="A133" s="415">
        <v>118</v>
      </c>
      <c r="B133" s="339"/>
      <c r="C133" s="415"/>
      <c r="D133" s="540" t="s">
        <v>485</v>
      </c>
      <c r="E133" s="340" t="s">
        <v>138</v>
      </c>
      <c r="F133" s="539">
        <v>1420</v>
      </c>
      <c r="G133" s="886"/>
    </row>
    <row r="134" spans="1:8" s="409" customFormat="1" ht="15" customHeight="1" x14ac:dyDescent="0.25">
      <c r="A134" s="415">
        <v>119</v>
      </c>
      <c r="B134" s="415"/>
      <c r="C134" s="415"/>
      <c r="D134" s="540" t="s">
        <v>1398</v>
      </c>
      <c r="E134" s="340" t="s">
        <v>138</v>
      </c>
      <c r="F134" s="601">
        <v>750</v>
      </c>
      <c r="G134" s="886"/>
    </row>
    <row r="135" spans="1:8" s="409" customFormat="1" ht="15" customHeight="1" x14ac:dyDescent="0.25">
      <c r="A135" s="415">
        <v>120</v>
      </c>
      <c r="B135" s="415"/>
      <c r="C135" s="415"/>
      <c r="D135" s="540" t="s">
        <v>706</v>
      </c>
      <c r="E135" s="340" t="s">
        <v>138</v>
      </c>
      <c r="F135" s="539">
        <v>5.79</v>
      </c>
      <c r="G135" s="886">
        <v>110</v>
      </c>
      <c r="H135" s="337" t="s">
        <v>715</v>
      </c>
    </row>
    <row r="136" spans="1:8" s="409" customFormat="1" ht="15" customHeight="1" x14ac:dyDescent="0.25">
      <c r="A136" s="415">
        <v>121</v>
      </c>
      <c r="B136" s="415"/>
      <c r="C136" s="415"/>
      <c r="D136" s="540" t="s">
        <v>931</v>
      </c>
      <c r="E136" s="340" t="s">
        <v>138</v>
      </c>
      <c r="F136" s="539">
        <v>120</v>
      </c>
      <c r="G136" s="886"/>
    </row>
    <row r="137" spans="1:8" s="409" customFormat="1" ht="15" customHeight="1" x14ac:dyDescent="0.25">
      <c r="A137" s="415">
        <v>122</v>
      </c>
      <c r="B137" s="415"/>
      <c r="C137" s="415"/>
      <c r="D137" s="540" t="s">
        <v>803</v>
      </c>
      <c r="E137" s="340" t="s">
        <v>138</v>
      </c>
      <c r="F137" s="539">
        <v>72</v>
      </c>
      <c r="G137" s="886"/>
    </row>
    <row r="138" spans="1:8" s="409" customFormat="1" ht="15" customHeight="1" x14ac:dyDescent="0.25">
      <c r="A138" s="415">
        <v>123</v>
      </c>
      <c r="B138" s="415"/>
      <c r="C138" s="415"/>
      <c r="D138" s="540" t="s">
        <v>804</v>
      </c>
      <c r="E138" s="340" t="s">
        <v>138</v>
      </c>
      <c r="F138" s="539">
        <v>120</v>
      </c>
      <c r="G138" s="886"/>
    </row>
    <row r="139" spans="1:8" s="409" customFormat="1" ht="15" customHeight="1" x14ac:dyDescent="0.25">
      <c r="A139" s="415">
        <v>124</v>
      </c>
      <c r="B139" s="415"/>
      <c r="C139" s="415"/>
      <c r="D139" s="540" t="s">
        <v>810</v>
      </c>
      <c r="E139" s="340" t="s">
        <v>138</v>
      </c>
      <c r="F139" s="539">
        <v>215</v>
      </c>
      <c r="G139" s="886"/>
    </row>
    <row r="140" spans="1:8" s="409" customFormat="1" ht="15" customHeight="1" x14ac:dyDescent="0.25">
      <c r="A140" s="415">
        <v>125</v>
      </c>
      <c r="B140" s="415"/>
      <c r="C140" s="415"/>
      <c r="D140" s="540" t="s">
        <v>806</v>
      </c>
      <c r="E140" s="340" t="s">
        <v>138</v>
      </c>
      <c r="F140" s="539">
        <v>135</v>
      </c>
      <c r="G140" s="886"/>
    </row>
    <row r="141" spans="1:8" s="409" customFormat="1" ht="15" customHeight="1" x14ac:dyDescent="0.25">
      <c r="A141" s="415">
        <v>126</v>
      </c>
      <c r="B141" s="415"/>
      <c r="C141" s="415"/>
      <c r="D141" s="540" t="s">
        <v>707</v>
      </c>
      <c r="E141" s="340" t="s">
        <v>138</v>
      </c>
      <c r="F141" s="539">
        <v>130</v>
      </c>
      <c r="G141" s="886"/>
    </row>
    <row r="142" spans="1:8" s="409" customFormat="1" ht="15" customHeight="1" x14ac:dyDescent="0.25">
      <c r="A142" s="415">
        <v>127</v>
      </c>
      <c r="B142" s="415"/>
      <c r="C142" s="415"/>
      <c r="D142" s="1339" t="s">
        <v>822</v>
      </c>
      <c r="E142" s="340" t="s">
        <v>138</v>
      </c>
      <c r="F142" s="539">
        <v>75</v>
      </c>
      <c r="G142" s="886"/>
    </row>
    <row r="143" spans="1:8" s="409" customFormat="1" ht="15" customHeight="1" x14ac:dyDescent="0.25">
      <c r="A143" s="415">
        <v>128</v>
      </c>
      <c r="B143" s="415"/>
      <c r="C143" s="415"/>
      <c r="D143" s="540" t="s">
        <v>708</v>
      </c>
      <c r="E143" s="340" t="s">
        <v>138</v>
      </c>
      <c r="F143" s="539">
        <v>26</v>
      </c>
      <c r="G143" s="886"/>
    </row>
    <row r="144" spans="1:8" s="409" customFormat="1" ht="15" customHeight="1" x14ac:dyDescent="0.25">
      <c r="A144" s="415">
        <v>129</v>
      </c>
      <c r="B144" s="415"/>
      <c r="C144" s="415"/>
      <c r="D144" s="540" t="s">
        <v>710</v>
      </c>
      <c r="E144" s="340" t="s">
        <v>138</v>
      </c>
      <c r="F144" s="539">
        <v>385</v>
      </c>
      <c r="G144" s="886"/>
    </row>
    <row r="145" spans="1:7" s="409" customFormat="1" ht="15" customHeight="1" x14ac:dyDescent="0.25">
      <c r="A145" s="415">
        <v>130</v>
      </c>
      <c r="B145" s="415"/>
      <c r="C145" s="415"/>
      <c r="D145" s="540" t="s">
        <v>711</v>
      </c>
      <c r="E145" s="340" t="s">
        <v>138</v>
      </c>
      <c r="F145" s="539">
        <v>200</v>
      </c>
      <c r="G145" s="886"/>
    </row>
    <row r="146" spans="1:7" s="409" customFormat="1" ht="15" customHeight="1" x14ac:dyDescent="0.25">
      <c r="A146" s="415">
        <v>131</v>
      </c>
      <c r="B146" s="415"/>
      <c r="C146" s="415"/>
      <c r="D146" s="540" t="s">
        <v>824</v>
      </c>
      <c r="E146" s="340" t="s">
        <v>138</v>
      </c>
      <c r="F146" s="539">
        <v>1000</v>
      </c>
      <c r="G146" s="886"/>
    </row>
    <row r="147" spans="1:7" s="409" customFormat="1" ht="15" customHeight="1" x14ac:dyDescent="0.25">
      <c r="A147" s="415">
        <v>132</v>
      </c>
      <c r="B147" s="415"/>
      <c r="C147" s="415"/>
      <c r="D147" s="540" t="s">
        <v>802</v>
      </c>
      <c r="E147" s="340" t="s">
        <v>138</v>
      </c>
      <c r="F147" s="539">
        <v>340</v>
      </c>
      <c r="G147" s="886"/>
    </row>
    <row r="148" spans="1:7" s="409" customFormat="1" ht="15" customHeight="1" x14ac:dyDescent="0.25">
      <c r="A148" s="415">
        <v>133</v>
      </c>
      <c r="B148" s="415"/>
      <c r="C148" s="415"/>
      <c r="D148" s="413" t="s">
        <v>854</v>
      </c>
      <c r="E148" s="340" t="s">
        <v>138</v>
      </c>
      <c r="F148" s="539">
        <v>630</v>
      </c>
      <c r="G148" s="886"/>
    </row>
    <row r="149" spans="1:7" s="409" customFormat="1" ht="15" customHeight="1" x14ac:dyDescent="0.25">
      <c r="A149" s="415">
        <v>134</v>
      </c>
      <c r="B149" s="415"/>
      <c r="C149" s="415"/>
      <c r="D149" s="413" t="s">
        <v>855</v>
      </c>
      <c r="E149" s="340" t="s">
        <v>138</v>
      </c>
      <c r="F149" s="539">
        <v>430</v>
      </c>
      <c r="G149" s="886"/>
    </row>
    <row r="150" spans="1:7" s="409" customFormat="1" ht="15" customHeight="1" x14ac:dyDescent="0.25">
      <c r="A150" s="415">
        <v>135</v>
      </c>
      <c r="B150" s="415"/>
      <c r="C150" s="415"/>
      <c r="D150" s="413" t="s">
        <v>805</v>
      </c>
      <c r="E150" s="340" t="s">
        <v>138</v>
      </c>
      <c r="F150" s="539">
        <v>275</v>
      </c>
      <c r="G150" s="886"/>
    </row>
    <row r="151" spans="1:7" s="409" customFormat="1" ht="15" customHeight="1" x14ac:dyDescent="0.25">
      <c r="A151" s="415">
        <v>136</v>
      </c>
      <c r="B151" s="415"/>
      <c r="C151" s="415"/>
      <c r="D151" s="413" t="s">
        <v>1174</v>
      </c>
      <c r="E151" s="340" t="s">
        <v>138</v>
      </c>
      <c r="F151" s="539">
        <v>350</v>
      </c>
      <c r="G151" s="337"/>
    </row>
    <row r="152" spans="1:7" s="409" customFormat="1" ht="15" customHeight="1" x14ac:dyDescent="0.25">
      <c r="A152" s="415">
        <v>137</v>
      </c>
      <c r="B152" s="415"/>
      <c r="C152" s="415"/>
      <c r="D152" s="540" t="s">
        <v>823</v>
      </c>
      <c r="E152" s="340" t="s">
        <v>138</v>
      </c>
      <c r="F152" s="601">
        <v>275</v>
      </c>
      <c r="G152" s="337"/>
    </row>
    <row r="153" spans="1:7" s="409" customFormat="1" ht="15" customHeight="1" x14ac:dyDescent="0.25">
      <c r="A153" s="415">
        <v>138</v>
      </c>
      <c r="B153" s="415"/>
      <c r="C153" s="415"/>
      <c r="D153" s="540"/>
      <c r="E153" s="340"/>
      <c r="F153" s="601"/>
      <c r="G153" s="337"/>
    </row>
    <row r="154" spans="1:7" s="409" customFormat="1" ht="15" customHeight="1" x14ac:dyDescent="0.25">
      <c r="A154" s="415">
        <v>139</v>
      </c>
      <c r="B154" s="415"/>
      <c r="C154" s="415"/>
      <c r="D154" s="540"/>
      <c r="E154" s="340"/>
      <c r="F154" s="601"/>
      <c r="G154" s="337"/>
    </row>
    <row r="155" spans="1:7" ht="25.95" customHeight="1" x14ac:dyDescent="0.25">
      <c r="A155" s="346"/>
      <c r="B155" s="346"/>
      <c r="C155" s="346"/>
      <c r="D155" s="140" t="s">
        <v>311</v>
      </c>
      <c r="E155" s="347"/>
      <c r="F155" s="142">
        <f>SUM(F74:F152)</f>
        <v>27698.79</v>
      </c>
      <c r="G155" s="337"/>
    </row>
    <row r="156" spans="1:7" ht="19.2" customHeight="1" x14ac:dyDescent="0.25">
      <c r="A156" s="344"/>
      <c r="B156" s="344"/>
      <c r="C156" s="344"/>
      <c r="D156" s="135" t="s">
        <v>304</v>
      </c>
      <c r="E156" s="345"/>
      <c r="F156" s="137"/>
      <c r="G156" s="337"/>
    </row>
    <row r="157" spans="1:7" ht="17.399999999999999" customHeight="1" x14ac:dyDescent="0.25">
      <c r="A157" s="138">
        <v>140</v>
      </c>
      <c r="B157" s="138" t="s">
        <v>305</v>
      </c>
      <c r="C157" s="414"/>
      <c r="D157" s="1339" t="s">
        <v>916</v>
      </c>
      <c r="E157" s="348" t="s">
        <v>138</v>
      </c>
      <c r="F157" s="1336">
        <v>65</v>
      </c>
      <c r="G157" s="337"/>
    </row>
    <row r="158" spans="1:7" ht="13.8" x14ac:dyDescent="0.25">
      <c r="A158" s="138">
        <v>141</v>
      </c>
      <c r="B158" s="138" t="s">
        <v>306</v>
      </c>
      <c r="C158" s="414"/>
      <c r="D158" s="1339" t="s">
        <v>917</v>
      </c>
      <c r="E158" s="348" t="s">
        <v>138</v>
      </c>
      <c r="F158" s="1336">
        <v>65</v>
      </c>
      <c r="G158" s="337"/>
    </row>
    <row r="159" spans="1:7" ht="13.8" x14ac:dyDescent="0.25">
      <c r="A159" s="138">
        <v>142</v>
      </c>
      <c r="B159" s="138" t="s">
        <v>305</v>
      </c>
      <c r="C159" s="414"/>
      <c r="D159" s="1339" t="s">
        <v>325</v>
      </c>
      <c r="E159" s="348" t="s">
        <v>138</v>
      </c>
      <c r="F159" s="1337">
        <v>69</v>
      </c>
      <c r="G159" s="337"/>
    </row>
    <row r="160" spans="1:7" ht="18.600000000000001" customHeight="1" x14ac:dyDescent="0.25">
      <c r="A160" s="346"/>
      <c r="B160" s="346"/>
      <c r="C160" s="346"/>
      <c r="D160" s="140" t="s">
        <v>313</v>
      </c>
      <c r="E160" s="347"/>
      <c r="F160" s="142">
        <f>SUM(F157:F159)</f>
        <v>199</v>
      </c>
      <c r="G160" s="337"/>
    </row>
    <row r="161" spans="1:150" ht="21" customHeight="1" x14ac:dyDescent="0.25">
      <c r="A161" s="157"/>
      <c r="B161" s="157"/>
      <c r="C161" s="157"/>
      <c r="D161" s="158" t="s">
        <v>319</v>
      </c>
      <c r="E161" s="349"/>
      <c r="F161" s="167">
        <f>F18+F31+F72+F155+F160</f>
        <v>40123.96</v>
      </c>
      <c r="G161" s="337"/>
    </row>
    <row r="162" spans="1:150" x14ac:dyDescent="0.25">
      <c r="A162" s="350"/>
      <c r="B162" s="350"/>
      <c r="C162" s="350"/>
      <c r="D162" s="350"/>
      <c r="E162" s="350"/>
      <c r="F162" s="337"/>
      <c r="G162" s="337"/>
      <c r="J162" s="409"/>
      <c r="K162" s="409"/>
      <c r="L162" s="409"/>
      <c r="M162" s="409"/>
      <c r="N162" s="409"/>
      <c r="O162" s="409"/>
      <c r="P162" s="409"/>
      <c r="Q162" s="409"/>
      <c r="R162" s="409"/>
      <c r="S162" s="409"/>
      <c r="T162" s="409"/>
      <c r="U162" s="409"/>
      <c r="V162" s="409"/>
      <c r="W162" s="409"/>
      <c r="X162" s="409"/>
      <c r="Y162" s="409"/>
      <c r="Z162" s="409"/>
      <c r="AA162" s="409"/>
      <c r="AB162" s="409"/>
      <c r="AC162" s="409"/>
      <c r="AD162" s="409"/>
      <c r="AE162" s="409"/>
      <c r="AF162" s="409"/>
      <c r="AG162" s="409"/>
      <c r="AH162" s="409"/>
      <c r="AI162" s="409"/>
      <c r="AJ162" s="409"/>
      <c r="AK162" s="409"/>
      <c r="AL162" s="409"/>
      <c r="AM162" s="409"/>
      <c r="AN162" s="409"/>
      <c r="AO162" s="409"/>
      <c r="AP162" s="409"/>
      <c r="AQ162" s="409"/>
      <c r="AR162" s="409"/>
      <c r="AS162" s="409"/>
      <c r="AT162" s="409"/>
      <c r="AU162" s="409"/>
      <c r="AV162" s="409"/>
      <c r="AW162" s="409"/>
      <c r="AX162" s="409"/>
      <c r="AY162" s="409"/>
      <c r="AZ162" s="409"/>
      <c r="BA162" s="409"/>
      <c r="BB162" s="409"/>
      <c r="BC162" s="409"/>
      <c r="BD162" s="409"/>
      <c r="BE162" s="409"/>
      <c r="BF162" s="409"/>
      <c r="BG162" s="409"/>
      <c r="BH162" s="409"/>
      <c r="BI162" s="409"/>
      <c r="BJ162" s="409"/>
      <c r="BK162" s="409"/>
      <c r="BL162" s="409"/>
      <c r="BM162" s="409"/>
      <c r="BN162" s="409"/>
      <c r="BO162" s="409"/>
      <c r="BP162" s="409"/>
      <c r="BQ162" s="409"/>
      <c r="BR162" s="409"/>
      <c r="BS162" s="409"/>
      <c r="BT162" s="409"/>
      <c r="BU162" s="409"/>
      <c r="BV162" s="409"/>
      <c r="BW162" s="409"/>
      <c r="BX162" s="409"/>
      <c r="BY162" s="409"/>
      <c r="BZ162" s="409"/>
      <c r="CA162" s="409"/>
      <c r="CB162" s="409"/>
      <c r="CC162" s="409"/>
      <c r="CD162" s="409"/>
      <c r="CE162" s="409"/>
      <c r="CF162" s="409"/>
      <c r="CG162" s="409"/>
      <c r="CH162" s="409"/>
      <c r="CI162" s="409"/>
      <c r="CJ162" s="409"/>
      <c r="CK162" s="409"/>
      <c r="CL162" s="409"/>
      <c r="CM162" s="409"/>
      <c r="CN162" s="409"/>
      <c r="CO162" s="409"/>
      <c r="CP162" s="409"/>
      <c r="CQ162" s="409"/>
      <c r="CR162" s="409"/>
      <c r="CS162" s="409"/>
      <c r="CT162" s="409"/>
      <c r="CU162" s="409"/>
      <c r="CV162" s="409"/>
      <c r="CW162" s="409"/>
      <c r="CX162" s="409"/>
      <c r="CY162" s="409"/>
      <c r="CZ162" s="409"/>
      <c r="DA162" s="409"/>
      <c r="DB162" s="409"/>
      <c r="DC162" s="409"/>
      <c r="DD162" s="409"/>
      <c r="DE162" s="409"/>
      <c r="DF162" s="409"/>
      <c r="DG162" s="409"/>
      <c r="DH162" s="409"/>
      <c r="DI162" s="409"/>
      <c r="DJ162" s="409"/>
      <c r="DK162" s="409"/>
      <c r="DL162" s="409"/>
      <c r="DM162" s="409"/>
      <c r="DN162" s="409"/>
      <c r="DO162" s="409"/>
      <c r="DP162" s="409"/>
      <c r="DQ162" s="409"/>
      <c r="DR162" s="409"/>
      <c r="DS162" s="409"/>
      <c r="DT162" s="409"/>
      <c r="DU162" s="409"/>
      <c r="DV162" s="409"/>
      <c r="DW162" s="409"/>
      <c r="DX162" s="409"/>
      <c r="DY162" s="409"/>
      <c r="DZ162" s="409"/>
      <c r="EA162" s="409"/>
      <c r="EB162" s="409"/>
      <c r="EC162" s="409"/>
      <c r="ED162" s="409"/>
      <c r="EE162" s="409"/>
      <c r="EF162" s="409"/>
      <c r="EG162" s="409"/>
      <c r="EH162" s="409"/>
      <c r="EI162" s="409"/>
      <c r="EJ162" s="409"/>
      <c r="EK162" s="409"/>
      <c r="EL162" s="409"/>
      <c r="EM162" s="409"/>
      <c r="EN162" s="409"/>
      <c r="EO162" s="409"/>
      <c r="EP162" s="409"/>
      <c r="EQ162" s="409"/>
      <c r="ER162" s="409"/>
      <c r="ES162" s="409"/>
      <c r="ET162" s="409"/>
    </row>
    <row r="163" spans="1:150" x14ac:dyDescent="0.25">
      <c r="A163" s="350"/>
      <c r="B163" s="350"/>
      <c r="C163" s="350"/>
      <c r="D163" s="350"/>
      <c r="E163" s="350"/>
      <c r="F163" s="337"/>
      <c r="G163" s="337"/>
      <c r="J163" s="409"/>
      <c r="K163" s="409"/>
      <c r="L163" s="409"/>
      <c r="M163" s="409"/>
      <c r="N163" s="409"/>
      <c r="O163" s="409"/>
      <c r="P163" s="409"/>
      <c r="Q163" s="409"/>
      <c r="R163" s="409"/>
      <c r="S163" s="409"/>
      <c r="T163" s="409"/>
      <c r="U163" s="409"/>
      <c r="V163" s="409"/>
      <c r="W163" s="409"/>
      <c r="X163" s="409"/>
      <c r="Y163" s="409"/>
      <c r="Z163" s="409"/>
      <c r="AA163" s="409"/>
      <c r="AB163" s="409"/>
      <c r="AC163" s="409"/>
      <c r="AD163" s="409"/>
      <c r="AE163" s="409"/>
      <c r="AF163" s="409"/>
      <c r="AG163" s="409"/>
      <c r="AH163" s="409"/>
      <c r="AI163" s="409"/>
      <c r="AJ163" s="409"/>
      <c r="AK163" s="409"/>
      <c r="AL163" s="409"/>
      <c r="AM163" s="409"/>
      <c r="AN163" s="409"/>
      <c r="AO163" s="409"/>
      <c r="AP163" s="409"/>
      <c r="AQ163" s="409"/>
      <c r="AR163" s="409"/>
      <c r="AS163" s="409"/>
      <c r="AT163" s="409"/>
      <c r="AU163" s="409"/>
      <c r="AV163" s="409"/>
      <c r="AW163" s="409"/>
      <c r="AX163" s="409"/>
      <c r="AY163" s="409"/>
      <c r="AZ163" s="409"/>
      <c r="BA163" s="409"/>
      <c r="BB163" s="409"/>
      <c r="BC163" s="409"/>
      <c r="BD163" s="409"/>
      <c r="BE163" s="409"/>
      <c r="BF163" s="409"/>
      <c r="BG163" s="409"/>
      <c r="BH163" s="409"/>
      <c r="BI163" s="409"/>
      <c r="BJ163" s="409"/>
      <c r="BK163" s="409"/>
      <c r="BL163" s="409"/>
      <c r="BM163" s="409"/>
      <c r="BN163" s="409"/>
      <c r="BO163" s="409"/>
      <c r="BP163" s="409"/>
      <c r="BQ163" s="409"/>
      <c r="BR163" s="409"/>
      <c r="BS163" s="409"/>
      <c r="BT163" s="409"/>
      <c r="BU163" s="409"/>
      <c r="BV163" s="409"/>
      <c r="BW163" s="409"/>
      <c r="BX163" s="409"/>
      <c r="BY163" s="409"/>
      <c r="BZ163" s="409"/>
      <c r="CA163" s="409"/>
      <c r="CB163" s="409"/>
      <c r="CC163" s="409"/>
      <c r="CD163" s="409"/>
      <c r="CE163" s="409"/>
      <c r="CF163" s="409"/>
      <c r="CG163" s="409"/>
      <c r="CH163" s="409"/>
      <c r="CI163" s="409"/>
      <c r="CJ163" s="409"/>
      <c r="CK163" s="409"/>
      <c r="CL163" s="409"/>
      <c r="CM163" s="409"/>
      <c r="CN163" s="409"/>
      <c r="CO163" s="409"/>
      <c r="CP163" s="409"/>
      <c r="CQ163" s="409"/>
      <c r="CR163" s="409"/>
      <c r="CS163" s="409"/>
      <c r="CT163" s="409"/>
      <c r="CU163" s="409"/>
      <c r="CV163" s="409"/>
      <c r="CW163" s="409"/>
      <c r="CX163" s="409"/>
      <c r="CY163" s="409"/>
      <c r="CZ163" s="409"/>
      <c r="DA163" s="409"/>
      <c r="DB163" s="409"/>
      <c r="DC163" s="409"/>
      <c r="DD163" s="409"/>
      <c r="DE163" s="409"/>
      <c r="DF163" s="409"/>
      <c r="DG163" s="409"/>
      <c r="DH163" s="409"/>
      <c r="DI163" s="409"/>
      <c r="DJ163" s="409"/>
      <c r="DK163" s="409"/>
      <c r="DL163" s="409"/>
      <c r="DM163" s="409"/>
      <c r="DN163" s="409"/>
      <c r="DO163" s="409"/>
      <c r="DP163" s="409"/>
      <c r="DQ163" s="409"/>
      <c r="DR163" s="409"/>
      <c r="DS163" s="409"/>
      <c r="DT163" s="409"/>
      <c r="DU163" s="409"/>
      <c r="DV163" s="409"/>
      <c r="DW163" s="409"/>
      <c r="DX163" s="409"/>
      <c r="DY163" s="409"/>
      <c r="DZ163" s="409"/>
      <c r="EA163" s="409"/>
      <c r="EB163" s="409"/>
      <c r="EC163" s="409"/>
      <c r="ED163" s="409"/>
      <c r="EE163" s="409"/>
      <c r="EF163" s="409"/>
      <c r="EG163" s="409"/>
      <c r="EH163" s="409"/>
      <c r="EI163" s="409"/>
      <c r="EJ163" s="409"/>
      <c r="EK163" s="409"/>
      <c r="EL163" s="409"/>
      <c r="EM163" s="409"/>
      <c r="EN163" s="409"/>
      <c r="EO163" s="409"/>
      <c r="EP163" s="409"/>
      <c r="EQ163" s="409"/>
      <c r="ER163" s="409"/>
      <c r="ES163" s="409"/>
      <c r="ET163" s="409"/>
    </row>
    <row r="164" spans="1:150" x14ac:dyDescent="0.25">
      <c r="A164" s="350"/>
      <c r="B164" s="350"/>
      <c r="C164" s="350"/>
      <c r="D164" s="350"/>
      <c r="E164" s="350"/>
      <c r="F164" s="337"/>
      <c r="G164" s="337"/>
      <c r="J164" s="409"/>
      <c r="K164" s="409"/>
      <c r="L164" s="409"/>
      <c r="M164" s="409"/>
      <c r="N164" s="409"/>
      <c r="O164" s="409"/>
      <c r="P164" s="409"/>
      <c r="Q164" s="409"/>
      <c r="R164" s="409"/>
      <c r="S164" s="409"/>
      <c r="T164" s="409"/>
      <c r="U164" s="409"/>
      <c r="V164" s="409"/>
      <c r="W164" s="409"/>
      <c r="X164" s="409"/>
      <c r="Y164" s="409"/>
      <c r="Z164" s="409"/>
      <c r="AA164" s="409"/>
      <c r="AB164" s="409"/>
      <c r="AC164" s="409"/>
      <c r="AD164" s="409"/>
      <c r="AE164" s="409"/>
      <c r="AF164" s="409"/>
      <c r="AG164" s="409"/>
      <c r="AH164" s="409"/>
      <c r="AI164" s="409"/>
      <c r="AJ164" s="409"/>
      <c r="AK164" s="409"/>
      <c r="AL164" s="409"/>
      <c r="AM164" s="409"/>
      <c r="AN164" s="409"/>
      <c r="AO164" s="409"/>
      <c r="AP164" s="409"/>
      <c r="AQ164" s="409"/>
      <c r="AR164" s="409"/>
      <c r="AS164" s="409"/>
      <c r="AT164" s="409"/>
      <c r="AU164" s="409"/>
      <c r="AV164" s="409"/>
      <c r="AW164" s="409"/>
      <c r="AX164" s="409"/>
      <c r="AY164" s="409"/>
      <c r="AZ164" s="409"/>
      <c r="BA164" s="409"/>
      <c r="BB164" s="409"/>
      <c r="BC164" s="409"/>
      <c r="BD164" s="409"/>
      <c r="BE164" s="409"/>
      <c r="BF164" s="409"/>
      <c r="BG164" s="409"/>
      <c r="BH164" s="409"/>
      <c r="BI164" s="409"/>
      <c r="BJ164" s="409"/>
      <c r="BK164" s="409"/>
      <c r="BL164" s="409"/>
      <c r="BM164" s="409"/>
      <c r="BN164" s="409"/>
      <c r="BO164" s="409"/>
      <c r="BP164" s="409"/>
      <c r="BQ164" s="409"/>
      <c r="BR164" s="409"/>
      <c r="BS164" s="409"/>
      <c r="BT164" s="409"/>
      <c r="BU164" s="409"/>
      <c r="BV164" s="409"/>
      <c r="BW164" s="409"/>
      <c r="BX164" s="409"/>
      <c r="BY164" s="409"/>
      <c r="BZ164" s="409"/>
      <c r="CA164" s="409"/>
      <c r="CB164" s="409"/>
      <c r="CC164" s="409"/>
      <c r="CD164" s="409"/>
      <c r="CE164" s="409"/>
      <c r="CF164" s="409"/>
      <c r="CG164" s="409"/>
      <c r="CH164" s="409"/>
      <c r="CI164" s="409"/>
      <c r="CJ164" s="409"/>
      <c r="CK164" s="409"/>
      <c r="CL164" s="409"/>
      <c r="CM164" s="409"/>
      <c r="CN164" s="409"/>
      <c r="CO164" s="409"/>
      <c r="CP164" s="409"/>
      <c r="CQ164" s="409"/>
      <c r="CR164" s="409"/>
      <c r="CS164" s="409"/>
      <c r="CT164" s="409"/>
      <c r="CU164" s="409"/>
      <c r="CV164" s="409"/>
      <c r="CW164" s="409"/>
      <c r="CX164" s="409"/>
      <c r="CY164" s="409"/>
      <c r="CZ164" s="409"/>
      <c r="DA164" s="409"/>
      <c r="DB164" s="409"/>
      <c r="DC164" s="409"/>
      <c r="DD164" s="409"/>
      <c r="DE164" s="409"/>
      <c r="DF164" s="409"/>
      <c r="DG164" s="409"/>
      <c r="DH164" s="409"/>
      <c r="DI164" s="409"/>
      <c r="DJ164" s="409"/>
      <c r="DK164" s="409"/>
      <c r="DL164" s="409"/>
      <c r="DM164" s="409"/>
      <c r="DN164" s="409"/>
      <c r="DO164" s="409"/>
      <c r="DP164" s="409"/>
      <c r="DQ164" s="409"/>
      <c r="DR164" s="409"/>
      <c r="DS164" s="409"/>
      <c r="DT164" s="409"/>
      <c r="DU164" s="409"/>
      <c r="DV164" s="409"/>
      <c r="DW164" s="409"/>
      <c r="DX164" s="409"/>
      <c r="DY164" s="409"/>
      <c r="DZ164" s="409"/>
      <c r="EA164" s="409"/>
      <c r="EB164" s="409"/>
      <c r="EC164" s="409"/>
      <c r="ED164" s="409"/>
      <c r="EE164" s="409"/>
      <c r="EF164" s="409"/>
      <c r="EG164" s="409"/>
      <c r="EH164" s="409"/>
      <c r="EI164" s="409"/>
      <c r="EJ164" s="409"/>
      <c r="EK164" s="409"/>
      <c r="EL164" s="409"/>
      <c r="EM164" s="409"/>
      <c r="EN164" s="409"/>
      <c r="EO164" s="409"/>
      <c r="EP164" s="409"/>
      <c r="EQ164" s="409"/>
      <c r="ER164" s="409"/>
      <c r="ES164" s="409"/>
      <c r="ET164" s="409"/>
    </row>
    <row r="165" spans="1:150" x14ac:dyDescent="0.25">
      <c r="A165" s="87"/>
      <c r="B165" s="87"/>
      <c r="C165" s="87"/>
      <c r="D165" s="87"/>
      <c r="E165" s="87"/>
      <c r="J165" s="409"/>
      <c r="K165" s="409"/>
      <c r="L165" s="409"/>
      <c r="M165" s="409"/>
      <c r="N165" s="409"/>
      <c r="O165" s="409"/>
      <c r="P165" s="409"/>
      <c r="Q165" s="409"/>
      <c r="R165" s="409"/>
      <c r="S165" s="409"/>
      <c r="T165" s="409"/>
      <c r="U165" s="409"/>
      <c r="V165" s="409"/>
      <c r="W165" s="409"/>
      <c r="X165" s="409"/>
      <c r="Y165" s="409"/>
      <c r="Z165" s="409"/>
      <c r="AA165" s="409"/>
      <c r="AB165" s="409"/>
      <c r="AC165" s="409"/>
      <c r="AD165" s="409"/>
      <c r="AE165" s="409"/>
      <c r="AF165" s="409"/>
      <c r="AG165" s="409"/>
      <c r="AH165" s="409"/>
      <c r="AI165" s="409"/>
      <c r="AJ165" s="409"/>
      <c r="AK165" s="409"/>
      <c r="AL165" s="409"/>
      <c r="AM165" s="409"/>
      <c r="AN165" s="409"/>
      <c r="AO165" s="409"/>
      <c r="AP165" s="409"/>
      <c r="AQ165" s="409"/>
      <c r="AR165" s="409"/>
      <c r="AS165" s="409"/>
      <c r="AT165" s="409"/>
      <c r="AU165" s="409"/>
      <c r="AV165" s="409"/>
      <c r="AW165" s="409"/>
      <c r="AX165" s="409"/>
      <c r="AY165" s="409"/>
      <c r="AZ165" s="409"/>
      <c r="BA165" s="409"/>
      <c r="BB165" s="409"/>
      <c r="BC165" s="409"/>
      <c r="BD165" s="409"/>
      <c r="BE165" s="409"/>
      <c r="BF165" s="409"/>
      <c r="BG165" s="409"/>
      <c r="BH165" s="409"/>
      <c r="BI165" s="409"/>
      <c r="BJ165" s="409"/>
      <c r="BK165" s="409"/>
      <c r="BL165" s="409"/>
      <c r="BM165" s="409"/>
      <c r="BN165" s="409"/>
      <c r="BO165" s="409"/>
      <c r="BP165" s="409"/>
      <c r="BQ165" s="409"/>
      <c r="BR165" s="409"/>
      <c r="BS165" s="409"/>
      <c r="BT165" s="409"/>
      <c r="BU165" s="409"/>
      <c r="BV165" s="409"/>
      <c r="BW165" s="409"/>
      <c r="BX165" s="409"/>
      <c r="BY165" s="409"/>
      <c r="BZ165" s="409"/>
      <c r="CA165" s="409"/>
      <c r="CB165" s="409"/>
      <c r="CC165" s="409"/>
      <c r="CD165" s="409"/>
      <c r="CE165" s="409"/>
      <c r="CF165" s="409"/>
      <c r="CG165" s="409"/>
      <c r="CH165" s="409"/>
      <c r="CI165" s="409"/>
      <c r="CJ165" s="409"/>
      <c r="CK165" s="409"/>
      <c r="CL165" s="409"/>
      <c r="CM165" s="409"/>
      <c r="CN165" s="409"/>
      <c r="CO165" s="409"/>
      <c r="CP165" s="409"/>
      <c r="CQ165" s="409"/>
      <c r="CR165" s="409"/>
      <c r="CS165" s="409"/>
      <c r="CT165" s="409"/>
      <c r="CU165" s="409"/>
      <c r="CV165" s="409"/>
      <c r="CW165" s="409"/>
      <c r="CX165" s="409"/>
      <c r="CY165" s="409"/>
      <c r="CZ165" s="409"/>
      <c r="DA165" s="409"/>
      <c r="DB165" s="409"/>
      <c r="DC165" s="409"/>
      <c r="DD165" s="409"/>
      <c r="DE165" s="409"/>
      <c r="DF165" s="409"/>
      <c r="DG165" s="409"/>
      <c r="DH165" s="409"/>
      <c r="DI165" s="409"/>
      <c r="DJ165" s="409"/>
      <c r="DK165" s="409"/>
      <c r="DL165" s="409"/>
      <c r="DM165" s="409"/>
      <c r="DN165" s="409"/>
      <c r="DO165" s="409"/>
      <c r="DP165" s="409"/>
      <c r="DQ165" s="409"/>
      <c r="DR165" s="409"/>
      <c r="DS165" s="409"/>
      <c r="DT165" s="409"/>
      <c r="DU165" s="409"/>
      <c r="DV165" s="409"/>
      <c r="DW165" s="409"/>
      <c r="DX165" s="409"/>
      <c r="DY165" s="409"/>
      <c r="DZ165" s="409"/>
      <c r="EA165" s="409"/>
      <c r="EB165" s="409"/>
      <c r="EC165" s="409"/>
      <c r="ED165" s="409"/>
      <c r="EE165" s="409"/>
      <c r="EF165" s="409"/>
      <c r="EG165" s="409"/>
      <c r="EH165" s="409"/>
      <c r="EI165" s="409"/>
      <c r="EJ165" s="409"/>
      <c r="EK165" s="409"/>
      <c r="EL165" s="409"/>
      <c r="EM165" s="409"/>
      <c r="EN165" s="409"/>
      <c r="EO165" s="409"/>
      <c r="EP165" s="409"/>
      <c r="EQ165" s="409"/>
      <c r="ER165" s="409"/>
      <c r="ES165" s="409"/>
      <c r="ET165" s="409"/>
    </row>
    <row r="166" spans="1:150" x14ac:dyDescent="0.25">
      <c r="A166" s="87"/>
      <c r="B166" s="87"/>
      <c r="C166" s="87"/>
      <c r="D166" s="87"/>
      <c r="E166" s="87"/>
      <c r="J166" s="409"/>
      <c r="K166" s="409"/>
      <c r="L166" s="409"/>
      <c r="M166" s="409"/>
      <c r="N166" s="409"/>
      <c r="O166" s="409"/>
      <c r="P166" s="409"/>
      <c r="Q166" s="409"/>
      <c r="R166" s="409"/>
      <c r="S166" s="409"/>
      <c r="T166" s="409"/>
      <c r="U166" s="409"/>
      <c r="V166" s="409"/>
      <c r="W166" s="409"/>
      <c r="X166" s="409"/>
      <c r="Y166" s="409"/>
      <c r="Z166" s="409"/>
      <c r="AA166" s="409"/>
      <c r="AB166" s="409"/>
      <c r="AC166" s="409"/>
      <c r="AD166" s="409"/>
      <c r="AE166" s="409"/>
      <c r="AF166" s="409"/>
      <c r="AG166" s="409"/>
      <c r="AH166" s="409"/>
      <c r="AI166" s="409"/>
      <c r="AJ166" s="409"/>
      <c r="AK166" s="409"/>
      <c r="AL166" s="409"/>
      <c r="AM166" s="409"/>
      <c r="AN166" s="409"/>
      <c r="AO166" s="409"/>
      <c r="AP166" s="409"/>
      <c r="AQ166" s="409"/>
      <c r="AR166" s="409"/>
      <c r="AS166" s="409"/>
      <c r="AT166" s="409"/>
      <c r="AU166" s="409"/>
      <c r="AV166" s="409"/>
      <c r="AW166" s="409"/>
      <c r="AX166" s="409"/>
      <c r="AY166" s="409"/>
      <c r="AZ166" s="409"/>
      <c r="BA166" s="409"/>
      <c r="BB166" s="409"/>
      <c r="BC166" s="409"/>
      <c r="BD166" s="409"/>
      <c r="BE166" s="409"/>
      <c r="BF166" s="409"/>
      <c r="BG166" s="409"/>
      <c r="BH166" s="409"/>
      <c r="BI166" s="409"/>
      <c r="BJ166" s="409"/>
      <c r="BK166" s="409"/>
      <c r="BL166" s="409"/>
      <c r="BM166" s="409"/>
      <c r="BN166" s="409"/>
      <c r="BO166" s="409"/>
      <c r="BP166" s="409"/>
      <c r="BQ166" s="409"/>
      <c r="BR166" s="409"/>
      <c r="BS166" s="409"/>
      <c r="BT166" s="409"/>
      <c r="BU166" s="409"/>
      <c r="BV166" s="409"/>
      <c r="BW166" s="409"/>
      <c r="BX166" s="409"/>
      <c r="BY166" s="409"/>
      <c r="BZ166" s="409"/>
      <c r="CA166" s="409"/>
      <c r="CB166" s="409"/>
      <c r="CC166" s="409"/>
      <c r="CD166" s="409"/>
      <c r="CE166" s="409"/>
      <c r="CF166" s="409"/>
      <c r="CG166" s="409"/>
      <c r="CH166" s="409"/>
      <c r="CI166" s="409"/>
      <c r="CJ166" s="409"/>
      <c r="CK166" s="409"/>
      <c r="CL166" s="409"/>
      <c r="CM166" s="409"/>
      <c r="CN166" s="409"/>
      <c r="CO166" s="409"/>
      <c r="CP166" s="409"/>
      <c r="CQ166" s="409"/>
      <c r="CR166" s="409"/>
      <c r="CS166" s="409"/>
      <c r="CT166" s="409"/>
      <c r="CU166" s="409"/>
      <c r="CV166" s="409"/>
      <c r="CW166" s="409"/>
      <c r="CX166" s="409"/>
      <c r="CY166" s="409"/>
      <c r="CZ166" s="409"/>
      <c r="DA166" s="409"/>
      <c r="DB166" s="409"/>
      <c r="DC166" s="409"/>
      <c r="DD166" s="409"/>
      <c r="DE166" s="409"/>
      <c r="DF166" s="409"/>
      <c r="DG166" s="409"/>
      <c r="DH166" s="409"/>
      <c r="DI166" s="409"/>
      <c r="DJ166" s="409"/>
      <c r="DK166" s="409"/>
      <c r="DL166" s="409"/>
      <c r="DM166" s="409"/>
      <c r="DN166" s="409"/>
      <c r="DO166" s="409"/>
      <c r="DP166" s="409"/>
      <c r="DQ166" s="409"/>
      <c r="DR166" s="409"/>
      <c r="DS166" s="409"/>
      <c r="DT166" s="409"/>
      <c r="DU166" s="409"/>
      <c r="DV166" s="409"/>
      <c r="DW166" s="409"/>
      <c r="DX166" s="409"/>
      <c r="DY166" s="409"/>
      <c r="DZ166" s="409"/>
      <c r="EA166" s="409"/>
      <c r="EB166" s="409"/>
      <c r="EC166" s="409"/>
      <c r="ED166" s="409"/>
      <c r="EE166" s="409"/>
      <c r="EF166" s="409"/>
      <c r="EG166" s="409"/>
      <c r="EH166" s="409"/>
      <c r="EI166" s="409"/>
      <c r="EJ166" s="409"/>
      <c r="EK166" s="409"/>
      <c r="EL166" s="409"/>
      <c r="EM166" s="409"/>
      <c r="EN166" s="409"/>
      <c r="EO166" s="409"/>
      <c r="EP166" s="409"/>
      <c r="EQ166" s="409"/>
      <c r="ER166" s="409"/>
      <c r="ES166" s="409"/>
      <c r="ET166" s="409"/>
    </row>
    <row r="167" spans="1:150" x14ac:dyDescent="0.25">
      <c r="A167" s="87"/>
      <c r="B167" s="87"/>
      <c r="C167" s="87"/>
      <c r="D167" s="87"/>
      <c r="E167" s="87"/>
      <c r="J167" s="409"/>
      <c r="K167" s="409"/>
      <c r="L167" s="409"/>
      <c r="M167" s="409"/>
      <c r="N167" s="409"/>
      <c r="O167" s="409"/>
      <c r="P167" s="409"/>
      <c r="Q167" s="409"/>
      <c r="R167" s="409"/>
      <c r="S167" s="409"/>
      <c r="T167" s="409"/>
      <c r="U167" s="409"/>
      <c r="V167" s="409"/>
      <c r="W167" s="409"/>
      <c r="X167" s="409"/>
      <c r="Y167" s="409"/>
      <c r="Z167" s="409"/>
      <c r="AA167" s="409"/>
      <c r="AB167" s="409"/>
      <c r="AC167" s="409"/>
      <c r="AD167" s="409"/>
      <c r="AE167" s="409"/>
      <c r="AF167" s="409"/>
      <c r="AG167" s="409"/>
      <c r="AH167" s="409"/>
      <c r="AI167" s="409"/>
      <c r="AJ167" s="409"/>
      <c r="AK167" s="409"/>
      <c r="AL167" s="409"/>
      <c r="AM167" s="409"/>
      <c r="AN167" s="409"/>
      <c r="AO167" s="409"/>
      <c r="AP167" s="409"/>
      <c r="AQ167" s="409"/>
      <c r="AR167" s="409"/>
      <c r="AS167" s="409"/>
      <c r="AT167" s="409"/>
      <c r="AU167" s="409"/>
      <c r="AV167" s="409"/>
      <c r="AW167" s="409"/>
      <c r="AX167" s="409"/>
      <c r="AY167" s="409"/>
      <c r="AZ167" s="409"/>
      <c r="BA167" s="409"/>
      <c r="BB167" s="409"/>
      <c r="BC167" s="409"/>
      <c r="BD167" s="409"/>
      <c r="BE167" s="409"/>
      <c r="BF167" s="409"/>
      <c r="BG167" s="409"/>
      <c r="BH167" s="409"/>
      <c r="BI167" s="409"/>
      <c r="BJ167" s="409"/>
      <c r="BK167" s="409"/>
      <c r="BL167" s="409"/>
      <c r="BM167" s="409"/>
      <c r="BN167" s="409"/>
      <c r="BO167" s="409"/>
      <c r="BP167" s="409"/>
      <c r="BQ167" s="409"/>
      <c r="BR167" s="409"/>
      <c r="BS167" s="409"/>
      <c r="BT167" s="409"/>
      <c r="BU167" s="409"/>
      <c r="BV167" s="409"/>
      <c r="BW167" s="409"/>
      <c r="BX167" s="409"/>
      <c r="BY167" s="409"/>
      <c r="BZ167" s="409"/>
      <c r="CA167" s="409"/>
      <c r="CB167" s="409"/>
      <c r="CC167" s="409"/>
      <c r="CD167" s="409"/>
      <c r="CE167" s="409"/>
      <c r="CF167" s="409"/>
      <c r="CG167" s="409"/>
      <c r="CH167" s="409"/>
      <c r="CI167" s="409"/>
      <c r="CJ167" s="409"/>
      <c r="CK167" s="409"/>
      <c r="CL167" s="409"/>
      <c r="CM167" s="409"/>
      <c r="CN167" s="409"/>
      <c r="CO167" s="409"/>
      <c r="CP167" s="409"/>
      <c r="CQ167" s="409"/>
      <c r="CR167" s="409"/>
      <c r="CS167" s="409"/>
      <c r="CT167" s="409"/>
      <c r="CU167" s="409"/>
      <c r="CV167" s="409"/>
      <c r="CW167" s="409"/>
      <c r="CX167" s="409"/>
      <c r="CY167" s="409"/>
      <c r="CZ167" s="409"/>
      <c r="DA167" s="409"/>
      <c r="DB167" s="409"/>
      <c r="DC167" s="409"/>
      <c r="DD167" s="409"/>
      <c r="DE167" s="409"/>
      <c r="DF167" s="409"/>
      <c r="DG167" s="409"/>
      <c r="DH167" s="409"/>
      <c r="DI167" s="409"/>
      <c r="DJ167" s="409"/>
      <c r="DK167" s="409"/>
      <c r="DL167" s="409"/>
      <c r="DM167" s="409"/>
      <c r="DN167" s="409"/>
      <c r="DO167" s="409"/>
      <c r="DP167" s="409"/>
      <c r="DQ167" s="409"/>
      <c r="DR167" s="409"/>
      <c r="DS167" s="409"/>
      <c r="DT167" s="409"/>
      <c r="DU167" s="409"/>
      <c r="DV167" s="409"/>
      <c r="DW167" s="409"/>
      <c r="DX167" s="409"/>
      <c r="DY167" s="409"/>
      <c r="DZ167" s="409"/>
      <c r="EA167" s="409"/>
      <c r="EB167" s="409"/>
      <c r="EC167" s="409"/>
      <c r="ED167" s="409"/>
      <c r="EE167" s="409"/>
      <c r="EF167" s="409"/>
      <c r="EG167" s="409"/>
      <c r="EH167" s="409"/>
      <c r="EI167" s="409"/>
      <c r="EJ167" s="409"/>
      <c r="EK167" s="409"/>
      <c r="EL167" s="409"/>
      <c r="EM167" s="409"/>
      <c r="EN167" s="409"/>
      <c r="EO167" s="409"/>
      <c r="EP167" s="409"/>
      <c r="EQ167" s="409"/>
      <c r="ER167" s="409"/>
      <c r="ES167" s="409"/>
      <c r="ET167" s="409"/>
    </row>
    <row r="168" spans="1:150" x14ac:dyDescent="0.25">
      <c r="A168" s="87"/>
      <c r="B168" s="87"/>
      <c r="C168" s="87"/>
      <c r="D168" s="87"/>
      <c r="E168" s="87"/>
    </row>
    <row r="169" spans="1:150" x14ac:dyDescent="0.25">
      <c r="A169" s="87"/>
      <c r="B169" s="87"/>
      <c r="C169" s="87"/>
      <c r="D169" s="87"/>
      <c r="E169" s="87"/>
    </row>
    <row r="170" spans="1:150" x14ac:dyDescent="0.25">
      <c r="A170" s="87"/>
      <c r="B170" s="87"/>
      <c r="C170" s="87"/>
      <c r="D170" s="87"/>
      <c r="E170" s="87"/>
    </row>
    <row r="171" spans="1:150" x14ac:dyDescent="0.25">
      <c r="A171" s="87"/>
      <c r="B171" s="87"/>
      <c r="C171" s="87"/>
      <c r="D171" s="87"/>
      <c r="E171" s="87"/>
    </row>
    <row r="172" spans="1:150" x14ac:dyDescent="0.25">
      <c r="A172" s="87"/>
      <c r="B172" s="87"/>
      <c r="C172" s="87"/>
      <c r="D172" s="87"/>
      <c r="E172" s="87"/>
    </row>
    <row r="173" spans="1:150" x14ac:dyDescent="0.25">
      <c r="A173" s="87"/>
      <c r="B173" s="87"/>
      <c r="C173" s="87"/>
      <c r="D173" s="87"/>
      <c r="E173" s="87"/>
    </row>
    <row r="174" spans="1:150" x14ac:dyDescent="0.25">
      <c r="A174" s="87"/>
      <c r="B174" s="87"/>
      <c r="C174" s="87"/>
      <c r="D174" s="87"/>
      <c r="E174" s="87"/>
    </row>
    <row r="175" spans="1:150" x14ac:dyDescent="0.25">
      <c r="A175" s="87"/>
      <c r="B175" s="87"/>
      <c r="C175" s="87"/>
      <c r="D175" s="87"/>
      <c r="E175" s="87"/>
    </row>
    <row r="176" spans="1:150" x14ac:dyDescent="0.25">
      <c r="A176" s="87"/>
      <c r="B176" s="87"/>
      <c r="C176" s="87"/>
      <c r="D176" s="87"/>
      <c r="E176" s="87"/>
    </row>
    <row r="177" spans="1:5" x14ac:dyDescent="0.25">
      <c r="A177" s="87"/>
      <c r="B177" s="87"/>
      <c r="C177" s="87"/>
      <c r="D177" s="87"/>
      <c r="E177" s="87"/>
    </row>
    <row r="178" spans="1:5" x14ac:dyDescent="0.25">
      <c r="A178" s="87"/>
      <c r="B178" s="87"/>
      <c r="C178" s="87"/>
      <c r="D178" s="87"/>
      <c r="E178" s="87"/>
    </row>
    <row r="179" spans="1:5" x14ac:dyDescent="0.25">
      <c r="A179" s="87"/>
      <c r="B179" s="87"/>
      <c r="C179" s="87"/>
      <c r="D179" s="87"/>
      <c r="E179" s="87"/>
    </row>
    <row r="180" spans="1:5" x14ac:dyDescent="0.25">
      <c r="A180" s="87"/>
      <c r="B180" s="87"/>
      <c r="C180" s="87"/>
      <c r="D180" s="87"/>
      <c r="E180" s="87"/>
    </row>
    <row r="181" spans="1:5" x14ac:dyDescent="0.25">
      <c r="A181" s="87"/>
      <c r="B181" s="87"/>
      <c r="C181" s="87"/>
      <c r="D181" s="87"/>
      <c r="E181" s="87"/>
    </row>
    <row r="182" spans="1:5" x14ac:dyDescent="0.25">
      <c r="A182" s="87"/>
      <c r="B182" s="87"/>
      <c r="C182" s="87"/>
      <c r="D182" s="87"/>
      <c r="E182" s="87"/>
    </row>
    <row r="183" spans="1:5" x14ac:dyDescent="0.25">
      <c r="A183" s="87"/>
      <c r="B183" s="87"/>
      <c r="C183" s="87"/>
      <c r="D183" s="87"/>
      <c r="E183" s="87"/>
    </row>
    <row r="184" spans="1:5" x14ac:dyDescent="0.25">
      <c r="A184" s="87"/>
      <c r="B184" s="87"/>
      <c r="C184" s="87"/>
      <c r="D184" s="87"/>
      <c r="E184" s="87"/>
    </row>
    <row r="185" spans="1:5" x14ac:dyDescent="0.25">
      <c r="A185" s="87"/>
      <c r="B185" s="87"/>
      <c r="C185" s="87"/>
      <c r="D185" s="87"/>
      <c r="E185" s="87"/>
    </row>
    <row r="186" spans="1:5" x14ac:dyDescent="0.25">
      <c r="A186" s="87"/>
      <c r="B186" s="87"/>
      <c r="C186" s="87"/>
      <c r="D186" s="87"/>
      <c r="E186" s="87"/>
    </row>
    <row r="187" spans="1:5" x14ac:dyDescent="0.25">
      <c r="A187" s="87"/>
      <c r="B187" s="87"/>
      <c r="C187" s="87"/>
      <c r="D187" s="87"/>
      <c r="E187" s="87"/>
    </row>
    <row r="188" spans="1:5" x14ac:dyDescent="0.25">
      <c r="A188" s="87"/>
      <c r="B188" s="87"/>
      <c r="C188" s="87"/>
      <c r="D188" s="87"/>
      <c r="E188" s="87"/>
    </row>
    <row r="189" spans="1:5" x14ac:dyDescent="0.25">
      <c r="A189" s="87"/>
      <c r="B189" s="87"/>
      <c r="C189" s="87"/>
      <c r="D189" s="87"/>
      <c r="E189" s="87"/>
    </row>
    <row r="190" spans="1:5" x14ac:dyDescent="0.25">
      <c r="A190" s="87"/>
      <c r="B190" s="87"/>
      <c r="C190" s="87"/>
      <c r="D190" s="87"/>
      <c r="E190" s="87"/>
    </row>
    <row r="191" spans="1:5" x14ac:dyDescent="0.25">
      <c r="A191" s="87"/>
      <c r="B191" s="87"/>
      <c r="C191" s="87"/>
      <c r="D191" s="87"/>
      <c r="E191" s="87"/>
    </row>
    <row r="192" spans="1:5" x14ac:dyDescent="0.25">
      <c r="A192" s="87"/>
      <c r="B192" s="87"/>
      <c r="C192" s="87"/>
      <c r="D192" s="87"/>
      <c r="E192" s="87"/>
    </row>
    <row r="193" spans="1:5" x14ac:dyDescent="0.25">
      <c r="A193" s="87"/>
      <c r="B193" s="87"/>
      <c r="C193" s="87"/>
      <c r="D193" s="87"/>
      <c r="E193" s="87"/>
    </row>
    <row r="194" spans="1:5" x14ac:dyDescent="0.25">
      <c r="A194" s="87"/>
      <c r="B194" s="87"/>
      <c r="C194" s="87"/>
      <c r="D194" s="87"/>
      <c r="E194" s="87"/>
    </row>
    <row r="195" spans="1:5" x14ac:dyDescent="0.25">
      <c r="A195" s="87"/>
      <c r="B195" s="87"/>
      <c r="C195" s="87"/>
      <c r="D195" s="87"/>
      <c r="E195" s="87"/>
    </row>
    <row r="196" spans="1:5" x14ac:dyDescent="0.25">
      <c r="A196" s="87"/>
      <c r="B196" s="87"/>
      <c r="C196" s="87"/>
      <c r="D196" s="87"/>
      <c r="E196" s="87"/>
    </row>
    <row r="197" spans="1:5" x14ac:dyDescent="0.25">
      <c r="A197" s="87"/>
      <c r="B197" s="87"/>
      <c r="C197" s="87"/>
      <c r="D197" s="87"/>
      <c r="E197" s="87"/>
    </row>
    <row r="198" spans="1:5" x14ac:dyDescent="0.25">
      <c r="A198" s="87"/>
      <c r="B198" s="87"/>
      <c r="C198" s="87"/>
      <c r="D198" s="87"/>
      <c r="E198" s="87"/>
    </row>
    <row r="199" spans="1:5" x14ac:dyDescent="0.25">
      <c r="A199" s="87"/>
      <c r="B199" s="87"/>
      <c r="C199" s="87"/>
      <c r="D199" s="87"/>
      <c r="E199" s="87"/>
    </row>
    <row r="200" spans="1:5" x14ac:dyDescent="0.25">
      <c r="A200" s="87"/>
      <c r="B200" s="87"/>
      <c r="C200" s="87"/>
      <c r="D200" s="87"/>
      <c r="E200" s="87"/>
    </row>
    <row r="201" spans="1:5" x14ac:dyDescent="0.25">
      <c r="A201" s="87"/>
      <c r="B201" s="87"/>
      <c r="C201" s="87"/>
      <c r="D201" s="87"/>
      <c r="E201" s="87"/>
    </row>
    <row r="202" spans="1:5" x14ac:dyDescent="0.25">
      <c r="A202" s="87"/>
      <c r="B202" s="87"/>
      <c r="C202" s="87"/>
      <c r="D202" s="87"/>
      <c r="E202" s="87"/>
    </row>
    <row r="203" spans="1:5" x14ac:dyDescent="0.25">
      <c r="A203" s="87"/>
      <c r="B203" s="87"/>
      <c r="C203" s="87"/>
      <c r="D203" s="87"/>
      <c r="E203" s="87"/>
    </row>
    <row r="204" spans="1:5" x14ac:dyDescent="0.25">
      <c r="A204" s="87"/>
      <c r="B204" s="87"/>
      <c r="C204" s="87"/>
      <c r="D204" s="87"/>
      <c r="E204" s="87"/>
    </row>
    <row r="205" spans="1:5" x14ac:dyDescent="0.25">
      <c r="A205" s="87"/>
      <c r="B205" s="87"/>
      <c r="C205" s="87"/>
      <c r="D205" s="87"/>
      <c r="E205" s="87"/>
    </row>
    <row r="206" spans="1:5" x14ac:dyDescent="0.25">
      <c r="A206" s="87"/>
      <c r="B206" s="87"/>
      <c r="C206" s="87"/>
      <c r="D206" s="87"/>
      <c r="E206" s="87"/>
    </row>
    <row r="207" spans="1:5" x14ac:dyDescent="0.25">
      <c r="A207" s="87"/>
      <c r="B207" s="87"/>
      <c r="C207" s="87"/>
      <c r="D207" s="87"/>
      <c r="E207" s="87"/>
    </row>
    <row r="208" spans="1:5" x14ac:dyDescent="0.25">
      <c r="A208" s="87"/>
      <c r="B208" s="87"/>
      <c r="C208" s="87"/>
      <c r="D208" s="87"/>
      <c r="E208" s="87"/>
    </row>
    <row r="209" spans="1:5" x14ac:dyDescent="0.25">
      <c r="A209" s="87"/>
      <c r="B209" s="87"/>
      <c r="C209" s="87"/>
      <c r="D209" s="87"/>
      <c r="E209" s="87"/>
    </row>
    <row r="210" spans="1:5" x14ac:dyDescent="0.25">
      <c r="A210" s="87"/>
      <c r="B210" s="87"/>
      <c r="C210" s="87"/>
      <c r="D210" s="87"/>
      <c r="E210" s="87"/>
    </row>
    <row r="211" spans="1:5" x14ac:dyDescent="0.25">
      <c r="A211" s="87"/>
      <c r="B211" s="87"/>
      <c r="C211" s="87"/>
      <c r="D211" s="87"/>
      <c r="E211" s="87"/>
    </row>
    <row r="212" spans="1:5" x14ac:dyDescent="0.25">
      <c r="A212" s="87"/>
      <c r="B212" s="87"/>
      <c r="C212" s="87"/>
      <c r="D212" s="87"/>
      <c r="E212" s="87"/>
    </row>
    <row r="213" spans="1:5" x14ac:dyDescent="0.25">
      <c r="A213" s="87"/>
      <c r="B213" s="87"/>
      <c r="C213" s="87"/>
      <c r="D213" s="87"/>
      <c r="E213" s="87"/>
    </row>
    <row r="214" spans="1:5" x14ac:dyDescent="0.25">
      <c r="A214" s="87"/>
      <c r="B214" s="87"/>
      <c r="C214" s="87"/>
      <c r="D214" s="87"/>
      <c r="E214" s="87"/>
    </row>
    <row r="215" spans="1:5" x14ac:dyDescent="0.25">
      <c r="A215" s="87"/>
      <c r="B215" s="87"/>
      <c r="C215" s="87"/>
      <c r="D215" s="87"/>
      <c r="E215" s="87"/>
    </row>
    <row r="216" spans="1:5" x14ac:dyDescent="0.25">
      <c r="A216" s="87"/>
      <c r="B216" s="87"/>
      <c r="C216" s="87"/>
      <c r="D216" s="87"/>
      <c r="E216" s="87"/>
    </row>
    <row r="217" spans="1:5" x14ac:dyDescent="0.25">
      <c r="A217" s="87"/>
      <c r="B217" s="87"/>
      <c r="C217" s="87"/>
      <c r="D217" s="87"/>
      <c r="E217" s="87"/>
    </row>
    <row r="218" spans="1:5" x14ac:dyDescent="0.25">
      <c r="A218" s="87"/>
      <c r="B218" s="87"/>
      <c r="C218" s="87"/>
      <c r="D218" s="87"/>
      <c r="E218" s="87"/>
    </row>
    <row r="219" spans="1:5" x14ac:dyDescent="0.25">
      <c r="A219" s="87"/>
      <c r="B219" s="87"/>
      <c r="C219" s="87"/>
      <c r="D219" s="87"/>
      <c r="E219" s="87"/>
    </row>
    <row r="220" spans="1:5" x14ac:dyDescent="0.25">
      <c r="A220" s="87"/>
      <c r="B220" s="87"/>
      <c r="C220" s="87"/>
      <c r="D220" s="87"/>
      <c r="E220" s="87"/>
    </row>
    <row r="221" spans="1:5" x14ac:dyDescent="0.25">
      <c r="A221" s="87"/>
      <c r="B221" s="87"/>
      <c r="C221" s="87"/>
      <c r="D221" s="87"/>
      <c r="E221" s="87"/>
    </row>
    <row r="222" spans="1:5" x14ac:dyDescent="0.25">
      <c r="A222" s="87"/>
      <c r="B222" s="87"/>
      <c r="C222" s="87"/>
      <c r="D222" s="87"/>
      <c r="E222" s="87"/>
    </row>
    <row r="223" spans="1:5" x14ac:dyDescent="0.25">
      <c r="A223" s="87"/>
      <c r="B223" s="87"/>
      <c r="C223" s="87"/>
      <c r="D223" s="87"/>
      <c r="E223" s="87"/>
    </row>
    <row r="224" spans="1:5" ht="15.6" x14ac:dyDescent="0.3">
      <c r="A224" s="89"/>
      <c r="B224" s="89"/>
      <c r="C224" s="89"/>
      <c r="D224" s="89"/>
      <c r="E224" s="89"/>
    </row>
    <row r="225" spans="1:5" ht="15.6" x14ac:dyDescent="0.3">
      <c r="A225" s="89"/>
      <c r="B225" s="89"/>
      <c r="C225" s="89"/>
      <c r="D225" s="89"/>
      <c r="E225" s="89"/>
    </row>
    <row r="226" spans="1:5" ht="15.6" x14ac:dyDescent="0.3">
      <c r="A226" s="89"/>
      <c r="B226" s="89"/>
      <c r="C226" s="89"/>
      <c r="D226" s="89"/>
      <c r="E226" s="89"/>
    </row>
    <row r="227" spans="1:5" ht="15.6" x14ac:dyDescent="0.3">
      <c r="A227" s="89"/>
      <c r="B227" s="89"/>
      <c r="C227" s="89"/>
      <c r="D227" s="89"/>
      <c r="E227" s="89"/>
    </row>
    <row r="228" spans="1:5" ht="15.6" x14ac:dyDescent="0.3">
      <c r="A228" s="89"/>
      <c r="B228" s="89"/>
      <c r="C228" s="89"/>
      <c r="D228" s="89"/>
      <c r="E228" s="89"/>
    </row>
    <row r="229" spans="1:5" ht="15.6" x14ac:dyDescent="0.3">
      <c r="A229" s="89"/>
      <c r="B229" s="89"/>
      <c r="C229" s="89"/>
      <c r="D229" s="89"/>
      <c r="E229" s="89"/>
    </row>
    <row r="230" spans="1:5" ht="15.6" x14ac:dyDescent="0.3">
      <c r="A230" s="89"/>
      <c r="B230" s="89"/>
      <c r="C230" s="89"/>
      <c r="D230" s="89"/>
      <c r="E230" s="89"/>
    </row>
    <row r="231" spans="1:5" ht="15.6" x14ac:dyDescent="0.3">
      <c r="A231" s="89"/>
      <c r="B231" s="89"/>
      <c r="C231" s="89"/>
      <c r="D231" s="89"/>
      <c r="E231" s="89"/>
    </row>
    <row r="232" spans="1:5" ht="15.6" x14ac:dyDescent="0.3">
      <c r="A232" s="89"/>
      <c r="B232" s="89"/>
      <c r="C232" s="89"/>
      <c r="D232" s="89"/>
      <c r="E232" s="89"/>
    </row>
    <row r="233" spans="1:5" ht="15.6" x14ac:dyDescent="0.3">
      <c r="A233" s="89"/>
      <c r="B233" s="89"/>
      <c r="C233" s="89"/>
      <c r="D233" s="89"/>
      <c r="E233" s="89"/>
    </row>
    <row r="234" spans="1:5" ht="15.6" x14ac:dyDescent="0.3">
      <c r="A234" s="89"/>
      <c r="B234" s="89"/>
      <c r="C234" s="89"/>
      <c r="D234" s="89"/>
      <c r="E234" s="89"/>
    </row>
    <row r="235" spans="1:5" ht="15.6" x14ac:dyDescent="0.3">
      <c r="A235" s="89"/>
      <c r="B235" s="89"/>
      <c r="C235" s="89"/>
      <c r="D235" s="89"/>
      <c r="E235" s="89"/>
    </row>
    <row r="236" spans="1:5" ht="15.6" x14ac:dyDescent="0.3">
      <c r="A236" s="89"/>
      <c r="B236" s="89"/>
      <c r="C236" s="89"/>
      <c r="D236" s="89"/>
      <c r="E236" s="89"/>
    </row>
    <row r="237" spans="1:5" ht="15.6" x14ac:dyDescent="0.3">
      <c r="A237" s="89"/>
      <c r="B237" s="89"/>
      <c r="C237" s="89"/>
      <c r="D237" s="89"/>
      <c r="E237" s="89"/>
    </row>
    <row r="238" spans="1:5" ht="15.6" x14ac:dyDescent="0.3">
      <c r="A238" s="89"/>
      <c r="B238" s="89"/>
      <c r="C238" s="89"/>
      <c r="D238" s="89"/>
      <c r="E238" s="89"/>
    </row>
    <row r="239" spans="1:5" ht="15.6" x14ac:dyDescent="0.3">
      <c r="A239" s="89"/>
      <c r="B239" s="89"/>
      <c r="C239" s="89"/>
      <c r="D239" s="89"/>
      <c r="E239" s="89"/>
    </row>
    <row r="240" spans="1:5" ht="15.6" x14ac:dyDescent="0.3">
      <c r="A240" s="89"/>
      <c r="B240" s="89"/>
      <c r="C240" s="89"/>
      <c r="D240" s="89"/>
      <c r="E240" s="89"/>
    </row>
    <row r="241" spans="1:5" ht="15.6" x14ac:dyDescent="0.3">
      <c r="A241" s="89"/>
      <c r="B241" s="89"/>
      <c r="C241" s="89"/>
      <c r="D241" s="89"/>
      <c r="E241" s="89"/>
    </row>
    <row r="242" spans="1:5" ht="15.6" x14ac:dyDescent="0.3">
      <c r="A242" s="89"/>
      <c r="B242" s="89"/>
      <c r="C242" s="89"/>
      <c r="D242" s="89"/>
      <c r="E242" s="89"/>
    </row>
    <row r="243" spans="1:5" ht="15.6" x14ac:dyDescent="0.3">
      <c r="A243" s="89"/>
      <c r="B243" s="89"/>
      <c r="C243" s="89"/>
      <c r="D243" s="89"/>
      <c r="E243" s="89"/>
    </row>
    <row r="244" spans="1:5" ht="15.6" x14ac:dyDescent="0.3">
      <c r="A244" s="89"/>
      <c r="B244" s="89"/>
      <c r="C244" s="89"/>
      <c r="D244" s="89"/>
      <c r="E244" s="89"/>
    </row>
    <row r="245" spans="1:5" ht="15.6" x14ac:dyDescent="0.3">
      <c r="A245" s="89"/>
      <c r="B245" s="89"/>
      <c r="C245" s="89"/>
      <c r="D245" s="89"/>
      <c r="E245" s="89"/>
    </row>
    <row r="246" spans="1:5" ht="15.6" x14ac:dyDescent="0.3">
      <c r="A246" s="89"/>
      <c r="B246" s="89"/>
      <c r="C246" s="89"/>
      <c r="D246" s="89"/>
      <c r="E246" s="89"/>
    </row>
    <row r="247" spans="1:5" ht="15.6" x14ac:dyDescent="0.3">
      <c r="A247" s="89"/>
      <c r="B247" s="89"/>
      <c r="C247" s="89"/>
      <c r="D247" s="89"/>
      <c r="E247" s="89"/>
    </row>
    <row r="248" spans="1:5" ht="15.6" x14ac:dyDescent="0.3">
      <c r="A248" s="89"/>
      <c r="B248" s="89"/>
      <c r="C248" s="89"/>
      <c r="D248" s="89"/>
      <c r="E248" s="89"/>
    </row>
    <row r="249" spans="1:5" ht="15.6" x14ac:dyDescent="0.3">
      <c r="A249" s="89"/>
      <c r="B249" s="89"/>
      <c r="C249" s="89"/>
      <c r="D249" s="89"/>
      <c r="E249" s="89"/>
    </row>
    <row r="250" spans="1:5" ht="15.6" x14ac:dyDescent="0.3">
      <c r="A250" s="89"/>
      <c r="B250" s="89"/>
      <c r="C250" s="89"/>
      <c r="D250" s="89"/>
      <c r="E250" s="89"/>
    </row>
    <row r="251" spans="1:5" ht="15.6" x14ac:dyDescent="0.3">
      <c r="A251" s="89"/>
      <c r="B251" s="89"/>
      <c r="C251" s="89"/>
      <c r="D251" s="89"/>
      <c r="E251" s="89"/>
    </row>
    <row r="252" spans="1:5" ht="15.6" x14ac:dyDescent="0.3">
      <c r="A252" s="89"/>
      <c r="B252" s="89"/>
      <c r="C252" s="89"/>
      <c r="D252" s="89"/>
      <c r="E252" s="89"/>
    </row>
    <row r="253" spans="1:5" ht="15.6" x14ac:dyDescent="0.3">
      <c r="A253" s="89"/>
      <c r="B253" s="89"/>
      <c r="C253" s="89"/>
      <c r="D253" s="89"/>
      <c r="E253" s="89"/>
    </row>
    <row r="254" spans="1:5" ht="15.6" x14ac:dyDescent="0.3">
      <c r="A254" s="89"/>
      <c r="B254" s="89"/>
      <c r="C254" s="89"/>
      <c r="D254" s="89"/>
      <c r="E254" s="89"/>
    </row>
    <row r="255" spans="1:5" ht="15.6" x14ac:dyDescent="0.3">
      <c r="A255" s="89"/>
      <c r="B255" s="89"/>
      <c r="C255" s="89"/>
      <c r="D255" s="89"/>
      <c r="E255" s="89"/>
    </row>
    <row r="256" spans="1:5" ht="15.6" x14ac:dyDescent="0.3">
      <c r="A256" s="89"/>
      <c r="B256" s="89"/>
      <c r="C256" s="89"/>
      <c r="D256" s="89"/>
      <c r="E256" s="89"/>
    </row>
    <row r="257" spans="1:5" ht="15.6" x14ac:dyDescent="0.3">
      <c r="A257" s="89"/>
      <c r="B257" s="89"/>
      <c r="C257" s="89"/>
      <c r="D257" s="89"/>
      <c r="E257" s="89"/>
    </row>
    <row r="258" spans="1:5" ht="15.6" x14ac:dyDescent="0.3">
      <c r="A258" s="89"/>
      <c r="B258" s="89"/>
      <c r="C258" s="89"/>
      <c r="D258" s="89"/>
      <c r="E258" s="89"/>
    </row>
    <row r="259" spans="1:5" ht="15.6" x14ac:dyDescent="0.3">
      <c r="A259" s="89"/>
      <c r="B259" s="89"/>
      <c r="C259" s="89"/>
      <c r="D259" s="89"/>
      <c r="E259" s="89"/>
    </row>
    <row r="260" spans="1:5" ht="15.6" x14ac:dyDescent="0.3">
      <c r="A260" s="89"/>
      <c r="B260" s="89"/>
      <c r="C260" s="89"/>
      <c r="D260" s="89"/>
      <c r="E260" s="89"/>
    </row>
    <row r="261" spans="1:5" ht="15.6" x14ac:dyDescent="0.3">
      <c r="A261" s="89"/>
      <c r="B261" s="89"/>
      <c r="C261" s="89"/>
      <c r="D261" s="89"/>
      <c r="E261" s="89"/>
    </row>
    <row r="262" spans="1:5" ht="15.6" x14ac:dyDescent="0.3">
      <c r="A262" s="89"/>
      <c r="B262" s="89"/>
      <c r="C262" s="89"/>
      <c r="D262" s="89"/>
      <c r="E262" s="89"/>
    </row>
    <row r="263" spans="1:5" ht="15.6" x14ac:dyDescent="0.3">
      <c r="A263" s="89"/>
      <c r="B263" s="89"/>
      <c r="C263" s="89"/>
      <c r="D263" s="89"/>
      <c r="E263" s="89"/>
    </row>
    <row r="264" spans="1:5" ht="15.6" x14ac:dyDescent="0.3">
      <c r="A264" s="89"/>
      <c r="B264" s="89"/>
      <c r="C264" s="89"/>
      <c r="D264" s="89"/>
      <c r="E264" s="89"/>
    </row>
    <row r="265" spans="1:5" ht="15.6" x14ac:dyDescent="0.3">
      <c r="A265" s="89"/>
      <c r="B265" s="89"/>
      <c r="C265" s="89"/>
      <c r="D265" s="89"/>
      <c r="E265" s="89"/>
    </row>
    <row r="266" spans="1:5" ht="15.6" x14ac:dyDescent="0.3">
      <c r="A266" s="89"/>
      <c r="B266" s="89"/>
      <c r="C266" s="89"/>
      <c r="D266" s="89"/>
      <c r="E266" s="89"/>
    </row>
    <row r="267" spans="1:5" ht="15.6" x14ac:dyDescent="0.3">
      <c r="A267" s="89"/>
      <c r="B267" s="89"/>
      <c r="C267" s="89"/>
      <c r="D267" s="89"/>
      <c r="E267" s="89"/>
    </row>
    <row r="268" spans="1:5" ht="15.6" x14ac:dyDescent="0.3">
      <c r="A268" s="89"/>
      <c r="B268" s="89"/>
      <c r="C268" s="89"/>
      <c r="D268" s="89"/>
      <c r="E268" s="89"/>
    </row>
    <row r="269" spans="1:5" ht="15.6" x14ac:dyDescent="0.3">
      <c r="A269" s="89"/>
      <c r="B269" s="89"/>
      <c r="C269" s="89"/>
      <c r="D269" s="89"/>
      <c r="E269" s="89"/>
    </row>
    <row r="270" spans="1:5" ht="15.6" x14ac:dyDescent="0.3">
      <c r="A270" s="89"/>
      <c r="B270" s="89"/>
      <c r="C270" s="89"/>
      <c r="D270" s="89"/>
      <c r="E270" s="89"/>
    </row>
    <row r="271" spans="1:5" ht="15.6" x14ac:dyDescent="0.3">
      <c r="A271" s="89"/>
      <c r="B271" s="89"/>
      <c r="C271" s="89"/>
      <c r="D271" s="89"/>
      <c r="E271" s="89"/>
    </row>
    <row r="272" spans="1:5" ht="15.6" x14ac:dyDescent="0.3">
      <c r="A272" s="89"/>
      <c r="B272" s="89"/>
      <c r="C272" s="89"/>
      <c r="D272" s="89"/>
      <c r="E272" s="89"/>
    </row>
    <row r="273" spans="1:5" ht="15.6" x14ac:dyDescent="0.3">
      <c r="A273" s="89"/>
      <c r="B273" s="89"/>
      <c r="C273" s="89"/>
      <c r="D273" s="89"/>
      <c r="E273" s="89"/>
    </row>
    <row r="274" spans="1:5" ht="15.6" x14ac:dyDescent="0.3">
      <c r="A274" s="89"/>
      <c r="B274" s="89"/>
      <c r="C274" s="89"/>
      <c r="D274" s="89"/>
      <c r="E274" s="89"/>
    </row>
    <row r="275" spans="1:5" ht="15.6" x14ac:dyDescent="0.3">
      <c r="A275" s="89"/>
      <c r="B275" s="89"/>
      <c r="C275" s="89"/>
      <c r="D275" s="89"/>
      <c r="E275" s="89"/>
    </row>
    <row r="276" spans="1:5" ht="15.6" x14ac:dyDescent="0.3">
      <c r="A276" s="89"/>
      <c r="B276" s="89"/>
      <c r="C276" s="89"/>
      <c r="D276" s="89"/>
      <c r="E276" s="89"/>
    </row>
    <row r="277" spans="1:5" ht="15.6" x14ac:dyDescent="0.3">
      <c r="A277" s="89"/>
      <c r="B277" s="89"/>
      <c r="C277" s="89"/>
      <c r="D277" s="89"/>
      <c r="E277" s="89"/>
    </row>
    <row r="278" spans="1:5" ht="15.6" x14ac:dyDescent="0.3">
      <c r="A278" s="89"/>
      <c r="B278" s="89"/>
      <c r="C278" s="89"/>
      <c r="D278" s="89"/>
      <c r="E278" s="89"/>
    </row>
    <row r="279" spans="1:5" ht="15.6" x14ac:dyDescent="0.3">
      <c r="A279" s="89"/>
      <c r="B279" s="89"/>
      <c r="C279" s="89"/>
      <c r="D279" s="89"/>
      <c r="E279" s="89"/>
    </row>
    <row r="280" spans="1:5" ht="15.6" x14ac:dyDescent="0.3">
      <c r="A280" s="89"/>
      <c r="B280" s="89"/>
      <c r="C280" s="89"/>
      <c r="D280" s="89"/>
      <c r="E280" s="89"/>
    </row>
    <row r="281" spans="1:5" ht="15.6" x14ac:dyDescent="0.3">
      <c r="A281" s="89"/>
      <c r="B281" s="89"/>
      <c r="C281" s="89"/>
      <c r="D281" s="89"/>
      <c r="E281" s="89"/>
    </row>
    <row r="282" spans="1:5" ht="15.6" x14ac:dyDescent="0.3">
      <c r="A282" s="89"/>
      <c r="B282" s="89"/>
      <c r="C282" s="89"/>
      <c r="D282" s="89"/>
      <c r="E282" s="89"/>
    </row>
    <row r="283" spans="1:5" ht="15.6" x14ac:dyDescent="0.3">
      <c r="A283" s="89"/>
      <c r="B283" s="89"/>
      <c r="C283" s="89"/>
      <c r="D283" s="89"/>
      <c r="E283" s="89"/>
    </row>
    <row r="284" spans="1:5" ht="15.6" x14ac:dyDescent="0.3">
      <c r="A284" s="89"/>
      <c r="B284" s="89"/>
      <c r="C284" s="89"/>
      <c r="D284" s="89"/>
      <c r="E284" s="89"/>
    </row>
    <row r="285" spans="1:5" x14ac:dyDescent="0.25">
      <c r="A285" s="87"/>
      <c r="B285" s="87"/>
      <c r="C285" s="87"/>
      <c r="D285" s="87"/>
      <c r="E285" s="87"/>
    </row>
    <row r="286" spans="1:5" x14ac:dyDescent="0.25">
      <c r="A286" s="87"/>
      <c r="B286" s="87"/>
      <c r="C286" s="87"/>
      <c r="D286" s="87"/>
      <c r="E286" s="87"/>
    </row>
    <row r="287" spans="1:5" x14ac:dyDescent="0.25">
      <c r="A287" s="87"/>
      <c r="B287" s="87"/>
      <c r="C287" s="87"/>
      <c r="D287" s="87"/>
      <c r="E287" s="87"/>
    </row>
    <row r="288" spans="1:5" x14ac:dyDescent="0.25">
      <c r="A288" s="87"/>
      <c r="B288" s="87"/>
      <c r="C288" s="87"/>
      <c r="D288" s="87"/>
      <c r="E288" s="87"/>
    </row>
    <row r="289" spans="1:5" x14ac:dyDescent="0.25">
      <c r="A289" s="87"/>
      <c r="B289" s="87"/>
      <c r="C289" s="87"/>
      <c r="D289" s="87"/>
      <c r="E289" s="87"/>
    </row>
    <row r="290" spans="1:5" x14ac:dyDescent="0.25">
      <c r="A290" s="87"/>
      <c r="B290" s="87"/>
      <c r="C290" s="87"/>
      <c r="D290" s="87"/>
      <c r="E290" s="87"/>
    </row>
    <row r="291" spans="1:5" x14ac:dyDescent="0.25">
      <c r="A291" s="87"/>
      <c r="B291" s="87"/>
      <c r="C291" s="87"/>
      <c r="D291" s="87"/>
      <c r="E291" s="87"/>
    </row>
    <row r="292" spans="1:5" x14ac:dyDescent="0.25">
      <c r="A292" s="87"/>
      <c r="B292" s="87"/>
      <c r="C292" s="87"/>
      <c r="D292" s="87"/>
      <c r="E292" s="87"/>
    </row>
    <row r="293" spans="1:5" x14ac:dyDescent="0.25">
      <c r="A293" s="87"/>
      <c r="B293" s="87"/>
      <c r="C293" s="87"/>
      <c r="D293" s="87"/>
      <c r="E293" s="87"/>
    </row>
    <row r="294" spans="1:5" x14ac:dyDescent="0.25">
      <c r="A294" s="87"/>
      <c r="B294" s="87"/>
      <c r="C294" s="87"/>
      <c r="D294" s="87"/>
      <c r="E294" s="87"/>
    </row>
    <row r="295" spans="1:5" x14ac:dyDescent="0.25">
      <c r="A295" s="87"/>
      <c r="B295" s="87"/>
      <c r="C295" s="87"/>
      <c r="D295" s="87"/>
      <c r="E295" s="87"/>
    </row>
    <row r="296" spans="1:5" x14ac:dyDescent="0.25">
      <c r="A296" s="87"/>
      <c r="B296" s="87"/>
      <c r="C296" s="87"/>
      <c r="D296" s="87"/>
      <c r="E296" s="87"/>
    </row>
    <row r="297" spans="1:5" x14ac:dyDescent="0.25">
      <c r="A297" s="87"/>
      <c r="B297" s="87"/>
      <c r="C297" s="87"/>
      <c r="D297" s="87"/>
      <c r="E297" s="87"/>
    </row>
    <row r="298" spans="1:5" x14ac:dyDescent="0.25">
      <c r="A298" s="87"/>
      <c r="B298" s="87"/>
      <c r="C298" s="87"/>
      <c r="D298" s="87"/>
      <c r="E298" s="87"/>
    </row>
    <row r="299" spans="1:5" x14ac:dyDescent="0.25">
      <c r="A299" s="87"/>
      <c r="B299" s="87"/>
      <c r="C299" s="87"/>
      <c r="D299" s="87"/>
      <c r="E299" s="87"/>
    </row>
    <row r="300" spans="1:5" x14ac:dyDescent="0.25">
      <c r="A300" s="87"/>
      <c r="B300" s="87"/>
      <c r="C300" s="87"/>
      <c r="D300" s="87"/>
      <c r="E300" s="87"/>
    </row>
    <row r="301" spans="1:5" x14ac:dyDescent="0.25">
      <c r="A301" s="87"/>
      <c r="B301" s="87"/>
      <c r="C301" s="87"/>
      <c r="D301" s="87"/>
      <c r="E301" s="87"/>
    </row>
    <row r="302" spans="1:5" x14ac:dyDescent="0.25">
      <c r="A302" s="87"/>
      <c r="B302" s="87"/>
      <c r="C302" s="87"/>
      <c r="D302" s="87"/>
      <c r="E302" s="87"/>
    </row>
    <row r="303" spans="1:5" x14ac:dyDescent="0.25">
      <c r="A303" s="87"/>
      <c r="B303" s="87"/>
      <c r="C303" s="87"/>
      <c r="D303" s="87"/>
      <c r="E303" s="87"/>
    </row>
    <row r="304" spans="1:5" x14ac:dyDescent="0.25">
      <c r="A304" s="87"/>
      <c r="B304" s="87"/>
      <c r="C304" s="87"/>
      <c r="D304" s="87"/>
      <c r="E304" s="87"/>
    </row>
    <row r="305" spans="1:5" x14ac:dyDescent="0.25">
      <c r="A305" s="87"/>
      <c r="B305" s="87"/>
      <c r="C305" s="87"/>
      <c r="D305" s="87"/>
      <c r="E305" s="87"/>
    </row>
    <row r="306" spans="1:5" x14ac:dyDescent="0.25">
      <c r="A306" s="87"/>
      <c r="B306" s="87"/>
      <c r="C306" s="87"/>
      <c r="D306" s="87"/>
      <c r="E306" s="87"/>
    </row>
    <row r="307" spans="1:5" x14ac:dyDescent="0.25">
      <c r="A307" s="87"/>
      <c r="B307" s="87"/>
      <c r="C307" s="87"/>
      <c r="D307" s="87"/>
      <c r="E307" s="87"/>
    </row>
    <row r="308" spans="1:5" x14ac:dyDescent="0.25">
      <c r="A308" s="87"/>
      <c r="B308" s="87"/>
      <c r="C308" s="87"/>
      <c r="D308" s="87"/>
      <c r="E308" s="87"/>
    </row>
    <row r="309" spans="1:5" x14ac:dyDescent="0.25">
      <c r="A309" s="87"/>
      <c r="B309" s="87"/>
      <c r="C309" s="87"/>
      <c r="D309" s="87"/>
      <c r="E309" s="87"/>
    </row>
    <row r="310" spans="1:5" x14ac:dyDescent="0.25">
      <c r="A310" s="87"/>
      <c r="B310" s="87"/>
      <c r="C310" s="87"/>
      <c r="D310" s="87"/>
      <c r="E310" s="87"/>
    </row>
    <row r="311" spans="1:5" x14ac:dyDescent="0.25">
      <c r="A311" s="87"/>
      <c r="B311" s="87"/>
      <c r="C311" s="87"/>
      <c r="D311" s="87"/>
      <c r="E311" s="87"/>
    </row>
    <row r="312" spans="1:5" x14ac:dyDescent="0.25">
      <c r="A312" s="87"/>
      <c r="B312" s="87"/>
      <c r="C312" s="87"/>
      <c r="D312" s="87"/>
      <c r="E312" s="87"/>
    </row>
    <row r="313" spans="1:5" x14ac:dyDescent="0.25">
      <c r="A313" s="87"/>
      <c r="B313" s="87"/>
      <c r="C313" s="87"/>
      <c r="D313" s="87"/>
      <c r="E313" s="87"/>
    </row>
    <row r="314" spans="1:5" x14ac:dyDescent="0.25">
      <c r="A314" s="87"/>
      <c r="B314" s="87"/>
      <c r="C314" s="87"/>
      <c r="D314" s="87"/>
      <c r="E314" s="87"/>
    </row>
    <row r="315" spans="1:5" x14ac:dyDescent="0.25">
      <c r="A315" s="87"/>
      <c r="B315" s="87"/>
      <c r="C315" s="87"/>
      <c r="D315" s="87"/>
      <c r="E315" s="87"/>
    </row>
    <row r="316" spans="1:5" x14ac:dyDescent="0.25">
      <c r="A316" s="87"/>
      <c r="B316" s="87"/>
      <c r="C316" s="87"/>
      <c r="D316" s="87"/>
      <c r="E316" s="87"/>
    </row>
    <row r="317" spans="1:5" x14ac:dyDescent="0.25">
      <c r="A317" s="87"/>
      <c r="B317" s="87"/>
      <c r="C317" s="87"/>
      <c r="D317" s="87"/>
      <c r="E317" s="87"/>
    </row>
    <row r="318" spans="1:5" x14ac:dyDescent="0.25">
      <c r="A318" s="87"/>
      <c r="B318" s="87"/>
      <c r="C318" s="87"/>
      <c r="D318" s="87"/>
      <c r="E318" s="87"/>
    </row>
    <row r="319" spans="1:5" x14ac:dyDescent="0.25">
      <c r="A319" s="87"/>
      <c r="B319" s="87"/>
      <c r="C319" s="87"/>
      <c r="D319" s="87"/>
      <c r="E319" s="87"/>
    </row>
    <row r="320" spans="1:5" x14ac:dyDescent="0.25">
      <c r="A320" s="87"/>
      <c r="B320" s="87"/>
      <c r="C320" s="87"/>
      <c r="D320" s="87"/>
      <c r="E320" s="87"/>
    </row>
    <row r="321" spans="1:5" x14ac:dyDescent="0.25">
      <c r="A321" s="87"/>
      <c r="B321" s="87"/>
      <c r="C321" s="87"/>
      <c r="D321" s="87"/>
      <c r="E321" s="87"/>
    </row>
    <row r="322" spans="1:5" x14ac:dyDescent="0.25">
      <c r="A322" s="87"/>
      <c r="B322" s="87"/>
      <c r="C322" s="87"/>
      <c r="D322" s="87"/>
      <c r="E322" s="87"/>
    </row>
    <row r="323" spans="1:5" x14ac:dyDescent="0.25">
      <c r="A323" s="87"/>
      <c r="B323" s="87"/>
      <c r="C323" s="87"/>
      <c r="D323" s="87"/>
      <c r="E323" s="87"/>
    </row>
    <row r="324" spans="1:5" x14ac:dyDescent="0.25">
      <c r="A324" s="87"/>
      <c r="B324" s="87"/>
      <c r="C324" s="87"/>
      <c r="D324" s="87"/>
      <c r="E324" s="87"/>
    </row>
    <row r="325" spans="1:5" x14ac:dyDescent="0.25">
      <c r="A325" s="87"/>
      <c r="B325" s="87"/>
      <c r="C325" s="87"/>
      <c r="D325" s="87"/>
      <c r="E325" s="87"/>
    </row>
    <row r="326" spans="1:5" x14ac:dyDescent="0.25">
      <c r="A326" s="87"/>
      <c r="B326" s="87"/>
      <c r="C326" s="87"/>
      <c r="D326" s="87"/>
      <c r="E326" s="87"/>
    </row>
    <row r="327" spans="1:5" x14ac:dyDescent="0.25">
      <c r="A327" s="87"/>
      <c r="B327" s="87"/>
      <c r="C327" s="87"/>
      <c r="D327" s="87"/>
      <c r="E327" s="87"/>
    </row>
    <row r="328" spans="1:5" x14ac:dyDescent="0.25">
      <c r="A328" s="87"/>
      <c r="B328" s="87"/>
      <c r="C328" s="87"/>
      <c r="D328" s="87"/>
      <c r="E328" s="87"/>
    </row>
    <row r="329" spans="1:5" x14ac:dyDescent="0.25">
      <c r="A329" s="87"/>
      <c r="B329" s="87"/>
      <c r="C329" s="87"/>
      <c r="D329" s="87"/>
      <c r="E329" s="87"/>
    </row>
    <row r="330" spans="1:5" x14ac:dyDescent="0.25">
      <c r="A330" s="87"/>
      <c r="B330" s="87"/>
      <c r="C330" s="87"/>
      <c r="D330" s="87"/>
      <c r="E330" s="87"/>
    </row>
    <row r="331" spans="1:5" x14ac:dyDescent="0.25">
      <c r="A331" s="87"/>
      <c r="B331" s="87"/>
      <c r="C331" s="87"/>
      <c r="D331" s="87"/>
      <c r="E331" s="87"/>
    </row>
    <row r="332" spans="1:5" x14ac:dyDescent="0.25">
      <c r="A332" s="87"/>
      <c r="B332" s="87"/>
      <c r="C332" s="87"/>
      <c r="D332" s="87"/>
      <c r="E332" s="87"/>
    </row>
    <row r="333" spans="1:5" x14ac:dyDescent="0.25">
      <c r="A333" s="87"/>
      <c r="B333" s="87"/>
      <c r="C333" s="87"/>
      <c r="D333" s="87"/>
      <c r="E333" s="87"/>
    </row>
    <row r="334" spans="1:5" x14ac:dyDescent="0.25">
      <c r="A334" s="87"/>
      <c r="B334" s="87"/>
      <c r="C334" s="87"/>
      <c r="D334" s="87"/>
      <c r="E334" s="87"/>
    </row>
    <row r="335" spans="1:5" x14ac:dyDescent="0.25">
      <c r="A335" s="87"/>
      <c r="B335" s="87"/>
      <c r="C335" s="87"/>
      <c r="D335" s="87"/>
      <c r="E335" s="87"/>
    </row>
    <row r="336" spans="1:5" x14ac:dyDescent="0.25">
      <c r="A336" s="87"/>
      <c r="B336" s="87"/>
      <c r="C336" s="87"/>
      <c r="D336" s="87"/>
      <c r="E336" s="87"/>
    </row>
    <row r="337" spans="1:5" x14ac:dyDescent="0.25">
      <c r="A337" s="87"/>
      <c r="B337" s="87"/>
      <c r="C337" s="87"/>
      <c r="D337" s="87"/>
      <c r="E337" s="87"/>
    </row>
    <row r="338" spans="1:5" x14ac:dyDescent="0.25">
      <c r="A338" s="87"/>
      <c r="B338" s="87"/>
      <c r="C338" s="87"/>
      <c r="D338" s="87"/>
      <c r="E338" s="87"/>
    </row>
    <row r="339" spans="1:5" x14ac:dyDescent="0.25">
      <c r="A339" s="87"/>
      <c r="B339" s="87"/>
      <c r="C339" s="87"/>
      <c r="D339" s="87"/>
      <c r="E339" s="87"/>
    </row>
    <row r="340" spans="1:5" x14ac:dyDescent="0.25">
      <c r="A340" s="87"/>
      <c r="B340" s="87"/>
      <c r="C340" s="87"/>
      <c r="D340" s="87"/>
      <c r="E340" s="87"/>
    </row>
    <row r="341" spans="1:5" x14ac:dyDescent="0.25">
      <c r="A341" s="87"/>
      <c r="B341" s="87"/>
      <c r="C341" s="87"/>
      <c r="D341" s="87"/>
      <c r="E341" s="87"/>
    </row>
  </sheetData>
  <sortState ref="D11:H57">
    <sortCondition ref="D11"/>
  </sortState>
  <mergeCells count="4">
    <mergeCell ref="A2:F2"/>
    <mergeCell ref="A1:F1"/>
    <mergeCell ref="A3:F3"/>
    <mergeCell ref="A4:B4"/>
  </mergeCells>
  <pageMargins left="1.0629921259842521" right="0.35433070866141736" top="0.59055118110236227" bottom="0.59055118110236227" header="0.51181102362204722" footer="0.51181102362204722"/>
  <pageSetup paperSize="9" orientation="portrait" r:id="rId1"/>
  <headerFooter alignWithMargins="0"/>
  <rowBreaks count="1" manualBreakCount="1">
    <brk id="72" max="5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75E5"/>
  </sheetPr>
  <dimension ref="A1:J32"/>
  <sheetViews>
    <sheetView view="pageBreakPreview" topLeftCell="A18" zoomScaleNormal="100" zoomScaleSheetLayoutView="100" workbookViewId="0">
      <selection activeCell="I36" sqref="I36"/>
    </sheetView>
  </sheetViews>
  <sheetFormatPr defaultRowHeight="13.8" x14ac:dyDescent="0.25"/>
  <cols>
    <col min="1" max="1" width="4.109375" customWidth="1"/>
    <col min="2" max="2" width="20.5546875" customWidth="1"/>
    <col min="3" max="7" width="7.5546875" customWidth="1"/>
    <col min="8" max="8" width="8.88671875" customWidth="1"/>
    <col min="9" max="9" width="7.5546875" customWidth="1"/>
    <col min="10" max="10" width="9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5)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70"/>
      <c r="I6" s="170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7</v>
      </c>
    </row>
    <row r="8" spans="1:10" s="2" customFormat="1" ht="16.350000000000001" customHeight="1" x14ac:dyDescent="0.25">
      <c r="A8" s="1197"/>
      <c r="B8" s="1197"/>
      <c r="C8" s="1197"/>
      <c r="D8" s="1197"/>
      <c r="E8" s="1197"/>
      <c r="F8" s="1197"/>
      <c r="G8" s="1197"/>
      <c r="H8" s="1197"/>
      <c r="I8" s="1197"/>
      <c r="J8" s="107"/>
    </row>
    <row r="9" spans="1:10" s="2" customFormat="1" ht="26.1" customHeight="1" x14ac:dyDescent="0.3">
      <c r="A9" s="1550" t="s">
        <v>598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'6-бутерброд с колбасой'!H14+1</f>
        <v>5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172" t="s">
        <v>92</v>
      </c>
      <c r="D17" s="172" t="s">
        <v>94</v>
      </c>
      <c r="E17" s="172" t="s">
        <v>93</v>
      </c>
      <c r="F17" s="172" t="s">
        <v>23</v>
      </c>
      <c r="G17" s="172" t="s">
        <v>92</v>
      </c>
      <c r="H17" s="172" t="s">
        <v>94</v>
      </c>
      <c r="I17" s="172" t="s">
        <v>92</v>
      </c>
      <c r="J17" s="172" t="s">
        <v>94</v>
      </c>
    </row>
    <row r="18" spans="1:10" ht="9.6" customHeight="1" x14ac:dyDescent="0.25">
      <c r="A18" s="172">
        <v>1</v>
      </c>
      <c r="B18" s="173">
        <v>2</v>
      </c>
      <c r="C18" s="172">
        <v>3</v>
      </c>
      <c r="D18" s="173">
        <v>4</v>
      </c>
      <c r="E18" s="172">
        <v>5</v>
      </c>
      <c r="F18" s="173">
        <v>6</v>
      </c>
      <c r="G18" s="172">
        <v>7</v>
      </c>
      <c r="H18" s="173">
        <v>8</v>
      </c>
      <c r="I18" s="172">
        <v>9</v>
      </c>
      <c r="J18" s="173">
        <v>10</v>
      </c>
    </row>
    <row r="19" spans="1:10" ht="14.1" customHeight="1" x14ac:dyDescent="0.25">
      <c r="A19" s="172">
        <v>1</v>
      </c>
      <c r="B19" s="181" t="s">
        <v>323</v>
      </c>
      <c r="C19" s="172">
        <v>1.6E-2</v>
      </c>
      <c r="D19" s="173">
        <v>1.4999999999999999E-2</v>
      </c>
      <c r="E19" s="182">
        <f>цены!F22</f>
        <v>719</v>
      </c>
      <c r="F19" s="13">
        <f>C19*E19</f>
        <v>11.5</v>
      </c>
      <c r="G19" s="97">
        <f t="shared" ref="G19:H21" si="0">C19*10</f>
        <v>0.16</v>
      </c>
      <c r="H19" s="21">
        <f t="shared" si="0"/>
        <v>0.15</v>
      </c>
      <c r="I19" s="21">
        <f t="shared" ref="I19:J21" si="1">C19*100</f>
        <v>1.6</v>
      </c>
      <c r="J19" s="21">
        <f t="shared" si="1"/>
        <v>1.5</v>
      </c>
    </row>
    <row r="20" spans="1:10" s="10" customFormat="1" ht="14.1" customHeight="1" x14ac:dyDescent="0.25">
      <c r="A20" s="180">
        <v>2</v>
      </c>
      <c r="B20" s="20" t="s">
        <v>31</v>
      </c>
      <c r="C20" s="111">
        <v>6.0000000000000001E-3</v>
      </c>
      <c r="D20" s="111">
        <v>6.0000000000000001E-3</v>
      </c>
      <c r="E20" s="13">
        <f>цены!F21</f>
        <v>710</v>
      </c>
      <c r="F20" s="13">
        <f>C20*E20</f>
        <v>4.26</v>
      </c>
      <c r="G20" s="97">
        <f t="shared" si="0"/>
        <v>0.06</v>
      </c>
      <c r="H20" s="21">
        <f t="shared" si="0"/>
        <v>0.06</v>
      </c>
      <c r="I20" s="21">
        <f t="shared" si="1"/>
        <v>0.6</v>
      </c>
      <c r="J20" s="21">
        <f t="shared" si="1"/>
        <v>0.6</v>
      </c>
    </row>
    <row r="21" spans="1:10" s="10" customFormat="1" ht="12" customHeight="1" x14ac:dyDescent="0.25">
      <c r="A21" s="180">
        <v>3</v>
      </c>
      <c r="B21" s="20" t="s">
        <v>205</v>
      </c>
      <c r="C21" s="111">
        <v>0.03</v>
      </c>
      <c r="D21" s="111">
        <v>0.03</v>
      </c>
      <c r="E21" s="13">
        <f>цены!F159</f>
        <v>69</v>
      </c>
      <c r="F21" s="13">
        <f>C21*E21</f>
        <v>2.0699999999999998</v>
      </c>
      <c r="G21" s="97">
        <f t="shared" si="0"/>
        <v>0.3</v>
      </c>
      <c r="H21" s="21">
        <f t="shared" si="0"/>
        <v>0.3</v>
      </c>
      <c r="I21" s="21">
        <f t="shared" si="1"/>
        <v>3</v>
      </c>
      <c r="J21" s="21">
        <f t="shared" si="1"/>
        <v>3</v>
      </c>
    </row>
    <row r="22" spans="1:10" s="10" customFormat="1" ht="12" customHeight="1" x14ac:dyDescent="0.25">
      <c r="A22" s="98"/>
      <c r="B22" s="93" t="s">
        <v>100</v>
      </c>
      <c r="C22" s="100"/>
      <c r="D22" s="100">
        <v>0.05</v>
      </c>
      <c r="E22" s="95"/>
      <c r="F22" s="95">
        <f>SUM(F19:F21)</f>
        <v>17.829999999999998</v>
      </c>
      <c r="G22" s="99"/>
      <c r="H22" s="100">
        <f>D22*10</f>
        <v>0.5</v>
      </c>
      <c r="I22" s="100"/>
      <c r="J22" s="100">
        <f>D22*100</f>
        <v>5</v>
      </c>
    </row>
    <row r="23" spans="1:10" s="10" customFormat="1" ht="27.6" customHeight="1" x14ac:dyDescent="0.25">
      <c r="A23" s="1536" t="s">
        <v>35</v>
      </c>
      <c r="B23" s="1536"/>
      <c r="C23" s="90"/>
      <c r="D23" s="90"/>
      <c r="E23" s="13"/>
      <c r="F23" s="13">
        <f>F22</f>
        <v>17.829999999999998</v>
      </c>
      <c r="G23" s="174"/>
      <c r="H23" s="174"/>
      <c r="I23" s="21"/>
      <c r="J23" s="13"/>
    </row>
    <row r="24" spans="1:10" s="10" customFormat="1" ht="25.35" customHeight="1" x14ac:dyDescent="0.25">
      <c r="A24" s="1536" t="s">
        <v>36</v>
      </c>
      <c r="B24" s="1536"/>
      <c r="C24" s="90">
        <v>50</v>
      </c>
      <c r="D24" s="90"/>
      <c r="E24" s="13"/>
      <c r="F24" s="13"/>
      <c r="G24" s="13"/>
      <c r="H24" s="13"/>
      <c r="I24" s="21"/>
      <c r="J24" s="17"/>
    </row>
    <row r="25" spans="1:10" s="10" customFormat="1" ht="25.35" customHeight="1" x14ac:dyDescent="0.25">
      <c r="A25" s="1537" t="s">
        <v>37</v>
      </c>
      <c r="B25" s="1538"/>
      <c r="C25" s="91">
        <v>50</v>
      </c>
      <c r="D25" s="92"/>
      <c r="E25" s="173"/>
      <c r="F25" s="173"/>
      <c r="G25" s="173"/>
      <c r="H25" s="173"/>
      <c r="I25" s="21"/>
      <c r="J25" s="17"/>
    </row>
    <row r="26" spans="1:10" s="10" customFormat="1" ht="15" customHeight="1" x14ac:dyDescent="0.25">
      <c r="A26" s="1539" t="s">
        <v>38</v>
      </c>
      <c r="B26" s="1540"/>
      <c r="C26" s="92">
        <f>C24/C25</f>
        <v>1</v>
      </c>
      <c r="D26" s="92"/>
      <c r="E26" s="173"/>
      <c r="F26" s="173"/>
      <c r="G26" s="173"/>
      <c r="H26" s="173"/>
      <c r="I26" s="21"/>
      <c r="J26" s="17"/>
    </row>
    <row r="27" spans="1:10" ht="16.350000000000001" customHeight="1" x14ac:dyDescent="0.25">
      <c r="A27" s="1541" t="s">
        <v>39</v>
      </c>
      <c r="B27" s="1542"/>
      <c r="C27" s="15" t="s">
        <v>40</v>
      </c>
      <c r="D27" s="102"/>
      <c r="E27" s="102" t="s">
        <v>40</v>
      </c>
      <c r="F27" s="16">
        <f>F23/C26</f>
        <v>17.829999999999998</v>
      </c>
      <c r="G27" s="16"/>
      <c r="H27" s="16"/>
      <c r="I27" s="102" t="s">
        <v>40</v>
      </c>
      <c r="J27" s="102" t="s">
        <v>40</v>
      </c>
    </row>
    <row r="28" spans="1:10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193"/>
      <c r="B29" s="1194" t="s">
        <v>49</v>
      </c>
      <c r="C29" s="1198"/>
      <c r="D29" s="1198"/>
      <c r="E29" s="1198"/>
      <c r="F29" s="1198"/>
      <c r="G29" s="1193"/>
      <c r="H29" s="1557">
        <f>'1-бутерброд с маслом'!$H$28</f>
        <v>0</v>
      </c>
      <c r="I29" s="1557"/>
      <c r="J29" s="1557"/>
    </row>
    <row r="30" spans="1:10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0" ht="13.95" customHeight="1" x14ac:dyDescent="0.25">
      <c r="A31" s="1545" t="s">
        <v>327</v>
      </c>
      <c r="B31" s="1545"/>
      <c r="C31" s="1546" t="s">
        <v>328</v>
      </c>
      <c r="D31" s="1546"/>
      <c r="E31" s="1546"/>
      <c r="F31" s="1546"/>
      <c r="G31" s="106"/>
      <c r="H31" s="1531"/>
      <c r="I31" s="1531"/>
      <c r="J31" s="1531"/>
    </row>
    <row r="32" spans="1:10" x14ac:dyDescent="0.25">
      <c r="A32" s="1193"/>
      <c r="B32" s="1193"/>
      <c r="C32" s="1546"/>
      <c r="D32" s="1546"/>
      <c r="E32" s="1546"/>
      <c r="F32" s="1546"/>
      <c r="G32" s="1193"/>
      <c r="H32" s="1531" t="s">
        <v>329</v>
      </c>
      <c r="I32" s="1531"/>
      <c r="J32" s="1531"/>
    </row>
  </sheetData>
  <mergeCells count="28">
    <mergeCell ref="H5:I5"/>
    <mergeCell ref="A6:G6"/>
    <mergeCell ref="A7:I7"/>
    <mergeCell ref="A11:J11"/>
    <mergeCell ref="I13:J13"/>
    <mergeCell ref="C14:G14"/>
    <mergeCell ref="I14:J14"/>
    <mergeCell ref="A16:A17"/>
    <mergeCell ref="B16:B17"/>
    <mergeCell ref="C16:F16"/>
    <mergeCell ref="G16:H16"/>
    <mergeCell ref="I16:J16"/>
    <mergeCell ref="A31:B31"/>
    <mergeCell ref="C31:F32"/>
    <mergeCell ref="H31:J31"/>
    <mergeCell ref="H32:J32"/>
    <mergeCell ref="G1:J1"/>
    <mergeCell ref="G2:J2"/>
    <mergeCell ref="G3:J3"/>
    <mergeCell ref="A13:G13"/>
    <mergeCell ref="A5:G5"/>
    <mergeCell ref="H29:J29"/>
    <mergeCell ref="A24:B24"/>
    <mergeCell ref="A25:B25"/>
    <mergeCell ref="A26:B26"/>
    <mergeCell ref="A27:B27"/>
    <mergeCell ref="A23:B23"/>
    <mergeCell ref="A9:J9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8"/>
  <sheetViews>
    <sheetView view="pageBreakPreview" topLeftCell="A6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4" customWidth="1"/>
    <col min="3" max="9" width="7.5546875" customWidth="1"/>
    <col min="10" max="10" width="9" customWidth="1"/>
    <col min="11" max="11" width="4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95)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121</v>
      </c>
    </row>
    <row r="8" spans="1:10" s="2" customFormat="1" ht="9.6" customHeight="1" x14ac:dyDescent="0.25">
      <c r="A8" s="375"/>
      <c r="B8" s="375"/>
      <c r="C8" s="375"/>
      <c r="D8" s="375"/>
      <c r="E8" s="375"/>
      <c r="F8" s="375"/>
      <c r="G8" s="375"/>
      <c r="H8" s="375"/>
      <c r="I8" s="375"/>
      <c r="J8" s="109"/>
    </row>
    <row r="9" spans="1:10" s="2" customFormat="1" ht="26.1" customHeight="1" x14ac:dyDescent="0.3">
      <c r="A9" s="1550" t="s">
        <v>636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'121-суп с гречкой'!H14+1</f>
        <v>95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372" t="s">
        <v>92</v>
      </c>
      <c r="D17" s="372" t="s">
        <v>94</v>
      </c>
      <c r="E17" s="372" t="s">
        <v>93</v>
      </c>
      <c r="F17" s="372" t="s">
        <v>23</v>
      </c>
      <c r="G17" s="372" t="s">
        <v>92</v>
      </c>
      <c r="H17" s="372" t="s">
        <v>94</v>
      </c>
      <c r="I17" s="372" t="s">
        <v>92</v>
      </c>
      <c r="J17" s="372" t="s">
        <v>94</v>
      </c>
    </row>
    <row r="18" spans="1:13" ht="9.6" customHeight="1" x14ac:dyDescent="0.25">
      <c r="A18" s="372">
        <v>1</v>
      </c>
      <c r="B18" s="374">
        <v>2</v>
      </c>
      <c r="C18" s="372">
        <v>3</v>
      </c>
      <c r="D18" s="374">
        <v>4</v>
      </c>
      <c r="E18" s="372">
        <v>5</v>
      </c>
      <c r="F18" s="374">
        <v>6</v>
      </c>
      <c r="G18" s="374">
        <v>8</v>
      </c>
      <c r="H18" s="372">
        <v>9</v>
      </c>
      <c r="I18" s="374">
        <v>10</v>
      </c>
      <c r="J18" s="372">
        <v>11</v>
      </c>
    </row>
    <row r="19" spans="1:13" s="10" customFormat="1" ht="14.1" customHeight="1" x14ac:dyDescent="0.25">
      <c r="A19" s="180">
        <v>1</v>
      </c>
      <c r="B19" s="20" t="s">
        <v>34</v>
      </c>
      <c r="C19" s="111">
        <v>0.5</v>
      </c>
      <c r="D19" s="111">
        <v>0.5</v>
      </c>
      <c r="E19" s="13">
        <f>цены!F20</f>
        <v>80</v>
      </c>
      <c r="F19" s="13">
        <f>C19*E19</f>
        <v>40</v>
      </c>
      <c r="G19" s="97">
        <f t="shared" ref="G19:H23" si="0">C19*10</f>
        <v>5</v>
      </c>
      <c r="H19" s="21">
        <f t="shared" si="0"/>
        <v>5</v>
      </c>
      <c r="I19" s="21">
        <f t="shared" ref="I19:J23" si="1">C19*100</f>
        <v>50</v>
      </c>
      <c r="J19" s="21">
        <f t="shared" si="1"/>
        <v>50</v>
      </c>
      <c r="L19" s="1018">
        <f>C19/C$28</f>
        <v>0.125</v>
      </c>
      <c r="M19" s="1018">
        <f>F19/C$28</f>
        <v>10</v>
      </c>
    </row>
    <row r="20" spans="1:13" s="10" customFormat="1" ht="14.1" customHeight="1" x14ac:dyDescent="0.25">
      <c r="A20" s="180">
        <v>2</v>
      </c>
      <c r="B20" s="20" t="s">
        <v>28</v>
      </c>
      <c r="C20" s="111">
        <v>0.55000000000000004</v>
      </c>
      <c r="D20" s="111">
        <v>0.55000000000000004</v>
      </c>
      <c r="E20" s="13"/>
      <c r="F20" s="13">
        <f>C20*E20</f>
        <v>0</v>
      </c>
      <c r="G20" s="97">
        <f t="shared" si="0"/>
        <v>5.5</v>
      </c>
      <c r="H20" s="21">
        <f t="shared" si="0"/>
        <v>5.5</v>
      </c>
      <c r="I20" s="21">
        <f t="shared" si="1"/>
        <v>55</v>
      </c>
      <c r="J20" s="21">
        <f t="shared" si="1"/>
        <v>55</v>
      </c>
      <c r="L20" s="1018">
        <f t="shared" ref="L20:L23" si="2">C20/C$28</f>
        <v>0.13750000000000001</v>
      </c>
      <c r="M20" s="1018">
        <f t="shared" ref="M20:M23" si="3">F20/C$28</f>
        <v>0</v>
      </c>
    </row>
    <row r="21" spans="1:13" s="10" customFormat="1" ht="12" customHeight="1" x14ac:dyDescent="0.25">
      <c r="A21" s="180">
        <v>3</v>
      </c>
      <c r="B21" s="20" t="s">
        <v>340</v>
      </c>
      <c r="C21" s="111">
        <v>0.08</v>
      </c>
      <c r="D21" s="111">
        <v>0.08</v>
      </c>
      <c r="E21" s="13">
        <f>цены!F77</f>
        <v>40</v>
      </c>
      <c r="F21" s="13">
        <f>C21*E21</f>
        <v>3.2</v>
      </c>
      <c r="G21" s="97">
        <f t="shared" si="0"/>
        <v>0.8</v>
      </c>
      <c r="H21" s="21">
        <f t="shared" si="0"/>
        <v>0.8</v>
      </c>
      <c r="I21" s="21">
        <f t="shared" si="1"/>
        <v>8</v>
      </c>
      <c r="J21" s="21">
        <f t="shared" si="1"/>
        <v>8</v>
      </c>
      <c r="L21" s="1018">
        <f t="shared" si="2"/>
        <v>0.02</v>
      </c>
      <c r="M21" s="1018">
        <f t="shared" si="3"/>
        <v>0.8</v>
      </c>
    </row>
    <row r="22" spans="1:13" s="10" customFormat="1" ht="12" customHeight="1" x14ac:dyDescent="0.25">
      <c r="A22" s="180">
        <v>4</v>
      </c>
      <c r="B22" s="20" t="s">
        <v>31</v>
      </c>
      <c r="C22" s="111">
        <v>8.0000000000000002E-3</v>
      </c>
      <c r="D22" s="111">
        <v>8.0000000000000002E-3</v>
      </c>
      <c r="E22" s="13">
        <f>цены!F21</f>
        <v>710</v>
      </c>
      <c r="F22" s="13">
        <f>C22*E22</f>
        <v>5.68</v>
      </c>
      <c r="G22" s="97">
        <f t="shared" si="0"/>
        <v>0.08</v>
      </c>
      <c r="H22" s="21">
        <f t="shared" si="0"/>
        <v>0.08</v>
      </c>
      <c r="I22" s="21">
        <f t="shared" si="1"/>
        <v>0.8</v>
      </c>
      <c r="J22" s="21">
        <f t="shared" si="1"/>
        <v>0.8</v>
      </c>
      <c r="L22" s="1018">
        <f t="shared" si="2"/>
        <v>2E-3</v>
      </c>
      <c r="M22" s="1018">
        <f t="shared" si="3"/>
        <v>1.42</v>
      </c>
    </row>
    <row r="23" spans="1:13" s="10" customFormat="1" ht="12" customHeight="1" x14ac:dyDescent="0.25">
      <c r="A23" s="180">
        <v>5</v>
      </c>
      <c r="B23" s="20" t="s">
        <v>30</v>
      </c>
      <c r="C23" s="111">
        <v>0.01</v>
      </c>
      <c r="D23" s="111">
        <v>0.01</v>
      </c>
      <c r="E23" s="13">
        <f>цены!F107</f>
        <v>76</v>
      </c>
      <c r="F23" s="13">
        <f>C23*E23</f>
        <v>0.76</v>
      </c>
      <c r="G23" s="97">
        <f t="shared" si="0"/>
        <v>0.1</v>
      </c>
      <c r="H23" s="21">
        <f t="shared" si="0"/>
        <v>0.1</v>
      </c>
      <c r="I23" s="21">
        <f t="shared" si="1"/>
        <v>1</v>
      </c>
      <c r="J23" s="21">
        <f t="shared" si="1"/>
        <v>1</v>
      </c>
      <c r="L23" s="1018">
        <f t="shared" si="2"/>
        <v>2.5000000000000001E-3</v>
      </c>
      <c r="M23" s="1018">
        <f t="shared" si="3"/>
        <v>0.19</v>
      </c>
    </row>
    <row r="24" spans="1:13" s="10" customFormat="1" ht="12" customHeight="1" x14ac:dyDescent="0.25">
      <c r="A24" s="98"/>
      <c r="B24" s="93" t="s">
        <v>634</v>
      </c>
      <c r="C24" s="112"/>
      <c r="D24" s="112">
        <v>1</v>
      </c>
      <c r="E24" s="95"/>
      <c r="F24" s="95">
        <f>SUM(F19:F23)</f>
        <v>49.64</v>
      </c>
      <c r="G24" s="99"/>
      <c r="H24" s="100">
        <f>D24*10</f>
        <v>10</v>
      </c>
      <c r="I24" s="100"/>
      <c r="J24" s="100">
        <f>D24*100</f>
        <v>100</v>
      </c>
      <c r="L24" s="1018">
        <f>SUM(L19:L23)</f>
        <v>0.28699999999999998</v>
      </c>
      <c r="M24" s="1018">
        <f>SUM(M19:M23)</f>
        <v>12.41</v>
      </c>
    </row>
    <row r="25" spans="1:13" s="10" customFormat="1" ht="27.6" customHeight="1" x14ac:dyDescent="0.25">
      <c r="A25" s="1536" t="s">
        <v>35</v>
      </c>
      <c r="B25" s="1536"/>
      <c r="C25" s="90"/>
      <c r="D25" s="90"/>
      <c r="E25" s="13"/>
      <c r="F25" s="13">
        <f>F24</f>
        <v>49.64</v>
      </c>
      <c r="G25" s="373"/>
      <c r="H25" s="373"/>
      <c r="I25" s="21"/>
      <c r="J25" s="13"/>
    </row>
    <row r="26" spans="1:13" s="10" customFormat="1" ht="25.35" customHeight="1" x14ac:dyDescent="0.25">
      <c r="A26" s="1536" t="s">
        <v>36</v>
      </c>
      <c r="B26" s="1536"/>
      <c r="C26" s="90">
        <v>1000</v>
      </c>
      <c r="D26" s="90"/>
      <c r="E26" s="13"/>
      <c r="F26" s="13"/>
      <c r="G26" s="13"/>
      <c r="H26" s="13"/>
      <c r="I26" s="21"/>
      <c r="J26" s="17"/>
    </row>
    <row r="27" spans="1:13" s="10" customFormat="1" ht="25.35" customHeight="1" x14ac:dyDescent="0.25">
      <c r="A27" s="1537" t="s">
        <v>37</v>
      </c>
      <c r="B27" s="1538"/>
      <c r="C27" s="91">
        <v>250</v>
      </c>
      <c r="D27" s="92"/>
      <c r="E27" s="374"/>
      <c r="F27" s="374"/>
      <c r="G27" s="374"/>
      <c r="H27" s="374"/>
      <c r="I27" s="21"/>
      <c r="J27" s="17"/>
    </row>
    <row r="28" spans="1:13" s="10" customFormat="1" ht="15" customHeight="1" x14ac:dyDescent="0.25">
      <c r="A28" s="1539" t="s">
        <v>38</v>
      </c>
      <c r="B28" s="1540"/>
      <c r="C28" s="92">
        <f>C26/C27</f>
        <v>4</v>
      </c>
      <c r="D28" s="92"/>
      <c r="E28" s="374"/>
      <c r="F28" s="374"/>
      <c r="G28" s="374"/>
      <c r="H28" s="374"/>
      <c r="I28" s="21"/>
      <c r="J28" s="17"/>
    </row>
    <row r="29" spans="1:13" ht="16.350000000000001" customHeight="1" x14ac:dyDescent="0.25">
      <c r="A29" s="1541" t="s">
        <v>39</v>
      </c>
      <c r="B29" s="1542"/>
      <c r="C29" s="15" t="s">
        <v>40</v>
      </c>
      <c r="D29" s="102"/>
      <c r="E29" s="102" t="s">
        <v>40</v>
      </c>
      <c r="F29" s="16">
        <f>F25/C28</f>
        <v>12.41</v>
      </c>
      <c r="G29" s="16"/>
      <c r="H29" s="16"/>
      <c r="I29" s="102" t="s">
        <v>40</v>
      </c>
      <c r="J29" s="102" t="s">
        <v>40</v>
      </c>
    </row>
    <row r="30" spans="1:13" ht="23.1" customHeight="1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3" ht="13.95" customHeight="1" x14ac:dyDescent="0.25">
      <c r="A31" s="1193"/>
      <c r="B31" s="1194" t="s">
        <v>49</v>
      </c>
      <c r="C31" s="1198"/>
      <c r="D31" s="1198"/>
      <c r="E31" s="1198"/>
      <c r="F31" s="1198"/>
      <c r="G31" s="1193"/>
      <c r="H31" s="1560">
        <f>'1-бутерброд с маслом'!$H$28</f>
        <v>0</v>
      </c>
      <c r="I31" s="1560"/>
      <c r="J31" s="1560"/>
    </row>
    <row r="32" spans="1:13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545" t="s">
        <v>327</v>
      </c>
      <c r="B33" s="1545"/>
      <c r="C33" s="1546" t="s">
        <v>328</v>
      </c>
      <c r="D33" s="1546"/>
      <c r="E33" s="1546"/>
      <c r="F33" s="1546"/>
      <c r="G33" s="106"/>
      <c r="H33" s="1531"/>
      <c r="I33" s="1531"/>
      <c r="J33" s="1531"/>
    </row>
    <row r="34" spans="1:10" x14ac:dyDescent="0.25">
      <c r="A34" s="1193"/>
      <c r="B34" s="1193"/>
      <c r="C34" s="1546"/>
      <c r="D34" s="1546"/>
      <c r="E34" s="1546"/>
      <c r="F34" s="1546"/>
      <c r="G34" s="1193"/>
      <c r="H34" s="1531" t="s">
        <v>329</v>
      </c>
      <c r="I34" s="1531"/>
      <c r="J34" s="1531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</sheetData>
  <mergeCells count="28">
    <mergeCell ref="H31:J31"/>
    <mergeCell ref="A13:G13"/>
    <mergeCell ref="A26:B26"/>
    <mergeCell ref="A27:B27"/>
    <mergeCell ref="A28:B28"/>
    <mergeCell ref="A29:B29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3:B33"/>
    <mergeCell ref="C33:F34"/>
    <mergeCell ref="H33:J33"/>
    <mergeCell ref="H34:J34"/>
    <mergeCell ref="H5:I5"/>
    <mergeCell ref="A6:G6"/>
    <mergeCell ref="A7:I7"/>
    <mergeCell ref="A25:B25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38"/>
  <sheetViews>
    <sheetView view="pageBreakPreview" topLeftCell="A18" zoomScaleNormal="100" zoomScaleSheetLayoutView="100" workbookViewId="0">
      <selection activeCell="A30" sqref="A30:J34"/>
    </sheetView>
  </sheetViews>
  <sheetFormatPr defaultColWidth="8.88671875" defaultRowHeight="13.8" x14ac:dyDescent="0.25"/>
  <cols>
    <col min="1" max="1" width="4.109375" style="589" customWidth="1"/>
    <col min="2" max="2" width="24" style="589" customWidth="1"/>
    <col min="3" max="9" width="7.5546875" style="589" customWidth="1"/>
    <col min="10" max="10" width="9" style="589" customWidth="1"/>
    <col min="11" max="11" width="3.33203125" style="589" customWidth="1"/>
    <col min="12" max="16384" width="8.88671875" style="58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96)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121</v>
      </c>
    </row>
    <row r="8" spans="1:10" s="2" customFormat="1" ht="9.6" customHeight="1" x14ac:dyDescent="0.25">
      <c r="A8" s="594"/>
      <c r="B8" s="594"/>
      <c r="C8" s="594"/>
      <c r="D8" s="594"/>
      <c r="E8" s="594"/>
      <c r="F8" s="594"/>
      <c r="G8" s="594"/>
      <c r="H8" s="594"/>
      <c r="I8" s="594"/>
      <c r="J8" s="109"/>
    </row>
    <row r="9" spans="1:10" s="2" customFormat="1" ht="26.1" customHeight="1" x14ac:dyDescent="0.3">
      <c r="A9" s="1559" t="s">
        <v>887</v>
      </c>
      <c r="B9" s="1559"/>
      <c r="C9" s="1559"/>
      <c r="D9" s="1559"/>
      <c r="E9" s="1559"/>
      <c r="F9" s="1559"/>
      <c r="G9" s="1559"/>
      <c r="H9" s="1559"/>
      <c r="I9" s="1559"/>
      <c r="J9" s="1559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'121-суп с перловкой'!H14+1</f>
        <v>96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590" t="s">
        <v>92</v>
      </c>
      <c r="D17" s="590" t="s">
        <v>94</v>
      </c>
      <c r="E17" s="590" t="s">
        <v>93</v>
      </c>
      <c r="F17" s="590" t="s">
        <v>23</v>
      </c>
      <c r="G17" s="590" t="s">
        <v>92</v>
      </c>
      <c r="H17" s="590" t="s">
        <v>94</v>
      </c>
      <c r="I17" s="590" t="s">
        <v>92</v>
      </c>
      <c r="J17" s="590" t="s">
        <v>94</v>
      </c>
    </row>
    <row r="18" spans="1:13" ht="9.6" customHeight="1" x14ac:dyDescent="0.25">
      <c r="A18" s="590">
        <v>1</v>
      </c>
      <c r="B18" s="592">
        <v>2</v>
      </c>
      <c r="C18" s="590">
        <v>3</v>
      </c>
      <c r="D18" s="592">
        <v>4</v>
      </c>
      <c r="E18" s="590">
        <v>5</v>
      </c>
      <c r="F18" s="592">
        <v>6</v>
      </c>
      <c r="G18" s="592">
        <v>8</v>
      </c>
      <c r="H18" s="590">
        <v>9</v>
      </c>
      <c r="I18" s="592">
        <v>10</v>
      </c>
      <c r="J18" s="590">
        <v>11</v>
      </c>
    </row>
    <row r="19" spans="1:13" s="10" customFormat="1" ht="14.1" customHeight="1" x14ac:dyDescent="0.25">
      <c r="A19" s="180">
        <v>1</v>
      </c>
      <c r="B19" s="20" t="s">
        <v>34</v>
      </c>
      <c r="C19" s="111">
        <v>0.5</v>
      </c>
      <c r="D19" s="111">
        <v>0.5</v>
      </c>
      <c r="E19" s="408">
        <f>цены!F20</f>
        <v>80</v>
      </c>
      <c r="F19" s="408">
        <f>C19*E19</f>
        <v>40</v>
      </c>
      <c r="G19" s="97">
        <f t="shared" ref="G19:H23" si="0">C19*10</f>
        <v>5</v>
      </c>
      <c r="H19" s="21">
        <f t="shared" si="0"/>
        <v>5</v>
      </c>
      <c r="I19" s="21">
        <f t="shared" ref="I19:J23" si="1">C19*100</f>
        <v>50</v>
      </c>
      <c r="J19" s="21">
        <f t="shared" si="1"/>
        <v>50</v>
      </c>
      <c r="K19" s="1017"/>
      <c r="L19" s="1018">
        <f>C19/C$28</f>
        <v>0.125</v>
      </c>
      <c r="M19" s="1018">
        <f>F19/C$28</f>
        <v>10</v>
      </c>
    </row>
    <row r="20" spans="1:13" s="10" customFormat="1" ht="14.1" customHeight="1" x14ac:dyDescent="0.25">
      <c r="A20" s="180">
        <v>2</v>
      </c>
      <c r="B20" s="20" t="s">
        <v>28</v>
      </c>
      <c r="C20" s="111">
        <v>0.55000000000000004</v>
      </c>
      <c r="D20" s="111">
        <v>0.55000000000000004</v>
      </c>
      <c r="E20" s="408"/>
      <c r="F20" s="408">
        <f>C20*E20</f>
        <v>0</v>
      </c>
      <c r="G20" s="97">
        <f t="shared" si="0"/>
        <v>5.5</v>
      </c>
      <c r="H20" s="21">
        <f t="shared" si="0"/>
        <v>5.5</v>
      </c>
      <c r="I20" s="21">
        <f t="shared" si="1"/>
        <v>55</v>
      </c>
      <c r="J20" s="21">
        <f t="shared" si="1"/>
        <v>55</v>
      </c>
      <c r="K20" s="1017"/>
      <c r="L20" s="1018">
        <f t="shared" ref="L20:L23" si="2">C20/C$28</f>
        <v>0.13750000000000001</v>
      </c>
      <c r="M20" s="1018">
        <f t="shared" ref="M20:M23" si="3">F20/C$28</f>
        <v>0</v>
      </c>
    </row>
    <row r="21" spans="1:13" s="10" customFormat="1" ht="12" customHeight="1" x14ac:dyDescent="0.25">
      <c r="A21" s="180">
        <v>3</v>
      </c>
      <c r="B21" s="20" t="s">
        <v>886</v>
      </c>
      <c r="C21" s="111">
        <v>0.06</v>
      </c>
      <c r="D21" s="111">
        <v>0.06</v>
      </c>
      <c r="E21" s="408">
        <f>цены!F81</f>
        <v>36</v>
      </c>
      <c r="F21" s="408">
        <f>C21*E21</f>
        <v>2.16</v>
      </c>
      <c r="G21" s="97">
        <f t="shared" si="0"/>
        <v>0.6</v>
      </c>
      <c r="H21" s="21">
        <f t="shared" si="0"/>
        <v>0.6</v>
      </c>
      <c r="I21" s="21">
        <f t="shared" si="1"/>
        <v>6</v>
      </c>
      <c r="J21" s="21">
        <f t="shared" si="1"/>
        <v>6</v>
      </c>
      <c r="K21" s="1017"/>
      <c r="L21" s="1018">
        <f t="shared" si="2"/>
        <v>1.4999999999999999E-2</v>
      </c>
      <c r="M21" s="1018">
        <f t="shared" si="3"/>
        <v>0.54</v>
      </c>
    </row>
    <row r="22" spans="1:13" s="10" customFormat="1" ht="12" customHeight="1" x14ac:dyDescent="0.25">
      <c r="A22" s="180">
        <v>4</v>
      </c>
      <c r="B22" s="20" t="s">
        <v>31</v>
      </c>
      <c r="C22" s="111">
        <v>8.0000000000000002E-3</v>
      </c>
      <c r="D22" s="111">
        <v>8.0000000000000002E-3</v>
      </c>
      <c r="E22" s="408">
        <f>цены!F21</f>
        <v>710</v>
      </c>
      <c r="F22" s="408">
        <f>C22*E22</f>
        <v>5.68</v>
      </c>
      <c r="G22" s="97">
        <f t="shared" si="0"/>
        <v>0.08</v>
      </c>
      <c r="H22" s="21">
        <f t="shared" si="0"/>
        <v>0.08</v>
      </c>
      <c r="I22" s="21">
        <f t="shared" si="1"/>
        <v>0.8</v>
      </c>
      <c r="J22" s="21">
        <f t="shared" si="1"/>
        <v>0.8</v>
      </c>
      <c r="K22" s="1017"/>
      <c r="L22" s="1018">
        <f t="shared" si="2"/>
        <v>2E-3</v>
      </c>
      <c r="M22" s="1018">
        <f t="shared" si="3"/>
        <v>1.42</v>
      </c>
    </row>
    <row r="23" spans="1:13" s="10" customFormat="1" ht="12" customHeight="1" x14ac:dyDescent="0.25">
      <c r="A23" s="180">
        <v>5</v>
      </c>
      <c r="B23" s="20" t="s">
        <v>30</v>
      </c>
      <c r="C23" s="111">
        <v>0.01</v>
      </c>
      <c r="D23" s="111">
        <v>0.01</v>
      </c>
      <c r="E23" s="408">
        <f>цены!F107</f>
        <v>76</v>
      </c>
      <c r="F23" s="408">
        <f>C23*E23</f>
        <v>0.76</v>
      </c>
      <c r="G23" s="97">
        <f t="shared" si="0"/>
        <v>0.1</v>
      </c>
      <c r="H23" s="21">
        <f t="shared" si="0"/>
        <v>0.1</v>
      </c>
      <c r="I23" s="21">
        <f t="shared" si="1"/>
        <v>1</v>
      </c>
      <c r="J23" s="21">
        <f t="shared" si="1"/>
        <v>1</v>
      </c>
      <c r="K23" s="1017"/>
      <c r="L23" s="1018">
        <f t="shared" si="2"/>
        <v>2.5000000000000001E-3</v>
      </c>
      <c r="M23" s="1018">
        <f t="shared" si="3"/>
        <v>0.19</v>
      </c>
    </row>
    <row r="24" spans="1:13" s="10" customFormat="1" ht="12" customHeight="1" x14ac:dyDescent="0.25">
      <c r="A24" s="98"/>
      <c r="B24" s="93" t="s">
        <v>634</v>
      </c>
      <c r="C24" s="112"/>
      <c r="D24" s="112">
        <v>1</v>
      </c>
      <c r="E24" s="95"/>
      <c r="F24" s="95">
        <f>SUM(F19:F23)</f>
        <v>48.6</v>
      </c>
      <c r="G24" s="99"/>
      <c r="H24" s="100">
        <f>D24*10</f>
        <v>10</v>
      </c>
      <c r="I24" s="100"/>
      <c r="J24" s="100">
        <f>D24*100</f>
        <v>100</v>
      </c>
      <c r="K24" s="1017"/>
      <c r="L24" s="1018">
        <f>SUM(L19:L23)</f>
        <v>0.28199999999999997</v>
      </c>
      <c r="M24" s="1018">
        <f>SUM(M19:M23)</f>
        <v>12.15</v>
      </c>
    </row>
    <row r="25" spans="1:13" s="10" customFormat="1" ht="27.6" customHeight="1" x14ac:dyDescent="0.25">
      <c r="A25" s="1536" t="s">
        <v>35</v>
      </c>
      <c r="B25" s="1536"/>
      <c r="C25" s="90"/>
      <c r="D25" s="90"/>
      <c r="E25" s="408"/>
      <c r="F25" s="408">
        <f>F24</f>
        <v>48.6</v>
      </c>
      <c r="G25" s="591"/>
      <c r="H25" s="591"/>
      <c r="I25" s="21"/>
      <c r="J25" s="408"/>
    </row>
    <row r="26" spans="1:13" s="10" customFormat="1" ht="25.35" customHeight="1" x14ac:dyDescent="0.25">
      <c r="A26" s="1536" t="s">
        <v>36</v>
      </c>
      <c r="B26" s="1536"/>
      <c r="C26" s="90">
        <v>1000</v>
      </c>
      <c r="D26" s="90"/>
      <c r="E26" s="408"/>
      <c r="F26" s="408"/>
      <c r="G26" s="408"/>
      <c r="H26" s="408"/>
      <c r="I26" s="21"/>
      <c r="J26" s="17"/>
    </row>
    <row r="27" spans="1:13" s="10" customFormat="1" ht="25.35" customHeight="1" x14ac:dyDescent="0.25">
      <c r="A27" s="1537" t="s">
        <v>37</v>
      </c>
      <c r="B27" s="1538"/>
      <c r="C27" s="91">
        <v>250</v>
      </c>
      <c r="D27" s="92"/>
      <c r="E27" s="592"/>
      <c r="F27" s="592"/>
      <c r="G27" s="592"/>
      <c r="H27" s="592"/>
      <c r="I27" s="21"/>
      <c r="J27" s="17"/>
    </row>
    <row r="28" spans="1:13" s="10" customFormat="1" ht="15" customHeight="1" x14ac:dyDescent="0.25">
      <c r="A28" s="1539" t="s">
        <v>38</v>
      </c>
      <c r="B28" s="1540"/>
      <c r="C28" s="92">
        <f>C26/C27</f>
        <v>4</v>
      </c>
      <c r="D28" s="92"/>
      <c r="E28" s="592"/>
      <c r="F28" s="592"/>
      <c r="G28" s="592"/>
      <c r="H28" s="592"/>
      <c r="I28" s="21"/>
      <c r="J28" s="17"/>
    </row>
    <row r="29" spans="1:13" ht="16.350000000000001" customHeight="1" x14ac:dyDescent="0.25">
      <c r="A29" s="1541" t="s">
        <v>39</v>
      </c>
      <c r="B29" s="1542"/>
      <c r="C29" s="15" t="s">
        <v>40</v>
      </c>
      <c r="D29" s="102"/>
      <c r="E29" s="102" t="s">
        <v>40</v>
      </c>
      <c r="F29" s="16">
        <f>F25/C28</f>
        <v>12.15</v>
      </c>
      <c r="G29" s="16"/>
      <c r="H29" s="16"/>
      <c r="I29" s="102" t="s">
        <v>40</v>
      </c>
      <c r="J29" s="102" t="s">
        <v>40</v>
      </c>
    </row>
    <row r="30" spans="1:13" ht="23.1" customHeight="1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3" ht="13.95" customHeight="1" x14ac:dyDescent="0.25">
      <c r="A31" s="1193"/>
      <c r="B31" s="1194" t="s">
        <v>49</v>
      </c>
      <c r="C31" s="1198"/>
      <c r="D31" s="1198"/>
      <c r="E31" s="1198"/>
      <c r="F31" s="1198"/>
      <c r="G31" s="1193"/>
      <c r="H31" s="1557">
        <f>'1-бутерброд с маслом'!$H$28</f>
        <v>0</v>
      </c>
      <c r="I31" s="1557"/>
      <c r="J31" s="1557"/>
    </row>
    <row r="32" spans="1:13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545" t="s">
        <v>327</v>
      </c>
      <c r="B33" s="1545"/>
      <c r="C33" s="1546" t="s">
        <v>328</v>
      </c>
      <c r="D33" s="1546"/>
      <c r="E33" s="1546"/>
      <c r="F33" s="1546"/>
      <c r="G33" s="106"/>
      <c r="H33" s="1531"/>
      <c r="I33" s="1531"/>
      <c r="J33" s="1531"/>
    </row>
    <row r="34" spans="1:10" x14ac:dyDescent="0.25">
      <c r="A34" s="1193"/>
      <c r="B34" s="1193"/>
      <c r="C34" s="1546"/>
      <c r="D34" s="1546"/>
      <c r="E34" s="1546"/>
      <c r="F34" s="1546"/>
      <c r="G34" s="1193"/>
      <c r="H34" s="1531" t="s">
        <v>329</v>
      </c>
      <c r="I34" s="1531"/>
      <c r="J34" s="1531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</sheetData>
  <mergeCells count="28">
    <mergeCell ref="H31:J31"/>
    <mergeCell ref="A13:G13"/>
    <mergeCell ref="A26:B26"/>
    <mergeCell ref="A27:B27"/>
    <mergeCell ref="A28:B28"/>
    <mergeCell ref="A29:B29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3:B33"/>
    <mergeCell ref="C33:F34"/>
    <mergeCell ref="H33:J33"/>
    <mergeCell ref="H34:J34"/>
    <mergeCell ref="H5:I5"/>
    <mergeCell ref="A6:G6"/>
    <mergeCell ref="A7:I7"/>
    <mergeCell ref="A25:B25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38"/>
  <sheetViews>
    <sheetView view="pageBreakPreview" topLeftCell="A20" zoomScaleNormal="100" zoomScaleSheetLayoutView="100" workbookViewId="0">
      <selection activeCell="A30" sqref="A30:J34"/>
    </sheetView>
  </sheetViews>
  <sheetFormatPr defaultColWidth="8.88671875" defaultRowHeight="13.8" x14ac:dyDescent="0.25"/>
  <cols>
    <col min="1" max="1" width="4.109375" style="589" customWidth="1"/>
    <col min="2" max="2" width="24" style="589" customWidth="1"/>
    <col min="3" max="9" width="7.5546875" style="589" customWidth="1"/>
    <col min="10" max="10" width="9" style="589" customWidth="1"/>
    <col min="11" max="11" width="4.33203125" style="589" customWidth="1"/>
    <col min="12" max="16384" width="8.88671875" style="58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97)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121</v>
      </c>
    </row>
    <row r="8" spans="1:10" s="2" customFormat="1" ht="9.6" customHeight="1" x14ac:dyDescent="0.25">
      <c r="A8" s="594"/>
      <c r="B8" s="594"/>
      <c r="C8" s="594"/>
      <c r="D8" s="594"/>
      <c r="E8" s="594"/>
      <c r="F8" s="594"/>
      <c r="G8" s="594"/>
      <c r="H8" s="594"/>
      <c r="I8" s="594"/>
      <c r="J8" s="109"/>
    </row>
    <row r="9" spans="1:10" s="2" customFormat="1" ht="26.1" customHeight="1" x14ac:dyDescent="0.3">
      <c r="A9" s="1559" t="s">
        <v>893</v>
      </c>
      <c r="B9" s="1559"/>
      <c r="C9" s="1559"/>
      <c r="D9" s="1559"/>
      <c r="E9" s="1559"/>
      <c r="F9" s="1559"/>
      <c r="G9" s="1559"/>
      <c r="H9" s="1559"/>
      <c r="I9" s="1559"/>
      <c r="J9" s="1559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'121-суп с кукурузной'!H14+1</f>
        <v>97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590" t="s">
        <v>92</v>
      </c>
      <c r="D17" s="590" t="s">
        <v>94</v>
      </c>
      <c r="E17" s="590" t="s">
        <v>93</v>
      </c>
      <c r="F17" s="590" t="s">
        <v>23</v>
      </c>
      <c r="G17" s="590" t="s">
        <v>92</v>
      </c>
      <c r="H17" s="590" t="s">
        <v>94</v>
      </c>
      <c r="I17" s="590" t="s">
        <v>92</v>
      </c>
      <c r="J17" s="590" t="s">
        <v>94</v>
      </c>
    </row>
    <row r="18" spans="1:13" ht="9.6" customHeight="1" x14ac:dyDescent="0.25">
      <c r="A18" s="590">
        <v>1</v>
      </c>
      <c r="B18" s="592">
        <v>2</v>
      </c>
      <c r="C18" s="590">
        <v>3</v>
      </c>
      <c r="D18" s="592">
        <v>4</v>
      </c>
      <c r="E18" s="590">
        <v>5</v>
      </c>
      <c r="F18" s="592">
        <v>6</v>
      </c>
      <c r="G18" s="592">
        <v>8</v>
      </c>
      <c r="H18" s="590">
        <v>9</v>
      </c>
      <c r="I18" s="592">
        <v>10</v>
      </c>
      <c r="J18" s="590">
        <v>11</v>
      </c>
    </row>
    <row r="19" spans="1:13" s="10" customFormat="1" ht="14.1" customHeight="1" x14ac:dyDescent="0.25">
      <c r="A19" s="180">
        <v>1</v>
      </c>
      <c r="B19" s="20" t="s">
        <v>34</v>
      </c>
      <c r="C19" s="111">
        <v>0.5</v>
      </c>
      <c r="D19" s="111">
        <v>0.5</v>
      </c>
      <c r="E19" s="408">
        <f>цены!F20</f>
        <v>80</v>
      </c>
      <c r="F19" s="408">
        <f>C19*E19</f>
        <v>40</v>
      </c>
      <c r="G19" s="97">
        <f t="shared" ref="G19:H23" si="0">C19*10</f>
        <v>5</v>
      </c>
      <c r="H19" s="21">
        <f t="shared" si="0"/>
        <v>5</v>
      </c>
      <c r="I19" s="21">
        <f t="shared" ref="I19:J23" si="1">C19*100</f>
        <v>50</v>
      </c>
      <c r="J19" s="21">
        <f t="shared" si="1"/>
        <v>50</v>
      </c>
      <c r="L19" s="1018">
        <f>C19/C$28</f>
        <v>0.125</v>
      </c>
      <c r="M19" s="1018">
        <f>F19/C$28</f>
        <v>10</v>
      </c>
    </row>
    <row r="20" spans="1:13" s="10" customFormat="1" ht="14.1" customHeight="1" x14ac:dyDescent="0.25">
      <c r="A20" s="180">
        <v>2</v>
      </c>
      <c r="B20" s="20" t="s">
        <v>28</v>
      </c>
      <c r="C20" s="111">
        <v>0.55000000000000004</v>
      </c>
      <c r="D20" s="111">
        <v>0.55000000000000004</v>
      </c>
      <c r="E20" s="408"/>
      <c r="F20" s="408">
        <f>C20*E20</f>
        <v>0</v>
      </c>
      <c r="G20" s="97">
        <f t="shared" si="0"/>
        <v>5.5</v>
      </c>
      <c r="H20" s="21">
        <f t="shared" si="0"/>
        <v>5.5</v>
      </c>
      <c r="I20" s="21">
        <f t="shared" si="1"/>
        <v>55</v>
      </c>
      <c r="J20" s="21">
        <f t="shared" si="1"/>
        <v>55</v>
      </c>
      <c r="L20" s="1018">
        <f t="shared" ref="L20:L23" si="2">C20/C$28</f>
        <v>0.13750000000000001</v>
      </c>
      <c r="M20" s="1018">
        <f t="shared" ref="M20:M23" si="3">F20/C$28</f>
        <v>0</v>
      </c>
    </row>
    <row r="21" spans="1:13" s="10" customFormat="1" ht="12" customHeight="1" x14ac:dyDescent="0.25">
      <c r="A21" s="180">
        <v>3</v>
      </c>
      <c r="B21" s="20" t="s">
        <v>813</v>
      </c>
      <c r="C21" s="111">
        <v>0.06</v>
      </c>
      <c r="D21" s="111">
        <v>0.06</v>
      </c>
      <c r="E21" s="408">
        <f>цены!F84</f>
        <v>65</v>
      </c>
      <c r="F21" s="408">
        <f>C21*E21</f>
        <v>3.9</v>
      </c>
      <c r="G21" s="97">
        <f t="shared" si="0"/>
        <v>0.6</v>
      </c>
      <c r="H21" s="21">
        <f t="shared" si="0"/>
        <v>0.6</v>
      </c>
      <c r="I21" s="21">
        <f t="shared" si="1"/>
        <v>6</v>
      </c>
      <c r="J21" s="21">
        <f t="shared" si="1"/>
        <v>6</v>
      </c>
      <c r="L21" s="1018">
        <f t="shared" si="2"/>
        <v>1.4999999999999999E-2</v>
      </c>
      <c r="M21" s="1018">
        <f t="shared" si="3"/>
        <v>0.97499999999999998</v>
      </c>
    </row>
    <row r="22" spans="1:13" s="10" customFormat="1" ht="12" customHeight="1" x14ac:dyDescent="0.25">
      <c r="A22" s="180">
        <v>4</v>
      </c>
      <c r="B22" s="20" t="s">
        <v>31</v>
      </c>
      <c r="C22" s="111">
        <v>8.0000000000000002E-3</v>
      </c>
      <c r="D22" s="111">
        <v>8.0000000000000002E-3</v>
      </c>
      <c r="E22" s="408">
        <f>цены!F21</f>
        <v>710</v>
      </c>
      <c r="F22" s="408">
        <f>C22*E22</f>
        <v>5.68</v>
      </c>
      <c r="G22" s="97">
        <f t="shared" si="0"/>
        <v>0.08</v>
      </c>
      <c r="H22" s="21">
        <f t="shared" si="0"/>
        <v>0.08</v>
      </c>
      <c r="I22" s="21">
        <f t="shared" si="1"/>
        <v>0.8</v>
      </c>
      <c r="J22" s="21">
        <f t="shared" si="1"/>
        <v>0.8</v>
      </c>
      <c r="L22" s="1018">
        <f t="shared" si="2"/>
        <v>2E-3</v>
      </c>
      <c r="M22" s="1018">
        <f t="shared" si="3"/>
        <v>1.42</v>
      </c>
    </row>
    <row r="23" spans="1:13" s="10" customFormat="1" ht="12" customHeight="1" x14ac:dyDescent="0.25">
      <c r="A23" s="180">
        <v>5</v>
      </c>
      <c r="B23" s="20" t="s">
        <v>30</v>
      </c>
      <c r="C23" s="111">
        <v>0.01</v>
      </c>
      <c r="D23" s="111">
        <v>0.01</v>
      </c>
      <c r="E23" s="408">
        <f>цены!F107</f>
        <v>76</v>
      </c>
      <c r="F23" s="408">
        <f>C23*E23</f>
        <v>0.76</v>
      </c>
      <c r="G23" s="97">
        <f t="shared" si="0"/>
        <v>0.1</v>
      </c>
      <c r="H23" s="21">
        <f t="shared" si="0"/>
        <v>0.1</v>
      </c>
      <c r="I23" s="21">
        <f t="shared" si="1"/>
        <v>1</v>
      </c>
      <c r="J23" s="21">
        <f t="shared" si="1"/>
        <v>1</v>
      </c>
      <c r="L23" s="1018">
        <f t="shared" si="2"/>
        <v>2.5000000000000001E-3</v>
      </c>
      <c r="M23" s="1018">
        <f t="shared" si="3"/>
        <v>0.19</v>
      </c>
    </row>
    <row r="24" spans="1:13" s="10" customFormat="1" ht="12" customHeight="1" x14ac:dyDescent="0.25">
      <c r="A24" s="98"/>
      <c r="B24" s="93" t="s">
        <v>634</v>
      </c>
      <c r="C24" s="112"/>
      <c r="D24" s="112">
        <v>1</v>
      </c>
      <c r="E24" s="95"/>
      <c r="F24" s="95">
        <f>SUM(F19:F23)</f>
        <v>50.34</v>
      </c>
      <c r="G24" s="99"/>
      <c r="H24" s="100">
        <f>D24*10</f>
        <v>10</v>
      </c>
      <c r="I24" s="100"/>
      <c r="J24" s="100">
        <f>D24*100</f>
        <v>100</v>
      </c>
      <c r="L24" s="1018">
        <f>SUM(L19:L23)</f>
        <v>0.28199999999999997</v>
      </c>
      <c r="M24" s="1018">
        <f>SUM(M19:M23)</f>
        <v>12.585000000000001</v>
      </c>
    </row>
    <row r="25" spans="1:13" s="10" customFormat="1" ht="27.6" customHeight="1" x14ac:dyDescent="0.25">
      <c r="A25" s="1536" t="s">
        <v>35</v>
      </c>
      <c r="B25" s="1536"/>
      <c r="C25" s="90"/>
      <c r="D25" s="90"/>
      <c r="E25" s="408"/>
      <c r="F25" s="408">
        <f>F24</f>
        <v>50.34</v>
      </c>
      <c r="G25" s="591"/>
      <c r="H25" s="591"/>
      <c r="I25" s="21"/>
      <c r="J25" s="408"/>
    </row>
    <row r="26" spans="1:13" s="10" customFormat="1" ht="25.35" customHeight="1" x14ac:dyDescent="0.25">
      <c r="A26" s="1536" t="s">
        <v>36</v>
      </c>
      <c r="B26" s="1536"/>
      <c r="C26" s="90">
        <v>1000</v>
      </c>
      <c r="D26" s="90"/>
      <c r="E26" s="408"/>
      <c r="F26" s="408"/>
      <c r="G26" s="408"/>
      <c r="H26" s="408"/>
      <c r="I26" s="21"/>
      <c r="J26" s="17"/>
    </row>
    <row r="27" spans="1:13" s="10" customFormat="1" ht="25.35" customHeight="1" x14ac:dyDescent="0.25">
      <c r="A27" s="1537" t="s">
        <v>37</v>
      </c>
      <c r="B27" s="1538"/>
      <c r="C27" s="91">
        <v>250</v>
      </c>
      <c r="D27" s="92"/>
      <c r="E27" s="592"/>
      <c r="F27" s="592"/>
      <c r="G27" s="592"/>
      <c r="H27" s="592"/>
      <c r="I27" s="21"/>
      <c r="J27" s="17"/>
    </row>
    <row r="28" spans="1:13" s="10" customFormat="1" ht="15" customHeight="1" x14ac:dyDescent="0.25">
      <c r="A28" s="1539" t="s">
        <v>38</v>
      </c>
      <c r="B28" s="1540"/>
      <c r="C28" s="92">
        <f>C26/C27</f>
        <v>4</v>
      </c>
      <c r="D28" s="92"/>
      <c r="E28" s="592"/>
      <c r="F28" s="592"/>
      <c r="G28" s="592"/>
      <c r="H28" s="592"/>
      <c r="I28" s="21"/>
      <c r="J28" s="17"/>
    </row>
    <row r="29" spans="1:13" ht="16.350000000000001" customHeight="1" x14ac:dyDescent="0.25">
      <c r="A29" s="1541" t="s">
        <v>39</v>
      </c>
      <c r="B29" s="1542"/>
      <c r="C29" s="15" t="s">
        <v>40</v>
      </c>
      <c r="D29" s="102"/>
      <c r="E29" s="102" t="s">
        <v>40</v>
      </c>
      <c r="F29" s="16">
        <f>F25/C28</f>
        <v>12.59</v>
      </c>
      <c r="G29" s="16"/>
      <c r="H29" s="16"/>
      <c r="I29" s="102" t="s">
        <v>40</v>
      </c>
      <c r="J29" s="102" t="s">
        <v>40</v>
      </c>
    </row>
    <row r="30" spans="1:13" ht="23.1" customHeight="1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3" ht="13.95" customHeight="1" x14ac:dyDescent="0.25">
      <c r="A31" s="1193"/>
      <c r="B31" s="1194" t="s">
        <v>49</v>
      </c>
      <c r="C31" s="1198"/>
      <c r="D31" s="1198"/>
      <c r="E31" s="1198"/>
      <c r="F31" s="1198"/>
      <c r="G31" s="1193"/>
      <c r="H31" s="1557">
        <f>'1-бутерброд с маслом'!$H$28</f>
        <v>0</v>
      </c>
      <c r="I31" s="1557"/>
      <c r="J31" s="1557"/>
    </row>
    <row r="32" spans="1:13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545" t="s">
        <v>327</v>
      </c>
      <c r="B33" s="1545"/>
      <c r="C33" s="1546" t="s">
        <v>328</v>
      </c>
      <c r="D33" s="1546"/>
      <c r="E33" s="1546"/>
      <c r="F33" s="1546"/>
      <c r="G33" s="106"/>
      <c r="H33" s="1531"/>
      <c r="I33" s="1531"/>
      <c r="J33" s="1531"/>
    </row>
    <row r="34" spans="1:10" x14ac:dyDescent="0.25">
      <c r="A34" s="1193"/>
      <c r="B34" s="1193"/>
      <c r="C34" s="1546"/>
      <c r="D34" s="1546"/>
      <c r="E34" s="1546"/>
      <c r="F34" s="1546"/>
      <c r="G34" s="1193"/>
      <c r="H34" s="1531" t="s">
        <v>329</v>
      </c>
      <c r="I34" s="1531"/>
      <c r="J34" s="1531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</sheetData>
  <mergeCells count="28">
    <mergeCell ref="H31:J31"/>
    <mergeCell ref="A13:G13"/>
    <mergeCell ref="A26:B26"/>
    <mergeCell ref="A27:B27"/>
    <mergeCell ref="A28:B28"/>
    <mergeCell ref="A29:B29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3:B33"/>
    <mergeCell ref="C33:F34"/>
    <mergeCell ref="H33:J33"/>
    <mergeCell ref="H34:J34"/>
    <mergeCell ref="H5:I5"/>
    <mergeCell ref="A6:G6"/>
    <mergeCell ref="A7:I7"/>
    <mergeCell ref="A25:B25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38"/>
  <sheetViews>
    <sheetView view="pageBreakPreview" topLeftCell="A2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589" customWidth="1"/>
    <col min="2" max="2" width="24" style="589" customWidth="1"/>
    <col min="3" max="9" width="7.5546875" style="589" customWidth="1"/>
    <col min="10" max="10" width="9" style="589" customWidth="1"/>
    <col min="11" max="11" width="4.33203125" style="589" customWidth="1"/>
    <col min="12" max="16384" width="8.88671875" style="58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98)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121</v>
      </c>
    </row>
    <row r="8" spans="1:10" s="2" customFormat="1" ht="9.6" customHeight="1" x14ac:dyDescent="0.25">
      <c r="A8" s="594"/>
      <c r="B8" s="594"/>
      <c r="C8" s="594"/>
      <c r="D8" s="594"/>
      <c r="E8" s="594"/>
      <c r="F8" s="594"/>
      <c r="G8" s="594"/>
      <c r="H8" s="594"/>
      <c r="I8" s="594"/>
      <c r="J8" s="109"/>
    </row>
    <row r="9" spans="1:10" s="2" customFormat="1" ht="26.1" customHeight="1" x14ac:dyDescent="0.3">
      <c r="A9" s="1550" t="s">
        <v>888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'121-суп хлопья'!H14+1</f>
        <v>98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590" t="s">
        <v>92</v>
      </c>
      <c r="D17" s="590" t="s">
        <v>94</v>
      </c>
      <c r="E17" s="590" t="s">
        <v>93</v>
      </c>
      <c r="F17" s="590" t="s">
        <v>23</v>
      </c>
      <c r="G17" s="590" t="s">
        <v>92</v>
      </c>
      <c r="H17" s="590" t="s">
        <v>94</v>
      </c>
      <c r="I17" s="590" t="s">
        <v>92</v>
      </c>
      <c r="J17" s="590" t="s">
        <v>94</v>
      </c>
    </row>
    <row r="18" spans="1:13" ht="9.6" customHeight="1" x14ac:dyDescent="0.25">
      <c r="A18" s="590">
        <v>1</v>
      </c>
      <c r="B18" s="592">
        <v>2</v>
      </c>
      <c r="C18" s="590">
        <v>3</v>
      </c>
      <c r="D18" s="592">
        <v>4</v>
      </c>
      <c r="E18" s="590">
        <v>5</v>
      </c>
      <c r="F18" s="592">
        <v>6</v>
      </c>
      <c r="G18" s="592">
        <v>8</v>
      </c>
      <c r="H18" s="590">
        <v>9</v>
      </c>
      <c r="I18" s="592">
        <v>10</v>
      </c>
      <c r="J18" s="590">
        <v>11</v>
      </c>
    </row>
    <row r="19" spans="1:13" s="10" customFormat="1" ht="14.1" customHeight="1" x14ac:dyDescent="0.25">
      <c r="A19" s="180">
        <v>1</v>
      </c>
      <c r="B19" s="20" t="s">
        <v>34</v>
      </c>
      <c r="C19" s="111">
        <v>0.5</v>
      </c>
      <c r="D19" s="111">
        <v>0.5</v>
      </c>
      <c r="E19" s="408">
        <f>цены!F20</f>
        <v>80</v>
      </c>
      <c r="F19" s="408">
        <f>C19*E19</f>
        <v>40</v>
      </c>
      <c r="G19" s="97">
        <f t="shared" ref="G19:H23" si="0">C19*10</f>
        <v>5</v>
      </c>
      <c r="H19" s="21">
        <f t="shared" si="0"/>
        <v>5</v>
      </c>
      <c r="I19" s="21">
        <f t="shared" ref="I19:J23" si="1">C19*100</f>
        <v>50</v>
      </c>
      <c r="J19" s="21">
        <f t="shared" si="1"/>
        <v>50</v>
      </c>
      <c r="L19" s="1018">
        <f>C19/C$28</f>
        <v>0.125</v>
      </c>
      <c r="M19" s="1018">
        <f>F19/C$28</f>
        <v>10</v>
      </c>
    </row>
    <row r="20" spans="1:13" s="10" customFormat="1" ht="14.1" customHeight="1" x14ac:dyDescent="0.25">
      <c r="A20" s="180">
        <v>2</v>
      </c>
      <c r="B20" s="20" t="s">
        <v>28</v>
      </c>
      <c r="C20" s="111">
        <v>0.55000000000000004</v>
      </c>
      <c r="D20" s="111">
        <v>0.55000000000000004</v>
      </c>
      <c r="E20" s="408"/>
      <c r="F20" s="408">
        <f>C20*E20</f>
        <v>0</v>
      </c>
      <c r="G20" s="97">
        <f t="shared" si="0"/>
        <v>5.5</v>
      </c>
      <c r="H20" s="21">
        <f t="shared" si="0"/>
        <v>5.5</v>
      </c>
      <c r="I20" s="21">
        <f t="shared" si="1"/>
        <v>55</v>
      </c>
      <c r="J20" s="21">
        <f t="shared" si="1"/>
        <v>55</v>
      </c>
      <c r="L20" s="1018">
        <f t="shared" ref="L20:L23" si="2">C20/C$28</f>
        <v>0.13750000000000001</v>
      </c>
      <c r="M20" s="1018">
        <f t="shared" ref="M20:M23" si="3">F20/C$28</f>
        <v>0</v>
      </c>
    </row>
    <row r="21" spans="1:13" s="10" customFormat="1" ht="12" customHeight="1" x14ac:dyDescent="0.25">
      <c r="A21" s="180">
        <v>3</v>
      </c>
      <c r="B21" s="20" t="s">
        <v>66</v>
      </c>
      <c r="C21" s="111">
        <v>0.06</v>
      </c>
      <c r="D21" s="111">
        <v>0.06</v>
      </c>
      <c r="E21" s="408">
        <f>цены!F76</f>
        <v>40</v>
      </c>
      <c r="F21" s="408">
        <f>C21*E21</f>
        <v>2.4</v>
      </c>
      <c r="G21" s="97">
        <f t="shared" si="0"/>
        <v>0.6</v>
      </c>
      <c r="H21" s="21">
        <f t="shared" si="0"/>
        <v>0.6</v>
      </c>
      <c r="I21" s="21">
        <f t="shared" si="1"/>
        <v>6</v>
      </c>
      <c r="J21" s="21">
        <f t="shared" si="1"/>
        <v>6</v>
      </c>
      <c r="L21" s="1018">
        <f t="shared" si="2"/>
        <v>1.4999999999999999E-2</v>
      </c>
      <c r="M21" s="1018">
        <f t="shared" si="3"/>
        <v>0.6</v>
      </c>
    </row>
    <row r="22" spans="1:13" s="10" customFormat="1" ht="12" customHeight="1" x14ac:dyDescent="0.25">
      <c r="A22" s="180">
        <v>4</v>
      </c>
      <c r="B22" s="20" t="s">
        <v>31</v>
      </c>
      <c r="C22" s="111">
        <v>8.0000000000000002E-3</v>
      </c>
      <c r="D22" s="111">
        <v>8.0000000000000002E-3</v>
      </c>
      <c r="E22" s="408">
        <f>цены!F21</f>
        <v>710</v>
      </c>
      <c r="F22" s="408">
        <f>C22*E22</f>
        <v>5.68</v>
      </c>
      <c r="G22" s="97">
        <f t="shared" si="0"/>
        <v>0.08</v>
      </c>
      <c r="H22" s="21">
        <f t="shared" si="0"/>
        <v>0.08</v>
      </c>
      <c r="I22" s="21">
        <f t="shared" si="1"/>
        <v>0.8</v>
      </c>
      <c r="J22" s="21">
        <f t="shared" si="1"/>
        <v>0.8</v>
      </c>
      <c r="L22" s="1018">
        <f t="shared" si="2"/>
        <v>2E-3</v>
      </c>
      <c r="M22" s="1018">
        <f t="shared" si="3"/>
        <v>1.42</v>
      </c>
    </row>
    <row r="23" spans="1:13" s="10" customFormat="1" ht="12" customHeight="1" x14ac:dyDescent="0.25">
      <c r="A23" s="180">
        <v>5</v>
      </c>
      <c r="B23" s="20" t="s">
        <v>30</v>
      </c>
      <c r="C23" s="111">
        <v>0.01</v>
      </c>
      <c r="D23" s="111">
        <v>0.01</v>
      </c>
      <c r="E23" s="408">
        <f>цены!F107</f>
        <v>76</v>
      </c>
      <c r="F23" s="408">
        <f>C23*E23</f>
        <v>0.76</v>
      </c>
      <c r="G23" s="97">
        <f t="shared" si="0"/>
        <v>0.1</v>
      </c>
      <c r="H23" s="21">
        <f t="shared" si="0"/>
        <v>0.1</v>
      </c>
      <c r="I23" s="21">
        <f t="shared" si="1"/>
        <v>1</v>
      </c>
      <c r="J23" s="21">
        <f t="shared" si="1"/>
        <v>1</v>
      </c>
      <c r="L23" s="1018">
        <f t="shared" si="2"/>
        <v>2.5000000000000001E-3</v>
      </c>
      <c r="M23" s="1018">
        <f t="shared" si="3"/>
        <v>0.19</v>
      </c>
    </row>
    <row r="24" spans="1:13" s="10" customFormat="1" ht="12" customHeight="1" x14ac:dyDescent="0.25">
      <c r="A24" s="98"/>
      <c r="B24" s="93" t="s">
        <v>634</v>
      </c>
      <c r="C24" s="112"/>
      <c r="D24" s="112">
        <v>1</v>
      </c>
      <c r="E24" s="95"/>
      <c r="F24" s="95">
        <f>SUM(F19:F23)</f>
        <v>48.84</v>
      </c>
      <c r="G24" s="99"/>
      <c r="H24" s="100">
        <f>D24*10</f>
        <v>10</v>
      </c>
      <c r="I24" s="100"/>
      <c r="J24" s="100">
        <f>D24*100</f>
        <v>100</v>
      </c>
      <c r="L24" s="1018">
        <f>SUM(L19:L23)</f>
        <v>0.28199999999999997</v>
      </c>
      <c r="M24" s="1018">
        <f>SUM(M19:M23)</f>
        <v>12.21</v>
      </c>
    </row>
    <row r="25" spans="1:13" s="10" customFormat="1" ht="27.6" customHeight="1" x14ac:dyDescent="0.25">
      <c r="A25" s="1536" t="s">
        <v>35</v>
      </c>
      <c r="B25" s="1536"/>
      <c r="C25" s="90"/>
      <c r="D25" s="90"/>
      <c r="E25" s="408"/>
      <c r="F25" s="408">
        <f>F24</f>
        <v>48.84</v>
      </c>
      <c r="G25" s="591"/>
      <c r="H25" s="591"/>
      <c r="I25" s="21"/>
      <c r="J25" s="408"/>
    </row>
    <row r="26" spans="1:13" s="10" customFormat="1" ht="25.35" customHeight="1" x14ac:dyDescent="0.25">
      <c r="A26" s="1536" t="s">
        <v>36</v>
      </c>
      <c r="B26" s="1536"/>
      <c r="C26" s="90">
        <v>1000</v>
      </c>
      <c r="D26" s="90"/>
      <c r="E26" s="408"/>
      <c r="F26" s="408"/>
      <c r="G26" s="408"/>
      <c r="H26" s="408"/>
      <c r="I26" s="21"/>
      <c r="J26" s="17"/>
    </row>
    <row r="27" spans="1:13" s="10" customFormat="1" ht="25.35" customHeight="1" x14ac:dyDescent="0.25">
      <c r="A27" s="1537" t="s">
        <v>37</v>
      </c>
      <c r="B27" s="1538"/>
      <c r="C27" s="91">
        <v>250</v>
      </c>
      <c r="D27" s="92"/>
      <c r="E27" s="592"/>
      <c r="F27" s="592"/>
      <c r="G27" s="592"/>
      <c r="H27" s="592"/>
      <c r="I27" s="21"/>
      <c r="J27" s="17"/>
    </row>
    <row r="28" spans="1:13" s="10" customFormat="1" ht="15" customHeight="1" x14ac:dyDescent="0.25">
      <c r="A28" s="1539" t="s">
        <v>38</v>
      </c>
      <c r="B28" s="1540"/>
      <c r="C28" s="92">
        <f>C26/C27</f>
        <v>4</v>
      </c>
      <c r="D28" s="92"/>
      <c r="E28" s="592"/>
      <c r="F28" s="592"/>
      <c r="G28" s="592"/>
      <c r="H28" s="592"/>
      <c r="I28" s="21"/>
      <c r="J28" s="17"/>
    </row>
    <row r="29" spans="1:13" ht="16.350000000000001" customHeight="1" x14ac:dyDescent="0.25">
      <c r="A29" s="1541" t="s">
        <v>39</v>
      </c>
      <c r="B29" s="1542"/>
      <c r="C29" s="15" t="s">
        <v>40</v>
      </c>
      <c r="D29" s="102"/>
      <c r="E29" s="102" t="s">
        <v>40</v>
      </c>
      <c r="F29" s="16">
        <f>F25/C28</f>
        <v>12.21</v>
      </c>
      <c r="G29" s="16"/>
      <c r="H29" s="16"/>
      <c r="I29" s="102" t="s">
        <v>40</v>
      </c>
      <c r="J29" s="102" t="s">
        <v>40</v>
      </c>
    </row>
    <row r="30" spans="1:13" ht="23.1" customHeight="1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3" ht="13.95" customHeight="1" x14ac:dyDescent="0.25">
      <c r="A31" s="1193"/>
      <c r="B31" s="1194" t="s">
        <v>49</v>
      </c>
      <c r="C31" s="1198"/>
      <c r="D31" s="1198"/>
      <c r="E31" s="1198"/>
      <c r="F31" s="1198"/>
      <c r="G31" s="1193"/>
      <c r="H31" s="1560">
        <f>'1-бутерброд с маслом'!$H$28</f>
        <v>0</v>
      </c>
      <c r="I31" s="1560"/>
      <c r="J31" s="1560"/>
    </row>
    <row r="32" spans="1:13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545" t="s">
        <v>327</v>
      </c>
      <c r="B33" s="1545"/>
      <c r="C33" s="1546" t="s">
        <v>328</v>
      </c>
      <c r="D33" s="1546"/>
      <c r="E33" s="1546"/>
      <c r="F33" s="1546"/>
      <c r="G33" s="106"/>
      <c r="H33" s="1531"/>
      <c r="I33" s="1531"/>
      <c r="J33" s="1531"/>
    </row>
    <row r="34" spans="1:10" x14ac:dyDescent="0.25">
      <c r="A34" s="1193"/>
      <c r="B34" s="1193"/>
      <c r="C34" s="1546"/>
      <c r="D34" s="1546"/>
      <c r="E34" s="1546"/>
      <c r="F34" s="1546"/>
      <c r="G34" s="1193"/>
      <c r="H34" s="1531" t="s">
        <v>329</v>
      </c>
      <c r="I34" s="1531"/>
      <c r="J34" s="1531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</sheetData>
  <mergeCells count="28">
    <mergeCell ref="H31:J31"/>
    <mergeCell ref="A13:G13"/>
    <mergeCell ref="A26:B26"/>
    <mergeCell ref="A27:B27"/>
    <mergeCell ref="A28:B28"/>
    <mergeCell ref="A29:B29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3:B33"/>
    <mergeCell ref="C33:F34"/>
    <mergeCell ref="H33:J33"/>
    <mergeCell ref="H34:J34"/>
    <mergeCell ref="H5:I5"/>
    <mergeCell ref="A6:G6"/>
    <mergeCell ref="A7:I7"/>
    <mergeCell ref="A25:B25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38"/>
  <sheetViews>
    <sheetView view="pageBreakPreview" topLeftCell="A7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589" customWidth="1"/>
    <col min="2" max="2" width="24" style="589" customWidth="1"/>
    <col min="3" max="9" width="7.5546875" style="589" customWidth="1"/>
    <col min="10" max="10" width="9" style="589" customWidth="1"/>
    <col min="11" max="11" width="3.6640625" style="589" customWidth="1"/>
    <col min="12" max="16384" width="8.88671875" style="58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99)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121</v>
      </c>
    </row>
    <row r="8" spans="1:10" s="2" customFormat="1" ht="9.6" customHeight="1" x14ac:dyDescent="0.25">
      <c r="A8" s="594"/>
      <c r="B8" s="594"/>
      <c r="C8" s="594"/>
      <c r="D8" s="594"/>
      <c r="E8" s="594"/>
      <c r="F8" s="594"/>
      <c r="G8" s="594"/>
      <c r="H8" s="594"/>
      <c r="I8" s="594"/>
      <c r="J8" s="109"/>
    </row>
    <row r="9" spans="1:10" s="2" customFormat="1" ht="26.1" customHeight="1" x14ac:dyDescent="0.3">
      <c r="A9" s="1550" t="s">
        <v>889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'121-суп с манкой 90'!H14+1</f>
        <v>99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590" t="s">
        <v>92</v>
      </c>
      <c r="D17" s="590" t="s">
        <v>94</v>
      </c>
      <c r="E17" s="590" t="s">
        <v>93</v>
      </c>
      <c r="F17" s="590" t="s">
        <v>23</v>
      </c>
      <c r="G17" s="590" t="s">
        <v>92</v>
      </c>
      <c r="H17" s="590" t="s">
        <v>94</v>
      </c>
      <c r="I17" s="590" t="s">
        <v>92</v>
      </c>
      <c r="J17" s="590" t="s">
        <v>94</v>
      </c>
    </row>
    <row r="18" spans="1:13" ht="9.6" customHeight="1" x14ac:dyDescent="0.25">
      <c r="A18" s="590">
        <v>1</v>
      </c>
      <c r="B18" s="592">
        <v>2</v>
      </c>
      <c r="C18" s="590">
        <v>3</v>
      </c>
      <c r="D18" s="592">
        <v>4</v>
      </c>
      <c r="E18" s="590">
        <v>5</v>
      </c>
      <c r="F18" s="592">
        <v>6</v>
      </c>
      <c r="G18" s="592">
        <v>8</v>
      </c>
      <c r="H18" s="590">
        <v>9</v>
      </c>
      <c r="I18" s="592">
        <v>10</v>
      </c>
      <c r="J18" s="590">
        <v>11</v>
      </c>
    </row>
    <row r="19" spans="1:13" s="10" customFormat="1" ht="14.1" customHeight="1" x14ac:dyDescent="0.25">
      <c r="A19" s="180">
        <v>1</v>
      </c>
      <c r="B19" s="20" t="s">
        <v>34</v>
      </c>
      <c r="C19" s="111">
        <v>0.5</v>
      </c>
      <c r="D19" s="111">
        <v>0.5</v>
      </c>
      <c r="E19" s="408">
        <f>цены!F20</f>
        <v>80</v>
      </c>
      <c r="F19" s="408">
        <f>C19*E19</f>
        <v>40</v>
      </c>
      <c r="G19" s="97">
        <f t="shared" ref="G19:H23" si="0">C19*10</f>
        <v>5</v>
      </c>
      <c r="H19" s="21">
        <f t="shared" si="0"/>
        <v>5</v>
      </c>
      <c r="I19" s="21">
        <f t="shared" ref="I19:J23" si="1">C19*100</f>
        <v>50</v>
      </c>
      <c r="J19" s="21">
        <f t="shared" si="1"/>
        <v>50</v>
      </c>
      <c r="L19" s="1018">
        <f>C19/C$28</f>
        <v>0.125</v>
      </c>
      <c r="M19" s="1018">
        <f>F19/C$28</f>
        <v>10</v>
      </c>
    </row>
    <row r="20" spans="1:13" s="10" customFormat="1" ht="14.1" customHeight="1" x14ac:dyDescent="0.25">
      <c r="A20" s="180">
        <v>2</v>
      </c>
      <c r="B20" s="20" t="s">
        <v>28</v>
      </c>
      <c r="C20" s="111">
        <v>0.55000000000000004</v>
      </c>
      <c r="D20" s="111">
        <v>0.55000000000000004</v>
      </c>
      <c r="E20" s="408"/>
      <c r="F20" s="408">
        <f>C20*E20</f>
        <v>0</v>
      </c>
      <c r="G20" s="97">
        <f t="shared" si="0"/>
        <v>5.5</v>
      </c>
      <c r="H20" s="21">
        <f t="shared" si="0"/>
        <v>5.5</v>
      </c>
      <c r="I20" s="21">
        <f t="shared" si="1"/>
        <v>55</v>
      </c>
      <c r="J20" s="21">
        <f t="shared" si="1"/>
        <v>55</v>
      </c>
      <c r="L20" s="1018">
        <f t="shared" ref="L20:L23" si="2">C20/C$28</f>
        <v>0.13750000000000001</v>
      </c>
      <c r="M20" s="1018">
        <f t="shared" ref="M20:M23" si="3">F20/C$28</f>
        <v>0</v>
      </c>
    </row>
    <row r="21" spans="1:13" s="10" customFormat="1" ht="12" customHeight="1" x14ac:dyDescent="0.25">
      <c r="A21" s="180">
        <v>3</v>
      </c>
      <c r="B21" s="20" t="s">
        <v>379</v>
      </c>
      <c r="C21" s="111">
        <v>0.08</v>
      </c>
      <c r="D21" s="111">
        <v>0.08</v>
      </c>
      <c r="E21" s="408">
        <f>цены!F82</f>
        <v>60</v>
      </c>
      <c r="F21" s="408">
        <f>C21*E21</f>
        <v>4.8</v>
      </c>
      <c r="G21" s="97">
        <f t="shared" si="0"/>
        <v>0.8</v>
      </c>
      <c r="H21" s="21">
        <f t="shared" si="0"/>
        <v>0.8</v>
      </c>
      <c r="I21" s="21">
        <f t="shared" si="1"/>
        <v>8</v>
      </c>
      <c r="J21" s="21">
        <f t="shared" si="1"/>
        <v>8</v>
      </c>
      <c r="L21" s="1018">
        <f t="shared" si="2"/>
        <v>0.02</v>
      </c>
      <c r="M21" s="1018">
        <f t="shared" si="3"/>
        <v>1.2</v>
      </c>
    </row>
    <row r="22" spans="1:13" s="10" customFormat="1" ht="12" customHeight="1" x14ac:dyDescent="0.25">
      <c r="A22" s="180">
        <v>4</v>
      </c>
      <c r="B22" s="20" t="s">
        <v>31</v>
      </c>
      <c r="C22" s="111">
        <v>8.0000000000000002E-3</v>
      </c>
      <c r="D22" s="111">
        <v>8.0000000000000002E-3</v>
      </c>
      <c r="E22" s="408">
        <f>цены!F21</f>
        <v>710</v>
      </c>
      <c r="F22" s="408">
        <f>C22*E22</f>
        <v>5.68</v>
      </c>
      <c r="G22" s="97">
        <f t="shared" si="0"/>
        <v>0.08</v>
      </c>
      <c r="H22" s="21">
        <f t="shared" si="0"/>
        <v>0.08</v>
      </c>
      <c r="I22" s="21">
        <f t="shared" si="1"/>
        <v>0.8</v>
      </c>
      <c r="J22" s="21">
        <f t="shared" si="1"/>
        <v>0.8</v>
      </c>
      <c r="L22" s="1018">
        <f t="shared" si="2"/>
        <v>2E-3</v>
      </c>
      <c r="M22" s="1018">
        <f t="shared" si="3"/>
        <v>1.42</v>
      </c>
    </row>
    <row r="23" spans="1:13" s="10" customFormat="1" ht="12" customHeight="1" x14ac:dyDescent="0.25">
      <c r="A23" s="180">
        <v>5</v>
      </c>
      <c r="B23" s="20" t="s">
        <v>30</v>
      </c>
      <c r="C23" s="111">
        <v>0.01</v>
      </c>
      <c r="D23" s="111">
        <v>0.01</v>
      </c>
      <c r="E23" s="408">
        <f>цены!F107</f>
        <v>76</v>
      </c>
      <c r="F23" s="408">
        <f>C23*E23</f>
        <v>0.76</v>
      </c>
      <c r="G23" s="97">
        <f t="shared" si="0"/>
        <v>0.1</v>
      </c>
      <c r="H23" s="21">
        <f t="shared" si="0"/>
        <v>0.1</v>
      </c>
      <c r="I23" s="21">
        <f t="shared" si="1"/>
        <v>1</v>
      </c>
      <c r="J23" s="21">
        <f t="shared" si="1"/>
        <v>1</v>
      </c>
      <c r="L23" s="1018">
        <f t="shared" si="2"/>
        <v>2.5000000000000001E-3</v>
      </c>
      <c r="M23" s="1018">
        <f t="shared" si="3"/>
        <v>0.19</v>
      </c>
    </row>
    <row r="24" spans="1:13" s="10" customFormat="1" ht="12" customHeight="1" x14ac:dyDescent="0.25">
      <c r="A24" s="98"/>
      <c r="B24" s="93" t="s">
        <v>634</v>
      </c>
      <c r="C24" s="112"/>
      <c r="D24" s="112">
        <v>1</v>
      </c>
      <c r="E24" s="95"/>
      <c r="F24" s="95">
        <f>SUM(F19:F23)</f>
        <v>51.24</v>
      </c>
      <c r="G24" s="99"/>
      <c r="H24" s="100">
        <f>D24*10</f>
        <v>10</v>
      </c>
      <c r="I24" s="100"/>
      <c r="J24" s="100">
        <f>D24*100</f>
        <v>100</v>
      </c>
      <c r="L24" s="1018">
        <f>SUM(L19:L23)</f>
        <v>0.28699999999999998</v>
      </c>
      <c r="M24" s="1018">
        <f>SUM(M19:M23)</f>
        <v>12.81</v>
      </c>
    </row>
    <row r="25" spans="1:13" s="10" customFormat="1" ht="27.6" customHeight="1" x14ac:dyDescent="0.25">
      <c r="A25" s="1536" t="s">
        <v>35</v>
      </c>
      <c r="B25" s="1536"/>
      <c r="C25" s="90"/>
      <c r="D25" s="90"/>
      <c r="E25" s="408"/>
      <c r="F25" s="408">
        <f>F24</f>
        <v>51.24</v>
      </c>
      <c r="G25" s="591"/>
      <c r="H25" s="591"/>
      <c r="I25" s="21"/>
      <c r="J25" s="408"/>
    </row>
    <row r="26" spans="1:13" s="10" customFormat="1" ht="25.35" customHeight="1" x14ac:dyDescent="0.25">
      <c r="A26" s="1536" t="s">
        <v>36</v>
      </c>
      <c r="B26" s="1536"/>
      <c r="C26" s="90">
        <v>1000</v>
      </c>
      <c r="D26" s="90"/>
      <c r="E26" s="408"/>
      <c r="F26" s="408"/>
      <c r="G26" s="408"/>
      <c r="H26" s="408"/>
      <c r="I26" s="21"/>
      <c r="J26" s="17"/>
    </row>
    <row r="27" spans="1:13" s="10" customFormat="1" ht="25.35" customHeight="1" x14ac:dyDescent="0.25">
      <c r="A27" s="1537" t="s">
        <v>37</v>
      </c>
      <c r="B27" s="1538"/>
      <c r="C27" s="91">
        <v>250</v>
      </c>
      <c r="D27" s="92"/>
      <c r="E27" s="592"/>
      <c r="F27" s="592"/>
      <c r="G27" s="592"/>
      <c r="H27" s="592"/>
      <c r="I27" s="21"/>
      <c r="J27" s="17"/>
    </row>
    <row r="28" spans="1:13" s="10" customFormat="1" ht="15" customHeight="1" x14ac:dyDescent="0.25">
      <c r="A28" s="1539" t="s">
        <v>38</v>
      </c>
      <c r="B28" s="1540"/>
      <c r="C28" s="92">
        <f>C26/C27</f>
        <v>4</v>
      </c>
      <c r="D28" s="92"/>
      <c r="E28" s="592"/>
      <c r="F28" s="592"/>
      <c r="G28" s="592"/>
      <c r="H28" s="592"/>
      <c r="I28" s="21"/>
      <c r="J28" s="17"/>
    </row>
    <row r="29" spans="1:13" ht="16.350000000000001" customHeight="1" x14ac:dyDescent="0.25">
      <c r="A29" s="1541" t="s">
        <v>39</v>
      </c>
      <c r="B29" s="1542"/>
      <c r="C29" s="15" t="s">
        <v>40</v>
      </c>
      <c r="D29" s="102"/>
      <c r="E29" s="102" t="s">
        <v>40</v>
      </c>
      <c r="F29" s="16">
        <f>F25/C28</f>
        <v>12.81</v>
      </c>
      <c r="G29" s="16"/>
      <c r="H29" s="16"/>
      <c r="I29" s="102" t="s">
        <v>40</v>
      </c>
      <c r="J29" s="102" t="s">
        <v>40</v>
      </c>
    </row>
    <row r="30" spans="1:13" ht="23.1" customHeight="1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3" ht="13.95" customHeight="1" x14ac:dyDescent="0.25">
      <c r="A31" s="1193"/>
      <c r="B31" s="1194" t="s">
        <v>49</v>
      </c>
      <c r="C31" s="1198"/>
      <c r="D31" s="1198"/>
      <c r="E31" s="1198"/>
      <c r="F31" s="1198"/>
      <c r="G31" s="1193"/>
      <c r="H31" s="1560">
        <f>'1-бутерброд с маслом'!$H$28</f>
        <v>0</v>
      </c>
      <c r="I31" s="1560"/>
      <c r="J31" s="1560"/>
    </row>
    <row r="32" spans="1:13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545" t="s">
        <v>327</v>
      </c>
      <c r="B33" s="1545"/>
      <c r="C33" s="1546" t="s">
        <v>328</v>
      </c>
      <c r="D33" s="1546"/>
      <c r="E33" s="1546"/>
      <c r="F33" s="1546"/>
      <c r="G33" s="106"/>
      <c r="H33" s="1531"/>
      <c r="I33" s="1531"/>
      <c r="J33" s="1531"/>
    </row>
    <row r="34" spans="1:10" x14ac:dyDescent="0.25">
      <c r="A34" s="1193"/>
      <c r="B34" s="1193"/>
      <c r="C34" s="1546"/>
      <c r="D34" s="1546"/>
      <c r="E34" s="1546"/>
      <c r="F34" s="1546"/>
      <c r="G34" s="1193"/>
      <c r="H34" s="1531" t="s">
        <v>329</v>
      </c>
      <c r="I34" s="1531"/>
      <c r="J34" s="1531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</sheetData>
  <mergeCells count="28">
    <mergeCell ref="H31:J31"/>
    <mergeCell ref="A13:G13"/>
    <mergeCell ref="A26:B26"/>
    <mergeCell ref="A27:B27"/>
    <mergeCell ref="A28:B28"/>
    <mergeCell ref="A29:B29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3:B33"/>
    <mergeCell ref="C33:F34"/>
    <mergeCell ref="H33:J33"/>
    <mergeCell ref="H34:J34"/>
    <mergeCell ref="H5:I5"/>
    <mergeCell ref="A6:G6"/>
    <mergeCell ref="A7:I7"/>
    <mergeCell ref="A25:B25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M39"/>
  <sheetViews>
    <sheetView view="pageBreakPreview" topLeftCell="A5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2.4414062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100)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125</v>
      </c>
    </row>
    <row r="8" spans="1:10" s="2" customFormat="1" ht="9.6" customHeight="1" x14ac:dyDescent="0.25">
      <c r="A8" s="178"/>
      <c r="B8" s="178"/>
      <c r="C8" s="178"/>
      <c r="D8" s="178"/>
      <c r="E8" s="178"/>
      <c r="F8" s="178"/>
      <c r="G8" s="178"/>
      <c r="H8" s="178"/>
      <c r="I8" s="178"/>
      <c r="J8" s="109"/>
    </row>
    <row r="9" spans="1:10" s="2" customFormat="1" ht="26.1" customHeight="1" x14ac:dyDescent="0.3">
      <c r="A9" s="1550" t="s">
        <v>1268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 121-суп с пшеном '!H14+1</f>
        <v>100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176" t="s">
        <v>92</v>
      </c>
      <c r="D17" s="176" t="s">
        <v>94</v>
      </c>
      <c r="E17" s="176" t="s">
        <v>93</v>
      </c>
      <c r="F17" s="176" t="s">
        <v>23</v>
      </c>
      <c r="G17" s="176" t="s">
        <v>92</v>
      </c>
      <c r="H17" s="176" t="s">
        <v>94</v>
      </c>
      <c r="I17" s="176" t="s">
        <v>92</v>
      </c>
      <c r="J17" s="176" t="s">
        <v>94</v>
      </c>
    </row>
    <row r="18" spans="1:13" ht="9.6" customHeight="1" x14ac:dyDescent="0.25">
      <c r="A18" s="176">
        <v>1</v>
      </c>
      <c r="B18" s="177">
        <v>2</v>
      </c>
      <c r="C18" s="176">
        <v>3</v>
      </c>
      <c r="D18" s="177">
        <v>4</v>
      </c>
      <c r="E18" s="176">
        <v>5</v>
      </c>
      <c r="F18" s="177">
        <v>6</v>
      </c>
      <c r="G18" s="176">
        <v>7</v>
      </c>
      <c r="H18" s="177">
        <v>8</v>
      </c>
      <c r="I18" s="176">
        <v>9</v>
      </c>
      <c r="J18" s="177">
        <v>10</v>
      </c>
    </row>
    <row r="19" spans="1:13" s="10" customFormat="1" ht="14.1" customHeight="1" x14ac:dyDescent="0.25">
      <c r="A19" s="180">
        <v>1</v>
      </c>
      <c r="B19" s="20" t="s">
        <v>50</v>
      </c>
      <c r="C19" s="111">
        <v>0.13800000000000001</v>
      </c>
      <c r="D19" s="111">
        <v>0.10299999999999999</v>
      </c>
      <c r="E19" s="13">
        <f>цены!F35</f>
        <v>50</v>
      </c>
      <c r="F19" s="13">
        <f>C19*E19</f>
        <v>6.9</v>
      </c>
      <c r="G19" s="97">
        <f t="shared" ref="G19:H22" si="0">C19*10</f>
        <v>1.38</v>
      </c>
      <c r="H19" s="21">
        <f t="shared" si="0"/>
        <v>1.03</v>
      </c>
      <c r="I19" s="21">
        <f t="shared" ref="I19:J22" si="1">C19*100</f>
        <v>13.8</v>
      </c>
      <c r="J19" s="21">
        <f t="shared" si="1"/>
        <v>10.3</v>
      </c>
      <c r="L19" s="1018">
        <f>C19/C$29</f>
        <v>0.13800000000000001</v>
      </c>
      <c r="M19" s="1018">
        <f>F19/C$29</f>
        <v>6.9</v>
      </c>
    </row>
    <row r="20" spans="1:13" s="10" customFormat="1" ht="14.1" customHeight="1" x14ac:dyDescent="0.25">
      <c r="A20" s="180">
        <v>2</v>
      </c>
      <c r="B20" s="20" t="s">
        <v>350</v>
      </c>
      <c r="C20" s="111">
        <f>700/1000*D19</f>
        <v>7.2099999999999997E-2</v>
      </c>
      <c r="D20" s="111">
        <f>C20</f>
        <v>7.2099999999999997E-2</v>
      </c>
      <c r="E20" s="13"/>
      <c r="F20" s="13">
        <f>C20*E20</f>
        <v>0</v>
      </c>
      <c r="G20" s="97">
        <f t="shared" si="0"/>
        <v>0.72099999999999997</v>
      </c>
      <c r="H20" s="21">
        <f t="shared" si="0"/>
        <v>0.72099999999999997</v>
      </c>
      <c r="I20" s="21">
        <f t="shared" si="1"/>
        <v>7.21</v>
      </c>
      <c r="J20" s="21">
        <f t="shared" si="1"/>
        <v>7.21</v>
      </c>
      <c r="L20" s="1018">
        <f t="shared" ref="L20:L24" si="2">C20/C$29</f>
        <v>7.2099999999999997E-2</v>
      </c>
      <c r="M20" s="1018">
        <f t="shared" ref="M20:M24" si="3">F20/C$29</f>
        <v>0</v>
      </c>
    </row>
    <row r="21" spans="1:13" s="10" customFormat="1" ht="14.1" customHeight="1" x14ac:dyDescent="0.25">
      <c r="A21" s="180">
        <v>3</v>
      </c>
      <c r="B21" s="20" t="s">
        <v>124</v>
      </c>
      <c r="C21" s="111">
        <f>10/1000*C20</f>
        <v>6.9999999999999999E-4</v>
      </c>
      <c r="D21" s="111">
        <f>C21</f>
        <v>6.9999999999999999E-4</v>
      </c>
      <c r="E21" s="13">
        <f>цены!F110</f>
        <v>24</v>
      </c>
      <c r="F21" s="13">
        <f>C21*E21</f>
        <v>0.02</v>
      </c>
      <c r="G21" s="97">
        <f t="shared" si="0"/>
        <v>7.0000000000000001E-3</v>
      </c>
      <c r="H21" s="21">
        <f t="shared" si="0"/>
        <v>7.0000000000000001E-3</v>
      </c>
      <c r="I21" s="21">
        <f t="shared" si="1"/>
        <v>7.0000000000000007E-2</v>
      </c>
      <c r="J21" s="21">
        <f t="shared" si="1"/>
        <v>7.0000000000000007E-2</v>
      </c>
      <c r="L21" s="1018">
        <f t="shared" si="2"/>
        <v>6.9999999999999999E-4</v>
      </c>
      <c r="M21" s="1018">
        <f t="shared" si="3"/>
        <v>0.02</v>
      </c>
    </row>
    <row r="22" spans="1:13" s="10" customFormat="1" ht="14.1" customHeight="1" x14ac:dyDescent="0.25">
      <c r="A22" s="180">
        <v>4</v>
      </c>
      <c r="B22" s="20" t="s">
        <v>78</v>
      </c>
      <c r="C22" s="111">
        <v>2E-3</v>
      </c>
      <c r="D22" s="111">
        <v>2E-3</v>
      </c>
      <c r="E22" s="13">
        <f>цены!F48</f>
        <v>300</v>
      </c>
      <c r="F22" s="13">
        <f>C22*E22</f>
        <v>0.6</v>
      </c>
      <c r="G22" s="97">
        <f t="shared" si="0"/>
        <v>0.02</v>
      </c>
      <c r="H22" s="21">
        <f t="shared" si="0"/>
        <v>0.02</v>
      </c>
      <c r="I22" s="21">
        <f t="shared" si="1"/>
        <v>0.2</v>
      </c>
      <c r="J22" s="21">
        <f t="shared" si="1"/>
        <v>0.2</v>
      </c>
      <c r="L22" s="1018">
        <f t="shared" si="2"/>
        <v>2E-3</v>
      </c>
      <c r="M22" s="1018">
        <f t="shared" si="3"/>
        <v>0.6</v>
      </c>
    </row>
    <row r="23" spans="1:13" s="10" customFormat="1" ht="14.1" customHeight="1" x14ac:dyDescent="0.25">
      <c r="A23" s="190"/>
      <c r="B23" s="93" t="s">
        <v>348</v>
      </c>
      <c r="C23" s="191"/>
      <c r="D23" s="112">
        <v>0.1</v>
      </c>
      <c r="E23" s="192"/>
      <c r="F23" s="192">
        <f>SUM(F19:F22)</f>
        <v>7.52</v>
      </c>
      <c r="G23" s="99"/>
      <c r="H23" s="100">
        <f>D23*10</f>
        <v>1</v>
      </c>
      <c r="I23" s="100"/>
      <c r="J23" s="100">
        <f>D23*100</f>
        <v>10</v>
      </c>
      <c r="L23" s="1018"/>
      <c r="M23" s="1018"/>
    </row>
    <row r="24" spans="1:13" s="10" customFormat="1" ht="12" customHeight="1" x14ac:dyDescent="0.25">
      <c r="A24" s="180">
        <v>5</v>
      </c>
      <c r="B24" s="20" t="s">
        <v>349</v>
      </c>
      <c r="C24" s="111">
        <v>0.03</v>
      </c>
      <c r="D24" s="111">
        <v>0.03</v>
      </c>
      <c r="E24" s="13">
        <f>'330-соус сметанный'!F30</f>
        <v>61.41</v>
      </c>
      <c r="F24" s="408">
        <f>C24*E24</f>
        <v>1.84</v>
      </c>
      <c r="G24" s="97">
        <f>C24*10</f>
        <v>0.3</v>
      </c>
      <c r="H24" s="21">
        <f>D24*10</f>
        <v>0.3</v>
      </c>
      <c r="I24" s="21">
        <f>C24*100</f>
        <v>3</v>
      </c>
      <c r="J24" s="21">
        <f>D24*100</f>
        <v>3</v>
      </c>
      <c r="L24" s="1018">
        <f t="shared" si="2"/>
        <v>0.03</v>
      </c>
      <c r="M24" s="1018">
        <f t="shared" si="3"/>
        <v>1.84</v>
      </c>
    </row>
    <row r="25" spans="1:13" s="10" customFormat="1" ht="12" customHeight="1" x14ac:dyDescent="0.25">
      <c r="A25" s="98"/>
      <c r="B25" s="93" t="s">
        <v>100</v>
      </c>
      <c r="C25" s="112"/>
      <c r="D25" s="112">
        <v>0.13</v>
      </c>
      <c r="E25" s="95"/>
      <c r="F25" s="95">
        <f>F23+F24</f>
        <v>9.36</v>
      </c>
      <c r="G25" s="99"/>
      <c r="H25" s="100">
        <f>D25*10</f>
        <v>1.3</v>
      </c>
      <c r="I25" s="100"/>
      <c r="J25" s="100">
        <f>D25*100</f>
        <v>13</v>
      </c>
      <c r="L25" s="1018">
        <f>SUM(L19:L24)</f>
        <v>0.24279999999999999</v>
      </c>
      <c r="M25" s="1018">
        <f>SUM(M19:M24)</f>
        <v>9.36</v>
      </c>
    </row>
    <row r="26" spans="1:13" s="10" customFormat="1" ht="27.6" customHeight="1" x14ac:dyDescent="0.25">
      <c r="A26" s="1536" t="s">
        <v>35</v>
      </c>
      <c r="B26" s="1536"/>
      <c r="C26" s="90"/>
      <c r="D26" s="90"/>
      <c r="E26" s="13"/>
      <c r="F26" s="13">
        <f>F25</f>
        <v>9.36</v>
      </c>
      <c r="G26" s="175"/>
      <c r="H26" s="175"/>
      <c r="I26" s="21"/>
      <c r="J26" s="13"/>
    </row>
    <row r="27" spans="1:13" s="10" customFormat="1" ht="25.35" customHeight="1" x14ac:dyDescent="0.25">
      <c r="A27" s="1536" t="s">
        <v>36</v>
      </c>
      <c r="B27" s="1536"/>
      <c r="C27" s="90">
        <v>130</v>
      </c>
      <c r="D27" s="90"/>
      <c r="E27" s="13"/>
      <c r="F27" s="13"/>
      <c r="G27" s="13"/>
      <c r="H27" s="13"/>
      <c r="I27" s="21"/>
      <c r="J27" s="17"/>
    </row>
    <row r="28" spans="1:13" s="10" customFormat="1" ht="25.35" customHeight="1" x14ac:dyDescent="0.25">
      <c r="A28" s="1537" t="s">
        <v>357</v>
      </c>
      <c r="B28" s="1538"/>
      <c r="C28" s="91">
        <v>130</v>
      </c>
      <c r="D28" s="92"/>
      <c r="E28" s="177"/>
      <c r="F28" s="177"/>
      <c r="G28" s="177"/>
      <c r="H28" s="177"/>
      <c r="I28" s="21"/>
      <c r="J28" s="17"/>
    </row>
    <row r="29" spans="1:13" s="10" customFormat="1" ht="15" customHeight="1" x14ac:dyDescent="0.25">
      <c r="A29" s="1539" t="s">
        <v>38</v>
      </c>
      <c r="B29" s="1540"/>
      <c r="C29" s="92">
        <f>C27/C28</f>
        <v>1</v>
      </c>
      <c r="D29" s="92"/>
      <c r="E29" s="177"/>
      <c r="F29" s="177"/>
      <c r="G29" s="177"/>
      <c r="H29" s="177"/>
      <c r="I29" s="21"/>
      <c r="J29" s="17"/>
    </row>
    <row r="30" spans="1:13" ht="16.350000000000001" customHeight="1" x14ac:dyDescent="0.25">
      <c r="A30" s="1541" t="s">
        <v>39</v>
      </c>
      <c r="B30" s="1542"/>
      <c r="C30" s="15" t="s">
        <v>40</v>
      </c>
      <c r="D30" s="102"/>
      <c r="E30" s="102" t="s">
        <v>40</v>
      </c>
      <c r="F30" s="16">
        <f>F26/C29</f>
        <v>9.36</v>
      </c>
      <c r="G30" s="16"/>
      <c r="H30" s="16"/>
      <c r="I30" s="102" t="s">
        <v>40</v>
      </c>
      <c r="J30" s="102" t="s">
        <v>40</v>
      </c>
    </row>
    <row r="31" spans="1:13" ht="23.1" customHeight="1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3" ht="13.95" customHeight="1" x14ac:dyDescent="0.25">
      <c r="A32" s="1193"/>
      <c r="B32" s="1194" t="s">
        <v>49</v>
      </c>
      <c r="C32" s="1198"/>
      <c r="D32" s="1198"/>
      <c r="E32" s="1198"/>
      <c r="F32" s="1198"/>
      <c r="G32" s="1193"/>
      <c r="H32" s="1560">
        <f>'1-бутерброд с маслом'!$H$28</f>
        <v>0</v>
      </c>
      <c r="I32" s="1560"/>
      <c r="J32" s="1560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545" t="s">
        <v>327</v>
      </c>
      <c r="B34" s="1545"/>
      <c r="C34" s="1546" t="s">
        <v>328</v>
      </c>
      <c r="D34" s="1546"/>
      <c r="E34" s="1546"/>
      <c r="F34" s="1546"/>
      <c r="G34" s="106"/>
      <c r="H34" s="1531"/>
      <c r="I34" s="1531"/>
      <c r="J34" s="1531"/>
    </row>
    <row r="35" spans="1:10" x14ac:dyDescent="0.25">
      <c r="A35" s="1193"/>
      <c r="B35" s="1193"/>
      <c r="C35" s="1546"/>
      <c r="D35" s="1546"/>
      <c r="E35" s="1546"/>
      <c r="F35" s="1546"/>
      <c r="G35" s="1193"/>
      <c r="H35" s="1531" t="s">
        <v>329</v>
      </c>
      <c r="I35" s="1531"/>
      <c r="J35" s="1531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</sheetData>
  <mergeCells count="28">
    <mergeCell ref="H32:J32"/>
    <mergeCell ref="A13:G13"/>
    <mergeCell ref="A27:B27"/>
    <mergeCell ref="A28:B28"/>
    <mergeCell ref="A29:B29"/>
    <mergeCell ref="A30:B30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4:B34"/>
    <mergeCell ref="C34:F35"/>
    <mergeCell ref="H34:J34"/>
    <mergeCell ref="H35:J35"/>
    <mergeCell ref="H5:I5"/>
    <mergeCell ref="A6:G6"/>
    <mergeCell ref="A7:I7"/>
    <mergeCell ref="A26:B26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M41"/>
  <sheetViews>
    <sheetView view="pageBreakPreview" topLeftCell="A2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2.4414062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5546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101)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126</v>
      </c>
    </row>
    <row r="8" spans="1:10" s="2" customFormat="1" ht="9.6" customHeight="1" x14ac:dyDescent="0.25">
      <c r="A8" s="178"/>
      <c r="B8" s="178"/>
      <c r="C8" s="178"/>
      <c r="D8" s="178"/>
      <c r="E8" s="178"/>
      <c r="F8" s="178"/>
      <c r="G8" s="178"/>
      <c r="H8" s="178"/>
      <c r="I8" s="178"/>
      <c r="J8" s="109"/>
    </row>
    <row r="9" spans="1:10" s="2" customFormat="1" ht="26.1" customHeight="1" x14ac:dyDescent="0.3">
      <c r="A9" s="1550" t="s">
        <v>351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'125-картофель'!H14+1</f>
        <v>101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176" t="s">
        <v>92</v>
      </c>
      <c r="D17" s="176" t="s">
        <v>94</v>
      </c>
      <c r="E17" s="176" t="s">
        <v>93</v>
      </c>
      <c r="F17" s="176" t="s">
        <v>23</v>
      </c>
      <c r="G17" s="176" t="s">
        <v>92</v>
      </c>
      <c r="H17" s="176" t="s">
        <v>94</v>
      </c>
      <c r="I17" s="176" t="s">
        <v>92</v>
      </c>
      <c r="J17" s="176" t="s">
        <v>94</v>
      </c>
    </row>
    <row r="18" spans="1:13" ht="9.6" customHeight="1" x14ac:dyDescent="0.25">
      <c r="A18" s="176">
        <v>1</v>
      </c>
      <c r="B18" s="177">
        <v>2</v>
      </c>
      <c r="C18" s="176">
        <v>3</v>
      </c>
      <c r="D18" s="177">
        <v>4</v>
      </c>
      <c r="E18" s="176">
        <v>5</v>
      </c>
      <c r="F18" s="177">
        <v>6</v>
      </c>
      <c r="G18" s="176">
        <v>7</v>
      </c>
      <c r="H18" s="177">
        <v>8</v>
      </c>
      <c r="I18" s="176">
        <v>9</v>
      </c>
      <c r="J18" s="177">
        <v>10</v>
      </c>
    </row>
    <row r="19" spans="1:13" s="10" customFormat="1" ht="14.1" customHeight="1" x14ac:dyDescent="0.25">
      <c r="A19" s="180">
        <v>1</v>
      </c>
      <c r="B19" s="20" t="s">
        <v>50</v>
      </c>
      <c r="C19" s="111">
        <v>0.13800000000000001</v>
      </c>
      <c r="D19" s="111">
        <v>0.10299999999999999</v>
      </c>
      <c r="E19" s="13">
        <f>цены!F35</f>
        <v>50</v>
      </c>
      <c r="F19" s="13">
        <f>C19*E19</f>
        <v>6.9</v>
      </c>
      <c r="G19" s="97">
        <f t="shared" ref="G19:H21" si="0">C19*10</f>
        <v>1.38</v>
      </c>
      <c r="H19" s="21">
        <f t="shared" si="0"/>
        <v>1.03</v>
      </c>
      <c r="I19" s="21">
        <f t="shared" ref="I19:J21" si="1">C19*100</f>
        <v>13.8</v>
      </c>
      <c r="J19" s="21">
        <f t="shared" si="1"/>
        <v>10.3</v>
      </c>
      <c r="L19" s="1018">
        <f>C19/C$31</f>
        <v>0.13800000000000001</v>
      </c>
      <c r="M19" s="1018">
        <f>F19/C$31</f>
        <v>6.9</v>
      </c>
    </row>
    <row r="20" spans="1:13" s="10" customFormat="1" ht="14.1" customHeight="1" x14ac:dyDescent="0.25">
      <c r="A20" s="180">
        <v>2</v>
      </c>
      <c r="B20" s="20" t="s">
        <v>350</v>
      </c>
      <c r="C20" s="111">
        <f>700/1000*D19</f>
        <v>7.2099999999999997E-2</v>
      </c>
      <c r="D20" s="111">
        <f>C20</f>
        <v>7.2099999999999997E-2</v>
      </c>
      <c r="E20" s="13"/>
      <c r="F20" s="13">
        <f t="shared" ref="F20:F26" si="2">C20*E20</f>
        <v>0</v>
      </c>
      <c r="G20" s="97">
        <f t="shared" si="0"/>
        <v>0.72099999999999997</v>
      </c>
      <c r="H20" s="21">
        <f t="shared" si="0"/>
        <v>0.72099999999999997</v>
      </c>
      <c r="I20" s="21">
        <f t="shared" si="1"/>
        <v>7.21</v>
      </c>
      <c r="J20" s="21">
        <f t="shared" si="1"/>
        <v>7.21</v>
      </c>
      <c r="L20" s="1018">
        <f t="shared" ref="L20:L26" si="3">C20/C$31</f>
        <v>7.2099999999999997E-2</v>
      </c>
      <c r="M20" s="1018">
        <f t="shared" ref="M20:M26" si="4">F20/C$31</f>
        <v>0</v>
      </c>
    </row>
    <row r="21" spans="1:13" s="10" customFormat="1" ht="14.1" customHeight="1" x14ac:dyDescent="0.25">
      <c r="A21" s="180">
        <v>3</v>
      </c>
      <c r="B21" s="20" t="s">
        <v>124</v>
      </c>
      <c r="C21" s="111">
        <f>10/1000*C20</f>
        <v>6.9999999999999999E-4</v>
      </c>
      <c r="D21" s="111">
        <f>C21</f>
        <v>6.9999999999999999E-4</v>
      </c>
      <c r="E21" s="13">
        <f>цены!F110</f>
        <v>24</v>
      </c>
      <c r="F21" s="13">
        <f t="shared" si="2"/>
        <v>0.02</v>
      </c>
      <c r="G21" s="97">
        <f t="shared" si="0"/>
        <v>7.0000000000000001E-3</v>
      </c>
      <c r="H21" s="21">
        <f t="shared" si="0"/>
        <v>7.0000000000000001E-3</v>
      </c>
      <c r="I21" s="21">
        <f t="shared" si="1"/>
        <v>7.0000000000000007E-2</v>
      </c>
      <c r="J21" s="21">
        <f t="shared" si="1"/>
        <v>7.0000000000000007E-2</v>
      </c>
      <c r="L21" s="1018">
        <f t="shared" si="3"/>
        <v>6.9999999999999999E-4</v>
      </c>
      <c r="M21" s="1018">
        <f t="shared" si="4"/>
        <v>0.02</v>
      </c>
    </row>
    <row r="22" spans="1:13" s="10" customFormat="1" ht="14.1" customHeight="1" x14ac:dyDescent="0.25">
      <c r="A22" s="190"/>
      <c r="B22" s="93" t="s">
        <v>348</v>
      </c>
      <c r="C22" s="191"/>
      <c r="D22" s="112">
        <v>0.1</v>
      </c>
      <c r="E22" s="192"/>
      <c r="F22" s="192">
        <f>SUM(F19:F21)</f>
        <v>6.92</v>
      </c>
      <c r="G22" s="99"/>
      <c r="H22" s="100">
        <f t="shared" ref="H22:H27" si="5">D22*10</f>
        <v>1</v>
      </c>
      <c r="I22" s="100"/>
      <c r="J22" s="100">
        <f t="shared" ref="J22:J27" si="6">D22*100</f>
        <v>10</v>
      </c>
      <c r="L22" s="1018"/>
      <c r="M22" s="1018"/>
    </row>
    <row r="23" spans="1:13" s="10" customFormat="1" ht="14.1" customHeight="1" x14ac:dyDescent="0.25">
      <c r="A23" s="129">
        <v>4</v>
      </c>
      <c r="B23" s="123" t="s">
        <v>48</v>
      </c>
      <c r="C23" s="130">
        <v>3.5999999999999997E-2</v>
      </c>
      <c r="D23" s="130">
        <v>0.03</v>
      </c>
      <c r="E23" s="127">
        <f>цены!F38</f>
        <v>50</v>
      </c>
      <c r="F23" s="13">
        <f t="shared" si="2"/>
        <v>1.8</v>
      </c>
      <c r="G23" s="97">
        <f>C23*10</f>
        <v>0.36</v>
      </c>
      <c r="H23" s="21">
        <f t="shared" si="5"/>
        <v>0.3</v>
      </c>
      <c r="I23" s="21">
        <f>C23*100</f>
        <v>3.6</v>
      </c>
      <c r="J23" s="21">
        <f t="shared" si="6"/>
        <v>3</v>
      </c>
      <c r="L23" s="1018">
        <f t="shared" si="3"/>
        <v>3.5999999999999997E-2</v>
      </c>
      <c r="M23" s="1018">
        <f t="shared" si="4"/>
        <v>1.8</v>
      </c>
    </row>
    <row r="24" spans="1:13" s="10" customFormat="1" ht="14.1" customHeight="1" x14ac:dyDescent="0.25">
      <c r="A24" s="129">
        <v>5</v>
      </c>
      <c r="B24" s="123" t="s">
        <v>74</v>
      </c>
      <c r="C24" s="130">
        <v>5.0000000000000001E-3</v>
      </c>
      <c r="D24" s="130">
        <v>5.0000000000000001E-3</v>
      </c>
      <c r="E24" s="127">
        <f>цены!F87</f>
        <v>120</v>
      </c>
      <c r="F24" s="13">
        <f t="shared" si="2"/>
        <v>0.6</v>
      </c>
      <c r="G24" s="97">
        <f>C24*10</f>
        <v>0.05</v>
      </c>
      <c r="H24" s="21">
        <f t="shared" si="5"/>
        <v>0.05</v>
      </c>
      <c r="I24" s="21">
        <f>C24*100</f>
        <v>0.5</v>
      </c>
      <c r="J24" s="21">
        <f t="shared" si="6"/>
        <v>0.5</v>
      </c>
      <c r="L24" s="1018">
        <f t="shared" si="3"/>
        <v>5.0000000000000001E-3</v>
      </c>
      <c r="M24" s="1018">
        <f t="shared" si="4"/>
        <v>0.6</v>
      </c>
    </row>
    <row r="25" spans="1:13" s="10" customFormat="1" ht="14.1" customHeight="1" x14ac:dyDescent="0.25">
      <c r="A25" s="190"/>
      <c r="B25" s="93" t="s">
        <v>178</v>
      </c>
      <c r="C25" s="191"/>
      <c r="D25" s="191">
        <v>1.4999999999999999E-2</v>
      </c>
      <c r="E25" s="192"/>
      <c r="F25" s="192"/>
      <c r="G25" s="99"/>
      <c r="H25" s="100">
        <f t="shared" si="5"/>
        <v>0.15</v>
      </c>
      <c r="I25" s="100"/>
      <c r="J25" s="100">
        <f t="shared" si="6"/>
        <v>1.5</v>
      </c>
      <c r="L25" s="1018"/>
      <c r="M25" s="1018"/>
    </row>
    <row r="26" spans="1:13" s="10" customFormat="1" ht="12" customHeight="1" x14ac:dyDescent="0.25">
      <c r="A26" s="180">
        <v>6</v>
      </c>
      <c r="B26" s="20" t="s">
        <v>78</v>
      </c>
      <c r="C26" s="111">
        <f>0.002</f>
        <v>2E-3</v>
      </c>
      <c r="D26" s="111">
        <v>2E-3</v>
      </c>
      <c r="E26" s="13">
        <f>цены!F48</f>
        <v>300</v>
      </c>
      <c r="F26" s="13">
        <f t="shared" si="2"/>
        <v>0.6</v>
      </c>
      <c r="G26" s="97">
        <f>C26*10</f>
        <v>0.02</v>
      </c>
      <c r="H26" s="21">
        <f t="shared" si="5"/>
        <v>0.02</v>
      </c>
      <c r="I26" s="21">
        <f>C26*100</f>
        <v>0.2</v>
      </c>
      <c r="J26" s="21">
        <f t="shared" si="6"/>
        <v>0.2</v>
      </c>
      <c r="L26" s="1018">
        <f t="shared" si="3"/>
        <v>2E-3</v>
      </c>
      <c r="M26" s="1018">
        <f t="shared" si="4"/>
        <v>0.6</v>
      </c>
    </row>
    <row r="27" spans="1:13" s="10" customFormat="1" ht="12" customHeight="1" x14ac:dyDescent="0.25">
      <c r="A27" s="98"/>
      <c r="B27" s="93" t="s">
        <v>100</v>
      </c>
      <c r="C27" s="112"/>
      <c r="D27" s="112">
        <v>0.115</v>
      </c>
      <c r="E27" s="95"/>
      <c r="F27" s="95">
        <f>F22+F23+F24+F26</f>
        <v>9.92</v>
      </c>
      <c r="G27" s="99"/>
      <c r="H27" s="100">
        <f t="shared" si="5"/>
        <v>1.1499999999999999</v>
      </c>
      <c r="I27" s="100"/>
      <c r="J27" s="100">
        <f t="shared" si="6"/>
        <v>11.5</v>
      </c>
      <c r="L27" s="1018">
        <f>SUM(L19:L26)</f>
        <v>0.25380000000000003</v>
      </c>
      <c r="M27" s="1018">
        <f>SUM(M19:M26)</f>
        <v>9.92</v>
      </c>
    </row>
    <row r="28" spans="1:13" s="10" customFormat="1" ht="20.399999999999999" customHeight="1" x14ac:dyDescent="0.25">
      <c r="A28" s="1536" t="s">
        <v>35</v>
      </c>
      <c r="B28" s="1536"/>
      <c r="C28" s="90"/>
      <c r="D28" s="90"/>
      <c r="E28" s="13"/>
      <c r="F28" s="13">
        <f>F27</f>
        <v>9.92</v>
      </c>
      <c r="G28" s="175"/>
      <c r="H28" s="175"/>
      <c r="I28" s="21"/>
      <c r="J28" s="13"/>
    </row>
    <row r="29" spans="1:13" s="10" customFormat="1" ht="19.350000000000001" customHeight="1" x14ac:dyDescent="0.25">
      <c r="A29" s="1536" t="s">
        <v>36</v>
      </c>
      <c r="B29" s="1536"/>
      <c r="C29" s="90">
        <v>115</v>
      </c>
      <c r="D29" s="90"/>
      <c r="E29" s="13"/>
      <c r="F29" s="13"/>
      <c r="G29" s="13"/>
      <c r="H29" s="13"/>
      <c r="I29" s="21"/>
      <c r="J29" s="17"/>
    </row>
    <row r="30" spans="1:13" s="10" customFormat="1" ht="25.35" customHeight="1" x14ac:dyDescent="0.25">
      <c r="A30" s="1537" t="s">
        <v>37</v>
      </c>
      <c r="B30" s="1538"/>
      <c r="C30" s="91">
        <v>115</v>
      </c>
      <c r="D30" s="92"/>
      <c r="E30" s="177"/>
      <c r="F30" s="177"/>
      <c r="G30" s="177"/>
      <c r="H30" s="177"/>
      <c r="I30" s="21"/>
      <c r="J30" s="17"/>
    </row>
    <row r="31" spans="1:13" s="10" customFormat="1" ht="15" customHeight="1" x14ac:dyDescent="0.25">
      <c r="A31" s="1539" t="s">
        <v>38</v>
      </c>
      <c r="B31" s="1540"/>
      <c r="C31" s="92">
        <f>C29/C30</f>
        <v>1</v>
      </c>
      <c r="D31" s="92"/>
      <c r="E31" s="177"/>
      <c r="F31" s="177"/>
      <c r="G31" s="177"/>
      <c r="H31" s="177"/>
      <c r="I31" s="21"/>
      <c r="J31" s="17"/>
    </row>
    <row r="32" spans="1:13" ht="16.350000000000001" customHeight="1" x14ac:dyDescent="0.25">
      <c r="A32" s="1541" t="s">
        <v>39</v>
      </c>
      <c r="B32" s="1542"/>
      <c r="C32" s="15" t="s">
        <v>40</v>
      </c>
      <c r="D32" s="102"/>
      <c r="E32" s="102" t="s">
        <v>40</v>
      </c>
      <c r="F32" s="16">
        <f>F28/C31</f>
        <v>9.92</v>
      </c>
      <c r="G32" s="16"/>
      <c r="H32" s="16"/>
      <c r="I32" s="102" t="s">
        <v>40</v>
      </c>
      <c r="J32" s="102" t="s">
        <v>40</v>
      </c>
    </row>
    <row r="33" spans="1:10" ht="23.1" customHeight="1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193"/>
      <c r="B34" s="1194" t="s">
        <v>49</v>
      </c>
      <c r="C34" s="1198"/>
      <c r="D34" s="1198"/>
      <c r="E34" s="1198"/>
      <c r="F34" s="1198"/>
      <c r="G34" s="1193"/>
      <c r="H34" s="1560">
        <f>'1-бутерброд с маслом'!$H$28</f>
        <v>0</v>
      </c>
      <c r="I34" s="1560"/>
      <c r="J34" s="1560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545" t="s">
        <v>327</v>
      </c>
      <c r="B36" s="1545"/>
      <c r="C36" s="1546" t="s">
        <v>328</v>
      </c>
      <c r="D36" s="1546"/>
      <c r="E36" s="1546"/>
      <c r="F36" s="1546"/>
      <c r="G36" s="106"/>
      <c r="H36" s="1531"/>
      <c r="I36" s="1531"/>
      <c r="J36" s="1531"/>
    </row>
    <row r="37" spans="1:10" x14ac:dyDescent="0.25">
      <c r="A37" s="1193"/>
      <c r="B37" s="1193"/>
      <c r="C37" s="1546"/>
      <c r="D37" s="1546"/>
      <c r="E37" s="1546"/>
      <c r="F37" s="1546"/>
      <c r="G37" s="1193"/>
      <c r="H37" s="1531" t="s">
        <v>329</v>
      </c>
      <c r="I37" s="1531"/>
      <c r="J37" s="1531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</sheetData>
  <mergeCells count="28">
    <mergeCell ref="H34:J34"/>
    <mergeCell ref="A13:G13"/>
    <mergeCell ref="A29:B29"/>
    <mergeCell ref="A30:B30"/>
    <mergeCell ref="A31:B31"/>
    <mergeCell ref="A32:B32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6:B36"/>
    <mergeCell ref="C36:F37"/>
    <mergeCell ref="H36:J36"/>
    <mergeCell ref="H37:J37"/>
    <mergeCell ref="H5:I5"/>
    <mergeCell ref="A6:G6"/>
    <mergeCell ref="A7:I7"/>
    <mergeCell ref="A28:B28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M39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2.4414062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2.441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102)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127</v>
      </c>
    </row>
    <row r="8" spans="1:10" s="2" customFormat="1" ht="9.6" customHeight="1" x14ac:dyDescent="0.25">
      <c r="A8" s="178"/>
      <c r="B8" s="178"/>
      <c r="C8" s="178"/>
      <c r="D8" s="178"/>
      <c r="E8" s="178"/>
      <c r="F8" s="178"/>
      <c r="G8" s="178"/>
      <c r="H8" s="178"/>
      <c r="I8" s="178"/>
      <c r="J8" s="109"/>
    </row>
    <row r="9" spans="1:10" s="2" customFormat="1" ht="26.1" customHeight="1" x14ac:dyDescent="0.3">
      <c r="A9" s="1550" t="s">
        <v>352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'126-картофель с луком'!H14+1</f>
        <v>102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176" t="s">
        <v>92</v>
      </c>
      <c r="D17" s="176" t="s">
        <v>94</v>
      </c>
      <c r="E17" s="176" t="s">
        <v>93</v>
      </c>
      <c r="F17" s="176" t="s">
        <v>23</v>
      </c>
      <c r="G17" s="176" t="s">
        <v>92</v>
      </c>
      <c r="H17" s="176" t="s">
        <v>94</v>
      </c>
      <c r="I17" s="176" t="s">
        <v>92</v>
      </c>
      <c r="J17" s="176" t="s">
        <v>94</v>
      </c>
    </row>
    <row r="18" spans="1:13" ht="9.6" customHeight="1" x14ac:dyDescent="0.25">
      <c r="A18" s="176">
        <v>1</v>
      </c>
      <c r="B18" s="177">
        <v>2</v>
      </c>
      <c r="C18" s="176">
        <v>3</v>
      </c>
      <c r="D18" s="177">
        <v>4</v>
      </c>
      <c r="E18" s="176">
        <v>5</v>
      </c>
      <c r="F18" s="177">
        <v>6</v>
      </c>
      <c r="G18" s="176">
        <v>7</v>
      </c>
      <c r="H18" s="177">
        <v>8</v>
      </c>
      <c r="I18" s="176">
        <v>9</v>
      </c>
      <c r="J18" s="177">
        <v>10</v>
      </c>
    </row>
    <row r="19" spans="1:13" s="10" customFormat="1" ht="14.1" customHeight="1" x14ac:dyDescent="0.25">
      <c r="A19" s="180">
        <v>1</v>
      </c>
      <c r="B19" s="20" t="s">
        <v>50</v>
      </c>
      <c r="C19" s="111">
        <v>9.4E-2</v>
      </c>
      <c r="D19" s="111">
        <v>7.0000000000000007E-2</v>
      </c>
      <c r="E19" s="13">
        <f>цены!F35</f>
        <v>50</v>
      </c>
      <c r="F19" s="13">
        <f t="shared" ref="F19:F24" si="0">C19*E19</f>
        <v>4.7</v>
      </c>
      <c r="G19" s="97">
        <f t="shared" ref="G19:H24" si="1">C19*10</f>
        <v>0.94</v>
      </c>
      <c r="H19" s="21">
        <f t="shared" si="1"/>
        <v>0.7</v>
      </c>
      <c r="I19" s="21">
        <f t="shared" ref="I19:J24" si="2">C19*100</f>
        <v>9.4</v>
      </c>
      <c r="J19" s="21">
        <f t="shared" si="2"/>
        <v>7</v>
      </c>
      <c r="L19" s="1018">
        <f>C19/C$29</f>
        <v>9.4E-2</v>
      </c>
      <c r="M19" s="1018">
        <f>F19/C$29</f>
        <v>4.7</v>
      </c>
    </row>
    <row r="20" spans="1:13" s="10" customFormat="1" ht="14.1" customHeight="1" x14ac:dyDescent="0.25">
      <c r="A20" s="180">
        <v>2</v>
      </c>
      <c r="B20" s="20" t="s">
        <v>350</v>
      </c>
      <c r="C20" s="111">
        <f>700/1000*D19</f>
        <v>4.9000000000000002E-2</v>
      </c>
      <c r="D20" s="111">
        <f>C20</f>
        <v>4.9000000000000002E-2</v>
      </c>
      <c r="E20" s="13"/>
      <c r="F20" s="13">
        <f t="shared" si="0"/>
        <v>0</v>
      </c>
      <c r="G20" s="97">
        <f t="shared" si="1"/>
        <v>0.49</v>
      </c>
      <c r="H20" s="21">
        <f t="shared" si="1"/>
        <v>0.49</v>
      </c>
      <c r="I20" s="21">
        <f t="shared" si="2"/>
        <v>4.9000000000000004</v>
      </c>
      <c r="J20" s="21">
        <f t="shared" si="2"/>
        <v>4.9000000000000004</v>
      </c>
      <c r="L20" s="1018">
        <f t="shared" ref="L20:L24" si="3">C20/C$29</f>
        <v>4.9000000000000002E-2</v>
      </c>
      <c r="M20" s="1018">
        <f t="shared" ref="M20:M24" si="4">F20/C$29</f>
        <v>0</v>
      </c>
    </row>
    <row r="21" spans="1:13" s="10" customFormat="1" ht="14.1" customHeight="1" x14ac:dyDescent="0.25">
      <c r="A21" s="180">
        <v>3</v>
      </c>
      <c r="B21" s="20" t="s">
        <v>124</v>
      </c>
      <c r="C21" s="111">
        <f>10/1000*C20</f>
        <v>5.0000000000000001E-4</v>
      </c>
      <c r="D21" s="111">
        <f>C21</f>
        <v>5.0000000000000001E-4</v>
      </c>
      <c r="E21" s="13">
        <f>цены!F110</f>
        <v>24</v>
      </c>
      <c r="F21" s="13">
        <f t="shared" si="0"/>
        <v>0.01</v>
      </c>
      <c r="G21" s="97">
        <f t="shared" si="1"/>
        <v>5.0000000000000001E-3</v>
      </c>
      <c r="H21" s="21">
        <f t="shared" si="1"/>
        <v>5.0000000000000001E-3</v>
      </c>
      <c r="I21" s="21">
        <f t="shared" si="2"/>
        <v>0.05</v>
      </c>
      <c r="J21" s="21">
        <f t="shared" si="2"/>
        <v>0.05</v>
      </c>
      <c r="L21" s="1018">
        <f t="shared" si="3"/>
        <v>5.0000000000000001E-4</v>
      </c>
      <c r="M21" s="1018">
        <f t="shared" si="4"/>
        <v>0.01</v>
      </c>
    </row>
    <row r="22" spans="1:13" s="10" customFormat="1" ht="14.1" customHeight="1" x14ac:dyDescent="0.25">
      <c r="A22" s="180">
        <v>4</v>
      </c>
      <c r="B22" s="20" t="s">
        <v>34</v>
      </c>
      <c r="C22" s="111">
        <v>0.03</v>
      </c>
      <c r="D22" s="111">
        <v>2.9000000000000001E-2</v>
      </c>
      <c r="E22" s="13">
        <f>цены!F20</f>
        <v>80</v>
      </c>
      <c r="F22" s="13">
        <f t="shared" si="0"/>
        <v>2.4</v>
      </c>
      <c r="G22" s="97">
        <f t="shared" si="1"/>
        <v>0.3</v>
      </c>
      <c r="H22" s="21">
        <f t="shared" si="1"/>
        <v>0.28999999999999998</v>
      </c>
      <c r="I22" s="21">
        <f t="shared" si="2"/>
        <v>3</v>
      </c>
      <c r="J22" s="21">
        <f t="shared" si="2"/>
        <v>2.9</v>
      </c>
      <c r="L22" s="1018">
        <f t="shared" si="3"/>
        <v>0.03</v>
      </c>
      <c r="M22" s="1018">
        <f t="shared" si="4"/>
        <v>2.4</v>
      </c>
    </row>
    <row r="23" spans="1:13" s="10" customFormat="1" ht="14.1" customHeight="1" x14ac:dyDescent="0.25">
      <c r="A23" s="180">
        <v>5</v>
      </c>
      <c r="B23" s="20" t="s">
        <v>31</v>
      </c>
      <c r="C23" s="111">
        <v>4.0000000000000001E-3</v>
      </c>
      <c r="D23" s="111">
        <v>4.0000000000000001E-3</v>
      </c>
      <c r="E23" s="13">
        <f>цены!F21</f>
        <v>710</v>
      </c>
      <c r="F23" s="13">
        <f t="shared" si="0"/>
        <v>2.84</v>
      </c>
      <c r="G23" s="97">
        <f t="shared" si="1"/>
        <v>0.04</v>
      </c>
      <c r="H23" s="21">
        <f t="shared" si="1"/>
        <v>0.04</v>
      </c>
      <c r="I23" s="21">
        <f t="shared" si="2"/>
        <v>0.4</v>
      </c>
      <c r="J23" s="21">
        <f t="shared" si="2"/>
        <v>0.4</v>
      </c>
      <c r="L23" s="1018">
        <f t="shared" si="3"/>
        <v>4.0000000000000001E-3</v>
      </c>
      <c r="M23" s="1018">
        <f t="shared" si="4"/>
        <v>2.84</v>
      </c>
    </row>
    <row r="24" spans="1:13" s="10" customFormat="1" ht="12" customHeight="1" x14ac:dyDescent="0.25">
      <c r="A24" s="180">
        <v>6</v>
      </c>
      <c r="B24" s="20" t="s">
        <v>78</v>
      </c>
      <c r="C24" s="111">
        <f>0.002</f>
        <v>2E-3</v>
      </c>
      <c r="D24" s="111">
        <v>2E-3</v>
      </c>
      <c r="E24" s="13">
        <f>цены!F48</f>
        <v>300</v>
      </c>
      <c r="F24" s="13">
        <f t="shared" si="0"/>
        <v>0.6</v>
      </c>
      <c r="G24" s="97">
        <f t="shared" si="1"/>
        <v>0.02</v>
      </c>
      <c r="H24" s="21">
        <f t="shared" si="1"/>
        <v>0.02</v>
      </c>
      <c r="I24" s="21">
        <f t="shared" si="2"/>
        <v>0.2</v>
      </c>
      <c r="J24" s="21">
        <f t="shared" si="2"/>
        <v>0.2</v>
      </c>
      <c r="L24" s="1018">
        <f t="shared" si="3"/>
        <v>2E-3</v>
      </c>
      <c r="M24" s="1018">
        <f t="shared" si="4"/>
        <v>0.6</v>
      </c>
    </row>
    <row r="25" spans="1:13" s="10" customFormat="1" ht="12" customHeight="1" x14ac:dyDescent="0.25">
      <c r="A25" s="98"/>
      <c r="B25" s="93" t="s">
        <v>100</v>
      </c>
      <c r="C25" s="112"/>
      <c r="D25" s="112">
        <v>0.1</v>
      </c>
      <c r="E25" s="95"/>
      <c r="F25" s="95">
        <f>SUM(F19:F24)</f>
        <v>10.55</v>
      </c>
      <c r="G25" s="99"/>
      <c r="H25" s="100">
        <f>D25*10</f>
        <v>1</v>
      </c>
      <c r="I25" s="100"/>
      <c r="J25" s="100">
        <f>D25*100</f>
        <v>10</v>
      </c>
      <c r="L25" s="1018">
        <f>SUM(L19:L24)</f>
        <v>0.17949999999999999</v>
      </c>
      <c r="M25" s="1018">
        <f>SUM(M19:M24)</f>
        <v>10.55</v>
      </c>
    </row>
    <row r="26" spans="1:13" s="10" customFormat="1" ht="20.399999999999999" customHeight="1" x14ac:dyDescent="0.25">
      <c r="A26" s="1536" t="s">
        <v>35</v>
      </c>
      <c r="B26" s="1536"/>
      <c r="C26" s="90"/>
      <c r="D26" s="90"/>
      <c r="E26" s="13"/>
      <c r="F26" s="13">
        <f>F25</f>
        <v>10.55</v>
      </c>
      <c r="G26" s="175"/>
      <c r="H26" s="175"/>
      <c r="I26" s="21"/>
      <c r="J26" s="13"/>
    </row>
    <row r="27" spans="1:13" s="10" customFormat="1" ht="19.350000000000001" customHeight="1" x14ac:dyDescent="0.25">
      <c r="A27" s="1536" t="s">
        <v>36</v>
      </c>
      <c r="B27" s="1536"/>
      <c r="C27" s="90">
        <v>100</v>
      </c>
      <c r="D27" s="90"/>
      <c r="E27" s="13"/>
      <c r="F27" s="13"/>
      <c r="G27" s="13"/>
      <c r="H27" s="13"/>
      <c r="I27" s="21"/>
      <c r="J27" s="17"/>
    </row>
    <row r="28" spans="1:13" s="10" customFormat="1" ht="25.35" customHeight="1" x14ac:dyDescent="0.25">
      <c r="A28" s="1537" t="s">
        <v>37</v>
      </c>
      <c r="B28" s="1538"/>
      <c r="C28" s="91">
        <v>100</v>
      </c>
      <c r="D28" s="92"/>
      <c r="E28" s="177"/>
      <c r="F28" s="177"/>
      <c r="G28" s="177"/>
      <c r="H28" s="177"/>
      <c r="I28" s="21"/>
      <c r="J28" s="17"/>
    </row>
    <row r="29" spans="1:13" s="10" customFormat="1" ht="15" customHeight="1" x14ac:dyDescent="0.25">
      <c r="A29" s="1539" t="s">
        <v>38</v>
      </c>
      <c r="B29" s="1540"/>
      <c r="C29" s="92">
        <f>C27/C28</f>
        <v>1</v>
      </c>
      <c r="D29" s="92"/>
      <c r="E29" s="177"/>
      <c r="F29" s="177"/>
      <c r="G29" s="177"/>
      <c r="H29" s="177"/>
      <c r="I29" s="21"/>
      <c r="J29" s="17"/>
    </row>
    <row r="30" spans="1:13" ht="16.350000000000001" customHeight="1" x14ac:dyDescent="0.25">
      <c r="A30" s="1541" t="s">
        <v>39</v>
      </c>
      <c r="B30" s="1542"/>
      <c r="C30" s="15" t="s">
        <v>40</v>
      </c>
      <c r="D30" s="102"/>
      <c r="E30" s="102" t="s">
        <v>40</v>
      </c>
      <c r="F30" s="16">
        <f>F26/C29</f>
        <v>10.55</v>
      </c>
      <c r="G30" s="16"/>
      <c r="H30" s="16"/>
      <c r="I30" s="102" t="s">
        <v>40</v>
      </c>
      <c r="J30" s="102" t="s">
        <v>40</v>
      </c>
    </row>
    <row r="31" spans="1:13" ht="23.1" customHeight="1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3" ht="13.95" customHeight="1" x14ac:dyDescent="0.25">
      <c r="A32" s="1193"/>
      <c r="B32" s="1194" t="s">
        <v>49</v>
      </c>
      <c r="C32" s="1198"/>
      <c r="D32" s="1198"/>
      <c r="E32" s="1198"/>
      <c r="F32" s="1198"/>
      <c r="G32" s="1193"/>
      <c r="H32" s="1560">
        <f>'1-бутерброд с маслом'!$H$28</f>
        <v>0</v>
      </c>
      <c r="I32" s="1560"/>
      <c r="J32" s="1560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545" t="s">
        <v>327</v>
      </c>
      <c r="B34" s="1545"/>
      <c r="C34" s="1546" t="s">
        <v>328</v>
      </c>
      <c r="D34" s="1546"/>
      <c r="E34" s="1546"/>
      <c r="F34" s="1546"/>
      <c r="G34" s="106"/>
      <c r="H34" s="1531"/>
      <c r="I34" s="1531"/>
      <c r="J34" s="1531"/>
    </row>
    <row r="35" spans="1:10" x14ac:dyDescent="0.25">
      <c r="A35" s="1193"/>
      <c r="B35" s="1193"/>
      <c r="C35" s="1546"/>
      <c r="D35" s="1546"/>
      <c r="E35" s="1546"/>
      <c r="F35" s="1546"/>
      <c r="G35" s="1193"/>
      <c r="H35" s="1531" t="s">
        <v>329</v>
      </c>
      <c r="I35" s="1531"/>
      <c r="J35" s="1531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</sheetData>
  <mergeCells count="28">
    <mergeCell ref="H32:J32"/>
    <mergeCell ref="A13:G13"/>
    <mergeCell ref="A27:B27"/>
    <mergeCell ref="A28:B28"/>
    <mergeCell ref="A29:B29"/>
    <mergeCell ref="A30:B30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4:B34"/>
    <mergeCell ref="C34:F35"/>
    <mergeCell ref="H34:J34"/>
    <mergeCell ref="H35:J35"/>
    <mergeCell ref="H5:I5"/>
    <mergeCell ref="A6:G6"/>
    <mergeCell ref="A7:I7"/>
    <mergeCell ref="A26:B26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M43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886718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441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103)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128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640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'127-картофель в молоке'!H14+1</f>
        <v>103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3" ht="9.6" customHeight="1" x14ac:dyDescent="0.25">
      <c r="A18" s="96">
        <v>1</v>
      </c>
      <c r="B18" s="5">
        <v>2</v>
      </c>
      <c r="C18" s="176">
        <v>3</v>
      </c>
      <c r="D18" s="177">
        <v>4</v>
      </c>
      <c r="E18" s="176">
        <v>5</v>
      </c>
      <c r="F18" s="177">
        <v>6</v>
      </c>
      <c r="G18" s="176">
        <v>7</v>
      </c>
      <c r="H18" s="177">
        <v>8</v>
      </c>
      <c r="I18" s="176">
        <v>9</v>
      </c>
      <c r="J18" s="177">
        <v>10</v>
      </c>
    </row>
    <row r="19" spans="1:13" s="10" customFormat="1" ht="14.1" customHeight="1" x14ac:dyDescent="0.25">
      <c r="A19" s="180">
        <v>1</v>
      </c>
      <c r="B19" s="20" t="s">
        <v>50</v>
      </c>
      <c r="C19" s="111">
        <v>0.11700000000000001</v>
      </c>
      <c r="D19" s="111">
        <v>8.7999999999999995E-2</v>
      </c>
      <c r="E19" s="13">
        <f>цены!F35</f>
        <v>50</v>
      </c>
      <c r="F19" s="13">
        <f>C19*E19</f>
        <v>5.85</v>
      </c>
      <c r="G19" s="97">
        <f t="shared" ref="G19:H23" si="0">C19*10</f>
        <v>1.17</v>
      </c>
      <c r="H19" s="21">
        <f t="shared" si="0"/>
        <v>0.88</v>
      </c>
      <c r="I19" s="21">
        <f t="shared" ref="I19:J23" si="1">C19*100</f>
        <v>11.7</v>
      </c>
      <c r="J19" s="21">
        <f t="shared" si="1"/>
        <v>8.8000000000000007</v>
      </c>
      <c r="L19" s="1018">
        <f>C19/C$33</f>
        <v>0.11700000000000001</v>
      </c>
      <c r="M19" s="1018">
        <f>F19/C$33</f>
        <v>5.85</v>
      </c>
    </row>
    <row r="20" spans="1:13" s="10" customFormat="1" ht="12" customHeight="1" x14ac:dyDescent="0.25">
      <c r="A20" s="180">
        <v>2</v>
      </c>
      <c r="B20" s="20" t="s">
        <v>34</v>
      </c>
      <c r="C20" s="111">
        <v>1.6E-2</v>
      </c>
      <c r="D20" s="111">
        <v>1.4999999999999999E-2</v>
      </c>
      <c r="E20" s="13">
        <f>цены!F20</f>
        <v>80</v>
      </c>
      <c r="F20" s="13">
        <f>C20*E20</f>
        <v>1.28</v>
      </c>
      <c r="G20" s="97">
        <f t="shared" si="0"/>
        <v>0.16</v>
      </c>
      <c r="H20" s="21">
        <f t="shared" si="0"/>
        <v>0.15</v>
      </c>
      <c r="I20" s="21">
        <f t="shared" si="1"/>
        <v>1.6</v>
      </c>
      <c r="J20" s="21">
        <f t="shared" si="1"/>
        <v>1.5</v>
      </c>
      <c r="L20" s="1018">
        <f t="shared" ref="L20:L28" si="2">C20/C$33</f>
        <v>1.6E-2</v>
      </c>
      <c r="M20" s="1018">
        <f t="shared" ref="M20:M28" si="3">F20/C$33</f>
        <v>1.28</v>
      </c>
    </row>
    <row r="21" spans="1:13" s="10" customFormat="1" ht="12" customHeight="1" x14ac:dyDescent="0.25">
      <c r="A21" s="180">
        <v>3</v>
      </c>
      <c r="B21" s="20" t="s">
        <v>28</v>
      </c>
      <c r="C21" s="111">
        <f>700/1000*D19</f>
        <v>6.1600000000000002E-2</v>
      </c>
      <c r="D21" s="111">
        <f>C21</f>
        <v>6.1600000000000002E-2</v>
      </c>
      <c r="E21" s="13"/>
      <c r="F21" s="13">
        <f>C21*E21</f>
        <v>0</v>
      </c>
      <c r="G21" s="97">
        <f t="shared" si="0"/>
        <v>0.61599999999999999</v>
      </c>
      <c r="H21" s="21">
        <f t="shared" si="0"/>
        <v>0.61599999999999999</v>
      </c>
      <c r="I21" s="21">
        <f t="shared" si="1"/>
        <v>6.16</v>
      </c>
      <c r="J21" s="21">
        <f t="shared" si="1"/>
        <v>6.16</v>
      </c>
      <c r="L21" s="1018">
        <f t="shared" si="2"/>
        <v>6.1600000000000002E-2</v>
      </c>
      <c r="M21" s="1018">
        <f t="shared" si="3"/>
        <v>0</v>
      </c>
    </row>
    <row r="22" spans="1:13" s="10" customFormat="1" ht="12" customHeight="1" x14ac:dyDescent="0.25">
      <c r="A22" s="180">
        <v>4</v>
      </c>
      <c r="B22" s="20" t="s">
        <v>31</v>
      </c>
      <c r="C22" s="111">
        <v>3.0000000000000001E-3</v>
      </c>
      <c r="D22" s="111">
        <v>3.0000000000000001E-3</v>
      </c>
      <c r="E22" s="13">
        <f>цены!F21</f>
        <v>710</v>
      </c>
      <c r="F22" s="13">
        <f>C22*E22</f>
        <v>2.13</v>
      </c>
      <c r="G22" s="97">
        <f t="shared" si="0"/>
        <v>0.03</v>
      </c>
      <c r="H22" s="21">
        <f t="shared" si="0"/>
        <v>0.03</v>
      </c>
      <c r="I22" s="21">
        <f t="shared" si="1"/>
        <v>0.3</v>
      </c>
      <c r="J22" s="21">
        <f t="shared" si="1"/>
        <v>0.3</v>
      </c>
      <c r="L22" s="1018">
        <f t="shared" si="2"/>
        <v>3.0000000000000001E-3</v>
      </c>
      <c r="M22" s="1018">
        <f t="shared" si="3"/>
        <v>2.13</v>
      </c>
    </row>
    <row r="23" spans="1:13" s="10" customFormat="1" ht="12" customHeight="1" x14ac:dyDescent="0.25">
      <c r="A23" s="180">
        <v>5</v>
      </c>
      <c r="B23" s="20" t="s">
        <v>124</v>
      </c>
      <c r="C23" s="111">
        <f>10/1000*C21</f>
        <v>5.9999999999999995E-4</v>
      </c>
      <c r="D23" s="111">
        <f>C23</f>
        <v>5.9999999999999995E-4</v>
      </c>
      <c r="E23" s="13">
        <f>цены!F110</f>
        <v>24</v>
      </c>
      <c r="F23" s="13">
        <f>C23*E23</f>
        <v>0.01</v>
      </c>
      <c r="G23" s="97">
        <f t="shared" si="0"/>
        <v>6.0000000000000001E-3</v>
      </c>
      <c r="H23" s="21">
        <f t="shared" si="0"/>
        <v>6.0000000000000001E-3</v>
      </c>
      <c r="I23" s="21">
        <f t="shared" si="1"/>
        <v>0.06</v>
      </c>
      <c r="J23" s="21">
        <f t="shared" si="1"/>
        <v>0.06</v>
      </c>
      <c r="L23" s="1018">
        <f t="shared" si="2"/>
        <v>5.9999999999999995E-4</v>
      </c>
      <c r="M23" s="1018">
        <f t="shared" si="3"/>
        <v>0.01</v>
      </c>
    </row>
    <row r="24" spans="1:13" s="10" customFormat="1" ht="12" customHeight="1" x14ac:dyDescent="0.25">
      <c r="A24" s="184"/>
      <c r="B24" s="93" t="s">
        <v>123</v>
      </c>
      <c r="C24" s="112"/>
      <c r="D24" s="112">
        <v>0.1</v>
      </c>
      <c r="E24" s="95"/>
      <c r="F24" s="95">
        <f>SUM(F19:F23)</f>
        <v>9.27</v>
      </c>
      <c r="G24" s="99"/>
      <c r="H24" s="100">
        <f t="shared" ref="H24:H29" si="4">D24*10</f>
        <v>1</v>
      </c>
      <c r="I24" s="100"/>
      <c r="J24" s="100">
        <f t="shared" ref="J24:J29" si="5">D24*100</f>
        <v>10</v>
      </c>
      <c r="L24" s="1018"/>
      <c r="M24" s="1018"/>
    </row>
    <row r="25" spans="1:13" s="10" customFormat="1" ht="12" customHeight="1" x14ac:dyDescent="0.25">
      <c r="A25" s="129">
        <v>6</v>
      </c>
      <c r="B25" s="123" t="s">
        <v>353</v>
      </c>
      <c r="C25" s="130">
        <v>2.4E-2</v>
      </c>
      <c r="D25" s="130">
        <v>0.02</v>
      </c>
      <c r="E25" s="127">
        <f>цены!F38</f>
        <v>50</v>
      </c>
      <c r="F25" s="13">
        <f>C25*E25</f>
        <v>1.2</v>
      </c>
      <c r="G25" s="97">
        <f>C25*10</f>
        <v>0.24</v>
      </c>
      <c r="H25" s="21">
        <f t="shared" si="4"/>
        <v>0.2</v>
      </c>
      <c r="I25" s="21">
        <f>C25*100</f>
        <v>2.4</v>
      </c>
      <c r="J25" s="21">
        <f t="shared" si="5"/>
        <v>2</v>
      </c>
      <c r="L25" s="1018">
        <f t="shared" si="2"/>
        <v>2.4E-2</v>
      </c>
      <c r="M25" s="1018">
        <f t="shared" si="3"/>
        <v>1.2</v>
      </c>
    </row>
    <row r="26" spans="1:13" s="10" customFormat="1" ht="12" customHeight="1" x14ac:dyDescent="0.25">
      <c r="A26" s="129">
        <v>7</v>
      </c>
      <c r="B26" s="123" t="s">
        <v>74</v>
      </c>
      <c r="C26" s="130">
        <v>5.0000000000000001E-3</v>
      </c>
      <c r="D26" s="130">
        <v>5.0000000000000001E-3</v>
      </c>
      <c r="E26" s="127">
        <f>цены!F87</f>
        <v>120</v>
      </c>
      <c r="F26" s="13">
        <f>C26*E26</f>
        <v>0.6</v>
      </c>
      <c r="G26" s="97">
        <f>C26*10</f>
        <v>0.05</v>
      </c>
      <c r="H26" s="21">
        <f t="shared" si="4"/>
        <v>0.05</v>
      </c>
      <c r="I26" s="21">
        <f>C26*100</f>
        <v>0.5</v>
      </c>
      <c r="J26" s="21">
        <f t="shared" si="5"/>
        <v>0.5</v>
      </c>
      <c r="L26" s="1018">
        <f t="shared" si="2"/>
        <v>5.0000000000000001E-3</v>
      </c>
      <c r="M26" s="1018">
        <f t="shared" si="3"/>
        <v>0.6</v>
      </c>
    </row>
    <row r="27" spans="1:13" s="10" customFormat="1" ht="12" customHeight="1" x14ac:dyDescent="0.25">
      <c r="A27" s="190"/>
      <c r="B27" s="93" t="s">
        <v>178</v>
      </c>
      <c r="C27" s="112"/>
      <c r="D27" s="112">
        <v>0.01</v>
      </c>
      <c r="E27" s="95"/>
      <c r="F27" s="95">
        <f>SUM(F25:F26)</f>
        <v>1.8</v>
      </c>
      <c r="G27" s="99"/>
      <c r="H27" s="100">
        <f t="shared" si="4"/>
        <v>0.1</v>
      </c>
      <c r="I27" s="100"/>
      <c r="J27" s="100">
        <f t="shared" si="5"/>
        <v>1</v>
      </c>
      <c r="L27" s="1018"/>
      <c r="M27" s="1018"/>
    </row>
    <row r="28" spans="1:13" s="10" customFormat="1" ht="12" customHeight="1" x14ac:dyDescent="0.25">
      <c r="A28" s="129">
        <v>8</v>
      </c>
      <c r="B28" s="123" t="s">
        <v>78</v>
      </c>
      <c r="C28" s="130">
        <v>2E-3</v>
      </c>
      <c r="D28" s="130">
        <v>2E-3</v>
      </c>
      <c r="E28" s="127">
        <f>цены!F48</f>
        <v>300</v>
      </c>
      <c r="F28" s="13">
        <f>C28*E28</f>
        <v>0.6</v>
      </c>
      <c r="G28" s="97">
        <f>C28*10</f>
        <v>0.02</v>
      </c>
      <c r="H28" s="21">
        <f t="shared" si="4"/>
        <v>0.02</v>
      </c>
      <c r="I28" s="21">
        <f>C28*100</f>
        <v>0.2</v>
      </c>
      <c r="J28" s="21">
        <f t="shared" si="5"/>
        <v>0.2</v>
      </c>
      <c r="L28" s="1018">
        <f t="shared" si="2"/>
        <v>2E-3</v>
      </c>
      <c r="M28" s="1018">
        <f t="shared" si="3"/>
        <v>0.6</v>
      </c>
    </row>
    <row r="29" spans="1:13" s="10" customFormat="1" ht="12" customHeight="1" x14ac:dyDescent="0.25">
      <c r="A29" s="98"/>
      <c r="B29" s="93" t="s">
        <v>100</v>
      </c>
      <c r="C29" s="112"/>
      <c r="D29" s="112">
        <v>0.1</v>
      </c>
      <c r="E29" s="95"/>
      <c r="F29" s="95">
        <f>F24+F27+F28</f>
        <v>11.67</v>
      </c>
      <c r="G29" s="99"/>
      <c r="H29" s="100">
        <f t="shared" si="4"/>
        <v>1</v>
      </c>
      <c r="I29" s="100"/>
      <c r="J29" s="100">
        <f t="shared" si="5"/>
        <v>10</v>
      </c>
      <c r="L29" s="1018">
        <f>SUM(L19:L28)</f>
        <v>0.22919999999999999</v>
      </c>
      <c r="M29" s="1018">
        <f>SUM(M19:M28)</f>
        <v>11.67</v>
      </c>
    </row>
    <row r="30" spans="1:13" s="10" customFormat="1" ht="27.6" customHeight="1" x14ac:dyDescent="0.25">
      <c r="A30" s="1536" t="s">
        <v>35</v>
      </c>
      <c r="B30" s="1536"/>
      <c r="C30" s="90"/>
      <c r="D30" s="90"/>
      <c r="E30" s="13"/>
      <c r="F30" s="13">
        <f>F29</f>
        <v>11.67</v>
      </c>
      <c r="G30" s="14"/>
      <c r="H30" s="14"/>
      <c r="I30" s="21"/>
      <c r="J30" s="13"/>
    </row>
    <row r="31" spans="1:13" s="10" customFormat="1" ht="25.35" customHeight="1" x14ac:dyDescent="0.25">
      <c r="A31" s="1536" t="s">
        <v>36</v>
      </c>
      <c r="B31" s="1536"/>
      <c r="C31" s="90">
        <v>105</v>
      </c>
      <c r="D31" s="90"/>
      <c r="E31" s="13"/>
      <c r="F31" s="13"/>
      <c r="G31" s="13"/>
      <c r="H31" s="13"/>
      <c r="I31" s="21"/>
      <c r="J31" s="17"/>
    </row>
    <row r="32" spans="1:13" s="10" customFormat="1" ht="25.35" customHeight="1" x14ac:dyDescent="0.25">
      <c r="A32" s="1537" t="s">
        <v>37</v>
      </c>
      <c r="B32" s="1538"/>
      <c r="C32" s="91">
        <v>105</v>
      </c>
      <c r="D32" s="92"/>
      <c r="E32" s="5"/>
      <c r="F32" s="5"/>
      <c r="G32" s="5"/>
      <c r="H32" s="5"/>
      <c r="I32" s="21"/>
      <c r="J32" s="17"/>
    </row>
    <row r="33" spans="1:10" s="10" customFormat="1" ht="15" customHeight="1" x14ac:dyDescent="0.25">
      <c r="A33" s="1539" t="s">
        <v>38</v>
      </c>
      <c r="B33" s="1540"/>
      <c r="C33" s="92">
        <f>C31/C32</f>
        <v>1</v>
      </c>
      <c r="D33" s="92"/>
      <c r="E33" s="5"/>
      <c r="F33" s="5"/>
      <c r="G33" s="5"/>
      <c r="H33" s="5"/>
      <c r="I33" s="21"/>
      <c r="J33" s="17"/>
    </row>
    <row r="34" spans="1:10" ht="16.350000000000001" customHeight="1" x14ac:dyDescent="0.25">
      <c r="A34" s="1541" t="s">
        <v>39</v>
      </c>
      <c r="B34" s="1542"/>
      <c r="C34" s="15" t="s">
        <v>40</v>
      </c>
      <c r="D34" s="102"/>
      <c r="E34" s="102" t="s">
        <v>40</v>
      </c>
      <c r="F34" s="16">
        <f>F30/C33</f>
        <v>11.67</v>
      </c>
      <c r="G34" s="16"/>
      <c r="H34" s="16"/>
      <c r="I34" s="102" t="s">
        <v>40</v>
      </c>
      <c r="J34" s="102" t="s">
        <v>40</v>
      </c>
    </row>
    <row r="35" spans="1:10" ht="23.1" customHeight="1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193"/>
      <c r="B36" s="1194" t="s">
        <v>49</v>
      </c>
      <c r="C36" s="1198"/>
      <c r="D36" s="1198"/>
      <c r="E36" s="1198"/>
      <c r="F36" s="1198"/>
      <c r="G36" s="1193"/>
      <c r="H36" s="1560">
        <f>'1-бутерброд с маслом'!$H$28</f>
        <v>0</v>
      </c>
      <c r="I36" s="1560"/>
      <c r="J36" s="1560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545" t="s">
        <v>327</v>
      </c>
      <c r="B38" s="1545"/>
      <c r="C38" s="1546" t="s">
        <v>328</v>
      </c>
      <c r="D38" s="1546"/>
      <c r="E38" s="1546"/>
      <c r="F38" s="1546"/>
      <c r="G38" s="106"/>
      <c r="H38" s="1531"/>
      <c r="I38" s="1531"/>
      <c r="J38" s="1531"/>
    </row>
    <row r="39" spans="1:10" x14ac:dyDescent="0.25">
      <c r="A39" s="1193"/>
      <c r="B39" s="1193"/>
      <c r="C39" s="1546"/>
      <c r="D39" s="1546"/>
      <c r="E39" s="1546"/>
      <c r="F39" s="1546"/>
      <c r="G39" s="1193"/>
      <c r="H39" s="1531" t="s">
        <v>329</v>
      </c>
      <c r="I39" s="1531"/>
      <c r="J39" s="1531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</sheetData>
  <mergeCells count="28">
    <mergeCell ref="A31:B31"/>
    <mergeCell ref="A13:G13"/>
    <mergeCell ref="A32:B32"/>
    <mergeCell ref="A33:B33"/>
    <mergeCell ref="A34:B34"/>
    <mergeCell ref="A16:A17"/>
    <mergeCell ref="B16:B17"/>
    <mergeCell ref="A30:B30"/>
    <mergeCell ref="A6:G6"/>
    <mergeCell ref="A7:I7"/>
    <mergeCell ref="C16:F16"/>
    <mergeCell ref="G16:H16"/>
    <mergeCell ref="I16:J16"/>
    <mergeCell ref="A9:J9"/>
    <mergeCell ref="A11:J11"/>
    <mergeCell ref="I13:J13"/>
    <mergeCell ref="C14:G14"/>
    <mergeCell ref="I14:J14"/>
    <mergeCell ref="G1:J1"/>
    <mergeCell ref="G2:J2"/>
    <mergeCell ref="G3:J3"/>
    <mergeCell ref="A5:G5"/>
    <mergeCell ref="H5:I5"/>
    <mergeCell ref="A38:B38"/>
    <mergeCell ref="C38:F39"/>
    <mergeCell ref="H38:J38"/>
    <mergeCell ref="H39:J39"/>
    <mergeCell ref="H36:J36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O45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3.44140625" customWidth="1"/>
    <col min="2" max="2" width="20.5546875" customWidth="1"/>
    <col min="3" max="3" width="10" customWidth="1"/>
    <col min="4" max="4" width="9.5546875" customWidth="1"/>
    <col min="5" max="7" width="7.5546875" customWidth="1"/>
    <col min="8" max="8" width="8.88671875" customWidth="1"/>
    <col min="9" max="9" width="7.5546875" customWidth="1"/>
    <col min="10" max="10" width="9" customWidth="1"/>
    <col min="11" max="11" width="2.88671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104)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139</v>
      </c>
    </row>
    <row r="8" spans="1:10" s="2" customFormat="1" ht="9.6" customHeight="1" x14ac:dyDescent="0.25">
      <c r="A8" s="178"/>
      <c r="B8" s="178"/>
      <c r="C8" s="178"/>
      <c r="D8" s="178"/>
      <c r="E8" s="178"/>
      <c r="F8" s="178"/>
      <c r="G8" s="178"/>
      <c r="H8" s="178"/>
      <c r="I8" s="178"/>
      <c r="J8" s="109"/>
    </row>
    <row r="9" spans="1:10" s="2" customFormat="1" ht="26.1" customHeight="1" x14ac:dyDescent="0.3">
      <c r="A9" s="1550" t="s">
        <v>354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'128-пюре'!H14+1</f>
        <v>104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5" ht="26.4" customHeight="1" x14ac:dyDescent="0.25">
      <c r="A17" s="1543"/>
      <c r="B17" s="1543"/>
      <c r="C17" s="176" t="s">
        <v>92</v>
      </c>
      <c r="D17" s="176" t="s">
        <v>94</v>
      </c>
      <c r="E17" s="176" t="s">
        <v>93</v>
      </c>
      <c r="F17" s="176" t="s">
        <v>23</v>
      </c>
      <c r="G17" s="176" t="s">
        <v>92</v>
      </c>
      <c r="H17" s="176" t="s">
        <v>94</v>
      </c>
      <c r="I17" s="176" t="s">
        <v>92</v>
      </c>
      <c r="J17" s="176" t="s">
        <v>94</v>
      </c>
    </row>
    <row r="18" spans="1:15" ht="9.6" customHeight="1" x14ac:dyDescent="0.25">
      <c r="A18" s="176">
        <v>1</v>
      </c>
      <c r="B18" s="177">
        <v>2</v>
      </c>
      <c r="C18" s="176">
        <v>3</v>
      </c>
      <c r="D18" s="177">
        <v>4</v>
      </c>
      <c r="E18" s="176">
        <v>5</v>
      </c>
      <c r="F18" s="177">
        <v>6</v>
      </c>
      <c r="G18" s="176">
        <v>7</v>
      </c>
      <c r="H18" s="177">
        <v>8</v>
      </c>
      <c r="I18" s="176">
        <v>9</v>
      </c>
      <c r="J18" s="177">
        <v>10</v>
      </c>
    </row>
    <row r="19" spans="1:15" s="10" customFormat="1" ht="14.1" customHeight="1" x14ac:dyDescent="0.25">
      <c r="A19" s="180">
        <v>1</v>
      </c>
      <c r="B19" s="20" t="s">
        <v>53</v>
      </c>
      <c r="C19" s="111">
        <v>0.21299999999999999</v>
      </c>
      <c r="D19" s="111">
        <v>0.17100000000000001</v>
      </c>
      <c r="E19" s="13">
        <f>цены!F33</f>
        <v>53</v>
      </c>
      <c r="F19" s="13">
        <f>C19*E19</f>
        <v>11.29</v>
      </c>
      <c r="G19" s="97">
        <f t="shared" ref="G19:H30" si="0">C19*10</f>
        <v>2.13</v>
      </c>
      <c r="H19" s="21">
        <f t="shared" si="0"/>
        <v>1.71</v>
      </c>
      <c r="I19" s="21">
        <f t="shared" ref="I19:J30" si="1">C19*100</f>
        <v>21.3</v>
      </c>
      <c r="J19" s="21">
        <f t="shared" si="1"/>
        <v>17.100000000000001</v>
      </c>
      <c r="L19" s="1018">
        <f>C19/C$35</f>
        <v>0.21299999999999999</v>
      </c>
      <c r="M19" s="1018">
        <f>F19/C$35</f>
        <v>11.29</v>
      </c>
      <c r="N19" s="10">
        <f>C19*1.5</f>
        <v>0.31950000000000001</v>
      </c>
      <c r="O19" s="10">
        <f>D19*1.5</f>
        <v>0.25650000000000001</v>
      </c>
    </row>
    <row r="20" spans="1:15" s="10" customFormat="1" ht="12" customHeight="1" x14ac:dyDescent="0.25">
      <c r="A20" s="180">
        <v>2</v>
      </c>
      <c r="B20" s="20" t="s">
        <v>355</v>
      </c>
      <c r="C20" s="111">
        <v>4.4999999999999997E-3</v>
      </c>
      <c r="D20" s="111">
        <v>4.4999999999999997E-3</v>
      </c>
      <c r="E20" s="13">
        <f>цены!F98</f>
        <v>290</v>
      </c>
      <c r="F20" s="13">
        <f>C20*E20</f>
        <v>1.31</v>
      </c>
      <c r="G20" s="97">
        <f t="shared" si="0"/>
        <v>4.4999999999999998E-2</v>
      </c>
      <c r="H20" s="21">
        <f t="shared" si="0"/>
        <v>4.4999999999999998E-2</v>
      </c>
      <c r="I20" s="21">
        <f t="shared" si="1"/>
        <v>0.45</v>
      </c>
      <c r="J20" s="21">
        <f t="shared" si="1"/>
        <v>0.45</v>
      </c>
      <c r="L20" s="1018">
        <f t="shared" ref="L20:L30" si="2">C20/C$35</f>
        <v>4.4999999999999997E-3</v>
      </c>
      <c r="M20" s="1018">
        <f t="shared" ref="M20:M30" si="3">F20/C$35</f>
        <v>1.31</v>
      </c>
      <c r="N20" s="10">
        <f t="shared" ref="N20:N30" si="4">C20*1.5</f>
        <v>6.7499999999999999E-3</v>
      </c>
      <c r="O20" s="10">
        <f t="shared" ref="O20:O30" si="5">D20*1.5</f>
        <v>6.7499999999999999E-3</v>
      </c>
    </row>
    <row r="21" spans="1:15" s="10" customFormat="1" ht="12" customHeight="1" x14ac:dyDescent="0.25">
      <c r="A21" s="180">
        <v>3</v>
      </c>
      <c r="B21" s="20" t="s">
        <v>74</v>
      </c>
      <c r="C21" s="111">
        <v>6.0000000000000001E-3</v>
      </c>
      <c r="D21" s="111">
        <v>6.0000000000000001E-3</v>
      </c>
      <c r="E21" s="13">
        <f>цены!F87</f>
        <v>120</v>
      </c>
      <c r="F21" s="13">
        <f>C21*E21</f>
        <v>0.72</v>
      </c>
      <c r="G21" s="97">
        <f t="shared" si="0"/>
        <v>0.06</v>
      </c>
      <c r="H21" s="21">
        <f t="shared" si="0"/>
        <v>0.06</v>
      </c>
      <c r="I21" s="21">
        <f t="shared" si="1"/>
        <v>0.6</v>
      </c>
      <c r="J21" s="21">
        <f t="shared" si="1"/>
        <v>0.6</v>
      </c>
      <c r="L21" s="1018">
        <f t="shared" si="2"/>
        <v>6.0000000000000001E-3</v>
      </c>
      <c r="M21" s="1018">
        <f t="shared" si="3"/>
        <v>0.72</v>
      </c>
      <c r="N21" s="10">
        <f t="shared" si="4"/>
        <v>8.9999999999999993E-3</v>
      </c>
      <c r="O21" s="10">
        <f t="shared" si="5"/>
        <v>8.9999999999999993E-3</v>
      </c>
    </row>
    <row r="22" spans="1:15" s="10" customFormat="1" ht="12" customHeight="1" x14ac:dyDescent="0.25">
      <c r="A22" s="180">
        <v>4</v>
      </c>
      <c r="B22" s="20" t="s">
        <v>46</v>
      </c>
      <c r="C22" s="111">
        <v>8.9999999999999993E-3</v>
      </c>
      <c r="D22" s="111">
        <v>8.9999999999999993E-3</v>
      </c>
      <c r="E22" s="13">
        <f>цены!F113</f>
        <v>230</v>
      </c>
      <c r="F22" s="13">
        <f t="shared" ref="F22:F30" si="6">C22*E22</f>
        <v>2.0699999999999998</v>
      </c>
      <c r="G22" s="97">
        <f t="shared" si="0"/>
        <v>0.09</v>
      </c>
      <c r="H22" s="21">
        <f t="shared" si="0"/>
        <v>0.09</v>
      </c>
      <c r="I22" s="21">
        <f t="shared" si="1"/>
        <v>0.9</v>
      </c>
      <c r="J22" s="21">
        <f t="shared" si="1"/>
        <v>0.9</v>
      </c>
      <c r="L22" s="1018">
        <f t="shared" si="2"/>
        <v>8.9999999999999993E-3</v>
      </c>
      <c r="M22" s="1018">
        <f t="shared" si="3"/>
        <v>2.0699999999999998</v>
      </c>
      <c r="N22" s="10">
        <f t="shared" si="4"/>
        <v>1.35E-2</v>
      </c>
      <c r="O22" s="10">
        <f t="shared" si="5"/>
        <v>1.35E-2</v>
      </c>
    </row>
    <row r="23" spans="1:15" s="10" customFormat="1" ht="12" customHeight="1" x14ac:dyDescent="0.25">
      <c r="A23" s="180">
        <v>5</v>
      </c>
      <c r="B23" s="20" t="s">
        <v>47</v>
      </c>
      <c r="C23" s="111">
        <v>4.4999999999999997E-3</v>
      </c>
      <c r="D23" s="111">
        <v>3.8E-3</v>
      </c>
      <c r="E23" s="13">
        <f>цены!F44</f>
        <v>50</v>
      </c>
      <c r="F23" s="13">
        <f t="shared" si="6"/>
        <v>0.23</v>
      </c>
      <c r="G23" s="97">
        <f t="shared" si="0"/>
        <v>4.4999999999999998E-2</v>
      </c>
      <c r="H23" s="21">
        <f t="shared" si="0"/>
        <v>3.7999999999999999E-2</v>
      </c>
      <c r="I23" s="21">
        <f t="shared" si="1"/>
        <v>0.45</v>
      </c>
      <c r="J23" s="21">
        <f t="shared" si="1"/>
        <v>0.38</v>
      </c>
      <c r="L23" s="1018">
        <f t="shared" si="2"/>
        <v>4.4999999999999997E-3</v>
      </c>
      <c r="M23" s="1018">
        <f t="shared" si="3"/>
        <v>0.23</v>
      </c>
      <c r="N23" s="10">
        <f t="shared" si="4"/>
        <v>6.7499999999999999E-3</v>
      </c>
      <c r="O23" s="10">
        <f t="shared" si="5"/>
        <v>5.7000000000000002E-3</v>
      </c>
    </row>
    <row r="24" spans="1:15" s="10" customFormat="1" ht="12" customHeight="1" x14ac:dyDescent="0.25">
      <c r="A24" s="180">
        <v>6</v>
      </c>
      <c r="B24" s="20" t="s">
        <v>353</v>
      </c>
      <c r="C24" s="111">
        <v>7.4999999999999997E-3</v>
      </c>
      <c r="D24" s="111">
        <v>6.0000000000000001E-3</v>
      </c>
      <c r="E24" s="13">
        <f>цены!F38</f>
        <v>50</v>
      </c>
      <c r="F24" s="13">
        <f t="shared" si="6"/>
        <v>0.38</v>
      </c>
      <c r="G24" s="97">
        <f t="shared" si="0"/>
        <v>7.4999999999999997E-2</v>
      </c>
      <c r="H24" s="21">
        <f t="shared" si="0"/>
        <v>0.06</v>
      </c>
      <c r="I24" s="21">
        <f t="shared" si="1"/>
        <v>0.75</v>
      </c>
      <c r="J24" s="21">
        <f t="shared" si="1"/>
        <v>0.6</v>
      </c>
      <c r="L24" s="1018">
        <f t="shared" si="2"/>
        <v>7.4999999999999997E-3</v>
      </c>
      <c r="M24" s="1018">
        <f t="shared" si="3"/>
        <v>0.38</v>
      </c>
      <c r="N24" s="10">
        <f t="shared" si="4"/>
        <v>1.125E-2</v>
      </c>
      <c r="O24" s="10">
        <f t="shared" si="5"/>
        <v>8.9999999999999993E-3</v>
      </c>
    </row>
    <row r="25" spans="1:15" s="10" customFormat="1" ht="12" customHeight="1" x14ac:dyDescent="0.25">
      <c r="A25" s="180">
        <v>7</v>
      </c>
      <c r="B25" s="20" t="s">
        <v>84</v>
      </c>
      <c r="C25" s="193">
        <v>1.2E-5</v>
      </c>
      <c r="D25" s="193">
        <v>1.2E-5</v>
      </c>
      <c r="E25" s="13">
        <f>цены!F100</f>
        <v>1000</v>
      </c>
      <c r="F25" s="13">
        <f t="shared" si="6"/>
        <v>0.01</v>
      </c>
      <c r="G25" s="97">
        <f t="shared" si="0"/>
        <v>0</v>
      </c>
      <c r="H25" s="21">
        <f t="shared" si="0"/>
        <v>0</v>
      </c>
      <c r="I25" s="21">
        <f t="shared" si="1"/>
        <v>1E-3</v>
      </c>
      <c r="J25" s="21">
        <f t="shared" si="1"/>
        <v>1E-3</v>
      </c>
      <c r="L25" s="1018">
        <f t="shared" si="2"/>
        <v>0</v>
      </c>
      <c r="M25" s="1018">
        <f t="shared" si="3"/>
        <v>0.01</v>
      </c>
      <c r="N25" s="10">
        <f t="shared" si="4"/>
        <v>1.8E-5</v>
      </c>
      <c r="O25" s="10">
        <f t="shared" si="5"/>
        <v>1.8E-5</v>
      </c>
    </row>
    <row r="26" spans="1:15" s="10" customFormat="1" ht="12" customHeight="1" x14ac:dyDescent="0.25">
      <c r="A26" s="180">
        <v>8</v>
      </c>
      <c r="B26" s="20" t="s">
        <v>28</v>
      </c>
      <c r="C26" s="111">
        <v>4.2799999999999998E-2</v>
      </c>
      <c r="D26" s="193">
        <v>4.2750000000000003E-2</v>
      </c>
      <c r="E26" s="13"/>
      <c r="F26" s="13">
        <f t="shared" si="6"/>
        <v>0</v>
      </c>
      <c r="G26" s="97">
        <f t="shared" si="0"/>
        <v>0.42799999999999999</v>
      </c>
      <c r="H26" s="21">
        <f t="shared" si="0"/>
        <v>0.42799999999999999</v>
      </c>
      <c r="I26" s="21">
        <f t="shared" si="1"/>
        <v>4.28</v>
      </c>
      <c r="J26" s="21">
        <f t="shared" si="1"/>
        <v>4.2750000000000004</v>
      </c>
      <c r="L26" s="1018">
        <f t="shared" si="2"/>
        <v>4.2799999999999998E-2</v>
      </c>
      <c r="M26" s="1018">
        <f t="shared" si="3"/>
        <v>0</v>
      </c>
      <c r="N26" s="10">
        <f t="shared" si="4"/>
        <v>6.4199999999999993E-2</v>
      </c>
      <c r="O26" s="10">
        <f t="shared" si="5"/>
        <v>6.4125000000000001E-2</v>
      </c>
    </row>
    <row r="27" spans="1:15" s="10" customFormat="1" ht="12" customHeight="1" x14ac:dyDescent="0.25">
      <c r="A27" s="180">
        <v>9</v>
      </c>
      <c r="B27" s="20" t="s">
        <v>45</v>
      </c>
      <c r="C27" s="111">
        <v>1.5E-3</v>
      </c>
      <c r="D27" s="111">
        <v>1.5E-3</v>
      </c>
      <c r="E27" s="13">
        <f>цены!F74</f>
        <v>36</v>
      </c>
      <c r="F27" s="13">
        <f t="shared" si="6"/>
        <v>0.05</v>
      </c>
      <c r="G27" s="97">
        <f t="shared" si="0"/>
        <v>1.4999999999999999E-2</v>
      </c>
      <c r="H27" s="21">
        <f t="shared" si="0"/>
        <v>1.4999999999999999E-2</v>
      </c>
      <c r="I27" s="21">
        <f t="shared" si="1"/>
        <v>0.15</v>
      </c>
      <c r="J27" s="21">
        <f t="shared" si="1"/>
        <v>0.15</v>
      </c>
      <c r="L27" s="1018">
        <f t="shared" si="2"/>
        <v>1.5E-3</v>
      </c>
      <c r="M27" s="1018">
        <f t="shared" si="3"/>
        <v>0.05</v>
      </c>
      <c r="N27" s="10">
        <f t="shared" si="4"/>
        <v>2.2499999999999998E-3</v>
      </c>
      <c r="O27" s="10">
        <f t="shared" si="5"/>
        <v>2.2499999999999998E-3</v>
      </c>
    </row>
    <row r="28" spans="1:15" s="10" customFormat="1" ht="12" customHeight="1" x14ac:dyDescent="0.25">
      <c r="A28" s="180">
        <v>10</v>
      </c>
      <c r="B28" s="20" t="s">
        <v>75</v>
      </c>
      <c r="C28" s="111">
        <v>5.0000000000000001E-4</v>
      </c>
      <c r="D28" s="111">
        <v>5.0000000000000001E-4</v>
      </c>
      <c r="E28" s="13">
        <f>цены!F110</f>
        <v>24</v>
      </c>
      <c r="F28" s="13">
        <f t="shared" si="6"/>
        <v>0.01</v>
      </c>
      <c r="G28" s="97">
        <f t="shared" si="0"/>
        <v>5.0000000000000001E-3</v>
      </c>
      <c r="H28" s="21">
        <f t="shared" si="0"/>
        <v>5.0000000000000001E-3</v>
      </c>
      <c r="I28" s="21">
        <f t="shared" si="1"/>
        <v>0.05</v>
      </c>
      <c r="J28" s="21">
        <f t="shared" si="1"/>
        <v>0.05</v>
      </c>
      <c r="L28" s="1018">
        <f t="shared" si="2"/>
        <v>5.0000000000000001E-4</v>
      </c>
      <c r="M28" s="1018">
        <f t="shared" si="3"/>
        <v>0.01</v>
      </c>
      <c r="N28" s="10">
        <f t="shared" si="4"/>
        <v>7.5000000000000002E-4</v>
      </c>
      <c r="O28" s="10">
        <f t="shared" si="5"/>
        <v>7.5000000000000002E-4</v>
      </c>
    </row>
    <row r="29" spans="1:15" s="10" customFormat="1" ht="12" customHeight="1" x14ac:dyDescent="0.25">
      <c r="A29" s="180">
        <v>11</v>
      </c>
      <c r="B29" s="20" t="s">
        <v>30</v>
      </c>
      <c r="C29" s="111">
        <v>4.4999999999999997E-3</v>
      </c>
      <c r="D29" s="111">
        <v>4.4999999999999997E-3</v>
      </c>
      <c r="E29" s="13">
        <f>цены!F107</f>
        <v>76</v>
      </c>
      <c r="F29" s="13">
        <f t="shared" si="6"/>
        <v>0.34</v>
      </c>
      <c r="G29" s="97">
        <f t="shared" si="0"/>
        <v>4.4999999999999998E-2</v>
      </c>
      <c r="H29" s="21">
        <f t="shared" si="0"/>
        <v>4.4999999999999998E-2</v>
      </c>
      <c r="I29" s="21">
        <f t="shared" si="1"/>
        <v>0.45</v>
      </c>
      <c r="J29" s="21">
        <f t="shared" si="1"/>
        <v>0.45</v>
      </c>
      <c r="L29" s="1018">
        <f t="shared" si="2"/>
        <v>4.4999999999999997E-3</v>
      </c>
      <c r="M29" s="1018">
        <f t="shared" si="3"/>
        <v>0.34</v>
      </c>
      <c r="N29" s="10">
        <f t="shared" si="4"/>
        <v>6.7499999999999999E-3</v>
      </c>
      <c r="O29" s="10">
        <f t="shared" si="5"/>
        <v>6.7499999999999999E-3</v>
      </c>
    </row>
    <row r="30" spans="1:15" s="10" customFormat="1" ht="12" customHeight="1" x14ac:dyDescent="0.25">
      <c r="A30" s="180">
        <v>12</v>
      </c>
      <c r="B30" s="123" t="s">
        <v>78</v>
      </c>
      <c r="C30" s="130">
        <v>3.0000000000000001E-3</v>
      </c>
      <c r="D30" s="130">
        <v>3.0000000000000001E-3</v>
      </c>
      <c r="E30" s="127">
        <f>цены!F48</f>
        <v>300</v>
      </c>
      <c r="F30" s="13">
        <f t="shared" si="6"/>
        <v>0.9</v>
      </c>
      <c r="G30" s="97">
        <f t="shared" si="0"/>
        <v>0.03</v>
      </c>
      <c r="H30" s="21">
        <f t="shared" si="0"/>
        <v>0.03</v>
      </c>
      <c r="I30" s="21">
        <f t="shared" si="1"/>
        <v>0.3</v>
      </c>
      <c r="J30" s="21">
        <f t="shared" si="1"/>
        <v>0.3</v>
      </c>
      <c r="L30" s="1018">
        <f t="shared" si="2"/>
        <v>3.0000000000000001E-3</v>
      </c>
      <c r="M30" s="1018">
        <f t="shared" si="3"/>
        <v>0.9</v>
      </c>
      <c r="N30" s="10">
        <f t="shared" si="4"/>
        <v>4.4999999999999997E-3</v>
      </c>
      <c r="O30" s="10">
        <f t="shared" si="5"/>
        <v>4.4999999999999997E-3</v>
      </c>
    </row>
    <row r="31" spans="1:15" s="10" customFormat="1" ht="12" customHeight="1" x14ac:dyDescent="0.25">
      <c r="A31" s="98"/>
      <c r="B31" s="93" t="s">
        <v>100</v>
      </c>
      <c r="C31" s="112"/>
      <c r="D31" s="1028">
        <v>150</v>
      </c>
      <c r="E31" s="95"/>
      <c r="F31" s="95">
        <f>SUM(F19:F30)</f>
        <v>17.309999999999999</v>
      </c>
      <c r="G31" s="99"/>
      <c r="H31" s="1028">
        <f>D31*10</f>
        <v>1500</v>
      </c>
      <c r="I31" s="1028"/>
      <c r="J31" s="1028">
        <f>D31*100</f>
        <v>15000</v>
      </c>
      <c r="L31" s="1018">
        <f>SUM(L19:L30)</f>
        <v>0.29680000000000001</v>
      </c>
      <c r="M31" s="1018">
        <f>SUM(M19:M30)</f>
        <v>17.309999999999999</v>
      </c>
    </row>
    <row r="32" spans="1:15" s="10" customFormat="1" ht="27.6" customHeight="1" x14ac:dyDescent="0.25">
      <c r="A32" s="1536" t="s">
        <v>35</v>
      </c>
      <c r="B32" s="1536"/>
      <c r="C32" s="90"/>
      <c r="D32" s="90"/>
      <c r="E32" s="13"/>
      <c r="F32" s="13">
        <f>F31</f>
        <v>17.309999999999999</v>
      </c>
      <c r="G32" s="175"/>
      <c r="H32" s="175"/>
      <c r="I32" s="21"/>
      <c r="J32" s="13"/>
    </row>
    <row r="33" spans="1:10" s="10" customFormat="1" ht="25.35" customHeight="1" x14ac:dyDescent="0.25">
      <c r="A33" s="1536" t="s">
        <v>36</v>
      </c>
      <c r="B33" s="1536"/>
      <c r="C33" s="90">
        <v>150</v>
      </c>
      <c r="D33" s="90"/>
      <c r="E33" s="13"/>
      <c r="F33" s="13"/>
      <c r="G33" s="13"/>
      <c r="H33" s="13"/>
      <c r="I33" s="21"/>
      <c r="J33" s="17"/>
    </row>
    <row r="34" spans="1:10" s="10" customFormat="1" ht="25.35" customHeight="1" x14ac:dyDescent="0.25">
      <c r="A34" s="1537" t="s">
        <v>37</v>
      </c>
      <c r="B34" s="1538"/>
      <c r="C34" s="91">
        <v>150</v>
      </c>
      <c r="D34" s="92"/>
      <c r="E34" s="177"/>
      <c r="F34" s="177"/>
      <c r="G34" s="177"/>
      <c r="H34" s="177"/>
      <c r="I34" s="21"/>
      <c r="J34" s="17"/>
    </row>
    <row r="35" spans="1:10" s="10" customFormat="1" ht="15" customHeight="1" x14ac:dyDescent="0.25">
      <c r="A35" s="1539" t="s">
        <v>38</v>
      </c>
      <c r="B35" s="1540"/>
      <c r="C35" s="92">
        <f>C33/C34</f>
        <v>1</v>
      </c>
      <c r="D35" s="92"/>
      <c r="E35" s="177"/>
      <c r="F35" s="177"/>
      <c r="G35" s="177"/>
      <c r="H35" s="177"/>
      <c r="I35" s="21"/>
      <c r="J35" s="17"/>
    </row>
    <row r="36" spans="1:10" ht="16.350000000000001" customHeight="1" x14ac:dyDescent="0.25">
      <c r="A36" s="1541" t="s">
        <v>39</v>
      </c>
      <c r="B36" s="1542"/>
      <c r="C36" s="15" t="s">
        <v>40</v>
      </c>
      <c r="D36" s="102"/>
      <c r="E36" s="102" t="s">
        <v>40</v>
      </c>
      <c r="F36" s="16">
        <f>F32/C35</f>
        <v>17.309999999999999</v>
      </c>
      <c r="G36" s="16"/>
      <c r="H36" s="16"/>
      <c r="I36" s="102" t="s">
        <v>40</v>
      </c>
      <c r="J36" s="102" t="s">
        <v>40</v>
      </c>
    </row>
    <row r="37" spans="1:10" ht="23.1" customHeight="1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193"/>
      <c r="B38" s="1194" t="s">
        <v>49</v>
      </c>
      <c r="C38" s="1198"/>
      <c r="D38" s="1198"/>
      <c r="E38" s="1198"/>
      <c r="F38" s="1198"/>
      <c r="G38" s="1193"/>
      <c r="H38" s="1560">
        <f>'1-бутерброд с маслом'!$H$28</f>
        <v>0</v>
      </c>
      <c r="I38" s="1560"/>
      <c r="J38" s="1560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ht="13.95" customHeight="1" x14ac:dyDescent="0.25">
      <c r="A40" s="1545" t="s">
        <v>327</v>
      </c>
      <c r="B40" s="1545"/>
      <c r="C40" s="1546" t="s">
        <v>328</v>
      </c>
      <c r="D40" s="1546"/>
      <c r="E40" s="1546"/>
      <c r="F40" s="1546"/>
      <c r="G40" s="106"/>
      <c r="H40" s="1531"/>
      <c r="I40" s="1531"/>
      <c r="J40" s="1531"/>
    </row>
    <row r="41" spans="1:10" x14ac:dyDescent="0.25">
      <c r="A41" s="1193"/>
      <c r="B41" s="1193"/>
      <c r="C41" s="1546"/>
      <c r="D41" s="1546"/>
      <c r="E41" s="1546"/>
      <c r="F41" s="1546"/>
      <c r="G41" s="1193"/>
      <c r="H41" s="1531" t="s">
        <v>329</v>
      </c>
      <c r="I41" s="1531"/>
      <c r="J41" s="1531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  <row r="45" spans="1:10" x14ac:dyDescent="0.25">
      <c r="A45" s="1193"/>
      <c r="B45" s="1193"/>
      <c r="C45" s="1193"/>
      <c r="D45" s="1193"/>
      <c r="E45" s="1193"/>
      <c r="F45" s="1193"/>
      <c r="G45" s="1193"/>
      <c r="H45" s="1193"/>
      <c r="I45" s="1193"/>
      <c r="J45" s="1193"/>
    </row>
  </sheetData>
  <mergeCells count="28">
    <mergeCell ref="H38:J38"/>
    <mergeCell ref="A13:G13"/>
    <mergeCell ref="A33:B33"/>
    <mergeCell ref="A34:B34"/>
    <mergeCell ref="A35:B35"/>
    <mergeCell ref="A36:B36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0:B40"/>
    <mergeCell ref="C40:F41"/>
    <mergeCell ref="H40:J40"/>
    <mergeCell ref="H41:J41"/>
    <mergeCell ref="H5:I5"/>
    <mergeCell ref="A6:G6"/>
    <mergeCell ref="A7:I7"/>
    <mergeCell ref="A32:B32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75E5"/>
  </sheetPr>
  <dimension ref="A1:J33"/>
  <sheetViews>
    <sheetView view="pageBreakPreview" topLeftCell="A17" zoomScaleNormal="100" zoomScaleSheetLayoutView="100" workbookViewId="0">
      <selection activeCell="A29" sqref="A29:J33"/>
    </sheetView>
  </sheetViews>
  <sheetFormatPr defaultRowHeight="13.8" x14ac:dyDescent="0.25"/>
  <cols>
    <col min="1" max="1" width="4.109375" customWidth="1"/>
    <col min="2" max="2" width="20.5546875" customWidth="1"/>
    <col min="3" max="7" width="7.5546875" customWidth="1"/>
    <col min="8" max="8" width="8.88671875" customWidth="1"/>
    <col min="9" max="9" width="7.5546875" customWidth="1"/>
    <col min="10" max="10" width="9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6)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70"/>
      <c r="I6" s="170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8</v>
      </c>
    </row>
    <row r="8" spans="1:10" s="2" customFormat="1" ht="9.6" customHeight="1" x14ac:dyDescent="0.25">
      <c r="A8" s="171"/>
      <c r="B8" s="171"/>
      <c r="C8" s="171"/>
      <c r="D8" s="171"/>
      <c r="E8" s="171"/>
      <c r="F8" s="171"/>
      <c r="G8" s="171"/>
      <c r="H8" s="171"/>
      <c r="I8" s="171"/>
      <c r="J8" s="109"/>
    </row>
    <row r="9" spans="1:10" s="2" customFormat="1" ht="26.1" customHeight="1" x14ac:dyDescent="0.3">
      <c r="A9" s="1550" t="s">
        <v>332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'7-бутерброд горяч. с сыром'!H14+1</f>
        <v>6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172" t="s">
        <v>92</v>
      </c>
      <c r="D17" s="172" t="s">
        <v>94</v>
      </c>
      <c r="E17" s="172" t="s">
        <v>93</v>
      </c>
      <c r="F17" s="172" t="s">
        <v>23</v>
      </c>
      <c r="G17" s="172" t="s">
        <v>92</v>
      </c>
      <c r="H17" s="172" t="s">
        <v>94</v>
      </c>
      <c r="I17" s="172" t="s">
        <v>92</v>
      </c>
      <c r="J17" s="172" t="s">
        <v>94</v>
      </c>
    </row>
    <row r="18" spans="1:10" ht="9.6" customHeight="1" x14ac:dyDescent="0.25">
      <c r="A18" s="172">
        <v>1</v>
      </c>
      <c r="B18" s="173">
        <v>2</v>
      </c>
      <c r="C18" s="172">
        <v>3</v>
      </c>
      <c r="D18" s="173">
        <v>4</v>
      </c>
      <c r="E18" s="172">
        <v>5</v>
      </c>
      <c r="F18" s="173">
        <v>6</v>
      </c>
      <c r="G18" s="172">
        <v>7</v>
      </c>
      <c r="H18" s="173">
        <v>8</v>
      </c>
      <c r="I18" s="172">
        <v>9</v>
      </c>
      <c r="J18" s="173">
        <v>10</v>
      </c>
    </row>
    <row r="19" spans="1:10" ht="14.1" customHeight="1" x14ac:dyDescent="0.25">
      <c r="A19" s="172">
        <v>1</v>
      </c>
      <c r="B19" s="181" t="s">
        <v>326</v>
      </c>
      <c r="C19" s="172">
        <v>1.6E-2</v>
      </c>
      <c r="D19" s="173">
        <v>1.4999999999999999E-2</v>
      </c>
      <c r="E19" s="182">
        <f>цены!F12</f>
        <v>400</v>
      </c>
      <c r="F19" s="13">
        <f>C19*E19</f>
        <v>6.4</v>
      </c>
      <c r="G19" s="97">
        <f t="shared" ref="G19:H22" si="0">C19*10</f>
        <v>0.16</v>
      </c>
      <c r="H19" s="21">
        <f t="shared" si="0"/>
        <v>0.15</v>
      </c>
      <c r="I19" s="21">
        <f t="shared" ref="I19:J22" si="1">C19*100</f>
        <v>1.6</v>
      </c>
      <c r="J19" s="21">
        <f t="shared" si="1"/>
        <v>1.5</v>
      </c>
    </row>
    <row r="20" spans="1:10" s="10" customFormat="1" ht="14.1" customHeight="1" x14ac:dyDescent="0.25">
      <c r="A20" s="180">
        <v>2</v>
      </c>
      <c r="B20" s="20" t="s">
        <v>205</v>
      </c>
      <c r="C20" s="111">
        <v>0.03</v>
      </c>
      <c r="D20" s="111">
        <v>0.03</v>
      </c>
      <c r="E20" s="13">
        <f>цены!F157</f>
        <v>65</v>
      </c>
      <c r="F20" s="13">
        <f>C20*E20</f>
        <v>1.95</v>
      </c>
      <c r="G20" s="97">
        <f t="shared" si="0"/>
        <v>0.3</v>
      </c>
      <c r="H20" s="21">
        <f t="shared" si="0"/>
        <v>0.3</v>
      </c>
      <c r="I20" s="21">
        <f t="shared" si="1"/>
        <v>3</v>
      </c>
      <c r="J20" s="21">
        <f t="shared" si="1"/>
        <v>3</v>
      </c>
    </row>
    <row r="21" spans="1:10" s="10" customFormat="1" ht="14.1" customHeight="1" x14ac:dyDescent="0.25">
      <c r="A21" s="180">
        <v>3</v>
      </c>
      <c r="B21" s="20" t="s">
        <v>323</v>
      </c>
      <c r="C21" s="111">
        <v>1.0500000000000001E-2</v>
      </c>
      <c r="D21" s="111">
        <v>0.01</v>
      </c>
      <c r="E21" s="13">
        <f>цены!F22</f>
        <v>719</v>
      </c>
      <c r="F21" s="13">
        <f>C21*E21</f>
        <v>7.55</v>
      </c>
      <c r="G21" s="97">
        <f t="shared" si="0"/>
        <v>0.105</v>
      </c>
      <c r="H21" s="21">
        <f t="shared" si="0"/>
        <v>0.1</v>
      </c>
      <c r="I21" s="21">
        <f t="shared" si="1"/>
        <v>1.05</v>
      </c>
      <c r="J21" s="21">
        <f t="shared" si="1"/>
        <v>1</v>
      </c>
    </row>
    <row r="22" spans="1:10" s="10" customFormat="1" ht="12" customHeight="1" x14ac:dyDescent="0.25">
      <c r="A22" s="180">
        <v>4</v>
      </c>
      <c r="B22" s="20" t="s">
        <v>159</v>
      </c>
      <c r="C22" s="111">
        <v>1.7000000000000001E-2</v>
      </c>
      <c r="D22" s="111">
        <v>0.01</v>
      </c>
      <c r="E22" s="13">
        <f>цены!F42</f>
        <v>60</v>
      </c>
      <c r="F22" s="13">
        <f>C22*E22</f>
        <v>1.02</v>
      </c>
      <c r="G22" s="97">
        <f t="shared" si="0"/>
        <v>0.17</v>
      </c>
      <c r="H22" s="21">
        <f t="shared" si="0"/>
        <v>0.1</v>
      </c>
      <c r="I22" s="21">
        <f t="shared" si="1"/>
        <v>1.7</v>
      </c>
      <c r="J22" s="21">
        <f t="shared" si="1"/>
        <v>1</v>
      </c>
    </row>
    <row r="23" spans="1:10" s="10" customFormat="1" ht="12" customHeight="1" x14ac:dyDescent="0.25">
      <c r="A23" s="98"/>
      <c r="B23" s="93" t="s">
        <v>100</v>
      </c>
      <c r="C23" s="100"/>
      <c r="D23" s="100">
        <v>0.06</v>
      </c>
      <c r="E23" s="95"/>
      <c r="F23" s="95">
        <f>SUM(F19:F22)</f>
        <v>16.920000000000002</v>
      </c>
      <c r="G23" s="99"/>
      <c r="H23" s="100">
        <f>D23*10</f>
        <v>0.6</v>
      </c>
      <c r="I23" s="100"/>
      <c r="J23" s="100">
        <f>D23*100</f>
        <v>6</v>
      </c>
    </row>
    <row r="24" spans="1:10" s="10" customFormat="1" ht="27.6" customHeight="1" x14ac:dyDescent="0.25">
      <c r="A24" s="1536" t="s">
        <v>35</v>
      </c>
      <c r="B24" s="1536"/>
      <c r="C24" s="90"/>
      <c r="D24" s="90"/>
      <c r="E24" s="13"/>
      <c r="F24" s="13">
        <f>F23</f>
        <v>16.920000000000002</v>
      </c>
      <c r="G24" s="174"/>
      <c r="H24" s="174"/>
      <c r="I24" s="21"/>
      <c r="J24" s="13"/>
    </row>
    <row r="25" spans="1:10" s="10" customFormat="1" ht="25.35" customHeight="1" x14ac:dyDescent="0.25">
      <c r="A25" s="1536" t="s">
        <v>36</v>
      </c>
      <c r="B25" s="1536"/>
      <c r="C25" s="90">
        <v>60</v>
      </c>
      <c r="D25" s="90"/>
      <c r="E25" s="13"/>
      <c r="F25" s="13"/>
      <c r="G25" s="13"/>
      <c r="H25" s="13"/>
      <c r="I25" s="21"/>
      <c r="J25" s="17"/>
    </row>
    <row r="26" spans="1:10" s="10" customFormat="1" ht="25.35" customHeight="1" x14ac:dyDescent="0.25">
      <c r="A26" s="1537" t="s">
        <v>37</v>
      </c>
      <c r="B26" s="1538"/>
      <c r="C26" s="91">
        <v>60</v>
      </c>
      <c r="D26" s="92"/>
      <c r="E26" s="173"/>
      <c r="F26" s="173"/>
      <c r="G26" s="173"/>
      <c r="H26" s="173"/>
      <c r="I26" s="21"/>
      <c r="J26" s="17"/>
    </row>
    <row r="27" spans="1:10" s="10" customFormat="1" ht="15" customHeight="1" x14ac:dyDescent="0.25">
      <c r="A27" s="1539" t="s">
        <v>38</v>
      </c>
      <c r="B27" s="1540"/>
      <c r="C27" s="92">
        <f>C25/C26</f>
        <v>1</v>
      </c>
      <c r="D27" s="92"/>
      <c r="E27" s="173"/>
      <c r="F27" s="173"/>
      <c r="G27" s="173"/>
      <c r="H27" s="173"/>
      <c r="I27" s="21"/>
      <c r="J27" s="17"/>
    </row>
    <row r="28" spans="1:10" ht="16.350000000000001" customHeight="1" x14ac:dyDescent="0.25">
      <c r="A28" s="1541" t="s">
        <v>39</v>
      </c>
      <c r="B28" s="1542"/>
      <c r="C28" s="15" t="s">
        <v>40</v>
      </c>
      <c r="D28" s="102"/>
      <c r="E28" s="102" t="s">
        <v>40</v>
      </c>
      <c r="F28" s="16">
        <f>F24/C27</f>
        <v>16.920000000000002</v>
      </c>
      <c r="G28" s="16"/>
      <c r="H28" s="16"/>
      <c r="I28" s="102" t="s">
        <v>40</v>
      </c>
      <c r="J28" s="102" t="s">
        <v>40</v>
      </c>
    </row>
    <row r="29" spans="1:10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0" ht="13.95" customHeight="1" x14ac:dyDescent="0.25">
      <c r="A30" s="1193"/>
      <c r="B30" s="1194" t="s">
        <v>49</v>
      </c>
      <c r="C30" s="1198"/>
      <c r="D30" s="1198"/>
      <c r="E30" s="1198"/>
      <c r="F30" s="1198"/>
      <c r="G30" s="1193"/>
      <c r="H30" s="1557">
        <f>'1-бутерброд с маслом'!$H$28</f>
        <v>0</v>
      </c>
      <c r="I30" s="1557"/>
      <c r="J30" s="1557"/>
    </row>
    <row r="31" spans="1:10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ht="13.95" customHeight="1" x14ac:dyDescent="0.25">
      <c r="A32" s="1545" t="s">
        <v>327</v>
      </c>
      <c r="B32" s="1545"/>
      <c r="C32" s="1546" t="s">
        <v>328</v>
      </c>
      <c r="D32" s="1546"/>
      <c r="E32" s="1546"/>
      <c r="F32" s="1546"/>
      <c r="G32" s="106"/>
      <c r="H32" s="1531"/>
      <c r="I32" s="1531"/>
      <c r="J32" s="1531"/>
    </row>
    <row r="33" spans="1:10" x14ac:dyDescent="0.25">
      <c r="A33" s="1193"/>
      <c r="B33" s="1193"/>
      <c r="C33" s="1546"/>
      <c r="D33" s="1546"/>
      <c r="E33" s="1546"/>
      <c r="F33" s="1546"/>
      <c r="G33" s="1193"/>
      <c r="H33" s="1531" t="s">
        <v>329</v>
      </c>
      <c r="I33" s="1531"/>
      <c r="J33" s="1531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2:B32"/>
    <mergeCell ref="C32:F33"/>
    <mergeCell ref="H32:J32"/>
    <mergeCell ref="H33:J33"/>
    <mergeCell ref="H30:J30"/>
    <mergeCell ref="A25:B25"/>
    <mergeCell ref="A26:B26"/>
    <mergeCell ref="A27:B27"/>
    <mergeCell ref="A28:B28"/>
    <mergeCell ref="A24:B24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M35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3.44140625" customWidth="1"/>
    <col min="2" max="2" width="22" customWidth="1"/>
    <col min="3" max="3" width="8.5546875" customWidth="1"/>
    <col min="4" max="4" width="9.5546875" customWidth="1"/>
    <col min="5" max="7" width="7.5546875" customWidth="1"/>
    <col min="8" max="8" width="8.88671875" customWidth="1"/>
    <col min="9" max="9" width="7.5546875" customWidth="1"/>
    <col min="10" max="10" width="9" customWidth="1"/>
    <col min="11" max="11" width="3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105)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140</v>
      </c>
    </row>
    <row r="8" spans="1:10" s="2" customFormat="1" ht="9.6" customHeight="1" x14ac:dyDescent="0.25">
      <c r="A8" s="178"/>
      <c r="B8" s="178"/>
      <c r="C8" s="178"/>
      <c r="D8" s="178"/>
      <c r="E8" s="178"/>
      <c r="F8" s="178"/>
      <c r="G8" s="178"/>
      <c r="H8" s="178"/>
      <c r="I8" s="178"/>
      <c r="J8" s="109"/>
    </row>
    <row r="9" spans="1:10" s="2" customFormat="1" ht="26.1" customHeight="1" x14ac:dyDescent="0.3">
      <c r="A9" s="1550" t="s">
        <v>646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'139-капуста туш.'!H14+1</f>
        <v>105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176" t="s">
        <v>92</v>
      </c>
      <c r="D17" s="176" t="s">
        <v>94</v>
      </c>
      <c r="E17" s="176" t="s">
        <v>93</v>
      </c>
      <c r="F17" s="176" t="s">
        <v>23</v>
      </c>
      <c r="G17" s="176" t="s">
        <v>92</v>
      </c>
      <c r="H17" s="176" t="s">
        <v>94</v>
      </c>
      <c r="I17" s="176" t="s">
        <v>92</v>
      </c>
      <c r="J17" s="176" t="s">
        <v>94</v>
      </c>
    </row>
    <row r="18" spans="1:13" ht="9.6" customHeight="1" x14ac:dyDescent="0.25">
      <c r="A18" s="176">
        <v>1</v>
      </c>
      <c r="B18" s="177">
        <v>2</v>
      </c>
      <c r="C18" s="176">
        <v>3</v>
      </c>
      <c r="D18" s="177">
        <v>4</v>
      </c>
      <c r="E18" s="176">
        <v>5</v>
      </c>
      <c r="F18" s="177">
        <v>6</v>
      </c>
      <c r="G18" s="176">
        <v>7</v>
      </c>
      <c r="H18" s="177">
        <v>8</v>
      </c>
      <c r="I18" s="176">
        <v>9</v>
      </c>
      <c r="J18" s="177">
        <v>10</v>
      </c>
    </row>
    <row r="19" spans="1:13" s="10" customFormat="1" ht="14.1" customHeight="1" x14ac:dyDescent="0.25">
      <c r="A19" s="180">
        <v>1</v>
      </c>
      <c r="B19" s="20" t="s">
        <v>52</v>
      </c>
      <c r="C19" s="111">
        <v>0.13400000000000001</v>
      </c>
      <c r="D19" s="111">
        <v>0.105</v>
      </c>
      <c r="E19" s="13">
        <f>цены!F51</f>
        <v>30</v>
      </c>
      <c r="F19" s="13">
        <f>C19*E19</f>
        <v>4.0199999999999996</v>
      </c>
      <c r="G19" s="97">
        <f t="shared" ref="G19:H21" si="0">C19*10</f>
        <v>1.34</v>
      </c>
      <c r="H19" s="21">
        <f t="shared" si="0"/>
        <v>1.05</v>
      </c>
      <c r="I19" s="21">
        <f t="shared" ref="I19:J21" si="1">C19*100</f>
        <v>13.4</v>
      </c>
      <c r="J19" s="21">
        <f t="shared" si="1"/>
        <v>10.5</v>
      </c>
      <c r="L19" s="1018">
        <f>C19/C$29</f>
        <v>0.13400000000000001</v>
      </c>
      <c r="M19" s="1018">
        <f>F19/C$29</f>
        <v>4.0199999999999996</v>
      </c>
    </row>
    <row r="20" spans="1:13" s="10" customFormat="1" ht="12" customHeight="1" x14ac:dyDescent="0.25">
      <c r="A20" s="180">
        <v>2</v>
      </c>
      <c r="B20" s="20" t="s">
        <v>48</v>
      </c>
      <c r="C20" s="111">
        <v>0.03</v>
      </c>
      <c r="D20" s="111">
        <v>2.5000000000000001E-2</v>
      </c>
      <c r="E20" s="13">
        <f>цены!F38</f>
        <v>50</v>
      </c>
      <c r="F20" s="13">
        <f>C20*E20</f>
        <v>1.5</v>
      </c>
      <c r="G20" s="97">
        <f t="shared" si="0"/>
        <v>0.3</v>
      </c>
      <c r="H20" s="21">
        <f t="shared" si="0"/>
        <v>0.25</v>
      </c>
      <c r="I20" s="21">
        <f t="shared" si="1"/>
        <v>3</v>
      </c>
      <c r="J20" s="21">
        <f t="shared" si="1"/>
        <v>2.5</v>
      </c>
      <c r="L20" s="1018">
        <f t="shared" ref="L20:L24" si="2">C20/C$29</f>
        <v>0.03</v>
      </c>
      <c r="M20" s="1018">
        <f t="shared" ref="M20:M24" si="3">F20/C$29</f>
        <v>1.5</v>
      </c>
    </row>
    <row r="21" spans="1:13" s="10" customFormat="1" ht="12" customHeight="1" x14ac:dyDescent="0.25">
      <c r="A21" s="180">
        <v>3</v>
      </c>
      <c r="B21" s="20" t="s">
        <v>74</v>
      </c>
      <c r="C21" s="111">
        <v>5.0000000000000001E-3</v>
      </c>
      <c r="D21" s="111">
        <v>5.0000000000000001E-3</v>
      </c>
      <c r="E21" s="13">
        <f>цены!F87</f>
        <v>120</v>
      </c>
      <c r="F21" s="13">
        <f>C21*E21</f>
        <v>0.6</v>
      </c>
      <c r="G21" s="97">
        <f t="shared" si="0"/>
        <v>0.05</v>
      </c>
      <c r="H21" s="21">
        <f t="shared" si="0"/>
        <v>0.05</v>
      </c>
      <c r="I21" s="21">
        <f t="shared" si="1"/>
        <v>0.5</v>
      </c>
      <c r="J21" s="21">
        <f t="shared" si="1"/>
        <v>0.5</v>
      </c>
      <c r="L21" s="1018">
        <f t="shared" si="2"/>
        <v>5.0000000000000001E-3</v>
      </c>
      <c r="M21" s="1018">
        <f t="shared" si="3"/>
        <v>0.6</v>
      </c>
    </row>
    <row r="22" spans="1:13" s="10" customFormat="1" ht="12" customHeight="1" x14ac:dyDescent="0.25">
      <c r="A22" s="184"/>
      <c r="B22" s="93" t="s">
        <v>178</v>
      </c>
      <c r="C22" s="112"/>
      <c r="D22" s="112">
        <v>1.2500000000000001E-2</v>
      </c>
      <c r="E22" s="95"/>
      <c r="F22" s="95">
        <f>SUM(F19:F21)</f>
        <v>6.12</v>
      </c>
      <c r="G22" s="99"/>
      <c r="H22" s="100">
        <f>D22*10</f>
        <v>0.125</v>
      </c>
      <c r="I22" s="100"/>
      <c r="J22" s="100">
        <f>D22*100</f>
        <v>1.25</v>
      </c>
      <c r="L22" s="1018"/>
      <c r="M22" s="1018"/>
    </row>
    <row r="23" spans="1:13" s="10" customFormat="1" ht="12" customHeight="1" x14ac:dyDescent="0.25">
      <c r="A23" s="180">
        <v>4</v>
      </c>
      <c r="B23" s="20" t="s">
        <v>349</v>
      </c>
      <c r="C23" s="111">
        <v>2.5000000000000001E-2</v>
      </c>
      <c r="D23" s="111">
        <v>2.5000000000000001E-2</v>
      </c>
      <c r="E23" s="13">
        <f>'330-соус сметанный'!F30</f>
        <v>61.41</v>
      </c>
      <c r="F23" s="13">
        <f>C23*E23</f>
        <v>1.54</v>
      </c>
      <c r="G23" s="97">
        <f>C23*10</f>
        <v>0.25</v>
      </c>
      <c r="H23" s="21">
        <f>D23*10</f>
        <v>0.25</v>
      </c>
      <c r="I23" s="21">
        <f>C23*100</f>
        <v>2.5</v>
      </c>
      <c r="J23" s="21">
        <f>D23*100</f>
        <v>2.5</v>
      </c>
      <c r="L23" s="1018">
        <f t="shared" si="2"/>
        <v>2.5000000000000001E-2</v>
      </c>
      <c r="M23" s="1018">
        <f t="shared" si="3"/>
        <v>1.54</v>
      </c>
    </row>
    <row r="24" spans="1:13" s="10" customFormat="1" ht="12" customHeight="1" x14ac:dyDescent="0.25">
      <c r="A24" s="180">
        <v>5</v>
      </c>
      <c r="B24" s="123" t="s">
        <v>78</v>
      </c>
      <c r="C24" s="130">
        <v>2E-3</v>
      </c>
      <c r="D24" s="130">
        <v>2E-3</v>
      </c>
      <c r="E24" s="127">
        <f>цены!F48</f>
        <v>300</v>
      </c>
      <c r="F24" s="13">
        <f>C24*E24</f>
        <v>0.6</v>
      </c>
      <c r="G24" s="97">
        <f>C24*10</f>
        <v>0.02</v>
      </c>
      <c r="H24" s="21">
        <f>D24*10</f>
        <v>0.02</v>
      </c>
      <c r="I24" s="21">
        <f>C24*100</f>
        <v>0.2</v>
      </c>
      <c r="J24" s="21">
        <f>D24*100</f>
        <v>0.2</v>
      </c>
      <c r="L24" s="1018">
        <f t="shared" si="2"/>
        <v>2E-3</v>
      </c>
      <c r="M24" s="1018">
        <f t="shared" si="3"/>
        <v>0.6</v>
      </c>
    </row>
    <row r="25" spans="1:13" s="10" customFormat="1" ht="12" customHeight="1" x14ac:dyDescent="0.25">
      <c r="A25" s="98"/>
      <c r="B25" s="93" t="s">
        <v>100</v>
      </c>
      <c r="C25" s="112"/>
      <c r="D25" s="112">
        <v>0.125</v>
      </c>
      <c r="E25" s="95"/>
      <c r="F25" s="95">
        <f>F22+F23+F24</f>
        <v>8.26</v>
      </c>
      <c r="G25" s="99"/>
      <c r="H25" s="100">
        <f>D25*10</f>
        <v>1.25</v>
      </c>
      <c r="I25" s="100"/>
      <c r="J25" s="100">
        <f>D25*100</f>
        <v>12.5</v>
      </c>
      <c r="L25" s="1018">
        <f>SUM(L19:L24)</f>
        <v>0.19600000000000001</v>
      </c>
      <c r="M25" s="1018">
        <f>SUM(M19:M24)</f>
        <v>8.26</v>
      </c>
    </row>
    <row r="26" spans="1:13" s="10" customFormat="1" ht="27.6" customHeight="1" x14ac:dyDescent="0.25">
      <c r="A26" s="1536" t="s">
        <v>35</v>
      </c>
      <c r="B26" s="1536"/>
      <c r="C26" s="90"/>
      <c r="D26" s="90"/>
      <c r="E26" s="13"/>
      <c r="F26" s="13">
        <f>F25</f>
        <v>8.26</v>
      </c>
      <c r="G26" s="175"/>
      <c r="H26" s="175"/>
      <c r="I26" s="21"/>
      <c r="J26" s="13"/>
    </row>
    <row r="27" spans="1:13" s="10" customFormat="1" ht="25.35" customHeight="1" x14ac:dyDescent="0.25">
      <c r="A27" s="1536" t="s">
        <v>356</v>
      </c>
      <c r="B27" s="1536"/>
      <c r="C27" s="90">
        <v>125</v>
      </c>
      <c r="D27" s="90"/>
      <c r="E27" s="13"/>
      <c r="F27" s="13"/>
      <c r="G27" s="13"/>
      <c r="H27" s="13"/>
      <c r="I27" s="21"/>
      <c r="J27" s="17"/>
    </row>
    <row r="28" spans="1:13" s="10" customFormat="1" ht="25.35" customHeight="1" x14ac:dyDescent="0.25">
      <c r="A28" s="1537" t="s">
        <v>37</v>
      </c>
      <c r="B28" s="1538"/>
      <c r="C28" s="91">
        <v>125</v>
      </c>
      <c r="D28" s="92"/>
      <c r="E28" s="177"/>
      <c r="F28" s="177"/>
      <c r="G28" s="177"/>
      <c r="H28" s="177"/>
      <c r="I28" s="21"/>
      <c r="J28" s="17"/>
    </row>
    <row r="29" spans="1:13" s="10" customFormat="1" ht="15" customHeight="1" x14ac:dyDescent="0.25">
      <c r="A29" s="1539" t="s">
        <v>38</v>
      </c>
      <c r="B29" s="1540"/>
      <c r="C29" s="92">
        <f>C27/C28</f>
        <v>1</v>
      </c>
      <c r="D29" s="92"/>
      <c r="E29" s="177"/>
      <c r="F29" s="177"/>
      <c r="G29" s="177"/>
      <c r="H29" s="177"/>
      <c r="I29" s="21"/>
      <c r="J29" s="17"/>
    </row>
    <row r="30" spans="1:13" ht="16.350000000000001" customHeight="1" x14ac:dyDescent="0.25">
      <c r="A30" s="1541" t="s">
        <v>39</v>
      </c>
      <c r="B30" s="1542"/>
      <c r="C30" s="15" t="s">
        <v>40</v>
      </c>
      <c r="D30" s="102"/>
      <c r="E30" s="102" t="s">
        <v>40</v>
      </c>
      <c r="F30" s="16">
        <f>F26/C29</f>
        <v>8.26</v>
      </c>
      <c r="G30" s="16"/>
      <c r="H30" s="16"/>
      <c r="I30" s="102" t="s">
        <v>40</v>
      </c>
      <c r="J30" s="102" t="s">
        <v>40</v>
      </c>
    </row>
    <row r="31" spans="1:13" ht="23.1" customHeight="1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3" x14ac:dyDescent="0.25">
      <c r="A32" s="1193"/>
      <c r="B32" s="1194" t="s">
        <v>49</v>
      </c>
      <c r="C32" s="1198"/>
      <c r="D32" s="1198"/>
      <c r="E32" s="1198"/>
      <c r="F32" s="1198"/>
      <c r="G32" s="1193"/>
      <c r="H32" s="1560">
        <f>'1-бутерброд с маслом'!$H$28</f>
        <v>0</v>
      </c>
      <c r="I32" s="1560"/>
      <c r="J32" s="1560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545" t="s">
        <v>327</v>
      </c>
      <c r="B34" s="1545"/>
      <c r="C34" s="1546" t="s">
        <v>328</v>
      </c>
      <c r="D34" s="1546"/>
      <c r="E34" s="1546"/>
      <c r="F34" s="1546"/>
      <c r="G34" s="106"/>
      <c r="H34" s="1531"/>
      <c r="I34" s="1531"/>
      <c r="J34" s="1531"/>
    </row>
    <row r="35" spans="1:10" x14ac:dyDescent="0.25">
      <c r="A35" s="1193"/>
      <c r="B35" s="1193"/>
      <c r="C35" s="1546"/>
      <c r="D35" s="1546"/>
      <c r="E35" s="1546"/>
      <c r="F35" s="1546"/>
      <c r="G35" s="1193"/>
      <c r="H35" s="1531" t="s">
        <v>329</v>
      </c>
      <c r="I35" s="1531"/>
      <c r="J35" s="1531"/>
    </row>
  </sheetData>
  <mergeCells count="28">
    <mergeCell ref="H35:J35"/>
    <mergeCell ref="A27:B27"/>
    <mergeCell ref="A28:B28"/>
    <mergeCell ref="A29:B29"/>
    <mergeCell ref="A30:B30"/>
    <mergeCell ref="A34:B34"/>
    <mergeCell ref="C34:F35"/>
    <mergeCell ref="C16:F16"/>
    <mergeCell ref="G16:H16"/>
    <mergeCell ref="I16:J16"/>
    <mergeCell ref="A13:G13"/>
    <mergeCell ref="H34:J34"/>
    <mergeCell ref="G1:J1"/>
    <mergeCell ref="G2:J2"/>
    <mergeCell ref="G3:J3"/>
    <mergeCell ref="A5:G5"/>
    <mergeCell ref="H32:J32"/>
    <mergeCell ref="H5:I5"/>
    <mergeCell ref="A6:G6"/>
    <mergeCell ref="A7:I7"/>
    <mergeCell ref="A26:B26"/>
    <mergeCell ref="A9:J9"/>
    <mergeCell ref="A11:J11"/>
    <mergeCell ref="I13:J13"/>
    <mergeCell ref="C14:G14"/>
    <mergeCell ref="I14:J14"/>
    <mergeCell ref="A16:A17"/>
    <mergeCell ref="B16:B17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M40"/>
  <sheetViews>
    <sheetView view="pageBreakPreview" zoomScaleNormal="100" zoomScaleSheetLayoutView="100" workbookViewId="0">
      <selection activeCell="L7" sqref="L7"/>
    </sheetView>
  </sheetViews>
  <sheetFormatPr defaultRowHeight="13.8" x14ac:dyDescent="0.25"/>
  <cols>
    <col min="1" max="1" width="3.44140625" customWidth="1"/>
    <col min="2" max="2" width="22" customWidth="1"/>
    <col min="3" max="3" width="8.5546875" customWidth="1"/>
    <col min="4" max="4" width="9.5546875" customWidth="1"/>
    <col min="5" max="7" width="7.5546875" customWidth="1"/>
    <col min="8" max="8" width="8.88671875" customWidth="1"/>
    <col min="9" max="9" width="7.5546875" customWidth="1"/>
    <col min="10" max="10" width="9" customWidth="1"/>
    <col min="11" max="11" width="3.5546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106)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142</v>
      </c>
    </row>
    <row r="8" spans="1:10" s="2" customFormat="1" ht="9.6" customHeight="1" x14ac:dyDescent="0.25">
      <c r="A8" s="178"/>
      <c r="B8" s="178"/>
      <c r="C8" s="178"/>
      <c r="D8" s="178"/>
      <c r="E8" s="178"/>
      <c r="F8" s="178"/>
      <c r="G8" s="178"/>
      <c r="H8" s="178"/>
      <c r="I8" s="178"/>
      <c r="J8" s="109"/>
    </row>
    <row r="9" spans="1:10" s="2" customFormat="1" ht="26.1" customHeight="1" x14ac:dyDescent="0.3">
      <c r="A9" s="1550" t="s">
        <v>647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'140-свекла тушен.'!H14+1</f>
        <v>106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176" t="s">
        <v>92</v>
      </c>
      <c r="D17" s="176" t="s">
        <v>94</v>
      </c>
      <c r="E17" s="176" t="s">
        <v>93</v>
      </c>
      <c r="F17" s="176" t="s">
        <v>23</v>
      </c>
      <c r="G17" s="176" t="s">
        <v>92</v>
      </c>
      <c r="H17" s="176" t="s">
        <v>94</v>
      </c>
      <c r="I17" s="176" t="s">
        <v>92</v>
      </c>
      <c r="J17" s="176" t="s">
        <v>94</v>
      </c>
    </row>
    <row r="18" spans="1:13" ht="9.6" customHeight="1" x14ac:dyDescent="0.25">
      <c r="A18" s="176">
        <v>1</v>
      </c>
      <c r="B18" s="177">
        <v>2</v>
      </c>
      <c r="C18" s="176">
        <v>3</v>
      </c>
      <c r="D18" s="177">
        <v>4</v>
      </c>
      <c r="E18" s="176">
        <v>5</v>
      </c>
      <c r="F18" s="177">
        <v>6</v>
      </c>
      <c r="G18" s="176">
        <v>7</v>
      </c>
      <c r="H18" s="177">
        <v>8</v>
      </c>
      <c r="I18" s="176">
        <v>9</v>
      </c>
      <c r="J18" s="177">
        <v>10</v>
      </c>
    </row>
    <row r="19" spans="1:13" s="10" customFormat="1" ht="14.1" customHeight="1" x14ac:dyDescent="0.25">
      <c r="A19" s="180">
        <v>1</v>
      </c>
      <c r="B19" s="20" t="s">
        <v>50</v>
      </c>
      <c r="C19" s="111">
        <v>0.154</v>
      </c>
      <c r="D19" s="111">
        <v>0.115</v>
      </c>
      <c r="E19" s="13">
        <f>цены!F35</f>
        <v>50</v>
      </c>
      <c r="F19" s="13">
        <f>C19*E19</f>
        <v>7.7</v>
      </c>
      <c r="G19" s="97">
        <f t="shared" ref="G19:H25" si="0">C19*10</f>
        <v>1.54</v>
      </c>
      <c r="H19" s="21">
        <f t="shared" si="0"/>
        <v>1.1499999999999999</v>
      </c>
      <c r="I19" s="21">
        <f t="shared" ref="I19:J25" si="1">C19*100</f>
        <v>15.4</v>
      </c>
      <c r="J19" s="21">
        <f t="shared" si="1"/>
        <v>11.5</v>
      </c>
      <c r="L19" s="1018">
        <f>C19/C$30</f>
        <v>0.154</v>
      </c>
      <c r="M19" s="1018">
        <f>F19/C$30</f>
        <v>7.7</v>
      </c>
    </row>
    <row r="20" spans="1:13" s="10" customFormat="1" ht="12" customHeight="1" x14ac:dyDescent="0.25">
      <c r="A20" s="180">
        <v>2</v>
      </c>
      <c r="B20" s="20" t="s">
        <v>47</v>
      </c>
      <c r="C20" s="111">
        <v>7.0000000000000001E-3</v>
      </c>
      <c r="D20" s="111">
        <v>5.0000000000000001E-3</v>
      </c>
      <c r="E20" s="13">
        <f>цены!F44</f>
        <v>50</v>
      </c>
      <c r="F20" s="13">
        <f t="shared" ref="F20:F25" si="2">C20*E20</f>
        <v>0.35</v>
      </c>
      <c r="G20" s="97">
        <f t="shared" si="0"/>
        <v>7.0000000000000007E-2</v>
      </c>
      <c r="H20" s="21">
        <f t="shared" si="0"/>
        <v>0.05</v>
      </c>
      <c r="I20" s="21">
        <f t="shared" si="1"/>
        <v>0.7</v>
      </c>
      <c r="J20" s="21">
        <f t="shared" si="1"/>
        <v>0.5</v>
      </c>
      <c r="L20" s="1018">
        <f t="shared" ref="L20:L25" si="3">C20/C$30</f>
        <v>7.0000000000000001E-3</v>
      </c>
      <c r="M20" s="1018">
        <f t="shared" ref="M20:M25" si="4">F20/C$30</f>
        <v>0.35</v>
      </c>
    </row>
    <row r="21" spans="1:13" s="10" customFormat="1" ht="12" customHeight="1" x14ac:dyDescent="0.25">
      <c r="A21" s="180">
        <v>3</v>
      </c>
      <c r="B21" s="20" t="s">
        <v>48</v>
      </c>
      <c r="C21" s="111">
        <v>6.0000000000000001E-3</v>
      </c>
      <c r="D21" s="111">
        <v>5.0000000000000001E-3</v>
      </c>
      <c r="E21" s="13">
        <f>цены!F38</f>
        <v>50</v>
      </c>
      <c r="F21" s="13">
        <f t="shared" si="2"/>
        <v>0.3</v>
      </c>
      <c r="G21" s="97">
        <f t="shared" si="0"/>
        <v>0.06</v>
      </c>
      <c r="H21" s="21">
        <f t="shared" si="0"/>
        <v>0.05</v>
      </c>
      <c r="I21" s="21">
        <f t="shared" si="1"/>
        <v>0.6</v>
      </c>
      <c r="J21" s="21">
        <f t="shared" si="1"/>
        <v>0.5</v>
      </c>
      <c r="L21" s="1018">
        <f t="shared" si="3"/>
        <v>6.0000000000000001E-3</v>
      </c>
      <c r="M21" s="1018">
        <f t="shared" si="4"/>
        <v>0.3</v>
      </c>
    </row>
    <row r="22" spans="1:13" s="10" customFormat="1" ht="12" customHeight="1" x14ac:dyDescent="0.25">
      <c r="A22" s="180">
        <v>4</v>
      </c>
      <c r="B22" s="20" t="s">
        <v>74</v>
      </c>
      <c r="C22" s="111">
        <v>7.0000000000000001E-3</v>
      </c>
      <c r="D22" s="111">
        <v>7.0000000000000001E-3</v>
      </c>
      <c r="E22" s="13">
        <f>цены!F87</f>
        <v>120</v>
      </c>
      <c r="F22" s="13">
        <f t="shared" si="2"/>
        <v>0.84</v>
      </c>
      <c r="G22" s="97">
        <f t="shared" si="0"/>
        <v>7.0000000000000007E-2</v>
      </c>
      <c r="H22" s="21">
        <f t="shared" si="0"/>
        <v>7.0000000000000007E-2</v>
      </c>
      <c r="I22" s="21">
        <f t="shared" si="1"/>
        <v>0.7</v>
      </c>
      <c r="J22" s="21">
        <f t="shared" si="1"/>
        <v>0.7</v>
      </c>
      <c r="L22" s="1018">
        <f t="shared" si="3"/>
        <v>7.0000000000000001E-3</v>
      </c>
      <c r="M22" s="1018">
        <f t="shared" si="4"/>
        <v>0.84</v>
      </c>
    </row>
    <row r="23" spans="1:13" s="10" customFormat="1" ht="12" customHeight="1" x14ac:dyDescent="0.25">
      <c r="A23" s="180">
        <v>5</v>
      </c>
      <c r="B23" s="20" t="s">
        <v>358</v>
      </c>
      <c r="C23" s="113">
        <v>1.0000000000000001E-5</v>
      </c>
      <c r="D23" s="113">
        <f>C23</f>
        <v>1.0000000000000001E-5</v>
      </c>
      <c r="E23" s="13">
        <f>цены!F100</f>
        <v>1000</v>
      </c>
      <c r="F23" s="13">
        <f t="shared" si="2"/>
        <v>0.01</v>
      </c>
      <c r="G23" s="97">
        <f t="shared" si="0"/>
        <v>0</v>
      </c>
      <c r="H23" s="21">
        <f t="shared" si="0"/>
        <v>0</v>
      </c>
      <c r="I23" s="21">
        <f t="shared" si="1"/>
        <v>1E-3</v>
      </c>
      <c r="J23" s="21">
        <f t="shared" si="1"/>
        <v>1E-3</v>
      </c>
      <c r="L23" s="1018">
        <f t="shared" si="3"/>
        <v>0</v>
      </c>
      <c r="M23" s="1018">
        <f t="shared" si="4"/>
        <v>0.01</v>
      </c>
    </row>
    <row r="24" spans="1:13" s="10" customFormat="1" ht="12" customHeight="1" x14ac:dyDescent="0.25">
      <c r="A24" s="180">
        <v>6</v>
      </c>
      <c r="B24" s="20" t="s">
        <v>33</v>
      </c>
      <c r="C24" s="111">
        <v>1E-4</v>
      </c>
      <c r="D24" s="111">
        <f>C24</f>
        <v>1E-4</v>
      </c>
      <c r="E24" s="13">
        <f>цены!F110</f>
        <v>24</v>
      </c>
      <c r="F24" s="13">
        <f t="shared" si="2"/>
        <v>0</v>
      </c>
      <c r="G24" s="97">
        <f t="shared" si="0"/>
        <v>1E-3</v>
      </c>
      <c r="H24" s="21">
        <f t="shared" si="0"/>
        <v>1E-3</v>
      </c>
      <c r="I24" s="21">
        <f t="shared" si="1"/>
        <v>0.01</v>
      </c>
      <c r="J24" s="21">
        <f t="shared" si="1"/>
        <v>0.01</v>
      </c>
      <c r="L24" s="1018">
        <f t="shared" si="3"/>
        <v>1E-4</v>
      </c>
      <c r="M24" s="1018">
        <f t="shared" si="4"/>
        <v>0</v>
      </c>
    </row>
    <row r="25" spans="1:13" s="10" customFormat="1" ht="12" customHeight="1" x14ac:dyDescent="0.25">
      <c r="A25" s="180">
        <v>7</v>
      </c>
      <c r="B25" s="20" t="s">
        <v>349</v>
      </c>
      <c r="C25" s="111">
        <v>2.5000000000000001E-2</v>
      </c>
      <c r="D25" s="111">
        <v>2.5000000000000001E-2</v>
      </c>
      <c r="E25" s="13">
        <f>'330-соус сметанный'!F30</f>
        <v>61.41</v>
      </c>
      <c r="F25" s="13">
        <f t="shared" si="2"/>
        <v>1.54</v>
      </c>
      <c r="G25" s="97">
        <f t="shared" si="0"/>
        <v>0.25</v>
      </c>
      <c r="H25" s="21">
        <f t="shared" si="0"/>
        <v>0.25</v>
      </c>
      <c r="I25" s="21">
        <f t="shared" si="1"/>
        <v>2.5</v>
      </c>
      <c r="J25" s="21">
        <f t="shared" si="1"/>
        <v>2.5</v>
      </c>
      <c r="L25" s="1018">
        <f t="shared" si="3"/>
        <v>2.5000000000000001E-2</v>
      </c>
      <c r="M25" s="1018">
        <f t="shared" si="4"/>
        <v>1.54</v>
      </c>
    </row>
    <row r="26" spans="1:13" s="10" customFormat="1" ht="12" customHeight="1" x14ac:dyDescent="0.25">
      <c r="A26" s="98"/>
      <c r="B26" s="93" t="s">
        <v>100</v>
      </c>
      <c r="C26" s="112"/>
      <c r="D26" s="112">
        <v>0.125</v>
      </c>
      <c r="E26" s="95"/>
      <c r="F26" s="95">
        <f>SUM(F19:F25)</f>
        <v>10.74</v>
      </c>
      <c r="G26" s="99"/>
      <c r="H26" s="100">
        <f>D26*10</f>
        <v>1.25</v>
      </c>
      <c r="I26" s="100"/>
      <c r="J26" s="100">
        <f>D26*100</f>
        <v>12.5</v>
      </c>
      <c r="L26" s="1018">
        <f>SUM(L19:L25)</f>
        <v>0.1991</v>
      </c>
      <c r="M26" s="1018">
        <f>SUM(M19:M25)</f>
        <v>10.74</v>
      </c>
    </row>
    <row r="27" spans="1:13" s="10" customFormat="1" ht="27.6" customHeight="1" x14ac:dyDescent="0.25">
      <c r="A27" s="1536" t="s">
        <v>35</v>
      </c>
      <c r="B27" s="1536"/>
      <c r="C27" s="90"/>
      <c r="D27" s="90"/>
      <c r="E27" s="13"/>
      <c r="F27" s="13">
        <f>F26</f>
        <v>10.74</v>
      </c>
      <c r="G27" s="175"/>
      <c r="H27" s="175"/>
      <c r="I27" s="21"/>
      <c r="J27" s="13"/>
    </row>
    <row r="28" spans="1:13" s="10" customFormat="1" ht="25.35" customHeight="1" x14ac:dyDescent="0.25">
      <c r="A28" s="1536" t="s">
        <v>356</v>
      </c>
      <c r="B28" s="1536"/>
      <c r="C28" s="90">
        <v>125</v>
      </c>
      <c r="D28" s="90"/>
      <c r="E28" s="13"/>
      <c r="F28" s="13"/>
      <c r="G28" s="13"/>
      <c r="H28" s="13"/>
      <c r="I28" s="21"/>
      <c r="J28" s="17"/>
    </row>
    <row r="29" spans="1:13" s="10" customFormat="1" ht="25.35" customHeight="1" x14ac:dyDescent="0.25">
      <c r="A29" s="1537" t="s">
        <v>37</v>
      </c>
      <c r="B29" s="1538"/>
      <c r="C29" s="91">
        <v>125</v>
      </c>
      <c r="D29" s="92"/>
      <c r="E29" s="177"/>
      <c r="F29" s="177"/>
      <c r="G29" s="177"/>
      <c r="H29" s="177"/>
      <c r="I29" s="21"/>
      <c r="J29" s="17"/>
    </row>
    <row r="30" spans="1:13" s="10" customFormat="1" ht="15" customHeight="1" x14ac:dyDescent="0.25">
      <c r="A30" s="1539" t="s">
        <v>38</v>
      </c>
      <c r="B30" s="1540"/>
      <c r="C30" s="92">
        <f>C28/C29</f>
        <v>1</v>
      </c>
      <c r="D30" s="92"/>
      <c r="E30" s="177"/>
      <c r="F30" s="177"/>
      <c r="G30" s="177"/>
      <c r="H30" s="177"/>
      <c r="I30" s="21"/>
      <c r="J30" s="17"/>
    </row>
    <row r="31" spans="1:13" ht="16.350000000000001" customHeight="1" x14ac:dyDescent="0.25">
      <c r="A31" s="1541" t="s">
        <v>39</v>
      </c>
      <c r="B31" s="1542"/>
      <c r="C31" s="15" t="s">
        <v>40</v>
      </c>
      <c r="D31" s="102"/>
      <c r="E31" s="102" t="s">
        <v>40</v>
      </c>
      <c r="F31" s="16">
        <f>F27/C30</f>
        <v>10.74</v>
      </c>
      <c r="G31" s="16"/>
      <c r="H31" s="16"/>
      <c r="I31" s="102" t="s">
        <v>40</v>
      </c>
      <c r="J31" s="102" t="s">
        <v>40</v>
      </c>
    </row>
    <row r="32" spans="1:13" ht="23.1" customHeight="1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193"/>
      <c r="B33" s="1194" t="s">
        <v>49</v>
      </c>
      <c r="C33" s="1198"/>
      <c r="D33" s="1198"/>
      <c r="E33" s="1198"/>
      <c r="F33" s="1198"/>
      <c r="G33" s="1193"/>
      <c r="H33" s="1560">
        <f>'1-бутерброд с маслом'!$H$28</f>
        <v>0</v>
      </c>
      <c r="I33" s="1560"/>
      <c r="J33" s="1560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545" t="s">
        <v>327</v>
      </c>
      <c r="B35" s="1545"/>
      <c r="C35" s="1546" t="s">
        <v>328</v>
      </c>
      <c r="D35" s="1546"/>
      <c r="E35" s="1546"/>
      <c r="F35" s="1546"/>
      <c r="G35" s="106"/>
      <c r="H35" s="1531"/>
      <c r="I35" s="1531"/>
      <c r="J35" s="1531"/>
    </row>
    <row r="36" spans="1:10" x14ac:dyDescent="0.25">
      <c r="A36" s="1193"/>
      <c r="B36" s="1193"/>
      <c r="C36" s="1546"/>
      <c r="D36" s="1546"/>
      <c r="E36" s="1546"/>
      <c r="F36" s="1546"/>
      <c r="G36" s="1193"/>
      <c r="H36" s="1531" t="s">
        <v>329</v>
      </c>
      <c r="I36" s="1531"/>
      <c r="J36" s="1531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</sheetData>
  <mergeCells count="28">
    <mergeCell ref="H33:J33"/>
    <mergeCell ref="A13:G13"/>
    <mergeCell ref="A28:B28"/>
    <mergeCell ref="A29:B29"/>
    <mergeCell ref="A30:B30"/>
    <mergeCell ref="A31:B31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5:B35"/>
    <mergeCell ref="C35:F36"/>
    <mergeCell ref="H35:J35"/>
    <mergeCell ref="H36:J36"/>
    <mergeCell ref="H5:I5"/>
    <mergeCell ref="A6:G6"/>
    <mergeCell ref="A7:I7"/>
    <mergeCell ref="A27:B27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M45"/>
  <sheetViews>
    <sheetView view="pageBreakPreview" topLeftCell="A7" zoomScaleNormal="100" zoomScaleSheetLayoutView="100" workbookViewId="0">
      <selection activeCell="A9" sqref="A9:J9"/>
    </sheetView>
  </sheetViews>
  <sheetFormatPr defaultRowHeight="13.8" x14ac:dyDescent="0.25"/>
  <cols>
    <col min="1" max="1" width="3.44140625" customWidth="1"/>
    <col min="2" max="2" width="22" customWidth="1"/>
    <col min="3" max="3" width="8.5546875" customWidth="1"/>
    <col min="4" max="4" width="9.5546875" customWidth="1"/>
    <col min="5" max="7" width="7.5546875" customWidth="1"/>
    <col min="8" max="8" width="8.88671875" customWidth="1"/>
    <col min="9" max="9" width="7.5546875" customWidth="1"/>
    <col min="10" max="10" width="9" customWidth="1"/>
    <col min="11" max="11" width="3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107)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143</v>
      </c>
    </row>
    <row r="8" spans="1:10" s="2" customFormat="1" ht="9.6" customHeight="1" x14ac:dyDescent="0.25">
      <c r="A8" s="380"/>
      <c r="B8" s="380"/>
      <c r="C8" s="380"/>
      <c r="D8" s="380"/>
      <c r="E8" s="380"/>
      <c r="F8" s="380"/>
      <c r="G8" s="380"/>
      <c r="H8" s="380"/>
      <c r="I8" s="380"/>
      <c r="J8" s="109"/>
    </row>
    <row r="9" spans="1:10" s="2" customFormat="1" ht="26.1" customHeight="1" x14ac:dyDescent="0.3">
      <c r="A9" s="1550" t="s">
        <v>658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'142-картофель и овощи'!H14+1</f>
        <v>107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381" t="s">
        <v>92</v>
      </c>
      <c r="D17" s="381" t="s">
        <v>94</v>
      </c>
      <c r="E17" s="381" t="s">
        <v>93</v>
      </c>
      <c r="F17" s="381" t="s">
        <v>23</v>
      </c>
      <c r="G17" s="381" t="s">
        <v>92</v>
      </c>
      <c r="H17" s="381" t="s">
        <v>94</v>
      </c>
      <c r="I17" s="381" t="s">
        <v>92</v>
      </c>
      <c r="J17" s="381" t="s">
        <v>94</v>
      </c>
    </row>
    <row r="18" spans="1:13" ht="9.6" customHeight="1" x14ac:dyDescent="0.25">
      <c r="A18" s="381">
        <v>1</v>
      </c>
      <c r="B18" s="382">
        <v>2</v>
      </c>
      <c r="C18" s="381">
        <v>3</v>
      </c>
      <c r="D18" s="382">
        <v>4</v>
      </c>
      <c r="E18" s="381">
        <v>5</v>
      </c>
      <c r="F18" s="382">
        <v>6</v>
      </c>
      <c r="G18" s="381">
        <v>7</v>
      </c>
      <c r="H18" s="382">
        <v>8</v>
      </c>
      <c r="I18" s="381">
        <v>9</v>
      </c>
      <c r="J18" s="382">
        <v>10</v>
      </c>
    </row>
    <row r="19" spans="1:13" s="10" customFormat="1" ht="14.1" customHeight="1" x14ac:dyDescent="0.25">
      <c r="A19" s="180">
        <v>1</v>
      </c>
      <c r="B19" s="20" t="s">
        <v>50</v>
      </c>
      <c r="C19" s="111">
        <v>6.4500000000000002E-2</v>
      </c>
      <c r="D19" s="111">
        <v>4.8000000000000001E-2</v>
      </c>
      <c r="E19" s="13">
        <f>цены!F35</f>
        <v>50</v>
      </c>
      <c r="F19" s="13">
        <f>C19*E19</f>
        <v>3.23</v>
      </c>
      <c r="G19" s="97">
        <f t="shared" ref="G19:H21" si="0">C19*10</f>
        <v>0.64500000000000002</v>
      </c>
      <c r="H19" s="21">
        <f t="shared" si="0"/>
        <v>0.48</v>
      </c>
      <c r="I19" s="21">
        <f t="shared" ref="I19:J21" si="1">C19*100</f>
        <v>6.45</v>
      </c>
      <c r="J19" s="21">
        <f t="shared" si="1"/>
        <v>4.8</v>
      </c>
      <c r="L19" s="1018">
        <f>C19/C$35</f>
        <v>6.4500000000000002E-2</v>
      </c>
      <c r="M19" s="1018">
        <f>F19/C$35</f>
        <v>3.23</v>
      </c>
    </row>
    <row r="20" spans="1:13" s="10" customFormat="1" ht="12" customHeight="1" x14ac:dyDescent="0.25">
      <c r="A20" s="180">
        <v>2</v>
      </c>
      <c r="B20" s="20" t="s">
        <v>47</v>
      </c>
      <c r="C20" s="111">
        <v>0.03</v>
      </c>
      <c r="D20" s="111">
        <v>1.6500000000000001E-2</v>
      </c>
      <c r="E20" s="13">
        <f>цены!F44</f>
        <v>50</v>
      </c>
      <c r="F20" s="13">
        <f>C20*E20</f>
        <v>1.5</v>
      </c>
      <c r="G20" s="97">
        <f t="shared" si="0"/>
        <v>0.3</v>
      </c>
      <c r="H20" s="21">
        <f t="shared" si="0"/>
        <v>0.16500000000000001</v>
      </c>
      <c r="I20" s="21">
        <f t="shared" si="1"/>
        <v>3</v>
      </c>
      <c r="J20" s="21">
        <f t="shared" si="1"/>
        <v>1.65</v>
      </c>
      <c r="L20" s="1018">
        <f t="shared" ref="L20:L30" si="2">C20/C$35</f>
        <v>0.03</v>
      </c>
      <c r="M20" s="1018">
        <f t="shared" ref="M20:M30" si="3">F20/C$35</f>
        <v>1.5</v>
      </c>
    </row>
    <row r="21" spans="1:13" s="10" customFormat="1" ht="12" customHeight="1" x14ac:dyDescent="0.25">
      <c r="A21" s="180">
        <v>3</v>
      </c>
      <c r="B21" s="20" t="s">
        <v>48</v>
      </c>
      <c r="C21" s="111">
        <v>1.4999999999999999E-2</v>
      </c>
      <c r="D21" s="111">
        <v>6.0000000000000001E-3</v>
      </c>
      <c r="E21" s="13">
        <f>цены!F38</f>
        <v>50</v>
      </c>
      <c r="F21" s="13">
        <f>C21*E21</f>
        <v>0.75</v>
      </c>
      <c r="G21" s="97">
        <f t="shared" si="0"/>
        <v>0.15</v>
      </c>
      <c r="H21" s="21">
        <f t="shared" si="0"/>
        <v>0.06</v>
      </c>
      <c r="I21" s="21">
        <f t="shared" si="1"/>
        <v>1.5</v>
      </c>
      <c r="J21" s="21">
        <f t="shared" si="1"/>
        <v>0.6</v>
      </c>
      <c r="L21" s="1018">
        <f t="shared" si="2"/>
        <v>1.4999999999999999E-2</v>
      </c>
      <c r="M21" s="1018">
        <f t="shared" si="3"/>
        <v>0.75</v>
      </c>
    </row>
    <row r="22" spans="1:13" s="10" customFormat="1" ht="12" customHeight="1" x14ac:dyDescent="0.25">
      <c r="A22" s="180">
        <v>4</v>
      </c>
      <c r="B22" s="20" t="s">
        <v>659</v>
      </c>
      <c r="C22" s="111">
        <v>3.15E-2</v>
      </c>
      <c r="D22" s="111">
        <v>1.7999999999999999E-2</v>
      </c>
      <c r="E22" s="13">
        <f>цены!F54</f>
        <v>60</v>
      </c>
      <c r="F22" s="13">
        <f t="shared" ref="F22:F27" si="4">C22*E22</f>
        <v>1.89</v>
      </c>
      <c r="G22" s="97">
        <f t="shared" ref="G22:G27" si="5">C22*10</f>
        <v>0.315</v>
      </c>
      <c r="H22" s="21">
        <f t="shared" ref="H22:H27" si="6">D22*10</f>
        <v>0.18</v>
      </c>
      <c r="I22" s="21">
        <f t="shared" ref="I22:I27" si="7">C22*100</f>
        <v>3.15</v>
      </c>
      <c r="J22" s="21">
        <f t="shared" ref="J22:J27" si="8">D22*100</f>
        <v>1.8</v>
      </c>
      <c r="L22" s="1018">
        <f t="shared" si="2"/>
        <v>3.15E-2</v>
      </c>
      <c r="M22" s="1018">
        <f t="shared" si="3"/>
        <v>1.89</v>
      </c>
    </row>
    <row r="23" spans="1:13" s="10" customFormat="1" ht="12" customHeight="1" x14ac:dyDescent="0.25">
      <c r="A23" s="180">
        <v>5</v>
      </c>
      <c r="B23" s="20" t="s">
        <v>660</v>
      </c>
      <c r="C23" s="111">
        <v>3.7499999999999999E-2</v>
      </c>
      <c r="D23" s="111">
        <v>2.7E-2</v>
      </c>
      <c r="E23" s="13">
        <f>цены!F33</f>
        <v>53</v>
      </c>
      <c r="F23" s="13">
        <f t="shared" si="4"/>
        <v>1.99</v>
      </c>
      <c r="G23" s="97">
        <f t="shared" si="5"/>
        <v>0.375</v>
      </c>
      <c r="H23" s="21">
        <f t="shared" si="6"/>
        <v>0.27</v>
      </c>
      <c r="I23" s="21">
        <f t="shared" si="7"/>
        <v>3.75</v>
      </c>
      <c r="J23" s="21">
        <f t="shared" si="8"/>
        <v>2.7</v>
      </c>
      <c r="L23" s="1018">
        <f t="shared" si="2"/>
        <v>3.7499999999999999E-2</v>
      </c>
      <c r="M23" s="1018">
        <f t="shared" si="3"/>
        <v>1.99</v>
      </c>
    </row>
    <row r="24" spans="1:13" s="10" customFormat="1" ht="12" customHeight="1" x14ac:dyDescent="0.25">
      <c r="A24" s="180">
        <v>6</v>
      </c>
      <c r="B24" s="20" t="s">
        <v>74</v>
      </c>
      <c r="C24" s="111">
        <v>6.0000000000000001E-3</v>
      </c>
      <c r="D24" s="111">
        <v>6.0000000000000001E-3</v>
      </c>
      <c r="E24" s="13">
        <f>цены!F87</f>
        <v>120</v>
      </c>
      <c r="F24" s="13">
        <f t="shared" si="4"/>
        <v>0.72</v>
      </c>
      <c r="G24" s="97">
        <f t="shared" si="5"/>
        <v>0.06</v>
      </c>
      <c r="H24" s="21">
        <f t="shared" si="6"/>
        <v>0.06</v>
      </c>
      <c r="I24" s="21">
        <f t="shared" si="7"/>
        <v>0.6</v>
      </c>
      <c r="J24" s="21">
        <f t="shared" si="8"/>
        <v>0.6</v>
      </c>
      <c r="L24" s="1018">
        <f t="shared" si="2"/>
        <v>6.0000000000000001E-3</v>
      </c>
      <c r="M24" s="1018">
        <f t="shared" si="3"/>
        <v>0.72</v>
      </c>
    </row>
    <row r="25" spans="1:13" s="10" customFormat="1" ht="12" customHeight="1" x14ac:dyDescent="0.25">
      <c r="A25" s="180">
        <v>7</v>
      </c>
      <c r="B25" s="20" t="s">
        <v>651</v>
      </c>
      <c r="C25" s="111">
        <v>4.4999999999999998E-2</v>
      </c>
      <c r="D25" s="111">
        <v>4.4999999999999998E-2</v>
      </c>
      <c r="E25" s="13">
        <f>'330-соус сметанный'!F30</f>
        <v>61.41</v>
      </c>
      <c r="F25" s="13">
        <f t="shared" si="4"/>
        <v>2.76</v>
      </c>
      <c r="G25" s="97">
        <f t="shared" si="5"/>
        <v>0.45</v>
      </c>
      <c r="H25" s="21">
        <f t="shared" si="6"/>
        <v>0.45</v>
      </c>
      <c r="I25" s="21">
        <f t="shared" si="7"/>
        <v>4.5</v>
      </c>
      <c r="J25" s="21">
        <f t="shared" si="8"/>
        <v>4.5</v>
      </c>
      <c r="L25" s="1018">
        <f t="shared" si="2"/>
        <v>4.4999999999999998E-2</v>
      </c>
      <c r="M25" s="1018">
        <f t="shared" si="3"/>
        <v>2.76</v>
      </c>
    </row>
    <row r="26" spans="1:13" s="10" customFormat="1" ht="12" customHeight="1" x14ac:dyDescent="0.25">
      <c r="A26" s="180">
        <v>8</v>
      </c>
      <c r="B26" s="20" t="s">
        <v>358</v>
      </c>
      <c r="C26" s="113">
        <v>1.5E-5</v>
      </c>
      <c r="D26" s="113">
        <v>1.5E-5</v>
      </c>
      <c r="E26" s="13">
        <f>цены!F100</f>
        <v>1000</v>
      </c>
      <c r="F26" s="13">
        <f t="shared" si="4"/>
        <v>0.02</v>
      </c>
      <c r="G26" s="97">
        <f t="shared" si="5"/>
        <v>0</v>
      </c>
      <c r="H26" s="21">
        <f t="shared" si="6"/>
        <v>0</v>
      </c>
      <c r="I26" s="21">
        <f t="shared" si="7"/>
        <v>2E-3</v>
      </c>
      <c r="J26" s="21">
        <f t="shared" si="8"/>
        <v>2E-3</v>
      </c>
      <c r="L26" s="1018">
        <f t="shared" si="2"/>
        <v>0</v>
      </c>
      <c r="M26" s="1018">
        <f t="shared" si="3"/>
        <v>0.02</v>
      </c>
    </row>
    <row r="27" spans="1:13" s="10" customFormat="1" ht="12" customHeight="1" x14ac:dyDescent="0.25">
      <c r="A27" s="180">
        <v>9</v>
      </c>
      <c r="B27" s="20" t="s">
        <v>33</v>
      </c>
      <c r="C27" s="111">
        <v>1.5E-3</v>
      </c>
      <c r="D27" s="111">
        <v>1.5E-3</v>
      </c>
      <c r="E27" s="13">
        <f>цены!F110</f>
        <v>24</v>
      </c>
      <c r="F27" s="13">
        <f t="shared" si="4"/>
        <v>0.04</v>
      </c>
      <c r="G27" s="97">
        <f t="shared" si="5"/>
        <v>1.4999999999999999E-2</v>
      </c>
      <c r="H27" s="21">
        <f t="shared" si="6"/>
        <v>1.4999999999999999E-2</v>
      </c>
      <c r="I27" s="21">
        <f t="shared" si="7"/>
        <v>0.15</v>
      </c>
      <c r="J27" s="21">
        <f t="shared" si="8"/>
        <v>0.15</v>
      </c>
      <c r="L27" s="1018">
        <f t="shared" si="2"/>
        <v>1.5E-3</v>
      </c>
      <c r="M27" s="1018">
        <f t="shared" si="3"/>
        <v>0.04</v>
      </c>
    </row>
    <row r="28" spans="1:13" s="10" customFormat="1" ht="12" customHeight="1" x14ac:dyDescent="0.25">
      <c r="A28" s="184"/>
      <c r="B28" s="93" t="s">
        <v>661</v>
      </c>
      <c r="C28" s="112"/>
      <c r="D28" s="1028">
        <v>150</v>
      </c>
      <c r="E28" s="1028"/>
      <c r="F28" s="1028"/>
      <c r="G28" s="1031"/>
      <c r="H28" s="1028">
        <v>1500</v>
      </c>
      <c r="I28" s="1028"/>
      <c r="J28" s="1028">
        <v>15000</v>
      </c>
      <c r="L28" s="1018"/>
      <c r="M28" s="1018"/>
    </row>
    <row r="29" spans="1:13" s="10" customFormat="1" ht="12" customHeight="1" x14ac:dyDescent="0.25">
      <c r="A29" s="180">
        <v>10</v>
      </c>
      <c r="B29" s="20" t="s">
        <v>31</v>
      </c>
      <c r="C29" s="111">
        <v>8.0000000000000002E-3</v>
      </c>
      <c r="D29" s="111">
        <v>8.0000000000000002E-3</v>
      </c>
      <c r="E29" s="13">
        <f>цены!F21</f>
        <v>710</v>
      </c>
      <c r="F29" s="13">
        <f>C29*E29</f>
        <v>5.68</v>
      </c>
      <c r="G29" s="97">
        <f>C29*10</f>
        <v>0.08</v>
      </c>
      <c r="H29" s="21">
        <f>D29*10</f>
        <v>0.08</v>
      </c>
      <c r="I29" s="21">
        <f>C29*100</f>
        <v>0.8</v>
      </c>
      <c r="J29" s="21">
        <f>D29*100</f>
        <v>0.8</v>
      </c>
      <c r="L29" s="1018">
        <f t="shared" si="2"/>
        <v>8.0000000000000002E-3</v>
      </c>
      <c r="M29" s="1018">
        <f t="shared" si="3"/>
        <v>5.68</v>
      </c>
    </row>
    <row r="30" spans="1:13" s="10" customFormat="1" ht="12" customHeight="1" x14ac:dyDescent="0.25">
      <c r="A30" s="180">
        <v>11</v>
      </c>
      <c r="B30" s="20" t="s">
        <v>223</v>
      </c>
      <c r="C30" s="111">
        <v>2E-3</v>
      </c>
      <c r="D30" s="111">
        <v>2E-3</v>
      </c>
      <c r="E30" s="13">
        <f>цены!F48</f>
        <v>300</v>
      </c>
      <c r="F30" s="13">
        <f>C30*E30</f>
        <v>0.6</v>
      </c>
      <c r="G30" s="97">
        <f>C30*10</f>
        <v>0.02</v>
      </c>
      <c r="H30" s="21">
        <f>D30*10</f>
        <v>0.02</v>
      </c>
      <c r="I30" s="21">
        <f>C30*100</f>
        <v>0.2</v>
      </c>
      <c r="J30" s="21">
        <f>D30*100</f>
        <v>0.2</v>
      </c>
      <c r="L30" s="1018">
        <f t="shared" si="2"/>
        <v>2E-3</v>
      </c>
      <c r="M30" s="1018">
        <f t="shared" si="3"/>
        <v>0.6</v>
      </c>
    </row>
    <row r="31" spans="1:13" s="10" customFormat="1" ht="12" customHeight="1" x14ac:dyDescent="0.25">
      <c r="A31" s="98"/>
      <c r="B31" s="93" t="s">
        <v>100</v>
      </c>
      <c r="C31" s="112"/>
      <c r="D31" s="112">
        <v>0.16</v>
      </c>
      <c r="E31" s="95"/>
      <c r="F31" s="95">
        <f>SUM(F19:F30)</f>
        <v>19.18</v>
      </c>
      <c r="G31" s="99"/>
      <c r="H31" s="100">
        <f>D31*10</f>
        <v>1.6</v>
      </c>
      <c r="I31" s="100"/>
      <c r="J31" s="100">
        <f>D31*100</f>
        <v>16</v>
      </c>
      <c r="L31" s="1018">
        <f>SUM(L19:L30)</f>
        <v>0.24099999999999999</v>
      </c>
      <c r="M31" s="1018">
        <f>SUM(M19:M30)</f>
        <v>19.18</v>
      </c>
    </row>
    <row r="32" spans="1:13" s="10" customFormat="1" ht="27.6" customHeight="1" x14ac:dyDescent="0.25">
      <c r="A32" s="1536" t="s">
        <v>35</v>
      </c>
      <c r="B32" s="1536"/>
      <c r="C32" s="90"/>
      <c r="D32" s="90"/>
      <c r="E32" s="13"/>
      <c r="F32" s="13">
        <f>F31</f>
        <v>19.18</v>
      </c>
      <c r="G32" s="383"/>
      <c r="H32" s="383"/>
      <c r="I32" s="21"/>
      <c r="J32" s="13"/>
    </row>
    <row r="33" spans="1:10" s="10" customFormat="1" ht="25.35" customHeight="1" x14ac:dyDescent="0.25">
      <c r="A33" s="1536" t="s">
        <v>356</v>
      </c>
      <c r="B33" s="1536"/>
      <c r="C33" s="90">
        <v>160</v>
      </c>
      <c r="D33" s="90"/>
      <c r="E33" s="13"/>
      <c r="F33" s="13"/>
      <c r="G33" s="13"/>
      <c r="H33" s="13"/>
      <c r="I33" s="21"/>
      <c r="J33" s="17"/>
    </row>
    <row r="34" spans="1:10" s="10" customFormat="1" ht="25.35" customHeight="1" x14ac:dyDescent="0.25">
      <c r="A34" s="1537" t="s">
        <v>37</v>
      </c>
      <c r="B34" s="1538"/>
      <c r="C34" s="91">
        <v>160</v>
      </c>
      <c r="D34" s="92"/>
      <c r="E34" s="382"/>
      <c r="F34" s="382"/>
      <c r="G34" s="382"/>
      <c r="H34" s="382"/>
      <c r="I34" s="21"/>
      <c r="J34" s="17"/>
    </row>
    <row r="35" spans="1:10" s="10" customFormat="1" ht="15" customHeight="1" x14ac:dyDescent="0.25">
      <c r="A35" s="1539" t="s">
        <v>38</v>
      </c>
      <c r="B35" s="1540"/>
      <c r="C35" s="92">
        <f>C33/C34</f>
        <v>1</v>
      </c>
      <c r="D35" s="92"/>
      <c r="E35" s="382"/>
      <c r="F35" s="382"/>
      <c r="G35" s="382"/>
      <c r="H35" s="382"/>
      <c r="I35" s="21"/>
      <c r="J35" s="17"/>
    </row>
    <row r="36" spans="1:10" ht="16.350000000000001" customHeight="1" x14ac:dyDescent="0.25">
      <c r="A36" s="1541" t="s">
        <v>39</v>
      </c>
      <c r="B36" s="1542"/>
      <c r="C36" s="15" t="s">
        <v>40</v>
      </c>
      <c r="D36" s="102"/>
      <c r="E36" s="102" t="s">
        <v>40</v>
      </c>
      <c r="F36" s="16">
        <f>F32/C35</f>
        <v>19.18</v>
      </c>
      <c r="G36" s="16"/>
      <c r="H36" s="16"/>
      <c r="I36" s="102" t="s">
        <v>40</v>
      </c>
      <c r="J36" s="102" t="s">
        <v>40</v>
      </c>
    </row>
    <row r="37" spans="1:10" ht="23.1" customHeight="1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193"/>
      <c r="B38" s="1194" t="s">
        <v>49</v>
      </c>
      <c r="C38" s="1198"/>
      <c r="D38" s="1198"/>
      <c r="E38" s="1198"/>
      <c r="F38" s="1198"/>
      <c r="G38" s="1193"/>
      <c r="H38" s="1560">
        <f>'1-бутерброд с маслом'!$H$28</f>
        <v>0</v>
      </c>
      <c r="I38" s="1560"/>
      <c r="J38" s="1560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ht="13.95" customHeight="1" x14ac:dyDescent="0.25">
      <c r="A40" s="1545" t="s">
        <v>327</v>
      </c>
      <c r="B40" s="1545"/>
      <c r="C40" s="1546" t="s">
        <v>328</v>
      </c>
      <c r="D40" s="1546"/>
      <c r="E40" s="1546"/>
      <c r="F40" s="1546"/>
      <c r="G40" s="106"/>
      <c r="H40" s="1531"/>
      <c r="I40" s="1531"/>
      <c r="J40" s="1531"/>
    </row>
    <row r="41" spans="1:10" x14ac:dyDescent="0.25">
      <c r="A41" s="1193"/>
      <c r="B41" s="1193"/>
      <c r="C41" s="1546"/>
      <c r="D41" s="1546"/>
      <c r="E41" s="1546"/>
      <c r="F41" s="1546"/>
      <c r="G41" s="1193"/>
      <c r="H41" s="1531" t="s">
        <v>329</v>
      </c>
      <c r="I41" s="1531"/>
      <c r="J41" s="1531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  <row r="45" spans="1:10" x14ac:dyDescent="0.25">
      <c r="A45" s="1193"/>
      <c r="B45" s="1193"/>
      <c r="C45" s="1193"/>
      <c r="D45" s="1193"/>
      <c r="E45" s="1193"/>
      <c r="F45" s="1193"/>
      <c r="G45" s="1193"/>
      <c r="H45" s="1193"/>
      <c r="I45" s="1193"/>
      <c r="J45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0:B40"/>
    <mergeCell ref="C40:F41"/>
    <mergeCell ref="H40:J40"/>
    <mergeCell ref="H41:J41"/>
    <mergeCell ref="A33:B33"/>
    <mergeCell ref="A34:B34"/>
    <mergeCell ref="A35:B35"/>
    <mergeCell ref="A36:B36"/>
    <mergeCell ref="H38:J38"/>
    <mergeCell ref="A32:B32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J41"/>
  <sheetViews>
    <sheetView view="pageBreakPreview" topLeftCell="A2" zoomScaleNormal="100" zoomScaleSheetLayoutView="100" workbookViewId="0">
      <selection activeCell="A9" sqref="A9:J9"/>
    </sheetView>
  </sheetViews>
  <sheetFormatPr defaultRowHeight="13.8" x14ac:dyDescent="0.25"/>
  <cols>
    <col min="1" max="1" width="3.44140625" customWidth="1"/>
    <col min="2" max="2" width="22" customWidth="1"/>
    <col min="3" max="3" width="8.5546875" customWidth="1"/>
    <col min="4" max="4" width="9.5546875" customWidth="1"/>
    <col min="5" max="7" width="7.5546875" customWidth="1"/>
    <col min="8" max="8" width="8.88671875" customWidth="1"/>
    <col min="9" max="9" width="7.5546875" customWidth="1"/>
    <col min="10" max="10" width="9" customWidth="1"/>
    <col min="11" max="11" width="3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108)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145</v>
      </c>
    </row>
    <row r="8" spans="1:10" s="2" customFormat="1" ht="9.6" customHeight="1" x14ac:dyDescent="0.25">
      <c r="A8" s="185"/>
      <c r="B8" s="185"/>
      <c r="C8" s="185"/>
      <c r="D8" s="185"/>
      <c r="E8" s="185"/>
      <c r="F8" s="185"/>
      <c r="G8" s="185"/>
      <c r="H8" s="185"/>
      <c r="I8" s="185"/>
      <c r="J8" s="109"/>
    </row>
    <row r="9" spans="1:10" s="2" customFormat="1" ht="26.1" customHeight="1" x14ac:dyDescent="0.3">
      <c r="A9" s="1550" t="s">
        <v>1269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'143-рагу'!H14+1</f>
        <v>108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186" t="s">
        <v>92</v>
      </c>
      <c r="D17" s="186" t="s">
        <v>94</v>
      </c>
      <c r="E17" s="186" t="s">
        <v>93</v>
      </c>
      <c r="F17" s="186" t="s">
        <v>23</v>
      </c>
      <c r="G17" s="186" t="s">
        <v>92</v>
      </c>
      <c r="H17" s="186" t="s">
        <v>94</v>
      </c>
      <c r="I17" s="186" t="s">
        <v>92</v>
      </c>
      <c r="J17" s="186" t="s">
        <v>94</v>
      </c>
    </row>
    <row r="18" spans="1:10" ht="9.6" customHeight="1" x14ac:dyDescent="0.25">
      <c r="A18" s="186">
        <v>1</v>
      </c>
      <c r="B18" s="187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>
        <v>1</v>
      </c>
      <c r="B19" s="20" t="s">
        <v>50</v>
      </c>
      <c r="C19" s="111">
        <v>9.9000000000000005E-2</v>
      </c>
      <c r="D19" s="111">
        <v>7.3999999999999996E-2</v>
      </c>
      <c r="E19" s="13">
        <f>цены!F35</f>
        <v>50</v>
      </c>
      <c r="F19" s="13">
        <f>C19*E19</f>
        <v>4.95</v>
      </c>
      <c r="G19" s="97">
        <f t="shared" ref="G19:H22" si="0">C19*10</f>
        <v>0.99</v>
      </c>
      <c r="H19" s="21">
        <f t="shared" si="0"/>
        <v>0.74</v>
      </c>
      <c r="I19" s="21">
        <f t="shared" ref="I19:J22" si="1">C19*100</f>
        <v>9.9</v>
      </c>
      <c r="J19" s="21">
        <f t="shared" si="1"/>
        <v>7.4</v>
      </c>
    </row>
    <row r="20" spans="1:10" s="10" customFormat="1" ht="12" customHeight="1" x14ac:dyDescent="0.25">
      <c r="A20" s="180">
        <v>2</v>
      </c>
      <c r="B20" s="20" t="s">
        <v>74</v>
      </c>
      <c r="C20" s="111">
        <v>4.0000000000000001E-3</v>
      </c>
      <c r="D20" s="111">
        <v>4.0000000000000001E-3</v>
      </c>
      <c r="E20" s="13">
        <f>цены!F87</f>
        <v>120</v>
      </c>
      <c r="F20" s="13">
        <f t="shared" ref="F20:F25" si="2">C20*E20</f>
        <v>0.48</v>
      </c>
      <c r="G20" s="97">
        <f t="shared" si="0"/>
        <v>0.04</v>
      </c>
      <c r="H20" s="21">
        <f t="shared" si="0"/>
        <v>0.04</v>
      </c>
      <c r="I20" s="21">
        <f t="shared" si="1"/>
        <v>0.4</v>
      </c>
      <c r="J20" s="21">
        <f t="shared" si="1"/>
        <v>0.4</v>
      </c>
    </row>
    <row r="21" spans="1:10" s="10" customFormat="1" ht="12" customHeight="1" x14ac:dyDescent="0.25">
      <c r="A21" s="180">
        <v>3</v>
      </c>
      <c r="B21" s="20" t="s">
        <v>48</v>
      </c>
      <c r="C21" s="111">
        <v>2.4E-2</v>
      </c>
      <c r="D21" s="111">
        <v>0.02</v>
      </c>
      <c r="E21" s="13">
        <f>цены!F38</f>
        <v>50</v>
      </c>
      <c r="F21" s="13">
        <f t="shared" si="2"/>
        <v>1.2</v>
      </c>
      <c r="G21" s="97">
        <f t="shared" si="0"/>
        <v>0.24</v>
      </c>
      <c r="H21" s="21">
        <f t="shared" si="0"/>
        <v>0.2</v>
      </c>
      <c r="I21" s="21">
        <f t="shared" si="1"/>
        <v>2.4</v>
      </c>
      <c r="J21" s="21">
        <f t="shared" si="1"/>
        <v>2</v>
      </c>
    </row>
    <row r="22" spans="1:10" s="10" customFormat="1" ht="12" customHeight="1" x14ac:dyDescent="0.25">
      <c r="A22" s="180">
        <v>4</v>
      </c>
      <c r="B22" s="20" t="s">
        <v>74</v>
      </c>
      <c r="C22" s="111">
        <v>2E-3</v>
      </c>
      <c r="D22" s="111">
        <v>2E-3</v>
      </c>
      <c r="E22" s="13">
        <f>цены!F87</f>
        <v>120</v>
      </c>
      <c r="F22" s="13">
        <f t="shared" si="2"/>
        <v>0.24</v>
      </c>
      <c r="G22" s="97">
        <f t="shared" si="0"/>
        <v>0.02</v>
      </c>
      <c r="H22" s="21">
        <f t="shared" si="0"/>
        <v>0.02</v>
      </c>
      <c r="I22" s="21">
        <f t="shared" si="1"/>
        <v>0.2</v>
      </c>
      <c r="J22" s="21">
        <f t="shared" si="1"/>
        <v>0.2</v>
      </c>
    </row>
    <row r="23" spans="1:10" s="10" customFormat="1" ht="12" customHeight="1" x14ac:dyDescent="0.25">
      <c r="A23" s="184"/>
      <c r="B23" s="93" t="s">
        <v>359</v>
      </c>
      <c r="C23" s="114"/>
      <c r="D23" s="114">
        <v>0.01</v>
      </c>
      <c r="E23" s="95"/>
      <c r="F23" s="95"/>
      <c r="G23" s="99"/>
      <c r="H23" s="100">
        <f>D23*10</f>
        <v>0.1</v>
      </c>
      <c r="I23" s="100"/>
      <c r="J23" s="100">
        <f>D23*100</f>
        <v>1</v>
      </c>
    </row>
    <row r="24" spans="1:10" s="10" customFormat="1" ht="12" customHeight="1" x14ac:dyDescent="0.25">
      <c r="A24" s="180">
        <v>5</v>
      </c>
      <c r="B24" s="20" t="s">
        <v>360</v>
      </c>
      <c r="C24" s="111">
        <v>2.5000000000000001E-2</v>
      </c>
      <c r="D24" s="111">
        <v>2.5000000000000001E-2</v>
      </c>
      <c r="E24" s="13">
        <f>'331-соус с томатом'!F30</f>
        <v>84.41</v>
      </c>
      <c r="F24" s="13">
        <f t="shared" si="2"/>
        <v>2.11</v>
      </c>
      <c r="G24" s="97">
        <f>C24*10</f>
        <v>0.25</v>
      </c>
      <c r="H24" s="21">
        <f>D24*10</f>
        <v>0.25</v>
      </c>
      <c r="I24" s="21">
        <f>C24*100</f>
        <v>2.5</v>
      </c>
      <c r="J24" s="21">
        <f>D24*100</f>
        <v>2.5</v>
      </c>
    </row>
    <row r="25" spans="1:10" s="10" customFormat="1" ht="12" customHeight="1" x14ac:dyDescent="0.25">
      <c r="A25" s="180">
        <v>6</v>
      </c>
      <c r="B25" s="20" t="s">
        <v>84</v>
      </c>
      <c r="C25" s="113">
        <v>1.0000000000000001E-5</v>
      </c>
      <c r="D25" s="113">
        <f>C25</f>
        <v>1.0000000000000001E-5</v>
      </c>
      <c r="E25" s="13">
        <f>цены!F100</f>
        <v>1000</v>
      </c>
      <c r="F25" s="13">
        <f t="shared" si="2"/>
        <v>0.01</v>
      </c>
      <c r="G25" s="97">
        <f>C25*10</f>
        <v>0</v>
      </c>
      <c r="H25" s="21">
        <f>D25*10</f>
        <v>0</v>
      </c>
      <c r="I25" s="21">
        <f>C25*100</f>
        <v>1E-3</v>
      </c>
      <c r="J25" s="21">
        <f>D25*100</f>
        <v>1E-3</v>
      </c>
    </row>
    <row r="26" spans="1:10" s="10" customFormat="1" ht="12" customHeight="1" x14ac:dyDescent="0.25">
      <c r="A26" s="184"/>
      <c r="B26" s="93" t="s">
        <v>361</v>
      </c>
      <c r="C26" s="112"/>
      <c r="D26" s="112">
        <v>0.1</v>
      </c>
      <c r="E26" s="95"/>
      <c r="F26" s="95"/>
      <c r="G26" s="99"/>
      <c r="H26" s="100">
        <f>D26*10</f>
        <v>1</v>
      </c>
      <c r="I26" s="100"/>
      <c r="J26" s="100">
        <f>D26*100</f>
        <v>10</v>
      </c>
    </row>
    <row r="27" spans="1:10" s="10" customFormat="1" ht="12" customHeight="1" x14ac:dyDescent="0.25">
      <c r="A27" s="98"/>
      <c r="B27" s="93" t="s">
        <v>100</v>
      </c>
      <c r="C27" s="112"/>
      <c r="D27" s="112">
        <v>0.1</v>
      </c>
      <c r="E27" s="95"/>
      <c r="F27" s="95">
        <f>SUM(F19:F25)</f>
        <v>8.99</v>
      </c>
      <c r="G27" s="99"/>
      <c r="H27" s="100">
        <f>D27*10</f>
        <v>1</v>
      </c>
      <c r="I27" s="100"/>
      <c r="J27" s="100">
        <f>D27*100</f>
        <v>10</v>
      </c>
    </row>
    <row r="28" spans="1:10" s="10" customFormat="1" ht="27.6" customHeight="1" x14ac:dyDescent="0.25">
      <c r="A28" s="1536" t="s">
        <v>35</v>
      </c>
      <c r="B28" s="1536"/>
      <c r="C28" s="90"/>
      <c r="D28" s="90"/>
      <c r="E28" s="13"/>
      <c r="F28" s="13">
        <f>F27</f>
        <v>8.99</v>
      </c>
      <c r="G28" s="188"/>
      <c r="H28" s="188"/>
      <c r="I28" s="21"/>
      <c r="J28" s="13"/>
    </row>
    <row r="29" spans="1:10" s="10" customFormat="1" ht="25.35" customHeight="1" x14ac:dyDescent="0.25">
      <c r="A29" s="1536" t="s">
        <v>356</v>
      </c>
      <c r="B29" s="1536"/>
      <c r="C29" s="90">
        <v>100</v>
      </c>
      <c r="D29" s="90"/>
      <c r="E29" s="13"/>
      <c r="F29" s="13"/>
      <c r="G29" s="13"/>
      <c r="H29" s="13"/>
      <c r="I29" s="21"/>
      <c r="J29" s="17"/>
    </row>
    <row r="30" spans="1:10" s="10" customFormat="1" ht="25.35" customHeight="1" x14ac:dyDescent="0.25">
      <c r="A30" s="1537" t="s">
        <v>37</v>
      </c>
      <c r="B30" s="1538"/>
      <c r="C30" s="91">
        <v>100</v>
      </c>
      <c r="D30" s="92"/>
      <c r="E30" s="187"/>
      <c r="F30" s="187"/>
      <c r="G30" s="187"/>
      <c r="H30" s="187"/>
      <c r="I30" s="21"/>
      <c r="J30" s="17"/>
    </row>
    <row r="31" spans="1:10" s="10" customFormat="1" ht="15" customHeight="1" x14ac:dyDescent="0.25">
      <c r="A31" s="1539" t="s">
        <v>38</v>
      </c>
      <c r="B31" s="1540"/>
      <c r="C31" s="92">
        <f>C29/C30</f>
        <v>1</v>
      </c>
      <c r="D31" s="92"/>
      <c r="E31" s="187"/>
      <c r="F31" s="187"/>
      <c r="G31" s="187"/>
      <c r="H31" s="187"/>
      <c r="I31" s="21"/>
      <c r="J31" s="17"/>
    </row>
    <row r="32" spans="1:10" ht="16.350000000000001" customHeight="1" x14ac:dyDescent="0.25">
      <c r="A32" s="1541" t="s">
        <v>39</v>
      </c>
      <c r="B32" s="1542"/>
      <c r="C32" s="15" t="s">
        <v>40</v>
      </c>
      <c r="D32" s="102"/>
      <c r="E32" s="102" t="s">
        <v>40</v>
      </c>
      <c r="F32" s="16">
        <f>F28/C31</f>
        <v>8.99</v>
      </c>
      <c r="G32" s="16"/>
      <c r="H32" s="16"/>
      <c r="I32" s="102" t="s">
        <v>40</v>
      </c>
      <c r="J32" s="102" t="s">
        <v>40</v>
      </c>
    </row>
    <row r="33" spans="1:10" ht="23.1" customHeight="1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193"/>
      <c r="B34" s="1194" t="s">
        <v>49</v>
      </c>
      <c r="C34" s="1198"/>
      <c r="D34" s="1198"/>
      <c r="E34" s="1198"/>
      <c r="F34" s="1198"/>
      <c r="G34" s="1193"/>
      <c r="H34" s="1560">
        <f>'1-бутерброд с маслом'!$H$28</f>
        <v>0</v>
      </c>
      <c r="I34" s="1560"/>
      <c r="J34" s="1560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545" t="s">
        <v>327</v>
      </c>
      <c r="B36" s="1545"/>
      <c r="C36" s="1546" t="s">
        <v>328</v>
      </c>
      <c r="D36" s="1546"/>
      <c r="E36" s="1546"/>
      <c r="F36" s="1546"/>
      <c r="G36" s="106"/>
      <c r="H36" s="1531"/>
      <c r="I36" s="1531"/>
      <c r="J36" s="1531"/>
    </row>
    <row r="37" spans="1:10" x14ac:dyDescent="0.25">
      <c r="A37" s="1193"/>
      <c r="B37" s="1193"/>
      <c r="C37" s="1546"/>
      <c r="D37" s="1546"/>
      <c r="E37" s="1546"/>
      <c r="F37" s="1546"/>
      <c r="G37" s="1193"/>
      <c r="H37" s="1531" t="s">
        <v>329</v>
      </c>
      <c r="I37" s="1531"/>
      <c r="J37" s="1531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6:B36"/>
    <mergeCell ref="C36:F37"/>
    <mergeCell ref="H36:J36"/>
    <mergeCell ref="H37:J37"/>
    <mergeCell ref="A29:B29"/>
    <mergeCell ref="A30:B30"/>
    <mergeCell ref="A31:B31"/>
    <mergeCell ref="A32:B32"/>
    <mergeCell ref="H34:J34"/>
    <mergeCell ref="A28:B28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J37"/>
  <sheetViews>
    <sheetView view="pageBreakPreview" topLeftCell="A5" zoomScaleNormal="100" zoomScaleSheetLayoutView="100" workbookViewId="0">
      <selection activeCell="A9" sqref="A9:J9"/>
    </sheetView>
  </sheetViews>
  <sheetFormatPr defaultRowHeight="13.8" x14ac:dyDescent="0.25"/>
  <cols>
    <col min="1" max="1" width="3.44140625" customWidth="1"/>
    <col min="2" max="2" width="22" customWidth="1"/>
    <col min="3" max="3" width="8.5546875" customWidth="1"/>
    <col min="4" max="4" width="9.5546875" customWidth="1"/>
    <col min="5" max="7" width="7.5546875" customWidth="1"/>
    <col min="8" max="8" width="8.88671875" customWidth="1"/>
    <col min="9" max="9" width="7.5546875" customWidth="1"/>
    <col min="10" max="10" width="9" customWidth="1"/>
    <col min="11" max="11" width="3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109)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147</v>
      </c>
    </row>
    <row r="8" spans="1:10" s="2" customFormat="1" ht="9.6" customHeight="1" x14ac:dyDescent="0.25">
      <c r="A8" s="185"/>
      <c r="B8" s="185"/>
      <c r="C8" s="185"/>
      <c r="D8" s="185"/>
      <c r="E8" s="185"/>
      <c r="F8" s="185"/>
      <c r="G8" s="185"/>
      <c r="H8" s="185"/>
      <c r="I8" s="185"/>
      <c r="J8" s="109"/>
    </row>
    <row r="9" spans="1:10" s="2" customFormat="1" ht="26.1" customHeight="1" x14ac:dyDescent="0.3">
      <c r="A9" s="1550" t="s">
        <v>364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'145-картофель тушен.'!H14+1</f>
        <v>109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186" t="s">
        <v>92</v>
      </c>
      <c r="D17" s="186" t="s">
        <v>94</v>
      </c>
      <c r="E17" s="186" t="s">
        <v>93</v>
      </c>
      <c r="F17" s="186" t="s">
        <v>23</v>
      </c>
      <c r="G17" s="186" t="s">
        <v>92</v>
      </c>
      <c r="H17" s="186" t="s">
        <v>94</v>
      </c>
      <c r="I17" s="186" t="s">
        <v>92</v>
      </c>
      <c r="J17" s="186" t="s">
        <v>94</v>
      </c>
    </row>
    <row r="18" spans="1:10" ht="9.6" customHeight="1" x14ac:dyDescent="0.25">
      <c r="A18" s="186">
        <v>1</v>
      </c>
      <c r="B18" s="187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>
        <v>1</v>
      </c>
      <c r="B19" s="20" t="s">
        <v>50</v>
      </c>
      <c r="C19" s="111">
        <v>0.193</v>
      </c>
      <c r="D19" s="111">
        <v>0.14499999999999999</v>
      </c>
      <c r="E19" s="13">
        <f>цены!F35</f>
        <v>50</v>
      </c>
      <c r="F19" s="13">
        <f>C19*E19</f>
        <v>9.65</v>
      </c>
      <c r="G19" s="97">
        <f t="shared" ref="G19:H21" si="0">C19*10</f>
        <v>1.93</v>
      </c>
      <c r="H19" s="21">
        <f t="shared" si="0"/>
        <v>1.45</v>
      </c>
      <c r="I19" s="21">
        <f t="shared" ref="I19:J21" si="1">C19*100</f>
        <v>19.3</v>
      </c>
      <c r="J19" s="21">
        <f t="shared" si="1"/>
        <v>14.5</v>
      </c>
    </row>
    <row r="20" spans="1:10" s="10" customFormat="1" ht="12" customHeight="1" x14ac:dyDescent="0.25">
      <c r="A20" s="180">
        <v>2</v>
      </c>
      <c r="B20" s="20" t="s">
        <v>74</v>
      </c>
      <c r="C20" s="111">
        <v>0.01</v>
      </c>
      <c r="D20" s="111">
        <v>0.01</v>
      </c>
      <c r="E20" s="13">
        <f>цены!F87</f>
        <v>120</v>
      </c>
      <c r="F20" s="13">
        <f>C20*E20</f>
        <v>1.2</v>
      </c>
      <c r="G20" s="97">
        <f t="shared" si="0"/>
        <v>0.1</v>
      </c>
      <c r="H20" s="21">
        <f t="shared" si="0"/>
        <v>0.1</v>
      </c>
      <c r="I20" s="21">
        <f t="shared" si="1"/>
        <v>1</v>
      </c>
      <c r="J20" s="21">
        <f t="shared" si="1"/>
        <v>1</v>
      </c>
    </row>
    <row r="21" spans="1:10" s="10" customFormat="1" ht="12" customHeight="1" x14ac:dyDescent="0.25">
      <c r="A21" s="180">
        <v>3</v>
      </c>
      <c r="B21" s="20" t="s">
        <v>78</v>
      </c>
      <c r="C21" s="111">
        <v>2E-3</v>
      </c>
      <c r="D21" s="111">
        <v>2E-3</v>
      </c>
      <c r="E21" s="13">
        <f>цены!F48</f>
        <v>300</v>
      </c>
      <c r="F21" s="13">
        <f>C21*E21</f>
        <v>0.6</v>
      </c>
      <c r="G21" s="97">
        <f t="shared" si="0"/>
        <v>0.02</v>
      </c>
      <c r="H21" s="21">
        <f t="shared" si="0"/>
        <v>0.02</v>
      </c>
      <c r="I21" s="21">
        <f t="shared" si="1"/>
        <v>0.2</v>
      </c>
      <c r="J21" s="21">
        <f t="shared" si="1"/>
        <v>0.2</v>
      </c>
    </row>
    <row r="22" spans="1:10" s="10" customFormat="1" ht="12" customHeight="1" x14ac:dyDescent="0.25">
      <c r="A22" s="184"/>
      <c r="B22" s="93" t="s">
        <v>363</v>
      </c>
      <c r="C22" s="114"/>
      <c r="D22" s="100">
        <v>0.1</v>
      </c>
      <c r="E22" s="95"/>
      <c r="F22" s="95"/>
      <c r="G22" s="99"/>
      <c r="H22" s="100">
        <f>D22*10</f>
        <v>1</v>
      </c>
      <c r="I22" s="100"/>
      <c r="J22" s="100">
        <f>D22*100</f>
        <v>10</v>
      </c>
    </row>
    <row r="23" spans="1:10" s="10" customFormat="1" ht="12" customHeight="1" x14ac:dyDescent="0.25">
      <c r="A23" s="98"/>
      <c r="B23" s="93" t="s">
        <v>100</v>
      </c>
      <c r="C23" s="112"/>
      <c r="D23" s="112">
        <v>0.1</v>
      </c>
      <c r="E23" s="95"/>
      <c r="F23" s="95">
        <f>SUM(F19:F22)</f>
        <v>11.45</v>
      </c>
      <c r="G23" s="99"/>
      <c r="H23" s="100">
        <f>D23*10</f>
        <v>1</v>
      </c>
      <c r="I23" s="100"/>
      <c r="J23" s="100">
        <f>D23*100</f>
        <v>10</v>
      </c>
    </row>
    <row r="24" spans="1:10" s="10" customFormat="1" ht="27.6" customHeight="1" x14ac:dyDescent="0.25">
      <c r="A24" s="1536" t="s">
        <v>35</v>
      </c>
      <c r="B24" s="1536"/>
      <c r="C24" s="90"/>
      <c r="D24" s="90"/>
      <c r="E24" s="13"/>
      <c r="F24" s="13">
        <f>F23</f>
        <v>11.45</v>
      </c>
      <c r="G24" s="188"/>
      <c r="H24" s="188"/>
      <c r="I24" s="21"/>
      <c r="J24" s="13"/>
    </row>
    <row r="25" spans="1:10" s="10" customFormat="1" ht="25.35" customHeight="1" x14ac:dyDescent="0.25">
      <c r="A25" s="1536" t="s">
        <v>356</v>
      </c>
      <c r="B25" s="1536"/>
      <c r="C25" s="90">
        <v>100</v>
      </c>
      <c r="D25" s="90"/>
      <c r="E25" s="13"/>
      <c r="F25" s="13"/>
      <c r="G25" s="13"/>
      <c r="H25" s="13"/>
      <c r="I25" s="21"/>
      <c r="J25" s="17"/>
    </row>
    <row r="26" spans="1:10" s="10" customFormat="1" ht="25.35" customHeight="1" x14ac:dyDescent="0.25">
      <c r="A26" s="1537" t="s">
        <v>37</v>
      </c>
      <c r="B26" s="1538"/>
      <c r="C26" s="91">
        <v>100</v>
      </c>
      <c r="D26" s="92"/>
      <c r="E26" s="187"/>
      <c r="F26" s="187"/>
      <c r="G26" s="187"/>
      <c r="H26" s="187"/>
      <c r="I26" s="21"/>
      <c r="J26" s="17"/>
    </row>
    <row r="27" spans="1:10" s="10" customFormat="1" ht="15" customHeight="1" x14ac:dyDescent="0.25">
      <c r="A27" s="1539" t="s">
        <v>38</v>
      </c>
      <c r="B27" s="1540"/>
      <c r="C27" s="92">
        <f>C25/C26</f>
        <v>1</v>
      </c>
      <c r="D27" s="92"/>
      <c r="E27" s="187"/>
      <c r="F27" s="187"/>
      <c r="G27" s="187"/>
      <c r="H27" s="187"/>
      <c r="I27" s="21"/>
      <c r="J27" s="17"/>
    </row>
    <row r="28" spans="1:10" ht="16.350000000000001" customHeight="1" x14ac:dyDescent="0.25">
      <c r="A28" s="1541" t="s">
        <v>39</v>
      </c>
      <c r="B28" s="1542"/>
      <c r="C28" s="15" t="s">
        <v>40</v>
      </c>
      <c r="D28" s="102"/>
      <c r="E28" s="102" t="s">
        <v>40</v>
      </c>
      <c r="F28" s="16">
        <f>F24/C27</f>
        <v>11.45</v>
      </c>
      <c r="G28" s="16"/>
      <c r="H28" s="16"/>
      <c r="I28" s="102" t="s">
        <v>40</v>
      </c>
      <c r="J28" s="102" t="s">
        <v>40</v>
      </c>
    </row>
    <row r="29" spans="1:10" ht="23.1" customHeight="1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0" ht="13.95" customHeight="1" x14ac:dyDescent="0.25">
      <c r="A30" s="1193"/>
      <c r="B30" s="1194" t="s">
        <v>49</v>
      </c>
      <c r="C30" s="1198"/>
      <c r="D30" s="1198"/>
      <c r="E30" s="1198"/>
      <c r="F30" s="1198"/>
      <c r="G30" s="1193"/>
      <c r="H30" s="1560">
        <f>'1-бутерброд с маслом'!$H$28</f>
        <v>0</v>
      </c>
      <c r="I30" s="1560"/>
      <c r="J30" s="1560"/>
    </row>
    <row r="31" spans="1:10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ht="13.95" customHeight="1" x14ac:dyDescent="0.25">
      <c r="A32" s="1545" t="s">
        <v>327</v>
      </c>
      <c r="B32" s="1545"/>
      <c r="C32" s="1546" t="s">
        <v>328</v>
      </c>
      <c r="D32" s="1546"/>
      <c r="E32" s="1546"/>
      <c r="F32" s="1546"/>
      <c r="G32" s="106"/>
      <c r="H32" s="1531"/>
      <c r="I32" s="1531"/>
      <c r="J32" s="1531"/>
    </row>
    <row r="33" spans="1:10" x14ac:dyDescent="0.25">
      <c r="A33" s="1193"/>
      <c r="B33" s="1193"/>
      <c r="C33" s="1546"/>
      <c r="D33" s="1546"/>
      <c r="E33" s="1546"/>
      <c r="F33" s="1546"/>
      <c r="G33" s="1193"/>
      <c r="H33" s="1531" t="s">
        <v>329</v>
      </c>
      <c r="I33" s="1531"/>
      <c r="J33" s="1531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2:B32"/>
    <mergeCell ref="C32:F33"/>
    <mergeCell ref="H32:J32"/>
    <mergeCell ref="H33:J33"/>
    <mergeCell ref="A25:B25"/>
    <mergeCell ref="A26:B26"/>
    <mergeCell ref="A27:B27"/>
    <mergeCell ref="A28:B28"/>
    <mergeCell ref="H30:J30"/>
    <mergeCell ref="A24:B24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J44"/>
  <sheetViews>
    <sheetView view="pageBreakPreview" topLeftCell="A9" zoomScaleNormal="100" zoomScaleSheetLayoutView="100" workbookViewId="0">
      <selection activeCell="A9" sqref="A9:J9"/>
    </sheetView>
  </sheetViews>
  <sheetFormatPr defaultRowHeight="13.8" x14ac:dyDescent="0.25"/>
  <cols>
    <col min="1" max="1" width="3.44140625" customWidth="1"/>
    <col min="2" max="2" width="22.44140625" customWidth="1"/>
    <col min="3" max="3" width="8.5546875" customWidth="1"/>
    <col min="4" max="4" width="9.5546875" customWidth="1"/>
    <col min="5" max="7" width="7.5546875" customWidth="1"/>
    <col min="8" max="8" width="8.88671875" customWidth="1"/>
    <col min="9" max="9" width="7.5546875" customWidth="1"/>
    <col min="10" max="10" width="8.44140625" customWidth="1"/>
    <col min="11" max="11" width="4.441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110)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167</v>
      </c>
    </row>
    <row r="8" spans="1:10" s="2" customFormat="1" ht="9.6" customHeight="1" x14ac:dyDescent="0.25">
      <c r="A8" s="185"/>
      <c r="B8" s="185"/>
      <c r="C8" s="185"/>
      <c r="D8" s="185"/>
      <c r="E8" s="185"/>
      <c r="F8" s="185"/>
      <c r="G8" s="185"/>
      <c r="H8" s="185"/>
      <c r="I8" s="185"/>
      <c r="J8" s="109"/>
    </row>
    <row r="9" spans="1:10" s="2" customFormat="1" ht="26.1" customHeight="1" x14ac:dyDescent="0.3">
      <c r="A9" s="1550" t="s">
        <v>649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'147-картофель жарен.100'!H14+1</f>
        <v>110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186" t="s">
        <v>92</v>
      </c>
      <c r="D17" s="186" t="s">
        <v>94</v>
      </c>
      <c r="E17" s="186" t="s">
        <v>93</v>
      </c>
      <c r="F17" s="186" t="s">
        <v>23</v>
      </c>
      <c r="G17" s="186" t="s">
        <v>92</v>
      </c>
      <c r="H17" s="186" t="s">
        <v>94</v>
      </c>
      <c r="I17" s="186" t="s">
        <v>92</v>
      </c>
      <c r="J17" s="186" t="s">
        <v>94</v>
      </c>
    </row>
    <row r="18" spans="1:10" ht="9.6" customHeight="1" x14ac:dyDescent="0.25">
      <c r="A18" s="186">
        <v>1</v>
      </c>
      <c r="B18" s="187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>
        <v>1</v>
      </c>
      <c r="B19" s="20" t="s">
        <v>180</v>
      </c>
      <c r="C19" s="111">
        <v>9.5000000000000001E-2</v>
      </c>
      <c r="D19" s="111">
        <v>7.5999999999999998E-2</v>
      </c>
      <c r="E19" s="13">
        <f>цены!F33</f>
        <v>53</v>
      </c>
      <c r="F19" s="13">
        <f>C19*E19</f>
        <v>5.04</v>
      </c>
      <c r="G19" s="97">
        <f>C19*10</f>
        <v>0.95</v>
      </c>
      <c r="H19" s="21">
        <f>D19*10</f>
        <v>0.76</v>
      </c>
      <c r="I19" s="21">
        <f>C19*100</f>
        <v>9.5</v>
      </c>
      <c r="J19" s="21">
        <f>D19*100</f>
        <v>7.6</v>
      </c>
    </row>
    <row r="20" spans="1:10" s="10" customFormat="1" ht="12" customHeight="1" x14ac:dyDescent="0.25">
      <c r="A20" s="184"/>
      <c r="B20" s="93" t="s">
        <v>365</v>
      </c>
      <c r="C20" s="112"/>
      <c r="D20" s="112">
        <v>7.0000000000000007E-2</v>
      </c>
      <c r="E20" s="95"/>
      <c r="F20" s="95"/>
      <c r="G20" s="99"/>
      <c r="H20" s="100">
        <f>D20*10</f>
        <v>0.7</v>
      </c>
      <c r="I20" s="100"/>
      <c r="J20" s="100">
        <f>D20*100</f>
        <v>7</v>
      </c>
    </row>
    <row r="21" spans="1:10" s="10" customFormat="1" ht="12" customHeight="1" x14ac:dyDescent="0.25">
      <c r="A21" s="180"/>
      <c r="B21" s="198" t="s">
        <v>366</v>
      </c>
      <c r="C21" s="111"/>
      <c r="D21" s="111"/>
      <c r="E21" s="13"/>
      <c r="F21" s="13"/>
      <c r="G21" s="97"/>
      <c r="H21" s="21"/>
      <c r="I21" s="21"/>
      <c r="J21" s="21"/>
    </row>
    <row r="22" spans="1:10" s="10" customFormat="1" ht="12" customHeight="1" x14ac:dyDescent="0.25">
      <c r="A22" s="180">
        <v>2</v>
      </c>
      <c r="B22" s="20" t="s">
        <v>367</v>
      </c>
      <c r="C22" s="111">
        <v>1.4E-2</v>
      </c>
      <c r="D22" s="111">
        <v>8.0000000000000002E-3</v>
      </c>
      <c r="E22" s="13">
        <f>цены!F44</f>
        <v>50</v>
      </c>
      <c r="F22" s="13">
        <f t="shared" ref="F22:F29" si="0">C22*E22</f>
        <v>0.7</v>
      </c>
      <c r="G22" s="97">
        <f t="shared" ref="G22:H26" si="1">C22*10</f>
        <v>0.14000000000000001</v>
      </c>
      <c r="H22" s="21">
        <f t="shared" si="1"/>
        <v>0.08</v>
      </c>
      <c r="I22" s="21">
        <f t="shared" ref="I22:J26" si="2">C22*100</f>
        <v>1.4</v>
      </c>
      <c r="J22" s="21">
        <f t="shared" si="2"/>
        <v>0.8</v>
      </c>
    </row>
    <row r="23" spans="1:10" s="10" customFormat="1" ht="12" customHeight="1" x14ac:dyDescent="0.25">
      <c r="A23" s="180">
        <v>3</v>
      </c>
      <c r="B23" s="20" t="s">
        <v>368</v>
      </c>
      <c r="C23" s="111">
        <v>1.7999999999999999E-2</v>
      </c>
      <c r="D23" s="111">
        <v>8.0000000000000002E-3</v>
      </c>
      <c r="E23" s="13">
        <f>цены!F38</f>
        <v>50</v>
      </c>
      <c r="F23" s="13">
        <f t="shared" si="0"/>
        <v>0.9</v>
      </c>
      <c r="G23" s="97">
        <f t="shared" si="1"/>
        <v>0.18</v>
      </c>
      <c r="H23" s="21">
        <f t="shared" si="1"/>
        <v>0.08</v>
      </c>
      <c r="I23" s="21">
        <f t="shared" si="2"/>
        <v>1.8</v>
      </c>
      <c r="J23" s="21">
        <f t="shared" si="2"/>
        <v>0.8</v>
      </c>
    </row>
    <row r="24" spans="1:10" s="10" customFormat="1" ht="12" customHeight="1" x14ac:dyDescent="0.25">
      <c r="A24" s="180">
        <v>4</v>
      </c>
      <c r="B24" s="20" t="s">
        <v>369</v>
      </c>
      <c r="C24" s="111">
        <v>6.0000000000000001E-3</v>
      </c>
      <c r="D24" s="111">
        <v>1.52E-2</v>
      </c>
      <c r="E24" s="13">
        <f>цены!F83</f>
        <v>98</v>
      </c>
      <c r="F24" s="13">
        <f t="shared" si="0"/>
        <v>0.59</v>
      </c>
      <c r="G24" s="97">
        <f t="shared" si="1"/>
        <v>0.06</v>
      </c>
      <c r="H24" s="21">
        <f t="shared" si="1"/>
        <v>0.152</v>
      </c>
      <c r="I24" s="21">
        <f t="shared" si="2"/>
        <v>0.6</v>
      </c>
      <c r="J24" s="21">
        <f t="shared" si="2"/>
        <v>1.52</v>
      </c>
    </row>
    <row r="25" spans="1:10" s="10" customFormat="1" ht="12" customHeight="1" x14ac:dyDescent="0.25">
      <c r="A25" s="180">
        <v>5</v>
      </c>
      <c r="B25" s="20" t="s">
        <v>370</v>
      </c>
      <c r="C25" s="111">
        <v>1.5E-3</v>
      </c>
      <c r="D25" s="111">
        <v>1E-3</v>
      </c>
      <c r="E25" s="13">
        <f>цены!F48</f>
        <v>300</v>
      </c>
      <c r="F25" s="13">
        <f t="shared" si="0"/>
        <v>0.45</v>
      </c>
      <c r="G25" s="97">
        <f t="shared" si="1"/>
        <v>1.4999999999999999E-2</v>
      </c>
      <c r="H25" s="21">
        <f t="shared" si="1"/>
        <v>0.01</v>
      </c>
      <c r="I25" s="21">
        <f t="shared" si="2"/>
        <v>0.15</v>
      </c>
      <c r="J25" s="21">
        <f t="shared" si="2"/>
        <v>0.1</v>
      </c>
    </row>
    <row r="26" spans="1:10" s="10" customFormat="1" ht="12" customHeight="1" x14ac:dyDescent="0.25">
      <c r="A26" s="180">
        <v>6</v>
      </c>
      <c r="B26" s="20" t="s">
        <v>371</v>
      </c>
      <c r="C26" s="111">
        <v>6.0000000000000001E-3</v>
      </c>
      <c r="D26" s="111">
        <v>6.0000000000000001E-3</v>
      </c>
      <c r="E26" s="13">
        <f>цены!F87</f>
        <v>120</v>
      </c>
      <c r="F26" s="13">
        <f t="shared" si="0"/>
        <v>0.72</v>
      </c>
      <c r="G26" s="97">
        <f t="shared" si="1"/>
        <v>0.06</v>
      </c>
      <c r="H26" s="21">
        <f t="shared" si="1"/>
        <v>0.06</v>
      </c>
      <c r="I26" s="21">
        <f t="shared" si="2"/>
        <v>0.6</v>
      </c>
      <c r="J26" s="21">
        <f t="shared" si="2"/>
        <v>0.6</v>
      </c>
    </row>
    <row r="27" spans="1:10" s="10" customFormat="1" ht="12" customHeight="1" x14ac:dyDescent="0.25">
      <c r="A27" s="184"/>
      <c r="B27" s="93" t="s">
        <v>372</v>
      </c>
      <c r="C27" s="112"/>
      <c r="D27" s="112">
        <v>0.04</v>
      </c>
      <c r="E27" s="192"/>
      <c r="F27" s="192"/>
      <c r="G27" s="99"/>
      <c r="H27" s="100">
        <f>D27*10</f>
        <v>0.4</v>
      </c>
      <c r="I27" s="100"/>
      <c r="J27" s="100">
        <f>D27*100</f>
        <v>4</v>
      </c>
    </row>
    <row r="28" spans="1:10" s="10" customFormat="1" ht="12" customHeight="1" x14ac:dyDescent="0.25">
      <c r="A28" s="184"/>
      <c r="B28" s="93" t="s">
        <v>97</v>
      </c>
      <c r="C28" s="112"/>
      <c r="D28" s="112">
        <v>0.11</v>
      </c>
      <c r="E28" s="192"/>
      <c r="F28" s="192"/>
      <c r="G28" s="99"/>
      <c r="H28" s="100">
        <f>D28*10</f>
        <v>1.1000000000000001</v>
      </c>
      <c r="I28" s="100"/>
      <c r="J28" s="100">
        <f>D28*100</f>
        <v>11</v>
      </c>
    </row>
    <row r="29" spans="1:10" s="10" customFormat="1" ht="22.2" customHeight="1" x14ac:dyDescent="0.25">
      <c r="A29" s="180">
        <v>7</v>
      </c>
      <c r="B29" s="20" t="s">
        <v>648</v>
      </c>
      <c r="C29" s="111">
        <v>0.05</v>
      </c>
      <c r="D29" s="111">
        <v>0.05</v>
      </c>
      <c r="E29" s="13">
        <f>'331-соус с томатом'!F30</f>
        <v>84.41</v>
      </c>
      <c r="F29" s="13">
        <f t="shared" si="0"/>
        <v>4.22</v>
      </c>
      <c r="G29" s="97">
        <f>C29*10</f>
        <v>0.5</v>
      </c>
      <c r="H29" s="21">
        <f>D29*10</f>
        <v>0.5</v>
      </c>
      <c r="I29" s="21">
        <f>C29*100</f>
        <v>5</v>
      </c>
      <c r="J29" s="21">
        <f>D29*100</f>
        <v>5</v>
      </c>
    </row>
    <row r="30" spans="1:10" s="10" customFormat="1" ht="12" customHeight="1" x14ac:dyDescent="0.25">
      <c r="A30" s="98"/>
      <c r="B30" s="93" t="s">
        <v>100</v>
      </c>
      <c r="C30" s="112"/>
      <c r="D30" s="112">
        <v>0.125</v>
      </c>
      <c r="E30" s="95"/>
      <c r="F30" s="95">
        <f>SUM(F19:F29)</f>
        <v>12.62</v>
      </c>
      <c r="G30" s="99"/>
      <c r="H30" s="100">
        <f>D30*10</f>
        <v>1.25</v>
      </c>
      <c r="I30" s="100"/>
      <c r="J30" s="100">
        <f>D30*100</f>
        <v>12.5</v>
      </c>
    </row>
    <row r="31" spans="1:10" s="10" customFormat="1" ht="27.6" customHeight="1" x14ac:dyDescent="0.25">
      <c r="A31" s="1536" t="s">
        <v>35</v>
      </c>
      <c r="B31" s="1536"/>
      <c r="C31" s="90"/>
      <c r="D31" s="90"/>
      <c r="E31" s="13"/>
      <c r="F31" s="13">
        <f>F30</f>
        <v>12.62</v>
      </c>
      <c r="G31" s="188"/>
      <c r="H31" s="188"/>
      <c r="I31" s="21"/>
      <c r="J31" s="13"/>
    </row>
    <row r="32" spans="1:10" s="10" customFormat="1" ht="25.35" customHeight="1" x14ac:dyDescent="0.25">
      <c r="A32" s="1536" t="s">
        <v>356</v>
      </c>
      <c r="B32" s="1536"/>
      <c r="C32" s="90">
        <v>125</v>
      </c>
      <c r="D32" s="90"/>
      <c r="E32" s="13"/>
      <c r="F32" s="13"/>
      <c r="G32" s="13"/>
      <c r="H32" s="13"/>
      <c r="I32" s="21"/>
      <c r="J32" s="17"/>
    </row>
    <row r="33" spans="1:10" s="10" customFormat="1" ht="25.35" customHeight="1" x14ac:dyDescent="0.25">
      <c r="A33" s="1537" t="s">
        <v>37</v>
      </c>
      <c r="B33" s="1538"/>
      <c r="C33" s="91">
        <v>125</v>
      </c>
      <c r="D33" s="92"/>
      <c r="E33" s="187"/>
      <c r="F33" s="187"/>
      <c r="G33" s="187"/>
      <c r="H33" s="187"/>
      <c r="I33" s="21"/>
      <c r="J33" s="17"/>
    </row>
    <row r="34" spans="1:10" s="10" customFormat="1" ht="15" customHeight="1" x14ac:dyDescent="0.25">
      <c r="A34" s="1539" t="s">
        <v>38</v>
      </c>
      <c r="B34" s="1540"/>
      <c r="C34" s="92">
        <f>C32/C33</f>
        <v>1</v>
      </c>
      <c r="D34" s="92"/>
      <c r="E34" s="187"/>
      <c r="F34" s="187"/>
      <c r="G34" s="187"/>
      <c r="H34" s="187"/>
      <c r="I34" s="21"/>
      <c r="J34" s="17"/>
    </row>
    <row r="35" spans="1:10" ht="16.350000000000001" customHeight="1" x14ac:dyDescent="0.25">
      <c r="A35" s="1541" t="s">
        <v>39</v>
      </c>
      <c r="B35" s="1542"/>
      <c r="C35" s="15" t="s">
        <v>40</v>
      </c>
      <c r="D35" s="102"/>
      <c r="E35" s="102" t="s">
        <v>40</v>
      </c>
      <c r="F35" s="16">
        <f>F31/C34</f>
        <v>12.62</v>
      </c>
      <c r="G35" s="16"/>
      <c r="H35" s="16"/>
      <c r="I35" s="102" t="s">
        <v>40</v>
      </c>
      <c r="J35" s="102" t="s">
        <v>40</v>
      </c>
    </row>
    <row r="36" spans="1:10" ht="23.1" customHeight="1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193"/>
      <c r="B37" s="1194" t="s">
        <v>49</v>
      </c>
      <c r="C37" s="1198"/>
      <c r="D37" s="1198"/>
      <c r="E37" s="1198"/>
      <c r="F37" s="1198"/>
      <c r="G37" s="1193"/>
      <c r="H37" s="1560">
        <f>'1-бутерброд с маслом'!$H$28</f>
        <v>0</v>
      </c>
      <c r="I37" s="1560"/>
      <c r="J37" s="1560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545" t="s">
        <v>327</v>
      </c>
      <c r="B39" s="1545"/>
      <c r="C39" s="1546" t="s">
        <v>328</v>
      </c>
      <c r="D39" s="1546"/>
      <c r="E39" s="1546"/>
      <c r="F39" s="1546"/>
      <c r="G39" s="106"/>
      <c r="H39" s="1531"/>
      <c r="I39" s="1531"/>
      <c r="J39" s="1531"/>
    </row>
    <row r="40" spans="1:10" x14ac:dyDescent="0.25">
      <c r="A40" s="1193"/>
      <c r="B40" s="1193"/>
      <c r="C40" s="1546"/>
      <c r="D40" s="1546"/>
      <c r="E40" s="1546"/>
      <c r="F40" s="1546"/>
      <c r="G40" s="1193"/>
      <c r="H40" s="1531" t="s">
        <v>329</v>
      </c>
      <c r="I40" s="1531"/>
      <c r="J40" s="1531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9:B39"/>
    <mergeCell ref="C39:F40"/>
    <mergeCell ref="H39:J39"/>
    <mergeCell ref="H40:J40"/>
    <mergeCell ref="A32:B32"/>
    <mergeCell ref="A33:B33"/>
    <mergeCell ref="A34:B34"/>
    <mergeCell ref="A35:B35"/>
    <mergeCell ref="H37:J37"/>
    <mergeCell ref="A31:B31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J44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3.44140625" customWidth="1"/>
    <col min="2" max="2" width="22.44140625" customWidth="1"/>
    <col min="3" max="3" width="8.5546875" customWidth="1"/>
    <col min="4" max="4" width="9.5546875" customWidth="1"/>
    <col min="5" max="7" width="7.5546875" customWidth="1"/>
    <col min="8" max="8" width="8.88671875" customWidth="1"/>
    <col min="9" max="9" width="7.5546875" customWidth="1"/>
    <col min="10" max="10" width="8.44140625" customWidth="1"/>
    <col min="11" max="11" width="3.1093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111)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168</v>
      </c>
    </row>
    <row r="8" spans="1:10" s="2" customFormat="1" ht="9.6" customHeight="1" x14ac:dyDescent="0.25">
      <c r="A8" s="185"/>
      <c r="B8" s="185"/>
      <c r="C8" s="185"/>
      <c r="D8" s="185"/>
      <c r="E8" s="185"/>
      <c r="F8" s="185"/>
      <c r="G8" s="185"/>
      <c r="H8" s="185"/>
      <c r="I8" s="185"/>
      <c r="J8" s="109"/>
    </row>
    <row r="9" spans="1:10" s="2" customFormat="1" ht="26.1" customHeight="1" x14ac:dyDescent="0.3">
      <c r="A9" s="1550" t="s">
        <v>650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'167-голубцы овощ.'!H14+1</f>
        <v>111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186" t="s">
        <v>92</v>
      </c>
      <c r="D17" s="186" t="s">
        <v>94</v>
      </c>
      <c r="E17" s="186" t="s">
        <v>93</v>
      </c>
      <c r="F17" s="186" t="s">
        <v>23</v>
      </c>
      <c r="G17" s="186" t="s">
        <v>92</v>
      </c>
      <c r="H17" s="186" t="s">
        <v>94</v>
      </c>
      <c r="I17" s="186" t="s">
        <v>92</v>
      </c>
      <c r="J17" s="186" t="s">
        <v>94</v>
      </c>
    </row>
    <row r="18" spans="1:10" ht="9.6" customHeight="1" x14ac:dyDescent="0.25">
      <c r="A18" s="186">
        <v>1</v>
      </c>
      <c r="B18" s="187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>
        <v>1</v>
      </c>
      <c r="B19" s="20" t="s">
        <v>373</v>
      </c>
      <c r="C19" s="111">
        <v>0.08</v>
      </c>
      <c r="D19" s="111">
        <v>0.06</v>
      </c>
      <c r="E19" s="13">
        <f>цены!F46</f>
        <v>250</v>
      </c>
      <c r="F19" s="13">
        <f>C19*E19</f>
        <v>20</v>
      </c>
      <c r="G19" s="97">
        <f>C19*10</f>
        <v>0.8</v>
      </c>
      <c r="H19" s="21">
        <f>D19*10</f>
        <v>0.6</v>
      </c>
      <c r="I19" s="21">
        <f>C19*100</f>
        <v>8</v>
      </c>
      <c r="J19" s="21">
        <f>D19*100</f>
        <v>6</v>
      </c>
    </row>
    <row r="20" spans="1:10" s="10" customFormat="1" ht="12" customHeight="1" x14ac:dyDescent="0.25">
      <c r="A20" s="184"/>
      <c r="B20" s="93" t="s">
        <v>365</v>
      </c>
      <c r="C20" s="112"/>
      <c r="D20" s="112">
        <v>7.0000000000000007E-2</v>
      </c>
      <c r="E20" s="95"/>
      <c r="F20" s="95"/>
      <c r="G20" s="99"/>
      <c r="H20" s="100">
        <f>D20*10</f>
        <v>0.7</v>
      </c>
      <c r="I20" s="100"/>
      <c r="J20" s="100">
        <f>D20*100</f>
        <v>7</v>
      </c>
    </row>
    <row r="21" spans="1:10" s="10" customFormat="1" ht="12" customHeight="1" x14ac:dyDescent="0.25">
      <c r="A21" s="180"/>
      <c r="B21" s="198" t="s">
        <v>366</v>
      </c>
      <c r="C21" s="111"/>
      <c r="D21" s="111"/>
      <c r="E21" s="13"/>
      <c r="F21" s="13"/>
      <c r="G21" s="97"/>
      <c r="H21" s="21"/>
      <c r="I21" s="21"/>
      <c r="J21" s="21"/>
    </row>
    <row r="22" spans="1:10" s="10" customFormat="1" ht="12" customHeight="1" x14ac:dyDescent="0.25">
      <c r="A22" s="180">
        <v>2</v>
      </c>
      <c r="B22" s="20" t="s">
        <v>369</v>
      </c>
      <c r="C22" s="111">
        <v>6.0000000000000001E-3</v>
      </c>
      <c r="D22" s="111">
        <v>1.4999999999999999E-2</v>
      </c>
      <c r="E22" s="13">
        <f>цены!F83</f>
        <v>98</v>
      </c>
      <c r="F22" s="13">
        <f>C22*E22</f>
        <v>0.59</v>
      </c>
      <c r="G22" s="97">
        <f t="shared" ref="G22:H26" si="0">C22*10</f>
        <v>0.06</v>
      </c>
      <c r="H22" s="21">
        <f t="shared" si="0"/>
        <v>0.15</v>
      </c>
      <c r="I22" s="21">
        <f t="shared" ref="I22:J26" si="1">C22*100</f>
        <v>0.6</v>
      </c>
      <c r="J22" s="21">
        <f t="shared" si="1"/>
        <v>1.5</v>
      </c>
    </row>
    <row r="23" spans="1:10" s="10" customFormat="1" ht="12" customHeight="1" x14ac:dyDescent="0.25">
      <c r="A23" s="180">
        <v>3</v>
      </c>
      <c r="B23" s="20" t="s">
        <v>374</v>
      </c>
      <c r="C23" s="111">
        <v>1.7999999999999999E-2</v>
      </c>
      <c r="D23" s="111">
        <v>0.01</v>
      </c>
      <c r="E23" s="13">
        <f>цены!F44</f>
        <v>50</v>
      </c>
      <c r="F23" s="13">
        <f>C23*E23</f>
        <v>0.9</v>
      </c>
      <c r="G23" s="97">
        <f t="shared" si="0"/>
        <v>0.18</v>
      </c>
      <c r="H23" s="21">
        <f t="shared" si="0"/>
        <v>0.1</v>
      </c>
      <c r="I23" s="21">
        <f t="shared" si="1"/>
        <v>1.8</v>
      </c>
      <c r="J23" s="21">
        <f t="shared" si="1"/>
        <v>1</v>
      </c>
    </row>
    <row r="24" spans="1:10" s="10" customFormat="1" ht="12" customHeight="1" x14ac:dyDescent="0.25">
      <c r="A24" s="180">
        <v>4</v>
      </c>
      <c r="B24" s="20" t="s">
        <v>368</v>
      </c>
      <c r="C24" s="111">
        <v>1.2E-2</v>
      </c>
      <c r="D24" s="111">
        <v>5.0000000000000001E-3</v>
      </c>
      <c r="E24" s="13">
        <f>цены!F38</f>
        <v>50</v>
      </c>
      <c r="F24" s="13">
        <f>C24*E24</f>
        <v>0.6</v>
      </c>
      <c r="G24" s="97">
        <f t="shared" si="0"/>
        <v>0.12</v>
      </c>
      <c r="H24" s="21">
        <f t="shared" si="0"/>
        <v>0.05</v>
      </c>
      <c r="I24" s="21">
        <f t="shared" si="1"/>
        <v>1.2</v>
      </c>
      <c r="J24" s="21">
        <f t="shared" si="1"/>
        <v>0.5</v>
      </c>
    </row>
    <row r="25" spans="1:10" s="10" customFormat="1" ht="12" customHeight="1" x14ac:dyDescent="0.25">
      <c r="A25" s="180">
        <v>5</v>
      </c>
      <c r="B25" s="20" t="s">
        <v>375</v>
      </c>
      <c r="C25" s="111">
        <v>1.9E-2</v>
      </c>
      <c r="D25" s="111">
        <v>0.01</v>
      </c>
      <c r="E25" s="13">
        <f>цены!F41</f>
        <v>106</v>
      </c>
      <c r="F25" s="13">
        <f>C25*E25</f>
        <v>2.0099999999999998</v>
      </c>
      <c r="G25" s="97">
        <f t="shared" si="0"/>
        <v>0.19</v>
      </c>
      <c r="H25" s="21">
        <f t="shared" si="0"/>
        <v>0.1</v>
      </c>
      <c r="I25" s="21">
        <f t="shared" si="1"/>
        <v>1.9</v>
      </c>
      <c r="J25" s="21">
        <f t="shared" si="1"/>
        <v>1</v>
      </c>
    </row>
    <row r="26" spans="1:10" s="10" customFormat="1" ht="12" customHeight="1" x14ac:dyDescent="0.25">
      <c r="A26" s="180">
        <v>6</v>
      </c>
      <c r="B26" s="20" t="s">
        <v>371</v>
      </c>
      <c r="C26" s="111">
        <v>5.0000000000000001E-3</v>
      </c>
      <c r="D26" s="111">
        <v>5.0000000000000001E-3</v>
      </c>
      <c r="E26" s="13">
        <f>цены!F87</f>
        <v>120</v>
      </c>
      <c r="F26" s="13">
        <f>C26*E26</f>
        <v>0.6</v>
      </c>
      <c r="G26" s="97">
        <f t="shared" si="0"/>
        <v>0.05</v>
      </c>
      <c r="H26" s="21">
        <f t="shared" si="0"/>
        <v>0.05</v>
      </c>
      <c r="I26" s="21">
        <f t="shared" si="1"/>
        <v>0.5</v>
      </c>
      <c r="J26" s="21">
        <f t="shared" si="1"/>
        <v>0.5</v>
      </c>
    </row>
    <row r="27" spans="1:10" s="10" customFormat="1" ht="12" customHeight="1" x14ac:dyDescent="0.25">
      <c r="A27" s="184"/>
      <c r="B27" s="93" t="s">
        <v>372</v>
      </c>
      <c r="C27" s="112"/>
      <c r="D27" s="112">
        <v>0.04</v>
      </c>
      <c r="E27" s="192"/>
      <c r="F27" s="192"/>
      <c r="G27" s="99"/>
      <c r="H27" s="100">
        <f>D27*10</f>
        <v>0.4</v>
      </c>
      <c r="I27" s="100"/>
      <c r="J27" s="100">
        <f>D27*100</f>
        <v>4</v>
      </c>
    </row>
    <row r="28" spans="1:10" s="10" customFormat="1" ht="12" customHeight="1" x14ac:dyDescent="0.25">
      <c r="A28" s="184"/>
      <c r="B28" s="93" t="s">
        <v>97</v>
      </c>
      <c r="C28" s="112"/>
      <c r="D28" s="112">
        <v>0.1</v>
      </c>
      <c r="E28" s="192"/>
      <c r="F28" s="192"/>
      <c r="G28" s="99"/>
      <c r="H28" s="100">
        <f>D28*10</f>
        <v>1</v>
      </c>
      <c r="I28" s="100"/>
      <c r="J28" s="100">
        <f>D28*100</f>
        <v>10</v>
      </c>
    </row>
    <row r="29" spans="1:10" s="10" customFormat="1" ht="12" customHeight="1" x14ac:dyDescent="0.25">
      <c r="A29" s="180">
        <v>7</v>
      </c>
      <c r="B29" s="20" t="s">
        <v>648</v>
      </c>
      <c r="C29" s="111">
        <v>0.04</v>
      </c>
      <c r="D29" s="111">
        <v>0.04</v>
      </c>
      <c r="E29" s="13">
        <f>'331-соус с томатом'!F30</f>
        <v>84.41</v>
      </c>
      <c r="F29" s="13">
        <f>C29*E29</f>
        <v>3.38</v>
      </c>
      <c r="G29" s="97">
        <f>C29*10</f>
        <v>0.4</v>
      </c>
      <c r="H29" s="21">
        <f>D29*10</f>
        <v>0.4</v>
      </c>
      <c r="I29" s="21">
        <f>C29*100</f>
        <v>4</v>
      </c>
      <c r="J29" s="21">
        <f>D29*100</f>
        <v>4</v>
      </c>
    </row>
    <row r="30" spans="1:10" s="10" customFormat="1" ht="12" customHeight="1" x14ac:dyDescent="0.25">
      <c r="A30" s="98"/>
      <c r="B30" s="93" t="s">
        <v>100</v>
      </c>
      <c r="C30" s="112"/>
      <c r="D30" s="112">
        <v>0.11</v>
      </c>
      <c r="E30" s="95"/>
      <c r="F30" s="95">
        <f>SUM(F19:F29)</f>
        <v>28.08</v>
      </c>
      <c r="G30" s="99"/>
      <c r="H30" s="100">
        <f>D30*10</f>
        <v>1.1000000000000001</v>
      </c>
      <c r="I30" s="100"/>
      <c r="J30" s="100">
        <f>D30*100</f>
        <v>11</v>
      </c>
    </row>
    <row r="31" spans="1:10" s="10" customFormat="1" ht="27.6" customHeight="1" x14ac:dyDescent="0.25">
      <c r="A31" s="1536" t="s">
        <v>35</v>
      </c>
      <c r="B31" s="1536"/>
      <c r="C31" s="90"/>
      <c r="D31" s="90"/>
      <c r="E31" s="13"/>
      <c r="F31" s="13">
        <f>F30</f>
        <v>28.08</v>
      </c>
      <c r="G31" s="188"/>
      <c r="H31" s="188"/>
      <c r="I31" s="21"/>
      <c r="J31" s="13"/>
    </row>
    <row r="32" spans="1:10" s="10" customFormat="1" ht="25.35" customHeight="1" x14ac:dyDescent="0.25">
      <c r="A32" s="1536" t="s">
        <v>356</v>
      </c>
      <c r="B32" s="1536"/>
      <c r="C32" s="90">
        <v>110</v>
      </c>
      <c r="D32" s="90"/>
      <c r="E32" s="13"/>
      <c r="F32" s="13"/>
      <c r="G32" s="13"/>
      <c r="H32" s="13"/>
      <c r="I32" s="21"/>
      <c r="J32" s="17"/>
    </row>
    <row r="33" spans="1:10" s="10" customFormat="1" ht="25.35" customHeight="1" x14ac:dyDescent="0.25">
      <c r="A33" s="1537" t="s">
        <v>37</v>
      </c>
      <c r="B33" s="1538"/>
      <c r="C33" s="91">
        <v>110</v>
      </c>
      <c r="D33" s="92"/>
      <c r="E33" s="187"/>
      <c r="F33" s="187"/>
      <c r="G33" s="187"/>
      <c r="H33" s="187"/>
      <c r="I33" s="21"/>
      <c r="J33" s="17"/>
    </row>
    <row r="34" spans="1:10" s="10" customFormat="1" ht="15" customHeight="1" x14ac:dyDescent="0.25">
      <c r="A34" s="1539" t="s">
        <v>38</v>
      </c>
      <c r="B34" s="1540"/>
      <c r="C34" s="92">
        <f>C32/C33</f>
        <v>1</v>
      </c>
      <c r="D34" s="92"/>
      <c r="E34" s="187"/>
      <c r="F34" s="187"/>
      <c r="G34" s="187"/>
      <c r="H34" s="187"/>
      <c r="I34" s="21"/>
      <c r="J34" s="17"/>
    </row>
    <row r="35" spans="1:10" ht="16.350000000000001" customHeight="1" x14ac:dyDescent="0.25">
      <c r="A35" s="1541" t="s">
        <v>39</v>
      </c>
      <c r="B35" s="1542"/>
      <c r="C35" s="15" t="s">
        <v>40</v>
      </c>
      <c r="D35" s="102"/>
      <c r="E35" s="102" t="s">
        <v>40</v>
      </c>
      <c r="F35" s="16">
        <f>F31/C34</f>
        <v>28.08</v>
      </c>
      <c r="G35" s="16"/>
      <c r="H35" s="16"/>
      <c r="I35" s="102" t="s">
        <v>40</v>
      </c>
      <c r="J35" s="102" t="s">
        <v>40</v>
      </c>
    </row>
    <row r="36" spans="1:10" ht="23.1" customHeight="1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193"/>
      <c r="B37" s="1194" t="s">
        <v>49</v>
      </c>
      <c r="C37" s="1198"/>
      <c r="D37" s="1198"/>
      <c r="E37" s="1198"/>
      <c r="F37" s="1198"/>
      <c r="G37" s="1193"/>
      <c r="H37" s="1560">
        <f>'1-бутерброд с маслом'!$H$28</f>
        <v>0</v>
      </c>
      <c r="I37" s="1560"/>
      <c r="J37" s="1560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545" t="s">
        <v>327</v>
      </c>
      <c r="B39" s="1545"/>
      <c r="C39" s="1546" t="s">
        <v>328</v>
      </c>
      <c r="D39" s="1546"/>
      <c r="E39" s="1546"/>
      <c r="F39" s="1546"/>
      <c r="G39" s="106"/>
      <c r="H39" s="1531"/>
      <c r="I39" s="1531"/>
      <c r="J39" s="1531"/>
    </row>
    <row r="40" spans="1:10" x14ac:dyDescent="0.25">
      <c r="A40" s="1193"/>
      <c r="B40" s="1193"/>
      <c r="C40" s="1546"/>
      <c r="D40" s="1546"/>
      <c r="E40" s="1546"/>
      <c r="F40" s="1546"/>
      <c r="G40" s="1193"/>
      <c r="H40" s="1531" t="s">
        <v>329</v>
      </c>
      <c r="I40" s="1531"/>
      <c r="J40" s="1531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9:B39"/>
    <mergeCell ref="C39:F40"/>
    <mergeCell ref="H39:J39"/>
    <mergeCell ref="H40:J40"/>
    <mergeCell ref="A32:B32"/>
    <mergeCell ref="A33:B33"/>
    <mergeCell ref="A34:B34"/>
    <mergeCell ref="A35:B35"/>
    <mergeCell ref="H37:J37"/>
    <mergeCell ref="A31:B31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E8EE3"/>
  </sheetPr>
  <dimension ref="A1:J38"/>
  <sheetViews>
    <sheetView view="pageBreakPreview" topLeftCell="A6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474" customWidth="1"/>
    <col min="2" max="2" width="21.109375" style="474" customWidth="1"/>
    <col min="3" max="7" width="7.5546875" style="474" customWidth="1"/>
    <col min="8" max="8" width="8.88671875" style="474" customWidth="1"/>
    <col min="9" max="9" width="7.5546875" style="474" customWidth="1"/>
    <col min="10" max="10" width="9" style="474" customWidth="1"/>
    <col min="11" max="11" width="3.33203125" style="474" customWidth="1"/>
    <col min="12" max="16384" width="8.88671875" style="474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112)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171</v>
      </c>
    </row>
    <row r="8" spans="1:10" s="2" customFormat="1" ht="9.6" customHeight="1" x14ac:dyDescent="0.25">
      <c r="A8" s="475"/>
      <c r="B8" s="475"/>
      <c r="C8" s="475"/>
      <c r="D8" s="475"/>
      <c r="E8" s="475"/>
      <c r="F8" s="475"/>
      <c r="G8" s="475"/>
      <c r="H8" s="475"/>
      <c r="I8" s="475"/>
      <c r="J8" s="109"/>
    </row>
    <row r="9" spans="1:10" s="2" customFormat="1" ht="26.1" customHeight="1" x14ac:dyDescent="0.3">
      <c r="A9" s="1550" t="s">
        <v>1276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'168-перец овощ.'!H14+1</f>
        <v>112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220</v>
      </c>
      <c r="J16" s="1549"/>
    </row>
    <row r="17" spans="1:10" ht="26.4" customHeight="1" x14ac:dyDescent="0.25">
      <c r="A17" s="1543"/>
      <c r="B17" s="1543"/>
      <c r="C17" s="476" t="s">
        <v>92</v>
      </c>
      <c r="D17" s="476" t="s">
        <v>94</v>
      </c>
      <c r="E17" s="476" t="s">
        <v>93</v>
      </c>
      <c r="F17" s="476" t="s">
        <v>23</v>
      </c>
      <c r="G17" s="476" t="s">
        <v>92</v>
      </c>
      <c r="H17" s="476" t="s">
        <v>94</v>
      </c>
      <c r="I17" s="476" t="s">
        <v>92</v>
      </c>
      <c r="J17" s="476" t="s">
        <v>94</v>
      </c>
    </row>
    <row r="18" spans="1:10" ht="9.6" customHeight="1" x14ac:dyDescent="0.25">
      <c r="A18" s="476">
        <v>1</v>
      </c>
      <c r="B18" s="477">
        <v>2</v>
      </c>
      <c r="C18" s="476">
        <v>3</v>
      </c>
      <c r="D18" s="477">
        <v>4</v>
      </c>
      <c r="E18" s="476">
        <v>5</v>
      </c>
      <c r="F18" s="477">
        <v>6</v>
      </c>
      <c r="G18" s="476">
        <v>7</v>
      </c>
      <c r="H18" s="477">
        <v>8</v>
      </c>
      <c r="I18" s="476">
        <v>9</v>
      </c>
      <c r="J18" s="477">
        <v>10</v>
      </c>
    </row>
    <row r="19" spans="1:10" s="10" customFormat="1" ht="28.35" customHeight="1" x14ac:dyDescent="0.25">
      <c r="A19" s="180">
        <v>1</v>
      </c>
      <c r="B19" s="20" t="s">
        <v>189</v>
      </c>
      <c r="C19" s="90">
        <v>7.0999999999999994E-2</v>
      </c>
      <c r="D19" s="90">
        <v>7.0999999999999994E-2</v>
      </c>
      <c r="E19" s="408">
        <f>цены!F75</f>
        <v>100</v>
      </c>
      <c r="F19" s="408">
        <f>C19*E19</f>
        <v>7.1</v>
      </c>
      <c r="G19" s="97">
        <f t="shared" ref="G19:H21" si="0">C19*10</f>
        <v>0.71</v>
      </c>
      <c r="H19" s="21">
        <f t="shared" si="0"/>
        <v>0.71</v>
      </c>
      <c r="I19" s="21">
        <f t="shared" ref="I19:J21" si="1">C19*100</f>
        <v>7.1</v>
      </c>
      <c r="J19" s="21">
        <f t="shared" si="1"/>
        <v>7.1</v>
      </c>
    </row>
    <row r="20" spans="1:10" s="10" customFormat="1" ht="14.1" customHeight="1" x14ac:dyDescent="0.25">
      <c r="A20" s="180">
        <v>2</v>
      </c>
      <c r="B20" s="20" t="s">
        <v>28</v>
      </c>
      <c r="C20" s="90">
        <f>710/1000*D22</f>
        <v>0.107</v>
      </c>
      <c r="D20" s="90">
        <f>C20</f>
        <v>0.107</v>
      </c>
      <c r="E20" s="408"/>
      <c r="F20" s="408"/>
      <c r="G20" s="97">
        <f t="shared" si="0"/>
        <v>1.07</v>
      </c>
      <c r="H20" s="21">
        <f t="shared" si="0"/>
        <v>1.07</v>
      </c>
      <c r="I20" s="21">
        <f t="shared" si="1"/>
        <v>10.7</v>
      </c>
      <c r="J20" s="21">
        <f t="shared" si="1"/>
        <v>10.7</v>
      </c>
    </row>
    <row r="21" spans="1:10" s="10" customFormat="1" ht="14.4" customHeight="1" x14ac:dyDescent="0.25">
      <c r="A21" s="180">
        <v>3</v>
      </c>
      <c r="B21" s="20" t="s">
        <v>33</v>
      </c>
      <c r="C21" s="110">
        <f>21/1000*D22</f>
        <v>3.2000000000000002E-3</v>
      </c>
      <c r="D21" s="110">
        <f>C21</f>
        <v>3.2000000000000002E-3</v>
      </c>
      <c r="E21" s="408">
        <f>цены!F110</f>
        <v>24</v>
      </c>
      <c r="F21" s="408">
        <f>C21*E21</f>
        <v>0.08</v>
      </c>
      <c r="G21" s="97">
        <f t="shared" si="0"/>
        <v>3.2000000000000001E-2</v>
      </c>
      <c r="H21" s="21">
        <f t="shared" si="0"/>
        <v>3.2000000000000001E-2</v>
      </c>
      <c r="I21" s="21">
        <f t="shared" si="1"/>
        <v>0.32</v>
      </c>
      <c r="J21" s="21">
        <f t="shared" si="1"/>
        <v>0.32</v>
      </c>
    </row>
    <row r="22" spans="1:10" s="10" customFormat="1" ht="15.6" customHeight="1" x14ac:dyDescent="0.25">
      <c r="A22" s="416"/>
      <c r="B22" s="93" t="s">
        <v>71</v>
      </c>
      <c r="C22" s="94"/>
      <c r="D22" s="94">
        <v>0.15</v>
      </c>
      <c r="E22" s="95"/>
      <c r="F22" s="95">
        <f>SUM(F19:F21)</f>
        <v>7.18</v>
      </c>
      <c r="G22" s="99"/>
      <c r="H22" s="100">
        <f>D22*10</f>
        <v>1.5</v>
      </c>
      <c r="I22" s="100"/>
      <c r="J22" s="100">
        <f>D22*100</f>
        <v>15</v>
      </c>
    </row>
    <row r="23" spans="1:10" s="10" customFormat="1" ht="15.6" customHeight="1" x14ac:dyDescent="0.25">
      <c r="A23" s="129">
        <v>4</v>
      </c>
      <c r="B23" s="123" t="s">
        <v>31</v>
      </c>
      <c r="C23" s="124">
        <v>0.01</v>
      </c>
      <c r="D23" s="124">
        <v>0.01</v>
      </c>
      <c r="E23" s="408">
        <f>цены!F21</f>
        <v>710</v>
      </c>
      <c r="F23" s="408">
        <f>C23*E23</f>
        <v>7.1</v>
      </c>
      <c r="G23" s="97">
        <f>C23*10</f>
        <v>0.1</v>
      </c>
      <c r="H23" s="21">
        <f>D23*10</f>
        <v>0.1</v>
      </c>
      <c r="I23" s="21">
        <f>C23*100</f>
        <v>1</v>
      </c>
      <c r="J23" s="21">
        <f>D23*100</f>
        <v>1</v>
      </c>
    </row>
    <row r="24" spans="1:10" s="10" customFormat="1" ht="15.6" customHeight="1" x14ac:dyDescent="0.25">
      <c r="A24" s="98"/>
      <c r="B24" s="93" t="s">
        <v>378</v>
      </c>
      <c r="C24" s="94"/>
      <c r="D24" s="94">
        <v>0.16</v>
      </c>
      <c r="E24" s="95"/>
      <c r="F24" s="95">
        <f>F22+F23</f>
        <v>14.28</v>
      </c>
      <c r="G24" s="99"/>
      <c r="H24" s="100">
        <f>D24*10</f>
        <v>1.6</v>
      </c>
      <c r="I24" s="100"/>
      <c r="J24" s="100">
        <f>D24*100</f>
        <v>16</v>
      </c>
    </row>
    <row r="25" spans="1:10" s="10" customFormat="1" ht="27.6" customHeight="1" x14ac:dyDescent="0.25">
      <c r="A25" s="1536" t="s">
        <v>35</v>
      </c>
      <c r="B25" s="1536"/>
      <c r="C25" s="90"/>
      <c r="D25" s="90"/>
      <c r="E25" s="408"/>
      <c r="F25" s="408">
        <f>F24</f>
        <v>14.28</v>
      </c>
      <c r="G25" s="478"/>
      <c r="H25" s="478"/>
      <c r="I25" s="21"/>
      <c r="J25" s="408"/>
    </row>
    <row r="26" spans="1:10" s="10" customFormat="1" ht="25.35" customHeight="1" x14ac:dyDescent="0.25">
      <c r="A26" s="1536" t="s">
        <v>36</v>
      </c>
      <c r="B26" s="1536"/>
      <c r="C26" s="90">
        <v>160</v>
      </c>
      <c r="D26" s="90"/>
      <c r="E26" s="408"/>
      <c r="F26" s="408"/>
      <c r="G26" s="408"/>
      <c r="H26" s="408"/>
      <c r="I26" s="21"/>
      <c r="J26" s="17"/>
    </row>
    <row r="27" spans="1:10" s="10" customFormat="1" ht="25.35" customHeight="1" x14ac:dyDescent="0.25">
      <c r="A27" s="1537" t="s">
        <v>37</v>
      </c>
      <c r="B27" s="1538"/>
      <c r="C27" s="91">
        <v>160</v>
      </c>
      <c r="D27" s="92"/>
      <c r="E27" s="477"/>
      <c r="F27" s="477"/>
      <c r="G27" s="477"/>
      <c r="H27" s="477"/>
      <c r="I27" s="21"/>
      <c r="J27" s="17"/>
    </row>
    <row r="28" spans="1:10" s="10" customFormat="1" ht="15" customHeight="1" x14ac:dyDescent="0.25">
      <c r="A28" s="1539" t="s">
        <v>38</v>
      </c>
      <c r="B28" s="1540"/>
      <c r="C28" s="92">
        <f>C26/C27</f>
        <v>1</v>
      </c>
      <c r="D28" s="92"/>
      <c r="E28" s="477"/>
      <c r="F28" s="477"/>
      <c r="G28" s="477"/>
      <c r="H28" s="477"/>
      <c r="I28" s="21"/>
      <c r="J28" s="17"/>
    </row>
    <row r="29" spans="1:10" ht="16.350000000000001" customHeight="1" x14ac:dyDescent="0.25">
      <c r="A29" s="1541" t="s">
        <v>39</v>
      </c>
      <c r="B29" s="1542"/>
      <c r="C29" s="15" t="s">
        <v>40</v>
      </c>
      <c r="D29" s="102"/>
      <c r="E29" s="102" t="s">
        <v>40</v>
      </c>
      <c r="F29" s="16">
        <f>F25/C28</f>
        <v>14.28</v>
      </c>
      <c r="G29" s="16"/>
      <c r="H29" s="131"/>
      <c r="I29" s="102" t="s">
        <v>40</v>
      </c>
      <c r="J29" s="102" t="s">
        <v>40</v>
      </c>
    </row>
    <row r="30" spans="1:10" ht="23.1" customHeight="1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0" ht="13.95" customHeight="1" x14ac:dyDescent="0.25">
      <c r="A31" s="1193"/>
      <c r="B31" s="1194" t="s">
        <v>49</v>
      </c>
      <c r="C31" s="1198"/>
      <c r="D31" s="1198"/>
      <c r="E31" s="1198"/>
      <c r="F31" s="1198"/>
      <c r="G31" s="1193"/>
      <c r="H31" s="1560">
        <f>'1-бутерброд с маслом'!$H$28</f>
        <v>0</v>
      </c>
      <c r="I31" s="1560"/>
      <c r="J31" s="1560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545" t="s">
        <v>327</v>
      </c>
      <c r="B33" s="1545"/>
      <c r="C33" s="1546" t="s">
        <v>328</v>
      </c>
      <c r="D33" s="1546"/>
      <c r="E33" s="1546"/>
      <c r="F33" s="1546"/>
      <c r="G33" s="106"/>
      <c r="H33" s="1531"/>
      <c r="I33" s="1531"/>
      <c r="J33" s="1531"/>
    </row>
    <row r="34" spans="1:10" x14ac:dyDescent="0.25">
      <c r="A34" s="1193"/>
      <c r="B34" s="1193"/>
      <c r="C34" s="1546"/>
      <c r="D34" s="1546"/>
      <c r="E34" s="1546"/>
      <c r="F34" s="1546"/>
      <c r="G34" s="1193"/>
      <c r="H34" s="1531" t="s">
        <v>329</v>
      </c>
      <c r="I34" s="1531"/>
      <c r="J34" s="1531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3:B33"/>
    <mergeCell ref="C33:F34"/>
    <mergeCell ref="H33:J33"/>
    <mergeCell ref="H34:J34"/>
    <mergeCell ref="A26:B26"/>
    <mergeCell ref="A27:B27"/>
    <mergeCell ref="A28:B28"/>
    <mergeCell ref="A29:B29"/>
    <mergeCell ref="H31:J31"/>
    <mergeCell ref="A25:B25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E8EE3"/>
  </sheetPr>
  <dimension ref="A1:J39"/>
  <sheetViews>
    <sheetView view="pageBreakPreview" topLeftCell="A8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441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113)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171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617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'171-каша греч рассып. '!H14+1</f>
        <v>113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220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28.35" customHeight="1" x14ac:dyDescent="0.25">
      <c r="A19" s="180">
        <v>1</v>
      </c>
      <c r="B19" s="20" t="s">
        <v>189</v>
      </c>
      <c r="C19" s="90">
        <v>7.0999999999999994E-2</v>
      </c>
      <c r="D19" s="90">
        <v>7.0999999999999994E-2</v>
      </c>
      <c r="E19" s="13">
        <f>цены!F75</f>
        <v>100</v>
      </c>
      <c r="F19" s="13">
        <f>C19*E19</f>
        <v>7.1</v>
      </c>
      <c r="G19" s="97">
        <f t="shared" ref="G19:H21" si="0">C19*10</f>
        <v>0.71</v>
      </c>
      <c r="H19" s="21">
        <f t="shared" si="0"/>
        <v>0.71</v>
      </c>
      <c r="I19" s="21">
        <f t="shared" ref="I19:J21" si="1">C19*100</f>
        <v>7.1</v>
      </c>
      <c r="J19" s="21">
        <f t="shared" si="1"/>
        <v>7.1</v>
      </c>
    </row>
    <row r="20" spans="1:10" s="10" customFormat="1" ht="14.1" customHeight="1" x14ac:dyDescent="0.25">
      <c r="A20" s="180">
        <v>2</v>
      </c>
      <c r="B20" s="20" t="s">
        <v>28</v>
      </c>
      <c r="C20" s="90">
        <f>710/1000*D22</f>
        <v>0.107</v>
      </c>
      <c r="D20" s="90">
        <f>C20</f>
        <v>0.107</v>
      </c>
      <c r="E20" s="13"/>
      <c r="F20" s="13"/>
      <c r="G20" s="97">
        <f>C20*10</f>
        <v>1.07</v>
      </c>
      <c r="H20" s="21">
        <f>D20*10</f>
        <v>1.07</v>
      </c>
      <c r="I20" s="21">
        <f>C20*100</f>
        <v>10.7</v>
      </c>
      <c r="J20" s="21">
        <f>D20*100</f>
        <v>10.7</v>
      </c>
    </row>
    <row r="21" spans="1:10" s="10" customFormat="1" ht="14.4" customHeight="1" x14ac:dyDescent="0.25">
      <c r="A21" s="180">
        <v>3</v>
      </c>
      <c r="B21" s="20" t="s">
        <v>33</v>
      </c>
      <c r="C21" s="110">
        <f>21/1000*D22</f>
        <v>3.2000000000000002E-3</v>
      </c>
      <c r="D21" s="110">
        <f>C21</f>
        <v>3.2000000000000002E-3</v>
      </c>
      <c r="E21" s="13">
        <f>цены!F110</f>
        <v>24</v>
      </c>
      <c r="F21" s="13">
        <f>C21*E21</f>
        <v>0.08</v>
      </c>
      <c r="G21" s="97">
        <f t="shared" si="0"/>
        <v>3.2000000000000001E-2</v>
      </c>
      <c r="H21" s="21">
        <f t="shared" si="0"/>
        <v>3.2000000000000001E-2</v>
      </c>
      <c r="I21" s="21">
        <f t="shared" si="1"/>
        <v>0.32</v>
      </c>
      <c r="J21" s="21">
        <f t="shared" si="1"/>
        <v>0.32</v>
      </c>
    </row>
    <row r="22" spans="1:10" s="10" customFormat="1" ht="15.6" customHeight="1" x14ac:dyDescent="0.25">
      <c r="A22" s="190"/>
      <c r="B22" s="93" t="s">
        <v>71</v>
      </c>
      <c r="C22" s="94"/>
      <c r="D22" s="94">
        <v>0.15</v>
      </c>
      <c r="E22" s="95"/>
      <c r="F22" s="95">
        <f>SUM(F19:F21)</f>
        <v>7.18</v>
      </c>
      <c r="G22" s="99"/>
      <c r="H22" s="100">
        <f>D22*10</f>
        <v>1.5</v>
      </c>
      <c r="I22" s="100"/>
      <c r="J22" s="100">
        <f>D22*100</f>
        <v>15</v>
      </c>
    </row>
    <row r="23" spans="1:10" s="10" customFormat="1" ht="15.6" customHeight="1" x14ac:dyDescent="0.25">
      <c r="A23" s="129">
        <v>4</v>
      </c>
      <c r="B23" s="123" t="s">
        <v>31</v>
      </c>
      <c r="C23" s="124">
        <v>0.01</v>
      </c>
      <c r="D23" s="124">
        <v>0.01</v>
      </c>
      <c r="E23" s="13">
        <f>цены!F21</f>
        <v>710</v>
      </c>
      <c r="F23" s="13">
        <f>C23*E23</f>
        <v>7.1</v>
      </c>
      <c r="G23" s="97">
        <f>C23*10</f>
        <v>0.1</v>
      </c>
      <c r="H23" s="21">
        <f>D23*10</f>
        <v>0.1</v>
      </c>
      <c r="I23" s="21">
        <f>C23*100</f>
        <v>1</v>
      </c>
      <c r="J23" s="21">
        <f>D23*100</f>
        <v>1</v>
      </c>
    </row>
    <row r="24" spans="1:10" s="10" customFormat="1" ht="15.6" customHeight="1" x14ac:dyDescent="0.25">
      <c r="A24" s="129">
        <v>5</v>
      </c>
      <c r="B24" s="123" t="s">
        <v>30</v>
      </c>
      <c r="C24" s="124">
        <v>0.01</v>
      </c>
      <c r="D24" s="124">
        <v>0.01</v>
      </c>
      <c r="E24" s="13">
        <f>цены!F107</f>
        <v>76</v>
      </c>
      <c r="F24" s="13">
        <f>C24*E24</f>
        <v>0.76</v>
      </c>
      <c r="G24" s="97">
        <f>C24*10</f>
        <v>0.1</v>
      </c>
      <c r="H24" s="21">
        <f>D24*10</f>
        <v>0.1</v>
      </c>
      <c r="I24" s="21">
        <f>C24*100</f>
        <v>1</v>
      </c>
      <c r="J24" s="21">
        <f>D24*100</f>
        <v>1</v>
      </c>
    </row>
    <row r="25" spans="1:10" s="10" customFormat="1" ht="15.6" customHeight="1" x14ac:dyDescent="0.25">
      <c r="A25" s="98"/>
      <c r="B25" s="93" t="s">
        <v>378</v>
      </c>
      <c r="C25" s="94"/>
      <c r="D25" s="94">
        <v>0.17</v>
      </c>
      <c r="E25" s="95"/>
      <c r="F25" s="95">
        <f>F22+F23+F24</f>
        <v>15.04</v>
      </c>
      <c r="G25" s="99"/>
      <c r="H25" s="100">
        <f>D25*10</f>
        <v>1.7</v>
      </c>
      <c r="I25" s="100"/>
      <c r="J25" s="100">
        <f>D25*100</f>
        <v>17</v>
      </c>
    </row>
    <row r="26" spans="1:10" s="10" customFormat="1" ht="27.6" customHeight="1" x14ac:dyDescent="0.25">
      <c r="A26" s="1536" t="s">
        <v>35</v>
      </c>
      <c r="B26" s="1536"/>
      <c r="C26" s="90"/>
      <c r="D26" s="90"/>
      <c r="E26" s="13"/>
      <c r="F26" s="13">
        <f>F25</f>
        <v>15.04</v>
      </c>
      <c r="G26" s="14"/>
      <c r="H26" s="14"/>
      <c r="I26" s="21"/>
      <c r="J26" s="13"/>
    </row>
    <row r="27" spans="1:10" s="10" customFormat="1" ht="25.35" customHeight="1" x14ac:dyDescent="0.25">
      <c r="A27" s="1536" t="s">
        <v>36</v>
      </c>
      <c r="B27" s="1536"/>
      <c r="C27" s="90">
        <v>170</v>
      </c>
      <c r="D27" s="90"/>
      <c r="E27" s="13"/>
      <c r="F27" s="13"/>
      <c r="G27" s="13"/>
      <c r="H27" s="13"/>
      <c r="I27" s="21"/>
      <c r="J27" s="17"/>
    </row>
    <row r="28" spans="1:10" s="10" customFormat="1" ht="25.35" customHeight="1" x14ac:dyDescent="0.25">
      <c r="A28" s="1537" t="s">
        <v>37</v>
      </c>
      <c r="B28" s="1538"/>
      <c r="C28" s="91">
        <v>170</v>
      </c>
      <c r="D28" s="92"/>
      <c r="E28" s="5"/>
      <c r="F28" s="5"/>
      <c r="G28" s="5"/>
      <c r="H28" s="5"/>
      <c r="I28" s="21"/>
      <c r="J28" s="17"/>
    </row>
    <row r="29" spans="1:10" s="10" customFormat="1" ht="15" customHeight="1" x14ac:dyDescent="0.25">
      <c r="A29" s="1539" t="s">
        <v>38</v>
      </c>
      <c r="B29" s="1540"/>
      <c r="C29" s="92">
        <f>C27/C28</f>
        <v>1</v>
      </c>
      <c r="D29" s="92"/>
      <c r="E29" s="5"/>
      <c r="F29" s="5"/>
      <c r="G29" s="5"/>
      <c r="H29" s="5"/>
      <c r="I29" s="21"/>
      <c r="J29" s="17"/>
    </row>
    <row r="30" spans="1:10" ht="16.350000000000001" customHeight="1" x14ac:dyDescent="0.25">
      <c r="A30" s="1541" t="s">
        <v>39</v>
      </c>
      <c r="B30" s="1542"/>
      <c r="C30" s="15" t="s">
        <v>40</v>
      </c>
      <c r="D30" s="102"/>
      <c r="E30" s="102" t="s">
        <v>40</v>
      </c>
      <c r="F30" s="16">
        <f>F26/C29</f>
        <v>15.04</v>
      </c>
      <c r="G30" s="16"/>
      <c r="H30" s="131"/>
      <c r="I30" s="102" t="s">
        <v>40</v>
      </c>
      <c r="J30" s="102" t="s">
        <v>40</v>
      </c>
    </row>
    <row r="31" spans="1:10" ht="23.1" customHeight="1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ht="13.95" customHeight="1" x14ac:dyDescent="0.25">
      <c r="A32" s="1193"/>
      <c r="B32" s="1194" t="s">
        <v>49</v>
      </c>
      <c r="C32" s="1198"/>
      <c r="D32" s="1198"/>
      <c r="E32" s="1198"/>
      <c r="F32" s="1198"/>
      <c r="G32" s="1193"/>
      <c r="H32" s="1560">
        <f>'1-бутерброд с маслом'!$H$28</f>
        <v>0</v>
      </c>
      <c r="I32" s="1560"/>
      <c r="J32" s="1560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545" t="s">
        <v>327</v>
      </c>
      <c r="B34" s="1545"/>
      <c r="C34" s="1546" t="s">
        <v>328</v>
      </c>
      <c r="D34" s="1546"/>
      <c r="E34" s="1546"/>
      <c r="F34" s="1546"/>
      <c r="G34" s="106"/>
      <c r="H34" s="1531"/>
      <c r="I34" s="1531"/>
      <c r="J34" s="1531"/>
    </row>
    <row r="35" spans="1:10" x14ac:dyDescent="0.25">
      <c r="A35" s="1193"/>
      <c r="B35" s="1193"/>
      <c r="C35" s="1546"/>
      <c r="D35" s="1546"/>
      <c r="E35" s="1546"/>
      <c r="F35" s="1546"/>
      <c r="G35" s="1193"/>
      <c r="H35" s="1531" t="s">
        <v>329</v>
      </c>
      <c r="I35" s="1531"/>
      <c r="J35" s="1531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4:B34"/>
    <mergeCell ref="C34:F35"/>
    <mergeCell ref="H34:J34"/>
    <mergeCell ref="H35:J35"/>
    <mergeCell ref="A27:B27"/>
    <mergeCell ref="A28:B28"/>
    <mergeCell ref="A29:B29"/>
    <mergeCell ref="A30:B30"/>
    <mergeCell ref="H32:J32"/>
    <mergeCell ref="A26:B26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E8EE3"/>
  </sheetPr>
  <dimension ref="A1:J38"/>
  <sheetViews>
    <sheetView view="pageBreakPreview" topLeftCell="A9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474" customWidth="1"/>
    <col min="2" max="2" width="21.109375" style="474" customWidth="1"/>
    <col min="3" max="7" width="7.5546875" style="474" customWidth="1"/>
    <col min="8" max="8" width="8.88671875" style="474" customWidth="1"/>
    <col min="9" max="9" width="7.5546875" style="474" customWidth="1"/>
    <col min="10" max="10" width="9" style="474" customWidth="1"/>
    <col min="11" max="11" width="4" style="474" customWidth="1"/>
    <col min="12" max="16384" width="8.88671875" style="474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114)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171</v>
      </c>
    </row>
    <row r="8" spans="1:10" s="2" customFormat="1" ht="9.6" customHeight="1" x14ac:dyDescent="0.25">
      <c r="A8" s="475"/>
      <c r="B8" s="475"/>
      <c r="C8" s="475"/>
      <c r="D8" s="475"/>
      <c r="E8" s="475"/>
      <c r="F8" s="475"/>
      <c r="G8" s="475"/>
      <c r="H8" s="475"/>
      <c r="I8" s="475"/>
      <c r="J8" s="109"/>
    </row>
    <row r="9" spans="1:10" s="2" customFormat="1" ht="26.1" customHeight="1" x14ac:dyDescent="0.3">
      <c r="A9" s="1550" t="s">
        <v>765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'171-каша греч рассып. сах'!H14+1</f>
        <v>114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220</v>
      </c>
      <c r="J16" s="1549"/>
    </row>
    <row r="17" spans="1:10" ht="26.4" customHeight="1" x14ac:dyDescent="0.25">
      <c r="A17" s="1543"/>
      <c r="B17" s="1543"/>
      <c r="C17" s="476" t="s">
        <v>92</v>
      </c>
      <c r="D17" s="476" t="s">
        <v>94</v>
      </c>
      <c r="E17" s="476" t="s">
        <v>93</v>
      </c>
      <c r="F17" s="476" t="s">
        <v>23</v>
      </c>
      <c r="G17" s="476" t="s">
        <v>92</v>
      </c>
      <c r="H17" s="476" t="s">
        <v>94</v>
      </c>
      <c r="I17" s="476" t="s">
        <v>92</v>
      </c>
      <c r="J17" s="476" t="s">
        <v>94</v>
      </c>
    </row>
    <row r="18" spans="1:10" ht="9.6" customHeight="1" x14ac:dyDescent="0.25">
      <c r="A18" s="476">
        <v>1</v>
      </c>
      <c r="B18" s="477">
        <v>2</v>
      </c>
      <c r="C18" s="476">
        <v>3</v>
      </c>
      <c r="D18" s="477">
        <v>4</v>
      </c>
      <c r="E18" s="476">
        <v>5</v>
      </c>
      <c r="F18" s="477">
        <v>6</v>
      </c>
      <c r="G18" s="476">
        <v>7</v>
      </c>
      <c r="H18" s="477">
        <v>8</v>
      </c>
      <c r="I18" s="476">
        <v>9</v>
      </c>
      <c r="J18" s="477">
        <v>10</v>
      </c>
    </row>
    <row r="19" spans="1:10" s="10" customFormat="1" ht="15" customHeight="1" x14ac:dyDescent="0.25">
      <c r="A19" s="180">
        <v>1</v>
      </c>
      <c r="B19" s="20" t="s">
        <v>307</v>
      </c>
      <c r="C19" s="90">
        <v>5.3999999999999999E-2</v>
      </c>
      <c r="D19" s="90">
        <v>5.3999999999999999E-2</v>
      </c>
      <c r="E19" s="408">
        <f>цены!F83</f>
        <v>98</v>
      </c>
      <c r="F19" s="408">
        <f>C19*E19</f>
        <v>5.29</v>
      </c>
      <c r="G19" s="97">
        <f t="shared" ref="G19:H21" si="0">C19*10</f>
        <v>0.54</v>
      </c>
      <c r="H19" s="21">
        <f t="shared" si="0"/>
        <v>0.54</v>
      </c>
      <c r="I19" s="21">
        <f t="shared" ref="I19:J21" si="1">C19*100</f>
        <v>5.4</v>
      </c>
      <c r="J19" s="21">
        <f t="shared" si="1"/>
        <v>5.4</v>
      </c>
    </row>
    <row r="20" spans="1:10" s="10" customFormat="1" ht="15" customHeight="1" x14ac:dyDescent="0.25">
      <c r="A20" s="180">
        <v>2</v>
      </c>
      <c r="B20" s="20" t="s">
        <v>28</v>
      </c>
      <c r="C20" s="90">
        <f>750/1000*D22</f>
        <v>0.113</v>
      </c>
      <c r="D20" s="90">
        <f>C20</f>
        <v>0.113</v>
      </c>
      <c r="E20" s="408"/>
      <c r="F20" s="408">
        <f>C20*E20</f>
        <v>0</v>
      </c>
      <c r="G20" s="97">
        <f t="shared" si="0"/>
        <v>1.1299999999999999</v>
      </c>
      <c r="H20" s="21">
        <f t="shared" si="0"/>
        <v>1.1299999999999999</v>
      </c>
      <c r="I20" s="21">
        <f t="shared" si="1"/>
        <v>11.3</v>
      </c>
      <c r="J20" s="21">
        <f t="shared" si="1"/>
        <v>11.3</v>
      </c>
    </row>
    <row r="21" spans="1:10" s="10" customFormat="1" ht="14.4" customHeight="1" x14ac:dyDescent="0.25">
      <c r="A21" s="180">
        <v>3</v>
      </c>
      <c r="B21" s="20" t="s">
        <v>33</v>
      </c>
      <c r="C21" s="110">
        <f>28/1000*D22</f>
        <v>4.1999999999999997E-3</v>
      </c>
      <c r="D21" s="110">
        <f>C21</f>
        <v>4.1999999999999997E-3</v>
      </c>
      <c r="E21" s="408">
        <f>цены!F110</f>
        <v>24</v>
      </c>
      <c r="F21" s="408">
        <f>C21*E21</f>
        <v>0.1</v>
      </c>
      <c r="G21" s="97">
        <f t="shared" si="0"/>
        <v>4.2000000000000003E-2</v>
      </c>
      <c r="H21" s="21">
        <f t="shared" si="0"/>
        <v>4.2000000000000003E-2</v>
      </c>
      <c r="I21" s="21">
        <f t="shared" si="1"/>
        <v>0.42</v>
      </c>
      <c r="J21" s="21">
        <f t="shared" si="1"/>
        <v>0.42</v>
      </c>
    </row>
    <row r="22" spans="1:10" s="10" customFormat="1" ht="15.6" customHeight="1" x14ac:dyDescent="0.25">
      <c r="A22" s="416"/>
      <c r="B22" s="93" t="s">
        <v>71</v>
      </c>
      <c r="C22" s="94"/>
      <c r="D22" s="94">
        <v>0.15</v>
      </c>
      <c r="E22" s="95"/>
      <c r="F22" s="95">
        <f>SUM(F19:F21)</f>
        <v>5.39</v>
      </c>
      <c r="G22" s="99"/>
      <c r="H22" s="100">
        <f>D22*10</f>
        <v>1.5</v>
      </c>
      <c r="I22" s="100"/>
      <c r="J22" s="100">
        <f>D22*100</f>
        <v>15</v>
      </c>
    </row>
    <row r="23" spans="1:10" s="10" customFormat="1" ht="15.6" customHeight="1" x14ac:dyDescent="0.25">
      <c r="A23" s="129">
        <v>4</v>
      </c>
      <c r="B23" s="123" t="s">
        <v>31</v>
      </c>
      <c r="C23" s="124">
        <v>0.01</v>
      </c>
      <c r="D23" s="124">
        <v>0.01</v>
      </c>
      <c r="E23" s="408">
        <f>цены!F21</f>
        <v>710</v>
      </c>
      <c r="F23" s="408">
        <f>C23*E23</f>
        <v>7.1</v>
      </c>
      <c r="G23" s="97">
        <f>C23*10</f>
        <v>0.1</v>
      </c>
      <c r="H23" s="21">
        <f>D23*10</f>
        <v>0.1</v>
      </c>
      <c r="I23" s="21">
        <f>C23*100</f>
        <v>1</v>
      </c>
      <c r="J23" s="21">
        <f>D23*100</f>
        <v>1</v>
      </c>
    </row>
    <row r="24" spans="1:10" s="10" customFormat="1" ht="15.6" customHeight="1" x14ac:dyDescent="0.25">
      <c r="A24" s="98"/>
      <c r="B24" s="93" t="s">
        <v>378</v>
      </c>
      <c r="C24" s="94"/>
      <c r="D24" s="94">
        <v>0.16</v>
      </c>
      <c r="E24" s="95"/>
      <c r="F24" s="95">
        <f>F22+F23</f>
        <v>12.49</v>
      </c>
      <c r="G24" s="99"/>
      <c r="H24" s="100">
        <f>D24*10</f>
        <v>1.6</v>
      </c>
      <c r="I24" s="100"/>
      <c r="J24" s="100">
        <f>D24*100</f>
        <v>16</v>
      </c>
    </row>
    <row r="25" spans="1:10" s="10" customFormat="1" ht="27.6" customHeight="1" x14ac:dyDescent="0.25">
      <c r="A25" s="1536" t="s">
        <v>35</v>
      </c>
      <c r="B25" s="1536"/>
      <c r="C25" s="90"/>
      <c r="D25" s="90"/>
      <c r="E25" s="408"/>
      <c r="F25" s="408">
        <f>F24</f>
        <v>12.49</v>
      </c>
      <c r="G25" s="478"/>
      <c r="H25" s="478"/>
      <c r="I25" s="21"/>
      <c r="J25" s="408"/>
    </row>
    <row r="26" spans="1:10" s="10" customFormat="1" ht="25.35" customHeight="1" x14ac:dyDescent="0.25">
      <c r="A26" s="1536" t="s">
        <v>36</v>
      </c>
      <c r="B26" s="1536"/>
      <c r="C26" s="90">
        <v>160</v>
      </c>
      <c r="D26" s="90"/>
      <c r="E26" s="408"/>
      <c r="F26" s="408"/>
      <c r="G26" s="408"/>
      <c r="H26" s="408"/>
      <c r="I26" s="21"/>
      <c r="J26" s="17"/>
    </row>
    <row r="27" spans="1:10" s="10" customFormat="1" ht="25.35" customHeight="1" x14ac:dyDescent="0.25">
      <c r="A27" s="1537" t="s">
        <v>37</v>
      </c>
      <c r="B27" s="1538"/>
      <c r="C27" s="91">
        <v>160</v>
      </c>
      <c r="D27" s="92"/>
      <c r="E27" s="477"/>
      <c r="F27" s="477"/>
      <c r="G27" s="477"/>
      <c r="H27" s="477"/>
      <c r="I27" s="21"/>
      <c r="J27" s="17"/>
    </row>
    <row r="28" spans="1:10" s="10" customFormat="1" ht="15" customHeight="1" x14ac:dyDescent="0.25">
      <c r="A28" s="1539" t="s">
        <v>38</v>
      </c>
      <c r="B28" s="1540"/>
      <c r="C28" s="92">
        <f>C26/C27</f>
        <v>1</v>
      </c>
      <c r="D28" s="92"/>
      <c r="E28" s="477"/>
      <c r="F28" s="477"/>
      <c r="G28" s="477"/>
      <c r="H28" s="477"/>
      <c r="I28" s="21"/>
      <c r="J28" s="17"/>
    </row>
    <row r="29" spans="1:10" ht="16.350000000000001" customHeight="1" x14ac:dyDescent="0.25">
      <c r="A29" s="1541" t="s">
        <v>39</v>
      </c>
      <c r="B29" s="1542"/>
      <c r="C29" s="15" t="s">
        <v>40</v>
      </c>
      <c r="D29" s="102"/>
      <c r="E29" s="102" t="s">
        <v>40</v>
      </c>
      <c r="F29" s="16">
        <f>F25/C28</f>
        <v>12.49</v>
      </c>
      <c r="G29" s="16"/>
      <c r="H29" s="131"/>
      <c r="I29" s="102" t="s">
        <v>40</v>
      </c>
      <c r="J29" s="102" t="s">
        <v>40</v>
      </c>
    </row>
    <row r="30" spans="1:10" ht="23.1" customHeight="1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0" ht="13.95" customHeight="1" x14ac:dyDescent="0.25">
      <c r="A31" s="1193"/>
      <c r="B31" s="1194" t="s">
        <v>49</v>
      </c>
      <c r="C31" s="1198"/>
      <c r="D31" s="1198"/>
      <c r="E31" s="1198"/>
      <c r="F31" s="1198"/>
      <c r="G31" s="1193"/>
      <c r="H31" s="1560">
        <f>'1-бутерброд с маслом'!$H$28</f>
        <v>0</v>
      </c>
      <c r="I31" s="1560"/>
      <c r="J31" s="1560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545" t="s">
        <v>327</v>
      </c>
      <c r="B33" s="1545"/>
      <c r="C33" s="1546" t="s">
        <v>328</v>
      </c>
      <c r="D33" s="1546"/>
      <c r="E33" s="1546"/>
      <c r="F33" s="1546"/>
      <c r="G33" s="106"/>
      <c r="H33" s="1531"/>
      <c r="I33" s="1531"/>
      <c r="J33" s="1531"/>
    </row>
    <row r="34" spans="1:10" x14ac:dyDescent="0.25">
      <c r="A34" s="1193"/>
      <c r="B34" s="1193"/>
      <c r="C34" s="1546"/>
      <c r="D34" s="1546"/>
      <c r="E34" s="1546"/>
      <c r="F34" s="1546"/>
      <c r="G34" s="1193"/>
      <c r="H34" s="1531" t="s">
        <v>329</v>
      </c>
      <c r="I34" s="1531"/>
      <c r="J34" s="1531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3:B33"/>
    <mergeCell ref="C33:F34"/>
    <mergeCell ref="H33:J33"/>
    <mergeCell ref="H34:J34"/>
    <mergeCell ref="A26:B26"/>
    <mergeCell ref="A27:B27"/>
    <mergeCell ref="A28:B28"/>
    <mergeCell ref="A29:B29"/>
    <mergeCell ref="H31:J31"/>
    <mergeCell ref="A25:B25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75E5"/>
  </sheetPr>
  <dimension ref="A1:J33"/>
  <sheetViews>
    <sheetView view="pageBreakPreview" topLeftCell="A17" zoomScaleNormal="100" zoomScaleSheetLayoutView="100" workbookViewId="0">
      <selection activeCell="A29" sqref="A29:J33"/>
    </sheetView>
  </sheetViews>
  <sheetFormatPr defaultRowHeight="13.8" x14ac:dyDescent="0.25"/>
  <cols>
    <col min="1" max="1" width="4.109375" customWidth="1"/>
    <col min="2" max="2" width="21" customWidth="1"/>
    <col min="3" max="3" width="8.88671875" customWidth="1"/>
    <col min="4" max="7" width="7.5546875" customWidth="1"/>
    <col min="8" max="8" width="8.88671875" customWidth="1"/>
    <col min="9" max="9" width="7.5546875" customWidth="1"/>
    <col min="10" max="10" width="9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03"/>
      <c r="I6" s="103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11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172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'8-бутерброд горяч. с колбас.'!H14+1</f>
        <v>7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72">
        <v>3</v>
      </c>
      <c r="D18" s="173">
        <v>4</v>
      </c>
      <c r="E18" s="172">
        <v>5</v>
      </c>
      <c r="F18" s="173">
        <v>6</v>
      </c>
      <c r="G18" s="172">
        <v>7</v>
      </c>
      <c r="H18" s="173">
        <v>8</v>
      </c>
      <c r="I18" s="172">
        <v>9</v>
      </c>
      <c r="J18" s="173">
        <v>10</v>
      </c>
    </row>
    <row r="19" spans="1:10" s="10" customFormat="1" ht="14.1" customHeight="1" x14ac:dyDescent="0.25">
      <c r="A19" s="180">
        <v>1</v>
      </c>
      <c r="B19" s="20" t="s">
        <v>160</v>
      </c>
      <c r="C19" s="21">
        <v>0.03</v>
      </c>
      <c r="D19" s="21">
        <v>0.03</v>
      </c>
      <c r="E19" s="13">
        <f>'428-булочка школьная 30г'!F33</f>
        <v>1.26</v>
      </c>
      <c r="F19" s="13">
        <f>E19</f>
        <v>1.26</v>
      </c>
      <c r="G19" s="97">
        <f t="shared" ref="G19:H22" si="0">C19*10</f>
        <v>0.3</v>
      </c>
      <c r="H19" s="21">
        <f t="shared" si="0"/>
        <v>0.3</v>
      </c>
      <c r="I19" s="21">
        <f t="shared" ref="I19:J22" si="1">C19*100</f>
        <v>3</v>
      </c>
      <c r="J19" s="21">
        <f t="shared" si="1"/>
        <v>3</v>
      </c>
    </row>
    <row r="20" spans="1:10" s="10" customFormat="1" ht="14.1" customHeight="1" x14ac:dyDescent="0.25">
      <c r="A20" s="180">
        <v>2</v>
      </c>
      <c r="B20" s="20" t="s">
        <v>158</v>
      </c>
      <c r="C20" s="21">
        <v>5.0000000000000001E-3</v>
      </c>
      <c r="D20" s="21">
        <v>5.0000000000000001E-3</v>
      </c>
      <c r="E20" s="13">
        <f>цены!F97</f>
        <v>150</v>
      </c>
      <c r="F20" s="13">
        <f>C20*E20</f>
        <v>0.75</v>
      </c>
      <c r="G20" s="97">
        <f t="shared" si="0"/>
        <v>0.05</v>
      </c>
      <c r="H20" s="21">
        <f t="shared" si="0"/>
        <v>0.05</v>
      </c>
      <c r="I20" s="21">
        <f t="shared" si="1"/>
        <v>0.5</v>
      </c>
      <c r="J20" s="21">
        <f t="shared" si="1"/>
        <v>0.5</v>
      </c>
    </row>
    <row r="21" spans="1:10" s="10" customFormat="1" ht="12" customHeight="1" x14ac:dyDescent="0.25">
      <c r="A21" s="180">
        <v>3</v>
      </c>
      <c r="B21" s="20" t="s">
        <v>173</v>
      </c>
      <c r="C21" s="21">
        <v>3.1E-2</v>
      </c>
      <c r="D21" s="21">
        <v>0.03</v>
      </c>
      <c r="E21" s="13">
        <f>цены!F11</f>
        <v>325</v>
      </c>
      <c r="F21" s="13">
        <f>C21*E21</f>
        <v>10.08</v>
      </c>
      <c r="G21" s="97">
        <f t="shared" si="0"/>
        <v>0.31</v>
      </c>
      <c r="H21" s="21">
        <f t="shared" si="0"/>
        <v>0.3</v>
      </c>
      <c r="I21" s="21">
        <f t="shared" si="1"/>
        <v>3.1</v>
      </c>
      <c r="J21" s="21">
        <f t="shared" si="1"/>
        <v>3</v>
      </c>
    </row>
    <row r="22" spans="1:10" s="10" customFormat="1" ht="12" customHeight="1" x14ac:dyDescent="0.25">
      <c r="A22" s="180">
        <v>4</v>
      </c>
      <c r="B22" s="20" t="s">
        <v>159</v>
      </c>
      <c r="C22" s="21">
        <v>1.2999999999999999E-2</v>
      </c>
      <c r="D22" s="21">
        <v>0.01</v>
      </c>
      <c r="E22" s="13">
        <f>цены!F101</f>
        <v>120</v>
      </c>
      <c r="F22" s="13">
        <f>C22*E22</f>
        <v>1.56</v>
      </c>
      <c r="G22" s="97">
        <f t="shared" si="0"/>
        <v>0.13</v>
      </c>
      <c r="H22" s="21">
        <f t="shared" si="0"/>
        <v>0.1</v>
      </c>
      <c r="I22" s="21">
        <f t="shared" si="1"/>
        <v>1.3</v>
      </c>
      <c r="J22" s="21">
        <f t="shared" si="1"/>
        <v>1</v>
      </c>
    </row>
    <row r="23" spans="1:10" s="10" customFormat="1" ht="12" customHeight="1" x14ac:dyDescent="0.25">
      <c r="A23" s="98"/>
      <c r="B23" s="93" t="s">
        <v>100</v>
      </c>
      <c r="C23" s="100"/>
      <c r="D23" s="100">
        <v>0.75</v>
      </c>
      <c r="E23" s="95"/>
      <c r="F23" s="95">
        <f>SUM(F19:F22)</f>
        <v>13.65</v>
      </c>
      <c r="G23" s="99"/>
      <c r="H23" s="100">
        <f>D23*10</f>
        <v>7.5</v>
      </c>
      <c r="I23" s="100"/>
      <c r="J23" s="100">
        <f>D23*100</f>
        <v>75</v>
      </c>
    </row>
    <row r="24" spans="1:10" s="10" customFormat="1" ht="27.6" customHeight="1" x14ac:dyDescent="0.25">
      <c r="A24" s="1536" t="s">
        <v>35</v>
      </c>
      <c r="B24" s="1536"/>
      <c r="C24" s="90"/>
      <c r="D24" s="90"/>
      <c r="E24" s="13"/>
      <c r="F24" s="13">
        <f>F23</f>
        <v>13.65</v>
      </c>
      <c r="G24" s="14"/>
      <c r="H24" s="14"/>
      <c r="I24" s="21"/>
      <c r="J24" s="13"/>
    </row>
    <row r="25" spans="1:10" s="10" customFormat="1" ht="25.35" customHeight="1" x14ac:dyDescent="0.25">
      <c r="A25" s="1536" t="s">
        <v>36</v>
      </c>
      <c r="B25" s="1536"/>
      <c r="C25" s="90">
        <v>75</v>
      </c>
      <c r="D25" s="90"/>
      <c r="E25" s="13"/>
      <c r="F25" s="13"/>
      <c r="G25" s="13"/>
      <c r="H25" s="13"/>
      <c r="I25" s="21"/>
      <c r="J25" s="17"/>
    </row>
    <row r="26" spans="1:10" s="10" customFormat="1" ht="25.35" customHeight="1" x14ac:dyDescent="0.25">
      <c r="A26" s="1537" t="s">
        <v>37</v>
      </c>
      <c r="B26" s="1538"/>
      <c r="C26" s="91">
        <v>75</v>
      </c>
      <c r="D26" s="92"/>
      <c r="E26" s="5"/>
      <c r="F26" s="5"/>
      <c r="G26" s="5"/>
      <c r="H26" s="5"/>
      <c r="I26" s="21"/>
      <c r="J26" s="17"/>
    </row>
    <row r="27" spans="1:10" s="10" customFormat="1" ht="15" customHeight="1" x14ac:dyDescent="0.25">
      <c r="A27" s="1539" t="s">
        <v>38</v>
      </c>
      <c r="B27" s="1540"/>
      <c r="C27" s="92">
        <f>C25/C26</f>
        <v>1</v>
      </c>
      <c r="D27" s="92"/>
      <c r="E27" s="5"/>
      <c r="F27" s="5"/>
      <c r="G27" s="5"/>
      <c r="H27" s="5"/>
      <c r="I27" s="21"/>
      <c r="J27" s="17"/>
    </row>
    <row r="28" spans="1:10" ht="16.350000000000001" customHeight="1" x14ac:dyDescent="0.25">
      <c r="A28" s="1541" t="s">
        <v>39</v>
      </c>
      <c r="B28" s="1542"/>
      <c r="C28" s="15" t="s">
        <v>40</v>
      </c>
      <c r="D28" s="102"/>
      <c r="E28" s="102" t="s">
        <v>40</v>
      </c>
      <c r="F28" s="16">
        <f>F24/C27</f>
        <v>13.65</v>
      </c>
      <c r="G28" s="16"/>
      <c r="H28" s="16"/>
      <c r="I28" s="102" t="s">
        <v>40</v>
      </c>
      <c r="J28" s="102" t="s">
        <v>40</v>
      </c>
    </row>
    <row r="29" spans="1:10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0" ht="13.95" customHeight="1" x14ac:dyDescent="0.25">
      <c r="A30" s="1193"/>
      <c r="B30" s="1194" t="s">
        <v>49</v>
      </c>
      <c r="C30" s="1198"/>
      <c r="D30" s="1198"/>
      <c r="E30" s="1198"/>
      <c r="F30" s="1198"/>
      <c r="G30" s="1193"/>
      <c r="H30" s="1557">
        <f>'1-бутерброд с маслом'!$H$28</f>
        <v>0</v>
      </c>
      <c r="I30" s="1557"/>
      <c r="J30" s="1557"/>
    </row>
    <row r="31" spans="1:10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ht="13.95" customHeight="1" x14ac:dyDescent="0.25">
      <c r="A32" s="1545" t="s">
        <v>327</v>
      </c>
      <c r="B32" s="1545"/>
      <c r="C32" s="1546" t="s">
        <v>328</v>
      </c>
      <c r="D32" s="1546"/>
      <c r="E32" s="1546"/>
      <c r="F32" s="1546"/>
      <c r="G32" s="106"/>
      <c r="H32" s="1531"/>
      <c r="I32" s="1531"/>
      <c r="J32" s="1531"/>
    </row>
    <row r="33" spans="1:10" x14ac:dyDescent="0.25">
      <c r="A33" s="1193"/>
      <c r="B33" s="1193"/>
      <c r="C33" s="1546"/>
      <c r="D33" s="1546"/>
      <c r="E33" s="1546"/>
      <c r="F33" s="1546"/>
      <c r="G33" s="1193"/>
      <c r="H33" s="1531" t="s">
        <v>329</v>
      </c>
      <c r="I33" s="1531"/>
      <c r="J33" s="1531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2:B32"/>
    <mergeCell ref="C32:F33"/>
    <mergeCell ref="H32:J32"/>
    <mergeCell ref="H33:J33"/>
    <mergeCell ref="H30:J30"/>
    <mergeCell ref="A25:B25"/>
    <mergeCell ref="A26:B26"/>
    <mergeCell ref="A27:B27"/>
    <mergeCell ref="A28:B28"/>
    <mergeCell ref="A24:B24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E8EE3"/>
  </sheetPr>
  <dimension ref="A1:J39"/>
  <sheetViews>
    <sheetView view="pageBreakPreview" topLeftCell="A8" zoomScale="110" zoomScaleNormal="100" zoomScaleSheetLayoutView="11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1093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115)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171</v>
      </c>
    </row>
    <row r="8" spans="1:10" s="2" customFormat="1" ht="9.6" customHeight="1" x14ac:dyDescent="0.25">
      <c r="A8" s="185"/>
      <c r="B8" s="185"/>
      <c r="C8" s="185"/>
      <c r="D8" s="185"/>
      <c r="E8" s="185"/>
      <c r="F8" s="185"/>
      <c r="G8" s="185"/>
      <c r="H8" s="185"/>
      <c r="I8" s="185"/>
      <c r="J8" s="109"/>
    </row>
    <row r="9" spans="1:10" s="2" customFormat="1" ht="26.1" customHeight="1" x14ac:dyDescent="0.3">
      <c r="A9" s="1550" t="s">
        <v>618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'171-каша рис рассып.'!H14+1</f>
        <v>115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220</v>
      </c>
      <c r="J16" s="1549"/>
    </row>
    <row r="17" spans="1:10" ht="26.4" customHeight="1" x14ac:dyDescent="0.25">
      <c r="A17" s="1543"/>
      <c r="B17" s="1543"/>
      <c r="C17" s="186" t="s">
        <v>92</v>
      </c>
      <c r="D17" s="186" t="s">
        <v>94</v>
      </c>
      <c r="E17" s="186" t="s">
        <v>93</v>
      </c>
      <c r="F17" s="186" t="s">
        <v>23</v>
      </c>
      <c r="G17" s="186" t="s">
        <v>92</v>
      </c>
      <c r="H17" s="186" t="s">
        <v>94</v>
      </c>
      <c r="I17" s="186" t="s">
        <v>92</v>
      </c>
      <c r="J17" s="186" t="s">
        <v>94</v>
      </c>
    </row>
    <row r="18" spans="1:10" ht="9.6" customHeight="1" x14ac:dyDescent="0.25">
      <c r="A18" s="186">
        <v>1</v>
      </c>
      <c r="B18" s="187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5" customHeight="1" x14ac:dyDescent="0.25">
      <c r="A19" s="180">
        <v>1</v>
      </c>
      <c r="B19" s="20" t="s">
        <v>307</v>
      </c>
      <c r="C19" s="90">
        <v>5.3999999999999999E-2</v>
      </c>
      <c r="D19" s="90">
        <v>5.3999999999999999E-2</v>
      </c>
      <c r="E19" s="13">
        <f>цены!F83</f>
        <v>98</v>
      </c>
      <c r="F19" s="13">
        <f>C19*E19</f>
        <v>5.29</v>
      </c>
      <c r="G19" s="97">
        <f t="shared" ref="G19:H21" si="0">C19*10</f>
        <v>0.54</v>
      </c>
      <c r="H19" s="21">
        <f t="shared" si="0"/>
        <v>0.54</v>
      </c>
      <c r="I19" s="21">
        <f t="shared" ref="I19:J21" si="1">C19*100</f>
        <v>5.4</v>
      </c>
      <c r="J19" s="21">
        <f t="shared" si="1"/>
        <v>5.4</v>
      </c>
    </row>
    <row r="20" spans="1:10" s="10" customFormat="1" ht="15" customHeight="1" x14ac:dyDescent="0.25">
      <c r="A20" s="180">
        <v>2</v>
      </c>
      <c r="B20" s="20" t="s">
        <v>28</v>
      </c>
      <c r="C20" s="90">
        <f>750/1000*D22</f>
        <v>0.113</v>
      </c>
      <c r="D20" s="90">
        <f>C20</f>
        <v>0.113</v>
      </c>
      <c r="E20" s="13"/>
      <c r="F20" s="13">
        <f>C20*E20</f>
        <v>0</v>
      </c>
      <c r="G20" s="97">
        <f t="shared" si="0"/>
        <v>1.1299999999999999</v>
      </c>
      <c r="H20" s="21">
        <f t="shared" si="0"/>
        <v>1.1299999999999999</v>
      </c>
      <c r="I20" s="21">
        <f t="shared" si="1"/>
        <v>11.3</v>
      </c>
      <c r="J20" s="21">
        <f t="shared" si="1"/>
        <v>11.3</v>
      </c>
    </row>
    <row r="21" spans="1:10" s="10" customFormat="1" ht="14.4" customHeight="1" x14ac:dyDescent="0.25">
      <c r="A21" s="180">
        <v>3</v>
      </c>
      <c r="B21" s="20" t="s">
        <v>33</v>
      </c>
      <c r="C21" s="110">
        <f>28/1000*D22</f>
        <v>4.1999999999999997E-3</v>
      </c>
      <c r="D21" s="110">
        <f>C21</f>
        <v>4.1999999999999997E-3</v>
      </c>
      <c r="E21" s="13">
        <f>цены!F110</f>
        <v>24</v>
      </c>
      <c r="F21" s="13">
        <f>C21*E21</f>
        <v>0.1</v>
      </c>
      <c r="G21" s="97">
        <f t="shared" si="0"/>
        <v>4.2000000000000003E-2</v>
      </c>
      <c r="H21" s="21">
        <f t="shared" si="0"/>
        <v>4.2000000000000003E-2</v>
      </c>
      <c r="I21" s="21">
        <f t="shared" si="1"/>
        <v>0.42</v>
      </c>
      <c r="J21" s="21">
        <f t="shared" si="1"/>
        <v>0.42</v>
      </c>
    </row>
    <row r="22" spans="1:10" s="10" customFormat="1" ht="15.6" customHeight="1" x14ac:dyDescent="0.25">
      <c r="A22" s="190"/>
      <c r="B22" s="93" t="s">
        <v>71</v>
      </c>
      <c r="C22" s="94"/>
      <c r="D22" s="94">
        <v>0.15</v>
      </c>
      <c r="E22" s="95"/>
      <c r="F22" s="95">
        <f>SUM(F19:F21)</f>
        <v>5.39</v>
      </c>
      <c r="G22" s="99"/>
      <c r="H22" s="100">
        <f>D22*10</f>
        <v>1.5</v>
      </c>
      <c r="I22" s="100"/>
      <c r="J22" s="100">
        <f>D22*100</f>
        <v>15</v>
      </c>
    </row>
    <row r="23" spans="1:10" s="10" customFormat="1" ht="15.6" customHeight="1" x14ac:dyDescent="0.25">
      <c r="A23" s="129">
        <v>4</v>
      </c>
      <c r="B23" s="123" t="s">
        <v>31</v>
      </c>
      <c r="C23" s="124">
        <v>0.01</v>
      </c>
      <c r="D23" s="124">
        <v>0.01</v>
      </c>
      <c r="E23" s="13">
        <f>цены!F21</f>
        <v>710</v>
      </c>
      <c r="F23" s="13">
        <f>C23*E23</f>
        <v>7.1</v>
      </c>
      <c r="G23" s="97">
        <f>C23*10</f>
        <v>0.1</v>
      </c>
      <c r="H23" s="21">
        <f>D23*10</f>
        <v>0.1</v>
      </c>
      <c r="I23" s="21">
        <f>C23*100</f>
        <v>1</v>
      </c>
      <c r="J23" s="21">
        <f>D23*100</f>
        <v>1</v>
      </c>
    </row>
    <row r="24" spans="1:10" s="10" customFormat="1" ht="15.6" customHeight="1" x14ac:dyDescent="0.25">
      <c r="A24" s="129">
        <v>5</v>
      </c>
      <c r="B24" s="123" t="s">
        <v>30</v>
      </c>
      <c r="C24" s="124">
        <v>0.01</v>
      </c>
      <c r="D24" s="124">
        <v>0.01</v>
      </c>
      <c r="E24" s="13">
        <f>цены!F107</f>
        <v>76</v>
      </c>
      <c r="F24" s="13">
        <f>C24*E24</f>
        <v>0.76</v>
      </c>
      <c r="G24" s="97">
        <f>C24*10</f>
        <v>0.1</v>
      </c>
      <c r="H24" s="21">
        <f>D24*10</f>
        <v>0.1</v>
      </c>
      <c r="I24" s="21">
        <f>C24*100</f>
        <v>1</v>
      </c>
      <c r="J24" s="21">
        <f>D24*100</f>
        <v>1</v>
      </c>
    </row>
    <row r="25" spans="1:10" s="10" customFormat="1" ht="24" customHeight="1" x14ac:dyDescent="0.25">
      <c r="A25" s="98"/>
      <c r="B25" s="93" t="s">
        <v>378</v>
      </c>
      <c r="C25" s="94"/>
      <c r="D25" s="94">
        <v>0.17</v>
      </c>
      <c r="E25" s="95"/>
      <c r="F25" s="95">
        <f>F22+F23+F24</f>
        <v>13.25</v>
      </c>
      <c r="G25" s="99"/>
      <c r="H25" s="100">
        <f>D25*10</f>
        <v>1.7</v>
      </c>
      <c r="I25" s="100"/>
      <c r="J25" s="100">
        <f>D25*100</f>
        <v>17</v>
      </c>
    </row>
    <row r="26" spans="1:10" s="10" customFormat="1" ht="27.6" customHeight="1" x14ac:dyDescent="0.25">
      <c r="A26" s="1536" t="s">
        <v>35</v>
      </c>
      <c r="B26" s="1536"/>
      <c r="C26" s="90"/>
      <c r="D26" s="90"/>
      <c r="E26" s="13"/>
      <c r="F26" s="13">
        <f>F25</f>
        <v>13.25</v>
      </c>
      <c r="G26" s="188"/>
      <c r="H26" s="188"/>
      <c r="I26" s="21"/>
      <c r="J26" s="13"/>
    </row>
    <row r="27" spans="1:10" s="10" customFormat="1" ht="25.35" customHeight="1" x14ac:dyDescent="0.25">
      <c r="A27" s="1536" t="s">
        <v>36</v>
      </c>
      <c r="B27" s="1536"/>
      <c r="C27" s="90">
        <v>170</v>
      </c>
      <c r="D27" s="90"/>
      <c r="E27" s="13"/>
      <c r="F27" s="13"/>
      <c r="G27" s="13"/>
      <c r="H27" s="13"/>
      <c r="I27" s="21"/>
      <c r="J27" s="17"/>
    </row>
    <row r="28" spans="1:10" s="10" customFormat="1" ht="25.35" customHeight="1" x14ac:dyDescent="0.25">
      <c r="A28" s="1537" t="s">
        <v>37</v>
      </c>
      <c r="B28" s="1538"/>
      <c r="C28" s="91">
        <v>170</v>
      </c>
      <c r="D28" s="92"/>
      <c r="E28" s="187"/>
      <c r="F28" s="187"/>
      <c r="G28" s="187"/>
      <c r="H28" s="187"/>
      <c r="I28" s="21"/>
      <c r="J28" s="17"/>
    </row>
    <row r="29" spans="1:10" s="10" customFormat="1" ht="15" customHeight="1" x14ac:dyDescent="0.25">
      <c r="A29" s="1539" t="s">
        <v>38</v>
      </c>
      <c r="B29" s="1540"/>
      <c r="C29" s="92">
        <f>C27/C28</f>
        <v>1</v>
      </c>
      <c r="D29" s="92"/>
      <c r="E29" s="187"/>
      <c r="F29" s="187"/>
      <c r="G29" s="187"/>
      <c r="H29" s="187"/>
      <c r="I29" s="21"/>
      <c r="J29" s="17"/>
    </row>
    <row r="30" spans="1:10" ht="16.350000000000001" customHeight="1" x14ac:dyDescent="0.25">
      <c r="A30" s="1541" t="s">
        <v>39</v>
      </c>
      <c r="B30" s="1542"/>
      <c r="C30" s="15" t="s">
        <v>40</v>
      </c>
      <c r="D30" s="102"/>
      <c r="E30" s="102" t="s">
        <v>40</v>
      </c>
      <c r="F30" s="16">
        <f>F26/C29</f>
        <v>13.25</v>
      </c>
      <c r="G30" s="16"/>
      <c r="H30" s="131"/>
      <c r="I30" s="102" t="s">
        <v>40</v>
      </c>
      <c r="J30" s="102" t="s">
        <v>40</v>
      </c>
    </row>
    <row r="31" spans="1:10" ht="23.1" customHeight="1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ht="13.95" customHeight="1" x14ac:dyDescent="0.25">
      <c r="A32" s="1193"/>
      <c r="B32" s="1194" t="s">
        <v>49</v>
      </c>
      <c r="C32" s="1198"/>
      <c r="D32" s="1198"/>
      <c r="E32" s="1198"/>
      <c r="F32" s="1198"/>
      <c r="G32" s="1193"/>
      <c r="H32" s="1560">
        <f>'1-бутерброд с маслом'!$H$28</f>
        <v>0</v>
      </c>
      <c r="I32" s="1560"/>
      <c r="J32" s="1560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545" t="s">
        <v>327</v>
      </c>
      <c r="B34" s="1545"/>
      <c r="C34" s="1546" t="s">
        <v>328</v>
      </c>
      <c r="D34" s="1546"/>
      <c r="E34" s="1546"/>
      <c r="F34" s="1546"/>
      <c r="G34" s="106"/>
      <c r="H34" s="1531"/>
      <c r="I34" s="1531"/>
      <c r="J34" s="1531"/>
    </row>
    <row r="35" spans="1:10" x14ac:dyDescent="0.25">
      <c r="A35" s="1193"/>
      <c r="B35" s="1193"/>
      <c r="C35" s="1546"/>
      <c r="D35" s="1546"/>
      <c r="E35" s="1546"/>
      <c r="F35" s="1546"/>
      <c r="G35" s="1193"/>
      <c r="H35" s="1531" t="s">
        <v>329</v>
      </c>
      <c r="I35" s="1531"/>
      <c r="J35" s="1531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4:B34"/>
    <mergeCell ref="C34:F35"/>
    <mergeCell ref="H34:J34"/>
    <mergeCell ref="H35:J35"/>
    <mergeCell ref="A27:B27"/>
    <mergeCell ref="A28:B28"/>
    <mergeCell ref="A29:B29"/>
    <mergeCell ref="A30:B30"/>
    <mergeCell ref="H32:J32"/>
    <mergeCell ref="A26:B26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E8EE3"/>
  </sheetPr>
  <dimension ref="A1:J38"/>
  <sheetViews>
    <sheetView view="pageBreakPreview" topLeftCell="A14" zoomScaleNormal="100" zoomScaleSheetLayoutView="100" workbookViewId="0">
      <selection activeCell="H31" sqref="H31:J31"/>
    </sheetView>
  </sheetViews>
  <sheetFormatPr defaultColWidth="8.88671875" defaultRowHeight="13.8" x14ac:dyDescent="0.25"/>
  <cols>
    <col min="1" max="1" width="4.109375" style="474" customWidth="1"/>
    <col min="2" max="2" width="21.109375" style="474" customWidth="1"/>
    <col min="3" max="7" width="7.5546875" style="474" customWidth="1"/>
    <col min="8" max="8" width="8.88671875" style="474" customWidth="1"/>
    <col min="9" max="9" width="7.5546875" style="474" customWidth="1"/>
    <col min="10" max="10" width="9" style="474" customWidth="1"/>
    <col min="11" max="11" width="4.33203125" style="474" customWidth="1"/>
    <col min="12" max="16384" width="8.88671875" style="474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116)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171</v>
      </c>
    </row>
    <row r="8" spans="1:10" s="2" customFormat="1" ht="9.6" customHeight="1" x14ac:dyDescent="0.25">
      <c r="A8" s="475"/>
      <c r="B8" s="475"/>
      <c r="C8" s="475"/>
      <c r="D8" s="475"/>
      <c r="E8" s="475"/>
      <c r="F8" s="475"/>
      <c r="G8" s="475"/>
      <c r="H8" s="475"/>
      <c r="I8" s="475"/>
      <c r="J8" s="109"/>
    </row>
    <row r="9" spans="1:10" s="2" customFormat="1" ht="26.1" customHeight="1" x14ac:dyDescent="0.3">
      <c r="A9" s="1550" t="s">
        <v>766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'171-каша рис рассып.сах'!H14+1</f>
        <v>116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220</v>
      </c>
      <c r="J16" s="1549"/>
    </row>
    <row r="17" spans="1:10" ht="26.4" customHeight="1" x14ac:dyDescent="0.25">
      <c r="A17" s="1543"/>
      <c r="B17" s="1543"/>
      <c r="C17" s="476" t="s">
        <v>92</v>
      </c>
      <c r="D17" s="476" t="s">
        <v>94</v>
      </c>
      <c r="E17" s="476" t="s">
        <v>93</v>
      </c>
      <c r="F17" s="476" t="s">
        <v>23</v>
      </c>
      <c r="G17" s="476" t="s">
        <v>92</v>
      </c>
      <c r="H17" s="476" t="s">
        <v>94</v>
      </c>
      <c r="I17" s="476" t="s">
        <v>92</v>
      </c>
      <c r="J17" s="476" t="s">
        <v>94</v>
      </c>
    </row>
    <row r="18" spans="1:10" ht="9.6" customHeight="1" x14ac:dyDescent="0.25">
      <c r="A18" s="476">
        <v>1</v>
      </c>
      <c r="B18" s="477">
        <v>2</v>
      </c>
      <c r="C18" s="476">
        <v>3</v>
      </c>
      <c r="D18" s="477">
        <v>4</v>
      </c>
      <c r="E18" s="476">
        <v>5</v>
      </c>
      <c r="F18" s="477">
        <v>6</v>
      </c>
      <c r="G18" s="476">
        <v>7</v>
      </c>
      <c r="H18" s="477">
        <v>8</v>
      </c>
      <c r="I18" s="476">
        <v>9</v>
      </c>
      <c r="J18" s="477">
        <v>10</v>
      </c>
    </row>
    <row r="19" spans="1:10" s="10" customFormat="1" ht="15" customHeight="1" x14ac:dyDescent="0.25">
      <c r="A19" s="180">
        <v>1</v>
      </c>
      <c r="B19" s="20" t="s">
        <v>340</v>
      </c>
      <c r="C19" s="90">
        <v>0.05</v>
      </c>
      <c r="D19" s="90">
        <v>0.05</v>
      </c>
      <c r="E19" s="408">
        <f>цены!F77</f>
        <v>40</v>
      </c>
      <c r="F19" s="408">
        <f>C19*E19</f>
        <v>2</v>
      </c>
      <c r="G19" s="97">
        <f t="shared" ref="G19:H21" si="0">C19*10</f>
        <v>0.5</v>
      </c>
      <c r="H19" s="21">
        <f t="shared" si="0"/>
        <v>0.5</v>
      </c>
      <c r="I19" s="21">
        <f t="shared" ref="I19:J21" si="1">C19*100</f>
        <v>5</v>
      </c>
      <c r="J19" s="21">
        <f t="shared" si="1"/>
        <v>5</v>
      </c>
    </row>
    <row r="20" spans="1:10" s="10" customFormat="1" ht="15" customHeight="1" x14ac:dyDescent="0.25">
      <c r="A20" s="180">
        <v>2</v>
      </c>
      <c r="B20" s="20" t="s">
        <v>28</v>
      </c>
      <c r="C20" s="90">
        <f>800/1000*D22</f>
        <v>0.12</v>
      </c>
      <c r="D20" s="90">
        <f>C20</f>
        <v>0.12</v>
      </c>
      <c r="E20" s="408"/>
      <c r="F20" s="408">
        <f>C20*E20</f>
        <v>0</v>
      </c>
      <c r="G20" s="97">
        <f t="shared" si="0"/>
        <v>1.2</v>
      </c>
      <c r="H20" s="21">
        <f t="shared" si="0"/>
        <v>1.2</v>
      </c>
      <c r="I20" s="21">
        <f t="shared" si="1"/>
        <v>12</v>
      </c>
      <c r="J20" s="21">
        <f t="shared" si="1"/>
        <v>12</v>
      </c>
    </row>
    <row r="21" spans="1:10" s="10" customFormat="1" ht="14.4" customHeight="1" x14ac:dyDescent="0.25">
      <c r="A21" s="180">
        <v>3</v>
      </c>
      <c r="B21" s="20" t="s">
        <v>33</v>
      </c>
      <c r="C21" s="110">
        <f>30/1000*D22</f>
        <v>4.4999999999999997E-3</v>
      </c>
      <c r="D21" s="110">
        <f>C21</f>
        <v>4.4999999999999997E-3</v>
      </c>
      <c r="E21" s="408">
        <f>цены!F110</f>
        <v>24</v>
      </c>
      <c r="F21" s="408">
        <f>C21*E21</f>
        <v>0.11</v>
      </c>
      <c r="G21" s="97">
        <f t="shared" si="0"/>
        <v>4.4999999999999998E-2</v>
      </c>
      <c r="H21" s="21">
        <f t="shared" si="0"/>
        <v>4.4999999999999998E-2</v>
      </c>
      <c r="I21" s="21">
        <f t="shared" si="1"/>
        <v>0.45</v>
      </c>
      <c r="J21" s="21">
        <f t="shared" si="1"/>
        <v>0.45</v>
      </c>
    </row>
    <row r="22" spans="1:10" s="10" customFormat="1" ht="15.6" customHeight="1" x14ac:dyDescent="0.25">
      <c r="A22" s="416"/>
      <c r="B22" s="93" t="s">
        <v>71</v>
      </c>
      <c r="C22" s="94"/>
      <c r="D22" s="94">
        <v>0.15</v>
      </c>
      <c r="E22" s="95"/>
      <c r="F22" s="95">
        <f>SUM(F19:F21)</f>
        <v>2.11</v>
      </c>
      <c r="G22" s="99"/>
      <c r="H22" s="100">
        <f>D22*10</f>
        <v>1.5</v>
      </c>
      <c r="I22" s="100"/>
      <c r="J22" s="100">
        <f>D22*100</f>
        <v>15</v>
      </c>
    </row>
    <row r="23" spans="1:10" s="10" customFormat="1" ht="15.6" customHeight="1" x14ac:dyDescent="0.25">
      <c r="A23" s="129">
        <v>4</v>
      </c>
      <c r="B23" s="123" t="s">
        <v>31</v>
      </c>
      <c r="C23" s="124">
        <v>0.01</v>
      </c>
      <c r="D23" s="124">
        <v>0.01</v>
      </c>
      <c r="E23" s="408">
        <f>цены!F21</f>
        <v>710</v>
      </c>
      <c r="F23" s="408">
        <f>C23*E23</f>
        <v>7.1</v>
      </c>
      <c r="G23" s="97">
        <f>C23*10</f>
        <v>0.1</v>
      </c>
      <c r="H23" s="21">
        <f>D23*10</f>
        <v>0.1</v>
      </c>
      <c r="I23" s="21">
        <f>C23*100</f>
        <v>1</v>
      </c>
      <c r="J23" s="21">
        <f>D23*100</f>
        <v>1</v>
      </c>
    </row>
    <row r="24" spans="1:10" s="10" customFormat="1" ht="15.6" customHeight="1" x14ac:dyDescent="0.25">
      <c r="A24" s="98"/>
      <c r="B24" s="93" t="s">
        <v>378</v>
      </c>
      <c r="C24" s="94"/>
      <c r="D24" s="94">
        <v>0.16</v>
      </c>
      <c r="E24" s="95"/>
      <c r="F24" s="95">
        <f>F22+F23</f>
        <v>9.2100000000000009</v>
      </c>
      <c r="G24" s="99"/>
      <c r="H24" s="100">
        <f>D24*10</f>
        <v>1.6</v>
      </c>
      <c r="I24" s="100"/>
      <c r="J24" s="100">
        <f>D24*100</f>
        <v>16</v>
      </c>
    </row>
    <row r="25" spans="1:10" s="10" customFormat="1" ht="27.6" customHeight="1" x14ac:dyDescent="0.25">
      <c r="A25" s="1536" t="s">
        <v>35</v>
      </c>
      <c r="B25" s="1536"/>
      <c r="C25" s="90"/>
      <c r="D25" s="90"/>
      <c r="E25" s="408"/>
      <c r="F25" s="408">
        <f>F24</f>
        <v>9.2100000000000009</v>
      </c>
      <c r="G25" s="478"/>
      <c r="H25" s="478"/>
      <c r="I25" s="21"/>
      <c r="J25" s="408"/>
    </row>
    <row r="26" spans="1:10" s="10" customFormat="1" ht="25.35" customHeight="1" x14ac:dyDescent="0.25">
      <c r="A26" s="1536" t="s">
        <v>36</v>
      </c>
      <c r="B26" s="1536"/>
      <c r="C26" s="90">
        <v>160</v>
      </c>
      <c r="D26" s="90"/>
      <c r="E26" s="408"/>
      <c r="F26" s="408"/>
      <c r="G26" s="408"/>
      <c r="H26" s="408"/>
      <c r="I26" s="21"/>
      <c r="J26" s="17"/>
    </row>
    <row r="27" spans="1:10" s="10" customFormat="1" ht="25.35" customHeight="1" x14ac:dyDescent="0.25">
      <c r="A27" s="1537" t="s">
        <v>37</v>
      </c>
      <c r="B27" s="1538"/>
      <c r="C27" s="91">
        <v>160</v>
      </c>
      <c r="D27" s="92"/>
      <c r="E27" s="477"/>
      <c r="F27" s="477"/>
      <c r="G27" s="477"/>
      <c r="H27" s="477"/>
      <c r="I27" s="21"/>
      <c r="J27" s="17"/>
    </row>
    <row r="28" spans="1:10" s="10" customFormat="1" ht="15" customHeight="1" x14ac:dyDescent="0.25">
      <c r="A28" s="1539" t="s">
        <v>38</v>
      </c>
      <c r="B28" s="1540"/>
      <c r="C28" s="92">
        <f>C26/C27</f>
        <v>1</v>
      </c>
      <c r="D28" s="92"/>
      <c r="E28" s="477"/>
      <c r="F28" s="477"/>
      <c r="G28" s="477"/>
      <c r="H28" s="477"/>
      <c r="I28" s="21"/>
      <c r="J28" s="17"/>
    </row>
    <row r="29" spans="1:10" ht="16.350000000000001" customHeight="1" x14ac:dyDescent="0.25">
      <c r="A29" s="1541" t="s">
        <v>39</v>
      </c>
      <c r="B29" s="1542"/>
      <c r="C29" s="15" t="s">
        <v>40</v>
      </c>
      <c r="D29" s="102"/>
      <c r="E29" s="102" t="s">
        <v>40</v>
      </c>
      <c r="F29" s="16">
        <f>F25/C28</f>
        <v>9.2100000000000009</v>
      </c>
      <c r="G29" s="16"/>
      <c r="H29" s="131"/>
      <c r="I29" s="102" t="s">
        <v>40</v>
      </c>
      <c r="J29" s="102" t="s">
        <v>40</v>
      </c>
    </row>
    <row r="30" spans="1:10" ht="23.1" customHeight="1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0" ht="13.95" customHeight="1" x14ac:dyDescent="0.25">
      <c r="A31" s="1193"/>
      <c r="B31" s="1194" t="s">
        <v>49</v>
      </c>
      <c r="C31" s="1198"/>
      <c r="D31" s="1198"/>
      <c r="E31" s="1198"/>
      <c r="F31" s="1198"/>
      <c r="G31" s="1193"/>
      <c r="H31" s="1560">
        <f>'1-бутерброд с маслом'!$H$28</f>
        <v>0</v>
      </c>
      <c r="I31" s="1560"/>
      <c r="J31" s="1560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545" t="s">
        <v>327</v>
      </c>
      <c r="B33" s="1545"/>
      <c r="C33" s="1546" t="s">
        <v>328</v>
      </c>
      <c r="D33" s="1546"/>
      <c r="E33" s="1546"/>
      <c r="F33" s="1546"/>
      <c r="G33" s="106"/>
      <c r="H33" s="1531"/>
      <c r="I33" s="1531"/>
      <c r="J33" s="1531"/>
    </row>
    <row r="34" spans="1:10" x14ac:dyDescent="0.25">
      <c r="A34" s="1193"/>
      <c r="B34" s="1193"/>
      <c r="C34" s="1546"/>
      <c r="D34" s="1546"/>
      <c r="E34" s="1546"/>
      <c r="F34" s="1546"/>
      <c r="G34" s="1193"/>
      <c r="H34" s="1531" t="s">
        <v>329</v>
      </c>
      <c r="I34" s="1531"/>
      <c r="J34" s="1531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3:B33"/>
    <mergeCell ref="C33:F34"/>
    <mergeCell ref="H33:J33"/>
    <mergeCell ref="H34:J34"/>
    <mergeCell ref="A26:B26"/>
    <mergeCell ref="A27:B27"/>
    <mergeCell ref="A28:B28"/>
    <mergeCell ref="A29:B29"/>
    <mergeCell ref="H31:J31"/>
    <mergeCell ref="A25:B25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E8EE3"/>
  </sheetPr>
  <dimension ref="A1:J39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117)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171</v>
      </c>
    </row>
    <row r="8" spans="1:10" s="2" customFormat="1" ht="9.6" customHeight="1" x14ac:dyDescent="0.25">
      <c r="A8" s="185"/>
      <c r="B8" s="185"/>
      <c r="C8" s="185"/>
      <c r="D8" s="185"/>
      <c r="E8" s="185"/>
      <c r="F8" s="185"/>
      <c r="G8" s="185"/>
      <c r="H8" s="185"/>
      <c r="I8" s="185"/>
      <c r="J8" s="109"/>
    </row>
    <row r="9" spans="1:10" s="2" customFormat="1" ht="26.1" customHeight="1" x14ac:dyDescent="0.3">
      <c r="A9" s="1550" t="s">
        <v>620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'171-каша перловка рассып.'!H14+1</f>
        <v>117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220</v>
      </c>
      <c r="J16" s="1549"/>
    </row>
    <row r="17" spans="1:10" ht="26.4" customHeight="1" x14ac:dyDescent="0.25">
      <c r="A17" s="1543"/>
      <c r="B17" s="1543"/>
      <c r="C17" s="186" t="s">
        <v>92</v>
      </c>
      <c r="D17" s="186" t="s">
        <v>94</v>
      </c>
      <c r="E17" s="186" t="s">
        <v>93</v>
      </c>
      <c r="F17" s="186" t="s">
        <v>23</v>
      </c>
      <c r="G17" s="186" t="s">
        <v>92</v>
      </c>
      <c r="H17" s="186" t="s">
        <v>94</v>
      </c>
      <c r="I17" s="186" t="s">
        <v>92</v>
      </c>
      <c r="J17" s="186" t="s">
        <v>94</v>
      </c>
    </row>
    <row r="18" spans="1:10" ht="9.6" customHeight="1" x14ac:dyDescent="0.25">
      <c r="A18" s="186">
        <v>1</v>
      </c>
      <c r="B18" s="187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5" customHeight="1" x14ac:dyDescent="0.25">
      <c r="A19" s="180">
        <v>1</v>
      </c>
      <c r="B19" s="20" t="s">
        <v>340</v>
      </c>
      <c r="C19" s="90">
        <v>0.05</v>
      </c>
      <c r="D19" s="90">
        <v>0.05</v>
      </c>
      <c r="E19" s="13">
        <f>цены!F77</f>
        <v>40</v>
      </c>
      <c r="F19" s="13">
        <f>C19*E19</f>
        <v>2</v>
      </c>
      <c r="G19" s="97">
        <f t="shared" ref="G19:H21" si="0">C19*10</f>
        <v>0.5</v>
      </c>
      <c r="H19" s="21">
        <f t="shared" si="0"/>
        <v>0.5</v>
      </c>
      <c r="I19" s="21">
        <f t="shared" ref="I19:J21" si="1">C19*100</f>
        <v>5</v>
      </c>
      <c r="J19" s="21">
        <f t="shared" si="1"/>
        <v>5</v>
      </c>
    </row>
    <row r="20" spans="1:10" s="10" customFormat="1" ht="15" customHeight="1" x14ac:dyDescent="0.25">
      <c r="A20" s="180">
        <v>2</v>
      </c>
      <c r="B20" s="20" t="s">
        <v>28</v>
      </c>
      <c r="C20" s="90">
        <f>800/1000*D22</f>
        <v>0.12</v>
      </c>
      <c r="D20" s="90">
        <f>C20</f>
        <v>0.12</v>
      </c>
      <c r="E20" s="13"/>
      <c r="F20" s="13">
        <f>C20*E20</f>
        <v>0</v>
      </c>
      <c r="G20" s="97">
        <f t="shared" si="0"/>
        <v>1.2</v>
      </c>
      <c r="H20" s="21">
        <f t="shared" si="0"/>
        <v>1.2</v>
      </c>
      <c r="I20" s="21">
        <f t="shared" si="1"/>
        <v>12</v>
      </c>
      <c r="J20" s="21">
        <f t="shared" si="1"/>
        <v>12</v>
      </c>
    </row>
    <row r="21" spans="1:10" s="10" customFormat="1" ht="14.4" customHeight="1" x14ac:dyDescent="0.25">
      <c r="A21" s="180">
        <v>3</v>
      </c>
      <c r="B21" s="20" t="s">
        <v>33</v>
      </c>
      <c r="C21" s="110">
        <f>30/1000*D22</f>
        <v>4.4999999999999997E-3</v>
      </c>
      <c r="D21" s="110">
        <f>C21</f>
        <v>4.4999999999999997E-3</v>
      </c>
      <c r="E21" s="13">
        <f>цены!F110</f>
        <v>24</v>
      </c>
      <c r="F21" s="13">
        <f>C21*E21</f>
        <v>0.11</v>
      </c>
      <c r="G21" s="97">
        <f t="shared" si="0"/>
        <v>4.4999999999999998E-2</v>
      </c>
      <c r="H21" s="21">
        <f t="shared" si="0"/>
        <v>4.4999999999999998E-2</v>
      </c>
      <c r="I21" s="21">
        <f t="shared" si="1"/>
        <v>0.45</v>
      </c>
      <c r="J21" s="21">
        <f t="shared" si="1"/>
        <v>0.45</v>
      </c>
    </row>
    <row r="22" spans="1:10" s="10" customFormat="1" ht="15.6" customHeight="1" x14ac:dyDescent="0.25">
      <c r="A22" s="190"/>
      <c r="B22" s="93" t="s">
        <v>71</v>
      </c>
      <c r="C22" s="94"/>
      <c r="D22" s="94">
        <v>0.15</v>
      </c>
      <c r="E22" s="95"/>
      <c r="F22" s="95">
        <f>SUM(F19:F21)</f>
        <v>2.11</v>
      </c>
      <c r="G22" s="99"/>
      <c r="H22" s="100">
        <f>D22*10</f>
        <v>1.5</v>
      </c>
      <c r="I22" s="100"/>
      <c r="J22" s="100">
        <f>D22*100</f>
        <v>15</v>
      </c>
    </row>
    <row r="23" spans="1:10" s="10" customFormat="1" ht="15.6" customHeight="1" x14ac:dyDescent="0.25">
      <c r="A23" s="129">
        <v>4</v>
      </c>
      <c r="B23" s="123" t="s">
        <v>31</v>
      </c>
      <c r="C23" s="124">
        <v>0.01</v>
      </c>
      <c r="D23" s="124">
        <v>0.01</v>
      </c>
      <c r="E23" s="13">
        <f>цены!F21</f>
        <v>710</v>
      </c>
      <c r="F23" s="13">
        <f>C23*E23</f>
        <v>7.1</v>
      </c>
      <c r="G23" s="97">
        <f>C23*10</f>
        <v>0.1</v>
      </c>
      <c r="H23" s="21">
        <f>D23*10</f>
        <v>0.1</v>
      </c>
      <c r="I23" s="21">
        <f>C23*100</f>
        <v>1</v>
      </c>
      <c r="J23" s="21">
        <f>D23*100</f>
        <v>1</v>
      </c>
    </row>
    <row r="24" spans="1:10" s="10" customFormat="1" ht="15.6" customHeight="1" x14ac:dyDescent="0.25">
      <c r="A24" s="129">
        <v>5</v>
      </c>
      <c r="B24" s="123" t="s">
        <v>30</v>
      </c>
      <c r="C24" s="124">
        <v>0.01</v>
      </c>
      <c r="D24" s="124">
        <v>0.01</v>
      </c>
      <c r="E24" s="13">
        <f>цены!F107</f>
        <v>76</v>
      </c>
      <c r="F24" s="13">
        <f>C24*E24</f>
        <v>0.76</v>
      </c>
      <c r="G24" s="97">
        <f>C24*10</f>
        <v>0.1</v>
      </c>
      <c r="H24" s="21">
        <f>D24*10</f>
        <v>0.1</v>
      </c>
      <c r="I24" s="21">
        <f>C24*100</f>
        <v>1</v>
      </c>
      <c r="J24" s="21">
        <f>D24*100</f>
        <v>1</v>
      </c>
    </row>
    <row r="25" spans="1:10" s="10" customFormat="1" ht="15.6" customHeight="1" x14ac:dyDescent="0.25">
      <c r="A25" s="98"/>
      <c r="B25" s="93" t="s">
        <v>378</v>
      </c>
      <c r="C25" s="94"/>
      <c r="D25" s="94">
        <v>0.17</v>
      </c>
      <c r="E25" s="95"/>
      <c r="F25" s="95">
        <f>F22+F23+F24</f>
        <v>9.9700000000000006</v>
      </c>
      <c r="G25" s="99"/>
      <c r="H25" s="100">
        <f>D25*10</f>
        <v>1.7</v>
      </c>
      <c r="I25" s="100"/>
      <c r="J25" s="100">
        <f>D25*100</f>
        <v>17</v>
      </c>
    </row>
    <row r="26" spans="1:10" s="10" customFormat="1" ht="27.6" customHeight="1" x14ac:dyDescent="0.25">
      <c r="A26" s="1536" t="s">
        <v>35</v>
      </c>
      <c r="B26" s="1536"/>
      <c r="C26" s="90"/>
      <c r="D26" s="90"/>
      <c r="E26" s="13"/>
      <c r="F26" s="13">
        <f>F25</f>
        <v>9.9700000000000006</v>
      </c>
      <c r="G26" s="188"/>
      <c r="H26" s="188"/>
      <c r="I26" s="21"/>
      <c r="J26" s="13"/>
    </row>
    <row r="27" spans="1:10" s="10" customFormat="1" ht="25.35" customHeight="1" x14ac:dyDescent="0.25">
      <c r="A27" s="1536" t="s">
        <v>36</v>
      </c>
      <c r="B27" s="1536"/>
      <c r="C27" s="90">
        <v>170</v>
      </c>
      <c r="D27" s="90"/>
      <c r="E27" s="13"/>
      <c r="F27" s="13"/>
      <c r="G27" s="13"/>
      <c r="H27" s="13"/>
      <c r="I27" s="21"/>
      <c r="J27" s="17"/>
    </row>
    <row r="28" spans="1:10" s="10" customFormat="1" ht="25.35" customHeight="1" x14ac:dyDescent="0.25">
      <c r="A28" s="1537" t="s">
        <v>37</v>
      </c>
      <c r="B28" s="1538"/>
      <c r="C28" s="91">
        <v>170</v>
      </c>
      <c r="D28" s="92"/>
      <c r="E28" s="187"/>
      <c r="F28" s="187"/>
      <c r="G28" s="187"/>
      <c r="H28" s="187"/>
      <c r="I28" s="21"/>
      <c r="J28" s="17"/>
    </row>
    <row r="29" spans="1:10" s="10" customFormat="1" ht="15" customHeight="1" x14ac:dyDescent="0.25">
      <c r="A29" s="1539" t="s">
        <v>38</v>
      </c>
      <c r="B29" s="1540"/>
      <c r="C29" s="92">
        <f>C27/C28</f>
        <v>1</v>
      </c>
      <c r="D29" s="92"/>
      <c r="E29" s="187"/>
      <c r="F29" s="187"/>
      <c r="G29" s="187"/>
      <c r="H29" s="187"/>
      <c r="I29" s="21"/>
      <c r="J29" s="17"/>
    </row>
    <row r="30" spans="1:10" ht="16.350000000000001" customHeight="1" x14ac:dyDescent="0.25">
      <c r="A30" s="1541" t="s">
        <v>39</v>
      </c>
      <c r="B30" s="1542"/>
      <c r="C30" s="15" t="s">
        <v>40</v>
      </c>
      <c r="D30" s="102"/>
      <c r="E30" s="102" t="s">
        <v>40</v>
      </c>
      <c r="F30" s="16">
        <f>F26/C29</f>
        <v>9.9700000000000006</v>
      </c>
      <c r="G30" s="16"/>
      <c r="H30" s="131"/>
      <c r="I30" s="102" t="s">
        <v>40</v>
      </c>
      <c r="J30" s="102" t="s">
        <v>40</v>
      </c>
    </row>
    <row r="31" spans="1:10" ht="23.1" customHeight="1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ht="13.95" customHeight="1" x14ac:dyDescent="0.25">
      <c r="A32" s="1193"/>
      <c r="B32" s="1194" t="s">
        <v>49</v>
      </c>
      <c r="C32" s="1198"/>
      <c r="D32" s="1198"/>
      <c r="E32" s="1198"/>
      <c r="F32" s="1198"/>
      <c r="G32" s="1193"/>
      <c r="H32" s="1560">
        <f>'1-бутерброд с маслом'!$H$28</f>
        <v>0</v>
      </c>
      <c r="I32" s="1560"/>
      <c r="J32" s="1560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545" t="s">
        <v>327</v>
      </c>
      <c r="B34" s="1545"/>
      <c r="C34" s="1546" t="s">
        <v>328</v>
      </c>
      <c r="D34" s="1546"/>
      <c r="E34" s="1546"/>
      <c r="F34" s="1546"/>
      <c r="G34" s="106"/>
      <c r="H34" s="1531"/>
      <c r="I34" s="1531"/>
      <c r="J34" s="1531"/>
    </row>
    <row r="35" spans="1:10" x14ac:dyDescent="0.25">
      <c r="A35" s="1193"/>
      <c r="B35" s="1193"/>
      <c r="C35" s="1546"/>
      <c r="D35" s="1546"/>
      <c r="E35" s="1546"/>
      <c r="F35" s="1546"/>
      <c r="G35" s="1193"/>
      <c r="H35" s="1531" t="s">
        <v>329</v>
      </c>
      <c r="I35" s="1531"/>
      <c r="J35" s="1531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4:B34"/>
    <mergeCell ref="C34:F35"/>
    <mergeCell ref="H34:J34"/>
    <mergeCell ref="H35:J35"/>
    <mergeCell ref="A27:B27"/>
    <mergeCell ref="A28:B28"/>
    <mergeCell ref="A29:B29"/>
    <mergeCell ref="A30:B30"/>
    <mergeCell ref="H32:J32"/>
    <mergeCell ref="A26:B26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E8EE3"/>
  </sheetPr>
  <dimension ref="A1:J38"/>
  <sheetViews>
    <sheetView view="pageBreakPreview" topLeftCell="A18" zoomScaleNormal="100" zoomScaleSheetLayoutView="100" workbookViewId="0">
      <selection activeCell="H31" sqref="H31:J31"/>
    </sheetView>
  </sheetViews>
  <sheetFormatPr defaultColWidth="8.88671875" defaultRowHeight="13.8" x14ac:dyDescent="0.25"/>
  <cols>
    <col min="1" max="1" width="4.109375" style="474" customWidth="1"/>
    <col min="2" max="2" width="21.109375" style="474" customWidth="1"/>
    <col min="3" max="7" width="7.5546875" style="474" customWidth="1"/>
    <col min="8" max="8" width="8.88671875" style="474" customWidth="1"/>
    <col min="9" max="9" width="7.5546875" style="474" customWidth="1"/>
    <col min="10" max="10" width="9" style="474" customWidth="1"/>
    <col min="11" max="11" width="4.109375" style="474" customWidth="1"/>
    <col min="12" max="16384" width="8.88671875" style="474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118)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171</v>
      </c>
    </row>
    <row r="8" spans="1:10" s="2" customFormat="1" ht="9.6" customHeight="1" x14ac:dyDescent="0.25">
      <c r="A8" s="475"/>
      <c r="B8" s="475"/>
      <c r="C8" s="475"/>
      <c r="D8" s="475"/>
      <c r="E8" s="475"/>
      <c r="F8" s="475"/>
      <c r="G8" s="475"/>
      <c r="H8" s="475"/>
      <c r="I8" s="475"/>
      <c r="J8" s="109"/>
    </row>
    <row r="9" spans="1:10" s="2" customFormat="1" ht="26.1" customHeight="1" x14ac:dyDescent="0.3">
      <c r="A9" s="1550" t="s">
        <v>767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'171-каша перловка рассып.сах'!H14+1</f>
        <v>118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220</v>
      </c>
      <c r="J16" s="1549"/>
    </row>
    <row r="17" spans="1:10" ht="26.4" customHeight="1" x14ac:dyDescent="0.25">
      <c r="A17" s="1543"/>
      <c r="B17" s="1543"/>
      <c r="C17" s="476" t="s">
        <v>92</v>
      </c>
      <c r="D17" s="476" t="s">
        <v>94</v>
      </c>
      <c r="E17" s="476" t="s">
        <v>93</v>
      </c>
      <c r="F17" s="476" t="s">
        <v>23</v>
      </c>
      <c r="G17" s="476" t="s">
        <v>92</v>
      </c>
      <c r="H17" s="476" t="s">
        <v>94</v>
      </c>
      <c r="I17" s="476" t="s">
        <v>92</v>
      </c>
      <c r="J17" s="476" t="s">
        <v>94</v>
      </c>
    </row>
    <row r="18" spans="1:10" ht="9.6" customHeight="1" x14ac:dyDescent="0.25">
      <c r="A18" s="476">
        <v>1</v>
      </c>
      <c r="B18" s="477">
        <v>2</v>
      </c>
      <c r="C18" s="476">
        <v>3</v>
      </c>
      <c r="D18" s="477">
        <v>4</v>
      </c>
      <c r="E18" s="476">
        <v>5</v>
      </c>
      <c r="F18" s="477">
        <v>6</v>
      </c>
      <c r="G18" s="476">
        <v>7</v>
      </c>
      <c r="H18" s="477">
        <v>8</v>
      </c>
      <c r="I18" s="476">
        <v>9</v>
      </c>
      <c r="J18" s="477">
        <v>10</v>
      </c>
    </row>
    <row r="19" spans="1:10" s="10" customFormat="1" ht="15" customHeight="1" x14ac:dyDescent="0.25">
      <c r="A19" s="180">
        <v>1</v>
      </c>
      <c r="B19" s="20" t="s">
        <v>320</v>
      </c>
      <c r="C19" s="90">
        <v>0.06</v>
      </c>
      <c r="D19" s="90">
        <v>0.06</v>
      </c>
      <c r="E19" s="408">
        <f>цены!F82</f>
        <v>60</v>
      </c>
      <c r="F19" s="408">
        <f>C19*E19</f>
        <v>3.6</v>
      </c>
      <c r="G19" s="97">
        <f t="shared" ref="G19:H21" si="0">C19*10</f>
        <v>0.6</v>
      </c>
      <c r="H19" s="21">
        <f t="shared" si="0"/>
        <v>0.6</v>
      </c>
      <c r="I19" s="21">
        <f t="shared" ref="I19:J21" si="1">C19*100</f>
        <v>6</v>
      </c>
      <c r="J19" s="21">
        <f t="shared" si="1"/>
        <v>6</v>
      </c>
    </row>
    <row r="20" spans="1:10" s="10" customFormat="1" ht="15" customHeight="1" x14ac:dyDescent="0.25">
      <c r="A20" s="180">
        <v>2</v>
      </c>
      <c r="B20" s="20" t="s">
        <v>28</v>
      </c>
      <c r="C20" s="90">
        <f>720/1000*D22</f>
        <v>0.108</v>
      </c>
      <c r="D20" s="90">
        <f>C20</f>
        <v>0.108</v>
      </c>
      <c r="E20" s="408"/>
      <c r="F20" s="408">
        <f>C20*E20</f>
        <v>0</v>
      </c>
      <c r="G20" s="97">
        <f t="shared" si="0"/>
        <v>1.08</v>
      </c>
      <c r="H20" s="21">
        <f t="shared" si="0"/>
        <v>1.08</v>
      </c>
      <c r="I20" s="21">
        <f t="shared" si="1"/>
        <v>10.8</v>
      </c>
      <c r="J20" s="21">
        <f t="shared" si="1"/>
        <v>10.8</v>
      </c>
    </row>
    <row r="21" spans="1:10" s="10" customFormat="1" ht="14.4" customHeight="1" x14ac:dyDescent="0.25">
      <c r="A21" s="180">
        <v>3</v>
      </c>
      <c r="B21" s="20" t="s">
        <v>33</v>
      </c>
      <c r="C21" s="110">
        <f>25/1000*D22</f>
        <v>3.8E-3</v>
      </c>
      <c r="D21" s="110">
        <f>C21</f>
        <v>3.8E-3</v>
      </c>
      <c r="E21" s="408">
        <f>цены!F110</f>
        <v>24</v>
      </c>
      <c r="F21" s="408">
        <f>C21*E21</f>
        <v>0.09</v>
      </c>
      <c r="G21" s="97">
        <f t="shared" si="0"/>
        <v>3.7999999999999999E-2</v>
      </c>
      <c r="H21" s="21">
        <f t="shared" si="0"/>
        <v>3.7999999999999999E-2</v>
      </c>
      <c r="I21" s="21">
        <f t="shared" si="1"/>
        <v>0.38</v>
      </c>
      <c r="J21" s="21">
        <f t="shared" si="1"/>
        <v>0.38</v>
      </c>
    </row>
    <row r="22" spans="1:10" s="10" customFormat="1" ht="15.6" customHeight="1" x14ac:dyDescent="0.25">
      <c r="A22" s="416"/>
      <c r="B22" s="93" t="s">
        <v>71</v>
      </c>
      <c r="C22" s="94"/>
      <c r="D22" s="94">
        <v>0.15</v>
      </c>
      <c r="E22" s="95"/>
      <c r="F22" s="95">
        <f>SUM(F19:F21)</f>
        <v>3.69</v>
      </c>
      <c r="G22" s="99"/>
      <c r="H22" s="100">
        <f>D22*10</f>
        <v>1.5</v>
      </c>
      <c r="I22" s="100"/>
      <c r="J22" s="100">
        <f>D22*100</f>
        <v>15</v>
      </c>
    </row>
    <row r="23" spans="1:10" s="10" customFormat="1" ht="15.6" customHeight="1" x14ac:dyDescent="0.25">
      <c r="A23" s="129">
        <v>4</v>
      </c>
      <c r="B23" s="123" t="s">
        <v>31</v>
      </c>
      <c r="C23" s="124">
        <v>0.01</v>
      </c>
      <c r="D23" s="124">
        <v>0.01</v>
      </c>
      <c r="E23" s="408">
        <f>цены!F21</f>
        <v>710</v>
      </c>
      <c r="F23" s="408">
        <f>C23*E23</f>
        <v>7.1</v>
      </c>
      <c r="G23" s="97">
        <f>C23*10</f>
        <v>0.1</v>
      </c>
      <c r="H23" s="21">
        <f>D23*10</f>
        <v>0.1</v>
      </c>
      <c r="I23" s="21">
        <f>C23*100</f>
        <v>1</v>
      </c>
      <c r="J23" s="21">
        <f>D23*100</f>
        <v>1</v>
      </c>
    </row>
    <row r="24" spans="1:10" s="10" customFormat="1" ht="15.6" customHeight="1" x14ac:dyDescent="0.25">
      <c r="A24" s="98"/>
      <c r="B24" s="93" t="s">
        <v>378</v>
      </c>
      <c r="C24" s="94"/>
      <c r="D24" s="94">
        <v>0.16</v>
      </c>
      <c r="E24" s="95"/>
      <c r="F24" s="95">
        <f>F22+F23</f>
        <v>10.79</v>
      </c>
      <c r="G24" s="99"/>
      <c r="H24" s="100">
        <f>D24*10</f>
        <v>1.6</v>
      </c>
      <c r="I24" s="100"/>
      <c r="J24" s="100">
        <f>D24*100</f>
        <v>16</v>
      </c>
    </row>
    <row r="25" spans="1:10" s="10" customFormat="1" ht="27.6" customHeight="1" x14ac:dyDescent="0.25">
      <c r="A25" s="1536" t="s">
        <v>35</v>
      </c>
      <c r="B25" s="1536"/>
      <c r="C25" s="90"/>
      <c r="D25" s="90"/>
      <c r="E25" s="408"/>
      <c r="F25" s="408">
        <f>F24</f>
        <v>10.79</v>
      </c>
      <c r="G25" s="478"/>
      <c r="H25" s="478"/>
      <c r="I25" s="21"/>
      <c r="J25" s="408"/>
    </row>
    <row r="26" spans="1:10" s="10" customFormat="1" ht="25.35" customHeight="1" x14ac:dyDescent="0.25">
      <c r="A26" s="1536" t="s">
        <v>36</v>
      </c>
      <c r="B26" s="1536"/>
      <c r="C26" s="90">
        <v>160</v>
      </c>
      <c r="D26" s="90"/>
      <c r="E26" s="408"/>
      <c r="F26" s="408"/>
      <c r="G26" s="408"/>
      <c r="H26" s="408"/>
      <c r="I26" s="21"/>
      <c r="J26" s="17"/>
    </row>
    <row r="27" spans="1:10" s="10" customFormat="1" ht="25.35" customHeight="1" x14ac:dyDescent="0.25">
      <c r="A27" s="1537" t="s">
        <v>37</v>
      </c>
      <c r="B27" s="1538"/>
      <c r="C27" s="91">
        <v>160</v>
      </c>
      <c r="D27" s="92"/>
      <c r="E27" s="477"/>
      <c r="F27" s="477"/>
      <c r="G27" s="477"/>
      <c r="H27" s="477"/>
      <c r="I27" s="21"/>
      <c r="J27" s="17"/>
    </row>
    <row r="28" spans="1:10" s="10" customFormat="1" ht="15" customHeight="1" x14ac:dyDescent="0.25">
      <c r="A28" s="1539" t="s">
        <v>38</v>
      </c>
      <c r="B28" s="1540"/>
      <c r="C28" s="92">
        <f>C26/C27</f>
        <v>1</v>
      </c>
      <c r="D28" s="92"/>
      <c r="E28" s="477"/>
      <c r="F28" s="477"/>
      <c r="G28" s="477"/>
      <c r="H28" s="477"/>
      <c r="I28" s="21"/>
      <c r="J28" s="17"/>
    </row>
    <row r="29" spans="1:10" ht="16.350000000000001" customHeight="1" x14ac:dyDescent="0.25">
      <c r="A29" s="1541" t="s">
        <v>39</v>
      </c>
      <c r="B29" s="1542"/>
      <c r="C29" s="15" t="s">
        <v>40</v>
      </c>
      <c r="D29" s="102"/>
      <c r="E29" s="102" t="s">
        <v>40</v>
      </c>
      <c r="F29" s="16">
        <f>F25/C28</f>
        <v>10.79</v>
      </c>
      <c r="G29" s="16"/>
      <c r="H29" s="131"/>
      <c r="I29" s="102" t="s">
        <v>40</v>
      </c>
      <c r="J29" s="102" t="s">
        <v>40</v>
      </c>
    </row>
    <row r="30" spans="1:10" ht="23.1" customHeight="1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0" ht="13.95" customHeight="1" x14ac:dyDescent="0.25">
      <c r="A31" s="1193"/>
      <c r="B31" s="1194" t="s">
        <v>49</v>
      </c>
      <c r="C31" s="1198"/>
      <c r="D31" s="1198"/>
      <c r="E31" s="1198"/>
      <c r="F31" s="1198"/>
      <c r="G31" s="1193"/>
      <c r="H31" s="1560">
        <f>'1-бутерброд с маслом'!$H$28</f>
        <v>0</v>
      </c>
      <c r="I31" s="1560"/>
      <c r="J31" s="1560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545" t="s">
        <v>327</v>
      </c>
      <c r="B33" s="1545"/>
      <c r="C33" s="1546" t="s">
        <v>328</v>
      </c>
      <c r="D33" s="1546"/>
      <c r="E33" s="1546"/>
      <c r="F33" s="1546"/>
      <c r="G33" s="106"/>
      <c r="H33" s="1531"/>
      <c r="I33" s="1531"/>
      <c r="J33" s="1531"/>
    </row>
    <row r="34" spans="1:10" x14ac:dyDescent="0.25">
      <c r="A34" s="1193"/>
      <c r="B34" s="1193"/>
      <c r="C34" s="1546"/>
      <c r="D34" s="1546"/>
      <c r="E34" s="1546"/>
      <c r="F34" s="1546"/>
      <c r="G34" s="1193"/>
      <c r="H34" s="1531" t="s">
        <v>329</v>
      </c>
      <c r="I34" s="1531"/>
      <c r="J34" s="1531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3:B33"/>
    <mergeCell ref="C33:F34"/>
    <mergeCell ref="H33:J33"/>
    <mergeCell ref="H34:J34"/>
    <mergeCell ref="A26:B26"/>
    <mergeCell ref="A27:B27"/>
    <mergeCell ref="A28:B28"/>
    <mergeCell ref="A29:B29"/>
    <mergeCell ref="H31:J31"/>
    <mergeCell ref="A25:B25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E8EE3"/>
  </sheetPr>
  <dimension ref="A1:J39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119)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171</v>
      </c>
    </row>
    <row r="8" spans="1:10" s="2" customFormat="1" ht="9.6" customHeight="1" x14ac:dyDescent="0.25">
      <c r="A8" s="185"/>
      <c r="B8" s="185"/>
      <c r="C8" s="185"/>
      <c r="D8" s="185"/>
      <c r="E8" s="185"/>
      <c r="F8" s="185"/>
      <c r="G8" s="185"/>
      <c r="H8" s="185"/>
      <c r="I8" s="185"/>
      <c r="J8" s="109"/>
    </row>
    <row r="9" spans="1:10" s="2" customFormat="1" ht="26.1" customHeight="1" x14ac:dyDescent="0.3">
      <c r="A9" s="1550" t="s">
        <v>619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'171-каша пшенная рассып.'!H14+1</f>
        <v>119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220</v>
      </c>
      <c r="J16" s="1549"/>
    </row>
    <row r="17" spans="1:10" ht="26.4" customHeight="1" x14ac:dyDescent="0.25">
      <c r="A17" s="1543"/>
      <c r="B17" s="1543"/>
      <c r="C17" s="186" t="s">
        <v>92</v>
      </c>
      <c r="D17" s="186" t="s">
        <v>94</v>
      </c>
      <c r="E17" s="186" t="s">
        <v>93</v>
      </c>
      <c r="F17" s="186" t="s">
        <v>23</v>
      </c>
      <c r="G17" s="186" t="s">
        <v>92</v>
      </c>
      <c r="H17" s="186" t="s">
        <v>94</v>
      </c>
      <c r="I17" s="186" t="s">
        <v>92</v>
      </c>
      <c r="J17" s="186" t="s">
        <v>94</v>
      </c>
    </row>
    <row r="18" spans="1:10" ht="9.6" customHeight="1" x14ac:dyDescent="0.25">
      <c r="A18" s="186">
        <v>1</v>
      </c>
      <c r="B18" s="187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5" customHeight="1" x14ac:dyDescent="0.25">
      <c r="A19" s="180">
        <v>1</v>
      </c>
      <c r="B19" s="20" t="s">
        <v>320</v>
      </c>
      <c r="C19" s="90">
        <v>0.06</v>
      </c>
      <c r="D19" s="90">
        <v>0.06</v>
      </c>
      <c r="E19" s="13">
        <f>цены!F82</f>
        <v>60</v>
      </c>
      <c r="F19" s="13">
        <f>C19*E19</f>
        <v>3.6</v>
      </c>
      <c r="G19" s="97">
        <f t="shared" ref="G19:H21" si="0">C19*10</f>
        <v>0.6</v>
      </c>
      <c r="H19" s="21">
        <f t="shared" si="0"/>
        <v>0.6</v>
      </c>
      <c r="I19" s="21">
        <f t="shared" ref="I19:J21" si="1">C19*100</f>
        <v>6</v>
      </c>
      <c r="J19" s="21">
        <f t="shared" si="1"/>
        <v>6</v>
      </c>
    </row>
    <row r="20" spans="1:10" s="10" customFormat="1" ht="15" customHeight="1" x14ac:dyDescent="0.25">
      <c r="A20" s="180">
        <v>2</v>
      </c>
      <c r="B20" s="20" t="s">
        <v>28</v>
      </c>
      <c r="C20" s="90">
        <f>720/1000*D22</f>
        <v>0.108</v>
      </c>
      <c r="D20" s="90">
        <f>C20</f>
        <v>0.108</v>
      </c>
      <c r="E20" s="13"/>
      <c r="F20" s="13">
        <f>C20*E20</f>
        <v>0</v>
      </c>
      <c r="G20" s="97">
        <f t="shared" si="0"/>
        <v>1.08</v>
      </c>
      <c r="H20" s="21">
        <f t="shared" si="0"/>
        <v>1.08</v>
      </c>
      <c r="I20" s="21">
        <f t="shared" si="1"/>
        <v>10.8</v>
      </c>
      <c r="J20" s="21">
        <f t="shared" si="1"/>
        <v>10.8</v>
      </c>
    </row>
    <row r="21" spans="1:10" s="10" customFormat="1" ht="14.4" customHeight="1" x14ac:dyDescent="0.25">
      <c r="A21" s="180">
        <v>3</v>
      </c>
      <c r="B21" s="20" t="s">
        <v>33</v>
      </c>
      <c r="C21" s="110">
        <f>25/1000*D22</f>
        <v>3.8E-3</v>
      </c>
      <c r="D21" s="110">
        <f>C21</f>
        <v>3.8E-3</v>
      </c>
      <c r="E21" s="13">
        <f>цены!F110</f>
        <v>24</v>
      </c>
      <c r="F21" s="13">
        <f>C21*E21</f>
        <v>0.09</v>
      </c>
      <c r="G21" s="97">
        <f t="shared" si="0"/>
        <v>3.7999999999999999E-2</v>
      </c>
      <c r="H21" s="21">
        <f t="shared" si="0"/>
        <v>3.7999999999999999E-2</v>
      </c>
      <c r="I21" s="21">
        <f t="shared" si="1"/>
        <v>0.38</v>
      </c>
      <c r="J21" s="21">
        <f t="shared" si="1"/>
        <v>0.38</v>
      </c>
    </row>
    <row r="22" spans="1:10" s="10" customFormat="1" ht="15.6" customHeight="1" x14ac:dyDescent="0.25">
      <c r="A22" s="190"/>
      <c r="B22" s="93" t="s">
        <v>71</v>
      </c>
      <c r="C22" s="94"/>
      <c r="D22" s="94">
        <v>0.15</v>
      </c>
      <c r="E22" s="95"/>
      <c r="F22" s="95">
        <f>SUM(F19:F21)</f>
        <v>3.69</v>
      </c>
      <c r="G22" s="99"/>
      <c r="H22" s="100">
        <f>D22*10</f>
        <v>1.5</v>
      </c>
      <c r="I22" s="100"/>
      <c r="J22" s="100">
        <f>D22*100</f>
        <v>15</v>
      </c>
    </row>
    <row r="23" spans="1:10" s="10" customFormat="1" ht="15.6" customHeight="1" x14ac:dyDescent="0.25">
      <c r="A23" s="129">
        <v>4</v>
      </c>
      <c r="B23" s="123" t="s">
        <v>31</v>
      </c>
      <c r="C23" s="124">
        <v>0.01</v>
      </c>
      <c r="D23" s="124">
        <v>0.01</v>
      </c>
      <c r="E23" s="13">
        <f>цены!F21</f>
        <v>710</v>
      </c>
      <c r="F23" s="13">
        <f>C23*E23</f>
        <v>7.1</v>
      </c>
      <c r="G23" s="97">
        <f>C23*10</f>
        <v>0.1</v>
      </c>
      <c r="H23" s="21">
        <f>D23*10</f>
        <v>0.1</v>
      </c>
      <c r="I23" s="21">
        <f>C23*100</f>
        <v>1</v>
      </c>
      <c r="J23" s="21">
        <f>D23*100</f>
        <v>1</v>
      </c>
    </row>
    <row r="24" spans="1:10" s="10" customFormat="1" ht="15.6" customHeight="1" x14ac:dyDescent="0.25">
      <c r="A24" s="129">
        <v>5</v>
      </c>
      <c r="B24" s="123" t="s">
        <v>30</v>
      </c>
      <c r="C24" s="124">
        <v>0.01</v>
      </c>
      <c r="D24" s="124">
        <v>0.01</v>
      </c>
      <c r="E24" s="13">
        <f>цены!F107</f>
        <v>76</v>
      </c>
      <c r="F24" s="13">
        <f>C24*E24</f>
        <v>0.76</v>
      </c>
      <c r="G24" s="97">
        <f>C24*10</f>
        <v>0.1</v>
      </c>
      <c r="H24" s="21">
        <f>D24*10</f>
        <v>0.1</v>
      </c>
      <c r="I24" s="21">
        <f>C24*100</f>
        <v>1</v>
      </c>
      <c r="J24" s="21">
        <f>D24*100</f>
        <v>1</v>
      </c>
    </row>
    <row r="25" spans="1:10" s="10" customFormat="1" ht="15.6" customHeight="1" x14ac:dyDescent="0.25">
      <c r="A25" s="98"/>
      <c r="B25" s="93" t="s">
        <v>378</v>
      </c>
      <c r="C25" s="94"/>
      <c r="D25" s="94">
        <v>0.17</v>
      </c>
      <c r="E25" s="95"/>
      <c r="F25" s="95">
        <f>F22+F23+F24</f>
        <v>11.55</v>
      </c>
      <c r="G25" s="99"/>
      <c r="H25" s="100">
        <f>D25*10</f>
        <v>1.7</v>
      </c>
      <c r="I25" s="100"/>
      <c r="J25" s="100">
        <f>D25*100</f>
        <v>17</v>
      </c>
    </row>
    <row r="26" spans="1:10" s="10" customFormat="1" ht="27.6" customHeight="1" x14ac:dyDescent="0.25">
      <c r="A26" s="1536" t="s">
        <v>35</v>
      </c>
      <c r="B26" s="1536"/>
      <c r="C26" s="90"/>
      <c r="D26" s="90"/>
      <c r="E26" s="13"/>
      <c r="F26" s="13">
        <f>F25</f>
        <v>11.55</v>
      </c>
      <c r="G26" s="188"/>
      <c r="H26" s="188"/>
      <c r="I26" s="21"/>
      <c r="J26" s="13"/>
    </row>
    <row r="27" spans="1:10" s="10" customFormat="1" ht="25.35" customHeight="1" x14ac:dyDescent="0.25">
      <c r="A27" s="1536" t="s">
        <v>36</v>
      </c>
      <c r="B27" s="1536"/>
      <c r="C27" s="90">
        <v>170</v>
      </c>
      <c r="D27" s="90"/>
      <c r="E27" s="13"/>
      <c r="F27" s="13"/>
      <c r="G27" s="13"/>
      <c r="H27" s="13"/>
      <c r="I27" s="21"/>
      <c r="J27" s="17"/>
    </row>
    <row r="28" spans="1:10" s="10" customFormat="1" ht="25.35" customHeight="1" x14ac:dyDescent="0.25">
      <c r="A28" s="1537" t="s">
        <v>37</v>
      </c>
      <c r="B28" s="1538"/>
      <c r="C28" s="91">
        <v>170</v>
      </c>
      <c r="D28" s="92"/>
      <c r="E28" s="187"/>
      <c r="F28" s="187"/>
      <c r="G28" s="187"/>
      <c r="H28" s="187"/>
      <c r="I28" s="21"/>
      <c r="J28" s="17"/>
    </row>
    <row r="29" spans="1:10" s="10" customFormat="1" ht="15" customHeight="1" x14ac:dyDescent="0.25">
      <c r="A29" s="1539" t="s">
        <v>38</v>
      </c>
      <c r="B29" s="1540"/>
      <c r="C29" s="92">
        <f>C27/C28</f>
        <v>1</v>
      </c>
      <c r="D29" s="92"/>
      <c r="E29" s="187"/>
      <c r="F29" s="187"/>
      <c r="G29" s="187"/>
      <c r="H29" s="187"/>
      <c r="I29" s="21"/>
      <c r="J29" s="17"/>
    </row>
    <row r="30" spans="1:10" ht="16.350000000000001" customHeight="1" x14ac:dyDescent="0.25">
      <c r="A30" s="1541" t="s">
        <v>39</v>
      </c>
      <c r="B30" s="1542"/>
      <c r="C30" s="15" t="s">
        <v>40</v>
      </c>
      <c r="D30" s="102"/>
      <c r="E30" s="102" t="s">
        <v>40</v>
      </c>
      <c r="F30" s="16">
        <f>F26/C29</f>
        <v>11.55</v>
      </c>
      <c r="G30" s="16"/>
      <c r="H30" s="131"/>
      <c r="I30" s="102" t="s">
        <v>40</v>
      </c>
      <c r="J30" s="102" t="s">
        <v>40</v>
      </c>
    </row>
    <row r="31" spans="1:10" ht="23.1" customHeight="1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ht="13.95" customHeight="1" x14ac:dyDescent="0.25">
      <c r="A32" s="1193"/>
      <c r="B32" s="1194" t="s">
        <v>49</v>
      </c>
      <c r="C32" s="1198"/>
      <c r="D32" s="1198"/>
      <c r="E32" s="1198"/>
      <c r="F32" s="1198"/>
      <c r="G32" s="1193"/>
      <c r="H32" s="1560">
        <f>'1-бутерброд с маслом'!$H$28</f>
        <v>0</v>
      </c>
      <c r="I32" s="1560"/>
      <c r="J32" s="1560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545" t="s">
        <v>327</v>
      </c>
      <c r="B34" s="1545"/>
      <c r="C34" s="1546" t="s">
        <v>328</v>
      </c>
      <c r="D34" s="1546"/>
      <c r="E34" s="1546"/>
      <c r="F34" s="1546"/>
      <c r="G34" s="106"/>
      <c r="H34" s="1531"/>
      <c r="I34" s="1531"/>
      <c r="J34" s="1531"/>
    </row>
    <row r="35" spans="1:10" x14ac:dyDescent="0.25">
      <c r="A35" s="1193"/>
      <c r="B35" s="1193"/>
      <c r="C35" s="1546"/>
      <c r="D35" s="1546"/>
      <c r="E35" s="1546"/>
      <c r="F35" s="1546"/>
      <c r="G35" s="1193"/>
      <c r="H35" s="1531" t="s">
        <v>329</v>
      </c>
      <c r="I35" s="1531"/>
      <c r="J35" s="1531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4:B34"/>
    <mergeCell ref="C34:F35"/>
    <mergeCell ref="H34:J34"/>
    <mergeCell ref="H35:J35"/>
    <mergeCell ref="A27:B27"/>
    <mergeCell ref="A28:B28"/>
    <mergeCell ref="A29:B29"/>
    <mergeCell ref="A30:B30"/>
    <mergeCell ref="H32:J32"/>
    <mergeCell ref="A26:B26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0E428"/>
  </sheetPr>
  <dimension ref="A1:J41"/>
  <sheetViews>
    <sheetView view="pageBreakPreview" topLeftCell="A2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1093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120)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173</v>
      </c>
    </row>
    <row r="8" spans="1:10" s="2" customFormat="1" ht="9.6" customHeight="1" x14ac:dyDescent="0.25">
      <c r="A8" s="185"/>
      <c r="B8" s="185"/>
      <c r="C8" s="185"/>
      <c r="D8" s="185"/>
      <c r="E8" s="185"/>
      <c r="F8" s="185"/>
      <c r="G8" s="185"/>
      <c r="H8" s="185"/>
      <c r="I8" s="185"/>
      <c r="J8" s="109"/>
    </row>
    <row r="9" spans="1:10" s="2" customFormat="1" ht="26.1" customHeight="1" x14ac:dyDescent="0.3">
      <c r="A9" s="1550" t="s">
        <v>626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'171-каша пшенная рассып.сах110'!H14+1</f>
        <v>120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186" t="s">
        <v>92</v>
      </c>
      <c r="D17" s="186" t="s">
        <v>94</v>
      </c>
      <c r="E17" s="186" t="s">
        <v>93</v>
      </c>
      <c r="F17" s="186" t="s">
        <v>23</v>
      </c>
      <c r="G17" s="186" t="s">
        <v>92</v>
      </c>
      <c r="H17" s="186" t="s">
        <v>94</v>
      </c>
      <c r="I17" s="186" t="s">
        <v>92</v>
      </c>
      <c r="J17" s="186" t="s">
        <v>94</v>
      </c>
    </row>
    <row r="18" spans="1:10" ht="9.6" customHeight="1" x14ac:dyDescent="0.25">
      <c r="A18" s="186">
        <v>1</v>
      </c>
      <c r="B18" s="187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>
        <v>1</v>
      </c>
      <c r="B19" s="20" t="s">
        <v>26</v>
      </c>
      <c r="C19" s="90">
        <v>0.05</v>
      </c>
      <c r="D19" s="90">
        <v>0.05</v>
      </c>
      <c r="E19" s="13">
        <f>цены!F75</f>
        <v>100</v>
      </c>
      <c r="F19" s="13">
        <f>C19*E19</f>
        <v>5</v>
      </c>
      <c r="G19" s="97">
        <f t="shared" ref="G19:H23" si="0">C19*10</f>
        <v>0.5</v>
      </c>
      <c r="H19" s="21">
        <f t="shared" si="0"/>
        <v>0.5</v>
      </c>
      <c r="I19" s="21">
        <f t="shared" ref="I19:J23" si="1">C19*100</f>
        <v>5</v>
      </c>
      <c r="J19" s="21">
        <f t="shared" si="1"/>
        <v>5</v>
      </c>
    </row>
    <row r="20" spans="1:10" s="10" customFormat="1" ht="14.1" customHeight="1" x14ac:dyDescent="0.25">
      <c r="A20" s="180">
        <v>2</v>
      </c>
      <c r="B20" s="20" t="s">
        <v>34</v>
      </c>
      <c r="C20" s="90">
        <v>0.1</v>
      </c>
      <c r="D20" s="90">
        <v>0.1</v>
      </c>
      <c r="E20" s="13">
        <f>цены!F20</f>
        <v>80</v>
      </c>
      <c r="F20" s="13">
        <f t="shared" ref="F20:F26" si="2">C20*E20</f>
        <v>8</v>
      </c>
      <c r="G20" s="97">
        <f t="shared" si="0"/>
        <v>1</v>
      </c>
      <c r="H20" s="21">
        <f t="shared" si="0"/>
        <v>1</v>
      </c>
      <c r="I20" s="21">
        <f t="shared" si="1"/>
        <v>10</v>
      </c>
      <c r="J20" s="21">
        <f t="shared" si="1"/>
        <v>10</v>
      </c>
    </row>
    <row r="21" spans="1:10" s="10" customFormat="1" ht="14.1" customHeight="1" x14ac:dyDescent="0.25">
      <c r="A21" s="180">
        <v>3</v>
      </c>
      <c r="B21" s="20" t="s">
        <v>28</v>
      </c>
      <c r="C21" s="90">
        <v>0.06</v>
      </c>
      <c r="D21" s="90">
        <v>0.06</v>
      </c>
      <c r="E21" s="13"/>
      <c r="F21" s="13">
        <f t="shared" si="2"/>
        <v>0</v>
      </c>
      <c r="G21" s="97">
        <f t="shared" si="0"/>
        <v>0.6</v>
      </c>
      <c r="H21" s="21">
        <f t="shared" si="0"/>
        <v>0.6</v>
      </c>
      <c r="I21" s="21">
        <f t="shared" si="1"/>
        <v>6</v>
      </c>
      <c r="J21" s="21">
        <f t="shared" si="1"/>
        <v>6</v>
      </c>
    </row>
    <row r="22" spans="1:10" s="10" customFormat="1" ht="14.1" customHeight="1" x14ac:dyDescent="0.25">
      <c r="A22" s="180">
        <v>4</v>
      </c>
      <c r="B22" s="20" t="s">
        <v>30</v>
      </c>
      <c r="C22" s="90">
        <v>6.0000000000000001E-3</v>
      </c>
      <c r="D22" s="90">
        <v>6.0000000000000001E-3</v>
      </c>
      <c r="E22" s="13">
        <f>цены!F107</f>
        <v>76</v>
      </c>
      <c r="F22" s="13">
        <f t="shared" si="2"/>
        <v>0.46</v>
      </c>
      <c r="G22" s="97">
        <f t="shared" si="0"/>
        <v>0.06</v>
      </c>
      <c r="H22" s="21">
        <f t="shared" si="0"/>
        <v>0.06</v>
      </c>
      <c r="I22" s="21">
        <f t="shared" si="1"/>
        <v>0.6</v>
      </c>
      <c r="J22" s="21">
        <f t="shared" si="1"/>
        <v>0.6</v>
      </c>
    </row>
    <row r="23" spans="1:10" s="10" customFormat="1" ht="14.1" customHeight="1" x14ac:dyDescent="0.25">
      <c r="A23" s="180">
        <v>5</v>
      </c>
      <c r="B23" s="20" t="s">
        <v>33</v>
      </c>
      <c r="C23" s="110">
        <v>2.9999999999999997E-4</v>
      </c>
      <c r="D23" s="110">
        <v>2.9999999999999997E-4</v>
      </c>
      <c r="E23" s="13">
        <f>цены!F110</f>
        <v>24</v>
      </c>
      <c r="F23" s="13">
        <f t="shared" si="2"/>
        <v>0.01</v>
      </c>
      <c r="G23" s="97">
        <f t="shared" si="0"/>
        <v>3.0000000000000001E-3</v>
      </c>
      <c r="H23" s="21">
        <f t="shared" si="0"/>
        <v>3.0000000000000001E-3</v>
      </c>
      <c r="I23" s="21">
        <f t="shared" si="1"/>
        <v>0.03</v>
      </c>
      <c r="J23" s="21">
        <f t="shared" si="1"/>
        <v>0.03</v>
      </c>
    </row>
    <row r="24" spans="1:10" s="10" customFormat="1" ht="14.1" customHeight="1" x14ac:dyDescent="0.25">
      <c r="A24" s="190"/>
      <c r="B24" s="93" t="s">
        <v>71</v>
      </c>
      <c r="C24" s="94"/>
      <c r="D24" s="94">
        <v>0.2</v>
      </c>
      <c r="E24" s="95"/>
      <c r="F24" s="95">
        <f>SUM(F19:F23)</f>
        <v>13.47</v>
      </c>
      <c r="G24" s="99"/>
      <c r="H24" s="100">
        <f>D24*10</f>
        <v>2</v>
      </c>
      <c r="I24" s="100"/>
      <c r="J24" s="100">
        <f>D24*100</f>
        <v>20</v>
      </c>
    </row>
    <row r="25" spans="1:10" s="10" customFormat="1" ht="14.1" customHeight="1" x14ac:dyDescent="0.25">
      <c r="A25" s="129">
        <v>6</v>
      </c>
      <c r="B25" s="123" t="s">
        <v>31</v>
      </c>
      <c r="C25" s="124">
        <v>0.01</v>
      </c>
      <c r="D25" s="124">
        <v>0.01</v>
      </c>
      <c r="E25" s="13">
        <f>цены!F21</f>
        <v>710</v>
      </c>
      <c r="F25" s="13">
        <f>C25*E25</f>
        <v>7.1</v>
      </c>
      <c r="G25" s="97">
        <f>C25*10</f>
        <v>0.1</v>
      </c>
      <c r="H25" s="21">
        <f>D25*10</f>
        <v>0.1</v>
      </c>
      <c r="I25" s="21">
        <f>C25*100</f>
        <v>1</v>
      </c>
      <c r="J25" s="21">
        <f>D25*100</f>
        <v>1</v>
      </c>
    </row>
    <row r="26" spans="1:10" s="10" customFormat="1" ht="14.1" customHeight="1" x14ac:dyDescent="0.25">
      <c r="A26" s="180">
        <v>7</v>
      </c>
      <c r="B26" s="20" t="s">
        <v>30</v>
      </c>
      <c r="C26" s="90">
        <v>0.01</v>
      </c>
      <c r="D26" s="90">
        <v>0.01</v>
      </c>
      <c r="E26" s="13">
        <f>цены!F107</f>
        <v>76</v>
      </c>
      <c r="F26" s="13">
        <f t="shared" si="2"/>
        <v>0.76</v>
      </c>
      <c r="G26" s="97">
        <f>C26*10</f>
        <v>0.1</v>
      </c>
      <c r="H26" s="21">
        <f>D26*10</f>
        <v>0.1</v>
      </c>
      <c r="I26" s="21">
        <f>C26*100</f>
        <v>1</v>
      </c>
      <c r="J26" s="21">
        <f>D26*100</f>
        <v>1</v>
      </c>
    </row>
    <row r="27" spans="1:10" s="10" customFormat="1" ht="14.1" customHeight="1" x14ac:dyDescent="0.25">
      <c r="A27" s="98"/>
      <c r="B27" s="93" t="s">
        <v>117</v>
      </c>
      <c r="C27" s="94"/>
      <c r="D27" s="94">
        <v>220</v>
      </c>
      <c r="E27" s="95"/>
      <c r="F27" s="95">
        <f>F24+F25+F26</f>
        <v>21.33</v>
      </c>
      <c r="G27" s="99"/>
      <c r="H27" s="100">
        <f>D27*10</f>
        <v>2200</v>
      </c>
      <c r="I27" s="100"/>
      <c r="J27" s="100">
        <f>D27*100</f>
        <v>22000</v>
      </c>
    </row>
    <row r="28" spans="1:10" s="10" customFormat="1" ht="27.6" customHeight="1" x14ac:dyDescent="0.25">
      <c r="A28" s="1536" t="s">
        <v>35</v>
      </c>
      <c r="B28" s="1536"/>
      <c r="C28" s="90"/>
      <c r="D28" s="90"/>
      <c r="E28" s="13"/>
      <c r="F28" s="13">
        <f>F27</f>
        <v>21.33</v>
      </c>
      <c r="G28" s="188"/>
      <c r="H28" s="188"/>
      <c r="I28" s="21"/>
      <c r="J28" s="13"/>
    </row>
    <row r="29" spans="1:10" s="10" customFormat="1" ht="25.35" customHeight="1" x14ac:dyDescent="0.25">
      <c r="A29" s="1536" t="s">
        <v>36</v>
      </c>
      <c r="B29" s="1536"/>
      <c r="C29" s="90">
        <v>220</v>
      </c>
      <c r="D29" s="90"/>
      <c r="E29" s="13"/>
      <c r="F29" s="13"/>
      <c r="G29" s="13"/>
      <c r="H29" s="13"/>
      <c r="I29" s="21"/>
      <c r="J29" s="17"/>
    </row>
    <row r="30" spans="1:10" s="10" customFormat="1" ht="25.35" customHeight="1" x14ac:dyDescent="0.25">
      <c r="A30" s="1537" t="s">
        <v>37</v>
      </c>
      <c r="B30" s="1538"/>
      <c r="C30" s="91">
        <v>220</v>
      </c>
      <c r="D30" s="92"/>
      <c r="E30" s="187"/>
      <c r="F30" s="187"/>
      <c r="G30" s="187"/>
      <c r="H30" s="187"/>
      <c r="I30" s="21"/>
      <c r="J30" s="17"/>
    </row>
    <row r="31" spans="1:10" s="10" customFormat="1" ht="15" customHeight="1" x14ac:dyDescent="0.25">
      <c r="A31" s="1539" t="s">
        <v>38</v>
      </c>
      <c r="B31" s="1540"/>
      <c r="C31" s="92">
        <f>C29/C30</f>
        <v>1</v>
      </c>
      <c r="D31" s="92"/>
      <c r="E31" s="187"/>
      <c r="F31" s="187"/>
      <c r="G31" s="187"/>
      <c r="H31" s="187"/>
      <c r="I31" s="21"/>
      <c r="J31" s="17"/>
    </row>
    <row r="32" spans="1:10" ht="16.350000000000001" customHeight="1" x14ac:dyDescent="0.25">
      <c r="A32" s="1541" t="s">
        <v>39</v>
      </c>
      <c r="B32" s="1542"/>
      <c r="C32" s="15" t="s">
        <v>40</v>
      </c>
      <c r="D32" s="102"/>
      <c r="E32" s="102" t="s">
        <v>40</v>
      </c>
      <c r="F32" s="16">
        <f>F28/C31</f>
        <v>21.33</v>
      </c>
      <c r="G32" s="16"/>
      <c r="H32" s="16"/>
      <c r="I32" s="102" t="s">
        <v>40</v>
      </c>
      <c r="J32" s="102" t="s">
        <v>40</v>
      </c>
    </row>
    <row r="33" spans="1:10" ht="23.1" customHeight="1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193"/>
      <c r="B34" s="1194" t="s">
        <v>49</v>
      </c>
      <c r="C34" s="1198"/>
      <c r="D34" s="1198"/>
      <c r="E34" s="1198"/>
      <c r="F34" s="1198"/>
      <c r="G34" s="1193"/>
      <c r="H34" s="1560">
        <f>'1-бутерброд с маслом'!$H$28</f>
        <v>0</v>
      </c>
      <c r="I34" s="1560"/>
      <c r="J34" s="1560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545" t="s">
        <v>327</v>
      </c>
      <c r="B36" s="1545"/>
      <c r="C36" s="1546" t="s">
        <v>328</v>
      </c>
      <c r="D36" s="1546"/>
      <c r="E36" s="1546"/>
      <c r="F36" s="1546"/>
      <c r="G36" s="106"/>
      <c r="H36" s="1531"/>
      <c r="I36" s="1531"/>
      <c r="J36" s="1531"/>
    </row>
    <row r="37" spans="1:10" x14ac:dyDescent="0.25">
      <c r="A37" s="1193"/>
      <c r="B37" s="1193"/>
      <c r="C37" s="1546"/>
      <c r="D37" s="1546"/>
      <c r="E37" s="1546"/>
      <c r="F37" s="1546"/>
      <c r="G37" s="1193"/>
      <c r="H37" s="1531" t="s">
        <v>329</v>
      </c>
      <c r="I37" s="1531"/>
      <c r="J37" s="1531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6:B36"/>
    <mergeCell ref="C36:F37"/>
    <mergeCell ref="H36:J36"/>
    <mergeCell ref="H37:J37"/>
    <mergeCell ref="A29:B29"/>
    <mergeCell ref="A30:B30"/>
    <mergeCell ref="A31:B31"/>
    <mergeCell ref="A32:B32"/>
    <mergeCell ref="H34:J34"/>
    <mergeCell ref="A28:B28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0E428"/>
  </sheetPr>
  <dimension ref="A1:J41"/>
  <sheetViews>
    <sheetView view="pageBreakPreview" topLeftCell="A7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121)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173</v>
      </c>
    </row>
    <row r="8" spans="1:10" s="2" customFormat="1" ht="9.6" customHeight="1" x14ac:dyDescent="0.25">
      <c r="A8" s="185"/>
      <c r="B8" s="185"/>
      <c r="C8" s="185"/>
      <c r="D8" s="185"/>
      <c r="E8" s="185"/>
      <c r="F8" s="185"/>
      <c r="G8" s="185"/>
      <c r="H8" s="185"/>
      <c r="I8" s="185"/>
      <c r="J8" s="109"/>
    </row>
    <row r="9" spans="1:10" s="2" customFormat="1" ht="26.1" customHeight="1" x14ac:dyDescent="0.3">
      <c r="A9" s="1550" t="s">
        <v>627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'173-каша гречневая вязк.'!H14+1</f>
        <v>121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186" t="s">
        <v>92</v>
      </c>
      <c r="D17" s="186" t="s">
        <v>94</v>
      </c>
      <c r="E17" s="186" t="s">
        <v>93</v>
      </c>
      <c r="F17" s="186" t="s">
        <v>23</v>
      </c>
      <c r="G17" s="186" t="s">
        <v>92</v>
      </c>
      <c r="H17" s="186" t="s">
        <v>94</v>
      </c>
      <c r="I17" s="186" t="s">
        <v>92</v>
      </c>
      <c r="J17" s="186" t="s">
        <v>94</v>
      </c>
    </row>
    <row r="18" spans="1:10" ht="9.6" customHeight="1" x14ac:dyDescent="0.25">
      <c r="A18" s="186">
        <v>1</v>
      </c>
      <c r="B18" s="187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>
        <v>1</v>
      </c>
      <c r="B19" s="20" t="s">
        <v>379</v>
      </c>
      <c r="C19" s="90">
        <v>0.05</v>
      </c>
      <c r="D19" s="90">
        <v>0.05</v>
      </c>
      <c r="E19" s="13">
        <f>цены!F82</f>
        <v>60</v>
      </c>
      <c r="F19" s="13">
        <f>C19*E19</f>
        <v>3</v>
      </c>
      <c r="G19" s="97">
        <f t="shared" ref="G19:H23" si="0">C19*10</f>
        <v>0.5</v>
      </c>
      <c r="H19" s="21">
        <f t="shared" si="0"/>
        <v>0.5</v>
      </c>
      <c r="I19" s="21">
        <f t="shared" ref="I19:J23" si="1">C19*100</f>
        <v>5</v>
      </c>
      <c r="J19" s="21">
        <f t="shared" si="1"/>
        <v>5</v>
      </c>
    </row>
    <row r="20" spans="1:10" s="10" customFormat="1" ht="14.1" customHeight="1" x14ac:dyDescent="0.25">
      <c r="A20" s="180">
        <v>2</v>
      </c>
      <c r="B20" s="20" t="s">
        <v>34</v>
      </c>
      <c r="C20" s="90">
        <v>0.1</v>
      </c>
      <c r="D20" s="90">
        <v>0.1</v>
      </c>
      <c r="E20" s="13">
        <f>цены!F20</f>
        <v>80</v>
      </c>
      <c r="F20" s="13">
        <f t="shared" ref="F20:F26" si="2">C20*E20</f>
        <v>8</v>
      </c>
      <c r="G20" s="97">
        <f t="shared" si="0"/>
        <v>1</v>
      </c>
      <c r="H20" s="21">
        <f t="shared" si="0"/>
        <v>1</v>
      </c>
      <c r="I20" s="21">
        <f t="shared" si="1"/>
        <v>10</v>
      </c>
      <c r="J20" s="21">
        <f t="shared" si="1"/>
        <v>10</v>
      </c>
    </row>
    <row r="21" spans="1:10" s="10" customFormat="1" ht="14.1" customHeight="1" x14ac:dyDescent="0.25">
      <c r="A21" s="180">
        <v>3</v>
      </c>
      <c r="B21" s="20" t="s">
        <v>28</v>
      </c>
      <c r="C21" s="90">
        <v>0.06</v>
      </c>
      <c r="D21" s="90">
        <v>0.06</v>
      </c>
      <c r="E21" s="13"/>
      <c r="F21" s="13">
        <f t="shared" si="2"/>
        <v>0</v>
      </c>
      <c r="G21" s="97">
        <f t="shared" si="0"/>
        <v>0.6</v>
      </c>
      <c r="H21" s="21">
        <f t="shared" si="0"/>
        <v>0.6</v>
      </c>
      <c r="I21" s="21">
        <f t="shared" si="1"/>
        <v>6</v>
      </c>
      <c r="J21" s="21">
        <f t="shared" si="1"/>
        <v>6</v>
      </c>
    </row>
    <row r="22" spans="1:10" s="10" customFormat="1" ht="14.1" customHeight="1" x14ac:dyDescent="0.25">
      <c r="A22" s="180">
        <v>4</v>
      </c>
      <c r="B22" s="20" t="s">
        <v>30</v>
      </c>
      <c r="C22" s="90">
        <v>6.0000000000000001E-3</v>
      </c>
      <c r="D22" s="90">
        <v>6.0000000000000001E-3</v>
      </c>
      <c r="E22" s="13">
        <f>цены!F107</f>
        <v>76</v>
      </c>
      <c r="F22" s="13">
        <f t="shared" si="2"/>
        <v>0.46</v>
      </c>
      <c r="G22" s="97">
        <f t="shared" si="0"/>
        <v>0.06</v>
      </c>
      <c r="H22" s="21">
        <f t="shared" si="0"/>
        <v>0.06</v>
      </c>
      <c r="I22" s="21">
        <f t="shared" si="1"/>
        <v>0.6</v>
      </c>
      <c r="J22" s="21">
        <f t="shared" si="1"/>
        <v>0.6</v>
      </c>
    </row>
    <row r="23" spans="1:10" s="10" customFormat="1" ht="14.1" customHeight="1" x14ac:dyDescent="0.25">
      <c r="A23" s="180">
        <v>5</v>
      </c>
      <c r="B23" s="20" t="s">
        <v>33</v>
      </c>
      <c r="C23" s="110">
        <v>2.9999999999999997E-4</v>
      </c>
      <c r="D23" s="110">
        <v>2.9999999999999997E-4</v>
      </c>
      <c r="E23" s="13">
        <f>цены!F110</f>
        <v>24</v>
      </c>
      <c r="F23" s="13">
        <f t="shared" si="2"/>
        <v>0.01</v>
      </c>
      <c r="G23" s="97">
        <f t="shared" si="0"/>
        <v>3.0000000000000001E-3</v>
      </c>
      <c r="H23" s="21">
        <f t="shared" si="0"/>
        <v>3.0000000000000001E-3</v>
      </c>
      <c r="I23" s="21">
        <f t="shared" si="1"/>
        <v>0.03</v>
      </c>
      <c r="J23" s="21">
        <f t="shared" si="1"/>
        <v>0.03</v>
      </c>
    </row>
    <row r="24" spans="1:10" s="10" customFormat="1" ht="14.1" customHeight="1" x14ac:dyDescent="0.25">
      <c r="A24" s="190"/>
      <c r="B24" s="93" t="s">
        <v>71</v>
      </c>
      <c r="C24" s="94"/>
      <c r="D24" s="94">
        <v>0.2</v>
      </c>
      <c r="E24" s="95"/>
      <c r="F24" s="95">
        <f>SUM(F19:F23)</f>
        <v>11.47</v>
      </c>
      <c r="G24" s="99"/>
      <c r="H24" s="100">
        <f>D24*10</f>
        <v>2</v>
      </c>
      <c r="I24" s="100"/>
      <c r="J24" s="100">
        <f>D24*100</f>
        <v>20</v>
      </c>
    </row>
    <row r="25" spans="1:10" s="10" customFormat="1" ht="14.1" customHeight="1" x14ac:dyDescent="0.25">
      <c r="A25" s="129">
        <v>6</v>
      </c>
      <c r="B25" s="123" t="s">
        <v>31</v>
      </c>
      <c r="C25" s="124">
        <v>0.01</v>
      </c>
      <c r="D25" s="124">
        <v>0.01</v>
      </c>
      <c r="E25" s="13">
        <f>цены!F21</f>
        <v>710</v>
      </c>
      <c r="F25" s="13">
        <f>C25*E25</f>
        <v>7.1</v>
      </c>
      <c r="G25" s="97">
        <f>C25*10</f>
        <v>0.1</v>
      </c>
      <c r="H25" s="21">
        <f>D25*10</f>
        <v>0.1</v>
      </c>
      <c r="I25" s="21">
        <f>C25*100</f>
        <v>1</v>
      </c>
      <c r="J25" s="21">
        <f>D25*100</f>
        <v>1</v>
      </c>
    </row>
    <row r="26" spans="1:10" s="10" customFormat="1" ht="14.1" customHeight="1" x14ac:dyDescent="0.25">
      <c r="A26" s="180">
        <v>7</v>
      </c>
      <c r="B26" s="20" t="s">
        <v>30</v>
      </c>
      <c r="C26" s="90">
        <v>0.01</v>
      </c>
      <c r="D26" s="90">
        <v>0.01</v>
      </c>
      <c r="E26" s="13">
        <f>цены!F107</f>
        <v>76</v>
      </c>
      <c r="F26" s="13">
        <f t="shared" si="2"/>
        <v>0.76</v>
      </c>
      <c r="G26" s="97">
        <f>C26*10</f>
        <v>0.1</v>
      </c>
      <c r="H26" s="21">
        <f>D26*10</f>
        <v>0.1</v>
      </c>
      <c r="I26" s="21">
        <f>C26*100</f>
        <v>1</v>
      </c>
      <c r="J26" s="21">
        <f>D26*100</f>
        <v>1</v>
      </c>
    </row>
    <row r="27" spans="1:10" s="10" customFormat="1" ht="14.1" customHeight="1" x14ac:dyDescent="0.25">
      <c r="A27" s="98"/>
      <c r="B27" s="93" t="s">
        <v>117</v>
      </c>
      <c r="C27" s="94"/>
      <c r="D27" s="94">
        <v>220</v>
      </c>
      <c r="E27" s="95"/>
      <c r="F27" s="95">
        <f>F24+F25+F26</f>
        <v>19.329999999999998</v>
      </c>
      <c r="G27" s="99"/>
      <c r="H27" s="100">
        <f>D27*10</f>
        <v>2200</v>
      </c>
      <c r="I27" s="100"/>
      <c r="J27" s="100">
        <f>D27*100</f>
        <v>22000</v>
      </c>
    </row>
    <row r="28" spans="1:10" s="10" customFormat="1" ht="27.6" customHeight="1" x14ac:dyDescent="0.25">
      <c r="A28" s="1536" t="s">
        <v>35</v>
      </c>
      <c r="B28" s="1536"/>
      <c r="C28" s="90"/>
      <c r="D28" s="90"/>
      <c r="E28" s="13"/>
      <c r="F28" s="13">
        <f>F27</f>
        <v>19.329999999999998</v>
      </c>
      <c r="G28" s="188"/>
      <c r="H28" s="188"/>
      <c r="I28" s="21"/>
      <c r="J28" s="13"/>
    </row>
    <row r="29" spans="1:10" s="10" customFormat="1" ht="25.35" customHeight="1" x14ac:dyDescent="0.25">
      <c r="A29" s="1536" t="s">
        <v>36</v>
      </c>
      <c r="B29" s="1536"/>
      <c r="C29" s="90">
        <v>220</v>
      </c>
      <c r="D29" s="90"/>
      <c r="E29" s="13"/>
      <c r="F29" s="13"/>
      <c r="G29" s="13"/>
      <c r="H29" s="13"/>
      <c r="I29" s="21"/>
      <c r="J29" s="17"/>
    </row>
    <row r="30" spans="1:10" s="10" customFormat="1" ht="25.35" customHeight="1" x14ac:dyDescent="0.25">
      <c r="A30" s="1537" t="s">
        <v>37</v>
      </c>
      <c r="B30" s="1538"/>
      <c r="C30" s="91">
        <v>220</v>
      </c>
      <c r="D30" s="92"/>
      <c r="E30" s="187"/>
      <c r="F30" s="187"/>
      <c r="G30" s="187"/>
      <c r="H30" s="187"/>
      <c r="I30" s="21"/>
      <c r="J30" s="17"/>
    </row>
    <row r="31" spans="1:10" s="10" customFormat="1" ht="15" customHeight="1" x14ac:dyDescent="0.25">
      <c r="A31" s="1539" t="s">
        <v>38</v>
      </c>
      <c r="B31" s="1540"/>
      <c r="C31" s="92">
        <f>C29/C30</f>
        <v>1</v>
      </c>
      <c r="D31" s="92"/>
      <c r="E31" s="187"/>
      <c r="F31" s="187"/>
      <c r="G31" s="187"/>
      <c r="H31" s="187"/>
      <c r="I31" s="21"/>
      <c r="J31" s="17"/>
    </row>
    <row r="32" spans="1:10" ht="16.350000000000001" customHeight="1" x14ac:dyDescent="0.25">
      <c r="A32" s="1541" t="s">
        <v>39</v>
      </c>
      <c r="B32" s="1542"/>
      <c r="C32" s="15" t="s">
        <v>40</v>
      </c>
      <c r="D32" s="102"/>
      <c r="E32" s="102" t="s">
        <v>40</v>
      </c>
      <c r="F32" s="16">
        <f>F28/C31</f>
        <v>19.329999999999998</v>
      </c>
      <c r="G32" s="16"/>
      <c r="H32" s="16"/>
      <c r="I32" s="102" t="s">
        <v>40</v>
      </c>
      <c r="J32" s="102" t="s">
        <v>40</v>
      </c>
    </row>
    <row r="33" spans="1:10" ht="23.1" customHeight="1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193"/>
      <c r="B34" s="1194" t="s">
        <v>49</v>
      </c>
      <c r="C34" s="1198"/>
      <c r="D34" s="1198"/>
      <c r="E34" s="1198"/>
      <c r="F34" s="1198"/>
      <c r="G34" s="1193"/>
      <c r="H34" s="1560">
        <f>'1-бутерброд с маслом'!$H$28</f>
        <v>0</v>
      </c>
      <c r="I34" s="1560"/>
      <c r="J34" s="1560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545" t="s">
        <v>327</v>
      </c>
      <c r="B36" s="1545"/>
      <c r="C36" s="1546" t="s">
        <v>328</v>
      </c>
      <c r="D36" s="1546"/>
      <c r="E36" s="1546"/>
      <c r="F36" s="1546"/>
      <c r="G36" s="106"/>
      <c r="H36" s="1531"/>
      <c r="I36" s="1531"/>
      <c r="J36" s="1531"/>
    </row>
    <row r="37" spans="1:10" x14ac:dyDescent="0.25">
      <c r="A37" s="1193"/>
      <c r="B37" s="1193"/>
      <c r="C37" s="1546"/>
      <c r="D37" s="1546"/>
      <c r="E37" s="1546"/>
      <c r="F37" s="1546"/>
      <c r="G37" s="1193"/>
      <c r="H37" s="1531" t="s">
        <v>329</v>
      </c>
      <c r="I37" s="1531"/>
      <c r="J37" s="1531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6:B36"/>
    <mergeCell ref="C36:F37"/>
    <mergeCell ref="H36:J36"/>
    <mergeCell ref="H37:J37"/>
    <mergeCell ref="A29:B29"/>
    <mergeCell ref="A30:B30"/>
    <mergeCell ref="A31:B31"/>
    <mergeCell ref="A32:B32"/>
    <mergeCell ref="H34:J34"/>
    <mergeCell ref="A28:B28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0E428"/>
  </sheetPr>
  <dimension ref="A1:J41"/>
  <sheetViews>
    <sheetView view="pageBreakPreview" topLeftCell="A4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699" customWidth="1"/>
    <col min="2" max="2" width="21.109375" style="699" customWidth="1"/>
    <col min="3" max="7" width="7.5546875" style="699" customWidth="1"/>
    <col min="8" max="8" width="8.88671875" style="699" customWidth="1"/>
    <col min="9" max="9" width="7.5546875" style="699" customWidth="1"/>
    <col min="10" max="10" width="9" style="699" customWidth="1"/>
    <col min="11" max="11" width="3.44140625" style="699" customWidth="1"/>
    <col min="12" max="16384" width="8.88671875" style="69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122)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173</v>
      </c>
    </row>
    <row r="8" spans="1:10" s="2" customFormat="1" ht="9.6" customHeight="1" x14ac:dyDescent="0.25">
      <c r="A8" s="732"/>
      <c r="B8" s="732"/>
      <c r="C8" s="732"/>
      <c r="D8" s="732"/>
      <c r="E8" s="732"/>
      <c r="F8" s="732"/>
      <c r="G8" s="732"/>
      <c r="H8" s="732"/>
      <c r="I8" s="732"/>
      <c r="J8" s="109"/>
    </row>
    <row r="9" spans="1:10" s="2" customFormat="1" ht="26.1" customHeight="1" x14ac:dyDescent="0.3">
      <c r="A9" s="1550" t="s">
        <v>925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'173-каша пшенная вязк.'!H14+1</f>
        <v>122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733" t="s">
        <v>92</v>
      </c>
      <c r="D17" s="733" t="s">
        <v>94</v>
      </c>
      <c r="E17" s="733" t="s">
        <v>93</v>
      </c>
      <c r="F17" s="733" t="s">
        <v>23</v>
      </c>
      <c r="G17" s="733" t="s">
        <v>92</v>
      </c>
      <c r="H17" s="733" t="s">
        <v>94</v>
      </c>
      <c r="I17" s="733" t="s">
        <v>92</v>
      </c>
      <c r="J17" s="733" t="s">
        <v>94</v>
      </c>
    </row>
    <row r="18" spans="1:10" ht="9.6" customHeight="1" x14ac:dyDescent="0.25">
      <c r="A18" s="733">
        <v>1</v>
      </c>
      <c r="B18" s="734">
        <v>2</v>
      </c>
      <c r="C18" s="733">
        <v>3</v>
      </c>
      <c r="D18" s="734">
        <v>4</v>
      </c>
      <c r="E18" s="733">
        <v>5</v>
      </c>
      <c r="F18" s="734">
        <v>6</v>
      </c>
      <c r="G18" s="733">
        <v>7</v>
      </c>
      <c r="H18" s="734">
        <v>8</v>
      </c>
      <c r="I18" s="733">
        <v>9</v>
      </c>
      <c r="J18" s="734">
        <v>10</v>
      </c>
    </row>
    <row r="19" spans="1:10" s="10" customFormat="1" ht="26.4" customHeight="1" x14ac:dyDescent="0.25">
      <c r="A19" s="180">
        <v>1</v>
      </c>
      <c r="B19" s="20" t="s">
        <v>924</v>
      </c>
      <c r="C19" s="90">
        <v>0.33</v>
      </c>
      <c r="D19" s="90">
        <v>0.33</v>
      </c>
      <c r="E19" s="408">
        <f>цены!F85</f>
        <v>150</v>
      </c>
      <c r="F19" s="408">
        <f>C19*E19</f>
        <v>49.5</v>
      </c>
      <c r="G19" s="97">
        <f t="shared" ref="G19:H22" si="0">C19*10</f>
        <v>3.3</v>
      </c>
      <c r="H19" s="21">
        <f t="shared" si="0"/>
        <v>3.3</v>
      </c>
      <c r="I19" s="21">
        <f t="shared" ref="I19:J22" si="1">C19*100</f>
        <v>33</v>
      </c>
      <c r="J19" s="21">
        <f t="shared" si="1"/>
        <v>33</v>
      </c>
    </row>
    <row r="20" spans="1:10" s="10" customFormat="1" ht="14.1" customHeight="1" x14ac:dyDescent="0.25">
      <c r="A20" s="180">
        <v>2</v>
      </c>
      <c r="B20" s="20" t="s">
        <v>34</v>
      </c>
      <c r="C20" s="90">
        <v>0.26800000000000002</v>
      </c>
      <c r="D20" s="90">
        <v>0.26800000000000002</v>
      </c>
      <c r="E20" s="408">
        <f>цены!F20</f>
        <v>80</v>
      </c>
      <c r="F20" s="408">
        <f t="shared" ref="F20:F26" si="2">C20*E20</f>
        <v>21.44</v>
      </c>
      <c r="G20" s="97">
        <f t="shared" si="0"/>
        <v>2.68</v>
      </c>
      <c r="H20" s="21">
        <f t="shared" si="0"/>
        <v>2.68</v>
      </c>
      <c r="I20" s="21">
        <f t="shared" si="1"/>
        <v>26.8</v>
      </c>
      <c r="J20" s="21">
        <f t="shared" si="1"/>
        <v>26.8</v>
      </c>
    </row>
    <row r="21" spans="1:10" s="10" customFormat="1" ht="14.1" customHeight="1" x14ac:dyDescent="0.25">
      <c r="A21" s="180">
        <v>3</v>
      </c>
      <c r="B21" s="20" t="s">
        <v>28</v>
      </c>
      <c r="C21" s="90">
        <v>0.40200000000000002</v>
      </c>
      <c r="D21" s="90">
        <v>0.40200000000000002</v>
      </c>
      <c r="E21" s="408"/>
      <c r="F21" s="408">
        <f t="shared" si="2"/>
        <v>0</v>
      </c>
      <c r="G21" s="97">
        <f t="shared" si="0"/>
        <v>4.0199999999999996</v>
      </c>
      <c r="H21" s="21">
        <f t="shared" si="0"/>
        <v>4.0199999999999996</v>
      </c>
      <c r="I21" s="21">
        <f t="shared" si="1"/>
        <v>40.200000000000003</v>
      </c>
      <c r="J21" s="21">
        <f t="shared" si="1"/>
        <v>40.200000000000003</v>
      </c>
    </row>
    <row r="22" spans="1:10" s="10" customFormat="1" ht="14.1" customHeight="1" x14ac:dyDescent="0.25">
      <c r="A22" s="180">
        <v>5</v>
      </c>
      <c r="B22" s="20" t="s">
        <v>33</v>
      </c>
      <c r="C22" s="110">
        <v>1.5E-3</v>
      </c>
      <c r="D22" s="110">
        <v>1.5E-3</v>
      </c>
      <c r="E22" s="408">
        <f>цены!F110</f>
        <v>24</v>
      </c>
      <c r="F22" s="408">
        <f t="shared" si="2"/>
        <v>0.04</v>
      </c>
      <c r="G22" s="97">
        <f t="shared" si="0"/>
        <v>1.4999999999999999E-2</v>
      </c>
      <c r="H22" s="21">
        <f t="shared" si="0"/>
        <v>1.4999999999999999E-2</v>
      </c>
      <c r="I22" s="21">
        <f t="shared" si="1"/>
        <v>0.15</v>
      </c>
      <c r="J22" s="21">
        <f t="shared" si="1"/>
        <v>0.15</v>
      </c>
    </row>
    <row r="23" spans="1:10" s="10" customFormat="1" ht="14.1" customHeight="1" x14ac:dyDescent="0.25">
      <c r="A23" s="416"/>
      <c r="B23" s="93" t="s">
        <v>71</v>
      </c>
      <c r="C23" s="94"/>
      <c r="D23" s="94">
        <v>1</v>
      </c>
      <c r="E23" s="95"/>
      <c r="F23" s="95">
        <f>SUM(F19:F22)</f>
        <v>70.98</v>
      </c>
      <c r="G23" s="99"/>
      <c r="H23" s="100">
        <f>D23*10</f>
        <v>10</v>
      </c>
      <c r="I23" s="100"/>
      <c r="J23" s="100">
        <f>D23*100</f>
        <v>100</v>
      </c>
    </row>
    <row r="24" spans="1:10" s="10" customFormat="1" ht="14.1" customHeight="1" x14ac:dyDescent="0.25">
      <c r="A24" s="129"/>
      <c r="B24" s="123" t="s">
        <v>71</v>
      </c>
      <c r="C24" s="124">
        <v>0.2</v>
      </c>
      <c r="D24" s="124">
        <v>0.2</v>
      </c>
      <c r="E24" s="127">
        <f>F23</f>
        <v>70.98</v>
      </c>
      <c r="F24" s="408">
        <f>C24*E24</f>
        <v>14.2</v>
      </c>
      <c r="G24" s="97">
        <f>C24*10</f>
        <v>2</v>
      </c>
      <c r="H24" s="21">
        <f>D24*10</f>
        <v>2</v>
      </c>
      <c r="I24" s="21">
        <f>C24*100</f>
        <v>20</v>
      </c>
      <c r="J24" s="21">
        <f>D24*100</f>
        <v>20</v>
      </c>
    </row>
    <row r="25" spans="1:10" s="10" customFormat="1" ht="14.1" customHeight="1" x14ac:dyDescent="0.25">
      <c r="A25" s="129">
        <v>6</v>
      </c>
      <c r="B25" s="123" t="s">
        <v>31</v>
      </c>
      <c r="C25" s="124">
        <v>5.0000000000000001E-3</v>
      </c>
      <c r="D25" s="124">
        <v>5.0000000000000001E-3</v>
      </c>
      <c r="E25" s="408">
        <f>цены!F21</f>
        <v>710</v>
      </c>
      <c r="F25" s="408">
        <f>C25*E25</f>
        <v>3.55</v>
      </c>
      <c r="G25" s="97">
        <f>C25*10</f>
        <v>0.05</v>
      </c>
      <c r="H25" s="21">
        <f>D25*10</f>
        <v>0.05</v>
      </c>
      <c r="I25" s="21">
        <f>C25*100</f>
        <v>0.5</v>
      </c>
      <c r="J25" s="21">
        <f>D25*100</f>
        <v>0.5</v>
      </c>
    </row>
    <row r="26" spans="1:10" s="10" customFormat="1" ht="14.1" customHeight="1" x14ac:dyDescent="0.25">
      <c r="A26" s="180">
        <v>7</v>
      </c>
      <c r="B26" s="20" t="s">
        <v>30</v>
      </c>
      <c r="C26" s="90">
        <v>5.0000000000000001E-3</v>
      </c>
      <c r="D26" s="90">
        <v>5.0000000000000001E-3</v>
      </c>
      <c r="E26" s="408">
        <f>цены!F107</f>
        <v>76</v>
      </c>
      <c r="F26" s="408">
        <f t="shared" si="2"/>
        <v>0.38</v>
      </c>
      <c r="G26" s="97">
        <f>C26*10</f>
        <v>0.05</v>
      </c>
      <c r="H26" s="21">
        <f>D26*10</f>
        <v>0.05</v>
      </c>
      <c r="I26" s="21">
        <f>C26*100</f>
        <v>0.5</v>
      </c>
      <c r="J26" s="21">
        <f>D26*100</f>
        <v>0.5</v>
      </c>
    </row>
    <row r="27" spans="1:10" s="10" customFormat="1" ht="14.1" customHeight="1" x14ac:dyDescent="0.25">
      <c r="A27" s="98"/>
      <c r="B27" s="93" t="s">
        <v>117</v>
      </c>
      <c r="C27" s="94"/>
      <c r="D27" s="94">
        <v>220</v>
      </c>
      <c r="E27" s="95"/>
      <c r="F27" s="95">
        <f>SUM(F24:F26)</f>
        <v>18.13</v>
      </c>
      <c r="G27" s="99"/>
      <c r="H27" s="100">
        <f>D27*10</f>
        <v>2200</v>
      </c>
      <c r="I27" s="100"/>
      <c r="J27" s="100">
        <f>D27*100</f>
        <v>22000</v>
      </c>
    </row>
    <row r="28" spans="1:10" s="10" customFormat="1" ht="27.6" customHeight="1" x14ac:dyDescent="0.25">
      <c r="A28" s="1536" t="s">
        <v>35</v>
      </c>
      <c r="B28" s="1536"/>
      <c r="C28" s="90"/>
      <c r="D28" s="90"/>
      <c r="E28" s="408"/>
      <c r="F28" s="408">
        <f>F27</f>
        <v>18.13</v>
      </c>
      <c r="G28" s="735"/>
      <c r="H28" s="735"/>
      <c r="I28" s="21"/>
      <c r="J28" s="408"/>
    </row>
    <row r="29" spans="1:10" s="10" customFormat="1" ht="25.35" customHeight="1" x14ac:dyDescent="0.25">
      <c r="A29" s="1536" t="s">
        <v>36</v>
      </c>
      <c r="B29" s="1536"/>
      <c r="C29" s="90">
        <v>220</v>
      </c>
      <c r="D29" s="90"/>
      <c r="E29" s="408"/>
      <c r="F29" s="408"/>
      <c r="G29" s="408"/>
      <c r="H29" s="408"/>
      <c r="I29" s="21"/>
      <c r="J29" s="17"/>
    </row>
    <row r="30" spans="1:10" s="10" customFormat="1" ht="25.35" customHeight="1" x14ac:dyDescent="0.25">
      <c r="A30" s="1537" t="s">
        <v>37</v>
      </c>
      <c r="B30" s="1538"/>
      <c r="C30" s="91">
        <v>220</v>
      </c>
      <c r="D30" s="92"/>
      <c r="E30" s="734"/>
      <c r="F30" s="734"/>
      <c r="G30" s="734"/>
      <c r="H30" s="734"/>
      <c r="I30" s="21"/>
      <c r="J30" s="17"/>
    </row>
    <row r="31" spans="1:10" s="10" customFormat="1" ht="15" customHeight="1" x14ac:dyDescent="0.25">
      <c r="A31" s="1539" t="s">
        <v>38</v>
      </c>
      <c r="B31" s="1540"/>
      <c r="C31" s="92">
        <f>C29/C30</f>
        <v>1</v>
      </c>
      <c r="D31" s="92"/>
      <c r="E31" s="734"/>
      <c r="F31" s="734"/>
      <c r="G31" s="734"/>
      <c r="H31" s="734"/>
      <c r="I31" s="21"/>
      <c r="J31" s="17"/>
    </row>
    <row r="32" spans="1:10" ht="16.350000000000001" customHeight="1" x14ac:dyDescent="0.25">
      <c r="A32" s="1541" t="s">
        <v>39</v>
      </c>
      <c r="B32" s="1542"/>
      <c r="C32" s="15" t="s">
        <v>40</v>
      </c>
      <c r="D32" s="102"/>
      <c r="E32" s="102" t="s">
        <v>40</v>
      </c>
      <c r="F32" s="16">
        <f>F28/C31</f>
        <v>18.13</v>
      </c>
      <c r="G32" s="16"/>
      <c r="H32" s="16"/>
      <c r="I32" s="102" t="s">
        <v>40</v>
      </c>
      <c r="J32" s="102" t="s">
        <v>40</v>
      </c>
    </row>
    <row r="33" spans="1:10" ht="23.1" customHeight="1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193"/>
      <c r="B34" s="1194" t="s">
        <v>49</v>
      </c>
      <c r="C34" s="1198"/>
      <c r="D34" s="1198"/>
      <c r="E34" s="1198"/>
      <c r="F34" s="1198"/>
      <c r="G34" s="1193"/>
      <c r="H34" s="1560">
        <f>'1-бутерброд с маслом'!$H$28</f>
        <v>0</v>
      </c>
      <c r="I34" s="1560"/>
      <c r="J34" s="1560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545" t="s">
        <v>327</v>
      </c>
      <c r="B36" s="1545"/>
      <c r="C36" s="1546" t="s">
        <v>328</v>
      </c>
      <c r="D36" s="1546"/>
      <c r="E36" s="1546"/>
      <c r="F36" s="1546"/>
      <c r="G36" s="106"/>
      <c r="H36" s="1531"/>
      <c r="I36" s="1531"/>
      <c r="J36" s="1531"/>
    </row>
    <row r="37" spans="1:10" x14ac:dyDescent="0.25">
      <c r="A37" s="1193"/>
      <c r="B37" s="1193"/>
      <c r="C37" s="1546"/>
      <c r="D37" s="1546"/>
      <c r="E37" s="1546"/>
      <c r="F37" s="1546"/>
      <c r="G37" s="1193"/>
      <c r="H37" s="1531" t="s">
        <v>329</v>
      </c>
      <c r="I37" s="1531"/>
      <c r="J37" s="1531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6:B36"/>
    <mergeCell ref="C36:F37"/>
    <mergeCell ref="H36:J36"/>
    <mergeCell ref="H37:J37"/>
    <mergeCell ref="A29:B29"/>
    <mergeCell ref="A30:B30"/>
    <mergeCell ref="A31:B31"/>
    <mergeCell ref="A32:B32"/>
    <mergeCell ref="H34:J34"/>
    <mergeCell ref="A28:B28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0E428"/>
  </sheetPr>
  <dimension ref="A1:J41"/>
  <sheetViews>
    <sheetView view="pageBreakPreview" topLeftCell="A4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123)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174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624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'173-каша ясно солнышко'!H14+1</f>
        <v>123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3.35" customHeight="1" x14ac:dyDescent="0.25">
      <c r="A19" s="180">
        <v>1</v>
      </c>
      <c r="B19" s="20" t="s">
        <v>307</v>
      </c>
      <c r="C19" s="90">
        <v>4.3999999999999997E-2</v>
      </c>
      <c r="D19" s="90">
        <v>4.3999999999999997E-2</v>
      </c>
      <c r="E19" s="13">
        <f>цены!F83</f>
        <v>98</v>
      </c>
      <c r="F19" s="13">
        <f>C19*E19</f>
        <v>4.3099999999999996</v>
      </c>
      <c r="G19" s="97">
        <f t="shared" ref="G19:H23" si="0">C19*10</f>
        <v>0.44</v>
      </c>
      <c r="H19" s="21">
        <f t="shared" si="0"/>
        <v>0.44</v>
      </c>
      <c r="I19" s="21">
        <f t="shared" ref="I19:J23" si="1">C19*100</f>
        <v>4.4000000000000004</v>
      </c>
      <c r="J19" s="21">
        <f t="shared" si="1"/>
        <v>4.4000000000000004</v>
      </c>
    </row>
    <row r="20" spans="1:10" s="10" customFormat="1" ht="13.35" customHeight="1" x14ac:dyDescent="0.25">
      <c r="A20" s="180">
        <v>2</v>
      </c>
      <c r="B20" s="20" t="s">
        <v>34</v>
      </c>
      <c r="C20" s="90">
        <v>0.1</v>
      </c>
      <c r="D20" s="90">
        <v>0.1</v>
      </c>
      <c r="E20" s="13">
        <f>цены!F20</f>
        <v>80</v>
      </c>
      <c r="F20" s="13">
        <f t="shared" ref="F20:F26" si="2">C20*E20</f>
        <v>8</v>
      </c>
      <c r="G20" s="97">
        <f t="shared" si="0"/>
        <v>1</v>
      </c>
      <c r="H20" s="21">
        <f t="shared" si="0"/>
        <v>1</v>
      </c>
      <c r="I20" s="21">
        <f t="shared" si="1"/>
        <v>10</v>
      </c>
      <c r="J20" s="21">
        <f t="shared" si="1"/>
        <v>10</v>
      </c>
    </row>
    <row r="21" spans="1:10" s="10" customFormat="1" ht="13.35" customHeight="1" x14ac:dyDescent="0.25">
      <c r="A21" s="180">
        <v>3</v>
      </c>
      <c r="B21" s="20" t="s">
        <v>28</v>
      </c>
      <c r="C21" s="90">
        <v>6.5000000000000002E-2</v>
      </c>
      <c r="D21" s="90">
        <v>6.5000000000000002E-2</v>
      </c>
      <c r="E21" s="13"/>
      <c r="F21" s="13">
        <f t="shared" si="2"/>
        <v>0</v>
      </c>
      <c r="G21" s="97">
        <f t="shared" si="0"/>
        <v>0.65</v>
      </c>
      <c r="H21" s="21">
        <f t="shared" si="0"/>
        <v>0.65</v>
      </c>
      <c r="I21" s="21">
        <f t="shared" si="1"/>
        <v>6.5</v>
      </c>
      <c r="J21" s="21">
        <f t="shared" si="1"/>
        <v>6.5</v>
      </c>
    </row>
    <row r="22" spans="1:10" s="10" customFormat="1" ht="13.35" customHeight="1" x14ac:dyDescent="0.25">
      <c r="A22" s="180">
        <v>4</v>
      </c>
      <c r="B22" s="20" t="s">
        <v>30</v>
      </c>
      <c r="C22" s="90">
        <v>6.0000000000000001E-3</v>
      </c>
      <c r="D22" s="90">
        <v>6.0000000000000001E-3</v>
      </c>
      <c r="E22" s="13">
        <f>цены!F107</f>
        <v>76</v>
      </c>
      <c r="F22" s="13">
        <f t="shared" si="2"/>
        <v>0.46</v>
      </c>
      <c r="G22" s="97">
        <f t="shared" si="0"/>
        <v>0.06</v>
      </c>
      <c r="H22" s="21">
        <f t="shared" si="0"/>
        <v>0.06</v>
      </c>
      <c r="I22" s="21">
        <f t="shared" si="1"/>
        <v>0.6</v>
      </c>
      <c r="J22" s="21">
        <f t="shared" si="1"/>
        <v>0.6</v>
      </c>
    </row>
    <row r="23" spans="1:10" s="10" customFormat="1" ht="13.35" customHeight="1" x14ac:dyDescent="0.25">
      <c r="A23" s="180">
        <v>5</v>
      </c>
      <c r="B23" s="20" t="s">
        <v>33</v>
      </c>
      <c r="C23" s="110">
        <v>2.9999999999999997E-4</v>
      </c>
      <c r="D23" s="110">
        <v>2.9999999999999997E-4</v>
      </c>
      <c r="E23" s="13">
        <f>цены!F110</f>
        <v>24</v>
      </c>
      <c r="F23" s="13">
        <f t="shared" si="2"/>
        <v>0.01</v>
      </c>
      <c r="G23" s="97">
        <f t="shared" si="0"/>
        <v>3.0000000000000001E-3</v>
      </c>
      <c r="H23" s="21">
        <f t="shared" si="0"/>
        <v>3.0000000000000001E-3</v>
      </c>
      <c r="I23" s="21">
        <f t="shared" si="1"/>
        <v>0.03</v>
      </c>
      <c r="J23" s="21">
        <f t="shared" si="1"/>
        <v>0.03</v>
      </c>
    </row>
    <row r="24" spans="1:10" s="10" customFormat="1" ht="15.6" customHeight="1" x14ac:dyDescent="0.25">
      <c r="A24" s="190"/>
      <c r="B24" s="93" t="s">
        <v>71</v>
      </c>
      <c r="C24" s="94"/>
      <c r="D24" s="94">
        <v>0.2</v>
      </c>
      <c r="E24" s="95"/>
      <c r="F24" s="95">
        <f>SUM(F19:F23)</f>
        <v>12.78</v>
      </c>
      <c r="G24" s="99"/>
      <c r="H24" s="100">
        <f>D24*10</f>
        <v>2</v>
      </c>
      <c r="I24" s="100"/>
      <c r="J24" s="100">
        <f>D24*100</f>
        <v>20</v>
      </c>
    </row>
    <row r="25" spans="1:10" s="10" customFormat="1" ht="15.6" customHeight="1" x14ac:dyDescent="0.25">
      <c r="A25" s="129">
        <v>6</v>
      </c>
      <c r="B25" s="123" t="s">
        <v>31</v>
      </c>
      <c r="C25" s="124">
        <v>0.01</v>
      </c>
      <c r="D25" s="124">
        <v>0.01</v>
      </c>
      <c r="E25" s="13">
        <f>цены!F21</f>
        <v>710</v>
      </c>
      <c r="F25" s="13">
        <f>C25*E25</f>
        <v>7.1</v>
      </c>
      <c r="G25" s="97">
        <f>C25*10</f>
        <v>0.1</v>
      </c>
      <c r="H25" s="21">
        <f>D25*10</f>
        <v>0.1</v>
      </c>
      <c r="I25" s="21">
        <f>C25*100</f>
        <v>1</v>
      </c>
      <c r="J25" s="21">
        <f>D25*100</f>
        <v>1</v>
      </c>
    </row>
    <row r="26" spans="1:10" s="10" customFormat="1" ht="14.1" customHeight="1" x14ac:dyDescent="0.25">
      <c r="A26" s="180">
        <v>7</v>
      </c>
      <c r="B26" s="20" t="s">
        <v>30</v>
      </c>
      <c r="C26" s="90">
        <v>0.01</v>
      </c>
      <c r="D26" s="90">
        <v>0.01</v>
      </c>
      <c r="E26" s="13">
        <f>цены!F107</f>
        <v>76</v>
      </c>
      <c r="F26" s="13">
        <f t="shared" si="2"/>
        <v>0.76</v>
      </c>
      <c r="G26" s="97">
        <f>C26*10</f>
        <v>0.1</v>
      </c>
      <c r="H26" s="21">
        <f>D26*10</f>
        <v>0.1</v>
      </c>
      <c r="I26" s="21">
        <f>C26*100</f>
        <v>1</v>
      </c>
      <c r="J26" s="21">
        <f>D26*100</f>
        <v>1</v>
      </c>
    </row>
    <row r="27" spans="1:10" s="10" customFormat="1" ht="15.6" customHeight="1" x14ac:dyDescent="0.25">
      <c r="A27" s="98"/>
      <c r="B27" s="93" t="s">
        <v>117</v>
      </c>
      <c r="C27" s="94"/>
      <c r="D27" s="94">
        <v>220</v>
      </c>
      <c r="E27" s="95"/>
      <c r="F27" s="95">
        <f>F24+F25+F26</f>
        <v>20.64</v>
      </c>
      <c r="G27" s="99"/>
      <c r="H27" s="100">
        <f>D27*10</f>
        <v>2200</v>
      </c>
      <c r="I27" s="100"/>
      <c r="J27" s="100">
        <f>D27*100</f>
        <v>22000</v>
      </c>
    </row>
    <row r="28" spans="1:10" s="10" customFormat="1" ht="27.6" customHeight="1" x14ac:dyDescent="0.25">
      <c r="A28" s="1536" t="s">
        <v>35</v>
      </c>
      <c r="B28" s="1536"/>
      <c r="C28" s="90"/>
      <c r="D28" s="90"/>
      <c r="E28" s="13"/>
      <c r="F28" s="13">
        <f>F27</f>
        <v>20.64</v>
      </c>
      <c r="G28" s="14"/>
      <c r="H28" s="14"/>
      <c r="I28" s="21"/>
      <c r="J28" s="13"/>
    </row>
    <row r="29" spans="1:10" s="10" customFormat="1" ht="25.35" customHeight="1" x14ac:dyDescent="0.25">
      <c r="A29" s="1536" t="s">
        <v>36</v>
      </c>
      <c r="B29" s="1536"/>
      <c r="C29" s="90">
        <v>220</v>
      </c>
      <c r="D29" s="90"/>
      <c r="E29" s="13"/>
      <c r="F29" s="13"/>
      <c r="G29" s="13"/>
      <c r="H29" s="13"/>
      <c r="I29" s="21"/>
      <c r="J29" s="17"/>
    </row>
    <row r="30" spans="1:10" s="10" customFormat="1" ht="25.35" customHeight="1" x14ac:dyDescent="0.25">
      <c r="A30" s="1537" t="s">
        <v>37</v>
      </c>
      <c r="B30" s="1538"/>
      <c r="C30" s="91">
        <v>220</v>
      </c>
      <c r="D30" s="92"/>
      <c r="E30" s="5"/>
      <c r="F30" s="5"/>
      <c r="G30" s="5"/>
      <c r="H30" s="5"/>
      <c r="I30" s="21"/>
      <c r="J30" s="17"/>
    </row>
    <row r="31" spans="1:10" s="10" customFormat="1" ht="15" customHeight="1" x14ac:dyDescent="0.25">
      <c r="A31" s="1539" t="s">
        <v>38</v>
      </c>
      <c r="B31" s="1540"/>
      <c r="C31" s="92">
        <f>C29/C30</f>
        <v>1</v>
      </c>
      <c r="D31" s="92"/>
      <c r="E31" s="5"/>
      <c r="F31" s="5"/>
      <c r="G31" s="5"/>
      <c r="H31" s="5"/>
      <c r="I31" s="21"/>
      <c r="J31" s="17"/>
    </row>
    <row r="32" spans="1:10" ht="16.350000000000001" customHeight="1" x14ac:dyDescent="0.25">
      <c r="A32" s="1541" t="s">
        <v>39</v>
      </c>
      <c r="B32" s="1542"/>
      <c r="C32" s="15" t="s">
        <v>40</v>
      </c>
      <c r="D32" s="102"/>
      <c r="E32" s="102" t="s">
        <v>40</v>
      </c>
      <c r="F32" s="16">
        <f>F28/C31</f>
        <v>20.64</v>
      </c>
      <c r="G32" s="16"/>
      <c r="H32" s="16"/>
      <c r="I32" s="102" t="s">
        <v>40</v>
      </c>
      <c r="J32" s="102" t="s">
        <v>40</v>
      </c>
    </row>
    <row r="33" spans="1:10" ht="23.1" customHeight="1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193"/>
      <c r="B34" s="1194" t="s">
        <v>49</v>
      </c>
      <c r="C34" s="1198"/>
      <c r="D34" s="1198"/>
      <c r="E34" s="1198"/>
      <c r="F34" s="1198"/>
      <c r="G34" s="1193"/>
      <c r="H34" s="1560">
        <f>'1-бутерброд с маслом'!$H$28</f>
        <v>0</v>
      </c>
      <c r="I34" s="1560"/>
      <c r="J34" s="1560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545" t="s">
        <v>327</v>
      </c>
      <c r="B36" s="1545"/>
      <c r="C36" s="1546" t="s">
        <v>328</v>
      </c>
      <c r="D36" s="1546"/>
      <c r="E36" s="1546"/>
      <c r="F36" s="1546"/>
      <c r="G36" s="106"/>
      <c r="H36" s="1531"/>
      <c r="I36" s="1531"/>
      <c r="J36" s="1531"/>
    </row>
    <row r="37" spans="1:10" x14ac:dyDescent="0.25">
      <c r="A37" s="1193"/>
      <c r="B37" s="1193"/>
      <c r="C37" s="1546"/>
      <c r="D37" s="1546"/>
      <c r="E37" s="1546"/>
      <c r="F37" s="1546"/>
      <c r="G37" s="1193"/>
      <c r="H37" s="1531" t="s">
        <v>329</v>
      </c>
      <c r="I37" s="1531"/>
      <c r="J37" s="1531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</sheetData>
  <mergeCells count="28">
    <mergeCell ref="A29:B29"/>
    <mergeCell ref="A13:G13"/>
    <mergeCell ref="A30:B30"/>
    <mergeCell ref="A31:B31"/>
    <mergeCell ref="A32:B32"/>
    <mergeCell ref="A16:A17"/>
    <mergeCell ref="B16:B17"/>
    <mergeCell ref="A28:B28"/>
    <mergeCell ref="A6:G6"/>
    <mergeCell ref="A7:I7"/>
    <mergeCell ref="C16:F16"/>
    <mergeCell ref="G16:H16"/>
    <mergeCell ref="I16:J16"/>
    <mergeCell ref="A9:J9"/>
    <mergeCell ref="A11:J11"/>
    <mergeCell ref="I13:J13"/>
    <mergeCell ref="C14:G14"/>
    <mergeCell ref="I14:J14"/>
    <mergeCell ref="G1:J1"/>
    <mergeCell ref="G2:J2"/>
    <mergeCell ref="G3:J3"/>
    <mergeCell ref="A5:G5"/>
    <mergeCell ref="H5:I5"/>
    <mergeCell ref="A36:B36"/>
    <mergeCell ref="C36:F37"/>
    <mergeCell ref="H36:J36"/>
    <mergeCell ref="H37:J37"/>
    <mergeCell ref="H34:J3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0E428"/>
  </sheetPr>
  <dimension ref="A1:J41"/>
  <sheetViews>
    <sheetView view="pageBreakPreview" topLeftCell="A3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124)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174</v>
      </c>
    </row>
    <row r="8" spans="1:10" s="2" customFormat="1" ht="9.6" customHeight="1" x14ac:dyDescent="0.25">
      <c r="A8" s="185"/>
      <c r="B8" s="185"/>
      <c r="C8" s="185"/>
      <c r="D8" s="185"/>
      <c r="E8" s="185"/>
      <c r="F8" s="185"/>
      <c r="G8" s="185"/>
      <c r="H8" s="185"/>
      <c r="I8" s="185"/>
      <c r="J8" s="109"/>
    </row>
    <row r="9" spans="1:10" s="2" customFormat="1" ht="26.1" customHeight="1" x14ac:dyDescent="0.3">
      <c r="A9" s="1550" t="s">
        <v>625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'174-каша рисовая вяз.'!H14+1</f>
        <v>124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186" t="s">
        <v>92</v>
      </c>
      <c r="D17" s="186" t="s">
        <v>94</v>
      </c>
      <c r="E17" s="186" t="s">
        <v>93</v>
      </c>
      <c r="F17" s="186" t="s">
        <v>23</v>
      </c>
      <c r="G17" s="186" t="s">
        <v>92</v>
      </c>
      <c r="H17" s="186" t="s">
        <v>94</v>
      </c>
      <c r="I17" s="186" t="s">
        <v>92</v>
      </c>
      <c r="J17" s="186" t="s">
        <v>94</v>
      </c>
    </row>
    <row r="18" spans="1:10" ht="9.6" customHeight="1" x14ac:dyDescent="0.25">
      <c r="A18" s="186">
        <v>1</v>
      </c>
      <c r="B18" s="187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3.35" customHeight="1" x14ac:dyDescent="0.25">
      <c r="A19" s="180">
        <v>1</v>
      </c>
      <c r="B19" s="20" t="s">
        <v>340</v>
      </c>
      <c r="C19" s="90">
        <v>4.3999999999999997E-2</v>
      </c>
      <c r="D19" s="90">
        <v>4.3999999999999997E-2</v>
      </c>
      <c r="E19" s="13">
        <f>цены!F77</f>
        <v>40</v>
      </c>
      <c r="F19" s="13">
        <f>C19*E19</f>
        <v>1.76</v>
      </c>
      <c r="G19" s="97">
        <f t="shared" ref="G19:H23" si="0">C19*10</f>
        <v>0.44</v>
      </c>
      <c r="H19" s="21">
        <f t="shared" si="0"/>
        <v>0.44</v>
      </c>
      <c r="I19" s="21">
        <f t="shared" ref="I19:J23" si="1">C19*100</f>
        <v>4.4000000000000004</v>
      </c>
      <c r="J19" s="21">
        <f t="shared" si="1"/>
        <v>4.4000000000000004</v>
      </c>
    </row>
    <row r="20" spans="1:10" s="10" customFormat="1" ht="13.35" customHeight="1" x14ac:dyDescent="0.25">
      <c r="A20" s="180">
        <v>2</v>
      </c>
      <c r="B20" s="20" t="s">
        <v>34</v>
      </c>
      <c r="C20" s="90">
        <v>0.1</v>
      </c>
      <c r="D20" s="90">
        <v>0.1</v>
      </c>
      <c r="E20" s="13">
        <f>цены!F20</f>
        <v>80</v>
      </c>
      <c r="F20" s="13">
        <f t="shared" ref="F20:F26" si="2">C20*E20</f>
        <v>8</v>
      </c>
      <c r="G20" s="97">
        <f t="shared" si="0"/>
        <v>1</v>
      </c>
      <c r="H20" s="21">
        <f t="shared" si="0"/>
        <v>1</v>
      </c>
      <c r="I20" s="21">
        <f t="shared" si="1"/>
        <v>10</v>
      </c>
      <c r="J20" s="21">
        <f t="shared" si="1"/>
        <v>10</v>
      </c>
    </row>
    <row r="21" spans="1:10" s="10" customFormat="1" ht="13.35" customHeight="1" x14ac:dyDescent="0.25">
      <c r="A21" s="180">
        <v>3</v>
      </c>
      <c r="B21" s="20" t="s">
        <v>28</v>
      </c>
      <c r="C21" s="90">
        <v>6.5000000000000002E-2</v>
      </c>
      <c r="D21" s="90">
        <v>6.5000000000000002E-2</v>
      </c>
      <c r="E21" s="13"/>
      <c r="F21" s="13">
        <f t="shared" si="2"/>
        <v>0</v>
      </c>
      <c r="G21" s="97">
        <f t="shared" si="0"/>
        <v>0.65</v>
      </c>
      <c r="H21" s="21">
        <f t="shared" si="0"/>
        <v>0.65</v>
      </c>
      <c r="I21" s="21">
        <f t="shared" si="1"/>
        <v>6.5</v>
      </c>
      <c r="J21" s="21">
        <f t="shared" si="1"/>
        <v>6.5</v>
      </c>
    </row>
    <row r="22" spans="1:10" s="10" customFormat="1" ht="13.35" customHeight="1" x14ac:dyDescent="0.25">
      <c r="A22" s="180">
        <v>4</v>
      </c>
      <c r="B22" s="20" t="s">
        <v>30</v>
      </c>
      <c r="C22" s="90">
        <v>6.0000000000000001E-3</v>
      </c>
      <c r="D22" s="90">
        <v>6.0000000000000001E-3</v>
      </c>
      <c r="E22" s="13">
        <f>цены!F107</f>
        <v>76</v>
      </c>
      <c r="F22" s="13">
        <f t="shared" si="2"/>
        <v>0.46</v>
      </c>
      <c r="G22" s="97">
        <f t="shared" si="0"/>
        <v>0.06</v>
      </c>
      <c r="H22" s="21">
        <f t="shared" si="0"/>
        <v>0.06</v>
      </c>
      <c r="I22" s="21">
        <f t="shared" si="1"/>
        <v>0.6</v>
      </c>
      <c r="J22" s="21">
        <f t="shared" si="1"/>
        <v>0.6</v>
      </c>
    </row>
    <row r="23" spans="1:10" s="10" customFormat="1" ht="13.35" customHeight="1" x14ac:dyDescent="0.25">
      <c r="A23" s="180">
        <v>5</v>
      </c>
      <c r="B23" s="20" t="s">
        <v>33</v>
      </c>
      <c r="C23" s="110">
        <v>2.9999999999999997E-4</v>
      </c>
      <c r="D23" s="110">
        <v>2.9999999999999997E-4</v>
      </c>
      <c r="E23" s="13">
        <f>цены!F110</f>
        <v>24</v>
      </c>
      <c r="F23" s="13">
        <f t="shared" si="2"/>
        <v>0.01</v>
      </c>
      <c r="G23" s="97">
        <f t="shared" si="0"/>
        <v>3.0000000000000001E-3</v>
      </c>
      <c r="H23" s="21">
        <f t="shared" si="0"/>
        <v>3.0000000000000001E-3</v>
      </c>
      <c r="I23" s="21">
        <f t="shared" si="1"/>
        <v>0.03</v>
      </c>
      <c r="J23" s="21">
        <f t="shared" si="1"/>
        <v>0.03</v>
      </c>
    </row>
    <row r="24" spans="1:10" s="10" customFormat="1" ht="15.6" customHeight="1" x14ac:dyDescent="0.25">
      <c r="A24" s="190"/>
      <c r="B24" s="93" t="s">
        <v>71</v>
      </c>
      <c r="C24" s="94"/>
      <c r="D24" s="94">
        <v>0.2</v>
      </c>
      <c r="E24" s="95"/>
      <c r="F24" s="95">
        <f>SUM(F19:F23)</f>
        <v>10.23</v>
      </c>
      <c r="G24" s="99"/>
      <c r="H24" s="100">
        <f>D24*10</f>
        <v>2</v>
      </c>
      <c r="I24" s="100"/>
      <c r="J24" s="100">
        <f>D24*100</f>
        <v>20</v>
      </c>
    </row>
    <row r="25" spans="1:10" s="10" customFormat="1" ht="15.6" customHeight="1" x14ac:dyDescent="0.25">
      <c r="A25" s="129">
        <v>6</v>
      </c>
      <c r="B25" s="123" t="s">
        <v>31</v>
      </c>
      <c r="C25" s="124">
        <v>0.01</v>
      </c>
      <c r="D25" s="124">
        <v>0.01</v>
      </c>
      <c r="E25" s="13">
        <f>цены!F21</f>
        <v>710</v>
      </c>
      <c r="F25" s="13">
        <f>C25*E25</f>
        <v>7.1</v>
      </c>
      <c r="G25" s="97">
        <f>C25*10</f>
        <v>0.1</v>
      </c>
      <c r="H25" s="21">
        <f>D25*10</f>
        <v>0.1</v>
      </c>
      <c r="I25" s="21">
        <f>C25*100</f>
        <v>1</v>
      </c>
      <c r="J25" s="21">
        <f>D25*100</f>
        <v>1</v>
      </c>
    </row>
    <row r="26" spans="1:10" s="10" customFormat="1" ht="14.1" customHeight="1" x14ac:dyDescent="0.25">
      <c r="A26" s="180">
        <v>7</v>
      </c>
      <c r="B26" s="20" t="s">
        <v>30</v>
      </c>
      <c r="C26" s="90">
        <v>0.01</v>
      </c>
      <c r="D26" s="90">
        <v>0.01</v>
      </c>
      <c r="E26" s="13">
        <f>цены!F107</f>
        <v>76</v>
      </c>
      <c r="F26" s="13">
        <f t="shared" si="2"/>
        <v>0.76</v>
      </c>
      <c r="G26" s="97">
        <f>C26*10</f>
        <v>0.1</v>
      </c>
      <c r="H26" s="21">
        <f>D26*10</f>
        <v>0.1</v>
      </c>
      <c r="I26" s="21">
        <f>C26*100</f>
        <v>1</v>
      </c>
      <c r="J26" s="21">
        <f>D26*100</f>
        <v>1</v>
      </c>
    </row>
    <row r="27" spans="1:10" s="10" customFormat="1" ht="15.6" customHeight="1" x14ac:dyDescent="0.25">
      <c r="A27" s="98"/>
      <c r="B27" s="93" t="s">
        <v>117</v>
      </c>
      <c r="C27" s="94"/>
      <c r="D27" s="94">
        <v>220</v>
      </c>
      <c r="E27" s="95"/>
      <c r="F27" s="95">
        <f>F24+F25+F26</f>
        <v>18.09</v>
      </c>
      <c r="G27" s="99"/>
      <c r="H27" s="100">
        <f>D27*10</f>
        <v>2200</v>
      </c>
      <c r="I27" s="100"/>
      <c r="J27" s="100">
        <f>D27*100</f>
        <v>22000</v>
      </c>
    </row>
    <row r="28" spans="1:10" s="10" customFormat="1" ht="27.6" customHeight="1" x14ac:dyDescent="0.25">
      <c r="A28" s="1536" t="s">
        <v>35</v>
      </c>
      <c r="B28" s="1536"/>
      <c r="C28" s="90"/>
      <c r="D28" s="90"/>
      <c r="E28" s="13"/>
      <c r="F28" s="13">
        <f>F27</f>
        <v>18.09</v>
      </c>
      <c r="G28" s="188"/>
      <c r="H28" s="188"/>
      <c r="I28" s="21"/>
      <c r="J28" s="13"/>
    </row>
    <row r="29" spans="1:10" s="10" customFormat="1" ht="25.35" customHeight="1" x14ac:dyDescent="0.25">
      <c r="A29" s="1536" t="s">
        <v>36</v>
      </c>
      <c r="B29" s="1536"/>
      <c r="C29" s="90">
        <v>220</v>
      </c>
      <c r="D29" s="90"/>
      <c r="E29" s="13"/>
      <c r="F29" s="13"/>
      <c r="G29" s="13"/>
      <c r="H29" s="13"/>
      <c r="I29" s="21"/>
      <c r="J29" s="17"/>
    </row>
    <row r="30" spans="1:10" s="10" customFormat="1" ht="25.35" customHeight="1" x14ac:dyDescent="0.25">
      <c r="A30" s="1537" t="s">
        <v>37</v>
      </c>
      <c r="B30" s="1538"/>
      <c r="C30" s="91">
        <v>220</v>
      </c>
      <c r="D30" s="92"/>
      <c r="E30" s="187"/>
      <c r="F30" s="187"/>
      <c r="G30" s="187"/>
      <c r="H30" s="187"/>
      <c r="I30" s="21"/>
      <c r="J30" s="17"/>
    </row>
    <row r="31" spans="1:10" s="10" customFormat="1" ht="15" customHeight="1" x14ac:dyDescent="0.25">
      <c r="A31" s="1539" t="s">
        <v>38</v>
      </c>
      <c r="B31" s="1540"/>
      <c r="C31" s="92">
        <f>C29/C30</f>
        <v>1</v>
      </c>
      <c r="D31" s="92"/>
      <c r="E31" s="187"/>
      <c r="F31" s="187"/>
      <c r="G31" s="187"/>
      <c r="H31" s="187"/>
      <c r="I31" s="21"/>
      <c r="J31" s="17"/>
    </row>
    <row r="32" spans="1:10" ht="16.350000000000001" customHeight="1" x14ac:dyDescent="0.25">
      <c r="A32" s="1541" t="s">
        <v>39</v>
      </c>
      <c r="B32" s="1542"/>
      <c r="C32" s="15" t="s">
        <v>40</v>
      </c>
      <c r="D32" s="102"/>
      <c r="E32" s="102" t="s">
        <v>40</v>
      </c>
      <c r="F32" s="16">
        <f>F28/C31</f>
        <v>18.09</v>
      </c>
      <c r="G32" s="16"/>
      <c r="H32" s="16"/>
      <c r="I32" s="102" t="s">
        <v>40</v>
      </c>
      <c r="J32" s="102" t="s">
        <v>40</v>
      </c>
    </row>
    <row r="33" spans="1:10" ht="23.1" customHeight="1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193"/>
      <c r="B34" s="1194" t="s">
        <v>49</v>
      </c>
      <c r="C34" s="1198"/>
      <c r="D34" s="1198"/>
      <c r="E34" s="1198"/>
      <c r="F34" s="1198"/>
      <c r="G34" s="1193"/>
      <c r="H34" s="1560">
        <f>'1-бутерброд с маслом'!$H$28</f>
        <v>0</v>
      </c>
      <c r="I34" s="1560"/>
      <c r="J34" s="1560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545" t="s">
        <v>327</v>
      </c>
      <c r="B36" s="1545"/>
      <c r="C36" s="1546" t="s">
        <v>328</v>
      </c>
      <c r="D36" s="1546"/>
      <c r="E36" s="1546"/>
      <c r="F36" s="1546"/>
      <c r="G36" s="106"/>
      <c r="H36" s="1531"/>
      <c r="I36" s="1531"/>
      <c r="J36" s="1531"/>
    </row>
    <row r="37" spans="1:10" x14ac:dyDescent="0.25">
      <c r="A37" s="1193"/>
      <c r="B37" s="1193"/>
      <c r="C37" s="1546"/>
      <c r="D37" s="1546"/>
      <c r="E37" s="1546"/>
      <c r="F37" s="1546"/>
      <c r="G37" s="1193"/>
      <c r="H37" s="1531" t="s">
        <v>329</v>
      </c>
      <c r="I37" s="1531"/>
      <c r="J37" s="1531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6:B36"/>
    <mergeCell ref="C36:F37"/>
    <mergeCell ref="H36:J36"/>
    <mergeCell ref="H37:J37"/>
    <mergeCell ref="A29:B29"/>
    <mergeCell ref="A30:B30"/>
    <mergeCell ref="A31:B31"/>
    <mergeCell ref="A32:B32"/>
    <mergeCell ref="H34:J34"/>
    <mergeCell ref="A28:B28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75E5"/>
  </sheetPr>
  <dimension ref="A1:J35"/>
  <sheetViews>
    <sheetView view="pageBreakPreview" topLeftCell="A20" zoomScaleNormal="100" zoomScaleSheetLayoutView="100" workbookViewId="0">
      <selection activeCell="A31" sqref="A31:J35"/>
    </sheetView>
  </sheetViews>
  <sheetFormatPr defaultRowHeight="13.8" x14ac:dyDescent="0.25"/>
  <cols>
    <col min="1" max="1" width="4.109375" customWidth="1"/>
    <col min="2" max="2" width="21" customWidth="1"/>
    <col min="3" max="3" width="8.88671875" customWidth="1"/>
    <col min="4" max="7" width="7.5546875" customWidth="1"/>
    <col min="8" max="8" width="8.88671875" customWidth="1"/>
    <col min="9" max="9" width="7.5546875" customWidth="1"/>
    <col min="10" max="10" width="9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290"/>
      <c r="I6" s="290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13</v>
      </c>
    </row>
    <row r="8" spans="1:10" s="2" customFormat="1" ht="9.6" customHeight="1" x14ac:dyDescent="0.25">
      <c r="A8" s="291"/>
      <c r="B8" s="291"/>
      <c r="C8" s="291"/>
      <c r="D8" s="291"/>
      <c r="E8" s="291"/>
      <c r="F8" s="291"/>
      <c r="G8" s="291"/>
      <c r="H8" s="291"/>
      <c r="I8" s="291"/>
      <c r="J8" s="109"/>
    </row>
    <row r="9" spans="1:10" s="2" customFormat="1" ht="26.1" customHeight="1" x14ac:dyDescent="0.3">
      <c r="A9" s="1550" t="s">
        <v>525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'11-гамбургер с сосиской'!H14+1</f>
        <v>8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87" t="s">
        <v>92</v>
      </c>
      <c r="D17" s="287" t="s">
        <v>94</v>
      </c>
      <c r="E17" s="287" t="s">
        <v>93</v>
      </c>
      <c r="F17" s="287" t="s">
        <v>23</v>
      </c>
      <c r="G17" s="287" t="s">
        <v>92</v>
      </c>
      <c r="H17" s="287" t="s">
        <v>94</v>
      </c>
      <c r="I17" s="287" t="s">
        <v>92</v>
      </c>
      <c r="J17" s="287" t="s">
        <v>94</v>
      </c>
    </row>
    <row r="18" spans="1:10" ht="9.6" customHeight="1" x14ac:dyDescent="0.25">
      <c r="A18" s="287">
        <v>1</v>
      </c>
      <c r="B18" s="289">
        <v>2</v>
      </c>
      <c r="C18" s="287">
        <v>3</v>
      </c>
      <c r="D18" s="289">
        <v>4</v>
      </c>
      <c r="E18" s="287">
        <v>5</v>
      </c>
      <c r="F18" s="289">
        <v>6</v>
      </c>
      <c r="G18" s="287">
        <v>7</v>
      </c>
      <c r="H18" s="289">
        <v>8</v>
      </c>
      <c r="I18" s="287">
        <v>9</v>
      </c>
      <c r="J18" s="289">
        <v>10</v>
      </c>
    </row>
    <row r="19" spans="1:10" s="10" customFormat="1" ht="14.1" customHeight="1" x14ac:dyDescent="0.25">
      <c r="A19" s="180">
        <v>1</v>
      </c>
      <c r="B19" s="20" t="s">
        <v>160</v>
      </c>
      <c r="C19" s="21">
        <v>0.03</v>
      </c>
      <c r="D19" s="21">
        <v>0.03</v>
      </c>
      <c r="E19" s="13">
        <f>'428-булочка школьная 30г'!F33</f>
        <v>1.26</v>
      </c>
      <c r="F19" s="13">
        <f>E19</f>
        <v>1.26</v>
      </c>
      <c r="G19" s="97">
        <f t="shared" ref="G19:H24" si="0">C19*10</f>
        <v>0.3</v>
      </c>
      <c r="H19" s="21">
        <f t="shared" si="0"/>
        <v>0.3</v>
      </c>
      <c r="I19" s="21">
        <f t="shared" ref="I19:J24" si="1">C19*100</f>
        <v>3</v>
      </c>
      <c r="J19" s="21">
        <f t="shared" si="1"/>
        <v>3</v>
      </c>
    </row>
    <row r="20" spans="1:10" s="10" customFormat="1" ht="14.1" customHeight="1" x14ac:dyDescent="0.25">
      <c r="A20" s="180">
        <v>2</v>
      </c>
      <c r="B20" s="20" t="s">
        <v>158</v>
      </c>
      <c r="C20" s="21">
        <v>5.0000000000000001E-3</v>
      </c>
      <c r="D20" s="21">
        <v>5.0000000000000001E-3</v>
      </c>
      <c r="E20" s="13">
        <f>цены!F97</f>
        <v>150</v>
      </c>
      <c r="F20" s="13">
        <f>C20*E20</f>
        <v>0.75</v>
      </c>
      <c r="G20" s="97">
        <f t="shared" si="0"/>
        <v>0.05</v>
      </c>
      <c r="H20" s="21">
        <f t="shared" si="0"/>
        <v>0.05</v>
      </c>
      <c r="I20" s="21">
        <f t="shared" si="1"/>
        <v>0.5</v>
      </c>
      <c r="J20" s="21">
        <f t="shared" si="1"/>
        <v>0.5</v>
      </c>
    </row>
    <row r="21" spans="1:10" s="10" customFormat="1" ht="14.1" customHeight="1" x14ac:dyDescent="0.25">
      <c r="A21" s="180">
        <v>3</v>
      </c>
      <c r="B21" s="20" t="s">
        <v>511</v>
      </c>
      <c r="C21" s="21">
        <v>4.0000000000000001E-3</v>
      </c>
      <c r="D21" s="21">
        <v>4.0000000000000001E-3</v>
      </c>
      <c r="E21" s="13">
        <f>цены!F43</f>
        <v>200</v>
      </c>
      <c r="F21" s="13">
        <f>C21*E21</f>
        <v>0.8</v>
      </c>
      <c r="G21" s="97">
        <f t="shared" si="0"/>
        <v>0.04</v>
      </c>
      <c r="H21" s="21">
        <f t="shared" si="0"/>
        <v>0.04</v>
      </c>
      <c r="I21" s="21">
        <f t="shared" si="1"/>
        <v>0.4</v>
      </c>
      <c r="J21" s="21">
        <f t="shared" si="1"/>
        <v>0.4</v>
      </c>
    </row>
    <row r="22" spans="1:10" s="10" customFormat="1" ht="14.1" customHeight="1" x14ac:dyDescent="0.25">
      <c r="A22" s="180">
        <v>4</v>
      </c>
      <c r="B22" s="20" t="s">
        <v>159</v>
      </c>
      <c r="C22" s="21">
        <v>1.2999999999999999E-2</v>
      </c>
      <c r="D22" s="21">
        <v>0.01</v>
      </c>
      <c r="E22" s="13">
        <f>цены!F101</f>
        <v>120</v>
      </c>
      <c r="F22" s="13">
        <f>C22*E22</f>
        <v>1.56</v>
      </c>
      <c r="G22" s="97">
        <f t="shared" si="0"/>
        <v>0.13</v>
      </c>
      <c r="H22" s="21">
        <f t="shared" si="0"/>
        <v>0.1</v>
      </c>
      <c r="I22" s="21">
        <f t="shared" si="1"/>
        <v>1.3</v>
      </c>
      <c r="J22" s="21">
        <f t="shared" si="1"/>
        <v>1</v>
      </c>
    </row>
    <row r="23" spans="1:10" s="10" customFormat="1" ht="12" customHeight="1" x14ac:dyDescent="0.25">
      <c r="A23" s="180">
        <v>5</v>
      </c>
      <c r="B23" s="20" t="s">
        <v>510</v>
      </c>
      <c r="C23" s="111">
        <v>4.5999999999999999E-3</v>
      </c>
      <c r="D23" s="21">
        <v>4.0000000000000001E-3</v>
      </c>
      <c r="E23" s="13">
        <f>цены!F30</f>
        <v>152.16999999999999</v>
      </c>
      <c r="F23" s="13">
        <f>C23*E23</f>
        <v>0.7</v>
      </c>
      <c r="G23" s="97">
        <f t="shared" si="0"/>
        <v>4.5999999999999999E-2</v>
      </c>
      <c r="H23" s="21">
        <f t="shared" si="0"/>
        <v>0.04</v>
      </c>
      <c r="I23" s="21">
        <f t="shared" si="1"/>
        <v>0.46</v>
      </c>
      <c r="J23" s="21">
        <f t="shared" si="1"/>
        <v>0.4</v>
      </c>
    </row>
    <row r="24" spans="1:10" s="10" customFormat="1" ht="12" customHeight="1" x14ac:dyDescent="0.25">
      <c r="A24" s="180">
        <v>6</v>
      </c>
      <c r="B24" s="20" t="s">
        <v>323</v>
      </c>
      <c r="C24" s="111">
        <v>1.03E-2</v>
      </c>
      <c r="D24" s="111">
        <v>0.01</v>
      </c>
      <c r="E24" s="13">
        <f>цены!F22</f>
        <v>719</v>
      </c>
      <c r="F24" s="13">
        <f>C24*E24</f>
        <v>7.41</v>
      </c>
      <c r="G24" s="97">
        <f t="shared" si="0"/>
        <v>0.10299999999999999</v>
      </c>
      <c r="H24" s="21">
        <f t="shared" si="0"/>
        <v>0.1</v>
      </c>
      <c r="I24" s="21">
        <f t="shared" si="1"/>
        <v>1.03</v>
      </c>
      <c r="J24" s="21">
        <f t="shared" si="1"/>
        <v>1</v>
      </c>
    </row>
    <row r="25" spans="1:10" s="10" customFormat="1" ht="12" customHeight="1" x14ac:dyDescent="0.25">
      <c r="A25" s="98"/>
      <c r="B25" s="93" t="s">
        <v>100</v>
      </c>
      <c r="C25" s="100"/>
      <c r="D25" s="100">
        <v>6.2E-2</v>
      </c>
      <c r="E25" s="95"/>
      <c r="F25" s="95">
        <f>SUM(F19:F24)</f>
        <v>12.48</v>
      </c>
      <c r="G25" s="99"/>
      <c r="H25" s="100">
        <f>D25*10</f>
        <v>0.62</v>
      </c>
      <c r="I25" s="100"/>
      <c r="J25" s="100">
        <f>D25*100</f>
        <v>6.2</v>
      </c>
    </row>
    <row r="26" spans="1:10" s="10" customFormat="1" ht="27.6" customHeight="1" x14ac:dyDescent="0.25">
      <c r="A26" s="1536" t="s">
        <v>35</v>
      </c>
      <c r="B26" s="1536"/>
      <c r="C26" s="90"/>
      <c r="D26" s="90"/>
      <c r="E26" s="13"/>
      <c r="F26" s="13">
        <f>F25</f>
        <v>12.48</v>
      </c>
      <c r="G26" s="288"/>
      <c r="H26" s="288"/>
      <c r="I26" s="21"/>
      <c r="J26" s="13"/>
    </row>
    <row r="27" spans="1:10" s="10" customFormat="1" ht="25.35" customHeight="1" x14ac:dyDescent="0.25">
      <c r="A27" s="1536" t="s">
        <v>36</v>
      </c>
      <c r="B27" s="1536"/>
      <c r="C27" s="90">
        <v>62</v>
      </c>
      <c r="D27" s="90"/>
      <c r="E27" s="13"/>
      <c r="F27" s="13"/>
      <c r="G27" s="13"/>
      <c r="H27" s="13"/>
      <c r="I27" s="21"/>
      <c r="J27" s="17"/>
    </row>
    <row r="28" spans="1:10" s="10" customFormat="1" ht="25.35" customHeight="1" x14ac:dyDescent="0.25">
      <c r="A28" s="1537" t="s">
        <v>37</v>
      </c>
      <c r="B28" s="1538"/>
      <c r="C28" s="91">
        <v>62</v>
      </c>
      <c r="D28" s="92"/>
      <c r="E28" s="289"/>
      <c r="F28" s="289"/>
      <c r="G28" s="289"/>
      <c r="H28" s="289"/>
      <c r="I28" s="21"/>
      <c r="J28" s="17"/>
    </row>
    <row r="29" spans="1:10" s="10" customFormat="1" ht="15" customHeight="1" x14ac:dyDescent="0.25">
      <c r="A29" s="1539" t="s">
        <v>38</v>
      </c>
      <c r="B29" s="1540"/>
      <c r="C29" s="92">
        <f>C27/C28</f>
        <v>1</v>
      </c>
      <c r="D29" s="92"/>
      <c r="E29" s="289"/>
      <c r="F29" s="289"/>
      <c r="G29" s="289"/>
      <c r="H29" s="289"/>
      <c r="I29" s="21"/>
      <c r="J29" s="17"/>
    </row>
    <row r="30" spans="1:10" ht="16.350000000000001" customHeight="1" x14ac:dyDescent="0.25">
      <c r="A30" s="1541" t="s">
        <v>39</v>
      </c>
      <c r="B30" s="1542"/>
      <c r="C30" s="15" t="s">
        <v>40</v>
      </c>
      <c r="D30" s="102"/>
      <c r="E30" s="102" t="s">
        <v>40</v>
      </c>
      <c r="F30" s="16">
        <f>F26/C29</f>
        <v>12.48</v>
      </c>
      <c r="G30" s="16"/>
      <c r="H30" s="16"/>
      <c r="I30" s="102" t="s">
        <v>40</v>
      </c>
      <c r="J30" s="102" t="s">
        <v>40</v>
      </c>
    </row>
    <row r="31" spans="1:10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ht="13.95" customHeight="1" x14ac:dyDescent="0.25">
      <c r="A32" s="1193"/>
      <c r="B32" s="1194" t="s">
        <v>49</v>
      </c>
      <c r="C32" s="1198"/>
      <c r="D32" s="1198"/>
      <c r="E32" s="1198"/>
      <c r="F32" s="1198"/>
      <c r="G32" s="1193"/>
      <c r="H32" s="1557">
        <f>'1-бутерброд с маслом'!$H$28</f>
        <v>0</v>
      </c>
      <c r="I32" s="1557"/>
      <c r="J32" s="1557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545" t="s">
        <v>327</v>
      </c>
      <c r="B34" s="1545"/>
      <c r="C34" s="1546" t="s">
        <v>328</v>
      </c>
      <c r="D34" s="1546"/>
      <c r="E34" s="1546"/>
      <c r="F34" s="1546"/>
      <c r="G34" s="106"/>
      <c r="H34" s="1531"/>
      <c r="I34" s="1531"/>
      <c r="J34" s="1531"/>
    </row>
    <row r="35" spans="1:10" x14ac:dyDescent="0.25">
      <c r="A35" s="1193"/>
      <c r="B35" s="1193"/>
      <c r="C35" s="1546"/>
      <c r="D35" s="1546"/>
      <c r="E35" s="1546"/>
      <c r="F35" s="1546"/>
      <c r="G35" s="1193"/>
      <c r="H35" s="1531" t="s">
        <v>329</v>
      </c>
      <c r="I35" s="1531"/>
      <c r="J35" s="1531"/>
    </row>
  </sheetData>
  <mergeCells count="28">
    <mergeCell ref="A13:G13"/>
    <mergeCell ref="H32:J32"/>
    <mergeCell ref="A27:B27"/>
    <mergeCell ref="A28:B28"/>
    <mergeCell ref="A29:B29"/>
    <mergeCell ref="A30:B30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4:B34"/>
    <mergeCell ref="C34:F35"/>
    <mergeCell ref="H34:J34"/>
    <mergeCell ref="H35:J35"/>
    <mergeCell ref="H5:I5"/>
    <mergeCell ref="A6:G6"/>
    <mergeCell ref="A7:I7"/>
    <mergeCell ref="A26:B26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0E428"/>
  </sheetPr>
  <dimension ref="A1:J40"/>
  <sheetViews>
    <sheetView view="pageBreakPreview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564" customWidth="1"/>
    <col min="2" max="2" width="21.109375" style="564" customWidth="1"/>
    <col min="3" max="7" width="7.5546875" style="564" customWidth="1"/>
    <col min="8" max="8" width="8.88671875" style="564" customWidth="1"/>
    <col min="9" max="9" width="7.5546875" style="564" customWidth="1"/>
    <col min="10" max="10" width="9" style="564" customWidth="1"/>
    <col min="11" max="11" width="3.33203125" style="564" customWidth="1"/>
    <col min="12" max="16384" width="8.88671875" style="564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125)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177</v>
      </c>
    </row>
    <row r="8" spans="1:10" s="2" customFormat="1" ht="9.6" customHeight="1" x14ac:dyDescent="0.25">
      <c r="A8" s="569"/>
      <c r="B8" s="569"/>
      <c r="C8" s="569"/>
      <c r="D8" s="569"/>
      <c r="E8" s="569"/>
      <c r="F8" s="569"/>
      <c r="G8" s="569"/>
      <c r="H8" s="569"/>
      <c r="I8" s="569"/>
      <c r="J8" s="109"/>
    </row>
    <row r="9" spans="1:10" s="2" customFormat="1" ht="26.1" customHeight="1" x14ac:dyDescent="0.3">
      <c r="A9" s="1550" t="s">
        <v>842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'174-каша перловая вяз.'!H14+1</f>
        <v>125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565" t="s">
        <v>92</v>
      </c>
      <c r="D17" s="565" t="s">
        <v>94</v>
      </c>
      <c r="E17" s="565" t="s">
        <v>93</v>
      </c>
      <c r="F17" s="565" t="s">
        <v>23</v>
      </c>
      <c r="G17" s="565" t="s">
        <v>92</v>
      </c>
      <c r="H17" s="565" t="s">
        <v>94</v>
      </c>
      <c r="I17" s="565" t="s">
        <v>92</v>
      </c>
      <c r="J17" s="565" t="s">
        <v>94</v>
      </c>
    </row>
    <row r="18" spans="1:10" ht="9.6" customHeight="1" x14ac:dyDescent="0.25">
      <c r="A18" s="565">
        <v>1</v>
      </c>
      <c r="B18" s="567">
        <v>2</v>
      </c>
      <c r="C18" s="565">
        <v>3</v>
      </c>
      <c r="D18" s="567">
        <v>4</v>
      </c>
      <c r="E18" s="565">
        <v>5</v>
      </c>
      <c r="F18" s="567">
        <v>6</v>
      </c>
      <c r="G18" s="565">
        <v>7</v>
      </c>
      <c r="H18" s="567">
        <v>8</v>
      </c>
      <c r="I18" s="565">
        <v>9</v>
      </c>
      <c r="J18" s="567">
        <v>10</v>
      </c>
    </row>
    <row r="19" spans="1:10" s="10" customFormat="1" ht="14.1" customHeight="1" x14ac:dyDescent="0.25">
      <c r="A19" s="180">
        <v>1</v>
      </c>
      <c r="B19" s="20" t="s">
        <v>379</v>
      </c>
      <c r="C19" s="90">
        <v>4.3999999999999997E-2</v>
      </c>
      <c r="D19" s="90">
        <v>4.3999999999999997E-2</v>
      </c>
      <c r="E19" s="408">
        <f>цены!F82</f>
        <v>60</v>
      </c>
      <c r="F19" s="408">
        <f>C19*E19</f>
        <v>2.64</v>
      </c>
      <c r="G19" s="97">
        <f t="shared" ref="G19:H23" si="0">C19*10</f>
        <v>0.44</v>
      </c>
      <c r="H19" s="21">
        <f t="shared" si="0"/>
        <v>0.44</v>
      </c>
      <c r="I19" s="21">
        <f t="shared" ref="I19:J23" si="1">C19*100</f>
        <v>4.4000000000000004</v>
      </c>
      <c r="J19" s="21">
        <f t="shared" si="1"/>
        <v>4.4000000000000004</v>
      </c>
    </row>
    <row r="20" spans="1:10" s="10" customFormat="1" ht="14.1" customHeight="1" x14ac:dyDescent="0.25">
      <c r="A20" s="180">
        <v>2</v>
      </c>
      <c r="B20" s="20" t="s">
        <v>34</v>
      </c>
      <c r="C20" s="90">
        <v>0.1</v>
      </c>
      <c r="D20" s="90">
        <v>0.1</v>
      </c>
      <c r="E20" s="408">
        <f>цены!F20</f>
        <v>80</v>
      </c>
      <c r="F20" s="408">
        <f>C20*E20</f>
        <v>8</v>
      </c>
      <c r="G20" s="97">
        <f t="shared" si="0"/>
        <v>1</v>
      </c>
      <c r="H20" s="21">
        <f t="shared" si="0"/>
        <v>1</v>
      </c>
      <c r="I20" s="21">
        <f t="shared" si="1"/>
        <v>10</v>
      </c>
      <c r="J20" s="21">
        <f t="shared" si="1"/>
        <v>10</v>
      </c>
    </row>
    <row r="21" spans="1:10" s="10" customFormat="1" ht="14.1" customHeight="1" x14ac:dyDescent="0.25">
      <c r="A21" s="180">
        <v>3</v>
      </c>
      <c r="B21" s="20" t="s">
        <v>28</v>
      </c>
      <c r="C21" s="90">
        <v>5.5E-2</v>
      </c>
      <c r="D21" s="90">
        <v>5.5E-2</v>
      </c>
      <c r="E21" s="408"/>
      <c r="F21" s="408">
        <f>C21*E21</f>
        <v>0</v>
      </c>
      <c r="G21" s="97">
        <f t="shared" si="0"/>
        <v>0.55000000000000004</v>
      </c>
      <c r="H21" s="21">
        <f t="shared" si="0"/>
        <v>0.55000000000000004</v>
      </c>
      <c r="I21" s="21">
        <f t="shared" si="1"/>
        <v>5.5</v>
      </c>
      <c r="J21" s="21">
        <f t="shared" si="1"/>
        <v>5.5</v>
      </c>
    </row>
    <row r="22" spans="1:10" s="10" customFormat="1" ht="14.1" customHeight="1" x14ac:dyDescent="0.25">
      <c r="A22" s="180">
        <v>4</v>
      </c>
      <c r="B22" s="20" t="s">
        <v>30</v>
      </c>
      <c r="C22" s="90">
        <v>6.0000000000000001E-3</v>
      </c>
      <c r="D22" s="90">
        <v>6.0000000000000001E-3</v>
      </c>
      <c r="E22" s="408">
        <f>цены!F107</f>
        <v>76</v>
      </c>
      <c r="F22" s="408">
        <f>C22*E22</f>
        <v>0.46</v>
      </c>
      <c r="G22" s="97">
        <f t="shared" si="0"/>
        <v>0.06</v>
      </c>
      <c r="H22" s="21">
        <f t="shared" si="0"/>
        <v>0.06</v>
      </c>
      <c r="I22" s="21">
        <f t="shared" si="1"/>
        <v>0.6</v>
      </c>
      <c r="J22" s="21">
        <f t="shared" si="1"/>
        <v>0.6</v>
      </c>
    </row>
    <row r="23" spans="1:10" s="10" customFormat="1" ht="14.1" customHeight="1" x14ac:dyDescent="0.25">
      <c r="A23" s="180">
        <v>5</v>
      </c>
      <c r="B23" s="20" t="s">
        <v>200</v>
      </c>
      <c r="C23" s="110">
        <v>1.0200000000000001E-2</v>
      </c>
      <c r="D23" s="110">
        <v>0.01</v>
      </c>
      <c r="E23" s="408">
        <f>цены!F94</f>
        <v>400</v>
      </c>
      <c r="F23" s="408">
        <f>C23*E23</f>
        <v>4.08</v>
      </c>
      <c r="G23" s="97">
        <f t="shared" si="0"/>
        <v>0.10199999999999999</v>
      </c>
      <c r="H23" s="21">
        <f t="shared" si="0"/>
        <v>0.1</v>
      </c>
      <c r="I23" s="21">
        <f t="shared" si="1"/>
        <v>1.02</v>
      </c>
      <c r="J23" s="21">
        <f t="shared" si="1"/>
        <v>1</v>
      </c>
    </row>
    <row r="24" spans="1:10" s="10" customFormat="1" ht="14.1" customHeight="1" x14ac:dyDescent="0.25">
      <c r="A24" s="416"/>
      <c r="B24" s="93" t="s">
        <v>71</v>
      </c>
      <c r="C24" s="94"/>
      <c r="D24" s="94">
        <v>0.2</v>
      </c>
      <c r="E24" s="95"/>
      <c r="F24" s="95">
        <f>SUM(F19:F23)</f>
        <v>15.18</v>
      </c>
      <c r="G24" s="99"/>
      <c r="H24" s="100">
        <f>D24*10</f>
        <v>2</v>
      </c>
      <c r="I24" s="100"/>
      <c r="J24" s="100">
        <f>D24*100</f>
        <v>20</v>
      </c>
    </row>
    <row r="25" spans="1:10" s="10" customFormat="1" ht="14.1" customHeight="1" x14ac:dyDescent="0.25">
      <c r="A25" s="129">
        <v>6</v>
      </c>
      <c r="B25" s="123" t="s">
        <v>31</v>
      </c>
      <c r="C25" s="124">
        <v>0.01</v>
      </c>
      <c r="D25" s="124">
        <v>0.01</v>
      </c>
      <c r="E25" s="408">
        <f>цены!F21</f>
        <v>710</v>
      </c>
      <c r="F25" s="408">
        <f>C25*E25</f>
        <v>7.1</v>
      </c>
      <c r="G25" s="97">
        <f>C25*10</f>
        <v>0.1</v>
      </c>
      <c r="H25" s="21">
        <f>D25*10</f>
        <v>0.1</v>
      </c>
      <c r="I25" s="21">
        <f>C25*100</f>
        <v>1</v>
      </c>
      <c r="J25" s="21">
        <f>D25*100</f>
        <v>1</v>
      </c>
    </row>
    <row r="26" spans="1:10" s="10" customFormat="1" ht="14.1" customHeight="1" x14ac:dyDescent="0.25">
      <c r="A26" s="98"/>
      <c r="B26" s="93" t="s">
        <v>117</v>
      </c>
      <c r="C26" s="94"/>
      <c r="D26" s="94">
        <v>210</v>
      </c>
      <c r="E26" s="95"/>
      <c r="F26" s="95">
        <f>F24+F25</f>
        <v>22.28</v>
      </c>
      <c r="G26" s="99"/>
      <c r="H26" s="100">
        <f>D26*10</f>
        <v>2100</v>
      </c>
      <c r="I26" s="100"/>
      <c r="J26" s="100">
        <f>D26*100</f>
        <v>21000</v>
      </c>
    </row>
    <row r="27" spans="1:10" s="10" customFormat="1" ht="27.6" customHeight="1" x14ac:dyDescent="0.25">
      <c r="A27" s="1536" t="s">
        <v>35</v>
      </c>
      <c r="B27" s="1536"/>
      <c r="C27" s="90"/>
      <c r="D27" s="90"/>
      <c r="E27" s="408"/>
      <c r="F27" s="408">
        <f>F26</f>
        <v>22.28</v>
      </c>
      <c r="G27" s="566"/>
      <c r="H27" s="566"/>
      <c r="I27" s="21"/>
      <c r="J27" s="408"/>
    </row>
    <row r="28" spans="1:10" s="10" customFormat="1" ht="25.35" customHeight="1" x14ac:dyDescent="0.25">
      <c r="A28" s="1536" t="s">
        <v>36</v>
      </c>
      <c r="B28" s="1536"/>
      <c r="C28" s="90">
        <v>210</v>
      </c>
      <c r="D28" s="90"/>
      <c r="E28" s="408"/>
      <c r="F28" s="408"/>
      <c r="G28" s="408"/>
      <c r="H28" s="408"/>
      <c r="I28" s="21"/>
      <c r="J28" s="17"/>
    </row>
    <row r="29" spans="1:10" s="10" customFormat="1" ht="25.35" customHeight="1" x14ac:dyDescent="0.25">
      <c r="A29" s="1537" t="s">
        <v>37</v>
      </c>
      <c r="B29" s="1538"/>
      <c r="C29" s="91">
        <v>210</v>
      </c>
      <c r="D29" s="92"/>
      <c r="E29" s="567"/>
      <c r="F29" s="567"/>
      <c r="G29" s="567"/>
      <c r="H29" s="567"/>
      <c r="I29" s="21"/>
      <c r="J29" s="17"/>
    </row>
    <row r="30" spans="1:10" s="10" customFormat="1" ht="15" customHeight="1" x14ac:dyDescent="0.25">
      <c r="A30" s="1539" t="s">
        <v>38</v>
      </c>
      <c r="B30" s="1540"/>
      <c r="C30" s="92">
        <f>C28/C29</f>
        <v>1</v>
      </c>
      <c r="D30" s="92"/>
      <c r="E30" s="567"/>
      <c r="F30" s="567"/>
      <c r="G30" s="567"/>
      <c r="H30" s="567"/>
      <c r="I30" s="21"/>
      <c r="J30" s="17"/>
    </row>
    <row r="31" spans="1:10" ht="16.350000000000001" customHeight="1" x14ac:dyDescent="0.25">
      <c r="A31" s="1541" t="s">
        <v>39</v>
      </c>
      <c r="B31" s="1542"/>
      <c r="C31" s="15" t="s">
        <v>40</v>
      </c>
      <c r="D31" s="102"/>
      <c r="E31" s="102" t="s">
        <v>40</v>
      </c>
      <c r="F31" s="16">
        <f>F27/C30</f>
        <v>22.28</v>
      </c>
      <c r="G31" s="16"/>
      <c r="H31" s="16"/>
      <c r="I31" s="102" t="s">
        <v>40</v>
      </c>
      <c r="J31" s="102" t="s">
        <v>40</v>
      </c>
    </row>
    <row r="32" spans="1:10" ht="23.1" customHeight="1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193"/>
      <c r="B33" s="1194" t="s">
        <v>49</v>
      </c>
      <c r="C33" s="1198"/>
      <c r="D33" s="1198"/>
      <c r="E33" s="1198"/>
      <c r="F33" s="1198"/>
      <c r="G33" s="1193"/>
      <c r="H33" s="1560">
        <f>'1-бутерброд с маслом'!$H$28</f>
        <v>0</v>
      </c>
      <c r="I33" s="1560"/>
      <c r="J33" s="1560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545" t="s">
        <v>327</v>
      </c>
      <c r="B35" s="1545"/>
      <c r="C35" s="1546" t="s">
        <v>328</v>
      </c>
      <c r="D35" s="1546"/>
      <c r="E35" s="1546"/>
      <c r="F35" s="1546"/>
      <c r="G35" s="106"/>
      <c r="H35" s="1531"/>
      <c r="I35" s="1531"/>
      <c r="J35" s="1531"/>
    </row>
    <row r="36" spans="1:10" x14ac:dyDescent="0.25">
      <c r="A36" s="1193"/>
      <c r="B36" s="1193"/>
      <c r="C36" s="1546"/>
      <c r="D36" s="1546"/>
      <c r="E36" s="1546"/>
      <c r="F36" s="1546"/>
      <c r="G36" s="1193"/>
      <c r="H36" s="1531" t="s">
        <v>329</v>
      </c>
      <c r="I36" s="1531"/>
      <c r="J36" s="1531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</sheetData>
  <mergeCells count="28">
    <mergeCell ref="H33:J33"/>
    <mergeCell ref="A13:G13"/>
    <mergeCell ref="A28:B28"/>
    <mergeCell ref="A29:B29"/>
    <mergeCell ref="A30:B30"/>
    <mergeCell ref="A31:B31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5:B35"/>
    <mergeCell ref="C35:F36"/>
    <mergeCell ref="H35:J35"/>
    <mergeCell ref="H36:J36"/>
    <mergeCell ref="H5:I5"/>
    <mergeCell ref="A6:G6"/>
    <mergeCell ref="A7:I7"/>
    <mergeCell ref="A27:B27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E8EE3"/>
  </sheetPr>
  <dimension ref="A1:J40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126)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181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621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'177-каша пшенная с изюм'!H14+1</f>
        <v>126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3.35" customHeight="1" x14ac:dyDescent="0.25">
      <c r="A19" s="180">
        <v>1</v>
      </c>
      <c r="B19" s="20" t="s">
        <v>66</v>
      </c>
      <c r="C19" s="90">
        <v>3.1E-2</v>
      </c>
      <c r="D19" s="90">
        <v>3.1E-2</v>
      </c>
      <c r="E19" s="13">
        <f>цены!F76</f>
        <v>40</v>
      </c>
      <c r="F19" s="13">
        <f>C19*E19</f>
        <v>1.24</v>
      </c>
      <c r="G19" s="97">
        <f t="shared" ref="G19:H22" si="0">C19*10</f>
        <v>0.31</v>
      </c>
      <c r="H19" s="21">
        <f t="shared" si="0"/>
        <v>0.31</v>
      </c>
      <c r="I19" s="21">
        <f t="shared" ref="I19:J22" si="1">C19*100</f>
        <v>3.1</v>
      </c>
      <c r="J19" s="21">
        <f t="shared" si="1"/>
        <v>3.1</v>
      </c>
    </row>
    <row r="20" spans="1:10" s="10" customFormat="1" ht="13.35" customHeight="1" x14ac:dyDescent="0.25">
      <c r="A20" s="180">
        <v>2</v>
      </c>
      <c r="B20" s="20" t="s">
        <v>34</v>
      </c>
      <c r="C20" s="90">
        <v>0.1</v>
      </c>
      <c r="D20" s="90">
        <v>0.1</v>
      </c>
      <c r="E20" s="13">
        <f>цены!F20</f>
        <v>80</v>
      </c>
      <c r="F20" s="13">
        <f t="shared" ref="F20:F25" si="2">C20*E20</f>
        <v>8</v>
      </c>
      <c r="G20" s="97">
        <f t="shared" si="0"/>
        <v>1</v>
      </c>
      <c r="H20" s="21">
        <f t="shared" si="0"/>
        <v>1</v>
      </c>
      <c r="I20" s="21">
        <f t="shared" si="1"/>
        <v>10</v>
      </c>
      <c r="J20" s="21">
        <f t="shared" si="1"/>
        <v>10</v>
      </c>
    </row>
    <row r="21" spans="1:10" s="10" customFormat="1" ht="13.35" customHeight="1" x14ac:dyDescent="0.25">
      <c r="A21" s="180">
        <v>3</v>
      </c>
      <c r="B21" s="20" t="s">
        <v>28</v>
      </c>
      <c r="C21" s="90">
        <v>7.4999999999999997E-2</v>
      </c>
      <c r="D21" s="90">
        <v>7.4999999999999997E-2</v>
      </c>
      <c r="E21" s="13"/>
      <c r="F21" s="13">
        <f t="shared" si="2"/>
        <v>0</v>
      </c>
      <c r="G21" s="97">
        <f t="shared" si="0"/>
        <v>0.75</v>
      </c>
      <c r="H21" s="21">
        <f t="shared" si="0"/>
        <v>0.75</v>
      </c>
      <c r="I21" s="21">
        <f t="shared" si="1"/>
        <v>7.5</v>
      </c>
      <c r="J21" s="21">
        <f t="shared" si="1"/>
        <v>7.5</v>
      </c>
    </row>
    <row r="22" spans="1:10" s="10" customFormat="1" ht="13.35" customHeight="1" x14ac:dyDescent="0.25">
      <c r="A22" s="180">
        <v>4</v>
      </c>
      <c r="B22" s="20" t="s">
        <v>30</v>
      </c>
      <c r="C22" s="90">
        <v>6.0000000000000001E-3</v>
      </c>
      <c r="D22" s="90">
        <v>6.0000000000000001E-3</v>
      </c>
      <c r="E22" s="13">
        <f>цены!F107</f>
        <v>76</v>
      </c>
      <c r="F22" s="13">
        <f t="shared" si="2"/>
        <v>0.46</v>
      </c>
      <c r="G22" s="97">
        <f t="shared" si="0"/>
        <v>0.06</v>
      </c>
      <c r="H22" s="21">
        <f t="shared" si="0"/>
        <v>0.06</v>
      </c>
      <c r="I22" s="21">
        <f t="shared" si="1"/>
        <v>0.6</v>
      </c>
      <c r="J22" s="21">
        <f t="shared" si="1"/>
        <v>0.6</v>
      </c>
    </row>
    <row r="23" spans="1:10" s="10" customFormat="1" ht="13.35" customHeight="1" x14ac:dyDescent="0.25">
      <c r="A23" s="190"/>
      <c r="B23" s="93" t="s">
        <v>71</v>
      </c>
      <c r="C23" s="94"/>
      <c r="D23" s="94">
        <v>0.2</v>
      </c>
      <c r="E23" s="95"/>
      <c r="F23" s="95">
        <f>SUM(F19:F22)</f>
        <v>9.6999999999999993</v>
      </c>
      <c r="G23" s="99"/>
      <c r="H23" s="100">
        <f>D23*10</f>
        <v>2</v>
      </c>
      <c r="I23" s="100"/>
      <c r="J23" s="100">
        <f>D23*100</f>
        <v>20</v>
      </c>
    </row>
    <row r="24" spans="1:10" s="10" customFormat="1" ht="13.35" customHeight="1" x14ac:dyDescent="0.25">
      <c r="A24" s="129">
        <v>5</v>
      </c>
      <c r="B24" s="123" t="s">
        <v>31</v>
      </c>
      <c r="C24" s="124">
        <v>0.01</v>
      </c>
      <c r="D24" s="124">
        <v>0.01</v>
      </c>
      <c r="E24" s="13">
        <f>цены!F21</f>
        <v>710</v>
      </c>
      <c r="F24" s="13">
        <f>C24*E24</f>
        <v>7.1</v>
      </c>
      <c r="G24" s="97">
        <f>C24*10</f>
        <v>0.1</v>
      </c>
      <c r="H24" s="21">
        <f>D24*10</f>
        <v>0.1</v>
      </c>
      <c r="I24" s="21">
        <f>C24*100</f>
        <v>1</v>
      </c>
      <c r="J24" s="21">
        <f>D24*100</f>
        <v>1</v>
      </c>
    </row>
    <row r="25" spans="1:10" s="10" customFormat="1" ht="13.35" customHeight="1" x14ac:dyDescent="0.25">
      <c r="A25" s="180">
        <v>6</v>
      </c>
      <c r="B25" s="20" t="s">
        <v>30</v>
      </c>
      <c r="C25" s="90">
        <v>0.01</v>
      </c>
      <c r="D25" s="90">
        <v>0.01</v>
      </c>
      <c r="E25" s="13">
        <f>цены!F107</f>
        <v>76</v>
      </c>
      <c r="F25" s="13">
        <f t="shared" si="2"/>
        <v>0.76</v>
      </c>
      <c r="G25" s="97">
        <f>C25*10</f>
        <v>0.1</v>
      </c>
      <c r="H25" s="21">
        <f>D25*10</f>
        <v>0.1</v>
      </c>
      <c r="I25" s="21">
        <f>C25*100</f>
        <v>1</v>
      </c>
      <c r="J25" s="21">
        <f>D25*100</f>
        <v>1</v>
      </c>
    </row>
    <row r="26" spans="1:10" s="10" customFormat="1" ht="13.35" customHeight="1" x14ac:dyDescent="0.25">
      <c r="A26" s="184"/>
      <c r="B26" s="93" t="s">
        <v>117</v>
      </c>
      <c r="C26" s="94"/>
      <c r="D26" s="94">
        <v>220</v>
      </c>
      <c r="E26" s="95"/>
      <c r="F26" s="95">
        <f>F23+F24+F25</f>
        <v>17.559999999999999</v>
      </c>
      <c r="G26" s="99"/>
      <c r="H26" s="100">
        <f>D26*10</f>
        <v>2200</v>
      </c>
      <c r="I26" s="100"/>
      <c r="J26" s="100">
        <f>D26*100</f>
        <v>22000</v>
      </c>
    </row>
    <row r="27" spans="1:10" s="10" customFormat="1" ht="27.6" customHeight="1" x14ac:dyDescent="0.25">
      <c r="A27" s="1536" t="s">
        <v>35</v>
      </c>
      <c r="B27" s="1536"/>
      <c r="C27" s="90"/>
      <c r="D27" s="90"/>
      <c r="E27" s="13"/>
      <c r="F27" s="13">
        <f>F26</f>
        <v>17.559999999999999</v>
      </c>
      <c r="G27" s="14"/>
      <c r="H27" s="14"/>
      <c r="I27" s="21"/>
      <c r="J27" s="13"/>
    </row>
    <row r="28" spans="1:10" s="10" customFormat="1" ht="25.35" customHeight="1" x14ac:dyDescent="0.25">
      <c r="A28" s="1536" t="s">
        <v>36</v>
      </c>
      <c r="B28" s="1536"/>
      <c r="C28" s="90">
        <v>220</v>
      </c>
      <c r="D28" s="90"/>
      <c r="E28" s="13"/>
      <c r="F28" s="13"/>
      <c r="G28" s="13"/>
      <c r="H28" s="13"/>
      <c r="I28" s="21"/>
      <c r="J28" s="17"/>
    </row>
    <row r="29" spans="1:10" s="10" customFormat="1" ht="25.35" customHeight="1" x14ac:dyDescent="0.25">
      <c r="A29" s="1537" t="s">
        <v>37</v>
      </c>
      <c r="B29" s="1538"/>
      <c r="C29" s="91">
        <v>220</v>
      </c>
      <c r="D29" s="92"/>
      <c r="E29" s="5"/>
      <c r="F29" s="5"/>
      <c r="G29" s="5"/>
      <c r="H29" s="5"/>
      <c r="I29" s="21"/>
      <c r="J29" s="17"/>
    </row>
    <row r="30" spans="1:10" s="10" customFormat="1" ht="15" customHeight="1" x14ac:dyDescent="0.25">
      <c r="A30" s="1539" t="s">
        <v>38</v>
      </c>
      <c r="B30" s="1540"/>
      <c r="C30" s="92">
        <f>C28/C29</f>
        <v>1</v>
      </c>
      <c r="D30" s="92"/>
      <c r="E30" s="5"/>
      <c r="F30" s="5"/>
      <c r="G30" s="5"/>
      <c r="H30" s="5"/>
      <c r="I30" s="21"/>
      <c r="J30" s="17"/>
    </row>
    <row r="31" spans="1:10" ht="16.350000000000001" customHeight="1" x14ac:dyDescent="0.25">
      <c r="A31" s="1541" t="s">
        <v>39</v>
      </c>
      <c r="B31" s="1542"/>
      <c r="C31" s="15" t="s">
        <v>40</v>
      </c>
      <c r="D31" s="102"/>
      <c r="E31" s="102" t="s">
        <v>40</v>
      </c>
      <c r="F31" s="16">
        <f>F27/C30</f>
        <v>17.559999999999999</v>
      </c>
      <c r="G31" s="16"/>
      <c r="H31" s="16"/>
      <c r="I31" s="102" t="s">
        <v>40</v>
      </c>
      <c r="J31" s="102" t="s">
        <v>40</v>
      </c>
    </row>
    <row r="32" spans="1:10" ht="23.1" customHeight="1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193"/>
      <c r="B33" s="1194" t="s">
        <v>49</v>
      </c>
      <c r="C33" s="1198"/>
      <c r="D33" s="1198"/>
      <c r="E33" s="1198"/>
      <c r="F33" s="1198"/>
      <c r="G33" s="1193"/>
      <c r="H33" s="1560">
        <f>'1-бутерброд с маслом'!$H$28</f>
        <v>0</v>
      </c>
      <c r="I33" s="1560"/>
      <c r="J33" s="1560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545" t="s">
        <v>327</v>
      </c>
      <c r="B35" s="1545"/>
      <c r="C35" s="1546" t="s">
        <v>328</v>
      </c>
      <c r="D35" s="1546"/>
      <c r="E35" s="1546"/>
      <c r="F35" s="1546"/>
      <c r="G35" s="106"/>
      <c r="H35" s="1531"/>
      <c r="I35" s="1531"/>
      <c r="J35" s="1531"/>
    </row>
    <row r="36" spans="1:10" x14ac:dyDescent="0.25">
      <c r="A36" s="1193"/>
      <c r="B36" s="1193"/>
      <c r="C36" s="1546"/>
      <c r="D36" s="1546"/>
      <c r="E36" s="1546"/>
      <c r="F36" s="1546"/>
      <c r="G36" s="1193"/>
      <c r="H36" s="1531" t="s">
        <v>329</v>
      </c>
      <c r="I36" s="1531"/>
      <c r="J36" s="1531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5:B35"/>
    <mergeCell ref="C35:F36"/>
    <mergeCell ref="H35:J35"/>
    <mergeCell ref="H36:J36"/>
    <mergeCell ref="A28:B28"/>
    <mergeCell ref="A29:B29"/>
    <mergeCell ref="A30:B30"/>
    <mergeCell ref="A31:B31"/>
    <mergeCell ref="H33:J33"/>
    <mergeCell ref="A27:B27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E8EE3"/>
  </sheetPr>
  <dimension ref="A1:J40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5" width="7.5546875" customWidth="1"/>
    <col min="6" max="6" width="8.88671875" customWidth="1"/>
    <col min="7" max="7" width="7.5546875" customWidth="1"/>
    <col min="8" max="8" width="8.88671875" customWidth="1"/>
    <col min="9" max="9" width="7.5546875" customWidth="1"/>
    <col min="10" max="10" width="9" customWidth="1"/>
    <col min="11" max="11" width="4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127)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182</v>
      </c>
    </row>
    <row r="8" spans="1:10" s="2" customFormat="1" ht="9.6" customHeight="1" x14ac:dyDescent="0.25">
      <c r="A8" s="160"/>
      <c r="B8" s="160"/>
      <c r="C8" s="160"/>
      <c r="D8" s="160"/>
      <c r="E8" s="160"/>
      <c r="F8" s="160"/>
      <c r="G8" s="160"/>
      <c r="H8" s="160"/>
      <c r="I8" s="160"/>
      <c r="J8" s="109"/>
    </row>
    <row r="9" spans="1:10" s="2" customFormat="1" ht="26.1" customHeight="1" x14ac:dyDescent="0.3">
      <c r="A9" s="1550" t="s">
        <v>622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'181- каша манная жид. '!H14+1</f>
        <v>127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161" t="s">
        <v>92</v>
      </c>
      <c r="D17" s="161" t="s">
        <v>94</v>
      </c>
      <c r="E17" s="161" t="s">
        <v>93</v>
      </c>
      <c r="F17" s="161" t="s">
        <v>23</v>
      </c>
      <c r="G17" s="161" t="s">
        <v>92</v>
      </c>
      <c r="H17" s="161" t="s">
        <v>94</v>
      </c>
      <c r="I17" s="161" t="s">
        <v>92</v>
      </c>
      <c r="J17" s="161" t="s">
        <v>94</v>
      </c>
    </row>
    <row r="18" spans="1:10" ht="9.6" customHeight="1" x14ac:dyDescent="0.25">
      <c r="A18" s="161">
        <v>1</v>
      </c>
      <c r="B18" s="162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3.35" customHeight="1" x14ac:dyDescent="0.25">
      <c r="A19" s="180">
        <v>1</v>
      </c>
      <c r="B19" s="20" t="s">
        <v>320</v>
      </c>
      <c r="C19" s="90">
        <v>0.04</v>
      </c>
      <c r="D19" s="90">
        <v>0.04</v>
      </c>
      <c r="E19" s="13">
        <f>цены!F82</f>
        <v>60</v>
      </c>
      <c r="F19" s="13">
        <f>C19*E19</f>
        <v>2.4</v>
      </c>
      <c r="G19" s="97">
        <f t="shared" ref="G19:H22" si="0">C19*10</f>
        <v>0.4</v>
      </c>
      <c r="H19" s="21">
        <f t="shared" si="0"/>
        <v>0.4</v>
      </c>
      <c r="I19" s="21">
        <f t="shared" ref="I19:J22" si="1">C19*100</f>
        <v>4</v>
      </c>
      <c r="J19" s="21">
        <f t="shared" si="1"/>
        <v>4</v>
      </c>
    </row>
    <row r="20" spans="1:10" s="10" customFormat="1" ht="13.35" customHeight="1" x14ac:dyDescent="0.25">
      <c r="A20" s="180">
        <v>2</v>
      </c>
      <c r="B20" s="20" t="s">
        <v>34</v>
      </c>
      <c r="C20" s="90">
        <v>0.1</v>
      </c>
      <c r="D20" s="90">
        <v>0.1</v>
      </c>
      <c r="E20" s="13">
        <f>цены!F20</f>
        <v>80</v>
      </c>
      <c r="F20" s="13">
        <f t="shared" ref="F20:F25" si="2">C20*E20</f>
        <v>8</v>
      </c>
      <c r="G20" s="97">
        <f t="shared" si="0"/>
        <v>1</v>
      </c>
      <c r="H20" s="21">
        <f t="shared" si="0"/>
        <v>1</v>
      </c>
      <c r="I20" s="21">
        <f t="shared" si="1"/>
        <v>10</v>
      </c>
      <c r="J20" s="21">
        <f t="shared" si="1"/>
        <v>10</v>
      </c>
    </row>
    <row r="21" spans="1:10" s="10" customFormat="1" ht="13.35" customHeight="1" x14ac:dyDescent="0.25">
      <c r="A21" s="180">
        <v>3</v>
      </c>
      <c r="B21" s="20" t="s">
        <v>28</v>
      </c>
      <c r="C21" s="90">
        <v>7.0000000000000007E-2</v>
      </c>
      <c r="D21" s="90">
        <v>7.0000000000000007E-2</v>
      </c>
      <c r="E21" s="13"/>
      <c r="F21" s="13">
        <f t="shared" si="2"/>
        <v>0</v>
      </c>
      <c r="G21" s="97">
        <f t="shared" si="0"/>
        <v>0.7</v>
      </c>
      <c r="H21" s="21">
        <f t="shared" si="0"/>
        <v>0.7</v>
      </c>
      <c r="I21" s="21">
        <f t="shared" si="1"/>
        <v>7</v>
      </c>
      <c r="J21" s="21">
        <f t="shared" si="1"/>
        <v>7</v>
      </c>
    </row>
    <row r="22" spans="1:10" s="10" customFormat="1" ht="13.35" customHeight="1" x14ac:dyDescent="0.25">
      <c r="A22" s="180">
        <v>4</v>
      </c>
      <c r="B22" s="20" t="s">
        <v>30</v>
      </c>
      <c r="C22" s="90">
        <v>6.0000000000000001E-3</v>
      </c>
      <c r="D22" s="90">
        <v>6.0000000000000001E-3</v>
      </c>
      <c r="E22" s="13">
        <f>цены!F107</f>
        <v>76</v>
      </c>
      <c r="F22" s="13">
        <f t="shared" si="2"/>
        <v>0.46</v>
      </c>
      <c r="G22" s="97">
        <f t="shared" si="0"/>
        <v>0.06</v>
      </c>
      <c r="H22" s="21">
        <f t="shared" si="0"/>
        <v>0.06</v>
      </c>
      <c r="I22" s="21">
        <f t="shared" si="1"/>
        <v>0.6</v>
      </c>
      <c r="J22" s="21">
        <f t="shared" si="1"/>
        <v>0.6</v>
      </c>
    </row>
    <row r="23" spans="1:10" s="10" customFormat="1" ht="13.35" customHeight="1" x14ac:dyDescent="0.25">
      <c r="A23" s="190"/>
      <c r="B23" s="93" t="s">
        <v>71</v>
      </c>
      <c r="C23" s="94"/>
      <c r="D23" s="94">
        <v>0.2</v>
      </c>
      <c r="E23" s="95"/>
      <c r="F23" s="95">
        <f>SUM(F19:F22)</f>
        <v>10.86</v>
      </c>
      <c r="G23" s="99"/>
      <c r="H23" s="100">
        <f>D23*10</f>
        <v>2</v>
      </c>
      <c r="I23" s="100"/>
      <c r="J23" s="100">
        <f>D23*100</f>
        <v>20</v>
      </c>
    </row>
    <row r="24" spans="1:10" s="10" customFormat="1" ht="13.35" customHeight="1" x14ac:dyDescent="0.25">
      <c r="A24" s="129">
        <v>5</v>
      </c>
      <c r="B24" s="123" t="s">
        <v>31</v>
      </c>
      <c r="C24" s="124">
        <v>0.01</v>
      </c>
      <c r="D24" s="124">
        <v>0.01</v>
      </c>
      <c r="E24" s="13">
        <f>цены!F21</f>
        <v>710</v>
      </c>
      <c r="F24" s="13">
        <f>C24*E24</f>
        <v>7.1</v>
      </c>
      <c r="G24" s="97">
        <f>C24*10</f>
        <v>0.1</v>
      </c>
      <c r="H24" s="21">
        <f>D24*10</f>
        <v>0.1</v>
      </c>
      <c r="I24" s="21">
        <f>C24*100</f>
        <v>1</v>
      </c>
      <c r="J24" s="21">
        <f>D24*100</f>
        <v>1</v>
      </c>
    </row>
    <row r="25" spans="1:10" s="10" customFormat="1" ht="13.35" customHeight="1" x14ac:dyDescent="0.25">
      <c r="A25" s="180">
        <v>6</v>
      </c>
      <c r="B25" s="20" t="s">
        <v>30</v>
      </c>
      <c r="C25" s="90">
        <v>0.01</v>
      </c>
      <c r="D25" s="90">
        <v>0.01</v>
      </c>
      <c r="E25" s="13">
        <f>цены!F107</f>
        <v>76</v>
      </c>
      <c r="F25" s="13">
        <f t="shared" si="2"/>
        <v>0.76</v>
      </c>
      <c r="G25" s="97">
        <f>C25*10</f>
        <v>0.1</v>
      </c>
      <c r="H25" s="21">
        <f>D25*10</f>
        <v>0.1</v>
      </c>
      <c r="I25" s="21">
        <f>C25*100</f>
        <v>1</v>
      </c>
      <c r="J25" s="21">
        <f>D25*100</f>
        <v>1</v>
      </c>
    </row>
    <row r="26" spans="1:10" s="10" customFormat="1" ht="13.35" customHeight="1" x14ac:dyDescent="0.25">
      <c r="A26" s="184"/>
      <c r="B26" s="93" t="s">
        <v>117</v>
      </c>
      <c r="C26" s="94"/>
      <c r="D26" s="94">
        <v>220</v>
      </c>
      <c r="E26" s="95"/>
      <c r="F26" s="95">
        <f>F23+F24+F25</f>
        <v>18.72</v>
      </c>
      <c r="G26" s="99"/>
      <c r="H26" s="100">
        <f>D26*10</f>
        <v>2200</v>
      </c>
      <c r="I26" s="100"/>
      <c r="J26" s="100">
        <f>D26*100</f>
        <v>22000</v>
      </c>
    </row>
    <row r="27" spans="1:10" s="10" customFormat="1" ht="27.6" customHeight="1" x14ac:dyDescent="0.25">
      <c r="A27" s="1536" t="s">
        <v>35</v>
      </c>
      <c r="B27" s="1536"/>
      <c r="C27" s="90"/>
      <c r="D27" s="90"/>
      <c r="E27" s="13"/>
      <c r="F27" s="13">
        <f>F26</f>
        <v>18.72</v>
      </c>
      <c r="G27" s="163"/>
      <c r="H27" s="163"/>
      <c r="I27" s="21"/>
      <c r="J27" s="13"/>
    </row>
    <row r="28" spans="1:10" s="10" customFormat="1" ht="25.35" customHeight="1" x14ac:dyDescent="0.25">
      <c r="A28" s="1536" t="s">
        <v>36</v>
      </c>
      <c r="B28" s="1536"/>
      <c r="C28" s="90">
        <v>220</v>
      </c>
      <c r="D28" s="90"/>
      <c r="E28" s="13"/>
      <c r="F28" s="13"/>
      <c r="G28" s="13"/>
      <c r="H28" s="13"/>
      <c r="I28" s="21"/>
      <c r="J28" s="17"/>
    </row>
    <row r="29" spans="1:10" s="10" customFormat="1" ht="25.35" customHeight="1" x14ac:dyDescent="0.25">
      <c r="A29" s="1537" t="s">
        <v>37</v>
      </c>
      <c r="B29" s="1538"/>
      <c r="C29" s="91">
        <v>220</v>
      </c>
      <c r="D29" s="92"/>
      <c r="E29" s="162"/>
      <c r="F29" s="162"/>
      <c r="G29" s="162"/>
      <c r="H29" s="162"/>
      <c r="I29" s="21"/>
      <c r="J29" s="17"/>
    </row>
    <row r="30" spans="1:10" s="10" customFormat="1" ht="15" customHeight="1" x14ac:dyDescent="0.25">
      <c r="A30" s="1539" t="s">
        <v>38</v>
      </c>
      <c r="B30" s="1540"/>
      <c r="C30" s="92">
        <f>C28/C29</f>
        <v>1</v>
      </c>
      <c r="D30" s="92"/>
      <c r="E30" s="162"/>
      <c r="F30" s="162"/>
      <c r="G30" s="162"/>
      <c r="H30" s="162"/>
      <c r="I30" s="21"/>
      <c r="J30" s="17"/>
    </row>
    <row r="31" spans="1:10" ht="16.350000000000001" customHeight="1" x14ac:dyDescent="0.25">
      <c r="A31" s="1541" t="s">
        <v>39</v>
      </c>
      <c r="B31" s="1542"/>
      <c r="C31" s="15" t="s">
        <v>40</v>
      </c>
      <c r="D31" s="102"/>
      <c r="E31" s="102" t="s">
        <v>40</v>
      </c>
      <c r="F31" s="16">
        <f>F27/C30</f>
        <v>18.72</v>
      </c>
      <c r="G31" s="16"/>
      <c r="H31" s="16"/>
      <c r="I31" s="102" t="s">
        <v>40</v>
      </c>
      <c r="J31" s="102" t="s">
        <v>40</v>
      </c>
    </row>
    <row r="32" spans="1:10" ht="23.1" customHeight="1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193"/>
      <c r="B33" s="1194" t="s">
        <v>49</v>
      </c>
      <c r="C33" s="1198"/>
      <c r="D33" s="1198"/>
      <c r="E33" s="1198"/>
      <c r="F33" s="1198"/>
      <c r="G33" s="1193"/>
      <c r="H33" s="1560">
        <f>'1-бутерброд с маслом'!$H$28</f>
        <v>0</v>
      </c>
      <c r="I33" s="1560"/>
      <c r="J33" s="1560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545" t="s">
        <v>327</v>
      </c>
      <c r="B35" s="1545"/>
      <c r="C35" s="1546" t="s">
        <v>328</v>
      </c>
      <c r="D35" s="1546"/>
      <c r="E35" s="1546"/>
      <c r="F35" s="1546"/>
      <c r="G35" s="106"/>
      <c r="H35" s="1531"/>
      <c r="I35" s="1531"/>
      <c r="J35" s="1531"/>
    </row>
    <row r="36" spans="1:10" x14ac:dyDescent="0.25">
      <c r="A36" s="1193"/>
      <c r="B36" s="1193"/>
      <c r="C36" s="1546"/>
      <c r="D36" s="1546"/>
      <c r="E36" s="1546"/>
      <c r="F36" s="1546"/>
      <c r="G36" s="1193"/>
      <c r="H36" s="1531" t="s">
        <v>329</v>
      </c>
      <c r="I36" s="1531"/>
      <c r="J36" s="1531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5:B35"/>
    <mergeCell ref="C35:F36"/>
    <mergeCell ref="H35:J35"/>
    <mergeCell ref="H36:J36"/>
    <mergeCell ref="A28:B28"/>
    <mergeCell ref="A29:B29"/>
    <mergeCell ref="A30:B30"/>
    <mergeCell ref="A31:B31"/>
    <mergeCell ref="H33:J33"/>
    <mergeCell ref="A27:B27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E8EE3"/>
  </sheetPr>
  <dimension ref="A1:J40"/>
  <sheetViews>
    <sheetView view="pageBreakPreview" topLeftCell="A5" zoomScaleNormal="100" zoomScaleSheetLayoutView="100" workbookViewId="0">
      <selection activeCell="A13" sqref="A13:G13"/>
    </sheetView>
  </sheetViews>
  <sheetFormatPr defaultRowHeight="13.8" x14ac:dyDescent="0.25"/>
  <cols>
    <col min="1" max="1" width="4.109375" customWidth="1"/>
    <col min="2" max="2" width="21.109375" customWidth="1"/>
    <col min="3" max="5" width="7.5546875" customWidth="1"/>
    <col min="6" max="6" width="8.88671875" customWidth="1"/>
    <col min="7" max="7" width="7.5546875" customWidth="1"/>
    <col min="8" max="8" width="8.88671875" customWidth="1"/>
    <col min="9" max="9" width="7.5546875" customWidth="1"/>
    <col min="10" max="10" width="9" customWidth="1"/>
    <col min="11" max="11" width="3.88671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128)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182</v>
      </c>
    </row>
    <row r="8" spans="1:10" s="2" customFormat="1" ht="9.6" customHeight="1" x14ac:dyDescent="0.25">
      <c r="A8" s="375"/>
      <c r="B8" s="375"/>
      <c r="C8" s="375"/>
      <c r="D8" s="375"/>
      <c r="E8" s="375"/>
      <c r="F8" s="375"/>
      <c r="G8" s="375"/>
      <c r="H8" s="375"/>
      <c r="I8" s="375"/>
      <c r="J8" s="109"/>
    </row>
    <row r="9" spans="1:10" s="2" customFormat="1" ht="26.1" customHeight="1" x14ac:dyDescent="0.3">
      <c r="A9" s="1550" t="s">
        <v>629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'182- каша пшенная жид.'!H14+1</f>
        <v>128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372" t="s">
        <v>92</v>
      </c>
      <c r="D17" s="372" t="s">
        <v>94</v>
      </c>
      <c r="E17" s="372" t="s">
        <v>93</v>
      </c>
      <c r="F17" s="372" t="s">
        <v>23</v>
      </c>
      <c r="G17" s="372" t="s">
        <v>92</v>
      </c>
      <c r="H17" s="372" t="s">
        <v>94</v>
      </c>
      <c r="I17" s="372" t="s">
        <v>92</v>
      </c>
      <c r="J17" s="372" t="s">
        <v>94</v>
      </c>
    </row>
    <row r="18" spans="1:10" ht="9.6" customHeight="1" x14ac:dyDescent="0.25">
      <c r="A18" s="372">
        <v>1</v>
      </c>
      <c r="B18" s="374">
        <v>2</v>
      </c>
      <c r="C18" s="372">
        <v>3</v>
      </c>
      <c r="D18" s="374">
        <v>4</v>
      </c>
      <c r="E18" s="372">
        <v>5</v>
      </c>
      <c r="F18" s="374">
        <v>6</v>
      </c>
      <c r="G18" s="372">
        <v>7</v>
      </c>
      <c r="H18" s="374">
        <v>8</v>
      </c>
      <c r="I18" s="372">
        <v>9</v>
      </c>
      <c r="J18" s="374">
        <v>10</v>
      </c>
    </row>
    <row r="19" spans="1:10" s="10" customFormat="1" ht="13.35" customHeight="1" x14ac:dyDescent="0.25">
      <c r="A19" s="180">
        <v>1</v>
      </c>
      <c r="B19" s="20" t="s">
        <v>68</v>
      </c>
      <c r="C19" s="90">
        <v>3.1E-2</v>
      </c>
      <c r="D19" s="90">
        <v>3.1E-2</v>
      </c>
      <c r="E19" s="13">
        <f>цены!F83</f>
        <v>98</v>
      </c>
      <c r="F19" s="13">
        <f>C19*E19</f>
        <v>3.04</v>
      </c>
      <c r="G19" s="97">
        <f t="shared" ref="G19:H22" si="0">C19*10</f>
        <v>0.31</v>
      </c>
      <c r="H19" s="21">
        <f t="shared" si="0"/>
        <v>0.31</v>
      </c>
      <c r="I19" s="21">
        <f t="shared" ref="I19:J22" si="1">C19*100</f>
        <v>3.1</v>
      </c>
      <c r="J19" s="21">
        <f t="shared" si="1"/>
        <v>3.1</v>
      </c>
    </row>
    <row r="20" spans="1:10" s="10" customFormat="1" ht="13.35" customHeight="1" x14ac:dyDescent="0.25">
      <c r="A20" s="180">
        <v>2</v>
      </c>
      <c r="B20" s="20" t="s">
        <v>34</v>
      </c>
      <c r="C20" s="90">
        <v>0.1</v>
      </c>
      <c r="D20" s="90">
        <v>0.1</v>
      </c>
      <c r="E20" s="13">
        <f>цены!F20</f>
        <v>80</v>
      </c>
      <c r="F20" s="13">
        <f t="shared" ref="F20:F25" si="2">C20*E20</f>
        <v>8</v>
      </c>
      <c r="G20" s="97">
        <f t="shared" si="0"/>
        <v>1</v>
      </c>
      <c r="H20" s="21">
        <f t="shared" si="0"/>
        <v>1</v>
      </c>
      <c r="I20" s="21">
        <f t="shared" si="1"/>
        <v>10</v>
      </c>
      <c r="J20" s="21">
        <f t="shared" si="1"/>
        <v>10</v>
      </c>
    </row>
    <row r="21" spans="1:10" s="10" customFormat="1" ht="13.35" customHeight="1" x14ac:dyDescent="0.25">
      <c r="A21" s="180">
        <v>3</v>
      </c>
      <c r="B21" s="20" t="s">
        <v>28</v>
      </c>
      <c r="C21" s="90">
        <v>7.0000000000000007E-2</v>
      </c>
      <c r="D21" s="90">
        <v>7.0000000000000007E-2</v>
      </c>
      <c r="E21" s="13"/>
      <c r="F21" s="13">
        <f t="shared" si="2"/>
        <v>0</v>
      </c>
      <c r="G21" s="97">
        <f t="shared" si="0"/>
        <v>0.7</v>
      </c>
      <c r="H21" s="21">
        <f t="shared" si="0"/>
        <v>0.7</v>
      </c>
      <c r="I21" s="21">
        <f t="shared" si="1"/>
        <v>7</v>
      </c>
      <c r="J21" s="21">
        <f t="shared" si="1"/>
        <v>7</v>
      </c>
    </row>
    <row r="22" spans="1:10" s="10" customFormat="1" ht="13.35" customHeight="1" x14ac:dyDescent="0.25">
      <c r="A22" s="180">
        <v>4</v>
      </c>
      <c r="B22" s="20" t="s">
        <v>30</v>
      </c>
      <c r="C22" s="90">
        <v>6.0000000000000001E-3</v>
      </c>
      <c r="D22" s="90">
        <v>6.0000000000000001E-3</v>
      </c>
      <c r="E22" s="13">
        <f>цены!F107</f>
        <v>76</v>
      </c>
      <c r="F22" s="13">
        <f t="shared" si="2"/>
        <v>0.46</v>
      </c>
      <c r="G22" s="97">
        <f t="shared" si="0"/>
        <v>0.06</v>
      </c>
      <c r="H22" s="21">
        <f t="shared" si="0"/>
        <v>0.06</v>
      </c>
      <c r="I22" s="21">
        <f t="shared" si="1"/>
        <v>0.6</v>
      </c>
      <c r="J22" s="21">
        <f t="shared" si="1"/>
        <v>0.6</v>
      </c>
    </row>
    <row r="23" spans="1:10" s="10" customFormat="1" ht="13.35" customHeight="1" x14ac:dyDescent="0.25">
      <c r="A23" s="190"/>
      <c r="B23" s="93" t="s">
        <v>71</v>
      </c>
      <c r="C23" s="94"/>
      <c r="D23" s="94">
        <v>0.2</v>
      </c>
      <c r="E23" s="95"/>
      <c r="F23" s="95">
        <f>SUM(F19:F22)</f>
        <v>11.5</v>
      </c>
      <c r="G23" s="99"/>
      <c r="H23" s="100">
        <f>D23*10</f>
        <v>2</v>
      </c>
      <c r="I23" s="100"/>
      <c r="J23" s="100">
        <f>D23*100</f>
        <v>20</v>
      </c>
    </row>
    <row r="24" spans="1:10" s="10" customFormat="1" ht="13.35" customHeight="1" x14ac:dyDescent="0.25">
      <c r="A24" s="129">
        <v>5</v>
      </c>
      <c r="B24" s="123" t="s">
        <v>31</v>
      </c>
      <c r="C24" s="124">
        <v>0.01</v>
      </c>
      <c r="D24" s="124">
        <v>0.01</v>
      </c>
      <c r="E24" s="13">
        <f>цены!F21</f>
        <v>710</v>
      </c>
      <c r="F24" s="13">
        <f>C24*E24</f>
        <v>7.1</v>
      </c>
      <c r="G24" s="97">
        <f>C24*10</f>
        <v>0.1</v>
      </c>
      <c r="H24" s="21">
        <f>D24*10</f>
        <v>0.1</v>
      </c>
      <c r="I24" s="21">
        <f>C24*100</f>
        <v>1</v>
      </c>
      <c r="J24" s="21">
        <f>D24*100</f>
        <v>1</v>
      </c>
    </row>
    <row r="25" spans="1:10" s="10" customFormat="1" ht="13.35" customHeight="1" x14ac:dyDescent="0.25">
      <c r="A25" s="180">
        <v>6</v>
      </c>
      <c r="B25" s="20" t="s">
        <v>30</v>
      </c>
      <c r="C25" s="90">
        <v>0.01</v>
      </c>
      <c r="D25" s="90">
        <v>0.01</v>
      </c>
      <c r="E25" s="13">
        <f>цены!F107</f>
        <v>76</v>
      </c>
      <c r="F25" s="13">
        <f t="shared" si="2"/>
        <v>0.76</v>
      </c>
      <c r="G25" s="97">
        <f>C25*10</f>
        <v>0.1</v>
      </c>
      <c r="H25" s="21">
        <f>D25*10</f>
        <v>0.1</v>
      </c>
      <c r="I25" s="21">
        <f>C25*100</f>
        <v>1</v>
      </c>
      <c r="J25" s="21">
        <f>D25*100</f>
        <v>1</v>
      </c>
    </row>
    <row r="26" spans="1:10" s="10" customFormat="1" ht="13.35" customHeight="1" x14ac:dyDescent="0.25">
      <c r="A26" s="184"/>
      <c r="B26" s="93" t="s">
        <v>117</v>
      </c>
      <c r="C26" s="94"/>
      <c r="D26" s="94">
        <v>220</v>
      </c>
      <c r="E26" s="95"/>
      <c r="F26" s="95">
        <f>F23+F24+F25</f>
        <v>19.36</v>
      </c>
      <c r="G26" s="99"/>
      <c r="H26" s="100">
        <f>D26*10</f>
        <v>2200</v>
      </c>
      <c r="I26" s="100"/>
      <c r="J26" s="100">
        <f>D26*100</f>
        <v>22000</v>
      </c>
    </row>
    <row r="27" spans="1:10" s="10" customFormat="1" ht="27.6" customHeight="1" x14ac:dyDescent="0.25">
      <c r="A27" s="1536" t="s">
        <v>35</v>
      </c>
      <c r="B27" s="1536"/>
      <c r="C27" s="90"/>
      <c r="D27" s="90"/>
      <c r="E27" s="13"/>
      <c r="F27" s="13">
        <f>F26</f>
        <v>19.36</v>
      </c>
      <c r="G27" s="373"/>
      <c r="H27" s="373"/>
      <c r="I27" s="21"/>
      <c r="J27" s="13"/>
    </row>
    <row r="28" spans="1:10" s="10" customFormat="1" ht="25.35" customHeight="1" x14ac:dyDescent="0.25">
      <c r="A28" s="1536" t="s">
        <v>36</v>
      </c>
      <c r="B28" s="1536"/>
      <c r="C28" s="90">
        <v>220</v>
      </c>
      <c r="D28" s="90"/>
      <c r="E28" s="13"/>
      <c r="F28" s="13"/>
      <c r="G28" s="13"/>
      <c r="H28" s="13"/>
      <c r="I28" s="21"/>
      <c r="J28" s="17"/>
    </row>
    <row r="29" spans="1:10" s="10" customFormat="1" ht="25.35" customHeight="1" x14ac:dyDescent="0.25">
      <c r="A29" s="1537" t="s">
        <v>37</v>
      </c>
      <c r="B29" s="1538"/>
      <c r="C29" s="91">
        <v>220</v>
      </c>
      <c r="D29" s="92"/>
      <c r="E29" s="374"/>
      <c r="F29" s="374"/>
      <c r="G29" s="374"/>
      <c r="H29" s="374"/>
      <c r="I29" s="21"/>
      <c r="J29" s="17"/>
    </row>
    <row r="30" spans="1:10" s="10" customFormat="1" ht="15" customHeight="1" x14ac:dyDescent="0.25">
      <c r="A30" s="1539" t="s">
        <v>38</v>
      </c>
      <c r="B30" s="1540"/>
      <c r="C30" s="92">
        <f>C28/C29</f>
        <v>1</v>
      </c>
      <c r="D30" s="92"/>
      <c r="E30" s="374"/>
      <c r="F30" s="374"/>
      <c r="G30" s="374"/>
      <c r="H30" s="374"/>
      <c r="I30" s="21"/>
      <c r="J30" s="17"/>
    </row>
    <row r="31" spans="1:10" ht="16.350000000000001" customHeight="1" x14ac:dyDescent="0.25">
      <c r="A31" s="1541" t="s">
        <v>39</v>
      </c>
      <c r="B31" s="1542"/>
      <c r="C31" s="15" t="s">
        <v>40</v>
      </c>
      <c r="D31" s="102"/>
      <c r="E31" s="102" t="s">
        <v>40</v>
      </c>
      <c r="F31" s="16">
        <f>F27/C30</f>
        <v>19.36</v>
      </c>
      <c r="G31" s="16"/>
      <c r="H31" s="16"/>
      <c r="I31" s="102" t="s">
        <v>40</v>
      </c>
      <c r="J31" s="102" t="s">
        <v>40</v>
      </c>
    </row>
    <row r="32" spans="1:10" ht="23.1" customHeight="1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193"/>
      <c r="B33" s="1194" t="s">
        <v>49</v>
      </c>
      <c r="C33" s="1198"/>
      <c r="D33" s="1198"/>
      <c r="E33" s="1198"/>
      <c r="F33" s="1198"/>
      <c r="G33" s="1193"/>
      <c r="H33" s="1560">
        <f>'1-бутерброд с маслом'!$H$28</f>
        <v>0</v>
      </c>
      <c r="I33" s="1560"/>
      <c r="J33" s="1560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545" t="s">
        <v>327</v>
      </c>
      <c r="B35" s="1545"/>
      <c r="C35" s="1546" t="s">
        <v>328</v>
      </c>
      <c r="D35" s="1546"/>
      <c r="E35" s="1546"/>
      <c r="F35" s="1546"/>
      <c r="G35" s="106"/>
      <c r="H35" s="1531"/>
      <c r="I35" s="1531"/>
      <c r="J35" s="1531"/>
    </row>
    <row r="36" spans="1:10" x14ac:dyDescent="0.25">
      <c r="A36" s="1193"/>
      <c r="B36" s="1193"/>
      <c r="C36" s="1546"/>
      <c r="D36" s="1546"/>
      <c r="E36" s="1546"/>
      <c r="F36" s="1546"/>
      <c r="G36" s="1193"/>
      <c r="H36" s="1531" t="s">
        <v>329</v>
      </c>
      <c r="I36" s="1531"/>
      <c r="J36" s="1531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</sheetData>
  <mergeCells count="28">
    <mergeCell ref="H33:J33"/>
    <mergeCell ref="A13:G13"/>
    <mergeCell ref="A28:B28"/>
    <mergeCell ref="A29:B29"/>
    <mergeCell ref="A30:B30"/>
    <mergeCell ref="A31:B31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5:B35"/>
    <mergeCell ref="C35:F36"/>
    <mergeCell ref="H35:J35"/>
    <mergeCell ref="H36:J36"/>
    <mergeCell ref="H5:I5"/>
    <mergeCell ref="A6:G6"/>
    <mergeCell ref="A7:I7"/>
    <mergeCell ref="A27:B27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E8EE3"/>
  </sheetPr>
  <dimension ref="A1:J40"/>
  <sheetViews>
    <sheetView view="pageBreakPreview" topLeftCell="A3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5" width="7.5546875" customWidth="1"/>
    <col min="6" max="6" width="8.88671875" customWidth="1"/>
    <col min="7" max="7" width="7.5546875" customWidth="1"/>
    <col min="8" max="8" width="8.88671875" customWidth="1"/>
    <col min="9" max="9" width="7.5546875" customWidth="1"/>
    <col min="10" max="10" width="9" customWidth="1"/>
    <col min="11" max="11" width="4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129)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182</v>
      </c>
    </row>
    <row r="8" spans="1:10" s="2" customFormat="1" ht="9.6" customHeight="1" x14ac:dyDescent="0.25">
      <c r="A8" s="375"/>
      <c r="B8" s="375"/>
      <c r="C8" s="375"/>
      <c r="D8" s="375"/>
      <c r="E8" s="375"/>
      <c r="F8" s="375"/>
      <c r="G8" s="375"/>
      <c r="H8" s="375"/>
      <c r="I8" s="375"/>
      <c r="J8" s="109"/>
    </row>
    <row r="9" spans="1:10" s="2" customFormat="1" ht="26.1" customHeight="1" x14ac:dyDescent="0.35">
      <c r="A9" s="1561" t="s">
        <v>628</v>
      </c>
      <c r="B9" s="1561"/>
      <c r="C9" s="1561"/>
      <c r="D9" s="1561"/>
      <c r="E9" s="1561"/>
      <c r="F9" s="1561"/>
      <c r="G9" s="1561"/>
      <c r="H9" s="1561"/>
      <c r="I9" s="1561"/>
      <c r="J9" s="1561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'182- каша рисовая жид.'!H14+1</f>
        <v>129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372" t="s">
        <v>92</v>
      </c>
      <c r="D17" s="372" t="s">
        <v>94</v>
      </c>
      <c r="E17" s="372" t="s">
        <v>93</v>
      </c>
      <c r="F17" s="372" t="s">
        <v>23</v>
      </c>
      <c r="G17" s="372" t="s">
        <v>92</v>
      </c>
      <c r="H17" s="372" t="s">
        <v>94</v>
      </c>
      <c r="I17" s="372" t="s">
        <v>92</v>
      </c>
      <c r="J17" s="372" t="s">
        <v>94</v>
      </c>
    </row>
    <row r="18" spans="1:10" ht="9.6" customHeight="1" x14ac:dyDescent="0.25">
      <c r="A18" s="372">
        <v>1</v>
      </c>
      <c r="B18" s="374">
        <v>2</v>
      </c>
      <c r="C18" s="372">
        <v>3</v>
      </c>
      <c r="D18" s="374">
        <v>4</v>
      </c>
      <c r="E18" s="372">
        <v>5</v>
      </c>
      <c r="F18" s="374">
        <v>6</v>
      </c>
      <c r="G18" s="372">
        <v>7</v>
      </c>
      <c r="H18" s="374">
        <v>8</v>
      </c>
      <c r="I18" s="372">
        <v>9</v>
      </c>
      <c r="J18" s="374">
        <v>10</v>
      </c>
    </row>
    <row r="19" spans="1:10" s="10" customFormat="1" ht="13.35" customHeight="1" x14ac:dyDescent="0.25">
      <c r="A19" s="180">
        <v>1</v>
      </c>
      <c r="B19" s="20" t="s">
        <v>68</v>
      </c>
      <c r="C19" s="90">
        <v>4.3999999999999997E-2</v>
      </c>
      <c r="D19" s="90">
        <v>4.3999999999999997E-2</v>
      </c>
      <c r="E19" s="13">
        <f>цены!F77</f>
        <v>40</v>
      </c>
      <c r="F19" s="13">
        <f>C19*E19</f>
        <v>1.76</v>
      </c>
      <c r="G19" s="97">
        <f t="shared" ref="G19:H22" si="0">C19*10</f>
        <v>0.44</v>
      </c>
      <c r="H19" s="21">
        <f t="shared" si="0"/>
        <v>0.44</v>
      </c>
      <c r="I19" s="21">
        <f t="shared" ref="I19:J22" si="1">C19*100</f>
        <v>4.4000000000000004</v>
      </c>
      <c r="J19" s="21">
        <f t="shared" si="1"/>
        <v>4.4000000000000004</v>
      </c>
    </row>
    <row r="20" spans="1:10" s="10" customFormat="1" ht="13.35" customHeight="1" x14ac:dyDescent="0.25">
      <c r="A20" s="180">
        <v>2</v>
      </c>
      <c r="B20" s="20" t="s">
        <v>34</v>
      </c>
      <c r="C20" s="90">
        <v>0.1</v>
      </c>
      <c r="D20" s="90">
        <v>0.1</v>
      </c>
      <c r="E20" s="13">
        <f>цены!F20</f>
        <v>80</v>
      </c>
      <c r="F20" s="13">
        <f t="shared" ref="F20:F25" si="2">C20*E20</f>
        <v>8</v>
      </c>
      <c r="G20" s="97">
        <f t="shared" si="0"/>
        <v>1</v>
      </c>
      <c r="H20" s="21">
        <f t="shared" si="0"/>
        <v>1</v>
      </c>
      <c r="I20" s="21">
        <f t="shared" si="1"/>
        <v>10</v>
      </c>
      <c r="J20" s="21">
        <f t="shared" si="1"/>
        <v>10</v>
      </c>
    </row>
    <row r="21" spans="1:10" s="10" customFormat="1" ht="13.35" customHeight="1" x14ac:dyDescent="0.25">
      <c r="A21" s="180">
        <v>3</v>
      </c>
      <c r="B21" s="20" t="s">
        <v>28</v>
      </c>
      <c r="C21" s="90">
        <v>7.0000000000000007E-2</v>
      </c>
      <c r="D21" s="90">
        <v>7.0000000000000007E-2</v>
      </c>
      <c r="E21" s="13"/>
      <c r="F21" s="13">
        <f t="shared" si="2"/>
        <v>0</v>
      </c>
      <c r="G21" s="97">
        <f t="shared" si="0"/>
        <v>0.7</v>
      </c>
      <c r="H21" s="21">
        <f t="shared" si="0"/>
        <v>0.7</v>
      </c>
      <c r="I21" s="21">
        <f t="shared" si="1"/>
        <v>7</v>
      </c>
      <c r="J21" s="21">
        <f t="shared" si="1"/>
        <v>7</v>
      </c>
    </row>
    <row r="22" spans="1:10" s="10" customFormat="1" ht="13.35" customHeight="1" x14ac:dyDescent="0.25">
      <c r="A22" s="180">
        <v>4</v>
      </c>
      <c r="B22" s="20" t="s">
        <v>30</v>
      </c>
      <c r="C22" s="90">
        <v>6.0000000000000001E-3</v>
      </c>
      <c r="D22" s="90">
        <v>6.0000000000000001E-3</v>
      </c>
      <c r="E22" s="13">
        <f>цены!F107</f>
        <v>76</v>
      </c>
      <c r="F22" s="13">
        <f t="shared" si="2"/>
        <v>0.46</v>
      </c>
      <c r="G22" s="97">
        <f t="shared" si="0"/>
        <v>0.06</v>
      </c>
      <c r="H22" s="21">
        <f t="shared" si="0"/>
        <v>0.06</v>
      </c>
      <c r="I22" s="21">
        <f t="shared" si="1"/>
        <v>0.6</v>
      </c>
      <c r="J22" s="21">
        <f t="shared" si="1"/>
        <v>0.6</v>
      </c>
    </row>
    <row r="23" spans="1:10" s="10" customFormat="1" ht="13.35" customHeight="1" x14ac:dyDescent="0.25">
      <c r="A23" s="190"/>
      <c r="B23" s="93" t="s">
        <v>71</v>
      </c>
      <c r="C23" s="94"/>
      <c r="D23" s="94">
        <v>0.2</v>
      </c>
      <c r="E23" s="95"/>
      <c r="F23" s="95">
        <f>SUM(F19:F22)</f>
        <v>10.220000000000001</v>
      </c>
      <c r="G23" s="99"/>
      <c r="H23" s="100">
        <f>D23*10</f>
        <v>2</v>
      </c>
      <c r="I23" s="100"/>
      <c r="J23" s="100">
        <f>D23*100</f>
        <v>20</v>
      </c>
    </row>
    <row r="24" spans="1:10" s="10" customFormat="1" ht="13.35" customHeight="1" x14ac:dyDescent="0.25">
      <c r="A24" s="129">
        <v>5</v>
      </c>
      <c r="B24" s="123" t="s">
        <v>31</v>
      </c>
      <c r="C24" s="124">
        <v>0.01</v>
      </c>
      <c r="D24" s="124">
        <v>0.01</v>
      </c>
      <c r="E24" s="13">
        <f>цены!F21</f>
        <v>710</v>
      </c>
      <c r="F24" s="13">
        <f>C24*E24</f>
        <v>7.1</v>
      </c>
      <c r="G24" s="97">
        <f>C24*10</f>
        <v>0.1</v>
      </c>
      <c r="H24" s="21">
        <f>D24*10</f>
        <v>0.1</v>
      </c>
      <c r="I24" s="21">
        <f>C24*100</f>
        <v>1</v>
      </c>
      <c r="J24" s="21">
        <f>D24*100</f>
        <v>1</v>
      </c>
    </row>
    <row r="25" spans="1:10" s="10" customFormat="1" ht="13.35" customHeight="1" x14ac:dyDescent="0.25">
      <c r="A25" s="180">
        <v>6</v>
      </c>
      <c r="B25" s="20" t="s">
        <v>30</v>
      </c>
      <c r="C25" s="90">
        <v>0.01</v>
      </c>
      <c r="D25" s="90">
        <v>0.01</v>
      </c>
      <c r="E25" s="13">
        <f>цены!F107</f>
        <v>76</v>
      </c>
      <c r="F25" s="13">
        <f t="shared" si="2"/>
        <v>0.76</v>
      </c>
      <c r="G25" s="97">
        <f>C25*10</f>
        <v>0.1</v>
      </c>
      <c r="H25" s="21">
        <f>D25*10</f>
        <v>0.1</v>
      </c>
      <c r="I25" s="21">
        <f>C25*100</f>
        <v>1</v>
      </c>
      <c r="J25" s="21">
        <f>D25*100</f>
        <v>1</v>
      </c>
    </row>
    <row r="26" spans="1:10" s="10" customFormat="1" ht="13.35" customHeight="1" x14ac:dyDescent="0.25">
      <c r="A26" s="184"/>
      <c r="B26" s="93" t="s">
        <v>117</v>
      </c>
      <c r="C26" s="94"/>
      <c r="D26" s="94">
        <v>220</v>
      </c>
      <c r="E26" s="95"/>
      <c r="F26" s="95">
        <f>F23+F24+F25</f>
        <v>18.079999999999998</v>
      </c>
      <c r="G26" s="99"/>
      <c r="H26" s="100">
        <f>D26*10</f>
        <v>2200</v>
      </c>
      <c r="I26" s="100"/>
      <c r="J26" s="100">
        <f>D26*100</f>
        <v>22000</v>
      </c>
    </row>
    <row r="27" spans="1:10" s="10" customFormat="1" ht="27.6" customHeight="1" x14ac:dyDescent="0.25">
      <c r="A27" s="1536" t="s">
        <v>35</v>
      </c>
      <c r="B27" s="1536"/>
      <c r="C27" s="90"/>
      <c r="D27" s="90"/>
      <c r="E27" s="13"/>
      <c r="F27" s="13">
        <f>F26</f>
        <v>18.079999999999998</v>
      </c>
      <c r="G27" s="373"/>
      <c r="H27" s="373"/>
      <c r="I27" s="21"/>
      <c r="J27" s="13"/>
    </row>
    <row r="28" spans="1:10" s="10" customFormat="1" ht="25.35" customHeight="1" x14ac:dyDescent="0.25">
      <c r="A28" s="1536" t="s">
        <v>36</v>
      </c>
      <c r="B28" s="1536"/>
      <c r="C28" s="90">
        <v>220</v>
      </c>
      <c r="D28" s="90"/>
      <c r="E28" s="13"/>
      <c r="F28" s="13"/>
      <c r="G28" s="13"/>
      <c r="H28" s="13"/>
      <c r="I28" s="21"/>
      <c r="J28" s="17"/>
    </row>
    <row r="29" spans="1:10" s="10" customFormat="1" ht="25.35" customHeight="1" x14ac:dyDescent="0.25">
      <c r="A29" s="1537" t="s">
        <v>37</v>
      </c>
      <c r="B29" s="1538"/>
      <c r="C29" s="91">
        <v>220</v>
      </c>
      <c r="D29" s="92"/>
      <c r="E29" s="374"/>
      <c r="F29" s="374"/>
      <c r="G29" s="374"/>
      <c r="H29" s="374"/>
      <c r="I29" s="21"/>
      <c r="J29" s="17"/>
    </row>
    <row r="30" spans="1:10" s="10" customFormat="1" ht="15" customHeight="1" x14ac:dyDescent="0.25">
      <c r="A30" s="1539" t="s">
        <v>38</v>
      </c>
      <c r="B30" s="1540"/>
      <c r="C30" s="92">
        <f>C28/C29</f>
        <v>1</v>
      </c>
      <c r="D30" s="92"/>
      <c r="E30" s="374"/>
      <c r="F30" s="374"/>
      <c r="G30" s="374"/>
      <c r="H30" s="374"/>
      <c r="I30" s="21"/>
      <c r="J30" s="17"/>
    </row>
    <row r="31" spans="1:10" ht="16.350000000000001" customHeight="1" x14ac:dyDescent="0.25">
      <c r="A31" s="1541" t="s">
        <v>39</v>
      </c>
      <c r="B31" s="1542"/>
      <c r="C31" s="15" t="s">
        <v>40</v>
      </c>
      <c r="D31" s="102"/>
      <c r="E31" s="102" t="s">
        <v>40</v>
      </c>
      <c r="F31" s="16">
        <f>F27/C30</f>
        <v>18.079999999999998</v>
      </c>
      <c r="G31" s="16"/>
      <c r="H31" s="16"/>
      <c r="I31" s="102" t="s">
        <v>40</v>
      </c>
      <c r="J31" s="102" t="s">
        <v>40</v>
      </c>
    </row>
    <row r="32" spans="1:10" ht="23.1" customHeight="1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193"/>
      <c r="B33" s="1194" t="s">
        <v>49</v>
      </c>
      <c r="C33" s="1198"/>
      <c r="D33" s="1198"/>
      <c r="E33" s="1198"/>
      <c r="F33" s="1198"/>
      <c r="G33" s="1193"/>
      <c r="H33" s="1560">
        <f>'1-бутерброд с маслом'!$H$28</f>
        <v>0</v>
      </c>
      <c r="I33" s="1560"/>
      <c r="J33" s="1560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545" t="s">
        <v>327</v>
      </c>
      <c r="B35" s="1545"/>
      <c r="C35" s="1546" t="s">
        <v>328</v>
      </c>
      <c r="D35" s="1546"/>
      <c r="E35" s="1546"/>
      <c r="F35" s="1546"/>
      <c r="G35" s="106"/>
      <c r="H35" s="1531"/>
      <c r="I35" s="1531"/>
      <c r="J35" s="1531"/>
    </row>
    <row r="36" spans="1:10" x14ac:dyDescent="0.25">
      <c r="A36" s="1193"/>
      <c r="B36" s="1193"/>
      <c r="C36" s="1546"/>
      <c r="D36" s="1546"/>
      <c r="E36" s="1546"/>
      <c r="F36" s="1546"/>
      <c r="G36" s="1193"/>
      <c r="H36" s="1531" t="s">
        <v>329</v>
      </c>
      <c r="I36" s="1531"/>
      <c r="J36" s="1531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</sheetData>
  <mergeCells count="28">
    <mergeCell ref="H33:J33"/>
    <mergeCell ref="A13:G13"/>
    <mergeCell ref="A28:B28"/>
    <mergeCell ref="A29:B29"/>
    <mergeCell ref="A30:B30"/>
    <mergeCell ref="A31:B31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5:B35"/>
    <mergeCell ref="C35:F36"/>
    <mergeCell ref="H35:J35"/>
    <mergeCell ref="H36:J36"/>
    <mergeCell ref="H5:I5"/>
    <mergeCell ref="A6:G6"/>
    <mergeCell ref="A7:I7"/>
    <mergeCell ref="A27:B27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E8EE3"/>
  </sheetPr>
  <dimension ref="A1:J40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5" width="7.5546875" customWidth="1"/>
    <col min="6" max="6" width="8.88671875" customWidth="1"/>
    <col min="7" max="7" width="7.5546875" customWidth="1"/>
    <col min="8" max="8" width="8.88671875" customWidth="1"/>
    <col min="9" max="9" width="7.5546875" customWidth="1"/>
    <col min="10" max="10" width="9" customWidth="1"/>
    <col min="11" max="11" width="4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130)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182</v>
      </c>
    </row>
    <row r="8" spans="1:10" s="2" customFormat="1" ht="9.6" customHeight="1" x14ac:dyDescent="0.25">
      <c r="A8" s="375"/>
      <c r="B8" s="375"/>
      <c r="C8" s="375"/>
      <c r="D8" s="375"/>
      <c r="E8" s="375"/>
      <c r="F8" s="375"/>
      <c r="G8" s="375"/>
      <c r="H8" s="375"/>
      <c r="I8" s="375"/>
      <c r="J8" s="109"/>
    </row>
    <row r="9" spans="1:10" s="2" customFormat="1" ht="26.1" customHeight="1" x14ac:dyDescent="0.3">
      <c r="A9" s="1550" t="s">
        <v>699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'182- каша перловая жид. '!H14+1</f>
        <v>130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372" t="s">
        <v>92</v>
      </c>
      <c r="D17" s="372" t="s">
        <v>94</v>
      </c>
      <c r="E17" s="372" t="s">
        <v>93</v>
      </c>
      <c r="F17" s="372" t="s">
        <v>23</v>
      </c>
      <c r="G17" s="372" t="s">
        <v>92</v>
      </c>
      <c r="H17" s="372" t="s">
        <v>94</v>
      </c>
      <c r="I17" s="372" t="s">
        <v>92</v>
      </c>
      <c r="J17" s="372" t="s">
        <v>94</v>
      </c>
    </row>
    <row r="18" spans="1:10" ht="9.6" customHeight="1" x14ac:dyDescent="0.25">
      <c r="A18" s="372">
        <v>1</v>
      </c>
      <c r="B18" s="374">
        <v>2</v>
      </c>
      <c r="C18" s="372">
        <v>3</v>
      </c>
      <c r="D18" s="374">
        <v>4</v>
      </c>
      <c r="E18" s="372">
        <v>5</v>
      </c>
      <c r="F18" s="374">
        <v>6</v>
      </c>
      <c r="G18" s="372">
        <v>7</v>
      </c>
      <c r="H18" s="374">
        <v>8</v>
      </c>
      <c r="I18" s="372">
        <v>9</v>
      </c>
      <c r="J18" s="374">
        <v>10</v>
      </c>
    </row>
    <row r="19" spans="1:10" s="10" customFormat="1" ht="13.35" customHeight="1" x14ac:dyDescent="0.25">
      <c r="A19" s="180">
        <v>1</v>
      </c>
      <c r="B19" s="20" t="s">
        <v>700</v>
      </c>
      <c r="C19" s="90">
        <v>0.04</v>
      </c>
      <c r="D19" s="90">
        <v>0.04</v>
      </c>
      <c r="E19" s="13">
        <f>цены!F78</f>
        <v>35</v>
      </c>
      <c r="F19" s="13">
        <f>C19*E19</f>
        <v>1.4</v>
      </c>
      <c r="G19" s="97">
        <f t="shared" ref="G19:H22" si="0">C19*10</f>
        <v>0.4</v>
      </c>
      <c r="H19" s="21">
        <f t="shared" si="0"/>
        <v>0.4</v>
      </c>
      <c r="I19" s="21">
        <f t="shared" ref="I19:J22" si="1">C19*100</f>
        <v>4</v>
      </c>
      <c r="J19" s="21">
        <f t="shared" si="1"/>
        <v>4</v>
      </c>
    </row>
    <row r="20" spans="1:10" s="10" customFormat="1" ht="13.35" customHeight="1" x14ac:dyDescent="0.25">
      <c r="A20" s="180">
        <v>2</v>
      </c>
      <c r="B20" s="20" t="s">
        <v>34</v>
      </c>
      <c r="C20" s="90">
        <v>0.1</v>
      </c>
      <c r="D20" s="90">
        <v>0.1</v>
      </c>
      <c r="E20" s="13">
        <f>цены!F20</f>
        <v>80</v>
      </c>
      <c r="F20" s="13">
        <f t="shared" ref="F20:F25" si="2">C20*E20</f>
        <v>8</v>
      </c>
      <c r="G20" s="97">
        <f t="shared" si="0"/>
        <v>1</v>
      </c>
      <c r="H20" s="21">
        <f t="shared" si="0"/>
        <v>1</v>
      </c>
      <c r="I20" s="21">
        <f t="shared" si="1"/>
        <v>10</v>
      </c>
      <c r="J20" s="21">
        <f t="shared" si="1"/>
        <v>10</v>
      </c>
    </row>
    <row r="21" spans="1:10" s="10" customFormat="1" ht="13.35" customHeight="1" x14ac:dyDescent="0.25">
      <c r="A21" s="180">
        <v>3</v>
      </c>
      <c r="B21" s="20" t="s">
        <v>28</v>
      </c>
      <c r="C21" s="90">
        <v>7.0000000000000007E-2</v>
      </c>
      <c r="D21" s="90">
        <v>7.0000000000000007E-2</v>
      </c>
      <c r="E21" s="13"/>
      <c r="F21" s="13">
        <f t="shared" si="2"/>
        <v>0</v>
      </c>
      <c r="G21" s="97">
        <f t="shared" si="0"/>
        <v>0.7</v>
      </c>
      <c r="H21" s="21">
        <f t="shared" si="0"/>
        <v>0.7</v>
      </c>
      <c r="I21" s="21">
        <f t="shared" si="1"/>
        <v>7</v>
      </c>
      <c r="J21" s="21">
        <f t="shared" si="1"/>
        <v>7</v>
      </c>
    </row>
    <row r="22" spans="1:10" s="10" customFormat="1" ht="13.35" customHeight="1" x14ac:dyDescent="0.25">
      <c r="A22" s="180">
        <v>4</v>
      </c>
      <c r="B22" s="20" t="s">
        <v>30</v>
      </c>
      <c r="C22" s="90">
        <v>6.0000000000000001E-3</v>
      </c>
      <c r="D22" s="90">
        <v>6.0000000000000001E-3</v>
      </c>
      <c r="E22" s="13">
        <f>цены!F107</f>
        <v>76</v>
      </c>
      <c r="F22" s="13">
        <f t="shared" si="2"/>
        <v>0.46</v>
      </c>
      <c r="G22" s="97">
        <f t="shared" si="0"/>
        <v>0.06</v>
      </c>
      <c r="H22" s="21">
        <f t="shared" si="0"/>
        <v>0.06</v>
      </c>
      <c r="I22" s="21">
        <f t="shared" si="1"/>
        <v>0.6</v>
      </c>
      <c r="J22" s="21">
        <f t="shared" si="1"/>
        <v>0.6</v>
      </c>
    </row>
    <row r="23" spans="1:10" s="10" customFormat="1" ht="13.35" customHeight="1" x14ac:dyDescent="0.25">
      <c r="A23" s="190"/>
      <c r="B23" s="93" t="s">
        <v>71</v>
      </c>
      <c r="C23" s="94"/>
      <c r="D23" s="94">
        <v>0.2</v>
      </c>
      <c r="E23" s="95"/>
      <c r="F23" s="95">
        <f>SUM(F19:F22)</f>
        <v>9.86</v>
      </c>
      <c r="G23" s="99"/>
      <c r="H23" s="100">
        <f>D23*10</f>
        <v>2</v>
      </c>
      <c r="I23" s="100"/>
      <c r="J23" s="100">
        <f>D23*100</f>
        <v>20</v>
      </c>
    </row>
    <row r="24" spans="1:10" s="10" customFormat="1" ht="13.35" customHeight="1" x14ac:dyDescent="0.25">
      <c r="A24" s="129">
        <v>5</v>
      </c>
      <c r="B24" s="123" t="s">
        <v>31</v>
      </c>
      <c r="C24" s="124">
        <v>0.01</v>
      </c>
      <c r="D24" s="124">
        <v>0.01</v>
      </c>
      <c r="E24" s="13">
        <f>цены!F21</f>
        <v>710</v>
      </c>
      <c r="F24" s="13">
        <f>C24*E24</f>
        <v>7.1</v>
      </c>
      <c r="G24" s="97">
        <f>C24*10</f>
        <v>0.1</v>
      </c>
      <c r="H24" s="21">
        <f>D24*10</f>
        <v>0.1</v>
      </c>
      <c r="I24" s="21">
        <f>C24*100</f>
        <v>1</v>
      </c>
      <c r="J24" s="21">
        <f>D24*100</f>
        <v>1</v>
      </c>
    </row>
    <row r="25" spans="1:10" s="10" customFormat="1" ht="13.35" customHeight="1" x14ac:dyDescent="0.25">
      <c r="A25" s="180">
        <v>6</v>
      </c>
      <c r="B25" s="20" t="s">
        <v>30</v>
      </c>
      <c r="C25" s="90">
        <v>0.01</v>
      </c>
      <c r="D25" s="90">
        <v>0.01</v>
      </c>
      <c r="E25" s="13">
        <f>цены!F107</f>
        <v>76</v>
      </c>
      <c r="F25" s="13">
        <f t="shared" si="2"/>
        <v>0.76</v>
      </c>
      <c r="G25" s="97">
        <f>C25*10</f>
        <v>0.1</v>
      </c>
      <c r="H25" s="21">
        <f>D25*10</f>
        <v>0.1</v>
      </c>
      <c r="I25" s="21">
        <f>C25*100</f>
        <v>1</v>
      </c>
      <c r="J25" s="21">
        <f>D25*100</f>
        <v>1</v>
      </c>
    </row>
    <row r="26" spans="1:10" s="10" customFormat="1" ht="13.35" customHeight="1" x14ac:dyDescent="0.25">
      <c r="A26" s="184"/>
      <c r="B26" s="93" t="s">
        <v>117</v>
      </c>
      <c r="C26" s="94"/>
      <c r="D26" s="94">
        <v>220</v>
      </c>
      <c r="E26" s="95"/>
      <c r="F26" s="95">
        <f>F23+F24+F25</f>
        <v>17.72</v>
      </c>
      <c r="G26" s="99"/>
      <c r="H26" s="100">
        <f>D26*10</f>
        <v>2200</v>
      </c>
      <c r="I26" s="100"/>
      <c r="J26" s="100">
        <f>D26*100</f>
        <v>22000</v>
      </c>
    </row>
    <row r="27" spans="1:10" s="10" customFormat="1" ht="27.6" customHeight="1" x14ac:dyDescent="0.25">
      <c r="A27" s="1536" t="s">
        <v>35</v>
      </c>
      <c r="B27" s="1536"/>
      <c r="C27" s="90"/>
      <c r="D27" s="90"/>
      <c r="E27" s="13"/>
      <c r="F27" s="13">
        <f>F26</f>
        <v>17.72</v>
      </c>
      <c r="G27" s="373"/>
      <c r="H27" s="373"/>
      <c r="I27" s="21"/>
      <c r="J27" s="13"/>
    </row>
    <row r="28" spans="1:10" s="10" customFormat="1" ht="25.35" customHeight="1" x14ac:dyDescent="0.25">
      <c r="A28" s="1536" t="s">
        <v>36</v>
      </c>
      <c r="B28" s="1536"/>
      <c r="C28" s="90">
        <v>220</v>
      </c>
      <c r="D28" s="90"/>
      <c r="E28" s="13"/>
      <c r="F28" s="13"/>
      <c r="G28" s="13"/>
      <c r="H28" s="13"/>
      <c r="I28" s="21"/>
      <c r="J28" s="17"/>
    </row>
    <row r="29" spans="1:10" s="10" customFormat="1" ht="25.35" customHeight="1" x14ac:dyDescent="0.25">
      <c r="A29" s="1537" t="s">
        <v>37</v>
      </c>
      <c r="B29" s="1538"/>
      <c r="C29" s="91">
        <v>220</v>
      </c>
      <c r="D29" s="92"/>
      <c r="E29" s="374"/>
      <c r="F29" s="374"/>
      <c r="G29" s="374"/>
      <c r="H29" s="374"/>
      <c r="I29" s="21"/>
      <c r="J29" s="17"/>
    </row>
    <row r="30" spans="1:10" s="10" customFormat="1" ht="15" customHeight="1" x14ac:dyDescent="0.25">
      <c r="A30" s="1539" t="s">
        <v>38</v>
      </c>
      <c r="B30" s="1540"/>
      <c r="C30" s="92">
        <f>C28/C29</f>
        <v>1</v>
      </c>
      <c r="D30" s="92"/>
      <c r="E30" s="374"/>
      <c r="F30" s="374"/>
      <c r="G30" s="374"/>
      <c r="H30" s="374"/>
      <c r="I30" s="21"/>
      <c r="J30" s="17"/>
    </row>
    <row r="31" spans="1:10" ht="16.350000000000001" customHeight="1" x14ac:dyDescent="0.25">
      <c r="A31" s="1541" t="s">
        <v>39</v>
      </c>
      <c r="B31" s="1542"/>
      <c r="C31" s="15" t="s">
        <v>40</v>
      </c>
      <c r="D31" s="102"/>
      <c r="E31" s="102" t="s">
        <v>40</v>
      </c>
      <c r="F31" s="16">
        <f>F27/C30</f>
        <v>17.72</v>
      </c>
      <c r="G31" s="16"/>
      <c r="H31" s="16"/>
      <c r="I31" s="102" t="s">
        <v>40</v>
      </c>
      <c r="J31" s="102" t="s">
        <v>40</v>
      </c>
    </row>
    <row r="32" spans="1:10" ht="23.1" customHeight="1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193"/>
      <c r="B33" s="1194" t="s">
        <v>49</v>
      </c>
      <c r="C33" s="1198"/>
      <c r="D33" s="1198"/>
      <c r="E33" s="1198"/>
      <c r="F33" s="1198"/>
      <c r="G33" s="1193"/>
      <c r="H33" s="1557">
        <f>'1-бутерброд с маслом'!$H$28</f>
        <v>0</v>
      </c>
      <c r="I33" s="1557"/>
      <c r="J33" s="1557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545" t="s">
        <v>327</v>
      </c>
      <c r="B35" s="1545"/>
      <c r="C35" s="1546" t="s">
        <v>328</v>
      </c>
      <c r="D35" s="1546"/>
      <c r="E35" s="1546"/>
      <c r="F35" s="1546"/>
      <c r="G35" s="106"/>
      <c r="H35" s="1531"/>
      <c r="I35" s="1531"/>
      <c r="J35" s="1531"/>
    </row>
    <row r="36" spans="1:10" x14ac:dyDescent="0.25">
      <c r="A36" s="1193"/>
      <c r="B36" s="1193"/>
      <c r="C36" s="1546"/>
      <c r="D36" s="1546"/>
      <c r="E36" s="1546"/>
      <c r="F36" s="1546"/>
      <c r="G36" s="1193"/>
      <c r="H36" s="1531" t="s">
        <v>329</v>
      </c>
      <c r="I36" s="1531"/>
      <c r="J36" s="1531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</sheetData>
  <mergeCells count="28">
    <mergeCell ref="H33:J33"/>
    <mergeCell ref="A13:G13"/>
    <mergeCell ref="A28:B28"/>
    <mergeCell ref="A29:B29"/>
    <mergeCell ref="A30:B30"/>
    <mergeCell ref="A31:B31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5:B35"/>
    <mergeCell ref="C35:F36"/>
    <mergeCell ref="H35:J35"/>
    <mergeCell ref="H36:J36"/>
    <mergeCell ref="H5:I5"/>
    <mergeCell ref="A6:G6"/>
    <mergeCell ref="A7:I7"/>
    <mergeCell ref="A27:B27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E8EE3"/>
  </sheetPr>
  <dimension ref="A1:J40"/>
  <sheetViews>
    <sheetView view="pageBreakPreview" zoomScaleNormal="100" zoomScaleSheetLayoutView="100" workbookViewId="0">
      <selection activeCell="M31" sqref="M31"/>
    </sheetView>
  </sheetViews>
  <sheetFormatPr defaultColWidth="8.88671875" defaultRowHeight="13.8" x14ac:dyDescent="0.25"/>
  <cols>
    <col min="1" max="1" width="4.109375" style="407" customWidth="1"/>
    <col min="2" max="2" width="21.109375" style="407" customWidth="1"/>
    <col min="3" max="5" width="7.5546875" style="407" customWidth="1"/>
    <col min="6" max="6" width="8.88671875" style="407" customWidth="1"/>
    <col min="7" max="7" width="7.5546875" style="407" customWidth="1"/>
    <col min="8" max="8" width="8.88671875" style="407" customWidth="1"/>
    <col min="9" max="9" width="7.5546875" style="407" customWidth="1"/>
    <col min="10" max="10" width="9" style="407" customWidth="1"/>
    <col min="11" max="11" width="5" style="407" customWidth="1"/>
    <col min="12" max="16384" width="8.88671875" style="40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131)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182</v>
      </c>
    </row>
    <row r="8" spans="1:10" s="2" customFormat="1" ht="9.6" customHeight="1" x14ac:dyDescent="0.25">
      <c r="A8" s="442"/>
      <c r="B8" s="442"/>
      <c r="C8" s="442"/>
      <c r="D8" s="442"/>
      <c r="E8" s="442"/>
      <c r="F8" s="442"/>
      <c r="G8" s="442"/>
      <c r="H8" s="442"/>
      <c r="I8" s="442"/>
      <c r="J8" s="109"/>
    </row>
    <row r="9" spans="1:10" s="2" customFormat="1" ht="26.1" customHeight="1" x14ac:dyDescent="0.3">
      <c r="A9" s="1550" t="s">
        <v>702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'182- каша овсяная жид.120'!H14+1</f>
        <v>131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443" t="s">
        <v>92</v>
      </c>
      <c r="D17" s="443" t="s">
        <v>94</v>
      </c>
      <c r="E17" s="443" t="s">
        <v>93</v>
      </c>
      <c r="F17" s="443" t="s">
        <v>23</v>
      </c>
      <c r="G17" s="443" t="s">
        <v>92</v>
      </c>
      <c r="H17" s="443" t="s">
        <v>94</v>
      </c>
      <c r="I17" s="443" t="s">
        <v>92</v>
      </c>
      <c r="J17" s="443" t="s">
        <v>94</v>
      </c>
    </row>
    <row r="18" spans="1:10" ht="9.6" customHeight="1" x14ac:dyDescent="0.25">
      <c r="A18" s="443">
        <v>1</v>
      </c>
      <c r="B18" s="444">
        <v>2</v>
      </c>
      <c r="C18" s="443">
        <v>3</v>
      </c>
      <c r="D18" s="444">
        <v>4</v>
      </c>
      <c r="E18" s="443">
        <v>5</v>
      </c>
      <c r="F18" s="444">
        <v>6</v>
      </c>
      <c r="G18" s="443">
        <v>7</v>
      </c>
      <c r="H18" s="444">
        <v>8</v>
      </c>
      <c r="I18" s="443">
        <v>9</v>
      </c>
      <c r="J18" s="444">
        <v>10</v>
      </c>
    </row>
    <row r="19" spans="1:10" s="10" customFormat="1" ht="13.35" customHeight="1" x14ac:dyDescent="0.25">
      <c r="A19" s="180">
        <v>1</v>
      </c>
      <c r="B19" s="20" t="s">
        <v>701</v>
      </c>
      <c r="C19" s="90">
        <v>4.3999999999999997E-2</v>
      </c>
      <c r="D19" s="90">
        <v>4.3999999999999997E-2</v>
      </c>
      <c r="E19" s="408">
        <f>цены!F79</f>
        <v>35</v>
      </c>
      <c r="F19" s="408">
        <f>C19*E19</f>
        <v>1.54</v>
      </c>
      <c r="G19" s="97">
        <f t="shared" ref="G19:H22" si="0">C19*10</f>
        <v>0.44</v>
      </c>
      <c r="H19" s="21">
        <f t="shared" si="0"/>
        <v>0.44</v>
      </c>
      <c r="I19" s="21">
        <f t="shared" ref="I19:J22" si="1">C19*100</f>
        <v>4.4000000000000004</v>
      </c>
      <c r="J19" s="21">
        <f t="shared" si="1"/>
        <v>4.4000000000000004</v>
      </c>
    </row>
    <row r="20" spans="1:10" s="10" customFormat="1" ht="13.35" customHeight="1" x14ac:dyDescent="0.25">
      <c r="A20" s="180">
        <v>2</v>
      </c>
      <c r="B20" s="20" t="s">
        <v>34</v>
      </c>
      <c r="C20" s="90">
        <v>0.1</v>
      </c>
      <c r="D20" s="90">
        <v>0.1</v>
      </c>
      <c r="E20" s="408">
        <f>цены!F20</f>
        <v>80</v>
      </c>
      <c r="F20" s="408">
        <f t="shared" ref="F20:F25" si="2">C20*E20</f>
        <v>8</v>
      </c>
      <c r="G20" s="97">
        <f t="shared" si="0"/>
        <v>1</v>
      </c>
      <c r="H20" s="21">
        <f t="shared" si="0"/>
        <v>1</v>
      </c>
      <c r="I20" s="21">
        <f t="shared" si="1"/>
        <v>10</v>
      </c>
      <c r="J20" s="21">
        <f t="shared" si="1"/>
        <v>10</v>
      </c>
    </row>
    <row r="21" spans="1:10" s="10" customFormat="1" ht="13.35" customHeight="1" x14ac:dyDescent="0.25">
      <c r="A21" s="180">
        <v>3</v>
      </c>
      <c r="B21" s="20" t="s">
        <v>28</v>
      </c>
      <c r="C21" s="90">
        <v>7.0000000000000007E-2</v>
      </c>
      <c r="D21" s="90">
        <v>7.0000000000000007E-2</v>
      </c>
      <c r="E21" s="408"/>
      <c r="F21" s="408">
        <f t="shared" si="2"/>
        <v>0</v>
      </c>
      <c r="G21" s="97">
        <f t="shared" si="0"/>
        <v>0.7</v>
      </c>
      <c r="H21" s="21">
        <f t="shared" si="0"/>
        <v>0.7</v>
      </c>
      <c r="I21" s="21">
        <f t="shared" si="1"/>
        <v>7</v>
      </c>
      <c r="J21" s="21">
        <f t="shared" si="1"/>
        <v>7</v>
      </c>
    </row>
    <row r="22" spans="1:10" s="10" customFormat="1" ht="13.35" customHeight="1" x14ac:dyDescent="0.25">
      <c r="A22" s="180">
        <v>4</v>
      </c>
      <c r="B22" s="20" t="s">
        <v>30</v>
      </c>
      <c r="C22" s="90">
        <v>6.0000000000000001E-3</v>
      </c>
      <c r="D22" s="90">
        <v>6.0000000000000001E-3</v>
      </c>
      <c r="E22" s="408">
        <f>цены!F107</f>
        <v>76</v>
      </c>
      <c r="F22" s="408">
        <f t="shared" si="2"/>
        <v>0.46</v>
      </c>
      <c r="G22" s="97">
        <f t="shared" si="0"/>
        <v>0.06</v>
      </c>
      <c r="H22" s="21">
        <f t="shared" si="0"/>
        <v>0.06</v>
      </c>
      <c r="I22" s="21">
        <f t="shared" si="1"/>
        <v>0.6</v>
      </c>
      <c r="J22" s="21">
        <f t="shared" si="1"/>
        <v>0.6</v>
      </c>
    </row>
    <row r="23" spans="1:10" s="10" customFormat="1" ht="13.35" customHeight="1" x14ac:dyDescent="0.25">
      <c r="A23" s="416"/>
      <c r="B23" s="93" t="s">
        <v>71</v>
      </c>
      <c r="C23" s="94"/>
      <c r="D23" s="94">
        <v>0.2</v>
      </c>
      <c r="E23" s="95"/>
      <c r="F23" s="95">
        <f>SUM(F19:F22)</f>
        <v>10</v>
      </c>
      <c r="G23" s="99"/>
      <c r="H23" s="100">
        <f>D23*10</f>
        <v>2</v>
      </c>
      <c r="I23" s="100"/>
      <c r="J23" s="100">
        <f>D23*100</f>
        <v>20</v>
      </c>
    </row>
    <row r="24" spans="1:10" s="10" customFormat="1" ht="13.35" customHeight="1" x14ac:dyDescent="0.25">
      <c r="A24" s="129">
        <v>5</v>
      </c>
      <c r="B24" s="123" t="s">
        <v>31</v>
      </c>
      <c r="C24" s="124">
        <v>0.01</v>
      </c>
      <c r="D24" s="124">
        <v>0.01</v>
      </c>
      <c r="E24" s="408">
        <f>цены!F21</f>
        <v>710</v>
      </c>
      <c r="F24" s="408">
        <f>C24*E24</f>
        <v>7.1</v>
      </c>
      <c r="G24" s="97">
        <f>C24*10</f>
        <v>0.1</v>
      </c>
      <c r="H24" s="21">
        <f>D24*10</f>
        <v>0.1</v>
      </c>
      <c r="I24" s="21">
        <f>C24*100</f>
        <v>1</v>
      </c>
      <c r="J24" s="21">
        <f>D24*100</f>
        <v>1</v>
      </c>
    </row>
    <row r="25" spans="1:10" s="10" customFormat="1" ht="13.35" customHeight="1" x14ac:dyDescent="0.25">
      <c r="A25" s="180">
        <v>6</v>
      </c>
      <c r="B25" s="20" t="s">
        <v>30</v>
      </c>
      <c r="C25" s="90">
        <v>0.01</v>
      </c>
      <c r="D25" s="90">
        <v>0.01</v>
      </c>
      <c r="E25" s="408">
        <f>цены!F107</f>
        <v>76</v>
      </c>
      <c r="F25" s="408">
        <f t="shared" si="2"/>
        <v>0.76</v>
      </c>
      <c r="G25" s="97">
        <f>C25*10</f>
        <v>0.1</v>
      </c>
      <c r="H25" s="21">
        <f>D25*10</f>
        <v>0.1</v>
      </c>
      <c r="I25" s="21">
        <f>C25*100</f>
        <v>1</v>
      </c>
      <c r="J25" s="21">
        <f>D25*100</f>
        <v>1</v>
      </c>
    </row>
    <row r="26" spans="1:10" s="10" customFormat="1" ht="13.35" customHeight="1" x14ac:dyDescent="0.25">
      <c r="A26" s="184"/>
      <c r="B26" s="93" t="s">
        <v>117</v>
      </c>
      <c r="C26" s="94"/>
      <c r="D26" s="94">
        <v>220</v>
      </c>
      <c r="E26" s="95"/>
      <c r="F26" s="95">
        <f>F23+F24+F25</f>
        <v>17.86</v>
      </c>
      <c r="G26" s="99"/>
      <c r="H26" s="100">
        <f>D26*10</f>
        <v>2200</v>
      </c>
      <c r="I26" s="100"/>
      <c r="J26" s="100">
        <f>D26*100</f>
        <v>22000</v>
      </c>
    </row>
    <row r="27" spans="1:10" s="10" customFormat="1" ht="27.6" customHeight="1" x14ac:dyDescent="0.25">
      <c r="A27" s="1536" t="s">
        <v>35</v>
      </c>
      <c r="B27" s="1536"/>
      <c r="C27" s="90"/>
      <c r="D27" s="90"/>
      <c r="E27" s="408"/>
      <c r="F27" s="408">
        <f>F26</f>
        <v>17.86</v>
      </c>
      <c r="G27" s="445"/>
      <c r="H27" s="445"/>
      <c r="I27" s="21"/>
      <c r="J27" s="408"/>
    </row>
    <row r="28" spans="1:10" s="10" customFormat="1" ht="25.35" customHeight="1" x14ac:dyDescent="0.25">
      <c r="A28" s="1536" t="s">
        <v>36</v>
      </c>
      <c r="B28" s="1536"/>
      <c r="C28" s="90">
        <v>220</v>
      </c>
      <c r="D28" s="90"/>
      <c r="E28" s="408"/>
      <c r="F28" s="408"/>
      <c r="G28" s="408"/>
      <c r="H28" s="408"/>
      <c r="I28" s="21"/>
      <c r="J28" s="17"/>
    </row>
    <row r="29" spans="1:10" s="10" customFormat="1" ht="25.35" customHeight="1" x14ac:dyDescent="0.25">
      <c r="A29" s="1537" t="s">
        <v>37</v>
      </c>
      <c r="B29" s="1538"/>
      <c r="C29" s="91">
        <v>220</v>
      </c>
      <c r="D29" s="92"/>
      <c r="E29" s="444"/>
      <c r="F29" s="444"/>
      <c r="G29" s="444"/>
      <c r="H29" s="444"/>
      <c r="I29" s="21"/>
      <c r="J29" s="17"/>
    </row>
    <row r="30" spans="1:10" s="10" customFormat="1" ht="15" customHeight="1" x14ac:dyDescent="0.25">
      <c r="A30" s="1539" t="s">
        <v>38</v>
      </c>
      <c r="B30" s="1540"/>
      <c r="C30" s="92">
        <f>C28/C29</f>
        <v>1</v>
      </c>
      <c r="D30" s="92"/>
      <c r="E30" s="444"/>
      <c r="F30" s="444"/>
      <c r="G30" s="444"/>
      <c r="H30" s="444"/>
      <c r="I30" s="21"/>
      <c r="J30" s="17"/>
    </row>
    <row r="31" spans="1:10" ht="16.350000000000001" customHeight="1" x14ac:dyDescent="0.25">
      <c r="A31" s="1541" t="s">
        <v>39</v>
      </c>
      <c r="B31" s="1542"/>
      <c r="C31" s="15" t="s">
        <v>40</v>
      </c>
      <c r="D31" s="102"/>
      <c r="E31" s="102" t="s">
        <v>40</v>
      </c>
      <c r="F31" s="16">
        <f>F27/C30</f>
        <v>17.86</v>
      </c>
      <c r="G31" s="16"/>
      <c r="H31" s="16"/>
      <c r="I31" s="102" t="s">
        <v>40</v>
      </c>
      <c r="J31" s="102" t="s">
        <v>40</v>
      </c>
    </row>
    <row r="32" spans="1:10" ht="23.1" customHeight="1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193"/>
      <c r="B33" s="1194" t="s">
        <v>49</v>
      </c>
      <c r="C33" s="1198"/>
      <c r="D33" s="1198"/>
      <c r="E33" s="1198"/>
      <c r="F33" s="1198"/>
      <c r="G33" s="1193"/>
      <c r="H33" s="1560">
        <f>'1-бутерброд с маслом'!$H$28</f>
        <v>0</v>
      </c>
      <c r="I33" s="1560"/>
      <c r="J33" s="1560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545" t="s">
        <v>327</v>
      </c>
      <c r="B35" s="1545"/>
      <c r="C35" s="1546" t="s">
        <v>328</v>
      </c>
      <c r="D35" s="1546"/>
      <c r="E35" s="1546"/>
      <c r="F35" s="1546"/>
      <c r="G35" s="106"/>
      <c r="H35" s="1531"/>
      <c r="I35" s="1531"/>
      <c r="J35" s="1531"/>
    </row>
    <row r="36" spans="1:10" x14ac:dyDescent="0.25">
      <c r="A36" s="1193"/>
      <c r="B36" s="1193"/>
      <c r="C36" s="1546"/>
      <c r="D36" s="1546"/>
      <c r="E36" s="1546"/>
      <c r="F36" s="1546"/>
      <c r="G36" s="1193"/>
      <c r="H36" s="1531" t="s">
        <v>329</v>
      </c>
      <c r="I36" s="1531"/>
      <c r="J36" s="1531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5:B35"/>
    <mergeCell ref="C35:F36"/>
    <mergeCell ref="H35:J35"/>
    <mergeCell ref="H36:J36"/>
    <mergeCell ref="A28:B28"/>
    <mergeCell ref="A29:B29"/>
    <mergeCell ref="A30:B30"/>
    <mergeCell ref="A31:B31"/>
    <mergeCell ref="H33:J33"/>
    <mergeCell ref="A27:B27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E8EE3"/>
  </sheetPr>
  <dimension ref="A1:J41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1093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132)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183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623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'182- каша ячневая жид.'!H14+1</f>
        <v>132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26.1" customHeight="1" x14ac:dyDescent="0.25">
      <c r="A19" s="180">
        <v>1</v>
      </c>
      <c r="B19" s="20" t="s">
        <v>87</v>
      </c>
      <c r="C19" s="90">
        <v>0.04</v>
      </c>
      <c r="D19" s="90">
        <v>0.04</v>
      </c>
      <c r="E19" s="13">
        <f>цены!F75</f>
        <v>100</v>
      </c>
      <c r="F19" s="13">
        <f>C19*E19</f>
        <v>4</v>
      </c>
      <c r="G19" s="97">
        <f t="shared" ref="G19:H23" si="0">C19*10</f>
        <v>0.4</v>
      </c>
      <c r="H19" s="21">
        <f t="shared" si="0"/>
        <v>0.4</v>
      </c>
      <c r="I19" s="21">
        <f t="shared" ref="I19:J23" si="1">C19*100</f>
        <v>4</v>
      </c>
      <c r="J19" s="21">
        <f t="shared" si="1"/>
        <v>4</v>
      </c>
    </row>
    <row r="20" spans="1:10" s="10" customFormat="1" ht="14.1" customHeight="1" x14ac:dyDescent="0.25">
      <c r="A20" s="180">
        <v>2</v>
      </c>
      <c r="B20" s="20" t="s">
        <v>28</v>
      </c>
      <c r="C20" s="90">
        <v>0.03</v>
      </c>
      <c r="D20" s="90">
        <v>0.03</v>
      </c>
      <c r="E20" s="13"/>
      <c r="F20" s="13">
        <f t="shared" ref="F20:F26" si="2">C20*E20</f>
        <v>0</v>
      </c>
      <c r="G20" s="97">
        <f t="shared" si="0"/>
        <v>0.3</v>
      </c>
      <c r="H20" s="21">
        <f t="shared" si="0"/>
        <v>0.3</v>
      </c>
      <c r="I20" s="21">
        <f t="shared" si="1"/>
        <v>3</v>
      </c>
      <c r="J20" s="21">
        <f t="shared" si="1"/>
        <v>3</v>
      </c>
    </row>
    <row r="21" spans="1:10" s="10" customFormat="1" ht="14.1" customHeight="1" x14ac:dyDescent="0.25">
      <c r="A21" s="180">
        <v>3</v>
      </c>
      <c r="B21" s="20" t="s">
        <v>34</v>
      </c>
      <c r="C21" s="90">
        <v>0.14000000000000001</v>
      </c>
      <c r="D21" s="90">
        <v>0.14000000000000001</v>
      </c>
      <c r="E21" s="13">
        <f>цены!F20</f>
        <v>80</v>
      </c>
      <c r="F21" s="13">
        <f t="shared" si="2"/>
        <v>11.2</v>
      </c>
      <c r="G21" s="97">
        <f t="shared" si="0"/>
        <v>1.4</v>
      </c>
      <c r="H21" s="21">
        <f t="shared" si="0"/>
        <v>1.4</v>
      </c>
      <c r="I21" s="21">
        <f t="shared" si="1"/>
        <v>14</v>
      </c>
      <c r="J21" s="21">
        <f t="shared" si="1"/>
        <v>14</v>
      </c>
    </row>
    <row r="22" spans="1:10" s="10" customFormat="1" ht="14.1" customHeight="1" x14ac:dyDescent="0.25">
      <c r="A22" s="180">
        <v>4</v>
      </c>
      <c r="B22" s="20" t="s">
        <v>30</v>
      </c>
      <c r="C22" s="90">
        <v>6.0000000000000001E-3</v>
      </c>
      <c r="D22" s="90">
        <v>6.0000000000000001E-3</v>
      </c>
      <c r="E22" s="13">
        <f>цены!F107</f>
        <v>76</v>
      </c>
      <c r="F22" s="13">
        <f t="shared" si="2"/>
        <v>0.46</v>
      </c>
      <c r="G22" s="97">
        <f t="shared" si="0"/>
        <v>0.06</v>
      </c>
      <c r="H22" s="21">
        <f t="shared" si="0"/>
        <v>0.06</v>
      </c>
      <c r="I22" s="21">
        <f t="shared" si="1"/>
        <v>0.6</v>
      </c>
      <c r="J22" s="21">
        <f t="shared" si="1"/>
        <v>0.6</v>
      </c>
    </row>
    <row r="23" spans="1:10" s="10" customFormat="1" ht="14.1" customHeight="1" x14ac:dyDescent="0.25">
      <c r="A23" s="180">
        <v>5</v>
      </c>
      <c r="B23" s="20" t="s">
        <v>33</v>
      </c>
      <c r="C23" s="110">
        <v>1.6000000000000001E-3</v>
      </c>
      <c r="D23" s="110">
        <v>1.6000000000000001E-3</v>
      </c>
      <c r="E23" s="13">
        <f>цены!F110</f>
        <v>24</v>
      </c>
      <c r="F23" s="13">
        <f t="shared" si="2"/>
        <v>0.04</v>
      </c>
      <c r="G23" s="97">
        <f t="shared" si="0"/>
        <v>1.6E-2</v>
      </c>
      <c r="H23" s="21">
        <f t="shared" si="0"/>
        <v>1.6E-2</v>
      </c>
      <c r="I23" s="21">
        <f t="shared" si="1"/>
        <v>0.16</v>
      </c>
      <c r="J23" s="21">
        <f t="shared" si="1"/>
        <v>0.16</v>
      </c>
    </row>
    <row r="24" spans="1:10" s="10" customFormat="1" ht="14.1" customHeight="1" x14ac:dyDescent="0.25">
      <c r="A24" s="190"/>
      <c r="B24" s="93" t="s">
        <v>71</v>
      </c>
      <c r="C24" s="94"/>
      <c r="D24" s="1081">
        <v>200</v>
      </c>
      <c r="E24" s="95"/>
      <c r="F24" s="95">
        <f>SUM(F19:F23)</f>
        <v>15.7</v>
      </c>
      <c r="G24" s="99"/>
      <c r="H24" s="1028">
        <f>D24*10</f>
        <v>2000</v>
      </c>
      <c r="I24" s="1028"/>
      <c r="J24" s="1028">
        <f>D24*100</f>
        <v>20000</v>
      </c>
    </row>
    <row r="25" spans="1:10" s="10" customFormat="1" ht="14.1" customHeight="1" x14ac:dyDescent="0.25">
      <c r="A25" s="129">
        <v>6</v>
      </c>
      <c r="B25" s="123" t="s">
        <v>31</v>
      </c>
      <c r="C25" s="124">
        <v>0.01</v>
      </c>
      <c r="D25" s="124">
        <v>0.01</v>
      </c>
      <c r="E25" s="13">
        <f>цены!F21</f>
        <v>710</v>
      </c>
      <c r="F25" s="13">
        <f>C25*E25</f>
        <v>7.1</v>
      </c>
      <c r="G25" s="97">
        <f>C25*10</f>
        <v>0.1</v>
      </c>
      <c r="H25" s="21">
        <f>D25*10</f>
        <v>0.1</v>
      </c>
      <c r="I25" s="21">
        <f>C25*100</f>
        <v>1</v>
      </c>
      <c r="J25" s="21">
        <f>D25*100</f>
        <v>1</v>
      </c>
    </row>
    <row r="26" spans="1:10" s="10" customFormat="1" ht="14.1" customHeight="1" x14ac:dyDescent="0.25">
      <c r="A26" s="180">
        <v>7</v>
      </c>
      <c r="B26" s="20" t="s">
        <v>30</v>
      </c>
      <c r="C26" s="90">
        <v>0.01</v>
      </c>
      <c r="D26" s="90">
        <v>0.01</v>
      </c>
      <c r="E26" s="13">
        <f>цены!F107</f>
        <v>76</v>
      </c>
      <c r="F26" s="13">
        <f t="shared" si="2"/>
        <v>0.76</v>
      </c>
      <c r="G26" s="97">
        <f>C26*10</f>
        <v>0.1</v>
      </c>
      <c r="H26" s="21">
        <f>D26*10</f>
        <v>0.1</v>
      </c>
      <c r="I26" s="21">
        <f>C26*100</f>
        <v>1</v>
      </c>
      <c r="J26" s="21">
        <f>D26*100</f>
        <v>1</v>
      </c>
    </row>
    <row r="27" spans="1:10" s="10" customFormat="1" ht="14.1" customHeight="1" x14ac:dyDescent="0.25">
      <c r="A27" s="184"/>
      <c r="B27" s="93" t="s">
        <v>117</v>
      </c>
      <c r="C27" s="94"/>
      <c r="D27" s="1081">
        <v>220</v>
      </c>
      <c r="E27" s="95"/>
      <c r="F27" s="95">
        <f>F24+F25+F26</f>
        <v>23.56</v>
      </c>
      <c r="G27" s="99"/>
      <c r="H27" s="1028">
        <f>D27*10</f>
        <v>2200</v>
      </c>
      <c r="I27" s="1028"/>
      <c r="J27" s="1028">
        <f>D27*100</f>
        <v>22000</v>
      </c>
    </row>
    <row r="28" spans="1:10" s="10" customFormat="1" ht="27.6" customHeight="1" x14ac:dyDescent="0.25">
      <c r="A28" s="1536" t="s">
        <v>35</v>
      </c>
      <c r="B28" s="1536"/>
      <c r="C28" s="90"/>
      <c r="D28" s="90"/>
      <c r="E28" s="13"/>
      <c r="F28" s="13">
        <f>F27</f>
        <v>23.56</v>
      </c>
      <c r="G28" s="14"/>
      <c r="H28" s="14"/>
      <c r="I28" s="21"/>
      <c r="J28" s="13"/>
    </row>
    <row r="29" spans="1:10" s="10" customFormat="1" ht="25.35" customHeight="1" x14ac:dyDescent="0.25">
      <c r="A29" s="1536" t="s">
        <v>36</v>
      </c>
      <c r="B29" s="1536"/>
      <c r="C29" s="90">
        <v>220</v>
      </c>
      <c r="D29" s="90"/>
      <c r="E29" s="13"/>
      <c r="F29" s="13"/>
      <c r="G29" s="13"/>
      <c r="H29" s="13"/>
      <c r="I29" s="21"/>
      <c r="J29" s="17"/>
    </row>
    <row r="30" spans="1:10" s="10" customFormat="1" ht="25.35" customHeight="1" x14ac:dyDescent="0.25">
      <c r="A30" s="1537" t="s">
        <v>37</v>
      </c>
      <c r="B30" s="1538"/>
      <c r="C30" s="91">
        <v>220</v>
      </c>
      <c r="D30" s="92"/>
      <c r="E30" s="5"/>
      <c r="F30" s="5"/>
      <c r="G30" s="5"/>
      <c r="H30" s="5"/>
      <c r="I30" s="21"/>
      <c r="J30" s="17"/>
    </row>
    <row r="31" spans="1:10" s="10" customFormat="1" ht="15" customHeight="1" x14ac:dyDescent="0.25">
      <c r="A31" s="1539" t="s">
        <v>38</v>
      </c>
      <c r="B31" s="1540"/>
      <c r="C31" s="92">
        <f>C29/C30</f>
        <v>1</v>
      </c>
      <c r="D31" s="92"/>
      <c r="E31" s="5"/>
      <c r="F31" s="5"/>
      <c r="G31" s="5"/>
      <c r="H31" s="5"/>
      <c r="I31" s="21"/>
      <c r="J31" s="17"/>
    </row>
    <row r="32" spans="1:10" ht="16.350000000000001" customHeight="1" x14ac:dyDescent="0.25">
      <c r="A32" s="1541" t="s">
        <v>39</v>
      </c>
      <c r="B32" s="1542"/>
      <c r="C32" s="15" t="s">
        <v>40</v>
      </c>
      <c r="D32" s="102"/>
      <c r="E32" s="102" t="s">
        <v>40</v>
      </c>
      <c r="F32" s="16">
        <f>F28/C31</f>
        <v>23.56</v>
      </c>
      <c r="G32" s="16"/>
      <c r="H32" s="16"/>
      <c r="I32" s="102" t="s">
        <v>40</v>
      </c>
      <c r="J32" s="102" t="s">
        <v>40</v>
      </c>
    </row>
    <row r="33" spans="1:10" ht="23.1" customHeight="1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193"/>
      <c r="B34" s="1194" t="s">
        <v>49</v>
      </c>
      <c r="C34" s="1198"/>
      <c r="D34" s="1198"/>
      <c r="E34" s="1198"/>
      <c r="F34" s="1198"/>
      <c r="G34" s="1193"/>
      <c r="H34" s="1557">
        <f>'1-бутерброд с маслом'!$H$28</f>
        <v>0</v>
      </c>
      <c r="I34" s="1557"/>
      <c r="J34" s="1557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545" t="s">
        <v>327</v>
      </c>
      <c r="B36" s="1545"/>
      <c r="C36" s="1546" t="s">
        <v>328</v>
      </c>
      <c r="D36" s="1546"/>
      <c r="E36" s="1546"/>
      <c r="F36" s="1546"/>
      <c r="G36" s="106"/>
      <c r="H36" s="1531"/>
      <c r="I36" s="1531"/>
      <c r="J36" s="1531"/>
    </row>
    <row r="37" spans="1:10" x14ac:dyDescent="0.25">
      <c r="A37" s="1193"/>
      <c r="B37" s="1193"/>
      <c r="C37" s="1546"/>
      <c r="D37" s="1546"/>
      <c r="E37" s="1546"/>
      <c r="F37" s="1546"/>
      <c r="G37" s="1193"/>
      <c r="H37" s="1531" t="s">
        <v>329</v>
      </c>
      <c r="I37" s="1531"/>
      <c r="J37" s="1531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</sheetData>
  <mergeCells count="28">
    <mergeCell ref="A29:B29"/>
    <mergeCell ref="A30:B30"/>
    <mergeCell ref="H5:I5"/>
    <mergeCell ref="A6:G6"/>
    <mergeCell ref="A7:I7"/>
    <mergeCell ref="A11:J11"/>
    <mergeCell ref="I13:J13"/>
    <mergeCell ref="G16:H16"/>
    <mergeCell ref="I16:J16"/>
    <mergeCell ref="A9:J9"/>
    <mergeCell ref="C14:G14"/>
    <mergeCell ref="I14:J14"/>
    <mergeCell ref="G1:J1"/>
    <mergeCell ref="G2:J2"/>
    <mergeCell ref="G3:J3"/>
    <mergeCell ref="A5:G5"/>
    <mergeCell ref="A36:B36"/>
    <mergeCell ref="C36:F37"/>
    <mergeCell ref="H36:J36"/>
    <mergeCell ref="H37:J37"/>
    <mergeCell ref="A13:G13"/>
    <mergeCell ref="H34:J34"/>
    <mergeCell ref="A31:B31"/>
    <mergeCell ref="A32:B32"/>
    <mergeCell ref="C16:F16"/>
    <mergeCell ref="B16:B17"/>
    <mergeCell ref="A16:A17"/>
    <mergeCell ref="A28:B28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45"/>
  <sheetViews>
    <sheetView view="pageBreakPreview" topLeftCell="A8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628" customWidth="1"/>
    <col min="2" max="2" width="23.5546875" style="628" customWidth="1"/>
    <col min="3" max="7" width="7.5546875" style="628" customWidth="1"/>
    <col min="8" max="8" width="8.88671875" style="628" customWidth="1"/>
    <col min="9" max="9" width="7.5546875" style="628" customWidth="1"/>
    <col min="10" max="10" width="9.109375" style="628" customWidth="1"/>
    <col min="11" max="11" width="3.33203125" style="628" customWidth="1"/>
    <col min="12" max="16384" width="8.88671875" style="628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133)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184</v>
      </c>
    </row>
    <row r="8" spans="1:10" s="2" customFormat="1" ht="9.6" customHeight="1" x14ac:dyDescent="0.25">
      <c r="A8" s="629"/>
      <c r="B8" s="629"/>
      <c r="C8" s="629"/>
      <c r="D8" s="629"/>
      <c r="E8" s="629"/>
      <c r="F8" s="629"/>
      <c r="G8" s="629"/>
      <c r="H8" s="629"/>
      <c r="I8" s="629"/>
      <c r="J8" s="109"/>
    </row>
    <row r="9" spans="1:10" s="2" customFormat="1" ht="26.1" customHeight="1" x14ac:dyDescent="0.3">
      <c r="A9" s="1550" t="s">
        <v>898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'183-каша гречневая жид.'!H14+1</f>
        <v>133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630" t="s">
        <v>92</v>
      </c>
      <c r="D17" s="630" t="s">
        <v>94</v>
      </c>
      <c r="E17" s="630" t="s">
        <v>93</v>
      </c>
      <c r="F17" s="630" t="s">
        <v>23</v>
      </c>
      <c r="G17" s="630" t="s">
        <v>92</v>
      </c>
      <c r="H17" s="630" t="s">
        <v>94</v>
      </c>
      <c r="I17" s="630" t="s">
        <v>92</v>
      </c>
      <c r="J17" s="630" t="s">
        <v>94</v>
      </c>
    </row>
    <row r="18" spans="1:10" ht="9.6" customHeight="1" x14ac:dyDescent="0.25">
      <c r="A18" s="630">
        <v>1</v>
      </c>
      <c r="B18" s="631">
        <v>2</v>
      </c>
      <c r="C18" s="630">
        <v>3</v>
      </c>
      <c r="D18" s="631">
        <v>4</v>
      </c>
      <c r="E18" s="630">
        <v>5</v>
      </c>
      <c r="F18" s="631">
        <v>6</v>
      </c>
      <c r="G18" s="630">
        <v>7</v>
      </c>
      <c r="H18" s="631">
        <v>8</v>
      </c>
      <c r="I18" s="630">
        <v>9</v>
      </c>
      <c r="J18" s="631">
        <v>10</v>
      </c>
    </row>
    <row r="19" spans="1:10" s="10" customFormat="1" ht="15" customHeight="1" x14ac:dyDescent="0.25">
      <c r="A19" s="180">
        <v>1</v>
      </c>
      <c r="B19" s="20" t="s">
        <v>26</v>
      </c>
      <c r="C19" s="90">
        <v>3.2000000000000001E-2</v>
      </c>
      <c r="D19" s="90">
        <v>3.2000000000000001E-2</v>
      </c>
      <c r="E19" s="408">
        <f>цены!F75</f>
        <v>100</v>
      </c>
      <c r="F19" s="408">
        <f>C19*E19</f>
        <v>3.2</v>
      </c>
      <c r="G19" s="97">
        <f t="shared" ref="G19:H30" si="0">C19*10</f>
        <v>0.32</v>
      </c>
      <c r="H19" s="21">
        <f t="shared" si="0"/>
        <v>0.32</v>
      </c>
      <c r="I19" s="21">
        <f t="shared" ref="I19:J30" si="1">C19*100</f>
        <v>3.2</v>
      </c>
      <c r="J19" s="21">
        <f t="shared" si="1"/>
        <v>3.2</v>
      </c>
    </row>
    <row r="20" spans="1:10" s="10" customFormat="1" ht="14.1" customHeight="1" x14ac:dyDescent="0.25">
      <c r="A20" s="180">
        <v>2</v>
      </c>
      <c r="B20" s="20" t="s">
        <v>28</v>
      </c>
      <c r="C20" s="90">
        <v>5.1999999999999998E-2</v>
      </c>
      <c r="D20" s="90">
        <v>5.1999999999999998E-2</v>
      </c>
      <c r="E20" s="408"/>
      <c r="F20" s="408">
        <f t="shared" ref="F20:F27" si="2">C20*E20</f>
        <v>0</v>
      </c>
      <c r="G20" s="97">
        <f t="shared" si="0"/>
        <v>0.52</v>
      </c>
      <c r="H20" s="21">
        <f t="shared" si="0"/>
        <v>0.52</v>
      </c>
      <c r="I20" s="21">
        <f t="shared" si="1"/>
        <v>5.2</v>
      </c>
      <c r="J20" s="21">
        <f t="shared" si="1"/>
        <v>5.2</v>
      </c>
    </row>
    <row r="21" spans="1:10" s="10" customFormat="1" ht="14.1" customHeight="1" x14ac:dyDescent="0.25">
      <c r="A21" s="184"/>
      <c r="B21" s="93" t="s">
        <v>71</v>
      </c>
      <c r="C21" s="94"/>
      <c r="D21" s="94">
        <v>0.08</v>
      </c>
      <c r="E21" s="95"/>
      <c r="F21" s="95"/>
      <c r="G21" s="99"/>
      <c r="H21" s="100"/>
      <c r="I21" s="100"/>
      <c r="J21" s="100"/>
    </row>
    <row r="22" spans="1:10" s="10" customFormat="1" ht="14.1" customHeight="1" x14ac:dyDescent="0.25">
      <c r="A22" s="129">
        <v>3</v>
      </c>
      <c r="B22" s="123" t="s">
        <v>57</v>
      </c>
      <c r="C22" s="690">
        <v>3.04E-2</v>
      </c>
      <c r="D22" s="124">
        <v>0.03</v>
      </c>
      <c r="E22" s="408">
        <f>цены!F23</f>
        <v>350</v>
      </c>
      <c r="F22" s="408">
        <f t="shared" si="2"/>
        <v>10.64</v>
      </c>
      <c r="G22" s="97">
        <f>C22*10</f>
        <v>0.30399999999999999</v>
      </c>
      <c r="H22" s="21">
        <f>D22*10</f>
        <v>0.3</v>
      </c>
      <c r="I22" s="21">
        <f>C22*100</f>
        <v>3.04</v>
      </c>
      <c r="J22" s="21">
        <f>D22*100</f>
        <v>3</v>
      </c>
    </row>
    <row r="23" spans="1:10" s="10" customFormat="1" ht="14.1" customHeight="1" x14ac:dyDescent="0.25">
      <c r="A23" s="180">
        <v>4</v>
      </c>
      <c r="B23" s="20" t="s">
        <v>30</v>
      </c>
      <c r="C23" s="90">
        <v>4.0000000000000001E-3</v>
      </c>
      <c r="D23" s="90">
        <v>4.0000000000000001E-3</v>
      </c>
      <c r="E23" s="408">
        <f>цены!F107</f>
        <v>76</v>
      </c>
      <c r="F23" s="408">
        <f t="shared" si="2"/>
        <v>0.3</v>
      </c>
      <c r="G23" s="97">
        <f t="shared" si="0"/>
        <v>0.04</v>
      </c>
      <c r="H23" s="21">
        <f t="shared" si="0"/>
        <v>0.04</v>
      </c>
      <c r="I23" s="21">
        <f t="shared" si="1"/>
        <v>0.4</v>
      </c>
      <c r="J23" s="21">
        <f t="shared" si="1"/>
        <v>0.4</v>
      </c>
    </row>
    <row r="24" spans="1:10" s="10" customFormat="1" ht="14.1" customHeight="1" x14ac:dyDescent="0.25">
      <c r="A24" s="180">
        <v>4</v>
      </c>
      <c r="B24" s="20" t="s">
        <v>896</v>
      </c>
      <c r="C24" s="90">
        <f>0.046/20</f>
        <v>2E-3</v>
      </c>
      <c r="D24" s="90">
        <f>0.04/20</f>
        <v>2E-3</v>
      </c>
      <c r="E24" s="408">
        <f>цены!F30</f>
        <v>152.16999999999999</v>
      </c>
      <c r="F24" s="408">
        <f t="shared" si="2"/>
        <v>0.3</v>
      </c>
      <c r="G24" s="97">
        <f t="shared" si="0"/>
        <v>0.02</v>
      </c>
      <c r="H24" s="21">
        <f t="shared" si="0"/>
        <v>0.02</v>
      </c>
      <c r="I24" s="21">
        <f t="shared" si="1"/>
        <v>0.2</v>
      </c>
      <c r="J24" s="21">
        <f t="shared" si="1"/>
        <v>0.2</v>
      </c>
    </row>
    <row r="25" spans="1:10" s="10" customFormat="1" ht="14.1" customHeight="1" x14ac:dyDescent="0.25">
      <c r="A25" s="180"/>
      <c r="B25" s="20" t="s">
        <v>72</v>
      </c>
      <c r="C25" s="90">
        <v>2E-3</v>
      </c>
      <c r="D25" s="90">
        <v>2E-3</v>
      </c>
      <c r="E25" s="408">
        <f>цены!F111</f>
        <v>118</v>
      </c>
      <c r="F25" s="408">
        <f>C25*E25</f>
        <v>0.24</v>
      </c>
      <c r="G25" s="97">
        <f>C25*10</f>
        <v>0.02</v>
      </c>
      <c r="H25" s="21">
        <f>D25*10</f>
        <v>0.02</v>
      </c>
      <c r="I25" s="21">
        <f>C25*100</f>
        <v>0.2</v>
      </c>
      <c r="J25" s="21">
        <f>D25*100</f>
        <v>0.2</v>
      </c>
    </row>
    <row r="26" spans="1:10" s="10" customFormat="1" ht="22.2" customHeight="1" x14ac:dyDescent="0.25">
      <c r="A26" s="180">
        <v>5</v>
      </c>
      <c r="B26" s="20" t="s">
        <v>690</v>
      </c>
      <c r="C26" s="90">
        <v>2E-3</v>
      </c>
      <c r="D26" s="90">
        <v>2E-3</v>
      </c>
      <c r="E26" s="408">
        <f>цены!F87</f>
        <v>120</v>
      </c>
      <c r="F26" s="408">
        <f t="shared" si="2"/>
        <v>0.24</v>
      </c>
      <c r="G26" s="97">
        <f t="shared" si="0"/>
        <v>0.02</v>
      </c>
      <c r="H26" s="21">
        <f t="shared" si="0"/>
        <v>0.02</v>
      </c>
      <c r="I26" s="21">
        <f t="shared" si="1"/>
        <v>0.2</v>
      </c>
      <c r="J26" s="21">
        <f t="shared" si="1"/>
        <v>0.2</v>
      </c>
    </row>
    <row r="27" spans="1:10" s="10" customFormat="1" ht="13.95" customHeight="1" x14ac:dyDescent="0.25">
      <c r="A27" s="180">
        <v>7</v>
      </c>
      <c r="B27" s="20" t="s">
        <v>51</v>
      </c>
      <c r="C27" s="90">
        <v>2E-3</v>
      </c>
      <c r="D27" s="90">
        <v>2E-3</v>
      </c>
      <c r="E27" s="408">
        <f>цены!F24</f>
        <v>234</v>
      </c>
      <c r="F27" s="408">
        <f t="shared" si="2"/>
        <v>0.47</v>
      </c>
      <c r="G27" s="97">
        <f t="shared" si="0"/>
        <v>0.02</v>
      </c>
      <c r="H27" s="21">
        <f t="shared" si="0"/>
        <v>0.02</v>
      </c>
      <c r="I27" s="21">
        <f t="shared" si="1"/>
        <v>0.2</v>
      </c>
      <c r="J27" s="21">
        <f t="shared" si="1"/>
        <v>0.2</v>
      </c>
    </row>
    <row r="28" spans="1:10" s="10" customFormat="1" ht="13.95" customHeight="1" x14ac:dyDescent="0.25">
      <c r="A28" s="416"/>
      <c r="B28" s="93" t="s">
        <v>97</v>
      </c>
      <c r="C28" s="689"/>
      <c r="D28" s="689">
        <v>0.12</v>
      </c>
      <c r="E28" s="192"/>
      <c r="F28" s="192"/>
      <c r="G28" s="231"/>
      <c r="H28" s="232">
        <f t="shared" si="0"/>
        <v>1.2</v>
      </c>
      <c r="I28" s="232"/>
      <c r="J28" s="232">
        <f t="shared" si="1"/>
        <v>12</v>
      </c>
    </row>
    <row r="29" spans="1:10" s="10" customFormat="1" ht="13.95" customHeight="1" x14ac:dyDescent="0.25">
      <c r="A29" s="184"/>
      <c r="B29" s="93" t="s">
        <v>897</v>
      </c>
      <c r="C29" s="94"/>
      <c r="D29" s="94">
        <v>100</v>
      </c>
      <c r="E29" s="95"/>
      <c r="F29" s="95"/>
      <c r="G29" s="99"/>
      <c r="H29" s="100">
        <f t="shared" si="0"/>
        <v>1000</v>
      </c>
      <c r="I29" s="100"/>
      <c r="J29" s="100">
        <f t="shared" si="1"/>
        <v>10000</v>
      </c>
    </row>
    <row r="30" spans="1:10" s="10" customFormat="1" ht="14.1" customHeight="1" x14ac:dyDescent="0.25">
      <c r="A30" s="180"/>
      <c r="B30" s="20" t="s">
        <v>31</v>
      </c>
      <c r="C30" s="90">
        <v>5.0000000000000001E-3</v>
      </c>
      <c r="D30" s="90">
        <v>5.0000000000000001E-3</v>
      </c>
      <c r="E30" s="408">
        <f>цены!F21</f>
        <v>710</v>
      </c>
      <c r="F30" s="408">
        <f>C30*E30</f>
        <v>3.55</v>
      </c>
      <c r="G30" s="97">
        <f>C30*10</f>
        <v>0.05</v>
      </c>
      <c r="H30" s="21">
        <f t="shared" si="0"/>
        <v>0.05</v>
      </c>
      <c r="I30" s="21">
        <f>C30*100</f>
        <v>0.5</v>
      </c>
      <c r="J30" s="21">
        <f t="shared" si="1"/>
        <v>0.5</v>
      </c>
    </row>
    <row r="31" spans="1:10" s="10" customFormat="1" ht="14.1" customHeight="1" x14ac:dyDescent="0.25">
      <c r="A31" s="184"/>
      <c r="B31" s="93" t="s">
        <v>190</v>
      </c>
      <c r="C31" s="94"/>
      <c r="D31" s="94">
        <v>0.105</v>
      </c>
      <c r="E31" s="95"/>
      <c r="F31" s="95">
        <f>SUM(F19:F30)</f>
        <v>18.940000000000001</v>
      </c>
      <c r="G31" s="99"/>
      <c r="H31" s="100">
        <f>D31*10</f>
        <v>1.05</v>
      </c>
      <c r="I31" s="100"/>
      <c r="J31" s="100">
        <f>D31*100</f>
        <v>10.5</v>
      </c>
    </row>
    <row r="32" spans="1:10" s="10" customFormat="1" ht="27.6" customHeight="1" x14ac:dyDescent="0.25">
      <c r="A32" s="1536" t="s">
        <v>35</v>
      </c>
      <c r="B32" s="1536"/>
      <c r="C32" s="90"/>
      <c r="D32" s="90"/>
      <c r="E32" s="408"/>
      <c r="F32" s="408">
        <f>F31</f>
        <v>18.940000000000001</v>
      </c>
      <c r="G32" s="632"/>
      <c r="H32" s="632"/>
      <c r="I32" s="21"/>
      <c r="J32" s="408"/>
    </row>
    <row r="33" spans="1:10" s="10" customFormat="1" ht="25.35" customHeight="1" x14ac:dyDescent="0.25">
      <c r="A33" s="1536" t="s">
        <v>36</v>
      </c>
      <c r="B33" s="1536"/>
      <c r="C33" s="90">
        <v>105</v>
      </c>
      <c r="D33" s="90"/>
      <c r="E33" s="408"/>
      <c r="F33" s="408"/>
      <c r="G33" s="408"/>
      <c r="H33" s="408"/>
      <c r="I33" s="21"/>
      <c r="J33" s="17"/>
    </row>
    <row r="34" spans="1:10" s="10" customFormat="1" ht="25.35" customHeight="1" x14ac:dyDescent="0.25">
      <c r="A34" s="1537" t="s">
        <v>37</v>
      </c>
      <c r="B34" s="1538"/>
      <c r="C34" s="91">
        <v>105</v>
      </c>
      <c r="D34" s="92"/>
      <c r="E34" s="631"/>
      <c r="F34" s="631"/>
      <c r="G34" s="631"/>
      <c r="H34" s="631"/>
      <c r="I34" s="21"/>
      <c r="J34" s="17"/>
    </row>
    <row r="35" spans="1:10" s="10" customFormat="1" ht="15" customHeight="1" x14ac:dyDescent="0.25">
      <c r="A35" s="1539" t="s">
        <v>38</v>
      </c>
      <c r="B35" s="1540"/>
      <c r="C35" s="92">
        <f>C33/C34</f>
        <v>1</v>
      </c>
      <c r="D35" s="92"/>
      <c r="E35" s="631"/>
      <c r="F35" s="631"/>
      <c r="G35" s="631"/>
      <c r="H35" s="631"/>
      <c r="I35" s="21"/>
      <c r="J35" s="17"/>
    </row>
    <row r="36" spans="1:10" ht="16.350000000000001" customHeight="1" x14ac:dyDescent="0.25">
      <c r="A36" s="1541" t="s">
        <v>39</v>
      </c>
      <c r="B36" s="1542"/>
      <c r="C36" s="15" t="s">
        <v>40</v>
      </c>
      <c r="D36" s="102"/>
      <c r="E36" s="102" t="s">
        <v>40</v>
      </c>
      <c r="F36" s="16">
        <f>F32/C35</f>
        <v>18.940000000000001</v>
      </c>
      <c r="G36" s="16"/>
      <c r="H36" s="16"/>
      <c r="I36" s="102" t="s">
        <v>40</v>
      </c>
      <c r="J36" s="102" t="s">
        <v>40</v>
      </c>
    </row>
    <row r="37" spans="1:10" ht="23.1" customHeight="1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193"/>
      <c r="B38" s="1194" t="s">
        <v>49</v>
      </c>
      <c r="C38" s="1198"/>
      <c r="D38" s="1198"/>
      <c r="E38" s="1198"/>
      <c r="F38" s="1198"/>
      <c r="G38" s="1193"/>
      <c r="H38" s="1557">
        <f>'1-бутерброд с маслом'!$H$28</f>
        <v>0</v>
      </c>
      <c r="I38" s="1557"/>
      <c r="J38" s="1557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ht="13.95" customHeight="1" x14ac:dyDescent="0.25">
      <c r="A40" s="1545" t="s">
        <v>327</v>
      </c>
      <c r="B40" s="1545"/>
      <c r="C40" s="1546" t="s">
        <v>328</v>
      </c>
      <c r="D40" s="1546"/>
      <c r="E40" s="1546"/>
      <c r="F40" s="1546"/>
      <c r="G40" s="106"/>
      <c r="H40" s="1531"/>
      <c r="I40" s="1531"/>
      <c r="J40" s="1531"/>
    </row>
    <row r="41" spans="1:10" x14ac:dyDescent="0.25">
      <c r="A41" s="1193"/>
      <c r="B41" s="1193"/>
      <c r="C41" s="1546"/>
      <c r="D41" s="1546"/>
      <c r="E41" s="1546"/>
      <c r="F41" s="1546"/>
      <c r="G41" s="1193"/>
      <c r="H41" s="1531" t="s">
        <v>329</v>
      </c>
      <c r="I41" s="1531"/>
      <c r="J41" s="1531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  <row r="45" spans="1:10" x14ac:dyDescent="0.25">
      <c r="A45" s="1193"/>
      <c r="B45" s="1193"/>
      <c r="C45" s="1193"/>
      <c r="D45" s="1193"/>
      <c r="E45" s="1193"/>
      <c r="F45" s="1193"/>
      <c r="G45" s="1193"/>
      <c r="H45" s="1193"/>
      <c r="I45" s="1193"/>
      <c r="J45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0:B40"/>
    <mergeCell ref="C40:F41"/>
    <mergeCell ref="H40:J40"/>
    <mergeCell ref="H41:J41"/>
    <mergeCell ref="A33:B33"/>
    <mergeCell ref="A34:B34"/>
    <mergeCell ref="A35:B35"/>
    <mergeCell ref="A36:B36"/>
    <mergeCell ref="H38:J38"/>
    <mergeCell ref="A32:B32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45"/>
  <sheetViews>
    <sheetView view="pageBreakPreview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628" customWidth="1"/>
    <col min="2" max="2" width="23.5546875" style="628" customWidth="1"/>
    <col min="3" max="7" width="7.5546875" style="628" customWidth="1"/>
    <col min="8" max="8" width="8.88671875" style="628" customWidth="1"/>
    <col min="9" max="9" width="7.5546875" style="628" customWidth="1"/>
    <col min="10" max="10" width="9.109375" style="628" customWidth="1"/>
    <col min="11" max="11" width="3.6640625" style="628" customWidth="1"/>
    <col min="12" max="16384" width="8.88671875" style="628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134)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184</v>
      </c>
    </row>
    <row r="8" spans="1:10" s="2" customFormat="1" ht="9.6" customHeight="1" x14ac:dyDescent="0.25">
      <c r="A8" s="629"/>
      <c r="B8" s="629"/>
      <c r="C8" s="629"/>
      <c r="D8" s="629"/>
      <c r="E8" s="629"/>
      <c r="F8" s="629"/>
      <c r="G8" s="629"/>
      <c r="H8" s="629"/>
      <c r="I8" s="629"/>
      <c r="J8" s="109"/>
    </row>
    <row r="9" spans="1:10" s="2" customFormat="1" ht="26.1" customHeight="1" x14ac:dyDescent="0.3">
      <c r="A9" s="1550" t="s">
        <v>899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'184-крупеник гречка'!H14+1</f>
        <v>134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630" t="s">
        <v>92</v>
      </c>
      <c r="D17" s="630" t="s">
        <v>94</v>
      </c>
      <c r="E17" s="630" t="s">
        <v>93</v>
      </c>
      <c r="F17" s="630" t="s">
        <v>23</v>
      </c>
      <c r="G17" s="630" t="s">
        <v>92</v>
      </c>
      <c r="H17" s="630" t="s">
        <v>94</v>
      </c>
      <c r="I17" s="630" t="s">
        <v>92</v>
      </c>
      <c r="J17" s="630" t="s">
        <v>94</v>
      </c>
    </row>
    <row r="18" spans="1:10" ht="9.6" customHeight="1" x14ac:dyDescent="0.25">
      <c r="A18" s="630">
        <v>1</v>
      </c>
      <c r="B18" s="631">
        <v>2</v>
      </c>
      <c r="C18" s="630">
        <v>3</v>
      </c>
      <c r="D18" s="631">
        <v>4</v>
      </c>
      <c r="E18" s="630">
        <v>5</v>
      </c>
      <c r="F18" s="631">
        <v>6</v>
      </c>
      <c r="G18" s="630">
        <v>7</v>
      </c>
      <c r="H18" s="631">
        <v>8</v>
      </c>
      <c r="I18" s="630">
        <v>9</v>
      </c>
      <c r="J18" s="631">
        <v>10</v>
      </c>
    </row>
    <row r="19" spans="1:10" s="10" customFormat="1" ht="15" customHeight="1" x14ac:dyDescent="0.25">
      <c r="A19" s="180">
        <v>1</v>
      </c>
      <c r="B19" s="20" t="s">
        <v>26</v>
      </c>
      <c r="C19" s="90">
        <v>3.2000000000000001E-2</v>
      </c>
      <c r="D19" s="90">
        <v>3.2000000000000001E-2</v>
      </c>
      <c r="E19" s="408">
        <f>цены!F75</f>
        <v>100</v>
      </c>
      <c r="F19" s="408">
        <f>C19*E19</f>
        <v>3.2</v>
      </c>
      <c r="G19" s="97">
        <f t="shared" ref="G19:H30" si="0">C19*10</f>
        <v>0.32</v>
      </c>
      <c r="H19" s="21">
        <f t="shared" si="0"/>
        <v>0.32</v>
      </c>
      <c r="I19" s="21">
        <f t="shared" ref="I19:J30" si="1">C19*100</f>
        <v>3.2</v>
      </c>
      <c r="J19" s="21">
        <f t="shared" si="1"/>
        <v>3.2</v>
      </c>
    </row>
    <row r="20" spans="1:10" s="10" customFormat="1" ht="14.1" customHeight="1" x14ac:dyDescent="0.25">
      <c r="A20" s="180">
        <v>2</v>
      </c>
      <c r="B20" s="20" t="s">
        <v>28</v>
      </c>
      <c r="C20" s="90">
        <v>5.1999999999999998E-2</v>
      </c>
      <c r="D20" s="90">
        <v>5.1999999999999998E-2</v>
      </c>
      <c r="E20" s="408"/>
      <c r="F20" s="408">
        <f t="shared" ref="F20:F27" si="2">C20*E20</f>
        <v>0</v>
      </c>
      <c r="G20" s="97">
        <f t="shared" si="0"/>
        <v>0.52</v>
      </c>
      <c r="H20" s="21">
        <f t="shared" si="0"/>
        <v>0.52</v>
      </c>
      <c r="I20" s="21">
        <f t="shared" si="1"/>
        <v>5.2</v>
      </c>
      <c r="J20" s="21">
        <f t="shared" si="1"/>
        <v>5.2</v>
      </c>
    </row>
    <row r="21" spans="1:10" s="10" customFormat="1" ht="14.1" customHeight="1" x14ac:dyDescent="0.25">
      <c r="A21" s="184"/>
      <c r="B21" s="93" t="s">
        <v>71</v>
      </c>
      <c r="C21" s="94"/>
      <c r="D21" s="94">
        <v>0.08</v>
      </c>
      <c r="E21" s="95"/>
      <c r="F21" s="95"/>
      <c r="G21" s="99"/>
      <c r="H21" s="100"/>
      <c r="I21" s="100"/>
      <c r="J21" s="100"/>
    </row>
    <row r="22" spans="1:10" s="10" customFormat="1" ht="14.1" customHeight="1" x14ac:dyDescent="0.25">
      <c r="A22" s="129">
        <v>3</v>
      </c>
      <c r="B22" s="123" t="s">
        <v>57</v>
      </c>
      <c r="C22" s="690">
        <v>3.04E-2</v>
      </c>
      <c r="D22" s="124">
        <v>0.03</v>
      </c>
      <c r="E22" s="408">
        <f>цены!F23</f>
        <v>350</v>
      </c>
      <c r="F22" s="408">
        <f t="shared" si="2"/>
        <v>10.64</v>
      </c>
      <c r="G22" s="97">
        <f>C22*10</f>
        <v>0.30399999999999999</v>
      </c>
      <c r="H22" s="21">
        <f>D22*10</f>
        <v>0.3</v>
      </c>
      <c r="I22" s="21">
        <f>C22*100</f>
        <v>3.04</v>
      </c>
      <c r="J22" s="21">
        <f>D22*100</f>
        <v>3</v>
      </c>
    </row>
    <row r="23" spans="1:10" s="10" customFormat="1" ht="14.1" customHeight="1" x14ac:dyDescent="0.25">
      <c r="A23" s="180">
        <v>4</v>
      </c>
      <c r="B23" s="20" t="s">
        <v>30</v>
      </c>
      <c r="C23" s="90">
        <v>4.0000000000000001E-3</v>
      </c>
      <c r="D23" s="90">
        <v>4.0000000000000001E-3</v>
      </c>
      <c r="E23" s="408">
        <f>цены!F107</f>
        <v>76</v>
      </c>
      <c r="F23" s="408">
        <f t="shared" si="2"/>
        <v>0.3</v>
      </c>
      <c r="G23" s="97">
        <f t="shared" si="0"/>
        <v>0.04</v>
      </c>
      <c r="H23" s="21">
        <f t="shared" si="0"/>
        <v>0.04</v>
      </c>
      <c r="I23" s="21">
        <f t="shared" si="1"/>
        <v>0.4</v>
      </c>
      <c r="J23" s="21">
        <f t="shared" si="1"/>
        <v>0.4</v>
      </c>
    </row>
    <row r="24" spans="1:10" s="10" customFormat="1" ht="14.1" customHeight="1" x14ac:dyDescent="0.25">
      <c r="A24" s="180">
        <v>4</v>
      </c>
      <c r="B24" s="20" t="s">
        <v>896</v>
      </c>
      <c r="C24" s="90">
        <f>0.046/20</f>
        <v>2E-3</v>
      </c>
      <c r="D24" s="90">
        <f>0.04/20</f>
        <v>2E-3</v>
      </c>
      <c r="E24" s="408">
        <f>цены!F30</f>
        <v>152.16999999999999</v>
      </c>
      <c r="F24" s="408">
        <f t="shared" si="2"/>
        <v>0.3</v>
      </c>
      <c r="G24" s="97">
        <f t="shared" si="0"/>
        <v>0.02</v>
      </c>
      <c r="H24" s="21">
        <f t="shared" si="0"/>
        <v>0.02</v>
      </c>
      <c r="I24" s="21">
        <f t="shared" si="1"/>
        <v>0.2</v>
      </c>
      <c r="J24" s="21">
        <f t="shared" si="1"/>
        <v>0.2</v>
      </c>
    </row>
    <row r="25" spans="1:10" s="10" customFormat="1" ht="14.1" customHeight="1" x14ac:dyDescent="0.25">
      <c r="A25" s="180"/>
      <c r="B25" s="20" t="s">
        <v>72</v>
      </c>
      <c r="C25" s="90">
        <v>2E-3</v>
      </c>
      <c r="D25" s="90">
        <v>2E-3</v>
      </c>
      <c r="E25" s="408">
        <f>цены!F111</f>
        <v>118</v>
      </c>
      <c r="F25" s="408">
        <f>C25*E25</f>
        <v>0.24</v>
      </c>
      <c r="G25" s="97">
        <f>C25*10</f>
        <v>0.02</v>
      </c>
      <c r="H25" s="21">
        <f>D25*10</f>
        <v>0.02</v>
      </c>
      <c r="I25" s="21">
        <f>C25*100</f>
        <v>0.2</v>
      </c>
      <c r="J25" s="21">
        <f>D25*100</f>
        <v>0.2</v>
      </c>
    </row>
    <row r="26" spans="1:10" s="10" customFormat="1" ht="22.2" customHeight="1" x14ac:dyDescent="0.25">
      <c r="A26" s="180">
        <v>5</v>
      </c>
      <c r="B26" s="20" t="s">
        <v>690</v>
      </c>
      <c r="C26" s="90">
        <v>2E-3</v>
      </c>
      <c r="D26" s="90">
        <v>2E-3</v>
      </c>
      <c r="E26" s="408">
        <f>цены!F87</f>
        <v>120</v>
      </c>
      <c r="F26" s="408">
        <f t="shared" si="2"/>
        <v>0.24</v>
      </c>
      <c r="G26" s="97">
        <f t="shared" si="0"/>
        <v>0.02</v>
      </c>
      <c r="H26" s="21">
        <f t="shared" si="0"/>
        <v>0.02</v>
      </c>
      <c r="I26" s="21">
        <f t="shared" si="1"/>
        <v>0.2</v>
      </c>
      <c r="J26" s="21">
        <f t="shared" si="1"/>
        <v>0.2</v>
      </c>
    </row>
    <row r="27" spans="1:10" s="10" customFormat="1" ht="13.95" customHeight="1" x14ac:dyDescent="0.25">
      <c r="A27" s="180">
        <v>7</v>
      </c>
      <c r="B27" s="20" t="s">
        <v>51</v>
      </c>
      <c r="C27" s="90">
        <v>2E-3</v>
      </c>
      <c r="D27" s="90">
        <v>2E-3</v>
      </c>
      <c r="E27" s="408">
        <f>цены!F24</f>
        <v>234</v>
      </c>
      <c r="F27" s="408">
        <f t="shared" si="2"/>
        <v>0.47</v>
      </c>
      <c r="G27" s="97">
        <f t="shared" si="0"/>
        <v>0.02</v>
      </c>
      <c r="H27" s="21">
        <f t="shared" si="0"/>
        <v>0.02</v>
      </c>
      <c r="I27" s="21">
        <f t="shared" si="1"/>
        <v>0.2</v>
      </c>
      <c r="J27" s="21">
        <f t="shared" si="1"/>
        <v>0.2</v>
      </c>
    </row>
    <row r="28" spans="1:10" s="10" customFormat="1" ht="13.95" customHeight="1" x14ac:dyDescent="0.25">
      <c r="A28" s="416"/>
      <c r="B28" s="93" t="s">
        <v>97</v>
      </c>
      <c r="C28" s="689"/>
      <c r="D28" s="689">
        <v>0.12</v>
      </c>
      <c r="E28" s="192"/>
      <c r="F28" s="192"/>
      <c r="G28" s="231"/>
      <c r="H28" s="232">
        <f t="shared" si="0"/>
        <v>1.2</v>
      </c>
      <c r="I28" s="232"/>
      <c r="J28" s="232">
        <f t="shared" si="1"/>
        <v>12</v>
      </c>
    </row>
    <row r="29" spans="1:10" s="10" customFormat="1" ht="13.95" customHeight="1" x14ac:dyDescent="0.25">
      <c r="A29" s="184"/>
      <c r="B29" s="93" t="s">
        <v>897</v>
      </c>
      <c r="C29" s="94"/>
      <c r="D29" s="94">
        <v>100</v>
      </c>
      <c r="E29" s="95"/>
      <c r="F29" s="95"/>
      <c r="G29" s="99"/>
      <c r="H29" s="100">
        <f t="shared" si="0"/>
        <v>1000</v>
      </c>
      <c r="I29" s="100"/>
      <c r="J29" s="100">
        <f t="shared" si="1"/>
        <v>10000</v>
      </c>
    </row>
    <row r="30" spans="1:10" s="10" customFormat="1" ht="14.1" customHeight="1" x14ac:dyDescent="0.25">
      <c r="A30" s="180"/>
      <c r="B30" s="20" t="s">
        <v>900</v>
      </c>
      <c r="C30" s="90">
        <v>0.02</v>
      </c>
      <c r="D30" s="90">
        <v>0.02</v>
      </c>
      <c r="E30" s="408">
        <f>цены!F28</f>
        <v>440</v>
      </c>
      <c r="F30" s="408">
        <f>C30*E30</f>
        <v>8.8000000000000007</v>
      </c>
      <c r="G30" s="97">
        <f>C30*10</f>
        <v>0.2</v>
      </c>
      <c r="H30" s="21">
        <f t="shared" si="0"/>
        <v>0.2</v>
      </c>
      <c r="I30" s="21">
        <f>C30*100</f>
        <v>2</v>
      </c>
      <c r="J30" s="21">
        <f t="shared" si="1"/>
        <v>2</v>
      </c>
    </row>
    <row r="31" spans="1:10" s="10" customFormat="1" ht="14.1" customHeight="1" x14ac:dyDescent="0.25">
      <c r="A31" s="184"/>
      <c r="B31" s="93" t="s">
        <v>190</v>
      </c>
      <c r="C31" s="94"/>
      <c r="D31" s="94">
        <v>0.12</v>
      </c>
      <c r="E31" s="95"/>
      <c r="F31" s="95">
        <f>SUM(F19:F30)</f>
        <v>24.19</v>
      </c>
      <c r="G31" s="99"/>
      <c r="H31" s="100">
        <f>D31*10</f>
        <v>1.2</v>
      </c>
      <c r="I31" s="100"/>
      <c r="J31" s="100">
        <f>D31*100</f>
        <v>12</v>
      </c>
    </row>
    <row r="32" spans="1:10" s="10" customFormat="1" ht="27.6" customHeight="1" x14ac:dyDescent="0.25">
      <c r="A32" s="1536" t="s">
        <v>35</v>
      </c>
      <c r="B32" s="1536"/>
      <c r="C32" s="90"/>
      <c r="D32" s="90"/>
      <c r="E32" s="408"/>
      <c r="F32" s="408">
        <f>F31</f>
        <v>24.19</v>
      </c>
      <c r="G32" s="632"/>
      <c r="H32" s="632"/>
      <c r="I32" s="21"/>
      <c r="J32" s="408"/>
    </row>
    <row r="33" spans="1:10" s="10" customFormat="1" ht="25.35" customHeight="1" x14ac:dyDescent="0.25">
      <c r="A33" s="1536" t="s">
        <v>36</v>
      </c>
      <c r="B33" s="1536"/>
      <c r="C33" s="90">
        <v>120</v>
      </c>
      <c r="D33" s="90"/>
      <c r="E33" s="408"/>
      <c r="F33" s="408"/>
      <c r="G33" s="408"/>
      <c r="H33" s="408"/>
      <c r="I33" s="21"/>
      <c r="J33" s="17"/>
    </row>
    <row r="34" spans="1:10" s="10" customFormat="1" ht="25.35" customHeight="1" x14ac:dyDescent="0.25">
      <c r="A34" s="1537" t="s">
        <v>37</v>
      </c>
      <c r="B34" s="1538"/>
      <c r="C34" s="91">
        <v>120</v>
      </c>
      <c r="D34" s="92"/>
      <c r="E34" s="631"/>
      <c r="F34" s="631"/>
      <c r="G34" s="631"/>
      <c r="H34" s="631"/>
      <c r="I34" s="21"/>
      <c r="J34" s="17"/>
    </row>
    <row r="35" spans="1:10" s="10" customFormat="1" ht="15" customHeight="1" x14ac:dyDescent="0.25">
      <c r="A35" s="1539" t="s">
        <v>38</v>
      </c>
      <c r="B35" s="1540"/>
      <c r="C35" s="92">
        <f>C33/C34</f>
        <v>1</v>
      </c>
      <c r="D35" s="92"/>
      <c r="E35" s="631"/>
      <c r="F35" s="631"/>
      <c r="G35" s="631"/>
      <c r="H35" s="631"/>
      <c r="I35" s="21"/>
      <c r="J35" s="17"/>
    </row>
    <row r="36" spans="1:10" ht="16.350000000000001" customHeight="1" x14ac:dyDescent="0.25">
      <c r="A36" s="1541" t="s">
        <v>39</v>
      </c>
      <c r="B36" s="1542"/>
      <c r="C36" s="15" t="s">
        <v>40</v>
      </c>
      <c r="D36" s="102"/>
      <c r="E36" s="102" t="s">
        <v>40</v>
      </c>
      <c r="F36" s="16">
        <f>F32/C35</f>
        <v>24.19</v>
      </c>
      <c r="G36" s="16"/>
      <c r="H36" s="16"/>
      <c r="I36" s="102" t="s">
        <v>40</v>
      </c>
      <c r="J36" s="102" t="s">
        <v>40</v>
      </c>
    </row>
    <row r="37" spans="1:10" ht="23.1" customHeight="1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193"/>
      <c r="B38" s="1194" t="s">
        <v>49</v>
      </c>
      <c r="C38" s="1198"/>
      <c r="D38" s="1198"/>
      <c r="E38" s="1198"/>
      <c r="F38" s="1198"/>
      <c r="G38" s="1193"/>
      <c r="H38" s="1557">
        <f>'1-бутерброд с маслом'!$H$28</f>
        <v>0</v>
      </c>
      <c r="I38" s="1557"/>
      <c r="J38" s="1557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ht="13.95" customHeight="1" x14ac:dyDescent="0.25">
      <c r="A40" s="1545" t="s">
        <v>327</v>
      </c>
      <c r="B40" s="1545"/>
      <c r="C40" s="1546" t="s">
        <v>328</v>
      </c>
      <c r="D40" s="1546"/>
      <c r="E40" s="1546"/>
      <c r="F40" s="1546"/>
      <c r="G40" s="106"/>
      <c r="H40" s="1531"/>
      <c r="I40" s="1531"/>
      <c r="J40" s="1531"/>
    </row>
    <row r="41" spans="1:10" x14ac:dyDescent="0.25">
      <c r="A41" s="1193"/>
      <c r="B41" s="1193"/>
      <c r="C41" s="1546"/>
      <c r="D41" s="1546"/>
      <c r="E41" s="1546"/>
      <c r="F41" s="1546"/>
      <c r="G41" s="1193"/>
      <c r="H41" s="1531" t="s">
        <v>329</v>
      </c>
      <c r="I41" s="1531"/>
      <c r="J41" s="1531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  <row r="45" spans="1:10" x14ac:dyDescent="0.25">
      <c r="A45" s="1193"/>
      <c r="B45" s="1193"/>
      <c r="C45" s="1193"/>
      <c r="D45" s="1193"/>
      <c r="E45" s="1193"/>
      <c r="F45" s="1193"/>
      <c r="G45" s="1193"/>
      <c r="H45" s="1193"/>
      <c r="I45" s="1193"/>
      <c r="J45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0:B40"/>
    <mergeCell ref="C40:F41"/>
    <mergeCell ref="H40:J40"/>
    <mergeCell ref="H41:J41"/>
    <mergeCell ref="A33:B33"/>
    <mergeCell ref="A34:B34"/>
    <mergeCell ref="A35:B35"/>
    <mergeCell ref="A36:B36"/>
    <mergeCell ref="H38:J38"/>
    <mergeCell ref="A32:B32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75E5"/>
  </sheetPr>
  <dimension ref="A1:J30"/>
  <sheetViews>
    <sheetView view="pageBreakPreview" topLeftCell="A15" zoomScaleNormal="100" zoomScaleSheetLayoutView="100" workbookViewId="0">
      <selection activeCell="A26" sqref="A26:J30"/>
    </sheetView>
  </sheetViews>
  <sheetFormatPr defaultRowHeight="13.8" x14ac:dyDescent="0.25"/>
  <cols>
    <col min="1" max="1" width="4.109375" customWidth="1"/>
    <col min="2" max="2" width="20.5546875" customWidth="1"/>
    <col min="3" max="7" width="7.5546875" customWidth="1"/>
    <col min="8" max="8" width="8.88671875" customWidth="1"/>
    <col min="9" max="9" width="7.5546875" customWidth="1"/>
    <col min="10" max="10" width="9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9)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290"/>
      <c r="I6" s="290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14</v>
      </c>
    </row>
    <row r="8" spans="1:10" s="2" customFormat="1" ht="9.6" customHeight="1" x14ac:dyDescent="0.25">
      <c r="A8" s="291"/>
      <c r="B8" s="291"/>
      <c r="C8" s="291"/>
      <c r="D8" s="291"/>
      <c r="E8" s="291"/>
      <c r="F8" s="291"/>
      <c r="G8" s="291"/>
      <c r="H8" s="291"/>
      <c r="I8" s="291"/>
      <c r="J8" s="109"/>
    </row>
    <row r="9" spans="1:10" s="2" customFormat="1" ht="26.1" customHeight="1" x14ac:dyDescent="0.3">
      <c r="A9" s="1550" t="s">
        <v>599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8.60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'13-чизбургер'!H14+1</f>
        <v>9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87" t="s">
        <v>92</v>
      </c>
      <c r="D17" s="287" t="s">
        <v>94</v>
      </c>
      <c r="E17" s="287" t="s">
        <v>93</v>
      </c>
      <c r="F17" s="287" t="s">
        <v>23</v>
      </c>
      <c r="G17" s="287" t="s">
        <v>92</v>
      </c>
      <c r="H17" s="287" t="s">
        <v>94</v>
      </c>
      <c r="I17" s="287" t="s">
        <v>92</v>
      </c>
      <c r="J17" s="287" t="s">
        <v>94</v>
      </c>
    </row>
    <row r="18" spans="1:10" ht="9.6" customHeight="1" x14ac:dyDescent="0.25">
      <c r="A18" s="287">
        <v>1</v>
      </c>
      <c r="B18" s="289">
        <v>2</v>
      </c>
      <c r="C18" s="287">
        <v>3</v>
      </c>
      <c r="D18" s="289">
        <v>4</v>
      </c>
      <c r="E18" s="287">
        <v>5</v>
      </c>
      <c r="F18" s="289">
        <v>6</v>
      </c>
      <c r="G18" s="287">
        <v>7</v>
      </c>
      <c r="H18" s="289">
        <v>8</v>
      </c>
      <c r="I18" s="287">
        <v>9</v>
      </c>
      <c r="J18" s="289">
        <v>10</v>
      </c>
    </row>
    <row r="19" spans="1:10" ht="14.1" customHeight="1" x14ac:dyDescent="0.25">
      <c r="A19" s="287">
        <v>1</v>
      </c>
      <c r="B19" s="181" t="s">
        <v>512</v>
      </c>
      <c r="C19" s="301">
        <v>0.01</v>
      </c>
      <c r="D19" s="92">
        <v>0.01</v>
      </c>
      <c r="E19" s="182">
        <f>цены!F21</f>
        <v>710</v>
      </c>
      <c r="F19" s="13">
        <f>C19*E19</f>
        <v>7.1</v>
      </c>
      <c r="G19" s="97">
        <f>C19*10</f>
        <v>0.1</v>
      </c>
      <c r="H19" s="21">
        <f>D19*10</f>
        <v>0.1</v>
      </c>
      <c r="I19" s="21">
        <f>C19*100</f>
        <v>1</v>
      </c>
      <c r="J19" s="21">
        <f>D19*100</f>
        <v>1</v>
      </c>
    </row>
    <row r="20" spans="1:10" s="10" customFormat="1" ht="12" customHeight="1" x14ac:dyDescent="0.25">
      <c r="A20" s="98"/>
      <c r="B20" s="93" t="s">
        <v>100</v>
      </c>
      <c r="C20" s="100"/>
      <c r="D20" s="100">
        <v>0.01</v>
      </c>
      <c r="E20" s="95"/>
      <c r="F20" s="95">
        <f>SUM(F19:F19)</f>
        <v>7.1</v>
      </c>
      <c r="G20" s="99"/>
      <c r="H20" s="100">
        <f>D20*10</f>
        <v>0.1</v>
      </c>
      <c r="I20" s="100"/>
      <c r="J20" s="100">
        <f>D20*100</f>
        <v>1</v>
      </c>
    </row>
    <row r="21" spans="1:10" s="10" customFormat="1" ht="27.6" customHeight="1" x14ac:dyDescent="0.25">
      <c r="A21" s="1536" t="s">
        <v>35</v>
      </c>
      <c r="B21" s="1536"/>
      <c r="C21" s="90"/>
      <c r="D21" s="90"/>
      <c r="E21" s="13"/>
      <c r="F21" s="13">
        <f>F20</f>
        <v>7.1</v>
      </c>
      <c r="G21" s="288"/>
      <c r="H21" s="288"/>
      <c r="I21" s="21"/>
      <c r="J21" s="13"/>
    </row>
    <row r="22" spans="1:10" s="10" customFormat="1" ht="25.35" customHeight="1" x14ac:dyDescent="0.25">
      <c r="A22" s="1536" t="s">
        <v>36</v>
      </c>
      <c r="B22" s="1536"/>
      <c r="C22" s="90">
        <v>10</v>
      </c>
      <c r="D22" s="90"/>
      <c r="E22" s="13"/>
      <c r="F22" s="13"/>
      <c r="G22" s="13"/>
      <c r="H22" s="13"/>
      <c r="I22" s="21"/>
      <c r="J22" s="17"/>
    </row>
    <row r="23" spans="1:10" s="10" customFormat="1" ht="25.35" customHeight="1" x14ac:dyDescent="0.25">
      <c r="A23" s="1537" t="s">
        <v>37</v>
      </c>
      <c r="B23" s="1538"/>
      <c r="C23" s="91">
        <v>10</v>
      </c>
      <c r="D23" s="92"/>
      <c r="E23" s="289"/>
      <c r="F23" s="289"/>
      <c r="G23" s="289"/>
      <c r="H23" s="289"/>
      <c r="I23" s="21"/>
      <c r="J23" s="17"/>
    </row>
    <row r="24" spans="1:10" s="10" customFormat="1" ht="15" customHeight="1" x14ac:dyDescent="0.25">
      <c r="A24" s="1539" t="s">
        <v>38</v>
      </c>
      <c r="B24" s="1540"/>
      <c r="C24" s="92">
        <f>C22/C23</f>
        <v>1</v>
      </c>
      <c r="D24" s="92"/>
      <c r="E24" s="289"/>
      <c r="F24" s="289"/>
      <c r="G24" s="289"/>
      <c r="H24" s="289"/>
      <c r="I24" s="21"/>
      <c r="J24" s="17"/>
    </row>
    <row r="25" spans="1:10" ht="16.350000000000001" customHeight="1" x14ac:dyDescent="0.25">
      <c r="A25" s="1541" t="s">
        <v>39</v>
      </c>
      <c r="B25" s="1542"/>
      <c r="C25" s="15" t="s">
        <v>40</v>
      </c>
      <c r="D25" s="102"/>
      <c r="E25" s="102" t="s">
        <v>40</v>
      </c>
      <c r="F25" s="16">
        <f>F21/C24</f>
        <v>7.1</v>
      </c>
      <c r="G25" s="16"/>
      <c r="H25" s="16"/>
      <c r="I25" s="102" t="s">
        <v>40</v>
      </c>
      <c r="J25" s="102" t="s">
        <v>40</v>
      </c>
    </row>
    <row r="26" spans="1:10" x14ac:dyDescent="0.25">
      <c r="A26" s="1193"/>
      <c r="B26" s="1193"/>
      <c r="C26" s="1193"/>
      <c r="D26" s="1193"/>
      <c r="E26" s="1193"/>
      <c r="F26" s="1193"/>
      <c r="G26" s="1193"/>
      <c r="H26" s="1193"/>
      <c r="I26" s="1193"/>
      <c r="J26" s="1193"/>
    </row>
    <row r="27" spans="1:10" ht="13.95" customHeight="1" x14ac:dyDescent="0.25">
      <c r="A27" s="1193"/>
      <c r="B27" s="1194" t="s">
        <v>49</v>
      </c>
      <c r="C27" s="1198"/>
      <c r="D27" s="1198"/>
      <c r="E27" s="1198"/>
      <c r="F27" s="1198"/>
      <c r="G27" s="1193"/>
      <c r="H27" s="1557">
        <f>'1-бутерброд с маслом'!$H$28</f>
        <v>0</v>
      </c>
      <c r="I27" s="1557"/>
      <c r="J27" s="1557"/>
    </row>
    <row r="28" spans="1:10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545" t="s">
        <v>327</v>
      </c>
      <c r="B29" s="1545"/>
      <c r="C29" s="1546" t="s">
        <v>328</v>
      </c>
      <c r="D29" s="1546"/>
      <c r="E29" s="1546"/>
      <c r="F29" s="1546"/>
      <c r="G29" s="106"/>
      <c r="H29" s="1531"/>
      <c r="I29" s="1531"/>
      <c r="J29" s="1531"/>
    </row>
    <row r="30" spans="1:10" x14ac:dyDescent="0.25">
      <c r="A30" s="1193"/>
      <c r="B30" s="1193"/>
      <c r="C30" s="1546"/>
      <c r="D30" s="1546"/>
      <c r="E30" s="1546"/>
      <c r="F30" s="1546"/>
      <c r="G30" s="1193"/>
      <c r="H30" s="1531" t="s">
        <v>329</v>
      </c>
      <c r="I30" s="1531"/>
      <c r="J30" s="1531"/>
    </row>
  </sheetData>
  <mergeCells count="28">
    <mergeCell ref="A13:G13"/>
    <mergeCell ref="H27:J27"/>
    <mergeCell ref="A22:B22"/>
    <mergeCell ref="A23:B23"/>
    <mergeCell ref="A24:B24"/>
    <mergeCell ref="A25:B25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29:B29"/>
    <mergeCell ref="C29:F30"/>
    <mergeCell ref="H29:J29"/>
    <mergeCell ref="H30:J30"/>
    <mergeCell ref="H5:I5"/>
    <mergeCell ref="A6:G6"/>
    <mergeCell ref="A7:I7"/>
    <mergeCell ref="A21:B21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45"/>
  <sheetViews>
    <sheetView view="pageBreakPreview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628" customWidth="1"/>
    <col min="2" max="2" width="23.5546875" style="628" customWidth="1"/>
    <col min="3" max="7" width="7.5546875" style="628" customWidth="1"/>
    <col min="8" max="8" width="8.88671875" style="628" customWidth="1"/>
    <col min="9" max="9" width="7.5546875" style="628" customWidth="1"/>
    <col min="10" max="10" width="9.109375" style="628" customWidth="1"/>
    <col min="11" max="11" width="4.88671875" style="628" customWidth="1"/>
    <col min="12" max="16384" width="8.88671875" style="628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135)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184</v>
      </c>
    </row>
    <row r="8" spans="1:10" s="2" customFormat="1" ht="9.6" customHeight="1" x14ac:dyDescent="0.25">
      <c r="A8" s="629"/>
      <c r="B8" s="629"/>
      <c r="C8" s="629"/>
      <c r="D8" s="629"/>
      <c r="E8" s="629"/>
      <c r="F8" s="629"/>
      <c r="G8" s="629"/>
      <c r="H8" s="629"/>
      <c r="I8" s="629"/>
      <c r="J8" s="109"/>
    </row>
    <row r="9" spans="1:10" s="2" customFormat="1" ht="26.1" customHeight="1" x14ac:dyDescent="0.3">
      <c r="A9" s="1550" t="s">
        <v>901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'184-крупеник гречка йогурт'!H14+1</f>
        <v>135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630" t="s">
        <v>92</v>
      </c>
      <c r="D17" s="630" t="s">
        <v>94</v>
      </c>
      <c r="E17" s="630" t="s">
        <v>93</v>
      </c>
      <c r="F17" s="630" t="s">
        <v>23</v>
      </c>
      <c r="G17" s="630" t="s">
        <v>92</v>
      </c>
      <c r="H17" s="630" t="s">
        <v>94</v>
      </c>
      <c r="I17" s="630" t="s">
        <v>92</v>
      </c>
      <c r="J17" s="630" t="s">
        <v>94</v>
      </c>
    </row>
    <row r="18" spans="1:10" ht="9.6" customHeight="1" x14ac:dyDescent="0.25">
      <c r="A18" s="630">
        <v>1</v>
      </c>
      <c r="B18" s="631">
        <v>2</v>
      </c>
      <c r="C18" s="630">
        <v>3</v>
      </c>
      <c r="D18" s="631">
        <v>4</v>
      </c>
      <c r="E18" s="630">
        <v>5</v>
      </c>
      <c r="F18" s="631">
        <v>6</v>
      </c>
      <c r="G18" s="630">
        <v>7</v>
      </c>
      <c r="H18" s="631">
        <v>8</v>
      </c>
      <c r="I18" s="630">
        <v>9</v>
      </c>
      <c r="J18" s="631">
        <v>10</v>
      </c>
    </row>
    <row r="19" spans="1:10" s="10" customFormat="1" ht="15" customHeight="1" x14ac:dyDescent="0.25">
      <c r="A19" s="180">
        <v>1</v>
      </c>
      <c r="B19" s="20" t="s">
        <v>857</v>
      </c>
      <c r="C19" s="90">
        <v>2.7E-2</v>
      </c>
      <c r="D19" s="90">
        <v>2.7E-2</v>
      </c>
      <c r="E19" s="408">
        <f>цены!F80</f>
        <v>35</v>
      </c>
      <c r="F19" s="408">
        <f>C19*E19</f>
        <v>0.95</v>
      </c>
      <c r="G19" s="97">
        <f t="shared" ref="G19:H30" si="0">C19*10</f>
        <v>0.27</v>
      </c>
      <c r="H19" s="21">
        <f t="shared" si="0"/>
        <v>0.27</v>
      </c>
      <c r="I19" s="21">
        <f t="shared" ref="I19:J30" si="1">C19*100</f>
        <v>2.7</v>
      </c>
      <c r="J19" s="21">
        <f t="shared" si="1"/>
        <v>2.7</v>
      </c>
    </row>
    <row r="20" spans="1:10" s="10" customFormat="1" ht="14.1" customHeight="1" x14ac:dyDescent="0.25">
      <c r="A20" s="180">
        <v>2</v>
      </c>
      <c r="B20" s="20" t="s">
        <v>28</v>
      </c>
      <c r="C20" s="90">
        <v>5.1999999999999998E-2</v>
      </c>
      <c r="D20" s="90">
        <v>5.1999999999999998E-2</v>
      </c>
      <c r="E20" s="408"/>
      <c r="F20" s="408">
        <f t="shared" ref="F20:F27" si="2">C20*E20</f>
        <v>0</v>
      </c>
      <c r="G20" s="97">
        <f t="shared" si="0"/>
        <v>0.52</v>
      </c>
      <c r="H20" s="21">
        <f t="shared" si="0"/>
        <v>0.52</v>
      </c>
      <c r="I20" s="21">
        <f t="shared" si="1"/>
        <v>5.2</v>
      </c>
      <c r="J20" s="21">
        <f t="shared" si="1"/>
        <v>5.2</v>
      </c>
    </row>
    <row r="21" spans="1:10" s="10" customFormat="1" ht="14.1" customHeight="1" x14ac:dyDescent="0.25">
      <c r="A21" s="184"/>
      <c r="B21" s="93" t="s">
        <v>71</v>
      </c>
      <c r="C21" s="94"/>
      <c r="D21" s="94">
        <v>0.08</v>
      </c>
      <c r="E21" s="95"/>
      <c r="F21" s="95"/>
      <c r="G21" s="99"/>
      <c r="H21" s="100"/>
      <c r="I21" s="100"/>
      <c r="J21" s="100"/>
    </row>
    <row r="22" spans="1:10" s="10" customFormat="1" ht="14.1" customHeight="1" x14ac:dyDescent="0.25">
      <c r="A22" s="129">
        <v>3</v>
      </c>
      <c r="B22" s="123" t="s">
        <v>57</v>
      </c>
      <c r="C22" s="690">
        <v>3.04E-2</v>
      </c>
      <c r="D22" s="124">
        <v>0.03</v>
      </c>
      <c r="E22" s="408">
        <f>цены!F23</f>
        <v>350</v>
      </c>
      <c r="F22" s="408">
        <f t="shared" si="2"/>
        <v>10.64</v>
      </c>
      <c r="G22" s="97">
        <f>C22*10</f>
        <v>0.30399999999999999</v>
      </c>
      <c r="H22" s="21">
        <f>D22*10</f>
        <v>0.3</v>
      </c>
      <c r="I22" s="21">
        <f>C22*100</f>
        <v>3.04</v>
      </c>
      <c r="J22" s="21">
        <f>D22*100</f>
        <v>3</v>
      </c>
    </row>
    <row r="23" spans="1:10" s="10" customFormat="1" ht="14.1" customHeight="1" x14ac:dyDescent="0.25">
      <c r="A23" s="180">
        <v>4</v>
      </c>
      <c r="B23" s="20" t="s">
        <v>30</v>
      </c>
      <c r="C23" s="90">
        <v>4.0000000000000001E-3</v>
      </c>
      <c r="D23" s="90">
        <v>4.0000000000000001E-3</v>
      </c>
      <c r="E23" s="408">
        <f>цены!F107</f>
        <v>76</v>
      </c>
      <c r="F23" s="408">
        <f t="shared" si="2"/>
        <v>0.3</v>
      </c>
      <c r="G23" s="97">
        <f t="shared" si="0"/>
        <v>0.04</v>
      </c>
      <c r="H23" s="21">
        <f t="shared" si="0"/>
        <v>0.04</v>
      </c>
      <c r="I23" s="21">
        <f t="shared" si="1"/>
        <v>0.4</v>
      </c>
      <c r="J23" s="21">
        <f t="shared" si="1"/>
        <v>0.4</v>
      </c>
    </row>
    <row r="24" spans="1:10" s="10" customFormat="1" ht="14.1" customHeight="1" x14ac:dyDescent="0.25">
      <c r="A24" s="180">
        <v>4</v>
      </c>
      <c r="B24" s="20" t="s">
        <v>896</v>
      </c>
      <c r="C24" s="90">
        <f>0.046/20</f>
        <v>2E-3</v>
      </c>
      <c r="D24" s="90">
        <f>0.04/20</f>
        <v>2E-3</v>
      </c>
      <c r="E24" s="408">
        <f>цены!F30</f>
        <v>152.16999999999999</v>
      </c>
      <c r="F24" s="408">
        <f t="shared" si="2"/>
        <v>0.3</v>
      </c>
      <c r="G24" s="97">
        <f t="shared" si="0"/>
        <v>0.02</v>
      </c>
      <c r="H24" s="21">
        <f t="shared" si="0"/>
        <v>0.02</v>
      </c>
      <c r="I24" s="21">
        <f t="shared" si="1"/>
        <v>0.2</v>
      </c>
      <c r="J24" s="21">
        <f t="shared" si="1"/>
        <v>0.2</v>
      </c>
    </row>
    <row r="25" spans="1:10" s="10" customFormat="1" ht="14.1" customHeight="1" x14ac:dyDescent="0.25">
      <c r="A25" s="180"/>
      <c r="B25" s="20" t="s">
        <v>72</v>
      </c>
      <c r="C25" s="90">
        <v>2E-3</v>
      </c>
      <c r="D25" s="90">
        <v>2E-3</v>
      </c>
      <c r="E25" s="408">
        <f>цены!F111</f>
        <v>118</v>
      </c>
      <c r="F25" s="408">
        <f>C25*E25</f>
        <v>0.24</v>
      </c>
      <c r="G25" s="97">
        <f>C25*10</f>
        <v>0.02</v>
      </c>
      <c r="H25" s="21">
        <f>D25*10</f>
        <v>0.02</v>
      </c>
      <c r="I25" s="21">
        <f>C25*100</f>
        <v>0.2</v>
      </c>
      <c r="J25" s="21">
        <f>D25*100</f>
        <v>0.2</v>
      </c>
    </row>
    <row r="26" spans="1:10" s="10" customFormat="1" ht="22.2" customHeight="1" x14ac:dyDescent="0.25">
      <c r="A26" s="180">
        <v>5</v>
      </c>
      <c r="B26" s="20" t="s">
        <v>690</v>
      </c>
      <c r="C26" s="90">
        <v>2E-3</v>
      </c>
      <c r="D26" s="90">
        <v>2E-3</v>
      </c>
      <c r="E26" s="408">
        <f>цены!F87</f>
        <v>120</v>
      </c>
      <c r="F26" s="408">
        <f t="shared" si="2"/>
        <v>0.24</v>
      </c>
      <c r="G26" s="97">
        <f t="shared" si="0"/>
        <v>0.02</v>
      </c>
      <c r="H26" s="21">
        <f t="shared" si="0"/>
        <v>0.02</v>
      </c>
      <c r="I26" s="21">
        <f t="shared" si="1"/>
        <v>0.2</v>
      </c>
      <c r="J26" s="21">
        <f t="shared" si="1"/>
        <v>0.2</v>
      </c>
    </row>
    <row r="27" spans="1:10" s="10" customFormat="1" ht="13.95" customHeight="1" x14ac:dyDescent="0.25">
      <c r="A27" s="180">
        <v>7</v>
      </c>
      <c r="B27" s="20" t="s">
        <v>51</v>
      </c>
      <c r="C27" s="90">
        <v>2E-3</v>
      </c>
      <c r="D27" s="90">
        <v>2E-3</v>
      </c>
      <c r="E27" s="408">
        <f>цены!F24</f>
        <v>234</v>
      </c>
      <c r="F27" s="408">
        <f t="shared" si="2"/>
        <v>0.47</v>
      </c>
      <c r="G27" s="97">
        <f t="shared" si="0"/>
        <v>0.02</v>
      </c>
      <c r="H27" s="21">
        <f t="shared" si="0"/>
        <v>0.02</v>
      </c>
      <c r="I27" s="21">
        <f t="shared" si="1"/>
        <v>0.2</v>
      </c>
      <c r="J27" s="21">
        <f t="shared" si="1"/>
        <v>0.2</v>
      </c>
    </row>
    <row r="28" spans="1:10" s="10" customFormat="1" ht="13.95" customHeight="1" x14ac:dyDescent="0.25">
      <c r="A28" s="416"/>
      <c r="B28" s="93" t="s">
        <v>97</v>
      </c>
      <c r="C28" s="689"/>
      <c r="D28" s="689">
        <v>0.12</v>
      </c>
      <c r="E28" s="192"/>
      <c r="F28" s="192"/>
      <c r="G28" s="231"/>
      <c r="H28" s="232">
        <f t="shared" si="0"/>
        <v>1.2</v>
      </c>
      <c r="I28" s="232"/>
      <c r="J28" s="232">
        <f t="shared" si="1"/>
        <v>12</v>
      </c>
    </row>
    <row r="29" spans="1:10" s="10" customFormat="1" ht="13.95" customHeight="1" x14ac:dyDescent="0.25">
      <c r="A29" s="184"/>
      <c r="B29" s="93" t="s">
        <v>897</v>
      </c>
      <c r="C29" s="94"/>
      <c r="D29" s="94">
        <v>100</v>
      </c>
      <c r="E29" s="95"/>
      <c r="F29" s="95"/>
      <c r="G29" s="99"/>
      <c r="H29" s="100">
        <f t="shared" si="0"/>
        <v>1000</v>
      </c>
      <c r="I29" s="100"/>
      <c r="J29" s="100">
        <f t="shared" si="1"/>
        <v>10000</v>
      </c>
    </row>
    <row r="30" spans="1:10" s="10" customFormat="1" ht="14.1" customHeight="1" x14ac:dyDescent="0.25">
      <c r="A30" s="180"/>
      <c r="B30" s="20" t="s">
        <v>31</v>
      </c>
      <c r="C30" s="90">
        <v>5.0000000000000001E-3</v>
      </c>
      <c r="D30" s="90">
        <v>5.0000000000000001E-3</v>
      </c>
      <c r="E30" s="408">
        <f>цены!F21</f>
        <v>710</v>
      </c>
      <c r="F30" s="408">
        <f>C30*E30</f>
        <v>3.55</v>
      </c>
      <c r="G30" s="97">
        <f>C30*10</f>
        <v>0.05</v>
      </c>
      <c r="H30" s="21">
        <f t="shared" si="0"/>
        <v>0.05</v>
      </c>
      <c r="I30" s="21">
        <f>C30*100</f>
        <v>0.5</v>
      </c>
      <c r="J30" s="21">
        <f t="shared" si="1"/>
        <v>0.5</v>
      </c>
    </row>
    <row r="31" spans="1:10" s="10" customFormat="1" ht="14.1" customHeight="1" x14ac:dyDescent="0.25">
      <c r="A31" s="184"/>
      <c r="B31" s="93" t="s">
        <v>190</v>
      </c>
      <c r="C31" s="94"/>
      <c r="D31" s="94">
        <v>0.105</v>
      </c>
      <c r="E31" s="95"/>
      <c r="F31" s="95">
        <f>SUM(F19:F30)</f>
        <v>16.690000000000001</v>
      </c>
      <c r="G31" s="99"/>
      <c r="H31" s="100">
        <f>D31*10</f>
        <v>1.05</v>
      </c>
      <c r="I31" s="100"/>
      <c r="J31" s="100">
        <f>D31*100</f>
        <v>10.5</v>
      </c>
    </row>
    <row r="32" spans="1:10" s="10" customFormat="1" ht="27.6" customHeight="1" x14ac:dyDescent="0.25">
      <c r="A32" s="1536" t="s">
        <v>35</v>
      </c>
      <c r="B32" s="1536"/>
      <c r="C32" s="90"/>
      <c r="D32" s="90"/>
      <c r="E32" s="408"/>
      <c r="F32" s="408">
        <f>F31</f>
        <v>16.690000000000001</v>
      </c>
      <c r="G32" s="632"/>
      <c r="H32" s="632"/>
      <c r="I32" s="21"/>
      <c r="J32" s="408"/>
    </row>
    <row r="33" spans="1:10" s="10" customFormat="1" ht="25.35" customHeight="1" x14ac:dyDescent="0.25">
      <c r="A33" s="1536" t="s">
        <v>36</v>
      </c>
      <c r="B33" s="1536"/>
      <c r="C33" s="90">
        <v>105</v>
      </c>
      <c r="D33" s="90"/>
      <c r="E33" s="408"/>
      <c r="F33" s="408"/>
      <c r="G33" s="408"/>
      <c r="H33" s="408"/>
      <c r="I33" s="21"/>
      <c r="J33" s="17"/>
    </row>
    <row r="34" spans="1:10" s="10" customFormat="1" ht="25.35" customHeight="1" x14ac:dyDescent="0.25">
      <c r="A34" s="1537" t="s">
        <v>37</v>
      </c>
      <c r="B34" s="1538"/>
      <c r="C34" s="91">
        <v>105</v>
      </c>
      <c r="D34" s="92"/>
      <c r="E34" s="631"/>
      <c r="F34" s="631"/>
      <c r="G34" s="631"/>
      <c r="H34" s="631"/>
      <c r="I34" s="21"/>
      <c r="J34" s="17"/>
    </row>
    <row r="35" spans="1:10" s="10" customFormat="1" ht="15" customHeight="1" x14ac:dyDescent="0.25">
      <c r="A35" s="1539" t="s">
        <v>38</v>
      </c>
      <c r="B35" s="1540"/>
      <c r="C35" s="92">
        <f>C33/C34</f>
        <v>1</v>
      </c>
      <c r="D35" s="92"/>
      <c r="E35" s="631"/>
      <c r="F35" s="631"/>
      <c r="G35" s="631"/>
      <c r="H35" s="631"/>
      <c r="I35" s="21"/>
      <c r="J35" s="17"/>
    </row>
    <row r="36" spans="1:10" ht="16.350000000000001" customHeight="1" x14ac:dyDescent="0.25">
      <c r="A36" s="1541" t="s">
        <v>39</v>
      </c>
      <c r="B36" s="1542"/>
      <c r="C36" s="15" t="s">
        <v>40</v>
      </c>
      <c r="D36" s="102"/>
      <c r="E36" s="102" t="s">
        <v>40</v>
      </c>
      <c r="F36" s="16">
        <f>F32/C35</f>
        <v>16.690000000000001</v>
      </c>
      <c r="G36" s="16"/>
      <c r="H36" s="16"/>
      <c r="I36" s="102" t="s">
        <v>40</v>
      </c>
      <c r="J36" s="102" t="s">
        <v>40</v>
      </c>
    </row>
    <row r="37" spans="1:10" ht="23.1" customHeight="1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193"/>
      <c r="B38" s="1194" t="s">
        <v>49</v>
      </c>
      <c r="C38" s="1198"/>
      <c r="D38" s="1198"/>
      <c r="E38" s="1198"/>
      <c r="F38" s="1198"/>
      <c r="G38" s="1193"/>
      <c r="H38" s="1557">
        <f>'1-бутерброд с маслом'!$H$28</f>
        <v>0</v>
      </c>
      <c r="I38" s="1557"/>
      <c r="J38" s="1557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ht="13.95" customHeight="1" x14ac:dyDescent="0.25">
      <c r="A40" s="1545" t="s">
        <v>327</v>
      </c>
      <c r="B40" s="1545"/>
      <c r="C40" s="1546" t="s">
        <v>328</v>
      </c>
      <c r="D40" s="1546"/>
      <c r="E40" s="1546"/>
      <c r="F40" s="1546"/>
      <c r="G40" s="106"/>
      <c r="H40" s="1531"/>
      <c r="I40" s="1531"/>
      <c r="J40" s="1531"/>
    </row>
    <row r="41" spans="1:10" x14ac:dyDescent="0.25">
      <c r="A41" s="1193"/>
      <c r="B41" s="1193"/>
      <c r="C41" s="1546"/>
      <c r="D41" s="1546"/>
      <c r="E41" s="1546"/>
      <c r="F41" s="1546"/>
      <c r="G41" s="1193"/>
      <c r="H41" s="1531" t="s">
        <v>329</v>
      </c>
      <c r="I41" s="1531"/>
      <c r="J41" s="1531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  <row r="45" spans="1:10" x14ac:dyDescent="0.25">
      <c r="A45" s="1193"/>
      <c r="B45" s="1193"/>
      <c r="C45" s="1193"/>
      <c r="D45" s="1193"/>
      <c r="E45" s="1193"/>
      <c r="F45" s="1193"/>
      <c r="G45" s="1193"/>
      <c r="H45" s="1193"/>
      <c r="I45" s="1193"/>
      <c r="J45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0:B40"/>
    <mergeCell ref="C40:F41"/>
    <mergeCell ref="H40:J40"/>
    <mergeCell ref="H41:J41"/>
    <mergeCell ref="A33:B33"/>
    <mergeCell ref="A34:B34"/>
    <mergeCell ref="A35:B35"/>
    <mergeCell ref="A36:B36"/>
    <mergeCell ref="H38:J38"/>
    <mergeCell ref="A32:B32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45"/>
  <sheetViews>
    <sheetView view="pageBreakPreview" topLeftCell="A4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628" customWidth="1"/>
    <col min="2" max="2" width="23.5546875" style="628" customWidth="1"/>
    <col min="3" max="7" width="7.5546875" style="628" customWidth="1"/>
    <col min="8" max="8" width="8.88671875" style="628" customWidth="1"/>
    <col min="9" max="9" width="7.5546875" style="628" customWidth="1"/>
    <col min="10" max="10" width="9.109375" style="628" customWidth="1"/>
    <col min="11" max="11" width="4.33203125" style="628" customWidth="1"/>
    <col min="12" max="16384" width="8.88671875" style="628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136)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184</v>
      </c>
    </row>
    <row r="8" spans="1:10" s="2" customFormat="1" ht="9.6" customHeight="1" x14ac:dyDescent="0.25">
      <c r="A8" s="629"/>
      <c r="B8" s="629"/>
      <c r="C8" s="629"/>
      <c r="D8" s="629"/>
      <c r="E8" s="629"/>
      <c r="F8" s="629"/>
      <c r="G8" s="629"/>
      <c r="H8" s="629"/>
      <c r="I8" s="629"/>
      <c r="J8" s="109"/>
    </row>
    <row r="9" spans="1:10" s="2" customFormat="1" ht="26.1" customHeight="1" x14ac:dyDescent="0.3">
      <c r="A9" s="1550" t="s">
        <v>902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'184-крупеник пшенич.'!H14+1</f>
        <v>136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630" t="s">
        <v>92</v>
      </c>
      <c r="D17" s="630" t="s">
        <v>94</v>
      </c>
      <c r="E17" s="630" t="s">
        <v>93</v>
      </c>
      <c r="F17" s="630" t="s">
        <v>23</v>
      </c>
      <c r="G17" s="630" t="s">
        <v>92</v>
      </c>
      <c r="H17" s="630" t="s">
        <v>94</v>
      </c>
      <c r="I17" s="630" t="s">
        <v>92</v>
      </c>
      <c r="J17" s="630" t="s">
        <v>94</v>
      </c>
    </row>
    <row r="18" spans="1:10" ht="9.6" customHeight="1" x14ac:dyDescent="0.25">
      <c r="A18" s="630">
        <v>1</v>
      </c>
      <c r="B18" s="631">
        <v>2</v>
      </c>
      <c r="C18" s="630">
        <v>3</v>
      </c>
      <c r="D18" s="631">
        <v>4</v>
      </c>
      <c r="E18" s="630">
        <v>5</v>
      </c>
      <c r="F18" s="631">
        <v>6</v>
      </c>
      <c r="G18" s="630">
        <v>7</v>
      </c>
      <c r="H18" s="631">
        <v>8</v>
      </c>
      <c r="I18" s="630">
        <v>9</v>
      </c>
      <c r="J18" s="631">
        <v>10</v>
      </c>
    </row>
    <row r="19" spans="1:10" s="10" customFormat="1" ht="15" customHeight="1" x14ac:dyDescent="0.25">
      <c r="A19" s="180">
        <v>1</v>
      </c>
      <c r="B19" s="20" t="s">
        <v>857</v>
      </c>
      <c r="C19" s="90">
        <v>2.7E-2</v>
      </c>
      <c r="D19" s="90">
        <v>2.7E-2</v>
      </c>
      <c r="E19" s="408">
        <f>цены!F80</f>
        <v>35</v>
      </c>
      <c r="F19" s="408">
        <f>C19*E19</f>
        <v>0.95</v>
      </c>
      <c r="G19" s="97">
        <f t="shared" ref="G19:H30" si="0">C19*10</f>
        <v>0.27</v>
      </c>
      <c r="H19" s="21">
        <f t="shared" si="0"/>
        <v>0.27</v>
      </c>
      <c r="I19" s="21">
        <f t="shared" ref="I19:J30" si="1">C19*100</f>
        <v>2.7</v>
      </c>
      <c r="J19" s="21">
        <f t="shared" si="1"/>
        <v>2.7</v>
      </c>
    </row>
    <row r="20" spans="1:10" s="10" customFormat="1" ht="14.1" customHeight="1" x14ac:dyDescent="0.25">
      <c r="A20" s="180">
        <v>2</v>
      </c>
      <c r="B20" s="20" t="s">
        <v>28</v>
      </c>
      <c r="C20" s="90">
        <v>5.1999999999999998E-2</v>
      </c>
      <c r="D20" s="90">
        <v>5.1999999999999998E-2</v>
      </c>
      <c r="E20" s="408"/>
      <c r="F20" s="408">
        <f t="shared" ref="F20:F27" si="2">C20*E20</f>
        <v>0</v>
      </c>
      <c r="G20" s="97">
        <f t="shared" si="0"/>
        <v>0.52</v>
      </c>
      <c r="H20" s="21">
        <f t="shared" si="0"/>
        <v>0.52</v>
      </c>
      <c r="I20" s="21">
        <f t="shared" si="1"/>
        <v>5.2</v>
      </c>
      <c r="J20" s="21">
        <f t="shared" si="1"/>
        <v>5.2</v>
      </c>
    </row>
    <row r="21" spans="1:10" s="10" customFormat="1" ht="14.1" customHeight="1" x14ac:dyDescent="0.25">
      <c r="A21" s="184"/>
      <c r="B21" s="93" t="s">
        <v>71</v>
      </c>
      <c r="C21" s="94"/>
      <c r="D21" s="94">
        <v>0.08</v>
      </c>
      <c r="E21" s="95"/>
      <c r="F21" s="95"/>
      <c r="G21" s="99"/>
      <c r="H21" s="100"/>
      <c r="I21" s="100"/>
      <c r="J21" s="100"/>
    </row>
    <row r="22" spans="1:10" s="10" customFormat="1" ht="14.1" customHeight="1" x14ac:dyDescent="0.25">
      <c r="A22" s="129">
        <v>3</v>
      </c>
      <c r="B22" s="123" t="s">
        <v>57</v>
      </c>
      <c r="C22" s="690">
        <v>3.04E-2</v>
      </c>
      <c r="D22" s="124">
        <v>0.03</v>
      </c>
      <c r="E22" s="408">
        <f>цены!F23</f>
        <v>350</v>
      </c>
      <c r="F22" s="408">
        <f t="shared" si="2"/>
        <v>10.64</v>
      </c>
      <c r="G22" s="97">
        <f>C22*10</f>
        <v>0.30399999999999999</v>
      </c>
      <c r="H22" s="21">
        <f>D22*10</f>
        <v>0.3</v>
      </c>
      <c r="I22" s="21">
        <f>C22*100</f>
        <v>3.04</v>
      </c>
      <c r="J22" s="21">
        <f>D22*100</f>
        <v>3</v>
      </c>
    </row>
    <row r="23" spans="1:10" s="10" customFormat="1" ht="14.1" customHeight="1" x14ac:dyDescent="0.25">
      <c r="A23" s="180">
        <v>4</v>
      </c>
      <c r="B23" s="20" t="s">
        <v>30</v>
      </c>
      <c r="C23" s="90">
        <v>4.0000000000000001E-3</v>
      </c>
      <c r="D23" s="90">
        <v>4.0000000000000001E-3</v>
      </c>
      <c r="E23" s="408">
        <f>цены!F107</f>
        <v>76</v>
      </c>
      <c r="F23" s="408">
        <f t="shared" si="2"/>
        <v>0.3</v>
      </c>
      <c r="G23" s="97">
        <f t="shared" si="0"/>
        <v>0.04</v>
      </c>
      <c r="H23" s="21">
        <f t="shared" si="0"/>
        <v>0.04</v>
      </c>
      <c r="I23" s="21">
        <f t="shared" si="1"/>
        <v>0.4</v>
      </c>
      <c r="J23" s="21">
        <f t="shared" si="1"/>
        <v>0.4</v>
      </c>
    </row>
    <row r="24" spans="1:10" s="10" customFormat="1" ht="14.1" customHeight="1" x14ac:dyDescent="0.25">
      <c r="A24" s="180">
        <v>4</v>
      </c>
      <c r="B24" s="20" t="s">
        <v>896</v>
      </c>
      <c r="C24" s="90">
        <f>0.046/20</f>
        <v>2E-3</v>
      </c>
      <c r="D24" s="90">
        <f>0.04/20</f>
        <v>2E-3</v>
      </c>
      <c r="E24" s="408">
        <f>цены!F30</f>
        <v>152.16999999999999</v>
      </c>
      <c r="F24" s="408">
        <f t="shared" si="2"/>
        <v>0.3</v>
      </c>
      <c r="G24" s="97">
        <f t="shared" si="0"/>
        <v>0.02</v>
      </c>
      <c r="H24" s="21">
        <f t="shared" si="0"/>
        <v>0.02</v>
      </c>
      <c r="I24" s="21">
        <f t="shared" si="1"/>
        <v>0.2</v>
      </c>
      <c r="J24" s="21">
        <f t="shared" si="1"/>
        <v>0.2</v>
      </c>
    </row>
    <row r="25" spans="1:10" s="10" customFormat="1" ht="14.1" customHeight="1" x14ac:dyDescent="0.25">
      <c r="A25" s="180"/>
      <c r="B25" s="20" t="s">
        <v>72</v>
      </c>
      <c r="C25" s="90">
        <v>2E-3</v>
      </c>
      <c r="D25" s="90">
        <v>2E-3</v>
      </c>
      <c r="E25" s="408">
        <f>цены!F111</f>
        <v>118</v>
      </c>
      <c r="F25" s="408">
        <f>C25*E25</f>
        <v>0.24</v>
      </c>
      <c r="G25" s="97">
        <f>C25*10</f>
        <v>0.02</v>
      </c>
      <c r="H25" s="21">
        <f>D25*10</f>
        <v>0.02</v>
      </c>
      <c r="I25" s="21">
        <f>C25*100</f>
        <v>0.2</v>
      </c>
      <c r="J25" s="21">
        <f>D25*100</f>
        <v>0.2</v>
      </c>
    </row>
    <row r="26" spans="1:10" s="10" customFormat="1" ht="22.2" customHeight="1" x14ac:dyDescent="0.25">
      <c r="A26" s="180">
        <v>5</v>
      </c>
      <c r="B26" s="20" t="s">
        <v>690</v>
      </c>
      <c r="C26" s="90">
        <v>2E-3</v>
      </c>
      <c r="D26" s="90">
        <v>2E-3</v>
      </c>
      <c r="E26" s="408">
        <f>цены!F87</f>
        <v>120</v>
      </c>
      <c r="F26" s="408">
        <f t="shared" si="2"/>
        <v>0.24</v>
      </c>
      <c r="G26" s="97">
        <f t="shared" si="0"/>
        <v>0.02</v>
      </c>
      <c r="H26" s="21">
        <f t="shared" si="0"/>
        <v>0.02</v>
      </c>
      <c r="I26" s="21">
        <f t="shared" si="1"/>
        <v>0.2</v>
      </c>
      <c r="J26" s="21">
        <f t="shared" si="1"/>
        <v>0.2</v>
      </c>
    </row>
    <row r="27" spans="1:10" s="10" customFormat="1" ht="13.95" customHeight="1" x14ac:dyDescent="0.25">
      <c r="A27" s="180">
        <v>7</v>
      </c>
      <c r="B27" s="20" t="s">
        <v>51</v>
      </c>
      <c r="C27" s="90">
        <v>2E-3</v>
      </c>
      <c r="D27" s="90">
        <v>2E-3</v>
      </c>
      <c r="E27" s="408">
        <f>цены!F24</f>
        <v>234</v>
      </c>
      <c r="F27" s="408">
        <f t="shared" si="2"/>
        <v>0.47</v>
      </c>
      <c r="G27" s="97">
        <f t="shared" si="0"/>
        <v>0.02</v>
      </c>
      <c r="H27" s="21">
        <f t="shared" si="0"/>
        <v>0.02</v>
      </c>
      <c r="I27" s="21">
        <f t="shared" si="1"/>
        <v>0.2</v>
      </c>
      <c r="J27" s="21">
        <f t="shared" si="1"/>
        <v>0.2</v>
      </c>
    </row>
    <row r="28" spans="1:10" s="10" customFormat="1" ht="13.95" customHeight="1" x14ac:dyDescent="0.25">
      <c r="A28" s="416"/>
      <c r="B28" s="93" t="s">
        <v>97</v>
      </c>
      <c r="C28" s="689"/>
      <c r="D28" s="689">
        <v>120</v>
      </c>
      <c r="E28" s="192"/>
      <c r="F28" s="192"/>
      <c r="G28" s="231"/>
      <c r="H28" s="232">
        <f t="shared" si="0"/>
        <v>1200</v>
      </c>
      <c r="I28" s="232"/>
      <c r="J28" s="232">
        <f t="shared" si="1"/>
        <v>12000</v>
      </c>
    </row>
    <row r="29" spans="1:10" s="10" customFormat="1" ht="13.95" customHeight="1" x14ac:dyDescent="0.25">
      <c r="A29" s="184"/>
      <c r="B29" s="93" t="s">
        <v>897</v>
      </c>
      <c r="C29" s="94"/>
      <c r="D29" s="94">
        <v>100</v>
      </c>
      <c r="E29" s="95"/>
      <c r="F29" s="95"/>
      <c r="G29" s="99"/>
      <c r="H29" s="100">
        <f t="shared" si="0"/>
        <v>1000</v>
      </c>
      <c r="I29" s="100"/>
      <c r="J29" s="100">
        <f t="shared" si="1"/>
        <v>10000</v>
      </c>
    </row>
    <row r="30" spans="1:10" s="10" customFormat="1" ht="14.1" customHeight="1" x14ac:dyDescent="0.25">
      <c r="A30" s="180"/>
      <c r="B30" s="20" t="s">
        <v>900</v>
      </c>
      <c r="C30" s="90">
        <v>0.02</v>
      </c>
      <c r="D30" s="90">
        <v>0.02</v>
      </c>
      <c r="E30" s="408">
        <f>цены!F28</f>
        <v>440</v>
      </c>
      <c r="F30" s="408">
        <f>C30*E30</f>
        <v>8.8000000000000007</v>
      </c>
      <c r="G30" s="97">
        <f>C30*10</f>
        <v>0.2</v>
      </c>
      <c r="H30" s="21">
        <f t="shared" si="0"/>
        <v>0.2</v>
      </c>
      <c r="I30" s="21">
        <f>C30*100</f>
        <v>2</v>
      </c>
      <c r="J30" s="21">
        <f t="shared" si="1"/>
        <v>2</v>
      </c>
    </row>
    <row r="31" spans="1:10" s="10" customFormat="1" ht="14.1" customHeight="1" x14ac:dyDescent="0.25">
      <c r="A31" s="184"/>
      <c r="B31" s="93" t="s">
        <v>190</v>
      </c>
      <c r="C31" s="94"/>
      <c r="D31" s="94">
        <v>120</v>
      </c>
      <c r="E31" s="95"/>
      <c r="F31" s="95">
        <f>SUM(F19:F30)</f>
        <v>21.94</v>
      </c>
      <c r="G31" s="99"/>
      <c r="H31" s="100">
        <f>D31*10</f>
        <v>1200</v>
      </c>
      <c r="I31" s="100"/>
      <c r="J31" s="100">
        <f>D31*100</f>
        <v>12000</v>
      </c>
    </row>
    <row r="32" spans="1:10" s="10" customFormat="1" ht="27.6" customHeight="1" x14ac:dyDescent="0.25">
      <c r="A32" s="1536" t="s">
        <v>35</v>
      </c>
      <c r="B32" s="1536"/>
      <c r="C32" s="90"/>
      <c r="D32" s="90"/>
      <c r="E32" s="408"/>
      <c r="F32" s="408">
        <f>F31</f>
        <v>21.94</v>
      </c>
      <c r="G32" s="632"/>
      <c r="H32" s="632"/>
      <c r="I32" s="21"/>
      <c r="J32" s="408"/>
    </row>
    <row r="33" spans="1:10" s="10" customFormat="1" ht="25.35" customHeight="1" x14ac:dyDescent="0.25">
      <c r="A33" s="1536" t="s">
        <v>36</v>
      </c>
      <c r="B33" s="1536"/>
      <c r="C33" s="90">
        <v>120</v>
      </c>
      <c r="D33" s="90"/>
      <c r="E33" s="408"/>
      <c r="F33" s="408"/>
      <c r="G33" s="408"/>
      <c r="H33" s="408"/>
      <c r="I33" s="21"/>
      <c r="J33" s="17"/>
    </row>
    <row r="34" spans="1:10" s="10" customFormat="1" ht="25.35" customHeight="1" x14ac:dyDescent="0.25">
      <c r="A34" s="1537" t="s">
        <v>37</v>
      </c>
      <c r="B34" s="1538"/>
      <c r="C34" s="91">
        <v>120</v>
      </c>
      <c r="D34" s="92"/>
      <c r="E34" s="631"/>
      <c r="F34" s="631"/>
      <c r="G34" s="631"/>
      <c r="H34" s="631"/>
      <c r="I34" s="21"/>
      <c r="J34" s="17"/>
    </row>
    <row r="35" spans="1:10" s="10" customFormat="1" ht="15" customHeight="1" x14ac:dyDescent="0.25">
      <c r="A35" s="1539" t="s">
        <v>38</v>
      </c>
      <c r="B35" s="1540"/>
      <c r="C35" s="92">
        <f>C33/C34</f>
        <v>1</v>
      </c>
      <c r="D35" s="92"/>
      <c r="E35" s="631"/>
      <c r="F35" s="631"/>
      <c r="G35" s="631"/>
      <c r="H35" s="631"/>
      <c r="I35" s="21"/>
      <c r="J35" s="17"/>
    </row>
    <row r="36" spans="1:10" ht="16.350000000000001" customHeight="1" x14ac:dyDescent="0.25">
      <c r="A36" s="1541" t="s">
        <v>39</v>
      </c>
      <c r="B36" s="1542"/>
      <c r="C36" s="15" t="s">
        <v>40</v>
      </c>
      <c r="D36" s="102"/>
      <c r="E36" s="102" t="s">
        <v>40</v>
      </c>
      <c r="F36" s="16">
        <f>F32/C35</f>
        <v>21.94</v>
      </c>
      <c r="G36" s="16"/>
      <c r="H36" s="16"/>
      <c r="I36" s="102" t="s">
        <v>40</v>
      </c>
      <c r="J36" s="102" t="s">
        <v>40</v>
      </c>
    </row>
    <row r="37" spans="1:10" ht="23.1" customHeight="1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193"/>
      <c r="B38" s="1194" t="s">
        <v>49</v>
      </c>
      <c r="C38" s="1198"/>
      <c r="D38" s="1198"/>
      <c r="E38" s="1198"/>
      <c r="F38" s="1198"/>
      <c r="G38" s="1193"/>
      <c r="H38" s="1557">
        <f>'1-бутерброд с маслом'!$H$28</f>
        <v>0</v>
      </c>
      <c r="I38" s="1557"/>
      <c r="J38" s="1557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ht="13.95" customHeight="1" x14ac:dyDescent="0.25">
      <c r="A40" s="1545" t="s">
        <v>327</v>
      </c>
      <c r="B40" s="1545"/>
      <c r="C40" s="1546" t="s">
        <v>328</v>
      </c>
      <c r="D40" s="1546"/>
      <c r="E40" s="1546"/>
      <c r="F40" s="1546"/>
      <c r="G40" s="106"/>
      <c r="H40" s="1531"/>
      <c r="I40" s="1531"/>
      <c r="J40" s="1531"/>
    </row>
    <row r="41" spans="1:10" x14ac:dyDescent="0.25">
      <c r="A41" s="1193"/>
      <c r="B41" s="1193"/>
      <c r="C41" s="1546"/>
      <c r="D41" s="1546"/>
      <c r="E41" s="1546"/>
      <c r="F41" s="1546"/>
      <c r="G41" s="1193"/>
      <c r="H41" s="1531" t="s">
        <v>329</v>
      </c>
      <c r="I41" s="1531"/>
      <c r="J41" s="1531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  <row r="45" spans="1:10" x14ac:dyDescent="0.25">
      <c r="A45" s="1193"/>
      <c r="B45" s="1193"/>
      <c r="C45" s="1193"/>
      <c r="D45" s="1193"/>
      <c r="E45" s="1193"/>
      <c r="F45" s="1193"/>
      <c r="G45" s="1193"/>
      <c r="H45" s="1193"/>
      <c r="I45" s="1193"/>
      <c r="J45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0:B40"/>
    <mergeCell ref="C40:F41"/>
    <mergeCell ref="H40:J40"/>
    <mergeCell ref="H41:J41"/>
    <mergeCell ref="A33:B33"/>
    <mergeCell ref="A34:B34"/>
    <mergeCell ref="A35:B35"/>
    <mergeCell ref="A36:B36"/>
    <mergeCell ref="H38:J38"/>
    <mergeCell ref="A32:B32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E8EE3"/>
  </sheetPr>
  <dimension ref="A1:J44"/>
  <sheetViews>
    <sheetView view="pageBreakPreview" topLeftCell="A5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407" customWidth="1"/>
    <col min="2" max="2" width="23.5546875" style="407" customWidth="1"/>
    <col min="3" max="7" width="7.5546875" style="407" customWidth="1"/>
    <col min="8" max="8" width="8.88671875" style="407" customWidth="1"/>
    <col min="9" max="9" width="7.5546875" style="407" customWidth="1"/>
    <col min="10" max="10" width="9.109375" style="407" customWidth="1"/>
    <col min="11" max="11" width="4.109375" style="407" customWidth="1"/>
    <col min="12" max="16384" width="8.88671875" style="40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137)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185</v>
      </c>
    </row>
    <row r="8" spans="1:10" s="2" customFormat="1" ht="9.6" customHeight="1" x14ac:dyDescent="0.25">
      <c r="A8" s="441"/>
      <c r="B8" s="441"/>
      <c r="C8" s="441"/>
      <c r="D8" s="441"/>
      <c r="E8" s="441"/>
      <c r="F8" s="441"/>
      <c r="G8" s="441"/>
      <c r="H8" s="441"/>
      <c r="I8" s="441"/>
      <c r="J8" s="109"/>
    </row>
    <row r="9" spans="1:10" s="2" customFormat="1" ht="26.1" customHeight="1" x14ac:dyDescent="0.3">
      <c r="A9" s="1550" t="s">
        <v>692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'184-крупеник пшенич.йог.'!H14+1</f>
        <v>137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438" t="s">
        <v>92</v>
      </c>
      <c r="D17" s="438" t="s">
        <v>94</v>
      </c>
      <c r="E17" s="438" t="s">
        <v>93</v>
      </c>
      <c r="F17" s="438" t="s">
        <v>23</v>
      </c>
      <c r="G17" s="438" t="s">
        <v>92</v>
      </c>
      <c r="H17" s="438" t="s">
        <v>94</v>
      </c>
      <c r="I17" s="438" t="s">
        <v>92</v>
      </c>
      <c r="J17" s="438" t="s">
        <v>94</v>
      </c>
    </row>
    <row r="18" spans="1:10" ht="9.6" customHeight="1" x14ac:dyDescent="0.25">
      <c r="A18" s="438">
        <v>1</v>
      </c>
      <c r="B18" s="440">
        <v>2</v>
      </c>
      <c r="C18" s="438">
        <v>3</v>
      </c>
      <c r="D18" s="440">
        <v>4</v>
      </c>
      <c r="E18" s="438">
        <v>5</v>
      </c>
      <c r="F18" s="440">
        <v>6</v>
      </c>
      <c r="G18" s="438">
        <v>7</v>
      </c>
      <c r="H18" s="440">
        <v>8</v>
      </c>
      <c r="I18" s="438">
        <v>9</v>
      </c>
      <c r="J18" s="440">
        <v>10</v>
      </c>
    </row>
    <row r="19" spans="1:10" s="10" customFormat="1" ht="15" customHeight="1" x14ac:dyDescent="0.25">
      <c r="A19" s="180">
        <v>1</v>
      </c>
      <c r="B19" s="20" t="s">
        <v>66</v>
      </c>
      <c r="C19" s="90">
        <v>4.5999999999999999E-2</v>
      </c>
      <c r="D19" s="90">
        <v>4.5999999999999999E-2</v>
      </c>
      <c r="E19" s="408">
        <f>цены!F76</f>
        <v>40</v>
      </c>
      <c r="F19" s="408">
        <f t="shared" ref="F19:F26" si="0">C19*E19</f>
        <v>1.84</v>
      </c>
      <c r="G19" s="97">
        <f t="shared" ref="G19:H21" si="1">C19*10</f>
        <v>0.46</v>
      </c>
      <c r="H19" s="21">
        <f t="shared" si="1"/>
        <v>0.46</v>
      </c>
      <c r="I19" s="21">
        <f t="shared" ref="I19:J21" si="2">C19*100</f>
        <v>4.5999999999999996</v>
      </c>
      <c r="J19" s="21">
        <f t="shared" si="2"/>
        <v>4.5999999999999996</v>
      </c>
    </row>
    <row r="20" spans="1:10" s="10" customFormat="1" ht="14.1" customHeight="1" x14ac:dyDescent="0.25">
      <c r="A20" s="180">
        <v>2</v>
      </c>
      <c r="B20" s="20" t="s">
        <v>28</v>
      </c>
      <c r="C20" s="90">
        <v>0.16800000000000001</v>
      </c>
      <c r="D20" s="90">
        <v>0.16800000000000001</v>
      </c>
      <c r="E20" s="408"/>
      <c r="F20" s="408">
        <f t="shared" si="0"/>
        <v>0</v>
      </c>
      <c r="G20" s="97">
        <f t="shared" si="1"/>
        <v>1.68</v>
      </c>
      <c r="H20" s="21">
        <f t="shared" si="1"/>
        <v>1.68</v>
      </c>
      <c r="I20" s="21">
        <f t="shared" si="2"/>
        <v>16.8</v>
      </c>
      <c r="J20" s="21">
        <f t="shared" si="2"/>
        <v>16.8</v>
      </c>
    </row>
    <row r="21" spans="1:10" s="10" customFormat="1" ht="14.1" customHeight="1" x14ac:dyDescent="0.25">
      <c r="A21" s="180">
        <v>3</v>
      </c>
      <c r="B21" s="20" t="s">
        <v>30</v>
      </c>
      <c r="C21" s="90">
        <v>8.0000000000000002E-3</v>
      </c>
      <c r="D21" s="90">
        <v>8.0000000000000002E-3</v>
      </c>
      <c r="E21" s="408">
        <f>цены!F107</f>
        <v>76</v>
      </c>
      <c r="F21" s="408">
        <f t="shared" si="0"/>
        <v>0.61</v>
      </c>
      <c r="G21" s="97">
        <f t="shared" si="1"/>
        <v>0.08</v>
      </c>
      <c r="H21" s="21">
        <f t="shared" si="1"/>
        <v>0.08</v>
      </c>
      <c r="I21" s="21">
        <f t="shared" si="2"/>
        <v>0.8</v>
      </c>
      <c r="J21" s="21">
        <f t="shared" si="2"/>
        <v>0.8</v>
      </c>
    </row>
    <row r="22" spans="1:10" s="10" customFormat="1" ht="14.1" customHeight="1" x14ac:dyDescent="0.25">
      <c r="A22" s="180">
        <v>4</v>
      </c>
      <c r="B22" s="20" t="s">
        <v>689</v>
      </c>
      <c r="C22" s="90">
        <v>8.0000000000000002E-3</v>
      </c>
      <c r="D22" s="90">
        <v>6.0000000000000001E-3</v>
      </c>
      <c r="E22" s="408">
        <f>цены!F30</f>
        <v>152.16999999999999</v>
      </c>
      <c r="F22" s="408">
        <f t="shared" si="0"/>
        <v>1.22</v>
      </c>
      <c r="G22" s="97">
        <f>C22*10</f>
        <v>0.08</v>
      </c>
      <c r="H22" s="21">
        <f t="shared" ref="H22:H28" si="3">D22*10</f>
        <v>0.06</v>
      </c>
      <c r="I22" s="21">
        <f>C22*100</f>
        <v>0.8</v>
      </c>
      <c r="J22" s="21">
        <f t="shared" ref="J22:J28" si="4">D22*100</f>
        <v>0.6</v>
      </c>
    </row>
    <row r="23" spans="1:10" s="10" customFormat="1" ht="22.2" customHeight="1" x14ac:dyDescent="0.25">
      <c r="A23" s="180">
        <v>5</v>
      </c>
      <c r="B23" s="20" t="s">
        <v>690</v>
      </c>
      <c r="C23" s="90">
        <v>4.0000000000000001E-3</v>
      </c>
      <c r="D23" s="90">
        <v>4.0000000000000001E-3</v>
      </c>
      <c r="E23" s="408">
        <f>цены!F87</f>
        <v>120</v>
      </c>
      <c r="F23" s="408">
        <f t="shared" si="0"/>
        <v>0.48</v>
      </c>
      <c r="G23" s="97">
        <f>C23*10</f>
        <v>0.04</v>
      </c>
      <c r="H23" s="21">
        <f t="shared" si="3"/>
        <v>0.04</v>
      </c>
      <c r="I23" s="21">
        <f>C23*100</f>
        <v>0.4</v>
      </c>
      <c r="J23" s="21">
        <f t="shared" si="4"/>
        <v>0.4</v>
      </c>
    </row>
    <row r="24" spans="1:10" s="10" customFormat="1" ht="13.95" customHeight="1" x14ac:dyDescent="0.25">
      <c r="A24" s="180">
        <v>6</v>
      </c>
      <c r="B24" s="20" t="s">
        <v>72</v>
      </c>
      <c r="C24" s="90">
        <v>4.0000000000000001E-3</v>
      </c>
      <c r="D24" s="90">
        <v>4.0000000000000001E-3</v>
      </c>
      <c r="E24" s="408">
        <f>цены!F111</f>
        <v>118</v>
      </c>
      <c r="F24" s="408">
        <f t="shared" si="0"/>
        <v>0.47</v>
      </c>
      <c r="G24" s="97">
        <f>C24*10</f>
        <v>0.04</v>
      </c>
      <c r="H24" s="21">
        <f t="shared" si="3"/>
        <v>0.04</v>
      </c>
      <c r="I24" s="21">
        <f>C24*100</f>
        <v>0.4</v>
      </c>
      <c r="J24" s="21">
        <f t="shared" si="4"/>
        <v>0.4</v>
      </c>
    </row>
    <row r="25" spans="1:10" s="10" customFormat="1" ht="13.95" customHeight="1" x14ac:dyDescent="0.25">
      <c r="A25" s="180">
        <v>7</v>
      </c>
      <c r="B25" s="20" t="s">
        <v>51</v>
      </c>
      <c r="C25" s="90">
        <v>4.0000000000000001E-3</v>
      </c>
      <c r="D25" s="90">
        <v>4.0000000000000001E-3</v>
      </c>
      <c r="E25" s="408">
        <f>цены!F24</f>
        <v>234</v>
      </c>
      <c r="F25" s="408">
        <f t="shared" si="0"/>
        <v>0.94</v>
      </c>
      <c r="G25" s="97">
        <f>C25*10</f>
        <v>0.04</v>
      </c>
      <c r="H25" s="21">
        <f t="shared" si="3"/>
        <v>0.04</v>
      </c>
      <c r="I25" s="21">
        <f>C25*100</f>
        <v>0.4</v>
      </c>
      <c r="J25" s="21">
        <f t="shared" si="4"/>
        <v>0.4</v>
      </c>
    </row>
    <row r="26" spans="1:10" s="10" customFormat="1" ht="13.95" customHeight="1" x14ac:dyDescent="0.25">
      <c r="A26" s="180">
        <v>8</v>
      </c>
      <c r="B26" s="20" t="s">
        <v>56</v>
      </c>
      <c r="C26" s="502">
        <v>2.0000000000000002E-5</v>
      </c>
      <c r="D26" s="502">
        <v>2.0000000000000002E-5</v>
      </c>
      <c r="E26" s="408">
        <f>цены!F90</f>
        <v>5000</v>
      </c>
      <c r="F26" s="408">
        <f t="shared" si="0"/>
        <v>0.1</v>
      </c>
      <c r="G26" s="97">
        <f>C26*10</f>
        <v>0</v>
      </c>
      <c r="H26" s="21">
        <f t="shared" si="3"/>
        <v>0</v>
      </c>
      <c r="I26" s="21">
        <f>C26*100</f>
        <v>2E-3</v>
      </c>
      <c r="J26" s="21">
        <f t="shared" si="4"/>
        <v>2E-3</v>
      </c>
    </row>
    <row r="27" spans="1:10" s="10" customFormat="1" ht="13.95" customHeight="1" x14ac:dyDescent="0.25">
      <c r="A27" s="184"/>
      <c r="B27" s="93" t="s">
        <v>97</v>
      </c>
      <c r="C27" s="94"/>
      <c r="D27" s="1081">
        <v>224</v>
      </c>
      <c r="E27" s="95"/>
      <c r="F27" s="95"/>
      <c r="G27" s="99"/>
      <c r="H27" s="1028">
        <f t="shared" si="3"/>
        <v>2240</v>
      </c>
      <c r="I27" s="1028"/>
      <c r="J27" s="1028">
        <f t="shared" si="4"/>
        <v>22400</v>
      </c>
    </row>
    <row r="28" spans="1:10" s="10" customFormat="1" ht="13.95" customHeight="1" x14ac:dyDescent="0.25">
      <c r="A28" s="184"/>
      <c r="B28" s="93" t="s">
        <v>691</v>
      </c>
      <c r="C28" s="94"/>
      <c r="D28" s="1081">
        <v>200</v>
      </c>
      <c r="E28" s="95"/>
      <c r="F28" s="95"/>
      <c r="G28" s="99"/>
      <c r="H28" s="1028">
        <f t="shared" si="3"/>
        <v>2000</v>
      </c>
      <c r="I28" s="1028"/>
      <c r="J28" s="1028">
        <f t="shared" si="4"/>
        <v>20000</v>
      </c>
    </row>
    <row r="29" spans="1:10" s="10" customFormat="1" ht="14.1" customHeight="1" x14ac:dyDescent="0.25">
      <c r="A29" s="180"/>
      <c r="B29" s="20" t="s">
        <v>31</v>
      </c>
      <c r="C29" s="90">
        <v>5.0000000000000001E-3</v>
      </c>
      <c r="D29" s="90">
        <v>5.0000000000000001E-3</v>
      </c>
      <c r="E29" s="408">
        <f>цены!F21</f>
        <v>710</v>
      </c>
      <c r="F29" s="408">
        <f>C29*E29</f>
        <v>3.55</v>
      </c>
      <c r="G29" s="97">
        <f>C29*10</f>
        <v>0.05</v>
      </c>
      <c r="H29" s="21">
        <f>D29*10</f>
        <v>0.05</v>
      </c>
      <c r="I29" s="21">
        <f>C29*100</f>
        <v>0.5</v>
      </c>
      <c r="J29" s="21">
        <f>D29*100</f>
        <v>0.5</v>
      </c>
    </row>
    <row r="30" spans="1:10" s="10" customFormat="1" ht="14.1" customHeight="1" x14ac:dyDescent="0.25">
      <c r="A30" s="184"/>
      <c r="B30" s="93" t="s">
        <v>190</v>
      </c>
      <c r="C30" s="94"/>
      <c r="D30" s="94">
        <v>205</v>
      </c>
      <c r="E30" s="95"/>
      <c r="F30" s="95">
        <f>SUM(F19:F29)</f>
        <v>9.2100000000000009</v>
      </c>
      <c r="G30" s="99"/>
      <c r="H30" s="100">
        <f>D30*10</f>
        <v>2050</v>
      </c>
      <c r="I30" s="100"/>
      <c r="J30" s="100">
        <f>D30*100</f>
        <v>20500</v>
      </c>
    </row>
    <row r="31" spans="1:10" s="10" customFormat="1" ht="27.6" customHeight="1" x14ac:dyDescent="0.25">
      <c r="A31" s="1536" t="s">
        <v>35</v>
      </c>
      <c r="B31" s="1536"/>
      <c r="C31" s="90"/>
      <c r="D31" s="90"/>
      <c r="E31" s="408"/>
      <c r="F31" s="408">
        <f>F30</f>
        <v>9.2100000000000009</v>
      </c>
      <c r="G31" s="439"/>
      <c r="H31" s="439"/>
      <c r="I31" s="21"/>
      <c r="J31" s="408"/>
    </row>
    <row r="32" spans="1:10" s="10" customFormat="1" ht="25.35" customHeight="1" x14ac:dyDescent="0.25">
      <c r="A32" s="1536" t="s">
        <v>36</v>
      </c>
      <c r="B32" s="1536"/>
      <c r="C32" s="90">
        <v>205</v>
      </c>
      <c r="D32" s="90"/>
      <c r="E32" s="408"/>
      <c r="F32" s="408"/>
      <c r="G32" s="408"/>
      <c r="H32" s="408"/>
      <c r="I32" s="21"/>
      <c r="J32" s="17"/>
    </row>
    <row r="33" spans="1:10" s="10" customFormat="1" ht="25.35" customHeight="1" x14ac:dyDescent="0.25">
      <c r="A33" s="1537" t="s">
        <v>37</v>
      </c>
      <c r="B33" s="1538"/>
      <c r="C33" s="91">
        <v>205</v>
      </c>
      <c r="D33" s="1189" t="s">
        <v>1313</v>
      </c>
      <c r="E33" s="440"/>
      <c r="F33" s="440"/>
      <c r="G33" s="440"/>
      <c r="H33" s="440"/>
      <c r="I33" s="21"/>
      <c r="J33" s="17"/>
    </row>
    <row r="34" spans="1:10" s="10" customFormat="1" ht="15" customHeight="1" x14ac:dyDescent="0.25">
      <c r="A34" s="1539" t="s">
        <v>38</v>
      </c>
      <c r="B34" s="1540"/>
      <c r="C34" s="92">
        <f>C32/C33</f>
        <v>1</v>
      </c>
      <c r="D34" s="92"/>
      <c r="E34" s="440"/>
      <c r="F34" s="440"/>
      <c r="G34" s="440"/>
      <c r="H34" s="440"/>
      <c r="I34" s="21"/>
      <c r="J34" s="17"/>
    </row>
    <row r="35" spans="1:10" ht="16.350000000000001" customHeight="1" x14ac:dyDescent="0.25">
      <c r="A35" s="1541" t="s">
        <v>39</v>
      </c>
      <c r="B35" s="1542"/>
      <c r="C35" s="15" t="s">
        <v>40</v>
      </c>
      <c r="D35" s="102"/>
      <c r="E35" s="102" t="s">
        <v>40</v>
      </c>
      <c r="F35" s="16">
        <f>F31/C34</f>
        <v>9.2100000000000009</v>
      </c>
      <c r="G35" s="16"/>
      <c r="H35" s="16"/>
      <c r="I35" s="102" t="s">
        <v>40</v>
      </c>
      <c r="J35" s="102" t="s">
        <v>40</v>
      </c>
    </row>
    <row r="36" spans="1:10" ht="23.1" customHeight="1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193"/>
      <c r="B37" s="1194" t="s">
        <v>49</v>
      </c>
      <c r="C37" s="1198"/>
      <c r="D37" s="1198"/>
      <c r="E37" s="1198"/>
      <c r="F37" s="1198"/>
      <c r="G37" s="1193"/>
      <c r="H37" s="1557">
        <f>'1-бутерброд с маслом'!$H$28</f>
        <v>0</v>
      </c>
      <c r="I37" s="1557"/>
      <c r="J37" s="1557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545" t="s">
        <v>327</v>
      </c>
      <c r="B39" s="1545"/>
      <c r="C39" s="1546" t="s">
        <v>328</v>
      </c>
      <c r="D39" s="1546"/>
      <c r="E39" s="1546"/>
      <c r="F39" s="1546"/>
      <c r="G39" s="106"/>
      <c r="H39" s="1531"/>
      <c r="I39" s="1531"/>
      <c r="J39" s="1531"/>
    </row>
    <row r="40" spans="1:10" x14ac:dyDescent="0.25">
      <c r="A40" s="1193"/>
      <c r="B40" s="1193"/>
      <c r="C40" s="1546"/>
      <c r="D40" s="1546"/>
      <c r="E40" s="1546"/>
      <c r="F40" s="1546"/>
      <c r="G40" s="1193"/>
      <c r="H40" s="1531" t="s">
        <v>329</v>
      </c>
      <c r="I40" s="1531"/>
      <c r="J40" s="1531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37:J37"/>
    <mergeCell ref="A13:G13"/>
    <mergeCell ref="A32:B32"/>
    <mergeCell ref="A33:B33"/>
    <mergeCell ref="A34:B34"/>
    <mergeCell ref="A35:B35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9:B39"/>
    <mergeCell ref="C39:F40"/>
    <mergeCell ref="H39:J39"/>
    <mergeCell ref="H40:J40"/>
    <mergeCell ref="H5:I5"/>
    <mergeCell ref="A6:G6"/>
    <mergeCell ref="A7:I7"/>
    <mergeCell ref="A31:B31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E8EE3"/>
  </sheetPr>
  <dimension ref="A1:J44"/>
  <sheetViews>
    <sheetView view="pageBreakPreview" topLeftCell="A5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407" customWidth="1"/>
    <col min="2" max="2" width="23.5546875" style="407" customWidth="1"/>
    <col min="3" max="7" width="7.5546875" style="407" customWidth="1"/>
    <col min="8" max="8" width="8.88671875" style="407" customWidth="1"/>
    <col min="9" max="9" width="7.5546875" style="407" customWidth="1"/>
    <col min="10" max="10" width="9.109375" style="407" customWidth="1"/>
    <col min="11" max="11" width="4.5546875" style="407" customWidth="1"/>
    <col min="12" max="16384" width="8.88671875" style="40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138)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185</v>
      </c>
    </row>
    <row r="8" spans="1:10" s="2" customFormat="1" ht="9.6" customHeight="1" x14ac:dyDescent="0.25">
      <c r="A8" s="441"/>
      <c r="B8" s="441"/>
      <c r="C8" s="441"/>
      <c r="D8" s="441"/>
      <c r="E8" s="441"/>
      <c r="F8" s="441"/>
      <c r="G8" s="441"/>
      <c r="H8" s="441"/>
      <c r="I8" s="441"/>
      <c r="J8" s="109"/>
    </row>
    <row r="9" spans="1:10" s="2" customFormat="1" ht="26.1" customHeight="1" x14ac:dyDescent="0.3">
      <c r="A9" s="1550" t="s">
        <v>693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'185-запеканка манка с маслом'!H14+1</f>
        <v>138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438" t="s">
        <v>92</v>
      </c>
      <c r="D17" s="438" t="s">
        <v>94</v>
      </c>
      <c r="E17" s="438" t="s">
        <v>93</v>
      </c>
      <c r="F17" s="438" t="s">
        <v>23</v>
      </c>
      <c r="G17" s="438" t="s">
        <v>92</v>
      </c>
      <c r="H17" s="438" t="s">
        <v>94</v>
      </c>
      <c r="I17" s="438" t="s">
        <v>92</v>
      </c>
      <c r="J17" s="438" t="s">
        <v>94</v>
      </c>
    </row>
    <row r="18" spans="1:10" ht="9.6" customHeight="1" x14ac:dyDescent="0.25">
      <c r="A18" s="438">
        <v>1</v>
      </c>
      <c r="B18" s="440">
        <v>2</v>
      </c>
      <c r="C18" s="438">
        <v>3</v>
      </c>
      <c r="D18" s="440">
        <v>4</v>
      </c>
      <c r="E18" s="438">
        <v>5</v>
      </c>
      <c r="F18" s="440">
        <v>6</v>
      </c>
      <c r="G18" s="438">
        <v>7</v>
      </c>
      <c r="H18" s="440">
        <v>8</v>
      </c>
      <c r="I18" s="438">
        <v>9</v>
      </c>
      <c r="J18" s="440">
        <v>10</v>
      </c>
    </row>
    <row r="19" spans="1:10" s="10" customFormat="1" ht="15" customHeight="1" x14ac:dyDescent="0.25">
      <c r="A19" s="180">
        <v>1</v>
      </c>
      <c r="B19" s="20" t="s">
        <v>66</v>
      </c>
      <c r="C19" s="90">
        <v>4.5999999999999999E-2</v>
      </c>
      <c r="D19" s="90">
        <v>4.5999999999999999E-2</v>
      </c>
      <c r="E19" s="408">
        <f>цены!F76</f>
        <v>40</v>
      </c>
      <c r="F19" s="408">
        <f>C19*E19</f>
        <v>1.84</v>
      </c>
      <c r="G19" s="97">
        <f t="shared" ref="G19:H29" si="0">C19*10</f>
        <v>0.46</v>
      </c>
      <c r="H19" s="21">
        <f t="shared" si="0"/>
        <v>0.46</v>
      </c>
      <c r="I19" s="21">
        <f t="shared" ref="I19:J29" si="1">C19*100</f>
        <v>4.5999999999999996</v>
      </c>
      <c r="J19" s="21">
        <f t="shared" si="1"/>
        <v>4.5999999999999996</v>
      </c>
    </row>
    <row r="20" spans="1:10" s="10" customFormat="1" ht="14.1" customHeight="1" x14ac:dyDescent="0.25">
      <c r="A20" s="180">
        <v>2</v>
      </c>
      <c r="B20" s="20" t="s">
        <v>28</v>
      </c>
      <c r="C20" s="90">
        <v>0.16800000000000001</v>
      </c>
      <c r="D20" s="90">
        <v>0.16800000000000001</v>
      </c>
      <c r="E20" s="408"/>
      <c r="F20" s="408">
        <f t="shared" ref="F20:F26" si="2">C20*E20</f>
        <v>0</v>
      </c>
      <c r="G20" s="97">
        <f t="shared" si="0"/>
        <v>1.68</v>
      </c>
      <c r="H20" s="21">
        <f t="shared" si="0"/>
        <v>1.68</v>
      </c>
      <c r="I20" s="21">
        <f t="shared" si="1"/>
        <v>16.8</v>
      </c>
      <c r="J20" s="21">
        <f t="shared" si="1"/>
        <v>16.8</v>
      </c>
    </row>
    <row r="21" spans="1:10" s="10" customFormat="1" ht="14.1" customHeight="1" x14ac:dyDescent="0.25">
      <c r="A21" s="180">
        <v>3</v>
      </c>
      <c r="B21" s="20" t="s">
        <v>30</v>
      </c>
      <c r="C21" s="90">
        <v>8.0000000000000002E-3</v>
      </c>
      <c r="D21" s="90">
        <v>8.0000000000000002E-3</v>
      </c>
      <c r="E21" s="408">
        <f>цены!F107</f>
        <v>76</v>
      </c>
      <c r="F21" s="408">
        <f t="shared" si="2"/>
        <v>0.61</v>
      </c>
      <c r="G21" s="97">
        <f t="shared" si="0"/>
        <v>0.08</v>
      </c>
      <c r="H21" s="21">
        <f t="shared" si="0"/>
        <v>0.08</v>
      </c>
      <c r="I21" s="21">
        <f t="shared" si="1"/>
        <v>0.8</v>
      </c>
      <c r="J21" s="21">
        <f t="shared" si="1"/>
        <v>0.8</v>
      </c>
    </row>
    <row r="22" spans="1:10" s="10" customFormat="1" ht="14.1" customHeight="1" x14ac:dyDescent="0.25">
      <c r="A22" s="180">
        <v>4</v>
      </c>
      <c r="B22" s="20" t="s">
        <v>689</v>
      </c>
      <c r="C22" s="90">
        <v>8.0000000000000002E-3</v>
      </c>
      <c r="D22" s="90">
        <v>6.0000000000000001E-3</v>
      </c>
      <c r="E22" s="408">
        <f>цены!F30</f>
        <v>152.16999999999999</v>
      </c>
      <c r="F22" s="408">
        <f t="shared" si="2"/>
        <v>1.22</v>
      </c>
      <c r="G22" s="97">
        <f t="shared" si="0"/>
        <v>0.08</v>
      </c>
      <c r="H22" s="21">
        <f t="shared" si="0"/>
        <v>0.06</v>
      </c>
      <c r="I22" s="21">
        <f t="shared" si="1"/>
        <v>0.8</v>
      </c>
      <c r="J22" s="21">
        <f t="shared" si="1"/>
        <v>0.6</v>
      </c>
    </row>
    <row r="23" spans="1:10" s="10" customFormat="1" ht="22.2" customHeight="1" x14ac:dyDescent="0.25">
      <c r="A23" s="180">
        <v>5</v>
      </c>
      <c r="B23" s="20" t="s">
        <v>690</v>
      </c>
      <c r="C23" s="90">
        <v>4.0000000000000001E-3</v>
      </c>
      <c r="D23" s="90">
        <v>4.0000000000000001E-3</v>
      </c>
      <c r="E23" s="408">
        <f>цены!F87</f>
        <v>120</v>
      </c>
      <c r="F23" s="408">
        <f t="shared" si="2"/>
        <v>0.48</v>
      </c>
      <c r="G23" s="97">
        <f t="shared" si="0"/>
        <v>0.04</v>
      </c>
      <c r="H23" s="21">
        <f t="shared" si="0"/>
        <v>0.04</v>
      </c>
      <c r="I23" s="21">
        <f t="shared" si="1"/>
        <v>0.4</v>
      </c>
      <c r="J23" s="21">
        <f t="shared" si="1"/>
        <v>0.4</v>
      </c>
    </row>
    <row r="24" spans="1:10" s="10" customFormat="1" ht="13.95" customHeight="1" x14ac:dyDescent="0.25">
      <c r="A24" s="180">
        <v>6</v>
      </c>
      <c r="B24" s="20" t="s">
        <v>72</v>
      </c>
      <c r="C24" s="90">
        <v>4.0000000000000001E-3</v>
      </c>
      <c r="D24" s="90">
        <v>4.0000000000000001E-3</v>
      </c>
      <c r="E24" s="408">
        <f>цены!F111</f>
        <v>118</v>
      </c>
      <c r="F24" s="408">
        <f t="shared" si="2"/>
        <v>0.47</v>
      </c>
      <c r="G24" s="97">
        <f t="shared" si="0"/>
        <v>0.04</v>
      </c>
      <c r="H24" s="21">
        <f t="shared" si="0"/>
        <v>0.04</v>
      </c>
      <c r="I24" s="21">
        <f t="shared" si="1"/>
        <v>0.4</v>
      </c>
      <c r="J24" s="21">
        <f t="shared" si="1"/>
        <v>0.4</v>
      </c>
    </row>
    <row r="25" spans="1:10" s="10" customFormat="1" ht="13.95" customHeight="1" x14ac:dyDescent="0.25">
      <c r="A25" s="180">
        <v>7</v>
      </c>
      <c r="B25" s="20" t="s">
        <v>51</v>
      </c>
      <c r="C25" s="90">
        <v>4.0000000000000001E-3</v>
      </c>
      <c r="D25" s="90">
        <v>4.0000000000000001E-3</v>
      </c>
      <c r="E25" s="408">
        <f>цены!F24</f>
        <v>234</v>
      </c>
      <c r="F25" s="408">
        <f t="shared" si="2"/>
        <v>0.94</v>
      </c>
      <c r="G25" s="97">
        <f t="shared" si="0"/>
        <v>0.04</v>
      </c>
      <c r="H25" s="21">
        <f t="shared" si="0"/>
        <v>0.04</v>
      </c>
      <c r="I25" s="21">
        <f t="shared" si="1"/>
        <v>0.4</v>
      </c>
      <c r="J25" s="21">
        <f t="shared" si="1"/>
        <v>0.4</v>
      </c>
    </row>
    <row r="26" spans="1:10" s="10" customFormat="1" ht="13.95" customHeight="1" x14ac:dyDescent="0.25">
      <c r="A26" s="180">
        <v>8</v>
      </c>
      <c r="B26" s="20" t="s">
        <v>56</v>
      </c>
      <c r="C26" s="502">
        <v>2.0000000000000002E-5</v>
      </c>
      <c r="D26" s="502">
        <v>2.0000000000000002E-5</v>
      </c>
      <c r="E26" s="408">
        <f>цены!F90</f>
        <v>5000</v>
      </c>
      <c r="F26" s="408">
        <f t="shared" si="2"/>
        <v>0.1</v>
      </c>
      <c r="G26" s="97">
        <f t="shared" si="0"/>
        <v>0</v>
      </c>
      <c r="H26" s="21">
        <f t="shared" si="0"/>
        <v>0</v>
      </c>
      <c r="I26" s="21">
        <f t="shared" si="1"/>
        <v>2E-3</v>
      </c>
      <c r="J26" s="21">
        <f t="shared" si="1"/>
        <v>2E-3</v>
      </c>
    </row>
    <row r="27" spans="1:10" s="10" customFormat="1" ht="13.95" customHeight="1" x14ac:dyDescent="0.25">
      <c r="A27" s="184"/>
      <c r="B27" s="93" t="s">
        <v>97</v>
      </c>
      <c r="C27" s="94"/>
      <c r="D27" s="1081">
        <v>224</v>
      </c>
      <c r="E27" s="95"/>
      <c r="F27" s="95"/>
      <c r="G27" s="99"/>
      <c r="H27" s="100">
        <f t="shared" si="0"/>
        <v>2240</v>
      </c>
      <c r="I27" s="100"/>
      <c r="J27" s="100">
        <f t="shared" si="1"/>
        <v>22400</v>
      </c>
    </row>
    <row r="28" spans="1:10" s="10" customFormat="1" ht="13.95" customHeight="1" x14ac:dyDescent="0.25">
      <c r="A28" s="184"/>
      <c r="B28" s="93" t="s">
        <v>691</v>
      </c>
      <c r="C28" s="94"/>
      <c r="D28" s="1081">
        <v>200</v>
      </c>
      <c r="E28" s="95"/>
      <c r="F28" s="95"/>
      <c r="G28" s="99"/>
      <c r="H28" s="100">
        <f t="shared" si="0"/>
        <v>2000</v>
      </c>
      <c r="I28" s="100"/>
      <c r="J28" s="100">
        <f t="shared" si="1"/>
        <v>20000</v>
      </c>
    </row>
    <row r="29" spans="1:10" s="10" customFormat="1" ht="14.1" customHeight="1" x14ac:dyDescent="0.25">
      <c r="A29" s="180"/>
      <c r="B29" s="20" t="s">
        <v>85</v>
      </c>
      <c r="C29" s="90">
        <v>0.02</v>
      </c>
      <c r="D29" s="90">
        <v>0.02</v>
      </c>
      <c r="E29" s="408">
        <f>цены!F25</f>
        <v>250</v>
      </c>
      <c r="F29" s="408">
        <f>C29*E29</f>
        <v>5</v>
      </c>
      <c r="G29" s="97">
        <f>C29*10</f>
        <v>0.2</v>
      </c>
      <c r="H29" s="21">
        <f t="shared" si="0"/>
        <v>0.2</v>
      </c>
      <c r="I29" s="21">
        <f>C29*100</f>
        <v>2</v>
      </c>
      <c r="J29" s="21">
        <f t="shared" si="1"/>
        <v>2</v>
      </c>
    </row>
    <row r="30" spans="1:10" s="10" customFormat="1" ht="14.1" customHeight="1" x14ac:dyDescent="0.25">
      <c r="A30" s="184"/>
      <c r="B30" s="93" t="s">
        <v>190</v>
      </c>
      <c r="C30" s="94"/>
      <c r="D30" s="94">
        <v>0.12</v>
      </c>
      <c r="E30" s="95"/>
      <c r="F30" s="95">
        <f>SUM(F19:F29)</f>
        <v>10.66</v>
      </c>
      <c r="G30" s="99"/>
      <c r="H30" s="100">
        <f>D30*10</f>
        <v>1.2</v>
      </c>
      <c r="I30" s="100"/>
      <c r="J30" s="100">
        <f>D30*100</f>
        <v>12</v>
      </c>
    </row>
    <row r="31" spans="1:10" s="10" customFormat="1" ht="27.6" customHeight="1" x14ac:dyDescent="0.25">
      <c r="A31" s="1536" t="s">
        <v>35</v>
      </c>
      <c r="B31" s="1536"/>
      <c r="C31" s="90"/>
      <c r="D31" s="90"/>
      <c r="E31" s="408"/>
      <c r="F31" s="408">
        <f>F30</f>
        <v>10.66</v>
      </c>
      <c r="G31" s="439"/>
      <c r="H31" s="439"/>
      <c r="I31" s="21"/>
      <c r="J31" s="408"/>
    </row>
    <row r="32" spans="1:10" s="10" customFormat="1" ht="25.35" customHeight="1" x14ac:dyDescent="0.25">
      <c r="A32" s="1536" t="s">
        <v>36</v>
      </c>
      <c r="B32" s="1536"/>
      <c r="C32" s="90">
        <v>220</v>
      </c>
      <c r="D32" s="90"/>
      <c r="E32" s="408"/>
      <c r="F32" s="408"/>
      <c r="G32" s="408"/>
      <c r="H32" s="408"/>
      <c r="I32" s="21"/>
      <c r="J32" s="17"/>
    </row>
    <row r="33" spans="1:10" s="10" customFormat="1" ht="25.35" customHeight="1" x14ac:dyDescent="0.25">
      <c r="A33" s="1537" t="s">
        <v>37</v>
      </c>
      <c r="B33" s="1538"/>
      <c r="C33" s="91">
        <v>220</v>
      </c>
      <c r="D33" s="1189" t="s">
        <v>1312</v>
      </c>
      <c r="E33" s="440"/>
      <c r="F33" s="440"/>
      <c r="G33" s="440"/>
      <c r="H33" s="440"/>
      <c r="I33" s="21"/>
      <c r="J33" s="17"/>
    </row>
    <row r="34" spans="1:10" s="10" customFormat="1" ht="15" customHeight="1" x14ac:dyDescent="0.25">
      <c r="A34" s="1539" t="s">
        <v>38</v>
      </c>
      <c r="B34" s="1540"/>
      <c r="C34" s="92">
        <f>C32/C33</f>
        <v>1</v>
      </c>
      <c r="D34" s="92"/>
      <c r="E34" s="440"/>
      <c r="F34" s="440"/>
      <c r="G34" s="440"/>
      <c r="H34" s="440"/>
      <c r="I34" s="21"/>
      <c r="J34" s="17"/>
    </row>
    <row r="35" spans="1:10" ht="16.350000000000001" customHeight="1" x14ac:dyDescent="0.25">
      <c r="A35" s="1541" t="s">
        <v>39</v>
      </c>
      <c r="B35" s="1542"/>
      <c r="C35" s="15" t="s">
        <v>40</v>
      </c>
      <c r="D35" s="102"/>
      <c r="E35" s="102" t="s">
        <v>40</v>
      </c>
      <c r="F35" s="16">
        <f>F31/C34</f>
        <v>10.66</v>
      </c>
      <c r="G35" s="16"/>
      <c r="H35" s="16"/>
      <c r="I35" s="102" t="s">
        <v>40</v>
      </c>
      <c r="J35" s="102" t="s">
        <v>40</v>
      </c>
    </row>
    <row r="36" spans="1:10" ht="23.1" customHeight="1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193"/>
      <c r="B37" s="1194" t="s">
        <v>49</v>
      </c>
      <c r="C37" s="1198"/>
      <c r="D37" s="1198"/>
      <c r="E37" s="1198"/>
      <c r="F37" s="1198"/>
      <c r="G37" s="1193"/>
      <c r="H37" s="1557">
        <f>'1-бутерброд с маслом'!$H$28</f>
        <v>0</v>
      </c>
      <c r="I37" s="1557"/>
      <c r="J37" s="1557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545" t="s">
        <v>327</v>
      </c>
      <c r="B39" s="1545"/>
      <c r="C39" s="1546" t="s">
        <v>328</v>
      </c>
      <c r="D39" s="1546"/>
      <c r="E39" s="1546"/>
      <c r="F39" s="1546"/>
      <c r="G39" s="106"/>
      <c r="H39" s="1531"/>
      <c r="I39" s="1531"/>
      <c r="J39" s="1531"/>
    </row>
    <row r="40" spans="1:10" x14ac:dyDescent="0.25">
      <c r="A40" s="1193"/>
      <c r="B40" s="1193"/>
      <c r="C40" s="1546"/>
      <c r="D40" s="1546"/>
      <c r="E40" s="1546"/>
      <c r="F40" s="1546"/>
      <c r="G40" s="1193"/>
      <c r="H40" s="1531" t="s">
        <v>329</v>
      </c>
      <c r="I40" s="1531"/>
      <c r="J40" s="1531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37:J37"/>
    <mergeCell ref="A13:G13"/>
    <mergeCell ref="A32:B32"/>
    <mergeCell ref="A33:B33"/>
    <mergeCell ref="A34:B34"/>
    <mergeCell ref="A35:B35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9:B39"/>
    <mergeCell ref="C39:F40"/>
    <mergeCell ref="H39:J39"/>
    <mergeCell ref="H40:J40"/>
    <mergeCell ref="H5:I5"/>
    <mergeCell ref="A6:G6"/>
    <mergeCell ref="A7:I7"/>
    <mergeCell ref="A31:B31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E8EE3"/>
  </sheetPr>
  <dimension ref="A1:J44"/>
  <sheetViews>
    <sheetView view="pageBreakPreview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407" customWidth="1"/>
    <col min="2" max="2" width="23.5546875" style="407" customWidth="1"/>
    <col min="3" max="7" width="7.5546875" style="407" customWidth="1"/>
    <col min="8" max="8" width="8.88671875" style="407" customWidth="1"/>
    <col min="9" max="9" width="7.5546875" style="407" customWidth="1"/>
    <col min="10" max="10" width="9.109375" style="407" customWidth="1"/>
    <col min="11" max="11" width="4.33203125" style="407" customWidth="1"/>
    <col min="12" max="16384" width="8.88671875" style="40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139)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185</v>
      </c>
    </row>
    <row r="8" spans="1:10" s="2" customFormat="1" ht="9.6" customHeight="1" x14ac:dyDescent="0.25">
      <c r="A8" s="460"/>
      <c r="B8" s="460"/>
      <c r="C8" s="460"/>
      <c r="D8" s="460"/>
      <c r="E8" s="460"/>
      <c r="F8" s="460"/>
      <c r="G8" s="460"/>
      <c r="H8" s="460"/>
      <c r="I8" s="460"/>
      <c r="J8" s="109"/>
    </row>
    <row r="9" spans="1:10" s="2" customFormat="1" ht="26.1" customHeight="1" x14ac:dyDescent="0.3">
      <c r="A9" s="1550" t="s">
        <v>704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'185-запеканка манка со сгущ.'!H14+1</f>
        <v>139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457" t="s">
        <v>92</v>
      </c>
      <c r="D17" s="457" t="s">
        <v>94</v>
      </c>
      <c r="E17" s="457" t="s">
        <v>93</v>
      </c>
      <c r="F17" s="457" t="s">
        <v>23</v>
      </c>
      <c r="G17" s="457" t="s">
        <v>92</v>
      </c>
      <c r="H17" s="457" t="s">
        <v>94</v>
      </c>
      <c r="I17" s="457" t="s">
        <v>92</v>
      </c>
      <c r="J17" s="457" t="s">
        <v>94</v>
      </c>
    </row>
    <row r="18" spans="1:10" ht="9.6" customHeight="1" x14ac:dyDescent="0.25">
      <c r="A18" s="457">
        <v>1</v>
      </c>
      <c r="B18" s="459">
        <v>2</v>
      </c>
      <c r="C18" s="457">
        <v>3</v>
      </c>
      <c r="D18" s="459">
        <v>4</v>
      </c>
      <c r="E18" s="457">
        <v>5</v>
      </c>
      <c r="F18" s="459">
        <v>6</v>
      </c>
      <c r="G18" s="457">
        <v>7</v>
      </c>
      <c r="H18" s="459">
        <v>8</v>
      </c>
      <c r="I18" s="457">
        <v>9</v>
      </c>
      <c r="J18" s="459">
        <v>10</v>
      </c>
    </row>
    <row r="19" spans="1:10" s="10" customFormat="1" ht="15" customHeight="1" x14ac:dyDescent="0.25">
      <c r="A19" s="180">
        <v>1</v>
      </c>
      <c r="B19" s="20" t="s">
        <v>68</v>
      </c>
      <c r="C19" s="90">
        <v>4.5999999999999999E-2</v>
      </c>
      <c r="D19" s="90">
        <v>4.5999999999999999E-2</v>
      </c>
      <c r="E19" s="408">
        <f>цены!F83</f>
        <v>98</v>
      </c>
      <c r="F19" s="408">
        <f>C19*E19</f>
        <v>4.51</v>
      </c>
      <c r="G19" s="97">
        <f t="shared" ref="G19:H29" si="0">C19*10</f>
        <v>0.46</v>
      </c>
      <c r="H19" s="21">
        <f t="shared" si="0"/>
        <v>0.46</v>
      </c>
      <c r="I19" s="21">
        <f t="shared" ref="I19:J29" si="1">C19*100</f>
        <v>4.5999999999999996</v>
      </c>
      <c r="J19" s="21">
        <f t="shared" si="1"/>
        <v>4.5999999999999996</v>
      </c>
    </row>
    <row r="20" spans="1:10" s="10" customFormat="1" ht="14.1" customHeight="1" x14ac:dyDescent="0.25">
      <c r="A20" s="180">
        <v>2</v>
      </c>
      <c r="B20" s="20" t="s">
        <v>28</v>
      </c>
      <c r="C20" s="90">
        <v>0.16800000000000001</v>
      </c>
      <c r="D20" s="90">
        <v>0.16800000000000001</v>
      </c>
      <c r="E20" s="408"/>
      <c r="F20" s="408">
        <f t="shared" ref="F20:F26" si="2">C20*E20</f>
        <v>0</v>
      </c>
      <c r="G20" s="97">
        <f t="shared" si="0"/>
        <v>1.68</v>
      </c>
      <c r="H20" s="21">
        <f t="shared" si="0"/>
        <v>1.68</v>
      </c>
      <c r="I20" s="21">
        <f t="shared" si="1"/>
        <v>16.8</v>
      </c>
      <c r="J20" s="21">
        <f t="shared" si="1"/>
        <v>16.8</v>
      </c>
    </row>
    <row r="21" spans="1:10" s="10" customFormat="1" ht="14.1" customHeight="1" x14ac:dyDescent="0.25">
      <c r="A21" s="180">
        <v>3</v>
      </c>
      <c r="B21" s="20" t="s">
        <v>30</v>
      </c>
      <c r="C21" s="90">
        <v>8.0000000000000002E-3</v>
      </c>
      <c r="D21" s="90">
        <v>8.0000000000000002E-3</v>
      </c>
      <c r="E21" s="408">
        <f>цены!F107</f>
        <v>76</v>
      </c>
      <c r="F21" s="408">
        <f t="shared" si="2"/>
        <v>0.61</v>
      </c>
      <c r="G21" s="97">
        <f t="shared" si="0"/>
        <v>0.08</v>
      </c>
      <c r="H21" s="21">
        <f t="shared" si="0"/>
        <v>0.08</v>
      </c>
      <c r="I21" s="21">
        <f t="shared" si="1"/>
        <v>0.8</v>
      </c>
      <c r="J21" s="21">
        <f t="shared" si="1"/>
        <v>0.8</v>
      </c>
    </row>
    <row r="22" spans="1:10" s="10" customFormat="1" ht="14.1" customHeight="1" x14ac:dyDescent="0.25">
      <c r="A22" s="180">
        <v>4</v>
      </c>
      <c r="B22" s="20" t="s">
        <v>689</v>
      </c>
      <c r="C22" s="90">
        <v>8.0000000000000002E-3</v>
      </c>
      <c r="D22" s="90">
        <v>6.0000000000000001E-3</v>
      </c>
      <c r="E22" s="408">
        <f>цены!F30</f>
        <v>152.16999999999999</v>
      </c>
      <c r="F22" s="408">
        <f t="shared" si="2"/>
        <v>1.22</v>
      </c>
      <c r="G22" s="97">
        <f t="shared" si="0"/>
        <v>0.08</v>
      </c>
      <c r="H22" s="21">
        <f t="shared" si="0"/>
        <v>0.06</v>
      </c>
      <c r="I22" s="21">
        <f t="shared" si="1"/>
        <v>0.8</v>
      </c>
      <c r="J22" s="21">
        <f t="shared" si="1"/>
        <v>0.6</v>
      </c>
    </row>
    <row r="23" spans="1:10" s="10" customFormat="1" ht="22.2" customHeight="1" x14ac:dyDescent="0.25">
      <c r="A23" s="180">
        <v>5</v>
      </c>
      <c r="B23" s="20" t="s">
        <v>690</v>
      </c>
      <c r="C23" s="90">
        <v>4.0000000000000001E-3</v>
      </c>
      <c r="D23" s="90">
        <v>4.0000000000000001E-3</v>
      </c>
      <c r="E23" s="408">
        <f>цены!F87</f>
        <v>120</v>
      </c>
      <c r="F23" s="408">
        <f t="shared" si="2"/>
        <v>0.48</v>
      </c>
      <c r="G23" s="97">
        <f t="shared" si="0"/>
        <v>0.04</v>
      </c>
      <c r="H23" s="21">
        <f t="shared" si="0"/>
        <v>0.04</v>
      </c>
      <c r="I23" s="21">
        <f t="shared" si="1"/>
        <v>0.4</v>
      </c>
      <c r="J23" s="21">
        <f t="shared" si="1"/>
        <v>0.4</v>
      </c>
    </row>
    <row r="24" spans="1:10" s="10" customFormat="1" ht="13.95" customHeight="1" x14ac:dyDescent="0.25">
      <c r="A24" s="180">
        <v>6</v>
      </c>
      <c r="B24" s="20" t="s">
        <v>72</v>
      </c>
      <c r="C24" s="90">
        <v>4.0000000000000001E-3</v>
      </c>
      <c r="D24" s="90">
        <v>4.0000000000000001E-3</v>
      </c>
      <c r="E24" s="408">
        <f>цены!F111</f>
        <v>118</v>
      </c>
      <c r="F24" s="408">
        <f t="shared" si="2"/>
        <v>0.47</v>
      </c>
      <c r="G24" s="97">
        <f t="shared" si="0"/>
        <v>0.04</v>
      </c>
      <c r="H24" s="21">
        <f t="shared" si="0"/>
        <v>0.04</v>
      </c>
      <c r="I24" s="21">
        <f t="shared" si="1"/>
        <v>0.4</v>
      </c>
      <c r="J24" s="21">
        <f t="shared" si="1"/>
        <v>0.4</v>
      </c>
    </row>
    <row r="25" spans="1:10" s="10" customFormat="1" ht="13.95" customHeight="1" x14ac:dyDescent="0.25">
      <c r="A25" s="180">
        <v>7</v>
      </c>
      <c r="B25" s="20" t="s">
        <v>51</v>
      </c>
      <c r="C25" s="90">
        <v>4.0000000000000001E-3</v>
      </c>
      <c r="D25" s="90">
        <v>4.0000000000000001E-3</v>
      </c>
      <c r="E25" s="408">
        <f>цены!F24</f>
        <v>234</v>
      </c>
      <c r="F25" s="408">
        <f t="shared" si="2"/>
        <v>0.94</v>
      </c>
      <c r="G25" s="97">
        <f t="shared" si="0"/>
        <v>0.04</v>
      </c>
      <c r="H25" s="21">
        <f t="shared" si="0"/>
        <v>0.04</v>
      </c>
      <c r="I25" s="21">
        <f t="shared" si="1"/>
        <v>0.4</v>
      </c>
      <c r="J25" s="21">
        <f t="shared" si="1"/>
        <v>0.4</v>
      </c>
    </row>
    <row r="26" spans="1:10" s="10" customFormat="1" ht="13.95" customHeight="1" x14ac:dyDescent="0.25">
      <c r="A26" s="180">
        <v>8</v>
      </c>
      <c r="B26" s="20" t="s">
        <v>56</v>
      </c>
      <c r="C26" s="446">
        <v>2.0000000000000002E-5</v>
      </c>
      <c r="D26" s="446">
        <v>2.0000000000000002E-5</v>
      </c>
      <c r="E26" s="408">
        <f>цены!F90</f>
        <v>5000</v>
      </c>
      <c r="F26" s="408">
        <f t="shared" si="2"/>
        <v>0.1</v>
      </c>
      <c r="G26" s="97">
        <f t="shared" si="0"/>
        <v>0</v>
      </c>
      <c r="H26" s="21">
        <f t="shared" si="0"/>
        <v>0</v>
      </c>
      <c r="I26" s="21">
        <f t="shared" si="1"/>
        <v>2E-3</v>
      </c>
      <c r="J26" s="21">
        <f t="shared" si="1"/>
        <v>2E-3</v>
      </c>
    </row>
    <row r="27" spans="1:10" s="10" customFormat="1" ht="13.95" customHeight="1" x14ac:dyDescent="0.25">
      <c r="A27" s="184"/>
      <c r="B27" s="93" t="s">
        <v>97</v>
      </c>
      <c r="C27" s="94"/>
      <c r="D27" s="1081">
        <v>224</v>
      </c>
      <c r="E27" s="95"/>
      <c r="F27" s="95"/>
      <c r="G27" s="99"/>
      <c r="H27" s="1028">
        <f t="shared" si="0"/>
        <v>2240</v>
      </c>
      <c r="I27" s="1028"/>
      <c r="J27" s="1028">
        <f t="shared" si="1"/>
        <v>22400</v>
      </c>
    </row>
    <row r="28" spans="1:10" s="10" customFormat="1" ht="13.95" customHeight="1" x14ac:dyDescent="0.25">
      <c r="A28" s="184"/>
      <c r="B28" s="93" t="s">
        <v>691</v>
      </c>
      <c r="C28" s="94"/>
      <c r="D28" s="1081">
        <v>200</v>
      </c>
      <c r="E28" s="95"/>
      <c r="F28" s="95"/>
      <c r="G28" s="99"/>
      <c r="H28" s="1028">
        <f t="shared" si="0"/>
        <v>2000</v>
      </c>
      <c r="I28" s="1028"/>
      <c r="J28" s="1028">
        <f t="shared" si="1"/>
        <v>20000</v>
      </c>
    </row>
    <row r="29" spans="1:10" s="10" customFormat="1" ht="14.1" customHeight="1" x14ac:dyDescent="0.25">
      <c r="A29" s="180"/>
      <c r="B29" s="20" t="s">
        <v>31</v>
      </c>
      <c r="C29" s="90">
        <v>5.0000000000000001E-3</v>
      </c>
      <c r="D29" s="90">
        <v>5.0000000000000001E-3</v>
      </c>
      <c r="E29" s="408">
        <f>цены!F21</f>
        <v>710</v>
      </c>
      <c r="F29" s="408">
        <f>C29*E29</f>
        <v>3.55</v>
      </c>
      <c r="G29" s="97">
        <f>C29*10</f>
        <v>0.05</v>
      </c>
      <c r="H29" s="21">
        <f t="shared" si="0"/>
        <v>0.05</v>
      </c>
      <c r="I29" s="21">
        <f>C29*100</f>
        <v>0.5</v>
      </c>
      <c r="J29" s="21">
        <f t="shared" si="1"/>
        <v>0.5</v>
      </c>
    </row>
    <row r="30" spans="1:10" s="10" customFormat="1" ht="14.1" customHeight="1" x14ac:dyDescent="0.25">
      <c r="A30" s="184"/>
      <c r="B30" s="93" t="s">
        <v>190</v>
      </c>
      <c r="C30" s="94"/>
      <c r="D30" s="94">
        <v>205</v>
      </c>
      <c r="E30" s="95"/>
      <c r="F30" s="95">
        <f>SUM(F19:F29)</f>
        <v>11.88</v>
      </c>
      <c r="G30" s="99"/>
      <c r="H30" s="100">
        <f>D30*10</f>
        <v>2050</v>
      </c>
      <c r="I30" s="100"/>
      <c r="J30" s="100">
        <f>D30*100</f>
        <v>20500</v>
      </c>
    </row>
    <row r="31" spans="1:10" s="10" customFormat="1" ht="27.6" customHeight="1" x14ac:dyDescent="0.25">
      <c r="A31" s="1536" t="s">
        <v>35</v>
      </c>
      <c r="B31" s="1536"/>
      <c r="C31" s="90"/>
      <c r="D31" s="90"/>
      <c r="E31" s="408"/>
      <c r="F31" s="408">
        <f>F30</f>
        <v>11.88</v>
      </c>
      <c r="G31" s="458"/>
      <c r="H31" s="458"/>
      <c r="I31" s="21"/>
      <c r="J31" s="408"/>
    </row>
    <row r="32" spans="1:10" s="10" customFormat="1" ht="25.35" customHeight="1" x14ac:dyDescent="0.25">
      <c r="A32" s="1536" t="s">
        <v>36</v>
      </c>
      <c r="B32" s="1536"/>
      <c r="C32" s="90">
        <v>205</v>
      </c>
      <c r="D32" s="90"/>
      <c r="E32" s="408"/>
      <c r="F32" s="408"/>
      <c r="G32" s="408"/>
      <c r="H32" s="408"/>
      <c r="I32" s="21"/>
      <c r="J32" s="17"/>
    </row>
    <row r="33" spans="1:10" s="10" customFormat="1" ht="25.35" customHeight="1" x14ac:dyDescent="0.25">
      <c r="A33" s="1537" t="s">
        <v>37</v>
      </c>
      <c r="B33" s="1538"/>
      <c r="C33" s="91">
        <v>205</v>
      </c>
      <c r="D33" s="1189" t="s">
        <v>1313</v>
      </c>
      <c r="E33" s="459"/>
      <c r="F33" s="459"/>
      <c r="G33" s="459"/>
      <c r="H33" s="459"/>
      <c r="I33" s="21"/>
      <c r="J33" s="17"/>
    </row>
    <row r="34" spans="1:10" s="10" customFormat="1" ht="15" customHeight="1" x14ac:dyDescent="0.25">
      <c r="A34" s="1539" t="s">
        <v>38</v>
      </c>
      <c r="B34" s="1540"/>
      <c r="C34" s="92">
        <f>C32/C33</f>
        <v>1</v>
      </c>
      <c r="D34" s="92"/>
      <c r="E34" s="459"/>
      <c r="F34" s="459"/>
      <c r="G34" s="459"/>
      <c r="H34" s="459"/>
      <c r="I34" s="21"/>
      <c r="J34" s="17"/>
    </row>
    <row r="35" spans="1:10" ht="16.350000000000001" customHeight="1" x14ac:dyDescent="0.25">
      <c r="A35" s="1541" t="s">
        <v>39</v>
      </c>
      <c r="B35" s="1542"/>
      <c r="C35" s="15" t="s">
        <v>40</v>
      </c>
      <c r="D35" s="102"/>
      <c r="E35" s="102" t="s">
        <v>40</v>
      </c>
      <c r="F35" s="16">
        <f>F31/C34</f>
        <v>11.88</v>
      </c>
      <c r="G35" s="16"/>
      <c r="H35" s="16"/>
      <c r="I35" s="102" t="s">
        <v>40</v>
      </c>
      <c r="J35" s="102" t="s">
        <v>40</v>
      </c>
    </row>
    <row r="36" spans="1:10" ht="23.1" customHeight="1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193"/>
      <c r="B37" s="1194" t="s">
        <v>49</v>
      </c>
      <c r="C37" s="1198"/>
      <c r="D37" s="1198"/>
      <c r="E37" s="1198"/>
      <c r="F37" s="1198"/>
      <c r="G37" s="1193"/>
      <c r="H37" s="1557">
        <f>'1-бутерброд с маслом'!$H$28</f>
        <v>0</v>
      </c>
      <c r="I37" s="1557"/>
      <c r="J37" s="1557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545" t="s">
        <v>327</v>
      </c>
      <c r="B39" s="1545"/>
      <c r="C39" s="1546" t="s">
        <v>328</v>
      </c>
      <c r="D39" s="1546"/>
      <c r="E39" s="1546"/>
      <c r="F39" s="1546"/>
      <c r="G39" s="106"/>
      <c r="H39" s="1531"/>
      <c r="I39" s="1531"/>
      <c r="J39" s="1531"/>
    </row>
    <row r="40" spans="1:10" x14ac:dyDescent="0.25">
      <c r="A40" s="1193"/>
      <c r="B40" s="1193"/>
      <c r="C40" s="1546"/>
      <c r="D40" s="1546"/>
      <c r="E40" s="1546"/>
      <c r="F40" s="1546"/>
      <c r="G40" s="1193"/>
      <c r="H40" s="1531" t="s">
        <v>329</v>
      </c>
      <c r="I40" s="1531"/>
      <c r="J40" s="1531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37:J37"/>
    <mergeCell ref="A13:G13"/>
    <mergeCell ref="A32:B32"/>
    <mergeCell ref="A33:B33"/>
    <mergeCell ref="A34:B34"/>
    <mergeCell ref="A35:B35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9:B39"/>
    <mergeCell ref="C39:F40"/>
    <mergeCell ref="H39:J39"/>
    <mergeCell ref="H40:J40"/>
    <mergeCell ref="H5:I5"/>
    <mergeCell ref="A6:G6"/>
    <mergeCell ref="A7:I7"/>
    <mergeCell ref="A31:B31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E8EE3"/>
  </sheetPr>
  <dimension ref="A1:J44"/>
  <sheetViews>
    <sheetView view="pageBreakPreview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407" customWidth="1"/>
    <col min="2" max="2" width="23.5546875" style="407" customWidth="1"/>
    <col min="3" max="7" width="7.5546875" style="407" customWidth="1"/>
    <col min="8" max="8" width="8.88671875" style="407" customWidth="1"/>
    <col min="9" max="9" width="7.5546875" style="407" customWidth="1"/>
    <col min="10" max="10" width="9.109375" style="407" customWidth="1"/>
    <col min="11" max="11" width="4.33203125" style="407" customWidth="1"/>
    <col min="12" max="16384" width="8.88671875" style="40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140)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185</v>
      </c>
    </row>
    <row r="8" spans="1:10" s="2" customFormat="1" ht="9.6" customHeight="1" x14ac:dyDescent="0.25">
      <c r="A8" s="453"/>
      <c r="B8" s="453"/>
      <c r="C8" s="453"/>
      <c r="D8" s="453"/>
      <c r="E8" s="453"/>
      <c r="F8" s="453"/>
      <c r="G8" s="453"/>
      <c r="H8" s="453"/>
      <c r="I8" s="453"/>
      <c r="J8" s="109"/>
    </row>
    <row r="9" spans="1:10" s="2" customFormat="1" ht="26.1" customHeight="1" x14ac:dyDescent="0.3">
      <c r="A9" s="1550" t="s">
        <v>703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'185-запеканка рис с маслом'!H14+1</f>
        <v>140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454" t="s">
        <v>92</v>
      </c>
      <c r="D17" s="454" t="s">
        <v>94</v>
      </c>
      <c r="E17" s="454" t="s">
        <v>93</v>
      </c>
      <c r="F17" s="454" t="s">
        <v>23</v>
      </c>
      <c r="G17" s="454" t="s">
        <v>92</v>
      </c>
      <c r="H17" s="454" t="s">
        <v>94</v>
      </c>
      <c r="I17" s="454" t="s">
        <v>92</v>
      </c>
      <c r="J17" s="454" t="s">
        <v>94</v>
      </c>
    </row>
    <row r="18" spans="1:10" ht="9.6" customHeight="1" x14ac:dyDescent="0.25">
      <c r="A18" s="454">
        <v>1</v>
      </c>
      <c r="B18" s="455">
        <v>2</v>
      </c>
      <c r="C18" s="454">
        <v>3</v>
      </c>
      <c r="D18" s="455">
        <v>4</v>
      </c>
      <c r="E18" s="454">
        <v>5</v>
      </c>
      <c r="F18" s="455">
        <v>6</v>
      </c>
      <c r="G18" s="454">
        <v>7</v>
      </c>
      <c r="H18" s="455">
        <v>8</v>
      </c>
      <c r="I18" s="454">
        <v>9</v>
      </c>
      <c r="J18" s="455">
        <v>10</v>
      </c>
    </row>
    <row r="19" spans="1:10" s="10" customFormat="1" ht="15" customHeight="1" x14ac:dyDescent="0.25">
      <c r="A19" s="180">
        <v>1</v>
      </c>
      <c r="B19" s="20" t="s">
        <v>68</v>
      </c>
      <c r="C19" s="90">
        <v>2.3E-2</v>
      </c>
      <c r="D19" s="90">
        <v>2.3E-2</v>
      </c>
      <c r="E19" s="408">
        <f>цены!F83</f>
        <v>98</v>
      </c>
      <c r="F19" s="408">
        <f>C19*E19</f>
        <v>2.25</v>
      </c>
      <c r="G19" s="97">
        <f t="shared" ref="G19:H29" si="0">C19*10</f>
        <v>0.23</v>
      </c>
      <c r="H19" s="21">
        <f t="shared" si="0"/>
        <v>0.23</v>
      </c>
      <c r="I19" s="21">
        <f t="shared" ref="I19:J29" si="1">C19*100</f>
        <v>2.2999999999999998</v>
      </c>
      <c r="J19" s="21">
        <f t="shared" si="1"/>
        <v>2.2999999999999998</v>
      </c>
    </row>
    <row r="20" spans="1:10" s="10" customFormat="1" ht="14.1" customHeight="1" x14ac:dyDescent="0.25">
      <c r="A20" s="180">
        <v>2</v>
      </c>
      <c r="B20" s="20" t="s">
        <v>28</v>
      </c>
      <c r="C20" s="90">
        <v>8.4000000000000005E-2</v>
      </c>
      <c r="D20" s="90">
        <v>8.4000000000000005E-2</v>
      </c>
      <c r="E20" s="408"/>
      <c r="F20" s="408">
        <f t="shared" ref="F20:F26" si="2">C20*E20</f>
        <v>0</v>
      </c>
      <c r="G20" s="97">
        <f t="shared" si="0"/>
        <v>0.84</v>
      </c>
      <c r="H20" s="21">
        <f t="shared" si="0"/>
        <v>0.84</v>
      </c>
      <c r="I20" s="21">
        <f t="shared" si="1"/>
        <v>8.4</v>
      </c>
      <c r="J20" s="21">
        <f t="shared" si="1"/>
        <v>8.4</v>
      </c>
    </row>
    <row r="21" spans="1:10" s="10" customFormat="1" ht="14.1" customHeight="1" x14ac:dyDescent="0.25">
      <c r="A21" s="180">
        <v>3</v>
      </c>
      <c r="B21" s="20" t="s">
        <v>30</v>
      </c>
      <c r="C21" s="90">
        <v>4.0000000000000001E-3</v>
      </c>
      <c r="D21" s="90">
        <v>4.0000000000000001E-3</v>
      </c>
      <c r="E21" s="408">
        <f>цены!F107</f>
        <v>76</v>
      </c>
      <c r="F21" s="408">
        <f t="shared" si="2"/>
        <v>0.3</v>
      </c>
      <c r="G21" s="97">
        <f t="shared" si="0"/>
        <v>0.04</v>
      </c>
      <c r="H21" s="21">
        <f t="shared" si="0"/>
        <v>0.04</v>
      </c>
      <c r="I21" s="21">
        <f t="shared" si="1"/>
        <v>0.4</v>
      </c>
      <c r="J21" s="21">
        <f t="shared" si="1"/>
        <v>0.4</v>
      </c>
    </row>
    <row r="22" spans="1:10" s="10" customFormat="1" ht="14.1" customHeight="1" x14ac:dyDescent="0.25">
      <c r="A22" s="180">
        <v>4</v>
      </c>
      <c r="B22" s="20" t="s">
        <v>689</v>
      </c>
      <c r="C22" s="90">
        <v>4.0000000000000001E-3</v>
      </c>
      <c r="D22" s="90">
        <v>3.0000000000000001E-3</v>
      </c>
      <c r="E22" s="408">
        <f>цены!F30</f>
        <v>152.16999999999999</v>
      </c>
      <c r="F22" s="408">
        <f t="shared" si="2"/>
        <v>0.61</v>
      </c>
      <c r="G22" s="97">
        <f t="shared" si="0"/>
        <v>0.04</v>
      </c>
      <c r="H22" s="21">
        <f t="shared" si="0"/>
        <v>0.03</v>
      </c>
      <c r="I22" s="21">
        <f t="shared" si="1"/>
        <v>0.4</v>
      </c>
      <c r="J22" s="21">
        <f t="shared" si="1"/>
        <v>0.3</v>
      </c>
    </row>
    <row r="23" spans="1:10" s="10" customFormat="1" ht="22.2" customHeight="1" x14ac:dyDescent="0.25">
      <c r="A23" s="180">
        <v>5</v>
      </c>
      <c r="B23" s="20" t="s">
        <v>690</v>
      </c>
      <c r="C23" s="90">
        <v>2E-3</v>
      </c>
      <c r="D23" s="90">
        <v>2E-3</v>
      </c>
      <c r="E23" s="408">
        <f>цены!F87</f>
        <v>120</v>
      </c>
      <c r="F23" s="408">
        <f t="shared" si="2"/>
        <v>0.24</v>
      </c>
      <c r="G23" s="97">
        <f t="shared" si="0"/>
        <v>0.02</v>
      </c>
      <c r="H23" s="21">
        <f t="shared" si="0"/>
        <v>0.02</v>
      </c>
      <c r="I23" s="21">
        <f t="shared" si="1"/>
        <v>0.2</v>
      </c>
      <c r="J23" s="21">
        <f t="shared" si="1"/>
        <v>0.2</v>
      </c>
    </row>
    <row r="24" spans="1:10" s="10" customFormat="1" ht="13.95" customHeight="1" x14ac:dyDescent="0.25">
      <c r="A24" s="180">
        <v>6</v>
      </c>
      <c r="B24" s="20" t="s">
        <v>72</v>
      </c>
      <c r="C24" s="90">
        <v>2E-3</v>
      </c>
      <c r="D24" s="90">
        <v>2E-3</v>
      </c>
      <c r="E24" s="408">
        <f>цены!F111</f>
        <v>118</v>
      </c>
      <c r="F24" s="408">
        <f t="shared" si="2"/>
        <v>0.24</v>
      </c>
      <c r="G24" s="97">
        <f t="shared" si="0"/>
        <v>0.02</v>
      </c>
      <c r="H24" s="21">
        <f t="shared" si="0"/>
        <v>0.02</v>
      </c>
      <c r="I24" s="21">
        <f t="shared" si="1"/>
        <v>0.2</v>
      </c>
      <c r="J24" s="21">
        <f t="shared" si="1"/>
        <v>0.2</v>
      </c>
    </row>
    <row r="25" spans="1:10" s="10" customFormat="1" ht="13.95" customHeight="1" x14ac:dyDescent="0.25">
      <c r="A25" s="180">
        <v>7</v>
      </c>
      <c r="B25" s="20" t="s">
        <v>51</v>
      </c>
      <c r="C25" s="90">
        <v>2E-3</v>
      </c>
      <c r="D25" s="90">
        <v>2E-3</v>
      </c>
      <c r="E25" s="408">
        <f>цены!F24</f>
        <v>234</v>
      </c>
      <c r="F25" s="408">
        <f t="shared" si="2"/>
        <v>0.47</v>
      </c>
      <c r="G25" s="97">
        <f t="shared" si="0"/>
        <v>0.02</v>
      </c>
      <c r="H25" s="21">
        <f t="shared" si="0"/>
        <v>0.02</v>
      </c>
      <c r="I25" s="21">
        <f t="shared" si="1"/>
        <v>0.2</v>
      </c>
      <c r="J25" s="21">
        <f t="shared" si="1"/>
        <v>0.2</v>
      </c>
    </row>
    <row r="26" spans="1:10" s="10" customFormat="1" ht="13.95" customHeight="1" x14ac:dyDescent="0.25">
      <c r="A26" s="180">
        <v>8</v>
      </c>
      <c r="B26" s="20" t="s">
        <v>56</v>
      </c>
      <c r="C26" s="502">
        <v>1.0000000000000001E-5</v>
      </c>
      <c r="D26" s="502">
        <v>1.0000000000000001E-5</v>
      </c>
      <c r="E26" s="408">
        <f>цены!F90</f>
        <v>5000</v>
      </c>
      <c r="F26" s="408">
        <f t="shared" si="2"/>
        <v>0.05</v>
      </c>
      <c r="G26" s="97">
        <f t="shared" si="0"/>
        <v>0</v>
      </c>
      <c r="H26" s="21">
        <f t="shared" si="0"/>
        <v>0</v>
      </c>
      <c r="I26" s="21">
        <f t="shared" si="1"/>
        <v>1E-3</v>
      </c>
      <c r="J26" s="21">
        <f t="shared" si="1"/>
        <v>1E-3</v>
      </c>
    </row>
    <row r="27" spans="1:10" s="10" customFormat="1" ht="13.95" customHeight="1" x14ac:dyDescent="0.25">
      <c r="A27" s="184"/>
      <c r="B27" s="93" t="s">
        <v>97</v>
      </c>
      <c r="C27" s="94"/>
      <c r="D27" s="1081">
        <v>112</v>
      </c>
      <c r="E27" s="95"/>
      <c r="F27" s="95"/>
      <c r="G27" s="99"/>
      <c r="H27" s="100">
        <f t="shared" si="0"/>
        <v>1120</v>
      </c>
      <c r="I27" s="100"/>
      <c r="J27" s="100">
        <f t="shared" si="1"/>
        <v>11200</v>
      </c>
    </row>
    <row r="28" spans="1:10" s="10" customFormat="1" ht="13.95" customHeight="1" x14ac:dyDescent="0.25">
      <c r="A28" s="184"/>
      <c r="B28" s="93" t="s">
        <v>691</v>
      </c>
      <c r="C28" s="94"/>
      <c r="D28" s="1081">
        <v>100</v>
      </c>
      <c r="E28" s="95"/>
      <c r="F28" s="95"/>
      <c r="G28" s="99"/>
      <c r="H28" s="100">
        <f t="shared" si="0"/>
        <v>1000</v>
      </c>
      <c r="I28" s="100"/>
      <c r="J28" s="100">
        <f t="shared" si="1"/>
        <v>10000</v>
      </c>
    </row>
    <row r="29" spans="1:10" s="10" customFormat="1" ht="14.1" customHeight="1" x14ac:dyDescent="0.25">
      <c r="A29" s="180"/>
      <c r="B29" s="20" t="s">
        <v>85</v>
      </c>
      <c r="C29" s="90">
        <v>0.02</v>
      </c>
      <c r="D29" s="90">
        <v>0.02</v>
      </c>
      <c r="E29" s="408">
        <f>цены!F25</f>
        <v>250</v>
      </c>
      <c r="F29" s="408">
        <f>C29*E29</f>
        <v>5</v>
      </c>
      <c r="G29" s="97">
        <f>C29*10</f>
        <v>0.2</v>
      </c>
      <c r="H29" s="21">
        <f t="shared" si="0"/>
        <v>0.2</v>
      </c>
      <c r="I29" s="21">
        <f>C29*100</f>
        <v>2</v>
      </c>
      <c r="J29" s="21">
        <f t="shared" si="1"/>
        <v>2</v>
      </c>
    </row>
    <row r="30" spans="1:10" s="10" customFormat="1" ht="14.1" customHeight="1" x14ac:dyDescent="0.25">
      <c r="A30" s="184"/>
      <c r="B30" s="93" t="s">
        <v>190</v>
      </c>
      <c r="C30" s="94"/>
      <c r="D30" s="1081">
        <v>120</v>
      </c>
      <c r="E30" s="95"/>
      <c r="F30" s="95">
        <f>SUM(F19:F29)</f>
        <v>9.16</v>
      </c>
      <c r="G30" s="99"/>
      <c r="H30" s="100">
        <f>D30*10</f>
        <v>1200</v>
      </c>
      <c r="I30" s="100"/>
      <c r="J30" s="100">
        <f>D30*100</f>
        <v>12000</v>
      </c>
    </row>
    <row r="31" spans="1:10" s="10" customFormat="1" ht="27.6" customHeight="1" x14ac:dyDescent="0.25">
      <c r="A31" s="1536" t="s">
        <v>35</v>
      </c>
      <c r="B31" s="1536"/>
      <c r="C31" s="90"/>
      <c r="D31" s="90"/>
      <c r="E31" s="408"/>
      <c r="F31" s="408">
        <f>F30</f>
        <v>9.16</v>
      </c>
      <c r="G31" s="456"/>
      <c r="H31" s="456"/>
      <c r="I31" s="21"/>
      <c r="J31" s="408"/>
    </row>
    <row r="32" spans="1:10" s="10" customFormat="1" ht="25.35" customHeight="1" x14ac:dyDescent="0.25">
      <c r="A32" s="1536" t="s">
        <v>36</v>
      </c>
      <c r="B32" s="1536"/>
      <c r="C32" s="866">
        <v>120</v>
      </c>
      <c r="D32" s="90"/>
      <c r="E32" s="408"/>
      <c r="F32" s="408"/>
      <c r="G32" s="408"/>
      <c r="H32" s="408"/>
      <c r="I32" s="21"/>
      <c r="J32" s="17"/>
    </row>
    <row r="33" spans="1:10" s="10" customFormat="1" ht="25.35" customHeight="1" x14ac:dyDescent="0.25">
      <c r="A33" s="1537" t="s">
        <v>37</v>
      </c>
      <c r="B33" s="1538"/>
      <c r="C33" s="1071">
        <v>120</v>
      </c>
      <c r="D33" s="92"/>
      <c r="E33" s="455"/>
      <c r="F33" s="455"/>
      <c r="G33" s="455"/>
      <c r="H33" s="455"/>
      <c r="I33" s="21"/>
      <c r="J33" s="17"/>
    </row>
    <row r="34" spans="1:10" s="10" customFormat="1" ht="15" customHeight="1" x14ac:dyDescent="0.25">
      <c r="A34" s="1539" t="s">
        <v>38</v>
      </c>
      <c r="B34" s="1540"/>
      <c r="C34" s="92">
        <f>C32/C33</f>
        <v>1</v>
      </c>
      <c r="D34" s="92"/>
      <c r="E34" s="455"/>
      <c r="F34" s="455"/>
      <c r="G34" s="455"/>
      <c r="H34" s="455"/>
      <c r="I34" s="21"/>
      <c r="J34" s="17"/>
    </row>
    <row r="35" spans="1:10" ht="16.350000000000001" customHeight="1" x14ac:dyDescent="0.25">
      <c r="A35" s="1541" t="s">
        <v>39</v>
      </c>
      <c r="B35" s="1542"/>
      <c r="C35" s="15" t="s">
        <v>40</v>
      </c>
      <c r="D35" s="102"/>
      <c r="E35" s="102" t="s">
        <v>40</v>
      </c>
      <c r="F35" s="16">
        <f>F31/C34</f>
        <v>9.16</v>
      </c>
      <c r="G35" s="16"/>
      <c r="H35" s="16"/>
      <c r="I35" s="102" t="s">
        <v>40</v>
      </c>
      <c r="J35" s="102" t="s">
        <v>40</v>
      </c>
    </row>
    <row r="36" spans="1:10" ht="23.1" customHeight="1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193"/>
      <c r="B37" s="1194" t="s">
        <v>49</v>
      </c>
      <c r="C37" s="1198"/>
      <c r="D37" s="1198"/>
      <c r="E37" s="1198"/>
      <c r="F37" s="1198"/>
      <c r="G37" s="1193"/>
      <c r="H37" s="1557">
        <f>'1-бутерброд с маслом'!$H$28</f>
        <v>0</v>
      </c>
      <c r="I37" s="1557"/>
      <c r="J37" s="1557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545" t="s">
        <v>327</v>
      </c>
      <c r="B39" s="1545"/>
      <c r="C39" s="1546" t="s">
        <v>328</v>
      </c>
      <c r="D39" s="1546"/>
      <c r="E39" s="1546"/>
      <c r="F39" s="1546"/>
      <c r="G39" s="106"/>
      <c r="H39" s="1531"/>
      <c r="I39" s="1531"/>
      <c r="J39" s="1531"/>
    </row>
    <row r="40" spans="1:10" x14ac:dyDescent="0.25">
      <c r="A40" s="1193"/>
      <c r="B40" s="1193"/>
      <c r="C40" s="1546"/>
      <c r="D40" s="1546"/>
      <c r="E40" s="1546"/>
      <c r="F40" s="1546"/>
      <c r="G40" s="1193"/>
      <c r="H40" s="1531" t="s">
        <v>329</v>
      </c>
      <c r="I40" s="1531"/>
      <c r="J40" s="1531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9:B39"/>
    <mergeCell ref="C39:F40"/>
    <mergeCell ref="H39:J39"/>
    <mergeCell ref="H40:J40"/>
    <mergeCell ref="A32:B32"/>
    <mergeCell ref="A33:B33"/>
    <mergeCell ref="A34:B34"/>
    <mergeCell ref="A35:B35"/>
    <mergeCell ref="H37:J37"/>
    <mergeCell ref="A31:B31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E8EE3"/>
  </sheetPr>
  <dimension ref="A1:J46"/>
  <sheetViews>
    <sheetView view="pageBreakPreview" topLeftCell="A6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1170" customWidth="1"/>
    <col min="2" max="2" width="23.5546875" style="1170" customWidth="1"/>
    <col min="3" max="7" width="7.5546875" style="1170" customWidth="1"/>
    <col min="8" max="8" width="8.88671875" style="1170" customWidth="1"/>
    <col min="9" max="9" width="7.5546875" style="1170" customWidth="1"/>
    <col min="10" max="10" width="9.109375" style="1170" customWidth="1"/>
    <col min="11" max="11" width="4.5546875" style="1170" customWidth="1"/>
    <col min="12" max="16384" width="8.88671875" style="1170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141)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176">
        <v>186</v>
      </c>
    </row>
    <row r="8" spans="1:10" s="2" customFormat="1" ht="9.6" customHeight="1" x14ac:dyDescent="0.25">
      <c r="A8" s="1172"/>
      <c r="B8" s="1172"/>
      <c r="C8" s="1172"/>
      <c r="D8" s="1172"/>
      <c r="E8" s="1172"/>
      <c r="F8" s="1172"/>
      <c r="G8" s="1172"/>
      <c r="H8" s="1172"/>
      <c r="I8" s="1172"/>
      <c r="J8" s="109"/>
    </row>
    <row r="9" spans="1:10" s="2" customFormat="1" ht="26.1" customHeight="1" x14ac:dyDescent="0.3">
      <c r="A9" s="1550" t="s">
        <v>1314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'185-запеканка рис со сгущ.'!H14+1</f>
        <v>141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1173" t="s">
        <v>92</v>
      </c>
      <c r="D17" s="1173" t="s">
        <v>94</v>
      </c>
      <c r="E17" s="1173" t="s">
        <v>93</v>
      </c>
      <c r="F17" s="1173" t="s">
        <v>23</v>
      </c>
      <c r="G17" s="1173" t="s">
        <v>92</v>
      </c>
      <c r="H17" s="1173" t="s">
        <v>94</v>
      </c>
      <c r="I17" s="1173" t="s">
        <v>92</v>
      </c>
      <c r="J17" s="1173" t="s">
        <v>94</v>
      </c>
    </row>
    <row r="18" spans="1:10" ht="9.6" customHeight="1" x14ac:dyDescent="0.25">
      <c r="A18" s="1173">
        <v>1</v>
      </c>
      <c r="B18" s="1174">
        <v>2</v>
      </c>
      <c r="C18" s="1173">
        <v>3</v>
      </c>
      <c r="D18" s="1174">
        <v>4</v>
      </c>
      <c r="E18" s="1173">
        <v>5</v>
      </c>
      <c r="F18" s="1174">
        <v>6</v>
      </c>
      <c r="G18" s="1173">
        <v>7</v>
      </c>
      <c r="H18" s="1174">
        <v>8</v>
      </c>
      <c r="I18" s="1173">
        <v>9</v>
      </c>
      <c r="J18" s="1174">
        <v>10</v>
      </c>
    </row>
    <row r="19" spans="1:10" s="10" customFormat="1" ht="15" customHeight="1" x14ac:dyDescent="0.25">
      <c r="A19" s="180">
        <v>1</v>
      </c>
      <c r="B19" s="20" t="s">
        <v>66</v>
      </c>
      <c r="C19" s="90">
        <v>4.5999999999999999E-2</v>
      </c>
      <c r="D19" s="90">
        <v>4.5999999999999999E-2</v>
      </c>
      <c r="E19" s="408">
        <f>цены!F76</f>
        <v>40</v>
      </c>
      <c r="F19" s="408">
        <f>C19*E19</f>
        <v>1.84</v>
      </c>
      <c r="G19" s="97">
        <f t="shared" ref="G19:H31" si="0">C19*10</f>
        <v>0.46</v>
      </c>
      <c r="H19" s="21">
        <f t="shared" si="0"/>
        <v>0.46</v>
      </c>
      <c r="I19" s="21">
        <f t="shared" ref="I19:J31" si="1">C19*100</f>
        <v>4.5999999999999996</v>
      </c>
      <c r="J19" s="21">
        <f t="shared" si="1"/>
        <v>4.5999999999999996</v>
      </c>
    </row>
    <row r="20" spans="1:10" s="10" customFormat="1" ht="14.1" customHeight="1" x14ac:dyDescent="0.25">
      <c r="A20" s="180">
        <v>2</v>
      </c>
      <c r="B20" s="20" t="s">
        <v>34</v>
      </c>
      <c r="C20" s="90">
        <v>0.1</v>
      </c>
      <c r="D20" s="90">
        <v>0.1</v>
      </c>
      <c r="E20" s="408">
        <f>цены!F20</f>
        <v>80</v>
      </c>
      <c r="F20" s="408">
        <f t="shared" ref="F20" si="2">C20*E20</f>
        <v>8</v>
      </c>
      <c r="G20" s="97">
        <f t="shared" si="0"/>
        <v>1</v>
      </c>
      <c r="H20" s="21">
        <f t="shared" si="0"/>
        <v>1</v>
      </c>
      <c r="I20" s="21">
        <f t="shared" si="1"/>
        <v>10</v>
      </c>
      <c r="J20" s="21">
        <f t="shared" si="1"/>
        <v>10</v>
      </c>
    </row>
    <row r="21" spans="1:10" s="10" customFormat="1" ht="14.1" customHeight="1" x14ac:dyDescent="0.25">
      <c r="A21" s="180"/>
      <c r="B21" s="20" t="s">
        <v>28</v>
      </c>
      <c r="C21" s="90">
        <v>6.8000000000000005E-2</v>
      </c>
      <c r="D21" s="90">
        <v>6.8000000000000005E-2</v>
      </c>
      <c r="E21" s="408"/>
      <c r="F21" s="408">
        <f t="shared" ref="F21:F28" si="3">C21*E21</f>
        <v>0</v>
      </c>
      <c r="G21" s="97">
        <f t="shared" ref="G21:G28" si="4">C21*10</f>
        <v>0.68</v>
      </c>
      <c r="H21" s="21">
        <f t="shared" ref="H21:H28" si="5">D21*10</f>
        <v>0.68</v>
      </c>
      <c r="I21" s="21">
        <f t="shared" ref="I21:I28" si="6">C21*100</f>
        <v>6.8</v>
      </c>
      <c r="J21" s="21">
        <f t="shared" ref="J21:J28" si="7">D21*100</f>
        <v>6.8</v>
      </c>
    </row>
    <row r="22" spans="1:10" s="10" customFormat="1" ht="14.1" customHeight="1" x14ac:dyDescent="0.25">
      <c r="A22" s="180">
        <v>3</v>
      </c>
      <c r="B22" s="20" t="s">
        <v>30</v>
      </c>
      <c r="C22" s="90">
        <v>8.0000000000000002E-3</v>
      </c>
      <c r="D22" s="90">
        <v>8.0000000000000002E-3</v>
      </c>
      <c r="E22" s="408">
        <f>цены!F107</f>
        <v>76</v>
      </c>
      <c r="F22" s="408">
        <f t="shared" si="3"/>
        <v>0.61</v>
      </c>
      <c r="G22" s="97">
        <f t="shared" si="4"/>
        <v>0.08</v>
      </c>
      <c r="H22" s="21">
        <f t="shared" si="5"/>
        <v>0.08</v>
      </c>
      <c r="I22" s="21">
        <f t="shared" si="6"/>
        <v>0.8</v>
      </c>
      <c r="J22" s="21">
        <f t="shared" si="7"/>
        <v>0.8</v>
      </c>
    </row>
    <row r="23" spans="1:10" s="10" customFormat="1" ht="14.1" customHeight="1" x14ac:dyDescent="0.25">
      <c r="A23" s="180"/>
      <c r="B23" s="20" t="s">
        <v>200</v>
      </c>
      <c r="C23" s="110">
        <v>1.0200000000000001E-2</v>
      </c>
      <c r="D23" s="90">
        <v>0.01</v>
      </c>
      <c r="E23" s="408">
        <f>цены!F94</f>
        <v>400</v>
      </c>
      <c r="F23" s="408">
        <f t="shared" si="3"/>
        <v>4.08</v>
      </c>
      <c r="G23" s="97">
        <f t="shared" si="4"/>
        <v>0.10199999999999999</v>
      </c>
      <c r="H23" s="21">
        <f t="shared" si="5"/>
        <v>0.1</v>
      </c>
      <c r="I23" s="21">
        <f t="shared" si="6"/>
        <v>1.02</v>
      </c>
      <c r="J23" s="21">
        <f t="shared" si="7"/>
        <v>1</v>
      </c>
    </row>
    <row r="24" spans="1:10" s="10" customFormat="1" ht="14.1" customHeight="1" x14ac:dyDescent="0.25">
      <c r="A24" s="180">
        <v>4</v>
      </c>
      <c r="B24" s="20" t="s">
        <v>689</v>
      </c>
      <c r="C24" s="90">
        <v>8.0000000000000002E-3</v>
      </c>
      <c r="D24" s="90">
        <v>6.0000000000000001E-3</v>
      </c>
      <c r="E24" s="408">
        <f>цены!F30</f>
        <v>152.16999999999999</v>
      </c>
      <c r="F24" s="408">
        <f t="shared" si="3"/>
        <v>1.22</v>
      </c>
      <c r="G24" s="97">
        <f t="shared" si="4"/>
        <v>0.08</v>
      </c>
      <c r="H24" s="21">
        <f t="shared" si="5"/>
        <v>0.06</v>
      </c>
      <c r="I24" s="21">
        <f t="shared" si="6"/>
        <v>0.8</v>
      </c>
      <c r="J24" s="21">
        <f t="shared" si="7"/>
        <v>0.6</v>
      </c>
    </row>
    <row r="25" spans="1:10" s="10" customFormat="1" ht="22.2" customHeight="1" x14ac:dyDescent="0.25">
      <c r="A25" s="180">
        <v>5</v>
      </c>
      <c r="B25" s="20" t="s">
        <v>690</v>
      </c>
      <c r="C25" s="90">
        <v>4.0000000000000001E-3</v>
      </c>
      <c r="D25" s="90">
        <v>4.0000000000000001E-3</v>
      </c>
      <c r="E25" s="408">
        <f>цены!F87</f>
        <v>120</v>
      </c>
      <c r="F25" s="408">
        <f t="shared" si="3"/>
        <v>0.48</v>
      </c>
      <c r="G25" s="97">
        <f t="shared" si="4"/>
        <v>0.04</v>
      </c>
      <c r="H25" s="21">
        <f t="shared" si="5"/>
        <v>0.04</v>
      </c>
      <c r="I25" s="21">
        <f t="shared" si="6"/>
        <v>0.4</v>
      </c>
      <c r="J25" s="21">
        <f t="shared" si="7"/>
        <v>0.4</v>
      </c>
    </row>
    <row r="26" spans="1:10" s="10" customFormat="1" ht="13.95" customHeight="1" x14ac:dyDescent="0.25">
      <c r="A26" s="180">
        <v>6</v>
      </c>
      <c r="B26" s="20" t="s">
        <v>72</v>
      </c>
      <c r="C26" s="90">
        <v>4.0000000000000001E-3</v>
      </c>
      <c r="D26" s="90">
        <v>4.0000000000000001E-3</v>
      </c>
      <c r="E26" s="408">
        <f>цены!F111</f>
        <v>118</v>
      </c>
      <c r="F26" s="408">
        <f t="shared" si="3"/>
        <v>0.47</v>
      </c>
      <c r="G26" s="97">
        <f t="shared" si="4"/>
        <v>0.04</v>
      </c>
      <c r="H26" s="21">
        <f t="shared" si="5"/>
        <v>0.04</v>
      </c>
      <c r="I26" s="21">
        <f t="shared" si="6"/>
        <v>0.4</v>
      </c>
      <c r="J26" s="21">
        <f t="shared" si="7"/>
        <v>0.4</v>
      </c>
    </row>
    <row r="27" spans="1:10" s="10" customFormat="1" ht="13.95" customHeight="1" x14ac:dyDescent="0.25">
      <c r="A27" s="180">
        <v>7</v>
      </c>
      <c r="B27" s="20" t="s">
        <v>51</v>
      </c>
      <c r="C27" s="90">
        <v>4.0000000000000001E-3</v>
      </c>
      <c r="D27" s="90">
        <v>4.0000000000000001E-3</v>
      </c>
      <c r="E27" s="408">
        <f>цены!F24</f>
        <v>234</v>
      </c>
      <c r="F27" s="408">
        <f t="shared" si="3"/>
        <v>0.94</v>
      </c>
      <c r="G27" s="97">
        <f t="shared" si="4"/>
        <v>0.04</v>
      </c>
      <c r="H27" s="21">
        <f t="shared" si="5"/>
        <v>0.04</v>
      </c>
      <c r="I27" s="21">
        <f t="shared" si="6"/>
        <v>0.4</v>
      </c>
      <c r="J27" s="21">
        <f t="shared" si="7"/>
        <v>0.4</v>
      </c>
    </row>
    <row r="28" spans="1:10" s="10" customFormat="1" ht="13.95" customHeight="1" x14ac:dyDescent="0.25">
      <c r="A28" s="180">
        <v>8</v>
      </c>
      <c r="B28" s="20" t="s">
        <v>56</v>
      </c>
      <c r="C28" s="502">
        <v>2.0000000000000002E-5</v>
      </c>
      <c r="D28" s="502">
        <v>2.0000000000000002E-5</v>
      </c>
      <c r="E28" s="408">
        <f>цены!F90</f>
        <v>5000</v>
      </c>
      <c r="F28" s="408">
        <f t="shared" si="3"/>
        <v>0.1</v>
      </c>
      <c r="G28" s="97">
        <f t="shared" si="4"/>
        <v>0</v>
      </c>
      <c r="H28" s="21">
        <f t="shared" si="5"/>
        <v>0</v>
      </c>
      <c r="I28" s="21">
        <f t="shared" si="6"/>
        <v>2E-3</v>
      </c>
      <c r="J28" s="21">
        <f t="shared" si="7"/>
        <v>2E-3</v>
      </c>
    </row>
    <row r="29" spans="1:10" s="10" customFormat="1" ht="13.95" customHeight="1" x14ac:dyDescent="0.25">
      <c r="A29" s="184"/>
      <c r="B29" s="93" t="s">
        <v>97</v>
      </c>
      <c r="C29" s="94"/>
      <c r="D29" s="1081">
        <v>224</v>
      </c>
      <c r="E29" s="95"/>
      <c r="F29" s="95"/>
      <c r="G29" s="99"/>
      <c r="H29" s="100">
        <f t="shared" si="0"/>
        <v>2240</v>
      </c>
      <c r="I29" s="100"/>
      <c r="J29" s="100">
        <f t="shared" si="1"/>
        <v>22400</v>
      </c>
    </row>
    <row r="30" spans="1:10" s="10" customFormat="1" ht="13.95" customHeight="1" x14ac:dyDescent="0.25">
      <c r="A30" s="184"/>
      <c r="B30" s="93" t="s">
        <v>691</v>
      </c>
      <c r="C30" s="94"/>
      <c r="D30" s="1081">
        <v>200</v>
      </c>
      <c r="E30" s="95"/>
      <c r="F30" s="95"/>
      <c r="G30" s="99"/>
      <c r="H30" s="100">
        <f t="shared" si="0"/>
        <v>2000</v>
      </c>
      <c r="I30" s="100"/>
      <c r="J30" s="100">
        <f t="shared" si="1"/>
        <v>20000</v>
      </c>
    </row>
    <row r="31" spans="1:10" s="10" customFormat="1" ht="14.1" customHeight="1" x14ac:dyDescent="0.25">
      <c r="A31" s="180"/>
      <c r="B31" s="20" t="s">
        <v>85</v>
      </c>
      <c r="C31" s="90">
        <v>0.02</v>
      </c>
      <c r="D31" s="90">
        <v>0.02</v>
      </c>
      <c r="E31" s="408">
        <f>цены!F25</f>
        <v>250</v>
      </c>
      <c r="F31" s="408">
        <f>C31*E31</f>
        <v>5</v>
      </c>
      <c r="G31" s="97">
        <f>C31*10</f>
        <v>0.2</v>
      </c>
      <c r="H31" s="21">
        <f t="shared" si="0"/>
        <v>0.2</v>
      </c>
      <c r="I31" s="21">
        <f>C31*100</f>
        <v>2</v>
      </c>
      <c r="J31" s="21">
        <f t="shared" si="1"/>
        <v>2</v>
      </c>
    </row>
    <row r="32" spans="1:10" s="10" customFormat="1" ht="14.1" customHeight="1" x14ac:dyDescent="0.25">
      <c r="A32" s="184"/>
      <c r="B32" s="93" t="s">
        <v>1315</v>
      </c>
      <c r="C32" s="94"/>
      <c r="D32" s="94">
        <v>220</v>
      </c>
      <c r="E32" s="95"/>
      <c r="F32" s="95">
        <f>SUM(F19:F31)</f>
        <v>22.74</v>
      </c>
      <c r="G32" s="99"/>
      <c r="H32" s="100">
        <f>D32*10</f>
        <v>2200</v>
      </c>
      <c r="I32" s="100"/>
      <c r="J32" s="100">
        <f>D32*100</f>
        <v>22000</v>
      </c>
    </row>
    <row r="33" spans="1:10" s="10" customFormat="1" ht="27.6" customHeight="1" x14ac:dyDescent="0.25">
      <c r="A33" s="1536" t="s">
        <v>35</v>
      </c>
      <c r="B33" s="1536"/>
      <c r="C33" s="90"/>
      <c r="D33" s="90"/>
      <c r="E33" s="408"/>
      <c r="F33" s="408">
        <f>F32</f>
        <v>22.74</v>
      </c>
      <c r="G33" s="1175"/>
      <c r="H33" s="1175"/>
      <c r="I33" s="21"/>
      <c r="J33" s="408"/>
    </row>
    <row r="34" spans="1:10" s="10" customFormat="1" ht="25.35" customHeight="1" x14ac:dyDescent="0.25">
      <c r="A34" s="1536" t="s">
        <v>36</v>
      </c>
      <c r="B34" s="1536"/>
      <c r="C34" s="90">
        <v>220</v>
      </c>
      <c r="D34" s="90"/>
      <c r="E34" s="408"/>
      <c r="F34" s="408"/>
      <c r="G34" s="408"/>
      <c r="H34" s="408"/>
      <c r="I34" s="21"/>
      <c r="J34" s="17"/>
    </row>
    <row r="35" spans="1:10" s="10" customFormat="1" ht="25.35" customHeight="1" x14ac:dyDescent="0.25">
      <c r="A35" s="1537" t="s">
        <v>37</v>
      </c>
      <c r="B35" s="1538"/>
      <c r="C35" s="91">
        <v>220</v>
      </c>
      <c r="D35" s="1189" t="s">
        <v>1312</v>
      </c>
      <c r="E35" s="1174"/>
      <c r="F35" s="1174"/>
      <c r="G35" s="1174"/>
      <c r="H35" s="1174"/>
      <c r="I35" s="21"/>
      <c r="J35" s="17"/>
    </row>
    <row r="36" spans="1:10" s="10" customFormat="1" ht="15" customHeight="1" x14ac:dyDescent="0.25">
      <c r="A36" s="1539" t="s">
        <v>38</v>
      </c>
      <c r="B36" s="1540"/>
      <c r="C36" s="92">
        <f>C34/C35</f>
        <v>1</v>
      </c>
      <c r="D36" s="92"/>
      <c r="E36" s="1174"/>
      <c r="F36" s="1174"/>
      <c r="G36" s="1174"/>
      <c r="H36" s="1174"/>
      <c r="I36" s="21"/>
      <c r="J36" s="17"/>
    </row>
    <row r="37" spans="1:10" ht="16.350000000000001" customHeight="1" x14ac:dyDescent="0.25">
      <c r="A37" s="1541" t="s">
        <v>39</v>
      </c>
      <c r="B37" s="1542"/>
      <c r="C37" s="15" t="s">
        <v>40</v>
      </c>
      <c r="D37" s="102"/>
      <c r="E37" s="102" t="s">
        <v>40</v>
      </c>
      <c r="F37" s="16">
        <f>F33/C36</f>
        <v>22.74</v>
      </c>
      <c r="G37" s="16"/>
      <c r="H37" s="16"/>
      <c r="I37" s="102" t="s">
        <v>40</v>
      </c>
      <c r="J37" s="102" t="s">
        <v>40</v>
      </c>
    </row>
    <row r="38" spans="1:10" ht="23.1" customHeight="1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193"/>
      <c r="B39" s="1194" t="s">
        <v>49</v>
      </c>
      <c r="C39" s="1198"/>
      <c r="D39" s="1198"/>
      <c r="E39" s="1198"/>
      <c r="F39" s="1198"/>
      <c r="G39" s="1193"/>
      <c r="H39" s="1557">
        <f>'1-бутерброд с маслом'!$H$28</f>
        <v>0</v>
      </c>
      <c r="I39" s="1557"/>
      <c r="J39" s="1557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ht="13.95" customHeight="1" x14ac:dyDescent="0.25">
      <c r="A41" s="1545" t="s">
        <v>327</v>
      </c>
      <c r="B41" s="1545"/>
      <c r="C41" s="1546" t="s">
        <v>328</v>
      </c>
      <c r="D41" s="1546"/>
      <c r="E41" s="1546"/>
      <c r="F41" s="1546"/>
      <c r="G41" s="106"/>
      <c r="H41" s="1531"/>
      <c r="I41" s="1531"/>
      <c r="J41" s="1531"/>
    </row>
    <row r="42" spans="1:10" x14ac:dyDescent="0.25">
      <c r="A42" s="1193"/>
      <c r="B42" s="1193"/>
      <c r="C42" s="1546"/>
      <c r="D42" s="1546"/>
      <c r="E42" s="1546"/>
      <c r="F42" s="1546"/>
      <c r="G42" s="1193"/>
      <c r="H42" s="1531" t="s">
        <v>329</v>
      </c>
      <c r="I42" s="1531"/>
      <c r="J42" s="1531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  <row r="45" spans="1:10" x14ac:dyDescent="0.25">
      <c r="A45" s="1193"/>
      <c r="B45" s="1193"/>
      <c r="C45" s="1193"/>
      <c r="D45" s="1193"/>
      <c r="E45" s="1193"/>
      <c r="F45" s="1193"/>
      <c r="G45" s="1193"/>
      <c r="H45" s="1193"/>
      <c r="I45" s="1193"/>
      <c r="J45" s="1193"/>
    </row>
    <row r="46" spans="1:10" x14ac:dyDescent="0.25">
      <c r="A46" s="1193"/>
      <c r="B46" s="1193"/>
      <c r="C46" s="1193"/>
      <c r="D46" s="1193"/>
      <c r="E46" s="1193"/>
      <c r="F46" s="1193"/>
      <c r="G46" s="1193"/>
      <c r="H46" s="1193"/>
      <c r="I46" s="1193"/>
      <c r="J46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1:B41"/>
    <mergeCell ref="C41:F42"/>
    <mergeCell ref="H41:J41"/>
    <mergeCell ref="H42:J42"/>
    <mergeCell ref="A34:B34"/>
    <mergeCell ref="A35:B35"/>
    <mergeCell ref="A36:B36"/>
    <mergeCell ref="A37:B37"/>
    <mergeCell ref="H39:J39"/>
    <mergeCell ref="A33:B33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6"/>
  <sheetViews>
    <sheetView view="pageBreakPreview" topLeftCell="A10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142)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202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196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'186-запеканка манка с изюмом'!H14+1</f>
        <v>142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2" customHeight="1" x14ac:dyDescent="0.25">
      <c r="A19" s="180">
        <v>1</v>
      </c>
      <c r="B19" s="20" t="s">
        <v>55</v>
      </c>
      <c r="C19" s="111">
        <v>0.35</v>
      </c>
      <c r="D19" s="111">
        <v>0.35</v>
      </c>
      <c r="E19" s="13">
        <f>цены!F88</f>
        <v>50</v>
      </c>
      <c r="F19" s="13">
        <f>C19*E19</f>
        <v>17.5</v>
      </c>
      <c r="G19" s="97">
        <f t="shared" ref="G19:H21" si="0">C19*10</f>
        <v>3.5</v>
      </c>
      <c r="H19" s="21">
        <f t="shared" si="0"/>
        <v>3.5</v>
      </c>
      <c r="I19" s="21">
        <f t="shared" ref="I19:J21" si="1">C19*100</f>
        <v>35</v>
      </c>
      <c r="J19" s="21">
        <f t="shared" si="1"/>
        <v>35</v>
      </c>
    </row>
    <row r="20" spans="1:10" s="10" customFormat="1" ht="12" customHeight="1" x14ac:dyDescent="0.25">
      <c r="A20" s="180">
        <v>2</v>
      </c>
      <c r="B20" s="20" t="s">
        <v>28</v>
      </c>
      <c r="C20" s="111">
        <f>6000/1000*C19</f>
        <v>2.1</v>
      </c>
      <c r="D20" s="111">
        <f>C20</f>
        <v>2.1</v>
      </c>
      <c r="E20" s="13"/>
      <c r="F20" s="13">
        <f>C20*E20</f>
        <v>0</v>
      </c>
      <c r="G20" s="97">
        <f t="shared" si="0"/>
        <v>21</v>
      </c>
      <c r="H20" s="21">
        <f t="shared" si="0"/>
        <v>21</v>
      </c>
      <c r="I20" s="21">
        <f t="shared" si="1"/>
        <v>210</v>
      </c>
      <c r="J20" s="21">
        <f t="shared" si="1"/>
        <v>210</v>
      </c>
    </row>
    <row r="21" spans="1:10" s="10" customFormat="1" ht="12" customHeight="1" x14ac:dyDescent="0.25">
      <c r="A21" s="180">
        <v>3</v>
      </c>
      <c r="B21" s="20" t="s">
        <v>33</v>
      </c>
      <c r="C21" s="111">
        <f>50/1000*C19</f>
        <v>1.7500000000000002E-2</v>
      </c>
      <c r="D21" s="111">
        <f>C21</f>
        <v>1.7500000000000002E-2</v>
      </c>
      <c r="E21" s="13">
        <f>цены!F110</f>
        <v>24</v>
      </c>
      <c r="F21" s="13">
        <f>C21*E21</f>
        <v>0.42</v>
      </c>
      <c r="G21" s="97">
        <f t="shared" si="0"/>
        <v>0.17499999999999999</v>
      </c>
      <c r="H21" s="21">
        <f t="shared" si="0"/>
        <v>0.17499999999999999</v>
      </c>
      <c r="I21" s="21">
        <f t="shared" si="1"/>
        <v>1.75</v>
      </c>
      <c r="J21" s="21">
        <f t="shared" si="1"/>
        <v>1.75</v>
      </c>
    </row>
    <row r="22" spans="1:10" s="10" customFormat="1" ht="12" customHeight="1" x14ac:dyDescent="0.25">
      <c r="A22" s="184"/>
      <c r="B22" s="93" t="s">
        <v>100</v>
      </c>
      <c r="C22" s="112"/>
      <c r="D22" s="112">
        <v>1</v>
      </c>
      <c r="E22" s="95"/>
      <c r="F22" s="95">
        <f>SUM(F19:F21)</f>
        <v>17.920000000000002</v>
      </c>
      <c r="G22" s="99"/>
      <c r="H22" s="100">
        <f>D22*10</f>
        <v>10</v>
      </c>
      <c r="I22" s="100"/>
      <c r="J22" s="100">
        <f>D22*100</f>
        <v>100</v>
      </c>
    </row>
    <row r="23" spans="1:10" s="10" customFormat="1" ht="27.6" customHeight="1" x14ac:dyDescent="0.25">
      <c r="A23" s="1536" t="s">
        <v>35</v>
      </c>
      <c r="B23" s="1536"/>
      <c r="C23" s="90"/>
      <c r="D23" s="90"/>
      <c r="E23" s="13"/>
      <c r="F23" s="13">
        <f>F22</f>
        <v>17.920000000000002</v>
      </c>
      <c r="G23" s="14"/>
      <c r="H23" s="14"/>
      <c r="I23" s="21"/>
      <c r="J23" s="13"/>
    </row>
    <row r="24" spans="1:10" s="10" customFormat="1" ht="25.35" customHeight="1" x14ac:dyDescent="0.25">
      <c r="A24" s="1536" t="s">
        <v>36</v>
      </c>
      <c r="B24" s="1536"/>
      <c r="C24" s="90">
        <v>1000</v>
      </c>
      <c r="D24" s="90"/>
      <c r="E24" s="13"/>
      <c r="F24" s="13"/>
      <c r="G24" s="13"/>
      <c r="H24" s="13"/>
      <c r="I24" s="21"/>
      <c r="J24" s="17"/>
    </row>
    <row r="25" spans="1:10" s="10" customFormat="1" ht="25.35" customHeight="1" x14ac:dyDescent="0.25">
      <c r="A25" s="1537" t="s">
        <v>37</v>
      </c>
      <c r="B25" s="1538"/>
      <c r="C25" s="91">
        <v>1000</v>
      </c>
      <c r="D25" s="92"/>
      <c r="E25" s="5"/>
      <c r="F25" s="5"/>
      <c r="G25" s="5"/>
      <c r="H25" s="5"/>
      <c r="I25" s="21"/>
      <c r="J25" s="17"/>
    </row>
    <row r="26" spans="1:10" s="10" customFormat="1" ht="15" customHeight="1" x14ac:dyDescent="0.25">
      <c r="A26" s="1539" t="s">
        <v>38</v>
      </c>
      <c r="B26" s="1540"/>
      <c r="C26" s="92">
        <f>C24/C25</f>
        <v>1</v>
      </c>
      <c r="D26" s="92"/>
      <c r="E26" s="5"/>
      <c r="F26" s="5"/>
      <c r="G26" s="5"/>
      <c r="H26" s="5"/>
      <c r="I26" s="21"/>
      <c r="J26" s="17"/>
    </row>
    <row r="27" spans="1:10" ht="16.350000000000001" customHeight="1" x14ac:dyDescent="0.25">
      <c r="A27" s="1541" t="s">
        <v>39</v>
      </c>
      <c r="B27" s="1542"/>
      <c r="C27" s="15" t="s">
        <v>40</v>
      </c>
      <c r="D27" s="102"/>
      <c r="E27" s="102" t="s">
        <v>40</v>
      </c>
      <c r="F27" s="16">
        <f>F23/C26</f>
        <v>17.920000000000002</v>
      </c>
      <c r="G27" s="16"/>
      <c r="H27" s="16"/>
      <c r="I27" s="102" t="s">
        <v>40</v>
      </c>
      <c r="J27" s="102" t="s">
        <v>40</v>
      </c>
    </row>
    <row r="28" spans="1:10" ht="23.1" customHeight="1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193"/>
      <c r="B29" s="1194" t="s">
        <v>49</v>
      </c>
      <c r="C29" s="1198"/>
      <c r="D29" s="1198"/>
      <c r="E29" s="1198"/>
      <c r="F29" s="1198"/>
      <c r="G29" s="1193"/>
      <c r="H29" s="1557">
        <f>'1-бутерброд с маслом'!$H$28</f>
        <v>0</v>
      </c>
      <c r="I29" s="1557"/>
      <c r="J29" s="1557"/>
    </row>
    <row r="30" spans="1:10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0" ht="13.95" customHeight="1" x14ac:dyDescent="0.25">
      <c r="A31" s="1545" t="s">
        <v>327</v>
      </c>
      <c r="B31" s="1545"/>
      <c r="C31" s="1546" t="s">
        <v>328</v>
      </c>
      <c r="D31" s="1546"/>
      <c r="E31" s="1546"/>
      <c r="F31" s="1546"/>
      <c r="G31" s="106"/>
      <c r="H31" s="1531"/>
      <c r="I31" s="1531"/>
      <c r="J31" s="1531"/>
    </row>
    <row r="32" spans="1:10" x14ac:dyDescent="0.25">
      <c r="A32" s="1193"/>
      <c r="B32" s="1193"/>
      <c r="C32" s="1546"/>
      <c r="D32" s="1546"/>
      <c r="E32" s="1546"/>
      <c r="F32" s="1546"/>
      <c r="G32" s="1193"/>
      <c r="H32" s="1531" t="s">
        <v>329</v>
      </c>
      <c r="I32" s="1531"/>
      <c r="J32" s="1531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1:B31"/>
    <mergeCell ref="C31:F32"/>
    <mergeCell ref="H31:J31"/>
    <mergeCell ref="H32:J32"/>
    <mergeCell ref="A24:B24"/>
    <mergeCell ref="A25:B25"/>
    <mergeCell ref="A26:B26"/>
    <mergeCell ref="A27:B27"/>
    <mergeCell ref="H29:J29"/>
    <mergeCell ref="A23:B23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M36"/>
  <sheetViews>
    <sheetView view="pageBreakPreview" topLeftCell="A8" zoomScaleNormal="100" zoomScaleSheetLayoutView="100" workbookViewId="0">
      <selection activeCell="L19" sqref="L19:M22"/>
    </sheetView>
  </sheetViews>
  <sheetFormatPr defaultColWidth="8.88671875" defaultRowHeight="13.8" x14ac:dyDescent="0.25"/>
  <cols>
    <col min="1" max="1" width="4.109375" style="937" customWidth="1"/>
    <col min="2" max="2" width="21.109375" style="937" customWidth="1"/>
    <col min="3" max="7" width="7.5546875" style="937" customWidth="1"/>
    <col min="8" max="8" width="8.88671875" style="937" customWidth="1"/>
    <col min="9" max="9" width="7.5546875" style="937" customWidth="1"/>
    <col min="10" max="10" width="9" style="937" customWidth="1"/>
    <col min="11" max="11" width="3" style="937" customWidth="1"/>
    <col min="12" max="16384" width="8.88671875" style="93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143)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942">
        <v>202</v>
      </c>
    </row>
    <row r="8" spans="1:10" s="2" customFormat="1" ht="9.6" customHeight="1" x14ac:dyDescent="0.25">
      <c r="A8" s="938"/>
      <c r="B8" s="938"/>
      <c r="C8" s="938"/>
      <c r="D8" s="938"/>
      <c r="E8" s="938"/>
      <c r="F8" s="938"/>
      <c r="G8" s="938"/>
      <c r="H8" s="938"/>
      <c r="I8" s="938"/>
      <c r="J8" s="109"/>
    </row>
    <row r="9" spans="1:10" s="2" customFormat="1" ht="26.1" customHeight="1" x14ac:dyDescent="0.3">
      <c r="A9" s="1550" t="s">
        <v>196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'202-макароны отвар'!H14+1</f>
        <v>143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939" t="s">
        <v>92</v>
      </c>
      <c r="D17" s="939" t="s">
        <v>94</v>
      </c>
      <c r="E17" s="939" t="s">
        <v>93</v>
      </c>
      <c r="F17" s="939" t="s">
        <v>23</v>
      </c>
      <c r="G17" s="939" t="s">
        <v>92</v>
      </c>
      <c r="H17" s="939" t="s">
        <v>94</v>
      </c>
      <c r="I17" s="939" t="s">
        <v>92</v>
      </c>
      <c r="J17" s="939" t="s">
        <v>94</v>
      </c>
    </row>
    <row r="18" spans="1:13" ht="9.6" customHeight="1" x14ac:dyDescent="0.25">
      <c r="A18" s="939">
        <v>1</v>
      </c>
      <c r="B18" s="940">
        <v>2</v>
      </c>
      <c r="C18" s="939">
        <v>3</v>
      </c>
      <c r="D18" s="940">
        <v>4</v>
      </c>
      <c r="E18" s="939">
        <v>5</v>
      </c>
      <c r="F18" s="940">
        <v>6</v>
      </c>
      <c r="G18" s="939">
        <v>7</v>
      </c>
      <c r="H18" s="940">
        <v>8</v>
      </c>
      <c r="I18" s="939">
        <v>9</v>
      </c>
      <c r="J18" s="940">
        <v>10</v>
      </c>
    </row>
    <row r="19" spans="1:13" s="10" customFormat="1" ht="12" customHeight="1" x14ac:dyDescent="0.25">
      <c r="A19" s="180">
        <v>1</v>
      </c>
      <c r="B19" s="20" t="s">
        <v>55</v>
      </c>
      <c r="C19" s="111">
        <v>0.35</v>
      </c>
      <c r="D19" s="111">
        <v>0.35</v>
      </c>
      <c r="E19" s="408">
        <f>цены!F88</f>
        <v>50</v>
      </c>
      <c r="F19" s="408">
        <f>C19*E19</f>
        <v>17.5</v>
      </c>
      <c r="G19" s="97">
        <f t="shared" ref="G19:H21" si="0">C19*10</f>
        <v>3.5</v>
      </c>
      <c r="H19" s="21">
        <f t="shared" si="0"/>
        <v>3.5</v>
      </c>
      <c r="I19" s="21">
        <f t="shared" ref="I19:J21" si="1">C19*100</f>
        <v>35</v>
      </c>
      <c r="J19" s="21">
        <f t="shared" si="1"/>
        <v>35</v>
      </c>
      <c r="L19" s="1224">
        <f>C19/C$26</f>
        <v>5.2499999999999998E-2</v>
      </c>
      <c r="M19" s="1224">
        <f>F19/C$26</f>
        <v>2.62487</v>
      </c>
    </row>
    <row r="20" spans="1:13" s="10" customFormat="1" ht="12" customHeight="1" x14ac:dyDescent="0.25">
      <c r="A20" s="180">
        <v>2</v>
      </c>
      <c r="B20" s="20" t="s">
        <v>28</v>
      </c>
      <c r="C20" s="111">
        <f>6000/1000*C19</f>
        <v>2.1</v>
      </c>
      <c r="D20" s="111">
        <f>C20</f>
        <v>2.1</v>
      </c>
      <c r="E20" s="408"/>
      <c r="F20" s="408">
        <f>C20*E20</f>
        <v>0</v>
      </c>
      <c r="G20" s="97">
        <f t="shared" si="0"/>
        <v>21</v>
      </c>
      <c r="H20" s="21">
        <f t="shared" si="0"/>
        <v>21</v>
      </c>
      <c r="I20" s="21">
        <f t="shared" si="1"/>
        <v>210</v>
      </c>
      <c r="J20" s="21">
        <f t="shared" si="1"/>
        <v>210</v>
      </c>
      <c r="L20" s="1224">
        <f t="shared" ref="L20:L21" si="2">C20/C$26</f>
        <v>0.31497999999999998</v>
      </c>
      <c r="M20" s="1224">
        <f t="shared" ref="M20:M21" si="3">F20/C$26</f>
        <v>0</v>
      </c>
    </row>
    <row r="21" spans="1:13" s="10" customFormat="1" ht="12" customHeight="1" x14ac:dyDescent="0.25">
      <c r="A21" s="180">
        <v>3</v>
      </c>
      <c r="B21" s="20" t="s">
        <v>33</v>
      </c>
      <c r="C21" s="111">
        <f>50/1000*C19</f>
        <v>1.7500000000000002E-2</v>
      </c>
      <c r="D21" s="111">
        <f>C21</f>
        <v>1.7500000000000002E-2</v>
      </c>
      <c r="E21" s="408">
        <f>цены!F110</f>
        <v>24</v>
      </c>
      <c r="F21" s="408">
        <f>C21*E21</f>
        <v>0.42</v>
      </c>
      <c r="G21" s="97">
        <f t="shared" si="0"/>
        <v>0.17499999999999999</v>
      </c>
      <c r="H21" s="21">
        <f t="shared" si="0"/>
        <v>0.17499999999999999</v>
      </c>
      <c r="I21" s="21">
        <f t="shared" si="1"/>
        <v>1.75</v>
      </c>
      <c r="J21" s="21">
        <f t="shared" si="1"/>
        <v>1.75</v>
      </c>
      <c r="L21" s="1224">
        <f t="shared" si="2"/>
        <v>2.6199999999999999E-3</v>
      </c>
      <c r="M21" s="1224">
        <f t="shared" si="3"/>
        <v>6.3E-2</v>
      </c>
    </row>
    <row r="22" spans="1:13" s="10" customFormat="1" ht="12" customHeight="1" x14ac:dyDescent="0.25">
      <c r="A22" s="184"/>
      <c r="B22" s="93" t="s">
        <v>100</v>
      </c>
      <c r="C22" s="112"/>
      <c r="D22" s="112">
        <v>1</v>
      </c>
      <c r="E22" s="95"/>
      <c r="F22" s="95">
        <f>SUM(F19:F21)</f>
        <v>17.920000000000002</v>
      </c>
      <c r="G22" s="99"/>
      <c r="H22" s="100">
        <f>D22*10</f>
        <v>10</v>
      </c>
      <c r="I22" s="100"/>
      <c r="J22" s="100">
        <f>D22*100</f>
        <v>100</v>
      </c>
      <c r="L22" s="1224">
        <f>SUM(L19:L21)</f>
        <v>0.37009999999999998</v>
      </c>
      <c r="M22" s="1224">
        <f>SUM(M19:M21)</f>
        <v>2.6878700000000002</v>
      </c>
    </row>
    <row r="23" spans="1:13" s="10" customFormat="1" ht="27.6" customHeight="1" x14ac:dyDescent="0.25">
      <c r="A23" s="1536" t="s">
        <v>35</v>
      </c>
      <c r="B23" s="1536"/>
      <c r="C23" s="90"/>
      <c r="D23" s="90"/>
      <c r="E23" s="408"/>
      <c r="F23" s="408">
        <f>F22</f>
        <v>17.920000000000002</v>
      </c>
      <c r="G23" s="941"/>
      <c r="H23" s="941"/>
      <c r="I23" s="21"/>
      <c r="J23" s="408"/>
    </row>
    <row r="24" spans="1:13" s="10" customFormat="1" ht="25.35" customHeight="1" x14ac:dyDescent="0.25">
      <c r="A24" s="1536" t="s">
        <v>36</v>
      </c>
      <c r="B24" s="1536"/>
      <c r="C24" s="90">
        <v>1000</v>
      </c>
      <c r="D24" s="90"/>
      <c r="E24" s="408"/>
      <c r="F24" s="408"/>
      <c r="G24" s="408"/>
      <c r="H24" s="408"/>
      <c r="I24" s="21"/>
      <c r="J24" s="17"/>
    </row>
    <row r="25" spans="1:13" s="10" customFormat="1" ht="25.35" customHeight="1" x14ac:dyDescent="0.25">
      <c r="A25" s="1537" t="s">
        <v>37</v>
      </c>
      <c r="B25" s="1538"/>
      <c r="C25" s="91">
        <v>150</v>
      </c>
      <c r="D25" s="92"/>
      <c r="E25" s="940"/>
      <c r="F25" s="940"/>
      <c r="G25" s="940"/>
      <c r="H25" s="940"/>
      <c r="I25" s="21"/>
      <c r="J25" s="17"/>
    </row>
    <row r="26" spans="1:13" s="10" customFormat="1" ht="15" customHeight="1" x14ac:dyDescent="0.25">
      <c r="A26" s="1539" t="s">
        <v>38</v>
      </c>
      <c r="B26" s="1540"/>
      <c r="C26" s="92">
        <f>C24/C25</f>
        <v>6.6669999999999998</v>
      </c>
      <c r="D26" s="92"/>
      <c r="E26" s="940"/>
      <c r="F26" s="940"/>
      <c r="G26" s="940"/>
      <c r="H26" s="940"/>
      <c r="I26" s="21"/>
      <c r="J26" s="17"/>
    </row>
    <row r="27" spans="1:13" ht="16.350000000000001" customHeight="1" x14ac:dyDescent="0.25">
      <c r="A27" s="1541" t="s">
        <v>39</v>
      </c>
      <c r="B27" s="1542"/>
      <c r="C27" s="15" t="s">
        <v>40</v>
      </c>
      <c r="D27" s="102"/>
      <c r="E27" s="102" t="s">
        <v>40</v>
      </c>
      <c r="F27" s="16">
        <f>F23/C26</f>
        <v>2.69</v>
      </c>
      <c r="G27" s="16"/>
      <c r="H27" s="16"/>
      <c r="I27" s="102" t="s">
        <v>40</v>
      </c>
      <c r="J27" s="102" t="s">
        <v>40</v>
      </c>
    </row>
    <row r="28" spans="1:13" ht="23.1" customHeight="1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3" ht="13.95" customHeight="1" x14ac:dyDescent="0.25">
      <c r="A29" s="1193"/>
      <c r="B29" s="1194" t="s">
        <v>49</v>
      </c>
      <c r="C29" s="1198"/>
      <c r="D29" s="1198"/>
      <c r="E29" s="1198"/>
      <c r="F29" s="1198"/>
      <c r="G29" s="1193"/>
      <c r="H29" s="1557">
        <f>'1-бутерброд с маслом'!$H$28</f>
        <v>0</v>
      </c>
      <c r="I29" s="1557"/>
      <c r="J29" s="1557"/>
    </row>
    <row r="30" spans="1:13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3" ht="13.95" customHeight="1" x14ac:dyDescent="0.25">
      <c r="A31" s="1545" t="s">
        <v>327</v>
      </c>
      <c r="B31" s="1545"/>
      <c r="C31" s="1546" t="s">
        <v>328</v>
      </c>
      <c r="D31" s="1546"/>
      <c r="E31" s="1546"/>
      <c r="F31" s="1546"/>
      <c r="G31" s="106"/>
      <c r="H31" s="1531"/>
      <c r="I31" s="1531"/>
      <c r="J31" s="1531"/>
    </row>
    <row r="32" spans="1:13" x14ac:dyDescent="0.25">
      <c r="A32" s="1193"/>
      <c r="B32" s="1193"/>
      <c r="C32" s="1546"/>
      <c r="D32" s="1546"/>
      <c r="E32" s="1546"/>
      <c r="F32" s="1546"/>
      <c r="G32" s="1193"/>
      <c r="H32" s="1531" t="s">
        <v>329</v>
      </c>
      <c r="I32" s="1531"/>
      <c r="J32" s="1531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1:B31"/>
    <mergeCell ref="C31:F32"/>
    <mergeCell ref="H31:J31"/>
    <mergeCell ref="H32:J32"/>
    <mergeCell ref="A24:B24"/>
    <mergeCell ref="A25:B25"/>
    <mergeCell ref="A26:B26"/>
    <mergeCell ref="A27:B27"/>
    <mergeCell ref="H29:J29"/>
    <mergeCell ref="A23:B23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5"/>
  <sheetViews>
    <sheetView view="pageBreakPreview" topLeftCell="A8" zoomScaleNormal="100" zoomScaleSheetLayoutView="100" workbookViewId="0">
      <selection activeCell="E25" sqref="E25"/>
    </sheetView>
  </sheetViews>
  <sheetFormatPr defaultRowHeight="13.8" x14ac:dyDescent="0.25"/>
  <cols>
    <col min="1" max="1" width="4.109375" customWidth="1"/>
    <col min="2" max="2" width="24.44140625" customWidth="1"/>
    <col min="3" max="7" width="7.5546875" customWidth="1"/>
    <col min="8" max="8" width="8.44140625" customWidth="1"/>
    <col min="9" max="9" width="7.5546875" customWidth="1"/>
    <col min="10" max="10" width="9" customWidth="1"/>
    <col min="11" max="11" width="3.5546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144)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203</v>
      </c>
    </row>
    <row r="8" spans="1:10" s="2" customFormat="1" ht="9.6" customHeight="1" x14ac:dyDescent="0.25">
      <c r="A8" s="380"/>
      <c r="B8" s="380"/>
      <c r="C8" s="380"/>
      <c r="D8" s="380"/>
      <c r="E8" s="380"/>
      <c r="F8" s="380"/>
      <c r="G8" s="380"/>
      <c r="H8" s="380"/>
      <c r="I8" s="380"/>
      <c r="J8" s="109"/>
    </row>
    <row r="9" spans="1:10" s="2" customFormat="1" ht="26.1" customHeight="1" x14ac:dyDescent="0.3">
      <c r="A9" s="1550" t="s">
        <v>696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'202-макароны отвар (150)'!H14+1</f>
        <v>144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381" t="s">
        <v>92</v>
      </c>
      <c r="D17" s="381" t="s">
        <v>94</v>
      </c>
      <c r="E17" s="381" t="s">
        <v>93</v>
      </c>
      <c r="F17" s="381" t="s">
        <v>23</v>
      </c>
      <c r="G17" s="381" t="s">
        <v>92</v>
      </c>
      <c r="H17" s="381" t="s">
        <v>94</v>
      </c>
      <c r="I17" s="381" t="s">
        <v>92</v>
      </c>
      <c r="J17" s="381" t="s">
        <v>94</v>
      </c>
    </row>
    <row r="18" spans="1:10" ht="9.6" customHeight="1" x14ac:dyDescent="0.25">
      <c r="A18" s="381">
        <v>1</v>
      </c>
      <c r="B18" s="382">
        <v>2</v>
      </c>
      <c r="C18" s="381">
        <v>3</v>
      </c>
      <c r="D18" s="382">
        <v>4</v>
      </c>
      <c r="E18" s="381">
        <v>5</v>
      </c>
      <c r="F18" s="382">
        <v>6</v>
      </c>
      <c r="G18" s="381">
        <v>7</v>
      </c>
      <c r="H18" s="382">
        <v>8</v>
      </c>
      <c r="I18" s="381">
        <v>9</v>
      </c>
      <c r="J18" s="382">
        <v>10</v>
      </c>
    </row>
    <row r="19" spans="1:10" s="10" customFormat="1" ht="12" customHeight="1" x14ac:dyDescent="0.25">
      <c r="A19" s="180">
        <v>1</v>
      </c>
      <c r="B19" s="20" t="s">
        <v>197</v>
      </c>
      <c r="C19" s="111">
        <v>0.15</v>
      </c>
      <c r="D19" s="111">
        <v>0.15</v>
      </c>
      <c r="E19" s="13">
        <f>'202-макароны отвар'!F27</f>
        <v>17.920000000000002</v>
      </c>
      <c r="F19" s="13">
        <f>C19*E19</f>
        <v>2.69</v>
      </c>
      <c r="G19" s="97">
        <f>C19*10</f>
        <v>1.5</v>
      </c>
      <c r="H19" s="21">
        <f>D19*10</f>
        <v>1.5</v>
      </c>
      <c r="I19" s="21">
        <f>C19*100</f>
        <v>15</v>
      </c>
      <c r="J19" s="21">
        <f>D19*100</f>
        <v>15</v>
      </c>
    </row>
    <row r="20" spans="1:10" s="10" customFormat="1" ht="12" customHeight="1" x14ac:dyDescent="0.25">
      <c r="A20" s="180">
        <v>2</v>
      </c>
      <c r="B20" s="20" t="s">
        <v>31</v>
      </c>
      <c r="C20" s="111">
        <v>5.0000000000000001E-3</v>
      </c>
      <c r="D20" s="111">
        <v>5.0000000000000001E-3</v>
      </c>
      <c r="E20" s="13">
        <f>цены!F21</f>
        <v>710</v>
      </c>
      <c r="F20" s="13">
        <f>C20*E20</f>
        <v>3.55</v>
      </c>
      <c r="G20" s="97">
        <f>C20*10</f>
        <v>0.05</v>
      </c>
      <c r="H20" s="21">
        <f>D20*10</f>
        <v>0.05</v>
      </c>
      <c r="I20" s="21">
        <f>C20*100</f>
        <v>0.5</v>
      </c>
      <c r="J20" s="21">
        <f>D20*100</f>
        <v>0.5</v>
      </c>
    </row>
    <row r="21" spans="1:10" s="10" customFormat="1" ht="12" customHeight="1" x14ac:dyDescent="0.25">
      <c r="A21" s="184"/>
      <c r="B21" s="93" t="s">
        <v>100</v>
      </c>
      <c r="C21" s="112"/>
      <c r="D21" s="112">
        <v>0.155</v>
      </c>
      <c r="E21" s="95"/>
      <c r="F21" s="95">
        <f>SUM(F19:F20)</f>
        <v>6.24</v>
      </c>
      <c r="G21" s="99"/>
      <c r="H21" s="100">
        <f>D21*10</f>
        <v>1.55</v>
      </c>
      <c r="I21" s="100"/>
      <c r="J21" s="100">
        <f>D21*100</f>
        <v>15.5</v>
      </c>
    </row>
    <row r="22" spans="1:10" s="10" customFormat="1" ht="27.6" customHeight="1" x14ac:dyDescent="0.25">
      <c r="A22" s="1536" t="s">
        <v>35</v>
      </c>
      <c r="B22" s="1536"/>
      <c r="C22" s="90"/>
      <c r="D22" s="90"/>
      <c r="E22" s="13"/>
      <c r="F22" s="13">
        <f>F21</f>
        <v>6.24</v>
      </c>
      <c r="G22" s="383"/>
      <c r="H22" s="383"/>
      <c r="I22" s="21"/>
      <c r="J22" s="13"/>
    </row>
    <row r="23" spans="1:10" s="10" customFormat="1" ht="25.35" customHeight="1" x14ac:dyDescent="0.25">
      <c r="A23" s="1536" t="s">
        <v>36</v>
      </c>
      <c r="B23" s="1536"/>
      <c r="C23" s="90">
        <v>155</v>
      </c>
      <c r="D23" s="90"/>
      <c r="E23" s="13"/>
      <c r="F23" s="13"/>
      <c r="G23" s="13"/>
      <c r="H23" s="13"/>
      <c r="I23" s="21"/>
      <c r="J23" s="17"/>
    </row>
    <row r="24" spans="1:10" s="10" customFormat="1" ht="25.35" customHeight="1" x14ac:dyDescent="0.25">
      <c r="A24" s="1537" t="s">
        <v>37</v>
      </c>
      <c r="B24" s="1538"/>
      <c r="C24" s="91">
        <v>155</v>
      </c>
      <c r="D24" s="92"/>
      <c r="E24" s="382"/>
      <c r="F24" s="382"/>
      <c r="G24" s="382"/>
      <c r="H24" s="382"/>
      <c r="I24" s="21"/>
      <c r="J24" s="17"/>
    </row>
    <row r="25" spans="1:10" s="10" customFormat="1" ht="15" customHeight="1" x14ac:dyDescent="0.25">
      <c r="A25" s="1539" t="s">
        <v>38</v>
      </c>
      <c r="B25" s="1540"/>
      <c r="C25" s="92">
        <f>C23/C24</f>
        <v>1</v>
      </c>
      <c r="D25" s="92"/>
      <c r="E25" s="382"/>
      <c r="F25" s="382"/>
      <c r="G25" s="382"/>
      <c r="H25" s="382"/>
      <c r="I25" s="21"/>
      <c r="J25" s="17"/>
    </row>
    <row r="26" spans="1:10" ht="16.350000000000001" customHeight="1" x14ac:dyDescent="0.25">
      <c r="A26" s="1541" t="s">
        <v>39</v>
      </c>
      <c r="B26" s="1542"/>
      <c r="C26" s="15" t="s">
        <v>40</v>
      </c>
      <c r="D26" s="102"/>
      <c r="E26" s="102" t="s">
        <v>40</v>
      </c>
      <c r="F26" s="16">
        <f>F22/C25</f>
        <v>6.24</v>
      </c>
      <c r="G26" s="16"/>
      <c r="H26" s="16"/>
      <c r="I26" s="102" t="s">
        <v>40</v>
      </c>
      <c r="J26" s="102" t="s">
        <v>40</v>
      </c>
    </row>
    <row r="27" spans="1:10" ht="23.1" customHeight="1" x14ac:dyDescent="0.25">
      <c r="A27" s="1193"/>
      <c r="B27" s="1193"/>
      <c r="C27" s="1193"/>
      <c r="D27" s="1193"/>
      <c r="E27" s="1193"/>
      <c r="F27" s="1193"/>
      <c r="G27" s="1193"/>
      <c r="H27" s="1193"/>
      <c r="I27" s="1193"/>
      <c r="J27" s="1193"/>
    </row>
    <row r="28" spans="1:10" ht="13.95" customHeight="1" x14ac:dyDescent="0.25">
      <c r="A28" s="1193"/>
      <c r="B28" s="1194" t="s">
        <v>49</v>
      </c>
      <c r="C28" s="1198"/>
      <c r="D28" s="1198"/>
      <c r="E28" s="1198"/>
      <c r="F28" s="1198"/>
      <c r="G28" s="1193"/>
      <c r="H28" s="1557">
        <f>'1-бутерброд с маслом'!$H$28</f>
        <v>0</v>
      </c>
      <c r="I28" s="1557"/>
      <c r="J28" s="1557"/>
    </row>
    <row r="29" spans="1:10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0" ht="13.95" customHeight="1" x14ac:dyDescent="0.25">
      <c r="A30" s="1545" t="s">
        <v>327</v>
      </c>
      <c r="B30" s="1545"/>
      <c r="C30" s="1546" t="s">
        <v>328</v>
      </c>
      <c r="D30" s="1546"/>
      <c r="E30" s="1546"/>
      <c r="F30" s="1546"/>
      <c r="G30" s="106"/>
      <c r="H30" s="1531"/>
      <c r="I30" s="1531"/>
      <c r="J30" s="1531"/>
    </row>
    <row r="31" spans="1:10" x14ac:dyDescent="0.25">
      <c r="A31" s="1193"/>
      <c r="B31" s="1193"/>
      <c r="C31" s="1546"/>
      <c r="D31" s="1546"/>
      <c r="E31" s="1546"/>
      <c r="F31" s="1546"/>
      <c r="G31" s="1193"/>
      <c r="H31" s="1531" t="s">
        <v>329</v>
      </c>
      <c r="I31" s="1531"/>
      <c r="J31" s="1531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0:B30"/>
    <mergeCell ref="C30:F31"/>
    <mergeCell ref="H30:J30"/>
    <mergeCell ref="H31:J31"/>
    <mergeCell ref="A23:B23"/>
    <mergeCell ref="A24:B24"/>
    <mergeCell ref="A25:B25"/>
    <mergeCell ref="A26:B26"/>
    <mergeCell ref="H28:J28"/>
    <mergeCell ref="A22:B22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75E5"/>
  </sheetPr>
  <dimension ref="A1:J30"/>
  <sheetViews>
    <sheetView view="pageBreakPreview" topLeftCell="A16" zoomScaleNormal="100" zoomScaleSheetLayoutView="100" workbookViewId="0">
      <selection activeCell="A26" sqref="A26:J30"/>
    </sheetView>
  </sheetViews>
  <sheetFormatPr defaultRowHeight="13.8" x14ac:dyDescent="0.25"/>
  <cols>
    <col min="1" max="1" width="4.109375" customWidth="1"/>
    <col min="2" max="2" width="20.5546875" customWidth="1"/>
    <col min="3" max="7" width="7.5546875" customWidth="1"/>
    <col min="8" max="8" width="8.88671875" customWidth="1"/>
    <col min="9" max="9" width="7.5546875" customWidth="1"/>
    <col min="10" max="10" width="9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10)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290"/>
      <c r="I6" s="290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15</v>
      </c>
    </row>
    <row r="8" spans="1:10" s="2" customFormat="1" ht="9.6" customHeight="1" x14ac:dyDescent="0.25">
      <c r="A8" s="291"/>
      <c r="B8" s="291"/>
      <c r="C8" s="291"/>
      <c r="D8" s="291"/>
      <c r="E8" s="291"/>
      <c r="F8" s="291"/>
      <c r="G8" s="291"/>
      <c r="H8" s="291"/>
      <c r="I8" s="291"/>
      <c r="J8" s="109"/>
    </row>
    <row r="9" spans="1:10" s="2" customFormat="1" ht="26.1" customHeight="1" x14ac:dyDescent="0.3">
      <c r="A9" s="1550" t="s">
        <v>1308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'14-масло'!H14+1</f>
        <v>10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87" t="s">
        <v>92</v>
      </c>
      <c r="D17" s="287" t="s">
        <v>94</v>
      </c>
      <c r="E17" s="287" t="s">
        <v>93</v>
      </c>
      <c r="F17" s="287" t="s">
        <v>23</v>
      </c>
      <c r="G17" s="287" t="s">
        <v>92</v>
      </c>
      <c r="H17" s="287" t="s">
        <v>94</v>
      </c>
      <c r="I17" s="287" t="s">
        <v>92</v>
      </c>
      <c r="J17" s="287" t="s">
        <v>94</v>
      </c>
    </row>
    <row r="18" spans="1:10" ht="9.6" customHeight="1" x14ac:dyDescent="0.25">
      <c r="A18" s="287">
        <v>1</v>
      </c>
      <c r="B18" s="289">
        <v>2</v>
      </c>
      <c r="C18" s="287">
        <v>3</v>
      </c>
      <c r="D18" s="289">
        <v>4</v>
      </c>
      <c r="E18" s="287">
        <v>5</v>
      </c>
      <c r="F18" s="289">
        <v>6</v>
      </c>
      <c r="G18" s="287">
        <v>7</v>
      </c>
      <c r="H18" s="289">
        <v>8</v>
      </c>
      <c r="I18" s="287">
        <v>9</v>
      </c>
      <c r="J18" s="289">
        <v>10</v>
      </c>
    </row>
    <row r="19" spans="1:10" ht="14.1" customHeight="1" x14ac:dyDescent="0.25">
      <c r="A19" s="287">
        <v>1</v>
      </c>
      <c r="B19" s="181" t="s">
        <v>323</v>
      </c>
      <c r="C19" s="301">
        <v>3.2000000000000001E-2</v>
      </c>
      <c r="D19" s="92">
        <v>0.03</v>
      </c>
      <c r="E19" s="182">
        <f>цены!F22</f>
        <v>719</v>
      </c>
      <c r="F19" s="13">
        <f>C19*E19</f>
        <v>23.01</v>
      </c>
      <c r="G19" s="97">
        <f>C19*10</f>
        <v>0.32</v>
      </c>
      <c r="H19" s="21">
        <f>D19*10</f>
        <v>0.3</v>
      </c>
      <c r="I19" s="21">
        <f>C19*100</f>
        <v>3.2</v>
      </c>
      <c r="J19" s="21">
        <f>D19*100</f>
        <v>3</v>
      </c>
    </row>
    <row r="20" spans="1:10" s="10" customFormat="1" ht="12" customHeight="1" x14ac:dyDescent="0.25">
      <c r="A20" s="98"/>
      <c r="B20" s="93" t="s">
        <v>100</v>
      </c>
      <c r="C20" s="100"/>
      <c r="D20" s="1028">
        <v>30</v>
      </c>
      <c r="E20" s="95"/>
      <c r="F20" s="95">
        <f>SUM(F19:F19)</f>
        <v>23.01</v>
      </c>
      <c r="G20" s="99"/>
      <c r="H20" s="1028">
        <f>D20*10</f>
        <v>300</v>
      </c>
      <c r="I20" s="1028"/>
      <c r="J20" s="1028">
        <f>D20*100</f>
        <v>3000</v>
      </c>
    </row>
    <row r="21" spans="1:10" s="10" customFormat="1" ht="27.6" customHeight="1" x14ac:dyDescent="0.25">
      <c r="A21" s="1536" t="s">
        <v>35</v>
      </c>
      <c r="B21" s="1536"/>
      <c r="C21" s="90"/>
      <c r="D21" s="90"/>
      <c r="E21" s="13"/>
      <c r="F21" s="13">
        <f>F20</f>
        <v>23.01</v>
      </c>
      <c r="G21" s="288"/>
      <c r="H21" s="288"/>
      <c r="I21" s="21"/>
      <c r="J21" s="13"/>
    </row>
    <row r="22" spans="1:10" s="10" customFormat="1" ht="25.35" customHeight="1" x14ac:dyDescent="0.25">
      <c r="A22" s="1536" t="s">
        <v>36</v>
      </c>
      <c r="B22" s="1536"/>
      <c r="C22" s="866">
        <v>30</v>
      </c>
      <c r="D22" s="90"/>
      <c r="E22" s="13"/>
      <c r="F22" s="13"/>
      <c r="G22" s="13"/>
      <c r="H22" s="13"/>
      <c r="I22" s="21"/>
      <c r="J22" s="17"/>
    </row>
    <row r="23" spans="1:10" s="10" customFormat="1" ht="25.35" customHeight="1" x14ac:dyDescent="0.25">
      <c r="A23" s="1537" t="s">
        <v>37</v>
      </c>
      <c r="B23" s="1538"/>
      <c r="C23" s="1071">
        <v>30</v>
      </c>
      <c r="D23" s="92"/>
      <c r="E23" s="289"/>
      <c r="F23" s="289"/>
      <c r="G23" s="289"/>
      <c r="H23" s="289"/>
      <c r="I23" s="21"/>
      <c r="J23" s="17"/>
    </row>
    <row r="24" spans="1:10" s="10" customFormat="1" ht="15" customHeight="1" x14ac:dyDescent="0.25">
      <c r="A24" s="1539" t="s">
        <v>38</v>
      </c>
      <c r="B24" s="1540"/>
      <c r="C24" s="245">
        <f>C22/C23</f>
        <v>1</v>
      </c>
      <c r="D24" s="92"/>
      <c r="E24" s="289"/>
      <c r="F24" s="289"/>
      <c r="G24" s="289"/>
      <c r="H24" s="289"/>
      <c r="I24" s="21"/>
      <c r="J24" s="17"/>
    </row>
    <row r="25" spans="1:10" ht="16.350000000000001" customHeight="1" x14ac:dyDescent="0.25">
      <c r="A25" s="1541" t="s">
        <v>39</v>
      </c>
      <c r="B25" s="1542"/>
      <c r="C25" s="15" t="s">
        <v>40</v>
      </c>
      <c r="D25" s="102"/>
      <c r="E25" s="102" t="s">
        <v>40</v>
      </c>
      <c r="F25" s="16">
        <f>F21/C24</f>
        <v>23.01</v>
      </c>
      <c r="G25" s="16"/>
      <c r="H25" s="16"/>
      <c r="I25" s="102" t="s">
        <v>40</v>
      </c>
      <c r="J25" s="102" t="s">
        <v>40</v>
      </c>
    </row>
    <row r="26" spans="1:10" x14ac:dyDescent="0.25">
      <c r="A26" s="1193"/>
      <c r="B26" s="1193"/>
      <c r="C26" s="1193"/>
      <c r="D26" s="1193"/>
      <c r="E26" s="1193"/>
      <c r="F26" s="1193"/>
      <c r="G26" s="1193"/>
      <c r="H26" s="1193"/>
      <c r="I26" s="1193"/>
      <c r="J26" s="1193"/>
    </row>
    <row r="27" spans="1:10" ht="13.95" customHeight="1" x14ac:dyDescent="0.25">
      <c r="A27" s="1193"/>
      <c r="B27" s="1194" t="s">
        <v>49</v>
      </c>
      <c r="C27" s="1198"/>
      <c r="D27" s="1198"/>
      <c r="E27" s="1198"/>
      <c r="F27" s="1198"/>
      <c r="G27" s="1193"/>
      <c r="H27" s="1557">
        <f>'1-бутерброд с маслом'!$H$28</f>
        <v>0</v>
      </c>
      <c r="I27" s="1557"/>
      <c r="J27" s="1557"/>
    </row>
    <row r="28" spans="1:10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545" t="s">
        <v>327</v>
      </c>
      <c r="B29" s="1545"/>
      <c r="C29" s="1546" t="s">
        <v>328</v>
      </c>
      <c r="D29" s="1546"/>
      <c r="E29" s="1546"/>
      <c r="F29" s="1546"/>
      <c r="G29" s="106"/>
      <c r="H29" s="1531"/>
      <c r="I29" s="1531"/>
      <c r="J29" s="1531"/>
    </row>
    <row r="30" spans="1:10" x14ac:dyDescent="0.25">
      <c r="A30" s="1193"/>
      <c r="B30" s="1193"/>
      <c r="C30" s="1546"/>
      <c r="D30" s="1546"/>
      <c r="E30" s="1546"/>
      <c r="F30" s="1546"/>
      <c r="G30" s="1193"/>
      <c r="H30" s="1531" t="s">
        <v>329</v>
      </c>
      <c r="I30" s="1531"/>
      <c r="J30" s="1531"/>
    </row>
  </sheetData>
  <mergeCells count="28">
    <mergeCell ref="A13:G13"/>
    <mergeCell ref="H27:J27"/>
    <mergeCell ref="A22:B22"/>
    <mergeCell ref="A23:B23"/>
    <mergeCell ref="A24:B24"/>
    <mergeCell ref="A25:B25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29:B29"/>
    <mergeCell ref="C29:F30"/>
    <mergeCell ref="H29:J29"/>
    <mergeCell ref="H30:J30"/>
    <mergeCell ref="H5:I5"/>
    <mergeCell ref="A6:G6"/>
    <mergeCell ref="A7:I7"/>
    <mergeCell ref="A21:B21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M36"/>
  <sheetViews>
    <sheetView view="pageBreakPreview" topLeftCell="A7" zoomScaleNormal="100" zoomScaleSheetLayoutView="100" workbookViewId="0">
      <selection activeCell="R14" sqref="R14"/>
    </sheetView>
  </sheetViews>
  <sheetFormatPr defaultRowHeight="13.8" x14ac:dyDescent="0.25"/>
  <cols>
    <col min="1" max="1" width="4.109375" customWidth="1"/>
    <col min="2" max="2" width="24.44140625" customWidth="1"/>
    <col min="3" max="7" width="7.5546875" customWidth="1"/>
    <col min="8" max="8" width="8.44140625" customWidth="1"/>
    <col min="9" max="9" width="7.5546875" customWidth="1"/>
    <col min="10" max="10" width="9" customWidth="1"/>
    <col min="11" max="11" width="2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145)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204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198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'203-макароны'!H14+1</f>
        <v>145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3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3" s="10" customFormat="1" ht="12" customHeight="1" x14ac:dyDescent="0.25">
      <c r="A19" s="180">
        <v>1</v>
      </c>
      <c r="B19" s="20" t="s">
        <v>197</v>
      </c>
      <c r="C19" s="111">
        <v>0.125</v>
      </c>
      <c r="D19" s="111">
        <v>0.125</v>
      </c>
      <c r="E19" s="13">
        <f>'202-макароны отвар'!F27</f>
        <v>17.920000000000002</v>
      </c>
      <c r="F19" s="13">
        <f>C19*E19</f>
        <v>2.2400000000000002</v>
      </c>
      <c r="G19" s="97">
        <f t="shared" ref="G19:H21" si="0">C19*10</f>
        <v>1.25</v>
      </c>
      <c r="H19" s="21">
        <f t="shared" si="0"/>
        <v>1.25</v>
      </c>
      <c r="I19" s="21">
        <f t="shared" ref="I19:J21" si="1">C19*100</f>
        <v>12.5</v>
      </c>
      <c r="J19" s="21">
        <f t="shared" si="1"/>
        <v>12.5</v>
      </c>
      <c r="L19" s="1224">
        <f>C19/C$26</f>
        <v>0.125</v>
      </c>
      <c r="M19" s="1224">
        <f>F19/C$26</f>
        <v>2.2400000000000002</v>
      </c>
    </row>
    <row r="20" spans="1:13" s="10" customFormat="1" ht="12" customHeight="1" x14ac:dyDescent="0.25">
      <c r="A20" s="180">
        <v>2</v>
      </c>
      <c r="B20" s="20" t="s">
        <v>31</v>
      </c>
      <c r="C20" s="111">
        <v>6.0000000000000001E-3</v>
      </c>
      <c r="D20" s="111">
        <v>6.0000000000000001E-3</v>
      </c>
      <c r="E20" s="13">
        <f>цены!F21</f>
        <v>710</v>
      </c>
      <c r="F20" s="408">
        <f t="shared" ref="F20:F21" si="2">C20*E20</f>
        <v>4.26</v>
      </c>
      <c r="G20" s="97">
        <f t="shared" si="0"/>
        <v>0.06</v>
      </c>
      <c r="H20" s="21">
        <f t="shared" si="0"/>
        <v>0.06</v>
      </c>
      <c r="I20" s="21">
        <f t="shared" si="1"/>
        <v>0.6</v>
      </c>
      <c r="J20" s="21">
        <f t="shared" si="1"/>
        <v>0.6</v>
      </c>
      <c r="L20" s="1224">
        <f t="shared" ref="L20:L21" si="3">C20/C$26</f>
        <v>6.0000000000000001E-3</v>
      </c>
      <c r="M20" s="1224">
        <f t="shared" ref="M20:M21" si="4">F20/C$26</f>
        <v>4.26</v>
      </c>
    </row>
    <row r="21" spans="1:13" s="10" customFormat="1" ht="12" customHeight="1" x14ac:dyDescent="0.25">
      <c r="A21" s="180">
        <v>3</v>
      </c>
      <c r="B21" s="20" t="s">
        <v>323</v>
      </c>
      <c r="C21" s="111">
        <v>2.75E-2</v>
      </c>
      <c r="D21" s="111">
        <v>2.5000000000000001E-2</v>
      </c>
      <c r="E21" s="13">
        <f>цены!F22</f>
        <v>719</v>
      </c>
      <c r="F21" s="408">
        <f t="shared" si="2"/>
        <v>19.77</v>
      </c>
      <c r="G21" s="97">
        <f t="shared" si="0"/>
        <v>0.27500000000000002</v>
      </c>
      <c r="H21" s="21">
        <f t="shared" si="0"/>
        <v>0.25</v>
      </c>
      <c r="I21" s="21">
        <f t="shared" si="1"/>
        <v>2.75</v>
      </c>
      <c r="J21" s="21">
        <f t="shared" si="1"/>
        <v>2.5</v>
      </c>
      <c r="L21" s="1224">
        <f t="shared" si="3"/>
        <v>2.75E-2</v>
      </c>
      <c r="M21" s="1224">
        <f t="shared" si="4"/>
        <v>19.77</v>
      </c>
    </row>
    <row r="22" spans="1:13" s="10" customFormat="1" ht="12" customHeight="1" x14ac:dyDescent="0.25">
      <c r="A22" s="184"/>
      <c r="B22" s="93" t="s">
        <v>100</v>
      </c>
      <c r="C22" s="112"/>
      <c r="D22" s="1028">
        <v>156</v>
      </c>
      <c r="E22" s="95"/>
      <c r="F22" s="95">
        <f>SUM(F19:F21)</f>
        <v>26.27</v>
      </c>
      <c r="G22" s="99"/>
      <c r="H22" s="1028">
        <f>D22*10</f>
        <v>1560</v>
      </c>
      <c r="I22" s="1028"/>
      <c r="J22" s="1028">
        <f>D22*100</f>
        <v>15600</v>
      </c>
      <c r="L22" s="1224">
        <f>SUM(L19:L21)</f>
        <v>0.1585</v>
      </c>
      <c r="M22" s="1224">
        <f>SUM(M19:M21)</f>
        <v>26.27</v>
      </c>
    </row>
    <row r="23" spans="1:13" s="10" customFormat="1" ht="27.6" customHeight="1" x14ac:dyDescent="0.25">
      <c r="A23" s="1536" t="s">
        <v>35</v>
      </c>
      <c r="B23" s="1536"/>
      <c r="C23" s="90"/>
      <c r="D23" s="90"/>
      <c r="E23" s="13"/>
      <c r="F23" s="13">
        <f>F22</f>
        <v>26.27</v>
      </c>
      <c r="G23" s="14"/>
      <c r="H23" s="14"/>
      <c r="I23" s="21"/>
      <c r="J23" s="13"/>
    </row>
    <row r="24" spans="1:13" s="10" customFormat="1" ht="25.35" customHeight="1" x14ac:dyDescent="0.25">
      <c r="A24" s="1536" t="s">
        <v>36</v>
      </c>
      <c r="B24" s="1536"/>
      <c r="C24" s="90">
        <v>156</v>
      </c>
      <c r="D24" s="90"/>
      <c r="E24" s="13"/>
      <c r="F24" s="13"/>
      <c r="G24" s="13"/>
      <c r="H24" s="13"/>
      <c r="I24" s="21"/>
      <c r="J24" s="17"/>
    </row>
    <row r="25" spans="1:13" s="10" customFormat="1" ht="25.35" customHeight="1" x14ac:dyDescent="0.25">
      <c r="A25" s="1537" t="s">
        <v>37</v>
      </c>
      <c r="B25" s="1538"/>
      <c r="C25" s="91">
        <v>156</v>
      </c>
      <c r="D25" s="92"/>
      <c r="E25" s="5"/>
      <c r="F25" s="5"/>
      <c r="G25" s="5"/>
      <c r="H25" s="5"/>
      <c r="I25" s="21"/>
      <c r="J25" s="17"/>
    </row>
    <row r="26" spans="1:13" s="10" customFormat="1" ht="15" customHeight="1" x14ac:dyDescent="0.25">
      <c r="A26" s="1539" t="s">
        <v>38</v>
      </c>
      <c r="B26" s="1540"/>
      <c r="C26" s="92">
        <f>C24/C25</f>
        <v>1</v>
      </c>
      <c r="D26" s="92"/>
      <c r="E26" s="5"/>
      <c r="F26" s="5"/>
      <c r="G26" s="5"/>
      <c r="H26" s="5"/>
      <c r="I26" s="21"/>
      <c r="J26" s="17"/>
    </row>
    <row r="27" spans="1:13" ht="16.350000000000001" customHeight="1" x14ac:dyDescent="0.25">
      <c r="A27" s="1541" t="s">
        <v>39</v>
      </c>
      <c r="B27" s="1542"/>
      <c r="C27" s="15" t="s">
        <v>40</v>
      </c>
      <c r="D27" s="102"/>
      <c r="E27" s="102" t="s">
        <v>40</v>
      </c>
      <c r="F27" s="16">
        <f>F23/C26</f>
        <v>26.27</v>
      </c>
      <c r="G27" s="16"/>
      <c r="H27" s="16"/>
      <c r="I27" s="102" t="s">
        <v>40</v>
      </c>
      <c r="J27" s="102" t="s">
        <v>40</v>
      </c>
    </row>
    <row r="28" spans="1:13" ht="23.1" customHeight="1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3" ht="13.95" customHeight="1" x14ac:dyDescent="0.25">
      <c r="A29" s="1193"/>
      <c r="B29" s="1194" t="s">
        <v>49</v>
      </c>
      <c r="C29" s="1198"/>
      <c r="D29" s="1198"/>
      <c r="E29" s="1198"/>
      <c r="F29" s="1198"/>
      <c r="G29" s="1193"/>
      <c r="H29" s="1557">
        <f>'1-бутерброд с маслом'!$H$28</f>
        <v>0</v>
      </c>
      <c r="I29" s="1557"/>
      <c r="J29" s="1557"/>
    </row>
    <row r="30" spans="1:13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3" ht="13.95" customHeight="1" x14ac:dyDescent="0.25">
      <c r="A31" s="1545" t="s">
        <v>327</v>
      </c>
      <c r="B31" s="1545"/>
      <c r="C31" s="1546" t="s">
        <v>328</v>
      </c>
      <c r="D31" s="1546"/>
      <c r="E31" s="1546"/>
      <c r="F31" s="1546"/>
      <c r="G31" s="106"/>
      <c r="H31" s="1531"/>
      <c r="I31" s="1531"/>
      <c r="J31" s="1531"/>
    </row>
    <row r="32" spans="1:13" x14ac:dyDescent="0.25">
      <c r="A32" s="1193"/>
      <c r="B32" s="1193"/>
      <c r="C32" s="1546"/>
      <c r="D32" s="1546"/>
      <c r="E32" s="1546"/>
      <c r="F32" s="1546"/>
      <c r="G32" s="1193"/>
      <c r="H32" s="1531" t="s">
        <v>329</v>
      </c>
      <c r="I32" s="1531"/>
      <c r="J32" s="1531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1:B31"/>
    <mergeCell ref="C31:F32"/>
    <mergeCell ref="H31:J31"/>
    <mergeCell ref="H32:J32"/>
    <mergeCell ref="A24:B24"/>
    <mergeCell ref="A25:B25"/>
    <mergeCell ref="A26:B26"/>
    <mergeCell ref="A27:B27"/>
    <mergeCell ref="H29:J29"/>
    <mergeCell ref="A23:B23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40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4.44140625" customWidth="1"/>
    <col min="3" max="7" width="7.5546875" customWidth="1"/>
    <col min="8" max="8" width="8.44140625" customWidth="1"/>
    <col min="9" max="9" width="7.5546875" customWidth="1"/>
    <col min="10" max="10" width="9" customWidth="1"/>
    <col min="11" max="11" width="4.441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146)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205</v>
      </c>
    </row>
    <row r="8" spans="1:10" s="2" customFormat="1" ht="9.6" customHeight="1" x14ac:dyDescent="0.25">
      <c r="A8" s="185"/>
      <c r="B8" s="185"/>
      <c r="C8" s="185"/>
      <c r="D8" s="185"/>
      <c r="E8" s="185"/>
      <c r="F8" s="185"/>
      <c r="G8" s="185"/>
      <c r="H8" s="185"/>
      <c r="I8" s="185"/>
      <c r="J8" s="109"/>
    </row>
    <row r="9" spans="1:10" s="2" customFormat="1" ht="26.1" customHeight="1" x14ac:dyDescent="0.3">
      <c r="A9" s="1550" t="s">
        <v>380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'204-макароны с сыр'!H14+1</f>
        <v>146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186" t="s">
        <v>92</v>
      </c>
      <c r="D17" s="186" t="s">
        <v>94</v>
      </c>
      <c r="E17" s="186" t="s">
        <v>93</v>
      </c>
      <c r="F17" s="186" t="s">
        <v>23</v>
      </c>
      <c r="G17" s="186" t="s">
        <v>92</v>
      </c>
      <c r="H17" s="186" t="s">
        <v>94</v>
      </c>
      <c r="I17" s="186" t="s">
        <v>92</v>
      </c>
      <c r="J17" s="186" t="s">
        <v>94</v>
      </c>
    </row>
    <row r="18" spans="1:10" ht="9.6" customHeight="1" x14ac:dyDescent="0.25">
      <c r="A18" s="186">
        <v>1</v>
      </c>
      <c r="B18" s="187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2" customHeight="1" x14ac:dyDescent="0.25">
      <c r="A19" s="180">
        <v>1</v>
      </c>
      <c r="B19" s="20" t="s">
        <v>197</v>
      </c>
      <c r="C19" s="111">
        <v>0.1</v>
      </c>
      <c r="D19" s="111">
        <v>0.1</v>
      </c>
      <c r="E19" s="13">
        <f>'202-макароны отвар'!F27</f>
        <v>17.920000000000002</v>
      </c>
      <c r="F19" s="13">
        <f t="shared" ref="F19:F24" si="0">C19*E19</f>
        <v>1.79</v>
      </c>
      <c r="G19" s="97">
        <f t="shared" ref="G19:H24" si="1">C19*10</f>
        <v>1</v>
      </c>
      <c r="H19" s="21">
        <f t="shared" si="1"/>
        <v>1</v>
      </c>
      <c r="I19" s="21">
        <f t="shared" ref="I19:J24" si="2">C19*100</f>
        <v>10</v>
      </c>
      <c r="J19" s="21">
        <f t="shared" si="2"/>
        <v>10</v>
      </c>
    </row>
    <row r="20" spans="1:10" s="10" customFormat="1" ht="12" customHeight="1" x14ac:dyDescent="0.25">
      <c r="A20" s="180">
        <v>2</v>
      </c>
      <c r="B20" s="20" t="s">
        <v>47</v>
      </c>
      <c r="C20" s="111">
        <v>1.2500000000000001E-2</v>
      </c>
      <c r="D20" s="111">
        <v>0.01</v>
      </c>
      <c r="E20" s="13">
        <f>цены!F44</f>
        <v>50</v>
      </c>
      <c r="F20" s="13">
        <f t="shared" si="0"/>
        <v>0.63</v>
      </c>
      <c r="G20" s="97">
        <f t="shared" si="1"/>
        <v>0.125</v>
      </c>
      <c r="H20" s="21">
        <f t="shared" si="1"/>
        <v>0.1</v>
      </c>
      <c r="I20" s="21">
        <f t="shared" si="2"/>
        <v>1.25</v>
      </c>
      <c r="J20" s="21">
        <f t="shared" si="2"/>
        <v>1</v>
      </c>
    </row>
    <row r="21" spans="1:10" s="10" customFormat="1" ht="12" customHeight="1" x14ac:dyDescent="0.25">
      <c r="A21" s="180">
        <v>3</v>
      </c>
      <c r="B21" s="20" t="s">
        <v>102</v>
      </c>
      <c r="C21" s="111">
        <v>4.4999999999999997E-3</v>
      </c>
      <c r="D21" s="111">
        <v>4.0000000000000001E-3</v>
      </c>
      <c r="E21" s="13">
        <f>цены!F47</f>
        <v>300</v>
      </c>
      <c r="F21" s="13">
        <f t="shared" si="0"/>
        <v>1.35</v>
      </c>
      <c r="G21" s="97">
        <f t="shared" si="1"/>
        <v>4.4999999999999998E-2</v>
      </c>
      <c r="H21" s="21">
        <f t="shared" si="1"/>
        <v>0.04</v>
      </c>
      <c r="I21" s="21">
        <f t="shared" si="2"/>
        <v>0.45</v>
      </c>
      <c r="J21" s="21">
        <f t="shared" si="2"/>
        <v>0.4</v>
      </c>
    </row>
    <row r="22" spans="1:10" s="10" customFormat="1" ht="12" customHeight="1" x14ac:dyDescent="0.25">
      <c r="A22" s="180">
        <v>4</v>
      </c>
      <c r="B22" s="20" t="s">
        <v>48</v>
      </c>
      <c r="C22" s="111">
        <v>9.4999999999999998E-3</v>
      </c>
      <c r="D22" s="111">
        <v>8.0000000000000002E-3</v>
      </c>
      <c r="E22" s="13">
        <f>цены!F38</f>
        <v>50</v>
      </c>
      <c r="F22" s="13">
        <f t="shared" si="0"/>
        <v>0.48</v>
      </c>
      <c r="G22" s="97">
        <f t="shared" si="1"/>
        <v>9.5000000000000001E-2</v>
      </c>
      <c r="H22" s="21">
        <f t="shared" si="1"/>
        <v>0.08</v>
      </c>
      <c r="I22" s="21">
        <f t="shared" si="2"/>
        <v>0.95</v>
      </c>
      <c r="J22" s="21">
        <f t="shared" si="2"/>
        <v>0.8</v>
      </c>
    </row>
    <row r="23" spans="1:10" s="10" customFormat="1" ht="12" customHeight="1" x14ac:dyDescent="0.25">
      <c r="A23" s="180">
        <v>5</v>
      </c>
      <c r="B23" s="20" t="s">
        <v>46</v>
      </c>
      <c r="C23" s="111">
        <v>7.0000000000000001E-3</v>
      </c>
      <c r="D23" s="111">
        <v>7.0000000000000001E-3</v>
      </c>
      <c r="E23" s="13">
        <f>цены!F113</f>
        <v>230</v>
      </c>
      <c r="F23" s="13">
        <f t="shared" si="0"/>
        <v>1.61</v>
      </c>
      <c r="G23" s="97">
        <f t="shared" si="1"/>
        <v>7.0000000000000007E-2</v>
      </c>
      <c r="H23" s="21">
        <f t="shared" si="1"/>
        <v>7.0000000000000007E-2</v>
      </c>
      <c r="I23" s="21">
        <f t="shared" si="2"/>
        <v>0.7</v>
      </c>
      <c r="J23" s="21">
        <f t="shared" si="2"/>
        <v>0.7</v>
      </c>
    </row>
    <row r="24" spans="1:10" s="10" customFormat="1" ht="12" customHeight="1" x14ac:dyDescent="0.25">
      <c r="A24" s="180">
        <v>6</v>
      </c>
      <c r="B24" s="20" t="s">
        <v>74</v>
      </c>
      <c r="C24" s="111">
        <v>5.0000000000000001E-3</v>
      </c>
      <c r="D24" s="111">
        <v>5.0000000000000001E-3</v>
      </c>
      <c r="E24" s="13">
        <f>цены!F87</f>
        <v>120</v>
      </c>
      <c r="F24" s="13">
        <f t="shared" si="0"/>
        <v>0.6</v>
      </c>
      <c r="G24" s="97">
        <f t="shared" si="1"/>
        <v>0.05</v>
      </c>
      <c r="H24" s="21">
        <f t="shared" si="1"/>
        <v>0.05</v>
      </c>
      <c r="I24" s="21">
        <f t="shared" si="2"/>
        <v>0.5</v>
      </c>
      <c r="J24" s="21">
        <f t="shared" si="2"/>
        <v>0.5</v>
      </c>
    </row>
    <row r="25" spans="1:10" s="10" customFormat="1" ht="12" customHeight="1" x14ac:dyDescent="0.25">
      <c r="A25" s="184"/>
      <c r="B25" s="93" t="s">
        <v>381</v>
      </c>
      <c r="C25" s="112"/>
      <c r="D25" s="112">
        <v>2.5000000000000001E-2</v>
      </c>
      <c r="E25" s="95"/>
      <c r="F25" s="95"/>
      <c r="G25" s="99"/>
      <c r="H25" s="100"/>
      <c r="I25" s="100"/>
      <c r="J25" s="100"/>
    </row>
    <row r="26" spans="1:10" s="10" customFormat="1" ht="12" customHeight="1" x14ac:dyDescent="0.25">
      <c r="A26" s="184"/>
      <c r="B26" s="93" t="s">
        <v>100</v>
      </c>
      <c r="C26" s="112"/>
      <c r="D26" s="112">
        <v>0.125</v>
      </c>
      <c r="E26" s="95"/>
      <c r="F26" s="95">
        <f>SUM(F19:F24)</f>
        <v>6.46</v>
      </c>
      <c r="G26" s="99"/>
      <c r="H26" s="100">
        <f>D26*10</f>
        <v>1.25</v>
      </c>
      <c r="I26" s="100"/>
      <c r="J26" s="100">
        <f>D26*100</f>
        <v>12.5</v>
      </c>
    </row>
    <row r="27" spans="1:10" s="10" customFormat="1" ht="27.6" customHeight="1" x14ac:dyDescent="0.25">
      <c r="A27" s="1536" t="s">
        <v>35</v>
      </c>
      <c r="B27" s="1536"/>
      <c r="C27" s="90"/>
      <c r="D27" s="90"/>
      <c r="E27" s="13"/>
      <c r="F27" s="13">
        <f>F26</f>
        <v>6.46</v>
      </c>
      <c r="G27" s="188"/>
      <c r="H27" s="188"/>
      <c r="I27" s="21"/>
      <c r="J27" s="13"/>
    </row>
    <row r="28" spans="1:10" s="10" customFormat="1" ht="25.35" customHeight="1" x14ac:dyDescent="0.25">
      <c r="A28" s="1536" t="s">
        <v>36</v>
      </c>
      <c r="B28" s="1536"/>
      <c r="C28" s="90">
        <v>125</v>
      </c>
      <c r="D28" s="90"/>
      <c r="E28" s="13"/>
      <c r="F28" s="13"/>
      <c r="G28" s="13"/>
      <c r="H28" s="13"/>
      <c r="I28" s="21"/>
      <c r="J28" s="17"/>
    </row>
    <row r="29" spans="1:10" s="10" customFormat="1" ht="25.35" customHeight="1" x14ac:dyDescent="0.25">
      <c r="A29" s="1537" t="s">
        <v>37</v>
      </c>
      <c r="B29" s="1538"/>
      <c r="C29" s="91">
        <v>125</v>
      </c>
      <c r="D29" s="92"/>
      <c r="E29" s="187"/>
      <c r="F29" s="187"/>
      <c r="G29" s="187"/>
      <c r="H29" s="187"/>
      <c r="I29" s="21"/>
      <c r="J29" s="17"/>
    </row>
    <row r="30" spans="1:10" s="10" customFormat="1" ht="15" customHeight="1" x14ac:dyDescent="0.25">
      <c r="A30" s="1539" t="s">
        <v>38</v>
      </c>
      <c r="B30" s="1540"/>
      <c r="C30" s="92">
        <f>C28/C29</f>
        <v>1</v>
      </c>
      <c r="D30" s="92"/>
      <c r="E30" s="187"/>
      <c r="F30" s="187"/>
      <c r="G30" s="187"/>
      <c r="H30" s="187"/>
      <c r="I30" s="21"/>
      <c r="J30" s="17"/>
    </row>
    <row r="31" spans="1:10" ht="16.350000000000001" customHeight="1" x14ac:dyDescent="0.25">
      <c r="A31" s="1541" t="s">
        <v>39</v>
      </c>
      <c r="B31" s="1542"/>
      <c r="C31" s="15" t="s">
        <v>40</v>
      </c>
      <c r="D31" s="102"/>
      <c r="E31" s="102" t="s">
        <v>40</v>
      </c>
      <c r="F31" s="16">
        <f>F27/C30</f>
        <v>6.46</v>
      </c>
      <c r="G31" s="16"/>
      <c r="H31" s="16"/>
      <c r="I31" s="102" t="s">
        <v>40</v>
      </c>
      <c r="J31" s="102" t="s">
        <v>40</v>
      </c>
    </row>
    <row r="32" spans="1:10" ht="23.1" customHeight="1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193"/>
      <c r="B33" s="1194" t="s">
        <v>49</v>
      </c>
      <c r="C33" s="1198"/>
      <c r="D33" s="1198"/>
      <c r="E33" s="1198"/>
      <c r="F33" s="1198"/>
      <c r="G33" s="1193"/>
      <c r="H33" s="1557">
        <f>'1-бутерброд с маслом'!$H$28</f>
        <v>0</v>
      </c>
      <c r="I33" s="1557"/>
      <c r="J33" s="1557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545" t="s">
        <v>327</v>
      </c>
      <c r="B35" s="1545"/>
      <c r="C35" s="1546" t="s">
        <v>328</v>
      </c>
      <c r="D35" s="1546"/>
      <c r="E35" s="1546"/>
      <c r="F35" s="1546"/>
      <c r="G35" s="106"/>
      <c r="H35" s="1531"/>
      <c r="I35" s="1531"/>
      <c r="J35" s="1531"/>
    </row>
    <row r="36" spans="1:10" x14ac:dyDescent="0.25">
      <c r="A36" s="1193"/>
      <c r="B36" s="1193"/>
      <c r="C36" s="1546"/>
      <c r="D36" s="1546"/>
      <c r="E36" s="1546"/>
      <c r="F36" s="1546"/>
      <c r="G36" s="1193"/>
      <c r="H36" s="1531" t="s">
        <v>329</v>
      </c>
      <c r="I36" s="1531"/>
      <c r="J36" s="1531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5:B35"/>
    <mergeCell ref="C35:F36"/>
    <mergeCell ref="H35:J35"/>
    <mergeCell ref="H36:J36"/>
    <mergeCell ref="A28:B28"/>
    <mergeCell ref="A29:B29"/>
    <mergeCell ref="A30:B30"/>
    <mergeCell ref="A31:B31"/>
    <mergeCell ref="H33:J33"/>
    <mergeCell ref="A27:B27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6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4.44140625" customWidth="1"/>
    <col min="3" max="7" width="7.5546875" customWidth="1"/>
    <col min="8" max="8" width="8.44140625" customWidth="1"/>
    <col min="9" max="9" width="7.5546875" customWidth="1"/>
    <col min="10" max="10" width="9" customWidth="1"/>
    <col min="11" max="11" width="3.441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147)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209</v>
      </c>
    </row>
    <row r="8" spans="1:10" s="2" customFormat="1" ht="9.6" customHeight="1" x14ac:dyDescent="0.25">
      <c r="A8" s="197"/>
      <c r="B8" s="197"/>
      <c r="C8" s="197"/>
      <c r="D8" s="197"/>
      <c r="E8" s="197"/>
      <c r="F8" s="197"/>
      <c r="G8" s="197"/>
      <c r="H8" s="197"/>
      <c r="I8" s="197"/>
      <c r="J8" s="109"/>
    </row>
    <row r="9" spans="1:10" s="2" customFormat="1" ht="26.1" customHeight="1" x14ac:dyDescent="0.3">
      <c r="A9" s="1550" t="s">
        <v>382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'205-макароны с овощ 130'!H14+1</f>
        <v>147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194" t="s">
        <v>92</v>
      </c>
      <c r="D17" s="194" t="s">
        <v>94</v>
      </c>
      <c r="E17" s="194" t="s">
        <v>93</v>
      </c>
      <c r="F17" s="194" t="s">
        <v>23</v>
      </c>
      <c r="G17" s="194" t="s">
        <v>92</v>
      </c>
      <c r="H17" s="194" t="s">
        <v>94</v>
      </c>
      <c r="I17" s="194" t="s">
        <v>92</v>
      </c>
      <c r="J17" s="194" t="s">
        <v>94</v>
      </c>
    </row>
    <row r="18" spans="1:10" ht="9.6" customHeight="1" x14ac:dyDescent="0.25">
      <c r="A18" s="194">
        <v>1</v>
      </c>
      <c r="B18" s="196">
        <v>2</v>
      </c>
      <c r="C18" s="194">
        <v>3</v>
      </c>
      <c r="D18" s="196">
        <v>4</v>
      </c>
      <c r="E18" s="194">
        <v>5</v>
      </c>
      <c r="F18" s="196">
        <v>6</v>
      </c>
      <c r="G18" s="194">
        <v>7</v>
      </c>
      <c r="H18" s="196">
        <v>8</v>
      </c>
      <c r="I18" s="194">
        <v>9</v>
      </c>
      <c r="J18" s="196">
        <v>10</v>
      </c>
    </row>
    <row r="19" spans="1:10" s="10" customFormat="1" ht="14.1" customHeight="1" x14ac:dyDescent="0.25">
      <c r="A19" s="180">
        <v>1</v>
      </c>
      <c r="B19" s="20" t="s">
        <v>383</v>
      </c>
      <c r="C19" s="111">
        <v>4.5999999999999999E-2</v>
      </c>
      <c r="D19" s="111">
        <v>0.04</v>
      </c>
      <c r="E19" s="13">
        <f>цены!F30</f>
        <v>152.16999999999999</v>
      </c>
      <c r="F19" s="13">
        <f>C19*E19</f>
        <v>7</v>
      </c>
      <c r="G19" s="97">
        <f t="shared" ref="G19:H21" si="0">C19*10</f>
        <v>0.46</v>
      </c>
      <c r="H19" s="21">
        <f t="shared" si="0"/>
        <v>0.4</v>
      </c>
      <c r="I19" s="21">
        <f t="shared" ref="I19:J21" si="1">C19*100</f>
        <v>4.5999999999999996</v>
      </c>
      <c r="J19" s="21">
        <f t="shared" si="1"/>
        <v>4</v>
      </c>
    </row>
    <row r="20" spans="1:10" s="10" customFormat="1" ht="14.1" customHeight="1" x14ac:dyDescent="0.25">
      <c r="A20" s="180">
        <v>2</v>
      </c>
      <c r="B20" s="20" t="s">
        <v>28</v>
      </c>
      <c r="C20" s="111">
        <f>3/0.46*C19</f>
        <v>0.3</v>
      </c>
      <c r="D20" s="111">
        <f>C20</f>
        <v>0.3</v>
      </c>
      <c r="E20" s="13"/>
      <c r="F20" s="13">
        <f>C20*E20</f>
        <v>0</v>
      </c>
      <c r="G20" s="97">
        <f t="shared" si="0"/>
        <v>3</v>
      </c>
      <c r="H20" s="21">
        <f t="shared" si="0"/>
        <v>3</v>
      </c>
      <c r="I20" s="21">
        <f t="shared" si="1"/>
        <v>30</v>
      </c>
      <c r="J20" s="21">
        <f t="shared" si="1"/>
        <v>30</v>
      </c>
    </row>
    <row r="21" spans="1:10" s="10" customFormat="1" ht="14.1" customHeight="1" x14ac:dyDescent="0.25">
      <c r="A21" s="180">
        <v>3</v>
      </c>
      <c r="B21" s="20" t="s">
        <v>33</v>
      </c>
      <c r="C21" s="111">
        <v>4.0000000000000001E-3</v>
      </c>
      <c r="D21" s="111">
        <f>C21</f>
        <v>4.0000000000000001E-3</v>
      </c>
      <c r="E21" s="13">
        <f>цены!F110</f>
        <v>24</v>
      </c>
      <c r="F21" s="13">
        <f>C21*E21</f>
        <v>0.1</v>
      </c>
      <c r="G21" s="97">
        <f t="shared" si="0"/>
        <v>0.04</v>
      </c>
      <c r="H21" s="21">
        <f t="shared" si="0"/>
        <v>0.04</v>
      </c>
      <c r="I21" s="21">
        <f t="shared" si="1"/>
        <v>0.4</v>
      </c>
      <c r="J21" s="21">
        <f t="shared" si="1"/>
        <v>0.4</v>
      </c>
    </row>
    <row r="22" spans="1:10" s="10" customFormat="1" ht="14.4" customHeight="1" x14ac:dyDescent="0.25">
      <c r="A22" s="184"/>
      <c r="B22" s="93" t="s">
        <v>100</v>
      </c>
      <c r="C22" s="112"/>
      <c r="D22" s="112">
        <v>5.8000000000000003E-2</v>
      </c>
      <c r="E22" s="95"/>
      <c r="F22" s="95">
        <f>SUM(F19:F21)</f>
        <v>7.1</v>
      </c>
      <c r="G22" s="99"/>
      <c r="H22" s="100">
        <f>D22*10</f>
        <v>0.57999999999999996</v>
      </c>
      <c r="I22" s="100"/>
      <c r="J22" s="100">
        <f>D22*100</f>
        <v>5.8</v>
      </c>
    </row>
    <row r="23" spans="1:10" s="10" customFormat="1" ht="20.399999999999999" customHeight="1" x14ac:dyDescent="0.25">
      <c r="A23" s="1536" t="s">
        <v>35</v>
      </c>
      <c r="B23" s="1536"/>
      <c r="C23" s="90"/>
      <c r="D23" s="90"/>
      <c r="E23" s="13"/>
      <c r="F23" s="13">
        <f>F22</f>
        <v>7.1</v>
      </c>
      <c r="G23" s="195"/>
      <c r="H23" s="195"/>
      <c r="I23" s="21"/>
      <c r="J23" s="13"/>
    </row>
    <row r="24" spans="1:10" s="10" customFormat="1" ht="18.600000000000001" customHeight="1" x14ac:dyDescent="0.25">
      <c r="A24" s="1536" t="s">
        <v>36</v>
      </c>
      <c r="B24" s="1536"/>
      <c r="C24" s="90">
        <v>40</v>
      </c>
      <c r="D24" s="90"/>
      <c r="E24" s="13"/>
      <c r="F24" s="13"/>
      <c r="G24" s="13"/>
      <c r="H24" s="13"/>
      <c r="I24" s="21"/>
      <c r="J24" s="17"/>
    </row>
    <row r="25" spans="1:10" s="10" customFormat="1" ht="25.35" customHeight="1" x14ac:dyDescent="0.25">
      <c r="A25" s="1537" t="s">
        <v>37</v>
      </c>
      <c r="B25" s="1538"/>
      <c r="C25" s="91">
        <v>40</v>
      </c>
      <c r="D25" s="92"/>
      <c r="E25" s="196"/>
      <c r="F25" s="196"/>
      <c r="G25" s="196"/>
      <c r="H25" s="196"/>
      <c r="I25" s="21"/>
      <c r="J25" s="17"/>
    </row>
    <row r="26" spans="1:10" s="10" customFormat="1" ht="15" customHeight="1" x14ac:dyDescent="0.25">
      <c r="A26" s="1539" t="s">
        <v>38</v>
      </c>
      <c r="B26" s="1540"/>
      <c r="C26" s="92">
        <f>C24/C25</f>
        <v>1</v>
      </c>
      <c r="D26" s="92"/>
      <c r="E26" s="196"/>
      <c r="F26" s="196"/>
      <c r="G26" s="196"/>
      <c r="H26" s="196"/>
      <c r="I26" s="21"/>
      <c r="J26" s="17"/>
    </row>
    <row r="27" spans="1:10" ht="16.350000000000001" customHeight="1" x14ac:dyDescent="0.25">
      <c r="A27" s="1541" t="s">
        <v>39</v>
      </c>
      <c r="B27" s="1542"/>
      <c r="C27" s="15" t="s">
        <v>40</v>
      </c>
      <c r="D27" s="102"/>
      <c r="E27" s="102" t="s">
        <v>40</v>
      </c>
      <c r="F27" s="16">
        <f>F23/C26</f>
        <v>7.1</v>
      </c>
      <c r="G27" s="16"/>
      <c r="H27" s="16"/>
      <c r="I27" s="102" t="s">
        <v>40</v>
      </c>
      <c r="J27" s="102" t="s">
        <v>40</v>
      </c>
    </row>
    <row r="28" spans="1:10" ht="23.1" customHeight="1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193"/>
      <c r="B29" s="1194" t="s">
        <v>49</v>
      </c>
      <c r="C29" s="1198"/>
      <c r="D29" s="1198"/>
      <c r="E29" s="1198"/>
      <c r="F29" s="1198"/>
      <c r="G29" s="1193"/>
      <c r="H29" s="1557">
        <f>'1-бутерброд с маслом'!$H$28</f>
        <v>0</v>
      </c>
      <c r="I29" s="1557"/>
      <c r="J29" s="1557"/>
    </row>
    <row r="30" spans="1:10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0" ht="13.95" customHeight="1" x14ac:dyDescent="0.25">
      <c r="A31" s="1545" t="s">
        <v>327</v>
      </c>
      <c r="B31" s="1545"/>
      <c r="C31" s="1546" t="s">
        <v>328</v>
      </c>
      <c r="D31" s="1546"/>
      <c r="E31" s="1546"/>
      <c r="F31" s="1546"/>
      <c r="G31" s="106"/>
      <c r="H31" s="1531"/>
      <c r="I31" s="1531"/>
      <c r="J31" s="1531"/>
    </row>
    <row r="32" spans="1:10" x14ac:dyDescent="0.25">
      <c r="A32" s="1193"/>
      <c r="B32" s="1193"/>
      <c r="C32" s="1546"/>
      <c r="D32" s="1546"/>
      <c r="E32" s="1546"/>
      <c r="F32" s="1546"/>
      <c r="G32" s="1193"/>
      <c r="H32" s="1531" t="s">
        <v>329</v>
      </c>
      <c r="I32" s="1531"/>
      <c r="J32" s="1531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</sheetData>
  <mergeCells count="28">
    <mergeCell ref="H29:J29"/>
    <mergeCell ref="A13:G13"/>
    <mergeCell ref="A24:B24"/>
    <mergeCell ref="A25:B25"/>
    <mergeCell ref="A26:B26"/>
    <mergeCell ref="A27:B27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1:B31"/>
    <mergeCell ref="C31:F32"/>
    <mergeCell ref="H31:J31"/>
    <mergeCell ref="H32:J32"/>
    <mergeCell ref="H5:I5"/>
    <mergeCell ref="A6:G6"/>
    <mergeCell ref="A7:I7"/>
    <mergeCell ref="A23:B23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42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4.44140625" customWidth="1"/>
    <col min="3" max="7" width="7.5546875" customWidth="1"/>
    <col min="8" max="8" width="8.44140625" customWidth="1"/>
    <col min="9" max="9" width="7.5546875" customWidth="1"/>
    <col min="10" max="10" width="9" customWidth="1"/>
    <col min="11" max="11" width="3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148)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210</v>
      </c>
    </row>
    <row r="8" spans="1:10" s="2" customFormat="1" ht="9.6" customHeight="1" x14ac:dyDescent="0.25">
      <c r="A8" s="197"/>
      <c r="B8" s="197"/>
      <c r="C8" s="197"/>
      <c r="D8" s="197"/>
      <c r="E8" s="197"/>
      <c r="F8" s="197"/>
      <c r="G8" s="197"/>
      <c r="H8" s="197"/>
      <c r="I8" s="197"/>
      <c r="J8" s="109"/>
    </row>
    <row r="9" spans="1:10" s="2" customFormat="1" ht="26.1" customHeight="1" x14ac:dyDescent="0.3">
      <c r="A9" s="1550" t="s">
        <v>695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'209-яйца'!H14+1</f>
        <v>148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194" t="s">
        <v>92</v>
      </c>
      <c r="D17" s="194" t="s">
        <v>94</v>
      </c>
      <c r="E17" s="194" t="s">
        <v>93</v>
      </c>
      <c r="F17" s="194" t="s">
        <v>23</v>
      </c>
      <c r="G17" s="194" t="s">
        <v>92</v>
      </c>
      <c r="H17" s="194" t="s">
        <v>94</v>
      </c>
      <c r="I17" s="194" t="s">
        <v>92</v>
      </c>
      <c r="J17" s="194" t="s">
        <v>94</v>
      </c>
    </row>
    <row r="18" spans="1:10" ht="9.6" customHeight="1" x14ac:dyDescent="0.25">
      <c r="A18" s="194">
        <v>1</v>
      </c>
      <c r="B18" s="196">
        <v>2</v>
      </c>
      <c r="C18" s="194">
        <v>3</v>
      </c>
      <c r="D18" s="196">
        <v>4</v>
      </c>
      <c r="E18" s="194">
        <v>5</v>
      </c>
      <c r="F18" s="196">
        <v>6</v>
      </c>
      <c r="G18" s="194">
        <v>7</v>
      </c>
      <c r="H18" s="196">
        <v>8</v>
      </c>
      <c r="I18" s="194">
        <v>9</v>
      </c>
      <c r="J18" s="196">
        <v>10</v>
      </c>
    </row>
    <row r="19" spans="1:10" s="10" customFormat="1" ht="12" customHeight="1" x14ac:dyDescent="0.25">
      <c r="A19" s="180">
        <v>1</v>
      </c>
      <c r="B19" s="20" t="s">
        <v>383</v>
      </c>
      <c r="C19" s="111">
        <v>0.1045</v>
      </c>
      <c r="D19" s="111">
        <v>9.0899999999999995E-2</v>
      </c>
      <c r="E19" s="13">
        <f>цены!F30</f>
        <v>152.16999999999999</v>
      </c>
      <c r="F19" s="13">
        <f>C19*E19</f>
        <v>15.9</v>
      </c>
      <c r="G19" s="97">
        <f t="shared" ref="G19:H21" si="0">C19*10</f>
        <v>1.0449999999999999</v>
      </c>
      <c r="H19" s="21">
        <f t="shared" si="0"/>
        <v>0.90900000000000003</v>
      </c>
      <c r="I19" s="21">
        <f t="shared" ref="I19:J21" si="1">C19*100</f>
        <v>10.45</v>
      </c>
      <c r="J19" s="21">
        <f t="shared" si="1"/>
        <v>9.09</v>
      </c>
    </row>
    <row r="20" spans="1:10" s="10" customFormat="1" ht="12" customHeight="1" x14ac:dyDescent="0.25">
      <c r="A20" s="180">
        <v>2</v>
      </c>
      <c r="B20" s="20" t="s">
        <v>34</v>
      </c>
      <c r="C20" s="111">
        <v>3.4099999999999998E-2</v>
      </c>
      <c r="D20" s="111">
        <v>3.4099999999999998E-2</v>
      </c>
      <c r="E20" s="13">
        <f>цены!F20</f>
        <v>80</v>
      </c>
      <c r="F20" s="13">
        <f>C20*E20</f>
        <v>2.73</v>
      </c>
      <c r="G20" s="97">
        <f t="shared" si="0"/>
        <v>0.34100000000000003</v>
      </c>
      <c r="H20" s="21">
        <f t="shared" si="0"/>
        <v>0.34100000000000003</v>
      </c>
      <c r="I20" s="21">
        <f t="shared" si="1"/>
        <v>3.41</v>
      </c>
      <c r="J20" s="21">
        <f t="shared" si="1"/>
        <v>3.41</v>
      </c>
    </row>
    <row r="21" spans="1:10" s="10" customFormat="1" ht="12" customHeight="1" x14ac:dyDescent="0.25">
      <c r="A21" s="180">
        <v>3</v>
      </c>
      <c r="B21" s="20" t="s">
        <v>33</v>
      </c>
      <c r="C21" s="111">
        <v>1.1000000000000001E-3</v>
      </c>
      <c r="D21" s="111">
        <v>1.1000000000000001E-3</v>
      </c>
      <c r="E21" s="13">
        <f>цены!F110</f>
        <v>24</v>
      </c>
      <c r="F21" s="13">
        <f>C21*E21</f>
        <v>0.03</v>
      </c>
      <c r="G21" s="97">
        <f t="shared" si="0"/>
        <v>1.0999999999999999E-2</v>
      </c>
      <c r="H21" s="21">
        <f t="shared" si="0"/>
        <v>1.0999999999999999E-2</v>
      </c>
      <c r="I21" s="21">
        <f t="shared" si="1"/>
        <v>0.11</v>
      </c>
      <c r="J21" s="21">
        <f t="shared" si="1"/>
        <v>0.11</v>
      </c>
    </row>
    <row r="22" spans="1:10" s="10" customFormat="1" ht="12" customHeight="1" x14ac:dyDescent="0.25">
      <c r="A22" s="184"/>
      <c r="B22" s="93" t="s">
        <v>384</v>
      </c>
      <c r="C22" s="112"/>
      <c r="D22" s="1028">
        <v>125</v>
      </c>
      <c r="E22" s="95"/>
      <c r="F22" s="95"/>
      <c r="G22" s="99"/>
      <c r="H22" s="100"/>
      <c r="I22" s="100"/>
      <c r="J22" s="100"/>
    </row>
    <row r="23" spans="1:10" s="10" customFormat="1" ht="12" customHeight="1" x14ac:dyDescent="0.25">
      <c r="A23" s="180">
        <v>4</v>
      </c>
      <c r="B23" s="20" t="s">
        <v>31</v>
      </c>
      <c r="C23" s="111">
        <v>5.0000000000000001E-3</v>
      </c>
      <c r="D23" s="111">
        <v>5.0000000000000001E-3</v>
      </c>
      <c r="E23" s="13">
        <f>цены!F21</f>
        <v>710</v>
      </c>
      <c r="F23" s="13">
        <f>C23*E23</f>
        <v>3.55</v>
      </c>
      <c r="G23" s="97">
        <f>C23*10</f>
        <v>0.05</v>
      </c>
      <c r="H23" s="21">
        <f>D23*10</f>
        <v>0.05</v>
      </c>
      <c r="I23" s="21">
        <f>C23*100</f>
        <v>0.5</v>
      </c>
      <c r="J23" s="21">
        <f>D23*100</f>
        <v>0.5</v>
      </c>
    </row>
    <row r="24" spans="1:10" s="10" customFormat="1" ht="12" customHeight="1" x14ac:dyDescent="0.25">
      <c r="A24" s="184"/>
      <c r="B24" s="93" t="s">
        <v>385</v>
      </c>
      <c r="C24" s="112"/>
      <c r="D24" s="1028">
        <v>130</v>
      </c>
      <c r="E24" s="1028"/>
      <c r="F24" s="1028"/>
      <c r="G24" s="1031"/>
      <c r="H24" s="1028">
        <f>D24*10</f>
        <v>1300</v>
      </c>
      <c r="I24" s="1028"/>
      <c r="J24" s="1028">
        <f>D24*100</f>
        <v>13000</v>
      </c>
    </row>
    <row r="25" spans="1:10" s="10" customFormat="1" ht="12" customHeight="1" x14ac:dyDescent="0.25">
      <c r="A25" s="180">
        <v>5</v>
      </c>
      <c r="B25" s="20" t="s">
        <v>31</v>
      </c>
      <c r="C25" s="111">
        <v>5.0000000000000001E-3</v>
      </c>
      <c r="D25" s="111">
        <v>5.0000000000000001E-3</v>
      </c>
      <c r="E25" s="13">
        <f>цены!F21</f>
        <v>710</v>
      </c>
      <c r="F25" s="13">
        <f>C25*E25</f>
        <v>3.55</v>
      </c>
      <c r="G25" s="97">
        <f>C25*10</f>
        <v>0.05</v>
      </c>
      <c r="H25" s="21">
        <f>D25*10</f>
        <v>0.05</v>
      </c>
      <c r="I25" s="21">
        <f>C25*100</f>
        <v>0.5</v>
      </c>
      <c r="J25" s="21">
        <f>D25*100</f>
        <v>0.5</v>
      </c>
    </row>
    <row r="26" spans="1:10" s="10" customFormat="1" ht="12" customHeight="1" x14ac:dyDescent="0.25">
      <c r="A26" s="180">
        <v>6</v>
      </c>
      <c r="B26" s="20" t="s">
        <v>105</v>
      </c>
      <c r="C26" s="111">
        <v>4.0000000000000001E-3</v>
      </c>
      <c r="D26" s="111">
        <v>3.0000000000000001E-3</v>
      </c>
      <c r="E26" s="408">
        <f>цены!F48</f>
        <v>300</v>
      </c>
      <c r="F26" s="408">
        <f t="shared" ref="F26:F27" si="2">C26*E26</f>
        <v>1.2</v>
      </c>
      <c r="G26" s="97">
        <f t="shared" ref="G26:G27" si="3">C26*10</f>
        <v>0.04</v>
      </c>
      <c r="H26" s="21">
        <f t="shared" ref="H26:H27" si="4">D26*10</f>
        <v>0.03</v>
      </c>
      <c r="I26" s="21">
        <f t="shared" ref="I26:I27" si="5">C26*100</f>
        <v>0.4</v>
      </c>
      <c r="J26" s="21">
        <f t="shared" ref="J26:J27" si="6">D26*100</f>
        <v>0.3</v>
      </c>
    </row>
    <row r="27" spans="1:10" s="10" customFormat="1" ht="12" customHeight="1" x14ac:dyDescent="0.25">
      <c r="A27" s="180">
        <v>7</v>
      </c>
      <c r="B27" s="20" t="s">
        <v>337</v>
      </c>
      <c r="C27" s="111">
        <v>2E-3</v>
      </c>
      <c r="D27" s="111">
        <v>2E-3</v>
      </c>
      <c r="E27" s="408">
        <f>цены!F39</f>
        <v>300</v>
      </c>
      <c r="F27" s="408">
        <f t="shared" si="2"/>
        <v>0.6</v>
      </c>
      <c r="G27" s="97">
        <f t="shared" si="3"/>
        <v>0.02</v>
      </c>
      <c r="H27" s="21">
        <f t="shared" si="4"/>
        <v>0.02</v>
      </c>
      <c r="I27" s="21">
        <f t="shared" si="5"/>
        <v>0.2</v>
      </c>
      <c r="J27" s="21">
        <f t="shared" si="6"/>
        <v>0.2</v>
      </c>
    </row>
    <row r="28" spans="1:10" s="10" customFormat="1" ht="12" customHeight="1" x14ac:dyDescent="0.25">
      <c r="A28" s="184"/>
      <c r="B28" s="93" t="s">
        <v>100</v>
      </c>
      <c r="C28" s="112"/>
      <c r="D28" s="1028">
        <v>140</v>
      </c>
      <c r="E28" s="95"/>
      <c r="F28" s="95">
        <f>SUM(F19:F27)</f>
        <v>27.56</v>
      </c>
      <c r="G28" s="99"/>
      <c r="H28" s="1028">
        <f>D28*10</f>
        <v>1400</v>
      </c>
      <c r="I28" s="1028"/>
      <c r="J28" s="1028">
        <f>D28*100</f>
        <v>14000</v>
      </c>
    </row>
    <row r="29" spans="1:10" s="10" customFormat="1" ht="26.4" customHeight="1" x14ac:dyDescent="0.25">
      <c r="A29" s="1536" t="s">
        <v>35</v>
      </c>
      <c r="B29" s="1536"/>
      <c r="C29" s="90"/>
      <c r="D29" s="90"/>
      <c r="E29" s="13"/>
      <c r="F29" s="13">
        <f>F28</f>
        <v>27.56</v>
      </c>
      <c r="G29" s="195"/>
      <c r="H29" s="195"/>
      <c r="I29" s="21"/>
      <c r="J29" s="13"/>
    </row>
    <row r="30" spans="1:10" s="10" customFormat="1" ht="22.35" customHeight="1" x14ac:dyDescent="0.25">
      <c r="A30" s="1536" t="s">
        <v>36</v>
      </c>
      <c r="B30" s="1536"/>
      <c r="C30" s="90">
        <v>140</v>
      </c>
      <c r="D30" s="90"/>
      <c r="E30" s="13"/>
      <c r="F30" s="13"/>
      <c r="G30" s="13"/>
      <c r="H30" s="13"/>
      <c r="I30" s="21"/>
      <c r="J30" s="17"/>
    </row>
    <row r="31" spans="1:10" s="10" customFormat="1" ht="25.35" customHeight="1" x14ac:dyDescent="0.25">
      <c r="A31" s="1539" t="s">
        <v>37</v>
      </c>
      <c r="B31" s="1562"/>
      <c r="C31" s="91">
        <v>140</v>
      </c>
      <c r="D31" s="92"/>
      <c r="E31" s="196"/>
      <c r="F31" s="196"/>
      <c r="G31" s="196"/>
      <c r="H31" s="196"/>
      <c r="I31" s="21"/>
      <c r="J31" s="17"/>
    </row>
    <row r="32" spans="1:10" s="10" customFormat="1" ht="15" customHeight="1" x14ac:dyDescent="0.25">
      <c r="A32" s="1539" t="s">
        <v>38</v>
      </c>
      <c r="B32" s="1540"/>
      <c r="C32" s="92">
        <f>C30/C31</f>
        <v>1</v>
      </c>
      <c r="D32" s="92"/>
      <c r="E32" s="196"/>
      <c r="F32" s="196"/>
      <c r="G32" s="196"/>
      <c r="H32" s="196"/>
      <c r="I32" s="21"/>
      <c r="J32" s="17"/>
    </row>
    <row r="33" spans="1:10" ht="16.350000000000001" customHeight="1" x14ac:dyDescent="0.25">
      <c r="A33" s="1541" t="s">
        <v>39</v>
      </c>
      <c r="B33" s="1542"/>
      <c r="C33" s="15" t="s">
        <v>40</v>
      </c>
      <c r="D33" s="102"/>
      <c r="E33" s="102" t="s">
        <v>40</v>
      </c>
      <c r="F33" s="16">
        <f>F29/C32</f>
        <v>27.56</v>
      </c>
      <c r="G33" s="16"/>
      <c r="H33" s="16"/>
      <c r="I33" s="102" t="s">
        <v>40</v>
      </c>
      <c r="J33" s="102" t="s">
        <v>40</v>
      </c>
    </row>
    <row r="34" spans="1:10" ht="23.1" customHeight="1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193"/>
      <c r="B35" s="1194" t="s">
        <v>49</v>
      </c>
      <c r="C35" s="1198"/>
      <c r="D35" s="1198"/>
      <c r="E35" s="1198"/>
      <c r="F35" s="1198"/>
      <c r="G35" s="1193"/>
      <c r="H35" s="1557">
        <f>'1-бутерброд с маслом'!$H$28</f>
        <v>0</v>
      </c>
      <c r="I35" s="1557"/>
      <c r="J35" s="1557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545" t="s">
        <v>327</v>
      </c>
      <c r="B37" s="1545"/>
      <c r="C37" s="1546" t="s">
        <v>328</v>
      </c>
      <c r="D37" s="1546"/>
      <c r="E37" s="1546"/>
      <c r="F37" s="1546"/>
      <c r="G37" s="106"/>
      <c r="H37" s="1531"/>
      <c r="I37" s="1531"/>
      <c r="J37" s="1531"/>
    </row>
    <row r="38" spans="1:10" x14ac:dyDescent="0.25">
      <c r="A38" s="1193"/>
      <c r="B38" s="1193"/>
      <c r="C38" s="1546"/>
      <c r="D38" s="1546"/>
      <c r="E38" s="1546"/>
      <c r="F38" s="1546"/>
      <c r="G38" s="1193"/>
      <c r="H38" s="1531" t="s">
        <v>329</v>
      </c>
      <c r="I38" s="1531"/>
      <c r="J38" s="1531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</sheetData>
  <mergeCells count="28">
    <mergeCell ref="A33:B33"/>
    <mergeCell ref="H35:J35"/>
    <mergeCell ref="I16:J16"/>
    <mergeCell ref="A29:B29"/>
    <mergeCell ref="A30:B30"/>
    <mergeCell ref="A31:B31"/>
    <mergeCell ref="A32:B32"/>
    <mergeCell ref="A13:G13"/>
    <mergeCell ref="A16:A17"/>
    <mergeCell ref="B16:B17"/>
    <mergeCell ref="C16:F16"/>
    <mergeCell ref="G16:H16"/>
    <mergeCell ref="G1:J1"/>
    <mergeCell ref="G2:J2"/>
    <mergeCell ref="G3:J3"/>
    <mergeCell ref="A5:G5"/>
    <mergeCell ref="A37:B37"/>
    <mergeCell ref="C37:F38"/>
    <mergeCell ref="H37:J37"/>
    <mergeCell ref="H38:J38"/>
    <mergeCell ref="H5:I5"/>
    <mergeCell ref="A6:G6"/>
    <mergeCell ref="A7:I7"/>
    <mergeCell ref="A9:J9"/>
    <mergeCell ref="A11:J11"/>
    <mergeCell ref="I13:J13"/>
    <mergeCell ref="C14:G14"/>
    <mergeCell ref="I14:J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40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4.44140625" customWidth="1"/>
    <col min="3" max="7" width="7.5546875" customWidth="1"/>
    <col min="8" max="8" width="8.44140625" customWidth="1"/>
    <col min="9" max="9" width="7.5546875" customWidth="1"/>
    <col min="10" max="10" width="9" customWidth="1"/>
    <col min="11" max="11" width="3.88671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149)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211</v>
      </c>
    </row>
    <row r="8" spans="1:10" s="2" customFormat="1" ht="9.6" customHeight="1" x14ac:dyDescent="0.25">
      <c r="A8" s="197"/>
      <c r="B8" s="197"/>
      <c r="C8" s="197"/>
      <c r="D8" s="197"/>
      <c r="E8" s="197"/>
      <c r="F8" s="197"/>
      <c r="G8" s="197"/>
      <c r="H8" s="197"/>
      <c r="I8" s="197"/>
      <c r="J8" s="109"/>
    </row>
    <row r="9" spans="1:10" s="2" customFormat="1" ht="26.1" customHeight="1" x14ac:dyDescent="0.3">
      <c r="A9" s="1550" t="s">
        <v>386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'210-омлет'!H14+1</f>
        <v>149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194" t="s">
        <v>92</v>
      </c>
      <c r="D17" s="194" t="s">
        <v>94</v>
      </c>
      <c r="E17" s="194" t="s">
        <v>93</v>
      </c>
      <c r="F17" s="194" t="s">
        <v>23</v>
      </c>
      <c r="G17" s="194" t="s">
        <v>92</v>
      </c>
      <c r="H17" s="194" t="s">
        <v>94</v>
      </c>
      <c r="I17" s="194" t="s">
        <v>92</v>
      </c>
      <c r="J17" s="194" t="s">
        <v>94</v>
      </c>
    </row>
    <row r="18" spans="1:10" ht="9.6" customHeight="1" x14ac:dyDescent="0.25">
      <c r="A18" s="194">
        <v>1</v>
      </c>
      <c r="B18" s="196">
        <v>2</v>
      </c>
      <c r="C18" s="194">
        <v>3</v>
      </c>
      <c r="D18" s="196">
        <v>4</v>
      </c>
      <c r="E18" s="194">
        <v>5</v>
      </c>
      <c r="F18" s="196">
        <v>6</v>
      </c>
      <c r="G18" s="194">
        <v>7</v>
      </c>
      <c r="H18" s="196">
        <v>8</v>
      </c>
      <c r="I18" s="194">
        <v>9</v>
      </c>
      <c r="J18" s="196">
        <v>10</v>
      </c>
    </row>
    <row r="19" spans="1:10" s="10" customFormat="1" ht="12" customHeight="1" x14ac:dyDescent="0.25">
      <c r="A19" s="180">
        <v>1</v>
      </c>
      <c r="B19" s="20" t="s">
        <v>383</v>
      </c>
      <c r="C19" s="111">
        <v>4.5999999999999999E-2</v>
      </c>
      <c r="D19" s="111">
        <v>0.04</v>
      </c>
      <c r="E19" s="13">
        <f>цены!F30</f>
        <v>152.16999999999999</v>
      </c>
      <c r="F19" s="13">
        <f>C19*E19</f>
        <v>7</v>
      </c>
      <c r="G19" s="97">
        <f t="shared" ref="G19:H23" si="0">C19*10</f>
        <v>0.46</v>
      </c>
      <c r="H19" s="21">
        <f t="shared" si="0"/>
        <v>0.4</v>
      </c>
      <c r="I19" s="21">
        <f t="shared" ref="I19:J23" si="1">C19*100</f>
        <v>4.5999999999999996</v>
      </c>
      <c r="J19" s="21">
        <f t="shared" si="1"/>
        <v>4</v>
      </c>
    </row>
    <row r="20" spans="1:10" s="10" customFormat="1" ht="12" customHeight="1" x14ac:dyDescent="0.25">
      <c r="A20" s="180">
        <v>2</v>
      </c>
      <c r="B20" s="20" t="s">
        <v>34</v>
      </c>
      <c r="C20" s="111">
        <v>1.4999999999999999E-2</v>
      </c>
      <c r="D20" s="111">
        <v>1.4999999999999999E-2</v>
      </c>
      <c r="E20" s="13">
        <f>цены!F20</f>
        <v>80</v>
      </c>
      <c r="F20" s="13">
        <f>C20*E20</f>
        <v>1.2</v>
      </c>
      <c r="G20" s="97">
        <f t="shared" si="0"/>
        <v>0.15</v>
      </c>
      <c r="H20" s="21">
        <f t="shared" si="0"/>
        <v>0.15</v>
      </c>
      <c r="I20" s="21">
        <f t="shared" si="1"/>
        <v>1.5</v>
      </c>
      <c r="J20" s="21">
        <f t="shared" si="1"/>
        <v>1.5</v>
      </c>
    </row>
    <row r="21" spans="1:10" s="10" customFormat="1" ht="12" customHeight="1" x14ac:dyDescent="0.25">
      <c r="A21" s="180">
        <v>3</v>
      </c>
      <c r="B21" s="20" t="s">
        <v>323</v>
      </c>
      <c r="C21" s="111">
        <v>8.5000000000000006E-3</v>
      </c>
      <c r="D21" s="111">
        <v>8.0000000000000002E-3</v>
      </c>
      <c r="E21" s="13">
        <f>цены!F22</f>
        <v>719</v>
      </c>
      <c r="F21" s="13">
        <f>C21*E21</f>
        <v>6.11</v>
      </c>
      <c r="G21" s="97">
        <f t="shared" si="0"/>
        <v>8.5000000000000006E-2</v>
      </c>
      <c r="H21" s="21">
        <f t="shared" si="0"/>
        <v>0.08</v>
      </c>
      <c r="I21" s="21">
        <f t="shared" si="1"/>
        <v>0.85</v>
      </c>
      <c r="J21" s="21">
        <f t="shared" si="1"/>
        <v>0.8</v>
      </c>
    </row>
    <row r="22" spans="1:10" s="10" customFormat="1" ht="12" customHeight="1" x14ac:dyDescent="0.25">
      <c r="A22" s="180">
        <v>4</v>
      </c>
      <c r="B22" s="20" t="s">
        <v>31</v>
      </c>
      <c r="C22" s="111">
        <v>2E-3</v>
      </c>
      <c r="D22" s="111">
        <v>2E-3</v>
      </c>
      <c r="E22" s="13">
        <f>цены!F21</f>
        <v>710</v>
      </c>
      <c r="F22" s="13">
        <f>C22*E22</f>
        <v>1.42</v>
      </c>
      <c r="G22" s="97">
        <f t="shared" si="0"/>
        <v>0.02</v>
      </c>
      <c r="H22" s="21">
        <f t="shared" si="0"/>
        <v>0.02</v>
      </c>
      <c r="I22" s="21">
        <f t="shared" si="1"/>
        <v>0.2</v>
      </c>
      <c r="J22" s="21">
        <f t="shared" si="1"/>
        <v>0.2</v>
      </c>
    </row>
    <row r="23" spans="1:10" s="10" customFormat="1" ht="12" customHeight="1" x14ac:dyDescent="0.25">
      <c r="A23" s="180">
        <v>5</v>
      </c>
      <c r="B23" s="20" t="s">
        <v>33</v>
      </c>
      <c r="C23" s="111">
        <v>5.0000000000000001E-4</v>
      </c>
      <c r="D23" s="111">
        <f>C23</f>
        <v>5.0000000000000001E-4</v>
      </c>
      <c r="E23" s="13">
        <f>цены!F110</f>
        <v>24</v>
      </c>
      <c r="F23" s="13">
        <f>C23*E23</f>
        <v>0.01</v>
      </c>
      <c r="G23" s="97">
        <f t="shared" si="0"/>
        <v>5.0000000000000001E-3</v>
      </c>
      <c r="H23" s="21">
        <f t="shared" si="0"/>
        <v>5.0000000000000001E-3</v>
      </c>
      <c r="I23" s="21">
        <f t="shared" si="1"/>
        <v>0.05</v>
      </c>
      <c r="J23" s="21">
        <f t="shared" si="1"/>
        <v>0.05</v>
      </c>
    </row>
    <row r="24" spans="1:10" s="10" customFormat="1" ht="12" customHeight="1" x14ac:dyDescent="0.25">
      <c r="A24" s="184"/>
      <c r="B24" s="93" t="s">
        <v>385</v>
      </c>
      <c r="C24" s="112"/>
      <c r="D24" s="112">
        <v>5.5E-2</v>
      </c>
      <c r="E24" s="95"/>
      <c r="F24" s="95">
        <f>SUM(F19:F23)</f>
        <v>15.74</v>
      </c>
      <c r="G24" s="99"/>
      <c r="H24" s="100"/>
      <c r="I24" s="100"/>
      <c r="J24" s="100"/>
    </row>
    <row r="25" spans="1:10" s="10" customFormat="1" ht="12" customHeight="1" x14ac:dyDescent="0.25">
      <c r="A25" s="180">
        <v>6</v>
      </c>
      <c r="B25" s="20" t="s">
        <v>31</v>
      </c>
      <c r="C25" s="111">
        <v>5.0000000000000001E-3</v>
      </c>
      <c r="D25" s="111">
        <v>5.0000000000000001E-3</v>
      </c>
      <c r="E25" s="13">
        <f>цены!F21</f>
        <v>710</v>
      </c>
      <c r="F25" s="13">
        <f>C25*E25</f>
        <v>3.55</v>
      </c>
      <c r="G25" s="97">
        <f>C25*10</f>
        <v>0.05</v>
      </c>
      <c r="H25" s="21">
        <f>D25*10</f>
        <v>0.05</v>
      </c>
      <c r="I25" s="21">
        <f>C25*100</f>
        <v>0.5</v>
      </c>
      <c r="J25" s="21">
        <f>D25*100</f>
        <v>0.5</v>
      </c>
    </row>
    <row r="26" spans="1:10" s="10" customFormat="1" ht="12" customHeight="1" x14ac:dyDescent="0.25">
      <c r="A26" s="184"/>
      <c r="B26" s="93" t="s">
        <v>100</v>
      </c>
      <c r="C26" s="112"/>
      <c r="D26" s="112">
        <v>0.06</v>
      </c>
      <c r="E26" s="95"/>
      <c r="F26" s="95">
        <f>F24+F25</f>
        <v>19.29</v>
      </c>
      <c r="G26" s="99"/>
      <c r="H26" s="100">
        <f>D26*10</f>
        <v>0.6</v>
      </c>
      <c r="I26" s="100"/>
      <c r="J26" s="100">
        <f>D26*100</f>
        <v>6</v>
      </c>
    </row>
    <row r="27" spans="1:10" s="10" customFormat="1" ht="26.4" customHeight="1" x14ac:dyDescent="0.25">
      <c r="A27" s="1536" t="s">
        <v>35</v>
      </c>
      <c r="B27" s="1536"/>
      <c r="C27" s="90"/>
      <c r="D27" s="90"/>
      <c r="E27" s="13"/>
      <c r="F27" s="13">
        <f>F26</f>
        <v>19.29</v>
      </c>
      <c r="G27" s="195"/>
      <c r="H27" s="195"/>
      <c r="I27" s="21"/>
      <c r="J27" s="13"/>
    </row>
    <row r="28" spans="1:10" s="10" customFormat="1" ht="22.35" customHeight="1" x14ac:dyDescent="0.25">
      <c r="A28" s="1536" t="s">
        <v>36</v>
      </c>
      <c r="B28" s="1536"/>
      <c r="C28" s="90">
        <v>60</v>
      </c>
      <c r="D28" s="90"/>
      <c r="E28" s="13"/>
      <c r="F28" s="13"/>
      <c r="G28" s="13"/>
      <c r="H28" s="13"/>
      <c r="I28" s="21"/>
      <c r="J28" s="17"/>
    </row>
    <row r="29" spans="1:10" s="10" customFormat="1" ht="25.35" customHeight="1" x14ac:dyDescent="0.25">
      <c r="A29" s="1539" t="s">
        <v>37</v>
      </c>
      <c r="B29" s="1562"/>
      <c r="C29" s="91">
        <v>60</v>
      </c>
      <c r="D29" s="92"/>
      <c r="E29" s="196"/>
      <c r="F29" s="196"/>
      <c r="G29" s="196"/>
      <c r="H29" s="196"/>
      <c r="I29" s="21"/>
      <c r="J29" s="17"/>
    </row>
    <row r="30" spans="1:10" s="10" customFormat="1" ht="15" customHeight="1" x14ac:dyDescent="0.25">
      <c r="A30" s="1539" t="s">
        <v>38</v>
      </c>
      <c r="B30" s="1540"/>
      <c r="C30" s="92">
        <f>C28/C29</f>
        <v>1</v>
      </c>
      <c r="D30" s="92"/>
      <c r="E30" s="196"/>
      <c r="F30" s="196"/>
      <c r="G30" s="196"/>
      <c r="H30" s="196"/>
      <c r="I30" s="21"/>
      <c r="J30" s="17"/>
    </row>
    <row r="31" spans="1:10" ht="16.350000000000001" customHeight="1" x14ac:dyDescent="0.25">
      <c r="A31" s="1541" t="s">
        <v>39</v>
      </c>
      <c r="B31" s="1542"/>
      <c r="C31" s="15" t="s">
        <v>40</v>
      </c>
      <c r="D31" s="102"/>
      <c r="E31" s="102" t="s">
        <v>40</v>
      </c>
      <c r="F31" s="16">
        <f>F27/C30</f>
        <v>19.29</v>
      </c>
      <c r="G31" s="16"/>
      <c r="H31" s="16"/>
      <c r="I31" s="102" t="s">
        <v>40</v>
      </c>
      <c r="J31" s="102" t="s">
        <v>40</v>
      </c>
    </row>
    <row r="32" spans="1:10" ht="23.1" customHeight="1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193"/>
      <c r="B33" s="1194" t="s">
        <v>49</v>
      </c>
      <c r="C33" s="1198"/>
      <c r="D33" s="1198"/>
      <c r="E33" s="1198"/>
      <c r="F33" s="1198"/>
      <c r="G33" s="1193"/>
      <c r="H33" s="1557">
        <f>'1-бутерброд с маслом'!$H$28</f>
        <v>0</v>
      </c>
      <c r="I33" s="1557"/>
      <c r="J33" s="1557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545" t="s">
        <v>327</v>
      </c>
      <c r="B35" s="1545"/>
      <c r="C35" s="1546" t="s">
        <v>328</v>
      </c>
      <c r="D35" s="1546"/>
      <c r="E35" s="1546"/>
      <c r="F35" s="1546"/>
      <c r="G35" s="106"/>
      <c r="H35" s="1531"/>
      <c r="I35" s="1531"/>
      <c r="J35" s="1531"/>
    </row>
    <row r="36" spans="1:10" x14ac:dyDescent="0.25">
      <c r="A36" s="1193"/>
      <c r="B36" s="1193"/>
      <c r="C36" s="1546"/>
      <c r="D36" s="1546"/>
      <c r="E36" s="1546"/>
      <c r="F36" s="1546"/>
      <c r="G36" s="1193"/>
      <c r="H36" s="1531" t="s">
        <v>329</v>
      </c>
      <c r="I36" s="1531"/>
      <c r="J36" s="1531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</sheetData>
  <mergeCells count="28">
    <mergeCell ref="H33:J33"/>
    <mergeCell ref="A13:G13"/>
    <mergeCell ref="A28:B28"/>
    <mergeCell ref="A29:B29"/>
    <mergeCell ref="A30:B30"/>
    <mergeCell ref="A31:B31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5:B35"/>
    <mergeCell ref="C35:F36"/>
    <mergeCell ref="H35:J35"/>
    <mergeCell ref="H36:J36"/>
    <mergeCell ref="H5:I5"/>
    <mergeCell ref="A6:G6"/>
    <mergeCell ref="A7:I7"/>
    <mergeCell ref="A27:B27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L40"/>
  <sheetViews>
    <sheetView view="pageBreakPreview" topLeftCell="A4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1065" customWidth="1"/>
    <col min="2" max="2" width="24.44140625" style="1065" customWidth="1"/>
    <col min="3" max="7" width="7.5546875" style="1065" customWidth="1"/>
    <col min="8" max="8" width="8.44140625" style="1065" customWidth="1"/>
    <col min="9" max="9" width="7.5546875" style="1065" customWidth="1"/>
    <col min="10" max="10" width="9" style="1065" customWidth="1"/>
    <col min="11" max="11" width="3.88671875" style="1065" customWidth="1"/>
    <col min="12" max="16384" width="8.88671875" style="1065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150)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70">
        <v>213</v>
      </c>
    </row>
    <row r="8" spans="1:10" s="2" customFormat="1" ht="9.6" customHeight="1" x14ac:dyDescent="0.25">
      <c r="A8" s="1069"/>
      <c r="B8" s="1069"/>
      <c r="C8" s="1069"/>
      <c r="D8" s="1069"/>
      <c r="E8" s="1069"/>
      <c r="F8" s="1069"/>
      <c r="G8" s="1069"/>
      <c r="H8" s="1069"/>
      <c r="I8" s="1069"/>
      <c r="J8" s="109"/>
    </row>
    <row r="9" spans="1:10" s="2" customFormat="1" ht="26.1" customHeight="1" x14ac:dyDescent="0.3">
      <c r="A9" s="1550" t="s">
        <v>1292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'211-омлет с сыром'!H14+1</f>
        <v>150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2" ht="26.4" customHeight="1" x14ac:dyDescent="0.25">
      <c r="A17" s="1543"/>
      <c r="B17" s="1543"/>
      <c r="C17" s="1066" t="s">
        <v>92</v>
      </c>
      <c r="D17" s="1066" t="s">
        <v>94</v>
      </c>
      <c r="E17" s="1066" t="s">
        <v>93</v>
      </c>
      <c r="F17" s="1066" t="s">
        <v>23</v>
      </c>
      <c r="G17" s="1066" t="s">
        <v>92</v>
      </c>
      <c r="H17" s="1066" t="s">
        <v>94</v>
      </c>
      <c r="I17" s="1066" t="s">
        <v>92</v>
      </c>
      <c r="J17" s="1066" t="s">
        <v>94</v>
      </c>
    </row>
    <row r="18" spans="1:12" ht="9.6" customHeight="1" x14ac:dyDescent="0.25">
      <c r="A18" s="1066">
        <v>1</v>
      </c>
      <c r="B18" s="1068">
        <v>2</v>
      </c>
      <c r="C18" s="1066">
        <v>3</v>
      </c>
      <c r="D18" s="1068">
        <v>4</v>
      </c>
      <c r="E18" s="1066">
        <v>5</v>
      </c>
      <c r="F18" s="1068">
        <v>6</v>
      </c>
      <c r="G18" s="1066">
        <v>7</v>
      </c>
      <c r="H18" s="1068">
        <v>8</v>
      </c>
      <c r="I18" s="1066">
        <v>9</v>
      </c>
      <c r="J18" s="1068">
        <v>10</v>
      </c>
    </row>
    <row r="19" spans="1:12" s="10" customFormat="1" ht="12" customHeight="1" x14ac:dyDescent="0.25">
      <c r="A19" s="180">
        <v>1</v>
      </c>
      <c r="B19" s="20" t="s">
        <v>1291</v>
      </c>
      <c r="C19" s="111">
        <v>7.4700000000000003E-2</v>
      </c>
      <c r="D19" s="111">
        <v>6.5000000000000002E-2</v>
      </c>
      <c r="E19" s="408">
        <f>цены!F30</f>
        <v>152.16999999999999</v>
      </c>
      <c r="F19" s="408">
        <f>C19*E19</f>
        <v>11.37</v>
      </c>
      <c r="G19" s="97">
        <f t="shared" ref="G19:H22" si="0">C19*10</f>
        <v>0.747</v>
      </c>
      <c r="H19" s="21">
        <f t="shared" si="0"/>
        <v>0.65</v>
      </c>
      <c r="I19" s="21">
        <f t="shared" ref="I19:J22" si="1">C19*100</f>
        <v>7.47</v>
      </c>
      <c r="J19" s="21">
        <f t="shared" si="1"/>
        <v>6.5</v>
      </c>
      <c r="L19" s="10">
        <v>1.625</v>
      </c>
    </row>
    <row r="20" spans="1:12" s="10" customFormat="1" ht="12" customHeight="1" x14ac:dyDescent="0.25">
      <c r="A20" s="180">
        <v>2</v>
      </c>
      <c r="B20" s="20" t="s">
        <v>34</v>
      </c>
      <c r="C20" s="111">
        <v>2.5000000000000001E-2</v>
      </c>
      <c r="D20" s="111">
        <v>2.5000000000000001E-2</v>
      </c>
      <c r="E20" s="408">
        <f>цены!F20</f>
        <v>80</v>
      </c>
      <c r="F20" s="408">
        <f t="shared" ref="F20:F22" si="2">C20*E20</f>
        <v>2</v>
      </c>
      <c r="G20" s="97">
        <f t="shared" si="0"/>
        <v>0.25</v>
      </c>
      <c r="H20" s="21">
        <f t="shared" si="0"/>
        <v>0.25</v>
      </c>
      <c r="I20" s="21">
        <f t="shared" si="1"/>
        <v>2.5</v>
      </c>
      <c r="J20" s="21">
        <f t="shared" si="1"/>
        <v>2.5</v>
      </c>
    </row>
    <row r="21" spans="1:12" s="10" customFormat="1" ht="12" customHeight="1" x14ac:dyDescent="0.25">
      <c r="A21" s="180">
        <v>3</v>
      </c>
      <c r="B21" s="20" t="s">
        <v>50</v>
      </c>
      <c r="C21" s="111">
        <v>0.12</v>
      </c>
      <c r="D21" s="111">
        <v>8.9200000000000002E-2</v>
      </c>
      <c r="E21" s="408">
        <f>цены!F35</f>
        <v>50</v>
      </c>
      <c r="F21" s="408">
        <f t="shared" si="2"/>
        <v>6</v>
      </c>
      <c r="G21" s="97">
        <f t="shared" si="0"/>
        <v>1.2</v>
      </c>
      <c r="H21" s="21">
        <f t="shared" si="0"/>
        <v>0.89200000000000002</v>
      </c>
      <c r="I21" s="21">
        <f t="shared" si="1"/>
        <v>12</v>
      </c>
      <c r="J21" s="21">
        <f t="shared" si="1"/>
        <v>8.92</v>
      </c>
    </row>
    <row r="22" spans="1:12" s="10" customFormat="1" ht="12" customHeight="1" x14ac:dyDescent="0.25">
      <c r="A22" s="180">
        <v>4</v>
      </c>
      <c r="B22" s="20" t="s">
        <v>74</v>
      </c>
      <c r="C22" s="111">
        <v>5.0000000000000001E-3</v>
      </c>
      <c r="D22" s="111">
        <v>5.0000000000000001E-3</v>
      </c>
      <c r="E22" s="408">
        <f>цены!F87</f>
        <v>120</v>
      </c>
      <c r="F22" s="408">
        <f t="shared" si="2"/>
        <v>0.6</v>
      </c>
      <c r="G22" s="97">
        <f t="shared" si="0"/>
        <v>0.05</v>
      </c>
      <c r="H22" s="21">
        <f t="shared" si="0"/>
        <v>0.05</v>
      </c>
      <c r="I22" s="21">
        <f t="shared" si="1"/>
        <v>0.5</v>
      </c>
      <c r="J22" s="21">
        <f t="shared" si="1"/>
        <v>0.5</v>
      </c>
    </row>
    <row r="23" spans="1:12" s="10" customFormat="1" ht="12" customHeight="1" x14ac:dyDescent="0.25">
      <c r="A23" s="180">
        <v>5</v>
      </c>
      <c r="B23" s="20" t="s">
        <v>33</v>
      </c>
      <c r="C23" s="111">
        <v>5.0000000000000001E-4</v>
      </c>
      <c r="D23" s="111">
        <f>C23</f>
        <v>5.0000000000000001E-4</v>
      </c>
      <c r="E23" s="408">
        <f>цены!F110</f>
        <v>24</v>
      </c>
      <c r="F23" s="408">
        <f>C23*E23</f>
        <v>0.01</v>
      </c>
      <c r="G23" s="97">
        <f t="shared" ref="G23:H23" si="3">C23*10</f>
        <v>5.0000000000000001E-3</v>
      </c>
      <c r="H23" s="21">
        <f t="shared" si="3"/>
        <v>5.0000000000000001E-3</v>
      </c>
      <c r="I23" s="21">
        <f t="shared" ref="I23:J23" si="4">C23*100</f>
        <v>0.05</v>
      </c>
      <c r="J23" s="21">
        <f t="shared" si="4"/>
        <v>0.05</v>
      </c>
    </row>
    <row r="24" spans="1:12" s="10" customFormat="1" ht="12" customHeight="1" x14ac:dyDescent="0.25">
      <c r="A24" s="184"/>
      <c r="B24" s="93" t="s">
        <v>385</v>
      </c>
      <c r="C24" s="112"/>
      <c r="D24" s="1028">
        <v>135</v>
      </c>
      <c r="E24" s="95"/>
      <c r="F24" s="95">
        <f>SUM(F19:F23)</f>
        <v>19.98</v>
      </c>
      <c r="G24" s="99"/>
      <c r="H24" s="1028">
        <v>1350</v>
      </c>
      <c r="I24" s="1028"/>
      <c r="J24" s="1028">
        <v>13500</v>
      </c>
    </row>
    <row r="25" spans="1:12" s="10" customFormat="1" ht="12" customHeight="1" x14ac:dyDescent="0.25">
      <c r="A25" s="180">
        <v>6</v>
      </c>
      <c r="B25" s="20" t="s">
        <v>31</v>
      </c>
      <c r="C25" s="111">
        <v>5.0000000000000001E-3</v>
      </c>
      <c r="D25" s="111">
        <v>5.0000000000000001E-3</v>
      </c>
      <c r="E25" s="408">
        <f>цены!F21</f>
        <v>710</v>
      </c>
      <c r="F25" s="408">
        <f>C25*E25</f>
        <v>3.55</v>
      </c>
      <c r="G25" s="97">
        <f>C25*10</f>
        <v>0.05</v>
      </c>
      <c r="H25" s="21">
        <f>D25*10</f>
        <v>0.05</v>
      </c>
      <c r="I25" s="21">
        <f>C25*100</f>
        <v>0.5</v>
      </c>
      <c r="J25" s="21">
        <f>D25*100</f>
        <v>0.5</v>
      </c>
    </row>
    <row r="26" spans="1:12" s="10" customFormat="1" ht="12" customHeight="1" x14ac:dyDescent="0.25">
      <c r="A26" s="184"/>
      <c r="B26" s="93" t="s">
        <v>100</v>
      </c>
      <c r="C26" s="112"/>
      <c r="D26" s="1028">
        <v>140</v>
      </c>
      <c r="E26" s="95"/>
      <c r="F26" s="95">
        <f>F24+F25</f>
        <v>23.53</v>
      </c>
      <c r="G26" s="99"/>
      <c r="H26" s="1028">
        <f>D26*10</f>
        <v>1400</v>
      </c>
      <c r="I26" s="1028"/>
      <c r="J26" s="1028">
        <f>D26*100</f>
        <v>14000</v>
      </c>
    </row>
    <row r="27" spans="1:12" s="10" customFormat="1" ht="26.4" customHeight="1" x14ac:dyDescent="0.25">
      <c r="A27" s="1536" t="s">
        <v>35</v>
      </c>
      <c r="B27" s="1536"/>
      <c r="C27" s="90"/>
      <c r="D27" s="90"/>
      <c r="E27" s="408"/>
      <c r="F27" s="408">
        <f>F26</f>
        <v>23.53</v>
      </c>
      <c r="G27" s="1067"/>
      <c r="H27" s="1067"/>
      <c r="I27" s="21"/>
      <c r="J27" s="408"/>
    </row>
    <row r="28" spans="1:12" s="10" customFormat="1" ht="22.35" customHeight="1" x14ac:dyDescent="0.25">
      <c r="A28" s="1536" t="s">
        <v>36</v>
      </c>
      <c r="B28" s="1536"/>
      <c r="C28" s="90">
        <v>140</v>
      </c>
      <c r="D28" s="90"/>
      <c r="E28" s="408"/>
      <c r="F28" s="408"/>
      <c r="G28" s="408"/>
      <c r="H28" s="408"/>
      <c r="I28" s="21"/>
      <c r="J28" s="17"/>
    </row>
    <row r="29" spans="1:12" s="10" customFormat="1" ht="25.35" customHeight="1" x14ac:dyDescent="0.25">
      <c r="A29" s="1539" t="s">
        <v>37</v>
      </c>
      <c r="B29" s="1562"/>
      <c r="C29" s="91">
        <v>140</v>
      </c>
      <c r="D29" s="92"/>
      <c r="E29" s="1068"/>
      <c r="F29" s="1068"/>
      <c r="G29" s="1068"/>
      <c r="H29" s="1068"/>
      <c r="I29" s="21"/>
      <c r="J29" s="17"/>
    </row>
    <row r="30" spans="1:12" s="10" customFormat="1" ht="15" customHeight="1" x14ac:dyDescent="0.25">
      <c r="A30" s="1539" t="s">
        <v>38</v>
      </c>
      <c r="B30" s="1540"/>
      <c r="C30" s="92">
        <f>C28/C29</f>
        <v>1</v>
      </c>
      <c r="D30" s="92"/>
      <c r="E30" s="1068"/>
      <c r="F30" s="1068"/>
      <c r="G30" s="1068"/>
      <c r="H30" s="1068"/>
      <c r="I30" s="21"/>
      <c r="J30" s="17"/>
    </row>
    <row r="31" spans="1:12" ht="16.350000000000001" customHeight="1" x14ac:dyDescent="0.25">
      <c r="A31" s="1541" t="s">
        <v>39</v>
      </c>
      <c r="B31" s="1542"/>
      <c r="C31" s="15" t="s">
        <v>40</v>
      </c>
      <c r="D31" s="102"/>
      <c r="E31" s="102" t="s">
        <v>40</v>
      </c>
      <c r="F31" s="16">
        <f>F27/C30</f>
        <v>23.53</v>
      </c>
      <c r="G31" s="16"/>
      <c r="H31" s="16"/>
      <c r="I31" s="102" t="s">
        <v>40</v>
      </c>
      <c r="J31" s="102" t="s">
        <v>40</v>
      </c>
    </row>
    <row r="32" spans="1:12" ht="23.1" customHeight="1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193"/>
      <c r="B33" s="1194" t="s">
        <v>49</v>
      </c>
      <c r="C33" s="1198"/>
      <c r="D33" s="1198"/>
      <c r="E33" s="1198"/>
      <c r="F33" s="1198"/>
      <c r="G33" s="1193"/>
      <c r="H33" s="1557">
        <f>'1-бутерброд с маслом'!$H$28</f>
        <v>0</v>
      </c>
      <c r="I33" s="1557"/>
      <c r="J33" s="1557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545" t="s">
        <v>327</v>
      </c>
      <c r="B35" s="1545"/>
      <c r="C35" s="1546" t="s">
        <v>328</v>
      </c>
      <c r="D35" s="1546"/>
      <c r="E35" s="1546"/>
      <c r="F35" s="1546"/>
      <c r="G35" s="106"/>
      <c r="H35" s="1531"/>
      <c r="I35" s="1531"/>
      <c r="J35" s="1531"/>
    </row>
    <row r="36" spans="1:10" x14ac:dyDescent="0.25">
      <c r="A36" s="1193"/>
      <c r="B36" s="1193"/>
      <c r="C36" s="1546"/>
      <c r="D36" s="1546"/>
      <c r="E36" s="1546"/>
      <c r="F36" s="1546"/>
      <c r="G36" s="1193"/>
      <c r="H36" s="1531" t="s">
        <v>329</v>
      </c>
      <c r="I36" s="1531"/>
      <c r="J36" s="1531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</sheetData>
  <mergeCells count="28">
    <mergeCell ref="H33:J33"/>
    <mergeCell ref="A13:G13"/>
    <mergeCell ref="A28:B28"/>
    <mergeCell ref="A29:B29"/>
    <mergeCell ref="A30:B30"/>
    <mergeCell ref="A31:B31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5:B35"/>
    <mergeCell ref="C35:F36"/>
    <mergeCell ref="H35:J35"/>
    <mergeCell ref="H36:J36"/>
    <mergeCell ref="H5:I5"/>
    <mergeCell ref="A6:G6"/>
    <mergeCell ref="A7:I7"/>
    <mergeCell ref="A27:B27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L40"/>
  <sheetViews>
    <sheetView view="pageBreakPreview" topLeftCell="A6" zoomScaleNormal="100" zoomScaleSheetLayoutView="100" workbookViewId="0">
      <selection activeCell="H33" sqref="H33:J33"/>
    </sheetView>
  </sheetViews>
  <sheetFormatPr defaultRowHeight="13.8" x14ac:dyDescent="0.25"/>
  <cols>
    <col min="1" max="1" width="4.109375" customWidth="1"/>
    <col min="2" max="2" width="24.44140625" customWidth="1"/>
    <col min="3" max="7" width="7.5546875" customWidth="1"/>
    <col min="8" max="8" width="8.44140625" customWidth="1"/>
    <col min="9" max="9" width="7.5546875" customWidth="1"/>
    <col min="10" max="10" width="9" customWidth="1"/>
    <col min="11" max="11" width="3.88671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151)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219</v>
      </c>
    </row>
    <row r="8" spans="1:10" s="2" customFormat="1" ht="9.6" customHeight="1" x14ac:dyDescent="0.25">
      <c r="A8" s="197"/>
      <c r="B8" s="197"/>
      <c r="C8" s="197"/>
      <c r="D8" s="197"/>
      <c r="E8" s="197"/>
      <c r="F8" s="197"/>
      <c r="G8" s="197"/>
      <c r="H8" s="197"/>
      <c r="I8" s="197"/>
      <c r="J8" s="109"/>
    </row>
    <row r="9" spans="1:10" s="2" customFormat="1" ht="26.1" customHeight="1" x14ac:dyDescent="0.3">
      <c r="A9" s="1550" t="s">
        <v>644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'213-омлет с картофелем'!H14+1</f>
        <v>151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2" ht="26.4" customHeight="1" x14ac:dyDescent="0.25">
      <c r="A17" s="1543"/>
      <c r="B17" s="1543"/>
      <c r="C17" s="194" t="s">
        <v>92</v>
      </c>
      <c r="D17" s="194" t="s">
        <v>94</v>
      </c>
      <c r="E17" s="194" t="s">
        <v>93</v>
      </c>
      <c r="F17" s="194" t="s">
        <v>23</v>
      </c>
      <c r="G17" s="194" t="s">
        <v>92</v>
      </c>
      <c r="H17" s="194" t="s">
        <v>94</v>
      </c>
      <c r="I17" s="194" t="s">
        <v>92</v>
      </c>
      <c r="J17" s="194" t="s">
        <v>94</v>
      </c>
    </row>
    <row r="18" spans="1:12" ht="9.6" customHeight="1" x14ac:dyDescent="0.25">
      <c r="A18" s="194">
        <v>1</v>
      </c>
      <c r="B18" s="196">
        <v>2</v>
      </c>
      <c r="C18" s="194">
        <v>3</v>
      </c>
      <c r="D18" s="196">
        <v>4</v>
      </c>
      <c r="E18" s="194">
        <v>5</v>
      </c>
      <c r="F18" s="196">
        <v>6</v>
      </c>
      <c r="G18" s="194">
        <v>7</v>
      </c>
      <c r="H18" s="196">
        <v>8</v>
      </c>
      <c r="I18" s="194">
        <v>9</v>
      </c>
      <c r="J18" s="196">
        <v>10</v>
      </c>
    </row>
    <row r="19" spans="1:12" s="10" customFormat="1" ht="12" customHeight="1" x14ac:dyDescent="0.25">
      <c r="A19" s="180">
        <v>1</v>
      </c>
      <c r="B19" s="20" t="s">
        <v>57</v>
      </c>
      <c r="C19" s="111">
        <v>5.0999999999999997E-2</v>
      </c>
      <c r="D19" s="111">
        <v>0.05</v>
      </c>
      <c r="E19" s="408">
        <f>цены!F23</f>
        <v>350</v>
      </c>
      <c r="F19" s="408">
        <f>C19*E19</f>
        <v>17.850000000000001</v>
      </c>
      <c r="G19" s="97">
        <f t="shared" ref="G19:H21" si="0">C19*10</f>
        <v>0.51</v>
      </c>
      <c r="H19" s="21">
        <f t="shared" si="0"/>
        <v>0.5</v>
      </c>
      <c r="I19" s="21">
        <f t="shared" ref="I19:J21" si="1">C19*100</f>
        <v>5.0999999999999996</v>
      </c>
      <c r="J19" s="21">
        <f t="shared" si="1"/>
        <v>5</v>
      </c>
      <c r="L19" s="10">
        <v>1.625</v>
      </c>
    </row>
    <row r="20" spans="1:12" s="10" customFormat="1" ht="12" customHeight="1" x14ac:dyDescent="0.25">
      <c r="A20" s="180">
        <v>2</v>
      </c>
      <c r="B20" s="20" t="s">
        <v>45</v>
      </c>
      <c r="C20" s="111">
        <v>7.0000000000000001E-3</v>
      </c>
      <c r="D20" s="111">
        <v>7.0000000000000001E-3</v>
      </c>
      <c r="E20" s="408">
        <f>цены!F74</f>
        <v>36</v>
      </c>
      <c r="F20" s="408">
        <f t="shared" ref="F20:F25" si="2">C20*E20</f>
        <v>0.25</v>
      </c>
      <c r="G20" s="97">
        <f t="shared" si="0"/>
        <v>7.0000000000000007E-2</v>
      </c>
      <c r="H20" s="21">
        <f t="shared" si="0"/>
        <v>7.0000000000000007E-2</v>
      </c>
      <c r="I20" s="21">
        <f t="shared" si="1"/>
        <v>0.7</v>
      </c>
      <c r="J20" s="21">
        <f t="shared" si="1"/>
        <v>0.7</v>
      </c>
    </row>
    <row r="21" spans="1:12" s="10" customFormat="1" ht="12" customHeight="1" x14ac:dyDescent="0.25">
      <c r="A21" s="180">
        <v>3</v>
      </c>
      <c r="B21" s="20" t="s">
        <v>387</v>
      </c>
      <c r="C21" s="111">
        <v>2.3E-3</v>
      </c>
      <c r="D21" s="111">
        <v>2E-3</v>
      </c>
      <c r="E21" s="408">
        <f>цены!F30</f>
        <v>152.16999999999999</v>
      </c>
      <c r="F21" s="408">
        <f t="shared" si="2"/>
        <v>0.35</v>
      </c>
      <c r="G21" s="97">
        <f t="shared" si="0"/>
        <v>2.3E-2</v>
      </c>
      <c r="H21" s="21">
        <f t="shared" si="0"/>
        <v>0.02</v>
      </c>
      <c r="I21" s="21">
        <f t="shared" si="1"/>
        <v>0.23</v>
      </c>
      <c r="J21" s="21">
        <f t="shared" si="1"/>
        <v>0.2</v>
      </c>
    </row>
    <row r="22" spans="1:12" s="10" customFormat="1" ht="12" customHeight="1" x14ac:dyDescent="0.25">
      <c r="A22" s="416"/>
      <c r="B22" s="93" t="s">
        <v>97</v>
      </c>
      <c r="C22" s="112"/>
      <c r="D22" s="112">
        <v>5.7000000000000002E-2</v>
      </c>
      <c r="E22" s="95"/>
      <c r="F22" s="95"/>
      <c r="G22" s="99"/>
      <c r="H22" s="100"/>
      <c r="I22" s="100"/>
      <c r="J22" s="100"/>
    </row>
    <row r="23" spans="1:12" s="10" customFormat="1" ht="12" customHeight="1" x14ac:dyDescent="0.25">
      <c r="A23" s="180">
        <v>4</v>
      </c>
      <c r="B23" s="20" t="s">
        <v>74</v>
      </c>
      <c r="C23" s="111">
        <v>3.0000000000000001E-3</v>
      </c>
      <c r="D23" s="111">
        <v>3.0000000000000001E-3</v>
      </c>
      <c r="E23" s="408">
        <f>цены!F87</f>
        <v>120</v>
      </c>
      <c r="F23" s="408">
        <f t="shared" si="2"/>
        <v>0.36</v>
      </c>
      <c r="G23" s="97">
        <f>C23*10</f>
        <v>0.03</v>
      </c>
      <c r="H23" s="21">
        <f>D23*10</f>
        <v>0.03</v>
      </c>
      <c r="I23" s="21">
        <f>C23*100</f>
        <v>0.3</v>
      </c>
      <c r="J23" s="21">
        <f>D23*100</f>
        <v>0.3</v>
      </c>
    </row>
    <row r="24" spans="1:12" s="10" customFormat="1" ht="12" customHeight="1" x14ac:dyDescent="0.25">
      <c r="A24" s="416"/>
      <c r="B24" s="93" t="s">
        <v>388</v>
      </c>
      <c r="C24" s="112"/>
      <c r="D24" s="112">
        <v>5.0000000000000001E-3</v>
      </c>
      <c r="E24" s="95"/>
      <c r="F24" s="95"/>
      <c r="G24" s="99"/>
      <c r="H24" s="100"/>
      <c r="I24" s="100"/>
      <c r="J24" s="100"/>
    </row>
    <row r="25" spans="1:12" s="10" customFormat="1" ht="12" customHeight="1" x14ac:dyDescent="0.25">
      <c r="A25" s="180">
        <v>5</v>
      </c>
      <c r="B25" s="20" t="s">
        <v>85</v>
      </c>
      <c r="C25" s="111">
        <v>0.02</v>
      </c>
      <c r="D25" s="111">
        <v>0.02</v>
      </c>
      <c r="E25" s="408">
        <f>цены!F25</f>
        <v>250</v>
      </c>
      <c r="F25" s="408">
        <f t="shared" si="2"/>
        <v>5</v>
      </c>
      <c r="G25" s="97">
        <f>C25*10</f>
        <v>0.2</v>
      </c>
      <c r="H25" s="21">
        <f>D25*10</f>
        <v>0.2</v>
      </c>
      <c r="I25" s="21">
        <f>C25*100</f>
        <v>2</v>
      </c>
      <c r="J25" s="21">
        <f>D25*100</f>
        <v>2</v>
      </c>
    </row>
    <row r="26" spans="1:12" s="10" customFormat="1" ht="12" customHeight="1" x14ac:dyDescent="0.25">
      <c r="A26" s="416"/>
      <c r="B26" s="93" t="s">
        <v>100</v>
      </c>
      <c r="C26" s="112"/>
      <c r="D26" s="112">
        <v>7.0000000000000007E-2</v>
      </c>
      <c r="E26" s="95"/>
      <c r="F26" s="95">
        <f>SUM(F19:F25)</f>
        <v>23.81</v>
      </c>
      <c r="G26" s="99"/>
      <c r="H26" s="100">
        <f>D26*10</f>
        <v>0.7</v>
      </c>
      <c r="I26" s="100"/>
      <c r="J26" s="100">
        <f>D26*100</f>
        <v>7</v>
      </c>
    </row>
    <row r="27" spans="1:12" s="10" customFormat="1" ht="26.4" customHeight="1" x14ac:dyDescent="0.25">
      <c r="A27" s="1539" t="s">
        <v>35</v>
      </c>
      <c r="B27" s="1562"/>
      <c r="C27" s="90"/>
      <c r="D27" s="90"/>
      <c r="E27" s="408"/>
      <c r="F27" s="408">
        <f>F26</f>
        <v>23.81</v>
      </c>
      <c r="G27" s="1067"/>
      <c r="H27" s="1067"/>
      <c r="I27" s="21"/>
      <c r="J27" s="13"/>
    </row>
    <row r="28" spans="1:12" s="10" customFormat="1" ht="22.35" customHeight="1" x14ac:dyDescent="0.25">
      <c r="A28" s="1536" t="s">
        <v>36</v>
      </c>
      <c r="B28" s="1536"/>
      <c r="C28" s="90">
        <v>70</v>
      </c>
      <c r="D28" s="90"/>
      <c r="E28" s="13"/>
      <c r="F28" s="13"/>
      <c r="G28" s="13"/>
      <c r="H28" s="13"/>
      <c r="I28" s="21"/>
      <c r="J28" s="17"/>
    </row>
    <row r="29" spans="1:12" s="10" customFormat="1" ht="25.35" customHeight="1" x14ac:dyDescent="0.25">
      <c r="A29" s="1539" t="s">
        <v>37</v>
      </c>
      <c r="B29" s="1562"/>
      <c r="C29" s="91">
        <v>70</v>
      </c>
      <c r="D29" s="92"/>
      <c r="E29" s="196"/>
      <c r="F29" s="196"/>
      <c r="G29" s="196"/>
      <c r="H29" s="196"/>
      <c r="I29" s="21"/>
      <c r="J29" s="17"/>
    </row>
    <row r="30" spans="1:12" s="10" customFormat="1" ht="15" customHeight="1" x14ac:dyDescent="0.25">
      <c r="A30" s="1539" t="s">
        <v>38</v>
      </c>
      <c r="B30" s="1540"/>
      <c r="C30" s="92">
        <f>C28/C29</f>
        <v>1</v>
      </c>
      <c r="D30" s="92"/>
      <c r="E30" s="196"/>
      <c r="F30" s="196"/>
      <c r="G30" s="196"/>
      <c r="H30" s="196"/>
      <c r="I30" s="21"/>
      <c r="J30" s="17"/>
    </row>
    <row r="31" spans="1:12" ht="16.350000000000001" customHeight="1" x14ac:dyDescent="0.25">
      <c r="A31" s="1541" t="s">
        <v>39</v>
      </c>
      <c r="B31" s="1542"/>
      <c r="C31" s="15" t="s">
        <v>40</v>
      </c>
      <c r="D31" s="102"/>
      <c r="E31" s="102" t="s">
        <v>40</v>
      </c>
      <c r="F31" s="16">
        <f>F27/C30</f>
        <v>23.81</v>
      </c>
      <c r="G31" s="16"/>
      <c r="H31" s="16"/>
      <c r="I31" s="102" t="s">
        <v>40</v>
      </c>
      <c r="J31" s="102" t="s">
        <v>40</v>
      </c>
    </row>
    <row r="32" spans="1:12" ht="23.1" customHeight="1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193"/>
      <c r="B33" s="1194" t="s">
        <v>49</v>
      </c>
      <c r="C33" s="1198"/>
      <c r="D33" s="1198"/>
      <c r="E33" s="1198"/>
      <c r="F33" s="1198"/>
      <c r="G33" s="1193"/>
      <c r="H33" s="1556">
        <f>'1-бутерброд с маслом'!$H$28</f>
        <v>0</v>
      </c>
      <c r="I33" s="1556"/>
      <c r="J33" s="1556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545" t="s">
        <v>327</v>
      </c>
      <c r="B35" s="1545"/>
      <c r="C35" s="1546" t="s">
        <v>328</v>
      </c>
      <c r="D35" s="1546"/>
      <c r="E35" s="1546"/>
      <c r="F35" s="1546"/>
      <c r="G35" s="106"/>
      <c r="H35" s="1531"/>
      <c r="I35" s="1531"/>
      <c r="J35" s="1531"/>
    </row>
    <row r="36" spans="1:10" x14ac:dyDescent="0.25">
      <c r="A36" s="1193"/>
      <c r="B36" s="1193"/>
      <c r="C36" s="1546"/>
      <c r="D36" s="1546"/>
      <c r="E36" s="1546"/>
      <c r="F36" s="1546"/>
      <c r="G36" s="1193"/>
      <c r="H36" s="1531" t="s">
        <v>329</v>
      </c>
      <c r="I36" s="1531"/>
      <c r="J36" s="1531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</sheetData>
  <mergeCells count="28">
    <mergeCell ref="H33:J33"/>
    <mergeCell ref="A13:G13"/>
    <mergeCell ref="A28:B28"/>
    <mergeCell ref="A29:B29"/>
    <mergeCell ref="A30:B30"/>
    <mergeCell ref="A31:B31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5:B35"/>
    <mergeCell ref="C35:F36"/>
    <mergeCell ref="H35:J35"/>
    <mergeCell ref="H36:J36"/>
    <mergeCell ref="H5:I5"/>
    <mergeCell ref="A6:G6"/>
    <mergeCell ref="A7:I7"/>
    <mergeCell ref="A27:B27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44"/>
  <sheetViews>
    <sheetView view="pageBreakPreview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407" customWidth="1"/>
    <col min="2" max="2" width="24.44140625" style="407" customWidth="1"/>
    <col min="3" max="7" width="7.5546875" style="407" customWidth="1"/>
    <col min="8" max="8" width="8.44140625" style="407" customWidth="1"/>
    <col min="9" max="9" width="7.5546875" style="407" customWidth="1"/>
    <col min="10" max="10" width="9" style="407" customWidth="1"/>
    <col min="11" max="11" width="3.6640625" style="407" customWidth="1"/>
    <col min="12" max="16384" width="8.88671875" style="40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152)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222</v>
      </c>
    </row>
    <row r="8" spans="1:10" s="2" customFormat="1" ht="9.6" customHeight="1" x14ac:dyDescent="0.25">
      <c r="A8" s="441"/>
      <c r="B8" s="441"/>
      <c r="C8" s="441"/>
      <c r="D8" s="441"/>
      <c r="E8" s="441"/>
      <c r="F8" s="441"/>
      <c r="G8" s="441"/>
      <c r="H8" s="441"/>
      <c r="I8" s="441"/>
      <c r="J8" s="109"/>
    </row>
    <row r="9" spans="1:10" s="2" customFormat="1" ht="26.1" customHeight="1" x14ac:dyDescent="0.3">
      <c r="A9" s="1550" t="s">
        <v>838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'219-сырники'!H14+1</f>
        <v>152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438" t="s">
        <v>92</v>
      </c>
      <c r="D17" s="438" t="s">
        <v>94</v>
      </c>
      <c r="E17" s="438" t="s">
        <v>93</v>
      </c>
      <c r="F17" s="438" t="s">
        <v>23</v>
      </c>
      <c r="G17" s="438" t="s">
        <v>92</v>
      </c>
      <c r="H17" s="438" t="s">
        <v>94</v>
      </c>
      <c r="I17" s="438" t="s">
        <v>92</v>
      </c>
      <c r="J17" s="438" t="s">
        <v>94</v>
      </c>
    </row>
    <row r="18" spans="1:10" ht="9.6" customHeight="1" x14ac:dyDescent="0.25">
      <c r="A18" s="438">
        <v>1</v>
      </c>
      <c r="B18" s="440">
        <v>2</v>
      </c>
      <c r="C18" s="438">
        <v>3</v>
      </c>
      <c r="D18" s="440">
        <v>4</v>
      </c>
      <c r="E18" s="438">
        <v>5</v>
      </c>
      <c r="F18" s="440">
        <v>6</v>
      </c>
      <c r="G18" s="438">
        <v>7</v>
      </c>
      <c r="H18" s="440">
        <v>8</v>
      </c>
      <c r="I18" s="438">
        <v>9</v>
      </c>
      <c r="J18" s="440">
        <v>10</v>
      </c>
    </row>
    <row r="19" spans="1:10" s="10" customFormat="1" ht="12" customHeight="1" x14ac:dyDescent="0.25">
      <c r="A19" s="180">
        <v>1</v>
      </c>
      <c r="B19" s="20" t="s">
        <v>57</v>
      </c>
      <c r="C19" s="111">
        <v>3.85E-2</v>
      </c>
      <c r="D19" s="111">
        <v>3.7999999999999999E-2</v>
      </c>
      <c r="E19" s="408">
        <f>цены!F23</f>
        <v>350</v>
      </c>
      <c r="F19" s="408">
        <f>C19*E19</f>
        <v>13.48</v>
      </c>
      <c r="G19" s="97">
        <f t="shared" ref="G19:H28" si="0">C19*10</f>
        <v>0.38500000000000001</v>
      </c>
      <c r="H19" s="21">
        <f t="shared" si="0"/>
        <v>0.38</v>
      </c>
      <c r="I19" s="21">
        <f t="shared" ref="I19:J28" si="1">C19*100</f>
        <v>3.85</v>
      </c>
      <c r="J19" s="21">
        <f t="shared" si="1"/>
        <v>3.8</v>
      </c>
    </row>
    <row r="20" spans="1:10" s="10" customFormat="1" ht="12" customHeight="1" x14ac:dyDescent="0.25">
      <c r="A20" s="180">
        <v>2</v>
      </c>
      <c r="B20" s="20" t="s">
        <v>66</v>
      </c>
      <c r="C20" s="111">
        <v>4.0000000000000001E-3</v>
      </c>
      <c r="D20" s="111">
        <v>4.0000000000000001E-3</v>
      </c>
      <c r="E20" s="408">
        <f>цены!F76</f>
        <v>40</v>
      </c>
      <c r="F20" s="408">
        <f t="shared" ref="F20:F29" si="2">C20*E20</f>
        <v>0.16</v>
      </c>
      <c r="G20" s="97">
        <f t="shared" si="0"/>
        <v>0.04</v>
      </c>
      <c r="H20" s="21">
        <f t="shared" si="0"/>
        <v>0.04</v>
      </c>
      <c r="I20" s="21">
        <f t="shared" si="1"/>
        <v>0.4</v>
      </c>
      <c r="J20" s="21">
        <f t="shared" si="1"/>
        <v>0.4</v>
      </c>
    </row>
    <row r="21" spans="1:10" s="10" customFormat="1" ht="12" customHeight="1" x14ac:dyDescent="0.25">
      <c r="A21" s="180">
        <v>3</v>
      </c>
      <c r="B21" s="20" t="s">
        <v>30</v>
      </c>
      <c r="C21" s="111">
        <v>4.0000000000000001E-3</v>
      </c>
      <c r="D21" s="111">
        <v>4.0000000000000001E-3</v>
      </c>
      <c r="E21" s="408">
        <f>цены!F107</f>
        <v>76</v>
      </c>
      <c r="F21" s="408">
        <f t="shared" si="2"/>
        <v>0.3</v>
      </c>
      <c r="G21" s="97">
        <f t="shared" si="0"/>
        <v>0.04</v>
      </c>
      <c r="H21" s="21">
        <f t="shared" si="0"/>
        <v>0.04</v>
      </c>
      <c r="I21" s="21">
        <f t="shared" si="1"/>
        <v>0.4</v>
      </c>
      <c r="J21" s="21">
        <f t="shared" si="1"/>
        <v>0.4</v>
      </c>
    </row>
    <row r="22" spans="1:10" s="10" customFormat="1" ht="12" customHeight="1" x14ac:dyDescent="0.25">
      <c r="A22" s="180">
        <v>4</v>
      </c>
      <c r="B22" s="20" t="s">
        <v>387</v>
      </c>
      <c r="C22" s="111">
        <v>2.3E-3</v>
      </c>
      <c r="D22" s="111">
        <v>2E-3</v>
      </c>
      <c r="E22" s="408">
        <f>цены!F30</f>
        <v>152.16999999999999</v>
      </c>
      <c r="F22" s="408">
        <f t="shared" si="2"/>
        <v>0.35</v>
      </c>
      <c r="G22" s="97">
        <f t="shared" si="0"/>
        <v>2.3E-2</v>
      </c>
      <c r="H22" s="21">
        <f t="shared" si="0"/>
        <v>0.02</v>
      </c>
      <c r="I22" s="21">
        <f t="shared" si="1"/>
        <v>0.23</v>
      </c>
      <c r="J22" s="21">
        <f t="shared" si="1"/>
        <v>0.2</v>
      </c>
    </row>
    <row r="23" spans="1:10" s="10" customFormat="1" ht="12" customHeight="1" x14ac:dyDescent="0.25">
      <c r="A23" s="180"/>
      <c r="B23" s="20" t="s">
        <v>289</v>
      </c>
      <c r="C23" s="111">
        <v>5.1000000000000004E-3</v>
      </c>
      <c r="D23" s="111">
        <v>5.0000000000000001E-3</v>
      </c>
      <c r="E23" s="408">
        <f>цены!F94</f>
        <v>400</v>
      </c>
      <c r="F23" s="408">
        <f t="shared" si="2"/>
        <v>2.04</v>
      </c>
      <c r="G23" s="97">
        <f t="shared" si="0"/>
        <v>5.0999999999999997E-2</v>
      </c>
      <c r="H23" s="21">
        <f t="shared" si="0"/>
        <v>0.05</v>
      </c>
      <c r="I23" s="21">
        <f t="shared" si="1"/>
        <v>0.51</v>
      </c>
      <c r="J23" s="21">
        <f t="shared" si="1"/>
        <v>0.5</v>
      </c>
    </row>
    <row r="24" spans="1:10" s="10" customFormat="1" ht="12" customHeight="1" x14ac:dyDescent="0.25">
      <c r="A24" s="180"/>
      <c r="B24" s="20" t="s">
        <v>31</v>
      </c>
      <c r="C24" s="111">
        <v>2E-3</v>
      </c>
      <c r="D24" s="111">
        <v>2E-3</v>
      </c>
      <c r="E24" s="408">
        <f>цены!F21</f>
        <v>710</v>
      </c>
      <c r="F24" s="408">
        <f t="shared" si="2"/>
        <v>1.42</v>
      </c>
      <c r="G24" s="97">
        <f t="shared" si="0"/>
        <v>0.02</v>
      </c>
      <c r="H24" s="21">
        <f t="shared" si="0"/>
        <v>0.02</v>
      </c>
      <c r="I24" s="21">
        <f t="shared" si="1"/>
        <v>0.2</v>
      </c>
      <c r="J24" s="21">
        <f t="shared" si="1"/>
        <v>0.2</v>
      </c>
    </row>
    <row r="25" spans="1:10" s="10" customFormat="1" ht="12" customHeight="1" x14ac:dyDescent="0.25">
      <c r="A25" s="180"/>
      <c r="B25" s="20" t="s">
        <v>56</v>
      </c>
      <c r="C25" s="125">
        <v>1.0000000000000001E-5</v>
      </c>
      <c r="D25" s="125">
        <v>1.0000000000000001E-5</v>
      </c>
      <c r="E25" s="408">
        <f>цены!F90</f>
        <v>5000</v>
      </c>
      <c r="F25" s="408">
        <f t="shared" si="2"/>
        <v>0.05</v>
      </c>
      <c r="G25" s="97">
        <f t="shared" si="0"/>
        <v>0</v>
      </c>
      <c r="H25" s="21">
        <f t="shared" si="0"/>
        <v>0</v>
      </c>
      <c r="I25" s="21">
        <f t="shared" si="1"/>
        <v>1E-3</v>
      </c>
      <c r="J25" s="21">
        <f t="shared" si="1"/>
        <v>1E-3</v>
      </c>
    </row>
    <row r="26" spans="1:10" s="10" customFormat="1" ht="12" customHeight="1" x14ac:dyDescent="0.25">
      <c r="A26" s="180"/>
      <c r="B26" s="20" t="s">
        <v>77</v>
      </c>
      <c r="C26" s="125">
        <v>2E-3</v>
      </c>
      <c r="D26" s="125">
        <v>2E-3</v>
      </c>
      <c r="E26" s="408">
        <f>цены!F111</f>
        <v>118</v>
      </c>
      <c r="F26" s="408">
        <f t="shared" si="2"/>
        <v>0.24</v>
      </c>
      <c r="G26" s="97">
        <f t="shared" si="0"/>
        <v>0.02</v>
      </c>
      <c r="H26" s="21">
        <f t="shared" si="0"/>
        <v>0.02</v>
      </c>
      <c r="I26" s="21">
        <f t="shared" si="1"/>
        <v>0.2</v>
      </c>
      <c r="J26" s="21">
        <f t="shared" si="1"/>
        <v>0.2</v>
      </c>
    </row>
    <row r="27" spans="1:10" s="10" customFormat="1" ht="12" customHeight="1" x14ac:dyDescent="0.25">
      <c r="A27" s="180"/>
      <c r="B27" s="20" t="s">
        <v>51</v>
      </c>
      <c r="C27" s="125">
        <v>2E-3</v>
      </c>
      <c r="D27" s="125">
        <v>2E-3</v>
      </c>
      <c r="E27" s="408">
        <f>цены!F24</f>
        <v>234</v>
      </c>
      <c r="F27" s="408">
        <f t="shared" si="2"/>
        <v>0.47</v>
      </c>
      <c r="G27" s="97">
        <f t="shared" si="0"/>
        <v>0.02</v>
      </c>
      <c r="H27" s="21">
        <f t="shared" si="0"/>
        <v>0.02</v>
      </c>
      <c r="I27" s="21">
        <f t="shared" si="1"/>
        <v>0.2</v>
      </c>
      <c r="J27" s="21">
        <f t="shared" si="1"/>
        <v>0.2</v>
      </c>
    </row>
    <row r="28" spans="1:10" s="10" customFormat="1" ht="12" customHeight="1" x14ac:dyDescent="0.25">
      <c r="A28" s="184"/>
      <c r="B28" s="93" t="s">
        <v>694</v>
      </c>
      <c r="C28" s="114"/>
      <c r="D28" s="114">
        <v>0.05</v>
      </c>
      <c r="E28" s="95"/>
      <c r="F28" s="95"/>
      <c r="G28" s="99"/>
      <c r="H28" s="100">
        <f t="shared" si="0"/>
        <v>0.5</v>
      </c>
      <c r="I28" s="100"/>
      <c r="J28" s="100">
        <f t="shared" si="1"/>
        <v>5</v>
      </c>
    </row>
    <row r="29" spans="1:10" s="10" customFormat="1" ht="12" customHeight="1" x14ac:dyDescent="0.25">
      <c r="A29" s="180">
        <v>8</v>
      </c>
      <c r="B29" s="20" t="s">
        <v>85</v>
      </c>
      <c r="C29" s="111">
        <v>0.02</v>
      </c>
      <c r="D29" s="111">
        <v>0.02</v>
      </c>
      <c r="E29" s="408">
        <f>цены!F25</f>
        <v>250</v>
      </c>
      <c r="F29" s="408">
        <f t="shared" si="2"/>
        <v>5</v>
      </c>
      <c r="G29" s="97">
        <f>C29*10</f>
        <v>0.2</v>
      </c>
      <c r="H29" s="21">
        <f>D29*10</f>
        <v>0.2</v>
      </c>
      <c r="I29" s="21">
        <f>C29*100</f>
        <v>2</v>
      </c>
      <c r="J29" s="21">
        <f>D29*100</f>
        <v>2</v>
      </c>
    </row>
    <row r="30" spans="1:10" s="10" customFormat="1" ht="12" customHeight="1" x14ac:dyDescent="0.25">
      <c r="A30" s="184"/>
      <c r="B30" s="93" t="s">
        <v>100</v>
      </c>
      <c r="C30" s="112"/>
      <c r="D30" s="112">
        <v>7.0000000000000007E-2</v>
      </c>
      <c r="E30" s="95"/>
      <c r="F30" s="95">
        <f>SUM(F19:F29)</f>
        <v>23.51</v>
      </c>
      <c r="G30" s="99"/>
      <c r="H30" s="100">
        <f>D30*10</f>
        <v>0.7</v>
      </c>
      <c r="I30" s="100"/>
      <c r="J30" s="100">
        <f>D30*100</f>
        <v>7</v>
      </c>
    </row>
    <row r="31" spans="1:10" s="10" customFormat="1" ht="26.4" customHeight="1" x14ac:dyDescent="0.25">
      <c r="A31" s="1536" t="s">
        <v>35</v>
      </c>
      <c r="B31" s="1536"/>
      <c r="C31" s="90"/>
      <c r="D31" s="90"/>
      <c r="E31" s="408"/>
      <c r="F31" s="408">
        <f>F30</f>
        <v>23.51</v>
      </c>
      <c r="G31" s="439"/>
      <c r="H31" s="439"/>
      <c r="I31" s="21"/>
      <c r="J31" s="408"/>
    </row>
    <row r="32" spans="1:10" s="10" customFormat="1" ht="22.35" customHeight="1" x14ac:dyDescent="0.25">
      <c r="A32" s="1536" t="s">
        <v>36</v>
      </c>
      <c r="B32" s="1536"/>
      <c r="C32" s="90">
        <v>70</v>
      </c>
      <c r="D32" s="90"/>
      <c r="E32" s="408"/>
      <c r="F32" s="408"/>
      <c r="G32" s="408"/>
      <c r="H32" s="408"/>
      <c r="I32" s="21"/>
      <c r="J32" s="17"/>
    </row>
    <row r="33" spans="1:10" s="10" customFormat="1" ht="25.35" customHeight="1" x14ac:dyDescent="0.25">
      <c r="A33" s="1539" t="s">
        <v>37</v>
      </c>
      <c r="B33" s="1562"/>
      <c r="C33" s="91">
        <v>70</v>
      </c>
      <c r="D33" s="92"/>
      <c r="E33" s="440"/>
      <c r="F33" s="440"/>
      <c r="G33" s="440"/>
      <c r="H33" s="440"/>
      <c r="I33" s="21"/>
      <c r="J33" s="17"/>
    </row>
    <row r="34" spans="1:10" s="10" customFormat="1" ht="15" customHeight="1" x14ac:dyDescent="0.25">
      <c r="A34" s="1539" t="s">
        <v>38</v>
      </c>
      <c r="B34" s="1540"/>
      <c r="C34" s="92">
        <f>C32/C33</f>
        <v>1</v>
      </c>
      <c r="D34" s="92"/>
      <c r="E34" s="440"/>
      <c r="F34" s="440"/>
      <c r="G34" s="440"/>
      <c r="H34" s="440"/>
      <c r="I34" s="21"/>
      <c r="J34" s="17"/>
    </row>
    <row r="35" spans="1:10" ht="16.350000000000001" customHeight="1" x14ac:dyDescent="0.25">
      <c r="A35" s="1541" t="s">
        <v>39</v>
      </c>
      <c r="B35" s="1542"/>
      <c r="C35" s="15" t="s">
        <v>40</v>
      </c>
      <c r="D35" s="102"/>
      <c r="E35" s="102" t="s">
        <v>40</v>
      </c>
      <c r="F35" s="16">
        <f>F31/C34</f>
        <v>23.51</v>
      </c>
      <c r="G35" s="16"/>
      <c r="H35" s="16"/>
      <c r="I35" s="102" t="s">
        <v>40</v>
      </c>
      <c r="J35" s="102" t="s">
        <v>40</v>
      </c>
    </row>
    <row r="36" spans="1:10" ht="23.1" customHeight="1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193"/>
      <c r="B37" s="1194" t="s">
        <v>49</v>
      </c>
      <c r="C37" s="1198"/>
      <c r="D37" s="1198"/>
      <c r="E37" s="1198"/>
      <c r="F37" s="1198"/>
      <c r="G37" s="1193"/>
      <c r="H37" s="1557">
        <f>'1-бутерброд с маслом'!$H$28</f>
        <v>0</v>
      </c>
      <c r="I37" s="1557"/>
      <c r="J37" s="1557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545" t="s">
        <v>327</v>
      </c>
      <c r="B39" s="1545"/>
      <c r="C39" s="1546" t="s">
        <v>328</v>
      </c>
      <c r="D39" s="1546"/>
      <c r="E39" s="1546"/>
      <c r="F39" s="1546"/>
      <c r="G39" s="106"/>
      <c r="H39" s="1531"/>
      <c r="I39" s="1531"/>
      <c r="J39" s="1531"/>
    </row>
    <row r="40" spans="1:10" x14ac:dyDescent="0.25">
      <c r="A40" s="1193"/>
      <c r="B40" s="1193"/>
      <c r="C40" s="1546"/>
      <c r="D40" s="1546"/>
      <c r="E40" s="1546"/>
      <c r="F40" s="1546"/>
      <c r="G40" s="1193"/>
      <c r="H40" s="1531" t="s">
        <v>329</v>
      </c>
      <c r="I40" s="1531"/>
      <c r="J40" s="1531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37:J37"/>
    <mergeCell ref="A13:G13"/>
    <mergeCell ref="A32:B32"/>
    <mergeCell ref="A33:B33"/>
    <mergeCell ref="A34:B34"/>
    <mergeCell ref="A35:B35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9:B39"/>
    <mergeCell ref="C39:F40"/>
    <mergeCell ref="H39:J39"/>
    <mergeCell ref="H40:J40"/>
    <mergeCell ref="H5:I5"/>
    <mergeCell ref="A6:G6"/>
    <mergeCell ref="A7:I7"/>
    <mergeCell ref="A31:B31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44"/>
  <sheetViews>
    <sheetView view="pageBreakPreview" zoomScaleNormal="100" zoomScaleSheetLayoutView="100" workbookViewId="0">
      <selection activeCell="H15" sqref="H15"/>
    </sheetView>
  </sheetViews>
  <sheetFormatPr defaultColWidth="8.88671875" defaultRowHeight="13.8" x14ac:dyDescent="0.25"/>
  <cols>
    <col min="1" max="1" width="4.109375" style="892" customWidth="1"/>
    <col min="2" max="2" width="24.44140625" style="892" customWidth="1"/>
    <col min="3" max="7" width="7.5546875" style="892" customWidth="1"/>
    <col min="8" max="8" width="8.44140625" style="892" customWidth="1"/>
    <col min="9" max="9" width="7.5546875" style="892" customWidth="1"/>
    <col min="10" max="10" width="9" style="892" customWidth="1"/>
    <col min="11" max="11" width="4.33203125" style="892" customWidth="1"/>
    <col min="12" max="16384" width="8.88671875" style="892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153)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222</v>
      </c>
    </row>
    <row r="8" spans="1:10" s="2" customFormat="1" ht="9.6" customHeight="1" x14ac:dyDescent="0.25">
      <c r="A8" s="893"/>
      <c r="B8" s="893"/>
      <c r="C8" s="893"/>
      <c r="D8" s="893"/>
      <c r="E8" s="893"/>
      <c r="F8" s="893"/>
      <c r="G8" s="893"/>
      <c r="H8" s="893"/>
      <c r="I8" s="893"/>
      <c r="J8" s="109"/>
    </row>
    <row r="9" spans="1:10" s="2" customFormat="1" ht="26.1" customHeight="1" x14ac:dyDescent="0.3">
      <c r="A9" s="1550" t="s">
        <v>838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'222-пудинг'!H14+1</f>
        <v>153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894" t="s">
        <v>92</v>
      </c>
      <c r="D17" s="894" t="s">
        <v>94</v>
      </c>
      <c r="E17" s="894" t="s">
        <v>93</v>
      </c>
      <c r="F17" s="894" t="s">
        <v>23</v>
      </c>
      <c r="G17" s="894" t="s">
        <v>92</v>
      </c>
      <c r="H17" s="894" t="s">
        <v>94</v>
      </c>
      <c r="I17" s="894" t="s">
        <v>92</v>
      </c>
      <c r="J17" s="894" t="s">
        <v>94</v>
      </c>
    </row>
    <row r="18" spans="1:10" ht="9.6" customHeight="1" x14ac:dyDescent="0.25">
      <c r="A18" s="894">
        <v>1</v>
      </c>
      <c r="B18" s="895">
        <v>2</v>
      </c>
      <c r="C18" s="894">
        <v>3</v>
      </c>
      <c r="D18" s="895">
        <v>4</v>
      </c>
      <c r="E18" s="894">
        <v>5</v>
      </c>
      <c r="F18" s="895">
        <v>6</v>
      </c>
      <c r="G18" s="894">
        <v>7</v>
      </c>
      <c r="H18" s="895">
        <v>8</v>
      </c>
      <c r="I18" s="894">
        <v>9</v>
      </c>
      <c r="J18" s="895">
        <v>10</v>
      </c>
    </row>
    <row r="19" spans="1:10" s="10" customFormat="1" ht="12" customHeight="1" x14ac:dyDescent="0.25">
      <c r="A19" s="180">
        <v>1</v>
      </c>
      <c r="B19" s="20" t="s">
        <v>57</v>
      </c>
      <c r="C19" s="111">
        <v>9.2399999999999996E-2</v>
      </c>
      <c r="D19" s="111">
        <v>9.1200000000000003E-2</v>
      </c>
      <c r="E19" s="408">
        <f>цены!F23</f>
        <v>350</v>
      </c>
      <c r="F19" s="408">
        <f>C19*E19</f>
        <v>32.340000000000003</v>
      </c>
      <c r="G19" s="97">
        <f t="shared" ref="G19:H28" si="0">C19*10</f>
        <v>0.92400000000000004</v>
      </c>
      <c r="H19" s="21">
        <f t="shared" si="0"/>
        <v>0.91200000000000003</v>
      </c>
      <c r="I19" s="21">
        <f t="shared" ref="I19:J28" si="1">C19*100</f>
        <v>9.24</v>
      </c>
      <c r="J19" s="21">
        <f t="shared" si="1"/>
        <v>9.1199999999999992</v>
      </c>
    </row>
    <row r="20" spans="1:10" s="10" customFormat="1" ht="12" customHeight="1" x14ac:dyDescent="0.25">
      <c r="A20" s="180">
        <v>2</v>
      </c>
      <c r="B20" s="20" t="s">
        <v>66</v>
      </c>
      <c r="C20" s="111">
        <v>0.01</v>
      </c>
      <c r="D20" s="111">
        <v>0.01</v>
      </c>
      <c r="E20" s="408">
        <f>цены!F76</f>
        <v>40</v>
      </c>
      <c r="F20" s="408">
        <f t="shared" ref="F20:F29" si="2">C20*E20</f>
        <v>0.4</v>
      </c>
      <c r="G20" s="97">
        <f t="shared" si="0"/>
        <v>0.1</v>
      </c>
      <c r="H20" s="21">
        <f t="shared" si="0"/>
        <v>0.1</v>
      </c>
      <c r="I20" s="21">
        <f t="shared" si="1"/>
        <v>1</v>
      </c>
      <c r="J20" s="21">
        <f t="shared" si="1"/>
        <v>1</v>
      </c>
    </row>
    <row r="21" spans="1:10" s="10" customFormat="1" ht="12" customHeight="1" x14ac:dyDescent="0.25">
      <c r="A21" s="180">
        <v>3</v>
      </c>
      <c r="B21" s="20" t="s">
        <v>30</v>
      </c>
      <c r="C21" s="111">
        <v>0.01</v>
      </c>
      <c r="D21" s="111">
        <v>0.01</v>
      </c>
      <c r="E21" s="408">
        <f>цены!F107</f>
        <v>76</v>
      </c>
      <c r="F21" s="408">
        <f t="shared" si="2"/>
        <v>0.76</v>
      </c>
      <c r="G21" s="97">
        <f t="shared" si="0"/>
        <v>0.1</v>
      </c>
      <c r="H21" s="21">
        <f t="shared" si="0"/>
        <v>0.1</v>
      </c>
      <c r="I21" s="21">
        <f t="shared" si="1"/>
        <v>1</v>
      </c>
      <c r="J21" s="21">
        <f t="shared" si="1"/>
        <v>1</v>
      </c>
    </row>
    <row r="22" spans="1:10" s="10" customFormat="1" ht="12" customHeight="1" x14ac:dyDescent="0.25">
      <c r="A22" s="180">
        <v>4</v>
      </c>
      <c r="B22" s="20" t="s">
        <v>387</v>
      </c>
      <c r="C22" s="111">
        <v>6.0000000000000001E-3</v>
      </c>
      <c r="D22" s="111">
        <v>5.0000000000000001E-3</v>
      </c>
      <c r="E22" s="408">
        <f>цены!F30</f>
        <v>152.16999999999999</v>
      </c>
      <c r="F22" s="408">
        <f t="shared" si="2"/>
        <v>0.91</v>
      </c>
      <c r="G22" s="97">
        <f t="shared" si="0"/>
        <v>0.06</v>
      </c>
      <c r="H22" s="21">
        <f t="shared" si="0"/>
        <v>0.05</v>
      </c>
      <c r="I22" s="21">
        <f t="shared" si="1"/>
        <v>0.6</v>
      </c>
      <c r="J22" s="21">
        <f t="shared" si="1"/>
        <v>0.5</v>
      </c>
    </row>
    <row r="23" spans="1:10" s="10" customFormat="1" ht="12" customHeight="1" x14ac:dyDescent="0.25">
      <c r="A23" s="180"/>
      <c r="B23" s="20" t="s">
        <v>289</v>
      </c>
      <c r="C23" s="111">
        <v>1.2E-2</v>
      </c>
      <c r="D23" s="111">
        <v>1.2E-2</v>
      </c>
      <c r="E23" s="408">
        <f>цены!F94</f>
        <v>400</v>
      </c>
      <c r="F23" s="408">
        <f t="shared" si="2"/>
        <v>4.8</v>
      </c>
      <c r="G23" s="97">
        <f t="shared" si="0"/>
        <v>0.12</v>
      </c>
      <c r="H23" s="21">
        <f t="shared" si="0"/>
        <v>0.12</v>
      </c>
      <c r="I23" s="21">
        <f t="shared" si="1"/>
        <v>1.2</v>
      </c>
      <c r="J23" s="21">
        <f t="shared" si="1"/>
        <v>1.2</v>
      </c>
    </row>
    <row r="24" spans="1:10" s="10" customFormat="1" ht="12" customHeight="1" x14ac:dyDescent="0.25">
      <c r="A24" s="180"/>
      <c r="B24" s="20" t="s">
        <v>31</v>
      </c>
      <c r="C24" s="111">
        <v>5.0000000000000001E-3</v>
      </c>
      <c r="D24" s="111">
        <v>5.0000000000000001E-3</v>
      </c>
      <c r="E24" s="408">
        <f>цены!F21</f>
        <v>710</v>
      </c>
      <c r="F24" s="408">
        <f t="shared" si="2"/>
        <v>3.55</v>
      </c>
      <c r="G24" s="97">
        <f t="shared" si="0"/>
        <v>0.05</v>
      </c>
      <c r="H24" s="21">
        <f t="shared" si="0"/>
        <v>0.05</v>
      </c>
      <c r="I24" s="21">
        <f t="shared" si="1"/>
        <v>0.5</v>
      </c>
      <c r="J24" s="21">
        <f t="shared" si="1"/>
        <v>0.5</v>
      </c>
    </row>
    <row r="25" spans="1:10" s="10" customFormat="1" ht="12" customHeight="1" x14ac:dyDescent="0.25">
      <c r="A25" s="180"/>
      <c r="B25" s="20" t="s">
        <v>56</v>
      </c>
      <c r="C25" s="125">
        <v>2.0000000000000002E-5</v>
      </c>
      <c r="D25" s="125">
        <v>2.0000000000000002E-5</v>
      </c>
      <c r="E25" s="408">
        <f>цены!F90</f>
        <v>5000</v>
      </c>
      <c r="F25" s="408">
        <f t="shared" si="2"/>
        <v>0.1</v>
      </c>
      <c r="G25" s="97">
        <f t="shared" si="0"/>
        <v>0</v>
      </c>
      <c r="H25" s="21">
        <f t="shared" si="0"/>
        <v>0</v>
      </c>
      <c r="I25" s="21">
        <f t="shared" si="1"/>
        <v>2E-3</v>
      </c>
      <c r="J25" s="21">
        <f t="shared" si="1"/>
        <v>2E-3</v>
      </c>
    </row>
    <row r="26" spans="1:10" s="10" customFormat="1" ht="12" customHeight="1" x14ac:dyDescent="0.25">
      <c r="A26" s="180"/>
      <c r="B26" s="20" t="s">
        <v>77</v>
      </c>
      <c r="C26" s="125">
        <v>5.0000000000000001E-3</v>
      </c>
      <c r="D26" s="125">
        <v>5.0000000000000001E-3</v>
      </c>
      <c r="E26" s="408">
        <f>цены!F111</f>
        <v>118</v>
      </c>
      <c r="F26" s="408">
        <f t="shared" si="2"/>
        <v>0.59</v>
      </c>
      <c r="G26" s="97">
        <f t="shared" si="0"/>
        <v>0.05</v>
      </c>
      <c r="H26" s="21">
        <f t="shared" si="0"/>
        <v>0.05</v>
      </c>
      <c r="I26" s="21">
        <f t="shared" si="1"/>
        <v>0.5</v>
      </c>
      <c r="J26" s="21">
        <f t="shared" si="1"/>
        <v>0.5</v>
      </c>
    </row>
    <row r="27" spans="1:10" s="10" customFormat="1" ht="12" customHeight="1" x14ac:dyDescent="0.25">
      <c r="A27" s="180"/>
      <c r="B27" s="20" t="s">
        <v>51</v>
      </c>
      <c r="C27" s="125">
        <v>5.0000000000000001E-3</v>
      </c>
      <c r="D27" s="125">
        <v>5.0000000000000001E-3</v>
      </c>
      <c r="E27" s="408">
        <f>цены!F24</f>
        <v>234</v>
      </c>
      <c r="F27" s="408">
        <f t="shared" si="2"/>
        <v>1.17</v>
      </c>
      <c r="G27" s="97">
        <f t="shared" si="0"/>
        <v>0.05</v>
      </c>
      <c r="H27" s="21">
        <f t="shared" si="0"/>
        <v>0.05</v>
      </c>
      <c r="I27" s="21">
        <f t="shared" si="1"/>
        <v>0.5</v>
      </c>
      <c r="J27" s="21">
        <f t="shared" si="1"/>
        <v>0.5</v>
      </c>
    </row>
    <row r="28" spans="1:10" s="10" customFormat="1" ht="12" customHeight="1" x14ac:dyDescent="0.25">
      <c r="A28" s="184"/>
      <c r="B28" s="93" t="s">
        <v>694</v>
      </c>
      <c r="C28" s="114"/>
      <c r="D28" s="114">
        <v>0.12</v>
      </c>
      <c r="E28" s="95"/>
      <c r="F28" s="95"/>
      <c r="G28" s="99"/>
      <c r="H28" s="100">
        <f t="shared" si="0"/>
        <v>1.2</v>
      </c>
      <c r="I28" s="100"/>
      <c r="J28" s="100">
        <f t="shared" si="1"/>
        <v>12</v>
      </c>
    </row>
    <row r="29" spans="1:10" s="10" customFormat="1" ht="12" customHeight="1" x14ac:dyDescent="0.25">
      <c r="A29" s="180">
        <v>8</v>
      </c>
      <c r="B29" s="20" t="s">
        <v>85</v>
      </c>
      <c r="C29" s="111">
        <v>0.03</v>
      </c>
      <c r="D29" s="111">
        <v>0.03</v>
      </c>
      <c r="E29" s="408">
        <f>цены!F25</f>
        <v>250</v>
      </c>
      <c r="F29" s="408">
        <f t="shared" si="2"/>
        <v>7.5</v>
      </c>
      <c r="G29" s="97">
        <f>C29*10</f>
        <v>0.3</v>
      </c>
      <c r="H29" s="21">
        <f>D29*10</f>
        <v>0.3</v>
      </c>
      <c r="I29" s="21">
        <f>C29*100</f>
        <v>3</v>
      </c>
      <c r="J29" s="21">
        <f>D29*100</f>
        <v>3</v>
      </c>
    </row>
    <row r="30" spans="1:10" s="10" customFormat="1" ht="12" customHeight="1" x14ac:dyDescent="0.25">
      <c r="A30" s="184"/>
      <c r="B30" s="93" t="s">
        <v>100</v>
      </c>
      <c r="C30" s="112"/>
      <c r="D30" s="112">
        <v>0.15</v>
      </c>
      <c r="E30" s="95"/>
      <c r="F30" s="95">
        <f>SUM(F19:F29)</f>
        <v>52.12</v>
      </c>
      <c r="G30" s="99"/>
      <c r="H30" s="100">
        <f>D30*10</f>
        <v>1.5</v>
      </c>
      <c r="I30" s="100"/>
      <c r="J30" s="100">
        <f>D30*100</f>
        <v>15</v>
      </c>
    </row>
    <row r="31" spans="1:10" s="10" customFormat="1" ht="26.4" customHeight="1" x14ac:dyDescent="0.25">
      <c r="A31" s="1536" t="s">
        <v>35</v>
      </c>
      <c r="B31" s="1536"/>
      <c r="C31" s="90"/>
      <c r="D31" s="90"/>
      <c r="E31" s="408"/>
      <c r="F31" s="408">
        <f>F30</f>
        <v>52.12</v>
      </c>
      <c r="G31" s="896"/>
      <c r="H31" s="896"/>
      <c r="I31" s="21"/>
      <c r="J31" s="408"/>
    </row>
    <row r="32" spans="1:10" s="10" customFormat="1" ht="22.35" customHeight="1" x14ac:dyDescent="0.25">
      <c r="A32" s="1536" t="s">
        <v>36</v>
      </c>
      <c r="B32" s="1536"/>
      <c r="C32" s="90">
        <v>150</v>
      </c>
      <c r="D32" s="90"/>
      <c r="E32" s="408"/>
      <c r="F32" s="408"/>
      <c r="G32" s="408"/>
      <c r="H32" s="408"/>
      <c r="I32" s="21"/>
      <c r="J32" s="17"/>
    </row>
    <row r="33" spans="1:10" s="10" customFormat="1" ht="25.35" customHeight="1" x14ac:dyDescent="0.25">
      <c r="A33" s="1539" t="s">
        <v>37</v>
      </c>
      <c r="B33" s="1562"/>
      <c r="C33" s="91">
        <v>150</v>
      </c>
      <c r="D33" s="92"/>
      <c r="E33" s="895"/>
      <c r="F33" s="895"/>
      <c r="G33" s="895"/>
      <c r="H33" s="895"/>
      <c r="I33" s="21"/>
      <c r="J33" s="17"/>
    </row>
    <row r="34" spans="1:10" s="10" customFormat="1" ht="15" customHeight="1" x14ac:dyDescent="0.25">
      <c r="A34" s="1539" t="s">
        <v>38</v>
      </c>
      <c r="B34" s="1540"/>
      <c r="C34" s="92">
        <f>C32/C33</f>
        <v>1</v>
      </c>
      <c r="D34" s="92"/>
      <c r="E34" s="895"/>
      <c r="F34" s="895"/>
      <c r="G34" s="895"/>
      <c r="H34" s="895"/>
      <c r="I34" s="21"/>
      <c r="J34" s="17"/>
    </row>
    <row r="35" spans="1:10" ht="16.350000000000001" customHeight="1" x14ac:dyDescent="0.25">
      <c r="A35" s="1541" t="s">
        <v>39</v>
      </c>
      <c r="B35" s="1542"/>
      <c r="C35" s="15" t="s">
        <v>40</v>
      </c>
      <c r="D35" s="102"/>
      <c r="E35" s="102" t="s">
        <v>40</v>
      </c>
      <c r="F35" s="16">
        <f>F31/C34</f>
        <v>52.12</v>
      </c>
      <c r="G35" s="16"/>
      <c r="H35" s="16"/>
      <c r="I35" s="102" t="s">
        <v>40</v>
      </c>
      <c r="J35" s="102" t="s">
        <v>40</v>
      </c>
    </row>
    <row r="36" spans="1:10" ht="23.1" customHeight="1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193"/>
      <c r="B37" s="1194" t="s">
        <v>49</v>
      </c>
      <c r="C37" s="1198"/>
      <c r="D37" s="1198"/>
      <c r="E37" s="1198"/>
      <c r="F37" s="1198"/>
      <c r="G37" s="1193"/>
      <c r="H37" s="1557">
        <f>'1-бутерброд с маслом'!$H$28</f>
        <v>0</v>
      </c>
      <c r="I37" s="1557"/>
      <c r="J37" s="1557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545" t="s">
        <v>327</v>
      </c>
      <c r="B39" s="1545"/>
      <c r="C39" s="1546" t="s">
        <v>328</v>
      </c>
      <c r="D39" s="1546"/>
      <c r="E39" s="1546"/>
      <c r="F39" s="1546"/>
      <c r="G39" s="106"/>
      <c r="H39" s="1531"/>
      <c r="I39" s="1531"/>
      <c r="J39" s="1531"/>
    </row>
    <row r="40" spans="1:10" x14ac:dyDescent="0.25">
      <c r="A40" s="1193"/>
      <c r="B40" s="1193"/>
      <c r="C40" s="1546"/>
      <c r="D40" s="1546"/>
      <c r="E40" s="1546"/>
      <c r="F40" s="1546"/>
      <c r="G40" s="1193"/>
      <c r="H40" s="1531" t="s">
        <v>329</v>
      </c>
      <c r="I40" s="1531"/>
      <c r="J40" s="1531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9:B39"/>
    <mergeCell ref="C39:F40"/>
    <mergeCell ref="H39:J39"/>
    <mergeCell ref="H40:J40"/>
    <mergeCell ref="A32:B32"/>
    <mergeCell ref="A33:B33"/>
    <mergeCell ref="A34:B34"/>
    <mergeCell ref="A35:B35"/>
    <mergeCell ref="H37:J37"/>
    <mergeCell ref="A31:B31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42"/>
  <sheetViews>
    <sheetView view="pageBreakPreview" zoomScaleNormal="100" zoomScaleSheetLayoutView="100" workbookViewId="0">
      <selection activeCell="H15" sqref="H15"/>
    </sheetView>
  </sheetViews>
  <sheetFormatPr defaultColWidth="8.88671875" defaultRowHeight="13.8" x14ac:dyDescent="0.25"/>
  <cols>
    <col min="1" max="1" width="4.109375" style="407" customWidth="1"/>
    <col min="2" max="2" width="24.44140625" style="407" customWidth="1"/>
    <col min="3" max="7" width="7.5546875" style="407" customWidth="1"/>
    <col min="8" max="8" width="8.44140625" style="407" customWidth="1"/>
    <col min="9" max="9" width="7.5546875" style="407" customWidth="1"/>
    <col min="10" max="10" width="9" style="407" customWidth="1"/>
    <col min="11" max="11" width="3.33203125" style="407" customWidth="1"/>
    <col min="12" max="16384" width="8.88671875" style="40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154)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223</v>
      </c>
    </row>
    <row r="8" spans="1:10" s="2" customFormat="1" ht="9.6" customHeight="1" x14ac:dyDescent="0.25">
      <c r="A8" s="442"/>
      <c r="B8" s="442"/>
      <c r="C8" s="442"/>
      <c r="D8" s="442"/>
      <c r="E8" s="442"/>
      <c r="F8" s="442"/>
      <c r="G8" s="442"/>
      <c r="H8" s="442"/>
      <c r="I8" s="442"/>
      <c r="J8" s="109"/>
    </row>
    <row r="9" spans="1:10" s="2" customFormat="1" ht="26.1" customHeight="1" x14ac:dyDescent="0.3">
      <c r="A9" s="1550" t="s">
        <v>1297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'222-пудинг (120)'!H14+1</f>
        <v>154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443" t="s">
        <v>92</v>
      </c>
      <c r="D17" s="443" t="s">
        <v>94</v>
      </c>
      <c r="E17" s="443" t="s">
        <v>93</v>
      </c>
      <c r="F17" s="443" t="s">
        <v>23</v>
      </c>
      <c r="G17" s="443" t="s">
        <v>92</v>
      </c>
      <c r="H17" s="443" t="s">
        <v>94</v>
      </c>
      <c r="I17" s="443" t="s">
        <v>92</v>
      </c>
      <c r="J17" s="443" t="s">
        <v>94</v>
      </c>
    </row>
    <row r="18" spans="1:10" ht="9.6" customHeight="1" x14ac:dyDescent="0.25">
      <c r="A18" s="443">
        <v>1</v>
      </c>
      <c r="B18" s="444">
        <v>2</v>
      </c>
      <c r="C18" s="443">
        <v>3</v>
      </c>
      <c r="D18" s="444">
        <v>4</v>
      </c>
      <c r="E18" s="443">
        <v>5</v>
      </c>
      <c r="F18" s="444">
        <v>6</v>
      </c>
      <c r="G18" s="443">
        <v>7</v>
      </c>
      <c r="H18" s="444">
        <v>8</v>
      </c>
      <c r="I18" s="443">
        <v>9</v>
      </c>
      <c r="J18" s="444">
        <v>10</v>
      </c>
    </row>
    <row r="19" spans="1:10" s="10" customFormat="1" ht="12" customHeight="1" x14ac:dyDescent="0.25">
      <c r="A19" s="180">
        <v>1</v>
      </c>
      <c r="B19" s="20" t="s">
        <v>57</v>
      </c>
      <c r="C19" s="111">
        <v>4.7E-2</v>
      </c>
      <c r="D19" s="111">
        <v>4.5999999999999999E-2</v>
      </c>
      <c r="E19" s="408">
        <f>цены!F23</f>
        <v>350</v>
      </c>
      <c r="F19" s="408">
        <f>C19*E19</f>
        <v>16.45</v>
      </c>
      <c r="G19" s="97">
        <f t="shared" ref="G19:H26" si="0">C19*10</f>
        <v>0.47</v>
      </c>
      <c r="H19" s="21">
        <f t="shared" si="0"/>
        <v>0.46</v>
      </c>
      <c r="I19" s="21">
        <f t="shared" ref="I19:J26" si="1">C19*100</f>
        <v>4.7</v>
      </c>
      <c r="J19" s="21">
        <f t="shared" si="1"/>
        <v>4.5999999999999996</v>
      </c>
    </row>
    <row r="20" spans="1:10" s="10" customFormat="1" ht="12" customHeight="1" x14ac:dyDescent="0.25">
      <c r="A20" s="180">
        <v>2</v>
      </c>
      <c r="B20" s="20" t="s">
        <v>45</v>
      </c>
      <c r="C20" s="111">
        <v>4.0000000000000001E-3</v>
      </c>
      <c r="D20" s="111">
        <v>4.0000000000000001E-3</v>
      </c>
      <c r="E20" s="408">
        <f>цены!F74</f>
        <v>36</v>
      </c>
      <c r="F20" s="408">
        <f t="shared" ref="F20:F27" si="2">C20*E20</f>
        <v>0.14000000000000001</v>
      </c>
      <c r="G20" s="97">
        <f t="shared" si="0"/>
        <v>0.04</v>
      </c>
      <c r="H20" s="21">
        <f t="shared" si="0"/>
        <v>0.04</v>
      </c>
      <c r="I20" s="21">
        <f t="shared" si="1"/>
        <v>0.4</v>
      </c>
      <c r="J20" s="21">
        <f t="shared" si="1"/>
        <v>0.4</v>
      </c>
    </row>
    <row r="21" spans="1:10" s="10" customFormat="1" ht="12" customHeight="1" x14ac:dyDescent="0.25">
      <c r="A21" s="180">
        <v>3</v>
      </c>
      <c r="B21" s="20" t="s">
        <v>30</v>
      </c>
      <c r="C21" s="111">
        <v>4.0000000000000001E-3</v>
      </c>
      <c r="D21" s="111">
        <v>4.0000000000000001E-3</v>
      </c>
      <c r="E21" s="408">
        <f>цены!F107</f>
        <v>76</v>
      </c>
      <c r="F21" s="408">
        <f t="shared" si="2"/>
        <v>0.3</v>
      </c>
      <c r="G21" s="97">
        <f t="shared" si="0"/>
        <v>0.04</v>
      </c>
      <c r="H21" s="21">
        <f t="shared" si="0"/>
        <v>0.04</v>
      </c>
      <c r="I21" s="21">
        <f t="shared" si="1"/>
        <v>0.4</v>
      </c>
      <c r="J21" s="21">
        <f t="shared" si="1"/>
        <v>0.4</v>
      </c>
    </row>
    <row r="22" spans="1:10" s="10" customFormat="1" ht="12" customHeight="1" x14ac:dyDescent="0.25">
      <c r="A22" s="180">
        <v>4</v>
      </c>
      <c r="B22" s="20" t="s">
        <v>387</v>
      </c>
      <c r="C22" s="111">
        <v>2.3E-3</v>
      </c>
      <c r="D22" s="111">
        <v>2E-3</v>
      </c>
      <c r="E22" s="408">
        <f>цены!F30</f>
        <v>152.16999999999999</v>
      </c>
      <c r="F22" s="408">
        <f t="shared" si="2"/>
        <v>0.35</v>
      </c>
      <c r="G22" s="97">
        <f t="shared" si="0"/>
        <v>2.3E-2</v>
      </c>
      <c r="H22" s="21">
        <f t="shared" si="0"/>
        <v>0.02</v>
      </c>
      <c r="I22" s="21">
        <f t="shared" si="1"/>
        <v>0.23</v>
      </c>
      <c r="J22" s="21">
        <f t="shared" si="1"/>
        <v>0.2</v>
      </c>
    </row>
    <row r="23" spans="1:10" s="10" customFormat="1" ht="12" customHeight="1" x14ac:dyDescent="0.25">
      <c r="A23" s="180">
        <v>5</v>
      </c>
      <c r="B23" s="20" t="s">
        <v>31</v>
      </c>
      <c r="C23" s="111">
        <v>2E-3</v>
      </c>
      <c r="D23" s="111">
        <v>2E-3</v>
      </c>
      <c r="E23" s="408">
        <f>цены!F21</f>
        <v>710</v>
      </c>
      <c r="F23" s="408">
        <f t="shared" si="2"/>
        <v>1.42</v>
      </c>
      <c r="G23" s="97">
        <f t="shared" si="0"/>
        <v>0.02</v>
      </c>
      <c r="H23" s="21">
        <f t="shared" si="0"/>
        <v>0.02</v>
      </c>
      <c r="I23" s="21">
        <f t="shared" si="1"/>
        <v>0.2</v>
      </c>
      <c r="J23" s="21">
        <f t="shared" si="1"/>
        <v>0.2</v>
      </c>
    </row>
    <row r="24" spans="1:10" s="10" customFormat="1" ht="12" customHeight="1" x14ac:dyDescent="0.25">
      <c r="A24" s="180">
        <v>6</v>
      </c>
      <c r="B24" s="20" t="s">
        <v>77</v>
      </c>
      <c r="C24" s="125">
        <v>2E-3</v>
      </c>
      <c r="D24" s="125">
        <v>2E-3</v>
      </c>
      <c r="E24" s="408">
        <f>цены!F111</f>
        <v>118</v>
      </c>
      <c r="F24" s="408">
        <f t="shared" si="2"/>
        <v>0.24</v>
      </c>
      <c r="G24" s="97">
        <f t="shared" si="0"/>
        <v>0.02</v>
      </c>
      <c r="H24" s="21">
        <f t="shared" si="0"/>
        <v>0.02</v>
      </c>
      <c r="I24" s="21">
        <f t="shared" si="1"/>
        <v>0.2</v>
      </c>
      <c r="J24" s="21">
        <f t="shared" si="1"/>
        <v>0.2</v>
      </c>
    </row>
    <row r="25" spans="1:10" s="10" customFormat="1" ht="12" customHeight="1" x14ac:dyDescent="0.25">
      <c r="A25" s="180">
        <v>7</v>
      </c>
      <c r="B25" s="20" t="s">
        <v>51</v>
      </c>
      <c r="C25" s="125">
        <v>2E-3</v>
      </c>
      <c r="D25" s="125">
        <v>2E-3</v>
      </c>
      <c r="E25" s="408">
        <f>цены!F24</f>
        <v>234</v>
      </c>
      <c r="F25" s="408">
        <f t="shared" si="2"/>
        <v>0.47</v>
      </c>
      <c r="G25" s="97">
        <f t="shared" si="0"/>
        <v>0.02</v>
      </c>
      <c r="H25" s="21">
        <f t="shared" si="0"/>
        <v>0.02</v>
      </c>
      <c r="I25" s="21">
        <f t="shared" si="1"/>
        <v>0.2</v>
      </c>
      <c r="J25" s="21">
        <f t="shared" si="1"/>
        <v>0.2</v>
      </c>
    </row>
    <row r="26" spans="1:10" s="10" customFormat="1" ht="12" customHeight="1" x14ac:dyDescent="0.25">
      <c r="A26" s="184"/>
      <c r="B26" s="93" t="s">
        <v>691</v>
      </c>
      <c r="C26" s="114"/>
      <c r="D26" s="114">
        <v>0.05</v>
      </c>
      <c r="E26" s="95"/>
      <c r="F26" s="95"/>
      <c r="G26" s="99"/>
      <c r="H26" s="100">
        <f t="shared" si="0"/>
        <v>0.5</v>
      </c>
      <c r="I26" s="100"/>
      <c r="J26" s="100">
        <f t="shared" si="1"/>
        <v>5</v>
      </c>
    </row>
    <row r="27" spans="1:10" s="10" customFormat="1" ht="12" customHeight="1" x14ac:dyDescent="0.25">
      <c r="A27" s="180">
        <v>8</v>
      </c>
      <c r="B27" s="20" t="s">
        <v>1296</v>
      </c>
      <c r="C27" s="111">
        <v>0.03</v>
      </c>
      <c r="D27" s="111">
        <v>0.03</v>
      </c>
      <c r="E27" s="408">
        <f>цены!F25</f>
        <v>250</v>
      </c>
      <c r="F27" s="408">
        <f t="shared" si="2"/>
        <v>7.5</v>
      </c>
      <c r="G27" s="97">
        <f>C27*10</f>
        <v>0.3</v>
      </c>
      <c r="H27" s="21">
        <f>D27*10</f>
        <v>0.3</v>
      </c>
      <c r="I27" s="21">
        <f>C27*100</f>
        <v>3</v>
      </c>
      <c r="J27" s="21">
        <f>D27*100</f>
        <v>3</v>
      </c>
    </row>
    <row r="28" spans="1:10" s="10" customFormat="1" ht="12" customHeight="1" x14ac:dyDescent="0.25">
      <c r="A28" s="184"/>
      <c r="B28" s="93" t="s">
        <v>100</v>
      </c>
      <c r="C28" s="112"/>
      <c r="D28" s="112">
        <v>7.0000000000000007E-2</v>
      </c>
      <c r="E28" s="95"/>
      <c r="F28" s="95">
        <f>SUM(F19:F27)</f>
        <v>26.87</v>
      </c>
      <c r="G28" s="99"/>
      <c r="H28" s="100">
        <f>D28*10</f>
        <v>0.7</v>
      </c>
      <c r="I28" s="100"/>
      <c r="J28" s="100">
        <f>D28*100</f>
        <v>7</v>
      </c>
    </row>
    <row r="29" spans="1:10" s="10" customFormat="1" ht="26.4" customHeight="1" x14ac:dyDescent="0.25">
      <c r="A29" s="1536" t="s">
        <v>35</v>
      </c>
      <c r="B29" s="1536"/>
      <c r="C29" s="90"/>
      <c r="D29" s="90"/>
      <c r="E29" s="408"/>
      <c r="F29" s="408">
        <f>F28</f>
        <v>26.87</v>
      </c>
      <c r="G29" s="445"/>
      <c r="H29" s="445"/>
      <c r="I29" s="21"/>
      <c r="J29" s="408"/>
    </row>
    <row r="30" spans="1:10" s="10" customFormat="1" ht="22.35" customHeight="1" x14ac:dyDescent="0.25">
      <c r="A30" s="1536" t="s">
        <v>36</v>
      </c>
      <c r="B30" s="1536"/>
      <c r="C30" s="90">
        <v>70</v>
      </c>
      <c r="D30" s="90"/>
      <c r="E30" s="408"/>
      <c r="F30" s="408"/>
      <c r="G30" s="408"/>
      <c r="H30" s="408"/>
      <c r="I30" s="21"/>
      <c r="J30" s="17"/>
    </row>
    <row r="31" spans="1:10" s="10" customFormat="1" ht="25.35" customHeight="1" x14ac:dyDescent="0.25">
      <c r="A31" s="1539" t="s">
        <v>37</v>
      </c>
      <c r="B31" s="1562"/>
      <c r="C31" s="91">
        <v>70</v>
      </c>
      <c r="D31" s="92"/>
      <c r="E31" s="444"/>
      <c r="F31" s="444"/>
      <c r="G31" s="444"/>
      <c r="H31" s="444"/>
      <c r="I31" s="21"/>
      <c r="J31" s="17"/>
    </row>
    <row r="32" spans="1:10" s="10" customFormat="1" ht="15" customHeight="1" x14ac:dyDescent="0.25">
      <c r="A32" s="1539" t="s">
        <v>38</v>
      </c>
      <c r="B32" s="1540"/>
      <c r="C32" s="92">
        <f>C30/C31</f>
        <v>1</v>
      </c>
      <c r="D32" s="92"/>
      <c r="E32" s="444"/>
      <c r="F32" s="444"/>
      <c r="G32" s="444"/>
      <c r="H32" s="444"/>
      <c r="I32" s="21"/>
      <c r="J32" s="17"/>
    </row>
    <row r="33" spans="1:10" ht="16.350000000000001" customHeight="1" x14ac:dyDescent="0.25">
      <c r="A33" s="1541" t="s">
        <v>39</v>
      </c>
      <c r="B33" s="1542"/>
      <c r="C33" s="15" t="s">
        <v>40</v>
      </c>
      <c r="D33" s="102"/>
      <c r="E33" s="102" t="s">
        <v>40</v>
      </c>
      <c r="F33" s="16">
        <f>F29/C32</f>
        <v>26.87</v>
      </c>
      <c r="G33" s="16"/>
      <c r="H33" s="16"/>
      <c r="I33" s="102" t="s">
        <v>40</v>
      </c>
      <c r="J33" s="102" t="s">
        <v>40</v>
      </c>
    </row>
    <row r="34" spans="1:10" ht="23.1" customHeight="1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193"/>
      <c r="B35" s="1194" t="s">
        <v>49</v>
      </c>
      <c r="C35" s="1198"/>
      <c r="D35" s="1198"/>
      <c r="E35" s="1198"/>
      <c r="F35" s="1198"/>
      <c r="G35" s="1193"/>
      <c r="H35" s="1557">
        <f>'1-бутерброд с маслом'!$H$28</f>
        <v>0</v>
      </c>
      <c r="I35" s="1557"/>
      <c r="J35" s="1557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545" t="s">
        <v>327</v>
      </c>
      <c r="B37" s="1545"/>
      <c r="C37" s="1546" t="s">
        <v>328</v>
      </c>
      <c r="D37" s="1546"/>
      <c r="E37" s="1546"/>
      <c r="F37" s="1546"/>
      <c r="G37" s="106"/>
      <c r="H37" s="1531"/>
      <c r="I37" s="1531"/>
      <c r="J37" s="1531"/>
    </row>
    <row r="38" spans="1:10" x14ac:dyDescent="0.25">
      <c r="A38" s="1193"/>
      <c r="B38" s="1193"/>
      <c r="C38" s="1546"/>
      <c r="D38" s="1546"/>
      <c r="E38" s="1546"/>
      <c r="F38" s="1546"/>
      <c r="G38" s="1193"/>
      <c r="H38" s="1531" t="s">
        <v>329</v>
      </c>
      <c r="I38" s="1531"/>
      <c r="J38" s="1531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7:B37"/>
    <mergeCell ref="C37:F38"/>
    <mergeCell ref="H37:J37"/>
    <mergeCell ref="H38:J38"/>
    <mergeCell ref="A30:B30"/>
    <mergeCell ref="A31:B31"/>
    <mergeCell ref="A32:B32"/>
    <mergeCell ref="A33:B33"/>
    <mergeCell ref="H35:J35"/>
    <mergeCell ref="A29:B29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75E5"/>
  </sheetPr>
  <dimension ref="A1:J30"/>
  <sheetViews>
    <sheetView view="pageBreakPreview" topLeftCell="A14" zoomScaleNormal="100" zoomScaleSheetLayoutView="100" workbookViewId="0">
      <selection activeCell="A26" sqref="A26:J30"/>
    </sheetView>
  </sheetViews>
  <sheetFormatPr defaultColWidth="8.88671875" defaultRowHeight="13.8" x14ac:dyDescent="0.25"/>
  <cols>
    <col min="1" max="1" width="4.109375" style="407" customWidth="1"/>
    <col min="2" max="2" width="20.5546875" style="407" customWidth="1"/>
    <col min="3" max="7" width="7.5546875" style="407" customWidth="1"/>
    <col min="8" max="8" width="8.88671875" style="407" customWidth="1"/>
    <col min="9" max="9" width="7.5546875" style="407" customWidth="1"/>
    <col min="10" max="10" width="9" style="407" customWidth="1"/>
    <col min="11" max="16384" width="8.88671875" style="40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11)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450"/>
      <c r="I6" s="450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15</v>
      </c>
    </row>
    <row r="8" spans="1:10" s="2" customFormat="1" ht="9.6" customHeight="1" x14ac:dyDescent="0.25">
      <c r="A8" s="451"/>
      <c r="B8" s="451"/>
      <c r="C8" s="451"/>
      <c r="D8" s="451"/>
      <c r="E8" s="451"/>
      <c r="F8" s="451"/>
      <c r="G8" s="451"/>
      <c r="H8" s="451"/>
      <c r="I8" s="451"/>
      <c r="J8" s="109"/>
    </row>
    <row r="9" spans="1:10" s="2" customFormat="1" ht="26.1" customHeight="1" x14ac:dyDescent="0.3">
      <c r="A9" s="1550" t="s">
        <v>1308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'15-сыр (30)'!H14+1</f>
        <v>11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447" t="s">
        <v>92</v>
      </c>
      <c r="D17" s="447" t="s">
        <v>94</v>
      </c>
      <c r="E17" s="447" t="s">
        <v>93</v>
      </c>
      <c r="F17" s="447" t="s">
        <v>23</v>
      </c>
      <c r="G17" s="447" t="s">
        <v>92</v>
      </c>
      <c r="H17" s="447" t="s">
        <v>94</v>
      </c>
      <c r="I17" s="447" t="s">
        <v>92</v>
      </c>
      <c r="J17" s="447" t="s">
        <v>94</v>
      </c>
    </row>
    <row r="18" spans="1:10" ht="9.6" customHeight="1" x14ac:dyDescent="0.25">
      <c r="A18" s="447">
        <v>1</v>
      </c>
      <c r="B18" s="449">
        <v>2</v>
      </c>
      <c r="C18" s="447">
        <v>3</v>
      </c>
      <c r="D18" s="449">
        <v>4</v>
      </c>
      <c r="E18" s="447">
        <v>5</v>
      </c>
      <c r="F18" s="449">
        <v>6</v>
      </c>
      <c r="G18" s="447">
        <v>7</v>
      </c>
      <c r="H18" s="449">
        <v>8</v>
      </c>
      <c r="I18" s="447">
        <v>9</v>
      </c>
      <c r="J18" s="449">
        <v>10</v>
      </c>
    </row>
    <row r="19" spans="1:10" ht="14.1" customHeight="1" x14ac:dyDescent="0.25">
      <c r="A19" s="447">
        <v>1</v>
      </c>
      <c r="B19" s="181" t="s">
        <v>323</v>
      </c>
      <c r="C19" s="301">
        <v>1.6E-2</v>
      </c>
      <c r="D19" s="92">
        <v>1.4999999999999999E-2</v>
      </c>
      <c r="E19" s="182">
        <f>цены!F22</f>
        <v>719</v>
      </c>
      <c r="F19" s="408">
        <f>C19*E19</f>
        <v>11.5</v>
      </c>
      <c r="G19" s="97">
        <f>C19*10</f>
        <v>0.16</v>
      </c>
      <c r="H19" s="21">
        <f>D19*10</f>
        <v>0.15</v>
      </c>
      <c r="I19" s="21">
        <f>C19*100</f>
        <v>1.6</v>
      </c>
      <c r="J19" s="21">
        <f>D19*100</f>
        <v>1.5</v>
      </c>
    </row>
    <row r="20" spans="1:10" s="10" customFormat="1" ht="12" customHeight="1" x14ac:dyDescent="0.25">
      <c r="A20" s="98"/>
      <c r="B20" s="93" t="s">
        <v>100</v>
      </c>
      <c r="C20" s="100"/>
      <c r="D20" s="1028">
        <v>15</v>
      </c>
      <c r="E20" s="95"/>
      <c r="F20" s="95">
        <f>SUM(F19:F19)</f>
        <v>11.5</v>
      </c>
      <c r="G20" s="99"/>
      <c r="H20" s="1028">
        <f>D20*10</f>
        <v>150</v>
      </c>
      <c r="I20" s="1028"/>
      <c r="J20" s="1028">
        <f>D20*100</f>
        <v>1500</v>
      </c>
    </row>
    <row r="21" spans="1:10" s="10" customFormat="1" ht="27.6" customHeight="1" x14ac:dyDescent="0.25">
      <c r="A21" s="1536" t="s">
        <v>35</v>
      </c>
      <c r="B21" s="1536"/>
      <c r="C21" s="90"/>
      <c r="D21" s="90"/>
      <c r="E21" s="408"/>
      <c r="F21" s="408">
        <f>F20</f>
        <v>11.5</v>
      </c>
      <c r="G21" s="448"/>
      <c r="H21" s="448"/>
      <c r="I21" s="21"/>
      <c r="J21" s="408"/>
    </row>
    <row r="22" spans="1:10" s="10" customFormat="1" ht="25.35" customHeight="1" x14ac:dyDescent="0.25">
      <c r="A22" s="1536" t="s">
        <v>36</v>
      </c>
      <c r="B22" s="1536"/>
      <c r="C22" s="866">
        <v>15</v>
      </c>
      <c r="D22" s="90"/>
      <c r="E22" s="408"/>
      <c r="F22" s="408"/>
      <c r="G22" s="408"/>
      <c r="H22" s="408"/>
      <c r="I22" s="21"/>
      <c r="J22" s="17"/>
    </row>
    <row r="23" spans="1:10" s="10" customFormat="1" ht="12" x14ac:dyDescent="0.25">
      <c r="A23" s="1537" t="s">
        <v>37</v>
      </c>
      <c r="B23" s="1538"/>
      <c r="C23" s="1071">
        <v>15</v>
      </c>
      <c r="D23" s="92"/>
      <c r="E23" s="449"/>
      <c r="F23" s="449"/>
      <c r="G23" s="449"/>
      <c r="H23" s="449"/>
      <c r="I23" s="21"/>
      <c r="J23" s="17"/>
    </row>
    <row r="24" spans="1:10" s="10" customFormat="1" ht="15" customHeight="1" x14ac:dyDescent="0.25">
      <c r="A24" s="1539" t="s">
        <v>38</v>
      </c>
      <c r="B24" s="1540"/>
      <c r="C24" s="245">
        <f>C22/C23</f>
        <v>1</v>
      </c>
      <c r="D24" s="92"/>
      <c r="E24" s="449"/>
      <c r="F24" s="449"/>
      <c r="G24" s="449"/>
      <c r="H24" s="449"/>
      <c r="I24" s="21"/>
      <c r="J24" s="17"/>
    </row>
    <row r="25" spans="1:10" ht="16.350000000000001" customHeight="1" x14ac:dyDescent="0.25">
      <c r="A25" s="1541" t="s">
        <v>39</v>
      </c>
      <c r="B25" s="1542"/>
      <c r="C25" s="15" t="s">
        <v>40</v>
      </c>
      <c r="D25" s="102"/>
      <c r="E25" s="102" t="s">
        <v>40</v>
      </c>
      <c r="F25" s="16">
        <f>F21/C24</f>
        <v>11.5</v>
      </c>
      <c r="G25" s="16"/>
      <c r="H25" s="16"/>
      <c r="I25" s="102" t="s">
        <v>40</v>
      </c>
      <c r="J25" s="102" t="s">
        <v>40</v>
      </c>
    </row>
    <row r="26" spans="1:10" x14ac:dyDescent="0.25">
      <c r="A26" s="1193"/>
      <c r="B26" s="1193"/>
      <c r="C26" s="1193"/>
      <c r="D26" s="1193"/>
      <c r="E26" s="1193"/>
      <c r="F26" s="1193"/>
      <c r="G26" s="1193"/>
      <c r="H26" s="1193"/>
      <c r="I26" s="1193"/>
      <c r="J26" s="1193"/>
    </row>
    <row r="27" spans="1:10" ht="13.95" customHeight="1" x14ac:dyDescent="0.25">
      <c r="A27" s="1193"/>
      <c r="B27" s="1194" t="s">
        <v>49</v>
      </c>
      <c r="C27" s="1198"/>
      <c r="D27" s="1198"/>
      <c r="E27" s="1198"/>
      <c r="F27" s="1198"/>
      <c r="G27" s="1193"/>
      <c r="H27" s="1557">
        <f>'1-бутерброд с маслом'!$H$28</f>
        <v>0</v>
      </c>
      <c r="I27" s="1557"/>
      <c r="J27" s="1557"/>
    </row>
    <row r="28" spans="1:10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545" t="s">
        <v>327</v>
      </c>
      <c r="B29" s="1545"/>
      <c r="C29" s="1546" t="s">
        <v>328</v>
      </c>
      <c r="D29" s="1546"/>
      <c r="E29" s="1546"/>
      <c r="F29" s="1546"/>
      <c r="G29" s="106"/>
      <c r="H29" s="1531"/>
      <c r="I29" s="1531"/>
      <c r="J29" s="1531"/>
    </row>
    <row r="30" spans="1:10" x14ac:dyDescent="0.25">
      <c r="A30" s="1193"/>
      <c r="B30" s="1193"/>
      <c r="C30" s="1546"/>
      <c r="D30" s="1546"/>
      <c r="E30" s="1546"/>
      <c r="F30" s="1546"/>
      <c r="G30" s="1193"/>
      <c r="H30" s="1531" t="s">
        <v>329</v>
      </c>
      <c r="I30" s="1531"/>
      <c r="J30" s="1531"/>
    </row>
  </sheetData>
  <mergeCells count="28">
    <mergeCell ref="A13:G13"/>
    <mergeCell ref="H27:J27"/>
    <mergeCell ref="A22:B22"/>
    <mergeCell ref="A23:B23"/>
    <mergeCell ref="A24:B24"/>
    <mergeCell ref="A25:B25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29:B29"/>
    <mergeCell ref="C29:F30"/>
    <mergeCell ref="H29:J29"/>
    <mergeCell ref="H30:J30"/>
    <mergeCell ref="H5:I5"/>
    <mergeCell ref="A6:G6"/>
    <mergeCell ref="A7:I7"/>
    <mergeCell ref="A21:B21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44"/>
  <sheetViews>
    <sheetView view="pageBreakPreview" topLeftCell="A19" zoomScaleNormal="100" zoomScaleSheetLayoutView="100" workbookViewId="0">
      <selection activeCell="C33" sqref="C33"/>
    </sheetView>
  </sheetViews>
  <sheetFormatPr defaultColWidth="8.88671875" defaultRowHeight="13.8" x14ac:dyDescent="0.25"/>
  <cols>
    <col min="1" max="1" width="4.109375" style="1162" customWidth="1"/>
    <col min="2" max="2" width="24.44140625" style="1162" customWidth="1"/>
    <col min="3" max="7" width="7.5546875" style="1162" customWidth="1"/>
    <col min="8" max="8" width="8.44140625" style="1162" customWidth="1"/>
    <col min="9" max="9" width="7.5546875" style="1162" customWidth="1"/>
    <col min="10" max="10" width="9" style="1162" customWidth="1"/>
    <col min="11" max="11" width="3.33203125" style="1162" customWidth="1"/>
    <col min="12" max="16384" width="8.88671875" style="1162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155)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167">
        <v>224</v>
      </c>
    </row>
    <row r="8" spans="1:10" s="2" customFormat="1" ht="9.6" customHeight="1" x14ac:dyDescent="0.25">
      <c r="A8" s="1166"/>
      <c r="B8" s="1166"/>
      <c r="C8" s="1166"/>
      <c r="D8" s="1166"/>
      <c r="E8" s="1166"/>
      <c r="F8" s="1166"/>
      <c r="G8" s="1166"/>
      <c r="H8" s="1166"/>
      <c r="I8" s="1166"/>
      <c r="J8" s="109"/>
    </row>
    <row r="9" spans="1:10" s="2" customFormat="1" ht="26.1" customHeight="1" x14ac:dyDescent="0.3">
      <c r="A9" s="1550" t="s">
        <v>1348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'223-запеканка творог'!H14+1</f>
        <v>155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1163" t="s">
        <v>92</v>
      </c>
      <c r="D17" s="1163" t="s">
        <v>94</v>
      </c>
      <c r="E17" s="1163" t="s">
        <v>93</v>
      </c>
      <c r="F17" s="1163" t="s">
        <v>23</v>
      </c>
      <c r="G17" s="1163" t="s">
        <v>92</v>
      </c>
      <c r="H17" s="1163" t="s">
        <v>94</v>
      </c>
      <c r="I17" s="1163" t="s">
        <v>92</v>
      </c>
      <c r="J17" s="1163" t="s">
        <v>94</v>
      </c>
    </row>
    <row r="18" spans="1:10" ht="9.6" customHeight="1" x14ac:dyDescent="0.25">
      <c r="A18" s="1163">
        <v>1</v>
      </c>
      <c r="B18" s="1165">
        <v>2</v>
      </c>
      <c r="C18" s="1163">
        <v>3</v>
      </c>
      <c r="D18" s="1165">
        <v>4</v>
      </c>
      <c r="E18" s="1163">
        <v>5</v>
      </c>
      <c r="F18" s="1165">
        <v>6</v>
      </c>
      <c r="G18" s="1163">
        <v>7</v>
      </c>
      <c r="H18" s="1165">
        <v>8</v>
      </c>
      <c r="I18" s="1163">
        <v>9</v>
      </c>
      <c r="J18" s="1165">
        <v>10</v>
      </c>
    </row>
    <row r="19" spans="1:10" s="10" customFormat="1" ht="12" customHeight="1" x14ac:dyDescent="0.25">
      <c r="A19" s="180">
        <v>1</v>
      </c>
      <c r="B19" s="20" t="s">
        <v>57</v>
      </c>
      <c r="C19" s="111">
        <v>6.7199999999999996E-2</v>
      </c>
      <c r="D19" s="111">
        <v>6.4799999999999996E-2</v>
      </c>
      <c r="E19" s="408">
        <f>цены!F23</f>
        <v>350</v>
      </c>
      <c r="F19" s="408">
        <f>C19*E19</f>
        <v>23.52</v>
      </c>
      <c r="G19" s="97">
        <f t="shared" ref="G19:H28" si="0">C19*10</f>
        <v>0.67200000000000004</v>
      </c>
      <c r="H19" s="21">
        <f t="shared" si="0"/>
        <v>0.64800000000000002</v>
      </c>
      <c r="I19" s="21">
        <f t="shared" ref="I19:J28" si="1">C19*100</f>
        <v>6.72</v>
      </c>
      <c r="J19" s="21">
        <f t="shared" si="1"/>
        <v>6.48</v>
      </c>
    </row>
    <row r="20" spans="1:10" s="10" customFormat="1" ht="12" customHeight="1" x14ac:dyDescent="0.25">
      <c r="A20" s="180">
        <v>2</v>
      </c>
      <c r="B20" s="20" t="s">
        <v>66</v>
      </c>
      <c r="C20" s="111">
        <v>7.1999999999999998E-3</v>
      </c>
      <c r="D20" s="111">
        <v>7.1999999999999998E-3</v>
      </c>
      <c r="E20" s="408">
        <f>цены!F76</f>
        <v>40</v>
      </c>
      <c r="F20" s="408">
        <f t="shared" ref="F20:F29" si="2">C20*E20</f>
        <v>0.28999999999999998</v>
      </c>
      <c r="G20" s="97">
        <f t="shared" si="0"/>
        <v>7.1999999999999995E-2</v>
      </c>
      <c r="H20" s="21">
        <f t="shared" si="0"/>
        <v>7.1999999999999995E-2</v>
      </c>
      <c r="I20" s="21">
        <f t="shared" si="1"/>
        <v>0.72</v>
      </c>
      <c r="J20" s="21">
        <f t="shared" si="1"/>
        <v>0.72</v>
      </c>
    </row>
    <row r="21" spans="1:10" s="10" customFormat="1" ht="12" customHeight="1" x14ac:dyDescent="0.25">
      <c r="A21" s="180">
        <v>3</v>
      </c>
      <c r="B21" s="20" t="s">
        <v>30</v>
      </c>
      <c r="C21" s="111">
        <v>1.6799999999999999E-2</v>
      </c>
      <c r="D21" s="111">
        <v>1.6799999999999999E-2</v>
      </c>
      <c r="E21" s="408">
        <f>цены!F107</f>
        <v>76</v>
      </c>
      <c r="F21" s="408">
        <f t="shared" si="2"/>
        <v>1.28</v>
      </c>
      <c r="G21" s="97">
        <f t="shared" si="0"/>
        <v>0.16800000000000001</v>
      </c>
      <c r="H21" s="21">
        <f t="shared" si="0"/>
        <v>0.16800000000000001</v>
      </c>
      <c r="I21" s="21">
        <f t="shared" si="1"/>
        <v>1.68</v>
      </c>
      <c r="J21" s="21">
        <f t="shared" si="1"/>
        <v>1.68</v>
      </c>
    </row>
    <row r="22" spans="1:10" s="10" customFormat="1" ht="12" customHeight="1" x14ac:dyDescent="0.25">
      <c r="A22" s="180"/>
      <c r="B22" s="20" t="s">
        <v>47</v>
      </c>
      <c r="C22" s="111">
        <v>2.8799999999999999E-2</v>
      </c>
      <c r="D22" s="111">
        <v>2.1600000000000001E-2</v>
      </c>
      <c r="E22" s="408">
        <f>цены!F44</f>
        <v>50</v>
      </c>
      <c r="F22" s="408">
        <f t="shared" ref="F22" si="3">C22*E22</f>
        <v>1.44</v>
      </c>
      <c r="G22" s="97">
        <f t="shared" ref="G22" si="4">C22*10</f>
        <v>0.28799999999999998</v>
      </c>
      <c r="H22" s="21">
        <f t="shared" ref="H22" si="5">D22*10</f>
        <v>0.216</v>
      </c>
      <c r="I22" s="21">
        <f t="shared" ref="I22" si="6">C22*100</f>
        <v>2.88</v>
      </c>
      <c r="J22" s="21">
        <f t="shared" ref="J22" si="7">D22*100</f>
        <v>2.16</v>
      </c>
    </row>
    <row r="23" spans="1:10" s="10" customFormat="1" ht="12" customHeight="1" x14ac:dyDescent="0.25">
      <c r="A23" s="180">
        <v>4</v>
      </c>
      <c r="B23" s="20" t="s">
        <v>387</v>
      </c>
      <c r="C23" s="111">
        <v>5.5199999999999999E-2</v>
      </c>
      <c r="D23" s="111">
        <v>4.7999999999999996E-3</v>
      </c>
      <c r="E23" s="408">
        <f>цены!F30</f>
        <v>152.16999999999999</v>
      </c>
      <c r="F23" s="408">
        <f t="shared" si="2"/>
        <v>8.4</v>
      </c>
      <c r="G23" s="97">
        <f t="shared" si="0"/>
        <v>0.55200000000000005</v>
      </c>
      <c r="H23" s="21">
        <f t="shared" si="0"/>
        <v>4.8000000000000001E-2</v>
      </c>
      <c r="I23" s="21">
        <f t="shared" si="1"/>
        <v>5.52</v>
      </c>
      <c r="J23" s="21">
        <f t="shared" si="1"/>
        <v>0.48</v>
      </c>
    </row>
    <row r="24" spans="1:10" s="10" customFormat="1" ht="12" customHeight="1" x14ac:dyDescent="0.25">
      <c r="A24" s="180"/>
      <c r="B24" s="20" t="s">
        <v>34</v>
      </c>
      <c r="C24" s="111">
        <v>2.1600000000000001E-2</v>
      </c>
      <c r="D24" s="111">
        <v>2.1600000000000001E-2</v>
      </c>
      <c r="E24" s="408">
        <f>цены!F20</f>
        <v>80</v>
      </c>
      <c r="F24" s="408">
        <f t="shared" si="2"/>
        <v>1.73</v>
      </c>
      <c r="G24" s="97">
        <f t="shared" si="0"/>
        <v>0.216</v>
      </c>
      <c r="H24" s="21">
        <f t="shared" si="0"/>
        <v>0.216</v>
      </c>
      <c r="I24" s="21">
        <f t="shared" si="1"/>
        <v>2.16</v>
      </c>
      <c r="J24" s="21">
        <f t="shared" si="1"/>
        <v>2.16</v>
      </c>
    </row>
    <row r="25" spans="1:10" s="10" customFormat="1" ht="12" customHeight="1" x14ac:dyDescent="0.25">
      <c r="A25" s="180">
        <v>5</v>
      </c>
      <c r="B25" s="20" t="s">
        <v>74</v>
      </c>
      <c r="C25" s="21">
        <v>4.0000000000000001E-3</v>
      </c>
      <c r="D25" s="21">
        <v>4.0000000000000001E-3</v>
      </c>
      <c r="E25" s="408">
        <f>цены!F87</f>
        <v>120</v>
      </c>
      <c r="F25" s="408">
        <f t="shared" si="2"/>
        <v>0.48</v>
      </c>
      <c r="G25" s="97">
        <f t="shared" si="0"/>
        <v>0.04</v>
      </c>
      <c r="H25" s="21">
        <f t="shared" si="0"/>
        <v>0.04</v>
      </c>
      <c r="I25" s="21">
        <f t="shared" si="1"/>
        <v>0.4</v>
      </c>
      <c r="J25" s="21">
        <f t="shared" si="1"/>
        <v>0.4</v>
      </c>
    </row>
    <row r="26" spans="1:10" s="10" customFormat="1" ht="12" customHeight="1" x14ac:dyDescent="0.25">
      <c r="A26" s="180">
        <v>6</v>
      </c>
      <c r="B26" s="20" t="s">
        <v>77</v>
      </c>
      <c r="C26" s="21">
        <v>4.0000000000000001E-3</v>
      </c>
      <c r="D26" s="21">
        <v>4.0000000000000001E-3</v>
      </c>
      <c r="E26" s="408">
        <f>цены!F111</f>
        <v>118</v>
      </c>
      <c r="F26" s="408">
        <f t="shared" si="2"/>
        <v>0.47</v>
      </c>
      <c r="G26" s="97">
        <f t="shared" si="0"/>
        <v>0.04</v>
      </c>
      <c r="H26" s="21">
        <f t="shared" si="0"/>
        <v>0.04</v>
      </c>
      <c r="I26" s="21">
        <f t="shared" si="1"/>
        <v>0.4</v>
      </c>
      <c r="J26" s="21">
        <f t="shared" si="1"/>
        <v>0.4</v>
      </c>
    </row>
    <row r="27" spans="1:10" s="10" customFormat="1" ht="12" customHeight="1" x14ac:dyDescent="0.25">
      <c r="A27" s="180">
        <v>7</v>
      </c>
      <c r="B27" s="20" t="s">
        <v>51</v>
      </c>
      <c r="C27" s="21">
        <v>4.0000000000000001E-3</v>
      </c>
      <c r="D27" s="21">
        <v>4.0000000000000001E-3</v>
      </c>
      <c r="E27" s="408">
        <f>цены!F24</f>
        <v>234</v>
      </c>
      <c r="F27" s="408">
        <f t="shared" si="2"/>
        <v>0.94</v>
      </c>
      <c r="G27" s="97">
        <f t="shared" si="0"/>
        <v>0.04</v>
      </c>
      <c r="H27" s="21">
        <f t="shared" si="0"/>
        <v>0.04</v>
      </c>
      <c r="I27" s="21">
        <f t="shared" si="1"/>
        <v>0.4</v>
      </c>
      <c r="J27" s="21">
        <f t="shared" si="1"/>
        <v>0.4</v>
      </c>
    </row>
    <row r="28" spans="1:10" s="10" customFormat="1" ht="12" customHeight="1" x14ac:dyDescent="0.25">
      <c r="A28" s="184"/>
      <c r="B28" s="93" t="s">
        <v>691</v>
      </c>
      <c r="C28" s="114"/>
      <c r="D28" s="1028">
        <v>120</v>
      </c>
      <c r="E28" s="95"/>
      <c r="F28" s="95"/>
      <c r="G28" s="99"/>
      <c r="H28" s="1028">
        <f t="shared" si="0"/>
        <v>1200</v>
      </c>
      <c r="I28" s="1028"/>
      <c r="J28" s="1028">
        <f t="shared" si="1"/>
        <v>12000</v>
      </c>
    </row>
    <row r="29" spans="1:10" s="10" customFormat="1" ht="12" customHeight="1" x14ac:dyDescent="0.25">
      <c r="A29" s="180">
        <v>8</v>
      </c>
      <c r="B29" s="20" t="s">
        <v>1296</v>
      </c>
      <c r="C29" s="111">
        <v>0.03</v>
      </c>
      <c r="D29" s="111">
        <v>0.03</v>
      </c>
      <c r="E29" s="408">
        <f>цены!F25</f>
        <v>250</v>
      </c>
      <c r="F29" s="408">
        <f t="shared" si="2"/>
        <v>7.5</v>
      </c>
      <c r="G29" s="97">
        <f>C29*10</f>
        <v>0.3</v>
      </c>
      <c r="H29" s="1187">
        <f>D29*10</f>
        <v>0.3</v>
      </c>
      <c r="I29" s="1187">
        <f>C29*100</f>
        <v>3</v>
      </c>
      <c r="J29" s="1187">
        <f>D29*100</f>
        <v>3</v>
      </c>
    </row>
    <row r="30" spans="1:10" s="10" customFormat="1" ht="12" customHeight="1" x14ac:dyDescent="0.25">
      <c r="A30" s="184"/>
      <c r="B30" s="93" t="s">
        <v>100</v>
      </c>
      <c r="C30" s="112"/>
      <c r="D30" s="1028">
        <v>150</v>
      </c>
      <c r="E30" s="1028"/>
      <c r="F30" s="95">
        <f>SUM(F19:F29)</f>
        <v>46.05</v>
      </c>
      <c r="G30" s="99"/>
      <c r="H30" s="1028">
        <f>D30*10</f>
        <v>1500</v>
      </c>
      <c r="I30" s="1028"/>
      <c r="J30" s="1028">
        <f>D30*100</f>
        <v>15000</v>
      </c>
    </row>
    <row r="31" spans="1:10" s="10" customFormat="1" ht="26.4" customHeight="1" x14ac:dyDescent="0.25">
      <c r="A31" s="1536" t="s">
        <v>35</v>
      </c>
      <c r="B31" s="1536"/>
      <c r="C31" s="90"/>
      <c r="D31" s="90"/>
      <c r="E31" s="408"/>
      <c r="F31" s="408">
        <f>F30</f>
        <v>46.05</v>
      </c>
      <c r="G31" s="1164"/>
      <c r="H31" s="1164"/>
      <c r="I31" s="21"/>
      <c r="J31" s="408"/>
    </row>
    <row r="32" spans="1:10" s="10" customFormat="1" ht="22.35" customHeight="1" x14ac:dyDescent="0.25">
      <c r="A32" s="1536" t="s">
        <v>36</v>
      </c>
      <c r="B32" s="1536"/>
      <c r="C32" s="90">
        <v>150</v>
      </c>
      <c r="D32" s="90"/>
      <c r="E32" s="408"/>
      <c r="F32" s="408"/>
      <c r="G32" s="408"/>
      <c r="H32" s="408"/>
      <c r="I32" s="21"/>
      <c r="J32" s="17"/>
    </row>
    <row r="33" spans="1:10" s="10" customFormat="1" ht="25.35" customHeight="1" x14ac:dyDescent="0.25">
      <c r="A33" s="1539" t="s">
        <v>37</v>
      </c>
      <c r="B33" s="1562"/>
      <c r="C33" s="1188">
        <v>150</v>
      </c>
      <c r="D33" s="1188" t="s">
        <v>1307</v>
      </c>
      <c r="E33" s="1165"/>
      <c r="F33" s="1165"/>
      <c r="G33" s="1165"/>
      <c r="H33" s="1165"/>
      <c r="I33" s="21"/>
      <c r="J33" s="17"/>
    </row>
    <row r="34" spans="1:10" s="10" customFormat="1" ht="15" customHeight="1" x14ac:dyDescent="0.25">
      <c r="A34" s="1539" t="s">
        <v>38</v>
      </c>
      <c r="B34" s="1540"/>
      <c r="C34" s="92">
        <f>C32/C33</f>
        <v>1</v>
      </c>
      <c r="D34" s="92"/>
      <c r="E34" s="1165"/>
      <c r="F34" s="1165"/>
      <c r="G34" s="1165"/>
      <c r="H34" s="1165"/>
      <c r="I34" s="21"/>
      <c r="J34" s="17"/>
    </row>
    <row r="35" spans="1:10" ht="16.350000000000001" customHeight="1" x14ac:dyDescent="0.25">
      <c r="A35" s="1541" t="s">
        <v>39</v>
      </c>
      <c r="B35" s="1542"/>
      <c r="C35" s="15" t="s">
        <v>40</v>
      </c>
      <c r="D35" s="102"/>
      <c r="E35" s="102" t="s">
        <v>40</v>
      </c>
      <c r="F35" s="16">
        <f>F31/C34</f>
        <v>46.05</v>
      </c>
      <c r="G35" s="16"/>
      <c r="H35" s="16"/>
      <c r="I35" s="102" t="s">
        <v>40</v>
      </c>
      <c r="J35" s="102" t="s">
        <v>40</v>
      </c>
    </row>
    <row r="36" spans="1:10" ht="23.1" customHeight="1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193"/>
      <c r="B37" s="1194" t="s">
        <v>49</v>
      </c>
      <c r="C37" s="1198"/>
      <c r="D37" s="1198"/>
      <c r="E37" s="1198"/>
      <c r="F37" s="1198"/>
      <c r="G37" s="1193"/>
      <c r="H37" s="1557">
        <f>'1-бутерброд с маслом'!$H$28</f>
        <v>0</v>
      </c>
      <c r="I37" s="1557"/>
      <c r="J37" s="1557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545" t="s">
        <v>327</v>
      </c>
      <c r="B39" s="1545"/>
      <c r="C39" s="1546" t="s">
        <v>328</v>
      </c>
      <c r="D39" s="1546"/>
      <c r="E39" s="1546"/>
      <c r="F39" s="1546"/>
      <c r="G39" s="106"/>
      <c r="H39" s="1531"/>
      <c r="I39" s="1531"/>
      <c r="J39" s="1531"/>
    </row>
    <row r="40" spans="1:10" x14ac:dyDescent="0.25">
      <c r="A40" s="1193"/>
      <c r="B40" s="1193"/>
      <c r="C40" s="1546"/>
      <c r="D40" s="1546"/>
      <c r="E40" s="1546"/>
      <c r="F40" s="1546"/>
      <c r="G40" s="1193"/>
      <c r="H40" s="1531" t="s">
        <v>329</v>
      </c>
      <c r="I40" s="1531"/>
      <c r="J40" s="1531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37:J37"/>
    <mergeCell ref="A13:G13"/>
    <mergeCell ref="A32:B32"/>
    <mergeCell ref="A33:B33"/>
    <mergeCell ref="A34:B34"/>
    <mergeCell ref="A35:B35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9:B39"/>
    <mergeCell ref="C39:F40"/>
    <mergeCell ref="H39:J39"/>
    <mergeCell ref="H40:J40"/>
    <mergeCell ref="H5:I5"/>
    <mergeCell ref="A6:G6"/>
    <mergeCell ref="A7:I7"/>
    <mergeCell ref="A31:B31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42"/>
  <sheetViews>
    <sheetView view="pageBreakPreview" topLeftCell="A17" zoomScaleNormal="100" zoomScaleSheetLayoutView="100" workbookViewId="0">
      <selection activeCell="L19" sqref="L19"/>
    </sheetView>
  </sheetViews>
  <sheetFormatPr defaultRowHeight="13.8" x14ac:dyDescent="0.25"/>
  <cols>
    <col min="1" max="1" width="4.109375" customWidth="1"/>
    <col min="2" max="2" width="24.44140625" customWidth="1"/>
    <col min="3" max="7" width="7.5546875" customWidth="1"/>
    <col min="8" max="8" width="8.44140625" customWidth="1"/>
    <col min="9" max="9" width="7.5546875" customWidth="1"/>
    <col min="10" max="10" width="9" customWidth="1"/>
    <col min="11" max="11" width="3.5546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156)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225</v>
      </c>
    </row>
    <row r="8" spans="1:10" s="2" customFormat="1" ht="9.6" customHeight="1" x14ac:dyDescent="0.25">
      <c r="A8" s="197"/>
      <c r="B8" s="197"/>
      <c r="C8" s="197"/>
      <c r="D8" s="197"/>
      <c r="E8" s="197"/>
      <c r="F8" s="197"/>
      <c r="G8" s="197"/>
      <c r="H8" s="197"/>
      <c r="I8" s="197"/>
      <c r="J8" s="109"/>
    </row>
    <row r="9" spans="1:10" s="2" customFormat="1" ht="26.1" customHeight="1" x14ac:dyDescent="0.3">
      <c r="A9" s="1550" t="s">
        <v>645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'224-запеканка творог морковь'!H14+1</f>
        <v>156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194" t="s">
        <v>92</v>
      </c>
      <c r="D17" s="194" t="s">
        <v>94</v>
      </c>
      <c r="E17" s="194" t="s">
        <v>93</v>
      </c>
      <c r="F17" s="194" t="s">
        <v>23</v>
      </c>
      <c r="G17" s="194" t="s">
        <v>92</v>
      </c>
      <c r="H17" s="194" t="s">
        <v>94</v>
      </c>
      <c r="I17" s="194" t="s">
        <v>92</v>
      </c>
      <c r="J17" s="194" t="s">
        <v>94</v>
      </c>
    </row>
    <row r="18" spans="1:10" ht="9.6" customHeight="1" x14ac:dyDescent="0.25">
      <c r="A18" s="194">
        <v>1</v>
      </c>
      <c r="B18" s="196">
        <v>2</v>
      </c>
      <c r="C18" s="194">
        <v>3</v>
      </c>
      <c r="D18" s="196">
        <v>4</v>
      </c>
      <c r="E18" s="194">
        <v>5</v>
      </c>
      <c r="F18" s="196">
        <v>6</v>
      </c>
      <c r="G18" s="194">
        <v>7</v>
      </c>
      <c r="H18" s="196">
        <v>8</v>
      </c>
      <c r="I18" s="194">
        <v>9</v>
      </c>
      <c r="J18" s="196">
        <v>10</v>
      </c>
    </row>
    <row r="19" spans="1:10" s="10" customFormat="1" ht="12" customHeight="1" x14ac:dyDescent="0.25">
      <c r="A19" s="180">
        <v>1</v>
      </c>
      <c r="B19" s="20" t="s">
        <v>57</v>
      </c>
      <c r="C19" s="111">
        <v>2.5499999999999998E-2</v>
      </c>
      <c r="D19" s="111">
        <v>2.5000000000000001E-2</v>
      </c>
      <c r="E19" s="13">
        <f>цены!F23</f>
        <v>350</v>
      </c>
      <c r="F19" s="13">
        <f t="shared" ref="F19:F25" si="0">C19*E19</f>
        <v>8.93</v>
      </c>
      <c r="G19" s="97">
        <f t="shared" ref="G19:H25" si="1">C19*10</f>
        <v>0.255</v>
      </c>
      <c r="H19" s="21">
        <f t="shared" si="1"/>
        <v>0.25</v>
      </c>
      <c r="I19" s="21">
        <f t="shared" ref="I19:J25" si="2">C19*100</f>
        <v>2.5499999999999998</v>
      </c>
      <c r="J19" s="21">
        <f t="shared" si="2"/>
        <v>2.5</v>
      </c>
    </row>
    <row r="20" spans="1:10" s="10" customFormat="1" ht="12" customHeight="1" x14ac:dyDescent="0.25">
      <c r="A20" s="180">
        <v>2</v>
      </c>
      <c r="B20" s="20" t="s">
        <v>45</v>
      </c>
      <c r="C20" s="111">
        <v>8.9999999999999993E-3</v>
      </c>
      <c r="D20" s="111">
        <v>8.9999999999999993E-3</v>
      </c>
      <c r="E20" s="13">
        <f>цены!F74</f>
        <v>36</v>
      </c>
      <c r="F20" s="13">
        <f t="shared" si="0"/>
        <v>0.32</v>
      </c>
      <c r="G20" s="97">
        <f t="shared" si="1"/>
        <v>0.09</v>
      </c>
      <c r="H20" s="21">
        <f t="shared" si="1"/>
        <v>0.09</v>
      </c>
      <c r="I20" s="21">
        <f t="shared" si="2"/>
        <v>0.9</v>
      </c>
      <c r="J20" s="21">
        <f t="shared" si="2"/>
        <v>0.9</v>
      </c>
    </row>
    <row r="21" spans="1:10" s="10" customFormat="1" ht="12" customHeight="1" x14ac:dyDescent="0.25">
      <c r="A21" s="180">
        <v>3</v>
      </c>
      <c r="B21" s="20" t="s">
        <v>30</v>
      </c>
      <c r="C21" s="111">
        <v>2E-3</v>
      </c>
      <c r="D21" s="111">
        <v>2E-3</v>
      </c>
      <c r="E21" s="13">
        <f>цены!F107</f>
        <v>76</v>
      </c>
      <c r="F21" s="13">
        <f t="shared" si="0"/>
        <v>0.15</v>
      </c>
      <c r="G21" s="97">
        <f t="shared" si="1"/>
        <v>0.02</v>
      </c>
      <c r="H21" s="21">
        <f t="shared" si="1"/>
        <v>0.02</v>
      </c>
      <c r="I21" s="21">
        <f t="shared" si="2"/>
        <v>0.2</v>
      </c>
      <c r="J21" s="21">
        <f t="shared" si="2"/>
        <v>0.2</v>
      </c>
    </row>
    <row r="22" spans="1:10" s="10" customFormat="1" ht="12" customHeight="1" x14ac:dyDescent="0.25">
      <c r="A22" s="180">
        <v>4</v>
      </c>
      <c r="B22" s="20" t="s">
        <v>389</v>
      </c>
      <c r="C22" s="111">
        <v>4.5999999999999999E-3</v>
      </c>
      <c r="D22" s="111">
        <v>4.0000000000000001E-3</v>
      </c>
      <c r="E22" s="13">
        <f>цены!F30</f>
        <v>152.16999999999999</v>
      </c>
      <c r="F22" s="13">
        <f t="shared" si="0"/>
        <v>0.7</v>
      </c>
      <c r="G22" s="97">
        <f t="shared" si="1"/>
        <v>4.5999999999999999E-2</v>
      </c>
      <c r="H22" s="21">
        <f t="shared" si="1"/>
        <v>0.04</v>
      </c>
      <c r="I22" s="21">
        <f t="shared" si="2"/>
        <v>0.46</v>
      </c>
      <c r="J22" s="21">
        <f t="shared" si="2"/>
        <v>0.4</v>
      </c>
    </row>
    <row r="23" spans="1:10" s="10" customFormat="1" ht="12" customHeight="1" x14ac:dyDescent="0.25">
      <c r="A23" s="180">
        <v>5</v>
      </c>
      <c r="B23" s="20" t="s">
        <v>390</v>
      </c>
      <c r="C23" s="113">
        <v>5.0000000000000001E-4</v>
      </c>
      <c r="D23" s="113">
        <v>5.0000000000000001E-4</v>
      </c>
      <c r="E23" s="13">
        <f>цены!F92</f>
        <v>40</v>
      </c>
      <c r="F23" s="13">
        <f t="shared" si="0"/>
        <v>0.02</v>
      </c>
      <c r="G23" s="97">
        <f t="shared" si="1"/>
        <v>5.0000000000000001E-3</v>
      </c>
      <c r="H23" s="21">
        <f t="shared" si="1"/>
        <v>5.0000000000000001E-3</v>
      </c>
      <c r="I23" s="21">
        <f t="shared" si="2"/>
        <v>0.05</v>
      </c>
      <c r="J23" s="21">
        <f t="shared" si="2"/>
        <v>0.05</v>
      </c>
    </row>
    <row r="24" spans="1:10" s="10" customFormat="1" ht="12" customHeight="1" x14ac:dyDescent="0.25">
      <c r="A24" s="180">
        <v>6</v>
      </c>
      <c r="B24" s="20" t="s">
        <v>34</v>
      </c>
      <c r="C24" s="113">
        <v>0.01</v>
      </c>
      <c r="D24" s="113">
        <v>0.01</v>
      </c>
      <c r="E24" s="13">
        <f>цены!F20</f>
        <v>80</v>
      </c>
      <c r="F24" s="13">
        <f t="shared" si="0"/>
        <v>0.8</v>
      </c>
      <c r="G24" s="97">
        <f t="shared" si="1"/>
        <v>0.1</v>
      </c>
      <c r="H24" s="21">
        <f t="shared" si="1"/>
        <v>0.1</v>
      </c>
      <c r="I24" s="21">
        <f t="shared" si="2"/>
        <v>1</v>
      </c>
      <c r="J24" s="21">
        <f t="shared" si="2"/>
        <v>1</v>
      </c>
    </row>
    <row r="25" spans="1:10" s="10" customFormat="1" ht="12" customHeight="1" x14ac:dyDescent="0.25">
      <c r="A25" s="180">
        <v>7</v>
      </c>
      <c r="B25" s="20" t="s">
        <v>74</v>
      </c>
      <c r="C25" s="111">
        <v>0.03</v>
      </c>
      <c r="D25" s="111">
        <v>0.03</v>
      </c>
      <c r="E25" s="13">
        <f>цены!F87</f>
        <v>120</v>
      </c>
      <c r="F25" s="13">
        <f t="shared" si="0"/>
        <v>3.6</v>
      </c>
      <c r="G25" s="97">
        <f t="shared" si="1"/>
        <v>0.3</v>
      </c>
      <c r="H25" s="21">
        <f t="shared" si="1"/>
        <v>0.3</v>
      </c>
      <c r="I25" s="21">
        <f t="shared" si="2"/>
        <v>3</v>
      </c>
      <c r="J25" s="21">
        <f t="shared" si="2"/>
        <v>3</v>
      </c>
    </row>
    <row r="26" spans="1:10" s="10" customFormat="1" ht="12" customHeight="1" x14ac:dyDescent="0.25">
      <c r="A26" s="184"/>
      <c r="B26" s="93" t="s">
        <v>391</v>
      </c>
      <c r="C26" s="112"/>
      <c r="D26" s="112">
        <v>0.05</v>
      </c>
      <c r="E26" s="95"/>
      <c r="F26" s="95">
        <f>SUM(F19:F25)</f>
        <v>14.52</v>
      </c>
      <c r="G26" s="99"/>
      <c r="H26" s="100"/>
      <c r="I26" s="100"/>
      <c r="J26" s="100"/>
    </row>
    <row r="27" spans="1:10" s="10" customFormat="1" ht="12" customHeight="1" x14ac:dyDescent="0.25">
      <c r="A27" s="180">
        <v>8</v>
      </c>
      <c r="B27" s="20" t="s">
        <v>85</v>
      </c>
      <c r="C27" s="111">
        <v>0.02</v>
      </c>
      <c r="D27" s="111">
        <v>0.02</v>
      </c>
      <c r="E27" s="13">
        <f>цены!F25</f>
        <v>250</v>
      </c>
      <c r="F27" s="13">
        <f>C27*E27</f>
        <v>5</v>
      </c>
      <c r="G27" s="97">
        <f>C27*10</f>
        <v>0.2</v>
      </c>
      <c r="H27" s="21">
        <f>D27*10</f>
        <v>0.2</v>
      </c>
      <c r="I27" s="21">
        <f>C27*100</f>
        <v>2</v>
      </c>
      <c r="J27" s="21">
        <f>D27*100</f>
        <v>2</v>
      </c>
    </row>
    <row r="28" spans="1:10" s="10" customFormat="1" ht="12" customHeight="1" x14ac:dyDescent="0.25">
      <c r="A28" s="184"/>
      <c r="B28" s="93" t="s">
        <v>100</v>
      </c>
      <c r="C28" s="112"/>
      <c r="D28" s="112">
        <v>7.0000000000000007E-2</v>
      </c>
      <c r="E28" s="95"/>
      <c r="F28" s="95">
        <f>F26+F27</f>
        <v>19.52</v>
      </c>
      <c r="G28" s="99"/>
      <c r="H28" s="100">
        <f>D28*10</f>
        <v>0.7</v>
      </c>
      <c r="I28" s="100"/>
      <c r="J28" s="100">
        <f>D28*100</f>
        <v>7</v>
      </c>
    </row>
    <row r="29" spans="1:10" s="10" customFormat="1" ht="26.4" customHeight="1" x14ac:dyDescent="0.25">
      <c r="A29" s="1536" t="s">
        <v>35</v>
      </c>
      <c r="B29" s="1536"/>
      <c r="C29" s="90"/>
      <c r="D29" s="90"/>
      <c r="E29" s="13"/>
      <c r="F29" s="13">
        <f>F28</f>
        <v>19.52</v>
      </c>
      <c r="G29" s="195"/>
      <c r="H29" s="195"/>
      <c r="I29" s="21"/>
      <c r="J29" s="13"/>
    </row>
    <row r="30" spans="1:10" s="10" customFormat="1" ht="22.35" customHeight="1" x14ac:dyDescent="0.25">
      <c r="A30" s="1536" t="s">
        <v>36</v>
      </c>
      <c r="B30" s="1536"/>
      <c r="C30" s="90">
        <v>70</v>
      </c>
      <c r="D30" s="90"/>
      <c r="E30" s="13"/>
      <c r="F30" s="13"/>
      <c r="G30" s="13"/>
      <c r="H30" s="13"/>
      <c r="I30" s="21"/>
      <c r="J30" s="17"/>
    </row>
    <row r="31" spans="1:10" s="10" customFormat="1" ht="25.35" customHeight="1" x14ac:dyDescent="0.25">
      <c r="A31" s="1539" t="s">
        <v>37</v>
      </c>
      <c r="B31" s="1562"/>
      <c r="C31" s="91">
        <v>70</v>
      </c>
      <c r="D31" s="92"/>
      <c r="E31" s="196"/>
      <c r="F31" s="196"/>
      <c r="G31" s="196"/>
      <c r="H31" s="196"/>
      <c r="I31" s="21"/>
      <c r="J31" s="17"/>
    </row>
    <row r="32" spans="1:10" s="10" customFormat="1" ht="15" customHeight="1" x14ac:dyDescent="0.25">
      <c r="A32" s="1539" t="s">
        <v>38</v>
      </c>
      <c r="B32" s="1540"/>
      <c r="C32" s="92">
        <f>C30/C31</f>
        <v>1</v>
      </c>
      <c r="D32" s="92"/>
      <c r="E32" s="196"/>
      <c r="F32" s="196"/>
      <c r="G32" s="196"/>
      <c r="H32" s="196"/>
      <c r="I32" s="21"/>
      <c r="J32" s="17"/>
    </row>
    <row r="33" spans="1:10" ht="16.350000000000001" customHeight="1" x14ac:dyDescent="0.25">
      <c r="A33" s="1541" t="s">
        <v>39</v>
      </c>
      <c r="B33" s="1542"/>
      <c r="C33" s="15" t="s">
        <v>40</v>
      </c>
      <c r="D33" s="102"/>
      <c r="E33" s="102" t="s">
        <v>40</v>
      </c>
      <c r="F33" s="16">
        <f>F29/C32</f>
        <v>19.52</v>
      </c>
      <c r="G33" s="16"/>
      <c r="H33" s="16"/>
      <c r="I33" s="102" t="s">
        <v>40</v>
      </c>
      <c r="J33" s="102" t="s">
        <v>40</v>
      </c>
    </row>
    <row r="34" spans="1:10" ht="23.1" customHeight="1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193"/>
      <c r="B35" s="1194" t="s">
        <v>49</v>
      </c>
      <c r="C35" s="1198"/>
      <c r="D35" s="1198"/>
      <c r="E35" s="1198"/>
      <c r="F35" s="1198"/>
      <c r="G35" s="1193"/>
      <c r="H35" s="1557">
        <f>'1-бутерброд с маслом'!$H$28</f>
        <v>0</v>
      </c>
      <c r="I35" s="1557"/>
      <c r="J35" s="1557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545" t="s">
        <v>327</v>
      </c>
      <c r="B37" s="1545"/>
      <c r="C37" s="1546" t="s">
        <v>328</v>
      </c>
      <c r="D37" s="1546"/>
      <c r="E37" s="1546"/>
      <c r="F37" s="1546"/>
      <c r="G37" s="106"/>
      <c r="H37" s="1531"/>
      <c r="I37" s="1531"/>
      <c r="J37" s="1531"/>
    </row>
    <row r="38" spans="1:10" x14ac:dyDescent="0.25">
      <c r="A38" s="1193"/>
      <c r="B38" s="1193"/>
      <c r="C38" s="1546"/>
      <c r="D38" s="1546"/>
      <c r="E38" s="1546"/>
      <c r="F38" s="1546"/>
      <c r="G38" s="1193"/>
      <c r="H38" s="1531" t="s">
        <v>329</v>
      </c>
      <c r="I38" s="1531"/>
      <c r="J38" s="1531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</sheetData>
  <mergeCells count="28">
    <mergeCell ref="H35:J35"/>
    <mergeCell ref="A13:G13"/>
    <mergeCell ref="A30:B30"/>
    <mergeCell ref="A31:B31"/>
    <mergeCell ref="A32:B32"/>
    <mergeCell ref="A33:B33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7:B37"/>
    <mergeCell ref="C37:F38"/>
    <mergeCell ref="H37:J37"/>
    <mergeCell ref="H38:J38"/>
    <mergeCell ref="H5:I5"/>
    <mergeCell ref="A6:G6"/>
    <mergeCell ref="A7:I7"/>
    <mergeCell ref="A29:B29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2F030"/>
  </sheetPr>
  <dimension ref="A1:J41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2.88671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157)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227</v>
      </c>
    </row>
    <row r="8" spans="1:10" s="2" customFormat="1" ht="9.6" customHeight="1" x14ac:dyDescent="0.25">
      <c r="A8" s="197"/>
      <c r="B8" s="197"/>
      <c r="C8" s="197"/>
      <c r="D8" s="197"/>
      <c r="E8" s="197"/>
      <c r="F8" s="197"/>
      <c r="G8" s="197"/>
      <c r="H8" s="197"/>
      <c r="I8" s="197"/>
      <c r="J8" s="109"/>
    </row>
    <row r="9" spans="1:10" s="2" customFormat="1" ht="26.1" customHeight="1" x14ac:dyDescent="0.3">
      <c r="A9" s="1550" t="s">
        <v>630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'225-оладьи из творога'!H14+1</f>
        <v>157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194" t="s">
        <v>92</v>
      </c>
      <c r="D17" s="194" t="s">
        <v>94</v>
      </c>
      <c r="E17" s="194" t="s">
        <v>93</v>
      </c>
      <c r="F17" s="194" t="s">
        <v>23</v>
      </c>
      <c r="G17" s="194" t="s">
        <v>92</v>
      </c>
      <c r="H17" s="194" t="s">
        <v>94</v>
      </c>
      <c r="I17" s="194" t="s">
        <v>92</v>
      </c>
      <c r="J17" s="194" t="s">
        <v>94</v>
      </c>
    </row>
    <row r="18" spans="1:10" ht="9.6" customHeight="1" x14ac:dyDescent="0.25">
      <c r="A18" s="194">
        <v>1</v>
      </c>
      <c r="B18" s="196">
        <v>2</v>
      </c>
      <c r="C18" s="194">
        <v>3</v>
      </c>
      <c r="D18" s="196">
        <v>4</v>
      </c>
      <c r="E18" s="194">
        <v>5</v>
      </c>
      <c r="F18" s="196">
        <v>6</v>
      </c>
      <c r="G18" s="194">
        <v>7</v>
      </c>
      <c r="H18" s="196">
        <v>8</v>
      </c>
      <c r="I18" s="194">
        <v>9</v>
      </c>
      <c r="J18" s="196">
        <v>10</v>
      </c>
    </row>
    <row r="19" spans="1:10" s="10" customFormat="1" ht="26.1" customHeight="1" x14ac:dyDescent="0.25">
      <c r="A19" s="180">
        <v>1</v>
      </c>
      <c r="B19" s="20" t="s">
        <v>392</v>
      </c>
      <c r="C19" s="21">
        <v>0.123</v>
      </c>
      <c r="D19" s="21">
        <v>6.2E-2</v>
      </c>
      <c r="E19" s="13">
        <f>цены!F14</f>
        <v>178</v>
      </c>
      <c r="F19" s="13">
        <f>C19*E19</f>
        <v>21.89</v>
      </c>
      <c r="G19" s="97">
        <f t="shared" ref="G19:H21" si="0">C19*10</f>
        <v>1.23</v>
      </c>
      <c r="H19" s="21">
        <f t="shared" si="0"/>
        <v>0.62</v>
      </c>
      <c r="I19" s="21">
        <f t="shared" ref="I19:J21" si="1">C19*100</f>
        <v>12.3</v>
      </c>
      <c r="J19" s="21">
        <f t="shared" si="1"/>
        <v>6.2</v>
      </c>
    </row>
    <row r="20" spans="1:10" s="10" customFormat="1" ht="14.1" customHeight="1" x14ac:dyDescent="0.25">
      <c r="A20" s="180">
        <v>2</v>
      </c>
      <c r="B20" s="20" t="s">
        <v>48</v>
      </c>
      <c r="C20" s="21">
        <v>3.0000000000000001E-3</v>
      </c>
      <c r="D20" s="21">
        <v>2E-3</v>
      </c>
      <c r="E20" s="13">
        <f>цены!F38</f>
        <v>50</v>
      </c>
      <c r="F20" s="13">
        <f>C20*E20</f>
        <v>0.15</v>
      </c>
      <c r="G20" s="97">
        <f t="shared" si="0"/>
        <v>0.03</v>
      </c>
      <c r="H20" s="21">
        <f t="shared" si="0"/>
        <v>0.02</v>
      </c>
      <c r="I20" s="21">
        <f t="shared" si="1"/>
        <v>0.3</v>
      </c>
      <c r="J20" s="21">
        <f t="shared" si="1"/>
        <v>0.2</v>
      </c>
    </row>
    <row r="21" spans="1:10" s="10" customFormat="1" ht="14.1" customHeight="1" x14ac:dyDescent="0.25">
      <c r="A21" s="180">
        <v>3</v>
      </c>
      <c r="B21" s="20" t="s">
        <v>102</v>
      </c>
      <c r="C21" s="21">
        <v>3.0000000000000001E-3</v>
      </c>
      <c r="D21" s="21">
        <v>2E-3</v>
      </c>
      <c r="E21" s="13">
        <f>цены!F47</f>
        <v>300</v>
      </c>
      <c r="F21" s="13">
        <f>C21*E21</f>
        <v>0.9</v>
      </c>
      <c r="G21" s="97">
        <f t="shared" si="0"/>
        <v>0.03</v>
      </c>
      <c r="H21" s="21">
        <f t="shared" si="0"/>
        <v>0.02</v>
      </c>
      <c r="I21" s="21">
        <f t="shared" si="1"/>
        <v>0.3</v>
      </c>
      <c r="J21" s="21">
        <f t="shared" si="1"/>
        <v>0.2</v>
      </c>
    </row>
    <row r="22" spans="1:10" s="10" customFormat="1" ht="14.1" customHeight="1" x14ac:dyDescent="0.25">
      <c r="A22" s="180">
        <v>4</v>
      </c>
      <c r="B22" s="20" t="s">
        <v>33</v>
      </c>
      <c r="C22" s="21">
        <v>2E-3</v>
      </c>
      <c r="D22" s="21">
        <v>2E-3</v>
      </c>
      <c r="E22" s="13">
        <f>цены!F110</f>
        <v>24</v>
      </c>
      <c r="F22" s="13">
        <f>C22*E22</f>
        <v>0.05</v>
      </c>
      <c r="G22" s="97">
        <f>C22*10</f>
        <v>0.02</v>
      </c>
      <c r="H22" s="21">
        <f>D22*10</f>
        <v>0.02</v>
      </c>
      <c r="I22" s="21">
        <f>C22*100</f>
        <v>0.2</v>
      </c>
      <c r="J22" s="21">
        <f>D22*100</f>
        <v>0.2</v>
      </c>
    </row>
    <row r="23" spans="1:10" s="10" customFormat="1" ht="14.1" customHeight="1" x14ac:dyDescent="0.25">
      <c r="A23" s="180">
        <v>5</v>
      </c>
      <c r="B23" s="20" t="s">
        <v>84</v>
      </c>
      <c r="C23" s="113">
        <v>1.0000000000000001E-5</v>
      </c>
      <c r="D23" s="113">
        <v>1.0000000000000001E-5</v>
      </c>
      <c r="E23" s="13">
        <f>цены!F100</f>
        <v>1000</v>
      </c>
      <c r="F23" s="13">
        <f>C23*E23</f>
        <v>0.01</v>
      </c>
      <c r="G23" s="97">
        <f>C23*10</f>
        <v>0</v>
      </c>
      <c r="H23" s="21">
        <f>D23*10</f>
        <v>0</v>
      </c>
      <c r="I23" s="21">
        <f>C23*100</f>
        <v>1E-3</v>
      </c>
      <c r="J23" s="21">
        <f>D23*100</f>
        <v>1E-3</v>
      </c>
    </row>
    <row r="24" spans="1:10" s="10" customFormat="1" ht="14.1" customHeight="1" x14ac:dyDescent="0.25">
      <c r="A24" s="184"/>
      <c r="B24" s="93" t="s">
        <v>393</v>
      </c>
      <c r="C24" s="100"/>
      <c r="D24" s="100">
        <v>0.05</v>
      </c>
      <c r="E24" s="95"/>
      <c r="F24" s="95">
        <f>SUM(F19:F23)</f>
        <v>23</v>
      </c>
      <c r="G24" s="99"/>
      <c r="H24" s="100"/>
      <c r="I24" s="100"/>
      <c r="J24" s="100"/>
    </row>
    <row r="25" spans="1:10" s="10" customFormat="1" ht="12" customHeight="1" x14ac:dyDescent="0.25">
      <c r="A25" s="129">
        <v>6</v>
      </c>
      <c r="B25" s="123" t="s">
        <v>31</v>
      </c>
      <c r="C25" s="130">
        <v>5.0000000000000001E-3</v>
      </c>
      <c r="D25" s="130">
        <v>5.0000000000000001E-3</v>
      </c>
      <c r="E25" s="127">
        <f>цены!F21</f>
        <v>710</v>
      </c>
      <c r="F25" s="13">
        <f>C25*E25</f>
        <v>3.55</v>
      </c>
      <c r="G25" s="97">
        <f>C25*10</f>
        <v>0.05</v>
      </c>
      <c r="H25" s="21">
        <f>D25*10</f>
        <v>0.05</v>
      </c>
      <c r="I25" s="21">
        <f>C25*100</f>
        <v>0.5</v>
      </c>
      <c r="J25" s="21">
        <f>D25*100</f>
        <v>0.5</v>
      </c>
    </row>
    <row r="26" spans="1:10" s="10" customFormat="1" ht="12.6" customHeight="1" x14ac:dyDescent="0.25">
      <c r="A26" s="129">
        <v>8</v>
      </c>
      <c r="B26" s="123" t="s">
        <v>405</v>
      </c>
      <c r="C26" s="130"/>
      <c r="D26" s="130"/>
      <c r="E26" s="127"/>
      <c r="F26" s="13"/>
      <c r="G26" s="97"/>
      <c r="H26" s="21"/>
      <c r="I26" s="21"/>
      <c r="J26" s="21"/>
    </row>
    <row r="27" spans="1:10" s="10" customFormat="1" ht="12" customHeight="1" x14ac:dyDescent="0.25">
      <c r="A27" s="98"/>
      <c r="B27" s="93"/>
      <c r="C27" s="112"/>
      <c r="D27" s="112">
        <v>5.5E-2</v>
      </c>
      <c r="E27" s="95"/>
      <c r="F27" s="95">
        <f>F24+F25</f>
        <v>26.55</v>
      </c>
      <c r="G27" s="99"/>
      <c r="H27" s="100">
        <f>D27*10</f>
        <v>0.55000000000000004</v>
      </c>
      <c r="I27" s="100"/>
      <c r="J27" s="100">
        <f>D27*100</f>
        <v>5.5</v>
      </c>
    </row>
    <row r="28" spans="1:10" s="10" customFormat="1" ht="27.6" customHeight="1" x14ac:dyDescent="0.25">
      <c r="A28" s="1536" t="s">
        <v>35</v>
      </c>
      <c r="B28" s="1536"/>
      <c r="C28" s="90"/>
      <c r="D28" s="90"/>
      <c r="E28" s="13"/>
      <c r="F28" s="13">
        <f>F27</f>
        <v>26.55</v>
      </c>
      <c r="G28" s="195"/>
      <c r="H28" s="195"/>
      <c r="I28" s="21"/>
      <c r="J28" s="13"/>
    </row>
    <row r="29" spans="1:10" s="10" customFormat="1" ht="25.35" customHeight="1" x14ac:dyDescent="0.25">
      <c r="A29" s="1536" t="s">
        <v>36</v>
      </c>
      <c r="B29" s="1536"/>
      <c r="C29" s="90">
        <v>55</v>
      </c>
      <c r="D29" s="90"/>
      <c r="E29" s="13"/>
      <c r="F29" s="13"/>
      <c r="G29" s="13"/>
      <c r="H29" s="13"/>
      <c r="I29" s="21"/>
      <c r="J29" s="17"/>
    </row>
    <row r="30" spans="1:10" s="10" customFormat="1" ht="25.35" customHeight="1" x14ac:dyDescent="0.25">
      <c r="A30" s="1537" t="s">
        <v>37</v>
      </c>
      <c r="B30" s="1538"/>
      <c r="C30" s="91">
        <v>55</v>
      </c>
      <c r="D30" s="92"/>
      <c r="E30" s="196"/>
      <c r="F30" s="196"/>
      <c r="G30" s="196"/>
      <c r="H30" s="196"/>
      <c r="I30" s="21"/>
      <c r="J30" s="17"/>
    </row>
    <row r="31" spans="1:10" s="10" customFormat="1" ht="15" customHeight="1" x14ac:dyDescent="0.25">
      <c r="A31" s="1539" t="s">
        <v>38</v>
      </c>
      <c r="B31" s="1540"/>
      <c r="C31" s="92">
        <f>C29/C30</f>
        <v>1</v>
      </c>
      <c r="D31" s="92"/>
      <c r="E31" s="196"/>
      <c r="F31" s="196"/>
      <c r="G31" s="196"/>
      <c r="H31" s="196"/>
      <c r="I31" s="21"/>
      <c r="J31" s="17"/>
    </row>
    <row r="32" spans="1:10" ht="16.350000000000001" customHeight="1" x14ac:dyDescent="0.25">
      <c r="A32" s="1541" t="s">
        <v>39</v>
      </c>
      <c r="B32" s="1542"/>
      <c r="C32" s="15" t="s">
        <v>40</v>
      </c>
      <c r="D32" s="102"/>
      <c r="E32" s="102" t="s">
        <v>40</v>
      </c>
      <c r="F32" s="16">
        <f>F28/C31</f>
        <v>26.55</v>
      </c>
      <c r="G32" s="16"/>
      <c r="H32" s="16"/>
      <c r="I32" s="102" t="s">
        <v>40</v>
      </c>
      <c r="J32" s="102" t="s">
        <v>40</v>
      </c>
    </row>
    <row r="33" spans="1:10" ht="23.1" customHeight="1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193"/>
      <c r="B34" s="1194" t="s">
        <v>49</v>
      </c>
      <c r="C34" s="1198"/>
      <c r="D34" s="1198"/>
      <c r="E34" s="1198"/>
      <c r="F34" s="1198"/>
      <c r="G34" s="1193"/>
      <c r="H34" s="1557">
        <f>'1-бутерброд с маслом'!$H$28</f>
        <v>0</v>
      </c>
      <c r="I34" s="1557"/>
      <c r="J34" s="1557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545" t="s">
        <v>327</v>
      </c>
      <c r="B36" s="1545"/>
      <c r="C36" s="1546" t="s">
        <v>328</v>
      </c>
      <c r="D36" s="1546"/>
      <c r="E36" s="1546"/>
      <c r="F36" s="1546"/>
      <c r="G36" s="106"/>
      <c r="H36" s="1531"/>
      <c r="I36" s="1531"/>
      <c r="J36" s="1531"/>
    </row>
    <row r="37" spans="1:10" x14ac:dyDescent="0.25">
      <c r="A37" s="1193"/>
      <c r="B37" s="1193"/>
      <c r="C37" s="1546"/>
      <c r="D37" s="1546"/>
      <c r="E37" s="1546"/>
      <c r="F37" s="1546"/>
      <c r="G37" s="1193"/>
      <c r="H37" s="1531" t="s">
        <v>329</v>
      </c>
      <c r="I37" s="1531"/>
      <c r="J37" s="1531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</sheetData>
  <mergeCells count="28">
    <mergeCell ref="H34:J34"/>
    <mergeCell ref="A13:G13"/>
    <mergeCell ref="A29:B29"/>
    <mergeCell ref="A30:B30"/>
    <mergeCell ref="A31:B31"/>
    <mergeCell ref="A32:B32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6:B36"/>
    <mergeCell ref="C36:F37"/>
    <mergeCell ref="H36:J36"/>
    <mergeCell ref="H37:J37"/>
    <mergeCell ref="H5:I5"/>
    <mergeCell ref="A6:G6"/>
    <mergeCell ref="A7:I7"/>
    <mergeCell ref="A28:B28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2F030"/>
  </sheetPr>
  <dimension ref="A1:J47"/>
  <sheetViews>
    <sheetView view="pageBreakPreview" topLeftCell="A3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497" customWidth="1"/>
    <col min="2" max="2" width="21.109375" style="497" customWidth="1"/>
    <col min="3" max="7" width="7.5546875" style="497" customWidth="1"/>
    <col min="8" max="8" width="8.88671875" style="497" customWidth="1"/>
    <col min="9" max="9" width="7.5546875" style="497" customWidth="1"/>
    <col min="10" max="10" width="9" style="497" customWidth="1"/>
    <col min="11" max="11" width="3.33203125" style="497" customWidth="1"/>
    <col min="12" max="16384" width="8.88671875" style="49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158)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229</v>
      </c>
    </row>
    <row r="8" spans="1:10" s="2" customFormat="1" ht="9.6" customHeight="1" x14ac:dyDescent="0.25">
      <c r="A8" s="501"/>
      <c r="B8" s="501"/>
      <c r="C8" s="501"/>
      <c r="D8" s="501"/>
      <c r="E8" s="501"/>
      <c r="F8" s="501"/>
      <c r="G8" s="501"/>
      <c r="H8" s="501"/>
      <c r="I8" s="501"/>
      <c r="J8" s="109"/>
    </row>
    <row r="9" spans="1:10" s="2" customFormat="1" ht="26.1" customHeight="1" x14ac:dyDescent="0.3">
      <c r="A9" s="1550" t="s">
        <v>853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'227-рыба припущ.'!H14+1</f>
        <v>158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498" t="s">
        <v>92</v>
      </c>
      <c r="D17" s="498" t="s">
        <v>94</v>
      </c>
      <c r="E17" s="498" t="s">
        <v>93</v>
      </c>
      <c r="F17" s="498" t="s">
        <v>23</v>
      </c>
      <c r="G17" s="498" t="s">
        <v>92</v>
      </c>
      <c r="H17" s="498" t="s">
        <v>94</v>
      </c>
      <c r="I17" s="498" t="s">
        <v>92</v>
      </c>
      <c r="J17" s="498" t="s">
        <v>94</v>
      </c>
    </row>
    <row r="18" spans="1:10" ht="9.6" customHeight="1" x14ac:dyDescent="0.25">
      <c r="A18" s="498">
        <v>1</v>
      </c>
      <c r="B18" s="500">
        <v>2</v>
      </c>
      <c r="C18" s="498">
        <v>3</v>
      </c>
      <c r="D18" s="500">
        <v>4</v>
      </c>
      <c r="E18" s="498">
        <v>5</v>
      </c>
      <c r="F18" s="500">
        <v>6</v>
      </c>
      <c r="G18" s="498">
        <v>7</v>
      </c>
      <c r="H18" s="500">
        <v>8</v>
      </c>
      <c r="I18" s="498">
        <v>9</v>
      </c>
      <c r="J18" s="500">
        <v>10</v>
      </c>
    </row>
    <row r="19" spans="1:10" s="10" customFormat="1" ht="26.1" customHeight="1" x14ac:dyDescent="0.25">
      <c r="A19" s="180">
        <v>1</v>
      </c>
      <c r="B19" s="20" t="s">
        <v>392</v>
      </c>
      <c r="C19" s="21">
        <v>0.123</v>
      </c>
      <c r="D19" s="21">
        <v>6.2E-2</v>
      </c>
      <c r="E19" s="408">
        <f>цены!F14</f>
        <v>178</v>
      </c>
      <c r="F19" s="408">
        <f>C19*E19</f>
        <v>21.89</v>
      </c>
      <c r="G19" s="97">
        <f>C19*10</f>
        <v>1.23</v>
      </c>
      <c r="H19" s="21">
        <f>D19*10</f>
        <v>0.62</v>
      </c>
      <c r="I19" s="21">
        <f>C19*100</f>
        <v>12.3</v>
      </c>
      <c r="J19" s="21">
        <f>D19*100</f>
        <v>6.2</v>
      </c>
    </row>
    <row r="20" spans="1:10" s="10" customFormat="1" ht="14.4" customHeight="1" x14ac:dyDescent="0.25">
      <c r="A20" s="180">
        <v>2</v>
      </c>
      <c r="B20" s="20" t="s">
        <v>28</v>
      </c>
      <c r="C20" s="21">
        <v>1.9E-2</v>
      </c>
      <c r="D20" s="21">
        <v>1.9E-2</v>
      </c>
      <c r="E20" s="408"/>
      <c r="F20" s="408">
        <f>C20*E20</f>
        <v>0</v>
      </c>
      <c r="G20" s="97">
        <f>C20*10</f>
        <v>0.19</v>
      </c>
      <c r="H20" s="21">
        <f>D20*10</f>
        <v>0.19</v>
      </c>
      <c r="I20" s="21">
        <f>C20*100</f>
        <v>1.9</v>
      </c>
      <c r="J20" s="21">
        <f>D20*100</f>
        <v>1.9</v>
      </c>
    </row>
    <row r="21" spans="1:10" s="10" customFormat="1" ht="14.4" customHeight="1" x14ac:dyDescent="0.25">
      <c r="A21" s="180">
        <v>3</v>
      </c>
      <c r="B21" s="20" t="s">
        <v>47</v>
      </c>
      <c r="C21" s="21">
        <v>2.3E-2</v>
      </c>
      <c r="D21" s="21">
        <v>1.7999999999999999E-2</v>
      </c>
      <c r="E21" s="408">
        <f>цены!F44</f>
        <v>50</v>
      </c>
      <c r="F21" s="408">
        <f t="shared" ref="F21:F29" si="0">C21*E21</f>
        <v>1.1499999999999999</v>
      </c>
      <c r="G21" s="97">
        <f t="shared" ref="G21:G29" si="1">C21*10</f>
        <v>0.23</v>
      </c>
      <c r="H21" s="21">
        <f t="shared" ref="H21:H29" si="2">D21*10</f>
        <v>0.18</v>
      </c>
      <c r="I21" s="21">
        <f t="shared" ref="I21:I29" si="3">C21*100</f>
        <v>2.2999999999999998</v>
      </c>
      <c r="J21" s="21">
        <f t="shared" ref="J21:J29" si="4">D21*100</f>
        <v>1.8</v>
      </c>
    </row>
    <row r="22" spans="1:10" s="10" customFormat="1" ht="14.4" customHeight="1" x14ac:dyDescent="0.25">
      <c r="A22" s="180">
        <v>4</v>
      </c>
      <c r="B22" s="20" t="s">
        <v>102</v>
      </c>
      <c r="C22" s="21">
        <v>4.0000000000000001E-3</v>
      </c>
      <c r="D22" s="21">
        <v>3.0000000000000001E-3</v>
      </c>
      <c r="E22" s="408">
        <f>цены!F47</f>
        <v>300</v>
      </c>
      <c r="F22" s="408">
        <f t="shared" si="0"/>
        <v>1.2</v>
      </c>
      <c r="G22" s="97">
        <f t="shared" si="1"/>
        <v>0.04</v>
      </c>
      <c r="H22" s="21">
        <f t="shared" si="2"/>
        <v>0.03</v>
      </c>
      <c r="I22" s="21">
        <f t="shared" si="3"/>
        <v>0.4</v>
      </c>
      <c r="J22" s="21">
        <f t="shared" si="4"/>
        <v>0.3</v>
      </c>
    </row>
    <row r="23" spans="1:10" s="10" customFormat="1" ht="14.1" customHeight="1" x14ac:dyDescent="0.25">
      <c r="A23" s="180">
        <v>5</v>
      </c>
      <c r="B23" s="20" t="s">
        <v>48</v>
      </c>
      <c r="C23" s="21">
        <v>0.01</v>
      </c>
      <c r="D23" s="21">
        <v>8.0000000000000002E-3</v>
      </c>
      <c r="E23" s="408">
        <f>цены!F38</f>
        <v>50</v>
      </c>
      <c r="F23" s="408">
        <f t="shared" si="0"/>
        <v>0.5</v>
      </c>
      <c r="G23" s="97">
        <f t="shared" si="1"/>
        <v>0.1</v>
      </c>
      <c r="H23" s="21">
        <f t="shared" si="2"/>
        <v>0.08</v>
      </c>
      <c r="I23" s="21">
        <f t="shared" si="3"/>
        <v>1</v>
      </c>
      <c r="J23" s="21">
        <f t="shared" si="4"/>
        <v>0.8</v>
      </c>
    </row>
    <row r="24" spans="1:10" s="10" customFormat="1" ht="14.1" customHeight="1" x14ac:dyDescent="0.25">
      <c r="A24" s="180">
        <v>6</v>
      </c>
      <c r="B24" s="20" t="s">
        <v>46</v>
      </c>
      <c r="C24" s="21">
        <v>0.01</v>
      </c>
      <c r="D24" s="21">
        <v>0.01</v>
      </c>
      <c r="E24" s="408">
        <f>цены!F113</f>
        <v>230</v>
      </c>
      <c r="F24" s="408">
        <f t="shared" si="0"/>
        <v>2.2999999999999998</v>
      </c>
      <c r="G24" s="97">
        <f t="shared" si="1"/>
        <v>0.1</v>
      </c>
      <c r="H24" s="21">
        <f t="shared" si="2"/>
        <v>0.1</v>
      </c>
      <c r="I24" s="21">
        <f t="shared" si="3"/>
        <v>1</v>
      </c>
      <c r="J24" s="21">
        <f t="shared" si="4"/>
        <v>1</v>
      </c>
    </row>
    <row r="25" spans="1:10" s="10" customFormat="1" ht="14.1" customHeight="1" x14ac:dyDescent="0.25">
      <c r="A25" s="180">
        <v>7</v>
      </c>
      <c r="B25" s="20" t="s">
        <v>74</v>
      </c>
      <c r="C25" s="21">
        <v>5.0000000000000001E-3</v>
      </c>
      <c r="D25" s="21">
        <v>5.0000000000000001E-3</v>
      </c>
      <c r="E25" s="408">
        <f>цены!F87</f>
        <v>120</v>
      </c>
      <c r="F25" s="408">
        <f t="shared" si="0"/>
        <v>0.6</v>
      </c>
      <c r="G25" s="97">
        <f t="shared" si="1"/>
        <v>0.05</v>
      </c>
      <c r="H25" s="21">
        <f t="shared" si="2"/>
        <v>0.05</v>
      </c>
      <c r="I25" s="21">
        <f t="shared" si="3"/>
        <v>0.5</v>
      </c>
      <c r="J25" s="21">
        <f t="shared" si="4"/>
        <v>0.5</v>
      </c>
    </row>
    <row r="26" spans="1:10" s="10" customFormat="1" ht="14.1" customHeight="1" x14ac:dyDescent="0.25">
      <c r="A26" s="180">
        <v>8</v>
      </c>
      <c r="B26" s="20" t="s">
        <v>355</v>
      </c>
      <c r="C26" s="111">
        <v>2.5000000000000001E-3</v>
      </c>
      <c r="D26" s="111">
        <v>2.5000000000000001E-3</v>
      </c>
      <c r="E26" s="408">
        <f>цены!F98</f>
        <v>290</v>
      </c>
      <c r="F26" s="408">
        <f t="shared" si="0"/>
        <v>0.73</v>
      </c>
      <c r="G26" s="97">
        <f t="shared" si="1"/>
        <v>2.5000000000000001E-2</v>
      </c>
      <c r="H26" s="21">
        <f t="shared" si="2"/>
        <v>2.5000000000000001E-2</v>
      </c>
      <c r="I26" s="21">
        <f t="shared" si="3"/>
        <v>0.25</v>
      </c>
      <c r="J26" s="21">
        <f t="shared" si="4"/>
        <v>0.25</v>
      </c>
    </row>
    <row r="27" spans="1:10" s="10" customFormat="1" ht="14.1" customHeight="1" x14ac:dyDescent="0.25">
      <c r="A27" s="180">
        <v>9</v>
      </c>
      <c r="B27" s="20" t="s">
        <v>30</v>
      </c>
      <c r="C27" s="21">
        <v>2E-3</v>
      </c>
      <c r="D27" s="21">
        <v>2E-3</v>
      </c>
      <c r="E27" s="408">
        <f>цены!F107</f>
        <v>76</v>
      </c>
      <c r="F27" s="408">
        <f t="shared" si="0"/>
        <v>0.15</v>
      </c>
      <c r="G27" s="97">
        <f t="shared" si="1"/>
        <v>0.02</v>
      </c>
      <c r="H27" s="21">
        <f t="shared" si="2"/>
        <v>0.02</v>
      </c>
      <c r="I27" s="21">
        <f t="shared" si="3"/>
        <v>0.2</v>
      </c>
      <c r="J27" s="21">
        <f t="shared" si="4"/>
        <v>0.2</v>
      </c>
    </row>
    <row r="28" spans="1:10" s="10" customFormat="1" ht="14.1" customHeight="1" x14ac:dyDescent="0.25">
      <c r="A28" s="180">
        <v>10</v>
      </c>
      <c r="B28" s="20" t="s">
        <v>33</v>
      </c>
      <c r="C28" s="21">
        <v>2E-3</v>
      </c>
      <c r="D28" s="21">
        <v>2E-3</v>
      </c>
      <c r="E28" s="408">
        <f>цены!F110</f>
        <v>24</v>
      </c>
      <c r="F28" s="408">
        <f t="shared" si="0"/>
        <v>0.05</v>
      </c>
      <c r="G28" s="97">
        <f t="shared" si="1"/>
        <v>0.02</v>
      </c>
      <c r="H28" s="21">
        <f t="shared" si="2"/>
        <v>0.02</v>
      </c>
      <c r="I28" s="21">
        <f t="shared" si="3"/>
        <v>0.2</v>
      </c>
      <c r="J28" s="21">
        <f t="shared" si="4"/>
        <v>0.2</v>
      </c>
    </row>
    <row r="29" spans="1:10" s="10" customFormat="1" ht="14.1" customHeight="1" x14ac:dyDescent="0.25">
      <c r="A29" s="180">
        <v>11</v>
      </c>
      <c r="B29" s="20" t="s">
        <v>84</v>
      </c>
      <c r="C29" s="21">
        <v>1E-3</v>
      </c>
      <c r="D29" s="21">
        <v>1E-3</v>
      </c>
      <c r="E29" s="408">
        <f>цены!F100</f>
        <v>1000</v>
      </c>
      <c r="F29" s="408">
        <f t="shared" si="0"/>
        <v>1</v>
      </c>
      <c r="G29" s="97">
        <f t="shared" si="1"/>
        <v>0.01</v>
      </c>
      <c r="H29" s="21">
        <f t="shared" si="2"/>
        <v>0.01</v>
      </c>
      <c r="I29" s="21">
        <f t="shared" si="3"/>
        <v>0.1</v>
      </c>
      <c r="J29" s="21">
        <f t="shared" si="4"/>
        <v>0.1</v>
      </c>
    </row>
    <row r="30" spans="1:10" s="10" customFormat="1" ht="14.1" customHeight="1" x14ac:dyDescent="0.25">
      <c r="A30" s="184"/>
      <c r="B30" s="93" t="s">
        <v>771</v>
      </c>
      <c r="C30" s="100"/>
      <c r="D30" s="100">
        <v>0.05</v>
      </c>
      <c r="E30" s="95"/>
      <c r="F30" s="95"/>
      <c r="G30" s="99"/>
      <c r="H30" s="100"/>
      <c r="I30" s="100"/>
      <c r="J30" s="100"/>
    </row>
    <row r="31" spans="1:10" s="10" customFormat="1" ht="36" customHeight="1" x14ac:dyDescent="0.25">
      <c r="A31" s="184"/>
      <c r="B31" s="93" t="s">
        <v>772</v>
      </c>
      <c r="C31" s="100"/>
      <c r="D31" s="100">
        <v>0.1</v>
      </c>
      <c r="E31" s="95"/>
      <c r="F31" s="95"/>
      <c r="G31" s="99"/>
      <c r="H31" s="100"/>
      <c r="I31" s="100"/>
      <c r="J31" s="100"/>
    </row>
    <row r="32" spans="1:10" s="10" customFormat="1" ht="17.399999999999999" customHeight="1" x14ac:dyDescent="0.25">
      <c r="A32" s="184"/>
      <c r="B32" s="93" t="s">
        <v>773</v>
      </c>
      <c r="C32" s="100"/>
      <c r="D32" s="100">
        <v>0.1</v>
      </c>
      <c r="E32" s="95"/>
      <c r="F32" s="95">
        <f>SUM(F19:F29)</f>
        <v>29.57</v>
      </c>
      <c r="G32" s="99"/>
      <c r="H32" s="100"/>
      <c r="I32" s="100"/>
      <c r="J32" s="100"/>
    </row>
    <row r="33" spans="1:10" s="10" customFormat="1" ht="12.6" customHeight="1" x14ac:dyDescent="0.25">
      <c r="A33" s="129">
        <v>8</v>
      </c>
      <c r="B33" s="123" t="s">
        <v>774</v>
      </c>
      <c r="C33" s="130"/>
      <c r="D33" s="130"/>
      <c r="E33" s="127"/>
      <c r="F33" s="408"/>
      <c r="G33" s="97"/>
      <c r="H33" s="21"/>
      <c r="I33" s="21"/>
      <c r="J33" s="21"/>
    </row>
    <row r="34" spans="1:10" s="10" customFormat="1" ht="27.6" customHeight="1" x14ac:dyDescent="0.25">
      <c r="A34" s="1536" t="s">
        <v>35</v>
      </c>
      <c r="B34" s="1536"/>
      <c r="C34" s="90"/>
      <c r="D34" s="90"/>
      <c r="E34" s="408"/>
      <c r="F34" s="408">
        <f>F32</f>
        <v>29.57</v>
      </c>
      <c r="G34" s="499"/>
      <c r="H34" s="499"/>
      <c r="I34" s="21"/>
      <c r="J34" s="408"/>
    </row>
    <row r="35" spans="1:10" s="10" customFormat="1" ht="25.35" customHeight="1" x14ac:dyDescent="0.25">
      <c r="A35" s="1536" t="s">
        <v>36</v>
      </c>
      <c r="B35" s="1536"/>
      <c r="C35" s="90">
        <v>100</v>
      </c>
      <c r="D35" s="90"/>
      <c r="E35" s="408"/>
      <c r="F35" s="408"/>
      <c r="G35" s="408"/>
      <c r="H35" s="408"/>
      <c r="I35" s="21"/>
      <c r="J35" s="17"/>
    </row>
    <row r="36" spans="1:10" s="10" customFormat="1" ht="25.35" customHeight="1" x14ac:dyDescent="0.25">
      <c r="A36" s="1537" t="s">
        <v>37</v>
      </c>
      <c r="B36" s="1538"/>
      <c r="C36" s="91">
        <v>100</v>
      </c>
      <c r="D36" s="92"/>
      <c r="E36" s="500"/>
      <c r="F36" s="500"/>
      <c r="G36" s="500"/>
      <c r="H36" s="500"/>
      <c r="I36" s="21"/>
      <c r="J36" s="17"/>
    </row>
    <row r="37" spans="1:10" s="10" customFormat="1" ht="15" customHeight="1" x14ac:dyDescent="0.25">
      <c r="A37" s="1539" t="s">
        <v>38</v>
      </c>
      <c r="B37" s="1540"/>
      <c r="C37" s="92">
        <f>C35/C36</f>
        <v>1</v>
      </c>
      <c r="D37" s="92"/>
      <c r="E37" s="500"/>
      <c r="F37" s="500"/>
      <c r="G37" s="500"/>
      <c r="H37" s="500"/>
      <c r="I37" s="21"/>
      <c r="J37" s="17"/>
    </row>
    <row r="38" spans="1:10" ht="16.350000000000001" customHeight="1" x14ac:dyDescent="0.25">
      <c r="A38" s="1541" t="s">
        <v>39</v>
      </c>
      <c r="B38" s="1542"/>
      <c r="C38" s="15" t="s">
        <v>40</v>
      </c>
      <c r="D38" s="102"/>
      <c r="E38" s="102" t="s">
        <v>40</v>
      </c>
      <c r="F38" s="16">
        <f>F34/C37</f>
        <v>29.57</v>
      </c>
      <c r="G38" s="16"/>
      <c r="H38" s="16"/>
      <c r="I38" s="102" t="s">
        <v>40</v>
      </c>
      <c r="J38" s="102" t="s">
        <v>40</v>
      </c>
    </row>
    <row r="39" spans="1:10" ht="24.6" customHeight="1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ht="13.95" customHeight="1" x14ac:dyDescent="0.25">
      <c r="A40" s="1193"/>
      <c r="B40" s="1194" t="s">
        <v>49</v>
      </c>
      <c r="C40" s="1198"/>
      <c r="D40" s="1198"/>
      <c r="E40" s="1198"/>
      <c r="F40" s="1198"/>
      <c r="G40" s="1193"/>
      <c r="H40" s="1557">
        <f>'1-бутерброд с маслом'!$H$28</f>
        <v>0</v>
      </c>
      <c r="I40" s="1557"/>
      <c r="J40" s="1557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ht="17.399999999999999" customHeight="1" x14ac:dyDescent="0.25">
      <c r="A42" s="1545" t="s">
        <v>327</v>
      </c>
      <c r="B42" s="1545"/>
      <c r="C42" s="1546" t="s">
        <v>328</v>
      </c>
      <c r="D42" s="1546"/>
      <c r="E42" s="1546"/>
      <c r="F42" s="1546"/>
      <c r="G42" s="106"/>
      <c r="H42" s="1531"/>
      <c r="I42" s="1531"/>
      <c r="J42" s="1531"/>
    </row>
    <row r="43" spans="1:10" ht="16.95" customHeight="1" x14ac:dyDescent="0.25">
      <c r="A43" s="1193"/>
      <c r="B43" s="1193"/>
      <c r="C43" s="1546"/>
      <c r="D43" s="1546"/>
      <c r="E43" s="1546"/>
      <c r="F43" s="1546"/>
      <c r="G43" s="1193"/>
      <c r="H43" s="1531" t="s">
        <v>329</v>
      </c>
      <c r="I43" s="1531"/>
      <c r="J43" s="1531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  <row r="45" spans="1:10" x14ac:dyDescent="0.25">
      <c r="A45" s="1193"/>
      <c r="B45" s="1193"/>
      <c r="C45" s="1193"/>
      <c r="D45" s="1193"/>
      <c r="E45" s="1193"/>
      <c r="F45" s="1193"/>
      <c r="G45" s="1193"/>
      <c r="H45" s="1193"/>
      <c r="I45" s="1193"/>
      <c r="J45" s="1193"/>
    </row>
    <row r="46" spans="1:10" x14ac:dyDescent="0.25">
      <c r="A46" s="1193"/>
      <c r="B46" s="1193"/>
      <c r="C46" s="1193"/>
      <c r="D46" s="1193"/>
      <c r="E46" s="1193"/>
      <c r="F46" s="1193"/>
      <c r="G46" s="1193"/>
      <c r="H46" s="1193"/>
      <c r="I46" s="1193"/>
      <c r="J46" s="1193"/>
    </row>
    <row r="47" spans="1:10" x14ac:dyDescent="0.25">
      <c r="A47" s="1193"/>
      <c r="B47" s="1193"/>
      <c r="C47" s="1193"/>
      <c r="D47" s="1193"/>
      <c r="E47" s="1193"/>
      <c r="F47" s="1193"/>
      <c r="G47" s="1193"/>
      <c r="H47" s="1193"/>
      <c r="I47" s="1193"/>
      <c r="J47" s="1193"/>
    </row>
  </sheetData>
  <mergeCells count="28">
    <mergeCell ref="H40:J40"/>
    <mergeCell ref="A13:G13"/>
    <mergeCell ref="A35:B35"/>
    <mergeCell ref="A36:B36"/>
    <mergeCell ref="A37:B37"/>
    <mergeCell ref="A38:B38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2:B42"/>
    <mergeCell ref="C42:F43"/>
    <mergeCell ref="H42:J42"/>
    <mergeCell ref="H43:J43"/>
    <mergeCell ref="H5:I5"/>
    <mergeCell ref="A6:G6"/>
    <mergeCell ref="A7:I7"/>
    <mergeCell ref="A34:B34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scale="96" orientation="portrait" r:id="rId1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2F030"/>
  </sheetPr>
  <dimension ref="A1:J44"/>
  <sheetViews>
    <sheetView view="pageBreakPreview" topLeftCell="A2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522" customWidth="1"/>
    <col min="2" max="2" width="21.109375" style="522" customWidth="1"/>
    <col min="3" max="7" width="7.5546875" style="522" customWidth="1"/>
    <col min="8" max="8" width="8.88671875" style="522" customWidth="1"/>
    <col min="9" max="9" width="7.5546875" style="522" customWidth="1"/>
    <col min="10" max="10" width="9" style="522" customWidth="1"/>
    <col min="11" max="11" width="3.6640625" style="522" customWidth="1"/>
    <col min="12" max="16384" width="8.88671875" style="522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159)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229</v>
      </c>
    </row>
    <row r="8" spans="1:10" s="2" customFormat="1" ht="9.6" customHeight="1" x14ac:dyDescent="0.25">
      <c r="A8" s="523"/>
      <c r="B8" s="523"/>
      <c r="C8" s="523"/>
      <c r="D8" s="523"/>
      <c r="E8" s="523"/>
      <c r="F8" s="523"/>
      <c r="G8" s="523"/>
      <c r="H8" s="523"/>
      <c r="I8" s="523"/>
      <c r="J8" s="109"/>
    </row>
    <row r="9" spans="1:10" s="2" customFormat="1" ht="26.1" customHeight="1" x14ac:dyDescent="0.3">
      <c r="A9" s="1550" t="s">
        <v>792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'229-рыба тушен.'!H14+1</f>
        <v>159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524" t="s">
        <v>92</v>
      </c>
      <c r="D17" s="524" t="s">
        <v>94</v>
      </c>
      <c r="E17" s="524" t="s">
        <v>93</v>
      </c>
      <c r="F17" s="524" t="s">
        <v>23</v>
      </c>
      <c r="G17" s="524" t="s">
        <v>92</v>
      </c>
      <c r="H17" s="524" t="s">
        <v>94</v>
      </c>
      <c r="I17" s="524" t="s">
        <v>92</v>
      </c>
      <c r="J17" s="524" t="s">
        <v>94</v>
      </c>
    </row>
    <row r="18" spans="1:10" ht="9.6" customHeight="1" x14ac:dyDescent="0.25">
      <c r="A18" s="524">
        <v>1</v>
      </c>
      <c r="B18" s="525">
        <v>2</v>
      </c>
      <c r="C18" s="524">
        <v>3</v>
      </c>
      <c r="D18" s="525">
        <v>4</v>
      </c>
      <c r="E18" s="524">
        <v>5</v>
      </c>
      <c r="F18" s="525">
        <v>6</v>
      </c>
      <c r="G18" s="524">
        <v>7</v>
      </c>
      <c r="H18" s="525">
        <v>8</v>
      </c>
      <c r="I18" s="524">
        <v>9</v>
      </c>
      <c r="J18" s="525">
        <v>10</v>
      </c>
    </row>
    <row r="19" spans="1:10" s="10" customFormat="1" ht="15" customHeight="1" x14ac:dyDescent="0.25">
      <c r="A19" s="180">
        <v>1</v>
      </c>
      <c r="B19" s="20" t="s">
        <v>790</v>
      </c>
      <c r="C19" s="21">
        <v>7.3999999999999996E-2</v>
      </c>
      <c r="D19" s="21">
        <v>6.6000000000000003E-2</v>
      </c>
      <c r="E19" s="408">
        <f>цены!F15</f>
        <v>400</v>
      </c>
      <c r="F19" s="408">
        <f>C19*E19</f>
        <v>29.6</v>
      </c>
      <c r="G19" s="97">
        <f t="shared" ref="G19:H29" si="0">C19*10</f>
        <v>0.74</v>
      </c>
      <c r="H19" s="21">
        <f t="shared" si="0"/>
        <v>0.66</v>
      </c>
      <c r="I19" s="21">
        <f t="shared" ref="I19:J29" si="1">C19*100</f>
        <v>7.4</v>
      </c>
      <c r="J19" s="21">
        <f t="shared" si="1"/>
        <v>6.6</v>
      </c>
    </row>
    <row r="20" spans="1:10" s="10" customFormat="1" ht="14.4" customHeight="1" x14ac:dyDescent="0.25">
      <c r="A20" s="180">
        <v>2</v>
      </c>
      <c r="B20" s="20" t="s">
        <v>28</v>
      </c>
      <c r="C20" s="21">
        <v>1.9E-2</v>
      </c>
      <c r="D20" s="21">
        <v>1.9E-2</v>
      </c>
      <c r="E20" s="408"/>
      <c r="F20" s="408">
        <f>C20*E20</f>
        <v>0</v>
      </c>
      <c r="G20" s="97">
        <f t="shared" si="0"/>
        <v>0.19</v>
      </c>
      <c r="H20" s="21">
        <f t="shared" si="0"/>
        <v>0.19</v>
      </c>
      <c r="I20" s="21">
        <f t="shared" si="1"/>
        <v>1.9</v>
      </c>
      <c r="J20" s="21">
        <f t="shared" si="1"/>
        <v>1.9</v>
      </c>
    </row>
    <row r="21" spans="1:10" s="10" customFormat="1" ht="14.4" customHeight="1" x14ac:dyDescent="0.25">
      <c r="A21" s="180">
        <v>3</v>
      </c>
      <c r="B21" s="20" t="s">
        <v>47</v>
      </c>
      <c r="C21" s="21">
        <v>2.3E-2</v>
      </c>
      <c r="D21" s="21">
        <v>1.7999999999999999E-2</v>
      </c>
      <c r="E21" s="408">
        <f>цены!F44</f>
        <v>50</v>
      </c>
      <c r="F21" s="408">
        <f t="shared" ref="F21:F29" si="2">C21*E21</f>
        <v>1.1499999999999999</v>
      </c>
      <c r="G21" s="97">
        <f t="shared" si="0"/>
        <v>0.23</v>
      </c>
      <c r="H21" s="21">
        <f t="shared" si="0"/>
        <v>0.18</v>
      </c>
      <c r="I21" s="21">
        <f t="shared" si="1"/>
        <v>2.2999999999999998</v>
      </c>
      <c r="J21" s="21">
        <f t="shared" si="1"/>
        <v>1.8</v>
      </c>
    </row>
    <row r="22" spans="1:10" s="10" customFormat="1" ht="14.4" customHeight="1" x14ac:dyDescent="0.25">
      <c r="A22" s="180">
        <v>4</v>
      </c>
      <c r="B22" s="20" t="s">
        <v>102</v>
      </c>
      <c r="C22" s="21">
        <v>4.0000000000000001E-3</v>
      </c>
      <c r="D22" s="21">
        <v>3.0000000000000001E-3</v>
      </c>
      <c r="E22" s="408">
        <f>цены!F47</f>
        <v>300</v>
      </c>
      <c r="F22" s="408">
        <f t="shared" si="2"/>
        <v>1.2</v>
      </c>
      <c r="G22" s="97">
        <f t="shared" si="0"/>
        <v>0.04</v>
      </c>
      <c r="H22" s="21">
        <f t="shared" si="0"/>
        <v>0.03</v>
      </c>
      <c r="I22" s="21">
        <f t="shared" si="1"/>
        <v>0.4</v>
      </c>
      <c r="J22" s="21">
        <f t="shared" si="1"/>
        <v>0.3</v>
      </c>
    </row>
    <row r="23" spans="1:10" s="10" customFormat="1" ht="14.1" customHeight="1" x14ac:dyDescent="0.25">
      <c r="A23" s="180">
        <v>5</v>
      </c>
      <c r="B23" s="20" t="s">
        <v>48</v>
      </c>
      <c r="C23" s="21">
        <v>0.01</v>
      </c>
      <c r="D23" s="21">
        <v>8.0000000000000002E-3</v>
      </c>
      <c r="E23" s="408">
        <f>цены!F38</f>
        <v>50</v>
      </c>
      <c r="F23" s="408">
        <f t="shared" si="2"/>
        <v>0.5</v>
      </c>
      <c r="G23" s="97">
        <f t="shared" si="0"/>
        <v>0.1</v>
      </c>
      <c r="H23" s="21">
        <f t="shared" si="0"/>
        <v>0.08</v>
      </c>
      <c r="I23" s="21">
        <f t="shared" si="1"/>
        <v>1</v>
      </c>
      <c r="J23" s="21">
        <f t="shared" si="1"/>
        <v>0.8</v>
      </c>
    </row>
    <row r="24" spans="1:10" s="10" customFormat="1" ht="14.1" customHeight="1" x14ac:dyDescent="0.25">
      <c r="A24" s="180">
        <v>6</v>
      </c>
      <c r="B24" s="20" t="s">
        <v>46</v>
      </c>
      <c r="C24" s="21">
        <v>0.01</v>
      </c>
      <c r="D24" s="21">
        <v>0.01</v>
      </c>
      <c r="E24" s="408">
        <f>цены!F113</f>
        <v>230</v>
      </c>
      <c r="F24" s="408">
        <f t="shared" si="2"/>
        <v>2.2999999999999998</v>
      </c>
      <c r="G24" s="97">
        <f t="shared" si="0"/>
        <v>0.1</v>
      </c>
      <c r="H24" s="21">
        <f t="shared" si="0"/>
        <v>0.1</v>
      </c>
      <c r="I24" s="21">
        <f t="shared" si="1"/>
        <v>1</v>
      </c>
      <c r="J24" s="21">
        <f t="shared" si="1"/>
        <v>1</v>
      </c>
    </row>
    <row r="25" spans="1:10" s="10" customFormat="1" ht="14.1" customHeight="1" x14ac:dyDescent="0.25">
      <c r="A25" s="180">
        <v>7</v>
      </c>
      <c r="B25" s="20" t="s">
        <v>74</v>
      </c>
      <c r="C25" s="21">
        <v>5.0000000000000001E-3</v>
      </c>
      <c r="D25" s="21">
        <v>5.0000000000000001E-3</v>
      </c>
      <c r="E25" s="408">
        <f>цены!F87</f>
        <v>120</v>
      </c>
      <c r="F25" s="408">
        <f t="shared" si="2"/>
        <v>0.6</v>
      </c>
      <c r="G25" s="97">
        <f t="shared" si="0"/>
        <v>0.05</v>
      </c>
      <c r="H25" s="21">
        <f t="shared" si="0"/>
        <v>0.05</v>
      </c>
      <c r="I25" s="21">
        <f t="shared" si="1"/>
        <v>0.5</v>
      </c>
      <c r="J25" s="21">
        <f t="shared" si="1"/>
        <v>0.5</v>
      </c>
    </row>
    <row r="26" spans="1:10" s="10" customFormat="1" ht="14.1" customHeight="1" x14ac:dyDescent="0.25">
      <c r="A26" s="180">
        <v>8</v>
      </c>
      <c r="B26" s="20" t="s">
        <v>355</v>
      </c>
      <c r="C26" s="111">
        <v>2.5000000000000001E-3</v>
      </c>
      <c r="D26" s="111">
        <v>2.5000000000000001E-3</v>
      </c>
      <c r="E26" s="408">
        <f>цены!F98</f>
        <v>290</v>
      </c>
      <c r="F26" s="408">
        <f t="shared" si="2"/>
        <v>0.73</v>
      </c>
      <c r="G26" s="97">
        <f t="shared" si="0"/>
        <v>2.5000000000000001E-2</v>
      </c>
      <c r="H26" s="21">
        <f t="shared" si="0"/>
        <v>2.5000000000000001E-2</v>
      </c>
      <c r="I26" s="21">
        <f t="shared" si="1"/>
        <v>0.25</v>
      </c>
      <c r="J26" s="21">
        <f t="shared" si="1"/>
        <v>0.25</v>
      </c>
    </row>
    <row r="27" spans="1:10" s="10" customFormat="1" ht="14.1" customHeight="1" x14ac:dyDescent="0.25">
      <c r="A27" s="180">
        <v>9</v>
      </c>
      <c r="B27" s="20" t="s">
        <v>30</v>
      </c>
      <c r="C27" s="21">
        <v>2E-3</v>
      </c>
      <c r="D27" s="21">
        <v>2E-3</v>
      </c>
      <c r="E27" s="408">
        <f>цены!F107</f>
        <v>76</v>
      </c>
      <c r="F27" s="408">
        <f t="shared" si="2"/>
        <v>0.15</v>
      </c>
      <c r="G27" s="97">
        <f t="shared" si="0"/>
        <v>0.02</v>
      </c>
      <c r="H27" s="21">
        <f t="shared" si="0"/>
        <v>0.02</v>
      </c>
      <c r="I27" s="21">
        <f t="shared" si="1"/>
        <v>0.2</v>
      </c>
      <c r="J27" s="21">
        <f t="shared" si="1"/>
        <v>0.2</v>
      </c>
    </row>
    <row r="28" spans="1:10" s="10" customFormat="1" ht="14.1" customHeight="1" x14ac:dyDescent="0.25">
      <c r="A28" s="180">
        <v>10</v>
      </c>
      <c r="B28" s="20" t="s">
        <v>33</v>
      </c>
      <c r="C28" s="21">
        <v>2E-3</v>
      </c>
      <c r="D28" s="21">
        <v>2E-3</v>
      </c>
      <c r="E28" s="408">
        <f>цены!F110</f>
        <v>24</v>
      </c>
      <c r="F28" s="408">
        <f t="shared" si="2"/>
        <v>0.05</v>
      </c>
      <c r="G28" s="97">
        <f t="shared" si="0"/>
        <v>0.02</v>
      </c>
      <c r="H28" s="21">
        <f t="shared" si="0"/>
        <v>0.02</v>
      </c>
      <c r="I28" s="21">
        <f t="shared" si="1"/>
        <v>0.2</v>
      </c>
      <c r="J28" s="21">
        <f t="shared" si="1"/>
        <v>0.2</v>
      </c>
    </row>
    <row r="29" spans="1:10" s="10" customFormat="1" ht="14.1" customHeight="1" x14ac:dyDescent="0.25">
      <c r="A29" s="180">
        <v>11</v>
      </c>
      <c r="B29" s="20" t="s">
        <v>84</v>
      </c>
      <c r="C29" s="21">
        <v>1E-3</v>
      </c>
      <c r="D29" s="21">
        <v>1E-3</v>
      </c>
      <c r="E29" s="408">
        <f>цены!F100</f>
        <v>1000</v>
      </c>
      <c r="F29" s="408">
        <f t="shared" si="2"/>
        <v>1</v>
      </c>
      <c r="G29" s="97">
        <f t="shared" si="0"/>
        <v>0.01</v>
      </c>
      <c r="H29" s="21">
        <f t="shared" si="0"/>
        <v>0.01</v>
      </c>
      <c r="I29" s="21">
        <f t="shared" si="1"/>
        <v>0.1</v>
      </c>
      <c r="J29" s="21">
        <f t="shared" si="1"/>
        <v>0.1</v>
      </c>
    </row>
    <row r="30" spans="1:10" s="10" customFormat="1" ht="14.1" customHeight="1" x14ac:dyDescent="0.25">
      <c r="A30" s="184"/>
      <c r="B30" s="93" t="s">
        <v>771</v>
      </c>
      <c r="C30" s="100"/>
      <c r="D30" s="100">
        <v>0.05</v>
      </c>
      <c r="E30" s="95"/>
      <c r="F30" s="95"/>
      <c r="G30" s="99"/>
      <c r="H30" s="100"/>
      <c r="I30" s="100"/>
      <c r="J30" s="100"/>
    </row>
    <row r="31" spans="1:10" s="10" customFormat="1" ht="36" customHeight="1" x14ac:dyDescent="0.25">
      <c r="A31" s="184"/>
      <c r="B31" s="93" t="s">
        <v>772</v>
      </c>
      <c r="C31" s="100"/>
      <c r="D31" s="100">
        <v>0.1</v>
      </c>
      <c r="E31" s="95"/>
      <c r="F31" s="95"/>
      <c r="G31" s="99"/>
      <c r="H31" s="100"/>
      <c r="I31" s="100"/>
      <c r="J31" s="100"/>
    </row>
    <row r="32" spans="1:10" s="10" customFormat="1" ht="17.399999999999999" customHeight="1" x14ac:dyDescent="0.25">
      <c r="A32" s="184"/>
      <c r="B32" s="93" t="s">
        <v>773</v>
      </c>
      <c r="C32" s="100"/>
      <c r="D32" s="100">
        <v>0.1</v>
      </c>
      <c r="E32" s="95"/>
      <c r="F32" s="95">
        <f>SUM(F19:F29)</f>
        <v>37.28</v>
      </c>
      <c r="G32" s="99"/>
      <c r="H32" s="100"/>
      <c r="I32" s="100"/>
      <c r="J32" s="100"/>
    </row>
    <row r="33" spans="1:10" s="10" customFormat="1" ht="12.6" customHeight="1" x14ac:dyDescent="0.25">
      <c r="A33" s="129">
        <v>8</v>
      </c>
      <c r="B33" s="123" t="s">
        <v>774</v>
      </c>
      <c r="C33" s="130"/>
      <c r="D33" s="130"/>
      <c r="E33" s="127"/>
      <c r="F33" s="408"/>
      <c r="G33" s="97"/>
      <c r="H33" s="21"/>
      <c r="I33" s="21"/>
      <c r="J33" s="21"/>
    </row>
    <row r="34" spans="1:10" s="10" customFormat="1" ht="27.6" customHeight="1" x14ac:dyDescent="0.25">
      <c r="A34" s="1536" t="s">
        <v>35</v>
      </c>
      <c r="B34" s="1536"/>
      <c r="C34" s="90"/>
      <c r="D34" s="90"/>
      <c r="E34" s="408"/>
      <c r="F34" s="408">
        <f>F32</f>
        <v>37.28</v>
      </c>
      <c r="G34" s="526"/>
      <c r="H34" s="526"/>
      <c r="I34" s="21"/>
      <c r="J34" s="408"/>
    </row>
    <row r="35" spans="1:10" s="10" customFormat="1" ht="25.35" customHeight="1" x14ac:dyDescent="0.25">
      <c r="A35" s="1536" t="s">
        <v>36</v>
      </c>
      <c r="B35" s="1536"/>
      <c r="C35" s="90">
        <v>100</v>
      </c>
      <c r="D35" s="90"/>
      <c r="E35" s="408"/>
      <c r="F35" s="408"/>
      <c r="G35" s="408"/>
      <c r="H35" s="408"/>
      <c r="I35" s="21"/>
      <c r="J35" s="17"/>
    </row>
    <row r="36" spans="1:10" s="10" customFormat="1" ht="25.35" customHeight="1" x14ac:dyDescent="0.25">
      <c r="A36" s="1537" t="s">
        <v>37</v>
      </c>
      <c r="B36" s="1538"/>
      <c r="C36" s="91">
        <v>100</v>
      </c>
      <c r="D36" s="92"/>
      <c r="E36" s="525"/>
      <c r="F36" s="525"/>
      <c r="G36" s="525"/>
      <c r="H36" s="525"/>
      <c r="I36" s="21"/>
      <c r="J36" s="17"/>
    </row>
    <row r="37" spans="1:10" s="10" customFormat="1" ht="15" customHeight="1" x14ac:dyDescent="0.25">
      <c r="A37" s="1539" t="s">
        <v>38</v>
      </c>
      <c r="B37" s="1540"/>
      <c r="C37" s="92">
        <f>C35/C36</f>
        <v>1</v>
      </c>
      <c r="D37" s="92"/>
      <c r="E37" s="525"/>
      <c r="F37" s="525"/>
      <c r="G37" s="525"/>
      <c r="H37" s="525"/>
      <c r="I37" s="21"/>
      <c r="J37" s="17"/>
    </row>
    <row r="38" spans="1:10" ht="16.350000000000001" customHeight="1" x14ac:dyDescent="0.25">
      <c r="A38" s="1541" t="s">
        <v>39</v>
      </c>
      <c r="B38" s="1542"/>
      <c r="C38" s="15" t="s">
        <v>40</v>
      </c>
      <c r="D38" s="102"/>
      <c r="E38" s="102" t="s">
        <v>40</v>
      </c>
      <c r="F38" s="16">
        <f>F34/C37</f>
        <v>37.28</v>
      </c>
      <c r="G38" s="16"/>
      <c r="H38" s="16"/>
      <c r="I38" s="102" t="s">
        <v>40</v>
      </c>
      <c r="J38" s="102" t="s">
        <v>40</v>
      </c>
    </row>
    <row r="39" spans="1:10" ht="21" customHeight="1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ht="21.6" customHeight="1" x14ac:dyDescent="0.25">
      <c r="A40" s="1193"/>
      <c r="B40" s="1194" t="s">
        <v>49</v>
      </c>
      <c r="C40" s="1198"/>
      <c r="D40" s="1198"/>
      <c r="E40" s="1198"/>
      <c r="F40" s="1198"/>
      <c r="G40" s="1193"/>
      <c r="H40" s="1557">
        <f>'1-бутерброд с маслом'!$H$28</f>
        <v>0</v>
      </c>
      <c r="I40" s="1557"/>
      <c r="J40" s="1557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ht="13.95" customHeight="1" x14ac:dyDescent="0.25">
      <c r="A42" s="1545" t="s">
        <v>327</v>
      </c>
      <c r="B42" s="1545"/>
      <c r="C42" s="1546" t="s">
        <v>328</v>
      </c>
      <c r="D42" s="1546"/>
      <c r="E42" s="1546"/>
      <c r="F42" s="1546"/>
      <c r="G42" s="106"/>
      <c r="H42" s="1531"/>
      <c r="I42" s="1531"/>
      <c r="J42" s="1531"/>
    </row>
    <row r="43" spans="1:10" ht="19.95" customHeight="1" x14ac:dyDescent="0.25">
      <c r="A43" s="1193"/>
      <c r="B43" s="1193"/>
      <c r="C43" s="1546"/>
      <c r="D43" s="1546"/>
      <c r="E43" s="1546"/>
      <c r="F43" s="1546"/>
      <c r="G43" s="1193"/>
      <c r="H43" s="1531" t="s">
        <v>329</v>
      </c>
      <c r="I43" s="1531"/>
      <c r="J43" s="1531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2:B42"/>
    <mergeCell ref="C42:F43"/>
    <mergeCell ref="H42:J42"/>
    <mergeCell ref="H43:J43"/>
    <mergeCell ref="A35:B35"/>
    <mergeCell ref="A36:B36"/>
    <mergeCell ref="A37:B37"/>
    <mergeCell ref="A38:B38"/>
    <mergeCell ref="H40:J40"/>
    <mergeCell ref="A34:B34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2F030"/>
  </sheetPr>
  <dimension ref="A1:J44"/>
  <sheetViews>
    <sheetView view="pageBreakPreview" topLeftCell="A6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522" customWidth="1"/>
    <col min="2" max="2" width="21.109375" style="522" customWidth="1"/>
    <col min="3" max="7" width="7.5546875" style="522" customWidth="1"/>
    <col min="8" max="8" width="8.88671875" style="522" customWidth="1"/>
    <col min="9" max="9" width="7.5546875" style="522" customWidth="1"/>
    <col min="10" max="10" width="9" style="522" customWidth="1"/>
    <col min="11" max="11" width="4.6640625" style="522" customWidth="1"/>
    <col min="12" max="16384" width="8.88671875" style="522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160)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229</v>
      </c>
    </row>
    <row r="8" spans="1:10" s="2" customFormat="1" ht="9.6" customHeight="1" x14ac:dyDescent="0.25">
      <c r="A8" s="523"/>
      <c r="B8" s="523"/>
      <c r="C8" s="523"/>
      <c r="D8" s="523"/>
      <c r="E8" s="523"/>
      <c r="F8" s="523"/>
      <c r="G8" s="523"/>
      <c r="H8" s="523"/>
      <c r="I8" s="523"/>
      <c r="J8" s="109"/>
    </row>
    <row r="9" spans="1:10" s="2" customFormat="1" ht="26.1" customHeight="1" x14ac:dyDescent="0.3">
      <c r="A9" s="1550" t="s">
        <v>793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'229-рыба тушен. хек 140'!H14+1</f>
        <v>160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524" t="s">
        <v>92</v>
      </c>
      <c r="D17" s="524" t="s">
        <v>94</v>
      </c>
      <c r="E17" s="524" t="s">
        <v>93</v>
      </c>
      <c r="F17" s="524" t="s">
        <v>23</v>
      </c>
      <c r="G17" s="524" t="s">
        <v>92</v>
      </c>
      <c r="H17" s="524" t="s">
        <v>94</v>
      </c>
      <c r="I17" s="524" t="s">
        <v>92</v>
      </c>
      <c r="J17" s="524" t="s">
        <v>94</v>
      </c>
    </row>
    <row r="18" spans="1:10" ht="9.6" customHeight="1" x14ac:dyDescent="0.25">
      <c r="A18" s="524">
        <v>1</v>
      </c>
      <c r="B18" s="525">
        <v>2</v>
      </c>
      <c r="C18" s="524">
        <v>3</v>
      </c>
      <c r="D18" s="525">
        <v>4</v>
      </c>
      <c r="E18" s="524">
        <v>5</v>
      </c>
      <c r="F18" s="525">
        <v>6</v>
      </c>
      <c r="G18" s="524">
        <v>7</v>
      </c>
      <c r="H18" s="525">
        <v>8</v>
      </c>
      <c r="I18" s="524">
        <v>9</v>
      </c>
      <c r="J18" s="525">
        <v>10</v>
      </c>
    </row>
    <row r="19" spans="1:10" s="10" customFormat="1" ht="15" customHeight="1" x14ac:dyDescent="0.25">
      <c r="A19" s="180">
        <v>1</v>
      </c>
      <c r="B19" s="20" t="s">
        <v>791</v>
      </c>
      <c r="C19" s="21">
        <v>7.9000000000000001E-2</v>
      </c>
      <c r="D19" s="21">
        <v>6.0999999999999999E-2</v>
      </c>
      <c r="E19" s="408">
        <f>цены!F16</f>
        <v>332</v>
      </c>
      <c r="F19" s="408">
        <f>C19*E19</f>
        <v>26.23</v>
      </c>
      <c r="G19" s="97">
        <f t="shared" ref="G19:H29" si="0">C19*10</f>
        <v>0.79</v>
      </c>
      <c r="H19" s="21">
        <f t="shared" si="0"/>
        <v>0.61</v>
      </c>
      <c r="I19" s="21">
        <f t="shared" ref="I19:J29" si="1">C19*100</f>
        <v>7.9</v>
      </c>
      <c r="J19" s="21">
        <f t="shared" si="1"/>
        <v>6.1</v>
      </c>
    </row>
    <row r="20" spans="1:10" s="10" customFormat="1" ht="14.4" customHeight="1" x14ac:dyDescent="0.25">
      <c r="A20" s="180">
        <v>2</v>
      </c>
      <c r="B20" s="20" t="s">
        <v>28</v>
      </c>
      <c r="C20" s="21">
        <v>1.9E-2</v>
      </c>
      <c r="D20" s="21">
        <v>1.9E-2</v>
      </c>
      <c r="E20" s="408"/>
      <c r="F20" s="408">
        <f>C20*E20</f>
        <v>0</v>
      </c>
      <c r="G20" s="97">
        <f t="shared" si="0"/>
        <v>0.19</v>
      </c>
      <c r="H20" s="21">
        <f t="shared" si="0"/>
        <v>0.19</v>
      </c>
      <c r="I20" s="21">
        <f t="shared" si="1"/>
        <v>1.9</v>
      </c>
      <c r="J20" s="21">
        <f t="shared" si="1"/>
        <v>1.9</v>
      </c>
    </row>
    <row r="21" spans="1:10" s="10" customFormat="1" ht="14.4" customHeight="1" x14ac:dyDescent="0.25">
      <c r="A21" s="180">
        <v>3</v>
      </c>
      <c r="B21" s="20" t="s">
        <v>47</v>
      </c>
      <c r="C21" s="21">
        <v>2.3E-2</v>
      </c>
      <c r="D21" s="21">
        <v>1.7999999999999999E-2</v>
      </c>
      <c r="E21" s="408">
        <f>цены!F44</f>
        <v>50</v>
      </c>
      <c r="F21" s="408">
        <f t="shared" ref="F21:F29" si="2">C21*E21</f>
        <v>1.1499999999999999</v>
      </c>
      <c r="G21" s="97">
        <f t="shared" si="0"/>
        <v>0.23</v>
      </c>
      <c r="H21" s="21">
        <f t="shared" si="0"/>
        <v>0.18</v>
      </c>
      <c r="I21" s="21">
        <f t="shared" si="1"/>
        <v>2.2999999999999998</v>
      </c>
      <c r="J21" s="21">
        <f t="shared" si="1"/>
        <v>1.8</v>
      </c>
    </row>
    <row r="22" spans="1:10" s="10" customFormat="1" ht="14.4" customHeight="1" x14ac:dyDescent="0.25">
      <c r="A22" s="180">
        <v>4</v>
      </c>
      <c r="B22" s="20" t="s">
        <v>102</v>
      </c>
      <c r="C22" s="21">
        <v>4.0000000000000001E-3</v>
      </c>
      <c r="D22" s="21">
        <v>3.0000000000000001E-3</v>
      </c>
      <c r="E22" s="408">
        <f>цены!F47</f>
        <v>300</v>
      </c>
      <c r="F22" s="408">
        <f t="shared" si="2"/>
        <v>1.2</v>
      </c>
      <c r="G22" s="97">
        <f t="shared" si="0"/>
        <v>0.04</v>
      </c>
      <c r="H22" s="21">
        <f t="shared" si="0"/>
        <v>0.03</v>
      </c>
      <c r="I22" s="21">
        <f t="shared" si="1"/>
        <v>0.4</v>
      </c>
      <c r="J22" s="21">
        <f t="shared" si="1"/>
        <v>0.3</v>
      </c>
    </row>
    <row r="23" spans="1:10" s="10" customFormat="1" ht="14.1" customHeight="1" x14ac:dyDescent="0.25">
      <c r="A23" s="180">
        <v>5</v>
      </c>
      <c r="B23" s="20" t="s">
        <v>48</v>
      </c>
      <c r="C23" s="21">
        <v>0.01</v>
      </c>
      <c r="D23" s="21">
        <v>8.0000000000000002E-3</v>
      </c>
      <c r="E23" s="408">
        <f>цены!F38</f>
        <v>50</v>
      </c>
      <c r="F23" s="408">
        <f t="shared" si="2"/>
        <v>0.5</v>
      </c>
      <c r="G23" s="97">
        <f t="shared" si="0"/>
        <v>0.1</v>
      </c>
      <c r="H23" s="21">
        <f t="shared" si="0"/>
        <v>0.08</v>
      </c>
      <c r="I23" s="21">
        <f t="shared" si="1"/>
        <v>1</v>
      </c>
      <c r="J23" s="21">
        <f t="shared" si="1"/>
        <v>0.8</v>
      </c>
    </row>
    <row r="24" spans="1:10" s="10" customFormat="1" ht="14.1" customHeight="1" x14ac:dyDescent="0.25">
      <c r="A24" s="180">
        <v>6</v>
      </c>
      <c r="B24" s="20" t="s">
        <v>46</v>
      </c>
      <c r="C24" s="21">
        <v>0.01</v>
      </c>
      <c r="D24" s="21">
        <v>0.01</v>
      </c>
      <c r="E24" s="408">
        <f>цены!F113</f>
        <v>230</v>
      </c>
      <c r="F24" s="408">
        <f t="shared" si="2"/>
        <v>2.2999999999999998</v>
      </c>
      <c r="G24" s="97">
        <f t="shared" si="0"/>
        <v>0.1</v>
      </c>
      <c r="H24" s="21">
        <f t="shared" si="0"/>
        <v>0.1</v>
      </c>
      <c r="I24" s="21">
        <f t="shared" si="1"/>
        <v>1</v>
      </c>
      <c r="J24" s="21">
        <f t="shared" si="1"/>
        <v>1</v>
      </c>
    </row>
    <row r="25" spans="1:10" s="10" customFormat="1" ht="14.1" customHeight="1" x14ac:dyDescent="0.25">
      <c r="A25" s="180">
        <v>7</v>
      </c>
      <c r="B25" s="20" t="s">
        <v>74</v>
      </c>
      <c r="C25" s="21">
        <v>5.0000000000000001E-3</v>
      </c>
      <c r="D25" s="21">
        <v>5.0000000000000001E-3</v>
      </c>
      <c r="E25" s="408">
        <f>цены!F87</f>
        <v>120</v>
      </c>
      <c r="F25" s="408">
        <f t="shared" si="2"/>
        <v>0.6</v>
      </c>
      <c r="G25" s="97">
        <f t="shared" si="0"/>
        <v>0.05</v>
      </c>
      <c r="H25" s="21">
        <f t="shared" si="0"/>
        <v>0.05</v>
      </c>
      <c r="I25" s="21">
        <f t="shared" si="1"/>
        <v>0.5</v>
      </c>
      <c r="J25" s="21">
        <f t="shared" si="1"/>
        <v>0.5</v>
      </c>
    </row>
    <row r="26" spans="1:10" s="10" customFormat="1" ht="14.1" customHeight="1" x14ac:dyDescent="0.25">
      <c r="A26" s="180">
        <v>8</v>
      </c>
      <c r="B26" s="20" t="s">
        <v>355</v>
      </c>
      <c r="C26" s="111">
        <v>2.5000000000000001E-3</v>
      </c>
      <c r="D26" s="111">
        <v>2.5000000000000001E-3</v>
      </c>
      <c r="E26" s="408">
        <f>цены!F98</f>
        <v>290</v>
      </c>
      <c r="F26" s="408">
        <f t="shared" si="2"/>
        <v>0.73</v>
      </c>
      <c r="G26" s="97">
        <f t="shared" si="0"/>
        <v>2.5000000000000001E-2</v>
      </c>
      <c r="H26" s="21">
        <f t="shared" si="0"/>
        <v>2.5000000000000001E-2</v>
      </c>
      <c r="I26" s="21">
        <f t="shared" si="1"/>
        <v>0.25</v>
      </c>
      <c r="J26" s="21">
        <f t="shared" si="1"/>
        <v>0.25</v>
      </c>
    </row>
    <row r="27" spans="1:10" s="10" customFormat="1" ht="14.1" customHeight="1" x14ac:dyDescent="0.25">
      <c r="A27" s="180">
        <v>9</v>
      </c>
      <c r="B27" s="20" t="s">
        <v>30</v>
      </c>
      <c r="C27" s="21">
        <v>2E-3</v>
      </c>
      <c r="D27" s="21">
        <v>2E-3</v>
      </c>
      <c r="E27" s="408">
        <f>цены!F107</f>
        <v>76</v>
      </c>
      <c r="F27" s="408">
        <f t="shared" si="2"/>
        <v>0.15</v>
      </c>
      <c r="G27" s="97">
        <f t="shared" si="0"/>
        <v>0.02</v>
      </c>
      <c r="H27" s="21">
        <f t="shared" si="0"/>
        <v>0.02</v>
      </c>
      <c r="I27" s="21">
        <f t="shared" si="1"/>
        <v>0.2</v>
      </c>
      <c r="J27" s="21">
        <f t="shared" si="1"/>
        <v>0.2</v>
      </c>
    </row>
    <row r="28" spans="1:10" s="10" customFormat="1" ht="14.1" customHeight="1" x14ac:dyDescent="0.25">
      <c r="A28" s="180">
        <v>10</v>
      </c>
      <c r="B28" s="20" t="s">
        <v>33</v>
      </c>
      <c r="C28" s="21">
        <v>2E-3</v>
      </c>
      <c r="D28" s="21">
        <v>2E-3</v>
      </c>
      <c r="E28" s="408">
        <f>цены!F110</f>
        <v>24</v>
      </c>
      <c r="F28" s="408">
        <f t="shared" si="2"/>
        <v>0.05</v>
      </c>
      <c r="G28" s="97">
        <f t="shared" si="0"/>
        <v>0.02</v>
      </c>
      <c r="H28" s="21">
        <f t="shared" si="0"/>
        <v>0.02</v>
      </c>
      <c r="I28" s="21">
        <f t="shared" si="1"/>
        <v>0.2</v>
      </c>
      <c r="J28" s="21">
        <f t="shared" si="1"/>
        <v>0.2</v>
      </c>
    </row>
    <row r="29" spans="1:10" s="10" customFormat="1" ht="14.1" customHeight="1" x14ac:dyDescent="0.25">
      <c r="A29" s="180">
        <v>11</v>
      </c>
      <c r="B29" s="20" t="s">
        <v>84</v>
      </c>
      <c r="C29" s="21">
        <v>1E-3</v>
      </c>
      <c r="D29" s="21">
        <v>1E-3</v>
      </c>
      <c r="E29" s="408">
        <f>цены!F100</f>
        <v>1000</v>
      </c>
      <c r="F29" s="408">
        <f t="shared" si="2"/>
        <v>1</v>
      </c>
      <c r="G29" s="97">
        <f t="shared" si="0"/>
        <v>0.01</v>
      </c>
      <c r="H29" s="21">
        <f t="shared" si="0"/>
        <v>0.01</v>
      </c>
      <c r="I29" s="21">
        <f t="shared" si="1"/>
        <v>0.1</v>
      </c>
      <c r="J29" s="21">
        <f t="shared" si="1"/>
        <v>0.1</v>
      </c>
    </row>
    <row r="30" spans="1:10" s="10" customFormat="1" ht="14.1" customHeight="1" x14ac:dyDescent="0.25">
      <c r="A30" s="184"/>
      <c r="B30" s="93" t="s">
        <v>771</v>
      </c>
      <c r="C30" s="100"/>
      <c r="D30" s="100">
        <v>0.05</v>
      </c>
      <c r="E30" s="95"/>
      <c r="F30" s="95"/>
      <c r="G30" s="99"/>
      <c r="H30" s="100"/>
      <c r="I30" s="100"/>
      <c r="J30" s="100"/>
    </row>
    <row r="31" spans="1:10" s="10" customFormat="1" ht="36" customHeight="1" x14ac:dyDescent="0.25">
      <c r="A31" s="184"/>
      <c r="B31" s="93" t="s">
        <v>772</v>
      </c>
      <c r="C31" s="100"/>
      <c r="D31" s="100">
        <v>0.1</v>
      </c>
      <c r="E31" s="95"/>
      <c r="F31" s="95"/>
      <c r="G31" s="99"/>
      <c r="H31" s="100"/>
      <c r="I31" s="100"/>
      <c r="J31" s="100"/>
    </row>
    <row r="32" spans="1:10" s="10" customFormat="1" ht="17.399999999999999" customHeight="1" x14ac:dyDescent="0.25">
      <c r="A32" s="184"/>
      <c r="B32" s="93" t="s">
        <v>773</v>
      </c>
      <c r="C32" s="100"/>
      <c r="D32" s="100">
        <v>0.1</v>
      </c>
      <c r="E32" s="95"/>
      <c r="F32" s="95">
        <f>SUM(F19:F29)</f>
        <v>33.909999999999997</v>
      </c>
      <c r="G32" s="99"/>
      <c r="H32" s="100"/>
      <c r="I32" s="100"/>
      <c r="J32" s="100"/>
    </row>
    <row r="33" spans="1:10" s="10" customFormat="1" ht="12.6" customHeight="1" x14ac:dyDescent="0.25">
      <c r="A33" s="129">
        <v>8</v>
      </c>
      <c r="B33" s="123" t="s">
        <v>774</v>
      </c>
      <c r="C33" s="130"/>
      <c r="D33" s="130"/>
      <c r="E33" s="127"/>
      <c r="F33" s="408"/>
      <c r="G33" s="97"/>
      <c r="H33" s="21"/>
      <c r="I33" s="21"/>
      <c r="J33" s="21"/>
    </row>
    <row r="34" spans="1:10" s="10" customFormat="1" ht="27.6" customHeight="1" x14ac:dyDescent="0.25">
      <c r="A34" s="1536" t="s">
        <v>35</v>
      </c>
      <c r="B34" s="1536"/>
      <c r="C34" s="90"/>
      <c r="D34" s="90"/>
      <c r="E34" s="408"/>
      <c r="F34" s="408">
        <f>F32</f>
        <v>33.909999999999997</v>
      </c>
      <c r="G34" s="526"/>
      <c r="H34" s="526"/>
      <c r="I34" s="21"/>
      <c r="J34" s="408"/>
    </row>
    <row r="35" spans="1:10" s="10" customFormat="1" ht="25.35" customHeight="1" x14ac:dyDescent="0.25">
      <c r="A35" s="1536" t="s">
        <v>36</v>
      </c>
      <c r="B35" s="1536"/>
      <c r="C35" s="90">
        <v>100</v>
      </c>
      <c r="D35" s="90"/>
      <c r="E35" s="408"/>
      <c r="F35" s="408"/>
      <c r="G35" s="408"/>
      <c r="H35" s="408"/>
      <c r="I35" s="21"/>
      <c r="J35" s="17"/>
    </row>
    <row r="36" spans="1:10" s="10" customFormat="1" ht="25.35" customHeight="1" x14ac:dyDescent="0.25">
      <c r="A36" s="1537" t="s">
        <v>37</v>
      </c>
      <c r="B36" s="1538"/>
      <c r="C36" s="91">
        <v>100</v>
      </c>
      <c r="D36" s="92"/>
      <c r="E36" s="525"/>
      <c r="F36" s="525"/>
      <c r="G36" s="525"/>
      <c r="H36" s="525"/>
      <c r="I36" s="21"/>
      <c r="J36" s="17"/>
    </row>
    <row r="37" spans="1:10" s="10" customFormat="1" ht="15" customHeight="1" x14ac:dyDescent="0.25">
      <c r="A37" s="1539" t="s">
        <v>38</v>
      </c>
      <c r="B37" s="1540"/>
      <c r="C37" s="92">
        <f>C35/C36</f>
        <v>1</v>
      </c>
      <c r="D37" s="92"/>
      <c r="E37" s="525"/>
      <c r="F37" s="525"/>
      <c r="G37" s="525"/>
      <c r="H37" s="525"/>
      <c r="I37" s="21"/>
      <c r="J37" s="17"/>
    </row>
    <row r="38" spans="1:10" ht="16.350000000000001" customHeight="1" x14ac:dyDescent="0.25">
      <c r="A38" s="1541" t="s">
        <v>39</v>
      </c>
      <c r="B38" s="1542"/>
      <c r="C38" s="15" t="s">
        <v>40</v>
      </c>
      <c r="D38" s="102"/>
      <c r="E38" s="102" t="s">
        <v>40</v>
      </c>
      <c r="F38" s="16">
        <f>F34/C37</f>
        <v>33.909999999999997</v>
      </c>
      <c r="G38" s="16"/>
      <c r="H38" s="16"/>
      <c r="I38" s="102" t="s">
        <v>40</v>
      </c>
      <c r="J38" s="102" t="s">
        <v>40</v>
      </c>
    </row>
    <row r="39" spans="1:10" ht="15.6" customHeight="1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ht="13.95" customHeight="1" x14ac:dyDescent="0.25">
      <c r="A40" s="1193"/>
      <c r="B40" s="1194" t="s">
        <v>49</v>
      </c>
      <c r="C40" s="1198"/>
      <c r="D40" s="1198"/>
      <c r="E40" s="1198"/>
      <c r="F40" s="1198"/>
      <c r="G40" s="1193"/>
      <c r="H40" s="1557">
        <f>'1-бутерброд с маслом'!$H$28</f>
        <v>0</v>
      </c>
      <c r="I40" s="1557"/>
      <c r="J40" s="1557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ht="22.2" customHeight="1" x14ac:dyDescent="0.25">
      <c r="A42" s="1545" t="s">
        <v>327</v>
      </c>
      <c r="B42" s="1545"/>
      <c r="C42" s="1546" t="s">
        <v>328</v>
      </c>
      <c r="D42" s="1546"/>
      <c r="E42" s="1546"/>
      <c r="F42" s="1546"/>
      <c r="G42" s="106"/>
      <c r="H42" s="1531"/>
      <c r="I42" s="1531"/>
      <c r="J42" s="1531"/>
    </row>
    <row r="43" spans="1:10" ht="19.95" customHeight="1" x14ac:dyDescent="0.25">
      <c r="A43" s="1193"/>
      <c r="B43" s="1193"/>
      <c r="C43" s="1546"/>
      <c r="D43" s="1546"/>
      <c r="E43" s="1546"/>
      <c r="F43" s="1546"/>
      <c r="G43" s="1193"/>
      <c r="H43" s="1531" t="s">
        <v>329</v>
      </c>
      <c r="I43" s="1531"/>
      <c r="J43" s="1531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2:B42"/>
    <mergeCell ref="C42:F43"/>
    <mergeCell ref="H42:J42"/>
    <mergeCell ref="H43:J43"/>
    <mergeCell ref="A35:B35"/>
    <mergeCell ref="A36:B36"/>
    <mergeCell ref="A37:B37"/>
    <mergeCell ref="A38:B38"/>
    <mergeCell ref="H40:J40"/>
    <mergeCell ref="A34:B34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2F030"/>
  </sheetPr>
  <dimension ref="A1:J42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1093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161)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230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631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'229-рыба тушен. минтай филе'!H14+1</f>
        <v>161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33.9" customHeight="1" x14ac:dyDescent="0.25">
      <c r="A19" s="180">
        <v>1</v>
      </c>
      <c r="B19" s="20" t="s">
        <v>248</v>
      </c>
      <c r="C19" s="21">
        <v>0.14199999999999999</v>
      </c>
      <c r="D19" s="21">
        <v>5.7000000000000002E-2</v>
      </c>
      <c r="E19" s="13">
        <f>цены!F14</f>
        <v>178</v>
      </c>
      <c r="F19" s="13">
        <f>C19*E19</f>
        <v>25.28</v>
      </c>
      <c r="G19" s="97">
        <f t="shared" ref="G19:H21" si="0">C19*10</f>
        <v>1.42</v>
      </c>
      <c r="H19" s="21">
        <f t="shared" si="0"/>
        <v>0.56999999999999995</v>
      </c>
      <c r="I19" s="21">
        <f t="shared" ref="I19:J21" si="1">C19*100</f>
        <v>14.2</v>
      </c>
      <c r="J19" s="21">
        <f t="shared" si="1"/>
        <v>5.7</v>
      </c>
    </row>
    <row r="20" spans="1:10" s="10" customFormat="1" ht="14.1" customHeight="1" x14ac:dyDescent="0.25">
      <c r="A20" s="180">
        <v>2</v>
      </c>
      <c r="B20" s="20" t="s">
        <v>45</v>
      </c>
      <c r="C20" s="21">
        <v>3.0000000000000001E-3</v>
      </c>
      <c r="D20" s="21">
        <v>3.0000000000000001E-3</v>
      </c>
      <c r="E20" s="13">
        <f>цены!F74</f>
        <v>36</v>
      </c>
      <c r="F20" s="13">
        <f>C20*E20</f>
        <v>0.11</v>
      </c>
      <c r="G20" s="97">
        <f t="shared" si="0"/>
        <v>0.03</v>
      </c>
      <c r="H20" s="21">
        <f t="shared" si="0"/>
        <v>0.03</v>
      </c>
      <c r="I20" s="21">
        <f t="shared" si="1"/>
        <v>0.3</v>
      </c>
      <c r="J20" s="21">
        <f t="shared" si="1"/>
        <v>0.3</v>
      </c>
    </row>
    <row r="21" spans="1:10" s="10" customFormat="1" ht="14.1" customHeight="1" x14ac:dyDescent="0.25">
      <c r="A21" s="180">
        <v>3</v>
      </c>
      <c r="B21" s="20" t="s">
        <v>74</v>
      </c>
      <c r="C21" s="21">
        <v>5.0000000000000001E-3</v>
      </c>
      <c r="D21" s="21">
        <v>5.0000000000000001E-3</v>
      </c>
      <c r="E21" s="13">
        <f>цены!F87</f>
        <v>120</v>
      </c>
      <c r="F21" s="13">
        <f>C21*E21</f>
        <v>0.6</v>
      </c>
      <c r="G21" s="97">
        <f t="shared" si="0"/>
        <v>0.05</v>
      </c>
      <c r="H21" s="21">
        <f t="shared" si="0"/>
        <v>0.05</v>
      </c>
      <c r="I21" s="21">
        <f t="shared" si="1"/>
        <v>0.5</v>
      </c>
      <c r="J21" s="21">
        <f t="shared" si="1"/>
        <v>0.5</v>
      </c>
    </row>
    <row r="22" spans="1:10" s="10" customFormat="1" ht="14.1" customHeight="1" x14ac:dyDescent="0.25">
      <c r="A22" s="180">
        <v>4</v>
      </c>
      <c r="B22" s="20" t="s">
        <v>33</v>
      </c>
      <c r="C22" s="21">
        <v>2E-3</v>
      </c>
      <c r="D22" s="21">
        <v>2E-3</v>
      </c>
      <c r="E22" s="13">
        <f>цены!F110</f>
        <v>24</v>
      </c>
      <c r="F22" s="13">
        <f>C22*E22</f>
        <v>0.05</v>
      </c>
      <c r="G22" s="97">
        <f>C22*10</f>
        <v>0.02</v>
      </c>
      <c r="H22" s="21">
        <f>D22*10</f>
        <v>0.02</v>
      </c>
      <c r="I22" s="21">
        <f>C22*100</f>
        <v>0.2</v>
      </c>
      <c r="J22" s="21">
        <f>D22*100</f>
        <v>0.2</v>
      </c>
    </row>
    <row r="23" spans="1:10" s="10" customFormat="1" ht="14.1" customHeight="1" x14ac:dyDescent="0.25">
      <c r="A23" s="180">
        <v>5</v>
      </c>
      <c r="B23" s="20" t="s">
        <v>84</v>
      </c>
      <c r="C23" s="125">
        <v>1.0000000000000001E-5</v>
      </c>
      <c r="D23" s="125">
        <v>1.0000000000000001E-5</v>
      </c>
      <c r="E23" s="13">
        <f>цены!F100</f>
        <v>1000</v>
      </c>
      <c r="F23" s="13">
        <f>C23*E23</f>
        <v>0.01</v>
      </c>
      <c r="G23" s="97">
        <f>C23*10</f>
        <v>0</v>
      </c>
      <c r="H23" s="21">
        <f>D23*10</f>
        <v>0</v>
      </c>
      <c r="I23" s="21">
        <f>C23*100</f>
        <v>1E-3</v>
      </c>
      <c r="J23" s="21">
        <f>D23*100</f>
        <v>1E-3</v>
      </c>
    </row>
    <row r="24" spans="1:10" s="10" customFormat="1" ht="12" customHeight="1" x14ac:dyDescent="0.25">
      <c r="A24" s="184"/>
      <c r="B24" s="93" t="s">
        <v>176</v>
      </c>
      <c r="C24" s="112"/>
      <c r="D24" s="112">
        <v>0.05</v>
      </c>
      <c r="E24" s="95"/>
      <c r="F24" s="95">
        <f>SUM(F19:F23)</f>
        <v>26.05</v>
      </c>
      <c r="G24" s="99"/>
      <c r="H24" s="100">
        <f>D24*10</f>
        <v>0.5</v>
      </c>
      <c r="I24" s="100"/>
      <c r="J24" s="100">
        <f>D24*100</f>
        <v>5</v>
      </c>
    </row>
    <row r="25" spans="1:10" s="10" customFormat="1" ht="12" customHeight="1" x14ac:dyDescent="0.25">
      <c r="A25" s="129">
        <v>6</v>
      </c>
      <c r="B25" s="123" t="s">
        <v>31</v>
      </c>
      <c r="C25" s="130">
        <v>5.0000000000000001E-3</v>
      </c>
      <c r="D25" s="130">
        <v>5.0000000000000001E-3</v>
      </c>
      <c r="E25" s="127">
        <f>цены!F21</f>
        <v>710</v>
      </c>
      <c r="F25" s="13">
        <f>C25*E25</f>
        <v>3.55</v>
      </c>
      <c r="G25" s="97">
        <f>C25*10</f>
        <v>0.05</v>
      </c>
      <c r="H25" s="21">
        <f>D25*10</f>
        <v>0.05</v>
      </c>
      <c r="I25" s="21">
        <f>C25*100</f>
        <v>0.5</v>
      </c>
      <c r="J25" s="21">
        <f>D25*100</f>
        <v>0.5</v>
      </c>
    </row>
    <row r="26" spans="1:10" s="10" customFormat="1" ht="12" customHeight="1" x14ac:dyDescent="0.25">
      <c r="A26" s="129">
        <v>7</v>
      </c>
      <c r="B26" s="123" t="s">
        <v>394</v>
      </c>
      <c r="C26" s="130">
        <v>3.0000000000000001E-3</v>
      </c>
      <c r="D26" s="130">
        <v>3.0000000000000001E-3</v>
      </c>
      <c r="E26" s="127">
        <f>цены!F48</f>
        <v>300</v>
      </c>
      <c r="F26" s="13">
        <f>C26*E26</f>
        <v>0.9</v>
      </c>
      <c r="G26" s="97">
        <f>C26*10</f>
        <v>0.03</v>
      </c>
      <c r="H26" s="21">
        <f>D26*10</f>
        <v>0.03</v>
      </c>
      <c r="I26" s="21">
        <f>C26*100</f>
        <v>0.3</v>
      </c>
      <c r="J26" s="21">
        <f>D26*100</f>
        <v>0.3</v>
      </c>
    </row>
    <row r="27" spans="1:10" s="10" customFormat="1" ht="12" customHeight="1" x14ac:dyDescent="0.25">
      <c r="A27" s="98"/>
      <c r="B27" s="93"/>
      <c r="C27" s="112"/>
      <c r="D27" s="112">
        <v>5.5E-2</v>
      </c>
      <c r="E27" s="95"/>
      <c r="F27" s="95">
        <f>F24+F25+F26</f>
        <v>30.5</v>
      </c>
      <c r="G27" s="99"/>
      <c r="H27" s="100">
        <f>D27*10</f>
        <v>0.55000000000000004</v>
      </c>
      <c r="I27" s="100"/>
      <c r="J27" s="100">
        <f>D27*100</f>
        <v>5.5</v>
      </c>
    </row>
    <row r="28" spans="1:10" s="10" customFormat="1" ht="26.1" customHeight="1" x14ac:dyDescent="0.25">
      <c r="A28" s="203"/>
      <c r="B28" s="204" t="s">
        <v>406</v>
      </c>
      <c r="C28" s="205"/>
      <c r="D28" s="205"/>
      <c r="E28" s="206"/>
      <c r="F28" s="206"/>
      <c r="G28" s="207"/>
      <c r="H28" s="208"/>
      <c r="I28" s="208"/>
      <c r="J28" s="208"/>
    </row>
    <row r="29" spans="1:10" s="10" customFormat="1" ht="27.6" customHeight="1" x14ac:dyDescent="0.25">
      <c r="A29" s="1536" t="s">
        <v>35</v>
      </c>
      <c r="B29" s="1536"/>
      <c r="C29" s="90"/>
      <c r="D29" s="90"/>
      <c r="E29" s="13"/>
      <c r="F29" s="13">
        <f>F27</f>
        <v>30.5</v>
      </c>
      <c r="G29" s="14"/>
      <c r="H29" s="14"/>
      <c r="I29" s="21"/>
      <c r="J29" s="13"/>
    </row>
    <row r="30" spans="1:10" s="10" customFormat="1" ht="25.35" customHeight="1" x14ac:dyDescent="0.25">
      <c r="A30" s="1536" t="s">
        <v>36</v>
      </c>
      <c r="B30" s="1536"/>
      <c r="C30" s="90">
        <v>55</v>
      </c>
      <c r="D30" s="90"/>
      <c r="E30" s="13"/>
      <c r="F30" s="13"/>
      <c r="G30" s="13"/>
      <c r="H30" s="13"/>
      <c r="I30" s="21"/>
      <c r="J30" s="17"/>
    </row>
    <row r="31" spans="1:10" s="10" customFormat="1" ht="25.35" customHeight="1" x14ac:dyDescent="0.25">
      <c r="A31" s="1537" t="s">
        <v>37</v>
      </c>
      <c r="B31" s="1538"/>
      <c r="C31" s="91">
        <v>55</v>
      </c>
      <c r="D31" s="92"/>
      <c r="E31" s="5"/>
      <c r="F31" s="5"/>
      <c r="G31" s="5"/>
      <c r="H31" s="5"/>
      <c r="I31" s="21"/>
      <c r="J31" s="17"/>
    </row>
    <row r="32" spans="1:10" s="10" customFormat="1" ht="15" customHeight="1" x14ac:dyDescent="0.25">
      <c r="A32" s="1539" t="s">
        <v>38</v>
      </c>
      <c r="B32" s="1540"/>
      <c r="C32" s="92">
        <f>C30/C31</f>
        <v>1</v>
      </c>
      <c r="D32" s="92"/>
      <c r="E32" s="5"/>
      <c r="F32" s="5"/>
      <c r="G32" s="5"/>
      <c r="H32" s="5"/>
      <c r="I32" s="21"/>
      <c r="J32" s="17"/>
    </row>
    <row r="33" spans="1:10" ht="16.350000000000001" customHeight="1" x14ac:dyDescent="0.25">
      <c r="A33" s="1541" t="s">
        <v>39</v>
      </c>
      <c r="B33" s="1542"/>
      <c r="C33" s="15" t="s">
        <v>40</v>
      </c>
      <c r="D33" s="102"/>
      <c r="E33" s="102" t="s">
        <v>40</v>
      </c>
      <c r="F33" s="16">
        <f>F29/C32</f>
        <v>30.5</v>
      </c>
      <c r="G33" s="16"/>
      <c r="H33" s="16"/>
      <c r="I33" s="102" t="s">
        <v>40</v>
      </c>
      <c r="J33" s="102" t="s">
        <v>40</v>
      </c>
    </row>
    <row r="34" spans="1:10" ht="23.1" customHeight="1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193"/>
      <c r="B35" s="1194" t="s">
        <v>49</v>
      </c>
      <c r="C35" s="1198"/>
      <c r="D35" s="1198"/>
      <c r="E35" s="1198"/>
      <c r="F35" s="1198"/>
      <c r="G35" s="1193"/>
      <c r="H35" s="1557">
        <f>'1-бутерброд с маслом'!$H$28</f>
        <v>0</v>
      </c>
      <c r="I35" s="1557"/>
      <c r="J35" s="1557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545" t="s">
        <v>327</v>
      </c>
      <c r="B37" s="1545"/>
      <c r="C37" s="1546" t="s">
        <v>328</v>
      </c>
      <c r="D37" s="1546"/>
      <c r="E37" s="1546"/>
      <c r="F37" s="1546"/>
      <c r="G37" s="106"/>
      <c r="H37" s="1531"/>
      <c r="I37" s="1531"/>
      <c r="J37" s="1531"/>
    </row>
    <row r="38" spans="1:10" x14ac:dyDescent="0.25">
      <c r="A38" s="1193"/>
      <c r="B38" s="1193"/>
      <c r="C38" s="1546"/>
      <c r="D38" s="1546"/>
      <c r="E38" s="1546"/>
      <c r="F38" s="1546"/>
      <c r="G38" s="1193"/>
      <c r="H38" s="1531" t="s">
        <v>329</v>
      </c>
      <c r="I38" s="1531"/>
      <c r="J38" s="1531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</sheetData>
  <mergeCells count="28">
    <mergeCell ref="A30:B30"/>
    <mergeCell ref="A13:G13"/>
    <mergeCell ref="A31:B31"/>
    <mergeCell ref="A32:B32"/>
    <mergeCell ref="A33:B33"/>
    <mergeCell ref="A16:A17"/>
    <mergeCell ref="B16:B17"/>
    <mergeCell ref="A29:B29"/>
    <mergeCell ref="A6:G6"/>
    <mergeCell ref="A7:I7"/>
    <mergeCell ref="C16:F16"/>
    <mergeCell ref="G16:H16"/>
    <mergeCell ref="I16:J16"/>
    <mergeCell ref="A9:J9"/>
    <mergeCell ref="A11:J11"/>
    <mergeCell ref="I13:J13"/>
    <mergeCell ref="C14:G14"/>
    <mergeCell ref="I14:J14"/>
    <mergeCell ref="G1:J1"/>
    <mergeCell ref="G2:J2"/>
    <mergeCell ref="G3:J3"/>
    <mergeCell ref="A5:G5"/>
    <mergeCell ref="H5:I5"/>
    <mergeCell ref="A37:B37"/>
    <mergeCell ref="C37:F38"/>
    <mergeCell ref="H37:J37"/>
    <mergeCell ref="H38:J38"/>
    <mergeCell ref="H35:J35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2F030"/>
  </sheetPr>
  <dimension ref="A1:J42"/>
  <sheetViews>
    <sheetView view="pageBreakPreview" topLeftCell="A2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9" width="7.5546875" customWidth="1"/>
    <col min="10" max="10" width="9" customWidth="1"/>
    <col min="11" max="11" width="4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162)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230</v>
      </c>
    </row>
    <row r="8" spans="1:10" s="2" customFormat="1" ht="9.6" customHeight="1" x14ac:dyDescent="0.25">
      <c r="A8" s="274"/>
      <c r="B8" s="274"/>
      <c r="C8" s="274"/>
      <c r="D8" s="274"/>
      <c r="E8" s="274"/>
      <c r="F8" s="274"/>
      <c r="G8" s="274"/>
      <c r="H8" s="274"/>
      <c r="I8" s="274"/>
      <c r="J8" s="109"/>
    </row>
    <row r="9" spans="1:10" s="2" customFormat="1" ht="26.1" customHeight="1" x14ac:dyDescent="0.3">
      <c r="A9" s="1550" t="s">
        <v>491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'230-рыба жареная'!H14+1</f>
        <v>162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71" t="s">
        <v>92</v>
      </c>
      <c r="D17" s="271" t="s">
        <v>94</v>
      </c>
      <c r="E17" s="271" t="s">
        <v>93</v>
      </c>
      <c r="F17" s="271" t="s">
        <v>23</v>
      </c>
      <c r="G17" s="271" t="s">
        <v>92</v>
      </c>
      <c r="H17" s="271" t="s">
        <v>94</v>
      </c>
      <c r="I17" s="271" t="s">
        <v>92</v>
      </c>
      <c r="J17" s="271" t="s">
        <v>94</v>
      </c>
    </row>
    <row r="18" spans="1:10" ht="9.6" customHeight="1" x14ac:dyDescent="0.25">
      <c r="A18" s="271">
        <v>1</v>
      </c>
      <c r="B18" s="273">
        <v>2</v>
      </c>
      <c r="C18" s="271">
        <v>3</v>
      </c>
      <c r="D18" s="273">
        <v>4</v>
      </c>
      <c r="E18" s="271">
        <v>5</v>
      </c>
      <c r="F18" s="273">
        <v>6</v>
      </c>
      <c r="G18" s="271">
        <v>7</v>
      </c>
      <c r="H18" s="273">
        <v>8</v>
      </c>
      <c r="I18" s="271">
        <v>9</v>
      </c>
      <c r="J18" s="273">
        <v>10</v>
      </c>
    </row>
    <row r="19" spans="1:10" s="10" customFormat="1" ht="34.5" customHeight="1" x14ac:dyDescent="0.25">
      <c r="A19" s="180">
        <v>1</v>
      </c>
      <c r="B19" s="20" t="s">
        <v>248</v>
      </c>
      <c r="C19" s="21">
        <v>0.14199999999999999</v>
      </c>
      <c r="D19" s="21">
        <v>5.7000000000000002E-2</v>
      </c>
      <c r="E19" s="13">
        <f>цены!F14</f>
        <v>178</v>
      </c>
      <c r="F19" s="13">
        <f>C19*E19</f>
        <v>25.28</v>
      </c>
      <c r="G19" s="97">
        <f t="shared" ref="G19:H23" si="0">C19*10</f>
        <v>1.42</v>
      </c>
      <c r="H19" s="21">
        <f t="shared" si="0"/>
        <v>0.56999999999999995</v>
      </c>
      <c r="I19" s="21">
        <f t="shared" ref="I19:J23" si="1">C19*100</f>
        <v>14.2</v>
      </c>
      <c r="J19" s="21">
        <f t="shared" si="1"/>
        <v>5.7</v>
      </c>
    </row>
    <row r="20" spans="1:10" s="10" customFormat="1" ht="14.1" customHeight="1" x14ac:dyDescent="0.25">
      <c r="A20" s="180">
        <v>2</v>
      </c>
      <c r="B20" s="20" t="s">
        <v>45</v>
      </c>
      <c r="C20" s="21">
        <v>3.0000000000000001E-3</v>
      </c>
      <c r="D20" s="21">
        <v>3.0000000000000001E-3</v>
      </c>
      <c r="E20" s="13">
        <f>цены!F74</f>
        <v>36</v>
      </c>
      <c r="F20" s="13">
        <f>C20*E20</f>
        <v>0.11</v>
      </c>
      <c r="G20" s="97">
        <f t="shared" si="0"/>
        <v>0.03</v>
      </c>
      <c r="H20" s="21">
        <f t="shared" si="0"/>
        <v>0.03</v>
      </c>
      <c r="I20" s="21">
        <f t="shared" si="1"/>
        <v>0.3</v>
      </c>
      <c r="J20" s="21">
        <f t="shared" si="1"/>
        <v>0.3</v>
      </c>
    </row>
    <row r="21" spans="1:10" s="10" customFormat="1" ht="14.1" customHeight="1" x14ac:dyDescent="0.25">
      <c r="A21" s="180">
        <v>3</v>
      </c>
      <c r="B21" s="20" t="s">
        <v>74</v>
      </c>
      <c r="C21" s="21">
        <v>5.0000000000000001E-3</v>
      </c>
      <c r="D21" s="21">
        <v>5.0000000000000001E-3</v>
      </c>
      <c r="E21" s="13">
        <f>цены!F87</f>
        <v>120</v>
      </c>
      <c r="F21" s="13">
        <f>C21*E21</f>
        <v>0.6</v>
      </c>
      <c r="G21" s="97">
        <f t="shared" si="0"/>
        <v>0.05</v>
      </c>
      <c r="H21" s="21">
        <f t="shared" si="0"/>
        <v>0.05</v>
      </c>
      <c r="I21" s="21">
        <f t="shared" si="1"/>
        <v>0.5</v>
      </c>
      <c r="J21" s="21">
        <f t="shared" si="1"/>
        <v>0.5</v>
      </c>
    </row>
    <row r="22" spans="1:10" s="10" customFormat="1" ht="14.1" customHeight="1" x14ac:dyDescent="0.25">
      <c r="A22" s="180">
        <v>4</v>
      </c>
      <c r="B22" s="20" t="s">
        <v>33</v>
      </c>
      <c r="C22" s="21">
        <v>2E-3</v>
      </c>
      <c r="D22" s="21">
        <v>2E-3</v>
      </c>
      <c r="E22" s="13">
        <f>цены!F110</f>
        <v>24</v>
      </c>
      <c r="F22" s="13">
        <f>C22*E22</f>
        <v>0.05</v>
      </c>
      <c r="G22" s="97">
        <f t="shared" si="0"/>
        <v>0.02</v>
      </c>
      <c r="H22" s="21">
        <f t="shared" si="0"/>
        <v>0.02</v>
      </c>
      <c r="I22" s="21">
        <f t="shared" si="1"/>
        <v>0.2</v>
      </c>
      <c r="J22" s="21">
        <f t="shared" si="1"/>
        <v>0.2</v>
      </c>
    </row>
    <row r="23" spans="1:10" s="10" customFormat="1" ht="14.1" customHeight="1" x14ac:dyDescent="0.25">
      <c r="A23" s="180">
        <v>5</v>
      </c>
      <c r="B23" s="20" t="s">
        <v>84</v>
      </c>
      <c r="C23" s="125">
        <v>1.0000000000000001E-5</v>
      </c>
      <c r="D23" s="125">
        <v>1.0000000000000001E-5</v>
      </c>
      <c r="E23" s="13">
        <f>цены!F100</f>
        <v>1000</v>
      </c>
      <c r="F23" s="13">
        <f>C23*E23</f>
        <v>0.01</v>
      </c>
      <c r="G23" s="97">
        <f t="shared" si="0"/>
        <v>0</v>
      </c>
      <c r="H23" s="21">
        <f t="shared" si="0"/>
        <v>0</v>
      </c>
      <c r="I23" s="21">
        <f t="shared" si="1"/>
        <v>1E-3</v>
      </c>
      <c r="J23" s="21">
        <f t="shared" si="1"/>
        <v>1E-3</v>
      </c>
    </row>
    <row r="24" spans="1:10" s="10" customFormat="1" ht="12" customHeight="1" x14ac:dyDescent="0.25">
      <c r="A24" s="184"/>
      <c r="B24" s="93" t="s">
        <v>176</v>
      </c>
      <c r="C24" s="112"/>
      <c r="D24" s="112">
        <v>0.05</v>
      </c>
      <c r="E24" s="95"/>
      <c r="F24" s="95">
        <f>SUM(F19:F23)</f>
        <v>26.05</v>
      </c>
      <c r="G24" s="99"/>
      <c r="H24" s="100">
        <f>D24*10</f>
        <v>0.5</v>
      </c>
      <c r="I24" s="100"/>
      <c r="J24" s="100">
        <f>D24*100</f>
        <v>5</v>
      </c>
    </row>
    <row r="25" spans="1:10" s="10" customFormat="1" ht="12" customHeight="1" x14ac:dyDescent="0.25">
      <c r="A25" s="129">
        <v>6</v>
      </c>
      <c r="B25" s="123" t="s">
        <v>31</v>
      </c>
      <c r="C25" s="130">
        <v>5.0000000000000001E-3</v>
      </c>
      <c r="D25" s="130">
        <v>5.0000000000000001E-3</v>
      </c>
      <c r="E25" s="127">
        <f>цены!F21</f>
        <v>710</v>
      </c>
      <c r="F25" s="13">
        <f>C25*E25</f>
        <v>3.55</v>
      </c>
      <c r="G25" s="97">
        <f>C25*10</f>
        <v>0.05</v>
      </c>
      <c r="H25" s="21">
        <f>D25*10</f>
        <v>0.05</v>
      </c>
      <c r="I25" s="21">
        <f>C25*100</f>
        <v>0.5</v>
      </c>
      <c r="J25" s="21">
        <f>D25*100</f>
        <v>0.5</v>
      </c>
    </row>
    <row r="26" spans="1:10" s="10" customFormat="1" ht="12" customHeight="1" x14ac:dyDescent="0.25">
      <c r="A26" s="129">
        <v>7</v>
      </c>
      <c r="B26" s="123" t="s">
        <v>394</v>
      </c>
      <c r="C26" s="130">
        <v>3.0000000000000001E-3</v>
      </c>
      <c r="D26" s="130">
        <v>3.0000000000000001E-3</v>
      </c>
      <c r="E26" s="127">
        <f>цены!F48</f>
        <v>300</v>
      </c>
      <c r="F26" s="13">
        <f>C26*E26</f>
        <v>0.9</v>
      </c>
      <c r="G26" s="97">
        <f>C26*10</f>
        <v>0.03</v>
      </c>
      <c r="H26" s="21">
        <f>D26*10</f>
        <v>0.03</v>
      </c>
      <c r="I26" s="21">
        <f>C26*100</f>
        <v>0.3</v>
      </c>
      <c r="J26" s="21">
        <f>D26*100</f>
        <v>0.3</v>
      </c>
    </row>
    <row r="27" spans="1:10" s="10" customFormat="1" ht="12" customHeight="1" x14ac:dyDescent="0.25">
      <c r="A27" s="98"/>
      <c r="B27" s="93"/>
      <c r="C27" s="112"/>
      <c r="D27" s="112">
        <v>5.5E-2</v>
      </c>
      <c r="E27" s="95"/>
      <c r="F27" s="95">
        <f>F24+F25+F26</f>
        <v>30.5</v>
      </c>
      <c r="G27" s="99"/>
      <c r="H27" s="100">
        <f>D27*10</f>
        <v>0.55000000000000004</v>
      </c>
      <c r="I27" s="100"/>
      <c r="J27" s="100">
        <f>D27*100</f>
        <v>5.5</v>
      </c>
    </row>
    <row r="28" spans="1:10" s="10" customFormat="1" ht="26.1" customHeight="1" x14ac:dyDescent="0.25">
      <c r="A28" s="203"/>
      <c r="B28" s="204" t="s">
        <v>406</v>
      </c>
      <c r="C28" s="205"/>
      <c r="D28" s="205"/>
      <c r="E28" s="206"/>
      <c r="F28" s="206"/>
      <c r="G28" s="207"/>
      <c r="H28" s="208"/>
      <c r="I28" s="208"/>
      <c r="J28" s="208"/>
    </row>
    <row r="29" spans="1:10" s="10" customFormat="1" ht="27.6" customHeight="1" x14ac:dyDescent="0.25">
      <c r="A29" s="1536" t="s">
        <v>35</v>
      </c>
      <c r="B29" s="1536"/>
      <c r="C29" s="90"/>
      <c r="D29" s="90"/>
      <c r="E29" s="13"/>
      <c r="F29" s="13">
        <f>F27</f>
        <v>30.5</v>
      </c>
      <c r="G29" s="272"/>
      <c r="H29" s="272"/>
      <c r="I29" s="21"/>
      <c r="J29" s="13"/>
    </row>
    <row r="30" spans="1:10" s="10" customFormat="1" ht="25.35" customHeight="1" x14ac:dyDescent="0.25">
      <c r="A30" s="1536" t="s">
        <v>36</v>
      </c>
      <c r="B30" s="1536"/>
      <c r="C30" s="90">
        <v>55</v>
      </c>
      <c r="D30" s="90"/>
      <c r="E30" s="13"/>
      <c r="F30" s="13"/>
      <c r="G30" s="13"/>
      <c r="H30" s="13"/>
      <c r="I30" s="21"/>
      <c r="J30" s="17"/>
    </row>
    <row r="31" spans="1:10" s="10" customFormat="1" ht="25.35" customHeight="1" x14ac:dyDescent="0.25">
      <c r="A31" s="1537" t="s">
        <v>37</v>
      </c>
      <c r="B31" s="1538"/>
      <c r="C31" s="91">
        <v>30</v>
      </c>
      <c r="D31" s="92"/>
      <c r="E31" s="273"/>
      <c r="F31" s="273"/>
      <c r="G31" s="273"/>
      <c r="H31" s="273"/>
      <c r="I31" s="21"/>
      <c r="J31" s="17"/>
    </row>
    <row r="32" spans="1:10" s="10" customFormat="1" ht="15" customHeight="1" x14ac:dyDescent="0.25">
      <c r="A32" s="1539" t="s">
        <v>38</v>
      </c>
      <c r="B32" s="1540"/>
      <c r="C32" s="92">
        <f>C30/C31</f>
        <v>1.833</v>
      </c>
      <c r="D32" s="92"/>
      <c r="E32" s="273"/>
      <c r="F32" s="273"/>
      <c r="G32" s="273"/>
      <c r="H32" s="273"/>
      <c r="I32" s="21"/>
      <c r="J32" s="17"/>
    </row>
    <row r="33" spans="1:10" ht="16.350000000000001" customHeight="1" x14ac:dyDescent="0.25">
      <c r="A33" s="1541" t="s">
        <v>39</v>
      </c>
      <c r="B33" s="1542"/>
      <c r="C33" s="15" t="s">
        <v>40</v>
      </c>
      <c r="D33" s="102"/>
      <c r="E33" s="102" t="s">
        <v>40</v>
      </c>
      <c r="F33" s="16">
        <f>F29/C32</f>
        <v>16.64</v>
      </c>
      <c r="G33" s="16"/>
      <c r="H33" s="16"/>
      <c r="I33" s="102" t="s">
        <v>40</v>
      </c>
      <c r="J33" s="102" t="s">
        <v>40</v>
      </c>
    </row>
    <row r="34" spans="1:10" ht="23.1" customHeight="1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193"/>
      <c r="B35" s="1194" t="s">
        <v>49</v>
      </c>
      <c r="C35" s="1198"/>
      <c r="D35" s="1198"/>
      <c r="E35" s="1198"/>
      <c r="F35" s="1198"/>
      <c r="G35" s="1193"/>
      <c r="H35" s="1557">
        <f>'1-бутерброд с маслом'!$H$28</f>
        <v>0</v>
      </c>
      <c r="I35" s="1557"/>
      <c r="J35" s="1557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545" t="s">
        <v>327</v>
      </c>
      <c r="B37" s="1545"/>
      <c r="C37" s="1546" t="s">
        <v>328</v>
      </c>
      <c r="D37" s="1546"/>
      <c r="E37" s="1546"/>
      <c r="F37" s="1546"/>
      <c r="G37" s="106"/>
      <c r="H37" s="1531"/>
      <c r="I37" s="1531"/>
      <c r="J37" s="1531"/>
    </row>
    <row r="38" spans="1:10" x14ac:dyDescent="0.25">
      <c r="A38" s="1193"/>
      <c r="B38" s="1193"/>
      <c r="C38" s="1546"/>
      <c r="D38" s="1546"/>
      <c r="E38" s="1546"/>
      <c r="F38" s="1546"/>
      <c r="G38" s="1193"/>
      <c r="H38" s="1531" t="s">
        <v>329</v>
      </c>
      <c r="I38" s="1531"/>
      <c r="J38" s="1531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</sheetData>
  <mergeCells count="28">
    <mergeCell ref="H35:J35"/>
    <mergeCell ref="A13:G13"/>
    <mergeCell ref="A30:B30"/>
    <mergeCell ref="A31:B31"/>
    <mergeCell ref="A32:B32"/>
    <mergeCell ref="A33:B33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7:B37"/>
    <mergeCell ref="C37:F38"/>
    <mergeCell ref="H37:J37"/>
    <mergeCell ref="H38:J38"/>
    <mergeCell ref="H5:I5"/>
    <mergeCell ref="A6:G6"/>
    <mergeCell ref="A7:I7"/>
    <mergeCell ref="A29:B29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43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163)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241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652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'230-рыба жареная (2)'!H14+1</f>
        <v>163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>
        <v>1</v>
      </c>
      <c r="B19" s="20" t="s">
        <v>174</v>
      </c>
      <c r="C19" s="21">
        <v>0.11</v>
      </c>
      <c r="D19" s="21">
        <v>8.1000000000000003E-2</v>
      </c>
      <c r="E19" s="13">
        <f>цены!F7</f>
        <v>560</v>
      </c>
      <c r="F19" s="13">
        <f t="shared" ref="F19:F25" si="0">C19*E19</f>
        <v>61.6</v>
      </c>
      <c r="G19" s="97">
        <f t="shared" ref="G19:H21" si="1">C19*10</f>
        <v>1.1000000000000001</v>
      </c>
      <c r="H19" s="21">
        <f t="shared" si="1"/>
        <v>0.81</v>
      </c>
      <c r="I19" s="21">
        <f t="shared" ref="I19:J21" si="2">C19*100</f>
        <v>11</v>
      </c>
      <c r="J19" s="21">
        <f t="shared" si="2"/>
        <v>8.1</v>
      </c>
    </row>
    <row r="20" spans="1:10" s="10" customFormat="1" ht="14.1" customHeight="1" x14ac:dyDescent="0.25">
      <c r="A20" s="180">
        <v>2</v>
      </c>
      <c r="B20" s="20" t="s">
        <v>47</v>
      </c>
      <c r="C20" s="21">
        <v>3.0000000000000001E-3</v>
      </c>
      <c r="D20" s="21">
        <v>2E-3</v>
      </c>
      <c r="E20" s="13">
        <f>цены!F44</f>
        <v>50</v>
      </c>
      <c r="F20" s="13">
        <f t="shared" si="0"/>
        <v>0.15</v>
      </c>
      <c r="G20" s="97">
        <f t="shared" si="1"/>
        <v>0.03</v>
      </c>
      <c r="H20" s="21">
        <f t="shared" si="1"/>
        <v>0.02</v>
      </c>
      <c r="I20" s="21">
        <f t="shared" si="2"/>
        <v>0.3</v>
      </c>
      <c r="J20" s="21">
        <f t="shared" si="2"/>
        <v>0.2</v>
      </c>
    </row>
    <row r="21" spans="1:10" s="10" customFormat="1" ht="12" customHeight="1" x14ac:dyDescent="0.25">
      <c r="A21" s="180">
        <v>3</v>
      </c>
      <c r="B21" s="20" t="s">
        <v>48</v>
      </c>
      <c r="C21" s="111">
        <v>2.5000000000000001E-3</v>
      </c>
      <c r="D21" s="111">
        <v>2E-3</v>
      </c>
      <c r="E21" s="13">
        <f>цены!F38</f>
        <v>50</v>
      </c>
      <c r="F21" s="13">
        <f t="shared" si="0"/>
        <v>0.13</v>
      </c>
      <c r="G21" s="97">
        <f t="shared" si="1"/>
        <v>2.5000000000000001E-2</v>
      </c>
      <c r="H21" s="21">
        <f t="shared" si="1"/>
        <v>0.02</v>
      </c>
      <c r="I21" s="21">
        <f t="shared" si="2"/>
        <v>0.25</v>
      </c>
      <c r="J21" s="21">
        <f t="shared" si="2"/>
        <v>0.2</v>
      </c>
    </row>
    <row r="22" spans="1:10" s="10" customFormat="1" ht="12" customHeight="1" x14ac:dyDescent="0.25">
      <c r="A22" s="180">
        <v>4</v>
      </c>
      <c r="B22" s="20" t="s">
        <v>124</v>
      </c>
      <c r="C22" s="111">
        <v>3.0000000000000001E-3</v>
      </c>
      <c r="D22" s="111">
        <v>3.0000000000000001E-3</v>
      </c>
      <c r="E22" s="13">
        <f>цены!F110</f>
        <v>24</v>
      </c>
      <c r="F22" s="13">
        <f t="shared" si="0"/>
        <v>7.0000000000000007E-2</v>
      </c>
      <c r="G22" s="97">
        <f t="shared" ref="G22:H25" si="3">C22*10</f>
        <v>0.03</v>
      </c>
      <c r="H22" s="21">
        <f t="shared" si="3"/>
        <v>0.03</v>
      </c>
      <c r="I22" s="21">
        <f t="shared" ref="I22:J25" si="4">C22*100</f>
        <v>0.3</v>
      </c>
      <c r="J22" s="21">
        <f t="shared" si="4"/>
        <v>0.3</v>
      </c>
    </row>
    <row r="23" spans="1:10" s="10" customFormat="1" ht="12" customHeight="1" x14ac:dyDescent="0.25">
      <c r="A23" s="180">
        <v>5</v>
      </c>
      <c r="B23" s="20" t="s">
        <v>84</v>
      </c>
      <c r="C23" s="125">
        <v>2.0000000000000002E-5</v>
      </c>
      <c r="D23" s="125">
        <v>2.0000000000000002E-5</v>
      </c>
      <c r="E23" s="13">
        <f>цены!F100</f>
        <v>1000</v>
      </c>
      <c r="F23" s="13">
        <f t="shared" si="0"/>
        <v>0.02</v>
      </c>
      <c r="G23" s="97">
        <f t="shared" si="3"/>
        <v>0</v>
      </c>
      <c r="H23" s="21">
        <f t="shared" si="3"/>
        <v>0</v>
      </c>
      <c r="I23" s="21">
        <f t="shared" si="4"/>
        <v>2E-3</v>
      </c>
      <c r="J23" s="21">
        <f t="shared" si="4"/>
        <v>2E-3</v>
      </c>
    </row>
    <row r="24" spans="1:10" s="10" customFormat="1" ht="12" customHeight="1" x14ac:dyDescent="0.25">
      <c r="A24" s="180">
        <v>6</v>
      </c>
      <c r="B24" s="20" t="s">
        <v>337</v>
      </c>
      <c r="C24" s="125">
        <v>2E-3</v>
      </c>
      <c r="D24" s="125">
        <v>2E-3</v>
      </c>
      <c r="E24" s="13">
        <f>цены!F39</f>
        <v>300</v>
      </c>
      <c r="F24" s="13">
        <f t="shared" si="0"/>
        <v>0.6</v>
      </c>
      <c r="G24" s="97">
        <f t="shared" si="3"/>
        <v>0.02</v>
      </c>
      <c r="H24" s="21">
        <f t="shared" si="3"/>
        <v>0.02</v>
      </c>
      <c r="I24" s="21">
        <f t="shared" si="4"/>
        <v>0.2</v>
      </c>
      <c r="J24" s="21">
        <f t="shared" si="4"/>
        <v>0.2</v>
      </c>
    </row>
    <row r="25" spans="1:10" s="10" customFormat="1" ht="12" customHeight="1" x14ac:dyDescent="0.25">
      <c r="A25" s="180">
        <v>7</v>
      </c>
      <c r="B25" s="20" t="s">
        <v>78</v>
      </c>
      <c r="C25" s="111">
        <v>2E-3</v>
      </c>
      <c r="D25" s="111">
        <v>2E-3</v>
      </c>
      <c r="E25" s="13">
        <f>цены!F48</f>
        <v>300</v>
      </c>
      <c r="F25" s="13">
        <f t="shared" si="0"/>
        <v>0.6</v>
      </c>
      <c r="G25" s="97">
        <f t="shared" si="3"/>
        <v>0.02</v>
      </c>
      <c r="H25" s="21">
        <f t="shared" si="3"/>
        <v>0.02</v>
      </c>
      <c r="I25" s="21">
        <f t="shared" si="4"/>
        <v>0.2</v>
      </c>
      <c r="J25" s="21">
        <f t="shared" si="4"/>
        <v>0.2</v>
      </c>
    </row>
    <row r="26" spans="1:10" s="10" customFormat="1" ht="12" customHeight="1" x14ac:dyDescent="0.25">
      <c r="A26" s="98"/>
      <c r="B26" s="93" t="s">
        <v>175</v>
      </c>
      <c r="C26" s="112"/>
      <c r="D26" s="112">
        <v>0.05</v>
      </c>
      <c r="E26" s="95"/>
      <c r="F26" s="95">
        <f>SUM(F19:F25)</f>
        <v>63.17</v>
      </c>
      <c r="G26" s="99"/>
      <c r="H26" s="100">
        <f>D26*10</f>
        <v>0.5</v>
      </c>
      <c r="I26" s="100"/>
      <c r="J26" s="100">
        <f>D26*100</f>
        <v>5</v>
      </c>
    </row>
    <row r="27" spans="1:10" s="10" customFormat="1" ht="12" customHeight="1" x14ac:dyDescent="0.25">
      <c r="A27" s="129">
        <v>8</v>
      </c>
      <c r="B27" s="123" t="s">
        <v>651</v>
      </c>
      <c r="C27" s="130">
        <v>0.03</v>
      </c>
      <c r="D27" s="130">
        <v>0.03</v>
      </c>
      <c r="E27" s="127">
        <f>'330-соус сметанный'!F30</f>
        <v>61.41</v>
      </c>
      <c r="F27" s="13">
        <f>C27*E27</f>
        <v>1.84</v>
      </c>
      <c r="G27" s="97">
        <f>C27*10</f>
        <v>0.3</v>
      </c>
      <c r="H27" s="21">
        <f>D27*10</f>
        <v>0.3</v>
      </c>
      <c r="I27" s="21">
        <f>C27*100</f>
        <v>3</v>
      </c>
      <c r="J27" s="21">
        <f>D27*100</f>
        <v>3</v>
      </c>
    </row>
    <row r="28" spans="1:10" s="10" customFormat="1" ht="12" customHeight="1" x14ac:dyDescent="0.25">
      <c r="A28" s="98"/>
      <c r="B28" s="93" t="s">
        <v>100</v>
      </c>
      <c r="C28" s="112"/>
      <c r="D28" s="112">
        <v>0.08</v>
      </c>
      <c r="E28" s="95"/>
      <c r="F28" s="95">
        <f>F26+F27</f>
        <v>65.010000000000005</v>
      </c>
      <c r="G28" s="99"/>
      <c r="H28" s="100">
        <f>D28*10</f>
        <v>0.8</v>
      </c>
      <c r="I28" s="100"/>
      <c r="J28" s="100">
        <f>D28*100</f>
        <v>8</v>
      </c>
    </row>
    <row r="29" spans="1:10" s="10" customFormat="1" ht="29.4" customHeight="1" x14ac:dyDescent="0.25">
      <c r="A29" s="203"/>
      <c r="B29" s="204" t="s">
        <v>395</v>
      </c>
      <c r="C29" s="205"/>
      <c r="D29" s="205"/>
      <c r="E29" s="206"/>
      <c r="F29" s="206"/>
      <c r="G29" s="207"/>
      <c r="H29" s="208"/>
      <c r="I29" s="208"/>
      <c r="J29" s="208"/>
    </row>
    <row r="30" spans="1:10" s="10" customFormat="1" ht="27.6" customHeight="1" x14ac:dyDescent="0.25">
      <c r="A30" s="1536" t="s">
        <v>35</v>
      </c>
      <c r="B30" s="1536"/>
      <c r="C30" s="90"/>
      <c r="D30" s="90"/>
      <c r="E30" s="13"/>
      <c r="F30" s="13">
        <f>F28</f>
        <v>65.010000000000005</v>
      </c>
      <c r="G30" s="14"/>
      <c r="H30" s="14"/>
      <c r="I30" s="21"/>
      <c r="J30" s="13"/>
    </row>
    <row r="31" spans="1:10" s="10" customFormat="1" ht="25.35" customHeight="1" x14ac:dyDescent="0.25">
      <c r="A31" s="1536" t="s">
        <v>36</v>
      </c>
      <c r="B31" s="1536"/>
      <c r="C31" s="90">
        <v>80</v>
      </c>
      <c r="D31" s="90"/>
      <c r="E31" s="13"/>
      <c r="F31" s="13"/>
      <c r="G31" s="13"/>
      <c r="H31" s="13"/>
      <c r="I31" s="21"/>
      <c r="J31" s="17"/>
    </row>
    <row r="32" spans="1:10" s="10" customFormat="1" ht="25.35" customHeight="1" x14ac:dyDescent="0.25">
      <c r="A32" s="1537" t="s">
        <v>37</v>
      </c>
      <c r="B32" s="1538"/>
      <c r="C32" s="91">
        <v>80</v>
      </c>
      <c r="D32" s="92"/>
      <c r="E32" s="5"/>
      <c r="F32" s="5"/>
      <c r="G32" s="5"/>
      <c r="H32" s="5"/>
      <c r="I32" s="21"/>
      <c r="J32" s="17"/>
    </row>
    <row r="33" spans="1:10" s="10" customFormat="1" ht="15" customHeight="1" x14ac:dyDescent="0.25">
      <c r="A33" s="1539" t="s">
        <v>38</v>
      </c>
      <c r="B33" s="1540"/>
      <c r="C33" s="92">
        <f>C31/C32</f>
        <v>1</v>
      </c>
      <c r="D33" s="92"/>
      <c r="E33" s="5"/>
      <c r="F33" s="5"/>
      <c r="G33" s="5"/>
      <c r="H33" s="5"/>
      <c r="I33" s="21"/>
      <c r="J33" s="17"/>
    </row>
    <row r="34" spans="1:10" ht="16.350000000000001" customHeight="1" x14ac:dyDescent="0.25">
      <c r="A34" s="1541" t="s">
        <v>39</v>
      </c>
      <c r="B34" s="1542"/>
      <c r="C34" s="15" t="s">
        <v>40</v>
      </c>
      <c r="D34" s="102"/>
      <c r="E34" s="102" t="s">
        <v>40</v>
      </c>
      <c r="F34" s="16">
        <f>F30/C33</f>
        <v>65.010000000000005</v>
      </c>
      <c r="G34" s="16"/>
      <c r="H34" s="16"/>
      <c r="I34" s="102" t="s">
        <v>40</v>
      </c>
      <c r="J34" s="102" t="s">
        <v>40</v>
      </c>
    </row>
    <row r="35" spans="1:10" ht="23.1" customHeight="1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193"/>
      <c r="B36" s="1194" t="s">
        <v>49</v>
      </c>
      <c r="C36" s="1198"/>
      <c r="D36" s="1198"/>
      <c r="E36" s="1198"/>
      <c r="F36" s="1198"/>
      <c r="G36" s="1193"/>
      <c r="H36" s="1557">
        <f>'1-бутерброд с маслом'!$H$28</f>
        <v>0</v>
      </c>
      <c r="I36" s="1557"/>
      <c r="J36" s="1557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545" t="s">
        <v>327</v>
      </c>
      <c r="B38" s="1545"/>
      <c r="C38" s="1546" t="s">
        <v>328</v>
      </c>
      <c r="D38" s="1546"/>
      <c r="E38" s="1546"/>
      <c r="F38" s="1546"/>
      <c r="G38" s="106"/>
      <c r="H38" s="1531"/>
      <c r="I38" s="1531"/>
      <c r="J38" s="1531"/>
    </row>
    <row r="39" spans="1:10" x14ac:dyDescent="0.25">
      <c r="A39" s="1193"/>
      <c r="B39" s="1193"/>
      <c r="C39" s="1546"/>
      <c r="D39" s="1546"/>
      <c r="E39" s="1546"/>
      <c r="F39" s="1546"/>
      <c r="G39" s="1193"/>
      <c r="H39" s="1531" t="s">
        <v>329</v>
      </c>
      <c r="I39" s="1531"/>
      <c r="J39" s="1531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</sheetData>
  <mergeCells count="28">
    <mergeCell ref="A31:B31"/>
    <mergeCell ref="A13:G13"/>
    <mergeCell ref="A32:B32"/>
    <mergeCell ref="A33:B33"/>
    <mergeCell ref="A34:B34"/>
    <mergeCell ref="A16:A17"/>
    <mergeCell ref="B16:B17"/>
    <mergeCell ref="A30:B30"/>
    <mergeCell ref="A6:G6"/>
    <mergeCell ref="A7:I7"/>
    <mergeCell ref="C16:F16"/>
    <mergeCell ref="G16:H16"/>
    <mergeCell ref="I16:J16"/>
    <mergeCell ref="A9:J9"/>
    <mergeCell ref="A11:J11"/>
    <mergeCell ref="I13:J13"/>
    <mergeCell ref="C14:G14"/>
    <mergeCell ref="I14:J14"/>
    <mergeCell ref="G1:J1"/>
    <mergeCell ref="G2:J2"/>
    <mergeCell ref="G3:J3"/>
    <mergeCell ref="A5:G5"/>
    <mergeCell ref="H5:I5"/>
    <mergeCell ref="A38:B38"/>
    <mergeCell ref="C38:F39"/>
    <mergeCell ref="H38:J38"/>
    <mergeCell ref="H39:J39"/>
    <mergeCell ref="H36:J36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37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441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164)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243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653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'241-мясо отвар'!H14+1</f>
        <v>164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>
        <v>1</v>
      </c>
      <c r="B19" s="20" t="s">
        <v>199</v>
      </c>
      <c r="C19" s="111">
        <v>5.7000000000000002E-2</v>
      </c>
      <c r="D19" s="111">
        <v>5.5E-2</v>
      </c>
      <c r="E19" s="13">
        <f>цены!F11</f>
        <v>325</v>
      </c>
      <c r="F19" s="13">
        <f>C19*E19</f>
        <v>18.53</v>
      </c>
      <c r="G19" s="97">
        <f t="shared" ref="G19:H21" si="0">C19*10</f>
        <v>0.56999999999999995</v>
      </c>
      <c r="H19" s="21">
        <f t="shared" si="0"/>
        <v>0.55000000000000004</v>
      </c>
      <c r="I19" s="21">
        <f t="shared" ref="I19:J21" si="1">C19*100</f>
        <v>5.7</v>
      </c>
      <c r="J19" s="21">
        <f t="shared" si="1"/>
        <v>5.5</v>
      </c>
    </row>
    <row r="20" spans="1:10" s="10" customFormat="1" ht="12" customHeight="1" x14ac:dyDescent="0.25">
      <c r="A20" s="180">
        <v>2</v>
      </c>
      <c r="B20" s="20" t="s">
        <v>31</v>
      </c>
      <c r="C20" s="111">
        <v>5.0000000000000001E-3</v>
      </c>
      <c r="D20" s="111">
        <v>5.0000000000000001E-3</v>
      </c>
      <c r="E20" s="13">
        <f>цены!F21</f>
        <v>710</v>
      </c>
      <c r="F20" s="13">
        <f>C20*E20</f>
        <v>3.55</v>
      </c>
      <c r="G20" s="97">
        <f t="shared" si="0"/>
        <v>0.05</v>
      </c>
      <c r="H20" s="21">
        <f t="shared" si="0"/>
        <v>0.05</v>
      </c>
      <c r="I20" s="21">
        <f t="shared" si="1"/>
        <v>0.5</v>
      </c>
      <c r="J20" s="21">
        <f t="shared" si="1"/>
        <v>0.5</v>
      </c>
    </row>
    <row r="21" spans="1:10" s="10" customFormat="1" ht="12" customHeight="1" x14ac:dyDescent="0.25">
      <c r="A21" s="180">
        <v>3</v>
      </c>
      <c r="B21" s="20" t="s">
        <v>33</v>
      </c>
      <c r="C21" s="111">
        <v>3.0000000000000001E-3</v>
      </c>
      <c r="D21" s="111">
        <v>3.0000000000000001E-3</v>
      </c>
      <c r="E21" s="13">
        <f>цены!F110</f>
        <v>24</v>
      </c>
      <c r="F21" s="13">
        <f>C21*E21</f>
        <v>7.0000000000000007E-2</v>
      </c>
      <c r="G21" s="97">
        <f t="shared" si="0"/>
        <v>0.03</v>
      </c>
      <c r="H21" s="21">
        <f t="shared" si="0"/>
        <v>0.03</v>
      </c>
      <c r="I21" s="21">
        <f t="shared" si="1"/>
        <v>0.3</v>
      </c>
      <c r="J21" s="21">
        <f t="shared" si="1"/>
        <v>0.3</v>
      </c>
    </row>
    <row r="22" spans="1:10" s="10" customFormat="1" ht="12" customHeight="1" x14ac:dyDescent="0.25">
      <c r="A22" s="98"/>
      <c r="B22" s="93" t="s">
        <v>100</v>
      </c>
      <c r="C22" s="112"/>
      <c r="D22" s="112">
        <v>5.5E-2</v>
      </c>
      <c r="E22" s="95"/>
      <c r="F22" s="95">
        <f>SUM(F19:F21)</f>
        <v>22.15</v>
      </c>
      <c r="G22" s="99"/>
      <c r="H22" s="100">
        <f>D22*10</f>
        <v>0.55000000000000004</v>
      </c>
      <c r="I22" s="100"/>
      <c r="J22" s="100">
        <f>D22*100</f>
        <v>5.5</v>
      </c>
    </row>
    <row r="23" spans="1:10" s="10" customFormat="1" ht="24" customHeight="1" x14ac:dyDescent="0.25">
      <c r="A23" s="203"/>
      <c r="B23" s="204" t="s">
        <v>407</v>
      </c>
      <c r="C23" s="205"/>
      <c r="D23" s="205"/>
      <c r="E23" s="206"/>
      <c r="F23" s="206"/>
      <c r="G23" s="207"/>
      <c r="H23" s="208"/>
      <c r="I23" s="208"/>
      <c r="J23" s="208"/>
    </row>
    <row r="24" spans="1:10" s="10" customFormat="1" ht="27.6" customHeight="1" x14ac:dyDescent="0.25">
      <c r="A24" s="1536" t="s">
        <v>35</v>
      </c>
      <c r="B24" s="1536"/>
      <c r="C24" s="90"/>
      <c r="D24" s="90"/>
      <c r="E24" s="13"/>
      <c r="F24" s="13">
        <f>F22</f>
        <v>22.15</v>
      </c>
      <c r="G24" s="14"/>
      <c r="H24" s="14"/>
      <c r="I24" s="21"/>
      <c r="J24" s="13"/>
    </row>
    <row r="25" spans="1:10" s="10" customFormat="1" ht="25.35" customHeight="1" x14ac:dyDescent="0.25">
      <c r="A25" s="1536" t="s">
        <v>36</v>
      </c>
      <c r="B25" s="1536"/>
      <c r="C25" s="90">
        <v>60</v>
      </c>
      <c r="D25" s="90"/>
      <c r="E25" s="13"/>
      <c r="F25" s="13"/>
      <c r="G25" s="13"/>
      <c r="H25" s="13"/>
      <c r="I25" s="21"/>
      <c r="J25" s="17"/>
    </row>
    <row r="26" spans="1:10" s="10" customFormat="1" ht="25.35" customHeight="1" x14ac:dyDescent="0.25">
      <c r="A26" s="1537" t="s">
        <v>37</v>
      </c>
      <c r="B26" s="1538"/>
      <c r="C26" s="91">
        <v>60</v>
      </c>
      <c r="D26" s="92"/>
      <c r="E26" s="5"/>
      <c r="F26" s="5"/>
      <c r="G26" s="5"/>
      <c r="H26" s="5"/>
      <c r="I26" s="21"/>
      <c r="J26" s="17"/>
    </row>
    <row r="27" spans="1:10" s="10" customFormat="1" ht="15" customHeight="1" x14ac:dyDescent="0.25">
      <c r="A27" s="1539" t="s">
        <v>38</v>
      </c>
      <c r="B27" s="1540"/>
      <c r="C27" s="92">
        <f>C25/C26</f>
        <v>1</v>
      </c>
      <c r="D27" s="92"/>
      <c r="E27" s="5"/>
      <c r="F27" s="5"/>
      <c r="G27" s="5"/>
      <c r="H27" s="5"/>
      <c r="I27" s="21"/>
      <c r="J27" s="17"/>
    </row>
    <row r="28" spans="1:10" ht="16.350000000000001" customHeight="1" x14ac:dyDescent="0.25">
      <c r="A28" s="1541" t="s">
        <v>39</v>
      </c>
      <c r="B28" s="1542"/>
      <c r="C28" s="15" t="s">
        <v>40</v>
      </c>
      <c r="D28" s="102"/>
      <c r="E28" s="102" t="s">
        <v>40</v>
      </c>
      <c r="F28" s="16">
        <f>F24/C27</f>
        <v>22.15</v>
      </c>
      <c r="G28" s="16"/>
      <c r="H28" s="16"/>
      <c r="I28" s="102" t="s">
        <v>40</v>
      </c>
      <c r="J28" s="102" t="s">
        <v>40</v>
      </c>
    </row>
    <row r="29" spans="1:10" ht="23.1" customHeight="1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0" ht="13.95" customHeight="1" x14ac:dyDescent="0.25">
      <c r="A30" s="1193"/>
      <c r="B30" s="1194" t="s">
        <v>49</v>
      </c>
      <c r="C30" s="1198"/>
      <c r="D30" s="1198"/>
      <c r="E30" s="1198"/>
      <c r="F30" s="1198"/>
      <c r="G30" s="1193"/>
      <c r="H30" s="1557">
        <f>'1-бутерброд с маслом'!$H$28</f>
        <v>0</v>
      </c>
      <c r="I30" s="1557"/>
      <c r="J30" s="1557"/>
    </row>
    <row r="31" spans="1:10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ht="13.95" customHeight="1" x14ac:dyDescent="0.25">
      <c r="A32" s="1545" t="s">
        <v>327</v>
      </c>
      <c r="B32" s="1545"/>
      <c r="C32" s="1546" t="s">
        <v>328</v>
      </c>
      <c r="D32" s="1546"/>
      <c r="E32" s="1546"/>
      <c r="F32" s="1546"/>
      <c r="G32" s="106"/>
      <c r="H32" s="1531"/>
      <c r="I32" s="1531"/>
      <c r="J32" s="1531"/>
    </row>
    <row r="33" spans="1:10" x14ac:dyDescent="0.25">
      <c r="A33" s="1193"/>
      <c r="B33" s="1193"/>
      <c r="C33" s="1546"/>
      <c r="D33" s="1546"/>
      <c r="E33" s="1546"/>
      <c r="F33" s="1546"/>
      <c r="G33" s="1193"/>
      <c r="H33" s="1531" t="s">
        <v>329</v>
      </c>
      <c r="I33" s="1531"/>
      <c r="J33" s="1531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2:B32"/>
    <mergeCell ref="C32:F33"/>
    <mergeCell ref="H32:J32"/>
    <mergeCell ref="H33:J33"/>
    <mergeCell ref="A25:B25"/>
    <mergeCell ref="A26:B26"/>
    <mergeCell ref="A27:B27"/>
    <mergeCell ref="A28:B28"/>
    <mergeCell ref="H30:J30"/>
    <mergeCell ref="A24:B24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75E5"/>
  </sheetPr>
  <dimension ref="A1:J30"/>
  <sheetViews>
    <sheetView view="pageBreakPreview" topLeftCell="A13" zoomScaleNormal="100" zoomScaleSheetLayoutView="100" workbookViewId="0">
      <selection activeCell="A26" sqref="A26:J30"/>
    </sheetView>
  </sheetViews>
  <sheetFormatPr defaultColWidth="8.88671875" defaultRowHeight="13.8" x14ac:dyDescent="0.25"/>
  <cols>
    <col min="1" max="1" width="4.109375" style="1170" customWidth="1"/>
    <col min="2" max="2" width="20.5546875" style="1170" customWidth="1"/>
    <col min="3" max="7" width="7.5546875" style="1170" customWidth="1"/>
    <col min="8" max="8" width="8.88671875" style="1170" customWidth="1"/>
    <col min="9" max="9" width="7.5546875" style="1170" customWidth="1"/>
    <col min="10" max="10" width="9" style="1170" customWidth="1"/>
    <col min="11" max="16384" width="8.88671875" style="1170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12)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71"/>
      <c r="I6" s="1171"/>
      <c r="J6" s="1176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176">
        <v>15</v>
      </c>
    </row>
    <row r="8" spans="1:10" s="2" customFormat="1" ht="9.6" customHeight="1" x14ac:dyDescent="0.25">
      <c r="A8" s="1172"/>
      <c r="B8" s="1172"/>
      <c r="C8" s="1172"/>
      <c r="D8" s="1172"/>
      <c r="E8" s="1172"/>
      <c r="F8" s="1172"/>
      <c r="G8" s="1172"/>
      <c r="H8" s="1172"/>
      <c r="I8" s="1172"/>
      <c r="J8" s="109"/>
    </row>
    <row r="9" spans="1:10" s="2" customFormat="1" ht="26.1" customHeight="1" x14ac:dyDescent="0.3">
      <c r="A9" s="1550" t="s">
        <v>1308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20.399999999999999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'15-сыр (15)'!H14+1</f>
        <v>12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1173" t="s">
        <v>92</v>
      </c>
      <c r="D17" s="1173" t="s">
        <v>94</v>
      </c>
      <c r="E17" s="1173" t="s">
        <v>93</v>
      </c>
      <c r="F17" s="1173" t="s">
        <v>23</v>
      </c>
      <c r="G17" s="1173" t="s">
        <v>92</v>
      </c>
      <c r="H17" s="1173" t="s">
        <v>94</v>
      </c>
      <c r="I17" s="1173" t="s">
        <v>92</v>
      </c>
      <c r="J17" s="1173" t="s">
        <v>94</v>
      </c>
    </row>
    <row r="18" spans="1:10" ht="9.6" customHeight="1" x14ac:dyDescent="0.25">
      <c r="A18" s="1173">
        <v>1</v>
      </c>
      <c r="B18" s="1174">
        <v>2</v>
      </c>
      <c r="C18" s="1173">
        <v>3</v>
      </c>
      <c r="D18" s="1174">
        <v>4</v>
      </c>
      <c r="E18" s="1173">
        <v>5</v>
      </c>
      <c r="F18" s="1174">
        <v>6</v>
      </c>
      <c r="G18" s="1173">
        <v>7</v>
      </c>
      <c r="H18" s="1174">
        <v>8</v>
      </c>
      <c r="I18" s="1173">
        <v>9</v>
      </c>
      <c r="J18" s="1174">
        <v>10</v>
      </c>
    </row>
    <row r="19" spans="1:10" ht="14.1" customHeight="1" x14ac:dyDescent="0.25">
      <c r="A19" s="1173">
        <v>1</v>
      </c>
      <c r="B19" s="181" t="s">
        <v>323</v>
      </c>
      <c r="C19" s="301">
        <v>2.1000000000000001E-2</v>
      </c>
      <c r="D19" s="92">
        <v>0.02</v>
      </c>
      <c r="E19" s="182">
        <f>цены!F22</f>
        <v>719</v>
      </c>
      <c r="F19" s="408">
        <f>C19*E19</f>
        <v>15.1</v>
      </c>
      <c r="G19" s="97">
        <f>C19*10</f>
        <v>0.21</v>
      </c>
      <c r="H19" s="21">
        <f>D19*10</f>
        <v>0.2</v>
      </c>
      <c r="I19" s="21">
        <f>C19*100</f>
        <v>2.1</v>
      </c>
      <c r="J19" s="21">
        <f>D19*100</f>
        <v>2</v>
      </c>
    </row>
    <row r="20" spans="1:10" s="10" customFormat="1" ht="12" customHeight="1" x14ac:dyDescent="0.25">
      <c r="A20" s="98"/>
      <c r="B20" s="93" t="s">
        <v>100</v>
      </c>
      <c r="C20" s="100"/>
      <c r="D20" s="1028">
        <v>20</v>
      </c>
      <c r="E20" s="95"/>
      <c r="F20" s="95">
        <f>SUM(F19:F19)</f>
        <v>15.1</v>
      </c>
      <c r="G20" s="99"/>
      <c r="H20" s="1028">
        <f>D20*10</f>
        <v>200</v>
      </c>
      <c r="I20" s="1028"/>
      <c r="J20" s="1028">
        <f>D20*100</f>
        <v>2000</v>
      </c>
    </row>
    <row r="21" spans="1:10" s="10" customFormat="1" ht="27.6" customHeight="1" x14ac:dyDescent="0.25">
      <c r="A21" s="1536" t="s">
        <v>35</v>
      </c>
      <c r="B21" s="1536"/>
      <c r="C21" s="90"/>
      <c r="D21" s="90"/>
      <c r="E21" s="408"/>
      <c r="F21" s="408">
        <f>F20</f>
        <v>15.1</v>
      </c>
      <c r="G21" s="1175"/>
      <c r="H21" s="1175"/>
      <c r="I21" s="21"/>
      <c r="J21" s="408"/>
    </row>
    <row r="22" spans="1:10" s="10" customFormat="1" ht="25.35" customHeight="1" x14ac:dyDescent="0.25">
      <c r="A22" s="1536" t="s">
        <v>36</v>
      </c>
      <c r="B22" s="1536"/>
      <c r="C22" s="866">
        <v>20</v>
      </c>
      <c r="D22" s="90"/>
      <c r="E22" s="408"/>
      <c r="F22" s="408"/>
      <c r="G22" s="408"/>
      <c r="H22" s="408"/>
      <c r="I22" s="21"/>
      <c r="J22" s="17"/>
    </row>
    <row r="23" spans="1:10" s="10" customFormat="1" ht="12" x14ac:dyDescent="0.25">
      <c r="A23" s="1537" t="s">
        <v>37</v>
      </c>
      <c r="B23" s="1538"/>
      <c r="C23" s="1071">
        <v>20</v>
      </c>
      <c r="D23" s="92"/>
      <c r="E23" s="1174"/>
      <c r="F23" s="1174"/>
      <c r="G23" s="1174"/>
      <c r="H23" s="1174"/>
      <c r="I23" s="21"/>
      <c r="J23" s="17"/>
    </row>
    <row r="24" spans="1:10" s="10" customFormat="1" ht="15" customHeight="1" x14ac:dyDescent="0.25">
      <c r="A24" s="1539" t="s">
        <v>38</v>
      </c>
      <c r="B24" s="1540"/>
      <c r="C24" s="245">
        <f>C22/C23</f>
        <v>1</v>
      </c>
      <c r="D24" s="92"/>
      <c r="E24" s="1174"/>
      <c r="F24" s="1174"/>
      <c r="G24" s="1174"/>
      <c r="H24" s="1174"/>
      <c r="I24" s="21"/>
      <c r="J24" s="17"/>
    </row>
    <row r="25" spans="1:10" ht="16.350000000000001" customHeight="1" x14ac:dyDescent="0.25">
      <c r="A25" s="1541" t="s">
        <v>39</v>
      </c>
      <c r="B25" s="1542"/>
      <c r="C25" s="15" t="s">
        <v>40</v>
      </c>
      <c r="D25" s="102"/>
      <c r="E25" s="102" t="s">
        <v>40</v>
      </c>
      <c r="F25" s="16">
        <f>F21/C24</f>
        <v>15.1</v>
      </c>
      <c r="G25" s="16"/>
      <c r="H25" s="16"/>
      <c r="I25" s="102" t="s">
        <v>40</v>
      </c>
      <c r="J25" s="102" t="s">
        <v>40</v>
      </c>
    </row>
    <row r="26" spans="1:10" x14ac:dyDescent="0.25">
      <c r="A26" s="1193"/>
      <c r="B26" s="1193"/>
      <c r="C26" s="1193"/>
      <c r="D26" s="1193"/>
      <c r="E26" s="1193"/>
      <c r="F26" s="1193"/>
      <c r="G26" s="1193"/>
      <c r="H26" s="1193"/>
      <c r="I26" s="1193"/>
      <c r="J26" s="1193"/>
    </row>
    <row r="27" spans="1:10" ht="13.95" customHeight="1" x14ac:dyDescent="0.25">
      <c r="A27" s="1193"/>
      <c r="B27" s="1194" t="s">
        <v>49</v>
      </c>
      <c r="C27" s="1198"/>
      <c r="D27" s="1198"/>
      <c r="E27" s="1198"/>
      <c r="F27" s="1198"/>
      <c r="G27" s="1193"/>
      <c r="H27" s="1557">
        <f>'1-бутерброд с маслом'!$H$28</f>
        <v>0</v>
      </c>
      <c r="I27" s="1557"/>
      <c r="J27" s="1557"/>
    </row>
    <row r="28" spans="1:10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545" t="s">
        <v>327</v>
      </c>
      <c r="B29" s="1545"/>
      <c r="C29" s="1546" t="s">
        <v>328</v>
      </c>
      <c r="D29" s="1546"/>
      <c r="E29" s="1546"/>
      <c r="F29" s="1546"/>
      <c r="G29" s="106"/>
      <c r="H29" s="1531"/>
      <c r="I29" s="1531"/>
      <c r="J29" s="1531"/>
    </row>
    <row r="30" spans="1:10" x14ac:dyDescent="0.25">
      <c r="A30" s="1193"/>
      <c r="B30" s="1193"/>
      <c r="C30" s="1546"/>
      <c r="D30" s="1546"/>
      <c r="E30" s="1546"/>
      <c r="F30" s="1546"/>
      <c r="G30" s="1193"/>
      <c r="H30" s="1531" t="s">
        <v>329</v>
      </c>
      <c r="I30" s="1531"/>
      <c r="J30" s="1531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29:B29"/>
    <mergeCell ref="C29:F30"/>
    <mergeCell ref="H29:J29"/>
    <mergeCell ref="H30:J30"/>
    <mergeCell ref="H27:J27"/>
    <mergeCell ref="A22:B22"/>
    <mergeCell ref="A23:B23"/>
    <mergeCell ref="A24:B24"/>
    <mergeCell ref="A25:B25"/>
    <mergeCell ref="A21:B21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42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2.55468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165)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244</v>
      </c>
    </row>
    <row r="8" spans="1:10" s="2" customFormat="1" ht="9.6" customHeight="1" x14ac:dyDescent="0.25">
      <c r="A8" s="197"/>
      <c r="B8" s="197"/>
      <c r="C8" s="197"/>
      <c r="D8" s="197"/>
      <c r="E8" s="197"/>
      <c r="F8" s="197"/>
      <c r="G8" s="197"/>
      <c r="H8" s="197"/>
      <c r="I8" s="197"/>
      <c r="J8" s="109"/>
    </row>
    <row r="9" spans="1:10" s="2" customFormat="1" ht="26.1" customHeight="1" x14ac:dyDescent="0.3">
      <c r="A9" s="1550" t="s">
        <v>396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'243-сосиски'!H14+1</f>
        <v>165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194" t="s">
        <v>92</v>
      </c>
      <c r="D17" s="194" t="s">
        <v>94</v>
      </c>
      <c r="E17" s="194" t="s">
        <v>93</v>
      </c>
      <c r="F17" s="194" t="s">
        <v>23</v>
      </c>
      <c r="G17" s="194" t="s">
        <v>92</v>
      </c>
      <c r="H17" s="194" t="s">
        <v>94</v>
      </c>
      <c r="I17" s="194" t="s">
        <v>92</v>
      </c>
      <c r="J17" s="194" t="s">
        <v>94</v>
      </c>
    </row>
    <row r="18" spans="1:10" ht="9.6" customHeight="1" x14ac:dyDescent="0.25">
      <c r="A18" s="194">
        <v>1</v>
      </c>
      <c r="B18" s="196">
        <v>2</v>
      </c>
      <c r="C18" s="194">
        <v>3</v>
      </c>
      <c r="D18" s="196">
        <v>4</v>
      </c>
      <c r="E18" s="194">
        <v>5</v>
      </c>
      <c r="F18" s="196">
        <v>6</v>
      </c>
      <c r="G18" s="194">
        <v>7</v>
      </c>
      <c r="H18" s="196">
        <v>8</v>
      </c>
      <c r="I18" s="194">
        <v>9</v>
      </c>
      <c r="J18" s="196">
        <v>10</v>
      </c>
    </row>
    <row r="19" spans="1:10" s="10" customFormat="1" ht="37.5" customHeight="1" x14ac:dyDescent="0.25">
      <c r="A19" s="180">
        <v>1</v>
      </c>
      <c r="B19" s="20" t="s">
        <v>397</v>
      </c>
      <c r="C19" s="111">
        <v>0.11</v>
      </c>
      <c r="D19" s="111">
        <v>8.1000000000000003E-2</v>
      </c>
      <c r="E19" s="13">
        <f>цены!F7</f>
        <v>560</v>
      </c>
      <c r="F19" s="13">
        <f>C19*E19</f>
        <v>61.6</v>
      </c>
      <c r="G19" s="97">
        <f>C19*10</f>
        <v>1.1000000000000001</v>
      </c>
      <c r="H19" s="21">
        <f>D19*10</f>
        <v>0.81</v>
      </c>
      <c r="I19" s="21">
        <f>C19*100</f>
        <v>11</v>
      </c>
      <c r="J19" s="21">
        <f>D19*100</f>
        <v>8.1</v>
      </c>
    </row>
    <row r="20" spans="1:10" s="10" customFormat="1" ht="14.1" customHeight="1" x14ac:dyDescent="0.25">
      <c r="A20" s="180">
        <v>2</v>
      </c>
      <c r="B20" s="20" t="s">
        <v>307</v>
      </c>
      <c r="C20" s="111">
        <v>3.4000000000000002E-2</v>
      </c>
      <c r="D20" s="111">
        <v>3.4000000000000002E-2</v>
      </c>
      <c r="E20" s="13">
        <f>цены!F83</f>
        <v>98</v>
      </c>
      <c r="F20" s="13">
        <f t="shared" ref="F20:F25" si="0">C20*E20</f>
        <v>3.33</v>
      </c>
      <c r="G20" s="97">
        <f t="shared" ref="G20:G25" si="1">C20*10</f>
        <v>0.34</v>
      </c>
      <c r="H20" s="21">
        <f t="shared" ref="H20:H27" si="2">D20*10</f>
        <v>0.34</v>
      </c>
      <c r="I20" s="21">
        <f t="shared" ref="I20:I25" si="3">C20*100</f>
        <v>3.4</v>
      </c>
      <c r="J20" s="21">
        <f t="shared" ref="J20:J27" si="4">D20*100</f>
        <v>3.4</v>
      </c>
    </row>
    <row r="21" spans="1:10" s="10" customFormat="1" ht="14.1" customHeight="1" x14ac:dyDescent="0.25">
      <c r="A21" s="180">
        <v>3</v>
      </c>
      <c r="B21" s="20" t="s">
        <v>74</v>
      </c>
      <c r="C21" s="111">
        <v>5.0000000000000001E-3</v>
      </c>
      <c r="D21" s="111">
        <v>5.0000000000000001E-3</v>
      </c>
      <c r="E21" s="13">
        <f>цены!F87</f>
        <v>120</v>
      </c>
      <c r="F21" s="13">
        <f t="shared" si="0"/>
        <v>0.6</v>
      </c>
      <c r="G21" s="97">
        <f t="shared" si="1"/>
        <v>0.05</v>
      </c>
      <c r="H21" s="21">
        <f t="shared" si="2"/>
        <v>0.05</v>
      </c>
      <c r="I21" s="21">
        <f t="shared" si="3"/>
        <v>0.5</v>
      </c>
      <c r="J21" s="21">
        <f t="shared" si="4"/>
        <v>0.5</v>
      </c>
    </row>
    <row r="22" spans="1:10" s="10" customFormat="1" ht="14.1" customHeight="1" x14ac:dyDescent="0.25">
      <c r="A22" s="180">
        <v>4</v>
      </c>
      <c r="B22" s="20" t="s">
        <v>48</v>
      </c>
      <c r="C22" s="111">
        <v>6.0000000000000001E-3</v>
      </c>
      <c r="D22" s="111">
        <v>5.0000000000000001E-3</v>
      </c>
      <c r="E22" s="13">
        <f>цены!F38</f>
        <v>50</v>
      </c>
      <c r="F22" s="13">
        <f t="shared" si="0"/>
        <v>0.3</v>
      </c>
      <c r="G22" s="97">
        <f t="shared" si="1"/>
        <v>0.06</v>
      </c>
      <c r="H22" s="21">
        <f t="shared" si="2"/>
        <v>0.05</v>
      </c>
      <c r="I22" s="21">
        <f t="shared" si="3"/>
        <v>0.6</v>
      </c>
      <c r="J22" s="21">
        <f t="shared" si="4"/>
        <v>0.5</v>
      </c>
    </row>
    <row r="23" spans="1:10" s="10" customFormat="1" ht="14.1" customHeight="1" x14ac:dyDescent="0.25">
      <c r="A23" s="180">
        <v>5</v>
      </c>
      <c r="B23" s="20" t="s">
        <v>47</v>
      </c>
      <c r="C23" s="111">
        <v>0.01</v>
      </c>
      <c r="D23" s="111">
        <v>8.0000000000000002E-3</v>
      </c>
      <c r="E23" s="13">
        <f>цены!F44</f>
        <v>50</v>
      </c>
      <c r="F23" s="13">
        <f t="shared" si="0"/>
        <v>0.5</v>
      </c>
      <c r="G23" s="97">
        <f t="shared" si="1"/>
        <v>0.1</v>
      </c>
      <c r="H23" s="21">
        <f t="shared" si="2"/>
        <v>0.08</v>
      </c>
      <c r="I23" s="21">
        <f t="shared" si="3"/>
        <v>1</v>
      </c>
      <c r="J23" s="21">
        <f t="shared" si="4"/>
        <v>0.8</v>
      </c>
    </row>
    <row r="24" spans="1:10" s="10" customFormat="1" ht="14.1" customHeight="1" x14ac:dyDescent="0.25">
      <c r="A24" s="180">
        <v>6</v>
      </c>
      <c r="B24" s="20" t="s">
        <v>398</v>
      </c>
      <c r="C24" s="111">
        <v>0.08</v>
      </c>
      <c r="D24" s="111">
        <v>0.08</v>
      </c>
      <c r="E24" s="13"/>
      <c r="F24" s="13">
        <f t="shared" si="0"/>
        <v>0</v>
      </c>
      <c r="G24" s="97">
        <f t="shared" si="1"/>
        <v>0.8</v>
      </c>
      <c r="H24" s="21">
        <f t="shared" si="2"/>
        <v>0.8</v>
      </c>
      <c r="I24" s="21">
        <f t="shared" si="3"/>
        <v>8</v>
      </c>
      <c r="J24" s="21">
        <f t="shared" si="4"/>
        <v>8</v>
      </c>
    </row>
    <row r="25" spans="1:10" s="10" customFormat="1" ht="14.1" customHeight="1" x14ac:dyDescent="0.25">
      <c r="A25" s="180">
        <v>7</v>
      </c>
      <c r="B25" s="20" t="s">
        <v>33</v>
      </c>
      <c r="C25" s="111">
        <v>3.0000000000000001E-3</v>
      </c>
      <c r="D25" s="111">
        <v>3.0000000000000001E-3</v>
      </c>
      <c r="E25" s="13">
        <f>цены!F110</f>
        <v>24</v>
      </c>
      <c r="F25" s="13">
        <f t="shared" si="0"/>
        <v>7.0000000000000007E-2</v>
      </c>
      <c r="G25" s="97">
        <f t="shared" si="1"/>
        <v>0.03</v>
      </c>
      <c r="H25" s="21">
        <f t="shared" si="2"/>
        <v>0.03</v>
      </c>
      <c r="I25" s="21">
        <f t="shared" si="3"/>
        <v>0.3</v>
      </c>
      <c r="J25" s="21">
        <f t="shared" si="4"/>
        <v>0.3</v>
      </c>
    </row>
    <row r="26" spans="1:10" s="10" customFormat="1" ht="14.1" customHeight="1" x14ac:dyDescent="0.25">
      <c r="A26" s="184"/>
      <c r="B26" s="93" t="s">
        <v>175</v>
      </c>
      <c r="C26" s="112"/>
      <c r="D26" s="112">
        <v>0.05</v>
      </c>
      <c r="E26" s="95"/>
      <c r="F26" s="95">
        <f>SUM(F19:F25)</f>
        <v>66.400000000000006</v>
      </c>
      <c r="G26" s="99"/>
      <c r="H26" s="100">
        <f t="shared" si="2"/>
        <v>0.5</v>
      </c>
      <c r="I26" s="100"/>
      <c r="J26" s="100">
        <f t="shared" si="4"/>
        <v>5</v>
      </c>
    </row>
    <row r="27" spans="1:10" s="10" customFormat="1" ht="14.1" customHeight="1" x14ac:dyDescent="0.25">
      <c r="A27" s="184"/>
      <c r="B27" s="93" t="s">
        <v>399</v>
      </c>
      <c r="C27" s="112"/>
      <c r="D27" s="112">
        <v>0.1</v>
      </c>
      <c r="E27" s="95"/>
      <c r="F27" s="95"/>
      <c r="G27" s="99"/>
      <c r="H27" s="100">
        <f t="shared" si="2"/>
        <v>1</v>
      </c>
      <c r="I27" s="100"/>
      <c r="J27" s="100">
        <f t="shared" si="4"/>
        <v>10</v>
      </c>
    </row>
    <row r="28" spans="1:10" s="10" customFormat="1" ht="12" customHeight="1" x14ac:dyDescent="0.25">
      <c r="A28" s="98"/>
      <c r="B28" s="93" t="s">
        <v>100</v>
      </c>
      <c r="C28" s="112"/>
      <c r="D28" s="112">
        <v>0.15</v>
      </c>
      <c r="E28" s="95"/>
      <c r="F28" s="95">
        <f>F26</f>
        <v>66.400000000000006</v>
      </c>
      <c r="G28" s="99"/>
      <c r="H28" s="100">
        <f>D28*10</f>
        <v>1.5</v>
      </c>
      <c r="I28" s="100"/>
      <c r="J28" s="100">
        <f>D28*100</f>
        <v>15</v>
      </c>
    </row>
    <row r="29" spans="1:10" s="10" customFormat="1" ht="27.6" customHeight="1" x14ac:dyDescent="0.25">
      <c r="A29" s="1536" t="s">
        <v>35</v>
      </c>
      <c r="B29" s="1536"/>
      <c r="C29" s="90"/>
      <c r="D29" s="90"/>
      <c r="E29" s="13"/>
      <c r="F29" s="13">
        <f>F28</f>
        <v>66.400000000000006</v>
      </c>
      <c r="G29" s="195"/>
      <c r="H29" s="195"/>
      <c r="I29" s="21"/>
      <c r="J29" s="13"/>
    </row>
    <row r="30" spans="1:10" s="10" customFormat="1" ht="25.35" customHeight="1" x14ac:dyDescent="0.25">
      <c r="A30" s="1536" t="s">
        <v>36</v>
      </c>
      <c r="B30" s="1536"/>
      <c r="C30" s="90">
        <v>150</v>
      </c>
      <c r="D30" s="90"/>
      <c r="E30" s="13"/>
      <c r="F30" s="13"/>
      <c r="G30" s="13"/>
      <c r="H30" s="13"/>
      <c r="I30" s="21"/>
      <c r="J30" s="17"/>
    </row>
    <row r="31" spans="1:10" s="10" customFormat="1" ht="25.35" customHeight="1" x14ac:dyDescent="0.25">
      <c r="A31" s="1537" t="s">
        <v>37</v>
      </c>
      <c r="B31" s="1538"/>
      <c r="C31" s="91">
        <v>150</v>
      </c>
      <c r="D31" s="92"/>
      <c r="E31" s="196"/>
      <c r="F31" s="196"/>
      <c r="G31" s="196"/>
      <c r="H31" s="196"/>
      <c r="I31" s="21"/>
      <c r="J31" s="17"/>
    </row>
    <row r="32" spans="1:10" s="10" customFormat="1" ht="15" customHeight="1" x14ac:dyDescent="0.25">
      <c r="A32" s="1539" t="s">
        <v>38</v>
      </c>
      <c r="B32" s="1540"/>
      <c r="C32" s="92">
        <f>C30/C31</f>
        <v>1</v>
      </c>
      <c r="D32" s="92"/>
      <c r="E32" s="196"/>
      <c r="F32" s="196"/>
      <c r="G32" s="196"/>
      <c r="H32" s="196"/>
      <c r="I32" s="21"/>
      <c r="J32" s="17"/>
    </row>
    <row r="33" spans="1:10" ht="16.350000000000001" customHeight="1" x14ac:dyDescent="0.25">
      <c r="A33" s="1541" t="s">
        <v>39</v>
      </c>
      <c r="B33" s="1542"/>
      <c r="C33" s="15" t="s">
        <v>40</v>
      </c>
      <c r="D33" s="102"/>
      <c r="E33" s="102" t="s">
        <v>40</v>
      </c>
      <c r="F33" s="16">
        <f>F29/C32</f>
        <v>66.400000000000006</v>
      </c>
      <c r="G33" s="16"/>
      <c r="H33" s="16"/>
      <c r="I33" s="102" t="s">
        <v>40</v>
      </c>
      <c r="J33" s="102" t="s">
        <v>40</v>
      </c>
    </row>
    <row r="34" spans="1:10" ht="23.1" customHeight="1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193"/>
      <c r="B35" s="1194" t="s">
        <v>49</v>
      </c>
      <c r="C35" s="1198"/>
      <c r="D35" s="1198"/>
      <c r="E35" s="1198"/>
      <c r="F35" s="1198"/>
      <c r="G35" s="1193"/>
      <c r="H35" s="1557">
        <f>'1-бутерброд с маслом'!$H$28</f>
        <v>0</v>
      </c>
      <c r="I35" s="1557"/>
      <c r="J35" s="1557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545" t="s">
        <v>327</v>
      </c>
      <c r="B37" s="1545"/>
      <c r="C37" s="1546" t="s">
        <v>328</v>
      </c>
      <c r="D37" s="1546"/>
      <c r="E37" s="1546"/>
      <c r="F37" s="1546"/>
      <c r="G37" s="106"/>
      <c r="H37" s="1531"/>
      <c r="I37" s="1531"/>
      <c r="J37" s="1531"/>
    </row>
    <row r="38" spans="1:10" x14ac:dyDescent="0.25">
      <c r="A38" s="1193"/>
      <c r="B38" s="1193"/>
      <c r="C38" s="1546"/>
      <c r="D38" s="1546"/>
      <c r="E38" s="1546"/>
      <c r="F38" s="1546"/>
      <c r="G38" s="1193"/>
      <c r="H38" s="1531" t="s">
        <v>329</v>
      </c>
      <c r="I38" s="1531"/>
      <c r="J38" s="1531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</sheetData>
  <mergeCells count="28">
    <mergeCell ref="H35:J35"/>
    <mergeCell ref="A13:G13"/>
    <mergeCell ref="A30:B30"/>
    <mergeCell ref="A31:B31"/>
    <mergeCell ref="A32:B32"/>
    <mergeCell ref="A33:B33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7:B37"/>
    <mergeCell ref="C37:F38"/>
    <mergeCell ref="H37:J37"/>
    <mergeCell ref="H38:J38"/>
    <mergeCell ref="H5:I5"/>
    <mergeCell ref="A6:G6"/>
    <mergeCell ref="A7:I7"/>
    <mergeCell ref="A29:B29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43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2.55468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166)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244</v>
      </c>
    </row>
    <row r="8" spans="1:10" s="2" customFormat="1" ht="9.6" customHeight="1" x14ac:dyDescent="0.25">
      <c r="A8" s="281"/>
      <c r="B8" s="281"/>
      <c r="C8" s="281"/>
      <c r="D8" s="281"/>
      <c r="E8" s="281"/>
      <c r="F8" s="281"/>
      <c r="G8" s="281"/>
      <c r="H8" s="281"/>
      <c r="I8" s="281"/>
      <c r="J8" s="109"/>
    </row>
    <row r="9" spans="1:10" s="2" customFormat="1" ht="26.1" customHeight="1" x14ac:dyDescent="0.3">
      <c r="A9" s="1550" t="s">
        <v>492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'244-плов из говядины'!H14+1</f>
        <v>166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78" t="s">
        <v>92</v>
      </c>
      <c r="D17" s="278" t="s">
        <v>94</v>
      </c>
      <c r="E17" s="278" t="s">
        <v>93</v>
      </c>
      <c r="F17" s="278" t="s">
        <v>23</v>
      </c>
      <c r="G17" s="278" t="s">
        <v>92</v>
      </c>
      <c r="H17" s="278" t="s">
        <v>94</v>
      </c>
      <c r="I17" s="278" t="s">
        <v>92</v>
      </c>
      <c r="J17" s="278" t="s">
        <v>94</v>
      </c>
    </row>
    <row r="18" spans="1:10" ht="9.6" customHeight="1" x14ac:dyDescent="0.25">
      <c r="A18" s="278">
        <v>1</v>
      </c>
      <c r="B18" s="280">
        <v>2</v>
      </c>
      <c r="C18" s="278">
        <v>3</v>
      </c>
      <c r="D18" s="280">
        <v>4</v>
      </c>
      <c r="E18" s="278">
        <v>5</v>
      </c>
      <c r="F18" s="280">
        <v>6</v>
      </c>
      <c r="G18" s="278">
        <v>7</v>
      </c>
      <c r="H18" s="280">
        <v>8</v>
      </c>
      <c r="I18" s="278">
        <v>9</v>
      </c>
      <c r="J18" s="280">
        <v>10</v>
      </c>
    </row>
    <row r="19" spans="1:10" s="10" customFormat="1" ht="37.5" customHeight="1" x14ac:dyDescent="0.25">
      <c r="A19" s="180">
        <v>1</v>
      </c>
      <c r="B19" s="20" t="s">
        <v>397</v>
      </c>
      <c r="C19" s="111">
        <v>0.11</v>
      </c>
      <c r="D19" s="111">
        <v>8.1000000000000003E-2</v>
      </c>
      <c r="E19" s="13">
        <f>цены!F7</f>
        <v>560</v>
      </c>
      <c r="F19" s="13">
        <f>C19*E19</f>
        <v>61.6</v>
      </c>
      <c r="G19" s="97">
        <f t="shared" ref="G19:H28" si="0">C19*10</f>
        <v>1.1000000000000001</v>
      </c>
      <c r="H19" s="21">
        <f t="shared" si="0"/>
        <v>0.81</v>
      </c>
      <c r="I19" s="21">
        <f t="shared" ref="I19:J28" si="1">C19*100</f>
        <v>11</v>
      </c>
      <c r="J19" s="21">
        <f t="shared" si="1"/>
        <v>8.1</v>
      </c>
    </row>
    <row r="20" spans="1:10" s="10" customFormat="1" ht="14.1" customHeight="1" x14ac:dyDescent="0.25">
      <c r="A20" s="180">
        <v>2</v>
      </c>
      <c r="B20" s="20" t="s">
        <v>307</v>
      </c>
      <c r="C20" s="111">
        <v>3.4000000000000002E-2</v>
      </c>
      <c r="D20" s="111">
        <v>3.4000000000000002E-2</v>
      </c>
      <c r="E20" s="13">
        <f>цены!F83</f>
        <v>98</v>
      </c>
      <c r="F20" s="13">
        <f t="shared" ref="F20:F25" si="2">C20*E20</f>
        <v>3.33</v>
      </c>
      <c r="G20" s="97">
        <f t="shared" si="0"/>
        <v>0.34</v>
      </c>
      <c r="H20" s="21">
        <f t="shared" si="0"/>
        <v>0.34</v>
      </c>
      <c r="I20" s="21">
        <f t="shared" si="1"/>
        <v>3.4</v>
      </c>
      <c r="J20" s="21">
        <f t="shared" si="1"/>
        <v>3.4</v>
      </c>
    </row>
    <row r="21" spans="1:10" s="10" customFormat="1" ht="14.1" customHeight="1" x14ac:dyDescent="0.25">
      <c r="A21" s="180">
        <v>3</v>
      </c>
      <c r="B21" s="20" t="s">
        <v>74</v>
      </c>
      <c r="C21" s="111">
        <v>5.0000000000000001E-3</v>
      </c>
      <c r="D21" s="111">
        <v>5.0000000000000001E-3</v>
      </c>
      <c r="E21" s="13">
        <f>цены!F87</f>
        <v>120</v>
      </c>
      <c r="F21" s="13">
        <f t="shared" si="2"/>
        <v>0.6</v>
      </c>
      <c r="G21" s="97">
        <f t="shared" si="0"/>
        <v>0.05</v>
      </c>
      <c r="H21" s="21">
        <f t="shared" si="0"/>
        <v>0.05</v>
      </c>
      <c r="I21" s="21">
        <f t="shared" si="1"/>
        <v>0.5</v>
      </c>
      <c r="J21" s="21">
        <f t="shared" si="1"/>
        <v>0.5</v>
      </c>
    </row>
    <row r="22" spans="1:10" s="10" customFormat="1" ht="14.1" customHeight="1" x14ac:dyDescent="0.25">
      <c r="A22" s="180">
        <v>4</v>
      </c>
      <c r="B22" s="20" t="s">
        <v>48</v>
      </c>
      <c r="C22" s="111">
        <v>6.0000000000000001E-3</v>
      </c>
      <c r="D22" s="111">
        <v>5.0000000000000001E-3</v>
      </c>
      <c r="E22" s="13">
        <f>цены!F38</f>
        <v>50</v>
      </c>
      <c r="F22" s="13">
        <f t="shared" si="2"/>
        <v>0.3</v>
      </c>
      <c r="G22" s="97">
        <f t="shared" si="0"/>
        <v>0.06</v>
      </c>
      <c r="H22" s="21">
        <f t="shared" si="0"/>
        <v>0.05</v>
      </c>
      <c r="I22" s="21">
        <f t="shared" si="1"/>
        <v>0.6</v>
      </c>
      <c r="J22" s="21">
        <f t="shared" si="1"/>
        <v>0.5</v>
      </c>
    </row>
    <row r="23" spans="1:10" s="10" customFormat="1" ht="14.1" customHeight="1" x14ac:dyDescent="0.25">
      <c r="A23" s="180">
        <v>5</v>
      </c>
      <c r="B23" s="20" t="s">
        <v>47</v>
      </c>
      <c r="C23" s="111">
        <v>0.01</v>
      </c>
      <c r="D23" s="111">
        <v>8.0000000000000002E-3</v>
      </c>
      <c r="E23" s="13">
        <f>цены!F44</f>
        <v>50</v>
      </c>
      <c r="F23" s="13">
        <f t="shared" si="2"/>
        <v>0.5</v>
      </c>
      <c r="G23" s="97">
        <f t="shared" si="0"/>
        <v>0.1</v>
      </c>
      <c r="H23" s="21">
        <f t="shared" si="0"/>
        <v>0.08</v>
      </c>
      <c r="I23" s="21">
        <f t="shared" si="1"/>
        <v>1</v>
      </c>
      <c r="J23" s="21">
        <f t="shared" si="1"/>
        <v>0.8</v>
      </c>
    </row>
    <row r="24" spans="1:10" s="10" customFormat="1" ht="14.1" customHeight="1" x14ac:dyDescent="0.25">
      <c r="A24" s="180">
        <v>6</v>
      </c>
      <c r="B24" s="20" t="s">
        <v>398</v>
      </c>
      <c r="C24" s="111">
        <v>0.08</v>
      </c>
      <c r="D24" s="111">
        <v>0.08</v>
      </c>
      <c r="E24" s="13"/>
      <c r="F24" s="13">
        <f t="shared" si="2"/>
        <v>0</v>
      </c>
      <c r="G24" s="97">
        <f t="shared" si="0"/>
        <v>0.8</v>
      </c>
      <c r="H24" s="21">
        <f t="shared" si="0"/>
        <v>0.8</v>
      </c>
      <c r="I24" s="21">
        <f t="shared" si="1"/>
        <v>8</v>
      </c>
      <c r="J24" s="21">
        <f t="shared" si="1"/>
        <v>8</v>
      </c>
    </row>
    <row r="25" spans="1:10" s="10" customFormat="1" ht="14.1" customHeight="1" x14ac:dyDescent="0.25">
      <c r="A25" s="180">
        <v>7</v>
      </c>
      <c r="B25" s="20" t="s">
        <v>33</v>
      </c>
      <c r="C25" s="111">
        <v>3.0000000000000001E-3</v>
      </c>
      <c r="D25" s="111">
        <v>3.0000000000000001E-3</v>
      </c>
      <c r="E25" s="13">
        <f>цены!F110</f>
        <v>24</v>
      </c>
      <c r="F25" s="13">
        <f t="shared" si="2"/>
        <v>7.0000000000000007E-2</v>
      </c>
      <c r="G25" s="97">
        <f t="shared" si="0"/>
        <v>0.03</v>
      </c>
      <c r="H25" s="21">
        <f t="shared" si="0"/>
        <v>0.03</v>
      </c>
      <c r="I25" s="21">
        <f t="shared" si="1"/>
        <v>0.3</v>
      </c>
      <c r="J25" s="21">
        <f t="shared" si="1"/>
        <v>0.3</v>
      </c>
    </row>
    <row r="26" spans="1:10" s="10" customFormat="1" ht="14.1" customHeight="1" x14ac:dyDescent="0.25">
      <c r="A26" s="184"/>
      <c r="B26" s="93" t="s">
        <v>175</v>
      </c>
      <c r="C26" s="112"/>
      <c r="D26" s="112">
        <v>0.05</v>
      </c>
      <c r="E26" s="95"/>
      <c r="F26" s="95">
        <f>SUM(F19:F25)</f>
        <v>66.400000000000006</v>
      </c>
      <c r="G26" s="99"/>
      <c r="H26" s="100">
        <f t="shared" si="0"/>
        <v>0.5</v>
      </c>
      <c r="I26" s="100"/>
      <c r="J26" s="100">
        <f t="shared" si="1"/>
        <v>5</v>
      </c>
    </row>
    <row r="27" spans="1:10" s="10" customFormat="1" ht="14.1" customHeight="1" x14ac:dyDescent="0.25">
      <c r="A27" s="184"/>
      <c r="B27" s="93" t="s">
        <v>175</v>
      </c>
      <c r="C27" s="112"/>
      <c r="D27" s="112">
        <v>2.5000000000000001E-2</v>
      </c>
      <c r="E27" s="95"/>
      <c r="F27" s="95">
        <f>F19/50*25</f>
        <v>30.8</v>
      </c>
      <c r="G27" s="99"/>
      <c r="H27" s="100">
        <f t="shared" si="0"/>
        <v>0.25</v>
      </c>
      <c r="I27" s="100"/>
      <c r="J27" s="100">
        <f t="shared" si="1"/>
        <v>2.5</v>
      </c>
    </row>
    <row r="28" spans="1:10" s="10" customFormat="1" ht="14.1" customHeight="1" x14ac:dyDescent="0.25">
      <c r="A28" s="184"/>
      <c r="B28" s="93" t="s">
        <v>399</v>
      </c>
      <c r="C28" s="112"/>
      <c r="D28" s="112">
        <v>0.1</v>
      </c>
      <c r="E28" s="95"/>
      <c r="F28" s="95"/>
      <c r="G28" s="99"/>
      <c r="H28" s="100">
        <f t="shared" si="0"/>
        <v>1</v>
      </c>
      <c r="I28" s="100"/>
      <c r="J28" s="100">
        <f t="shared" si="1"/>
        <v>10</v>
      </c>
    </row>
    <row r="29" spans="1:10" s="10" customFormat="1" ht="12" customHeight="1" x14ac:dyDescent="0.25">
      <c r="A29" s="98"/>
      <c r="B29" s="93" t="s">
        <v>100</v>
      </c>
      <c r="C29" s="112"/>
      <c r="D29" s="112">
        <v>0.125</v>
      </c>
      <c r="E29" s="95"/>
      <c r="F29" s="95">
        <f>F20+F21+F22+F23+F24+F25+F27</f>
        <v>35.6</v>
      </c>
      <c r="G29" s="99"/>
      <c r="H29" s="100">
        <f>D29*10</f>
        <v>1.25</v>
      </c>
      <c r="I29" s="100"/>
      <c r="J29" s="100">
        <f>D29*100</f>
        <v>12.5</v>
      </c>
    </row>
    <row r="30" spans="1:10" s="10" customFormat="1" ht="15.6" customHeight="1" x14ac:dyDescent="0.25">
      <c r="A30" s="1536" t="s">
        <v>35</v>
      </c>
      <c r="B30" s="1536"/>
      <c r="C30" s="90"/>
      <c r="D30" s="90"/>
      <c r="E30" s="13"/>
      <c r="F30" s="13">
        <f>F29</f>
        <v>35.6</v>
      </c>
      <c r="G30" s="279"/>
      <c r="H30" s="279"/>
      <c r="I30" s="21"/>
      <c r="J30" s="13"/>
    </row>
    <row r="31" spans="1:10" s="10" customFormat="1" ht="16.95" customHeight="1" x14ac:dyDescent="0.25">
      <c r="A31" s="1536" t="s">
        <v>36</v>
      </c>
      <c r="B31" s="1536"/>
      <c r="C31" s="90">
        <v>125</v>
      </c>
      <c r="D31" s="90"/>
      <c r="E31" s="13"/>
      <c r="F31" s="13"/>
      <c r="G31" s="13"/>
      <c r="H31" s="13"/>
      <c r="I31" s="21"/>
      <c r="J31" s="17"/>
    </row>
    <row r="32" spans="1:10" s="10" customFormat="1" ht="25.35" customHeight="1" x14ac:dyDescent="0.25">
      <c r="A32" s="1537" t="s">
        <v>37</v>
      </c>
      <c r="B32" s="1538"/>
      <c r="C32" s="91">
        <v>125</v>
      </c>
      <c r="D32" s="92"/>
      <c r="E32" s="280"/>
      <c r="F32" s="280"/>
      <c r="G32" s="280"/>
      <c r="H32" s="280"/>
      <c r="I32" s="21"/>
      <c r="J32" s="17"/>
    </row>
    <row r="33" spans="1:10" s="10" customFormat="1" ht="15" customHeight="1" x14ac:dyDescent="0.25">
      <c r="A33" s="1539" t="s">
        <v>38</v>
      </c>
      <c r="B33" s="1540"/>
      <c r="C33" s="92">
        <f>C31/C32</f>
        <v>1</v>
      </c>
      <c r="D33" s="92"/>
      <c r="E33" s="280"/>
      <c r="F33" s="280"/>
      <c r="G33" s="280"/>
      <c r="H33" s="280"/>
      <c r="I33" s="21"/>
      <c r="J33" s="17"/>
    </row>
    <row r="34" spans="1:10" ht="16.350000000000001" customHeight="1" x14ac:dyDescent="0.25">
      <c r="A34" s="1541" t="s">
        <v>39</v>
      </c>
      <c r="B34" s="1542"/>
      <c r="C34" s="15" t="s">
        <v>40</v>
      </c>
      <c r="D34" s="102"/>
      <c r="E34" s="102" t="s">
        <v>40</v>
      </c>
      <c r="F34" s="16">
        <f>F30/C33</f>
        <v>35.6</v>
      </c>
      <c r="G34" s="16"/>
      <c r="H34" s="16"/>
      <c r="I34" s="102" t="s">
        <v>40</v>
      </c>
      <c r="J34" s="102" t="s">
        <v>40</v>
      </c>
    </row>
    <row r="35" spans="1:10" ht="16.350000000000001" customHeight="1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8" customHeight="1" x14ac:dyDescent="0.25">
      <c r="A36" s="1193"/>
      <c r="B36" s="1194" t="s">
        <v>49</v>
      </c>
      <c r="C36" s="1198"/>
      <c r="D36" s="1198"/>
      <c r="E36" s="1198"/>
      <c r="F36" s="1198"/>
      <c r="G36" s="1193"/>
      <c r="H36" s="1557">
        <f>'1-бутерброд с маслом'!$H$28</f>
        <v>0</v>
      </c>
      <c r="I36" s="1557"/>
      <c r="J36" s="1557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545" t="s">
        <v>327</v>
      </c>
      <c r="B38" s="1545"/>
      <c r="C38" s="1546" t="s">
        <v>328</v>
      </c>
      <c r="D38" s="1546"/>
      <c r="E38" s="1546"/>
      <c r="F38" s="1546"/>
      <c r="G38" s="106"/>
      <c r="H38" s="1531"/>
      <c r="I38" s="1531"/>
      <c r="J38" s="1531"/>
    </row>
    <row r="39" spans="1:10" x14ac:dyDescent="0.25">
      <c r="A39" s="1193"/>
      <c r="B39" s="1193"/>
      <c r="C39" s="1546"/>
      <c r="D39" s="1546"/>
      <c r="E39" s="1546"/>
      <c r="F39" s="1546"/>
      <c r="G39" s="1193"/>
      <c r="H39" s="1531" t="s">
        <v>329</v>
      </c>
      <c r="I39" s="1531"/>
      <c r="J39" s="1531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</sheetData>
  <mergeCells count="28">
    <mergeCell ref="H36:J36"/>
    <mergeCell ref="A13:G13"/>
    <mergeCell ref="A31:B31"/>
    <mergeCell ref="A32:B32"/>
    <mergeCell ref="A33:B33"/>
    <mergeCell ref="A34:B34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8:B38"/>
    <mergeCell ref="C38:F39"/>
    <mergeCell ref="H38:J38"/>
    <mergeCell ref="H39:J39"/>
    <mergeCell ref="H5:I5"/>
    <mergeCell ref="A6:G6"/>
    <mergeCell ref="A7:I7"/>
    <mergeCell ref="A30:B30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44"/>
  <sheetViews>
    <sheetView view="pageBreakPreview" zoomScaleNormal="100" zoomScaleSheetLayoutView="100" workbookViewId="0">
      <selection activeCell="A31" sqref="A31:XFD31"/>
    </sheetView>
  </sheetViews>
  <sheetFormatPr defaultRowHeight="13.8" x14ac:dyDescent="0.25"/>
  <cols>
    <col min="1" max="1" width="4.109375" customWidth="1"/>
    <col min="2" max="2" width="22.55468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2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167)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245</v>
      </c>
    </row>
    <row r="8" spans="1:10" s="2" customFormat="1" ht="9.6" customHeight="1" x14ac:dyDescent="0.25">
      <c r="A8" s="197"/>
      <c r="B8" s="197"/>
      <c r="C8" s="197"/>
      <c r="D8" s="197"/>
      <c r="E8" s="197"/>
      <c r="F8" s="197"/>
      <c r="G8" s="197"/>
      <c r="H8" s="197"/>
      <c r="I8" s="197"/>
      <c r="J8" s="109"/>
    </row>
    <row r="9" spans="1:10" s="2" customFormat="1" ht="26.1" customHeight="1" x14ac:dyDescent="0.3">
      <c r="A9" s="1550" t="s">
        <v>1275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'244-плов из говядины (2)'!H14+1</f>
        <v>167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194" t="s">
        <v>92</v>
      </c>
      <c r="D17" s="194" t="s">
        <v>94</v>
      </c>
      <c r="E17" s="194" t="s">
        <v>93</v>
      </c>
      <c r="F17" s="194" t="s">
        <v>23</v>
      </c>
      <c r="G17" s="194" t="s">
        <v>92</v>
      </c>
      <c r="H17" s="194" t="s">
        <v>94</v>
      </c>
      <c r="I17" s="194" t="s">
        <v>92</v>
      </c>
      <c r="J17" s="194" t="s">
        <v>94</v>
      </c>
    </row>
    <row r="18" spans="1:10" ht="9.6" customHeight="1" x14ac:dyDescent="0.25">
      <c r="A18" s="194">
        <v>1</v>
      </c>
      <c r="B18" s="196">
        <v>2</v>
      </c>
      <c r="C18" s="194">
        <v>3</v>
      </c>
      <c r="D18" s="196">
        <v>4</v>
      </c>
      <c r="E18" s="194">
        <v>5</v>
      </c>
      <c r="F18" s="196">
        <v>6</v>
      </c>
      <c r="G18" s="194">
        <v>7</v>
      </c>
      <c r="H18" s="196">
        <v>8</v>
      </c>
      <c r="I18" s="194">
        <v>9</v>
      </c>
      <c r="J18" s="196">
        <v>10</v>
      </c>
    </row>
    <row r="19" spans="1:10" s="10" customFormat="1" ht="35.25" customHeight="1" x14ac:dyDescent="0.25">
      <c r="A19" s="180">
        <v>1</v>
      </c>
      <c r="B19" s="20" t="s">
        <v>397</v>
      </c>
      <c r="C19" s="111">
        <v>0.11</v>
      </c>
      <c r="D19" s="111">
        <v>8.1000000000000003E-2</v>
      </c>
      <c r="E19" s="13">
        <f>цены!F7</f>
        <v>560</v>
      </c>
      <c r="F19" s="13">
        <f>C19*E19</f>
        <v>61.6</v>
      </c>
      <c r="G19" s="97">
        <f t="shared" ref="G19:H23" si="0">C19*10</f>
        <v>1.1000000000000001</v>
      </c>
      <c r="H19" s="21">
        <f t="shared" si="0"/>
        <v>0.81</v>
      </c>
      <c r="I19" s="21">
        <f t="shared" ref="I19:J23" si="1">C19*100</f>
        <v>11</v>
      </c>
      <c r="J19" s="21">
        <f t="shared" si="1"/>
        <v>8.1</v>
      </c>
    </row>
    <row r="20" spans="1:10" s="10" customFormat="1" ht="14.1" customHeight="1" x14ac:dyDescent="0.25">
      <c r="A20" s="180">
        <v>2</v>
      </c>
      <c r="B20" s="20" t="s">
        <v>47</v>
      </c>
      <c r="C20" s="111">
        <v>3.0000000000000001E-3</v>
      </c>
      <c r="D20" s="111">
        <v>2E-3</v>
      </c>
      <c r="E20" s="13">
        <f>цены!F44</f>
        <v>50</v>
      </c>
      <c r="F20" s="13">
        <f>C20*E20</f>
        <v>0.15</v>
      </c>
      <c r="G20" s="97">
        <f t="shared" si="0"/>
        <v>0.03</v>
      </c>
      <c r="H20" s="21">
        <f t="shared" si="0"/>
        <v>0.02</v>
      </c>
      <c r="I20" s="21">
        <f t="shared" si="1"/>
        <v>0.3</v>
      </c>
      <c r="J20" s="21">
        <f t="shared" si="1"/>
        <v>0.2</v>
      </c>
    </row>
    <row r="21" spans="1:10" s="10" customFormat="1" ht="14.1" customHeight="1" x14ac:dyDescent="0.25">
      <c r="A21" s="180">
        <v>3</v>
      </c>
      <c r="B21" s="20" t="s">
        <v>48</v>
      </c>
      <c r="C21" s="113">
        <v>2.5000000000000001E-3</v>
      </c>
      <c r="D21" s="113">
        <v>2E-3</v>
      </c>
      <c r="E21" s="13">
        <f>цены!F38</f>
        <v>50</v>
      </c>
      <c r="F21" s="13">
        <f>C21*E21</f>
        <v>0.13</v>
      </c>
      <c r="G21" s="97">
        <f t="shared" si="0"/>
        <v>2.5000000000000001E-2</v>
      </c>
      <c r="H21" s="21">
        <f t="shared" si="0"/>
        <v>0.02</v>
      </c>
      <c r="I21" s="21">
        <f t="shared" si="1"/>
        <v>0.25</v>
      </c>
      <c r="J21" s="21">
        <f t="shared" si="1"/>
        <v>0.2</v>
      </c>
    </row>
    <row r="22" spans="1:10" s="10" customFormat="1" ht="14.1" customHeight="1" x14ac:dyDescent="0.25">
      <c r="A22" s="184"/>
      <c r="B22" s="93" t="s">
        <v>175</v>
      </c>
      <c r="C22" s="112"/>
      <c r="D22" s="112">
        <v>0.05</v>
      </c>
      <c r="E22" s="95"/>
      <c r="F22" s="95">
        <f>SUM(F19:F21)</f>
        <v>61.88</v>
      </c>
      <c r="G22" s="99"/>
      <c r="H22" s="100">
        <f>D22*10</f>
        <v>0.5</v>
      </c>
      <c r="I22" s="100"/>
      <c r="J22" s="100">
        <f>D22*100</f>
        <v>5</v>
      </c>
    </row>
    <row r="23" spans="1:10" s="10" customFormat="1" ht="14.1" customHeight="1" x14ac:dyDescent="0.25">
      <c r="A23" s="180">
        <v>4</v>
      </c>
      <c r="B23" s="20" t="s">
        <v>47</v>
      </c>
      <c r="C23" s="111">
        <v>1.2500000000000001E-2</v>
      </c>
      <c r="D23" s="111">
        <v>0.01</v>
      </c>
      <c r="E23" s="13">
        <f>цены!F44</f>
        <v>50</v>
      </c>
      <c r="F23" s="13">
        <f t="shared" ref="F23:F28" si="2">C23*E23</f>
        <v>0.63</v>
      </c>
      <c r="G23" s="97">
        <f t="shared" si="0"/>
        <v>0.125</v>
      </c>
      <c r="H23" s="21">
        <f t="shared" si="0"/>
        <v>0.1</v>
      </c>
      <c r="I23" s="21">
        <f t="shared" si="1"/>
        <v>1.25</v>
      </c>
      <c r="J23" s="21">
        <f t="shared" si="1"/>
        <v>1</v>
      </c>
    </row>
    <row r="24" spans="1:10" s="10" customFormat="1" ht="14.1" customHeight="1" x14ac:dyDescent="0.25">
      <c r="A24" s="180">
        <v>5</v>
      </c>
      <c r="B24" s="20" t="s">
        <v>349</v>
      </c>
      <c r="C24" s="111">
        <v>0.05</v>
      </c>
      <c r="D24" s="111">
        <v>0.05</v>
      </c>
      <c r="E24" s="13">
        <f>'330-соус сметанный'!F30</f>
        <v>61.41</v>
      </c>
      <c r="F24" s="13">
        <f t="shared" si="2"/>
        <v>3.07</v>
      </c>
      <c r="G24" s="97">
        <f t="shared" ref="G24:H28" si="3">C24*10</f>
        <v>0.5</v>
      </c>
      <c r="H24" s="21">
        <f t="shared" si="3"/>
        <v>0.5</v>
      </c>
      <c r="I24" s="21">
        <f t="shared" ref="I24:J28" si="4">C24*100</f>
        <v>5</v>
      </c>
      <c r="J24" s="21">
        <f t="shared" si="4"/>
        <v>5</v>
      </c>
    </row>
    <row r="25" spans="1:10" s="10" customFormat="1" ht="14.1" customHeight="1" x14ac:dyDescent="0.25">
      <c r="A25" s="180">
        <v>6</v>
      </c>
      <c r="B25" s="20" t="s">
        <v>33</v>
      </c>
      <c r="C25" s="111">
        <v>3.0000000000000001E-3</v>
      </c>
      <c r="D25" s="111">
        <v>3.0000000000000001E-3</v>
      </c>
      <c r="E25" s="13">
        <f>цены!F110</f>
        <v>24</v>
      </c>
      <c r="F25" s="13">
        <f t="shared" si="2"/>
        <v>7.0000000000000007E-2</v>
      </c>
      <c r="G25" s="97">
        <f t="shared" si="3"/>
        <v>0.03</v>
      </c>
      <c r="H25" s="21">
        <f t="shared" si="3"/>
        <v>0.03</v>
      </c>
      <c r="I25" s="21">
        <f t="shared" si="4"/>
        <v>0.3</v>
      </c>
      <c r="J25" s="21">
        <f t="shared" si="4"/>
        <v>0.3</v>
      </c>
    </row>
    <row r="26" spans="1:10" s="10" customFormat="1" ht="14.1" customHeight="1" x14ac:dyDescent="0.25">
      <c r="A26" s="180">
        <v>7</v>
      </c>
      <c r="B26" s="20" t="s">
        <v>84</v>
      </c>
      <c r="C26" s="125">
        <v>2.0000000000000002E-5</v>
      </c>
      <c r="D26" s="125">
        <v>2.0000000000000002E-5</v>
      </c>
      <c r="E26" s="13">
        <f>цены!F100</f>
        <v>1000</v>
      </c>
      <c r="F26" s="13">
        <f t="shared" si="2"/>
        <v>0.02</v>
      </c>
      <c r="G26" s="97">
        <f t="shared" si="3"/>
        <v>0</v>
      </c>
      <c r="H26" s="21">
        <f t="shared" si="3"/>
        <v>0</v>
      </c>
      <c r="I26" s="21">
        <f t="shared" si="4"/>
        <v>2E-3</v>
      </c>
      <c r="J26" s="21">
        <f t="shared" si="4"/>
        <v>2E-3</v>
      </c>
    </row>
    <row r="27" spans="1:10" s="10" customFormat="1" ht="14.1" customHeight="1" x14ac:dyDescent="0.25">
      <c r="A27" s="180">
        <v>8</v>
      </c>
      <c r="B27" s="20" t="s">
        <v>337</v>
      </c>
      <c r="C27" s="125">
        <v>2E-3</v>
      </c>
      <c r="D27" s="125">
        <v>2E-3</v>
      </c>
      <c r="E27" s="13">
        <f>цены!F39</f>
        <v>300</v>
      </c>
      <c r="F27" s="13">
        <f t="shared" si="2"/>
        <v>0.6</v>
      </c>
      <c r="G27" s="97">
        <f t="shared" si="3"/>
        <v>0.02</v>
      </c>
      <c r="H27" s="21">
        <f t="shared" si="3"/>
        <v>0.02</v>
      </c>
      <c r="I27" s="21">
        <f t="shared" si="4"/>
        <v>0.2</v>
      </c>
      <c r="J27" s="21">
        <f t="shared" si="4"/>
        <v>0.2</v>
      </c>
    </row>
    <row r="28" spans="1:10" s="10" customFormat="1" ht="14.1" customHeight="1" x14ac:dyDescent="0.25">
      <c r="A28" s="180">
        <v>9</v>
      </c>
      <c r="B28" s="20" t="s">
        <v>78</v>
      </c>
      <c r="C28" s="111">
        <v>2E-3</v>
      </c>
      <c r="D28" s="111">
        <v>2E-3</v>
      </c>
      <c r="E28" s="13">
        <f>цены!F48</f>
        <v>300</v>
      </c>
      <c r="F28" s="13">
        <f t="shared" si="2"/>
        <v>0.6</v>
      </c>
      <c r="G28" s="97">
        <f t="shared" si="3"/>
        <v>0.02</v>
      </c>
      <c r="H28" s="21">
        <f t="shared" si="3"/>
        <v>0.02</v>
      </c>
      <c r="I28" s="21">
        <f t="shared" si="4"/>
        <v>0.2</v>
      </c>
      <c r="J28" s="21">
        <f t="shared" si="4"/>
        <v>0.2</v>
      </c>
    </row>
    <row r="29" spans="1:10" s="10" customFormat="1" ht="12" customHeight="1" x14ac:dyDescent="0.25">
      <c r="A29" s="98"/>
      <c r="B29" s="93" t="s">
        <v>100</v>
      </c>
      <c r="C29" s="112"/>
      <c r="D29" s="112">
        <v>0.1</v>
      </c>
      <c r="E29" s="95"/>
      <c r="F29" s="95">
        <f>F19+F20+F21+F23+F24+F25+F26+F27+F28</f>
        <v>66.87</v>
      </c>
      <c r="G29" s="99"/>
      <c r="H29" s="100">
        <f>D29*10</f>
        <v>1</v>
      </c>
      <c r="I29" s="100"/>
      <c r="J29" s="100">
        <f>D29*100</f>
        <v>10</v>
      </c>
    </row>
    <row r="30" spans="1:10" s="10" customFormat="1" ht="26.4" customHeight="1" x14ac:dyDescent="0.25">
      <c r="A30" s="203"/>
      <c r="B30" s="204" t="s">
        <v>408</v>
      </c>
      <c r="C30" s="205"/>
      <c r="D30" s="205"/>
      <c r="E30" s="206"/>
      <c r="F30" s="206"/>
      <c r="G30" s="207"/>
      <c r="H30" s="208"/>
      <c r="I30" s="208"/>
      <c r="J30" s="208"/>
    </row>
    <row r="31" spans="1:10" s="10" customFormat="1" ht="29.25" customHeight="1" x14ac:dyDescent="0.25">
      <c r="A31" s="1536" t="s">
        <v>35</v>
      </c>
      <c r="B31" s="1536"/>
      <c r="C31" s="90"/>
      <c r="D31" s="90"/>
      <c r="E31" s="13"/>
      <c r="F31" s="13">
        <f>F29</f>
        <v>66.87</v>
      </c>
      <c r="G31" s="195"/>
      <c r="H31" s="195"/>
      <c r="I31" s="21"/>
      <c r="J31" s="13"/>
    </row>
    <row r="32" spans="1:10" s="10" customFormat="1" ht="25.35" customHeight="1" x14ac:dyDescent="0.25">
      <c r="A32" s="1536" t="s">
        <v>36</v>
      </c>
      <c r="B32" s="1536"/>
      <c r="C32" s="90">
        <v>100</v>
      </c>
      <c r="D32" s="90"/>
      <c r="E32" s="13"/>
      <c r="F32" s="13"/>
      <c r="G32" s="13"/>
      <c r="H32" s="13"/>
      <c r="I32" s="21"/>
      <c r="J32" s="17"/>
    </row>
    <row r="33" spans="1:10" s="10" customFormat="1" ht="25.35" customHeight="1" x14ac:dyDescent="0.25">
      <c r="A33" s="1537" t="s">
        <v>37</v>
      </c>
      <c r="B33" s="1538"/>
      <c r="C33" s="91">
        <v>100</v>
      </c>
      <c r="D33" s="92"/>
      <c r="E33" s="196"/>
      <c r="F33" s="196"/>
      <c r="G33" s="196"/>
      <c r="H33" s="196"/>
      <c r="I33" s="21"/>
      <c r="J33" s="17"/>
    </row>
    <row r="34" spans="1:10" s="10" customFormat="1" ht="15" customHeight="1" x14ac:dyDescent="0.25">
      <c r="A34" s="1539" t="s">
        <v>38</v>
      </c>
      <c r="B34" s="1540"/>
      <c r="C34" s="92">
        <f>C32/C33</f>
        <v>1</v>
      </c>
      <c r="D34" s="92"/>
      <c r="E34" s="196"/>
      <c r="F34" s="196"/>
      <c r="G34" s="196"/>
      <c r="H34" s="196"/>
      <c r="I34" s="21"/>
      <c r="J34" s="17"/>
    </row>
    <row r="35" spans="1:10" ht="16.350000000000001" customHeight="1" x14ac:dyDescent="0.25">
      <c r="A35" s="1541" t="s">
        <v>39</v>
      </c>
      <c r="B35" s="1542"/>
      <c r="C35" s="15" t="s">
        <v>40</v>
      </c>
      <c r="D35" s="102"/>
      <c r="E35" s="102" t="s">
        <v>40</v>
      </c>
      <c r="F35" s="16">
        <f>F31/C34</f>
        <v>66.87</v>
      </c>
      <c r="G35" s="16"/>
      <c r="H35" s="16"/>
      <c r="I35" s="102" t="s">
        <v>40</v>
      </c>
      <c r="J35" s="102" t="s">
        <v>40</v>
      </c>
    </row>
    <row r="36" spans="1:10" ht="23.1" customHeight="1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193"/>
      <c r="B37" s="1194" t="s">
        <v>49</v>
      </c>
      <c r="C37" s="1198"/>
      <c r="D37" s="1198"/>
      <c r="E37" s="1198"/>
      <c r="F37" s="1198"/>
      <c r="G37" s="1193"/>
      <c r="H37" s="1557">
        <f>'1-бутерброд с маслом'!$H$28</f>
        <v>0</v>
      </c>
      <c r="I37" s="1557"/>
      <c r="J37" s="1557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545" t="s">
        <v>327</v>
      </c>
      <c r="B39" s="1545"/>
      <c r="C39" s="1546" t="s">
        <v>328</v>
      </c>
      <c r="D39" s="1546"/>
      <c r="E39" s="1546"/>
      <c r="F39" s="1546"/>
      <c r="G39" s="106"/>
      <c r="H39" s="1531"/>
      <c r="I39" s="1531"/>
      <c r="J39" s="1531"/>
    </row>
    <row r="40" spans="1:10" x14ac:dyDescent="0.25">
      <c r="A40" s="1193"/>
      <c r="B40" s="1193"/>
      <c r="C40" s="1546"/>
      <c r="D40" s="1546"/>
      <c r="E40" s="1546"/>
      <c r="F40" s="1546"/>
      <c r="G40" s="1193"/>
      <c r="H40" s="1531" t="s">
        <v>329</v>
      </c>
      <c r="I40" s="1531"/>
      <c r="J40" s="1531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37:J37"/>
    <mergeCell ref="A13:G13"/>
    <mergeCell ref="A32:B32"/>
    <mergeCell ref="A33:B33"/>
    <mergeCell ref="A34:B34"/>
    <mergeCell ref="A35:B35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9:B39"/>
    <mergeCell ref="C39:F40"/>
    <mergeCell ref="H39:J39"/>
    <mergeCell ref="H40:J40"/>
    <mergeCell ref="H5:I5"/>
    <mergeCell ref="A6:G6"/>
    <mergeCell ref="A7:I7"/>
    <mergeCell ref="A31:B31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44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2.55468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168)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245</v>
      </c>
    </row>
    <row r="8" spans="1:10" s="2" customFormat="1" ht="9.6" customHeight="1" x14ac:dyDescent="0.25">
      <c r="A8" s="267"/>
      <c r="B8" s="267"/>
      <c r="C8" s="267"/>
      <c r="D8" s="267"/>
      <c r="E8" s="267"/>
      <c r="F8" s="267"/>
      <c r="G8" s="267"/>
      <c r="H8" s="267"/>
      <c r="I8" s="267"/>
      <c r="J8" s="109"/>
    </row>
    <row r="9" spans="1:10" s="2" customFormat="1" ht="26.1" customHeight="1" x14ac:dyDescent="0.3">
      <c r="A9" s="1550" t="s">
        <v>488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'245-бефстроганов'!H14+1</f>
        <v>168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68" t="s">
        <v>92</v>
      </c>
      <c r="D17" s="268" t="s">
        <v>94</v>
      </c>
      <c r="E17" s="268" t="s">
        <v>93</v>
      </c>
      <c r="F17" s="268" t="s">
        <v>23</v>
      </c>
      <c r="G17" s="268" t="s">
        <v>92</v>
      </c>
      <c r="H17" s="268" t="s">
        <v>94</v>
      </c>
      <c r="I17" s="268" t="s">
        <v>92</v>
      </c>
      <c r="J17" s="268" t="s">
        <v>94</v>
      </c>
    </row>
    <row r="18" spans="1:10" ht="9.6" customHeight="1" x14ac:dyDescent="0.25">
      <c r="A18" s="268">
        <v>1</v>
      </c>
      <c r="B18" s="269">
        <v>2</v>
      </c>
      <c r="C18" s="268">
        <v>3</v>
      </c>
      <c r="D18" s="269">
        <v>4</v>
      </c>
      <c r="E18" s="268">
        <v>5</v>
      </c>
      <c r="F18" s="269">
        <v>6</v>
      </c>
      <c r="G18" s="268">
        <v>7</v>
      </c>
      <c r="H18" s="269">
        <v>8</v>
      </c>
      <c r="I18" s="268">
        <v>9</v>
      </c>
      <c r="J18" s="269">
        <v>10</v>
      </c>
    </row>
    <row r="19" spans="1:10" s="10" customFormat="1" ht="35.25" customHeight="1" x14ac:dyDescent="0.25">
      <c r="A19" s="180">
        <v>1</v>
      </c>
      <c r="B19" s="20" t="s">
        <v>397</v>
      </c>
      <c r="C19" s="111">
        <v>0.11</v>
      </c>
      <c r="D19" s="111">
        <v>8.1000000000000003E-2</v>
      </c>
      <c r="E19" s="13">
        <f>цены!F7</f>
        <v>560</v>
      </c>
      <c r="F19" s="13">
        <f>C19*E19</f>
        <v>61.6</v>
      </c>
      <c r="G19" s="97">
        <f t="shared" ref="G19:H28" si="0">C19*10</f>
        <v>1.1000000000000001</v>
      </c>
      <c r="H19" s="21">
        <f t="shared" si="0"/>
        <v>0.81</v>
      </c>
      <c r="I19" s="21">
        <f t="shared" ref="I19:J28" si="1">C19*100</f>
        <v>11</v>
      </c>
      <c r="J19" s="21">
        <f t="shared" si="1"/>
        <v>8.1</v>
      </c>
    </row>
    <row r="20" spans="1:10" s="10" customFormat="1" ht="14.1" customHeight="1" x14ac:dyDescent="0.25">
      <c r="A20" s="180">
        <v>2</v>
      </c>
      <c r="B20" s="20" t="s">
        <v>47</v>
      </c>
      <c r="C20" s="111">
        <v>3.0000000000000001E-3</v>
      </c>
      <c r="D20" s="111">
        <v>2E-3</v>
      </c>
      <c r="E20" s="13">
        <f>цены!F44</f>
        <v>50</v>
      </c>
      <c r="F20" s="13">
        <f t="shared" ref="F20:F28" si="2">C20*E20</f>
        <v>0.15</v>
      </c>
      <c r="G20" s="97">
        <f t="shared" si="0"/>
        <v>0.03</v>
      </c>
      <c r="H20" s="21">
        <f t="shared" si="0"/>
        <v>0.02</v>
      </c>
      <c r="I20" s="21">
        <f t="shared" si="1"/>
        <v>0.3</v>
      </c>
      <c r="J20" s="21">
        <f t="shared" si="1"/>
        <v>0.2</v>
      </c>
    </row>
    <row r="21" spans="1:10" s="10" customFormat="1" ht="14.1" customHeight="1" x14ac:dyDescent="0.25">
      <c r="A21" s="180">
        <v>3</v>
      </c>
      <c r="B21" s="20" t="s">
        <v>48</v>
      </c>
      <c r="C21" s="113">
        <v>2.5000000000000001E-3</v>
      </c>
      <c r="D21" s="113">
        <v>2E-3</v>
      </c>
      <c r="E21" s="13">
        <f>цены!F38</f>
        <v>50</v>
      </c>
      <c r="F21" s="13">
        <f t="shared" si="2"/>
        <v>0.13</v>
      </c>
      <c r="G21" s="97">
        <f t="shared" si="0"/>
        <v>2.5000000000000001E-2</v>
      </c>
      <c r="H21" s="21">
        <f t="shared" si="0"/>
        <v>0.02</v>
      </c>
      <c r="I21" s="21">
        <f t="shared" si="1"/>
        <v>0.25</v>
      </c>
      <c r="J21" s="21">
        <f t="shared" si="1"/>
        <v>0.2</v>
      </c>
    </row>
    <row r="22" spans="1:10" s="10" customFormat="1" ht="14.1" customHeight="1" x14ac:dyDescent="0.25">
      <c r="A22" s="184"/>
      <c r="B22" s="93" t="s">
        <v>175</v>
      </c>
      <c r="C22" s="112"/>
      <c r="D22" s="112">
        <v>0.05</v>
      </c>
      <c r="E22" s="95"/>
      <c r="F22" s="95">
        <f>SUM(F19:F21)</f>
        <v>61.88</v>
      </c>
      <c r="G22" s="99"/>
      <c r="H22" s="100">
        <f>D22*10</f>
        <v>0.5</v>
      </c>
      <c r="I22" s="100"/>
      <c r="J22" s="100">
        <f>D22*100</f>
        <v>5</v>
      </c>
    </row>
    <row r="23" spans="1:10" s="10" customFormat="1" ht="14.1" customHeight="1" x14ac:dyDescent="0.25">
      <c r="A23" s="180">
        <v>4</v>
      </c>
      <c r="B23" s="20" t="s">
        <v>47</v>
      </c>
      <c r="C23" s="111">
        <v>1.2500000000000001E-2</v>
      </c>
      <c r="D23" s="111">
        <v>0.01</v>
      </c>
      <c r="E23" s="13">
        <f>цены!F44</f>
        <v>50</v>
      </c>
      <c r="F23" s="13">
        <f t="shared" si="2"/>
        <v>0.63</v>
      </c>
      <c r="G23" s="97">
        <f t="shared" si="0"/>
        <v>0.125</v>
      </c>
      <c r="H23" s="21">
        <f t="shared" si="0"/>
        <v>0.1</v>
      </c>
      <c r="I23" s="21">
        <f t="shared" si="1"/>
        <v>1.25</v>
      </c>
      <c r="J23" s="21">
        <f t="shared" si="1"/>
        <v>1</v>
      </c>
    </row>
    <row r="24" spans="1:10" s="10" customFormat="1" ht="14.1" customHeight="1" x14ac:dyDescent="0.25">
      <c r="A24" s="180">
        <v>5</v>
      </c>
      <c r="B24" s="20" t="s">
        <v>349</v>
      </c>
      <c r="C24" s="111">
        <v>0.05</v>
      </c>
      <c r="D24" s="111">
        <v>0.05</v>
      </c>
      <c r="E24" s="13">
        <f>'330-соус сметанный'!F30</f>
        <v>61.41</v>
      </c>
      <c r="F24" s="13">
        <f t="shared" si="2"/>
        <v>3.07</v>
      </c>
      <c r="G24" s="97">
        <f t="shared" si="0"/>
        <v>0.5</v>
      </c>
      <c r="H24" s="21">
        <f t="shared" si="0"/>
        <v>0.5</v>
      </c>
      <c r="I24" s="21">
        <f t="shared" si="1"/>
        <v>5</v>
      </c>
      <c r="J24" s="21">
        <f t="shared" si="1"/>
        <v>5</v>
      </c>
    </row>
    <row r="25" spans="1:10" s="10" customFormat="1" ht="14.1" customHeight="1" x14ac:dyDescent="0.25">
      <c r="A25" s="180">
        <v>6</v>
      </c>
      <c r="B25" s="20" t="s">
        <v>33</v>
      </c>
      <c r="C25" s="111">
        <v>3.0000000000000001E-3</v>
      </c>
      <c r="D25" s="111">
        <v>3.0000000000000001E-3</v>
      </c>
      <c r="E25" s="13">
        <f>цены!F110</f>
        <v>24</v>
      </c>
      <c r="F25" s="13">
        <f t="shared" si="2"/>
        <v>7.0000000000000007E-2</v>
      </c>
      <c r="G25" s="97">
        <f t="shared" si="0"/>
        <v>0.03</v>
      </c>
      <c r="H25" s="21">
        <f t="shared" si="0"/>
        <v>0.03</v>
      </c>
      <c r="I25" s="21">
        <f t="shared" si="1"/>
        <v>0.3</v>
      </c>
      <c r="J25" s="21">
        <f t="shared" si="1"/>
        <v>0.3</v>
      </c>
    </row>
    <row r="26" spans="1:10" s="10" customFormat="1" ht="14.1" customHeight="1" x14ac:dyDescent="0.25">
      <c r="A26" s="180">
        <v>7</v>
      </c>
      <c r="B26" s="20" t="s">
        <v>84</v>
      </c>
      <c r="C26" s="125">
        <v>2.0000000000000002E-5</v>
      </c>
      <c r="D26" s="125">
        <v>2.0000000000000002E-5</v>
      </c>
      <c r="E26" s="13">
        <f>цены!F100</f>
        <v>1000</v>
      </c>
      <c r="F26" s="13">
        <f t="shared" si="2"/>
        <v>0.02</v>
      </c>
      <c r="G26" s="97">
        <f t="shared" si="0"/>
        <v>0</v>
      </c>
      <c r="H26" s="21">
        <f t="shared" si="0"/>
        <v>0</v>
      </c>
      <c r="I26" s="21">
        <f t="shared" si="1"/>
        <v>2E-3</v>
      </c>
      <c r="J26" s="21">
        <f t="shared" si="1"/>
        <v>2E-3</v>
      </c>
    </row>
    <row r="27" spans="1:10" s="10" customFormat="1" ht="14.1" customHeight="1" x14ac:dyDescent="0.25">
      <c r="A27" s="180">
        <v>8</v>
      </c>
      <c r="B27" s="20" t="s">
        <v>337</v>
      </c>
      <c r="C27" s="125">
        <v>2E-3</v>
      </c>
      <c r="D27" s="125">
        <v>2E-3</v>
      </c>
      <c r="E27" s="13">
        <f>цены!F39</f>
        <v>300</v>
      </c>
      <c r="F27" s="13">
        <f t="shared" si="2"/>
        <v>0.6</v>
      </c>
      <c r="G27" s="97">
        <f t="shared" si="0"/>
        <v>0.02</v>
      </c>
      <c r="H27" s="21">
        <f t="shared" si="0"/>
        <v>0.02</v>
      </c>
      <c r="I27" s="21">
        <f t="shared" si="1"/>
        <v>0.2</v>
      </c>
      <c r="J27" s="21">
        <f t="shared" si="1"/>
        <v>0.2</v>
      </c>
    </row>
    <row r="28" spans="1:10" s="10" customFormat="1" ht="14.1" customHeight="1" x14ac:dyDescent="0.25">
      <c r="A28" s="180">
        <v>9</v>
      </c>
      <c r="B28" s="20" t="s">
        <v>78</v>
      </c>
      <c r="C28" s="111">
        <v>2E-3</v>
      </c>
      <c r="D28" s="111">
        <v>2E-3</v>
      </c>
      <c r="E28" s="13">
        <f>цены!F48</f>
        <v>300</v>
      </c>
      <c r="F28" s="13">
        <f t="shared" si="2"/>
        <v>0.6</v>
      </c>
      <c r="G28" s="97">
        <f t="shared" si="0"/>
        <v>0.02</v>
      </c>
      <c r="H28" s="21">
        <f t="shared" si="0"/>
        <v>0.02</v>
      </c>
      <c r="I28" s="21">
        <f t="shared" si="1"/>
        <v>0.2</v>
      </c>
      <c r="J28" s="21">
        <f t="shared" si="1"/>
        <v>0.2</v>
      </c>
    </row>
    <row r="29" spans="1:10" s="10" customFormat="1" ht="12" customHeight="1" x14ac:dyDescent="0.25">
      <c r="A29" s="98"/>
      <c r="B29" s="93" t="s">
        <v>100</v>
      </c>
      <c r="C29" s="112"/>
      <c r="D29" s="112">
        <v>0.1</v>
      </c>
      <c r="E29" s="95"/>
      <c r="F29" s="95">
        <f>F19+F20+F21+F23+F24+F25+F26+F27+F28</f>
        <v>66.87</v>
      </c>
      <c r="G29" s="99"/>
      <c r="H29" s="100">
        <f>D29*10</f>
        <v>1</v>
      </c>
      <c r="I29" s="100"/>
      <c r="J29" s="100">
        <f>D29*100</f>
        <v>10</v>
      </c>
    </row>
    <row r="30" spans="1:10" s="10" customFormat="1" ht="26.4" customHeight="1" x14ac:dyDescent="0.25">
      <c r="A30" s="203"/>
      <c r="B30" s="204" t="s">
        <v>408</v>
      </c>
      <c r="C30" s="205"/>
      <c r="D30" s="205"/>
      <c r="E30" s="206"/>
      <c r="F30" s="206"/>
      <c r="G30" s="207"/>
      <c r="H30" s="208"/>
      <c r="I30" s="208"/>
      <c r="J30" s="208"/>
    </row>
    <row r="31" spans="1:10" s="10" customFormat="1" ht="14.4" customHeight="1" x14ac:dyDescent="0.25">
      <c r="A31" s="1536" t="s">
        <v>35</v>
      </c>
      <c r="B31" s="1536"/>
      <c r="C31" s="90"/>
      <c r="D31" s="90"/>
      <c r="E31" s="13"/>
      <c r="F31" s="13">
        <f>F29</f>
        <v>66.87</v>
      </c>
      <c r="G31" s="270"/>
      <c r="H31" s="270"/>
      <c r="I31" s="21"/>
      <c r="J31" s="13"/>
    </row>
    <row r="32" spans="1:10" s="10" customFormat="1" ht="25.35" customHeight="1" x14ac:dyDescent="0.25">
      <c r="A32" s="1536" t="s">
        <v>36</v>
      </c>
      <c r="B32" s="1536"/>
      <c r="C32" s="90">
        <v>100</v>
      </c>
      <c r="D32" s="90"/>
      <c r="E32" s="13"/>
      <c r="F32" s="13"/>
      <c r="G32" s="13"/>
      <c r="H32" s="13"/>
      <c r="I32" s="21"/>
      <c r="J32" s="17"/>
    </row>
    <row r="33" spans="1:10" s="10" customFormat="1" ht="25.35" customHeight="1" x14ac:dyDescent="0.25">
      <c r="A33" s="1537" t="s">
        <v>37</v>
      </c>
      <c r="B33" s="1538"/>
      <c r="C33" s="91">
        <v>50</v>
      </c>
      <c r="D33" s="92"/>
      <c r="E33" s="269"/>
      <c r="F33" s="269"/>
      <c r="G33" s="269"/>
      <c r="H33" s="269"/>
      <c r="I33" s="21"/>
      <c r="J33" s="17"/>
    </row>
    <row r="34" spans="1:10" s="10" customFormat="1" ht="15" customHeight="1" x14ac:dyDescent="0.25">
      <c r="A34" s="1539" t="s">
        <v>38</v>
      </c>
      <c r="B34" s="1540"/>
      <c r="C34" s="92">
        <f>C32/C33</f>
        <v>2</v>
      </c>
      <c r="D34" s="92"/>
      <c r="E34" s="269"/>
      <c r="F34" s="269"/>
      <c r="G34" s="269"/>
      <c r="H34" s="269"/>
      <c r="I34" s="21"/>
      <c r="J34" s="17"/>
    </row>
    <row r="35" spans="1:10" ht="16.350000000000001" customHeight="1" x14ac:dyDescent="0.25">
      <c r="A35" s="1541" t="s">
        <v>39</v>
      </c>
      <c r="B35" s="1542"/>
      <c r="C35" s="15" t="s">
        <v>40</v>
      </c>
      <c r="D35" s="102"/>
      <c r="E35" s="102" t="s">
        <v>40</v>
      </c>
      <c r="F35" s="16">
        <f>F31/C34</f>
        <v>33.44</v>
      </c>
      <c r="G35" s="16"/>
      <c r="H35" s="16"/>
      <c r="I35" s="102" t="s">
        <v>40</v>
      </c>
      <c r="J35" s="102" t="s">
        <v>40</v>
      </c>
    </row>
    <row r="36" spans="1:10" ht="23.1" customHeight="1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193"/>
      <c r="B37" s="1194" t="s">
        <v>49</v>
      </c>
      <c r="C37" s="1198"/>
      <c r="D37" s="1198"/>
      <c r="E37" s="1198"/>
      <c r="F37" s="1198"/>
      <c r="G37" s="1193"/>
      <c r="H37" s="1557">
        <f>'1-бутерброд с маслом'!$H$28</f>
        <v>0</v>
      </c>
      <c r="I37" s="1557"/>
      <c r="J37" s="1557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545" t="s">
        <v>327</v>
      </c>
      <c r="B39" s="1545"/>
      <c r="C39" s="1546" t="s">
        <v>328</v>
      </c>
      <c r="D39" s="1546"/>
      <c r="E39" s="1546"/>
      <c r="F39" s="1546"/>
      <c r="G39" s="106"/>
      <c r="H39" s="1531"/>
      <c r="I39" s="1531"/>
      <c r="J39" s="1531"/>
    </row>
    <row r="40" spans="1:10" x14ac:dyDescent="0.25">
      <c r="A40" s="1193"/>
      <c r="B40" s="1193"/>
      <c r="C40" s="1546"/>
      <c r="D40" s="1546"/>
      <c r="E40" s="1546"/>
      <c r="F40" s="1546"/>
      <c r="G40" s="1193"/>
      <c r="H40" s="1531" t="s">
        <v>329</v>
      </c>
      <c r="I40" s="1531"/>
      <c r="J40" s="1531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9:B39"/>
    <mergeCell ref="C39:F40"/>
    <mergeCell ref="H39:J39"/>
    <mergeCell ref="H40:J40"/>
    <mergeCell ref="A32:B32"/>
    <mergeCell ref="A33:B33"/>
    <mergeCell ref="A34:B34"/>
    <mergeCell ref="A35:B35"/>
    <mergeCell ref="H37:J37"/>
    <mergeCell ref="A31:B31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46"/>
  <sheetViews>
    <sheetView view="pageBreakPreview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467" customWidth="1"/>
    <col min="2" max="2" width="22.5546875" style="467" customWidth="1"/>
    <col min="3" max="7" width="7.5546875" style="467" customWidth="1"/>
    <col min="8" max="8" width="8.88671875" style="467" customWidth="1"/>
    <col min="9" max="9" width="7.5546875" style="467" customWidth="1"/>
    <col min="10" max="10" width="9" style="467" customWidth="1"/>
    <col min="11" max="11" width="3.33203125" style="467" customWidth="1"/>
    <col min="12" max="16384" width="8.88671875" style="46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169)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246</v>
      </c>
    </row>
    <row r="8" spans="1:10" s="2" customFormat="1" ht="9.6" customHeight="1" x14ac:dyDescent="0.25">
      <c r="A8" s="471"/>
      <c r="B8" s="471"/>
      <c r="C8" s="471"/>
      <c r="D8" s="471"/>
      <c r="E8" s="471"/>
      <c r="F8" s="471"/>
      <c r="G8" s="471"/>
      <c r="H8" s="471"/>
      <c r="I8" s="471"/>
      <c r="J8" s="109"/>
    </row>
    <row r="9" spans="1:10" s="2" customFormat="1" ht="26.1" customHeight="1" x14ac:dyDescent="0.3">
      <c r="A9" s="1550" t="s">
        <v>732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'245-бефстроганов (2)'!H14+1</f>
        <v>169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468" t="s">
        <v>92</v>
      </c>
      <c r="D17" s="468" t="s">
        <v>94</v>
      </c>
      <c r="E17" s="468" t="s">
        <v>93</v>
      </c>
      <c r="F17" s="468" t="s">
        <v>23</v>
      </c>
      <c r="G17" s="468" t="s">
        <v>92</v>
      </c>
      <c r="H17" s="468" t="s">
        <v>94</v>
      </c>
      <c r="I17" s="468" t="s">
        <v>92</v>
      </c>
      <c r="J17" s="468" t="s">
        <v>94</v>
      </c>
    </row>
    <row r="18" spans="1:10" ht="9.6" customHeight="1" x14ac:dyDescent="0.25">
      <c r="A18" s="468">
        <v>1</v>
      </c>
      <c r="B18" s="470">
        <v>2</v>
      </c>
      <c r="C18" s="468">
        <v>3</v>
      </c>
      <c r="D18" s="470">
        <v>4</v>
      </c>
      <c r="E18" s="468">
        <v>5</v>
      </c>
      <c r="F18" s="470">
        <v>6</v>
      </c>
      <c r="G18" s="468">
        <v>7</v>
      </c>
      <c r="H18" s="470">
        <v>8</v>
      </c>
      <c r="I18" s="468">
        <v>9</v>
      </c>
      <c r="J18" s="470">
        <v>10</v>
      </c>
    </row>
    <row r="19" spans="1:10" s="10" customFormat="1" ht="24" customHeight="1" x14ac:dyDescent="0.25">
      <c r="A19" s="180">
        <v>1</v>
      </c>
      <c r="B19" s="20" t="s">
        <v>397</v>
      </c>
      <c r="C19" s="111">
        <v>0.11</v>
      </c>
      <c r="D19" s="111">
        <v>8.1000000000000003E-2</v>
      </c>
      <c r="E19" s="408">
        <f>цены!F7</f>
        <v>560</v>
      </c>
      <c r="F19" s="408">
        <f>C19*E19</f>
        <v>61.6</v>
      </c>
      <c r="G19" s="97">
        <f t="shared" ref="G19:H30" si="0">C19*10</f>
        <v>1.1000000000000001</v>
      </c>
      <c r="H19" s="21">
        <f t="shared" si="0"/>
        <v>0.81</v>
      </c>
      <c r="I19" s="21">
        <f t="shared" ref="I19:J30" si="1">C19*100</f>
        <v>11</v>
      </c>
      <c r="J19" s="21">
        <f t="shared" si="1"/>
        <v>8.1</v>
      </c>
    </row>
    <row r="20" spans="1:10" s="10" customFormat="1" ht="14.1" customHeight="1" x14ac:dyDescent="0.25">
      <c r="A20" s="180">
        <v>2</v>
      </c>
      <c r="B20" s="20" t="s">
        <v>47</v>
      </c>
      <c r="C20" s="111">
        <v>3.0000000000000001E-3</v>
      </c>
      <c r="D20" s="111">
        <v>2E-3</v>
      </c>
      <c r="E20" s="408">
        <f>цены!F44</f>
        <v>50</v>
      </c>
      <c r="F20" s="408">
        <f t="shared" ref="F20:F27" si="2">C20*E20</f>
        <v>0.15</v>
      </c>
      <c r="G20" s="97">
        <f t="shared" si="0"/>
        <v>0.03</v>
      </c>
      <c r="H20" s="21">
        <f t="shared" si="0"/>
        <v>0.02</v>
      </c>
      <c r="I20" s="21">
        <f t="shared" si="1"/>
        <v>0.3</v>
      </c>
      <c r="J20" s="21">
        <f t="shared" si="1"/>
        <v>0.2</v>
      </c>
    </row>
    <row r="21" spans="1:10" s="10" customFormat="1" ht="14.1" customHeight="1" x14ac:dyDescent="0.25">
      <c r="A21" s="180">
        <v>3</v>
      </c>
      <c r="B21" s="20" t="s">
        <v>48</v>
      </c>
      <c r="C21" s="113">
        <v>2.5000000000000001E-3</v>
      </c>
      <c r="D21" s="113">
        <v>2E-3</v>
      </c>
      <c r="E21" s="408">
        <f>цены!F38</f>
        <v>50</v>
      </c>
      <c r="F21" s="408">
        <f t="shared" si="2"/>
        <v>0.13</v>
      </c>
      <c r="G21" s="97">
        <f t="shared" si="0"/>
        <v>2.5000000000000001E-2</v>
      </c>
      <c r="H21" s="21">
        <f t="shared" si="0"/>
        <v>0.02</v>
      </c>
      <c r="I21" s="21">
        <f t="shared" si="1"/>
        <v>0.25</v>
      </c>
      <c r="J21" s="21">
        <f t="shared" si="1"/>
        <v>0.2</v>
      </c>
    </row>
    <row r="22" spans="1:10" s="10" customFormat="1" ht="14.1" customHeight="1" x14ac:dyDescent="0.25">
      <c r="A22" s="184"/>
      <c r="B22" s="93" t="s">
        <v>175</v>
      </c>
      <c r="C22" s="112"/>
      <c r="D22" s="112">
        <v>0.05</v>
      </c>
      <c r="E22" s="95"/>
      <c r="F22" s="95">
        <f>SUM(F19:F21)</f>
        <v>61.88</v>
      </c>
      <c r="G22" s="99"/>
      <c r="H22" s="100">
        <f>D22*10</f>
        <v>0.5</v>
      </c>
      <c r="I22" s="100"/>
      <c r="J22" s="100">
        <f>D22*100</f>
        <v>5</v>
      </c>
    </row>
    <row r="23" spans="1:10" s="10" customFormat="1" ht="14.1" customHeight="1" x14ac:dyDescent="0.25">
      <c r="A23" s="180">
        <v>4</v>
      </c>
      <c r="B23" s="20" t="s">
        <v>47</v>
      </c>
      <c r="C23" s="111">
        <v>1.2500000000000001E-2</v>
      </c>
      <c r="D23" s="111">
        <v>0.01</v>
      </c>
      <c r="E23" s="408">
        <f>цены!F44</f>
        <v>50</v>
      </c>
      <c r="F23" s="408">
        <f t="shared" si="2"/>
        <v>0.63</v>
      </c>
      <c r="G23" s="97">
        <f t="shared" si="0"/>
        <v>0.125</v>
      </c>
      <c r="H23" s="21">
        <f t="shared" si="0"/>
        <v>0.1</v>
      </c>
      <c r="I23" s="21">
        <f t="shared" si="1"/>
        <v>1.25</v>
      </c>
      <c r="J23" s="21">
        <f t="shared" si="1"/>
        <v>1</v>
      </c>
    </row>
    <row r="24" spans="1:10" s="10" customFormat="1" ht="14.1" customHeight="1" x14ac:dyDescent="0.25">
      <c r="A24" s="180">
        <v>5</v>
      </c>
      <c r="B24" s="20" t="s">
        <v>74</v>
      </c>
      <c r="C24" s="111">
        <v>5.0000000000000001E-3</v>
      </c>
      <c r="D24" s="111">
        <v>5.0000000000000001E-3</v>
      </c>
      <c r="E24" s="408">
        <f>цены!F87</f>
        <v>120</v>
      </c>
      <c r="F24" s="408">
        <f t="shared" si="2"/>
        <v>0.6</v>
      </c>
      <c r="G24" s="97">
        <f t="shared" si="0"/>
        <v>0.05</v>
      </c>
      <c r="H24" s="21">
        <f t="shared" si="0"/>
        <v>0.05</v>
      </c>
      <c r="I24" s="21">
        <f t="shared" si="1"/>
        <v>0.5</v>
      </c>
      <c r="J24" s="21">
        <f t="shared" si="1"/>
        <v>0.5</v>
      </c>
    </row>
    <row r="25" spans="1:10" s="10" customFormat="1" ht="14.1" customHeight="1" x14ac:dyDescent="0.25">
      <c r="A25" s="180">
        <v>6</v>
      </c>
      <c r="B25" s="20" t="s">
        <v>48</v>
      </c>
      <c r="C25" s="111">
        <v>1.2E-2</v>
      </c>
      <c r="D25" s="111">
        <v>0.01</v>
      </c>
      <c r="E25" s="408">
        <f>цены!F38</f>
        <v>50</v>
      </c>
      <c r="F25" s="408">
        <f t="shared" si="2"/>
        <v>0.6</v>
      </c>
      <c r="G25" s="97">
        <f t="shared" si="0"/>
        <v>0.12</v>
      </c>
      <c r="H25" s="21">
        <f t="shared" si="0"/>
        <v>0.1</v>
      </c>
      <c r="I25" s="21">
        <f t="shared" si="1"/>
        <v>1.2</v>
      </c>
      <c r="J25" s="21">
        <f t="shared" si="1"/>
        <v>1</v>
      </c>
    </row>
    <row r="26" spans="1:10" s="10" customFormat="1" ht="14.1" customHeight="1" x14ac:dyDescent="0.25">
      <c r="A26" s="180">
        <v>7</v>
      </c>
      <c r="B26" s="20" t="s">
        <v>45</v>
      </c>
      <c r="C26" s="125">
        <v>2E-3</v>
      </c>
      <c r="D26" s="125">
        <v>2E-3</v>
      </c>
      <c r="E26" s="408">
        <f>цены!F74</f>
        <v>36</v>
      </c>
      <c r="F26" s="408">
        <f t="shared" si="2"/>
        <v>7.0000000000000007E-2</v>
      </c>
      <c r="G26" s="97">
        <f t="shared" si="0"/>
        <v>0.02</v>
      </c>
      <c r="H26" s="21">
        <f t="shared" si="0"/>
        <v>0.02</v>
      </c>
      <c r="I26" s="21">
        <f t="shared" si="1"/>
        <v>0.2</v>
      </c>
      <c r="J26" s="21">
        <f t="shared" si="1"/>
        <v>0.2</v>
      </c>
    </row>
    <row r="27" spans="1:10" s="10" customFormat="1" ht="14.1" customHeight="1" x14ac:dyDescent="0.25">
      <c r="A27" s="180">
        <v>8</v>
      </c>
      <c r="B27" s="20" t="s">
        <v>376</v>
      </c>
      <c r="C27" s="125">
        <v>1.2E-2</v>
      </c>
      <c r="D27" s="125">
        <v>0.01</v>
      </c>
      <c r="E27" s="408">
        <f>цены!F41</f>
        <v>106</v>
      </c>
      <c r="F27" s="408">
        <f t="shared" si="2"/>
        <v>1.27</v>
      </c>
      <c r="G27" s="97">
        <f t="shared" si="0"/>
        <v>0.12</v>
      </c>
      <c r="H27" s="21">
        <f t="shared" si="0"/>
        <v>0.1</v>
      </c>
      <c r="I27" s="21">
        <f t="shared" si="1"/>
        <v>1.2</v>
      </c>
      <c r="J27" s="21">
        <f t="shared" si="1"/>
        <v>1</v>
      </c>
    </row>
    <row r="28" spans="1:10" s="10" customFormat="1" ht="14.1" customHeight="1" x14ac:dyDescent="0.25">
      <c r="A28" s="180">
        <v>9</v>
      </c>
      <c r="B28" s="20" t="s">
        <v>33</v>
      </c>
      <c r="C28" s="111">
        <v>3.0000000000000001E-3</v>
      </c>
      <c r="D28" s="111">
        <v>3.0000000000000001E-3</v>
      </c>
      <c r="E28" s="408">
        <f>цены!F110</f>
        <v>24</v>
      </c>
      <c r="F28" s="408">
        <f>C28*E28</f>
        <v>7.0000000000000007E-2</v>
      </c>
      <c r="G28" s="97">
        <f>C28*10</f>
        <v>0.03</v>
      </c>
      <c r="H28" s="21">
        <f>D28*10</f>
        <v>0.03</v>
      </c>
      <c r="I28" s="21">
        <f>C28*100</f>
        <v>0.3</v>
      </c>
      <c r="J28" s="21">
        <f>D28*100</f>
        <v>0.3</v>
      </c>
    </row>
    <row r="29" spans="1:10" s="10" customFormat="1" ht="14.1" customHeight="1" x14ac:dyDescent="0.25">
      <c r="A29" s="180">
        <v>10</v>
      </c>
      <c r="B29" s="20" t="s">
        <v>84</v>
      </c>
      <c r="C29" s="113">
        <v>2.0000000000000002E-5</v>
      </c>
      <c r="D29" s="113">
        <v>2.0000000000000002E-5</v>
      </c>
      <c r="E29" s="408">
        <f>цены!F100</f>
        <v>1000</v>
      </c>
      <c r="F29" s="408">
        <f>C29*E29</f>
        <v>0.02</v>
      </c>
      <c r="G29" s="97">
        <f>C29*10</f>
        <v>0</v>
      </c>
      <c r="H29" s="21">
        <f>D29*10</f>
        <v>0</v>
      </c>
      <c r="I29" s="21">
        <f>C29*100</f>
        <v>2E-3</v>
      </c>
      <c r="J29" s="21">
        <f>D29*100</f>
        <v>2E-3</v>
      </c>
    </row>
    <row r="30" spans="1:10" s="10" customFormat="1" ht="14.1" customHeight="1" x14ac:dyDescent="0.25">
      <c r="A30" s="184"/>
      <c r="B30" s="93" t="s">
        <v>547</v>
      </c>
      <c r="C30" s="112"/>
      <c r="D30" s="112">
        <v>0.05</v>
      </c>
      <c r="E30" s="95"/>
      <c r="F30" s="95"/>
      <c r="G30" s="99">
        <f t="shared" si="0"/>
        <v>0</v>
      </c>
      <c r="H30" s="100">
        <f t="shared" si="0"/>
        <v>0.5</v>
      </c>
      <c r="I30" s="100">
        <f t="shared" si="1"/>
        <v>0</v>
      </c>
      <c r="J30" s="100">
        <f t="shared" si="1"/>
        <v>5</v>
      </c>
    </row>
    <row r="31" spans="1:10" s="10" customFormat="1" ht="12" customHeight="1" x14ac:dyDescent="0.25">
      <c r="A31" s="98"/>
      <c r="B31" s="93" t="s">
        <v>100</v>
      </c>
      <c r="C31" s="112"/>
      <c r="D31" s="112">
        <v>0.1</v>
      </c>
      <c r="E31" s="95"/>
      <c r="F31" s="95">
        <f>SUM(F22:F29)</f>
        <v>65.14</v>
      </c>
      <c r="G31" s="99"/>
      <c r="H31" s="100">
        <f>D31*10</f>
        <v>1</v>
      </c>
      <c r="I31" s="100"/>
      <c r="J31" s="100">
        <f>D31*100</f>
        <v>10</v>
      </c>
    </row>
    <row r="32" spans="1:10" s="10" customFormat="1" ht="26.4" customHeight="1" x14ac:dyDescent="0.25">
      <c r="A32" s="203"/>
      <c r="B32" s="204" t="s">
        <v>733</v>
      </c>
      <c r="C32" s="205"/>
      <c r="D32" s="205"/>
      <c r="E32" s="206"/>
      <c r="F32" s="206"/>
      <c r="G32" s="207"/>
      <c r="H32" s="208"/>
      <c r="I32" s="208"/>
      <c r="J32" s="208"/>
    </row>
    <row r="33" spans="1:10" s="10" customFormat="1" ht="14.4" customHeight="1" x14ac:dyDescent="0.25">
      <c r="A33" s="1536" t="s">
        <v>35</v>
      </c>
      <c r="B33" s="1536"/>
      <c r="C33" s="90"/>
      <c r="D33" s="90"/>
      <c r="E33" s="408"/>
      <c r="F33" s="408">
        <f>F31</f>
        <v>65.14</v>
      </c>
      <c r="G33" s="469"/>
      <c r="H33" s="469"/>
      <c r="I33" s="21"/>
      <c r="J33" s="408"/>
    </row>
    <row r="34" spans="1:10" s="10" customFormat="1" ht="25.35" customHeight="1" x14ac:dyDescent="0.25">
      <c r="A34" s="1536" t="s">
        <v>36</v>
      </c>
      <c r="B34" s="1536"/>
      <c r="C34" s="90">
        <v>100</v>
      </c>
      <c r="D34" s="90"/>
      <c r="E34" s="408"/>
      <c r="F34" s="408"/>
      <c r="G34" s="408"/>
      <c r="H34" s="408"/>
      <c r="I34" s="21"/>
      <c r="J34" s="17"/>
    </row>
    <row r="35" spans="1:10" s="10" customFormat="1" ht="25.35" customHeight="1" x14ac:dyDescent="0.25">
      <c r="A35" s="1537" t="s">
        <v>37</v>
      </c>
      <c r="B35" s="1538"/>
      <c r="C35" s="91">
        <v>100</v>
      </c>
      <c r="D35" s="92"/>
      <c r="E35" s="470"/>
      <c r="F35" s="470"/>
      <c r="G35" s="470"/>
      <c r="H35" s="470"/>
      <c r="I35" s="21"/>
      <c r="J35" s="17"/>
    </row>
    <row r="36" spans="1:10" s="10" customFormat="1" ht="15" customHeight="1" x14ac:dyDescent="0.25">
      <c r="A36" s="1539" t="s">
        <v>38</v>
      </c>
      <c r="B36" s="1540"/>
      <c r="C36" s="92">
        <v>1</v>
      </c>
      <c r="D36" s="92"/>
      <c r="E36" s="470"/>
      <c r="F36" s="470"/>
      <c r="G36" s="470"/>
      <c r="H36" s="470"/>
      <c r="I36" s="21"/>
      <c r="J36" s="17"/>
    </row>
    <row r="37" spans="1:10" ht="16.350000000000001" customHeight="1" x14ac:dyDescent="0.25">
      <c r="A37" s="1541" t="s">
        <v>39</v>
      </c>
      <c r="B37" s="1542"/>
      <c r="C37" s="15" t="s">
        <v>40</v>
      </c>
      <c r="D37" s="102"/>
      <c r="E37" s="102" t="s">
        <v>40</v>
      </c>
      <c r="F37" s="16">
        <f>F33/C36</f>
        <v>65.14</v>
      </c>
      <c r="G37" s="16"/>
      <c r="H37" s="16"/>
      <c r="I37" s="102" t="s">
        <v>40</v>
      </c>
      <c r="J37" s="102" t="s">
        <v>40</v>
      </c>
    </row>
    <row r="38" spans="1:10" ht="23.1" customHeight="1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193"/>
      <c r="B39" s="1194" t="s">
        <v>49</v>
      </c>
      <c r="C39" s="1198"/>
      <c r="D39" s="1198"/>
      <c r="E39" s="1198"/>
      <c r="F39" s="1198"/>
      <c r="G39" s="1193"/>
      <c r="H39" s="1557">
        <f>'1-бутерброд с маслом'!$H$28</f>
        <v>0</v>
      </c>
      <c r="I39" s="1557"/>
      <c r="J39" s="1557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ht="13.95" customHeight="1" x14ac:dyDescent="0.25">
      <c r="A41" s="1545" t="s">
        <v>327</v>
      </c>
      <c r="B41" s="1545"/>
      <c r="C41" s="1546" t="s">
        <v>328</v>
      </c>
      <c r="D41" s="1546"/>
      <c r="E41" s="1546"/>
      <c r="F41" s="1546"/>
      <c r="G41" s="106"/>
      <c r="H41" s="1531"/>
      <c r="I41" s="1531"/>
      <c r="J41" s="1531"/>
    </row>
    <row r="42" spans="1:10" ht="19.95" customHeight="1" x14ac:dyDescent="0.25">
      <c r="A42" s="1193"/>
      <c r="B42" s="1193"/>
      <c r="C42" s="1546"/>
      <c r="D42" s="1546"/>
      <c r="E42" s="1546"/>
      <c r="F42" s="1546"/>
      <c r="G42" s="1193"/>
      <c r="H42" s="1531" t="s">
        <v>329</v>
      </c>
      <c r="I42" s="1531"/>
      <c r="J42" s="1531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  <row r="45" spans="1:10" x14ac:dyDescent="0.25">
      <c r="A45" s="1193"/>
      <c r="B45" s="1193"/>
      <c r="C45" s="1193"/>
      <c r="D45" s="1193"/>
      <c r="E45" s="1193"/>
      <c r="F45" s="1193"/>
      <c r="G45" s="1193"/>
      <c r="H45" s="1193"/>
      <c r="I45" s="1193"/>
      <c r="J45" s="1193"/>
    </row>
    <row r="46" spans="1:10" x14ac:dyDescent="0.25">
      <c r="A46" s="1193"/>
      <c r="B46" s="1193"/>
      <c r="C46" s="1193"/>
      <c r="D46" s="1193"/>
      <c r="E46" s="1193"/>
      <c r="F46" s="1193"/>
      <c r="G46" s="1193"/>
      <c r="H46" s="1193"/>
      <c r="I46" s="1193"/>
      <c r="J46" s="1193"/>
    </row>
  </sheetData>
  <mergeCells count="28">
    <mergeCell ref="H39:J39"/>
    <mergeCell ref="A13:G13"/>
    <mergeCell ref="A34:B34"/>
    <mergeCell ref="A35:B35"/>
    <mergeCell ref="A36:B36"/>
    <mergeCell ref="A37:B37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1:B41"/>
    <mergeCell ref="C41:F42"/>
    <mergeCell ref="H41:J41"/>
    <mergeCell ref="H42:J42"/>
    <mergeCell ref="H5:I5"/>
    <mergeCell ref="A6:G6"/>
    <mergeCell ref="A7:I7"/>
    <mergeCell ref="A33:B33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43"/>
  <sheetViews>
    <sheetView view="pageBreakPreview" zoomScaleNormal="100" zoomScaleSheetLayoutView="100" workbookViewId="0">
      <selection activeCell="A10" sqref="A10:J10"/>
    </sheetView>
  </sheetViews>
  <sheetFormatPr defaultColWidth="8.88671875" defaultRowHeight="13.8" x14ac:dyDescent="0.25"/>
  <cols>
    <col min="1" max="1" width="4.109375" style="467" customWidth="1"/>
    <col min="2" max="2" width="22.5546875" style="467" customWidth="1"/>
    <col min="3" max="7" width="7.5546875" style="467" customWidth="1"/>
    <col min="8" max="8" width="8.88671875" style="467" customWidth="1"/>
    <col min="9" max="9" width="7.5546875" style="467" customWidth="1"/>
    <col min="10" max="10" width="9" style="467" customWidth="1"/>
    <col min="11" max="11" width="4.109375" style="467" customWidth="1"/>
    <col min="12" max="16384" width="8.88671875" style="46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номер)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247</v>
      </c>
    </row>
    <row r="8" spans="1:10" s="2" customFormat="1" ht="22.35" customHeight="1" x14ac:dyDescent="0.25">
      <c r="A8" s="471"/>
      <c r="B8" s="471"/>
      <c r="C8" s="471"/>
      <c r="D8" s="471"/>
      <c r="E8" s="471"/>
      <c r="F8" s="106" t="s">
        <v>1267</v>
      </c>
      <c r="G8" s="472"/>
      <c r="H8" s="465"/>
      <c r="I8" s="466"/>
      <c r="J8" s="466"/>
    </row>
    <row r="9" spans="1:10" s="2" customFormat="1" ht="9.6" customHeight="1" x14ac:dyDescent="0.25">
      <c r="A9" s="471"/>
      <c r="B9" s="471"/>
      <c r="C9" s="471"/>
      <c r="D9" s="471"/>
      <c r="E9" s="471"/>
      <c r="F9" s="471"/>
      <c r="G9" s="471"/>
      <c r="H9" s="471"/>
      <c r="I9" s="471"/>
      <c r="J9" s="109"/>
    </row>
    <row r="10" spans="1:10" s="2" customFormat="1" ht="26.1" customHeight="1" x14ac:dyDescent="0.3">
      <c r="A10" s="1550" t="s">
        <v>1271</v>
      </c>
      <c r="B10" s="1550"/>
      <c r="C10" s="1550"/>
      <c r="D10" s="1550"/>
      <c r="E10" s="1550"/>
      <c r="F10" s="1550"/>
      <c r="G10" s="1550"/>
      <c r="H10" s="1550"/>
      <c r="I10" s="1550"/>
      <c r="J10" s="1550"/>
    </row>
    <row r="11" spans="1:10" s="2" customFormat="1" ht="14.4" customHeight="1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</row>
    <row r="12" spans="1:10" ht="38.1" customHeight="1" x14ac:dyDescent="0.25">
      <c r="A12" s="1551" t="s">
        <v>86</v>
      </c>
      <c r="B12" s="1551"/>
      <c r="C12" s="1551"/>
      <c r="D12" s="1551"/>
      <c r="E12" s="1551"/>
      <c r="F12" s="1551"/>
      <c r="G12" s="1551"/>
      <c r="H12" s="1551"/>
      <c r="I12" s="1551"/>
      <c r="J12" s="1551"/>
    </row>
    <row r="13" spans="1:10" ht="9.6" customHeight="1" x14ac:dyDescent="0.25">
      <c r="A13" s="1193"/>
      <c r="B13" s="1193"/>
      <c r="C13" s="1193"/>
      <c r="D13" s="1193"/>
      <c r="E13" s="101"/>
      <c r="F13" s="101"/>
      <c r="G13" s="1193"/>
      <c r="H13" s="1193"/>
      <c r="I13" s="1193"/>
      <c r="J13" s="1193"/>
    </row>
    <row r="14" spans="1:10" s="1" customFormat="1" ht="19.350000000000001" customHeight="1" x14ac:dyDescent="0.3">
      <c r="A14" s="1519" t="s">
        <v>58</v>
      </c>
      <c r="B14" s="1519"/>
      <c r="C14" s="1519"/>
      <c r="D14" s="1519"/>
      <c r="E14" s="1519"/>
      <c r="F14" s="1519"/>
      <c r="G14" s="1520"/>
      <c r="H14" s="1199" t="s">
        <v>12</v>
      </c>
      <c r="I14" s="1549" t="s">
        <v>13</v>
      </c>
      <c r="J14" s="1549"/>
    </row>
    <row r="15" spans="1:10" s="1" customFormat="1" ht="15.75" customHeight="1" x14ac:dyDescent="0.25">
      <c r="C15" s="1552"/>
      <c r="D15" s="1552"/>
      <c r="E15" s="1552"/>
      <c r="F15" s="1552"/>
      <c r="G15" s="1553"/>
      <c r="H15" s="179">
        <f>'246-гуляш 150'!H14+1</f>
        <v>170</v>
      </c>
      <c r="I15" s="1534">
        <v>44986</v>
      </c>
      <c r="J15" s="1535"/>
    </row>
    <row r="16" spans="1:10" s="2" customFormat="1" ht="22.35" customHeight="1" x14ac:dyDescent="0.25">
      <c r="C16" s="6"/>
      <c r="D16" s="6"/>
      <c r="E16" s="6"/>
      <c r="F16" s="6"/>
      <c r="G16" s="6"/>
      <c r="H16" s="6"/>
      <c r="I16" s="6"/>
      <c r="J16" s="6"/>
    </row>
    <row r="17" spans="1:10" s="2" customFormat="1" ht="27" customHeight="1" x14ac:dyDescent="0.25">
      <c r="A17" s="1543" t="s">
        <v>19</v>
      </c>
      <c r="B17" s="1543" t="s">
        <v>90</v>
      </c>
      <c r="C17" s="1543" t="s">
        <v>88</v>
      </c>
      <c r="D17" s="1543"/>
      <c r="E17" s="1543"/>
      <c r="F17" s="1543"/>
      <c r="G17" s="1543" t="s">
        <v>89</v>
      </c>
      <c r="H17" s="1543"/>
      <c r="I17" s="1549" t="s">
        <v>91</v>
      </c>
      <c r="J17" s="1549"/>
    </row>
    <row r="18" spans="1:10" ht="26.4" customHeight="1" x14ac:dyDescent="0.25">
      <c r="A18" s="1543"/>
      <c r="B18" s="1543"/>
      <c r="C18" s="468" t="s">
        <v>92</v>
      </c>
      <c r="D18" s="468" t="s">
        <v>94</v>
      </c>
      <c r="E18" s="468" t="s">
        <v>93</v>
      </c>
      <c r="F18" s="468" t="s">
        <v>23</v>
      </c>
      <c r="G18" s="468" t="s">
        <v>92</v>
      </c>
      <c r="H18" s="468" t="s">
        <v>94</v>
      </c>
      <c r="I18" s="468" t="s">
        <v>92</v>
      </c>
      <c r="J18" s="468" t="s">
        <v>94</v>
      </c>
    </row>
    <row r="19" spans="1:10" ht="9.6" customHeight="1" x14ac:dyDescent="0.25">
      <c r="A19" s="468">
        <v>1</v>
      </c>
      <c r="B19" s="470">
        <v>2</v>
      </c>
      <c r="C19" s="468">
        <v>3</v>
      </c>
      <c r="D19" s="470">
        <v>4</v>
      </c>
      <c r="E19" s="468">
        <v>5</v>
      </c>
      <c r="F19" s="470">
        <v>6</v>
      </c>
      <c r="G19" s="468">
        <v>7</v>
      </c>
      <c r="H19" s="470">
        <v>8</v>
      </c>
      <c r="I19" s="468">
        <v>9</v>
      </c>
      <c r="J19" s="470">
        <v>10</v>
      </c>
    </row>
    <row r="20" spans="1:10" s="10" customFormat="1" ht="35.25" customHeight="1" x14ac:dyDescent="0.25">
      <c r="A20" s="180">
        <v>1</v>
      </c>
      <c r="B20" s="20" t="s">
        <v>734</v>
      </c>
      <c r="C20" s="111">
        <v>0.105</v>
      </c>
      <c r="D20" s="111">
        <v>7.6999999999999999E-2</v>
      </c>
      <c r="E20" s="408">
        <f>цены!F7</f>
        <v>560</v>
      </c>
      <c r="F20" s="408">
        <f t="shared" ref="F20:F25" si="0">C20*E20</f>
        <v>58.8</v>
      </c>
      <c r="G20" s="97">
        <f t="shared" ref="G20:H25" si="1">C20*10</f>
        <v>1.05</v>
      </c>
      <c r="H20" s="21">
        <f t="shared" si="1"/>
        <v>0.77</v>
      </c>
      <c r="I20" s="21">
        <f t="shared" ref="I20:J25" si="2">C20*100</f>
        <v>10.5</v>
      </c>
      <c r="J20" s="21">
        <f t="shared" si="2"/>
        <v>7.7</v>
      </c>
    </row>
    <row r="21" spans="1:10" s="10" customFormat="1" ht="14.1" customHeight="1" x14ac:dyDescent="0.25">
      <c r="A21" s="180">
        <v>2</v>
      </c>
      <c r="B21" s="20" t="s">
        <v>74</v>
      </c>
      <c r="C21" s="111">
        <v>2E-3</v>
      </c>
      <c r="D21" s="111">
        <v>2E-3</v>
      </c>
      <c r="E21" s="408">
        <f>цены!F87</f>
        <v>120</v>
      </c>
      <c r="F21" s="408">
        <f t="shared" si="0"/>
        <v>0.24</v>
      </c>
      <c r="G21" s="97">
        <f t="shared" si="1"/>
        <v>0.02</v>
      </c>
      <c r="H21" s="21">
        <f t="shared" si="1"/>
        <v>0.02</v>
      </c>
      <c r="I21" s="21">
        <f t="shared" si="2"/>
        <v>0.2</v>
      </c>
      <c r="J21" s="21">
        <f t="shared" si="2"/>
        <v>0.2</v>
      </c>
    </row>
    <row r="22" spans="1:10" s="10" customFormat="1" ht="14.1" customHeight="1" x14ac:dyDescent="0.25">
      <c r="A22" s="180">
        <v>3</v>
      </c>
      <c r="B22" s="20" t="s">
        <v>33</v>
      </c>
      <c r="C22" s="111">
        <v>3.0000000000000001E-3</v>
      </c>
      <c r="D22" s="111">
        <v>3.0000000000000001E-3</v>
      </c>
      <c r="E22" s="408">
        <f>цены!F110</f>
        <v>24</v>
      </c>
      <c r="F22" s="408">
        <f t="shared" si="0"/>
        <v>7.0000000000000007E-2</v>
      </c>
      <c r="G22" s="97">
        <f t="shared" si="1"/>
        <v>0.03</v>
      </c>
      <c r="H22" s="21">
        <f t="shared" si="1"/>
        <v>0.03</v>
      </c>
      <c r="I22" s="21">
        <f t="shared" si="2"/>
        <v>0.3</v>
      </c>
      <c r="J22" s="21">
        <f t="shared" si="2"/>
        <v>0.3</v>
      </c>
    </row>
    <row r="23" spans="1:10" s="10" customFormat="1" ht="14.1" customHeight="1" x14ac:dyDescent="0.25">
      <c r="A23" s="180">
        <v>4</v>
      </c>
      <c r="B23" s="20" t="s">
        <v>337</v>
      </c>
      <c r="C23" s="111">
        <v>2E-3</v>
      </c>
      <c r="D23" s="111">
        <v>2E-3</v>
      </c>
      <c r="E23" s="408">
        <f>цены!F39</f>
        <v>300</v>
      </c>
      <c r="F23" s="408">
        <f t="shared" si="0"/>
        <v>0.6</v>
      </c>
      <c r="G23" s="97">
        <f t="shared" si="1"/>
        <v>0.02</v>
      </c>
      <c r="H23" s="21">
        <f t="shared" si="1"/>
        <v>0.02</v>
      </c>
      <c r="I23" s="21">
        <f t="shared" si="2"/>
        <v>0.2</v>
      </c>
      <c r="J23" s="21">
        <f t="shared" si="2"/>
        <v>0.2</v>
      </c>
    </row>
    <row r="24" spans="1:10" s="10" customFormat="1" ht="14.1" customHeight="1" x14ac:dyDescent="0.25">
      <c r="A24" s="180">
        <v>5</v>
      </c>
      <c r="B24" s="20" t="s">
        <v>223</v>
      </c>
      <c r="C24" s="111">
        <v>2E-3</v>
      </c>
      <c r="D24" s="111">
        <v>2E-3</v>
      </c>
      <c r="E24" s="408">
        <f>цены!F48</f>
        <v>300</v>
      </c>
      <c r="F24" s="408">
        <f t="shared" si="0"/>
        <v>0.6</v>
      </c>
      <c r="G24" s="97">
        <f t="shared" si="1"/>
        <v>0.02</v>
      </c>
      <c r="H24" s="21">
        <f t="shared" si="1"/>
        <v>0.02</v>
      </c>
      <c r="I24" s="21">
        <f t="shared" si="2"/>
        <v>0.2</v>
      </c>
      <c r="J24" s="21">
        <f t="shared" si="2"/>
        <v>0.2</v>
      </c>
    </row>
    <row r="25" spans="1:10" s="10" customFormat="1" ht="14.1" customHeight="1" x14ac:dyDescent="0.25">
      <c r="A25" s="180">
        <v>6</v>
      </c>
      <c r="B25" s="20" t="s">
        <v>84</v>
      </c>
      <c r="C25" s="113">
        <v>2.0000000000000002E-5</v>
      </c>
      <c r="D25" s="113">
        <v>2.0000000000000002E-5</v>
      </c>
      <c r="E25" s="408">
        <f>цены!F100</f>
        <v>1000</v>
      </c>
      <c r="F25" s="408">
        <f t="shared" si="0"/>
        <v>0.02</v>
      </c>
      <c r="G25" s="97">
        <f t="shared" si="1"/>
        <v>0</v>
      </c>
      <c r="H25" s="21">
        <f t="shared" si="1"/>
        <v>0</v>
      </c>
      <c r="I25" s="21">
        <f t="shared" si="2"/>
        <v>2E-3</v>
      </c>
      <c r="J25" s="21">
        <f t="shared" si="2"/>
        <v>2E-3</v>
      </c>
    </row>
    <row r="26" spans="1:10" s="10" customFormat="1" ht="14.1" customHeight="1" x14ac:dyDescent="0.25">
      <c r="A26" s="184"/>
      <c r="B26" s="93" t="s">
        <v>735</v>
      </c>
      <c r="C26" s="112"/>
      <c r="D26" s="112">
        <v>0.05</v>
      </c>
      <c r="E26" s="95"/>
      <c r="F26" s="95">
        <f>SUM(F20:F25)</f>
        <v>60.33</v>
      </c>
      <c r="G26" s="99"/>
      <c r="H26" s="100">
        <f>D26*10</f>
        <v>0.5</v>
      </c>
      <c r="I26" s="100"/>
      <c r="J26" s="100">
        <f>D26*100</f>
        <v>5</v>
      </c>
    </row>
    <row r="27" spans="1:10" s="10" customFormat="1" ht="14.1" customHeight="1" x14ac:dyDescent="0.25">
      <c r="A27" s="180">
        <v>7</v>
      </c>
      <c r="B27" s="20" t="s">
        <v>736</v>
      </c>
      <c r="C27" s="111">
        <v>0.03</v>
      </c>
      <c r="D27" s="111">
        <v>0.03</v>
      </c>
      <c r="E27" s="408">
        <f>'326-соус молочный'!F31</f>
        <v>82</v>
      </c>
      <c r="F27" s="408">
        <f>C27*E27</f>
        <v>2.46</v>
      </c>
      <c r="G27" s="97">
        <f>C27*10</f>
        <v>0.3</v>
      </c>
      <c r="H27" s="21">
        <f>D27*10</f>
        <v>0.3</v>
      </c>
      <c r="I27" s="21">
        <f>C27*100</f>
        <v>3</v>
      </c>
      <c r="J27" s="21">
        <f>D27*100</f>
        <v>3</v>
      </c>
    </row>
    <row r="28" spans="1:10" s="10" customFormat="1" ht="12" customHeight="1" x14ac:dyDescent="0.25">
      <c r="A28" s="98"/>
      <c r="B28" s="93" t="s">
        <v>100</v>
      </c>
      <c r="C28" s="112"/>
      <c r="D28" s="112">
        <v>0.08</v>
      </c>
      <c r="E28" s="95"/>
      <c r="F28" s="95">
        <f>F26+F27</f>
        <v>62.79</v>
      </c>
      <c r="G28" s="99"/>
      <c r="H28" s="100">
        <f>D28*10</f>
        <v>0.8</v>
      </c>
      <c r="I28" s="100"/>
      <c r="J28" s="100">
        <f>D28*100</f>
        <v>8</v>
      </c>
    </row>
    <row r="29" spans="1:10" s="10" customFormat="1" ht="26.4" customHeight="1" x14ac:dyDescent="0.25">
      <c r="A29" s="203"/>
      <c r="B29" s="204" t="s">
        <v>737</v>
      </c>
      <c r="C29" s="205"/>
      <c r="D29" s="205"/>
      <c r="E29" s="206"/>
      <c r="F29" s="206"/>
      <c r="G29" s="207"/>
      <c r="H29" s="208"/>
      <c r="I29" s="208"/>
      <c r="J29" s="208"/>
    </row>
    <row r="30" spans="1:10" s="10" customFormat="1" ht="14.4" customHeight="1" x14ac:dyDescent="0.25">
      <c r="A30" s="1536" t="s">
        <v>35</v>
      </c>
      <c r="B30" s="1536"/>
      <c r="C30" s="90"/>
      <c r="D30" s="90"/>
      <c r="E30" s="408"/>
      <c r="F30" s="408">
        <f>F28</f>
        <v>62.79</v>
      </c>
      <c r="G30" s="469"/>
      <c r="H30" s="469"/>
      <c r="I30" s="21"/>
      <c r="J30" s="408"/>
    </row>
    <row r="31" spans="1:10" s="10" customFormat="1" ht="25.35" customHeight="1" x14ac:dyDescent="0.25">
      <c r="A31" s="1536" t="s">
        <v>36</v>
      </c>
      <c r="B31" s="1536"/>
      <c r="C31" s="90">
        <v>80</v>
      </c>
      <c r="D31" s="90"/>
      <c r="E31" s="408"/>
      <c r="F31" s="408"/>
      <c r="G31" s="408"/>
      <c r="H31" s="408"/>
      <c r="I31" s="21"/>
      <c r="J31" s="17"/>
    </row>
    <row r="32" spans="1:10" s="10" customFormat="1" ht="25.35" customHeight="1" x14ac:dyDescent="0.25">
      <c r="A32" s="1537" t="s">
        <v>37</v>
      </c>
      <c r="B32" s="1538"/>
      <c r="C32" s="91">
        <v>80</v>
      </c>
      <c r="D32" s="92"/>
      <c r="E32" s="470"/>
      <c r="F32" s="470"/>
      <c r="G32" s="470"/>
      <c r="H32" s="470"/>
      <c r="I32" s="21"/>
      <c r="J32" s="17"/>
    </row>
    <row r="33" spans="1:10" s="10" customFormat="1" ht="15" customHeight="1" x14ac:dyDescent="0.25">
      <c r="A33" s="1539" t="s">
        <v>38</v>
      </c>
      <c r="B33" s="1540"/>
      <c r="C33" s="92">
        <v>1</v>
      </c>
      <c r="D33" s="92"/>
      <c r="E33" s="470"/>
      <c r="F33" s="470"/>
      <c r="G33" s="470"/>
      <c r="H33" s="470"/>
      <c r="I33" s="21"/>
      <c r="J33" s="17"/>
    </row>
    <row r="34" spans="1:10" ht="16.350000000000001" customHeight="1" x14ac:dyDescent="0.25">
      <c r="A34" s="1541" t="s">
        <v>39</v>
      </c>
      <c r="B34" s="1542"/>
      <c r="C34" s="15" t="s">
        <v>40</v>
      </c>
      <c r="D34" s="102"/>
      <c r="E34" s="102" t="s">
        <v>40</v>
      </c>
      <c r="F34" s="16">
        <f>F30/C33</f>
        <v>62.79</v>
      </c>
      <c r="G34" s="16"/>
      <c r="H34" s="16"/>
      <c r="I34" s="102" t="s">
        <v>40</v>
      </c>
      <c r="J34" s="102" t="s">
        <v>40</v>
      </c>
    </row>
    <row r="35" spans="1:10" ht="23.1" customHeight="1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193"/>
      <c r="B36" s="1194" t="s">
        <v>49</v>
      </c>
      <c r="C36" s="1198"/>
      <c r="D36" s="1198"/>
      <c r="E36" s="1198"/>
      <c r="F36" s="1198"/>
      <c r="G36" s="1193"/>
      <c r="H36" s="1557">
        <f>'1-бутерброд с маслом'!$H$28</f>
        <v>0</v>
      </c>
      <c r="I36" s="1557"/>
      <c r="J36" s="1557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545" t="s">
        <v>327</v>
      </c>
      <c r="B38" s="1545"/>
      <c r="C38" s="1546" t="s">
        <v>328</v>
      </c>
      <c r="D38" s="1546"/>
      <c r="E38" s="1546"/>
      <c r="F38" s="1546"/>
      <c r="G38" s="106"/>
      <c r="H38" s="1531"/>
      <c r="I38" s="1531"/>
      <c r="J38" s="1531"/>
    </row>
    <row r="39" spans="1:10" ht="19.95" customHeight="1" x14ac:dyDescent="0.25">
      <c r="A39" s="1193"/>
      <c r="B39" s="1193"/>
      <c r="C39" s="1546"/>
      <c r="D39" s="1546"/>
      <c r="E39" s="1546"/>
      <c r="F39" s="1546"/>
      <c r="G39" s="1193"/>
      <c r="H39" s="1531" t="s">
        <v>329</v>
      </c>
      <c r="I39" s="1531"/>
      <c r="J39" s="1531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</sheetData>
  <mergeCells count="28">
    <mergeCell ref="A14:G14"/>
    <mergeCell ref="H39:J39"/>
    <mergeCell ref="A31:B31"/>
    <mergeCell ref="A32:B32"/>
    <mergeCell ref="A33:B33"/>
    <mergeCell ref="A34:B34"/>
    <mergeCell ref="H36:J36"/>
    <mergeCell ref="A17:A18"/>
    <mergeCell ref="B17:B18"/>
    <mergeCell ref="C17:F17"/>
    <mergeCell ref="G17:H17"/>
    <mergeCell ref="I17:J17"/>
    <mergeCell ref="G1:J1"/>
    <mergeCell ref="G2:J2"/>
    <mergeCell ref="G3:J3"/>
    <mergeCell ref="A5:G5"/>
    <mergeCell ref="A38:B38"/>
    <mergeCell ref="C38:F39"/>
    <mergeCell ref="H38:J38"/>
    <mergeCell ref="H5:I5"/>
    <mergeCell ref="A6:G6"/>
    <mergeCell ref="A7:I7"/>
    <mergeCell ref="A30:B30"/>
    <mergeCell ref="A10:J10"/>
    <mergeCell ref="A12:J12"/>
    <mergeCell ref="I14:J14"/>
    <mergeCell ref="C15:G15"/>
    <mergeCell ref="I15:J15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42"/>
  <sheetViews>
    <sheetView view="pageBreakPreview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486" customWidth="1"/>
    <col min="2" max="2" width="22.5546875" style="486" customWidth="1"/>
    <col min="3" max="7" width="7.5546875" style="486" customWidth="1"/>
    <col min="8" max="8" width="8.88671875" style="486" customWidth="1"/>
    <col min="9" max="9" width="7.5546875" style="486" customWidth="1"/>
    <col min="10" max="10" width="9" style="486" customWidth="1"/>
    <col min="11" max="11" width="4.109375" style="486" customWidth="1"/>
    <col min="12" max="16384" width="8.88671875" style="486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171)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247</v>
      </c>
    </row>
    <row r="8" spans="1:10" s="2" customFormat="1" ht="9.6" customHeight="1" x14ac:dyDescent="0.25">
      <c r="A8" s="487"/>
      <c r="B8" s="487"/>
      <c r="C8" s="487"/>
      <c r="D8" s="487"/>
      <c r="E8" s="487"/>
      <c r="F8" s="487"/>
      <c r="G8" s="487"/>
      <c r="H8" s="487"/>
      <c r="I8" s="487"/>
      <c r="J8" s="109"/>
    </row>
    <row r="9" spans="1:10" s="2" customFormat="1" ht="26.1" customHeight="1" x14ac:dyDescent="0.3">
      <c r="A9" s="1550" t="s">
        <v>1272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'247-мясо крупное'!H15+1</f>
        <v>171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488" t="s">
        <v>92</v>
      </c>
      <c r="D17" s="488" t="s">
        <v>94</v>
      </c>
      <c r="E17" s="488" t="s">
        <v>93</v>
      </c>
      <c r="F17" s="488" t="s">
        <v>23</v>
      </c>
      <c r="G17" s="488" t="s">
        <v>92</v>
      </c>
      <c r="H17" s="488" t="s">
        <v>94</v>
      </c>
      <c r="I17" s="488" t="s">
        <v>92</v>
      </c>
      <c r="J17" s="488" t="s">
        <v>94</v>
      </c>
    </row>
    <row r="18" spans="1:10" ht="9.6" customHeight="1" x14ac:dyDescent="0.25">
      <c r="A18" s="488">
        <v>1</v>
      </c>
      <c r="B18" s="489">
        <v>2</v>
      </c>
      <c r="C18" s="488">
        <v>3</v>
      </c>
      <c r="D18" s="489">
        <v>4</v>
      </c>
      <c r="E18" s="488">
        <v>5</v>
      </c>
      <c r="F18" s="489">
        <v>6</v>
      </c>
      <c r="G18" s="488">
        <v>7</v>
      </c>
      <c r="H18" s="489">
        <v>8</v>
      </c>
      <c r="I18" s="488">
        <v>9</v>
      </c>
      <c r="J18" s="489">
        <v>10</v>
      </c>
    </row>
    <row r="19" spans="1:10" s="10" customFormat="1" ht="35.25" customHeight="1" x14ac:dyDescent="0.25">
      <c r="A19" s="180">
        <v>1</v>
      </c>
      <c r="B19" s="20" t="s">
        <v>734</v>
      </c>
      <c r="C19" s="111">
        <v>5.2999999999999999E-2</v>
      </c>
      <c r="D19" s="111">
        <v>3.9E-2</v>
      </c>
      <c r="E19" s="408">
        <f>цены!F7</f>
        <v>560</v>
      </c>
      <c r="F19" s="408">
        <f>C19*E19</f>
        <v>29.68</v>
      </c>
      <c r="G19" s="97">
        <f t="shared" ref="G19:H26" si="0">C19*10</f>
        <v>0.53</v>
      </c>
      <c r="H19" s="21">
        <f t="shared" si="0"/>
        <v>0.39</v>
      </c>
      <c r="I19" s="21">
        <f t="shared" ref="I19:J26" si="1">C19*100</f>
        <v>5.3</v>
      </c>
      <c r="J19" s="21">
        <f t="shared" si="1"/>
        <v>3.9</v>
      </c>
    </row>
    <row r="20" spans="1:10" s="10" customFormat="1" ht="14.1" customHeight="1" x14ac:dyDescent="0.25">
      <c r="A20" s="180">
        <v>2</v>
      </c>
      <c r="B20" s="20" t="s">
        <v>74</v>
      </c>
      <c r="C20" s="111">
        <v>2E-3</v>
      </c>
      <c r="D20" s="111">
        <v>2E-3</v>
      </c>
      <c r="E20" s="408">
        <f>цены!F87</f>
        <v>120</v>
      </c>
      <c r="F20" s="408">
        <f t="shared" ref="F20:F26" si="2">C20*E20</f>
        <v>0.24</v>
      </c>
      <c r="G20" s="97">
        <f t="shared" si="0"/>
        <v>0.02</v>
      </c>
      <c r="H20" s="21">
        <f t="shared" si="0"/>
        <v>0.02</v>
      </c>
      <c r="I20" s="21">
        <f t="shared" si="1"/>
        <v>0.2</v>
      </c>
      <c r="J20" s="21">
        <f t="shared" si="1"/>
        <v>0.2</v>
      </c>
    </row>
    <row r="21" spans="1:10" s="10" customFormat="1" ht="14.1" customHeight="1" x14ac:dyDescent="0.25">
      <c r="A21" s="180">
        <v>3</v>
      </c>
      <c r="B21" s="20" t="s">
        <v>33</v>
      </c>
      <c r="C21" s="111">
        <v>3.0000000000000001E-3</v>
      </c>
      <c r="D21" s="111">
        <v>3.0000000000000001E-3</v>
      </c>
      <c r="E21" s="408">
        <f>цены!F110</f>
        <v>24</v>
      </c>
      <c r="F21" s="408">
        <f t="shared" si="2"/>
        <v>7.0000000000000007E-2</v>
      </c>
      <c r="G21" s="97">
        <f t="shared" si="0"/>
        <v>0.03</v>
      </c>
      <c r="H21" s="21">
        <f t="shared" si="0"/>
        <v>0.03</v>
      </c>
      <c r="I21" s="21">
        <f t="shared" si="1"/>
        <v>0.3</v>
      </c>
      <c r="J21" s="21">
        <f t="shared" si="1"/>
        <v>0.3</v>
      </c>
    </row>
    <row r="22" spans="1:10" s="10" customFormat="1" ht="14.1" customHeight="1" x14ac:dyDescent="0.25">
      <c r="A22" s="180">
        <v>4</v>
      </c>
      <c r="B22" s="20" t="s">
        <v>337</v>
      </c>
      <c r="C22" s="111">
        <v>2E-3</v>
      </c>
      <c r="D22" s="111">
        <v>2E-3</v>
      </c>
      <c r="E22" s="408">
        <f>цены!F39</f>
        <v>300</v>
      </c>
      <c r="F22" s="408">
        <f t="shared" si="2"/>
        <v>0.6</v>
      </c>
      <c r="G22" s="97">
        <f t="shared" si="0"/>
        <v>0.02</v>
      </c>
      <c r="H22" s="21">
        <f t="shared" si="0"/>
        <v>0.02</v>
      </c>
      <c r="I22" s="21">
        <f t="shared" si="1"/>
        <v>0.2</v>
      </c>
      <c r="J22" s="21">
        <f t="shared" si="1"/>
        <v>0.2</v>
      </c>
    </row>
    <row r="23" spans="1:10" s="10" customFormat="1" ht="14.1" customHeight="1" x14ac:dyDescent="0.25">
      <c r="A23" s="180">
        <v>5</v>
      </c>
      <c r="B23" s="20" t="s">
        <v>223</v>
      </c>
      <c r="C23" s="111">
        <v>2E-3</v>
      </c>
      <c r="D23" s="111">
        <v>2E-3</v>
      </c>
      <c r="E23" s="408">
        <f>цены!F48</f>
        <v>300</v>
      </c>
      <c r="F23" s="408">
        <f t="shared" si="2"/>
        <v>0.6</v>
      </c>
      <c r="G23" s="97">
        <f t="shared" si="0"/>
        <v>0.02</v>
      </c>
      <c r="H23" s="21">
        <f t="shared" si="0"/>
        <v>0.02</v>
      </c>
      <c r="I23" s="21">
        <f t="shared" si="1"/>
        <v>0.2</v>
      </c>
      <c r="J23" s="21">
        <f t="shared" si="1"/>
        <v>0.2</v>
      </c>
    </row>
    <row r="24" spans="1:10" s="10" customFormat="1" ht="14.1" customHeight="1" x14ac:dyDescent="0.25">
      <c r="A24" s="180">
        <v>6</v>
      </c>
      <c r="B24" s="20" t="s">
        <v>84</v>
      </c>
      <c r="C24" s="113">
        <v>2.0000000000000002E-5</v>
      </c>
      <c r="D24" s="113">
        <v>2.0000000000000002E-5</v>
      </c>
      <c r="E24" s="408">
        <f>цены!F100</f>
        <v>1000</v>
      </c>
      <c r="F24" s="408">
        <f t="shared" si="2"/>
        <v>0.02</v>
      </c>
      <c r="G24" s="97">
        <f t="shared" si="0"/>
        <v>0</v>
      </c>
      <c r="H24" s="21">
        <f t="shared" si="0"/>
        <v>0</v>
      </c>
      <c r="I24" s="21">
        <f t="shared" si="1"/>
        <v>2E-3</v>
      </c>
      <c r="J24" s="21">
        <f t="shared" si="1"/>
        <v>2E-3</v>
      </c>
    </row>
    <row r="25" spans="1:10" s="10" customFormat="1" ht="14.1" customHeight="1" x14ac:dyDescent="0.25">
      <c r="A25" s="184"/>
      <c r="B25" s="93" t="s">
        <v>735</v>
      </c>
      <c r="C25" s="112"/>
      <c r="D25" s="112">
        <v>2.5000000000000001E-2</v>
      </c>
      <c r="E25" s="95"/>
      <c r="F25" s="95">
        <f>SUM(F19:F24)</f>
        <v>31.21</v>
      </c>
      <c r="G25" s="99"/>
      <c r="H25" s="100">
        <f>D25*10</f>
        <v>0.25</v>
      </c>
      <c r="I25" s="100"/>
      <c r="J25" s="100">
        <f>D25*100</f>
        <v>2.5</v>
      </c>
    </row>
    <row r="26" spans="1:10" s="10" customFormat="1" ht="14.1" customHeight="1" x14ac:dyDescent="0.25">
      <c r="A26" s="180">
        <v>7</v>
      </c>
      <c r="B26" s="20" t="s">
        <v>736</v>
      </c>
      <c r="C26" s="111">
        <v>0.05</v>
      </c>
      <c r="D26" s="111">
        <v>0.05</v>
      </c>
      <c r="E26" s="408">
        <f>'326-соус молочный'!F31</f>
        <v>82</v>
      </c>
      <c r="F26" s="408">
        <f t="shared" si="2"/>
        <v>4.0999999999999996</v>
      </c>
      <c r="G26" s="97">
        <f t="shared" si="0"/>
        <v>0.5</v>
      </c>
      <c r="H26" s="21">
        <f t="shared" si="0"/>
        <v>0.5</v>
      </c>
      <c r="I26" s="21">
        <f t="shared" si="1"/>
        <v>5</v>
      </c>
      <c r="J26" s="21">
        <f t="shared" si="1"/>
        <v>5</v>
      </c>
    </row>
    <row r="27" spans="1:10" s="10" customFormat="1" ht="12" customHeight="1" x14ac:dyDescent="0.25">
      <c r="A27" s="98"/>
      <c r="B27" s="93" t="s">
        <v>100</v>
      </c>
      <c r="C27" s="112"/>
      <c r="D27" s="112">
        <v>0.75</v>
      </c>
      <c r="E27" s="95"/>
      <c r="F27" s="95">
        <f>F25+F26</f>
        <v>35.31</v>
      </c>
      <c r="G27" s="99"/>
      <c r="H27" s="100">
        <f>D27*10</f>
        <v>7.5</v>
      </c>
      <c r="I27" s="100"/>
      <c r="J27" s="100">
        <f>D27*100</f>
        <v>75</v>
      </c>
    </row>
    <row r="28" spans="1:10" s="10" customFormat="1" ht="26.4" customHeight="1" x14ac:dyDescent="0.25">
      <c r="A28" s="203"/>
      <c r="B28" s="204" t="s">
        <v>737</v>
      </c>
      <c r="C28" s="205"/>
      <c r="D28" s="205"/>
      <c r="E28" s="206"/>
      <c r="F28" s="206"/>
      <c r="G28" s="207"/>
      <c r="H28" s="208"/>
      <c r="I28" s="208"/>
      <c r="J28" s="208"/>
    </row>
    <row r="29" spans="1:10" s="10" customFormat="1" ht="14.4" customHeight="1" x14ac:dyDescent="0.25">
      <c r="A29" s="1536" t="s">
        <v>35</v>
      </c>
      <c r="B29" s="1536"/>
      <c r="C29" s="90"/>
      <c r="D29" s="90"/>
      <c r="E29" s="408"/>
      <c r="F29" s="408">
        <f>F27</f>
        <v>35.31</v>
      </c>
      <c r="G29" s="490"/>
      <c r="H29" s="490"/>
      <c r="I29" s="21"/>
      <c r="J29" s="408"/>
    </row>
    <row r="30" spans="1:10" s="10" customFormat="1" ht="25.35" customHeight="1" x14ac:dyDescent="0.25">
      <c r="A30" s="1536" t="s">
        <v>36</v>
      </c>
      <c r="B30" s="1536"/>
      <c r="C30" s="90">
        <v>75</v>
      </c>
      <c r="D30" s="90"/>
      <c r="E30" s="408"/>
      <c r="F30" s="408"/>
      <c r="G30" s="408"/>
      <c r="H30" s="408"/>
      <c r="I30" s="21"/>
      <c r="J30" s="17"/>
    </row>
    <row r="31" spans="1:10" s="10" customFormat="1" ht="25.35" customHeight="1" x14ac:dyDescent="0.25">
      <c r="A31" s="1537" t="s">
        <v>37</v>
      </c>
      <c r="B31" s="1538"/>
      <c r="C31" s="91">
        <v>75</v>
      </c>
      <c r="D31" s="92"/>
      <c r="E31" s="489"/>
      <c r="F31" s="489"/>
      <c r="G31" s="489"/>
      <c r="H31" s="489"/>
      <c r="I31" s="21"/>
      <c r="J31" s="17"/>
    </row>
    <row r="32" spans="1:10" s="10" customFormat="1" ht="15" customHeight="1" x14ac:dyDescent="0.25">
      <c r="A32" s="1539" t="s">
        <v>38</v>
      </c>
      <c r="B32" s="1540"/>
      <c r="C32" s="92">
        <v>1</v>
      </c>
      <c r="D32" s="92"/>
      <c r="E32" s="489"/>
      <c r="F32" s="489"/>
      <c r="G32" s="489"/>
      <c r="H32" s="489"/>
      <c r="I32" s="21"/>
      <c r="J32" s="17"/>
    </row>
    <row r="33" spans="1:10" ht="16.350000000000001" customHeight="1" x14ac:dyDescent="0.25">
      <c r="A33" s="1541" t="s">
        <v>39</v>
      </c>
      <c r="B33" s="1542"/>
      <c r="C33" s="15" t="s">
        <v>40</v>
      </c>
      <c r="D33" s="102"/>
      <c r="E33" s="102" t="s">
        <v>40</v>
      </c>
      <c r="F33" s="16">
        <f>F29/C32</f>
        <v>35.31</v>
      </c>
      <c r="G33" s="16"/>
      <c r="H33" s="16"/>
      <c r="I33" s="102" t="s">
        <v>40</v>
      </c>
      <c r="J33" s="102" t="s">
        <v>40</v>
      </c>
    </row>
    <row r="34" spans="1:10" ht="23.1" customHeight="1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193"/>
      <c r="B35" s="1194" t="s">
        <v>49</v>
      </c>
      <c r="C35" s="1198"/>
      <c r="D35" s="1198"/>
      <c r="E35" s="1198"/>
      <c r="F35" s="1198"/>
      <c r="G35" s="1193"/>
      <c r="H35" s="1557">
        <f>'1-бутерброд с маслом'!$H$28</f>
        <v>0</v>
      </c>
      <c r="I35" s="1557"/>
      <c r="J35" s="1557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545" t="s">
        <v>327</v>
      </c>
      <c r="B37" s="1545"/>
      <c r="C37" s="1546" t="s">
        <v>328</v>
      </c>
      <c r="D37" s="1546"/>
      <c r="E37" s="1546"/>
      <c r="F37" s="1546"/>
      <c r="G37" s="106"/>
      <c r="H37" s="1531"/>
      <c r="I37" s="1531"/>
      <c r="J37" s="1531"/>
    </row>
    <row r="38" spans="1:10" ht="21" customHeight="1" x14ac:dyDescent="0.25">
      <c r="A38" s="1193"/>
      <c r="B38" s="1193"/>
      <c r="C38" s="1546"/>
      <c r="D38" s="1546"/>
      <c r="E38" s="1546"/>
      <c r="F38" s="1546"/>
      <c r="G38" s="1193"/>
      <c r="H38" s="1531" t="s">
        <v>329</v>
      </c>
      <c r="I38" s="1531"/>
      <c r="J38" s="1531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7:B37"/>
    <mergeCell ref="C37:F38"/>
    <mergeCell ref="H37:J37"/>
    <mergeCell ref="H38:J38"/>
    <mergeCell ref="A30:B30"/>
    <mergeCell ref="A31:B31"/>
    <mergeCell ref="A32:B32"/>
    <mergeCell ref="A33:B33"/>
    <mergeCell ref="H35:J35"/>
    <mergeCell ref="A29:B29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41"/>
  <sheetViews>
    <sheetView view="pageBreakPreview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467" customWidth="1"/>
    <col min="2" max="2" width="22.5546875" style="467" customWidth="1"/>
    <col min="3" max="7" width="7.5546875" style="467" customWidth="1"/>
    <col min="8" max="8" width="8.88671875" style="467" customWidth="1"/>
    <col min="9" max="9" width="7.5546875" style="467" customWidth="1"/>
    <col min="10" max="10" width="9" style="467" customWidth="1"/>
    <col min="11" max="11" width="4" style="467" customWidth="1"/>
    <col min="12" max="16384" width="8.88671875" style="46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172)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249</v>
      </c>
    </row>
    <row r="8" spans="1:10" s="2" customFormat="1" ht="9.6" customHeight="1" x14ac:dyDescent="0.25">
      <c r="A8" s="471"/>
      <c r="B8" s="471"/>
      <c r="C8" s="471"/>
      <c r="D8" s="471"/>
      <c r="E8" s="471"/>
      <c r="F8" s="471"/>
      <c r="G8" s="471"/>
      <c r="H8" s="471"/>
      <c r="I8" s="471"/>
      <c r="J8" s="109"/>
    </row>
    <row r="9" spans="1:10" s="2" customFormat="1" ht="26.1" customHeight="1" x14ac:dyDescent="0.3">
      <c r="A9" s="1550" t="s">
        <v>739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'247-мясо крупное (2)'!H14+1</f>
        <v>172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468" t="s">
        <v>92</v>
      </c>
      <c r="D17" s="468" t="s">
        <v>94</v>
      </c>
      <c r="E17" s="468" t="s">
        <v>93</v>
      </c>
      <c r="F17" s="468" t="s">
        <v>23</v>
      </c>
      <c r="G17" s="468" t="s">
        <v>92</v>
      </c>
      <c r="H17" s="468" t="s">
        <v>94</v>
      </c>
      <c r="I17" s="468" t="s">
        <v>92</v>
      </c>
      <c r="J17" s="468" t="s">
        <v>94</v>
      </c>
    </row>
    <row r="18" spans="1:10" ht="9.6" customHeight="1" x14ac:dyDescent="0.25">
      <c r="A18" s="468">
        <v>1</v>
      </c>
      <c r="B18" s="470">
        <v>2</v>
      </c>
      <c r="C18" s="468">
        <v>3</v>
      </c>
      <c r="D18" s="470">
        <v>4</v>
      </c>
      <c r="E18" s="468">
        <v>5</v>
      </c>
      <c r="F18" s="470">
        <v>6</v>
      </c>
      <c r="G18" s="468">
        <v>7</v>
      </c>
      <c r="H18" s="470">
        <v>8</v>
      </c>
      <c r="I18" s="468">
        <v>9</v>
      </c>
      <c r="J18" s="470">
        <v>10</v>
      </c>
    </row>
    <row r="19" spans="1:10" s="10" customFormat="1" ht="35.25" customHeight="1" x14ac:dyDescent="0.25">
      <c r="A19" s="180">
        <v>1</v>
      </c>
      <c r="B19" s="20" t="s">
        <v>740</v>
      </c>
      <c r="C19" s="111">
        <v>0.109</v>
      </c>
      <c r="D19" s="111">
        <v>0.08</v>
      </c>
      <c r="E19" s="408">
        <f>цены!F7</f>
        <v>560</v>
      </c>
      <c r="F19" s="408">
        <f t="shared" ref="F19:F24" si="0">C19*E19</f>
        <v>61.04</v>
      </c>
      <c r="G19" s="97">
        <f t="shared" ref="G19:H24" si="1">C19*10</f>
        <v>1.0900000000000001</v>
      </c>
      <c r="H19" s="21">
        <f t="shared" si="1"/>
        <v>0.8</v>
      </c>
      <c r="I19" s="21">
        <f t="shared" ref="I19:J24" si="2">C19*100</f>
        <v>10.9</v>
      </c>
      <c r="J19" s="21">
        <f t="shared" si="2"/>
        <v>8</v>
      </c>
    </row>
    <row r="20" spans="1:10" s="10" customFormat="1" ht="14.1" customHeight="1" x14ac:dyDescent="0.25">
      <c r="A20" s="180">
        <v>2</v>
      </c>
      <c r="B20" s="20" t="s">
        <v>74</v>
      </c>
      <c r="C20" s="111">
        <v>5.0000000000000001E-3</v>
      </c>
      <c r="D20" s="111">
        <v>5.0000000000000001E-3</v>
      </c>
      <c r="E20" s="408">
        <f>цены!F87</f>
        <v>120</v>
      </c>
      <c r="F20" s="408">
        <f t="shared" si="0"/>
        <v>0.6</v>
      </c>
      <c r="G20" s="97">
        <f t="shared" si="1"/>
        <v>0.05</v>
      </c>
      <c r="H20" s="21">
        <f t="shared" si="1"/>
        <v>0.05</v>
      </c>
      <c r="I20" s="21">
        <f t="shared" si="2"/>
        <v>0.5</v>
      </c>
      <c r="J20" s="21">
        <f t="shared" si="2"/>
        <v>0.5</v>
      </c>
    </row>
    <row r="21" spans="1:10" s="10" customFormat="1" ht="14.1" customHeight="1" x14ac:dyDescent="0.25">
      <c r="A21" s="180">
        <v>3</v>
      </c>
      <c r="B21" s="20" t="s">
        <v>33</v>
      </c>
      <c r="C21" s="111">
        <v>3.0000000000000001E-3</v>
      </c>
      <c r="D21" s="111">
        <v>3.0000000000000001E-3</v>
      </c>
      <c r="E21" s="408">
        <f>цены!F110</f>
        <v>24</v>
      </c>
      <c r="F21" s="408">
        <f t="shared" si="0"/>
        <v>7.0000000000000007E-2</v>
      </c>
      <c r="G21" s="97">
        <f t="shared" si="1"/>
        <v>0.03</v>
      </c>
      <c r="H21" s="21">
        <f t="shared" si="1"/>
        <v>0.03</v>
      </c>
      <c r="I21" s="21">
        <f t="shared" si="2"/>
        <v>0.3</v>
      </c>
      <c r="J21" s="21">
        <f t="shared" si="2"/>
        <v>0.3</v>
      </c>
    </row>
    <row r="22" spans="1:10" s="10" customFormat="1" ht="14.1" customHeight="1" x14ac:dyDescent="0.25">
      <c r="A22" s="180">
        <v>4</v>
      </c>
      <c r="B22" s="20" t="s">
        <v>337</v>
      </c>
      <c r="C22" s="111">
        <v>2E-3</v>
      </c>
      <c r="D22" s="111">
        <v>2E-3</v>
      </c>
      <c r="E22" s="408">
        <f>цены!F39</f>
        <v>300</v>
      </c>
      <c r="F22" s="408">
        <f t="shared" si="0"/>
        <v>0.6</v>
      </c>
      <c r="G22" s="97">
        <f t="shared" si="1"/>
        <v>0.02</v>
      </c>
      <c r="H22" s="21">
        <f t="shared" si="1"/>
        <v>0.02</v>
      </c>
      <c r="I22" s="21">
        <f t="shared" si="2"/>
        <v>0.2</v>
      </c>
      <c r="J22" s="21">
        <f t="shared" si="2"/>
        <v>0.2</v>
      </c>
    </row>
    <row r="23" spans="1:10" s="10" customFormat="1" ht="14.1" customHeight="1" x14ac:dyDescent="0.25">
      <c r="A23" s="180">
        <v>5</v>
      </c>
      <c r="B23" s="20" t="s">
        <v>223</v>
      </c>
      <c r="C23" s="111">
        <v>2E-3</v>
      </c>
      <c r="D23" s="111">
        <v>2E-3</v>
      </c>
      <c r="E23" s="408">
        <f>цены!F48</f>
        <v>300</v>
      </c>
      <c r="F23" s="408">
        <f t="shared" si="0"/>
        <v>0.6</v>
      </c>
      <c r="G23" s="97">
        <f t="shared" si="1"/>
        <v>0.02</v>
      </c>
      <c r="H23" s="21">
        <f t="shared" si="1"/>
        <v>0.02</v>
      </c>
      <c r="I23" s="21">
        <f t="shared" si="2"/>
        <v>0.2</v>
      </c>
      <c r="J23" s="21">
        <f t="shared" si="2"/>
        <v>0.2</v>
      </c>
    </row>
    <row r="24" spans="1:10" s="10" customFormat="1" ht="14.1" customHeight="1" x14ac:dyDescent="0.25">
      <c r="A24" s="180">
        <v>6</v>
      </c>
      <c r="B24" s="20" t="s">
        <v>84</v>
      </c>
      <c r="C24" s="113">
        <v>2.0000000000000002E-5</v>
      </c>
      <c r="D24" s="113">
        <v>2.0000000000000002E-5</v>
      </c>
      <c r="E24" s="408">
        <f>цены!F100</f>
        <v>1000</v>
      </c>
      <c r="F24" s="408">
        <f t="shared" si="0"/>
        <v>0.02</v>
      </c>
      <c r="G24" s="97">
        <f t="shared" si="1"/>
        <v>0</v>
      </c>
      <c r="H24" s="21">
        <f t="shared" si="1"/>
        <v>0</v>
      </c>
      <c r="I24" s="21">
        <f t="shared" si="2"/>
        <v>2E-3</v>
      </c>
      <c r="J24" s="21">
        <f t="shared" si="2"/>
        <v>2E-3</v>
      </c>
    </row>
    <row r="25" spans="1:10" s="10" customFormat="1" ht="14.1" customHeight="1" x14ac:dyDescent="0.25">
      <c r="A25" s="184"/>
      <c r="B25" s="93" t="s">
        <v>741</v>
      </c>
      <c r="C25" s="112"/>
      <c r="D25" s="112">
        <v>0.05</v>
      </c>
      <c r="E25" s="95"/>
      <c r="F25" s="95"/>
      <c r="G25" s="99"/>
      <c r="H25" s="100">
        <f>D25*10</f>
        <v>0.5</v>
      </c>
      <c r="I25" s="100"/>
      <c r="J25" s="100">
        <f>D25*100</f>
        <v>5</v>
      </c>
    </row>
    <row r="26" spans="1:10" s="10" customFormat="1" ht="12" customHeight="1" x14ac:dyDescent="0.25">
      <c r="A26" s="98"/>
      <c r="B26" s="93" t="s">
        <v>100</v>
      </c>
      <c r="C26" s="112"/>
      <c r="D26" s="112">
        <v>0.05</v>
      </c>
      <c r="E26" s="95"/>
      <c r="F26" s="95">
        <f>SUM(F19:F24)</f>
        <v>62.93</v>
      </c>
      <c r="G26" s="99"/>
      <c r="H26" s="100">
        <f>D26*10</f>
        <v>0.5</v>
      </c>
      <c r="I26" s="100"/>
      <c r="J26" s="100">
        <f>D26*100</f>
        <v>5</v>
      </c>
    </row>
    <row r="27" spans="1:10" s="10" customFormat="1" ht="26.4" customHeight="1" x14ac:dyDescent="0.25">
      <c r="A27" s="203"/>
      <c r="B27" s="204" t="s">
        <v>742</v>
      </c>
      <c r="C27" s="205"/>
      <c r="D27" s="205"/>
      <c r="E27" s="206"/>
      <c r="F27" s="206"/>
      <c r="G27" s="207"/>
      <c r="H27" s="208"/>
      <c r="I27" s="208"/>
      <c r="J27" s="208"/>
    </row>
    <row r="28" spans="1:10" s="10" customFormat="1" ht="14.4" customHeight="1" x14ac:dyDescent="0.25">
      <c r="A28" s="1536" t="s">
        <v>35</v>
      </c>
      <c r="B28" s="1536"/>
      <c r="C28" s="90"/>
      <c r="D28" s="90"/>
      <c r="E28" s="408"/>
      <c r="F28" s="408">
        <f>F26</f>
        <v>62.93</v>
      </c>
      <c r="G28" s="469"/>
      <c r="H28" s="469"/>
      <c r="I28" s="21"/>
      <c r="J28" s="408"/>
    </row>
    <row r="29" spans="1:10" s="10" customFormat="1" ht="25.35" customHeight="1" x14ac:dyDescent="0.25">
      <c r="A29" s="1536" t="s">
        <v>36</v>
      </c>
      <c r="B29" s="1536"/>
      <c r="C29" s="90">
        <v>100</v>
      </c>
      <c r="D29" s="90"/>
      <c r="E29" s="408"/>
      <c r="F29" s="408"/>
      <c r="G29" s="408"/>
      <c r="H29" s="408"/>
      <c r="I29" s="21"/>
      <c r="J29" s="17"/>
    </row>
    <row r="30" spans="1:10" s="10" customFormat="1" ht="25.35" customHeight="1" x14ac:dyDescent="0.25">
      <c r="A30" s="1537" t="s">
        <v>37</v>
      </c>
      <c r="B30" s="1538"/>
      <c r="C30" s="91">
        <v>100</v>
      </c>
      <c r="D30" s="92"/>
      <c r="E30" s="470"/>
      <c r="F30" s="470"/>
      <c r="G30" s="470"/>
      <c r="H30" s="470"/>
      <c r="I30" s="21"/>
      <c r="J30" s="17"/>
    </row>
    <row r="31" spans="1:10" s="10" customFormat="1" ht="15" customHeight="1" x14ac:dyDescent="0.25">
      <c r="A31" s="1539" t="s">
        <v>38</v>
      </c>
      <c r="B31" s="1540"/>
      <c r="C31" s="92">
        <v>1</v>
      </c>
      <c r="D31" s="92"/>
      <c r="E31" s="470"/>
      <c r="F31" s="470"/>
      <c r="G31" s="470"/>
      <c r="H31" s="470"/>
      <c r="I31" s="21"/>
      <c r="J31" s="17"/>
    </row>
    <row r="32" spans="1:10" ht="16.350000000000001" customHeight="1" x14ac:dyDescent="0.25">
      <c r="A32" s="1541" t="s">
        <v>39</v>
      </c>
      <c r="B32" s="1542"/>
      <c r="C32" s="15" t="s">
        <v>40</v>
      </c>
      <c r="D32" s="102"/>
      <c r="E32" s="102" t="s">
        <v>40</v>
      </c>
      <c r="F32" s="16">
        <f>F28/C31</f>
        <v>62.93</v>
      </c>
      <c r="G32" s="16"/>
      <c r="H32" s="16"/>
      <c r="I32" s="102" t="s">
        <v>40</v>
      </c>
      <c r="J32" s="102" t="s">
        <v>40</v>
      </c>
    </row>
    <row r="33" spans="1:10" ht="23.1" customHeight="1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193"/>
      <c r="B34" s="1194" t="s">
        <v>49</v>
      </c>
      <c r="C34" s="1198"/>
      <c r="D34" s="1198"/>
      <c r="E34" s="1198"/>
      <c r="F34" s="1198"/>
      <c r="G34" s="1193"/>
      <c r="H34" s="1557">
        <f>'1-бутерброд с маслом'!$H$28</f>
        <v>0</v>
      </c>
      <c r="I34" s="1557"/>
      <c r="J34" s="1557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545" t="s">
        <v>327</v>
      </c>
      <c r="B36" s="1545"/>
      <c r="C36" s="1546" t="s">
        <v>328</v>
      </c>
      <c r="D36" s="1546"/>
      <c r="E36" s="1546"/>
      <c r="F36" s="1546"/>
      <c r="G36" s="106"/>
      <c r="H36" s="1531"/>
      <c r="I36" s="1531"/>
      <c r="J36" s="1531"/>
    </row>
    <row r="37" spans="1:10" ht="22.2" customHeight="1" x14ac:dyDescent="0.25">
      <c r="A37" s="1193"/>
      <c r="B37" s="1193"/>
      <c r="C37" s="1546"/>
      <c r="D37" s="1546"/>
      <c r="E37" s="1546"/>
      <c r="F37" s="1546"/>
      <c r="G37" s="1193"/>
      <c r="H37" s="1531" t="s">
        <v>329</v>
      </c>
      <c r="I37" s="1531"/>
      <c r="J37" s="1531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</sheetData>
  <mergeCells count="28">
    <mergeCell ref="H34:J34"/>
    <mergeCell ref="A13:G13"/>
    <mergeCell ref="A29:B29"/>
    <mergeCell ref="A30:B30"/>
    <mergeCell ref="A31:B31"/>
    <mergeCell ref="A32:B32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6:B36"/>
    <mergeCell ref="C36:F37"/>
    <mergeCell ref="H36:J36"/>
    <mergeCell ref="H37:J37"/>
    <mergeCell ref="H5:I5"/>
    <mergeCell ref="A6:G6"/>
    <mergeCell ref="A7:I7"/>
    <mergeCell ref="A28:B28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44"/>
  <sheetViews>
    <sheetView view="pageBreakPreview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467" customWidth="1"/>
    <col min="2" max="2" width="22.5546875" style="467" customWidth="1"/>
    <col min="3" max="7" width="7.5546875" style="467" customWidth="1"/>
    <col min="8" max="8" width="8.88671875" style="467" customWidth="1"/>
    <col min="9" max="9" width="7.5546875" style="467" customWidth="1"/>
    <col min="10" max="10" width="9" style="467" customWidth="1"/>
    <col min="11" max="11" width="4.6640625" style="467" customWidth="1"/>
    <col min="12" max="16384" width="8.88671875" style="46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173)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250</v>
      </c>
    </row>
    <row r="8" spans="1:10" s="2" customFormat="1" ht="9.6" customHeight="1" x14ac:dyDescent="0.25">
      <c r="A8" s="471"/>
      <c r="B8" s="471"/>
      <c r="C8" s="471"/>
      <c r="D8" s="471"/>
      <c r="E8" s="471"/>
      <c r="F8" s="471"/>
      <c r="G8" s="471"/>
      <c r="H8" s="471"/>
      <c r="I8" s="471"/>
      <c r="J8" s="109"/>
    </row>
    <row r="9" spans="1:10" s="2" customFormat="1" ht="26.1" customHeight="1" x14ac:dyDescent="0.3">
      <c r="A9" s="1550" t="s">
        <v>743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'249-антрекот'!H14+1</f>
        <v>173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468" t="s">
        <v>92</v>
      </c>
      <c r="D17" s="468" t="s">
        <v>94</v>
      </c>
      <c r="E17" s="468" t="s">
        <v>93</v>
      </c>
      <c r="F17" s="468" t="s">
        <v>23</v>
      </c>
      <c r="G17" s="468" t="s">
        <v>92</v>
      </c>
      <c r="H17" s="468" t="s">
        <v>94</v>
      </c>
      <c r="I17" s="468" t="s">
        <v>92</v>
      </c>
      <c r="J17" s="468" t="s">
        <v>94</v>
      </c>
    </row>
    <row r="18" spans="1:10" ht="9.6" customHeight="1" x14ac:dyDescent="0.25">
      <c r="A18" s="468">
        <v>1</v>
      </c>
      <c r="B18" s="470">
        <v>2</v>
      </c>
      <c r="C18" s="468">
        <v>3</v>
      </c>
      <c r="D18" s="470">
        <v>4</v>
      </c>
      <c r="E18" s="468">
        <v>5</v>
      </c>
      <c r="F18" s="470">
        <v>6</v>
      </c>
      <c r="G18" s="468">
        <v>7</v>
      </c>
      <c r="H18" s="470">
        <v>8</v>
      </c>
      <c r="I18" s="468">
        <v>9</v>
      </c>
      <c r="J18" s="470">
        <v>10</v>
      </c>
    </row>
    <row r="19" spans="1:10" s="10" customFormat="1" ht="35.25" customHeight="1" x14ac:dyDescent="0.25">
      <c r="A19" s="180">
        <v>1</v>
      </c>
      <c r="B19" s="20" t="s">
        <v>744</v>
      </c>
      <c r="C19" s="21">
        <v>0.107</v>
      </c>
      <c r="D19" s="21">
        <v>7.9000000000000001E-2</v>
      </c>
      <c r="E19" s="408">
        <f>цены!F7</f>
        <v>560</v>
      </c>
      <c r="F19" s="408">
        <f>C19*E19</f>
        <v>59.92</v>
      </c>
      <c r="G19" s="97">
        <f t="shared" ref="G19:H30" si="0">C19*10</f>
        <v>1.07</v>
      </c>
      <c r="H19" s="21">
        <f t="shared" si="0"/>
        <v>0.79</v>
      </c>
      <c r="I19" s="21">
        <f t="shared" ref="I19:J30" si="1">C19*100</f>
        <v>10.7</v>
      </c>
      <c r="J19" s="21">
        <f t="shared" si="1"/>
        <v>7.9</v>
      </c>
    </row>
    <row r="20" spans="1:10" s="10" customFormat="1" ht="14.1" customHeight="1" x14ac:dyDescent="0.25">
      <c r="A20" s="180">
        <v>2</v>
      </c>
      <c r="B20" s="20" t="s">
        <v>48</v>
      </c>
      <c r="C20" s="21">
        <v>2.9000000000000001E-2</v>
      </c>
      <c r="D20" s="21">
        <v>2.4E-2</v>
      </c>
      <c r="E20" s="408">
        <f>цены!F38</f>
        <v>50</v>
      </c>
      <c r="F20" s="408">
        <f t="shared" ref="F20:F30" si="2">C20*E20</f>
        <v>1.45</v>
      </c>
      <c r="G20" s="97">
        <f t="shared" si="0"/>
        <v>0.28999999999999998</v>
      </c>
      <c r="H20" s="21">
        <f t="shared" si="0"/>
        <v>0.24</v>
      </c>
      <c r="I20" s="21">
        <f t="shared" si="1"/>
        <v>2.9</v>
      </c>
      <c r="J20" s="21">
        <f t="shared" si="1"/>
        <v>2.4</v>
      </c>
    </row>
    <row r="21" spans="1:10" s="10" customFormat="1" ht="14.1" customHeight="1" x14ac:dyDescent="0.25">
      <c r="A21" s="180">
        <v>3</v>
      </c>
      <c r="B21" s="20" t="s">
        <v>74</v>
      </c>
      <c r="C21" s="21">
        <v>7.0000000000000001E-3</v>
      </c>
      <c r="D21" s="21">
        <v>7.0000000000000001E-3</v>
      </c>
      <c r="E21" s="408">
        <f>цены!F87</f>
        <v>120</v>
      </c>
      <c r="F21" s="408">
        <f>C21*E21</f>
        <v>0.84</v>
      </c>
      <c r="G21" s="97">
        <f>C21*10</f>
        <v>7.0000000000000007E-2</v>
      </c>
      <c r="H21" s="21">
        <f>D21*10</f>
        <v>7.0000000000000007E-2</v>
      </c>
      <c r="I21" s="21">
        <f>C21*100</f>
        <v>0.7</v>
      </c>
      <c r="J21" s="21">
        <f>D21*100</f>
        <v>0.7</v>
      </c>
    </row>
    <row r="22" spans="1:10" s="10" customFormat="1" ht="14.1" customHeight="1" x14ac:dyDescent="0.25">
      <c r="A22" s="184"/>
      <c r="B22" s="93" t="s">
        <v>359</v>
      </c>
      <c r="C22" s="112"/>
      <c r="D22" s="112">
        <v>1.2E-2</v>
      </c>
      <c r="E22" s="95"/>
      <c r="F22" s="95"/>
      <c r="G22" s="99"/>
      <c r="H22" s="100">
        <f>D22*10</f>
        <v>0.12</v>
      </c>
      <c r="I22" s="100"/>
      <c r="J22" s="100">
        <f>D22*100</f>
        <v>1.2</v>
      </c>
    </row>
    <row r="23" spans="1:10" s="10" customFormat="1" ht="14.1" customHeight="1" x14ac:dyDescent="0.25">
      <c r="A23" s="180">
        <v>4</v>
      </c>
      <c r="B23" s="20" t="s">
        <v>45</v>
      </c>
      <c r="C23" s="111">
        <v>4.0000000000000001E-3</v>
      </c>
      <c r="D23" s="111">
        <v>4.0000000000000001E-3</v>
      </c>
      <c r="E23" s="408">
        <f>цены!F74</f>
        <v>36</v>
      </c>
      <c r="F23" s="408">
        <f t="shared" si="2"/>
        <v>0.14000000000000001</v>
      </c>
      <c r="G23" s="97">
        <f t="shared" si="0"/>
        <v>0.04</v>
      </c>
      <c r="H23" s="21">
        <f t="shared" si="0"/>
        <v>0.04</v>
      </c>
      <c r="I23" s="21">
        <f t="shared" si="1"/>
        <v>0.4</v>
      </c>
      <c r="J23" s="21">
        <f t="shared" si="1"/>
        <v>0.4</v>
      </c>
    </row>
    <row r="24" spans="1:10" s="10" customFormat="1" ht="14.1" customHeight="1" x14ac:dyDescent="0.25">
      <c r="A24" s="180">
        <v>5</v>
      </c>
      <c r="B24" s="20" t="s">
        <v>51</v>
      </c>
      <c r="C24" s="111">
        <v>2.3E-2</v>
      </c>
      <c r="D24" s="111">
        <v>2.3E-2</v>
      </c>
      <c r="E24" s="408">
        <f>цены!F24</f>
        <v>234</v>
      </c>
      <c r="F24" s="408">
        <f t="shared" si="2"/>
        <v>5.38</v>
      </c>
      <c r="G24" s="97">
        <f t="shared" si="0"/>
        <v>0.23</v>
      </c>
      <c r="H24" s="21">
        <f t="shared" si="0"/>
        <v>0.23</v>
      </c>
      <c r="I24" s="21">
        <f t="shared" si="1"/>
        <v>2.2999999999999998</v>
      </c>
      <c r="J24" s="21">
        <f t="shared" si="1"/>
        <v>2.2999999999999998</v>
      </c>
    </row>
    <row r="25" spans="1:10" s="10" customFormat="1" ht="14.1" customHeight="1" x14ac:dyDescent="0.25">
      <c r="A25" s="184"/>
      <c r="B25" s="93" t="s">
        <v>735</v>
      </c>
      <c r="C25" s="112"/>
      <c r="D25" s="112">
        <v>0.05</v>
      </c>
      <c r="E25" s="95"/>
      <c r="F25" s="95"/>
      <c r="G25" s="99"/>
      <c r="H25" s="100">
        <f>D25*10</f>
        <v>0.5</v>
      </c>
      <c r="I25" s="100"/>
      <c r="J25" s="100">
        <f>D25*100</f>
        <v>5</v>
      </c>
    </row>
    <row r="26" spans="1:10" s="10" customFormat="1" ht="21.6" customHeight="1" x14ac:dyDescent="0.25">
      <c r="A26" s="184"/>
      <c r="B26" s="93" t="s">
        <v>745</v>
      </c>
      <c r="C26" s="112"/>
      <c r="D26" s="112">
        <v>0.05</v>
      </c>
      <c r="E26" s="95"/>
      <c r="F26" s="95"/>
      <c r="G26" s="99"/>
      <c r="H26" s="100"/>
      <c r="I26" s="100"/>
      <c r="J26" s="100"/>
    </row>
    <row r="27" spans="1:10" s="10" customFormat="1" ht="13.95" customHeight="1" x14ac:dyDescent="0.25">
      <c r="A27" s="129">
        <v>6</v>
      </c>
      <c r="B27" s="123" t="s">
        <v>33</v>
      </c>
      <c r="C27" s="111">
        <v>3.0000000000000001E-3</v>
      </c>
      <c r="D27" s="111">
        <v>3.0000000000000001E-3</v>
      </c>
      <c r="E27" s="408">
        <f>цены!F110</f>
        <v>24</v>
      </c>
      <c r="F27" s="408">
        <f>C27*E27</f>
        <v>7.0000000000000007E-2</v>
      </c>
      <c r="G27" s="97">
        <f>C27*10</f>
        <v>0.03</v>
      </c>
      <c r="H27" s="21">
        <f>D27*10</f>
        <v>0.03</v>
      </c>
      <c r="I27" s="21">
        <f>C27*100</f>
        <v>0.3</v>
      </c>
      <c r="J27" s="21">
        <f>D27*100</f>
        <v>0.3</v>
      </c>
    </row>
    <row r="28" spans="1:10" s="10" customFormat="1" ht="14.1" customHeight="1" x14ac:dyDescent="0.25">
      <c r="A28" s="180">
        <v>7</v>
      </c>
      <c r="B28" s="20" t="s">
        <v>84</v>
      </c>
      <c r="C28" s="125">
        <v>2.0000000000000002E-5</v>
      </c>
      <c r="D28" s="125">
        <v>2.0000000000000002E-5</v>
      </c>
      <c r="E28" s="408">
        <f>цены!F100</f>
        <v>1000</v>
      </c>
      <c r="F28" s="408">
        <f t="shared" si="2"/>
        <v>0.02</v>
      </c>
      <c r="G28" s="97">
        <f t="shared" si="0"/>
        <v>0</v>
      </c>
      <c r="H28" s="21">
        <f t="shared" si="0"/>
        <v>0</v>
      </c>
      <c r="I28" s="21">
        <f t="shared" si="1"/>
        <v>2E-3</v>
      </c>
      <c r="J28" s="21">
        <f t="shared" si="1"/>
        <v>2E-3</v>
      </c>
    </row>
    <row r="29" spans="1:10" s="10" customFormat="1" ht="14.1" customHeight="1" x14ac:dyDescent="0.25">
      <c r="A29" s="180">
        <v>8</v>
      </c>
      <c r="B29" s="20" t="s">
        <v>337</v>
      </c>
      <c r="C29" s="125">
        <v>2E-3</v>
      </c>
      <c r="D29" s="125">
        <v>2E-3</v>
      </c>
      <c r="E29" s="408">
        <f>цены!F39</f>
        <v>300</v>
      </c>
      <c r="F29" s="408">
        <f t="shared" si="2"/>
        <v>0.6</v>
      </c>
      <c r="G29" s="97">
        <f t="shared" si="0"/>
        <v>0.02</v>
      </c>
      <c r="H29" s="21">
        <f t="shared" si="0"/>
        <v>0.02</v>
      </c>
      <c r="I29" s="21">
        <f t="shared" si="1"/>
        <v>0.2</v>
      </c>
      <c r="J29" s="21">
        <f t="shared" si="1"/>
        <v>0.2</v>
      </c>
    </row>
    <row r="30" spans="1:10" s="10" customFormat="1" ht="14.1" customHeight="1" x14ac:dyDescent="0.25">
      <c r="A30" s="180">
        <v>9</v>
      </c>
      <c r="B30" s="20" t="s">
        <v>78</v>
      </c>
      <c r="C30" s="111">
        <v>2E-3</v>
      </c>
      <c r="D30" s="111">
        <v>2E-3</v>
      </c>
      <c r="E30" s="408">
        <f>цены!F48</f>
        <v>300</v>
      </c>
      <c r="F30" s="408">
        <f t="shared" si="2"/>
        <v>0.6</v>
      </c>
      <c r="G30" s="97">
        <f t="shared" si="0"/>
        <v>0.02</v>
      </c>
      <c r="H30" s="21">
        <f t="shared" si="0"/>
        <v>0.02</v>
      </c>
      <c r="I30" s="21">
        <f t="shared" si="1"/>
        <v>0.2</v>
      </c>
      <c r="J30" s="21">
        <f t="shared" si="1"/>
        <v>0.2</v>
      </c>
    </row>
    <row r="31" spans="1:10" s="10" customFormat="1" ht="14.1" customHeight="1" x14ac:dyDescent="0.25">
      <c r="A31" s="416"/>
      <c r="B31" s="230"/>
      <c r="C31" s="191"/>
      <c r="D31" s="191"/>
      <c r="E31" s="192"/>
      <c r="F31" s="192"/>
      <c r="G31" s="231"/>
      <c r="H31" s="232"/>
      <c r="I31" s="232"/>
      <c r="J31" s="232"/>
    </row>
    <row r="32" spans="1:10" s="10" customFormat="1" ht="12" customHeight="1" x14ac:dyDescent="0.25">
      <c r="A32" s="98"/>
      <c r="B32" s="93" t="s">
        <v>100</v>
      </c>
      <c r="C32" s="112"/>
      <c r="D32" s="112">
        <v>0.1</v>
      </c>
      <c r="E32" s="95"/>
      <c r="F32" s="95">
        <f>SUM(F19:F30)</f>
        <v>69.02</v>
      </c>
      <c r="G32" s="99"/>
      <c r="H32" s="100">
        <f>D32*10</f>
        <v>1</v>
      </c>
      <c r="I32" s="100"/>
      <c r="J32" s="100">
        <f>D32*100</f>
        <v>10</v>
      </c>
    </row>
    <row r="33" spans="1:10" s="10" customFormat="1" ht="17.399999999999999" customHeight="1" x14ac:dyDescent="0.25">
      <c r="A33" s="203"/>
      <c r="B33" s="204" t="s">
        <v>746</v>
      </c>
      <c r="C33" s="205"/>
      <c r="D33" s="205"/>
      <c r="E33" s="206"/>
      <c r="F33" s="206"/>
      <c r="G33" s="207"/>
      <c r="H33" s="208"/>
      <c r="I33" s="208"/>
      <c r="J33" s="208"/>
    </row>
    <row r="34" spans="1:10" s="10" customFormat="1" ht="14.4" customHeight="1" x14ac:dyDescent="0.25">
      <c r="A34" s="1536" t="s">
        <v>35</v>
      </c>
      <c r="B34" s="1536"/>
      <c r="C34" s="90"/>
      <c r="D34" s="90"/>
      <c r="E34" s="408"/>
      <c r="F34" s="408">
        <f>F32</f>
        <v>69.02</v>
      </c>
      <c r="G34" s="469"/>
      <c r="H34" s="469"/>
      <c r="I34" s="21"/>
      <c r="J34" s="408"/>
    </row>
    <row r="35" spans="1:10" s="10" customFormat="1" ht="25.35" customHeight="1" x14ac:dyDescent="0.25">
      <c r="A35" s="1536" t="s">
        <v>36</v>
      </c>
      <c r="B35" s="1536"/>
      <c r="C35" s="90">
        <v>100</v>
      </c>
      <c r="D35" s="90"/>
      <c r="E35" s="408"/>
      <c r="F35" s="408"/>
      <c r="G35" s="408"/>
      <c r="H35" s="408"/>
      <c r="I35" s="21"/>
      <c r="J35" s="17"/>
    </row>
    <row r="36" spans="1:10" s="10" customFormat="1" ht="25.35" customHeight="1" x14ac:dyDescent="0.25">
      <c r="A36" s="1537" t="s">
        <v>37</v>
      </c>
      <c r="B36" s="1538"/>
      <c r="C36" s="91">
        <v>100</v>
      </c>
      <c r="D36" s="92"/>
      <c r="E36" s="470"/>
      <c r="F36" s="470"/>
      <c r="G36" s="470"/>
      <c r="H36" s="470"/>
      <c r="I36" s="21"/>
      <c r="J36" s="17"/>
    </row>
    <row r="37" spans="1:10" s="10" customFormat="1" ht="15" customHeight="1" x14ac:dyDescent="0.25">
      <c r="A37" s="1539" t="s">
        <v>38</v>
      </c>
      <c r="B37" s="1540"/>
      <c r="C37" s="92">
        <f>C35/C36</f>
        <v>1</v>
      </c>
      <c r="D37" s="92"/>
      <c r="E37" s="470"/>
      <c r="F37" s="470"/>
      <c r="G37" s="470"/>
      <c r="H37" s="470"/>
      <c r="I37" s="21"/>
      <c r="J37" s="17"/>
    </row>
    <row r="38" spans="1:10" ht="16.350000000000001" customHeight="1" x14ac:dyDescent="0.25">
      <c r="A38" s="1541" t="s">
        <v>39</v>
      </c>
      <c r="B38" s="1542"/>
      <c r="C38" s="15" t="s">
        <v>40</v>
      </c>
      <c r="D38" s="102"/>
      <c r="E38" s="102" t="s">
        <v>40</v>
      </c>
      <c r="F38" s="16">
        <f>F34/C37</f>
        <v>69.02</v>
      </c>
      <c r="G38" s="16"/>
      <c r="H38" s="16"/>
      <c r="I38" s="102" t="s">
        <v>40</v>
      </c>
      <c r="J38" s="102" t="s">
        <v>40</v>
      </c>
    </row>
    <row r="39" spans="1:10" ht="23.1" customHeight="1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ht="13.95" customHeight="1" x14ac:dyDescent="0.25">
      <c r="A40" s="1193"/>
      <c r="B40" s="1194" t="s">
        <v>49</v>
      </c>
      <c r="C40" s="1198"/>
      <c r="D40" s="1198"/>
      <c r="E40" s="1198"/>
      <c r="F40" s="1198"/>
      <c r="G40" s="1193"/>
      <c r="H40" s="1557">
        <f>'1-бутерброд с маслом'!$H$28</f>
        <v>0</v>
      </c>
      <c r="I40" s="1557"/>
      <c r="J40" s="1557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ht="15.6" customHeight="1" x14ac:dyDescent="0.25">
      <c r="A42" s="1545" t="s">
        <v>327</v>
      </c>
      <c r="B42" s="1545"/>
      <c r="C42" s="1546" t="s">
        <v>328</v>
      </c>
      <c r="D42" s="1546"/>
      <c r="E42" s="1546"/>
      <c r="F42" s="1546"/>
      <c r="G42" s="106"/>
      <c r="H42" s="1531"/>
      <c r="I42" s="1531"/>
      <c r="J42" s="1531"/>
    </row>
    <row r="43" spans="1:10" ht="20.399999999999999" customHeight="1" x14ac:dyDescent="0.25">
      <c r="A43" s="1193"/>
      <c r="B43" s="1193"/>
      <c r="C43" s="1546"/>
      <c r="D43" s="1546"/>
      <c r="E43" s="1546"/>
      <c r="F43" s="1546"/>
      <c r="G43" s="1193"/>
      <c r="H43" s="1531" t="s">
        <v>329</v>
      </c>
      <c r="I43" s="1531"/>
      <c r="J43" s="1531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40:J40"/>
    <mergeCell ref="A13:G13"/>
    <mergeCell ref="A35:B35"/>
    <mergeCell ref="A36:B36"/>
    <mergeCell ref="A37:B37"/>
    <mergeCell ref="A38:B38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2:B42"/>
    <mergeCell ref="C42:F43"/>
    <mergeCell ref="H42:J42"/>
    <mergeCell ref="H43:J43"/>
    <mergeCell ref="H5:I5"/>
    <mergeCell ref="A6:G6"/>
    <mergeCell ref="A7:I7"/>
    <mergeCell ref="A34:B34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45"/>
  <sheetViews>
    <sheetView view="pageBreakPreview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467" customWidth="1"/>
    <col min="2" max="2" width="23.6640625" style="467" customWidth="1"/>
    <col min="3" max="7" width="7.5546875" style="467" customWidth="1"/>
    <col min="8" max="8" width="8.88671875" style="467" customWidth="1"/>
    <col min="9" max="9" width="7.5546875" style="467" customWidth="1"/>
    <col min="10" max="10" width="9" style="467" customWidth="1"/>
    <col min="11" max="11" width="4.5546875" style="467" customWidth="1"/>
    <col min="12" max="16384" width="8.88671875" style="46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174)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251</v>
      </c>
    </row>
    <row r="8" spans="1:10" s="2" customFormat="1" ht="9.6" customHeight="1" x14ac:dyDescent="0.25">
      <c r="A8" s="471"/>
      <c r="B8" s="471"/>
      <c r="C8" s="471"/>
      <c r="D8" s="471"/>
      <c r="E8" s="471"/>
      <c r="F8" s="471"/>
      <c r="G8" s="471"/>
      <c r="H8" s="471"/>
      <c r="I8" s="471"/>
      <c r="J8" s="109"/>
    </row>
    <row r="9" spans="1:10" s="2" customFormat="1" ht="26.1" customHeight="1" x14ac:dyDescent="0.3">
      <c r="A9" s="1550" t="s">
        <v>751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'250-бефстроганов жар.'!H14+1</f>
        <v>174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468" t="s">
        <v>92</v>
      </c>
      <c r="D17" s="468" t="s">
        <v>94</v>
      </c>
      <c r="E17" s="468" t="s">
        <v>93</v>
      </c>
      <c r="F17" s="468" t="s">
        <v>23</v>
      </c>
      <c r="G17" s="468" t="s">
        <v>92</v>
      </c>
      <c r="H17" s="468" t="s">
        <v>94</v>
      </c>
      <c r="I17" s="468" t="s">
        <v>92</v>
      </c>
      <c r="J17" s="468" t="s">
        <v>94</v>
      </c>
    </row>
    <row r="18" spans="1:10" ht="9.6" customHeight="1" x14ac:dyDescent="0.25">
      <c r="A18" s="468">
        <v>1</v>
      </c>
      <c r="B18" s="470">
        <v>2</v>
      </c>
      <c r="C18" s="468">
        <v>3</v>
      </c>
      <c r="D18" s="470">
        <v>4</v>
      </c>
      <c r="E18" s="468">
        <v>5</v>
      </c>
      <c r="F18" s="470">
        <v>6</v>
      </c>
      <c r="G18" s="468">
        <v>7</v>
      </c>
      <c r="H18" s="470">
        <v>8</v>
      </c>
      <c r="I18" s="468">
        <v>9</v>
      </c>
      <c r="J18" s="470">
        <v>10</v>
      </c>
    </row>
    <row r="19" spans="1:10" s="10" customFormat="1" ht="49.95" customHeight="1" x14ac:dyDescent="0.25">
      <c r="A19" s="479">
        <v>1</v>
      </c>
      <c r="B19" s="20" t="s">
        <v>744</v>
      </c>
      <c r="C19" s="21">
        <v>0.107</v>
      </c>
      <c r="D19" s="21">
        <v>7.9000000000000001E-2</v>
      </c>
      <c r="E19" s="408">
        <f>цены!F7</f>
        <v>560</v>
      </c>
      <c r="F19" s="408">
        <f>C19*E19</f>
        <v>59.92</v>
      </c>
      <c r="G19" s="97">
        <f t="shared" ref="G19:H29" si="0">C19*10</f>
        <v>1.07</v>
      </c>
      <c r="H19" s="21">
        <f t="shared" si="0"/>
        <v>0.79</v>
      </c>
      <c r="I19" s="21">
        <f t="shared" ref="I19:J29" si="1">C19*100</f>
        <v>10.7</v>
      </c>
      <c r="J19" s="21">
        <f t="shared" si="1"/>
        <v>7.9</v>
      </c>
    </row>
    <row r="20" spans="1:10" s="10" customFormat="1" ht="17.399999999999999" customHeight="1" x14ac:dyDescent="0.25">
      <c r="A20" s="184"/>
      <c r="B20" s="93" t="s">
        <v>735</v>
      </c>
      <c r="C20" s="112"/>
      <c r="D20" s="112">
        <v>0.05</v>
      </c>
      <c r="E20" s="95"/>
      <c r="F20" s="95"/>
      <c r="G20" s="99"/>
      <c r="H20" s="100">
        <f>D20*10</f>
        <v>0.5</v>
      </c>
      <c r="I20" s="100"/>
      <c r="J20" s="100">
        <f>D20*100</f>
        <v>5</v>
      </c>
    </row>
    <row r="21" spans="1:10" s="10" customFormat="1" ht="14.1" customHeight="1" x14ac:dyDescent="0.25">
      <c r="A21" s="180">
        <v>2</v>
      </c>
      <c r="B21" s="20" t="s">
        <v>48</v>
      </c>
      <c r="C21" s="21">
        <v>2.4E-2</v>
      </c>
      <c r="D21" s="21">
        <v>0.02</v>
      </c>
      <c r="E21" s="408">
        <f>цены!F38</f>
        <v>50</v>
      </c>
      <c r="F21" s="408">
        <f t="shared" ref="F21:F29" si="2">C21*E21</f>
        <v>1.2</v>
      </c>
      <c r="G21" s="97">
        <f t="shared" si="0"/>
        <v>0.24</v>
      </c>
      <c r="H21" s="21">
        <f t="shared" si="0"/>
        <v>0.2</v>
      </c>
      <c r="I21" s="21">
        <f t="shared" si="1"/>
        <v>2.4</v>
      </c>
      <c r="J21" s="21">
        <f t="shared" si="1"/>
        <v>2</v>
      </c>
    </row>
    <row r="22" spans="1:10" s="10" customFormat="1" ht="14.1" customHeight="1" x14ac:dyDescent="0.25">
      <c r="A22" s="180">
        <v>3</v>
      </c>
      <c r="B22" s="20" t="s">
        <v>74</v>
      </c>
      <c r="C22" s="21">
        <v>7.0000000000000001E-3</v>
      </c>
      <c r="D22" s="21">
        <v>7.0000000000000001E-3</v>
      </c>
      <c r="E22" s="408">
        <f>цены!F87</f>
        <v>120</v>
      </c>
      <c r="F22" s="408">
        <f t="shared" si="2"/>
        <v>0.84</v>
      </c>
      <c r="G22" s="97">
        <f t="shared" si="0"/>
        <v>7.0000000000000007E-2</v>
      </c>
      <c r="H22" s="21">
        <f t="shared" si="0"/>
        <v>7.0000000000000007E-2</v>
      </c>
      <c r="I22" s="21">
        <f t="shared" si="1"/>
        <v>0.7</v>
      </c>
      <c r="J22" s="21">
        <f t="shared" si="1"/>
        <v>0.7</v>
      </c>
    </row>
    <row r="23" spans="1:10" s="10" customFormat="1" ht="14.1" customHeight="1" x14ac:dyDescent="0.25">
      <c r="A23" s="184"/>
      <c r="B23" s="93" t="s">
        <v>359</v>
      </c>
      <c r="C23" s="112"/>
      <c r="D23" s="112">
        <v>0.01</v>
      </c>
      <c r="E23" s="95"/>
      <c r="F23" s="95"/>
      <c r="G23" s="99"/>
      <c r="H23" s="100">
        <f>D23*10</f>
        <v>0.1</v>
      </c>
      <c r="I23" s="100"/>
      <c r="J23" s="100">
        <f>D23*100</f>
        <v>1</v>
      </c>
    </row>
    <row r="24" spans="1:10" s="10" customFormat="1" ht="14.1" customHeight="1" x14ac:dyDescent="0.25">
      <c r="A24" s="180">
        <v>4</v>
      </c>
      <c r="B24" s="20" t="s">
        <v>46</v>
      </c>
      <c r="C24" s="111">
        <v>0.01</v>
      </c>
      <c r="D24" s="111">
        <v>0.01</v>
      </c>
      <c r="E24" s="408">
        <f>цены!F113</f>
        <v>230</v>
      </c>
      <c r="F24" s="408">
        <f t="shared" si="2"/>
        <v>2.2999999999999998</v>
      </c>
      <c r="G24" s="97">
        <f t="shared" si="0"/>
        <v>0.1</v>
      </c>
      <c r="H24" s="21">
        <f t="shared" si="0"/>
        <v>0.1</v>
      </c>
      <c r="I24" s="21">
        <f t="shared" si="1"/>
        <v>1</v>
      </c>
      <c r="J24" s="21">
        <f t="shared" si="1"/>
        <v>1</v>
      </c>
    </row>
    <row r="25" spans="1:10" s="10" customFormat="1" ht="21.6" customHeight="1" x14ac:dyDescent="0.25">
      <c r="A25" s="184"/>
      <c r="B25" s="93" t="s">
        <v>747</v>
      </c>
      <c r="C25" s="112"/>
      <c r="D25" s="112">
        <v>1.4999999999999999E-2</v>
      </c>
      <c r="E25" s="95"/>
      <c r="F25" s="95"/>
      <c r="G25" s="99"/>
      <c r="H25" s="100"/>
      <c r="I25" s="100"/>
      <c r="J25" s="100"/>
    </row>
    <row r="26" spans="1:10" s="10" customFormat="1" ht="13.95" customHeight="1" x14ac:dyDescent="0.25">
      <c r="A26" s="129">
        <v>5</v>
      </c>
      <c r="B26" s="123" t="s">
        <v>33</v>
      </c>
      <c r="C26" s="111">
        <v>3.0000000000000001E-3</v>
      </c>
      <c r="D26" s="111">
        <v>3.0000000000000001E-3</v>
      </c>
      <c r="E26" s="408">
        <f>цены!F110</f>
        <v>24</v>
      </c>
      <c r="F26" s="408">
        <f>C26*E26</f>
        <v>7.0000000000000007E-2</v>
      </c>
      <c r="G26" s="97">
        <f>C26*10</f>
        <v>0.03</v>
      </c>
      <c r="H26" s="21">
        <f>D26*10</f>
        <v>0.03</v>
      </c>
      <c r="I26" s="21">
        <f>C26*100</f>
        <v>0.3</v>
      </c>
      <c r="J26" s="21">
        <f>D26*100</f>
        <v>0.3</v>
      </c>
    </row>
    <row r="27" spans="1:10" s="10" customFormat="1" ht="14.1" customHeight="1" x14ac:dyDescent="0.25">
      <c r="A27" s="180">
        <v>6</v>
      </c>
      <c r="B27" s="20" t="s">
        <v>84</v>
      </c>
      <c r="C27" s="125">
        <v>2.0000000000000002E-5</v>
      </c>
      <c r="D27" s="125">
        <v>2.0000000000000002E-5</v>
      </c>
      <c r="E27" s="408">
        <f>цены!F100</f>
        <v>1000</v>
      </c>
      <c r="F27" s="408">
        <f t="shared" si="2"/>
        <v>0.02</v>
      </c>
      <c r="G27" s="97">
        <f t="shared" si="0"/>
        <v>0</v>
      </c>
      <c r="H27" s="21">
        <f t="shared" si="0"/>
        <v>0</v>
      </c>
      <c r="I27" s="21">
        <f t="shared" si="1"/>
        <v>2E-3</v>
      </c>
      <c r="J27" s="21">
        <f t="shared" si="1"/>
        <v>2E-3</v>
      </c>
    </row>
    <row r="28" spans="1:10" s="10" customFormat="1" ht="14.1" customHeight="1" x14ac:dyDescent="0.25">
      <c r="A28" s="180">
        <v>7</v>
      </c>
      <c r="B28" s="20" t="s">
        <v>337</v>
      </c>
      <c r="C28" s="125">
        <v>2E-3</v>
      </c>
      <c r="D28" s="125">
        <v>2E-3</v>
      </c>
      <c r="E28" s="408">
        <f>цены!F39</f>
        <v>300</v>
      </c>
      <c r="F28" s="408">
        <f t="shared" si="2"/>
        <v>0.6</v>
      </c>
      <c r="G28" s="97">
        <f t="shared" si="0"/>
        <v>0.02</v>
      </c>
      <c r="H28" s="21">
        <f t="shared" si="0"/>
        <v>0.02</v>
      </c>
      <c r="I28" s="21">
        <f t="shared" si="1"/>
        <v>0.2</v>
      </c>
      <c r="J28" s="21">
        <f t="shared" si="1"/>
        <v>0.2</v>
      </c>
    </row>
    <row r="29" spans="1:10" s="10" customFormat="1" ht="14.1" customHeight="1" x14ac:dyDescent="0.25">
      <c r="A29" s="180">
        <v>8</v>
      </c>
      <c r="B29" s="20" t="s">
        <v>78</v>
      </c>
      <c r="C29" s="111">
        <v>2E-3</v>
      </c>
      <c r="D29" s="111">
        <v>2E-3</v>
      </c>
      <c r="E29" s="408">
        <f>цены!F48</f>
        <v>300</v>
      </c>
      <c r="F29" s="408">
        <f t="shared" si="2"/>
        <v>0.6</v>
      </c>
      <c r="G29" s="97">
        <f t="shared" si="0"/>
        <v>0.02</v>
      </c>
      <c r="H29" s="21">
        <f t="shared" si="0"/>
        <v>0.02</v>
      </c>
      <c r="I29" s="21">
        <f t="shared" si="1"/>
        <v>0.2</v>
      </c>
      <c r="J29" s="21">
        <f t="shared" si="1"/>
        <v>0.2</v>
      </c>
    </row>
    <row r="30" spans="1:10" s="10" customFormat="1" ht="12" customHeight="1" x14ac:dyDescent="0.25">
      <c r="A30" s="98"/>
      <c r="B30" s="93" t="s">
        <v>100</v>
      </c>
      <c r="C30" s="112"/>
      <c r="D30" s="112">
        <v>6.5000000000000002E-2</v>
      </c>
      <c r="E30" s="95"/>
      <c r="F30" s="95">
        <f>SUM(F19:F29)</f>
        <v>65.55</v>
      </c>
      <c r="G30" s="99"/>
      <c r="H30" s="100">
        <f>D30*10</f>
        <v>0.65</v>
      </c>
      <c r="I30" s="100"/>
      <c r="J30" s="100">
        <f>D30*100</f>
        <v>6.5</v>
      </c>
    </row>
    <row r="31" spans="1:10" s="10" customFormat="1" ht="29.4" customHeight="1" x14ac:dyDescent="0.25">
      <c r="A31" s="203"/>
      <c r="B31" s="204" t="s">
        <v>748</v>
      </c>
      <c r="C31" s="205"/>
      <c r="D31" s="205"/>
      <c r="E31" s="206"/>
      <c r="F31" s="206"/>
      <c r="G31" s="207"/>
      <c r="H31" s="208"/>
      <c r="I31" s="208"/>
      <c r="J31" s="208"/>
    </row>
    <row r="32" spans="1:10" s="10" customFormat="1" ht="14.4" customHeight="1" x14ac:dyDescent="0.25">
      <c r="A32" s="1536" t="s">
        <v>35</v>
      </c>
      <c r="B32" s="1536"/>
      <c r="C32" s="90"/>
      <c r="D32" s="90"/>
      <c r="E32" s="408"/>
      <c r="F32" s="408">
        <f>F30</f>
        <v>65.55</v>
      </c>
      <c r="G32" s="469"/>
      <c r="H32" s="469"/>
      <c r="I32" s="21"/>
      <c r="J32" s="408"/>
    </row>
    <row r="33" spans="1:10" s="10" customFormat="1" ht="14.4" customHeight="1" x14ac:dyDescent="0.25">
      <c r="A33" s="1536" t="s">
        <v>36</v>
      </c>
      <c r="B33" s="1536"/>
      <c r="C33" s="90">
        <v>65</v>
      </c>
      <c r="D33" s="90"/>
      <c r="E33" s="408"/>
      <c r="F33" s="408"/>
      <c r="G33" s="408"/>
      <c r="H33" s="408"/>
      <c r="I33" s="21"/>
      <c r="J33" s="17"/>
    </row>
    <row r="34" spans="1:10" s="10" customFormat="1" ht="25.35" customHeight="1" x14ac:dyDescent="0.25">
      <c r="A34" s="1537" t="s">
        <v>37</v>
      </c>
      <c r="B34" s="1538"/>
      <c r="C34" s="91">
        <v>65</v>
      </c>
      <c r="D34" s="92"/>
      <c r="E34" s="470"/>
      <c r="F34" s="470"/>
      <c r="G34" s="470"/>
      <c r="H34" s="470"/>
      <c r="I34" s="21"/>
      <c r="J34" s="17"/>
    </row>
    <row r="35" spans="1:10" s="10" customFormat="1" ht="15" customHeight="1" x14ac:dyDescent="0.25">
      <c r="A35" s="1539" t="s">
        <v>38</v>
      </c>
      <c r="B35" s="1540"/>
      <c r="C35" s="92">
        <f>C33/C34</f>
        <v>1</v>
      </c>
      <c r="D35" s="92"/>
      <c r="E35" s="470"/>
      <c r="F35" s="470"/>
      <c r="G35" s="470"/>
      <c r="H35" s="470"/>
      <c r="I35" s="21"/>
      <c r="J35" s="17"/>
    </row>
    <row r="36" spans="1:10" ht="16.350000000000001" customHeight="1" x14ac:dyDescent="0.25">
      <c r="A36" s="1541" t="s">
        <v>39</v>
      </c>
      <c r="B36" s="1542"/>
      <c r="C36" s="15" t="s">
        <v>40</v>
      </c>
      <c r="D36" s="102"/>
      <c r="E36" s="102" t="s">
        <v>40</v>
      </c>
      <c r="F36" s="16">
        <f>F32/C35</f>
        <v>65.55</v>
      </c>
      <c r="G36" s="16"/>
      <c r="H36" s="16"/>
      <c r="I36" s="102" t="s">
        <v>40</v>
      </c>
      <c r="J36" s="102" t="s">
        <v>40</v>
      </c>
    </row>
    <row r="37" spans="1:10" ht="10.95" customHeight="1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4" t="s">
        <v>49</v>
      </c>
      <c r="C39" s="1198"/>
      <c r="D39" s="1198"/>
      <c r="E39" s="1198"/>
      <c r="F39" s="1198"/>
      <c r="G39" s="1193"/>
      <c r="H39" s="1557">
        <f>'1-бутерброд с маслом'!$H$28</f>
        <v>0</v>
      </c>
      <c r="I39" s="1557"/>
      <c r="J39" s="1557"/>
    </row>
    <row r="40" spans="1:10" ht="13.95" customHeight="1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ht="19.2" customHeight="1" x14ac:dyDescent="0.25">
      <c r="A41" s="1545" t="s">
        <v>327</v>
      </c>
      <c r="B41" s="1545"/>
      <c r="C41" s="1546" t="s">
        <v>328</v>
      </c>
      <c r="D41" s="1546"/>
      <c r="E41" s="1546"/>
      <c r="F41" s="1546"/>
      <c r="G41" s="106"/>
      <c r="H41" s="1531"/>
      <c r="I41" s="1531"/>
      <c r="J41" s="1531"/>
    </row>
    <row r="42" spans="1:10" ht="16.95" customHeight="1" x14ac:dyDescent="0.25">
      <c r="A42" s="1193"/>
      <c r="B42" s="1193"/>
      <c r="C42" s="1546"/>
      <c r="D42" s="1546"/>
      <c r="E42" s="1546"/>
      <c r="F42" s="1546"/>
      <c r="G42" s="1193"/>
      <c r="H42" s="1531" t="s">
        <v>329</v>
      </c>
      <c r="I42" s="1531"/>
      <c r="J42" s="1531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  <row r="45" spans="1:10" x14ac:dyDescent="0.25">
      <c r="A45" s="1193"/>
      <c r="B45" s="1193"/>
      <c r="C45" s="1193"/>
      <c r="D45" s="1193"/>
      <c r="E45" s="1193"/>
      <c r="F45" s="1193"/>
      <c r="G45" s="1193"/>
      <c r="H45" s="1193"/>
      <c r="I45" s="1193"/>
      <c r="J45" s="1193"/>
    </row>
  </sheetData>
  <mergeCells count="28">
    <mergeCell ref="A13:G13"/>
    <mergeCell ref="H42:J42"/>
    <mergeCell ref="A33:B33"/>
    <mergeCell ref="A34:B34"/>
    <mergeCell ref="A35:B35"/>
    <mergeCell ref="A36:B36"/>
    <mergeCell ref="H39:J39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1:B41"/>
    <mergeCell ref="C41:F42"/>
    <mergeCell ref="H41:J41"/>
    <mergeCell ref="H5:I5"/>
    <mergeCell ref="A6:G6"/>
    <mergeCell ref="A7:I7"/>
    <mergeCell ref="A32:B32"/>
    <mergeCell ref="A9:J9"/>
    <mergeCell ref="A11:J11"/>
    <mergeCell ref="I13:J13"/>
    <mergeCell ref="C14:G14"/>
    <mergeCell ref="I14:J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75E5"/>
  </sheetPr>
  <dimension ref="A1:J30"/>
  <sheetViews>
    <sheetView view="pageBreakPreview" topLeftCell="A14" zoomScaleNormal="100" zoomScaleSheetLayoutView="100" workbookViewId="0">
      <selection activeCell="A26" sqref="A26:J30"/>
    </sheetView>
  </sheetViews>
  <sheetFormatPr defaultRowHeight="13.8" x14ac:dyDescent="0.25"/>
  <cols>
    <col min="1" max="1" width="4.109375" customWidth="1"/>
    <col min="2" max="2" width="20.5546875" customWidth="1"/>
    <col min="3" max="7" width="7.5546875" customWidth="1"/>
    <col min="8" max="8" width="8.88671875" customWidth="1"/>
    <col min="9" max="9" width="7.5546875" customWidth="1"/>
    <col min="10" max="10" width="9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13)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290"/>
      <c r="I6" s="290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16</v>
      </c>
    </row>
    <row r="8" spans="1:10" s="2" customFormat="1" ht="9.6" customHeight="1" x14ac:dyDescent="0.25">
      <c r="A8" s="291"/>
      <c r="B8" s="291"/>
      <c r="C8" s="291"/>
      <c r="D8" s="291"/>
      <c r="E8" s="291"/>
      <c r="F8" s="291"/>
      <c r="G8" s="291"/>
      <c r="H8" s="291"/>
      <c r="I8" s="291"/>
      <c r="J8" s="109"/>
    </row>
    <row r="9" spans="1:10" s="2" customFormat="1" ht="26.1" customHeight="1" x14ac:dyDescent="0.3">
      <c r="A9" s="1550" t="s">
        <v>600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21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'15-сыр (20)'!H14+1</f>
        <v>13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87" t="s">
        <v>92</v>
      </c>
      <c r="D17" s="287" t="s">
        <v>94</v>
      </c>
      <c r="E17" s="287" t="s">
        <v>93</v>
      </c>
      <c r="F17" s="287" t="s">
        <v>23</v>
      </c>
      <c r="G17" s="287" t="s">
        <v>92</v>
      </c>
      <c r="H17" s="287" t="s">
        <v>94</v>
      </c>
      <c r="I17" s="287" t="s">
        <v>92</v>
      </c>
      <c r="J17" s="287" t="s">
        <v>94</v>
      </c>
    </row>
    <row r="18" spans="1:10" ht="9.6" customHeight="1" x14ac:dyDescent="0.25">
      <c r="A18" s="287">
        <v>1</v>
      </c>
      <c r="B18" s="289">
        <v>2</v>
      </c>
      <c r="C18" s="287">
        <v>3</v>
      </c>
      <c r="D18" s="289">
        <v>4</v>
      </c>
      <c r="E18" s="287">
        <v>5</v>
      </c>
      <c r="F18" s="289">
        <v>6</v>
      </c>
      <c r="G18" s="287">
        <v>7</v>
      </c>
      <c r="H18" s="289">
        <v>8</v>
      </c>
      <c r="I18" s="287">
        <v>9</v>
      </c>
      <c r="J18" s="289">
        <v>10</v>
      </c>
    </row>
    <row r="19" spans="1:10" ht="14.1" customHeight="1" x14ac:dyDescent="0.25">
      <c r="A19" s="287">
        <v>1</v>
      </c>
      <c r="B19" s="181" t="s">
        <v>326</v>
      </c>
      <c r="C19" s="301">
        <v>3.1E-2</v>
      </c>
      <c r="D19" s="92">
        <v>0.03</v>
      </c>
      <c r="E19" s="182">
        <f>цены!F12</f>
        <v>400</v>
      </c>
      <c r="F19" s="13">
        <f>C19*E19</f>
        <v>12.4</v>
      </c>
      <c r="G19" s="97">
        <f>C19*10</f>
        <v>0.31</v>
      </c>
      <c r="H19" s="21">
        <f>D19*10</f>
        <v>0.3</v>
      </c>
      <c r="I19" s="21">
        <f>C19*100</f>
        <v>3.1</v>
      </c>
      <c r="J19" s="21">
        <f>D19*100</f>
        <v>3</v>
      </c>
    </row>
    <row r="20" spans="1:10" s="10" customFormat="1" ht="12" customHeight="1" x14ac:dyDescent="0.25">
      <c r="A20" s="98"/>
      <c r="B20" s="93" t="s">
        <v>100</v>
      </c>
      <c r="C20" s="100"/>
      <c r="D20" s="100">
        <v>0.03</v>
      </c>
      <c r="E20" s="95"/>
      <c r="F20" s="95">
        <f>SUM(F19:F19)</f>
        <v>12.4</v>
      </c>
      <c r="G20" s="99"/>
      <c r="H20" s="100">
        <f>D20*10</f>
        <v>0.3</v>
      </c>
      <c r="I20" s="100"/>
      <c r="J20" s="100">
        <f>D20*100</f>
        <v>3</v>
      </c>
    </row>
    <row r="21" spans="1:10" s="10" customFormat="1" ht="27.6" customHeight="1" x14ac:dyDescent="0.25">
      <c r="A21" s="1536" t="s">
        <v>35</v>
      </c>
      <c r="B21" s="1536"/>
      <c r="C21" s="90"/>
      <c r="D21" s="90"/>
      <c r="E21" s="13"/>
      <c r="F21" s="13">
        <f>F20</f>
        <v>12.4</v>
      </c>
      <c r="G21" s="288"/>
      <c r="H21" s="288"/>
      <c r="I21" s="21"/>
      <c r="J21" s="13"/>
    </row>
    <row r="22" spans="1:10" s="10" customFormat="1" ht="25.35" customHeight="1" x14ac:dyDescent="0.25">
      <c r="A22" s="1536" t="s">
        <v>36</v>
      </c>
      <c r="B22" s="1536"/>
      <c r="C22" s="90">
        <v>30</v>
      </c>
      <c r="D22" s="90"/>
      <c r="E22" s="13"/>
      <c r="F22" s="13"/>
      <c r="G22" s="13"/>
      <c r="H22" s="13"/>
      <c r="I22" s="21"/>
      <c r="J22" s="17"/>
    </row>
    <row r="23" spans="1:10" s="10" customFormat="1" ht="25.35" customHeight="1" x14ac:dyDescent="0.25">
      <c r="A23" s="1537" t="s">
        <v>37</v>
      </c>
      <c r="B23" s="1538"/>
      <c r="C23" s="91">
        <v>30</v>
      </c>
      <c r="D23" s="92"/>
      <c r="E23" s="289"/>
      <c r="F23" s="289"/>
      <c r="G23" s="289"/>
      <c r="H23" s="289"/>
      <c r="I23" s="21"/>
      <c r="J23" s="17"/>
    </row>
    <row r="24" spans="1:10" s="10" customFormat="1" ht="15" customHeight="1" x14ac:dyDescent="0.25">
      <c r="A24" s="1539" t="s">
        <v>38</v>
      </c>
      <c r="B24" s="1540"/>
      <c r="C24" s="92">
        <f>C22/C23</f>
        <v>1</v>
      </c>
      <c r="D24" s="92"/>
      <c r="E24" s="289"/>
      <c r="F24" s="289"/>
      <c r="G24" s="289"/>
      <c r="H24" s="289"/>
      <c r="I24" s="21"/>
      <c r="J24" s="17"/>
    </row>
    <row r="25" spans="1:10" ht="16.350000000000001" customHeight="1" x14ac:dyDescent="0.25">
      <c r="A25" s="1541" t="s">
        <v>39</v>
      </c>
      <c r="B25" s="1542"/>
      <c r="C25" s="15" t="s">
        <v>40</v>
      </c>
      <c r="D25" s="102"/>
      <c r="E25" s="102" t="s">
        <v>40</v>
      </c>
      <c r="F25" s="16">
        <f>F21/C24</f>
        <v>12.4</v>
      </c>
      <c r="G25" s="16"/>
      <c r="H25" s="16"/>
      <c r="I25" s="102" t="s">
        <v>40</v>
      </c>
      <c r="J25" s="102" t="s">
        <v>40</v>
      </c>
    </row>
    <row r="26" spans="1:10" x14ac:dyDescent="0.25">
      <c r="A26" s="1193"/>
      <c r="B26" s="1193"/>
      <c r="C26" s="1193"/>
      <c r="D26" s="1193"/>
      <c r="E26" s="1193"/>
      <c r="F26" s="1193"/>
      <c r="G26" s="1193"/>
      <c r="H26" s="1193"/>
      <c r="I26" s="1193"/>
      <c r="J26" s="1193"/>
    </row>
    <row r="27" spans="1:10" ht="13.95" customHeight="1" x14ac:dyDescent="0.25">
      <c r="A27" s="1193"/>
      <c r="B27" s="1194" t="s">
        <v>49</v>
      </c>
      <c r="C27" s="1198"/>
      <c r="D27" s="1198"/>
      <c r="E27" s="1198"/>
      <c r="F27" s="1198"/>
      <c r="G27" s="1193"/>
      <c r="H27" s="1557">
        <f>'1-бутерброд с маслом'!$H$28</f>
        <v>0</v>
      </c>
      <c r="I27" s="1557"/>
      <c r="J27" s="1557"/>
    </row>
    <row r="28" spans="1:10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545" t="s">
        <v>327</v>
      </c>
      <c r="B29" s="1545"/>
      <c r="C29" s="1546" t="s">
        <v>328</v>
      </c>
      <c r="D29" s="1546"/>
      <c r="E29" s="1546"/>
      <c r="F29" s="1546"/>
      <c r="G29" s="106"/>
      <c r="H29" s="1531"/>
      <c r="I29" s="1531"/>
      <c r="J29" s="1531"/>
    </row>
    <row r="30" spans="1:10" x14ac:dyDescent="0.25">
      <c r="A30" s="1193"/>
      <c r="B30" s="1193"/>
      <c r="C30" s="1546"/>
      <c r="D30" s="1546"/>
      <c r="E30" s="1546"/>
      <c r="F30" s="1546"/>
      <c r="G30" s="1193"/>
      <c r="H30" s="1531" t="s">
        <v>329</v>
      </c>
      <c r="I30" s="1531"/>
      <c r="J30" s="1531"/>
    </row>
  </sheetData>
  <mergeCells count="28">
    <mergeCell ref="A13:G13"/>
    <mergeCell ref="H27:J27"/>
    <mergeCell ref="A22:B22"/>
    <mergeCell ref="A23:B23"/>
    <mergeCell ref="A24:B24"/>
    <mergeCell ref="A25:B25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29:B29"/>
    <mergeCell ref="C29:F30"/>
    <mergeCell ref="H29:J29"/>
    <mergeCell ref="H30:J30"/>
    <mergeCell ref="H5:I5"/>
    <mergeCell ref="A6:G6"/>
    <mergeCell ref="A7:I7"/>
    <mergeCell ref="A21:B21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45"/>
  <sheetViews>
    <sheetView view="pageBreakPreview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486" customWidth="1"/>
    <col min="2" max="2" width="25.44140625" style="486" customWidth="1"/>
    <col min="3" max="7" width="7.5546875" style="486" customWidth="1"/>
    <col min="8" max="8" width="8.88671875" style="486" customWidth="1"/>
    <col min="9" max="10" width="7.5546875" style="486" customWidth="1"/>
    <col min="11" max="11" width="4.109375" style="486" customWidth="1"/>
    <col min="12" max="16384" width="8.88671875" style="486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175)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251</v>
      </c>
    </row>
    <row r="8" spans="1:10" s="2" customFormat="1" ht="9.6" customHeight="1" x14ac:dyDescent="0.25">
      <c r="A8" s="487"/>
      <c r="B8" s="487"/>
      <c r="C8" s="487"/>
      <c r="D8" s="487"/>
      <c r="E8" s="487"/>
      <c r="F8" s="487"/>
      <c r="G8" s="487"/>
      <c r="H8" s="487"/>
      <c r="I8" s="487"/>
      <c r="J8" s="109"/>
    </row>
    <row r="9" spans="1:10" s="2" customFormat="1" ht="26.1" customHeight="1" x14ac:dyDescent="0.3">
      <c r="A9" s="1550" t="s">
        <v>768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'251-поджарка'!H14+1</f>
        <v>175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488" t="s">
        <v>92</v>
      </c>
      <c r="D17" s="488" t="s">
        <v>94</v>
      </c>
      <c r="E17" s="488" t="s">
        <v>93</v>
      </c>
      <c r="F17" s="488" t="s">
        <v>23</v>
      </c>
      <c r="G17" s="488" t="s">
        <v>92</v>
      </c>
      <c r="H17" s="488" t="s">
        <v>94</v>
      </c>
      <c r="I17" s="488" t="s">
        <v>92</v>
      </c>
      <c r="J17" s="488" t="s">
        <v>94</v>
      </c>
    </row>
    <row r="18" spans="1:10" ht="9.6" customHeight="1" x14ac:dyDescent="0.25">
      <c r="A18" s="488">
        <v>1</v>
      </c>
      <c r="B18" s="489">
        <v>2</v>
      </c>
      <c r="C18" s="488">
        <v>3</v>
      </c>
      <c r="D18" s="489">
        <v>4</v>
      </c>
      <c r="E18" s="488">
        <v>5</v>
      </c>
      <c r="F18" s="489">
        <v>6</v>
      </c>
      <c r="G18" s="488">
        <v>7</v>
      </c>
      <c r="H18" s="489">
        <v>8</v>
      </c>
      <c r="I18" s="488">
        <v>9</v>
      </c>
      <c r="J18" s="489">
        <v>10</v>
      </c>
    </row>
    <row r="19" spans="1:10" s="10" customFormat="1" ht="36" customHeight="1" x14ac:dyDescent="0.25">
      <c r="A19" s="479">
        <v>1</v>
      </c>
      <c r="B19" s="20" t="s">
        <v>744</v>
      </c>
      <c r="C19" s="21">
        <v>5.3999999999999999E-2</v>
      </c>
      <c r="D19" s="21">
        <v>0.04</v>
      </c>
      <c r="E19" s="408">
        <f>цены!F7</f>
        <v>560</v>
      </c>
      <c r="F19" s="408">
        <f>C19*E19</f>
        <v>30.24</v>
      </c>
      <c r="G19" s="97">
        <f t="shared" ref="G19:H29" si="0">C19*10</f>
        <v>0.54</v>
      </c>
      <c r="H19" s="21">
        <f t="shared" si="0"/>
        <v>0.4</v>
      </c>
      <c r="I19" s="21">
        <f t="shared" ref="I19:J29" si="1">C19*100</f>
        <v>5.4</v>
      </c>
      <c r="J19" s="21">
        <f t="shared" si="1"/>
        <v>4</v>
      </c>
    </row>
    <row r="20" spans="1:10" s="10" customFormat="1" ht="17.399999999999999" customHeight="1" x14ac:dyDescent="0.25">
      <c r="A20" s="184"/>
      <c r="B20" s="93"/>
      <c r="C20" s="112"/>
      <c r="D20" s="112">
        <v>2.5000000000000001E-2</v>
      </c>
      <c r="E20" s="95"/>
      <c r="F20" s="95"/>
      <c r="G20" s="99"/>
      <c r="H20" s="100"/>
      <c r="I20" s="100"/>
      <c r="J20" s="100"/>
    </row>
    <row r="21" spans="1:10" s="10" customFormat="1" ht="14.1" customHeight="1" x14ac:dyDescent="0.25">
      <c r="A21" s="180">
        <v>2</v>
      </c>
      <c r="B21" s="20" t="s">
        <v>48</v>
      </c>
      <c r="C21" s="21">
        <v>2.4E-2</v>
      </c>
      <c r="D21" s="21">
        <v>0.02</v>
      </c>
      <c r="E21" s="408">
        <f>цены!F38</f>
        <v>50</v>
      </c>
      <c r="F21" s="408">
        <f t="shared" ref="F21:F29" si="2">C21*E21</f>
        <v>1.2</v>
      </c>
      <c r="G21" s="97">
        <f t="shared" si="0"/>
        <v>0.24</v>
      </c>
      <c r="H21" s="21">
        <f t="shared" si="0"/>
        <v>0.2</v>
      </c>
      <c r="I21" s="21">
        <f t="shared" si="1"/>
        <v>2.4</v>
      </c>
      <c r="J21" s="21">
        <f t="shared" si="1"/>
        <v>2</v>
      </c>
    </row>
    <row r="22" spans="1:10" s="10" customFormat="1" ht="14.1" customHeight="1" x14ac:dyDescent="0.25">
      <c r="A22" s="180">
        <v>3</v>
      </c>
      <c r="B22" s="20" t="s">
        <v>74</v>
      </c>
      <c r="C22" s="21">
        <v>7.0000000000000001E-3</v>
      </c>
      <c r="D22" s="21">
        <v>7.0000000000000001E-3</v>
      </c>
      <c r="E22" s="408">
        <f>цены!F87</f>
        <v>120</v>
      </c>
      <c r="F22" s="408">
        <f t="shared" si="2"/>
        <v>0.84</v>
      </c>
      <c r="G22" s="97">
        <f t="shared" si="0"/>
        <v>7.0000000000000007E-2</v>
      </c>
      <c r="H22" s="21">
        <f t="shared" si="0"/>
        <v>7.0000000000000007E-2</v>
      </c>
      <c r="I22" s="21">
        <f t="shared" si="1"/>
        <v>0.7</v>
      </c>
      <c r="J22" s="21">
        <f t="shared" si="1"/>
        <v>0.7</v>
      </c>
    </row>
    <row r="23" spans="1:10" s="10" customFormat="1" ht="14.1" customHeight="1" x14ac:dyDescent="0.25">
      <c r="A23" s="184"/>
      <c r="B23" s="93" t="s">
        <v>359</v>
      </c>
      <c r="C23" s="112"/>
      <c r="D23" s="112">
        <v>0.01</v>
      </c>
      <c r="E23" s="95"/>
      <c r="F23" s="95"/>
      <c r="G23" s="99"/>
      <c r="H23" s="100">
        <f>D23*10</f>
        <v>0.1</v>
      </c>
      <c r="I23" s="100"/>
      <c r="J23" s="100">
        <f>D23*100</f>
        <v>1</v>
      </c>
    </row>
    <row r="24" spans="1:10" s="10" customFormat="1" ht="14.1" customHeight="1" x14ac:dyDescent="0.25">
      <c r="A24" s="180">
        <v>4</v>
      </c>
      <c r="B24" s="20" t="s">
        <v>46</v>
      </c>
      <c r="C24" s="111">
        <v>0.01</v>
      </c>
      <c r="D24" s="111">
        <v>0.01</v>
      </c>
      <c r="E24" s="408">
        <f>цены!F113</f>
        <v>230</v>
      </c>
      <c r="F24" s="408">
        <f t="shared" si="2"/>
        <v>2.2999999999999998</v>
      </c>
      <c r="G24" s="97">
        <f t="shared" si="0"/>
        <v>0.1</v>
      </c>
      <c r="H24" s="21">
        <f t="shared" si="0"/>
        <v>0.1</v>
      </c>
      <c r="I24" s="21">
        <f t="shared" si="1"/>
        <v>1</v>
      </c>
      <c r="J24" s="21">
        <f t="shared" si="1"/>
        <v>1</v>
      </c>
    </row>
    <row r="25" spans="1:10" s="10" customFormat="1" ht="21.6" customHeight="1" x14ac:dyDescent="0.25">
      <c r="A25" s="184"/>
      <c r="B25" s="93" t="s">
        <v>747</v>
      </c>
      <c r="C25" s="112"/>
      <c r="D25" s="112">
        <v>1.4999999999999999E-2</v>
      </c>
      <c r="E25" s="95"/>
      <c r="F25" s="95"/>
      <c r="G25" s="99"/>
      <c r="H25" s="100"/>
      <c r="I25" s="100"/>
      <c r="J25" s="100"/>
    </row>
    <row r="26" spans="1:10" s="10" customFormat="1" ht="13.95" customHeight="1" x14ac:dyDescent="0.25">
      <c r="A26" s="129">
        <v>5</v>
      </c>
      <c r="B26" s="123" t="s">
        <v>33</v>
      </c>
      <c r="C26" s="111">
        <v>3.0000000000000001E-3</v>
      </c>
      <c r="D26" s="111">
        <v>3.0000000000000001E-3</v>
      </c>
      <c r="E26" s="408">
        <f>цены!F110</f>
        <v>24</v>
      </c>
      <c r="F26" s="408">
        <f>C26*E26</f>
        <v>7.0000000000000007E-2</v>
      </c>
      <c r="G26" s="97">
        <f>C26*10</f>
        <v>0.03</v>
      </c>
      <c r="H26" s="21">
        <f>D26*10</f>
        <v>0.03</v>
      </c>
      <c r="I26" s="21">
        <f>C26*100</f>
        <v>0.3</v>
      </c>
      <c r="J26" s="21">
        <f>D26*100</f>
        <v>0.3</v>
      </c>
    </row>
    <row r="27" spans="1:10" s="10" customFormat="1" ht="14.1" customHeight="1" x14ac:dyDescent="0.25">
      <c r="A27" s="180">
        <v>6</v>
      </c>
      <c r="B27" s="20" t="s">
        <v>84</v>
      </c>
      <c r="C27" s="125">
        <v>2.0000000000000002E-5</v>
      </c>
      <c r="D27" s="125">
        <v>2.0000000000000002E-5</v>
      </c>
      <c r="E27" s="408">
        <f>цены!F100</f>
        <v>1000</v>
      </c>
      <c r="F27" s="408">
        <f t="shared" si="2"/>
        <v>0.02</v>
      </c>
      <c r="G27" s="97">
        <f t="shared" si="0"/>
        <v>0</v>
      </c>
      <c r="H27" s="21">
        <f t="shared" si="0"/>
        <v>0</v>
      </c>
      <c r="I27" s="21">
        <f t="shared" si="1"/>
        <v>2E-3</v>
      </c>
      <c r="J27" s="21">
        <f t="shared" si="1"/>
        <v>2E-3</v>
      </c>
    </row>
    <row r="28" spans="1:10" s="10" customFormat="1" ht="14.1" customHeight="1" x14ac:dyDescent="0.25">
      <c r="A28" s="180">
        <v>7</v>
      </c>
      <c r="B28" s="20" t="s">
        <v>337</v>
      </c>
      <c r="C28" s="125">
        <v>2E-3</v>
      </c>
      <c r="D28" s="125">
        <v>2E-3</v>
      </c>
      <c r="E28" s="408">
        <f>цены!F39</f>
        <v>300</v>
      </c>
      <c r="F28" s="408">
        <f t="shared" si="2"/>
        <v>0.6</v>
      </c>
      <c r="G28" s="97">
        <f t="shared" si="0"/>
        <v>0.02</v>
      </c>
      <c r="H28" s="21">
        <f t="shared" si="0"/>
        <v>0.02</v>
      </c>
      <c r="I28" s="21">
        <f t="shared" si="1"/>
        <v>0.2</v>
      </c>
      <c r="J28" s="21">
        <f t="shared" si="1"/>
        <v>0.2</v>
      </c>
    </row>
    <row r="29" spans="1:10" s="10" customFormat="1" ht="14.1" customHeight="1" x14ac:dyDescent="0.25">
      <c r="A29" s="180">
        <v>8</v>
      </c>
      <c r="B29" s="20" t="s">
        <v>78</v>
      </c>
      <c r="C29" s="111">
        <v>2E-3</v>
      </c>
      <c r="D29" s="111">
        <v>2E-3</v>
      </c>
      <c r="E29" s="408">
        <f>цены!F48</f>
        <v>300</v>
      </c>
      <c r="F29" s="408">
        <f t="shared" si="2"/>
        <v>0.6</v>
      </c>
      <c r="G29" s="97">
        <f t="shared" si="0"/>
        <v>0.02</v>
      </c>
      <c r="H29" s="21">
        <f t="shared" si="0"/>
        <v>0.02</v>
      </c>
      <c r="I29" s="21">
        <f t="shared" si="1"/>
        <v>0.2</v>
      </c>
      <c r="J29" s="21">
        <f t="shared" si="1"/>
        <v>0.2</v>
      </c>
    </row>
    <row r="30" spans="1:10" s="10" customFormat="1" ht="12" customHeight="1" x14ac:dyDescent="0.25">
      <c r="A30" s="98"/>
      <c r="B30" s="93" t="s">
        <v>100</v>
      </c>
      <c r="C30" s="112"/>
      <c r="D30" s="112">
        <v>0.04</v>
      </c>
      <c r="E30" s="95"/>
      <c r="F30" s="95">
        <f>SUM(F19:F29)</f>
        <v>35.869999999999997</v>
      </c>
      <c r="G30" s="99"/>
      <c r="H30" s="100">
        <f>D30*10</f>
        <v>0.4</v>
      </c>
      <c r="I30" s="100"/>
      <c r="J30" s="100">
        <f>D30*100</f>
        <v>4</v>
      </c>
    </row>
    <row r="31" spans="1:10" s="10" customFormat="1" ht="23.4" customHeight="1" x14ac:dyDescent="0.25">
      <c r="A31" s="203"/>
      <c r="B31" s="204" t="s">
        <v>748</v>
      </c>
      <c r="C31" s="205"/>
      <c r="D31" s="205"/>
      <c r="E31" s="206"/>
      <c r="F31" s="206"/>
      <c r="G31" s="207"/>
      <c r="H31" s="208"/>
      <c r="I31" s="208"/>
      <c r="J31" s="208"/>
    </row>
    <row r="32" spans="1:10" s="10" customFormat="1" ht="14.4" customHeight="1" x14ac:dyDescent="0.25">
      <c r="A32" s="1536" t="s">
        <v>35</v>
      </c>
      <c r="B32" s="1536"/>
      <c r="C32" s="90"/>
      <c r="D32" s="90"/>
      <c r="E32" s="408"/>
      <c r="F32" s="408">
        <f>F30</f>
        <v>35.869999999999997</v>
      </c>
      <c r="G32" s="490"/>
      <c r="H32" s="490"/>
      <c r="I32" s="21"/>
      <c r="J32" s="408"/>
    </row>
    <row r="33" spans="1:10" s="10" customFormat="1" ht="14.4" customHeight="1" x14ac:dyDescent="0.25">
      <c r="A33" s="1536" t="s">
        <v>36</v>
      </c>
      <c r="B33" s="1536"/>
      <c r="C33" s="90">
        <v>40</v>
      </c>
      <c r="D33" s="90"/>
      <c r="E33" s="408"/>
      <c r="F33" s="408"/>
      <c r="G33" s="408"/>
      <c r="H33" s="408"/>
      <c r="I33" s="21"/>
      <c r="J33" s="17"/>
    </row>
    <row r="34" spans="1:10" s="10" customFormat="1" ht="25.35" customHeight="1" x14ac:dyDescent="0.25">
      <c r="A34" s="1537" t="s">
        <v>37</v>
      </c>
      <c r="B34" s="1538"/>
      <c r="C34" s="91">
        <v>40</v>
      </c>
      <c r="D34" s="92"/>
      <c r="E34" s="489"/>
      <c r="F34" s="489"/>
      <c r="G34" s="489"/>
      <c r="H34" s="489"/>
      <c r="I34" s="21"/>
      <c r="J34" s="17"/>
    </row>
    <row r="35" spans="1:10" s="10" customFormat="1" ht="15" customHeight="1" x14ac:dyDescent="0.25">
      <c r="A35" s="1539" t="s">
        <v>38</v>
      </c>
      <c r="B35" s="1540"/>
      <c r="C35" s="92">
        <f>C33/C34</f>
        <v>1</v>
      </c>
      <c r="D35" s="92"/>
      <c r="E35" s="489"/>
      <c r="F35" s="489"/>
      <c r="G35" s="489"/>
      <c r="H35" s="489"/>
      <c r="I35" s="21"/>
      <c r="J35" s="17"/>
    </row>
    <row r="36" spans="1:10" ht="16.350000000000001" customHeight="1" x14ac:dyDescent="0.25">
      <c r="A36" s="1541" t="s">
        <v>39</v>
      </c>
      <c r="B36" s="1542"/>
      <c r="C36" s="15" t="s">
        <v>40</v>
      </c>
      <c r="D36" s="102"/>
      <c r="E36" s="102" t="s">
        <v>40</v>
      </c>
      <c r="F36" s="16">
        <f>F32/C35</f>
        <v>35.869999999999997</v>
      </c>
      <c r="G36" s="16"/>
      <c r="H36" s="16"/>
      <c r="I36" s="102" t="s">
        <v>40</v>
      </c>
      <c r="J36" s="102" t="s">
        <v>40</v>
      </c>
    </row>
    <row r="37" spans="1:10" ht="17.399999999999999" customHeight="1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193"/>
      <c r="B38" s="1194" t="s">
        <v>49</v>
      </c>
      <c r="C38" s="1198"/>
      <c r="D38" s="1198"/>
      <c r="E38" s="1198"/>
      <c r="F38" s="1198"/>
      <c r="G38" s="1193"/>
      <c r="H38" s="1557">
        <f>'1-бутерброд с маслом'!$H$28</f>
        <v>0</v>
      </c>
      <c r="I38" s="1557"/>
      <c r="J38" s="1557"/>
    </row>
    <row r="39" spans="1:10" ht="18" customHeight="1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ht="13.95" customHeight="1" x14ac:dyDescent="0.25">
      <c r="A40" s="1545" t="s">
        <v>327</v>
      </c>
      <c r="B40" s="1545"/>
      <c r="C40" s="1546" t="s">
        <v>328</v>
      </c>
      <c r="D40" s="1546"/>
      <c r="E40" s="1546"/>
      <c r="F40" s="1546"/>
      <c r="G40" s="106"/>
      <c r="H40" s="1531"/>
      <c r="I40" s="1531"/>
      <c r="J40" s="1531"/>
    </row>
    <row r="41" spans="1:10" x14ac:dyDescent="0.25">
      <c r="A41" s="1193"/>
      <c r="B41" s="1193"/>
      <c r="C41" s="1546"/>
      <c r="D41" s="1546"/>
      <c r="E41" s="1546"/>
      <c r="F41" s="1546"/>
      <c r="G41" s="1193"/>
      <c r="H41" s="1531" t="s">
        <v>329</v>
      </c>
      <c r="I41" s="1531"/>
      <c r="J41" s="1531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  <row r="45" spans="1:10" x14ac:dyDescent="0.25">
      <c r="A45" s="1193"/>
      <c r="B45" s="1193"/>
      <c r="C45" s="1193"/>
      <c r="D45" s="1193"/>
      <c r="E45" s="1193"/>
      <c r="F45" s="1193"/>
      <c r="G45" s="1193"/>
      <c r="H45" s="1193"/>
      <c r="I45" s="1193"/>
      <c r="J45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0:B40"/>
    <mergeCell ref="C40:F41"/>
    <mergeCell ref="H40:J40"/>
    <mergeCell ref="H41:J41"/>
    <mergeCell ref="A33:B33"/>
    <mergeCell ref="A34:B34"/>
    <mergeCell ref="A35:B35"/>
    <mergeCell ref="A36:B36"/>
    <mergeCell ref="H38:J38"/>
    <mergeCell ref="A32:B32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40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4.33203125" customWidth="1"/>
    <col min="3" max="7" width="7.5546875" customWidth="1"/>
    <col min="8" max="8" width="8.88671875" customWidth="1"/>
    <col min="9" max="9" width="7.5546875" customWidth="1"/>
    <col min="10" max="10" width="7.6640625" customWidth="1"/>
    <col min="11" max="11" width="4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176)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252</v>
      </c>
    </row>
    <row r="8" spans="1:10" s="2" customFormat="1" ht="9.6" customHeight="1" x14ac:dyDescent="0.25">
      <c r="A8" s="197"/>
      <c r="B8" s="197"/>
      <c r="C8" s="197"/>
      <c r="D8" s="197"/>
      <c r="E8" s="197"/>
      <c r="F8" s="197"/>
      <c r="G8" s="197"/>
      <c r="H8" s="197"/>
      <c r="I8" s="197"/>
      <c r="J8" s="109"/>
    </row>
    <row r="9" spans="1:10" s="2" customFormat="1" ht="26.1" customHeight="1" x14ac:dyDescent="0.3">
      <c r="A9" s="1550" t="s">
        <v>655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'251-поджарка (2)'!H14+1</f>
        <v>176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194" t="s">
        <v>92</v>
      </c>
      <c r="D17" s="194" t="s">
        <v>94</v>
      </c>
      <c r="E17" s="194" t="s">
        <v>93</v>
      </c>
      <c r="F17" s="194" t="s">
        <v>23</v>
      </c>
      <c r="G17" s="194" t="s">
        <v>92</v>
      </c>
      <c r="H17" s="194" t="s">
        <v>94</v>
      </c>
      <c r="I17" s="194" t="s">
        <v>92</v>
      </c>
      <c r="J17" s="194" t="s">
        <v>94</v>
      </c>
    </row>
    <row r="18" spans="1:10" ht="9.6" customHeight="1" x14ac:dyDescent="0.25">
      <c r="A18" s="194">
        <v>1</v>
      </c>
      <c r="B18" s="196">
        <v>2</v>
      </c>
      <c r="C18" s="194">
        <v>3</v>
      </c>
      <c r="D18" s="196">
        <v>4</v>
      </c>
      <c r="E18" s="194">
        <v>5</v>
      </c>
      <c r="F18" s="196">
        <v>6</v>
      </c>
      <c r="G18" s="194">
        <v>7</v>
      </c>
      <c r="H18" s="196">
        <v>8</v>
      </c>
      <c r="I18" s="194">
        <v>9</v>
      </c>
      <c r="J18" s="196">
        <v>10</v>
      </c>
    </row>
    <row r="19" spans="1:10" s="10" customFormat="1" ht="13.35" customHeight="1" x14ac:dyDescent="0.25">
      <c r="A19" s="180">
        <v>1</v>
      </c>
      <c r="B19" s="20" t="s">
        <v>199</v>
      </c>
      <c r="C19" s="111">
        <v>5.7000000000000002E-2</v>
      </c>
      <c r="D19" s="111">
        <v>5.6000000000000001E-2</v>
      </c>
      <c r="E19" s="13">
        <f>цены!F11</f>
        <v>325</v>
      </c>
      <c r="F19" s="13">
        <f>C19*E19</f>
        <v>18.53</v>
      </c>
      <c r="G19" s="97">
        <f t="shared" ref="G19:H24" si="0">C19*10</f>
        <v>0.56999999999999995</v>
      </c>
      <c r="H19" s="21">
        <f t="shared" si="0"/>
        <v>0.56000000000000005</v>
      </c>
      <c r="I19" s="21">
        <f t="shared" ref="I19:J24" si="1">C19*100</f>
        <v>5.7</v>
      </c>
      <c r="J19" s="21">
        <f t="shared" si="1"/>
        <v>5.6</v>
      </c>
    </row>
    <row r="20" spans="1:10" s="10" customFormat="1" ht="14.1" customHeight="1" x14ac:dyDescent="0.25">
      <c r="A20" s="180">
        <v>2</v>
      </c>
      <c r="B20" s="20" t="s">
        <v>31</v>
      </c>
      <c r="C20" s="111">
        <v>5.0000000000000001E-3</v>
      </c>
      <c r="D20" s="111">
        <v>5.0000000000000001E-3</v>
      </c>
      <c r="E20" s="13">
        <f>цены!F21</f>
        <v>710</v>
      </c>
      <c r="F20" s="13">
        <f>C20*E20</f>
        <v>3.55</v>
      </c>
      <c r="G20" s="97">
        <f t="shared" si="0"/>
        <v>0.05</v>
      </c>
      <c r="H20" s="21">
        <f t="shared" si="0"/>
        <v>0.05</v>
      </c>
      <c r="I20" s="21">
        <f t="shared" si="1"/>
        <v>0.5</v>
      </c>
      <c r="J20" s="21">
        <f t="shared" si="1"/>
        <v>0.5</v>
      </c>
    </row>
    <row r="21" spans="1:10" s="10" customFormat="1" ht="27" customHeight="1" x14ac:dyDescent="0.25">
      <c r="A21" s="184"/>
      <c r="B21" s="93" t="s">
        <v>400</v>
      </c>
      <c r="C21" s="112"/>
      <c r="D21" s="112">
        <v>0.05</v>
      </c>
      <c r="E21" s="95"/>
      <c r="F21" s="95">
        <f>SUM(F19:F20)</f>
        <v>22.08</v>
      </c>
      <c r="G21" s="99"/>
      <c r="H21" s="100">
        <f>D21*10</f>
        <v>0.5</v>
      </c>
      <c r="I21" s="100"/>
      <c r="J21" s="100">
        <f>D21*100</f>
        <v>5</v>
      </c>
    </row>
    <row r="22" spans="1:10" s="10" customFormat="1" ht="14.1" customHeight="1" x14ac:dyDescent="0.25">
      <c r="A22" s="180">
        <v>3</v>
      </c>
      <c r="B22" s="20" t="s">
        <v>654</v>
      </c>
      <c r="C22" s="111">
        <v>0.03</v>
      </c>
      <c r="D22" s="111">
        <v>0.03</v>
      </c>
      <c r="E22" s="13">
        <f>'332-соус с луком'!F27</f>
        <v>82.6</v>
      </c>
      <c r="F22" s="13">
        <f>C22*E22</f>
        <v>2.48</v>
      </c>
      <c r="G22" s="97">
        <f t="shared" si="0"/>
        <v>0.3</v>
      </c>
      <c r="H22" s="21">
        <f t="shared" si="0"/>
        <v>0.3</v>
      </c>
      <c r="I22" s="21">
        <f t="shared" si="1"/>
        <v>3</v>
      </c>
      <c r="J22" s="21">
        <f t="shared" si="1"/>
        <v>3</v>
      </c>
    </row>
    <row r="23" spans="1:10" s="10" customFormat="1" ht="14.1" customHeight="1" x14ac:dyDescent="0.25">
      <c r="A23" s="180">
        <v>4</v>
      </c>
      <c r="B23" s="20" t="s">
        <v>337</v>
      </c>
      <c r="C23" s="125">
        <v>2E-3</v>
      </c>
      <c r="D23" s="125">
        <v>2E-3</v>
      </c>
      <c r="E23" s="13">
        <f>цены!F39</f>
        <v>300</v>
      </c>
      <c r="F23" s="13">
        <f>C23*E23</f>
        <v>0.6</v>
      </c>
      <c r="G23" s="97">
        <f t="shared" si="0"/>
        <v>0.02</v>
      </c>
      <c r="H23" s="21">
        <f t="shared" si="0"/>
        <v>0.02</v>
      </c>
      <c r="I23" s="21">
        <f t="shared" si="1"/>
        <v>0.2</v>
      </c>
      <c r="J23" s="21">
        <f t="shared" si="1"/>
        <v>0.2</v>
      </c>
    </row>
    <row r="24" spans="1:10" s="10" customFormat="1" ht="14.1" customHeight="1" x14ac:dyDescent="0.25">
      <c r="A24" s="180">
        <v>5</v>
      </c>
      <c r="B24" s="20" t="s">
        <v>78</v>
      </c>
      <c r="C24" s="111">
        <v>2E-3</v>
      </c>
      <c r="D24" s="111">
        <v>2E-3</v>
      </c>
      <c r="E24" s="13">
        <f>цены!F48</f>
        <v>300</v>
      </c>
      <c r="F24" s="13">
        <f>C24*E24</f>
        <v>0.6</v>
      </c>
      <c r="G24" s="97">
        <f t="shared" si="0"/>
        <v>0.02</v>
      </c>
      <c r="H24" s="21">
        <f t="shared" si="0"/>
        <v>0.02</v>
      </c>
      <c r="I24" s="21">
        <f t="shared" si="1"/>
        <v>0.2</v>
      </c>
      <c r="J24" s="21">
        <f t="shared" si="1"/>
        <v>0.2</v>
      </c>
    </row>
    <row r="25" spans="1:10" s="10" customFormat="1" ht="12" customHeight="1" x14ac:dyDescent="0.25">
      <c r="A25" s="98"/>
      <c r="B25" s="93" t="s">
        <v>100</v>
      </c>
      <c r="C25" s="112"/>
      <c r="D25" s="112">
        <v>0.08</v>
      </c>
      <c r="E25" s="95"/>
      <c r="F25" s="95">
        <f>F21+F22+F23+F24</f>
        <v>25.76</v>
      </c>
      <c r="G25" s="99"/>
      <c r="H25" s="100">
        <f>D25*10</f>
        <v>0.8</v>
      </c>
      <c r="I25" s="100"/>
      <c r="J25" s="100">
        <f>D25*100</f>
        <v>8</v>
      </c>
    </row>
    <row r="26" spans="1:10" s="10" customFormat="1" ht="28.35" customHeight="1" x14ac:dyDescent="0.25">
      <c r="A26" s="203"/>
      <c r="B26" s="204" t="s">
        <v>409</v>
      </c>
      <c r="C26" s="205"/>
      <c r="D26" s="205"/>
      <c r="E26" s="206"/>
      <c r="F26" s="206"/>
      <c r="G26" s="207"/>
      <c r="H26" s="208"/>
      <c r="I26" s="208"/>
      <c r="J26" s="208"/>
    </row>
    <row r="27" spans="1:10" s="10" customFormat="1" ht="27.6" customHeight="1" x14ac:dyDescent="0.25">
      <c r="A27" s="1536" t="s">
        <v>35</v>
      </c>
      <c r="B27" s="1536"/>
      <c r="C27" s="90"/>
      <c r="D27" s="90"/>
      <c r="E27" s="13"/>
      <c r="F27" s="13">
        <f>F25</f>
        <v>25.76</v>
      </c>
      <c r="G27" s="195"/>
      <c r="H27" s="195"/>
      <c r="I27" s="21"/>
      <c r="J27" s="13"/>
    </row>
    <row r="28" spans="1:10" s="10" customFormat="1" ht="25.35" customHeight="1" x14ac:dyDescent="0.25">
      <c r="A28" s="1536" t="s">
        <v>36</v>
      </c>
      <c r="B28" s="1536"/>
      <c r="C28" s="90">
        <v>80</v>
      </c>
      <c r="D28" s="90"/>
      <c r="E28" s="13"/>
      <c r="F28" s="13"/>
      <c r="G28" s="13"/>
      <c r="H28" s="13"/>
      <c r="I28" s="21"/>
      <c r="J28" s="17"/>
    </row>
    <row r="29" spans="1:10" s="10" customFormat="1" ht="25.35" customHeight="1" x14ac:dyDescent="0.25">
      <c r="A29" s="1537" t="s">
        <v>37</v>
      </c>
      <c r="B29" s="1538"/>
      <c r="C29" s="91">
        <v>80</v>
      </c>
      <c r="D29" s="92"/>
      <c r="E29" s="196"/>
      <c r="F29" s="196"/>
      <c r="G29" s="196"/>
      <c r="H29" s="196"/>
      <c r="I29" s="21"/>
      <c r="J29" s="17"/>
    </row>
    <row r="30" spans="1:10" s="10" customFormat="1" ht="15" customHeight="1" x14ac:dyDescent="0.25">
      <c r="A30" s="1539" t="s">
        <v>38</v>
      </c>
      <c r="B30" s="1540"/>
      <c r="C30" s="92">
        <f>C28/C29</f>
        <v>1</v>
      </c>
      <c r="D30" s="92"/>
      <c r="E30" s="196"/>
      <c r="F30" s="196"/>
      <c r="G30" s="196"/>
      <c r="H30" s="196"/>
      <c r="I30" s="21"/>
      <c r="J30" s="17"/>
    </row>
    <row r="31" spans="1:10" ht="16.350000000000001" customHeight="1" x14ac:dyDescent="0.25">
      <c r="A31" s="1541" t="s">
        <v>39</v>
      </c>
      <c r="B31" s="1542"/>
      <c r="C31" s="15" t="s">
        <v>40</v>
      </c>
      <c r="D31" s="102"/>
      <c r="E31" s="102" t="s">
        <v>40</v>
      </c>
      <c r="F31" s="16">
        <f>F27/C30</f>
        <v>25.76</v>
      </c>
      <c r="G31" s="16"/>
      <c r="H31" s="16"/>
      <c r="I31" s="102" t="s">
        <v>40</v>
      </c>
      <c r="J31" s="102" t="s">
        <v>40</v>
      </c>
    </row>
    <row r="32" spans="1:10" ht="23.1" customHeight="1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193"/>
      <c r="B33" s="1194" t="s">
        <v>49</v>
      </c>
      <c r="C33" s="1198"/>
      <c r="D33" s="1198"/>
      <c r="E33" s="1198"/>
      <c r="F33" s="1198"/>
      <c r="G33" s="1193"/>
      <c r="H33" s="1557">
        <f>'1-бутерброд с маслом'!$H$28</f>
        <v>0</v>
      </c>
      <c r="I33" s="1557"/>
      <c r="J33" s="1557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545" t="s">
        <v>327</v>
      </c>
      <c r="B35" s="1545"/>
      <c r="C35" s="1546" t="s">
        <v>328</v>
      </c>
      <c r="D35" s="1546"/>
      <c r="E35" s="1546"/>
      <c r="F35" s="1546"/>
      <c r="G35" s="106"/>
      <c r="H35" s="1531"/>
      <c r="I35" s="1531"/>
      <c r="J35" s="1531"/>
    </row>
    <row r="36" spans="1:10" x14ac:dyDescent="0.25">
      <c r="A36" s="1193"/>
      <c r="B36" s="1193"/>
      <c r="C36" s="1546"/>
      <c r="D36" s="1546"/>
      <c r="E36" s="1546"/>
      <c r="F36" s="1546"/>
      <c r="G36" s="1193"/>
      <c r="H36" s="1531" t="s">
        <v>329</v>
      </c>
      <c r="I36" s="1531"/>
      <c r="J36" s="1531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</sheetData>
  <mergeCells count="28">
    <mergeCell ref="H33:J33"/>
    <mergeCell ref="A13:G13"/>
    <mergeCell ref="A28:B28"/>
    <mergeCell ref="A29:B29"/>
    <mergeCell ref="A30:B30"/>
    <mergeCell ref="A31:B31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5:B35"/>
    <mergeCell ref="C35:F36"/>
    <mergeCell ref="H35:J35"/>
    <mergeCell ref="H36:J36"/>
    <mergeCell ref="H5:I5"/>
    <mergeCell ref="A6:G6"/>
    <mergeCell ref="A7:I7"/>
    <mergeCell ref="A27:B27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46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2.4414062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441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177)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256</v>
      </c>
    </row>
    <row r="8" spans="1:10" s="2" customFormat="1" ht="9.6" customHeight="1" x14ac:dyDescent="0.25">
      <c r="A8" s="199"/>
      <c r="B8" s="199"/>
      <c r="C8" s="199"/>
      <c r="D8" s="199"/>
      <c r="E8" s="199"/>
      <c r="F8" s="199"/>
      <c r="G8" s="199"/>
      <c r="H8" s="199"/>
      <c r="I8" s="199"/>
      <c r="J8" s="109"/>
    </row>
    <row r="9" spans="1:10" s="2" customFormat="1" ht="26.1" customHeight="1" x14ac:dyDescent="0.3">
      <c r="A9" s="1550" t="s">
        <v>656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'252-сосиски жареные'!H14+1</f>
        <v>177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00" t="s">
        <v>92</v>
      </c>
      <c r="D17" s="200" t="s">
        <v>94</v>
      </c>
      <c r="E17" s="200" t="s">
        <v>93</v>
      </c>
      <c r="F17" s="200" t="s">
        <v>23</v>
      </c>
      <c r="G17" s="200" t="s">
        <v>92</v>
      </c>
      <c r="H17" s="200" t="s">
        <v>94</v>
      </c>
      <c r="I17" s="200" t="s">
        <v>92</v>
      </c>
      <c r="J17" s="200" t="s">
        <v>94</v>
      </c>
    </row>
    <row r="18" spans="1:10" ht="9.6" customHeight="1" x14ac:dyDescent="0.25">
      <c r="A18" s="200">
        <v>1</v>
      </c>
      <c r="B18" s="201">
        <v>2</v>
      </c>
      <c r="C18" s="200">
        <v>3</v>
      </c>
      <c r="D18" s="201">
        <v>4</v>
      </c>
      <c r="E18" s="200">
        <v>5</v>
      </c>
      <c r="F18" s="201">
        <v>6</v>
      </c>
      <c r="G18" s="200">
        <v>7</v>
      </c>
      <c r="H18" s="201">
        <v>8</v>
      </c>
      <c r="I18" s="200">
        <v>9</v>
      </c>
      <c r="J18" s="201">
        <v>10</v>
      </c>
    </row>
    <row r="19" spans="1:10" s="10" customFormat="1" ht="35.4" customHeight="1" x14ac:dyDescent="0.25">
      <c r="A19" s="180">
        <v>1</v>
      </c>
      <c r="B19" s="20" t="s">
        <v>402</v>
      </c>
      <c r="C19" s="21">
        <v>0.113</v>
      </c>
      <c r="D19" s="21">
        <v>8.3000000000000004E-2</v>
      </c>
      <c r="E19" s="13">
        <f>цены!F7</f>
        <v>560</v>
      </c>
      <c r="F19" s="13">
        <f>C19*E19</f>
        <v>63.28</v>
      </c>
      <c r="G19" s="97">
        <f t="shared" ref="G19:H21" si="0">C19*10</f>
        <v>1.1299999999999999</v>
      </c>
      <c r="H19" s="21">
        <f t="shared" si="0"/>
        <v>0.83</v>
      </c>
      <c r="I19" s="21">
        <f t="shared" ref="I19:J21" si="1">C19*100</f>
        <v>11.3</v>
      </c>
      <c r="J19" s="21">
        <f t="shared" si="1"/>
        <v>8.3000000000000007</v>
      </c>
    </row>
    <row r="20" spans="1:10" s="10" customFormat="1" ht="14.1" customHeight="1" x14ac:dyDescent="0.25">
      <c r="A20" s="180">
        <v>2</v>
      </c>
      <c r="B20" s="20" t="s">
        <v>47</v>
      </c>
      <c r="C20" s="21">
        <v>5.0000000000000001E-3</v>
      </c>
      <c r="D20" s="21">
        <v>4.0000000000000001E-3</v>
      </c>
      <c r="E20" s="13">
        <f>цены!F44</f>
        <v>50</v>
      </c>
      <c r="F20" s="13">
        <f>C20*E20</f>
        <v>0.25</v>
      </c>
      <c r="G20" s="97">
        <f t="shared" si="0"/>
        <v>0.05</v>
      </c>
      <c r="H20" s="21">
        <f t="shared" si="0"/>
        <v>0.04</v>
      </c>
      <c r="I20" s="21">
        <f t="shared" si="1"/>
        <v>0.5</v>
      </c>
      <c r="J20" s="21">
        <f t="shared" si="1"/>
        <v>0.4</v>
      </c>
    </row>
    <row r="21" spans="1:10" s="10" customFormat="1" ht="12" customHeight="1" x14ac:dyDescent="0.25">
      <c r="A21" s="180">
        <v>3</v>
      </c>
      <c r="B21" s="20" t="s">
        <v>48</v>
      </c>
      <c r="C21" s="111">
        <v>5.0000000000000001E-3</v>
      </c>
      <c r="D21" s="111">
        <v>4.0000000000000001E-3</v>
      </c>
      <c r="E21" s="13">
        <f>цены!F38</f>
        <v>50</v>
      </c>
      <c r="F21" s="13">
        <f>C21*E21</f>
        <v>0.25</v>
      </c>
      <c r="G21" s="97">
        <f t="shared" si="0"/>
        <v>0.05</v>
      </c>
      <c r="H21" s="21">
        <f t="shared" si="0"/>
        <v>0.04</v>
      </c>
      <c r="I21" s="21">
        <f t="shared" si="1"/>
        <v>0.5</v>
      </c>
      <c r="J21" s="21">
        <f t="shared" si="1"/>
        <v>0.4</v>
      </c>
    </row>
    <row r="22" spans="1:10" s="10" customFormat="1" ht="12" customHeight="1" x14ac:dyDescent="0.25">
      <c r="A22" s="180">
        <v>4</v>
      </c>
      <c r="B22" s="20" t="s">
        <v>74</v>
      </c>
      <c r="C22" s="111">
        <v>5.0000000000000001E-3</v>
      </c>
      <c r="D22" s="111">
        <v>5.0000000000000001E-3</v>
      </c>
      <c r="E22" s="13">
        <f>цены!F87</f>
        <v>120</v>
      </c>
      <c r="F22" s="13">
        <f t="shared" ref="F22:F28" si="2">C22*E22</f>
        <v>0.6</v>
      </c>
      <c r="G22" s="97">
        <f t="shared" ref="G22:G28" si="3">C22*10</f>
        <v>0.05</v>
      </c>
      <c r="H22" s="21">
        <f t="shared" ref="H22:H28" si="4">D22*10</f>
        <v>0.05</v>
      </c>
      <c r="I22" s="21">
        <f t="shared" ref="I22:I28" si="5">C22*100</f>
        <v>0.5</v>
      </c>
      <c r="J22" s="21">
        <f t="shared" ref="J22:J28" si="6">D22*100</f>
        <v>0.5</v>
      </c>
    </row>
    <row r="23" spans="1:10" s="10" customFormat="1" ht="12" customHeight="1" x14ac:dyDescent="0.25">
      <c r="A23" s="180">
        <v>5</v>
      </c>
      <c r="B23" s="20" t="s">
        <v>46</v>
      </c>
      <c r="C23" s="111">
        <v>7.0000000000000001E-3</v>
      </c>
      <c r="D23" s="111">
        <v>7.0000000000000001E-3</v>
      </c>
      <c r="E23" s="13">
        <f>цены!F113</f>
        <v>230</v>
      </c>
      <c r="F23" s="13">
        <f t="shared" si="2"/>
        <v>1.61</v>
      </c>
      <c r="G23" s="97">
        <f t="shared" si="3"/>
        <v>7.0000000000000007E-2</v>
      </c>
      <c r="H23" s="21">
        <f t="shared" si="4"/>
        <v>7.0000000000000007E-2</v>
      </c>
      <c r="I23" s="21">
        <f t="shared" si="5"/>
        <v>0.7</v>
      </c>
      <c r="J23" s="21">
        <f t="shared" si="6"/>
        <v>0.7</v>
      </c>
    </row>
    <row r="24" spans="1:10" s="10" customFormat="1" ht="12" customHeight="1" x14ac:dyDescent="0.25">
      <c r="A24" s="180">
        <v>6</v>
      </c>
      <c r="B24" s="20" t="s">
        <v>45</v>
      </c>
      <c r="C24" s="111">
        <v>2E-3</v>
      </c>
      <c r="D24" s="111">
        <v>2E-3</v>
      </c>
      <c r="E24" s="13">
        <f>цены!F74</f>
        <v>36</v>
      </c>
      <c r="F24" s="13">
        <f t="shared" si="2"/>
        <v>7.0000000000000007E-2</v>
      </c>
      <c r="G24" s="97">
        <f t="shared" si="3"/>
        <v>0.02</v>
      </c>
      <c r="H24" s="21">
        <f t="shared" si="4"/>
        <v>0.02</v>
      </c>
      <c r="I24" s="21">
        <f t="shared" si="5"/>
        <v>0.2</v>
      </c>
      <c r="J24" s="21">
        <f t="shared" si="6"/>
        <v>0.2</v>
      </c>
    </row>
    <row r="25" spans="1:10" s="10" customFormat="1" ht="12" customHeight="1" x14ac:dyDescent="0.25">
      <c r="A25" s="180">
        <v>7</v>
      </c>
      <c r="B25" s="20" t="s">
        <v>124</v>
      </c>
      <c r="C25" s="111">
        <v>3.0000000000000001E-3</v>
      </c>
      <c r="D25" s="111">
        <v>3.0000000000000001E-3</v>
      </c>
      <c r="E25" s="13">
        <f>цены!F110</f>
        <v>24</v>
      </c>
      <c r="F25" s="13">
        <f t="shared" si="2"/>
        <v>7.0000000000000007E-2</v>
      </c>
      <c r="G25" s="97">
        <f t="shared" si="3"/>
        <v>0.03</v>
      </c>
      <c r="H25" s="21">
        <f t="shared" si="4"/>
        <v>0.03</v>
      </c>
      <c r="I25" s="21">
        <f t="shared" si="5"/>
        <v>0.3</v>
      </c>
      <c r="J25" s="21">
        <f t="shared" si="6"/>
        <v>0.3</v>
      </c>
    </row>
    <row r="26" spans="1:10" s="10" customFormat="1" ht="12" customHeight="1" x14ac:dyDescent="0.25">
      <c r="A26" s="180">
        <v>8</v>
      </c>
      <c r="B26" s="20" t="s">
        <v>84</v>
      </c>
      <c r="C26" s="125">
        <v>2.0000000000000002E-5</v>
      </c>
      <c r="D26" s="125">
        <v>2.0000000000000002E-5</v>
      </c>
      <c r="E26" s="13">
        <f>цены!F100</f>
        <v>1000</v>
      </c>
      <c r="F26" s="13">
        <f t="shared" si="2"/>
        <v>0.02</v>
      </c>
      <c r="G26" s="97">
        <f t="shared" si="3"/>
        <v>0</v>
      </c>
      <c r="H26" s="21">
        <f t="shared" si="4"/>
        <v>0</v>
      </c>
      <c r="I26" s="21">
        <f t="shared" si="5"/>
        <v>2E-3</v>
      </c>
      <c r="J26" s="21">
        <f t="shared" si="6"/>
        <v>2E-3</v>
      </c>
    </row>
    <row r="27" spans="1:10" s="10" customFormat="1" ht="12" customHeight="1" x14ac:dyDescent="0.25">
      <c r="A27" s="180">
        <v>9</v>
      </c>
      <c r="B27" s="20" t="s">
        <v>337</v>
      </c>
      <c r="C27" s="125">
        <v>2E-3</v>
      </c>
      <c r="D27" s="125">
        <v>2E-3</v>
      </c>
      <c r="E27" s="13">
        <f>цены!F39</f>
        <v>300</v>
      </c>
      <c r="F27" s="13">
        <f t="shared" si="2"/>
        <v>0.6</v>
      </c>
      <c r="G27" s="97">
        <f t="shared" si="3"/>
        <v>0.02</v>
      </c>
      <c r="H27" s="21">
        <f t="shared" si="4"/>
        <v>0.02</v>
      </c>
      <c r="I27" s="21">
        <f t="shared" si="5"/>
        <v>0.2</v>
      </c>
      <c r="J27" s="21">
        <f t="shared" si="6"/>
        <v>0.2</v>
      </c>
    </row>
    <row r="28" spans="1:10" s="10" customFormat="1" ht="12" customHeight="1" x14ac:dyDescent="0.25">
      <c r="A28" s="180">
        <v>10</v>
      </c>
      <c r="B28" s="20" t="s">
        <v>78</v>
      </c>
      <c r="C28" s="111">
        <v>2E-3</v>
      </c>
      <c r="D28" s="111">
        <v>2E-3</v>
      </c>
      <c r="E28" s="13">
        <f>цены!F48</f>
        <v>300</v>
      </c>
      <c r="F28" s="13">
        <f t="shared" si="2"/>
        <v>0.6</v>
      </c>
      <c r="G28" s="97">
        <f t="shared" si="3"/>
        <v>0.02</v>
      </c>
      <c r="H28" s="21">
        <f t="shared" si="4"/>
        <v>0.02</v>
      </c>
      <c r="I28" s="21">
        <f t="shared" si="5"/>
        <v>0.2</v>
      </c>
      <c r="J28" s="21">
        <f t="shared" si="6"/>
        <v>0.2</v>
      </c>
    </row>
    <row r="29" spans="1:10" s="10" customFormat="1" ht="12" customHeight="1" x14ac:dyDescent="0.25">
      <c r="A29" s="98"/>
      <c r="B29" s="93" t="s">
        <v>206</v>
      </c>
      <c r="C29" s="112"/>
      <c r="D29" s="112">
        <v>0.05</v>
      </c>
      <c r="E29" s="95"/>
      <c r="F29" s="95">
        <f>SUM(F19:F28)</f>
        <v>67.349999999999994</v>
      </c>
      <c r="G29" s="99"/>
      <c r="H29" s="100">
        <f>D29*10</f>
        <v>0.5</v>
      </c>
      <c r="I29" s="100"/>
      <c r="J29" s="100">
        <f>D29*100</f>
        <v>5</v>
      </c>
    </row>
    <row r="30" spans="1:10" s="10" customFormat="1" ht="12" customHeight="1" x14ac:dyDescent="0.25">
      <c r="A30" s="98"/>
      <c r="B30" s="93" t="s">
        <v>547</v>
      </c>
      <c r="C30" s="112"/>
      <c r="D30" s="112">
        <v>0.05</v>
      </c>
      <c r="E30" s="95"/>
      <c r="F30" s="95"/>
      <c r="G30" s="99"/>
      <c r="H30" s="100"/>
      <c r="I30" s="100"/>
      <c r="J30" s="100"/>
    </row>
    <row r="31" spans="1:10" s="10" customFormat="1" ht="12" customHeight="1" x14ac:dyDescent="0.25">
      <c r="A31" s="98"/>
      <c r="B31" s="93" t="s">
        <v>100</v>
      </c>
      <c r="C31" s="112"/>
      <c r="D31" s="112">
        <v>0.1</v>
      </c>
      <c r="E31" s="95"/>
      <c r="F31" s="95">
        <f>F29</f>
        <v>67.349999999999994</v>
      </c>
      <c r="G31" s="99"/>
      <c r="H31" s="100">
        <f>D31*10</f>
        <v>1</v>
      </c>
      <c r="I31" s="100"/>
      <c r="J31" s="100">
        <f>D31*100</f>
        <v>10</v>
      </c>
    </row>
    <row r="32" spans="1:10" s="10" customFormat="1" ht="29.4" customHeight="1" x14ac:dyDescent="0.25">
      <c r="A32" s="203"/>
      <c r="B32" s="204" t="s">
        <v>403</v>
      </c>
      <c r="C32" s="205"/>
      <c r="D32" s="205"/>
      <c r="E32" s="206"/>
      <c r="F32" s="206"/>
      <c r="G32" s="207"/>
      <c r="H32" s="208"/>
      <c r="I32" s="208"/>
      <c r="J32" s="208"/>
    </row>
    <row r="33" spans="1:10" s="10" customFormat="1" ht="27.6" customHeight="1" x14ac:dyDescent="0.25">
      <c r="A33" s="1536" t="s">
        <v>35</v>
      </c>
      <c r="B33" s="1536"/>
      <c r="C33" s="90"/>
      <c r="D33" s="90"/>
      <c r="E33" s="13"/>
      <c r="F33" s="13">
        <f>F31</f>
        <v>67.349999999999994</v>
      </c>
      <c r="G33" s="202"/>
      <c r="H33" s="202"/>
      <c r="I33" s="21"/>
      <c r="J33" s="13"/>
    </row>
    <row r="34" spans="1:10" s="10" customFormat="1" ht="25.35" customHeight="1" x14ac:dyDescent="0.25">
      <c r="A34" s="1536" t="s">
        <v>36</v>
      </c>
      <c r="B34" s="1536"/>
      <c r="C34" s="90">
        <v>100</v>
      </c>
      <c r="D34" s="90"/>
      <c r="E34" s="13"/>
      <c r="F34" s="13"/>
      <c r="G34" s="13"/>
      <c r="H34" s="13"/>
      <c r="I34" s="21"/>
      <c r="J34" s="17"/>
    </row>
    <row r="35" spans="1:10" s="10" customFormat="1" ht="25.35" customHeight="1" x14ac:dyDescent="0.25">
      <c r="A35" s="1537" t="s">
        <v>37</v>
      </c>
      <c r="B35" s="1538"/>
      <c r="C35" s="91">
        <v>100</v>
      </c>
      <c r="D35" s="92"/>
      <c r="E35" s="201"/>
      <c r="F35" s="201"/>
      <c r="G35" s="201"/>
      <c r="H35" s="201"/>
      <c r="I35" s="21"/>
      <c r="J35" s="17"/>
    </row>
    <row r="36" spans="1:10" s="10" customFormat="1" ht="15" customHeight="1" x14ac:dyDescent="0.25">
      <c r="A36" s="1539" t="s">
        <v>38</v>
      </c>
      <c r="B36" s="1540"/>
      <c r="C36" s="92">
        <f>C34/C35</f>
        <v>1</v>
      </c>
      <c r="D36" s="92"/>
      <c r="E36" s="201"/>
      <c r="F36" s="201"/>
      <c r="G36" s="201"/>
      <c r="H36" s="201"/>
      <c r="I36" s="21"/>
      <c r="J36" s="17"/>
    </row>
    <row r="37" spans="1:10" ht="16.350000000000001" customHeight="1" x14ac:dyDescent="0.25">
      <c r="A37" s="1541" t="s">
        <v>39</v>
      </c>
      <c r="B37" s="1542"/>
      <c r="C37" s="15" t="s">
        <v>40</v>
      </c>
      <c r="D37" s="102"/>
      <c r="E37" s="102" t="s">
        <v>40</v>
      </c>
      <c r="F37" s="16">
        <f>F33/C36</f>
        <v>67.349999999999994</v>
      </c>
      <c r="G37" s="16"/>
      <c r="H37" s="16"/>
      <c r="I37" s="102" t="s">
        <v>40</v>
      </c>
      <c r="J37" s="102" t="s">
        <v>40</v>
      </c>
    </row>
    <row r="38" spans="1:10" ht="23.1" customHeight="1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193"/>
      <c r="B39" s="1194" t="s">
        <v>49</v>
      </c>
      <c r="C39" s="1198"/>
      <c r="D39" s="1198"/>
      <c r="E39" s="1198"/>
      <c r="F39" s="1198"/>
      <c r="G39" s="1193"/>
      <c r="H39" s="1557">
        <f>'1-бутерброд с маслом'!$H$28</f>
        <v>0</v>
      </c>
      <c r="I39" s="1557"/>
      <c r="J39" s="1557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ht="21" customHeight="1" x14ac:dyDescent="0.25">
      <c r="A41" s="1545" t="s">
        <v>327</v>
      </c>
      <c r="B41" s="1545"/>
      <c r="C41" s="1546" t="s">
        <v>328</v>
      </c>
      <c r="D41" s="1546"/>
      <c r="E41" s="1546"/>
      <c r="F41" s="1546"/>
      <c r="G41" s="106"/>
      <c r="H41" s="1531"/>
      <c r="I41" s="1531"/>
      <c r="J41" s="1531"/>
    </row>
    <row r="42" spans="1:10" ht="17.399999999999999" customHeight="1" x14ac:dyDescent="0.25">
      <c r="A42" s="1193"/>
      <c r="B42" s="1193"/>
      <c r="C42" s="1546"/>
      <c r="D42" s="1546"/>
      <c r="E42" s="1546"/>
      <c r="F42" s="1546"/>
      <c r="G42" s="1193"/>
      <c r="H42" s="1531" t="s">
        <v>329</v>
      </c>
      <c r="I42" s="1531"/>
      <c r="J42" s="1531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  <row r="45" spans="1:10" x14ac:dyDescent="0.25">
      <c r="A45" s="1193"/>
      <c r="B45" s="1193"/>
      <c r="C45" s="1193"/>
      <c r="D45" s="1193"/>
      <c r="E45" s="1193"/>
      <c r="F45" s="1193"/>
      <c r="G45" s="1193"/>
      <c r="H45" s="1193"/>
      <c r="I45" s="1193"/>
      <c r="J45" s="1193"/>
    </row>
    <row r="46" spans="1:10" x14ac:dyDescent="0.25">
      <c r="A46" s="1193"/>
      <c r="B46" s="1193"/>
      <c r="C46" s="1193"/>
      <c r="D46" s="1193"/>
      <c r="E46" s="1193"/>
      <c r="F46" s="1193"/>
      <c r="G46" s="1193"/>
      <c r="H46" s="1193"/>
      <c r="I46" s="1193"/>
      <c r="J46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1:B41"/>
    <mergeCell ref="C41:F42"/>
    <mergeCell ref="H41:J41"/>
    <mergeCell ref="H42:J42"/>
    <mergeCell ref="A34:B34"/>
    <mergeCell ref="A35:B35"/>
    <mergeCell ref="A36:B36"/>
    <mergeCell ref="A37:B37"/>
    <mergeCell ref="H39:J39"/>
    <mergeCell ref="A33:B33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45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2.4414062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178)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256</v>
      </c>
    </row>
    <row r="8" spans="1:10" s="2" customFormat="1" ht="9.6" customHeight="1" x14ac:dyDescent="0.25">
      <c r="A8" s="267"/>
      <c r="B8" s="267"/>
      <c r="C8" s="267"/>
      <c r="D8" s="267"/>
      <c r="E8" s="267"/>
      <c r="F8" s="267"/>
      <c r="G8" s="267"/>
      <c r="H8" s="267"/>
      <c r="I8" s="267"/>
      <c r="J8" s="109"/>
    </row>
    <row r="9" spans="1:10" s="2" customFormat="1" ht="26.1" customHeight="1" x14ac:dyDescent="0.3">
      <c r="A9" s="1550" t="s">
        <v>657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'256-мясо туш.'!H14+1</f>
        <v>178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68" t="s">
        <v>92</v>
      </c>
      <c r="D17" s="268" t="s">
        <v>94</v>
      </c>
      <c r="E17" s="268" t="s">
        <v>93</v>
      </c>
      <c r="F17" s="268" t="s">
        <v>23</v>
      </c>
      <c r="G17" s="268" t="s">
        <v>92</v>
      </c>
      <c r="H17" s="268" t="s">
        <v>94</v>
      </c>
      <c r="I17" s="268" t="s">
        <v>92</v>
      </c>
      <c r="J17" s="268" t="s">
        <v>94</v>
      </c>
    </row>
    <row r="18" spans="1:10" ht="9.6" customHeight="1" x14ac:dyDescent="0.25">
      <c r="A18" s="268">
        <v>1</v>
      </c>
      <c r="B18" s="269">
        <v>2</v>
      </c>
      <c r="C18" s="268">
        <v>3</v>
      </c>
      <c r="D18" s="269">
        <v>4</v>
      </c>
      <c r="E18" s="268">
        <v>5</v>
      </c>
      <c r="F18" s="269">
        <v>6</v>
      </c>
      <c r="G18" s="268">
        <v>7</v>
      </c>
      <c r="H18" s="269">
        <v>8</v>
      </c>
      <c r="I18" s="268">
        <v>9</v>
      </c>
      <c r="J18" s="269">
        <v>10</v>
      </c>
    </row>
    <row r="19" spans="1:10" s="10" customFormat="1" ht="35.4" customHeight="1" x14ac:dyDescent="0.25">
      <c r="A19" s="180">
        <v>1</v>
      </c>
      <c r="B19" s="20" t="s">
        <v>402</v>
      </c>
      <c r="C19" s="21">
        <v>0.113</v>
      </c>
      <c r="D19" s="21">
        <v>8.3000000000000004E-2</v>
      </c>
      <c r="E19" s="13">
        <f>цены!F7</f>
        <v>560</v>
      </c>
      <c r="F19" s="13">
        <f>C19*E19</f>
        <v>63.28</v>
      </c>
      <c r="G19" s="97">
        <f t="shared" ref="G19:H27" si="0">C19*10</f>
        <v>1.1299999999999999</v>
      </c>
      <c r="H19" s="21">
        <f t="shared" si="0"/>
        <v>0.83</v>
      </c>
      <c r="I19" s="21">
        <f t="shared" ref="I19:J27" si="1">C19*100</f>
        <v>11.3</v>
      </c>
      <c r="J19" s="21">
        <f t="shared" si="1"/>
        <v>8.3000000000000007</v>
      </c>
    </row>
    <row r="20" spans="1:10" s="10" customFormat="1" ht="14.1" customHeight="1" x14ac:dyDescent="0.25">
      <c r="A20" s="180">
        <v>2</v>
      </c>
      <c r="B20" s="20" t="s">
        <v>47</v>
      </c>
      <c r="C20" s="21">
        <v>5.0000000000000001E-3</v>
      </c>
      <c r="D20" s="21">
        <v>4.0000000000000001E-3</v>
      </c>
      <c r="E20" s="13">
        <f>цены!F44</f>
        <v>50</v>
      </c>
      <c r="F20" s="13">
        <f>C20*E20</f>
        <v>0.25</v>
      </c>
      <c r="G20" s="97">
        <f t="shared" si="0"/>
        <v>0.05</v>
      </c>
      <c r="H20" s="21">
        <f t="shared" si="0"/>
        <v>0.04</v>
      </c>
      <c r="I20" s="21">
        <f t="shared" si="1"/>
        <v>0.5</v>
      </c>
      <c r="J20" s="21">
        <f t="shared" si="1"/>
        <v>0.4</v>
      </c>
    </row>
    <row r="21" spans="1:10" s="10" customFormat="1" ht="12" customHeight="1" x14ac:dyDescent="0.25">
      <c r="A21" s="180">
        <v>3</v>
      </c>
      <c r="B21" s="20" t="s">
        <v>48</v>
      </c>
      <c r="C21" s="111">
        <v>5.0000000000000001E-3</v>
      </c>
      <c r="D21" s="111">
        <v>4.0000000000000001E-3</v>
      </c>
      <c r="E21" s="13">
        <f>цены!F38</f>
        <v>50</v>
      </c>
      <c r="F21" s="13">
        <f>C21*E21</f>
        <v>0.25</v>
      </c>
      <c r="G21" s="97">
        <f t="shared" si="0"/>
        <v>0.05</v>
      </c>
      <c r="H21" s="21">
        <f t="shared" si="0"/>
        <v>0.04</v>
      </c>
      <c r="I21" s="21">
        <f t="shared" si="1"/>
        <v>0.5</v>
      </c>
      <c r="J21" s="21">
        <f t="shared" si="1"/>
        <v>0.4</v>
      </c>
    </row>
    <row r="22" spans="1:10" s="10" customFormat="1" ht="12" customHeight="1" x14ac:dyDescent="0.25">
      <c r="A22" s="180">
        <v>4</v>
      </c>
      <c r="B22" s="20" t="s">
        <v>74</v>
      </c>
      <c r="C22" s="111">
        <v>5.0000000000000001E-3</v>
      </c>
      <c r="D22" s="111">
        <v>5.0000000000000001E-3</v>
      </c>
      <c r="E22" s="13">
        <f>цены!F87</f>
        <v>120</v>
      </c>
      <c r="F22" s="13">
        <f t="shared" ref="F22:F27" si="2">C22*E22</f>
        <v>0.6</v>
      </c>
      <c r="G22" s="97">
        <f t="shared" si="0"/>
        <v>0.05</v>
      </c>
      <c r="H22" s="21">
        <f t="shared" si="0"/>
        <v>0.05</v>
      </c>
      <c r="I22" s="21">
        <f t="shared" si="1"/>
        <v>0.5</v>
      </c>
      <c r="J22" s="21">
        <f t="shared" si="1"/>
        <v>0.5</v>
      </c>
    </row>
    <row r="23" spans="1:10" s="10" customFormat="1" ht="12" customHeight="1" x14ac:dyDescent="0.25">
      <c r="A23" s="180">
        <v>5</v>
      </c>
      <c r="B23" s="20" t="s">
        <v>46</v>
      </c>
      <c r="C23" s="111">
        <v>7.0000000000000001E-3</v>
      </c>
      <c r="D23" s="111">
        <v>7.0000000000000001E-3</v>
      </c>
      <c r="E23" s="13">
        <f>цены!F113</f>
        <v>230</v>
      </c>
      <c r="F23" s="13">
        <f t="shared" si="2"/>
        <v>1.61</v>
      </c>
      <c r="G23" s="97">
        <f t="shared" si="0"/>
        <v>7.0000000000000007E-2</v>
      </c>
      <c r="H23" s="21">
        <f t="shared" si="0"/>
        <v>7.0000000000000007E-2</v>
      </c>
      <c r="I23" s="21">
        <f t="shared" si="1"/>
        <v>0.7</v>
      </c>
      <c r="J23" s="21">
        <f t="shared" si="1"/>
        <v>0.7</v>
      </c>
    </row>
    <row r="24" spans="1:10" s="10" customFormat="1" ht="12" customHeight="1" x14ac:dyDescent="0.25">
      <c r="A24" s="180">
        <v>6</v>
      </c>
      <c r="B24" s="20" t="s">
        <v>45</v>
      </c>
      <c r="C24" s="111">
        <v>2E-3</v>
      </c>
      <c r="D24" s="111">
        <v>2E-3</v>
      </c>
      <c r="E24" s="13">
        <f>цены!F74</f>
        <v>36</v>
      </c>
      <c r="F24" s="13">
        <f t="shared" si="2"/>
        <v>7.0000000000000007E-2</v>
      </c>
      <c r="G24" s="97">
        <f t="shared" si="0"/>
        <v>0.02</v>
      </c>
      <c r="H24" s="21">
        <f t="shared" si="0"/>
        <v>0.02</v>
      </c>
      <c r="I24" s="21">
        <f t="shared" si="1"/>
        <v>0.2</v>
      </c>
      <c r="J24" s="21">
        <f t="shared" si="1"/>
        <v>0.2</v>
      </c>
    </row>
    <row r="25" spans="1:10" s="10" customFormat="1" ht="12" customHeight="1" x14ac:dyDescent="0.25">
      <c r="A25" s="180">
        <v>7</v>
      </c>
      <c r="B25" s="20" t="s">
        <v>124</v>
      </c>
      <c r="C25" s="111">
        <v>3.0000000000000001E-3</v>
      </c>
      <c r="D25" s="111">
        <v>3.0000000000000001E-3</v>
      </c>
      <c r="E25" s="13">
        <f>цены!F110</f>
        <v>24</v>
      </c>
      <c r="F25" s="13">
        <f t="shared" si="2"/>
        <v>7.0000000000000007E-2</v>
      </c>
      <c r="G25" s="97">
        <f t="shared" si="0"/>
        <v>0.03</v>
      </c>
      <c r="H25" s="21">
        <f t="shared" si="0"/>
        <v>0.03</v>
      </c>
      <c r="I25" s="21">
        <f t="shared" si="1"/>
        <v>0.3</v>
      </c>
      <c r="J25" s="21">
        <f t="shared" si="1"/>
        <v>0.3</v>
      </c>
    </row>
    <row r="26" spans="1:10" s="10" customFormat="1" ht="12" customHeight="1" x14ac:dyDescent="0.25">
      <c r="A26" s="180">
        <v>8</v>
      </c>
      <c r="B26" s="20" t="s">
        <v>84</v>
      </c>
      <c r="C26" s="125">
        <v>2.0000000000000002E-5</v>
      </c>
      <c r="D26" s="125">
        <v>2.0000000000000002E-5</v>
      </c>
      <c r="E26" s="13">
        <f>цены!F100</f>
        <v>1000</v>
      </c>
      <c r="F26" s="13">
        <f t="shared" si="2"/>
        <v>0.02</v>
      </c>
      <c r="G26" s="97">
        <f t="shared" si="0"/>
        <v>0</v>
      </c>
      <c r="H26" s="21">
        <f t="shared" si="0"/>
        <v>0</v>
      </c>
      <c r="I26" s="21">
        <f t="shared" si="1"/>
        <v>2E-3</v>
      </c>
      <c r="J26" s="21">
        <f t="shared" si="1"/>
        <v>2E-3</v>
      </c>
    </row>
    <row r="27" spans="1:10" s="10" customFormat="1" ht="12" customHeight="1" x14ac:dyDescent="0.25">
      <c r="A27" s="180">
        <v>10</v>
      </c>
      <c r="B27" s="20" t="s">
        <v>78</v>
      </c>
      <c r="C27" s="111">
        <v>2E-3</v>
      </c>
      <c r="D27" s="111">
        <v>2E-3</v>
      </c>
      <c r="E27" s="13">
        <f>цены!F48</f>
        <v>300</v>
      </c>
      <c r="F27" s="13">
        <f t="shared" si="2"/>
        <v>0.6</v>
      </c>
      <c r="G27" s="97">
        <f t="shared" si="0"/>
        <v>0.02</v>
      </c>
      <c r="H27" s="21">
        <f t="shared" si="0"/>
        <v>0.02</v>
      </c>
      <c r="I27" s="21">
        <f t="shared" si="1"/>
        <v>0.2</v>
      </c>
      <c r="J27" s="21">
        <f t="shared" si="1"/>
        <v>0.2</v>
      </c>
    </row>
    <row r="28" spans="1:10" s="10" customFormat="1" ht="12" customHeight="1" x14ac:dyDescent="0.25">
      <c r="A28" s="98"/>
      <c r="B28" s="93" t="s">
        <v>206</v>
      </c>
      <c r="C28" s="112"/>
      <c r="D28" s="112">
        <v>0.05</v>
      </c>
      <c r="E28" s="95"/>
      <c r="F28" s="95">
        <f>SUM(F19:F27)</f>
        <v>66.75</v>
      </c>
      <c r="G28" s="99"/>
      <c r="H28" s="100">
        <f>D28*10</f>
        <v>0.5</v>
      </c>
      <c r="I28" s="100"/>
      <c r="J28" s="100">
        <f>D28*100</f>
        <v>5</v>
      </c>
    </row>
    <row r="29" spans="1:10" s="10" customFormat="1" ht="12" customHeight="1" x14ac:dyDescent="0.25">
      <c r="A29" s="98"/>
      <c r="B29" s="93" t="s">
        <v>206</v>
      </c>
      <c r="C29" s="112"/>
      <c r="D29" s="112">
        <v>2.5000000000000001E-2</v>
      </c>
      <c r="E29" s="95"/>
      <c r="F29" s="95">
        <f>F28/2</f>
        <v>33.380000000000003</v>
      </c>
      <c r="G29" s="99"/>
      <c r="H29" s="100"/>
      <c r="I29" s="100"/>
      <c r="J29" s="100"/>
    </row>
    <row r="30" spans="1:10" s="10" customFormat="1" ht="12" customHeight="1" x14ac:dyDescent="0.25">
      <c r="A30" s="98"/>
      <c r="B30" s="93" t="s">
        <v>547</v>
      </c>
      <c r="C30" s="112"/>
      <c r="D30" s="112">
        <v>2.5000000000000001E-2</v>
      </c>
      <c r="E30" s="95"/>
      <c r="F30" s="95"/>
      <c r="G30" s="99"/>
      <c r="H30" s="100"/>
      <c r="I30" s="100"/>
      <c r="J30" s="100"/>
    </row>
    <row r="31" spans="1:10" s="10" customFormat="1" ht="12" customHeight="1" x14ac:dyDescent="0.25">
      <c r="A31" s="98"/>
      <c r="B31" s="93" t="s">
        <v>100</v>
      </c>
      <c r="C31" s="112"/>
      <c r="D31" s="112">
        <v>0.05</v>
      </c>
      <c r="E31" s="95"/>
      <c r="F31" s="95">
        <f>F29</f>
        <v>33.380000000000003</v>
      </c>
      <c r="G31" s="99"/>
      <c r="H31" s="100">
        <f>D31*10</f>
        <v>0.5</v>
      </c>
      <c r="I31" s="100"/>
      <c r="J31" s="100">
        <f>D31*100</f>
        <v>5</v>
      </c>
    </row>
    <row r="32" spans="1:10" s="10" customFormat="1" ht="29.4" customHeight="1" x14ac:dyDescent="0.25">
      <c r="A32" s="203"/>
      <c r="B32" s="204" t="s">
        <v>403</v>
      </c>
      <c r="C32" s="205"/>
      <c r="D32" s="205"/>
      <c r="E32" s="206"/>
      <c r="F32" s="206"/>
      <c r="G32" s="207"/>
      <c r="H32" s="208"/>
      <c r="I32" s="208"/>
      <c r="J32" s="208"/>
    </row>
    <row r="33" spans="1:10" s="10" customFormat="1" ht="27.6" customHeight="1" x14ac:dyDescent="0.25">
      <c r="A33" s="1536" t="s">
        <v>35</v>
      </c>
      <c r="B33" s="1536"/>
      <c r="C33" s="90"/>
      <c r="D33" s="90"/>
      <c r="E33" s="13"/>
      <c r="F33" s="13">
        <f>F31</f>
        <v>33.380000000000003</v>
      </c>
      <c r="G33" s="270"/>
      <c r="H33" s="270"/>
      <c r="I33" s="21"/>
      <c r="J33" s="13"/>
    </row>
    <row r="34" spans="1:10" s="10" customFormat="1" ht="25.35" customHeight="1" x14ac:dyDescent="0.25">
      <c r="A34" s="1536" t="s">
        <v>36</v>
      </c>
      <c r="B34" s="1536"/>
      <c r="C34" s="90">
        <v>50</v>
      </c>
      <c r="D34" s="90"/>
      <c r="E34" s="13"/>
      <c r="F34" s="13"/>
      <c r="G34" s="13"/>
      <c r="H34" s="13"/>
      <c r="I34" s="21"/>
      <c r="J34" s="17"/>
    </row>
    <row r="35" spans="1:10" s="10" customFormat="1" ht="25.35" customHeight="1" x14ac:dyDescent="0.25">
      <c r="A35" s="1537" t="s">
        <v>37</v>
      </c>
      <c r="B35" s="1538"/>
      <c r="C35" s="91">
        <v>50</v>
      </c>
      <c r="D35" s="92"/>
      <c r="E35" s="269"/>
      <c r="F35" s="269"/>
      <c r="G35" s="269"/>
      <c r="H35" s="269"/>
      <c r="I35" s="21"/>
      <c r="J35" s="17"/>
    </row>
    <row r="36" spans="1:10" s="10" customFormat="1" ht="15" customHeight="1" x14ac:dyDescent="0.25">
      <c r="A36" s="1539" t="s">
        <v>38</v>
      </c>
      <c r="B36" s="1540"/>
      <c r="C36" s="92">
        <f>C34/C35</f>
        <v>1</v>
      </c>
      <c r="D36" s="92"/>
      <c r="E36" s="269"/>
      <c r="F36" s="269"/>
      <c r="G36" s="269"/>
      <c r="H36" s="269"/>
      <c r="I36" s="21"/>
      <c r="J36" s="17"/>
    </row>
    <row r="37" spans="1:10" ht="16.350000000000001" customHeight="1" x14ac:dyDescent="0.25">
      <c r="A37" s="1541" t="s">
        <v>39</v>
      </c>
      <c r="B37" s="1542"/>
      <c r="C37" s="15" t="s">
        <v>40</v>
      </c>
      <c r="D37" s="102"/>
      <c r="E37" s="102" t="s">
        <v>40</v>
      </c>
      <c r="F37" s="16">
        <f>F33/C36</f>
        <v>33.380000000000003</v>
      </c>
      <c r="G37" s="16"/>
      <c r="H37" s="16"/>
      <c r="I37" s="102" t="s">
        <v>40</v>
      </c>
      <c r="J37" s="102" t="s">
        <v>40</v>
      </c>
    </row>
    <row r="38" spans="1:10" ht="23.1" customHeight="1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193"/>
      <c r="B39" s="1194" t="s">
        <v>49</v>
      </c>
      <c r="C39" s="1198"/>
      <c r="D39" s="1198"/>
      <c r="E39" s="1198"/>
      <c r="F39" s="1198"/>
      <c r="G39" s="1193"/>
      <c r="H39" s="1557">
        <f>'1-бутерброд с маслом'!$H$28</f>
        <v>0</v>
      </c>
      <c r="I39" s="1557"/>
      <c r="J39" s="1557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ht="22.2" customHeight="1" x14ac:dyDescent="0.25">
      <c r="A41" s="1545" t="s">
        <v>327</v>
      </c>
      <c r="B41" s="1545"/>
      <c r="C41" s="1546" t="s">
        <v>328</v>
      </c>
      <c r="D41" s="1546"/>
      <c r="E41" s="1546"/>
      <c r="F41" s="1546"/>
      <c r="G41" s="106"/>
      <c r="H41" s="1531"/>
      <c r="I41" s="1531"/>
      <c r="J41" s="1531"/>
    </row>
    <row r="42" spans="1:10" ht="18" customHeight="1" x14ac:dyDescent="0.25">
      <c r="A42" s="1193"/>
      <c r="B42" s="1193"/>
      <c r="C42" s="1546"/>
      <c r="D42" s="1546"/>
      <c r="E42" s="1546"/>
      <c r="F42" s="1546"/>
      <c r="G42" s="1193"/>
      <c r="H42" s="1531" t="s">
        <v>329</v>
      </c>
      <c r="I42" s="1531"/>
      <c r="J42" s="1531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  <row r="45" spans="1:10" x14ac:dyDescent="0.25">
      <c r="A45" s="1193"/>
      <c r="B45" s="1193"/>
      <c r="C45" s="1193"/>
      <c r="D45" s="1193"/>
      <c r="E45" s="1193"/>
      <c r="F45" s="1193"/>
      <c r="G45" s="1193"/>
      <c r="H45" s="1193"/>
      <c r="I45" s="1193"/>
      <c r="J45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1:B41"/>
    <mergeCell ref="C41:F42"/>
    <mergeCell ref="H41:J41"/>
    <mergeCell ref="H42:J42"/>
    <mergeCell ref="A34:B34"/>
    <mergeCell ref="A35:B35"/>
    <mergeCell ref="A36:B36"/>
    <mergeCell ref="A37:B37"/>
    <mergeCell ref="H39:J39"/>
    <mergeCell ref="A33:B33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47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2.4414062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88671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179)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258</v>
      </c>
    </row>
    <row r="8" spans="1:10" s="2" customFormat="1" ht="9.6" customHeight="1" x14ac:dyDescent="0.25">
      <c r="A8" s="199"/>
      <c r="B8" s="199"/>
      <c r="C8" s="199"/>
      <c r="D8" s="199"/>
      <c r="E8" s="199"/>
      <c r="F8" s="199"/>
      <c r="G8" s="199"/>
      <c r="H8" s="199"/>
      <c r="I8" s="199"/>
      <c r="J8" s="109"/>
    </row>
    <row r="9" spans="1:10" s="2" customFormat="1" ht="26.1" customHeight="1" x14ac:dyDescent="0.3">
      <c r="A9" s="1550" t="s">
        <v>1273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'256-мясо туш. (2)'!H14+1</f>
        <v>179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00" t="s">
        <v>92</v>
      </c>
      <c r="D17" s="200" t="s">
        <v>94</v>
      </c>
      <c r="E17" s="200" t="s">
        <v>93</v>
      </c>
      <c r="F17" s="200" t="s">
        <v>23</v>
      </c>
      <c r="G17" s="200" t="s">
        <v>92</v>
      </c>
      <c r="H17" s="200" t="s">
        <v>94</v>
      </c>
      <c r="I17" s="200" t="s">
        <v>92</v>
      </c>
      <c r="J17" s="200" t="s">
        <v>94</v>
      </c>
    </row>
    <row r="18" spans="1:10" ht="9.6" customHeight="1" x14ac:dyDescent="0.25">
      <c r="A18" s="200">
        <v>1</v>
      </c>
      <c r="B18" s="201">
        <v>2</v>
      </c>
      <c r="C18" s="200">
        <v>3</v>
      </c>
      <c r="D18" s="201">
        <v>4</v>
      </c>
      <c r="E18" s="200">
        <v>5</v>
      </c>
      <c r="F18" s="201">
        <v>6</v>
      </c>
      <c r="G18" s="200">
        <v>7</v>
      </c>
      <c r="H18" s="201">
        <v>8</v>
      </c>
      <c r="I18" s="200">
        <v>9</v>
      </c>
      <c r="J18" s="201">
        <v>10</v>
      </c>
    </row>
    <row r="19" spans="1:10" s="10" customFormat="1" ht="24.6" customHeight="1" x14ac:dyDescent="0.25">
      <c r="A19" s="180">
        <v>1</v>
      </c>
      <c r="B19" s="20" t="s">
        <v>397</v>
      </c>
      <c r="C19" s="21">
        <v>0.109</v>
      </c>
      <c r="D19" s="21">
        <v>0.08</v>
      </c>
      <c r="E19" s="13">
        <f>цены!F7</f>
        <v>560</v>
      </c>
      <c r="F19" s="13">
        <f>C19*E19</f>
        <v>61.04</v>
      </c>
      <c r="G19" s="97">
        <f>C19*10</f>
        <v>1.0900000000000001</v>
      </c>
      <c r="H19" s="21">
        <f>D19*10</f>
        <v>0.8</v>
      </c>
      <c r="I19" s="21">
        <f>C19*100</f>
        <v>10.9</v>
      </c>
      <c r="J19" s="21">
        <f>D19*100</f>
        <v>8</v>
      </c>
    </row>
    <row r="20" spans="1:10" s="10" customFormat="1" ht="12" customHeight="1" x14ac:dyDescent="0.25">
      <c r="A20" s="180">
        <v>2</v>
      </c>
      <c r="B20" s="20" t="s">
        <v>74</v>
      </c>
      <c r="C20" s="111">
        <v>6.0000000000000001E-3</v>
      </c>
      <c r="D20" s="111">
        <v>6.0000000000000001E-3</v>
      </c>
      <c r="E20" s="13">
        <f>цены!F87</f>
        <v>120</v>
      </c>
      <c r="F20" s="13">
        <f>C20*E20</f>
        <v>0.72</v>
      </c>
      <c r="G20" s="97">
        <f>C20*10</f>
        <v>0.06</v>
      </c>
      <c r="H20" s="21">
        <f>D20*10</f>
        <v>0.06</v>
      </c>
      <c r="I20" s="21">
        <f>C20*100</f>
        <v>0.6</v>
      </c>
      <c r="J20" s="21">
        <f>D20*100</f>
        <v>0.6</v>
      </c>
    </row>
    <row r="21" spans="1:10" s="10" customFormat="1" ht="12" customHeight="1" x14ac:dyDescent="0.25">
      <c r="A21" s="180">
        <v>3</v>
      </c>
      <c r="B21" s="20" t="s">
        <v>50</v>
      </c>
      <c r="C21" s="111">
        <v>0.107</v>
      </c>
      <c r="D21" s="111">
        <v>0.8</v>
      </c>
      <c r="E21" s="13">
        <f>цены!F35</f>
        <v>50</v>
      </c>
      <c r="F21" s="13">
        <f t="shared" ref="F21:F30" si="0">C21*E21</f>
        <v>5.35</v>
      </c>
      <c r="G21" s="97">
        <f t="shared" ref="G21:G30" si="1">C21*10</f>
        <v>1.07</v>
      </c>
      <c r="H21" s="21">
        <f t="shared" ref="H21:H30" si="2">D21*10</f>
        <v>8</v>
      </c>
      <c r="I21" s="21">
        <f t="shared" ref="I21:I30" si="3">C21*100</f>
        <v>10.7</v>
      </c>
      <c r="J21" s="21">
        <f t="shared" ref="J21:J30" si="4">D21*100</f>
        <v>80</v>
      </c>
    </row>
    <row r="22" spans="1:10" s="10" customFormat="1" ht="12" customHeight="1" x14ac:dyDescent="0.25">
      <c r="A22" s="180">
        <v>4</v>
      </c>
      <c r="B22" s="20" t="s">
        <v>47</v>
      </c>
      <c r="C22" s="111">
        <v>2.1999999999999999E-2</v>
      </c>
      <c r="D22" s="111">
        <v>1.7000000000000001E-2</v>
      </c>
      <c r="E22" s="13">
        <f>цены!F44</f>
        <v>50</v>
      </c>
      <c r="F22" s="13">
        <f t="shared" si="0"/>
        <v>1.1000000000000001</v>
      </c>
      <c r="G22" s="97">
        <f t="shared" si="1"/>
        <v>0.22</v>
      </c>
      <c r="H22" s="21">
        <f t="shared" si="2"/>
        <v>0.17</v>
      </c>
      <c r="I22" s="21">
        <f t="shared" si="3"/>
        <v>2.2000000000000002</v>
      </c>
      <c r="J22" s="21">
        <f t="shared" si="4"/>
        <v>1.7</v>
      </c>
    </row>
    <row r="23" spans="1:10" s="10" customFormat="1" ht="12" customHeight="1" x14ac:dyDescent="0.25">
      <c r="A23" s="180">
        <v>5</v>
      </c>
      <c r="B23" s="20" t="s">
        <v>48</v>
      </c>
      <c r="C23" s="111">
        <v>1.2E-2</v>
      </c>
      <c r="D23" s="111">
        <v>0.01</v>
      </c>
      <c r="E23" s="13">
        <f>цены!F38</f>
        <v>50</v>
      </c>
      <c r="F23" s="13">
        <f t="shared" si="0"/>
        <v>0.6</v>
      </c>
      <c r="G23" s="97">
        <f t="shared" si="1"/>
        <v>0.12</v>
      </c>
      <c r="H23" s="21">
        <f t="shared" si="2"/>
        <v>0.1</v>
      </c>
      <c r="I23" s="21">
        <f t="shared" si="3"/>
        <v>1.2</v>
      </c>
      <c r="J23" s="21">
        <f t="shared" si="4"/>
        <v>1</v>
      </c>
    </row>
    <row r="24" spans="1:10" s="10" customFormat="1" ht="12" customHeight="1" x14ac:dyDescent="0.25">
      <c r="A24" s="180">
        <v>6</v>
      </c>
      <c r="B24" s="20" t="s">
        <v>45</v>
      </c>
      <c r="C24" s="111">
        <v>2E-3</v>
      </c>
      <c r="D24" s="111">
        <v>2E-3</v>
      </c>
      <c r="E24" s="13">
        <f>цены!F74</f>
        <v>36</v>
      </c>
      <c r="F24" s="13">
        <f t="shared" si="0"/>
        <v>7.0000000000000007E-2</v>
      </c>
      <c r="G24" s="97">
        <f t="shared" si="1"/>
        <v>0.02</v>
      </c>
      <c r="H24" s="21">
        <f t="shared" si="2"/>
        <v>0.02</v>
      </c>
      <c r="I24" s="21">
        <f t="shared" si="3"/>
        <v>0.2</v>
      </c>
      <c r="J24" s="21">
        <f t="shared" si="4"/>
        <v>0.2</v>
      </c>
    </row>
    <row r="25" spans="1:10" s="10" customFormat="1" ht="12" customHeight="1" x14ac:dyDescent="0.25">
      <c r="A25" s="180">
        <v>7</v>
      </c>
      <c r="B25" s="20" t="s">
        <v>46</v>
      </c>
      <c r="C25" s="111">
        <v>7.0000000000000001E-3</v>
      </c>
      <c r="D25" s="111">
        <v>7.0000000000000001E-3</v>
      </c>
      <c r="E25" s="13">
        <f>цены!F113</f>
        <v>230</v>
      </c>
      <c r="F25" s="13">
        <f t="shared" si="0"/>
        <v>1.61</v>
      </c>
      <c r="G25" s="97">
        <f t="shared" si="1"/>
        <v>7.0000000000000007E-2</v>
      </c>
      <c r="H25" s="21">
        <f t="shared" si="2"/>
        <v>7.0000000000000007E-2</v>
      </c>
      <c r="I25" s="21">
        <f t="shared" si="3"/>
        <v>0.7</v>
      </c>
      <c r="J25" s="21">
        <f t="shared" si="4"/>
        <v>0.7</v>
      </c>
    </row>
    <row r="26" spans="1:10" s="10" customFormat="1" ht="12" customHeight="1" x14ac:dyDescent="0.25">
      <c r="A26" s="180">
        <v>8</v>
      </c>
      <c r="B26" s="20" t="s">
        <v>124</v>
      </c>
      <c r="C26" s="111">
        <v>3.0000000000000001E-3</v>
      </c>
      <c r="D26" s="111">
        <v>3.0000000000000001E-3</v>
      </c>
      <c r="E26" s="13">
        <f>цены!F110</f>
        <v>24</v>
      </c>
      <c r="F26" s="13">
        <f t="shared" si="0"/>
        <v>7.0000000000000007E-2</v>
      </c>
      <c r="G26" s="97">
        <f t="shared" si="1"/>
        <v>0.03</v>
      </c>
      <c r="H26" s="21">
        <f t="shared" si="2"/>
        <v>0.03</v>
      </c>
      <c r="I26" s="21">
        <f t="shared" si="3"/>
        <v>0.3</v>
      </c>
      <c r="J26" s="21">
        <f t="shared" si="4"/>
        <v>0.3</v>
      </c>
    </row>
    <row r="27" spans="1:10" s="10" customFormat="1" ht="12" customHeight="1" x14ac:dyDescent="0.25">
      <c r="A27" s="180">
        <v>9</v>
      </c>
      <c r="B27" s="20" t="s">
        <v>84</v>
      </c>
      <c r="C27" s="125">
        <v>2.0000000000000002E-5</v>
      </c>
      <c r="D27" s="125">
        <v>2.0000000000000002E-5</v>
      </c>
      <c r="E27" s="13">
        <f>цены!F100</f>
        <v>1000</v>
      </c>
      <c r="F27" s="13">
        <f t="shared" si="0"/>
        <v>0.02</v>
      </c>
      <c r="G27" s="97">
        <f t="shared" si="1"/>
        <v>0</v>
      </c>
      <c r="H27" s="21">
        <f t="shared" si="2"/>
        <v>0</v>
      </c>
      <c r="I27" s="21">
        <f t="shared" si="3"/>
        <v>2E-3</v>
      </c>
      <c r="J27" s="21">
        <f t="shared" si="4"/>
        <v>2E-3</v>
      </c>
    </row>
    <row r="28" spans="1:10" s="10" customFormat="1" ht="12" customHeight="1" x14ac:dyDescent="0.25">
      <c r="A28" s="180">
        <v>10</v>
      </c>
      <c r="B28" s="20" t="s">
        <v>337</v>
      </c>
      <c r="C28" s="125">
        <v>2E-3</v>
      </c>
      <c r="D28" s="125">
        <v>2E-3</v>
      </c>
      <c r="E28" s="13">
        <f>цены!F39</f>
        <v>300</v>
      </c>
      <c r="F28" s="13">
        <f t="shared" si="0"/>
        <v>0.6</v>
      </c>
      <c r="G28" s="97">
        <f t="shared" si="1"/>
        <v>0.02</v>
      </c>
      <c r="H28" s="21">
        <f t="shared" si="2"/>
        <v>0.02</v>
      </c>
      <c r="I28" s="21">
        <f t="shared" si="3"/>
        <v>0.2</v>
      </c>
      <c r="J28" s="21">
        <f t="shared" si="4"/>
        <v>0.2</v>
      </c>
    </row>
    <row r="29" spans="1:10" s="10" customFormat="1" ht="12" customHeight="1" x14ac:dyDescent="0.25">
      <c r="A29" s="180">
        <v>11</v>
      </c>
      <c r="B29" s="20" t="s">
        <v>78</v>
      </c>
      <c r="C29" s="111">
        <v>2E-3</v>
      </c>
      <c r="D29" s="111">
        <v>2E-3</v>
      </c>
      <c r="E29" s="13">
        <f>цены!F48</f>
        <v>300</v>
      </c>
      <c r="F29" s="13">
        <f t="shared" si="0"/>
        <v>0.6</v>
      </c>
      <c r="G29" s="97">
        <f t="shared" si="1"/>
        <v>0.02</v>
      </c>
      <c r="H29" s="21">
        <f t="shared" si="2"/>
        <v>0.02</v>
      </c>
      <c r="I29" s="21">
        <f t="shared" si="3"/>
        <v>0.2</v>
      </c>
      <c r="J29" s="21">
        <f t="shared" si="4"/>
        <v>0.2</v>
      </c>
    </row>
    <row r="30" spans="1:10" s="10" customFormat="1" ht="12" customHeight="1" x14ac:dyDescent="0.25">
      <c r="A30" s="180">
        <v>12</v>
      </c>
      <c r="B30" s="123" t="s">
        <v>349</v>
      </c>
      <c r="C30" s="130">
        <v>0.05</v>
      </c>
      <c r="D30" s="130">
        <v>0.05</v>
      </c>
      <c r="E30" s="127">
        <f>'330-соус сметанный'!F30</f>
        <v>61.41</v>
      </c>
      <c r="F30" s="13">
        <f t="shared" si="0"/>
        <v>3.07</v>
      </c>
      <c r="G30" s="97">
        <f t="shared" si="1"/>
        <v>0.5</v>
      </c>
      <c r="H30" s="21">
        <f t="shared" si="2"/>
        <v>0.5</v>
      </c>
      <c r="I30" s="21">
        <f t="shared" si="3"/>
        <v>5</v>
      </c>
      <c r="J30" s="21">
        <f t="shared" si="4"/>
        <v>5</v>
      </c>
    </row>
    <row r="31" spans="1:10" s="10" customFormat="1" ht="12" customHeight="1" x14ac:dyDescent="0.25">
      <c r="A31" s="98"/>
      <c r="B31" s="93" t="s">
        <v>206</v>
      </c>
      <c r="C31" s="112"/>
      <c r="D31" s="112">
        <v>4.8000000000000001E-2</v>
      </c>
      <c r="E31" s="95"/>
      <c r="F31" s="95">
        <f>SUM(F19:F30)</f>
        <v>74.849999999999994</v>
      </c>
      <c r="G31" s="99"/>
      <c r="H31" s="100">
        <f>D31*10</f>
        <v>0.48</v>
      </c>
      <c r="I31" s="100"/>
      <c r="J31" s="100">
        <f>D31*100</f>
        <v>4.8</v>
      </c>
    </row>
    <row r="32" spans="1:10" s="10" customFormat="1" ht="12" customHeight="1" x14ac:dyDescent="0.25">
      <c r="A32" s="98"/>
      <c r="B32" s="93" t="s">
        <v>404</v>
      </c>
      <c r="C32" s="112"/>
      <c r="D32" s="112">
        <v>0.125</v>
      </c>
      <c r="E32" s="95"/>
      <c r="F32" s="95"/>
      <c r="G32" s="99"/>
      <c r="H32" s="100">
        <f>D32*10</f>
        <v>1.25</v>
      </c>
      <c r="I32" s="100"/>
      <c r="J32" s="100">
        <f>D32*100</f>
        <v>12.5</v>
      </c>
    </row>
    <row r="33" spans="1:10" s="10" customFormat="1" ht="12" customHeight="1" x14ac:dyDescent="0.25">
      <c r="A33" s="98"/>
      <c r="B33" s="93" t="s">
        <v>100</v>
      </c>
      <c r="C33" s="112"/>
      <c r="D33" s="112">
        <v>0.17299999999999999</v>
      </c>
      <c r="E33" s="95"/>
      <c r="F33" s="95">
        <f>F31</f>
        <v>74.849999999999994</v>
      </c>
      <c r="G33" s="99"/>
      <c r="H33" s="100">
        <f>D33*10</f>
        <v>1.73</v>
      </c>
      <c r="I33" s="100"/>
      <c r="J33" s="100">
        <f>D33*100</f>
        <v>17.3</v>
      </c>
    </row>
    <row r="34" spans="1:10" s="10" customFormat="1" ht="21" customHeight="1" x14ac:dyDescent="0.25">
      <c r="A34" s="1536" t="s">
        <v>35</v>
      </c>
      <c r="B34" s="1536"/>
      <c r="C34" s="90"/>
      <c r="D34" s="90"/>
      <c r="E34" s="13"/>
      <c r="F34" s="13">
        <f>F33</f>
        <v>74.849999999999994</v>
      </c>
      <c r="G34" s="202"/>
      <c r="H34" s="202"/>
      <c r="I34" s="21"/>
      <c r="J34" s="13"/>
    </row>
    <row r="35" spans="1:10" s="10" customFormat="1" ht="25.35" customHeight="1" x14ac:dyDescent="0.25">
      <c r="A35" s="1536" t="s">
        <v>36</v>
      </c>
      <c r="B35" s="1536"/>
      <c r="C35" s="90">
        <v>173</v>
      </c>
      <c r="D35" s="90"/>
      <c r="E35" s="13"/>
      <c r="F35" s="13"/>
      <c r="G35" s="13"/>
      <c r="H35" s="13"/>
      <c r="I35" s="21"/>
      <c r="J35" s="17"/>
    </row>
    <row r="36" spans="1:10" s="10" customFormat="1" ht="25.35" customHeight="1" x14ac:dyDescent="0.25">
      <c r="A36" s="1537" t="s">
        <v>37</v>
      </c>
      <c r="B36" s="1538"/>
      <c r="C36" s="91">
        <v>173</v>
      </c>
      <c r="D36" s="92"/>
      <c r="E36" s="201"/>
      <c r="F36" s="201"/>
      <c r="G36" s="201"/>
      <c r="H36" s="201"/>
      <c r="I36" s="21"/>
      <c r="J36" s="17"/>
    </row>
    <row r="37" spans="1:10" s="10" customFormat="1" ht="15" customHeight="1" x14ac:dyDescent="0.25">
      <c r="A37" s="1539" t="s">
        <v>38</v>
      </c>
      <c r="B37" s="1540"/>
      <c r="C37" s="92">
        <f>C35/C36</f>
        <v>1</v>
      </c>
      <c r="D37" s="92"/>
      <c r="E37" s="201"/>
      <c r="F37" s="201"/>
      <c r="G37" s="201"/>
      <c r="H37" s="201"/>
      <c r="I37" s="21"/>
      <c r="J37" s="17"/>
    </row>
    <row r="38" spans="1:10" ht="16.350000000000001" customHeight="1" x14ac:dyDescent="0.25">
      <c r="A38" s="1541" t="s">
        <v>39</v>
      </c>
      <c r="B38" s="1542"/>
      <c r="C38" s="15" t="s">
        <v>40</v>
      </c>
      <c r="D38" s="102"/>
      <c r="E38" s="102" t="s">
        <v>40</v>
      </c>
      <c r="F38" s="16">
        <f>F34/C37</f>
        <v>74.849999999999994</v>
      </c>
      <c r="G38" s="16"/>
      <c r="H38" s="16"/>
      <c r="I38" s="102" t="s">
        <v>40</v>
      </c>
      <c r="J38" s="102" t="s">
        <v>40</v>
      </c>
    </row>
    <row r="39" spans="1:10" ht="23.1" customHeight="1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ht="13.95" customHeight="1" x14ac:dyDescent="0.25">
      <c r="A40" s="1193"/>
      <c r="B40" s="1194" t="s">
        <v>49</v>
      </c>
      <c r="C40" s="1198"/>
      <c r="D40" s="1198"/>
      <c r="E40" s="1198"/>
      <c r="F40" s="1198"/>
      <c r="G40" s="1193"/>
      <c r="H40" s="1557">
        <f>'1-бутерброд с маслом'!$H$28</f>
        <v>0</v>
      </c>
      <c r="I40" s="1557"/>
      <c r="J40" s="1557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ht="13.95" customHeight="1" x14ac:dyDescent="0.25">
      <c r="A42" s="1545" t="s">
        <v>327</v>
      </c>
      <c r="B42" s="1545"/>
      <c r="C42" s="1546" t="s">
        <v>328</v>
      </c>
      <c r="D42" s="1546"/>
      <c r="E42" s="1546"/>
      <c r="F42" s="1546"/>
      <c r="G42" s="106"/>
      <c r="H42" s="1531"/>
      <c r="I42" s="1531"/>
      <c r="J42" s="1531"/>
    </row>
    <row r="43" spans="1:10" x14ac:dyDescent="0.25">
      <c r="A43" s="1193"/>
      <c r="B43" s="1193"/>
      <c r="C43" s="1546"/>
      <c r="D43" s="1546"/>
      <c r="E43" s="1546"/>
      <c r="F43" s="1546"/>
      <c r="G43" s="1193"/>
      <c r="H43" s="1531" t="s">
        <v>329</v>
      </c>
      <c r="I43" s="1531"/>
      <c r="J43" s="1531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  <row r="45" spans="1:10" x14ac:dyDescent="0.25">
      <c r="A45" s="1193"/>
      <c r="B45" s="1193"/>
      <c r="C45" s="1193"/>
      <c r="D45" s="1193"/>
      <c r="E45" s="1193"/>
      <c r="F45" s="1193"/>
      <c r="G45" s="1193"/>
      <c r="H45" s="1193"/>
      <c r="I45" s="1193"/>
      <c r="J45" s="1193"/>
    </row>
    <row r="46" spans="1:10" x14ac:dyDescent="0.25">
      <c r="A46" s="1193"/>
      <c r="B46" s="1193"/>
      <c r="C46" s="1193"/>
      <c r="D46" s="1193"/>
      <c r="E46" s="1193"/>
      <c r="F46" s="1193"/>
      <c r="G46" s="1193"/>
      <c r="H46" s="1193"/>
      <c r="I46" s="1193"/>
      <c r="J46" s="1193"/>
    </row>
    <row r="47" spans="1:10" x14ac:dyDescent="0.25">
      <c r="A47" s="1193"/>
      <c r="B47" s="1193"/>
      <c r="C47" s="1193"/>
      <c r="D47" s="1193"/>
      <c r="E47" s="1193"/>
      <c r="F47" s="1193"/>
      <c r="G47" s="1193"/>
      <c r="H47" s="1193"/>
      <c r="I47" s="1193"/>
      <c r="J47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2:B42"/>
    <mergeCell ref="C42:F43"/>
    <mergeCell ref="H42:J42"/>
    <mergeCell ref="H43:J43"/>
    <mergeCell ref="A35:B35"/>
    <mergeCell ref="A36:B36"/>
    <mergeCell ref="A37:B37"/>
    <mergeCell ref="A38:B38"/>
    <mergeCell ref="H40:J40"/>
    <mergeCell ref="A34:B34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43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2.44140625" customWidth="1"/>
    <col min="3" max="7" width="7.5546875" customWidth="1"/>
    <col min="8" max="8" width="8.88671875" customWidth="1"/>
    <col min="9" max="9" width="7.5546875" customWidth="1"/>
    <col min="10" max="10" width="9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180)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259</v>
      </c>
    </row>
    <row r="8" spans="1:10" s="2" customFormat="1" ht="9.6" customHeight="1" x14ac:dyDescent="0.25">
      <c r="A8" s="199"/>
      <c r="B8" s="199"/>
      <c r="C8" s="199"/>
      <c r="D8" s="199"/>
      <c r="E8" s="199"/>
      <c r="F8" s="199"/>
      <c r="G8" s="199"/>
      <c r="H8" s="199"/>
      <c r="I8" s="199"/>
      <c r="J8" s="109"/>
    </row>
    <row r="9" spans="1:10" s="2" customFormat="1" ht="26.1" customHeight="1" x14ac:dyDescent="0.3">
      <c r="A9" s="1550" t="s">
        <v>410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'258-мясо духовое'!H14+1</f>
        <v>180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00" t="s">
        <v>92</v>
      </c>
      <c r="D17" s="200" t="s">
        <v>94</v>
      </c>
      <c r="E17" s="200" t="s">
        <v>93</v>
      </c>
      <c r="F17" s="200" t="s">
        <v>23</v>
      </c>
      <c r="G17" s="200" t="s">
        <v>92</v>
      </c>
      <c r="H17" s="200" t="s">
        <v>94</v>
      </c>
      <c r="I17" s="200" t="s">
        <v>92</v>
      </c>
      <c r="J17" s="200" t="s">
        <v>94</v>
      </c>
    </row>
    <row r="18" spans="1:10" ht="9.6" customHeight="1" x14ac:dyDescent="0.25">
      <c r="A18" s="200">
        <v>1</v>
      </c>
      <c r="B18" s="201">
        <v>2</v>
      </c>
      <c r="C18" s="200">
        <v>3</v>
      </c>
      <c r="D18" s="201">
        <v>4</v>
      </c>
      <c r="E18" s="200">
        <v>5</v>
      </c>
      <c r="F18" s="201">
        <v>6</v>
      </c>
      <c r="G18" s="200">
        <v>7</v>
      </c>
      <c r="H18" s="201">
        <v>8</v>
      </c>
      <c r="I18" s="200">
        <v>9</v>
      </c>
      <c r="J18" s="201">
        <v>10</v>
      </c>
    </row>
    <row r="19" spans="1:10" s="10" customFormat="1" ht="26.4" customHeight="1" x14ac:dyDescent="0.25">
      <c r="A19" s="180">
        <v>1</v>
      </c>
      <c r="B19" s="20" t="s">
        <v>397</v>
      </c>
      <c r="C19" s="21">
        <v>0.107</v>
      </c>
      <c r="D19" s="21">
        <v>7.9000000000000001E-2</v>
      </c>
      <c r="E19" s="13">
        <f>цены!F7</f>
        <v>560</v>
      </c>
      <c r="F19" s="13">
        <f>C19*E19</f>
        <v>59.92</v>
      </c>
      <c r="G19" s="97">
        <f>C19*10</f>
        <v>1.07</v>
      </c>
      <c r="H19" s="21">
        <f>D19*10</f>
        <v>0.79</v>
      </c>
      <c r="I19" s="21">
        <f>C19*100</f>
        <v>10.7</v>
      </c>
      <c r="J19" s="21">
        <f>D19*100</f>
        <v>7.9</v>
      </c>
    </row>
    <row r="20" spans="1:10" s="10" customFormat="1" ht="13.35" customHeight="1" x14ac:dyDescent="0.25">
      <c r="A20" s="180">
        <v>2</v>
      </c>
      <c r="B20" s="20" t="s">
        <v>50</v>
      </c>
      <c r="C20" s="21">
        <v>0.13300000000000001</v>
      </c>
      <c r="D20" s="21">
        <v>0.1</v>
      </c>
      <c r="E20" s="13">
        <f>цены!F35</f>
        <v>50</v>
      </c>
      <c r="F20" s="13">
        <f t="shared" ref="F20:F26" si="0">C20*E20</f>
        <v>6.65</v>
      </c>
      <c r="G20" s="97">
        <f t="shared" ref="G20:G26" si="1">C20*10</f>
        <v>1.33</v>
      </c>
      <c r="H20" s="21">
        <f t="shared" ref="H20:H26" si="2">D20*10</f>
        <v>1</v>
      </c>
      <c r="I20" s="21">
        <f t="shared" ref="I20:I26" si="3">C20*100</f>
        <v>13.3</v>
      </c>
      <c r="J20" s="21">
        <f t="shared" ref="J20:J26" si="4">D20*100</f>
        <v>10</v>
      </c>
    </row>
    <row r="21" spans="1:10" s="10" customFormat="1" ht="13.35" customHeight="1" x14ac:dyDescent="0.25">
      <c r="A21" s="180">
        <v>3</v>
      </c>
      <c r="B21" s="20" t="s">
        <v>48</v>
      </c>
      <c r="C21" s="21">
        <v>1.2E-2</v>
      </c>
      <c r="D21" s="21">
        <v>0.01</v>
      </c>
      <c r="E21" s="13">
        <f>цены!F38</f>
        <v>50</v>
      </c>
      <c r="F21" s="13">
        <f t="shared" si="0"/>
        <v>0.6</v>
      </c>
      <c r="G21" s="97">
        <f t="shared" si="1"/>
        <v>0.12</v>
      </c>
      <c r="H21" s="21">
        <f t="shared" si="2"/>
        <v>0.1</v>
      </c>
      <c r="I21" s="21">
        <f t="shared" si="3"/>
        <v>1.2</v>
      </c>
      <c r="J21" s="21">
        <f t="shared" si="4"/>
        <v>1</v>
      </c>
    </row>
    <row r="22" spans="1:10" s="10" customFormat="1" ht="13.35" customHeight="1" x14ac:dyDescent="0.25">
      <c r="A22" s="180">
        <v>4</v>
      </c>
      <c r="B22" s="20" t="s">
        <v>74</v>
      </c>
      <c r="C22" s="111">
        <v>6.0000000000000001E-3</v>
      </c>
      <c r="D22" s="111">
        <v>6.0000000000000001E-3</v>
      </c>
      <c r="E22" s="13">
        <f>цены!F87</f>
        <v>120</v>
      </c>
      <c r="F22" s="13">
        <f t="shared" si="0"/>
        <v>0.72</v>
      </c>
      <c r="G22" s="97">
        <f t="shared" si="1"/>
        <v>0.06</v>
      </c>
      <c r="H22" s="21">
        <f t="shared" si="2"/>
        <v>0.06</v>
      </c>
      <c r="I22" s="21">
        <f t="shared" si="3"/>
        <v>0.6</v>
      </c>
      <c r="J22" s="21">
        <f t="shared" si="4"/>
        <v>0.6</v>
      </c>
    </row>
    <row r="23" spans="1:10" s="10" customFormat="1" ht="12" customHeight="1" x14ac:dyDescent="0.25">
      <c r="A23" s="180">
        <v>5</v>
      </c>
      <c r="B23" s="20" t="s">
        <v>124</v>
      </c>
      <c r="C23" s="111">
        <v>3.0000000000000001E-3</v>
      </c>
      <c r="D23" s="111">
        <v>3.0000000000000001E-3</v>
      </c>
      <c r="E23" s="13">
        <f>цены!F110</f>
        <v>24</v>
      </c>
      <c r="F23" s="13">
        <f t="shared" si="0"/>
        <v>7.0000000000000007E-2</v>
      </c>
      <c r="G23" s="97">
        <f t="shared" si="1"/>
        <v>0.03</v>
      </c>
      <c r="H23" s="21">
        <f t="shared" si="2"/>
        <v>0.03</v>
      </c>
      <c r="I23" s="21">
        <f t="shared" si="3"/>
        <v>0.3</v>
      </c>
      <c r="J23" s="21">
        <f t="shared" si="4"/>
        <v>0.3</v>
      </c>
    </row>
    <row r="24" spans="1:10" s="10" customFormat="1" ht="12" customHeight="1" x14ac:dyDescent="0.25">
      <c r="A24" s="180">
        <v>6</v>
      </c>
      <c r="B24" s="20" t="s">
        <v>84</v>
      </c>
      <c r="C24" s="125">
        <v>2.0000000000000002E-5</v>
      </c>
      <c r="D24" s="125">
        <v>2.0000000000000002E-5</v>
      </c>
      <c r="E24" s="13">
        <f>цены!F100</f>
        <v>1000</v>
      </c>
      <c r="F24" s="13">
        <f t="shared" si="0"/>
        <v>0.02</v>
      </c>
      <c r="G24" s="97">
        <f t="shared" si="1"/>
        <v>0</v>
      </c>
      <c r="H24" s="21">
        <f t="shared" si="2"/>
        <v>0</v>
      </c>
      <c r="I24" s="21">
        <f t="shared" si="3"/>
        <v>2E-3</v>
      </c>
      <c r="J24" s="21">
        <f t="shared" si="4"/>
        <v>2E-3</v>
      </c>
    </row>
    <row r="25" spans="1:10" s="10" customFormat="1" ht="12" customHeight="1" x14ac:dyDescent="0.25">
      <c r="A25" s="180">
        <v>7</v>
      </c>
      <c r="B25" s="20" t="s">
        <v>337</v>
      </c>
      <c r="C25" s="125">
        <v>2E-3</v>
      </c>
      <c r="D25" s="125">
        <v>2E-3</v>
      </c>
      <c r="E25" s="13">
        <f>цены!F39</f>
        <v>300</v>
      </c>
      <c r="F25" s="13">
        <f t="shared" si="0"/>
        <v>0.6</v>
      </c>
      <c r="G25" s="97">
        <f t="shared" si="1"/>
        <v>0.02</v>
      </c>
      <c r="H25" s="21">
        <f t="shared" si="2"/>
        <v>0.02</v>
      </c>
      <c r="I25" s="21">
        <f t="shared" si="3"/>
        <v>0.2</v>
      </c>
      <c r="J25" s="21">
        <f t="shared" si="4"/>
        <v>0.2</v>
      </c>
    </row>
    <row r="26" spans="1:10" s="10" customFormat="1" ht="12" customHeight="1" x14ac:dyDescent="0.25">
      <c r="A26" s="180">
        <v>8</v>
      </c>
      <c r="B26" s="20" t="s">
        <v>78</v>
      </c>
      <c r="C26" s="111">
        <v>2E-3</v>
      </c>
      <c r="D26" s="111">
        <v>2E-3</v>
      </c>
      <c r="E26" s="13">
        <f>цены!F48</f>
        <v>300</v>
      </c>
      <c r="F26" s="13">
        <f t="shared" si="0"/>
        <v>0.6</v>
      </c>
      <c r="G26" s="97">
        <f t="shared" si="1"/>
        <v>0.02</v>
      </c>
      <c r="H26" s="21">
        <f t="shared" si="2"/>
        <v>0.02</v>
      </c>
      <c r="I26" s="21">
        <f t="shared" si="3"/>
        <v>0.2</v>
      </c>
      <c r="J26" s="21">
        <f t="shared" si="4"/>
        <v>0.2</v>
      </c>
    </row>
    <row r="27" spans="1:10" s="10" customFormat="1" ht="12" customHeight="1" x14ac:dyDescent="0.25">
      <c r="A27" s="98"/>
      <c r="B27" s="93" t="s">
        <v>206</v>
      </c>
      <c r="C27" s="112"/>
      <c r="D27" s="112">
        <v>0.05</v>
      </c>
      <c r="E27" s="95"/>
      <c r="F27" s="95">
        <f>SUM(F19:F26)</f>
        <v>69.180000000000007</v>
      </c>
      <c r="G27" s="99"/>
      <c r="H27" s="100">
        <f>D27*10</f>
        <v>0.5</v>
      </c>
      <c r="I27" s="100"/>
      <c r="J27" s="100">
        <f>D27*100</f>
        <v>5</v>
      </c>
    </row>
    <row r="28" spans="1:10" s="10" customFormat="1" ht="12" customHeight="1" x14ac:dyDescent="0.25">
      <c r="A28" s="98"/>
      <c r="B28" s="93" t="s">
        <v>381</v>
      </c>
      <c r="C28" s="112"/>
      <c r="D28" s="112">
        <v>0.125</v>
      </c>
      <c r="E28" s="95"/>
      <c r="F28" s="95"/>
      <c r="G28" s="99"/>
      <c r="H28" s="100">
        <f>D28*10</f>
        <v>1.25</v>
      </c>
      <c r="I28" s="100"/>
      <c r="J28" s="100">
        <f>D28*100</f>
        <v>12.5</v>
      </c>
    </row>
    <row r="29" spans="1:10" s="10" customFormat="1" ht="12" customHeight="1" x14ac:dyDescent="0.25">
      <c r="A29" s="98"/>
      <c r="B29" s="93" t="s">
        <v>100</v>
      </c>
      <c r="C29" s="112"/>
      <c r="D29" s="112">
        <v>0.17499999999999999</v>
      </c>
      <c r="E29" s="95"/>
      <c r="F29" s="95">
        <f>F27</f>
        <v>69.180000000000007</v>
      </c>
      <c r="G29" s="99"/>
      <c r="H29" s="100">
        <f>D29*10</f>
        <v>1.75</v>
      </c>
      <c r="I29" s="100"/>
      <c r="J29" s="100">
        <f>D29*100</f>
        <v>17.5</v>
      </c>
    </row>
    <row r="30" spans="1:10" s="10" customFormat="1" ht="21" customHeight="1" x14ac:dyDescent="0.25">
      <c r="A30" s="1536" t="s">
        <v>35</v>
      </c>
      <c r="B30" s="1536"/>
      <c r="C30" s="90"/>
      <c r="D30" s="90"/>
      <c r="E30" s="13"/>
      <c r="F30" s="13">
        <f>F29</f>
        <v>69.180000000000007</v>
      </c>
      <c r="G30" s="202"/>
      <c r="H30" s="202"/>
      <c r="I30" s="21"/>
      <c r="J30" s="13"/>
    </row>
    <row r="31" spans="1:10" s="10" customFormat="1" ht="25.35" customHeight="1" x14ac:dyDescent="0.25">
      <c r="A31" s="1536" t="s">
        <v>36</v>
      </c>
      <c r="B31" s="1536"/>
      <c r="C31" s="90">
        <v>175</v>
      </c>
      <c r="D31" s="90"/>
      <c r="E31" s="13"/>
      <c r="F31" s="13"/>
      <c r="G31" s="13"/>
      <c r="H31" s="13"/>
      <c r="I31" s="21"/>
      <c r="J31" s="17"/>
    </row>
    <row r="32" spans="1:10" s="10" customFormat="1" ht="25.35" customHeight="1" x14ac:dyDescent="0.25">
      <c r="A32" s="1537" t="s">
        <v>37</v>
      </c>
      <c r="B32" s="1538"/>
      <c r="C32" s="91">
        <v>175</v>
      </c>
      <c r="D32" s="92"/>
      <c r="E32" s="201"/>
      <c r="F32" s="201"/>
      <c r="G32" s="201"/>
      <c r="H32" s="201"/>
      <c r="I32" s="21"/>
      <c r="J32" s="17"/>
    </row>
    <row r="33" spans="1:10" s="10" customFormat="1" ht="15" customHeight="1" x14ac:dyDescent="0.25">
      <c r="A33" s="1539" t="s">
        <v>38</v>
      </c>
      <c r="B33" s="1540"/>
      <c r="C33" s="92">
        <f>C31/C32</f>
        <v>1</v>
      </c>
      <c r="D33" s="92"/>
      <c r="E33" s="201"/>
      <c r="F33" s="201"/>
      <c r="G33" s="201"/>
      <c r="H33" s="201"/>
      <c r="I33" s="21"/>
      <c r="J33" s="17"/>
    </row>
    <row r="34" spans="1:10" ht="16.350000000000001" customHeight="1" x14ac:dyDescent="0.25">
      <c r="A34" s="1541" t="s">
        <v>39</v>
      </c>
      <c r="B34" s="1542"/>
      <c r="C34" s="15" t="s">
        <v>40</v>
      </c>
      <c r="D34" s="102"/>
      <c r="E34" s="102" t="s">
        <v>40</v>
      </c>
      <c r="F34" s="16">
        <f>F30/C33</f>
        <v>69.180000000000007</v>
      </c>
      <c r="G34" s="16"/>
      <c r="H34" s="16"/>
      <c r="I34" s="102" t="s">
        <v>40</v>
      </c>
      <c r="J34" s="102" t="s">
        <v>40</v>
      </c>
    </row>
    <row r="35" spans="1:10" ht="23.1" customHeight="1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193"/>
      <c r="B36" s="1194" t="s">
        <v>49</v>
      </c>
      <c r="C36" s="1198"/>
      <c r="D36" s="1198"/>
      <c r="E36" s="1198"/>
      <c r="F36" s="1198"/>
      <c r="G36" s="1193"/>
      <c r="H36" s="1557">
        <f>'1-бутерброд с маслом'!$H$28</f>
        <v>0</v>
      </c>
      <c r="I36" s="1557"/>
      <c r="J36" s="1557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545" t="s">
        <v>327</v>
      </c>
      <c r="B38" s="1545"/>
      <c r="C38" s="1546" t="s">
        <v>328</v>
      </c>
      <c r="D38" s="1546"/>
      <c r="E38" s="1546"/>
      <c r="F38" s="1546"/>
      <c r="G38" s="106"/>
      <c r="H38" s="1531"/>
      <c r="I38" s="1531"/>
      <c r="J38" s="1531"/>
    </row>
    <row r="39" spans="1:10" x14ac:dyDescent="0.25">
      <c r="A39" s="1193"/>
      <c r="B39" s="1193"/>
      <c r="C39" s="1546"/>
      <c r="D39" s="1546"/>
      <c r="E39" s="1546"/>
      <c r="F39" s="1546"/>
      <c r="G39" s="1193"/>
      <c r="H39" s="1531" t="s">
        <v>329</v>
      </c>
      <c r="I39" s="1531"/>
      <c r="J39" s="1531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8:B38"/>
    <mergeCell ref="C38:F39"/>
    <mergeCell ref="H38:J38"/>
    <mergeCell ref="H39:J39"/>
    <mergeCell ref="A31:B31"/>
    <mergeCell ref="A32:B32"/>
    <mergeCell ref="A33:B33"/>
    <mergeCell ref="A34:B34"/>
    <mergeCell ref="H36:J36"/>
    <mergeCell ref="A30:B30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M43"/>
  <sheetViews>
    <sheetView view="pageBreakPreview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491" customWidth="1"/>
    <col min="2" max="2" width="22.44140625" style="491" customWidth="1"/>
    <col min="3" max="7" width="7.5546875" style="491" customWidth="1"/>
    <col min="8" max="8" width="8.88671875" style="491" customWidth="1"/>
    <col min="9" max="9" width="7.5546875" style="491" customWidth="1"/>
    <col min="10" max="10" width="9" style="491" customWidth="1"/>
    <col min="11" max="16384" width="8.88671875" style="49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181)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259</v>
      </c>
    </row>
    <row r="8" spans="1:10" s="2" customFormat="1" ht="9.6" customHeight="1" x14ac:dyDescent="0.25">
      <c r="A8" s="495"/>
      <c r="B8" s="495"/>
      <c r="C8" s="495"/>
      <c r="D8" s="495"/>
      <c r="E8" s="495"/>
      <c r="F8" s="495"/>
      <c r="G8" s="495"/>
      <c r="H8" s="495"/>
      <c r="I8" s="495"/>
      <c r="J8" s="109"/>
    </row>
    <row r="9" spans="1:10" s="2" customFormat="1" ht="26.1" customHeight="1" x14ac:dyDescent="0.3">
      <c r="A9" s="1550" t="s">
        <v>770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'259-жаркое'!H14+1</f>
        <v>181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492" t="s">
        <v>92</v>
      </c>
      <c r="D17" s="492" t="s">
        <v>94</v>
      </c>
      <c r="E17" s="492" t="s">
        <v>93</v>
      </c>
      <c r="F17" s="492" t="s">
        <v>23</v>
      </c>
      <c r="G17" s="492" t="s">
        <v>92</v>
      </c>
      <c r="H17" s="492" t="s">
        <v>94</v>
      </c>
      <c r="I17" s="492" t="s">
        <v>92</v>
      </c>
      <c r="J17" s="492" t="s">
        <v>94</v>
      </c>
    </row>
    <row r="18" spans="1:13" ht="9.6" customHeight="1" x14ac:dyDescent="0.25">
      <c r="A18" s="492">
        <v>1</v>
      </c>
      <c r="B18" s="494">
        <v>2</v>
      </c>
      <c r="C18" s="492">
        <v>3</v>
      </c>
      <c r="D18" s="494">
        <v>4</v>
      </c>
      <c r="E18" s="492">
        <v>5</v>
      </c>
      <c r="F18" s="494">
        <v>6</v>
      </c>
      <c r="G18" s="492">
        <v>7</v>
      </c>
      <c r="H18" s="494">
        <v>8</v>
      </c>
      <c r="I18" s="492">
        <v>9</v>
      </c>
      <c r="J18" s="494">
        <v>10</v>
      </c>
    </row>
    <row r="19" spans="1:13" s="10" customFormat="1" ht="26.4" customHeight="1" x14ac:dyDescent="0.25">
      <c r="A19" s="180">
        <v>1</v>
      </c>
      <c r="B19" s="20" t="s">
        <v>397</v>
      </c>
      <c r="C19" s="21">
        <v>0.15</v>
      </c>
      <c r="D19" s="21">
        <v>0.111</v>
      </c>
      <c r="E19" s="408">
        <f>цены!F7</f>
        <v>560</v>
      </c>
      <c r="F19" s="408">
        <f>C19*E19</f>
        <v>84</v>
      </c>
      <c r="G19" s="97">
        <f t="shared" ref="G19:H26" si="0">C19*10</f>
        <v>1.5</v>
      </c>
      <c r="H19" s="21">
        <f t="shared" si="0"/>
        <v>1.1100000000000001</v>
      </c>
      <c r="I19" s="21">
        <f t="shared" ref="I19:J26" si="1">C19*100</f>
        <v>15</v>
      </c>
      <c r="J19" s="21">
        <f t="shared" si="1"/>
        <v>11.1</v>
      </c>
      <c r="L19" s="2"/>
      <c r="M19" s="2"/>
    </row>
    <row r="20" spans="1:13" s="10" customFormat="1" ht="13.35" customHeight="1" x14ac:dyDescent="0.25">
      <c r="A20" s="180">
        <v>2</v>
      </c>
      <c r="B20" s="20" t="s">
        <v>50</v>
      </c>
      <c r="C20" s="21">
        <v>0.186</v>
      </c>
      <c r="D20" s="21">
        <v>0.14000000000000001</v>
      </c>
      <c r="E20" s="408">
        <f>цены!F35</f>
        <v>50</v>
      </c>
      <c r="F20" s="408">
        <f t="shared" ref="F20:F26" si="2">C20*E20</f>
        <v>9.3000000000000007</v>
      </c>
      <c r="G20" s="97">
        <f t="shared" si="0"/>
        <v>1.86</v>
      </c>
      <c r="H20" s="21">
        <f t="shared" si="0"/>
        <v>1.4</v>
      </c>
      <c r="I20" s="21">
        <f t="shared" si="1"/>
        <v>18.600000000000001</v>
      </c>
      <c r="J20" s="21">
        <f t="shared" si="1"/>
        <v>14</v>
      </c>
      <c r="L20" s="2"/>
      <c r="M20" s="2"/>
    </row>
    <row r="21" spans="1:13" s="10" customFormat="1" ht="13.35" customHeight="1" x14ac:dyDescent="0.25">
      <c r="A21" s="180">
        <v>3</v>
      </c>
      <c r="B21" s="20" t="s">
        <v>48</v>
      </c>
      <c r="C21" s="21">
        <v>1.7000000000000001E-2</v>
      </c>
      <c r="D21" s="21">
        <v>1.4E-2</v>
      </c>
      <c r="E21" s="408">
        <f>цены!F38</f>
        <v>50</v>
      </c>
      <c r="F21" s="408">
        <f t="shared" si="2"/>
        <v>0.85</v>
      </c>
      <c r="G21" s="97">
        <f t="shared" si="0"/>
        <v>0.17</v>
      </c>
      <c r="H21" s="21">
        <f t="shared" si="0"/>
        <v>0.14000000000000001</v>
      </c>
      <c r="I21" s="21">
        <f t="shared" si="1"/>
        <v>1.7</v>
      </c>
      <c r="J21" s="21">
        <f t="shared" si="1"/>
        <v>1.4</v>
      </c>
      <c r="L21" s="2"/>
      <c r="M21" s="2"/>
    </row>
    <row r="22" spans="1:13" s="10" customFormat="1" ht="13.35" customHeight="1" x14ac:dyDescent="0.25">
      <c r="A22" s="180">
        <v>4</v>
      </c>
      <c r="B22" s="20" t="s">
        <v>74</v>
      </c>
      <c r="C22" s="21">
        <v>8.0000000000000002E-3</v>
      </c>
      <c r="D22" s="21">
        <v>8.0000000000000002E-3</v>
      </c>
      <c r="E22" s="408">
        <f>цены!F87</f>
        <v>120</v>
      </c>
      <c r="F22" s="408">
        <f t="shared" si="2"/>
        <v>0.96</v>
      </c>
      <c r="G22" s="97">
        <f t="shared" si="0"/>
        <v>0.08</v>
      </c>
      <c r="H22" s="21">
        <f t="shared" si="0"/>
        <v>0.08</v>
      </c>
      <c r="I22" s="21">
        <f t="shared" si="1"/>
        <v>0.8</v>
      </c>
      <c r="J22" s="21">
        <f t="shared" si="1"/>
        <v>0.8</v>
      </c>
      <c r="L22" s="2"/>
      <c r="M22" s="2"/>
    </row>
    <row r="23" spans="1:13" s="10" customFormat="1" ht="12" customHeight="1" x14ac:dyDescent="0.25">
      <c r="A23" s="180">
        <v>5</v>
      </c>
      <c r="B23" s="20" t="s">
        <v>124</v>
      </c>
      <c r="C23" s="21">
        <v>3.0000000000000001E-3</v>
      </c>
      <c r="D23" s="21">
        <v>3.0000000000000001E-3</v>
      </c>
      <c r="E23" s="408">
        <f>цены!F110</f>
        <v>24</v>
      </c>
      <c r="F23" s="408">
        <f t="shared" si="2"/>
        <v>7.0000000000000007E-2</v>
      </c>
      <c r="G23" s="97">
        <f t="shared" si="0"/>
        <v>0.03</v>
      </c>
      <c r="H23" s="21">
        <f t="shared" si="0"/>
        <v>0.03</v>
      </c>
      <c r="I23" s="21">
        <f t="shared" si="1"/>
        <v>0.3</v>
      </c>
      <c r="J23" s="21">
        <f t="shared" si="1"/>
        <v>0.3</v>
      </c>
      <c r="L23" s="2"/>
      <c r="M23" s="2"/>
    </row>
    <row r="24" spans="1:13" s="10" customFormat="1" ht="12" customHeight="1" x14ac:dyDescent="0.25">
      <c r="A24" s="180">
        <v>6</v>
      </c>
      <c r="B24" s="20" t="s">
        <v>84</v>
      </c>
      <c r="C24" s="125">
        <v>3.0000000000000001E-5</v>
      </c>
      <c r="D24" s="125">
        <v>3.0000000000000001E-5</v>
      </c>
      <c r="E24" s="408">
        <f>цены!F100</f>
        <v>1000</v>
      </c>
      <c r="F24" s="408">
        <f t="shared" si="2"/>
        <v>0.03</v>
      </c>
      <c r="G24" s="97">
        <f t="shared" si="0"/>
        <v>0</v>
      </c>
      <c r="H24" s="21">
        <f t="shared" si="0"/>
        <v>0</v>
      </c>
      <c r="I24" s="21">
        <f t="shared" si="1"/>
        <v>3.0000000000000001E-3</v>
      </c>
      <c r="J24" s="21">
        <f t="shared" si="1"/>
        <v>3.0000000000000001E-3</v>
      </c>
      <c r="L24" s="2"/>
      <c r="M24" s="2"/>
    </row>
    <row r="25" spans="1:13" s="10" customFormat="1" ht="12" customHeight="1" x14ac:dyDescent="0.25">
      <c r="A25" s="180">
        <v>7</v>
      </c>
      <c r="B25" s="20" t="s">
        <v>337</v>
      </c>
      <c r="C25" s="125">
        <v>3.0000000000000001E-3</v>
      </c>
      <c r="D25" s="125">
        <v>3.0000000000000001E-3</v>
      </c>
      <c r="E25" s="408">
        <f>цены!F39</f>
        <v>300</v>
      </c>
      <c r="F25" s="408">
        <f t="shared" si="2"/>
        <v>0.9</v>
      </c>
      <c r="G25" s="97">
        <f t="shared" si="0"/>
        <v>0.03</v>
      </c>
      <c r="H25" s="21">
        <f t="shared" si="0"/>
        <v>0.03</v>
      </c>
      <c r="I25" s="21">
        <f t="shared" si="1"/>
        <v>0.3</v>
      </c>
      <c r="J25" s="21">
        <f t="shared" si="1"/>
        <v>0.3</v>
      </c>
      <c r="L25" s="2"/>
      <c r="M25" s="2"/>
    </row>
    <row r="26" spans="1:13" s="10" customFormat="1" ht="12" customHeight="1" x14ac:dyDescent="0.25">
      <c r="A26" s="180">
        <v>8</v>
      </c>
      <c r="B26" s="20" t="s">
        <v>78</v>
      </c>
      <c r="C26" s="111">
        <v>3.0000000000000001E-3</v>
      </c>
      <c r="D26" s="111">
        <v>3.0000000000000001E-3</v>
      </c>
      <c r="E26" s="408">
        <f>цены!F48</f>
        <v>300</v>
      </c>
      <c r="F26" s="408">
        <f t="shared" si="2"/>
        <v>0.9</v>
      </c>
      <c r="G26" s="97">
        <f t="shared" si="0"/>
        <v>0.03</v>
      </c>
      <c r="H26" s="21">
        <f t="shared" si="0"/>
        <v>0.03</v>
      </c>
      <c r="I26" s="21">
        <f t="shared" si="1"/>
        <v>0.3</v>
      </c>
      <c r="J26" s="21">
        <f t="shared" si="1"/>
        <v>0.3</v>
      </c>
      <c r="L26" s="2"/>
      <c r="M26" s="2"/>
    </row>
    <row r="27" spans="1:13" s="10" customFormat="1" ht="12" customHeight="1" x14ac:dyDescent="0.25">
      <c r="A27" s="98"/>
      <c r="B27" s="93" t="s">
        <v>206</v>
      </c>
      <c r="C27" s="112"/>
      <c r="D27" s="1028">
        <v>70</v>
      </c>
      <c r="E27" s="95"/>
      <c r="F27" s="95">
        <f>SUM(F19:F26)</f>
        <v>97.01</v>
      </c>
      <c r="G27" s="99"/>
      <c r="H27" s="1028">
        <f>D27*10</f>
        <v>700</v>
      </c>
      <c r="I27" s="1028"/>
      <c r="J27" s="1028">
        <f>D27*100</f>
        <v>7000</v>
      </c>
    </row>
    <row r="28" spans="1:13" s="10" customFormat="1" ht="12" customHeight="1" x14ac:dyDescent="0.25">
      <c r="A28" s="98"/>
      <c r="B28" s="93" t="s">
        <v>381</v>
      </c>
      <c r="C28" s="112"/>
      <c r="D28" s="1028">
        <v>175</v>
      </c>
      <c r="E28" s="95"/>
      <c r="F28" s="95"/>
      <c r="G28" s="99"/>
      <c r="H28" s="1028">
        <f>D28*10</f>
        <v>1750</v>
      </c>
      <c r="I28" s="1028"/>
      <c r="J28" s="1028">
        <f>D28*100</f>
        <v>17500</v>
      </c>
    </row>
    <row r="29" spans="1:13" s="10" customFormat="1" ht="12" customHeight="1" x14ac:dyDescent="0.25">
      <c r="A29" s="98"/>
      <c r="B29" s="93" t="s">
        <v>100</v>
      </c>
      <c r="C29" s="112"/>
      <c r="D29" s="1028">
        <v>245</v>
      </c>
      <c r="E29" s="95"/>
      <c r="F29" s="95">
        <f>F27</f>
        <v>97.01</v>
      </c>
      <c r="G29" s="99"/>
      <c r="H29" s="1028">
        <f>D29*10</f>
        <v>2450</v>
      </c>
      <c r="I29" s="1028"/>
      <c r="J29" s="1028">
        <f>D29*100</f>
        <v>24500</v>
      </c>
    </row>
    <row r="30" spans="1:13" s="10" customFormat="1" ht="21" customHeight="1" x14ac:dyDescent="0.25">
      <c r="A30" s="1536" t="s">
        <v>35</v>
      </c>
      <c r="B30" s="1536"/>
      <c r="C30" s="90"/>
      <c r="D30" s="90"/>
      <c r="E30" s="408"/>
      <c r="F30" s="408">
        <f>F29</f>
        <v>97.01</v>
      </c>
      <c r="G30" s="493"/>
      <c r="H30" s="493"/>
      <c r="I30" s="21"/>
      <c r="J30" s="408"/>
    </row>
    <row r="31" spans="1:13" s="10" customFormat="1" ht="25.35" customHeight="1" x14ac:dyDescent="0.25">
      <c r="A31" s="1536" t="s">
        <v>36</v>
      </c>
      <c r="B31" s="1536"/>
      <c r="C31" s="90">
        <v>245</v>
      </c>
      <c r="D31" s="90"/>
      <c r="E31" s="408"/>
      <c r="F31" s="408"/>
      <c r="G31" s="408"/>
      <c r="H31" s="408"/>
      <c r="I31" s="21"/>
      <c r="J31" s="17"/>
    </row>
    <row r="32" spans="1:13" s="10" customFormat="1" ht="25.35" customHeight="1" x14ac:dyDescent="0.25">
      <c r="A32" s="1537" t="s">
        <v>37</v>
      </c>
      <c r="B32" s="1538"/>
      <c r="C32" s="91">
        <v>245</v>
      </c>
      <c r="D32" s="92"/>
      <c r="E32" s="494"/>
      <c r="F32" s="494"/>
      <c r="G32" s="494"/>
      <c r="H32" s="494"/>
      <c r="I32" s="21"/>
      <c r="J32" s="17"/>
    </row>
    <row r="33" spans="1:10" s="10" customFormat="1" ht="15" customHeight="1" x14ac:dyDescent="0.25">
      <c r="A33" s="1539" t="s">
        <v>38</v>
      </c>
      <c r="B33" s="1540"/>
      <c r="C33" s="92">
        <f>C31/C32</f>
        <v>1</v>
      </c>
      <c r="D33" s="92"/>
      <c r="E33" s="494"/>
      <c r="F33" s="494"/>
      <c r="G33" s="494"/>
      <c r="H33" s="494"/>
      <c r="I33" s="21"/>
      <c r="J33" s="17"/>
    </row>
    <row r="34" spans="1:10" ht="16.350000000000001" customHeight="1" x14ac:dyDescent="0.25">
      <c r="A34" s="1541" t="s">
        <v>39</v>
      </c>
      <c r="B34" s="1542"/>
      <c r="C34" s="15" t="s">
        <v>40</v>
      </c>
      <c r="D34" s="102"/>
      <c r="E34" s="102" t="s">
        <v>40</v>
      </c>
      <c r="F34" s="16">
        <f>F30/C33</f>
        <v>97.01</v>
      </c>
      <c r="G34" s="16"/>
      <c r="H34" s="16"/>
      <c r="I34" s="102" t="s">
        <v>40</v>
      </c>
      <c r="J34" s="102" t="s">
        <v>40</v>
      </c>
    </row>
    <row r="35" spans="1:10" ht="23.1" customHeight="1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193"/>
      <c r="B36" s="1194" t="s">
        <v>49</v>
      </c>
      <c r="C36" s="1198"/>
      <c r="D36" s="1198"/>
      <c r="E36" s="1198"/>
      <c r="F36" s="1198"/>
      <c r="G36" s="1193"/>
      <c r="H36" s="1557">
        <f>'1-бутерброд с маслом'!$H$28</f>
        <v>0</v>
      </c>
      <c r="I36" s="1557"/>
      <c r="J36" s="1557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6.2" customHeight="1" x14ac:dyDescent="0.25">
      <c r="A38" s="1545" t="s">
        <v>327</v>
      </c>
      <c r="B38" s="1545"/>
      <c r="C38" s="1546" t="s">
        <v>328</v>
      </c>
      <c r="D38" s="1546"/>
      <c r="E38" s="1546"/>
      <c r="F38" s="1546"/>
      <c r="G38" s="106"/>
      <c r="H38" s="1531"/>
      <c r="I38" s="1531"/>
      <c r="J38" s="1531"/>
    </row>
    <row r="39" spans="1:10" ht="18" customHeight="1" x14ac:dyDescent="0.25">
      <c r="A39" s="1193"/>
      <c r="B39" s="1193"/>
      <c r="C39" s="1546"/>
      <c r="D39" s="1546"/>
      <c r="E39" s="1546"/>
      <c r="F39" s="1546"/>
      <c r="G39" s="1193"/>
      <c r="H39" s="1531" t="s">
        <v>329</v>
      </c>
      <c r="I39" s="1531"/>
      <c r="J39" s="1531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</sheetData>
  <mergeCells count="28">
    <mergeCell ref="H36:J36"/>
    <mergeCell ref="A13:G13"/>
    <mergeCell ref="A31:B31"/>
    <mergeCell ref="A32:B32"/>
    <mergeCell ref="A33:B33"/>
    <mergeCell ref="A34:B34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8:B38"/>
    <mergeCell ref="C38:F39"/>
    <mergeCell ref="H38:J38"/>
    <mergeCell ref="H39:J39"/>
    <mergeCell ref="H5:I5"/>
    <mergeCell ref="A6:G6"/>
    <mergeCell ref="A7:I7"/>
    <mergeCell ref="A30:B30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45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1093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182)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260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207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'259-жаркое (2)'!H14+1</f>
        <v>182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>
        <v>1</v>
      </c>
      <c r="B19" s="20" t="s">
        <v>174</v>
      </c>
      <c r="C19" s="21">
        <v>0.107</v>
      </c>
      <c r="D19" s="21">
        <v>7.9000000000000001E-2</v>
      </c>
      <c r="E19" s="13">
        <f>цены!F7</f>
        <v>560</v>
      </c>
      <c r="F19" s="13">
        <f t="shared" ref="F19:F28" si="0">C19*E19</f>
        <v>59.92</v>
      </c>
      <c r="G19" s="97">
        <f t="shared" ref="G19:H23" si="1">C19*10</f>
        <v>1.07</v>
      </c>
      <c r="H19" s="21">
        <f t="shared" si="1"/>
        <v>0.79</v>
      </c>
      <c r="I19" s="21">
        <f t="shared" ref="I19:J23" si="2">C19*100</f>
        <v>10.7</v>
      </c>
      <c r="J19" s="21">
        <f t="shared" si="2"/>
        <v>7.9</v>
      </c>
    </row>
    <row r="20" spans="1:10" s="10" customFormat="1" ht="12" customHeight="1" x14ac:dyDescent="0.25">
      <c r="A20" s="180">
        <v>2</v>
      </c>
      <c r="B20" s="20" t="s">
        <v>74</v>
      </c>
      <c r="C20" s="21">
        <v>5.0000000000000001E-3</v>
      </c>
      <c r="D20" s="21">
        <v>5.0000000000000001E-3</v>
      </c>
      <c r="E20" s="13">
        <f>цены!F87</f>
        <v>120</v>
      </c>
      <c r="F20" s="13">
        <f t="shared" si="0"/>
        <v>0.6</v>
      </c>
      <c r="G20" s="97">
        <f t="shared" si="1"/>
        <v>0.05</v>
      </c>
      <c r="H20" s="21">
        <f t="shared" si="1"/>
        <v>0.05</v>
      </c>
      <c r="I20" s="21">
        <f t="shared" si="2"/>
        <v>0.5</v>
      </c>
      <c r="J20" s="21">
        <f t="shared" si="2"/>
        <v>0.5</v>
      </c>
    </row>
    <row r="21" spans="1:10" s="10" customFormat="1" ht="12" customHeight="1" x14ac:dyDescent="0.25">
      <c r="A21" s="180">
        <v>3</v>
      </c>
      <c r="B21" s="20" t="s">
        <v>48</v>
      </c>
      <c r="C21" s="21">
        <v>1.2E-2</v>
      </c>
      <c r="D21" s="21">
        <v>0.01</v>
      </c>
      <c r="E21" s="13">
        <f>цены!F38</f>
        <v>50</v>
      </c>
      <c r="F21" s="13">
        <f t="shared" si="0"/>
        <v>0.6</v>
      </c>
      <c r="G21" s="97">
        <f t="shared" si="1"/>
        <v>0.12</v>
      </c>
      <c r="H21" s="21">
        <f t="shared" si="1"/>
        <v>0.1</v>
      </c>
      <c r="I21" s="21">
        <f t="shared" si="2"/>
        <v>1.2</v>
      </c>
      <c r="J21" s="21">
        <f t="shared" si="2"/>
        <v>1</v>
      </c>
    </row>
    <row r="22" spans="1:10" s="10" customFormat="1" ht="12" customHeight="1" x14ac:dyDescent="0.25">
      <c r="A22" s="180">
        <v>4</v>
      </c>
      <c r="B22" s="20" t="s">
        <v>46</v>
      </c>
      <c r="C22" s="21">
        <v>8.0000000000000002E-3</v>
      </c>
      <c r="D22" s="21">
        <v>8.0000000000000002E-3</v>
      </c>
      <c r="E22" s="13">
        <f>цены!F113</f>
        <v>230</v>
      </c>
      <c r="F22" s="13">
        <f t="shared" si="0"/>
        <v>1.84</v>
      </c>
      <c r="G22" s="97">
        <f t="shared" si="1"/>
        <v>0.08</v>
      </c>
      <c r="H22" s="21">
        <f t="shared" si="1"/>
        <v>0.08</v>
      </c>
      <c r="I22" s="21">
        <f t="shared" si="2"/>
        <v>0.8</v>
      </c>
      <c r="J22" s="21">
        <f t="shared" si="2"/>
        <v>0.8</v>
      </c>
    </row>
    <row r="23" spans="1:10" s="10" customFormat="1" ht="12" customHeight="1" x14ac:dyDescent="0.25">
      <c r="A23" s="180">
        <v>5</v>
      </c>
      <c r="B23" s="20" t="s">
        <v>45</v>
      </c>
      <c r="C23" s="21">
        <v>2E-3</v>
      </c>
      <c r="D23" s="21">
        <v>2E-3</v>
      </c>
      <c r="E23" s="13">
        <f>цены!F74</f>
        <v>36</v>
      </c>
      <c r="F23" s="13">
        <f t="shared" si="0"/>
        <v>7.0000000000000007E-2</v>
      </c>
      <c r="G23" s="97">
        <f t="shared" si="1"/>
        <v>0.02</v>
      </c>
      <c r="H23" s="21">
        <f t="shared" si="1"/>
        <v>0.02</v>
      </c>
      <c r="I23" s="21">
        <f t="shared" si="2"/>
        <v>0.2</v>
      </c>
      <c r="J23" s="21">
        <f t="shared" si="2"/>
        <v>0.2</v>
      </c>
    </row>
    <row r="24" spans="1:10" s="10" customFormat="1" ht="12" customHeight="1" x14ac:dyDescent="0.25">
      <c r="A24" s="180">
        <v>6</v>
      </c>
      <c r="B24" s="20" t="s">
        <v>33</v>
      </c>
      <c r="C24" s="21">
        <v>3.0000000000000001E-3</v>
      </c>
      <c r="D24" s="21">
        <v>3.0000000000000001E-3</v>
      </c>
      <c r="E24" s="13">
        <f>цены!F110</f>
        <v>24</v>
      </c>
      <c r="F24" s="13">
        <f t="shared" si="0"/>
        <v>7.0000000000000007E-2</v>
      </c>
      <c r="G24" s="97">
        <f t="shared" ref="G24:H28" si="3">C24*10</f>
        <v>0.03</v>
      </c>
      <c r="H24" s="21">
        <f t="shared" si="3"/>
        <v>0.03</v>
      </c>
      <c r="I24" s="21">
        <f t="shared" ref="I24:J28" si="4">C24*100</f>
        <v>0.3</v>
      </c>
      <c r="J24" s="21">
        <f t="shared" si="4"/>
        <v>0.3</v>
      </c>
    </row>
    <row r="25" spans="1:10" s="10" customFormat="1" ht="12" customHeight="1" x14ac:dyDescent="0.25">
      <c r="A25" s="180">
        <v>7</v>
      </c>
      <c r="B25" s="20" t="s">
        <v>411</v>
      </c>
      <c r="C25" s="21">
        <v>1.4999999999999999E-2</v>
      </c>
      <c r="D25" s="21">
        <v>1.4999999999999999E-2</v>
      </c>
      <c r="E25" s="13">
        <f>цены!F24</f>
        <v>234</v>
      </c>
      <c r="F25" s="13">
        <f t="shared" si="0"/>
        <v>3.51</v>
      </c>
      <c r="G25" s="97">
        <f t="shared" si="3"/>
        <v>0.15</v>
      </c>
      <c r="H25" s="21">
        <f t="shared" si="3"/>
        <v>0.15</v>
      </c>
      <c r="I25" s="21">
        <f t="shared" si="4"/>
        <v>1.5</v>
      </c>
      <c r="J25" s="21">
        <f t="shared" si="4"/>
        <v>1.5</v>
      </c>
    </row>
    <row r="26" spans="1:10" s="10" customFormat="1" ht="12" customHeight="1" x14ac:dyDescent="0.25">
      <c r="A26" s="180">
        <v>8</v>
      </c>
      <c r="B26" s="20" t="s">
        <v>84</v>
      </c>
      <c r="C26" s="125">
        <v>2.0000000000000002E-5</v>
      </c>
      <c r="D26" s="125">
        <v>2.0000000000000002E-5</v>
      </c>
      <c r="E26" s="13">
        <f>цены!F100</f>
        <v>1000</v>
      </c>
      <c r="F26" s="13">
        <f t="shared" si="0"/>
        <v>0.02</v>
      </c>
      <c r="G26" s="97">
        <f t="shared" si="3"/>
        <v>0</v>
      </c>
      <c r="H26" s="21">
        <f t="shared" si="3"/>
        <v>0</v>
      </c>
      <c r="I26" s="21">
        <f t="shared" si="4"/>
        <v>2E-3</v>
      </c>
      <c r="J26" s="21">
        <f t="shared" si="4"/>
        <v>2E-3</v>
      </c>
    </row>
    <row r="27" spans="1:10" s="10" customFormat="1" ht="12" customHeight="1" x14ac:dyDescent="0.25">
      <c r="A27" s="180">
        <v>9</v>
      </c>
      <c r="B27" s="20" t="s">
        <v>337</v>
      </c>
      <c r="C27" s="125">
        <v>2E-3</v>
      </c>
      <c r="D27" s="125">
        <v>2E-3</v>
      </c>
      <c r="E27" s="13">
        <f>цены!F39</f>
        <v>300</v>
      </c>
      <c r="F27" s="13">
        <f t="shared" si="0"/>
        <v>0.6</v>
      </c>
      <c r="G27" s="97">
        <f t="shared" si="3"/>
        <v>0.02</v>
      </c>
      <c r="H27" s="21">
        <f t="shared" si="3"/>
        <v>0.02</v>
      </c>
      <c r="I27" s="21">
        <f t="shared" si="4"/>
        <v>0.2</v>
      </c>
      <c r="J27" s="21">
        <f t="shared" si="4"/>
        <v>0.2</v>
      </c>
    </row>
    <row r="28" spans="1:10" s="10" customFormat="1" ht="12" customHeight="1" x14ac:dyDescent="0.25">
      <c r="A28" s="180">
        <v>10</v>
      </c>
      <c r="B28" s="20" t="s">
        <v>78</v>
      </c>
      <c r="C28" s="111">
        <v>2E-3</v>
      </c>
      <c r="D28" s="111">
        <v>2E-3</v>
      </c>
      <c r="E28" s="13">
        <f>цены!F48</f>
        <v>300</v>
      </c>
      <c r="F28" s="13">
        <f t="shared" si="0"/>
        <v>0.6</v>
      </c>
      <c r="G28" s="97">
        <f t="shared" si="3"/>
        <v>0.02</v>
      </c>
      <c r="H28" s="21">
        <f t="shared" si="3"/>
        <v>0.02</v>
      </c>
      <c r="I28" s="21">
        <f t="shared" si="4"/>
        <v>0.2</v>
      </c>
      <c r="J28" s="21">
        <f t="shared" si="4"/>
        <v>0.2</v>
      </c>
    </row>
    <row r="29" spans="1:10" s="10" customFormat="1" ht="12" customHeight="1" x14ac:dyDescent="0.25">
      <c r="A29" s="184"/>
      <c r="B29" s="93" t="s">
        <v>206</v>
      </c>
      <c r="C29" s="100"/>
      <c r="D29" s="100">
        <v>0.1</v>
      </c>
      <c r="E29" s="95"/>
      <c r="F29" s="95">
        <f>SUM(F19:F28)</f>
        <v>67.83</v>
      </c>
      <c r="G29" s="99"/>
      <c r="H29" s="100">
        <f>D29*10</f>
        <v>1</v>
      </c>
      <c r="I29" s="100"/>
      <c r="J29" s="100">
        <f>D29*100</f>
        <v>10</v>
      </c>
    </row>
    <row r="30" spans="1:10" s="10" customFormat="1" ht="12" customHeight="1" x14ac:dyDescent="0.25">
      <c r="A30" s="98"/>
      <c r="B30" s="93" t="s">
        <v>100</v>
      </c>
      <c r="C30" s="112"/>
      <c r="D30" s="112"/>
      <c r="E30" s="95"/>
      <c r="F30" s="95">
        <f>F29</f>
        <v>67.83</v>
      </c>
      <c r="G30" s="99"/>
      <c r="H30" s="100">
        <f>D30*10</f>
        <v>0</v>
      </c>
      <c r="I30" s="100"/>
      <c r="J30" s="100">
        <f>D30*100</f>
        <v>0</v>
      </c>
    </row>
    <row r="31" spans="1:10" s="10" customFormat="1" ht="24" customHeight="1" x14ac:dyDescent="0.25">
      <c r="A31" s="203"/>
      <c r="B31" s="204" t="s">
        <v>412</v>
      </c>
      <c r="C31" s="205"/>
      <c r="D31" s="205"/>
      <c r="E31" s="206"/>
      <c r="F31" s="206"/>
      <c r="G31" s="207"/>
      <c r="H31" s="208"/>
      <c r="I31" s="208"/>
      <c r="J31" s="208"/>
    </row>
    <row r="32" spans="1:10" s="10" customFormat="1" ht="27.6" customHeight="1" x14ac:dyDescent="0.25">
      <c r="A32" s="1536" t="s">
        <v>35</v>
      </c>
      <c r="B32" s="1536"/>
      <c r="C32" s="90"/>
      <c r="D32" s="90"/>
      <c r="E32" s="13"/>
      <c r="F32" s="13">
        <f>F30</f>
        <v>67.83</v>
      </c>
      <c r="G32" s="14"/>
      <c r="H32" s="14"/>
      <c r="I32" s="21"/>
      <c r="J32" s="13"/>
    </row>
    <row r="33" spans="1:10" s="10" customFormat="1" ht="25.35" customHeight="1" x14ac:dyDescent="0.25">
      <c r="A33" s="1536" t="s">
        <v>36</v>
      </c>
      <c r="B33" s="1536"/>
      <c r="C33" s="90">
        <v>100</v>
      </c>
      <c r="D33" s="90"/>
      <c r="E33" s="13"/>
      <c r="F33" s="13"/>
      <c r="G33" s="13"/>
      <c r="H33" s="13"/>
      <c r="I33" s="21"/>
      <c r="J33" s="17"/>
    </row>
    <row r="34" spans="1:10" s="10" customFormat="1" ht="25.35" customHeight="1" x14ac:dyDescent="0.25">
      <c r="A34" s="1537" t="s">
        <v>37</v>
      </c>
      <c r="B34" s="1538"/>
      <c r="C34" s="91">
        <v>100</v>
      </c>
      <c r="D34" s="92"/>
      <c r="E34" s="5"/>
      <c r="F34" s="5"/>
      <c r="G34" s="5"/>
      <c r="H34" s="5"/>
      <c r="I34" s="21"/>
      <c r="J34" s="17"/>
    </row>
    <row r="35" spans="1:10" s="10" customFormat="1" ht="15" customHeight="1" x14ac:dyDescent="0.25">
      <c r="A35" s="1539" t="s">
        <v>38</v>
      </c>
      <c r="B35" s="1540"/>
      <c r="C35" s="92">
        <f>C33/C34</f>
        <v>1</v>
      </c>
      <c r="D35" s="92"/>
      <c r="E35" s="5"/>
      <c r="F35" s="5"/>
      <c r="G35" s="5"/>
      <c r="H35" s="5"/>
      <c r="I35" s="21"/>
      <c r="J35" s="17"/>
    </row>
    <row r="36" spans="1:10" ht="16.350000000000001" customHeight="1" x14ac:dyDescent="0.25">
      <c r="A36" s="1541" t="s">
        <v>39</v>
      </c>
      <c r="B36" s="1542"/>
      <c r="C36" s="15" t="s">
        <v>40</v>
      </c>
      <c r="D36" s="102"/>
      <c r="E36" s="102" t="s">
        <v>40</v>
      </c>
      <c r="F36" s="16">
        <f>F32/C35</f>
        <v>67.83</v>
      </c>
      <c r="G36" s="16"/>
      <c r="H36" s="16"/>
      <c r="I36" s="102" t="s">
        <v>40</v>
      </c>
      <c r="J36" s="102" t="s">
        <v>40</v>
      </c>
    </row>
    <row r="37" spans="1:10" ht="23.1" customHeight="1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193"/>
      <c r="B38" s="1194" t="s">
        <v>49</v>
      </c>
      <c r="C38" s="1198"/>
      <c r="D38" s="1198"/>
      <c r="E38" s="1198"/>
      <c r="F38" s="1198"/>
      <c r="G38" s="1193"/>
      <c r="H38" s="1557">
        <f>'1-бутерброд с маслом'!$H$28</f>
        <v>0</v>
      </c>
      <c r="I38" s="1557"/>
      <c r="J38" s="1557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ht="13.95" customHeight="1" x14ac:dyDescent="0.25">
      <c r="A40" s="1545" t="s">
        <v>327</v>
      </c>
      <c r="B40" s="1545"/>
      <c r="C40" s="1546" t="s">
        <v>328</v>
      </c>
      <c r="D40" s="1546"/>
      <c r="E40" s="1546"/>
      <c r="F40" s="1546"/>
      <c r="G40" s="106"/>
      <c r="H40" s="1531"/>
      <c r="I40" s="1531"/>
      <c r="J40" s="1531"/>
    </row>
    <row r="41" spans="1:10" x14ac:dyDescent="0.25">
      <c r="A41" s="1193"/>
      <c r="B41" s="1193"/>
      <c r="C41" s="1546"/>
      <c r="D41" s="1546"/>
      <c r="E41" s="1546"/>
      <c r="F41" s="1546"/>
      <c r="G41" s="1193"/>
      <c r="H41" s="1531" t="s">
        <v>329</v>
      </c>
      <c r="I41" s="1531"/>
      <c r="J41" s="1531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  <row r="45" spans="1:10" x14ac:dyDescent="0.25">
      <c r="A45" s="1193"/>
      <c r="B45" s="1193"/>
      <c r="C45" s="1193"/>
      <c r="D45" s="1193"/>
      <c r="E45" s="1193"/>
      <c r="F45" s="1193"/>
      <c r="G45" s="1193"/>
      <c r="H45" s="1193"/>
      <c r="I45" s="1193"/>
      <c r="J45" s="1193"/>
    </row>
  </sheetData>
  <mergeCells count="28">
    <mergeCell ref="A33:B33"/>
    <mergeCell ref="A13:G13"/>
    <mergeCell ref="A34:B34"/>
    <mergeCell ref="A35:B35"/>
    <mergeCell ref="A36:B36"/>
    <mergeCell ref="A16:A17"/>
    <mergeCell ref="B16:B17"/>
    <mergeCell ref="A32:B32"/>
    <mergeCell ref="A6:G6"/>
    <mergeCell ref="A7:I7"/>
    <mergeCell ref="C16:F16"/>
    <mergeCell ref="G16:H16"/>
    <mergeCell ref="I16:J16"/>
    <mergeCell ref="A9:J9"/>
    <mergeCell ref="A11:J11"/>
    <mergeCell ref="I13:J13"/>
    <mergeCell ref="C14:G14"/>
    <mergeCell ref="I14:J14"/>
    <mergeCell ref="G1:J1"/>
    <mergeCell ref="G2:J2"/>
    <mergeCell ref="G3:J3"/>
    <mergeCell ref="A5:G5"/>
    <mergeCell ref="H5:I5"/>
    <mergeCell ref="A40:B40"/>
    <mergeCell ref="C40:F41"/>
    <mergeCell ref="H40:J40"/>
    <mergeCell ref="H41:J41"/>
    <mergeCell ref="H38:J38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46"/>
  <sheetViews>
    <sheetView view="pageBreakPreview" zoomScaleNormal="100" zoomScaleSheetLayoutView="100" workbookViewId="0">
      <selection activeCell="A10" sqref="A10:J10"/>
    </sheetView>
  </sheetViews>
  <sheetFormatPr defaultColWidth="8.88671875" defaultRowHeight="13.8" x14ac:dyDescent="0.25"/>
  <cols>
    <col min="1" max="1" width="4.109375" style="486" customWidth="1"/>
    <col min="2" max="2" width="21.109375" style="486" customWidth="1"/>
    <col min="3" max="7" width="7.5546875" style="486" customWidth="1"/>
    <col min="8" max="8" width="8.88671875" style="486" customWidth="1"/>
    <col min="9" max="9" width="7.5546875" style="486" customWidth="1"/>
    <col min="10" max="10" width="9" style="486" customWidth="1"/>
    <col min="11" max="11" width="5" style="486" customWidth="1"/>
    <col min="12" max="16384" width="8.88671875" style="486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номер)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260</v>
      </c>
    </row>
    <row r="8" spans="1:10" s="2" customFormat="1" ht="16.350000000000001" customHeight="1" x14ac:dyDescent="0.25">
      <c r="A8" s="487"/>
      <c r="B8" s="487"/>
      <c r="C8" s="487"/>
      <c r="D8" s="487"/>
      <c r="E8" s="487"/>
      <c r="F8" s="487"/>
      <c r="G8" s="487"/>
      <c r="H8" s="487"/>
      <c r="I8" s="487"/>
      <c r="J8" s="107"/>
    </row>
    <row r="9" spans="1:10" s="2" customFormat="1" ht="9.6" customHeight="1" x14ac:dyDescent="0.25">
      <c r="A9" s="487"/>
      <c r="B9" s="487"/>
      <c r="C9" s="487"/>
      <c r="D9" s="487"/>
      <c r="E9" s="487"/>
      <c r="F9" s="487"/>
      <c r="G9" s="487"/>
      <c r="H9" s="487"/>
      <c r="I9" s="487"/>
      <c r="J9" s="109"/>
    </row>
    <row r="10" spans="1:10" s="2" customFormat="1" ht="26.1" customHeight="1" x14ac:dyDescent="0.3">
      <c r="A10" s="1550" t="s">
        <v>769</v>
      </c>
      <c r="B10" s="1550"/>
      <c r="C10" s="1550"/>
      <c r="D10" s="1550"/>
      <c r="E10" s="1550"/>
      <c r="F10" s="1550"/>
      <c r="G10" s="1550"/>
      <c r="H10" s="1550"/>
      <c r="I10" s="1550"/>
      <c r="J10" s="1550"/>
    </row>
    <row r="11" spans="1:10" s="2" customFormat="1" ht="14.4" customHeight="1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</row>
    <row r="12" spans="1:10" ht="38.1" customHeight="1" x14ac:dyDescent="0.25">
      <c r="A12" s="1551" t="s">
        <v>86</v>
      </c>
      <c r="B12" s="1551"/>
      <c r="C12" s="1551"/>
      <c r="D12" s="1551"/>
      <c r="E12" s="1551"/>
      <c r="F12" s="1551"/>
      <c r="G12" s="1551"/>
      <c r="H12" s="1551"/>
      <c r="I12" s="1551"/>
      <c r="J12" s="1551"/>
    </row>
    <row r="13" spans="1:10" ht="9.6" customHeight="1" x14ac:dyDescent="0.25">
      <c r="A13" s="1193"/>
      <c r="B13" s="1193"/>
      <c r="C13" s="1193"/>
      <c r="D13" s="1193"/>
      <c r="E13" s="101"/>
      <c r="F13" s="101"/>
      <c r="G13" s="1193"/>
      <c r="H13" s="1193"/>
      <c r="I13" s="1193"/>
      <c r="J13" s="1193"/>
    </row>
    <row r="14" spans="1:10" s="1" customFormat="1" ht="19.350000000000001" customHeight="1" x14ac:dyDescent="0.3">
      <c r="A14" s="1519" t="s">
        <v>58</v>
      </c>
      <c r="B14" s="1519"/>
      <c r="C14" s="1519"/>
      <c r="D14" s="1519"/>
      <c r="E14" s="1519"/>
      <c r="F14" s="1519"/>
      <c r="G14" s="1520"/>
      <c r="H14" s="1199" t="s">
        <v>12</v>
      </c>
      <c r="I14" s="1549" t="s">
        <v>13</v>
      </c>
      <c r="J14" s="1549"/>
    </row>
    <row r="15" spans="1:10" s="1" customFormat="1" ht="15.75" customHeight="1" x14ac:dyDescent="0.25">
      <c r="C15" s="1552"/>
      <c r="D15" s="1552"/>
      <c r="E15" s="1552"/>
      <c r="F15" s="1552"/>
      <c r="G15" s="1553"/>
      <c r="H15" s="179">
        <f>'260-гуляш'!H14+1</f>
        <v>183</v>
      </c>
      <c r="I15" s="1534">
        <v>44986</v>
      </c>
      <c r="J15" s="1535"/>
    </row>
    <row r="16" spans="1:10" s="2" customFormat="1" ht="22.35" customHeight="1" x14ac:dyDescent="0.25">
      <c r="C16" s="6"/>
      <c r="D16" s="6"/>
      <c r="E16" s="6"/>
      <c r="F16" s="6"/>
      <c r="G16" s="6"/>
      <c r="H16" s="6"/>
      <c r="I16" s="6"/>
      <c r="J16" s="6"/>
    </row>
    <row r="17" spans="1:10" s="2" customFormat="1" ht="27" customHeight="1" x14ac:dyDescent="0.25">
      <c r="A17" s="1543" t="s">
        <v>19</v>
      </c>
      <c r="B17" s="1543" t="s">
        <v>90</v>
      </c>
      <c r="C17" s="1543" t="s">
        <v>88</v>
      </c>
      <c r="D17" s="1543"/>
      <c r="E17" s="1543"/>
      <c r="F17" s="1543"/>
      <c r="G17" s="1543" t="s">
        <v>89</v>
      </c>
      <c r="H17" s="1543"/>
      <c r="I17" s="1549" t="s">
        <v>91</v>
      </c>
      <c r="J17" s="1549"/>
    </row>
    <row r="18" spans="1:10" ht="26.4" customHeight="1" x14ac:dyDescent="0.25">
      <c r="A18" s="1543"/>
      <c r="B18" s="1543"/>
      <c r="C18" s="488" t="s">
        <v>92</v>
      </c>
      <c r="D18" s="488" t="s">
        <v>94</v>
      </c>
      <c r="E18" s="488" t="s">
        <v>93</v>
      </c>
      <c r="F18" s="488" t="s">
        <v>23</v>
      </c>
      <c r="G18" s="488" t="s">
        <v>92</v>
      </c>
      <c r="H18" s="488" t="s">
        <v>94</v>
      </c>
      <c r="I18" s="488" t="s">
        <v>92</v>
      </c>
      <c r="J18" s="488" t="s">
        <v>94</v>
      </c>
    </row>
    <row r="19" spans="1:10" ht="9.6" customHeight="1" x14ac:dyDescent="0.25">
      <c r="A19" s="488">
        <v>1</v>
      </c>
      <c r="B19" s="489">
        <v>2</v>
      </c>
      <c r="C19" s="488">
        <v>3</v>
      </c>
      <c r="D19" s="489">
        <v>4</v>
      </c>
      <c r="E19" s="488">
        <v>5</v>
      </c>
      <c r="F19" s="489">
        <v>6</v>
      </c>
      <c r="G19" s="488">
        <v>7</v>
      </c>
      <c r="H19" s="489">
        <v>8</v>
      </c>
      <c r="I19" s="488">
        <v>9</v>
      </c>
      <c r="J19" s="489">
        <v>10</v>
      </c>
    </row>
    <row r="20" spans="1:10" s="10" customFormat="1" ht="14.1" customHeight="1" x14ac:dyDescent="0.25">
      <c r="A20" s="180">
        <v>1</v>
      </c>
      <c r="B20" s="20" t="s">
        <v>174</v>
      </c>
      <c r="C20" s="21">
        <v>0.15</v>
      </c>
      <c r="D20" s="21">
        <v>0.111</v>
      </c>
      <c r="E20" s="408">
        <f>цены!F7</f>
        <v>560</v>
      </c>
      <c r="F20" s="408">
        <f t="shared" ref="F20:F29" si="0">C20*E20</f>
        <v>84</v>
      </c>
      <c r="G20" s="97">
        <f t="shared" ref="G20:H29" si="1">C20*10</f>
        <v>1.5</v>
      </c>
      <c r="H20" s="21">
        <f t="shared" si="1"/>
        <v>1.1100000000000001</v>
      </c>
      <c r="I20" s="21">
        <f t="shared" ref="I20:J29" si="2">C20*100</f>
        <v>15</v>
      </c>
      <c r="J20" s="21">
        <f t="shared" si="2"/>
        <v>11.1</v>
      </c>
    </row>
    <row r="21" spans="1:10" s="10" customFormat="1" ht="12" customHeight="1" x14ac:dyDescent="0.25">
      <c r="A21" s="180">
        <v>2</v>
      </c>
      <c r="B21" s="20" t="s">
        <v>74</v>
      </c>
      <c r="C21" s="21">
        <v>7.0000000000000001E-3</v>
      </c>
      <c r="D21" s="21">
        <v>7.0000000000000001E-3</v>
      </c>
      <c r="E21" s="408">
        <f>цены!F87</f>
        <v>120</v>
      </c>
      <c r="F21" s="408">
        <f t="shared" si="0"/>
        <v>0.84</v>
      </c>
      <c r="G21" s="97">
        <f t="shared" si="1"/>
        <v>7.0000000000000007E-2</v>
      </c>
      <c r="H21" s="21">
        <f t="shared" si="1"/>
        <v>7.0000000000000007E-2</v>
      </c>
      <c r="I21" s="21">
        <f t="shared" si="2"/>
        <v>0.7</v>
      </c>
      <c r="J21" s="21">
        <f t="shared" si="2"/>
        <v>0.7</v>
      </c>
    </row>
    <row r="22" spans="1:10" s="10" customFormat="1" ht="12" customHeight="1" x14ac:dyDescent="0.25">
      <c r="A22" s="180">
        <v>3</v>
      </c>
      <c r="B22" s="20" t="s">
        <v>48</v>
      </c>
      <c r="C22" s="21">
        <v>1.7000000000000001E-2</v>
      </c>
      <c r="D22" s="21">
        <v>1.4E-2</v>
      </c>
      <c r="E22" s="408">
        <f>цены!F38</f>
        <v>50</v>
      </c>
      <c r="F22" s="408">
        <f t="shared" si="0"/>
        <v>0.85</v>
      </c>
      <c r="G22" s="97">
        <f t="shared" si="1"/>
        <v>0.17</v>
      </c>
      <c r="H22" s="21">
        <f t="shared" si="1"/>
        <v>0.14000000000000001</v>
      </c>
      <c r="I22" s="21">
        <f t="shared" si="2"/>
        <v>1.7</v>
      </c>
      <c r="J22" s="21">
        <f t="shared" si="2"/>
        <v>1.4</v>
      </c>
    </row>
    <row r="23" spans="1:10" s="10" customFormat="1" ht="12" customHeight="1" x14ac:dyDescent="0.25">
      <c r="A23" s="180">
        <v>4</v>
      </c>
      <c r="B23" s="20" t="s">
        <v>46</v>
      </c>
      <c r="C23" s="21">
        <v>1.0999999999999999E-2</v>
      </c>
      <c r="D23" s="21">
        <v>1.0999999999999999E-2</v>
      </c>
      <c r="E23" s="408">
        <f>цены!F113</f>
        <v>230</v>
      </c>
      <c r="F23" s="408">
        <f t="shared" si="0"/>
        <v>2.5299999999999998</v>
      </c>
      <c r="G23" s="97">
        <f t="shared" si="1"/>
        <v>0.11</v>
      </c>
      <c r="H23" s="21">
        <f t="shared" si="1"/>
        <v>0.11</v>
      </c>
      <c r="I23" s="21">
        <f t="shared" si="2"/>
        <v>1.1000000000000001</v>
      </c>
      <c r="J23" s="21">
        <f t="shared" si="2"/>
        <v>1.1000000000000001</v>
      </c>
    </row>
    <row r="24" spans="1:10" s="10" customFormat="1" ht="12" customHeight="1" x14ac:dyDescent="0.25">
      <c r="A24" s="180">
        <v>5</v>
      </c>
      <c r="B24" s="20" t="s">
        <v>45</v>
      </c>
      <c r="C24" s="21">
        <v>3.0000000000000001E-3</v>
      </c>
      <c r="D24" s="21">
        <v>3.0000000000000001E-3</v>
      </c>
      <c r="E24" s="408">
        <f>цены!F74</f>
        <v>36</v>
      </c>
      <c r="F24" s="408">
        <f t="shared" si="0"/>
        <v>0.11</v>
      </c>
      <c r="G24" s="97">
        <f t="shared" si="1"/>
        <v>0.03</v>
      </c>
      <c r="H24" s="21">
        <f t="shared" si="1"/>
        <v>0.03</v>
      </c>
      <c r="I24" s="21">
        <f t="shared" si="2"/>
        <v>0.3</v>
      </c>
      <c r="J24" s="21">
        <f t="shared" si="2"/>
        <v>0.3</v>
      </c>
    </row>
    <row r="25" spans="1:10" s="10" customFormat="1" ht="12" customHeight="1" x14ac:dyDescent="0.25">
      <c r="A25" s="180">
        <v>6</v>
      </c>
      <c r="B25" s="20" t="s">
        <v>33</v>
      </c>
      <c r="C25" s="21">
        <v>4.0000000000000001E-3</v>
      </c>
      <c r="D25" s="21">
        <v>4.0000000000000001E-3</v>
      </c>
      <c r="E25" s="408">
        <f>цены!F110</f>
        <v>24</v>
      </c>
      <c r="F25" s="408">
        <f t="shared" si="0"/>
        <v>0.1</v>
      </c>
      <c r="G25" s="97">
        <f t="shared" si="1"/>
        <v>0.04</v>
      </c>
      <c r="H25" s="21">
        <f t="shared" si="1"/>
        <v>0.04</v>
      </c>
      <c r="I25" s="21">
        <f t="shared" si="2"/>
        <v>0.4</v>
      </c>
      <c r="J25" s="21">
        <f t="shared" si="2"/>
        <v>0.4</v>
      </c>
    </row>
    <row r="26" spans="1:10" s="10" customFormat="1" ht="12" customHeight="1" x14ac:dyDescent="0.25">
      <c r="A26" s="180">
        <v>7</v>
      </c>
      <c r="B26" s="20" t="s">
        <v>411</v>
      </c>
      <c r="C26" s="21">
        <v>2.1000000000000001E-2</v>
      </c>
      <c r="D26" s="21">
        <v>2.1000000000000001E-2</v>
      </c>
      <c r="E26" s="408">
        <f>цены!F24</f>
        <v>234</v>
      </c>
      <c r="F26" s="408">
        <f t="shared" si="0"/>
        <v>4.91</v>
      </c>
      <c r="G26" s="97">
        <f t="shared" si="1"/>
        <v>0.21</v>
      </c>
      <c r="H26" s="21">
        <f t="shared" si="1"/>
        <v>0.21</v>
      </c>
      <c r="I26" s="21">
        <f t="shared" si="2"/>
        <v>2.1</v>
      </c>
      <c r="J26" s="21">
        <f t="shared" si="2"/>
        <v>2.1</v>
      </c>
    </row>
    <row r="27" spans="1:10" s="10" customFormat="1" ht="12" customHeight="1" x14ac:dyDescent="0.25">
      <c r="A27" s="180">
        <v>8</v>
      </c>
      <c r="B27" s="20" t="s">
        <v>84</v>
      </c>
      <c r="C27" s="125">
        <v>3.0000000000000001E-5</v>
      </c>
      <c r="D27" s="125">
        <v>3.0000000000000001E-5</v>
      </c>
      <c r="E27" s="408">
        <f>цены!F100</f>
        <v>1000</v>
      </c>
      <c r="F27" s="408">
        <f t="shared" si="0"/>
        <v>0.03</v>
      </c>
      <c r="G27" s="97">
        <f t="shared" si="1"/>
        <v>0</v>
      </c>
      <c r="H27" s="21">
        <f t="shared" si="1"/>
        <v>0</v>
      </c>
      <c r="I27" s="21">
        <f t="shared" si="2"/>
        <v>3.0000000000000001E-3</v>
      </c>
      <c r="J27" s="21">
        <f t="shared" si="2"/>
        <v>3.0000000000000001E-3</v>
      </c>
    </row>
    <row r="28" spans="1:10" s="10" customFormat="1" ht="12" customHeight="1" x14ac:dyDescent="0.25">
      <c r="A28" s="180">
        <v>9</v>
      </c>
      <c r="B28" s="20" t="s">
        <v>337</v>
      </c>
      <c r="C28" s="125">
        <v>2.8E-3</v>
      </c>
      <c r="D28" s="125">
        <v>2.8E-3</v>
      </c>
      <c r="E28" s="408">
        <f>цены!F39</f>
        <v>300</v>
      </c>
      <c r="F28" s="408">
        <f t="shared" si="0"/>
        <v>0.84</v>
      </c>
      <c r="G28" s="97">
        <f t="shared" si="1"/>
        <v>2.8000000000000001E-2</v>
      </c>
      <c r="H28" s="21">
        <f t="shared" si="1"/>
        <v>2.8000000000000001E-2</v>
      </c>
      <c r="I28" s="21">
        <f t="shared" si="2"/>
        <v>0.28000000000000003</v>
      </c>
      <c r="J28" s="21">
        <f t="shared" si="2"/>
        <v>0.28000000000000003</v>
      </c>
    </row>
    <row r="29" spans="1:10" s="10" customFormat="1" ht="12" customHeight="1" x14ac:dyDescent="0.25">
      <c r="A29" s="180">
        <v>10</v>
      </c>
      <c r="B29" s="20" t="s">
        <v>78</v>
      </c>
      <c r="C29" s="111">
        <v>2.8E-3</v>
      </c>
      <c r="D29" s="111">
        <v>2.8E-3</v>
      </c>
      <c r="E29" s="408">
        <f>цены!F48</f>
        <v>300</v>
      </c>
      <c r="F29" s="408">
        <f t="shared" si="0"/>
        <v>0.84</v>
      </c>
      <c r="G29" s="97">
        <f t="shared" si="1"/>
        <v>2.8000000000000001E-2</v>
      </c>
      <c r="H29" s="21">
        <f t="shared" si="1"/>
        <v>2.8000000000000001E-2</v>
      </c>
      <c r="I29" s="21">
        <f t="shared" si="2"/>
        <v>0.28000000000000003</v>
      </c>
      <c r="J29" s="21">
        <f t="shared" si="2"/>
        <v>0.28000000000000003</v>
      </c>
    </row>
    <row r="30" spans="1:10" s="10" customFormat="1" ht="12" customHeight="1" x14ac:dyDescent="0.25">
      <c r="A30" s="184"/>
      <c r="B30" s="93" t="s">
        <v>206</v>
      </c>
      <c r="C30" s="100"/>
      <c r="D30" s="1028">
        <v>70</v>
      </c>
      <c r="E30" s="95"/>
      <c r="F30" s="95">
        <f>SUM(F20:F29)</f>
        <v>95.05</v>
      </c>
      <c r="G30" s="99"/>
      <c r="H30" s="1028">
        <f>D30*10</f>
        <v>700</v>
      </c>
      <c r="I30" s="1028"/>
      <c r="J30" s="1028">
        <f>D30*100</f>
        <v>7000</v>
      </c>
    </row>
    <row r="31" spans="1:10" s="10" customFormat="1" ht="12" customHeight="1" x14ac:dyDescent="0.25">
      <c r="A31" s="184"/>
      <c r="B31" s="93" t="s">
        <v>547</v>
      </c>
      <c r="C31" s="100"/>
      <c r="D31" s="1028">
        <v>70</v>
      </c>
      <c r="E31" s="95"/>
      <c r="F31" s="95"/>
      <c r="G31" s="99"/>
      <c r="H31" s="1028"/>
      <c r="I31" s="1028"/>
      <c r="J31" s="1028"/>
    </row>
    <row r="32" spans="1:10" s="10" customFormat="1" ht="12" customHeight="1" x14ac:dyDescent="0.25">
      <c r="A32" s="98"/>
      <c r="B32" s="93" t="s">
        <v>100</v>
      </c>
      <c r="C32" s="112"/>
      <c r="D32" s="1028">
        <v>140</v>
      </c>
      <c r="E32" s="95"/>
      <c r="F32" s="95">
        <f>F30</f>
        <v>95.05</v>
      </c>
      <c r="G32" s="99"/>
      <c r="H32" s="1028">
        <f>D32*10</f>
        <v>1400</v>
      </c>
      <c r="I32" s="1028"/>
      <c r="J32" s="1028">
        <f>D32*100</f>
        <v>14000</v>
      </c>
    </row>
    <row r="33" spans="1:10" s="10" customFormat="1" ht="24" customHeight="1" x14ac:dyDescent="0.25">
      <c r="A33" s="203"/>
      <c r="B33" s="204" t="s">
        <v>412</v>
      </c>
      <c r="C33" s="205"/>
      <c r="D33" s="205"/>
      <c r="E33" s="206"/>
      <c r="F33" s="206"/>
      <c r="G33" s="207"/>
      <c r="H33" s="208"/>
      <c r="I33" s="208"/>
      <c r="J33" s="208"/>
    </row>
    <row r="34" spans="1:10" s="10" customFormat="1" ht="27.6" customHeight="1" x14ac:dyDescent="0.25">
      <c r="A34" s="1536" t="s">
        <v>35</v>
      </c>
      <c r="B34" s="1536"/>
      <c r="C34" s="90"/>
      <c r="D34" s="90"/>
      <c r="E34" s="408"/>
      <c r="F34" s="408">
        <f>F32</f>
        <v>95.05</v>
      </c>
      <c r="G34" s="490"/>
      <c r="H34" s="490"/>
      <c r="I34" s="21"/>
      <c r="J34" s="408"/>
    </row>
    <row r="35" spans="1:10" s="10" customFormat="1" ht="25.35" customHeight="1" x14ac:dyDescent="0.25">
      <c r="A35" s="1536" t="s">
        <v>36</v>
      </c>
      <c r="B35" s="1536"/>
      <c r="C35" s="90">
        <v>140</v>
      </c>
      <c r="D35" s="90"/>
      <c r="E35" s="408"/>
      <c r="F35" s="408"/>
      <c r="G35" s="408"/>
      <c r="H35" s="408"/>
      <c r="I35" s="21"/>
      <c r="J35" s="17"/>
    </row>
    <row r="36" spans="1:10" s="10" customFormat="1" ht="25.35" customHeight="1" x14ac:dyDescent="0.25">
      <c r="A36" s="1537" t="s">
        <v>37</v>
      </c>
      <c r="B36" s="1538"/>
      <c r="C36" s="91">
        <v>140</v>
      </c>
      <c r="D36" s="92"/>
      <c r="E36" s="489"/>
      <c r="F36" s="489"/>
      <c r="G36" s="489"/>
      <c r="H36" s="489"/>
      <c r="I36" s="21"/>
      <c r="J36" s="17"/>
    </row>
    <row r="37" spans="1:10" s="10" customFormat="1" ht="15" customHeight="1" x14ac:dyDescent="0.25">
      <c r="A37" s="1539" t="s">
        <v>38</v>
      </c>
      <c r="B37" s="1540"/>
      <c r="C37" s="92">
        <f>C35/C36</f>
        <v>1</v>
      </c>
      <c r="D37" s="92"/>
      <c r="E37" s="489"/>
      <c r="F37" s="489"/>
      <c r="G37" s="489"/>
      <c r="H37" s="489"/>
      <c r="I37" s="21"/>
      <c r="J37" s="17"/>
    </row>
    <row r="38" spans="1:10" ht="16.350000000000001" customHeight="1" x14ac:dyDescent="0.25">
      <c r="A38" s="1541" t="s">
        <v>39</v>
      </c>
      <c r="B38" s="1542"/>
      <c r="C38" s="15" t="s">
        <v>40</v>
      </c>
      <c r="D38" s="102"/>
      <c r="E38" s="102" t="s">
        <v>40</v>
      </c>
      <c r="F38" s="16">
        <f>F34/C37</f>
        <v>95.05</v>
      </c>
      <c r="G38" s="16"/>
      <c r="H38" s="16"/>
      <c r="I38" s="102" t="s">
        <v>40</v>
      </c>
      <c r="J38" s="102" t="s">
        <v>40</v>
      </c>
    </row>
    <row r="39" spans="1:10" ht="23.1" customHeight="1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ht="13.95" customHeight="1" x14ac:dyDescent="0.25">
      <c r="A40" s="1193"/>
      <c r="B40" s="1194" t="s">
        <v>49</v>
      </c>
      <c r="C40" s="1198"/>
      <c r="D40" s="1198"/>
      <c r="E40" s="1198"/>
      <c r="F40" s="1198"/>
      <c r="G40" s="1193"/>
      <c r="H40" s="1557">
        <f>'1-бутерброд с маслом'!$H$28</f>
        <v>0</v>
      </c>
      <c r="I40" s="1557"/>
      <c r="J40" s="1557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ht="13.95" customHeight="1" x14ac:dyDescent="0.25">
      <c r="A42" s="1545" t="s">
        <v>327</v>
      </c>
      <c r="B42" s="1545"/>
      <c r="C42" s="1546" t="s">
        <v>328</v>
      </c>
      <c r="D42" s="1546"/>
      <c r="E42" s="1546"/>
      <c r="F42" s="1546"/>
      <c r="G42" s="106"/>
      <c r="H42" s="1531"/>
      <c r="I42" s="1531"/>
      <c r="J42" s="1531"/>
    </row>
    <row r="43" spans="1:10" x14ac:dyDescent="0.25">
      <c r="A43" s="1193"/>
      <c r="B43" s="1193"/>
      <c r="C43" s="1546"/>
      <c r="D43" s="1546"/>
      <c r="E43" s="1546"/>
      <c r="F43" s="1546"/>
      <c r="G43" s="1193"/>
      <c r="H43" s="1531" t="s">
        <v>329</v>
      </c>
      <c r="I43" s="1531"/>
      <c r="J43" s="1531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  <row r="45" spans="1:10" x14ac:dyDescent="0.25">
      <c r="A45" s="1193"/>
      <c r="B45" s="1193"/>
      <c r="C45" s="1193"/>
      <c r="D45" s="1193"/>
      <c r="E45" s="1193"/>
      <c r="F45" s="1193"/>
      <c r="G45" s="1193"/>
      <c r="H45" s="1193"/>
      <c r="I45" s="1193"/>
      <c r="J45" s="1193"/>
    </row>
    <row r="46" spans="1:10" x14ac:dyDescent="0.25">
      <c r="A46" s="1193"/>
      <c r="B46" s="1193"/>
      <c r="C46" s="1193"/>
      <c r="D46" s="1193"/>
      <c r="E46" s="1193"/>
      <c r="F46" s="1193"/>
      <c r="G46" s="1193"/>
      <c r="H46" s="1193"/>
      <c r="I46" s="1193"/>
      <c r="J46" s="1193"/>
    </row>
  </sheetData>
  <mergeCells count="28">
    <mergeCell ref="H5:I5"/>
    <mergeCell ref="A6:G6"/>
    <mergeCell ref="A7:I7"/>
    <mergeCell ref="I14:J14"/>
    <mergeCell ref="C15:G15"/>
    <mergeCell ref="I15:J15"/>
    <mergeCell ref="A14:G14"/>
    <mergeCell ref="A17:A18"/>
    <mergeCell ref="B17:B18"/>
    <mergeCell ref="C17:F17"/>
    <mergeCell ref="G17:H17"/>
    <mergeCell ref="I17:J17"/>
    <mergeCell ref="G1:J1"/>
    <mergeCell ref="G2:J2"/>
    <mergeCell ref="G3:J3"/>
    <mergeCell ref="A5:G5"/>
    <mergeCell ref="A42:B42"/>
    <mergeCell ref="C42:F43"/>
    <mergeCell ref="H42:J42"/>
    <mergeCell ref="H43:J43"/>
    <mergeCell ref="A35:B35"/>
    <mergeCell ref="A36:B36"/>
    <mergeCell ref="A37:B37"/>
    <mergeCell ref="A38:B38"/>
    <mergeCell ref="H40:J40"/>
    <mergeCell ref="A34:B34"/>
    <mergeCell ref="A10:J10"/>
    <mergeCell ref="A12:J12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45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2.4414062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184)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264</v>
      </c>
    </row>
    <row r="8" spans="1:10" s="2" customFormat="1" ht="9.6" customHeight="1" x14ac:dyDescent="0.25">
      <c r="A8" s="294"/>
      <c r="B8" s="294"/>
      <c r="C8" s="294"/>
      <c r="D8" s="294"/>
      <c r="E8" s="294"/>
      <c r="F8" s="294"/>
      <c r="G8" s="294"/>
      <c r="H8" s="294"/>
      <c r="I8" s="294"/>
      <c r="J8" s="109"/>
    </row>
    <row r="9" spans="1:10" s="2" customFormat="1" ht="26.1" customHeight="1" x14ac:dyDescent="0.3">
      <c r="A9" s="1550" t="s">
        <v>545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'260-гуляш (2)'!H15+1</f>
        <v>184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95" t="s">
        <v>92</v>
      </c>
      <c r="D17" s="295" t="s">
        <v>94</v>
      </c>
      <c r="E17" s="295" t="s">
        <v>93</v>
      </c>
      <c r="F17" s="295" t="s">
        <v>23</v>
      </c>
      <c r="G17" s="295" t="s">
        <v>92</v>
      </c>
      <c r="H17" s="295" t="s">
        <v>94</v>
      </c>
      <c r="I17" s="295" t="s">
        <v>92</v>
      </c>
      <c r="J17" s="295" t="s">
        <v>94</v>
      </c>
    </row>
    <row r="18" spans="1:10" ht="9.6" customHeight="1" x14ac:dyDescent="0.25">
      <c r="A18" s="295">
        <v>1</v>
      </c>
      <c r="B18" s="296">
        <v>2</v>
      </c>
      <c r="C18" s="295">
        <v>3</v>
      </c>
      <c r="D18" s="296">
        <v>4</v>
      </c>
      <c r="E18" s="295">
        <v>5</v>
      </c>
      <c r="F18" s="296">
        <v>6</v>
      </c>
      <c r="G18" s="295">
        <v>7</v>
      </c>
      <c r="H18" s="296">
        <v>8</v>
      </c>
      <c r="I18" s="295">
        <v>9</v>
      </c>
      <c r="J18" s="296">
        <v>10</v>
      </c>
    </row>
    <row r="19" spans="1:10" s="10" customFormat="1" ht="35.4" customHeight="1" x14ac:dyDescent="0.25">
      <c r="A19" s="180">
        <v>1</v>
      </c>
      <c r="B19" s="20" t="s">
        <v>397</v>
      </c>
      <c r="C19" s="21">
        <v>0.113</v>
      </c>
      <c r="D19" s="21">
        <v>8.3000000000000004E-2</v>
      </c>
      <c r="E19" s="13">
        <f>цены!F7</f>
        <v>560</v>
      </c>
      <c r="F19" s="13">
        <f>C19*E19</f>
        <v>63.28</v>
      </c>
      <c r="G19" s="97">
        <f t="shared" ref="G19:H27" si="0">C19*10</f>
        <v>1.1299999999999999</v>
      </c>
      <c r="H19" s="21">
        <f t="shared" si="0"/>
        <v>0.83</v>
      </c>
      <c r="I19" s="21">
        <f t="shared" ref="I19:J27" si="1">C19*100</f>
        <v>11.3</v>
      </c>
      <c r="J19" s="21">
        <f t="shared" si="1"/>
        <v>8.3000000000000007</v>
      </c>
    </row>
    <row r="20" spans="1:10" s="10" customFormat="1" ht="14.1" customHeight="1" x14ac:dyDescent="0.25">
      <c r="A20" s="180">
        <v>2</v>
      </c>
      <c r="B20" s="20" t="s">
        <v>74</v>
      </c>
      <c r="C20" s="21">
        <v>5.0000000000000001E-3</v>
      </c>
      <c r="D20" s="21">
        <v>5.0000000000000001E-3</v>
      </c>
      <c r="E20" s="13">
        <f>цены!F87</f>
        <v>120</v>
      </c>
      <c r="F20" s="13">
        <f>C20*E20</f>
        <v>0.6</v>
      </c>
      <c r="G20" s="97">
        <f t="shared" si="0"/>
        <v>0.05</v>
      </c>
      <c r="H20" s="21">
        <f t="shared" si="0"/>
        <v>0.05</v>
      </c>
      <c r="I20" s="21">
        <f t="shared" si="1"/>
        <v>0.5</v>
      </c>
      <c r="J20" s="21">
        <f t="shared" si="1"/>
        <v>0.5</v>
      </c>
    </row>
    <row r="21" spans="1:10" s="10" customFormat="1" ht="12" customHeight="1" x14ac:dyDescent="0.25">
      <c r="A21" s="180">
        <v>3</v>
      </c>
      <c r="B21" s="20" t="s">
        <v>48</v>
      </c>
      <c r="C21" s="111">
        <v>8.0000000000000002E-3</v>
      </c>
      <c r="D21" s="111">
        <v>7.0000000000000001E-3</v>
      </c>
      <c r="E21" s="13">
        <f>цены!F38</f>
        <v>50</v>
      </c>
      <c r="F21" s="13">
        <f>C21*E21</f>
        <v>0.4</v>
      </c>
      <c r="G21" s="97">
        <f t="shared" si="0"/>
        <v>0.08</v>
      </c>
      <c r="H21" s="21">
        <f t="shared" si="0"/>
        <v>7.0000000000000007E-2</v>
      </c>
      <c r="I21" s="21">
        <f t="shared" si="1"/>
        <v>0.8</v>
      </c>
      <c r="J21" s="21">
        <f t="shared" si="1"/>
        <v>0.7</v>
      </c>
    </row>
    <row r="22" spans="1:10" s="10" customFormat="1" ht="12" customHeight="1" x14ac:dyDescent="0.25">
      <c r="A22" s="180">
        <v>4</v>
      </c>
      <c r="B22" s="20" t="s">
        <v>47</v>
      </c>
      <c r="C22" s="111">
        <v>8.9999999999999993E-3</v>
      </c>
      <c r="D22" s="111">
        <v>7.0000000000000001E-3</v>
      </c>
      <c r="E22" s="13">
        <f>цены!F44</f>
        <v>50</v>
      </c>
      <c r="F22" s="13">
        <f t="shared" ref="F22:F27" si="2">C22*E22</f>
        <v>0.45</v>
      </c>
      <c r="G22" s="97">
        <f t="shared" si="0"/>
        <v>0.09</v>
      </c>
      <c r="H22" s="21">
        <f t="shared" si="0"/>
        <v>7.0000000000000007E-2</v>
      </c>
      <c r="I22" s="21">
        <f t="shared" si="1"/>
        <v>0.9</v>
      </c>
      <c r="J22" s="21">
        <f t="shared" si="1"/>
        <v>0.7</v>
      </c>
    </row>
    <row r="23" spans="1:10" s="10" customFormat="1" ht="12" customHeight="1" x14ac:dyDescent="0.25">
      <c r="A23" s="180">
        <v>5</v>
      </c>
      <c r="B23" s="20" t="s">
        <v>51</v>
      </c>
      <c r="C23" s="111">
        <v>2.5000000000000001E-2</v>
      </c>
      <c r="D23" s="111">
        <v>2.5000000000000001E-2</v>
      </c>
      <c r="E23" s="13">
        <f>цены!F24</f>
        <v>234</v>
      </c>
      <c r="F23" s="13">
        <f t="shared" si="2"/>
        <v>5.85</v>
      </c>
      <c r="G23" s="97">
        <f t="shared" si="0"/>
        <v>0.25</v>
      </c>
      <c r="H23" s="21">
        <f t="shared" si="0"/>
        <v>0.25</v>
      </c>
      <c r="I23" s="21">
        <f t="shared" si="1"/>
        <v>2.5</v>
      </c>
      <c r="J23" s="21">
        <f t="shared" si="1"/>
        <v>2.5</v>
      </c>
    </row>
    <row r="24" spans="1:10" s="10" customFormat="1" ht="12" customHeight="1" x14ac:dyDescent="0.25">
      <c r="A24" s="180">
        <v>6</v>
      </c>
      <c r="B24" s="20" t="s">
        <v>124</v>
      </c>
      <c r="C24" s="111">
        <v>3.0000000000000001E-3</v>
      </c>
      <c r="D24" s="111">
        <v>3.0000000000000001E-3</v>
      </c>
      <c r="E24" s="13">
        <f>цены!F110</f>
        <v>24</v>
      </c>
      <c r="F24" s="13">
        <f t="shared" si="2"/>
        <v>7.0000000000000007E-2</v>
      </c>
      <c r="G24" s="97">
        <f t="shared" si="0"/>
        <v>0.03</v>
      </c>
      <c r="H24" s="21">
        <f t="shared" si="0"/>
        <v>0.03</v>
      </c>
      <c r="I24" s="21">
        <f t="shared" si="1"/>
        <v>0.3</v>
      </c>
      <c r="J24" s="21">
        <f t="shared" si="1"/>
        <v>0.3</v>
      </c>
    </row>
    <row r="25" spans="1:10" s="10" customFormat="1" ht="12" customHeight="1" x14ac:dyDescent="0.25">
      <c r="A25" s="180">
        <v>7</v>
      </c>
      <c r="B25" s="20" t="s">
        <v>84</v>
      </c>
      <c r="C25" s="125">
        <v>2.0000000000000002E-5</v>
      </c>
      <c r="D25" s="125">
        <v>2.0000000000000002E-5</v>
      </c>
      <c r="E25" s="13">
        <f>цены!F100</f>
        <v>1000</v>
      </c>
      <c r="F25" s="13">
        <f t="shared" si="2"/>
        <v>0.02</v>
      </c>
      <c r="G25" s="97">
        <f t="shared" si="0"/>
        <v>0</v>
      </c>
      <c r="H25" s="21">
        <f t="shared" si="0"/>
        <v>0</v>
      </c>
      <c r="I25" s="21">
        <f t="shared" si="1"/>
        <v>2E-3</v>
      </c>
      <c r="J25" s="21">
        <f t="shared" si="1"/>
        <v>2E-3</v>
      </c>
    </row>
    <row r="26" spans="1:10" s="10" customFormat="1" ht="12" customHeight="1" x14ac:dyDescent="0.25">
      <c r="A26" s="180">
        <v>8</v>
      </c>
      <c r="B26" s="20" t="s">
        <v>337</v>
      </c>
      <c r="C26" s="125">
        <v>2E-3</v>
      </c>
      <c r="D26" s="125">
        <v>2E-3</v>
      </c>
      <c r="E26" s="13">
        <f>цены!F39</f>
        <v>300</v>
      </c>
      <c r="F26" s="13">
        <f t="shared" si="2"/>
        <v>0.6</v>
      </c>
      <c r="G26" s="97">
        <f t="shared" si="0"/>
        <v>0.02</v>
      </c>
      <c r="H26" s="21">
        <f t="shared" si="0"/>
        <v>0.02</v>
      </c>
      <c r="I26" s="21">
        <f t="shared" si="1"/>
        <v>0.2</v>
      </c>
      <c r="J26" s="21">
        <f t="shared" si="1"/>
        <v>0.2</v>
      </c>
    </row>
    <row r="27" spans="1:10" s="10" customFormat="1" ht="12" customHeight="1" x14ac:dyDescent="0.25">
      <c r="A27" s="180">
        <v>9</v>
      </c>
      <c r="B27" s="20" t="s">
        <v>78</v>
      </c>
      <c r="C27" s="111">
        <v>2E-3</v>
      </c>
      <c r="D27" s="111">
        <v>2E-3</v>
      </c>
      <c r="E27" s="13">
        <f>цены!F48</f>
        <v>300</v>
      </c>
      <c r="F27" s="13">
        <f t="shared" si="2"/>
        <v>0.6</v>
      </c>
      <c r="G27" s="97">
        <f t="shared" si="0"/>
        <v>0.02</v>
      </c>
      <c r="H27" s="21">
        <f t="shared" si="0"/>
        <v>0.02</v>
      </c>
      <c r="I27" s="21">
        <f t="shared" si="1"/>
        <v>0.2</v>
      </c>
      <c r="J27" s="21">
        <f t="shared" si="1"/>
        <v>0.2</v>
      </c>
    </row>
    <row r="28" spans="1:10" s="10" customFormat="1" ht="12" customHeight="1" x14ac:dyDescent="0.25">
      <c r="A28" s="98"/>
      <c r="B28" s="93" t="s">
        <v>206</v>
      </c>
      <c r="C28" s="112"/>
      <c r="D28" s="112">
        <v>0.05</v>
      </c>
      <c r="E28" s="95"/>
      <c r="F28" s="95"/>
      <c r="G28" s="99"/>
      <c r="H28" s="100">
        <f>D28*10</f>
        <v>0.5</v>
      </c>
      <c r="I28" s="100"/>
      <c r="J28" s="100">
        <f>D28*100</f>
        <v>5</v>
      </c>
    </row>
    <row r="29" spans="1:10" s="10" customFormat="1" ht="12" customHeight="1" x14ac:dyDescent="0.25">
      <c r="A29" s="184">
        <v>11</v>
      </c>
      <c r="B29" s="93" t="s">
        <v>547</v>
      </c>
      <c r="C29" s="112"/>
      <c r="D29" s="112">
        <v>0.05</v>
      </c>
      <c r="E29" s="95"/>
      <c r="F29" s="95"/>
      <c r="G29" s="99">
        <f>C29*10</f>
        <v>0</v>
      </c>
      <c r="H29" s="100">
        <f>D29*10</f>
        <v>0.5</v>
      </c>
      <c r="I29" s="100">
        <f>C29*100</f>
        <v>0</v>
      </c>
      <c r="J29" s="100">
        <f>D29*100</f>
        <v>5</v>
      </c>
    </row>
    <row r="30" spans="1:10" s="10" customFormat="1" ht="12" customHeight="1" x14ac:dyDescent="0.25">
      <c r="A30" s="98"/>
      <c r="B30" s="93" t="s">
        <v>100</v>
      </c>
      <c r="C30" s="112"/>
      <c r="D30" s="112">
        <v>0.1</v>
      </c>
      <c r="E30" s="95"/>
      <c r="F30" s="95">
        <f>SUM(F19:F27)</f>
        <v>71.87</v>
      </c>
      <c r="G30" s="99"/>
      <c r="H30" s="100">
        <f>D30*10</f>
        <v>1</v>
      </c>
      <c r="I30" s="100"/>
      <c r="J30" s="100">
        <f>D30*100</f>
        <v>10</v>
      </c>
    </row>
    <row r="31" spans="1:10" s="10" customFormat="1" ht="29.4" customHeight="1" x14ac:dyDescent="0.25">
      <c r="A31" s="203"/>
      <c r="B31" s="204" t="s">
        <v>546</v>
      </c>
      <c r="C31" s="205"/>
      <c r="D31" s="205"/>
      <c r="E31" s="206"/>
      <c r="F31" s="206"/>
      <c r="G31" s="207"/>
      <c r="H31" s="208"/>
      <c r="I31" s="208"/>
      <c r="J31" s="208"/>
    </row>
    <row r="32" spans="1:10" s="10" customFormat="1" ht="27.6" customHeight="1" x14ac:dyDescent="0.25">
      <c r="A32" s="1536" t="s">
        <v>35</v>
      </c>
      <c r="B32" s="1536"/>
      <c r="C32" s="90"/>
      <c r="D32" s="90"/>
      <c r="E32" s="13"/>
      <c r="F32" s="13">
        <f>F30</f>
        <v>71.87</v>
      </c>
      <c r="G32" s="297"/>
      <c r="H32" s="297"/>
      <c r="I32" s="21"/>
      <c r="J32" s="13"/>
    </row>
    <row r="33" spans="1:10" s="10" customFormat="1" ht="25.35" customHeight="1" x14ac:dyDescent="0.25">
      <c r="A33" s="1536" t="s">
        <v>36</v>
      </c>
      <c r="B33" s="1536"/>
      <c r="C33" s="90">
        <v>100</v>
      </c>
      <c r="D33" s="90"/>
      <c r="E33" s="13"/>
      <c r="F33" s="13"/>
      <c r="G33" s="13"/>
      <c r="H33" s="13"/>
      <c r="I33" s="21"/>
      <c r="J33" s="17"/>
    </row>
    <row r="34" spans="1:10" s="10" customFormat="1" ht="25.35" customHeight="1" x14ac:dyDescent="0.25">
      <c r="A34" s="1537" t="s">
        <v>37</v>
      </c>
      <c r="B34" s="1538"/>
      <c r="C34" s="91">
        <v>100</v>
      </c>
      <c r="D34" s="92"/>
      <c r="E34" s="296"/>
      <c r="F34" s="296"/>
      <c r="G34" s="296"/>
      <c r="H34" s="296"/>
      <c r="I34" s="21"/>
      <c r="J34" s="17"/>
    </row>
    <row r="35" spans="1:10" s="10" customFormat="1" ht="15" customHeight="1" x14ac:dyDescent="0.25">
      <c r="A35" s="1539" t="s">
        <v>38</v>
      </c>
      <c r="B35" s="1540"/>
      <c r="C35" s="92">
        <f>C33/C34</f>
        <v>1</v>
      </c>
      <c r="D35" s="92"/>
      <c r="E35" s="296"/>
      <c r="F35" s="296"/>
      <c r="G35" s="296"/>
      <c r="H35" s="296"/>
      <c r="I35" s="21"/>
      <c r="J35" s="17"/>
    </row>
    <row r="36" spans="1:10" ht="16.350000000000001" customHeight="1" x14ac:dyDescent="0.25">
      <c r="A36" s="1541" t="s">
        <v>39</v>
      </c>
      <c r="B36" s="1542"/>
      <c r="C36" s="15" t="s">
        <v>40</v>
      </c>
      <c r="D36" s="102"/>
      <c r="E36" s="102" t="s">
        <v>40</v>
      </c>
      <c r="F36" s="16">
        <f>F32/C35</f>
        <v>71.87</v>
      </c>
      <c r="G36" s="16"/>
      <c r="H36" s="16"/>
      <c r="I36" s="102" t="s">
        <v>40</v>
      </c>
      <c r="J36" s="102" t="s">
        <v>40</v>
      </c>
    </row>
    <row r="37" spans="1:10" ht="23.1" customHeight="1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193"/>
      <c r="B38" s="1194" t="s">
        <v>49</v>
      </c>
      <c r="C38" s="1198"/>
      <c r="D38" s="1198"/>
      <c r="E38" s="1198"/>
      <c r="F38" s="1198"/>
      <c r="G38" s="1193"/>
      <c r="H38" s="1557">
        <f>'1-бутерброд с маслом'!$H$28</f>
        <v>0</v>
      </c>
      <c r="I38" s="1557"/>
      <c r="J38" s="1557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ht="13.95" customHeight="1" x14ac:dyDescent="0.25">
      <c r="A40" s="1545" t="s">
        <v>327</v>
      </c>
      <c r="B40" s="1545"/>
      <c r="C40" s="1546" t="s">
        <v>328</v>
      </c>
      <c r="D40" s="1546"/>
      <c r="E40" s="1546"/>
      <c r="F40" s="1546"/>
      <c r="G40" s="106"/>
      <c r="H40" s="1531"/>
      <c r="I40" s="1531"/>
      <c r="J40" s="1531"/>
    </row>
    <row r="41" spans="1:10" x14ac:dyDescent="0.25">
      <c r="A41" s="1193"/>
      <c r="B41" s="1193"/>
      <c r="C41" s="1546"/>
      <c r="D41" s="1546"/>
      <c r="E41" s="1546"/>
      <c r="F41" s="1546"/>
      <c r="G41" s="1193"/>
      <c r="H41" s="1531" t="s">
        <v>329</v>
      </c>
      <c r="I41" s="1531"/>
      <c r="J41" s="1531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  <row r="45" spans="1:10" x14ac:dyDescent="0.25">
      <c r="A45" s="1193"/>
      <c r="B45" s="1193"/>
      <c r="C45" s="1193"/>
      <c r="D45" s="1193"/>
      <c r="E45" s="1193"/>
      <c r="F45" s="1193"/>
      <c r="G45" s="1193"/>
      <c r="H45" s="1193"/>
      <c r="I45" s="1193"/>
      <c r="J45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0:B40"/>
    <mergeCell ref="C40:F41"/>
    <mergeCell ref="H40:J40"/>
    <mergeCell ref="H41:J41"/>
    <mergeCell ref="A33:B33"/>
    <mergeCell ref="A34:B34"/>
    <mergeCell ref="A35:B35"/>
    <mergeCell ref="A36:B36"/>
    <mergeCell ref="H38:J38"/>
    <mergeCell ref="A32:B32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M36"/>
  <sheetViews>
    <sheetView view="pageBreakPreview" topLeftCell="A11" zoomScaleNormal="100" zoomScaleSheetLayoutView="100" workbookViewId="0">
      <selection activeCell="A28" sqref="A28:J32"/>
    </sheetView>
  </sheetViews>
  <sheetFormatPr defaultRowHeight="13.8" x14ac:dyDescent="0.25"/>
  <cols>
    <col min="1" max="1" width="4.109375" customWidth="1"/>
    <col min="2" max="2" width="21" customWidth="1"/>
    <col min="3" max="3" width="8.88671875" customWidth="1"/>
    <col min="4" max="7" width="7.5546875" customWidth="1"/>
    <col min="8" max="8" width="8.88671875" customWidth="1"/>
    <col min="9" max="9" width="7.5546875" customWidth="1"/>
    <col min="10" max="10" width="9" customWidth="1"/>
    <col min="11" max="11" width="5.441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14)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290"/>
      <c r="I6" s="290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17</v>
      </c>
    </row>
    <row r="8" spans="1:10" s="2" customFormat="1" ht="9.6" customHeight="1" x14ac:dyDescent="0.25">
      <c r="A8" s="291"/>
      <c r="B8" s="291"/>
      <c r="C8" s="291"/>
      <c r="D8" s="291"/>
      <c r="E8" s="291"/>
      <c r="F8" s="291"/>
      <c r="G8" s="291"/>
      <c r="H8" s="291"/>
      <c r="I8" s="291"/>
      <c r="J8" s="109"/>
    </row>
    <row r="9" spans="1:10" s="2" customFormat="1" ht="26.1" customHeight="1" x14ac:dyDescent="0.3">
      <c r="A9" s="1550" t="s">
        <v>508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'16-колбаса'!H14+1</f>
        <v>14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287" t="s">
        <v>92</v>
      </c>
      <c r="D17" s="287" t="s">
        <v>94</v>
      </c>
      <c r="E17" s="287" t="s">
        <v>93</v>
      </c>
      <c r="F17" s="287" t="s">
        <v>23</v>
      </c>
      <c r="G17" s="287" t="s">
        <v>92</v>
      </c>
      <c r="H17" s="287" t="s">
        <v>94</v>
      </c>
      <c r="I17" s="287" t="s">
        <v>92</v>
      </c>
      <c r="J17" s="287" t="s">
        <v>94</v>
      </c>
    </row>
    <row r="18" spans="1:13" ht="9.6" customHeight="1" x14ac:dyDescent="0.25">
      <c r="A18" s="287">
        <v>1</v>
      </c>
      <c r="B18" s="289">
        <v>2</v>
      </c>
      <c r="C18" s="287">
        <v>3</v>
      </c>
      <c r="D18" s="289">
        <v>4</v>
      </c>
      <c r="E18" s="287">
        <v>5</v>
      </c>
      <c r="F18" s="289">
        <v>6</v>
      </c>
      <c r="G18" s="287">
        <v>7</v>
      </c>
      <c r="H18" s="289">
        <v>8</v>
      </c>
      <c r="I18" s="287">
        <v>9</v>
      </c>
      <c r="J18" s="289">
        <v>10</v>
      </c>
    </row>
    <row r="19" spans="1:13" s="10" customFormat="1" ht="14.1" customHeight="1" x14ac:dyDescent="0.25">
      <c r="A19" s="180">
        <v>1</v>
      </c>
      <c r="B19" s="20" t="s">
        <v>509</v>
      </c>
      <c r="C19" s="21">
        <v>1.319</v>
      </c>
      <c r="D19" s="21">
        <v>0.95</v>
      </c>
      <c r="E19" s="13">
        <f>цены!F43</f>
        <v>200</v>
      </c>
      <c r="F19" s="13">
        <f>C19*E19</f>
        <v>263.8</v>
      </c>
      <c r="G19" s="97">
        <f t="shared" ref="G19:H21" si="0">C19*10</f>
        <v>13.19</v>
      </c>
      <c r="H19" s="21">
        <f t="shared" si="0"/>
        <v>9.5</v>
      </c>
      <c r="I19" s="21">
        <f t="shared" ref="I19:J21" si="1">C19*100</f>
        <v>131.9</v>
      </c>
      <c r="J19" s="21">
        <f t="shared" si="1"/>
        <v>95</v>
      </c>
      <c r="L19" s="1015">
        <f>C19/C$26</f>
        <v>7.9138417231655406E-2</v>
      </c>
      <c r="M19" s="1015">
        <f>F19/C$26</f>
        <v>15.8276834463311</v>
      </c>
    </row>
    <row r="20" spans="1:13" s="10" customFormat="1" ht="14.1" customHeight="1" x14ac:dyDescent="0.25">
      <c r="A20" s="180">
        <v>2</v>
      </c>
      <c r="B20" s="20" t="s">
        <v>74</v>
      </c>
      <c r="C20" s="21">
        <v>0.06</v>
      </c>
      <c r="D20" s="21">
        <v>0.06</v>
      </c>
      <c r="E20" s="13">
        <f>цены!F87</f>
        <v>120</v>
      </c>
      <c r="F20" s="13">
        <f>C20*E20</f>
        <v>7.2</v>
      </c>
      <c r="G20" s="97">
        <f t="shared" si="0"/>
        <v>0.6</v>
      </c>
      <c r="H20" s="21">
        <f t="shared" si="0"/>
        <v>0.6</v>
      </c>
      <c r="I20" s="21">
        <f t="shared" si="1"/>
        <v>6</v>
      </c>
      <c r="J20" s="21">
        <f t="shared" si="1"/>
        <v>6</v>
      </c>
      <c r="L20" s="1015">
        <f t="shared" ref="L20:L21" si="2">C20/C$26</f>
        <v>3.5999280014399702E-3</v>
      </c>
      <c r="M20" s="1015">
        <f t="shared" ref="M20:M21" si="3">F20/C$26</f>
        <v>0.43199136017279599</v>
      </c>
    </row>
    <row r="21" spans="1:13" s="10" customFormat="1" ht="14.1" customHeight="1" x14ac:dyDescent="0.25">
      <c r="A21" s="180">
        <v>3</v>
      </c>
      <c r="B21" s="20" t="s">
        <v>75</v>
      </c>
      <c r="C21" s="21">
        <f>0.002*C26</f>
        <v>3.3000000000000002E-2</v>
      </c>
      <c r="D21" s="21">
        <f>C21</f>
        <v>3.3000000000000002E-2</v>
      </c>
      <c r="E21" s="13">
        <f>цены!F110</f>
        <v>24</v>
      </c>
      <c r="F21" s="13">
        <f>C21*E21</f>
        <v>0.79</v>
      </c>
      <c r="G21" s="97">
        <f t="shared" si="0"/>
        <v>0.33</v>
      </c>
      <c r="H21" s="21">
        <f t="shared" si="0"/>
        <v>0.33</v>
      </c>
      <c r="I21" s="21">
        <f t="shared" si="1"/>
        <v>3.3</v>
      </c>
      <c r="J21" s="21">
        <f t="shared" si="1"/>
        <v>3.3</v>
      </c>
      <c r="L21" s="1015">
        <f t="shared" si="2"/>
        <v>1.9799604007919801E-3</v>
      </c>
      <c r="M21" s="1015">
        <f t="shared" si="3"/>
        <v>4.7399052018959602E-2</v>
      </c>
    </row>
    <row r="22" spans="1:13" s="10" customFormat="1" ht="12" customHeight="1" x14ac:dyDescent="0.25">
      <c r="A22" s="98"/>
      <c r="B22" s="93" t="s">
        <v>100</v>
      </c>
      <c r="C22" s="100"/>
      <c r="D22" s="100">
        <v>1</v>
      </c>
      <c r="E22" s="95"/>
      <c r="F22" s="95">
        <f>SUM(F19:F21)</f>
        <v>271.79000000000002</v>
      </c>
      <c r="G22" s="99"/>
      <c r="H22" s="100">
        <f>D22*10</f>
        <v>10</v>
      </c>
      <c r="I22" s="100"/>
      <c r="J22" s="100">
        <f>D22*100</f>
        <v>100</v>
      </c>
      <c r="L22" s="1015">
        <f>SUM(L19:L21)</f>
        <v>8.4718305633887395E-2</v>
      </c>
      <c r="M22" s="1015">
        <f>SUM(M19:M21)</f>
        <v>16.307073858522902</v>
      </c>
    </row>
    <row r="23" spans="1:13" s="10" customFormat="1" ht="27.6" customHeight="1" x14ac:dyDescent="0.25">
      <c r="A23" s="1536" t="s">
        <v>35</v>
      </c>
      <c r="B23" s="1536"/>
      <c r="C23" s="90"/>
      <c r="D23" s="90"/>
      <c r="E23" s="13"/>
      <c r="F23" s="13">
        <f>F22</f>
        <v>271.79000000000002</v>
      </c>
      <c r="G23" s="288"/>
      <c r="H23" s="288"/>
      <c r="I23" s="21"/>
      <c r="J23" s="13"/>
    </row>
    <row r="24" spans="1:13" s="10" customFormat="1" ht="25.35" customHeight="1" x14ac:dyDescent="0.25">
      <c r="A24" s="1536" t="s">
        <v>36</v>
      </c>
      <c r="B24" s="1536"/>
      <c r="C24" s="246">
        <v>1000</v>
      </c>
      <c r="D24" s="90"/>
      <c r="E24" s="13"/>
      <c r="F24" s="13"/>
      <c r="G24" s="13"/>
      <c r="H24" s="13"/>
      <c r="I24" s="21"/>
      <c r="J24" s="17"/>
    </row>
    <row r="25" spans="1:13" s="10" customFormat="1" ht="25.35" customHeight="1" x14ac:dyDescent="0.25">
      <c r="A25" s="1537" t="s">
        <v>37</v>
      </c>
      <c r="B25" s="1538"/>
      <c r="C25" s="1027">
        <v>60</v>
      </c>
      <c r="D25" s="92"/>
      <c r="E25" s="289"/>
      <c r="F25" s="289"/>
      <c r="G25" s="289"/>
      <c r="H25" s="289"/>
      <c r="I25" s="21"/>
      <c r="J25" s="17"/>
    </row>
    <row r="26" spans="1:13" s="10" customFormat="1" ht="15" customHeight="1" x14ac:dyDescent="0.25">
      <c r="A26" s="1539" t="s">
        <v>38</v>
      </c>
      <c r="B26" s="1540"/>
      <c r="C26" s="92">
        <f>C24/C25</f>
        <v>16.667000000000002</v>
      </c>
      <c r="D26" s="92"/>
      <c r="E26" s="289"/>
      <c r="F26" s="289"/>
      <c r="G26" s="289"/>
      <c r="H26" s="289"/>
      <c r="I26" s="21"/>
      <c r="J26" s="17"/>
    </row>
    <row r="27" spans="1:13" ht="16.350000000000001" customHeight="1" x14ac:dyDescent="0.25">
      <c r="A27" s="1541" t="s">
        <v>39</v>
      </c>
      <c r="B27" s="1542"/>
      <c r="C27" s="15" t="s">
        <v>40</v>
      </c>
      <c r="D27" s="102"/>
      <c r="E27" s="102" t="s">
        <v>40</v>
      </c>
      <c r="F27" s="16">
        <f>F23/C26</f>
        <v>16.309999999999999</v>
      </c>
      <c r="G27" s="16"/>
      <c r="H27" s="16"/>
      <c r="I27" s="102" t="s">
        <v>40</v>
      </c>
      <c r="J27" s="102" t="s">
        <v>40</v>
      </c>
    </row>
    <row r="28" spans="1:13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3" ht="13.95" customHeight="1" x14ac:dyDescent="0.25">
      <c r="A29" s="1193"/>
      <c r="B29" s="1194" t="s">
        <v>49</v>
      </c>
      <c r="C29" s="1198"/>
      <c r="D29" s="1198"/>
      <c r="E29" s="1198"/>
      <c r="F29" s="1198"/>
      <c r="G29" s="1193"/>
      <c r="H29" s="1557">
        <f>'1-бутерброд с маслом'!$H$28</f>
        <v>0</v>
      </c>
      <c r="I29" s="1557"/>
      <c r="J29" s="1557"/>
    </row>
    <row r="30" spans="1:13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3" ht="13.95" customHeight="1" x14ac:dyDescent="0.25">
      <c r="A31" s="1545" t="s">
        <v>327</v>
      </c>
      <c r="B31" s="1545"/>
      <c r="C31" s="1546" t="s">
        <v>328</v>
      </c>
      <c r="D31" s="1546"/>
      <c r="E31" s="1546"/>
      <c r="F31" s="1546"/>
      <c r="G31" s="106"/>
      <c r="H31" s="1531"/>
      <c r="I31" s="1531"/>
      <c r="J31" s="1531"/>
    </row>
    <row r="32" spans="1:13" x14ac:dyDescent="0.25">
      <c r="A32" s="1193"/>
      <c r="B32" s="1193"/>
      <c r="C32" s="1546"/>
      <c r="D32" s="1546"/>
      <c r="E32" s="1546"/>
      <c r="F32" s="1546"/>
      <c r="G32" s="1193"/>
      <c r="H32" s="1531" t="s">
        <v>329</v>
      </c>
      <c r="I32" s="1531"/>
      <c r="J32" s="1531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</sheetData>
  <mergeCells count="28">
    <mergeCell ref="A13:G13"/>
    <mergeCell ref="H29:J29"/>
    <mergeCell ref="A24:B24"/>
    <mergeCell ref="A25:B25"/>
    <mergeCell ref="A26:B26"/>
    <mergeCell ref="A27:B27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1:B31"/>
    <mergeCell ref="C31:F32"/>
    <mergeCell ref="H31:J31"/>
    <mergeCell ref="H32:J32"/>
    <mergeCell ref="H5:I5"/>
    <mergeCell ref="A6:G6"/>
    <mergeCell ref="A7:I7"/>
    <mergeCell ref="A23:B23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44"/>
  <sheetViews>
    <sheetView view="pageBreakPreview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467" customWidth="1"/>
    <col min="2" max="2" width="22.44140625" style="467" customWidth="1"/>
    <col min="3" max="7" width="7.5546875" style="467" customWidth="1"/>
    <col min="8" max="8" width="8.88671875" style="467" customWidth="1"/>
    <col min="9" max="9" width="7.5546875" style="467" customWidth="1"/>
    <col min="10" max="10" width="9" style="467" customWidth="1"/>
    <col min="11" max="11" width="3.44140625" style="467" customWidth="1"/>
    <col min="12" max="16384" width="8.88671875" style="46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185)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265</v>
      </c>
    </row>
    <row r="8" spans="1:10" s="2" customFormat="1" ht="9.6" customHeight="1" x14ac:dyDescent="0.25">
      <c r="A8" s="471"/>
      <c r="B8" s="471"/>
      <c r="C8" s="471"/>
      <c r="D8" s="471"/>
      <c r="E8" s="471"/>
      <c r="F8" s="471"/>
      <c r="G8" s="471"/>
      <c r="H8" s="471"/>
      <c r="I8" s="471"/>
      <c r="J8" s="109"/>
    </row>
    <row r="9" spans="1:10" s="2" customFormat="1" ht="26.1" customHeight="1" x14ac:dyDescent="0.3">
      <c r="A9" s="1550" t="s">
        <v>1270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'264-говядина тушеная'!H14+1</f>
        <v>185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6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63"/>
      <c r="B17" s="1543"/>
      <c r="C17" s="468" t="s">
        <v>92</v>
      </c>
      <c r="D17" s="468" t="s">
        <v>94</v>
      </c>
      <c r="E17" s="468" t="s">
        <v>93</v>
      </c>
      <c r="F17" s="468" t="s">
        <v>23</v>
      </c>
      <c r="G17" s="468" t="s">
        <v>92</v>
      </c>
      <c r="H17" s="468" t="s">
        <v>94</v>
      </c>
      <c r="I17" s="468" t="s">
        <v>92</v>
      </c>
      <c r="J17" s="468" t="s">
        <v>94</v>
      </c>
    </row>
    <row r="18" spans="1:10" ht="9.6" customHeight="1" x14ac:dyDescent="0.25">
      <c r="A18" s="468">
        <v>1</v>
      </c>
      <c r="B18" s="470">
        <v>2</v>
      </c>
      <c r="C18" s="468">
        <v>3</v>
      </c>
      <c r="D18" s="470">
        <v>4</v>
      </c>
      <c r="E18" s="468">
        <v>5</v>
      </c>
      <c r="F18" s="470">
        <v>6</v>
      </c>
      <c r="G18" s="468">
        <v>7</v>
      </c>
      <c r="H18" s="470">
        <v>8</v>
      </c>
      <c r="I18" s="468">
        <v>9</v>
      </c>
      <c r="J18" s="470">
        <v>10</v>
      </c>
    </row>
    <row r="19" spans="1:10" s="10" customFormat="1" ht="35.4" customHeight="1" x14ac:dyDescent="0.25">
      <c r="A19" s="180">
        <v>1</v>
      </c>
      <c r="B19" s="20" t="s">
        <v>397</v>
      </c>
      <c r="C19" s="21">
        <v>0.107</v>
      </c>
      <c r="D19" s="21">
        <v>7.9000000000000001E-2</v>
      </c>
      <c r="E19" s="408">
        <f>цены!F7</f>
        <v>560</v>
      </c>
      <c r="F19" s="408">
        <f t="shared" ref="F19:F26" si="0">C19*E19</f>
        <v>59.92</v>
      </c>
      <c r="G19" s="97">
        <f t="shared" ref="G19:H26" si="1">C19*10</f>
        <v>1.07</v>
      </c>
      <c r="H19" s="21">
        <f t="shared" si="1"/>
        <v>0.79</v>
      </c>
      <c r="I19" s="21">
        <f t="shared" ref="I19:J26" si="2">C19*100</f>
        <v>10.7</v>
      </c>
      <c r="J19" s="21">
        <f t="shared" si="2"/>
        <v>7.9</v>
      </c>
    </row>
    <row r="20" spans="1:10" s="10" customFormat="1" ht="12.6" customHeight="1" x14ac:dyDescent="0.25">
      <c r="A20" s="180"/>
      <c r="B20" s="20" t="s">
        <v>68</v>
      </c>
      <c r="C20" s="21">
        <v>3.4000000000000002E-2</v>
      </c>
      <c r="D20" s="21">
        <v>3.4000000000000002E-2</v>
      </c>
      <c r="E20" s="408">
        <f>цены!F83</f>
        <v>98</v>
      </c>
      <c r="F20" s="408">
        <f t="shared" si="0"/>
        <v>3.33</v>
      </c>
      <c r="G20" s="97">
        <f>C20*10</f>
        <v>0.34</v>
      </c>
      <c r="H20" s="21">
        <f>D20*10</f>
        <v>0.34</v>
      </c>
      <c r="I20" s="21">
        <f>C20*100</f>
        <v>3.4</v>
      </c>
      <c r="J20" s="21">
        <f>D20*100</f>
        <v>3.4</v>
      </c>
    </row>
    <row r="21" spans="1:10" s="10" customFormat="1" ht="14.1" customHeight="1" x14ac:dyDescent="0.25">
      <c r="A21" s="180">
        <v>2</v>
      </c>
      <c r="B21" s="20" t="s">
        <v>74</v>
      </c>
      <c r="C21" s="21">
        <v>5.0000000000000001E-3</v>
      </c>
      <c r="D21" s="21">
        <v>5.0000000000000001E-3</v>
      </c>
      <c r="E21" s="408">
        <f>цены!F87</f>
        <v>120</v>
      </c>
      <c r="F21" s="408">
        <f t="shared" si="0"/>
        <v>0.6</v>
      </c>
      <c r="G21" s="97">
        <f t="shared" si="1"/>
        <v>0.05</v>
      </c>
      <c r="H21" s="21">
        <f t="shared" si="1"/>
        <v>0.05</v>
      </c>
      <c r="I21" s="21">
        <f t="shared" si="2"/>
        <v>0.5</v>
      </c>
      <c r="J21" s="21">
        <f t="shared" si="2"/>
        <v>0.5</v>
      </c>
    </row>
    <row r="22" spans="1:10" s="10" customFormat="1" ht="12" customHeight="1" x14ac:dyDescent="0.25">
      <c r="A22" s="180">
        <v>3</v>
      </c>
      <c r="B22" s="20" t="s">
        <v>48</v>
      </c>
      <c r="C22" s="111">
        <v>6.0000000000000001E-3</v>
      </c>
      <c r="D22" s="111">
        <v>5.0000000000000001E-3</v>
      </c>
      <c r="E22" s="408">
        <f>цены!F38</f>
        <v>50</v>
      </c>
      <c r="F22" s="408">
        <f t="shared" si="0"/>
        <v>0.3</v>
      </c>
      <c r="G22" s="97">
        <f t="shared" si="1"/>
        <v>0.06</v>
      </c>
      <c r="H22" s="21">
        <f t="shared" si="1"/>
        <v>0.05</v>
      </c>
      <c r="I22" s="21">
        <f t="shared" si="2"/>
        <v>0.6</v>
      </c>
      <c r="J22" s="21">
        <f t="shared" si="2"/>
        <v>0.5</v>
      </c>
    </row>
    <row r="23" spans="1:10" s="10" customFormat="1" ht="12" customHeight="1" x14ac:dyDescent="0.25">
      <c r="A23" s="180">
        <v>4</v>
      </c>
      <c r="B23" s="20" t="s">
        <v>47</v>
      </c>
      <c r="C23" s="111">
        <v>0.01</v>
      </c>
      <c r="D23" s="111">
        <v>8.0000000000000002E-3</v>
      </c>
      <c r="E23" s="408">
        <f>цены!F44</f>
        <v>50</v>
      </c>
      <c r="F23" s="408">
        <f t="shared" si="0"/>
        <v>0.5</v>
      </c>
      <c r="G23" s="97">
        <f t="shared" si="1"/>
        <v>0.1</v>
      </c>
      <c r="H23" s="21">
        <f t="shared" si="1"/>
        <v>0.08</v>
      </c>
      <c r="I23" s="21">
        <f t="shared" si="2"/>
        <v>1</v>
      </c>
      <c r="J23" s="21">
        <f t="shared" si="2"/>
        <v>0.8</v>
      </c>
    </row>
    <row r="24" spans="1:10" s="10" customFormat="1" ht="12" customHeight="1" x14ac:dyDescent="0.25">
      <c r="A24" s="180">
        <v>5</v>
      </c>
      <c r="B24" s="20" t="s">
        <v>46</v>
      </c>
      <c r="C24" s="111">
        <v>8.0000000000000002E-3</v>
      </c>
      <c r="D24" s="111">
        <v>8.0000000000000002E-3</v>
      </c>
      <c r="E24" s="408">
        <f>цены!F113</f>
        <v>230</v>
      </c>
      <c r="F24" s="408">
        <f t="shared" si="0"/>
        <v>1.84</v>
      </c>
      <c r="G24" s="97">
        <f t="shared" si="1"/>
        <v>0.08</v>
      </c>
      <c r="H24" s="21">
        <f t="shared" si="1"/>
        <v>0.08</v>
      </c>
      <c r="I24" s="21">
        <f t="shared" si="2"/>
        <v>0.8</v>
      </c>
      <c r="J24" s="21">
        <f t="shared" si="2"/>
        <v>0.8</v>
      </c>
    </row>
    <row r="25" spans="1:10" s="10" customFormat="1" ht="12" customHeight="1" x14ac:dyDescent="0.25">
      <c r="A25" s="180">
        <v>6</v>
      </c>
      <c r="B25" s="20" t="s">
        <v>124</v>
      </c>
      <c r="C25" s="111">
        <v>3.0000000000000001E-3</v>
      </c>
      <c r="D25" s="111">
        <v>3.0000000000000001E-3</v>
      </c>
      <c r="E25" s="408">
        <f>цены!F110</f>
        <v>24</v>
      </c>
      <c r="F25" s="408">
        <f t="shared" si="0"/>
        <v>7.0000000000000007E-2</v>
      </c>
      <c r="G25" s="97">
        <f t="shared" si="1"/>
        <v>0.03</v>
      </c>
      <c r="H25" s="21">
        <f t="shared" si="1"/>
        <v>0.03</v>
      </c>
      <c r="I25" s="21">
        <f t="shared" si="2"/>
        <v>0.3</v>
      </c>
      <c r="J25" s="21">
        <f t="shared" si="2"/>
        <v>0.3</v>
      </c>
    </row>
    <row r="26" spans="1:10" s="10" customFormat="1" ht="12" customHeight="1" x14ac:dyDescent="0.25">
      <c r="A26" s="180">
        <v>7</v>
      </c>
      <c r="B26" s="20" t="s">
        <v>84</v>
      </c>
      <c r="C26" s="125">
        <v>2.0000000000000002E-5</v>
      </c>
      <c r="D26" s="125">
        <v>2.0000000000000002E-5</v>
      </c>
      <c r="E26" s="408">
        <f>цены!F100</f>
        <v>1000</v>
      </c>
      <c r="F26" s="408">
        <f t="shared" si="0"/>
        <v>0.02</v>
      </c>
      <c r="G26" s="97">
        <f t="shared" si="1"/>
        <v>0</v>
      </c>
      <c r="H26" s="21">
        <f t="shared" si="1"/>
        <v>0</v>
      </c>
      <c r="I26" s="21">
        <f t="shared" si="2"/>
        <v>2E-3</v>
      </c>
      <c r="J26" s="21">
        <f t="shared" si="2"/>
        <v>2E-3</v>
      </c>
    </row>
    <row r="27" spans="1:10" s="10" customFormat="1" ht="12" customHeight="1" x14ac:dyDescent="0.25">
      <c r="A27" s="98"/>
      <c r="B27" s="93" t="s">
        <v>206</v>
      </c>
      <c r="C27" s="112"/>
      <c r="D27" s="112">
        <v>0.05</v>
      </c>
      <c r="E27" s="95"/>
      <c r="F27" s="95"/>
      <c r="G27" s="99"/>
      <c r="H27" s="100">
        <f>D27*10</f>
        <v>0.5</v>
      </c>
      <c r="I27" s="100"/>
      <c r="J27" s="100">
        <f>D27*100</f>
        <v>5</v>
      </c>
    </row>
    <row r="28" spans="1:10" s="10" customFormat="1" ht="12" customHeight="1" x14ac:dyDescent="0.25">
      <c r="A28" s="184">
        <v>11</v>
      </c>
      <c r="B28" s="93" t="s">
        <v>749</v>
      </c>
      <c r="C28" s="112"/>
      <c r="D28" s="112">
        <v>0.1</v>
      </c>
      <c r="E28" s="95"/>
      <c r="F28" s="95"/>
      <c r="G28" s="99">
        <f>C28*10</f>
        <v>0</v>
      </c>
      <c r="H28" s="100">
        <f>D28*10</f>
        <v>1</v>
      </c>
      <c r="I28" s="100">
        <f>C28*100</f>
        <v>0</v>
      </c>
      <c r="J28" s="100">
        <f>D28*100</f>
        <v>10</v>
      </c>
    </row>
    <row r="29" spans="1:10" s="10" customFormat="1" ht="12" customHeight="1" x14ac:dyDescent="0.25">
      <c r="A29" s="98"/>
      <c r="B29" s="93" t="s">
        <v>100</v>
      </c>
      <c r="C29" s="112"/>
      <c r="D29" s="112">
        <v>0.15</v>
      </c>
      <c r="E29" s="95"/>
      <c r="F29" s="95">
        <f>SUM(F19:F26)</f>
        <v>66.58</v>
      </c>
      <c r="G29" s="99"/>
      <c r="H29" s="100">
        <f>D29*10</f>
        <v>1.5</v>
      </c>
      <c r="I29" s="100"/>
      <c r="J29" s="100">
        <f>D29*100</f>
        <v>15</v>
      </c>
    </row>
    <row r="30" spans="1:10" s="10" customFormat="1" ht="29.4" customHeight="1" x14ac:dyDescent="0.25">
      <c r="A30" s="203"/>
      <c r="B30" s="204" t="s">
        <v>546</v>
      </c>
      <c r="C30" s="205"/>
      <c r="D30" s="205"/>
      <c r="E30" s="206"/>
      <c r="F30" s="206"/>
      <c r="G30" s="207"/>
      <c r="H30" s="208"/>
      <c r="I30" s="208"/>
      <c r="J30" s="208"/>
    </row>
    <row r="31" spans="1:10" s="10" customFormat="1" ht="27.6" customHeight="1" x14ac:dyDescent="0.25">
      <c r="A31" s="1536" t="s">
        <v>35</v>
      </c>
      <c r="B31" s="1536"/>
      <c r="C31" s="90"/>
      <c r="D31" s="90"/>
      <c r="E31" s="408"/>
      <c r="F31" s="408">
        <f>F29</f>
        <v>66.58</v>
      </c>
      <c r="G31" s="469"/>
      <c r="H31" s="469"/>
      <c r="I31" s="21"/>
      <c r="J31" s="408"/>
    </row>
    <row r="32" spans="1:10" s="10" customFormat="1" ht="25.35" customHeight="1" x14ac:dyDescent="0.25">
      <c r="A32" s="1536" t="s">
        <v>36</v>
      </c>
      <c r="B32" s="1536"/>
      <c r="C32" s="90">
        <v>150</v>
      </c>
      <c r="D32" s="90"/>
      <c r="E32" s="408"/>
      <c r="F32" s="408"/>
      <c r="G32" s="408"/>
      <c r="H32" s="408"/>
      <c r="I32" s="21"/>
      <c r="J32" s="17"/>
    </row>
    <row r="33" spans="1:10" s="10" customFormat="1" ht="25.35" customHeight="1" x14ac:dyDescent="0.25">
      <c r="A33" s="1537" t="s">
        <v>37</v>
      </c>
      <c r="B33" s="1538"/>
      <c r="C33" s="91">
        <v>150</v>
      </c>
      <c r="D33" s="92"/>
      <c r="E33" s="470"/>
      <c r="F33" s="470"/>
      <c r="G33" s="470"/>
      <c r="H33" s="470"/>
      <c r="I33" s="21"/>
      <c r="J33" s="17"/>
    </row>
    <row r="34" spans="1:10" s="10" customFormat="1" ht="15" customHeight="1" x14ac:dyDescent="0.25">
      <c r="A34" s="1539" t="s">
        <v>38</v>
      </c>
      <c r="B34" s="1540"/>
      <c r="C34" s="92">
        <f>C32/C33</f>
        <v>1</v>
      </c>
      <c r="D34" s="92"/>
      <c r="E34" s="470"/>
      <c r="F34" s="470"/>
      <c r="G34" s="470"/>
      <c r="H34" s="470"/>
      <c r="I34" s="21"/>
      <c r="J34" s="17"/>
    </row>
    <row r="35" spans="1:10" ht="16.350000000000001" customHeight="1" x14ac:dyDescent="0.25">
      <c r="A35" s="1541" t="s">
        <v>39</v>
      </c>
      <c r="B35" s="1542"/>
      <c r="C35" s="15" t="s">
        <v>40</v>
      </c>
      <c r="D35" s="102"/>
      <c r="E35" s="102" t="s">
        <v>40</v>
      </c>
      <c r="F35" s="16">
        <f>F31/C34</f>
        <v>66.58</v>
      </c>
      <c r="G35" s="16"/>
      <c r="H35" s="16"/>
      <c r="I35" s="102" t="s">
        <v>40</v>
      </c>
      <c r="J35" s="102" t="s">
        <v>40</v>
      </c>
    </row>
    <row r="36" spans="1:10" ht="23.1" customHeight="1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193"/>
      <c r="B37" s="1194" t="s">
        <v>49</v>
      </c>
      <c r="C37" s="1198"/>
      <c r="D37" s="1198"/>
      <c r="E37" s="1198"/>
      <c r="F37" s="1198"/>
      <c r="G37" s="1193"/>
      <c r="H37" s="1557">
        <f>'1-бутерброд с маслом'!$H$28</f>
        <v>0</v>
      </c>
      <c r="I37" s="1557"/>
      <c r="J37" s="1557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545" t="s">
        <v>327</v>
      </c>
      <c r="B39" s="1545"/>
      <c r="C39" s="1546" t="s">
        <v>328</v>
      </c>
      <c r="D39" s="1546"/>
      <c r="E39" s="1546"/>
      <c r="F39" s="1546"/>
      <c r="G39" s="106"/>
      <c r="H39" s="1531"/>
      <c r="I39" s="1531"/>
      <c r="J39" s="1531"/>
    </row>
    <row r="40" spans="1:10" x14ac:dyDescent="0.25">
      <c r="A40" s="1193"/>
      <c r="B40" s="1193"/>
      <c r="C40" s="1546"/>
      <c r="D40" s="1546"/>
      <c r="E40" s="1546"/>
      <c r="F40" s="1546"/>
      <c r="G40" s="1193"/>
      <c r="H40" s="1531" t="s">
        <v>329</v>
      </c>
      <c r="I40" s="1531"/>
      <c r="J40" s="1531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37:J37"/>
    <mergeCell ref="A13:G13"/>
    <mergeCell ref="A32:B32"/>
    <mergeCell ref="A33:B33"/>
    <mergeCell ref="A34:B34"/>
    <mergeCell ref="A35:B35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9:B39"/>
    <mergeCell ref="C39:F40"/>
    <mergeCell ref="H39:J39"/>
    <mergeCell ref="H40:J40"/>
    <mergeCell ref="H5:I5"/>
    <mergeCell ref="A6:G6"/>
    <mergeCell ref="A7:I7"/>
    <mergeCell ref="A31:B31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44"/>
  <sheetViews>
    <sheetView view="pageBreakPreview" topLeftCell="A7" zoomScaleNormal="100" zoomScaleSheetLayoutView="100" workbookViewId="0">
      <selection activeCell="P9" sqref="P9"/>
    </sheetView>
  </sheetViews>
  <sheetFormatPr defaultColWidth="8.88671875" defaultRowHeight="13.8" x14ac:dyDescent="0.25"/>
  <cols>
    <col min="1" max="1" width="4.109375" style="516" customWidth="1"/>
    <col min="2" max="2" width="21.109375" style="516" customWidth="1"/>
    <col min="3" max="7" width="7.5546875" style="516" customWidth="1"/>
    <col min="8" max="8" width="8.88671875" style="516" customWidth="1"/>
    <col min="9" max="9" width="7.5546875" style="516" customWidth="1"/>
    <col min="10" max="10" width="9" style="516" customWidth="1"/>
    <col min="11" max="11" width="3.33203125" style="516" customWidth="1"/>
    <col min="12" max="16384" width="8.88671875" style="516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186)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267</v>
      </c>
    </row>
    <row r="8" spans="1:10" s="2" customFormat="1" ht="9.6" customHeight="1" x14ac:dyDescent="0.25">
      <c r="A8" s="520"/>
      <c r="B8" s="520"/>
      <c r="C8" s="520"/>
      <c r="D8" s="520"/>
      <c r="E8" s="520"/>
      <c r="F8" s="520"/>
      <c r="G8" s="520"/>
      <c r="H8" s="520"/>
      <c r="I8" s="520"/>
      <c r="J8" s="109"/>
    </row>
    <row r="9" spans="1:10" s="2" customFormat="1" ht="26.1" customHeight="1" x14ac:dyDescent="0.3">
      <c r="A9" s="1550" t="s">
        <v>928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'265-плов'!H14+1</f>
        <v>186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517" t="s">
        <v>92</v>
      </c>
      <c r="D17" s="517" t="s">
        <v>94</v>
      </c>
      <c r="E17" s="517" t="s">
        <v>93</v>
      </c>
      <c r="F17" s="517" t="s">
        <v>23</v>
      </c>
      <c r="G17" s="517" t="s">
        <v>92</v>
      </c>
      <c r="H17" s="517" t="s">
        <v>94</v>
      </c>
      <c r="I17" s="517" t="s">
        <v>92</v>
      </c>
      <c r="J17" s="517" t="s">
        <v>94</v>
      </c>
    </row>
    <row r="18" spans="1:10" ht="9.6" customHeight="1" x14ac:dyDescent="0.25">
      <c r="A18" s="517">
        <v>1</v>
      </c>
      <c r="B18" s="519">
        <v>2</v>
      </c>
      <c r="C18" s="517">
        <v>3</v>
      </c>
      <c r="D18" s="519">
        <v>4</v>
      </c>
      <c r="E18" s="517">
        <v>5</v>
      </c>
      <c r="F18" s="519">
        <v>6</v>
      </c>
      <c r="G18" s="517">
        <v>7</v>
      </c>
      <c r="H18" s="519">
        <v>8</v>
      </c>
      <c r="I18" s="517">
        <v>9</v>
      </c>
      <c r="J18" s="519">
        <v>10</v>
      </c>
    </row>
    <row r="19" spans="1:10" s="10" customFormat="1" ht="14.1" customHeight="1" x14ac:dyDescent="0.25">
      <c r="A19" s="180">
        <v>1</v>
      </c>
      <c r="B19" s="20" t="s">
        <v>54</v>
      </c>
      <c r="C19" s="21">
        <v>9.5000000000000001E-2</v>
      </c>
      <c r="D19" s="21">
        <v>7.0000000000000007E-2</v>
      </c>
      <c r="E19" s="408">
        <f>цены!F7</f>
        <v>560</v>
      </c>
      <c r="F19" s="408">
        <f t="shared" ref="F19:F28" si="0">C19*E19</f>
        <v>53.2</v>
      </c>
      <c r="G19" s="97">
        <f t="shared" ref="G19:H28" si="1">C19*10</f>
        <v>0.95</v>
      </c>
      <c r="H19" s="21">
        <f t="shared" si="1"/>
        <v>0.7</v>
      </c>
      <c r="I19" s="21">
        <f t="shared" ref="I19:J28" si="2">C19*100</f>
        <v>9.5</v>
      </c>
      <c r="J19" s="21">
        <f t="shared" si="2"/>
        <v>7</v>
      </c>
    </row>
    <row r="20" spans="1:10" s="10" customFormat="1" ht="12" customHeight="1" x14ac:dyDescent="0.25">
      <c r="A20" s="180">
        <v>2</v>
      </c>
      <c r="B20" s="20" t="s">
        <v>95</v>
      </c>
      <c r="C20" s="21">
        <v>1.0999999999999999E-2</v>
      </c>
      <c r="D20" s="21">
        <v>1.0999999999999999E-2</v>
      </c>
      <c r="E20" s="408">
        <f>цены!F13</f>
        <v>100</v>
      </c>
      <c r="F20" s="408">
        <f t="shared" si="0"/>
        <v>1.1000000000000001</v>
      </c>
      <c r="G20" s="97">
        <f t="shared" si="1"/>
        <v>0.11</v>
      </c>
      <c r="H20" s="21">
        <f t="shared" si="1"/>
        <v>0.11</v>
      </c>
      <c r="I20" s="21">
        <f t="shared" si="2"/>
        <v>1.1000000000000001</v>
      </c>
      <c r="J20" s="21">
        <f t="shared" si="2"/>
        <v>1.1000000000000001</v>
      </c>
    </row>
    <row r="21" spans="1:10" s="10" customFormat="1" ht="12" customHeight="1" x14ac:dyDescent="0.25">
      <c r="A21" s="180">
        <v>3</v>
      </c>
      <c r="B21" s="20" t="s">
        <v>28</v>
      </c>
      <c r="C21" s="21">
        <v>7.0000000000000001E-3</v>
      </c>
      <c r="D21" s="21">
        <v>7.0000000000000001E-3</v>
      </c>
      <c r="E21" s="408"/>
      <c r="F21" s="408">
        <f t="shared" si="0"/>
        <v>0</v>
      </c>
      <c r="G21" s="97">
        <f t="shared" si="1"/>
        <v>7.0000000000000007E-2</v>
      </c>
      <c r="H21" s="21">
        <f t="shared" si="1"/>
        <v>7.0000000000000007E-2</v>
      </c>
      <c r="I21" s="21">
        <f t="shared" si="2"/>
        <v>0.7</v>
      </c>
      <c r="J21" s="21">
        <f t="shared" si="2"/>
        <v>0.7</v>
      </c>
    </row>
    <row r="22" spans="1:10" s="10" customFormat="1" ht="12" customHeight="1" x14ac:dyDescent="0.25">
      <c r="A22" s="180">
        <v>4</v>
      </c>
      <c r="B22" s="20" t="s">
        <v>415</v>
      </c>
      <c r="C22" s="125">
        <v>4.5999999999999999E-3</v>
      </c>
      <c r="D22" s="125">
        <v>4.0000000000000001E-3</v>
      </c>
      <c r="E22" s="408">
        <f>цены!F30</f>
        <v>152.16999999999999</v>
      </c>
      <c r="F22" s="408">
        <f t="shared" si="0"/>
        <v>0.7</v>
      </c>
      <c r="G22" s="97">
        <f t="shared" si="1"/>
        <v>4.5999999999999999E-2</v>
      </c>
      <c r="H22" s="21">
        <f t="shared" si="1"/>
        <v>0.04</v>
      </c>
      <c r="I22" s="21">
        <f t="shared" si="2"/>
        <v>0.46</v>
      </c>
      <c r="J22" s="21">
        <f t="shared" si="2"/>
        <v>0.4</v>
      </c>
    </row>
    <row r="23" spans="1:10" s="10" customFormat="1" ht="12" customHeight="1" x14ac:dyDescent="0.25">
      <c r="A23" s="180">
        <v>5</v>
      </c>
      <c r="B23" s="20" t="s">
        <v>77</v>
      </c>
      <c r="C23" s="21">
        <v>1.2E-2</v>
      </c>
      <c r="D23" s="21">
        <v>1.2E-2</v>
      </c>
      <c r="E23" s="408">
        <f>цены!F111</f>
        <v>118</v>
      </c>
      <c r="F23" s="408">
        <f t="shared" si="0"/>
        <v>1.42</v>
      </c>
      <c r="G23" s="97">
        <f t="shared" si="1"/>
        <v>0.12</v>
      </c>
      <c r="H23" s="21">
        <f t="shared" si="1"/>
        <v>0.12</v>
      </c>
      <c r="I23" s="21">
        <f t="shared" si="2"/>
        <v>1.2</v>
      </c>
      <c r="J23" s="21">
        <f t="shared" si="2"/>
        <v>1.2</v>
      </c>
    </row>
    <row r="24" spans="1:10" s="10" customFormat="1" ht="12" customHeight="1" x14ac:dyDescent="0.25">
      <c r="A24" s="180">
        <v>6</v>
      </c>
      <c r="B24" s="20" t="s">
        <v>33</v>
      </c>
      <c r="C24" s="21">
        <v>3.0000000000000001E-3</v>
      </c>
      <c r="D24" s="21">
        <v>3.0000000000000001E-3</v>
      </c>
      <c r="E24" s="408">
        <f>цены!F110</f>
        <v>24</v>
      </c>
      <c r="F24" s="408">
        <f t="shared" si="0"/>
        <v>7.0000000000000007E-2</v>
      </c>
      <c r="G24" s="97">
        <f t="shared" si="1"/>
        <v>0.03</v>
      </c>
      <c r="H24" s="21">
        <f t="shared" si="1"/>
        <v>0.03</v>
      </c>
      <c r="I24" s="21">
        <f t="shared" si="2"/>
        <v>0.3</v>
      </c>
      <c r="J24" s="21">
        <f t="shared" si="2"/>
        <v>0.3</v>
      </c>
    </row>
    <row r="25" spans="1:10" s="10" customFormat="1" ht="12" customHeight="1" x14ac:dyDescent="0.25">
      <c r="A25" s="184"/>
      <c r="B25" s="93" t="s">
        <v>97</v>
      </c>
      <c r="C25" s="100"/>
      <c r="D25" s="100">
        <v>0.10299999999999999</v>
      </c>
      <c r="E25" s="95"/>
      <c r="F25" s="95">
        <f>SUM(F19:F24)</f>
        <v>56.49</v>
      </c>
      <c r="G25" s="99"/>
      <c r="H25" s="100">
        <f t="shared" si="1"/>
        <v>1.03</v>
      </c>
      <c r="I25" s="100"/>
      <c r="J25" s="100">
        <f t="shared" si="2"/>
        <v>10.3</v>
      </c>
    </row>
    <row r="26" spans="1:10" s="10" customFormat="1" ht="12" customHeight="1" x14ac:dyDescent="0.25">
      <c r="A26" s="129">
        <v>7</v>
      </c>
      <c r="B26" s="123" t="s">
        <v>74</v>
      </c>
      <c r="C26" s="126">
        <v>6.0000000000000001E-3</v>
      </c>
      <c r="D26" s="126">
        <v>6.0000000000000001E-3</v>
      </c>
      <c r="E26" s="127">
        <f>цены!F87</f>
        <v>120</v>
      </c>
      <c r="F26" s="408">
        <f>C26*E26</f>
        <v>0.72</v>
      </c>
      <c r="G26" s="97">
        <f>C26*10</f>
        <v>0.06</v>
      </c>
      <c r="H26" s="21">
        <f t="shared" si="1"/>
        <v>0.06</v>
      </c>
      <c r="I26" s="21">
        <f>C26*100</f>
        <v>0.6</v>
      </c>
      <c r="J26" s="21">
        <f t="shared" si="2"/>
        <v>0.6</v>
      </c>
    </row>
    <row r="27" spans="1:10" s="10" customFormat="1" ht="12" customHeight="1" x14ac:dyDescent="0.25">
      <c r="A27" s="184"/>
      <c r="B27" s="93" t="s">
        <v>416</v>
      </c>
      <c r="C27" s="100"/>
      <c r="D27" s="100">
        <v>7.4999999999999997E-2</v>
      </c>
      <c r="E27" s="95"/>
      <c r="F27" s="95"/>
      <c r="G27" s="99"/>
      <c r="H27" s="100">
        <f t="shared" si="1"/>
        <v>0.75</v>
      </c>
      <c r="I27" s="100"/>
      <c r="J27" s="100">
        <f t="shared" si="2"/>
        <v>7.5</v>
      </c>
    </row>
    <row r="28" spans="1:10" s="10" customFormat="1" ht="12" customHeight="1" x14ac:dyDescent="0.25">
      <c r="A28" s="129">
        <v>8</v>
      </c>
      <c r="B28" s="123" t="s">
        <v>31</v>
      </c>
      <c r="C28" s="126">
        <v>5.0000000000000001E-3</v>
      </c>
      <c r="D28" s="126">
        <v>5.0000000000000001E-3</v>
      </c>
      <c r="E28" s="127">
        <f>цены!F21</f>
        <v>710</v>
      </c>
      <c r="F28" s="127">
        <f t="shared" si="0"/>
        <v>3.55</v>
      </c>
      <c r="G28" s="128">
        <f t="shared" si="1"/>
        <v>0.05</v>
      </c>
      <c r="H28" s="126">
        <f t="shared" si="1"/>
        <v>0.05</v>
      </c>
      <c r="I28" s="126">
        <f t="shared" si="2"/>
        <v>0.5</v>
      </c>
      <c r="J28" s="126">
        <f t="shared" si="2"/>
        <v>0.5</v>
      </c>
    </row>
    <row r="29" spans="1:10" s="10" customFormat="1" ht="12" customHeight="1" x14ac:dyDescent="0.25">
      <c r="A29" s="98"/>
      <c r="B29" s="93" t="s">
        <v>100</v>
      </c>
      <c r="C29" s="112"/>
      <c r="D29" s="112">
        <v>0.08</v>
      </c>
      <c r="E29" s="95"/>
      <c r="F29" s="95">
        <f>F25+F26+F28</f>
        <v>60.76</v>
      </c>
      <c r="G29" s="99"/>
      <c r="H29" s="100">
        <f>D29*10</f>
        <v>0.8</v>
      </c>
      <c r="I29" s="100"/>
      <c r="J29" s="100">
        <f>D29*100</f>
        <v>8</v>
      </c>
    </row>
    <row r="30" spans="1:10" s="10" customFormat="1" ht="24" customHeight="1" x14ac:dyDescent="0.25">
      <c r="A30" s="203"/>
      <c r="B30" s="204" t="s">
        <v>417</v>
      </c>
      <c r="C30" s="205"/>
      <c r="D30" s="205"/>
      <c r="E30" s="206"/>
      <c r="F30" s="206"/>
      <c r="G30" s="207"/>
      <c r="H30" s="208"/>
      <c r="I30" s="208"/>
      <c r="J30" s="208"/>
    </row>
    <row r="31" spans="1:10" s="10" customFormat="1" ht="27.6" customHeight="1" x14ac:dyDescent="0.25">
      <c r="A31" s="1536" t="s">
        <v>35</v>
      </c>
      <c r="B31" s="1536"/>
      <c r="C31" s="90"/>
      <c r="D31" s="90"/>
      <c r="E31" s="408"/>
      <c r="F31" s="408">
        <f>F29</f>
        <v>60.76</v>
      </c>
      <c r="G31" s="518"/>
      <c r="H31" s="518"/>
      <c r="I31" s="21"/>
      <c r="J31" s="408"/>
    </row>
    <row r="32" spans="1:10" s="10" customFormat="1" ht="25.35" customHeight="1" x14ac:dyDescent="0.25">
      <c r="A32" s="1536" t="s">
        <v>36</v>
      </c>
      <c r="B32" s="1536"/>
      <c r="C32" s="90">
        <v>80</v>
      </c>
      <c r="D32" s="90"/>
      <c r="E32" s="408"/>
      <c r="F32" s="408"/>
      <c r="G32" s="408"/>
      <c r="H32" s="408"/>
      <c r="I32" s="21"/>
      <c r="J32" s="17"/>
    </row>
    <row r="33" spans="1:10" s="10" customFormat="1" ht="25.35" customHeight="1" x14ac:dyDescent="0.25">
      <c r="A33" s="1537" t="s">
        <v>37</v>
      </c>
      <c r="B33" s="1538"/>
      <c r="C33" s="91">
        <v>80</v>
      </c>
      <c r="D33" s="92"/>
      <c r="E33" s="519"/>
      <c r="F33" s="519"/>
      <c r="G33" s="519"/>
      <c r="H33" s="519"/>
      <c r="I33" s="21"/>
      <c r="J33" s="17"/>
    </row>
    <row r="34" spans="1:10" s="10" customFormat="1" ht="15" customHeight="1" x14ac:dyDescent="0.25">
      <c r="A34" s="1539" t="s">
        <v>38</v>
      </c>
      <c r="B34" s="1540"/>
      <c r="C34" s="92">
        <f>C32/C33</f>
        <v>1</v>
      </c>
      <c r="D34" s="92"/>
      <c r="E34" s="519"/>
      <c r="F34" s="519"/>
      <c r="G34" s="519"/>
      <c r="H34" s="519"/>
      <c r="I34" s="21"/>
      <c r="J34" s="17"/>
    </row>
    <row r="35" spans="1:10" ht="16.350000000000001" customHeight="1" x14ac:dyDescent="0.25">
      <c r="A35" s="1541" t="s">
        <v>39</v>
      </c>
      <c r="B35" s="1542"/>
      <c r="C35" s="15" t="s">
        <v>40</v>
      </c>
      <c r="D35" s="102"/>
      <c r="E35" s="102" t="s">
        <v>40</v>
      </c>
      <c r="F35" s="16">
        <f>F31/C34</f>
        <v>60.76</v>
      </c>
      <c r="G35" s="16"/>
      <c r="H35" s="16"/>
      <c r="I35" s="102" t="s">
        <v>40</v>
      </c>
      <c r="J35" s="102" t="s">
        <v>40</v>
      </c>
    </row>
    <row r="36" spans="1:10" ht="23.1" customHeight="1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193"/>
      <c r="B37" s="1194" t="s">
        <v>49</v>
      </c>
      <c r="C37" s="1198"/>
      <c r="D37" s="1198"/>
      <c r="E37" s="1198"/>
      <c r="F37" s="1198"/>
      <c r="G37" s="1193"/>
      <c r="H37" s="1557">
        <f>'1-бутерброд с маслом'!$H$28</f>
        <v>0</v>
      </c>
      <c r="I37" s="1557"/>
      <c r="J37" s="1557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545" t="s">
        <v>327</v>
      </c>
      <c r="B39" s="1545"/>
      <c r="C39" s="1546" t="s">
        <v>328</v>
      </c>
      <c r="D39" s="1546"/>
      <c r="E39" s="1546"/>
      <c r="F39" s="1546"/>
      <c r="G39" s="106"/>
      <c r="H39" s="1531"/>
      <c r="I39" s="1531"/>
      <c r="J39" s="1531"/>
    </row>
    <row r="40" spans="1:10" x14ac:dyDescent="0.25">
      <c r="A40" s="1193"/>
      <c r="B40" s="1193"/>
      <c r="C40" s="1546"/>
      <c r="D40" s="1546"/>
      <c r="E40" s="1546"/>
      <c r="F40" s="1546"/>
      <c r="G40" s="1193"/>
      <c r="H40" s="1531" t="s">
        <v>329</v>
      </c>
      <c r="I40" s="1531"/>
      <c r="J40" s="1531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37:J37"/>
    <mergeCell ref="A13:G13"/>
    <mergeCell ref="A32:B32"/>
    <mergeCell ref="A33:B33"/>
    <mergeCell ref="A34:B34"/>
    <mergeCell ref="A35:B35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9:B39"/>
    <mergeCell ref="C39:F40"/>
    <mergeCell ref="H39:J39"/>
    <mergeCell ref="H40:J40"/>
    <mergeCell ref="H5:I5"/>
    <mergeCell ref="A6:G6"/>
    <mergeCell ref="A7:I7"/>
    <mergeCell ref="A31:B31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M44"/>
  <sheetViews>
    <sheetView view="pageBreakPreview" topLeftCell="A14" zoomScaleNormal="100" zoomScaleSheetLayoutView="100" workbookViewId="0">
      <selection activeCell="B30" sqref="B30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187)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268</v>
      </c>
    </row>
    <row r="8" spans="1:10" s="2" customFormat="1" ht="9.6" customHeight="1" x14ac:dyDescent="0.25">
      <c r="A8" s="199"/>
      <c r="B8" s="199"/>
      <c r="C8" s="199"/>
      <c r="D8" s="199"/>
      <c r="E8" s="199"/>
      <c r="F8" s="199"/>
      <c r="G8" s="199"/>
      <c r="H8" s="199"/>
      <c r="I8" s="199"/>
      <c r="J8" s="109"/>
    </row>
    <row r="9" spans="1:10" s="2" customFormat="1" ht="26.1" customHeight="1" x14ac:dyDescent="0.3">
      <c r="A9" s="1550" t="s">
        <v>1368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'267-шницель'!H14+1</f>
        <v>187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200" t="s">
        <v>92</v>
      </c>
      <c r="D17" s="200" t="s">
        <v>94</v>
      </c>
      <c r="E17" s="200" t="s">
        <v>93</v>
      </c>
      <c r="F17" s="200" t="s">
        <v>23</v>
      </c>
      <c r="G17" s="200" t="s">
        <v>92</v>
      </c>
      <c r="H17" s="200" t="s">
        <v>94</v>
      </c>
      <c r="I17" s="200" t="s">
        <v>92</v>
      </c>
      <c r="J17" s="200" t="s">
        <v>94</v>
      </c>
    </row>
    <row r="18" spans="1:13" ht="9.6" customHeight="1" x14ac:dyDescent="0.25">
      <c r="A18" s="200">
        <v>1</v>
      </c>
      <c r="B18" s="201">
        <v>2</v>
      </c>
      <c r="C18" s="200">
        <v>3</v>
      </c>
      <c r="D18" s="201">
        <v>4</v>
      </c>
      <c r="E18" s="200">
        <v>5</v>
      </c>
      <c r="F18" s="201">
        <v>6</v>
      </c>
      <c r="G18" s="200">
        <v>7</v>
      </c>
      <c r="H18" s="201">
        <v>8</v>
      </c>
      <c r="I18" s="200">
        <v>9</v>
      </c>
      <c r="J18" s="201">
        <v>10</v>
      </c>
    </row>
    <row r="19" spans="1:13" s="10" customFormat="1" ht="14.1" customHeight="1" x14ac:dyDescent="0.25">
      <c r="A19" s="180">
        <v>1</v>
      </c>
      <c r="B19" s="20" t="s">
        <v>54</v>
      </c>
      <c r="C19" s="21">
        <v>0.05</v>
      </c>
      <c r="D19" s="21">
        <v>3.6999999999999998E-2</v>
      </c>
      <c r="E19" s="13">
        <f>цены!F7</f>
        <v>560</v>
      </c>
      <c r="F19" s="13">
        <f t="shared" ref="F19:F28" si="0">C19*E19</f>
        <v>28</v>
      </c>
      <c r="G19" s="97">
        <f t="shared" ref="G19:H28" si="1">C19*10</f>
        <v>0.5</v>
      </c>
      <c r="H19" s="21">
        <f t="shared" si="1"/>
        <v>0.37</v>
      </c>
      <c r="I19" s="21">
        <f t="shared" ref="I19:J28" si="2">C19*100</f>
        <v>5</v>
      </c>
      <c r="J19" s="21">
        <f t="shared" si="2"/>
        <v>3.7</v>
      </c>
      <c r="L19" s="612">
        <f>C19*1.6</f>
        <v>0.08</v>
      </c>
      <c r="M19" s="612">
        <f>D19*1.6</f>
        <v>5.8999999999999997E-2</v>
      </c>
    </row>
    <row r="20" spans="1:13" s="10" customFormat="1" ht="12" customHeight="1" x14ac:dyDescent="0.25">
      <c r="A20" s="180">
        <v>2</v>
      </c>
      <c r="B20" s="20" t="s">
        <v>96</v>
      </c>
      <c r="C20" s="21">
        <v>8.9999999999999993E-3</v>
      </c>
      <c r="D20" s="21">
        <v>8.9999999999999993E-3</v>
      </c>
      <c r="E20" s="13">
        <f>цены!F157</f>
        <v>65</v>
      </c>
      <c r="F20" s="13">
        <f t="shared" si="0"/>
        <v>0.59</v>
      </c>
      <c r="G20" s="97">
        <f t="shared" si="1"/>
        <v>0.09</v>
      </c>
      <c r="H20" s="21">
        <f t="shared" si="1"/>
        <v>0.09</v>
      </c>
      <c r="I20" s="21">
        <f t="shared" si="2"/>
        <v>0.9</v>
      </c>
      <c r="J20" s="21">
        <f t="shared" si="2"/>
        <v>0.9</v>
      </c>
      <c r="L20" s="612">
        <f t="shared" ref="L20:M24" si="3">C20*1.6</f>
        <v>1.4E-2</v>
      </c>
      <c r="M20" s="612">
        <f t="shared" si="3"/>
        <v>1.4E-2</v>
      </c>
    </row>
    <row r="21" spans="1:13" s="10" customFormat="1" ht="12" customHeight="1" x14ac:dyDescent="0.25">
      <c r="A21" s="180">
        <v>3</v>
      </c>
      <c r="B21" s="20" t="s">
        <v>34</v>
      </c>
      <c r="C21" s="21">
        <v>6.0000000000000001E-3</v>
      </c>
      <c r="D21" s="21">
        <v>6.0000000000000001E-3</v>
      </c>
      <c r="E21" s="13">
        <f>цены!F20</f>
        <v>80</v>
      </c>
      <c r="F21" s="13">
        <f t="shared" si="0"/>
        <v>0.48</v>
      </c>
      <c r="G21" s="97">
        <f t="shared" si="1"/>
        <v>0.06</v>
      </c>
      <c r="H21" s="21">
        <f t="shared" si="1"/>
        <v>0.06</v>
      </c>
      <c r="I21" s="21">
        <f t="shared" si="2"/>
        <v>0.6</v>
      </c>
      <c r="J21" s="21">
        <f t="shared" si="2"/>
        <v>0.6</v>
      </c>
      <c r="L21" s="612">
        <f t="shared" si="3"/>
        <v>0.01</v>
      </c>
      <c r="M21" s="612">
        <f t="shared" si="3"/>
        <v>0.01</v>
      </c>
    </row>
    <row r="22" spans="1:13" s="10" customFormat="1" ht="12" customHeight="1" x14ac:dyDescent="0.25">
      <c r="A22" s="180">
        <v>5</v>
      </c>
      <c r="B22" s="20" t="s">
        <v>77</v>
      </c>
      <c r="C22" s="21">
        <v>5.0000000000000001E-3</v>
      </c>
      <c r="D22" s="21">
        <v>5.0000000000000001E-3</v>
      </c>
      <c r="E22" s="13">
        <f>цены!F111</f>
        <v>118</v>
      </c>
      <c r="F22" s="13">
        <f t="shared" si="0"/>
        <v>0.59</v>
      </c>
      <c r="G22" s="97">
        <f t="shared" si="1"/>
        <v>0.05</v>
      </c>
      <c r="H22" s="21">
        <f t="shared" si="1"/>
        <v>0.05</v>
      </c>
      <c r="I22" s="21">
        <f t="shared" si="2"/>
        <v>0.5</v>
      </c>
      <c r="J22" s="21">
        <f t="shared" si="2"/>
        <v>0.5</v>
      </c>
      <c r="L22" s="612">
        <f t="shared" si="3"/>
        <v>8.0000000000000002E-3</v>
      </c>
      <c r="M22" s="612">
        <f t="shared" si="3"/>
        <v>8.0000000000000002E-3</v>
      </c>
    </row>
    <row r="23" spans="1:13" s="10" customFormat="1" ht="12" customHeight="1" x14ac:dyDescent="0.25">
      <c r="A23" s="180">
        <v>6</v>
      </c>
      <c r="B23" s="20" t="s">
        <v>33</v>
      </c>
      <c r="C23" s="21">
        <v>3.0000000000000001E-3</v>
      </c>
      <c r="D23" s="21">
        <v>3.0000000000000001E-3</v>
      </c>
      <c r="E23" s="13">
        <f>цены!F110</f>
        <v>24</v>
      </c>
      <c r="F23" s="13">
        <f t="shared" si="0"/>
        <v>7.0000000000000007E-2</v>
      </c>
      <c r="G23" s="97">
        <f t="shared" si="1"/>
        <v>0.03</v>
      </c>
      <c r="H23" s="21">
        <f t="shared" si="1"/>
        <v>0.03</v>
      </c>
      <c r="I23" s="21">
        <f t="shared" si="2"/>
        <v>0.3</v>
      </c>
      <c r="J23" s="21">
        <f t="shared" si="2"/>
        <v>0.3</v>
      </c>
      <c r="L23" s="612">
        <f t="shared" si="3"/>
        <v>5.0000000000000001E-3</v>
      </c>
      <c r="M23" s="612">
        <f t="shared" si="3"/>
        <v>5.0000000000000001E-3</v>
      </c>
    </row>
    <row r="24" spans="1:13" s="10" customFormat="1" ht="12" customHeight="1" x14ac:dyDescent="0.25">
      <c r="A24" s="180">
        <v>7</v>
      </c>
      <c r="B24" s="20" t="s">
        <v>28</v>
      </c>
      <c r="C24" s="21">
        <v>6.0000000000000001E-3</v>
      </c>
      <c r="D24" s="21">
        <v>6.0000000000000001E-3</v>
      </c>
      <c r="E24" s="408"/>
      <c r="F24" s="408">
        <f t="shared" si="0"/>
        <v>0</v>
      </c>
      <c r="G24" s="97">
        <f t="shared" si="1"/>
        <v>0.06</v>
      </c>
      <c r="H24" s="21">
        <f t="shared" si="1"/>
        <v>0.06</v>
      </c>
      <c r="I24" s="21">
        <f t="shared" si="2"/>
        <v>0.6</v>
      </c>
      <c r="J24" s="21">
        <f t="shared" si="2"/>
        <v>0.6</v>
      </c>
      <c r="L24" s="612">
        <f t="shared" si="3"/>
        <v>0.01</v>
      </c>
      <c r="M24" s="612">
        <f t="shared" si="3"/>
        <v>0.01</v>
      </c>
    </row>
    <row r="25" spans="1:13" s="10" customFormat="1" ht="12" customHeight="1" x14ac:dyDescent="0.25">
      <c r="A25" s="184"/>
      <c r="B25" s="93" t="s">
        <v>97</v>
      </c>
      <c r="C25" s="100"/>
      <c r="D25" s="1028">
        <v>62</v>
      </c>
      <c r="E25" s="95"/>
      <c r="F25" s="95">
        <f>SUM(F19:F24)</f>
        <v>29.73</v>
      </c>
      <c r="G25" s="99"/>
      <c r="H25" s="1028">
        <f t="shared" si="1"/>
        <v>620</v>
      </c>
      <c r="I25" s="1028"/>
      <c r="J25" s="1028">
        <f t="shared" si="2"/>
        <v>6200</v>
      </c>
    </row>
    <row r="26" spans="1:13" s="10" customFormat="1" ht="12" customHeight="1" x14ac:dyDescent="0.25">
      <c r="A26" s="129">
        <v>8</v>
      </c>
      <c r="B26" s="123" t="s">
        <v>74</v>
      </c>
      <c r="C26" s="126">
        <v>3.0000000000000001E-3</v>
      </c>
      <c r="D26" s="126">
        <v>3.0000000000000001E-3</v>
      </c>
      <c r="E26" s="127">
        <f>цены!F87</f>
        <v>120</v>
      </c>
      <c r="F26" s="13">
        <f>C26*E26</f>
        <v>0.36</v>
      </c>
      <c r="G26" s="97">
        <f>C26*10</f>
        <v>0.03</v>
      </c>
      <c r="H26" s="21">
        <f>D26*10</f>
        <v>0.03</v>
      </c>
      <c r="I26" s="21">
        <f>C26*100</f>
        <v>0.3</v>
      </c>
      <c r="J26" s="21">
        <f>D26*100</f>
        <v>0.3</v>
      </c>
    </row>
    <row r="27" spans="1:13" s="10" customFormat="1" ht="12" customHeight="1" x14ac:dyDescent="0.25">
      <c r="A27" s="184"/>
      <c r="B27" s="93" t="s">
        <v>788</v>
      </c>
      <c r="C27" s="100"/>
      <c r="D27" s="1028">
        <v>50</v>
      </c>
      <c r="E27" s="95"/>
      <c r="F27" s="95">
        <f>SUM(F26)</f>
        <v>0.36</v>
      </c>
      <c r="G27" s="99"/>
      <c r="H27" s="1028">
        <f t="shared" si="1"/>
        <v>500</v>
      </c>
      <c r="I27" s="1028"/>
      <c r="J27" s="1028">
        <f t="shared" si="2"/>
        <v>5000</v>
      </c>
    </row>
    <row r="28" spans="1:13" s="10" customFormat="1" ht="12" customHeight="1" x14ac:dyDescent="0.25">
      <c r="A28" s="129">
        <v>9</v>
      </c>
      <c r="B28" s="123" t="s">
        <v>31</v>
      </c>
      <c r="C28" s="126">
        <v>5.0000000000000001E-3</v>
      </c>
      <c r="D28" s="126">
        <v>5.0000000000000001E-3</v>
      </c>
      <c r="E28" s="127">
        <f>цены!F21</f>
        <v>710</v>
      </c>
      <c r="F28" s="127">
        <f t="shared" si="0"/>
        <v>3.55</v>
      </c>
      <c r="G28" s="128">
        <f t="shared" si="1"/>
        <v>0.05</v>
      </c>
      <c r="H28" s="126">
        <f t="shared" si="1"/>
        <v>0.05</v>
      </c>
      <c r="I28" s="126">
        <f t="shared" si="2"/>
        <v>0.5</v>
      </c>
      <c r="J28" s="126">
        <f t="shared" si="2"/>
        <v>0.5</v>
      </c>
    </row>
    <row r="29" spans="1:13" s="10" customFormat="1" ht="12" customHeight="1" x14ac:dyDescent="0.25">
      <c r="A29" s="98"/>
      <c r="B29" s="93" t="s">
        <v>100</v>
      </c>
      <c r="C29" s="112"/>
      <c r="D29" s="1028"/>
      <c r="E29" s="95"/>
      <c r="F29" s="95">
        <f>F25+F26+F28</f>
        <v>33.64</v>
      </c>
      <c r="G29" s="99"/>
      <c r="H29" s="1028">
        <f>D29*10</f>
        <v>0</v>
      </c>
      <c r="I29" s="1028"/>
      <c r="J29" s="1028">
        <f>D29*100</f>
        <v>0</v>
      </c>
    </row>
    <row r="30" spans="1:13" s="10" customFormat="1" ht="24" customHeight="1" x14ac:dyDescent="0.25">
      <c r="A30" s="203"/>
      <c r="B30" s="204" t="s">
        <v>789</v>
      </c>
      <c r="C30" s="205"/>
      <c r="D30" s="205"/>
      <c r="E30" s="206"/>
      <c r="F30" s="206"/>
      <c r="G30" s="207"/>
      <c r="H30" s="208"/>
      <c r="I30" s="208"/>
      <c r="J30" s="208"/>
    </row>
    <row r="31" spans="1:13" s="10" customFormat="1" ht="27.6" customHeight="1" x14ac:dyDescent="0.25">
      <c r="A31" s="1536" t="s">
        <v>35</v>
      </c>
      <c r="B31" s="1536"/>
      <c r="C31" s="90"/>
      <c r="D31" s="90"/>
      <c r="E31" s="13"/>
      <c r="F31" s="13">
        <f>F29</f>
        <v>33.64</v>
      </c>
      <c r="G31" s="202"/>
      <c r="H31" s="202"/>
      <c r="I31" s="21"/>
      <c r="J31" s="13"/>
    </row>
    <row r="32" spans="1:13" s="10" customFormat="1" ht="25.35" customHeight="1" x14ac:dyDescent="0.25">
      <c r="A32" s="1536" t="s">
        <v>36</v>
      </c>
      <c r="B32" s="1536"/>
      <c r="C32" s="90">
        <v>50</v>
      </c>
      <c r="D32" s="90"/>
      <c r="E32" s="13"/>
      <c r="F32" s="13"/>
      <c r="G32" s="13"/>
      <c r="H32" s="13"/>
      <c r="I32" s="21"/>
      <c r="J32" s="17"/>
    </row>
    <row r="33" spans="1:10" s="10" customFormat="1" ht="25.35" customHeight="1" x14ac:dyDescent="0.25">
      <c r="A33" s="1537" t="s">
        <v>37</v>
      </c>
      <c r="B33" s="1538"/>
      <c r="C33" s="91">
        <v>50</v>
      </c>
      <c r="D33" s="92"/>
      <c r="E33" s="201"/>
      <c r="F33" s="201"/>
      <c r="G33" s="201"/>
      <c r="H33" s="201"/>
      <c r="I33" s="21"/>
      <c r="J33" s="17"/>
    </row>
    <row r="34" spans="1:10" s="10" customFormat="1" ht="15" customHeight="1" x14ac:dyDescent="0.25">
      <c r="A34" s="1539" t="s">
        <v>38</v>
      </c>
      <c r="B34" s="1540"/>
      <c r="C34" s="92">
        <f>C32/C33</f>
        <v>1</v>
      </c>
      <c r="D34" s="92"/>
      <c r="E34" s="201"/>
      <c r="F34" s="201"/>
      <c r="G34" s="201"/>
      <c r="H34" s="201"/>
      <c r="I34" s="21"/>
      <c r="J34" s="17"/>
    </row>
    <row r="35" spans="1:10" ht="16.350000000000001" customHeight="1" x14ac:dyDescent="0.25">
      <c r="A35" s="1541" t="s">
        <v>39</v>
      </c>
      <c r="B35" s="1542"/>
      <c r="C35" s="15" t="s">
        <v>40</v>
      </c>
      <c r="D35" s="102"/>
      <c r="E35" s="102" t="s">
        <v>40</v>
      </c>
      <c r="F35" s="16">
        <f>F31/C34</f>
        <v>33.64</v>
      </c>
      <c r="G35" s="16"/>
      <c r="H35" s="16"/>
      <c r="I35" s="102" t="s">
        <v>40</v>
      </c>
      <c r="J35" s="102" t="s">
        <v>40</v>
      </c>
    </row>
    <row r="36" spans="1:10" ht="23.1" customHeight="1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193"/>
      <c r="B37" s="1194" t="s">
        <v>49</v>
      </c>
      <c r="C37" s="1198"/>
      <c r="D37" s="1198"/>
      <c r="E37" s="1198"/>
      <c r="F37" s="1198"/>
      <c r="G37" s="1193"/>
      <c r="H37" s="1557">
        <f>'1-бутерброд с маслом'!$H$28</f>
        <v>0</v>
      </c>
      <c r="I37" s="1557"/>
      <c r="J37" s="1557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545" t="s">
        <v>327</v>
      </c>
      <c r="B39" s="1545"/>
      <c r="C39" s="1546" t="s">
        <v>328</v>
      </c>
      <c r="D39" s="1546"/>
      <c r="E39" s="1546"/>
      <c r="F39" s="1546"/>
      <c r="G39" s="106"/>
      <c r="H39" s="1531"/>
      <c r="I39" s="1531"/>
      <c r="J39" s="1531"/>
    </row>
    <row r="40" spans="1:10" x14ac:dyDescent="0.25">
      <c r="A40" s="1193"/>
      <c r="B40" s="1193"/>
      <c r="C40" s="1546"/>
      <c r="D40" s="1546"/>
      <c r="E40" s="1546"/>
      <c r="F40" s="1546"/>
      <c r="G40" s="1193"/>
      <c r="H40" s="1531" t="s">
        <v>329</v>
      </c>
      <c r="I40" s="1531"/>
      <c r="J40" s="1531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9:B39"/>
    <mergeCell ref="C39:F40"/>
    <mergeCell ref="H39:J39"/>
    <mergeCell ref="H40:J40"/>
    <mergeCell ref="A32:B32"/>
    <mergeCell ref="A33:B33"/>
    <mergeCell ref="A34:B34"/>
    <mergeCell ref="A35:B35"/>
    <mergeCell ref="H37:J37"/>
    <mergeCell ref="A31:B31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44"/>
  <sheetViews>
    <sheetView view="pageBreakPreview" topLeftCell="A11" zoomScaleNormal="100" zoomScaleSheetLayoutView="100" workbookViewId="0">
      <selection activeCell="C31" sqref="C31"/>
    </sheetView>
  </sheetViews>
  <sheetFormatPr defaultColWidth="8.88671875" defaultRowHeight="13.8" x14ac:dyDescent="0.25"/>
  <cols>
    <col min="1" max="1" width="4.109375" style="699" customWidth="1"/>
    <col min="2" max="2" width="21.109375" style="699" customWidth="1"/>
    <col min="3" max="7" width="7.5546875" style="699" customWidth="1"/>
    <col min="8" max="8" width="8.88671875" style="699" customWidth="1"/>
    <col min="9" max="9" width="7.5546875" style="699" customWidth="1"/>
    <col min="10" max="10" width="9" style="699" customWidth="1"/>
    <col min="11" max="11" width="3.44140625" style="699" customWidth="1"/>
    <col min="12" max="16384" width="8.88671875" style="69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188)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268</v>
      </c>
    </row>
    <row r="8" spans="1:10" s="2" customFormat="1" ht="9.6" customHeight="1" x14ac:dyDescent="0.25">
      <c r="A8" s="709"/>
      <c r="B8" s="709"/>
      <c r="C8" s="709"/>
      <c r="D8" s="709"/>
      <c r="E8" s="709"/>
      <c r="F8" s="709"/>
      <c r="G8" s="709"/>
      <c r="H8" s="709"/>
      <c r="I8" s="709"/>
      <c r="J8" s="109"/>
    </row>
    <row r="9" spans="1:10" s="2" customFormat="1" ht="26.1" customHeight="1" x14ac:dyDescent="0.3">
      <c r="A9" s="1550" t="s">
        <v>1274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'268-котлеты'!H14+1</f>
        <v>188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35.25" customHeight="1" x14ac:dyDescent="0.25">
      <c r="A17" s="1543"/>
      <c r="B17" s="1543"/>
      <c r="C17" s="705" t="s">
        <v>92</v>
      </c>
      <c r="D17" s="705" t="s">
        <v>94</v>
      </c>
      <c r="E17" s="705" t="s">
        <v>93</v>
      </c>
      <c r="F17" s="705" t="s">
        <v>23</v>
      </c>
      <c r="G17" s="705" t="s">
        <v>92</v>
      </c>
      <c r="H17" s="705" t="s">
        <v>94</v>
      </c>
      <c r="I17" s="705" t="s">
        <v>92</v>
      </c>
      <c r="J17" s="705" t="s">
        <v>94</v>
      </c>
    </row>
    <row r="18" spans="1:10" ht="14.25" customHeight="1" x14ac:dyDescent="0.25">
      <c r="A18" s="705">
        <v>1</v>
      </c>
      <c r="B18" s="707">
        <v>2</v>
      </c>
      <c r="C18" s="705">
        <v>3</v>
      </c>
      <c r="D18" s="707">
        <v>4</v>
      </c>
      <c r="E18" s="705">
        <v>5</v>
      </c>
      <c r="F18" s="707">
        <v>6</v>
      </c>
      <c r="G18" s="705">
        <v>7</v>
      </c>
      <c r="H18" s="707">
        <v>8</v>
      </c>
      <c r="I18" s="705">
        <v>9</v>
      </c>
      <c r="J18" s="707">
        <v>10</v>
      </c>
    </row>
    <row r="19" spans="1:10" s="10" customFormat="1" ht="14.1" customHeight="1" x14ac:dyDescent="0.25">
      <c r="A19" s="180">
        <v>1</v>
      </c>
      <c r="B19" s="20" t="s">
        <v>54</v>
      </c>
      <c r="C19" s="21">
        <v>0.05</v>
      </c>
      <c r="D19" s="21">
        <v>3.6999999999999998E-2</v>
      </c>
      <c r="E19" s="408">
        <f>цены!F7</f>
        <v>560</v>
      </c>
      <c r="F19" s="408">
        <f t="shared" ref="F19:F24" si="0">C19*E19</f>
        <v>28</v>
      </c>
      <c r="G19" s="97">
        <f t="shared" ref="G19:H28" si="1">C19*10</f>
        <v>0.5</v>
      </c>
      <c r="H19" s="21">
        <f t="shared" si="1"/>
        <v>0.37</v>
      </c>
      <c r="I19" s="21">
        <f t="shared" ref="I19:J28" si="2">C19*100</f>
        <v>5</v>
      </c>
      <c r="J19" s="21">
        <f t="shared" si="2"/>
        <v>3.7</v>
      </c>
    </row>
    <row r="20" spans="1:10" s="10" customFormat="1" ht="12" customHeight="1" x14ac:dyDescent="0.25">
      <c r="A20" s="180">
        <v>2</v>
      </c>
      <c r="B20" s="20" t="s">
        <v>96</v>
      </c>
      <c r="C20" s="21">
        <v>8.9999999999999993E-3</v>
      </c>
      <c r="D20" s="21">
        <v>8.9999999999999993E-3</v>
      </c>
      <c r="E20" s="408">
        <f>цены!F157</f>
        <v>65</v>
      </c>
      <c r="F20" s="408">
        <f t="shared" si="0"/>
        <v>0.59</v>
      </c>
      <c r="G20" s="97">
        <f t="shared" si="1"/>
        <v>0.09</v>
      </c>
      <c r="H20" s="21">
        <f t="shared" si="1"/>
        <v>0.09</v>
      </c>
      <c r="I20" s="21">
        <f t="shared" si="2"/>
        <v>0.9</v>
      </c>
      <c r="J20" s="21">
        <f t="shared" si="2"/>
        <v>0.9</v>
      </c>
    </row>
    <row r="21" spans="1:10" s="10" customFormat="1" ht="12" customHeight="1" x14ac:dyDescent="0.25">
      <c r="A21" s="180">
        <v>3</v>
      </c>
      <c r="B21" s="20" t="s">
        <v>34</v>
      </c>
      <c r="C21" s="21">
        <v>6.0000000000000001E-3</v>
      </c>
      <c r="D21" s="21">
        <v>6.0000000000000001E-3</v>
      </c>
      <c r="E21" s="408">
        <f>цены!F20</f>
        <v>80</v>
      </c>
      <c r="F21" s="408">
        <f t="shared" si="0"/>
        <v>0.48</v>
      </c>
      <c r="G21" s="97">
        <f t="shared" si="1"/>
        <v>0.06</v>
      </c>
      <c r="H21" s="21">
        <f t="shared" si="1"/>
        <v>0.06</v>
      </c>
      <c r="I21" s="21">
        <f t="shared" si="2"/>
        <v>0.6</v>
      </c>
      <c r="J21" s="21">
        <f t="shared" si="2"/>
        <v>0.6</v>
      </c>
    </row>
    <row r="22" spans="1:10" s="10" customFormat="1" ht="12" customHeight="1" x14ac:dyDescent="0.25">
      <c r="A22" s="180">
        <v>5</v>
      </c>
      <c r="B22" s="20" t="s">
        <v>77</v>
      </c>
      <c r="C22" s="21">
        <v>5.0000000000000001E-3</v>
      </c>
      <c r="D22" s="21">
        <v>5.0000000000000001E-3</v>
      </c>
      <c r="E22" s="408">
        <f>цены!F111</f>
        <v>118</v>
      </c>
      <c r="F22" s="408">
        <f t="shared" si="0"/>
        <v>0.59</v>
      </c>
      <c r="G22" s="97">
        <f t="shared" si="1"/>
        <v>0.05</v>
      </c>
      <c r="H22" s="21">
        <f t="shared" si="1"/>
        <v>0.05</v>
      </c>
      <c r="I22" s="21">
        <f t="shared" si="2"/>
        <v>0.5</v>
      </c>
      <c r="J22" s="21">
        <f t="shared" si="2"/>
        <v>0.5</v>
      </c>
    </row>
    <row r="23" spans="1:10" s="10" customFormat="1" ht="12" customHeight="1" x14ac:dyDescent="0.25">
      <c r="A23" s="180">
        <v>6</v>
      </c>
      <c r="B23" s="20" t="s">
        <v>33</v>
      </c>
      <c r="C23" s="21">
        <v>3.0000000000000001E-3</v>
      </c>
      <c r="D23" s="21">
        <v>3.0000000000000001E-3</v>
      </c>
      <c r="E23" s="408">
        <f>цены!F110</f>
        <v>24</v>
      </c>
      <c r="F23" s="408">
        <f t="shared" si="0"/>
        <v>7.0000000000000007E-2</v>
      </c>
      <c r="G23" s="97">
        <f t="shared" si="1"/>
        <v>0.03</v>
      </c>
      <c r="H23" s="21">
        <f t="shared" si="1"/>
        <v>0.03</v>
      </c>
      <c r="I23" s="21">
        <f t="shared" si="2"/>
        <v>0.3</v>
      </c>
      <c r="J23" s="21">
        <f t="shared" si="2"/>
        <v>0.3</v>
      </c>
    </row>
    <row r="24" spans="1:10" s="10" customFormat="1" ht="12" customHeight="1" x14ac:dyDescent="0.25">
      <c r="A24" s="180">
        <v>7</v>
      </c>
      <c r="B24" s="20" t="s">
        <v>28</v>
      </c>
      <c r="C24" s="21">
        <v>6.0000000000000001E-3</v>
      </c>
      <c r="D24" s="21">
        <v>6.0000000000000001E-3</v>
      </c>
      <c r="E24" s="408"/>
      <c r="F24" s="408">
        <f t="shared" si="0"/>
        <v>0</v>
      </c>
      <c r="G24" s="97">
        <f t="shared" si="1"/>
        <v>0.06</v>
      </c>
      <c r="H24" s="21">
        <f t="shared" si="1"/>
        <v>0.06</v>
      </c>
      <c r="I24" s="21">
        <f t="shared" si="2"/>
        <v>0.6</v>
      </c>
      <c r="J24" s="21">
        <f t="shared" si="2"/>
        <v>0.6</v>
      </c>
    </row>
    <row r="25" spans="1:10" s="10" customFormat="1" ht="12" customHeight="1" x14ac:dyDescent="0.25">
      <c r="A25" s="184"/>
      <c r="B25" s="93" t="s">
        <v>97</v>
      </c>
      <c r="C25" s="100"/>
      <c r="D25" s="100">
        <v>6.2E-2</v>
      </c>
      <c r="E25" s="95"/>
      <c r="F25" s="95">
        <f>SUM(F19:F24)</f>
        <v>29.73</v>
      </c>
      <c r="G25" s="99"/>
      <c r="H25" s="100">
        <f t="shared" si="1"/>
        <v>0.62</v>
      </c>
      <c r="I25" s="100"/>
      <c r="J25" s="100">
        <f t="shared" si="2"/>
        <v>6.2</v>
      </c>
    </row>
    <row r="26" spans="1:10" s="10" customFormat="1" ht="12" customHeight="1" x14ac:dyDescent="0.25">
      <c r="A26" s="129">
        <v>8</v>
      </c>
      <c r="B26" s="123" t="s">
        <v>74</v>
      </c>
      <c r="C26" s="126">
        <v>3.0000000000000001E-3</v>
      </c>
      <c r="D26" s="126">
        <v>3.0000000000000001E-3</v>
      </c>
      <c r="E26" s="127">
        <f>цены!F87</f>
        <v>120</v>
      </c>
      <c r="F26" s="408">
        <f>C26*E26</f>
        <v>0.36</v>
      </c>
      <c r="G26" s="97">
        <f>C26*10</f>
        <v>0.03</v>
      </c>
      <c r="H26" s="21">
        <f>D26*10</f>
        <v>0.03</v>
      </c>
      <c r="I26" s="21">
        <f>C26*100</f>
        <v>0.3</v>
      </c>
      <c r="J26" s="21">
        <f>D26*100</f>
        <v>0.3</v>
      </c>
    </row>
    <row r="27" spans="1:10" s="10" customFormat="1" ht="12" customHeight="1" x14ac:dyDescent="0.25">
      <c r="A27" s="184"/>
      <c r="B27" s="93" t="s">
        <v>788</v>
      </c>
      <c r="C27" s="100"/>
      <c r="D27" s="100">
        <v>0.05</v>
      </c>
      <c r="E27" s="95"/>
      <c r="F27" s="95">
        <f>SUM(F26)</f>
        <v>0.36</v>
      </c>
      <c r="G27" s="99"/>
      <c r="H27" s="100">
        <f t="shared" si="1"/>
        <v>0.5</v>
      </c>
      <c r="I27" s="100"/>
      <c r="J27" s="100">
        <f t="shared" si="2"/>
        <v>5</v>
      </c>
    </row>
    <row r="28" spans="1:10" s="10" customFormat="1" ht="12" customHeight="1" x14ac:dyDescent="0.25">
      <c r="A28" s="129">
        <v>9</v>
      </c>
      <c r="B28" s="123" t="s">
        <v>1349</v>
      </c>
      <c r="C28" s="126">
        <v>0.03</v>
      </c>
      <c r="D28" s="126">
        <v>0.03</v>
      </c>
      <c r="E28" s="127">
        <f>'331-соус с томатом'!F30</f>
        <v>84.41</v>
      </c>
      <c r="F28" s="408">
        <f>C28*E28</f>
        <v>2.5299999999999998</v>
      </c>
      <c r="G28" s="128">
        <f t="shared" si="1"/>
        <v>0.3</v>
      </c>
      <c r="H28" s="126">
        <f t="shared" si="1"/>
        <v>0.3</v>
      </c>
      <c r="I28" s="126">
        <f t="shared" si="2"/>
        <v>3</v>
      </c>
      <c r="J28" s="126">
        <f t="shared" si="2"/>
        <v>3</v>
      </c>
    </row>
    <row r="29" spans="1:10" s="10" customFormat="1" ht="12" customHeight="1" x14ac:dyDescent="0.25">
      <c r="A29" s="98"/>
      <c r="B29" s="93" t="s">
        <v>100</v>
      </c>
      <c r="C29" s="112"/>
      <c r="D29" s="112">
        <v>5.5E-2</v>
      </c>
      <c r="E29" s="95"/>
      <c r="F29" s="95">
        <f>F25+F26+F28</f>
        <v>32.619999999999997</v>
      </c>
      <c r="G29" s="99"/>
      <c r="H29" s="100">
        <f>D29*10</f>
        <v>0.55000000000000004</v>
      </c>
      <c r="I29" s="100"/>
      <c r="J29" s="100">
        <f>D29*100</f>
        <v>5.5</v>
      </c>
    </row>
    <row r="30" spans="1:10" s="10" customFormat="1" ht="24" customHeight="1" x14ac:dyDescent="0.25">
      <c r="A30" s="203"/>
      <c r="B30" s="204" t="s">
        <v>789</v>
      </c>
      <c r="C30" s="205"/>
      <c r="D30" s="205"/>
      <c r="E30" s="206"/>
      <c r="F30" s="206"/>
      <c r="G30" s="207"/>
      <c r="H30" s="208"/>
      <c r="I30" s="208"/>
      <c r="J30" s="208"/>
    </row>
    <row r="31" spans="1:10" s="10" customFormat="1" ht="27.6" customHeight="1" x14ac:dyDescent="0.25">
      <c r="A31" s="1536" t="s">
        <v>35</v>
      </c>
      <c r="B31" s="1536"/>
      <c r="C31" s="90"/>
      <c r="D31" s="90"/>
      <c r="E31" s="408"/>
      <c r="F31" s="408">
        <f>F29</f>
        <v>32.619999999999997</v>
      </c>
      <c r="G31" s="706"/>
      <c r="H31" s="706"/>
      <c r="I31" s="21"/>
      <c r="J31" s="408"/>
    </row>
    <row r="32" spans="1:10" s="10" customFormat="1" ht="25.35" customHeight="1" x14ac:dyDescent="0.25">
      <c r="A32" s="1536" t="s">
        <v>36</v>
      </c>
      <c r="B32" s="1536"/>
      <c r="C32" s="90">
        <v>80</v>
      </c>
      <c r="D32" s="90"/>
      <c r="E32" s="408"/>
      <c r="F32" s="408"/>
      <c r="G32" s="408"/>
      <c r="H32" s="408"/>
      <c r="I32" s="21"/>
      <c r="J32" s="17"/>
    </row>
    <row r="33" spans="1:10" s="10" customFormat="1" ht="25.35" customHeight="1" x14ac:dyDescent="0.25">
      <c r="A33" s="1537" t="s">
        <v>37</v>
      </c>
      <c r="B33" s="1538"/>
      <c r="C33" s="91">
        <v>80</v>
      </c>
      <c r="D33" s="92"/>
      <c r="E33" s="707"/>
      <c r="F33" s="707"/>
      <c r="G33" s="707"/>
      <c r="H33" s="707"/>
      <c r="I33" s="21"/>
      <c r="J33" s="17"/>
    </row>
    <row r="34" spans="1:10" s="10" customFormat="1" ht="15" customHeight="1" x14ac:dyDescent="0.25">
      <c r="A34" s="1539" t="s">
        <v>38</v>
      </c>
      <c r="B34" s="1540"/>
      <c r="C34" s="92">
        <f>C32/C33</f>
        <v>1</v>
      </c>
      <c r="D34" s="92"/>
      <c r="E34" s="707"/>
      <c r="F34" s="707"/>
      <c r="G34" s="707"/>
      <c r="H34" s="707"/>
      <c r="I34" s="21"/>
      <c r="J34" s="17"/>
    </row>
    <row r="35" spans="1:10" ht="16.350000000000001" customHeight="1" x14ac:dyDescent="0.25">
      <c r="A35" s="1541" t="s">
        <v>39</v>
      </c>
      <c r="B35" s="1542"/>
      <c r="C35" s="15" t="s">
        <v>40</v>
      </c>
      <c r="D35" s="102"/>
      <c r="E35" s="102" t="s">
        <v>40</v>
      </c>
      <c r="F35" s="16">
        <f>F31/C34</f>
        <v>32.619999999999997</v>
      </c>
      <c r="G35" s="16"/>
      <c r="H35" s="16"/>
      <c r="I35" s="102" t="s">
        <v>40</v>
      </c>
      <c r="J35" s="102" t="s">
        <v>40</v>
      </c>
    </row>
    <row r="36" spans="1:10" ht="23.1" customHeight="1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193"/>
      <c r="B37" s="1194" t="s">
        <v>49</v>
      </c>
      <c r="C37" s="1198"/>
      <c r="D37" s="1198"/>
      <c r="E37" s="1198"/>
      <c r="F37" s="1198"/>
      <c r="G37" s="1193"/>
      <c r="H37" s="1557">
        <f>'1-бутерброд с маслом'!$H$28</f>
        <v>0</v>
      </c>
      <c r="I37" s="1557"/>
      <c r="J37" s="1557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545" t="s">
        <v>327</v>
      </c>
      <c r="B39" s="1545"/>
      <c r="C39" s="1546" t="s">
        <v>328</v>
      </c>
      <c r="D39" s="1546"/>
      <c r="E39" s="1546"/>
      <c r="F39" s="1546"/>
      <c r="G39" s="106"/>
      <c r="H39" s="1531"/>
      <c r="I39" s="1531"/>
      <c r="J39" s="1531"/>
    </row>
    <row r="40" spans="1:10" x14ac:dyDescent="0.25">
      <c r="A40" s="1193"/>
      <c r="B40" s="1193"/>
      <c r="C40" s="1546"/>
      <c r="D40" s="1546"/>
      <c r="E40" s="1546"/>
      <c r="F40" s="1546"/>
      <c r="G40" s="1193"/>
      <c r="H40" s="1531" t="s">
        <v>329</v>
      </c>
      <c r="I40" s="1531"/>
      <c r="J40" s="1531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37:J37"/>
    <mergeCell ref="A13:G13"/>
    <mergeCell ref="A32:B32"/>
    <mergeCell ref="A33:B33"/>
    <mergeCell ref="A34:B34"/>
    <mergeCell ref="A35:B35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9:B39"/>
    <mergeCell ref="C39:F40"/>
    <mergeCell ref="H39:J39"/>
    <mergeCell ref="H40:J40"/>
    <mergeCell ref="H5:I5"/>
    <mergeCell ref="A6:G6"/>
    <mergeCell ref="A7:I7"/>
    <mergeCell ref="A31:B31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44"/>
  <sheetViews>
    <sheetView view="pageBreakPreview" topLeftCell="A9" zoomScaleNormal="100" zoomScaleSheetLayoutView="100" workbookViewId="0">
      <selection activeCell="F23" sqref="F23:F24"/>
    </sheetView>
  </sheetViews>
  <sheetFormatPr defaultColWidth="8.88671875" defaultRowHeight="13.8" x14ac:dyDescent="0.25"/>
  <cols>
    <col min="1" max="1" width="4.109375" style="930" customWidth="1"/>
    <col min="2" max="2" width="21.109375" style="930" customWidth="1"/>
    <col min="3" max="7" width="7.5546875" style="930" customWidth="1"/>
    <col min="8" max="8" width="8.88671875" style="930" customWidth="1"/>
    <col min="9" max="9" width="7.5546875" style="930" customWidth="1"/>
    <col min="10" max="10" width="9" style="930" customWidth="1"/>
    <col min="11" max="11" width="4.44140625" style="930" customWidth="1"/>
    <col min="12" max="16384" width="8.88671875" style="930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189)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935">
        <v>268</v>
      </c>
    </row>
    <row r="8" spans="1:10" s="2" customFormat="1" ht="9.6" customHeight="1" x14ac:dyDescent="0.25">
      <c r="A8" s="934"/>
      <c r="B8" s="934"/>
      <c r="C8" s="934"/>
      <c r="D8" s="934"/>
      <c r="E8" s="934"/>
      <c r="F8" s="934"/>
      <c r="G8" s="934"/>
      <c r="H8" s="934"/>
      <c r="I8" s="934"/>
      <c r="J8" s="109"/>
    </row>
    <row r="9" spans="1:10" s="2" customFormat="1" ht="26.1" customHeight="1" x14ac:dyDescent="0.35">
      <c r="A9" s="1564" t="s">
        <v>1369</v>
      </c>
      <c r="B9" s="1564"/>
      <c r="C9" s="1564"/>
      <c r="D9" s="1564"/>
      <c r="E9" s="1564"/>
      <c r="F9" s="1564"/>
      <c r="G9" s="1564"/>
      <c r="H9" s="1564"/>
      <c r="I9" s="1564"/>
      <c r="J9" s="1564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'268-котлеты с соусом'!H14+1</f>
        <v>189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35.25" customHeight="1" x14ac:dyDescent="0.25">
      <c r="A17" s="1543"/>
      <c r="B17" s="1543"/>
      <c r="C17" s="931" t="s">
        <v>92</v>
      </c>
      <c r="D17" s="931" t="s">
        <v>94</v>
      </c>
      <c r="E17" s="931" t="s">
        <v>93</v>
      </c>
      <c r="F17" s="931" t="s">
        <v>23</v>
      </c>
      <c r="G17" s="931" t="s">
        <v>92</v>
      </c>
      <c r="H17" s="931" t="s">
        <v>94</v>
      </c>
      <c r="I17" s="931" t="s">
        <v>92</v>
      </c>
      <c r="J17" s="931" t="s">
        <v>94</v>
      </c>
    </row>
    <row r="18" spans="1:10" ht="14.25" customHeight="1" x14ac:dyDescent="0.25">
      <c r="A18" s="931">
        <v>1</v>
      </c>
      <c r="B18" s="933">
        <v>2</v>
      </c>
      <c r="C18" s="931">
        <v>3</v>
      </c>
      <c r="D18" s="933">
        <v>4</v>
      </c>
      <c r="E18" s="931">
        <v>5</v>
      </c>
      <c r="F18" s="933">
        <v>6</v>
      </c>
      <c r="G18" s="931">
        <v>7</v>
      </c>
      <c r="H18" s="933">
        <v>8</v>
      </c>
      <c r="I18" s="931">
        <v>9</v>
      </c>
      <c r="J18" s="933">
        <v>10</v>
      </c>
    </row>
    <row r="19" spans="1:10" s="10" customFormat="1" ht="14.1" customHeight="1" x14ac:dyDescent="0.25">
      <c r="A19" s="180">
        <v>1</v>
      </c>
      <c r="B19" s="20" t="s">
        <v>54</v>
      </c>
      <c r="C19" s="21">
        <v>0.08</v>
      </c>
      <c r="D19" s="21">
        <v>5.8999999999999997E-2</v>
      </c>
      <c r="E19" s="408">
        <f>цены!F7</f>
        <v>560</v>
      </c>
      <c r="F19" s="408">
        <f t="shared" ref="F19:F24" si="0">C19*E19</f>
        <v>44.8</v>
      </c>
      <c r="G19" s="97">
        <f t="shared" ref="G19:H28" si="1">C19*10</f>
        <v>0.8</v>
      </c>
      <c r="H19" s="21">
        <f t="shared" si="1"/>
        <v>0.59</v>
      </c>
      <c r="I19" s="21">
        <f t="shared" ref="I19:J28" si="2">C19*100</f>
        <v>8</v>
      </c>
      <c r="J19" s="21">
        <f t="shared" si="2"/>
        <v>5.9</v>
      </c>
    </row>
    <row r="20" spans="1:10" s="10" customFormat="1" ht="12" customHeight="1" x14ac:dyDescent="0.25">
      <c r="A20" s="180">
        <v>2</v>
      </c>
      <c r="B20" s="20" t="s">
        <v>96</v>
      </c>
      <c r="C20" s="21">
        <v>1.4E-2</v>
      </c>
      <c r="D20" s="21">
        <v>1.4E-2</v>
      </c>
      <c r="E20" s="408">
        <f>цены!F157</f>
        <v>65</v>
      </c>
      <c r="F20" s="408">
        <f t="shared" si="0"/>
        <v>0.91</v>
      </c>
      <c r="G20" s="97">
        <f t="shared" si="1"/>
        <v>0.14000000000000001</v>
      </c>
      <c r="H20" s="21">
        <f t="shared" si="1"/>
        <v>0.14000000000000001</v>
      </c>
      <c r="I20" s="21">
        <f t="shared" si="2"/>
        <v>1.4</v>
      </c>
      <c r="J20" s="21">
        <f t="shared" si="2"/>
        <v>1.4</v>
      </c>
    </row>
    <row r="21" spans="1:10" s="10" customFormat="1" ht="12" customHeight="1" x14ac:dyDescent="0.25">
      <c r="A21" s="180">
        <v>3</v>
      </c>
      <c r="B21" s="20" t="s">
        <v>34</v>
      </c>
      <c r="C21" s="21">
        <v>8.9999999999999993E-3</v>
      </c>
      <c r="D21" s="21">
        <v>8.9999999999999993E-3</v>
      </c>
      <c r="E21" s="408">
        <f>цены!F20</f>
        <v>80</v>
      </c>
      <c r="F21" s="408">
        <f t="shared" si="0"/>
        <v>0.72</v>
      </c>
      <c r="G21" s="97">
        <f t="shared" si="1"/>
        <v>0.09</v>
      </c>
      <c r="H21" s="21">
        <f t="shared" si="1"/>
        <v>0.09</v>
      </c>
      <c r="I21" s="21">
        <f t="shared" si="2"/>
        <v>0.9</v>
      </c>
      <c r="J21" s="21">
        <f t="shared" si="2"/>
        <v>0.9</v>
      </c>
    </row>
    <row r="22" spans="1:10" s="10" customFormat="1" ht="12" customHeight="1" x14ac:dyDescent="0.25">
      <c r="A22" s="180">
        <v>5</v>
      </c>
      <c r="B22" s="20" t="s">
        <v>77</v>
      </c>
      <c r="C22" s="21">
        <v>8.0000000000000002E-3</v>
      </c>
      <c r="D22" s="21">
        <v>8.0000000000000002E-3</v>
      </c>
      <c r="E22" s="408">
        <f>цены!F111</f>
        <v>118</v>
      </c>
      <c r="F22" s="408">
        <f t="shared" si="0"/>
        <v>0.94</v>
      </c>
      <c r="G22" s="97">
        <f t="shared" si="1"/>
        <v>0.08</v>
      </c>
      <c r="H22" s="21">
        <f t="shared" si="1"/>
        <v>0.08</v>
      </c>
      <c r="I22" s="21">
        <f t="shared" si="2"/>
        <v>0.8</v>
      </c>
      <c r="J22" s="21">
        <f t="shared" si="2"/>
        <v>0.8</v>
      </c>
    </row>
    <row r="23" spans="1:10" s="10" customFormat="1" ht="12" customHeight="1" x14ac:dyDescent="0.25">
      <c r="A23" s="180">
        <v>6</v>
      </c>
      <c r="B23" s="20" t="s">
        <v>33</v>
      </c>
      <c r="C23" s="21">
        <v>5.0000000000000001E-3</v>
      </c>
      <c r="D23" s="21">
        <v>5.0000000000000001E-3</v>
      </c>
      <c r="E23" s="408">
        <f>цены!F110</f>
        <v>24</v>
      </c>
      <c r="F23" s="408">
        <f t="shared" si="0"/>
        <v>0.12</v>
      </c>
      <c r="G23" s="97">
        <f t="shared" si="1"/>
        <v>0.05</v>
      </c>
      <c r="H23" s="21">
        <f t="shared" si="1"/>
        <v>0.05</v>
      </c>
      <c r="I23" s="21">
        <f t="shared" si="2"/>
        <v>0.5</v>
      </c>
      <c r="J23" s="21">
        <f t="shared" si="2"/>
        <v>0.5</v>
      </c>
    </row>
    <row r="24" spans="1:10" s="10" customFormat="1" ht="12" customHeight="1" x14ac:dyDescent="0.25">
      <c r="A24" s="180">
        <v>7</v>
      </c>
      <c r="B24" s="20" t="s">
        <v>28</v>
      </c>
      <c r="C24" s="21">
        <v>0.01</v>
      </c>
      <c r="D24" s="21">
        <v>0.01</v>
      </c>
      <c r="E24" s="408"/>
      <c r="F24" s="408">
        <f t="shared" si="0"/>
        <v>0</v>
      </c>
      <c r="G24" s="97">
        <f t="shared" si="1"/>
        <v>0.1</v>
      </c>
      <c r="H24" s="21">
        <f t="shared" si="1"/>
        <v>0.1</v>
      </c>
      <c r="I24" s="21">
        <f t="shared" si="2"/>
        <v>1</v>
      </c>
      <c r="J24" s="21">
        <f t="shared" si="2"/>
        <v>1</v>
      </c>
    </row>
    <row r="25" spans="1:10" s="10" customFormat="1" ht="12" customHeight="1" x14ac:dyDescent="0.25">
      <c r="A25" s="184"/>
      <c r="B25" s="93" t="s">
        <v>97</v>
      </c>
      <c r="C25" s="100"/>
      <c r="D25" s="100">
        <v>0.1</v>
      </c>
      <c r="E25" s="95"/>
      <c r="F25" s="95"/>
      <c r="G25" s="99"/>
      <c r="H25" s="100">
        <f t="shared" si="1"/>
        <v>1</v>
      </c>
      <c r="I25" s="100"/>
      <c r="J25" s="100">
        <f t="shared" si="2"/>
        <v>10</v>
      </c>
    </row>
    <row r="26" spans="1:10" s="10" customFormat="1" ht="12" customHeight="1" x14ac:dyDescent="0.25">
      <c r="A26" s="129">
        <v>8</v>
      </c>
      <c r="B26" s="123" t="s">
        <v>74</v>
      </c>
      <c r="C26" s="126">
        <v>5.0000000000000001E-3</v>
      </c>
      <c r="D26" s="126">
        <v>5.0000000000000001E-3</v>
      </c>
      <c r="E26" s="127">
        <f>цены!F87</f>
        <v>120</v>
      </c>
      <c r="F26" s="408">
        <f>C26*E26</f>
        <v>0.6</v>
      </c>
      <c r="G26" s="97">
        <f>C26*10</f>
        <v>0.05</v>
      </c>
      <c r="H26" s="21">
        <f>D26*10</f>
        <v>0.05</v>
      </c>
      <c r="I26" s="21">
        <f>C26*100</f>
        <v>0.5</v>
      </c>
      <c r="J26" s="21">
        <f>D26*100</f>
        <v>0.5</v>
      </c>
    </row>
    <row r="27" spans="1:10" s="10" customFormat="1" ht="12" customHeight="1" x14ac:dyDescent="0.25">
      <c r="A27" s="184"/>
      <c r="B27" s="93" t="s">
        <v>788</v>
      </c>
      <c r="C27" s="100"/>
      <c r="D27" s="100">
        <v>0.08</v>
      </c>
      <c r="E27" s="95"/>
      <c r="F27" s="95"/>
      <c r="G27" s="99"/>
      <c r="H27" s="100">
        <f t="shared" si="1"/>
        <v>0.8</v>
      </c>
      <c r="I27" s="100"/>
      <c r="J27" s="100">
        <f t="shared" si="2"/>
        <v>8</v>
      </c>
    </row>
    <row r="28" spans="1:10" s="10" customFormat="1" ht="12" customHeight="1" x14ac:dyDescent="0.25">
      <c r="A28" s="129">
        <v>9</v>
      </c>
      <c r="B28" s="123"/>
      <c r="C28" s="126"/>
      <c r="D28" s="126"/>
      <c r="E28" s="127"/>
      <c r="F28" s="408">
        <f>C28*E28</f>
        <v>0</v>
      </c>
      <c r="G28" s="128">
        <f t="shared" si="1"/>
        <v>0</v>
      </c>
      <c r="H28" s="126">
        <f t="shared" si="1"/>
        <v>0</v>
      </c>
      <c r="I28" s="126">
        <f t="shared" si="2"/>
        <v>0</v>
      </c>
      <c r="J28" s="126">
        <f t="shared" si="2"/>
        <v>0</v>
      </c>
    </row>
    <row r="29" spans="1:10" s="10" customFormat="1" ht="12" customHeight="1" x14ac:dyDescent="0.25">
      <c r="A29" s="98"/>
      <c r="B29" s="93" t="s">
        <v>100</v>
      </c>
      <c r="C29" s="112"/>
      <c r="D29" s="112">
        <v>8.5000000000000006E-2</v>
      </c>
      <c r="E29" s="95"/>
      <c r="F29" s="95">
        <f>SUM(F19:F28)</f>
        <v>48.09</v>
      </c>
      <c r="G29" s="99"/>
      <c r="H29" s="100">
        <f>D29*10</f>
        <v>0.85</v>
      </c>
      <c r="I29" s="100"/>
      <c r="J29" s="100">
        <f>D29*100</f>
        <v>8.5</v>
      </c>
    </row>
    <row r="30" spans="1:10" s="10" customFormat="1" ht="24" customHeight="1" x14ac:dyDescent="0.25">
      <c r="A30" s="203"/>
      <c r="B30" s="204" t="s">
        <v>789</v>
      </c>
      <c r="C30" s="205"/>
      <c r="D30" s="205"/>
      <c r="E30" s="206"/>
      <c r="F30" s="206"/>
      <c r="G30" s="207"/>
      <c r="H30" s="208"/>
      <c r="I30" s="208"/>
      <c r="J30" s="208"/>
    </row>
    <row r="31" spans="1:10" s="10" customFormat="1" ht="27.6" customHeight="1" x14ac:dyDescent="0.25">
      <c r="A31" s="1536" t="s">
        <v>35</v>
      </c>
      <c r="B31" s="1536"/>
      <c r="C31" s="90"/>
      <c r="D31" s="90"/>
      <c r="E31" s="408"/>
      <c r="F31" s="408">
        <f>F29</f>
        <v>48.09</v>
      </c>
      <c r="G31" s="932"/>
      <c r="H31" s="932"/>
      <c r="I31" s="21"/>
      <c r="J31" s="408"/>
    </row>
    <row r="32" spans="1:10" s="10" customFormat="1" ht="25.35" customHeight="1" x14ac:dyDescent="0.25">
      <c r="A32" s="1536" t="s">
        <v>36</v>
      </c>
      <c r="B32" s="1536"/>
      <c r="C32" s="90">
        <v>85</v>
      </c>
      <c r="D32" s="90"/>
      <c r="E32" s="408"/>
      <c r="F32" s="408"/>
      <c r="G32" s="408"/>
      <c r="H32" s="408"/>
      <c r="I32" s="21"/>
      <c r="J32" s="17"/>
    </row>
    <row r="33" spans="1:10" s="10" customFormat="1" ht="25.35" customHeight="1" x14ac:dyDescent="0.25">
      <c r="A33" s="1537" t="s">
        <v>37</v>
      </c>
      <c r="B33" s="1538"/>
      <c r="C33" s="91">
        <v>85</v>
      </c>
      <c r="D33" s="92"/>
      <c r="E33" s="933"/>
      <c r="F33" s="933"/>
      <c r="G33" s="933"/>
      <c r="H33" s="933"/>
      <c r="I33" s="21"/>
      <c r="J33" s="17"/>
    </row>
    <row r="34" spans="1:10" s="10" customFormat="1" ht="15" customHeight="1" x14ac:dyDescent="0.25">
      <c r="A34" s="1539" t="s">
        <v>38</v>
      </c>
      <c r="B34" s="1540"/>
      <c r="C34" s="92">
        <f>C32/C33</f>
        <v>1</v>
      </c>
      <c r="D34" s="92"/>
      <c r="E34" s="933"/>
      <c r="F34" s="933"/>
      <c r="G34" s="933"/>
      <c r="H34" s="933"/>
      <c r="I34" s="21"/>
      <c r="J34" s="17"/>
    </row>
    <row r="35" spans="1:10" ht="16.350000000000001" customHeight="1" x14ac:dyDescent="0.25">
      <c r="A35" s="1541" t="s">
        <v>39</v>
      </c>
      <c r="B35" s="1542"/>
      <c r="C35" s="15" t="s">
        <v>40</v>
      </c>
      <c r="D35" s="102"/>
      <c r="E35" s="102" t="s">
        <v>40</v>
      </c>
      <c r="F35" s="16">
        <f>F31/C34</f>
        <v>48.09</v>
      </c>
      <c r="G35" s="16"/>
      <c r="H35" s="16"/>
      <c r="I35" s="102" t="s">
        <v>40</v>
      </c>
      <c r="J35" s="102" t="s">
        <v>40</v>
      </c>
    </row>
    <row r="36" spans="1:10" ht="23.1" customHeight="1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193"/>
      <c r="B37" s="1194" t="s">
        <v>49</v>
      </c>
      <c r="C37" s="1198"/>
      <c r="D37" s="1198"/>
      <c r="E37" s="1198"/>
      <c r="F37" s="1198"/>
      <c r="G37" s="1193"/>
      <c r="H37" s="1557">
        <f>'1-бутерброд с маслом'!$H$28</f>
        <v>0</v>
      </c>
      <c r="I37" s="1557"/>
      <c r="J37" s="1557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545" t="s">
        <v>327</v>
      </c>
      <c r="B39" s="1545"/>
      <c r="C39" s="1546" t="s">
        <v>328</v>
      </c>
      <c r="D39" s="1546"/>
      <c r="E39" s="1546"/>
      <c r="F39" s="1546"/>
      <c r="G39" s="106"/>
      <c r="H39" s="1531"/>
      <c r="I39" s="1531"/>
      <c r="J39" s="1531"/>
    </row>
    <row r="40" spans="1:10" x14ac:dyDescent="0.25">
      <c r="A40" s="1193"/>
      <c r="B40" s="1193"/>
      <c r="C40" s="1546"/>
      <c r="D40" s="1546"/>
      <c r="E40" s="1546"/>
      <c r="F40" s="1546"/>
      <c r="G40" s="1193"/>
      <c r="H40" s="1531" t="s">
        <v>329</v>
      </c>
      <c r="I40" s="1531"/>
      <c r="J40" s="1531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37:J37"/>
    <mergeCell ref="A13:G13"/>
    <mergeCell ref="A32:B32"/>
    <mergeCell ref="A33:B33"/>
    <mergeCell ref="A34:B34"/>
    <mergeCell ref="A35:B35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9:B39"/>
    <mergeCell ref="C39:F40"/>
    <mergeCell ref="H39:J39"/>
    <mergeCell ref="H40:J40"/>
    <mergeCell ref="H5:I5"/>
    <mergeCell ref="A6:G6"/>
    <mergeCell ref="A7:I7"/>
    <mergeCell ref="A31:B31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46"/>
  <sheetViews>
    <sheetView view="pageBreakPreview" topLeftCell="A6" zoomScaleNormal="100" zoomScaleSheetLayoutView="100" workbookViewId="0">
      <selection activeCell="H15" sqref="H15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8.44140625" customWidth="1"/>
    <col min="11" max="11" width="3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190)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271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1280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'268-котлеты (80)'!H14+1</f>
        <v>190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>
        <v>1</v>
      </c>
      <c r="B19" s="20" t="s">
        <v>54</v>
      </c>
      <c r="C19" s="111">
        <v>7.1999999999999995E-2</v>
      </c>
      <c r="D19" s="111">
        <v>5.6000000000000001E-2</v>
      </c>
      <c r="E19" s="13">
        <f>цены!F7</f>
        <v>560</v>
      </c>
      <c r="F19" s="13">
        <f>C19*E19</f>
        <v>40.32</v>
      </c>
      <c r="G19" s="97">
        <f t="shared" ref="G19:H27" si="0">C19*10</f>
        <v>0.72</v>
      </c>
      <c r="H19" s="21">
        <f t="shared" si="0"/>
        <v>0.56000000000000005</v>
      </c>
      <c r="I19" s="21">
        <f t="shared" ref="I19:J27" si="1">C19*100</f>
        <v>7.2</v>
      </c>
      <c r="J19" s="21">
        <f t="shared" si="1"/>
        <v>5.6</v>
      </c>
    </row>
    <row r="20" spans="1:10" s="10" customFormat="1" ht="12" customHeight="1" x14ac:dyDescent="0.25">
      <c r="A20" s="180">
        <v>2</v>
      </c>
      <c r="B20" s="20" t="s">
        <v>95</v>
      </c>
      <c r="C20" s="111">
        <v>2E-3</v>
      </c>
      <c r="D20" s="111">
        <v>2E-3</v>
      </c>
      <c r="E20" s="13">
        <f>цены!F13</f>
        <v>100</v>
      </c>
      <c r="F20" s="13">
        <f t="shared" ref="F20:F27" si="2">C20*E20</f>
        <v>0.2</v>
      </c>
      <c r="G20" s="97">
        <f t="shared" si="0"/>
        <v>0.02</v>
      </c>
      <c r="H20" s="21">
        <f t="shared" si="0"/>
        <v>0.02</v>
      </c>
      <c r="I20" s="21">
        <f t="shared" si="1"/>
        <v>0.2</v>
      </c>
      <c r="J20" s="21">
        <f t="shared" si="1"/>
        <v>0.2</v>
      </c>
    </row>
    <row r="21" spans="1:10" s="10" customFormat="1" ht="12" customHeight="1" x14ac:dyDescent="0.25">
      <c r="A21" s="180">
        <v>3</v>
      </c>
      <c r="B21" s="20" t="s">
        <v>48</v>
      </c>
      <c r="C21" s="111">
        <v>2.3999999999999998E-3</v>
      </c>
      <c r="D21" s="111">
        <v>2E-3</v>
      </c>
      <c r="E21" s="13">
        <f>цены!F38</f>
        <v>50</v>
      </c>
      <c r="F21" s="13">
        <f t="shared" si="2"/>
        <v>0.12</v>
      </c>
      <c r="G21" s="97">
        <f t="shared" si="0"/>
        <v>2.4E-2</v>
      </c>
      <c r="H21" s="21">
        <f t="shared" si="0"/>
        <v>0.02</v>
      </c>
      <c r="I21" s="21">
        <f t="shared" si="1"/>
        <v>0.24</v>
      </c>
      <c r="J21" s="21">
        <f t="shared" si="1"/>
        <v>0.2</v>
      </c>
    </row>
    <row r="22" spans="1:10" s="10" customFormat="1" ht="12" customHeight="1" x14ac:dyDescent="0.25">
      <c r="A22" s="180">
        <v>4</v>
      </c>
      <c r="B22" s="20" t="s">
        <v>77</v>
      </c>
      <c r="C22" s="111">
        <v>4.0000000000000001E-3</v>
      </c>
      <c r="D22" s="111">
        <v>4.0000000000000001E-3</v>
      </c>
      <c r="E22" s="13">
        <f>цены!F111</f>
        <v>118</v>
      </c>
      <c r="F22" s="13">
        <f t="shared" si="2"/>
        <v>0.47</v>
      </c>
      <c r="G22" s="97">
        <f t="shared" si="0"/>
        <v>0.04</v>
      </c>
      <c r="H22" s="21">
        <f t="shared" si="0"/>
        <v>0.04</v>
      </c>
      <c r="I22" s="21">
        <f t="shared" si="1"/>
        <v>0.4</v>
      </c>
      <c r="J22" s="21">
        <f t="shared" si="1"/>
        <v>0.4</v>
      </c>
    </row>
    <row r="23" spans="1:10" s="10" customFormat="1" ht="12" customHeight="1" x14ac:dyDescent="0.25">
      <c r="A23" s="180">
        <v>5</v>
      </c>
      <c r="B23" s="20" t="s">
        <v>101</v>
      </c>
      <c r="C23" s="113">
        <v>1.15E-3</v>
      </c>
      <c r="D23" s="111">
        <v>2E-3</v>
      </c>
      <c r="E23" s="13">
        <f>цены!F30</f>
        <v>152.16999999999999</v>
      </c>
      <c r="F23" s="13">
        <f t="shared" si="2"/>
        <v>0.17</v>
      </c>
      <c r="G23" s="97">
        <f t="shared" si="0"/>
        <v>1.2E-2</v>
      </c>
      <c r="H23" s="21">
        <f t="shared" si="0"/>
        <v>0.02</v>
      </c>
      <c r="I23" s="21">
        <f t="shared" si="1"/>
        <v>0.115</v>
      </c>
      <c r="J23" s="21">
        <f t="shared" si="1"/>
        <v>0.2</v>
      </c>
    </row>
    <row r="24" spans="1:10" s="10" customFormat="1" ht="12" customHeight="1" x14ac:dyDescent="0.25">
      <c r="A24" s="180">
        <v>6</v>
      </c>
      <c r="B24" s="20" t="s">
        <v>96</v>
      </c>
      <c r="C24" s="111">
        <v>1.2999999999999999E-2</v>
      </c>
      <c r="D24" s="111">
        <v>1.2999999999999999E-3</v>
      </c>
      <c r="E24" s="13">
        <f>цены!F157</f>
        <v>65</v>
      </c>
      <c r="F24" s="13">
        <f t="shared" si="2"/>
        <v>0.85</v>
      </c>
      <c r="G24" s="97">
        <f t="shared" si="0"/>
        <v>0.13</v>
      </c>
      <c r="H24" s="21">
        <f t="shared" si="0"/>
        <v>1.2999999999999999E-2</v>
      </c>
      <c r="I24" s="21">
        <f t="shared" si="1"/>
        <v>1.3</v>
      </c>
      <c r="J24" s="21">
        <f t="shared" si="1"/>
        <v>0.13</v>
      </c>
    </row>
    <row r="25" spans="1:10" s="10" customFormat="1" ht="12" customHeight="1" x14ac:dyDescent="0.25">
      <c r="A25" s="180">
        <v>7</v>
      </c>
      <c r="B25" s="20" t="s">
        <v>28</v>
      </c>
      <c r="C25" s="111">
        <v>0.02</v>
      </c>
      <c r="D25" s="111">
        <v>0.02</v>
      </c>
      <c r="E25" s="13"/>
      <c r="F25" s="13">
        <f t="shared" si="2"/>
        <v>0</v>
      </c>
      <c r="G25" s="97">
        <f t="shared" si="0"/>
        <v>0.2</v>
      </c>
      <c r="H25" s="21">
        <f t="shared" si="0"/>
        <v>0.2</v>
      </c>
      <c r="I25" s="21">
        <f t="shared" si="1"/>
        <v>2</v>
      </c>
      <c r="J25" s="21">
        <f t="shared" si="1"/>
        <v>2</v>
      </c>
    </row>
    <row r="26" spans="1:10" s="10" customFormat="1" ht="12" customHeight="1" x14ac:dyDescent="0.25">
      <c r="A26" s="180">
        <v>8</v>
      </c>
      <c r="B26" s="20" t="s">
        <v>33</v>
      </c>
      <c r="C26" s="111">
        <v>6.0000000000000001E-3</v>
      </c>
      <c r="D26" s="111">
        <v>6.0000000000000001E-3</v>
      </c>
      <c r="E26" s="13">
        <f>цены!F110</f>
        <v>24</v>
      </c>
      <c r="F26" s="13">
        <f t="shared" si="2"/>
        <v>0.14000000000000001</v>
      </c>
      <c r="G26" s="97">
        <f t="shared" si="0"/>
        <v>0.06</v>
      </c>
      <c r="H26" s="21">
        <f t="shared" si="0"/>
        <v>0.06</v>
      </c>
      <c r="I26" s="21">
        <f t="shared" si="1"/>
        <v>0.6</v>
      </c>
      <c r="J26" s="21">
        <f t="shared" si="1"/>
        <v>0.6</v>
      </c>
    </row>
    <row r="27" spans="1:10" s="10" customFormat="1" ht="12" customHeight="1" x14ac:dyDescent="0.25">
      <c r="A27" s="180">
        <v>9</v>
      </c>
      <c r="B27" s="20" t="s">
        <v>430</v>
      </c>
      <c r="C27" s="111">
        <v>4.0000000000000001E-3</v>
      </c>
      <c r="D27" s="111">
        <v>4.0000000000000001E-3</v>
      </c>
      <c r="E27" s="13">
        <f>цены!F48</f>
        <v>300</v>
      </c>
      <c r="F27" s="13">
        <f t="shared" si="2"/>
        <v>1.2</v>
      </c>
      <c r="G27" s="97">
        <f t="shared" si="0"/>
        <v>0.04</v>
      </c>
      <c r="H27" s="21">
        <f t="shared" si="0"/>
        <v>0.04</v>
      </c>
      <c r="I27" s="21">
        <f t="shared" si="1"/>
        <v>0.4</v>
      </c>
      <c r="J27" s="21">
        <f t="shared" si="1"/>
        <v>0.4</v>
      </c>
    </row>
    <row r="28" spans="1:10" s="10" customFormat="1" ht="12" customHeight="1" x14ac:dyDescent="0.25">
      <c r="A28" s="184"/>
      <c r="B28" s="93" t="s">
        <v>97</v>
      </c>
      <c r="C28" s="112"/>
      <c r="D28" s="1028">
        <v>100</v>
      </c>
      <c r="E28" s="95"/>
      <c r="F28" s="95"/>
      <c r="G28" s="99"/>
      <c r="H28" s="100">
        <f>D28*10</f>
        <v>1000</v>
      </c>
      <c r="I28" s="100"/>
      <c r="J28" s="100">
        <f>D28*100</f>
        <v>10000</v>
      </c>
    </row>
    <row r="29" spans="1:10" s="10" customFormat="1" ht="12" customHeight="1" x14ac:dyDescent="0.25">
      <c r="A29" s="180">
        <v>10</v>
      </c>
      <c r="B29" s="20" t="s">
        <v>74</v>
      </c>
      <c r="C29" s="111">
        <v>4.0000000000000001E-3</v>
      </c>
      <c r="D29" s="111">
        <v>4.0000000000000001E-3</v>
      </c>
      <c r="E29" s="13">
        <f>цены!F87</f>
        <v>120</v>
      </c>
      <c r="F29" s="13">
        <f>C29*E29</f>
        <v>0.48</v>
      </c>
      <c r="G29" s="97">
        <f>C29*10</f>
        <v>0.04</v>
      </c>
      <c r="H29" s="21">
        <f>D29*10</f>
        <v>0.04</v>
      </c>
      <c r="I29" s="21">
        <f>C29*100</f>
        <v>0.4</v>
      </c>
      <c r="J29" s="21">
        <f>D29*100</f>
        <v>0.4</v>
      </c>
    </row>
    <row r="30" spans="1:10" s="10" customFormat="1" ht="12" customHeight="1" x14ac:dyDescent="0.25">
      <c r="A30" s="190"/>
      <c r="B30" s="93" t="s">
        <v>98</v>
      </c>
      <c r="C30" s="112"/>
      <c r="D30" s="1028">
        <v>82</v>
      </c>
      <c r="E30" s="95"/>
      <c r="F30" s="95"/>
      <c r="G30" s="99"/>
      <c r="H30" s="100">
        <f>D30*10</f>
        <v>820</v>
      </c>
      <c r="I30" s="100"/>
      <c r="J30" s="100">
        <f>D30*100</f>
        <v>8200</v>
      </c>
    </row>
    <row r="31" spans="1:10" s="10" customFormat="1" ht="12" customHeight="1" x14ac:dyDescent="0.25">
      <c r="A31" s="129">
        <v>11</v>
      </c>
      <c r="B31" s="123" t="s">
        <v>360</v>
      </c>
      <c r="C31" s="130">
        <v>0.04</v>
      </c>
      <c r="D31" s="130">
        <v>0.04</v>
      </c>
      <c r="E31" s="127">
        <f>'331-соус с томатом'!F30</f>
        <v>84.41</v>
      </c>
      <c r="F31" s="408">
        <f>C31*E31</f>
        <v>3.38</v>
      </c>
      <c r="G31" s="97">
        <f t="shared" ref="G31" si="3">C31*10</f>
        <v>0.4</v>
      </c>
      <c r="H31" s="21">
        <f t="shared" ref="H31" si="4">D31*10</f>
        <v>0.4</v>
      </c>
      <c r="I31" s="21">
        <f t="shared" ref="I31" si="5">C31*100</f>
        <v>4</v>
      </c>
      <c r="J31" s="21">
        <f t="shared" ref="J31" si="6">D31*100</f>
        <v>4</v>
      </c>
    </row>
    <row r="32" spans="1:10" s="10" customFormat="1" ht="12" customHeight="1" x14ac:dyDescent="0.25">
      <c r="A32" s="98"/>
      <c r="B32" s="93" t="s">
        <v>100</v>
      </c>
      <c r="C32" s="112"/>
      <c r="D32" s="112">
        <v>4.4999999999999998E-2</v>
      </c>
      <c r="E32" s="95"/>
      <c r="F32" s="95">
        <f>SUM(F19:F31)</f>
        <v>47.33</v>
      </c>
      <c r="G32" s="99"/>
      <c r="H32" s="100">
        <f>D32*10</f>
        <v>0.45</v>
      </c>
      <c r="I32" s="100"/>
      <c r="J32" s="100">
        <f>D32*100</f>
        <v>4.5</v>
      </c>
    </row>
    <row r="33" spans="1:10" s="10" customFormat="1" ht="35.4" customHeight="1" x14ac:dyDescent="0.25">
      <c r="A33" s="203"/>
      <c r="B33" s="204" t="s">
        <v>1279</v>
      </c>
      <c r="C33" s="205"/>
      <c r="D33" s="205"/>
      <c r="E33" s="206"/>
      <c r="F33" s="206"/>
      <c r="G33" s="207"/>
      <c r="H33" s="208"/>
      <c r="I33" s="208"/>
      <c r="J33" s="208"/>
    </row>
    <row r="34" spans="1:10" s="10" customFormat="1" ht="27.6" customHeight="1" x14ac:dyDescent="0.25">
      <c r="A34" s="1536" t="s">
        <v>35</v>
      </c>
      <c r="B34" s="1536"/>
      <c r="C34" s="90"/>
      <c r="D34" s="90"/>
      <c r="E34" s="13"/>
      <c r="F34" s="13">
        <f>F32</f>
        <v>47.33</v>
      </c>
      <c r="G34" s="14"/>
      <c r="H34" s="14"/>
      <c r="I34" s="21"/>
      <c r="J34" s="13"/>
    </row>
    <row r="35" spans="1:10" s="10" customFormat="1" ht="25.35" customHeight="1" x14ac:dyDescent="0.25">
      <c r="A35" s="1536" t="s">
        <v>36</v>
      </c>
      <c r="B35" s="1536"/>
      <c r="C35" s="90">
        <v>120</v>
      </c>
      <c r="D35" s="90"/>
      <c r="E35" s="13"/>
      <c r="F35" s="13"/>
      <c r="G35" s="13"/>
      <c r="H35" s="13"/>
      <c r="I35" s="21"/>
      <c r="J35" s="17"/>
    </row>
    <row r="36" spans="1:10" s="10" customFormat="1" ht="25.35" customHeight="1" x14ac:dyDescent="0.25">
      <c r="A36" s="1537" t="s">
        <v>37</v>
      </c>
      <c r="B36" s="1538"/>
      <c r="C36" s="91">
        <v>120</v>
      </c>
      <c r="D36" s="92"/>
      <c r="E36" s="5"/>
      <c r="F36" s="5"/>
      <c r="G36" s="5"/>
      <c r="H36" s="5"/>
      <c r="I36" s="21"/>
      <c r="J36" s="17"/>
    </row>
    <row r="37" spans="1:10" s="10" customFormat="1" ht="15" customHeight="1" x14ac:dyDescent="0.25">
      <c r="A37" s="1539" t="s">
        <v>38</v>
      </c>
      <c r="B37" s="1540"/>
      <c r="C37" s="92">
        <f>C35/C36</f>
        <v>1</v>
      </c>
      <c r="D37" s="92"/>
      <c r="E37" s="5"/>
      <c r="F37" s="5"/>
      <c r="G37" s="5"/>
      <c r="H37" s="5"/>
      <c r="I37" s="21"/>
      <c r="J37" s="17"/>
    </row>
    <row r="38" spans="1:10" ht="16.350000000000001" customHeight="1" x14ac:dyDescent="0.25">
      <c r="A38" s="1541" t="s">
        <v>39</v>
      </c>
      <c r="B38" s="1542"/>
      <c r="C38" s="15" t="s">
        <v>40</v>
      </c>
      <c r="D38" s="102"/>
      <c r="E38" s="102" t="s">
        <v>40</v>
      </c>
      <c r="F38" s="16">
        <f>F34/C37</f>
        <v>47.33</v>
      </c>
      <c r="G38" s="16"/>
      <c r="H38" s="16"/>
      <c r="I38" s="102" t="s">
        <v>40</v>
      </c>
      <c r="J38" s="102" t="s">
        <v>40</v>
      </c>
    </row>
    <row r="39" spans="1:10" ht="23.1" customHeight="1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ht="13.95" customHeight="1" x14ac:dyDescent="0.25">
      <c r="A40" s="1193"/>
      <c r="B40" s="1194" t="s">
        <v>49</v>
      </c>
      <c r="C40" s="1198"/>
      <c r="D40" s="1198"/>
      <c r="E40" s="1198"/>
      <c r="F40" s="1198"/>
      <c r="G40" s="1193"/>
      <c r="H40" s="1557">
        <f>'1-бутерброд с маслом'!$H$28</f>
        <v>0</v>
      </c>
      <c r="I40" s="1557"/>
      <c r="J40" s="1557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ht="13.95" customHeight="1" x14ac:dyDescent="0.25">
      <c r="A42" s="1545" t="s">
        <v>327</v>
      </c>
      <c r="B42" s="1545"/>
      <c r="C42" s="1546" t="s">
        <v>328</v>
      </c>
      <c r="D42" s="1546"/>
      <c r="E42" s="1546"/>
      <c r="F42" s="1546"/>
      <c r="G42" s="106"/>
      <c r="H42" s="1531"/>
      <c r="I42" s="1531"/>
      <c r="J42" s="1531"/>
    </row>
    <row r="43" spans="1:10" x14ac:dyDescent="0.25">
      <c r="A43" s="1193"/>
      <c r="B43" s="1193"/>
      <c r="C43" s="1546"/>
      <c r="D43" s="1546"/>
      <c r="E43" s="1546"/>
      <c r="F43" s="1546"/>
      <c r="G43" s="1193"/>
      <c r="H43" s="1531" t="s">
        <v>329</v>
      </c>
      <c r="I43" s="1531"/>
      <c r="J43" s="1531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  <row r="45" spans="1:10" x14ac:dyDescent="0.25">
      <c r="A45" s="1193"/>
      <c r="B45" s="1193"/>
      <c r="C45" s="1193"/>
      <c r="D45" s="1193"/>
      <c r="E45" s="1193"/>
      <c r="F45" s="1193"/>
      <c r="G45" s="1193"/>
      <c r="H45" s="1193"/>
      <c r="I45" s="1193"/>
      <c r="J45" s="1193"/>
    </row>
    <row r="46" spans="1:10" x14ac:dyDescent="0.25">
      <c r="A46" s="1193"/>
      <c r="B46" s="1193"/>
      <c r="C46" s="1193"/>
      <c r="D46" s="1193"/>
      <c r="E46" s="1193"/>
      <c r="F46" s="1193"/>
      <c r="G46" s="1193"/>
      <c r="H46" s="1193"/>
      <c r="I46" s="1193"/>
      <c r="J46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2:B42"/>
    <mergeCell ref="C42:F43"/>
    <mergeCell ref="H42:J42"/>
    <mergeCell ref="H43:J43"/>
    <mergeCell ref="A35:B35"/>
    <mergeCell ref="A36:B36"/>
    <mergeCell ref="A37:B37"/>
    <mergeCell ref="A38:B38"/>
    <mergeCell ref="H40:J40"/>
    <mergeCell ref="A34:B34"/>
    <mergeCell ref="A9:J9"/>
    <mergeCell ref="A11:J11"/>
  </mergeCells>
  <printOptions headings="1"/>
  <pageMargins left="0.98425196850393704" right="0.19685039370078741" top="0.59055118110236227" bottom="0.39370078740157483" header="0.19685039370078741" footer="0.19685039370078741"/>
  <pageSetup paperSize="9" scale="99" orientation="portrait" r:id="rId1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48"/>
  <sheetViews>
    <sheetView view="pageBreakPreview" topLeftCell="A17" zoomScaleNormal="100" zoomScaleSheetLayoutView="100" workbookViewId="0">
      <selection activeCell="F33" sqref="F33"/>
    </sheetView>
  </sheetViews>
  <sheetFormatPr defaultRowHeight="13.8" x14ac:dyDescent="0.25"/>
  <cols>
    <col min="1" max="1" width="4.109375" customWidth="1"/>
    <col min="2" max="2" width="21.109375" customWidth="1"/>
    <col min="3" max="5" width="7.5546875" customWidth="1"/>
    <col min="6" max="6" width="10" customWidth="1"/>
    <col min="7" max="7" width="7.5546875" customWidth="1"/>
    <col min="8" max="8" width="8.88671875" customWidth="1"/>
    <col min="9" max="9" width="7.5546875" customWidth="1"/>
    <col min="10" max="10" width="9" customWidth="1"/>
    <col min="11" max="11" width="3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191)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273</v>
      </c>
    </row>
    <row r="8" spans="1:10" s="2" customFormat="1" ht="9.6" customHeight="1" x14ac:dyDescent="0.25">
      <c r="A8" s="212"/>
      <c r="B8" s="212"/>
      <c r="C8" s="212"/>
      <c r="D8" s="212"/>
      <c r="E8" s="212"/>
      <c r="F8" s="212"/>
      <c r="G8" s="212"/>
      <c r="H8" s="212"/>
      <c r="I8" s="212"/>
      <c r="J8" s="109"/>
    </row>
    <row r="9" spans="1:10" s="2" customFormat="1" ht="26.1" customHeight="1" x14ac:dyDescent="0.3">
      <c r="A9" s="1550" t="s">
        <v>427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'271-котлеты дом '!H14+1</f>
        <v>191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33.75" customHeight="1" x14ac:dyDescent="0.25">
      <c r="A17" s="1543"/>
      <c r="B17" s="1543"/>
      <c r="C17" s="209" t="s">
        <v>92</v>
      </c>
      <c r="D17" s="209" t="s">
        <v>94</v>
      </c>
      <c r="E17" s="209" t="s">
        <v>93</v>
      </c>
      <c r="F17" s="209" t="s">
        <v>23</v>
      </c>
      <c r="G17" s="209" t="s">
        <v>92</v>
      </c>
      <c r="H17" s="209" t="s">
        <v>94</v>
      </c>
      <c r="I17" s="209" t="s">
        <v>92</v>
      </c>
      <c r="J17" s="209" t="s">
        <v>94</v>
      </c>
    </row>
    <row r="18" spans="1:10" ht="9.6" customHeight="1" x14ac:dyDescent="0.25">
      <c r="A18" s="209">
        <v>1</v>
      </c>
      <c r="B18" s="211">
        <v>2</v>
      </c>
      <c r="C18" s="209">
        <v>3</v>
      </c>
      <c r="D18" s="211">
        <v>4</v>
      </c>
      <c r="E18" s="209">
        <v>5</v>
      </c>
      <c r="F18" s="211">
        <v>6</v>
      </c>
      <c r="G18" s="209">
        <v>7</v>
      </c>
      <c r="H18" s="211">
        <v>8</v>
      </c>
      <c r="I18" s="209">
        <v>9</v>
      </c>
      <c r="J18" s="211">
        <v>10</v>
      </c>
    </row>
    <row r="19" spans="1:10" s="10" customFormat="1" ht="14.1" customHeight="1" x14ac:dyDescent="0.25">
      <c r="A19" s="180">
        <v>1</v>
      </c>
      <c r="B19" s="20" t="s">
        <v>54</v>
      </c>
      <c r="C19" s="111">
        <v>0.05</v>
      </c>
      <c r="D19" s="111">
        <v>3.6999999999999998E-2</v>
      </c>
      <c r="E19" s="13">
        <f>цены!F7</f>
        <v>560</v>
      </c>
      <c r="F19" s="13">
        <f>C19*E19</f>
        <v>28</v>
      </c>
      <c r="G19" s="97">
        <f t="shared" ref="G19:H32" si="0">C19*10</f>
        <v>0.5</v>
      </c>
      <c r="H19" s="21">
        <f t="shared" si="0"/>
        <v>0.37</v>
      </c>
      <c r="I19" s="21">
        <f t="shared" ref="I19:J32" si="1">C19*100</f>
        <v>5</v>
      </c>
      <c r="J19" s="21">
        <f t="shared" si="1"/>
        <v>3.7</v>
      </c>
    </row>
    <row r="20" spans="1:10" s="10" customFormat="1" ht="12" customHeight="1" x14ac:dyDescent="0.25">
      <c r="A20" s="180">
        <v>2</v>
      </c>
      <c r="B20" s="20" t="s">
        <v>96</v>
      </c>
      <c r="C20" s="111">
        <v>8.9999999999999993E-3</v>
      </c>
      <c r="D20" s="111">
        <v>8.9999999999999993E-3</v>
      </c>
      <c r="E20" s="13">
        <f>цены!F157</f>
        <v>65</v>
      </c>
      <c r="F20" s="13">
        <f t="shared" ref="F20:F29" si="2">C20*E20</f>
        <v>0.59</v>
      </c>
      <c r="G20" s="97">
        <f t="shared" si="0"/>
        <v>0.09</v>
      </c>
      <c r="H20" s="21">
        <f t="shared" si="0"/>
        <v>0.09</v>
      </c>
      <c r="I20" s="21">
        <f t="shared" si="1"/>
        <v>0.9</v>
      </c>
      <c r="J20" s="21">
        <f t="shared" si="1"/>
        <v>0.9</v>
      </c>
    </row>
    <row r="21" spans="1:10" s="10" customFormat="1" ht="12" customHeight="1" x14ac:dyDescent="0.25">
      <c r="A21" s="180">
        <v>3</v>
      </c>
      <c r="B21" s="20" t="s">
        <v>34</v>
      </c>
      <c r="C21" s="111">
        <v>6.0000000000000001E-3</v>
      </c>
      <c r="D21" s="111">
        <v>6.0000000000000001E-3</v>
      </c>
      <c r="E21" s="13">
        <f>цены!F20</f>
        <v>80</v>
      </c>
      <c r="F21" s="13">
        <f t="shared" si="2"/>
        <v>0.48</v>
      </c>
      <c r="G21" s="97">
        <f t="shared" si="0"/>
        <v>0.06</v>
      </c>
      <c r="H21" s="21">
        <f t="shared" si="0"/>
        <v>0.06</v>
      </c>
      <c r="I21" s="21">
        <f t="shared" si="1"/>
        <v>0.6</v>
      </c>
      <c r="J21" s="21">
        <f t="shared" si="1"/>
        <v>0.6</v>
      </c>
    </row>
    <row r="22" spans="1:10" s="10" customFormat="1" ht="12" customHeight="1" x14ac:dyDescent="0.25">
      <c r="A22" s="180">
        <v>4</v>
      </c>
      <c r="B22" s="20" t="s">
        <v>33</v>
      </c>
      <c r="C22" s="111">
        <v>3.0000000000000001E-3</v>
      </c>
      <c r="D22" s="111">
        <v>3.0000000000000001E-3</v>
      </c>
      <c r="E22" s="13">
        <f>цены!F110</f>
        <v>24</v>
      </c>
      <c r="F22" s="13">
        <f t="shared" si="2"/>
        <v>7.0000000000000007E-2</v>
      </c>
      <c r="G22" s="97">
        <f t="shared" si="0"/>
        <v>0.03</v>
      </c>
      <c r="H22" s="21">
        <f t="shared" si="0"/>
        <v>0.03</v>
      </c>
      <c r="I22" s="21">
        <f t="shared" si="1"/>
        <v>0.3</v>
      </c>
      <c r="J22" s="21">
        <f t="shared" si="1"/>
        <v>0.3</v>
      </c>
    </row>
    <row r="23" spans="1:10" s="10" customFormat="1" ht="12" customHeight="1" x14ac:dyDescent="0.25">
      <c r="A23" s="180">
        <v>5</v>
      </c>
      <c r="B23" s="20" t="s">
        <v>28</v>
      </c>
      <c r="C23" s="111">
        <v>6.0000000000000001E-3</v>
      </c>
      <c r="D23" s="111">
        <v>6.0000000000000001E-3</v>
      </c>
      <c r="E23" s="408"/>
      <c r="F23" s="408">
        <f t="shared" si="2"/>
        <v>0</v>
      </c>
      <c r="G23" s="97">
        <f t="shared" si="0"/>
        <v>0.06</v>
      </c>
      <c r="H23" s="21">
        <f t="shared" si="0"/>
        <v>0.06</v>
      </c>
      <c r="I23" s="21">
        <f t="shared" si="1"/>
        <v>0.6</v>
      </c>
      <c r="J23" s="21">
        <f t="shared" si="1"/>
        <v>0.6</v>
      </c>
    </row>
    <row r="24" spans="1:10" s="10" customFormat="1" ht="12" customHeight="1" x14ac:dyDescent="0.25">
      <c r="A24" s="184"/>
      <c r="B24" s="93" t="s">
        <v>418</v>
      </c>
      <c r="C24" s="112"/>
      <c r="D24" s="1028">
        <v>57</v>
      </c>
      <c r="E24" s="95"/>
      <c r="F24" s="95"/>
      <c r="G24" s="95"/>
      <c r="H24" s="95"/>
      <c r="I24" s="95"/>
      <c r="J24" s="95"/>
    </row>
    <row r="25" spans="1:10" s="10" customFormat="1" ht="12" customHeight="1" x14ac:dyDescent="0.25">
      <c r="A25" s="180">
        <v>6</v>
      </c>
      <c r="B25" s="20" t="s">
        <v>421</v>
      </c>
      <c r="C25" s="111"/>
      <c r="D25" s="111">
        <v>2.5999999999999999E-2</v>
      </c>
      <c r="E25" s="13">
        <f>'329 соус молочный густой'!F30</f>
        <v>157.19</v>
      </c>
      <c r="F25" s="111">
        <f>D25*E25</f>
        <v>4.0869</v>
      </c>
      <c r="G25" s="97">
        <f t="shared" si="0"/>
        <v>0</v>
      </c>
      <c r="H25" s="21">
        <f t="shared" si="0"/>
        <v>0.26</v>
      </c>
      <c r="I25" s="21">
        <f t="shared" si="1"/>
        <v>0</v>
      </c>
      <c r="J25" s="21">
        <f t="shared" si="1"/>
        <v>2.6</v>
      </c>
    </row>
    <row r="26" spans="1:10" s="10" customFormat="1" ht="12" customHeight="1" x14ac:dyDescent="0.25">
      <c r="A26" s="180">
        <v>7</v>
      </c>
      <c r="B26" s="20" t="s">
        <v>31</v>
      </c>
      <c r="C26" s="111">
        <v>5.0000000000000001E-3</v>
      </c>
      <c r="D26" s="111">
        <v>5.0000000000000001E-3</v>
      </c>
      <c r="E26" s="13">
        <f>цены!F21</f>
        <v>710</v>
      </c>
      <c r="F26" s="13">
        <f>C26*E26</f>
        <v>3.55</v>
      </c>
      <c r="G26" s="97">
        <f t="shared" si="0"/>
        <v>0.05</v>
      </c>
      <c r="H26" s="21">
        <f t="shared" si="0"/>
        <v>0.05</v>
      </c>
      <c r="I26" s="21">
        <f t="shared" si="1"/>
        <v>0.5</v>
      </c>
      <c r="J26" s="21">
        <f t="shared" si="1"/>
        <v>0.5</v>
      </c>
    </row>
    <row r="27" spans="1:10" s="10" customFormat="1" ht="12" customHeight="1" x14ac:dyDescent="0.25">
      <c r="A27" s="180">
        <v>8</v>
      </c>
      <c r="B27" s="20" t="s">
        <v>323</v>
      </c>
      <c r="C27" s="111">
        <v>3.3E-3</v>
      </c>
      <c r="D27" s="111">
        <v>3.0000000000000001E-3</v>
      </c>
      <c r="E27" s="13">
        <f>цены!F22</f>
        <v>719</v>
      </c>
      <c r="F27" s="13">
        <f t="shared" si="2"/>
        <v>2.37</v>
      </c>
      <c r="G27" s="97">
        <f t="shared" si="0"/>
        <v>3.3000000000000002E-2</v>
      </c>
      <c r="H27" s="21">
        <f t="shared" si="0"/>
        <v>0.03</v>
      </c>
      <c r="I27" s="21">
        <f t="shared" si="1"/>
        <v>0.33</v>
      </c>
      <c r="J27" s="21">
        <f t="shared" si="1"/>
        <v>0.3</v>
      </c>
    </row>
    <row r="28" spans="1:10" s="10" customFormat="1" ht="12" customHeight="1" x14ac:dyDescent="0.25">
      <c r="A28" s="180">
        <v>9</v>
      </c>
      <c r="B28" s="20" t="s">
        <v>903</v>
      </c>
      <c r="C28" s="111">
        <v>2E-3</v>
      </c>
      <c r="D28" s="111">
        <v>2E-3</v>
      </c>
      <c r="E28" s="13">
        <f>цены!F48</f>
        <v>300</v>
      </c>
      <c r="F28" s="13">
        <f t="shared" si="2"/>
        <v>0.6</v>
      </c>
      <c r="G28" s="97">
        <f t="shared" ref="G28:G29" si="3">C28*10</f>
        <v>0.02</v>
      </c>
      <c r="H28" s="21">
        <f t="shared" ref="H28:H29" si="4">D28*10</f>
        <v>0.02</v>
      </c>
      <c r="I28" s="21">
        <f t="shared" ref="I28:I29" si="5">C28*100</f>
        <v>0.2</v>
      </c>
      <c r="J28" s="21">
        <f t="shared" ref="J28:J29" si="6">D28*100</f>
        <v>0.2</v>
      </c>
    </row>
    <row r="29" spans="1:10" s="10" customFormat="1" ht="12" customHeight="1" x14ac:dyDescent="0.25">
      <c r="A29" s="180">
        <v>10</v>
      </c>
      <c r="B29" s="20" t="s">
        <v>84</v>
      </c>
      <c r="C29" s="113">
        <v>2.0000000000000002E-5</v>
      </c>
      <c r="D29" s="113">
        <v>2.0000000000000002E-5</v>
      </c>
      <c r="E29" s="13">
        <f>цены!F100</f>
        <v>1000</v>
      </c>
      <c r="F29" s="13">
        <f t="shared" si="2"/>
        <v>0.02</v>
      </c>
      <c r="G29" s="97">
        <f t="shared" si="3"/>
        <v>0</v>
      </c>
      <c r="H29" s="21">
        <f t="shared" si="4"/>
        <v>0</v>
      </c>
      <c r="I29" s="21">
        <f t="shared" si="5"/>
        <v>2E-3</v>
      </c>
      <c r="J29" s="21">
        <f t="shared" si="6"/>
        <v>2E-3</v>
      </c>
    </row>
    <row r="30" spans="1:10" s="10" customFormat="1" ht="12" customHeight="1" x14ac:dyDescent="0.25">
      <c r="A30" s="184"/>
      <c r="B30" s="93" t="s">
        <v>97</v>
      </c>
      <c r="C30" s="112"/>
      <c r="D30" s="1028">
        <v>90</v>
      </c>
      <c r="E30" s="95"/>
      <c r="F30" s="192"/>
      <c r="G30" s="99"/>
      <c r="H30" s="95">
        <f t="shared" si="0"/>
        <v>900</v>
      </c>
      <c r="I30" s="100"/>
      <c r="J30" s="95">
        <f t="shared" si="1"/>
        <v>9000</v>
      </c>
    </row>
    <row r="31" spans="1:10" s="10" customFormat="1" ht="12" customHeight="1" x14ac:dyDescent="0.25">
      <c r="A31" s="184"/>
      <c r="B31" s="93" t="s">
        <v>419</v>
      </c>
      <c r="C31" s="112"/>
      <c r="D31" s="1028">
        <v>70</v>
      </c>
      <c r="E31" s="95"/>
      <c r="F31" s="95"/>
      <c r="G31" s="99"/>
      <c r="H31" s="95">
        <f t="shared" si="0"/>
        <v>700</v>
      </c>
      <c r="I31" s="100"/>
      <c r="J31" s="95">
        <f t="shared" si="1"/>
        <v>7000</v>
      </c>
    </row>
    <row r="32" spans="1:10" s="10" customFormat="1" ht="12" customHeight="1" x14ac:dyDescent="0.25">
      <c r="A32" s="180">
        <v>11</v>
      </c>
      <c r="B32" s="20" t="s">
        <v>420</v>
      </c>
      <c r="C32" s="111">
        <v>0.03</v>
      </c>
      <c r="D32" s="21">
        <v>0.03</v>
      </c>
      <c r="E32" s="13">
        <f>'333-соус с томатом и лук'!F28</f>
        <v>104.37</v>
      </c>
      <c r="F32" s="13">
        <f>'333-соус с томатом и лук'!F28/1000*30</f>
        <v>3.13</v>
      </c>
      <c r="G32" s="97">
        <f t="shared" ref="G32" si="7">C32*10</f>
        <v>0.3</v>
      </c>
      <c r="H32" s="21">
        <f t="shared" si="0"/>
        <v>0.3</v>
      </c>
      <c r="I32" s="21">
        <f t="shared" ref="I32" si="8">C32*100</f>
        <v>3</v>
      </c>
      <c r="J32" s="21">
        <f t="shared" si="1"/>
        <v>3</v>
      </c>
    </row>
    <row r="33" spans="1:10" s="10" customFormat="1" ht="12" customHeight="1" x14ac:dyDescent="0.25">
      <c r="A33" s="98"/>
      <c r="B33" s="93" t="s">
        <v>100</v>
      </c>
      <c r="C33" s="112"/>
      <c r="D33" s="1028">
        <v>100</v>
      </c>
      <c r="E33" s="95"/>
      <c r="F33" s="95">
        <f>SUM(F19:F32)</f>
        <v>42.9</v>
      </c>
      <c r="G33" s="99"/>
      <c r="H33" s="95">
        <f>D33*10</f>
        <v>1000</v>
      </c>
      <c r="I33" s="100"/>
      <c r="J33" s="95">
        <f>D33*100</f>
        <v>10000</v>
      </c>
    </row>
    <row r="34" spans="1:10" s="10" customFormat="1" ht="14.4" customHeight="1" x14ac:dyDescent="0.25">
      <c r="A34" s="203"/>
      <c r="B34" s="204" t="s">
        <v>428</v>
      </c>
      <c r="C34" s="205"/>
      <c r="D34" s="205"/>
      <c r="E34" s="206"/>
      <c r="F34" s="206"/>
      <c r="G34" s="207"/>
      <c r="H34" s="208"/>
      <c r="I34" s="208"/>
      <c r="J34" s="208"/>
    </row>
    <row r="35" spans="1:10" s="10" customFormat="1" ht="27.6" customHeight="1" x14ac:dyDescent="0.25">
      <c r="A35" s="1536" t="s">
        <v>35</v>
      </c>
      <c r="B35" s="1536"/>
      <c r="C35" s="90"/>
      <c r="D35" s="90"/>
      <c r="E35" s="13"/>
      <c r="F35" s="13">
        <f>F33</f>
        <v>42.9</v>
      </c>
      <c r="G35" s="210"/>
      <c r="H35" s="210"/>
      <c r="I35" s="21"/>
      <c r="J35" s="13"/>
    </row>
    <row r="36" spans="1:10" s="10" customFormat="1" ht="25.35" customHeight="1" x14ac:dyDescent="0.25">
      <c r="A36" s="1536" t="s">
        <v>36</v>
      </c>
      <c r="B36" s="1536"/>
      <c r="C36" s="90">
        <v>100</v>
      </c>
      <c r="D36" s="90"/>
      <c r="E36" s="13"/>
      <c r="F36" s="13"/>
      <c r="G36" s="13"/>
      <c r="H36" s="13"/>
      <c r="I36" s="21"/>
      <c r="J36" s="17"/>
    </row>
    <row r="37" spans="1:10" s="10" customFormat="1" ht="25.35" customHeight="1" x14ac:dyDescent="0.25">
      <c r="A37" s="1537" t="s">
        <v>37</v>
      </c>
      <c r="B37" s="1538"/>
      <c r="C37" s="91">
        <v>100</v>
      </c>
      <c r="D37" s="92"/>
      <c r="E37" s="211"/>
      <c r="F37" s="211"/>
      <c r="G37" s="211"/>
      <c r="H37" s="211"/>
      <c r="I37" s="21"/>
      <c r="J37" s="17"/>
    </row>
    <row r="38" spans="1:10" s="10" customFormat="1" ht="15" customHeight="1" x14ac:dyDescent="0.25">
      <c r="A38" s="1539" t="s">
        <v>38</v>
      </c>
      <c r="B38" s="1540"/>
      <c r="C38" s="92">
        <f>C36/C37</f>
        <v>1</v>
      </c>
      <c r="D38" s="92"/>
      <c r="E38" s="211"/>
      <c r="F38" s="211"/>
      <c r="G38" s="211"/>
      <c r="H38" s="211"/>
      <c r="I38" s="21"/>
      <c r="J38" s="17"/>
    </row>
    <row r="39" spans="1:10" ht="16.350000000000001" customHeight="1" x14ac:dyDescent="0.25">
      <c r="A39" s="1541" t="s">
        <v>39</v>
      </c>
      <c r="B39" s="1542"/>
      <c r="C39" s="15" t="s">
        <v>40</v>
      </c>
      <c r="D39" s="102"/>
      <c r="E39" s="102" t="s">
        <v>40</v>
      </c>
      <c r="F39" s="16">
        <f>F35/C38</f>
        <v>42.9</v>
      </c>
      <c r="G39" s="16"/>
      <c r="H39" s="16"/>
      <c r="I39" s="102" t="s">
        <v>40</v>
      </c>
      <c r="J39" s="102" t="s">
        <v>40</v>
      </c>
    </row>
    <row r="40" spans="1:10" ht="23.1" customHeight="1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ht="13.95" customHeight="1" x14ac:dyDescent="0.25">
      <c r="A41" s="1193"/>
      <c r="B41" s="1194" t="s">
        <v>49</v>
      </c>
      <c r="C41" s="1198"/>
      <c r="D41" s="1198"/>
      <c r="E41" s="1198"/>
      <c r="F41" s="1198"/>
      <c r="G41" s="1193"/>
      <c r="H41" s="1557">
        <f>'1-бутерброд с маслом'!$H$28</f>
        <v>0</v>
      </c>
      <c r="I41" s="1557"/>
      <c r="J41" s="1557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ht="13.95" customHeight="1" x14ac:dyDescent="0.25">
      <c r="A43" s="1545" t="s">
        <v>327</v>
      </c>
      <c r="B43" s="1545"/>
      <c r="C43" s="1546" t="s">
        <v>328</v>
      </c>
      <c r="D43" s="1546"/>
      <c r="E43" s="1546"/>
      <c r="F43" s="1546"/>
      <c r="G43" s="106"/>
      <c r="H43" s="1531"/>
      <c r="I43" s="1531"/>
      <c r="J43" s="1531"/>
    </row>
    <row r="44" spans="1:10" x14ac:dyDescent="0.25">
      <c r="A44" s="1193"/>
      <c r="B44" s="1193"/>
      <c r="C44" s="1546"/>
      <c r="D44" s="1546"/>
      <c r="E44" s="1546"/>
      <c r="F44" s="1546"/>
      <c r="G44" s="1193"/>
      <c r="H44" s="1531" t="s">
        <v>329</v>
      </c>
      <c r="I44" s="1531"/>
      <c r="J44" s="1531"/>
    </row>
    <row r="45" spans="1:10" x14ac:dyDescent="0.25">
      <c r="A45" s="1193"/>
      <c r="B45" s="1193"/>
      <c r="C45" s="1193"/>
      <c r="D45" s="1193"/>
      <c r="E45" s="1193"/>
      <c r="F45" s="1193"/>
      <c r="G45" s="1193"/>
      <c r="H45" s="1193"/>
      <c r="I45" s="1193"/>
      <c r="J45" s="1193"/>
    </row>
    <row r="46" spans="1:10" x14ac:dyDescent="0.25">
      <c r="A46" s="1193"/>
      <c r="B46" s="1193"/>
      <c r="C46" s="1193"/>
      <c r="D46" s="1193"/>
      <c r="E46" s="1193"/>
      <c r="F46" s="1193"/>
      <c r="G46" s="1193"/>
      <c r="H46" s="1193"/>
      <c r="I46" s="1193"/>
      <c r="J46" s="1193"/>
    </row>
    <row r="47" spans="1:10" x14ac:dyDescent="0.25">
      <c r="A47" s="1193"/>
      <c r="B47" s="1193"/>
      <c r="C47" s="1193"/>
      <c r="D47" s="1193"/>
      <c r="E47" s="1193"/>
      <c r="F47" s="1193"/>
      <c r="G47" s="1193"/>
      <c r="H47" s="1193"/>
      <c r="I47" s="1193"/>
      <c r="J47" s="1193"/>
    </row>
    <row r="48" spans="1:10" x14ac:dyDescent="0.25">
      <c r="A48" s="1193"/>
      <c r="B48" s="1193"/>
      <c r="C48" s="1193"/>
      <c r="D48" s="1193"/>
      <c r="E48" s="1193"/>
      <c r="F48" s="1193"/>
      <c r="G48" s="1193"/>
      <c r="H48" s="1193"/>
      <c r="I48" s="1193"/>
      <c r="J48" s="1193"/>
    </row>
  </sheetData>
  <mergeCells count="28">
    <mergeCell ref="H41:J41"/>
    <mergeCell ref="A13:G13"/>
    <mergeCell ref="A36:B36"/>
    <mergeCell ref="A37:B37"/>
    <mergeCell ref="A38:B38"/>
    <mergeCell ref="A39:B39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3:B43"/>
    <mergeCell ref="C43:F44"/>
    <mergeCell ref="H43:J43"/>
    <mergeCell ref="H44:J44"/>
    <mergeCell ref="H5:I5"/>
    <mergeCell ref="A6:G6"/>
    <mergeCell ref="A7:I7"/>
    <mergeCell ref="A35:B35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O46"/>
  <sheetViews>
    <sheetView view="pageBreakPreview" topLeftCell="A16" zoomScaleNormal="100" zoomScaleSheetLayoutView="100" workbookViewId="0">
      <selection activeCell="F34" sqref="F34"/>
    </sheetView>
  </sheetViews>
  <sheetFormatPr defaultRowHeight="13.8" x14ac:dyDescent="0.25"/>
  <cols>
    <col min="1" max="1" width="4.109375" customWidth="1"/>
    <col min="2" max="2" width="22.88671875" customWidth="1"/>
    <col min="3" max="3" width="7.44140625" customWidth="1"/>
    <col min="4" max="5" width="7.5546875" customWidth="1"/>
    <col min="6" max="6" width="7.88671875" customWidth="1"/>
    <col min="7" max="7" width="7.5546875" customWidth="1"/>
    <col min="8" max="8" width="7.44140625" customWidth="1"/>
    <col min="9" max="9" width="7.5546875" customWidth="1"/>
    <col min="10" max="10" width="9" customWidth="1"/>
    <col min="11" max="11" width="3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192)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278</v>
      </c>
    </row>
    <row r="8" spans="1:10" s="2" customFormat="1" ht="9.6" customHeight="1" x14ac:dyDescent="0.25">
      <c r="A8" s="303"/>
      <c r="B8" s="303"/>
      <c r="C8" s="303"/>
      <c r="D8" s="303"/>
      <c r="E8" s="303"/>
      <c r="F8" s="303"/>
      <c r="G8" s="303"/>
      <c r="H8" s="303"/>
      <c r="I8" s="303"/>
      <c r="J8" s="109"/>
    </row>
    <row r="9" spans="1:10" s="2" customFormat="1" ht="26.1" customHeight="1" x14ac:dyDescent="0.3">
      <c r="A9" s="1550" t="s">
        <v>1277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'273-котлеты с соусом'!H14+1</f>
        <v>192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0.399999999999999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5" ht="33.75" customHeight="1" x14ac:dyDescent="0.25">
      <c r="A17" s="1543"/>
      <c r="B17" s="1543"/>
      <c r="C17" s="304" t="s">
        <v>92</v>
      </c>
      <c r="D17" s="304" t="s">
        <v>94</v>
      </c>
      <c r="E17" s="304" t="s">
        <v>93</v>
      </c>
      <c r="F17" s="304" t="s">
        <v>23</v>
      </c>
      <c r="G17" s="304" t="s">
        <v>92</v>
      </c>
      <c r="H17" s="304" t="s">
        <v>94</v>
      </c>
      <c r="I17" s="304" t="s">
        <v>92</v>
      </c>
      <c r="J17" s="304" t="s">
        <v>94</v>
      </c>
    </row>
    <row r="18" spans="1:15" ht="9.6" customHeight="1" x14ac:dyDescent="0.25">
      <c r="A18" s="304">
        <v>1</v>
      </c>
      <c r="B18" s="305">
        <v>2</v>
      </c>
      <c r="C18" s="304">
        <v>3</v>
      </c>
      <c r="D18" s="305">
        <v>4</v>
      </c>
      <c r="E18" s="304">
        <v>5</v>
      </c>
      <c r="F18" s="305">
        <v>6</v>
      </c>
      <c r="G18" s="304">
        <v>7</v>
      </c>
      <c r="H18" s="305">
        <v>8</v>
      </c>
      <c r="I18" s="304">
        <v>9</v>
      </c>
      <c r="J18" s="305">
        <v>10</v>
      </c>
    </row>
    <row r="19" spans="1:15" s="10" customFormat="1" ht="14.1" customHeight="1" x14ac:dyDescent="0.25">
      <c r="A19" s="180">
        <v>1</v>
      </c>
      <c r="B19" s="20" t="s">
        <v>54</v>
      </c>
      <c r="C19" s="21">
        <v>5.1999999999999998E-2</v>
      </c>
      <c r="D19" s="21">
        <v>3.7999999999999999E-2</v>
      </c>
      <c r="E19" s="13">
        <f>цены!F7</f>
        <v>560</v>
      </c>
      <c r="F19" s="13">
        <f>C19*E19</f>
        <v>29.12</v>
      </c>
      <c r="G19" s="97">
        <f t="shared" ref="G19:H25" si="0">C19*10</f>
        <v>0.52</v>
      </c>
      <c r="H19" s="21">
        <f t="shared" si="0"/>
        <v>0.38</v>
      </c>
      <c r="I19" s="21">
        <f t="shared" ref="I19:J25" si="1">C19*100</f>
        <v>5.2</v>
      </c>
      <c r="J19" s="21">
        <f t="shared" si="1"/>
        <v>3.8</v>
      </c>
    </row>
    <row r="20" spans="1:15" s="10" customFormat="1" ht="12" customHeight="1" x14ac:dyDescent="0.25">
      <c r="A20" s="180">
        <v>2</v>
      </c>
      <c r="B20" s="20" t="s">
        <v>96</v>
      </c>
      <c r="C20" s="21">
        <v>8.0000000000000002E-3</v>
      </c>
      <c r="D20" s="21">
        <v>8.0000000000000002E-3</v>
      </c>
      <c r="E20" s="13">
        <f>цены!F157</f>
        <v>65</v>
      </c>
      <c r="F20" s="13">
        <f t="shared" ref="F20:F33" si="2">C20*E20</f>
        <v>0.52</v>
      </c>
      <c r="G20" s="97">
        <f t="shared" si="0"/>
        <v>0.08</v>
      </c>
      <c r="H20" s="21">
        <f t="shared" si="0"/>
        <v>0.08</v>
      </c>
      <c r="I20" s="21">
        <f t="shared" si="1"/>
        <v>0.8</v>
      </c>
      <c r="J20" s="21">
        <f t="shared" si="1"/>
        <v>0.8</v>
      </c>
    </row>
    <row r="21" spans="1:15" s="10" customFormat="1" ht="12" customHeight="1" x14ac:dyDescent="0.25">
      <c r="A21" s="180">
        <v>3</v>
      </c>
      <c r="B21" s="20" t="s">
        <v>34</v>
      </c>
      <c r="C21" s="21">
        <v>6.0000000000000001E-3</v>
      </c>
      <c r="D21" s="21">
        <v>6.0000000000000001E-3</v>
      </c>
      <c r="E21" s="13">
        <f>цены!F20</f>
        <v>80</v>
      </c>
      <c r="F21" s="13">
        <f t="shared" si="2"/>
        <v>0.48</v>
      </c>
      <c r="G21" s="97">
        <f t="shared" si="0"/>
        <v>0.06</v>
      </c>
      <c r="H21" s="21">
        <f t="shared" si="0"/>
        <v>0.06</v>
      </c>
      <c r="I21" s="21">
        <f t="shared" si="1"/>
        <v>0.6</v>
      </c>
      <c r="J21" s="21">
        <f t="shared" si="1"/>
        <v>0.6</v>
      </c>
    </row>
    <row r="22" spans="1:15" s="10" customFormat="1" ht="12" customHeight="1" x14ac:dyDescent="0.25">
      <c r="A22" s="180">
        <v>4</v>
      </c>
      <c r="B22" s="20" t="s">
        <v>48</v>
      </c>
      <c r="C22" s="21">
        <v>2.4E-2</v>
      </c>
      <c r="D22" s="21">
        <v>0.02</v>
      </c>
      <c r="E22" s="13">
        <f>цены!F38</f>
        <v>50</v>
      </c>
      <c r="F22" s="13">
        <f t="shared" si="2"/>
        <v>1.2</v>
      </c>
      <c r="G22" s="97">
        <f t="shared" si="0"/>
        <v>0.24</v>
      </c>
      <c r="H22" s="21">
        <f t="shared" si="0"/>
        <v>0.2</v>
      </c>
      <c r="I22" s="21">
        <f t="shared" si="1"/>
        <v>2.4</v>
      </c>
      <c r="J22" s="21">
        <f t="shared" si="1"/>
        <v>2</v>
      </c>
    </row>
    <row r="23" spans="1:15" s="10" customFormat="1" ht="12" customHeight="1" x14ac:dyDescent="0.25">
      <c r="A23" s="180">
        <v>5</v>
      </c>
      <c r="B23" s="20" t="s">
        <v>33</v>
      </c>
      <c r="C23" s="21">
        <v>3.0000000000000001E-3</v>
      </c>
      <c r="D23" s="21">
        <v>3.0000000000000001E-3</v>
      </c>
      <c r="E23" s="13">
        <f>цены!F110</f>
        <v>24</v>
      </c>
      <c r="F23" s="13">
        <f t="shared" si="2"/>
        <v>7.0000000000000007E-2</v>
      </c>
      <c r="G23" s="97">
        <f t="shared" si="0"/>
        <v>0.03</v>
      </c>
      <c r="H23" s="21">
        <f t="shared" si="0"/>
        <v>0.03</v>
      </c>
      <c r="I23" s="21">
        <f t="shared" si="1"/>
        <v>0.3</v>
      </c>
      <c r="J23" s="21">
        <f t="shared" si="1"/>
        <v>0.3</v>
      </c>
      <c r="O23" s="10">
        <v>1</v>
      </c>
    </row>
    <row r="24" spans="1:15" s="10" customFormat="1" ht="12" customHeight="1" x14ac:dyDescent="0.25">
      <c r="A24" s="180">
        <v>6</v>
      </c>
      <c r="B24" s="20" t="s">
        <v>74</v>
      </c>
      <c r="C24" s="21">
        <v>3.0000000000000001E-3</v>
      </c>
      <c r="D24" s="21">
        <v>3.0000000000000001E-3</v>
      </c>
      <c r="E24" s="13">
        <f>цены!F87</f>
        <v>120</v>
      </c>
      <c r="F24" s="13">
        <f t="shared" si="2"/>
        <v>0.36</v>
      </c>
      <c r="G24" s="97">
        <f t="shared" si="0"/>
        <v>0.03</v>
      </c>
      <c r="H24" s="21">
        <f t="shared" si="0"/>
        <v>0.03</v>
      </c>
      <c r="I24" s="21">
        <f t="shared" si="1"/>
        <v>0.3</v>
      </c>
      <c r="J24" s="21">
        <f t="shared" si="1"/>
        <v>0.3</v>
      </c>
    </row>
    <row r="25" spans="1:15" s="10" customFormat="1" ht="12" customHeight="1" x14ac:dyDescent="0.25">
      <c r="A25" s="180">
        <v>7</v>
      </c>
      <c r="B25" s="20" t="s">
        <v>28</v>
      </c>
      <c r="C25" s="21">
        <v>6.0000000000000001E-3</v>
      </c>
      <c r="D25" s="21">
        <v>6.0000000000000001E-3</v>
      </c>
      <c r="E25" s="408"/>
      <c r="F25" s="408">
        <f t="shared" si="2"/>
        <v>0</v>
      </c>
      <c r="G25" s="97">
        <f t="shared" si="0"/>
        <v>0.06</v>
      </c>
      <c r="H25" s="21">
        <f t="shared" si="0"/>
        <v>0.06</v>
      </c>
      <c r="I25" s="21">
        <f t="shared" si="1"/>
        <v>0.6</v>
      </c>
      <c r="J25" s="21">
        <f t="shared" si="1"/>
        <v>0.6</v>
      </c>
    </row>
    <row r="26" spans="1:15" s="10" customFormat="1" ht="12" customHeight="1" x14ac:dyDescent="0.25">
      <c r="A26" s="184"/>
      <c r="B26" s="93" t="s">
        <v>178</v>
      </c>
      <c r="C26" s="112"/>
      <c r="D26" s="112">
        <v>0.01</v>
      </c>
      <c r="E26" s="95"/>
      <c r="F26" s="95"/>
      <c r="G26" s="95"/>
      <c r="H26" s="95"/>
      <c r="I26" s="95"/>
      <c r="J26" s="95"/>
    </row>
    <row r="27" spans="1:15" s="10" customFormat="1" ht="12" customHeight="1" x14ac:dyDescent="0.25">
      <c r="A27" s="180">
        <v>8</v>
      </c>
      <c r="B27" s="20" t="s">
        <v>45</v>
      </c>
      <c r="C27" s="111">
        <v>4.0000000000000001E-3</v>
      </c>
      <c r="D27" s="111">
        <v>4.0000000000000001E-3</v>
      </c>
      <c r="E27" s="13">
        <f>цены!F74</f>
        <v>36</v>
      </c>
      <c r="F27" s="13">
        <f t="shared" si="2"/>
        <v>0.14000000000000001</v>
      </c>
      <c r="G27" s="97">
        <f>C27*10</f>
        <v>0.04</v>
      </c>
      <c r="H27" s="21">
        <f>D27*10</f>
        <v>0.04</v>
      </c>
      <c r="I27" s="21">
        <f>C27*100</f>
        <v>0.4</v>
      </c>
      <c r="J27" s="21">
        <f>D27*100</f>
        <v>0.4</v>
      </c>
    </row>
    <row r="28" spans="1:15" s="10" customFormat="1" ht="12" customHeight="1" x14ac:dyDescent="0.25">
      <c r="A28" s="190"/>
      <c r="B28" s="93" t="s">
        <v>97</v>
      </c>
      <c r="C28" s="191"/>
      <c r="D28" s="191">
        <v>7.0999999999999994E-2</v>
      </c>
      <c r="E28" s="192"/>
      <c r="F28" s="191"/>
      <c r="G28" s="231"/>
      <c r="H28" s="232"/>
      <c r="I28" s="232"/>
      <c r="J28" s="232"/>
    </row>
    <row r="29" spans="1:15" s="10" customFormat="1" ht="12" customHeight="1" x14ac:dyDescent="0.25">
      <c r="A29" s="180">
        <v>9</v>
      </c>
      <c r="B29" s="20" t="s">
        <v>74</v>
      </c>
      <c r="C29" s="111">
        <v>3.0000000000000001E-3</v>
      </c>
      <c r="D29" s="111">
        <v>3.0000000000000001E-3</v>
      </c>
      <c r="E29" s="13">
        <f>цены!F87</f>
        <v>120</v>
      </c>
      <c r="F29" s="13">
        <f t="shared" si="2"/>
        <v>0.36</v>
      </c>
      <c r="G29" s="97">
        <f t="shared" ref="G29:H31" si="3">C29*10</f>
        <v>0.03</v>
      </c>
      <c r="H29" s="21">
        <f t="shared" si="3"/>
        <v>0.03</v>
      </c>
      <c r="I29" s="21">
        <f t="shared" ref="I29:J31" si="4">C29*100</f>
        <v>0.3</v>
      </c>
      <c r="J29" s="21">
        <f t="shared" si="4"/>
        <v>0.3</v>
      </c>
    </row>
    <row r="30" spans="1:15" s="10" customFormat="1" ht="12" customHeight="1" x14ac:dyDescent="0.25">
      <c r="A30" s="180">
        <v>10</v>
      </c>
      <c r="B30" s="20" t="s">
        <v>78</v>
      </c>
      <c r="C30" s="111">
        <v>2E-3</v>
      </c>
      <c r="D30" s="111">
        <v>2E-3</v>
      </c>
      <c r="E30" s="13">
        <f>цены!F48</f>
        <v>300</v>
      </c>
      <c r="F30" s="13">
        <f t="shared" si="2"/>
        <v>0.6</v>
      </c>
      <c r="G30" s="97">
        <f t="shared" si="3"/>
        <v>0.02</v>
      </c>
      <c r="H30" s="21">
        <f t="shared" si="3"/>
        <v>0.02</v>
      </c>
      <c r="I30" s="21">
        <f t="shared" si="4"/>
        <v>0.2</v>
      </c>
      <c r="J30" s="21">
        <f t="shared" si="4"/>
        <v>0.2</v>
      </c>
    </row>
    <row r="31" spans="1:15" s="10" customFormat="1" ht="12" customHeight="1" x14ac:dyDescent="0.25">
      <c r="A31" s="180">
        <v>11</v>
      </c>
      <c r="B31" s="20" t="s">
        <v>84</v>
      </c>
      <c r="C31" s="125">
        <v>2.0000000000000002E-5</v>
      </c>
      <c r="D31" s="125">
        <v>2.0000000000000002E-5</v>
      </c>
      <c r="E31" s="13">
        <f>цены!F100</f>
        <v>1000</v>
      </c>
      <c r="F31" s="13">
        <f t="shared" si="2"/>
        <v>0.02</v>
      </c>
      <c r="G31" s="97">
        <f t="shared" si="3"/>
        <v>0</v>
      </c>
      <c r="H31" s="21">
        <f t="shared" si="3"/>
        <v>0</v>
      </c>
      <c r="I31" s="21">
        <f t="shared" si="4"/>
        <v>2E-3</v>
      </c>
      <c r="J31" s="21">
        <f t="shared" si="4"/>
        <v>2E-3</v>
      </c>
    </row>
    <row r="32" spans="1:15" s="10" customFormat="1" ht="12" customHeight="1" x14ac:dyDescent="0.25">
      <c r="A32" s="184"/>
      <c r="B32" s="93" t="s">
        <v>432</v>
      </c>
      <c r="C32" s="112"/>
      <c r="D32" s="100">
        <v>0.06</v>
      </c>
      <c r="E32" s="95"/>
      <c r="F32" s="192"/>
      <c r="G32" s="99"/>
      <c r="H32" s="95">
        <f>D32*10</f>
        <v>0.6</v>
      </c>
      <c r="I32" s="100"/>
      <c r="J32" s="95">
        <f>D32*100</f>
        <v>6</v>
      </c>
    </row>
    <row r="33" spans="1:10" s="10" customFormat="1" ht="12" customHeight="1" x14ac:dyDescent="0.25">
      <c r="A33" s="180">
        <v>12</v>
      </c>
      <c r="B33" s="20" t="s">
        <v>360</v>
      </c>
      <c r="C33" s="111">
        <v>0.05</v>
      </c>
      <c r="D33" s="21">
        <v>0.05</v>
      </c>
      <c r="E33" s="13">
        <f>'331-соус с томатом'!F30</f>
        <v>84.41</v>
      </c>
      <c r="F33" s="13">
        <f t="shared" si="2"/>
        <v>4.22</v>
      </c>
      <c r="G33" s="97">
        <f>C33*10</f>
        <v>0.5</v>
      </c>
      <c r="H33" s="21">
        <f>D33*10</f>
        <v>0.5</v>
      </c>
      <c r="I33" s="21">
        <f>C33*100</f>
        <v>5</v>
      </c>
      <c r="J33" s="21">
        <f>D33*100</f>
        <v>5</v>
      </c>
    </row>
    <row r="34" spans="1:10" s="10" customFormat="1" ht="12" customHeight="1" x14ac:dyDescent="0.25">
      <c r="A34" s="98"/>
      <c r="B34" s="93" t="s">
        <v>100</v>
      </c>
      <c r="C34" s="112"/>
      <c r="D34" s="100">
        <v>0.11</v>
      </c>
      <c r="E34" s="95"/>
      <c r="F34" s="95">
        <f>SUM(F19:F33)</f>
        <v>37.090000000000003</v>
      </c>
      <c r="G34" s="99"/>
      <c r="H34" s="95">
        <f>D34*10</f>
        <v>1.1000000000000001</v>
      </c>
      <c r="I34" s="100"/>
      <c r="J34" s="95">
        <f>D34*100</f>
        <v>11</v>
      </c>
    </row>
    <row r="35" spans="1:10" s="10" customFormat="1" ht="27.6" customHeight="1" x14ac:dyDescent="0.25">
      <c r="A35" s="203"/>
      <c r="B35" s="204" t="s">
        <v>568</v>
      </c>
      <c r="C35" s="205"/>
      <c r="D35" s="205"/>
      <c r="E35" s="206"/>
      <c r="F35" s="206"/>
      <c r="G35" s="207"/>
      <c r="H35" s="208"/>
      <c r="I35" s="208"/>
      <c r="J35" s="208"/>
    </row>
    <row r="36" spans="1:10" s="10" customFormat="1" ht="27.6" customHeight="1" x14ac:dyDescent="0.25">
      <c r="A36" s="1536" t="s">
        <v>35</v>
      </c>
      <c r="B36" s="1536"/>
      <c r="C36" s="90"/>
      <c r="D36" s="90"/>
      <c r="E36" s="13"/>
      <c r="F36" s="13">
        <f>F34</f>
        <v>37.090000000000003</v>
      </c>
      <c r="G36" s="306"/>
      <c r="H36" s="306"/>
      <c r="I36" s="21"/>
      <c r="J36" s="13"/>
    </row>
    <row r="37" spans="1:10" s="10" customFormat="1" ht="25.35" customHeight="1" x14ac:dyDescent="0.25">
      <c r="A37" s="1536" t="s">
        <v>36</v>
      </c>
      <c r="B37" s="1536"/>
      <c r="C37" s="90">
        <v>110</v>
      </c>
      <c r="D37" s="90"/>
      <c r="E37" s="13"/>
      <c r="F37" s="13"/>
      <c r="G37" s="13"/>
      <c r="H37" s="13"/>
      <c r="I37" s="21"/>
      <c r="J37" s="17"/>
    </row>
    <row r="38" spans="1:10" s="10" customFormat="1" ht="25.35" customHeight="1" x14ac:dyDescent="0.25">
      <c r="A38" s="1537" t="s">
        <v>37</v>
      </c>
      <c r="B38" s="1538"/>
      <c r="C38" s="91">
        <v>110</v>
      </c>
      <c r="D38" s="92"/>
      <c r="E38" s="305"/>
      <c r="F38" s="305"/>
      <c r="G38" s="305"/>
      <c r="H38" s="305"/>
      <c r="I38" s="21"/>
      <c r="J38" s="17"/>
    </row>
    <row r="39" spans="1:10" s="10" customFormat="1" ht="15" customHeight="1" x14ac:dyDescent="0.25">
      <c r="A39" s="1539" t="s">
        <v>38</v>
      </c>
      <c r="B39" s="1540"/>
      <c r="C39" s="92">
        <f>C37/C38</f>
        <v>1</v>
      </c>
      <c r="D39" s="92"/>
      <c r="E39" s="305"/>
      <c r="F39" s="305"/>
      <c r="G39" s="305"/>
      <c r="H39" s="305"/>
      <c r="I39" s="21"/>
      <c r="J39" s="17"/>
    </row>
    <row r="40" spans="1:10" ht="16.350000000000001" customHeight="1" x14ac:dyDescent="0.25">
      <c r="A40" s="1541" t="s">
        <v>39</v>
      </c>
      <c r="B40" s="1542"/>
      <c r="C40" s="15" t="s">
        <v>40</v>
      </c>
      <c r="D40" s="102"/>
      <c r="E40" s="102" t="s">
        <v>40</v>
      </c>
      <c r="F40" s="16">
        <f>F36/C39</f>
        <v>37.090000000000003</v>
      </c>
      <c r="G40" s="16"/>
      <c r="H40" s="16"/>
      <c r="I40" s="102" t="s">
        <v>40</v>
      </c>
      <c r="J40" s="102" t="s">
        <v>40</v>
      </c>
    </row>
    <row r="41" spans="1:10" ht="23.1" customHeight="1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ht="13.95" customHeight="1" x14ac:dyDescent="0.25">
      <c r="A42" s="1193"/>
      <c r="B42" s="1194" t="s">
        <v>49</v>
      </c>
      <c r="C42" s="1198"/>
      <c r="D42" s="1198"/>
      <c r="E42" s="1198"/>
      <c r="F42" s="1198"/>
      <c r="G42" s="1193"/>
      <c r="H42" s="1557">
        <f>'1-бутерброд с маслом'!$H$28</f>
        <v>0</v>
      </c>
      <c r="I42" s="1557"/>
      <c r="J42" s="1557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ht="13.95" customHeight="1" x14ac:dyDescent="0.25">
      <c r="A44" s="1545" t="s">
        <v>327</v>
      </c>
      <c r="B44" s="1545"/>
      <c r="C44" s="1546" t="s">
        <v>328</v>
      </c>
      <c r="D44" s="1546"/>
      <c r="E44" s="1546"/>
      <c r="F44" s="1546"/>
      <c r="G44" s="106"/>
      <c r="H44" s="1531"/>
      <c r="I44" s="1531"/>
      <c r="J44" s="1531"/>
    </row>
    <row r="45" spans="1:10" x14ac:dyDescent="0.25">
      <c r="A45" s="1193"/>
      <c r="B45" s="1193"/>
      <c r="C45" s="1546"/>
      <c r="D45" s="1546"/>
      <c r="E45" s="1546"/>
      <c r="F45" s="1546"/>
      <c r="G45" s="1193"/>
      <c r="H45" s="1531" t="s">
        <v>329</v>
      </c>
      <c r="I45" s="1531"/>
      <c r="J45" s="1531"/>
    </row>
    <row r="46" spans="1:10" x14ac:dyDescent="0.25">
      <c r="A46" s="1193"/>
      <c r="B46" s="1193"/>
      <c r="C46" s="1193"/>
      <c r="D46" s="1193"/>
      <c r="E46" s="1193"/>
      <c r="F46" s="1193"/>
      <c r="G46" s="1193"/>
      <c r="H46" s="1193"/>
      <c r="I46" s="1193"/>
      <c r="J46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4:B44"/>
    <mergeCell ref="C44:F45"/>
    <mergeCell ref="H44:J44"/>
    <mergeCell ref="H45:J45"/>
    <mergeCell ref="A37:B37"/>
    <mergeCell ref="A38:B38"/>
    <mergeCell ref="A39:B39"/>
    <mergeCell ref="A40:B40"/>
    <mergeCell ref="H42:J42"/>
    <mergeCell ref="A36:B36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45"/>
  <sheetViews>
    <sheetView view="pageBreakPreview" topLeftCell="A12" zoomScaleNormal="100" zoomScaleSheetLayoutView="100" workbookViewId="0">
      <selection activeCell="M26" sqref="M26"/>
    </sheetView>
  </sheetViews>
  <sheetFormatPr defaultColWidth="8.88671875" defaultRowHeight="13.8" x14ac:dyDescent="0.25"/>
  <cols>
    <col min="1" max="1" width="4.109375" style="1311" customWidth="1"/>
    <col min="2" max="2" width="21.5546875" style="1311" customWidth="1"/>
    <col min="3" max="3" width="7.44140625" style="1311" customWidth="1"/>
    <col min="4" max="5" width="7.5546875" style="1311" customWidth="1"/>
    <col min="6" max="6" width="10" style="1311" customWidth="1"/>
    <col min="7" max="7" width="7.5546875" style="1311" customWidth="1"/>
    <col min="8" max="8" width="8.88671875" style="1311" customWidth="1"/>
    <col min="9" max="9" width="7.5546875" style="1311" customWidth="1"/>
    <col min="10" max="10" width="9" style="1311" customWidth="1"/>
    <col min="11" max="11" width="2.88671875" style="1311" customWidth="1"/>
    <col min="12" max="16384" width="8.88671875" style="1311"/>
  </cols>
  <sheetData>
    <row r="1" spans="1:10" ht="15.6" x14ac:dyDescent="0.3">
      <c r="F1" s="1314"/>
      <c r="G1" s="1521" t="str">
        <f>"Приложение 3 (Лист"&amp;" "&amp;H14&amp;")"</f>
        <v>Приложение 3 (Лист 193)</v>
      </c>
      <c r="H1" s="1521"/>
      <c r="I1" s="1521"/>
      <c r="J1" s="1521"/>
    </row>
    <row r="2" spans="1:10" ht="15.6" x14ac:dyDescent="0.3">
      <c r="G2" s="1521" t="s">
        <v>1346</v>
      </c>
      <c r="H2" s="1521"/>
      <c r="I2" s="1521"/>
      <c r="J2" s="1521"/>
    </row>
    <row r="3" spans="1:10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315"/>
      <c r="I6" s="1315"/>
      <c r="J6" s="1318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318">
        <v>279</v>
      </c>
    </row>
    <row r="8" spans="1:10" s="2" customFormat="1" ht="9.6" customHeight="1" x14ac:dyDescent="0.25">
      <c r="A8" s="1316"/>
      <c r="B8" s="1316"/>
      <c r="C8" s="1316"/>
      <c r="D8" s="1316"/>
      <c r="E8" s="1316"/>
      <c r="F8" s="1316"/>
      <c r="G8" s="1316"/>
      <c r="H8" s="1316"/>
      <c r="I8" s="1316"/>
      <c r="J8" s="109"/>
    </row>
    <row r="9" spans="1:10" s="2" customFormat="1" ht="37.950000000000003" customHeight="1" x14ac:dyDescent="0.3">
      <c r="A9" s="1565" t="s">
        <v>1384</v>
      </c>
      <c r="B9" s="1565"/>
      <c r="C9" s="1565"/>
      <c r="D9" s="1565"/>
      <c r="E9" s="1565"/>
      <c r="F9" s="1565"/>
      <c r="G9" s="1565"/>
      <c r="H9" s="1565"/>
      <c r="I9" s="1565"/>
      <c r="J9" s="1565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E12" s="101"/>
      <c r="F12" s="101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317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'278-тефтели (1)'!H14+1</f>
        <v>193</v>
      </c>
      <c r="I14" s="1534">
        <v>44986</v>
      </c>
      <c r="J14" s="1535"/>
    </row>
    <row r="15" spans="1:10" s="2" customFormat="1" ht="12.6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33.75" customHeight="1" x14ac:dyDescent="0.25">
      <c r="A17" s="1543"/>
      <c r="B17" s="1543"/>
      <c r="C17" s="1313" t="s">
        <v>92</v>
      </c>
      <c r="D17" s="1313" t="s">
        <v>94</v>
      </c>
      <c r="E17" s="1313" t="s">
        <v>93</v>
      </c>
      <c r="F17" s="1313" t="s">
        <v>23</v>
      </c>
      <c r="G17" s="1313" t="s">
        <v>92</v>
      </c>
      <c r="H17" s="1313" t="s">
        <v>94</v>
      </c>
      <c r="I17" s="1313" t="s">
        <v>92</v>
      </c>
      <c r="J17" s="1313" t="s">
        <v>94</v>
      </c>
    </row>
    <row r="18" spans="1:10" ht="9.6" customHeight="1" x14ac:dyDescent="0.25">
      <c r="A18" s="1313">
        <v>1</v>
      </c>
      <c r="B18" s="1317">
        <v>2</v>
      </c>
      <c r="C18" s="1313">
        <v>3</v>
      </c>
      <c r="D18" s="1317">
        <v>4</v>
      </c>
      <c r="E18" s="1313">
        <v>5</v>
      </c>
      <c r="F18" s="1317">
        <v>6</v>
      </c>
      <c r="G18" s="1313">
        <v>7</v>
      </c>
      <c r="H18" s="1317">
        <v>8</v>
      </c>
      <c r="I18" s="1313">
        <v>9</v>
      </c>
      <c r="J18" s="1317">
        <v>10</v>
      </c>
    </row>
    <row r="19" spans="1:10" s="10" customFormat="1" ht="14.1" customHeight="1" x14ac:dyDescent="0.25">
      <c r="A19" s="180">
        <v>1</v>
      </c>
      <c r="B19" s="20" t="s">
        <v>54</v>
      </c>
      <c r="C19" s="21">
        <v>0.104</v>
      </c>
      <c r="D19" s="21">
        <v>7.5999999999999998E-2</v>
      </c>
      <c r="E19" s="408">
        <f>цены!F7</f>
        <v>560</v>
      </c>
      <c r="F19" s="408">
        <f>C19*E19</f>
        <v>58.24</v>
      </c>
      <c r="G19" s="97">
        <f t="shared" ref="G19:H33" si="0">C19*10</f>
        <v>1.04</v>
      </c>
      <c r="H19" s="21">
        <f t="shared" si="0"/>
        <v>0.76</v>
      </c>
      <c r="I19" s="21">
        <f t="shared" ref="I19:J33" si="1">C19*100</f>
        <v>10.4</v>
      </c>
      <c r="J19" s="21">
        <f t="shared" si="1"/>
        <v>7.6</v>
      </c>
    </row>
    <row r="20" spans="1:10" s="10" customFormat="1" ht="12" customHeight="1" x14ac:dyDescent="0.25">
      <c r="A20" s="180">
        <v>2</v>
      </c>
      <c r="B20" s="20" t="s">
        <v>68</v>
      </c>
      <c r="C20" s="21">
        <v>0.01</v>
      </c>
      <c r="D20" s="21">
        <v>0.01</v>
      </c>
      <c r="E20" s="408">
        <f>цены!F83</f>
        <v>98</v>
      </c>
      <c r="F20" s="408">
        <f>C20*E20</f>
        <v>0.98</v>
      </c>
      <c r="G20" s="97">
        <f t="shared" si="0"/>
        <v>0.1</v>
      </c>
      <c r="H20" s="21">
        <f t="shared" si="0"/>
        <v>0.1</v>
      </c>
      <c r="I20" s="21">
        <f t="shared" si="1"/>
        <v>1</v>
      </c>
      <c r="J20" s="21">
        <f t="shared" si="1"/>
        <v>1</v>
      </c>
    </row>
    <row r="21" spans="1:10" s="10" customFormat="1" ht="12" customHeight="1" x14ac:dyDescent="0.25">
      <c r="A21" s="180">
        <v>3</v>
      </c>
      <c r="B21" s="20" t="s">
        <v>28</v>
      </c>
      <c r="C21" s="21">
        <v>1.2E-2</v>
      </c>
      <c r="D21" s="21">
        <v>1.2E-2</v>
      </c>
      <c r="E21" s="408"/>
      <c r="F21" s="408">
        <f>C21*E21</f>
        <v>0</v>
      </c>
      <c r="G21" s="97">
        <f t="shared" ref="G21" si="2">C21*10</f>
        <v>0.12</v>
      </c>
      <c r="H21" s="21">
        <f t="shared" ref="H21" si="3">D21*10</f>
        <v>0.12</v>
      </c>
      <c r="I21" s="21">
        <f t="shared" ref="I21" si="4">C21*100</f>
        <v>1.2</v>
      </c>
      <c r="J21" s="21">
        <f t="shared" ref="J21" si="5">D21*100</f>
        <v>1.2</v>
      </c>
    </row>
    <row r="22" spans="1:10" s="10" customFormat="1" ht="12" customHeight="1" x14ac:dyDescent="0.25">
      <c r="A22" s="416"/>
      <c r="B22" s="230" t="s">
        <v>431</v>
      </c>
      <c r="C22" s="192"/>
      <c r="D22" s="1028">
        <v>30</v>
      </c>
      <c r="E22" s="192"/>
      <c r="F22" s="192"/>
      <c r="G22" s="231"/>
      <c r="H22" s="232"/>
      <c r="I22" s="232"/>
      <c r="J22" s="232"/>
    </row>
    <row r="23" spans="1:10" s="10" customFormat="1" ht="12" customHeight="1" x14ac:dyDescent="0.25">
      <c r="A23" s="180">
        <v>4</v>
      </c>
      <c r="B23" s="20" t="s">
        <v>48</v>
      </c>
      <c r="C23" s="21">
        <v>4.2000000000000003E-2</v>
      </c>
      <c r="D23" s="21">
        <v>3.5999999999999997E-2</v>
      </c>
      <c r="E23" s="408">
        <f>цены!F38</f>
        <v>50</v>
      </c>
      <c r="F23" s="408">
        <f>C23*E23</f>
        <v>2.1</v>
      </c>
      <c r="G23" s="97">
        <f t="shared" si="0"/>
        <v>0.42</v>
      </c>
      <c r="H23" s="21">
        <f t="shared" si="0"/>
        <v>0.36</v>
      </c>
      <c r="I23" s="21">
        <f t="shared" si="1"/>
        <v>4.2</v>
      </c>
      <c r="J23" s="21">
        <f t="shared" si="1"/>
        <v>3.6</v>
      </c>
    </row>
    <row r="24" spans="1:10" s="10" customFormat="1" ht="12" customHeight="1" x14ac:dyDescent="0.25">
      <c r="A24" s="180">
        <v>5</v>
      </c>
      <c r="B24" s="20" t="s">
        <v>33</v>
      </c>
      <c r="C24" s="21">
        <v>5.0000000000000001E-3</v>
      </c>
      <c r="D24" s="21">
        <v>5.0000000000000001E-3</v>
      </c>
      <c r="E24" s="408">
        <f>цены!F110</f>
        <v>24</v>
      </c>
      <c r="F24" s="408">
        <f>C24*E24</f>
        <v>0.12</v>
      </c>
      <c r="G24" s="97">
        <f t="shared" si="0"/>
        <v>0.05</v>
      </c>
      <c r="H24" s="21">
        <f t="shared" si="0"/>
        <v>0.05</v>
      </c>
      <c r="I24" s="21">
        <f t="shared" si="1"/>
        <v>0.5</v>
      </c>
      <c r="J24" s="21">
        <f t="shared" si="1"/>
        <v>0.5</v>
      </c>
    </row>
    <row r="25" spans="1:10" s="10" customFormat="1" ht="12" customHeight="1" x14ac:dyDescent="0.25">
      <c r="A25" s="180">
        <v>6</v>
      </c>
      <c r="B25" s="20" t="s">
        <v>74</v>
      </c>
      <c r="C25" s="21">
        <v>6.0000000000000001E-3</v>
      </c>
      <c r="D25" s="21">
        <v>6.0000000000000001E-3</v>
      </c>
      <c r="E25" s="408">
        <f>цены!F87</f>
        <v>120</v>
      </c>
      <c r="F25" s="408">
        <f>C25*E25</f>
        <v>0.72</v>
      </c>
      <c r="G25" s="97">
        <f t="shared" si="0"/>
        <v>0.06</v>
      </c>
      <c r="H25" s="21">
        <f t="shared" si="0"/>
        <v>0.06</v>
      </c>
      <c r="I25" s="21">
        <f t="shared" si="1"/>
        <v>0.6</v>
      </c>
      <c r="J25" s="21">
        <f t="shared" si="1"/>
        <v>0.6</v>
      </c>
    </row>
    <row r="26" spans="1:10" s="10" customFormat="1" ht="12" customHeight="1" x14ac:dyDescent="0.25">
      <c r="A26" s="184"/>
      <c r="B26" s="93" t="s">
        <v>178</v>
      </c>
      <c r="C26" s="112"/>
      <c r="D26" s="1028">
        <v>18</v>
      </c>
      <c r="E26" s="95"/>
      <c r="F26" s="95"/>
      <c r="G26" s="95"/>
      <c r="H26" s="95"/>
      <c r="I26" s="95"/>
      <c r="J26" s="95"/>
    </row>
    <row r="27" spans="1:10" s="10" customFormat="1" ht="12" customHeight="1" x14ac:dyDescent="0.25">
      <c r="A27" s="180">
        <v>7</v>
      </c>
      <c r="B27" s="20" t="s">
        <v>45</v>
      </c>
      <c r="C27" s="111">
        <v>8.0000000000000002E-3</v>
      </c>
      <c r="D27" s="111">
        <v>8.0000000000000002E-3</v>
      </c>
      <c r="E27" s="408">
        <f>цены!F74</f>
        <v>36</v>
      </c>
      <c r="F27" s="408">
        <f>C27*E27</f>
        <v>0.28999999999999998</v>
      </c>
      <c r="G27" s="97">
        <f t="shared" si="0"/>
        <v>0.08</v>
      </c>
      <c r="H27" s="21">
        <f t="shared" si="0"/>
        <v>0.08</v>
      </c>
      <c r="I27" s="21">
        <f t="shared" si="1"/>
        <v>0.8</v>
      </c>
      <c r="J27" s="21">
        <f t="shared" si="1"/>
        <v>0.8</v>
      </c>
    </row>
    <row r="28" spans="1:10" s="10" customFormat="1" ht="12" customHeight="1" x14ac:dyDescent="0.25">
      <c r="A28" s="416"/>
      <c r="B28" s="93" t="s">
        <v>97</v>
      </c>
      <c r="C28" s="191"/>
      <c r="D28" s="1028">
        <v>142</v>
      </c>
      <c r="E28" s="192"/>
      <c r="F28" s="191"/>
      <c r="G28" s="231"/>
      <c r="H28" s="232"/>
      <c r="I28" s="232"/>
      <c r="J28" s="232"/>
    </row>
    <row r="29" spans="1:10" s="10" customFormat="1" ht="12" customHeight="1" x14ac:dyDescent="0.25">
      <c r="A29" s="180">
        <v>8</v>
      </c>
      <c r="B29" s="20" t="s">
        <v>74</v>
      </c>
      <c r="C29" s="111">
        <v>6.0000000000000001E-3</v>
      </c>
      <c r="D29" s="111">
        <v>6.0000000000000001E-3</v>
      </c>
      <c r="E29" s="408">
        <f>цены!F87</f>
        <v>120</v>
      </c>
      <c r="F29" s="408">
        <f>C29*E29</f>
        <v>0.72</v>
      </c>
      <c r="G29" s="97">
        <f>C29*10</f>
        <v>0.06</v>
      </c>
      <c r="H29" s="21">
        <f t="shared" si="0"/>
        <v>0.06</v>
      </c>
      <c r="I29" s="21">
        <f t="shared" si="1"/>
        <v>0.6</v>
      </c>
      <c r="J29" s="21">
        <f t="shared" si="1"/>
        <v>0.6</v>
      </c>
    </row>
    <row r="30" spans="1:10" s="10" customFormat="1" ht="12" customHeight="1" x14ac:dyDescent="0.25">
      <c r="A30" s="180">
        <v>9</v>
      </c>
      <c r="B30" s="20" t="s">
        <v>78</v>
      </c>
      <c r="C30" s="111">
        <v>4.0000000000000001E-3</v>
      </c>
      <c r="D30" s="111">
        <v>4.0000000000000001E-3</v>
      </c>
      <c r="E30" s="408">
        <f>цены!F48</f>
        <v>300</v>
      </c>
      <c r="F30" s="408">
        <f>C30*E30</f>
        <v>1.2</v>
      </c>
      <c r="G30" s="97">
        <f t="shared" si="0"/>
        <v>0.04</v>
      </c>
      <c r="H30" s="21">
        <f t="shared" si="0"/>
        <v>0.04</v>
      </c>
      <c r="I30" s="21">
        <f t="shared" si="1"/>
        <v>0.4</v>
      </c>
      <c r="J30" s="21">
        <f t="shared" si="1"/>
        <v>0.4</v>
      </c>
    </row>
    <row r="31" spans="1:10" s="10" customFormat="1" ht="12" customHeight="1" x14ac:dyDescent="0.25">
      <c r="A31" s="180">
        <v>10</v>
      </c>
      <c r="B31" s="20" t="s">
        <v>84</v>
      </c>
      <c r="C31" s="125">
        <v>4.0000000000000003E-5</v>
      </c>
      <c r="D31" s="125">
        <v>4.0000000000000003E-5</v>
      </c>
      <c r="E31" s="408">
        <f>цены!F100</f>
        <v>1000</v>
      </c>
      <c r="F31" s="408">
        <f>C31*E31</f>
        <v>0.04</v>
      </c>
      <c r="G31" s="97">
        <f>C31*10</f>
        <v>0</v>
      </c>
      <c r="H31" s="21">
        <f>D31*10</f>
        <v>0</v>
      </c>
      <c r="I31" s="21">
        <f>C31*100</f>
        <v>4.0000000000000001E-3</v>
      </c>
      <c r="J31" s="21">
        <f>D31*100</f>
        <v>4.0000000000000001E-3</v>
      </c>
    </row>
    <row r="32" spans="1:10" s="10" customFormat="1" ht="12" customHeight="1" x14ac:dyDescent="0.25">
      <c r="A32" s="184"/>
      <c r="B32" s="93" t="s">
        <v>432</v>
      </c>
      <c r="C32" s="112"/>
      <c r="D32" s="1028">
        <v>120</v>
      </c>
      <c r="E32" s="95"/>
      <c r="F32" s="192"/>
      <c r="G32" s="99"/>
      <c r="H32" s="95">
        <f t="shared" si="0"/>
        <v>1200</v>
      </c>
      <c r="I32" s="100"/>
      <c r="J32" s="95">
        <f t="shared" si="1"/>
        <v>12000</v>
      </c>
    </row>
    <row r="33" spans="1:10" s="10" customFormat="1" ht="12" customHeight="1" x14ac:dyDescent="0.25">
      <c r="A33" s="180">
        <v>11</v>
      </c>
      <c r="B33" s="20" t="s">
        <v>360</v>
      </c>
      <c r="C33" s="111">
        <v>0.05</v>
      </c>
      <c r="D33" s="21">
        <v>0.05</v>
      </c>
      <c r="E33" s="408">
        <f>'331-соус с томатом'!F30</f>
        <v>84.41</v>
      </c>
      <c r="F33" s="408">
        <f>C33*E33</f>
        <v>4.22</v>
      </c>
      <c r="G33" s="97">
        <f>C33*10</f>
        <v>0.5</v>
      </c>
      <c r="H33" s="221">
        <f t="shared" si="0"/>
        <v>0.5</v>
      </c>
      <c r="I33" s="21">
        <f t="shared" ref="I33" si="6">C33*100</f>
        <v>5</v>
      </c>
      <c r="J33" s="221">
        <f t="shared" si="1"/>
        <v>5</v>
      </c>
    </row>
    <row r="34" spans="1:10" s="10" customFormat="1" ht="12" customHeight="1" x14ac:dyDescent="0.25">
      <c r="A34" s="98"/>
      <c r="B34" s="93" t="s">
        <v>100</v>
      </c>
      <c r="C34" s="112"/>
      <c r="D34" s="100"/>
      <c r="E34" s="95"/>
      <c r="F34" s="95">
        <f>SUM(F19:F33)</f>
        <v>68.63</v>
      </c>
      <c r="G34" s="99"/>
      <c r="H34" s="95">
        <f>D34*10</f>
        <v>0</v>
      </c>
      <c r="I34" s="100"/>
      <c r="J34" s="95">
        <f>D34*100</f>
        <v>0</v>
      </c>
    </row>
    <row r="35" spans="1:10" s="10" customFormat="1" ht="16.95" customHeight="1" x14ac:dyDescent="0.25">
      <c r="A35" s="203"/>
      <c r="B35" s="204" t="s">
        <v>405</v>
      </c>
      <c r="C35" s="205"/>
      <c r="D35" s="205"/>
      <c r="E35" s="206"/>
      <c r="F35" s="206"/>
      <c r="G35" s="207"/>
      <c r="H35" s="208"/>
      <c r="I35" s="208"/>
      <c r="J35" s="208"/>
    </row>
    <row r="36" spans="1:10" s="10" customFormat="1" ht="27.6" customHeight="1" x14ac:dyDescent="0.25">
      <c r="A36" s="1536" t="s">
        <v>35</v>
      </c>
      <c r="B36" s="1536"/>
      <c r="C36" s="90"/>
      <c r="D36" s="90"/>
      <c r="E36" s="408"/>
      <c r="F36" s="408">
        <f>F34</f>
        <v>68.63</v>
      </c>
      <c r="G36" s="1312"/>
      <c r="H36" s="1312"/>
      <c r="I36" s="21"/>
      <c r="J36" s="408"/>
    </row>
    <row r="37" spans="1:10" s="10" customFormat="1" ht="25.35" customHeight="1" x14ac:dyDescent="0.25">
      <c r="A37" s="1536" t="s">
        <v>36</v>
      </c>
      <c r="B37" s="1536"/>
      <c r="C37" s="90">
        <v>170</v>
      </c>
      <c r="D37" s="90"/>
      <c r="E37" s="408"/>
      <c r="F37" s="408"/>
      <c r="G37" s="408"/>
      <c r="H37" s="408"/>
      <c r="I37" s="21"/>
      <c r="J37" s="17"/>
    </row>
    <row r="38" spans="1:10" s="10" customFormat="1" ht="25.35" customHeight="1" x14ac:dyDescent="0.25">
      <c r="A38" s="1537" t="s">
        <v>37</v>
      </c>
      <c r="B38" s="1538"/>
      <c r="C38" s="91">
        <v>170</v>
      </c>
      <c r="D38" s="92"/>
      <c r="E38" s="1317"/>
      <c r="F38" s="1317"/>
      <c r="G38" s="1317"/>
      <c r="H38" s="1317"/>
      <c r="I38" s="21"/>
      <c r="J38" s="17"/>
    </row>
    <row r="39" spans="1:10" s="10" customFormat="1" ht="15" customHeight="1" x14ac:dyDescent="0.25">
      <c r="A39" s="1539" t="s">
        <v>38</v>
      </c>
      <c r="B39" s="1540"/>
      <c r="C39" s="92">
        <f>C37/C38</f>
        <v>1</v>
      </c>
      <c r="D39" s="92"/>
      <c r="E39" s="1317"/>
      <c r="F39" s="1317"/>
      <c r="G39" s="1317"/>
      <c r="H39" s="1317"/>
      <c r="I39" s="21"/>
      <c r="J39" s="17"/>
    </row>
    <row r="40" spans="1:10" ht="16.350000000000001" customHeight="1" x14ac:dyDescent="0.25">
      <c r="A40" s="1541" t="s">
        <v>39</v>
      </c>
      <c r="B40" s="1542"/>
      <c r="C40" s="15" t="s">
        <v>40</v>
      </c>
      <c r="D40" s="102"/>
      <c r="E40" s="102" t="s">
        <v>40</v>
      </c>
      <c r="F40" s="16">
        <f>F36/C39</f>
        <v>68.63</v>
      </c>
      <c r="G40" s="16"/>
      <c r="H40" s="16"/>
      <c r="I40" s="102" t="s">
        <v>40</v>
      </c>
      <c r="J40" s="102" t="s">
        <v>40</v>
      </c>
    </row>
    <row r="41" spans="1:10" ht="12" customHeight="1" x14ac:dyDescent="0.25"/>
    <row r="42" spans="1:10" ht="13.95" customHeight="1" x14ac:dyDescent="0.25">
      <c r="B42" s="1314" t="s">
        <v>49</v>
      </c>
      <c r="C42" s="1198"/>
      <c r="D42" s="1198"/>
      <c r="E42" s="1198"/>
      <c r="F42" s="1198"/>
      <c r="H42" s="1557">
        <f>'1-бутерброд с маслом'!$H$28</f>
        <v>0</v>
      </c>
      <c r="I42" s="1557"/>
      <c r="J42" s="1557"/>
    </row>
    <row r="43" spans="1:10" ht="9.6" customHeight="1" x14ac:dyDescent="0.25"/>
    <row r="44" spans="1:10" ht="13.95" customHeight="1" x14ac:dyDescent="0.25">
      <c r="A44" s="1545" t="s">
        <v>327</v>
      </c>
      <c r="B44" s="1545"/>
      <c r="C44" s="1546" t="s">
        <v>328</v>
      </c>
      <c r="D44" s="1546"/>
      <c r="E44" s="1546"/>
      <c r="F44" s="1546"/>
      <c r="G44" s="106"/>
      <c r="H44" s="1531"/>
      <c r="I44" s="1531"/>
      <c r="J44" s="1531"/>
    </row>
    <row r="45" spans="1:10" x14ac:dyDescent="0.25">
      <c r="C45" s="1546"/>
      <c r="D45" s="1546"/>
      <c r="E45" s="1546"/>
      <c r="F45" s="1546"/>
      <c r="H45" s="1531" t="s">
        <v>329</v>
      </c>
      <c r="I45" s="1531"/>
      <c r="J45" s="1531"/>
    </row>
  </sheetData>
  <mergeCells count="28">
    <mergeCell ref="C14:G14"/>
    <mergeCell ref="I14:J14"/>
    <mergeCell ref="G1:J1"/>
    <mergeCell ref="G2:J2"/>
    <mergeCell ref="G3:J3"/>
    <mergeCell ref="A5:G5"/>
    <mergeCell ref="H5:I5"/>
    <mergeCell ref="A6:G6"/>
    <mergeCell ref="A7:I7"/>
    <mergeCell ref="A9:J9"/>
    <mergeCell ref="A11:J11"/>
    <mergeCell ref="A13:G13"/>
    <mergeCell ref="I13:J13"/>
    <mergeCell ref="A44:B44"/>
    <mergeCell ref="C44:F45"/>
    <mergeCell ref="H44:J44"/>
    <mergeCell ref="H45:J45"/>
    <mergeCell ref="A16:A17"/>
    <mergeCell ref="B16:B17"/>
    <mergeCell ref="C16:F16"/>
    <mergeCell ref="G16:H16"/>
    <mergeCell ref="I16:J16"/>
    <mergeCell ref="A36:B36"/>
    <mergeCell ref="A37:B37"/>
    <mergeCell ref="A38:B38"/>
    <mergeCell ref="A39:B39"/>
    <mergeCell ref="A40:B40"/>
    <mergeCell ref="H42:J42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46"/>
  <sheetViews>
    <sheetView view="pageBreakPreview" topLeftCell="A16" zoomScaleNormal="100" zoomScaleSheetLayoutView="100" workbookViewId="0">
      <selection activeCell="P36" sqref="P36"/>
    </sheetView>
  </sheetViews>
  <sheetFormatPr defaultRowHeight="13.8" x14ac:dyDescent="0.25"/>
  <cols>
    <col min="1" max="1" width="4.109375" customWidth="1"/>
    <col min="2" max="2" width="21.5546875" customWidth="1"/>
    <col min="3" max="3" width="7.44140625" customWidth="1"/>
    <col min="4" max="5" width="7.5546875" customWidth="1"/>
    <col min="6" max="6" width="10" customWidth="1"/>
    <col min="7" max="7" width="7.5546875" customWidth="1"/>
    <col min="8" max="8" width="8.88671875" customWidth="1"/>
    <col min="9" max="9" width="7.5546875" customWidth="1"/>
    <col min="10" max="10" width="9" customWidth="1"/>
    <col min="11" max="11" width="2.88671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194)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279</v>
      </c>
    </row>
    <row r="8" spans="1:10" s="2" customFormat="1" ht="9.6" customHeight="1" x14ac:dyDescent="0.25">
      <c r="A8" s="222"/>
      <c r="B8" s="222"/>
      <c r="C8" s="222"/>
      <c r="D8" s="222"/>
      <c r="E8" s="222"/>
      <c r="F8" s="222"/>
      <c r="G8" s="222"/>
      <c r="H8" s="222"/>
      <c r="I8" s="222"/>
      <c r="J8" s="109"/>
    </row>
    <row r="9" spans="1:10" s="2" customFormat="1" ht="26.1" customHeight="1" x14ac:dyDescent="0.3">
      <c r="A9" s="1550" t="s">
        <v>929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'279-тефтели (60х2)'!H14+1</f>
        <v>194</v>
      </c>
      <c r="I14" s="1534">
        <v>44986</v>
      </c>
      <c r="J14" s="1535"/>
    </row>
    <row r="15" spans="1:10" s="2" customFormat="1" ht="12.6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33.75" customHeight="1" x14ac:dyDescent="0.25">
      <c r="A17" s="1543"/>
      <c r="B17" s="1543"/>
      <c r="C17" s="223" t="s">
        <v>92</v>
      </c>
      <c r="D17" s="223" t="s">
        <v>94</v>
      </c>
      <c r="E17" s="223" t="s">
        <v>93</v>
      </c>
      <c r="F17" s="223" t="s">
        <v>23</v>
      </c>
      <c r="G17" s="223" t="s">
        <v>92</v>
      </c>
      <c r="H17" s="223" t="s">
        <v>94</v>
      </c>
      <c r="I17" s="223" t="s">
        <v>92</v>
      </c>
      <c r="J17" s="223" t="s">
        <v>94</v>
      </c>
    </row>
    <row r="18" spans="1:10" ht="9.6" customHeight="1" x14ac:dyDescent="0.25">
      <c r="A18" s="223">
        <v>1</v>
      </c>
      <c r="B18" s="224">
        <v>2</v>
      </c>
      <c r="C18" s="223">
        <v>3</v>
      </c>
      <c r="D18" s="224">
        <v>4</v>
      </c>
      <c r="E18" s="223">
        <v>5</v>
      </c>
      <c r="F18" s="224">
        <v>6</v>
      </c>
      <c r="G18" s="223">
        <v>7</v>
      </c>
      <c r="H18" s="224">
        <v>8</v>
      </c>
      <c r="I18" s="223">
        <v>9</v>
      </c>
      <c r="J18" s="224">
        <v>10</v>
      </c>
    </row>
    <row r="19" spans="1:10" s="10" customFormat="1" ht="14.1" customHeight="1" x14ac:dyDescent="0.25">
      <c r="A19" s="180">
        <v>1</v>
      </c>
      <c r="B19" s="20" t="s">
        <v>54</v>
      </c>
      <c r="C19" s="21">
        <v>6.9000000000000006E-2</v>
      </c>
      <c r="D19" s="21">
        <v>5.0999999999999997E-2</v>
      </c>
      <c r="E19" s="13">
        <f>цены!F7</f>
        <v>560</v>
      </c>
      <c r="F19" s="13">
        <f>C19*E19</f>
        <v>38.64</v>
      </c>
      <c r="G19" s="97">
        <f t="shared" ref="G19:H33" si="0">C19*10</f>
        <v>0.69</v>
      </c>
      <c r="H19" s="21">
        <f t="shared" si="0"/>
        <v>0.51</v>
      </c>
      <c r="I19" s="21">
        <f t="shared" ref="I19:J33" si="1">C19*100</f>
        <v>6.9</v>
      </c>
      <c r="J19" s="21">
        <f t="shared" si="1"/>
        <v>5.0999999999999996</v>
      </c>
    </row>
    <row r="20" spans="1:10" s="10" customFormat="1" ht="12" customHeight="1" x14ac:dyDescent="0.25">
      <c r="A20" s="180">
        <v>2</v>
      </c>
      <c r="B20" s="20" t="s">
        <v>68</v>
      </c>
      <c r="C20" s="21">
        <v>7.0000000000000001E-3</v>
      </c>
      <c r="D20" s="21">
        <v>7.0000000000000001E-3</v>
      </c>
      <c r="E20" s="13">
        <f>цены!F83</f>
        <v>98</v>
      </c>
      <c r="F20" s="13">
        <f>C20*E20</f>
        <v>0.69</v>
      </c>
      <c r="G20" s="97">
        <f t="shared" si="0"/>
        <v>7.0000000000000007E-2</v>
      </c>
      <c r="H20" s="21">
        <f t="shared" si="0"/>
        <v>7.0000000000000007E-2</v>
      </c>
      <c r="I20" s="21">
        <f t="shared" si="1"/>
        <v>0.7</v>
      </c>
      <c r="J20" s="21">
        <f t="shared" si="1"/>
        <v>0.7</v>
      </c>
    </row>
    <row r="21" spans="1:10" s="10" customFormat="1" ht="12" customHeight="1" x14ac:dyDescent="0.25">
      <c r="A21" s="180">
        <v>3</v>
      </c>
      <c r="B21" s="20" t="s">
        <v>28</v>
      </c>
      <c r="C21" s="21">
        <v>8.0000000000000002E-3</v>
      </c>
      <c r="D21" s="21">
        <v>8.0000000000000002E-3</v>
      </c>
      <c r="E21" s="408"/>
      <c r="F21" s="408">
        <f>C21*E21</f>
        <v>0</v>
      </c>
      <c r="G21" s="97">
        <f t="shared" ref="G21" si="2">C21*10</f>
        <v>0.08</v>
      </c>
      <c r="H21" s="21">
        <f t="shared" ref="H21" si="3">D21*10</f>
        <v>0.08</v>
      </c>
      <c r="I21" s="21">
        <f t="shared" ref="I21" si="4">C21*100</f>
        <v>0.8</v>
      </c>
      <c r="J21" s="21">
        <f t="shared" ref="J21" si="5">D21*100</f>
        <v>0.8</v>
      </c>
    </row>
    <row r="22" spans="1:10" s="10" customFormat="1" ht="12" customHeight="1" x14ac:dyDescent="0.25">
      <c r="A22" s="190"/>
      <c r="B22" s="230" t="s">
        <v>431</v>
      </c>
      <c r="C22" s="192"/>
      <c r="D22" s="1028">
        <v>15</v>
      </c>
      <c r="E22" s="192"/>
      <c r="F22" s="192"/>
      <c r="G22" s="231"/>
      <c r="H22" s="232"/>
      <c r="I22" s="232"/>
      <c r="J22" s="232"/>
    </row>
    <row r="23" spans="1:10" s="10" customFormat="1" ht="12" customHeight="1" x14ac:dyDescent="0.25">
      <c r="A23" s="180">
        <v>4</v>
      </c>
      <c r="B23" s="20" t="s">
        <v>48</v>
      </c>
      <c r="C23" s="21">
        <v>2.8000000000000001E-2</v>
      </c>
      <c r="D23" s="21">
        <v>2.4E-2</v>
      </c>
      <c r="E23" s="13">
        <f>цены!F38</f>
        <v>50</v>
      </c>
      <c r="F23" s="13">
        <f>C23*E23</f>
        <v>1.4</v>
      </c>
      <c r="G23" s="97">
        <f t="shared" si="0"/>
        <v>0.28000000000000003</v>
      </c>
      <c r="H23" s="21">
        <f t="shared" si="0"/>
        <v>0.24</v>
      </c>
      <c r="I23" s="21">
        <f t="shared" si="1"/>
        <v>2.8</v>
      </c>
      <c r="J23" s="21">
        <f t="shared" si="1"/>
        <v>2.4</v>
      </c>
    </row>
    <row r="24" spans="1:10" s="10" customFormat="1" ht="12" customHeight="1" x14ac:dyDescent="0.25">
      <c r="A24" s="180">
        <v>5</v>
      </c>
      <c r="B24" s="20" t="s">
        <v>33</v>
      </c>
      <c r="C24" s="21">
        <v>4.0000000000000001E-3</v>
      </c>
      <c r="D24" s="21">
        <v>4.0000000000000001E-3</v>
      </c>
      <c r="E24" s="13">
        <f>цены!F110</f>
        <v>24</v>
      </c>
      <c r="F24" s="13">
        <f>C24*E24</f>
        <v>0.1</v>
      </c>
      <c r="G24" s="97">
        <f t="shared" si="0"/>
        <v>0.04</v>
      </c>
      <c r="H24" s="21">
        <f t="shared" si="0"/>
        <v>0.04</v>
      </c>
      <c r="I24" s="21">
        <f t="shared" si="1"/>
        <v>0.4</v>
      </c>
      <c r="J24" s="21">
        <f t="shared" si="1"/>
        <v>0.4</v>
      </c>
    </row>
    <row r="25" spans="1:10" s="10" customFormat="1" ht="12" customHeight="1" x14ac:dyDescent="0.25">
      <c r="A25" s="180">
        <v>6</v>
      </c>
      <c r="B25" s="20" t="s">
        <v>74</v>
      </c>
      <c r="C25" s="21">
        <v>4.0000000000000001E-3</v>
      </c>
      <c r="D25" s="21">
        <v>4.0000000000000001E-3</v>
      </c>
      <c r="E25" s="13">
        <f>цены!F87</f>
        <v>120</v>
      </c>
      <c r="F25" s="13">
        <f>C25*E25</f>
        <v>0.48</v>
      </c>
      <c r="G25" s="97">
        <f t="shared" si="0"/>
        <v>0.04</v>
      </c>
      <c r="H25" s="21">
        <f t="shared" si="0"/>
        <v>0.04</v>
      </c>
      <c r="I25" s="21">
        <f t="shared" si="1"/>
        <v>0.4</v>
      </c>
      <c r="J25" s="21">
        <f t="shared" si="1"/>
        <v>0.4</v>
      </c>
    </row>
    <row r="26" spans="1:10" s="10" customFormat="1" ht="12" customHeight="1" x14ac:dyDescent="0.25">
      <c r="A26" s="184"/>
      <c r="B26" s="93" t="s">
        <v>178</v>
      </c>
      <c r="C26" s="112"/>
      <c r="D26" s="1028">
        <v>9</v>
      </c>
      <c r="E26" s="95"/>
      <c r="F26" s="95"/>
      <c r="G26" s="95"/>
      <c r="H26" s="95"/>
      <c r="I26" s="95"/>
      <c r="J26" s="95"/>
    </row>
    <row r="27" spans="1:10" s="10" customFormat="1" ht="12" customHeight="1" x14ac:dyDescent="0.25">
      <c r="A27" s="180">
        <v>7</v>
      </c>
      <c r="B27" s="20" t="s">
        <v>45</v>
      </c>
      <c r="C27" s="111">
        <v>5.0000000000000001E-3</v>
      </c>
      <c r="D27" s="111">
        <v>5.0000000000000001E-3</v>
      </c>
      <c r="E27" s="13">
        <f>цены!F74</f>
        <v>36</v>
      </c>
      <c r="F27" s="13">
        <f>C27*E27</f>
        <v>0.18</v>
      </c>
      <c r="G27" s="97">
        <f t="shared" si="0"/>
        <v>0.05</v>
      </c>
      <c r="H27" s="21">
        <f t="shared" si="0"/>
        <v>0.05</v>
      </c>
      <c r="I27" s="21">
        <f t="shared" si="1"/>
        <v>0.5</v>
      </c>
      <c r="J27" s="21">
        <f t="shared" si="1"/>
        <v>0.5</v>
      </c>
    </row>
    <row r="28" spans="1:10" s="10" customFormat="1" ht="12" customHeight="1" x14ac:dyDescent="0.25">
      <c r="A28" s="190"/>
      <c r="B28" s="93" t="s">
        <v>97</v>
      </c>
      <c r="C28" s="191"/>
      <c r="D28" s="1028">
        <v>71</v>
      </c>
      <c r="E28" s="192"/>
      <c r="F28" s="191"/>
      <c r="G28" s="231"/>
      <c r="H28" s="232"/>
      <c r="I28" s="232"/>
      <c r="J28" s="232"/>
    </row>
    <row r="29" spans="1:10" s="10" customFormat="1" ht="12" customHeight="1" x14ac:dyDescent="0.25">
      <c r="A29" s="180">
        <v>8</v>
      </c>
      <c r="B29" s="20" t="s">
        <v>74</v>
      </c>
      <c r="C29" s="111">
        <v>4.0000000000000001E-3</v>
      </c>
      <c r="D29" s="111">
        <v>4.0000000000000001E-3</v>
      </c>
      <c r="E29" s="13">
        <f>цены!F87</f>
        <v>120</v>
      </c>
      <c r="F29" s="13">
        <f>C29*E29</f>
        <v>0.48</v>
      </c>
      <c r="G29" s="97">
        <f>C29*10</f>
        <v>0.04</v>
      </c>
      <c r="H29" s="21">
        <f t="shared" si="0"/>
        <v>0.04</v>
      </c>
      <c r="I29" s="21">
        <f t="shared" si="1"/>
        <v>0.4</v>
      </c>
      <c r="J29" s="21">
        <f t="shared" si="1"/>
        <v>0.4</v>
      </c>
    </row>
    <row r="30" spans="1:10" s="10" customFormat="1" ht="12" customHeight="1" x14ac:dyDescent="0.25">
      <c r="A30" s="180">
        <v>9</v>
      </c>
      <c r="B30" s="20" t="s">
        <v>78</v>
      </c>
      <c r="C30" s="111">
        <v>3.0000000000000001E-3</v>
      </c>
      <c r="D30" s="111">
        <v>3.0000000000000001E-3</v>
      </c>
      <c r="E30" s="13">
        <f>цены!F48</f>
        <v>300</v>
      </c>
      <c r="F30" s="13">
        <f>C30*E30</f>
        <v>0.9</v>
      </c>
      <c r="G30" s="97">
        <f t="shared" si="0"/>
        <v>0.03</v>
      </c>
      <c r="H30" s="21">
        <f t="shared" si="0"/>
        <v>0.03</v>
      </c>
      <c r="I30" s="21">
        <f t="shared" si="1"/>
        <v>0.3</v>
      </c>
      <c r="J30" s="21">
        <f t="shared" si="1"/>
        <v>0.3</v>
      </c>
    </row>
    <row r="31" spans="1:10" s="10" customFormat="1" ht="12" customHeight="1" x14ac:dyDescent="0.25">
      <c r="A31" s="180">
        <v>10</v>
      </c>
      <c r="B31" s="20" t="s">
        <v>84</v>
      </c>
      <c r="C31" s="125">
        <v>2.0000000000000002E-5</v>
      </c>
      <c r="D31" s="125">
        <v>2.0000000000000002E-5</v>
      </c>
      <c r="E31" s="13">
        <f>цены!F100</f>
        <v>1000</v>
      </c>
      <c r="F31" s="13">
        <f>C31*E31</f>
        <v>0.02</v>
      </c>
      <c r="G31" s="97">
        <f>C31*10</f>
        <v>0</v>
      </c>
      <c r="H31" s="21">
        <f>D31*10</f>
        <v>0</v>
      </c>
      <c r="I31" s="21">
        <f>C31*100</f>
        <v>2E-3</v>
      </c>
      <c r="J31" s="21">
        <f>D31*100</f>
        <v>2E-3</v>
      </c>
    </row>
    <row r="32" spans="1:10" s="10" customFormat="1" ht="12" customHeight="1" x14ac:dyDescent="0.25">
      <c r="A32" s="184"/>
      <c r="B32" s="93" t="s">
        <v>432</v>
      </c>
      <c r="C32" s="112"/>
      <c r="D32" s="1028">
        <v>80</v>
      </c>
      <c r="E32" s="95"/>
      <c r="F32" s="192"/>
      <c r="G32" s="99"/>
      <c r="H32" s="95">
        <f t="shared" si="0"/>
        <v>800</v>
      </c>
      <c r="I32" s="100"/>
      <c r="J32" s="95">
        <f t="shared" si="1"/>
        <v>8000</v>
      </c>
    </row>
    <row r="33" spans="1:10" s="10" customFormat="1" ht="12" customHeight="1" x14ac:dyDescent="0.25">
      <c r="A33" s="180">
        <v>11</v>
      </c>
      <c r="B33" s="20" t="s">
        <v>420</v>
      </c>
      <c r="C33" s="111"/>
      <c r="D33" s="21"/>
      <c r="E33" s="13">
        <f>'333-соус с томатом и лук'!F28</f>
        <v>104.37</v>
      </c>
      <c r="F33" s="408">
        <f>C33*E33</f>
        <v>0</v>
      </c>
      <c r="G33" s="97">
        <f>C33*10</f>
        <v>0</v>
      </c>
      <c r="H33" s="221">
        <f t="shared" si="0"/>
        <v>0</v>
      </c>
      <c r="I33" s="21">
        <f t="shared" ref="I33" si="6">C33*100</f>
        <v>0</v>
      </c>
      <c r="J33" s="221">
        <f t="shared" si="1"/>
        <v>0</v>
      </c>
    </row>
    <row r="34" spans="1:10" s="10" customFormat="1" ht="12" customHeight="1" x14ac:dyDescent="0.25">
      <c r="A34" s="98"/>
      <c r="B34" s="93" t="s">
        <v>100</v>
      </c>
      <c r="C34" s="112"/>
      <c r="D34" s="100"/>
      <c r="E34" s="95"/>
      <c r="F34" s="95">
        <f>SUM(F19:F33)</f>
        <v>42.89</v>
      </c>
      <c r="G34" s="99"/>
      <c r="H34" s="95">
        <f>D34*10</f>
        <v>0</v>
      </c>
      <c r="I34" s="100"/>
      <c r="J34" s="95">
        <f>D34*100</f>
        <v>0</v>
      </c>
    </row>
    <row r="35" spans="1:10" s="10" customFormat="1" ht="16.95" customHeight="1" x14ac:dyDescent="0.25">
      <c r="A35" s="203"/>
      <c r="B35" s="204" t="s">
        <v>405</v>
      </c>
      <c r="C35" s="205"/>
      <c r="D35" s="205"/>
      <c r="E35" s="206"/>
      <c r="F35" s="206"/>
      <c r="G35" s="207"/>
      <c r="H35" s="208"/>
      <c r="I35" s="208"/>
      <c r="J35" s="208"/>
    </row>
    <row r="36" spans="1:10" s="10" customFormat="1" ht="27.6" customHeight="1" x14ac:dyDescent="0.25">
      <c r="A36" s="1536" t="s">
        <v>35</v>
      </c>
      <c r="B36" s="1536"/>
      <c r="C36" s="90"/>
      <c r="D36" s="90"/>
      <c r="E36" s="13"/>
      <c r="F36" s="13">
        <f>F34</f>
        <v>42.89</v>
      </c>
      <c r="G36" s="225"/>
      <c r="H36" s="225"/>
      <c r="I36" s="21"/>
      <c r="J36" s="13"/>
    </row>
    <row r="37" spans="1:10" s="10" customFormat="1" ht="25.35" customHeight="1" x14ac:dyDescent="0.25">
      <c r="A37" s="1536" t="s">
        <v>36</v>
      </c>
      <c r="B37" s="1536"/>
      <c r="C37" s="90">
        <v>80</v>
      </c>
      <c r="D37" s="90"/>
      <c r="E37" s="13"/>
      <c r="F37" s="13"/>
      <c r="G37" s="13"/>
      <c r="H37" s="13"/>
      <c r="I37" s="21"/>
      <c r="J37" s="17"/>
    </row>
    <row r="38" spans="1:10" s="10" customFormat="1" ht="25.35" customHeight="1" x14ac:dyDescent="0.25">
      <c r="A38" s="1537" t="s">
        <v>37</v>
      </c>
      <c r="B38" s="1538"/>
      <c r="C38" s="91">
        <v>80</v>
      </c>
      <c r="D38" s="92"/>
      <c r="E38" s="224"/>
      <c r="F38" s="224"/>
      <c r="G38" s="224"/>
      <c r="H38" s="224"/>
      <c r="I38" s="21"/>
      <c r="J38" s="17"/>
    </row>
    <row r="39" spans="1:10" s="10" customFormat="1" ht="15" customHeight="1" x14ac:dyDescent="0.25">
      <c r="A39" s="1539" t="s">
        <v>38</v>
      </c>
      <c r="B39" s="1540"/>
      <c r="C39" s="92">
        <f>C37/C38</f>
        <v>1</v>
      </c>
      <c r="D39" s="92"/>
      <c r="E39" s="224"/>
      <c r="F39" s="224"/>
      <c r="G39" s="224"/>
      <c r="H39" s="224"/>
      <c r="I39" s="21"/>
      <c r="J39" s="17"/>
    </row>
    <row r="40" spans="1:10" ht="16.350000000000001" customHeight="1" x14ac:dyDescent="0.25">
      <c r="A40" s="1541" t="s">
        <v>39</v>
      </c>
      <c r="B40" s="1542"/>
      <c r="C40" s="15" t="s">
        <v>40</v>
      </c>
      <c r="D40" s="102"/>
      <c r="E40" s="102" t="s">
        <v>40</v>
      </c>
      <c r="F40" s="16">
        <f>F36/C39</f>
        <v>42.89</v>
      </c>
      <c r="G40" s="16"/>
      <c r="H40" s="16"/>
      <c r="I40" s="102" t="s">
        <v>40</v>
      </c>
      <c r="J40" s="102" t="s">
        <v>40</v>
      </c>
    </row>
    <row r="41" spans="1:10" ht="12" customHeight="1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ht="13.95" customHeight="1" x14ac:dyDescent="0.25">
      <c r="A42" s="1193"/>
      <c r="B42" s="1194" t="s">
        <v>49</v>
      </c>
      <c r="C42" s="1198"/>
      <c r="D42" s="1198"/>
      <c r="E42" s="1198"/>
      <c r="F42" s="1198"/>
      <c r="G42" s="1193"/>
      <c r="H42" s="1557">
        <f>'1-бутерброд с маслом'!$H$28</f>
        <v>0</v>
      </c>
      <c r="I42" s="1557"/>
      <c r="J42" s="1557"/>
    </row>
    <row r="43" spans="1:10" ht="9.6" customHeight="1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ht="13.95" customHeight="1" x14ac:dyDescent="0.25">
      <c r="A44" s="1545" t="s">
        <v>327</v>
      </c>
      <c r="B44" s="1545"/>
      <c r="C44" s="1546" t="s">
        <v>328</v>
      </c>
      <c r="D44" s="1546"/>
      <c r="E44" s="1546"/>
      <c r="F44" s="1546"/>
      <c r="G44" s="106"/>
      <c r="H44" s="1531"/>
      <c r="I44" s="1531"/>
      <c r="J44" s="1531"/>
    </row>
    <row r="45" spans="1:10" x14ac:dyDescent="0.25">
      <c r="A45" s="1193"/>
      <c r="B45" s="1193"/>
      <c r="C45" s="1546"/>
      <c r="D45" s="1546"/>
      <c r="E45" s="1546"/>
      <c r="F45" s="1546"/>
      <c r="G45" s="1193"/>
      <c r="H45" s="1531" t="s">
        <v>329</v>
      </c>
      <c r="I45" s="1531"/>
      <c r="J45" s="1531"/>
    </row>
    <row r="46" spans="1:10" x14ac:dyDescent="0.25">
      <c r="A46" s="1193"/>
      <c r="B46" s="1193"/>
      <c r="C46" s="1193"/>
      <c r="D46" s="1193"/>
      <c r="E46" s="1193"/>
      <c r="F46" s="1193"/>
      <c r="G46" s="1193"/>
      <c r="H46" s="1193"/>
      <c r="I46" s="1193"/>
      <c r="J46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4:B44"/>
    <mergeCell ref="C44:F45"/>
    <mergeCell ref="H44:J44"/>
    <mergeCell ref="H45:J45"/>
    <mergeCell ref="A37:B37"/>
    <mergeCell ref="A38:B38"/>
    <mergeCell ref="A39:B39"/>
    <mergeCell ref="A40:B40"/>
    <mergeCell ref="H42:J42"/>
    <mergeCell ref="A36:B36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3"/>
  <sheetViews>
    <sheetView workbookViewId="0">
      <selection activeCell="E8" sqref="E8"/>
    </sheetView>
  </sheetViews>
  <sheetFormatPr defaultColWidth="8.88671875" defaultRowHeight="13.8" x14ac:dyDescent="0.25"/>
  <cols>
    <col min="1" max="1" width="5.44140625" style="22" customWidth="1"/>
    <col min="2" max="2" width="17.88671875" style="22" customWidth="1"/>
    <col min="3" max="3" width="10.44140625" style="22" customWidth="1"/>
    <col min="4" max="4" width="11.44140625" style="22" customWidth="1"/>
    <col min="5" max="5" width="13.44140625" style="22" customWidth="1"/>
    <col min="6" max="6" width="11.6640625" style="22" customWidth="1"/>
    <col min="7" max="7" width="11.5546875" style="22" customWidth="1"/>
    <col min="8" max="12" width="13.5546875" style="22" customWidth="1"/>
    <col min="13" max="13" width="13.109375" style="22" customWidth="1"/>
    <col min="14" max="14" width="12.109375" style="22" customWidth="1"/>
    <col min="15" max="15" width="12.44140625" style="22" customWidth="1"/>
    <col min="16" max="16" width="12" style="22" customWidth="1"/>
    <col min="17" max="17" width="12.88671875" style="22" customWidth="1"/>
    <col min="18" max="89" width="13.88671875" style="22" customWidth="1"/>
    <col min="90" max="16384" width="8.88671875" style="22"/>
  </cols>
  <sheetData>
    <row r="1" spans="1:19" ht="21" customHeight="1" x14ac:dyDescent="0.25">
      <c r="A1" s="312"/>
      <c r="B1" s="1395" t="s">
        <v>569</v>
      </c>
      <c r="C1" s="1395"/>
      <c r="D1" s="1395"/>
      <c r="E1" s="312"/>
      <c r="F1" s="313"/>
      <c r="G1" s="312"/>
      <c r="H1" s="314"/>
      <c r="I1" s="314"/>
      <c r="J1" s="314"/>
      <c r="K1" s="314"/>
      <c r="L1" s="314"/>
      <c r="M1" s="314"/>
      <c r="N1" s="314"/>
      <c r="O1" s="314"/>
    </row>
    <row r="2" spans="1:19" ht="23.1" customHeight="1" x14ac:dyDescent="0.25">
      <c r="A2" s="1396" t="s">
        <v>570</v>
      </c>
      <c r="B2" s="1396"/>
      <c r="C2" s="1396"/>
      <c r="D2" s="1396"/>
      <c r="E2" s="1396"/>
      <c r="F2" s="1396"/>
      <c r="G2" s="1396"/>
      <c r="H2" s="1396"/>
      <c r="I2" s="1396"/>
      <c r="J2" s="1396"/>
      <c r="K2" s="1396"/>
      <c r="L2" s="1396"/>
      <c r="M2" s="1396"/>
      <c r="N2" s="312"/>
      <c r="O2" s="312"/>
    </row>
    <row r="3" spans="1:19" x14ac:dyDescent="0.25">
      <c r="A3" s="312"/>
      <c r="B3" s="315" t="s">
        <v>571</v>
      </c>
      <c r="C3" s="315"/>
      <c r="D3" s="316"/>
      <c r="E3" s="312" t="s">
        <v>1288</v>
      </c>
      <c r="F3" s="313"/>
      <c r="G3" s="312"/>
      <c r="M3" s="312"/>
      <c r="N3" s="312"/>
      <c r="O3" s="312"/>
    </row>
    <row r="4" spans="1:19" x14ac:dyDescent="0.25">
      <c r="A4" s="312"/>
      <c r="B4" s="312"/>
      <c r="C4" s="313"/>
      <c r="D4" s="312"/>
      <c r="E4" s="312"/>
      <c r="F4" s="313"/>
      <c r="G4" s="312"/>
      <c r="H4" s="312"/>
      <c r="I4" s="587"/>
      <c r="J4" s="587"/>
      <c r="K4" s="587"/>
      <c r="L4" s="323"/>
      <c r="M4" s="312"/>
      <c r="N4" s="312"/>
      <c r="O4" s="312"/>
    </row>
    <row r="5" spans="1:19" ht="27.6" customHeight="1" x14ac:dyDescent="0.25">
      <c r="A5" s="1397" t="s">
        <v>572</v>
      </c>
      <c r="B5" s="1397" t="s">
        <v>573</v>
      </c>
      <c r="C5" s="1399" t="s">
        <v>225</v>
      </c>
      <c r="D5" s="1400"/>
      <c r="E5" s="1401"/>
      <c r="F5" s="1402" t="s">
        <v>226</v>
      </c>
      <c r="G5" s="1403"/>
      <c r="H5" s="1404"/>
      <c r="I5" s="1405" t="s">
        <v>923</v>
      </c>
      <c r="J5" s="1406"/>
      <c r="K5" s="1407"/>
      <c r="L5" s="1394" t="s">
        <v>593</v>
      </c>
      <c r="M5" s="1394" t="s">
        <v>574</v>
      </c>
      <c r="N5" s="1392" t="s">
        <v>575</v>
      </c>
      <c r="O5" s="1393"/>
    </row>
    <row r="6" spans="1:19" ht="35.1" customHeight="1" x14ac:dyDescent="0.25">
      <c r="A6" s="1398"/>
      <c r="B6" s="1398"/>
      <c r="C6" s="322" t="s">
        <v>592</v>
      </c>
      <c r="D6" s="317" t="s">
        <v>576</v>
      </c>
      <c r="E6" s="317" t="s">
        <v>221</v>
      </c>
      <c r="F6" s="322" t="s">
        <v>592</v>
      </c>
      <c r="G6" s="317" t="s">
        <v>576</v>
      </c>
      <c r="H6" s="317" t="s">
        <v>221</v>
      </c>
      <c r="I6" s="322" t="s">
        <v>592</v>
      </c>
      <c r="J6" s="322" t="s">
        <v>576</v>
      </c>
      <c r="K6" s="322" t="s">
        <v>221</v>
      </c>
      <c r="L6" s="1394"/>
      <c r="M6" s="1394"/>
      <c r="N6" s="318" t="s">
        <v>316</v>
      </c>
      <c r="O6" s="318" t="s">
        <v>315</v>
      </c>
    </row>
    <row r="7" spans="1:19" x14ac:dyDescent="0.25">
      <c r="A7" s="319">
        <v>1</v>
      </c>
      <c r="B7" s="320" t="s">
        <v>578</v>
      </c>
      <c r="C7" s="321">
        <f>'меню 7 дней завтрак и обед '!I26</f>
        <v>56.6</v>
      </c>
      <c r="D7" s="319">
        <v>1</v>
      </c>
      <c r="E7" s="321">
        <f>C7*D7</f>
        <v>56.6</v>
      </c>
      <c r="F7" s="321">
        <f>'меню 7 дней завтрак и обед '!I36</f>
        <v>79.27</v>
      </c>
      <c r="G7" s="429">
        <v>1</v>
      </c>
      <c r="H7" s="321">
        <f>F7*G7</f>
        <v>79.27</v>
      </c>
      <c r="I7" s="428">
        <f>'меню 7 дней завтрак и обед '!I42</f>
        <v>0</v>
      </c>
      <c r="J7" s="429"/>
      <c r="K7" s="428">
        <f>I7*J7</f>
        <v>0</v>
      </c>
      <c r="L7" s="321">
        <f>C7+F7+I7</f>
        <v>135.87</v>
      </c>
      <c r="M7" s="321">
        <f>E7+H7+K7</f>
        <v>135.87</v>
      </c>
      <c r="N7" s="321">
        <f>(E7+H7+K7)/2</f>
        <v>67.94</v>
      </c>
      <c r="O7" s="321">
        <f>M7-N7</f>
        <v>67.930000000000007</v>
      </c>
      <c r="S7" s="335"/>
    </row>
    <row r="8" spans="1:19" x14ac:dyDescent="0.25">
      <c r="A8" s="319">
        <v>2</v>
      </c>
      <c r="B8" s="320" t="s">
        <v>579</v>
      </c>
      <c r="C8" s="428">
        <f>'меню 7 дней завтрак и обед '!I56</f>
        <v>45.55</v>
      </c>
      <c r="D8" s="429">
        <v>1</v>
      </c>
      <c r="E8" s="428">
        <f t="shared" ref="E8:E16" si="0">C8*D8</f>
        <v>45.55</v>
      </c>
      <c r="F8" s="428">
        <f>'меню 7 дней завтрак и обед '!I66</f>
        <v>148.13</v>
      </c>
      <c r="G8" s="429">
        <v>1</v>
      </c>
      <c r="H8" s="428">
        <f t="shared" ref="H8:H13" si="1">F8*G8</f>
        <v>148.13</v>
      </c>
      <c r="I8" s="428">
        <f>'меню 7 дней завтрак и обед '!I66</f>
        <v>148.13</v>
      </c>
      <c r="J8" s="429"/>
      <c r="K8" s="428">
        <f t="shared" ref="K8:K16" si="2">I8*J8</f>
        <v>0</v>
      </c>
      <c r="L8" s="428">
        <f t="shared" ref="L8:L16" si="3">C8+F8+I8</f>
        <v>341.81</v>
      </c>
      <c r="M8" s="428">
        <f t="shared" ref="M8:M16" si="4">E8+H8+K8</f>
        <v>193.68</v>
      </c>
      <c r="N8" s="428">
        <f t="shared" ref="N8:N16" si="5">(E8+H8+K8)/2</f>
        <v>96.84</v>
      </c>
      <c r="O8" s="428">
        <f t="shared" ref="O8:O16" si="6">M8-N8</f>
        <v>96.84</v>
      </c>
      <c r="S8" s="335"/>
    </row>
    <row r="9" spans="1:19" x14ac:dyDescent="0.25">
      <c r="A9" s="319">
        <v>3</v>
      </c>
      <c r="B9" s="320" t="s">
        <v>580</v>
      </c>
      <c r="C9" s="428">
        <f>'меню 7 дней завтрак и обед '!I86</f>
        <v>56.43</v>
      </c>
      <c r="D9" s="429">
        <v>1</v>
      </c>
      <c r="E9" s="428">
        <f t="shared" si="0"/>
        <v>56.43</v>
      </c>
      <c r="F9" s="428">
        <f>'меню 7 дней завтрак и обед '!I96</f>
        <v>108.99</v>
      </c>
      <c r="G9" s="429">
        <v>1</v>
      </c>
      <c r="H9" s="428">
        <f t="shared" si="1"/>
        <v>108.99</v>
      </c>
      <c r="I9" s="428">
        <f>'меню 7 дней завтрак и обед '!I96</f>
        <v>108.99</v>
      </c>
      <c r="J9" s="429"/>
      <c r="K9" s="428">
        <f t="shared" si="2"/>
        <v>0</v>
      </c>
      <c r="L9" s="428">
        <f t="shared" si="3"/>
        <v>274.41000000000003</v>
      </c>
      <c r="M9" s="428">
        <f t="shared" si="4"/>
        <v>165.42</v>
      </c>
      <c r="N9" s="428">
        <f t="shared" si="5"/>
        <v>82.71</v>
      </c>
      <c r="O9" s="428">
        <f t="shared" si="6"/>
        <v>82.71</v>
      </c>
      <c r="S9" s="335"/>
    </row>
    <row r="10" spans="1:19" x14ac:dyDescent="0.25">
      <c r="A10" s="429">
        <v>4</v>
      </c>
      <c r="B10" s="320" t="s">
        <v>581</v>
      </c>
      <c r="C10" s="428">
        <f>'меню 7 дней завтрак и обед '!I116</f>
        <v>32.909999999999997</v>
      </c>
      <c r="D10" s="429">
        <v>1</v>
      </c>
      <c r="E10" s="428">
        <f t="shared" si="0"/>
        <v>32.909999999999997</v>
      </c>
      <c r="F10" s="428">
        <f>'меню 7 дней завтрак и обед '!I126</f>
        <v>174.34</v>
      </c>
      <c r="G10" s="429">
        <v>1</v>
      </c>
      <c r="H10" s="428">
        <f t="shared" si="1"/>
        <v>174.34</v>
      </c>
      <c r="I10" s="428">
        <f>'меню 7 дней завтрак и обед '!I126</f>
        <v>174.34</v>
      </c>
      <c r="J10" s="429"/>
      <c r="K10" s="428">
        <f t="shared" si="2"/>
        <v>0</v>
      </c>
      <c r="L10" s="428">
        <f t="shared" si="3"/>
        <v>381.59</v>
      </c>
      <c r="M10" s="428">
        <f t="shared" si="4"/>
        <v>207.25</v>
      </c>
      <c r="N10" s="428">
        <f t="shared" si="5"/>
        <v>103.63</v>
      </c>
      <c r="O10" s="428">
        <f t="shared" si="6"/>
        <v>103.62</v>
      </c>
      <c r="S10" s="335"/>
    </row>
    <row r="11" spans="1:19" x14ac:dyDescent="0.25">
      <c r="A11" s="429">
        <v>5</v>
      </c>
      <c r="B11" s="320" t="s">
        <v>582</v>
      </c>
      <c r="C11" s="428">
        <f>'меню 7 дней завтрак и обед '!I146</f>
        <v>43.21</v>
      </c>
      <c r="D11" s="429">
        <v>1</v>
      </c>
      <c r="E11" s="428">
        <f t="shared" si="0"/>
        <v>43.21</v>
      </c>
      <c r="F11" s="428">
        <f>'меню 7 дней завтрак и обед '!I156</f>
        <v>43.27</v>
      </c>
      <c r="G11" s="429">
        <v>1</v>
      </c>
      <c r="H11" s="428">
        <f t="shared" si="1"/>
        <v>43.27</v>
      </c>
      <c r="I11" s="428">
        <f>'меню 7 дней завтрак и обед '!I156</f>
        <v>43.27</v>
      </c>
      <c r="J11" s="429"/>
      <c r="K11" s="428">
        <f t="shared" si="2"/>
        <v>0</v>
      </c>
      <c r="L11" s="428">
        <f t="shared" si="3"/>
        <v>129.75</v>
      </c>
      <c r="M11" s="428">
        <f t="shared" si="4"/>
        <v>86.48</v>
      </c>
      <c r="N11" s="428">
        <f t="shared" si="5"/>
        <v>43.24</v>
      </c>
      <c r="O11" s="428">
        <f t="shared" si="6"/>
        <v>43.24</v>
      </c>
      <c r="S11" s="335"/>
    </row>
    <row r="12" spans="1:19" x14ac:dyDescent="0.25">
      <c r="A12" s="429">
        <v>6</v>
      </c>
      <c r="B12" s="320" t="s">
        <v>583</v>
      </c>
      <c r="C12" s="428">
        <f>'меню 7 дней завтрак и обед '!I176</f>
        <v>43.9</v>
      </c>
      <c r="D12" s="429">
        <v>1</v>
      </c>
      <c r="E12" s="428">
        <f t="shared" si="0"/>
        <v>43.9</v>
      </c>
      <c r="F12" s="428">
        <f>'меню 7 дней завтрак и обед '!I186</f>
        <v>145.74</v>
      </c>
      <c r="G12" s="429">
        <v>1</v>
      </c>
      <c r="H12" s="428">
        <f t="shared" si="1"/>
        <v>145.74</v>
      </c>
      <c r="I12" s="428">
        <f>'меню 7 дней завтрак и обед '!I186</f>
        <v>145.74</v>
      </c>
      <c r="J12" s="429"/>
      <c r="K12" s="428">
        <f t="shared" si="2"/>
        <v>0</v>
      </c>
      <c r="L12" s="428">
        <f t="shared" si="3"/>
        <v>335.38</v>
      </c>
      <c r="M12" s="428">
        <f t="shared" si="4"/>
        <v>189.64</v>
      </c>
      <c r="N12" s="428">
        <f t="shared" si="5"/>
        <v>94.82</v>
      </c>
      <c r="O12" s="428">
        <f t="shared" si="6"/>
        <v>94.82</v>
      </c>
      <c r="S12" s="335"/>
    </row>
    <row r="13" spans="1:19" x14ac:dyDescent="0.25">
      <c r="A13" s="429">
        <v>7</v>
      </c>
      <c r="B13" s="320" t="s">
        <v>584</v>
      </c>
      <c r="C13" s="428">
        <f>'меню 7 дней завтрак и обед '!I206</f>
        <v>82.06</v>
      </c>
      <c r="D13" s="429">
        <v>1</v>
      </c>
      <c r="E13" s="428">
        <f t="shared" si="0"/>
        <v>82.06</v>
      </c>
      <c r="F13" s="428">
        <f>'меню 7 дней завтрак и обед '!I216</f>
        <v>129.63</v>
      </c>
      <c r="G13" s="429">
        <v>1</v>
      </c>
      <c r="H13" s="428">
        <f t="shared" si="1"/>
        <v>129.63</v>
      </c>
      <c r="I13" s="428">
        <f>'меню 7 дней завтрак и обед '!I216</f>
        <v>129.63</v>
      </c>
      <c r="J13" s="429"/>
      <c r="K13" s="428">
        <f t="shared" si="2"/>
        <v>0</v>
      </c>
      <c r="L13" s="428">
        <f t="shared" si="3"/>
        <v>341.32</v>
      </c>
      <c r="M13" s="428">
        <f t="shared" si="4"/>
        <v>211.69</v>
      </c>
      <c r="N13" s="428">
        <f t="shared" si="5"/>
        <v>105.85</v>
      </c>
      <c r="O13" s="428">
        <f t="shared" si="6"/>
        <v>105.84</v>
      </c>
      <c r="S13" s="335"/>
    </row>
    <row r="14" spans="1:19" x14ac:dyDescent="0.25">
      <c r="A14" s="429">
        <v>8</v>
      </c>
      <c r="B14" s="320" t="s">
        <v>755</v>
      </c>
      <c r="C14" s="428">
        <f>'меню 7 дней завтрак и обед '!I236</f>
        <v>0</v>
      </c>
      <c r="D14" s="429">
        <v>1</v>
      </c>
      <c r="E14" s="428">
        <f t="shared" si="0"/>
        <v>0</v>
      </c>
      <c r="F14" s="428">
        <f>'меню 7 дней завтрак и обед '!I246</f>
        <v>0</v>
      </c>
      <c r="G14" s="429">
        <v>1</v>
      </c>
      <c r="H14" s="428">
        <f>F14*G14</f>
        <v>0</v>
      </c>
      <c r="I14" s="428">
        <f>'меню 7 дней завтрак и обед '!I246</f>
        <v>0</v>
      </c>
      <c r="J14" s="429"/>
      <c r="K14" s="428">
        <f t="shared" si="2"/>
        <v>0</v>
      </c>
      <c r="L14" s="428">
        <f t="shared" si="3"/>
        <v>0</v>
      </c>
      <c r="M14" s="428">
        <f t="shared" si="4"/>
        <v>0</v>
      </c>
      <c r="N14" s="428">
        <f t="shared" si="5"/>
        <v>0</v>
      </c>
      <c r="O14" s="428">
        <f t="shared" si="6"/>
        <v>0</v>
      </c>
      <c r="S14" s="335"/>
    </row>
    <row r="15" spans="1:19" x14ac:dyDescent="0.25">
      <c r="A15" s="429">
        <v>9</v>
      </c>
      <c r="B15" s="320" t="s">
        <v>756</v>
      </c>
      <c r="C15" s="428">
        <f>'меню 7 дней завтрак и обед '!I266</f>
        <v>0</v>
      </c>
      <c r="D15" s="429">
        <v>1</v>
      </c>
      <c r="E15" s="428">
        <f t="shared" si="0"/>
        <v>0</v>
      </c>
      <c r="F15" s="428">
        <f>'меню 7 дней завтрак и обед '!I276</f>
        <v>0</v>
      </c>
      <c r="G15" s="429">
        <v>1</v>
      </c>
      <c r="H15" s="428">
        <f>F15*G15</f>
        <v>0</v>
      </c>
      <c r="I15" s="428">
        <f>'меню 7 дней завтрак и обед '!I276</f>
        <v>0</v>
      </c>
      <c r="J15" s="429"/>
      <c r="K15" s="428">
        <f t="shared" si="2"/>
        <v>0</v>
      </c>
      <c r="L15" s="428">
        <f t="shared" si="3"/>
        <v>0</v>
      </c>
      <c r="M15" s="428">
        <f t="shared" si="4"/>
        <v>0</v>
      </c>
      <c r="N15" s="428">
        <f t="shared" si="5"/>
        <v>0</v>
      </c>
      <c r="O15" s="428">
        <f t="shared" si="6"/>
        <v>0</v>
      </c>
      <c r="S15" s="335"/>
    </row>
    <row r="16" spans="1:19" x14ac:dyDescent="0.25">
      <c r="A16" s="429">
        <v>10</v>
      </c>
      <c r="B16" s="320" t="s">
        <v>757</v>
      </c>
      <c r="C16" s="428">
        <f>'меню 7 дней завтрак и обед '!I296</f>
        <v>0</v>
      </c>
      <c r="D16" s="429">
        <v>1</v>
      </c>
      <c r="E16" s="428">
        <f t="shared" si="0"/>
        <v>0</v>
      </c>
      <c r="F16" s="428">
        <f>'меню 7 дней завтрак и обед '!I306</f>
        <v>0</v>
      </c>
      <c r="G16" s="429">
        <v>1</v>
      </c>
      <c r="H16" s="428">
        <f>F16*G16</f>
        <v>0</v>
      </c>
      <c r="I16" s="428">
        <f>'меню 7 дней завтрак и обед '!I306</f>
        <v>0</v>
      </c>
      <c r="J16" s="429"/>
      <c r="K16" s="428">
        <f t="shared" si="2"/>
        <v>0</v>
      </c>
      <c r="L16" s="428">
        <f t="shared" si="3"/>
        <v>0</v>
      </c>
      <c r="M16" s="428">
        <f t="shared" si="4"/>
        <v>0</v>
      </c>
      <c r="N16" s="428">
        <f t="shared" si="5"/>
        <v>0</v>
      </c>
      <c r="O16" s="428">
        <f t="shared" si="6"/>
        <v>0</v>
      </c>
      <c r="S16" s="335"/>
    </row>
    <row r="17" spans="1:19" ht="24.9" customHeight="1" thickBot="1" x14ac:dyDescent="0.3">
      <c r="A17" s="353"/>
      <c r="B17" s="352" t="s">
        <v>585</v>
      </c>
      <c r="C17" s="989">
        <f>SUM(C7:C16)</f>
        <v>360.66</v>
      </c>
      <c r="D17" s="504">
        <f t="shared" ref="D17:O17" si="7">SUM(D7:D16)</f>
        <v>10</v>
      </c>
      <c r="E17" s="504">
        <f t="shared" si="7"/>
        <v>360.66</v>
      </c>
      <c r="F17" s="989">
        <f t="shared" si="7"/>
        <v>829.37</v>
      </c>
      <c r="G17" s="504">
        <f t="shared" si="7"/>
        <v>10</v>
      </c>
      <c r="H17" s="504">
        <f t="shared" si="7"/>
        <v>829.37</v>
      </c>
      <c r="I17" s="504">
        <f>SUM(I7:I16)</f>
        <v>750.1</v>
      </c>
      <c r="J17" s="504">
        <f>SUM(J7:J16)</f>
        <v>0</v>
      </c>
      <c r="K17" s="504">
        <f>SUM(K7:K16)</f>
        <v>0</v>
      </c>
      <c r="L17" s="504">
        <f t="shared" si="7"/>
        <v>1940.13</v>
      </c>
      <c r="M17" s="989">
        <f t="shared" si="7"/>
        <v>1190.03</v>
      </c>
      <c r="N17" s="504">
        <f t="shared" si="7"/>
        <v>595.03</v>
      </c>
      <c r="O17" s="504">
        <f t="shared" si="7"/>
        <v>595</v>
      </c>
      <c r="S17" s="335"/>
    </row>
    <row r="18" spans="1:19" ht="24.9" customHeight="1" thickBot="1" x14ac:dyDescent="0.3">
      <c r="A18" s="354"/>
      <c r="B18" s="355" t="s">
        <v>1256</v>
      </c>
      <c r="C18" s="990">
        <f>IF(E17=0,0,E17/D17)</f>
        <v>36.07</v>
      </c>
      <c r="D18" s="356"/>
      <c r="E18" s="357"/>
      <c r="F18" s="990">
        <f>IF(H17=0,0,H17/G17)</f>
        <v>82.94</v>
      </c>
      <c r="G18" s="357"/>
      <c r="H18" s="357"/>
      <c r="I18" s="990">
        <f>IF(K17=0,0,K17/J17)</f>
        <v>0</v>
      </c>
      <c r="J18" s="357"/>
      <c r="K18" s="357"/>
      <c r="L18" s="357"/>
      <c r="M18" s="991">
        <f>M17/(D17+G17+J17)</f>
        <v>59.5</v>
      </c>
      <c r="N18" s="357"/>
      <c r="O18" s="357"/>
      <c r="S18" s="335"/>
    </row>
    <row r="19" spans="1:19" ht="22.95" customHeight="1" x14ac:dyDescent="0.25">
      <c r="A19" s="312"/>
      <c r="B19" s="1408" t="s">
        <v>595</v>
      </c>
      <c r="C19" s="1409"/>
      <c r="D19" s="1410"/>
      <c r="E19" s="1410"/>
      <c r="F19" s="1409"/>
      <c r="G19" s="1411"/>
      <c r="H19" s="312"/>
      <c r="I19" s="587"/>
      <c r="J19" s="587"/>
      <c r="K19" s="587"/>
      <c r="L19" s="323"/>
      <c r="M19" s="312"/>
      <c r="N19" s="312"/>
      <c r="O19" s="312"/>
    </row>
    <row r="20" spans="1:19" ht="15.6" x14ac:dyDescent="0.3">
      <c r="A20" s="312"/>
      <c r="B20" s="1415"/>
      <c r="C20" s="1416"/>
      <c r="D20" s="325"/>
      <c r="E20" s="326" t="s">
        <v>591</v>
      </c>
      <c r="F20" s="326" t="s">
        <v>221</v>
      </c>
      <c r="G20" s="326" t="s">
        <v>227</v>
      </c>
      <c r="H20" s="804"/>
      <c r="I20" s="993" t="s">
        <v>1257</v>
      </c>
      <c r="J20" s="994" t="s">
        <v>1258</v>
      </c>
      <c r="K20" s="993" t="s">
        <v>1260</v>
      </c>
      <c r="L20" s="994" t="s">
        <v>1258</v>
      </c>
      <c r="M20" s="993" t="s">
        <v>1261</v>
      </c>
      <c r="N20" s="994" t="s">
        <v>1258</v>
      </c>
      <c r="O20" s="993" t="s">
        <v>1262</v>
      </c>
      <c r="P20" s="994" t="s">
        <v>1258</v>
      </c>
      <c r="Q20" s="998" t="s">
        <v>1263</v>
      </c>
      <c r="R20" s="994" t="s">
        <v>1258</v>
      </c>
      <c r="S20" s="997"/>
    </row>
    <row r="21" spans="1:19" ht="15.6" x14ac:dyDescent="0.3">
      <c r="A21" s="351"/>
      <c r="B21" s="1412" t="s">
        <v>225</v>
      </c>
      <c r="C21" s="1413"/>
      <c r="D21" s="1413"/>
      <c r="E21" s="1413"/>
      <c r="F21" s="1413"/>
      <c r="G21" s="1414"/>
      <c r="H21" s="351"/>
      <c r="I21" s="992">
        <v>1</v>
      </c>
      <c r="J21" s="992" t="s">
        <v>1259</v>
      </c>
      <c r="K21" s="429">
        <v>1</v>
      </c>
      <c r="L21" s="429">
        <v>1</v>
      </c>
      <c r="M21" s="995">
        <v>1</v>
      </c>
      <c r="N21" s="429">
        <v>1</v>
      </c>
      <c r="O21" s="429">
        <v>1</v>
      </c>
      <c r="P21" s="1002">
        <v>1</v>
      </c>
      <c r="Q21" s="992">
        <v>1</v>
      </c>
      <c r="R21" s="992" t="s">
        <v>1259</v>
      </c>
      <c r="S21" s="996"/>
    </row>
    <row r="22" spans="1:19" x14ac:dyDescent="0.25">
      <c r="A22" s="312"/>
      <c r="B22" s="1419" t="s">
        <v>1289</v>
      </c>
      <c r="C22" s="1420"/>
      <c r="D22" s="358">
        <v>95</v>
      </c>
      <c r="E22" s="359">
        <f>D17</f>
        <v>10</v>
      </c>
      <c r="F22" s="358">
        <f>D22*E22</f>
        <v>950</v>
      </c>
      <c r="G22" s="358">
        <f>F22/F25%</f>
        <v>95</v>
      </c>
      <c r="H22" s="312"/>
      <c r="I22" s="992">
        <v>2</v>
      </c>
      <c r="J22" s="992" t="s">
        <v>1259</v>
      </c>
      <c r="K22" s="429">
        <v>2</v>
      </c>
      <c r="L22" s="429">
        <v>2</v>
      </c>
      <c r="M22" s="995">
        <v>2</v>
      </c>
      <c r="N22" s="429">
        <v>2</v>
      </c>
      <c r="O22" s="992">
        <v>2</v>
      </c>
      <c r="P22" s="992" t="s">
        <v>1259</v>
      </c>
      <c r="Q22" s="992">
        <v>2</v>
      </c>
      <c r="R22" s="992" t="s">
        <v>1259</v>
      </c>
      <c r="S22" s="996"/>
    </row>
    <row r="23" spans="1:19" x14ac:dyDescent="0.25">
      <c r="A23" s="312"/>
      <c r="B23" s="1419" t="s">
        <v>1290</v>
      </c>
      <c r="C23" s="1420"/>
      <c r="D23" s="358">
        <v>4</v>
      </c>
      <c r="E23" s="359">
        <f>D17</f>
        <v>10</v>
      </c>
      <c r="F23" s="358">
        <f>D23*E23</f>
        <v>40</v>
      </c>
      <c r="G23" s="358">
        <f>F23/F25%</f>
        <v>4</v>
      </c>
      <c r="H23" s="312"/>
      <c r="I23" s="992">
        <v>3</v>
      </c>
      <c r="J23" s="992" t="s">
        <v>1259</v>
      </c>
      <c r="K23" s="429">
        <v>3</v>
      </c>
      <c r="L23" s="429">
        <v>3</v>
      </c>
      <c r="M23" s="995">
        <v>3</v>
      </c>
      <c r="N23" s="429">
        <v>3</v>
      </c>
      <c r="O23" s="992">
        <v>3</v>
      </c>
      <c r="P23" s="992" t="s">
        <v>1259</v>
      </c>
      <c r="Q23" s="992">
        <v>3</v>
      </c>
      <c r="R23" s="992" t="s">
        <v>1259</v>
      </c>
      <c r="S23" s="996"/>
    </row>
    <row r="24" spans="1:19" x14ac:dyDescent="0.25">
      <c r="A24" s="312"/>
      <c r="B24" s="1419" t="s">
        <v>315</v>
      </c>
      <c r="C24" s="1420"/>
      <c r="D24" s="358">
        <v>1</v>
      </c>
      <c r="E24" s="359">
        <f>D17</f>
        <v>10</v>
      </c>
      <c r="F24" s="358">
        <f>D24*E24</f>
        <v>10</v>
      </c>
      <c r="G24" s="358">
        <f>G25-G22-G23</f>
        <v>1</v>
      </c>
      <c r="H24" s="312"/>
      <c r="I24" s="992">
        <v>4</v>
      </c>
      <c r="J24" s="992" t="s">
        <v>1259</v>
      </c>
      <c r="K24" s="429">
        <v>4</v>
      </c>
      <c r="L24" s="429">
        <v>4</v>
      </c>
      <c r="M24" s="995">
        <v>4</v>
      </c>
      <c r="N24" s="429">
        <v>4</v>
      </c>
      <c r="O24" s="429">
        <v>4</v>
      </c>
      <c r="P24" s="1002">
        <v>2</v>
      </c>
      <c r="Q24" s="1002">
        <v>4</v>
      </c>
      <c r="R24" s="1002">
        <v>1</v>
      </c>
      <c r="S24" s="1330" t="s">
        <v>1371</v>
      </c>
    </row>
    <row r="25" spans="1:19" ht="18" customHeight="1" x14ac:dyDescent="0.25">
      <c r="A25" s="312"/>
      <c r="B25" s="1417" t="s">
        <v>218</v>
      </c>
      <c r="C25" s="1418"/>
      <c r="D25" s="361">
        <v>100</v>
      </c>
      <c r="E25" s="362"/>
      <c r="F25" s="361">
        <f>SUM(F22:F24)</f>
        <v>1000</v>
      </c>
      <c r="G25" s="363">
        <v>100</v>
      </c>
      <c r="H25" s="312"/>
      <c r="I25" s="992">
        <v>5</v>
      </c>
      <c r="J25" s="992" t="s">
        <v>1259</v>
      </c>
      <c r="K25" s="992">
        <v>5</v>
      </c>
      <c r="L25" s="992" t="s">
        <v>1259</v>
      </c>
      <c r="M25" s="995">
        <v>5</v>
      </c>
      <c r="N25" s="429">
        <v>5</v>
      </c>
      <c r="O25" s="429">
        <v>5</v>
      </c>
      <c r="P25" s="1002">
        <v>3</v>
      </c>
      <c r="Q25" s="1002">
        <v>5</v>
      </c>
      <c r="R25" s="1002">
        <v>2</v>
      </c>
      <c r="S25" s="1330" t="s">
        <v>1371</v>
      </c>
    </row>
    <row r="26" spans="1:19" ht="15.6" x14ac:dyDescent="0.3">
      <c r="A26" s="312"/>
      <c r="B26" s="1412" t="s">
        <v>226</v>
      </c>
      <c r="C26" s="1413"/>
      <c r="D26" s="1413"/>
      <c r="E26" s="1413"/>
      <c r="F26" s="1413"/>
      <c r="G26" s="1414"/>
      <c r="H26" s="312"/>
      <c r="I26" s="992">
        <v>6</v>
      </c>
      <c r="J26" s="992" t="s">
        <v>1259</v>
      </c>
      <c r="K26" s="992">
        <v>6</v>
      </c>
      <c r="L26" s="992" t="s">
        <v>1259</v>
      </c>
      <c r="M26" s="992">
        <v>6</v>
      </c>
      <c r="N26" s="992" t="s">
        <v>1259</v>
      </c>
      <c r="O26" s="429">
        <v>6</v>
      </c>
      <c r="P26" s="1002">
        <v>4</v>
      </c>
      <c r="Q26" s="1002">
        <v>6</v>
      </c>
      <c r="R26" s="1002">
        <v>3</v>
      </c>
      <c r="S26" s="1330" t="s">
        <v>1371</v>
      </c>
    </row>
    <row r="27" spans="1:19" x14ac:dyDescent="0.25">
      <c r="A27" s="312"/>
      <c r="B27" s="1419" t="s">
        <v>1289</v>
      </c>
      <c r="C27" s="1420"/>
      <c r="D27" s="358">
        <v>0.94</v>
      </c>
      <c r="E27" s="360">
        <f>G17</f>
        <v>10</v>
      </c>
      <c r="F27" s="328">
        <f>D27*E27</f>
        <v>9.4</v>
      </c>
      <c r="G27" s="328">
        <f>F27/F30%</f>
        <v>94.95</v>
      </c>
      <c r="H27" s="312"/>
      <c r="I27" s="992">
        <v>7</v>
      </c>
      <c r="J27" s="992" t="s">
        <v>1259</v>
      </c>
      <c r="K27" s="429">
        <v>7</v>
      </c>
      <c r="L27" s="429">
        <v>5</v>
      </c>
      <c r="M27" s="992">
        <v>7</v>
      </c>
      <c r="N27" s="992" t="s">
        <v>1259</v>
      </c>
      <c r="O27" s="429">
        <v>7</v>
      </c>
      <c r="P27" s="1002">
        <v>5</v>
      </c>
      <c r="Q27" s="992">
        <v>7</v>
      </c>
      <c r="R27" s="992" t="s">
        <v>1259</v>
      </c>
      <c r="S27" s="1330" t="s">
        <v>1371</v>
      </c>
    </row>
    <row r="28" spans="1:19" x14ac:dyDescent="0.25">
      <c r="A28" s="312"/>
      <c r="B28" s="1419" t="s">
        <v>1290</v>
      </c>
      <c r="C28" s="1420"/>
      <c r="D28" s="358">
        <v>0.04</v>
      </c>
      <c r="E28" s="360">
        <f>G17</f>
        <v>10</v>
      </c>
      <c r="F28" s="328">
        <f>D28*E28</f>
        <v>0.4</v>
      </c>
      <c r="G28" s="328">
        <f>F28/F30%</f>
        <v>4.04</v>
      </c>
      <c r="H28" s="312"/>
      <c r="I28" s="992">
        <v>8</v>
      </c>
      <c r="J28" s="992" t="s">
        <v>1259</v>
      </c>
      <c r="K28" s="429">
        <v>8</v>
      </c>
      <c r="L28" s="429">
        <v>6</v>
      </c>
      <c r="M28" s="992">
        <v>8</v>
      </c>
      <c r="N28" s="992" t="s">
        <v>1259</v>
      </c>
      <c r="O28" s="429">
        <v>8</v>
      </c>
      <c r="P28" s="1002">
        <v>6</v>
      </c>
      <c r="Q28" s="992">
        <v>8</v>
      </c>
      <c r="R28" s="992" t="s">
        <v>1259</v>
      </c>
      <c r="S28" s="1330" t="s">
        <v>1371</v>
      </c>
    </row>
    <row r="29" spans="1:19" x14ac:dyDescent="0.25">
      <c r="A29" s="312"/>
      <c r="B29" s="1419" t="s">
        <v>315</v>
      </c>
      <c r="C29" s="1420"/>
      <c r="D29" s="358">
        <v>0.01</v>
      </c>
      <c r="E29" s="360">
        <f>G17</f>
        <v>10</v>
      </c>
      <c r="F29" s="328">
        <f>D29*E29</f>
        <v>0.1</v>
      </c>
      <c r="G29" s="328">
        <f>G30-G27-G28</f>
        <v>1.01</v>
      </c>
      <c r="H29" s="312"/>
      <c r="I29" s="992">
        <v>9</v>
      </c>
      <c r="J29" s="992" t="s">
        <v>1259</v>
      </c>
      <c r="K29" s="429">
        <v>9</v>
      </c>
      <c r="L29" s="429">
        <v>7</v>
      </c>
      <c r="M29" s="995">
        <v>9</v>
      </c>
      <c r="N29" s="429">
        <v>6</v>
      </c>
      <c r="O29" s="992">
        <v>9</v>
      </c>
      <c r="P29" s="992" t="s">
        <v>1259</v>
      </c>
      <c r="Q29" s="992">
        <v>9</v>
      </c>
      <c r="R29" s="992" t="s">
        <v>1259</v>
      </c>
      <c r="S29" s="1330" t="s">
        <v>1371</v>
      </c>
    </row>
    <row r="30" spans="1:19" ht="17.399999999999999" customHeight="1" x14ac:dyDescent="0.25">
      <c r="A30" s="312"/>
      <c r="B30" s="1422" t="s">
        <v>218</v>
      </c>
      <c r="C30" s="1423"/>
      <c r="D30" s="364" t="e">
        <f>#REF!/10</f>
        <v>#REF!</v>
      </c>
      <c r="E30" s="365"/>
      <c r="F30" s="364">
        <f>SUM(F27:F29)</f>
        <v>9.9</v>
      </c>
      <c r="G30" s="366">
        <v>100</v>
      </c>
      <c r="H30" s="312"/>
      <c r="I30" s="429">
        <v>10</v>
      </c>
      <c r="J30" s="429">
        <v>1</v>
      </c>
      <c r="K30" s="429">
        <v>10</v>
      </c>
      <c r="L30" s="429">
        <v>8</v>
      </c>
      <c r="M30" s="995">
        <v>10</v>
      </c>
      <c r="N30" s="429">
        <v>7</v>
      </c>
      <c r="O30" s="992">
        <v>10</v>
      </c>
      <c r="P30" s="992" t="s">
        <v>1259</v>
      </c>
      <c r="Q30" s="992">
        <v>10</v>
      </c>
      <c r="R30" s="992" t="s">
        <v>1259</v>
      </c>
      <c r="S30" s="1330" t="s">
        <v>1371</v>
      </c>
    </row>
    <row r="31" spans="1:19" ht="15.6" x14ac:dyDescent="0.3">
      <c r="A31" s="312"/>
      <c r="B31" s="1412" t="s">
        <v>594</v>
      </c>
      <c r="C31" s="1413"/>
      <c r="D31" s="1413"/>
      <c r="E31" s="1413"/>
      <c r="F31" s="1413"/>
      <c r="G31" s="1414"/>
      <c r="H31" s="312"/>
      <c r="I31" s="429">
        <v>11</v>
      </c>
      <c r="J31" s="429">
        <v>2</v>
      </c>
      <c r="K31" s="429">
        <v>11</v>
      </c>
      <c r="L31" s="429">
        <v>9</v>
      </c>
      <c r="M31" s="995">
        <v>11</v>
      </c>
      <c r="N31" s="429">
        <v>8</v>
      </c>
      <c r="O31" s="429">
        <v>11</v>
      </c>
      <c r="P31" s="1002">
        <v>7</v>
      </c>
      <c r="Q31" s="1002">
        <v>11</v>
      </c>
      <c r="R31" s="1002">
        <v>4</v>
      </c>
      <c r="S31" s="1330" t="s">
        <v>1371</v>
      </c>
    </row>
    <row r="32" spans="1:19" ht="15.6" x14ac:dyDescent="0.3">
      <c r="A32" s="312"/>
      <c r="B32" s="324"/>
      <c r="C32" s="327" t="s">
        <v>316</v>
      </c>
      <c r="D32" s="328"/>
      <c r="E32" s="328"/>
      <c r="F32" s="328">
        <f>F22+F27</f>
        <v>959.4</v>
      </c>
      <c r="G32" s="328">
        <f>F32/F35%</f>
        <v>95</v>
      </c>
      <c r="H32" s="312"/>
      <c r="I32" s="429">
        <v>12</v>
      </c>
      <c r="J32" s="429">
        <v>3</v>
      </c>
      <c r="K32" s="992">
        <v>12</v>
      </c>
      <c r="L32" s="992" t="s">
        <v>1259</v>
      </c>
      <c r="M32" s="992">
        <v>12</v>
      </c>
      <c r="N32" s="992" t="s">
        <v>1259</v>
      </c>
      <c r="O32" s="429">
        <v>12</v>
      </c>
      <c r="P32" s="1002">
        <v>8</v>
      </c>
      <c r="Q32" s="1002">
        <v>12</v>
      </c>
      <c r="R32" s="1002">
        <v>5</v>
      </c>
      <c r="S32" s="1330" t="s">
        <v>1371</v>
      </c>
    </row>
    <row r="33" spans="1:19" x14ac:dyDescent="0.25">
      <c r="A33" s="312"/>
      <c r="B33" s="1419" t="s">
        <v>315</v>
      </c>
      <c r="C33" s="1420"/>
      <c r="D33" s="328"/>
      <c r="E33" s="328"/>
      <c r="F33" s="328">
        <f>F23+F28</f>
        <v>40.4</v>
      </c>
      <c r="G33" s="328">
        <f>F33/F35%</f>
        <v>4</v>
      </c>
      <c r="H33" s="312"/>
      <c r="I33" s="429">
        <v>13</v>
      </c>
      <c r="J33" s="429">
        <v>4</v>
      </c>
      <c r="K33" s="992">
        <v>13</v>
      </c>
      <c r="L33" s="992" t="s">
        <v>1259</v>
      </c>
      <c r="M33" s="992">
        <v>12</v>
      </c>
      <c r="N33" s="992" t="s">
        <v>1259</v>
      </c>
      <c r="O33" s="429">
        <v>13</v>
      </c>
      <c r="P33" s="1002">
        <v>9</v>
      </c>
      <c r="Q33" s="1002">
        <v>13</v>
      </c>
      <c r="R33" s="1002">
        <v>6</v>
      </c>
      <c r="S33" s="1330" t="s">
        <v>1371</v>
      </c>
    </row>
    <row r="34" spans="1:19" ht="15.6" x14ac:dyDescent="0.3">
      <c r="A34" s="312"/>
      <c r="B34" s="324"/>
      <c r="C34" s="327" t="s">
        <v>577</v>
      </c>
      <c r="D34" s="328"/>
      <c r="E34" s="328"/>
      <c r="F34" s="328">
        <f>F24+F29</f>
        <v>10.1</v>
      </c>
      <c r="G34" s="328">
        <f>G35-G32-G33</f>
        <v>1</v>
      </c>
      <c r="H34" s="312"/>
      <c r="I34" s="429">
        <v>14</v>
      </c>
      <c r="J34" s="429">
        <v>5</v>
      </c>
      <c r="K34" s="429">
        <v>14</v>
      </c>
      <c r="L34" s="429">
        <v>10</v>
      </c>
      <c r="M34" s="995">
        <v>14</v>
      </c>
      <c r="N34" s="429">
        <v>9</v>
      </c>
      <c r="O34" s="429">
        <v>14</v>
      </c>
      <c r="P34" s="1002">
        <v>10</v>
      </c>
      <c r="Q34" s="992">
        <v>14</v>
      </c>
      <c r="R34" s="992" t="s">
        <v>1259</v>
      </c>
      <c r="S34" s="1330" t="s">
        <v>1371</v>
      </c>
    </row>
    <row r="35" spans="1:19" ht="17.399999999999999" customHeight="1" x14ac:dyDescent="0.25">
      <c r="A35" s="312"/>
      <c r="B35" s="1422" t="s">
        <v>218</v>
      </c>
      <c r="C35" s="1423"/>
      <c r="D35" s="364" t="e">
        <f>D25+D30</f>
        <v>#REF!</v>
      </c>
      <c r="E35" s="365"/>
      <c r="F35" s="364">
        <f>F25+F30</f>
        <v>1009.9</v>
      </c>
      <c r="G35" s="365">
        <v>100</v>
      </c>
      <c r="H35" s="312"/>
      <c r="I35" s="992">
        <v>15</v>
      </c>
      <c r="J35" s="992" t="s">
        <v>1259</v>
      </c>
      <c r="K35" s="429">
        <v>15</v>
      </c>
      <c r="L35" s="429">
        <v>1</v>
      </c>
      <c r="M35" s="995">
        <v>15</v>
      </c>
      <c r="N35" s="429">
        <v>10</v>
      </c>
      <c r="O35" s="429">
        <v>15</v>
      </c>
      <c r="P35" s="1002">
        <v>1</v>
      </c>
      <c r="Q35" s="992">
        <v>15</v>
      </c>
      <c r="R35" s="992" t="s">
        <v>1259</v>
      </c>
      <c r="S35" s="1330" t="s">
        <v>1371</v>
      </c>
    </row>
    <row r="36" spans="1:19" ht="17.399999999999999" customHeight="1" x14ac:dyDescent="0.25">
      <c r="A36" s="464"/>
      <c r="B36" s="464"/>
      <c r="C36" s="464"/>
      <c r="D36" s="464"/>
      <c r="E36" s="464"/>
      <c r="F36" s="464"/>
      <c r="G36" s="464"/>
      <c r="H36" s="464"/>
      <c r="I36" s="992">
        <v>16</v>
      </c>
      <c r="J36" s="992" t="s">
        <v>1259</v>
      </c>
      <c r="K36" s="429">
        <v>16</v>
      </c>
      <c r="L36" s="429">
        <v>2</v>
      </c>
      <c r="M36" s="995">
        <v>16</v>
      </c>
      <c r="N36" s="429">
        <v>1</v>
      </c>
      <c r="O36" s="992">
        <v>16</v>
      </c>
      <c r="P36" s="992" t="s">
        <v>1259</v>
      </c>
      <c r="Q36" s="1002">
        <v>16</v>
      </c>
      <c r="R36" s="1002">
        <v>7</v>
      </c>
      <c r="S36" s="1330" t="s">
        <v>1371</v>
      </c>
    </row>
    <row r="37" spans="1:19" x14ac:dyDescent="0.25">
      <c r="A37" s="1424"/>
      <c r="B37" s="1424"/>
      <c r="C37" s="505" t="s">
        <v>228</v>
      </c>
      <c r="D37" s="505" t="s">
        <v>221</v>
      </c>
      <c r="E37" s="505"/>
      <c r="F37" s="505"/>
      <c r="G37" s="505"/>
      <c r="H37" s="312"/>
      <c r="I37" s="429">
        <v>17</v>
      </c>
      <c r="J37" s="429">
        <v>6</v>
      </c>
      <c r="K37" s="429">
        <v>17</v>
      </c>
      <c r="L37" s="429">
        <v>3</v>
      </c>
      <c r="M37" s="995">
        <v>17</v>
      </c>
      <c r="N37" s="429">
        <v>2</v>
      </c>
      <c r="O37" s="992">
        <v>17</v>
      </c>
      <c r="P37" s="992" t="s">
        <v>1259</v>
      </c>
      <c r="Q37" s="1002">
        <v>17</v>
      </c>
      <c r="R37" s="1002">
        <v>8</v>
      </c>
      <c r="S37" s="1330" t="s">
        <v>1371</v>
      </c>
    </row>
    <row r="38" spans="1:19" x14ac:dyDescent="0.25">
      <c r="A38" s="1421" t="s">
        <v>716</v>
      </c>
      <c r="B38" s="1421"/>
      <c r="C38" s="1085">
        <v>80</v>
      </c>
      <c r="D38" s="1159">
        <f>C38*21*125</f>
        <v>210000</v>
      </c>
      <c r="E38" s="1088">
        <f>D38/2</f>
        <v>105000</v>
      </c>
      <c r="F38" s="320"/>
      <c r="G38" s="320"/>
      <c r="H38" s="312"/>
      <c r="I38" s="429">
        <v>18</v>
      </c>
      <c r="J38" s="429">
        <v>7</v>
      </c>
      <c r="K38" s="429">
        <v>18</v>
      </c>
      <c r="L38" s="429">
        <v>4</v>
      </c>
      <c r="M38" s="995">
        <v>18</v>
      </c>
      <c r="N38" s="429">
        <v>3</v>
      </c>
      <c r="O38" s="429">
        <v>18</v>
      </c>
      <c r="P38" s="1002">
        <v>2</v>
      </c>
      <c r="Q38" s="1002">
        <v>18</v>
      </c>
      <c r="R38" s="1002">
        <v>9</v>
      </c>
      <c r="S38" s="1330" t="s">
        <v>1371</v>
      </c>
    </row>
    <row r="39" spans="1:19" x14ac:dyDescent="0.25">
      <c r="A39" s="1421" t="s">
        <v>717</v>
      </c>
      <c r="B39" s="1421"/>
      <c r="C39" s="1085">
        <v>50</v>
      </c>
      <c r="D39" s="1159">
        <f t="shared" ref="D39:D53" si="8">C39*21*125</f>
        <v>131250</v>
      </c>
      <c r="E39" s="1088">
        <f t="shared" ref="E39:E53" si="9">D39/2</f>
        <v>65625</v>
      </c>
      <c r="F39" s="320"/>
      <c r="G39" s="320"/>
      <c r="H39" s="312"/>
      <c r="I39" s="429">
        <v>19</v>
      </c>
      <c r="J39" s="429">
        <v>8</v>
      </c>
      <c r="K39" s="992">
        <v>19</v>
      </c>
      <c r="L39" s="992" t="s">
        <v>1259</v>
      </c>
      <c r="M39" s="992">
        <v>19</v>
      </c>
      <c r="N39" s="992" t="s">
        <v>1259</v>
      </c>
      <c r="O39" s="429">
        <v>19</v>
      </c>
      <c r="P39" s="1002">
        <v>3</v>
      </c>
      <c r="Q39" s="1002">
        <v>19</v>
      </c>
      <c r="R39" s="1002">
        <v>10</v>
      </c>
      <c r="S39" s="1330" t="s">
        <v>1371</v>
      </c>
    </row>
    <row r="40" spans="1:19" x14ac:dyDescent="0.25">
      <c r="A40" s="1421" t="s">
        <v>718</v>
      </c>
      <c r="B40" s="1421"/>
      <c r="C40" s="1085">
        <v>45</v>
      </c>
      <c r="D40" s="1159">
        <f t="shared" si="8"/>
        <v>118125</v>
      </c>
      <c r="E40" s="1088">
        <f t="shared" si="9"/>
        <v>59062.5</v>
      </c>
      <c r="F40" s="320"/>
      <c r="G40" s="320"/>
      <c r="H40" s="312"/>
      <c r="I40" s="429">
        <v>20</v>
      </c>
      <c r="J40" s="429">
        <v>9</v>
      </c>
      <c r="K40" s="992">
        <v>20</v>
      </c>
      <c r="L40" s="992" t="s">
        <v>1259</v>
      </c>
      <c r="M40" s="992">
        <v>20</v>
      </c>
      <c r="N40" s="992" t="s">
        <v>1259</v>
      </c>
      <c r="O40" s="429">
        <v>20</v>
      </c>
      <c r="P40" s="1002">
        <v>4</v>
      </c>
      <c r="Q40" s="1002">
        <v>20</v>
      </c>
      <c r="R40" s="1002">
        <v>1</v>
      </c>
      <c r="S40" s="1331" t="s">
        <v>1372</v>
      </c>
    </row>
    <row r="41" spans="1:19" x14ac:dyDescent="0.25">
      <c r="A41" s="1421" t="s">
        <v>719</v>
      </c>
      <c r="B41" s="1421"/>
      <c r="C41" s="1085">
        <v>80</v>
      </c>
      <c r="D41" s="1159">
        <f t="shared" si="8"/>
        <v>210000</v>
      </c>
      <c r="E41" s="1088">
        <f t="shared" si="9"/>
        <v>105000</v>
      </c>
      <c r="F41" s="320"/>
      <c r="G41" s="320"/>
      <c r="H41" s="312"/>
      <c r="I41" s="429">
        <v>21</v>
      </c>
      <c r="J41" s="429">
        <v>10</v>
      </c>
      <c r="K41" s="429">
        <v>21</v>
      </c>
      <c r="L41" s="429">
        <v>5</v>
      </c>
      <c r="M41" s="992">
        <v>21</v>
      </c>
      <c r="N41" s="992" t="s">
        <v>1259</v>
      </c>
      <c r="O41" s="429">
        <v>21</v>
      </c>
      <c r="P41" s="1002">
        <v>5</v>
      </c>
      <c r="Q41" s="992">
        <v>21</v>
      </c>
      <c r="R41" s="992" t="s">
        <v>1259</v>
      </c>
      <c r="S41" s="1331" t="s">
        <v>1373</v>
      </c>
    </row>
    <row r="42" spans="1:19" x14ac:dyDescent="0.25">
      <c r="A42" s="1421" t="s">
        <v>720</v>
      </c>
      <c r="B42" s="1421"/>
      <c r="C42" s="1085">
        <v>40</v>
      </c>
      <c r="D42" s="1159">
        <f t="shared" si="8"/>
        <v>105000</v>
      </c>
      <c r="E42" s="1088">
        <f t="shared" si="9"/>
        <v>52500</v>
      </c>
      <c r="F42" s="320"/>
      <c r="G42" s="320"/>
      <c r="H42" s="312"/>
      <c r="I42" s="992">
        <v>22</v>
      </c>
      <c r="J42" s="992" t="s">
        <v>1259</v>
      </c>
      <c r="K42" s="429">
        <v>22</v>
      </c>
      <c r="L42" s="429">
        <v>6</v>
      </c>
      <c r="M42" s="992">
        <v>22</v>
      </c>
      <c r="N42" s="992" t="s">
        <v>1259</v>
      </c>
      <c r="O42" s="429">
        <v>22</v>
      </c>
      <c r="P42" s="1002">
        <v>6</v>
      </c>
      <c r="Q42" s="992">
        <v>22</v>
      </c>
      <c r="R42" s="992" t="s">
        <v>1259</v>
      </c>
      <c r="S42" s="1331" t="s">
        <v>1374</v>
      </c>
    </row>
    <row r="43" spans="1:19" x14ac:dyDescent="0.25">
      <c r="A43" s="1421" t="s">
        <v>721</v>
      </c>
      <c r="B43" s="1421"/>
      <c r="C43" s="1085">
        <v>60</v>
      </c>
      <c r="D43" s="1159">
        <f t="shared" si="8"/>
        <v>157500</v>
      </c>
      <c r="E43" s="1088">
        <f t="shared" si="9"/>
        <v>78750</v>
      </c>
      <c r="F43" s="320"/>
      <c r="G43" s="320"/>
      <c r="H43" s="312"/>
      <c r="I43" s="992">
        <v>23</v>
      </c>
      <c r="J43" s="992" t="s">
        <v>1259</v>
      </c>
      <c r="K43" s="429">
        <v>23</v>
      </c>
      <c r="L43" s="429">
        <v>7</v>
      </c>
      <c r="M43" s="992">
        <v>23</v>
      </c>
      <c r="N43" s="992" t="s">
        <v>1259</v>
      </c>
      <c r="O43" s="992">
        <v>23</v>
      </c>
      <c r="P43" s="992" t="s">
        <v>1259</v>
      </c>
      <c r="Q43" s="1002">
        <v>23</v>
      </c>
      <c r="R43" s="1002">
        <v>2</v>
      </c>
      <c r="S43" s="1331" t="s">
        <v>1375</v>
      </c>
    </row>
    <row r="44" spans="1:19" x14ac:dyDescent="0.25">
      <c r="A44" s="1421" t="s">
        <v>722</v>
      </c>
      <c r="B44" s="1421"/>
      <c r="C44" s="1085">
        <v>55</v>
      </c>
      <c r="D44" s="1159">
        <f t="shared" si="8"/>
        <v>144375</v>
      </c>
      <c r="E44" s="1088">
        <f t="shared" si="9"/>
        <v>72187.5</v>
      </c>
      <c r="F44" s="320"/>
      <c r="G44" s="320"/>
      <c r="H44" s="312"/>
      <c r="I44" s="429">
        <v>24</v>
      </c>
      <c r="J44" s="429">
        <v>1</v>
      </c>
      <c r="K44" s="429">
        <v>24</v>
      </c>
      <c r="L44" s="429">
        <v>8</v>
      </c>
      <c r="M44" s="992">
        <v>24</v>
      </c>
      <c r="N44" s="992" t="s">
        <v>1259</v>
      </c>
      <c r="O44" s="992">
        <v>24</v>
      </c>
      <c r="P44" s="992" t="s">
        <v>1259</v>
      </c>
      <c r="Q44" s="1002">
        <v>24</v>
      </c>
      <c r="R44" s="1002">
        <v>3</v>
      </c>
      <c r="S44" s="1331" t="s">
        <v>1376</v>
      </c>
    </row>
    <row r="45" spans="1:19" x14ac:dyDescent="0.25">
      <c r="A45" s="1421" t="s">
        <v>723</v>
      </c>
      <c r="B45" s="1421"/>
      <c r="C45" s="1085">
        <v>45</v>
      </c>
      <c r="D45" s="1159">
        <f t="shared" si="8"/>
        <v>118125</v>
      </c>
      <c r="E45" s="1088">
        <f t="shared" si="9"/>
        <v>59062.5</v>
      </c>
      <c r="F45" s="320"/>
      <c r="G45" s="320"/>
      <c r="H45" s="312"/>
      <c r="I45" s="429">
        <v>25</v>
      </c>
      <c r="J45" s="429">
        <v>2</v>
      </c>
      <c r="K45" s="429">
        <v>25</v>
      </c>
      <c r="L45" s="429">
        <v>9</v>
      </c>
      <c r="M45" s="992">
        <v>25</v>
      </c>
      <c r="N45" s="992" t="s">
        <v>1259</v>
      </c>
      <c r="O45" s="429">
        <v>25</v>
      </c>
      <c r="P45" s="1002">
        <v>7</v>
      </c>
      <c r="Q45" s="1002">
        <v>25</v>
      </c>
      <c r="R45" s="1002">
        <v>4</v>
      </c>
      <c r="S45" s="1331" t="s">
        <v>1377</v>
      </c>
    </row>
    <row r="46" spans="1:19" x14ac:dyDescent="0.25">
      <c r="A46" s="1421" t="s">
        <v>724</v>
      </c>
      <c r="B46" s="1421"/>
      <c r="C46" s="1086">
        <v>34</v>
      </c>
      <c r="D46" s="1159">
        <f t="shared" si="8"/>
        <v>89250</v>
      </c>
      <c r="E46" s="1088">
        <f t="shared" si="9"/>
        <v>44625</v>
      </c>
      <c r="F46" s="320"/>
      <c r="G46" s="320"/>
      <c r="H46" s="312"/>
      <c r="I46" s="429">
        <v>26</v>
      </c>
      <c r="J46" s="429">
        <v>3</v>
      </c>
      <c r="K46" s="992">
        <v>26</v>
      </c>
      <c r="L46" s="992" t="s">
        <v>1259</v>
      </c>
      <c r="M46" s="992">
        <v>26</v>
      </c>
      <c r="N46" s="992" t="s">
        <v>1259</v>
      </c>
      <c r="O46" s="429">
        <v>26</v>
      </c>
      <c r="P46" s="1002">
        <v>8</v>
      </c>
      <c r="Q46" s="1002">
        <v>26</v>
      </c>
      <c r="R46" s="1002">
        <v>5</v>
      </c>
      <c r="S46" s="1331" t="s">
        <v>1378</v>
      </c>
    </row>
    <row r="47" spans="1:19" x14ac:dyDescent="0.25">
      <c r="A47" s="1421" t="s">
        <v>725</v>
      </c>
      <c r="B47" s="1421"/>
      <c r="C47" s="1085">
        <v>30</v>
      </c>
      <c r="D47" s="1159">
        <f t="shared" si="8"/>
        <v>78750</v>
      </c>
      <c r="E47" s="1088">
        <f t="shared" si="9"/>
        <v>39375</v>
      </c>
      <c r="F47" s="320"/>
      <c r="G47" s="320"/>
      <c r="H47" s="312"/>
      <c r="I47" s="429">
        <v>27</v>
      </c>
      <c r="J47" s="429">
        <v>4</v>
      </c>
      <c r="K47" s="992">
        <v>27</v>
      </c>
      <c r="L47" s="992" t="s">
        <v>1259</v>
      </c>
      <c r="M47" s="992">
        <v>27</v>
      </c>
      <c r="N47" s="992" t="s">
        <v>1259</v>
      </c>
      <c r="O47" s="429">
        <v>27</v>
      </c>
      <c r="P47" s="1002">
        <v>9</v>
      </c>
      <c r="Q47" s="1002">
        <v>27</v>
      </c>
      <c r="R47" s="1002">
        <v>6</v>
      </c>
      <c r="S47" s="1331" t="s">
        <v>1379</v>
      </c>
    </row>
    <row r="48" spans="1:19" x14ac:dyDescent="0.25">
      <c r="A48" s="1421" t="s">
        <v>726</v>
      </c>
      <c r="B48" s="1421"/>
      <c r="C48" s="1085">
        <v>0</v>
      </c>
      <c r="D48" s="1159">
        <f t="shared" si="8"/>
        <v>0</v>
      </c>
      <c r="E48" s="1088">
        <f t="shared" si="9"/>
        <v>0</v>
      </c>
      <c r="F48" s="320"/>
      <c r="G48" s="320"/>
      <c r="H48" s="312"/>
      <c r="I48" s="429">
        <v>28</v>
      </c>
      <c r="J48" s="429">
        <v>5</v>
      </c>
      <c r="K48" s="429">
        <v>28</v>
      </c>
      <c r="L48" s="429">
        <v>10</v>
      </c>
      <c r="M48" s="995">
        <v>28</v>
      </c>
      <c r="N48" s="429">
        <v>4</v>
      </c>
      <c r="O48" s="429">
        <v>28</v>
      </c>
      <c r="P48" s="1002">
        <v>10</v>
      </c>
      <c r="Q48" s="992">
        <v>28</v>
      </c>
      <c r="R48" s="992" t="s">
        <v>1259</v>
      </c>
      <c r="S48" s="1331" t="s">
        <v>1380</v>
      </c>
    </row>
    <row r="49" spans="1:19" x14ac:dyDescent="0.25">
      <c r="A49" s="1421" t="s">
        <v>727</v>
      </c>
      <c r="B49" s="1421"/>
      <c r="C49" s="1085">
        <v>40</v>
      </c>
      <c r="D49" s="1159">
        <f t="shared" si="8"/>
        <v>105000</v>
      </c>
      <c r="E49" s="1088">
        <f t="shared" si="9"/>
        <v>52500</v>
      </c>
      <c r="F49" s="320"/>
      <c r="G49" s="320"/>
      <c r="H49" s="312"/>
      <c r="I49" s="992">
        <v>29</v>
      </c>
      <c r="J49" s="992" t="s">
        <v>1259</v>
      </c>
      <c r="K49" s="429"/>
      <c r="L49" s="429"/>
      <c r="M49" s="995">
        <v>29</v>
      </c>
      <c r="N49" s="429">
        <v>5</v>
      </c>
      <c r="O49" s="429">
        <v>29</v>
      </c>
      <c r="P49" s="1002">
        <v>1</v>
      </c>
      <c r="Q49" s="992">
        <v>29</v>
      </c>
      <c r="R49" s="992" t="s">
        <v>1259</v>
      </c>
      <c r="S49" s="1331" t="s">
        <v>1381</v>
      </c>
    </row>
    <row r="50" spans="1:19" x14ac:dyDescent="0.25">
      <c r="A50" s="1421" t="s">
        <v>728</v>
      </c>
      <c r="B50" s="1421"/>
      <c r="C50" s="1085">
        <v>0</v>
      </c>
      <c r="D50" s="1159">
        <f t="shared" si="8"/>
        <v>0</v>
      </c>
      <c r="E50" s="1088">
        <f t="shared" si="9"/>
        <v>0</v>
      </c>
      <c r="F50" s="320"/>
      <c r="G50" s="320"/>
      <c r="H50" s="312"/>
      <c r="I50" s="992">
        <v>30</v>
      </c>
      <c r="J50" s="992" t="s">
        <v>1259</v>
      </c>
      <c r="K50" s="429"/>
      <c r="L50" s="429"/>
      <c r="M50" s="995">
        <v>30</v>
      </c>
      <c r="N50" s="429">
        <v>6</v>
      </c>
      <c r="O50" s="992">
        <v>30</v>
      </c>
      <c r="P50" s="992" t="s">
        <v>1259</v>
      </c>
      <c r="Q50" s="1002">
        <v>30</v>
      </c>
      <c r="R50" s="1002">
        <v>7</v>
      </c>
      <c r="S50" s="1331" t="s">
        <v>1382</v>
      </c>
    </row>
    <row r="51" spans="1:19" x14ac:dyDescent="0.25">
      <c r="A51" s="1421" t="s">
        <v>729</v>
      </c>
      <c r="B51" s="1421"/>
      <c r="C51" s="1085">
        <v>55</v>
      </c>
      <c r="D51" s="1159">
        <f t="shared" si="8"/>
        <v>144375</v>
      </c>
      <c r="E51" s="1088">
        <f t="shared" si="9"/>
        <v>72187.5</v>
      </c>
      <c r="F51" s="320"/>
      <c r="G51" s="320"/>
      <c r="H51" s="312"/>
      <c r="I51" s="429">
        <v>31</v>
      </c>
      <c r="J51" s="429">
        <v>6</v>
      </c>
      <c r="K51" s="429"/>
      <c r="L51" s="429"/>
      <c r="M51" s="995">
        <v>31</v>
      </c>
      <c r="N51" s="429">
        <v>7</v>
      </c>
      <c r="O51" s="999"/>
      <c r="P51" s="999"/>
      <c r="Q51" s="992">
        <v>31</v>
      </c>
      <c r="R51" s="992" t="s">
        <v>1259</v>
      </c>
      <c r="S51" s="1331" t="s">
        <v>1383</v>
      </c>
    </row>
    <row r="52" spans="1:19" x14ac:dyDescent="0.25">
      <c r="A52" s="1421" t="s">
        <v>730</v>
      </c>
      <c r="B52" s="1421"/>
      <c r="C52" s="1085">
        <v>50</v>
      </c>
      <c r="D52" s="1159">
        <f t="shared" si="8"/>
        <v>131250</v>
      </c>
      <c r="E52" s="1088">
        <f t="shared" si="9"/>
        <v>65625</v>
      </c>
      <c r="F52" s="320"/>
      <c r="G52" s="320"/>
      <c r="H52" s="312"/>
      <c r="I52" s="587"/>
      <c r="J52" s="587"/>
      <c r="K52" s="587"/>
      <c r="L52" s="323"/>
      <c r="M52" s="312"/>
      <c r="N52" s="312"/>
      <c r="O52" s="1000"/>
      <c r="P52" s="1001"/>
    </row>
    <row r="53" spans="1:19" x14ac:dyDescent="0.25">
      <c r="A53" s="1421" t="s">
        <v>731</v>
      </c>
      <c r="B53" s="1421"/>
      <c r="C53" s="1085">
        <v>30</v>
      </c>
      <c r="D53" s="1159">
        <f t="shared" si="8"/>
        <v>78750</v>
      </c>
      <c r="E53" s="1088">
        <f t="shared" si="9"/>
        <v>39375</v>
      </c>
      <c r="F53" s="320"/>
      <c r="G53" s="320"/>
      <c r="H53" s="312"/>
      <c r="I53" s="587"/>
      <c r="J53" s="587"/>
      <c r="K53" s="587"/>
      <c r="L53" s="323"/>
      <c r="M53" s="312"/>
      <c r="N53" s="312"/>
      <c r="O53" s="312"/>
    </row>
    <row r="54" spans="1:19" x14ac:dyDescent="0.25">
      <c r="A54" s="503"/>
      <c r="B54" s="503"/>
      <c r="C54" s="1087">
        <f>SUM(C38:C53)</f>
        <v>694</v>
      </c>
      <c r="D54" s="503">
        <f>SUM(D38:D53)</f>
        <v>1821750</v>
      </c>
      <c r="E54" s="1089">
        <f>SUM(E38:E53)</f>
        <v>910875</v>
      </c>
      <c r="F54" s="320"/>
      <c r="G54" s="320"/>
      <c r="H54" s="312"/>
      <c r="I54" s="587"/>
      <c r="J54" s="587"/>
      <c r="K54" s="587"/>
      <c r="L54" s="323"/>
      <c r="M54" s="312"/>
      <c r="N54" s="312"/>
      <c r="O54" s="312"/>
    </row>
    <row r="55" spans="1:19" ht="41.4" x14ac:dyDescent="0.25">
      <c r="A55" s="312"/>
      <c r="B55" s="312"/>
      <c r="C55" s="313"/>
      <c r="D55" s="312" t="s">
        <v>1303</v>
      </c>
      <c r="E55" s="312"/>
      <c r="F55" s="313"/>
      <c r="G55" s="312"/>
      <c r="H55" s="312"/>
      <c r="I55" s="587"/>
      <c r="J55" s="587"/>
      <c r="K55" s="587"/>
      <c r="L55" s="323"/>
      <c r="M55" s="312"/>
      <c r="N55" s="312"/>
      <c r="O55" s="312"/>
    </row>
    <row r="56" spans="1:19" x14ac:dyDescent="0.25">
      <c r="A56" s="312"/>
      <c r="B56" s="312"/>
      <c r="C56" s="313"/>
      <c r="D56" s="312"/>
      <c r="E56" s="312"/>
      <c r="F56" s="313"/>
      <c r="G56" s="312"/>
      <c r="H56" s="312"/>
      <c r="I56" s="587"/>
      <c r="J56" s="587"/>
      <c r="K56" s="587"/>
      <c r="L56" s="323"/>
      <c r="M56" s="312"/>
      <c r="N56" s="312"/>
      <c r="O56" s="312"/>
    </row>
    <row r="57" spans="1:19" x14ac:dyDescent="0.25">
      <c r="A57" s="312"/>
      <c r="B57" s="312"/>
      <c r="C57" s="313"/>
      <c r="D57" s="312"/>
      <c r="E57" s="312"/>
      <c r="F57" s="313"/>
      <c r="G57" s="312"/>
      <c r="H57" s="312"/>
      <c r="I57" s="587"/>
      <c r="J57" s="587"/>
      <c r="K57" s="587"/>
      <c r="L57" s="323"/>
      <c r="M57" s="312"/>
      <c r="N57" s="312"/>
      <c r="O57" s="312"/>
    </row>
    <row r="58" spans="1:19" x14ac:dyDescent="0.25">
      <c r="A58" s="312"/>
      <c r="B58" s="312"/>
      <c r="C58" s="313"/>
      <c r="D58" s="312"/>
      <c r="E58" s="312"/>
      <c r="F58" s="313"/>
      <c r="G58" s="312"/>
      <c r="H58" s="312"/>
      <c r="I58" s="587"/>
      <c r="J58" s="587"/>
      <c r="K58" s="587"/>
      <c r="L58" s="323"/>
      <c r="M58" s="312"/>
      <c r="N58" s="312"/>
      <c r="O58" s="312"/>
    </row>
    <row r="59" spans="1:19" x14ac:dyDescent="0.25">
      <c r="A59" s="312"/>
      <c r="B59" s="312"/>
      <c r="C59" s="313"/>
      <c r="D59" s="312"/>
      <c r="E59" s="312"/>
      <c r="F59" s="313"/>
      <c r="G59" s="312"/>
      <c r="H59" s="312"/>
      <c r="I59" s="587"/>
      <c r="J59" s="587"/>
      <c r="K59" s="587"/>
      <c r="L59" s="323"/>
      <c r="M59" s="312"/>
      <c r="N59" s="312"/>
      <c r="O59" s="312"/>
    </row>
    <row r="60" spans="1:19" x14ac:dyDescent="0.25">
      <c r="A60" s="312"/>
      <c r="B60" s="312"/>
      <c r="C60" s="313"/>
      <c r="D60" s="312"/>
      <c r="E60" s="312"/>
      <c r="F60" s="313"/>
      <c r="G60" s="312"/>
      <c r="H60" s="312"/>
      <c r="I60" s="587"/>
      <c r="J60" s="587"/>
      <c r="K60" s="587"/>
      <c r="L60" s="323"/>
      <c r="M60" s="312"/>
      <c r="N60" s="312"/>
      <c r="O60" s="312"/>
    </row>
    <row r="61" spans="1:19" x14ac:dyDescent="0.25">
      <c r="A61" s="312"/>
      <c r="B61" s="312"/>
      <c r="C61" s="313"/>
      <c r="D61" s="312"/>
      <c r="E61" s="312"/>
      <c r="F61" s="313"/>
      <c r="G61" s="312"/>
      <c r="H61" s="312"/>
      <c r="I61" s="587"/>
      <c r="J61" s="587"/>
      <c r="K61" s="587"/>
      <c r="L61" s="323"/>
      <c r="M61" s="312"/>
      <c r="N61" s="312"/>
      <c r="O61" s="312"/>
    </row>
    <row r="62" spans="1:19" x14ac:dyDescent="0.25">
      <c r="A62" s="312"/>
      <c r="B62" s="312"/>
      <c r="C62" s="313"/>
      <c r="D62" s="312"/>
      <c r="E62" s="312"/>
      <c r="F62" s="313"/>
      <c r="G62" s="312"/>
      <c r="H62" s="312"/>
      <c r="I62" s="587"/>
      <c r="J62" s="587"/>
      <c r="K62" s="587"/>
      <c r="L62" s="323"/>
      <c r="M62" s="312"/>
      <c r="N62" s="312"/>
      <c r="O62" s="312"/>
    </row>
    <row r="63" spans="1:19" x14ac:dyDescent="0.25">
      <c r="A63" s="312"/>
      <c r="B63" s="312"/>
      <c r="C63" s="313"/>
      <c r="D63" s="312"/>
      <c r="E63" s="312"/>
      <c r="F63" s="313"/>
      <c r="G63" s="312"/>
      <c r="H63" s="312"/>
      <c r="I63" s="587"/>
      <c r="J63" s="587"/>
      <c r="K63" s="587"/>
      <c r="L63" s="323"/>
      <c r="M63" s="312"/>
      <c r="N63" s="312"/>
      <c r="O63" s="312"/>
    </row>
    <row r="64" spans="1:19" x14ac:dyDescent="0.25">
      <c r="A64" s="312"/>
      <c r="B64" s="312"/>
      <c r="C64" s="313"/>
      <c r="D64" s="312"/>
      <c r="E64" s="312"/>
      <c r="F64" s="313"/>
      <c r="G64" s="312"/>
      <c r="H64" s="312"/>
      <c r="I64" s="587"/>
      <c r="J64" s="587"/>
      <c r="K64" s="587"/>
      <c r="L64" s="323"/>
      <c r="M64" s="312"/>
      <c r="N64" s="312"/>
      <c r="O64" s="312"/>
    </row>
    <row r="65" spans="1:15" x14ac:dyDescent="0.25">
      <c r="A65" s="312"/>
      <c r="B65" s="312"/>
      <c r="C65" s="313"/>
      <c r="D65" s="312"/>
      <c r="E65" s="312"/>
      <c r="F65" s="313"/>
      <c r="G65" s="312"/>
      <c r="H65" s="312"/>
      <c r="I65" s="587"/>
      <c r="J65" s="587"/>
      <c r="K65" s="587"/>
      <c r="L65" s="323"/>
      <c r="M65" s="312"/>
      <c r="N65" s="312"/>
      <c r="O65" s="312"/>
    </row>
    <row r="66" spans="1:15" x14ac:dyDescent="0.25">
      <c r="A66" s="312"/>
      <c r="B66" s="312"/>
      <c r="C66" s="313"/>
      <c r="D66" s="312"/>
      <c r="E66" s="312"/>
      <c r="F66" s="313"/>
      <c r="G66" s="312"/>
      <c r="H66" s="312"/>
      <c r="I66" s="587"/>
      <c r="J66" s="587"/>
      <c r="K66" s="587"/>
      <c r="L66" s="323"/>
      <c r="M66" s="312"/>
      <c r="N66" s="312"/>
      <c r="O66" s="312"/>
    </row>
    <row r="67" spans="1:15" x14ac:dyDescent="0.25">
      <c r="A67" s="312"/>
      <c r="B67" s="312"/>
      <c r="C67" s="313"/>
      <c r="D67" s="312"/>
      <c r="E67" s="312"/>
      <c r="F67" s="313"/>
      <c r="G67" s="312"/>
      <c r="H67" s="312"/>
      <c r="I67" s="587"/>
      <c r="J67" s="587"/>
      <c r="K67" s="587"/>
      <c r="L67" s="323"/>
      <c r="M67" s="312"/>
      <c r="N67" s="312"/>
      <c r="O67" s="312"/>
    </row>
    <row r="68" spans="1:15" x14ac:dyDescent="0.25">
      <c r="A68" s="312"/>
      <c r="B68" s="312"/>
      <c r="C68" s="313"/>
      <c r="D68" s="312"/>
      <c r="E68" s="312"/>
      <c r="F68" s="313"/>
      <c r="G68" s="312"/>
      <c r="H68" s="312"/>
      <c r="I68" s="587"/>
      <c r="J68" s="587"/>
      <c r="K68" s="587"/>
      <c r="L68" s="323"/>
      <c r="M68" s="312"/>
      <c r="N68" s="312"/>
      <c r="O68" s="312"/>
    </row>
    <row r="69" spans="1:15" x14ac:dyDescent="0.25">
      <c r="A69" s="312"/>
      <c r="B69" s="312"/>
      <c r="C69" s="313"/>
      <c r="D69" s="312"/>
      <c r="E69" s="312"/>
      <c r="F69" s="313"/>
      <c r="G69" s="312"/>
      <c r="H69" s="312"/>
      <c r="I69" s="587"/>
      <c r="J69" s="587"/>
      <c r="K69" s="587"/>
      <c r="L69" s="323"/>
      <c r="M69" s="312"/>
      <c r="N69" s="312"/>
      <c r="O69" s="312"/>
    </row>
    <row r="70" spans="1:15" x14ac:dyDescent="0.25">
      <c r="A70" s="312"/>
      <c r="B70" s="312"/>
      <c r="C70" s="313"/>
      <c r="D70" s="312"/>
      <c r="E70" s="312"/>
      <c r="F70" s="313"/>
      <c r="G70" s="312"/>
      <c r="H70" s="312"/>
      <c r="I70" s="587"/>
      <c r="J70" s="587"/>
      <c r="K70" s="587"/>
      <c r="L70" s="323"/>
      <c r="M70" s="312"/>
      <c r="N70" s="312"/>
      <c r="O70" s="312"/>
    </row>
    <row r="71" spans="1:15" x14ac:dyDescent="0.25">
      <c r="A71" s="312"/>
      <c r="B71" s="312"/>
      <c r="C71" s="313"/>
      <c r="D71" s="312"/>
      <c r="E71" s="312"/>
      <c r="F71" s="313"/>
      <c r="G71" s="312"/>
      <c r="H71" s="312"/>
      <c r="I71" s="587"/>
      <c r="J71" s="587"/>
      <c r="K71" s="587"/>
      <c r="L71" s="323"/>
      <c r="M71" s="312"/>
      <c r="N71" s="312"/>
      <c r="O71" s="312"/>
    </row>
    <row r="72" spans="1:15" x14ac:dyDescent="0.25">
      <c r="A72" s="312"/>
      <c r="B72" s="312"/>
      <c r="C72" s="313"/>
      <c r="D72" s="312"/>
      <c r="E72" s="312"/>
      <c r="F72" s="313"/>
      <c r="G72" s="312"/>
      <c r="H72" s="312"/>
      <c r="I72" s="587"/>
      <c r="J72" s="587"/>
      <c r="K72" s="587"/>
      <c r="L72" s="323"/>
      <c r="M72" s="312"/>
      <c r="N72" s="312"/>
      <c r="O72" s="312"/>
    </row>
    <row r="73" spans="1:15" x14ac:dyDescent="0.25">
      <c r="A73" s="312"/>
      <c r="B73" s="312"/>
      <c r="C73" s="313"/>
      <c r="D73" s="312"/>
      <c r="E73" s="312"/>
      <c r="F73" s="313"/>
      <c r="G73" s="312"/>
      <c r="H73" s="312"/>
      <c r="I73" s="587"/>
      <c r="J73" s="587"/>
      <c r="K73" s="587"/>
      <c r="L73" s="323"/>
      <c r="M73" s="312"/>
      <c r="N73" s="312"/>
      <c r="O73" s="312"/>
    </row>
    <row r="74" spans="1:15" x14ac:dyDescent="0.25">
      <c r="A74" s="312"/>
      <c r="B74" s="312"/>
      <c r="C74" s="313"/>
      <c r="D74" s="312"/>
      <c r="E74" s="312"/>
      <c r="F74" s="313"/>
      <c r="G74" s="312"/>
      <c r="H74" s="312"/>
      <c r="I74" s="587"/>
      <c r="J74" s="587"/>
      <c r="K74" s="587"/>
      <c r="L74" s="323"/>
      <c r="M74" s="312"/>
      <c r="N74" s="312"/>
      <c r="O74" s="312"/>
    </row>
    <row r="75" spans="1:15" x14ac:dyDescent="0.25">
      <c r="A75" s="312"/>
      <c r="B75" s="312"/>
      <c r="C75" s="313"/>
      <c r="D75" s="312"/>
      <c r="E75" s="312"/>
      <c r="F75" s="313"/>
      <c r="G75" s="312"/>
      <c r="H75" s="312"/>
      <c r="I75" s="587"/>
      <c r="J75" s="587"/>
      <c r="K75" s="587"/>
      <c r="L75" s="323"/>
      <c r="M75" s="312"/>
      <c r="N75" s="312"/>
      <c r="O75" s="312"/>
    </row>
    <row r="76" spans="1:15" x14ac:dyDescent="0.25">
      <c r="A76" s="312"/>
      <c r="B76" s="312"/>
      <c r="C76" s="313"/>
      <c r="D76" s="312"/>
      <c r="E76" s="312"/>
      <c r="F76" s="313"/>
      <c r="G76" s="312"/>
      <c r="H76" s="312"/>
      <c r="I76" s="587"/>
      <c r="J76" s="587"/>
      <c r="K76" s="587"/>
      <c r="L76" s="323"/>
      <c r="M76" s="312"/>
      <c r="N76" s="312"/>
      <c r="O76" s="312"/>
    </row>
    <row r="77" spans="1:15" x14ac:dyDescent="0.25">
      <c r="A77" s="312"/>
      <c r="B77" s="312"/>
      <c r="C77" s="313"/>
      <c r="D77" s="312"/>
      <c r="E77" s="312"/>
      <c r="F77" s="313"/>
      <c r="G77" s="312"/>
      <c r="H77" s="312"/>
      <c r="I77" s="587"/>
      <c r="J77" s="587"/>
      <c r="K77" s="587"/>
      <c r="L77" s="323"/>
      <c r="M77" s="312"/>
      <c r="N77" s="312"/>
      <c r="O77" s="312"/>
    </row>
    <row r="78" spans="1:15" x14ac:dyDescent="0.25">
      <c r="A78" s="312"/>
      <c r="B78" s="312"/>
      <c r="C78" s="313"/>
      <c r="D78" s="312"/>
      <c r="E78" s="312"/>
      <c r="F78" s="313"/>
      <c r="G78" s="312"/>
      <c r="H78" s="312"/>
      <c r="I78" s="587"/>
      <c r="J78" s="587"/>
      <c r="K78" s="587"/>
      <c r="L78" s="323"/>
      <c r="M78" s="312"/>
      <c r="N78" s="312"/>
      <c r="O78" s="312"/>
    </row>
    <row r="79" spans="1:15" x14ac:dyDescent="0.25">
      <c r="A79" s="312"/>
      <c r="B79" s="312"/>
      <c r="C79" s="313"/>
      <c r="D79" s="312"/>
      <c r="E79" s="312"/>
      <c r="F79" s="313"/>
      <c r="G79" s="312"/>
      <c r="H79" s="312"/>
      <c r="I79" s="587"/>
      <c r="J79" s="587"/>
      <c r="K79" s="587"/>
      <c r="L79" s="323"/>
      <c r="M79" s="312"/>
      <c r="N79" s="312"/>
      <c r="O79" s="312"/>
    </row>
    <row r="80" spans="1:15" x14ac:dyDescent="0.25">
      <c r="A80" s="312"/>
      <c r="B80" s="312"/>
      <c r="C80" s="313"/>
      <c r="D80" s="312"/>
      <c r="E80" s="312"/>
      <c r="F80" s="313"/>
      <c r="G80" s="312"/>
      <c r="H80" s="312"/>
      <c r="I80" s="587"/>
      <c r="J80" s="587"/>
      <c r="K80" s="587"/>
      <c r="L80" s="323"/>
      <c r="M80" s="312"/>
      <c r="N80" s="312"/>
      <c r="O80" s="312"/>
    </row>
    <row r="81" spans="1:15" x14ac:dyDescent="0.25">
      <c r="A81" s="312"/>
      <c r="B81" s="312"/>
      <c r="C81" s="313"/>
      <c r="D81" s="312"/>
      <c r="E81" s="312"/>
      <c r="F81" s="313"/>
      <c r="G81" s="312"/>
      <c r="H81" s="312"/>
      <c r="I81" s="587"/>
      <c r="J81" s="587"/>
      <c r="K81" s="587"/>
      <c r="L81" s="323"/>
      <c r="M81" s="312"/>
      <c r="N81" s="312"/>
      <c r="O81" s="312"/>
    </row>
    <row r="82" spans="1:15" x14ac:dyDescent="0.25">
      <c r="A82" s="312"/>
      <c r="B82" s="312"/>
      <c r="C82" s="313"/>
      <c r="D82" s="312"/>
      <c r="E82" s="312"/>
      <c r="F82" s="313"/>
      <c r="G82" s="312"/>
      <c r="H82" s="312"/>
      <c r="I82" s="587"/>
      <c r="J82" s="587"/>
      <c r="K82" s="587"/>
      <c r="L82" s="323"/>
      <c r="M82" s="312"/>
      <c r="N82" s="312"/>
      <c r="O82" s="312"/>
    </row>
    <row r="83" spans="1:15" x14ac:dyDescent="0.25">
      <c r="A83" s="312"/>
      <c r="B83" s="312"/>
      <c r="C83" s="313"/>
      <c r="D83" s="312"/>
      <c r="E83" s="312"/>
      <c r="F83" s="313"/>
      <c r="G83" s="312"/>
      <c r="H83" s="312"/>
      <c r="I83" s="587"/>
      <c r="J83" s="587"/>
      <c r="K83" s="587"/>
      <c r="L83" s="323"/>
      <c r="M83" s="312"/>
      <c r="N83" s="312"/>
      <c r="O83" s="312"/>
    </row>
    <row r="84" spans="1:15" x14ac:dyDescent="0.25">
      <c r="A84" s="312"/>
      <c r="B84" s="312"/>
      <c r="C84" s="313"/>
      <c r="D84" s="312"/>
      <c r="E84" s="312"/>
      <c r="F84" s="313"/>
      <c r="G84" s="312"/>
      <c r="H84" s="312"/>
      <c r="I84" s="587"/>
      <c r="J84" s="587"/>
      <c r="K84" s="587"/>
      <c r="L84" s="323"/>
      <c r="M84" s="312"/>
      <c r="N84" s="312"/>
      <c r="O84" s="312"/>
    </row>
    <row r="85" spans="1:15" x14ac:dyDescent="0.25">
      <c r="A85" s="312"/>
      <c r="B85" s="312"/>
      <c r="C85" s="313"/>
      <c r="D85" s="312"/>
      <c r="E85" s="312"/>
      <c r="F85" s="313"/>
      <c r="G85" s="312"/>
      <c r="H85" s="312"/>
      <c r="I85" s="587"/>
      <c r="J85" s="587"/>
      <c r="K85" s="587"/>
      <c r="L85" s="323"/>
      <c r="M85" s="312"/>
      <c r="N85" s="312"/>
      <c r="O85" s="312"/>
    </row>
    <row r="86" spans="1:15" x14ac:dyDescent="0.25">
      <c r="A86" s="312"/>
      <c r="B86" s="312"/>
      <c r="C86" s="313"/>
      <c r="D86" s="312"/>
      <c r="E86" s="312"/>
      <c r="F86" s="313"/>
      <c r="G86" s="312"/>
      <c r="H86" s="312"/>
      <c r="I86" s="587"/>
      <c r="J86" s="587"/>
      <c r="K86" s="587"/>
      <c r="L86" s="323"/>
      <c r="M86" s="312"/>
      <c r="N86" s="312"/>
      <c r="O86" s="312"/>
    </row>
    <row r="87" spans="1:15" x14ac:dyDescent="0.25">
      <c r="A87" s="312"/>
      <c r="B87" s="312"/>
      <c r="C87" s="313"/>
      <c r="D87" s="312"/>
      <c r="E87" s="312"/>
      <c r="F87" s="313"/>
      <c r="G87" s="312"/>
      <c r="H87" s="312"/>
      <c r="I87" s="587"/>
      <c r="J87" s="587"/>
      <c r="K87" s="587"/>
      <c r="L87" s="323"/>
      <c r="M87" s="312"/>
      <c r="N87" s="312"/>
      <c r="O87" s="312"/>
    </row>
    <row r="88" spans="1:15" x14ac:dyDescent="0.25">
      <c r="A88" s="312"/>
      <c r="B88" s="312"/>
      <c r="C88" s="313"/>
      <c r="D88" s="312"/>
      <c r="E88" s="312"/>
      <c r="F88" s="313"/>
      <c r="G88" s="312"/>
      <c r="H88" s="312"/>
      <c r="I88" s="587"/>
      <c r="J88" s="587"/>
      <c r="K88" s="587"/>
      <c r="L88" s="323"/>
      <c r="M88" s="312"/>
      <c r="N88" s="312"/>
      <c r="O88" s="312"/>
    </row>
    <row r="89" spans="1:15" x14ac:dyDescent="0.25">
      <c r="A89" s="312"/>
      <c r="B89" s="312"/>
      <c r="C89" s="313"/>
      <c r="D89" s="312"/>
      <c r="E89" s="312"/>
      <c r="F89" s="313"/>
      <c r="G89" s="312"/>
      <c r="H89" s="312"/>
      <c r="I89" s="587"/>
      <c r="J89" s="587"/>
      <c r="K89" s="587"/>
      <c r="L89" s="323"/>
      <c r="M89" s="312"/>
      <c r="N89" s="312"/>
      <c r="O89" s="312"/>
    </row>
    <row r="90" spans="1:15" x14ac:dyDescent="0.25">
      <c r="A90" s="312"/>
      <c r="B90" s="312"/>
      <c r="C90" s="313"/>
      <c r="D90" s="312"/>
      <c r="E90" s="312"/>
      <c r="F90" s="313"/>
      <c r="G90" s="312"/>
      <c r="H90" s="312"/>
      <c r="I90" s="587"/>
      <c r="J90" s="587"/>
      <c r="K90" s="587"/>
      <c r="L90" s="323"/>
      <c r="M90" s="312"/>
      <c r="N90" s="312"/>
      <c r="O90" s="312"/>
    </row>
    <row r="91" spans="1:15" x14ac:dyDescent="0.25">
      <c r="A91" s="312"/>
      <c r="B91" s="312"/>
      <c r="C91" s="313"/>
      <c r="D91" s="312"/>
      <c r="E91" s="312"/>
      <c r="F91" s="313"/>
      <c r="G91" s="312"/>
      <c r="H91" s="312"/>
      <c r="I91" s="587"/>
      <c r="J91" s="587"/>
      <c r="K91" s="587"/>
      <c r="L91" s="323"/>
      <c r="M91" s="312"/>
      <c r="N91" s="312"/>
      <c r="O91" s="312"/>
    </row>
    <row r="92" spans="1:15" x14ac:dyDescent="0.25">
      <c r="A92" s="312"/>
      <c r="B92" s="312"/>
      <c r="C92" s="313"/>
      <c r="D92" s="312"/>
      <c r="E92" s="312"/>
      <c r="F92" s="313"/>
      <c r="G92" s="312"/>
      <c r="H92" s="312"/>
      <c r="I92" s="587"/>
      <c r="J92" s="587"/>
      <c r="K92" s="587"/>
      <c r="L92" s="323"/>
      <c r="M92" s="312"/>
      <c r="N92" s="312"/>
      <c r="O92" s="312"/>
    </row>
    <row r="93" spans="1:15" x14ac:dyDescent="0.25">
      <c r="A93" s="312"/>
      <c r="B93" s="312"/>
      <c r="C93" s="313"/>
      <c r="D93" s="312"/>
      <c r="E93" s="312"/>
      <c r="F93" s="313"/>
      <c r="G93" s="312"/>
      <c r="H93" s="312"/>
      <c r="I93" s="587"/>
      <c r="J93" s="587"/>
      <c r="K93" s="587"/>
      <c r="L93" s="323"/>
      <c r="M93" s="312"/>
      <c r="N93" s="312"/>
      <c r="O93" s="312"/>
    </row>
    <row r="94" spans="1:15" x14ac:dyDescent="0.25">
      <c r="A94" s="312"/>
      <c r="B94" s="312"/>
      <c r="C94" s="313"/>
      <c r="D94" s="312"/>
      <c r="E94" s="312"/>
      <c r="F94" s="313"/>
      <c r="G94" s="312"/>
      <c r="H94" s="312"/>
      <c r="I94" s="587"/>
      <c r="J94" s="587"/>
      <c r="K94" s="587"/>
      <c r="L94" s="323"/>
      <c r="M94" s="312"/>
      <c r="N94" s="312"/>
      <c r="O94" s="312"/>
    </row>
    <row r="95" spans="1:15" x14ac:dyDescent="0.25">
      <c r="A95" s="312"/>
      <c r="B95" s="312"/>
      <c r="C95" s="313"/>
      <c r="D95" s="312"/>
      <c r="E95" s="312"/>
      <c r="F95" s="313"/>
      <c r="G95" s="312"/>
      <c r="H95" s="312"/>
      <c r="I95" s="587"/>
      <c r="J95" s="587"/>
      <c r="K95" s="587"/>
      <c r="L95" s="323"/>
      <c r="M95" s="312"/>
      <c r="N95" s="312"/>
      <c r="O95" s="312"/>
    </row>
    <row r="96" spans="1:15" x14ac:dyDescent="0.25">
      <c r="A96" s="312"/>
      <c r="B96" s="312"/>
      <c r="C96" s="313"/>
      <c r="D96" s="312"/>
      <c r="E96" s="312"/>
      <c r="F96" s="313"/>
      <c r="G96" s="312"/>
      <c r="H96" s="312"/>
      <c r="I96" s="587"/>
      <c r="J96" s="587"/>
      <c r="K96" s="587"/>
      <c r="L96" s="323"/>
      <c r="M96" s="312"/>
      <c r="N96" s="312"/>
      <c r="O96" s="312"/>
    </row>
    <row r="97" spans="1:15" x14ac:dyDescent="0.25">
      <c r="A97" s="312"/>
      <c r="B97" s="312"/>
      <c r="C97" s="313"/>
      <c r="D97" s="312"/>
      <c r="E97" s="312"/>
      <c r="F97" s="313"/>
      <c r="G97" s="312"/>
      <c r="H97" s="312"/>
      <c r="I97" s="587"/>
      <c r="J97" s="587"/>
      <c r="K97" s="587"/>
      <c r="L97" s="323"/>
      <c r="M97" s="312"/>
      <c r="N97" s="312"/>
      <c r="O97" s="312"/>
    </row>
    <row r="98" spans="1:15" x14ac:dyDescent="0.25">
      <c r="A98" s="312"/>
      <c r="B98" s="312"/>
      <c r="C98" s="313"/>
      <c r="D98" s="312"/>
      <c r="E98" s="312"/>
      <c r="F98" s="313"/>
      <c r="G98" s="312"/>
      <c r="H98" s="312"/>
      <c r="I98" s="587"/>
      <c r="J98" s="587"/>
      <c r="K98" s="587"/>
      <c r="L98" s="323"/>
      <c r="M98" s="312"/>
      <c r="N98" s="312"/>
      <c r="O98" s="312"/>
    </row>
    <row r="99" spans="1:15" x14ac:dyDescent="0.25">
      <c r="A99" s="312"/>
      <c r="B99" s="312"/>
      <c r="C99" s="313"/>
      <c r="D99" s="312"/>
      <c r="E99" s="312"/>
      <c r="F99" s="313"/>
      <c r="G99" s="312"/>
      <c r="H99" s="312"/>
      <c r="I99" s="587"/>
      <c r="J99" s="587"/>
      <c r="K99" s="587"/>
      <c r="L99" s="323"/>
      <c r="M99" s="312"/>
      <c r="N99" s="312"/>
      <c r="O99" s="312"/>
    </row>
    <row r="100" spans="1:15" x14ac:dyDescent="0.25">
      <c r="A100" s="312"/>
      <c r="B100" s="312"/>
      <c r="C100" s="313"/>
      <c r="D100" s="312"/>
      <c r="E100" s="312"/>
      <c r="F100" s="313"/>
      <c r="G100" s="312"/>
      <c r="H100" s="312"/>
      <c r="I100" s="587"/>
      <c r="J100" s="587"/>
      <c r="K100" s="587"/>
      <c r="L100" s="323"/>
      <c r="M100" s="312"/>
      <c r="N100" s="312"/>
      <c r="O100" s="312"/>
    </row>
    <row r="101" spans="1:15" x14ac:dyDescent="0.25">
      <c r="A101" s="312"/>
      <c r="B101" s="312"/>
      <c r="C101" s="313"/>
      <c r="D101" s="312"/>
      <c r="E101" s="312"/>
      <c r="F101" s="313"/>
      <c r="G101" s="312"/>
      <c r="H101" s="312"/>
      <c r="I101" s="587"/>
      <c r="J101" s="587"/>
      <c r="K101" s="587"/>
      <c r="L101" s="323"/>
      <c r="M101" s="312"/>
      <c r="N101" s="312"/>
      <c r="O101" s="312"/>
    </row>
    <row r="102" spans="1:15" x14ac:dyDescent="0.25">
      <c r="A102" s="312"/>
      <c r="B102" s="312"/>
      <c r="C102" s="313"/>
      <c r="D102" s="312"/>
      <c r="E102" s="312"/>
      <c r="F102" s="313"/>
      <c r="G102" s="312"/>
      <c r="H102" s="312"/>
      <c r="I102" s="587"/>
      <c r="J102" s="587"/>
      <c r="K102" s="587"/>
      <c r="L102" s="323"/>
      <c r="M102" s="312"/>
      <c r="N102" s="312"/>
      <c r="O102" s="312"/>
    </row>
    <row r="103" spans="1:15" x14ac:dyDescent="0.25">
      <c r="A103" s="312"/>
      <c r="B103" s="312"/>
      <c r="C103" s="313"/>
      <c r="D103" s="312"/>
      <c r="E103" s="312"/>
      <c r="F103" s="313"/>
      <c r="G103" s="312"/>
      <c r="H103" s="312"/>
      <c r="I103" s="587"/>
      <c r="J103" s="587"/>
      <c r="K103" s="587"/>
      <c r="L103" s="323"/>
      <c r="M103" s="312"/>
      <c r="N103" s="312"/>
      <c r="O103" s="312"/>
    </row>
    <row r="104" spans="1:15" x14ac:dyDescent="0.25">
      <c r="A104" s="312"/>
      <c r="B104" s="312"/>
      <c r="C104" s="313"/>
      <c r="D104" s="312"/>
      <c r="E104" s="312"/>
      <c r="F104" s="313"/>
      <c r="G104" s="312"/>
      <c r="H104" s="312"/>
      <c r="I104" s="587"/>
      <c r="J104" s="587"/>
      <c r="K104" s="587"/>
      <c r="L104" s="323"/>
      <c r="M104" s="312"/>
      <c r="N104" s="312"/>
      <c r="O104" s="312"/>
    </row>
    <row r="105" spans="1:15" x14ac:dyDescent="0.25">
      <c r="A105" s="312"/>
      <c r="B105" s="312"/>
      <c r="C105" s="313"/>
      <c r="D105" s="312"/>
      <c r="E105" s="312"/>
      <c r="F105" s="313"/>
      <c r="G105" s="312"/>
      <c r="H105" s="312"/>
      <c r="I105" s="587"/>
      <c r="J105" s="587"/>
      <c r="K105" s="587"/>
      <c r="L105" s="323"/>
      <c r="M105" s="312"/>
      <c r="N105" s="312"/>
      <c r="O105" s="312"/>
    </row>
    <row r="106" spans="1:15" x14ac:dyDescent="0.25">
      <c r="A106" s="312"/>
      <c r="B106" s="312"/>
      <c r="C106" s="313"/>
      <c r="D106" s="312"/>
      <c r="E106" s="312"/>
      <c r="F106" s="313"/>
      <c r="G106" s="312"/>
      <c r="H106" s="312"/>
      <c r="I106" s="587"/>
      <c r="J106" s="587"/>
      <c r="K106" s="587"/>
      <c r="L106" s="323"/>
      <c r="M106" s="312"/>
      <c r="N106" s="312"/>
      <c r="O106" s="312"/>
    </row>
    <row r="107" spans="1:15" x14ac:dyDescent="0.25">
      <c r="A107" s="312"/>
      <c r="B107" s="312"/>
      <c r="C107" s="313"/>
      <c r="D107" s="312"/>
      <c r="E107" s="312"/>
      <c r="F107" s="313"/>
      <c r="G107" s="312"/>
      <c r="H107" s="312"/>
      <c r="I107" s="587"/>
      <c r="J107" s="587"/>
      <c r="K107" s="587"/>
      <c r="L107" s="323"/>
      <c r="M107" s="312"/>
      <c r="N107" s="312"/>
      <c r="O107" s="312"/>
    </row>
    <row r="108" spans="1:15" x14ac:dyDescent="0.25">
      <c r="A108" s="312"/>
      <c r="B108" s="312"/>
      <c r="C108" s="313"/>
      <c r="D108" s="312"/>
      <c r="E108" s="312"/>
      <c r="F108" s="313"/>
      <c r="G108" s="312"/>
      <c r="H108" s="312"/>
      <c r="I108" s="587"/>
      <c r="J108" s="587"/>
      <c r="K108" s="587"/>
      <c r="L108" s="323"/>
      <c r="M108" s="312"/>
      <c r="N108" s="312"/>
      <c r="O108" s="312"/>
    </row>
    <row r="109" spans="1:15" x14ac:dyDescent="0.25">
      <c r="A109" s="312"/>
      <c r="B109" s="312"/>
      <c r="C109" s="313"/>
      <c r="D109" s="312"/>
      <c r="E109" s="312"/>
      <c r="F109" s="313"/>
      <c r="G109" s="312"/>
      <c r="H109" s="312"/>
      <c r="I109" s="587"/>
      <c r="J109" s="587"/>
      <c r="K109" s="587"/>
      <c r="L109" s="323"/>
      <c r="M109" s="312"/>
      <c r="N109" s="312"/>
      <c r="O109" s="312"/>
    </row>
    <row r="110" spans="1:15" x14ac:dyDescent="0.25">
      <c r="A110" s="312"/>
      <c r="B110" s="312"/>
      <c r="C110" s="313"/>
      <c r="D110" s="312"/>
      <c r="E110" s="312"/>
      <c r="F110" s="313"/>
      <c r="G110" s="312"/>
      <c r="H110" s="312"/>
      <c r="I110" s="587"/>
      <c r="J110" s="587"/>
      <c r="K110" s="587"/>
      <c r="L110" s="323"/>
      <c r="M110" s="312"/>
      <c r="N110" s="312"/>
      <c r="O110" s="312"/>
    </row>
    <row r="111" spans="1:15" x14ac:dyDescent="0.25">
      <c r="A111" s="312"/>
      <c r="B111" s="312"/>
      <c r="C111" s="313"/>
      <c r="D111" s="312"/>
      <c r="E111" s="312"/>
      <c r="F111" s="313"/>
      <c r="G111" s="312"/>
      <c r="H111" s="312"/>
      <c r="I111" s="587"/>
      <c r="J111" s="587"/>
      <c r="K111" s="587"/>
      <c r="L111" s="323"/>
      <c r="M111" s="312"/>
      <c r="N111" s="312"/>
      <c r="O111" s="312"/>
    </row>
    <row r="112" spans="1:15" x14ac:dyDescent="0.25">
      <c r="A112" s="312"/>
      <c r="B112" s="312"/>
      <c r="C112" s="313"/>
      <c r="D112" s="312"/>
      <c r="E112" s="312"/>
      <c r="F112" s="313"/>
      <c r="G112" s="312"/>
      <c r="H112" s="312"/>
      <c r="I112" s="587"/>
      <c r="J112" s="587"/>
      <c r="K112" s="587"/>
      <c r="L112" s="323"/>
      <c r="M112" s="312"/>
      <c r="N112" s="312"/>
      <c r="O112" s="312"/>
    </row>
    <row r="113" spans="1:15" x14ac:dyDescent="0.25">
      <c r="A113" s="312"/>
      <c r="B113" s="312"/>
      <c r="C113" s="313"/>
      <c r="D113" s="312"/>
      <c r="E113" s="312"/>
      <c r="F113" s="313"/>
      <c r="G113" s="312"/>
      <c r="H113" s="312"/>
      <c r="I113" s="587"/>
      <c r="J113" s="587"/>
      <c r="K113" s="587"/>
      <c r="L113" s="323"/>
      <c r="M113" s="312"/>
      <c r="N113" s="312"/>
      <c r="O113" s="312"/>
    </row>
    <row r="114" spans="1:15" x14ac:dyDescent="0.25">
      <c r="A114" s="312"/>
      <c r="B114" s="312"/>
      <c r="C114" s="313"/>
      <c r="D114" s="312"/>
      <c r="E114" s="312"/>
      <c r="F114" s="313"/>
      <c r="G114" s="312"/>
      <c r="H114" s="312"/>
      <c r="I114" s="587"/>
      <c r="J114" s="587"/>
      <c r="K114" s="587"/>
      <c r="L114" s="323"/>
      <c r="M114" s="312"/>
      <c r="N114" s="312"/>
      <c r="O114" s="312"/>
    </row>
    <row r="115" spans="1:15" x14ac:dyDescent="0.25">
      <c r="A115" s="312"/>
      <c r="B115" s="312"/>
      <c r="C115" s="313"/>
      <c r="D115" s="312"/>
      <c r="E115" s="312"/>
      <c r="F115" s="313"/>
      <c r="G115" s="312"/>
      <c r="H115" s="312"/>
      <c r="I115" s="587"/>
      <c r="J115" s="587"/>
      <c r="K115" s="587"/>
      <c r="L115" s="323"/>
      <c r="M115" s="312"/>
      <c r="N115" s="312"/>
      <c r="O115" s="312"/>
    </row>
    <row r="116" spans="1:15" x14ac:dyDescent="0.25">
      <c r="A116" s="312"/>
      <c r="B116" s="312"/>
      <c r="C116" s="313"/>
      <c r="D116" s="312"/>
      <c r="E116" s="312"/>
      <c r="F116" s="313"/>
      <c r="G116" s="312"/>
      <c r="H116" s="312"/>
      <c r="I116" s="587"/>
      <c r="J116" s="587"/>
      <c r="K116" s="587"/>
      <c r="L116" s="323"/>
      <c r="M116" s="312"/>
      <c r="N116" s="312"/>
      <c r="O116" s="312"/>
    </row>
    <row r="117" spans="1:15" x14ac:dyDescent="0.25">
      <c r="A117" s="312"/>
      <c r="B117" s="312"/>
      <c r="C117" s="313"/>
      <c r="D117" s="312"/>
      <c r="E117" s="312"/>
      <c r="F117" s="313"/>
      <c r="G117" s="312"/>
      <c r="H117" s="312"/>
      <c r="I117" s="587"/>
      <c r="J117" s="587"/>
      <c r="K117" s="587"/>
      <c r="L117" s="323"/>
      <c r="M117" s="312"/>
      <c r="N117" s="312"/>
      <c r="O117" s="312"/>
    </row>
    <row r="118" spans="1:15" x14ac:dyDescent="0.25">
      <c r="A118" s="312"/>
      <c r="B118" s="312"/>
      <c r="C118" s="313"/>
      <c r="D118" s="312"/>
      <c r="E118" s="312"/>
      <c r="F118" s="313"/>
      <c r="G118" s="312"/>
      <c r="H118" s="312"/>
      <c r="I118" s="587"/>
      <c r="J118" s="587"/>
      <c r="K118" s="587"/>
      <c r="L118" s="323"/>
      <c r="M118" s="312"/>
      <c r="N118" s="312"/>
      <c r="O118" s="312"/>
    </row>
    <row r="119" spans="1:15" x14ac:dyDescent="0.25">
      <c r="A119" s="312"/>
      <c r="B119" s="312"/>
      <c r="C119" s="313"/>
      <c r="D119" s="312"/>
      <c r="E119" s="312"/>
      <c r="F119" s="313"/>
      <c r="G119" s="312"/>
      <c r="H119" s="312"/>
      <c r="I119" s="587"/>
      <c r="J119" s="587"/>
      <c r="K119" s="587"/>
      <c r="L119" s="323"/>
      <c r="M119" s="312"/>
      <c r="N119" s="312"/>
      <c r="O119" s="312"/>
    </row>
    <row r="120" spans="1:15" x14ac:dyDescent="0.25">
      <c r="A120" s="312"/>
      <c r="B120" s="312"/>
      <c r="C120" s="313"/>
      <c r="D120" s="312"/>
      <c r="E120" s="312"/>
      <c r="F120" s="313"/>
      <c r="G120" s="312"/>
      <c r="H120" s="312"/>
      <c r="I120" s="587"/>
      <c r="J120" s="587"/>
      <c r="K120" s="587"/>
      <c r="L120" s="323"/>
      <c r="M120" s="312"/>
      <c r="N120" s="312"/>
      <c r="O120" s="312"/>
    </row>
    <row r="121" spans="1:15" x14ac:dyDescent="0.25">
      <c r="A121" s="312"/>
      <c r="B121" s="312"/>
      <c r="C121" s="313"/>
      <c r="D121" s="312"/>
      <c r="E121" s="312"/>
      <c r="F121" s="313"/>
      <c r="G121" s="312"/>
      <c r="H121" s="312"/>
      <c r="I121" s="587"/>
      <c r="J121" s="587"/>
      <c r="K121" s="587"/>
      <c r="L121" s="323"/>
      <c r="M121" s="312"/>
      <c r="N121" s="312"/>
      <c r="O121" s="312"/>
    </row>
    <row r="122" spans="1:15" x14ac:dyDescent="0.25">
      <c r="A122" s="312"/>
      <c r="B122" s="312"/>
      <c r="C122" s="313"/>
      <c r="D122" s="312"/>
      <c r="E122" s="312"/>
      <c r="F122" s="313"/>
      <c r="G122" s="312"/>
      <c r="H122" s="312"/>
      <c r="I122" s="587"/>
      <c r="J122" s="587"/>
      <c r="K122" s="587"/>
      <c r="L122" s="323"/>
      <c r="M122" s="312"/>
      <c r="N122" s="312"/>
      <c r="O122" s="312"/>
    </row>
    <row r="123" spans="1:15" x14ac:dyDescent="0.25">
      <c r="A123" s="312"/>
      <c r="B123" s="312"/>
      <c r="C123" s="313"/>
      <c r="D123" s="312"/>
      <c r="E123" s="312"/>
      <c r="F123" s="313"/>
      <c r="G123" s="312"/>
      <c r="H123" s="312"/>
      <c r="I123" s="587"/>
      <c r="J123" s="587"/>
      <c r="K123" s="587"/>
      <c r="L123" s="323"/>
      <c r="M123" s="312"/>
      <c r="N123" s="312"/>
      <c r="O123" s="312"/>
    </row>
  </sheetData>
  <mergeCells count="42">
    <mergeCell ref="A53:B53"/>
    <mergeCell ref="A37:B3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B30:C30"/>
    <mergeCell ref="B31:G31"/>
    <mergeCell ref="B35:C35"/>
    <mergeCell ref="B24:C24"/>
    <mergeCell ref="B33:C33"/>
    <mergeCell ref="B29:C29"/>
    <mergeCell ref="B27:C27"/>
    <mergeCell ref="B28:C28"/>
    <mergeCell ref="B19:G19"/>
    <mergeCell ref="B21:G21"/>
    <mergeCell ref="B20:C20"/>
    <mergeCell ref="B26:G26"/>
    <mergeCell ref="B25:C25"/>
    <mergeCell ref="B22:C22"/>
    <mergeCell ref="B23:C23"/>
    <mergeCell ref="N5:O5"/>
    <mergeCell ref="L5:L6"/>
    <mergeCell ref="B1:D1"/>
    <mergeCell ref="A2:M2"/>
    <mergeCell ref="A5:A6"/>
    <mergeCell ref="B5:B6"/>
    <mergeCell ref="M5:M6"/>
    <mergeCell ref="C5:E5"/>
    <mergeCell ref="F5:H5"/>
    <mergeCell ref="I5:K5"/>
  </mergeCells>
  <pageMargins left="1.1023622047244095" right="0.51181102362204722" top="0.74803149606299213" bottom="0.55118110236220474" header="0.31496062992125984" footer="0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M37"/>
  <sheetViews>
    <sheetView view="pageBreakPreview" topLeftCell="A15" zoomScaleNormal="100" zoomScaleSheetLayoutView="100" workbookViewId="0">
      <selection activeCell="A29" sqref="A29:J33"/>
    </sheetView>
  </sheetViews>
  <sheetFormatPr defaultRowHeight="13.8" x14ac:dyDescent="0.25"/>
  <cols>
    <col min="1" max="1" width="4.109375" customWidth="1"/>
    <col min="2" max="2" width="21" customWidth="1"/>
    <col min="3" max="3" width="8.88671875" customWidth="1"/>
    <col min="4" max="7" width="7.5546875" customWidth="1"/>
    <col min="8" max="8" width="8.88671875" customWidth="1"/>
    <col min="9" max="9" width="7.5546875" customWidth="1"/>
    <col min="10" max="10" width="9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15)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290"/>
      <c r="I6" s="290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18</v>
      </c>
    </row>
    <row r="8" spans="1:10" s="2" customFormat="1" ht="9.6" customHeight="1" x14ac:dyDescent="0.25">
      <c r="A8" s="291"/>
      <c r="B8" s="291"/>
      <c r="C8" s="291"/>
      <c r="D8" s="291"/>
      <c r="E8" s="291"/>
      <c r="F8" s="291"/>
      <c r="G8" s="291"/>
      <c r="H8" s="291"/>
      <c r="I8" s="291"/>
      <c r="J8" s="109"/>
    </row>
    <row r="9" spans="1:10" s="2" customFormat="1" ht="26.1" customHeight="1" x14ac:dyDescent="0.3">
      <c r="A9" s="1550" t="s">
        <v>513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'17-салат зеленый'!H14+1</f>
        <v>15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287" t="s">
        <v>92</v>
      </c>
      <c r="D17" s="287" t="s">
        <v>94</v>
      </c>
      <c r="E17" s="287" t="s">
        <v>93</v>
      </c>
      <c r="F17" s="287" t="s">
        <v>23</v>
      </c>
      <c r="G17" s="287" t="s">
        <v>92</v>
      </c>
      <c r="H17" s="287" t="s">
        <v>94</v>
      </c>
      <c r="I17" s="287" t="s">
        <v>92</v>
      </c>
      <c r="J17" s="287" t="s">
        <v>94</v>
      </c>
    </row>
    <row r="18" spans="1:13" ht="9.6" customHeight="1" x14ac:dyDescent="0.25">
      <c r="A18" s="287">
        <v>1</v>
      </c>
      <c r="B18" s="289">
        <v>2</v>
      </c>
      <c r="C18" s="287">
        <v>3</v>
      </c>
      <c r="D18" s="289">
        <v>4</v>
      </c>
      <c r="E18" s="287">
        <v>5</v>
      </c>
      <c r="F18" s="289">
        <v>6</v>
      </c>
      <c r="G18" s="287">
        <v>7</v>
      </c>
      <c r="H18" s="289">
        <v>8</v>
      </c>
      <c r="I18" s="287">
        <v>9</v>
      </c>
      <c r="J18" s="289">
        <v>10</v>
      </c>
    </row>
    <row r="19" spans="1:13" s="10" customFormat="1" ht="14.1" customHeight="1" x14ac:dyDescent="0.25">
      <c r="A19" s="180">
        <v>1</v>
      </c>
      <c r="B19" s="20" t="s">
        <v>509</v>
      </c>
      <c r="C19" s="21">
        <v>0.56899999999999995</v>
      </c>
      <c r="D19" s="21">
        <v>0.41</v>
      </c>
      <c r="E19" s="13">
        <f>цены!F43</f>
        <v>200</v>
      </c>
      <c r="F19" s="13">
        <f>C19*E19</f>
        <v>113.8</v>
      </c>
      <c r="G19" s="97">
        <f t="shared" ref="G19:H22" si="0">C19*10</f>
        <v>5.69</v>
      </c>
      <c r="H19" s="21">
        <f t="shared" si="0"/>
        <v>4.0999999999999996</v>
      </c>
      <c r="I19" s="21">
        <f t="shared" ref="I19:J22" si="1">C19*100</f>
        <v>56.9</v>
      </c>
      <c r="J19" s="21">
        <f t="shared" si="1"/>
        <v>41</v>
      </c>
      <c r="L19" s="1015">
        <f>C19/C$27</f>
        <v>3.41393172136557E-2</v>
      </c>
      <c r="M19" s="1015">
        <f>F19/C$27</f>
        <v>6.8278634427311404</v>
      </c>
    </row>
    <row r="20" spans="1:13" s="10" customFormat="1" ht="14.1" customHeight="1" x14ac:dyDescent="0.25">
      <c r="A20" s="180">
        <v>2</v>
      </c>
      <c r="B20" s="20" t="s">
        <v>514</v>
      </c>
      <c r="C20" s="21">
        <v>0.67500000000000004</v>
      </c>
      <c r="D20" s="21">
        <v>0.54</v>
      </c>
      <c r="E20" s="13">
        <f>цены!F42</f>
        <v>60</v>
      </c>
      <c r="F20" s="13">
        <f>C20*E20</f>
        <v>40.5</v>
      </c>
      <c r="G20" s="97">
        <f t="shared" si="0"/>
        <v>6.75</v>
      </c>
      <c r="H20" s="21">
        <f t="shared" si="0"/>
        <v>5.4</v>
      </c>
      <c r="I20" s="21">
        <f t="shared" si="1"/>
        <v>67.5</v>
      </c>
      <c r="J20" s="21">
        <f t="shared" si="1"/>
        <v>54</v>
      </c>
      <c r="L20" s="1015">
        <f t="shared" ref="L20:L21" si="2">C20/C$27</f>
        <v>4.0499190016199699E-2</v>
      </c>
      <c r="M20" s="1015">
        <f t="shared" ref="M20:M21" si="3">F20/C$27</f>
        <v>2.42995140097198</v>
      </c>
    </row>
    <row r="21" spans="1:13" s="10" customFormat="1" ht="14.1" customHeight="1" x14ac:dyDescent="0.25">
      <c r="A21" s="180">
        <v>3</v>
      </c>
      <c r="B21" s="20" t="s">
        <v>74</v>
      </c>
      <c r="C21" s="21">
        <v>0.06</v>
      </c>
      <c r="D21" s="21">
        <v>0.06</v>
      </c>
      <c r="E21" s="13">
        <f>цены!F87</f>
        <v>120</v>
      </c>
      <c r="F21" s="13">
        <f>C21*E21</f>
        <v>7.2</v>
      </c>
      <c r="G21" s="97">
        <f t="shared" si="0"/>
        <v>0.6</v>
      </c>
      <c r="H21" s="21">
        <f t="shared" si="0"/>
        <v>0.6</v>
      </c>
      <c r="I21" s="21">
        <f t="shared" si="1"/>
        <v>6</v>
      </c>
      <c r="J21" s="21">
        <f t="shared" si="1"/>
        <v>6</v>
      </c>
      <c r="L21" s="1015">
        <f t="shared" si="2"/>
        <v>3.5999280014399702E-3</v>
      </c>
      <c r="M21" s="1015">
        <f t="shared" si="3"/>
        <v>0.43199136017279599</v>
      </c>
    </row>
    <row r="22" spans="1:13" s="10" customFormat="1" ht="14.1" customHeight="1" x14ac:dyDescent="0.25">
      <c r="A22" s="180">
        <v>4</v>
      </c>
      <c r="B22" s="20" t="s">
        <v>75</v>
      </c>
      <c r="C22" s="21">
        <f>0.002*C27</f>
        <v>3.3000000000000002E-2</v>
      </c>
      <c r="D22" s="21">
        <f>C22</f>
        <v>3.3000000000000002E-2</v>
      </c>
      <c r="E22" s="13">
        <f>цены!F110</f>
        <v>24</v>
      </c>
      <c r="F22" s="13">
        <f>C22*E22</f>
        <v>0.79</v>
      </c>
      <c r="G22" s="97">
        <f t="shared" si="0"/>
        <v>0.33</v>
      </c>
      <c r="H22" s="21">
        <f t="shared" si="0"/>
        <v>0.33</v>
      </c>
      <c r="I22" s="21">
        <f t="shared" si="1"/>
        <v>3.3</v>
      </c>
      <c r="J22" s="21">
        <f t="shared" si="1"/>
        <v>3.3</v>
      </c>
      <c r="L22" s="1015">
        <f>SUM(L19:L21)</f>
        <v>7.8238435231295395E-2</v>
      </c>
      <c r="M22" s="1015">
        <f>SUM(M19:M21)</f>
        <v>9.6898062038759196</v>
      </c>
    </row>
    <row r="23" spans="1:13" s="10" customFormat="1" ht="12" customHeight="1" x14ac:dyDescent="0.25">
      <c r="A23" s="98"/>
      <c r="B23" s="93" t="s">
        <v>100</v>
      </c>
      <c r="C23" s="100"/>
      <c r="D23" s="100">
        <v>1</v>
      </c>
      <c r="E23" s="95"/>
      <c r="F23" s="95">
        <f>SUM(F19:F22)</f>
        <v>162.29</v>
      </c>
      <c r="G23" s="99"/>
      <c r="H23" s="100">
        <f>D23*10</f>
        <v>10</v>
      </c>
      <c r="I23" s="100"/>
      <c r="J23" s="100">
        <f>D23*100</f>
        <v>100</v>
      </c>
    </row>
    <row r="24" spans="1:13" s="10" customFormat="1" ht="27.6" customHeight="1" x14ac:dyDescent="0.25">
      <c r="A24" s="1536" t="s">
        <v>35</v>
      </c>
      <c r="B24" s="1536"/>
      <c r="C24" s="90"/>
      <c r="D24" s="90"/>
      <c r="E24" s="13"/>
      <c r="F24" s="13">
        <f>F23</f>
        <v>162.29</v>
      </c>
      <c r="G24" s="288"/>
      <c r="H24" s="288"/>
      <c r="I24" s="21"/>
      <c r="J24" s="13"/>
    </row>
    <row r="25" spans="1:13" s="10" customFormat="1" ht="25.35" customHeight="1" x14ac:dyDescent="0.25">
      <c r="A25" s="1536" t="s">
        <v>36</v>
      </c>
      <c r="B25" s="1536"/>
      <c r="C25" s="90">
        <v>1000</v>
      </c>
      <c r="D25" s="90"/>
      <c r="E25" s="13"/>
      <c r="F25" s="13"/>
      <c r="G25" s="13"/>
      <c r="H25" s="13"/>
      <c r="I25" s="21"/>
      <c r="J25" s="17"/>
    </row>
    <row r="26" spans="1:13" s="10" customFormat="1" ht="25.35" customHeight="1" x14ac:dyDescent="0.25">
      <c r="A26" s="1537" t="s">
        <v>37</v>
      </c>
      <c r="B26" s="1538"/>
      <c r="C26" s="91">
        <v>60</v>
      </c>
      <c r="D26" s="92"/>
      <c r="E26" s="289"/>
      <c r="F26" s="289"/>
      <c r="G26" s="289"/>
      <c r="H26" s="289"/>
      <c r="I26" s="21"/>
      <c r="J26" s="17"/>
    </row>
    <row r="27" spans="1:13" s="10" customFormat="1" ht="15" customHeight="1" x14ac:dyDescent="0.25">
      <c r="A27" s="1539" t="s">
        <v>38</v>
      </c>
      <c r="B27" s="1540"/>
      <c r="C27" s="92">
        <f>C25/C26</f>
        <v>16.667000000000002</v>
      </c>
      <c r="D27" s="92"/>
      <c r="E27" s="289"/>
      <c r="F27" s="289"/>
      <c r="G27" s="289"/>
      <c r="H27" s="289"/>
      <c r="I27" s="21"/>
      <c r="J27" s="17"/>
    </row>
    <row r="28" spans="1:13" ht="16.350000000000001" customHeight="1" x14ac:dyDescent="0.25">
      <c r="A28" s="1541" t="s">
        <v>39</v>
      </c>
      <c r="B28" s="1542"/>
      <c r="C28" s="15" t="s">
        <v>40</v>
      </c>
      <c r="D28" s="102"/>
      <c r="E28" s="102" t="s">
        <v>40</v>
      </c>
      <c r="F28" s="16">
        <f>F24/C27</f>
        <v>9.74</v>
      </c>
      <c r="G28" s="16"/>
      <c r="H28" s="16"/>
      <c r="I28" s="102" t="s">
        <v>40</v>
      </c>
      <c r="J28" s="102" t="s">
        <v>40</v>
      </c>
    </row>
    <row r="29" spans="1:13" ht="23.1" customHeight="1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3" ht="13.95" customHeight="1" x14ac:dyDescent="0.25">
      <c r="A30" s="1193"/>
      <c r="B30" s="1194" t="s">
        <v>49</v>
      </c>
      <c r="C30" s="1198"/>
      <c r="D30" s="1198"/>
      <c r="E30" s="1198"/>
      <c r="F30" s="1198"/>
      <c r="G30" s="1193"/>
      <c r="H30" s="1557">
        <f>'1-бутерброд с маслом'!$H$28</f>
        <v>0</v>
      </c>
      <c r="I30" s="1557"/>
      <c r="J30" s="1557"/>
    </row>
    <row r="31" spans="1:13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3" ht="13.95" customHeight="1" x14ac:dyDescent="0.25">
      <c r="A32" s="1545" t="s">
        <v>327</v>
      </c>
      <c r="B32" s="1545"/>
      <c r="C32" s="1546" t="s">
        <v>328</v>
      </c>
      <c r="D32" s="1546"/>
      <c r="E32" s="1546"/>
      <c r="F32" s="1546"/>
      <c r="G32" s="106"/>
      <c r="H32" s="1531"/>
      <c r="I32" s="1531"/>
      <c r="J32" s="1531"/>
    </row>
    <row r="33" spans="1:10" x14ac:dyDescent="0.25">
      <c r="A33" s="1193"/>
      <c r="B33" s="1193"/>
      <c r="C33" s="1546"/>
      <c r="D33" s="1546"/>
      <c r="E33" s="1546"/>
      <c r="F33" s="1546"/>
      <c r="G33" s="1193"/>
      <c r="H33" s="1531" t="s">
        <v>329</v>
      </c>
      <c r="I33" s="1531"/>
      <c r="J33" s="1531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</sheetData>
  <mergeCells count="28">
    <mergeCell ref="H32:J32"/>
    <mergeCell ref="H33:J33"/>
    <mergeCell ref="A25:B25"/>
    <mergeCell ref="A26:B26"/>
    <mergeCell ref="A27:B27"/>
    <mergeCell ref="A28:B28"/>
    <mergeCell ref="A32:B32"/>
    <mergeCell ref="C32:F33"/>
    <mergeCell ref="H30:J30"/>
    <mergeCell ref="A6:G6"/>
    <mergeCell ref="A7:I7"/>
    <mergeCell ref="A24:B24"/>
    <mergeCell ref="A9:J9"/>
    <mergeCell ref="A11:J11"/>
    <mergeCell ref="I13:J13"/>
    <mergeCell ref="C14:G14"/>
    <mergeCell ref="I14:J14"/>
    <mergeCell ref="A16:A17"/>
    <mergeCell ref="B16:B17"/>
    <mergeCell ref="C16:F16"/>
    <mergeCell ref="G16:H16"/>
    <mergeCell ref="I16:J16"/>
    <mergeCell ref="A13:G13"/>
    <mergeCell ref="G1:J1"/>
    <mergeCell ref="G2:J2"/>
    <mergeCell ref="G3:J3"/>
    <mergeCell ref="A5:G5"/>
    <mergeCell ref="H5:I5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46"/>
  <sheetViews>
    <sheetView view="pageBreakPreview" topLeftCell="A16" zoomScaleNormal="100" zoomScaleSheetLayoutView="100" workbookViewId="0">
      <selection activeCell="L32" sqref="L32"/>
    </sheetView>
  </sheetViews>
  <sheetFormatPr defaultColWidth="8.88671875" defaultRowHeight="13.8" x14ac:dyDescent="0.25"/>
  <cols>
    <col min="1" max="1" width="4.109375" style="937" customWidth="1"/>
    <col min="2" max="2" width="21.5546875" style="937" customWidth="1"/>
    <col min="3" max="3" width="7.44140625" style="937" customWidth="1"/>
    <col min="4" max="5" width="7.5546875" style="937" customWidth="1"/>
    <col min="6" max="6" width="10" style="937" customWidth="1"/>
    <col min="7" max="7" width="7.5546875" style="937" customWidth="1"/>
    <col min="8" max="8" width="8.88671875" style="937" customWidth="1"/>
    <col min="9" max="9" width="7.5546875" style="937" customWidth="1"/>
    <col min="10" max="10" width="9" style="937" customWidth="1"/>
    <col min="11" max="11" width="4.109375" style="937" customWidth="1"/>
    <col min="12" max="16384" width="8.88671875" style="93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195)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942">
        <v>279</v>
      </c>
    </row>
    <row r="8" spans="1:10" s="2" customFormat="1" ht="9.6" customHeight="1" x14ac:dyDescent="0.25">
      <c r="A8" s="938"/>
      <c r="B8" s="938"/>
      <c r="C8" s="938"/>
      <c r="D8" s="938"/>
      <c r="E8" s="938"/>
      <c r="F8" s="938"/>
      <c r="G8" s="938"/>
      <c r="H8" s="938"/>
      <c r="I8" s="938"/>
      <c r="J8" s="109"/>
    </row>
    <row r="9" spans="1:10" s="2" customFormat="1" ht="26.1" customHeight="1" x14ac:dyDescent="0.3">
      <c r="A9" s="1550" t="s">
        <v>1359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'279-тефтели 80)'!H14+1</f>
        <v>195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33.75" customHeight="1" x14ac:dyDescent="0.25">
      <c r="A17" s="1543"/>
      <c r="B17" s="1543"/>
      <c r="C17" s="939" t="s">
        <v>92</v>
      </c>
      <c r="D17" s="939" t="s">
        <v>94</v>
      </c>
      <c r="E17" s="939" t="s">
        <v>93</v>
      </c>
      <c r="F17" s="939" t="s">
        <v>23</v>
      </c>
      <c r="G17" s="939" t="s">
        <v>92</v>
      </c>
      <c r="H17" s="939" t="s">
        <v>94</v>
      </c>
      <c r="I17" s="939" t="s">
        <v>92</v>
      </c>
      <c r="J17" s="939" t="s">
        <v>94</v>
      </c>
    </row>
    <row r="18" spans="1:10" ht="9.6" customHeight="1" x14ac:dyDescent="0.25">
      <c r="A18" s="939">
        <v>1</v>
      </c>
      <c r="B18" s="940">
        <v>2</v>
      </c>
      <c r="C18" s="939">
        <v>3</v>
      </c>
      <c r="D18" s="940">
        <v>4</v>
      </c>
      <c r="E18" s="939">
        <v>5</v>
      </c>
      <c r="F18" s="940">
        <v>6</v>
      </c>
      <c r="G18" s="939">
        <v>7</v>
      </c>
      <c r="H18" s="940">
        <v>8</v>
      </c>
      <c r="I18" s="939">
        <v>9</v>
      </c>
      <c r="J18" s="940">
        <v>10</v>
      </c>
    </row>
    <row r="19" spans="1:10" s="10" customFormat="1" ht="14.1" customHeight="1" x14ac:dyDescent="0.25">
      <c r="A19" s="180">
        <v>1</v>
      </c>
      <c r="B19" s="20" t="s">
        <v>54</v>
      </c>
      <c r="C19" s="21">
        <v>5.1999999999999998E-2</v>
      </c>
      <c r="D19" s="21">
        <v>3.7999999999999999E-2</v>
      </c>
      <c r="E19" s="408">
        <f>цены!F7</f>
        <v>560</v>
      </c>
      <c r="F19" s="408">
        <f>C19*E19</f>
        <v>29.12</v>
      </c>
      <c r="G19" s="97">
        <f t="shared" ref="G19:H33" si="0">C19*10</f>
        <v>0.52</v>
      </c>
      <c r="H19" s="21">
        <f t="shared" si="0"/>
        <v>0.38</v>
      </c>
      <c r="I19" s="21">
        <f t="shared" ref="I19:J33" si="1">C19*100</f>
        <v>5.2</v>
      </c>
      <c r="J19" s="21">
        <f t="shared" si="1"/>
        <v>3.8</v>
      </c>
    </row>
    <row r="20" spans="1:10" s="10" customFormat="1" ht="12" customHeight="1" x14ac:dyDescent="0.25">
      <c r="A20" s="180">
        <v>2</v>
      </c>
      <c r="B20" s="20" t="s">
        <v>68</v>
      </c>
      <c r="C20" s="21">
        <v>5.0000000000000001E-3</v>
      </c>
      <c r="D20" s="21">
        <v>7.0000000000000001E-3</v>
      </c>
      <c r="E20" s="408">
        <f>цены!F83</f>
        <v>98</v>
      </c>
      <c r="F20" s="408">
        <f>C20*E20</f>
        <v>0.49</v>
      </c>
      <c r="G20" s="97">
        <f t="shared" si="0"/>
        <v>0.05</v>
      </c>
      <c r="H20" s="21">
        <f t="shared" si="0"/>
        <v>7.0000000000000007E-2</v>
      </c>
      <c r="I20" s="21">
        <f t="shared" si="1"/>
        <v>0.5</v>
      </c>
      <c r="J20" s="21">
        <f t="shared" si="1"/>
        <v>0.7</v>
      </c>
    </row>
    <row r="21" spans="1:10" s="10" customFormat="1" ht="12" customHeight="1" x14ac:dyDescent="0.25">
      <c r="A21" s="180">
        <v>3</v>
      </c>
      <c r="B21" s="20" t="s">
        <v>28</v>
      </c>
      <c r="C21" s="21"/>
      <c r="D21" s="21"/>
      <c r="E21" s="408"/>
      <c r="F21" s="408"/>
      <c r="G21" s="97"/>
      <c r="H21" s="21"/>
      <c r="I21" s="21"/>
      <c r="J21" s="21"/>
    </row>
    <row r="22" spans="1:10" s="10" customFormat="1" ht="12" customHeight="1" x14ac:dyDescent="0.25">
      <c r="A22" s="416"/>
      <c r="B22" s="230" t="s">
        <v>431</v>
      </c>
      <c r="C22" s="192"/>
      <c r="D22" s="1028">
        <v>20</v>
      </c>
      <c r="E22" s="192"/>
      <c r="F22" s="192"/>
      <c r="G22" s="231"/>
      <c r="H22" s="232"/>
      <c r="I22" s="232"/>
      <c r="J22" s="232"/>
    </row>
    <row r="23" spans="1:10" s="10" customFormat="1" ht="12" customHeight="1" x14ac:dyDescent="0.25">
      <c r="A23" s="180">
        <v>4</v>
      </c>
      <c r="B23" s="20" t="s">
        <v>48</v>
      </c>
      <c r="C23" s="21">
        <v>2.8000000000000001E-2</v>
      </c>
      <c r="D23" s="21">
        <v>2.4E-2</v>
      </c>
      <c r="E23" s="408">
        <f>цены!F38</f>
        <v>50</v>
      </c>
      <c r="F23" s="408">
        <f>C23*E23</f>
        <v>1.4</v>
      </c>
      <c r="G23" s="97">
        <f t="shared" si="0"/>
        <v>0.28000000000000003</v>
      </c>
      <c r="H23" s="21">
        <f t="shared" si="0"/>
        <v>0.24</v>
      </c>
      <c r="I23" s="21">
        <f t="shared" si="1"/>
        <v>2.8</v>
      </c>
      <c r="J23" s="21">
        <f t="shared" si="1"/>
        <v>2.4</v>
      </c>
    </row>
    <row r="24" spans="1:10" s="10" customFormat="1" ht="12" customHeight="1" x14ac:dyDescent="0.25">
      <c r="A24" s="180">
        <v>5</v>
      </c>
      <c r="B24" s="20" t="s">
        <v>33</v>
      </c>
      <c r="C24" s="21">
        <v>4.0000000000000001E-3</v>
      </c>
      <c r="D24" s="21">
        <v>4.0000000000000001E-3</v>
      </c>
      <c r="E24" s="408">
        <f>цены!F110</f>
        <v>24</v>
      </c>
      <c r="F24" s="408">
        <f>C24*E24</f>
        <v>0.1</v>
      </c>
      <c r="G24" s="97">
        <f t="shared" si="0"/>
        <v>0.04</v>
      </c>
      <c r="H24" s="21">
        <f t="shared" si="0"/>
        <v>0.04</v>
      </c>
      <c r="I24" s="21">
        <f t="shared" si="1"/>
        <v>0.4</v>
      </c>
      <c r="J24" s="21">
        <f t="shared" si="1"/>
        <v>0.4</v>
      </c>
    </row>
    <row r="25" spans="1:10" s="10" customFormat="1" ht="12" customHeight="1" x14ac:dyDescent="0.25">
      <c r="A25" s="180">
        <v>6</v>
      </c>
      <c r="B25" s="20" t="s">
        <v>74</v>
      </c>
      <c r="C25" s="21">
        <v>4.0000000000000001E-3</v>
      </c>
      <c r="D25" s="21">
        <v>4.0000000000000001E-3</v>
      </c>
      <c r="E25" s="408">
        <f>цены!F87</f>
        <v>120</v>
      </c>
      <c r="F25" s="408">
        <f>C25*E25</f>
        <v>0.48</v>
      </c>
      <c r="G25" s="97">
        <f t="shared" si="0"/>
        <v>0.04</v>
      </c>
      <c r="H25" s="21">
        <f t="shared" si="0"/>
        <v>0.04</v>
      </c>
      <c r="I25" s="21">
        <f t="shared" si="1"/>
        <v>0.4</v>
      </c>
      <c r="J25" s="21">
        <f t="shared" si="1"/>
        <v>0.4</v>
      </c>
    </row>
    <row r="26" spans="1:10" s="10" customFormat="1" ht="12" customHeight="1" x14ac:dyDescent="0.25">
      <c r="A26" s="184"/>
      <c r="B26" s="93" t="s">
        <v>178</v>
      </c>
      <c r="C26" s="112"/>
      <c r="D26" s="1028">
        <v>12</v>
      </c>
      <c r="E26" s="95"/>
      <c r="F26" s="95"/>
      <c r="G26" s="95"/>
      <c r="H26" s="95"/>
      <c r="I26" s="95"/>
      <c r="J26" s="95"/>
    </row>
    <row r="27" spans="1:10" s="10" customFormat="1" ht="12" customHeight="1" x14ac:dyDescent="0.25">
      <c r="A27" s="180">
        <v>7</v>
      </c>
      <c r="B27" s="20" t="s">
        <v>45</v>
      </c>
      <c r="C27" s="111">
        <v>5.0000000000000001E-3</v>
      </c>
      <c r="D27" s="111">
        <v>5.0000000000000001E-3</v>
      </c>
      <c r="E27" s="408">
        <f>цены!F74</f>
        <v>36</v>
      </c>
      <c r="F27" s="408">
        <f>C27*E27</f>
        <v>0.18</v>
      </c>
      <c r="G27" s="97">
        <f t="shared" si="0"/>
        <v>0.05</v>
      </c>
      <c r="H27" s="21">
        <f t="shared" si="0"/>
        <v>0.05</v>
      </c>
      <c r="I27" s="21">
        <f t="shared" si="1"/>
        <v>0.5</v>
      </c>
      <c r="J27" s="21">
        <f t="shared" si="1"/>
        <v>0.5</v>
      </c>
    </row>
    <row r="28" spans="1:10" s="10" customFormat="1" ht="12" customHeight="1" x14ac:dyDescent="0.25">
      <c r="A28" s="416"/>
      <c r="B28" s="93" t="s">
        <v>97</v>
      </c>
      <c r="C28" s="191"/>
      <c r="D28" s="1028">
        <v>94</v>
      </c>
      <c r="E28" s="192"/>
      <c r="F28" s="191"/>
      <c r="G28" s="231"/>
      <c r="H28" s="232"/>
      <c r="I28" s="232"/>
      <c r="J28" s="232"/>
    </row>
    <row r="29" spans="1:10" s="10" customFormat="1" ht="12" customHeight="1" x14ac:dyDescent="0.25">
      <c r="A29" s="180">
        <v>8</v>
      </c>
      <c r="B29" s="20" t="s">
        <v>74</v>
      </c>
      <c r="C29" s="111">
        <v>4.0000000000000001E-3</v>
      </c>
      <c r="D29" s="111">
        <v>4.0000000000000001E-3</v>
      </c>
      <c r="E29" s="408">
        <f>цены!F87</f>
        <v>120</v>
      </c>
      <c r="F29" s="408">
        <f>C29*E29</f>
        <v>0.48</v>
      </c>
      <c r="G29" s="97">
        <f>C29*10</f>
        <v>0.04</v>
      </c>
      <c r="H29" s="21">
        <f t="shared" si="0"/>
        <v>0.04</v>
      </c>
      <c r="I29" s="21">
        <f t="shared" si="1"/>
        <v>0.4</v>
      </c>
      <c r="J29" s="21">
        <f t="shared" si="1"/>
        <v>0.4</v>
      </c>
    </row>
    <row r="30" spans="1:10" s="10" customFormat="1" ht="12" customHeight="1" x14ac:dyDescent="0.25">
      <c r="A30" s="180">
        <v>9</v>
      </c>
      <c r="B30" s="20" t="s">
        <v>78</v>
      </c>
      <c r="C30" s="111">
        <v>3.0000000000000001E-3</v>
      </c>
      <c r="D30" s="111">
        <v>3.0000000000000001E-3</v>
      </c>
      <c r="E30" s="408">
        <f>цены!F48</f>
        <v>300</v>
      </c>
      <c r="F30" s="408">
        <f>C30*E30</f>
        <v>0.9</v>
      </c>
      <c r="G30" s="97">
        <f t="shared" si="0"/>
        <v>0.03</v>
      </c>
      <c r="H30" s="21">
        <f t="shared" si="0"/>
        <v>0.03</v>
      </c>
      <c r="I30" s="21">
        <f t="shared" si="1"/>
        <v>0.3</v>
      </c>
      <c r="J30" s="21">
        <f t="shared" si="1"/>
        <v>0.3</v>
      </c>
    </row>
    <row r="31" spans="1:10" s="10" customFormat="1" ht="12" customHeight="1" x14ac:dyDescent="0.25">
      <c r="A31" s="180">
        <v>10</v>
      </c>
      <c r="B31" s="20" t="s">
        <v>84</v>
      </c>
      <c r="C31" s="125">
        <v>2.0000000000000002E-5</v>
      </c>
      <c r="D31" s="125">
        <v>2.0000000000000002E-5</v>
      </c>
      <c r="E31" s="408">
        <f>цены!F100</f>
        <v>1000</v>
      </c>
      <c r="F31" s="408">
        <f>C31*E31</f>
        <v>0.02</v>
      </c>
      <c r="G31" s="97">
        <f>C31*10</f>
        <v>0</v>
      </c>
      <c r="H31" s="21">
        <f>D31*10</f>
        <v>0</v>
      </c>
      <c r="I31" s="21">
        <f>C31*100</f>
        <v>2E-3</v>
      </c>
      <c r="J31" s="21">
        <f>D31*100</f>
        <v>2E-3</v>
      </c>
    </row>
    <row r="32" spans="1:10" s="10" customFormat="1" ht="12" customHeight="1" x14ac:dyDescent="0.25">
      <c r="A32" s="184"/>
      <c r="B32" s="93" t="s">
        <v>432</v>
      </c>
      <c r="C32" s="112"/>
      <c r="D32" s="1028">
        <v>80</v>
      </c>
      <c r="E32" s="95"/>
      <c r="F32" s="192"/>
      <c r="G32" s="99"/>
      <c r="H32" s="95">
        <f t="shared" si="0"/>
        <v>800</v>
      </c>
      <c r="I32" s="100"/>
      <c r="J32" s="95">
        <f t="shared" si="1"/>
        <v>8000</v>
      </c>
    </row>
    <row r="33" spans="1:10" s="10" customFormat="1" ht="12" customHeight="1" x14ac:dyDescent="0.25">
      <c r="A33" s="180">
        <v>11</v>
      </c>
      <c r="B33" s="20" t="s">
        <v>360</v>
      </c>
      <c r="C33" s="111">
        <v>0.04</v>
      </c>
      <c r="D33" s="21">
        <v>0.04</v>
      </c>
      <c r="E33" s="408">
        <f>'331-соус с томатом'!F30</f>
        <v>84.41</v>
      </c>
      <c r="F33" s="408">
        <f>C33*E33</f>
        <v>3.38</v>
      </c>
      <c r="G33" s="97"/>
      <c r="H33" s="221">
        <f t="shared" si="0"/>
        <v>0.4</v>
      </c>
      <c r="I33" s="21"/>
      <c r="J33" s="221">
        <f t="shared" si="1"/>
        <v>4</v>
      </c>
    </row>
    <row r="34" spans="1:10" s="10" customFormat="1" ht="12" customHeight="1" x14ac:dyDescent="0.25">
      <c r="A34" s="98"/>
      <c r="B34" s="93" t="s">
        <v>100</v>
      </c>
      <c r="C34" s="112"/>
      <c r="D34" s="1028">
        <v>120</v>
      </c>
      <c r="E34" s="95"/>
      <c r="F34" s="95">
        <f>SUM(F19:F33)</f>
        <v>36.549999999999997</v>
      </c>
      <c r="G34" s="99"/>
      <c r="H34" s="95">
        <f>D34*10</f>
        <v>1200</v>
      </c>
      <c r="I34" s="100"/>
      <c r="J34" s="95">
        <f>D34*100</f>
        <v>12000</v>
      </c>
    </row>
    <row r="35" spans="1:10" s="10" customFormat="1" ht="30.6" customHeight="1" x14ac:dyDescent="0.25">
      <c r="A35" s="203"/>
      <c r="B35" s="204" t="s">
        <v>405</v>
      </c>
      <c r="C35" s="205"/>
      <c r="D35" s="205"/>
      <c r="E35" s="206"/>
      <c r="F35" s="206"/>
      <c r="G35" s="207"/>
      <c r="H35" s="208"/>
      <c r="I35" s="208"/>
      <c r="J35" s="208"/>
    </row>
    <row r="36" spans="1:10" s="10" customFormat="1" ht="27.6" customHeight="1" x14ac:dyDescent="0.25">
      <c r="A36" s="1536" t="s">
        <v>35</v>
      </c>
      <c r="B36" s="1536"/>
      <c r="C36" s="90"/>
      <c r="D36" s="90"/>
      <c r="E36" s="408"/>
      <c r="F36" s="408">
        <f>F34</f>
        <v>36.549999999999997</v>
      </c>
      <c r="G36" s="941"/>
      <c r="H36" s="941"/>
      <c r="I36" s="21"/>
      <c r="J36" s="408"/>
    </row>
    <row r="37" spans="1:10" s="10" customFormat="1" ht="25.35" customHeight="1" x14ac:dyDescent="0.25">
      <c r="A37" s="1536" t="s">
        <v>36</v>
      </c>
      <c r="B37" s="1536"/>
      <c r="C37" s="866">
        <v>120</v>
      </c>
      <c r="D37" s="90"/>
      <c r="E37" s="408"/>
      <c r="F37" s="408"/>
      <c r="G37" s="408"/>
      <c r="H37" s="408"/>
      <c r="I37" s="21"/>
      <c r="J37" s="17"/>
    </row>
    <row r="38" spans="1:10" s="10" customFormat="1" ht="25.35" customHeight="1" x14ac:dyDescent="0.25">
      <c r="A38" s="1537" t="s">
        <v>37</v>
      </c>
      <c r="B38" s="1538"/>
      <c r="C38" s="1071">
        <v>120</v>
      </c>
      <c r="D38" s="92"/>
      <c r="E38" s="940"/>
      <c r="F38" s="940"/>
      <c r="G38" s="940"/>
      <c r="H38" s="940"/>
      <c r="I38" s="21"/>
      <c r="J38" s="17"/>
    </row>
    <row r="39" spans="1:10" s="10" customFormat="1" ht="15" customHeight="1" x14ac:dyDescent="0.25">
      <c r="A39" s="1539" t="s">
        <v>38</v>
      </c>
      <c r="B39" s="1540"/>
      <c r="C39" s="92">
        <f>C37/C38</f>
        <v>1</v>
      </c>
      <c r="D39" s="92"/>
      <c r="E39" s="940"/>
      <c r="F39" s="940"/>
      <c r="G39" s="940"/>
      <c r="H39" s="940"/>
      <c r="I39" s="21"/>
      <c r="J39" s="17"/>
    </row>
    <row r="40" spans="1:10" ht="16.350000000000001" customHeight="1" x14ac:dyDescent="0.25">
      <c r="A40" s="1541" t="s">
        <v>39</v>
      </c>
      <c r="B40" s="1542"/>
      <c r="C40" s="15" t="s">
        <v>40</v>
      </c>
      <c r="D40" s="102"/>
      <c r="E40" s="102" t="s">
        <v>40</v>
      </c>
      <c r="F40" s="16">
        <f>F36/C39</f>
        <v>36.549999999999997</v>
      </c>
      <c r="G40" s="16"/>
      <c r="H40" s="16"/>
      <c r="I40" s="102" t="s">
        <v>40</v>
      </c>
      <c r="J40" s="102" t="s">
        <v>40</v>
      </c>
    </row>
    <row r="41" spans="1:10" ht="23.1" customHeight="1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ht="13.95" customHeight="1" x14ac:dyDescent="0.25">
      <c r="A42" s="1193"/>
      <c r="B42" s="1194" t="s">
        <v>49</v>
      </c>
      <c r="C42" s="1198"/>
      <c r="D42" s="1198"/>
      <c r="E42" s="1198"/>
      <c r="F42" s="1198"/>
      <c r="G42" s="1193"/>
      <c r="H42" s="1557">
        <f>'1-бутерброд с маслом'!$H$28</f>
        <v>0</v>
      </c>
      <c r="I42" s="1557"/>
      <c r="J42" s="1557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545" t="s">
        <v>327</v>
      </c>
      <c r="B44" s="1545"/>
      <c r="C44" s="1546" t="s">
        <v>328</v>
      </c>
      <c r="D44" s="1546"/>
      <c r="E44" s="1546"/>
      <c r="F44" s="1546"/>
      <c r="G44" s="106"/>
      <c r="H44" s="1531"/>
      <c r="I44" s="1531"/>
      <c r="J44" s="1531"/>
    </row>
    <row r="45" spans="1:10" x14ac:dyDescent="0.25">
      <c r="A45" s="1193"/>
      <c r="B45" s="1193"/>
      <c r="C45" s="1546"/>
      <c r="D45" s="1546"/>
      <c r="E45" s="1546"/>
      <c r="F45" s="1546"/>
      <c r="G45" s="1193"/>
      <c r="H45" s="1531" t="s">
        <v>329</v>
      </c>
      <c r="I45" s="1531"/>
      <c r="J45" s="1531"/>
    </row>
    <row r="46" spans="1:10" x14ac:dyDescent="0.25">
      <c r="A46" s="1193"/>
      <c r="B46" s="1193"/>
      <c r="C46" s="1193"/>
      <c r="D46" s="1193"/>
      <c r="E46" s="1193"/>
      <c r="F46" s="1193"/>
      <c r="G46" s="1193"/>
      <c r="H46" s="1193"/>
      <c r="I46" s="1193"/>
      <c r="J46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4:B44"/>
    <mergeCell ref="C44:F45"/>
    <mergeCell ref="H44:J44"/>
    <mergeCell ref="H45:J45"/>
    <mergeCell ref="A37:B37"/>
    <mergeCell ref="A38:B38"/>
    <mergeCell ref="A39:B39"/>
    <mergeCell ref="A40:B40"/>
    <mergeCell ref="H42:J42"/>
    <mergeCell ref="A36:B36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44"/>
  <sheetViews>
    <sheetView view="pageBreakPreview" topLeftCell="A16" zoomScaleNormal="100" zoomScaleSheetLayoutView="100" workbookViewId="0">
      <selection activeCell="N33" sqref="N33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109375" customWidth="1"/>
    <col min="9" max="9" width="7.5546875" customWidth="1"/>
    <col min="10" max="10" width="8" customWidth="1"/>
    <col min="11" max="11" width="4.1093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196)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280</v>
      </c>
    </row>
    <row r="8" spans="1:10" s="2" customFormat="1" ht="9.6" customHeight="1" x14ac:dyDescent="0.25">
      <c r="A8" s="222"/>
      <c r="B8" s="222"/>
      <c r="C8" s="222"/>
      <c r="D8" s="222"/>
      <c r="E8" s="222"/>
      <c r="F8" s="222"/>
      <c r="G8" s="222"/>
      <c r="H8" s="222"/>
      <c r="I8" s="222"/>
      <c r="J8" s="109"/>
    </row>
    <row r="9" spans="1:10" s="2" customFormat="1" ht="26.1" customHeight="1" x14ac:dyDescent="0.3">
      <c r="A9" s="1550" t="s">
        <v>664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'279-тефтели (120)'!H14+1</f>
        <v>196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33.75" customHeight="1" x14ac:dyDescent="0.25">
      <c r="A17" s="1543"/>
      <c r="B17" s="1543"/>
      <c r="C17" s="223" t="s">
        <v>92</v>
      </c>
      <c r="D17" s="223" t="s">
        <v>94</v>
      </c>
      <c r="E17" s="223" t="s">
        <v>93</v>
      </c>
      <c r="F17" s="223" t="s">
        <v>23</v>
      </c>
      <c r="G17" s="223" t="s">
        <v>92</v>
      </c>
      <c r="H17" s="223" t="s">
        <v>94</v>
      </c>
      <c r="I17" s="223" t="s">
        <v>92</v>
      </c>
      <c r="J17" s="223" t="s">
        <v>94</v>
      </c>
    </row>
    <row r="18" spans="1:10" ht="9.6" customHeight="1" x14ac:dyDescent="0.25">
      <c r="A18" s="223">
        <v>1</v>
      </c>
      <c r="B18" s="224">
        <v>2</v>
      </c>
      <c r="C18" s="223">
        <v>3</v>
      </c>
      <c r="D18" s="224">
        <v>4</v>
      </c>
      <c r="E18" s="223">
        <v>5</v>
      </c>
      <c r="F18" s="224">
        <v>6</v>
      </c>
      <c r="G18" s="223">
        <v>7</v>
      </c>
      <c r="H18" s="224">
        <v>8</v>
      </c>
      <c r="I18" s="223">
        <v>9</v>
      </c>
      <c r="J18" s="224">
        <v>10</v>
      </c>
    </row>
    <row r="19" spans="1:10" s="10" customFormat="1" ht="14.1" customHeight="1" x14ac:dyDescent="0.25">
      <c r="A19" s="180">
        <v>1</v>
      </c>
      <c r="B19" s="20" t="s">
        <v>54</v>
      </c>
      <c r="C19" s="21">
        <v>5.1999999999999998E-2</v>
      </c>
      <c r="D19" s="21">
        <v>3.7999999999999999E-2</v>
      </c>
      <c r="E19" s="13">
        <f>цены!F7</f>
        <v>560</v>
      </c>
      <c r="F19" s="246">
        <f>C19*E19</f>
        <v>29.12</v>
      </c>
      <c r="G19" s="97">
        <f t="shared" ref="G19:H31" si="0">C19*10</f>
        <v>0.52</v>
      </c>
      <c r="H19" s="21">
        <f t="shared" si="0"/>
        <v>0.38</v>
      </c>
      <c r="I19" s="21">
        <f t="shared" ref="I19:J31" si="1">C19*100</f>
        <v>5.2</v>
      </c>
      <c r="J19" s="21">
        <f t="shared" si="1"/>
        <v>3.8</v>
      </c>
    </row>
    <row r="20" spans="1:10" s="10" customFormat="1" ht="12" customHeight="1" x14ac:dyDescent="0.25">
      <c r="A20" s="180">
        <v>2</v>
      </c>
      <c r="B20" s="20" t="s">
        <v>96</v>
      </c>
      <c r="C20" s="21">
        <v>8.0000000000000002E-3</v>
      </c>
      <c r="D20" s="21">
        <v>8.0000000000000002E-3</v>
      </c>
      <c r="E20" s="13">
        <f>цены!F157</f>
        <v>65</v>
      </c>
      <c r="F20" s="246">
        <f t="shared" ref="F20:F31" si="2">C20*E20</f>
        <v>0.52</v>
      </c>
      <c r="G20" s="97">
        <f t="shared" si="0"/>
        <v>0.08</v>
      </c>
      <c r="H20" s="21">
        <f t="shared" si="0"/>
        <v>0.08</v>
      </c>
      <c r="I20" s="21">
        <f t="shared" si="1"/>
        <v>0.8</v>
      </c>
      <c r="J20" s="21">
        <f t="shared" si="1"/>
        <v>0.8</v>
      </c>
    </row>
    <row r="21" spans="1:10" s="10" customFormat="1" ht="12" customHeight="1" x14ac:dyDescent="0.25">
      <c r="A21" s="180">
        <v>3</v>
      </c>
      <c r="B21" s="20" t="s">
        <v>48</v>
      </c>
      <c r="C21" s="21">
        <v>5.0000000000000001E-3</v>
      </c>
      <c r="D21" s="21">
        <v>4.0000000000000001E-3</v>
      </c>
      <c r="E21" s="13">
        <f>цены!F38</f>
        <v>50</v>
      </c>
      <c r="F21" s="246">
        <f t="shared" si="2"/>
        <v>0.25</v>
      </c>
      <c r="G21" s="97">
        <f t="shared" si="0"/>
        <v>0.05</v>
      </c>
      <c r="H21" s="21">
        <f t="shared" si="0"/>
        <v>0.04</v>
      </c>
      <c r="I21" s="21">
        <f t="shared" si="1"/>
        <v>0.5</v>
      </c>
      <c r="J21" s="21">
        <f t="shared" si="1"/>
        <v>0.4</v>
      </c>
    </row>
    <row r="22" spans="1:10" s="10" customFormat="1" ht="12" customHeight="1" x14ac:dyDescent="0.25">
      <c r="A22" s="180">
        <v>4</v>
      </c>
      <c r="B22" s="20" t="s">
        <v>33</v>
      </c>
      <c r="C22" s="21">
        <v>3.0000000000000001E-3</v>
      </c>
      <c r="D22" s="21">
        <v>3.0000000000000001E-3</v>
      </c>
      <c r="E22" s="13">
        <f>цены!F110</f>
        <v>24</v>
      </c>
      <c r="F22" s="246">
        <f t="shared" si="2"/>
        <v>7.0000000000000007E-2</v>
      </c>
      <c r="G22" s="97">
        <f t="shared" si="0"/>
        <v>0.03</v>
      </c>
      <c r="H22" s="21">
        <f t="shared" si="0"/>
        <v>0.03</v>
      </c>
      <c r="I22" s="21">
        <f t="shared" si="1"/>
        <v>0.3</v>
      </c>
      <c r="J22" s="21">
        <f t="shared" si="1"/>
        <v>0.3</v>
      </c>
    </row>
    <row r="23" spans="1:10" s="10" customFormat="1" ht="12" customHeight="1" x14ac:dyDescent="0.25">
      <c r="A23" s="180">
        <v>5</v>
      </c>
      <c r="B23" s="20" t="s">
        <v>153</v>
      </c>
      <c r="C23" s="21">
        <v>6.0000000000000001E-3</v>
      </c>
      <c r="D23" s="21">
        <v>6.0000000000000001E-3</v>
      </c>
      <c r="E23" s="13">
        <f>цены!F20</f>
        <v>80</v>
      </c>
      <c r="F23" s="246">
        <f t="shared" si="2"/>
        <v>0.48</v>
      </c>
      <c r="G23" s="97">
        <f t="shared" si="0"/>
        <v>0.06</v>
      </c>
      <c r="H23" s="21">
        <f t="shared" si="0"/>
        <v>0.06</v>
      </c>
      <c r="I23" s="21">
        <f t="shared" si="1"/>
        <v>0.6</v>
      </c>
      <c r="J23" s="21">
        <f t="shared" si="1"/>
        <v>0.6</v>
      </c>
    </row>
    <row r="24" spans="1:10" s="10" customFormat="1" ht="12" customHeight="1" x14ac:dyDescent="0.25">
      <c r="A24" s="180">
        <v>6</v>
      </c>
      <c r="B24" s="20" t="s">
        <v>45</v>
      </c>
      <c r="C24" s="111">
        <v>5.0000000000000001E-3</v>
      </c>
      <c r="D24" s="111">
        <v>5.0000000000000001E-3</v>
      </c>
      <c r="E24" s="13">
        <f>цены!F74</f>
        <v>36</v>
      </c>
      <c r="F24" s="246">
        <f t="shared" si="2"/>
        <v>0.18</v>
      </c>
      <c r="G24" s="97">
        <f t="shared" si="0"/>
        <v>0.05</v>
      </c>
      <c r="H24" s="21">
        <f t="shared" si="0"/>
        <v>0.05</v>
      </c>
      <c r="I24" s="21">
        <f t="shared" si="1"/>
        <v>0.5</v>
      </c>
      <c r="J24" s="21">
        <f t="shared" si="1"/>
        <v>0.5</v>
      </c>
    </row>
    <row r="25" spans="1:10" s="10" customFormat="1" ht="12" customHeight="1" x14ac:dyDescent="0.25">
      <c r="A25" s="180">
        <v>7</v>
      </c>
      <c r="B25" s="20" t="s">
        <v>28</v>
      </c>
      <c r="C25" s="111">
        <v>5.0000000000000001E-3</v>
      </c>
      <c r="D25" s="111">
        <v>5.0000000000000001E-3</v>
      </c>
      <c r="E25" s="408"/>
      <c r="F25" s="246">
        <f t="shared" si="2"/>
        <v>0</v>
      </c>
      <c r="G25" s="97">
        <f t="shared" si="0"/>
        <v>0.05</v>
      </c>
      <c r="H25" s="21">
        <f t="shared" si="0"/>
        <v>0.05</v>
      </c>
      <c r="I25" s="21">
        <f t="shared" si="1"/>
        <v>0.5</v>
      </c>
      <c r="J25" s="21">
        <f t="shared" si="1"/>
        <v>0.5</v>
      </c>
    </row>
    <row r="26" spans="1:10" s="10" customFormat="1" ht="12" customHeight="1" x14ac:dyDescent="0.25">
      <c r="A26" s="190"/>
      <c r="B26" s="93" t="s">
        <v>97</v>
      </c>
      <c r="C26" s="191"/>
      <c r="D26" s="191">
        <v>6.5000000000000002E-2</v>
      </c>
      <c r="E26" s="192"/>
      <c r="F26" s="192"/>
      <c r="G26" s="231"/>
      <c r="H26" s="232"/>
      <c r="I26" s="232"/>
      <c r="J26" s="232"/>
    </row>
    <row r="27" spans="1:10" s="10" customFormat="1" ht="12" customHeight="1" x14ac:dyDescent="0.25">
      <c r="A27" s="180">
        <v>8</v>
      </c>
      <c r="B27" s="20" t="s">
        <v>74</v>
      </c>
      <c r="C27" s="111">
        <v>5.0000000000000001E-3</v>
      </c>
      <c r="D27" s="111">
        <v>5.0000000000000001E-3</v>
      </c>
      <c r="E27" s="13">
        <f>цены!F87</f>
        <v>120</v>
      </c>
      <c r="F27" s="246">
        <f t="shared" si="2"/>
        <v>0.6</v>
      </c>
      <c r="G27" s="97">
        <f>C27*10</f>
        <v>0.05</v>
      </c>
      <c r="H27" s="21">
        <f t="shared" si="0"/>
        <v>0.05</v>
      </c>
      <c r="I27" s="21">
        <f t="shared" si="1"/>
        <v>0.5</v>
      </c>
      <c r="J27" s="21">
        <f t="shared" si="1"/>
        <v>0.5</v>
      </c>
    </row>
    <row r="28" spans="1:10" s="10" customFormat="1" ht="12" customHeight="1" x14ac:dyDescent="0.25">
      <c r="A28" s="180">
        <v>9</v>
      </c>
      <c r="B28" s="20" t="s">
        <v>78</v>
      </c>
      <c r="C28" s="111">
        <v>2E-3</v>
      </c>
      <c r="D28" s="111">
        <v>2E-3</v>
      </c>
      <c r="E28" s="13">
        <f>цены!F48</f>
        <v>300</v>
      </c>
      <c r="F28" s="246">
        <f t="shared" si="2"/>
        <v>0.6</v>
      </c>
      <c r="G28" s="97">
        <f t="shared" si="0"/>
        <v>0.02</v>
      </c>
      <c r="H28" s="21">
        <f t="shared" si="0"/>
        <v>0.02</v>
      </c>
      <c r="I28" s="21">
        <f t="shared" si="1"/>
        <v>0.2</v>
      </c>
      <c r="J28" s="21">
        <f t="shared" si="1"/>
        <v>0.2</v>
      </c>
    </row>
    <row r="29" spans="1:10" s="10" customFormat="1" ht="12" customHeight="1" x14ac:dyDescent="0.25">
      <c r="A29" s="180">
        <v>10</v>
      </c>
      <c r="B29" s="20" t="s">
        <v>84</v>
      </c>
      <c r="C29" s="125">
        <v>2.0000000000000002E-5</v>
      </c>
      <c r="D29" s="125">
        <v>2.0000000000000002E-5</v>
      </c>
      <c r="E29" s="13">
        <f>цены!F100</f>
        <v>1000</v>
      </c>
      <c r="F29" s="246">
        <f t="shared" si="2"/>
        <v>0.02</v>
      </c>
      <c r="G29" s="97">
        <f t="shared" si="0"/>
        <v>0</v>
      </c>
      <c r="H29" s="21">
        <f t="shared" si="0"/>
        <v>0</v>
      </c>
      <c r="I29" s="21">
        <f t="shared" si="1"/>
        <v>2E-3</v>
      </c>
      <c r="J29" s="21">
        <f t="shared" si="1"/>
        <v>2E-3</v>
      </c>
    </row>
    <row r="30" spans="1:10" s="10" customFormat="1" ht="23.4" customHeight="1" x14ac:dyDescent="0.25">
      <c r="A30" s="184"/>
      <c r="B30" s="93" t="s">
        <v>463</v>
      </c>
      <c r="C30" s="112"/>
      <c r="D30" s="100">
        <v>0.06</v>
      </c>
      <c r="E30" s="95"/>
      <c r="F30" s="95"/>
      <c r="G30" s="95"/>
      <c r="H30" s="95">
        <f t="shared" si="0"/>
        <v>0.6</v>
      </c>
      <c r="I30" s="100"/>
      <c r="J30" s="95">
        <f t="shared" si="1"/>
        <v>6</v>
      </c>
    </row>
    <row r="31" spans="1:10" s="10" customFormat="1" ht="12" customHeight="1" x14ac:dyDescent="0.25">
      <c r="A31" s="180">
        <v>11</v>
      </c>
      <c r="B31" s="20" t="s">
        <v>360</v>
      </c>
      <c r="C31" s="111">
        <v>0.05</v>
      </c>
      <c r="D31" s="21">
        <v>0.05</v>
      </c>
      <c r="E31" s="13">
        <f>'331-соус с томатом'!F30</f>
        <v>84.41</v>
      </c>
      <c r="F31" s="246">
        <f t="shared" si="2"/>
        <v>4.22</v>
      </c>
      <c r="G31" s="97">
        <f>C31*10</f>
        <v>0.5</v>
      </c>
      <c r="H31" s="221">
        <f t="shared" si="0"/>
        <v>0.5</v>
      </c>
      <c r="I31" s="21">
        <f>C31*100</f>
        <v>5</v>
      </c>
      <c r="J31" s="221">
        <f t="shared" si="1"/>
        <v>5</v>
      </c>
    </row>
    <row r="32" spans="1:10" s="10" customFormat="1" ht="12" customHeight="1" x14ac:dyDescent="0.25">
      <c r="A32" s="98"/>
      <c r="B32" s="93" t="s">
        <v>100</v>
      </c>
      <c r="C32" s="112"/>
      <c r="D32" s="100">
        <v>0.105</v>
      </c>
      <c r="E32" s="95"/>
      <c r="F32" s="247">
        <f>SUM(F19:F31)</f>
        <v>36.06</v>
      </c>
      <c r="G32" s="99"/>
      <c r="H32" s="95">
        <f>D32*10</f>
        <v>1.05</v>
      </c>
      <c r="I32" s="100"/>
      <c r="J32" s="95">
        <f>D32*100</f>
        <v>10.5</v>
      </c>
    </row>
    <row r="33" spans="1:10" s="10" customFormat="1" ht="26.4" customHeight="1" x14ac:dyDescent="0.25">
      <c r="A33" s="203"/>
      <c r="B33" s="204" t="s">
        <v>1281</v>
      </c>
      <c r="C33" s="205"/>
      <c r="D33" s="205"/>
      <c r="E33" s="206"/>
      <c r="F33" s="248"/>
      <c r="G33" s="207"/>
      <c r="H33" s="208"/>
      <c r="I33" s="208"/>
      <c r="J33" s="208"/>
    </row>
    <row r="34" spans="1:10" s="10" customFormat="1" ht="27.6" customHeight="1" x14ac:dyDescent="0.25">
      <c r="A34" s="1536" t="s">
        <v>35</v>
      </c>
      <c r="B34" s="1536"/>
      <c r="C34" s="90"/>
      <c r="D34" s="90"/>
      <c r="E34" s="13"/>
      <c r="F34" s="246">
        <f>F32</f>
        <v>36.06</v>
      </c>
      <c r="G34" s="225"/>
      <c r="H34" s="225"/>
      <c r="I34" s="21"/>
      <c r="J34" s="13"/>
    </row>
    <row r="35" spans="1:10" s="10" customFormat="1" ht="25.35" customHeight="1" x14ac:dyDescent="0.25">
      <c r="A35" s="1536" t="s">
        <v>36</v>
      </c>
      <c r="B35" s="1536"/>
      <c r="C35" s="90">
        <v>105</v>
      </c>
      <c r="D35" s="90"/>
      <c r="E35" s="13"/>
      <c r="F35" s="246"/>
      <c r="G35" s="13"/>
      <c r="H35" s="13"/>
      <c r="I35" s="21"/>
      <c r="J35" s="17"/>
    </row>
    <row r="36" spans="1:10" s="10" customFormat="1" ht="25.35" customHeight="1" x14ac:dyDescent="0.25">
      <c r="A36" s="1537" t="s">
        <v>37</v>
      </c>
      <c r="B36" s="1538"/>
      <c r="C36" s="91">
        <v>105</v>
      </c>
      <c r="D36" s="92"/>
      <c r="E36" s="224"/>
      <c r="F36" s="249"/>
      <c r="G36" s="224"/>
      <c r="H36" s="224"/>
      <c r="I36" s="21"/>
      <c r="J36" s="17"/>
    </row>
    <row r="37" spans="1:10" s="10" customFormat="1" ht="15" customHeight="1" x14ac:dyDescent="0.25">
      <c r="A37" s="1539" t="s">
        <v>38</v>
      </c>
      <c r="B37" s="1540"/>
      <c r="C37" s="92">
        <f>C35/C36</f>
        <v>1</v>
      </c>
      <c r="D37" s="92"/>
      <c r="E37" s="224"/>
      <c r="F37" s="249"/>
      <c r="G37" s="224"/>
      <c r="H37" s="224"/>
      <c r="I37" s="21"/>
      <c r="J37" s="17"/>
    </row>
    <row r="38" spans="1:10" ht="16.350000000000001" customHeight="1" x14ac:dyDescent="0.25">
      <c r="A38" s="1541" t="s">
        <v>39</v>
      </c>
      <c r="B38" s="1542"/>
      <c r="C38" s="15" t="s">
        <v>40</v>
      </c>
      <c r="D38" s="102"/>
      <c r="E38" s="102" t="s">
        <v>40</v>
      </c>
      <c r="F38" s="249">
        <f>F34/C37</f>
        <v>36.06</v>
      </c>
      <c r="G38" s="16"/>
      <c r="H38" s="16"/>
      <c r="I38" s="102" t="s">
        <v>40</v>
      </c>
      <c r="J38" s="102" t="s">
        <v>40</v>
      </c>
    </row>
    <row r="39" spans="1:10" ht="23.1" customHeight="1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ht="13.95" customHeight="1" x14ac:dyDescent="0.25">
      <c r="A40" s="1193"/>
      <c r="B40" s="1194" t="s">
        <v>49</v>
      </c>
      <c r="C40" s="1198"/>
      <c r="D40" s="1198"/>
      <c r="E40" s="1198"/>
      <c r="F40" s="1198"/>
      <c r="G40" s="1193"/>
      <c r="H40" s="1557">
        <f>'1-бутерброд с маслом'!$H$28</f>
        <v>0</v>
      </c>
      <c r="I40" s="1557"/>
      <c r="J40" s="1557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ht="13.95" customHeight="1" x14ac:dyDescent="0.25">
      <c r="A42" s="1545" t="s">
        <v>327</v>
      </c>
      <c r="B42" s="1545"/>
      <c r="C42" s="1546" t="s">
        <v>328</v>
      </c>
      <c r="D42" s="1546"/>
      <c r="E42" s="1546"/>
      <c r="F42" s="1546"/>
      <c r="G42" s="106"/>
      <c r="H42" s="1531"/>
      <c r="I42" s="1531"/>
      <c r="J42" s="1531"/>
    </row>
    <row r="43" spans="1:10" x14ac:dyDescent="0.25">
      <c r="A43" s="1193"/>
      <c r="B43" s="1193"/>
      <c r="C43" s="1546"/>
      <c r="D43" s="1546"/>
      <c r="E43" s="1546"/>
      <c r="F43" s="1546"/>
      <c r="G43" s="1193"/>
      <c r="H43" s="1531" t="s">
        <v>329</v>
      </c>
      <c r="I43" s="1531"/>
      <c r="J43" s="1531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2:B42"/>
    <mergeCell ref="C42:F43"/>
    <mergeCell ref="H42:J42"/>
    <mergeCell ref="H43:J43"/>
    <mergeCell ref="A35:B35"/>
    <mergeCell ref="A36:B36"/>
    <mergeCell ref="A37:B37"/>
    <mergeCell ref="A38:B38"/>
    <mergeCell ref="H40:J40"/>
    <mergeCell ref="A34:B34"/>
    <mergeCell ref="A9:J9"/>
    <mergeCell ref="A11:J11"/>
  </mergeCells>
  <printOptions headings="1"/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44"/>
  <sheetViews>
    <sheetView view="pageBreakPreview" topLeftCell="A13" zoomScaleNormal="100" zoomScaleSheetLayoutView="100" workbookViewId="0">
      <selection activeCell="N25" sqref="N25"/>
    </sheetView>
  </sheetViews>
  <sheetFormatPr defaultColWidth="8.88671875" defaultRowHeight="13.8" x14ac:dyDescent="0.25"/>
  <cols>
    <col min="1" max="1" width="4.109375" style="1170" customWidth="1"/>
    <col min="2" max="2" width="24.6640625" style="1170" customWidth="1"/>
    <col min="3" max="3" width="7.44140625" style="1170" customWidth="1"/>
    <col min="4" max="5" width="7.5546875" style="1170" customWidth="1"/>
    <col min="6" max="6" width="6.6640625" style="1170" customWidth="1"/>
    <col min="7" max="7" width="7.5546875" style="1170" customWidth="1"/>
    <col min="8" max="8" width="7.33203125" style="1170" customWidth="1"/>
    <col min="9" max="9" width="7.5546875" style="1170" customWidth="1"/>
    <col min="10" max="10" width="9" style="1170" customWidth="1"/>
    <col min="11" max="11" width="4.6640625" style="1170" customWidth="1"/>
    <col min="12" max="16384" width="8.88671875" style="1170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197)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176">
        <v>285</v>
      </c>
    </row>
    <row r="8" spans="1:10" s="2" customFormat="1" ht="9.6" customHeight="1" x14ac:dyDescent="0.25">
      <c r="A8" s="1172"/>
      <c r="B8" s="1172"/>
      <c r="C8" s="1172"/>
      <c r="D8" s="1172"/>
      <c r="E8" s="1172"/>
      <c r="F8" s="1172"/>
      <c r="G8" s="1172"/>
      <c r="H8" s="1172"/>
      <c r="I8" s="1172"/>
      <c r="J8" s="109"/>
    </row>
    <row r="9" spans="1:10" s="2" customFormat="1" ht="26.1" customHeight="1" x14ac:dyDescent="0.3">
      <c r="A9" s="1550" t="s">
        <v>1316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'280 фрикадельки в соусе'!H14+1</f>
        <v>197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33.75" customHeight="1" x14ac:dyDescent="0.25">
      <c r="A17" s="1543"/>
      <c r="B17" s="1543"/>
      <c r="C17" s="1173" t="s">
        <v>92</v>
      </c>
      <c r="D17" s="1173" t="s">
        <v>94</v>
      </c>
      <c r="E17" s="1173" t="s">
        <v>93</v>
      </c>
      <c r="F17" s="1173" t="s">
        <v>23</v>
      </c>
      <c r="G17" s="1173" t="s">
        <v>92</v>
      </c>
      <c r="H17" s="1173" t="s">
        <v>94</v>
      </c>
      <c r="I17" s="1173" t="s">
        <v>92</v>
      </c>
      <c r="J17" s="1173" t="s">
        <v>94</v>
      </c>
    </row>
    <row r="18" spans="1:10" ht="9.6" customHeight="1" x14ac:dyDescent="0.25">
      <c r="A18" s="1173">
        <v>1</v>
      </c>
      <c r="B18" s="1174">
        <v>2</v>
      </c>
      <c r="C18" s="1173">
        <v>3</v>
      </c>
      <c r="D18" s="1174">
        <v>4</v>
      </c>
      <c r="E18" s="1173">
        <v>5</v>
      </c>
      <c r="F18" s="1174">
        <v>6</v>
      </c>
      <c r="G18" s="1173">
        <v>7</v>
      </c>
      <c r="H18" s="1174">
        <v>8</v>
      </c>
      <c r="I18" s="1173">
        <v>9</v>
      </c>
      <c r="J18" s="1174">
        <v>10</v>
      </c>
    </row>
    <row r="19" spans="1:10" s="10" customFormat="1" ht="14.1" customHeight="1" x14ac:dyDescent="0.25">
      <c r="A19" s="180">
        <v>1</v>
      </c>
      <c r="B19" s="20" t="s">
        <v>54</v>
      </c>
      <c r="C19" s="21">
        <v>0.15</v>
      </c>
      <c r="D19" s="21">
        <v>0.111</v>
      </c>
      <c r="E19" s="408">
        <f>цены!F7</f>
        <v>560</v>
      </c>
      <c r="F19" s="408">
        <f t="shared" ref="F19" si="0">C19*E19</f>
        <v>84</v>
      </c>
      <c r="G19" s="97">
        <f t="shared" ref="G19:H19" si="1">C19*10</f>
        <v>1.5</v>
      </c>
      <c r="H19" s="21">
        <f t="shared" si="1"/>
        <v>1.1100000000000001</v>
      </c>
      <c r="I19" s="21">
        <f t="shared" ref="I19:J19" si="2">C19*100</f>
        <v>15</v>
      </c>
      <c r="J19" s="21">
        <f t="shared" si="2"/>
        <v>11.1</v>
      </c>
    </row>
    <row r="20" spans="1:10" s="10" customFormat="1" ht="14.1" customHeight="1" x14ac:dyDescent="0.25">
      <c r="A20" s="180">
        <v>2</v>
      </c>
      <c r="B20" s="20" t="s">
        <v>74</v>
      </c>
      <c r="C20" s="21">
        <v>6.0000000000000001E-3</v>
      </c>
      <c r="D20" s="21">
        <v>6.0000000000000001E-3</v>
      </c>
      <c r="E20" s="408">
        <f>цены!F87</f>
        <v>120</v>
      </c>
      <c r="F20" s="408">
        <f t="shared" ref="F20" si="3">C20*E20</f>
        <v>0.72</v>
      </c>
      <c r="G20" s="97">
        <f t="shared" ref="G20" si="4">C20*10</f>
        <v>0.06</v>
      </c>
      <c r="H20" s="21">
        <f t="shared" ref="H20" si="5">D20*10</f>
        <v>0.06</v>
      </c>
      <c r="I20" s="21">
        <f t="shared" ref="I20" si="6">C20*100</f>
        <v>0.6</v>
      </c>
      <c r="J20" s="21">
        <f t="shared" ref="J20" si="7">D20*100</f>
        <v>0.6</v>
      </c>
    </row>
    <row r="21" spans="1:10" s="10" customFormat="1" ht="14.1" customHeight="1" x14ac:dyDescent="0.25">
      <c r="A21" s="184"/>
      <c r="B21" s="93" t="s">
        <v>1317</v>
      </c>
      <c r="C21" s="100"/>
      <c r="D21" s="1028">
        <v>70</v>
      </c>
      <c r="E21" s="1028"/>
      <c r="F21" s="1028"/>
      <c r="G21" s="1031"/>
      <c r="H21" s="1028">
        <v>700</v>
      </c>
      <c r="I21" s="1028"/>
      <c r="J21" s="1028">
        <v>7000</v>
      </c>
    </row>
    <row r="22" spans="1:10" s="10" customFormat="1" ht="12" customHeight="1" x14ac:dyDescent="0.25">
      <c r="A22" s="180">
        <v>3</v>
      </c>
      <c r="B22" s="20" t="s">
        <v>69</v>
      </c>
      <c r="C22" s="21">
        <v>4.9000000000000002E-2</v>
      </c>
      <c r="D22" s="21">
        <v>0.14000000000000001</v>
      </c>
      <c r="E22" s="408">
        <f>цены!F88</f>
        <v>50</v>
      </c>
      <c r="F22" s="408">
        <f t="shared" ref="F22:F25" si="8">C22*E22</f>
        <v>2.4500000000000002</v>
      </c>
      <c r="G22" s="97">
        <f t="shared" ref="G22:G25" si="9">C22*10</f>
        <v>0.49</v>
      </c>
      <c r="H22" s="21">
        <f t="shared" ref="H22:H25" si="10">D22*10</f>
        <v>1.4</v>
      </c>
      <c r="I22" s="21">
        <f t="shared" ref="I22:I25" si="11">C22*100</f>
        <v>4.9000000000000004</v>
      </c>
      <c r="J22" s="21">
        <f t="shared" ref="J22:J25" si="12">D22*100</f>
        <v>14</v>
      </c>
    </row>
    <row r="23" spans="1:10" s="10" customFormat="1" ht="12" customHeight="1" x14ac:dyDescent="0.25">
      <c r="A23" s="180">
        <v>4</v>
      </c>
      <c r="B23" s="20" t="s">
        <v>48</v>
      </c>
      <c r="C23" s="21">
        <v>1.7000000000000001E-2</v>
      </c>
      <c r="D23" s="21">
        <v>1.4E-2</v>
      </c>
      <c r="E23" s="408">
        <f>цены!F38</f>
        <v>50</v>
      </c>
      <c r="F23" s="408">
        <f t="shared" si="8"/>
        <v>0.85</v>
      </c>
      <c r="G23" s="97">
        <f t="shared" si="9"/>
        <v>0.17</v>
      </c>
      <c r="H23" s="21">
        <f t="shared" si="10"/>
        <v>0.14000000000000001</v>
      </c>
      <c r="I23" s="21">
        <f t="shared" si="11"/>
        <v>1.7</v>
      </c>
      <c r="J23" s="21">
        <f t="shared" si="12"/>
        <v>1.4</v>
      </c>
    </row>
    <row r="24" spans="1:10" s="10" customFormat="1" ht="12" customHeight="1" x14ac:dyDescent="0.25">
      <c r="A24" s="180">
        <v>5</v>
      </c>
      <c r="B24" s="20" t="s">
        <v>33</v>
      </c>
      <c r="C24" s="21">
        <v>3.0000000000000001E-3</v>
      </c>
      <c r="D24" s="21">
        <v>3.0000000000000001E-3</v>
      </c>
      <c r="E24" s="408">
        <f>цены!F110</f>
        <v>24</v>
      </c>
      <c r="F24" s="408">
        <f t="shared" si="8"/>
        <v>7.0000000000000007E-2</v>
      </c>
      <c r="G24" s="97">
        <f t="shared" si="9"/>
        <v>0.03</v>
      </c>
      <c r="H24" s="21">
        <f t="shared" si="10"/>
        <v>0.03</v>
      </c>
      <c r="I24" s="21">
        <f t="shared" si="11"/>
        <v>0.3</v>
      </c>
      <c r="J24" s="21">
        <f t="shared" si="12"/>
        <v>0.3</v>
      </c>
    </row>
    <row r="25" spans="1:10" s="10" customFormat="1" ht="12" customHeight="1" x14ac:dyDescent="0.25">
      <c r="A25" s="180">
        <v>6</v>
      </c>
      <c r="B25" s="20" t="s">
        <v>74</v>
      </c>
      <c r="C25" s="21">
        <v>3.0000000000000001E-3</v>
      </c>
      <c r="D25" s="21">
        <v>3.0000000000000001E-3</v>
      </c>
      <c r="E25" s="408">
        <f>цены!F87</f>
        <v>120</v>
      </c>
      <c r="F25" s="408">
        <f t="shared" si="8"/>
        <v>0.36</v>
      </c>
      <c r="G25" s="97">
        <f t="shared" si="9"/>
        <v>0.03</v>
      </c>
      <c r="H25" s="21">
        <f t="shared" si="10"/>
        <v>0.03</v>
      </c>
      <c r="I25" s="21">
        <f t="shared" si="11"/>
        <v>0.3</v>
      </c>
      <c r="J25" s="21">
        <f t="shared" si="12"/>
        <v>0.3</v>
      </c>
    </row>
    <row r="26" spans="1:10" s="10" customFormat="1" ht="12" customHeight="1" x14ac:dyDescent="0.25">
      <c r="A26" s="184"/>
      <c r="B26" s="93" t="s">
        <v>178</v>
      </c>
      <c r="C26" s="112"/>
      <c r="D26" s="1028">
        <v>7</v>
      </c>
      <c r="E26" s="95"/>
      <c r="F26" s="95"/>
      <c r="G26" s="95"/>
      <c r="H26" s="95"/>
      <c r="I26" s="95"/>
      <c r="J26" s="95"/>
    </row>
    <row r="27" spans="1:10" s="10" customFormat="1" ht="12" customHeight="1" x14ac:dyDescent="0.25">
      <c r="A27" s="129">
        <v>7</v>
      </c>
      <c r="B27" s="123" t="s">
        <v>31</v>
      </c>
      <c r="C27" s="130">
        <v>3.0000000000000001E-3</v>
      </c>
      <c r="D27" s="1190">
        <v>0</v>
      </c>
      <c r="E27" s="127">
        <f>цены!F21</f>
        <v>710</v>
      </c>
      <c r="F27" s="408">
        <f t="shared" ref="F27:F28" si="13">C27*E27</f>
        <v>2.13</v>
      </c>
      <c r="G27" s="97">
        <f t="shared" ref="G27:G28" si="14">C27*10</f>
        <v>0.03</v>
      </c>
      <c r="H27" s="21">
        <f t="shared" ref="H27:H28" si="15">D27*10</f>
        <v>0</v>
      </c>
      <c r="I27" s="21">
        <f t="shared" ref="I27:I28" si="16">C27*100</f>
        <v>0.3</v>
      </c>
      <c r="J27" s="21">
        <f t="shared" ref="J27:J28" si="17">D27*100</f>
        <v>0</v>
      </c>
    </row>
    <row r="28" spans="1:10" s="10" customFormat="1" ht="12" customHeight="1" x14ac:dyDescent="0.25">
      <c r="A28" s="129">
        <v>8</v>
      </c>
      <c r="B28" s="123" t="s">
        <v>77</v>
      </c>
      <c r="C28" s="130">
        <v>4.0000000000000001E-3</v>
      </c>
      <c r="D28" s="1190">
        <v>0</v>
      </c>
      <c r="E28" s="127">
        <f>цены!F111</f>
        <v>118</v>
      </c>
      <c r="F28" s="408">
        <f t="shared" si="13"/>
        <v>0.47</v>
      </c>
      <c r="G28" s="97">
        <f t="shared" si="14"/>
        <v>0.04</v>
      </c>
      <c r="H28" s="21">
        <f t="shared" si="15"/>
        <v>0</v>
      </c>
      <c r="I28" s="21">
        <f t="shared" si="16"/>
        <v>0.4</v>
      </c>
      <c r="J28" s="21">
        <f t="shared" si="17"/>
        <v>0</v>
      </c>
    </row>
    <row r="29" spans="1:10" s="10" customFormat="1" ht="13.2" customHeight="1" x14ac:dyDescent="0.25">
      <c r="A29" s="184"/>
      <c r="B29" s="93" t="s">
        <v>97</v>
      </c>
      <c r="C29" s="112"/>
      <c r="D29" s="1028">
        <v>230</v>
      </c>
      <c r="E29" s="95"/>
      <c r="F29" s="95"/>
      <c r="G29" s="95"/>
      <c r="H29" s="1028">
        <v>2300</v>
      </c>
      <c r="I29" s="1028"/>
      <c r="J29" s="1028">
        <v>23000</v>
      </c>
    </row>
    <row r="30" spans="1:10" s="10" customFormat="1" ht="13.2" customHeight="1" x14ac:dyDescent="0.25">
      <c r="A30" s="184"/>
      <c r="B30" s="93" t="s">
        <v>1318</v>
      </c>
      <c r="C30" s="112"/>
      <c r="D30" s="1028">
        <v>195</v>
      </c>
      <c r="E30" s="95"/>
      <c r="F30" s="95"/>
      <c r="G30" s="95"/>
      <c r="H30" s="1028">
        <v>1950</v>
      </c>
      <c r="I30" s="1028"/>
      <c r="J30" s="1028">
        <v>19500</v>
      </c>
    </row>
    <row r="31" spans="1:10" s="10" customFormat="1" ht="13.2" customHeight="1" x14ac:dyDescent="0.25">
      <c r="A31" s="180">
        <v>9</v>
      </c>
      <c r="B31" s="20" t="s">
        <v>31</v>
      </c>
      <c r="C31" s="111">
        <v>0.05</v>
      </c>
      <c r="D31" s="21">
        <v>0.05</v>
      </c>
      <c r="E31" s="408">
        <f>цены!F21</f>
        <v>710</v>
      </c>
      <c r="F31" s="408">
        <f>D31*E31</f>
        <v>35.5</v>
      </c>
      <c r="G31" s="97">
        <f t="shared" ref="G31:H31" si="18">C31*10</f>
        <v>0.5</v>
      </c>
      <c r="H31" s="21">
        <f t="shared" si="18"/>
        <v>0.5</v>
      </c>
      <c r="I31" s="21">
        <f t="shared" ref="I31:J31" si="19">C31*100</f>
        <v>5</v>
      </c>
      <c r="J31" s="21">
        <f t="shared" si="19"/>
        <v>5</v>
      </c>
    </row>
    <row r="32" spans="1:10" s="10" customFormat="1" ht="12" customHeight="1" x14ac:dyDescent="0.25">
      <c r="A32" s="98"/>
      <c r="B32" s="93" t="s">
        <v>100</v>
      </c>
      <c r="C32" s="112"/>
      <c r="D32" s="1028">
        <v>200</v>
      </c>
      <c r="E32" s="95"/>
      <c r="F32" s="95">
        <f>SUM(F19:F31)</f>
        <v>126.55</v>
      </c>
      <c r="G32" s="99"/>
      <c r="H32" s="1028">
        <f>D32*10</f>
        <v>2000</v>
      </c>
      <c r="I32" s="1028"/>
      <c r="J32" s="1028">
        <f>D32*100</f>
        <v>20000</v>
      </c>
    </row>
    <row r="33" spans="1:10" s="10" customFormat="1" ht="14.4" customHeight="1" x14ac:dyDescent="0.25">
      <c r="A33" s="203"/>
      <c r="B33" s="204"/>
      <c r="C33" s="205"/>
      <c r="D33" s="205"/>
      <c r="E33" s="206"/>
      <c r="F33" s="206"/>
      <c r="G33" s="207"/>
      <c r="H33" s="208"/>
      <c r="I33" s="208"/>
      <c r="J33" s="208"/>
    </row>
    <row r="34" spans="1:10" s="10" customFormat="1" ht="27.6" customHeight="1" x14ac:dyDescent="0.25">
      <c r="A34" s="1536" t="s">
        <v>35</v>
      </c>
      <c r="B34" s="1536"/>
      <c r="C34" s="90"/>
      <c r="D34" s="90"/>
      <c r="E34" s="408"/>
      <c r="F34" s="408">
        <f>F32</f>
        <v>126.55</v>
      </c>
      <c r="G34" s="1175"/>
      <c r="H34" s="1175"/>
      <c r="I34" s="21"/>
      <c r="J34" s="408"/>
    </row>
    <row r="35" spans="1:10" s="10" customFormat="1" ht="18" customHeight="1" x14ac:dyDescent="0.25">
      <c r="A35" s="1536" t="s">
        <v>36</v>
      </c>
      <c r="B35" s="1536"/>
      <c r="C35" s="90">
        <v>200</v>
      </c>
      <c r="D35" s="90"/>
      <c r="E35" s="408"/>
      <c r="F35" s="408"/>
      <c r="G35" s="408"/>
      <c r="H35" s="408"/>
      <c r="I35" s="21"/>
      <c r="J35" s="17"/>
    </row>
    <row r="36" spans="1:10" s="10" customFormat="1" ht="25.35" customHeight="1" x14ac:dyDescent="0.25">
      <c r="A36" s="1537" t="s">
        <v>37</v>
      </c>
      <c r="B36" s="1538"/>
      <c r="C36" s="91">
        <v>200</v>
      </c>
      <c r="D36" s="92"/>
      <c r="E36" s="1174"/>
      <c r="F36" s="1174"/>
      <c r="G36" s="1174"/>
      <c r="H36" s="1174"/>
      <c r="I36" s="21"/>
      <c r="J36" s="17"/>
    </row>
    <row r="37" spans="1:10" s="10" customFormat="1" ht="15" customHeight="1" x14ac:dyDescent="0.25">
      <c r="A37" s="1539" t="s">
        <v>38</v>
      </c>
      <c r="B37" s="1540"/>
      <c r="C37" s="92">
        <f>C35/C36</f>
        <v>1</v>
      </c>
      <c r="D37" s="92"/>
      <c r="E37" s="1174"/>
      <c r="F37" s="1174"/>
      <c r="G37" s="1174"/>
      <c r="H37" s="1174"/>
      <c r="I37" s="21"/>
      <c r="J37" s="17"/>
    </row>
    <row r="38" spans="1:10" ht="16.350000000000001" customHeight="1" x14ac:dyDescent="0.25">
      <c r="A38" s="1541" t="s">
        <v>39</v>
      </c>
      <c r="B38" s="1542"/>
      <c r="C38" s="15" t="s">
        <v>40</v>
      </c>
      <c r="D38" s="102"/>
      <c r="E38" s="102" t="s">
        <v>40</v>
      </c>
      <c r="F38" s="16">
        <f>F34/C37</f>
        <v>126.55</v>
      </c>
      <c r="G38" s="16"/>
      <c r="H38" s="16"/>
      <c r="I38" s="102" t="s">
        <v>40</v>
      </c>
      <c r="J38" s="102" t="s">
        <v>40</v>
      </c>
    </row>
    <row r="39" spans="1:10" ht="13.95" customHeight="1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ht="13.95" customHeight="1" x14ac:dyDescent="0.25">
      <c r="A40" s="1193"/>
      <c r="B40" s="1194" t="s">
        <v>49</v>
      </c>
      <c r="C40" s="1198"/>
      <c r="D40" s="1198"/>
      <c r="E40" s="1198"/>
      <c r="F40" s="1198"/>
      <c r="G40" s="1193"/>
      <c r="H40" s="1557">
        <f>'1-бутерброд с маслом'!$H$28</f>
        <v>0</v>
      </c>
      <c r="I40" s="1557"/>
      <c r="J40" s="1557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ht="13.95" customHeight="1" x14ac:dyDescent="0.25">
      <c r="A42" s="1545" t="s">
        <v>327</v>
      </c>
      <c r="B42" s="1545"/>
      <c r="C42" s="1546" t="s">
        <v>328</v>
      </c>
      <c r="D42" s="1546"/>
      <c r="E42" s="1546"/>
      <c r="F42" s="1546"/>
      <c r="G42" s="106"/>
      <c r="H42" s="1531"/>
      <c r="I42" s="1531"/>
      <c r="J42" s="1531"/>
    </row>
    <row r="43" spans="1:10" x14ac:dyDescent="0.25">
      <c r="A43" s="1193"/>
      <c r="B43" s="1193"/>
      <c r="C43" s="1546"/>
      <c r="D43" s="1546"/>
      <c r="E43" s="1546"/>
      <c r="F43" s="1546"/>
      <c r="G43" s="1193"/>
      <c r="H43" s="1531" t="s">
        <v>329</v>
      </c>
      <c r="I43" s="1531"/>
      <c r="J43" s="1531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2:B42"/>
    <mergeCell ref="C42:F43"/>
    <mergeCell ref="H42:J42"/>
    <mergeCell ref="H43:J43"/>
    <mergeCell ref="A35:B35"/>
    <mergeCell ref="A36:B36"/>
    <mergeCell ref="A37:B37"/>
    <mergeCell ref="A38:B38"/>
    <mergeCell ref="H40:J40"/>
    <mergeCell ref="A34:B34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42"/>
  <sheetViews>
    <sheetView view="pageBreakPreview" topLeftCell="A2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2.88671875" customWidth="1"/>
    <col min="3" max="3" width="7.44140625" customWidth="1"/>
    <col min="4" max="5" width="7.5546875" customWidth="1"/>
    <col min="6" max="6" width="6.6640625" customWidth="1"/>
    <col min="7" max="7" width="7.5546875" customWidth="1"/>
    <col min="8" max="8" width="7.33203125" customWidth="1"/>
    <col min="9" max="9" width="7.5546875" customWidth="1"/>
    <col min="10" max="10" width="9" customWidth="1"/>
    <col min="11" max="11" width="4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198)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287</v>
      </c>
    </row>
    <row r="8" spans="1:10" s="2" customFormat="1" ht="9.6" customHeight="1" x14ac:dyDescent="0.25">
      <c r="A8" s="233"/>
      <c r="B8" s="233"/>
      <c r="C8" s="233"/>
      <c r="D8" s="233"/>
      <c r="E8" s="233"/>
      <c r="F8" s="233"/>
      <c r="G8" s="233"/>
      <c r="H8" s="233"/>
      <c r="I8" s="233"/>
      <c r="J8" s="109"/>
    </row>
    <row r="9" spans="1:10" s="2" customFormat="1" ht="26.1" customHeight="1" x14ac:dyDescent="0.3">
      <c r="A9" s="1550" t="s">
        <v>1282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'285-макаронник с мясом'!H14+1</f>
        <v>198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33.75" customHeight="1" x14ac:dyDescent="0.25">
      <c r="A17" s="1543"/>
      <c r="B17" s="1543"/>
      <c r="C17" s="234" t="s">
        <v>92</v>
      </c>
      <c r="D17" s="234" t="s">
        <v>94</v>
      </c>
      <c r="E17" s="234" t="s">
        <v>93</v>
      </c>
      <c r="F17" s="234" t="s">
        <v>23</v>
      </c>
      <c r="G17" s="234" t="s">
        <v>92</v>
      </c>
      <c r="H17" s="234" t="s">
        <v>94</v>
      </c>
      <c r="I17" s="234" t="s">
        <v>92</v>
      </c>
      <c r="J17" s="234" t="s">
        <v>94</v>
      </c>
    </row>
    <row r="18" spans="1:10" ht="9.6" customHeight="1" x14ac:dyDescent="0.25">
      <c r="A18" s="234">
        <v>1</v>
      </c>
      <c r="B18" s="235">
        <v>2</v>
      </c>
      <c r="C18" s="234">
        <v>3</v>
      </c>
      <c r="D18" s="235">
        <v>4</v>
      </c>
      <c r="E18" s="234">
        <v>5</v>
      </c>
      <c r="F18" s="235">
        <v>6</v>
      </c>
      <c r="G18" s="234">
        <v>7</v>
      </c>
      <c r="H18" s="235">
        <v>8</v>
      </c>
      <c r="I18" s="234">
        <v>9</v>
      </c>
      <c r="J18" s="235">
        <v>10</v>
      </c>
    </row>
    <row r="19" spans="1:10" ht="14.4" customHeight="1" x14ac:dyDescent="0.25">
      <c r="A19" s="395">
        <v>1</v>
      </c>
      <c r="B19" s="181" t="s">
        <v>53</v>
      </c>
      <c r="C19" s="395">
        <v>8.1000000000000003E-2</v>
      </c>
      <c r="D19" s="396">
        <v>6.5000000000000002E-2</v>
      </c>
      <c r="E19" s="182">
        <f>цены!F33</f>
        <v>53</v>
      </c>
      <c r="F19" s="13">
        <f t="shared" ref="F19:F24" si="0">C19*E19</f>
        <v>4.29</v>
      </c>
      <c r="G19" s="97">
        <f>C19*10</f>
        <v>0.81</v>
      </c>
      <c r="H19" s="21">
        <f>D19*10</f>
        <v>0.65</v>
      </c>
      <c r="I19" s="21">
        <f>C19*100</f>
        <v>8.1</v>
      </c>
      <c r="J19" s="21">
        <f>D19*100</f>
        <v>6.5</v>
      </c>
    </row>
    <row r="20" spans="1:10" s="10" customFormat="1" ht="14.1" customHeight="1" x14ac:dyDescent="0.25">
      <c r="A20" s="180">
        <v>2</v>
      </c>
      <c r="B20" s="20" t="s">
        <v>54</v>
      </c>
      <c r="C20" s="21">
        <v>5.3999999999999999E-2</v>
      </c>
      <c r="D20" s="21">
        <v>0.04</v>
      </c>
      <c r="E20" s="13">
        <f>цены!F7</f>
        <v>560</v>
      </c>
      <c r="F20" s="13">
        <f t="shared" si="0"/>
        <v>30.24</v>
      </c>
      <c r="G20" s="97">
        <f t="shared" ref="G20:H24" si="1">C20*10</f>
        <v>0.54</v>
      </c>
      <c r="H20" s="21">
        <f t="shared" si="1"/>
        <v>0.4</v>
      </c>
      <c r="I20" s="21">
        <f t="shared" ref="I20:J24" si="2">C20*100</f>
        <v>5.4</v>
      </c>
      <c r="J20" s="21">
        <f t="shared" si="2"/>
        <v>4</v>
      </c>
    </row>
    <row r="21" spans="1:10" s="10" customFormat="1" ht="12" customHeight="1" x14ac:dyDescent="0.25">
      <c r="A21" s="180">
        <v>3</v>
      </c>
      <c r="B21" s="20" t="s">
        <v>68</v>
      </c>
      <c r="C21" s="21">
        <v>5.0000000000000001E-3</v>
      </c>
      <c r="D21" s="21">
        <v>5.0000000000000001E-3</v>
      </c>
      <c r="E21" s="13">
        <f>цены!F83</f>
        <v>98</v>
      </c>
      <c r="F21" s="13">
        <f t="shared" si="0"/>
        <v>0.49</v>
      </c>
      <c r="G21" s="97">
        <f t="shared" si="1"/>
        <v>0.05</v>
      </c>
      <c r="H21" s="21">
        <f t="shared" si="1"/>
        <v>0.05</v>
      </c>
      <c r="I21" s="21">
        <f t="shared" si="2"/>
        <v>0.5</v>
      </c>
      <c r="J21" s="21">
        <f t="shared" si="2"/>
        <v>0.5</v>
      </c>
    </row>
    <row r="22" spans="1:10" s="10" customFormat="1" ht="12" customHeight="1" x14ac:dyDescent="0.25">
      <c r="A22" s="180">
        <v>4</v>
      </c>
      <c r="B22" s="20" t="s">
        <v>48</v>
      </c>
      <c r="C22" s="21">
        <v>1.0999999999999999E-2</v>
      </c>
      <c r="D22" s="21">
        <v>8.9999999999999993E-3</v>
      </c>
      <c r="E22" s="13">
        <f>цены!F38</f>
        <v>50</v>
      </c>
      <c r="F22" s="13">
        <f t="shared" si="0"/>
        <v>0.55000000000000004</v>
      </c>
      <c r="G22" s="97">
        <f t="shared" si="1"/>
        <v>0.11</v>
      </c>
      <c r="H22" s="21">
        <f t="shared" si="1"/>
        <v>0.09</v>
      </c>
      <c r="I22" s="21">
        <f t="shared" si="2"/>
        <v>1.1000000000000001</v>
      </c>
      <c r="J22" s="21">
        <f t="shared" si="2"/>
        <v>0.9</v>
      </c>
    </row>
    <row r="23" spans="1:10" s="10" customFormat="1" ht="12" customHeight="1" x14ac:dyDescent="0.25">
      <c r="A23" s="180">
        <v>5</v>
      </c>
      <c r="B23" s="20" t="s">
        <v>33</v>
      </c>
      <c r="C23" s="21">
        <v>3.0000000000000001E-3</v>
      </c>
      <c r="D23" s="21">
        <v>3.0000000000000001E-3</v>
      </c>
      <c r="E23" s="13">
        <f>цены!F110</f>
        <v>24</v>
      </c>
      <c r="F23" s="13">
        <f t="shared" si="0"/>
        <v>7.0000000000000007E-2</v>
      </c>
      <c r="G23" s="97">
        <f t="shared" si="1"/>
        <v>0.03</v>
      </c>
      <c r="H23" s="21">
        <f t="shared" si="1"/>
        <v>0.03</v>
      </c>
      <c r="I23" s="21">
        <f t="shared" si="2"/>
        <v>0.3</v>
      </c>
      <c r="J23" s="21">
        <f t="shared" si="2"/>
        <v>0.3</v>
      </c>
    </row>
    <row r="24" spans="1:10" s="10" customFormat="1" ht="12" customHeight="1" x14ac:dyDescent="0.25">
      <c r="A24" s="180">
        <v>5</v>
      </c>
      <c r="B24" s="20" t="s">
        <v>74</v>
      </c>
      <c r="C24" s="21">
        <v>3.0000000000000001E-3</v>
      </c>
      <c r="D24" s="21">
        <v>3.0000000000000001E-3</v>
      </c>
      <c r="E24" s="13">
        <f>цены!F87</f>
        <v>120</v>
      </c>
      <c r="F24" s="13">
        <f t="shared" si="0"/>
        <v>0.36</v>
      </c>
      <c r="G24" s="97">
        <f t="shared" si="1"/>
        <v>0.03</v>
      </c>
      <c r="H24" s="21">
        <f t="shared" si="1"/>
        <v>0.03</v>
      </c>
      <c r="I24" s="21">
        <f t="shared" si="2"/>
        <v>0.3</v>
      </c>
      <c r="J24" s="21">
        <f t="shared" si="2"/>
        <v>0.3</v>
      </c>
    </row>
    <row r="25" spans="1:10" s="10" customFormat="1" ht="22.95" customHeight="1" x14ac:dyDescent="0.25">
      <c r="A25" s="184"/>
      <c r="B25" s="93" t="s">
        <v>662</v>
      </c>
      <c r="C25" s="112"/>
      <c r="D25" s="1028">
        <v>6</v>
      </c>
      <c r="E25" s="95"/>
      <c r="F25" s="95"/>
      <c r="G25" s="95"/>
      <c r="H25" s="95"/>
      <c r="I25" s="95"/>
      <c r="J25" s="95"/>
    </row>
    <row r="26" spans="1:10" s="10" customFormat="1" ht="13.2" customHeight="1" x14ac:dyDescent="0.25">
      <c r="A26" s="184"/>
      <c r="B26" s="93" t="s">
        <v>372</v>
      </c>
      <c r="C26" s="112"/>
      <c r="D26" s="1028">
        <v>60</v>
      </c>
      <c r="E26" s="95"/>
      <c r="F26" s="95"/>
      <c r="G26" s="95"/>
      <c r="H26" s="95"/>
      <c r="I26" s="95"/>
      <c r="J26" s="95"/>
    </row>
    <row r="27" spans="1:10" s="10" customFormat="1" ht="13.2" customHeight="1" x14ac:dyDescent="0.25">
      <c r="A27" s="184"/>
      <c r="B27" s="93" t="s">
        <v>97</v>
      </c>
      <c r="C27" s="112"/>
      <c r="D27" s="1028">
        <v>120</v>
      </c>
      <c r="E27" s="95"/>
      <c r="F27" s="95"/>
      <c r="G27" s="95"/>
      <c r="H27" s="95"/>
      <c r="I27" s="95"/>
      <c r="J27" s="95"/>
    </row>
    <row r="28" spans="1:10" s="10" customFormat="1" ht="13.2" customHeight="1" x14ac:dyDescent="0.25">
      <c r="A28" s="184"/>
      <c r="B28" s="93" t="s">
        <v>663</v>
      </c>
      <c r="C28" s="112"/>
      <c r="D28" s="1028">
        <v>108</v>
      </c>
      <c r="E28" s="95"/>
      <c r="F28" s="95"/>
      <c r="G28" s="95"/>
      <c r="H28" s="95"/>
      <c r="I28" s="95"/>
      <c r="J28" s="95"/>
    </row>
    <row r="29" spans="1:10" s="10" customFormat="1" ht="24" customHeight="1" x14ac:dyDescent="0.25">
      <c r="A29" s="180">
        <v>10</v>
      </c>
      <c r="B29" s="20" t="s">
        <v>648</v>
      </c>
      <c r="C29" s="111">
        <v>0.05</v>
      </c>
      <c r="D29" s="21">
        <v>0.05</v>
      </c>
      <c r="E29" s="13">
        <f>'331-соус с томатом'!F30</f>
        <v>84.41</v>
      </c>
      <c r="F29" s="13">
        <f>D29*E29</f>
        <v>4.22</v>
      </c>
      <c r="G29" s="97">
        <f t="shared" ref="G29" si="3">C29*10</f>
        <v>0.5</v>
      </c>
      <c r="H29" s="21">
        <f t="shared" ref="H29" si="4">D29*10</f>
        <v>0.5</v>
      </c>
      <c r="I29" s="21">
        <f t="shared" ref="I29" si="5">C29*100</f>
        <v>5</v>
      </c>
      <c r="J29" s="21">
        <f t="shared" ref="J29" si="6">D29*100</f>
        <v>5</v>
      </c>
    </row>
    <row r="30" spans="1:10" s="10" customFormat="1" ht="12" customHeight="1" x14ac:dyDescent="0.25">
      <c r="A30" s="98"/>
      <c r="B30" s="93" t="s">
        <v>100</v>
      </c>
      <c r="C30" s="112"/>
      <c r="D30" s="100">
        <v>0.11</v>
      </c>
      <c r="E30" s="95"/>
      <c r="F30" s="95">
        <f>SUM(F19:F29)</f>
        <v>40.22</v>
      </c>
      <c r="G30" s="99"/>
      <c r="H30" s="95">
        <f>D30*10</f>
        <v>1.1000000000000001</v>
      </c>
      <c r="I30" s="100"/>
      <c r="J30" s="95">
        <f>D30*100</f>
        <v>11</v>
      </c>
    </row>
    <row r="31" spans="1:10" s="10" customFormat="1" ht="14.4" customHeight="1" x14ac:dyDescent="0.25">
      <c r="A31" s="203"/>
      <c r="B31" s="204" t="s">
        <v>405</v>
      </c>
      <c r="C31" s="205"/>
      <c r="D31" s="205"/>
      <c r="E31" s="206"/>
      <c r="F31" s="206"/>
      <c r="G31" s="207"/>
      <c r="H31" s="208"/>
      <c r="I31" s="208"/>
      <c r="J31" s="208"/>
    </row>
    <row r="32" spans="1:10" s="10" customFormat="1" ht="27.6" customHeight="1" x14ac:dyDescent="0.25">
      <c r="A32" s="1536" t="s">
        <v>35</v>
      </c>
      <c r="B32" s="1536"/>
      <c r="C32" s="90"/>
      <c r="D32" s="90"/>
      <c r="E32" s="13"/>
      <c r="F32" s="13">
        <f>F30</f>
        <v>40.22</v>
      </c>
      <c r="G32" s="236"/>
      <c r="H32" s="236"/>
      <c r="I32" s="21"/>
      <c r="J32" s="13"/>
    </row>
    <row r="33" spans="1:10" s="10" customFormat="1" ht="18" customHeight="1" x14ac:dyDescent="0.25">
      <c r="A33" s="1536" t="s">
        <v>36</v>
      </c>
      <c r="B33" s="1536"/>
      <c r="C33" s="90">
        <v>158</v>
      </c>
      <c r="D33" s="90"/>
      <c r="E33" s="13"/>
      <c r="F33" s="13"/>
      <c r="G33" s="13"/>
      <c r="H33" s="13"/>
      <c r="I33" s="21"/>
      <c r="J33" s="17"/>
    </row>
    <row r="34" spans="1:10" s="10" customFormat="1" ht="25.35" customHeight="1" x14ac:dyDescent="0.25">
      <c r="A34" s="1537" t="s">
        <v>37</v>
      </c>
      <c r="B34" s="1538"/>
      <c r="C34" s="91">
        <v>158</v>
      </c>
      <c r="D34" s="92"/>
      <c r="E34" s="235"/>
      <c r="F34" s="235"/>
      <c r="G34" s="235"/>
      <c r="H34" s="235"/>
      <c r="I34" s="21"/>
      <c r="J34" s="17"/>
    </row>
    <row r="35" spans="1:10" s="10" customFormat="1" ht="15" customHeight="1" x14ac:dyDescent="0.25">
      <c r="A35" s="1539" t="s">
        <v>38</v>
      </c>
      <c r="B35" s="1540"/>
      <c r="C35" s="92">
        <f>C33/C34</f>
        <v>1</v>
      </c>
      <c r="D35" s="92"/>
      <c r="E35" s="235"/>
      <c r="F35" s="235"/>
      <c r="G35" s="235"/>
      <c r="H35" s="235"/>
      <c r="I35" s="21"/>
      <c r="J35" s="17"/>
    </row>
    <row r="36" spans="1:10" ht="16.350000000000001" customHeight="1" x14ac:dyDescent="0.25">
      <c r="A36" s="1541" t="s">
        <v>39</v>
      </c>
      <c r="B36" s="1542"/>
      <c r="C36" s="15" t="s">
        <v>40</v>
      </c>
      <c r="D36" s="102"/>
      <c r="E36" s="102" t="s">
        <v>40</v>
      </c>
      <c r="F36" s="16">
        <f>F32/C35</f>
        <v>40.22</v>
      </c>
      <c r="G36" s="16"/>
      <c r="H36" s="16"/>
      <c r="I36" s="102" t="s">
        <v>40</v>
      </c>
      <c r="J36" s="102" t="s">
        <v>40</v>
      </c>
    </row>
    <row r="37" spans="1:10" ht="13.95" customHeight="1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193"/>
      <c r="B38" s="1194" t="s">
        <v>49</v>
      </c>
      <c r="C38" s="1198"/>
      <c r="D38" s="1198"/>
      <c r="E38" s="1198"/>
      <c r="F38" s="1198"/>
      <c r="G38" s="1193"/>
      <c r="H38" s="1557">
        <f>'1-бутерброд с маслом'!$H$28</f>
        <v>0</v>
      </c>
      <c r="I38" s="1557"/>
      <c r="J38" s="1557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ht="13.95" customHeight="1" x14ac:dyDescent="0.25">
      <c r="A40" s="1545" t="s">
        <v>327</v>
      </c>
      <c r="B40" s="1545"/>
      <c r="C40" s="1546" t="s">
        <v>328</v>
      </c>
      <c r="D40" s="1546"/>
      <c r="E40" s="1546"/>
      <c r="F40" s="1546"/>
      <c r="G40" s="106"/>
      <c r="H40" s="1531"/>
      <c r="I40" s="1531"/>
      <c r="J40" s="1531"/>
    </row>
    <row r="41" spans="1:10" x14ac:dyDescent="0.25">
      <c r="A41" s="1193"/>
      <c r="B41" s="1193"/>
      <c r="C41" s="1546"/>
      <c r="D41" s="1546"/>
      <c r="E41" s="1546"/>
      <c r="F41" s="1546"/>
      <c r="G41" s="1193"/>
      <c r="H41" s="1531" t="s">
        <v>329</v>
      </c>
      <c r="I41" s="1531"/>
      <c r="J41" s="1531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0:B40"/>
    <mergeCell ref="C40:F41"/>
    <mergeCell ref="H40:J40"/>
    <mergeCell ref="H41:J41"/>
    <mergeCell ref="A33:B33"/>
    <mergeCell ref="A34:B34"/>
    <mergeCell ref="A35:B35"/>
    <mergeCell ref="A36:B36"/>
    <mergeCell ref="H38:J38"/>
    <mergeCell ref="A32:B32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40"/>
  <sheetViews>
    <sheetView view="pageBreakPreview" topLeftCell="A7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4" width="7.5546875" customWidth="1"/>
    <col min="5" max="5" width="8.5546875" customWidth="1"/>
    <col min="6" max="7" width="7.5546875" customWidth="1"/>
    <col min="8" max="8" width="8.88671875" customWidth="1"/>
    <col min="9" max="9" width="7.5546875" customWidth="1"/>
    <col min="10" max="10" width="9" customWidth="1"/>
    <col min="11" max="11" width="3.88671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199)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288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1284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'287-Голубцы с мясом и рисом'!H14+1</f>
        <v>199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>
        <v>1</v>
      </c>
      <c r="B19" s="20" t="s">
        <v>147</v>
      </c>
      <c r="C19" s="21">
        <v>0.14599999999999999</v>
      </c>
      <c r="D19" s="21">
        <v>0.10100000000000001</v>
      </c>
      <c r="E19" s="13">
        <f>цены!F9</f>
        <v>195</v>
      </c>
      <c r="F19" s="13">
        <f t="shared" ref="F19:F24" si="0">C19*E19</f>
        <v>28.47</v>
      </c>
      <c r="G19" s="97">
        <f t="shared" ref="G19:H24" si="1">C19*10</f>
        <v>1.46</v>
      </c>
      <c r="H19" s="21">
        <f t="shared" si="1"/>
        <v>1.01</v>
      </c>
      <c r="I19" s="21">
        <f t="shared" ref="I19:J24" si="2">C19*100</f>
        <v>14.6</v>
      </c>
      <c r="J19" s="21">
        <f t="shared" si="2"/>
        <v>10.1</v>
      </c>
    </row>
    <row r="20" spans="1:10" s="10" customFormat="1" ht="12" customHeight="1" x14ac:dyDescent="0.25">
      <c r="A20" s="180">
        <v>2</v>
      </c>
      <c r="B20" s="20" t="s">
        <v>48</v>
      </c>
      <c r="C20" s="111">
        <v>3.5000000000000001E-3</v>
      </c>
      <c r="D20" s="111">
        <v>3.0000000000000001E-3</v>
      </c>
      <c r="E20" s="13">
        <f>цены!F38</f>
        <v>50</v>
      </c>
      <c r="F20" s="13">
        <f t="shared" si="0"/>
        <v>0.18</v>
      </c>
      <c r="G20" s="97">
        <f t="shared" si="1"/>
        <v>3.5000000000000003E-2</v>
      </c>
      <c r="H20" s="21">
        <f t="shared" si="1"/>
        <v>0.03</v>
      </c>
      <c r="I20" s="21">
        <f t="shared" si="2"/>
        <v>0.35</v>
      </c>
      <c r="J20" s="21">
        <f t="shared" si="2"/>
        <v>0.3</v>
      </c>
    </row>
    <row r="21" spans="1:10" s="10" customFormat="1" ht="12" customHeight="1" x14ac:dyDescent="0.25">
      <c r="A21" s="180">
        <v>3</v>
      </c>
      <c r="B21" s="20" t="s">
        <v>102</v>
      </c>
      <c r="C21" s="111">
        <v>2.0999999999999999E-3</v>
      </c>
      <c r="D21" s="111">
        <v>1.4E-3</v>
      </c>
      <c r="E21" s="13">
        <f>цены!F47</f>
        <v>300</v>
      </c>
      <c r="F21" s="13">
        <f t="shared" si="0"/>
        <v>0.63</v>
      </c>
      <c r="G21" s="97">
        <f t="shared" si="1"/>
        <v>2.1000000000000001E-2</v>
      </c>
      <c r="H21" s="21">
        <f t="shared" si="1"/>
        <v>1.4E-2</v>
      </c>
      <c r="I21" s="21">
        <f t="shared" si="2"/>
        <v>0.21</v>
      </c>
      <c r="J21" s="21">
        <f t="shared" si="2"/>
        <v>0.14000000000000001</v>
      </c>
    </row>
    <row r="22" spans="1:10" s="10" customFormat="1" ht="12" customHeight="1" x14ac:dyDescent="0.25">
      <c r="A22" s="180">
        <v>4</v>
      </c>
      <c r="B22" s="20" t="s">
        <v>33</v>
      </c>
      <c r="C22" s="21">
        <v>4.0000000000000001E-3</v>
      </c>
      <c r="D22" s="21">
        <v>4.0000000000000001E-3</v>
      </c>
      <c r="E22" s="13">
        <f>цены!F110</f>
        <v>24</v>
      </c>
      <c r="F22" s="13">
        <f t="shared" si="0"/>
        <v>0.1</v>
      </c>
      <c r="G22" s="97">
        <f t="shared" si="1"/>
        <v>0.04</v>
      </c>
      <c r="H22" s="21">
        <f t="shared" si="1"/>
        <v>0.04</v>
      </c>
      <c r="I22" s="21">
        <f t="shared" si="2"/>
        <v>0.4</v>
      </c>
      <c r="J22" s="21">
        <f t="shared" si="2"/>
        <v>0.4</v>
      </c>
    </row>
    <row r="23" spans="1:10" s="10" customFormat="1" ht="12" customHeight="1" x14ac:dyDescent="0.25">
      <c r="A23" s="180">
        <v>5</v>
      </c>
      <c r="B23" s="20" t="s">
        <v>105</v>
      </c>
      <c r="C23" s="21">
        <v>2E-3</v>
      </c>
      <c r="D23" s="21">
        <v>2E-3</v>
      </c>
      <c r="E23" s="13">
        <f>цены!F48</f>
        <v>300</v>
      </c>
      <c r="F23" s="13">
        <f t="shared" si="0"/>
        <v>0.6</v>
      </c>
      <c r="G23" s="97">
        <f t="shared" si="1"/>
        <v>0.02</v>
      </c>
      <c r="H23" s="21">
        <f t="shared" si="1"/>
        <v>0.02</v>
      </c>
      <c r="I23" s="21">
        <f t="shared" si="2"/>
        <v>0.2</v>
      </c>
      <c r="J23" s="21">
        <f t="shared" si="2"/>
        <v>0.2</v>
      </c>
    </row>
    <row r="24" spans="1:10" s="10" customFormat="1" ht="12" customHeight="1" x14ac:dyDescent="0.25">
      <c r="A24" s="180">
        <v>6</v>
      </c>
      <c r="B24" s="20" t="s">
        <v>84</v>
      </c>
      <c r="C24" s="111">
        <v>2.0000000000000001E-4</v>
      </c>
      <c r="D24" s="111">
        <v>2.0000000000000001E-4</v>
      </c>
      <c r="E24" s="13">
        <f>цены!F100</f>
        <v>1000</v>
      </c>
      <c r="F24" s="13">
        <f t="shared" si="0"/>
        <v>0.2</v>
      </c>
      <c r="G24" s="97">
        <f t="shared" si="1"/>
        <v>2E-3</v>
      </c>
      <c r="H24" s="21">
        <f t="shared" si="1"/>
        <v>2E-3</v>
      </c>
      <c r="I24" s="21">
        <f t="shared" si="2"/>
        <v>0.02</v>
      </c>
      <c r="J24" s="21">
        <f t="shared" si="2"/>
        <v>0.02</v>
      </c>
    </row>
    <row r="25" spans="1:10" s="10" customFormat="1" ht="12" customHeight="1" x14ac:dyDescent="0.25">
      <c r="A25" s="184"/>
      <c r="B25" s="93" t="s">
        <v>103</v>
      </c>
      <c r="C25" s="114"/>
      <c r="D25" s="1028">
        <v>70</v>
      </c>
      <c r="E25" s="95"/>
      <c r="F25" s="95"/>
      <c r="G25" s="99"/>
      <c r="H25" s="100">
        <f>D25*10</f>
        <v>700</v>
      </c>
      <c r="I25" s="100"/>
      <c r="J25" s="100">
        <f>D25*100</f>
        <v>7000</v>
      </c>
    </row>
    <row r="26" spans="1:10" s="10" customFormat="1" ht="12" customHeight="1" x14ac:dyDescent="0.25">
      <c r="A26" s="129">
        <v>7</v>
      </c>
      <c r="B26" s="123" t="s">
        <v>31</v>
      </c>
      <c r="C26" s="130">
        <v>7.0000000000000001E-3</v>
      </c>
      <c r="D26" s="130">
        <v>7.0000000000000001E-3</v>
      </c>
      <c r="E26" s="127">
        <f>цены!F21</f>
        <v>710</v>
      </c>
      <c r="F26" s="13">
        <f>C26*E26</f>
        <v>4.97</v>
      </c>
      <c r="G26" s="97">
        <f>C26*10</f>
        <v>7.0000000000000007E-2</v>
      </c>
      <c r="H26" s="21">
        <f>D26*10</f>
        <v>7.0000000000000007E-2</v>
      </c>
      <c r="I26" s="21">
        <f>C26*100</f>
        <v>0.7</v>
      </c>
      <c r="J26" s="21">
        <f>D26*100</f>
        <v>0.7</v>
      </c>
    </row>
    <row r="27" spans="1:10" s="10" customFormat="1" ht="12" customHeight="1" x14ac:dyDescent="0.25">
      <c r="A27" s="129">
        <v>8</v>
      </c>
      <c r="B27" s="123" t="s">
        <v>1278</v>
      </c>
      <c r="C27" s="130">
        <v>0.04</v>
      </c>
      <c r="D27" s="130">
        <v>0.04</v>
      </c>
      <c r="E27" s="127">
        <f>'331-соус с томатом'!F30</f>
        <v>84.41</v>
      </c>
      <c r="F27" s="408">
        <f>C27*E27</f>
        <v>3.38</v>
      </c>
      <c r="G27" s="97">
        <f>C27*10</f>
        <v>0.4</v>
      </c>
      <c r="H27" s="21">
        <f>D27*10</f>
        <v>0.4</v>
      </c>
      <c r="I27" s="21">
        <f>C27*100</f>
        <v>4</v>
      </c>
      <c r="J27" s="21">
        <f>D27*100</f>
        <v>4</v>
      </c>
    </row>
    <row r="28" spans="1:10" s="10" customFormat="1" ht="12" customHeight="1" x14ac:dyDescent="0.25">
      <c r="A28" s="184"/>
      <c r="B28" s="93" t="s">
        <v>100</v>
      </c>
      <c r="C28" s="112"/>
      <c r="D28" s="1028">
        <v>110</v>
      </c>
      <c r="E28" s="95"/>
      <c r="F28" s="95">
        <f>SUM(F19:F27)</f>
        <v>38.53</v>
      </c>
      <c r="G28" s="99"/>
      <c r="H28" s="100">
        <f>D28*10</f>
        <v>1100</v>
      </c>
      <c r="I28" s="100"/>
      <c r="J28" s="100">
        <f>D28*100</f>
        <v>11000</v>
      </c>
    </row>
    <row r="29" spans="1:10" s="10" customFormat="1" ht="28.2" customHeight="1" x14ac:dyDescent="0.25">
      <c r="A29" s="203"/>
      <c r="B29" s="204" t="s">
        <v>1283</v>
      </c>
      <c r="C29" s="205"/>
      <c r="D29" s="205"/>
      <c r="E29" s="206"/>
      <c r="F29" s="248"/>
      <c r="G29" s="207"/>
      <c r="H29" s="208"/>
      <c r="I29" s="208"/>
      <c r="J29" s="208"/>
    </row>
    <row r="30" spans="1:10" s="10" customFormat="1" ht="27.6" customHeight="1" x14ac:dyDescent="0.25">
      <c r="A30" s="1536" t="s">
        <v>35</v>
      </c>
      <c r="B30" s="1536"/>
      <c r="C30" s="90"/>
      <c r="D30" s="90"/>
      <c r="E30" s="13"/>
      <c r="F30" s="13">
        <f>F28</f>
        <v>38.53</v>
      </c>
      <c r="G30" s="14"/>
      <c r="H30" s="14"/>
      <c r="I30" s="21"/>
      <c r="J30" s="13"/>
    </row>
    <row r="31" spans="1:10" s="10" customFormat="1" ht="25.35" customHeight="1" x14ac:dyDescent="0.25">
      <c r="A31" s="1536" t="s">
        <v>36</v>
      </c>
      <c r="B31" s="1536"/>
      <c r="C31" s="90">
        <v>110</v>
      </c>
      <c r="D31" s="90"/>
      <c r="E31" s="13"/>
      <c r="F31" s="13"/>
      <c r="G31" s="13"/>
      <c r="H31" s="13"/>
      <c r="I31" s="21"/>
      <c r="J31" s="17"/>
    </row>
    <row r="32" spans="1:10" s="10" customFormat="1" ht="25.35" customHeight="1" x14ac:dyDescent="0.25">
      <c r="A32" s="1537" t="s">
        <v>37</v>
      </c>
      <c r="B32" s="1538"/>
      <c r="C32" s="91">
        <v>110</v>
      </c>
      <c r="D32" s="92"/>
      <c r="E32" s="5"/>
      <c r="F32" s="5"/>
      <c r="G32" s="5"/>
      <c r="H32" s="5"/>
      <c r="I32" s="21"/>
      <c r="J32" s="17"/>
    </row>
    <row r="33" spans="1:10" s="10" customFormat="1" ht="15" customHeight="1" x14ac:dyDescent="0.25">
      <c r="A33" s="1539" t="s">
        <v>38</v>
      </c>
      <c r="B33" s="1540"/>
      <c r="C33" s="92">
        <f>C31/C32</f>
        <v>1</v>
      </c>
      <c r="D33" s="92"/>
      <c r="E33" s="5"/>
      <c r="F33" s="5"/>
      <c r="G33" s="5"/>
      <c r="H33" s="5"/>
      <c r="I33" s="21"/>
      <c r="J33" s="17"/>
    </row>
    <row r="34" spans="1:10" ht="16.350000000000001" customHeight="1" x14ac:dyDescent="0.25">
      <c r="A34" s="1541" t="s">
        <v>39</v>
      </c>
      <c r="B34" s="1542"/>
      <c r="C34" s="15" t="s">
        <v>40</v>
      </c>
      <c r="D34" s="102"/>
      <c r="E34" s="102" t="s">
        <v>40</v>
      </c>
      <c r="F34" s="16">
        <f>F30/C33</f>
        <v>38.53</v>
      </c>
      <c r="G34" s="16"/>
      <c r="H34" s="16"/>
      <c r="I34" s="102" t="s">
        <v>40</v>
      </c>
      <c r="J34" s="102" t="s">
        <v>40</v>
      </c>
    </row>
    <row r="35" spans="1:10" ht="23.1" customHeight="1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193"/>
      <c r="B36" s="1194" t="s">
        <v>49</v>
      </c>
      <c r="C36" s="1198"/>
      <c r="D36" s="1198"/>
      <c r="E36" s="1198"/>
      <c r="F36" s="1198"/>
      <c r="G36" s="1193"/>
      <c r="H36" s="1557">
        <f>'1-бутерброд с маслом'!$H$28</f>
        <v>0</v>
      </c>
      <c r="I36" s="1557"/>
      <c r="J36" s="1557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545" t="s">
        <v>327</v>
      </c>
      <c r="B38" s="1545"/>
      <c r="C38" s="1546" t="s">
        <v>328</v>
      </c>
      <c r="D38" s="1546"/>
      <c r="E38" s="1546"/>
      <c r="F38" s="1546"/>
      <c r="G38" s="106"/>
      <c r="H38" s="1531"/>
      <c r="I38" s="1531"/>
      <c r="J38" s="1531"/>
    </row>
    <row r="39" spans="1:10" x14ac:dyDescent="0.25">
      <c r="A39" s="1193"/>
      <c r="B39" s="1193"/>
      <c r="C39" s="1546"/>
      <c r="D39" s="1546"/>
      <c r="E39" s="1546"/>
      <c r="F39" s="1546"/>
      <c r="G39" s="1193"/>
      <c r="H39" s="1531" t="s">
        <v>329</v>
      </c>
      <c r="I39" s="1531"/>
      <c r="J39" s="1531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8:B38"/>
    <mergeCell ref="C38:F39"/>
    <mergeCell ref="H38:J38"/>
    <mergeCell ref="H39:J39"/>
    <mergeCell ref="A31:B31"/>
    <mergeCell ref="A32:B32"/>
    <mergeCell ref="A33:B33"/>
    <mergeCell ref="A34:B34"/>
    <mergeCell ref="H36:J36"/>
    <mergeCell ref="A30:B30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40"/>
  <sheetViews>
    <sheetView view="pageBreakPreview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506" customWidth="1"/>
    <col min="2" max="2" width="21.109375" style="506" customWidth="1"/>
    <col min="3" max="4" width="7.5546875" style="506" customWidth="1"/>
    <col min="5" max="5" width="8.5546875" style="506" customWidth="1"/>
    <col min="6" max="7" width="7.5546875" style="506" customWidth="1"/>
    <col min="8" max="8" width="8.88671875" style="506" customWidth="1"/>
    <col min="9" max="9" width="7.5546875" style="506" customWidth="1"/>
    <col min="10" max="10" width="9" style="506" customWidth="1"/>
    <col min="11" max="11" width="3.6640625" style="506" customWidth="1"/>
    <col min="12" max="16384" width="8.88671875" style="506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200)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288</v>
      </c>
    </row>
    <row r="8" spans="1:10" s="2" customFormat="1" ht="9.6" customHeight="1" x14ac:dyDescent="0.25">
      <c r="A8" s="507"/>
      <c r="B8" s="507"/>
      <c r="C8" s="507"/>
      <c r="D8" s="507"/>
      <c r="E8" s="507"/>
      <c r="F8" s="507"/>
      <c r="G8" s="507"/>
      <c r="H8" s="507"/>
      <c r="I8" s="507"/>
      <c r="J8" s="109"/>
    </row>
    <row r="9" spans="1:10" s="2" customFormat="1" ht="26.1" customHeight="1" x14ac:dyDescent="0.3">
      <c r="A9" s="1550" t="s">
        <v>683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'288-птица отвар'!H14+1</f>
        <v>200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508" t="s">
        <v>92</v>
      </c>
      <c r="D17" s="508" t="s">
        <v>94</v>
      </c>
      <c r="E17" s="508" t="s">
        <v>93</v>
      </c>
      <c r="F17" s="508" t="s">
        <v>23</v>
      </c>
      <c r="G17" s="508" t="s">
        <v>92</v>
      </c>
      <c r="H17" s="508" t="s">
        <v>94</v>
      </c>
      <c r="I17" s="508" t="s">
        <v>92</v>
      </c>
      <c r="J17" s="508" t="s">
        <v>94</v>
      </c>
    </row>
    <row r="18" spans="1:10" ht="9.6" customHeight="1" x14ac:dyDescent="0.25">
      <c r="A18" s="508">
        <v>1</v>
      </c>
      <c r="B18" s="509">
        <v>2</v>
      </c>
      <c r="C18" s="508">
        <v>3</v>
      </c>
      <c r="D18" s="509">
        <v>4</v>
      </c>
      <c r="E18" s="508">
        <v>5</v>
      </c>
      <c r="F18" s="509">
        <v>6</v>
      </c>
      <c r="G18" s="508">
        <v>7</v>
      </c>
      <c r="H18" s="509">
        <v>8</v>
      </c>
      <c r="I18" s="508">
        <v>9</v>
      </c>
      <c r="J18" s="509">
        <v>10</v>
      </c>
    </row>
    <row r="19" spans="1:10" s="10" customFormat="1" ht="14.1" customHeight="1" x14ac:dyDescent="0.25">
      <c r="A19" s="180">
        <v>1</v>
      </c>
      <c r="B19" s="20" t="s">
        <v>679</v>
      </c>
      <c r="C19" s="21">
        <v>7.0999999999999994E-2</v>
      </c>
      <c r="D19" s="21">
        <v>6.4000000000000001E-2</v>
      </c>
      <c r="E19" s="408">
        <f>цены!F8</f>
        <v>193</v>
      </c>
      <c r="F19" s="408">
        <f t="shared" ref="F19:F24" si="0">C19*E19</f>
        <v>13.7</v>
      </c>
      <c r="G19" s="97">
        <f t="shared" ref="G19:H24" si="1">C19*10</f>
        <v>0.71</v>
      </c>
      <c r="H19" s="21">
        <f t="shared" si="1"/>
        <v>0.64</v>
      </c>
      <c r="I19" s="21">
        <f t="shared" ref="I19:J24" si="2">C19*100</f>
        <v>7.1</v>
      </c>
      <c r="J19" s="21">
        <f t="shared" si="2"/>
        <v>6.4</v>
      </c>
    </row>
    <row r="20" spans="1:10" s="10" customFormat="1" ht="12" customHeight="1" x14ac:dyDescent="0.25">
      <c r="A20" s="180">
        <v>2</v>
      </c>
      <c r="B20" s="20" t="s">
        <v>48</v>
      </c>
      <c r="C20" s="111">
        <v>2.5000000000000001E-3</v>
      </c>
      <c r="D20" s="111">
        <v>2E-3</v>
      </c>
      <c r="E20" s="408">
        <f>цены!F38</f>
        <v>50</v>
      </c>
      <c r="F20" s="408">
        <f t="shared" si="0"/>
        <v>0.13</v>
      </c>
      <c r="G20" s="97">
        <f t="shared" si="1"/>
        <v>2.5000000000000001E-2</v>
      </c>
      <c r="H20" s="21">
        <f t="shared" si="1"/>
        <v>0.02</v>
      </c>
      <c r="I20" s="21">
        <f t="shared" si="2"/>
        <v>0.25</v>
      </c>
      <c r="J20" s="21">
        <f t="shared" si="2"/>
        <v>0.2</v>
      </c>
    </row>
    <row r="21" spans="1:10" s="10" customFormat="1" ht="12" customHeight="1" x14ac:dyDescent="0.25">
      <c r="A21" s="180">
        <v>3</v>
      </c>
      <c r="B21" s="20" t="s">
        <v>102</v>
      </c>
      <c r="C21" s="111">
        <v>1.5E-3</v>
      </c>
      <c r="D21" s="111">
        <v>1E-3</v>
      </c>
      <c r="E21" s="408">
        <f>цены!F47</f>
        <v>300</v>
      </c>
      <c r="F21" s="408">
        <f t="shared" si="0"/>
        <v>0.45</v>
      </c>
      <c r="G21" s="97">
        <f t="shared" si="1"/>
        <v>1.4999999999999999E-2</v>
      </c>
      <c r="H21" s="21">
        <f t="shared" si="1"/>
        <v>0.01</v>
      </c>
      <c r="I21" s="21">
        <f t="shared" si="2"/>
        <v>0.15</v>
      </c>
      <c r="J21" s="21">
        <f t="shared" si="2"/>
        <v>0.1</v>
      </c>
    </row>
    <row r="22" spans="1:10" s="10" customFormat="1" ht="12" customHeight="1" x14ac:dyDescent="0.25">
      <c r="A22" s="180">
        <v>4</v>
      </c>
      <c r="B22" s="20" t="s">
        <v>33</v>
      </c>
      <c r="C22" s="21">
        <v>3.0000000000000001E-3</v>
      </c>
      <c r="D22" s="21">
        <v>3.0000000000000001E-3</v>
      </c>
      <c r="E22" s="408">
        <f>цены!F110</f>
        <v>24</v>
      </c>
      <c r="F22" s="408">
        <f t="shared" si="0"/>
        <v>7.0000000000000007E-2</v>
      </c>
      <c r="G22" s="97">
        <f t="shared" si="1"/>
        <v>0.03</v>
      </c>
      <c r="H22" s="21">
        <f t="shared" si="1"/>
        <v>0.03</v>
      </c>
      <c r="I22" s="21">
        <f t="shared" si="2"/>
        <v>0.3</v>
      </c>
      <c r="J22" s="21">
        <f t="shared" si="2"/>
        <v>0.3</v>
      </c>
    </row>
    <row r="23" spans="1:10" s="10" customFormat="1" ht="12" customHeight="1" x14ac:dyDescent="0.25">
      <c r="A23" s="180">
        <v>5</v>
      </c>
      <c r="B23" s="20" t="s">
        <v>105</v>
      </c>
      <c r="C23" s="21">
        <v>1E-3</v>
      </c>
      <c r="D23" s="21">
        <v>1E-3</v>
      </c>
      <c r="E23" s="408">
        <f>цены!F48</f>
        <v>300</v>
      </c>
      <c r="F23" s="408">
        <f t="shared" si="0"/>
        <v>0.3</v>
      </c>
      <c r="G23" s="97">
        <f t="shared" si="1"/>
        <v>0.01</v>
      </c>
      <c r="H23" s="21">
        <f t="shared" si="1"/>
        <v>0.01</v>
      </c>
      <c r="I23" s="21">
        <f t="shared" si="2"/>
        <v>0.1</v>
      </c>
      <c r="J23" s="21">
        <f t="shared" si="2"/>
        <v>0.1</v>
      </c>
    </row>
    <row r="24" spans="1:10" s="10" customFormat="1" ht="12" customHeight="1" x14ac:dyDescent="0.25">
      <c r="A24" s="180">
        <v>6</v>
      </c>
      <c r="B24" s="20" t="s">
        <v>84</v>
      </c>
      <c r="C24" s="111">
        <v>1E-4</v>
      </c>
      <c r="D24" s="111">
        <v>1E-4</v>
      </c>
      <c r="E24" s="408">
        <f>цены!F100</f>
        <v>1000</v>
      </c>
      <c r="F24" s="408">
        <f t="shared" si="0"/>
        <v>0.1</v>
      </c>
      <c r="G24" s="97">
        <f t="shared" si="1"/>
        <v>1E-3</v>
      </c>
      <c r="H24" s="21">
        <f t="shared" si="1"/>
        <v>1E-3</v>
      </c>
      <c r="I24" s="21">
        <f t="shared" si="2"/>
        <v>0.01</v>
      </c>
      <c r="J24" s="21">
        <f t="shared" si="2"/>
        <v>0.01</v>
      </c>
    </row>
    <row r="25" spans="1:10" s="10" customFormat="1" ht="12" customHeight="1" x14ac:dyDescent="0.25">
      <c r="A25" s="184"/>
      <c r="B25" s="93" t="s">
        <v>103</v>
      </c>
      <c r="C25" s="114"/>
      <c r="D25" s="112">
        <v>0.05</v>
      </c>
      <c r="E25" s="95"/>
      <c r="F25" s="95"/>
      <c r="G25" s="99"/>
      <c r="H25" s="100">
        <f>D25*10</f>
        <v>0.5</v>
      </c>
      <c r="I25" s="100"/>
      <c r="J25" s="100">
        <f>D25*100</f>
        <v>5</v>
      </c>
    </row>
    <row r="26" spans="1:10" s="10" customFormat="1" ht="12" customHeight="1" x14ac:dyDescent="0.25">
      <c r="A26" s="129">
        <v>7</v>
      </c>
      <c r="B26" s="123" t="s">
        <v>31</v>
      </c>
      <c r="C26" s="406">
        <v>5.0000000000000001E-3</v>
      </c>
      <c r="D26" s="130">
        <v>5.0000000000000001E-3</v>
      </c>
      <c r="E26" s="127">
        <f>цены!F21</f>
        <v>710</v>
      </c>
      <c r="F26" s="408">
        <f>C26*E26</f>
        <v>3.55</v>
      </c>
      <c r="G26" s="97">
        <f t="shared" ref="G26:H27" si="3">C26*10</f>
        <v>0.05</v>
      </c>
      <c r="H26" s="21">
        <f t="shared" si="3"/>
        <v>0.05</v>
      </c>
      <c r="I26" s="21">
        <f t="shared" ref="I26:J27" si="4">C26*100</f>
        <v>0.5</v>
      </c>
      <c r="J26" s="21">
        <f t="shared" si="4"/>
        <v>0.5</v>
      </c>
    </row>
    <row r="27" spans="1:10" s="10" customFormat="1" ht="12" customHeight="1" x14ac:dyDescent="0.25">
      <c r="A27" s="129">
        <v>8</v>
      </c>
      <c r="B27" s="123" t="s">
        <v>1278</v>
      </c>
      <c r="C27" s="406">
        <v>0.03</v>
      </c>
      <c r="D27" s="130">
        <v>0.03</v>
      </c>
      <c r="E27" s="127">
        <f>'331-соус с томатом'!F30</f>
        <v>84.41</v>
      </c>
      <c r="F27" s="408">
        <f>C27*E27</f>
        <v>2.5299999999999998</v>
      </c>
      <c r="G27" s="97">
        <f t="shared" si="3"/>
        <v>0.3</v>
      </c>
      <c r="H27" s="21">
        <f t="shared" si="3"/>
        <v>0.3</v>
      </c>
      <c r="I27" s="21">
        <f t="shared" si="4"/>
        <v>3</v>
      </c>
      <c r="J27" s="21">
        <f t="shared" si="4"/>
        <v>3</v>
      </c>
    </row>
    <row r="28" spans="1:10" s="10" customFormat="1" ht="12" customHeight="1" x14ac:dyDescent="0.25">
      <c r="A28" s="184"/>
      <c r="B28" s="93" t="s">
        <v>100</v>
      </c>
      <c r="C28" s="112"/>
      <c r="D28" s="112">
        <v>0.05</v>
      </c>
      <c r="E28" s="95"/>
      <c r="F28" s="95">
        <f>SUM(F19:F27)</f>
        <v>20.83</v>
      </c>
      <c r="G28" s="99"/>
      <c r="H28" s="100">
        <f>D28*10</f>
        <v>0.5</v>
      </c>
      <c r="I28" s="100"/>
      <c r="J28" s="100">
        <f>D28*100</f>
        <v>5</v>
      </c>
    </row>
    <row r="29" spans="1:10" s="10" customFormat="1" ht="24" customHeight="1" x14ac:dyDescent="0.25">
      <c r="A29" s="203"/>
      <c r="B29" s="204" t="s">
        <v>1283</v>
      </c>
      <c r="C29" s="205"/>
      <c r="D29" s="205"/>
      <c r="E29" s="206"/>
      <c r="F29" s="248"/>
      <c r="G29" s="207"/>
      <c r="H29" s="208"/>
      <c r="I29" s="208"/>
      <c r="J29" s="208"/>
    </row>
    <row r="30" spans="1:10" s="10" customFormat="1" ht="27.6" customHeight="1" x14ac:dyDescent="0.25">
      <c r="A30" s="1536" t="s">
        <v>35</v>
      </c>
      <c r="B30" s="1536"/>
      <c r="C30" s="90"/>
      <c r="D30" s="90"/>
      <c r="E30" s="408"/>
      <c r="F30" s="408">
        <f>F28</f>
        <v>20.83</v>
      </c>
      <c r="G30" s="510"/>
      <c r="H30" s="510"/>
      <c r="I30" s="21"/>
      <c r="J30" s="408"/>
    </row>
    <row r="31" spans="1:10" s="10" customFormat="1" ht="25.35" customHeight="1" x14ac:dyDescent="0.25">
      <c r="A31" s="1536" t="s">
        <v>36</v>
      </c>
      <c r="B31" s="1536"/>
      <c r="C31" s="90">
        <v>80</v>
      </c>
      <c r="D31" s="90"/>
      <c r="E31" s="408"/>
      <c r="F31" s="408"/>
      <c r="G31" s="408"/>
      <c r="H31" s="408"/>
      <c r="I31" s="21"/>
      <c r="J31" s="17"/>
    </row>
    <row r="32" spans="1:10" s="10" customFormat="1" ht="25.35" customHeight="1" x14ac:dyDescent="0.25">
      <c r="A32" s="1537" t="s">
        <v>37</v>
      </c>
      <c r="B32" s="1538"/>
      <c r="C32" s="91">
        <v>80</v>
      </c>
      <c r="D32" s="92"/>
      <c r="E32" s="509"/>
      <c r="F32" s="509"/>
      <c r="G32" s="509"/>
      <c r="H32" s="509"/>
      <c r="I32" s="21"/>
      <c r="J32" s="17"/>
    </row>
    <row r="33" spans="1:10" s="10" customFormat="1" ht="15" customHeight="1" x14ac:dyDescent="0.25">
      <c r="A33" s="1539" t="s">
        <v>38</v>
      </c>
      <c r="B33" s="1540"/>
      <c r="C33" s="92">
        <f>C31/C32</f>
        <v>1</v>
      </c>
      <c r="D33" s="92"/>
      <c r="E33" s="509"/>
      <c r="F33" s="509"/>
      <c r="G33" s="509"/>
      <c r="H33" s="509"/>
      <c r="I33" s="21"/>
      <c r="J33" s="17"/>
    </row>
    <row r="34" spans="1:10" ht="16.350000000000001" customHeight="1" x14ac:dyDescent="0.25">
      <c r="A34" s="1541" t="s">
        <v>39</v>
      </c>
      <c r="B34" s="1542"/>
      <c r="C34" s="15" t="s">
        <v>40</v>
      </c>
      <c r="D34" s="102"/>
      <c r="E34" s="102" t="s">
        <v>40</v>
      </c>
      <c r="F34" s="16">
        <f>F30/C33</f>
        <v>20.83</v>
      </c>
      <c r="G34" s="16"/>
      <c r="H34" s="16"/>
      <c r="I34" s="102" t="s">
        <v>40</v>
      </c>
      <c r="J34" s="102" t="s">
        <v>40</v>
      </c>
    </row>
    <row r="35" spans="1:10" ht="23.1" customHeight="1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193"/>
      <c r="B36" s="1194" t="s">
        <v>49</v>
      </c>
      <c r="C36" s="1198"/>
      <c r="D36" s="1198"/>
      <c r="E36" s="1198"/>
      <c r="F36" s="1198"/>
      <c r="G36" s="1193"/>
      <c r="H36" s="1557">
        <f>'1-бутерброд с маслом'!$H$28</f>
        <v>0</v>
      </c>
      <c r="I36" s="1557"/>
      <c r="J36" s="1557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545" t="s">
        <v>327</v>
      </c>
      <c r="B38" s="1545"/>
      <c r="C38" s="1546" t="s">
        <v>328</v>
      </c>
      <c r="D38" s="1546"/>
      <c r="E38" s="1546"/>
      <c r="F38" s="1546"/>
      <c r="G38" s="106"/>
      <c r="H38" s="1531"/>
      <c r="I38" s="1531"/>
      <c r="J38" s="1531"/>
    </row>
    <row r="39" spans="1:10" x14ac:dyDescent="0.25">
      <c r="A39" s="1193"/>
      <c r="B39" s="1193"/>
      <c r="C39" s="1546"/>
      <c r="D39" s="1546"/>
      <c r="E39" s="1546"/>
      <c r="F39" s="1546"/>
      <c r="G39" s="1193"/>
      <c r="H39" s="1531" t="s">
        <v>329</v>
      </c>
      <c r="I39" s="1531"/>
      <c r="J39" s="1531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8:B38"/>
    <mergeCell ref="C38:F39"/>
    <mergeCell ref="H38:J38"/>
    <mergeCell ref="H39:J39"/>
    <mergeCell ref="A31:B31"/>
    <mergeCell ref="A32:B32"/>
    <mergeCell ref="A33:B33"/>
    <mergeCell ref="A34:B34"/>
    <mergeCell ref="H36:J36"/>
    <mergeCell ref="A30:B30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40"/>
  <sheetViews>
    <sheetView view="pageBreakPreview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506" customWidth="1"/>
    <col min="2" max="2" width="21.109375" style="506" customWidth="1"/>
    <col min="3" max="4" width="7.5546875" style="506" customWidth="1"/>
    <col min="5" max="5" width="8.5546875" style="506" customWidth="1"/>
    <col min="6" max="7" width="7.5546875" style="506" customWidth="1"/>
    <col min="8" max="8" width="8.88671875" style="506" customWidth="1"/>
    <col min="9" max="9" width="7.5546875" style="506" customWidth="1"/>
    <col min="10" max="10" width="9" style="506" customWidth="1"/>
    <col min="11" max="11" width="4.33203125" style="506" customWidth="1"/>
    <col min="12" max="16384" width="8.88671875" style="506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201)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288</v>
      </c>
    </row>
    <row r="8" spans="1:10" s="2" customFormat="1" ht="9.6" customHeight="1" x14ac:dyDescent="0.25">
      <c r="A8" s="507"/>
      <c r="B8" s="507"/>
      <c r="C8" s="507"/>
      <c r="D8" s="507"/>
      <c r="E8" s="507"/>
      <c r="F8" s="507"/>
      <c r="G8" s="507"/>
      <c r="H8" s="507"/>
      <c r="I8" s="507"/>
      <c r="J8" s="109"/>
    </row>
    <row r="9" spans="1:10" s="2" customFormat="1" ht="26.1" customHeight="1" x14ac:dyDescent="0.3">
      <c r="A9" s="1550" t="s">
        <v>782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'288-птица отвар окор.'!H14+1</f>
        <v>201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508" t="s">
        <v>92</v>
      </c>
      <c r="D17" s="508" t="s">
        <v>94</v>
      </c>
      <c r="E17" s="508" t="s">
        <v>93</v>
      </c>
      <c r="F17" s="508" t="s">
        <v>23</v>
      </c>
      <c r="G17" s="508" t="s">
        <v>92</v>
      </c>
      <c r="H17" s="508" t="s">
        <v>94</v>
      </c>
      <c r="I17" s="508" t="s">
        <v>92</v>
      </c>
      <c r="J17" s="508" t="s">
        <v>94</v>
      </c>
    </row>
    <row r="18" spans="1:10" ht="9.6" customHeight="1" x14ac:dyDescent="0.25">
      <c r="A18" s="508">
        <v>1</v>
      </c>
      <c r="B18" s="509">
        <v>2</v>
      </c>
      <c r="C18" s="508">
        <v>3</v>
      </c>
      <c r="D18" s="509">
        <v>4</v>
      </c>
      <c r="E18" s="508">
        <v>5</v>
      </c>
      <c r="F18" s="509">
        <v>6</v>
      </c>
      <c r="G18" s="508">
        <v>7</v>
      </c>
      <c r="H18" s="509">
        <v>8</v>
      </c>
      <c r="I18" s="508">
        <v>9</v>
      </c>
      <c r="J18" s="509">
        <v>10</v>
      </c>
    </row>
    <row r="19" spans="1:10" s="10" customFormat="1" ht="14.1" customHeight="1" x14ac:dyDescent="0.25">
      <c r="A19" s="180">
        <v>1</v>
      </c>
      <c r="B19" s="20" t="s">
        <v>783</v>
      </c>
      <c r="C19" s="21">
        <v>7.1999999999999995E-2</v>
      </c>
      <c r="D19" s="21">
        <v>7.1999999999999995E-2</v>
      </c>
      <c r="E19" s="408">
        <f>цены!F10</f>
        <v>320</v>
      </c>
      <c r="F19" s="408">
        <f t="shared" ref="F19:F24" si="0">C19*E19</f>
        <v>23.04</v>
      </c>
      <c r="G19" s="97">
        <f t="shared" ref="G19:H24" si="1">C19*10</f>
        <v>0.72</v>
      </c>
      <c r="H19" s="21">
        <f t="shared" si="1"/>
        <v>0.72</v>
      </c>
      <c r="I19" s="21">
        <f t="shared" ref="I19:J24" si="2">C19*100</f>
        <v>7.2</v>
      </c>
      <c r="J19" s="21">
        <f t="shared" si="2"/>
        <v>7.2</v>
      </c>
    </row>
    <row r="20" spans="1:10" s="10" customFormat="1" ht="12" customHeight="1" x14ac:dyDescent="0.25">
      <c r="A20" s="180">
        <v>2</v>
      </c>
      <c r="B20" s="20" t="s">
        <v>48</v>
      </c>
      <c r="C20" s="111">
        <v>2.5000000000000001E-3</v>
      </c>
      <c r="D20" s="111">
        <v>2E-3</v>
      </c>
      <c r="E20" s="408">
        <f>цены!F38</f>
        <v>50</v>
      </c>
      <c r="F20" s="408">
        <f t="shared" si="0"/>
        <v>0.13</v>
      </c>
      <c r="G20" s="97">
        <f t="shared" si="1"/>
        <v>2.5000000000000001E-2</v>
      </c>
      <c r="H20" s="21">
        <f t="shared" si="1"/>
        <v>0.02</v>
      </c>
      <c r="I20" s="21">
        <f t="shared" si="2"/>
        <v>0.25</v>
      </c>
      <c r="J20" s="21">
        <f t="shared" si="2"/>
        <v>0.2</v>
      </c>
    </row>
    <row r="21" spans="1:10" s="10" customFormat="1" ht="12" customHeight="1" x14ac:dyDescent="0.25">
      <c r="A21" s="180">
        <v>3</v>
      </c>
      <c r="B21" s="20" t="s">
        <v>102</v>
      </c>
      <c r="C21" s="111">
        <v>1.5E-3</v>
      </c>
      <c r="D21" s="111">
        <v>1E-3</v>
      </c>
      <c r="E21" s="408">
        <f>цены!F47</f>
        <v>300</v>
      </c>
      <c r="F21" s="408">
        <f t="shared" si="0"/>
        <v>0.45</v>
      </c>
      <c r="G21" s="97">
        <f t="shared" si="1"/>
        <v>1.4999999999999999E-2</v>
      </c>
      <c r="H21" s="21">
        <f t="shared" si="1"/>
        <v>0.01</v>
      </c>
      <c r="I21" s="21">
        <f t="shared" si="2"/>
        <v>0.15</v>
      </c>
      <c r="J21" s="21">
        <f t="shared" si="2"/>
        <v>0.1</v>
      </c>
    </row>
    <row r="22" spans="1:10" s="10" customFormat="1" ht="12" customHeight="1" x14ac:dyDescent="0.25">
      <c r="A22" s="180">
        <v>4</v>
      </c>
      <c r="B22" s="20" t="s">
        <v>33</v>
      </c>
      <c r="C22" s="21">
        <v>3.0000000000000001E-3</v>
      </c>
      <c r="D22" s="21">
        <v>3.0000000000000001E-3</v>
      </c>
      <c r="E22" s="408">
        <f>цены!F110</f>
        <v>24</v>
      </c>
      <c r="F22" s="408">
        <f t="shared" si="0"/>
        <v>7.0000000000000007E-2</v>
      </c>
      <c r="G22" s="97">
        <f t="shared" si="1"/>
        <v>0.03</v>
      </c>
      <c r="H22" s="21">
        <f t="shared" si="1"/>
        <v>0.03</v>
      </c>
      <c r="I22" s="21">
        <f t="shared" si="2"/>
        <v>0.3</v>
      </c>
      <c r="J22" s="21">
        <f t="shared" si="2"/>
        <v>0.3</v>
      </c>
    </row>
    <row r="23" spans="1:10" s="10" customFormat="1" ht="12" customHeight="1" x14ac:dyDescent="0.25">
      <c r="A23" s="180">
        <v>5</v>
      </c>
      <c r="B23" s="20" t="s">
        <v>105</v>
      </c>
      <c r="C23" s="21">
        <v>1E-3</v>
      </c>
      <c r="D23" s="21">
        <v>1E-3</v>
      </c>
      <c r="E23" s="408">
        <f>цены!F48</f>
        <v>300</v>
      </c>
      <c r="F23" s="408">
        <f t="shared" si="0"/>
        <v>0.3</v>
      </c>
      <c r="G23" s="97">
        <f t="shared" si="1"/>
        <v>0.01</v>
      </c>
      <c r="H23" s="21">
        <f t="shared" si="1"/>
        <v>0.01</v>
      </c>
      <c r="I23" s="21">
        <f t="shared" si="2"/>
        <v>0.1</v>
      </c>
      <c r="J23" s="21">
        <f t="shared" si="2"/>
        <v>0.1</v>
      </c>
    </row>
    <row r="24" spans="1:10" s="10" customFormat="1" ht="12" customHeight="1" x14ac:dyDescent="0.25">
      <c r="A24" s="180">
        <v>6</v>
      </c>
      <c r="B24" s="20" t="s">
        <v>84</v>
      </c>
      <c r="C24" s="111">
        <v>1E-4</v>
      </c>
      <c r="D24" s="111">
        <v>1E-4</v>
      </c>
      <c r="E24" s="408">
        <f>цены!F100</f>
        <v>1000</v>
      </c>
      <c r="F24" s="408">
        <f t="shared" si="0"/>
        <v>0.1</v>
      </c>
      <c r="G24" s="97">
        <f t="shared" si="1"/>
        <v>1E-3</v>
      </c>
      <c r="H24" s="21">
        <f t="shared" si="1"/>
        <v>1E-3</v>
      </c>
      <c r="I24" s="21">
        <f t="shared" si="2"/>
        <v>0.01</v>
      </c>
      <c r="J24" s="21">
        <f t="shared" si="2"/>
        <v>0.01</v>
      </c>
    </row>
    <row r="25" spans="1:10" s="10" customFormat="1" ht="12" customHeight="1" x14ac:dyDescent="0.25">
      <c r="A25" s="184"/>
      <c r="B25" s="93" t="s">
        <v>103</v>
      </c>
      <c r="C25" s="114"/>
      <c r="D25" s="112">
        <v>0.05</v>
      </c>
      <c r="E25" s="95"/>
      <c r="F25" s="95"/>
      <c r="G25" s="99"/>
      <c r="H25" s="100">
        <f>D25*10</f>
        <v>0.5</v>
      </c>
      <c r="I25" s="100"/>
      <c r="J25" s="100">
        <f>D25*100</f>
        <v>5</v>
      </c>
    </row>
    <row r="26" spans="1:10" s="10" customFormat="1" ht="12" customHeight="1" x14ac:dyDescent="0.25">
      <c r="A26" s="129"/>
      <c r="B26" s="123" t="s">
        <v>31</v>
      </c>
      <c r="C26" s="406">
        <v>5.0000000000000001E-3</v>
      </c>
      <c r="D26" s="130">
        <v>5.0000000000000001E-3</v>
      </c>
      <c r="E26" s="127">
        <f>цены!F21</f>
        <v>710</v>
      </c>
      <c r="F26" s="408">
        <f>C26*E26</f>
        <v>3.55</v>
      </c>
      <c r="G26" s="97">
        <f t="shared" ref="G26:H27" si="3">C26*10</f>
        <v>0.05</v>
      </c>
      <c r="H26" s="21">
        <f t="shared" si="3"/>
        <v>0.05</v>
      </c>
      <c r="I26" s="21">
        <f t="shared" ref="I26:J27" si="4">C26*100</f>
        <v>0.5</v>
      </c>
      <c r="J26" s="21">
        <f t="shared" si="4"/>
        <v>0.5</v>
      </c>
    </row>
    <row r="27" spans="1:10" s="10" customFormat="1" ht="21" customHeight="1" x14ac:dyDescent="0.25">
      <c r="A27" s="237"/>
      <c r="B27" s="123" t="s">
        <v>1285</v>
      </c>
      <c r="C27" s="406">
        <v>0.03</v>
      </c>
      <c r="D27" s="130">
        <v>0.03</v>
      </c>
      <c r="E27" s="127">
        <f>'331-соус с томатом'!F30</f>
        <v>84.41</v>
      </c>
      <c r="F27" s="408">
        <f>C27*E27</f>
        <v>2.5299999999999998</v>
      </c>
      <c r="G27" s="97">
        <f t="shared" si="3"/>
        <v>0.3</v>
      </c>
      <c r="H27" s="21">
        <f t="shared" si="3"/>
        <v>0.3</v>
      </c>
      <c r="I27" s="21">
        <f t="shared" si="4"/>
        <v>3</v>
      </c>
      <c r="J27" s="21">
        <f t="shared" si="4"/>
        <v>3</v>
      </c>
    </row>
    <row r="28" spans="1:10" s="10" customFormat="1" ht="12" customHeight="1" x14ac:dyDescent="0.25">
      <c r="A28" s="184"/>
      <c r="B28" s="93" t="s">
        <v>100</v>
      </c>
      <c r="C28" s="112"/>
      <c r="D28" s="112">
        <v>0.05</v>
      </c>
      <c r="E28" s="95"/>
      <c r="F28" s="95">
        <f>SUM(F19:F27)</f>
        <v>30.17</v>
      </c>
      <c r="G28" s="99"/>
      <c r="H28" s="100">
        <f>D28*10</f>
        <v>0.5</v>
      </c>
      <c r="I28" s="100"/>
      <c r="J28" s="100">
        <f>D28*100</f>
        <v>5</v>
      </c>
    </row>
    <row r="29" spans="1:10" s="10" customFormat="1" ht="26.4" customHeight="1" x14ac:dyDescent="0.25">
      <c r="A29" s="203"/>
      <c r="B29" s="204" t="s">
        <v>1283</v>
      </c>
      <c r="C29" s="205"/>
      <c r="D29" s="205"/>
      <c r="E29" s="206"/>
      <c r="F29" s="248"/>
      <c r="G29" s="207"/>
      <c r="H29" s="208"/>
      <c r="I29" s="208"/>
      <c r="J29" s="208"/>
    </row>
    <row r="30" spans="1:10" s="10" customFormat="1" ht="27.6" customHeight="1" x14ac:dyDescent="0.25">
      <c r="A30" s="1536" t="s">
        <v>35</v>
      </c>
      <c r="B30" s="1536"/>
      <c r="C30" s="90"/>
      <c r="D30" s="90"/>
      <c r="E30" s="408"/>
      <c r="F30" s="408">
        <f>F28</f>
        <v>30.17</v>
      </c>
      <c r="G30" s="510"/>
      <c r="H30" s="510"/>
      <c r="I30" s="21"/>
      <c r="J30" s="408"/>
    </row>
    <row r="31" spans="1:10" s="10" customFormat="1" ht="25.35" customHeight="1" x14ac:dyDescent="0.25">
      <c r="A31" s="1536" t="s">
        <v>36</v>
      </c>
      <c r="B31" s="1536"/>
      <c r="C31" s="90">
        <v>80</v>
      </c>
      <c r="D31" s="90"/>
      <c r="E31" s="408"/>
      <c r="F31" s="408"/>
      <c r="G31" s="408"/>
      <c r="H31" s="408"/>
      <c r="I31" s="21"/>
      <c r="J31" s="17"/>
    </row>
    <row r="32" spans="1:10" s="10" customFormat="1" ht="25.35" customHeight="1" x14ac:dyDescent="0.25">
      <c r="A32" s="1537" t="s">
        <v>37</v>
      </c>
      <c r="B32" s="1538"/>
      <c r="C32" s="91">
        <v>80</v>
      </c>
      <c r="D32" s="92"/>
      <c r="E32" s="509"/>
      <c r="F32" s="509"/>
      <c r="G32" s="509"/>
      <c r="H32" s="509"/>
      <c r="I32" s="21"/>
      <c r="J32" s="17"/>
    </row>
    <row r="33" spans="1:10" s="10" customFormat="1" ht="15" customHeight="1" x14ac:dyDescent="0.25">
      <c r="A33" s="1539" t="s">
        <v>38</v>
      </c>
      <c r="B33" s="1540"/>
      <c r="C33" s="92">
        <f>C31/C32</f>
        <v>1</v>
      </c>
      <c r="D33" s="92"/>
      <c r="E33" s="509"/>
      <c r="F33" s="509"/>
      <c r="G33" s="509"/>
      <c r="H33" s="509"/>
      <c r="I33" s="21"/>
      <c r="J33" s="17"/>
    </row>
    <row r="34" spans="1:10" ht="16.350000000000001" customHeight="1" x14ac:dyDescent="0.25">
      <c r="A34" s="1541" t="s">
        <v>39</v>
      </c>
      <c r="B34" s="1542"/>
      <c r="C34" s="15" t="s">
        <v>40</v>
      </c>
      <c r="D34" s="102"/>
      <c r="E34" s="102" t="s">
        <v>40</v>
      </c>
      <c r="F34" s="16">
        <f>F30/C33</f>
        <v>30.17</v>
      </c>
      <c r="G34" s="16"/>
      <c r="H34" s="16"/>
      <c r="I34" s="102" t="s">
        <v>40</v>
      </c>
      <c r="J34" s="102" t="s">
        <v>40</v>
      </c>
    </row>
    <row r="35" spans="1:10" ht="23.1" customHeight="1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193"/>
      <c r="B36" s="1194" t="s">
        <v>49</v>
      </c>
      <c r="C36" s="1198"/>
      <c r="D36" s="1198"/>
      <c r="E36" s="1198"/>
      <c r="F36" s="1198"/>
      <c r="G36" s="1193"/>
      <c r="H36" s="1557">
        <f>'1-бутерброд с маслом'!$H$28</f>
        <v>0</v>
      </c>
      <c r="I36" s="1557"/>
      <c r="J36" s="1557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545" t="s">
        <v>327</v>
      </c>
      <c r="B38" s="1545"/>
      <c r="C38" s="1546" t="s">
        <v>328</v>
      </c>
      <c r="D38" s="1546"/>
      <c r="E38" s="1546"/>
      <c r="F38" s="1546"/>
      <c r="G38" s="106"/>
      <c r="H38" s="1531"/>
      <c r="I38" s="1531"/>
      <c r="J38" s="1531"/>
    </row>
    <row r="39" spans="1:10" x14ac:dyDescent="0.25">
      <c r="A39" s="1193"/>
      <c r="B39" s="1193"/>
      <c r="C39" s="1546"/>
      <c r="D39" s="1546"/>
      <c r="E39" s="1546"/>
      <c r="F39" s="1546"/>
      <c r="G39" s="1193"/>
      <c r="H39" s="1531" t="s">
        <v>329</v>
      </c>
      <c r="I39" s="1531"/>
      <c r="J39" s="1531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8:B38"/>
    <mergeCell ref="C38:F39"/>
    <mergeCell ref="H38:J38"/>
    <mergeCell ref="H39:J39"/>
    <mergeCell ref="A31:B31"/>
    <mergeCell ref="A32:B32"/>
    <mergeCell ref="A33:B33"/>
    <mergeCell ref="A34:B34"/>
    <mergeCell ref="H36:J36"/>
    <mergeCell ref="A30:B30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43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2.4414062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202)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289</v>
      </c>
    </row>
    <row r="8" spans="1:10" s="2" customFormat="1" ht="9.6" customHeight="1" x14ac:dyDescent="0.25">
      <c r="A8" s="242"/>
      <c r="B8" s="242"/>
      <c r="C8" s="242"/>
      <c r="D8" s="242"/>
      <c r="E8" s="242"/>
      <c r="F8" s="242"/>
      <c r="G8" s="242"/>
      <c r="H8" s="242"/>
      <c r="I8" s="242"/>
      <c r="J8" s="109"/>
    </row>
    <row r="9" spans="1:10" s="2" customFormat="1" ht="26.1" customHeight="1" x14ac:dyDescent="0.3">
      <c r="A9" s="1550" t="s">
        <v>681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'288-птица отвар филе'!H14+1</f>
        <v>202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39" t="s">
        <v>92</v>
      </c>
      <c r="D17" s="239" t="s">
        <v>94</v>
      </c>
      <c r="E17" s="239" t="s">
        <v>93</v>
      </c>
      <c r="F17" s="239" t="s">
        <v>23</v>
      </c>
      <c r="G17" s="239" t="s">
        <v>92</v>
      </c>
      <c r="H17" s="239" t="s">
        <v>94</v>
      </c>
      <c r="I17" s="239" t="s">
        <v>92</v>
      </c>
      <c r="J17" s="239" t="s">
        <v>94</v>
      </c>
    </row>
    <row r="18" spans="1:10" ht="9.6" customHeight="1" x14ac:dyDescent="0.25">
      <c r="A18" s="239">
        <v>1</v>
      </c>
      <c r="B18" s="241">
        <v>2</v>
      </c>
      <c r="C18" s="239">
        <v>3</v>
      </c>
      <c r="D18" s="241">
        <v>4</v>
      </c>
      <c r="E18" s="239">
        <v>5</v>
      </c>
      <c r="F18" s="241">
        <v>6</v>
      </c>
      <c r="G18" s="239">
        <v>7</v>
      </c>
      <c r="H18" s="241">
        <v>8</v>
      </c>
      <c r="I18" s="239">
        <v>9</v>
      </c>
      <c r="J18" s="241">
        <v>10</v>
      </c>
    </row>
    <row r="19" spans="1:10" s="10" customFormat="1" ht="16.2" customHeight="1" x14ac:dyDescent="0.25">
      <c r="A19" s="180">
        <v>1</v>
      </c>
      <c r="B19" s="20" t="s">
        <v>679</v>
      </c>
      <c r="C19" s="21">
        <v>7.5999999999999998E-2</v>
      </c>
      <c r="D19" s="21">
        <v>6.8000000000000005E-2</v>
      </c>
      <c r="E19" s="13">
        <f>цены!F8</f>
        <v>193</v>
      </c>
      <c r="F19" s="13">
        <f>C19*E19</f>
        <v>14.67</v>
      </c>
      <c r="G19" s="97">
        <f t="shared" ref="G19:H31" si="0">C19*10</f>
        <v>0.76</v>
      </c>
      <c r="H19" s="21">
        <f t="shared" si="0"/>
        <v>0.68</v>
      </c>
      <c r="I19" s="21">
        <f t="shared" ref="I19:J31" si="1">C19*100</f>
        <v>7.6</v>
      </c>
      <c r="J19" s="21">
        <f t="shared" si="1"/>
        <v>6.8</v>
      </c>
    </row>
    <row r="20" spans="1:10" s="10" customFormat="1" ht="14.1" customHeight="1" x14ac:dyDescent="0.25">
      <c r="A20" s="180">
        <v>2</v>
      </c>
      <c r="B20" s="20" t="s">
        <v>74</v>
      </c>
      <c r="C20" s="21">
        <v>2E-3</v>
      </c>
      <c r="D20" s="21">
        <v>2E-3</v>
      </c>
      <c r="E20" s="13">
        <f>цены!F87</f>
        <v>120</v>
      </c>
      <c r="F20" s="13">
        <f>C20*E20</f>
        <v>0.24</v>
      </c>
      <c r="G20" s="97">
        <f t="shared" si="0"/>
        <v>0.02</v>
      </c>
      <c r="H20" s="21">
        <f t="shared" si="0"/>
        <v>0.02</v>
      </c>
      <c r="I20" s="21">
        <f t="shared" si="1"/>
        <v>0.2</v>
      </c>
      <c r="J20" s="21">
        <f t="shared" si="1"/>
        <v>0.2</v>
      </c>
    </row>
    <row r="21" spans="1:10" s="10" customFormat="1" ht="14.1" customHeight="1" x14ac:dyDescent="0.25">
      <c r="A21" s="184"/>
      <c r="B21" s="93" t="s">
        <v>469</v>
      </c>
      <c r="C21" s="100"/>
      <c r="D21" s="1028">
        <v>50</v>
      </c>
      <c r="E21" s="95"/>
      <c r="F21" s="95"/>
      <c r="G21" s="99"/>
      <c r="H21" s="100">
        <f t="shared" si="0"/>
        <v>500</v>
      </c>
      <c r="I21" s="100"/>
      <c r="J21" s="100">
        <f t="shared" si="1"/>
        <v>5000</v>
      </c>
    </row>
    <row r="22" spans="1:10" s="10" customFormat="1" ht="14.1" customHeight="1" x14ac:dyDescent="0.25">
      <c r="A22" s="129">
        <v>3</v>
      </c>
      <c r="B22" s="123" t="s">
        <v>50</v>
      </c>
      <c r="C22" s="126">
        <v>0.107</v>
      </c>
      <c r="D22" s="126">
        <v>0.08</v>
      </c>
      <c r="E22" s="127">
        <f>цены!F35</f>
        <v>50</v>
      </c>
      <c r="F22" s="13">
        <f>C22*E22</f>
        <v>5.35</v>
      </c>
      <c r="G22" s="97">
        <f t="shared" si="0"/>
        <v>1.07</v>
      </c>
      <c r="H22" s="21">
        <f t="shared" si="0"/>
        <v>0.8</v>
      </c>
      <c r="I22" s="21">
        <f t="shared" si="1"/>
        <v>10.7</v>
      </c>
      <c r="J22" s="21">
        <f t="shared" si="1"/>
        <v>8</v>
      </c>
    </row>
    <row r="23" spans="1:10" s="10" customFormat="1" ht="14.1" customHeight="1" x14ac:dyDescent="0.25">
      <c r="A23" s="129">
        <v>4</v>
      </c>
      <c r="B23" s="123" t="s">
        <v>47</v>
      </c>
      <c r="C23" s="126">
        <v>2.1000000000000001E-2</v>
      </c>
      <c r="D23" s="126">
        <v>1.7000000000000001E-2</v>
      </c>
      <c r="E23" s="127">
        <f>цены!F44</f>
        <v>50</v>
      </c>
      <c r="F23" s="13">
        <f>C23*E23</f>
        <v>1.05</v>
      </c>
      <c r="G23" s="97">
        <f t="shared" si="0"/>
        <v>0.21</v>
      </c>
      <c r="H23" s="21">
        <f t="shared" si="0"/>
        <v>0.17</v>
      </c>
      <c r="I23" s="21">
        <f t="shared" si="1"/>
        <v>2.1</v>
      </c>
      <c r="J23" s="21">
        <f t="shared" si="1"/>
        <v>1.7</v>
      </c>
    </row>
    <row r="24" spans="1:10" s="10" customFormat="1" ht="14.1" customHeight="1" x14ac:dyDescent="0.25">
      <c r="A24" s="129">
        <v>5</v>
      </c>
      <c r="B24" s="123" t="s">
        <v>46</v>
      </c>
      <c r="C24" s="126">
        <v>6.0000000000000001E-3</v>
      </c>
      <c r="D24" s="126">
        <v>6.0000000000000001E-3</v>
      </c>
      <c r="E24" s="127">
        <f>цены!F113</f>
        <v>230</v>
      </c>
      <c r="F24" s="13">
        <f>C24*E24</f>
        <v>1.38</v>
      </c>
      <c r="G24" s="97">
        <f t="shared" si="0"/>
        <v>0.06</v>
      </c>
      <c r="H24" s="21">
        <f t="shared" si="0"/>
        <v>0.06</v>
      </c>
      <c r="I24" s="21">
        <f t="shared" si="1"/>
        <v>0.6</v>
      </c>
      <c r="J24" s="21">
        <f t="shared" si="1"/>
        <v>0.6</v>
      </c>
    </row>
    <row r="25" spans="1:10" s="10" customFormat="1" ht="12" customHeight="1" x14ac:dyDescent="0.25">
      <c r="A25" s="180">
        <v>6</v>
      </c>
      <c r="B25" s="20" t="s">
        <v>48</v>
      </c>
      <c r="C25" s="111">
        <v>1.2E-2</v>
      </c>
      <c r="D25" s="111">
        <v>0.01</v>
      </c>
      <c r="E25" s="13">
        <f>цены!F38</f>
        <v>50</v>
      </c>
      <c r="F25" s="13">
        <f t="shared" ref="F25:F31" si="2">C25*E25</f>
        <v>0.6</v>
      </c>
      <c r="G25" s="97">
        <f t="shared" si="0"/>
        <v>0.12</v>
      </c>
      <c r="H25" s="21">
        <f t="shared" si="0"/>
        <v>0.1</v>
      </c>
      <c r="I25" s="21">
        <f t="shared" si="1"/>
        <v>1.2</v>
      </c>
      <c r="J25" s="21">
        <f t="shared" si="1"/>
        <v>1</v>
      </c>
    </row>
    <row r="26" spans="1:10" s="10" customFormat="1" ht="12" customHeight="1" x14ac:dyDescent="0.25">
      <c r="A26" s="180">
        <v>7</v>
      </c>
      <c r="B26" s="20" t="s">
        <v>124</v>
      </c>
      <c r="C26" s="111">
        <v>3.0000000000000001E-3</v>
      </c>
      <c r="D26" s="111">
        <v>3.0000000000000001E-3</v>
      </c>
      <c r="E26" s="13">
        <f>цены!F110</f>
        <v>24</v>
      </c>
      <c r="F26" s="13">
        <f t="shared" si="2"/>
        <v>7.0000000000000007E-2</v>
      </c>
      <c r="G26" s="97">
        <f t="shared" si="0"/>
        <v>0.03</v>
      </c>
      <c r="H26" s="21">
        <f t="shared" si="0"/>
        <v>0.03</v>
      </c>
      <c r="I26" s="21">
        <f t="shared" si="1"/>
        <v>0.3</v>
      </c>
      <c r="J26" s="21">
        <f t="shared" si="1"/>
        <v>0.3</v>
      </c>
    </row>
    <row r="27" spans="1:10" s="10" customFormat="1" ht="12" customHeight="1" x14ac:dyDescent="0.25">
      <c r="A27" s="180">
        <v>8</v>
      </c>
      <c r="B27" s="20" t="s">
        <v>84</v>
      </c>
      <c r="C27" s="125">
        <v>1.0000000000000001E-5</v>
      </c>
      <c r="D27" s="125">
        <v>2.0000000000000002E-5</v>
      </c>
      <c r="E27" s="13">
        <f>цены!F100</f>
        <v>1000</v>
      </c>
      <c r="F27" s="13">
        <f t="shared" si="2"/>
        <v>0.01</v>
      </c>
      <c r="G27" s="97">
        <f t="shared" si="0"/>
        <v>0</v>
      </c>
      <c r="H27" s="21">
        <f t="shared" si="0"/>
        <v>0</v>
      </c>
      <c r="I27" s="21">
        <f t="shared" si="1"/>
        <v>1E-3</v>
      </c>
      <c r="J27" s="21">
        <f t="shared" si="1"/>
        <v>2E-3</v>
      </c>
    </row>
    <row r="28" spans="1:10" s="10" customFormat="1" ht="12" customHeight="1" x14ac:dyDescent="0.25">
      <c r="A28" s="180">
        <v>9</v>
      </c>
      <c r="B28" s="20" t="s">
        <v>74</v>
      </c>
      <c r="C28" s="125">
        <v>4.0000000000000001E-3</v>
      </c>
      <c r="D28" s="125">
        <v>4.0000000000000001E-3</v>
      </c>
      <c r="E28" s="13">
        <f>цены!F87</f>
        <v>120</v>
      </c>
      <c r="F28" s="13">
        <f t="shared" si="2"/>
        <v>0.48</v>
      </c>
      <c r="G28" s="97">
        <f t="shared" si="0"/>
        <v>0.04</v>
      </c>
      <c r="H28" s="21">
        <f t="shared" si="0"/>
        <v>0.04</v>
      </c>
      <c r="I28" s="21">
        <f t="shared" si="1"/>
        <v>0.4</v>
      </c>
      <c r="J28" s="21">
        <f t="shared" si="1"/>
        <v>0.4</v>
      </c>
    </row>
    <row r="29" spans="1:10" s="10" customFormat="1" ht="12" customHeight="1" x14ac:dyDescent="0.25">
      <c r="A29" s="180">
        <v>10</v>
      </c>
      <c r="B29" s="20" t="s">
        <v>45</v>
      </c>
      <c r="C29" s="125">
        <v>1E-3</v>
      </c>
      <c r="D29" s="125">
        <v>1E-3</v>
      </c>
      <c r="E29" s="13">
        <f>цены!F74</f>
        <v>36</v>
      </c>
      <c r="F29" s="13">
        <f t="shared" si="2"/>
        <v>0.04</v>
      </c>
      <c r="G29" s="97">
        <f t="shared" si="0"/>
        <v>0.01</v>
      </c>
      <c r="H29" s="21">
        <f t="shared" si="0"/>
        <v>0.01</v>
      </c>
      <c r="I29" s="21">
        <f t="shared" si="1"/>
        <v>0.1</v>
      </c>
      <c r="J29" s="21">
        <f t="shared" si="1"/>
        <v>0.1</v>
      </c>
    </row>
    <row r="30" spans="1:10" s="10" customFormat="1" ht="12" customHeight="1" x14ac:dyDescent="0.25">
      <c r="A30" s="184"/>
      <c r="B30" s="93" t="s">
        <v>470</v>
      </c>
      <c r="C30" s="1029"/>
      <c r="D30" s="1028">
        <v>125</v>
      </c>
      <c r="E30" s="95"/>
      <c r="F30" s="95"/>
      <c r="G30" s="99"/>
      <c r="H30" s="100">
        <f t="shared" si="0"/>
        <v>1250</v>
      </c>
      <c r="I30" s="100"/>
      <c r="J30" s="100">
        <f t="shared" si="1"/>
        <v>12500</v>
      </c>
    </row>
    <row r="31" spans="1:10" s="10" customFormat="1" ht="12" customHeight="1" x14ac:dyDescent="0.25">
      <c r="A31" s="180">
        <v>11</v>
      </c>
      <c r="B31" s="20" t="s">
        <v>78</v>
      </c>
      <c r="C31" s="111">
        <v>1E-3</v>
      </c>
      <c r="D31" s="111">
        <v>1E-3</v>
      </c>
      <c r="E31" s="13">
        <f>цены!F48</f>
        <v>300</v>
      </c>
      <c r="F31" s="13">
        <f t="shared" si="2"/>
        <v>0.3</v>
      </c>
      <c r="G31" s="97">
        <f t="shared" si="0"/>
        <v>0.01</v>
      </c>
      <c r="H31" s="21">
        <f t="shared" si="0"/>
        <v>0.01</v>
      </c>
      <c r="I31" s="21">
        <f t="shared" si="1"/>
        <v>0.1</v>
      </c>
      <c r="J31" s="21">
        <f t="shared" si="1"/>
        <v>0.1</v>
      </c>
    </row>
    <row r="32" spans="1:10" s="10" customFormat="1" ht="12" customHeight="1" x14ac:dyDescent="0.25">
      <c r="A32" s="98"/>
      <c r="B32" s="93" t="s">
        <v>100</v>
      </c>
      <c r="C32" s="112"/>
      <c r="D32" s="1028">
        <v>175</v>
      </c>
      <c r="E32" s="95"/>
      <c r="F32" s="95">
        <f>SUM(F19:F31)</f>
        <v>24.19</v>
      </c>
      <c r="G32" s="99"/>
      <c r="H32" s="100">
        <f>D32*10</f>
        <v>1750</v>
      </c>
      <c r="I32" s="100"/>
      <c r="J32" s="100">
        <f>D32*100</f>
        <v>17500</v>
      </c>
    </row>
    <row r="33" spans="1:10" s="10" customFormat="1" ht="29.4" customHeight="1" x14ac:dyDescent="0.25">
      <c r="A33" s="203"/>
      <c r="B33" s="204" t="s">
        <v>452</v>
      </c>
      <c r="C33" s="205"/>
      <c r="D33" s="205"/>
      <c r="E33" s="206"/>
      <c r="F33" s="206"/>
      <c r="G33" s="207"/>
      <c r="H33" s="208"/>
      <c r="I33" s="208"/>
      <c r="J33" s="208"/>
    </row>
    <row r="34" spans="1:10" s="10" customFormat="1" ht="27.6" customHeight="1" x14ac:dyDescent="0.25">
      <c r="A34" s="1536" t="s">
        <v>35</v>
      </c>
      <c r="B34" s="1536"/>
      <c r="C34" s="90"/>
      <c r="D34" s="90"/>
      <c r="E34" s="13"/>
      <c r="F34" s="13">
        <f>F32</f>
        <v>24.19</v>
      </c>
      <c r="G34" s="240"/>
      <c r="H34" s="240"/>
      <c r="I34" s="21"/>
      <c r="J34" s="13"/>
    </row>
    <row r="35" spans="1:10" s="10" customFormat="1" ht="25.35" customHeight="1" x14ac:dyDescent="0.25">
      <c r="A35" s="1536" t="s">
        <v>36</v>
      </c>
      <c r="B35" s="1536"/>
      <c r="C35" s="90">
        <v>175</v>
      </c>
      <c r="D35" s="90"/>
      <c r="E35" s="13"/>
      <c r="F35" s="13"/>
      <c r="G35" s="13"/>
      <c r="H35" s="13"/>
      <c r="I35" s="21"/>
      <c r="J35" s="17"/>
    </row>
    <row r="36" spans="1:10" s="10" customFormat="1" ht="25.35" customHeight="1" x14ac:dyDescent="0.25">
      <c r="A36" s="1537" t="s">
        <v>37</v>
      </c>
      <c r="B36" s="1538"/>
      <c r="C36" s="91">
        <v>175</v>
      </c>
      <c r="D36" s="92"/>
      <c r="E36" s="241"/>
      <c r="F36" s="241"/>
      <c r="G36" s="241"/>
      <c r="H36" s="241"/>
      <c r="I36" s="21"/>
      <c r="J36" s="17"/>
    </row>
    <row r="37" spans="1:10" s="10" customFormat="1" ht="15" customHeight="1" x14ac:dyDescent="0.25">
      <c r="A37" s="1539" t="s">
        <v>38</v>
      </c>
      <c r="B37" s="1540"/>
      <c r="C37" s="92">
        <f>C35/C36</f>
        <v>1</v>
      </c>
      <c r="D37" s="92"/>
      <c r="E37" s="241"/>
      <c r="F37" s="241"/>
      <c r="G37" s="241"/>
      <c r="H37" s="241"/>
      <c r="I37" s="21"/>
      <c r="J37" s="17"/>
    </row>
    <row r="38" spans="1:10" ht="16.350000000000001" customHeight="1" x14ac:dyDescent="0.25">
      <c r="A38" s="1541" t="s">
        <v>39</v>
      </c>
      <c r="B38" s="1542"/>
      <c r="C38" s="15" t="s">
        <v>40</v>
      </c>
      <c r="D38" s="102"/>
      <c r="E38" s="102" t="s">
        <v>40</v>
      </c>
      <c r="F38" s="16">
        <f>F34/C37</f>
        <v>24.19</v>
      </c>
      <c r="G38" s="16"/>
      <c r="H38" s="16"/>
      <c r="I38" s="102" t="s">
        <v>40</v>
      </c>
      <c r="J38" s="102" t="s">
        <v>40</v>
      </c>
    </row>
    <row r="39" spans="1:10" ht="23.1" customHeight="1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ht="13.95" customHeight="1" x14ac:dyDescent="0.25">
      <c r="A40" s="1193"/>
      <c r="B40" s="1194" t="s">
        <v>49</v>
      </c>
      <c r="C40" s="1198"/>
      <c r="D40" s="1198"/>
      <c r="E40" s="1198"/>
      <c r="F40" s="1198"/>
      <c r="G40" s="1193"/>
      <c r="H40" s="1557">
        <f>'1-бутерброд с маслом'!$H$28</f>
        <v>0</v>
      </c>
      <c r="I40" s="1557"/>
      <c r="J40" s="1557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545" t="s">
        <v>327</v>
      </c>
      <c r="B42" s="1545"/>
      <c r="C42" s="1546" t="s">
        <v>328</v>
      </c>
      <c r="D42" s="1546"/>
      <c r="E42" s="1546"/>
      <c r="F42" s="1546"/>
      <c r="G42" s="106"/>
      <c r="H42" s="1531"/>
      <c r="I42" s="1531"/>
      <c r="J42" s="1531"/>
    </row>
    <row r="43" spans="1:10" x14ac:dyDescent="0.25">
      <c r="A43" s="1193"/>
      <c r="B43" s="1193"/>
      <c r="C43" s="1546"/>
      <c r="D43" s="1546"/>
      <c r="E43" s="1546"/>
      <c r="F43" s="1546"/>
      <c r="G43" s="1193"/>
      <c r="H43" s="1531" t="s">
        <v>329</v>
      </c>
      <c r="I43" s="1531"/>
      <c r="J43" s="1531"/>
    </row>
  </sheetData>
  <mergeCells count="28">
    <mergeCell ref="H40:J40"/>
    <mergeCell ref="A13:G13"/>
    <mergeCell ref="A35:B35"/>
    <mergeCell ref="A36:B36"/>
    <mergeCell ref="A37:B37"/>
    <mergeCell ref="A38:B38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2:B42"/>
    <mergeCell ref="C42:F43"/>
    <mergeCell ref="H42:J42"/>
    <mergeCell ref="H43:J43"/>
    <mergeCell ref="H5:I5"/>
    <mergeCell ref="A6:G6"/>
    <mergeCell ref="A7:I7"/>
    <mergeCell ref="A34:B34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43"/>
  <sheetViews>
    <sheetView view="pageBreakPreview" topLeftCell="A7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497" customWidth="1"/>
    <col min="2" max="2" width="22.44140625" style="497" customWidth="1"/>
    <col min="3" max="7" width="7.5546875" style="497" customWidth="1"/>
    <col min="8" max="8" width="8.88671875" style="497" customWidth="1"/>
    <col min="9" max="9" width="7.5546875" style="497" customWidth="1"/>
    <col min="10" max="10" width="9" style="497" customWidth="1"/>
    <col min="11" max="11" width="4.5546875" style="497" customWidth="1"/>
    <col min="12" max="16384" width="8.88671875" style="49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203)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289</v>
      </c>
    </row>
    <row r="8" spans="1:10" s="2" customFormat="1" ht="9.6" customHeight="1" x14ac:dyDescent="0.25">
      <c r="A8" s="501"/>
      <c r="B8" s="501"/>
      <c r="C8" s="501"/>
      <c r="D8" s="501"/>
      <c r="E8" s="501"/>
      <c r="F8" s="501"/>
      <c r="G8" s="501"/>
      <c r="H8" s="501"/>
      <c r="I8" s="501"/>
      <c r="J8" s="109"/>
    </row>
    <row r="9" spans="1:10" s="2" customFormat="1" ht="26.1" customHeight="1" x14ac:dyDescent="0.3">
      <c r="A9" s="1550" t="s">
        <v>779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'289 Рагу из окорочка'!H14+1</f>
        <v>203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498" t="s">
        <v>92</v>
      </c>
      <c r="D17" s="498" t="s">
        <v>94</v>
      </c>
      <c r="E17" s="498" t="s">
        <v>93</v>
      </c>
      <c r="F17" s="498" t="s">
        <v>23</v>
      </c>
      <c r="G17" s="498" t="s">
        <v>92</v>
      </c>
      <c r="H17" s="498" t="s">
        <v>94</v>
      </c>
      <c r="I17" s="498" t="s">
        <v>92</v>
      </c>
      <c r="J17" s="498" t="s">
        <v>94</v>
      </c>
    </row>
    <row r="18" spans="1:10" ht="9.6" customHeight="1" x14ac:dyDescent="0.25">
      <c r="A18" s="498">
        <v>1</v>
      </c>
      <c r="B18" s="500">
        <v>2</v>
      </c>
      <c r="C18" s="498">
        <v>3</v>
      </c>
      <c r="D18" s="500">
        <v>4</v>
      </c>
      <c r="E18" s="498">
        <v>5</v>
      </c>
      <c r="F18" s="500">
        <v>6</v>
      </c>
      <c r="G18" s="498">
        <v>7</v>
      </c>
      <c r="H18" s="500">
        <v>8</v>
      </c>
      <c r="I18" s="498">
        <v>9</v>
      </c>
      <c r="J18" s="500">
        <v>10</v>
      </c>
    </row>
    <row r="19" spans="1:10" s="10" customFormat="1" ht="16.2" customHeight="1" x14ac:dyDescent="0.25">
      <c r="A19" s="180">
        <v>1</v>
      </c>
      <c r="B19" s="20" t="s">
        <v>147</v>
      </c>
      <c r="C19" s="21">
        <v>0.106</v>
      </c>
      <c r="D19" s="21">
        <v>7.1999999999999995E-2</v>
      </c>
      <c r="E19" s="408">
        <f>цены!F9</f>
        <v>195</v>
      </c>
      <c r="F19" s="408">
        <f>C19*E19</f>
        <v>20.67</v>
      </c>
      <c r="G19" s="97">
        <f t="shared" ref="G19:H31" si="0">C19*10</f>
        <v>1.06</v>
      </c>
      <c r="H19" s="21">
        <f t="shared" si="0"/>
        <v>0.72</v>
      </c>
      <c r="I19" s="21">
        <f t="shared" ref="I19:J31" si="1">C19*100</f>
        <v>10.6</v>
      </c>
      <c r="J19" s="21">
        <f t="shared" si="1"/>
        <v>7.2</v>
      </c>
    </row>
    <row r="20" spans="1:10" s="10" customFormat="1" ht="14.1" customHeight="1" x14ac:dyDescent="0.25">
      <c r="A20" s="180">
        <v>2</v>
      </c>
      <c r="B20" s="20" t="s">
        <v>74</v>
      </c>
      <c r="C20" s="21">
        <v>2E-3</v>
      </c>
      <c r="D20" s="21">
        <v>2E-3</v>
      </c>
      <c r="E20" s="408">
        <f>цены!F87</f>
        <v>120</v>
      </c>
      <c r="F20" s="408">
        <f>C20*E20</f>
        <v>0.24</v>
      </c>
      <c r="G20" s="97">
        <f t="shared" si="0"/>
        <v>0.02</v>
      </c>
      <c r="H20" s="21">
        <f t="shared" si="0"/>
        <v>0.02</v>
      </c>
      <c r="I20" s="21">
        <f t="shared" si="1"/>
        <v>0.2</v>
      </c>
      <c r="J20" s="21">
        <f t="shared" si="1"/>
        <v>0.2</v>
      </c>
    </row>
    <row r="21" spans="1:10" s="10" customFormat="1" ht="14.1" customHeight="1" x14ac:dyDescent="0.25">
      <c r="A21" s="184"/>
      <c r="B21" s="93" t="s">
        <v>469</v>
      </c>
      <c r="C21" s="100"/>
      <c r="D21" s="1028">
        <v>50</v>
      </c>
      <c r="E21" s="95"/>
      <c r="F21" s="95"/>
      <c r="G21" s="99"/>
      <c r="H21" s="100">
        <f t="shared" si="0"/>
        <v>500</v>
      </c>
      <c r="I21" s="100"/>
      <c r="J21" s="100">
        <f t="shared" si="1"/>
        <v>5000</v>
      </c>
    </row>
    <row r="22" spans="1:10" s="10" customFormat="1" ht="14.1" customHeight="1" x14ac:dyDescent="0.25">
      <c r="A22" s="129">
        <v>3</v>
      </c>
      <c r="B22" s="123" t="s">
        <v>50</v>
      </c>
      <c r="C22" s="126">
        <v>0.107</v>
      </c>
      <c r="D22" s="126">
        <v>0.08</v>
      </c>
      <c r="E22" s="127">
        <f>цены!F35</f>
        <v>50</v>
      </c>
      <c r="F22" s="408">
        <f>C22*E22</f>
        <v>5.35</v>
      </c>
      <c r="G22" s="97">
        <f t="shared" si="0"/>
        <v>1.07</v>
      </c>
      <c r="H22" s="21">
        <f t="shared" si="0"/>
        <v>0.8</v>
      </c>
      <c r="I22" s="21">
        <f t="shared" si="1"/>
        <v>10.7</v>
      </c>
      <c r="J22" s="21">
        <f t="shared" si="1"/>
        <v>8</v>
      </c>
    </row>
    <row r="23" spans="1:10" s="10" customFormat="1" ht="14.1" customHeight="1" x14ac:dyDescent="0.25">
      <c r="A23" s="129">
        <v>4</v>
      </c>
      <c r="B23" s="123" t="s">
        <v>47</v>
      </c>
      <c r="C23" s="126">
        <v>2.1000000000000001E-2</v>
      </c>
      <c r="D23" s="126">
        <v>1.7000000000000001E-2</v>
      </c>
      <c r="E23" s="127">
        <f>цены!F44</f>
        <v>50</v>
      </c>
      <c r="F23" s="408">
        <f t="shared" ref="F23:F31" si="2">C23*E23</f>
        <v>1.05</v>
      </c>
      <c r="G23" s="97">
        <f t="shared" si="0"/>
        <v>0.21</v>
      </c>
      <c r="H23" s="21">
        <f t="shared" si="0"/>
        <v>0.17</v>
      </c>
      <c r="I23" s="21">
        <f t="shared" si="1"/>
        <v>2.1</v>
      </c>
      <c r="J23" s="21">
        <f t="shared" si="1"/>
        <v>1.7</v>
      </c>
    </row>
    <row r="24" spans="1:10" s="10" customFormat="1" ht="14.1" customHeight="1" x14ac:dyDescent="0.25">
      <c r="A24" s="129">
        <v>5</v>
      </c>
      <c r="B24" s="123" t="s">
        <v>46</v>
      </c>
      <c r="C24" s="126">
        <v>6.0000000000000001E-3</v>
      </c>
      <c r="D24" s="126">
        <v>6.0000000000000001E-3</v>
      </c>
      <c r="E24" s="127">
        <f>цены!F113</f>
        <v>230</v>
      </c>
      <c r="F24" s="408">
        <f t="shared" si="2"/>
        <v>1.38</v>
      </c>
      <c r="G24" s="97">
        <f t="shared" si="0"/>
        <v>0.06</v>
      </c>
      <c r="H24" s="21">
        <f t="shared" si="0"/>
        <v>0.06</v>
      </c>
      <c r="I24" s="21">
        <f t="shared" si="1"/>
        <v>0.6</v>
      </c>
      <c r="J24" s="21">
        <f t="shared" si="1"/>
        <v>0.6</v>
      </c>
    </row>
    <row r="25" spans="1:10" s="10" customFormat="1" ht="12" customHeight="1" x14ac:dyDescent="0.25">
      <c r="A25" s="180">
        <v>6</v>
      </c>
      <c r="B25" s="20" t="s">
        <v>48</v>
      </c>
      <c r="C25" s="111">
        <v>1.2E-2</v>
      </c>
      <c r="D25" s="111">
        <v>0.01</v>
      </c>
      <c r="E25" s="408">
        <f>цены!F38</f>
        <v>50</v>
      </c>
      <c r="F25" s="408">
        <f t="shared" si="2"/>
        <v>0.6</v>
      </c>
      <c r="G25" s="97">
        <f t="shared" si="0"/>
        <v>0.12</v>
      </c>
      <c r="H25" s="21">
        <f t="shared" si="0"/>
        <v>0.1</v>
      </c>
      <c r="I25" s="21">
        <f t="shared" si="1"/>
        <v>1.2</v>
      </c>
      <c r="J25" s="21">
        <f t="shared" si="1"/>
        <v>1</v>
      </c>
    </row>
    <row r="26" spans="1:10" s="10" customFormat="1" ht="12" customHeight="1" x14ac:dyDescent="0.25">
      <c r="A26" s="180">
        <v>7</v>
      </c>
      <c r="B26" s="20" t="s">
        <v>124</v>
      </c>
      <c r="C26" s="111">
        <v>3.0000000000000001E-3</v>
      </c>
      <c r="D26" s="111">
        <v>3.0000000000000001E-3</v>
      </c>
      <c r="E26" s="408">
        <f>цены!F110</f>
        <v>24</v>
      </c>
      <c r="F26" s="408">
        <f t="shared" si="2"/>
        <v>7.0000000000000007E-2</v>
      </c>
      <c r="G26" s="97">
        <f t="shared" si="0"/>
        <v>0.03</v>
      </c>
      <c r="H26" s="21">
        <f t="shared" si="0"/>
        <v>0.03</v>
      </c>
      <c r="I26" s="21">
        <f t="shared" si="1"/>
        <v>0.3</v>
      </c>
      <c r="J26" s="21">
        <f t="shared" si="1"/>
        <v>0.3</v>
      </c>
    </row>
    <row r="27" spans="1:10" s="10" customFormat="1" ht="12" customHeight="1" x14ac:dyDescent="0.25">
      <c r="A27" s="180">
        <v>8</v>
      </c>
      <c r="B27" s="20" t="s">
        <v>84</v>
      </c>
      <c r="C27" s="125">
        <v>1.0000000000000001E-5</v>
      </c>
      <c r="D27" s="125">
        <v>2.0000000000000002E-5</v>
      </c>
      <c r="E27" s="408">
        <f>цены!F100</f>
        <v>1000</v>
      </c>
      <c r="F27" s="408">
        <f t="shared" si="2"/>
        <v>0.01</v>
      </c>
      <c r="G27" s="97">
        <f t="shared" si="0"/>
        <v>0</v>
      </c>
      <c r="H27" s="21">
        <f t="shared" si="0"/>
        <v>0</v>
      </c>
      <c r="I27" s="21">
        <f t="shared" si="1"/>
        <v>1E-3</v>
      </c>
      <c r="J27" s="21">
        <f t="shared" si="1"/>
        <v>2E-3</v>
      </c>
    </row>
    <row r="28" spans="1:10" s="10" customFormat="1" ht="12" customHeight="1" x14ac:dyDescent="0.25">
      <c r="A28" s="180">
        <v>9</v>
      </c>
      <c r="B28" s="20" t="s">
        <v>74</v>
      </c>
      <c r="C28" s="125">
        <v>4.0000000000000001E-3</v>
      </c>
      <c r="D28" s="125">
        <v>4.0000000000000001E-3</v>
      </c>
      <c r="E28" s="408">
        <f>цены!F87</f>
        <v>120</v>
      </c>
      <c r="F28" s="408">
        <f t="shared" si="2"/>
        <v>0.48</v>
      </c>
      <c r="G28" s="97">
        <f t="shared" si="0"/>
        <v>0.04</v>
      </c>
      <c r="H28" s="21">
        <f t="shared" si="0"/>
        <v>0.04</v>
      </c>
      <c r="I28" s="21">
        <f t="shared" si="1"/>
        <v>0.4</v>
      </c>
      <c r="J28" s="21">
        <f t="shared" si="1"/>
        <v>0.4</v>
      </c>
    </row>
    <row r="29" spans="1:10" s="10" customFormat="1" ht="12" customHeight="1" x14ac:dyDescent="0.25">
      <c r="A29" s="180">
        <v>10</v>
      </c>
      <c r="B29" s="20" t="s">
        <v>45</v>
      </c>
      <c r="C29" s="125">
        <v>1E-3</v>
      </c>
      <c r="D29" s="125">
        <v>1E-3</v>
      </c>
      <c r="E29" s="408">
        <f>цены!F74</f>
        <v>36</v>
      </c>
      <c r="F29" s="408">
        <f t="shared" si="2"/>
        <v>0.04</v>
      </c>
      <c r="G29" s="97">
        <f t="shared" si="0"/>
        <v>0.01</v>
      </c>
      <c r="H29" s="21">
        <f t="shared" si="0"/>
        <v>0.01</v>
      </c>
      <c r="I29" s="21">
        <f t="shared" si="1"/>
        <v>0.1</v>
      </c>
      <c r="J29" s="21">
        <f t="shared" si="1"/>
        <v>0.1</v>
      </c>
    </row>
    <row r="30" spans="1:10" s="10" customFormat="1" ht="12" customHeight="1" x14ac:dyDescent="0.25">
      <c r="A30" s="184"/>
      <c r="B30" s="93" t="s">
        <v>470</v>
      </c>
      <c r="C30" s="1029"/>
      <c r="D30" s="1028">
        <v>125</v>
      </c>
      <c r="E30" s="95"/>
      <c r="F30" s="95"/>
      <c r="G30" s="99"/>
      <c r="H30" s="100">
        <f t="shared" si="0"/>
        <v>1250</v>
      </c>
      <c r="I30" s="100"/>
      <c r="J30" s="100">
        <f t="shared" si="1"/>
        <v>12500</v>
      </c>
    </row>
    <row r="31" spans="1:10" s="10" customFormat="1" ht="12" customHeight="1" x14ac:dyDescent="0.25">
      <c r="A31" s="180">
        <v>11</v>
      </c>
      <c r="B31" s="20" t="s">
        <v>78</v>
      </c>
      <c r="C31" s="111">
        <v>1E-3</v>
      </c>
      <c r="D31" s="111">
        <v>1E-3</v>
      </c>
      <c r="E31" s="408">
        <f>цены!F48</f>
        <v>300</v>
      </c>
      <c r="F31" s="408">
        <f t="shared" si="2"/>
        <v>0.3</v>
      </c>
      <c r="G31" s="97">
        <f t="shared" si="0"/>
        <v>0.01</v>
      </c>
      <c r="H31" s="21">
        <f t="shared" si="0"/>
        <v>0.01</v>
      </c>
      <c r="I31" s="21">
        <f t="shared" si="1"/>
        <v>0.1</v>
      </c>
      <c r="J31" s="21">
        <f t="shared" si="1"/>
        <v>0.1</v>
      </c>
    </row>
    <row r="32" spans="1:10" s="10" customFormat="1" ht="12" customHeight="1" x14ac:dyDescent="0.25">
      <c r="A32" s="98"/>
      <c r="B32" s="93" t="s">
        <v>100</v>
      </c>
      <c r="C32" s="112"/>
      <c r="D32" s="95">
        <v>175</v>
      </c>
      <c r="E32" s="95"/>
      <c r="F32" s="95">
        <f>SUM(F19:F31)</f>
        <v>30.19</v>
      </c>
      <c r="G32" s="99"/>
      <c r="H32" s="100">
        <f>D32*10</f>
        <v>1750</v>
      </c>
      <c r="I32" s="100"/>
      <c r="J32" s="100">
        <f>D32*100</f>
        <v>17500</v>
      </c>
    </row>
    <row r="33" spans="1:10" s="10" customFormat="1" ht="29.4" customHeight="1" x14ac:dyDescent="0.25">
      <c r="A33" s="203"/>
      <c r="B33" s="204" t="s">
        <v>452</v>
      </c>
      <c r="C33" s="205"/>
      <c r="D33" s="205"/>
      <c r="E33" s="206"/>
      <c r="F33" s="206"/>
      <c r="G33" s="207"/>
      <c r="H33" s="208"/>
      <c r="I33" s="208"/>
      <c r="J33" s="208"/>
    </row>
    <row r="34" spans="1:10" s="10" customFormat="1" ht="27.6" customHeight="1" x14ac:dyDescent="0.25">
      <c r="A34" s="1536" t="s">
        <v>35</v>
      </c>
      <c r="B34" s="1536"/>
      <c r="C34" s="90"/>
      <c r="D34" s="90"/>
      <c r="E34" s="408"/>
      <c r="F34" s="408">
        <f>F32</f>
        <v>30.19</v>
      </c>
      <c r="G34" s="499"/>
      <c r="H34" s="499"/>
      <c r="I34" s="21"/>
      <c r="J34" s="408"/>
    </row>
    <row r="35" spans="1:10" s="10" customFormat="1" ht="25.35" customHeight="1" x14ac:dyDescent="0.25">
      <c r="A35" s="1536" t="s">
        <v>36</v>
      </c>
      <c r="B35" s="1536"/>
      <c r="C35" s="90">
        <v>175</v>
      </c>
      <c r="D35" s="90"/>
      <c r="E35" s="408"/>
      <c r="F35" s="408"/>
      <c r="G35" s="408"/>
      <c r="H35" s="408"/>
      <c r="I35" s="21"/>
      <c r="J35" s="17"/>
    </row>
    <row r="36" spans="1:10" s="10" customFormat="1" ht="25.35" customHeight="1" x14ac:dyDescent="0.25">
      <c r="A36" s="1537" t="s">
        <v>37</v>
      </c>
      <c r="B36" s="1538"/>
      <c r="C36" s="91">
        <v>175</v>
      </c>
      <c r="D36" s="92"/>
      <c r="E36" s="500"/>
      <c r="F36" s="500"/>
      <c r="G36" s="500"/>
      <c r="H36" s="500"/>
      <c r="I36" s="21"/>
      <c r="J36" s="17"/>
    </row>
    <row r="37" spans="1:10" s="10" customFormat="1" ht="15" customHeight="1" x14ac:dyDescent="0.25">
      <c r="A37" s="1539" t="s">
        <v>38</v>
      </c>
      <c r="B37" s="1540"/>
      <c r="C37" s="92">
        <f>C35/C36</f>
        <v>1</v>
      </c>
      <c r="D37" s="92"/>
      <c r="E37" s="500"/>
      <c r="F37" s="500"/>
      <c r="G37" s="500"/>
      <c r="H37" s="500"/>
      <c r="I37" s="21"/>
      <c r="J37" s="17"/>
    </row>
    <row r="38" spans="1:10" ht="16.350000000000001" customHeight="1" x14ac:dyDescent="0.25">
      <c r="A38" s="1541" t="s">
        <v>39</v>
      </c>
      <c r="B38" s="1542"/>
      <c r="C38" s="15" t="s">
        <v>40</v>
      </c>
      <c r="D38" s="102"/>
      <c r="E38" s="102" t="s">
        <v>40</v>
      </c>
      <c r="F38" s="16">
        <f>F34/C37</f>
        <v>30.19</v>
      </c>
      <c r="G38" s="16"/>
      <c r="H38" s="16"/>
      <c r="I38" s="102" t="s">
        <v>40</v>
      </c>
      <c r="J38" s="102" t="s">
        <v>40</v>
      </c>
    </row>
    <row r="39" spans="1:10" ht="23.1" customHeight="1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ht="13.95" customHeight="1" x14ac:dyDescent="0.25">
      <c r="A40" s="1193"/>
      <c r="B40" s="1194" t="s">
        <v>49</v>
      </c>
      <c r="C40" s="1198"/>
      <c r="D40" s="1198"/>
      <c r="E40" s="1198"/>
      <c r="F40" s="1198"/>
      <c r="G40" s="1193"/>
      <c r="H40" s="1557">
        <f>'1-бутерброд с маслом'!$H$28</f>
        <v>0</v>
      </c>
      <c r="I40" s="1557"/>
      <c r="J40" s="1557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545" t="s">
        <v>327</v>
      </c>
      <c r="B42" s="1545"/>
      <c r="C42" s="1546" t="s">
        <v>328</v>
      </c>
      <c r="D42" s="1546"/>
      <c r="E42" s="1546"/>
      <c r="F42" s="1546"/>
      <c r="G42" s="106"/>
      <c r="H42" s="1531"/>
      <c r="I42" s="1531"/>
      <c r="J42" s="1531"/>
    </row>
    <row r="43" spans="1:10" x14ac:dyDescent="0.25">
      <c r="A43" s="1193"/>
      <c r="B43" s="1193"/>
      <c r="C43" s="1546"/>
      <c r="D43" s="1546"/>
      <c r="E43" s="1546"/>
      <c r="F43" s="1546"/>
      <c r="G43" s="1193"/>
      <c r="H43" s="1531" t="s">
        <v>329</v>
      </c>
      <c r="I43" s="1531"/>
      <c r="J43" s="1531"/>
    </row>
  </sheetData>
  <mergeCells count="28">
    <mergeCell ref="H40:J40"/>
    <mergeCell ref="A13:G13"/>
    <mergeCell ref="A35:B35"/>
    <mergeCell ref="A36:B36"/>
    <mergeCell ref="A37:B37"/>
    <mergeCell ref="A38:B38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2:B42"/>
    <mergeCell ref="C42:F43"/>
    <mergeCell ref="H42:J42"/>
    <mergeCell ref="H43:J43"/>
    <mergeCell ref="H5:I5"/>
    <mergeCell ref="A6:G6"/>
    <mergeCell ref="A7:I7"/>
    <mergeCell ref="A34:B34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9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2.4414062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204)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290</v>
      </c>
    </row>
    <row r="8" spans="1:10" s="2" customFormat="1" ht="9.6" customHeight="1" x14ac:dyDescent="0.25">
      <c r="A8" s="242"/>
      <c r="B8" s="242"/>
      <c r="C8" s="242"/>
      <c r="D8" s="242"/>
      <c r="E8" s="242"/>
      <c r="F8" s="242"/>
      <c r="G8" s="242"/>
      <c r="H8" s="242"/>
      <c r="I8" s="242"/>
      <c r="J8" s="109"/>
    </row>
    <row r="9" spans="1:10" s="2" customFormat="1" ht="26.1" customHeight="1" x14ac:dyDescent="0.3">
      <c r="A9" s="1550" t="s">
        <v>796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'289 Рагу из птицы '!H14+1</f>
        <v>204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39" t="s">
        <v>92</v>
      </c>
      <c r="D17" s="239" t="s">
        <v>94</v>
      </c>
      <c r="E17" s="239" t="s">
        <v>93</v>
      </c>
      <c r="F17" s="239" t="s">
        <v>23</v>
      </c>
      <c r="G17" s="239" t="s">
        <v>92</v>
      </c>
      <c r="H17" s="239" t="s">
        <v>94</v>
      </c>
      <c r="I17" s="239" t="s">
        <v>92</v>
      </c>
      <c r="J17" s="239" t="s">
        <v>94</v>
      </c>
    </row>
    <row r="18" spans="1:10" ht="9.6" customHeight="1" x14ac:dyDescent="0.25">
      <c r="A18" s="239">
        <v>1</v>
      </c>
      <c r="B18" s="241">
        <v>2</v>
      </c>
      <c r="C18" s="239">
        <v>3</v>
      </c>
      <c r="D18" s="241">
        <v>4</v>
      </c>
      <c r="E18" s="239">
        <v>5</v>
      </c>
      <c r="F18" s="241">
        <v>6</v>
      </c>
      <c r="G18" s="239">
        <v>7</v>
      </c>
      <c r="H18" s="241">
        <v>8</v>
      </c>
      <c r="I18" s="239">
        <v>9</v>
      </c>
      <c r="J18" s="241">
        <v>10</v>
      </c>
    </row>
    <row r="19" spans="1:10" s="10" customFormat="1" ht="13.95" customHeight="1" x14ac:dyDescent="0.25">
      <c r="A19" s="180">
        <v>1</v>
      </c>
      <c r="B19" s="20" t="s">
        <v>679</v>
      </c>
      <c r="C19" s="21">
        <v>7.9000000000000001E-2</v>
      </c>
      <c r="D19" s="21">
        <v>7.0999999999999994E-2</v>
      </c>
      <c r="E19" s="13">
        <f>цены!F8</f>
        <v>193</v>
      </c>
      <c r="F19" s="13">
        <f t="shared" ref="F19:F24" si="0">C19*E19</f>
        <v>15.25</v>
      </c>
      <c r="G19" s="97">
        <f t="shared" ref="G19:H24" si="1">C19*10</f>
        <v>0.79</v>
      </c>
      <c r="H19" s="21">
        <f t="shared" si="1"/>
        <v>0.71</v>
      </c>
      <c r="I19" s="21">
        <f t="shared" ref="I19:J24" si="2">C19*100</f>
        <v>7.9</v>
      </c>
      <c r="J19" s="21">
        <f t="shared" si="2"/>
        <v>7.1</v>
      </c>
    </row>
    <row r="20" spans="1:10" s="10" customFormat="1" ht="12" customHeight="1" x14ac:dyDescent="0.25">
      <c r="A20" s="180">
        <v>2</v>
      </c>
      <c r="B20" s="20" t="s">
        <v>74</v>
      </c>
      <c r="C20" s="111">
        <v>2E-3</v>
      </c>
      <c r="D20" s="111">
        <v>2E-3</v>
      </c>
      <c r="E20" s="13">
        <f>цены!F87</f>
        <v>120</v>
      </c>
      <c r="F20" s="13">
        <f t="shared" si="0"/>
        <v>0.24</v>
      </c>
      <c r="G20" s="97">
        <f t="shared" si="1"/>
        <v>0.02</v>
      </c>
      <c r="H20" s="21">
        <f t="shared" si="1"/>
        <v>0.02</v>
      </c>
      <c r="I20" s="21">
        <f t="shared" si="2"/>
        <v>0.2</v>
      </c>
      <c r="J20" s="21">
        <f t="shared" si="2"/>
        <v>0.2</v>
      </c>
    </row>
    <row r="21" spans="1:10" s="10" customFormat="1" ht="12" customHeight="1" x14ac:dyDescent="0.25">
      <c r="A21" s="180">
        <v>3</v>
      </c>
      <c r="B21" s="20" t="s">
        <v>84</v>
      </c>
      <c r="C21" s="125">
        <v>1.0000000000000001E-5</v>
      </c>
      <c r="D21" s="125">
        <v>1.0000000000000001E-5</v>
      </c>
      <c r="E21" s="13">
        <f>цены!F100</f>
        <v>1000</v>
      </c>
      <c r="F21" s="13">
        <f t="shared" si="0"/>
        <v>0.01</v>
      </c>
      <c r="G21" s="97">
        <f t="shared" si="1"/>
        <v>0</v>
      </c>
      <c r="H21" s="21">
        <f t="shared" si="1"/>
        <v>0</v>
      </c>
      <c r="I21" s="21">
        <f t="shared" si="2"/>
        <v>1E-3</v>
      </c>
      <c r="J21" s="21">
        <f t="shared" si="2"/>
        <v>1E-3</v>
      </c>
    </row>
    <row r="22" spans="1:10" s="10" customFormat="1" ht="12" customHeight="1" x14ac:dyDescent="0.25">
      <c r="A22" s="180">
        <v>4</v>
      </c>
      <c r="B22" s="20" t="s">
        <v>337</v>
      </c>
      <c r="C22" s="125">
        <v>1E-3</v>
      </c>
      <c r="D22" s="125">
        <v>1E-3</v>
      </c>
      <c r="E22" s="13">
        <f>цены!F39</f>
        <v>300</v>
      </c>
      <c r="F22" s="13">
        <f t="shared" si="0"/>
        <v>0.3</v>
      </c>
      <c r="G22" s="97">
        <f t="shared" si="1"/>
        <v>0.01</v>
      </c>
      <c r="H22" s="21">
        <f t="shared" si="1"/>
        <v>0.01</v>
      </c>
      <c r="I22" s="21">
        <f t="shared" si="2"/>
        <v>0.1</v>
      </c>
      <c r="J22" s="21">
        <f t="shared" si="2"/>
        <v>0.1</v>
      </c>
    </row>
    <row r="23" spans="1:10" s="10" customFormat="1" ht="12" customHeight="1" x14ac:dyDescent="0.25">
      <c r="A23" s="180">
        <v>5</v>
      </c>
      <c r="B23" s="20" t="s">
        <v>78</v>
      </c>
      <c r="C23" s="111">
        <v>1E-3</v>
      </c>
      <c r="D23" s="111">
        <v>1E-3</v>
      </c>
      <c r="E23" s="13">
        <f>цены!F48</f>
        <v>300</v>
      </c>
      <c r="F23" s="13">
        <f t="shared" si="0"/>
        <v>0.3</v>
      </c>
      <c r="G23" s="97">
        <f t="shared" si="1"/>
        <v>0.01</v>
      </c>
      <c r="H23" s="21">
        <f t="shared" si="1"/>
        <v>0.01</v>
      </c>
      <c r="I23" s="21">
        <f t="shared" si="2"/>
        <v>0.1</v>
      </c>
      <c r="J23" s="21">
        <f t="shared" si="2"/>
        <v>0.1</v>
      </c>
    </row>
    <row r="24" spans="1:10" s="10" customFormat="1" ht="12" customHeight="1" x14ac:dyDescent="0.25">
      <c r="A24" s="180">
        <v>6</v>
      </c>
      <c r="B24" s="20" t="s">
        <v>33</v>
      </c>
      <c r="C24" s="111">
        <v>3.0000000000000001E-3</v>
      </c>
      <c r="D24" s="111">
        <v>3.0000000000000001E-3</v>
      </c>
      <c r="E24" s="13">
        <f>цены!F110</f>
        <v>24</v>
      </c>
      <c r="F24" s="13">
        <f t="shared" si="0"/>
        <v>7.0000000000000007E-2</v>
      </c>
      <c r="G24" s="97">
        <f t="shared" si="1"/>
        <v>0.03</v>
      </c>
      <c r="H24" s="21">
        <f t="shared" si="1"/>
        <v>0.03</v>
      </c>
      <c r="I24" s="21">
        <f t="shared" si="2"/>
        <v>0.3</v>
      </c>
      <c r="J24" s="21">
        <f t="shared" si="2"/>
        <v>0.3</v>
      </c>
    </row>
    <row r="25" spans="1:10" s="10" customFormat="1" ht="12" customHeight="1" x14ac:dyDescent="0.25">
      <c r="A25" s="98"/>
      <c r="B25" s="93" t="s">
        <v>148</v>
      </c>
      <c r="C25" s="112"/>
      <c r="D25" s="1028">
        <v>50</v>
      </c>
      <c r="E25" s="95"/>
      <c r="F25" s="95">
        <f>SUM(F19:F24)</f>
        <v>16.170000000000002</v>
      </c>
      <c r="G25" s="99"/>
      <c r="H25" s="100">
        <f>D25*10</f>
        <v>500</v>
      </c>
      <c r="I25" s="100"/>
      <c r="J25" s="100">
        <f>D25*100</f>
        <v>5000</v>
      </c>
    </row>
    <row r="26" spans="1:10" s="10" customFormat="1" ht="12" customHeight="1" x14ac:dyDescent="0.25">
      <c r="A26" s="129">
        <v>7</v>
      </c>
      <c r="B26" s="123" t="s">
        <v>360</v>
      </c>
      <c r="C26" s="130">
        <v>0.05</v>
      </c>
      <c r="D26" s="130">
        <v>0.05</v>
      </c>
      <c r="E26" s="127">
        <f>'331-соус с томатом'!F30</f>
        <v>84.41</v>
      </c>
      <c r="F26" s="13">
        <f>C26*E26</f>
        <v>4.22</v>
      </c>
      <c r="G26" s="97">
        <f>C26*10</f>
        <v>0.5</v>
      </c>
      <c r="H26" s="21">
        <f>D26*10</f>
        <v>0.5</v>
      </c>
      <c r="I26" s="21">
        <f>C26*100</f>
        <v>5</v>
      </c>
      <c r="J26" s="21">
        <f>D26*100</f>
        <v>5</v>
      </c>
    </row>
    <row r="27" spans="1:10" s="10" customFormat="1" ht="12" customHeight="1" x14ac:dyDescent="0.25">
      <c r="A27" s="98"/>
      <c r="B27" s="93" t="s">
        <v>100</v>
      </c>
      <c r="C27" s="112"/>
      <c r="D27" s="1028">
        <v>100</v>
      </c>
      <c r="E27" s="95"/>
      <c r="F27" s="95">
        <f>F25+F26</f>
        <v>20.39</v>
      </c>
      <c r="G27" s="99"/>
      <c r="H27" s="100">
        <f>D27*10</f>
        <v>1000</v>
      </c>
      <c r="I27" s="100"/>
      <c r="J27" s="100">
        <f>D27*100</f>
        <v>10000</v>
      </c>
    </row>
    <row r="28" spans="1:10" s="10" customFormat="1" ht="29.4" customHeight="1" x14ac:dyDescent="0.25">
      <c r="A28" s="203"/>
      <c r="B28" s="204" t="s">
        <v>446</v>
      </c>
      <c r="C28" s="205"/>
      <c r="D28" s="205"/>
      <c r="E28" s="206"/>
      <c r="F28" s="206"/>
      <c r="G28" s="207"/>
      <c r="H28" s="208"/>
      <c r="I28" s="208"/>
      <c r="J28" s="208"/>
    </row>
    <row r="29" spans="1:10" s="10" customFormat="1" ht="13.95" customHeight="1" x14ac:dyDescent="0.25">
      <c r="A29" s="1536" t="s">
        <v>35</v>
      </c>
      <c r="B29" s="1536"/>
      <c r="C29" s="90"/>
      <c r="D29" s="90"/>
      <c r="E29" s="13"/>
      <c r="F29" s="13">
        <f>F27</f>
        <v>20.39</v>
      </c>
      <c r="G29" s="240"/>
      <c r="H29" s="240"/>
      <c r="I29" s="21"/>
      <c r="J29" s="13"/>
    </row>
    <row r="30" spans="1:10" s="10" customFormat="1" ht="18" customHeight="1" x14ac:dyDescent="0.25">
      <c r="A30" s="1536" t="s">
        <v>36</v>
      </c>
      <c r="B30" s="1536"/>
      <c r="C30" s="90">
        <v>100</v>
      </c>
      <c r="D30" s="90"/>
      <c r="E30" s="13"/>
      <c r="F30" s="13"/>
      <c r="G30" s="13"/>
      <c r="H30" s="13"/>
      <c r="I30" s="21"/>
      <c r="J30" s="17"/>
    </row>
    <row r="31" spans="1:10" s="10" customFormat="1" ht="25.35" customHeight="1" x14ac:dyDescent="0.25">
      <c r="A31" s="1537" t="s">
        <v>37</v>
      </c>
      <c r="B31" s="1538"/>
      <c r="C31" s="91">
        <v>100</v>
      </c>
      <c r="D31" s="92"/>
      <c r="E31" s="241"/>
      <c r="F31" s="241"/>
      <c r="G31" s="241"/>
      <c r="H31" s="241"/>
      <c r="I31" s="21"/>
      <c r="J31" s="17"/>
    </row>
    <row r="32" spans="1:10" s="10" customFormat="1" ht="15" customHeight="1" x14ac:dyDescent="0.25">
      <c r="A32" s="1539" t="s">
        <v>38</v>
      </c>
      <c r="B32" s="1540"/>
      <c r="C32" s="92">
        <f>C30/C31</f>
        <v>1</v>
      </c>
      <c r="D32" s="92"/>
      <c r="E32" s="241"/>
      <c r="F32" s="241"/>
      <c r="G32" s="241"/>
      <c r="H32" s="241"/>
      <c r="I32" s="21"/>
      <c r="J32" s="17"/>
    </row>
    <row r="33" spans="1:10" ht="16.350000000000001" customHeight="1" x14ac:dyDescent="0.25">
      <c r="A33" s="1541" t="s">
        <v>39</v>
      </c>
      <c r="B33" s="1542"/>
      <c r="C33" s="15" t="s">
        <v>40</v>
      </c>
      <c r="D33" s="102"/>
      <c r="E33" s="102" t="s">
        <v>40</v>
      </c>
      <c r="F33" s="16">
        <f>F29/C32</f>
        <v>20.39</v>
      </c>
      <c r="G33" s="16"/>
      <c r="H33" s="16"/>
      <c r="I33" s="102" t="s">
        <v>40</v>
      </c>
      <c r="J33" s="102" t="s">
        <v>40</v>
      </c>
    </row>
    <row r="34" spans="1:10" ht="23.1" customHeight="1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193"/>
      <c r="B35" s="1194" t="s">
        <v>49</v>
      </c>
      <c r="C35" s="1198"/>
      <c r="D35" s="1198"/>
      <c r="E35" s="1198"/>
      <c r="F35" s="1198"/>
      <c r="G35" s="1193"/>
      <c r="H35" s="1557">
        <f>'1-бутерброд с маслом'!$H$28</f>
        <v>0</v>
      </c>
      <c r="I35" s="1557"/>
      <c r="J35" s="1557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545" t="s">
        <v>327</v>
      </c>
      <c r="B37" s="1545"/>
      <c r="C37" s="1546" t="s">
        <v>328</v>
      </c>
      <c r="D37" s="1546"/>
      <c r="E37" s="1546"/>
      <c r="F37" s="1546"/>
      <c r="G37" s="106"/>
      <c r="H37" s="1531"/>
      <c r="I37" s="1531"/>
      <c r="J37" s="1531"/>
    </row>
    <row r="38" spans="1:10" x14ac:dyDescent="0.25">
      <c r="A38" s="1193"/>
      <c r="B38" s="1193"/>
      <c r="C38" s="1546"/>
      <c r="D38" s="1546"/>
      <c r="E38" s="1546"/>
      <c r="F38" s="1546"/>
      <c r="G38" s="1193"/>
      <c r="H38" s="1531" t="s">
        <v>329</v>
      </c>
      <c r="I38" s="1531"/>
      <c r="J38" s="1531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</sheetData>
  <mergeCells count="28">
    <mergeCell ref="H35:J35"/>
    <mergeCell ref="A13:G13"/>
    <mergeCell ref="A30:B30"/>
    <mergeCell ref="A31:B31"/>
    <mergeCell ref="A32:B32"/>
    <mergeCell ref="A33:B33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7:B37"/>
    <mergeCell ref="C37:F38"/>
    <mergeCell ref="H37:J37"/>
    <mergeCell ref="H38:J38"/>
    <mergeCell ref="H5:I5"/>
    <mergeCell ref="A6:G6"/>
    <mergeCell ref="A7:I7"/>
    <mergeCell ref="A29:B29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M38"/>
  <sheetViews>
    <sheetView view="pageBreakPreview" topLeftCell="A14" zoomScaleNormal="100" zoomScaleSheetLayoutView="100" workbookViewId="0">
      <selection activeCell="A30" sqref="A30:J34"/>
    </sheetView>
  </sheetViews>
  <sheetFormatPr defaultRowHeight="13.8" x14ac:dyDescent="0.25"/>
  <cols>
    <col min="1" max="1" width="4.109375" customWidth="1"/>
    <col min="2" max="2" width="21" customWidth="1"/>
    <col min="3" max="3" width="8.88671875" customWidth="1"/>
    <col min="4" max="7" width="7.5546875" customWidth="1"/>
    <col min="8" max="8" width="8.88671875" customWidth="1"/>
    <col min="9" max="9" width="7.5546875" customWidth="1"/>
    <col min="10" max="10" width="9" customWidth="1"/>
    <col min="11" max="11" width="5.1093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16)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290"/>
      <c r="I6" s="290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19</v>
      </c>
    </row>
    <row r="8" spans="1:10" s="2" customFormat="1" ht="9.6" customHeight="1" x14ac:dyDescent="0.25">
      <c r="A8" s="291"/>
      <c r="B8" s="291"/>
      <c r="C8" s="291"/>
      <c r="D8" s="291"/>
      <c r="E8" s="291"/>
      <c r="F8" s="291"/>
      <c r="G8" s="291"/>
      <c r="H8" s="291"/>
      <c r="I8" s="291"/>
      <c r="J8" s="109"/>
    </row>
    <row r="9" spans="1:10" s="2" customFormat="1" ht="26.1" customHeight="1" x14ac:dyDescent="0.3">
      <c r="A9" s="1550" t="s">
        <v>515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20.399999999999999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'18-салат с огурцами'!H14+1</f>
        <v>16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287" t="s">
        <v>92</v>
      </c>
      <c r="D17" s="287" t="s">
        <v>94</v>
      </c>
      <c r="E17" s="287" t="s">
        <v>93</v>
      </c>
      <c r="F17" s="287" t="s">
        <v>23</v>
      </c>
      <c r="G17" s="287" t="s">
        <v>92</v>
      </c>
      <c r="H17" s="287" t="s">
        <v>94</v>
      </c>
      <c r="I17" s="287" t="s">
        <v>92</v>
      </c>
      <c r="J17" s="287" t="s">
        <v>94</v>
      </c>
    </row>
    <row r="18" spans="1:13" ht="9.6" customHeight="1" x14ac:dyDescent="0.25">
      <c r="A18" s="287">
        <v>1</v>
      </c>
      <c r="B18" s="289">
        <v>2</v>
      </c>
      <c r="C18" s="287">
        <v>3</v>
      </c>
      <c r="D18" s="289">
        <v>4</v>
      </c>
      <c r="E18" s="287">
        <v>5</v>
      </c>
      <c r="F18" s="289">
        <v>6</v>
      </c>
      <c r="G18" s="287">
        <v>7</v>
      </c>
      <c r="H18" s="289">
        <v>8</v>
      </c>
      <c r="I18" s="287">
        <v>9</v>
      </c>
      <c r="J18" s="289">
        <v>10</v>
      </c>
    </row>
    <row r="19" spans="1:13" s="10" customFormat="1" ht="14.1" customHeight="1" x14ac:dyDescent="0.25">
      <c r="A19" s="180">
        <v>1</v>
      </c>
      <c r="B19" s="20" t="s">
        <v>509</v>
      </c>
      <c r="C19" s="21">
        <v>0.41699999999999998</v>
      </c>
      <c r="D19" s="21">
        <v>0.3</v>
      </c>
      <c r="E19" s="13">
        <f>цены!F43</f>
        <v>200</v>
      </c>
      <c r="F19" s="13">
        <f>C19*E19</f>
        <v>83.4</v>
      </c>
      <c r="G19" s="97">
        <f t="shared" ref="G19:H23" si="0">C19*10</f>
        <v>4.17</v>
      </c>
      <c r="H19" s="21">
        <f t="shared" si="0"/>
        <v>3</v>
      </c>
      <c r="I19" s="21">
        <f t="shared" ref="I19:J23" si="1">C19*100</f>
        <v>41.7</v>
      </c>
      <c r="J19" s="21">
        <f t="shared" si="1"/>
        <v>30</v>
      </c>
      <c r="L19" s="1015">
        <f>C19/C$28</f>
        <v>2.5019499610007798E-2</v>
      </c>
      <c r="M19" s="1015">
        <f>F19/C$28</f>
        <v>5.0038999220015601</v>
      </c>
    </row>
    <row r="20" spans="1:13" s="10" customFormat="1" ht="14.1" customHeight="1" x14ac:dyDescent="0.25">
      <c r="A20" s="180">
        <v>2</v>
      </c>
      <c r="B20" s="20" t="s">
        <v>514</v>
      </c>
      <c r="C20" s="21">
        <v>0.45</v>
      </c>
      <c r="D20" s="21">
        <v>0.36</v>
      </c>
      <c r="E20" s="13">
        <f>цены!F42</f>
        <v>60</v>
      </c>
      <c r="F20" s="13">
        <f>C20*E20</f>
        <v>27</v>
      </c>
      <c r="G20" s="97">
        <f t="shared" si="0"/>
        <v>4.5</v>
      </c>
      <c r="H20" s="21">
        <f t="shared" si="0"/>
        <v>3.6</v>
      </c>
      <c r="I20" s="21">
        <f t="shared" si="1"/>
        <v>45</v>
      </c>
      <c r="J20" s="21">
        <f t="shared" si="1"/>
        <v>36</v>
      </c>
      <c r="L20" s="1015">
        <f t="shared" ref="L20:L21" si="2">C20/C$28</f>
        <v>2.6999460010799801E-2</v>
      </c>
      <c r="M20" s="1015">
        <f t="shared" ref="M20:M21" si="3">F20/C$28</f>
        <v>1.6199676006479899</v>
      </c>
    </row>
    <row r="21" spans="1:13" s="10" customFormat="1" ht="14.1" customHeight="1" x14ac:dyDescent="0.25">
      <c r="A21" s="180">
        <v>3</v>
      </c>
      <c r="B21" s="20" t="s">
        <v>516</v>
      </c>
      <c r="C21" s="21">
        <v>0.34100000000000003</v>
      </c>
      <c r="D21" s="21">
        <v>0.28999999999999998</v>
      </c>
      <c r="E21" s="13">
        <f>цены!F41</f>
        <v>106</v>
      </c>
      <c r="F21" s="13">
        <f>C21*E21</f>
        <v>36.15</v>
      </c>
      <c r="G21" s="97">
        <f t="shared" si="0"/>
        <v>3.41</v>
      </c>
      <c r="H21" s="21">
        <f t="shared" si="0"/>
        <v>2.9</v>
      </c>
      <c r="I21" s="21">
        <f t="shared" si="1"/>
        <v>34.1</v>
      </c>
      <c r="J21" s="21">
        <f t="shared" si="1"/>
        <v>29</v>
      </c>
      <c r="L21" s="1015">
        <f t="shared" si="2"/>
        <v>2.0459590808183801E-2</v>
      </c>
      <c r="M21" s="1015">
        <f t="shared" si="3"/>
        <v>2.1689566208675801</v>
      </c>
    </row>
    <row r="22" spans="1:13" s="10" customFormat="1" ht="14.1" customHeight="1" x14ac:dyDescent="0.25">
      <c r="A22" s="180">
        <v>4</v>
      </c>
      <c r="B22" s="20" t="s">
        <v>74</v>
      </c>
      <c r="C22" s="21">
        <v>0.06</v>
      </c>
      <c r="D22" s="21">
        <v>0.06</v>
      </c>
      <c r="E22" s="13">
        <f>цены!F87</f>
        <v>120</v>
      </c>
      <c r="F22" s="13">
        <f>C22*E22</f>
        <v>7.2</v>
      </c>
      <c r="G22" s="97">
        <f t="shared" si="0"/>
        <v>0.6</v>
      </c>
      <c r="H22" s="21">
        <f t="shared" si="0"/>
        <v>0.6</v>
      </c>
      <c r="I22" s="21">
        <f t="shared" si="1"/>
        <v>6</v>
      </c>
      <c r="J22" s="21">
        <f t="shared" si="1"/>
        <v>6</v>
      </c>
      <c r="L22" s="1015">
        <f t="shared" ref="L22:L23" si="4">C22/C$28</f>
        <v>3.5999280014399702E-3</v>
      </c>
      <c r="M22" s="1015">
        <f t="shared" ref="M22:M23" si="5">F22/C$28</f>
        <v>0.43199136017279599</v>
      </c>
    </row>
    <row r="23" spans="1:13" s="10" customFormat="1" ht="14.1" customHeight="1" x14ac:dyDescent="0.25">
      <c r="A23" s="180">
        <v>5</v>
      </c>
      <c r="B23" s="20" t="s">
        <v>75</v>
      </c>
      <c r="C23" s="21">
        <f>0.002*C28</f>
        <v>3.3000000000000002E-2</v>
      </c>
      <c r="D23" s="21">
        <f>C23</f>
        <v>3.3000000000000002E-2</v>
      </c>
      <c r="E23" s="13">
        <f>цены!F110</f>
        <v>24</v>
      </c>
      <c r="F23" s="13">
        <f>C23*E23</f>
        <v>0.79</v>
      </c>
      <c r="G23" s="97">
        <f t="shared" si="0"/>
        <v>0.33</v>
      </c>
      <c r="H23" s="21">
        <f t="shared" si="0"/>
        <v>0.33</v>
      </c>
      <c r="I23" s="21">
        <f t="shared" si="1"/>
        <v>3.3</v>
      </c>
      <c r="J23" s="21">
        <f t="shared" si="1"/>
        <v>3.3</v>
      </c>
      <c r="L23" s="1015">
        <f t="shared" si="4"/>
        <v>1.9799604007919801E-3</v>
      </c>
      <c r="M23" s="1015">
        <f t="shared" si="5"/>
        <v>4.7399052018959602E-2</v>
      </c>
    </row>
    <row r="24" spans="1:13" s="10" customFormat="1" ht="12" customHeight="1" x14ac:dyDescent="0.25">
      <c r="A24" s="98"/>
      <c r="B24" s="93" t="s">
        <v>100</v>
      </c>
      <c r="C24" s="100"/>
      <c r="D24" s="100">
        <v>1</v>
      </c>
      <c r="E24" s="95"/>
      <c r="F24" s="95">
        <f>SUM(F19:F23)</f>
        <v>154.54</v>
      </c>
      <c r="G24" s="99"/>
      <c r="H24" s="100">
        <f>D24*10</f>
        <v>10</v>
      </c>
      <c r="I24" s="100"/>
      <c r="J24" s="100">
        <f>D24*100</f>
        <v>100</v>
      </c>
      <c r="L24" s="1015">
        <f>SUM(L19:L23)</f>
        <v>7.8058438831223403E-2</v>
      </c>
      <c r="M24" s="1015">
        <f>SUM(M19:M23)</f>
        <v>9.2722145557088904</v>
      </c>
    </row>
    <row r="25" spans="1:13" s="10" customFormat="1" ht="27.6" customHeight="1" x14ac:dyDescent="0.25">
      <c r="A25" s="1536" t="s">
        <v>35</v>
      </c>
      <c r="B25" s="1536"/>
      <c r="C25" s="90"/>
      <c r="D25" s="90"/>
      <c r="E25" s="13"/>
      <c r="F25" s="13">
        <f>F24</f>
        <v>154.54</v>
      </c>
      <c r="G25" s="288"/>
      <c r="H25" s="288"/>
      <c r="I25" s="21"/>
      <c r="J25" s="13"/>
    </row>
    <row r="26" spans="1:13" s="10" customFormat="1" ht="25.35" customHeight="1" x14ac:dyDescent="0.25">
      <c r="A26" s="1536" t="s">
        <v>36</v>
      </c>
      <c r="B26" s="1536"/>
      <c r="C26" s="90">
        <v>1000</v>
      </c>
      <c r="D26" s="90"/>
      <c r="E26" s="13"/>
      <c r="F26" s="13"/>
      <c r="G26" s="13"/>
      <c r="H26" s="13"/>
      <c r="I26" s="21"/>
      <c r="J26" s="17"/>
    </row>
    <row r="27" spans="1:13" s="10" customFormat="1" ht="25.35" customHeight="1" x14ac:dyDescent="0.25">
      <c r="A27" s="1537" t="s">
        <v>37</v>
      </c>
      <c r="B27" s="1538"/>
      <c r="C27" s="91">
        <v>60</v>
      </c>
      <c r="D27" s="92"/>
      <c r="E27" s="289"/>
      <c r="F27" s="289"/>
      <c r="G27" s="289"/>
      <c r="H27" s="289"/>
      <c r="I27" s="21"/>
      <c r="J27" s="17"/>
    </row>
    <row r="28" spans="1:13" s="10" customFormat="1" ht="15" customHeight="1" x14ac:dyDescent="0.25">
      <c r="A28" s="1539" t="s">
        <v>38</v>
      </c>
      <c r="B28" s="1540"/>
      <c r="C28" s="92">
        <f>C26/C27</f>
        <v>16.667000000000002</v>
      </c>
      <c r="D28" s="92"/>
      <c r="E28" s="289"/>
      <c r="F28" s="289"/>
      <c r="G28" s="289"/>
      <c r="H28" s="289"/>
      <c r="I28" s="21"/>
      <c r="J28" s="17"/>
    </row>
    <row r="29" spans="1:13" ht="16.350000000000001" customHeight="1" x14ac:dyDescent="0.25">
      <c r="A29" s="1541" t="s">
        <v>39</v>
      </c>
      <c r="B29" s="1542"/>
      <c r="C29" s="15" t="s">
        <v>40</v>
      </c>
      <c r="D29" s="102"/>
      <c r="E29" s="102" t="s">
        <v>40</v>
      </c>
      <c r="F29" s="16">
        <f>F25/C28</f>
        <v>9.27</v>
      </c>
      <c r="G29" s="16"/>
      <c r="H29" s="16"/>
      <c r="I29" s="102" t="s">
        <v>40</v>
      </c>
      <c r="J29" s="102" t="s">
        <v>40</v>
      </c>
    </row>
    <row r="30" spans="1:13" ht="23.1" customHeight="1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3" ht="13.95" customHeight="1" x14ac:dyDescent="0.25">
      <c r="A31" s="1193"/>
      <c r="B31" s="1194" t="s">
        <v>49</v>
      </c>
      <c r="C31" s="1198"/>
      <c r="D31" s="1198"/>
      <c r="E31" s="1198"/>
      <c r="F31" s="1198"/>
      <c r="G31" s="1193"/>
      <c r="H31" s="1557">
        <f>'1-бутерброд с маслом'!$H$28</f>
        <v>0</v>
      </c>
      <c r="I31" s="1557"/>
      <c r="J31" s="1557"/>
    </row>
    <row r="32" spans="1:13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545" t="s">
        <v>327</v>
      </c>
      <c r="B33" s="1545"/>
      <c r="C33" s="1546" t="s">
        <v>328</v>
      </c>
      <c r="D33" s="1546"/>
      <c r="E33" s="1546"/>
      <c r="F33" s="1546"/>
      <c r="G33" s="106"/>
      <c r="H33" s="1531"/>
      <c r="I33" s="1531"/>
      <c r="J33" s="1531"/>
    </row>
    <row r="34" spans="1:10" x14ac:dyDescent="0.25">
      <c r="A34" s="1193"/>
      <c r="B34" s="1193"/>
      <c r="C34" s="1546"/>
      <c r="D34" s="1546"/>
      <c r="E34" s="1546"/>
      <c r="F34" s="1546"/>
      <c r="G34" s="1193"/>
      <c r="H34" s="1531" t="s">
        <v>329</v>
      </c>
      <c r="I34" s="1531"/>
      <c r="J34" s="1531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</sheetData>
  <mergeCells count="28">
    <mergeCell ref="H33:J33"/>
    <mergeCell ref="H34:J34"/>
    <mergeCell ref="A26:B26"/>
    <mergeCell ref="A27:B27"/>
    <mergeCell ref="A28:B28"/>
    <mergeCell ref="A29:B29"/>
    <mergeCell ref="A33:B33"/>
    <mergeCell ref="C33:F34"/>
    <mergeCell ref="H31:J31"/>
    <mergeCell ref="A6:G6"/>
    <mergeCell ref="A7:I7"/>
    <mergeCell ref="A25:B25"/>
    <mergeCell ref="A9:J9"/>
    <mergeCell ref="A11:J11"/>
    <mergeCell ref="I13:J13"/>
    <mergeCell ref="C14:G14"/>
    <mergeCell ref="I14:J14"/>
    <mergeCell ref="A16:A17"/>
    <mergeCell ref="B16:B17"/>
    <mergeCell ref="C16:F16"/>
    <mergeCell ref="G16:H16"/>
    <mergeCell ref="I16:J16"/>
    <mergeCell ref="A13:G13"/>
    <mergeCell ref="G1:J1"/>
    <mergeCell ref="G2:J2"/>
    <mergeCell ref="G3:J3"/>
    <mergeCell ref="A5:G5"/>
    <mergeCell ref="H5:I5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9"/>
  <sheetViews>
    <sheetView view="pageBreakPreview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528" customWidth="1"/>
    <col min="2" max="2" width="22.44140625" style="528" customWidth="1"/>
    <col min="3" max="7" width="7.5546875" style="528" customWidth="1"/>
    <col min="8" max="8" width="8.88671875" style="528" customWidth="1"/>
    <col min="9" max="9" width="7.5546875" style="528" customWidth="1"/>
    <col min="10" max="10" width="9" style="528" customWidth="1"/>
    <col min="11" max="11" width="4.5546875" style="528" customWidth="1"/>
    <col min="12" max="16384" width="8.88671875" style="528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205)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290</v>
      </c>
    </row>
    <row r="8" spans="1:10" s="2" customFormat="1" ht="9.6" customHeight="1" x14ac:dyDescent="0.25">
      <c r="A8" s="529"/>
      <c r="B8" s="529"/>
      <c r="C8" s="529"/>
      <c r="D8" s="529"/>
      <c r="E8" s="529"/>
      <c r="F8" s="529"/>
      <c r="G8" s="529"/>
      <c r="H8" s="529"/>
      <c r="I8" s="529"/>
      <c r="J8" s="109"/>
    </row>
    <row r="9" spans="1:10" s="2" customFormat="1" ht="26.1" customHeight="1" x14ac:dyDescent="0.3">
      <c r="A9" s="1550" t="s">
        <v>780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'290 птица туш.окор.'!H14+1</f>
        <v>205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530" t="s">
        <v>92</v>
      </c>
      <c r="D17" s="530" t="s">
        <v>94</v>
      </c>
      <c r="E17" s="530" t="s">
        <v>93</v>
      </c>
      <c r="F17" s="530" t="s">
        <v>23</v>
      </c>
      <c r="G17" s="530" t="s">
        <v>92</v>
      </c>
      <c r="H17" s="530" t="s">
        <v>94</v>
      </c>
      <c r="I17" s="530" t="s">
        <v>92</v>
      </c>
      <c r="J17" s="530" t="s">
        <v>94</v>
      </c>
    </row>
    <row r="18" spans="1:10" ht="9.6" customHeight="1" x14ac:dyDescent="0.25">
      <c r="A18" s="530">
        <v>1</v>
      </c>
      <c r="B18" s="531">
        <v>2</v>
      </c>
      <c r="C18" s="530">
        <v>3</v>
      </c>
      <c r="D18" s="531">
        <v>4</v>
      </c>
      <c r="E18" s="530">
        <v>5</v>
      </c>
      <c r="F18" s="531">
        <v>6</v>
      </c>
      <c r="G18" s="530">
        <v>7</v>
      </c>
      <c r="H18" s="531">
        <v>8</v>
      </c>
      <c r="I18" s="530">
        <v>9</v>
      </c>
      <c r="J18" s="531">
        <v>10</v>
      </c>
    </row>
    <row r="19" spans="1:10" s="10" customFormat="1" ht="13.95" customHeight="1" x14ac:dyDescent="0.25">
      <c r="A19" s="180">
        <v>1</v>
      </c>
      <c r="B19" s="20" t="s">
        <v>147</v>
      </c>
      <c r="C19" s="21">
        <v>0.109</v>
      </c>
      <c r="D19" s="21">
        <v>7.4999999999999997E-2</v>
      </c>
      <c r="E19" s="408">
        <f>цены!F9</f>
        <v>195</v>
      </c>
      <c r="F19" s="408">
        <f t="shared" ref="F19:F24" si="0">C19*E19</f>
        <v>21.26</v>
      </c>
      <c r="G19" s="97">
        <f t="shared" ref="G19:H24" si="1">C19*10</f>
        <v>1.0900000000000001</v>
      </c>
      <c r="H19" s="21">
        <f t="shared" si="1"/>
        <v>0.75</v>
      </c>
      <c r="I19" s="21">
        <f t="shared" ref="I19:J24" si="2">C19*100</f>
        <v>10.9</v>
      </c>
      <c r="J19" s="21">
        <f t="shared" si="2"/>
        <v>7.5</v>
      </c>
    </row>
    <row r="20" spans="1:10" s="10" customFormat="1" ht="12" customHeight="1" x14ac:dyDescent="0.25">
      <c r="A20" s="180">
        <v>2</v>
      </c>
      <c r="B20" s="20" t="s">
        <v>74</v>
      </c>
      <c r="C20" s="111">
        <v>2E-3</v>
      </c>
      <c r="D20" s="111">
        <v>2E-3</v>
      </c>
      <c r="E20" s="408">
        <f>цены!F87</f>
        <v>120</v>
      </c>
      <c r="F20" s="408">
        <f t="shared" si="0"/>
        <v>0.24</v>
      </c>
      <c r="G20" s="97">
        <f t="shared" si="1"/>
        <v>0.02</v>
      </c>
      <c r="H20" s="21">
        <f t="shared" si="1"/>
        <v>0.02</v>
      </c>
      <c r="I20" s="21">
        <f t="shared" si="2"/>
        <v>0.2</v>
      </c>
      <c r="J20" s="21">
        <f t="shared" si="2"/>
        <v>0.2</v>
      </c>
    </row>
    <row r="21" spans="1:10" s="10" customFormat="1" ht="12" customHeight="1" x14ac:dyDescent="0.25">
      <c r="A21" s="180">
        <v>3</v>
      </c>
      <c r="B21" s="20" t="s">
        <v>84</v>
      </c>
      <c r="C21" s="125">
        <v>1.0000000000000001E-5</v>
      </c>
      <c r="D21" s="125">
        <v>1.0000000000000001E-5</v>
      </c>
      <c r="E21" s="408">
        <f>цены!F100</f>
        <v>1000</v>
      </c>
      <c r="F21" s="408">
        <f t="shared" si="0"/>
        <v>0.01</v>
      </c>
      <c r="G21" s="97">
        <f t="shared" si="1"/>
        <v>0</v>
      </c>
      <c r="H21" s="21">
        <f t="shared" si="1"/>
        <v>0</v>
      </c>
      <c r="I21" s="21">
        <f t="shared" si="2"/>
        <v>1E-3</v>
      </c>
      <c r="J21" s="21">
        <f t="shared" si="2"/>
        <v>1E-3</v>
      </c>
    </row>
    <row r="22" spans="1:10" s="10" customFormat="1" ht="12" customHeight="1" x14ac:dyDescent="0.25">
      <c r="A22" s="180">
        <v>4</v>
      </c>
      <c r="B22" s="20" t="s">
        <v>337</v>
      </c>
      <c r="C22" s="125">
        <v>1E-3</v>
      </c>
      <c r="D22" s="125">
        <v>1E-3</v>
      </c>
      <c r="E22" s="408">
        <f>цены!F39</f>
        <v>300</v>
      </c>
      <c r="F22" s="408">
        <f t="shared" si="0"/>
        <v>0.3</v>
      </c>
      <c r="G22" s="97">
        <f t="shared" si="1"/>
        <v>0.01</v>
      </c>
      <c r="H22" s="21">
        <f t="shared" si="1"/>
        <v>0.01</v>
      </c>
      <c r="I22" s="21">
        <f t="shared" si="2"/>
        <v>0.1</v>
      </c>
      <c r="J22" s="21">
        <f t="shared" si="2"/>
        <v>0.1</v>
      </c>
    </row>
    <row r="23" spans="1:10" s="10" customFormat="1" ht="12" customHeight="1" x14ac:dyDescent="0.25">
      <c r="A23" s="180">
        <v>5</v>
      </c>
      <c r="B23" s="20" t="s">
        <v>78</v>
      </c>
      <c r="C23" s="111">
        <v>1E-3</v>
      </c>
      <c r="D23" s="111">
        <v>1E-3</v>
      </c>
      <c r="E23" s="408">
        <f>цены!F48</f>
        <v>300</v>
      </c>
      <c r="F23" s="408">
        <f t="shared" si="0"/>
        <v>0.3</v>
      </c>
      <c r="G23" s="97">
        <f t="shared" si="1"/>
        <v>0.01</v>
      </c>
      <c r="H23" s="21">
        <f t="shared" si="1"/>
        <v>0.01</v>
      </c>
      <c r="I23" s="21">
        <f t="shared" si="2"/>
        <v>0.1</v>
      </c>
      <c r="J23" s="21">
        <f t="shared" si="2"/>
        <v>0.1</v>
      </c>
    </row>
    <row r="24" spans="1:10" s="10" customFormat="1" ht="12" customHeight="1" x14ac:dyDescent="0.25">
      <c r="A24" s="180">
        <v>6</v>
      </c>
      <c r="B24" s="20" t="s">
        <v>33</v>
      </c>
      <c r="C24" s="111">
        <v>3.0000000000000001E-3</v>
      </c>
      <c r="D24" s="111">
        <v>3.0000000000000001E-3</v>
      </c>
      <c r="E24" s="408">
        <f>цены!F110</f>
        <v>24</v>
      </c>
      <c r="F24" s="408">
        <f t="shared" si="0"/>
        <v>7.0000000000000007E-2</v>
      </c>
      <c r="G24" s="97">
        <f t="shared" si="1"/>
        <v>0.03</v>
      </c>
      <c r="H24" s="21">
        <f t="shared" si="1"/>
        <v>0.03</v>
      </c>
      <c r="I24" s="21">
        <f t="shared" si="2"/>
        <v>0.3</v>
      </c>
      <c r="J24" s="21">
        <f t="shared" si="2"/>
        <v>0.3</v>
      </c>
    </row>
    <row r="25" spans="1:10" s="10" customFormat="1" ht="12" customHeight="1" x14ac:dyDescent="0.25">
      <c r="A25" s="98"/>
      <c r="B25" s="93" t="s">
        <v>148</v>
      </c>
      <c r="C25" s="112"/>
      <c r="D25" s="112">
        <v>0.05</v>
      </c>
      <c r="E25" s="95"/>
      <c r="F25" s="95">
        <f>SUM(F19:F24)</f>
        <v>22.18</v>
      </c>
      <c r="G25" s="99"/>
      <c r="H25" s="100">
        <f>D25*10</f>
        <v>0.5</v>
      </c>
      <c r="I25" s="100"/>
      <c r="J25" s="100">
        <f>D25*100</f>
        <v>5</v>
      </c>
    </row>
    <row r="26" spans="1:10" s="10" customFormat="1" ht="12" customHeight="1" x14ac:dyDescent="0.25">
      <c r="A26" s="129">
        <v>7</v>
      </c>
      <c r="B26" s="123" t="s">
        <v>360</v>
      </c>
      <c r="C26" s="130">
        <v>0.05</v>
      </c>
      <c r="D26" s="130">
        <v>0.05</v>
      </c>
      <c r="E26" s="127">
        <f>'331-соус с томатом'!F30</f>
        <v>84.41</v>
      </c>
      <c r="F26" s="408">
        <f>C26*E26</f>
        <v>4.22</v>
      </c>
      <c r="G26" s="97">
        <f>C26*10</f>
        <v>0.5</v>
      </c>
      <c r="H26" s="21">
        <f>D26*10</f>
        <v>0.5</v>
      </c>
      <c r="I26" s="21">
        <f>C26*100</f>
        <v>5</v>
      </c>
      <c r="J26" s="21">
        <f>D26*100</f>
        <v>5</v>
      </c>
    </row>
    <row r="27" spans="1:10" s="10" customFormat="1" ht="12" customHeight="1" x14ac:dyDescent="0.25">
      <c r="A27" s="98"/>
      <c r="B27" s="93" t="s">
        <v>100</v>
      </c>
      <c r="C27" s="112"/>
      <c r="D27" s="112">
        <v>0.1</v>
      </c>
      <c r="E27" s="95"/>
      <c r="F27" s="95">
        <f>F25+F26</f>
        <v>26.4</v>
      </c>
      <c r="G27" s="99"/>
      <c r="H27" s="100">
        <f>D27*10</f>
        <v>1</v>
      </c>
      <c r="I27" s="100"/>
      <c r="J27" s="100">
        <f>D27*100</f>
        <v>10</v>
      </c>
    </row>
    <row r="28" spans="1:10" s="10" customFormat="1" ht="29.4" customHeight="1" x14ac:dyDescent="0.25">
      <c r="A28" s="203"/>
      <c r="B28" s="204" t="s">
        <v>446</v>
      </c>
      <c r="C28" s="205"/>
      <c r="D28" s="205"/>
      <c r="E28" s="206"/>
      <c r="F28" s="206"/>
      <c r="G28" s="207"/>
      <c r="H28" s="208"/>
      <c r="I28" s="208"/>
      <c r="J28" s="208"/>
    </row>
    <row r="29" spans="1:10" s="10" customFormat="1" ht="27.6" customHeight="1" x14ac:dyDescent="0.25">
      <c r="A29" s="1536" t="s">
        <v>35</v>
      </c>
      <c r="B29" s="1536"/>
      <c r="C29" s="90"/>
      <c r="D29" s="90"/>
      <c r="E29" s="408"/>
      <c r="F29" s="408">
        <f>F27</f>
        <v>26.4</v>
      </c>
      <c r="G29" s="532"/>
      <c r="H29" s="532"/>
      <c r="I29" s="21"/>
      <c r="J29" s="408"/>
    </row>
    <row r="30" spans="1:10" s="10" customFormat="1" ht="25.35" customHeight="1" x14ac:dyDescent="0.25">
      <c r="A30" s="1536" t="s">
        <v>36</v>
      </c>
      <c r="B30" s="1536"/>
      <c r="C30" s="90">
        <v>100</v>
      </c>
      <c r="D30" s="90"/>
      <c r="E30" s="408"/>
      <c r="F30" s="408"/>
      <c r="G30" s="408"/>
      <c r="H30" s="408"/>
      <c r="I30" s="21"/>
      <c r="J30" s="17"/>
    </row>
    <row r="31" spans="1:10" s="10" customFormat="1" ht="25.35" customHeight="1" x14ac:dyDescent="0.25">
      <c r="A31" s="1537" t="s">
        <v>37</v>
      </c>
      <c r="B31" s="1538"/>
      <c r="C31" s="91">
        <v>100</v>
      </c>
      <c r="D31" s="92"/>
      <c r="E31" s="531"/>
      <c r="F31" s="531"/>
      <c r="G31" s="531"/>
      <c r="H31" s="531"/>
      <c r="I31" s="21"/>
      <c r="J31" s="17"/>
    </row>
    <row r="32" spans="1:10" s="10" customFormat="1" ht="15" customHeight="1" x14ac:dyDescent="0.25">
      <c r="A32" s="1539" t="s">
        <v>38</v>
      </c>
      <c r="B32" s="1540"/>
      <c r="C32" s="92">
        <f>C30/C31</f>
        <v>1</v>
      </c>
      <c r="D32" s="92"/>
      <c r="E32" s="531"/>
      <c r="F32" s="531"/>
      <c r="G32" s="531"/>
      <c r="H32" s="531"/>
      <c r="I32" s="21"/>
      <c r="J32" s="17"/>
    </row>
    <row r="33" spans="1:10" ht="16.350000000000001" customHeight="1" x14ac:dyDescent="0.25">
      <c r="A33" s="1541" t="s">
        <v>39</v>
      </c>
      <c r="B33" s="1542"/>
      <c r="C33" s="15" t="s">
        <v>40</v>
      </c>
      <c r="D33" s="102"/>
      <c r="E33" s="102" t="s">
        <v>40</v>
      </c>
      <c r="F33" s="16">
        <f>F29/C32</f>
        <v>26.4</v>
      </c>
      <c r="G33" s="16"/>
      <c r="H33" s="16"/>
      <c r="I33" s="102" t="s">
        <v>40</v>
      </c>
      <c r="J33" s="102" t="s">
        <v>40</v>
      </c>
    </row>
    <row r="34" spans="1:10" ht="23.1" customHeight="1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193"/>
      <c r="B35" s="1194" t="s">
        <v>49</v>
      </c>
      <c r="C35" s="1198"/>
      <c r="D35" s="1198"/>
      <c r="E35" s="1198"/>
      <c r="F35" s="1198"/>
      <c r="G35" s="1193"/>
      <c r="H35" s="1557">
        <f>'1-бутерброд с маслом'!$H$28</f>
        <v>0</v>
      </c>
      <c r="I35" s="1557"/>
      <c r="J35" s="1557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545" t="s">
        <v>327</v>
      </c>
      <c r="B37" s="1545"/>
      <c r="C37" s="1546" t="s">
        <v>328</v>
      </c>
      <c r="D37" s="1546"/>
      <c r="E37" s="1546"/>
      <c r="F37" s="1546"/>
      <c r="G37" s="106"/>
      <c r="H37" s="1531"/>
      <c r="I37" s="1531"/>
      <c r="J37" s="1531"/>
    </row>
    <row r="38" spans="1:10" x14ac:dyDescent="0.25">
      <c r="A38" s="1193"/>
      <c r="B38" s="1193"/>
      <c r="C38" s="1546"/>
      <c r="D38" s="1546"/>
      <c r="E38" s="1546"/>
      <c r="F38" s="1546"/>
      <c r="G38" s="1193"/>
      <c r="H38" s="1531" t="s">
        <v>329</v>
      </c>
      <c r="I38" s="1531"/>
      <c r="J38" s="1531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7:B37"/>
    <mergeCell ref="C37:F38"/>
    <mergeCell ref="H37:J37"/>
    <mergeCell ref="H38:J38"/>
    <mergeCell ref="A30:B30"/>
    <mergeCell ref="A31:B31"/>
    <mergeCell ref="A32:B32"/>
    <mergeCell ref="A33:B33"/>
    <mergeCell ref="H35:J35"/>
    <mergeCell ref="A29:B29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K39"/>
  <sheetViews>
    <sheetView view="pageBreakPreview" zoomScaleNormal="100" zoomScaleSheetLayoutView="100" workbookViewId="0">
      <selection activeCell="H15" sqref="H15"/>
    </sheetView>
  </sheetViews>
  <sheetFormatPr defaultColWidth="8.88671875" defaultRowHeight="13.8" x14ac:dyDescent="0.25"/>
  <cols>
    <col min="1" max="1" width="4.109375" style="937" customWidth="1"/>
    <col min="2" max="2" width="22.44140625" style="937" customWidth="1"/>
    <col min="3" max="7" width="7.5546875" style="937" customWidth="1"/>
    <col min="8" max="8" width="8.88671875" style="937" customWidth="1"/>
    <col min="9" max="9" width="7.5546875" style="937" customWidth="1"/>
    <col min="10" max="10" width="9" style="937" customWidth="1"/>
    <col min="11" max="11" width="4" style="937" customWidth="1"/>
    <col min="12" max="16384" width="8.88671875" style="93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206)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942">
        <v>290</v>
      </c>
    </row>
    <row r="8" spans="1:10" s="2" customFormat="1" ht="9.6" customHeight="1" x14ac:dyDescent="0.25">
      <c r="A8" s="938"/>
      <c r="B8" s="938"/>
      <c r="C8" s="938"/>
      <c r="D8" s="938"/>
      <c r="E8" s="938"/>
      <c r="F8" s="938"/>
      <c r="G8" s="938"/>
      <c r="H8" s="938"/>
      <c r="I8" s="938"/>
      <c r="J8" s="109"/>
    </row>
    <row r="9" spans="1:10" s="2" customFormat="1" ht="26.1" customHeight="1" x14ac:dyDescent="0.3">
      <c r="A9" s="1550" t="s">
        <v>780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'290 птица туш.'!H14+1</f>
        <v>206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1" ht="26.4" customHeight="1" x14ac:dyDescent="0.25">
      <c r="A17" s="1543"/>
      <c r="B17" s="1543"/>
      <c r="C17" s="939" t="s">
        <v>92</v>
      </c>
      <c r="D17" s="939" t="s">
        <v>94</v>
      </c>
      <c r="E17" s="939" t="s">
        <v>93</v>
      </c>
      <c r="F17" s="939" t="s">
        <v>23</v>
      </c>
      <c r="G17" s="939" t="s">
        <v>92</v>
      </c>
      <c r="H17" s="939" t="s">
        <v>94</v>
      </c>
      <c r="I17" s="939" t="s">
        <v>92</v>
      </c>
      <c r="J17" s="939" t="s">
        <v>94</v>
      </c>
    </row>
    <row r="18" spans="1:11" ht="9.6" customHeight="1" x14ac:dyDescent="0.25">
      <c r="A18" s="939">
        <v>1</v>
      </c>
      <c r="B18" s="940">
        <v>2</v>
      </c>
      <c r="C18" s="939">
        <v>3</v>
      </c>
      <c r="D18" s="940">
        <v>4</v>
      </c>
      <c r="E18" s="939">
        <v>5</v>
      </c>
      <c r="F18" s="940">
        <v>6</v>
      </c>
      <c r="G18" s="939">
        <v>7</v>
      </c>
      <c r="H18" s="940">
        <v>8</v>
      </c>
      <c r="I18" s="939">
        <v>9</v>
      </c>
      <c r="J18" s="940">
        <v>10</v>
      </c>
    </row>
    <row r="19" spans="1:11" s="10" customFormat="1" ht="13.95" customHeight="1" x14ac:dyDescent="0.25">
      <c r="A19" s="180">
        <v>1</v>
      </c>
      <c r="B19" s="20" t="s">
        <v>147</v>
      </c>
      <c r="C19" s="21">
        <v>0.153</v>
      </c>
      <c r="D19" s="21">
        <v>0.105</v>
      </c>
      <c r="E19" s="408">
        <f>цены!F9</f>
        <v>195</v>
      </c>
      <c r="F19" s="408">
        <f t="shared" ref="F19:F24" si="0">C19*E19</f>
        <v>29.84</v>
      </c>
      <c r="G19" s="97">
        <f t="shared" ref="G19:H24" si="1">C19*10</f>
        <v>1.53</v>
      </c>
      <c r="H19" s="21">
        <f t="shared" si="1"/>
        <v>1.05</v>
      </c>
      <c r="I19" s="21">
        <f t="shared" ref="I19:J24" si="2">C19*100</f>
        <v>15.3</v>
      </c>
      <c r="J19" s="21">
        <f t="shared" si="2"/>
        <v>10.5</v>
      </c>
    </row>
    <row r="20" spans="1:11" s="10" customFormat="1" ht="12" customHeight="1" x14ac:dyDescent="0.25">
      <c r="A20" s="180">
        <v>2</v>
      </c>
      <c r="B20" s="20" t="s">
        <v>74</v>
      </c>
      <c r="C20" s="111">
        <v>3.0000000000000001E-3</v>
      </c>
      <c r="D20" s="111">
        <v>3.0000000000000001E-3</v>
      </c>
      <c r="E20" s="408">
        <f>цены!F87</f>
        <v>120</v>
      </c>
      <c r="F20" s="408">
        <f t="shared" si="0"/>
        <v>0.36</v>
      </c>
      <c r="G20" s="97">
        <f t="shared" si="1"/>
        <v>0.03</v>
      </c>
      <c r="H20" s="21">
        <f t="shared" si="1"/>
        <v>0.03</v>
      </c>
      <c r="I20" s="21">
        <f t="shared" si="2"/>
        <v>0.3</v>
      </c>
      <c r="J20" s="21">
        <f t="shared" si="2"/>
        <v>0.3</v>
      </c>
    </row>
    <row r="21" spans="1:11" s="10" customFormat="1" ht="12" customHeight="1" x14ac:dyDescent="0.25">
      <c r="A21" s="180">
        <v>3</v>
      </c>
      <c r="B21" s="20" t="s">
        <v>84</v>
      </c>
      <c r="C21" s="125">
        <v>1.0000000000000001E-5</v>
      </c>
      <c r="D21" s="125">
        <v>1.0000000000000001E-5</v>
      </c>
      <c r="E21" s="408">
        <f>цены!F100</f>
        <v>1000</v>
      </c>
      <c r="F21" s="408">
        <f t="shared" si="0"/>
        <v>0.01</v>
      </c>
      <c r="G21" s="97">
        <f t="shared" si="1"/>
        <v>0</v>
      </c>
      <c r="H21" s="21">
        <f t="shared" si="1"/>
        <v>0</v>
      </c>
      <c r="I21" s="21">
        <f t="shared" si="2"/>
        <v>1E-3</v>
      </c>
      <c r="J21" s="21">
        <f t="shared" si="2"/>
        <v>1E-3</v>
      </c>
    </row>
    <row r="22" spans="1:11" s="10" customFormat="1" ht="12" customHeight="1" x14ac:dyDescent="0.25">
      <c r="A22" s="180">
        <v>4</v>
      </c>
      <c r="B22" s="20" t="s">
        <v>337</v>
      </c>
      <c r="C22" s="125">
        <v>1E-3</v>
      </c>
      <c r="D22" s="125">
        <v>1E-3</v>
      </c>
      <c r="E22" s="408">
        <f>цены!F39</f>
        <v>300</v>
      </c>
      <c r="F22" s="408">
        <f t="shared" si="0"/>
        <v>0.3</v>
      </c>
      <c r="G22" s="97">
        <f t="shared" si="1"/>
        <v>0.01</v>
      </c>
      <c r="H22" s="21">
        <f t="shared" si="1"/>
        <v>0.01</v>
      </c>
      <c r="I22" s="21">
        <f t="shared" si="2"/>
        <v>0.1</v>
      </c>
      <c r="J22" s="21">
        <f t="shared" si="2"/>
        <v>0.1</v>
      </c>
    </row>
    <row r="23" spans="1:11" s="10" customFormat="1" ht="12" customHeight="1" x14ac:dyDescent="0.25">
      <c r="A23" s="180">
        <v>5</v>
      </c>
      <c r="B23" s="20" t="s">
        <v>78</v>
      </c>
      <c r="C23" s="111">
        <v>1E-3</v>
      </c>
      <c r="D23" s="111">
        <v>1E-3</v>
      </c>
      <c r="E23" s="408">
        <f>цены!F48</f>
        <v>300</v>
      </c>
      <c r="F23" s="408">
        <f t="shared" si="0"/>
        <v>0.3</v>
      </c>
      <c r="G23" s="97">
        <f t="shared" si="1"/>
        <v>0.01</v>
      </c>
      <c r="H23" s="21">
        <f t="shared" si="1"/>
        <v>0.01</v>
      </c>
      <c r="I23" s="21">
        <f t="shared" si="2"/>
        <v>0.1</v>
      </c>
      <c r="J23" s="21">
        <f t="shared" si="2"/>
        <v>0.1</v>
      </c>
    </row>
    <row r="24" spans="1:11" s="10" customFormat="1" ht="12" customHeight="1" x14ac:dyDescent="0.25">
      <c r="A24" s="180">
        <v>6</v>
      </c>
      <c r="B24" s="20" t="s">
        <v>33</v>
      </c>
      <c r="C24" s="111">
        <v>4.0000000000000001E-3</v>
      </c>
      <c r="D24" s="111">
        <v>4.0000000000000001E-3</v>
      </c>
      <c r="E24" s="408">
        <f>цены!F110</f>
        <v>24</v>
      </c>
      <c r="F24" s="408">
        <f t="shared" si="0"/>
        <v>0.1</v>
      </c>
      <c r="G24" s="97">
        <f t="shared" si="1"/>
        <v>0.04</v>
      </c>
      <c r="H24" s="21">
        <f t="shared" si="1"/>
        <v>0.04</v>
      </c>
      <c r="I24" s="21">
        <f t="shared" si="2"/>
        <v>0.4</v>
      </c>
      <c r="J24" s="21">
        <f t="shared" si="2"/>
        <v>0.4</v>
      </c>
    </row>
    <row r="25" spans="1:11" s="10" customFormat="1" ht="12" customHeight="1" x14ac:dyDescent="0.25">
      <c r="A25" s="98"/>
      <c r="B25" s="93" t="s">
        <v>148</v>
      </c>
      <c r="C25" s="112"/>
      <c r="D25" s="1028">
        <v>70</v>
      </c>
      <c r="E25" s="95"/>
      <c r="F25" s="95">
        <f>SUM(F19:F24)</f>
        <v>30.91</v>
      </c>
      <c r="G25" s="99"/>
      <c r="H25" s="100">
        <f>D25*10</f>
        <v>700</v>
      </c>
      <c r="I25" s="100"/>
      <c r="J25" s="100">
        <f>D25*100</f>
        <v>7000</v>
      </c>
      <c r="K25" s="10" t="s">
        <v>1286</v>
      </c>
    </row>
    <row r="26" spans="1:11" s="10" customFormat="1" ht="12" customHeight="1" x14ac:dyDescent="0.25">
      <c r="A26" s="129">
        <v>7</v>
      </c>
      <c r="B26" s="123" t="s">
        <v>360</v>
      </c>
      <c r="C26" s="130">
        <v>0.05</v>
      </c>
      <c r="D26" s="130">
        <v>0.05</v>
      </c>
      <c r="E26" s="127">
        <f>'331-соус с томатом'!F30</f>
        <v>84.41</v>
      </c>
      <c r="F26" s="408">
        <f>C26*E26</f>
        <v>4.22</v>
      </c>
      <c r="G26" s="97">
        <f>C26*10</f>
        <v>0.5</v>
      </c>
      <c r="H26" s="21">
        <f>D26*10</f>
        <v>0.5</v>
      </c>
      <c r="I26" s="21">
        <f>C26*100</f>
        <v>5</v>
      </c>
      <c r="J26" s="21">
        <f>D26*100</f>
        <v>5</v>
      </c>
    </row>
    <row r="27" spans="1:11" s="10" customFormat="1" ht="12" customHeight="1" x14ac:dyDescent="0.25">
      <c r="A27" s="98"/>
      <c r="B27" s="93" t="s">
        <v>100</v>
      </c>
      <c r="C27" s="112"/>
      <c r="D27" s="1028">
        <v>120</v>
      </c>
      <c r="E27" s="95"/>
      <c r="F27" s="95">
        <f>F25+F26</f>
        <v>35.130000000000003</v>
      </c>
      <c r="G27" s="99"/>
      <c r="H27" s="100">
        <f>D27*10</f>
        <v>1200</v>
      </c>
      <c r="I27" s="100"/>
      <c r="J27" s="100">
        <f>D27*100</f>
        <v>12000</v>
      </c>
    </row>
    <row r="28" spans="1:11" s="10" customFormat="1" ht="29.4" customHeight="1" x14ac:dyDescent="0.25">
      <c r="A28" s="203"/>
      <c r="B28" s="204" t="s">
        <v>446</v>
      </c>
      <c r="C28" s="205"/>
      <c r="D28" s="205"/>
      <c r="E28" s="206"/>
      <c r="F28" s="206"/>
      <c r="G28" s="207"/>
      <c r="H28" s="208"/>
      <c r="I28" s="208"/>
      <c r="J28" s="208"/>
    </row>
    <row r="29" spans="1:11" s="10" customFormat="1" ht="27.6" customHeight="1" x14ac:dyDescent="0.25">
      <c r="A29" s="1536" t="s">
        <v>35</v>
      </c>
      <c r="B29" s="1536"/>
      <c r="C29" s="90"/>
      <c r="D29" s="90"/>
      <c r="E29" s="408"/>
      <c r="F29" s="408">
        <f>F27</f>
        <v>35.130000000000003</v>
      </c>
      <c r="G29" s="941"/>
      <c r="H29" s="941"/>
      <c r="I29" s="21"/>
      <c r="J29" s="408"/>
    </row>
    <row r="30" spans="1:11" s="10" customFormat="1" ht="25.35" customHeight="1" x14ac:dyDescent="0.25">
      <c r="A30" s="1536" t="s">
        <v>36</v>
      </c>
      <c r="B30" s="1536"/>
      <c r="C30" s="90">
        <v>120</v>
      </c>
      <c r="D30" s="90"/>
      <c r="E30" s="408"/>
      <c r="F30" s="408"/>
      <c r="G30" s="408"/>
      <c r="H30" s="408"/>
      <c r="I30" s="21"/>
      <c r="J30" s="17"/>
    </row>
    <row r="31" spans="1:11" s="10" customFormat="1" ht="25.35" customHeight="1" x14ac:dyDescent="0.25">
      <c r="A31" s="1537" t="s">
        <v>37</v>
      </c>
      <c r="B31" s="1538"/>
      <c r="C31" s="91">
        <v>120</v>
      </c>
      <c r="D31" s="92"/>
      <c r="E31" s="940"/>
      <c r="F31" s="940"/>
      <c r="G31" s="940"/>
      <c r="H31" s="940"/>
      <c r="I31" s="21"/>
      <c r="J31" s="17"/>
    </row>
    <row r="32" spans="1:11" s="10" customFormat="1" ht="15" customHeight="1" x14ac:dyDescent="0.25">
      <c r="A32" s="1539" t="s">
        <v>38</v>
      </c>
      <c r="B32" s="1540"/>
      <c r="C32" s="92">
        <f>C30/C31</f>
        <v>1</v>
      </c>
      <c r="D32" s="92"/>
      <c r="E32" s="940"/>
      <c r="F32" s="940"/>
      <c r="G32" s="940"/>
      <c r="H32" s="940"/>
      <c r="I32" s="21"/>
      <c r="J32" s="17"/>
    </row>
    <row r="33" spans="1:10" ht="16.350000000000001" customHeight="1" x14ac:dyDescent="0.25">
      <c r="A33" s="1541" t="s">
        <v>39</v>
      </c>
      <c r="B33" s="1542"/>
      <c r="C33" s="15" t="s">
        <v>40</v>
      </c>
      <c r="D33" s="102"/>
      <c r="E33" s="102" t="s">
        <v>40</v>
      </c>
      <c r="F33" s="16">
        <f>F29/C32</f>
        <v>35.130000000000003</v>
      </c>
      <c r="G33" s="16"/>
      <c r="H33" s="16"/>
      <c r="I33" s="102" t="s">
        <v>40</v>
      </c>
      <c r="J33" s="102" t="s">
        <v>40</v>
      </c>
    </row>
    <row r="34" spans="1:10" ht="23.1" customHeight="1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193"/>
      <c r="B35" s="1194" t="s">
        <v>49</v>
      </c>
      <c r="C35" s="1198"/>
      <c r="D35" s="1198"/>
      <c r="E35" s="1198"/>
      <c r="F35" s="1198"/>
      <c r="G35" s="1193"/>
      <c r="H35" s="1557">
        <f>'1-бутерброд с маслом'!$H$28</f>
        <v>0</v>
      </c>
      <c r="I35" s="1557"/>
      <c r="J35" s="1557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545" t="s">
        <v>327</v>
      </c>
      <c r="B37" s="1545"/>
      <c r="C37" s="1546" t="s">
        <v>328</v>
      </c>
      <c r="D37" s="1546"/>
      <c r="E37" s="1546"/>
      <c r="F37" s="1546"/>
      <c r="G37" s="106"/>
      <c r="H37" s="1531"/>
      <c r="I37" s="1531"/>
      <c r="J37" s="1531"/>
    </row>
    <row r="38" spans="1:10" x14ac:dyDescent="0.25">
      <c r="A38" s="1193"/>
      <c r="B38" s="1193"/>
      <c r="C38" s="1546"/>
      <c r="D38" s="1546"/>
      <c r="E38" s="1546"/>
      <c r="F38" s="1546"/>
      <c r="G38" s="1193"/>
      <c r="H38" s="1531" t="s">
        <v>329</v>
      </c>
      <c r="I38" s="1531"/>
      <c r="J38" s="1531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7:B37"/>
    <mergeCell ref="C37:F38"/>
    <mergeCell ref="H37:J37"/>
    <mergeCell ref="H38:J38"/>
    <mergeCell ref="A30:B30"/>
    <mergeCell ref="A31:B31"/>
    <mergeCell ref="A32:B32"/>
    <mergeCell ref="A33:B33"/>
    <mergeCell ref="H35:J35"/>
    <mergeCell ref="A29:B29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J39"/>
  <sheetViews>
    <sheetView view="pageBreakPreview" zoomScaleNormal="100" zoomScaleSheetLayoutView="100" workbookViewId="0">
      <selection activeCell="H15" sqref="H15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1093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207)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291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680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'290 птица туш. 120г'!H14+1</f>
        <v>207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>
        <v>1</v>
      </c>
      <c r="B19" s="20" t="s">
        <v>679</v>
      </c>
      <c r="C19" s="21">
        <v>7.5999999999999998E-2</v>
      </c>
      <c r="D19" s="21">
        <v>6.8000000000000005E-2</v>
      </c>
      <c r="E19" s="13">
        <f>цены!F8</f>
        <v>193</v>
      </c>
      <c r="F19" s="13">
        <f t="shared" ref="F19:F25" si="0">C19*E19</f>
        <v>14.67</v>
      </c>
      <c r="G19" s="97">
        <f t="shared" ref="G19:H25" si="1">C19*10</f>
        <v>0.76</v>
      </c>
      <c r="H19" s="21">
        <f t="shared" si="1"/>
        <v>0.68</v>
      </c>
      <c r="I19" s="21">
        <f t="shared" ref="I19:J25" si="2">C19*100</f>
        <v>7.6</v>
      </c>
      <c r="J19" s="21">
        <f t="shared" si="2"/>
        <v>6.8</v>
      </c>
    </row>
    <row r="20" spans="1:10" s="10" customFormat="1" ht="12" customHeight="1" x14ac:dyDescent="0.25">
      <c r="A20" s="180">
        <v>2</v>
      </c>
      <c r="B20" s="20" t="s">
        <v>74</v>
      </c>
      <c r="C20" s="21">
        <v>7.0000000000000001E-3</v>
      </c>
      <c r="D20" s="21">
        <v>7.0000000000000001E-3</v>
      </c>
      <c r="E20" s="13">
        <f>цены!F87</f>
        <v>120</v>
      </c>
      <c r="F20" s="13">
        <f t="shared" si="0"/>
        <v>0.84</v>
      </c>
      <c r="G20" s="97">
        <f t="shared" si="1"/>
        <v>7.0000000000000007E-2</v>
      </c>
      <c r="H20" s="21">
        <f t="shared" si="1"/>
        <v>7.0000000000000007E-2</v>
      </c>
      <c r="I20" s="21">
        <f t="shared" si="2"/>
        <v>0.7</v>
      </c>
      <c r="J20" s="21">
        <f t="shared" si="2"/>
        <v>0.7</v>
      </c>
    </row>
    <row r="21" spans="1:10" s="10" customFormat="1" ht="12" customHeight="1" x14ac:dyDescent="0.25">
      <c r="A21" s="180">
        <v>3</v>
      </c>
      <c r="B21" s="20" t="s">
        <v>48</v>
      </c>
      <c r="C21" s="21">
        <v>8.0000000000000002E-3</v>
      </c>
      <c r="D21" s="21">
        <v>7.0000000000000001E-3</v>
      </c>
      <c r="E21" s="13">
        <f>цены!F38</f>
        <v>50</v>
      </c>
      <c r="F21" s="13">
        <f t="shared" si="0"/>
        <v>0.4</v>
      </c>
      <c r="G21" s="97">
        <f t="shared" si="1"/>
        <v>0.08</v>
      </c>
      <c r="H21" s="21">
        <f t="shared" si="1"/>
        <v>7.0000000000000007E-2</v>
      </c>
      <c r="I21" s="21">
        <f t="shared" si="2"/>
        <v>0.8</v>
      </c>
      <c r="J21" s="21">
        <f t="shared" si="2"/>
        <v>0.7</v>
      </c>
    </row>
    <row r="22" spans="1:10" s="10" customFormat="1" ht="12" customHeight="1" x14ac:dyDescent="0.25">
      <c r="A22" s="180">
        <v>4</v>
      </c>
      <c r="B22" s="20" t="s">
        <v>47</v>
      </c>
      <c r="C22" s="21">
        <v>0.01</v>
      </c>
      <c r="D22" s="21">
        <v>8.0000000000000002E-3</v>
      </c>
      <c r="E22" s="13">
        <f>цены!F44</f>
        <v>50</v>
      </c>
      <c r="F22" s="13">
        <f t="shared" si="0"/>
        <v>0.5</v>
      </c>
      <c r="G22" s="97">
        <f t="shared" si="1"/>
        <v>0.1</v>
      </c>
      <c r="H22" s="21">
        <f t="shared" si="1"/>
        <v>0.08</v>
      </c>
      <c r="I22" s="21">
        <f t="shared" si="2"/>
        <v>1</v>
      </c>
      <c r="J22" s="21">
        <f t="shared" si="2"/>
        <v>0.8</v>
      </c>
    </row>
    <row r="23" spans="1:10" s="10" customFormat="1" ht="12" customHeight="1" x14ac:dyDescent="0.25">
      <c r="A23" s="180">
        <v>5</v>
      </c>
      <c r="B23" s="20" t="s">
        <v>46</v>
      </c>
      <c r="C23" s="21">
        <v>5.0000000000000001E-3</v>
      </c>
      <c r="D23" s="21">
        <v>5.0000000000000001E-3</v>
      </c>
      <c r="E23" s="13">
        <f>цены!F113</f>
        <v>230</v>
      </c>
      <c r="F23" s="13">
        <f t="shared" si="0"/>
        <v>1.1499999999999999</v>
      </c>
      <c r="G23" s="97">
        <f t="shared" si="1"/>
        <v>0.05</v>
      </c>
      <c r="H23" s="21">
        <f t="shared" si="1"/>
        <v>0.05</v>
      </c>
      <c r="I23" s="21">
        <f t="shared" si="2"/>
        <v>0.5</v>
      </c>
      <c r="J23" s="21">
        <f t="shared" si="2"/>
        <v>0.5</v>
      </c>
    </row>
    <row r="24" spans="1:10" s="10" customFormat="1" ht="12" customHeight="1" x14ac:dyDescent="0.25">
      <c r="A24" s="180">
        <v>6</v>
      </c>
      <c r="B24" s="20" t="s">
        <v>307</v>
      </c>
      <c r="C24" s="21">
        <v>3.5000000000000003E-2</v>
      </c>
      <c r="D24" s="21">
        <v>3.5000000000000003E-2</v>
      </c>
      <c r="E24" s="13">
        <f>цены!F83</f>
        <v>98</v>
      </c>
      <c r="F24" s="13">
        <f t="shared" si="0"/>
        <v>3.43</v>
      </c>
      <c r="G24" s="97">
        <f t="shared" si="1"/>
        <v>0.35</v>
      </c>
      <c r="H24" s="21">
        <f t="shared" si="1"/>
        <v>0.35</v>
      </c>
      <c r="I24" s="21">
        <f t="shared" si="2"/>
        <v>3.5</v>
      </c>
      <c r="J24" s="21">
        <f t="shared" si="2"/>
        <v>3.5</v>
      </c>
    </row>
    <row r="25" spans="1:10" s="10" customFormat="1" ht="12" customHeight="1" x14ac:dyDescent="0.25">
      <c r="A25" s="180">
        <v>7</v>
      </c>
      <c r="B25" s="20" t="s">
        <v>33</v>
      </c>
      <c r="C25" s="21">
        <v>3.0000000000000001E-3</v>
      </c>
      <c r="D25" s="21">
        <v>3.0000000000000001E-3</v>
      </c>
      <c r="E25" s="13">
        <f>цены!F110</f>
        <v>24</v>
      </c>
      <c r="F25" s="13">
        <f t="shared" si="0"/>
        <v>7.0000000000000007E-2</v>
      </c>
      <c r="G25" s="97">
        <f t="shared" si="1"/>
        <v>0.03</v>
      </c>
      <c r="H25" s="21">
        <f t="shared" si="1"/>
        <v>0.03</v>
      </c>
      <c r="I25" s="21">
        <f t="shared" si="2"/>
        <v>0.3</v>
      </c>
      <c r="J25" s="21">
        <f t="shared" si="2"/>
        <v>0.3</v>
      </c>
    </row>
    <row r="26" spans="1:10" s="10" customFormat="1" ht="12" customHeight="1" x14ac:dyDescent="0.25">
      <c r="A26" s="98"/>
      <c r="B26" s="93" t="s">
        <v>148</v>
      </c>
      <c r="C26" s="114"/>
      <c r="D26" s="112">
        <v>0.05</v>
      </c>
      <c r="E26" s="95"/>
      <c r="F26" s="95">
        <f>SUM(F19:F25)</f>
        <v>21.06</v>
      </c>
      <c r="G26" s="99"/>
      <c r="H26" s="100">
        <f>D26*10</f>
        <v>0.5</v>
      </c>
      <c r="I26" s="100"/>
      <c r="J26" s="100">
        <f>D26*100</f>
        <v>5</v>
      </c>
    </row>
    <row r="27" spans="1:10" s="10" customFormat="1" ht="25.35" customHeight="1" x14ac:dyDescent="0.25">
      <c r="A27" s="98"/>
      <c r="B27" s="93" t="s">
        <v>149</v>
      </c>
      <c r="C27" s="114"/>
      <c r="D27" s="112">
        <v>0.1</v>
      </c>
      <c r="E27" s="95"/>
      <c r="F27" s="95"/>
      <c r="G27" s="99"/>
      <c r="H27" s="100">
        <f>D27*10</f>
        <v>1</v>
      </c>
      <c r="I27" s="100"/>
      <c r="J27" s="100">
        <f>D27*100</f>
        <v>10</v>
      </c>
    </row>
    <row r="28" spans="1:10" s="10" customFormat="1" ht="12" customHeight="1" x14ac:dyDescent="0.25">
      <c r="A28" s="98"/>
      <c r="B28" s="93" t="s">
        <v>100</v>
      </c>
      <c r="C28" s="112"/>
      <c r="D28" s="112">
        <v>0.15</v>
      </c>
      <c r="E28" s="95"/>
      <c r="F28" s="95">
        <f>F26</f>
        <v>21.06</v>
      </c>
      <c r="G28" s="99"/>
      <c r="H28" s="100">
        <f>D28*10</f>
        <v>1.5</v>
      </c>
      <c r="I28" s="100"/>
      <c r="J28" s="100">
        <f>D28*100</f>
        <v>15</v>
      </c>
    </row>
    <row r="29" spans="1:10" s="10" customFormat="1" ht="27.6" customHeight="1" x14ac:dyDescent="0.25">
      <c r="A29" s="1536" t="s">
        <v>35</v>
      </c>
      <c r="B29" s="1536"/>
      <c r="C29" s="90"/>
      <c r="D29" s="90"/>
      <c r="E29" s="13"/>
      <c r="F29" s="13">
        <f>F28</f>
        <v>21.06</v>
      </c>
      <c r="G29" s="14"/>
      <c r="H29" s="14"/>
      <c r="I29" s="21"/>
      <c r="J29" s="13"/>
    </row>
    <row r="30" spans="1:10" s="10" customFormat="1" ht="25.35" customHeight="1" x14ac:dyDescent="0.25">
      <c r="A30" s="1536" t="s">
        <v>36</v>
      </c>
      <c r="B30" s="1536"/>
      <c r="C30" s="90">
        <v>150</v>
      </c>
      <c r="D30" s="90"/>
      <c r="E30" s="13"/>
      <c r="F30" s="13"/>
      <c r="G30" s="13"/>
      <c r="H30" s="13"/>
      <c r="I30" s="21"/>
      <c r="J30" s="17"/>
    </row>
    <row r="31" spans="1:10" s="10" customFormat="1" ht="25.35" customHeight="1" x14ac:dyDescent="0.25">
      <c r="A31" s="1537" t="s">
        <v>37</v>
      </c>
      <c r="B31" s="1538"/>
      <c r="C31" s="91">
        <v>150</v>
      </c>
      <c r="D31" s="92"/>
      <c r="E31" s="5"/>
      <c r="F31" s="5"/>
      <c r="G31" s="5"/>
      <c r="H31" s="5"/>
      <c r="I31" s="21"/>
      <c r="J31" s="17"/>
    </row>
    <row r="32" spans="1:10" s="10" customFormat="1" ht="15" customHeight="1" x14ac:dyDescent="0.25">
      <c r="A32" s="1539" t="s">
        <v>38</v>
      </c>
      <c r="B32" s="1540"/>
      <c r="C32" s="92">
        <f>C30/C31</f>
        <v>1</v>
      </c>
      <c r="D32" s="92"/>
      <c r="E32" s="5"/>
      <c r="F32" s="5"/>
      <c r="G32" s="5"/>
      <c r="H32" s="5"/>
      <c r="I32" s="21"/>
      <c r="J32" s="17"/>
    </row>
    <row r="33" spans="1:10" ht="16.350000000000001" customHeight="1" x14ac:dyDescent="0.25">
      <c r="A33" s="1541" t="s">
        <v>39</v>
      </c>
      <c r="B33" s="1542"/>
      <c r="C33" s="15" t="s">
        <v>40</v>
      </c>
      <c r="D33" s="102"/>
      <c r="E33" s="102" t="s">
        <v>40</v>
      </c>
      <c r="F33" s="16">
        <f>F29/C32</f>
        <v>21.06</v>
      </c>
      <c r="G33" s="16"/>
      <c r="H33" s="16"/>
      <c r="I33" s="102" t="s">
        <v>40</v>
      </c>
      <c r="J33" s="102" t="s">
        <v>40</v>
      </c>
    </row>
    <row r="34" spans="1:10" ht="23.1" customHeight="1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193"/>
      <c r="B35" s="1194" t="s">
        <v>49</v>
      </c>
      <c r="C35" s="1198"/>
      <c r="D35" s="1198"/>
      <c r="E35" s="1198"/>
      <c r="F35" s="1198"/>
      <c r="G35" s="1193"/>
      <c r="H35" s="1557">
        <f>'1-бутерброд с маслом'!$H$28</f>
        <v>0</v>
      </c>
      <c r="I35" s="1557"/>
      <c r="J35" s="1557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545" t="s">
        <v>327</v>
      </c>
      <c r="B37" s="1545"/>
      <c r="C37" s="1546" t="s">
        <v>328</v>
      </c>
      <c r="D37" s="1546"/>
      <c r="E37" s="1546"/>
      <c r="F37" s="1546"/>
      <c r="G37" s="106"/>
      <c r="H37" s="1531"/>
      <c r="I37" s="1531"/>
      <c r="J37" s="1531"/>
    </row>
    <row r="38" spans="1:10" x14ac:dyDescent="0.25">
      <c r="A38" s="1193"/>
      <c r="B38" s="1193"/>
      <c r="C38" s="1546"/>
      <c r="D38" s="1546"/>
      <c r="E38" s="1546"/>
      <c r="F38" s="1546"/>
      <c r="G38" s="1193"/>
      <c r="H38" s="1531" t="s">
        <v>329</v>
      </c>
      <c r="I38" s="1531"/>
      <c r="J38" s="1531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7:B37"/>
    <mergeCell ref="C37:F38"/>
    <mergeCell ref="H37:J37"/>
    <mergeCell ref="H38:J38"/>
    <mergeCell ref="A30:B30"/>
    <mergeCell ref="A31:B31"/>
    <mergeCell ref="A32:B32"/>
    <mergeCell ref="A33:B33"/>
    <mergeCell ref="H35:J35"/>
    <mergeCell ref="A29:B29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39"/>
  <sheetViews>
    <sheetView view="pageBreakPreview" topLeftCell="A15" zoomScaleNormal="100" zoomScaleSheetLayoutView="100" workbookViewId="0">
      <selection activeCell="N32" sqref="N32"/>
    </sheetView>
  </sheetViews>
  <sheetFormatPr defaultColWidth="8.88671875" defaultRowHeight="13.8" x14ac:dyDescent="0.25"/>
  <cols>
    <col min="1" max="1" width="4.109375" style="467" customWidth="1"/>
    <col min="2" max="2" width="21.109375" style="467" customWidth="1"/>
    <col min="3" max="7" width="7.5546875" style="467" customWidth="1"/>
    <col min="8" max="8" width="8.88671875" style="467" customWidth="1"/>
    <col min="9" max="9" width="7.5546875" style="467" customWidth="1"/>
    <col min="10" max="10" width="9" style="467" customWidth="1"/>
    <col min="11" max="11" width="4.109375" style="467" customWidth="1"/>
    <col min="12" max="12" width="11.33203125" style="467" customWidth="1"/>
    <col min="13" max="16384" width="8.88671875" style="46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208)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291</v>
      </c>
    </row>
    <row r="8" spans="1:10" s="2" customFormat="1" ht="9.6" customHeight="1" x14ac:dyDescent="0.25">
      <c r="A8" s="471"/>
      <c r="B8" s="471"/>
      <c r="C8" s="471"/>
      <c r="D8" s="471"/>
      <c r="E8" s="471"/>
      <c r="F8" s="471"/>
      <c r="G8" s="471"/>
      <c r="H8" s="471"/>
      <c r="I8" s="471"/>
      <c r="J8" s="109"/>
    </row>
    <row r="9" spans="1:10" s="2" customFormat="1" ht="26.1" customHeight="1" x14ac:dyDescent="0.3">
      <c r="A9" s="1550" t="s">
        <v>750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'291-плов из окорочков'!H14+1</f>
        <v>208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468" t="s">
        <v>92</v>
      </c>
      <c r="D17" s="468" t="s">
        <v>94</v>
      </c>
      <c r="E17" s="468" t="s">
        <v>93</v>
      </c>
      <c r="F17" s="468" t="s">
        <v>23</v>
      </c>
      <c r="G17" s="468" t="s">
        <v>92</v>
      </c>
      <c r="H17" s="468" t="s">
        <v>94</v>
      </c>
      <c r="I17" s="468" t="s">
        <v>92</v>
      </c>
      <c r="J17" s="468" t="s">
        <v>94</v>
      </c>
    </row>
    <row r="18" spans="1:13" ht="9.6" customHeight="1" x14ac:dyDescent="0.25">
      <c r="A18" s="468">
        <v>1</v>
      </c>
      <c r="B18" s="470">
        <v>2</v>
      </c>
      <c r="C18" s="468">
        <v>3</v>
      </c>
      <c r="D18" s="470">
        <v>4</v>
      </c>
      <c r="E18" s="468">
        <v>5</v>
      </c>
      <c r="F18" s="470">
        <v>6</v>
      </c>
      <c r="G18" s="468">
        <v>7</v>
      </c>
      <c r="H18" s="470">
        <v>8</v>
      </c>
      <c r="I18" s="468">
        <v>9</v>
      </c>
      <c r="J18" s="470">
        <v>10</v>
      </c>
    </row>
    <row r="19" spans="1:13" s="10" customFormat="1" ht="14.1" customHeight="1" x14ac:dyDescent="0.25">
      <c r="A19" s="180">
        <v>1</v>
      </c>
      <c r="B19" s="20" t="s">
        <v>147</v>
      </c>
      <c r="C19" s="21">
        <v>0.106</v>
      </c>
      <c r="D19" s="21">
        <v>7.1999999999999995E-2</v>
      </c>
      <c r="E19" s="408">
        <f>цены!F9</f>
        <v>195</v>
      </c>
      <c r="F19" s="408">
        <f t="shared" ref="F19:F25" si="0">C19*E19</f>
        <v>20.67</v>
      </c>
      <c r="G19" s="97">
        <f t="shared" ref="G19:H25" si="1">C19*10</f>
        <v>1.06</v>
      </c>
      <c r="H19" s="21">
        <f t="shared" si="1"/>
        <v>0.72</v>
      </c>
      <c r="I19" s="21">
        <f t="shared" ref="I19:J25" si="2">C19*100</f>
        <v>10.6</v>
      </c>
      <c r="J19" s="21">
        <f t="shared" si="2"/>
        <v>7.2</v>
      </c>
      <c r="L19" s="10">
        <f>C19*1.47</f>
        <v>0.15581999999999999</v>
      </c>
      <c r="M19" s="10">
        <f>D19*1.47</f>
        <v>0.10584</v>
      </c>
    </row>
    <row r="20" spans="1:13" s="10" customFormat="1" ht="12" customHeight="1" x14ac:dyDescent="0.25">
      <c r="A20" s="180">
        <v>2</v>
      </c>
      <c r="B20" s="20" t="s">
        <v>74</v>
      </c>
      <c r="C20" s="21">
        <v>7.0000000000000001E-3</v>
      </c>
      <c r="D20" s="21">
        <v>7.0000000000000001E-3</v>
      </c>
      <c r="E20" s="408">
        <f>цены!F87</f>
        <v>120</v>
      </c>
      <c r="F20" s="408">
        <f t="shared" si="0"/>
        <v>0.84</v>
      </c>
      <c r="G20" s="97">
        <f t="shared" si="1"/>
        <v>7.0000000000000007E-2</v>
      </c>
      <c r="H20" s="21">
        <f t="shared" si="1"/>
        <v>7.0000000000000007E-2</v>
      </c>
      <c r="I20" s="21">
        <f t="shared" si="2"/>
        <v>0.7</v>
      </c>
      <c r="J20" s="21">
        <f t="shared" si="2"/>
        <v>0.7</v>
      </c>
      <c r="L20" s="10">
        <f t="shared" ref="L20:M25" si="3">C20*1.47</f>
        <v>1.0290000000000001E-2</v>
      </c>
      <c r="M20" s="10">
        <f t="shared" si="3"/>
        <v>1.0290000000000001E-2</v>
      </c>
    </row>
    <row r="21" spans="1:13" s="10" customFormat="1" ht="12" customHeight="1" x14ac:dyDescent="0.25">
      <c r="A21" s="180">
        <v>3</v>
      </c>
      <c r="B21" s="20" t="s">
        <v>48</v>
      </c>
      <c r="C21" s="21">
        <v>8.0000000000000002E-3</v>
      </c>
      <c r="D21" s="21">
        <v>7.0000000000000001E-3</v>
      </c>
      <c r="E21" s="408">
        <f>цены!F38</f>
        <v>50</v>
      </c>
      <c r="F21" s="408">
        <f t="shared" si="0"/>
        <v>0.4</v>
      </c>
      <c r="G21" s="97">
        <f t="shared" si="1"/>
        <v>0.08</v>
      </c>
      <c r="H21" s="21">
        <f t="shared" si="1"/>
        <v>7.0000000000000007E-2</v>
      </c>
      <c r="I21" s="21">
        <f t="shared" si="2"/>
        <v>0.8</v>
      </c>
      <c r="J21" s="21">
        <f t="shared" si="2"/>
        <v>0.7</v>
      </c>
      <c r="L21" s="10">
        <f t="shared" si="3"/>
        <v>1.176E-2</v>
      </c>
      <c r="M21" s="10">
        <f t="shared" si="3"/>
        <v>1.0290000000000001E-2</v>
      </c>
    </row>
    <row r="22" spans="1:13" s="10" customFormat="1" ht="12" customHeight="1" x14ac:dyDescent="0.25">
      <c r="A22" s="180">
        <v>4</v>
      </c>
      <c r="B22" s="20" t="s">
        <v>47</v>
      </c>
      <c r="C22" s="21">
        <v>0.01</v>
      </c>
      <c r="D22" s="21">
        <v>8.0000000000000002E-3</v>
      </c>
      <c r="E22" s="408">
        <f>цены!F44</f>
        <v>50</v>
      </c>
      <c r="F22" s="408">
        <f t="shared" si="0"/>
        <v>0.5</v>
      </c>
      <c r="G22" s="97">
        <f t="shared" si="1"/>
        <v>0.1</v>
      </c>
      <c r="H22" s="21">
        <f t="shared" si="1"/>
        <v>0.08</v>
      </c>
      <c r="I22" s="21">
        <f t="shared" si="2"/>
        <v>1</v>
      </c>
      <c r="J22" s="21">
        <f t="shared" si="2"/>
        <v>0.8</v>
      </c>
      <c r="L22" s="10">
        <f t="shared" si="3"/>
        <v>1.47E-2</v>
      </c>
      <c r="M22" s="10">
        <f t="shared" si="3"/>
        <v>1.176E-2</v>
      </c>
    </row>
    <row r="23" spans="1:13" s="10" customFormat="1" ht="12" customHeight="1" x14ac:dyDescent="0.25">
      <c r="A23" s="180">
        <v>5</v>
      </c>
      <c r="B23" s="20" t="s">
        <v>46</v>
      </c>
      <c r="C23" s="21">
        <v>5.0000000000000001E-3</v>
      </c>
      <c r="D23" s="21">
        <v>5.0000000000000001E-3</v>
      </c>
      <c r="E23" s="408">
        <f>цены!F113</f>
        <v>230</v>
      </c>
      <c r="F23" s="408">
        <f t="shared" si="0"/>
        <v>1.1499999999999999</v>
      </c>
      <c r="G23" s="97">
        <f t="shared" si="1"/>
        <v>0.05</v>
      </c>
      <c r="H23" s="21">
        <f t="shared" si="1"/>
        <v>0.05</v>
      </c>
      <c r="I23" s="21">
        <f t="shared" si="2"/>
        <v>0.5</v>
      </c>
      <c r="J23" s="21">
        <f t="shared" si="2"/>
        <v>0.5</v>
      </c>
      <c r="L23" s="10">
        <f t="shared" si="3"/>
        <v>7.3499999999999998E-3</v>
      </c>
      <c r="M23" s="10">
        <f t="shared" si="3"/>
        <v>7.3499999999999998E-3</v>
      </c>
    </row>
    <row r="24" spans="1:13" s="10" customFormat="1" ht="12" customHeight="1" x14ac:dyDescent="0.25">
      <c r="A24" s="180">
        <v>6</v>
      </c>
      <c r="B24" s="20" t="s">
        <v>307</v>
      </c>
      <c r="C24" s="21">
        <v>3.5000000000000003E-2</v>
      </c>
      <c r="D24" s="21">
        <v>3.5000000000000003E-2</v>
      </c>
      <c r="E24" s="408">
        <f>цены!F83</f>
        <v>98</v>
      </c>
      <c r="F24" s="408">
        <f t="shared" si="0"/>
        <v>3.43</v>
      </c>
      <c r="G24" s="97">
        <f t="shared" si="1"/>
        <v>0.35</v>
      </c>
      <c r="H24" s="21">
        <f t="shared" si="1"/>
        <v>0.35</v>
      </c>
      <c r="I24" s="21">
        <f t="shared" si="2"/>
        <v>3.5</v>
      </c>
      <c r="J24" s="21">
        <f t="shared" si="2"/>
        <v>3.5</v>
      </c>
      <c r="L24" s="10">
        <f t="shared" si="3"/>
        <v>5.1450000000000003E-2</v>
      </c>
      <c r="M24" s="10">
        <f t="shared" si="3"/>
        <v>5.1450000000000003E-2</v>
      </c>
    </row>
    <row r="25" spans="1:13" s="10" customFormat="1" ht="12" customHeight="1" x14ac:dyDescent="0.25">
      <c r="A25" s="180">
        <v>7</v>
      </c>
      <c r="B25" s="20" t="s">
        <v>33</v>
      </c>
      <c r="C25" s="21">
        <v>3.0000000000000001E-3</v>
      </c>
      <c r="D25" s="21">
        <v>3.0000000000000001E-3</v>
      </c>
      <c r="E25" s="408">
        <f>цены!F110</f>
        <v>24</v>
      </c>
      <c r="F25" s="408">
        <f t="shared" si="0"/>
        <v>7.0000000000000007E-2</v>
      </c>
      <c r="G25" s="97">
        <f t="shared" si="1"/>
        <v>0.03</v>
      </c>
      <c r="H25" s="21">
        <f t="shared" si="1"/>
        <v>0.03</v>
      </c>
      <c r="I25" s="21">
        <f t="shared" si="2"/>
        <v>0.3</v>
      </c>
      <c r="J25" s="21">
        <f t="shared" si="2"/>
        <v>0.3</v>
      </c>
      <c r="L25" s="10">
        <f t="shared" si="3"/>
        <v>4.4099999999999999E-3</v>
      </c>
      <c r="M25" s="10">
        <f t="shared" si="3"/>
        <v>4.4099999999999999E-3</v>
      </c>
    </row>
    <row r="26" spans="1:13" s="10" customFormat="1" ht="12" customHeight="1" x14ac:dyDescent="0.25">
      <c r="A26" s="98"/>
      <c r="B26" s="93" t="s">
        <v>148</v>
      </c>
      <c r="C26" s="114"/>
      <c r="D26" s="112">
        <v>0.05</v>
      </c>
      <c r="E26" s="95"/>
      <c r="F26" s="95">
        <f>SUM(F19:F25)</f>
        <v>27.06</v>
      </c>
      <c r="G26" s="99"/>
      <c r="H26" s="1028">
        <f>D26*10</f>
        <v>0.5</v>
      </c>
      <c r="I26" s="1028"/>
      <c r="J26" s="1028">
        <f>D26*100</f>
        <v>5</v>
      </c>
    </row>
    <row r="27" spans="1:13" s="10" customFormat="1" ht="25.35" customHeight="1" x14ac:dyDescent="0.25">
      <c r="A27" s="98"/>
      <c r="B27" s="93" t="s">
        <v>149</v>
      </c>
      <c r="C27" s="114"/>
      <c r="D27" s="112">
        <v>0.1</v>
      </c>
      <c r="E27" s="95"/>
      <c r="F27" s="95"/>
      <c r="G27" s="99"/>
      <c r="H27" s="1028">
        <f>D27*10</f>
        <v>1</v>
      </c>
      <c r="I27" s="1028"/>
      <c r="J27" s="1028">
        <f>D27*100</f>
        <v>10</v>
      </c>
    </row>
    <row r="28" spans="1:13" s="10" customFormat="1" ht="12" customHeight="1" x14ac:dyDescent="0.25">
      <c r="A28" s="98"/>
      <c r="B28" s="93" t="s">
        <v>100</v>
      </c>
      <c r="C28" s="112"/>
      <c r="D28" s="112">
        <v>0.15</v>
      </c>
      <c r="E28" s="95"/>
      <c r="F28" s="95">
        <f>F26</f>
        <v>27.06</v>
      </c>
      <c r="G28" s="99"/>
      <c r="H28" s="1028">
        <f>D28*10</f>
        <v>1.5</v>
      </c>
      <c r="I28" s="1028"/>
      <c r="J28" s="1028">
        <f>D28*100</f>
        <v>15</v>
      </c>
    </row>
    <row r="29" spans="1:13" s="10" customFormat="1" ht="27.6" customHeight="1" x14ac:dyDescent="0.25">
      <c r="A29" s="1536" t="s">
        <v>35</v>
      </c>
      <c r="B29" s="1536"/>
      <c r="C29" s="90"/>
      <c r="D29" s="90"/>
      <c r="E29" s="408"/>
      <c r="F29" s="408">
        <f>F28</f>
        <v>27.06</v>
      </c>
      <c r="G29" s="469"/>
      <c r="H29" s="469"/>
      <c r="I29" s="21"/>
      <c r="J29" s="408"/>
    </row>
    <row r="30" spans="1:13" s="10" customFormat="1" ht="25.35" customHeight="1" x14ac:dyDescent="0.25">
      <c r="A30" s="1536" t="s">
        <v>36</v>
      </c>
      <c r="B30" s="1536"/>
      <c r="C30" s="90">
        <v>150</v>
      </c>
      <c r="D30" s="90"/>
      <c r="E30" s="408"/>
      <c r="F30" s="408"/>
      <c r="G30" s="408"/>
      <c r="H30" s="408"/>
      <c r="I30" s="21"/>
      <c r="J30" s="17"/>
    </row>
    <row r="31" spans="1:13" s="10" customFormat="1" ht="25.35" customHeight="1" x14ac:dyDescent="0.25">
      <c r="A31" s="1537" t="s">
        <v>37</v>
      </c>
      <c r="B31" s="1538"/>
      <c r="C31" s="91">
        <v>150</v>
      </c>
      <c r="D31" s="92"/>
      <c r="E31" s="470"/>
      <c r="F31" s="470"/>
      <c r="G31" s="470"/>
      <c r="H31" s="470"/>
      <c r="I31" s="21"/>
      <c r="J31" s="17"/>
    </row>
    <row r="32" spans="1:13" s="10" customFormat="1" ht="15" customHeight="1" x14ac:dyDescent="0.25">
      <c r="A32" s="1539" t="s">
        <v>38</v>
      </c>
      <c r="B32" s="1540"/>
      <c r="C32" s="92">
        <f>C30/C31</f>
        <v>1</v>
      </c>
      <c r="D32" s="92"/>
      <c r="E32" s="470"/>
      <c r="F32" s="470"/>
      <c r="G32" s="470"/>
      <c r="H32" s="470"/>
      <c r="I32" s="21"/>
      <c r="J32" s="17"/>
    </row>
    <row r="33" spans="1:10" ht="16.350000000000001" customHeight="1" x14ac:dyDescent="0.25">
      <c r="A33" s="1541" t="s">
        <v>39</v>
      </c>
      <c r="B33" s="1542"/>
      <c r="C33" s="15" t="s">
        <v>40</v>
      </c>
      <c r="D33" s="102"/>
      <c r="E33" s="102" t="s">
        <v>40</v>
      </c>
      <c r="F33" s="16">
        <f>F29/C32</f>
        <v>27.06</v>
      </c>
      <c r="G33" s="16"/>
      <c r="H33" s="16"/>
      <c r="I33" s="102" t="s">
        <v>40</v>
      </c>
      <c r="J33" s="102" t="s">
        <v>40</v>
      </c>
    </row>
    <row r="34" spans="1:10" ht="23.1" customHeight="1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193"/>
      <c r="B35" s="1194" t="s">
        <v>49</v>
      </c>
      <c r="C35" s="1198"/>
      <c r="D35" s="1198"/>
      <c r="E35" s="1198"/>
      <c r="F35" s="1198"/>
      <c r="G35" s="1193"/>
      <c r="H35" s="1557">
        <f>'1-бутерброд с маслом'!$H$28</f>
        <v>0</v>
      </c>
      <c r="I35" s="1557"/>
      <c r="J35" s="1557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545" t="s">
        <v>327</v>
      </c>
      <c r="B37" s="1545"/>
      <c r="C37" s="1546" t="s">
        <v>328</v>
      </c>
      <c r="D37" s="1546"/>
      <c r="E37" s="1546"/>
      <c r="F37" s="1546"/>
      <c r="G37" s="106"/>
      <c r="H37" s="1531"/>
      <c r="I37" s="1531"/>
      <c r="J37" s="1531"/>
    </row>
    <row r="38" spans="1:10" x14ac:dyDescent="0.25">
      <c r="A38" s="1193"/>
      <c r="B38" s="1193"/>
      <c r="C38" s="1546"/>
      <c r="D38" s="1546"/>
      <c r="E38" s="1546"/>
      <c r="F38" s="1546"/>
      <c r="G38" s="1193"/>
      <c r="H38" s="1531" t="s">
        <v>329</v>
      </c>
      <c r="I38" s="1531"/>
      <c r="J38" s="1531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</sheetData>
  <mergeCells count="28">
    <mergeCell ref="H35:J35"/>
    <mergeCell ref="A13:G13"/>
    <mergeCell ref="A30:B30"/>
    <mergeCell ref="A31:B31"/>
    <mergeCell ref="A32:B32"/>
    <mergeCell ref="A33:B33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7:B37"/>
    <mergeCell ref="C37:F38"/>
    <mergeCell ref="H37:J37"/>
    <mergeCell ref="H38:J38"/>
    <mergeCell ref="H5:I5"/>
    <mergeCell ref="A6:G6"/>
    <mergeCell ref="A7:I7"/>
    <mergeCell ref="A29:B29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42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2.4414062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1093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209)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292</v>
      </c>
    </row>
    <row r="8" spans="1:10" s="2" customFormat="1" ht="9.6" customHeight="1" x14ac:dyDescent="0.25">
      <c r="A8" s="242"/>
      <c r="B8" s="242"/>
      <c r="C8" s="242"/>
      <c r="D8" s="242"/>
      <c r="E8" s="242"/>
      <c r="F8" s="242"/>
      <c r="G8" s="242"/>
      <c r="H8" s="242"/>
      <c r="I8" s="242"/>
      <c r="J8" s="109"/>
    </row>
    <row r="9" spans="1:10" s="2" customFormat="1" ht="26.1" customHeight="1" x14ac:dyDescent="0.3">
      <c r="A9" s="1550" t="s">
        <v>684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'291-плов из курицы'!H14+1</f>
        <v>209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39" t="s">
        <v>92</v>
      </c>
      <c r="D17" s="239" t="s">
        <v>94</v>
      </c>
      <c r="E17" s="239" t="s">
        <v>93</v>
      </c>
      <c r="F17" s="239" t="s">
        <v>23</v>
      </c>
      <c r="G17" s="239" t="s">
        <v>92</v>
      </c>
      <c r="H17" s="239" t="s">
        <v>94</v>
      </c>
      <c r="I17" s="239" t="s">
        <v>92</v>
      </c>
      <c r="J17" s="239" t="s">
        <v>94</v>
      </c>
    </row>
    <row r="18" spans="1:10" ht="9.6" customHeight="1" x14ac:dyDescent="0.25">
      <c r="A18" s="239">
        <v>1</v>
      </c>
      <c r="B18" s="241">
        <v>2</v>
      </c>
      <c r="C18" s="239">
        <v>3</v>
      </c>
      <c r="D18" s="241">
        <v>4</v>
      </c>
      <c r="E18" s="239">
        <v>5</v>
      </c>
      <c r="F18" s="241">
        <v>6</v>
      </c>
      <c r="G18" s="239">
        <v>7</v>
      </c>
      <c r="H18" s="241">
        <v>8</v>
      </c>
      <c r="I18" s="239">
        <v>9</v>
      </c>
      <c r="J18" s="241">
        <v>10</v>
      </c>
    </row>
    <row r="19" spans="1:10" s="10" customFormat="1" ht="13.2" customHeight="1" x14ac:dyDescent="0.25">
      <c r="A19" s="180">
        <v>1</v>
      </c>
      <c r="B19" s="20" t="s">
        <v>679</v>
      </c>
      <c r="C19" s="21">
        <v>7.9000000000000001E-2</v>
      </c>
      <c r="D19" s="21">
        <v>7.0999999999999994E-2</v>
      </c>
      <c r="E19" s="13">
        <f>цены!F8</f>
        <v>193</v>
      </c>
      <c r="F19" s="13">
        <f>C19*E19</f>
        <v>15.25</v>
      </c>
      <c r="G19" s="97">
        <f t="shared" ref="G19:H28" si="0">C19*10</f>
        <v>0.79</v>
      </c>
      <c r="H19" s="21">
        <f t="shared" si="0"/>
        <v>0.71</v>
      </c>
      <c r="I19" s="21">
        <f t="shared" ref="I19:J28" si="1">C19*100</f>
        <v>7.9</v>
      </c>
      <c r="J19" s="21">
        <f t="shared" si="1"/>
        <v>7.1</v>
      </c>
    </row>
    <row r="20" spans="1:10" s="10" customFormat="1" ht="14.1" customHeight="1" x14ac:dyDescent="0.25">
      <c r="A20" s="180">
        <v>2</v>
      </c>
      <c r="B20" s="20" t="s">
        <v>47</v>
      </c>
      <c r="C20" s="21">
        <v>2.9000000000000001E-2</v>
      </c>
      <c r="D20" s="21">
        <v>2.3E-2</v>
      </c>
      <c r="E20" s="13">
        <f>цены!F44</f>
        <v>50</v>
      </c>
      <c r="F20" s="13">
        <f>C20*E20</f>
        <v>1.45</v>
      </c>
      <c r="G20" s="97">
        <f t="shared" si="0"/>
        <v>0.28999999999999998</v>
      </c>
      <c r="H20" s="21">
        <f t="shared" si="0"/>
        <v>0.23</v>
      </c>
      <c r="I20" s="21">
        <f t="shared" si="1"/>
        <v>2.9</v>
      </c>
      <c r="J20" s="21">
        <f t="shared" si="1"/>
        <v>2.2999999999999998</v>
      </c>
    </row>
    <row r="21" spans="1:10" s="10" customFormat="1" ht="12" customHeight="1" x14ac:dyDescent="0.25">
      <c r="A21" s="180">
        <v>3</v>
      </c>
      <c r="B21" s="20" t="s">
        <v>48</v>
      </c>
      <c r="C21" s="111">
        <v>1.2E-2</v>
      </c>
      <c r="D21" s="111">
        <v>0.01</v>
      </c>
      <c r="E21" s="13">
        <f>цены!F38</f>
        <v>50</v>
      </c>
      <c r="F21" s="13">
        <f>C21*E21</f>
        <v>0.6</v>
      </c>
      <c r="G21" s="97">
        <f t="shared" si="0"/>
        <v>0.12</v>
      </c>
      <c r="H21" s="21">
        <f t="shared" si="0"/>
        <v>0.1</v>
      </c>
      <c r="I21" s="21">
        <f t="shared" si="1"/>
        <v>1.2</v>
      </c>
      <c r="J21" s="21">
        <f t="shared" si="1"/>
        <v>1</v>
      </c>
    </row>
    <row r="22" spans="1:10" s="10" customFormat="1" ht="12" customHeight="1" x14ac:dyDescent="0.25">
      <c r="A22" s="180">
        <v>4</v>
      </c>
      <c r="B22" s="20" t="s">
        <v>74</v>
      </c>
      <c r="C22" s="111">
        <v>6.0000000000000001E-3</v>
      </c>
      <c r="D22" s="111">
        <v>6.0000000000000001E-3</v>
      </c>
      <c r="E22" s="13">
        <f>цены!F87</f>
        <v>120</v>
      </c>
      <c r="F22" s="13">
        <f t="shared" ref="F22:F28" si="2">C22*E22</f>
        <v>0.72</v>
      </c>
      <c r="G22" s="97">
        <f t="shared" si="0"/>
        <v>0.06</v>
      </c>
      <c r="H22" s="21">
        <f t="shared" si="0"/>
        <v>0.06</v>
      </c>
      <c r="I22" s="21">
        <f t="shared" si="1"/>
        <v>0.6</v>
      </c>
      <c r="J22" s="21">
        <f t="shared" si="1"/>
        <v>0.6</v>
      </c>
    </row>
    <row r="23" spans="1:10" s="10" customFormat="1" ht="12" customHeight="1" x14ac:dyDescent="0.25">
      <c r="A23" s="180">
        <v>5</v>
      </c>
      <c r="B23" s="20" t="s">
        <v>447</v>
      </c>
      <c r="C23" s="111">
        <v>8.0000000000000002E-3</v>
      </c>
      <c r="D23" s="111">
        <v>5.0000000000000001E-3</v>
      </c>
      <c r="E23" s="13">
        <f>цены!F128</f>
        <v>126</v>
      </c>
      <c r="F23" s="13">
        <f t="shared" si="2"/>
        <v>1.01</v>
      </c>
      <c r="G23" s="97">
        <f t="shared" si="0"/>
        <v>0.08</v>
      </c>
      <c r="H23" s="21">
        <f t="shared" si="0"/>
        <v>0.05</v>
      </c>
      <c r="I23" s="21">
        <f t="shared" si="1"/>
        <v>0.8</v>
      </c>
      <c r="J23" s="21">
        <f t="shared" si="1"/>
        <v>0.5</v>
      </c>
    </row>
    <row r="24" spans="1:10" s="10" customFormat="1" ht="12" customHeight="1" x14ac:dyDescent="0.25">
      <c r="A24" s="180">
        <v>6</v>
      </c>
      <c r="B24" s="20" t="s">
        <v>50</v>
      </c>
      <c r="C24" s="111">
        <v>6.7000000000000004E-2</v>
      </c>
      <c r="D24" s="111">
        <v>0.05</v>
      </c>
      <c r="E24" s="13">
        <f>цены!F35</f>
        <v>50</v>
      </c>
      <c r="F24" s="13">
        <f t="shared" si="2"/>
        <v>3.35</v>
      </c>
      <c r="G24" s="97">
        <f t="shared" si="0"/>
        <v>0.67</v>
      </c>
      <c r="H24" s="21">
        <f t="shared" si="0"/>
        <v>0.5</v>
      </c>
      <c r="I24" s="21">
        <f t="shared" si="1"/>
        <v>6.7</v>
      </c>
      <c r="J24" s="21">
        <f t="shared" si="1"/>
        <v>5</v>
      </c>
    </row>
    <row r="25" spans="1:10" s="10" customFormat="1" ht="12" customHeight="1" x14ac:dyDescent="0.25">
      <c r="A25" s="180">
        <v>7</v>
      </c>
      <c r="B25" s="20" t="s">
        <v>124</v>
      </c>
      <c r="C25" s="111">
        <v>3.0000000000000001E-3</v>
      </c>
      <c r="D25" s="111">
        <v>3.0000000000000001E-3</v>
      </c>
      <c r="E25" s="13">
        <f>цены!F110</f>
        <v>24</v>
      </c>
      <c r="F25" s="13">
        <f t="shared" si="2"/>
        <v>7.0000000000000007E-2</v>
      </c>
      <c r="G25" s="97">
        <f t="shared" si="0"/>
        <v>0.03</v>
      </c>
      <c r="H25" s="21">
        <f t="shared" si="0"/>
        <v>0.03</v>
      </c>
      <c r="I25" s="21">
        <f t="shared" si="1"/>
        <v>0.3</v>
      </c>
      <c r="J25" s="21">
        <f t="shared" si="1"/>
        <v>0.3</v>
      </c>
    </row>
    <row r="26" spans="1:10" s="10" customFormat="1" ht="12" customHeight="1" x14ac:dyDescent="0.25">
      <c r="A26" s="180">
        <v>8</v>
      </c>
      <c r="B26" s="20" t="s">
        <v>84</v>
      </c>
      <c r="C26" s="125">
        <v>2.0000000000000002E-5</v>
      </c>
      <c r="D26" s="125">
        <v>2.0000000000000002E-5</v>
      </c>
      <c r="E26" s="13">
        <f>цены!F100</f>
        <v>1000</v>
      </c>
      <c r="F26" s="13">
        <f t="shared" si="2"/>
        <v>0.02</v>
      </c>
      <c r="G26" s="97">
        <f t="shared" si="0"/>
        <v>0</v>
      </c>
      <c r="H26" s="21">
        <f t="shared" si="0"/>
        <v>0</v>
      </c>
      <c r="I26" s="21">
        <f t="shared" si="1"/>
        <v>2E-3</v>
      </c>
      <c r="J26" s="21">
        <f t="shared" si="1"/>
        <v>2E-3</v>
      </c>
    </row>
    <row r="27" spans="1:10" s="10" customFormat="1" ht="12" customHeight="1" x14ac:dyDescent="0.25">
      <c r="A27" s="180">
        <v>9</v>
      </c>
      <c r="B27" s="20" t="s">
        <v>337</v>
      </c>
      <c r="C27" s="125">
        <v>2E-3</v>
      </c>
      <c r="D27" s="125">
        <v>2E-3</v>
      </c>
      <c r="E27" s="13">
        <f>цены!F39</f>
        <v>300</v>
      </c>
      <c r="F27" s="13">
        <f t="shared" si="2"/>
        <v>0.6</v>
      </c>
      <c r="G27" s="97">
        <f t="shared" si="0"/>
        <v>0.02</v>
      </c>
      <c r="H27" s="21">
        <f t="shared" si="0"/>
        <v>0.02</v>
      </c>
      <c r="I27" s="21">
        <f t="shared" si="1"/>
        <v>0.2</v>
      </c>
      <c r="J27" s="21">
        <f t="shared" si="1"/>
        <v>0.2</v>
      </c>
    </row>
    <row r="28" spans="1:10" s="10" customFormat="1" ht="12" customHeight="1" x14ac:dyDescent="0.25">
      <c r="A28" s="180">
        <v>10</v>
      </c>
      <c r="B28" s="20" t="s">
        <v>222</v>
      </c>
      <c r="C28" s="125">
        <v>3.0000000000000001E-3</v>
      </c>
      <c r="D28" s="125">
        <v>2E-3</v>
      </c>
      <c r="E28" s="13">
        <f>цены!F47</f>
        <v>300</v>
      </c>
      <c r="F28" s="13">
        <f t="shared" si="2"/>
        <v>0.9</v>
      </c>
      <c r="G28" s="97">
        <f t="shared" si="0"/>
        <v>0.03</v>
      </c>
      <c r="H28" s="21">
        <f t="shared" si="0"/>
        <v>0.02</v>
      </c>
      <c r="I28" s="21">
        <f t="shared" si="1"/>
        <v>0.3</v>
      </c>
      <c r="J28" s="21">
        <f t="shared" si="1"/>
        <v>0.2</v>
      </c>
    </row>
    <row r="29" spans="1:10" s="10" customFormat="1" ht="22.5" customHeight="1" x14ac:dyDescent="0.25">
      <c r="A29" s="98"/>
      <c r="B29" s="93" t="s">
        <v>448</v>
      </c>
      <c r="C29" s="112"/>
      <c r="D29" s="1028">
        <v>100</v>
      </c>
      <c r="E29" s="95"/>
      <c r="F29" s="95"/>
      <c r="G29" s="99"/>
      <c r="H29" s="1028">
        <f>D29*10</f>
        <v>1000</v>
      </c>
      <c r="I29" s="100"/>
      <c r="J29" s="1028">
        <f>D29*100</f>
        <v>10000</v>
      </c>
    </row>
    <row r="30" spans="1:10" s="10" customFormat="1" ht="12" customHeight="1" x14ac:dyDescent="0.25">
      <c r="A30" s="129">
        <v>11</v>
      </c>
      <c r="B30" s="123" t="s">
        <v>360</v>
      </c>
      <c r="C30" s="130">
        <v>0.05</v>
      </c>
      <c r="D30" s="130">
        <v>0.05</v>
      </c>
      <c r="E30" s="1030">
        <f>'331-соус с томатом'!F30</f>
        <v>84.41</v>
      </c>
      <c r="F30" s="13">
        <f>C30*E30</f>
        <v>4.22</v>
      </c>
      <c r="G30" s="97">
        <f>C30*10</f>
        <v>0.5</v>
      </c>
      <c r="H30" s="21">
        <f>D30*10</f>
        <v>0.5</v>
      </c>
      <c r="I30" s="21">
        <f>C30*100</f>
        <v>5</v>
      </c>
      <c r="J30" s="21">
        <f>D30*100</f>
        <v>5</v>
      </c>
    </row>
    <row r="31" spans="1:10" s="10" customFormat="1" ht="12" customHeight="1" x14ac:dyDescent="0.25">
      <c r="A31" s="98"/>
      <c r="B31" s="93" t="s">
        <v>100</v>
      </c>
      <c r="C31" s="112"/>
      <c r="D31" s="1028">
        <v>150</v>
      </c>
      <c r="E31" s="95"/>
      <c r="F31" s="95">
        <f>SUM(F19:F30)</f>
        <v>28.19</v>
      </c>
      <c r="G31" s="99"/>
      <c r="H31" s="1028">
        <f>D31*10</f>
        <v>1500</v>
      </c>
      <c r="I31" s="100"/>
      <c r="J31" s="1028">
        <f>D31*100</f>
        <v>15000</v>
      </c>
    </row>
    <row r="32" spans="1:10" s="10" customFormat="1" ht="18.600000000000001" customHeight="1" x14ac:dyDescent="0.25">
      <c r="A32" s="1536" t="s">
        <v>35</v>
      </c>
      <c r="B32" s="1536"/>
      <c r="C32" s="90"/>
      <c r="D32" s="90"/>
      <c r="E32" s="13"/>
      <c r="F32" s="13">
        <f>F31</f>
        <v>28.19</v>
      </c>
      <c r="G32" s="240"/>
      <c r="H32" s="240"/>
      <c r="I32" s="21"/>
      <c r="J32" s="13"/>
    </row>
    <row r="33" spans="1:10" s="10" customFormat="1" ht="25.35" customHeight="1" x14ac:dyDescent="0.25">
      <c r="A33" s="1536" t="s">
        <v>36</v>
      </c>
      <c r="B33" s="1536"/>
      <c r="C33" s="90">
        <v>150</v>
      </c>
      <c r="D33" s="90"/>
      <c r="E33" s="13"/>
      <c r="F33" s="13"/>
      <c r="G33" s="13"/>
      <c r="H33" s="13"/>
      <c r="I33" s="21"/>
      <c r="J33" s="17"/>
    </row>
    <row r="34" spans="1:10" s="10" customFormat="1" ht="25.35" customHeight="1" x14ac:dyDescent="0.25">
      <c r="A34" s="1537" t="s">
        <v>37</v>
      </c>
      <c r="B34" s="1538"/>
      <c r="C34" s="91">
        <v>150</v>
      </c>
      <c r="D34" s="92"/>
      <c r="E34" s="241"/>
      <c r="F34" s="241"/>
      <c r="G34" s="241"/>
      <c r="H34" s="241"/>
      <c r="I34" s="21"/>
      <c r="J34" s="17"/>
    </row>
    <row r="35" spans="1:10" s="10" customFormat="1" ht="15" customHeight="1" x14ac:dyDescent="0.25">
      <c r="A35" s="1539" t="s">
        <v>38</v>
      </c>
      <c r="B35" s="1540"/>
      <c r="C35" s="92">
        <f>C33/C34</f>
        <v>1</v>
      </c>
      <c r="D35" s="92"/>
      <c r="E35" s="241"/>
      <c r="F35" s="241"/>
      <c r="G35" s="241"/>
      <c r="H35" s="241"/>
      <c r="I35" s="21"/>
      <c r="J35" s="17"/>
    </row>
    <row r="36" spans="1:10" ht="16.350000000000001" customHeight="1" x14ac:dyDescent="0.25">
      <c r="A36" s="1541" t="s">
        <v>39</v>
      </c>
      <c r="B36" s="1542"/>
      <c r="C36" s="15" t="s">
        <v>40</v>
      </c>
      <c r="D36" s="102"/>
      <c r="E36" s="102" t="s">
        <v>40</v>
      </c>
      <c r="F36" s="16">
        <f>F32/C35</f>
        <v>28.19</v>
      </c>
      <c r="G36" s="16"/>
      <c r="H36" s="16"/>
      <c r="I36" s="102" t="s">
        <v>40</v>
      </c>
      <c r="J36" s="102" t="s">
        <v>40</v>
      </c>
    </row>
    <row r="37" spans="1:10" ht="23.1" customHeight="1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193"/>
      <c r="B38" s="1194" t="s">
        <v>49</v>
      </c>
      <c r="C38" s="1198"/>
      <c r="D38" s="1198"/>
      <c r="E38" s="1198"/>
      <c r="F38" s="1198"/>
      <c r="G38" s="1193"/>
      <c r="H38" s="1557">
        <f>'1-бутерброд с маслом'!$H$28</f>
        <v>0</v>
      </c>
      <c r="I38" s="1557"/>
      <c r="J38" s="1557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ht="13.95" customHeight="1" x14ac:dyDescent="0.25">
      <c r="A40" s="1545" t="s">
        <v>327</v>
      </c>
      <c r="B40" s="1545"/>
      <c r="C40" s="1546" t="s">
        <v>328</v>
      </c>
      <c r="D40" s="1546"/>
      <c r="E40" s="1546"/>
      <c r="F40" s="1546"/>
      <c r="G40" s="106"/>
      <c r="H40" s="1531"/>
      <c r="I40" s="1531"/>
      <c r="J40" s="1531"/>
    </row>
    <row r="41" spans="1:10" x14ac:dyDescent="0.25">
      <c r="A41" s="1193"/>
      <c r="B41" s="1193"/>
      <c r="C41" s="1546"/>
      <c r="D41" s="1546"/>
      <c r="E41" s="1546"/>
      <c r="F41" s="1546"/>
      <c r="G41" s="1193"/>
      <c r="H41" s="1531" t="s">
        <v>329</v>
      </c>
      <c r="I41" s="1531"/>
      <c r="J41" s="1531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</sheetData>
  <mergeCells count="28">
    <mergeCell ref="H38:J38"/>
    <mergeCell ref="A13:G13"/>
    <mergeCell ref="A33:B33"/>
    <mergeCell ref="A34:B34"/>
    <mergeCell ref="A35:B35"/>
    <mergeCell ref="A36:B36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0:B40"/>
    <mergeCell ref="C40:F41"/>
    <mergeCell ref="H40:J40"/>
    <mergeCell ref="H41:J41"/>
    <mergeCell ref="H5:I5"/>
    <mergeCell ref="A6:G6"/>
    <mergeCell ref="A7:I7"/>
    <mergeCell ref="A32:B32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42"/>
  <sheetViews>
    <sheetView view="pageBreakPreview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467" customWidth="1"/>
    <col min="2" max="2" width="22.44140625" style="467" customWidth="1"/>
    <col min="3" max="7" width="7.5546875" style="467" customWidth="1"/>
    <col min="8" max="8" width="8.88671875" style="467" customWidth="1"/>
    <col min="9" max="9" width="7.5546875" style="467" customWidth="1"/>
    <col min="10" max="10" width="9" style="467" customWidth="1"/>
    <col min="11" max="11" width="4" style="467" customWidth="1"/>
    <col min="12" max="16384" width="8.88671875" style="46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210)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292</v>
      </c>
    </row>
    <row r="8" spans="1:10" s="2" customFormat="1" ht="9.6" customHeight="1" x14ac:dyDescent="0.25">
      <c r="A8" s="471"/>
      <c r="B8" s="471"/>
      <c r="C8" s="471"/>
      <c r="D8" s="471"/>
      <c r="E8" s="471"/>
      <c r="F8" s="471"/>
      <c r="G8" s="471"/>
      <c r="H8" s="471"/>
      <c r="I8" s="471"/>
      <c r="J8" s="109"/>
    </row>
    <row r="9" spans="1:10" s="2" customFormat="1" ht="26.1" customHeight="1" x14ac:dyDescent="0.3">
      <c r="A9" s="1550" t="s">
        <v>764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'292 окорочка тушенная в соусе'!H14+1</f>
        <v>210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468" t="s">
        <v>92</v>
      </c>
      <c r="D17" s="468" t="s">
        <v>94</v>
      </c>
      <c r="E17" s="468" t="s">
        <v>93</v>
      </c>
      <c r="F17" s="468" t="s">
        <v>23</v>
      </c>
      <c r="G17" s="468" t="s">
        <v>92</v>
      </c>
      <c r="H17" s="468" t="s">
        <v>94</v>
      </c>
      <c r="I17" s="468" t="s">
        <v>92</v>
      </c>
      <c r="J17" s="468" t="s">
        <v>94</v>
      </c>
    </row>
    <row r="18" spans="1:10" ht="9.6" customHeight="1" x14ac:dyDescent="0.25">
      <c r="A18" s="468">
        <v>1</v>
      </c>
      <c r="B18" s="470">
        <v>2</v>
      </c>
      <c r="C18" s="468">
        <v>3</v>
      </c>
      <c r="D18" s="470">
        <v>4</v>
      </c>
      <c r="E18" s="468">
        <v>5</v>
      </c>
      <c r="F18" s="470">
        <v>6</v>
      </c>
      <c r="G18" s="468">
        <v>7</v>
      </c>
      <c r="H18" s="470">
        <v>8</v>
      </c>
      <c r="I18" s="468">
        <v>9</v>
      </c>
      <c r="J18" s="470">
        <v>10</v>
      </c>
    </row>
    <row r="19" spans="1:10" s="10" customFormat="1" ht="13.2" customHeight="1" x14ac:dyDescent="0.25">
      <c r="A19" s="180">
        <v>1</v>
      </c>
      <c r="B19" s="20" t="s">
        <v>147</v>
      </c>
      <c r="C19" s="21">
        <v>0.109</v>
      </c>
      <c r="D19" s="21">
        <v>7.4999999999999997E-2</v>
      </c>
      <c r="E19" s="408">
        <f>цены!F9</f>
        <v>195</v>
      </c>
      <c r="F19" s="408">
        <f>C19*E19</f>
        <v>21.26</v>
      </c>
      <c r="G19" s="97">
        <f t="shared" ref="G19:H28" si="0">C19*10</f>
        <v>1.0900000000000001</v>
      </c>
      <c r="H19" s="21">
        <f t="shared" si="0"/>
        <v>0.75</v>
      </c>
      <c r="I19" s="21">
        <f t="shared" ref="I19:J28" si="1">C19*100</f>
        <v>10.9</v>
      </c>
      <c r="J19" s="21">
        <f t="shared" si="1"/>
        <v>7.5</v>
      </c>
    </row>
    <row r="20" spans="1:10" s="10" customFormat="1" ht="14.1" customHeight="1" x14ac:dyDescent="0.25">
      <c r="A20" s="180">
        <v>2</v>
      </c>
      <c r="B20" s="20" t="s">
        <v>47</v>
      </c>
      <c r="C20" s="21">
        <v>2.9000000000000001E-2</v>
      </c>
      <c r="D20" s="21">
        <v>2.3E-2</v>
      </c>
      <c r="E20" s="408">
        <f>цены!F44</f>
        <v>50</v>
      </c>
      <c r="F20" s="408">
        <f>C20*E20</f>
        <v>1.45</v>
      </c>
      <c r="G20" s="97">
        <f t="shared" si="0"/>
        <v>0.28999999999999998</v>
      </c>
      <c r="H20" s="21">
        <f t="shared" si="0"/>
        <v>0.23</v>
      </c>
      <c r="I20" s="21">
        <f t="shared" si="1"/>
        <v>2.9</v>
      </c>
      <c r="J20" s="21">
        <f t="shared" si="1"/>
        <v>2.2999999999999998</v>
      </c>
    </row>
    <row r="21" spans="1:10" s="10" customFormat="1" ht="12" customHeight="1" x14ac:dyDescent="0.25">
      <c r="A21" s="180">
        <v>3</v>
      </c>
      <c r="B21" s="20" t="s">
        <v>48</v>
      </c>
      <c r="C21" s="111">
        <v>1.2E-2</v>
      </c>
      <c r="D21" s="111">
        <v>0.01</v>
      </c>
      <c r="E21" s="408">
        <f>цены!F38</f>
        <v>50</v>
      </c>
      <c r="F21" s="408">
        <f>C21*E21</f>
        <v>0.6</v>
      </c>
      <c r="G21" s="97">
        <f t="shared" si="0"/>
        <v>0.12</v>
      </c>
      <c r="H21" s="21">
        <f t="shared" si="0"/>
        <v>0.1</v>
      </c>
      <c r="I21" s="21">
        <f t="shared" si="1"/>
        <v>1.2</v>
      </c>
      <c r="J21" s="21">
        <f t="shared" si="1"/>
        <v>1</v>
      </c>
    </row>
    <row r="22" spans="1:10" s="10" customFormat="1" ht="12" customHeight="1" x14ac:dyDescent="0.25">
      <c r="A22" s="180">
        <v>4</v>
      </c>
      <c r="B22" s="20" t="s">
        <v>74</v>
      </c>
      <c r="C22" s="111">
        <v>6.0000000000000001E-3</v>
      </c>
      <c r="D22" s="111">
        <v>6.0000000000000001E-3</v>
      </c>
      <c r="E22" s="408">
        <f>цены!F87</f>
        <v>120</v>
      </c>
      <c r="F22" s="408">
        <f t="shared" ref="F22:F28" si="2">C22*E22</f>
        <v>0.72</v>
      </c>
      <c r="G22" s="97">
        <f t="shared" si="0"/>
        <v>0.06</v>
      </c>
      <c r="H22" s="21">
        <f t="shared" si="0"/>
        <v>0.06</v>
      </c>
      <c r="I22" s="21">
        <f t="shared" si="1"/>
        <v>0.6</v>
      </c>
      <c r="J22" s="21">
        <f t="shared" si="1"/>
        <v>0.6</v>
      </c>
    </row>
    <row r="23" spans="1:10" s="10" customFormat="1" ht="12" customHeight="1" x14ac:dyDescent="0.25">
      <c r="A23" s="180">
        <v>5</v>
      </c>
      <c r="B23" s="20" t="s">
        <v>447</v>
      </c>
      <c r="C23" s="111">
        <v>8.0000000000000002E-3</v>
      </c>
      <c r="D23" s="111">
        <v>5.0000000000000001E-3</v>
      </c>
      <c r="E23" s="408">
        <f>цены!F128</f>
        <v>126</v>
      </c>
      <c r="F23" s="408">
        <f t="shared" si="2"/>
        <v>1.01</v>
      </c>
      <c r="G23" s="97">
        <f t="shared" si="0"/>
        <v>0.08</v>
      </c>
      <c r="H23" s="21">
        <f t="shared" si="0"/>
        <v>0.05</v>
      </c>
      <c r="I23" s="21">
        <f t="shared" si="1"/>
        <v>0.8</v>
      </c>
      <c r="J23" s="21">
        <f t="shared" si="1"/>
        <v>0.5</v>
      </c>
    </row>
    <row r="24" spans="1:10" s="10" customFormat="1" ht="12" customHeight="1" x14ac:dyDescent="0.25">
      <c r="A24" s="180">
        <v>6</v>
      </c>
      <c r="B24" s="20" t="s">
        <v>50</v>
      </c>
      <c r="C24" s="111">
        <v>6.7000000000000004E-2</v>
      </c>
      <c r="D24" s="111">
        <v>0.05</v>
      </c>
      <c r="E24" s="408">
        <f>цены!F35</f>
        <v>50</v>
      </c>
      <c r="F24" s="408">
        <f t="shared" si="2"/>
        <v>3.35</v>
      </c>
      <c r="G24" s="97">
        <f t="shared" si="0"/>
        <v>0.67</v>
      </c>
      <c r="H24" s="21">
        <f t="shared" si="0"/>
        <v>0.5</v>
      </c>
      <c r="I24" s="21">
        <f t="shared" si="1"/>
        <v>6.7</v>
      </c>
      <c r="J24" s="21">
        <f t="shared" si="1"/>
        <v>5</v>
      </c>
    </row>
    <row r="25" spans="1:10" s="10" customFormat="1" ht="12" customHeight="1" x14ac:dyDescent="0.25">
      <c r="A25" s="180">
        <v>7</v>
      </c>
      <c r="B25" s="20" t="s">
        <v>124</v>
      </c>
      <c r="C25" s="111">
        <v>3.0000000000000001E-3</v>
      </c>
      <c r="D25" s="111">
        <v>3.0000000000000001E-3</v>
      </c>
      <c r="E25" s="408">
        <f>цены!F110</f>
        <v>24</v>
      </c>
      <c r="F25" s="408">
        <f t="shared" si="2"/>
        <v>7.0000000000000007E-2</v>
      </c>
      <c r="G25" s="97">
        <f t="shared" si="0"/>
        <v>0.03</v>
      </c>
      <c r="H25" s="21">
        <f t="shared" si="0"/>
        <v>0.03</v>
      </c>
      <c r="I25" s="21">
        <f t="shared" si="1"/>
        <v>0.3</v>
      </c>
      <c r="J25" s="21">
        <f t="shared" si="1"/>
        <v>0.3</v>
      </c>
    </row>
    <row r="26" spans="1:10" s="10" customFormat="1" ht="12" customHeight="1" x14ac:dyDescent="0.25">
      <c r="A26" s="180">
        <v>8</v>
      </c>
      <c r="B26" s="20" t="s">
        <v>84</v>
      </c>
      <c r="C26" s="125">
        <v>2.0000000000000002E-5</v>
      </c>
      <c r="D26" s="125">
        <v>2.0000000000000002E-5</v>
      </c>
      <c r="E26" s="408">
        <f>цены!F100</f>
        <v>1000</v>
      </c>
      <c r="F26" s="408">
        <f t="shared" si="2"/>
        <v>0.02</v>
      </c>
      <c r="G26" s="97">
        <f t="shared" si="0"/>
        <v>0</v>
      </c>
      <c r="H26" s="21">
        <f t="shared" si="0"/>
        <v>0</v>
      </c>
      <c r="I26" s="21">
        <f t="shared" si="1"/>
        <v>2E-3</v>
      </c>
      <c r="J26" s="21">
        <f t="shared" si="1"/>
        <v>2E-3</v>
      </c>
    </row>
    <row r="27" spans="1:10" s="10" customFormat="1" ht="12" customHeight="1" x14ac:dyDescent="0.25">
      <c r="A27" s="180">
        <v>9</v>
      </c>
      <c r="B27" s="20" t="s">
        <v>337</v>
      </c>
      <c r="C27" s="125">
        <v>2E-3</v>
      </c>
      <c r="D27" s="125">
        <v>2E-3</v>
      </c>
      <c r="E27" s="408">
        <f>цены!F39</f>
        <v>300</v>
      </c>
      <c r="F27" s="408">
        <f t="shared" si="2"/>
        <v>0.6</v>
      </c>
      <c r="G27" s="97">
        <f t="shared" si="0"/>
        <v>0.02</v>
      </c>
      <c r="H27" s="21">
        <f t="shared" si="0"/>
        <v>0.02</v>
      </c>
      <c r="I27" s="21">
        <f t="shared" si="1"/>
        <v>0.2</v>
      </c>
      <c r="J27" s="21">
        <f t="shared" si="1"/>
        <v>0.2</v>
      </c>
    </row>
    <row r="28" spans="1:10" s="10" customFormat="1" ht="12" customHeight="1" x14ac:dyDescent="0.25">
      <c r="A28" s="180">
        <v>10</v>
      </c>
      <c r="B28" s="20" t="s">
        <v>222</v>
      </c>
      <c r="C28" s="125">
        <v>3.0000000000000001E-3</v>
      </c>
      <c r="D28" s="125">
        <v>2E-3</v>
      </c>
      <c r="E28" s="408">
        <f>цены!F47</f>
        <v>300</v>
      </c>
      <c r="F28" s="408">
        <f t="shared" si="2"/>
        <v>0.9</v>
      </c>
      <c r="G28" s="97">
        <f t="shared" si="0"/>
        <v>0.03</v>
      </c>
      <c r="H28" s="21">
        <f t="shared" si="0"/>
        <v>0.02</v>
      </c>
      <c r="I28" s="21">
        <f t="shared" si="1"/>
        <v>0.3</v>
      </c>
      <c r="J28" s="21">
        <f t="shared" si="1"/>
        <v>0.2</v>
      </c>
    </row>
    <row r="29" spans="1:10" s="10" customFormat="1" ht="22.5" customHeight="1" x14ac:dyDescent="0.25">
      <c r="A29" s="98"/>
      <c r="B29" s="93" t="s">
        <v>448</v>
      </c>
      <c r="C29" s="112"/>
      <c r="D29" s="1028">
        <v>100</v>
      </c>
      <c r="E29" s="95"/>
      <c r="F29" s="95"/>
      <c r="G29" s="99"/>
      <c r="H29" s="1028">
        <f>D29*10</f>
        <v>1000</v>
      </c>
      <c r="I29" s="1028"/>
      <c r="J29" s="1028">
        <f>D29*100</f>
        <v>10000</v>
      </c>
    </row>
    <row r="30" spans="1:10" s="10" customFormat="1" ht="12" customHeight="1" x14ac:dyDescent="0.25">
      <c r="A30" s="129">
        <v>11</v>
      </c>
      <c r="B30" s="123" t="s">
        <v>360</v>
      </c>
      <c r="C30" s="130">
        <v>0.05</v>
      </c>
      <c r="D30" s="130">
        <v>0.05</v>
      </c>
      <c r="E30" s="1030">
        <f>'331-соус с томатом'!F30</f>
        <v>84.41</v>
      </c>
      <c r="F30" s="408">
        <f>C30*E30</f>
        <v>4.22</v>
      </c>
      <c r="G30" s="97">
        <f>C30*10</f>
        <v>0.5</v>
      </c>
      <c r="H30" s="21">
        <f>D30*10</f>
        <v>0.5</v>
      </c>
      <c r="I30" s="21">
        <f>C30*100</f>
        <v>5</v>
      </c>
      <c r="J30" s="21">
        <f>D30*100</f>
        <v>5</v>
      </c>
    </row>
    <row r="31" spans="1:10" s="10" customFormat="1" ht="12" customHeight="1" x14ac:dyDescent="0.25">
      <c r="A31" s="98"/>
      <c r="B31" s="93" t="s">
        <v>100</v>
      </c>
      <c r="C31" s="112"/>
      <c r="D31" s="1028">
        <v>150</v>
      </c>
      <c r="E31" s="95"/>
      <c r="F31" s="95">
        <f>SUM(F19:F30)</f>
        <v>34.200000000000003</v>
      </c>
      <c r="G31" s="99"/>
      <c r="H31" s="1028">
        <f>D31*10</f>
        <v>1500</v>
      </c>
      <c r="I31" s="100"/>
      <c r="J31" s="1028">
        <f>D31*100</f>
        <v>15000</v>
      </c>
    </row>
    <row r="32" spans="1:10" s="10" customFormat="1" ht="27.6" customHeight="1" x14ac:dyDescent="0.25">
      <c r="A32" s="1536" t="s">
        <v>35</v>
      </c>
      <c r="B32" s="1536"/>
      <c r="C32" s="90"/>
      <c r="D32" s="90"/>
      <c r="E32" s="408"/>
      <c r="F32" s="408">
        <f>F31</f>
        <v>34.200000000000003</v>
      </c>
      <c r="G32" s="469"/>
      <c r="H32" s="469"/>
      <c r="I32" s="21"/>
      <c r="J32" s="408"/>
    </row>
    <row r="33" spans="1:10" s="10" customFormat="1" ht="25.35" customHeight="1" x14ac:dyDescent="0.25">
      <c r="A33" s="1536" t="s">
        <v>36</v>
      </c>
      <c r="B33" s="1536"/>
      <c r="C33" s="90">
        <v>150</v>
      </c>
      <c r="D33" s="90"/>
      <c r="E33" s="408"/>
      <c r="F33" s="408"/>
      <c r="G33" s="408"/>
      <c r="H33" s="408"/>
      <c r="I33" s="21"/>
      <c r="J33" s="17"/>
    </row>
    <row r="34" spans="1:10" s="10" customFormat="1" ht="25.35" customHeight="1" x14ac:dyDescent="0.25">
      <c r="A34" s="1537" t="s">
        <v>37</v>
      </c>
      <c r="B34" s="1538"/>
      <c r="C34" s="91">
        <v>150</v>
      </c>
      <c r="D34" s="92"/>
      <c r="E34" s="470"/>
      <c r="F34" s="470"/>
      <c r="G34" s="470"/>
      <c r="H34" s="470"/>
      <c r="I34" s="21"/>
      <c r="J34" s="17"/>
    </row>
    <row r="35" spans="1:10" s="10" customFormat="1" ht="15" customHeight="1" x14ac:dyDescent="0.25">
      <c r="A35" s="1539" t="s">
        <v>38</v>
      </c>
      <c r="B35" s="1540"/>
      <c r="C35" s="92">
        <f>C33/C34</f>
        <v>1</v>
      </c>
      <c r="D35" s="92"/>
      <c r="E35" s="470"/>
      <c r="F35" s="470"/>
      <c r="G35" s="470"/>
      <c r="H35" s="470"/>
      <c r="I35" s="21"/>
      <c r="J35" s="17"/>
    </row>
    <row r="36" spans="1:10" ht="16.350000000000001" customHeight="1" x14ac:dyDescent="0.25">
      <c r="A36" s="1541" t="s">
        <v>39</v>
      </c>
      <c r="B36" s="1542"/>
      <c r="C36" s="15" t="s">
        <v>40</v>
      </c>
      <c r="D36" s="102"/>
      <c r="E36" s="102" t="s">
        <v>40</v>
      </c>
      <c r="F36" s="16">
        <f>F32/C35</f>
        <v>34.200000000000003</v>
      </c>
      <c r="G36" s="16"/>
      <c r="H36" s="16"/>
      <c r="I36" s="102" t="s">
        <v>40</v>
      </c>
      <c r="J36" s="102" t="s">
        <v>40</v>
      </c>
    </row>
    <row r="37" spans="1:10" ht="23.1" customHeight="1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193"/>
      <c r="B38" s="1194" t="s">
        <v>49</v>
      </c>
      <c r="C38" s="1198"/>
      <c r="D38" s="1198"/>
      <c r="E38" s="1198"/>
      <c r="F38" s="1198"/>
      <c r="G38" s="1193"/>
      <c r="H38" s="1557">
        <f>'1-бутерброд с маслом'!$H$28</f>
        <v>0</v>
      </c>
      <c r="I38" s="1557"/>
      <c r="J38" s="1557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ht="13.95" customHeight="1" x14ac:dyDescent="0.25">
      <c r="A40" s="1545" t="s">
        <v>327</v>
      </c>
      <c r="B40" s="1545"/>
      <c r="C40" s="1546" t="s">
        <v>328</v>
      </c>
      <c r="D40" s="1546"/>
      <c r="E40" s="1546"/>
      <c r="F40" s="1546"/>
      <c r="G40" s="106"/>
      <c r="H40" s="1531"/>
      <c r="I40" s="1531"/>
      <c r="J40" s="1531"/>
    </row>
    <row r="41" spans="1:10" x14ac:dyDescent="0.25">
      <c r="A41" s="1193"/>
      <c r="B41" s="1193"/>
      <c r="C41" s="1546"/>
      <c r="D41" s="1546"/>
      <c r="E41" s="1546"/>
      <c r="F41" s="1546"/>
      <c r="G41" s="1193"/>
      <c r="H41" s="1531" t="s">
        <v>329</v>
      </c>
      <c r="I41" s="1531"/>
      <c r="J41" s="1531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</sheetData>
  <mergeCells count="28">
    <mergeCell ref="H38:J38"/>
    <mergeCell ref="A13:G13"/>
    <mergeCell ref="A33:B33"/>
    <mergeCell ref="A34:B34"/>
    <mergeCell ref="A35:B35"/>
    <mergeCell ref="A36:B36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0:B40"/>
    <mergeCell ref="C40:F41"/>
    <mergeCell ref="H40:J40"/>
    <mergeCell ref="H41:J41"/>
    <mergeCell ref="H5:I5"/>
    <mergeCell ref="A6:G6"/>
    <mergeCell ref="A7:I7"/>
    <mergeCell ref="A32:B32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40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2.4414062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211)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293</v>
      </c>
    </row>
    <row r="8" spans="1:10" s="2" customFormat="1" ht="9.6" customHeight="1" x14ac:dyDescent="0.25">
      <c r="A8" s="242"/>
      <c r="B8" s="242"/>
      <c r="C8" s="242"/>
      <c r="D8" s="242"/>
      <c r="E8" s="242"/>
      <c r="F8" s="242"/>
      <c r="G8" s="242"/>
      <c r="H8" s="242"/>
      <c r="I8" s="242"/>
      <c r="J8" s="109"/>
    </row>
    <row r="9" spans="1:10" s="2" customFormat="1" ht="26.1" customHeight="1" x14ac:dyDescent="0.3">
      <c r="A9" s="1550" t="s">
        <v>449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'292 птица тушенная в соусе'!H14+1</f>
        <v>211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39" t="s">
        <v>92</v>
      </c>
      <c r="D17" s="239" t="s">
        <v>94</v>
      </c>
      <c r="E17" s="239" t="s">
        <v>93</v>
      </c>
      <c r="F17" s="239" t="s">
        <v>23</v>
      </c>
      <c r="G17" s="239" t="s">
        <v>92</v>
      </c>
      <c r="H17" s="239" t="s">
        <v>94</v>
      </c>
      <c r="I17" s="239" t="s">
        <v>92</v>
      </c>
      <c r="J17" s="239" t="s">
        <v>94</v>
      </c>
    </row>
    <row r="18" spans="1:10" ht="9.6" customHeight="1" x14ac:dyDescent="0.25">
      <c r="A18" s="239">
        <v>1</v>
      </c>
      <c r="B18" s="241">
        <v>2</v>
      </c>
      <c r="C18" s="239">
        <v>3</v>
      </c>
      <c r="D18" s="241">
        <v>4</v>
      </c>
      <c r="E18" s="239">
        <v>5</v>
      </c>
      <c r="F18" s="241">
        <v>6</v>
      </c>
      <c r="G18" s="239">
        <v>7</v>
      </c>
      <c r="H18" s="241">
        <v>8</v>
      </c>
      <c r="I18" s="239">
        <v>9</v>
      </c>
      <c r="J18" s="241">
        <v>10</v>
      </c>
    </row>
    <row r="19" spans="1:10" s="10" customFormat="1" ht="14.4" customHeight="1" x14ac:dyDescent="0.25">
      <c r="A19" s="180">
        <v>1</v>
      </c>
      <c r="B19" s="20" t="s">
        <v>147</v>
      </c>
      <c r="C19" s="21">
        <v>0.109</v>
      </c>
      <c r="D19" s="21">
        <v>7.4999999999999997E-2</v>
      </c>
      <c r="E19" s="13">
        <f>цены!F9</f>
        <v>195</v>
      </c>
      <c r="F19" s="13">
        <f t="shared" ref="F19:F25" si="0">C19*E19</f>
        <v>21.26</v>
      </c>
      <c r="G19" s="97">
        <f t="shared" ref="G19:H25" si="1">C19*10</f>
        <v>1.0900000000000001</v>
      </c>
      <c r="H19" s="21">
        <f t="shared" si="1"/>
        <v>0.75</v>
      </c>
      <c r="I19" s="21">
        <f t="shared" ref="I19:J25" si="2">C19*100</f>
        <v>10.9</v>
      </c>
      <c r="J19" s="21">
        <f t="shared" si="2"/>
        <v>7.5</v>
      </c>
    </row>
    <row r="20" spans="1:10" s="10" customFormat="1" ht="14.1" customHeight="1" x14ac:dyDescent="0.25">
      <c r="A20" s="180">
        <v>2</v>
      </c>
      <c r="B20" s="20" t="s">
        <v>51</v>
      </c>
      <c r="C20" s="21">
        <v>2.9000000000000001E-2</v>
      </c>
      <c r="D20" s="21">
        <v>2.3E-2</v>
      </c>
      <c r="E20" s="13">
        <f>цены!F24</f>
        <v>234</v>
      </c>
      <c r="F20" s="13">
        <f t="shared" si="0"/>
        <v>6.79</v>
      </c>
      <c r="G20" s="97">
        <f t="shared" si="1"/>
        <v>0.28999999999999998</v>
      </c>
      <c r="H20" s="21">
        <f t="shared" si="1"/>
        <v>0.23</v>
      </c>
      <c r="I20" s="21">
        <f t="shared" si="2"/>
        <v>2.9</v>
      </c>
      <c r="J20" s="21">
        <f t="shared" si="2"/>
        <v>2.2999999999999998</v>
      </c>
    </row>
    <row r="21" spans="1:10" s="10" customFormat="1" ht="12" customHeight="1" x14ac:dyDescent="0.25">
      <c r="A21" s="180">
        <v>3</v>
      </c>
      <c r="B21" s="20" t="s">
        <v>74</v>
      </c>
      <c r="C21" s="111">
        <v>6.0000000000000001E-3</v>
      </c>
      <c r="D21" s="111">
        <v>6.0000000000000001E-3</v>
      </c>
      <c r="E21" s="13">
        <f>цены!F87</f>
        <v>120</v>
      </c>
      <c r="F21" s="13">
        <f t="shared" si="0"/>
        <v>0.72</v>
      </c>
      <c r="G21" s="97">
        <f t="shared" si="1"/>
        <v>0.06</v>
      </c>
      <c r="H21" s="21">
        <f t="shared" si="1"/>
        <v>0.06</v>
      </c>
      <c r="I21" s="21">
        <f t="shared" si="2"/>
        <v>0.6</v>
      </c>
      <c r="J21" s="21">
        <f t="shared" si="2"/>
        <v>0.6</v>
      </c>
    </row>
    <row r="22" spans="1:10" s="10" customFormat="1" ht="12" customHeight="1" x14ac:dyDescent="0.25">
      <c r="A22" s="180">
        <v>4</v>
      </c>
      <c r="B22" s="20" t="s">
        <v>124</v>
      </c>
      <c r="C22" s="111">
        <v>3.0000000000000001E-3</v>
      </c>
      <c r="D22" s="111">
        <v>3.0000000000000001E-3</v>
      </c>
      <c r="E22" s="13">
        <f>цены!F110</f>
        <v>24</v>
      </c>
      <c r="F22" s="13">
        <f t="shared" si="0"/>
        <v>7.0000000000000007E-2</v>
      </c>
      <c r="G22" s="97">
        <f t="shared" si="1"/>
        <v>0.03</v>
      </c>
      <c r="H22" s="21">
        <f t="shared" si="1"/>
        <v>0.03</v>
      </c>
      <c r="I22" s="21">
        <f t="shared" si="2"/>
        <v>0.3</v>
      </c>
      <c r="J22" s="21">
        <f t="shared" si="2"/>
        <v>0.3</v>
      </c>
    </row>
    <row r="23" spans="1:10" s="10" customFormat="1" ht="12" customHeight="1" x14ac:dyDescent="0.25">
      <c r="A23" s="180">
        <v>5</v>
      </c>
      <c r="B23" s="20" t="s">
        <v>84</v>
      </c>
      <c r="C23" s="125">
        <v>2.0000000000000002E-5</v>
      </c>
      <c r="D23" s="125">
        <v>2.0000000000000002E-5</v>
      </c>
      <c r="E23" s="13">
        <f>цены!F100</f>
        <v>1000</v>
      </c>
      <c r="F23" s="13">
        <f t="shared" si="0"/>
        <v>0.02</v>
      </c>
      <c r="G23" s="97">
        <f t="shared" si="1"/>
        <v>0</v>
      </c>
      <c r="H23" s="21">
        <f t="shared" si="1"/>
        <v>0</v>
      </c>
      <c r="I23" s="21">
        <f t="shared" si="2"/>
        <v>2E-3</v>
      </c>
      <c r="J23" s="21">
        <f t="shared" si="2"/>
        <v>2E-3</v>
      </c>
    </row>
    <row r="24" spans="1:10" s="10" customFormat="1" ht="12" customHeight="1" x14ac:dyDescent="0.25">
      <c r="A24" s="180">
        <v>6</v>
      </c>
      <c r="B24" s="20" t="s">
        <v>337</v>
      </c>
      <c r="C24" s="125">
        <v>2E-3</v>
      </c>
      <c r="D24" s="125">
        <v>2E-3</v>
      </c>
      <c r="E24" s="13">
        <f>цены!F39</f>
        <v>300</v>
      </c>
      <c r="F24" s="13">
        <f t="shared" si="0"/>
        <v>0.6</v>
      </c>
      <c r="G24" s="97">
        <f t="shared" si="1"/>
        <v>0.02</v>
      </c>
      <c r="H24" s="21">
        <f t="shared" si="1"/>
        <v>0.02</v>
      </c>
      <c r="I24" s="21">
        <f t="shared" si="2"/>
        <v>0.2</v>
      </c>
      <c r="J24" s="21">
        <f t="shared" si="2"/>
        <v>0.2</v>
      </c>
    </row>
    <row r="25" spans="1:10" s="10" customFormat="1" ht="12" customHeight="1" x14ac:dyDescent="0.25">
      <c r="A25" s="180">
        <v>8</v>
      </c>
      <c r="B25" s="20" t="s">
        <v>78</v>
      </c>
      <c r="C25" s="111">
        <v>2E-3</v>
      </c>
      <c r="D25" s="111">
        <v>2E-3</v>
      </c>
      <c r="E25" s="13">
        <f>цены!F48</f>
        <v>300</v>
      </c>
      <c r="F25" s="13">
        <f t="shared" si="0"/>
        <v>0.6</v>
      </c>
      <c r="G25" s="97">
        <f t="shared" si="1"/>
        <v>0.02</v>
      </c>
      <c r="H25" s="21">
        <f t="shared" si="1"/>
        <v>0.02</v>
      </c>
      <c r="I25" s="21">
        <f t="shared" si="2"/>
        <v>0.2</v>
      </c>
      <c r="J25" s="21">
        <f t="shared" si="2"/>
        <v>0.2</v>
      </c>
    </row>
    <row r="26" spans="1:10" s="10" customFormat="1" ht="22.5" customHeight="1" x14ac:dyDescent="0.25">
      <c r="A26" s="98"/>
      <c r="B26" s="93" t="s">
        <v>450</v>
      </c>
      <c r="C26" s="112"/>
      <c r="D26" s="112">
        <v>0.05</v>
      </c>
      <c r="E26" s="95"/>
      <c r="F26" s="95">
        <f>SUM(F19:F25)</f>
        <v>30.06</v>
      </c>
      <c r="G26" s="99"/>
      <c r="H26" s="100">
        <f>D26*10</f>
        <v>0.5</v>
      </c>
      <c r="I26" s="100"/>
      <c r="J26" s="100">
        <f>D26*100</f>
        <v>5</v>
      </c>
    </row>
    <row r="27" spans="1:10" s="10" customFormat="1" ht="12" customHeight="1" x14ac:dyDescent="0.25">
      <c r="A27" s="129">
        <v>9</v>
      </c>
      <c r="B27" s="123" t="s">
        <v>31</v>
      </c>
      <c r="C27" s="130">
        <v>5.0000000000000001E-3</v>
      </c>
      <c r="D27" s="130">
        <v>5.0000000000000001E-3</v>
      </c>
      <c r="E27" s="127">
        <f>цены!F21</f>
        <v>710</v>
      </c>
      <c r="F27" s="13">
        <f>C27*E27</f>
        <v>3.55</v>
      </c>
      <c r="G27" s="97">
        <f>C27*10</f>
        <v>0.05</v>
      </c>
      <c r="H27" s="21">
        <f>D27*10</f>
        <v>0.05</v>
      </c>
      <c r="I27" s="21">
        <f>C27*100</f>
        <v>0.5</v>
      </c>
      <c r="J27" s="21">
        <f>D27*100</f>
        <v>0.5</v>
      </c>
    </row>
    <row r="28" spans="1:10" s="10" customFormat="1" ht="12" customHeight="1" x14ac:dyDescent="0.25">
      <c r="A28" s="98"/>
      <c r="B28" s="93" t="s">
        <v>100</v>
      </c>
      <c r="C28" s="112"/>
      <c r="D28" s="112">
        <f>D26+D27</f>
        <v>5.5E-2</v>
      </c>
      <c r="E28" s="95"/>
      <c r="F28" s="95">
        <f>F26+F27</f>
        <v>33.61</v>
      </c>
      <c r="G28" s="99"/>
      <c r="H28" s="100">
        <f>D28*10</f>
        <v>0.55000000000000004</v>
      </c>
      <c r="I28" s="100"/>
      <c r="J28" s="100">
        <f>D28*100</f>
        <v>5.5</v>
      </c>
    </row>
    <row r="29" spans="1:10" s="10" customFormat="1" ht="29.4" customHeight="1" x14ac:dyDescent="0.25">
      <c r="A29" s="203"/>
      <c r="B29" s="204" t="s">
        <v>451</v>
      </c>
      <c r="C29" s="205"/>
      <c r="D29" s="205"/>
      <c r="E29" s="206"/>
      <c r="F29" s="206"/>
      <c r="G29" s="207"/>
      <c r="H29" s="208"/>
      <c r="I29" s="208"/>
      <c r="J29" s="208"/>
    </row>
    <row r="30" spans="1:10" s="10" customFormat="1" ht="27.6" customHeight="1" x14ac:dyDescent="0.25">
      <c r="A30" s="1536" t="s">
        <v>35</v>
      </c>
      <c r="B30" s="1536"/>
      <c r="C30" s="90"/>
      <c r="D30" s="90"/>
      <c r="E30" s="13"/>
      <c r="F30" s="13">
        <f>F28</f>
        <v>33.61</v>
      </c>
      <c r="G30" s="240"/>
      <c r="H30" s="240"/>
      <c r="I30" s="21"/>
      <c r="J30" s="13"/>
    </row>
    <row r="31" spans="1:10" s="10" customFormat="1" ht="25.35" customHeight="1" x14ac:dyDescent="0.25">
      <c r="A31" s="1536" t="s">
        <v>36</v>
      </c>
      <c r="B31" s="1536"/>
      <c r="C31" s="90">
        <v>55</v>
      </c>
      <c r="D31" s="90"/>
      <c r="E31" s="13"/>
      <c r="F31" s="13"/>
      <c r="G31" s="13"/>
      <c r="H31" s="13"/>
      <c r="I31" s="21"/>
      <c r="J31" s="17"/>
    </row>
    <row r="32" spans="1:10" s="10" customFormat="1" ht="25.35" customHeight="1" x14ac:dyDescent="0.25">
      <c r="A32" s="1537" t="s">
        <v>37</v>
      </c>
      <c r="B32" s="1538"/>
      <c r="C32" s="91">
        <v>55</v>
      </c>
      <c r="D32" s="92"/>
      <c r="E32" s="241"/>
      <c r="F32" s="241"/>
      <c r="G32" s="241"/>
      <c r="H32" s="241"/>
      <c r="I32" s="21"/>
      <c r="J32" s="17"/>
    </row>
    <row r="33" spans="1:10" s="10" customFormat="1" ht="15" customHeight="1" x14ac:dyDescent="0.25">
      <c r="A33" s="1539" t="s">
        <v>38</v>
      </c>
      <c r="B33" s="1540"/>
      <c r="C33" s="92">
        <f>C31/C32</f>
        <v>1</v>
      </c>
      <c r="D33" s="92"/>
      <c r="E33" s="241"/>
      <c r="F33" s="241"/>
      <c r="G33" s="241"/>
      <c r="H33" s="241"/>
      <c r="I33" s="21"/>
      <c r="J33" s="17"/>
    </row>
    <row r="34" spans="1:10" ht="16.350000000000001" customHeight="1" x14ac:dyDescent="0.25">
      <c r="A34" s="1541" t="s">
        <v>39</v>
      </c>
      <c r="B34" s="1542"/>
      <c r="C34" s="15" t="s">
        <v>40</v>
      </c>
      <c r="D34" s="102"/>
      <c r="E34" s="102" t="s">
        <v>40</v>
      </c>
      <c r="F34" s="16">
        <f>F30/C33</f>
        <v>33.61</v>
      </c>
      <c r="G34" s="16"/>
      <c r="H34" s="16"/>
      <c r="I34" s="102" t="s">
        <v>40</v>
      </c>
      <c r="J34" s="102" t="s">
        <v>40</v>
      </c>
    </row>
    <row r="35" spans="1:10" ht="23.1" customHeight="1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193"/>
      <c r="B36" s="1194" t="s">
        <v>49</v>
      </c>
      <c r="C36" s="1198"/>
      <c r="D36" s="1198"/>
      <c r="E36" s="1198"/>
      <c r="F36" s="1198"/>
      <c r="G36" s="1193"/>
      <c r="H36" s="1557">
        <f>'1-бутерброд с маслом'!$H$28</f>
        <v>0</v>
      </c>
      <c r="I36" s="1557"/>
      <c r="J36" s="1557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545" t="s">
        <v>327</v>
      </c>
      <c r="B38" s="1545"/>
      <c r="C38" s="1546" t="s">
        <v>328</v>
      </c>
      <c r="D38" s="1546"/>
      <c r="E38" s="1546"/>
      <c r="F38" s="1546"/>
      <c r="G38" s="106"/>
      <c r="H38" s="1531"/>
      <c r="I38" s="1531"/>
      <c r="J38" s="1531"/>
    </row>
    <row r="39" spans="1:10" x14ac:dyDescent="0.25">
      <c r="A39" s="1193"/>
      <c r="B39" s="1193"/>
      <c r="C39" s="1546"/>
      <c r="D39" s="1546"/>
      <c r="E39" s="1546"/>
      <c r="F39" s="1546"/>
      <c r="G39" s="1193"/>
      <c r="H39" s="1531" t="s">
        <v>329</v>
      </c>
      <c r="I39" s="1531"/>
      <c r="J39" s="1531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</sheetData>
  <mergeCells count="28">
    <mergeCell ref="H36:J36"/>
    <mergeCell ref="A13:G13"/>
    <mergeCell ref="A31:B31"/>
    <mergeCell ref="A32:B32"/>
    <mergeCell ref="A33:B33"/>
    <mergeCell ref="A34:B34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8:B38"/>
    <mergeCell ref="C38:F39"/>
    <mergeCell ref="H38:J38"/>
    <mergeCell ref="H39:J39"/>
    <mergeCell ref="H5:I5"/>
    <mergeCell ref="A6:G6"/>
    <mergeCell ref="A7:I7"/>
    <mergeCell ref="A30:B30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42"/>
  <sheetViews>
    <sheetView view="pageBreakPreview" topLeftCell="A16" zoomScaleNormal="100" zoomScaleSheetLayoutView="100" workbookViewId="0">
      <selection activeCell="F27" sqref="F27"/>
    </sheetView>
  </sheetViews>
  <sheetFormatPr defaultColWidth="8.88671875" defaultRowHeight="13.8" x14ac:dyDescent="0.25"/>
  <cols>
    <col min="1" max="1" width="4.109375" style="522" customWidth="1"/>
    <col min="2" max="2" width="22.44140625" style="522" customWidth="1"/>
    <col min="3" max="7" width="7.5546875" style="522" customWidth="1"/>
    <col min="8" max="8" width="8.88671875" style="522" customWidth="1"/>
    <col min="9" max="9" width="7.5546875" style="522" customWidth="1"/>
    <col min="10" max="10" width="9" style="522" customWidth="1"/>
    <col min="11" max="11" width="4.6640625" style="522" customWidth="1"/>
    <col min="12" max="16384" width="8.88671875" style="522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212)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294</v>
      </c>
    </row>
    <row r="8" spans="1:10" s="2" customFormat="1" ht="9.6" customHeight="1" x14ac:dyDescent="0.25">
      <c r="A8" s="523"/>
      <c r="B8" s="523"/>
      <c r="C8" s="523"/>
      <c r="D8" s="523"/>
      <c r="E8" s="523"/>
      <c r="F8" s="523"/>
      <c r="G8" s="523"/>
      <c r="H8" s="523"/>
      <c r="I8" s="523"/>
      <c r="J8" s="109"/>
    </row>
    <row r="9" spans="1:10" s="2" customFormat="1" ht="26.1" customHeight="1" x14ac:dyDescent="0.3">
      <c r="A9" s="1550" t="s">
        <v>914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'293 птица жареная'!H14+1</f>
        <v>212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524" t="s">
        <v>92</v>
      </c>
      <c r="D17" s="524" t="s">
        <v>94</v>
      </c>
      <c r="E17" s="524" t="s">
        <v>93</v>
      </c>
      <c r="F17" s="524" t="s">
        <v>23</v>
      </c>
      <c r="G17" s="524" t="s">
        <v>92</v>
      </c>
      <c r="H17" s="524" t="s">
        <v>94</v>
      </c>
      <c r="I17" s="524" t="s">
        <v>92</v>
      </c>
      <c r="J17" s="524" t="s">
        <v>94</v>
      </c>
    </row>
    <row r="18" spans="1:10" ht="9.6" customHeight="1" x14ac:dyDescent="0.25">
      <c r="A18" s="524">
        <v>1</v>
      </c>
      <c r="B18" s="525">
        <v>2</v>
      </c>
      <c r="C18" s="524">
        <v>3</v>
      </c>
      <c r="D18" s="525">
        <v>4</v>
      </c>
      <c r="E18" s="524">
        <v>5</v>
      </c>
      <c r="F18" s="525">
        <v>6</v>
      </c>
      <c r="G18" s="524">
        <v>7</v>
      </c>
      <c r="H18" s="525">
        <v>8</v>
      </c>
      <c r="I18" s="524">
        <v>9</v>
      </c>
      <c r="J18" s="525">
        <v>10</v>
      </c>
    </row>
    <row r="19" spans="1:10" s="10" customFormat="1" ht="13.35" customHeight="1" x14ac:dyDescent="0.25">
      <c r="A19" s="180">
        <v>1</v>
      </c>
      <c r="B19" s="20" t="s">
        <v>147</v>
      </c>
      <c r="C19" s="21">
        <v>7.6999999999999999E-2</v>
      </c>
      <c r="D19" s="21">
        <v>3.6999999999999998E-2</v>
      </c>
      <c r="E19" s="408">
        <f>цены!F9</f>
        <v>195</v>
      </c>
      <c r="F19" s="408">
        <f t="shared" ref="F19:F25" si="0">C19*E19</f>
        <v>15.02</v>
      </c>
      <c r="G19" s="97">
        <f t="shared" ref="G19:H29" si="1">C19*10</f>
        <v>0.77</v>
      </c>
      <c r="H19" s="21">
        <f t="shared" si="1"/>
        <v>0.37</v>
      </c>
      <c r="I19" s="21">
        <f t="shared" ref="I19:J29" si="2">C19*100</f>
        <v>7.7</v>
      </c>
      <c r="J19" s="21">
        <f t="shared" si="2"/>
        <v>3.7</v>
      </c>
    </row>
    <row r="20" spans="1:10" s="10" customFormat="1" ht="14.1" customHeight="1" x14ac:dyDescent="0.25">
      <c r="A20" s="180">
        <v>2</v>
      </c>
      <c r="B20" s="20" t="s">
        <v>34</v>
      </c>
      <c r="C20" s="21">
        <v>1.4999999999999999E-2</v>
      </c>
      <c r="D20" s="21">
        <v>1.4999999999999999E-2</v>
      </c>
      <c r="E20" s="408">
        <f>цены!F20</f>
        <v>80</v>
      </c>
      <c r="F20" s="408">
        <f t="shared" si="0"/>
        <v>1.2</v>
      </c>
      <c r="G20" s="97">
        <f t="shared" si="1"/>
        <v>0.15</v>
      </c>
      <c r="H20" s="21">
        <f t="shared" si="1"/>
        <v>0.15</v>
      </c>
      <c r="I20" s="21">
        <f t="shared" si="2"/>
        <v>1.5</v>
      </c>
      <c r="J20" s="21">
        <f t="shared" si="2"/>
        <v>1.5</v>
      </c>
    </row>
    <row r="21" spans="1:10" s="10" customFormat="1" ht="14.1" customHeight="1" x14ac:dyDescent="0.25">
      <c r="A21" s="180">
        <v>3</v>
      </c>
      <c r="B21" s="20" t="s">
        <v>96</v>
      </c>
      <c r="C21" s="21">
        <v>8.9999999999999993E-3</v>
      </c>
      <c r="D21" s="21">
        <v>8.9999999999999993E-3</v>
      </c>
      <c r="E21" s="408">
        <f>цены!F157</f>
        <v>65</v>
      </c>
      <c r="F21" s="408">
        <f t="shared" si="0"/>
        <v>0.59</v>
      </c>
      <c r="G21" s="97">
        <f t="shared" si="1"/>
        <v>0.09</v>
      </c>
      <c r="H21" s="21">
        <f t="shared" si="1"/>
        <v>0.09</v>
      </c>
      <c r="I21" s="21">
        <f t="shared" si="2"/>
        <v>0.9</v>
      </c>
      <c r="J21" s="21">
        <f t="shared" si="2"/>
        <v>0.9</v>
      </c>
    </row>
    <row r="22" spans="1:10" s="10" customFormat="1" ht="14.1" customHeight="1" x14ac:dyDescent="0.25">
      <c r="A22" s="180">
        <v>4</v>
      </c>
      <c r="B22" s="20" t="s">
        <v>453</v>
      </c>
      <c r="C22" s="21">
        <v>2E-3</v>
      </c>
      <c r="D22" s="21">
        <v>2E-3</v>
      </c>
      <c r="E22" s="408">
        <f>цены!F13</f>
        <v>100</v>
      </c>
      <c r="F22" s="408">
        <f t="shared" si="0"/>
        <v>0.2</v>
      </c>
      <c r="G22" s="97">
        <f t="shared" si="1"/>
        <v>0.02</v>
      </c>
      <c r="H22" s="21">
        <f t="shared" si="1"/>
        <v>0.02</v>
      </c>
      <c r="I22" s="21">
        <f t="shared" si="2"/>
        <v>0.2</v>
      </c>
      <c r="J22" s="21">
        <f t="shared" si="2"/>
        <v>0.2</v>
      </c>
    </row>
    <row r="23" spans="1:10" s="10" customFormat="1" ht="14.1" customHeight="1" x14ac:dyDescent="0.25">
      <c r="A23" s="180">
        <v>5</v>
      </c>
      <c r="B23" s="20" t="s">
        <v>454</v>
      </c>
      <c r="C23" s="21">
        <v>5.0000000000000001E-3</v>
      </c>
      <c r="D23" s="21">
        <v>5.0000000000000001E-3</v>
      </c>
      <c r="E23" s="408">
        <f>цены!F111</f>
        <v>118</v>
      </c>
      <c r="F23" s="408">
        <f t="shared" si="0"/>
        <v>0.59</v>
      </c>
      <c r="G23" s="97">
        <f t="shared" si="1"/>
        <v>0.05</v>
      </c>
      <c r="H23" s="21">
        <f t="shared" si="1"/>
        <v>0.05</v>
      </c>
      <c r="I23" s="21">
        <f t="shared" si="2"/>
        <v>0.5</v>
      </c>
      <c r="J23" s="21">
        <f t="shared" si="2"/>
        <v>0.5</v>
      </c>
    </row>
    <row r="24" spans="1:10" s="10" customFormat="1" ht="12" customHeight="1" x14ac:dyDescent="0.25">
      <c r="A24" s="180">
        <v>6</v>
      </c>
      <c r="B24" s="20" t="s">
        <v>124</v>
      </c>
      <c r="C24" s="111">
        <v>3.0000000000000001E-3</v>
      </c>
      <c r="D24" s="111">
        <v>3.0000000000000001E-3</v>
      </c>
      <c r="E24" s="408">
        <f>цены!F110</f>
        <v>24</v>
      </c>
      <c r="F24" s="408">
        <f t="shared" si="0"/>
        <v>7.0000000000000007E-2</v>
      </c>
      <c r="G24" s="97">
        <f t="shared" si="1"/>
        <v>0.03</v>
      </c>
      <c r="H24" s="21">
        <f t="shared" si="1"/>
        <v>0.03</v>
      </c>
      <c r="I24" s="21">
        <f t="shared" si="2"/>
        <v>0.3</v>
      </c>
      <c r="J24" s="21">
        <f t="shared" si="2"/>
        <v>0.3</v>
      </c>
    </row>
    <row r="25" spans="1:10" s="10" customFormat="1" ht="12" customHeight="1" x14ac:dyDescent="0.25">
      <c r="A25" s="180">
        <v>7</v>
      </c>
      <c r="B25" s="20" t="s">
        <v>28</v>
      </c>
      <c r="C25" s="111">
        <v>1.4E-2</v>
      </c>
      <c r="D25" s="111">
        <v>1.4E-2</v>
      </c>
      <c r="E25" s="408"/>
      <c r="F25" s="408">
        <f t="shared" si="0"/>
        <v>0</v>
      </c>
      <c r="G25" s="97">
        <f t="shared" si="1"/>
        <v>0.14000000000000001</v>
      </c>
      <c r="H25" s="21">
        <f t="shared" si="1"/>
        <v>0.14000000000000001</v>
      </c>
      <c r="I25" s="21">
        <f t="shared" si="2"/>
        <v>1.4</v>
      </c>
      <c r="J25" s="21">
        <f t="shared" si="2"/>
        <v>1.4</v>
      </c>
    </row>
    <row r="26" spans="1:10" s="10" customFormat="1" ht="25.5" customHeight="1" x14ac:dyDescent="0.25">
      <c r="A26" s="184"/>
      <c r="B26" s="93" t="s">
        <v>455</v>
      </c>
      <c r="C26" s="1029"/>
      <c r="D26" s="1029">
        <v>6.3E-2</v>
      </c>
      <c r="E26" s="95"/>
      <c r="F26" s="95">
        <f>F19+F20+F21+F22+F23+F24+F25</f>
        <v>17.670000000000002</v>
      </c>
      <c r="G26" s="99">
        <f t="shared" si="1"/>
        <v>0</v>
      </c>
      <c r="H26" s="100">
        <f t="shared" si="1"/>
        <v>0.63</v>
      </c>
      <c r="I26" s="100">
        <f t="shared" si="2"/>
        <v>0</v>
      </c>
      <c r="J26" s="100">
        <f t="shared" si="2"/>
        <v>6.3</v>
      </c>
    </row>
    <row r="27" spans="1:10" s="10" customFormat="1" ht="14.25" customHeight="1" x14ac:dyDescent="0.25">
      <c r="A27" s="129">
        <v>8</v>
      </c>
      <c r="B27" s="123" t="s">
        <v>74</v>
      </c>
      <c r="C27" s="244">
        <v>3.0000000000000001E-3</v>
      </c>
      <c r="D27" s="244">
        <v>3.0000000000000001E-3</v>
      </c>
      <c r="E27" s="127">
        <f>цены!F87</f>
        <v>120</v>
      </c>
      <c r="F27" s="127">
        <f>C27*E27</f>
        <v>0.36</v>
      </c>
      <c r="G27" s="128">
        <f t="shared" si="1"/>
        <v>0.03</v>
      </c>
      <c r="H27" s="126">
        <f t="shared" si="1"/>
        <v>0.03</v>
      </c>
      <c r="I27" s="126">
        <f t="shared" si="2"/>
        <v>0.3</v>
      </c>
      <c r="J27" s="126">
        <f t="shared" si="2"/>
        <v>0.3</v>
      </c>
    </row>
    <row r="28" spans="1:10" s="10" customFormat="1" ht="12" customHeight="1" x14ac:dyDescent="0.25">
      <c r="A28" s="184"/>
      <c r="B28" s="93" t="s">
        <v>456</v>
      </c>
      <c r="C28" s="1029"/>
      <c r="D28" s="1029">
        <v>0.05</v>
      </c>
      <c r="E28" s="95"/>
      <c r="F28" s="95">
        <f>F27+F26</f>
        <v>18.03</v>
      </c>
      <c r="G28" s="99">
        <f t="shared" si="1"/>
        <v>0</v>
      </c>
      <c r="H28" s="100">
        <f t="shared" si="1"/>
        <v>0.5</v>
      </c>
      <c r="I28" s="100">
        <f t="shared" si="2"/>
        <v>0</v>
      </c>
      <c r="J28" s="100">
        <f t="shared" si="2"/>
        <v>5</v>
      </c>
    </row>
    <row r="29" spans="1:10" s="10" customFormat="1" ht="12" customHeight="1" x14ac:dyDescent="0.25">
      <c r="A29" s="129">
        <v>9</v>
      </c>
      <c r="B29" s="123" t="s">
        <v>31</v>
      </c>
      <c r="C29" s="130">
        <v>5.0000000000000001E-3</v>
      </c>
      <c r="D29" s="130">
        <v>5.0000000000000001E-3</v>
      </c>
      <c r="E29" s="127">
        <f>цены!F21</f>
        <v>710</v>
      </c>
      <c r="F29" s="408">
        <f>C29*E29</f>
        <v>3.55</v>
      </c>
      <c r="G29" s="97">
        <f t="shared" si="1"/>
        <v>0.05</v>
      </c>
      <c r="H29" s="21">
        <f t="shared" si="1"/>
        <v>0.05</v>
      </c>
      <c r="I29" s="21">
        <f t="shared" si="2"/>
        <v>0.5</v>
      </c>
      <c r="J29" s="21">
        <f t="shared" si="2"/>
        <v>0.5</v>
      </c>
    </row>
    <row r="30" spans="1:10" s="10" customFormat="1" ht="12" customHeight="1" x14ac:dyDescent="0.25">
      <c r="A30" s="98"/>
      <c r="B30" s="93" t="s">
        <v>100</v>
      </c>
      <c r="C30" s="112"/>
      <c r="D30" s="112">
        <v>5.5E-2</v>
      </c>
      <c r="E30" s="95"/>
      <c r="F30" s="95">
        <f>F28+F29</f>
        <v>21.58</v>
      </c>
      <c r="G30" s="99"/>
      <c r="H30" s="100">
        <f>D30*10</f>
        <v>0.55000000000000004</v>
      </c>
      <c r="I30" s="100"/>
      <c r="J30" s="100">
        <f>D30*100</f>
        <v>5.5</v>
      </c>
    </row>
    <row r="31" spans="1:10" s="10" customFormat="1" ht="19.2" customHeight="1" x14ac:dyDescent="0.25">
      <c r="A31" s="203"/>
      <c r="B31" s="204" t="s">
        <v>457</v>
      </c>
      <c r="C31" s="205"/>
      <c r="D31" s="205"/>
      <c r="E31" s="206"/>
      <c r="F31" s="206"/>
      <c r="G31" s="207"/>
      <c r="H31" s="208"/>
      <c r="I31" s="208"/>
      <c r="J31" s="208"/>
    </row>
    <row r="32" spans="1:10" s="10" customFormat="1" ht="16.2" customHeight="1" x14ac:dyDescent="0.25">
      <c r="A32" s="1536" t="s">
        <v>35</v>
      </c>
      <c r="B32" s="1536"/>
      <c r="C32" s="90"/>
      <c r="D32" s="90"/>
      <c r="E32" s="408"/>
      <c r="F32" s="408">
        <f>F30</f>
        <v>21.58</v>
      </c>
      <c r="G32" s="526"/>
      <c r="H32" s="526"/>
      <c r="I32" s="21"/>
      <c r="J32" s="408"/>
    </row>
    <row r="33" spans="1:10" s="10" customFormat="1" ht="14.4" customHeight="1" x14ac:dyDescent="0.25">
      <c r="A33" s="1536" t="s">
        <v>36</v>
      </c>
      <c r="B33" s="1536"/>
      <c r="C33" s="90">
        <v>55</v>
      </c>
      <c r="D33" s="90"/>
      <c r="E33" s="408"/>
      <c r="F33" s="408"/>
      <c r="G33" s="408"/>
      <c r="H33" s="408"/>
      <c r="I33" s="21"/>
      <c r="J33" s="17"/>
    </row>
    <row r="34" spans="1:10" s="10" customFormat="1" ht="25.35" customHeight="1" x14ac:dyDescent="0.25">
      <c r="A34" s="1537" t="s">
        <v>37</v>
      </c>
      <c r="B34" s="1538"/>
      <c r="C34" s="91">
        <v>55</v>
      </c>
      <c r="D34" s="92"/>
      <c r="E34" s="525"/>
      <c r="F34" s="525"/>
      <c r="G34" s="525"/>
      <c r="H34" s="525"/>
      <c r="I34" s="21"/>
      <c r="J34" s="17"/>
    </row>
    <row r="35" spans="1:10" s="10" customFormat="1" ht="15" customHeight="1" x14ac:dyDescent="0.25">
      <c r="A35" s="1539" t="s">
        <v>38</v>
      </c>
      <c r="B35" s="1540"/>
      <c r="C35" s="92">
        <f>C33/C34</f>
        <v>1</v>
      </c>
      <c r="D35" s="92"/>
      <c r="E35" s="525"/>
      <c r="F35" s="525"/>
      <c r="G35" s="525"/>
      <c r="H35" s="525"/>
      <c r="I35" s="21"/>
      <c r="J35" s="17"/>
    </row>
    <row r="36" spans="1:10" ht="16.350000000000001" customHeight="1" x14ac:dyDescent="0.25">
      <c r="A36" s="1541" t="s">
        <v>39</v>
      </c>
      <c r="B36" s="1542"/>
      <c r="C36" s="15" t="s">
        <v>40</v>
      </c>
      <c r="D36" s="102"/>
      <c r="E36" s="102" t="s">
        <v>40</v>
      </c>
      <c r="F36" s="16">
        <f>F32/C35</f>
        <v>21.58</v>
      </c>
      <c r="G36" s="16"/>
      <c r="H36" s="16"/>
      <c r="I36" s="102" t="s">
        <v>40</v>
      </c>
      <c r="J36" s="102" t="s">
        <v>40</v>
      </c>
    </row>
    <row r="37" spans="1:10" ht="23.1" customHeight="1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193"/>
      <c r="B38" s="1194" t="s">
        <v>49</v>
      </c>
      <c r="C38" s="1198"/>
      <c r="D38" s="1198"/>
      <c r="E38" s="1198"/>
      <c r="F38" s="1198"/>
      <c r="G38" s="1193"/>
      <c r="H38" s="1557">
        <f>'1-бутерброд с маслом'!$H$28</f>
        <v>0</v>
      </c>
      <c r="I38" s="1557"/>
      <c r="J38" s="1557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ht="13.95" customHeight="1" x14ac:dyDescent="0.25">
      <c r="A40" s="1545" t="s">
        <v>327</v>
      </c>
      <c r="B40" s="1545"/>
      <c r="C40" s="1546" t="s">
        <v>328</v>
      </c>
      <c r="D40" s="1546"/>
      <c r="E40" s="1546"/>
      <c r="F40" s="1546"/>
      <c r="G40" s="106"/>
      <c r="H40" s="1531"/>
      <c r="I40" s="1531"/>
      <c r="J40" s="1531"/>
    </row>
    <row r="41" spans="1:10" x14ac:dyDescent="0.25">
      <c r="A41" s="1193"/>
      <c r="B41" s="1193"/>
      <c r="C41" s="1546"/>
      <c r="D41" s="1546"/>
      <c r="E41" s="1546"/>
      <c r="F41" s="1546"/>
      <c r="G41" s="1193"/>
      <c r="H41" s="1531" t="s">
        <v>329</v>
      </c>
      <c r="I41" s="1531"/>
      <c r="J41" s="1531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0:B40"/>
    <mergeCell ref="C40:F41"/>
    <mergeCell ref="H40:J40"/>
    <mergeCell ref="H41:J41"/>
    <mergeCell ref="A33:B33"/>
    <mergeCell ref="A34:B34"/>
    <mergeCell ref="A35:B35"/>
    <mergeCell ref="A36:B36"/>
    <mergeCell ref="H38:J38"/>
    <mergeCell ref="A32:B32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42"/>
  <sheetViews>
    <sheetView view="pageBreakPreview" topLeftCell="A17" zoomScaleNormal="100" zoomScaleSheetLayoutView="100" workbookViewId="0">
      <selection activeCell="F27" sqref="F27"/>
    </sheetView>
  </sheetViews>
  <sheetFormatPr defaultRowHeight="13.8" x14ac:dyDescent="0.25"/>
  <cols>
    <col min="1" max="1" width="4.109375" customWidth="1"/>
    <col min="2" max="2" width="22.4414062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441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213)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294</v>
      </c>
    </row>
    <row r="8" spans="1:10" s="2" customFormat="1" ht="9.6" customHeight="1" x14ac:dyDescent="0.25">
      <c r="A8" s="242"/>
      <c r="B8" s="242"/>
      <c r="C8" s="242"/>
      <c r="D8" s="242"/>
      <c r="E8" s="242"/>
      <c r="F8" s="242"/>
      <c r="G8" s="242"/>
      <c r="H8" s="242"/>
      <c r="I8" s="242"/>
      <c r="J8" s="109"/>
    </row>
    <row r="9" spans="1:10" s="2" customFormat="1" ht="26.1" customHeight="1" x14ac:dyDescent="0.3">
      <c r="A9" s="1550" t="s">
        <v>794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'294 котлеты из птицы'!H14+1</f>
        <v>213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39" t="s">
        <v>92</v>
      </c>
      <c r="D17" s="239" t="s">
        <v>94</v>
      </c>
      <c r="E17" s="239" t="s">
        <v>93</v>
      </c>
      <c r="F17" s="239" t="s">
        <v>23</v>
      </c>
      <c r="G17" s="239" t="s">
        <v>92</v>
      </c>
      <c r="H17" s="239" t="s">
        <v>94</v>
      </c>
      <c r="I17" s="239" t="s">
        <v>92</v>
      </c>
      <c r="J17" s="239" t="s">
        <v>94</v>
      </c>
    </row>
    <row r="18" spans="1:10" ht="9.6" customHeight="1" x14ac:dyDescent="0.25">
      <c r="A18" s="239">
        <v>1</v>
      </c>
      <c r="B18" s="241">
        <v>2</v>
      </c>
      <c r="C18" s="239">
        <v>3</v>
      </c>
      <c r="D18" s="241">
        <v>4</v>
      </c>
      <c r="E18" s="239">
        <v>5</v>
      </c>
      <c r="F18" s="241">
        <v>6</v>
      </c>
      <c r="G18" s="239">
        <v>7</v>
      </c>
      <c r="H18" s="241">
        <v>8</v>
      </c>
      <c r="I18" s="239">
        <v>9</v>
      </c>
      <c r="J18" s="241">
        <v>10</v>
      </c>
    </row>
    <row r="19" spans="1:10" s="10" customFormat="1" ht="13.35" customHeight="1" x14ac:dyDescent="0.25">
      <c r="A19" s="180">
        <v>1</v>
      </c>
      <c r="B19" s="20" t="s">
        <v>679</v>
      </c>
      <c r="C19" s="21">
        <v>6.6000000000000003E-2</v>
      </c>
      <c r="D19" s="21">
        <v>3.6999999999999998E-2</v>
      </c>
      <c r="E19" s="13">
        <f>цены!F8</f>
        <v>193</v>
      </c>
      <c r="F19" s="13">
        <f t="shared" ref="F19:F25" si="0">C19*E19</f>
        <v>12.74</v>
      </c>
      <c r="G19" s="97">
        <f t="shared" ref="G19:H28" si="1">C19*10</f>
        <v>0.66</v>
      </c>
      <c r="H19" s="21">
        <f t="shared" si="1"/>
        <v>0.37</v>
      </c>
      <c r="I19" s="21">
        <f t="shared" ref="I19:J28" si="2">C19*100</f>
        <v>6.6</v>
      </c>
      <c r="J19" s="21">
        <f t="shared" si="2"/>
        <v>3.7</v>
      </c>
    </row>
    <row r="20" spans="1:10" s="10" customFormat="1" ht="14.1" customHeight="1" x14ac:dyDescent="0.25">
      <c r="A20" s="180">
        <v>2</v>
      </c>
      <c r="B20" s="20" t="s">
        <v>34</v>
      </c>
      <c r="C20" s="21">
        <v>1.4999999999999999E-2</v>
      </c>
      <c r="D20" s="21">
        <v>1.4999999999999999E-2</v>
      </c>
      <c r="E20" s="13">
        <f>цены!F20</f>
        <v>80</v>
      </c>
      <c r="F20" s="13">
        <f t="shared" si="0"/>
        <v>1.2</v>
      </c>
      <c r="G20" s="97">
        <f t="shared" si="1"/>
        <v>0.15</v>
      </c>
      <c r="H20" s="21">
        <f t="shared" si="1"/>
        <v>0.15</v>
      </c>
      <c r="I20" s="21">
        <f t="shared" si="2"/>
        <v>1.5</v>
      </c>
      <c r="J20" s="21">
        <f t="shared" si="2"/>
        <v>1.5</v>
      </c>
    </row>
    <row r="21" spans="1:10" s="10" customFormat="1" ht="14.1" customHeight="1" x14ac:dyDescent="0.25">
      <c r="A21" s="180">
        <v>3</v>
      </c>
      <c r="B21" s="20" t="s">
        <v>96</v>
      </c>
      <c r="C21" s="21">
        <v>8.9999999999999993E-3</v>
      </c>
      <c r="D21" s="21">
        <v>8.9999999999999993E-3</v>
      </c>
      <c r="E21" s="13">
        <f>цены!F157</f>
        <v>65</v>
      </c>
      <c r="F21" s="13">
        <f t="shared" si="0"/>
        <v>0.59</v>
      </c>
      <c r="G21" s="97">
        <f t="shared" si="1"/>
        <v>0.09</v>
      </c>
      <c r="H21" s="21">
        <f t="shared" si="1"/>
        <v>0.09</v>
      </c>
      <c r="I21" s="21">
        <f t="shared" si="2"/>
        <v>0.9</v>
      </c>
      <c r="J21" s="21">
        <f t="shared" si="2"/>
        <v>0.9</v>
      </c>
    </row>
    <row r="22" spans="1:10" s="10" customFormat="1" ht="14.1" customHeight="1" x14ac:dyDescent="0.25">
      <c r="A22" s="180">
        <v>4</v>
      </c>
      <c r="B22" s="20" t="s">
        <v>453</v>
      </c>
      <c r="C22" s="21">
        <v>2E-3</v>
      </c>
      <c r="D22" s="21">
        <v>2E-3</v>
      </c>
      <c r="E22" s="13">
        <f>цены!F13</f>
        <v>100</v>
      </c>
      <c r="F22" s="13">
        <f t="shared" si="0"/>
        <v>0.2</v>
      </c>
      <c r="G22" s="97">
        <f t="shared" si="1"/>
        <v>0.02</v>
      </c>
      <c r="H22" s="21">
        <f t="shared" si="1"/>
        <v>0.02</v>
      </c>
      <c r="I22" s="21">
        <f t="shared" si="2"/>
        <v>0.2</v>
      </c>
      <c r="J22" s="21">
        <f t="shared" si="2"/>
        <v>0.2</v>
      </c>
    </row>
    <row r="23" spans="1:10" s="10" customFormat="1" ht="14.1" customHeight="1" x14ac:dyDescent="0.25">
      <c r="A23" s="180">
        <v>5</v>
      </c>
      <c r="B23" s="20" t="s">
        <v>454</v>
      </c>
      <c r="C23" s="21">
        <v>5.0000000000000001E-3</v>
      </c>
      <c r="D23" s="21">
        <v>5.0000000000000001E-3</v>
      </c>
      <c r="E23" s="13">
        <f>цены!F111</f>
        <v>118</v>
      </c>
      <c r="F23" s="13">
        <f t="shared" si="0"/>
        <v>0.59</v>
      </c>
      <c r="G23" s="97">
        <f t="shared" si="1"/>
        <v>0.05</v>
      </c>
      <c r="H23" s="21">
        <f t="shared" si="1"/>
        <v>0.05</v>
      </c>
      <c r="I23" s="21">
        <f t="shared" si="2"/>
        <v>0.5</v>
      </c>
      <c r="J23" s="21">
        <f t="shared" si="2"/>
        <v>0.5</v>
      </c>
    </row>
    <row r="24" spans="1:10" s="10" customFormat="1" ht="12" customHeight="1" x14ac:dyDescent="0.25">
      <c r="A24" s="180">
        <v>6</v>
      </c>
      <c r="B24" s="20" t="s">
        <v>124</v>
      </c>
      <c r="C24" s="111">
        <v>3.0000000000000001E-3</v>
      </c>
      <c r="D24" s="111">
        <v>3.0000000000000001E-3</v>
      </c>
      <c r="E24" s="13">
        <f>цены!F110</f>
        <v>24</v>
      </c>
      <c r="F24" s="13">
        <f t="shared" si="0"/>
        <v>7.0000000000000007E-2</v>
      </c>
      <c r="G24" s="97">
        <f t="shared" si="1"/>
        <v>0.03</v>
      </c>
      <c r="H24" s="21">
        <f t="shared" si="1"/>
        <v>0.03</v>
      </c>
      <c r="I24" s="21">
        <f t="shared" si="2"/>
        <v>0.3</v>
      </c>
      <c r="J24" s="21">
        <f t="shared" si="2"/>
        <v>0.3</v>
      </c>
    </row>
    <row r="25" spans="1:10" s="10" customFormat="1" ht="12" customHeight="1" x14ac:dyDescent="0.25">
      <c r="A25" s="180">
        <v>7</v>
      </c>
      <c r="B25" s="20" t="s">
        <v>28</v>
      </c>
      <c r="C25" s="111">
        <v>1.4E-2</v>
      </c>
      <c r="D25" s="111">
        <v>1.4E-2</v>
      </c>
      <c r="E25" s="408"/>
      <c r="F25" s="408">
        <f t="shared" si="0"/>
        <v>0</v>
      </c>
      <c r="G25" s="97">
        <f t="shared" si="1"/>
        <v>0.14000000000000001</v>
      </c>
      <c r="H25" s="21">
        <f t="shared" si="1"/>
        <v>0.14000000000000001</v>
      </c>
      <c r="I25" s="21">
        <f t="shared" si="2"/>
        <v>1.4</v>
      </c>
      <c r="J25" s="21">
        <f t="shared" si="2"/>
        <v>1.4</v>
      </c>
    </row>
    <row r="26" spans="1:10" s="10" customFormat="1" ht="25.5" customHeight="1" x14ac:dyDescent="0.25">
      <c r="A26" s="190"/>
      <c r="B26" s="230" t="s">
        <v>455</v>
      </c>
      <c r="C26" s="243"/>
      <c r="D26" s="243">
        <v>6.3E-2</v>
      </c>
      <c r="E26" s="192"/>
      <c r="F26" s="192">
        <f>F19+F20+F21+F22+F23+F24+F25</f>
        <v>15.39</v>
      </c>
      <c r="G26" s="231">
        <f t="shared" si="1"/>
        <v>0</v>
      </c>
      <c r="H26" s="232">
        <f t="shared" si="1"/>
        <v>0.63</v>
      </c>
      <c r="I26" s="232">
        <f t="shared" si="2"/>
        <v>0</v>
      </c>
      <c r="J26" s="232">
        <f t="shared" si="2"/>
        <v>6.3</v>
      </c>
    </row>
    <row r="27" spans="1:10" s="10" customFormat="1" ht="14.25" customHeight="1" x14ac:dyDescent="0.25">
      <c r="A27" s="129">
        <v>8</v>
      </c>
      <c r="B27" s="123" t="s">
        <v>74</v>
      </c>
      <c r="C27" s="244">
        <v>3.0000000000000001E-3</v>
      </c>
      <c r="D27" s="244">
        <v>3.0000000000000001E-3</v>
      </c>
      <c r="E27" s="127">
        <f>цены!F87</f>
        <v>120</v>
      </c>
      <c r="F27" s="127">
        <f>C27*E27</f>
        <v>0.36</v>
      </c>
      <c r="G27" s="128">
        <f t="shared" si="1"/>
        <v>0.03</v>
      </c>
      <c r="H27" s="126">
        <f t="shared" si="1"/>
        <v>0.03</v>
      </c>
      <c r="I27" s="126">
        <f t="shared" si="2"/>
        <v>0.3</v>
      </c>
      <c r="J27" s="126">
        <f t="shared" si="2"/>
        <v>0.3</v>
      </c>
    </row>
    <row r="28" spans="1:10" s="10" customFormat="1" ht="12" customHeight="1" x14ac:dyDescent="0.25">
      <c r="A28" s="190"/>
      <c r="B28" s="230" t="s">
        <v>456</v>
      </c>
      <c r="C28" s="243"/>
      <c r="D28" s="243">
        <v>0.05</v>
      </c>
      <c r="E28" s="192"/>
      <c r="F28" s="192">
        <f>F27+F26</f>
        <v>15.75</v>
      </c>
      <c r="G28" s="231">
        <f t="shared" si="1"/>
        <v>0</v>
      </c>
      <c r="H28" s="232">
        <f t="shared" si="1"/>
        <v>0.5</v>
      </c>
      <c r="I28" s="232">
        <f t="shared" si="2"/>
        <v>0</v>
      </c>
      <c r="J28" s="232">
        <f t="shared" si="2"/>
        <v>5</v>
      </c>
    </row>
    <row r="29" spans="1:10" s="10" customFormat="1" ht="12" customHeight="1" x14ac:dyDescent="0.25">
      <c r="A29" s="129">
        <v>9</v>
      </c>
      <c r="B29" s="123" t="s">
        <v>31</v>
      </c>
      <c r="C29" s="130">
        <v>5.0000000000000001E-3</v>
      </c>
      <c r="D29" s="130">
        <v>5.0000000000000001E-3</v>
      </c>
      <c r="E29" s="127">
        <f>цены!F21</f>
        <v>710</v>
      </c>
      <c r="F29" s="13">
        <f>C29*E29</f>
        <v>3.55</v>
      </c>
      <c r="G29" s="97">
        <f>C29*10</f>
        <v>0.05</v>
      </c>
      <c r="H29" s="21">
        <f>D29*10</f>
        <v>0.05</v>
      </c>
      <c r="I29" s="21">
        <f>C29*100</f>
        <v>0.5</v>
      </c>
      <c r="J29" s="21">
        <f>D29*100</f>
        <v>0.5</v>
      </c>
    </row>
    <row r="30" spans="1:10" s="10" customFormat="1" ht="12" customHeight="1" x14ac:dyDescent="0.25">
      <c r="A30" s="98"/>
      <c r="B30" s="93" t="s">
        <v>100</v>
      </c>
      <c r="C30" s="112"/>
      <c r="D30" s="112">
        <v>5.5E-2</v>
      </c>
      <c r="E30" s="95"/>
      <c r="F30" s="95">
        <f>F28+F29</f>
        <v>19.3</v>
      </c>
      <c r="G30" s="99"/>
      <c r="H30" s="100">
        <f>D30*10</f>
        <v>0.55000000000000004</v>
      </c>
      <c r="I30" s="100"/>
      <c r="J30" s="100">
        <f>D30*100</f>
        <v>5.5</v>
      </c>
    </row>
    <row r="31" spans="1:10" s="10" customFormat="1" ht="29.4" customHeight="1" x14ac:dyDescent="0.25">
      <c r="A31" s="203"/>
      <c r="B31" s="204" t="s">
        <v>457</v>
      </c>
      <c r="C31" s="205"/>
      <c r="D31" s="205"/>
      <c r="E31" s="206"/>
      <c r="F31" s="206"/>
      <c r="G31" s="207"/>
      <c r="H31" s="208"/>
      <c r="I31" s="208"/>
      <c r="J31" s="208"/>
    </row>
    <row r="32" spans="1:10" s="10" customFormat="1" ht="27.6" customHeight="1" x14ac:dyDescent="0.25">
      <c r="A32" s="1536" t="s">
        <v>35</v>
      </c>
      <c r="B32" s="1536"/>
      <c r="C32" s="90"/>
      <c r="D32" s="90"/>
      <c r="E32" s="13"/>
      <c r="F32" s="13">
        <f>F30</f>
        <v>19.3</v>
      </c>
      <c r="G32" s="240"/>
      <c r="H32" s="240"/>
      <c r="I32" s="21"/>
      <c r="J32" s="13"/>
    </row>
    <row r="33" spans="1:10" s="10" customFormat="1" ht="25.35" customHeight="1" x14ac:dyDescent="0.25">
      <c r="A33" s="1536" t="s">
        <v>36</v>
      </c>
      <c r="B33" s="1536"/>
      <c r="C33" s="90">
        <v>55</v>
      </c>
      <c r="D33" s="90"/>
      <c r="E33" s="13"/>
      <c r="F33" s="13"/>
      <c r="G33" s="13"/>
      <c r="H33" s="13"/>
      <c r="I33" s="21"/>
      <c r="J33" s="17"/>
    </row>
    <row r="34" spans="1:10" s="10" customFormat="1" ht="25.35" customHeight="1" x14ac:dyDescent="0.25">
      <c r="A34" s="1537" t="s">
        <v>37</v>
      </c>
      <c r="B34" s="1538"/>
      <c r="C34" s="91">
        <v>55</v>
      </c>
      <c r="D34" s="92"/>
      <c r="E34" s="241"/>
      <c r="F34" s="241"/>
      <c r="G34" s="241"/>
      <c r="H34" s="241"/>
      <c r="I34" s="21"/>
      <c r="J34" s="17"/>
    </row>
    <row r="35" spans="1:10" s="10" customFormat="1" ht="15" customHeight="1" x14ac:dyDescent="0.25">
      <c r="A35" s="1539" t="s">
        <v>38</v>
      </c>
      <c r="B35" s="1540"/>
      <c r="C35" s="92">
        <f>C33/C34</f>
        <v>1</v>
      </c>
      <c r="D35" s="92"/>
      <c r="E35" s="241"/>
      <c r="F35" s="241"/>
      <c r="G35" s="241"/>
      <c r="H35" s="241"/>
      <c r="I35" s="21"/>
      <c r="J35" s="17"/>
    </row>
    <row r="36" spans="1:10" ht="16.350000000000001" customHeight="1" x14ac:dyDescent="0.25">
      <c r="A36" s="1541" t="s">
        <v>39</v>
      </c>
      <c r="B36" s="1542"/>
      <c r="C36" s="15" t="s">
        <v>40</v>
      </c>
      <c r="D36" s="102"/>
      <c r="E36" s="102" t="s">
        <v>40</v>
      </c>
      <c r="F36" s="16">
        <f>F32/C35</f>
        <v>19.3</v>
      </c>
      <c r="G36" s="16"/>
      <c r="H36" s="16"/>
      <c r="I36" s="102" t="s">
        <v>40</v>
      </c>
      <c r="J36" s="102" t="s">
        <v>40</v>
      </c>
    </row>
    <row r="37" spans="1:10" ht="23.1" customHeight="1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193"/>
      <c r="B38" s="1194" t="s">
        <v>49</v>
      </c>
      <c r="C38" s="1198"/>
      <c r="D38" s="1198"/>
      <c r="E38" s="1198"/>
      <c r="F38" s="1198"/>
      <c r="G38" s="1193"/>
      <c r="H38" s="1557">
        <f>'1-бутерброд с маслом'!$H$28</f>
        <v>0</v>
      </c>
      <c r="I38" s="1557"/>
      <c r="J38" s="1557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ht="13.95" customHeight="1" x14ac:dyDescent="0.25">
      <c r="A40" s="1545" t="s">
        <v>327</v>
      </c>
      <c r="B40" s="1545"/>
      <c r="C40" s="1546" t="s">
        <v>328</v>
      </c>
      <c r="D40" s="1546"/>
      <c r="E40" s="1546"/>
      <c r="F40" s="1546"/>
      <c r="G40" s="106"/>
      <c r="H40" s="1531"/>
      <c r="I40" s="1531"/>
      <c r="J40" s="1531"/>
    </row>
    <row r="41" spans="1:10" x14ac:dyDescent="0.25">
      <c r="A41" s="1193"/>
      <c r="B41" s="1193"/>
      <c r="C41" s="1546"/>
      <c r="D41" s="1546"/>
      <c r="E41" s="1546"/>
      <c r="F41" s="1546"/>
      <c r="G41" s="1193"/>
      <c r="H41" s="1531" t="s">
        <v>329</v>
      </c>
      <c r="I41" s="1531"/>
      <c r="J41" s="1531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</sheetData>
  <mergeCells count="28">
    <mergeCell ref="H38:J38"/>
    <mergeCell ref="A13:G13"/>
    <mergeCell ref="A33:B33"/>
    <mergeCell ref="A34:B34"/>
    <mergeCell ref="A35:B35"/>
    <mergeCell ref="A36:B36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0:B40"/>
    <mergeCell ref="C40:F41"/>
    <mergeCell ref="H40:J40"/>
    <mergeCell ref="H41:J41"/>
    <mergeCell ref="H5:I5"/>
    <mergeCell ref="A6:G6"/>
    <mergeCell ref="A7:I7"/>
    <mergeCell ref="A32:B32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42"/>
  <sheetViews>
    <sheetView view="pageBreakPreview" topLeftCell="A18" zoomScaleNormal="100" zoomScaleSheetLayoutView="100" workbookViewId="0">
      <selection activeCell="D32" sqref="D32"/>
    </sheetView>
  </sheetViews>
  <sheetFormatPr defaultColWidth="8.88671875" defaultRowHeight="13.8" x14ac:dyDescent="0.25"/>
  <cols>
    <col min="1" max="1" width="4.109375" style="699" customWidth="1"/>
    <col min="2" max="2" width="22.44140625" style="699" customWidth="1"/>
    <col min="3" max="7" width="7.5546875" style="699" customWidth="1"/>
    <col min="8" max="8" width="8.88671875" style="699" customWidth="1"/>
    <col min="9" max="9" width="7.5546875" style="699" customWidth="1"/>
    <col min="10" max="10" width="9" style="699" customWidth="1"/>
    <col min="11" max="11" width="3.5546875" style="699" customWidth="1"/>
    <col min="12" max="16384" width="8.88671875" style="69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214)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294</v>
      </c>
    </row>
    <row r="8" spans="1:10" s="2" customFormat="1" ht="9.6" customHeight="1" x14ac:dyDescent="0.25">
      <c r="A8" s="709"/>
      <c r="B8" s="709"/>
      <c r="C8" s="709"/>
      <c r="D8" s="709"/>
      <c r="E8" s="709"/>
      <c r="F8" s="709"/>
      <c r="G8" s="709"/>
      <c r="H8" s="709"/>
      <c r="I8" s="709"/>
      <c r="J8" s="109"/>
    </row>
    <row r="9" spans="1:10" s="2" customFormat="1" ht="26.1" customHeight="1" x14ac:dyDescent="0.3">
      <c r="A9" s="1559" t="s">
        <v>1367</v>
      </c>
      <c r="B9" s="1559"/>
      <c r="C9" s="1559"/>
      <c r="D9" s="1559"/>
      <c r="E9" s="1559"/>
      <c r="F9" s="1559"/>
      <c r="G9" s="1559"/>
      <c r="H9" s="1559"/>
      <c r="I9" s="1559"/>
      <c r="J9" s="1559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'294 котлеты куриные окорочка'!H14+1</f>
        <v>214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705" t="s">
        <v>92</v>
      </c>
      <c r="D17" s="705" t="s">
        <v>94</v>
      </c>
      <c r="E17" s="705" t="s">
        <v>93</v>
      </c>
      <c r="F17" s="705" t="s">
        <v>23</v>
      </c>
      <c r="G17" s="705" t="s">
        <v>92</v>
      </c>
      <c r="H17" s="705" t="s">
        <v>94</v>
      </c>
      <c r="I17" s="705" t="s">
        <v>92</v>
      </c>
      <c r="J17" s="705" t="s">
        <v>94</v>
      </c>
    </row>
    <row r="18" spans="1:10" ht="9.6" customHeight="1" x14ac:dyDescent="0.25">
      <c r="A18" s="705">
        <v>1</v>
      </c>
      <c r="B18" s="707">
        <v>2</v>
      </c>
      <c r="C18" s="705">
        <v>3</v>
      </c>
      <c r="D18" s="707">
        <v>4</v>
      </c>
      <c r="E18" s="705">
        <v>5</v>
      </c>
      <c r="F18" s="707">
        <v>6</v>
      </c>
      <c r="G18" s="705">
        <v>7</v>
      </c>
      <c r="H18" s="707">
        <v>8</v>
      </c>
      <c r="I18" s="705">
        <v>9</v>
      </c>
      <c r="J18" s="707">
        <v>10</v>
      </c>
    </row>
    <row r="19" spans="1:10" s="10" customFormat="1" ht="13.35" customHeight="1" x14ac:dyDescent="0.25">
      <c r="A19" s="180">
        <v>1</v>
      </c>
      <c r="B19" s="20" t="s">
        <v>1231</v>
      </c>
      <c r="C19" s="21">
        <v>8.5000000000000006E-2</v>
      </c>
      <c r="D19" s="21">
        <v>5.8999999999999997E-2</v>
      </c>
      <c r="E19" s="408">
        <f>цены!F10</f>
        <v>320</v>
      </c>
      <c r="F19" s="408">
        <f t="shared" ref="F19:F24" si="0">C19*E19</f>
        <v>27.2</v>
      </c>
      <c r="G19" s="97">
        <f t="shared" ref="G19:H29" si="1">C19*10</f>
        <v>0.85</v>
      </c>
      <c r="H19" s="21">
        <f t="shared" si="1"/>
        <v>0.59</v>
      </c>
      <c r="I19" s="21">
        <f t="shared" ref="I19:J29" si="2">C19*100</f>
        <v>8.5</v>
      </c>
      <c r="J19" s="21">
        <f t="shared" si="2"/>
        <v>5.9</v>
      </c>
    </row>
    <row r="20" spans="1:10" s="10" customFormat="1" ht="14.1" customHeight="1" x14ac:dyDescent="0.25">
      <c r="A20" s="180">
        <v>2</v>
      </c>
      <c r="B20" s="20" t="s">
        <v>34</v>
      </c>
      <c r="C20" s="21">
        <v>2.3E-2</v>
      </c>
      <c r="D20" s="21">
        <v>2.3E-2</v>
      </c>
      <c r="E20" s="408">
        <f>цены!F20</f>
        <v>80</v>
      </c>
      <c r="F20" s="408">
        <f t="shared" si="0"/>
        <v>1.84</v>
      </c>
      <c r="G20" s="97">
        <f t="shared" si="1"/>
        <v>0.23</v>
      </c>
      <c r="H20" s="21">
        <f t="shared" si="1"/>
        <v>0.23</v>
      </c>
      <c r="I20" s="21">
        <f t="shared" si="2"/>
        <v>2.2999999999999998</v>
      </c>
      <c r="J20" s="21">
        <f t="shared" si="2"/>
        <v>2.2999999999999998</v>
      </c>
    </row>
    <row r="21" spans="1:10" s="10" customFormat="1" ht="14.1" customHeight="1" x14ac:dyDescent="0.25">
      <c r="A21" s="180">
        <v>3</v>
      </c>
      <c r="B21" s="20" t="s">
        <v>96</v>
      </c>
      <c r="C21" s="21">
        <v>1.4E-2</v>
      </c>
      <c r="D21" s="21">
        <v>1.4E-2</v>
      </c>
      <c r="E21" s="408">
        <f>цены!F157</f>
        <v>65</v>
      </c>
      <c r="F21" s="408">
        <f t="shared" si="0"/>
        <v>0.91</v>
      </c>
      <c r="G21" s="97">
        <f t="shared" si="1"/>
        <v>0.14000000000000001</v>
      </c>
      <c r="H21" s="21">
        <f t="shared" si="1"/>
        <v>0.14000000000000001</v>
      </c>
      <c r="I21" s="21">
        <f t="shared" si="2"/>
        <v>1.4</v>
      </c>
      <c r="J21" s="21">
        <f t="shared" si="2"/>
        <v>1.4</v>
      </c>
    </row>
    <row r="22" spans="1:10" s="10" customFormat="1" ht="14.1" customHeight="1" x14ac:dyDescent="0.25">
      <c r="A22" s="180">
        <v>4</v>
      </c>
      <c r="B22" s="20" t="s">
        <v>453</v>
      </c>
      <c r="C22" s="21">
        <v>3.0000000000000001E-3</v>
      </c>
      <c r="D22" s="21">
        <v>3.0000000000000001E-3</v>
      </c>
      <c r="E22" s="408">
        <f>цены!F13</f>
        <v>100</v>
      </c>
      <c r="F22" s="408">
        <f t="shared" si="0"/>
        <v>0.3</v>
      </c>
      <c r="G22" s="97">
        <f t="shared" si="1"/>
        <v>0.03</v>
      </c>
      <c r="H22" s="21">
        <f t="shared" si="1"/>
        <v>0.03</v>
      </c>
      <c r="I22" s="21">
        <f t="shared" si="2"/>
        <v>0.3</v>
      </c>
      <c r="J22" s="21">
        <f t="shared" si="2"/>
        <v>0.3</v>
      </c>
    </row>
    <row r="23" spans="1:10" s="10" customFormat="1" ht="14.1" customHeight="1" x14ac:dyDescent="0.25">
      <c r="A23" s="180">
        <v>5</v>
      </c>
      <c r="B23" s="20" t="s">
        <v>454</v>
      </c>
      <c r="C23" s="21">
        <v>8.0000000000000002E-3</v>
      </c>
      <c r="D23" s="21">
        <v>8.0000000000000002E-3</v>
      </c>
      <c r="E23" s="408">
        <f>цены!F111</f>
        <v>118</v>
      </c>
      <c r="F23" s="408">
        <f t="shared" si="0"/>
        <v>0.94</v>
      </c>
      <c r="G23" s="97">
        <f t="shared" si="1"/>
        <v>0.08</v>
      </c>
      <c r="H23" s="21">
        <f t="shared" si="1"/>
        <v>0.08</v>
      </c>
      <c r="I23" s="21">
        <f t="shared" si="2"/>
        <v>0.8</v>
      </c>
      <c r="J23" s="21">
        <f t="shared" si="2"/>
        <v>0.8</v>
      </c>
    </row>
    <row r="24" spans="1:10" s="10" customFormat="1" ht="12" customHeight="1" x14ac:dyDescent="0.25">
      <c r="A24" s="180">
        <v>6</v>
      </c>
      <c r="B24" s="20" t="s">
        <v>124</v>
      </c>
      <c r="C24" s="111">
        <v>5.0000000000000001E-3</v>
      </c>
      <c r="D24" s="111">
        <v>5.0000000000000001E-3</v>
      </c>
      <c r="E24" s="408">
        <f>цены!F110</f>
        <v>24</v>
      </c>
      <c r="F24" s="408">
        <f t="shared" si="0"/>
        <v>0.12</v>
      </c>
      <c r="G24" s="97">
        <f t="shared" si="1"/>
        <v>0.05</v>
      </c>
      <c r="H24" s="21">
        <f t="shared" si="1"/>
        <v>0.05</v>
      </c>
      <c r="I24" s="21">
        <f t="shared" si="2"/>
        <v>0.5</v>
      </c>
      <c r="J24" s="21">
        <f t="shared" si="2"/>
        <v>0.5</v>
      </c>
    </row>
    <row r="25" spans="1:10" s="10" customFormat="1" ht="12" customHeight="1" x14ac:dyDescent="0.25">
      <c r="A25" s="180">
        <v>7</v>
      </c>
      <c r="B25" s="20" t="s">
        <v>28</v>
      </c>
      <c r="C25" s="111">
        <v>2.3E-2</v>
      </c>
      <c r="D25" s="111">
        <v>2.3E-2</v>
      </c>
      <c r="E25" s="408"/>
      <c r="F25" s="408"/>
      <c r="G25" s="97">
        <f t="shared" si="1"/>
        <v>0.23</v>
      </c>
      <c r="H25" s="21">
        <f t="shared" si="1"/>
        <v>0.23</v>
      </c>
      <c r="I25" s="21">
        <f t="shared" si="2"/>
        <v>2.2999999999999998</v>
      </c>
      <c r="J25" s="21">
        <f t="shared" si="2"/>
        <v>2.2999999999999998</v>
      </c>
    </row>
    <row r="26" spans="1:10" s="10" customFormat="1" ht="25.5" customHeight="1" x14ac:dyDescent="0.25">
      <c r="A26" s="184"/>
      <c r="B26" s="93" t="s">
        <v>455</v>
      </c>
      <c r="C26" s="1029"/>
      <c r="D26" s="1028">
        <v>100</v>
      </c>
      <c r="E26" s="1028"/>
      <c r="F26" s="1028"/>
      <c r="G26" s="1031">
        <f t="shared" si="1"/>
        <v>0</v>
      </c>
      <c r="H26" s="1028">
        <f t="shared" si="1"/>
        <v>1000</v>
      </c>
      <c r="I26" s="1028">
        <f t="shared" si="2"/>
        <v>0</v>
      </c>
      <c r="J26" s="1028">
        <f t="shared" si="2"/>
        <v>10000</v>
      </c>
    </row>
    <row r="27" spans="1:10" s="10" customFormat="1" ht="14.25" customHeight="1" x14ac:dyDescent="0.25">
      <c r="A27" s="129">
        <v>7</v>
      </c>
      <c r="B27" s="123" t="s">
        <v>74</v>
      </c>
      <c r="C27" s="244">
        <v>5.0000000000000001E-3</v>
      </c>
      <c r="D27" s="244">
        <v>5.0000000000000001E-3</v>
      </c>
      <c r="E27" s="127">
        <f>цены!F87</f>
        <v>120</v>
      </c>
      <c r="F27" s="127">
        <f>C27*E27</f>
        <v>0.6</v>
      </c>
      <c r="G27" s="128">
        <f t="shared" si="1"/>
        <v>0.05</v>
      </c>
      <c r="H27" s="126">
        <f t="shared" si="1"/>
        <v>0.05</v>
      </c>
      <c r="I27" s="126">
        <f t="shared" si="2"/>
        <v>0.5</v>
      </c>
      <c r="J27" s="126">
        <f t="shared" si="2"/>
        <v>0.5</v>
      </c>
    </row>
    <row r="28" spans="1:10" s="10" customFormat="1" ht="12" customHeight="1" x14ac:dyDescent="0.25">
      <c r="A28" s="184"/>
      <c r="B28" s="93" t="s">
        <v>456</v>
      </c>
      <c r="C28" s="1029"/>
      <c r="D28" s="1028">
        <v>80</v>
      </c>
      <c r="E28" s="1028"/>
      <c r="F28" s="1028"/>
      <c r="G28" s="1031">
        <f t="shared" si="1"/>
        <v>0</v>
      </c>
      <c r="H28" s="1028">
        <f t="shared" si="1"/>
        <v>800</v>
      </c>
      <c r="I28" s="1028">
        <f t="shared" si="2"/>
        <v>0</v>
      </c>
      <c r="J28" s="1028">
        <f t="shared" si="2"/>
        <v>8000</v>
      </c>
    </row>
    <row r="29" spans="1:10" s="10" customFormat="1" ht="12" customHeight="1" x14ac:dyDescent="0.25">
      <c r="A29" s="129">
        <v>8</v>
      </c>
      <c r="B29" s="123" t="s">
        <v>31</v>
      </c>
      <c r="C29" s="130">
        <v>5.0000000000000001E-3</v>
      </c>
      <c r="D29" s="130">
        <v>5.0000000000000001E-3</v>
      </c>
      <c r="E29" s="127">
        <f>цены!F21</f>
        <v>710</v>
      </c>
      <c r="F29" s="408">
        <f>C29*E29</f>
        <v>3.55</v>
      </c>
      <c r="G29" s="97">
        <f t="shared" si="1"/>
        <v>0.05</v>
      </c>
      <c r="H29" s="21">
        <f t="shared" si="1"/>
        <v>0.05</v>
      </c>
      <c r="I29" s="21">
        <f t="shared" si="2"/>
        <v>0.5</v>
      </c>
      <c r="J29" s="21">
        <f t="shared" si="2"/>
        <v>0.5</v>
      </c>
    </row>
    <row r="30" spans="1:10" s="10" customFormat="1" ht="12" customHeight="1" x14ac:dyDescent="0.25">
      <c r="A30" s="98"/>
      <c r="B30" s="93" t="s">
        <v>100</v>
      </c>
      <c r="C30" s="112"/>
      <c r="D30" s="1028">
        <v>85</v>
      </c>
      <c r="E30" s="1028"/>
      <c r="F30" s="95">
        <f>SUM(F19:F29)</f>
        <v>35.46</v>
      </c>
      <c r="G30" s="1031"/>
      <c r="H30" s="1028">
        <f>D30*10</f>
        <v>850</v>
      </c>
      <c r="I30" s="1028"/>
      <c r="J30" s="1028">
        <f>D30*100</f>
        <v>8500</v>
      </c>
    </row>
    <row r="31" spans="1:10" s="10" customFormat="1" ht="29.4" customHeight="1" x14ac:dyDescent="0.25">
      <c r="A31" s="203"/>
      <c r="B31" s="204" t="s">
        <v>457</v>
      </c>
      <c r="C31" s="205"/>
      <c r="D31" s="205"/>
      <c r="E31" s="206"/>
      <c r="F31" s="206"/>
      <c r="G31" s="207"/>
      <c r="H31" s="208"/>
      <c r="I31" s="208"/>
      <c r="J31" s="208"/>
    </row>
    <row r="32" spans="1:10" s="10" customFormat="1" ht="27.6" customHeight="1" x14ac:dyDescent="0.25">
      <c r="A32" s="1536" t="s">
        <v>35</v>
      </c>
      <c r="B32" s="1536"/>
      <c r="C32" s="90"/>
      <c r="D32" s="90"/>
      <c r="E32" s="408"/>
      <c r="F32" s="408">
        <f>F30</f>
        <v>35.46</v>
      </c>
      <c r="G32" s="706"/>
      <c r="H32" s="706"/>
      <c r="I32" s="21"/>
      <c r="J32" s="408"/>
    </row>
    <row r="33" spans="1:10" s="10" customFormat="1" ht="25.35" customHeight="1" x14ac:dyDescent="0.25">
      <c r="A33" s="1536" t="s">
        <v>36</v>
      </c>
      <c r="B33" s="1536"/>
      <c r="C33" s="90">
        <v>85</v>
      </c>
      <c r="D33" s="90"/>
      <c r="E33" s="408"/>
      <c r="F33" s="408"/>
      <c r="G33" s="408"/>
      <c r="H33" s="408"/>
      <c r="I33" s="21"/>
      <c r="J33" s="17"/>
    </row>
    <row r="34" spans="1:10" s="10" customFormat="1" ht="25.35" customHeight="1" x14ac:dyDescent="0.25">
      <c r="A34" s="1537" t="s">
        <v>37</v>
      </c>
      <c r="B34" s="1538"/>
      <c r="C34" s="91">
        <v>85</v>
      </c>
      <c r="D34" s="92"/>
      <c r="E34" s="707"/>
      <c r="F34" s="707"/>
      <c r="G34" s="707"/>
      <c r="H34" s="707"/>
      <c r="I34" s="21"/>
      <c r="J34" s="17"/>
    </row>
    <row r="35" spans="1:10" s="10" customFormat="1" ht="15" customHeight="1" x14ac:dyDescent="0.25">
      <c r="A35" s="1539" t="s">
        <v>38</v>
      </c>
      <c r="B35" s="1540"/>
      <c r="C35" s="92">
        <f>C33/C34</f>
        <v>1</v>
      </c>
      <c r="D35" s="92"/>
      <c r="E35" s="707"/>
      <c r="F35" s="707"/>
      <c r="G35" s="707"/>
      <c r="H35" s="707"/>
      <c r="I35" s="21"/>
      <c r="J35" s="17"/>
    </row>
    <row r="36" spans="1:10" ht="16.350000000000001" customHeight="1" x14ac:dyDescent="0.25">
      <c r="A36" s="1541" t="s">
        <v>39</v>
      </c>
      <c r="B36" s="1542"/>
      <c r="C36" s="15" t="s">
        <v>40</v>
      </c>
      <c r="D36" s="102"/>
      <c r="E36" s="102" t="s">
        <v>40</v>
      </c>
      <c r="F36" s="16">
        <f>F32/C35</f>
        <v>35.46</v>
      </c>
      <c r="G36" s="16"/>
      <c r="H36" s="16"/>
      <c r="I36" s="102" t="s">
        <v>40</v>
      </c>
      <c r="J36" s="102" t="s">
        <v>40</v>
      </c>
    </row>
    <row r="37" spans="1:10" ht="28.95" customHeight="1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193"/>
      <c r="B38" s="1194" t="s">
        <v>49</v>
      </c>
      <c r="C38" s="1198"/>
      <c r="D38" s="1198"/>
      <c r="E38" s="1198"/>
      <c r="F38" s="1198"/>
      <c r="G38" s="1193"/>
      <c r="H38" s="1557">
        <f>'1-бутерброд с маслом'!$H$28</f>
        <v>0</v>
      </c>
      <c r="I38" s="1557"/>
      <c r="J38" s="1557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545" t="s">
        <v>327</v>
      </c>
      <c r="B40" s="1545"/>
      <c r="C40" s="1546" t="s">
        <v>328</v>
      </c>
      <c r="D40" s="1546"/>
      <c r="E40" s="1546"/>
      <c r="F40" s="1546"/>
      <c r="G40" s="106"/>
      <c r="H40" s="1531"/>
      <c r="I40" s="1531"/>
      <c r="J40" s="1531"/>
    </row>
    <row r="41" spans="1:10" x14ac:dyDescent="0.25">
      <c r="A41" s="1193"/>
      <c r="B41" s="1193"/>
      <c r="C41" s="1546"/>
      <c r="D41" s="1546"/>
      <c r="E41" s="1546"/>
      <c r="F41" s="1546"/>
      <c r="G41" s="1193"/>
      <c r="H41" s="1531" t="s">
        <v>329</v>
      </c>
      <c r="I41" s="1531"/>
      <c r="J41" s="1531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</sheetData>
  <mergeCells count="28">
    <mergeCell ref="A13:G13"/>
    <mergeCell ref="H38:J38"/>
    <mergeCell ref="A33:B33"/>
    <mergeCell ref="A34:B34"/>
    <mergeCell ref="A35:B35"/>
    <mergeCell ref="A36:B36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0:B40"/>
    <mergeCell ref="C40:F41"/>
    <mergeCell ref="H40:J40"/>
    <mergeCell ref="H41:J41"/>
    <mergeCell ref="H5:I5"/>
    <mergeCell ref="A6:G6"/>
    <mergeCell ref="A7:I7"/>
    <mergeCell ref="A32:B32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M36"/>
  <sheetViews>
    <sheetView view="pageBreakPreview" topLeftCell="A14" zoomScaleNormal="100" zoomScaleSheetLayoutView="100" workbookViewId="0">
      <selection activeCell="A28" sqref="A28:J32"/>
    </sheetView>
  </sheetViews>
  <sheetFormatPr defaultRowHeight="13.8" x14ac:dyDescent="0.25"/>
  <cols>
    <col min="1" max="1" width="4.109375" customWidth="1"/>
    <col min="2" max="2" width="21" customWidth="1"/>
    <col min="3" max="3" width="8.88671875" customWidth="1"/>
    <col min="4" max="7" width="7.5546875" customWidth="1"/>
    <col min="8" max="8" width="7.44140625" customWidth="1"/>
    <col min="9" max="9" width="8.44140625" customWidth="1"/>
    <col min="10" max="10" width="9.1093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290"/>
      <c r="I6" s="290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20</v>
      </c>
    </row>
    <row r="8" spans="1:10" s="2" customFormat="1" ht="9.6" customHeight="1" x14ac:dyDescent="0.25">
      <c r="A8" s="291"/>
      <c r="B8" s="291"/>
      <c r="C8" s="291"/>
      <c r="D8" s="291"/>
      <c r="E8" s="291"/>
      <c r="F8" s="291"/>
      <c r="G8" s="291"/>
      <c r="H8" s="291"/>
      <c r="I8" s="291"/>
      <c r="J8" s="109"/>
    </row>
    <row r="9" spans="1:10" s="2" customFormat="1" ht="26.1" customHeight="1" x14ac:dyDescent="0.3">
      <c r="A9" s="1550" t="s">
        <v>517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'19-салат с огурцами и помидор'!H14+1</f>
        <v>17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287" t="s">
        <v>92</v>
      </c>
      <c r="D17" s="287" t="s">
        <v>94</v>
      </c>
      <c r="E17" s="287" t="s">
        <v>93</v>
      </c>
      <c r="F17" s="287" t="s">
        <v>23</v>
      </c>
      <c r="G17" s="287" t="s">
        <v>92</v>
      </c>
      <c r="H17" s="287" t="s">
        <v>94</v>
      </c>
      <c r="I17" s="287" t="s">
        <v>92</v>
      </c>
      <c r="J17" s="287" t="s">
        <v>94</v>
      </c>
    </row>
    <row r="18" spans="1:13" ht="9.6" customHeight="1" x14ac:dyDescent="0.25">
      <c r="A18" s="287">
        <v>1</v>
      </c>
      <c r="B18" s="289">
        <v>2</v>
      </c>
      <c r="C18" s="287">
        <v>3</v>
      </c>
      <c r="D18" s="289">
        <v>4</v>
      </c>
      <c r="E18" s="287">
        <v>5</v>
      </c>
      <c r="F18" s="289">
        <v>6</v>
      </c>
      <c r="G18" s="287">
        <v>7</v>
      </c>
      <c r="H18" s="289">
        <v>8</v>
      </c>
      <c r="I18" s="287">
        <v>9</v>
      </c>
      <c r="J18" s="289">
        <v>10</v>
      </c>
    </row>
    <row r="19" spans="1:13" s="10" customFormat="1" ht="14.1" customHeight="1" x14ac:dyDescent="0.25">
      <c r="A19" s="180">
        <v>1</v>
      </c>
      <c r="B19" s="20" t="s">
        <v>514</v>
      </c>
      <c r="C19" s="21">
        <v>1.1879999999999999</v>
      </c>
      <c r="D19" s="21">
        <v>0.95</v>
      </c>
      <c r="E19" s="13">
        <f>цены!F42</f>
        <v>60</v>
      </c>
      <c r="F19" s="13">
        <f>C19*E19</f>
        <v>71.28</v>
      </c>
      <c r="G19" s="97">
        <f t="shared" ref="G19:H21" si="0">C19*10</f>
        <v>11.88</v>
      </c>
      <c r="H19" s="21">
        <f t="shared" si="0"/>
        <v>9.5</v>
      </c>
      <c r="I19" s="21">
        <f t="shared" ref="I19:J21" si="1">C19*100</f>
        <v>118.8</v>
      </c>
      <c r="J19" s="21">
        <f t="shared" si="1"/>
        <v>95</v>
      </c>
      <c r="L19" s="1015">
        <f>C19/C$26</f>
        <v>7.1278574428511404E-2</v>
      </c>
      <c r="M19" s="1015">
        <f>F19/C$26</f>
        <v>4.2767144657106897</v>
      </c>
    </row>
    <row r="20" spans="1:13" s="10" customFormat="1" ht="14.1" customHeight="1" x14ac:dyDescent="0.25">
      <c r="A20" s="180">
        <v>2</v>
      </c>
      <c r="B20" s="20" t="s">
        <v>74</v>
      </c>
      <c r="C20" s="21">
        <v>0.06</v>
      </c>
      <c r="D20" s="21">
        <v>0.06</v>
      </c>
      <c r="E20" s="13">
        <f>цены!F87</f>
        <v>120</v>
      </c>
      <c r="F20" s="13">
        <f>C20*E20</f>
        <v>7.2</v>
      </c>
      <c r="G20" s="97">
        <f t="shared" si="0"/>
        <v>0.6</v>
      </c>
      <c r="H20" s="21">
        <f t="shared" si="0"/>
        <v>0.6</v>
      </c>
      <c r="I20" s="21">
        <f t="shared" si="1"/>
        <v>6</v>
      </c>
      <c r="J20" s="21">
        <f t="shared" si="1"/>
        <v>6</v>
      </c>
      <c r="L20" s="1015">
        <f t="shared" ref="L20:L21" si="2">C20/C$26</f>
        <v>3.5999280014399702E-3</v>
      </c>
      <c r="M20" s="1015">
        <f t="shared" ref="M20:M21" si="3">F20/C$26</f>
        <v>0.43199136017279599</v>
      </c>
    </row>
    <row r="21" spans="1:13" s="10" customFormat="1" ht="14.1" customHeight="1" x14ac:dyDescent="0.25">
      <c r="A21" s="180">
        <v>3</v>
      </c>
      <c r="B21" s="20" t="s">
        <v>75</v>
      </c>
      <c r="C21" s="21">
        <f>0.002*C26</f>
        <v>3.3000000000000002E-2</v>
      </c>
      <c r="D21" s="21">
        <f>C21</f>
        <v>3.3000000000000002E-2</v>
      </c>
      <c r="E21" s="13">
        <f>цены!F110</f>
        <v>24</v>
      </c>
      <c r="F21" s="13">
        <f>C21*E21</f>
        <v>0.79</v>
      </c>
      <c r="G21" s="97">
        <f t="shared" si="0"/>
        <v>0.33</v>
      </c>
      <c r="H21" s="21">
        <f t="shared" si="0"/>
        <v>0.33</v>
      </c>
      <c r="I21" s="21">
        <f t="shared" si="1"/>
        <v>3.3</v>
      </c>
      <c r="J21" s="21">
        <f t="shared" si="1"/>
        <v>3.3</v>
      </c>
      <c r="L21" s="1015">
        <f t="shared" si="2"/>
        <v>1.9799604007919801E-3</v>
      </c>
      <c r="M21" s="1015">
        <f t="shared" si="3"/>
        <v>4.7399052018959602E-2</v>
      </c>
    </row>
    <row r="22" spans="1:13" s="10" customFormat="1" ht="12" customHeight="1" x14ac:dyDescent="0.25">
      <c r="A22" s="98"/>
      <c r="B22" s="93" t="s">
        <v>100</v>
      </c>
      <c r="C22" s="100"/>
      <c r="D22" s="100">
        <v>1</v>
      </c>
      <c r="E22" s="95"/>
      <c r="F22" s="95">
        <f>SUM(F19:F21)</f>
        <v>79.27</v>
      </c>
      <c r="G22" s="99"/>
      <c r="H22" s="100">
        <f>D22*10</f>
        <v>10</v>
      </c>
      <c r="I22" s="100"/>
      <c r="J22" s="100">
        <f>D22*100</f>
        <v>100</v>
      </c>
      <c r="L22" s="1015">
        <f>SUM(L19:L21)</f>
        <v>7.6858462830743393E-2</v>
      </c>
      <c r="M22" s="1015">
        <f>SUM(M19:M21)</f>
        <v>4.7561048779024402</v>
      </c>
    </row>
    <row r="23" spans="1:13" s="10" customFormat="1" ht="27.6" customHeight="1" x14ac:dyDescent="0.25">
      <c r="A23" s="1536" t="s">
        <v>35</v>
      </c>
      <c r="B23" s="1536"/>
      <c r="C23" s="90"/>
      <c r="D23" s="90"/>
      <c r="E23" s="13"/>
      <c r="F23" s="13">
        <f>F22</f>
        <v>79.27</v>
      </c>
      <c r="G23" s="288"/>
      <c r="H23" s="288"/>
      <c r="I23" s="21"/>
      <c r="J23" s="13"/>
    </row>
    <row r="24" spans="1:13" s="10" customFormat="1" ht="25.35" customHeight="1" x14ac:dyDescent="0.25">
      <c r="A24" s="1536" t="s">
        <v>36</v>
      </c>
      <c r="B24" s="1536"/>
      <c r="C24" s="90">
        <v>1000</v>
      </c>
      <c r="D24" s="90"/>
      <c r="E24" s="13"/>
      <c r="F24" s="13"/>
      <c r="G24" s="13"/>
      <c r="H24" s="13"/>
      <c r="I24" s="21"/>
      <c r="J24" s="17"/>
    </row>
    <row r="25" spans="1:13" s="10" customFormat="1" ht="25.35" customHeight="1" x14ac:dyDescent="0.25">
      <c r="A25" s="1537" t="s">
        <v>37</v>
      </c>
      <c r="B25" s="1538"/>
      <c r="C25" s="91">
        <v>60</v>
      </c>
      <c r="D25" s="92"/>
      <c r="E25" s="289"/>
      <c r="F25" s="289"/>
      <c r="G25" s="289"/>
      <c r="H25" s="289"/>
      <c r="I25" s="21"/>
      <c r="J25" s="17"/>
    </row>
    <row r="26" spans="1:13" s="10" customFormat="1" ht="15" customHeight="1" x14ac:dyDescent="0.25">
      <c r="A26" s="1539" t="s">
        <v>38</v>
      </c>
      <c r="B26" s="1540"/>
      <c r="C26" s="92">
        <f>C24/C25</f>
        <v>16.667000000000002</v>
      </c>
      <c r="D26" s="92"/>
      <c r="E26" s="289"/>
      <c r="F26" s="289"/>
      <c r="G26" s="289"/>
      <c r="H26" s="289"/>
      <c r="I26" s="21"/>
      <c r="J26" s="17"/>
    </row>
    <row r="27" spans="1:13" ht="16.350000000000001" customHeight="1" x14ac:dyDescent="0.25">
      <c r="A27" s="1541" t="s">
        <v>39</v>
      </c>
      <c r="B27" s="1542"/>
      <c r="C27" s="15" t="s">
        <v>40</v>
      </c>
      <c r="D27" s="102"/>
      <c r="E27" s="102" t="s">
        <v>40</v>
      </c>
      <c r="F27" s="16">
        <f>F23/C26</f>
        <v>4.76</v>
      </c>
      <c r="G27" s="16"/>
      <c r="H27" s="16"/>
      <c r="I27" s="102" t="s">
        <v>40</v>
      </c>
      <c r="J27" s="102" t="s">
        <v>40</v>
      </c>
    </row>
    <row r="28" spans="1:13" ht="23.1" customHeight="1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3" ht="13.95" customHeight="1" x14ac:dyDescent="0.25">
      <c r="A29" s="1193"/>
      <c r="B29" s="1194" t="s">
        <v>49</v>
      </c>
      <c r="C29" s="1198"/>
      <c r="D29" s="1198"/>
      <c r="E29" s="1198"/>
      <c r="F29" s="1198"/>
      <c r="G29" s="1193"/>
      <c r="H29" s="1557">
        <f>'1-бутерброд с маслом'!$H$28</f>
        <v>0</v>
      </c>
      <c r="I29" s="1557"/>
      <c r="J29" s="1557"/>
    </row>
    <row r="30" spans="1:13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3" ht="13.95" customHeight="1" x14ac:dyDescent="0.25">
      <c r="A31" s="1545" t="s">
        <v>327</v>
      </c>
      <c r="B31" s="1545"/>
      <c r="C31" s="1546" t="s">
        <v>328</v>
      </c>
      <c r="D31" s="1546"/>
      <c r="E31" s="1546"/>
      <c r="F31" s="1546"/>
      <c r="G31" s="106"/>
      <c r="H31" s="1531"/>
      <c r="I31" s="1531"/>
      <c r="J31" s="1531"/>
    </row>
    <row r="32" spans="1:13" x14ac:dyDescent="0.25">
      <c r="A32" s="1193"/>
      <c r="B32" s="1193"/>
      <c r="C32" s="1546"/>
      <c r="D32" s="1546"/>
      <c r="E32" s="1546"/>
      <c r="F32" s="1546"/>
      <c r="G32" s="1193"/>
      <c r="H32" s="1531" t="s">
        <v>329</v>
      </c>
      <c r="I32" s="1531"/>
      <c r="J32" s="1531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</sheetData>
  <mergeCells count="28">
    <mergeCell ref="H29:J29"/>
    <mergeCell ref="A13:G13"/>
    <mergeCell ref="A24:B24"/>
    <mergeCell ref="A25:B25"/>
    <mergeCell ref="A26:B26"/>
    <mergeCell ref="A27:B27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1:B31"/>
    <mergeCell ref="C31:F32"/>
    <mergeCell ref="H31:J31"/>
    <mergeCell ref="H32:J32"/>
    <mergeCell ref="H5:I5"/>
    <mergeCell ref="A6:G6"/>
    <mergeCell ref="A7:I7"/>
    <mergeCell ref="A23:B23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J41"/>
  <sheetViews>
    <sheetView topLeftCell="A8" zoomScaleNormal="100" zoomScaleSheetLayoutView="100" workbookViewId="0">
      <selection activeCell="F32" sqref="F32"/>
    </sheetView>
  </sheetViews>
  <sheetFormatPr defaultColWidth="8.88671875" defaultRowHeight="13.8" x14ac:dyDescent="0.25"/>
  <cols>
    <col min="1" max="1" width="4.109375" style="851" customWidth="1"/>
    <col min="2" max="2" width="22.44140625" style="851" customWidth="1"/>
    <col min="3" max="7" width="7.5546875" style="851" customWidth="1"/>
    <col min="8" max="8" width="8.88671875" style="851" customWidth="1"/>
    <col min="9" max="9" width="7.5546875" style="851" customWidth="1"/>
    <col min="10" max="10" width="9" style="851" customWidth="1"/>
    <col min="11" max="11" width="4" style="851" customWidth="1"/>
    <col min="12" max="16384" width="8.88671875" style="85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215)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294</v>
      </c>
    </row>
    <row r="8" spans="1:10" s="2" customFormat="1" ht="9.6" customHeight="1" x14ac:dyDescent="0.25">
      <c r="A8" s="852"/>
      <c r="B8" s="852"/>
      <c r="C8" s="852"/>
      <c r="D8" s="852"/>
      <c r="E8" s="852"/>
      <c r="F8" s="852"/>
      <c r="G8" s="852"/>
      <c r="H8" s="852"/>
      <c r="I8" s="852"/>
      <c r="J8" s="109"/>
    </row>
    <row r="9" spans="1:10" s="2" customFormat="1" ht="26.1" customHeight="1" x14ac:dyDescent="0.3">
      <c r="A9" s="1559" t="s">
        <v>1287</v>
      </c>
      <c r="B9" s="1559"/>
      <c r="C9" s="1559"/>
      <c r="D9" s="1559"/>
      <c r="E9" s="1559"/>
      <c r="F9" s="1559"/>
      <c r="G9" s="1559"/>
      <c r="H9" s="1559"/>
      <c r="I9" s="1559"/>
      <c r="J9" s="1559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'294 котлеты из филе птицы '!H14+1</f>
        <v>215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853" t="s">
        <v>92</v>
      </c>
      <c r="D17" s="853" t="s">
        <v>94</v>
      </c>
      <c r="E17" s="853" t="s">
        <v>93</v>
      </c>
      <c r="F17" s="853" t="s">
        <v>23</v>
      </c>
      <c r="G17" s="853" t="s">
        <v>92</v>
      </c>
      <c r="H17" s="853" t="s">
        <v>94</v>
      </c>
      <c r="I17" s="853" t="s">
        <v>92</v>
      </c>
      <c r="J17" s="853" t="s">
        <v>94</v>
      </c>
    </row>
    <row r="18" spans="1:10" ht="9.6" customHeight="1" x14ac:dyDescent="0.25">
      <c r="A18" s="853">
        <v>1</v>
      </c>
      <c r="B18" s="854">
        <v>2</v>
      </c>
      <c r="C18" s="853">
        <v>3</v>
      </c>
      <c r="D18" s="854">
        <v>4</v>
      </c>
      <c r="E18" s="853">
        <v>5</v>
      </c>
      <c r="F18" s="854">
        <v>6</v>
      </c>
      <c r="G18" s="853">
        <v>7</v>
      </c>
      <c r="H18" s="854">
        <v>8</v>
      </c>
      <c r="I18" s="853">
        <v>9</v>
      </c>
      <c r="J18" s="854">
        <v>10</v>
      </c>
    </row>
    <row r="19" spans="1:10" s="10" customFormat="1" ht="13.35" customHeight="1" x14ac:dyDescent="0.25">
      <c r="A19" s="180">
        <v>1</v>
      </c>
      <c r="B19" s="20" t="s">
        <v>1231</v>
      </c>
      <c r="C19" s="21">
        <v>8.5000000000000006E-2</v>
      </c>
      <c r="D19" s="21">
        <v>5.8999999999999997E-2</v>
      </c>
      <c r="E19" s="408">
        <f>цены!F10</f>
        <v>320</v>
      </c>
      <c r="F19" s="408">
        <f t="shared" ref="F19:F25" si="0">C19*E19</f>
        <v>27.2</v>
      </c>
      <c r="G19" s="97">
        <f t="shared" ref="G19:H29" si="1">C19*10</f>
        <v>0.85</v>
      </c>
      <c r="H19" s="21">
        <f t="shared" si="1"/>
        <v>0.59</v>
      </c>
      <c r="I19" s="21">
        <f t="shared" ref="I19:J29" si="2">C19*100</f>
        <v>8.5</v>
      </c>
      <c r="J19" s="21">
        <f t="shared" si="2"/>
        <v>5.9</v>
      </c>
    </row>
    <row r="20" spans="1:10" s="10" customFormat="1" ht="14.1" customHeight="1" x14ac:dyDescent="0.25">
      <c r="A20" s="180">
        <v>2</v>
      </c>
      <c r="B20" s="20" t="s">
        <v>153</v>
      </c>
      <c r="C20" s="21">
        <v>2.3E-2</v>
      </c>
      <c r="D20" s="21">
        <v>2.3E-2</v>
      </c>
      <c r="E20" s="408">
        <f>цены!F20</f>
        <v>80</v>
      </c>
      <c r="F20" s="408">
        <f t="shared" si="0"/>
        <v>1.84</v>
      </c>
      <c r="G20" s="97">
        <f t="shared" si="1"/>
        <v>0.23</v>
      </c>
      <c r="H20" s="21">
        <f t="shared" si="1"/>
        <v>0.23</v>
      </c>
      <c r="I20" s="21">
        <f t="shared" si="2"/>
        <v>2.2999999999999998</v>
      </c>
      <c r="J20" s="21">
        <f t="shared" si="2"/>
        <v>2.2999999999999998</v>
      </c>
    </row>
    <row r="21" spans="1:10" s="10" customFormat="1" ht="14.1" customHeight="1" x14ac:dyDescent="0.25">
      <c r="A21" s="180">
        <v>3</v>
      </c>
      <c r="B21" s="20" t="s">
        <v>96</v>
      </c>
      <c r="C21" s="21">
        <v>1.4E-2</v>
      </c>
      <c r="D21" s="21">
        <v>1.4E-2</v>
      </c>
      <c r="E21" s="408">
        <f>цены!F157</f>
        <v>65</v>
      </c>
      <c r="F21" s="408">
        <f t="shared" si="0"/>
        <v>0.91</v>
      </c>
      <c r="G21" s="97">
        <f t="shared" si="1"/>
        <v>0.14000000000000001</v>
      </c>
      <c r="H21" s="21">
        <f t="shared" si="1"/>
        <v>0.14000000000000001</v>
      </c>
      <c r="I21" s="21">
        <f t="shared" si="2"/>
        <v>1.4</v>
      </c>
      <c r="J21" s="21">
        <f t="shared" si="2"/>
        <v>1.4</v>
      </c>
    </row>
    <row r="22" spans="1:10" s="10" customFormat="1" ht="14.1" customHeight="1" x14ac:dyDescent="0.25">
      <c r="A22" s="180">
        <v>4</v>
      </c>
      <c r="B22" s="20" t="s">
        <v>453</v>
      </c>
      <c r="C22" s="21">
        <v>3.0000000000000001E-3</v>
      </c>
      <c r="D22" s="21">
        <v>3.0000000000000001E-3</v>
      </c>
      <c r="E22" s="408">
        <f>цены!F13</f>
        <v>100</v>
      </c>
      <c r="F22" s="408">
        <f t="shared" si="0"/>
        <v>0.3</v>
      </c>
      <c r="G22" s="97">
        <f t="shared" si="1"/>
        <v>0.03</v>
      </c>
      <c r="H22" s="21">
        <f t="shared" si="1"/>
        <v>0.03</v>
      </c>
      <c r="I22" s="21">
        <f t="shared" si="2"/>
        <v>0.3</v>
      </c>
      <c r="J22" s="21">
        <f t="shared" si="2"/>
        <v>0.3</v>
      </c>
    </row>
    <row r="23" spans="1:10" s="10" customFormat="1" ht="14.1" customHeight="1" x14ac:dyDescent="0.25">
      <c r="A23" s="180">
        <v>5</v>
      </c>
      <c r="B23" s="20" t="s">
        <v>454</v>
      </c>
      <c r="C23" s="21">
        <v>8.0000000000000002E-3</v>
      </c>
      <c r="D23" s="21">
        <v>8.0000000000000002E-3</v>
      </c>
      <c r="E23" s="408">
        <f>цены!F111</f>
        <v>118</v>
      </c>
      <c r="F23" s="408">
        <f t="shared" si="0"/>
        <v>0.94</v>
      </c>
      <c r="G23" s="97">
        <f t="shared" si="1"/>
        <v>0.08</v>
      </c>
      <c r="H23" s="21">
        <f t="shared" si="1"/>
        <v>0.08</v>
      </c>
      <c r="I23" s="21">
        <f t="shared" si="2"/>
        <v>0.8</v>
      </c>
      <c r="J23" s="21">
        <f t="shared" si="2"/>
        <v>0.8</v>
      </c>
    </row>
    <row r="24" spans="1:10" s="10" customFormat="1" ht="12" customHeight="1" x14ac:dyDescent="0.25">
      <c r="A24" s="180">
        <v>6</v>
      </c>
      <c r="B24" s="20" t="s">
        <v>124</v>
      </c>
      <c r="C24" s="111">
        <v>5.0000000000000001E-3</v>
      </c>
      <c r="D24" s="111">
        <v>5.0000000000000001E-3</v>
      </c>
      <c r="E24" s="408">
        <f>цены!F110</f>
        <v>24</v>
      </c>
      <c r="F24" s="408">
        <f t="shared" si="0"/>
        <v>0.12</v>
      </c>
      <c r="G24" s="97">
        <f t="shared" si="1"/>
        <v>0.05</v>
      </c>
      <c r="H24" s="21">
        <f t="shared" si="1"/>
        <v>0.05</v>
      </c>
      <c r="I24" s="21">
        <f t="shared" si="2"/>
        <v>0.5</v>
      </c>
      <c r="J24" s="21">
        <f t="shared" si="2"/>
        <v>0.5</v>
      </c>
    </row>
    <row r="25" spans="1:10" s="10" customFormat="1" ht="12" customHeight="1" x14ac:dyDescent="0.25">
      <c r="A25" s="180">
        <v>7</v>
      </c>
      <c r="B25" s="20" t="s">
        <v>28</v>
      </c>
      <c r="C25" s="111">
        <v>2.3E-2</v>
      </c>
      <c r="D25" s="111">
        <v>2.3E-2</v>
      </c>
      <c r="E25" s="408"/>
      <c r="F25" s="408">
        <f t="shared" si="0"/>
        <v>0</v>
      </c>
      <c r="G25" s="97">
        <f t="shared" si="1"/>
        <v>0.23</v>
      </c>
      <c r="H25" s="21">
        <f t="shared" si="1"/>
        <v>0.23</v>
      </c>
      <c r="I25" s="21">
        <f t="shared" si="2"/>
        <v>2.2999999999999998</v>
      </c>
      <c r="J25" s="21">
        <f t="shared" si="2"/>
        <v>2.2999999999999998</v>
      </c>
    </row>
    <row r="26" spans="1:10" s="10" customFormat="1" ht="25.5" customHeight="1" x14ac:dyDescent="0.25">
      <c r="A26" s="184"/>
      <c r="B26" s="93" t="s">
        <v>455</v>
      </c>
      <c r="C26" s="1028"/>
      <c r="D26" s="1028">
        <v>100</v>
      </c>
      <c r="E26" s="1028"/>
      <c r="F26" s="1028"/>
      <c r="G26" s="1031">
        <f t="shared" si="1"/>
        <v>0</v>
      </c>
      <c r="H26" s="1028">
        <f t="shared" si="1"/>
        <v>1000</v>
      </c>
      <c r="I26" s="1028">
        <f t="shared" si="2"/>
        <v>0</v>
      </c>
      <c r="J26" s="1028">
        <f t="shared" si="2"/>
        <v>10000</v>
      </c>
    </row>
    <row r="27" spans="1:10" s="10" customFormat="1" ht="14.25" customHeight="1" x14ac:dyDescent="0.25">
      <c r="A27" s="129">
        <v>8</v>
      </c>
      <c r="B27" s="123" t="s">
        <v>74</v>
      </c>
      <c r="C27" s="244">
        <v>5.0000000000000001E-3</v>
      </c>
      <c r="D27" s="244">
        <v>5.0000000000000001E-3</v>
      </c>
      <c r="E27" s="127">
        <f>цены!F87</f>
        <v>120</v>
      </c>
      <c r="F27" s="127">
        <f>C27*E27</f>
        <v>0.6</v>
      </c>
      <c r="G27" s="128">
        <f t="shared" si="1"/>
        <v>0.05</v>
      </c>
      <c r="H27" s="126">
        <f t="shared" si="1"/>
        <v>0.05</v>
      </c>
      <c r="I27" s="126">
        <f t="shared" si="2"/>
        <v>0.5</v>
      </c>
      <c r="J27" s="126">
        <f t="shared" si="2"/>
        <v>0.5</v>
      </c>
    </row>
    <row r="28" spans="1:10" s="10" customFormat="1" ht="12" customHeight="1" x14ac:dyDescent="0.25">
      <c r="A28" s="184"/>
      <c r="B28" s="93" t="s">
        <v>456</v>
      </c>
      <c r="C28" s="1029"/>
      <c r="D28" s="1028">
        <v>80</v>
      </c>
      <c r="E28" s="1028"/>
      <c r="F28" s="1028"/>
      <c r="G28" s="1031">
        <f t="shared" si="1"/>
        <v>0</v>
      </c>
      <c r="H28" s="1028">
        <f t="shared" si="1"/>
        <v>800</v>
      </c>
      <c r="I28" s="1028">
        <f t="shared" si="2"/>
        <v>0</v>
      </c>
      <c r="J28" s="1028">
        <f t="shared" si="2"/>
        <v>8000</v>
      </c>
    </row>
    <row r="29" spans="1:10" s="10" customFormat="1" ht="12" customHeight="1" x14ac:dyDescent="0.25">
      <c r="A29" s="129">
        <v>9</v>
      </c>
      <c r="B29" s="123" t="s">
        <v>420</v>
      </c>
      <c r="C29" s="130">
        <v>0.03</v>
      </c>
      <c r="D29" s="130">
        <v>0.03</v>
      </c>
      <c r="E29" s="127">
        <f>'333-соус с томатом и лук'!F28</f>
        <v>104.37</v>
      </c>
      <c r="F29" s="408">
        <f>C29*E29</f>
        <v>3.13</v>
      </c>
      <c r="G29" s="97">
        <f t="shared" si="1"/>
        <v>0.3</v>
      </c>
      <c r="H29" s="21">
        <f t="shared" si="1"/>
        <v>0.3</v>
      </c>
      <c r="I29" s="21">
        <f t="shared" si="2"/>
        <v>3</v>
      </c>
      <c r="J29" s="21">
        <f t="shared" si="2"/>
        <v>3</v>
      </c>
    </row>
    <row r="30" spans="1:10" s="10" customFormat="1" ht="12" customHeight="1" x14ac:dyDescent="0.25">
      <c r="A30" s="98"/>
      <c r="B30" s="93" t="s">
        <v>100</v>
      </c>
      <c r="C30" s="112"/>
      <c r="D30" s="1028">
        <v>110</v>
      </c>
      <c r="E30" s="1028"/>
      <c r="F30" s="95">
        <f>SUM(F19:F29)</f>
        <v>35.04</v>
      </c>
      <c r="G30" s="1031"/>
      <c r="H30" s="1028">
        <f>D30*10</f>
        <v>1100</v>
      </c>
      <c r="I30" s="1028"/>
      <c r="J30" s="1028">
        <f>D30*100</f>
        <v>11000</v>
      </c>
    </row>
    <row r="31" spans="1:10" s="10" customFormat="1" ht="14.4" customHeight="1" x14ac:dyDescent="0.25">
      <c r="A31" s="203"/>
      <c r="B31" s="204" t="s">
        <v>457</v>
      </c>
      <c r="C31" s="205"/>
      <c r="D31" s="205"/>
      <c r="E31" s="206"/>
      <c r="F31" s="206"/>
      <c r="G31" s="207"/>
      <c r="H31" s="208"/>
      <c r="I31" s="208"/>
      <c r="J31" s="208"/>
    </row>
    <row r="32" spans="1:10" s="10" customFormat="1" ht="20.399999999999999" customHeight="1" x14ac:dyDescent="0.25">
      <c r="A32" s="1536" t="s">
        <v>35</v>
      </c>
      <c r="B32" s="1536"/>
      <c r="C32" s="90"/>
      <c r="D32" s="90"/>
      <c r="E32" s="408"/>
      <c r="F32" s="408">
        <f>F30</f>
        <v>35.04</v>
      </c>
      <c r="G32" s="855"/>
      <c r="H32" s="855"/>
      <c r="I32" s="21"/>
      <c r="J32" s="408"/>
    </row>
    <row r="33" spans="1:10" s="10" customFormat="1" ht="25.35" customHeight="1" x14ac:dyDescent="0.25">
      <c r="A33" s="1536" t="s">
        <v>36</v>
      </c>
      <c r="B33" s="1536"/>
      <c r="C33" s="90">
        <v>110</v>
      </c>
      <c r="D33" s="90"/>
      <c r="E33" s="408"/>
      <c r="F33" s="408"/>
      <c r="G33" s="408"/>
      <c r="H33" s="408"/>
      <c r="I33" s="21"/>
      <c r="J33" s="17"/>
    </row>
    <row r="34" spans="1:10" s="10" customFormat="1" ht="25.35" customHeight="1" x14ac:dyDescent="0.25">
      <c r="A34" s="1537" t="s">
        <v>37</v>
      </c>
      <c r="B34" s="1538"/>
      <c r="C34" s="91">
        <v>110</v>
      </c>
      <c r="D34" s="92"/>
      <c r="E34" s="854"/>
      <c r="F34" s="854"/>
      <c r="G34" s="854"/>
      <c r="H34" s="854"/>
      <c r="I34" s="21"/>
      <c r="J34" s="17"/>
    </row>
    <row r="35" spans="1:10" s="10" customFormat="1" ht="15" customHeight="1" x14ac:dyDescent="0.25">
      <c r="A35" s="1539" t="s">
        <v>38</v>
      </c>
      <c r="B35" s="1540"/>
      <c r="C35" s="92">
        <f>C33/C34</f>
        <v>1</v>
      </c>
      <c r="D35" s="92"/>
      <c r="E35" s="854"/>
      <c r="F35" s="854"/>
      <c r="G35" s="854"/>
      <c r="H35" s="854"/>
      <c r="I35" s="21"/>
      <c r="J35" s="17"/>
    </row>
    <row r="36" spans="1:10" ht="16.350000000000001" customHeight="1" x14ac:dyDescent="0.25">
      <c r="A36" s="1541" t="s">
        <v>39</v>
      </c>
      <c r="B36" s="1542"/>
      <c r="C36" s="15" t="s">
        <v>40</v>
      </c>
      <c r="D36" s="102"/>
      <c r="E36" s="102" t="s">
        <v>40</v>
      </c>
      <c r="F36" s="16">
        <f>F32/C35</f>
        <v>35.04</v>
      </c>
      <c r="G36" s="16"/>
      <c r="H36" s="16"/>
      <c r="I36" s="102" t="s">
        <v>40</v>
      </c>
      <c r="J36" s="102" t="s">
        <v>40</v>
      </c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193"/>
      <c r="B38" s="1194" t="s">
        <v>49</v>
      </c>
      <c r="C38" s="1198"/>
      <c r="D38" s="1198"/>
      <c r="E38" s="1198"/>
      <c r="F38" s="1198"/>
      <c r="G38" s="1193"/>
      <c r="H38" s="1557">
        <f>'1-бутерброд с маслом'!$H$28</f>
        <v>0</v>
      </c>
      <c r="I38" s="1557"/>
      <c r="J38" s="1557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545" t="s">
        <v>327</v>
      </c>
      <c r="B40" s="1545"/>
      <c r="C40" s="1546" t="s">
        <v>328</v>
      </c>
      <c r="D40" s="1546"/>
      <c r="E40" s="1546"/>
      <c r="F40" s="1546"/>
      <c r="G40" s="106"/>
      <c r="H40" s="1531"/>
      <c r="I40" s="1531"/>
      <c r="J40" s="1531"/>
    </row>
    <row r="41" spans="1:10" x14ac:dyDescent="0.25">
      <c r="A41" s="1193"/>
      <c r="B41" s="1193"/>
      <c r="C41" s="1546"/>
      <c r="D41" s="1546"/>
      <c r="E41" s="1546"/>
      <c r="F41" s="1546"/>
      <c r="G41" s="1193"/>
      <c r="H41" s="1531" t="s">
        <v>329</v>
      </c>
      <c r="I41" s="1531"/>
      <c r="J41" s="1531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0:B40"/>
    <mergeCell ref="C40:F41"/>
    <mergeCell ref="H40:J40"/>
    <mergeCell ref="H41:J41"/>
    <mergeCell ref="H38:J38"/>
    <mergeCell ref="A33:B33"/>
    <mergeCell ref="A34:B34"/>
    <mergeCell ref="A35:B35"/>
    <mergeCell ref="A36:B36"/>
    <mergeCell ref="A32:B32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45"/>
  <sheetViews>
    <sheetView view="pageBreakPreview" topLeftCell="A15" zoomScaleNormal="100" zoomScaleSheetLayoutView="100" workbookViewId="0">
      <selection activeCell="G35" sqref="G35"/>
    </sheetView>
  </sheetViews>
  <sheetFormatPr defaultRowHeight="13.8" x14ac:dyDescent="0.25"/>
  <cols>
    <col min="1" max="1" width="4.109375" customWidth="1"/>
    <col min="2" max="2" width="22.4414062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216)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296</v>
      </c>
    </row>
    <row r="8" spans="1:10" s="2" customFormat="1" ht="9.6" customHeight="1" x14ac:dyDescent="0.25">
      <c r="A8" s="242"/>
      <c r="B8" s="242"/>
      <c r="C8" s="242"/>
      <c r="D8" s="242"/>
      <c r="E8" s="242"/>
      <c r="F8" s="242"/>
      <c r="G8" s="242"/>
      <c r="H8" s="242"/>
      <c r="I8" s="242"/>
      <c r="J8" s="109"/>
    </row>
    <row r="9" spans="1:10" s="2" customFormat="1" ht="26.1" customHeight="1" x14ac:dyDescent="0.3">
      <c r="A9" s="1550" t="s">
        <v>538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'294 котлеты из птицы '!H14+1</f>
        <v>216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39" t="s">
        <v>92</v>
      </c>
      <c r="D17" s="239" t="s">
        <v>94</v>
      </c>
      <c r="E17" s="239" t="s">
        <v>93</v>
      </c>
      <c r="F17" s="239" t="s">
        <v>23</v>
      </c>
      <c r="G17" s="239" t="s">
        <v>92</v>
      </c>
      <c r="H17" s="239" t="s">
        <v>94</v>
      </c>
      <c r="I17" s="239" t="s">
        <v>92</v>
      </c>
      <c r="J17" s="239" t="s">
        <v>94</v>
      </c>
    </row>
    <row r="18" spans="1:10" ht="9.6" customHeight="1" x14ac:dyDescent="0.25">
      <c r="A18" s="239">
        <v>1</v>
      </c>
      <c r="B18" s="241">
        <v>2</v>
      </c>
      <c r="C18" s="239">
        <v>3</v>
      </c>
      <c r="D18" s="241">
        <v>4</v>
      </c>
      <c r="E18" s="239">
        <v>5</v>
      </c>
      <c r="F18" s="241">
        <v>6</v>
      </c>
      <c r="G18" s="239">
        <v>7</v>
      </c>
      <c r="H18" s="241">
        <v>8</v>
      </c>
      <c r="I18" s="239">
        <v>9</v>
      </c>
      <c r="J18" s="241">
        <v>10</v>
      </c>
    </row>
    <row r="19" spans="1:10" s="10" customFormat="1" ht="14.4" customHeight="1" x14ac:dyDescent="0.25">
      <c r="A19" s="180">
        <v>1</v>
      </c>
      <c r="B19" s="20" t="s">
        <v>147</v>
      </c>
      <c r="C19" s="21">
        <v>7.6999999999999999E-2</v>
      </c>
      <c r="D19" s="21">
        <v>3.6999999999999998E-2</v>
      </c>
      <c r="E19" s="13">
        <f>цены!F9</f>
        <v>195</v>
      </c>
      <c r="F19" s="13">
        <f t="shared" ref="F19:F24" si="0">C19*E19</f>
        <v>15.02</v>
      </c>
      <c r="G19" s="97">
        <f t="shared" ref="G19:H32" si="1">C19*10</f>
        <v>0.77</v>
      </c>
      <c r="H19" s="21">
        <f t="shared" si="1"/>
        <v>0.37</v>
      </c>
      <c r="I19" s="21">
        <f t="shared" ref="I19:J32" si="2">C19*100</f>
        <v>7.7</v>
      </c>
      <c r="J19" s="21">
        <f t="shared" si="2"/>
        <v>3.7</v>
      </c>
    </row>
    <row r="20" spans="1:10" s="10" customFormat="1" ht="14.1" customHeight="1" x14ac:dyDescent="0.25">
      <c r="A20" s="180">
        <v>2</v>
      </c>
      <c r="B20" s="20" t="s">
        <v>34</v>
      </c>
      <c r="C20" s="21">
        <v>7.0000000000000001E-3</v>
      </c>
      <c r="D20" s="21">
        <v>7.0000000000000001E-3</v>
      </c>
      <c r="E20" s="13">
        <f>цены!F20</f>
        <v>80</v>
      </c>
      <c r="F20" s="13">
        <f t="shared" si="0"/>
        <v>0.56000000000000005</v>
      </c>
      <c r="G20" s="97">
        <f t="shared" si="1"/>
        <v>7.0000000000000007E-2</v>
      </c>
      <c r="H20" s="21">
        <f t="shared" si="1"/>
        <v>7.0000000000000007E-2</v>
      </c>
      <c r="I20" s="21">
        <f t="shared" si="2"/>
        <v>0.7</v>
      </c>
      <c r="J20" s="21">
        <f t="shared" si="2"/>
        <v>0.7</v>
      </c>
    </row>
    <row r="21" spans="1:10" s="10" customFormat="1" ht="14.1" customHeight="1" x14ac:dyDescent="0.25">
      <c r="A21" s="180">
        <v>3</v>
      </c>
      <c r="B21" s="20" t="s">
        <v>96</v>
      </c>
      <c r="C21" s="21">
        <v>8.9999999999999993E-3</v>
      </c>
      <c r="D21" s="21">
        <v>8.9999999999999993E-3</v>
      </c>
      <c r="E21" s="13">
        <f>цены!F157</f>
        <v>65</v>
      </c>
      <c r="F21" s="13">
        <f t="shared" si="0"/>
        <v>0.59</v>
      </c>
      <c r="G21" s="97">
        <f t="shared" si="1"/>
        <v>0.09</v>
      </c>
      <c r="H21" s="21">
        <f t="shared" si="1"/>
        <v>0.09</v>
      </c>
      <c r="I21" s="21">
        <f t="shared" si="2"/>
        <v>0.9</v>
      </c>
      <c r="J21" s="21">
        <f t="shared" si="2"/>
        <v>0.9</v>
      </c>
    </row>
    <row r="22" spans="1:10" s="10" customFormat="1" ht="14.1" customHeight="1" x14ac:dyDescent="0.25">
      <c r="A22" s="180">
        <v>4</v>
      </c>
      <c r="B22" s="20" t="s">
        <v>453</v>
      </c>
      <c r="C22" s="21">
        <v>2E-3</v>
      </c>
      <c r="D22" s="21">
        <v>2E-3</v>
      </c>
      <c r="E22" s="13">
        <f>цены!F13</f>
        <v>100</v>
      </c>
      <c r="F22" s="13">
        <f t="shared" si="0"/>
        <v>0.2</v>
      </c>
      <c r="G22" s="97">
        <f t="shared" si="1"/>
        <v>0.02</v>
      </c>
      <c r="H22" s="21">
        <f t="shared" si="1"/>
        <v>0.02</v>
      </c>
      <c r="I22" s="21">
        <f t="shared" si="2"/>
        <v>0.2</v>
      </c>
      <c r="J22" s="21">
        <f t="shared" si="2"/>
        <v>0.2</v>
      </c>
    </row>
    <row r="23" spans="1:10" s="10" customFormat="1" ht="12" customHeight="1" x14ac:dyDescent="0.25">
      <c r="A23" s="180">
        <v>5</v>
      </c>
      <c r="B23" s="20" t="s">
        <v>124</v>
      </c>
      <c r="C23" s="111">
        <v>3.0000000000000001E-3</v>
      </c>
      <c r="D23" s="111">
        <v>3.0000000000000001E-3</v>
      </c>
      <c r="E23" s="13">
        <f>цены!F110</f>
        <v>24</v>
      </c>
      <c r="F23" s="13">
        <f t="shared" si="0"/>
        <v>7.0000000000000007E-2</v>
      </c>
      <c r="G23" s="97">
        <f t="shared" si="1"/>
        <v>0.03</v>
      </c>
      <c r="H23" s="21">
        <f t="shared" si="1"/>
        <v>0.03</v>
      </c>
      <c r="I23" s="21">
        <f t="shared" si="2"/>
        <v>0.3</v>
      </c>
      <c r="J23" s="21">
        <f t="shared" si="2"/>
        <v>0.3</v>
      </c>
    </row>
    <row r="24" spans="1:10" s="10" customFormat="1" ht="12" customHeight="1" x14ac:dyDescent="0.25">
      <c r="A24" s="180">
        <v>6</v>
      </c>
      <c r="B24" s="20" t="s">
        <v>28</v>
      </c>
      <c r="C24" s="111">
        <v>6.0000000000000001E-3</v>
      </c>
      <c r="D24" s="111">
        <v>6.0000000000000001E-3</v>
      </c>
      <c r="E24" s="408"/>
      <c r="F24" s="408">
        <f t="shared" si="0"/>
        <v>0</v>
      </c>
      <c r="G24" s="97">
        <f t="shared" si="1"/>
        <v>0.06</v>
      </c>
      <c r="H24" s="21">
        <f t="shared" si="1"/>
        <v>0.06</v>
      </c>
      <c r="I24" s="21">
        <f t="shared" si="2"/>
        <v>0.6</v>
      </c>
      <c r="J24" s="21">
        <f t="shared" si="2"/>
        <v>0.6</v>
      </c>
    </row>
    <row r="25" spans="1:10" s="10" customFormat="1" ht="25.5" customHeight="1" x14ac:dyDescent="0.25">
      <c r="A25" s="184"/>
      <c r="B25" s="93" t="s">
        <v>458</v>
      </c>
      <c r="C25" s="1029"/>
      <c r="D25" s="1028">
        <v>63</v>
      </c>
      <c r="E25" s="1028"/>
      <c r="F25" s="1028"/>
      <c r="G25" s="1031">
        <f t="shared" si="1"/>
        <v>0</v>
      </c>
      <c r="H25" s="1028">
        <f t="shared" si="1"/>
        <v>630</v>
      </c>
      <c r="I25" s="1028">
        <f t="shared" si="2"/>
        <v>0</v>
      </c>
      <c r="J25" s="1028">
        <f t="shared" si="2"/>
        <v>6300</v>
      </c>
    </row>
    <row r="26" spans="1:10" s="10" customFormat="1" ht="14.25" customHeight="1" x14ac:dyDescent="0.25">
      <c r="A26" s="129">
        <v>7</v>
      </c>
      <c r="B26" s="123" t="s">
        <v>1266</v>
      </c>
      <c r="C26" s="244">
        <v>2.5000000000000001E-2</v>
      </c>
      <c r="D26" s="244">
        <v>2.5000000000000001E-2</v>
      </c>
      <c r="E26" s="127">
        <f>'329 соус молочный густой'!F30</f>
        <v>157.19</v>
      </c>
      <c r="F26" s="127">
        <f>D26*E26</f>
        <v>3.93</v>
      </c>
      <c r="G26" s="128"/>
      <c r="H26" s="126">
        <f t="shared" si="1"/>
        <v>0.25</v>
      </c>
      <c r="I26" s="126"/>
      <c r="J26" s="126">
        <f t="shared" si="2"/>
        <v>2.5</v>
      </c>
    </row>
    <row r="27" spans="1:10" s="10" customFormat="1" ht="14.25" customHeight="1" x14ac:dyDescent="0.25">
      <c r="A27" s="129">
        <v>8</v>
      </c>
      <c r="B27" s="123" t="s">
        <v>31</v>
      </c>
      <c r="C27" s="244">
        <v>5.0000000000000001E-3</v>
      </c>
      <c r="D27" s="244">
        <v>5.0000000000000001E-3</v>
      </c>
      <c r="E27" s="127">
        <f>цены!F21</f>
        <v>710</v>
      </c>
      <c r="F27" s="127">
        <f>C27*E27</f>
        <v>3.55</v>
      </c>
      <c r="G27" s="128">
        <f t="shared" si="1"/>
        <v>0.05</v>
      </c>
      <c r="H27" s="126">
        <f t="shared" si="1"/>
        <v>0.05</v>
      </c>
      <c r="I27" s="126">
        <f t="shared" si="2"/>
        <v>0.5</v>
      </c>
      <c r="J27" s="126">
        <f t="shared" si="2"/>
        <v>0.5</v>
      </c>
    </row>
    <row r="28" spans="1:10" s="10" customFormat="1" ht="14.25" customHeight="1" x14ac:dyDescent="0.25">
      <c r="A28" s="129">
        <v>9</v>
      </c>
      <c r="B28" s="123" t="s">
        <v>459</v>
      </c>
      <c r="C28" s="244">
        <v>3.3E-3</v>
      </c>
      <c r="D28" s="244">
        <v>3.0000000000000001E-3</v>
      </c>
      <c r="E28" s="127">
        <f>цены!F22</f>
        <v>719</v>
      </c>
      <c r="F28" s="127">
        <f>C28*E28</f>
        <v>2.37</v>
      </c>
      <c r="G28" s="128">
        <f t="shared" si="1"/>
        <v>3.3000000000000002E-2</v>
      </c>
      <c r="H28" s="126">
        <f t="shared" si="1"/>
        <v>0.03</v>
      </c>
      <c r="I28" s="126">
        <f t="shared" si="2"/>
        <v>0.33</v>
      </c>
      <c r="J28" s="126">
        <f t="shared" si="2"/>
        <v>0.3</v>
      </c>
    </row>
    <row r="29" spans="1:10" s="10" customFormat="1" ht="12" customHeight="1" x14ac:dyDescent="0.25">
      <c r="A29" s="184"/>
      <c r="B29" s="93" t="s">
        <v>97</v>
      </c>
      <c r="C29" s="1029"/>
      <c r="D29" s="1028">
        <v>90</v>
      </c>
      <c r="E29" s="1028"/>
      <c r="F29" s="1028"/>
      <c r="G29" s="1031">
        <f t="shared" si="1"/>
        <v>0</v>
      </c>
      <c r="H29" s="1028">
        <f t="shared" si="1"/>
        <v>900</v>
      </c>
      <c r="I29" s="1028">
        <f t="shared" si="2"/>
        <v>0</v>
      </c>
      <c r="J29" s="1028">
        <f t="shared" si="2"/>
        <v>9000</v>
      </c>
    </row>
    <row r="30" spans="1:10" s="10" customFormat="1" ht="12" customHeight="1" x14ac:dyDescent="0.25">
      <c r="A30" s="184"/>
      <c r="B30" s="93" t="s">
        <v>460</v>
      </c>
      <c r="C30" s="1029"/>
      <c r="D30" s="1028">
        <v>70</v>
      </c>
      <c r="E30" s="1028"/>
      <c r="F30" s="1028"/>
      <c r="G30" s="1031"/>
      <c r="H30" s="1028">
        <f t="shared" si="1"/>
        <v>700</v>
      </c>
      <c r="I30" s="1028"/>
      <c r="J30" s="1028">
        <f t="shared" si="2"/>
        <v>7000</v>
      </c>
    </row>
    <row r="31" spans="1:10" s="10" customFormat="1" ht="12" customHeight="1" x14ac:dyDescent="0.25">
      <c r="A31" s="180">
        <v>10</v>
      </c>
      <c r="B31" s="20" t="s">
        <v>78</v>
      </c>
      <c r="C31" s="111">
        <v>2E-3</v>
      </c>
      <c r="D31" s="111">
        <v>2E-3</v>
      </c>
      <c r="E31" s="13">
        <f>цены!F48</f>
        <v>300</v>
      </c>
      <c r="F31" s="13">
        <f>C31*E31</f>
        <v>0.6</v>
      </c>
      <c r="G31" s="97">
        <f t="shared" si="1"/>
        <v>0.02</v>
      </c>
      <c r="H31" s="21">
        <f t="shared" si="1"/>
        <v>0.02</v>
      </c>
      <c r="I31" s="21">
        <f t="shared" si="2"/>
        <v>0.2</v>
      </c>
      <c r="J31" s="21">
        <f t="shared" si="2"/>
        <v>0.2</v>
      </c>
    </row>
    <row r="32" spans="1:10" s="10" customFormat="1" ht="12" customHeight="1" x14ac:dyDescent="0.25">
      <c r="A32" s="129">
        <v>11</v>
      </c>
      <c r="B32" s="123" t="s">
        <v>461</v>
      </c>
      <c r="C32" s="130"/>
      <c r="D32" s="130">
        <v>0.03</v>
      </c>
      <c r="E32" s="127">
        <f>'332-соус с луком'!F27</f>
        <v>82.6</v>
      </c>
      <c r="F32" s="13">
        <f>D32*E32</f>
        <v>2.48</v>
      </c>
      <c r="G32" s="97">
        <f t="shared" si="1"/>
        <v>0</v>
      </c>
      <c r="H32" s="21">
        <f t="shared" si="1"/>
        <v>0.3</v>
      </c>
      <c r="I32" s="21">
        <f t="shared" si="2"/>
        <v>0</v>
      </c>
      <c r="J32" s="21">
        <f t="shared" si="2"/>
        <v>3</v>
      </c>
    </row>
    <row r="33" spans="1:10" s="10" customFormat="1" ht="12" customHeight="1" x14ac:dyDescent="0.25">
      <c r="A33" s="98"/>
      <c r="B33" s="93" t="s">
        <v>100</v>
      </c>
      <c r="C33" s="112"/>
      <c r="D33" s="1028">
        <v>100</v>
      </c>
      <c r="E33" s="1028"/>
      <c r="F33" s="95">
        <f>SUM(F19:F32)</f>
        <v>29.37</v>
      </c>
      <c r="G33" s="1031"/>
      <c r="H33" s="1028">
        <f>D33*10</f>
        <v>1000</v>
      </c>
      <c r="I33" s="1028"/>
      <c r="J33" s="1028">
        <f>D33*100</f>
        <v>10000</v>
      </c>
    </row>
    <row r="34" spans="1:10" s="10" customFormat="1" ht="16.2" customHeight="1" x14ac:dyDescent="0.25">
      <c r="A34" s="203"/>
      <c r="B34" s="204" t="s">
        <v>462</v>
      </c>
      <c r="C34" s="205"/>
      <c r="D34" s="205"/>
      <c r="E34" s="206"/>
      <c r="F34" s="206"/>
      <c r="G34" s="207"/>
      <c r="H34" s="208"/>
      <c r="I34" s="208"/>
      <c r="J34" s="208"/>
    </row>
    <row r="35" spans="1:10" s="10" customFormat="1" ht="27.6" customHeight="1" x14ac:dyDescent="0.25">
      <c r="A35" s="1536" t="s">
        <v>35</v>
      </c>
      <c r="B35" s="1536"/>
      <c r="C35" s="90"/>
      <c r="D35" s="90"/>
      <c r="E35" s="13"/>
      <c r="F35" s="13">
        <f>F33</f>
        <v>29.37</v>
      </c>
      <c r="G35" s="240"/>
      <c r="H35" s="240"/>
      <c r="I35" s="21"/>
      <c r="J35" s="13"/>
    </row>
    <row r="36" spans="1:10" s="10" customFormat="1" ht="25.35" customHeight="1" x14ac:dyDescent="0.25">
      <c r="A36" s="1536" t="s">
        <v>36</v>
      </c>
      <c r="B36" s="1536"/>
      <c r="C36" s="90">
        <v>100</v>
      </c>
      <c r="D36" s="90"/>
      <c r="E36" s="13"/>
      <c r="F36" s="13"/>
      <c r="G36" s="13"/>
      <c r="H36" s="13"/>
      <c r="I36" s="21"/>
      <c r="J36" s="17"/>
    </row>
    <row r="37" spans="1:10" s="10" customFormat="1" ht="25.35" customHeight="1" x14ac:dyDescent="0.25">
      <c r="A37" s="1537" t="s">
        <v>37</v>
      </c>
      <c r="B37" s="1538"/>
      <c r="C37" s="91">
        <v>100</v>
      </c>
      <c r="D37" s="92"/>
      <c r="E37" s="241"/>
      <c r="F37" s="241"/>
      <c r="G37" s="241"/>
      <c r="H37" s="241"/>
      <c r="I37" s="21"/>
      <c r="J37" s="17"/>
    </row>
    <row r="38" spans="1:10" s="10" customFormat="1" ht="15" customHeight="1" x14ac:dyDescent="0.25">
      <c r="A38" s="1539" t="s">
        <v>38</v>
      </c>
      <c r="B38" s="1540"/>
      <c r="C38" s="92">
        <f>C36/C37</f>
        <v>1</v>
      </c>
      <c r="D38" s="92"/>
      <c r="E38" s="241"/>
      <c r="F38" s="241"/>
      <c r="G38" s="241"/>
      <c r="H38" s="241"/>
      <c r="I38" s="21"/>
      <c r="J38" s="17"/>
    </row>
    <row r="39" spans="1:10" ht="16.350000000000001" customHeight="1" x14ac:dyDescent="0.25">
      <c r="A39" s="1541" t="s">
        <v>39</v>
      </c>
      <c r="B39" s="1542"/>
      <c r="C39" s="15" t="s">
        <v>40</v>
      </c>
      <c r="D39" s="102"/>
      <c r="E39" s="102" t="s">
        <v>40</v>
      </c>
      <c r="F39" s="16">
        <f>F35/C38</f>
        <v>29.37</v>
      </c>
      <c r="G39" s="16"/>
      <c r="H39" s="16"/>
      <c r="I39" s="102" t="s">
        <v>40</v>
      </c>
      <c r="J39" s="102" t="s">
        <v>40</v>
      </c>
    </row>
    <row r="40" spans="1:10" ht="23.1" customHeight="1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ht="13.95" customHeight="1" x14ac:dyDescent="0.25">
      <c r="A41" s="1193"/>
      <c r="B41" s="1194" t="s">
        <v>49</v>
      </c>
      <c r="C41" s="1198"/>
      <c r="D41" s="1198"/>
      <c r="E41" s="1198"/>
      <c r="F41" s="1198"/>
      <c r="G41" s="1193"/>
      <c r="H41" s="1557">
        <f>'1-бутерброд с маслом'!$H$28</f>
        <v>0</v>
      </c>
      <c r="I41" s="1557"/>
      <c r="J41" s="1557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ht="13.95" customHeight="1" x14ac:dyDescent="0.25">
      <c r="A43" s="1545" t="s">
        <v>327</v>
      </c>
      <c r="B43" s="1545"/>
      <c r="C43" s="1546" t="s">
        <v>328</v>
      </c>
      <c r="D43" s="1546"/>
      <c r="E43" s="1546"/>
      <c r="F43" s="1546"/>
      <c r="G43" s="106"/>
      <c r="H43" s="1531"/>
      <c r="I43" s="1531"/>
      <c r="J43" s="1531"/>
    </row>
    <row r="44" spans="1:10" x14ac:dyDescent="0.25">
      <c r="A44" s="1193"/>
      <c r="B44" s="1193"/>
      <c r="C44" s="1546"/>
      <c r="D44" s="1546"/>
      <c r="E44" s="1546"/>
      <c r="F44" s="1546"/>
      <c r="G44" s="1193"/>
      <c r="H44" s="1531" t="s">
        <v>329</v>
      </c>
      <c r="I44" s="1531"/>
      <c r="J44" s="1531"/>
    </row>
    <row r="45" spans="1:10" x14ac:dyDescent="0.25">
      <c r="A45" s="1193"/>
      <c r="B45" s="1193"/>
      <c r="C45" s="1193"/>
      <c r="D45" s="1193"/>
      <c r="E45" s="1193"/>
      <c r="F45" s="1193"/>
      <c r="G45" s="1193"/>
      <c r="H45" s="1193"/>
      <c r="I45" s="1193"/>
      <c r="J45" s="1193"/>
    </row>
  </sheetData>
  <mergeCells count="28">
    <mergeCell ref="H41:J41"/>
    <mergeCell ref="A13:G13"/>
    <mergeCell ref="A36:B36"/>
    <mergeCell ref="A37:B37"/>
    <mergeCell ref="A38:B38"/>
    <mergeCell ref="A39:B39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3:B43"/>
    <mergeCell ref="C43:F44"/>
    <mergeCell ref="H43:J43"/>
    <mergeCell ref="H44:J44"/>
    <mergeCell ref="H5:I5"/>
    <mergeCell ref="A6:G6"/>
    <mergeCell ref="A7:I7"/>
    <mergeCell ref="A35:B35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46"/>
  <sheetViews>
    <sheetView view="pageBreakPreview" topLeftCell="A16" zoomScaleNormal="100" zoomScaleSheetLayoutView="100" workbookViewId="0">
      <selection activeCell="N35" sqref="N35"/>
    </sheetView>
  </sheetViews>
  <sheetFormatPr defaultColWidth="8.88671875" defaultRowHeight="13.8" x14ac:dyDescent="0.25"/>
  <cols>
    <col min="1" max="1" width="4.109375" style="522" customWidth="1"/>
    <col min="2" max="2" width="22.44140625" style="522" customWidth="1"/>
    <col min="3" max="7" width="7.5546875" style="522" customWidth="1"/>
    <col min="8" max="8" width="8.88671875" style="522" customWidth="1"/>
    <col min="9" max="9" width="7.5546875" style="522" customWidth="1"/>
    <col min="10" max="10" width="9" style="522" customWidth="1"/>
    <col min="11" max="11" width="4.33203125" style="522" customWidth="1"/>
    <col min="12" max="16384" width="8.88671875" style="522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217)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296</v>
      </c>
    </row>
    <row r="8" spans="1:10" s="2" customFormat="1" ht="9.6" customHeight="1" x14ac:dyDescent="0.25">
      <c r="A8" s="523"/>
      <c r="B8" s="523"/>
      <c r="C8" s="523"/>
      <c r="D8" s="523"/>
      <c r="E8" s="523"/>
      <c r="F8" s="523"/>
      <c r="G8" s="523"/>
      <c r="H8" s="523"/>
      <c r="I8" s="523"/>
      <c r="J8" s="109"/>
    </row>
    <row r="9" spans="1:10" s="2" customFormat="1" ht="26.1" customHeight="1" x14ac:dyDescent="0.3">
      <c r="A9" s="1550" t="s">
        <v>795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'296 котлеты рубленные из кур'!H14+1</f>
        <v>217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524" t="s">
        <v>92</v>
      </c>
      <c r="D17" s="524" t="s">
        <v>94</v>
      </c>
      <c r="E17" s="524" t="s">
        <v>93</v>
      </c>
      <c r="F17" s="524" t="s">
        <v>23</v>
      </c>
      <c r="G17" s="524" t="s">
        <v>92</v>
      </c>
      <c r="H17" s="524" t="s">
        <v>94</v>
      </c>
      <c r="I17" s="524" t="s">
        <v>92</v>
      </c>
      <c r="J17" s="524" t="s">
        <v>94</v>
      </c>
    </row>
    <row r="18" spans="1:10" ht="9.6" customHeight="1" x14ac:dyDescent="0.25">
      <c r="A18" s="524">
        <v>1</v>
      </c>
      <c r="B18" s="525">
        <v>2</v>
      </c>
      <c r="C18" s="524">
        <v>3</v>
      </c>
      <c r="D18" s="525">
        <v>4</v>
      </c>
      <c r="E18" s="524">
        <v>5</v>
      </c>
      <c r="F18" s="525">
        <v>6</v>
      </c>
      <c r="G18" s="524">
        <v>7</v>
      </c>
      <c r="H18" s="525">
        <v>8</v>
      </c>
      <c r="I18" s="524">
        <v>9</v>
      </c>
      <c r="J18" s="525">
        <v>10</v>
      </c>
    </row>
    <row r="19" spans="1:10" s="10" customFormat="1" ht="14.4" customHeight="1" x14ac:dyDescent="0.25">
      <c r="A19" s="180">
        <v>1</v>
      </c>
      <c r="B19" s="20" t="s">
        <v>679</v>
      </c>
      <c r="C19" s="21">
        <v>5.6000000000000001E-2</v>
      </c>
      <c r="D19" s="21">
        <v>3.6999999999999998E-2</v>
      </c>
      <c r="E19" s="408">
        <f>цены!F8</f>
        <v>193</v>
      </c>
      <c r="F19" s="408">
        <f t="shared" ref="F19:F24" si="0">C19*E19</f>
        <v>10.81</v>
      </c>
      <c r="G19" s="97">
        <f t="shared" ref="G19:H32" si="1">C19*10</f>
        <v>0.56000000000000005</v>
      </c>
      <c r="H19" s="21">
        <f t="shared" si="1"/>
        <v>0.37</v>
      </c>
      <c r="I19" s="21">
        <f t="shared" ref="I19:J32" si="2">C19*100</f>
        <v>5.6</v>
      </c>
      <c r="J19" s="21">
        <f t="shared" si="2"/>
        <v>3.7</v>
      </c>
    </row>
    <row r="20" spans="1:10" s="10" customFormat="1" ht="14.1" customHeight="1" x14ac:dyDescent="0.25">
      <c r="A20" s="180">
        <v>2</v>
      </c>
      <c r="B20" s="20" t="s">
        <v>34</v>
      </c>
      <c r="C20" s="21">
        <v>7.0000000000000001E-3</v>
      </c>
      <c r="D20" s="21">
        <v>7.0000000000000001E-3</v>
      </c>
      <c r="E20" s="408">
        <f>цены!F20</f>
        <v>80</v>
      </c>
      <c r="F20" s="408">
        <f t="shared" si="0"/>
        <v>0.56000000000000005</v>
      </c>
      <c r="G20" s="97">
        <f t="shared" si="1"/>
        <v>7.0000000000000007E-2</v>
      </c>
      <c r="H20" s="21">
        <f t="shared" si="1"/>
        <v>7.0000000000000007E-2</v>
      </c>
      <c r="I20" s="21">
        <f t="shared" si="2"/>
        <v>0.7</v>
      </c>
      <c r="J20" s="21">
        <f t="shared" si="2"/>
        <v>0.7</v>
      </c>
    </row>
    <row r="21" spans="1:10" s="10" customFormat="1" ht="14.1" customHeight="1" x14ac:dyDescent="0.25">
      <c r="A21" s="180">
        <v>3</v>
      </c>
      <c r="B21" s="20" t="s">
        <v>96</v>
      </c>
      <c r="C21" s="21">
        <v>8.9999999999999993E-3</v>
      </c>
      <c r="D21" s="21">
        <v>8.9999999999999993E-3</v>
      </c>
      <c r="E21" s="408">
        <f>цены!F157</f>
        <v>65</v>
      </c>
      <c r="F21" s="408">
        <f t="shared" si="0"/>
        <v>0.59</v>
      </c>
      <c r="G21" s="97">
        <f t="shared" si="1"/>
        <v>0.09</v>
      </c>
      <c r="H21" s="21">
        <f t="shared" si="1"/>
        <v>0.09</v>
      </c>
      <c r="I21" s="21">
        <f t="shared" si="2"/>
        <v>0.9</v>
      </c>
      <c r="J21" s="21">
        <f t="shared" si="2"/>
        <v>0.9</v>
      </c>
    </row>
    <row r="22" spans="1:10" s="10" customFormat="1" ht="14.1" customHeight="1" x14ac:dyDescent="0.25">
      <c r="A22" s="180">
        <v>4</v>
      </c>
      <c r="B22" s="20" t="s">
        <v>453</v>
      </c>
      <c r="C22" s="21">
        <v>2E-3</v>
      </c>
      <c r="D22" s="21">
        <v>2E-3</v>
      </c>
      <c r="E22" s="408">
        <f>цены!F13</f>
        <v>100</v>
      </c>
      <c r="F22" s="408">
        <f t="shared" si="0"/>
        <v>0.2</v>
      </c>
      <c r="G22" s="97">
        <f t="shared" si="1"/>
        <v>0.02</v>
      </c>
      <c r="H22" s="21">
        <f t="shared" si="1"/>
        <v>0.02</v>
      </c>
      <c r="I22" s="21">
        <f t="shared" si="2"/>
        <v>0.2</v>
      </c>
      <c r="J22" s="21">
        <f t="shared" si="2"/>
        <v>0.2</v>
      </c>
    </row>
    <row r="23" spans="1:10" s="10" customFormat="1" ht="12" customHeight="1" x14ac:dyDescent="0.25">
      <c r="A23" s="180">
        <v>5</v>
      </c>
      <c r="B23" s="20" t="s">
        <v>124</v>
      </c>
      <c r="C23" s="111">
        <v>3.0000000000000001E-3</v>
      </c>
      <c r="D23" s="111">
        <v>3.0000000000000001E-3</v>
      </c>
      <c r="E23" s="408">
        <f>цены!F110</f>
        <v>24</v>
      </c>
      <c r="F23" s="408">
        <f t="shared" si="0"/>
        <v>7.0000000000000007E-2</v>
      </c>
      <c r="G23" s="97">
        <f t="shared" si="1"/>
        <v>0.03</v>
      </c>
      <c r="H23" s="21">
        <f t="shared" si="1"/>
        <v>0.03</v>
      </c>
      <c r="I23" s="21">
        <f t="shared" si="2"/>
        <v>0.3</v>
      </c>
      <c r="J23" s="21">
        <f t="shared" si="2"/>
        <v>0.3</v>
      </c>
    </row>
    <row r="24" spans="1:10" s="10" customFormat="1" ht="12" customHeight="1" x14ac:dyDescent="0.25">
      <c r="A24" s="180">
        <v>6</v>
      </c>
      <c r="B24" s="20" t="s">
        <v>28</v>
      </c>
      <c r="C24" s="111">
        <v>6.0000000000000001E-3</v>
      </c>
      <c r="D24" s="111">
        <v>6.0000000000000001E-3</v>
      </c>
      <c r="E24" s="408"/>
      <c r="F24" s="408">
        <f t="shared" si="0"/>
        <v>0</v>
      </c>
      <c r="G24" s="97">
        <f t="shared" si="1"/>
        <v>0.06</v>
      </c>
      <c r="H24" s="21">
        <f t="shared" si="1"/>
        <v>0.06</v>
      </c>
      <c r="I24" s="21">
        <f t="shared" si="2"/>
        <v>0.6</v>
      </c>
      <c r="J24" s="21">
        <f t="shared" si="2"/>
        <v>0.6</v>
      </c>
    </row>
    <row r="25" spans="1:10" s="10" customFormat="1" ht="25.5" customHeight="1" x14ac:dyDescent="0.25">
      <c r="A25" s="416"/>
      <c r="B25" s="230" t="s">
        <v>798</v>
      </c>
      <c r="C25" s="243"/>
      <c r="D25" s="243">
        <v>6.3E-2</v>
      </c>
      <c r="E25" s="192"/>
      <c r="F25" s="192"/>
      <c r="G25" s="231">
        <f t="shared" si="1"/>
        <v>0</v>
      </c>
      <c r="H25" s="232">
        <f t="shared" si="1"/>
        <v>0.63</v>
      </c>
      <c r="I25" s="232">
        <f t="shared" si="2"/>
        <v>0</v>
      </c>
      <c r="J25" s="232">
        <f t="shared" si="2"/>
        <v>6.3</v>
      </c>
    </row>
    <row r="26" spans="1:10" s="10" customFormat="1" ht="14.25" customHeight="1" x14ac:dyDescent="0.25">
      <c r="A26" s="129">
        <v>7</v>
      </c>
      <c r="B26" s="123" t="s">
        <v>799</v>
      </c>
      <c r="C26" s="244">
        <v>2.5000000000000001E-2</v>
      </c>
      <c r="D26" s="244">
        <v>2.5000000000000001E-2</v>
      </c>
      <c r="E26" s="127">
        <f>'329 соус молочный густой'!F30</f>
        <v>157.19</v>
      </c>
      <c r="F26" s="127">
        <f>D26*E26</f>
        <v>3.93</v>
      </c>
      <c r="G26" s="128"/>
      <c r="H26" s="126">
        <f t="shared" si="1"/>
        <v>0.25</v>
      </c>
      <c r="I26" s="126"/>
      <c r="J26" s="126">
        <f t="shared" si="2"/>
        <v>2.5</v>
      </c>
    </row>
    <row r="27" spans="1:10" s="10" customFormat="1" ht="14.25" customHeight="1" x14ac:dyDescent="0.25">
      <c r="A27" s="129">
        <v>8</v>
      </c>
      <c r="B27" s="123" t="s">
        <v>31</v>
      </c>
      <c r="C27" s="244">
        <v>5.0000000000000001E-3</v>
      </c>
      <c r="D27" s="244">
        <v>5.0000000000000001E-3</v>
      </c>
      <c r="E27" s="127">
        <f>цены!F21</f>
        <v>710</v>
      </c>
      <c r="F27" s="127">
        <f>C27*E27</f>
        <v>3.55</v>
      </c>
      <c r="G27" s="128">
        <f t="shared" si="1"/>
        <v>0.05</v>
      </c>
      <c r="H27" s="126">
        <f t="shared" si="1"/>
        <v>0.05</v>
      </c>
      <c r="I27" s="126">
        <f t="shared" si="2"/>
        <v>0.5</v>
      </c>
      <c r="J27" s="126">
        <f t="shared" si="2"/>
        <v>0.5</v>
      </c>
    </row>
    <row r="28" spans="1:10" s="10" customFormat="1" ht="14.25" customHeight="1" x14ac:dyDescent="0.25">
      <c r="A28" s="129">
        <v>9</v>
      </c>
      <c r="B28" s="123" t="s">
        <v>459</v>
      </c>
      <c r="C28" s="244">
        <v>3.3E-3</v>
      </c>
      <c r="D28" s="244">
        <v>3.0000000000000001E-3</v>
      </c>
      <c r="E28" s="127">
        <f>цены!F22</f>
        <v>719</v>
      </c>
      <c r="F28" s="127">
        <f>C28*E28</f>
        <v>2.37</v>
      </c>
      <c r="G28" s="128">
        <f t="shared" si="1"/>
        <v>3.3000000000000002E-2</v>
      </c>
      <c r="H28" s="126">
        <f t="shared" si="1"/>
        <v>0.03</v>
      </c>
      <c r="I28" s="126">
        <f t="shared" si="2"/>
        <v>0.33</v>
      </c>
      <c r="J28" s="126">
        <f t="shared" si="2"/>
        <v>0.3</v>
      </c>
    </row>
    <row r="29" spans="1:10" s="10" customFormat="1" ht="12" customHeight="1" x14ac:dyDescent="0.25">
      <c r="A29" s="416"/>
      <c r="B29" s="230" t="s">
        <v>97</v>
      </c>
      <c r="C29" s="243"/>
      <c r="D29" s="243">
        <v>0.09</v>
      </c>
      <c r="E29" s="192"/>
      <c r="F29" s="192"/>
      <c r="G29" s="231">
        <f t="shared" si="1"/>
        <v>0</v>
      </c>
      <c r="H29" s="232">
        <f t="shared" si="1"/>
        <v>0.9</v>
      </c>
      <c r="I29" s="232">
        <f t="shared" si="2"/>
        <v>0</v>
      </c>
      <c r="J29" s="232">
        <f t="shared" si="2"/>
        <v>9</v>
      </c>
    </row>
    <row r="30" spans="1:10" s="10" customFormat="1" ht="12" customHeight="1" x14ac:dyDescent="0.25">
      <c r="A30" s="416"/>
      <c r="B30" s="230" t="s">
        <v>460</v>
      </c>
      <c r="C30" s="243"/>
      <c r="D30" s="243">
        <v>7.0000000000000007E-2</v>
      </c>
      <c r="E30" s="192"/>
      <c r="F30" s="192"/>
      <c r="G30" s="231"/>
      <c r="H30" s="232">
        <f t="shared" si="1"/>
        <v>0.7</v>
      </c>
      <c r="I30" s="232"/>
      <c r="J30" s="232">
        <f t="shared" si="2"/>
        <v>7</v>
      </c>
    </row>
    <row r="31" spans="1:10" s="10" customFormat="1" ht="12" customHeight="1" x14ac:dyDescent="0.25">
      <c r="A31" s="180">
        <v>10</v>
      </c>
      <c r="B31" s="20" t="s">
        <v>78</v>
      </c>
      <c r="C31" s="111">
        <v>2E-3</v>
      </c>
      <c r="D31" s="111">
        <v>2E-3</v>
      </c>
      <c r="E31" s="408">
        <f>цены!F48</f>
        <v>300</v>
      </c>
      <c r="F31" s="408">
        <f>C31*E31</f>
        <v>0.6</v>
      </c>
      <c r="G31" s="97">
        <f t="shared" si="1"/>
        <v>0.02</v>
      </c>
      <c r="H31" s="21">
        <f t="shared" si="1"/>
        <v>0.02</v>
      </c>
      <c r="I31" s="21">
        <f t="shared" si="2"/>
        <v>0.2</v>
      </c>
      <c r="J31" s="21">
        <f t="shared" si="2"/>
        <v>0.2</v>
      </c>
    </row>
    <row r="32" spans="1:10" s="10" customFormat="1" ht="12" customHeight="1" x14ac:dyDescent="0.25">
      <c r="A32" s="129">
        <v>11</v>
      </c>
      <c r="B32" s="123" t="s">
        <v>461</v>
      </c>
      <c r="C32" s="130"/>
      <c r="D32" s="130">
        <v>0.03</v>
      </c>
      <c r="E32" s="127">
        <f>'332-соус с луком'!F27</f>
        <v>82.6</v>
      </c>
      <c r="F32" s="408">
        <f>D32*E32</f>
        <v>2.48</v>
      </c>
      <c r="G32" s="97">
        <f t="shared" si="1"/>
        <v>0</v>
      </c>
      <c r="H32" s="21">
        <f t="shared" si="1"/>
        <v>0.3</v>
      </c>
      <c r="I32" s="21">
        <f t="shared" si="2"/>
        <v>0</v>
      </c>
      <c r="J32" s="21">
        <f t="shared" si="2"/>
        <v>3</v>
      </c>
    </row>
    <row r="33" spans="1:10" s="10" customFormat="1" ht="12" customHeight="1" x14ac:dyDescent="0.25">
      <c r="A33" s="98"/>
      <c r="B33" s="93" t="s">
        <v>100</v>
      </c>
      <c r="C33" s="112"/>
      <c r="D33" s="112">
        <v>0.1</v>
      </c>
      <c r="E33" s="95"/>
      <c r="F33" s="95">
        <f>SUM(F19:F32)</f>
        <v>25.16</v>
      </c>
      <c r="G33" s="99"/>
      <c r="H33" s="100">
        <f>D33*10</f>
        <v>1</v>
      </c>
      <c r="I33" s="100"/>
      <c r="J33" s="100">
        <f>D33*100</f>
        <v>10</v>
      </c>
    </row>
    <row r="34" spans="1:10" s="10" customFormat="1" ht="12.6" customHeight="1" x14ac:dyDescent="0.25">
      <c r="A34" s="203"/>
      <c r="B34" s="204" t="s">
        <v>462</v>
      </c>
      <c r="C34" s="205"/>
      <c r="D34" s="205"/>
      <c r="E34" s="206"/>
      <c r="F34" s="206"/>
      <c r="G34" s="207"/>
      <c r="H34" s="208"/>
      <c r="I34" s="208"/>
      <c r="J34" s="208"/>
    </row>
    <row r="35" spans="1:10" s="10" customFormat="1" ht="15.6" customHeight="1" x14ac:dyDescent="0.25">
      <c r="A35" s="1536" t="s">
        <v>35</v>
      </c>
      <c r="B35" s="1536"/>
      <c r="C35" s="90"/>
      <c r="D35" s="90"/>
      <c r="E35" s="408"/>
      <c r="F35" s="408">
        <f>F33</f>
        <v>25.16</v>
      </c>
      <c r="G35" s="526"/>
      <c r="H35" s="526"/>
      <c r="I35" s="21"/>
      <c r="J35" s="408"/>
    </row>
    <row r="36" spans="1:10" s="10" customFormat="1" ht="25.35" customHeight="1" x14ac:dyDescent="0.25">
      <c r="A36" s="1536" t="s">
        <v>36</v>
      </c>
      <c r="B36" s="1536"/>
      <c r="C36" s="90">
        <v>100</v>
      </c>
      <c r="D36" s="90"/>
      <c r="E36" s="408"/>
      <c r="F36" s="408"/>
      <c r="G36" s="408"/>
      <c r="H36" s="408"/>
      <c r="I36" s="21"/>
      <c r="J36" s="17"/>
    </row>
    <row r="37" spans="1:10" s="10" customFormat="1" ht="25.35" customHeight="1" x14ac:dyDescent="0.25">
      <c r="A37" s="1537" t="s">
        <v>37</v>
      </c>
      <c r="B37" s="1538"/>
      <c r="C37" s="91">
        <v>100</v>
      </c>
      <c r="D37" s="92"/>
      <c r="E37" s="525"/>
      <c r="F37" s="525"/>
      <c r="G37" s="525"/>
      <c r="H37" s="525"/>
      <c r="I37" s="21"/>
      <c r="J37" s="17"/>
    </row>
    <row r="38" spans="1:10" s="10" customFormat="1" ht="15" customHeight="1" x14ac:dyDescent="0.25">
      <c r="A38" s="1539" t="s">
        <v>38</v>
      </c>
      <c r="B38" s="1540"/>
      <c r="C38" s="92">
        <f>C36/C37</f>
        <v>1</v>
      </c>
      <c r="D38" s="92"/>
      <c r="E38" s="525"/>
      <c r="F38" s="525"/>
      <c r="G38" s="525"/>
      <c r="H38" s="525"/>
      <c r="I38" s="21"/>
      <c r="J38" s="17"/>
    </row>
    <row r="39" spans="1:10" ht="16.350000000000001" customHeight="1" x14ac:dyDescent="0.25">
      <c r="A39" s="1541" t="s">
        <v>39</v>
      </c>
      <c r="B39" s="1542"/>
      <c r="C39" s="15" t="s">
        <v>40</v>
      </c>
      <c r="D39" s="102"/>
      <c r="E39" s="102" t="s">
        <v>40</v>
      </c>
      <c r="F39" s="16">
        <f>F35/C38</f>
        <v>25.16</v>
      </c>
      <c r="G39" s="16"/>
      <c r="H39" s="16"/>
      <c r="I39" s="102" t="s">
        <v>40</v>
      </c>
      <c r="J39" s="102" t="s">
        <v>40</v>
      </c>
    </row>
    <row r="40" spans="1:10" ht="23.1" customHeight="1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ht="13.95" customHeight="1" x14ac:dyDescent="0.25">
      <c r="A41" s="1193"/>
      <c r="B41" s="1194" t="s">
        <v>49</v>
      </c>
      <c r="C41" s="1198"/>
      <c r="D41" s="1198"/>
      <c r="E41" s="1198"/>
      <c r="F41" s="1198"/>
      <c r="G41" s="1193"/>
      <c r="H41" s="1557">
        <f>'1-бутерброд с маслом'!$H$28</f>
        <v>0</v>
      </c>
      <c r="I41" s="1557"/>
      <c r="J41" s="1557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ht="13.95" customHeight="1" x14ac:dyDescent="0.25">
      <c r="A43" s="1545" t="s">
        <v>327</v>
      </c>
      <c r="B43" s="1545"/>
      <c r="C43" s="1546" t="s">
        <v>328</v>
      </c>
      <c r="D43" s="1546"/>
      <c r="E43" s="1546"/>
      <c r="F43" s="1546"/>
      <c r="G43" s="106"/>
      <c r="H43" s="1531"/>
      <c r="I43" s="1531"/>
      <c r="J43" s="1531"/>
    </row>
    <row r="44" spans="1:10" x14ac:dyDescent="0.25">
      <c r="A44" s="1193"/>
      <c r="B44" s="1193"/>
      <c r="C44" s="1546"/>
      <c r="D44" s="1546"/>
      <c r="E44" s="1546"/>
      <c r="F44" s="1546"/>
      <c r="G44" s="1193"/>
      <c r="H44" s="1531" t="s">
        <v>329</v>
      </c>
      <c r="I44" s="1531"/>
      <c r="J44" s="1531"/>
    </row>
    <row r="45" spans="1:10" x14ac:dyDescent="0.25">
      <c r="A45" s="1193"/>
      <c r="B45" s="1193"/>
      <c r="C45" s="1193"/>
      <c r="D45" s="1193"/>
      <c r="E45" s="1193"/>
      <c r="F45" s="1193"/>
      <c r="G45" s="1193"/>
      <c r="H45" s="1193"/>
      <c r="I45" s="1193"/>
      <c r="J45" s="1193"/>
    </row>
    <row r="46" spans="1:10" x14ac:dyDescent="0.25">
      <c r="A46" s="1193"/>
      <c r="B46" s="1193"/>
      <c r="C46" s="1193"/>
      <c r="D46" s="1193"/>
      <c r="E46" s="1193"/>
      <c r="F46" s="1193"/>
      <c r="G46" s="1193"/>
      <c r="H46" s="1193"/>
      <c r="I46" s="1193"/>
      <c r="J46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3:B43"/>
    <mergeCell ref="C43:F44"/>
    <mergeCell ref="H43:J43"/>
    <mergeCell ref="H44:J44"/>
    <mergeCell ref="A36:B36"/>
    <mergeCell ref="A37:B37"/>
    <mergeCell ref="A38:B38"/>
    <mergeCell ref="A39:B39"/>
    <mergeCell ref="H41:J41"/>
    <mergeCell ref="A35:B35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41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2.44140625" customWidth="1"/>
    <col min="3" max="7" width="7.5546875" customWidth="1"/>
    <col min="8" max="8" width="8.88671875" customWidth="1"/>
    <col min="9" max="9" width="7.5546875" customWidth="1"/>
    <col min="10" max="10" width="9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218)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297</v>
      </c>
    </row>
    <row r="8" spans="1:10" s="2" customFormat="1" ht="9.6" customHeight="1" x14ac:dyDescent="0.25">
      <c r="A8" s="242"/>
      <c r="B8" s="242"/>
      <c r="C8" s="242"/>
      <c r="D8" s="242"/>
      <c r="E8" s="242"/>
      <c r="F8" s="242"/>
      <c r="G8" s="242"/>
      <c r="H8" s="242"/>
      <c r="I8" s="242"/>
      <c r="J8" s="109"/>
    </row>
    <row r="9" spans="1:10" s="2" customFormat="1" ht="26.1" customHeight="1" x14ac:dyDescent="0.3">
      <c r="A9" s="1550" t="s">
        <v>493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'296 котлеты рубленные из окор'!H14+1</f>
        <v>218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39" t="s">
        <v>92</v>
      </c>
      <c r="D17" s="239" t="s">
        <v>94</v>
      </c>
      <c r="E17" s="239" t="s">
        <v>93</v>
      </c>
      <c r="F17" s="239" t="s">
        <v>23</v>
      </c>
      <c r="G17" s="239" t="s">
        <v>92</v>
      </c>
      <c r="H17" s="239" t="s">
        <v>94</v>
      </c>
      <c r="I17" s="239" t="s">
        <v>92</v>
      </c>
      <c r="J17" s="239" t="s">
        <v>94</v>
      </c>
    </row>
    <row r="18" spans="1:10" ht="9.6" customHeight="1" x14ac:dyDescent="0.25">
      <c r="A18" s="239">
        <v>1</v>
      </c>
      <c r="B18" s="241">
        <v>2</v>
      </c>
      <c r="C18" s="239">
        <v>3</v>
      </c>
      <c r="D18" s="241">
        <v>4</v>
      </c>
      <c r="E18" s="239">
        <v>5</v>
      </c>
      <c r="F18" s="241">
        <v>6</v>
      </c>
      <c r="G18" s="239">
        <v>7</v>
      </c>
      <c r="H18" s="241">
        <v>8</v>
      </c>
      <c r="I18" s="239">
        <v>9</v>
      </c>
      <c r="J18" s="241">
        <v>10</v>
      </c>
    </row>
    <row r="19" spans="1:10" s="10" customFormat="1" ht="16.2" customHeight="1" x14ac:dyDescent="0.25">
      <c r="A19" s="180">
        <v>1</v>
      </c>
      <c r="B19" s="20" t="s">
        <v>147</v>
      </c>
      <c r="C19" s="21">
        <v>0.10299999999999999</v>
      </c>
      <c r="D19" s="21">
        <v>3.6999999999999998E-2</v>
      </c>
      <c r="E19" s="13">
        <f>цены!F9</f>
        <v>195</v>
      </c>
      <c r="F19" s="13">
        <f>C19*E19</f>
        <v>20.09</v>
      </c>
      <c r="G19" s="97">
        <f t="shared" ref="G19:H27" si="0">C19*10</f>
        <v>1.03</v>
      </c>
      <c r="H19" s="21">
        <f t="shared" si="0"/>
        <v>0.37</v>
      </c>
      <c r="I19" s="21">
        <f t="shared" ref="I19:J27" si="1">C19*100</f>
        <v>10.3</v>
      </c>
      <c r="J19" s="21">
        <f t="shared" si="1"/>
        <v>3.7</v>
      </c>
    </row>
    <row r="20" spans="1:10" s="10" customFormat="1" ht="14.1" customHeight="1" x14ac:dyDescent="0.25">
      <c r="A20" s="180">
        <v>2</v>
      </c>
      <c r="B20" s="20" t="s">
        <v>34</v>
      </c>
      <c r="C20" s="21">
        <v>1.0999999999999999E-2</v>
      </c>
      <c r="D20" s="21">
        <v>1.0999999999999999E-2</v>
      </c>
      <c r="E20" s="13">
        <f>цены!F20</f>
        <v>80</v>
      </c>
      <c r="F20" s="13">
        <f>C20*E20</f>
        <v>0.88</v>
      </c>
      <c r="G20" s="97">
        <f t="shared" si="0"/>
        <v>0.11</v>
      </c>
      <c r="H20" s="21">
        <f t="shared" si="0"/>
        <v>0.11</v>
      </c>
      <c r="I20" s="21">
        <f t="shared" si="1"/>
        <v>1.1000000000000001</v>
      </c>
      <c r="J20" s="21">
        <f t="shared" si="1"/>
        <v>1.1000000000000001</v>
      </c>
    </row>
    <row r="21" spans="1:10" s="10" customFormat="1" ht="14.1" customHeight="1" x14ac:dyDescent="0.25">
      <c r="A21" s="180">
        <v>3</v>
      </c>
      <c r="B21" s="20" t="s">
        <v>96</v>
      </c>
      <c r="C21" s="21">
        <v>8.0000000000000002E-3</v>
      </c>
      <c r="D21" s="21">
        <v>8.0000000000000002E-3</v>
      </c>
      <c r="E21" s="13">
        <f>цены!F157</f>
        <v>65</v>
      </c>
      <c r="F21" s="13">
        <f>C21*E21</f>
        <v>0.52</v>
      </c>
      <c r="G21" s="97">
        <f t="shared" si="0"/>
        <v>0.08</v>
      </c>
      <c r="H21" s="21">
        <f t="shared" si="0"/>
        <v>0.08</v>
      </c>
      <c r="I21" s="21">
        <f t="shared" si="1"/>
        <v>0.8</v>
      </c>
      <c r="J21" s="21">
        <f t="shared" si="1"/>
        <v>0.8</v>
      </c>
    </row>
    <row r="22" spans="1:10" s="10" customFormat="1" ht="14.1" customHeight="1" x14ac:dyDescent="0.25">
      <c r="A22" s="180">
        <v>4</v>
      </c>
      <c r="B22" s="20" t="s">
        <v>453</v>
      </c>
      <c r="C22" s="21">
        <v>2E-3</v>
      </c>
      <c r="D22" s="21">
        <v>2E-3</v>
      </c>
      <c r="E22" s="13">
        <f>цены!F13</f>
        <v>100</v>
      </c>
      <c r="F22" s="13">
        <f>C22*E22</f>
        <v>0.2</v>
      </c>
      <c r="G22" s="97">
        <f t="shared" si="0"/>
        <v>0.02</v>
      </c>
      <c r="H22" s="21">
        <f t="shared" si="0"/>
        <v>0.02</v>
      </c>
      <c r="I22" s="21">
        <f t="shared" si="1"/>
        <v>0.2</v>
      </c>
      <c r="J22" s="21">
        <f t="shared" si="1"/>
        <v>0.2</v>
      </c>
    </row>
    <row r="23" spans="1:10" s="10" customFormat="1" ht="12" customHeight="1" x14ac:dyDescent="0.25">
      <c r="A23" s="180">
        <v>5</v>
      </c>
      <c r="B23" s="20" t="s">
        <v>124</v>
      </c>
      <c r="C23" s="111">
        <v>3.0000000000000001E-3</v>
      </c>
      <c r="D23" s="111">
        <v>3.0000000000000001E-3</v>
      </c>
      <c r="E23" s="13">
        <f>цены!F110</f>
        <v>24</v>
      </c>
      <c r="F23" s="13">
        <f>C23*E23</f>
        <v>7.0000000000000007E-2</v>
      </c>
      <c r="G23" s="97">
        <f t="shared" si="0"/>
        <v>0.03</v>
      </c>
      <c r="H23" s="21">
        <f t="shared" si="0"/>
        <v>0.03</v>
      </c>
      <c r="I23" s="21">
        <f t="shared" si="1"/>
        <v>0.3</v>
      </c>
      <c r="J23" s="21">
        <f t="shared" si="1"/>
        <v>0.3</v>
      </c>
    </row>
    <row r="24" spans="1:10" s="10" customFormat="1" ht="14.25" customHeight="1" x14ac:dyDescent="0.25">
      <c r="A24" s="190"/>
      <c r="B24" s="230" t="s">
        <v>97</v>
      </c>
      <c r="C24" s="243"/>
      <c r="D24" s="243">
        <v>5.7000000000000002E-2</v>
      </c>
      <c r="E24" s="192"/>
      <c r="F24" s="192"/>
      <c r="G24" s="231">
        <f t="shared" si="0"/>
        <v>0</v>
      </c>
      <c r="H24" s="232">
        <f t="shared" si="0"/>
        <v>0.56999999999999995</v>
      </c>
      <c r="I24" s="232">
        <f t="shared" si="1"/>
        <v>0</v>
      </c>
      <c r="J24" s="232">
        <f t="shared" si="1"/>
        <v>5.7</v>
      </c>
    </row>
    <row r="25" spans="1:10" s="10" customFormat="1" ht="12.75" customHeight="1" x14ac:dyDescent="0.25">
      <c r="A25" s="190"/>
      <c r="B25" s="230" t="s">
        <v>463</v>
      </c>
      <c r="C25" s="243"/>
      <c r="D25" s="243">
        <v>0.05</v>
      </c>
      <c r="E25" s="192"/>
      <c r="F25" s="192"/>
      <c r="G25" s="231"/>
      <c r="H25" s="232">
        <f t="shared" si="0"/>
        <v>0.5</v>
      </c>
      <c r="I25" s="232"/>
      <c r="J25" s="232">
        <f t="shared" si="1"/>
        <v>5</v>
      </c>
    </row>
    <row r="26" spans="1:10" s="10" customFormat="1" ht="14.25" customHeight="1" x14ac:dyDescent="0.25">
      <c r="A26" s="129">
        <v>7</v>
      </c>
      <c r="B26" s="123" t="s">
        <v>31</v>
      </c>
      <c r="C26" s="244">
        <v>5.0000000000000001E-3</v>
      </c>
      <c r="D26" s="244">
        <v>5.0000000000000001E-3</v>
      </c>
      <c r="E26" s="127">
        <f>цены!F21</f>
        <v>710</v>
      </c>
      <c r="F26" s="127">
        <f>C26*E26</f>
        <v>3.55</v>
      </c>
      <c r="G26" s="128">
        <f t="shared" si="0"/>
        <v>0.05</v>
      </c>
      <c r="H26" s="126">
        <f t="shared" si="0"/>
        <v>0.05</v>
      </c>
      <c r="I26" s="126">
        <f t="shared" si="1"/>
        <v>0.5</v>
      </c>
      <c r="J26" s="126">
        <f t="shared" si="1"/>
        <v>0.5</v>
      </c>
    </row>
    <row r="27" spans="1:10" s="10" customFormat="1" ht="14.25" customHeight="1" x14ac:dyDescent="0.25">
      <c r="A27" s="129">
        <v>8</v>
      </c>
      <c r="B27" s="123" t="s">
        <v>430</v>
      </c>
      <c r="C27" s="244">
        <v>2E-3</v>
      </c>
      <c r="D27" s="244">
        <v>2E-3</v>
      </c>
      <c r="E27" s="127">
        <f>цены!F48</f>
        <v>300</v>
      </c>
      <c r="F27" s="127">
        <f>C27*E27</f>
        <v>0.6</v>
      </c>
      <c r="G27" s="128">
        <f t="shared" si="0"/>
        <v>0.02</v>
      </c>
      <c r="H27" s="126">
        <f t="shared" si="0"/>
        <v>0.02</v>
      </c>
      <c r="I27" s="126">
        <f t="shared" si="1"/>
        <v>0.2</v>
      </c>
      <c r="J27" s="126">
        <f t="shared" si="1"/>
        <v>0.2</v>
      </c>
    </row>
    <row r="28" spans="1:10" s="10" customFormat="1" ht="12" customHeight="1" x14ac:dyDescent="0.25">
      <c r="A28" s="98"/>
      <c r="B28" s="93" t="s">
        <v>100</v>
      </c>
      <c r="C28" s="112"/>
      <c r="D28" s="112">
        <v>5.5E-2</v>
      </c>
      <c r="E28" s="95"/>
      <c r="F28" s="95">
        <f>SUM(F19:F27)</f>
        <v>25.91</v>
      </c>
      <c r="G28" s="99"/>
      <c r="H28" s="100">
        <f>D28*10</f>
        <v>0.55000000000000004</v>
      </c>
      <c r="I28" s="100"/>
      <c r="J28" s="100">
        <f>D28*100</f>
        <v>5.5</v>
      </c>
    </row>
    <row r="29" spans="1:10" s="10" customFormat="1" ht="15" customHeight="1" x14ac:dyDescent="0.25">
      <c r="A29" s="203"/>
      <c r="B29" s="204" t="s">
        <v>464</v>
      </c>
      <c r="C29" s="205"/>
      <c r="D29" s="205"/>
      <c r="E29" s="206"/>
      <c r="F29" s="206"/>
      <c r="G29" s="207"/>
      <c r="H29" s="208"/>
      <c r="I29" s="208"/>
      <c r="J29" s="208"/>
    </row>
    <row r="30" spans="1:10" s="10" customFormat="1" ht="15" customHeight="1" x14ac:dyDescent="0.25">
      <c r="A30" s="1536" t="s">
        <v>35</v>
      </c>
      <c r="B30" s="1536"/>
      <c r="C30" s="90"/>
      <c r="D30" s="90"/>
      <c r="E30" s="13"/>
      <c r="F30" s="13">
        <f>F28</f>
        <v>25.91</v>
      </c>
      <c r="G30" s="240"/>
      <c r="H30" s="240"/>
      <c r="I30" s="21"/>
      <c r="J30" s="13"/>
    </row>
    <row r="31" spans="1:10" s="10" customFormat="1" ht="15" customHeight="1" x14ac:dyDescent="0.25">
      <c r="A31" s="1536" t="s">
        <v>36</v>
      </c>
      <c r="B31" s="1536"/>
      <c r="C31" s="90">
        <v>55</v>
      </c>
      <c r="D31" s="90"/>
      <c r="E31" s="13"/>
      <c r="F31" s="13"/>
      <c r="G31" s="13"/>
      <c r="H31" s="13"/>
      <c r="I31" s="21"/>
      <c r="J31" s="17"/>
    </row>
    <row r="32" spans="1:10" s="10" customFormat="1" ht="25.35" customHeight="1" x14ac:dyDescent="0.25">
      <c r="A32" s="1537" t="s">
        <v>37</v>
      </c>
      <c r="B32" s="1538"/>
      <c r="C32" s="91">
        <v>55</v>
      </c>
      <c r="D32" s="92"/>
      <c r="E32" s="241"/>
      <c r="F32" s="241"/>
      <c r="G32" s="241"/>
      <c r="H32" s="241"/>
      <c r="I32" s="21"/>
      <c r="J32" s="17"/>
    </row>
    <row r="33" spans="1:10" s="10" customFormat="1" ht="15" customHeight="1" x14ac:dyDescent="0.25">
      <c r="A33" s="1539" t="s">
        <v>38</v>
      </c>
      <c r="B33" s="1540"/>
      <c r="C33" s="92">
        <f>C31/C32</f>
        <v>1</v>
      </c>
      <c r="D33" s="92"/>
      <c r="E33" s="241"/>
      <c r="F33" s="241"/>
      <c r="G33" s="241"/>
      <c r="H33" s="241"/>
      <c r="I33" s="21"/>
      <c r="J33" s="17"/>
    </row>
    <row r="34" spans="1:10" ht="16.350000000000001" customHeight="1" x14ac:dyDescent="0.25">
      <c r="A34" s="1541" t="s">
        <v>39</v>
      </c>
      <c r="B34" s="1542"/>
      <c r="C34" s="15" t="s">
        <v>40</v>
      </c>
      <c r="D34" s="102"/>
      <c r="E34" s="102" t="s">
        <v>40</v>
      </c>
      <c r="F34" s="16">
        <f>F30/C33</f>
        <v>25.91</v>
      </c>
      <c r="G34" s="16"/>
      <c r="H34" s="16"/>
      <c r="I34" s="102" t="s">
        <v>40</v>
      </c>
      <c r="J34" s="102" t="s">
        <v>40</v>
      </c>
    </row>
    <row r="35" spans="1:10" ht="23.1" customHeight="1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193"/>
      <c r="B36" s="1194" t="s">
        <v>49</v>
      </c>
      <c r="C36" s="1198"/>
      <c r="D36" s="1198"/>
      <c r="E36" s="1198"/>
      <c r="F36" s="1198"/>
      <c r="G36" s="1193"/>
      <c r="H36" s="1557">
        <f>'1-бутерброд с маслом'!$H$28</f>
        <v>0</v>
      </c>
      <c r="I36" s="1557"/>
      <c r="J36" s="1557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545" t="s">
        <v>327</v>
      </c>
      <c r="B38" s="1545"/>
      <c r="C38" s="1546" t="s">
        <v>328</v>
      </c>
      <c r="D38" s="1546"/>
      <c r="E38" s="1546"/>
      <c r="F38" s="1546"/>
      <c r="G38" s="106"/>
      <c r="H38" s="1531"/>
      <c r="I38" s="1531"/>
      <c r="J38" s="1531"/>
    </row>
    <row r="39" spans="1:10" x14ac:dyDescent="0.25">
      <c r="A39" s="1193"/>
      <c r="B39" s="1193"/>
      <c r="C39" s="1546"/>
      <c r="D39" s="1546"/>
      <c r="E39" s="1546"/>
      <c r="F39" s="1546"/>
      <c r="G39" s="1193"/>
      <c r="H39" s="1531" t="s">
        <v>329</v>
      </c>
      <c r="I39" s="1531"/>
      <c r="J39" s="1531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</sheetData>
  <mergeCells count="28">
    <mergeCell ref="H36:J36"/>
    <mergeCell ref="A13:G13"/>
    <mergeCell ref="A31:B31"/>
    <mergeCell ref="A32:B32"/>
    <mergeCell ref="A33:B33"/>
    <mergeCell ref="A34:B34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8:B38"/>
    <mergeCell ref="C38:F39"/>
    <mergeCell ref="H38:J38"/>
    <mergeCell ref="H39:J39"/>
    <mergeCell ref="H5:I5"/>
    <mergeCell ref="A6:G6"/>
    <mergeCell ref="A7:I7"/>
    <mergeCell ref="A30:B30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41"/>
  <sheetViews>
    <sheetView view="pageBreakPreview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528" customWidth="1"/>
    <col min="2" max="2" width="22.44140625" style="528" customWidth="1"/>
    <col min="3" max="7" width="7.5546875" style="528" customWidth="1"/>
    <col min="8" max="8" width="8.88671875" style="528" customWidth="1"/>
    <col min="9" max="9" width="7.5546875" style="528" customWidth="1"/>
    <col min="10" max="10" width="9" style="528" customWidth="1"/>
    <col min="11" max="11" width="3.33203125" style="528" customWidth="1"/>
    <col min="12" max="16384" width="8.88671875" style="528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219)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297</v>
      </c>
    </row>
    <row r="8" spans="1:10" s="2" customFormat="1" ht="9.6" customHeight="1" x14ac:dyDescent="0.25">
      <c r="A8" s="529"/>
      <c r="B8" s="529"/>
      <c r="C8" s="529"/>
      <c r="D8" s="529"/>
      <c r="E8" s="529"/>
      <c r="F8" s="529"/>
      <c r="G8" s="529"/>
      <c r="H8" s="529"/>
      <c r="I8" s="529"/>
      <c r="J8" s="109"/>
    </row>
    <row r="9" spans="1:10" s="2" customFormat="1" ht="26.1" customHeight="1" x14ac:dyDescent="0.3">
      <c r="A9" s="1550" t="s">
        <v>797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'297 фрикадельки из кур'!H14+1</f>
        <v>219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530" t="s">
        <v>92</v>
      </c>
      <c r="D17" s="530" t="s">
        <v>94</v>
      </c>
      <c r="E17" s="530" t="s">
        <v>93</v>
      </c>
      <c r="F17" s="530" t="s">
        <v>23</v>
      </c>
      <c r="G17" s="530" t="s">
        <v>92</v>
      </c>
      <c r="H17" s="530" t="s">
        <v>94</v>
      </c>
      <c r="I17" s="530" t="s">
        <v>92</v>
      </c>
      <c r="J17" s="530" t="s">
        <v>94</v>
      </c>
    </row>
    <row r="18" spans="1:10" ht="9.6" customHeight="1" x14ac:dyDescent="0.25">
      <c r="A18" s="530">
        <v>1</v>
      </c>
      <c r="B18" s="531">
        <v>2</v>
      </c>
      <c r="C18" s="530">
        <v>3</v>
      </c>
      <c r="D18" s="531">
        <v>4</v>
      </c>
      <c r="E18" s="530">
        <v>5</v>
      </c>
      <c r="F18" s="531">
        <v>6</v>
      </c>
      <c r="G18" s="530">
        <v>7</v>
      </c>
      <c r="H18" s="531">
        <v>8</v>
      </c>
      <c r="I18" s="530">
        <v>9</v>
      </c>
      <c r="J18" s="531">
        <v>10</v>
      </c>
    </row>
    <row r="19" spans="1:10" s="10" customFormat="1" ht="16.2" customHeight="1" x14ac:dyDescent="0.25">
      <c r="A19" s="180">
        <v>1</v>
      </c>
      <c r="B19" s="20" t="s">
        <v>679</v>
      </c>
      <c r="C19" s="21">
        <v>6.6000000000000003E-2</v>
      </c>
      <c r="D19" s="21">
        <v>3.6999999999999998E-2</v>
      </c>
      <c r="E19" s="408">
        <f>цены!F8</f>
        <v>193</v>
      </c>
      <c r="F19" s="408">
        <f>C19*E19</f>
        <v>12.74</v>
      </c>
      <c r="G19" s="97">
        <f t="shared" ref="G19:H27" si="0">C19*10</f>
        <v>0.66</v>
      </c>
      <c r="H19" s="21">
        <f t="shared" si="0"/>
        <v>0.37</v>
      </c>
      <c r="I19" s="21">
        <f t="shared" ref="I19:J27" si="1">C19*100</f>
        <v>6.6</v>
      </c>
      <c r="J19" s="21">
        <f t="shared" si="1"/>
        <v>3.7</v>
      </c>
    </row>
    <row r="20" spans="1:10" s="10" customFormat="1" ht="14.1" customHeight="1" x14ac:dyDescent="0.25">
      <c r="A20" s="180">
        <v>2</v>
      </c>
      <c r="B20" s="20" t="s">
        <v>34</v>
      </c>
      <c r="C20" s="21">
        <v>1.0999999999999999E-2</v>
      </c>
      <c r="D20" s="21">
        <v>1.0999999999999999E-2</v>
      </c>
      <c r="E20" s="408">
        <f>цены!F20</f>
        <v>80</v>
      </c>
      <c r="F20" s="408">
        <f>C20*E20</f>
        <v>0.88</v>
      </c>
      <c r="G20" s="97">
        <f t="shared" si="0"/>
        <v>0.11</v>
      </c>
      <c r="H20" s="21">
        <f t="shared" si="0"/>
        <v>0.11</v>
      </c>
      <c r="I20" s="21">
        <f t="shared" si="1"/>
        <v>1.1000000000000001</v>
      </c>
      <c r="J20" s="21">
        <f t="shared" si="1"/>
        <v>1.1000000000000001</v>
      </c>
    </row>
    <row r="21" spans="1:10" s="10" customFormat="1" ht="14.1" customHeight="1" x14ac:dyDescent="0.25">
      <c r="A21" s="180">
        <v>3</v>
      </c>
      <c r="B21" s="20" t="s">
        <v>96</v>
      </c>
      <c r="C21" s="21">
        <v>8.0000000000000002E-3</v>
      </c>
      <c r="D21" s="21">
        <v>8.0000000000000002E-3</v>
      </c>
      <c r="E21" s="408">
        <f>цены!F157</f>
        <v>65</v>
      </c>
      <c r="F21" s="408">
        <f>C21*E21</f>
        <v>0.52</v>
      </c>
      <c r="G21" s="97">
        <f t="shared" si="0"/>
        <v>0.08</v>
      </c>
      <c r="H21" s="21">
        <f t="shared" si="0"/>
        <v>0.08</v>
      </c>
      <c r="I21" s="21">
        <f t="shared" si="1"/>
        <v>0.8</v>
      </c>
      <c r="J21" s="21">
        <f t="shared" si="1"/>
        <v>0.8</v>
      </c>
    </row>
    <row r="22" spans="1:10" s="10" customFormat="1" ht="14.1" customHeight="1" x14ac:dyDescent="0.25">
      <c r="A22" s="180">
        <v>4</v>
      </c>
      <c r="B22" s="20" t="s">
        <v>453</v>
      </c>
      <c r="C22" s="21">
        <v>2E-3</v>
      </c>
      <c r="D22" s="21">
        <v>2E-3</v>
      </c>
      <c r="E22" s="408">
        <f>цены!F13</f>
        <v>100</v>
      </c>
      <c r="F22" s="408">
        <f>C22*E22</f>
        <v>0.2</v>
      </c>
      <c r="G22" s="97">
        <f t="shared" si="0"/>
        <v>0.02</v>
      </c>
      <c r="H22" s="21">
        <f t="shared" si="0"/>
        <v>0.02</v>
      </c>
      <c r="I22" s="21">
        <f t="shared" si="1"/>
        <v>0.2</v>
      </c>
      <c r="J22" s="21">
        <f t="shared" si="1"/>
        <v>0.2</v>
      </c>
    </row>
    <row r="23" spans="1:10" s="10" customFormat="1" ht="12" customHeight="1" x14ac:dyDescent="0.25">
      <c r="A23" s="180">
        <v>5</v>
      </c>
      <c r="B23" s="20" t="s">
        <v>124</v>
      </c>
      <c r="C23" s="111">
        <v>3.0000000000000001E-3</v>
      </c>
      <c r="D23" s="111">
        <v>3.0000000000000001E-3</v>
      </c>
      <c r="E23" s="408">
        <f>цены!F110</f>
        <v>24</v>
      </c>
      <c r="F23" s="408">
        <f>C23*E23</f>
        <v>7.0000000000000007E-2</v>
      </c>
      <c r="G23" s="97">
        <f t="shared" si="0"/>
        <v>0.03</v>
      </c>
      <c r="H23" s="21">
        <f t="shared" si="0"/>
        <v>0.03</v>
      </c>
      <c r="I23" s="21">
        <f t="shared" si="1"/>
        <v>0.3</v>
      </c>
      <c r="J23" s="21">
        <f t="shared" si="1"/>
        <v>0.3</v>
      </c>
    </row>
    <row r="24" spans="1:10" s="10" customFormat="1" ht="14.25" customHeight="1" x14ac:dyDescent="0.25">
      <c r="A24" s="416"/>
      <c r="B24" s="230" t="s">
        <v>97</v>
      </c>
      <c r="C24" s="243"/>
      <c r="D24" s="243">
        <v>5.7000000000000002E-2</v>
      </c>
      <c r="E24" s="192"/>
      <c r="F24" s="192"/>
      <c r="G24" s="231">
        <f t="shared" si="0"/>
        <v>0</v>
      </c>
      <c r="H24" s="232">
        <f t="shared" si="0"/>
        <v>0.56999999999999995</v>
      </c>
      <c r="I24" s="232">
        <f t="shared" si="1"/>
        <v>0</v>
      </c>
      <c r="J24" s="232">
        <f t="shared" si="1"/>
        <v>5.7</v>
      </c>
    </row>
    <row r="25" spans="1:10" s="10" customFormat="1" ht="12.75" customHeight="1" x14ac:dyDescent="0.25">
      <c r="A25" s="416"/>
      <c r="B25" s="230" t="s">
        <v>463</v>
      </c>
      <c r="C25" s="243"/>
      <c r="D25" s="243">
        <v>0.05</v>
      </c>
      <c r="E25" s="192"/>
      <c r="F25" s="192"/>
      <c r="G25" s="231"/>
      <c r="H25" s="232">
        <f t="shared" si="0"/>
        <v>0.5</v>
      </c>
      <c r="I25" s="232"/>
      <c r="J25" s="232">
        <f t="shared" si="1"/>
        <v>5</v>
      </c>
    </row>
    <row r="26" spans="1:10" s="10" customFormat="1" ht="14.25" customHeight="1" x14ac:dyDescent="0.25">
      <c r="A26" s="129">
        <v>7</v>
      </c>
      <c r="B26" s="123" t="s">
        <v>31</v>
      </c>
      <c r="C26" s="244">
        <v>5.0000000000000001E-3</v>
      </c>
      <c r="D26" s="244">
        <v>5.0000000000000001E-3</v>
      </c>
      <c r="E26" s="127">
        <f>цены!F21</f>
        <v>710</v>
      </c>
      <c r="F26" s="127">
        <f>C26*E26</f>
        <v>3.55</v>
      </c>
      <c r="G26" s="128">
        <f t="shared" si="0"/>
        <v>0.05</v>
      </c>
      <c r="H26" s="126">
        <f t="shared" si="0"/>
        <v>0.05</v>
      </c>
      <c r="I26" s="126">
        <f t="shared" si="1"/>
        <v>0.5</v>
      </c>
      <c r="J26" s="126">
        <f t="shared" si="1"/>
        <v>0.5</v>
      </c>
    </row>
    <row r="27" spans="1:10" s="10" customFormat="1" ht="14.25" customHeight="1" x14ac:dyDescent="0.25">
      <c r="A27" s="129">
        <v>8</v>
      </c>
      <c r="B27" s="123" t="s">
        <v>430</v>
      </c>
      <c r="C27" s="244">
        <v>2E-3</v>
      </c>
      <c r="D27" s="244">
        <v>2E-3</v>
      </c>
      <c r="E27" s="127">
        <f>цены!F48</f>
        <v>300</v>
      </c>
      <c r="F27" s="127">
        <f>C27*E27</f>
        <v>0.6</v>
      </c>
      <c r="G27" s="128">
        <f t="shared" si="0"/>
        <v>0.02</v>
      </c>
      <c r="H27" s="126">
        <f t="shared" si="0"/>
        <v>0.02</v>
      </c>
      <c r="I27" s="126">
        <f t="shared" si="1"/>
        <v>0.2</v>
      </c>
      <c r="J27" s="126">
        <f t="shared" si="1"/>
        <v>0.2</v>
      </c>
    </row>
    <row r="28" spans="1:10" s="10" customFormat="1" ht="12" customHeight="1" x14ac:dyDescent="0.25">
      <c r="A28" s="98"/>
      <c r="B28" s="93" t="s">
        <v>100</v>
      </c>
      <c r="C28" s="112"/>
      <c r="D28" s="112">
        <v>5.5E-2</v>
      </c>
      <c r="E28" s="95"/>
      <c r="F28" s="95">
        <f>SUM(F19:F27)</f>
        <v>18.559999999999999</v>
      </c>
      <c r="G28" s="99"/>
      <c r="H28" s="100">
        <f>D28*10</f>
        <v>0.55000000000000004</v>
      </c>
      <c r="I28" s="100"/>
      <c r="J28" s="100">
        <f>D28*100</f>
        <v>5.5</v>
      </c>
    </row>
    <row r="29" spans="1:10" s="10" customFormat="1" ht="15" customHeight="1" x14ac:dyDescent="0.25">
      <c r="A29" s="203"/>
      <c r="B29" s="204" t="s">
        <v>464</v>
      </c>
      <c r="C29" s="205"/>
      <c r="D29" s="205"/>
      <c r="E29" s="206"/>
      <c r="F29" s="206"/>
      <c r="G29" s="207"/>
      <c r="H29" s="208"/>
      <c r="I29" s="208"/>
      <c r="J29" s="208"/>
    </row>
    <row r="30" spans="1:10" s="10" customFormat="1" ht="15" customHeight="1" x14ac:dyDescent="0.25">
      <c r="A30" s="1536" t="s">
        <v>35</v>
      </c>
      <c r="B30" s="1536"/>
      <c r="C30" s="90"/>
      <c r="D30" s="90"/>
      <c r="E30" s="408"/>
      <c r="F30" s="408">
        <f>F28</f>
        <v>18.559999999999999</v>
      </c>
      <c r="G30" s="532"/>
      <c r="H30" s="532"/>
      <c r="I30" s="21"/>
      <c r="J30" s="408"/>
    </row>
    <row r="31" spans="1:10" s="10" customFormat="1" ht="15" customHeight="1" x14ac:dyDescent="0.25">
      <c r="A31" s="1536" t="s">
        <v>36</v>
      </c>
      <c r="B31" s="1536"/>
      <c r="C31" s="90">
        <v>55</v>
      </c>
      <c r="D31" s="90"/>
      <c r="E31" s="408"/>
      <c r="F31" s="408"/>
      <c r="G31" s="408"/>
      <c r="H31" s="408"/>
      <c r="I31" s="21"/>
      <c r="J31" s="17"/>
    </row>
    <row r="32" spans="1:10" s="10" customFormat="1" ht="25.35" customHeight="1" x14ac:dyDescent="0.25">
      <c r="A32" s="1537" t="s">
        <v>37</v>
      </c>
      <c r="B32" s="1538"/>
      <c r="C32" s="91">
        <v>55</v>
      </c>
      <c r="D32" s="92"/>
      <c r="E32" s="531"/>
      <c r="F32" s="531"/>
      <c r="G32" s="531"/>
      <c r="H32" s="531"/>
      <c r="I32" s="21"/>
      <c r="J32" s="17"/>
    </row>
    <row r="33" spans="1:10" s="10" customFormat="1" ht="15" customHeight="1" x14ac:dyDescent="0.25">
      <c r="A33" s="1539" t="s">
        <v>38</v>
      </c>
      <c r="B33" s="1540"/>
      <c r="C33" s="92">
        <f>C31/C32</f>
        <v>1</v>
      </c>
      <c r="D33" s="92"/>
      <c r="E33" s="531"/>
      <c r="F33" s="531"/>
      <c r="G33" s="531"/>
      <c r="H33" s="531"/>
      <c r="I33" s="21"/>
      <c r="J33" s="17"/>
    </row>
    <row r="34" spans="1:10" ht="16.350000000000001" customHeight="1" x14ac:dyDescent="0.25">
      <c r="A34" s="1541" t="s">
        <v>39</v>
      </c>
      <c r="B34" s="1542"/>
      <c r="C34" s="15" t="s">
        <v>40</v>
      </c>
      <c r="D34" s="102"/>
      <c r="E34" s="102" t="s">
        <v>40</v>
      </c>
      <c r="F34" s="16">
        <f>F30/C33</f>
        <v>18.559999999999999</v>
      </c>
      <c r="G34" s="16"/>
      <c r="H34" s="16"/>
      <c r="I34" s="102" t="s">
        <v>40</v>
      </c>
      <c r="J34" s="102" t="s">
        <v>40</v>
      </c>
    </row>
    <row r="35" spans="1:10" ht="23.1" customHeight="1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193"/>
      <c r="B36" s="1194" t="s">
        <v>49</v>
      </c>
      <c r="C36" s="1198"/>
      <c r="D36" s="1198"/>
      <c r="E36" s="1198"/>
      <c r="F36" s="1198"/>
      <c r="G36" s="1193"/>
      <c r="H36" s="1557">
        <f>'1-бутерброд с маслом'!$H$28</f>
        <v>0</v>
      </c>
      <c r="I36" s="1557"/>
      <c r="J36" s="1557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545" t="s">
        <v>327</v>
      </c>
      <c r="B38" s="1545"/>
      <c r="C38" s="1546" t="s">
        <v>328</v>
      </c>
      <c r="D38" s="1546"/>
      <c r="E38" s="1546"/>
      <c r="F38" s="1546"/>
      <c r="G38" s="106"/>
      <c r="H38" s="1531"/>
      <c r="I38" s="1531"/>
      <c r="J38" s="1531"/>
    </row>
    <row r="39" spans="1:10" x14ac:dyDescent="0.25">
      <c r="A39" s="1193"/>
      <c r="B39" s="1193"/>
      <c r="C39" s="1546"/>
      <c r="D39" s="1546"/>
      <c r="E39" s="1546"/>
      <c r="F39" s="1546"/>
      <c r="G39" s="1193"/>
      <c r="H39" s="1531" t="s">
        <v>329</v>
      </c>
      <c r="I39" s="1531"/>
      <c r="J39" s="1531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8:B38"/>
    <mergeCell ref="C38:F39"/>
    <mergeCell ref="H38:J38"/>
    <mergeCell ref="H39:J39"/>
    <mergeCell ref="A31:B31"/>
    <mergeCell ref="A32:B32"/>
    <mergeCell ref="A33:B33"/>
    <mergeCell ref="A34:B34"/>
    <mergeCell ref="H36:J36"/>
    <mergeCell ref="A30:B30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48"/>
  <sheetViews>
    <sheetView view="pageBreakPreview" topLeftCell="A6" zoomScaleNormal="100" zoomScaleSheetLayoutView="100" workbookViewId="0">
      <selection activeCell="R27" sqref="R27"/>
    </sheetView>
  </sheetViews>
  <sheetFormatPr defaultRowHeight="13.8" x14ac:dyDescent="0.25"/>
  <cols>
    <col min="1" max="1" width="4.109375" customWidth="1"/>
    <col min="2" max="2" width="23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220)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298</v>
      </c>
    </row>
    <row r="8" spans="1:10" s="2" customFormat="1" ht="9.6" customHeight="1" x14ac:dyDescent="0.25">
      <c r="A8" s="242"/>
      <c r="B8" s="242"/>
      <c r="C8" s="242"/>
      <c r="D8" s="242"/>
      <c r="E8" s="242"/>
      <c r="F8" s="242"/>
      <c r="G8" s="242"/>
      <c r="H8" s="242"/>
      <c r="I8" s="242"/>
      <c r="J8" s="109"/>
    </row>
    <row r="9" spans="1:10" s="2" customFormat="1" ht="18.600000000000001" customHeight="1" x14ac:dyDescent="0.3">
      <c r="A9" s="1550" t="s">
        <v>539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4.5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'297 фрикадельки из кур окор'!H14+1</f>
        <v>220</v>
      </c>
      <c r="I14" s="1534">
        <v>44986</v>
      </c>
      <c r="J14" s="1535"/>
    </row>
    <row r="15" spans="1:10" s="2" customFormat="1" ht="10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39" t="s">
        <v>92</v>
      </c>
      <c r="D17" s="239" t="s">
        <v>94</v>
      </c>
      <c r="E17" s="239" t="s">
        <v>93</v>
      </c>
      <c r="F17" s="239" t="s">
        <v>23</v>
      </c>
      <c r="G17" s="239" t="s">
        <v>92</v>
      </c>
      <c r="H17" s="239" t="s">
        <v>94</v>
      </c>
      <c r="I17" s="239" t="s">
        <v>92</v>
      </c>
      <c r="J17" s="239" t="s">
        <v>94</v>
      </c>
    </row>
    <row r="18" spans="1:10" ht="9.6" customHeight="1" x14ac:dyDescent="0.25">
      <c r="A18" s="239">
        <v>1</v>
      </c>
      <c r="B18" s="241">
        <v>2</v>
      </c>
      <c r="C18" s="239">
        <v>3</v>
      </c>
      <c r="D18" s="241">
        <v>4</v>
      </c>
      <c r="E18" s="239">
        <v>5</v>
      </c>
      <c r="F18" s="241">
        <v>6</v>
      </c>
      <c r="G18" s="239">
        <v>7</v>
      </c>
      <c r="H18" s="241">
        <v>8</v>
      </c>
      <c r="I18" s="239">
        <v>9</v>
      </c>
      <c r="J18" s="241">
        <v>10</v>
      </c>
    </row>
    <row r="19" spans="1:10" s="10" customFormat="1" ht="14.1" customHeight="1" x14ac:dyDescent="0.25">
      <c r="A19" s="180">
        <v>1</v>
      </c>
      <c r="B19" s="20" t="s">
        <v>147</v>
      </c>
      <c r="C19" s="21">
        <v>0.10299999999999999</v>
      </c>
      <c r="D19" s="21">
        <v>3.6999999999999998E-2</v>
      </c>
      <c r="E19" s="13">
        <f>цены!F9</f>
        <v>195</v>
      </c>
      <c r="F19" s="13">
        <f>C19*E19</f>
        <v>20.09</v>
      </c>
      <c r="G19" s="97">
        <f t="shared" ref="G19:H33" si="0">C19*10</f>
        <v>1.03</v>
      </c>
      <c r="H19" s="21">
        <f t="shared" si="0"/>
        <v>0.37</v>
      </c>
      <c r="I19" s="21">
        <f t="shared" ref="I19:J33" si="1">C19*100</f>
        <v>10.3</v>
      </c>
      <c r="J19" s="21">
        <f t="shared" si="1"/>
        <v>3.7</v>
      </c>
    </row>
    <row r="20" spans="1:10" s="10" customFormat="1" ht="14.1" customHeight="1" x14ac:dyDescent="0.25">
      <c r="A20" s="180">
        <v>2</v>
      </c>
      <c r="B20" s="20" t="s">
        <v>34</v>
      </c>
      <c r="C20" s="21">
        <v>1.0999999999999999E-2</v>
      </c>
      <c r="D20" s="21">
        <v>1.0999999999999999E-2</v>
      </c>
      <c r="E20" s="13">
        <f>цены!F20</f>
        <v>80</v>
      </c>
      <c r="F20" s="13">
        <f>C20*E20</f>
        <v>0.88</v>
      </c>
      <c r="G20" s="97">
        <f t="shared" si="0"/>
        <v>0.11</v>
      </c>
      <c r="H20" s="21">
        <f t="shared" si="0"/>
        <v>0.11</v>
      </c>
      <c r="I20" s="21">
        <f t="shared" si="1"/>
        <v>1.1000000000000001</v>
      </c>
      <c r="J20" s="21">
        <f t="shared" si="1"/>
        <v>1.1000000000000001</v>
      </c>
    </row>
    <row r="21" spans="1:10" s="10" customFormat="1" ht="14.1" customHeight="1" x14ac:dyDescent="0.25">
      <c r="A21" s="180">
        <v>3</v>
      </c>
      <c r="B21" s="20" t="s">
        <v>96</v>
      </c>
      <c r="C21" s="21">
        <v>8.0000000000000002E-3</v>
      </c>
      <c r="D21" s="21">
        <v>8.0000000000000002E-3</v>
      </c>
      <c r="E21" s="13">
        <f>цены!F157</f>
        <v>65</v>
      </c>
      <c r="F21" s="13">
        <f>C21*E21</f>
        <v>0.52</v>
      </c>
      <c r="G21" s="97">
        <f t="shared" si="0"/>
        <v>0.08</v>
      </c>
      <c r="H21" s="21">
        <f t="shared" si="0"/>
        <v>0.08</v>
      </c>
      <c r="I21" s="21">
        <f t="shared" si="1"/>
        <v>0.8</v>
      </c>
      <c r="J21" s="21">
        <f t="shared" si="1"/>
        <v>0.8</v>
      </c>
    </row>
    <row r="22" spans="1:10" s="10" customFormat="1" ht="14.1" customHeight="1" x14ac:dyDescent="0.25">
      <c r="A22" s="180">
        <v>4</v>
      </c>
      <c r="B22" s="20" t="s">
        <v>453</v>
      </c>
      <c r="C22" s="21">
        <v>2E-3</v>
      </c>
      <c r="D22" s="21">
        <v>2E-3</v>
      </c>
      <c r="E22" s="13">
        <f>цены!F13</f>
        <v>100</v>
      </c>
      <c r="F22" s="13">
        <f>C22*E22</f>
        <v>0.2</v>
      </c>
      <c r="G22" s="97">
        <f t="shared" si="0"/>
        <v>0.02</v>
      </c>
      <c r="H22" s="21">
        <f t="shared" si="0"/>
        <v>0.02</v>
      </c>
      <c r="I22" s="21">
        <f t="shared" si="1"/>
        <v>0.2</v>
      </c>
      <c r="J22" s="21">
        <f t="shared" si="1"/>
        <v>0.2</v>
      </c>
    </row>
    <row r="23" spans="1:10" s="10" customFormat="1" ht="12" customHeight="1" x14ac:dyDescent="0.25">
      <c r="A23" s="180">
        <v>5</v>
      </c>
      <c r="B23" s="20" t="s">
        <v>124</v>
      </c>
      <c r="C23" s="111">
        <v>3.0000000000000001E-3</v>
      </c>
      <c r="D23" s="111">
        <v>3.0000000000000001E-3</v>
      </c>
      <c r="E23" s="13">
        <f>цены!F110</f>
        <v>24</v>
      </c>
      <c r="F23" s="13">
        <f>C23*E23</f>
        <v>7.0000000000000007E-2</v>
      </c>
      <c r="G23" s="97">
        <f t="shared" si="0"/>
        <v>0.03</v>
      </c>
      <c r="H23" s="21">
        <f t="shared" si="0"/>
        <v>0.03</v>
      </c>
      <c r="I23" s="21">
        <f t="shared" si="1"/>
        <v>0.3</v>
      </c>
      <c r="J23" s="21">
        <f t="shared" si="1"/>
        <v>0.3</v>
      </c>
    </row>
    <row r="24" spans="1:10" s="10" customFormat="1" ht="14.25" customHeight="1" x14ac:dyDescent="0.25">
      <c r="A24" s="190"/>
      <c r="B24" s="230" t="s">
        <v>458</v>
      </c>
      <c r="C24" s="243"/>
      <c r="D24" s="243">
        <v>5.7000000000000002E-2</v>
      </c>
      <c r="E24" s="192"/>
      <c r="F24" s="192"/>
      <c r="G24" s="231">
        <f t="shared" si="0"/>
        <v>0</v>
      </c>
      <c r="H24" s="232">
        <f t="shared" si="0"/>
        <v>0.56999999999999995</v>
      </c>
      <c r="I24" s="232">
        <f t="shared" si="1"/>
        <v>0</v>
      </c>
      <c r="J24" s="232">
        <f t="shared" si="1"/>
        <v>5.7</v>
      </c>
    </row>
    <row r="25" spans="1:10" s="10" customFormat="1" ht="12.75" customHeight="1" x14ac:dyDescent="0.25">
      <c r="A25" s="129"/>
      <c r="B25" s="123" t="s">
        <v>465</v>
      </c>
      <c r="C25" s="244"/>
      <c r="D25" s="244"/>
      <c r="E25" s="127"/>
      <c r="F25" s="127"/>
      <c r="G25" s="128"/>
      <c r="H25" s="126"/>
      <c r="I25" s="126"/>
      <c r="J25" s="126"/>
    </row>
    <row r="26" spans="1:10" s="10" customFormat="1" ht="14.25" customHeight="1" x14ac:dyDescent="0.25">
      <c r="A26" s="129">
        <v>6</v>
      </c>
      <c r="B26" s="123" t="s">
        <v>439</v>
      </c>
      <c r="C26" s="244">
        <v>5.0000000000000001E-3</v>
      </c>
      <c r="D26" s="244">
        <v>5.0000000000000001E-3</v>
      </c>
      <c r="E26" s="127">
        <f>цены!F30</f>
        <v>152.16999999999999</v>
      </c>
      <c r="F26" s="127">
        <f>C26*E26</f>
        <v>0.76</v>
      </c>
      <c r="G26" s="128">
        <f t="shared" si="0"/>
        <v>0.05</v>
      </c>
      <c r="H26" s="126">
        <f t="shared" si="0"/>
        <v>0.05</v>
      </c>
      <c r="I26" s="126">
        <f t="shared" si="1"/>
        <v>0.5</v>
      </c>
      <c r="J26" s="126">
        <f t="shared" si="1"/>
        <v>0.5</v>
      </c>
    </row>
    <row r="27" spans="1:10" s="10" customFormat="1" ht="14.25" customHeight="1" x14ac:dyDescent="0.25">
      <c r="A27" s="129">
        <v>7</v>
      </c>
      <c r="B27" s="123" t="s">
        <v>34</v>
      </c>
      <c r="C27" s="244">
        <v>2E-3</v>
      </c>
      <c r="D27" s="244">
        <v>2E-3</v>
      </c>
      <c r="E27" s="127">
        <f>цены!F20</f>
        <v>80</v>
      </c>
      <c r="F27" s="127">
        <f>C27*E27</f>
        <v>0.16</v>
      </c>
      <c r="G27" s="128">
        <f t="shared" si="0"/>
        <v>0.02</v>
      </c>
      <c r="H27" s="126">
        <f t="shared" si="0"/>
        <v>0.02</v>
      </c>
      <c r="I27" s="126">
        <f t="shared" si="1"/>
        <v>0.2</v>
      </c>
      <c r="J27" s="126">
        <f t="shared" si="1"/>
        <v>0.2</v>
      </c>
    </row>
    <row r="28" spans="1:10" s="10" customFormat="1" ht="14.25" customHeight="1" x14ac:dyDescent="0.25">
      <c r="A28" s="129">
        <v>8</v>
      </c>
      <c r="B28" s="123" t="s">
        <v>47</v>
      </c>
      <c r="C28" s="244">
        <v>7.0000000000000001E-3</v>
      </c>
      <c r="D28" s="244">
        <v>6.0000000000000001E-3</v>
      </c>
      <c r="E28" s="127">
        <f>цены!F44</f>
        <v>50</v>
      </c>
      <c r="F28" s="127">
        <f>C28*E28</f>
        <v>0.35</v>
      </c>
      <c r="G28" s="128">
        <f t="shared" si="0"/>
        <v>7.0000000000000007E-2</v>
      </c>
      <c r="H28" s="126">
        <f t="shared" si="0"/>
        <v>0.06</v>
      </c>
      <c r="I28" s="126">
        <f t="shared" si="1"/>
        <v>0.7</v>
      </c>
      <c r="J28" s="126">
        <f t="shared" si="1"/>
        <v>0.6</v>
      </c>
    </row>
    <row r="29" spans="1:10" s="10" customFormat="1" ht="14.25" customHeight="1" x14ac:dyDescent="0.25">
      <c r="A29" s="129">
        <v>9</v>
      </c>
      <c r="B29" s="123" t="s">
        <v>466</v>
      </c>
      <c r="C29" s="244">
        <v>8.9999999999999993E-3</v>
      </c>
      <c r="D29" s="244">
        <v>6.0000000000000001E-3</v>
      </c>
      <c r="E29" s="127">
        <f>цены!F53</f>
        <v>160</v>
      </c>
      <c r="F29" s="127">
        <f>C29*E29</f>
        <v>1.44</v>
      </c>
      <c r="G29" s="128">
        <f t="shared" si="0"/>
        <v>0.09</v>
      </c>
      <c r="H29" s="126">
        <f t="shared" si="0"/>
        <v>0.06</v>
      </c>
      <c r="I29" s="126">
        <f t="shared" si="1"/>
        <v>0.9</v>
      </c>
      <c r="J29" s="126">
        <f t="shared" si="1"/>
        <v>0.6</v>
      </c>
    </row>
    <row r="30" spans="1:10" s="10" customFormat="1" ht="14.25" customHeight="1" x14ac:dyDescent="0.25">
      <c r="A30" s="129">
        <v>10</v>
      </c>
      <c r="B30" s="123" t="s">
        <v>31</v>
      </c>
      <c r="C30" s="244">
        <v>1E-3</v>
      </c>
      <c r="D30" s="244">
        <v>1E-3</v>
      </c>
      <c r="E30" s="127">
        <f>цены!F21</f>
        <v>710</v>
      </c>
      <c r="F30" s="127">
        <f>C30*E30</f>
        <v>0.71</v>
      </c>
      <c r="G30" s="128">
        <f t="shared" si="0"/>
        <v>0.01</v>
      </c>
      <c r="H30" s="126">
        <f t="shared" si="0"/>
        <v>0.01</v>
      </c>
      <c r="I30" s="126">
        <f t="shared" si="1"/>
        <v>0.1</v>
      </c>
      <c r="J30" s="126">
        <f t="shared" si="1"/>
        <v>0.1</v>
      </c>
    </row>
    <row r="31" spans="1:10" s="10" customFormat="1" ht="14.25" customHeight="1" x14ac:dyDescent="0.25">
      <c r="A31" s="190"/>
      <c r="B31" s="230" t="s">
        <v>372</v>
      </c>
      <c r="C31" s="243"/>
      <c r="D31" s="243">
        <v>1.4999999999999999E-2</v>
      </c>
      <c r="E31" s="192"/>
      <c r="F31" s="192"/>
      <c r="G31" s="231"/>
      <c r="H31" s="232">
        <f t="shared" si="0"/>
        <v>0.15</v>
      </c>
      <c r="I31" s="232"/>
      <c r="J31" s="232">
        <f t="shared" si="1"/>
        <v>1.5</v>
      </c>
    </row>
    <row r="32" spans="1:10" s="10" customFormat="1" ht="14.25" customHeight="1" x14ac:dyDescent="0.25">
      <c r="A32" s="190"/>
      <c r="B32" s="230" t="s">
        <v>97</v>
      </c>
      <c r="C32" s="243"/>
      <c r="D32" s="243">
        <v>7.1999999999999995E-2</v>
      </c>
      <c r="E32" s="192"/>
      <c r="F32" s="192"/>
      <c r="G32" s="231"/>
      <c r="H32" s="232">
        <f t="shared" si="0"/>
        <v>0.72</v>
      </c>
      <c r="I32" s="232"/>
      <c r="J32" s="232">
        <f t="shared" si="1"/>
        <v>7.2</v>
      </c>
    </row>
    <row r="33" spans="1:10" s="10" customFormat="1" ht="14.25" customHeight="1" x14ac:dyDescent="0.25">
      <c r="A33" s="190"/>
      <c r="B33" s="230" t="s">
        <v>467</v>
      </c>
      <c r="C33" s="243"/>
      <c r="D33" s="243">
        <v>0.06</v>
      </c>
      <c r="E33" s="192"/>
      <c r="F33" s="192"/>
      <c r="G33" s="231"/>
      <c r="H33" s="232">
        <f t="shared" si="0"/>
        <v>0.6</v>
      </c>
      <c r="I33" s="232"/>
      <c r="J33" s="232">
        <f t="shared" si="1"/>
        <v>6</v>
      </c>
    </row>
    <row r="34" spans="1:10" s="10" customFormat="1" ht="14.25" customHeight="1" x14ac:dyDescent="0.25">
      <c r="A34" s="129">
        <v>11</v>
      </c>
      <c r="B34" s="123" t="s">
        <v>31</v>
      </c>
      <c r="C34" s="244">
        <v>5.0000000000000001E-3</v>
      </c>
      <c r="D34" s="244">
        <v>5.0000000000000001E-3</v>
      </c>
      <c r="E34" s="127">
        <f>цены!F21</f>
        <v>710</v>
      </c>
      <c r="F34" s="127">
        <f>C34*E34</f>
        <v>3.55</v>
      </c>
      <c r="G34" s="128">
        <f>C34*10</f>
        <v>0.05</v>
      </c>
      <c r="H34" s="126">
        <f>D34*10</f>
        <v>0.05</v>
      </c>
      <c r="I34" s="126">
        <f>C34*100</f>
        <v>0.5</v>
      </c>
      <c r="J34" s="126">
        <f>D34*100</f>
        <v>0.5</v>
      </c>
    </row>
    <row r="35" spans="1:10" s="10" customFormat="1" ht="12" customHeight="1" x14ac:dyDescent="0.25">
      <c r="A35" s="98"/>
      <c r="B35" s="93" t="s">
        <v>100</v>
      </c>
      <c r="C35" s="112"/>
      <c r="D35" s="112">
        <v>6.5000000000000002E-2</v>
      </c>
      <c r="E35" s="95"/>
      <c r="F35" s="95">
        <f>SUM(F19:F34)</f>
        <v>28.73</v>
      </c>
      <c r="G35" s="99"/>
      <c r="H35" s="100">
        <f>D35*10</f>
        <v>0.65</v>
      </c>
      <c r="I35" s="100"/>
      <c r="J35" s="100">
        <f>D35*100</f>
        <v>6.5</v>
      </c>
    </row>
    <row r="36" spans="1:10" s="10" customFormat="1" ht="18" customHeight="1" x14ac:dyDescent="0.25">
      <c r="A36" s="203"/>
      <c r="B36" s="204" t="s">
        <v>468</v>
      </c>
      <c r="C36" s="205"/>
      <c r="D36" s="205"/>
      <c r="E36" s="206"/>
      <c r="F36" s="206"/>
      <c r="G36" s="207"/>
      <c r="H36" s="208"/>
      <c r="I36" s="208"/>
      <c r="J36" s="208"/>
    </row>
    <row r="37" spans="1:10" s="10" customFormat="1" ht="17.100000000000001" customHeight="1" x14ac:dyDescent="0.25">
      <c r="A37" s="1536" t="s">
        <v>35</v>
      </c>
      <c r="B37" s="1536"/>
      <c r="C37" s="90"/>
      <c r="D37" s="90"/>
      <c r="E37" s="13"/>
      <c r="F37" s="13">
        <f>F35</f>
        <v>28.73</v>
      </c>
      <c r="G37" s="240"/>
      <c r="H37" s="240"/>
      <c r="I37" s="21"/>
      <c r="J37" s="13"/>
    </row>
    <row r="38" spans="1:10" s="10" customFormat="1" ht="16.350000000000001" customHeight="1" x14ac:dyDescent="0.25">
      <c r="A38" s="1536" t="s">
        <v>36</v>
      </c>
      <c r="B38" s="1536"/>
      <c r="C38" s="90">
        <v>65</v>
      </c>
      <c r="D38" s="90"/>
      <c r="E38" s="13"/>
      <c r="F38" s="13"/>
      <c r="G38" s="13"/>
      <c r="H38" s="13"/>
      <c r="I38" s="21"/>
      <c r="J38" s="17"/>
    </row>
    <row r="39" spans="1:10" s="10" customFormat="1" ht="25.35" customHeight="1" x14ac:dyDescent="0.25">
      <c r="A39" s="1537" t="s">
        <v>37</v>
      </c>
      <c r="B39" s="1538"/>
      <c r="C39" s="91">
        <v>65</v>
      </c>
      <c r="D39" s="92"/>
      <c r="E39" s="241"/>
      <c r="F39" s="241"/>
      <c r="G39" s="241"/>
      <c r="H39" s="241"/>
      <c r="I39" s="21"/>
      <c r="J39" s="17"/>
    </row>
    <row r="40" spans="1:10" s="10" customFormat="1" ht="15" customHeight="1" x14ac:dyDescent="0.25">
      <c r="A40" s="1539" t="s">
        <v>38</v>
      </c>
      <c r="B40" s="1540"/>
      <c r="C40" s="92">
        <f>C38/C39</f>
        <v>1</v>
      </c>
      <c r="D40" s="92"/>
      <c r="E40" s="241"/>
      <c r="F40" s="241"/>
      <c r="G40" s="241"/>
      <c r="H40" s="241"/>
      <c r="I40" s="21"/>
      <c r="J40" s="17"/>
    </row>
    <row r="41" spans="1:10" ht="16.350000000000001" customHeight="1" x14ac:dyDescent="0.25">
      <c r="A41" s="1541" t="s">
        <v>39</v>
      </c>
      <c r="B41" s="1542"/>
      <c r="C41" s="15" t="s">
        <v>40</v>
      </c>
      <c r="D41" s="102"/>
      <c r="E41" s="102" t="s">
        <v>40</v>
      </c>
      <c r="F41" s="16">
        <f>F37/C40</f>
        <v>28.73</v>
      </c>
      <c r="G41" s="16"/>
      <c r="H41" s="16"/>
      <c r="I41" s="102" t="s">
        <v>40</v>
      </c>
      <c r="J41" s="102" t="s">
        <v>40</v>
      </c>
    </row>
    <row r="42" spans="1:10" ht="11.4" customHeight="1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ht="13.95" customHeight="1" x14ac:dyDescent="0.25">
      <c r="A43" s="1193"/>
      <c r="B43" s="1194" t="s">
        <v>49</v>
      </c>
      <c r="C43" s="1198"/>
      <c r="D43" s="1198"/>
      <c r="E43" s="1198"/>
      <c r="F43" s="1198"/>
      <c r="G43" s="1193"/>
      <c r="H43" s="1557">
        <f>'1-бутерброд с маслом'!$H$28</f>
        <v>0</v>
      </c>
      <c r="I43" s="1557"/>
      <c r="J43" s="1557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  <row r="45" spans="1:10" ht="13.95" customHeight="1" x14ac:dyDescent="0.25">
      <c r="A45" s="1545" t="s">
        <v>327</v>
      </c>
      <c r="B45" s="1545"/>
      <c r="C45" s="1546" t="s">
        <v>328</v>
      </c>
      <c r="D45" s="1546"/>
      <c r="E45" s="1546"/>
      <c r="F45" s="1546"/>
      <c r="G45" s="106"/>
      <c r="H45" s="1531"/>
      <c r="I45" s="1531"/>
      <c r="J45" s="1531"/>
    </row>
    <row r="46" spans="1:10" x14ac:dyDescent="0.25">
      <c r="A46" s="1193"/>
      <c r="B46" s="1193"/>
      <c r="C46" s="1546"/>
      <c r="D46" s="1546"/>
      <c r="E46" s="1546"/>
      <c r="F46" s="1546"/>
      <c r="G46" s="1193"/>
      <c r="H46" s="1531" t="s">
        <v>329</v>
      </c>
      <c r="I46" s="1531"/>
      <c r="J46" s="1531"/>
    </row>
    <row r="47" spans="1:10" x14ac:dyDescent="0.25">
      <c r="A47" s="1193"/>
      <c r="B47" s="1193"/>
      <c r="C47" s="1193"/>
      <c r="D47" s="1193"/>
      <c r="E47" s="1193"/>
      <c r="F47" s="1193"/>
      <c r="G47" s="1193"/>
      <c r="H47" s="1193"/>
      <c r="I47" s="1193"/>
      <c r="J47" s="1193"/>
    </row>
    <row r="48" spans="1:10" x14ac:dyDescent="0.25">
      <c r="A48" s="1193"/>
      <c r="B48" s="1193"/>
      <c r="C48" s="1193"/>
      <c r="D48" s="1193"/>
      <c r="E48" s="1193"/>
      <c r="F48" s="1193"/>
      <c r="G48" s="1193"/>
      <c r="H48" s="1193"/>
      <c r="I48" s="1193"/>
      <c r="J48" s="1193"/>
    </row>
  </sheetData>
  <mergeCells count="28">
    <mergeCell ref="H43:J43"/>
    <mergeCell ref="A13:G13"/>
    <mergeCell ref="A38:B38"/>
    <mergeCell ref="A39:B39"/>
    <mergeCell ref="A40:B40"/>
    <mergeCell ref="A41:B41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5:B45"/>
    <mergeCell ref="C45:F46"/>
    <mergeCell ref="H45:J45"/>
    <mergeCell ref="H46:J46"/>
    <mergeCell ref="H5:I5"/>
    <mergeCell ref="A6:G6"/>
    <mergeCell ref="A7:I7"/>
    <mergeCell ref="A37:B37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J33"/>
  <sheetViews>
    <sheetView view="pageBreakPreview" topLeftCell="A4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3.4414062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221)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302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192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'298 Зразы из кур'!H14+1</f>
        <v>221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5.6" customHeight="1" x14ac:dyDescent="0.25">
      <c r="A19" s="180">
        <v>1</v>
      </c>
      <c r="B19" s="20" t="s">
        <v>193</v>
      </c>
      <c r="C19" s="90">
        <v>0.97</v>
      </c>
      <c r="D19" s="90">
        <v>0.97</v>
      </c>
      <c r="E19" s="13">
        <f>'171-каша греч рассып. сах'!F22/150*1000</f>
        <v>47.87</v>
      </c>
      <c r="F19" s="13">
        <f>C19*E19</f>
        <v>46.43</v>
      </c>
      <c r="G19" s="97">
        <f>C19*10</f>
        <v>9.6999999999999993</v>
      </c>
      <c r="H19" s="21">
        <f>D19*10</f>
        <v>9.6999999999999993</v>
      </c>
      <c r="I19" s="21">
        <f>C19*100</f>
        <v>97</v>
      </c>
      <c r="J19" s="21">
        <f>D19*100</f>
        <v>97</v>
      </c>
    </row>
    <row r="20" spans="1:10" s="10" customFormat="1" ht="15.6" customHeight="1" x14ac:dyDescent="0.25">
      <c r="A20" s="129">
        <v>2</v>
      </c>
      <c r="B20" s="123" t="s">
        <v>31</v>
      </c>
      <c r="C20" s="124">
        <v>3.5000000000000003E-2</v>
      </c>
      <c r="D20" s="124">
        <v>3.5000000000000003E-2</v>
      </c>
      <c r="E20" s="13">
        <f>цены!F21</f>
        <v>710</v>
      </c>
      <c r="F20" s="13">
        <f>C20*E20</f>
        <v>24.85</v>
      </c>
      <c r="G20" s="97">
        <f>C20*10</f>
        <v>0.35</v>
      </c>
      <c r="H20" s="21">
        <f>D20*10</f>
        <v>0.35</v>
      </c>
      <c r="I20" s="21">
        <f>C20*100</f>
        <v>3.5</v>
      </c>
      <c r="J20" s="21">
        <f>D20*100</f>
        <v>3.5</v>
      </c>
    </row>
    <row r="21" spans="1:10" s="10" customFormat="1" ht="15.6" customHeight="1" x14ac:dyDescent="0.25">
      <c r="A21" s="98"/>
      <c r="B21" s="93" t="s">
        <v>190</v>
      </c>
      <c r="C21" s="94"/>
      <c r="D21" s="94">
        <v>1</v>
      </c>
      <c r="E21" s="95"/>
      <c r="F21" s="95">
        <f>SUM(F19:F20)</f>
        <v>71.28</v>
      </c>
      <c r="G21" s="99"/>
      <c r="H21" s="100">
        <f>D21*10</f>
        <v>10</v>
      </c>
      <c r="I21" s="100"/>
      <c r="J21" s="100">
        <f>D21*100</f>
        <v>100</v>
      </c>
    </row>
    <row r="22" spans="1:10" s="10" customFormat="1" ht="27.6" customHeight="1" x14ac:dyDescent="0.25">
      <c r="A22" s="1536" t="s">
        <v>35</v>
      </c>
      <c r="B22" s="1536"/>
      <c r="C22" s="90"/>
      <c r="D22" s="90"/>
      <c r="E22" s="13"/>
      <c r="F22" s="13">
        <f>F21</f>
        <v>71.28</v>
      </c>
      <c r="G22" s="14"/>
      <c r="H22" s="14"/>
      <c r="I22" s="21"/>
      <c r="J22" s="13"/>
    </row>
    <row r="23" spans="1:10" s="10" customFormat="1" ht="25.35" customHeight="1" x14ac:dyDescent="0.25">
      <c r="A23" s="1536" t="s">
        <v>36</v>
      </c>
      <c r="B23" s="1536"/>
      <c r="C23" s="90">
        <v>1000</v>
      </c>
      <c r="D23" s="90"/>
      <c r="E23" s="13"/>
      <c r="F23" s="13"/>
      <c r="G23" s="13"/>
      <c r="H23" s="13"/>
      <c r="I23" s="21"/>
      <c r="J23" s="17"/>
    </row>
    <row r="24" spans="1:10" s="10" customFormat="1" ht="25.35" customHeight="1" x14ac:dyDescent="0.25">
      <c r="A24" s="1537" t="s">
        <v>37</v>
      </c>
      <c r="B24" s="1538"/>
      <c r="C24" s="91">
        <v>150</v>
      </c>
      <c r="D24" s="92"/>
      <c r="E24" s="5"/>
      <c r="F24" s="5"/>
      <c r="G24" s="5"/>
      <c r="H24" s="5"/>
      <c r="I24" s="21"/>
      <c r="J24" s="17"/>
    </row>
    <row r="25" spans="1:10" s="10" customFormat="1" ht="15" customHeight="1" x14ac:dyDescent="0.25">
      <c r="A25" s="1539" t="s">
        <v>38</v>
      </c>
      <c r="B25" s="1540"/>
      <c r="C25" s="92">
        <f>C23/C24</f>
        <v>6.6669999999999998</v>
      </c>
      <c r="D25" s="92"/>
      <c r="E25" s="5"/>
      <c r="F25" s="5"/>
      <c r="G25" s="5"/>
      <c r="H25" s="5"/>
      <c r="I25" s="21"/>
      <c r="J25" s="17"/>
    </row>
    <row r="26" spans="1:10" ht="16.350000000000001" customHeight="1" x14ac:dyDescent="0.25">
      <c r="A26" s="1541" t="s">
        <v>39</v>
      </c>
      <c r="B26" s="1542"/>
      <c r="C26" s="15" t="s">
        <v>40</v>
      </c>
      <c r="D26" s="102"/>
      <c r="E26" s="102" t="s">
        <v>40</v>
      </c>
      <c r="F26" s="16">
        <f>F22/C25</f>
        <v>10.69</v>
      </c>
      <c r="G26" s="16"/>
      <c r="H26" s="16"/>
      <c r="I26" s="102" t="s">
        <v>40</v>
      </c>
      <c r="J26" s="102" t="s">
        <v>40</v>
      </c>
    </row>
    <row r="27" spans="1:10" ht="23.1" customHeight="1" x14ac:dyDescent="0.25">
      <c r="A27" s="1193"/>
      <c r="B27" s="1193"/>
      <c r="C27" s="1193"/>
      <c r="D27" s="1193"/>
      <c r="E27" s="1193"/>
      <c r="F27" s="1193"/>
      <c r="G27" s="1193"/>
      <c r="H27" s="1193"/>
      <c r="I27" s="1193"/>
      <c r="J27" s="1193"/>
    </row>
    <row r="28" spans="1:10" ht="13.95" customHeight="1" x14ac:dyDescent="0.25">
      <c r="A28" s="1193"/>
      <c r="B28" s="1194" t="s">
        <v>49</v>
      </c>
      <c r="C28" s="1198"/>
      <c r="D28" s="1198"/>
      <c r="E28" s="1198"/>
      <c r="F28" s="1198"/>
      <c r="G28" s="1193"/>
      <c r="H28" s="1557">
        <f>'1-бутерброд с маслом'!$H$28</f>
        <v>0</v>
      </c>
      <c r="I28" s="1557"/>
      <c r="J28" s="1557"/>
    </row>
    <row r="29" spans="1:10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0" ht="13.95" customHeight="1" x14ac:dyDescent="0.25">
      <c r="A30" s="1545" t="s">
        <v>327</v>
      </c>
      <c r="B30" s="1545"/>
      <c r="C30" s="1546" t="s">
        <v>328</v>
      </c>
      <c r="D30" s="1546"/>
      <c r="E30" s="1546"/>
      <c r="F30" s="1546"/>
      <c r="G30" s="106"/>
      <c r="H30" s="1531"/>
      <c r="I30" s="1531"/>
      <c r="J30" s="1531"/>
    </row>
    <row r="31" spans="1:10" x14ac:dyDescent="0.25">
      <c r="A31" s="1193"/>
      <c r="B31" s="1193"/>
      <c r="C31" s="1546"/>
      <c r="D31" s="1546"/>
      <c r="E31" s="1546"/>
      <c r="F31" s="1546"/>
      <c r="G31" s="1193"/>
      <c r="H31" s="1531" t="s">
        <v>329</v>
      </c>
      <c r="I31" s="1531"/>
      <c r="J31" s="1531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0:B30"/>
    <mergeCell ref="C30:F31"/>
    <mergeCell ref="H30:J30"/>
    <mergeCell ref="H31:J31"/>
    <mergeCell ref="A23:B23"/>
    <mergeCell ref="A24:B24"/>
    <mergeCell ref="A25:B25"/>
    <mergeCell ref="A26:B26"/>
    <mergeCell ref="H28:J28"/>
    <mergeCell ref="A22:B22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J33"/>
  <sheetViews>
    <sheetView view="pageBreakPreview" topLeftCell="A9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3.4414062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222)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302</v>
      </c>
    </row>
    <row r="8" spans="1:10" s="2" customFormat="1" ht="9.6" customHeight="1" x14ac:dyDescent="0.25">
      <c r="A8" s="267"/>
      <c r="B8" s="267"/>
      <c r="C8" s="267"/>
      <c r="D8" s="267"/>
      <c r="E8" s="267"/>
      <c r="F8" s="267"/>
      <c r="G8" s="267"/>
      <c r="H8" s="267"/>
      <c r="I8" s="267"/>
      <c r="J8" s="109"/>
    </row>
    <row r="9" spans="1:10" s="2" customFormat="1" ht="26.1" customHeight="1" x14ac:dyDescent="0.3">
      <c r="A9" s="1550" t="s">
        <v>490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'302-каша греч гарнир'!H14+1</f>
        <v>222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68" t="s">
        <v>92</v>
      </c>
      <c r="D17" s="268" t="s">
        <v>94</v>
      </c>
      <c r="E17" s="268" t="s">
        <v>93</v>
      </c>
      <c r="F17" s="268" t="s">
        <v>23</v>
      </c>
      <c r="G17" s="268" t="s">
        <v>92</v>
      </c>
      <c r="H17" s="268" t="s">
        <v>94</v>
      </c>
      <c r="I17" s="268" t="s">
        <v>92</v>
      </c>
      <c r="J17" s="268" t="s">
        <v>94</v>
      </c>
    </row>
    <row r="18" spans="1:10" ht="9.6" customHeight="1" x14ac:dyDescent="0.25">
      <c r="A18" s="268">
        <v>1</v>
      </c>
      <c r="B18" s="269">
        <v>2</v>
      </c>
      <c r="C18" s="268">
        <v>3</v>
      </c>
      <c r="D18" s="269">
        <v>4</v>
      </c>
      <c r="E18" s="268">
        <v>5</v>
      </c>
      <c r="F18" s="269">
        <v>6</v>
      </c>
      <c r="G18" s="268">
        <v>7</v>
      </c>
      <c r="H18" s="269">
        <v>8</v>
      </c>
      <c r="I18" s="268">
        <v>9</v>
      </c>
      <c r="J18" s="269">
        <v>10</v>
      </c>
    </row>
    <row r="19" spans="1:10" s="10" customFormat="1" ht="15.6" customHeight="1" x14ac:dyDescent="0.25">
      <c r="A19" s="180">
        <v>1</v>
      </c>
      <c r="B19" s="20" t="s">
        <v>489</v>
      </c>
      <c r="C19" s="90">
        <v>0.97</v>
      </c>
      <c r="D19" s="90">
        <v>0.97</v>
      </c>
      <c r="E19" s="13">
        <f>'171-каша рис рассып.сах'!F22/150*1000</f>
        <v>35.93</v>
      </c>
      <c r="F19" s="13">
        <f>C19*E19</f>
        <v>34.85</v>
      </c>
      <c r="G19" s="97">
        <f>C19*10</f>
        <v>9.6999999999999993</v>
      </c>
      <c r="H19" s="21">
        <f>D19*10</f>
        <v>9.6999999999999993</v>
      </c>
      <c r="I19" s="21">
        <f>C19*100</f>
        <v>97</v>
      </c>
      <c r="J19" s="21">
        <f>D19*100</f>
        <v>97</v>
      </c>
    </row>
    <row r="20" spans="1:10" s="10" customFormat="1" ht="15.6" customHeight="1" x14ac:dyDescent="0.25">
      <c r="A20" s="129">
        <v>2</v>
      </c>
      <c r="B20" s="123" t="s">
        <v>31</v>
      </c>
      <c r="C20" s="124">
        <v>3.5000000000000003E-2</v>
      </c>
      <c r="D20" s="124">
        <v>3.5000000000000003E-2</v>
      </c>
      <c r="E20" s="13">
        <f>цены!F21</f>
        <v>710</v>
      </c>
      <c r="F20" s="13">
        <f>C20*E20</f>
        <v>24.85</v>
      </c>
      <c r="G20" s="97">
        <f>C20*10</f>
        <v>0.35</v>
      </c>
      <c r="H20" s="21">
        <f>D20*10</f>
        <v>0.35</v>
      </c>
      <c r="I20" s="21">
        <f>C20*100</f>
        <v>3.5</v>
      </c>
      <c r="J20" s="21">
        <f>D20*100</f>
        <v>3.5</v>
      </c>
    </row>
    <row r="21" spans="1:10" s="10" customFormat="1" ht="15.6" customHeight="1" x14ac:dyDescent="0.25">
      <c r="A21" s="98"/>
      <c r="B21" s="93" t="s">
        <v>190</v>
      </c>
      <c r="C21" s="94"/>
      <c r="D21" s="94">
        <v>1</v>
      </c>
      <c r="E21" s="95"/>
      <c r="F21" s="95">
        <f>SUM(F19:F20)</f>
        <v>59.7</v>
      </c>
      <c r="G21" s="99"/>
      <c r="H21" s="100">
        <f>D21*10</f>
        <v>10</v>
      </c>
      <c r="I21" s="100"/>
      <c r="J21" s="100">
        <f>D21*100</f>
        <v>100</v>
      </c>
    </row>
    <row r="22" spans="1:10" s="10" customFormat="1" ht="27.6" customHeight="1" x14ac:dyDescent="0.25">
      <c r="A22" s="1536" t="s">
        <v>35</v>
      </c>
      <c r="B22" s="1536"/>
      <c r="C22" s="90"/>
      <c r="D22" s="90"/>
      <c r="E22" s="13"/>
      <c r="F22" s="13">
        <f>F21</f>
        <v>59.7</v>
      </c>
      <c r="G22" s="270"/>
      <c r="H22" s="270"/>
      <c r="I22" s="21"/>
      <c r="J22" s="13"/>
    </row>
    <row r="23" spans="1:10" s="10" customFormat="1" ht="25.35" customHeight="1" x14ac:dyDescent="0.25">
      <c r="A23" s="1536" t="s">
        <v>36</v>
      </c>
      <c r="B23" s="1536"/>
      <c r="C23" s="90">
        <v>1000</v>
      </c>
      <c r="D23" s="90"/>
      <c r="E23" s="13"/>
      <c r="F23" s="13"/>
      <c r="G23" s="13"/>
      <c r="H23" s="13"/>
      <c r="I23" s="21"/>
      <c r="J23" s="17"/>
    </row>
    <row r="24" spans="1:10" s="10" customFormat="1" ht="25.35" customHeight="1" x14ac:dyDescent="0.25">
      <c r="A24" s="1537" t="s">
        <v>37</v>
      </c>
      <c r="B24" s="1538"/>
      <c r="C24" s="91">
        <v>150</v>
      </c>
      <c r="D24" s="92"/>
      <c r="E24" s="269"/>
      <c r="F24" s="269"/>
      <c r="G24" s="269"/>
      <c r="H24" s="269"/>
      <c r="I24" s="21"/>
      <c r="J24" s="17"/>
    </row>
    <row r="25" spans="1:10" s="10" customFormat="1" ht="15" customHeight="1" x14ac:dyDescent="0.25">
      <c r="A25" s="1539" t="s">
        <v>38</v>
      </c>
      <c r="B25" s="1540"/>
      <c r="C25" s="92">
        <f>C23/C24</f>
        <v>6.6669999999999998</v>
      </c>
      <c r="D25" s="92"/>
      <c r="E25" s="269"/>
      <c r="F25" s="269"/>
      <c r="G25" s="269"/>
      <c r="H25" s="269"/>
      <c r="I25" s="21"/>
      <c r="J25" s="17"/>
    </row>
    <row r="26" spans="1:10" ht="16.350000000000001" customHeight="1" x14ac:dyDescent="0.25">
      <c r="A26" s="1541" t="s">
        <v>39</v>
      </c>
      <c r="B26" s="1542"/>
      <c r="C26" s="15" t="s">
        <v>40</v>
      </c>
      <c r="D26" s="102"/>
      <c r="E26" s="102" t="s">
        <v>40</v>
      </c>
      <c r="F26" s="16">
        <f>F22/C25</f>
        <v>8.9499999999999993</v>
      </c>
      <c r="G26" s="16"/>
      <c r="H26" s="16"/>
      <c r="I26" s="102" t="s">
        <v>40</v>
      </c>
      <c r="J26" s="102" t="s">
        <v>40</v>
      </c>
    </row>
    <row r="27" spans="1:10" ht="23.1" customHeight="1" x14ac:dyDescent="0.25">
      <c r="A27" s="1193"/>
      <c r="B27" s="1193"/>
      <c r="C27" s="1193"/>
      <c r="D27" s="1193"/>
      <c r="E27" s="1193"/>
      <c r="F27" s="1193"/>
      <c r="G27" s="1193"/>
      <c r="H27" s="1193"/>
      <c r="I27" s="1193"/>
      <c r="J27" s="1193"/>
    </row>
    <row r="28" spans="1:10" ht="13.95" customHeight="1" x14ac:dyDescent="0.25">
      <c r="A28" s="1193"/>
      <c r="B28" s="1194" t="s">
        <v>49</v>
      </c>
      <c r="C28" s="1198"/>
      <c r="D28" s="1198"/>
      <c r="E28" s="1198"/>
      <c r="F28" s="1198"/>
      <c r="G28" s="1193"/>
      <c r="H28" s="1557">
        <f>'1-бутерброд с маслом'!$H$28</f>
        <v>0</v>
      </c>
      <c r="I28" s="1557"/>
      <c r="J28" s="1557"/>
    </row>
    <row r="29" spans="1:10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0" ht="13.95" customHeight="1" x14ac:dyDescent="0.25">
      <c r="A30" s="1545" t="s">
        <v>327</v>
      </c>
      <c r="B30" s="1545"/>
      <c r="C30" s="1546" t="s">
        <v>328</v>
      </c>
      <c r="D30" s="1546"/>
      <c r="E30" s="1546"/>
      <c r="F30" s="1546"/>
      <c r="G30" s="106"/>
      <c r="H30" s="1531"/>
      <c r="I30" s="1531"/>
      <c r="J30" s="1531"/>
    </row>
    <row r="31" spans="1:10" x14ac:dyDescent="0.25">
      <c r="A31" s="1193"/>
      <c r="B31" s="1193"/>
      <c r="C31" s="1546"/>
      <c r="D31" s="1546"/>
      <c r="E31" s="1546"/>
      <c r="F31" s="1546"/>
      <c r="G31" s="1193"/>
      <c r="H31" s="1531" t="s">
        <v>329</v>
      </c>
      <c r="I31" s="1531"/>
      <c r="J31" s="1531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0:B30"/>
    <mergeCell ref="C30:F31"/>
    <mergeCell ref="H30:J30"/>
    <mergeCell ref="H31:J31"/>
    <mergeCell ref="A23:B23"/>
    <mergeCell ref="A24:B24"/>
    <mergeCell ref="A25:B25"/>
    <mergeCell ref="A26:B26"/>
    <mergeCell ref="H28:J28"/>
    <mergeCell ref="A22:B22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J33"/>
  <sheetViews>
    <sheetView view="pageBreakPreview" topLeftCell="A9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467" customWidth="1"/>
    <col min="2" max="2" width="23.44140625" style="467" customWidth="1"/>
    <col min="3" max="7" width="7.5546875" style="467" customWidth="1"/>
    <col min="8" max="8" width="8.88671875" style="467" customWidth="1"/>
    <col min="9" max="9" width="7.5546875" style="467" customWidth="1"/>
    <col min="10" max="10" width="9" style="467" customWidth="1"/>
    <col min="11" max="11" width="3.88671875" style="467" customWidth="1"/>
    <col min="12" max="16384" width="8.88671875" style="46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223)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302</v>
      </c>
    </row>
    <row r="8" spans="1:10" s="2" customFormat="1" ht="9.6" customHeight="1" x14ac:dyDescent="0.25">
      <c r="A8" s="471"/>
      <c r="B8" s="471"/>
      <c r="C8" s="471"/>
      <c r="D8" s="471"/>
      <c r="E8" s="471"/>
      <c r="F8" s="471"/>
      <c r="G8" s="471"/>
      <c r="H8" s="471"/>
      <c r="I8" s="471"/>
      <c r="J8" s="109"/>
    </row>
    <row r="9" spans="1:10" s="2" customFormat="1" ht="26.1" customHeight="1" x14ac:dyDescent="0.3">
      <c r="A9" s="1550" t="s">
        <v>753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'302-каша рис гарнир'!H14+1</f>
        <v>223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468" t="s">
        <v>92</v>
      </c>
      <c r="D17" s="468" t="s">
        <v>94</v>
      </c>
      <c r="E17" s="468" t="s">
        <v>93</v>
      </c>
      <c r="F17" s="468" t="s">
        <v>23</v>
      </c>
      <c r="G17" s="468" t="s">
        <v>92</v>
      </c>
      <c r="H17" s="468" t="s">
        <v>94</v>
      </c>
      <c r="I17" s="468" t="s">
        <v>92</v>
      </c>
      <c r="J17" s="468" t="s">
        <v>94</v>
      </c>
    </row>
    <row r="18" spans="1:10" ht="9.6" customHeight="1" x14ac:dyDescent="0.25">
      <c r="A18" s="468">
        <v>1</v>
      </c>
      <c r="B18" s="470">
        <v>2</v>
      </c>
      <c r="C18" s="468">
        <v>3</v>
      </c>
      <c r="D18" s="470">
        <v>4</v>
      </c>
      <c r="E18" s="468">
        <v>5</v>
      </c>
      <c r="F18" s="470">
        <v>6</v>
      </c>
      <c r="G18" s="468">
        <v>7</v>
      </c>
      <c r="H18" s="470">
        <v>8</v>
      </c>
      <c r="I18" s="468">
        <v>9</v>
      </c>
      <c r="J18" s="470">
        <v>10</v>
      </c>
    </row>
    <row r="19" spans="1:10" s="10" customFormat="1" ht="15.6" customHeight="1" x14ac:dyDescent="0.25">
      <c r="A19" s="180">
        <v>1</v>
      </c>
      <c r="B19" s="20" t="s">
        <v>754</v>
      </c>
      <c r="C19" s="90">
        <v>0.97</v>
      </c>
      <c r="D19" s="90">
        <v>0.97</v>
      </c>
      <c r="E19" s="408">
        <f>'171-каша пшенная рассып.сах110'!F22/170*1000</f>
        <v>21.71</v>
      </c>
      <c r="F19" s="408">
        <f>C19*E19</f>
        <v>21.06</v>
      </c>
      <c r="G19" s="97">
        <f>C19*10</f>
        <v>9.6999999999999993</v>
      </c>
      <c r="H19" s="21">
        <f>D19*10</f>
        <v>9.6999999999999993</v>
      </c>
      <c r="I19" s="21">
        <f>C19*100</f>
        <v>97</v>
      </c>
      <c r="J19" s="21">
        <f>D19*100</f>
        <v>97</v>
      </c>
    </row>
    <row r="20" spans="1:10" s="10" customFormat="1" ht="15.6" customHeight="1" x14ac:dyDescent="0.25">
      <c r="A20" s="129">
        <v>2</v>
      </c>
      <c r="B20" s="123" t="s">
        <v>31</v>
      </c>
      <c r="C20" s="124">
        <v>3.5000000000000003E-2</v>
      </c>
      <c r="D20" s="124">
        <v>3.5000000000000003E-2</v>
      </c>
      <c r="E20" s="408">
        <f>цены!F21</f>
        <v>710</v>
      </c>
      <c r="F20" s="408">
        <f>C20*E20</f>
        <v>24.85</v>
      </c>
      <c r="G20" s="97">
        <f>C20*10</f>
        <v>0.35</v>
      </c>
      <c r="H20" s="21">
        <f>D20*10</f>
        <v>0.35</v>
      </c>
      <c r="I20" s="21">
        <f>C20*100</f>
        <v>3.5</v>
      </c>
      <c r="J20" s="21">
        <f>D20*100</f>
        <v>3.5</v>
      </c>
    </row>
    <row r="21" spans="1:10" s="10" customFormat="1" ht="15.6" customHeight="1" x14ac:dyDescent="0.25">
      <c r="A21" s="98"/>
      <c r="B21" s="93" t="s">
        <v>190</v>
      </c>
      <c r="C21" s="94"/>
      <c r="D21" s="94">
        <v>1</v>
      </c>
      <c r="E21" s="95"/>
      <c r="F21" s="95">
        <f>SUM(F19:F20)</f>
        <v>45.91</v>
      </c>
      <c r="G21" s="99"/>
      <c r="H21" s="100">
        <f>D21*10</f>
        <v>10</v>
      </c>
      <c r="I21" s="100"/>
      <c r="J21" s="100">
        <f>D21*100</f>
        <v>100</v>
      </c>
    </row>
    <row r="22" spans="1:10" s="10" customFormat="1" ht="27.6" customHeight="1" x14ac:dyDescent="0.25">
      <c r="A22" s="1536" t="s">
        <v>35</v>
      </c>
      <c r="B22" s="1536"/>
      <c r="C22" s="90"/>
      <c r="D22" s="90"/>
      <c r="E22" s="408"/>
      <c r="F22" s="408">
        <f>F21</f>
        <v>45.91</v>
      </c>
      <c r="G22" s="469"/>
      <c r="H22" s="469"/>
      <c r="I22" s="21"/>
      <c r="J22" s="408"/>
    </row>
    <row r="23" spans="1:10" s="10" customFormat="1" ht="25.35" customHeight="1" x14ac:dyDescent="0.25">
      <c r="A23" s="1536" t="s">
        <v>36</v>
      </c>
      <c r="B23" s="1536"/>
      <c r="C23" s="90">
        <v>1000</v>
      </c>
      <c r="D23" s="90"/>
      <c r="E23" s="408"/>
      <c r="F23" s="408"/>
      <c r="G23" s="408"/>
      <c r="H23" s="408"/>
      <c r="I23" s="21"/>
      <c r="J23" s="17"/>
    </row>
    <row r="24" spans="1:10" s="10" customFormat="1" ht="25.35" customHeight="1" x14ac:dyDescent="0.25">
      <c r="A24" s="1537" t="s">
        <v>37</v>
      </c>
      <c r="B24" s="1538"/>
      <c r="C24" s="91">
        <v>150</v>
      </c>
      <c r="D24" s="92"/>
      <c r="E24" s="470"/>
      <c r="F24" s="470"/>
      <c r="G24" s="470"/>
      <c r="H24" s="470"/>
      <c r="I24" s="21"/>
      <c r="J24" s="17"/>
    </row>
    <row r="25" spans="1:10" s="10" customFormat="1" ht="15" customHeight="1" x14ac:dyDescent="0.25">
      <c r="A25" s="1539" t="s">
        <v>38</v>
      </c>
      <c r="B25" s="1540"/>
      <c r="C25" s="249">
        <f>C23/C24</f>
        <v>6.67</v>
      </c>
      <c r="D25" s="92"/>
      <c r="E25" s="470"/>
      <c r="F25" s="470"/>
      <c r="G25" s="470"/>
      <c r="H25" s="470"/>
      <c r="I25" s="21"/>
      <c r="J25" s="17"/>
    </row>
    <row r="26" spans="1:10" ht="16.350000000000001" customHeight="1" x14ac:dyDescent="0.25">
      <c r="A26" s="1541" t="s">
        <v>39</v>
      </c>
      <c r="B26" s="1542"/>
      <c r="C26" s="15" t="s">
        <v>40</v>
      </c>
      <c r="D26" s="102"/>
      <c r="E26" s="102" t="s">
        <v>40</v>
      </c>
      <c r="F26" s="16">
        <f>F22/C25</f>
        <v>6.88</v>
      </c>
      <c r="G26" s="16"/>
      <c r="H26" s="16"/>
      <c r="I26" s="102" t="s">
        <v>40</v>
      </c>
      <c r="J26" s="102" t="s">
        <v>40</v>
      </c>
    </row>
    <row r="27" spans="1:10" ht="23.1" customHeight="1" x14ac:dyDescent="0.25">
      <c r="A27" s="1193"/>
      <c r="B27" s="1193"/>
      <c r="C27" s="1193"/>
      <c r="D27" s="1193"/>
      <c r="E27" s="1193"/>
      <c r="F27" s="1193"/>
      <c r="G27" s="1193"/>
      <c r="H27" s="1193"/>
      <c r="I27" s="1193"/>
      <c r="J27" s="1193"/>
    </row>
    <row r="28" spans="1:10" ht="13.95" customHeight="1" x14ac:dyDescent="0.25">
      <c r="A28" s="1193"/>
      <c r="B28" s="1194" t="s">
        <v>49</v>
      </c>
      <c r="C28" s="1198"/>
      <c r="D28" s="1198"/>
      <c r="E28" s="1198"/>
      <c r="F28" s="1198"/>
      <c r="G28" s="1193"/>
      <c r="H28" s="1557">
        <f>'1-бутерброд с маслом'!$H$28</f>
        <v>0</v>
      </c>
      <c r="I28" s="1557"/>
      <c r="J28" s="1557"/>
    </row>
    <row r="29" spans="1:10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0" ht="13.95" customHeight="1" x14ac:dyDescent="0.25">
      <c r="A30" s="1545" t="s">
        <v>327</v>
      </c>
      <c r="B30" s="1545"/>
      <c r="C30" s="1546" t="s">
        <v>328</v>
      </c>
      <c r="D30" s="1546"/>
      <c r="E30" s="1546"/>
      <c r="F30" s="1546"/>
      <c r="G30" s="106"/>
      <c r="H30" s="1531"/>
      <c r="I30" s="1531"/>
      <c r="J30" s="1531"/>
    </row>
    <row r="31" spans="1:10" x14ac:dyDescent="0.25">
      <c r="A31" s="1193"/>
      <c r="B31" s="1193"/>
      <c r="C31" s="1546"/>
      <c r="D31" s="1546"/>
      <c r="E31" s="1546"/>
      <c r="F31" s="1546"/>
      <c r="G31" s="1193"/>
      <c r="H31" s="1531" t="s">
        <v>329</v>
      </c>
      <c r="I31" s="1531"/>
      <c r="J31" s="1531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</sheetData>
  <mergeCells count="28">
    <mergeCell ref="H28:J28"/>
    <mergeCell ref="A13:G13"/>
    <mergeCell ref="A23:B23"/>
    <mergeCell ref="A24:B24"/>
    <mergeCell ref="A25:B25"/>
    <mergeCell ref="A26:B26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0:B30"/>
    <mergeCell ref="C30:F31"/>
    <mergeCell ref="H30:J30"/>
    <mergeCell ref="H31:J31"/>
    <mergeCell ref="H5:I5"/>
    <mergeCell ref="A6:G6"/>
    <mergeCell ref="A7:I7"/>
    <mergeCell ref="A22:B22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J34"/>
  <sheetViews>
    <sheetView view="pageBreakPreview" topLeftCell="A11" zoomScaleNormal="100" zoomScaleSheetLayoutView="100" workbookViewId="0">
      <selection activeCell="I24" sqref="I24"/>
    </sheetView>
  </sheetViews>
  <sheetFormatPr defaultColWidth="8.88671875" defaultRowHeight="13.8" x14ac:dyDescent="0.25"/>
  <cols>
    <col min="1" max="1" width="4.109375" style="699" customWidth="1"/>
    <col min="2" max="2" width="23.44140625" style="699" customWidth="1"/>
    <col min="3" max="7" width="7.5546875" style="699" customWidth="1"/>
    <col min="8" max="8" width="8.88671875" style="699" customWidth="1"/>
    <col min="9" max="9" width="7.5546875" style="699" customWidth="1"/>
    <col min="10" max="10" width="9" style="699" customWidth="1"/>
    <col min="11" max="11" width="3.6640625" style="699" customWidth="1"/>
    <col min="12" max="16384" width="8.88671875" style="69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224)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304</v>
      </c>
    </row>
    <row r="8" spans="1:10" s="2" customFormat="1" ht="9.6" customHeight="1" x14ac:dyDescent="0.25">
      <c r="A8" s="709"/>
      <c r="B8" s="709"/>
      <c r="C8" s="709"/>
      <c r="D8" s="709"/>
      <c r="E8" s="709"/>
      <c r="F8" s="709"/>
      <c r="G8" s="709"/>
      <c r="H8" s="709"/>
      <c r="I8" s="709"/>
      <c r="J8" s="109"/>
    </row>
    <row r="9" spans="1:10" s="2" customFormat="1" ht="26.1" customHeight="1" x14ac:dyDescent="0.3">
      <c r="A9" s="1550" t="s">
        <v>910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'302-каша пшено гарнир'!H14+1</f>
        <v>224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34.5" customHeight="1" x14ac:dyDescent="0.25">
      <c r="A17" s="1543"/>
      <c r="B17" s="1543"/>
      <c r="C17" s="705" t="s">
        <v>92</v>
      </c>
      <c r="D17" s="705" t="s">
        <v>94</v>
      </c>
      <c r="E17" s="705" t="s">
        <v>93</v>
      </c>
      <c r="F17" s="705" t="s">
        <v>23</v>
      </c>
      <c r="G17" s="705" t="s">
        <v>92</v>
      </c>
      <c r="H17" s="705" t="s">
        <v>94</v>
      </c>
      <c r="I17" s="705" t="s">
        <v>92</v>
      </c>
      <c r="J17" s="705" t="s">
        <v>94</v>
      </c>
    </row>
    <row r="18" spans="1:10" ht="12.75" customHeight="1" x14ac:dyDescent="0.25">
      <c r="A18" s="705">
        <v>1</v>
      </c>
      <c r="B18" s="707">
        <v>2</v>
      </c>
      <c r="C18" s="705">
        <v>3</v>
      </c>
      <c r="D18" s="707">
        <v>4</v>
      </c>
      <c r="E18" s="705">
        <v>5</v>
      </c>
      <c r="F18" s="707">
        <v>6</v>
      </c>
      <c r="G18" s="705">
        <v>7</v>
      </c>
      <c r="H18" s="707">
        <v>8</v>
      </c>
      <c r="I18" s="705">
        <v>9</v>
      </c>
      <c r="J18" s="707">
        <v>10</v>
      </c>
    </row>
    <row r="19" spans="1:10" s="10" customFormat="1" ht="15.6" customHeight="1" x14ac:dyDescent="0.25">
      <c r="A19" s="180">
        <v>1</v>
      </c>
      <c r="B19" s="20" t="s">
        <v>472</v>
      </c>
      <c r="C19" s="90">
        <v>0.36</v>
      </c>
      <c r="D19" s="90">
        <v>0.36</v>
      </c>
      <c r="E19" s="408">
        <f>цены!F83</f>
        <v>98</v>
      </c>
      <c r="F19" s="408">
        <f>C19*E19</f>
        <v>35.28</v>
      </c>
      <c r="G19" s="97">
        <f t="shared" ref="G19:H21" si="0">C19*10</f>
        <v>3.6</v>
      </c>
      <c r="H19" s="21">
        <f t="shared" si="0"/>
        <v>3.6</v>
      </c>
      <c r="I19" s="21">
        <f t="shared" ref="I19:J21" si="1">C19*100</f>
        <v>36</v>
      </c>
      <c r="J19" s="21">
        <f t="shared" si="1"/>
        <v>36</v>
      </c>
    </row>
    <row r="20" spans="1:10" s="10" customFormat="1" ht="15.6" customHeight="1" x14ac:dyDescent="0.25">
      <c r="A20" s="129">
        <v>2</v>
      </c>
      <c r="B20" s="123" t="s">
        <v>31</v>
      </c>
      <c r="C20" s="124">
        <v>4.4999999999999998E-2</v>
      </c>
      <c r="D20" s="124">
        <v>4.4999999999999998E-2</v>
      </c>
      <c r="E20" s="408">
        <f>цены!F21</f>
        <v>710</v>
      </c>
      <c r="F20" s="408">
        <f>C20*E20</f>
        <v>31.95</v>
      </c>
      <c r="G20" s="97">
        <f t="shared" si="0"/>
        <v>0.45</v>
      </c>
      <c r="H20" s="21">
        <f t="shared" si="0"/>
        <v>0.45</v>
      </c>
      <c r="I20" s="21">
        <f t="shared" si="1"/>
        <v>4.5</v>
      </c>
      <c r="J20" s="21">
        <f t="shared" si="1"/>
        <v>4.5</v>
      </c>
    </row>
    <row r="21" spans="1:10" s="10" customFormat="1" ht="15.6" customHeight="1" x14ac:dyDescent="0.25">
      <c r="A21" s="129">
        <v>3</v>
      </c>
      <c r="B21" s="123" t="s">
        <v>33</v>
      </c>
      <c r="C21" s="1369">
        <f>0.06/1*C19</f>
        <v>2.1600000000000001E-2</v>
      </c>
      <c r="D21" s="124">
        <f>C21</f>
        <v>2.1999999999999999E-2</v>
      </c>
      <c r="E21" s="408">
        <f>цены!F110</f>
        <v>24</v>
      </c>
      <c r="F21" s="408">
        <f>C21*E21</f>
        <v>0.52</v>
      </c>
      <c r="G21" s="97">
        <f t="shared" si="0"/>
        <v>0.216</v>
      </c>
      <c r="H21" s="21">
        <f t="shared" si="0"/>
        <v>0.22</v>
      </c>
      <c r="I21" s="21">
        <f t="shared" si="1"/>
        <v>2.16</v>
      </c>
      <c r="J21" s="21">
        <f t="shared" si="1"/>
        <v>2.2000000000000002</v>
      </c>
    </row>
    <row r="22" spans="1:10" s="10" customFormat="1" ht="15.6" customHeight="1" x14ac:dyDescent="0.25">
      <c r="A22" s="98"/>
      <c r="B22" s="93" t="s">
        <v>911</v>
      </c>
      <c r="C22" s="94"/>
      <c r="D22" s="94">
        <v>1</v>
      </c>
      <c r="E22" s="95"/>
      <c r="F22" s="95">
        <f>SUM(F19:F21)</f>
        <v>67.75</v>
      </c>
      <c r="G22" s="99"/>
      <c r="H22" s="100">
        <f>D22*10</f>
        <v>10</v>
      </c>
      <c r="I22" s="100"/>
      <c r="J22" s="100">
        <f>D22*100</f>
        <v>100</v>
      </c>
    </row>
    <row r="23" spans="1:10" s="10" customFormat="1" ht="14.4" customHeight="1" x14ac:dyDescent="0.25">
      <c r="A23" s="1536" t="s">
        <v>35</v>
      </c>
      <c r="B23" s="1536"/>
      <c r="C23" s="90"/>
      <c r="D23" s="90"/>
      <c r="E23" s="408"/>
      <c r="F23" s="408">
        <f>F22</f>
        <v>67.75</v>
      </c>
      <c r="G23" s="706"/>
      <c r="H23" s="706"/>
      <c r="I23" s="21"/>
      <c r="J23" s="408"/>
    </row>
    <row r="24" spans="1:10" s="10" customFormat="1" ht="13.2" customHeight="1" x14ac:dyDescent="0.25">
      <c r="A24" s="1536" t="s">
        <v>36</v>
      </c>
      <c r="B24" s="1536"/>
      <c r="C24" s="90">
        <v>1000</v>
      </c>
      <c r="D24" s="90"/>
      <c r="E24" s="408"/>
      <c r="F24" s="408"/>
      <c r="G24" s="408"/>
      <c r="H24" s="408"/>
      <c r="I24" s="21"/>
      <c r="J24" s="17"/>
    </row>
    <row r="25" spans="1:10" s="10" customFormat="1" ht="25.35" customHeight="1" x14ac:dyDescent="0.25">
      <c r="A25" s="1537" t="s">
        <v>37</v>
      </c>
      <c r="B25" s="1538"/>
      <c r="C25" s="91">
        <v>150</v>
      </c>
      <c r="D25" s="92"/>
      <c r="E25" s="707"/>
      <c r="F25" s="707"/>
      <c r="G25" s="707"/>
      <c r="H25" s="707"/>
      <c r="I25" s="21"/>
      <c r="J25" s="17"/>
    </row>
    <row r="26" spans="1:10" s="10" customFormat="1" ht="15" customHeight="1" x14ac:dyDescent="0.25">
      <c r="A26" s="1539" t="s">
        <v>38</v>
      </c>
      <c r="B26" s="1540"/>
      <c r="C26" s="249">
        <f>C24/C25</f>
        <v>6.67</v>
      </c>
      <c r="D26" s="92"/>
      <c r="E26" s="707"/>
      <c r="F26" s="707"/>
      <c r="G26" s="707"/>
      <c r="H26" s="707"/>
      <c r="I26" s="21"/>
      <c r="J26" s="17"/>
    </row>
    <row r="27" spans="1:10" ht="16.350000000000001" customHeight="1" x14ac:dyDescent="0.25">
      <c r="A27" s="1541" t="s">
        <v>39</v>
      </c>
      <c r="B27" s="1542"/>
      <c r="C27" s="15" t="s">
        <v>40</v>
      </c>
      <c r="D27" s="102"/>
      <c r="E27" s="102" t="s">
        <v>40</v>
      </c>
      <c r="F27" s="16">
        <f>F23/C26</f>
        <v>10.16</v>
      </c>
      <c r="G27" s="16"/>
      <c r="H27" s="16"/>
      <c r="I27" s="102" t="s">
        <v>40</v>
      </c>
      <c r="J27" s="102" t="s">
        <v>40</v>
      </c>
    </row>
    <row r="28" spans="1:10" ht="23.1" customHeight="1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193"/>
      <c r="B29" s="1194" t="s">
        <v>49</v>
      </c>
      <c r="C29" s="1198"/>
      <c r="D29" s="1198"/>
      <c r="E29" s="1198"/>
      <c r="F29" s="1198"/>
      <c r="G29" s="1193"/>
      <c r="H29" s="1557">
        <f>'1-бутерброд с маслом'!$H$28</f>
        <v>0</v>
      </c>
      <c r="I29" s="1557"/>
      <c r="J29" s="1557"/>
    </row>
    <row r="30" spans="1:10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0" ht="13.95" customHeight="1" x14ac:dyDescent="0.25">
      <c r="A31" s="1545" t="s">
        <v>327</v>
      </c>
      <c r="B31" s="1545"/>
      <c r="C31" s="1546" t="s">
        <v>328</v>
      </c>
      <c r="D31" s="1546"/>
      <c r="E31" s="1546"/>
      <c r="F31" s="1546"/>
      <c r="G31" s="106"/>
      <c r="H31" s="1531"/>
      <c r="I31" s="1531"/>
      <c r="J31" s="1531"/>
    </row>
    <row r="32" spans="1:10" x14ac:dyDescent="0.25">
      <c r="A32" s="1193"/>
      <c r="B32" s="1193"/>
      <c r="C32" s="1546"/>
      <c r="D32" s="1546"/>
      <c r="E32" s="1546"/>
      <c r="F32" s="1546"/>
      <c r="G32" s="1193"/>
      <c r="H32" s="1531" t="s">
        <v>329</v>
      </c>
      <c r="I32" s="1531"/>
      <c r="J32" s="1531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</sheetData>
  <mergeCells count="28">
    <mergeCell ref="H29:J29"/>
    <mergeCell ref="A13:G13"/>
    <mergeCell ref="A24:B24"/>
    <mergeCell ref="A25:B25"/>
    <mergeCell ref="A26:B26"/>
    <mergeCell ref="A27:B27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1:B31"/>
    <mergeCell ref="C31:F32"/>
    <mergeCell ref="H31:J31"/>
    <mergeCell ref="H32:J32"/>
    <mergeCell ref="H5:I5"/>
    <mergeCell ref="A6:G6"/>
    <mergeCell ref="A7:I7"/>
    <mergeCell ref="A23:B23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M37"/>
  <sheetViews>
    <sheetView view="pageBreakPreview" topLeftCell="A12" zoomScaleNormal="100" zoomScaleSheetLayoutView="100" workbookViewId="0">
      <selection activeCell="A29" sqref="A29:J33"/>
    </sheetView>
  </sheetViews>
  <sheetFormatPr defaultRowHeight="13.8" x14ac:dyDescent="0.25"/>
  <cols>
    <col min="1" max="1" width="4.109375" customWidth="1"/>
    <col min="2" max="2" width="21" customWidth="1"/>
    <col min="3" max="3" width="8.88671875" customWidth="1"/>
    <col min="4" max="7" width="7.5546875" customWidth="1"/>
    <col min="8" max="8" width="7.44140625" customWidth="1"/>
    <col min="9" max="9" width="8.44140625" customWidth="1"/>
    <col min="10" max="10" width="9.1093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290"/>
      <c r="I6" s="290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23</v>
      </c>
    </row>
    <row r="8" spans="1:10" s="2" customFormat="1" ht="9.6" customHeight="1" x14ac:dyDescent="0.25">
      <c r="A8" s="291"/>
      <c r="B8" s="291"/>
      <c r="C8" s="291"/>
      <c r="D8" s="291"/>
      <c r="E8" s="291"/>
      <c r="F8" s="291"/>
      <c r="G8" s="291"/>
      <c r="H8" s="291"/>
      <c r="I8" s="291"/>
      <c r="J8" s="109"/>
    </row>
    <row r="9" spans="1:10" s="2" customFormat="1" ht="26.1" customHeight="1" x14ac:dyDescent="0.3">
      <c r="A9" s="1550" t="s">
        <v>603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'20-салат из огурцов'!H14+1</f>
        <v>18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287" t="s">
        <v>92</v>
      </c>
      <c r="D17" s="287" t="s">
        <v>94</v>
      </c>
      <c r="E17" s="287" t="s">
        <v>93</v>
      </c>
      <c r="F17" s="287" t="s">
        <v>23</v>
      </c>
      <c r="G17" s="287" t="s">
        <v>92</v>
      </c>
      <c r="H17" s="287" t="s">
        <v>94</v>
      </c>
      <c r="I17" s="287" t="s">
        <v>92</v>
      </c>
      <c r="J17" s="287" t="s">
        <v>94</v>
      </c>
    </row>
    <row r="18" spans="1:13" ht="9.6" customHeight="1" x14ac:dyDescent="0.25">
      <c r="A18" s="287">
        <v>1</v>
      </c>
      <c r="B18" s="289">
        <v>2</v>
      </c>
      <c r="C18" s="287">
        <v>3</v>
      </c>
      <c r="D18" s="289">
        <v>4</v>
      </c>
      <c r="E18" s="287">
        <v>5</v>
      </c>
      <c r="F18" s="289">
        <v>6</v>
      </c>
      <c r="G18" s="287">
        <v>7</v>
      </c>
      <c r="H18" s="289">
        <v>8</v>
      </c>
      <c r="I18" s="287">
        <v>9</v>
      </c>
      <c r="J18" s="289">
        <v>10</v>
      </c>
    </row>
    <row r="19" spans="1:13" s="10" customFormat="1" ht="14.1" customHeight="1" x14ac:dyDescent="0.25">
      <c r="A19" s="180">
        <v>1</v>
      </c>
      <c r="B19" s="20" t="s">
        <v>516</v>
      </c>
      <c r="C19" s="21">
        <v>0.84699999999999998</v>
      </c>
      <c r="D19" s="21">
        <v>0.72</v>
      </c>
      <c r="E19" s="13">
        <f>цены!F41</f>
        <v>106</v>
      </c>
      <c r="F19" s="13">
        <f>C19*E19</f>
        <v>89.78</v>
      </c>
      <c r="G19" s="97">
        <f t="shared" ref="G19:H22" si="0">C19*10</f>
        <v>8.4700000000000006</v>
      </c>
      <c r="H19" s="21">
        <f t="shared" si="0"/>
        <v>7.2</v>
      </c>
      <c r="I19" s="21">
        <f t="shared" ref="I19:J22" si="1">C19*100</f>
        <v>84.7</v>
      </c>
      <c r="J19" s="21">
        <f t="shared" si="1"/>
        <v>72</v>
      </c>
      <c r="L19" s="1015">
        <f>C19/C$27</f>
        <v>5.08189836203276E-2</v>
      </c>
      <c r="M19" s="1015">
        <f>F19/C$27</f>
        <v>5.3866922661546797</v>
      </c>
    </row>
    <row r="20" spans="1:13" s="10" customFormat="1" ht="14.1" customHeight="1" x14ac:dyDescent="0.25">
      <c r="A20" s="180">
        <v>2</v>
      </c>
      <c r="B20" s="20" t="s">
        <v>337</v>
      </c>
      <c r="C20" s="21">
        <v>0.28799999999999998</v>
      </c>
      <c r="D20" s="21">
        <v>0.23</v>
      </c>
      <c r="E20" s="13">
        <f>цены!F39</f>
        <v>300</v>
      </c>
      <c r="F20" s="13">
        <f>C20*E20</f>
        <v>86.4</v>
      </c>
      <c r="G20" s="97">
        <f t="shared" si="0"/>
        <v>2.88</v>
      </c>
      <c r="H20" s="21">
        <f t="shared" si="0"/>
        <v>2.2999999999999998</v>
      </c>
      <c r="I20" s="21">
        <f t="shared" si="1"/>
        <v>28.8</v>
      </c>
      <c r="J20" s="21">
        <f t="shared" si="1"/>
        <v>23</v>
      </c>
      <c r="L20" s="1015">
        <f t="shared" ref="L20:L22" si="2">C20/C$27</f>
        <v>1.7279654406911898E-2</v>
      </c>
      <c r="M20" s="1015">
        <f t="shared" ref="M20:M22" si="3">F20/C$27</f>
        <v>5.1838963220735597</v>
      </c>
    </row>
    <row r="21" spans="1:13" s="10" customFormat="1" ht="14.1" customHeight="1" x14ac:dyDescent="0.25">
      <c r="A21" s="180">
        <v>3</v>
      </c>
      <c r="B21" s="20" t="s">
        <v>74</v>
      </c>
      <c r="C21" s="21">
        <v>0.06</v>
      </c>
      <c r="D21" s="21">
        <v>0.06</v>
      </c>
      <c r="E21" s="13">
        <f>цены!F87</f>
        <v>120</v>
      </c>
      <c r="F21" s="13">
        <f>C21*E21</f>
        <v>7.2</v>
      </c>
      <c r="G21" s="97">
        <f t="shared" si="0"/>
        <v>0.6</v>
      </c>
      <c r="H21" s="21">
        <f t="shared" si="0"/>
        <v>0.6</v>
      </c>
      <c r="I21" s="21">
        <f t="shared" si="1"/>
        <v>6</v>
      </c>
      <c r="J21" s="21">
        <f t="shared" si="1"/>
        <v>6</v>
      </c>
      <c r="L21" s="1015">
        <f t="shared" si="2"/>
        <v>3.5999280014399702E-3</v>
      </c>
      <c r="M21" s="1015">
        <f t="shared" si="3"/>
        <v>0.43199136017279599</v>
      </c>
    </row>
    <row r="22" spans="1:13" s="10" customFormat="1" ht="14.1" customHeight="1" x14ac:dyDescent="0.25">
      <c r="A22" s="180">
        <v>4</v>
      </c>
      <c r="B22" s="20" t="s">
        <v>75</v>
      </c>
      <c r="C22" s="21">
        <f>0.002*C27</f>
        <v>3.3000000000000002E-2</v>
      </c>
      <c r="D22" s="21">
        <f>C22</f>
        <v>3.3000000000000002E-2</v>
      </c>
      <c r="E22" s="13">
        <f>цены!F110</f>
        <v>24</v>
      </c>
      <c r="F22" s="13">
        <f>C22*E22</f>
        <v>0.79</v>
      </c>
      <c r="G22" s="97">
        <f t="shared" si="0"/>
        <v>0.33</v>
      </c>
      <c r="H22" s="21">
        <f t="shared" si="0"/>
        <v>0.33</v>
      </c>
      <c r="I22" s="21">
        <f t="shared" si="1"/>
        <v>3.3</v>
      </c>
      <c r="J22" s="21">
        <f t="shared" si="1"/>
        <v>3.3</v>
      </c>
      <c r="L22" s="1015">
        <f t="shared" si="2"/>
        <v>1.9799604007919801E-3</v>
      </c>
      <c r="M22" s="1015">
        <f t="shared" si="3"/>
        <v>4.7399052018959602E-2</v>
      </c>
    </row>
    <row r="23" spans="1:13" s="10" customFormat="1" ht="12" customHeight="1" x14ac:dyDescent="0.25">
      <c r="A23" s="98"/>
      <c r="B23" s="93" t="s">
        <v>100</v>
      </c>
      <c r="C23" s="100"/>
      <c r="D23" s="100">
        <v>1</v>
      </c>
      <c r="E23" s="95"/>
      <c r="F23" s="95">
        <f>SUM(F19:F22)</f>
        <v>184.17</v>
      </c>
      <c r="G23" s="99"/>
      <c r="H23" s="100">
        <f>D23*10</f>
        <v>10</v>
      </c>
      <c r="I23" s="100"/>
      <c r="J23" s="100">
        <f>D23*100</f>
        <v>100</v>
      </c>
      <c r="L23" s="1015">
        <f>SUM(L19:L22)</f>
        <v>7.3678526429471494E-2</v>
      </c>
      <c r="M23" s="1015">
        <f>SUM(M19:M22)</f>
        <v>11.04997900042</v>
      </c>
    </row>
    <row r="24" spans="1:13" s="10" customFormat="1" ht="27.6" customHeight="1" x14ac:dyDescent="0.25">
      <c r="A24" s="1536" t="s">
        <v>35</v>
      </c>
      <c r="B24" s="1536"/>
      <c r="C24" s="90"/>
      <c r="D24" s="90"/>
      <c r="E24" s="13"/>
      <c r="F24" s="13">
        <f>F23</f>
        <v>184.17</v>
      </c>
      <c r="G24" s="288"/>
      <c r="H24" s="288"/>
      <c r="I24" s="21"/>
      <c r="J24" s="13"/>
    </row>
    <row r="25" spans="1:13" s="10" customFormat="1" ht="25.35" customHeight="1" x14ac:dyDescent="0.25">
      <c r="A25" s="1536" t="s">
        <v>36</v>
      </c>
      <c r="B25" s="1536"/>
      <c r="C25" s="90">
        <v>1000</v>
      </c>
      <c r="D25" s="90"/>
      <c r="E25" s="13"/>
      <c r="F25" s="13"/>
      <c r="G25" s="13"/>
      <c r="H25" s="13"/>
      <c r="I25" s="21"/>
      <c r="J25" s="17"/>
    </row>
    <row r="26" spans="1:13" s="10" customFormat="1" ht="25.35" customHeight="1" x14ac:dyDescent="0.25">
      <c r="A26" s="1537" t="s">
        <v>37</v>
      </c>
      <c r="B26" s="1538"/>
      <c r="C26" s="91">
        <v>60</v>
      </c>
      <c r="D26" s="92"/>
      <c r="E26" s="289"/>
      <c r="F26" s="289"/>
      <c r="G26" s="289"/>
      <c r="H26" s="289"/>
      <c r="I26" s="21"/>
      <c r="J26" s="17"/>
    </row>
    <row r="27" spans="1:13" s="10" customFormat="1" ht="15" customHeight="1" x14ac:dyDescent="0.25">
      <c r="A27" s="1539" t="s">
        <v>38</v>
      </c>
      <c r="B27" s="1540"/>
      <c r="C27" s="92">
        <f>C25/C26</f>
        <v>16.667000000000002</v>
      </c>
      <c r="D27" s="92"/>
      <c r="E27" s="289"/>
      <c r="F27" s="289"/>
      <c r="G27" s="289"/>
      <c r="H27" s="289"/>
      <c r="I27" s="21"/>
      <c r="J27" s="17"/>
    </row>
    <row r="28" spans="1:13" ht="16.350000000000001" customHeight="1" x14ac:dyDescent="0.25">
      <c r="A28" s="1541" t="s">
        <v>39</v>
      </c>
      <c r="B28" s="1542"/>
      <c r="C28" s="15" t="s">
        <v>40</v>
      </c>
      <c r="D28" s="102"/>
      <c r="E28" s="102" t="s">
        <v>40</v>
      </c>
      <c r="F28" s="16">
        <f>F24/C27</f>
        <v>11.05</v>
      </c>
      <c r="G28" s="16"/>
      <c r="H28" s="16"/>
      <c r="I28" s="102" t="s">
        <v>40</v>
      </c>
      <c r="J28" s="102" t="s">
        <v>40</v>
      </c>
    </row>
    <row r="29" spans="1:13" ht="23.1" customHeight="1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3" ht="13.95" customHeight="1" x14ac:dyDescent="0.25">
      <c r="A30" s="1193"/>
      <c r="B30" s="1194" t="s">
        <v>49</v>
      </c>
      <c r="C30" s="1198"/>
      <c r="D30" s="1198"/>
      <c r="E30" s="1198"/>
      <c r="F30" s="1198"/>
      <c r="G30" s="1193"/>
      <c r="H30" s="1557">
        <f>'1-бутерброд с маслом'!$H$28</f>
        <v>0</v>
      </c>
      <c r="I30" s="1557"/>
      <c r="J30" s="1557"/>
    </row>
    <row r="31" spans="1:13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3" ht="13.95" customHeight="1" x14ac:dyDescent="0.25">
      <c r="A32" s="1545" t="s">
        <v>327</v>
      </c>
      <c r="B32" s="1545"/>
      <c r="C32" s="1546" t="s">
        <v>328</v>
      </c>
      <c r="D32" s="1546"/>
      <c r="E32" s="1546"/>
      <c r="F32" s="1546"/>
      <c r="G32" s="106"/>
      <c r="H32" s="1531"/>
      <c r="I32" s="1531"/>
      <c r="J32" s="1531"/>
    </row>
    <row r="33" spans="1:10" x14ac:dyDescent="0.25">
      <c r="A33" s="1193"/>
      <c r="B33" s="1193"/>
      <c r="C33" s="1546"/>
      <c r="D33" s="1546"/>
      <c r="E33" s="1546"/>
      <c r="F33" s="1546"/>
      <c r="G33" s="1193"/>
      <c r="H33" s="1531" t="s">
        <v>329</v>
      </c>
      <c r="I33" s="1531"/>
      <c r="J33" s="1531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</sheetData>
  <mergeCells count="28">
    <mergeCell ref="H30:J30"/>
    <mergeCell ref="A13:G13"/>
    <mergeCell ref="A25:B25"/>
    <mergeCell ref="A26:B26"/>
    <mergeCell ref="A27:B27"/>
    <mergeCell ref="A28:B28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2:B32"/>
    <mergeCell ref="C32:F33"/>
    <mergeCell ref="H32:J32"/>
    <mergeCell ref="H33:J33"/>
    <mergeCell ref="H5:I5"/>
    <mergeCell ref="A6:G6"/>
    <mergeCell ref="A7:I7"/>
    <mergeCell ref="A24:B24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J33"/>
  <sheetViews>
    <sheetView view="pageBreakPreview" topLeftCell="A11" zoomScaleNormal="100" zoomScaleSheetLayoutView="100" workbookViewId="0">
      <selection activeCell="F23" sqref="F23"/>
    </sheetView>
  </sheetViews>
  <sheetFormatPr defaultColWidth="8.88671875" defaultRowHeight="13.8" x14ac:dyDescent="0.25"/>
  <cols>
    <col min="1" max="1" width="4.109375" style="1354" customWidth="1"/>
    <col min="2" max="2" width="23.44140625" style="1354" customWidth="1"/>
    <col min="3" max="7" width="7.5546875" style="1354" customWidth="1"/>
    <col min="8" max="8" width="8.88671875" style="1354" customWidth="1"/>
    <col min="9" max="9" width="7.5546875" style="1354" customWidth="1"/>
    <col min="10" max="10" width="9" style="1354" customWidth="1"/>
    <col min="11" max="11" width="3.6640625" style="1354" customWidth="1"/>
    <col min="12" max="16384" width="8.88671875" style="1354"/>
  </cols>
  <sheetData>
    <row r="1" spans="1:10" ht="15.6" x14ac:dyDescent="0.3">
      <c r="F1" s="1357"/>
      <c r="G1" s="1521" t="str">
        <f>"Приложение 3 (Лист"&amp;" "&amp;H14&amp;")"</f>
        <v>Приложение 3 (Лист 225)</v>
      </c>
      <c r="H1" s="1521"/>
      <c r="I1" s="1521"/>
      <c r="J1" s="1521"/>
    </row>
    <row r="2" spans="1:10" ht="15.6" x14ac:dyDescent="0.3">
      <c r="G2" s="1521" t="s">
        <v>1346</v>
      </c>
      <c r="H2" s="1521"/>
      <c r="I2" s="1521"/>
      <c r="J2" s="1521"/>
    </row>
    <row r="3" spans="1:10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358"/>
      <c r="I6" s="1358"/>
      <c r="J6" s="136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361">
        <v>305</v>
      </c>
    </row>
    <row r="8" spans="1:10" s="2" customFormat="1" ht="9.6" customHeight="1" x14ac:dyDescent="0.25">
      <c r="A8" s="1359"/>
      <c r="B8" s="1359"/>
      <c r="C8" s="1359"/>
      <c r="D8" s="1359"/>
      <c r="E8" s="1359"/>
      <c r="F8" s="1359"/>
      <c r="G8" s="1359"/>
      <c r="H8" s="1359"/>
      <c r="I8" s="1359"/>
      <c r="J8" s="109"/>
    </row>
    <row r="9" spans="1:10" s="2" customFormat="1" ht="26.1" customHeight="1" x14ac:dyDescent="0.3">
      <c r="A9" s="1550" t="s">
        <v>1134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E12" s="101"/>
      <c r="F12" s="101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360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'304-рис отварной'!H14+1</f>
        <v>225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34.5" customHeight="1" x14ac:dyDescent="0.25">
      <c r="A17" s="1543"/>
      <c r="B17" s="1543"/>
      <c r="C17" s="1356" t="s">
        <v>92</v>
      </c>
      <c r="D17" s="1356" t="s">
        <v>94</v>
      </c>
      <c r="E17" s="1356" t="s">
        <v>93</v>
      </c>
      <c r="F17" s="1356" t="s">
        <v>23</v>
      </c>
      <c r="G17" s="1356" t="s">
        <v>92</v>
      </c>
      <c r="H17" s="1356" t="s">
        <v>94</v>
      </c>
      <c r="I17" s="1356" t="s">
        <v>92</v>
      </c>
      <c r="J17" s="1356" t="s">
        <v>94</v>
      </c>
    </row>
    <row r="18" spans="1:10" ht="12.75" customHeight="1" x14ac:dyDescent="0.25">
      <c r="A18" s="1356">
        <v>1</v>
      </c>
      <c r="B18" s="1360">
        <v>2</v>
      </c>
      <c r="C18" s="1356">
        <v>3</v>
      </c>
      <c r="D18" s="1360">
        <v>4</v>
      </c>
      <c r="E18" s="1356">
        <v>5</v>
      </c>
      <c r="F18" s="1360">
        <v>6</v>
      </c>
      <c r="G18" s="1356">
        <v>7</v>
      </c>
      <c r="H18" s="1360">
        <v>8</v>
      </c>
      <c r="I18" s="1356">
        <v>9</v>
      </c>
      <c r="J18" s="1360">
        <v>10</v>
      </c>
    </row>
    <row r="19" spans="1:10" s="10" customFormat="1" ht="15.6" customHeight="1" x14ac:dyDescent="0.25">
      <c r="A19" s="180">
        <v>1</v>
      </c>
      <c r="B19" s="20" t="s">
        <v>472</v>
      </c>
      <c r="C19" s="90">
        <v>0.35</v>
      </c>
      <c r="D19" s="90">
        <v>0.35</v>
      </c>
      <c r="E19" s="408">
        <f>цены!F83</f>
        <v>98</v>
      </c>
      <c r="F19" s="408">
        <f>C19*E19</f>
        <v>34.299999999999997</v>
      </c>
      <c r="G19" s="97">
        <f>C19*10</f>
        <v>3.5</v>
      </c>
      <c r="H19" s="21">
        <f>D19*10</f>
        <v>3.5</v>
      </c>
      <c r="I19" s="21">
        <f>C19*100</f>
        <v>35</v>
      </c>
      <c r="J19" s="21">
        <f>D19*100</f>
        <v>35</v>
      </c>
    </row>
    <row r="20" spans="1:10" s="10" customFormat="1" ht="15.6" customHeight="1" x14ac:dyDescent="0.25">
      <c r="A20" s="180">
        <v>2</v>
      </c>
      <c r="B20" s="20" t="s">
        <v>28</v>
      </c>
      <c r="C20" s="90">
        <v>0.73499999999999999</v>
      </c>
      <c r="D20" s="90">
        <v>0.73499999999999999</v>
      </c>
      <c r="E20" s="408"/>
      <c r="F20" s="408">
        <f t="shared" ref="F20:F22" si="0">C20*E20</f>
        <v>0</v>
      </c>
      <c r="G20" s="97">
        <f t="shared" ref="G20:G22" si="1">C20*10</f>
        <v>7.35</v>
      </c>
      <c r="H20" s="21">
        <f t="shared" ref="H20:H22" si="2">D20*10</f>
        <v>7.35</v>
      </c>
      <c r="I20" s="21">
        <f t="shared" ref="I20:I22" si="3">C20*100</f>
        <v>73.5</v>
      </c>
      <c r="J20" s="21">
        <f t="shared" ref="J20:J22" si="4">D20*100</f>
        <v>73.5</v>
      </c>
    </row>
    <row r="21" spans="1:10" s="10" customFormat="1" ht="15.6" customHeight="1" x14ac:dyDescent="0.25">
      <c r="A21" s="129">
        <v>3</v>
      </c>
      <c r="B21" s="123" t="s">
        <v>31</v>
      </c>
      <c r="C21" s="124">
        <v>3.5000000000000003E-2</v>
      </c>
      <c r="D21" s="124">
        <v>3.5000000000000003E-2</v>
      </c>
      <c r="E21" s="408">
        <f>цены!F21</f>
        <v>710</v>
      </c>
      <c r="F21" s="408">
        <f t="shared" si="0"/>
        <v>24.85</v>
      </c>
      <c r="G21" s="97">
        <f t="shared" si="1"/>
        <v>0.35</v>
      </c>
      <c r="H21" s="21">
        <f t="shared" si="2"/>
        <v>0.35</v>
      </c>
      <c r="I21" s="21">
        <f t="shared" si="3"/>
        <v>3.5</v>
      </c>
      <c r="J21" s="21">
        <f t="shared" si="4"/>
        <v>3.5</v>
      </c>
    </row>
    <row r="22" spans="1:10" s="10" customFormat="1" ht="15.6" customHeight="1" x14ac:dyDescent="0.25">
      <c r="A22" s="129">
        <v>4</v>
      </c>
      <c r="B22" s="123" t="s">
        <v>33</v>
      </c>
      <c r="C22" s="124">
        <f>0.06/1*C19</f>
        <v>2.1000000000000001E-2</v>
      </c>
      <c r="D22" s="124">
        <f>C22</f>
        <v>2.1000000000000001E-2</v>
      </c>
      <c r="E22" s="408">
        <f>цены!F110</f>
        <v>24</v>
      </c>
      <c r="F22" s="408">
        <f t="shared" si="0"/>
        <v>0.5</v>
      </c>
      <c r="G22" s="97">
        <f t="shared" si="1"/>
        <v>0.21</v>
      </c>
      <c r="H22" s="21">
        <f t="shared" si="2"/>
        <v>0.21</v>
      </c>
      <c r="I22" s="21">
        <f t="shared" si="3"/>
        <v>2.1</v>
      </c>
      <c r="J22" s="21">
        <f t="shared" si="4"/>
        <v>2.1</v>
      </c>
    </row>
    <row r="23" spans="1:10" s="10" customFormat="1" ht="15.6" customHeight="1" x14ac:dyDescent="0.25">
      <c r="A23" s="98"/>
      <c r="B23" s="93" t="s">
        <v>911</v>
      </c>
      <c r="C23" s="94"/>
      <c r="D23" s="94">
        <v>1</v>
      </c>
      <c r="E23" s="95"/>
      <c r="F23" s="95">
        <f>SUM(F19:F22)</f>
        <v>59.65</v>
      </c>
      <c r="G23" s="99"/>
      <c r="H23" s="100">
        <f>D23*10</f>
        <v>10</v>
      </c>
      <c r="I23" s="100"/>
      <c r="J23" s="100">
        <f>D23*100</f>
        <v>100</v>
      </c>
    </row>
    <row r="24" spans="1:10" s="10" customFormat="1" ht="14.4" customHeight="1" x14ac:dyDescent="0.25">
      <c r="A24" s="1536" t="s">
        <v>35</v>
      </c>
      <c r="B24" s="1536"/>
      <c r="C24" s="90"/>
      <c r="D24" s="90"/>
      <c r="E24" s="408"/>
      <c r="F24" s="408">
        <f>F23</f>
        <v>59.65</v>
      </c>
      <c r="G24" s="1355"/>
      <c r="H24" s="1355"/>
      <c r="I24" s="21"/>
      <c r="J24" s="408"/>
    </row>
    <row r="25" spans="1:10" s="10" customFormat="1" ht="13.2" customHeight="1" x14ac:dyDescent="0.25">
      <c r="A25" s="1536" t="s">
        <v>36</v>
      </c>
      <c r="B25" s="1536"/>
      <c r="C25" s="90">
        <v>1000</v>
      </c>
      <c r="D25" s="90"/>
      <c r="E25" s="408"/>
      <c r="F25" s="408"/>
      <c r="G25" s="408"/>
      <c r="H25" s="408"/>
      <c r="I25" s="21"/>
      <c r="J25" s="17"/>
    </row>
    <row r="26" spans="1:10" s="10" customFormat="1" ht="25.35" customHeight="1" x14ac:dyDescent="0.25">
      <c r="A26" s="1537" t="s">
        <v>37</v>
      </c>
      <c r="B26" s="1538"/>
      <c r="C26" s="91">
        <v>150</v>
      </c>
      <c r="D26" s="92"/>
      <c r="E26" s="1360"/>
      <c r="F26" s="1360"/>
      <c r="G26" s="1360"/>
      <c r="H26" s="1360"/>
      <c r="I26" s="21"/>
      <c r="J26" s="17"/>
    </row>
    <row r="27" spans="1:10" s="10" customFormat="1" ht="15" customHeight="1" x14ac:dyDescent="0.25">
      <c r="A27" s="1539" t="s">
        <v>38</v>
      </c>
      <c r="B27" s="1540"/>
      <c r="C27" s="249">
        <f>C25/C26</f>
        <v>6.67</v>
      </c>
      <c r="D27" s="92"/>
      <c r="E27" s="1360"/>
      <c r="F27" s="1360"/>
      <c r="G27" s="1360"/>
      <c r="H27" s="1360"/>
      <c r="I27" s="21"/>
      <c r="J27" s="17"/>
    </row>
    <row r="28" spans="1:10" ht="16.350000000000001" customHeight="1" x14ac:dyDescent="0.25">
      <c r="A28" s="1541" t="s">
        <v>39</v>
      </c>
      <c r="B28" s="1542"/>
      <c r="C28" s="15" t="s">
        <v>40</v>
      </c>
      <c r="D28" s="102"/>
      <c r="E28" s="102" t="s">
        <v>40</v>
      </c>
      <c r="F28" s="16">
        <f>F24/C27</f>
        <v>8.94</v>
      </c>
      <c r="G28" s="16"/>
      <c r="H28" s="16"/>
      <c r="I28" s="102" t="s">
        <v>40</v>
      </c>
      <c r="J28" s="102" t="s">
        <v>40</v>
      </c>
    </row>
    <row r="29" spans="1:10" ht="23.1" customHeight="1" x14ac:dyDescent="0.25"/>
    <row r="30" spans="1:10" ht="13.95" customHeight="1" x14ac:dyDescent="0.25">
      <c r="B30" s="1357" t="s">
        <v>49</v>
      </c>
      <c r="C30" s="1198"/>
      <c r="D30" s="1198"/>
      <c r="E30" s="1198"/>
      <c r="F30" s="1198"/>
      <c r="H30" s="1557">
        <f>'1-бутерброд с маслом'!$H$28</f>
        <v>0</v>
      </c>
      <c r="I30" s="1557"/>
      <c r="J30" s="1557"/>
    </row>
    <row r="32" spans="1:10" ht="13.95" customHeight="1" x14ac:dyDescent="0.25">
      <c r="A32" s="1545" t="s">
        <v>327</v>
      </c>
      <c r="B32" s="1545"/>
      <c r="C32" s="1546" t="s">
        <v>328</v>
      </c>
      <c r="D32" s="1546"/>
      <c r="E32" s="1546"/>
      <c r="F32" s="1546"/>
      <c r="G32" s="106"/>
      <c r="H32" s="1531"/>
      <c r="I32" s="1531"/>
      <c r="J32" s="1531"/>
    </row>
    <row r="33" spans="3:10" x14ac:dyDescent="0.25">
      <c r="C33" s="1546"/>
      <c r="D33" s="1546"/>
      <c r="E33" s="1546"/>
      <c r="F33" s="1546"/>
      <c r="H33" s="1531" t="s">
        <v>329</v>
      </c>
      <c r="I33" s="1531"/>
      <c r="J33" s="1531"/>
    </row>
  </sheetData>
  <mergeCells count="28">
    <mergeCell ref="C14:G14"/>
    <mergeCell ref="I14:J14"/>
    <mergeCell ref="G1:J1"/>
    <mergeCell ref="G2:J2"/>
    <mergeCell ref="G3:J3"/>
    <mergeCell ref="A5:G5"/>
    <mergeCell ref="H5:I5"/>
    <mergeCell ref="A6:G6"/>
    <mergeCell ref="A7:I7"/>
    <mergeCell ref="A9:J9"/>
    <mergeCell ref="A11:J11"/>
    <mergeCell ref="A13:G13"/>
    <mergeCell ref="I13:J13"/>
    <mergeCell ref="A32:B32"/>
    <mergeCell ref="C32:F33"/>
    <mergeCell ref="H32:J32"/>
    <mergeCell ref="H33:J33"/>
    <mergeCell ref="A16:A17"/>
    <mergeCell ref="B16:B17"/>
    <mergeCell ref="C16:F16"/>
    <mergeCell ref="G16:H16"/>
    <mergeCell ref="I16:J16"/>
    <mergeCell ref="A24:B24"/>
    <mergeCell ref="A25:B25"/>
    <mergeCell ref="A26:B26"/>
    <mergeCell ref="A27:B27"/>
    <mergeCell ref="A28:B28"/>
    <mergeCell ref="H30:J30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3"/>
  <sheetViews>
    <sheetView view="pageBreakPreview" topLeftCell="A9" zoomScaleNormal="100" zoomScaleSheetLayoutView="100" workbookViewId="0">
      <selection activeCell="H15" sqref="H15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226)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309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696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'305-рис припущенный'!H14+1</f>
        <v>226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25.35" customHeight="1" x14ac:dyDescent="0.25">
      <c r="A19" s="180">
        <v>1</v>
      </c>
      <c r="B19" s="20" t="s">
        <v>197</v>
      </c>
      <c r="C19" s="111">
        <v>0.97</v>
      </c>
      <c r="D19" s="111">
        <v>0.97</v>
      </c>
      <c r="E19" s="13">
        <f>'202-макароны отвар'!F27</f>
        <v>17.920000000000002</v>
      </c>
      <c r="F19" s="13">
        <f>C19*E19</f>
        <v>17.38</v>
      </c>
      <c r="G19" s="97">
        <f>C19*10</f>
        <v>9.6999999999999993</v>
      </c>
      <c r="H19" s="21">
        <f>D19*10</f>
        <v>9.6999999999999993</v>
      </c>
      <c r="I19" s="21">
        <f>C19*100</f>
        <v>97</v>
      </c>
      <c r="J19" s="21">
        <f>D19*100</f>
        <v>97</v>
      </c>
    </row>
    <row r="20" spans="1:10" s="10" customFormat="1" ht="15" customHeight="1" x14ac:dyDescent="0.25">
      <c r="A20" s="180">
        <v>2</v>
      </c>
      <c r="B20" s="20" t="s">
        <v>31</v>
      </c>
      <c r="C20" s="111">
        <v>3.5000000000000003E-2</v>
      </c>
      <c r="D20" s="111">
        <v>3.5000000000000003E-2</v>
      </c>
      <c r="E20" s="13">
        <f>цены!F21</f>
        <v>710</v>
      </c>
      <c r="F20" s="13">
        <f>C20*E20</f>
        <v>24.85</v>
      </c>
      <c r="G20" s="97">
        <f>C20*10</f>
        <v>0.35</v>
      </c>
      <c r="H20" s="21">
        <f>D20*10</f>
        <v>0.35</v>
      </c>
      <c r="I20" s="21">
        <f>C20*100</f>
        <v>3.5</v>
      </c>
      <c r="J20" s="21">
        <f>D20*100</f>
        <v>3.5</v>
      </c>
    </row>
    <row r="21" spans="1:10" s="10" customFormat="1" ht="12" customHeight="1" x14ac:dyDescent="0.25">
      <c r="A21" s="98"/>
      <c r="B21" s="93" t="s">
        <v>100</v>
      </c>
      <c r="C21" s="112"/>
      <c r="D21" s="112">
        <v>1</v>
      </c>
      <c r="E21" s="95"/>
      <c r="F21" s="95">
        <f>SUM(F19:F20)</f>
        <v>42.23</v>
      </c>
      <c r="G21" s="99"/>
      <c r="H21" s="100">
        <f>D21*10</f>
        <v>10</v>
      </c>
      <c r="I21" s="100"/>
      <c r="J21" s="100">
        <f>D21*100</f>
        <v>100</v>
      </c>
    </row>
    <row r="22" spans="1:10" s="10" customFormat="1" ht="27.6" customHeight="1" x14ac:dyDescent="0.25">
      <c r="A22" s="1536" t="s">
        <v>35</v>
      </c>
      <c r="B22" s="1536"/>
      <c r="C22" s="90"/>
      <c r="D22" s="90"/>
      <c r="E22" s="13"/>
      <c r="F22" s="13">
        <f>F21</f>
        <v>42.23</v>
      </c>
      <c r="G22" s="14"/>
      <c r="H22" s="14"/>
      <c r="I22" s="21"/>
      <c r="J22" s="13"/>
    </row>
    <row r="23" spans="1:10" s="10" customFormat="1" ht="25.35" customHeight="1" x14ac:dyDescent="0.25">
      <c r="A23" s="1536" t="s">
        <v>36</v>
      </c>
      <c r="B23" s="1536"/>
      <c r="C23" s="90">
        <v>1000</v>
      </c>
      <c r="D23" s="90"/>
      <c r="E23" s="13"/>
      <c r="F23" s="13"/>
      <c r="G23" s="13"/>
      <c r="H23" s="13"/>
      <c r="I23" s="21"/>
      <c r="J23" s="17"/>
    </row>
    <row r="24" spans="1:10" s="10" customFormat="1" ht="25.35" customHeight="1" x14ac:dyDescent="0.25">
      <c r="A24" s="1537" t="s">
        <v>37</v>
      </c>
      <c r="B24" s="1538"/>
      <c r="C24" s="91">
        <v>150</v>
      </c>
      <c r="D24" s="92"/>
      <c r="E24" s="5"/>
      <c r="F24" s="5"/>
      <c r="G24" s="5"/>
      <c r="H24" s="5"/>
      <c r="I24" s="21"/>
      <c r="J24" s="17"/>
    </row>
    <row r="25" spans="1:10" s="10" customFormat="1" ht="15" customHeight="1" x14ac:dyDescent="0.25">
      <c r="A25" s="1539" t="s">
        <v>38</v>
      </c>
      <c r="B25" s="1540"/>
      <c r="C25" s="249">
        <f>C23/C24</f>
        <v>6.67</v>
      </c>
      <c r="D25" s="92"/>
      <c r="E25" s="5"/>
      <c r="F25" s="5"/>
      <c r="G25" s="5"/>
      <c r="H25" s="5"/>
      <c r="I25" s="21"/>
      <c r="J25" s="17"/>
    </row>
    <row r="26" spans="1:10" ht="16.350000000000001" customHeight="1" x14ac:dyDescent="0.25">
      <c r="A26" s="1541" t="s">
        <v>39</v>
      </c>
      <c r="B26" s="1542"/>
      <c r="C26" s="15" t="s">
        <v>40</v>
      </c>
      <c r="D26" s="102"/>
      <c r="E26" s="102" t="s">
        <v>40</v>
      </c>
      <c r="F26" s="16">
        <f>F22/C25</f>
        <v>6.33</v>
      </c>
      <c r="G26" s="16"/>
      <c r="H26" s="16"/>
      <c r="I26" s="102" t="s">
        <v>40</v>
      </c>
      <c r="J26" s="102" t="s">
        <v>40</v>
      </c>
    </row>
    <row r="27" spans="1:10" ht="23.1" customHeight="1" x14ac:dyDescent="0.25">
      <c r="A27" s="1193"/>
      <c r="B27" s="1193"/>
      <c r="C27" s="1193"/>
      <c r="D27" s="1193"/>
      <c r="E27" s="1193"/>
      <c r="F27" s="1193"/>
      <c r="G27" s="1193"/>
      <c r="H27" s="1193"/>
      <c r="I27" s="1193"/>
      <c r="J27" s="1193"/>
    </row>
    <row r="28" spans="1:10" ht="13.95" customHeight="1" x14ac:dyDescent="0.25">
      <c r="A28" s="1193"/>
      <c r="B28" s="1194" t="s">
        <v>49</v>
      </c>
      <c r="C28" s="1198"/>
      <c r="D28" s="1198"/>
      <c r="E28" s="1198"/>
      <c r="F28" s="1198"/>
      <c r="G28" s="1193"/>
      <c r="H28" s="1557">
        <f>'1-бутерброд с маслом'!$H$28</f>
        <v>0</v>
      </c>
      <c r="I28" s="1557"/>
      <c r="J28" s="1557"/>
    </row>
    <row r="29" spans="1:10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0" ht="13.95" customHeight="1" x14ac:dyDescent="0.25">
      <c r="A30" s="1545" t="s">
        <v>327</v>
      </c>
      <c r="B30" s="1545"/>
      <c r="C30" s="1546" t="s">
        <v>328</v>
      </c>
      <c r="D30" s="1546"/>
      <c r="E30" s="1546"/>
      <c r="F30" s="1546"/>
      <c r="G30" s="106"/>
      <c r="H30" s="1531"/>
      <c r="I30" s="1531"/>
      <c r="J30" s="1531"/>
    </row>
    <row r="31" spans="1:10" x14ac:dyDescent="0.25">
      <c r="A31" s="1193"/>
      <c r="B31" s="1193"/>
      <c r="C31" s="1546"/>
      <c r="D31" s="1546"/>
      <c r="E31" s="1546"/>
      <c r="F31" s="1546"/>
      <c r="G31" s="1193"/>
      <c r="H31" s="1531" t="s">
        <v>329</v>
      </c>
      <c r="I31" s="1531"/>
      <c r="J31" s="1531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</sheetData>
  <mergeCells count="28">
    <mergeCell ref="A23:B23"/>
    <mergeCell ref="A13:G13"/>
    <mergeCell ref="A24:B24"/>
    <mergeCell ref="A25:B25"/>
    <mergeCell ref="A26:B26"/>
    <mergeCell ref="A16:A17"/>
    <mergeCell ref="B16:B17"/>
    <mergeCell ref="A22:B22"/>
    <mergeCell ref="A6:G6"/>
    <mergeCell ref="A7:I7"/>
    <mergeCell ref="C16:F16"/>
    <mergeCell ref="G16:H16"/>
    <mergeCell ref="I16:J16"/>
    <mergeCell ref="A9:J9"/>
    <mergeCell ref="A11:J11"/>
    <mergeCell ref="I13:J13"/>
    <mergeCell ref="C14:G14"/>
    <mergeCell ref="I14:J14"/>
    <mergeCell ref="G1:J1"/>
    <mergeCell ref="G2:J2"/>
    <mergeCell ref="G3:J3"/>
    <mergeCell ref="A5:G5"/>
    <mergeCell ref="H5:I5"/>
    <mergeCell ref="A30:B30"/>
    <mergeCell ref="C30:F31"/>
    <mergeCell ref="H30:J30"/>
    <mergeCell ref="H31:J31"/>
    <mergeCell ref="H28:J28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3"/>
  <sheetViews>
    <sheetView view="pageBreakPreview" topLeftCell="A11" zoomScaleNormal="100" zoomScaleSheetLayoutView="100" workbookViewId="0">
      <selection activeCell="H15" sqref="H15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227)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310</v>
      </c>
    </row>
    <row r="8" spans="1:10" s="2" customFormat="1" ht="9.6" customHeight="1" x14ac:dyDescent="0.25">
      <c r="A8" s="303"/>
      <c r="B8" s="303"/>
      <c r="C8" s="303"/>
      <c r="D8" s="303"/>
      <c r="E8" s="303"/>
      <c r="F8" s="303"/>
      <c r="G8" s="303"/>
      <c r="H8" s="303"/>
      <c r="I8" s="303"/>
      <c r="J8" s="109"/>
    </row>
    <row r="9" spans="1:10" s="2" customFormat="1" ht="26.1" customHeight="1" x14ac:dyDescent="0.3">
      <c r="A9" s="1550" t="s">
        <v>347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'309-макаронные'!H14+1</f>
        <v>227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304" t="s">
        <v>92</v>
      </c>
      <c r="D17" s="304" t="s">
        <v>94</v>
      </c>
      <c r="E17" s="304" t="s">
        <v>93</v>
      </c>
      <c r="F17" s="304" t="s">
        <v>23</v>
      </c>
      <c r="G17" s="304" t="s">
        <v>92</v>
      </c>
      <c r="H17" s="304" t="s">
        <v>94</v>
      </c>
      <c r="I17" s="304" t="s">
        <v>92</v>
      </c>
      <c r="J17" s="304" t="s">
        <v>94</v>
      </c>
    </row>
    <row r="18" spans="1:10" ht="9.6" customHeight="1" x14ac:dyDescent="0.25">
      <c r="A18" s="304">
        <v>1</v>
      </c>
      <c r="B18" s="305">
        <v>2</v>
      </c>
      <c r="C18" s="304">
        <v>3</v>
      </c>
      <c r="D18" s="305">
        <v>4</v>
      </c>
      <c r="E18" s="304">
        <v>5</v>
      </c>
      <c r="F18" s="305">
        <v>6</v>
      </c>
      <c r="G18" s="304">
        <v>7</v>
      </c>
      <c r="H18" s="305">
        <v>8</v>
      </c>
      <c r="I18" s="304">
        <v>9</v>
      </c>
      <c r="J18" s="305">
        <v>10</v>
      </c>
    </row>
    <row r="19" spans="1:10" s="10" customFormat="1" ht="14.4" customHeight="1" x14ac:dyDescent="0.25">
      <c r="A19" s="180">
        <v>1</v>
      </c>
      <c r="B19" s="20" t="s">
        <v>50</v>
      </c>
      <c r="C19" s="111">
        <v>1.333</v>
      </c>
      <c r="D19" s="111">
        <v>1000</v>
      </c>
      <c r="E19" s="13">
        <f>цены!F35</f>
        <v>50</v>
      </c>
      <c r="F19" s="13">
        <f>C19*E19</f>
        <v>66.650000000000006</v>
      </c>
      <c r="G19" s="97">
        <f>C19*10</f>
        <v>13.33</v>
      </c>
      <c r="H19" s="21">
        <f>D19*10</f>
        <v>10000</v>
      </c>
      <c r="I19" s="21">
        <f>C19*100</f>
        <v>133.30000000000001</v>
      </c>
      <c r="J19" s="21">
        <f>D19*100</f>
        <v>100000</v>
      </c>
    </row>
    <row r="20" spans="1:10" s="10" customFormat="1" ht="15" customHeight="1" x14ac:dyDescent="0.25">
      <c r="A20" s="180">
        <v>2</v>
      </c>
      <c r="B20" s="20" t="s">
        <v>31</v>
      </c>
      <c r="C20" s="111">
        <v>3.5000000000000003E-2</v>
      </c>
      <c r="D20" s="111">
        <v>3.5000000000000003E-2</v>
      </c>
      <c r="E20" s="13">
        <f>цены!F21</f>
        <v>710</v>
      </c>
      <c r="F20" s="13">
        <f>C20*E20</f>
        <v>24.85</v>
      </c>
      <c r="G20" s="97">
        <f>C20*10</f>
        <v>0.35</v>
      </c>
      <c r="H20" s="21">
        <f>D20*10</f>
        <v>0.35</v>
      </c>
      <c r="I20" s="21">
        <f>C20*100</f>
        <v>3.5</v>
      </c>
      <c r="J20" s="21">
        <f>D20*100</f>
        <v>3.5</v>
      </c>
    </row>
    <row r="21" spans="1:10" s="10" customFormat="1" ht="12" customHeight="1" x14ac:dyDescent="0.25">
      <c r="A21" s="98"/>
      <c r="B21" s="93" t="s">
        <v>100</v>
      </c>
      <c r="C21" s="112"/>
      <c r="D21" s="112">
        <v>1</v>
      </c>
      <c r="E21" s="95"/>
      <c r="F21" s="95">
        <f>SUM(F19:F20)</f>
        <v>91.5</v>
      </c>
      <c r="G21" s="99"/>
      <c r="H21" s="100">
        <f>D21*10</f>
        <v>10</v>
      </c>
      <c r="I21" s="100"/>
      <c r="J21" s="100">
        <f>D21*100</f>
        <v>100</v>
      </c>
    </row>
    <row r="22" spans="1:10" s="10" customFormat="1" ht="27.6" customHeight="1" x14ac:dyDescent="0.25">
      <c r="A22" s="1536" t="s">
        <v>35</v>
      </c>
      <c r="B22" s="1536"/>
      <c r="C22" s="90"/>
      <c r="D22" s="90"/>
      <c r="E22" s="13"/>
      <c r="F22" s="13">
        <f>F21</f>
        <v>91.5</v>
      </c>
      <c r="G22" s="306"/>
      <c r="H22" s="306"/>
      <c r="I22" s="21"/>
      <c r="J22" s="13"/>
    </row>
    <row r="23" spans="1:10" s="10" customFormat="1" ht="25.35" customHeight="1" x14ac:dyDescent="0.25">
      <c r="A23" s="1536" t="s">
        <v>36</v>
      </c>
      <c r="B23" s="1536"/>
      <c r="C23" s="90">
        <v>1000</v>
      </c>
      <c r="D23" s="90"/>
      <c r="E23" s="13"/>
      <c r="F23" s="13"/>
      <c r="G23" s="13"/>
      <c r="H23" s="13"/>
      <c r="I23" s="21"/>
      <c r="J23" s="17"/>
    </row>
    <row r="24" spans="1:10" s="10" customFormat="1" ht="25.35" customHeight="1" x14ac:dyDescent="0.25">
      <c r="A24" s="1537" t="s">
        <v>37</v>
      </c>
      <c r="B24" s="1538"/>
      <c r="C24" s="91">
        <v>150</v>
      </c>
      <c r="D24" s="92"/>
      <c r="E24" s="305"/>
      <c r="F24" s="305"/>
      <c r="G24" s="305"/>
      <c r="H24" s="305"/>
      <c r="I24" s="21"/>
      <c r="J24" s="17"/>
    </row>
    <row r="25" spans="1:10" s="10" customFormat="1" ht="15" customHeight="1" x14ac:dyDescent="0.25">
      <c r="A25" s="1539" t="s">
        <v>38</v>
      </c>
      <c r="B25" s="1540"/>
      <c r="C25" s="249">
        <f>C23/C24</f>
        <v>6.67</v>
      </c>
      <c r="D25" s="92"/>
      <c r="E25" s="305"/>
      <c r="F25" s="305"/>
      <c r="G25" s="305"/>
      <c r="H25" s="305"/>
      <c r="I25" s="21"/>
      <c r="J25" s="17"/>
    </row>
    <row r="26" spans="1:10" ht="16.350000000000001" customHeight="1" x14ac:dyDescent="0.25">
      <c r="A26" s="1541" t="s">
        <v>39</v>
      </c>
      <c r="B26" s="1542"/>
      <c r="C26" s="15" t="s">
        <v>40</v>
      </c>
      <c r="D26" s="102"/>
      <c r="E26" s="102" t="s">
        <v>40</v>
      </c>
      <c r="F26" s="16">
        <f>F22/C25</f>
        <v>13.72</v>
      </c>
      <c r="G26" s="16"/>
      <c r="H26" s="16"/>
      <c r="I26" s="102" t="s">
        <v>40</v>
      </c>
      <c r="J26" s="102" t="s">
        <v>40</v>
      </c>
    </row>
    <row r="27" spans="1:10" ht="23.1" customHeight="1" x14ac:dyDescent="0.25">
      <c r="A27" s="1193"/>
      <c r="B27" s="1193"/>
      <c r="C27" s="1193"/>
      <c r="D27" s="1193"/>
      <c r="E27" s="1193"/>
      <c r="F27" s="1193"/>
      <c r="G27" s="1193"/>
      <c r="H27" s="1193"/>
      <c r="I27" s="1193"/>
      <c r="J27" s="1193"/>
    </row>
    <row r="28" spans="1:10" ht="13.95" customHeight="1" x14ac:dyDescent="0.25">
      <c r="A28" s="1193"/>
      <c r="B28" s="1194" t="s">
        <v>49</v>
      </c>
      <c r="C28" s="1198"/>
      <c r="D28" s="1198"/>
      <c r="E28" s="1198"/>
      <c r="F28" s="1198"/>
      <c r="G28" s="1193"/>
      <c r="H28" s="1557">
        <f>'1-бутерброд с маслом'!$H$28</f>
        <v>0</v>
      </c>
      <c r="I28" s="1557"/>
      <c r="J28" s="1557"/>
    </row>
    <row r="29" spans="1:10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0" ht="13.95" customHeight="1" x14ac:dyDescent="0.25">
      <c r="A30" s="1545" t="s">
        <v>327</v>
      </c>
      <c r="B30" s="1545"/>
      <c r="C30" s="1546" t="s">
        <v>328</v>
      </c>
      <c r="D30" s="1546"/>
      <c r="E30" s="1546"/>
      <c r="F30" s="1546"/>
      <c r="G30" s="106"/>
      <c r="H30" s="1531"/>
      <c r="I30" s="1531"/>
      <c r="J30" s="1531"/>
    </row>
    <row r="31" spans="1:10" x14ac:dyDescent="0.25">
      <c r="A31" s="1193"/>
      <c r="B31" s="1193"/>
      <c r="C31" s="1546"/>
      <c r="D31" s="1546"/>
      <c r="E31" s="1546"/>
      <c r="F31" s="1546"/>
      <c r="G31" s="1193"/>
      <c r="H31" s="1531" t="s">
        <v>329</v>
      </c>
      <c r="I31" s="1531"/>
      <c r="J31" s="1531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0:B30"/>
    <mergeCell ref="C30:F31"/>
    <mergeCell ref="H30:J30"/>
    <mergeCell ref="H31:J31"/>
    <mergeCell ref="A23:B23"/>
    <mergeCell ref="A24:B24"/>
    <mergeCell ref="A25:B25"/>
    <mergeCell ref="A26:B26"/>
    <mergeCell ref="H28:J28"/>
    <mergeCell ref="A22:B22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3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228)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310</v>
      </c>
    </row>
    <row r="8" spans="1:10" s="2" customFormat="1" ht="9.6" customHeight="1" x14ac:dyDescent="0.25">
      <c r="A8" s="303"/>
      <c r="B8" s="303"/>
      <c r="C8" s="303"/>
      <c r="D8" s="303"/>
      <c r="E8" s="303"/>
      <c r="F8" s="303"/>
      <c r="G8" s="303"/>
      <c r="H8" s="303"/>
      <c r="I8" s="303"/>
      <c r="J8" s="109"/>
    </row>
    <row r="9" spans="1:10" s="2" customFormat="1" ht="26.1" customHeight="1" x14ac:dyDescent="0.3">
      <c r="A9" s="1550" t="s">
        <v>557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'310-картофель'!H14+1</f>
        <v>228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304" t="s">
        <v>92</v>
      </c>
      <c r="D17" s="304" t="s">
        <v>94</v>
      </c>
      <c r="E17" s="304" t="s">
        <v>93</v>
      </c>
      <c r="F17" s="304" t="s">
        <v>23</v>
      </c>
      <c r="G17" s="304" t="s">
        <v>92</v>
      </c>
      <c r="H17" s="304" t="s">
        <v>94</v>
      </c>
      <c r="I17" s="304" t="s">
        <v>92</v>
      </c>
      <c r="J17" s="304" t="s">
        <v>94</v>
      </c>
    </row>
    <row r="18" spans="1:10" ht="9.6" customHeight="1" x14ac:dyDescent="0.25">
      <c r="A18" s="304">
        <v>1</v>
      </c>
      <c r="B18" s="305">
        <v>2</v>
      </c>
      <c r="C18" s="304">
        <v>3</v>
      </c>
      <c r="D18" s="305">
        <v>4</v>
      </c>
      <c r="E18" s="304">
        <v>5</v>
      </c>
      <c r="F18" s="305">
        <v>6</v>
      </c>
      <c r="G18" s="304">
        <v>7</v>
      </c>
      <c r="H18" s="305">
        <v>8</v>
      </c>
      <c r="I18" s="304">
        <v>9</v>
      </c>
      <c r="J18" s="305">
        <v>10</v>
      </c>
    </row>
    <row r="19" spans="1:10" s="10" customFormat="1" ht="16.649999999999999" customHeight="1" x14ac:dyDescent="0.25">
      <c r="A19" s="180">
        <v>1</v>
      </c>
      <c r="B19" s="20" t="s">
        <v>556</v>
      </c>
      <c r="C19" s="111">
        <v>1.29</v>
      </c>
      <c r="D19" s="111">
        <v>1.032</v>
      </c>
      <c r="E19" s="13">
        <f>цены!F36</f>
        <v>25</v>
      </c>
      <c r="F19" s="13">
        <f>C19*E19</f>
        <v>32.25</v>
      </c>
      <c r="G19" s="97">
        <f>C19*10</f>
        <v>12.9</v>
      </c>
      <c r="H19" s="21">
        <f>D19*10</f>
        <v>10.32</v>
      </c>
      <c r="I19" s="21">
        <f>C19*100</f>
        <v>129</v>
      </c>
      <c r="J19" s="21">
        <f>D19*100</f>
        <v>103.2</v>
      </c>
    </row>
    <row r="20" spans="1:10" s="10" customFormat="1" ht="15" customHeight="1" x14ac:dyDescent="0.25">
      <c r="A20" s="180">
        <v>2</v>
      </c>
      <c r="B20" s="20" t="s">
        <v>31</v>
      </c>
      <c r="C20" s="111">
        <v>3.5000000000000003E-2</v>
      </c>
      <c r="D20" s="111">
        <v>3.5000000000000003E-2</v>
      </c>
      <c r="E20" s="13">
        <f>цены!F21</f>
        <v>710</v>
      </c>
      <c r="F20" s="13">
        <f>C20*E20</f>
        <v>24.85</v>
      </c>
      <c r="G20" s="97">
        <f>C20*10</f>
        <v>0.35</v>
      </c>
      <c r="H20" s="21">
        <f>D20*10</f>
        <v>0.35</v>
      </c>
      <c r="I20" s="21">
        <f>C20*100</f>
        <v>3.5</v>
      </c>
      <c r="J20" s="21">
        <f>D20*100</f>
        <v>3.5</v>
      </c>
    </row>
    <row r="21" spans="1:10" s="10" customFormat="1" ht="12" customHeight="1" x14ac:dyDescent="0.25">
      <c r="A21" s="98"/>
      <c r="B21" s="93" t="s">
        <v>100</v>
      </c>
      <c r="C21" s="112"/>
      <c r="D21" s="112">
        <v>1</v>
      </c>
      <c r="E21" s="95"/>
      <c r="F21" s="95">
        <f>SUM(F19:F20)</f>
        <v>57.1</v>
      </c>
      <c r="G21" s="99"/>
      <c r="H21" s="100">
        <f>D21*10</f>
        <v>10</v>
      </c>
      <c r="I21" s="100"/>
      <c r="J21" s="100">
        <f>D21*100</f>
        <v>100</v>
      </c>
    </row>
    <row r="22" spans="1:10" s="10" customFormat="1" ht="27.6" customHeight="1" x14ac:dyDescent="0.25">
      <c r="A22" s="1536" t="s">
        <v>35</v>
      </c>
      <c r="B22" s="1536"/>
      <c r="C22" s="90"/>
      <c r="D22" s="90"/>
      <c r="E22" s="13"/>
      <c r="F22" s="13">
        <f>F21</f>
        <v>57.1</v>
      </c>
      <c r="G22" s="306"/>
      <c r="H22" s="306"/>
      <c r="I22" s="21"/>
      <c r="J22" s="13"/>
    </row>
    <row r="23" spans="1:10" s="10" customFormat="1" ht="25.35" customHeight="1" x14ac:dyDescent="0.25">
      <c r="A23" s="1536" t="s">
        <v>36</v>
      </c>
      <c r="B23" s="1536"/>
      <c r="C23" s="90">
        <v>1000</v>
      </c>
      <c r="D23" s="90"/>
      <c r="E23" s="13"/>
      <c r="F23" s="13"/>
      <c r="G23" s="13"/>
      <c r="H23" s="13"/>
      <c r="I23" s="21"/>
      <c r="J23" s="17"/>
    </row>
    <row r="24" spans="1:10" s="10" customFormat="1" ht="25.35" customHeight="1" x14ac:dyDescent="0.25">
      <c r="A24" s="1537" t="s">
        <v>37</v>
      </c>
      <c r="B24" s="1538"/>
      <c r="C24" s="91">
        <v>150</v>
      </c>
      <c r="D24" s="92"/>
      <c r="E24" s="305"/>
      <c r="F24" s="305"/>
      <c r="G24" s="305"/>
      <c r="H24" s="305"/>
      <c r="I24" s="21"/>
      <c r="J24" s="17"/>
    </row>
    <row r="25" spans="1:10" s="10" customFormat="1" ht="15" customHeight="1" x14ac:dyDescent="0.25">
      <c r="A25" s="1539" t="s">
        <v>38</v>
      </c>
      <c r="B25" s="1540"/>
      <c r="C25" s="249">
        <f>C23/C24</f>
        <v>6.67</v>
      </c>
      <c r="D25" s="92"/>
      <c r="E25" s="305"/>
      <c r="F25" s="305"/>
      <c r="G25" s="305"/>
      <c r="H25" s="305"/>
      <c r="I25" s="21"/>
      <c r="J25" s="17"/>
    </row>
    <row r="26" spans="1:10" ht="16.350000000000001" customHeight="1" x14ac:dyDescent="0.25">
      <c r="A26" s="1541" t="s">
        <v>39</v>
      </c>
      <c r="B26" s="1542"/>
      <c r="C26" s="15" t="s">
        <v>40</v>
      </c>
      <c r="D26" s="102"/>
      <c r="E26" s="102" t="s">
        <v>40</v>
      </c>
      <c r="F26" s="16">
        <f>F22/C25</f>
        <v>8.56</v>
      </c>
      <c r="G26" s="16"/>
      <c r="H26" s="16"/>
      <c r="I26" s="102" t="s">
        <v>40</v>
      </c>
      <c r="J26" s="102" t="s">
        <v>40</v>
      </c>
    </row>
    <row r="27" spans="1:10" ht="23.1" customHeight="1" x14ac:dyDescent="0.25">
      <c r="A27" s="1193"/>
      <c r="B27" s="1193"/>
      <c r="C27" s="1193"/>
      <c r="D27" s="1193"/>
      <c r="E27" s="1193"/>
      <c r="F27" s="1193"/>
      <c r="G27" s="1193"/>
      <c r="H27" s="1193"/>
      <c r="I27" s="1193"/>
      <c r="J27" s="1193"/>
    </row>
    <row r="28" spans="1:10" ht="13.95" customHeight="1" x14ac:dyDescent="0.25">
      <c r="A28" s="1193"/>
      <c r="B28" s="1194" t="s">
        <v>49</v>
      </c>
      <c r="C28" s="1198"/>
      <c r="D28" s="1198"/>
      <c r="E28" s="1198"/>
      <c r="F28" s="1198"/>
      <c r="G28" s="1193"/>
      <c r="H28" s="1557">
        <f>'1-бутерброд с маслом'!$H$28</f>
        <v>0</v>
      </c>
      <c r="I28" s="1557"/>
      <c r="J28" s="1557"/>
    </row>
    <row r="29" spans="1:10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0" ht="13.95" customHeight="1" x14ac:dyDescent="0.25">
      <c r="A30" s="1545" t="s">
        <v>327</v>
      </c>
      <c r="B30" s="1545"/>
      <c r="C30" s="1546" t="s">
        <v>328</v>
      </c>
      <c r="D30" s="1546"/>
      <c r="E30" s="1546"/>
      <c r="F30" s="1546"/>
      <c r="G30" s="106"/>
      <c r="H30" s="1531"/>
      <c r="I30" s="1531"/>
      <c r="J30" s="1531"/>
    </row>
    <row r="31" spans="1:10" x14ac:dyDescent="0.25">
      <c r="A31" s="1193"/>
      <c r="B31" s="1193"/>
      <c r="C31" s="1546"/>
      <c r="D31" s="1546"/>
      <c r="E31" s="1546"/>
      <c r="F31" s="1546"/>
      <c r="G31" s="1193"/>
      <c r="H31" s="1531" t="s">
        <v>329</v>
      </c>
      <c r="I31" s="1531"/>
      <c r="J31" s="1531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0:B30"/>
    <mergeCell ref="C30:F31"/>
    <mergeCell ref="H30:J30"/>
    <mergeCell ref="H31:J31"/>
    <mergeCell ref="A23:B23"/>
    <mergeCell ref="A24:B24"/>
    <mergeCell ref="A25:B25"/>
    <mergeCell ref="A26:B26"/>
    <mergeCell ref="H28:J28"/>
    <mergeCell ref="A22:B22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5"/>
  <sheetViews>
    <sheetView view="pageBreakPreview" zoomScaleNormal="100" zoomScaleSheetLayoutView="100" workbookViewId="0">
      <selection activeCell="A23" sqref="A23:XFD23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1093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229)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312</v>
      </c>
    </row>
    <row r="8" spans="1:10" s="2" customFormat="1" ht="9.6" customHeight="1" x14ac:dyDescent="0.25">
      <c r="A8" s="267"/>
      <c r="B8" s="267"/>
      <c r="C8" s="267"/>
      <c r="D8" s="267"/>
      <c r="E8" s="267"/>
      <c r="F8" s="267"/>
      <c r="G8" s="267"/>
      <c r="H8" s="267"/>
      <c r="I8" s="267"/>
      <c r="J8" s="109"/>
    </row>
    <row r="9" spans="1:10" s="2" customFormat="1" ht="26.1" customHeight="1" x14ac:dyDescent="0.3">
      <c r="A9" s="1550" t="s">
        <v>479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'310-картофель молодой'!H14+1</f>
        <v>229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68" t="s">
        <v>92</v>
      </c>
      <c r="D17" s="268" t="s">
        <v>94</v>
      </c>
      <c r="E17" s="268" t="s">
        <v>93</v>
      </c>
      <c r="F17" s="268" t="s">
        <v>23</v>
      </c>
      <c r="G17" s="268" t="s">
        <v>92</v>
      </c>
      <c r="H17" s="268" t="s">
        <v>94</v>
      </c>
      <c r="I17" s="268" t="s">
        <v>92</v>
      </c>
      <c r="J17" s="268" t="s">
        <v>94</v>
      </c>
    </row>
    <row r="18" spans="1:10" ht="9.6" customHeight="1" x14ac:dyDescent="0.25">
      <c r="A18" s="268">
        <v>1</v>
      </c>
      <c r="B18" s="269">
        <v>2</v>
      </c>
      <c r="C18" s="268">
        <v>3</v>
      </c>
      <c r="D18" s="269">
        <v>4</v>
      </c>
      <c r="E18" s="268">
        <v>5</v>
      </c>
      <c r="F18" s="269">
        <v>6</v>
      </c>
      <c r="G18" s="268">
        <v>7</v>
      </c>
      <c r="H18" s="269">
        <v>8</v>
      </c>
      <c r="I18" s="268">
        <v>9</v>
      </c>
      <c r="J18" s="269">
        <v>10</v>
      </c>
    </row>
    <row r="19" spans="1:10" s="10" customFormat="1" ht="13.35" customHeight="1" x14ac:dyDescent="0.25">
      <c r="A19" s="180">
        <v>1</v>
      </c>
      <c r="B19" s="20" t="s">
        <v>50</v>
      </c>
      <c r="C19" s="111">
        <v>1.1399999999999999</v>
      </c>
      <c r="D19" s="111">
        <v>0.85499999999999998</v>
      </c>
      <c r="E19" s="13">
        <f>цены!F35</f>
        <v>50</v>
      </c>
      <c r="F19" s="13">
        <f>C19*E19</f>
        <v>57</v>
      </c>
      <c r="G19" s="97">
        <f>C19*10</f>
        <v>11.4</v>
      </c>
      <c r="H19" s="21">
        <f>D19*10</f>
        <v>8.5500000000000007</v>
      </c>
      <c r="I19" s="21">
        <f>C19*100</f>
        <v>114</v>
      </c>
      <c r="J19" s="21">
        <f>D19*100</f>
        <v>85.5</v>
      </c>
    </row>
    <row r="20" spans="1:10" s="10" customFormat="1" ht="13.35" customHeight="1" x14ac:dyDescent="0.25">
      <c r="A20" s="180">
        <v>2</v>
      </c>
      <c r="B20" s="20" t="s">
        <v>34</v>
      </c>
      <c r="C20" s="111">
        <v>0.158</v>
      </c>
      <c r="D20" s="111" t="s">
        <v>480</v>
      </c>
      <c r="E20" s="13">
        <f>цены!F20</f>
        <v>80</v>
      </c>
      <c r="F20" s="13">
        <f>C20*E20</f>
        <v>12.64</v>
      </c>
      <c r="G20" s="97">
        <f>C20*10</f>
        <v>1.58</v>
      </c>
      <c r="H20" s="21">
        <v>1.5</v>
      </c>
      <c r="I20" s="21">
        <f>C20*100</f>
        <v>15.8</v>
      </c>
      <c r="J20" s="21">
        <v>15</v>
      </c>
    </row>
    <row r="21" spans="1:10" s="10" customFormat="1" ht="13.35" customHeight="1" x14ac:dyDescent="0.25">
      <c r="A21" s="180">
        <v>3</v>
      </c>
      <c r="B21" s="20" t="s">
        <v>31</v>
      </c>
      <c r="C21" s="111">
        <v>3.5000000000000003E-2</v>
      </c>
      <c r="D21" s="111">
        <v>3.5000000000000003E-2</v>
      </c>
      <c r="E21" s="13">
        <f>цены!F21</f>
        <v>710</v>
      </c>
      <c r="F21" s="13">
        <f>C21*E21</f>
        <v>24.85</v>
      </c>
      <c r="G21" s="97">
        <f>C21*10</f>
        <v>0.35</v>
      </c>
      <c r="H21" s="21">
        <f>D21*10</f>
        <v>0.35</v>
      </c>
      <c r="I21" s="21">
        <f>C21*100</f>
        <v>3.5</v>
      </c>
      <c r="J21" s="21">
        <f>D21*100</f>
        <v>3.5</v>
      </c>
    </row>
    <row r="22" spans="1:10" s="10" customFormat="1" ht="13.35" customHeight="1" x14ac:dyDescent="0.25">
      <c r="A22" s="98"/>
      <c r="B22" s="93" t="s">
        <v>100</v>
      </c>
      <c r="C22" s="112"/>
      <c r="D22" s="112">
        <v>1</v>
      </c>
      <c r="E22" s="95"/>
      <c r="F22" s="95">
        <f>SUM(F19:F21)</f>
        <v>94.49</v>
      </c>
      <c r="G22" s="99"/>
      <c r="H22" s="100">
        <f>D22*10</f>
        <v>10</v>
      </c>
      <c r="I22" s="100"/>
      <c r="J22" s="100">
        <f>D22*100</f>
        <v>100</v>
      </c>
    </row>
    <row r="23" spans="1:10" s="10" customFormat="1" ht="27.6" customHeight="1" x14ac:dyDescent="0.25">
      <c r="A23" s="1536" t="s">
        <v>35</v>
      </c>
      <c r="B23" s="1536"/>
      <c r="C23" s="90"/>
      <c r="D23" s="90"/>
      <c r="E23" s="13"/>
      <c r="F23" s="13">
        <f>F22</f>
        <v>94.49</v>
      </c>
      <c r="G23" s="270"/>
      <c r="H23" s="270"/>
      <c r="I23" s="21"/>
      <c r="J23" s="13"/>
    </row>
    <row r="24" spans="1:10" s="10" customFormat="1" ht="25.35" customHeight="1" x14ac:dyDescent="0.25">
      <c r="A24" s="1536" t="s">
        <v>36</v>
      </c>
      <c r="B24" s="1536"/>
      <c r="C24" s="90">
        <v>1000</v>
      </c>
      <c r="D24" s="90"/>
      <c r="E24" s="13"/>
      <c r="F24" s="13"/>
      <c r="G24" s="13"/>
      <c r="H24" s="13"/>
      <c r="I24" s="21"/>
      <c r="J24" s="17"/>
    </row>
    <row r="25" spans="1:10" s="10" customFormat="1" ht="25.35" customHeight="1" x14ac:dyDescent="0.25">
      <c r="A25" s="1537" t="s">
        <v>37</v>
      </c>
      <c r="B25" s="1538"/>
      <c r="C25" s="91">
        <v>150</v>
      </c>
      <c r="D25" s="92"/>
      <c r="E25" s="269"/>
      <c r="F25" s="269"/>
      <c r="G25" s="269"/>
      <c r="H25" s="269"/>
      <c r="I25" s="21"/>
      <c r="J25" s="17"/>
    </row>
    <row r="26" spans="1:10" s="10" customFormat="1" ht="15" customHeight="1" x14ac:dyDescent="0.25">
      <c r="A26" s="1539" t="s">
        <v>38</v>
      </c>
      <c r="B26" s="1540"/>
      <c r="C26" s="249">
        <f>C24/C25</f>
        <v>6.67</v>
      </c>
      <c r="D26" s="92"/>
      <c r="E26" s="269"/>
      <c r="F26" s="269"/>
      <c r="G26" s="269"/>
      <c r="H26" s="269"/>
      <c r="I26" s="21"/>
      <c r="J26" s="17"/>
    </row>
    <row r="27" spans="1:10" ht="16.350000000000001" customHeight="1" x14ac:dyDescent="0.25">
      <c r="A27" s="1541" t="s">
        <v>39</v>
      </c>
      <c r="B27" s="1542"/>
      <c r="C27" s="15" t="s">
        <v>40</v>
      </c>
      <c r="D27" s="102"/>
      <c r="E27" s="102" t="s">
        <v>40</v>
      </c>
      <c r="F27" s="16">
        <f>F23/C26</f>
        <v>14.17</v>
      </c>
      <c r="G27" s="16"/>
      <c r="H27" s="16"/>
      <c r="I27" s="102" t="s">
        <v>40</v>
      </c>
      <c r="J27" s="102" t="s">
        <v>40</v>
      </c>
    </row>
    <row r="28" spans="1:10" ht="23.1" customHeight="1" x14ac:dyDescent="0.25">
      <c r="A28" s="275" t="s">
        <v>481</v>
      </c>
      <c r="B28" s="275"/>
      <c r="C28" s="275"/>
    </row>
    <row r="29" spans="1:10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0" ht="13.95" customHeight="1" x14ac:dyDescent="0.25">
      <c r="A30" s="1193"/>
      <c r="B30" s="1194" t="s">
        <v>49</v>
      </c>
      <c r="C30" s="1198"/>
      <c r="D30" s="1198"/>
      <c r="E30" s="1198"/>
      <c r="F30" s="1198"/>
      <c r="G30" s="1193"/>
      <c r="H30" s="1557">
        <f>'1-бутерброд с маслом'!$H$28</f>
        <v>0</v>
      </c>
      <c r="I30" s="1557"/>
      <c r="J30" s="1557"/>
    </row>
    <row r="31" spans="1:10" ht="13.95" customHeight="1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x14ac:dyDescent="0.25">
      <c r="A32" s="1545" t="s">
        <v>327</v>
      </c>
      <c r="B32" s="1545"/>
      <c r="C32" s="1546" t="s">
        <v>328</v>
      </c>
      <c r="D32" s="1546"/>
      <c r="E32" s="1546"/>
      <c r="F32" s="1546"/>
      <c r="G32" s="106"/>
      <c r="H32" s="1531"/>
      <c r="I32" s="1531"/>
      <c r="J32" s="1531"/>
    </row>
    <row r="33" spans="1:10" x14ac:dyDescent="0.25">
      <c r="A33" s="1193"/>
      <c r="B33" s="1193"/>
      <c r="C33" s="1546"/>
      <c r="D33" s="1546"/>
      <c r="E33" s="1546"/>
      <c r="F33" s="1546"/>
      <c r="G33" s="1193"/>
      <c r="H33" s="1531" t="s">
        <v>329</v>
      </c>
      <c r="I33" s="1531"/>
      <c r="J33" s="1531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2:B32"/>
    <mergeCell ref="C32:F33"/>
    <mergeCell ref="H32:J32"/>
    <mergeCell ref="H33:J33"/>
    <mergeCell ref="A24:B24"/>
    <mergeCell ref="A25:B25"/>
    <mergeCell ref="A26:B26"/>
    <mergeCell ref="A27:B27"/>
    <mergeCell ref="H30:J30"/>
    <mergeCell ref="A23:B23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5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441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230)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314</v>
      </c>
    </row>
    <row r="8" spans="1:10" s="2" customFormat="1" ht="9.6" customHeight="1" x14ac:dyDescent="0.25">
      <c r="A8" s="267"/>
      <c r="B8" s="267"/>
      <c r="C8" s="267"/>
      <c r="D8" s="267"/>
      <c r="E8" s="267"/>
      <c r="F8" s="267"/>
      <c r="G8" s="267"/>
      <c r="H8" s="267"/>
      <c r="I8" s="267"/>
      <c r="J8" s="109"/>
    </row>
    <row r="9" spans="1:10" s="2" customFormat="1" ht="26.1" customHeight="1" x14ac:dyDescent="0.3">
      <c r="A9" s="1550" t="s">
        <v>482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'312-пюре 200'!H14+1</f>
        <v>230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68" t="s">
        <v>92</v>
      </c>
      <c r="D17" s="268" t="s">
        <v>94</v>
      </c>
      <c r="E17" s="268" t="s">
        <v>93</v>
      </c>
      <c r="F17" s="268" t="s">
        <v>23</v>
      </c>
      <c r="G17" s="268" t="s">
        <v>92</v>
      </c>
      <c r="H17" s="268" t="s">
        <v>94</v>
      </c>
      <c r="I17" s="268" t="s">
        <v>92</v>
      </c>
      <c r="J17" s="268" t="s">
        <v>94</v>
      </c>
    </row>
    <row r="18" spans="1:10" ht="9.6" customHeight="1" x14ac:dyDescent="0.25">
      <c r="A18" s="268">
        <v>1</v>
      </c>
      <c r="B18" s="269">
        <v>2</v>
      </c>
      <c r="C18" s="268">
        <v>3</v>
      </c>
      <c r="D18" s="269">
        <v>4</v>
      </c>
      <c r="E18" s="268">
        <v>5</v>
      </c>
      <c r="F18" s="269">
        <v>6</v>
      </c>
      <c r="G18" s="268">
        <v>7</v>
      </c>
      <c r="H18" s="269">
        <v>8</v>
      </c>
      <c r="I18" s="268">
        <v>9</v>
      </c>
      <c r="J18" s="269">
        <v>10</v>
      </c>
    </row>
    <row r="19" spans="1:10" s="10" customFormat="1" ht="13.35" customHeight="1" x14ac:dyDescent="0.25">
      <c r="A19" s="180">
        <v>1</v>
      </c>
      <c r="B19" s="20" t="s">
        <v>50</v>
      </c>
      <c r="C19" s="111">
        <v>1.9319999999999999</v>
      </c>
      <c r="D19" s="111">
        <v>1.4490000000000001</v>
      </c>
      <c r="E19" s="13">
        <f>цены!F35</f>
        <v>50</v>
      </c>
      <c r="F19" s="13">
        <f>C19*E19</f>
        <v>96.6</v>
      </c>
      <c r="G19" s="97">
        <f t="shared" ref="G19:H21" si="0">C19*10</f>
        <v>19.32</v>
      </c>
      <c r="H19" s="21">
        <f t="shared" si="0"/>
        <v>14.49</v>
      </c>
      <c r="I19" s="21">
        <f t="shared" ref="I19:J21" si="1">C19*100</f>
        <v>193.2</v>
      </c>
      <c r="J19" s="21">
        <f t="shared" si="1"/>
        <v>144.9</v>
      </c>
    </row>
    <row r="20" spans="1:10" s="10" customFormat="1" ht="13.35" customHeight="1" x14ac:dyDescent="0.25">
      <c r="A20" s="180">
        <v>3</v>
      </c>
      <c r="B20" s="20" t="s">
        <v>74</v>
      </c>
      <c r="C20" s="111">
        <v>0.1</v>
      </c>
      <c r="D20" s="111">
        <v>0.1</v>
      </c>
      <c r="E20" s="13">
        <f>цены!F87</f>
        <v>120</v>
      </c>
      <c r="F20" s="13">
        <f>C20*E20</f>
        <v>12</v>
      </c>
      <c r="G20" s="97">
        <f t="shared" si="0"/>
        <v>1</v>
      </c>
      <c r="H20" s="21">
        <f t="shared" si="0"/>
        <v>1</v>
      </c>
      <c r="I20" s="21">
        <f t="shared" si="1"/>
        <v>10</v>
      </c>
      <c r="J20" s="21">
        <f t="shared" si="1"/>
        <v>10</v>
      </c>
    </row>
    <row r="21" spans="1:10" s="10" customFormat="1" ht="13.35" customHeight="1" x14ac:dyDescent="0.25">
      <c r="A21" s="180"/>
      <c r="B21" s="20" t="s">
        <v>33</v>
      </c>
      <c r="C21" s="111">
        <v>1E-3</v>
      </c>
      <c r="D21" s="111">
        <v>1E-3</v>
      </c>
      <c r="E21" s="13">
        <f>цены!F110</f>
        <v>24</v>
      </c>
      <c r="F21" s="13">
        <f>C21*E21</f>
        <v>0.02</v>
      </c>
      <c r="G21" s="97">
        <f t="shared" si="0"/>
        <v>0.01</v>
      </c>
      <c r="H21" s="21">
        <f t="shared" si="0"/>
        <v>0.01</v>
      </c>
      <c r="I21" s="21">
        <f t="shared" si="1"/>
        <v>0.1</v>
      </c>
      <c r="J21" s="21">
        <f t="shared" si="1"/>
        <v>0.1</v>
      </c>
    </row>
    <row r="22" spans="1:10" s="10" customFormat="1" ht="13.35" customHeight="1" x14ac:dyDescent="0.25">
      <c r="A22" s="98"/>
      <c r="B22" s="93" t="s">
        <v>100</v>
      </c>
      <c r="C22" s="112"/>
      <c r="D22" s="112">
        <v>1</v>
      </c>
      <c r="E22" s="95"/>
      <c r="F22" s="95">
        <f>SUM(F19:F21)</f>
        <v>108.62</v>
      </c>
      <c r="G22" s="99"/>
      <c r="H22" s="100">
        <f>D22*10</f>
        <v>10</v>
      </c>
      <c r="I22" s="100"/>
      <c r="J22" s="100">
        <f>D22*100</f>
        <v>100</v>
      </c>
    </row>
    <row r="23" spans="1:10" s="10" customFormat="1" ht="27.6" customHeight="1" x14ac:dyDescent="0.25">
      <c r="A23" s="1536" t="s">
        <v>35</v>
      </c>
      <c r="B23" s="1536"/>
      <c r="C23" s="90"/>
      <c r="D23" s="90"/>
      <c r="E23" s="13"/>
      <c r="F23" s="13">
        <f>F22</f>
        <v>108.62</v>
      </c>
      <c r="G23" s="270"/>
      <c r="H23" s="270"/>
      <c r="I23" s="21"/>
      <c r="J23" s="13"/>
    </row>
    <row r="24" spans="1:10" s="10" customFormat="1" ht="25.35" customHeight="1" x14ac:dyDescent="0.25">
      <c r="A24" s="1536" t="s">
        <v>36</v>
      </c>
      <c r="B24" s="1536"/>
      <c r="C24" s="90">
        <v>1000</v>
      </c>
      <c r="D24" s="90"/>
      <c r="E24" s="13"/>
      <c r="F24" s="13"/>
      <c r="G24" s="13"/>
      <c r="H24" s="13"/>
      <c r="I24" s="21"/>
      <c r="J24" s="17"/>
    </row>
    <row r="25" spans="1:10" s="10" customFormat="1" ht="25.35" customHeight="1" x14ac:dyDescent="0.25">
      <c r="A25" s="1537" t="s">
        <v>37</v>
      </c>
      <c r="B25" s="1538"/>
      <c r="C25" s="91">
        <v>100</v>
      </c>
      <c r="D25" s="92"/>
      <c r="E25" s="269"/>
      <c r="F25" s="269"/>
      <c r="G25" s="269"/>
      <c r="H25" s="269"/>
      <c r="I25" s="21"/>
      <c r="J25" s="17"/>
    </row>
    <row r="26" spans="1:10" s="10" customFormat="1" ht="15" customHeight="1" x14ac:dyDescent="0.25">
      <c r="A26" s="1539" t="s">
        <v>38</v>
      </c>
      <c r="B26" s="1540"/>
      <c r="C26" s="245">
        <f>C24/C25</f>
        <v>10</v>
      </c>
      <c r="D26" s="92"/>
      <c r="E26" s="269"/>
      <c r="F26" s="269"/>
      <c r="G26" s="269"/>
      <c r="H26" s="269"/>
      <c r="I26" s="21"/>
      <c r="J26" s="17"/>
    </row>
    <row r="27" spans="1:10" ht="16.350000000000001" customHeight="1" x14ac:dyDescent="0.25">
      <c r="A27" s="1541" t="s">
        <v>39</v>
      </c>
      <c r="B27" s="1542"/>
      <c r="C27" s="15" t="s">
        <v>40</v>
      </c>
      <c r="D27" s="102"/>
      <c r="E27" s="102" t="s">
        <v>40</v>
      </c>
      <c r="F27" s="16">
        <f>F23/C26</f>
        <v>10.86</v>
      </c>
      <c r="G27" s="16"/>
      <c r="H27" s="16"/>
      <c r="I27" s="102" t="s">
        <v>40</v>
      </c>
      <c r="J27" s="102" t="s">
        <v>40</v>
      </c>
    </row>
    <row r="28" spans="1:10" ht="23.1" customHeight="1" x14ac:dyDescent="0.25">
      <c r="A28" s="275" t="s">
        <v>481</v>
      </c>
      <c r="B28" s="275"/>
      <c r="C28" s="275"/>
    </row>
    <row r="29" spans="1:10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0" ht="13.95" customHeight="1" x14ac:dyDescent="0.25">
      <c r="A30" s="1193"/>
      <c r="B30" s="1194" t="s">
        <v>49</v>
      </c>
      <c r="C30" s="1198"/>
      <c r="D30" s="1198"/>
      <c r="E30" s="1198"/>
      <c r="F30" s="1198"/>
      <c r="G30" s="1193"/>
      <c r="H30" s="1557">
        <f>'1-бутерброд с маслом'!$H$28</f>
        <v>0</v>
      </c>
      <c r="I30" s="1557"/>
      <c r="J30" s="1557"/>
    </row>
    <row r="31" spans="1:10" ht="13.95" customHeight="1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x14ac:dyDescent="0.25">
      <c r="A32" s="1545" t="s">
        <v>327</v>
      </c>
      <c r="B32" s="1545"/>
      <c r="C32" s="1546" t="s">
        <v>328</v>
      </c>
      <c r="D32" s="1546"/>
      <c r="E32" s="1546"/>
      <c r="F32" s="1546"/>
      <c r="G32" s="106"/>
      <c r="H32" s="1531"/>
      <c r="I32" s="1531"/>
      <c r="J32" s="1531"/>
    </row>
    <row r="33" spans="1:10" x14ac:dyDescent="0.25">
      <c r="A33" s="1193"/>
      <c r="B33" s="1193"/>
      <c r="C33" s="1546"/>
      <c r="D33" s="1546"/>
      <c r="E33" s="1546"/>
      <c r="F33" s="1546"/>
      <c r="G33" s="1193"/>
      <c r="H33" s="1531" t="s">
        <v>329</v>
      </c>
      <c r="I33" s="1531"/>
      <c r="J33" s="1531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2:B32"/>
    <mergeCell ref="C32:F33"/>
    <mergeCell ref="H32:J32"/>
    <mergeCell ref="H33:J33"/>
    <mergeCell ref="A24:B24"/>
    <mergeCell ref="A25:B25"/>
    <mergeCell ref="A26:B26"/>
    <mergeCell ref="A27:B27"/>
    <mergeCell ref="H30:J30"/>
    <mergeCell ref="A23:B23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43"/>
  <sheetViews>
    <sheetView view="pageBreakPreview" topLeftCell="A3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2.88671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231)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321</v>
      </c>
    </row>
    <row r="8" spans="1:10" s="2" customFormat="1" ht="9.6" customHeight="1" x14ac:dyDescent="0.25">
      <c r="A8" s="267"/>
      <c r="B8" s="267"/>
      <c r="C8" s="267"/>
      <c r="D8" s="267"/>
      <c r="E8" s="267"/>
      <c r="F8" s="267"/>
      <c r="G8" s="267"/>
      <c r="H8" s="267"/>
      <c r="I8" s="267"/>
      <c r="J8" s="109"/>
    </row>
    <row r="9" spans="1:10" s="2" customFormat="1" ht="26.1" customHeight="1" x14ac:dyDescent="0.3">
      <c r="A9" s="1550" t="s">
        <v>354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'314-картофель жар.'!H14+1</f>
        <v>231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68" t="s">
        <v>92</v>
      </c>
      <c r="D17" s="268" t="s">
        <v>94</v>
      </c>
      <c r="E17" s="268" t="s">
        <v>93</v>
      </c>
      <c r="F17" s="268" t="s">
        <v>23</v>
      </c>
      <c r="G17" s="268" t="s">
        <v>92</v>
      </c>
      <c r="H17" s="268" t="s">
        <v>94</v>
      </c>
      <c r="I17" s="268" t="s">
        <v>92</v>
      </c>
      <c r="J17" s="268" t="s">
        <v>94</v>
      </c>
    </row>
    <row r="18" spans="1:10" ht="9.6" customHeight="1" x14ac:dyDescent="0.25">
      <c r="A18" s="268">
        <v>1</v>
      </c>
      <c r="B18" s="269">
        <v>2</v>
      </c>
      <c r="C18" s="268">
        <v>3</v>
      </c>
      <c r="D18" s="269">
        <v>4</v>
      </c>
      <c r="E18" s="268">
        <v>5</v>
      </c>
      <c r="F18" s="269">
        <v>6</v>
      </c>
      <c r="G18" s="268">
        <v>7</v>
      </c>
      <c r="H18" s="269">
        <v>8</v>
      </c>
      <c r="I18" s="268">
        <v>9</v>
      </c>
      <c r="J18" s="269">
        <v>10</v>
      </c>
    </row>
    <row r="19" spans="1:10" s="10" customFormat="1" ht="13.35" customHeight="1" x14ac:dyDescent="0.25">
      <c r="A19" s="180">
        <v>1</v>
      </c>
      <c r="B19" s="20" t="s">
        <v>483</v>
      </c>
      <c r="C19" s="111">
        <v>1.4330000000000001</v>
      </c>
      <c r="D19" s="111">
        <v>1.1459999999999999</v>
      </c>
      <c r="E19" s="13">
        <f>цены!F33</f>
        <v>53</v>
      </c>
      <c r="F19" s="13">
        <f>C19*E19</f>
        <v>75.95</v>
      </c>
      <c r="G19" s="97">
        <f>C19*10</f>
        <v>14.33</v>
      </c>
      <c r="H19" s="21">
        <f>D19*10</f>
        <v>11.46</v>
      </c>
      <c r="I19" s="21">
        <f>C19*100</f>
        <v>143.30000000000001</v>
      </c>
      <c r="J19" s="21">
        <f>D19*100</f>
        <v>114.6</v>
      </c>
    </row>
    <row r="20" spans="1:10" s="10" customFormat="1" ht="13.35" customHeight="1" x14ac:dyDescent="0.25">
      <c r="A20" s="180"/>
      <c r="B20" s="20" t="s">
        <v>31</v>
      </c>
      <c r="C20" s="111">
        <v>3.5000000000000003E-2</v>
      </c>
      <c r="D20" s="111">
        <v>3.5000000000000003E-2</v>
      </c>
      <c r="E20" s="13">
        <f>цены!F21</f>
        <v>710</v>
      </c>
      <c r="F20" s="13">
        <f t="shared" ref="F20:F29" si="0">C20*E20</f>
        <v>24.85</v>
      </c>
      <c r="G20" s="97">
        <f t="shared" ref="G20:G29" si="1">C20*10</f>
        <v>0.35</v>
      </c>
      <c r="H20" s="21">
        <f t="shared" ref="H20:H29" si="2">D20*10</f>
        <v>0.35</v>
      </c>
      <c r="I20" s="21">
        <f t="shared" ref="I20:I29" si="3">C20*100</f>
        <v>3.5</v>
      </c>
      <c r="J20" s="21">
        <f t="shared" ref="J20:J29" si="4">D20*100</f>
        <v>3.5</v>
      </c>
    </row>
    <row r="21" spans="1:10" s="10" customFormat="1" ht="13.35" customHeight="1" x14ac:dyDescent="0.25">
      <c r="A21" s="180"/>
      <c r="B21" s="20" t="s">
        <v>47</v>
      </c>
      <c r="C21" s="111">
        <v>2.5000000000000001E-2</v>
      </c>
      <c r="D21" s="111">
        <v>0.02</v>
      </c>
      <c r="E21" s="13">
        <f>цены!F44</f>
        <v>50</v>
      </c>
      <c r="F21" s="13">
        <f t="shared" si="0"/>
        <v>1.25</v>
      </c>
      <c r="G21" s="97">
        <f t="shared" si="1"/>
        <v>0.25</v>
      </c>
      <c r="H21" s="21">
        <f t="shared" si="2"/>
        <v>0.2</v>
      </c>
      <c r="I21" s="21">
        <f t="shared" si="3"/>
        <v>2.5</v>
      </c>
      <c r="J21" s="21">
        <f t="shared" si="4"/>
        <v>2</v>
      </c>
    </row>
    <row r="22" spans="1:10" s="10" customFormat="1" ht="13.35" customHeight="1" x14ac:dyDescent="0.25">
      <c r="A22" s="180"/>
      <c r="B22" s="20" t="s">
        <v>48</v>
      </c>
      <c r="C22" s="111">
        <v>4.8000000000000001E-2</v>
      </c>
      <c r="D22" s="111">
        <v>0.04</v>
      </c>
      <c r="E22" s="13">
        <f>цены!F38</f>
        <v>50</v>
      </c>
      <c r="F22" s="13">
        <f t="shared" si="0"/>
        <v>2.4</v>
      </c>
      <c r="G22" s="97">
        <f t="shared" si="1"/>
        <v>0.48</v>
      </c>
      <c r="H22" s="21">
        <f t="shared" si="2"/>
        <v>0.4</v>
      </c>
      <c r="I22" s="21">
        <f t="shared" si="3"/>
        <v>4.8</v>
      </c>
      <c r="J22" s="21">
        <f t="shared" si="4"/>
        <v>4</v>
      </c>
    </row>
    <row r="23" spans="1:10" s="10" customFormat="1" ht="13.35" customHeight="1" x14ac:dyDescent="0.25">
      <c r="A23" s="180"/>
      <c r="B23" s="20" t="s">
        <v>46</v>
      </c>
      <c r="C23" s="111">
        <v>0.06</v>
      </c>
      <c r="D23" s="111">
        <v>0.06</v>
      </c>
      <c r="E23" s="13">
        <f>цены!F113</f>
        <v>230</v>
      </c>
      <c r="F23" s="13">
        <f t="shared" si="0"/>
        <v>13.8</v>
      </c>
      <c r="G23" s="97">
        <f t="shared" si="1"/>
        <v>0.6</v>
      </c>
      <c r="H23" s="21">
        <f t="shared" si="2"/>
        <v>0.6</v>
      </c>
      <c r="I23" s="21">
        <f t="shared" si="3"/>
        <v>6</v>
      </c>
      <c r="J23" s="21">
        <f t="shared" si="4"/>
        <v>6</v>
      </c>
    </row>
    <row r="24" spans="1:10" s="10" customFormat="1" ht="24" x14ac:dyDescent="0.25">
      <c r="A24" s="180"/>
      <c r="B24" s="20" t="s">
        <v>484</v>
      </c>
      <c r="C24" s="111">
        <v>0.03</v>
      </c>
      <c r="D24" s="111">
        <v>0.03</v>
      </c>
      <c r="E24" s="13">
        <f>цены!F98</f>
        <v>290</v>
      </c>
      <c r="F24" s="13">
        <f t="shared" si="0"/>
        <v>8.6999999999999993</v>
      </c>
      <c r="G24" s="97">
        <f t="shared" si="1"/>
        <v>0.3</v>
      </c>
      <c r="H24" s="21">
        <f t="shared" si="2"/>
        <v>0.3</v>
      </c>
      <c r="I24" s="21">
        <f t="shared" si="3"/>
        <v>3</v>
      </c>
      <c r="J24" s="21">
        <f t="shared" si="4"/>
        <v>3</v>
      </c>
    </row>
    <row r="25" spans="1:10" s="10" customFormat="1" ht="13.35" customHeight="1" x14ac:dyDescent="0.25">
      <c r="A25" s="180"/>
      <c r="B25" s="20" t="s">
        <v>45</v>
      </c>
      <c r="C25" s="111">
        <v>1.2E-2</v>
      </c>
      <c r="D25" s="111">
        <v>1.2E-2</v>
      </c>
      <c r="E25" s="13">
        <f>цены!F74</f>
        <v>36</v>
      </c>
      <c r="F25" s="13">
        <f t="shared" si="0"/>
        <v>0.43</v>
      </c>
      <c r="G25" s="97">
        <f t="shared" si="1"/>
        <v>0.12</v>
      </c>
      <c r="H25" s="21">
        <f t="shared" si="2"/>
        <v>0.12</v>
      </c>
      <c r="I25" s="21">
        <f t="shared" si="3"/>
        <v>1.2</v>
      </c>
      <c r="J25" s="21">
        <f t="shared" si="4"/>
        <v>1.2</v>
      </c>
    </row>
    <row r="26" spans="1:10" s="10" customFormat="1" ht="13.35" customHeight="1" x14ac:dyDescent="0.25">
      <c r="A26" s="180"/>
      <c r="B26" s="20" t="s">
        <v>30</v>
      </c>
      <c r="C26" s="111">
        <v>0.03</v>
      </c>
      <c r="D26" s="111">
        <v>0.03</v>
      </c>
      <c r="E26" s="13">
        <f>цены!F107</f>
        <v>76</v>
      </c>
      <c r="F26" s="13">
        <f t="shared" si="0"/>
        <v>2.2799999999999998</v>
      </c>
      <c r="G26" s="97">
        <f t="shared" si="1"/>
        <v>0.3</v>
      </c>
      <c r="H26" s="21">
        <f t="shared" si="2"/>
        <v>0.3</v>
      </c>
      <c r="I26" s="21">
        <f t="shared" si="3"/>
        <v>3</v>
      </c>
      <c r="J26" s="21">
        <f t="shared" si="4"/>
        <v>3</v>
      </c>
    </row>
    <row r="27" spans="1:10" s="10" customFormat="1" ht="13.35" customHeight="1" x14ac:dyDescent="0.25">
      <c r="A27" s="180"/>
      <c r="B27" s="20" t="s">
        <v>485</v>
      </c>
      <c r="C27" s="111">
        <v>2.0000000000000001E-4</v>
      </c>
      <c r="D27" s="111">
        <v>2.0000000000000001E-4</v>
      </c>
      <c r="E27" s="13">
        <f>цены!F133</f>
        <v>1420</v>
      </c>
      <c r="F27" s="13">
        <f t="shared" si="0"/>
        <v>0.28000000000000003</v>
      </c>
      <c r="G27" s="97">
        <f t="shared" si="1"/>
        <v>2E-3</v>
      </c>
      <c r="H27" s="21">
        <f t="shared" si="2"/>
        <v>2E-3</v>
      </c>
      <c r="I27" s="21">
        <f t="shared" si="3"/>
        <v>0.02</v>
      </c>
      <c r="J27" s="21">
        <f t="shared" si="4"/>
        <v>0.02</v>
      </c>
    </row>
    <row r="28" spans="1:10" s="10" customFormat="1" ht="13.35" customHeight="1" x14ac:dyDescent="0.25">
      <c r="A28" s="180"/>
      <c r="B28" s="20" t="s">
        <v>84</v>
      </c>
      <c r="C28" s="111">
        <v>1E-4</v>
      </c>
      <c r="D28" s="111">
        <v>1E-4</v>
      </c>
      <c r="E28" s="13">
        <f>цены!F100</f>
        <v>1000</v>
      </c>
      <c r="F28" s="13">
        <f t="shared" si="0"/>
        <v>0.1</v>
      </c>
      <c r="G28" s="97">
        <f t="shared" si="1"/>
        <v>1E-3</v>
      </c>
      <c r="H28" s="21">
        <f t="shared" si="2"/>
        <v>1E-3</v>
      </c>
      <c r="I28" s="21">
        <f t="shared" si="3"/>
        <v>0.01</v>
      </c>
      <c r="J28" s="21">
        <f t="shared" si="4"/>
        <v>0.01</v>
      </c>
    </row>
    <row r="29" spans="1:10" s="10" customFormat="1" ht="13.35" customHeight="1" x14ac:dyDescent="0.25">
      <c r="A29" s="180"/>
      <c r="B29" s="20" t="s">
        <v>33</v>
      </c>
      <c r="C29" s="111">
        <v>1E-3</v>
      </c>
      <c r="D29" s="111">
        <v>1E-3</v>
      </c>
      <c r="E29" s="13">
        <f>цены!F110</f>
        <v>24</v>
      </c>
      <c r="F29" s="13">
        <f t="shared" si="0"/>
        <v>0.02</v>
      </c>
      <c r="G29" s="97">
        <f t="shared" si="1"/>
        <v>0.01</v>
      </c>
      <c r="H29" s="21">
        <f t="shared" si="2"/>
        <v>0.01</v>
      </c>
      <c r="I29" s="21">
        <f t="shared" si="3"/>
        <v>0.1</v>
      </c>
      <c r="J29" s="21">
        <f t="shared" si="4"/>
        <v>0.1</v>
      </c>
    </row>
    <row r="30" spans="1:10" s="10" customFormat="1" ht="13.35" customHeight="1" x14ac:dyDescent="0.25">
      <c r="A30" s="98"/>
      <c r="B30" s="93" t="s">
        <v>100</v>
      </c>
      <c r="C30" s="112"/>
      <c r="D30" s="112">
        <v>1</v>
      </c>
      <c r="E30" s="95"/>
      <c r="F30" s="95">
        <f>SUM(F19:F29)</f>
        <v>130.06</v>
      </c>
      <c r="G30" s="99"/>
      <c r="H30" s="100">
        <f>D30*10</f>
        <v>10</v>
      </c>
      <c r="I30" s="100"/>
      <c r="J30" s="100">
        <f>D30*100</f>
        <v>100</v>
      </c>
    </row>
    <row r="31" spans="1:10" s="10" customFormat="1" ht="27.6" customHeight="1" x14ac:dyDescent="0.25">
      <c r="A31" s="1536" t="s">
        <v>35</v>
      </c>
      <c r="B31" s="1536"/>
      <c r="C31" s="90"/>
      <c r="D31" s="90"/>
      <c r="E31" s="13"/>
      <c r="F31" s="13">
        <f>F30</f>
        <v>130.06</v>
      </c>
      <c r="G31" s="270"/>
      <c r="H31" s="270"/>
      <c r="I31" s="21"/>
      <c r="J31" s="13"/>
    </row>
    <row r="32" spans="1:10" s="10" customFormat="1" ht="25.35" customHeight="1" x14ac:dyDescent="0.25">
      <c r="A32" s="1536" t="s">
        <v>36</v>
      </c>
      <c r="B32" s="1536"/>
      <c r="C32" s="90">
        <v>1000</v>
      </c>
      <c r="D32" s="90"/>
      <c r="E32" s="13"/>
      <c r="F32" s="13"/>
      <c r="G32" s="13"/>
      <c r="H32" s="13"/>
      <c r="I32" s="21"/>
      <c r="J32" s="17"/>
    </row>
    <row r="33" spans="1:10" s="10" customFormat="1" ht="25.35" customHeight="1" x14ac:dyDescent="0.25">
      <c r="A33" s="1537" t="s">
        <v>37</v>
      </c>
      <c r="B33" s="1538"/>
      <c r="C33" s="91">
        <v>100</v>
      </c>
      <c r="D33" s="92"/>
      <c r="E33" s="269"/>
      <c r="F33" s="269"/>
      <c r="G33" s="269"/>
      <c r="H33" s="269"/>
      <c r="I33" s="21"/>
      <c r="J33" s="17"/>
    </row>
    <row r="34" spans="1:10" s="10" customFormat="1" ht="15" customHeight="1" x14ac:dyDescent="0.25">
      <c r="A34" s="1539" t="s">
        <v>38</v>
      </c>
      <c r="B34" s="1540"/>
      <c r="C34" s="245">
        <f>C32/C33</f>
        <v>10</v>
      </c>
      <c r="D34" s="92"/>
      <c r="E34" s="269"/>
      <c r="F34" s="269"/>
      <c r="G34" s="269"/>
      <c r="H34" s="269"/>
      <c r="I34" s="21"/>
      <c r="J34" s="17"/>
    </row>
    <row r="35" spans="1:10" ht="16.350000000000001" customHeight="1" x14ac:dyDescent="0.25">
      <c r="A35" s="1541" t="s">
        <v>39</v>
      </c>
      <c r="B35" s="1542"/>
      <c r="C35" s="15" t="s">
        <v>40</v>
      </c>
      <c r="D35" s="102"/>
      <c r="E35" s="102" t="s">
        <v>40</v>
      </c>
      <c r="F35" s="16">
        <f>F31/C34</f>
        <v>13.01</v>
      </c>
      <c r="G35" s="16"/>
      <c r="H35" s="16"/>
      <c r="I35" s="102" t="s">
        <v>40</v>
      </c>
      <c r="J35" s="102" t="s">
        <v>40</v>
      </c>
    </row>
    <row r="36" spans="1:10" ht="23.1" customHeight="1" x14ac:dyDescent="0.25">
      <c r="A36" s="275" t="s">
        <v>481</v>
      </c>
      <c r="B36" s="275"/>
      <c r="C36" s="275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193"/>
      <c r="B38" s="1194" t="s">
        <v>49</v>
      </c>
      <c r="C38" s="1198"/>
      <c r="D38" s="1198"/>
      <c r="E38" s="1198"/>
      <c r="F38" s="1198"/>
      <c r="G38" s="1193"/>
      <c r="H38" s="1557">
        <f>'1-бутерброд с маслом'!$H$28</f>
        <v>0</v>
      </c>
      <c r="I38" s="1557"/>
      <c r="J38" s="1557"/>
    </row>
    <row r="39" spans="1:10" ht="13.95" customHeight="1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545" t="s">
        <v>327</v>
      </c>
      <c r="B40" s="1545"/>
      <c r="C40" s="1546" t="s">
        <v>328</v>
      </c>
      <c r="D40" s="1546"/>
      <c r="E40" s="1546"/>
      <c r="F40" s="1546"/>
      <c r="G40" s="106"/>
      <c r="H40" s="1531"/>
      <c r="I40" s="1531"/>
      <c r="J40" s="1531"/>
    </row>
    <row r="41" spans="1:10" x14ac:dyDescent="0.25">
      <c r="A41" s="1193"/>
      <c r="B41" s="1193"/>
      <c r="C41" s="1546"/>
      <c r="D41" s="1546"/>
      <c r="E41" s="1546"/>
      <c r="F41" s="1546"/>
      <c r="G41" s="1193"/>
      <c r="H41" s="1531" t="s">
        <v>329</v>
      </c>
      <c r="I41" s="1531"/>
      <c r="J41" s="1531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0:B40"/>
    <mergeCell ref="C40:F41"/>
    <mergeCell ref="H40:J40"/>
    <mergeCell ref="H41:J41"/>
    <mergeCell ref="A32:B32"/>
    <mergeCell ref="A33:B33"/>
    <mergeCell ref="A34:B34"/>
    <mergeCell ref="A35:B35"/>
    <mergeCell ref="H38:J38"/>
    <mergeCell ref="A31:B31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38"/>
  <sheetViews>
    <sheetView view="pageBreakPreview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467" customWidth="1"/>
    <col min="2" max="2" width="21.109375" style="467" customWidth="1"/>
    <col min="3" max="7" width="7.5546875" style="467" customWidth="1"/>
    <col min="8" max="8" width="8.88671875" style="467" customWidth="1"/>
    <col min="9" max="9" width="7.5546875" style="467" customWidth="1"/>
    <col min="10" max="10" width="9" style="467" customWidth="1"/>
    <col min="11" max="11" width="3.33203125" style="467" customWidth="1"/>
    <col min="12" max="16384" width="8.88671875" style="46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232)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326</v>
      </c>
    </row>
    <row r="8" spans="1:10" s="2" customFormat="1" ht="9.6" customHeight="1" x14ac:dyDescent="0.25">
      <c r="A8" s="471"/>
      <c r="B8" s="471"/>
      <c r="C8" s="471"/>
      <c r="D8" s="471"/>
      <c r="E8" s="471"/>
      <c r="F8" s="471"/>
      <c r="G8" s="471"/>
      <c r="H8" s="471"/>
      <c r="I8" s="471"/>
      <c r="J8" s="109"/>
    </row>
    <row r="9" spans="1:10" s="2" customFormat="1" ht="26.1" customHeight="1" x14ac:dyDescent="0.3">
      <c r="A9" s="1550" t="s">
        <v>738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'321-капуста тушеная'!H14+1</f>
        <v>232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468" t="s">
        <v>92</v>
      </c>
      <c r="D17" s="468" t="s">
        <v>94</v>
      </c>
      <c r="E17" s="468" t="s">
        <v>93</v>
      </c>
      <c r="F17" s="468" t="s">
        <v>23</v>
      </c>
      <c r="G17" s="468" t="s">
        <v>92</v>
      </c>
      <c r="H17" s="468" t="s">
        <v>94</v>
      </c>
      <c r="I17" s="468" t="s">
        <v>92</v>
      </c>
      <c r="J17" s="468" t="s">
        <v>94</v>
      </c>
    </row>
    <row r="18" spans="1:10" ht="9.6" customHeight="1" x14ac:dyDescent="0.25">
      <c r="A18" s="468">
        <v>1</v>
      </c>
      <c r="B18" s="470">
        <v>2</v>
      </c>
      <c r="C18" s="468">
        <v>3</v>
      </c>
      <c r="D18" s="470">
        <v>4</v>
      </c>
      <c r="E18" s="468">
        <v>5</v>
      </c>
      <c r="F18" s="470">
        <v>6</v>
      </c>
      <c r="G18" s="468">
        <v>7</v>
      </c>
      <c r="H18" s="470">
        <v>8</v>
      </c>
      <c r="I18" s="468">
        <v>9</v>
      </c>
      <c r="J18" s="470">
        <v>10</v>
      </c>
    </row>
    <row r="19" spans="1:10" s="10" customFormat="1" ht="12" customHeight="1" x14ac:dyDescent="0.25">
      <c r="A19" s="180">
        <v>1</v>
      </c>
      <c r="B19" s="20" t="s">
        <v>34</v>
      </c>
      <c r="C19" s="111">
        <v>0.5</v>
      </c>
      <c r="D19" s="111">
        <v>0.5</v>
      </c>
      <c r="E19" s="408">
        <f>цены!F20</f>
        <v>80</v>
      </c>
      <c r="F19" s="408">
        <f>C19*E19</f>
        <v>40</v>
      </c>
      <c r="G19" s="97">
        <f t="shared" ref="G19:H25" si="0">C19*10</f>
        <v>5</v>
      </c>
      <c r="H19" s="21">
        <f t="shared" si="0"/>
        <v>5</v>
      </c>
      <c r="I19" s="21">
        <f t="shared" ref="I19:J25" si="1">C19*100</f>
        <v>50</v>
      </c>
      <c r="J19" s="21">
        <f t="shared" si="1"/>
        <v>50</v>
      </c>
    </row>
    <row r="20" spans="1:10" s="10" customFormat="1" ht="12" customHeight="1" x14ac:dyDescent="0.25">
      <c r="A20" s="180">
        <v>2</v>
      </c>
      <c r="B20" s="20" t="s">
        <v>31</v>
      </c>
      <c r="C20" s="111">
        <v>5.5E-2</v>
      </c>
      <c r="D20" s="111">
        <v>5.5E-2</v>
      </c>
      <c r="E20" s="408">
        <f>цены!F21</f>
        <v>710</v>
      </c>
      <c r="F20" s="408">
        <f t="shared" ref="F20:F25" si="2">C20*E20</f>
        <v>39.049999999999997</v>
      </c>
      <c r="G20" s="97">
        <f t="shared" si="0"/>
        <v>0.55000000000000004</v>
      </c>
      <c r="H20" s="21">
        <f t="shared" si="0"/>
        <v>0.55000000000000004</v>
      </c>
      <c r="I20" s="21">
        <f t="shared" si="1"/>
        <v>5.5</v>
      </c>
      <c r="J20" s="21">
        <f t="shared" si="1"/>
        <v>5.5</v>
      </c>
    </row>
    <row r="21" spans="1:10" s="10" customFormat="1" ht="12" customHeight="1" x14ac:dyDescent="0.25">
      <c r="A21" s="180">
        <v>3</v>
      </c>
      <c r="B21" s="20" t="s">
        <v>45</v>
      </c>
      <c r="C21" s="111">
        <v>5.5E-2</v>
      </c>
      <c r="D21" s="111">
        <v>5.5E-2</v>
      </c>
      <c r="E21" s="408">
        <f>цены!F74</f>
        <v>36</v>
      </c>
      <c r="F21" s="408">
        <f t="shared" si="2"/>
        <v>1.98</v>
      </c>
      <c r="G21" s="97">
        <f t="shared" si="0"/>
        <v>0.55000000000000004</v>
      </c>
      <c r="H21" s="21">
        <f t="shared" si="0"/>
        <v>0.55000000000000004</v>
      </c>
      <c r="I21" s="21">
        <f t="shared" si="1"/>
        <v>5.5</v>
      </c>
      <c r="J21" s="21">
        <f t="shared" si="1"/>
        <v>5.5</v>
      </c>
    </row>
    <row r="22" spans="1:10" s="10" customFormat="1" ht="12" customHeight="1" x14ac:dyDescent="0.25">
      <c r="A22" s="180">
        <v>4</v>
      </c>
      <c r="B22" s="20" t="s">
        <v>28</v>
      </c>
      <c r="C22" s="21">
        <v>0.5</v>
      </c>
      <c r="D22" s="21">
        <v>0.5</v>
      </c>
      <c r="E22" s="408"/>
      <c r="F22" s="408">
        <f t="shared" si="2"/>
        <v>0</v>
      </c>
      <c r="G22" s="97">
        <f t="shared" si="0"/>
        <v>5</v>
      </c>
      <c r="H22" s="21">
        <f t="shared" si="0"/>
        <v>5</v>
      </c>
      <c r="I22" s="21">
        <f t="shared" si="1"/>
        <v>50</v>
      </c>
      <c r="J22" s="21">
        <f t="shared" si="1"/>
        <v>50</v>
      </c>
    </row>
    <row r="23" spans="1:10" s="10" customFormat="1" ht="12" customHeight="1" x14ac:dyDescent="0.25">
      <c r="A23" s="180">
        <v>5</v>
      </c>
      <c r="B23" s="20" t="s">
        <v>30</v>
      </c>
      <c r="C23" s="113">
        <v>0.01</v>
      </c>
      <c r="D23" s="113">
        <v>0.01</v>
      </c>
      <c r="E23" s="408">
        <f>цены!F107</f>
        <v>76</v>
      </c>
      <c r="F23" s="408">
        <f t="shared" si="2"/>
        <v>0.76</v>
      </c>
      <c r="G23" s="97">
        <f t="shared" si="0"/>
        <v>0.1</v>
      </c>
      <c r="H23" s="21">
        <f t="shared" si="0"/>
        <v>0.1</v>
      </c>
      <c r="I23" s="21">
        <f t="shared" si="1"/>
        <v>1</v>
      </c>
      <c r="J23" s="21">
        <f t="shared" si="1"/>
        <v>1</v>
      </c>
    </row>
    <row r="24" spans="1:10" s="10" customFormat="1" ht="12" customHeight="1" x14ac:dyDescent="0.25">
      <c r="A24" s="180">
        <v>6</v>
      </c>
      <c r="B24" s="20" t="s">
        <v>84</v>
      </c>
      <c r="C24" s="113">
        <v>2.0000000000000002E-5</v>
      </c>
      <c r="D24" s="113">
        <v>2.0000000000000002E-5</v>
      </c>
      <c r="E24" s="408">
        <f>цены!F100</f>
        <v>1000</v>
      </c>
      <c r="F24" s="408">
        <f t="shared" si="2"/>
        <v>0.02</v>
      </c>
      <c r="G24" s="97">
        <f t="shared" si="0"/>
        <v>0</v>
      </c>
      <c r="H24" s="21">
        <f t="shared" si="0"/>
        <v>0</v>
      </c>
      <c r="I24" s="21">
        <f t="shared" si="1"/>
        <v>2E-3</v>
      </c>
      <c r="J24" s="21">
        <f t="shared" si="1"/>
        <v>2E-3</v>
      </c>
    </row>
    <row r="25" spans="1:10" s="10" customFormat="1" ht="12" customHeight="1" x14ac:dyDescent="0.25">
      <c r="A25" s="180">
        <v>7</v>
      </c>
      <c r="B25" s="20" t="s">
        <v>33</v>
      </c>
      <c r="C25" s="111">
        <v>8.0000000000000002E-3</v>
      </c>
      <c r="D25" s="111">
        <v>8.0000000000000002E-3</v>
      </c>
      <c r="E25" s="408">
        <f>цены!F110</f>
        <v>24</v>
      </c>
      <c r="F25" s="408">
        <f t="shared" si="2"/>
        <v>0.19</v>
      </c>
      <c r="G25" s="97">
        <f t="shared" si="0"/>
        <v>0.08</v>
      </c>
      <c r="H25" s="21">
        <f t="shared" si="0"/>
        <v>0.08</v>
      </c>
      <c r="I25" s="21">
        <f t="shared" si="1"/>
        <v>0.8</v>
      </c>
      <c r="J25" s="21">
        <f t="shared" si="1"/>
        <v>0.8</v>
      </c>
    </row>
    <row r="26" spans="1:10" s="10" customFormat="1" ht="12" customHeight="1" x14ac:dyDescent="0.25">
      <c r="A26" s="98"/>
      <c r="B26" s="93" t="s">
        <v>100</v>
      </c>
      <c r="C26" s="112"/>
      <c r="D26" s="112">
        <v>1</v>
      </c>
      <c r="E26" s="95"/>
      <c r="F26" s="95">
        <f>SUM(F19:F25)</f>
        <v>82</v>
      </c>
      <c r="G26" s="99"/>
      <c r="H26" s="100">
        <f>D26*10</f>
        <v>10</v>
      </c>
      <c r="I26" s="100"/>
      <c r="J26" s="100">
        <f>D26*100</f>
        <v>100</v>
      </c>
    </row>
    <row r="27" spans="1:10" s="10" customFormat="1" ht="27.6" customHeight="1" x14ac:dyDescent="0.25">
      <c r="A27" s="1536" t="s">
        <v>35</v>
      </c>
      <c r="B27" s="1536"/>
      <c r="C27" s="90"/>
      <c r="D27" s="90"/>
      <c r="E27" s="408"/>
      <c r="F27" s="408">
        <f>F26</f>
        <v>82</v>
      </c>
      <c r="G27" s="469"/>
      <c r="H27" s="469"/>
      <c r="I27" s="21"/>
      <c r="J27" s="408"/>
    </row>
    <row r="28" spans="1:10" s="10" customFormat="1" ht="25.35" customHeight="1" x14ac:dyDescent="0.25">
      <c r="A28" s="1536" t="s">
        <v>36</v>
      </c>
      <c r="B28" s="1536"/>
      <c r="C28" s="90">
        <v>1000</v>
      </c>
      <c r="D28" s="90"/>
      <c r="E28" s="408"/>
      <c r="F28" s="408"/>
      <c r="G28" s="408"/>
      <c r="H28" s="408"/>
      <c r="I28" s="21"/>
      <c r="J28" s="17"/>
    </row>
    <row r="29" spans="1:10" s="10" customFormat="1" ht="25.35" customHeight="1" x14ac:dyDescent="0.25">
      <c r="A29" s="1537" t="s">
        <v>37</v>
      </c>
      <c r="B29" s="1538"/>
      <c r="C29" s="91">
        <v>1000</v>
      </c>
      <c r="D29" s="92"/>
      <c r="E29" s="470"/>
      <c r="F29" s="470"/>
      <c r="G29" s="470"/>
      <c r="H29" s="470"/>
      <c r="I29" s="21"/>
      <c r="J29" s="17"/>
    </row>
    <row r="30" spans="1:10" s="10" customFormat="1" ht="15" customHeight="1" x14ac:dyDescent="0.25">
      <c r="A30" s="1539" t="s">
        <v>38</v>
      </c>
      <c r="B30" s="1540"/>
      <c r="C30" s="92">
        <f>C28/C29</f>
        <v>1</v>
      </c>
      <c r="D30" s="92"/>
      <c r="E30" s="470"/>
      <c r="F30" s="470"/>
      <c r="G30" s="470"/>
      <c r="H30" s="470"/>
      <c r="I30" s="21"/>
      <c r="J30" s="17"/>
    </row>
    <row r="31" spans="1:10" ht="16.350000000000001" customHeight="1" x14ac:dyDescent="0.25">
      <c r="A31" s="1541" t="s">
        <v>39</v>
      </c>
      <c r="B31" s="1542"/>
      <c r="C31" s="15" t="s">
        <v>40</v>
      </c>
      <c r="D31" s="102"/>
      <c r="E31" s="102" t="s">
        <v>40</v>
      </c>
      <c r="F31" s="16">
        <f>F27/C30</f>
        <v>82</v>
      </c>
      <c r="G31" s="16"/>
      <c r="H31" s="16"/>
      <c r="I31" s="102" t="s">
        <v>40</v>
      </c>
      <c r="J31" s="102" t="s">
        <v>40</v>
      </c>
    </row>
    <row r="32" spans="1:10" ht="23.1" customHeight="1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193"/>
      <c r="B33" s="1194" t="s">
        <v>49</v>
      </c>
      <c r="C33" s="1198"/>
      <c r="D33" s="1198"/>
      <c r="E33" s="1198"/>
      <c r="F33" s="1198"/>
      <c r="G33" s="1193"/>
      <c r="H33" s="1557">
        <f>'1-бутерброд с маслом'!$H$28</f>
        <v>0</v>
      </c>
      <c r="I33" s="1557"/>
      <c r="J33" s="1557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545" t="s">
        <v>327</v>
      </c>
      <c r="B35" s="1545"/>
      <c r="C35" s="1546" t="s">
        <v>328</v>
      </c>
      <c r="D35" s="1546"/>
      <c r="E35" s="1546"/>
      <c r="F35" s="1546"/>
      <c r="G35" s="106"/>
      <c r="H35" s="1531"/>
      <c r="I35" s="1531"/>
      <c r="J35" s="1531"/>
    </row>
    <row r="36" spans="1:10" x14ac:dyDescent="0.25">
      <c r="A36" s="1193"/>
      <c r="B36" s="1193"/>
      <c r="C36" s="1546"/>
      <c r="D36" s="1546"/>
      <c r="E36" s="1546"/>
      <c r="F36" s="1546"/>
      <c r="G36" s="1193"/>
      <c r="H36" s="1531" t="s">
        <v>329</v>
      </c>
      <c r="I36" s="1531"/>
      <c r="J36" s="1531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</sheetData>
  <mergeCells count="28">
    <mergeCell ref="H33:J33"/>
    <mergeCell ref="A13:G13"/>
    <mergeCell ref="A28:B28"/>
    <mergeCell ref="A29:B29"/>
    <mergeCell ref="A30:B30"/>
    <mergeCell ref="A31:B31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5:B35"/>
    <mergeCell ref="C35:F36"/>
    <mergeCell ref="H35:J35"/>
    <mergeCell ref="H36:J36"/>
    <mergeCell ref="H5:I5"/>
    <mergeCell ref="A6:G6"/>
    <mergeCell ref="A7:I7"/>
    <mergeCell ref="A27:B27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38"/>
  <sheetViews>
    <sheetView view="pageBreakPreview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467" customWidth="1"/>
    <col min="2" max="2" width="21.109375" style="467" customWidth="1"/>
    <col min="3" max="7" width="7.5546875" style="467" customWidth="1"/>
    <col min="8" max="8" width="8.88671875" style="467" customWidth="1"/>
    <col min="9" max="9" width="7.5546875" style="467" customWidth="1"/>
    <col min="10" max="10" width="9" style="467" customWidth="1"/>
    <col min="11" max="11" width="3.33203125" style="467" customWidth="1"/>
    <col min="12" max="16384" width="8.88671875" style="46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233)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326</v>
      </c>
    </row>
    <row r="8" spans="1:10" s="2" customFormat="1" ht="9.6" customHeight="1" x14ac:dyDescent="0.25">
      <c r="A8" s="471"/>
      <c r="B8" s="471"/>
      <c r="C8" s="471"/>
      <c r="D8" s="471"/>
      <c r="E8" s="471"/>
      <c r="F8" s="471"/>
      <c r="G8" s="471"/>
      <c r="H8" s="471"/>
      <c r="I8" s="471"/>
      <c r="J8" s="109"/>
    </row>
    <row r="9" spans="1:10" s="2" customFormat="1" ht="26.1" customHeight="1" x14ac:dyDescent="0.3">
      <c r="A9" s="1550" t="s">
        <v>758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'326-соус молочный'!H14+1</f>
        <v>233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468" t="s">
        <v>92</v>
      </c>
      <c r="D17" s="468" t="s">
        <v>94</v>
      </c>
      <c r="E17" s="468" t="s">
        <v>93</v>
      </c>
      <c r="F17" s="468" t="s">
        <v>23</v>
      </c>
      <c r="G17" s="468" t="s">
        <v>92</v>
      </c>
      <c r="H17" s="468" t="s">
        <v>94</v>
      </c>
      <c r="I17" s="468" t="s">
        <v>92</v>
      </c>
      <c r="J17" s="468" t="s">
        <v>94</v>
      </c>
    </row>
    <row r="18" spans="1:10" ht="9.6" customHeight="1" x14ac:dyDescent="0.25">
      <c r="A18" s="468">
        <v>1</v>
      </c>
      <c r="B18" s="470">
        <v>2</v>
      </c>
      <c r="C18" s="468">
        <v>3</v>
      </c>
      <c r="D18" s="470">
        <v>4</v>
      </c>
      <c r="E18" s="468">
        <v>5</v>
      </c>
      <c r="F18" s="470">
        <v>6</v>
      </c>
      <c r="G18" s="468">
        <v>7</v>
      </c>
      <c r="H18" s="470">
        <v>8</v>
      </c>
      <c r="I18" s="468">
        <v>9</v>
      </c>
      <c r="J18" s="470">
        <v>10</v>
      </c>
    </row>
    <row r="19" spans="1:10" s="10" customFormat="1" ht="12" customHeight="1" x14ac:dyDescent="0.25">
      <c r="A19" s="180">
        <v>1</v>
      </c>
      <c r="B19" s="20" t="s">
        <v>34</v>
      </c>
      <c r="C19" s="111">
        <v>0.5</v>
      </c>
      <c r="D19" s="111">
        <v>0.5</v>
      </c>
      <c r="E19" s="408">
        <f>цены!F20</f>
        <v>80</v>
      </c>
      <c r="F19" s="408">
        <f>C19*E19</f>
        <v>40</v>
      </c>
      <c r="G19" s="97">
        <f t="shared" ref="G19:H25" si="0">C19*10</f>
        <v>5</v>
      </c>
      <c r="H19" s="21">
        <f t="shared" si="0"/>
        <v>5</v>
      </c>
      <c r="I19" s="21">
        <f t="shared" ref="I19:J25" si="1">C19*100</f>
        <v>50</v>
      </c>
      <c r="J19" s="21">
        <f t="shared" si="1"/>
        <v>50</v>
      </c>
    </row>
    <row r="20" spans="1:10" s="10" customFormat="1" ht="12" customHeight="1" x14ac:dyDescent="0.25">
      <c r="A20" s="180">
        <v>2</v>
      </c>
      <c r="B20" s="20" t="s">
        <v>31</v>
      </c>
      <c r="C20" s="111">
        <v>5.5E-2</v>
      </c>
      <c r="D20" s="111">
        <v>5.5E-2</v>
      </c>
      <c r="E20" s="408">
        <f>цены!F21</f>
        <v>710</v>
      </c>
      <c r="F20" s="408">
        <f t="shared" ref="F20:F25" si="2">C20*E20</f>
        <v>39.049999999999997</v>
      </c>
      <c r="G20" s="97">
        <f t="shared" si="0"/>
        <v>0.55000000000000004</v>
      </c>
      <c r="H20" s="21">
        <f t="shared" si="0"/>
        <v>0.55000000000000004</v>
      </c>
      <c r="I20" s="21">
        <f t="shared" si="1"/>
        <v>5.5</v>
      </c>
      <c r="J20" s="21">
        <f t="shared" si="1"/>
        <v>5.5</v>
      </c>
    </row>
    <row r="21" spans="1:10" s="10" customFormat="1" ht="12" customHeight="1" x14ac:dyDescent="0.25">
      <c r="A21" s="180">
        <v>3</v>
      </c>
      <c r="B21" s="20" t="s">
        <v>45</v>
      </c>
      <c r="C21" s="111">
        <v>5.5E-2</v>
      </c>
      <c r="D21" s="111">
        <v>5.5E-2</v>
      </c>
      <c r="E21" s="408">
        <f>цены!F74</f>
        <v>36</v>
      </c>
      <c r="F21" s="408">
        <f t="shared" si="2"/>
        <v>1.98</v>
      </c>
      <c r="G21" s="97">
        <f t="shared" si="0"/>
        <v>0.55000000000000004</v>
      </c>
      <c r="H21" s="21">
        <f t="shared" si="0"/>
        <v>0.55000000000000004</v>
      </c>
      <c r="I21" s="21">
        <f t="shared" si="1"/>
        <v>5.5</v>
      </c>
      <c r="J21" s="21">
        <f t="shared" si="1"/>
        <v>5.5</v>
      </c>
    </row>
    <row r="22" spans="1:10" s="10" customFormat="1" ht="12" customHeight="1" x14ac:dyDescent="0.25">
      <c r="A22" s="180">
        <v>4</v>
      </c>
      <c r="B22" s="20" t="s">
        <v>28</v>
      </c>
      <c r="C22" s="21">
        <v>0.5</v>
      </c>
      <c r="D22" s="21">
        <v>0.5</v>
      </c>
      <c r="E22" s="408"/>
      <c r="F22" s="408">
        <f t="shared" si="2"/>
        <v>0</v>
      </c>
      <c r="G22" s="97">
        <f t="shared" si="0"/>
        <v>5</v>
      </c>
      <c r="H22" s="21">
        <f t="shared" si="0"/>
        <v>5</v>
      </c>
      <c r="I22" s="21">
        <f t="shared" si="1"/>
        <v>50</v>
      </c>
      <c r="J22" s="21">
        <f t="shared" si="1"/>
        <v>50</v>
      </c>
    </row>
    <row r="23" spans="1:10" s="10" customFormat="1" ht="12" customHeight="1" x14ac:dyDescent="0.25">
      <c r="A23" s="180">
        <v>5</v>
      </c>
      <c r="B23" s="20" t="s">
        <v>30</v>
      </c>
      <c r="C23" s="113">
        <v>0.01</v>
      </c>
      <c r="D23" s="113">
        <v>0.01</v>
      </c>
      <c r="E23" s="408">
        <f>цены!F107</f>
        <v>76</v>
      </c>
      <c r="F23" s="408">
        <f t="shared" si="2"/>
        <v>0.76</v>
      </c>
      <c r="G23" s="97">
        <f t="shared" si="0"/>
        <v>0.1</v>
      </c>
      <c r="H23" s="21">
        <f t="shared" si="0"/>
        <v>0.1</v>
      </c>
      <c r="I23" s="21">
        <f t="shared" si="1"/>
        <v>1</v>
      </c>
      <c r="J23" s="21">
        <f t="shared" si="1"/>
        <v>1</v>
      </c>
    </row>
    <row r="24" spans="1:10" s="10" customFormat="1" ht="12" customHeight="1" x14ac:dyDescent="0.25">
      <c r="A24" s="180">
        <v>6</v>
      </c>
      <c r="B24" s="20" t="s">
        <v>84</v>
      </c>
      <c r="C24" s="113">
        <v>2.0000000000000002E-5</v>
      </c>
      <c r="D24" s="113">
        <v>2.0000000000000002E-5</v>
      </c>
      <c r="E24" s="408">
        <f>цены!F100</f>
        <v>1000</v>
      </c>
      <c r="F24" s="408">
        <f t="shared" si="2"/>
        <v>0.02</v>
      </c>
      <c r="G24" s="97">
        <f t="shared" si="0"/>
        <v>0</v>
      </c>
      <c r="H24" s="21">
        <f t="shared" si="0"/>
        <v>0</v>
      </c>
      <c r="I24" s="21">
        <f t="shared" si="1"/>
        <v>2E-3</v>
      </c>
      <c r="J24" s="21">
        <f t="shared" si="1"/>
        <v>2E-3</v>
      </c>
    </row>
    <row r="25" spans="1:10" s="10" customFormat="1" ht="12" customHeight="1" x14ac:dyDescent="0.25">
      <c r="A25" s="180">
        <v>7</v>
      </c>
      <c r="B25" s="20" t="s">
        <v>33</v>
      </c>
      <c r="C25" s="111">
        <v>8.0000000000000002E-3</v>
      </c>
      <c r="D25" s="111">
        <v>8.0000000000000002E-3</v>
      </c>
      <c r="E25" s="408">
        <f>цены!F110</f>
        <v>24</v>
      </c>
      <c r="F25" s="408">
        <f t="shared" si="2"/>
        <v>0.19</v>
      </c>
      <c r="G25" s="97">
        <f t="shared" si="0"/>
        <v>0.08</v>
      </c>
      <c r="H25" s="21">
        <f t="shared" si="0"/>
        <v>0.08</v>
      </c>
      <c r="I25" s="21">
        <f t="shared" si="1"/>
        <v>0.8</v>
      </c>
      <c r="J25" s="21">
        <f t="shared" si="1"/>
        <v>0.8</v>
      </c>
    </row>
    <row r="26" spans="1:10" s="10" customFormat="1" ht="12" customHeight="1" x14ac:dyDescent="0.25">
      <c r="A26" s="98"/>
      <c r="B26" s="93" t="s">
        <v>100</v>
      </c>
      <c r="C26" s="112"/>
      <c r="D26" s="112">
        <v>1</v>
      </c>
      <c r="E26" s="95"/>
      <c r="F26" s="95">
        <f>SUM(F19:F25)</f>
        <v>82</v>
      </c>
      <c r="G26" s="99"/>
      <c r="H26" s="100">
        <f>D26*10</f>
        <v>10</v>
      </c>
      <c r="I26" s="100"/>
      <c r="J26" s="100">
        <f>D26*100</f>
        <v>100</v>
      </c>
    </row>
    <row r="27" spans="1:10" s="10" customFormat="1" ht="27.6" customHeight="1" x14ac:dyDescent="0.25">
      <c r="A27" s="1536" t="s">
        <v>35</v>
      </c>
      <c r="B27" s="1536"/>
      <c r="C27" s="90"/>
      <c r="D27" s="90"/>
      <c r="E27" s="408"/>
      <c r="F27" s="408">
        <f>F26</f>
        <v>82</v>
      </c>
      <c r="G27" s="469"/>
      <c r="H27" s="469"/>
      <c r="I27" s="21"/>
      <c r="J27" s="408"/>
    </row>
    <row r="28" spans="1:10" s="10" customFormat="1" ht="25.35" customHeight="1" x14ac:dyDescent="0.25">
      <c r="A28" s="1536" t="s">
        <v>36</v>
      </c>
      <c r="B28" s="1536"/>
      <c r="C28" s="90">
        <v>1000</v>
      </c>
      <c r="D28" s="90"/>
      <c r="E28" s="408"/>
      <c r="F28" s="408"/>
      <c r="G28" s="408"/>
      <c r="H28" s="408"/>
      <c r="I28" s="21"/>
      <c r="J28" s="17"/>
    </row>
    <row r="29" spans="1:10" s="10" customFormat="1" ht="25.35" customHeight="1" x14ac:dyDescent="0.25">
      <c r="A29" s="1537" t="s">
        <v>37</v>
      </c>
      <c r="B29" s="1538"/>
      <c r="C29" s="91">
        <v>30</v>
      </c>
      <c r="D29" s="92"/>
      <c r="E29" s="470"/>
      <c r="F29" s="470"/>
      <c r="G29" s="470"/>
      <c r="H29" s="470"/>
      <c r="I29" s="21"/>
      <c r="J29" s="17"/>
    </row>
    <row r="30" spans="1:10" s="10" customFormat="1" ht="15" customHeight="1" x14ac:dyDescent="0.25">
      <c r="A30" s="1539" t="s">
        <v>38</v>
      </c>
      <c r="B30" s="1540"/>
      <c r="C30" s="92">
        <f>C28/C29</f>
        <v>33.332999999999998</v>
      </c>
      <c r="D30" s="92"/>
      <c r="E30" s="470"/>
      <c r="F30" s="470"/>
      <c r="G30" s="470"/>
      <c r="H30" s="470"/>
      <c r="I30" s="21"/>
      <c r="J30" s="17"/>
    </row>
    <row r="31" spans="1:10" ht="16.350000000000001" customHeight="1" x14ac:dyDescent="0.25">
      <c r="A31" s="1541" t="s">
        <v>39</v>
      </c>
      <c r="B31" s="1542"/>
      <c r="C31" s="15" t="s">
        <v>40</v>
      </c>
      <c r="D31" s="102"/>
      <c r="E31" s="102" t="s">
        <v>40</v>
      </c>
      <c r="F31" s="16">
        <f>F27/C30</f>
        <v>2.46</v>
      </c>
      <c r="G31" s="16"/>
      <c r="H31" s="16"/>
      <c r="I31" s="102" t="s">
        <v>40</v>
      </c>
      <c r="J31" s="102" t="s">
        <v>40</v>
      </c>
    </row>
    <row r="32" spans="1:10" ht="23.1" customHeight="1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193"/>
      <c r="B33" s="1194" t="s">
        <v>49</v>
      </c>
      <c r="C33" s="1198"/>
      <c r="D33" s="1198"/>
      <c r="E33" s="1198"/>
      <c r="F33" s="1198"/>
      <c r="G33" s="1193"/>
      <c r="H33" s="1557">
        <f>'1-бутерброд с маслом'!$H$28</f>
        <v>0</v>
      </c>
      <c r="I33" s="1557"/>
      <c r="J33" s="1557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545" t="s">
        <v>327</v>
      </c>
      <c r="B35" s="1545"/>
      <c r="C35" s="1546" t="s">
        <v>328</v>
      </c>
      <c r="D35" s="1546"/>
      <c r="E35" s="1546"/>
      <c r="F35" s="1546"/>
      <c r="G35" s="106"/>
      <c r="H35" s="1531"/>
      <c r="I35" s="1531"/>
      <c r="J35" s="1531"/>
    </row>
    <row r="36" spans="1:10" x14ac:dyDescent="0.25">
      <c r="A36" s="1193"/>
      <c r="B36" s="1193"/>
      <c r="C36" s="1546"/>
      <c r="D36" s="1546"/>
      <c r="E36" s="1546"/>
      <c r="F36" s="1546"/>
      <c r="G36" s="1193"/>
      <c r="H36" s="1531" t="s">
        <v>329</v>
      </c>
      <c r="I36" s="1531"/>
      <c r="J36" s="1531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</sheetData>
  <mergeCells count="28">
    <mergeCell ref="H33:J33"/>
    <mergeCell ref="A13:G13"/>
    <mergeCell ref="A28:B28"/>
    <mergeCell ref="A29:B29"/>
    <mergeCell ref="A30:B30"/>
    <mergeCell ref="A31:B31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5:B35"/>
    <mergeCell ref="C35:F36"/>
    <mergeCell ref="H35:J35"/>
    <mergeCell ref="H36:J36"/>
    <mergeCell ref="H5:I5"/>
    <mergeCell ref="A6:G6"/>
    <mergeCell ref="A7:I7"/>
    <mergeCell ref="A27:B27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33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5546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234)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/>
    </row>
    <row r="8" spans="1:10" s="2" customFormat="1" ht="9.6" customHeight="1" x14ac:dyDescent="0.25">
      <c r="A8" s="199"/>
      <c r="B8" s="199"/>
      <c r="C8" s="199"/>
      <c r="D8" s="199"/>
      <c r="E8" s="199"/>
      <c r="F8" s="199"/>
      <c r="G8" s="199"/>
      <c r="H8" s="199"/>
      <c r="I8" s="199"/>
      <c r="J8" s="109"/>
    </row>
    <row r="9" spans="1:10" s="2" customFormat="1" ht="26.1" customHeight="1" x14ac:dyDescent="0.3">
      <c r="A9" s="1550" t="s">
        <v>413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/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'326-соус молочный 30'!H14+1</f>
        <v>234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00" t="s">
        <v>92</v>
      </c>
      <c r="D17" s="200" t="s">
        <v>94</v>
      </c>
      <c r="E17" s="200" t="s">
        <v>93</v>
      </c>
      <c r="F17" s="200" t="s">
        <v>23</v>
      </c>
      <c r="G17" s="200" t="s">
        <v>92</v>
      </c>
      <c r="H17" s="200" t="s">
        <v>94</v>
      </c>
      <c r="I17" s="200" t="s">
        <v>92</v>
      </c>
      <c r="J17" s="200" t="s">
        <v>94</v>
      </c>
    </row>
    <row r="18" spans="1:10" ht="9.6" customHeight="1" x14ac:dyDescent="0.25">
      <c r="A18" s="200">
        <v>1</v>
      </c>
      <c r="B18" s="201">
        <v>2</v>
      </c>
      <c r="C18" s="200">
        <v>3</v>
      </c>
      <c r="D18" s="201">
        <v>4</v>
      </c>
      <c r="E18" s="200">
        <v>5</v>
      </c>
      <c r="F18" s="201">
        <v>6</v>
      </c>
      <c r="G18" s="200">
        <v>7</v>
      </c>
      <c r="H18" s="201">
        <v>8</v>
      </c>
      <c r="I18" s="200">
        <v>9</v>
      </c>
      <c r="J18" s="201">
        <v>10</v>
      </c>
    </row>
    <row r="19" spans="1:10" s="10" customFormat="1" ht="12" customHeight="1" x14ac:dyDescent="0.25">
      <c r="A19" s="180">
        <v>1</v>
      </c>
      <c r="B19" s="20" t="s">
        <v>414</v>
      </c>
      <c r="C19" s="111">
        <v>4.5999999999999999E-2</v>
      </c>
      <c r="D19" s="111">
        <v>0.04</v>
      </c>
      <c r="E19" s="13">
        <f>цены!F30</f>
        <v>152.16999999999999</v>
      </c>
      <c r="F19" s="13">
        <f>C19*E19</f>
        <v>7</v>
      </c>
      <c r="G19" s="97">
        <f t="shared" ref="G19:H21" si="0">C19*10</f>
        <v>0.46</v>
      </c>
      <c r="H19" s="21">
        <f t="shared" si="0"/>
        <v>0.4</v>
      </c>
      <c r="I19" s="21">
        <f t="shared" ref="I19:J21" si="1">C19*100</f>
        <v>4.5999999999999996</v>
      </c>
      <c r="J19" s="21">
        <f t="shared" si="1"/>
        <v>4</v>
      </c>
    </row>
    <row r="20" spans="1:10" s="10" customFormat="1" ht="12" customHeight="1" x14ac:dyDescent="0.25">
      <c r="A20" s="180">
        <v>2</v>
      </c>
      <c r="B20" s="20" t="s">
        <v>34</v>
      </c>
      <c r="C20" s="111">
        <v>0.14000000000000001</v>
      </c>
      <c r="D20" s="111">
        <v>0.14000000000000001</v>
      </c>
      <c r="E20" s="13">
        <f>цены!F20</f>
        <v>80</v>
      </c>
      <c r="F20" s="13">
        <f>C20*E20</f>
        <v>11.2</v>
      </c>
      <c r="G20" s="97">
        <f t="shared" si="0"/>
        <v>1.4</v>
      </c>
      <c r="H20" s="21">
        <f t="shared" si="0"/>
        <v>1.4</v>
      </c>
      <c r="I20" s="21">
        <f t="shared" si="1"/>
        <v>14</v>
      </c>
      <c r="J20" s="21">
        <f t="shared" si="1"/>
        <v>14</v>
      </c>
    </row>
    <row r="21" spans="1:10" s="10" customFormat="1" ht="12" customHeight="1" x14ac:dyDescent="0.25">
      <c r="A21" s="180">
        <v>3</v>
      </c>
      <c r="B21" s="20" t="s">
        <v>124</v>
      </c>
      <c r="C21" s="111">
        <v>1E-3</v>
      </c>
      <c r="D21" s="111">
        <v>1E-3</v>
      </c>
      <c r="E21" s="13">
        <f>цены!F110</f>
        <v>24</v>
      </c>
      <c r="F21" s="13">
        <f>C21*E21</f>
        <v>0.02</v>
      </c>
      <c r="G21" s="97">
        <f t="shared" si="0"/>
        <v>0.01</v>
      </c>
      <c r="H21" s="21">
        <f t="shared" si="0"/>
        <v>0.01</v>
      </c>
      <c r="I21" s="21">
        <f t="shared" si="1"/>
        <v>0.1</v>
      </c>
      <c r="J21" s="21">
        <f t="shared" si="1"/>
        <v>0.1</v>
      </c>
    </row>
    <row r="22" spans="1:10" s="10" customFormat="1" ht="12" customHeight="1" x14ac:dyDescent="0.25">
      <c r="A22" s="98"/>
      <c r="B22" s="93" t="s">
        <v>100</v>
      </c>
      <c r="C22" s="112"/>
      <c r="D22" s="112">
        <v>0.18</v>
      </c>
      <c r="E22" s="95"/>
      <c r="F22" s="95">
        <f>SUM(F19:F21)</f>
        <v>18.22</v>
      </c>
      <c r="G22" s="99"/>
      <c r="H22" s="100">
        <f>D22*10</f>
        <v>1.8</v>
      </c>
      <c r="I22" s="100"/>
      <c r="J22" s="100">
        <f>D22*100</f>
        <v>18</v>
      </c>
    </row>
    <row r="23" spans="1:10" s="10" customFormat="1" ht="27.6" customHeight="1" x14ac:dyDescent="0.25">
      <c r="A23" s="1536" t="s">
        <v>35</v>
      </c>
      <c r="B23" s="1536"/>
      <c r="C23" s="90"/>
      <c r="D23" s="90"/>
      <c r="E23" s="13"/>
      <c r="F23" s="13">
        <f>F22</f>
        <v>18.22</v>
      </c>
      <c r="G23" s="202"/>
      <c r="H23" s="202"/>
      <c r="I23" s="21"/>
      <c r="J23" s="13"/>
    </row>
    <row r="24" spans="1:10" s="10" customFormat="1" ht="25.35" customHeight="1" x14ac:dyDescent="0.25">
      <c r="A24" s="1536" t="s">
        <v>36</v>
      </c>
      <c r="B24" s="1536"/>
      <c r="C24" s="90">
        <v>180</v>
      </c>
      <c r="D24" s="90"/>
      <c r="E24" s="13"/>
      <c r="F24" s="13"/>
      <c r="G24" s="13"/>
      <c r="H24" s="13"/>
      <c r="I24" s="21"/>
      <c r="J24" s="17"/>
    </row>
    <row r="25" spans="1:10" s="10" customFormat="1" ht="25.35" customHeight="1" x14ac:dyDescent="0.25">
      <c r="A25" s="1537" t="s">
        <v>37</v>
      </c>
      <c r="B25" s="1538"/>
      <c r="C25" s="91">
        <v>45</v>
      </c>
      <c r="D25" s="92"/>
      <c r="E25" s="201"/>
      <c r="F25" s="201"/>
      <c r="G25" s="201"/>
      <c r="H25" s="201"/>
      <c r="I25" s="21"/>
      <c r="J25" s="17"/>
    </row>
    <row r="26" spans="1:10" s="10" customFormat="1" ht="15" customHeight="1" x14ac:dyDescent="0.25">
      <c r="A26" s="1539" t="s">
        <v>38</v>
      </c>
      <c r="B26" s="1540"/>
      <c r="C26" s="92">
        <v>4</v>
      </c>
      <c r="D26" s="92"/>
      <c r="E26" s="201"/>
      <c r="F26" s="201"/>
      <c r="G26" s="201"/>
      <c r="H26" s="201"/>
      <c r="I26" s="21"/>
      <c r="J26" s="17"/>
    </row>
    <row r="27" spans="1:10" ht="16.350000000000001" customHeight="1" x14ac:dyDescent="0.25">
      <c r="A27" s="1541" t="s">
        <v>39</v>
      </c>
      <c r="B27" s="1542"/>
      <c r="C27" s="15" t="s">
        <v>40</v>
      </c>
      <c r="D27" s="102"/>
      <c r="E27" s="102" t="s">
        <v>40</v>
      </c>
      <c r="F27" s="16">
        <f>F23/C26</f>
        <v>4.5599999999999996</v>
      </c>
      <c r="G27" s="16"/>
      <c r="H27" s="16"/>
      <c r="I27" s="102" t="s">
        <v>40</v>
      </c>
      <c r="J27" s="102" t="s">
        <v>40</v>
      </c>
    </row>
    <row r="28" spans="1:10" ht="56.4" customHeight="1" x14ac:dyDescent="0.25">
      <c r="B28" s="1566" t="s">
        <v>1347</v>
      </c>
      <c r="C28" s="1566"/>
      <c r="D28" s="1566"/>
      <c r="E28" s="1566"/>
      <c r="F28" s="1566"/>
      <c r="G28" s="1566"/>
      <c r="H28" s="1566"/>
      <c r="I28" s="1566"/>
      <c r="J28" s="1566"/>
    </row>
    <row r="29" spans="1:10" s="1193" customFormat="1" ht="22.2" customHeight="1" x14ac:dyDescent="0.25"/>
    <row r="30" spans="1:10" ht="13.95" customHeight="1" x14ac:dyDescent="0.25">
      <c r="A30" s="1193"/>
      <c r="B30" s="1194" t="s">
        <v>49</v>
      </c>
      <c r="C30" s="1198"/>
      <c r="D30" s="1198"/>
      <c r="E30" s="1198"/>
      <c r="F30" s="1198"/>
      <c r="G30" s="1193"/>
      <c r="H30" s="1557">
        <f>'1-бутерброд с маслом'!$H$28</f>
        <v>0</v>
      </c>
      <c r="I30" s="1557"/>
      <c r="J30" s="1557"/>
    </row>
    <row r="31" spans="1:10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x14ac:dyDescent="0.25">
      <c r="A32" s="1545" t="s">
        <v>327</v>
      </c>
      <c r="B32" s="1545"/>
      <c r="C32" s="1546" t="s">
        <v>328</v>
      </c>
      <c r="D32" s="1546"/>
      <c r="E32" s="1546"/>
      <c r="F32" s="1546"/>
      <c r="G32" s="106"/>
      <c r="H32" s="1531"/>
      <c r="I32" s="1531"/>
      <c r="J32" s="1531"/>
    </row>
    <row r="33" spans="1:10" x14ac:dyDescent="0.25">
      <c r="A33" s="1193"/>
      <c r="B33" s="1193"/>
      <c r="C33" s="1546"/>
      <c r="D33" s="1546"/>
      <c r="E33" s="1546"/>
      <c r="F33" s="1546"/>
      <c r="G33" s="1193"/>
      <c r="H33" s="1531" t="s">
        <v>329</v>
      </c>
      <c r="I33" s="1531"/>
      <c r="J33" s="1531"/>
    </row>
  </sheetData>
  <mergeCells count="29">
    <mergeCell ref="H5:I5"/>
    <mergeCell ref="A6:G6"/>
    <mergeCell ref="A7:I7"/>
    <mergeCell ref="A11:J11"/>
    <mergeCell ref="I13:J13"/>
    <mergeCell ref="A13:G13"/>
    <mergeCell ref="C14:G14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2:B32"/>
    <mergeCell ref="C32:F33"/>
    <mergeCell ref="H32:J32"/>
    <mergeCell ref="H33:J33"/>
    <mergeCell ref="H30:J30"/>
    <mergeCell ref="B28:J28"/>
    <mergeCell ref="A24:B24"/>
    <mergeCell ref="A25:B25"/>
    <mergeCell ref="A26:B26"/>
    <mergeCell ref="A27:B27"/>
    <mergeCell ref="A23:B23"/>
    <mergeCell ref="A9:J9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M37"/>
  <sheetViews>
    <sheetView view="pageBreakPreview" topLeftCell="A14" zoomScaleNormal="100" zoomScaleSheetLayoutView="100" workbookViewId="0">
      <selection activeCell="A29" sqref="A29:J33"/>
    </sheetView>
  </sheetViews>
  <sheetFormatPr defaultRowHeight="13.8" x14ac:dyDescent="0.25"/>
  <cols>
    <col min="1" max="1" width="4.109375" customWidth="1"/>
    <col min="2" max="2" width="21" customWidth="1"/>
    <col min="3" max="3" width="8.88671875" customWidth="1"/>
    <col min="4" max="7" width="7.5546875" customWidth="1"/>
    <col min="8" max="8" width="7.44140625" customWidth="1"/>
    <col min="9" max="9" width="8.44140625" customWidth="1"/>
    <col min="10" max="10" width="9.109375" customWidth="1"/>
    <col min="11" max="11" width="5.441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19)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367"/>
      <c r="I6" s="367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23</v>
      </c>
    </row>
    <row r="8" spans="1:10" s="2" customFormat="1" ht="9.6" customHeight="1" x14ac:dyDescent="0.25">
      <c r="A8" s="368"/>
      <c r="B8" s="368"/>
      <c r="C8" s="368"/>
      <c r="D8" s="368"/>
      <c r="E8" s="368"/>
      <c r="F8" s="368"/>
      <c r="G8" s="368"/>
      <c r="H8" s="368"/>
      <c r="I8" s="368"/>
      <c r="J8" s="109"/>
    </row>
    <row r="9" spans="1:10" s="2" customFormat="1" ht="26.1" customHeight="1" x14ac:dyDescent="0.3">
      <c r="A9" s="1550" t="s">
        <v>604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'23-салат из помидоров'!H14+1</f>
        <v>19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369" t="s">
        <v>92</v>
      </c>
      <c r="D17" s="369" t="s">
        <v>94</v>
      </c>
      <c r="E17" s="369" t="s">
        <v>93</v>
      </c>
      <c r="F17" s="369" t="s">
        <v>23</v>
      </c>
      <c r="G17" s="369" t="s">
        <v>92</v>
      </c>
      <c r="H17" s="369" t="s">
        <v>94</v>
      </c>
      <c r="I17" s="369" t="s">
        <v>92</v>
      </c>
      <c r="J17" s="369" t="s">
        <v>94</v>
      </c>
    </row>
    <row r="18" spans="1:13" ht="9.6" customHeight="1" x14ac:dyDescent="0.25">
      <c r="A18" s="369">
        <v>1</v>
      </c>
      <c r="B18" s="370">
        <v>2</v>
      </c>
      <c r="C18" s="369">
        <v>3</v>
      </c>
      <c r="D18" s="370">
        <v>4</v>
      </c>
      <c r="E18" s="369">
        <v>5</v>
      </c>
      <c r="F18" s="370">
        <v>6</v>
      </c>
      <c r="G18" s="369">
        <v>7</v>
      </c>
      <c r="H18" s="370">
        <v>8</v>
      </c>
      <c r="I18" s="369">
        <v>9</v>
      </c>
      <c r="J18" s="370">
        <v>10</v>
      </c>
    </row>
    <row r="19" spans="1:13" s="10" customFormat="1" ht="14.1" customHeight="1" x14ac:dyDescent="0.25">
      <c r="A19" s="180">
        <v>1</v>
      </c>
      <c r="B19" s="20" t="s">
        <v>516</v>
      </c>
      <c r="C19" s="21">
        <v>0.84699999999999998</v>
      </c>
      <c r="D19" s="21">
        <v>0.72</v>
      </c>
      <c r="E19" s="13">
        <f>цены!F41</f>
        <v>106</v>
      </c>
      <c r="F19" s="13">
        <f>C19*E19</f>
        <v>89.78</v>
      </c>
      <c r="G19" s="97">
        <f t="shared" ref="G19:H22" si="0">C19*10</f>
        <v>8.4700000000000006</v>
      </c>
      <c r="H19" s="21">
        <f t="shared" si="0"/>
        <v>7.2</v>
      </c>
      <c r="I19" s="21">
        <f t="shared" ref="I19:J22" si="1">C19*100</f>
        <v>84.7</v>
      </c>
      <c r="J19" s="21">
        <f t="shared" si="1"/>
        <v>72</v>
      </c>
      <c r="L19" s="1015">
        <f>C19/C$27</f>
        <v>5.08189836203276E-2</v>
      </c>
      <c r="M19" s="1015">
        <f>F19/C$27</f>
        <v>5.3866922661546797</v>
      </c>
    </row>
    <row r="20" spans="1:13" s="10" customFormat="1" ht="14.1" customHeight="1" x14ac:dyDescent="0.25">
      <c r="A20" s="180">
        <v>2</v>
      </c>
      <c r="B20" s="20" t="s">
        <v>48</v>
      </c>
      <c r="C20" s="21">
        <v>0.27400000000000002</v>
      </c>
      <c r="D20" s="21">
        <v>0.23</v>
      </c>
      <c r="E20" s="13">
        <f>цены!F38</f>
        <v>50</v>
      </c>
      <c r="F20" s="13">
        <f>C20*E20</f>
        <v>13.7</v>
      </c>
      <c r="G20" s="97">
        <f t="shared" si="0"/>
        <v>2.74</v>
      </c>
      <c r="H20" s="21">
        <f t="shared" si="0"/>
        <v>2.2999999999999998</v>
      </c>
      <c r="I20" s="21">
        <f t="shared" si="1"/>
        <v>27.4</v>
      </c>
      <c r="J20" s="21">
        <f t="shared" si="1"/>
        <v>23</v>
      </c>
      <c r="L20" s="1015">
        <f t="shared" ref="L20:L22" si="2">C20/C$27</f>
        <v>1.6439671206575902E-2</v>
      </c>
      <c r="M20" s="1015">
        <f t="shared" ref="M20:M22" si="3">F20/C$27</f>
        <v>0.82198356032879305</v>
      </c>
    </row>
    <row r="21" spans="1:13" s="10" customFormat="1" ht="14.1" customHeight="1" x14ac:dyDescent="0.25">
      <c r="A21" s="180">
        <v>3</v>
      </c>
      <c r="B21" s="20" t="s">
        <v>74</v>
      </c>
      <c r="C21" s="21">
        <v>0.06</v>
      </c>
      <c r="D21" s="21">
        <v>0.06</v>
      </c>
      <c r="E21" s="13">
        <f>цены!F87</f>
        <v>120</v>
      </c>
      <c r="F21" s="13">
        <f>C21*E21</f>
        <v>7.2</v>
      </c>
      <c r="G21" s="97">
        <f t="shared" si="0"/>
        <v>0.6</v>
      </c>
      <c r="H21" s="21">
        <f t="shared" si="0"/>
        <v>0.6</v>
      </c>
      <c r="I21" s="21">
        <f t="shared" si="1"/>
        <v>6</v>
      </c>
      <c r="J21" s="21">
        <f t="shared" si="1"/>
        <v>6</v>
      </c>
      <c r="L21" s="1015">
        <f t="shared" si="2"/>
        <v>3.5999280014399702E-3</v>
      </c>
      <c r="M21" s="1015">
        <f t="shared" si="3"/>
        <v>0.43199136017279599</v>
      </c>
    </row>
    <row r="22" spans="1:13" s="10" customFormat="1" ht="14.1" customHeight="1" x14ac:dyDescent="0.25">
      <c r="A22" s="180">
        <v>4</v>
      </c>
      <c r="B22" s="20" t="s">
        <v>75</v>
      </c>
      <c r="C22" s="21">
        <f>0.002*C27</f>
        <v>3.3000000000000002E-2</v>
      </c>
      <c r="D22" s="21">
        <f>C22</f>
        <v>3.3000000000000002E-2</v>
      </c>
      <c r="E22" s="13">
        <f>цены!F110</f>
        <v>24</v>
      </c>
      <c r="F22" s="13">
        <f>C22*E22</f>
        <v>0.79</v>
      </c>
      <c r="G22" s="97">
        <f t="shared" si="0"/>
        <v>0.33</v>
      </c>
      <c r="H22" s="21">
        <f t="shared" si="0"/>
        <v>0.33</v>
      </c>
      <c r="I22" s="21">
        <f t="shared" si="1"/>
        <v>3.3</v>
      </c>
      <c r="J22" s="21">
        <f t="shared" si="1"/>
        <v>3.3</v>
      </c>
      <c r="L22" s="1015">
        <f t="shared" si="2"/>
        <v>1.9799604007919801E-3</v>
      </c>
      <c r="M22" s="1015">
        <f t="shared" si="3"/>
        <v>4.7399052018959602E-2</v>
      </c>
    </row>
    <row r="23" spans="1:13" s="10" customFormat="1" ht="12" customHeight="1" x14ac:dyDescent="0.25">
      <c r="A23" s="98"/>
      <c r="B23" s="93" t="s">
        <v>100</v>
      </c>
      <c r="C23" s="100"/>
      <c r="D23" s="100">
        <v>1</v>
      </c>
      <c r="E23" s="95"/>
      <c r="F23" s="95">
        <f>SUM(F19:F22)</f>
        <v>111.47</v>
      </c>
      <c r="G23" s="99"/>
      <c r="H23" s="100">
        <f>D23*10</f>
        <v>10</v>
      </c>
      <c r="I23" s="100"/>
      <c r="J23" s="100">
        <f>D23*100</f>
        <v>100</v>
      </c>
      <c r="L23" s="1015">
        <f>SUM(L19:L22)</f>
        <v>7.2838543229135494E-2</v>
      </c>
      <c r="M23" s="1015">
        <f>SUM(M19:M22)</f>
        <v>6.6880662386752299</v>
      </c>
    </row>
    <row r="24" spans="1:13" s="10" customFormat="1" ht="27.6" customHeight="1" x14ac:dyDescent="0.25">
      <c r="A24" s="1536" t="s">
        <v>35</v>
      </c>
      <c r="B24" s="1536"/>
      <c r="C24" s="90"/>
      <c r="D24" s="90"/>
      <c r="E24" s="13"/>
      <c r="F24" s="13">
        <f>F23</f>
        <v>111.47</v>
      </c>
      <c r="G24" s="371"/>
      <c r="H24" s="371"/>
      <c r="I24" s="21"/>
      <c r="J24" s="13"/>
    </row>
    <row r="25" spans="1:13" s="10" customFormat="1" ht="25.35" customHeight="1" x14ac:dyDescent="0.25">
      <c r="A25" s="1536" t="s">
        <v>36</v>
      </c>
      <c r="B25" s="1536"/>
      <c r="C25" s="90">
        <v>1000</v>
      </c>
      <c r="D25" s="90"/>
      <c r="E25" s="13"/>
      <c r="F25" s="13"/>
      <c r="G25" s="13"/>
      <c r="H25" s="13"/>
      <c r="I25" s="21"/>
      <c r="J25" s="17"/>
    </row>
    <row r="26" spans="1:13" s="10" customFormat="1" ht="25.35" customHeight="1" x14ac:dyDescent="0.25">
      <c r="A26" s="1537" t="s">
        <v>37</v>
      </c>
      <c r="B26" s="1538"/>
      <c r="C26" s="91">
        <v>60</v>
      </c>
      <c r="D26" s="92"/>
      <c r="E26" s="370"/>
      <c r="F26" s="370"/>
      <c r="G26" s="370"/>
      <c r="H26" s="370"/>
      <c r="I26" s="21"/>
      <c r="J26" s="17"/>
    </row>
    <row r="27" spans="1:13" s="10" customFormat="1" ht="15" customHeight="1" x14ac:dyDescent="0.25">
      <c r="A27" s="1539" t="s">
        <v>38</v>
      </c>
      <c r="B27" s="1540"/>
      <c r="C27" s="92">
        <f>C25/C26</f>
        <v>16.667000000000002</v>
      </c>
      <c r="D27" s="92"/>
      <c r="E27" s="370"/>
      <c r="F27" s="370"/>
      <c r="G27" s="370"/>
      <c r="H27" s="370"/>
      <c r="I27" s="21"/>
      <c r="J27" s="17"/>
    </row>
    <row r="28" spans="1:13" ht="16.350000000000001" customHeight="1" x14ac:dyDescent="0.25">
      <c r="A28" s="1541" t="s">
        <v>39</v>
      </c>
      <c r="B28" s="1542"/>
      <c r="C28" s="15" t="s">
        <v>40</v>
      </c>
      <c r="D28" s="102"/>
      <c r="E28" s="102" t="s">
        <v>40</v>
      </c>
      <c r="F28" s="16">
        <f>F24/C27</f>
        <v>6.69</v>
      </c>
      <c r="G28" s="16"/>
      <c r="H28" s="16"/>
      <c r="I28" s="102" t="s">
        <v>40</v>
      </c>
      <c r="J28" s="102" t="s">
        <v>40</v>
      </c>
    </row>
    <row r="29" spans="1:13" ht="23.1" customHeight="1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3" ht="13.95" customHeight="1" x14ac:dyDescent="0.25">
      <c r="A30" s="1193"/>
      <c r="B30" s="1194" t="s">
        <v>49</v>
      </c>
      <c r="C30" s="1198"/>
      <c r="D30" s="1198"/>
      <c r="E30" s="1198"/>
      <c r="F30" s="1198"/>
      <c r="G30" s="1193"/>
      <c r="H30" s="1557">
        <f>'1-бутерброд с маслом'!$H$28</f>
        <v>0</v>
      </c>
      <c r="I30" s="1557"/>
      <c r="J30" s="1557"/>
    </row>
    <row r="31" spans="1:13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3" ht="13.95" customHeight="1" x14ac:dyDescent="0.25">
      <c r="A32" s="1545" t="s">
        <v>327</v>
      </c>
      <c r="B32" s="1545"/>
      <c r="C32" s="1546" t="s">
        <v>328</v>
      </c>
      <c r="D32" s="1546"/>
      <c r="E32" s="1546"/>
      <c r="F32" s="1546"/>
      <c r="G32" s="106"/>
      <c r="H32" s="1531"/>
      <c r="I32" s="1531"/>
      <c r="J32" s="1531"/>
    </row>
    <row r="33" spans="1:10" x14ac:dyDescent="0.25">
      <c r="A33" s="1193"/>
      <c r="B33" s="1193"/>
      <c r="C33" s="1546"/>
      <c r="D33" s="1546"/>
      <c r="E33" s="1546"/>
      <c r="F33" s="1546"/>
      <c r="G33" s="1193"/>
      <c r="H33" s="1531" t="s">
        <v>329</v>
      </c>
      <c r="I33" s="1531"/>
      <c r="J33" s="1531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2:B32"/>
    <mergeCell ref="C32:F33"/>
    <mergeCell ref="H32:J32"/>
    <mergeCell ref="H33:J33"/>
    <mergeCell ref="A25:B25"/>
    <mergeCell ref="A26:B26"/>
    <mergeCell ref="A27:B27"/>
    <mergeCell ref="A28:B28"/>
    <mergeCell ref="H30:J30"/>
    <mergeCell ref="A24:B24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37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235)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329</v>
      </c>
    </row>
    <row r="8" spans="1:10" s="2" customFormat="1" ht="9.6" customHeight="1" x14ac:dyDescent="0.25">
      <c r="A8" s="217"/>
      <c r="B8" s="217"/>
      <c r="C8" s="217"/>
      <c r="D8" s="217"/>
      <c r="E8" s="217"/>
      <c r="F8" s="217"/>
      <c r="G8" s="217"/>
      <c r="H8" s="217"/>
      <c r="I8" s="217"/>
      <c r="J8" s="109"/>
    </row>
    <row r="9" spans="1:10" s="2" customFormat="1" ht="26.1" customHeight="1" x14ac:dyDescent="0.3">
      <c r="A9" s="1550" t="s">
        <v>429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льезон!H14+1</f>
        <v>235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18" t="s">
        <v>92</v>
      </c>
      <c r="D17" s="218" t="s">
        <v>94</v>
      </c>
      <c r="E17" s="218" t="s">
        <v>93</v>
      </c>
      <c r="F17" s="218" t="s">
        <v>23</v>
      </c>
      <c r="G17" s="218" t="s">
        <v>92</v>
      </c>
      <c r="H17" s="218" t="s">
        <v>94</v>
      </c>
      <c r="I17" s="218" t="s">
        <v>92</v>
      </c>
      <c r="J17" s="218" t="s">
        <v>94</v>
      </c>
    </row>
    <row r="18" spans="1:10" ht="9.6" customHeight="1" x14ac:dyDescent="0.25">
      <c r="A18" s="218">
        <v>1</v>
      </c>
      <c r="B18" s="219">
        <v>2</v>
      </c>
      <c r="C18" s="218">
        <v>3</v>
      </c>
      <c r="D18" s="219">
        <v>4</v>
      </c>
      <c r="E18" s="218">
        <v>5</v>
      </c>
      <c r="F18" s="219">
        <v>6</v>
      </c>
      <c r="G18" s="218">
        <v>7</v>
      </c>
      <c r="H18" s="219">
        <v>8</v>
      </c>
      <c r="I18" s="218">
        <v>9</v>
      </c>
      <c r="J18" s="219">
        <v>10</v>
      </c>
    </row>
    <row r="19" spans="1:10" s="10" customFormat="1" ht="12" customHeight="1" x14ac:dyDescent="0.25">
      <c r="A19" s="180">
        <v>1</v>
      </c>
      <c r="B19" s="20" t="s">
        <v>34</v>
      </c>
      <c r="C19" s="111">
        <v>0.75</v>
      </c>
      <c r="D19" s="111">
        <v>0.75</v>
      </c>
      <c r="E19" s="13">
        <f>цены!F20</f>
        <v>80</v>
      </c>
      <c r="F19" s="13">
        <f>C19*E19</f>
        <v>60</v>
      </c>
      <c r="G19" s="97">
        <f t="shared" ref="G19:H23" si="0">C19*10</f>
        <v>7.5</v>
      </c>
      <c r="H19" s="21">
        <f t="shared" si="0"/>
        <v>7.5</v>
      </c>
      <c r="I19" s="21">
        <f t="shared" ref="I19:J23" si="1">C19*100</f>
        <v>75</v>
      </c>
      <c r="J19" s="21">
        <f t="shared" si="1"/>
        <v>75</v>
      </c>
    </row>
    <row r="20" spans="1:10" s="10" customFormat="1" ht="12" customHeight="1" x14ac:dyDescent="0.25">
      <c r="A20" s="180">
        <v>2</v>
      </c>
      <c r="B20" s="20" t="s">
        <v>31</v>
      </c>
      <c r="C20" s="111">
        <v>0.13</v>
      </c>
      <c r="D20" s="111">
        <v>0.13</v>
      </c>
      <c r="E20" s="13">
        <f>цены!F21</f>
        <v>710</v>
      </c>
      <c r="F20" s="13">
        <f>C20*E20</f>
        <v>92.3</v>
      </c>
      <c r="G20" s="97">
        <f t="shared" si="0"/>
        <v>1.3</v>
      </c>
      <c r="H20" s="21">
        <f t="shared" si="0"/>
        <v>1.3</v>
      </c>
      <c r="I20" s="21">
        <f t="shared" si="1"/>
        <v>13</v>
      </c>
      <c r="J20" s="21">
        <f t="shared" si="1"/>
        <v>13</v>
      </c>
    </row>
    <row r="21" spans="1:10" s="10" customFormat="1" ht="12" customHeight="1" x14ac:dyDescent="0.25">
      <c r="A21" s="180">
        <v>3</v>
      </c>
      <c r="B21" s="20" t="s">
        <v>45</v>
      </c>
      <c r="C21" s="111">
        <v>0.13</v>
      </c>
      <c r="D21" s="111">
        <v>0.13</v>
      </c>
      <c r="E21" s="13">
        <f>цены!F74</f>
        <v>36</v>
      </c>
      <c r="F21" s="13">
        <f>C21*E21</f>
        <v>4.68</v>
      </c>
      <c r="G21" s="97">
        <f t="shared" si="0"/>
        <v>1.3</v>
      </c>
      <c r="H21" s="21">
        <f t="shared" si="0"/>
        <v>1.3</v>
      </c>
      <c r="I21" s="21">
        <f t="shared" si="1"/>
        <v>13</v>
      </c>
      <c r="J21" s="21">
        <f t="shared" si="1"/>
        <v>13</v>
      </c>
    </row>
    <row r="22" spans="1:10" s="10" customFormat="1" ht="12" customHeight="1" x14ac:dyDescent="0.25">
      <c r="A22" s="180">
        <v>4</v>
      </c>
      <c r="B22" s="20" t="s">
        <v>84</v>
      </c>
      <c r="C22" s="113">
        <v>2.0000000000000002E-5</v>
      </c>
      <c r="D22" s="113">
        <v>2.0000000000000002E-5</v>
      </c>
      <c r="E22" s="13">
        <f>цены!F100</f>
        <v>1000</v>
      </c>
      <c r="F22" s="13">
        <f>C22*E22</f>
        <v>0.02</v>
      </c>
      <c r="G22" s="97">
        <f t="shared" si="0"/>
        <v>0</v>
      </c>
      <c r="H22" s="21">
        <f t="shared" si="0"/>
        <v>0</v>
      </c>
      <c r="I22" s="21">
        <f t="shared" si="1"/>
        <v>2E-3</v>
      </c>
      <c r="J22" s="21">
        <f t="shared" si="1"/>
        <v>2E-3</v>
      </c>
    </row>
    <row r="23" spans="1:10" s="10" customFormat="1" ht="12" customHeight="1" x14ac:dyDescent="0.25">
      <c r="A23" s="180">
        <v>5</v>
      </c>
      <c r="B23" s="20" t="s">
        <v>33</v>
      </c>
      <c r="C23" s="111">
        <v>8.0000000000000002E-3</v>
      </c>
      <c r="D23" s="111">
        <v>8.0000000000000002E-3</v>
      </c>
      <c r="E23" s="13">
        <f>цены!F110</f>
        <v>24</v>
      </c>
      <c r="F23" s="13">
        <f>C23*E23</f>
        <v>0.19</v>
      </c>
      <c r="G23" s="97">
        <f t="shared" si="0"/>
        <v>0.08</v>
      </c>
      <c r="H23" s="21">
        <f t="shared" si="0"/>
        <v>0.08</v>
      </c>
      <c r="I23" s="21">
        <f t="shared" si="1"/>
        <v>0.8</v>
      </c>
      <c r="J23" s="21">
        <f t="shared" si="1"/>
        <v>0.8</v>
      </c>
    </row>
    <row r="24" spans="1:10" s="10" customFormat="1" ht="12" customHeight="1" x14ac:dyDescent="0.25">
      <c r="A24" s="98"/>
      <c r="B24" s="93" t="s">
        <v>99</v>
      </c>
      <c r="C24" s="112"/>
      <c r="D24" s="112">
        <v>1</v>
      </c>
      <c r="E24" s="95"/>
      <c r="F24" s="95">
        <f>SUM(F19:F23)</f>
        <v>157.19</v>
      </c>
      <c r="G24" s="99"/>
      <c r="H24" s="100">
        <f>D24*10</f>
        <v>10</v>
      </c>
      <c r="I24" s="100"/>
      <c r="J24" s="100">
        <f>D24*100</f>
        <v>100</v>
      </c>
    </row>
    <row r="25" spans="1:10" s="10" customFormat="1" ht="12" customHeight="1" x14ac:dyDescent="0.25">
      <c r="A25" s="98"/>
      <c r="B25" s="93" t="s">
        <v>100</v>
      </c>
      <c r="C25" s="112"/>
      <c r="D25" s="112">
        <v>1</v>
      </c>
      <c r="E25" s="95"/>
      <c r="F25" s="95">
        <f>F24</f>
        <v>157.19</v>
      </c>
      <c r="G25" s="99"/>
      <c r="H25" s="100">
        <f>D25*10</f>
        <v>10</v>
      </c>
      <c r="I25" s="100"/>
      <c r="J25" s="100">
        <f>D25*100</f>
        <v>100</v>
      </c>
    </row>
    <row r="26" spans="1:10" s="10" customFormat="1" ht="27.6" customHeight="1" x14ac:dyDescent="0.25">
      <c r="A26" s="1536" t="s">
        <v>35</v>
      </c>
      <c r="B26" s="1536"/>
      <c r="C26" s="90"/>
      <c r="D26" s="90"/>
      <c r="E26" s="13"/>
      <c r="F26" s="13">
        <f>F25</f>
        <v>157.19</v>
      </c>
      <c r="G26" s="220"/>
      <c r="H26" s="220"/>
      <c r="I26" s="21"/>
      <c r="J26" s="13"/>
    </row>
    <row r="27" spans="1:10" s="10" customFormat="1" ht="25.35" customHeight="1" x14ac:dyDescent="0.25">
      <c r="A27" s="1536" t="s">
        <v>36</v>
      </c>
      <c r="B27" s="1536"/>
      <c r="C27" s="90">
        <v>1000</v>
      </c>
      <c r="D27" s="90"/>
      <c r="E27" s="13"/>
      <c r="F27" s="13"/>
      <c r="G27" s="13"/>
      <c r="H27" s="13"/>
      <c r="I27" s="21"/>
      <c r="J27" s="17"/>
    </row>
    <row r="28" spans="1:10" s="10" customFormat="1" ht="25.35" customHeight="1" x14ac:dyDescent="0.25">
      <c r="A28" s="1537" t="s">
        <v>37</v>
      </c>
      <c r="B28" s="1538"/>
      <c r="C28" s="91">
        <v>1000</v>
      </c>
      <c r="D28" s="92"/>
      <c r="E28" s="219"/>
      <c r="F28" s="219"/>
      <c r="G28" s="219"/>
      <c r="H28" s="219"/>
      <c r="I28" s="21"/>
      <c r="J28" s="17"/>
    </row>
    <row r="29" spans="1:10" s="10" customFormat="1" ht="15" customHeight="1" x14ac:dyDescent="0.25">
      <c r="A29" s="1539" t="s">
        <v>38</v>
      </c>
      <c r="B29" s="1540"/>
      <c r="C29" s="92">
        <f>C27/C28</f>
        <v>1</v>
      </c>
      <c r="D29" s="92"/>
      <c r="E29" s="219"/>
      <c r="F29" s="219"/>
      <c r="G29" s="219"/>
      <c r="H29" s="219"/>
      <c r="I29" s="21"/>
      <c r="J29" s="17"/>
    </row>
    <row r="30" spans="1:10" ht="16.350000000000001" customHeight="1" x14ac:dyDescent="0.25">
      <c r="A30" s="1541" t="s">
        <v>39</v>
      </c>
      <c r="B30" s="1542"/>
      <c r="C30" s="15" t="s">
        <v>40</v>
      </c>
      <c r="D30" s="102"/>
      <c r="E30" s="102" t="s">
        <v>40</v>
      </c>
      <c r="F30" s="16">
        <f>F26/C29</f>
        <v>157.19</v>
      </c>
      <c r="G30" s="16"/>
      <c r="H30" s="16"/>
      <c r="I30" s="102" t="s">
        <v>40</v>
      </c>
      <c r="J30" s="102" t="s">
        <v>40</v>
      </c>
    </row>
    <row r="31" spans="1:10" ht="23.1" customHeight="1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ht="13.95" customHeight="1" x14ac:dyDescent="0.25">
      <c r="A32" s="1193"/>
      <c r="B32" s="1194" t="s">
        <v>49</v>
      </c>
      <c r="C32" s="1198"/>
      <c r="D32" s="1198"/>
      <c r="E32" s="1198"/>
      <c r="F32" s="1198"/>
      <c r="G32" s="1193"/>
      <c r="H32" s="1557">
        <f>'1-бутерброд с маслом'!$H$28</f>
        <v>0</v>
      </c>
      <c r="I32" s="1557"/>
      <c r="J32" s="1557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545" t="s">
        <v>327</v>
      </c>
      <c r="B34" s="1545"/>
      <c r="C34" s="1546" t="s">
        <v>328</v>
      </c>
      <c r="D34" s="1546"/>
      <c r="E34" s="1546"/>
      <c r="F34" s="1546"/>
      <c r="G34" s="106"/>
      <c r="H34" s="1531"/>
      <c r="I34" s="1531"/>
      <c r="J34" s="1531"/>
    </row>
    <row r="35" spans="1:10" x14ac:dyDescent="0.25">
      <c r="A35" s="1193"/>
      <c r="B35" s="1193"/>
      <c r="C35" s="1546"/>
      <c r="D35" s="1546"/>
      <c r="E35" s="1546"/>
      <c r="F35" s="1546"/>
      <c r="G35" s="1193"/>
      <c r="H35" s="1531" t="s">
        <v>329</v>
      </c>
      <c r="I35" s="1531"/>
      <c r="J35" s="1531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4:B34"/>
    <mergeCell ref="C34:F35"/>
    <mergeCell ref="H34:J34"/>
    <mergeCell ref="H35:J35"/>
    <mergeCell ref="A27:B27"/>
    <mergeCell ref="A28:B28"/>
    <mergeCell ref="A29:B29"/>
    <mergeCell ref="A30:B30"/>
    <mergeCell ref="H32:J32"/>
    <mergeCell ref="A26:B26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37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236)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330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76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'329 соус молочный густой'!H14+1</f>
        <v>236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76">
        <v>3</v>
      </c>
      <c r="D18" s="177">
        <v>4</v>
      </c>
      <c r="E18" s="176">
        <v>5</v>
      </c>
      <c r="F18" s="177">
        <v>6</v>
      </c>
      <c r="G18" s="176">
        <v>7</v>
      </c>
      <c r="H18" s="177">
        <v>8</v>
      </c>
      <c r="I18" s="176">
        <v>9</v>
      </c>
      <c r="J18" s="177">
        <v>10</v>
      </c>
    </row>
    <row r="19" spans="1:10" s="10" customFormat="1" ht="12" customHeight="1" x14ac:dyDescent="0.25">
      <c r="A19" s="180">
        <v>1</v>
      </c>
      <c r="B19" s="20" t="s">
        <v>51</v>
      </c>
      <c r="C19" s="111">
        <v>0.25</v>
      </c>
      <c r="D19" s="111">
        <v>0.25</v>
      </c>
      <c r="E19" s="13">
        <f>цены!F24</f>
        <v>234</v>
      </c>
      <c r="F19" s="13">
        <f>C19*E19</f>
        <v>58.5</v>
      </c>
      <c r="G19" s="97">
        <f t="shared" ref="G19:H23" si="0">C19*10</f>
        <v>2.5</v>
      </c>
      <c r="H19" s="21">
        <f t="shared" si="0"/>
        <v>2.5</v>
      </c>
      <c r="I19" s="21">
        <f t="shared" ref="I19:J23" si="1">C19*100</f>
        <v>25</v>
      </c>
      <c r="J19" s="21">
        <f t="shared" si="1"/>
        <v>25</v>
      </c>
    </row>
    <row r="20" spans="1:10" s="10" customFormat="1" ht="12" customHeight="1" x14ac:dyDescent="0.25">
      <c r="A20" s="180">
        <v>2</v>
      </c>
      <c r="B20" s="20" t="s">
        <v>45</v>
      </c>
      <c r="C20" s="111">
        <v>7.4999999999999997E-2</v>
      </c>
      <c r="D20" s="111">
        <v>7.4999999999999997E-2</v>
      </c>
      <c r="E20" s="13">
        <f>цены!F74</f>
        <v>36</v>
      </c>
      <c r="F20" s="13">
        <f>C20*E20</f>
        <v>2.7</v>
      </c>
      <c r="G20" s="97">
        <f t="shared" si="0"/>
        <v>0.75</v>
      </c>
      <c r="H20" s="21">
        <f t="shared" si="0"/>
        <v>0.75</v>
      </c>
      <c r="I20" s="21">
        <f t="shared" si="1"/>
        <v>7.5</v>
      </c>
      <c r="J20" s="21">
        <f t="shared" si="1"/>
        <v>7.5</v>
      </c>
    </row>
    <row r="21" spans="1:10" s="10" customFormat="1" ht="12" customHeight="1" x14ac:dyDescent="0.25">
      <c r="A21" s="180">
        <v>3</v>
      </c>
      <c r="B21" s="20" t="s">
        <v>28</v>
      </c>
      <c r="C21" s="111">
        <v>0.75</v>
      </c>
      <c r="D21" s="111">
        <v>0.75</v>
      </c>
      <c r="E21" s="13"/>
      <c r="F21" s="13">
        <f>C21*E21</f>
        <v>0</v>
      </c>
      <c r="G21" s="97">
        <f t="shared" si="0"/>
        <v>7.5</v>
      </c>
      <c r="H21" s="21">
        <f t="shared" si="0"/>
        <v>7.5</v>
      </c>
      <c r="I21" s="21">
        <f t="shared" si="1"/>
        <v>75</v>
      </c>
      <c r="J21" s="21">
        <f t="shared" si="1"/>
        <v>75</v>
      </c>
    </row>
    <row r="22" spans="1:10" s="10" customFormat="1" ht="12" customHeight="1" x14ac:dyDescent="0.25">
      <c r="A22" s="180">
        <v>4</v>
      </c>
      <c r="B22" s="20" t="s">
        <v>84</v>
      </c>
      <c r="C22" s="113">
        <v>2.0000000000000002E-5</v>
      </c>
      <c r="D22" s="113">
        <v>2.0000000000000002E-5</v>
      </c>
      <c r="E22" s="13">
        <f>цены!F100</f>
        <v>1000</v>
      </c>
      <c r="F22" s="13">
        <f>C22*E22</f>
        <v>0.02</v>
      </c>
      <c r="G22" s="97">
        <f t="shared" si="0"/>
        <v>0</v>
      </c>
      <c r="H22" s="21">
        <f t="shared" si="0"/>
        <v>0</v>
      </c>
      <c r="I22" s="21">
        <f t="shared" si="1"/>
        <v>2E-3</v>
      </c>
      <c r="J22" s="21">
        <f t="shared" si="1"/>
        <v>2E-3</v>
      </c>
    </row>
    <row r="23" spans="1:10" s="10" customFormat="1" ht="12" customHeight="1" x14ac:dyDescent="0.25">
      <c r="A23" s="180">
        <v>5</v>
      </c>
      <c r="B23" s="20" t="s">
        <v>33</v>
      </c>
      <c r="C23" s="111">
        <v>8.0000000000000002E-3</v>
      </c>
      <c r="D23" s="111">
        <v>8.0000000000000002E-3</v>
      </c>
      <c r="E23" s="13">
        <f>цены!F110</f>
        <v>24</v>
      </c>
      <c r="F23" s="13">
        <f>C23*E23</f>
        <v>0.19</v>
      </c>
      <c r="G23" s="97">
        <f t="shared" si="0"/>
        <v>0.08</v>
      </c>
      <c r="H23" s="21">
        <f t="shared" si="0"/>
        <v>0.08</v>
      </c>
      <c r="I23" s="21">
        <f t="shared" si="1"/>
        <v>0.8</v>
      </c>
      <c r="J23" s="21">
        <f t="shared" si="1"/>
        <v>0.8</v>
      </c>
    </row>
    <row r="24" spans="1:10" s="10" customFormat="1" ht="12" customHeight="1" x14ac:dyDescent="0.25">
      <c r="A24" s="98"/>
      <c r="B24" s="93" t="s">
        <v>99</v>
      </c>
      <c r="C24" s="112"/>
      <c r="D24" s="112">
        <v>1</v>
      </c>
      <c r="E24" s="95"/>
      <c r="F24" s="95">
        <f>SUM(F19:F23)</f>
        <v>61.41</v>
      </c>
      <c r="G24" s="99"/>
      <c r="H24" s="100">
        <f>D24*10</f>
        <v>10</v>
      </c>
      <c r="I24" s="100"/>
      <c r="J24" s="100">
        <f>D24*100</f>
        <v>100</v>
      </c>
    </row>
    <row r="25" spans="1:10" s="10" customFormat="1" ht="12" customHeight="1" x14ac:dyDescent="0.25">
      <c r="A25" s="98"/>
      <c r="B25" s="93" t="s">
        <v>100</v>
      </c>
      <c r="C25" s="112"/>
      <c r="D25" s="112">
        <v>1</v>
      </c>
      <c r="E25" s="95"/>
      <c r="F25" s="95">
        <f>F24</f>
        <v>61.41</v>
      </c>
      <c r="G25" s="99"/>
      <c r="H25" s="100">
        <f>D25*10</f>
        <v>10</v>
      </c>
      <c r="I25" s="100"/>
      <c r="J25" s="100">
        <f>D25*100</f>
        <v>100</v>
      </c>
    </row>
    <row r="26" spans="1:10" s="10" customFormat="1" ht="27.6" customHeight="1" x14ac:dyDescent="0.25">
      <c r="A26" s="1536" t="s">
        <v>35</v>
      </c>
      <c r="B26" s="1536"/>
      <c r="C26" s="90"/>
      <c r="D26" s="90"/>
      <c r="E26" s="13"/>
      <c r="F26" s="13">
        <f>F25</f>
        <v>61.41</v>
      </c>
      <c r="G26" s="14"/>
      <c r="H26" s="14"/>
      <c r="I26" s="21"/>
      <c r="J26" s="13"/>
    </row>
    <row r="27" spans="1:10" s="10" customFormat="1" ht="25.35" customHeight="1" x14ac:dyDescent="0.25">
      <c r="A27" s="1536" t="s">
        <v>36</v>
      </c>
      <c r="B27" s="1536"/>
      <c r="C27" s="90">
        <v>1000</v>
      </c>
      <c r="D27" s="90"/>
      <c r="E27" s="13"/>
      <c r="F27" s="13"/>
      <c r="G27" s="13"/>
      <c r="H27" s="13"/>
      <c r="I27" s="21"/>
      <c r="J27" s="17"/>
    </row>
    <row r="28" spans="1:10" s="10" customFormat="1" ht="25.35" customHeight="1" x14ac:dyDescent="0.25">
      <c r="A28" s="1537" t="s">
        <v>37</v>
      </c>
      <c r="B28" s="1538"/>
      <c r="C28" s="91">
        <v>1000</v>
      </c>
      <c r="D28" s="92"/>
      <c r="E28" s="5"/>
      <c r="F28" s="5"/>
      <c r="G28" s="5"/>
      <c r="H28" s="5"/>
      <c r="I28" s="21"/>
      <c r="J28" s="17"/>
    </row>
    <row r="29" spans="1:10" s="10" customFormat="1" ht="15" customHeight="1" x14ac:dyDescent="0.25">
      <c r="A29" s="1539" t="s">
        <v>38</v>
      </c>
      <c r="B29" s="1540"/>
      <c r="C29" s="92">
        <f>C27/C28</f>
        <v>1</v>
      </c>
      <c r="D29" s="92"/>
      <c r="E29" s="5"/>
      <c r="F29" s="5"/>
      <c r="G29" s="5"/>
      <c r="H29" s="5"/>
      <c r="I29" s="21"/>
      <c r="J29" s="17"/>
    </row>
    <row r="30" spans="1:10" ht="16.350000000000001" customHeight="1" x14ac:dyDescent="0.25">
      <c r="A30" s="1541" t="s">
        <v>39</v>
      </c>
      <c r="B30" s="1542"/>
      <c r="C30" s="15" t="s">
        <v>40</v>
      </c>
      <c r="D30" s="102"/>
      <c r="E30" s="102" t="s">
        <v>40</v>
      </c>
      <c r="F30" s="16">
        <f>F26/C29</f>
        <v>61.41</v>
      </c>
      <c r="G30" s="16"/>
      <c r="H30" s="16"/>
      <c r="I30" s="102" t="s">
        <v>40</v>
      </c>
      <c r="J30" s="102" t="s">
        <v>40</v>
      </c>
    </row>
    <row r="31" spans="1:10" ht="23.1" customHeight="1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ht="13.95" customHeight="1" x14ac:dyDescent="0.25">
      <c r="A32" s="1193"/>
      <c r="B32" s="1194" t="s">
        <v>49</v>
      </c>
      <c r="C32" s="1198"/>
      <c r="D32" s="1198"/>
      <c r="E32" s="1198"/>
      <c r="F32" s="1198"/>
      <c r="G32" s="1193"/>
      <c r="H32" s="1557">
        <f>'1-бутерброд с маслом'!$H$28</f>
        <v>0</v>
      </c>
      <c r="I32" s="1557"/>
      <c r="J32" s="1557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545" t="s">
        <v>327</v>
      </c>
      <c r="B34" s="1545"/>
      <c r="C34" s="1546" t="s">
        <v>328</v>
      </c>
      <c r="D34" s="1546"/>
      <c r="E34" s="1546"/>
      <c r="F34" s="1546"/>
      <c r="G34" s="106"/>
      <c r="H34" s="1531"/>
      <c r="I34" s="1531"/>
      <c r="J34" s="1531"/>
    </row>
    <row r="35" spans="1:10" x14ac:dyDescent="0.25">
      <c r="A35" s="1193"/>
      <c r="B35" s="1193"/>
      <c r="C35" s="1546"/>
      <c r="D35" s="1546"/>
      <c r="E35" s="1546"/>
      <c r="F35" s="1546"/>
      <c r="G35" s="1193"/>
      <c r="H35" s="1531" t="s">
        <v>329</v>
      </c>
      <c r="I35" s="1531"/>
      <c r="J35" s="1531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4:B34"/>
    <mergeCell ref="C34:F35"/>
    <mergeCell ref="H34:J34"/>
    <mergeCell ref="H35:J35"/>
    <mergeCell ref="A27:B27"/>
    <mergeCell ref="A28:B28"/>
    <mergeCell ref="A29:B29"/>
    <mergeCell ref="A30:B30"/>
    <mergeCell ref="H32:J32"/>
    <mergeCell ref="A26:B26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37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88671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237)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330</v>
      </c>
    </row>
    <row r="8" spans="1:10" s="2" customFormat="1" ht="9.6" customHeight="1" x14ac:dyDescent="0.25">
      <c r="A8" s="400"/>
      <c r="B8" s="400"/>
      <c r="C8" s="400"/>
      <c r="D8" s="400"/>
      <c r="E8" s="400"/>
      <c r="F8" s="400"/>
      <c r="G8" s="400"/>
      <c r="H8" s="400"/>
      <c r="I8" s="400"/>
      <c r="J8" s="109"/>
    </row>
    <row r="9" spans="1:10" s="2" customFormat="1" ht="26.1" customHeight="1" x14ac:dyDescent="0.3">
      <c r="A9" s="1550" t="s">
        <v>76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'330-соус сметанный'!H14+1</f>
        <v>237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397" t="s">
        <v>92</v>
      </c>
      <c r="D17" s="397" t="s">
        <v>94</v>
      </c>
      <c r="E17" s="397" t="s">
        <v>93</v>
      </c>
      <c r="F17" s="397" t="s">
        <v>23</v>
      </c>
      <c r="G17" s="397" t="s">
        <v>92</v>
      </c>
      <c r="H17" s="397" t="s">
        <v>94</v>
      </c>
      <c r="I17" s="397" t="s">
        <v>92</v>
      </c>
      <c r="J17" s="397" t="s">
        <v>94</v>
      </c>
    </row>
    <row r="18" spans="1:10" ht="9.6" customHeight="1" x14ac:dyDescent="0.25">
      <c r="A18" s="397">
        <v>1</v>
      </c>
      <c r="B18" s="399">
        <v>2</v>
      </c>
      <c r="C18" s="397">
        <v>3</v>
      </c>
      <c r="D18" s="399">
        <v>4</v>
      </c>
      <c r="E18" s="397">
        <v>5</v>
      </c>
      <c r="F18" s="399">
        <v>6</v>
      </c>
      <c r="G18" s="397">
        <v>7</v>
      </c>
      <c r="H18" s="399">
        <v>8</v>
      </c>
      <c r="I18" s="397">
        <v>9</v>
      </c>
      <c r="J18" s="399">
        <v>10</v>
      </c>
    </row>
    <row r="19" spans="1:10" s="10" customFormat="1" ht="12" customHeight="1" x14ac:dyDescent="0.25">
      <c r="A19" s="180">
        <v>1</v>
      </c>
      <c r="B19" s="20" t="s">
        <v>51</v>
      </c>
      <c r="C19" s="111">
        <v>0.25</v>
      </c>
      <c r="D19" s="111">
        <v>0.25</v>
      </c>
      <c r="E19" s="13">
        <f>цены!F24</f>
        <v>234</v>
      </c>
      <c r="F19" s="13">
        <f>C19*E19</f>
        <v>58.5</v>
      </c>
      <c r="G19" s="97">
        <f t="shared" ref="G19:H23" si="0">C19*10</f>
        <v>2.5</v>
      </c>
      <c r="H19" s="21">
        <f t="shared" si="0"/>
        <v>2.5</v>
      </c>
      <c r="I19" s="21">
        <f t="shared" ref="I19:J23" si="1">C19*100</f>
        <v>25</v>
      </c>
      <c r="J19" s="21">
        <f t="shared" si="1"/>
        <v>25</v>
      </c>
    </row>
    <row r="20" spans="1:10" s="10" customFormat="1" ht="12" customHeight="1" x14ac:dyDescent="0.25">
      <c r="A20" s="180">
        <v>2</v>
      </c>
      <c r="B20" s="20" t="s">
        <v>45</v>
      </c>
      <c r="C20" s="111">
        <v>7.4999999999999997E-2</v>
      </c>
      <c r="D20" s="111">
        <v>7.4999999999999997E-2</v>
      </c>
      <c r="E20" s="13">
        <f>цены!F74</f>
        <v>36</v>
      </c>
      <c r="F20" s="13">
        <f>C20*E20</f>
        <v>2.7</v>
      </c>
      <c r="G20" s="97">
        <f t="shared" si="0"/>
        <v>0.75</v>
      </c>
      <c r="H20" s="21">
        <f t="shared" si="0"/>
        <v>0.75</v>
      </c>
      <c r="I20" s="21">
        <f t="shared" si="1"/>
        <v>7.5</v>
      </c>
      <c r="J20" s="21">
        <f t="shared" si="1"/>
        <v>7.5</v>
      </c>
    </row>
    <row r="21" spans="1:10" s="10" customFormat="1" ht="12" customHeight="1" x14ac:dyDescent="0.25">
      <c r="A21" s="180">
        <v>3</v>
      </c>
      <c r="B21" s="20" t="s">
        <v>28</v>
      </c>
      <c r="C21" s="111">
        <v>0.75</v>
      </c>
      <c r="D21" s="111">
        <v>0.75</v>
      </c>
      <c r="E21" s="13"/>
      <c r="F21" s="13">
        <f>C21*E21</f>
        <v>0</v>
      </c>
      <c r="G21" s="97">
        <f t="shared" si="0"/>
        <v>7.5</v>
      </c>
      <c r="H21" s="21">
        <f t="shared" si="0"/>
        <v>7.5</v>
      </c>
      <c r="I21" s="21">
        <f t="shared" si="1"/>
        <v>75</v>
      </c>
      <c r="J21" s="21">
        <f t="shared" si="1"/>
        <v>75</v>
      </c>
    </row>
    <row r="22" spans="1:10" s="10" customFormat="1" ht="12" customHeight="1" x14ac:dyDescent="0.25">
      <c r="A22" s="180">
        <v>4</v>
      </c>
      <c r="B22" s="20" t="s">
        <v>84</v>
      </c>
      <c r="C22" s="113">
        <v>2.0000000000000002E-5</v>
      </c>
      <c r="D22" s="113">
        <v>2.0000000000000002E-5</v>
      </c>
      <c r="E22" s="13">
        <f>цены!F100</f>
        <v>1000</v>
      </c>
      <c r="F22" s="13">
        <f>C22*E22</f>
        <v>0.02</v>
      </c>
      <c r="G22" s="97">
        <f t="shared" si="0"/>
        <v>0</v>
      </c>
      <c r="H22" s="21">
        <f t="shared" si="0"/>
        <v>0</v>
      </c>
      <c r="I22" s="21">
        <f t="shared" si="1"/>
        <v>2E-3</v>
      </c>
      <c r="J22" s="21">
        <f t="shared" si="1"/>
        <v>2E-3</v>
      </c>
    </row>
    <row r="23" spans="1:10" s="10" customFormat="1" ht="12" customHeight="1" x14ac:dyDescent="0.25">
      <c r="A23" s="180">
        <v>5</v>
      </c>
      <c r="B23" s="20" t="s">
        <v>33</v>
      </c>
      <c r="C23" s="111">
        <v>8.0000000000000002E-3</v>
      </c>
      <c r="D23" s="111">
        <v>8.0000000000000002E-3</v>
      </c>
      <c r="E23" s="13">
        <f>цены!F110</f>
        <v>24</v>
      </c>
      <c r="F23" s="13">
        <f>C23*E23</f>
        <v>0.19</v>
      </c>
      <c r="G23" s="97">
        <f t="shared" si="0"/>
        <v>0.08</v>
      </c>
      <c r="H23" s="21">
        <f t="shared" si="0"/>
        <v>0.08</v>
      </c>
      <c r="I23" s="21">
        <f t="shared" si="1"/>
        <v>0.8</v>
      </c>
      <c r="J23" s="21">
        <f t="shared" si="1"/>
        <v>0.8</v>
      </c>
    </row>
    <row r="24" spans="1:10" s="10" customFormat="1" ht="12" customHeight="1" x14ac:dyDescent="0.25">
      <c r="A24" s="98"/>
      <c r="B24" s="93" t="s">
        <v>99</v>
      </c>
      <c r="C24" s="112"/>
      <c r="D24" s="112">
        <v>1</v>
      </c>
      <c r="E24" s="95"/>
      <c r="F24" s="95">
        <f>SUM(F19:F23)</f>
        <v>61.41</v>
      </c>
      <c r="G24" s="99"/>
      <c r="H24" s="100">
        <f>D24*10</f>
        <v>10</v>
      </c>
      <c r="I24" s="100"/>
      <c r="J24" s="100">
        <f>D24*100</f>
        <v>100</v>
      </c>
    </row>
    <row r="25" spans="1:10" s="10" customFormat="1" ht="12" customHeight="1" x14ac:dyDescent="0.25">
      <c r="A25" s="98"/>
      <c r="B25" s="93" t="s">
        <v>100</v>
      </c>
      <c r="C25" s="112"/>
      <c r="D25" s="112">
        <v>1</v>
      </c>
      <c r="E25" s="95"/>
      <c r="F25" s="95">
        <f>F24</f>
        <v>61.41</v>
      </c>
      <c r="G25" s="99"/>
      <c r="H25" s="100">
        <f>D25*10</f>
        <v>10</v>
      </c>
      <c r="I25" s="100"/>
      <c r="J25" s="100">
        <f>D25*100</f>
        <v>100</v>
      </c>
    </row>
    <row r="26" spans="1:10" s="10" customFormat="1" ht="27.6" customHeight="1" x14ac:dyDescent="0.25">
      <c r="A26" s="1536" t="s">
        <v>35</v>
      </c>
      <c r="B26" s="1536"/>
      <c r="C26" s="90"/>
      <c r="D26" s="90"/>
      <c r="E26" s="13"/>
      <c r="F26" s="13">
        <f>F25</f>
        <v>61.41</v>
      </c>
      <c r="G26" s="398"/>
      <c r="H26" s="398"/>
      <c r="I26" s="21"/>
      <c r="J26" s="13"/>
    </row>
    <row r="27" spans="1:10" s="10" customFormat="1" ht="25.35" customHeight="1" x14ac:dyDescent="0.25">
      <c r="A27" s="1536" t="s">
        <v>36</v>
      </c>
      <c r="B27" s="1536"/>
      <c r="C27" s="90">
        <v>1000</v>
      </c>
      <c r="D27" s="90"/>
      <c r="E27" s="13"/>
      <c r="F27" s="13"/>
      <c r="G27" s="13"/>
      <c r="H27" s="13"/>
      <c r="I27" s="21"/>
      <c r="J27" s="17"/>
    </row>
    <row r="28" spans="1:10" s="10" customFormat="1" ht="25.35" customHeight="1" x14ac:dyDescent="0.25">
      <c r="A28" s="1537" t="s">
        <v>37</v>
      </c>
      <c r="B28" s="1538"/>
      <c r="C28" s="91">
        <v>100</v>
      </c>
      <c r="D28" s="92"/>
      <c r="E28" s="399"/>
      <c r="F28" s="399"/>
      <c r="G28" s="399"/>
      <c r="H28" s="399"/>
      <c r="I28" s="21"/>
      <c r="J28" s="17"/>
    </row>
    <row r="29" spans="1:10" s="10" customFormat="1" ht="15" customHeight="1" x14ac:dyDescent="0.25">
      <c r="A29" s="1539" t="s">
        <v>38</v>
      </c>
      <c r="B29" s="1540"/>
      <c r="C29" s="92">
        <f>C27/C28</f>
        <v>10</v>
      </c>
      <c r="D29" s="92"/>
      <c r="E29" s="399"/>
      <c r="F29" s="399"/>
      <c r="G29" s="399"/>
      <c r="H29" s="399"/>
      <c r="I29" s="21"/>
      <c r="J29" s="17"/>
    </row>
    <row r="30" spans="1:10" ht="16.350000000000001" customHeight="1" x14ac:dyDescent="0.25">
      <c r="A30" s="1541" t="s">
        <v>39</v>
      </c>
      <c r="B30" s="1542"/>
      <c r="C30" s="15" t="s">
        <v>40</v>
      </c>
      <c r="D30" s="102"/>
      <c r="E30" s="102" t="s">
        <v>40</v>
      </c>
      <c r="F30" s="16">
        <f>F26/C29</f>
        <v>6.14</v>
      </c>
      <c r="G30" s="16"/>
      <c r="H30" s="16"/>
      <c r="I30" s="102" t="s">
        <v>40</v>
      </c>
      <c r="J30" s="102" t="s">
        <v>40</v>
      </c>
    </row>
    <row r="31" spans="1:10" ht="23.1" customHeight="1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ht="13.95" customHeight="1" x14ac:dyDescent="0.25">
      <c r="A32" s="1193"/>
      <c r="B32" s="1194" t="s">
        <v>49</v>
      </c>
      <c r="C32" s="1198"/>
      <c r="D32" s="1198"/>
      <c r="E32" s="1198"/>
      <c r="F32" s="1198"/>
      <c r="G32" s="1193"/>
      <c r="H32" s="1557">
        <f>'1-бутерброд с маслом'!$H$28</f>
        <v>0</v>
      </c>
      <c r="I32" s="1557"/>
      <c r="J32" s="1557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545" t="s">
        <v>327</v>
      </c>
      <c r="B34" s="1545"/>
      <c r="C34" s="1546" t="s">
        <v>328</v>
      </c>
      <c r="D34" s="1546"/>
      <c r="E34" s="1546"/>
      <c r="F34" s="1546"/>
      <c r="G34" s="106"/>
      <c r="H34" s="1531"/>
      <c r="I34" s="1531"/>
      <c r="J34" s="1531"/>
    </row>
    <row r="35" spans="1:10" x14ac:dyDescent="0.25">
      <c r="A35" s="1193"/>
      <c r="B35" s="1193"/>
      <c r="C35" s="1546"/>
      <c r="D35" s="1546"/>
      <c r="E35" s="1546"/>
      <c r="F35" s="1546"/>
      <c r="G35" s="1193"/>
      <c r="H35" s="1531" t="s">
        <v>329</v>
      </c>
      <c r="I35" s="1531"/>
      <c r="J35" s="1531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</sheetData>
  <mergeCells count="28">
    <mergeCell ref="H32:J32"/>
    <mergeCell ref="A13:G13"/>
    <mergeCell ref="A27:B27"/>
    <mergeCell ref="A28:B28"/>
    <mergeCell ref="A29:B29"/>
    <mergeCell ref="A30:B30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4:B34"/>
    <mergeCell ref="C34:F35"/>
    <mergeCell ref="H34:J34"/>
    <mergeCell ref="H35:J35"/>
    <mergeCell ref="H5:I5"/>
    <mergeCell ref="A6:G6"/>
    <mergeCell ref="A7:I7"/>
    <mergeCell ref="A26:B26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37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88671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238)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330</v>
      </c>
    </row>
    <row r="8" spans="1:10" s="2" customFormat="1" ht="9.6" customHeight="1" x14ac:dyDescent="0.25">
      <c r="A8" s="400"/>
      <c r="B8" s="400"/>
      <c r="C8" s="400"/>
      <c r="D8" s="400"/>
      <c r="E8" s="400"/>
      <c r="F8" s="400"/>
      <c r="G8" s="400"/>
      <c r="H8" s="400"/>
      <c r="I8" s="400"/>
      <c r="J8" s="109"/>
    </row>
    <row r="9" spans="1:10" s="2" customFormat="1" ht="26.1" customHeight="1" x14ac:dyDescent="0.3">
      <c r="A9" s="1550" t="s">
        <v>76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'330-соус сметанный (2)'!H14+1</f>
        <v>238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397" t="s">
        <v>92</v>
      </c>
      <c r="D17" s="397" t="s">
        <v>94</v>
      </c>
      <c r="E17" s="397" t="s">
        <v>93</v>
      </c>
      <c r="F17" s="397" t="s">
        <v>23</v>
      </c>
      <c r="G17" s="397" t="s">
        <v>92</v>
      </c>
      <c r="H17" s="397" t="s">
        <v>94</v>
      </c>
      <c r="I17" s="397" t="s">
        <v>92</v>
      </c>
      <c r="J17" s="397" t="s">
        <v>94</v>
      </c>
    </row>
    <row r="18" spans="1:10" ht="9.6" customHeight="1" x14ac:dyDescent="0.25">
      <c r="A18" s="397">
        <v>1</v>
      </c>
      <c r="B18" s="399">
        <v>2</v>
      </c>
      <c r="C18" s="397">
        <v>3</v>
      </c>
      <c r="D18" s="399">
        <v>4</v>
      </c>
      <c r="E18" s="397">
        <v>5</v>
      </c>
      <c r="F18" s="399">
        <v>6</v>
      </c>
      <c r="G18" s="397">
        <v>7</v>
      </c>
      <c r="H18" s="399">
        <v>8</v>
      </c>
      <c r="I18" s="397">
        <v>9</v>
      </c>
      <c r="J18" s="399">
        <v>10</v>
      </c>
    </row>
    <row r="19" spans="1:10" s="10" customFormat="1" ht="12" customHeight="1" x14ac:dyDescent="0.25">
      <c r="A19" s="180">
        <v>1</v>
      </c>
      <c r="B19" s="20" t="s">
        <v>51</v>
      </c>
      <c r="C19" s="111">
        <v>0.25</v>
      </c>
      <c r="D19" s="111">
        <v>0.25</v>
      </c>
      <c r="E19" s="13">
        <f>цены!F24</f>
        <v>234</v>
      </c>
      <c r="F19" s="13">
        <f>C19*E19</f>
        <v>58.5</v>
      </c>
      <c r="G19" s="97">
        <f t="shared" ref="G19:H23" si="0">C19*10</f>
        <v>2.5</v>
      </c>
      <c r="H19" s="21">
        <f t="shared" si="0"/>
        <v>2.5</v>
      </c>
      <c r="I19" s="21">
        <f t="shared" ref="I19:J23" si="1">C19*100</f>
        <v>25</v>
      </c>
      <c r="J19" s="21">
        <f t="shared" si="1"/>
        <v>25</v>
      </c>
    </row>
    <row r="20" spans="1:10" s="10" customFormat="1" ht="12" customHeight="1" x14ac:dyDescent="0.25">
      <c r="A20" s="180">
        <v>2</v>
      </c>
      <c r="B20" s="20" t="s">
        <v>45</v>
      </c>
      <c r="C20" s="111">
        <v>7.4999999999999997E-2</v>
      </c>
      <c r="D20" s="111">
        <v>7.4999999999999997E-2</v>
      </c>
      <c r="E20" s="13">
        <f>цены!F74</f>
        <v>36</v>
      </c>
      <c r="F20" s="13">
        <f>C20*E20</f>
        <v>2.7</v>
      </c>
      <c r="G20" s="97">
        <f t="shared" si="0"/>
        <v>0.75</v>
      </c>
      <c r="H20" s="21">
        <f t="shared" si="0"/>
        <v>0.75</v>
      </c>
      <c r="I20" s="21">
        <f t="shared" si="1"/>
        <v>7.5</v>
      </c>
      <c r="J20" s="21">
        <f t="shared" si="1"/>
        <v>7.5</v>
      </c>
    </row>
    <row r="21" spans="1:10" s="10" customFormat="1" ht="12" customHeight="1" x14ac:dyDescent="0.25">
      <c r="A21" s="180">
        <v>3</v>
      </c>
      <c r="B21" s="20" t="s">
        <v>28</v>
      </c>
      <c r="C21" s="111">
        <v>0.75</v>
      </c>
      <c r="D21" s="111">
        <v>0.75</v>
      </c>
      <c r="E21" s="13"/>
      <c r="F21" s="13">
        <f>C21*E21</f>
        <v>0</v>
      </c>
      <c r="G21" s="97">
        <f t="shared" si="0"/>
        <v>7.5</v>
      </c>
      <c r="H21" s="21">
        <f t="shared" si="0"/>
        <v>7.5</v>
      </c>
      <c r="I21" s="21">
        <f t="shared" si="1"/>
        <v>75</v>
      </c>
      <c r="J21" s="21">
        <f t="shared" si="1"/>
        <v>75</v>
      </c>
    </row>
    <row r="22" spans="1:10" s="10" customFormat="1" ht="12" customHeight="1" x14ac:dyDescent="0.25">
      <c r="A22" s="180">
        <v>4</v>
      </c>
      <c r="B22" s="20" t="s">
        <v>84</v>
      </c>
      <c r="C22" s="113">
        <v>2.0000000000000002E-5</v>
      </c>
      <c r="D22" s="113">
        <v>2.0000000000000002E-5</v>
      </c>
      <c r="E22" s="13">
        <f>цены!F100</f>
        <v>1000</v>
      </c>
      <c r="F22" s="13">
        <f>C22*E22</f>
        <v>0.02</v>
      </c>
      <c r="G22" s="97">
        <f t="shared" si="0"/>
        <v>0</v>
      </c>
      <c r="H22" s="21">
        <f t="shared" si="0"/>
        <v>0</v>
      </c>
      <c r="I22" s="21">
        <f t="shared" si="1"/>
        <v>2E-3</v>
      </c>
      <c r="J22" s="21">
        <f t="shared" si="1"/>
        <v>2E-3</v>
      </c>
    </row>
    <row r="23" spans="1:10" s="10" customFormat="1" ht="12" customHeight="1" x14ac:dyDescent="0.25">
      <c r="A23" s="180">
        <v>5</v>
      </c>
      <c r="B23" s="20" t="s">
        <v>33</v>
      </c>
      <c r="C23" s="111">
        <v>8.0000000000000002E-3</v>
      </c>
      <c r="D23" s="111">
        <v>8.0000000000000002E-3</v>
      </c>
      <c r="E23" s="13">
        <f>цены!F110</f>
        <v>24</v>
      </c>
      <c r="F23" s="13">
        <f>C23*E23</f>
        <v>0.19</v>
      </c>
      <c r="G23" s="97">
        <f t="shared" si="0"/>
        <v>0.08</v>
      </c>
      <c r="H23" s="21">
        <f t="shared" si="0"/>
        <v>0.08</v>
      </c>
      <c r="I23" s="21">
        <f t="shared" si="1"/>
        <v>0.8</v>
      </c>
      <c r="J23" s="21">
        <f t="shared" si="1"/>
        <v>0.8</v>
      </c>
    </row>
    <row r="24" spans="1:10" s="10" customFormat="1" ht="12" customHeight="1" x14ac:dyDescent="0.25">
      <c r="A24" s="98"/>
      <c r="B24" s="93" t="s">
        <v>99</v>
      </c>
      <c r="C24" s="112"/>
      <c r="D24" s="112">
        <v>1</v>
      </c>
      <c r="E24" s="95"/>
      <c r="F24" s="95">
        <f>SUM(F19:F23)</f>
        <v>61.41</v>
      </c>
      <c r="G24" s="99"/>
      <c r="H24" s="100">
        <f>D24*10</f>
        <v>10</v>
      </c>
      <c r="I24" s="100"/>
      <c r="J24" s="100">
        <f>D24*100</f>
        <v>100</v>
      </c>
    </row>
    <row r="25" spans="1:10" s="10" customFormat="1" ht="12" customHeight="1" x14ac:dyDescent="0.25">
      <c r="A25" s="98"/>
      <c r="B25" s="93" t="s">
        <v>100</v>
      </c>
      <c r="C25" s="112"/>
      <c r="D25" s="112">
        <v>1</v>
      </c>
      <c r="E25" s="95"/>
      <c r="F25" s="95">
        <f>F24</f>
        <v>61.41</v>
      </c>
      <c r="G25" s="99"/>
      <c r="H25" s="100">
        <f>D25*10</f>
        <v>10</v>
      </c>
      <c r="I25" s="100"/>
      <c r="J25" s="100">
        <f>D25*100</f>
        <v>100</v>
      </c>
    </row>
    <row r="26" spans="1:10" s="10" customFormat="1" ht="27.6" customHeight="1" x14ac:dyDescent="0.25">
      <c r="A26" s="1536" t="s">
        <v>35</v>
      </c>
      <c r="B26" s="1536"/>
      <c r="C26" s="90"/>
      <c r="D26" s="90"/>
      <c r="E26" s="13"/>
      <c r="F26" s="13">
        <f>F25</f>
        <v>61.41</v>
      </c>
      <c r="G26" s="398"/>
      <c r="H26" s="398"/>
      <c r="I26" s="21"/>
      <c r="J26" s="13"/>
    </row>
    <row r="27" spans="1:10" s="10" customFormat="1" ht="25.35" customHeight="1" x14ac:dyDescent="0.25">
      <c r="A27" s="1536" t="s">
        <v>36</v>
      </c>
      <c r="B27" s="1536"/>
      <c r="C27" s="90">
        <v>1000</v>
      </c>
      <c r="D27" s="90"/>
      <c r="E27" s="13"/>
      <c r="F27" s="13"/>
      <c r="G27" s="13"/>
      <c r="H27" s="13"/>
      <c r="I27" s="21"/>
      <c r="J27" s="17"/>
    </row>
    <row r="28" spans="1:10" s="10" customFormat="1" ht="25.35" customHeight="1" x14ac:dyDescent="0.25">
      <c r="A28" s="1537" t="s">
        <v>37</v>
      </c>
      <c r="B28" s="1538"/>
      <c r="C28" s="91">
        <v>50</v>
      </c>
      <c r="D28" s="92"/>
      <c r="E28" s="399"/>
      <c r="F28" s="399"/>
      <c r="G28" s="399"/>
      <c r="H28" s="399"/>
      <c r="I28" s="21"/>
      <c r="J28" s="17"/>
    </row>
    <row r="29" spans="1:10" s="10" customFormat="1" ht="15" customHeight="1" x14ac:dyDescent="0.25">
      <c r="A29" s="1539" t="s">
        <v>38</v>
      </c>
      <c r="B29" s="1540"/>
      <c r="C29" s="92">
        <f>C27/C28</f>
        <v>20</v>
      </c>
      <c r="D29" s="92"/>
      <c r="E29" s="399"/>
      <c r="F29" s="399"/>
      <c r="G29" s="399"/>
      <c r="H29" s="399"/>
      <c r="I29" s="21"/>
      <c r="J29" s="17"/>
    </row>
    <row r="30" spans="1:10" ht="16.350000000000001" customHeight="1" x14ac:dyDescent="0.25">
      <c r="A30" s="1541" t="s">
        <v>39</v>
      </c>
      <c r="B30" s="1542"/>
      <c r="C30" s="15" t="s">
        <v>40</v>
      </c>
      <c r="D30" s="102"/>
      <c r="E30" s="102" t="s">
        <v>40</v>
      </c>
      <c r="F30" s="16">
        <f>F26/C29</f>
        <v>3.07</v>
      </c>
      <c r="G30" s="16"/>
      <c r="H30" s="16"/>
      <c r="I30" s="102" t="s">
        <v>40</v>
      </c>
      <c r="J30" s="102" t="s">
        <v>40</v>
      </c>
    </row>
    <row r="31" spans="1:10" ht="23.1" customHeight="1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ht="13.95" customHeight="1" x14ac:dyDescent="0.25">
      <c r="A32" s="1193"/>
      <c r="B32" s="1194" t="s">
        <v>49</v>
      </c>
      <c r="C32" s="1198"/>
      <c r="D32" s="1198"/>
      <c r="E32" s="1198"/>
      <c r="F32" s="1198"/>
      <c r="G32" s="1193"/>
      <c r="H32" s="1557">
        <f>'1-бутерброд с маслом'!$H$28</f>
        <v>0</v>
      </c>
      <c r="I32" s="1557"/>
      <c r="J32" s="1557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545" t="s">
        <v>327</v>
      </c>
      <c r="B34" s="1545"/>
      <c r="C34" s="1546" t="s">
        <v>328</v>
      </c>
      <c r="D34" s="1546"/>
      <c r="E34" s="1546"/>
      <c r="F34" s="1546"/>
      <c r="G34" s="106"/>
      <c r="H34" s="1531"/>
      <c r="I34" s="1531"/>
      <c r="J34" s="1531"/>
    </row>
    <row r="35" spans="1:10" x14ac:dyDescent="0.25">
      <c r="A35" s="1193"/>
      <c r="B35" s="1193"/>
      <c r="C35" s="1546"/>
      <c r="D35" s="1546"/>
      <c r="E35" s="1546"/>
      <c r="F35" s="1546"/>
      <c r="G35" s="1193"/>
      <c r="H35" s="1531" t="s">
        <v>329</v>
      </c>
      <c r="I35" s="1531"/>
      <c r="J35" s="1531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</sheetData>
  <mergeCells count="28">
    <mergeCell ref="H32:J32"/>
    <mergeCell ref="A13:G13"/>
    <mergeCell ref="A27:B27"/>
    <mergeCell ref="A28:B28"/>
    <mergeCell ref="A29:B29"/>
    <mergeCell ref="A30:B30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4:B34"/>
    <mergeCell ref="C34:F35"/>
    <mergeCell ref="H34:J34"/>
    <mergeCell ref="H35:J35"/>
    <mergeCell ref="H5:I5"/>
    <mergeCell ref="A6:G6"/>
    <mergeCell ref="A7:I7"/>
    <mergeCell ref="A26:B26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37"/>
  <sheetViews>
    <sheetView view="pageBreakPreview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407" customWidth="1"/>
    <col min="2" max="2" width="21.109375" style="407" customWidth="1"/>
    <col min="3" max="7" width="7.5546875" style="407" customWidth="1"/>
    <col min="8" max="8" width="8.88671875" style="407" customWidth="1"/>
    <col min="9" max="9" width="7.5546875" style="407" customWidth="1"/>
    <col min="10" max="10" width="9" style="407" customWidth="1"/>
    <col min="11" max="11" width="4.109375" style="407" customWidth="1"/>
    <col min="12" max="16384" width="8.88671875" style="40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239)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330</v>
      </c>
    </row>
    <row r="8" spans="1:10" s="2" customFormat="1" ht="9.6" customHeight="1" x14ac:dyDescent="0.25">
      <c r="A8" s="442"/>
      <c r="B8" s="442"/>
      <c r="C8" s="442"/>
      <c r="D8" s="442"/>
      <c r="E8" s="442"/>
      <c r="F8" s="442"/>
      <c r="G8" s="442"/>
      <c r="H8" s="442"/>
      <c r="I8" s="442"/>
      <c r="J8" s="109"/>
    </row>
    <row r="9" spans="1:10" s="2" customFormat="1" ht="26.1" customHeight="1" x14ac:dyDescent="0.3">
      <c r="A9" s="1550" t="s">
        <v>76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'330-соус сметанный (3)'!H14+1</f>
        <v>239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443" t="s">
        <v>92</v>
      </c>
      <c r="D17" s="443" t="s">
        <v>94</v>
      </c>
      <c r="E17" s="443" t="s">
        <v>93</v>
      </c>
      <c r="F17" s="443" t="s">
        <v>23</v>
      </c>
      <c r="G17" s="443" t="s">
        <v>92</v>
      </c>
      <c r="H17" s="443" t="s">
        <v>94</v>
      </c>
      <c r="I17" s="443" t="s">
        <v>92</v>
      </c>
      <c r="J17" s="443" t="s">
        <v>94</v>
      </c>
    </row>
    <row r="18" spans="1:10" ht="9.6" customHeight="1" x14ac:dyDescent="0.25">
      <c r="A18" s="443">
        <v>1</v>
      </c>
      <c r="B18" s="444">
        <v>2</v>
      </c>
      <c r="C18" s="443">
        <v>3</v>
      </c>
      <c r="D18" s="444">
        <v>4</v>
      </c>
      <c r="E18" s="443">
        <v>5</v>
      </c>
      <c r="F18" s="444">
        <v>6</v>
      </c>
      <c r="G18" s="443">
        <v>7</v>
      </c>
      <c r="H18" s="444">
        <v>8</v>
      </c>
      <c r="I18" s="443">
        <v>9</v>
      </c>
      <c r="J18" s="444">
        <v>10</v>
      </c>
    </row>
    <row r="19" spans="1:10" s="10" customFormat="1" ht="12" customHeight="1" x14ac:dyDescent="0.25">
      <c r="A19" s="180">
        <v>1</v>
      </c>
      <c r="B19" s="20" t="s">
        <v>51</v>
      </c>
      <c r="C19" s="111">
        <v>0.25</v>
      </c>
      <c r="D19" s="111">
        <v>0.25</v>
      </c>
      <c r="E19" s="408">
        <f>цены!F24</f>
        <v>234</v>
      </c>
      <c r="F19" s="408">
        <f>C19*E19</f>
        <v>58.5</v>
      </c>
      <c r="G19" s="97">
        <f t="shared" ref="G19:H23" si="0">C19*10</f>
        <v>2.5</v>
      </c>
      <c r="H19" s="21">
        <f t="shared" si="0"/>
        <v>2.5</v>
      </c>
      <c r="I19" s="21">
        <f t="shared" ref="I19:J23" si="1">C19*100</f>
        <v>25</v>
      </c>
      <c r="J19" s="21">
        <f t="shared" si="1"/>
        <v>25</v>
      </c>
    </row>
    <row r="20" spans="1:10" s="10" customFormat="1" ht="12" customHeight="1" x14ac:dyDescent="0.25">
      <c r="A20" s="180">
        <v>2</v>
      </c>
      <c r="B20" s="20" t="s">
        <v>45</v>
      </c>
      <c r="C20" s="111">
        <v>7.4999999999999997E-2</v>
      </c>
      <c r="D20" s="111">
        <v>7.4999999999999997E-2</v>
      </c>
      <c r="E20" s="408">
        <f>цены!F74</f>
        <v>36</v>
      </c>
      <c r="F20" s="408">
        <f>C20*E20</f>
        <v>2.7</v>
      </c>
      <c r="G20" s="97">
        <f t="shared" si="0"/>
        <v>0.75</v>
      </c>
      <c r="H20" s="21">
        <f t="shared" si="0"/>
        <v>0.75</v>
      </c>
      <c r="I20" s="21">
        <f t="shared" si="1"/>
        <v>7.5</v>
      </c>
      <c r="J20" s="21">
        <f t="shared" si="1"/>
        <v>7.5</v>
      </c>
    </row>
    <row r="21" spans="1:10" s="10" customFormat="1" ht="12" customHeight="1" x14ac:dyDescent="0.25">
      <c r="A21" s="180">
        <v>3</v>
      </c>
      <c r="B21" s="20" t="s">
        <v>28</v>
      </c>
      <c r="C21" s="111">
        <v>0.75</v>
      </c>
      <c r="D21" s="111">
        <v>0.75</v>
      </c>
      <c r="E21" s="408"/>
      <c r="F21" s="408">
        <f>C21*E21</f>
        <v>0</v>
      </c>
      <c r="G21" s="97">
        <f t="shared" si="0"/>
        <v>7.5</v>
      </c>
      <c r="H21" s="21">
        <f t="shared" si="0"/>
        <v>7.5</v>
      </c>
      <c r="I21" s="21">
        <f t="shared" si="1"/>
        <v>75</v>
      </c>
      <c r="J21" s="21">
        <f t="shared" si="1"/>
        <v>75</v>
      </c>
    </row>
    <row r="22" spans="1:10" s="10" customFormat="1" ht="12" customHeight="1" x14ac:dyDescent="0.25">
      <c r="A22" s="180">
        <v>4</v>
      </c>
      <c r="B22" s="20" t="s">
        <v>84</v>
      </c>
      <c r="C22" s="113">
        <v>2.0000000000000002E-5</v>
      </c>
      <c r="D22" s="113">
        <v>2.0000000000000002E-5</v>
      </c>
      <c r="E22" s="408">
        <f>цены!F100</f>
        <v>1000</v>
      </c>
      <c r="F22" s="408">
        <f>C22*E22</f>
        <v>0.02</v>
      </c>
      <c r="G22" s="97">
        <f t="shared" si="0"/>
        <v>0</v>
      </c>
      <c r="H22" s="21">
        <f t="shared" si="0"/>
        <v>0</v>
      </c>
      <c r="I22" s="21">
        <f t="shared" si="1"/>
        <v>2E-3</v>
      </c>
      <c r="J22" s="21">
        <f t="shared" si="1"/>
        <v>2E-3</v>
      </c>
    </row>
    <row r="23" spans="1:10" s="10" customFormat="1" ht="12" customHeight="1" x14ac:dyDescent="0.25">
      <c r="A23" s="180">
        <v>5</v>
      </c>
      <c r="B23" s="20" t="s">
        <v>33</v>
      </c>
      <c r="C23" s="111">
        <v>8.0000000000000002E-3</v>
      </c>
      <c r="D23" s="111">
        <v>8.0000000000000002E-3</v>
      </c>
      <c r="E23" s="408">
        <f>цены!F110</f>
        <v>24</v>
      </c>
      <c r="F23" s="408">
        <f>C23*E23</f>
        <v>0.19</v>
      </c>
      <c r="G23" s="97">
        <f t="shared" si="0"/>
        <v>0.08</v>
      </c>
      <c r="H23" s="21">
        <f t="shared" si="0"/>
        <v>0.08</v>
      </c>
      <c r="I23" s="21">
        <f t="shared" si="1"/>
        <v>0.8</v>
      </c>
      <c r="J23" s="21">
        <f t="shared" si="1"/>
        <v>0.8</v>
      </c>
    </row>
    <row r="24" spans="1:10" s="10" customFormat="1" ht="12" customHeight="1" x14ac:dyDescent="0.25">
      <c r="A24" s="98"/>
      <c r="B24" s="93" t="s">
        <v>99</v>
      </c>
      <c r="C24" s="112"/>
      <c r="D24" s="112">
        <v>1</v>
      </c>
      <c r="E24" s="95"/>
      <c r="F24" s="95">
        <f>SUM(F19:F23)</f>
        <v>61.41</v>
      </c>
      <c r="G24" s="99"/>
      <c r="H24" s="100">
        <f>D24*10</f>
        <v>10</v>
      </c>
      <c r="I24" s="100"/>
      <c r="J24" s="100">
        <f>D24*100</f>
        <v>100</v>
      </c>
    </row>
    <row r="25" spans="1:10" s="10" customFormat="1" ht="12" customHeight="1" x14ac:dyDescent="0.25">
      <c r="A25" s="98"/>
      <c r="B25" s="93" t="s">
        <v>100</v>
      </c>
      <c r="C25" s="112"/>
      <c r="D25" s="112">
        <v>1</v>
      </c>
      <c r="E25" s="95"/>
      <c r="F25" s="95">
        <f>F24</f>
        <v>61.41</v>
      </c>
      <c r="G25" s="99"/>
      <c r="H25" s="100">
        <f>D25*10</f>
        <v>10</v>
      </c>
      <c r="I25" s="100"/>
      <c r="J25" s="100">
        <f>D25*100</f>
        <v>100</v>
      </c>
    </row>
    <row r="26" spans="1:10" s="10" customFormat="1" ht="27.6" customHeight="1" x14ac:dyDescent="0.25">
      <c r="A26" s="1536" t="s">
        <v>35</v>
      </c>
      <c r="B26" s="1536"/>
      <c r="C26" s="90"/>
      <c r="D26" s="90"/>
      <c r="E26" s="408"/>
      <c r="F26" s="408">
        <f>F25</f>
        <v>61.41</v>
      </c>
      <c r="G26" s="445"/>
      <c r="H26" s="445"/>
      <c r="I26" s="21"/>
      <c r="J26" s="408"/>
    </row>
    <row r="27" spans="1:10" s="10" customFormat="1" ht="25.35" customHeight="1" x14ac:dyDescent="0.25">
      <c r="A27" s="1536" t="s">
        <v>36</v>
      </c>
      <c r="B27" s="1536"/>
      <c r="C27" s="90">
        <v>1000</v>
      </c>
      <c r="D27" s="90"/>
      <c r="E27" s="408"/>
      <c r="F27" s="408"/>
      <c r="G27" s="408"/>
      <c r="H27" s="408"/>
      <c r="I27" s="21"/>
      <c r="J27" s="17"/>
    </row>
    <row r="28" spans="1:10" s="10" customFormat="1" ht="25.35" customHeight="1" x14ac:dyDescent="0.25">
      <c r="A28" s="1537" t="s">
        <v>37</v>
      </c>
      <c r="B28" s="1538"/>
      <c r="C28" s="91">
        <v>30</v>
      </c>
      <c r="D28" s="92"/>
      <c r="E28" s="444"/>
      <c r="F28" s="444"/>
      <c r="G28" s="444"/>
      <c r="H28" s="444"/>
      <c r="I28" s="21"/>
      <c r="J28" s="17"/>
    </row>
    <row r="29" spans="1:10" s="10" customFormat="1" ht="15" customHeight="1" x14ac:dyDescent="0.25">
      <c r="A29" s="1539" t="s">
        <v>38</v>
      </c>
      <c r="B29" s="1540"/>
      <c r="C29" s="92">
        <f>C27/C28</f>
        <v>33.332999999999998</v>
      </c>
      <c r="D29" s="92"/>
      <c r="E29" s="444"/>
      <c r="F29" s="444"/>
      <c r="G29" s="444"/>
      <c r="H29" s="444"/>
      <c r="I29" s="21"/>
      <c r="J29" s="17"/>
    </row>
    <row r="30" spans="1:10" ht="16.350000000000001" customHeight="1" x14ac:dyDescent="0.25">
      <c r="A30" s="1541" t="s">
        <v>39</v>
      </c>
      <c r="B30" s="1542"/>
      <c r="C30" s="15" t="s">
        <v>40</v>
      </c>
      <c r="D30" s="102"/>
      <c r="E30" s="102" t="s">
        <v>40</v>
      </c>
      <c r="F30" s="16">
        <f>F26/C29</f>
        <v>1.84</v>
      </c>
      <c r="G30" s="16"/>
      <c r="H30" s="16"/>
      <c r="I30" s="102" t="s">
        <v>40</v>
      </c>
      <c r="J30" s="102" t="s">
        <v>40</v>
      </c>
    </row>
    <row r="31" spans="1:10" ht="23.1" customHeight="1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ht="13.95" customHeight="1" x14ac:dyDescent="0.25">
      <c r="A32" s="1193"/>
      <c r="B32" s="1194" t="s">
        <v>49</v>
      </c>
      <c r="C32" s="1198"/>
      <c r="D32" s="1198"/>
      <c r="E32" s="1198"/>
      <c r="F32" s="1198"/>
      <c r="G32" s="1193"/>
      <c r="H32" s="1557">
        <f>'1-бутерброд с маслом'!$H$28</f>
        <v>0</v>
      </c>
      <c r="I32" s="1557"/>
      <c r="J32" s="1557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545" t="s">
        <v>327</v>
      </c>
      <c r="B34" s="1545"/>
      <c r="C34" s="1546" t="s">
        <v>328</v>
      </c>
      <c r="D34" s="1546"/>
      <c r="E34" s="1546"/>
      <c r="F34" s="1546"/>
      <c r="G34" s="106"/>
      <c r="H34" s="1531"/>
      <c r="I34" s="1531"/>
      <c r="J34" s="1531"/>
    </row>
    <row r="35" spans="1:10" x14ac:dyDescent="0.25">
      <c r="A35" s="1193"/>
      <c r="B35" s="1193"/>
      <c r="C35" s="1546"/>
      <c r="D35" s="1546"/>
      <c r="E35" s="1546"/>
      <c r="F35" s="1546"/>
      <c r="G35" s="1193"/>
      <c r="H35" s="1531" t="s">
        <v>329</v>
      </c>
      <c r="I35" s="1531"/>
      <c r="J35" s="1531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4:B34"/>
    <mergeCell ref="C34:F35"/>
    <mergeCell ref="H34:J34"/>
    <mergeCell ref="H35:J35"/>
    <mergeCell ref="A27:B27"/>
    <mergeCell ref="A28:B28"/>
    <mergeCell ref="A29:B29"/>
    <mergeCell ref="A30:B30"/>
    <mergeCell ref="H32:J32"/>
    <mergeCell ref="A26:B26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37"/>
  <sheetViews>
    <sheetView view="pageBreakPreview" topLeftCell="A10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7.88671875" customWidth="1"/>
    <col min="9" max="9" width="7.5546875" customWidth="1"/>
    <col min="10" max="10" width="8.109375" customWidth="1"/>
    <col min="11" max="11" width="3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240)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331</v>
      </c>
    </row>
    <row r="8" spans="1:10" s="2" customFormat="1" ht="9.6" customHeight="1" x14ac:dyDescent="0.25">
      <c r="A8" s="185"/>
      <c r="B8" s="185"/>
      <c r="C8" s="185"/>
      <c r="D8" s="185"/>
      <c r="E8" s="185"/>
      <c r="F8" s="185"/>
      <c r="G8" s="185"/>
      <c r="H8" s="185"/>
      <c r="I8" s="185"/>
      <c r="J8" s="109"/>
    </row>
    <row r="9" spans="1:10" s="2" customFormat="1" ht="26.1" customHeight="1" x14ac:dyDescent="0.3">
      <c r="A9" s="1550" t="s">
        <v>362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'330-соус сметанный (4)'!H14+1</f>
        <v>240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186" t="s">
        <v>92</v>
      </c>
      <c r="D17" s="186" t="s">
        <v>94</v>
      </c>
      <c r="E17" s="186" t="s">
        <v>93</v>
      </c>
      <c r="F17" s="186" t="s">
        <v>23</v>
      </c>
      <c r="G17" s="186" t="s">
        <v>92</v>
      </c>
      <c r="H17" s="186" t="s">
        <v>94</v>
      </c>
      <c r="I17" s="186" t="s">
        <v>92</v>
      </c>
      <c r="J17" s="186" t="s">
        <v>94</v>
      </c>
    </row>
    <row r="18" spans="1:10" ht="9.6" customHeight="1" x14ac:dyDescent="0.25">
      <c r="A18" s="186">
        <v>1</v>
      </c>
      <c r="B18" s="187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2" customHeight="1" x14ac:dyDescent="0.25">
      <c r="A19" s="180">
        <v>1</v>
      </c>
      <c r="B19" s="20" t="s">
        <v>51</v>
      </c>
      <c r="C19" s="111">
        <v>0.25</v>
      </c>
      <c r="D19" s="111">
        <v>0.25</v>
      </c>
      <c r="E19" s="13">
        <f>цены!F24</f>
        <v>234</v>
      </c>
      <c r="F19" s="13">
        <f t="shared" ref="F19:F24" si="0">C19*E19</f>
        <v>58.5</v>
      </c>
      <c r="G19" s="97">
        <f t="shared" ref="G19:H24" si="1">C19*10</f>
        <v>2.5</v>
      </c>
      <c r="H19" s="21">
        <f t="shared" si="1"/>
        <v>2.5</v>
      </c>
      <c r="I19" s="21">
        <f t="shared" ref="I19:J24" si="2">C19*100</f>
        <v>25</v>
      </c>
      <c r="J19" s="21">
        <f t="shared" si="2"/>
        <v>25</v>
      </c>
    </row>
    <row r="20" spans="1:10" s="10" customFormat="1" ht="12" customHeight="1" x14ac:dyDescent="0.25">
      <c r="A20" s="180">
        <v>2</v>
      </c>
      <c r="B20" s="20" t="s">
        <v>45</v>
      </c>
      <c r="C20" s="111">
        <v>7.4999999999999997E-2</v>
      </c>
      <c r="D20" s="111">
        <v>7.4999999999999997E-2</v>
      </c>
      <c r="E20" s="13">
        <f>цены!F74</f>
        <v>36</v>
      </c>
      <c r="F20" s="13">
        <f t="shared" si="0"/>
        <v>2.7</v>
      </c>
      <c r="G20" s="97">
        <f t="shared" si="1"/>
        <v>0.75</v>
      </c>
      <c r="H20" s="21">
        <f t="shared" si="1"/>
        <v>0.75</v>
      </c>
      <c r="I20" s="21">
        <f t="shared" si="2"/>
        <v>7.5</v>
      </c>
      <c r="J20" s="21">
        <f t="shared" si="2"/>
        <v>7.5</v>
      </c>
    </row>
    <row r="21" spans="1:10" s="10" customFormat="1" ht="12" customHeight="1" x14ac:dyDescent="0.25">
      <c r="A21" s="180">
        <v>3</v>
      </c>
      <c r="B21" s="20" t="s">
        <v>28</v>
      </c>
      <c r="C21" s="111">
        <v>0.75</v>
      </c>
      <c r="D21" s="111">
        <v>0.75</v>
      </c>
      <c r="E21" s="13"/>
      <c r="F21" s="13">
        <f t="shared" si="0"/>
        <v>0</v>
      </c>
      <c r="G21" s="97">
        <f t="shared" si="1"/>
        <v>7.5</v>
      </c>
      <c r="H21" s="21">
        <f t="shared" si="1"/>
        <v>7.5</v>
      </c>
      <c r="I21" s="21">
        <f t="shared" si="2"/>
        <v>75</v>
      </c>
      <c r="J21" s="21">
        <f t="shared" si="2"/>
        <v>75</v>
      </c>
    </row>
    <row r="22" spans="1:10" s="10" customFormat="1" ht="12" customHeight="1" x14ac:dyDescent="0.25">
      <c r="A22" s="180">
        <v>4</v>
      </c>
      <c r="B22" s="20" t="s">
        <v>46</v>
      </c>
      <c r="C22" s="111">
        <v>0.1</v>
      </c>
      <c r="D22" s="111">
        <v>0.1</v>
      </c>
      <c r="E22" s="13">
        <f>цены!F113</f>
        <v>230</v>
      </c>
      <c r="F22" s="13">
        <f t="shared" si="0"/>
        <v>23</v>
      </c>
      <c r="G22" s="97">
        <f t="shared" si="1"/>
        <v>1</v>
      </c>
      <c r="H22" s="21">
        <f t="shared" si="1"/>
        <v>1</v>
      </c>
      <c r="I22" s="21">
        <f t="shared" si="2"/>
        <v>10</v>
      </c>
      <c r="J22" s="21">
        <f t="shared" si="2"/>
        <v>10</v>
      </c>
    </row>
    <row r="23" spans="1:10" s="10" customFormat="1" ht="12" customHeight="1" x14ac:dyDescent="0.25">
      <c r="A23" s="180">
        <v>5</v>
      </c>
      <c r="B23" s="20" t="s">
        <v>84</v>
      </c>
      <c r="C23" s="113">
        <v>2.0000000000000002E-5</v>
      </c>
      <c r="D23" s="113">
        <v>2.0000000000000002E-5</v>
      </c>
      <c r="E23" s="13">
        <f>цены!F100</f>
        <v>1000</v>
      </c>
      <c r="F23" s="13">
        <f t="shared" si="0"/>
        <v>0.02</v>
      </c>
      <c r="G23" s="97">
        <f t="shared" si="1"/>
        <v>0</v>
      </c>
      <c r="H23" s="21">
        <f t="shared" si="1"/>
        <v>0</v>
      </c>
      <c r="I23" s="21">
        <f t="shared" si="2"/>
        <v>2E-3</v>
      </c>
      <c r="J23" s="21">
        <f t="shared" si="2"/>
        <v>2E-3</v>
      </c>
    </row>
    <row r="24" spans="1:10" s="10" customFormat="1" ht="12" customHeight="1" x14ac:dyDescent="0.25">
      <c r="A24" s="180">
        <v>6</v>
      </c>
      <c r="B24" s="20" t="s">
        <v>33</v>
      </c>
      <c r="C24" s="111">
        <v>8.0000000000000002E-3</v>
      </c>
      <c r="D24" s="111">
        <v>8.0000000000000002E-3</v>
      </c>
      <c r="E24" s="13">
        <f>цены!F110</f>
        <v>24</v>
      </c>
      <c r="F24" s="13">
        <f t="shared" si="0"/>
        <v>0.19</v>
      </c>
      <c r="G24" s="97">
        <f t="shared" si="1"/>
        <v>0.08</v>
      </c>
      <c r="H24" s="21">
        <f t="shared" si="1"/>
        <v>0.08</v>
      </c>
      <c r="I24" s="21">
        <f t="shared" si="2"/>
        <v>0.8</v>
      </c>
      <c r="J24" s="21">
        <f t="shared" si="2"/>
        <v>0.8</v>
      </c>
    </row>
    <row r="25" spans="1:10" s="10" customFormat="1" ht="12" customHeight="1" x14ac:dyDescent="0.25">
      <c r="A25" s="98"/>
      <c r="B25" s="93" t="s">
        <v>100</v>
      </c>
      <c r="C25" s="112"/>
      <c r="D25" s="112">
        <v>1</v>
      </c>
      <c r="E25" s="95"/>
      <c r="F25" s="95">
        <f>SUM(F19:F24)</f>
        <v>84.41</v>
      </c>
      <c r="G25" s="99"/>
      <c r="H25" s="100">
        <f>D25*10</f>
        <v>10</v>
      </c>
      <c r="I25" s="100"/>
      <c r="J25" s="100">
        <f>D25*100</f>
        <v>100</v>
      </c>
    </row>
    <row r="26" spans="1:10" s="10" customFormat="1" ht="27.6" customHeight="1" x14ac:dyDescent="0.25">
      <c r="A26" s="1536" t="s">
        <v>35</v>
      </c>
      <c r="B26" s="1536"/>
      <c r="C26" s="90"/>
      <c r="D26" s="90"/>
      <c r="E26" s="13"/>
      <c r="F26" s="13">
        <f>F25</f>
        <v>84.41</v>
      </c>
      <c r="G26" s="188"/>
      <c r="H26" s="188"/>
      <c r="I26" s="21"/>
      <c r="J26" s="13"/>
    </row>
    <row r="27" spans="1:10" s="10" customFormat="1" ht="25.35" customHeight="1" x14ac:dyDescent="0.25">
      <c r="A27" s="1536" t="s">
        <v>36</v>
      </c>
      <c r="B27" s="1536"/>
      <c r="C27" s="90">
        <v>1000</v>
      </c>
      <c r="D27" s="90"/>
      <c r="E27" s="13"/>
      <c r="F27" s="13"/>
      <c r="G27" s="13"/>
      <c r="H27" s="13"/>
      <c r="I27" s="21"/>
      <c r="J27" s="17"/>
    </row>
    <row r="28" spans="1:10" s="10" customFormat="1" ht="25.35" customHeight="1" x14ac:dyDescent="0.25">
      <c r="A28" s="1537" t="s">
        <v>37</v>
      </c>
      <c r="B28" s="1538"/>
      <c r="C28" s="91">
        <v>1000</v>
      </c>
      <c r="D28" s="92"/>
      <c r="E28" s="187"/>
      <c r="F28" s="187"/>
      <c r="G28" s="187"/>
      <c r="H28" s="187"/>
      <c r="I28" s="21"/>
      <c r="J28" s="17"/>
    </row>
    <row r="29" spans="1:10" s="10" customFormat="1" ht="15" customHeight="1" x14ac:dyDescent="0.25">
      <c r="A29" s="1539" t="s">
        <v>38</v>
      </c>
      <c r="B29" s="1540"/>
      <c r="C29" s="92">
        <f>C27/C28</f>
        <v>1</v>
      </c>
      <c r="D29" s="92"/>
      <c r="E29" s="187"/>
      <c r="F29" s="187"/>
      <c r="G29" s="187"/>
      <c r="H29" s="187"/>
      <c r="I29" s="21"/>
      <c r="J29" s="17"/>
    </row>
    <row r="30" spans="1:10" ht="16.350000000000001" customHeight="1" x14ac:dyDescent="0.25">
      <c r="A30" s="1541" t="s">
        <v>39</v>
      </c>
      <c r="B30" s="1542"/>
      <c r="C30" s="15" t="s">
        <v>40</v>
      </c>
      <c r="D30" s="102"/>
      <c r="E30" s="102" t="s">
        <v>40</v>
      </c>
      <c r="F30" s="16">
        <f>F26/C29</f>
        <v>84.41</v>
      </c>
      <c r="G30" s="16"/>
      <c r="H30" s="16"/>
      <c r="I30" s="102" t="s">
        <v>40</v>
      </c>
      <c r="J30" s="102" t="s">
        <v>40</v>
      </c>
    </row>
    <row r="31" spans="1:10" ht="23.1" customHeight="1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ht="13.95" customHeight="1" x14ac:dyDescent="0.25">
      <c r="A32" s="1193"/>
      <c r="B32" s="1194" t="s">
        <v>49</v>
      </c>
      <c r="C32" s="1198"/>
      <c r="D32" s="1198"/>
      <c r="E32" s="1198"/>
      <c r="F32" s="1198"/>
      <c r="G32" s="1193"/>
      <c r="H32" s="1557">
        <f>'1-бутерброд с маслом'!$H$28</f>
        <v>0</v>
      </c>
      <c r="I32" s="1557"/>
      <c r="J32" s="1557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545" t="s">
        <v>327</v>
      </c>
      <c r="B34" s="1545"/>
      <c r="C34" s="1546" t="s">
        <v>328</v>
      </c>
      <c r="D34" s="1546"/>
      <c r="E34" s="1546"/>
      <c r="F34" s="1546"/>
      <c r="G34" s="106"/>
      <c r="H34" s="1531"/>
      <c r="I34" s="1531"/>
      <c r="J34" s="1531"/>
    </row>
    <row r="35" spans="1:10" x14ac:dyDescent="0.25">
      <c r="A35" s="1193"/>
      <c r="B35" s="1193"/>
      <c r="C35" s="1546"/>
      <c r="D35" s="1546"/>
      <c r="E35" s="1546"/>
      <c r="F35" s="1546"/>
      <c r="G35" s="1193"/>
      <c r="H35" s="1531" t="s">
        <v>329</v>
      </c>
      <c r="I35" s="1531"/>
      <c r="J35" s="1531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4:B34"/>
    <mergeCell ref="C34:F35"/>
    <mergeCell ref="H34:J34"/>
    <mergeCell ref="H35:J35"/>
    <mergeCell ref="A27:B27"/>
    <mergeCell ref="A28:B28"/>
    <mergeCell ref="A29:B29"/>
    <mergeCell ref="A30:B30"/>
    <mergeCell ref="H32:J32"/>
    <mergeCell ref="A26:B26"/>
    <mergeCell ref="A9:J9"/>
    <mergeCell ref="A11:J11"/>
  </mergeCells>
  <printOptions headings="1"/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37"/>
  <sheetViews>
    <sheetView view="pageBreakPreview" topLeftCell="A6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467" customWidth="1"/>
    <col min="2" max="2" width="21.109375" style="467" customWidth="1"/>
    <col min="3" max="7" width="7.5546875" style="467" customWidth="1"/>
    <col min="8" max="8" width="7.88671875" style="467" customWidth="1"/>
    <col min="9" max="9" width="7.5546875" style="467" customWidth="1"/>
    <col min="10" max="10" width="8.109375" style="467" customWidth="1"/>
    <col min="11" max="11" width="4.88671875" style="467" customWidth="1"/>
    <col min="12" max="16384" width="8.88671875" style="46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241)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331</v>
      </c>
    </row>
    <row r="8" spans="1:10" s="2" customFormat="1" ht="9.6" customHeight="1" x14ac:dyDescent="0.25">
      <c r="A8" s="471"/>
      <c r="B8" s="471"/>
      <c r="C8" s="471"/>
      <c r="D8" s="471"/>
      <c r="E8" s="471"/>
      <c r="F8" s="471"/>
      <c r="G8" s="471"/>
      <c r="H8" s="471"/>
      <c r="I8" s="471"/>
      <c r="J8" s="109"/>
    </row>
    <row r="9" spans="1:10" s="2" customFormat="1" ht="26.1" customHeight="1" x14ac:dyDescent="0.3">
      <c r="A9" s="1550" t="s">
        <v>759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'331-соус с томатом'!H14+1</f>
        <v>241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468" t="s">
        <v>92</v>
      </c>
      <c r="D17" s="468" t="s">
        <v>94</v>
      </c>
      <c r="E17" s="468" t="s">
        <v>93</v>
      </c>
      <c r="F17" s="468" t="s">
        <v>23</v>
      </c>
      <c r="G17" s="468" t="s">
        <v>92</v>
      </c>
      <c r="H17" s="468" t="s">
        <v>94</v>
      </c>
      <c r="I17" s="468" t="s">
        <v>92</v>
      </c>
      <c r="J17" s="468" t="s">
        <v>94</v>
      </c>
    </row>
    <row r="18" spans="1:10" ht="9.6" customHeight="1" x14ac:dyDescent="0.25">
      <c r="A18" s="468">
        <v>1</v>
      </c>
      <c r="B18" s="470">
        <v>2</v>
      </c>
      <c r="C18" s="468">
        <v>3</v>
      </c>
      <c r="D18" s="470">
        <v>4</v>
      </c>
      <c r="E18" s="468">
        <v>5</v>
      </c>
      <c r="F18" s="470">
        <v>6</v>
      </c>
      <c r="G18" s="468">
        <v>7</v>
      </c>
      <c r="H18" s="470">
        <v>8</v>
      </c>
      <c r="I18" s="468">
        <v>9</v>
      </c>
      <c r="J18" s="470">
        <v>10</v>
      </c>
    </row>
    <row r="19" spans="1:10" s="10" customFormat="1" ht="12" customHeight="1" x14ac:dyDescent="0.25">
      <c r="A19" s="180">
        <v>1</v>
      </c>
      <c r="B19" s="20" t="s">
        <v>51</v>
      </c>
      <c r="C19" s="111">
        <v>0.25</v>
      </c>
      <c r="D19" s="111">
        <v>0.25</v>
      </c>
      <c r="E19" s="408">
        <f>цены!F24</f>
        <v>234</v>
      </c>
      <c r="F19" s="408">
        <f t="shared" ref="F19:F24" si="0">C19*E19</f>
        <v>58.5</v>
      </c>
      <c r="G19" s="97">
        <f t="shared" ref="G19:H24" si="1">C19*10</f>
        <v>2.5</v>
      </c>
      <c r="H19" s="21">
        <f t="shared" si="1"/>
        <v>2.5</v>
      </c>
      <c r="I19" s="21">
        <f t="shared" ref="I19:J24" si="2">C19*100</f>
        <v>25</v>
      </c>
      <c r="J19" s="21">
        <f t="shared" si="2"/>
        <v>25</v>
      </c>
    </row>
    <row r="20" spans="1:10" s="10" customFormat="1" ht="12" customHeight="1" x14ac:dyDescent="0.25">
      <c r="A20" s="180">
        <v>2</v>
      </c>
      <c r="B20" s="20" t="s">
        <v>45</v>
      </c>
      <c r="C20" s="111">
        <v>7.4999999999999997E-2</v>
      </c>
      <c r="D20" s="111">
        <v>7.4999999999999997E-2</v>
      </c>
      <c r="E20" s="408">
        <f>цены!F74</f>
        <v>36</v>
      </c>
      <c r="F20" s="408">
        <f t="shared" si="0"/>
        <v>2.7</v>
      </c>
      <c r="G20" s="97">
        <f t="shared" si="1"/>
        <v>0.75</v>
      </c>
      <c r="H20" s="21">
        <f t="shared" si="1"/>
        <v>0.75</v>
      </c>
      <c r="I20" s="21">
        <f t="shared" si="2"/>
        <v>7.5</v>
      </c>
      <c r="J20" s="21">
        <f t="shared" si="2"/>
        <v>7.5</v>
      </c>
    </row>
    <row r="21" spans="1:10" s="10" customFormat="1" ht="12" customHeight="1" x14ac:dyDescent="0.25">
      <c r="A21" s="180">
        <v>3</v>
      </c>
      <c r="B21" s="20" t="s">
        <v>28</v>
      </c>
      <c r="C21" s="111">
        <v>0.75</v>
      </c>
      <c r="D21" s="111">
        <v>0.75</v>
      </c>
      <c r="E21" s="408"/>
      <c r="F21" s="408">
        <f t="shared" si="0"/>
        <v>0</v>
      </c>
      <c r="G21" s="97">
        <f t="shared" si="1"/>
        <v>7.5</v>
      </c>
      <c r="H21" s="21">
        <f t="shared" si="1"/>
        <v>7.5</v>
      </c>
      <c r="I21" s="21">
        <f t="shared" si="2"/>
        <v>75</v>
      </c>
      <c r="J21" s="21">
        <f t="shared" si="2"/>
        <v>75</v>
      </c>
    </row>
    <row r="22" spans="1:10" s="10" customFormat="1" ht="12" customHeight="1" x14ac:dyDescent="0.25">
      <c r="A22" s="180">
        <v>4</v>
      </c>
      <c r="B22" s="20" t="s">
        <v>46</v>
      </c>
      <c r="C22" s="111">
        <v>0.1</v>
      </c>
      <c r="D22" s="111">
        <v>0.1</v>
      </c>
      <c r="E22" s="408">
        <f>цены!F113</f>
        <v>230</v>
      </c>
      <c r="F22" s="408">
        <f t="shared" si="0"/>
        <v>23</v>
      </c>
      <c r="G22" s="97">
        <f t="shared" si="1"/>
        <v>1</v>
      </c>
      <c r="H22" s="21">
        <f t="shared" si="1"/>
        <v>1</v>
      </c>
      <c r="I22" s="21">
        <f t="shared" si="2"/>
        <v>10</v>
      </c>
      <c r="J22" s="21">
        <f t="shared" si="2"/>
        <v>10</v>
      </c>
    </row>
    <row r="23" spans="1:10" s="10" customFormat="1" ht="12" customHeight="1" x14ac:dyDescent="0.25">
      <c r="A23" s="180">
        <v>5</v>
      </c>
      <c r="B23" s="20" t="s">
        <v>84</v>
      </c>
      <c r="C23" s="113">
        <v>2.0000000000000002E-5</v>
      </c>
      <c r="D23" s="113">
        <v>2.0000000000000002E-5</v>
      </c>
      <c r="E23" s="408">
        <f>цены!F100</f>
        <v>1000</v>
      </c>
      <c r="F23" s="408">
        <f t="shared" si="0"/>
        <v>0.02</v>
      </c>
      <c r="G23" s="97">
        <f t="shared" si="1"/>
        <v>0</v>
      </c>
      <c r="H23" s="21">
        <f t="shared" si="1"/>
        <v>0</v>
      </c>
      <c r="I23" s="21">
        <f t="shared" si="2"/>
        <v>2E-3</v>
      </c>
      <c r="J23" s="21">
        <f t="shared" si="2"/>
        <v>2E-3</v>
      </c>
    </row>
    <row r="24" spans="1:10" s="10" customFormat="1" ht="12" customHeight="1" x14ac:dyDescent="0.25">
      <c r="A24" s="180">
        <v>6</v>
      </c>
      <c r="B24" s="20" t="s">
        <v>33</v>
      </c>
      <c r="C24" s="111">
        <v>8.0000000000000002E-3</v>
      </c>
      <c r="D24" s="111">
        <v>8.0000000000000002E-3</v>
      </c>
      <c r="E24" s="408">
        <f>цены!F110</f>
        <v>24</v>
      </c>
      <c r="F24" s="408">
        <f t="shared" si="0"/>
        <v>0.19</v>
      </c>
      <c r="G24" s="97">
        <f t="shared" si="1"/>
        <v>0.08</v>
      </c>
      <c r="H24" s="21">
        <f t="shared" si="1"/>
        <v>0.08</v>
      </c>
      <c r="I24" s="21">
        <f t="shared" si="2"/>
        <v>0.8</v>
      </c>
      <c r="J24" s="21">
        <f t="shared" si="2"/>
        <v>0.8</v>
      </c>
    </row>
    <row r="25" spans="1:10" s="10" customFormat="1" ht="12" customHeight="1" x14ac:dyDescent="0.25">
      <c r="A25" s="98"/>
      <c r="B25" s="93" t="s">
        <v>100</v>
      </c>
      <c r="C25" s="112"/>
      <c r="D25" s="112">
        <v>1</v>
      </c>
      <c r="E25" s="95"/>
      <c r="F25" s="95">
        <f>SUM(F19:F24)</f>
        <v>84.41</v>
      </c>
      <c r="G25" s="99"/>
      <c r="H25" s="100">
        <f>D25*10</f>
        <v>10</v>
      </c>
      <c r="I25" s="100"/>
      <c r="J25" s="100">
        <f>D25*100</f>
        <v>100</v>
      </c>
    </row>
    <row r="26" spans="1:10" s="10" customFormat="1" ht="27.6" customHeight="1" x14ac:dyDescent="0.25">
      <c r="A26" s="1536" t="s">
        <v>35</v>
      </c>
      <c r="B26" s="1536"/>
      <c r="C26" s="90"/>
      <c r="D26" s="90"/>
      <c r="E26" s="408"/>
      <c r="F26" s="408">
        <f>F25</f>
        <v>84.41</v>
      </c>
      <c r="G26" s="469"/>
      <c r="H26" s="469"/>
      <c r="I26" s="21"/>
      <c r="J26" s="408"/>
    </row>
    <row r="27" spans="1:10" s="10" customFormat="1" ht="25.35" customHeight="1" x14ac:dyDescent="0.25">
      <c r="A27" s="1536" t="s">
        <v>36</v>
      </c>
      <c r="B27" s="1536"/>
      <c r="C27" s="90">
        <v>1000</v>
      </c>
      <c r="D27" s="90"/>
      <c r="E27" s="408"/>
      <c r="F27" s="408"/>
      <c r="G27" s="408"/>
      <c r="H27" s="408"/>
      <c r="I27" s="21"/>
      <c r="J27" s="17"/>
    </row>
    <row r="28" spans="1:10" s="10" customFormat="1" ht="25.35" customHeight="1" x14ac:dyDescent="0.25">
      <c r="A28" s="1537" t="s">
        <v>37</v>
      </c>
      <c r="B28" s="1538"/>
      <c r="C28" s="91">
        <v>30</v>
      </c>
      <c r="D28" s="92"/>
      <c r="E28" s="470"/>
      <c r="F28" s="470"/>
      <c r="G28" s="470"/>
      <c r="H28" s="470"/>
      <c r="I28" s="21"/>
      <c r="J28" s="17"/>
    </row>
    <row r="29" spans="1:10" s="10" customFormat="1" ht="15" customHeight="1" x14ac:dyDescent="0.25">
      <c r="A29" s="1539" t="s">
        <v>38</v>
      </c>
      <c r="B29" s="1540"/>
      <c r="C29" s="92">
        <f>C27/C28</f>
        <v>33.332999999999998</v>
      </c>
      <c r="D29" s="92"/>
      <c r="E29" s="470"/>
      <c r="F29" s="470"/>
      <c r="G29" s="470"/>
      <c r="H29" s="470"/>
      <c r="I29" s="21"/>
      <c r="J29" s="17"/>
    </row>
    <row r="30" spans="1:10" ht="16.350000000000001" customHeight="1" x14ac:dyDescent="0.25">
      <c r="A30" s="1541" t="s">
        <v>39</v>
      </c>
      <c r="B30" s="1542"/>
      <c r="C30" s="15" t="s">
        <v>40</v>
      </c>
      <c r="D30" s="102"/>
      <c r="E30" s="102" t="s">
        <v>40</v>
      </c>
      <c r="F30" s="16">
        <f>F26/C29</f>
        <v>2.5299999999999998</v>
      </c>
      <c r="G30" s="16"/>
      <c r="H30" s="16"/>
      <c r="I30" s="102" t="s">
        <v>40</v>
      </c>
      <c r="J30" s="102" t="s">
        <v>40</v>
      </c>
    </row>
    <row r="31" spans="1:10" ht="23.1" customHeight="1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ht="13.95" customHeight="1" x14ac:dyDescent="0.25">
      <c r="A32" s="1193"/>
      <c r="B32" s="1194" t="s">
        <v>49</v>
      </c>
      <c r="C32" s="1198"/>
      <c r="D32" s="1198"/>
      <c r="E32" s="1198"/>
      <c r="F32" s="1198"/>
      <c r="G32" s="1193"/>
      <c r="H32" s="1557">
        <f>'1-бутерброд с маслом'!$H$28</f>
        <v>0</v>
      </c>
      <c r="I32" s="1557"/>
      <c r="J32" s="1557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545" t="s">
        <v>327</v>
      </c>
      <c r="B34" s="1545"/>
      <c r="C34" s="1546" t="s">
        <v>328</v>
      </c>
      <c r="D34" s="1546"/>
      <c r="E34" s="1546"/>
      <c r="F34" s="1546"/>
      <c r="G34" s="106"/>
      <c r="H34" s="1531"/>
      <c r="I34" s="1531"/>
      <c r="J34" s="1531"/>
    </row>
    <row r="35" spans="1:10" x14ac:dyDescent="0.25">
      <c r="A35" s="1193"/>
      <c r="B35" s="1193"/>
      <c r="C35" s="1546"/>
      <c r="D35" s="1546"/>
      <c r="E35" s="1546"/>
      <c r="F35" s="1546"/>
      <c r="G35" s="1193"/>
      <c r="H35" s="1531" t="s">
        <v>329</v>
      </c>
      <c r="I35" s="1531"/>
      <c r="J35" s="1531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</sheetData>
  <mergeCells count="28">
    <mergeCell ref="H32:J32"/>
    <mergeCell ref="A13:G13"/>
    <mergeCell ref="A27:B27"/>
    <mergeCell ref="A28:B28"/>
    <mergeCell ref="A29:B29"/>
    <mergeCell ref="A30:B30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4:B34"/>
    <mergeCell ref="C34:F35"/>
    <mergeCell ref="H34:J34"/>
    <mergeCell ref="H35:J35"/>
    <mergeCell ref="H5:I5"/>
    <mergeCell ref="A6:G6"/>
    <mergeCell ref="A7:I7"/>
    <mergeCell ref="A26:B26"/>
    <mergeCell ref="A9:J9"/>
    <mergeCell ref="A11:J11"/>
    <mergeCell ref="I13:J13"/>
    <mergeCell ref="C14:G14"/>
  </mergeCells>
  <printOptions headings="1"/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37"/>
  <sheetViews>
    <sheetView view="pageBreakPreview" topLeftCell="A3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467" customWidth="1"/>
    <col min="2" max="2" width="21.109375" style="467" customWidth="1"/>
    <col min="3" max="7" width="7.5546875" style="467" customWidth="1"/>
    <col min="8" max="8" width="7.88671875" style="467" customWidth="1"/>
    <col min="9" max="9" width="7.5546875" style="467" customWidth="1"/>
    <col min="10" max="10" width="8.109375" style="467" customWidth="1"/>
    <col min="11" max="11" width="2.6640625" style="467" customWidth="1"/>
    <col min="12" max="16384" width="8.88671875" style="46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242)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331</v>
      </c>
    </row>
    <row r="8" spans="1:10" s="2" customFormat="1" ht="9.6" customHeight="1" x14ac:dyDescent="0.25">
      <c r="A8" s="471"/>
      <c r="B8" s="471"/>
      <c r="C8" s="471"/>
      <c r="D8" s="471"/>
      <c r="E8" s="471"/>
      <c r="F8" s="471"/>
      <c r="G8" s="471"/>
      <c r="H8" s="471"/>
      <c r="I8" s="471"/>
      <c r="J8" s="109"/>
    </row>
    <row r="9" spans="1:10" s="2" customFormat="1" ht="26.1" customHeight="1" x14ac:dyDescent="0.3">
      <c r="A9" s="1550" t="s">
        <v>762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'331-соус с томатом (30)'!H14+1</f>
        <v>242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468" t="s">
        <v>92</v>
      </c>
      <c r="D17" s="468" t="s">
        <v>94</v>
      </c>
      <c r="E17" s="468" t="s">
        <v>93</v>
      </c>
      <c r="F17" s="468" t="s">
        <v>23</v>
      </c>
      <c r="G17" s="468" t="s">
        <v>92</v>
      </c>
      <c r="H17" s="468" t="s">
        <v>94</v>
      </c>
      <c r="I17" s="468" t="s">
        <v>92</v>
      </c>
      <c r="J17" s="468" t="s">
        <v>94</v>
      </c>
    </row>
    <row r="18" spans="1:10" ht="9.6" customHeight="1" x14ac:dyDescent="0.25">
      <c r="A18" s="468">
        <v>1</v>
      </c>
      <c r="B18" s="470">
        <v>2</v>
      </c>
      <c r="C18" s="468">
        <v>3</v>
      </c>
      <c r="D18" s="470">
        <v>4</v>
      </c>
      <c r="E18" s="468">
        <v>5</v>
      </c>
      <c r="F18" s="470">
        <v>6</v>
      </c>
      <c r="G18" s="468">
        <v>7</v>
      </c>
      <c r="H18" s="470">
        <v>8</v>
      </c>
      <c r="I18" s="468">
        <v>9</v>
      </c>
      <c r="J18" s="470">
        <v>10</v>
      </c>
    </row>
    <row r="19" spans="1:10" s="10" customFormat="1" ht="12" customHeight="1" x14ac:dyDescent="0.25">
      <c r="A19" s="180">
        <v>1</v>
      </c>
      <c r="B19" s="20" t="s">
        <v>51</v>
      </c>
      <c r="C19" s="111">
        <v>0.25</v>
      </c>
      <c r="D19" s="111">
        <v>0.25</v>
      </c>
      <c r="E19" s="408">
        <f>цены!F24</f>
        <v>234</v>
      </c>
      <c r="F19" s="408">
        <f t="shared" ref="F19:F24" si="0">C19*E19</f>
        <v>58.5</v>
      </c>
      <c r="G19" s="97">
        <f t="shared" ref="G19:H24" si="1">C19*10</f>
        <v>2.5</v>
      </c>
      <c r="H19" s="21">
        <f t="shared" si="1"/>
        <v>2.5</v>
      </c>
      <c r="I19" s="21">
        <f t="shared" ref="I19:J24" si="2">C19*100</f>
        <v>25</v>
      </c>
      <c r="J19" s="21">
        <f t="shared" si="2"/>
        <v>25</v>
      </c>
    </row>
    <row r="20" spans="1:10" s="10" customFormat="1" ht="12" customHeight="1" x14ac:dyDescent="0.25">
      <c r="A20" s="180">
        <v>2</v>
      </c>
      <c r="B20" s="20" t="s">
        <v>45</v>
      </c>
      <c r="C20" s="111">
        <v>7.4999999999999997E-2</v>
      </c>
      <c r="D20" s="111">
        <v>7.4999999999999997E-2</v>
      </c>
      <c r="E20" s="408">
        <f>цены!F74</f>
        <v>36</v>
      </c>
      <c r="F20" s="408">
        <f t="shared" si="0"/>
        <v>2.7</v>
      </c>
      <c r="G20" s="97">
        <f t="shared" si="1"/>
        <v>0.75</v>
      </c>
      <c r="H20" s="21">
        <f t="shared" si="1"/>
        <v>0.75</v>
      </c>
      <c r="I20" s="21">
        <f t="shared" si="2"/>
        <v>7.5</v>
      </c>
      <c r="J20" s="21">
        <f t="shared" si="2"/>
        <v>7.5</v>
      </c>
    </row>
    <row r="21" spans="1:10" s="10" customFormat="1" ht="12" customHeight="1" x14ac:dyDescent="0.25">
      <c r="A21" s="180">
        <v>3</v>
      </c>
      <c r="B21" s="20" t="s">
        <v>28</v>
      </c>
      <c r="C21" s="111">
        <v>0.75</v>
      </c>
      <c r="D21" s="111">
        <v>0.75</v>
      </c>
      <c r="E21" s="408"/>
      <c r="F21" s="408">
        <f t="shared" si="0"/>
        <v>0</v>
      </c>
      <c r="G21" s="97">
        <f t="shared" si="1"/>
        <v>7.5</v>
      </c>
      <c r="H21" s="21">
        <f t="shared" si="1"/>
        <v>7.5</v>
      </c>
      <c r="I21" s="21">
        <f t="shared" si="2"/>
        <v>75</v>
      </c>
      <c r="J21" s="21">
        <f t="shared" si="2"/>
        <v>75</v>
      </c>
    </row>
    <row r="22" spans="1:10" s="10" customFormat="1" ht="12" customHeight="1" x14ac:dyDescent="0.25">
      <c r="A22" s="180">
        <v>4</v>
      </c>
      <c r="B22" s="20" t="s">
        <v>46</v>
      </c>
      <c r="C22" s="111">
        <v>0.1</v>
      </c>
      <c r="D22" s="111">
        <v>0.1</v>
      </c>
      <c r="E22" s="408">
        <f>цены!F113</f>
        <v>230</v>
      </c>
      <c r="F22" s="408">
        <f t="shared" si="0"/>
        <v>23</v>
      </c>
      <c r="G22" s="97">
        <f t="shared" si="1"/>
        <v>1</v>
      </c>
      <c r="H22" s="21">
        <f t="shared" si="1"/>
        <v>1</v>
      </c>
      <c r="I22" s="21">
        <f t="shared" si="2"/>
        <v>10</v>
      </c>
      <c r="J22" s="21">
        <f t="shared" si="2"/>
        <v>10</v>
      </c>
    </row>
    <row r="23" spans="1:10" s="10" customFormat="1" ht="12" customHeight="1" x14ac:dyDescent="0.25">
      <c r="A23" s="180">
        <v>5</v>
      </c>
      <c r="B23" s="20" t="s">
        <v>84</v>
      </c>
      <c r="C23" s="113">
        <v>2.0000000000000002E-5</v>
      </c>
      <c r="D23" s="113">
        <v>2.0000000000000002E-5</v>
      </c>
      <c r="E23" s="408">
        <f>цены!F100</f>
        <v>1000</v>
      </c>
      <c r="F23" s="408">
        <f t="shared" si="0"/>
        <v>0.02</v>
      </c>
      <c r="G23" s="97">
        <f t="shared" si="1"/>
        <v>0</v>
      </c>
      <c r="H23" s="21">
        <f t="shared" si="1"/>
        <v>0</v>
      </c>
      <c r="I23" s="21">
        <f t="shared" si="2"/>
        <v>2E-3</v>
      </c>
      <c r="J23" s="21">
        <f t="shared" si="2"/>
        <v>2E-3</v>
      </c>
    </row>
    <row r="24" spans="1:10" s="10" customFormat="1" ht="12" customHeight="1" x14ac:dyDescent="0.25">
      <c r="A24" s="180">
        <v>6</v>
      </c>
      <c r="B24" s="20" t="s">
        <v>33</v>
      </c>
      <c r="C24" s="111">
        <v>8.0000000000000002E-3</v>
      </c>
      <c r="D24" s="111">
        <v>8.0000000000000002E-3</v>
      </c>
      <c r="E24" s="408">
        <f>цены!F110</f>
        <v>24</v>
      </c>
      <c r="F24" s="408">
        <f t="shared" si="0"/>
        <v>0.19</v>
      </c>
      <c r="G24" s="97">
        <f t="shared" si="1"/>
        <v>0.08</v>
      </c>
      <c r="H24" s="21">
        <f t="shared" si="1"/>
        <v>0.08</v>
      </c>
      <c r="I24" s="21">
        <f t="shared" si="2"/>
        <v>0.8</v>
      </c>
      <c r="J24" s="21">
        <f t="shared" si="2"/>
        <v>0.8</v>
      </c>
    </row>
    <row r="25" spans="1:10" s="10" customFormat="1" ht="12" customHeight="1" x14ac:dyDescent="0.25">
      <c r="A25" s="98"/>
      <c r="B25" s="93" t="s">
        <v>100</v>
      </c>
      <c r="C25" s="112"/>
      <c r="D25" s="112">
        <v>1</v>
      </c>
      <c r="E25" s="95"/>
      <c r="F25" s="95">
        <f>SUM(F19:F24)</f>
        <v>84.41</v>
      </c>
      <c r="G25" s="99"/>
      <c r="H25" s="100">
        <f>D25*10</f>
        <v>10</v>
      </c>
      <c r="I25" s="100"/>
      <c r="J25" s="100">
        <f>D25*100</f>
        <v>100</v>
      </c>
    </row>
    <row r="26" spans="1:10" s="10" customFormat="1" ht="27.6" customHeight="1" x14ac:dyDescent="0.25">
      <c r="A26" s="1536" t="s">
        <v>35</v>
      </c>
      <c r="B26" s="1536"/>
      <c r="C26" s="90"/>
      <c r="D26" s="90"/>
      <c r="E26" s="408"/>
      <c r="F26" s="408">
        <f>F25</f>
        <v>84.41</v>
      </c>
      <c r="G26" s="469"/>
      <c r="H26" s="469"/>
      <c r="I26" s="21"/>
      <c r="J26" s="408"/>
    </row>
    <row r="27" spans="1:10" s="10" customFormat="1" ht="25.35" customHeight="1" x14ac:dyDescent="0.25">
      <c r="A27" s="1536" t="s">
        <v>36</v>
      </c>
      <c r="B27" s="1536"/>
      <c r="C27" s="90">
        <v>1000</v>
      </c>
      <c r="D27" s="90"/>
      <c r="E27" s="408"/>
      <c r="F27" s="408"/>
      <c r="G27" s="408"/>
      <c r="H27" s="408"/>
      <c r="I27" s="21"/>
      <c r="J27" s="17"/>
    </row>
    <row r="28" spans="1:10" s="10" customFormat="1" ht="25.35" customHeight="1" x14ac:dyDescent="0.25">
      <c r="A28" s="1537" t="s">
        <v>37</v>
      </c>
      <c r="B28" s="1538"/>
      <c r="C28" s="91">
        <v>50</v>
      </c>
      <c r="D28" s="92"/>
      <c r="E28" s="470"/>
      <c r="F28" s="470"/>
      <c r="G28" s="470"/>
      <c r="H28" s="470"/>
      <c r="I28" s="21"/>
      <c r="J28" s="17"/>
    </row>
    <row r="29" spans="1:10" s="10" customFormat="1" ht="15" customHeight="1" x14ac:dyDescent="0.25">
      <c r="A29" s="1539" t="s">
        <v>38</v>
      </c>
      <c r="B29" s="1540"/>
      <c r="C29" s="92">
        <f>C27/C28</f>
        <v>20</v>
      </c>
      <c r="D29" s="92"/>
      <c r="E29" s="470"/>
      <c r="F29" s="470"/>
      <c r="G29" s="470"/>
      <c r="H29" s="470"/>
      <c r="I29" s="21"/>
      <c r="J29" s="17"/>
    </row>
    <row r="30" spans="1:10" ht="16.350000000000001" customHeight="1" x14ac:dyDescent="0.25">
      <c r="A30" s="1541" t="s">
        <v>39</v>
      </c>
      <c r="B30" s="1542"/>
      <c r="C30" s="15" t="s">
        <v>40</v>
      </c>
      <c r="D30" s="102"/>
      <c r="E30" s="102" t="s">
        <v>40</v>
      </c>
      <c r="F30" s="16">
        <f>F26/C29</f>
        <v>4.22</v>
      </c>
      <c r="G30" s="16"/>
      <c r="H30" s="16"/>
      <c r="I30" s="102" t="s">
        <v>40</v>
      </c>
      <c r="J30" s="102" t="s">
        <v>40</v>
      </c>
    </row>
    <row r="31" spans="1:10" ht="23.1" customHeight="1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ht="13.95" customHeight="1" x14ac:dyDescent="0.25">
      <c r="A32" s="1193"/>
      <c r="B32" s="1194" t="s">
        <v>49</v>
      </c>
      <c r="C32" s="1198"/>
      <c r="D32" s="1198"/>
      <c r="E32" s="1198"/>
      <c r="F32" s="1198"/>
      <c r="G32" s="1193"/>
      <c r="H32" s="1557">
        <f>'1-бутерброд с маслом'!$H$28</f>
        <v>0</v>
      </c>
      <c r="I32" s="1557"/>
      <c r="J32" s="1557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545" t="s">
        <v>327</v>
      </c>
      <c r="B34" s="1545"/>
      <c r="C34" s="1546" t="s">
        <v>328</v>
      </c>
      <c r="D34" s="1546"/>
      <c r="E34" s="1546"/>
      <c r="F34" s="1546"/>
      <c r="G34" s="106"/>
      <c r="H34" s="1531"/>
      <c r="I34" s="1531"/>
      <c r="J34" s="1531"/>
    </row>
    <row r="35" spans="1:10" x14ac:dyDescent="0.25">
      <c r="A35" s="1193"/>
      <c r="B35" s="1193"/>
      <c r="C35" s="1546"/>
      <c r="D35" s="1546"/>
      <c r="E35" s="1546"/>
      <c r="F35" s="1546"/>
      <c r="G35" s="1193"/>
      <c r="H35" s="1531" t="s">
        <v>329</v>
      </c>
      <c r="I35" s="1531"/>
      <c r="J35" s="1531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</sheetData>
  <mergeCells count="28">
    <mergeCell ref="H32:J32"/>
    <mergeCell ref="A13:G13"/>
    <mergeCell ref="A27:B27"/>
    <mergeCell ref="A28:B28"/>
    <mergeCell ref="A29:B29"/>
    <mergeCell ref="A30:B30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4:B34"/>
    <mergeCell ref="C34:F35"/>
    <mergeCell ref="H34:J34"/>
    <mergeCell ref="H35:J35"/>
    <mergeCell ref="H5:I5"/>
    <mergeCell ref="A6:G6"/>
    <mergeCell ref="A7:I7"/>
    <mergeCell ref="A26:B26"/>
    <mergeCell ref="A9:J9"/>
    <mergeCell ref="A11:J11"/>
    <mergeCell ref="I13:J13"/>
    <mergeCell ref="C14:G14"/>
  </mergeCells>
  <printOptions headings="1"/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34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243)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332</v>
      </c>
    </row>
    <row r="8" spans="1:10" s="2" customFormat="1" ht="9.6" customHeight="1" x14ac:dyDescent="0.25">
      <c r="A8" s="197"/>
      <c r="B8" s="197"/>
      <c r="C8" s="197"/>
      <c r="D8" s="197"/>
      <c r="E8" s="197"/>
      <c r="F8" s="197"/>
      <c r="G8" s="197"/>
      <c r="H8" s="197"/>
      <c r="I8" s="197"/>
      <c r="J8" s="109"/>
    </row>
    <row r="9" spans="1:10" s="2" customFormat="1" ht="26.1" customHeight="1" x14ac:dyDescent="0.3">
      <c r="A9" s="1550" t="s">
        <v>401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'331-соус с томатом (50)'!H14+1</f>
        <v>243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194" t="s">
        <v>92</v>
      </c>
      <c r="D17" s="194" t="s">
        <v>94</v>
      </c>
      <c r="E17" s="194" t="s">
        <v>93</v>
      </c>
      <c r="F17" s="194" t="s">
        <v>23</v>
      </c>
      <c r="G17" s="194" t="s">
        <v>92</v>
      </c>
      <c r="H17" s="194" t="s">
        <v>94</v>
      </c>
      <c r="I17" s="194" t="s">
        <v>92</v>
      </c>
      <c r="J17" s="194" t="s">
        <v>94</v>
      </c>
    </row>
    <row r="18" spans="1:10" ht="9.6" customHeight="1" x14ac:dyDescent="0.25">
      <c r="A18" s="194">
        <v>1</v>
      </c>
      <c r="B18" s="196">
        <v>2</v>
      </c>
      <c r="C18" s="194">
        <v>3</v>
      </c>
      <c r="D18" s="196">
        <v>4</v>
      </c>
      <c r="E18" s="194">
        <v>5</v>
      </c>
      <c r="F18" s="196">
        <v>6</v>
      </c>
      <c r="G18" s="194">
        <v>7</v>
      </c>
      <c r="H18" s="196">
        <v>8</v>
      </c>
      <c r="I18" s="194">
        <v>9</v>
      </c>
      <c r="J18" s="196">
        <v>10</v>
      </c>
    </row>
    <row r="19" spans="1:10" s="10" customFormat="1" ht="12" customHeight="1" x14ac:dyDescent="0.25">
      <c r="A19" s="180">
        <v>1</v>
      </c>
      <c r="B19" s="20" t="s">
        <v>121</v>
      </c>
      <c r="C19" s="111">
        <v>0.92</v>
      </c>
      <c r="D19" s="111">
        <v>0.92</v>
      </c>
      <c r="E19" s="13">
        <f>'330-соус сметанный'!F30</f>
        <v>61.41</v>
      </c>
      <c r="F19" s="13">
        <f>C19*E19</f>
        <v>56.5</v>
      </c>
      <c r="G19" s="97">
        <f t="shared" ref="G19:H21" si="0">C19*10</f>
        <v>9.1999999999999993</v>
      </c>
      <c r="H19" s="21">
        <f t="shared" si="0"/>
        <v>9.1999999999999993</v>
      </c>
      <c r="I19" s="21">
        <f t="shared" ref="I19:J21" si="1">C19*100</f>
        <v>92</v>
      </c>
      <c r="J19" s="21">
        <f t="shared" si="1"/>
        <v>92</v>
      </c>
    </row>
    <row r="20" spans="1:10" s="10" customFormat="1" ht="12" customHeight="1" x14ac:dyDescent="0.25">
      <c r="A20" s="180">
        <v>2</v>
      </c>
      <c r="B20" s="20" t="s">
        <v>48</v>
      </c>
      <c r="C20" s="111">
        <v>0.23799999999999999</v>
      </c>
      <c r="D20" s="111">
        <v>0.2</v>
      </c>
      <c r="E20" s="13">
        <f>цены!F38</f>
        <v>50</v>
      </c>
      <c r="F20" s="13">
        <f>C20*E20</f>
        <v>11.9</v>
      </c>
      <c r="G20" s="97">
        <f t="shared" si="0"/>
        <v>2.38</v>
      </c>
      <c r="H20" s="21">
        <f t="shared" si="0"/>
        <v>2</v>
      </c>
      <c r="I20" s="21">
        <f t="shared" si="1"/>
        <v>23.8</v>
      </c>
      <c r="J20" s="21">
        <f t="shared" si="1"/>
        <v>20</v>
      </c>
    </row>
    <row r="21" spans="1:10" s="10" customFormat="1" ht="12" customHeight="1" x14ac:dyDescent="0.25">
      <c r="A21" s="180">
        <v>4</v>
      </c>
      <c r="B21" s="20" t="s">
        <v>31</v>
      </c>
      <c r="C21" s="111">
        <v>0.02</v>
      </c>
      <c r="D21" s="111">
        <v>0.02</v>
      </c>
      <c r="E21" s="13">
        <f>цены!F21</f>
        <v>710</v>
      </c>
      <c r="F21" s="13">
        <f>C21*E21</f>
        <v>14.2</v>
      </c>
      <c r="G21" s="97">
        <f t="shared" si="0"/>
        <v>0.2</v>
      </c>
      <c r="H21" s="21">
        <f t="shared" si="0"/>
        <v>0.2</v>
      </c>
      <c r="I21" s="21">
        <f t="shared" si="1"/>
        <v>2</v>
      </c>
      <c r="J21" s="21">
        <f t="shared" si="1"/>
        <v>2</v>
      </c>
    </row>
    <row r="22" spans="1:10" s="10" customFormat="1" ht="12" customHeight="1" x14ac:dyDescent="0.25">
      <c r="A22" s="98"/>
      <c r="B22" s="93" t="s">
        <v>100</v>
      </c>
      <c r="C22" s="112"/>
      <c r="D22" s="112">
        <v>1</v>
      </c>
      <c r="E22" s="95"/>
      <c r="F22" s="95">
        <f>SUM(F19:F21)</f>
        <v>82.6</v>
      </c>
      <c r="G22" s="99"/>
      <c r="H22" s="100">
        <f>D22*10</f>
        <v>10</v>
      </c>
      <c r="I22" s="100"/>
      <c r="J22" s="100">
        <f>D22*100</f>
        <v>100</v>
      </c>
    </row>
    <row r="23" spans="1:10" s="10" customFormat="1" ht="27.6" customHeight="1" x14ac:dyDescent="0.25">
      <c r="A23" s="1536" t="s">
        <v>35</v>
      </c>
      <c r="B23" s="1536"/>
      <c r="C23" s="90"/>
      <c r="D23" s="90"/>
      <c r="E23" s="13"/>
      <c r="F23" s="13">
        <f>F22</f>
        <v>82.6</v>
      </c>
      <c r="G23" s="195"/>
      <c r="H23" s="195"/>
      <c r="I23" s="21"/>
      <c r="J23" s="13"/>
    </row>
    <row r="24" spans="1:10" s="10" customFormat="1" ht="25.35" customHeight="1" x14ac:dyDescent="0.25">
      <c r="A24" s="1536" t="s">
        <v>36</v>
      </c>
      <c r="B24" s="1536"/>
      <c r="C24" s="90">
        <v>1000</v>
      </c>
      <c r="D24" s="90"/>
      <c r="E24" s="13"/>
      <c r="F24" s="13"/>
      <c r="G24" s="13"/>
      <c r="H24" s="13"/>
      <c r="I24" s="21"/>
      <c r="J24" s="17"/>
    </row>
    <row r="25" spans="1:10" s="10" customFormat="1" ht="25.35" customHeight="1" x14ac:dyDescent="0.25">
      <c r="A25" s="1537" t="s">
        <v>37</v>
      </c>
      <c r="B25" s="1538"/>
      <c r="C25" s="91">
        <v>1000</v>
      </c>
      <c r="D25" s="92"/>
      <c r="E25" s="196"/>
      <c r="F25" s="196"/>
      <c r="G25" s="196"/>
      <c r="H25" s="196"/>
      <c r="I25" s="21"/>
      <c r="J25" s="17"/>
    </row>
    <row r="26" spans="1:10" s="10" customFormat="1" ht="15" customHeight="1" x14ac:dyDescent="0.25">
      <c r="A26" s="1539" t="s">
        <v>38</v>
      </c>
      <c r="B26" s="1540"/>
      <c r="C26" s="92">
        <f>C24/C25</f>
        <v>1</v>
      </c>
      <c r="D26" s="92"/>
      <c r="E26" s="196"/>
      <c r="F26" s="196"/>
      <c r="G26" s="196"/>
      <c r="H26" s="196"/>
      <c r="I26" s="21"/>
      <c r="J26" s="17"/>
    </row>
    <row r="27" spans="1:10" ht="16.350000000000001" customHeight="1" x14ac:dyDescent="0.25">
      <c r="A27" s="1541" t="s">
        <v>39</v>
      </c>
      <c r="B27" s="1542"/>
      <c r="C27" s="15" t="s">
        <v>40</v>
      </c>
      <c r="D27" s="102"/>
      <c r="E27" s="102" t="s">
        <v>40</v>
      </c>
      <c r="F27" s="16">
        <f>F23/C26</f>
        <v>82.6</v>
      </c>
      <c r="G27" s="16"/>
      <c r="H27" s="16"/>
      <c r="I27" s="102" t="s">
        <v>40</v>
      </c>
      <c r="J27" s="102" t="s">
        <v>40</v>
      </c>
    </row>
    <row r="28" spans="1:10" ht="23.1" customHeight="1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193"/>
      <c r="B29" s="1194" t="s">
        <v>49</v>
      </c>
      <c r="C29" s="1198"/>
      <c r="D29" s="1198"/>
      <c r="E29" s="1198"/>
      <c r="F29" s="1198"/>
      <c r="G29" s="1193"/>
      <c r="H29" s="1557">
        <f>'1-бутерброд с маслом'!$H$28</f>
        <v>0</v>
      </c>
      <c r="I29" s="1557"/>
      <c r="J29" s="1557"/>
    </row>
    <row r="30" spans="1:10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0" ht="13.95" customHeight="1" x14ac:dyDescent="0.25">
      <c r="A31" s="1545" t="s">
        <v>327</v>
      </c>
      <c r="B31" s="1545"/>
      <c r="C31" s="1546" t="s">
        <v>328</v>
      </c>
      <c r="D31" s="1546"/>
      <c r="E31" s="1546"/>
      <c r="F31" s="1546"/>
      <c r="G31" s="106"/>
      <c r="H31" s="1531"/>
      <c r="I31" s="1531"/>
      <c r="J31" s="1531"/>
    </row>
    <row r="32" spans="1:10" x14ac:dyDescent="0.25">
      <c r="A32" s="1193"/>
      <c r="B32" s="1193"/>
      <c r="C32" s="1546"/>
      <c r="D32" s="1546"/>
      <c r="E32" s="1546"/>
      <c r="F32" s="1546"/>
      <c r="G32" s="1193"/>
      <c r="H32" s="1531" t="s">
        <v>329</v>
      </c>
      <c r="I32" s="1531"/>
      <c r="J32" s="1531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</sheetData>
  <mergeCells count="28">
    <mergeCell ref="H29:J29"/>
    <mergeCell ref="A13:G13"/>
    <mergeCell ref="A24:B24"/>
    <mergeCell ref="A25:B25"/>
    <mergeCell ref="A26:B26"/>
    <mergeCell ref="A27:B27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1:B31"/>
    <mergeCell ref="C31:F32"/>
    <mergeCell ref="H31:J31"/>
    <mergeCell ref="H32:J32"/>
    <mergeCell ref="H5:I5"/>
    <mergeCell ref="A6:G6"/>
    <mergeCell ref="A7:I7"/>
    <mergeCell ref="A23:B23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34"/>
  <sheetViews>
    <sheetView view="pageBreakPreview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467" customWidth="1"/>
    <col min="2" max="2" width="21.109375" style="467" customWidth="1"/>
    <col min="3" max="7" width="7.5546875" style="467" customWidth="1"/>
    <col min="8" max="8" width="8.88671875" style="467" customWidth="1"/>
    <col min="9" max="9" width="7.5546875" style="467" customWidth="1"/>
    <col min="10" max="10" width="9" style="467" customWidth="1"/>
    <col min="11" max="11" width="4.109375" style="467" customWidth="1"/>
    <col min="12" max="16384" width="8.88671875" style="46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244)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332</v>
      </c>
    </row>
    <row r="8" spans="1:10" s="2" customFormat="1" ht="9.6" customHeight="1" x14ac:dyDescent="0.25">
      <c r="A8" s="471"/>
      <c r="B8" s="471"/>
      <c r="C8" s="471"/>
      <c r="D8" s="471"/>
      <c r="E8" s="471"/>
      <c r="F8" s="471"/>
      <c r="G8" s="471"/>
      <c r="H8" s="471"/>
      <c r="I8" s="471"/>
      <c r="J8" s="109"/>
    </row>
    <row r="9" spans="1:10" s="2" customFormat="1" ht="26.1" customHeight="1" x14ac:dyDescent="0.3">
      <c r="A9" s="1550" t="s">
        <v>760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'332-соус с луком'!H14+1</f>
        <v>244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468" t="s">
        <v>92</v>
      </c>
      <c r="D17" s="468" t="s">
        <v>94</v>
      </c>
      <c r="E17" s="468" t="s">
        <v>93</v>
      </c>
      <c r="F17" s="468" t="s">
        <v>23</v>
      </c>
      <c r="G17" s="468" t="s">
        <v>92</v>
      </c>
      <c r="H17" s="468" t="s">
        <v>94</v>
      </c>
      <c r="I17" s="468" t="s">
        <v>92</v>
      </c>
      <c r="J17" s="468" t="s">
        <v>94</v>
      </c>
    </row>
    <row r="18" spans="1:10" ht="9.6" customHeight="1" x14ac:dyDescent="0.25">
      <c r="A18" s="468">
        <v>1</v>
      </c>
      <c r="B18" s="470">
        <v>2</v>
      </c>
      <c r="C18" s="468">
        <v>3</v>
      </c>
      <c r="D18" s="470">
        <v>4</v>
      </c>
      <c r="E18" s="468">
        <v>5</v>
      </c>
      <c r="F18" s="470">
        <v>6</v>
      </c>
      <c r="G18" s="468">
        <v>7</v>
      </c>
      <c r="H18" s="470">
        <v>8</v>
      </c>
      <c r="I18" s="468">
        <v>9</v>
      </c>
      <c r="J18" s="470">
        <v>10</v>
      </c>
    </row>
    <row r="19" spans="1:10" s="10" customFormat="1" ht="12" customHeight="1" x14ac:dyDescent="0.25">
      <c r="A19" s="180">
        <v>1</v>
      </c>
      <c r="B19" s="20" t="s">
        <v>121</v>
      </c>
      <c r="C19" s="111">
        <v>0.92</v>
      </c>
      <c r="D19" s="111">
        <v>0.92</v>
      </c>
      <c r="E19" s="408">
        <f>'330-соус сметанный'!F30</f>
        <v>61.41</v>
      </c>
      <c r="F19" s="408">
        <f>C19*E19</f>
        <v>56.5</v>
      </c>
      <c r="G19" s="97">
        <f t="shared" ref="G19:H21" si="0">C19*10</f>
        <v>9.1999999999999993</v>
      </c>
      <c r="H19" s="21">
        <f t="shared" si="0"/>
        <v>9.1999999999999993</v>
      </c>
      <c r="I19" s="21">
        <f t="shared" ref="I19:J21" si="1">C19*100</f>
        <v>92</v>
      </c>
      <c r="J19" s="21">
        <f t="shared" si="1"/>
        <v>92</v>
      </c>
    </row>
    <row r="20" spans="1:10" s="10" customFormat="1" ht="12" customHeight="1" x14ac:dyDescent="0.25">
      <c r="A20" s="180">
        <v>2</v>
      </c>
      <c r="B20" s="20" t="s">
        <v>48</v>
      </c>
      <c r="C20" s="111">
        <v>0.23799999999999999</v>
      </c>
      <c r="D20" s="111">
        <v>0.2</v>
      </c>
      <c r="E20" s="408">
        <f>цены!F38</f>
        <v>50</v>
      </c>
      <c r="F20" s="408">
        <f>C20*E20</f>
        <v>11.9</v>
      </c>
      <c r="G20" s="97">
        <f t="shared" si="0"/>
        <v>2.38</v>
      </c>
      <c r="H20" s="21">
        <f t="shared" si="0"/>
        <v>2</v>
      </c>
      <c r="I20" s="21">
        <f t="shared" si="1"/>
        <v>23.8</v>
      </c>
      <c r="J20" s="21">
        <f t="shared" si="1"/>
        <v>20</v>
      </c>
    </row>
    <row r="21" spans="1:10" s="10" customFormat="1" ht="12" customHeight="1" x14ac:dyDescent="0.25">
      <c r="A21" s="180">
        <v>4</v>
      </c>
      <c r="B21" s="20" t="s">
        <v>31</v>
      </c>
      <c r="C21" s="111">
        <v>0.02</v>
      </c>
      <c r="D21" s="111">
        <v>0.02</v>
      </c>
      <c r="E21" s="408">
        <f>цены!F21</f>
        <v>710</v>
      </c>
      <c r="F21" s="408">
        <f>C21*E21</f>
        <v>14.2</v>
      </c>
      <c r="G21" s="97">
        <f t="shared" si="0"/>
        <v>0.2</v>
      </c>
      <c r="H21" s="21">
        <f t="shared" si="0"/>
        <v>0.2</v>
      </c>
      <c r="I21" s="21">
        <f t="shared" si="1"/>
        <v>2</v>
      </c>
      <c r="J21" s="21">
        <f t="shared" si="1"/>
        <v>2</v>
      </c>
    </row>
    <row r="22" spans="1:10" s="10" customFormat="1" ht="12" customHeight="1" x14ac:dyDescent="0.25">
      <c r="A22" s="98"/>
      <c r="B22" s="93" t="s">
        <v>100</v>
      </c>
      <c r="C22" s="112"/>
      <c r="D22" s="112">
        <v>1</v>
      </c>
      <c r="E22" s="95"/>
      <c r="F22" s="95">
        <f>SUM(F19:F21)</f>
        <v>82.6</v>
      </c>
      <c r="G22" s="99"/>
      <c r="H22" s="100">
        <f>D22*10</f>
        <v>10</v>
      </c>
      <c r="I22" s="100"/>
      <c r="J22" s="100">
        <f>D22*100</f>
        <v>100</v>
      </c>
    </row>
    <row r="23" spans="1:10" s="10" customFormat="1" ht="27.6" customHeight="1" x14ac:dyDescent="0.25">
      <c r="A23" s="1536" t="s">
        <v>35</v>
      </c>
      <c r="B23" s="1536"/>
      <c r="C23" s="90"/>
      <c r="D23" s="90"/>
      <c r="E23" s="408"/>
      <c r="F23" s="408">
        <f>F22</f>
        <v>82.6</v>
      </c>
      <c r="G23" s="469"/>
      <c r="H23" s="469"/>
      <c r="I23" s="21"/>
      <c r="J23" s="408"/>
    </row>
    <row r="24" spans="1:10" s="10" customFormat="1" ht="25.35" customHeight="1" x14ac:dyDescent="0.25">
      <c r="A24" s="1536" t="s">
        <v>36</v>
      </c>
      <c r="B24" s="1536"/>
      <c r="C24" s="90">
        <v>1000</v>
      </c>
      <c r="D24" s="90"/>
      <c r="E24" s="408"/>
      <c r="F24" s="408"/>
      <c r="G24" s="408"/>
      <c r="H24" s="408"/>
      <c r="I24" s="21"/>
      <c r="J24" s="17"/>
    </row>
    <row r="25" spans="1:10" s="10" customFormat="1" ht="25.35" customHeight="1" x14ac:dyDescent="0.25">
      <c r="A25" s="1537" t="s">
        <v>37</v>
      </c>
      <c r="B25" s="1538"/>
      <c r="C25" s="91">
        <v>30</v>
      </c>
      <c r="D25" s="92"/>
      <c r="E25" s="470"/>
      <c r="F25" s="470"/>
      <c r="G25" s="470"/>
      <c r="H25" s="470"/>
      <c r="I25" s="21"/>
      <c r="J25" s="17"/>
    </row>
    <row r="26" spans="1:10" s="10" customFormat="1" ht="15" customHeight="1" x14ac:dyDescent="0.25">
      <c r="A26" s="1539" t="s">
        <v>38</v>
      </c>
      <c r="B26" s="1540"/>
      <c r="C26" s="92">
        <f>C24/C25</f>
        <v>33.332999999999998</v>
      </c>
      <c r="D26" s="92"/>
      <c r="E26" s="470"/>
      <c r="F26" s="470"/>
      <c r="G26" s="470"/>
      <c r="H26" s="470"/>
      <c r="I26" s="21"/>
      <c r="J26" s="17"/>
    </row>
    <row r="27" spans="1:10" ht="16.350000000000001" customHeight="1" x14ac:dyDescent="0.25">
      <c r="A27" s="1541" t="s">
        <v>39</v>
      </c>
      <c r="B27" s="1542"/>
      <c r="C27" s="15" t="s">
        <v>40</v>
      </c>
      <c r="D27" s="102"/>
      <c r="E27" s="102" t="s">
        <v>40</v>
      </c>
      <c r="F27" s="16">
        <f>F23/C26</f>
        <v>2.48</v>
      </c>
      <c r="G27" s="16"/>
      <c r="H27" s="16"/>
      <c r="I27" s="102" t="s">
        <v>40</v>
      </c>
      <c r="J27" s="102" t="s">
        <v>40</v>
      </c>
    </row>
    <row r="28" spans="1:10" ht="23.1" customHeight="1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193"/>
      <c r="B29" s="1194" t="s">
        <v>49</v>
      </c>
      <c r="C29" s="1198"/>
      <c r="D29" s="1198"/>
      <c r="E29" s="1198"/>
      <c r="F29" s="1198"/>
      <c r="G29" s="1193"/>
      <c r="H29" s="1557">
        <f>'1-бутерброд с маслом'!$H$28</f>
        <v>0</v>
      </c>
      <c r="I29" s="1557"/>
      <c r="J29" s="1557"/>
    </row>
    <row r="30" spans="1:10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0" ht="13.95" customHeight="1" x14ac:dyDescent="0.25">
      <c r="A31" s="1545" t="s">
        <v>327</v>
      </c>
      <c r="B31" s="1545"/>
      <c r="C31" s="1546" t="s">
        <v>328</v>
      </c>
      <c r="D31" s="1546"/>
      <c r="E31" s="1546"/>
      <c r="F31" s="1546"/>
      <c r="G31" s="106"/>
      <c r="H31" s="1531"/>
      <c r="I31" s="1531"/>
      <c r="J31" s="1531"/>
    </row>
    <row r="32" spans="1:10" x14ac:dyDescent="0.25">
      <c r="A32" s="1193"/>
      <c r="B32" s="1193"/>
      <c r="C32" s="1546"/>
      <c r="D32" s="1546"/>
      <c r="E32" s="1546"/>
      <c r="F32" s="1546"/>
      <c r="G32" s="1193"/>
      <c r="H32" s="1531" t="s">
        <v>329</v>
      </c>
      <c r="I32" s="1531"/>
      <c r="J32" s="1531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</sheetData>
  <mergeCells count="28">
    <mergeCell ref="H29:J29"/>
    <mergeCell ref="A13:G13"/>
    <mergeCell ref="A24:B24"/>
    <mergeCell ref="A25:B25"/>
    <mergeCell ref="A26:B26"/>
    <mergeCell ref="A27:B27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1:B31"/>
    <mergeCell ref="C31:F32"/>
    <mergeCell ref="H31:J31"/>
    <mergeCell ref="H32:J32"/>
    <mergeCell ref="H5:I5"/>
    <mergeCell ref="A6:G6"/>
    <mergeCell ref="A7:I7"/>
    <mergeCell ref="A23:B23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M38"/>
  <sheetViews>
    <sheetView view="pageBreakPreview" topLeftCell="A14" zoomScaleNormal="100" zoomScaleSheetLayoutView="100" workbookViewId="0">
      <selection activeCell="A30" sqref="A30:J34"/>
    </sheetView>
  </sheetViews>
  <sheetFormatPr defaultRowHeight="13.8" x14ac:dyDescent="0.25"/>
  <cols>
    <col min="1" max="1" width="4.109375" customWidth="1"/>
    <col min="2" max="2" width="21" customWidth="1"/>
    <col min="3" max="3" width="8.88671875" customWidth="1"/>
    <col min="4" max="7" width="7.5546875" customWidth="1"/>
    <col min="8" max="8" width="7.44140625" customWidth="1"/>
    <col min="9" max="9" width="8.44140625" customWidth="1"/>
    <col min="10" max="10" width="9.109375" customWidth="1"/>
    <col min="11" max="11" width="4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20)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290"/>
      <c r="I6" s="290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24</v>
      </c>
    </row>
    <row r="8" spans="1:10" s="2" customFormat="1" ht="9.6" customHeight="1" x14ac:dyDescent="0.25">
      <c r="A8" s="291"/>
      <c r="B8" s="291"/>
      <c r="C8" s="291"/>
      <c r="D8" s="291"/>
      <c r="E8" s="291"/>
      <c r="F8" s="291"/>
      <c r="G8" s="291"/>
      <c r="H8" s="291"/>
      <c r="I8" s="291"/>
      <c r="J8" s="109"/>
    </row>
    <row r="9" spans="1:10" s="2" customFormat="1" ht="26.1" customHeight="1" x14ac:dyDescent="0.3">
      <c r="A9" s="1550" t="s">
        <v>602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'23-салат из помидоров (2)'!H14+1</f>
        <v>20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287" t="s">
        <v>92</v>
      </c>
      <c r="D17" s="287" t="s">
        <v>94</v>
      </c>
      <c r="E17" s="287" t="s">
        <v>93</v>
      </c>
      <c r="F17" s="287" t="s">
        <v>23</v>
      </c>
      <c r="G17" s="287" t="s">
        <v>92</v>
      </c>
      <c r="H17" s="287" t="s">
        <v>94</v>
      </c>
      <c r="I17" s="287" t="s">
        <v>92</v>
      </c>
      <c r="J17" s="287" t="s">
        <v>94</v>
      </c>
    </row>
    <row r="18" spans="1:13" ht="9.6" customHeight="1" x14ac:dyDescent="0.25">
      <c r="A18" s="287">
        <v>1</v>
      </c>
      <c r="B18" s="289">
        <v>2</v>
      </c>
      <c r="C18" s="287">
        <v>3</v>
      </c>
      <c r="D18" s="289">
        <v>4</v>
      </c>
      <c r="E18" s="287">
        <v>5</v>
      </c>
      <c r="F18" s="289">
        <v>6</v>
      </c>
      <c r="G18" s="287">
        <v>7</v>
      </c>
      <c r="H18" s="289">
        <v>8</v>
      </c>
      <c r="I18" s="287">
        <v>9</v>
      </c>
      <c r="J18" s="289">
        <v>10</v>
      </c>
    </row>
    <row r="19" spans="1:13" s="10" customFormat="1" ht="14.1" customHeight="1" x14ac:dyDescent="0.25">
      <c r="A19" s="180">
        <v>1</v>
      </c>
      <c r="B19" s="20" t="s">
        <v>516</v>
      </c>
      <c r="C19" s="21">
        <v>0.56499999999999995</v>
      </c>
      <c r="D19" s="21">
        <v>0.48</v>
      </c>
      <c r="E19" s="13">
        <f>цены!F41</f>
        <v>106</v>
      </c>
      <c r="F19" s="13">
        <f>C19*E19</f>
        <v>59.89</v>
      </c>
      <c r="G19" s="97">
        <f t="shared" ref="G19:H23" si="0">C19*10</f>
        <v>5.65</v>
      </c>
      <c r="H19" s="21">
        <f t="shared" si="0"/>
        <v>4.8</v>
      </c>
      <c r="I19" s="21">
        <f t="shared" ref="I19:J23" si="1">C19*100</f>
        <v>56.5</v>
      </c>
      <c r="J19" s="21">
        <f t="shared" si="1"/>
        <v>48</v>
      </c>
      <c r="L19" s="1015">
        <f>C19/C$28</f>
        <v>3.3899322013559698E-2</v>
      </c>
      <c r="M19" s="1015">
        <f>F19/C$28</f>
        <v>3.5933281334373302</v>
      </c>
    </row>
    <row r="20" spans="1:13" s="10" customFormat="1" ht="14.1" customHeight="1" x14ac:dyDescent="0.25">
      <c r="A20" s="180">
        <v>2</v>
      </c>
      <c r="B20" s="20" t="s">
        <v>514</v>
      </c>
      <c r="C20" s="21">
        <v>0.438</v>
      </c>
      <c r="D20" s="21">
        <v>0.35</v>
      </c>
      <c r="E20" s="13">
        <f>цены!F42</f>
        <v>60</v>
      </c>
      <c r="F20" s="13">
        <f>C20*E20</f>
        <v>26.28</v>
      </c>
      <c r="G20" s="97">
        <f t="shared" si="0"/>
        <v>4.38</v>
      </c>
      <c r="H20" s="21">
        <f t="shared" si="0"/>
        <v>3.5</v>
      </c>
      <c r="I20" s="21">
        <f t="shared" si="1"/>
        <v>43.8</v>
      </c>
      <c r="J20" s="21">
        <f t="shared" si="1"/>
        <v>35</v>
      </c>
      <c r="L20" s="1015">
        <f t="shared" ref="L20:L22" si="2">C20/C$28</f>
        <v>2.6279474410511799E-2</v>
      </c>
      <c r="M20" s="1015">
        <f t="shared" ref="M20:M22" si="3">F20/C$28</f>
        <v>1.5767684646307101</v>
      </c>
    </row>
    <row r="21" spans="1:13" s="10" customFormat="1" ht="14.1" customHeight="1" x14ac:dyDescent="0.25">
      <c r="A21" s="180">
        <v>3</v>
      </c>
      <c r="B21" s="20" t="s">
        <v>337</v>
      </c>
      <c r="C21" s="21">
        <v>0.15</v>
      </c>
      <c r="D21" s="21">
        <v>0.12</v>
      </c>
      <c r="E21" s="13">
        <f>цены!F39</f>
        <v>300</v>
      </c>
      <c r="F21" s="13">
        <f>C21*E21</f>
        <v>45</v>
      </c>
      <c r="G21" s="97">
        <f t="shared" si="0"/>
        <v>1.5</v>
      </c>
      <c r="H21" s="21">
        <f t="shared" si="0"/>
        <v>1.2</v>
      </c>
      <c r="I21" s="21">
        <f t="shared" si="1"/>
        <v>15</v>
      </c>
      <c r="J21" s="21">
        <f t="shared" si="1"/>
        <v>12</v>
      </c>
      <c r="L21" s="1015">
        <f t="shared" si="2"/>
        <v>8.9998200035999298E-3</v>
      </c>
      <c r="M21" s="1015">
        <f t="shared" si="3"/>
        <v>2.6999460010799798</v>
      </c>
    </row>
    <row r="22" spans="1:13" s="10" customFormat="1" ht="14.1" customHeight="1" x14ac:dyDescent="0.25">
      <c r="A22" s="180">
        <v>4</v>
      </c>
      <c r="B22" s="20" t="s">
        <v>74</v>
      </c>
      <c r="C22" s="21">
        <v>0.06</v>
      </c>
      <c r="D22" s="21">
        <v>0.06</v>
      </c>
      <c r="E22" s="13">
        <f>цены!F87</f>
        <v>120</v>
      </c>
      <c r="F22" s="13">
        <f>C22*E22</f>
        <v>7.2</v>
      </c>
      <c r="G22" s="97">
        <f t="shared" si="0"/>
        <v>0.6</v>
      </c>
      <c r="H22" s="21">
        <f t="shared" si="0"/>
        <v>0.6</v>
      </c>
      <c r="I22" s="21">
        <f t="shared" si="1"/>
        <v>6</v>
      </c>
      <c r="J22" s="21">
        <f t="shared" si="1"/>
        <v>6</v>
      </c>
      <c r="L22" s="1015">
        <f t="shared" si="2"/>
        <v>3.5999280014399702E-3</v>
      </c>
      <c r="M22" s="1015">
        <f t="shared" si="3"/>
        <v>0.43199136017279599</v>
      </c>
    </row>
    <row r="23" spans="1:13" s="10" customFormat="1" ht="14.1" customHeight="1" x14ac:dyDescent="0.25">
      <c r="A23" s="180">
        <v>5</v>
      </c>
      <c r="B23" s="20" t="s">
        <v>75</v>
      </c>
      <c r="C23" s="21">
        <f>0.002*C28</f>
        <v>3.3000000000000002E-2</v>
      </c>
      <c r="D23" s="21">
        <f>C23</f>
        <v>3.3000000000000002E-2</v>
      </c>
      <c r="E23" s="13">
        <f>цены!F110</f>
        <v>24</v>
      </c>
      <c r="F23" s="13">
        <f>C23*E23</f>
        <v>0.79</v>
      </c>
      <c r="G23" s="97">
        <f t="shared" si="0"/>
        <v>0.33</v>
      </c>
      <c r="H23" s="21">
        <f t="shared" si="0"/>
        <v>0.33</v>
      </c>
      <c r="I23" s="21">
        <f t="shared" si="1"/>
        <v>3.3</v>
      </c>
      <c r="J23" s="21">
        <f t="shared" si="1"/>
        <v>3.3</v>
      </c>
      <c r="L23" s="1015">
        <f t="shared" ref="L23" si="4">C23/C$28</f>
        <v>1.9799604007919801E-3</v>
      </c>
      <c r="M23" s="1015">
        <f t="shared" ref="M23" si="5">F23/C$28</f>
        <v>4.7399052018959602E-2</v>
      </c>
    </row>
    <row r="24" spans="1:13" s="10" customFormat="1" ht="12" customHeight="1" x14ac:dyDescent="0.25">
      <c r="A24" s="98"/>
      <c r="B24" s="93" t="s">
        <v>100</v>
      </c>
      <c r="C24" s="100"/>
      <c r="D24" s="100">
        <v>1</v>
      </c>
      <c r="E24" s="95"/>
      <c r="F24" s="95">
        <f>SUM(F19:F23)</f>
        <v>139.16</v>
      </c>
      <c r="G24" s="99"/>
      <c r="H24" s="100">
        <f>D24*10</f>
        <v>10</v>
      </c>
      <c r="I24" s="100"/>
      <c r="J24" s="100">
        <f>D24*100</f>
        <v>100</v>
      </c>
      <c r="L24" s="1015">
        <f>SUM(L19:L23)</f>
        <v>7.4758504829903399E-2</v>
      </c>
      <c r="M24" s="1015">
        <f>SUM(M19:M23)</f>
        <v>8.3494330113397801</v>
      </c>
    </row>
    <row r="25" spans="1:13" s="10" customFormat="1" ht="27.6" customHeight="1" x14ac:dyDescent="0.25">
      <c r="A25" s="1536" t="s">
        <v>35</v>
      </c>
      <c r="B25" s="1536"/>
      <c r="C25" s="90"/>
      <c r="D25" s="90"/>
      <c r="E25" s="13"/>
      <c r="F25" s="13">
        <f>F24</f>
        <v>139.16</v>
      </c>
      <c r="G25" s="288"/>
      <c r="H25" s="288"/>
      <c r="I25" s="21"/>
      <c r="J25" s="13"/>
    </row>
    <row r="26" spans="1:13" s="10" customFormat="1" ht="25.35" customHeight="1" x14ac:dyDescent="0.25">
      <c r="A26" s="1536" t="s">
        <v>36</v>
      </c>
      <c r="B26" s="1536"/>
      <c r="C26" s="90">
        <v>1000</v>
      </c>
      <c r="D26" s="90"/>
      <c r="E26" s="13"/>
      <c r="F26" s="13"/>
      <c r="G26" s="13"/>
      <c r="H26" s="13"/>
      <c r="I26" s="21"/>
      <c r="J26" s="17"/>
    </row>
    <row r="27" spans="1:13" s="10" customFormat="1" ht="25.35" customHeight="1" x14ac:dyDescent="0.25">
      <c r="A27" s="1537" t="s">
        <v>37</v>
      </c>
      <c r="B27" s="1538"/>
      <c r="C27" s="91">
        <v>60</v>
      </c>
      <c r="D27" s="92"/>
      <c r="E27" s="289"/>
      <c r="F27" s="289"/>
      <c r="G27" s="289"/>
      <c r="H27" s="289"/>
      <c r="I27" s="21"/>
      <c r="J27" s="17"/>
    </row>
    <row r="28" spans="1:13" s="10" customFormat="1" ht="15" customHeight="1" x14ac:dyDescent="0.25">
      <c r="A28" s="1539" t="s">
        <v>38</v>
      </c>
      <c r="B28" s="1540"/>
      <c r="C28" s="92">
        <f>C26/C27</f>
        <v>16.667000000000002</v>
      </c>
      <c r="D28" s="92"/>
      <c r="E28" s="289"/>
      <c r="F28" s="289"/>
      <c r="G28" s="289"/>
      <c r="H28" s="289"/>
      <c r="I28" s="21"/>
      <c r="J28" s="17"/>
    </row>
    <row r="29" spans="1:13" ht="16.350000000000001" customHeight="1" x14ac:dyDescent="0.25">
      <c r="A29" s="1541" t="s">
        <v>39</v>
      </c>
      <c r="B29" s="1542"/>
      <c r="C29" s="15" t="s">
        <v>40</v>
      </c>
      <c r="D29" s="102"/>
      <c r="E29" s="102" t="s">
        <v>40</v>
      </c>
      <c r="F29" s="16">
        <f>F25/C28</f>
        <v>8.35</v>
      </c>
      <c r="G29" s="16"/>
      <c r="H29" s="16"/>
      <c r="I29" s="102" t="s">
        <v>40</v>
      </c>
      <c r="J29" s="102" t="s">
        <v>40</v>
      </c>
    </row>
    <row r="30" spans="1:13" ht="23.1" customHeight="1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3" ht="13.95" customHeight="1" x14ac:dyDescent="0.25">
      <c r="A31" s="1193"/>
      <c r="B31" s="1194" t="s">
        <v>49</v>
      </c>
      <c r="C31" s="1198"/>
      <c r="D31" s="1198"/>
      <c r="E31" s="1198"/>
      <c r="F31" s="1198"/>
      <c r="G31" s="1193"/>
      <c r="H31" s="1557">
        <f>'1-бутерброд с маслом'!$H$28</f>
        <v>0</v>
      </c>
      <c r="I31" s="1557"/>
      <c r="J31" s="1557"/>
    </row>
    <row r="32" spans="1:13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545" t="s">
        <v>327</v>
      </c>
      <c r="B33" s="1545"/>
      <c r="C33" s="1546" t="s">
        <v>328</v>
      </c>
      <c r="D33" s="1546"/>
      <c r="E33" s="1546"/>
      <c r="F33" s="1546"/>
      <c r="G33" s="106"/>
      <c r="H33" s="1531"/>
      <c r="I33" s="1531"/>
      <c r="J33" s="1531"/>
    </row>
    <row r="34" spans="1:10" x14ac:dyDescent="0.25">
      <c r="A34" s="1193"/>
      <c r="B34" s="1193"/>
      <c r="C34" s="1546"/>
      <c r="D34" s="1546"/>
      <c r="E34" s="1546"/>
      <c r="F34" s="1546"/>
      <c r="G34" s="1193"/>
      <c r="H34" s="1531" t="s">
        <v>329</v>
      </c>
      <c r="I34" s="1531"/>
      <c r="J34" s="1531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</sheetData>
  <mergeCells count="28">
    <mergeCell ref="H31:J31"/>
    <mergeCell ref="A13:G13"/>
    <mergeCell ref="A26:B26"/>
    <mergeCell ref="A27:B27"/>
    <mergeCell ref="A28:B28"/>
    <mergeCell ref="A29:B29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3:B33"/>
    <mergeCell ref="C33:F34"/>
    <mergeCell ref="H33:J33"/>
    <mergeCell ref="H34:J34"/>
    <mergeCell ref="H5:I5"/>
    <mergeCell ref="A6:G6"/>
    <mergeCell ref="A7:I7"/>
    <mergeCell ref="A25:B25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34"/>
  <sheetViews>
    <sheetView view="pageBreakPreview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467" customWidth="1"/>
    <col min="2" max="2" width="21.109375" style="467" customWidth="1"/>
    <col min="3" max="7" width="7.5546875" style="467" customWidth="1"/>
    <col min="8" max="8" width="8.88671875" style="467" customWidth="1"/>
    <col min="9" max="9" width="7.5546875" style="467" customWidth="1"/>
    <col min="10" max="10" width="9" style="467" customWidth="1"/>
    <col min="11" max="11" width="4" style="467" customWidth="1"/>
    <col min="12" max="16384" width="8.88671875" style="46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245)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332</v>
      </c>
    </row>
    <row r="8" spans="1:10" s="2" customFormat="1" ht="9.6" customHeight="1" x14ac:dyDescent="0.25">
      <c r="A8" s="471"/>
      <c r="B8" s="471"/>
      <c r="C8" s="471"/>
      <c r="D8" s="471"/>
      <c r="E8" s="471"/>
      <c r="F8" s="471"/>
      <c r="G8" s="471"/>
      <c r="H8" s="471"/>
      <c r="I8" s="471"/>
      <c r="J8" s="109"/>
    </row>
    <row r="9" spans="1:10" s="2" customFormat="1" ht="26.1" customHeight="1" x14ac:dyDescent="0.3">
      <c r="A9" s="1550" t="s">
        <v>763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'332-соус с луком (30)'!H14+1</f>
        <v>245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468" t="s">
        <v>92</v>
      </c>
      <c r="D17" s="468" t="s">
        <v>94</v>
      </c>
      <c r="E17" s="468" t="s">
        <v>93</v>
      </c>
      <c r="F17" s="468" t="s">
        <v>23</v>
      </c>
      <c r="G17" s="468" t="s">
        <v>92</v>
      </c>
      <c r="H17" s="468" t="s">
        <v>94</v>
      </c>
      <c r="I17" s="468" t="s">
        <v>92</v>
      </c>
      <c r="J17" s="468" t="s">
        <v>94</v>
      </c>
    </row>
    <row r="18" spans="1:10" ht="9.6" customHeight="1" x14ac:dyDescent="0.25">
      <c r="A18" s="468">
        <v>1</v>
      </c>
      <c r="B18" s="470">
        <v>2</v>
      </c>
      <c r="C18" s="468">
        <v>3</v>
      </c>
      <c r="D18" s="470">
        <v>4</v>
      </c>
      <c r="E18" s="468">
        <v>5</v>
      </c>
      <c r="F18" s="470">
        <v>6</v>
      </c>
      <c r="G18" s="468">
        <v>7</v>
      </c>
      <c r="H18" s="470">
        <v>8</v>
      </c>
      <c r="I18" s="468">
        <v>9</v>
      </c>
      <c r="J18" s="470">
        <v>10</v>
      </c>
    </row>
    <row r="19" spans="1:10" s="10" customFormat="1" ht="12" customHeight="1" x14ac:dyDescent="0.25">
      <c r="A19" s="180">
        <v>1</v>
      </c>
      <c r="B19" s="20" t="s">
        <v>121</v>
      </c>
      <c r="C19" s="111">
        <v>0.92</v>
      </c>
      <c r="D19" s="111">
        <v>0.92</v>
      </c>
      <c r="E19" s="408">
        <f>'330-соус сметанный'!F30</f>
        <v>61.41</v>
      </c>
      <c r="F19" s="408">
        <f>C19*E19</f>
        <v>56.5</v>
      </c>
      <c r="G19" s="97">
        <f t="shared" ref="G19:H21" si="0">C19*10</f>
        <v>9.1999999999999993</v>
      </c>
      <c r="H19" s="21">
        <f t="shared" si="0"/>
        <v>9.1999999999999993</v>
      </c>
      <c r="I19" s="21">
        <f t="shared" ref="I19:J21" si="1">C19*100</f>
        <v>92</v>
      </c>
      <c r="J19" s="21">
        <f t="shared" si="1"/>
        <v>92</v>
      </c>
    </row>
    <row r="20" spans="1:10" s="10" customFormat="1" ht="12" customHeight="1" x14ac:dyDescent="0.25">
      <c r="A20" s="180">
        <v>2</v>
      </c>
      <c r="B20" s="20" t="s">
        <v>48</v>
      </c>
      <c r="C20" s="111">
        <v>0.23799999999999999</v>
      </c>
      <c r="D20" s="111">
        <v>0.2</v>
      </c>
      <c r="E20" s="408">
        <f>цены!F38</f>
        <v>50</v>
      </c>
      <c r="F20" s="408">
        <f>C20*E20</f>
        <v>11.9</v>
      </c>
      <c r="G20" s="97">
        <f t="shared" si="0"/>
        <v>2.38</v>
      </c>
      <c r="H20" s="21">
        <f t="shared" si="0"/>
        <v>2</v>
      </c>
      <c r="I20" s="21">
        <f t="shared" si="1"/>
        <v>23.8</v>
      </c>
      <c r="J20" s="21">
        <f t="shared" si="1"/>
        <v>20</v>
      </c>
    </row>
    <row r="21" spans="1:10" s="10" customFormat="1" ht="12" customHeight="1" x14ac:dyDescent="0.25">
      <c r="A21" s="180">
        <v>4</v>
      </c>
      <c r="B21" s="20" t="s">
        <v>31</v>
      </c>
      <c r="C21" s="111">
        <v>0.02</v>
      </c>
      <c r="D21" s="111">
        <v>0.02</v>
      </c>
      <c r="E21" s="408">
        <f>цены!F21</f>
        <v>710</v>
      </c>
      <c r="F21" s="408">
        <f>C21*E21</f>
        <v>14.2</v>
      </c>
      <c r="G21" s="97">
        <f t="shared" si="0"/>
        <v>0.2</v>
      </c>
      <c r="H21" s="21">
        <f t="shared" si="0"/>
        <v>0.2</v>
      </c>
      <c r="I21" s="21">
        <f t="shared" si="1"/>
        <v>2</v>
      </c>
      <c r="J21" s="21">
        <f t="shared" si="1"/>
        <v>2</v>
      </c>
    </row>
    <row r="22" spans="1:10" s="10" customFormat="1" ht="12" customHeight="1" x14ac:dyDescent="0.25">
      <c r="A22" s="98"/>
      <c r="B22" s="93" t="s">
        <v>100</v>
      </c>
      <c r="C22" s="112"/>
      <c r="D22" s="112">
        <v>1</v>
      </c>
      <c r="E22" s="95"/>
      <c r="F22" s="95">
        <f>SUM(F19:F21)</f>
        <v>82.6</v>
      </c>
      <c r="G22" s="99"/>
      <c r="H22" s="100">
        <f>D22*10</f>
        <v>10</v>
      </c>
      <c r="I22" s="100"/>
      <c r="J22" s="100">
        <f>D22*100</f>
        <v>100</v>
      </c>
    </row>
    <row r="23" spans="1:10" s="10" customFormat="1" ht="27.6" customHeight="1" x14ac:dyDescent="0.25">
      <c r="A23" s="1536" t="s">
        <v>35</v>
      </c>
      <c r="B23" s="1536"/>
      <c r="C23" s="90"/>
      <c r="D23" s="90"/>
      <c r="E23" s="408"/>
      <c r="F23" s="408">
        <f>F22</f>
        <v>82.6</v>
      </c>
      <c r="G23" s="469"/>
      <c r="H23" s="469"/>
      <c r="I23" s="21"/>
      <c r="J23" s="408"/>
    </row>
    <row r="24" spans="1:10" s="10" customFormat="1" ht="25.35" customHeight="1" x14ac:dyDescent="0.25">
      <c r="A24" s="1536" t="s">
        <v>36</v>
      </c>
      <c r="B24" s="1536"/>
      <c r="C24" s="90">
        <v>1000</v>
      </c>
      <c r="D24" s="90"/>
      <c r="E24" s="408"/>
      <c r="F24" s="408"/>
      <c r="G24" s="408"/>
      <c r="H24" s="408"/>
      <c r="I24" s="21"/>
      <c r="J24" s="17"/>
    </row>
    <row r="25" spans="1:10" s="10" customFormat="1" ht="25.35" customHeight="1" x14ac:dyDescent="0.25">
      <c r="A25" s="1537" t="s">
        <v>37</v>
      </c>
      <c r="B25" s="1538"/>
      <c r="C25" s="91">
        <v>50</v>
      </c>
      <c r="D25" s="92"/>
      <c r="E25" s="470"/>
      <c r="F25" s="470"/>
      <c r="G25" s="470"/>
      <c r="H25" s="470"/>
      <c r="I25" s="21"/>
      <c r="J25" s="17"/>
    </row>
    <row r="26" spans="1:10" s="10" customFormat="1" ht="15" customHeight="1" x14ac:dyDescent="0.25">
      <c r="A26" s="1539" t="s">
        <v>38</v>
      </c>
      <c r="B26" s="1540"/>
      <c r="C26" s="92">
        <f>C24/C25</f>
        <v>20</v>
      </c>
      <c r="D26" s="92"/>
      <c r="E26" s="470"/>
      <c r="F26" s="470"/>
      <c r="G26" s="470"/>
      <c r="H26" s="470"/>
      <c r="I26" s="21"/>
      <c r="J26" s="17"/>
    </row>
    <row r="27" spans="1:10" ht="16.350000000000001" customHeight="1" x14ac:dyDescent="0.25">
      <c r="A27" s="1541" t="s">
        <v>39</v>
      </c>
      <c r="B27" s="1542"/>
      <c r="C27" s="15" t="s">
        <v>40</v>
      </c>
      <c r="D27" s="102"/>
      <c r="E27" s="102" t="s">
        <v>40</v>
      </c>
      <c r="F27" s="16">
        <f>F23/C26</f>
        <v>4.13</v>
      </c>
      <c r="G27" s="16"/>
      <c r="H27" s="16"/>
      <c r="I27" s="102" t="s">
        <v>40</v>
      </c>
      <c r="J27" s="102" t="s">
        <v>40</v>
      </c>
    </row>
    <row r="28" spans="1:10" ht="23.1" customHeight="1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193"/>
      <c r="B29" s="1194" t="s">
        <v>49</v>
      </c>
      <c r="C29" s="1198"/>
      <c r="D29" s="1198"/>
      <c r="E29" s="1198"/>
      <c r="F29" s="1198"/>
      <c r="G29" s="1193"/>
      <c r="H29" s="1557">
        <f>'1-бутерброд с маслом'!$H$28</f>
        <v>0</v>
      </c>
      <c r="I29" s="1557"/>
      <c r="J29" s="1557"/>
    </row>
    <row r="30" spans="1:10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0" ht="13.95" customHeight="1" x14ac:dyDescent="0.25">
      <c r="A31" s="1545" t="s">
        <v>327</v>
      </c>
      <c r="B31" s="1545"/>
      <c r="C31" s="1546" t="s">
        <v>328</v>
      </c>
      <c r="D31" s="1546"/>
      <c r="E31" s="1546"/>
      <c r="F31" s="1546"/>
      <c r="G31" s="106"/>
      <c r="H31" s="1531"/>
      <c r="I31" s="1531"/>
      <c r="J31" s="1531"/>
    </row>
    <row r="32" spans="1:10" x14ac:dyDescent="0.25">
      <c r="A32" s="1193"/>
      <c r="B32" s="1193"/>
      <c r="C32" s="1546"/>
      <c r="D32" s="1546"/>
      <c r="E32" s="1546"/>
      <c r="F32" s="1546"/>
      <c r="G32" s="1193"/>
      <c r="H32" s="1531" t="s">
        <v>329</v>
      </c>
      <c r="I32" s="1531"/>
      <c r="J32" s="1531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</sheetData>
  <mergeCells count="28">
    <mergeCell ref="H29:J29"/>
    <mergeCell ref="A13:G13"/>
    <mergeCell ref="A24:B24"/>
    <mergeCell ref="A25:B25"/>
    <mergeCell ref="A26:B26"/>
    <mergeCell ref="A27:B27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1:B31"/>
    <mergeCell ref="C31:F32"/>
    <mergeCell ref="H31:J31"/>
    <mergeCell ref="H32:J32"/>
    <mergeCell ref="H5:I5"/>
    <mergeCell ref="A6:G6"/>
    <mergeCell ref="A7:I7"/>
    <mergeCell ref="A23:B23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35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246)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333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120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'332-соус с луком (50)'!H14+1</f>
        <v>246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2" customHeight="1" x14ac:dyDescent="0.25">
      <c r="A19" s="180">
        <v>1</v>
      </c>
      <c r="B19" s="20" t="s">
        <v>121</v>
      </c>
      <c r="C19" s="111">
        <v>0.9</v>
      </c>
      <c r="D19" s="111">
        <v>0.9</v>
      </c>
      <c r="E19" s="13">
        <f>'330-соус сметанный'!F26</f>
        <v>61.41</v>
      </c>
      <c r="F19" s="13">
        <f>C19*E19</f>
        <v>55.27</v>
      </c>
      <c r="G19" s="97">
        <f t="shared" ref="G19:H22" si="0">C19*10</f>
        <v>9</v>
      </c>
      <c r="H19" s="21">
        <f t="shared" si="0"/>
        <v>9</v>
      </c>
      <c r="I19" s="21">
        <f t="shared" ref="I19:J22" si="1">C19*100</f>
        <v>90</v>
      </c>
      <c r="J19" s="21">
        <f t="shared" si="1"/>
        <v>90</v>
      </c>
    </row>
    <row r="20" spans="1:10" s="10" customFormat="1" ht="12" customHeight="1" x14ac:dyDescent="0.25">
      <c r="A20" s="180">
        <v>2</v>
      </c>
      <c r="B20" s="20" t="s">
        <v>48</v>
      </c>
      <c r="C20" s="111">
        <v>0.23799999999999999</v>
      </c>
      <c r="D20" s="111">
        <v>0.2</v>
      </c>
      <c r="E20" s="13">
        <f>цены!F38</f>
        <v>50</v>
      </c>
      <c r="F20" s="13">
        <f>C20*E20</f>
        <v>11.9</v>
      </c>
      <c r="G20" s="97">
        <f t="shared" si="0"/>
        <v>2.38</v>
      </c>
      <c r="H20" s="21">
        <f t="shared" si="0"/>
        <v>2</v>
      </c>
      <c r="I20" s="21">
        <f t="shared" si="1"/>
        <v>23.8</v>
      </c>
      <c r="J20" s="21">
        <f t="shared" si="1"/>
        <v>20</v>
      </c>
    </row>
    <row r="21" spans="1:10" s="10" customFormat="1" ht="12" customHeight="1" x14ac:dyDescent="0.25">
      <c r="A21" s="180">
        <v>3</v>
      </c>
      <c r="B21" s="20" t="s">
        <v>31</v>
      </c>
      <c r="C21" s="111">
        <v>0.02</v>
      </c>
      <c r="D21" s="111">
        <v>0.02</v>
      </c>
      <c r="E21" s="13">
        <f>цены!F21</f>
        <v>710</v>
      </c>
      <c r="F21" s="13">
        <f>C21*E21</f>
        <v>14.2</v>
      </c>
      <c r="G21" s="97">
        <f t="shared" si="0"/>
        <v>0.2</v>
      </c>
      <c r="H21" s="21">
        <f t="shared" si="0"/>
        <v>0.2</v>
      </c>
      <c r="I21" s="21">
        <f t="shared" si="1"/>
        <v>2</v>
      </c>
      <c r="J21" s="21">
        <f t="shared" si="1"/>
        <v>2</v>
      </c>
    </row>
    <row r="22" spans="1:10" s="10" customFormat="1" ht="12" customHeight="1" x14ac:dyDescent="0.25">
      <c r="A22" s="180">
        <v>4</v>
      </c>
      <c r="B22" s="20" t="s">
        <v>46</v>
      </c>
      <c r="C22" s="111">
        <v>0.1</v>
      </c>
      <c r="D22" s="111">
        <v>0.1</v>
      </c>
      <c r="E22" s="13">
        <f>цены!F113</f>
        <v>230</v>
      </c>
      <c r="F22" s="13">
        <f>C22*E22</f>
        <v>23</v>
      </c>
      <c r="G22" s="97">
        <f t="shared" si="0"/>
        <v>1</v>
      </c>
      <c r="H22" s="21">
        <f t="shared" si="0"/>
        <v>1</v>
      </c>
      <c r="I22" s="21">
        <f t="shared" si="1"/>
        <v>10</v>
      </c>
      <c r="J22" s="21">
        <f t="shared" si="1"/>
        <v>10</v>
      </c>
    </row>
    <row r="23" spans="1:10" s="10" customFormat="1" ht="12" customHeight="1" x14ac:dyDescent="0.25">
      <c r="A23" s="98"/>
      <c r="B23" s="93" t="s">
        <v>100</v>
      </c>
      <c r="C23" s="112"/>
      <c r="D23" s="112">
        <v>1</v>
      </c>
      <c r="E23" s="95"/>
      <c r="F23" s="95">
        <f>SUM(F19:F22)</f>
        <v>104.37</v>
      </c>
      <c r="G23" s="99"/>
      <c r="H23" s="100">
        <f>D23*10</f>
        <v>10</v>
      </c>
      <c r="I23" s="100"/>
      <c r="J23" s="100">
        <f>D23*100</f>
        <v>100</v>
      </c>
    </row>
    <row r="24" spans="1:10" s="10" customFormat="1" ht="27.6" customHeight="1" x14ac:dyDescent="0.25">
      <c r="A24" s="1536" t="s">
        <v>35</v>
      </c>
      <c r="B24" s="1536"/>
      <c r="C24" s="90"/>
      <c r="D24" s="90"/>
      <c r="E24" s="13"/>
      <c r="F24" s="13">
        <f>F23</f>
        <v>104.37</v>
      </c>
      <c r="G24" s="14"/>
      <c r="H24" s="14"/>
      <c r="I24" s="21"/>
      <c r="J24" s="13"/>
    </row>
    <row r="25" spans="1:10" s="10" customFormat="1" ht="25.35" customHeight="1" x14ac:dyDescent="0.25">
      <c r="A25" s="1536" t="s">
        <v>36</v>
      </c>
      <c r="B25" s="1536"/>
      <c r="C25" s="90">
        <v>1000</v>
      </c>
      <c r="D25" s="90"/>
      <c r="E25" s="13"/>
      <c r="F25" s="13"/>
      <c r="G25" s="13"/>
      <c r="H25" s="13"/>
      <c r="I25" s="21"/>
      <c r="J25" s="17"/>
    </row>
    <row r="26" spans="1:10" s="10" customFormat="1" ht="25.35" customHeight="1" x14ac:dyDescent="0.25">
      <c r="A26" s="1537" t="s">
        <v>37</v>
      </c>
      <c r="B26" s="1538"/>
      <c r="C26" s="91">
        <v>1000</v>
      </c>
      <c r="D26" s="92"/>
      <c r="E26" s="5"/>
      <c r="F26" s="5"/>
      <c r="G26" s="5"/>
      <c r="H26" s="5"/>
      <c r="I26" s="21"/>
      <c r="J26" s="17"/>
    </row>
    <row r="27" spans="1:10" s="10" customFormat="1" ht="15" customHeight="1" x14ac:dyDescent="0.25">
      <c r="A27" s="1539" t="s">
        <v>38</v>
      </c>
      <c r="B27" s="1540"/>
      <c r="C27" s="92">
        <f>C25/C26</f>
        <v>1</v>
      </c>
      <c r="D27" s="92"/>
      <c r="E27" s="5"/>
      <c r="F27" s="5"/>
      <c r="G27" s="5"/>
      <c r="H27" s="5"/>
      <c r="I27" s="21"/>
      <c r="J27" s="17"/>
    </row>
    <row r="28" spans="1:10" ht="16.350000000000001" customHeight="1" x14ac:dyDescent="0.25">
      <c r="A28" s="1541" t="s">
        <v>39</v>
      </c>
      <c r="B28" s="1542"/>
      <c r="C28" s="15" t="s">
        <v>40</v>
      </c>
      <c r="D28" s="102"/>
      <c r="E28" s="102" t="s">
        <v>40</v>
      </c>
      <c r="F28" s="16">
        <f>F24/C27</f>
        <v>104.37</v>
      </c>
      <c r="G28" s="16"/>
      <c r="H28" s="16"/>
      <c r="I28" s="102" t="s">
        <v>40</v>
      </c>
      <c r="J28" s="102" t="s">
        <v>40</v>
      </c>
    </row>
    <row r="29" spans="1:10" ht="23.1" customHeight="1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0" ht="13.95" customHeight="1" x14ac:dyDescent="0.25">
      <c r="A30" s="1193"/>
      <c r="B30" s="1194" t="s">
        <v>49</v>
      </c>
      <c r="C30" s="1198"/>
      <c r="D30" s="1198"/>
      <c r="E30" s="1198"/>
      <c r="F30" s="1198"/>
      <c r="G30" s="1193"/>
      <c r="H30" s="1557">
        <f>'1-бутерброд с маслом'!$H$28</f>
        <v>0</v>
      </c>
      <c r="I30" s="1557"/>
      <c r="J30" s="1557"/>
    </row>
    <row r="31" spans="1:10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ht="13.95" customHeight="1" x14ac:dyDescent="0.25">
      <c r="A32" s="1545" t="s">
        <v>327</v>
      </c>
      <c r="B32" s="1545"/>
      <c r="C32" s="1546" t="s">
        <v>328</v>
      </c>
      <c r="D32" s="1546"/>
      <c r="E32" s="1546"/>
      <c r="F32" s="1546"/>
      <c r="G32" s="106"/>
      <c r="H32" s="1531"/>
      <c r="I32" s="1531"/>
      <c r="J32" s="1531"/>
    </row>
    <row r="33" spans="1:10" x14ac:dyDescent="0.25">
      <c r="A33" s="1193"/>
      <c r="B33" s="1193"/>
      <c r="C33" s="1546"/>
      <c r="D33" s="1546"/>
      <c r="E33" s="1546"/>
      <c r="F33" s="1546"/>
      <c r="G33" s="1193"/>
      <c r="H33" s="1531" t="s">
        <v>329</v>
      </c>
      <c r="I33" s="1531"/>
      <c r="J33" s="1531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</sheetData>
  <mergeCells count="28">
    <mergeCell ref="A25:B25"/>
    <mergeCell ref="A13:G13"/>
    <mergeCell ref="A26:B26"/>
    <mergeCell ref="A27:B27"/>
    <mergeCell ref="A28:B28"/>
    <mergeCell ref="A16:A17"/>
    <mergeCell ref="B16:B17"/>
    <mergeCell ref="A24:B24"/>
    <mergeCell ref="A6:G6"/>
    <mergeCell ref="A7:I7"/>
    <mergeCell ref="C16:F16"/>
    <mergeCell ref="G16:H16"/>
    <mergeCell ref="I16:J16"/>
    <mergeCell ref="A9:J9"/>
    <mergeCell ref="A11:J11"/>
    <mergeCell ref="I13:J13"/>
    <mergeCell ref="C14:G14"/>
    <mergeCell ref="I14:J14"/>
    <mergeCell ref="G1:J1"/>
    <mergeCell ref="G2:J2"/>
    <mergeCell ref="G3:J3"/>
    <mergeCell ref="A5:G5"/>
    <mergeCell ref="H5:I5"/>
    <mergeCell ref="A32:B32"/>
    <mergeCell ref="C32:F33"/>
    <mergeCell ref="H32:J32"/>
    <mergeCell ref="H33:J33"/>
    <mergeCell ref="H30:J30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35"/>
  <sheetViews>
    <sheetView view="pageBreakPreview" topLeftCell="A5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467" customWidth="1"/>
    <col min="2" max="2" width="21.109375" style="467" customWidth="1"/>
    <col min="3" max="7" width="7.5546875" style="467" customWidth="1"/>
    <col min="8" max="8" width="8.88671875" style="467" customWidth="1"/>
    <col min="9" max="9" width="7.5546875" style="467" customWidth="1"/>
    <col min="10" max="10" width="9" style="467" customWidth="1"/>
    <col min="11" max="11" width="2.44140625" style="467" customWidth="1"/>
    <col min="12" max="16384" width="8.88671875" style="46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247)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333</v>
      </c>
    </row>
    <row r="8" spans="1:10" s="2" customFormat="1" ht="9.6" customHeight="1" x14ac:dyDescent="0.25">
      <c r="A8" s="471"/>
      <c r="B8" s="471"/>
      <c r="C8" s="471"/>
      <c r="D8" s="471"/>
      <c r="E8" s="471"/>
      <c r="F8" s="471"/>
      <c r="G8" s="471"/>
      <c r="H8" s="471"/>
      <c r="I8" s="471"/>
      <c r="J8" s="109"/>
    </row>
    <row r="9" spans="1:10" s="2" customFormat="1" ht="26.1" customHeight="1" x14ac:dyDescent="0.3">
      <c r="A9" s="1550" t="s">
        <v>761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'333-соус с томатом и лук'!H14+1</f>
        <v>247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40.5" customHeight="1" x14ac:dyDescent="0.25">
      <c r="A17" s="1543"/>
      <c r="B17" s="1543"/>
      <c r="C17" s="468" t="s">
        <v>92</v>
      </c>
      <c r="D17" s="468" t="s">
        <v>94</v>
      </c>
      <c r="E17" s="468" t="s">
        <v>93</v>
      </c>
      <c r="F17" s="468" t="s">
        <v>23</v>
      </c>
      <c r="G17" s="468" t="s">
        <v>92</v>
      </c>
      <c r="H17" s="468" t="s">
        <v>94</v>
      </c>
      <c r="I17" s="468" t="s">
        <v>92</v>
      </c>
      <c r="J17" s="468" t="s">
        <v>94</v>
      </c>
    </row>
    <row r="18" spans="1:10" ht="13.5" customHeight="1" x14ac:dyDescent="0.25">
      <c r="A18" s="468">
        <v>1</v>
      </c>
      <c r="B18" s="470">
        <v>2</v>
      </c>
      <c r="C18" s="468">
        <v>3</v>
      </c>
      <c r="D18" s="470">
        <v>4</v>
      </c>
      <c r="E18" s="468">
        <v>5</v>
      </c>
      <c r="F18" s="470">
        <v>6</v>
      </c>
      <c r="G18" s="468">
        <v>7</v>
      </c>
      <c r="H18" s="470">
        <v>8</v>
      </c>
      <c r="I18" s="468">
        <v>9</v>
      </c>
      <c r="J18" s="470">
        <v>10</v>
      </c>
    </row>
    <row r="19" spans="1:10" s="10" customFormat="1" ht="12" customHeight="1" x14ac:dyDescent="0.25">
      <c r="A19" s="180">
        <v>1</v>
      </c>
      <c r="B19" s="20" t="s">
        <v>121</v>
      </c>
      <c r="C19" s="111">
        <v>0.9</v>
      </c>
      <c r="D19" s="111">
        <v>0.9</v>
      </c>
      <c r="E19" s="408">
        <f>'330-соус сметанный'!F26</f>
        <v>61.41</v>
      </c>
      <c r="F19" s="408">
        <f>C19*E19</f>
        <v>55.27</v>
      </c>
      <c r="G19" s="97">
        <f t="shared" ref="G19:H22" si="0">C19*10</f>
        <v>9</v>
      </c>
      <c r="H19" s="21">
        <f t="shared" si="0"/>
        <v>9</v>
      </c>
      <c r="I19" s="21">
        <f t="shared" ref="I19:J22" si="1">C19*100</f>
        <v>90</v>
      </c>
      <c r="J19" s="21">
        <f t="shared" si="1"/>
        <v>90</v>
      </c>
    </row>
    <row r="20" spans="1:10" s="10" customFormat="1" ht="12" customHeight="1" x14ac:dyDescent="0.25">
      <c r="A20" s="180">
        <v>2</v>
      </c>
      <c r="B20" s="20" t="s">
        <v>48</v>
      </c>
      <c r="C20" s="111">
        <v>0.23799999999999999</v>
      </c>
      <c r="D20" s="111">
        <v>0.2</v>
      </c>
      <c r="E20" s="408">
        <f>цены!F38</f>
        <v>50</v>
      </c>
      <c r="F20" s="408">
        <f>C20*E20</f>
        <v>11.9</v>
      </c>
      <c r="G20" s="97">
        <f t="shared" si="0"/>
        <v>2.38</v>
      </c>
      <c r="H20" s="21">
        <f t="shared" si="0"/>
        <v>2</v>
      </c>
      <c r="I20" s="21">
        <f t="shared" si="1"/>
        <v>23.8</v>
      </c>
      <c r="J20" s="21">
        <f t="shared" si="1"/>
        <v>20</v>
      </c>
    </row>
    <row r="21" spans="1:10" s="10" customFormat="1" ht="12" customHeight="1" x14ac:dyDescent="0.25">
      <c r="A21" s="180">
        <v>3</v>
      </c>
      <c r="B21" s="20" t="s">
        <v>31</v>
      </c>
      <c r="C21" s="111">
        <v>0.02</v>
      </c>
      <c r="D21" s="111">
        <v>0.02</v>
      </c>
      <c r="E21" s="408">
        <f>цены!F21</f>
        <v>710</v>
      </c>
      <c r="F21" s="408">
        <f>C21*E21</f>
        <v>14.2</v>
      </c>
      <c r="G21" s="97">
        <f t="shared" si="0"/>
        <v>0.2</v>
      </c>
      <c r="H21" s="21">
        <f t="shared" si="0"/>
        <v>0.2</v>
      </c>
      <c r="I21" s="21">
        <f t="shared" si="1"/>
        <v>2</v>
      </c>
      <c r="J21" s="21">
        <f t="shared" si="1"/>
        <v>2</v>
      </c>
    </row>
    <row r="22" spans="1:10" s="10" customFormat="1" ht="12" customHeight="1" x14ac:dyDescent="0.25">
      <c r="A22" s="180">
        <v>4</v>
      </c>
      <c r="B22" s="20" t="s">
        <v>46</v>
      </c>
      <c r="C22" s="111">
        <v>0.1</v>
      </c>
      <c r="D22" s="111">
        <v>0.1</v>
      </c>
      <c r="E22" s="408">
        <f>цены!F113</f>
        <v>230</v>
      </c>
      <c r="F22" s="408">
        <f>C22*E22</f>
        <v>23</v>
      </c>
      <c r="G22" s="97">
        <f t="shared" si="0"/>
        <v>1</v>
      </c>
      <c r="H22" s="21">
        <f t="shared" si="0"/>
        <v>1</v>
      </c>
      <c r="I22" s="21">
        <f t="shared" si="1"/>
        <v>10</v>
      </c>
      <c r="J22" s="21">
        <f t="shared" si="1"/>
        <v>10</v>
      </c>
    </row>
    <row r="23" spans="1:10" s="10" customFormat="1" ht="12" customHeight="1" x14ac:dyDescent="0.25">
      <c r="A23" s="98"/>
      <c r="B23" s="93" t="s">
        <v>100</v>
      </c>
      <c r="C23" s="112"/>
      <c r="D23" s="112">
        <v>1</v>
      </c>
      <c r="E23" s="95"/>
      <c r="F23" s="95">
        <f>SUM(F19:F22)</f>
        <v>104.37</v>
      </c>
      <c r="G23" s="99"/>
      <c r="H23" s="100">
        <f>D23*10</f>
        <v>10</v>
      </c>
      <c r="I23" s="100"/>
      <c r="J23" s="100">
        <f>D23*100</f>
        <v>100</v>
      </c>
    </row>
    <row r="24" spans="1:10" s="10" customFormat="1" ht="27.6" customHeight="1" x14ac:dyDescent="0.25">
      <c r="A24" s="1536" t="s">
        <v>35</v>
      </c>
      <c r="B24" s="1536"/>
      <c r="C24" s="90"/>
      <c r="D24" s="90"/>
      <c r="E24" s="408"/>
      <c r="F24" s="408">
        <f>F23</f>
        <v>104.37</v>
      </c>
      <c r="G24" s="469"/>
      <c r="H24" s="469"/>
      <c r="I24" s="21"/>
      <c r="J24" s="408"/>
    </row>
    <row r="25" spans="1:10" s="10" customFormat="1" ht="25.35" customHeight="1" x14ac:dyDescent="0.25">
      <c r="A25" s="1536" t="s">
        <v>36</v>
      </c>
      <c r="B25" s="1536"/>
      <c r="C25" s="90">
        <v>1000</v>
      </c>
      <c r="D25" s="90"/>
      <c r="E25" s="408"/>
      <c r="F25" s="408"/>
      <c r="G25" s="408"/>
      <c r="H25" s="408"/>
      <c r="I25" s="21"/>
      <c r="J25" s="17"/>
    </row>
    <row r="26" spans="1:10" s="10" customFormat="1" ht="25.35" customHeight="1" x14ac:dyDescent="0.25">
      <c r="A26" s="1537" t="s">
        <v>37</v>
      </c>
      <c r="B26" s="1538"/>
      <c r="C26" s="91">
        <v>30</v>
      </c>
      <c r="D26" s="92"/>
      <c r="E26" s="470"/>
      <c r="F26" s="470"/>
      <c r="G26" s="470"/>
      <c r="H26" s="470"/>
      <c r="I26" s="21"/>
      <c r="J26" s="17"/>
    </row>
    <row r="27" spans="1:10" s="10" customFormat="1" ht="15" customHeight="1" x14ac:dyDescent="0.25">
      <c r="A27" s="1539" t="s">
        <v>38</v>
      </c>
      <c r="B27" s="1540"/>
      <c r="C27" s="92">
        <f>C25/C26</f>
        <v>33.332999999999998</v>
      </c>
      <c r="D27" s="92"/>
      <c r="E27" s="470"/>
      <c r="F27" s="470"/>
      <c r="G27" s="470"/>
      <c r="H27" s="470"/>
      <c r="I27" s="21"/>
      <c r="J27" s="17"/>
    </row>
    <row r="28" spans="1:10" ht="16.350000000000001" customHeight="1" x14ac:dyDescent="0.25">
      <c r="A28" s="1541" t="s">
        <v>39</v>
      </c>
      <c r="B28" s="1542"/>
      <c r="C28" s="15" t="s">
        <v>40</v>
      </c>
      <c r="D28" s="102"/>
      <c r="E28" s="102" t="s">
        <v>40</v>
      </c>
      <c r="F28" s="16">
        <f>F24/C27</f>
        <v>3.13</v>
      </c>
      <c r="G28" s="16"/>
      <c r="H28" s="16"/>
      <c r="I28" s="102" t="s">
        <v>40</v>
      </c>
      <c r="J28" s="102" t="s">
        <v>40</v>
      </c>
    </row>
    <row r="29" spans="1:10" ht="23.1" customHeight="1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0" ht="13.95" customHeight="1" x14ac:dyDescent="0.25">
      <c r="A30" s="1193"/>
      <c r="B30" s="1194" t="s">
        <v>49</v>
      </c>
      <c r="C30" s="1198"/>
      <c r="D30" s="1198"/>
      <c r="E30" s="1198"/>
      <c r="F30" s="1198"/>
      <c r="G30" s="1193"/>
      <c r="H30" s="1557">
        <f>'1-бутерброд с маслом'!$H$28</f>
        <v>0</v>
      </c>
      <c r="I30" s="1557"/>
      <c r="J30" s="1557"/>
    </row>
    <row r="31" spans="1:10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ht="13.95" customHeight="1" x14ac:dyDescent="0.25">
      <c r="A32" s="1545" t="s">
        <v>327</v>
      </c>
      <c r="B32" s="1545"/>
      <c r="C32" s="1546" t="s">
        <v>328</v>
      </c>
      <c r="D32" s="1546"/>
      <c r="E32" s="1546"/>
      <c r="F32" s="1546"/>
      <c r="G32" s="106"/>
      <c r="H32" s="1531"/>
      <c r="I32" s="1531"/>
      <c r="J32" s="1531"/>
    </row>
    <row r="33" spans="1:10" x14ac:dyDescent="0.25">
      <c r="A33" s="1193"/>
      <c r="B33" s="1193"/>
      <c r="C33" s="1546"/>
      <c r="D33" s="1546"/>
      <c r="E33" s="1546"/>
      <c r="F33" s="1546"/>
      <c r="G33" s="1193"/>
      <c r="H33" s="1531" t="s">
        <v>329</v>
      </c>
      <c r="I33" s="1531"/>
      <c r="J33" s="1531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</sheetData>
  <mergeCells count="28">
    <mergeCell ref="H30:J30"/>
    <mergeCell ref="A13:G13"/>
    <mergeCell ref="A25:B25"/>
    <mergeCell ref="A26:B26"/>
    <mergeCell ref="A27:B27"/>
    <mergeCell ref="A28:B28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2:B32"/>
    <mergeCell ref="C32:F33"/>
    <mergeCell ref="H32:J32"/>
    <mergeCell ref="H33:J33"/>
    <mergeCell ref="H5:I5"/>
    <mergeCell ref="A6:G6"/>
    <mergeCell ref="A7:I7"/>
    <mergeCell ref="A24:B24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33"/>
  <sheetViews>
    <sheetView view="pageBreakPreview" topLeftCell="A10" zoomScaleNormal="100" zoomScaleSheetLayoutView="100" workbookViewId="0">
      <selection activeCell="F24" sqref="F24"/>
    </sheetView>
  </sheetViews>
  <sheetFormatPr defaultColWidth="8.88671875" defaultRowHeight="13.8" x14ac:dyDescent="0.25"/>
  <cols>
    <col min="1" max="1" width="4.109375" style="467" customWidth="1"/>
    <col min="2" max="2" width="21.109375" style="467" customWidth="1"/>
    <col min="3" max="7" width="7.5546875" style="467" customWidth="1"/>
    <col min="8" max="8" width="8.88671875" style="467" customWidth="1"/>
    <col min="9" max="9" width="7.5546875" style="467" customWidth="1"/>
    <col min="10" max="10" width="9" style="467" customWidth="1"/>
    <col min="11" max="11" width="4.5546875" style="467" customWidth="1"/>
    <col min="12" max="16384" width="8.88671875" style="46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248)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334</v>
      </c>
    </row>
    <row r="8" spans="1:10" s="2" customFormat="1" ht="9.6" customHeight="1" x14ac:dyDescent="0.25">
      <c r="A8" s="471"/>
      <c r="B8" s="471"/>
      <c r="C8" s="471"/>
      <c r="D8" s="471"/>
      <c r="E8" s="471"/>
      <c r="F8" s="471"/>
      <c r="G8" s="471"/>
      <c r="H8" s="471"/>
      <c r="I8" s="471"/>
      <c r="J8" s="109"/>
    </row>
    <row r="9" spans="1:10" s="2" customFormat="1" ht="26.1" customHeight="1" x14ac:dyDescent="0.3">
      <c r="A9" s="1550" t="s">
        <v>934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'333-соус с томатом и лук (30)'!H14+1</f>
        <v>248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468" t="s">
        <v>92</v>
      </c>
      <c r="D17" s="468" t="s">
        <v>94</v>
      </c>
      <c r="E17" s="468" t="s">
        <v>93</v>
      </c>
      <c r="F17" s="468" t="s">
        <v>23</v>
      </c>
      <c r="G17" s="468" t="s">
        <v>92</v>
      </c>
      <c r="H17" s="468" t="s">
        <v>94</v>
      </c>
      <c r="I17" s="468" t="s">
        <v>92</v>
      </c>
      <c r="J17" s="468" t="s">
        <v>94</v>
      </c>
    </row>
    <row r="18" spans="1:10" ht="9.6" customHeight="1" x14ac:dyDescent="0.25">
      <c r="A18" s="468">
        <v>1</v>
      </c>
      <c r="B18" s="470">
        <v>2</v>
      </c>
      <c r="C18" s="468">
        <v>3</v>
      </c>
      <c r="D18" s="470">
        <v>4</v>
      </c>
      <c r="E18" s="468">
        <v>5</v>
      </c>
      <c r="F18" s="470">
        <v>6</v>
      </c>
      <c r="G18" s="468">
        <v>7</v>
      </c>
      <c r="H18" s="470">
        <v>8</v>
      </c>
      <c r="I18" s="468">
        <v>9</v>
      </c>
      <c r="J18" s="470">
        <v>10</v>
      </c>
    </row>
    <row r="19" spans="1:10" s="10" customFormat="1" ht="12" customHeight="1" x14ac:dyDescent="0.25">
      <c r="A19" s="180">
        <v>1</v>
      </c>
      <c r="B19" s="20" t="s">
        <v>935</v>
      </c>
      <c r="C19" s="21">
        <v>0.6</v>
      </c>
      <c r="D19" s="111">
        <v>0.51</v>
      </c>
      <c r="E19" s="408">
        <f>цены!F59</f>
        <v>250</v>
      </c>
      <c r="F19" s="408">
        <f>C19*E19</f>
        <v>150</v>
      </c>
      <c r="G19" s="97">
        <f>C19*10</f>
        <v>6</v>
      </c>
      <c r="H19" s="21">
        <f>D19*10</f>
        <v>5.0999999999999996</v>
      </c>
      <c r="I19" s="21">
        <f>C19*100</f>
        <v>60</v>
      </c>
      <c r="J19" s="21">
        <f>D19*100</f>
        <v>51</v>
      </c>
    </row>
    <row r="20" spans="1:10" s="10" customFormat="1" ht="12" customHeight="1" x14ac:dyDescent="0.25">
      <c r="A20" s="180">
        <v>2</v>
      </c>
      <c r="B20" s="20" t="s">
        <v>30</v>
      </c>
      <c r="C20" s="111">
        <v>0.6</v>
      </c>
      <c r="D20" s="111">
        <v>0.6</v>
      </c>
      <c r="E20" s="408">
        <f>цены!F107</f>
        <v>76</v>
      </c>
      <c r="F20" s="408">
        <f>C20*E20</f>
        <v>45.6</v>
      </c>
      <c r="G20" s="97">
        <f>C20*10</f>
        <v>6</v>
      </c>
      <c r="H20" s="21">
        <f>D20*10</f>
        <v>6</v>
      </c>
      <c r="I20" s="21">
        <f>C20*100</f>
        <v>60</v>
      </c>
      <c r="J20" s="21">
        <f>D20*100</f>
        <v>60</v>
      </c>
    </row>
    <row r="21" spans="1:10" s="10" customFormat="1" ht="12" customHeight="1" x14ac:dyDescent="0.25">
      <c r="A21" s="98"/>
      <c r="B21" s="93" t="s">
        <v>100</v>
      </c>
      <c r="C21" s="112"/>
      <c r="D21" s="112">
        <v>1</v>
      </c>
      <c r="E21" s="95"/>
      <c r="F21" s="95">
        <f>SUM(F19:F20)</f>
        <v>195.6</v>
      </c>
      <c r="G21" s="99"/>
      <c r="H21" s="100">
        <f>D21*10</f>
        <v>10</v>
      </c>
      <c r="I21" s="100"/>
      <c r="J21" s="100">
        <f>D21*100</f>
        <v>100</v>
      </c>
    </row>
    <row r="22" spans="1:10" s="10" customFormat="1" ht="27.6" customHeight="1" x14ac:dyDescent="0.25">
      <c r="A22" s="1536" t="s">
        <v>35</v>
      </c>
      <c r="B22" s="1536"/>
      <c r="C22" s="90"/>
      <c r="D22" s="90"/>
      <c r="E22" s="408"/>
      <c r="F22" s="408">
        <f>F21</f>
        <v>195.6</v>
      </c>
      <c r="G22" s="469"/>
      <c r="H22" s="469"/>
      <c r="I22" s="21"/>
      <c r="J22" s="408"/>
    </row>
    <row r="23" spans="1:10" s="10" customFormat="1" ht="25.35" customHeight="1" x14ac:dyDescent="0.25">
      <c r="A23" s="1536" t="s">
        <v>36</v>
      </c>
      <c r="B23" s="1536"/>
      <c r="C23" s="90">
        <v>1000</v>
      </c>
      <c r="D23" s="90"/>
      <c r="E23" s="408"/>
      <c r="F23" s="408"/>
      <c r="G23" s="408"/>
      <c r="H23" s="408"/>
      <c r="I23" s="21"/>
      <c r="J23" s="17"/>
    </row>
    <row r="24" spans="1:10" s="10" customFormat="1" ht="25.35" customHeight="1" x14ac:dyDescent="0.25">
      <c r="A24" s="1537" t="s">
        <v>37</v>
      </c>
      <c r="B24" s="1538"/>
      <c r="C24" s="91">
        <v>50</v>
      </c>
      <c r="D24" s="92"/>
      <c r="E24" s="470"/>
      <c r="F24" s="470"/>
      <c r="G24" s="470"/>
      <c r="H24" s="470"/>
      <c r="I24" s="21"/>
      <c r="J24" s="17"/>
    </row>
    <row r="25" spans="1:10" s="10" customFormat="1" ht="15" customHeight="1" x14ac:dyDescent="0.25">
      <c r="A25" s="1539" t="s">
        <v>38</v>
      </c>
      <c r="B25" s="1540"/>
      <c r="C25" s="92">
        <f>C23/C24</f>
        <v>20</v>
      </c>
      <c r="D25" s="92"/>
      <c r="E25" s="470"/>
      <c r="F25" s="470"/>
      <c r="G25" s="470"/>
      <c r="H25" s="470"/>
      <c r="I25" s="21"/>
      <c r="J25" s="17"/>
    </row>
    <row r="26" spans="1:10" ht="16.350000000000001" customHeight="1" x14ac:dyDescent="0.25">
      <c r="A26" s="1541" t="s">
        <v>39</v>
      </c>
      <c r="B26" s="1542"/>
      <c r="C26" s="15" t="s">
        <v>40</v>
      </c>
      <c r="D26" s="102"/>
      <c r="E26" s="102" t="s">
        <v>40</v>
      </c>
      <c r="F26" s="16">
        <f>F22/C25</f>
        <v>9.7799999999999994</v>
      </c>
      <c r="G26" s="16"/>
      <c r="H26" s="16"/>
      <c r="I26" s="102" t="s">
        <v>40</v>
      </c>
      <c r="J26" s="102" t="s">
        <v>40</v>
      </c>
    </row>
    <row r="27" spans="1:10" ht="23.1" customHeight="1" x14ac:dyDescent="0.25">
      <c r="A27" s="1193"/>
      <c r="B27" s="1193"/>
      <c r="C27" s="1193"/>
      <c r="D27" s="1193"/>
      <c r="E27" s="1193"/>
      <c r="F27" s="1193"/>
      <c r="G27" s="1193"/>
      <c r="H27" s="1193"/>
      <c r="I27" s="1193"/>
      <c r="J27" s="1193"/>
    </row>
    <row r="28" spans="1:10" ht="13.95" customHeight="1" x14ac:dyDescent="0.25">
      <c r="A28" s="1193"/>
      <c r="B28" s="1194" t="s">
        <v>49</v>
      </c>
      <c r="C28" s="1198"/>
      <c r="D28" s="1198"/>
      <c r="E28" s="1198"/>
      <c r="F28" s="1198"/>
      <c r="G28" s="1193"/>
      <c r="H28" s="1557">
        <f>'1-бутерброд с маслом'!$H$28</f>
        <v>0</v>
      </c>
      <c r="I28" s="1557"/>
      <c r="J28" s="1557"/>
    </row>
    <row r="29" spans="1:10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0" ht="13.95" customHeight="1" x14ac:dyDescent="0.25">
      <c r="A30" s="1545" t="s">
        <v>327</v>
      </c>
      <c r="B30" s="1545"/>
      <c r="C30" s="1546" t="s">
        <v>328</v>
      </c>
      <c r="D30" s="1546"/>
      <c r="E30" s="1546"/>
      <c r="F30" s="1546"/>
      <c r="G30" s="106"/>
      <c r="H30" s="1531"/>
      <c r="I30" s="1531"/>
      <c r="J30" s="1531"/>
    </row>
    <row r="31" spans="1:10" x14ac:dyDescent="0.25">
      <c r="A31" s="1193"/>
      <c r="B31" s="1193"/>
      <c r="C31" s="1546"/>
      <c r="D31" s="1546"/>
      <c r="E31" s="1546"/>
      <c r="F31" s="1546"/>
      <c r="G31" s="1193"/>
      <c r="H31" s="1531" t="s">
        <v>329</v>
      </c>
      <c r="I31" s="1531"/>
      <c r="J31" s="1531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</sheetData>
  <mergeCells count="28">
    <mergeCell ref="H28:J28"/>
    <mergeCell ref="A13:G13"/>
    <mergeCell ref="A23:B23"/>
    <mergeCell ref="A24:B24"/>
    <mergeCell ref="A25:B25"/>
    <mergeCell ref="A26:B26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0:B30"/>
    <mergeCell ref="C30:F31"/>
    <mergeCell ref="H30:J30"/>
    <mergeCell ref="H31:J31"/>
    <mergeCell ref="H5:I5"/>
    <mergeCell ref="A6:G6"/>
    <mergeCell ref="A7:I7"/>
    <mergeCell ref="A22:B22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34"/>
  <sheetViews>
    <sheetView view="pageBreakPreview" topLeftCell="A5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699" customWidth="1"/>
    <col min="2" max="2" width="21.109375" style="699" customWidth="1"/>
    <col min="3" max="7" width="7.5546875" style="699" customWidth="1"/>
    <col min="8" max="8" width="8.88671875" style="699" customWidth="1"/>
    <col min="9" max="9" width="7.5546875" style="699" customWidth="1"/>
    <col min="10" max="10" width="9" style="699" customWidth="1"/>
    <col min="11" max="11" width="3.109375" style="699" customWidth="1"/>
    <col min="12" max="16384" width="8.88671875" style="69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249)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335</v>
      </c>
    </row>
    <row r="8" spans="1:10" s="2" customFormat="1" ht="9.6" customHeight="1" x14ac:dyDescent="0.25">
      <c r="A8" s="808"/>
      <c r="B8" s="808"/>
      <c r="C8" s="808"/>
      <c r="D8" s="808"/>
      <c r="E8" s="808"/>
      <c r="F8" s="808"/>
      <c r="G8" s="808"/>
      <c r="H8" s="808"/>
      <c r="I8" s="808"/>
      <c r="J8" s="109"/>
    </row>
    <row r="9" spans="1:10" s="2" customFormat="1" ht="26.1" customHeight="1" x14ac:dyDescent="0.3">
      <c r="A9" s="1550" t="s">
        <v>952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'334-соус малиновый'!H14+1</f>
        <v>249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805" t="s">
        <v>92</v>
      </c>
      <c r="D17" s="805" t="s">
        <v>94</v>
      </c>
      <c r="E17" s="805" t="s">
        <v>93</v>
      </c>
      <c r="F17" s="805" t="s">
        <v>23</v>
      </c>
      <c r="G17" s="805" t="s">
        <v>92</v>
      </c>
      <c r="H17" s="805" t="s">
        <v>94</v>
      </c>
      <c r="I17" s="805" t="s">
        <v>92</v>
      </c>
      <c r="J17" s="805" t="s">
        <v>94</v>
      </c>
    </row>
    <row r="18" spans="1:10" ht="9.6" customHeight="1" x14ac:dyDescent="0.25">
      <c r="A18" s="805">
        <v>1</v>
      </c>
      <c r="B18" s="807">
        <v>2</v>
      </c>
      <c r="C18" s="805">
        <v>3</v>
      </c>
      <c r="D18" s="807">
        <v>4</v>
      </c>
      <c r="E18" s="805">
        <v>5</v>
      </c>
      <c r="F18" s="807">
        <v>6</v>
      </c>
      <c r="G18" s="805">
        <v>7</v>
      </c>
      <c r="H18" s="807">
        <v>8</v>
      </c>
      <c r="I18" s="805">
        <v>9</v>
      </c>
      <c r="J18" s="807">
        <v>10</v>
      </c>
    </row>
    <row r="19" spans="1:10" s="10" customFormat="1" ht="12" customHeight="1" x14ac:dyDescent="0.25">
      <c r="A19" s="180">
        <v>1</v>
      </c>
      <c r="B19" s="20" t="s">
        <v>953</v>
      </c>
      <c r="C19" s="21">
        <v>0.59899999999999998</v>
      </c>
      <c r="D19" s="111">
        <v>0.51500000000000001</v>
      </c>
      <c r="E19" s="408">
        <f>цены!F68</f>
        <v>180</v>
      </c>
      <c r="F19" s="408">
        <f>C19*E19</f>
        <v>107.82</v>
      </c>
      <c r="G19" s="97">
        <f>C19*10</f>
        <v>5.99</v>
      </c>
      <c r="H19" s="21">
        <f>D19*10</f>
        <v>5.15</v>
      </c>
      <c r="I19" s="21">
        <f>C19*100</f>
        <v>59.9</v>
      </c>
      <c r="J19" s="21">
        <f>D19*100</f>
        <v>51.5</v>
      </c>
    </row>
    <row r="20" spans="1:10" s="10" customFormat="1" ht="12" customHeight="1" x14ac:dyDescent="0.25">
      <c r="A20" s="180">
        <v>2</v>
      </c>
      <c r="B20" s="20" t="s">
        <v>30</v>
      </c>
      <c r="C20" s="111">
        <v>0.6</v>
      </c>
      <c r="D20" s="111">
        <v>0.6</v>
      </c>
      <c r="E20" s="408">
        <f>цены!F107</f>
        <v>76</v>
      </c>
      <c r="F20" s="408">
        <f>C20*E20</f>
        <v>45.6</v>
      </c>
      <c r="G20" s="97">
        <f>C20*10</f>
        <v>6</v>
      </c>
      <c r="H20" s="21">
        <f>D20*10</f>
        <v>6</v>
      </c>
      <c r="I20" s="21">
        <f>C20*100</f>
        <v>60</v>
      </c>
      <c r="J20" s="21">
        <f>D20*100</f>
        <v>60</v>
      </c>
    </row>
    <row r="21" spans="1:10" s="10" customFormat="1" ht="12" customHeight="1" x14ac:dyDescent="0.25">
      <c r="A21" s="180">
        <v>3</v>
      </c>
      <c r="B21" s="20" t="s">
        <v>28</v>
      </c>
      <c r="C21" s="111">
        <v>0</v>
      </c>
      <c r="D21" s="111">
        <v>0</v>
      </c>
      <c r="E21" s="408"/>
      <c r="F21" s="408"/>
      <c r="G21" s="97"/>
      <c r="H21" s="21"/>
      <c r="I21" s="21"/>
      <c r="J21" s="21"/>
    </row>
    <row r="22" spans="1:10" s="10" customFormat="1" ht="12" customHeight="1" x14ac:dyDescent="0.25">
      <c r="A22" s="98"/>
      <c r="B22" s="93" t="s">
        <v>100</v>
      </c>
      <c r="C22" s="112"/>
      <c r="D22" s="112">
        <v>1</v>
      </c>
      <c r="E22" s="95"/>
      <c r="F22" s="95">
        <f>SUM(F19:F21)</f>
        <v>153.41999999999999</v>
      </c>
      <c r="G22" s="99"/>
      <c r="H22" s="100">
        <f>D22*10</f>
        <v>10</v>
      </c>
      <c r="I22" s="100"/>
      <c r="J22" s="100">
        <f>D22*100</f>
        <v>100</v>
      </c>
    </row>
    <row r="23" spans="1:10" s="10" customFormat="1" ht="27.6" customHeight="1" x14ac:dyDescent="0.25">
      <c r="A23" s="1536" t="s">
        <v>35</v>
      </c>
      <c r="B23" s="1536"/>
      <c r="C23" s="90"/>
      <c r="D23" s="90"/>
      <c r="E23" s="408"/>
      <c r="F23" s="408">
        <f>F22</f>
        <v>153.41999999999999</v>
      </c>
      <c r="G23" s="806"/>
      <c r="H23" s="806"/>
      <c r="I23" s="21"/>
      <c r="J23" s="408"/>
    </row>
    <row r="24" spans="1:10" s="10" customFormat="1" ht="25.35" customHeight="1" x14ac:dyDescent="0.25">
      <c r="A24" s="1536" t="s">
        <v>36</v>
      </c>
      <c r="B24" s="1536"/>
      <c r="C24" s="90">
        <v>1000</v>
      </c>
      <c r="D24" s="90"/>
      <c r="E24" s="408"/>
      <c r="F24" s="408"/>
      <c r="G24" s="408"/>
      <c r="H24" s="408"/>
      <c r="I24" s="21"/>
      <c r="J24" s="17"/>
    </row>
    <row r="25" spans="1:10" s="10" customFormat="1" ht="25.35" customHeight="1" x14ac:dyDescent="0.25">
      <c r="A25" s="1537" t="s">
        <v>37</v>
      </c>
      <c r="B25" s="1538"/>
      <c r="C25" s="91">
        <v>1000</v>
      </c>
      <c r="D25" s="92"/>
      <c r="E25" s="807"/>
      <c r="F25" s="807"/>
      <c r="G25" s="807"/>
      <c r="H25" s="807"/>
      <c r="I25" s="21"/>
      <c r="J25" s="17"/>
    </row>
    <row r="26" spans="1:10" s="10" customFormat="1" ht="15" customHeight="1" x14ac:dyDescent="0.25">
      <c r="A26" s="1539" t="s">
        <v>38</v>
      </c>
      <c r="B26" s="1540"/>
      <c r="C26" s="92">
        <f>C24/C25</f>
        <v>1</v>
      </c>
      <c r="D26" s="92"/>
      <c r="E26" s="807"/>
      <c r="F26" s="807"/>
      <c r="G26" s="807"/>
      <c r="H26" s="807"/>
      <c r="I26" s="21"/>
      <c r="J26" s="17"/>
    </row>
    <row r="27" spans="1:10" ht="16.350000000000001" customHeight="1" x14ac:dyDescent="0.25">
      <c r="A27" s="1541" t="s">
        <v>39</v>
      </c>
      <c r="B27" s="1542"/>
      <c r="C27" s="15" t="s">
        <v>40</v>
      </c>
      <c r="D27" s="102"/>
      <c r="E27" s="102" t="s">
        <v>40</v>
      </c>
      <c r="F27" s="16">
        <f>F23/C26</f>
        <v>153.41999999999999</v>
      </c>
      <c r="G27" s="16"/>
      <c r="H27" s="16"/>
      <c r="I27" s="102" t="s">
        <v>40</v>
      </c>
      <c r="J27" s="102" t="s">
        <v>40</v>
      </c>
    </row>
    <row r="28" spans="1:10" ht="23.1" customHeight="1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193"/>
      <c r="B29" s="1194" t="s">
        <v>49</v>
      </c>
      <c r="C29" s="1198"/>
      <c r="D29" s="1198"/>
      <c r="E29" s="1198"/>
      <c r="F29" s="1198"/>
      <c r="G29" s="1193"/>
      <c r="H29" s="1557">
        <f>'1-бутерброд с маслом'!$H$28</f>
        <v>0</v>
      </c>
      <c r="I29" s="1557"/>
      <c r="J29" s="1557"/>
    </row>
    <row r="30" spans="1:10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0" ht="13.95" customHeight="1" x14ac:dyDescent="0.25">
      <c r="A31" s="1545" t="s">
        <v>327</v>
      </c>
      <c r="B31" s="1545"/>
      <c r="C31" s="1546" t="s">
        <v>328</v>
      </c>
      <c r="D31" s="1546"/>
      <c r="E31" s="1546"/>
      <c r="F31" s="1546"/>
      <c r="G31" s="106"/>
      <c r="H31" s="1531"/>
      <c r="I31" s="1531"/>
      <c r="J31" s="1531"/>
    </row>
    <row r="32" spans="1:10" x14ac:dyDescent="0.25">
      <c r="A32" s="1193"/>
      <c r="B32" s="1193"/>
      <c r="C32" s="1546"/>
      <c r="D32" s="1546"/>
      <c r="E32" s="1546"/>
      <c r="F32" s="1546"/>
      <c r="G32" s="1193"/>
      <c r="H32" s="1531" t="s">
        <v>329</v>
      </c>
      <c r="I32" s="1531"/>
      <c r="J32" s="1531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</sheetData>
  <mergeCells count="28">
    <mergeCell ref="H29:J29"/>
    <mergeCell ref="A13:G13"/>
    <mergeCell ref="A24:B24"/>
    <mergeCell ref="A25:B25"/>
    <mergeCell ref="A26:B26"/>
    <mergeCell ref="A27:B27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1:B31"/>
    <mergeCell ref="C31:F32"/>
    <mergeCell ref="H31:J31"/>
    <mergeCell ref="H32:J32"/>
    <mergeCell ref="H5:I5"/>
    <mergeCell ref="A6:G6"/>
    <mergeCell ref="A7:I7"/>
    <mergeCell ref="A23:B23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34"/>
  <sheetViews>
    <sheetView view="pageBreakPreview" topLeftCell="A5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699" customWidth="1"/>
    <col min="2" max="2" width="21.109375" style="699" customWidth="1"/>
    <col min="3" max="7" width="7.5546875" style="699" customWidth="1"/>
    <col min="8" max="8" width="8.88671875" style="699" customWidth="1"/>
    <col min="9" max="9" width="7.5546875" style="699" customWidth="1"/>
    <col min="10" max="10" width="9" style="699" customWidth="1"/>
    <col min="11" max="11" width="4" style="699" customWidth="1"/>
    <col min="12" max="16384" width="8.88671875" style="69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250)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335</v>
      </c>
    </row>
    <row r="8" spans="1:10" s="2" customFormat="1" ht="9.6" customHeight="1" x14ac:dyDescent="0.25">
      <c r="A8" s="808"/>
      <c r="B8" s="808"/>
      <c r="C8" s="808"/>
      <c r="D8" s="808"/>
      <c r="E8" s="808"/>
      <c r="F8" s="808"/>
      <c r="G8" s="808"/>
      <c r="H8" s="808"/>
      <c r="I8" s="808"/>
      <c r="J8" s="109"/>
    </row>
    <row r="9" spans="1:10" s="2" customFormat="1" ht="26.1" customHeight="1" x14ac:dyDescent="0.3">
      <c r="A9" s="1550" t="s">
        <v>954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'335-соус абрикосовый'!H14+1</f>
        <v>250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805" t="s">
        <v>92</v>
      </c>
      <c r="D17" s="805" t="s">
        <v>94</v>
      </c>
      <c r="E17" s="805" t="s">
        <v>93</v>
      </c>
      <c r="F17" s="805" t="s">
        <v>23</v>
      </c>
      <c r="G17" s="805" t="s">
        <v>92</v>
      </c>
      <c r="H17" s="805" t="s">
        <v>94</v>
      </c>
      <c r="I17" s="805" t="s">
        <v>92</v>
      </c>
      <c r="J17" s="805" t="s">
        <v>94</v>
      </c>
    </row>
    <row r="18" spans="1:10" ht="9.6" customHeight="1" x14ac:dyDescent="0.25">
      <c r="A18" s="805">
        <v>1</v>
      </c>
      <c r="B18" s="807">
        <v>2</v>
      </c>
      <c r="C18" s="805">
        <v>3</v>
      </c>
      <c r="D18" s="807">
        <v>4</v>
      </c>
      <c r="E18" s="805">
        <v>5</v>
      </c>
      <c r="F18" s="807">
        <v>6</v>
      </c>
      <c r="G18" s="805">
        <v>7</v>
      </c>
      <c r="H18" s="807">
        <v>8</v>
      </c>
      <c r="I18" s="805">
        <v>9</v>
      </c>
      <c r="J18" s="807">
        <v>10</v>
      </c>
    </row>
    <row r="19" spans="1:10" s="10" customFormat="1" ht="12" customHeight="1" x14ac:dyDescent="0.25">
      <c r="A19" s="180">
        <v>1</v>
      </c>
      <c r="B19" s="20" t="s">
        <v>807</v>
      </c>
      <c r="C19" s="21">
        <v>0.11</v>
      </c>
      <c r="D19" s="111">
        <v>0.11</v>
      </c>
      <c r="E19" s="408">
        <f>цены!F122</f>
        <v>250</v>
      </c>
      <c r="F19" s="408">
        <f>C19*E19</f>
        <v>27.5</v>
      </c>
      <c r="G19" s="97">
        <f>C19*10</f>
        <v>1.1000000000000001</v>
      </c>
      <c r="H19" s="21">
        <f>D19*10</f>
        <v>1.1000000000000001</v>
      </c>
      <c r="I19" s="21">
        <f>C19*100</f>
        <v>11</v>
      </c>
      <c r="J19" s="21">
        <f>D19*100</f>
        <v>11</v>
      </c>
    </row>
    <row r="20" spans="1:10" s="10" customFormat="1" ht="12" customHeight="1" x14ac:dyDescent="0.25">
      <c r="A20" s="180">
        <v>2</v>
      </c>
      <c r="B20" s="20" t="s">
        <v>30</v>
      </c>
      <c r="C20" s="111">
        <v>0.6</v>
      </c>
      <c r="D20" s="111">
        <v>0.6</v>
      </c>
      <c r="E20" s="408">
        <f>цены!F107</f>
        <v>76</v>
      </c>
      <c r="F20" s="408">
        <f>C20*E20</f>
        <v>45.6</v>
      </c>
      <c r="G20" s="97">
        <f>C20*10</f>
        <v>6</v>
      </c>
      <c r="H20" s="21">
        <f>D20*10</f>
        <v>6</v>
      </c>
      <c r="I20" s="21">
        <f>C20*100</f>
        <v>60</v>
      </c>
      <c r="J20" s="21">
        <f>D20*100</f>
        <v>60</v>
      </c>
    </row>
    <row r="21" spans="1:10" s="10" customFormat="1" ht="12" customHeight="1" x14ac:dyDescent="0.25">
      <c r="A21" s="180">
        <v>3</v>
      </c>
      <c r="B21" s="20" t="s">
        <v>28</v>
      </c>
      <c r="C21" s="111">
        <v>0.4</v>
      </c>
      <c r="D21" s="111">
        <v>0.4</v>
      </c>
      <c r="E21" s="408"/>
      <c r="F21" s="408"/>
      <c r="G21" s="97"/>
      <c r="H21" s="21"/>
      <c r="I21" s="21"/>
      <c r="J21" s="21"/>
    </row>
    <row r="22" spans="1:10" s="10" customFormat="1" ht="12" customHeight="1" x14ac:dyDescent="0.25">
      <c r="A22" s="98"/>
      <c r="B22" s="93" t="s">
        <v>100</v>
      </c>
      <c r="C22" s="112"/>
      <c r="D22" s="112">
        <v>1</v>
      </c>
      <c r="E22" s="95"/>
      <c r="F22" s="95">
        <f>SUM(F19:F21)</f>
        <v>73.099999999999994</v>
      </c>
      <c r="G22" s="99"/>
      <c r="H22" s="100">
        <f>D22*10</f>
        <v>10</v>
      </c>
      <c r="I22" s="100"/>
      <c r="J22" s="100">
        <f>D22*100</f>
        <v>100</v>
      </c>
    </row>
    <row r="23" spans="1:10" s="10" customFormat="1" ht="27.6" customHeight="1" x14ac:dyDescent="0.25">
      <c r="A23" s="1536" t="s">
        <v>35</v>
      </c>
      <c r="B23" s="1536"/>
      <c r="C23" s="90"/>
      <c r="D23" s="90"/>
      <c r="E23" s="408"/>
      <c r="F23" s="408">
        <f>F22</f>
        <v>73.099999999999994</v>
      </c>
      <c r="G23" s="806"/>
      <c r="H23" s="806"/>
      <c r="I23" s="21"/>
      <c r="J23" s="408"/>
    </row>
    <row r="24" spans="1:10" s="10" customFormat="1" ht="25.35" customHeight="1" x14ac:dyDescent="0.25">
      <c r="A24" s="1536" t="s">
        <v>36</v>
      </c>
      <c r="B24" s="1536"/>
      <c r="C24" s="90">
        <v>1000</v>
      </c>
      <c r="D24" s="90"/>
      <c r="E24" s="408"/>
      <c r="F24" s="408"/>
      <c r="G24" s="408"/>
      <c r="H24" s="408"/>
      <c r="I24" s="21"/>
      <c r="J24" s="17"/>
    </row>
    <row r="25" spans="1:10" s="10" customFormat="1" ht="25.35" customHeight="1" x14ac:dyDescent="0.25">
      <c r="A25" s="1537" t="s">
        <v>37</v>
      </c>
      <c r="B25" s="1538"/>
      <c r="C25" s="91">
        <v>1000</v>
      </c>
      <c r="D25" s="92"/>
      <c r="E25" s="807"/>
      <c r="F25" s="807"/>
      <c r="G25" s="807"/>
      <c r="H25" s="807"/>
      <c r="I25" s="21"/>
      <c r="J25" s="17"/>
    </row>
    <row r="26" spans="1:10" s="10" customFormat="1" ht="15" customHeight="1" x14ac:dyDescent="0.25">
      <c r="A26" s="1539" t="s">
        <v>38</v>
      </c>
      <c r="B26" s="1540"/>
      <c r="C26" s="92">
        <f>C24/C25</f>
        <v>1</v>
      </c>
      <c r="D26" s="92"/>
      <c r="E26" s="807"/>
      <c r="F26" s="807"/>
      <c r="G26" s="807"/>
      <c r="H26" s="807"/>
      <c r="I26" s="21"/>
      <c r="J26" s="17"/>
    </row>
    <row r="27" spans="1:10" ht="16.350000000000001" customHeight="1" x14ac:dyDescent="0.25">
      <c r="A27" s="1541" t="s">
        <v>39</v>
      </c>
      <c r="B27" s="1542"/>
      <c r="C27" s="15" t="s">
        <v>40</v>
      </c>
      <c r="D27" s="102"/>
      <c r="E27" s="102" t="s">
        <v>40</v>
      </c>
      <c r="F27" s="16">
        <f>F23/C26</f>
        <v>73.099999999999994</v>
      </c>
      <c r="G27" s="16"/>
      <c r="H27" s="16"/>
      <c r="I27" s="102" t="s">
        <v>40</v>
      </c>
      <c r="J27" s="102" t="s">
        <v>40</v>
      </c>
    </row>
    <row r="28" spans="1:10" ht="23.1" customHeight="1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193"/>
      <c r="B29" s="1194" t="s">
        <v>49</v>
      </c>
      <c r="C29" s="1198"/>
      <c r="D29" s="1198"/>
      <c r="E29" s="1198"/>
      <c r="F29" s="1198"/>
      <c r="G29" s="1193"/>
      <c r="H29" s="1557">
        <f>'1-бутерброд с маслом'!$H$28</f>
        <v>0</v>
      </c>
      <c r="I29" s="1557"/>
      <c r="J29" s="1557"/>
    </row>
    <row r="30" spans="1:10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0" ht="13.95" customHeight="1" x14ac:dyDescent="0.25">
      <c r="A31" s="1545" t="s">
        <v>327</v>
      </c>
      <c r="B31" s="1545"/>
      <c r="C31" s="1546" t="s">
        <v>328</v>
      </c>
      <c r="D31" s="1546"/>
      <c r="E31" s="1546"/>
      <c r="F31" s="1546"/>
      <c r="G31" s="106"/>
      <c r="H31" s="1531"/>
      <c r="I31" s="1531"/>
      <c r="J31" s="1531"/>
    </row>
    <row r="32" spans="1:10" x14ac:dyDescent="0.25">
      <c r="A32" s="1193"/>
      <c r="B32" s="1193"/>
      <c r="C32" s="1546"/>
      <c r="D32" s="1546"/>
      <c r="E32" s="1546"/>
      <c r="F32" s="1546"/>
      <c r="G32" s="1193"/>
      <c r="H32" s="1531" t="s">
        <v>329</v>
      </c>
      <c r="I32" s="1531"/>
      <c r="J32" s="1531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</sheetData>
  <mergeCells count="28">
    <mergeCell ref="H29:J29"/>
    <mergeCell ref="A13:G13"/>
    <mergeCell ref="A24:B24"/>
    <mergeCell ref="A25:B25"/>
    <mergeCell ref="A26:B26"/>
    <mergeCell ref="A27:B27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1:B31"/>
    <mergeCell ref="C31:F32"/>
    <mergeCell ref="H31:J31"/>
    <mergeCell ref="H32:J32"/>
    <mergeCell ref="H5:I5"/>
    <mergeCell ref="A6:G6"/>
    <mergeCell ref="A7:I7"/>
    <mergeCell ref="A23:B23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34"/>
  <sheetViews>
    <sheetView view="pageBreakPreview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699" customWidth="1"/>
    <col min="2" max="2" width="21.109375" style="699" customWidth="1"/>
    <col min="3" max="7" width="7.5546875" style="699" customWidth="1"/>
    <col min="8" max="8" width="8.88671875" style="699" customWidth="1"/>
    <col min="9" max="9" width="7.5546875" style="699" customWidth="1"/>
    <col min="10" max="10" width="9" style="699" customWidth="1"/>
    <col min="11" max="11" width="2.109375" style="699" customWidth="1"/>
    <col min="12" max="16384" width="8.88671875" style="69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251)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336</v>
      </c>
    </row>
    <row r="8" spans="1:10" s="2" customFormat="1" ht="9.6" customHeight="1" x14ac:dyDescent="0.25">
      <c r="A8" s="808"/>
      <c r="B8" s="808"/>
      <c r="C8" s="808"/>
      <c r="D8" s="808"/>
      <c r="E8" s="808"/>
      <c r="F8" s="808"/>
      <c r="G8" s="808"/>
      <c r="H8" s="808"/>
      <c r="I8" s="808"/>
      <c r="J8" s="109"/>
    </row>
    <row r="9" spans="1:10" s="2" customFormat="1" ht="26.1" customHeight="1" x14ac:dyDescent="0.3">
      <c r="A9" s="1550" t="s">
        <v>955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'335-соус абрикос курага'!H14+1</f>
        <v>251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805" t="s">
        <v>92</v>
      </c>
      <c r="D17" s="805" t="s">
        <v>94</v>
      </c>
      <c r="E17" s="805" t="s">
        <v>93</v>
      </c>
      <c r="F17" s="805" t="s">
        <v>23</v>
      </c>
      <c r="G17" s="805" t="s">
        <v>92</v>
      </c>
      <c r="H17" s="805" t="s">
        <v>94</v>
      </c>
      <c r="I17" s="805" t="s">
        <v>92</v>
      </c>
      <c r="J17" s="805" t="s">
        <v>94</v>
      </c>
    </row>
    <row r="18" spans="1:10" ht="9.6" customHeight="1" x14ac:dyDescent="0.25">
      <c r="A18" s="805">
        <v>1</v>
      </c>
      <c r="B18" s="807">
        <v>2</v>
      </c>
      <c r="C18" s="805">
        <v>3</v>
      </c>
      <c r="D18" s="807">
        <v>4</v>
      </c>
      <c r="E18" s="805">
        <v>5</v>
      </c>
      <c r="F18" s="807">
        <v>6</v>
      </c>
      <c r="G18" s="805">
        <v>7</v>
      </c>
      <c r="H18" s="807">
        <v>8</v>
      </c>
      <c r="I18" s="805">
        <v>9</v>
      </c>
      <c r="J18" s="807">
        <v>10</v>
      </c>
    </row>
    <row r="19" spans="1:10" s="10" customFormat="1" ht="12" customHeight="1" x14ac:dyDescent="0.25">
      <c r="A19" s="180">
        <v>1</v>
      </c>
      <c r="B19" s="20" t="s">
        <v>937</v>
      </c>
      <c r="C19" s="21">
        <v>0.34699999999999998</v>
      </c>
      <c r="D19" s="111">
        <v>0.34</v>
      </c>
      <c r="E19" s="408">
        <f>цены!F61</f>
        <v>250</v>
      </c>
      <c r="F19" s="408">
        <f>C19*E19</f>
        <v>86.75</v>
      </c>
      <c r="G19" s="97">
        <f>C19*10</f>
        <v>3.47</v>
      </c>
      <c r="H19" s="21">
        <f>D19*10</f>
        <v>3.4</v>
      </c>
      <c r="I19" s="21">
        <f>C19*100</f>
        <v>34.700000000000003</v>
      </c>
      <c r="J19" s="21">
        <f>D19*100</f>
        <v>34</v>
      </c>
    </row>
    <row r="20" spans="1:10" s="10" customFormat="1" ht="12" customHeight="1" x14ac:dyDescent="0.25">
      <c r="A20" s="180">
        <v>2</v>
      </c>
      <c r="B20" s="20" t="s">
        <v>30</v>
      </c>
      <c r="C20" s="111">
        <v>0.65</v>
      </c>
      <c r="D20" s="111">
        <v>0.65</v>
      </c>
      <c r="E20" s="408">
        <f>цены!F107</f>
        <v>76</v>
      </c>
      <c r="F20" s="408">
        <f>C20*E20</f>
        <v>49.4</v>
      </c>
      <c r="G20" s="97">
        <f>C20*10</f>
        <v>6.5</v>
      </c>
      <c r="H20" s="21">
        <f>D20*10</f>
        <v>6.5</v>
      </c>
      <c r="I20" s="21">
        <f>C20*100</f>
        <v>65</v>
      </c>
      <c r="J20" s="21">
        <f>D20*100</f>
        <v>65</v>
      </c>
    </row>
    <row r="21" spans="1:10" s="10" customFormat="1" ht="12" customHeight="1" x14ac:dyDescent="0.25">
      <c r="A21" s="180">
        <v>3</v>
      </c>
      <c r="B21" s="20" t="s">
        <v>28</v>
      </c>
      <c r="C21" s="111">
        <v>0.4</v>
      </c>
      <c r="D21" s="111">
        <v>0.4</v>
      </c>
      <c r="E21" s="408"/>
      <c r="F21" s="408"/>
      <c r="G21" s="97"/>
      <c r="H21" s="21"/>
      <c r="I21" s="21"/>
      <c r="J21" s="21"/>
    </row>
    <row r="22" spans="1:10" s="10" customFormat="1" ht="12" customHeight="1" x14ac:dyDescent="0.25">
      <c r="A22" s="98"/>
      <c r="B22" s="93" t="s">
        <v>100</v>
      </c>
      <c r="C22" s="112"/>
      <c r="D22" s="112">
        <v>1</v>
      </c>
      <c r="E22" s="95"/>
      <c r="F22" s="95">
        <f>SUM(F19:F21)</f>
        <v>136.15</v>
      </c>
      <c r="G22" s="99"/>
      <c r="H22" s="100">
        <f>D22*10</f>
        <v>10</v>
      </c>
      <c r="I22" s="100"/>
      <c r="J22" s="100">
        <f>D22*100</f>
        <v>100</v>
      </c>
    </row>
    <row r="23" spans="1:10" s="10" customFormat="1" ht="27.6" customHeight="1" x14ac:dyDescent="0.25">
      <c r="A23" s="1536" t="s">
        <v>35</v>
      </c>
      <c r="B23" s="1536"/>
      <c r="C23" s="90"/>
      <c r="D23" s="90"/>
      <c r="E23" s="408"/>
      <c r="F23" s="408">
        <f>F22</f>
        <v>136.15</v>
      </c>
      <c r="G23" s="806"/>
      <c r="H23" s="806"/>
      <c r="I23" s="21"/>
      <c r="J23" s="408"/>
    </row>
    <row r="24" spans="1:10" s="10" customFormat="1" ht="25.35" customHeight="1" x14ac:dyDescent="0.25">
      <c r="A24" s="1536" t="s">
        <v>36</v>
      </c>
      <c r="B24" s="1536"/>
      <c r="C24" s="90">
        <v>1000</v>
      </c>
      <c r="D24" s="90"/>
      <c r="E24" s="408"/>
      <c r="F24" s="408"/>
      <c r="G24" s="408"/>
      <c r="H24" s="408"/>
      <c r="I24" s="21"/>
      <c r="J24" s="17"/>
    </row>
    <row r="25" spans="1:10" s="10" customFormat="1" ht="25.35" customHeight="1" x14ac:dyDescent="0.25">
      <c r="A25" s="1537" t="s">
        <v>37</v>
      </c>
      <c r="B25" s="1538"/>
      <c r="C25" s="91">
        <v>1000</v>
      </c>
      <c r="D25" s="92"/>
      <c r="E25" s="807"/>
      <c r="F25" s="807"/>
      <c r="G25" s="807"/>
      <c r="H25" s="807"/>
      <c r="I25" s="21"/>
      <c r="J25" s="17"/>
    </row>
    <row r="26" spans="1:10" s="10" customFormat="1" ht="15" customHeight="1" x14ac:dyDescent="0.25">
      <c r="A26" s="1539" t="s">
        <v>38</v>
      </c>
      <c r="B26" s="1540"/>
      <c r="C26" s="92">
        <f>C24/C25</f>
        <v>1</v>
      </c>
      <c r="D26" s="92"/>
      <c r="E26" s="807"/>
      <c r="F26" s="807"/>
      <c r="G26" s="807"/>
      <c r="H26" s="807"/>
      <c r="I26" s="21"/>
      <c r="J26" s="17"/>
    </row>
    <row r="27" spans="1:10" ht="16.350000000000001" customHeight="1" x14ac:dyDescent="0.25">
      <c r="A27" s="1541" t="s">
        <v>39</v>
      </c>
      <c r="B27" s="1542"/>
      <c r="C27" s="15" t="s">
        <v>40</v>
      </c>
      <c r="D27" s="102"/>
      <c r="E27" s="102" t="s">
        <v>40</v>
      </c>
      <c r="F27" s="16">
        <f>F23/C26</f>
        <v>136.15</v>
      </c>
      <c r="G27" s="16"/>
      <c r="H27" s="16"/>
      <c r="I27" s="102" t="s">
        <v>40</v>
      </c>
      <c r="J27" s="102" t="s">
        <v>40</v>
      </c>
    </row>
    <row r="28" spans="1:10" ht="23.1" customHeight="1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193"/>
      <c r="B29" s="1194" t="s">
        <v>49</v>
      </c>
      <c r="C29" s="1198"/>
      <c r="D29" s="1198"/>
      <c r="E29" s="1198"/>
      <c r="F29" s="1198"/>
      <c r="G29" s="1193"/>
      <c r="H29" s="1557">
        <f>'1-бутерброд с маслом'!$H$28</f>
        <v>0</v>
      </c>
      <c r="I29" s="1557"/>
      <c r="J29" s="1557"/>
    </row>
    <row r="30" spans="1:10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0" ht="13.95" customHeight="1" x14ac:dyDescent="0.25">
      <c r="A31" s="1545" t="s">
        <v>327</v>
      </c>
      <c r="B31" s="1545"/>
      <c r="C31" s="1546" t="s">
        <v>328</v>
      </c>
      <c r="D31" s="1546"/>
      <c r="E31" s="1546"/>
      <c r="F31" s="1546"/>
      <c r="G31" s="106"/>
      <c r="H31" s="1531"/>
      <c r="I31" s="1531"/>
      <c r="J31" s="1531"/>
    </row>
    <row r="32" spans="1:10" x14ac:dyDescent="0.25">
      <c r="A32" s="1193"/>
      <c r="B32" s="1193"/>
      <c r="C32" s="1546"/>
      <c r="D32" s="1546"/>
      <c r="E32" s="1546"/>
      <c r="F32" s="1546"/>
      <c r="G32" s="1193"/>
      <c r="H32" s="1531" t="s">
        <v>329</v>
      </c>
      <c r="I32" s="1531"/>
      <c r="J32" s="1531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</sheetData>
  <mergeCells count="28">
    <mergeCell ref="H29:J29"/>
    <mergeCell ref="A13:G13"/>
    <mergeCell ref="A24:B24"/>
    <mergeCell ref="A25:B25"/>
    <mergeCell ref="A26:B26"/>
    <mergeCell ref="A27:B27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1:B31"/>
    <mergeCell ref="C31:F32"/>
    <mergeCell ref="H31:J31"/>
    <mergeCell ref="H32:J32"/>
    <mergeCell ref="H5:I5"/>
    <mergeCell ref="A6:G6"/>
    <mergeCell ref="A7:I7"/>
    <mergeCell ref="A23:B23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37"/>
  <sheetViews>
    <sheetView view="pageBreakPreview" topLeftCell="A2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699" customWidth="1"/>
    <col min="2" max="2" width="21.109375" style="699" customWidth="1"/>
    <col min="3" max="7" width="7.5546875" style="699" customWidth="1"/>
    <col min="8" max="8" width="8.88671875" style="699" customWidth="1"/>
    <col min="9" max="9" width="7.5546875" style="699" customWidth="1"/>
    <col min="10" max="10" width="9" style="699" customWidth="1"/>
    <col min="11" max="11" width="2.6640625" style="699" customWidth="1"/>
    <col min="12" max="16384" width="8.88671875" style="69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252)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337</v>
      </c>
    </row>
    <row r="8" spans="1:10" s="2" customFormat="1" ht="9.6" customHeight="1" x14ac:dyDescent="0.25">
      <c r="A8" s="808"/>
      <c r="B8" s="808"/>
      <c r="C8" s="808"/>
      <c r="D8" s="808"/>
      <c r="E8" s="808"/>
      <c r="F8" s="808"/>
      <c r="G8" s="808"/>
      <c r="H8" s="808"/>
      <c r="I8" s="808"/>
      <c r="J8" s="109"/>
    </row>
    <row r="9" spans="1:10" s="2" customFormat="1" ht="26.1" customHeight="1" x14ac:dyDescent="0.3">
      <c r="A9" s="1550" t="s">
        <v>956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'336-соус черносмородин'!H14+1</f>
        <v>252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805" t="s">
        <v>92</v>
      </c>
      <c r="D17" s="805" t="s">
        <v>94</v>
      </c>
      <c r="E17" s="805" t="s">
        <v>93</v>
      </c>
      <c r="F17" s="805" t="s">
        <v>23</v>
      </c>
      <c r="G17" s="805" t="s">
        <v>92</v>
      </c>
      <c r="H17" s="805" t="s">
        <v>94</v>
      </c>
      <c r="I17" s="805" t="s">
        <v>92</v>
      </c>
      <c r="J17" s="805" t="s">
        <v>94</v>
      </c>
    </row>
    <row r="18" spans="1:10" ht="9.6" customHeight="1" x14ac:dyDescent="0.25">
      <c r="A18" s="805">
        <v>1</v>
      </c>
      <c r="B18" s="807">
        <v>2</v>
      </c>
      <c r="C18" s="805">
        <v>3</v>
      </c>
      <c r="D18" s="807">
        <v>4</v>
      </c>
      <c r="E18" s="805">
        <v>5</v>
      </c>
      <c r="F18" s="807">
        <v>6</v>
      </c>
      <c r="G18" s="805">
        <v>7</v>
      </c>
      <c r="H18" s="807">
        <v>8</v>
      </c>
      <c r="I18" s="805">
        <v>9</v>
      </c>
      <c r="J18" s="807">
        <v>10</v>
      </c>
    </row>
    <row r="19" spans="1:10" s="10" customFormat="1" ht="12" customHeight="1" x14ac:dyDescent="0.25">
      <c r="A19" s="180">
        <v>1</v>
      </c>
      <c r="B19" s="20" t="s">
        <v>60</v>
      </c>
      <c r="C19" s="21">
        <v>0.25600000000000001</v>
      </c>
      <c r="D19" s="111">
        <v>0.22500000000000001</v>
      </c>
      <c r="E19" s="408">
        <f>цены!F71</f>
        <v>91</v>
      </c>
      <c r="F19" s="408">
        <f t="shared" ref="F19:F24" si="0">C19*E19</f>
        <v>23.3</v>
      </c>
      <c r="G19" s="97">
        <f t="shared" ref="G19:H24" si="1">C19*10</f>
        <v>2.56</v>
      </c>
      <c r="H19" s="21">
        <f t="shared" si="1"/>
        <v>2.25</v>
      </c>
      <c r="I19" s="21">
        <f t="shared" ref="I19:J24" si="2">C19*100</f>
        <v>25.6</v>
      </c>
      <c r="J19" s="21">
        <f t="shared" si="2"/>
        <v>22.5</v>
      </c>
    </row>
    <row r="20" spans="1:10" s="10" customFormat="1" ht="12" customHeight="1" x14ac:dyDescent="0.25">
      <c r="A20" s="180">
        <v>2</v>
      </c>
      <c r="B20" s="20" t="s">
        <v>30</v>
      </c>
      <c r="C20" s="111">
        <v>0.125</v>
      </c>
      <c r="D20" s="111">
        <v>0.125</v>
      </c>
      <c r="E20" s="408">
        <f>цены!F107</f>
        <v>76</v>
      </c>
      <c r="F20" s="408">
        <f t="shared" si="0"/>
        <v>9.5</v>
      </c>
      <c r="G20" s="97">
        <f t="shared" si="1"/>
        <v>1.25</v>
      </c>
      <c r="H20" s="21">
        <f t="shared" si="1"/>
        <v>1.25</v>
      </c>
      <c r="I20" s="21">
        <f t="shared" si="2"/>
        <v>12.5</v>
      </c>
      <c r="J20" s="21">
        <f t="shared" si="2"/>
        <v>12.5</v>
      </c>
    </row>
    <row r="21" spans="1:10" s="10" customFormat="1" ht="12" customHeight="1" x14ac:dyDescent="0.25">
      <c r="A21" s="180">
        <v>3</v>
      </c>
      <c r="B21" s="20" t="s">
        <v>63</v>
      </c>
      <c r="C21" s="111">
        <v>0.03</v>
      </c>
      <c r="D21" s="111">
        <v>0.03</v>
      </c>
      <c r="E21" s="408">
        <f>цены!F99</f>
        <v>111</v>
      </c>
      <c r="F21" s="408">
        <f t="shared" si="0"/>
        <v>3.33</v>
      </c>
      <c r="G21" s="97">
        <f t="shared" si="1"/>
        <v>0.3</v>
      </c>
      <c r="H21" s="21">
        <f t="shared" si="1"/>
        <v>0.3</v>
      </c>
      <c r="I21" s="21">
        <f t="shared" si="2"/>
        <v>3</v>
      </c>
      <c r="J21" s="21">
        <f t="shared" si="2"/>
        <v>3</v>
      </c>
    </row>
    <row r="22" spans="1:10" s="10" customFormat="1" ht="12" customHeight="1" x14ac:dyDescent="0.25">
      <c r="A22" s="180">
        <v>4</v>
      </c>
      <c r="B22" s="20" t="s">
        <v>816</v>
      </c>
      <c r="C22" s="111">
        <v>1E-3</v>
      </c>
      <c r="D22" s="111">
        <v>1E-3</v>
      </c>
      <c r="E22" s="408">
        <f>цены!F117</f>
        <v>1210</v>
      </c>
      <c r="F22" s="408">
        <f t="shared" si="0"/>
        <v>1.21</v>
      </c>
      <c r="G22" s="97">
        <f t="shared" si="1"/>
        <v>0.01</v>
      </c>
      <c r="H22" s="21">
        <f t="shared" si="1"/>
        <v>0.01</v>
      </c>
      <c r="I22" s="21">
        <f t="shared" si="2"/>
        <v>0.1</v>
      </c>
      <c r="J22" s="21">
        <f t="shared" si="2"/>
        <v>0.1</v>
      </c>
    </row>
    <row r="23" spans="1:10" s="10" customFormat="1" ht="12" customHeight="1" x14ac:dyDescent="0.25">
      <c r="A23" s="180">
        <v>5</v>
      </c>
      <c r="B23" s="20" t="s">
        <v>135</v>
      </c>
      <c r="C23" s="111">
        <v>1E-3</v>
      </c>
      <c r="D23" s="111">
        <v>1E-3</v>
      </c>
      <c r="E23" s="408">
        <f>цены!F98</f>
        <v>290</v>
      </c>
      <c r="F23" s="408">
        <f t="shared" si="0"/>
        <v>0.28999999999999998</v>
      </c>
      <c r="G23" s="97">
        <f t="shared" si="1"/>
        <v>0.01</v>
      </c>
      <c r="H23" s="21">
        <f t="shared" si="1"/>
        <v>0.01</v>
      </c>
      <c r="I23" s="21">
        <f t="shared" si="2"/>
        <v>0.1</v>
      </c>
      <c r="J23" s="21">
        <f t="shared" si="2"/>
        <v>0.1</v>
      </c>
    </row>
    <row r="24" spans="1:10" s="10" customFormat="1" ht="12" customHeight="1" x14ac:dyDescent="0.25">
      <c r="A24" s="180">
        <v>6</v>
      </c>
      <c r="B24" s="20" t="s">
        <v>28</v>
      </c>
      <c r="C24" s="111">
        <v>0.4</v>
      </c>
      <c r="D24" s="111">
        <v>0.4</v>
      </c>
      <c r="E24" s="408"/>
      <c r="F24" s="408">
        <f t="shared" si="0"/>
        <v>0</v>
      </c>
      <c r="G24" s="97">
        <f t="shared" si="1"/>
        <v>4</v>
      </c>
      <c r="H24" s="21">
        <f t="shared" si="1"/>
        <v>4</v>
      </c>
      <c r="I24" s="21">
        <f t="shared" si="2"/>
        <v>40</v>
      </c>
      <c r="J24" s="21">
        <f t="shared" si="2"/>
        <v>40</v>
      </c>
    </row>
    <row r="25" spans="1:10" s="10" customFormat="1" ht="12" customHeight="1" x14ac:dyDescent="0.25">
      <c r="A25" s="98"/>
      <c r="B25" s="93" t="s">
        <v>100</v>
      </c>
      <c r="C25" s="112"/>
      <c r="D25" s="112">
        <v>1</v>
      </c>
      <c r="E25" s="95"/>
      <c r="F25" s="95">
        <f>SUM(F19:F24)</f>
        <v>37.630000000000003</v>
      </c>
      <c r="G25" s="99"/>
      <c r="H25" s="100">
        <f>D25*10</f>
        <v>10</v>
      </c>
      <c r="I25" s="100"/>
      <c r="J25" s="100">
        <f>D25*100</f>
        <v>100</v>
      </c>
    </row>
    <row r="26" spans="1:10" s="10" customFormat="1" ht="27.6" customHeight="1" x14ac:dyDescent="0.25">
      <c r="A26" s="1536" t="s">
        <v>35</v>
      </c>
      <c r="B26" s="1536"/>
      <c r="C26" s="90"/>
      <c r="D26" s="90"/>
      <c r="E26" s="408"/>
      <c r="F26" s="408">
        <f>F25</f>
        <v>37.630000000000003</v>
      </c>
      <c r="G26" s="806"/>
      <c r="H26" s="806"/>
      <c r="I26" s="21"/>
      <c r="J26" s="408"/>
    </row>
    <row r="27" spans="1:10" s="10" customFormat="1" ht="25.35" customHeight="1" x14ac:dyDescent="0.25">
      <c r="A27" s="1536" t="s">
        <v>36</v>
      </c>
      <c r="B27" s="1536"/>
      <c r="C27" s="90">
        <v>1000</v>
      </c>
      <c r="D27" s="90"/>
      <c r="E27" s="408"/>
      <c r="F27" s="408"/>
      <c r="G27" s="408"/>
      <c r="H27" s="408"/>
      <c r="I27" s="21"/>
      <c r="J27" s="17"/>
    </row>
    <row r="28" spans="1:10" s="10" customFormat="1" ht="25.35" customHeight="1" x14ac:dyDescent="0.25">
      <c r="A28" s="1537" t="s">
        <v>37</v>
      </c>
      <c r="B28" s="1538"/>
      <c r="C28" s="91">
        <v>1000</v>
      </c>
      <c r="D28" s="92"/>
      <c r="E28" s="807"/>
      <c r="F28" s="807"/>
      <c r="G28" s="807"/>
      <c r="H28" s="807"/>
      <c r="I28" s="21"/>
      <c r="J28" s="17"/>
    </row>
    <row r="29" spans="1:10" s="10" customFormat="1" ht="15" customHeight="1" x14ac:dyDescent="0.25">
      <c r="A29" s="1539" t="s">
        <v>38</v>
      </c>
      <c r="B29" s="1540"/>
      <c r="C29" s="92">
        <f>C27/C28</f>
        <v>1</v>
      </c>
      <c r="D29" s="92"/>
      <c r="E29" s="807"/>
      <c r="F29" s="807"/>
      <c r="G29" s="807"/>
      <c r="H29" s="807"/>
      <c r="I29" s="21"/>
      <c r="J29" s="17"/>
    </row>
    <row r="30" spans="1:10" ht="16.350000000000001" customHeight="1" x14ac:dyDescent="0.25">
      <c r="A30" s="1541" t="s">
        <v>39</v>
      </c>
      <c r="B30" s="1542"/>
      <c r="C30" s="15" t="s">
        <v>40</v>
      </c>
      <c r="D30" s="102"/>
      <c r="E30" s="102" t="s">
        <v>40</v>
      </c>
      <c r="F30" s="16">
        <f>F26/C29</f>
        <v>37.630000000000003</v>
      </c>
      <c r="G30" s="16"/>
      <c r="H30" s="16"/>
      <c r="I30" s="102" t="s">
        <v>40</v>
      </c>
      <c r="J30" s="102" t="s">
        <v>40</v>
      </c>
    </row>
    <row r="31" spans="1:10" ht="23.1" customHeight="1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ht="13.95" customHeight="1" x14ac:dyDescent="0.25">
      <c r="A32" s="1193"/>
      <c r="B32" s="1194" t="s">
        <v>49</v>
      </c>
      <c r="C32" s="1198"/>
      <c r="D32" s="1198"/>
      <c r="E32" s="1198"/>
      <c r="F32" s="1198"/>
      <c r="G32" s="1193"/>
      <c r="H32" s="1557">
        <f>'1-бутерброд с маслом'!$H$28</f>
        <v>0</v>
      </c>
      <c r="I32" s="1557"/>
      <c r="J32" s="1557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545" t="s">
        <v>327</v>
      </c>
      <c r="B34" s="1545"/>
      <c r="C34" s="1546" t="s">
        <v>328</v>
      </c>
      <c r="D34" s="1546"/>
      <c r="E34" s="1546"/>
      <c r="F34" s="1546"/>
      <c r="G34" s="106"/>
      <c r="H34" s="1531"/>
      <c r="I34" s="1531"/>
      <c r="J34" s="1531"/>
    </row>
    <row r="35" spans="1:10" x14ac:dyDescent="0.25">
      <c r="A35" s="1193"/>
      <c r="B35" s="1193"/>
      <c r="C35" s="1546"/>
      <c r="D35" s="1546"/>
      <c r="E35" s="1546"/>
      <c r="F35" s="1546"/>
      <c r="G35" s="1193"/>
      <c r="H35" s="1531" t="s">
        <v>329</v>
      </c>
      <c r="I35" s="1531"/>
      <c r="J35" s="1531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</sheetData>
  <mergeCells count="28">
    <mergeCell ref="H32:J32"/>
    <mergeCell ref="A13:G13"/>
    <mergeCell ref="A27:B27"/>
    <mergeCell ref="A28:B28"/>
    <mergeCell ref="A29:B29"/>
    <mergeCell ref="A30:B30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4:B34"/>
    <mergeCell ref="C34:F35"/>
    <mergeCell ref="H34:J34"/>
    <mergeCell ref="H35:J35"/>
    <mergeCell ref="H5:I5"/>
    <mergeCell ref="A6:G6"/>
    <mergeCell ref="A7:I7"/>
    <mergeCell ref="A26:B26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J32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253)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338</v>
      </c>
    </row>
    <row r="8" spans="1:10" s="2" customFormat="1" ht="9.6" customHeight="1" x14ac:dyDescent="0.25">
      <c r="A8" s="283"/>
      <c r="B8" s="283"/>
      <c r="C8" s="283"/>
      <c r="D8" s="283"/>
      <c r="E8" s="283"/>
      <c r="F8" s="283"/>
      <c r="G8" s="283"/>
      <c r="H8" s="283"/>
      <c r="I8" s="283"/>
      <c r="J8" s="109"/>
    </row>
    <row r="9" spans="1:10" s="2" customFormat="1" ht="26.1" customHeight="1" x14ac:dyDescent="0.3">
      <c r="A9" s="1550" t="s">
        <v>60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'337-соус яблочный'!H14+1</f>
        <v>253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45.75" customHeight="1" x14ac:dyDescent="0.25">
      <c r="A17" s="1543"/>
      <c r="B17" s="1543"/>
      <c r="C17" s="284" t="s">
        <v>92</v>
      </c>
      <c r="D17" s="284" t="s">
        <v>94</v>
      </c>
      <c r="E17" s="284" t="s">
        <v>93</v>
      </c>
      <c r="F17" s="284" t="s">
        <v>23</v>
      </c>
      <c r="G17" s="284" t="s">
        <v>92</v>
      </c>
      <c r="H17" s="284" t="s">
        <v>94</v>
      </c>
      <c r="I17" s="284" t="s">
        <v>92</v>
      </c>
      <c r="J17" s="284" t="s">
        <v>94</v>
      </c>
    </row>
    <row r="18" spans="1:10" ht="15.75" customHeight="1" x14ac:dyDescent="0.25">
      <c r="A18" s="284">
        <v>1</v>
      </c>
      <c r="B18" s="285">
        <v>2</v>
      </c>
      <c r="C18" s="284">
        <v>3</v>
      </c>
      <c r="D18" s="285">
        <v>4</v>
      </c>
      <c r="E18" s="284">
        <v>5</v>
      </c>
      <c r="F18" s="285">
        <v>6</v>
      </c>
      <c r="G18" s="284">
        <v>7</v>
      </c>
      <c r="H18" s="285">
        <v>8</v>
      </c>
      <c r="I18" s="284">
        <v>9</v>
      </c>
      <c r="J18" s="285">
        <v>10</v>
      </c>
    </row>
    <row r="19" spans="1:10" s="10" customFormat="1" ht="12" customHeight="1" x14ac:dyDescent="0.25">
      <c r="A19" s="180">
        <v>1</v>
      </c>
      <c r="B19" s="20" t="s">
        <v>60</v>
      </c>
      <c r="C19" s="111">
        <v>0.1</v>
      </c>
      <c r="D19" s="111">
        <v>0.1</v>
      </c>
      <c r="E19" s="13">
        <f>цены!F71</f>
        <v>91</v>
      </c>
      <c r="F19" s="13">
        <f>C19*E19</f>
        <v>9.1</v>
      </c>
      <c r="G19" s="97">
        <f>C19*10</f>
        <v>1</v>
      </c>
      <c r="H19" s="21">
        <f>D19*10</f>
        <v>1</v>
      </c>
      <c r="I19" s="21">
        <f>C19*100</f>
        <v>10</v>
      </c>
      <c r="J19" s="21">
        <f>D19*100</f>
        <v>10</v>
      </c>
    </row>
    <row r="20" spans="1:10" s="10" customFormat="1" ht="12" customHeight="1" x14ac:dyDescent="0.25">
      <c r="A20" s="98"/>
      <c r="B20" s="93" t="s">
        <v>100</v>
      </c>
      <c r="C20" s="112"/>
      <c r="D20" s="112">
        <v>0.1</v>
      </c>
      <c r="E20" s="95"/>
      <c r="F20" s="95">
        <f>SUM(F19:F19)</f>
        <v>9.1</v>
      </c>
      <c r="G20" s="99"/>
      <c r="H20" s="100">
        <f>D20*10</f>
        <v>1</v>
      </c>
      <c r="I20" s="100"/>
      <c r="J20" s="100">
        <f>D20*100</f>
        <v>10</v>
      </c>
    </row>
    <row r="21" spans="1:10" s="10" customFormat="1" ht="27.6" customHeight="1" x14ac:dyDescent="0.25">
      <c r="A21" s="1536" t="s">
        <v>35</v>
      </c>
      <c r="B21" s="1536"/>
      <c r="C21" s="90"/>
      <c r="D21" s="90"/>
      <c r="E21" s="13"/>
      <c r="F21" s="13">
        <f>F20</f>
        <v>9.1</v>
      </c>
      <c r="G21" s="286"/>
      <c r="H21" s="286"/>
      <c r="I21" s="21"/>
      <c r="J21" s="13"/>
    </row>
    <row r="22" spans="1:10" s="10" customFormat="1" ht="25.35" customHeight="1" x14ac:dyDescent="0.25">
      <c r="A22" s="1536" t="s">
        <v>36</v>
      </c>
      <c r="B22" s="1536"/>
      <c r="C22" s="90">
        <v>100</v>
      </c>
      <c r="D22" s="90"/>
      <c r="E22" s="13"/>
      <c r="F22" s="13"/>
      <c r="G22" s="13"/>
      <c r="H22" s="13"/>
      <c r="I22" s="21"/>
      <c r="J22" s="17"/>
    </row>
    <row r="23" spans="1:10" s="10" customFormat="1" ht="25.35" customHeight="1" x14ac:dyDescent="0.25">
      <c r="A23" s="1537" t="s">
        <v>37</v>
      </c>
      <c r="B23" s="1538"/>
      <c r="C23" s="91">
        <v>100</v>
      </c>
      <c r="D23" s="92"/>
      <c r="E23" s="285"/>
      <c r="F23" s="285"/>
      <c r="G23" s="285"/>
      <c r="H23" s="285"/>
      <c r="I23" s="21"/>
      <c r="J23" s="17"/>
    </row>
    <row r="24" spans="1:10" s="10" customFormat="1" ht="15" customHeight="1" x14ac:dyDescent="0.25">
      <c r="A24" s="1539" t="s">
        <v>38</v>
      </c>
      <c r="B24" s="1540"/>
      <c r="C24" s="92">
        <f>C22/C23</f>
        <v>1</v>
      </c>
      <c r="D24" s="92"/>
      <c r="E24" s="285"/>
      <c r="F24" s="285"/>
      <c r="G24" s="285"/>
      <c r="H24" s="285"/>
      <c r="I24" s="21"/>
      <c r="J24" s="17"/>
    </row>
    <row r="25" spans="1:10" ht="16.350000000000001" customHeight="1" x14ac:dyDescent="0.25">
      <c r="A25" s="1541" t="s">
        <v>39</v>
      </c>
      <c r="B25" s="1542"/>
      <c r="C25" s="15" t="s">
        <v>40</v>
      </c>
      <c r="D25" s="102"/>
      <c r="E25" s="102" t="s">
        <v>40</v>
      </c>
      <c r="F25" s="16">
        <f>F21/C24</f>
        <v>9.1</v>
      </c>
      <c r="G25" s="16"/>
      <c r="H25" s="16"/>
      <c r="I25" s="102" t="s">
        <v>40</v>
      </c>
      <c r="J25" s="102" t="s">
        <v>40</v>
      </c>
    </row>
    <row r="26" spans="1:10" ht="23.1" customHeight="1" x14ac:dyDescent="0.25">
      <c r="A26" s="1193"/>
      <c r="B26" s="1193"/>
      <c r="C26" s="1193"/>
      <c r="D26" s="1193"/>
      <c r="E26" s="1193"/>
      <c r="F26" s="1193"/>
      <c r="G26" s="1193"/>
      <c r="H26" s="1193"/>
      <c r="I26" s="1193"/>
      <c r="J26" s="1193"/>
    </row>
    <row r="27" spans="1:10" ht="13.95" customHeight="1" x14ac:dyDescent="0.25">
      <c r="A27" s="1193"/>
      <c r="B27" s="1194" t="s">
        <v>49</v>
      </c>
      <c r="C27" s="1198"/>
      <c r="D27" s="1198"/>
      <c r="E27" s="1198"/>
      <c r="F27" s="1198"/>
      <c r="G27" s="1193"/>
      <c r="H27" s="1557">
        <f>'1-бутерброд с маслом'!$H$28</f>
        <v>0</v>
      </c>
      <c r="I27" s="1557"/>
      <c r="J27" s="1557"/>
    </row>
    <row r="28" spans="1:10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545" t="s">
        <v>327</v>
      </c>
      <c r="B29" s="1545"/>
      <c r="C29" s="1546" t="s">
        <v>328</v>
      </c>
      <c r="D29" s="1546"/>
      <c r="E29" s="1546"/>
      <c r="F29" s="1546"/>
      <c r="G29" s="106"/>
      <c r="H29" s="1531"/>
      <c r="I29" s="1531"/>
      <c r="J29" s="1531"/>
    </row>
    <row r="30" spans="1:10" x14ac:dyDescent="0.25">
      <c r="A30" s="1193"/>
      <c r="B30" s="1193"/>
      <c r="C30" s="1546"/>
      <c r="D30" s="1546"/>
      <c r="E30" s="1546"/>
      <c r="F30" s="1546"/>
      <c r="G30" s="1193"/>
      <c r="H30" s="1531" t="s">
        <v>329</v>
      </c>
      <c r="I30" s="1531"/>
      <c r="J30" s="1531"/>
    </row>
    <row r="31" spans="1:10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29:B29"/>
    <mergeCell ref="C29:F30"/>
    <mergeCell ref="H29:J29"/>
    <mergeCell ref="H30:J30"/>
    <mergeCell ref="A22:B22"/>
    <mergeCell ref="A23:B23"/>
    <mergeCell ref="A24:B24"/>
    <mergeCell ref="A25:B25"/>
    <mergeCell ref="H27:J27"/>
    <mergeCell ref="A21:B21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J32"/>
  <sheetViews>
    <sheetView view="pageBreakPreview" topLeftCell="A13" zoomScaleNormal="100" zoomScaleSheetLayoutView="100" workbookViewId="0">
      <selection activeCell="E25" sqref="E25"/>
    </sheetView>
  </sheetViews>
  <sheetFormatPr defaultColWidth="8.88671875" defaultRowHeight="13.8" x14ac:dyDescent="0.25"/>
  <cols>
    <col min="1" max="1" width="4.109375" style="851" customWidth="1"/>
    <col min="2" max="2" width="21.109375" style="851" customWidth="1"/>
    <col min="3" max="7" width="7.5546875" style="851" customWidth="1"/>
    <col min="8" max="8" width="8.88671875" style="851" customWidth="1"/>
    <col min="9" max="9" width="7.5546875" style="851" customWidth="1"/>
    <col min="10" max="10" width="9" style="851" customWidth="1"/>
    <col min="11" max="11" width="3.6640625" style="851" customWidth="1"/>
    <col min="12" max="16384" width="8.88671875" style="85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254)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338</v>
      </c>
    </row>
    <row r="8" spans="1:10" s="2" customFormat="1" ht="9.6" customHeight="1" x14ac:dyDescent="0.25">
      <c r="A8" s="852"/>
      <c r="B8" s="852"/>
      <c r="C8" s="852"/>
      <c r="D8" s="852"/>
      <c r="E8" s="852"/>
      <c r="F8" s="852"/>
      <c r="G8" s="852"/>
      <c r="H8" s="852"/>
      <c r="I8" s="852"/>
      <c r="J8" s="109"/>
    </row>
    <row r="9" spans="1:10" s="2" customFormat="1" ht="26.1" customHeight="1" x14ac:dyDescent="0.3">
      <c r="A9" s="1550" t="s">
        <v>60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'338-яблоки'!H14+1</f>
        <v>254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45.75" customHeight="1" x14ac:dyDescent="0.25">
      <c r="A17" s="1543"/>
      <c r="B17" s="1543"/>
      <c r="C17" s="853" t="s">
        <v>92</v>
      </c>
      <c r="D17" s="853" t="s">
        <v>94</v>
      </c>
      <c r="E17" s="853" t="s">
        <v>93</v>
      </c>
      <c r="F17" s="853" t="s">
        <v>23</v>
      </c>
      <c r="G17" s="853" t="s">
        <v>92</v>
      </c>
      <c r="H17" s="853" t="s">
        <v>94</v>
      </c>
      <c r="I17" s="853" t="s">
        <v>92</v>
      </c>
      <c r="J17" s="853" t="s">
        <v>94</v>
      </c>
    </row>
    <row r="18" spans="1:10" ht="15.75" customHeight="1" x14ac:dyDescent="0.25">
      <c r="A18" s="853">
        <v>1</v>
      </c>
      <c r="B18" s="854">
        <v>2</v>
      </c>
      <c r="C18" s="853">
        <v>3</v>
      </c>
      <c r="D18" s="854">
        <v>4</v>
      </c>
      <c r="E18" s="853">
        <v>5</v>
      </c>
      <c r="F18" s="854">
        <v>6</v>
      </c>
      <c r="G18" s="853">
        <v>7</v>
      </c>
      <c r="H18" s="854">
        <v>8</v>
      </c>
      <c r="I18" s="853">
        <v>9</v>
      </c>
      <c r="J18" s="854">
        <v>10</v>
      </c>
    </row>
    <row r="19" spans="1:10" s="10" customFormat="1" ht="12" customHeight="1" x14ac:dyDescent="0.25">
      <c r="A19" s="180">
        <v>1</v>
      </c>
      <c r="B19" s="20" t="s">
        <v>60</v>
      </c>
      <c r="C19" s="111">
        <v>0.2</v>
      </c>
      <c r="D19" s="111">
        <v>0.2</v>
      </c>
      <c r="E19" s="408">
        <f>цены!F71</f>
        <v>91</v>
      </c>
      <c r="F19" s="408">
        <f>C19*E19</f>
        <v>18.2</v>
      </c>
      <c r="G19" s="97">
        <f>C19*10</f>
        <v>2</v>
      </c>
      <c r="H19" s="21">
        <f>D19*10</f>
        <v>2</v>
      </c>
      <c r="I19" s="21">
        <f>C19*100</f>
        <v>20</v>
      </c>
      <c r="J19" s="21">
        <f>D19*100</f>
        <v>20</v>
      </c>
    </row>
    <row r="20" spans="1:10" s="10" customFormat="1" ht="12" customHeight="1" x14ac:dyDescent="0.25">
      <c r="A20" s="98"/>
      <c r="B20" s="93" t="s">
        <v>100</v>
      </c>
      <c r="C20" s="112"/>
      <c r="D20" s="112">
        <v>0.1</v>
      </c>
      <c r="E20" s="95"/>
      <c r="F20" s="95">
        <f>SUM(F19:F19)</f>
        <v>18.2</v>
      </c>
      <c r="G20" s="99"/>
      <c r="H20" s="100">
        <f>D20*10</f>
        <v>1</v>
      </c>
      <c r="I20" s="100"/>
      <c r="J20" s="100">
        <f>D20*100</f>
        <v>10</v>
      </c>
    </row>
    <row r="21" spans="1:10" s="10" customFormat="1" ht="27.6" customHeight="1" x14ac:dyDescent="0.25">
      <c r="A21" s="1536" t="s">
        <v>35</v>
      </c>
      <c r="B21" s="1536"/>
      <c r="C21" s="90"/>
      <c r="D21" s="90"/>
      <c r="E21" s="408"/>
      <c r="F21" s="408">
        <f>F20</f>
        <v>18.2</v>
      </c>
      <c r="G21" s="855"/>
      <c r="H21" s="855"/>
      <c r="I21" s="21"/>
      <c r="J21" s="408"/>
    </row>
    <row r="22" spans="1:10" s="10" customFormat="1" ht="25.35" customHeight="1" x14ac:dyDescent="0.25">
      <c r="A22" s="1536" t="s">
        <v>36</v>
      </c>
      <c r="B22" s="1536"/>
      <c r="C22" s="90">
        <v>200</v>
      </c>
      <c r="D22" s="90"/>
      <c r="E22" s="408"/>
      <c r="F22" s="408"/>
      <c r="G22" s="408"/>
      <c r="H22" s="408"/>
      <c r="I22" s="21"/>
      <c r="J22" s="17"/>
    </row>
    <row r="23" spans="1:10" s="10" customFormat="1" ht="25.35" customHeight="1" x14ac:dyDescent="0.25">
      <c r="A23" s="1537" t="s">
        <v>37</v>
      </c>
      <c r="B23" s="1538"/>
      <c r="C23" s="91">
        <v>200</v>
      </c>
      <c r="D23" s="92"/>
      <c r="E23" s="854"/>
      <c r="F23" s="854"/>
      <c r="G23" s="854"/>
      <c r="H23" s="854"/>
      <c r="I23" s="21"/>
      <c r="J23" s="17"/>
    </row>
    <row r="24" spans="1:10" s="10" customFormat="1" ht="15" customHeight="1" x14ac:dyDescent="0.25">
      <c r="A24" s="1539" t="s">
        <v>38</v>
      </c>
      <c r="B24" s="1540"/>
      <c r="C24" s="92">
        <f>C22/C23</f>
        <v>1</v>
      </c>
      <c r="D24" s="92"/>
      <c r="E24" s="854"/>
      <c r="F24" s="854"/>
      <c r="G24" s="854"/>
      <c r="H24" s="854"/>
      <c r="I24" s="21"/>
      <c r="J24" s="17"/>
    </row>
    <row r="25" spans="1:10" ht="16.350000000000001" customHeight="1" x14ac:dyDescent="0.25">
      <c r="A25" s="1541" t="s">
        <v>39</v>
      </c>
      <c r="B25" s="1542"/>
      <c r="C25" s="15" t="s">
        <v>40</v>
      </c>
      <c r="D25" s="102"/>
      <c r="E25" s="102" t="s">
        <v>40</v>
      </c>
      <c r="F25" s="16">
        <f>F21/C24</f>
        <v>18.2</v>
      </c>
      <c r="G25" s="16"/>
      <c r="H25" s="16"/>
      <c r="I25" s="102" t="s">
        <v>40</v>
      </c>
      <c r="J25" s="102" t="s">
        <v>40</v>
      </c>
    </row>
    <row r="26" spans="1:10" ht="23.1" customHeight="1" x14ac:dyDescent="0.25">
      <c r="A26" s="1193"/>
      <c r="B26" s="1193"/>
      <c r="C26" s="1193"/>
      <c r="D26" s="1193"/>
      <c r="E26" s="1193"/>
      <c r="F26" s="1193"/>
      <c r="G26" s="1193"/>
      <c r="H26" s="1193"/>
      <c r="I26" s="1193"/>
      <c r="J26" s="1193"/>
    </row>
    <row r="27" spans="1:10" ht="13.95" customHeight="1" x14ac:dyDescent="0.25">
      <c r="A27" s="1193"/>
      <c r="B27" s="1194" t="s">
        <v>49</v>
      </c>
      <c r="C27" s="1198"/>
      <c r="D27" s="1198"/>
      <c r="E27" s="1198"/>
      <c r="F27" s="1198"/>
      <c r="G27" s="1193"/>
      <c r="H27" s="1557">
        <f>'1-бутерброд с маслом'!$H$28</f>
        <v>0</v>
      </c>
      <c r="I27" s="1557"/>
      <c r="J27" s="1557"/>
    </row>
    <row r="28" spans="1:10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545" t="s">
        <v>327</v>
      </c>
      <c r="B29" s="1545"/>
      <c r="C29" s="1546" t="s">
        <v>328</v>
      </c>
      <c r="D29" s="1546"/>
      <c r="E29" s="1546"/>
      <c r="F29" s="1546"/>
      <c r="G29" s="106"/>
      <c r="H29" s="1531"/>
      <c r="I29" s="1531"/>
      <c r="J29" s="1531"/>
    </row>
    <row r="30" spans="1:10" x14ac:dyDescent="0.25">
      <c r="A30" s="1193"/>
      <c r="B30" s="1193"/>
      <c r="C30" s="1546"/>
      <c r="D30" s="1546"/>
      <c r="E30" s="1546"/>
      <c r="F30" s="1546"/>
      <c r="G30" s="1193"/>
      <c r="H30" s="1531" t="s">
        <v>329</v>
      </c>
      <c r="I30" s="1531"/>
      <c r="J30" s="1531"/>
    </row>
    <row r="31" spans="1:10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29:B29"/>
    <mergeCell ref="C29:F30"/>
    <mergeCell ref="H29:J29"/>
    <mergeCell ref="H30:J30"/>
    <mergeCell ref="A22:B22"/>
    <mergeCell ref="A23:B23"/>
    <mergeCell ref="A24:B24"/>
    <mergeCell ref="A25:B25"/>
    <mergeCell ref="H27:J27"/>
    <mergeCell ref="A21:B21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M38"/>
  <sheetViews>
    <sheetView view="pageBreakPreview" topLeftCell="A15" zoomScaleNormal="100" zoomScaleSheetLayoutView="100" workbookViewId="0">
      <selection activeCell="A30" sqref="A30:J34"/>
    </sheetView>
  </sheetViews>
  <sheetFormatPr defaultRowHeight="13.8" x14ac:dyDescent="0.25"/>
  <cols>
    <col min="1" max="1" width="4.109375" customWidth="1"/>
    <col min="2" max="2" width="21" customWidth="1"/>
    <col min="3" max="3" width="8.88671875" customWidth="1"/>
    <col min="4" max="7" width="7.5546875" customWidth="1"/>
    <col min="8" max="8" width="7.44140625" customWidth="1"/>
    <col min="9" max="9" width="8.44140625" customWidth="1"/>
    <col min="10" max="10" width="9.109375" customWidth="1"/>
    <col min="11" max="11" width="7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21)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367"/>
      <c r="I6" s="367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24</v>
      </c>
    </row>
    <row r="8" spans="1:10" s="2" customFormat="1" ht="9.6" customHeight="1" x14ac:dyDescent="0.25">
      <c r="A8" s="368"/>
      <c r="B8" s="368"/>
      <c r="C8" s="368"/>
      <c r="D8" s="368"/>
      <c r="E8" s="368"/>
      <c r="F8" s="368"/>
      <c r="G8" s="368"/>
      <c r="H8" s="368"/>
      <c r="I8" s="368"/>
      <c r="J8" s="109"/>
    </row>
    <row r="9" spans="1:10" s="2" customFormat="1" ht="26.1" customHeight="1" x14ac:dyDescent="0.3">
      <c r="A9" s="1550" t="s">
        <v>601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'24-салат из помидор и огурцов'!H14+1</f>
        <v>21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369" t="s">
        <v>92</v>
      </c>
      <c r="D17" s="369" t="s">
        <v>94</v>
      </c>
      <c r="E17" s="369" t="s">
        <v>93</v>
      </c>
      <c r="F17" s="369" t="s">
        <v>23</v>
      </c>
      <c r="G17" s="369" t="s">
        <v>92</v>
      </c>
      <c r="H17" s="369" t="s">
        <v>94</v>
      </c>
      <c r="I17" s="369" t="s">
        <v>92</v>
      </c>
      <c r="J17" s="369" t="s">
        <v>94</v>
      </c>
    </row>
    <row r="18" spans="1:13" ht="9.6" customHeight="1" x14ac:dyDescent="0.25">
      <c r="A18" s="369">
        <v>1</v>
      </c>
      <c r="B18" s="370">
        <v>2</v>
      </c>
      <c r="C18" s="369">
        <v>3</v>
      </c>
      <c r="D18" s="370">
        <v>4</v>
      </c>
      <c r="E18" s="369">
        <v>5</v>
      </c>
      <c r="F18" s="370">
        <v>6</v>
      </c>
      <c r="G18" s="369">
        <v>7</v>
      </c>
      <c r="H18" s="370">
        <v>8</v>
      </c>
      <c r="I18" s="369">
        <v>9</v>
      </c>
      <c r="J18" s="370">
        <v>10</v>
      </c>
    </row>
    <row r="19" spans="1:13" s="10" customFormat="1" ht="14.1" customHeight="1" x14ac:dyDescent="0.25">
      <c r="A19" s="180">
        <v>1</v>
      </c>
      <c r="B19" s="20" t="s">
        <v>516</v>
      </c>
      <c r="C19" s="21">
        <v>0.56499999999999995</v>
      </c>
      <c r="D19" s="21">
        <v>0.48</v>
      </c>
      <c r="E19" s="13">
        <f>цены!F41</f>
        <v>106</v>
      </c>
      <c r="F19" s="13">
        <f>C19*E19</f>
        <v>59.89</v>
      </c>
      <c r="G19" s="97">
        <f t="shared" ref="G19:H23" si="0">C19*10</f>
        <v>5.65</v>
      </c>
      <c r="H19" s="21">
        <f t="shared" si="0"/>
        <v>4.8</v>
      </c>
      <c r="I19" s="21">
        <f t="shared" ref="I19:J23" si="1">C19*100</f>
        <v>56.5</v>
      </c>
      <c r="J19" s="21">
        <f t="shared" si="1"/>
        <v>48</v>
      </c>
      <c r="L19" s="1015">
        <f>C19/C$28</f>
        <v>3.3899322013559698E-2</v>
      </c>
      <c r="M19" s="1015">
        <f>F19/C$28</f>
        <v>3.5933281334373302</v>
      </c>
    </row>
    <row r="20" spans="1:13" s="10" customFormat="1" ht="14.1" customHeight="1" x14ac:dyDescent="0.25">
      <c r="A20" s="180">
        <v>2</v>
      </c>
      <c r="B20" s="20" t="s">
        <v>514</v>
      </c>
      <c r="C20" s="21">
        <v>0.438</v>
      </c>
      <c r="D20" s="21">
        <v>0.35</v>
      </c>
      <c r="E20" s="13">
        <f>цены!F42</f>
        <v>60</v>
      </c>
      <c r="F20" s="13">
        <f>C20*E20</f>
        <v>26.28</v>
      </c>
      <c r="G20" s="97">
        <f t="shared" si="0"/>
        <v>4.38</v>
      </c>
      <c r="H20" s="21">
        <f t="shared" si="0"/>
        <v>3.5</v>
      </c>
      <c r="I20" s="21">
        <f t="shared" si="1"/>
        <v>43.8</v>
      </c>
      <c r="J20" s="21">
        <f t="shared" si="1"/>
        <v>35</v>
      </c>
      <c r="L20" s="1015">
        <f t="shared" ref="L20:L23" si="2">C20/C$28</f>
        <v>2.6279474410511799E-2</v>
      </c>
      <c r="M20" s="1015">
        <f t="shared" ref="M20:M23" si="3">F20/C$28</f>
        <v>1.5767684646307101</v>
      </c>
    </row>
    <row r="21" spans="1:13" s="10" customFormat="1" ht="14.1" customHeight="1" x14ac:dyDescent="0.25">
      <c r="A21" s="180">
        <v>3</v>
      </c>
      <c r="B21" s="20" t="s">
        <v>48</v>
      </c>
      <c r="C21" s="21">
        <v>0.14299999999999999</v>
      </c>
      <c r="D21" s="21">
        <v>0.12</v>
      </c>
      <c r="E21" s="13">
        <f>цены!F38</f>
        <v>50</v>
      </c>
      <c r="F21" s="13">
        <f>C21*E21</f>
        <v>7.15</v>
      </c>
      <c r="G21" s="97">
        <f t="shared" si="0"/>
        <v>1.43</v>
      </c>
      <c r="H21" s="21">
        <f t="shared" si="0"/>
        <v>1.2</v>
      </c>
      <c r="I21" s="21">
        <f t="shared" si="1"/>
        <v>14.3</v>
      </c>
      <c r="J21" s="21">
        <f t="shared" si="1"/>
        <v>12</v>
      </c>
      <c r="L21" s="1015">
        <f t="shared" si="2"/>
        <v>8.5798284034319296E-3</v>
      </c>
      <c r="M21" s="1015">
        <f t="shared" si="3"/>
        <v>0.42899142017159703</v>
      </c>
    </row>
    <row r="22" spans="1:13" s="10" customFormat="1" ht="14.1" customHeight="1" x14ac:dyDescent="0.25">
      <c r="A22" s="180">
        <v>4</v>
      </c>
      <c r="B22" s="20" t="s">
        <v>74</v>
      </c>
      <c r="C22" s="21">
        <v>0.06</v>
      </c>
      <c r="D22" s="21">
        <v>0.06</v>
      </c>
      <c r="E22" s="13">
        <f>цены!F87</f>
        <v>120</v>
      </c>
      <c r="F22" s="13">
        <f>C22*E22</f>
        <v>7.2</v>
      </c>
      <c r="G22" s="97">
        <f t="shared" si="0"/>
        <v>0.6</v>
      </c>
      <c r="H22" s="21">
        <f t="shared" si="0"/>
        <v>0.6</v>
      </c>
      <c r="I22" s="21">
        <f t="shared" si="1"/>
        <v>6</v>
      </c>
      <c r="J22" s="21">
        <f t="shared" si="1"/>
        <v>6</v>
      </c>
      <c r="L22" s="1015">
        <f t="shared" si="2"/>
        <v>3.5999280014399702E-3</v>
      </c>
      <c r="M22" s="1015">
        <f t="shared" si="3"/>
        <v>0.43199136017279599</v>
      </c>
    </row>
    <row r="23" spans="1:13" s="10" customFormat="1" ht="14.1" customHeight="1" x14ac:dyDescent="0.25">
      <c r="A23" s="180">
        <v>5</v>
      </c>
      <c r="B23" s="20" t="s">
        <v>75</v>
      </c>
      <c r="C23" s="21">
        <f>0.002*C28</f>
        <v>3.3000000000000002E-2</v>
      </c>
      <c r="D23" s="21">
        <f>C23</f>
        <v>3.3000000000000002E-2</v>
      </c>
      <c r="E23" s="13">
        <f>цены!F110</f>
        <v>24</v>
      </c>
      <c r="F23" s="13">
        <f>C23*E23</f>
        <v>0.79</v>
      </c>
      <c r="G23" s="97">
        <f t="shared" si="0"/>
        <v>0.33</v>
      </c>
      <c r="H23" s="21">
        <f t="shared" si="0"/>
        <v>0.33</v>
      </c>
      <c r="I23" s="21">
        <f t="shared" si="1"/>
        <v>3.3</v>
      </c>
      <c r="J23" s="21">
        <f t="shared" si="1"/>
        <v>3.3</v>
      </c>
      <c r="L23" s="1015">
        <f t="shared" si="2"/>
        <v>1.9799604007919801E-3</v>
      </c>
      <c r="M23" s="1015">
        <f t="shared" si="3"/>
        <v>4.7399052018959602E-2</v>
      </c>
    </row>
    <row r="24" spans="1:13" s="10" customFormat="1" ht="12" customHeight="1" x14ac:dyDescent="0.25">
      <c r="A24" s="98"/>
      <c r="B24" s="93" t="s">
        <v>100</v>
      </c>
      <c r="C24" s="100"/>
      <c r="D24" s="100">
        <v>1</v>
      </c>
      <c r="E24" s="95"/>
      <c r="F24" s="95">
        <f>SUM(F19:F23)</f>
        <v>101.31</v>
      </c>
      <c r="G24" s="99"/>
      <c r="H24" s="100">
        <f>D24*10</f>
        <v>10</v>
      </c>
      <c r="I24" s="100"/>
      <c r="J24" s="100">
        <f>D24*100</f>
        <v>100</v>
      </c>
      <c r="L24" s="1015">
        <f>SUM(L19:L23)</f>
        <v>7.4338513229735406E-2</v>
      </c>
      <c r="M24" s="1015">
        <f>SUM(M19:M23)</f>
        <v>6.0784784304313897</v>
      </c>
    </row>
    <row r="25" spans="1:13" s="10" customFormat="1" ht="27.6" customHeight="1" x14ac:dyDescent="0.25">
      <c r="A25" s="1536" t="s">
        <v>35</v>
      </c>
      <c r="B25" s="1536"/>
      <c r="C25" s="90"/>
      <c r="D25" s="90"/>
      <c r="E25" s="13"/>
      <c r="F25" s="13">
        <f>F24</f>
        <v>101.31</v>
      </c>
      <c r="G25" s="371"/>
      <c r="H25" s="371"/>
      <c r="I25" s="21"/>
      <c r="J25" s="13"/>
    </row>
    <row r="26" spans="1:13" s="10" customFormat="1" ht="25.35" customHeight="1" x14ac:dyDescent="0.25">
      <c r="A26" s="1536" t="s">
        <v>36</v>
      </c>
      <c r="B26" s="1536"/>
      <c r="C26" s="90">
        <v>1000</v>
      </c>
      <c r="D26" s="90"/>
      <c r="E26" s="13"/>
      <c r="F26" s="13"/>
      <c r="G26" s="13"/>
      <c r="H26" s="13"/>
      <c r="I26" s="21"/>
      <c r="J26" s="17"/>
    </row>
    <row r="27" spans="1:13" s="10" customFormat="1" ht="25.35" customHeight="1" x14ac:dyDescent="0.25">
      <c r="A27" s="1537" t="s">
        <v>37</v>
      </c>
      <c r="B27" s="1538"/>
      <c r="C27" s="91">
        <v>60</v>
      </c>
      <c r="D27" s="92"/>
      <c r="E27" s="370"/>
      <c r="F27" s="370"/>
      <c r="G27" s="370"/>
      <c r="H27" s="370"/>
      <c r="I27" s="21"/>
      <c r="J27" s="17"/>
    </row>
    <row r="28" spans="1:13" s="10" customFormat="1" ht="15" customHeight="1" x14ac:dyDescent="0.25">
      <c r="A28" s="1539" t="s">
        <v>38</v>
      </c>
      <c r="B28" s="1540"/>
      <c r="C28" s="92">
        <f>C26/C27</f>
        <v>16.667000000000002</v>
      </c>
      <c r="D28" s="92"/>
      <c r="E28" s="370"/>
      <c r="F28" s="370"/>
      <c r="G28" s="370"/>
      <c r="H28" s="370"/>
      <c r="I28" s="21"/>
      <c r="J28" s="17"/>
    </row>
    <row r="29" spans="1:13" ht="16.350000000000001" customHeight="1" x14ac:dyDescent="0.25">
      <c r="A29" s="1541" t="s">
        <v>39</v>
      </c>
      <c r="B29" s="1542"/>
      <c r="C29" s="15" t="s">
        <v>40</v>
      </c>
      <c r="D29" s="102"/>
      <c r="E29" s="102" t="s">
        <v>40</v>
      </c>
      <c r="F29" s="16">
        <f>F25/C28</f>
        <v>6.08</v>
      </c>
      <c r="G29" s="16"/>
      <c r="H29" s="16"/>
      <c r="I29" s="102" t="s">
        <v>40</v>
      </c>
      <c r="J29" s="102" t="s">
        <v>40</v>
      </c>
    </row>
    <row r="30" spans="1:13" ht="23.1" customHeight="1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3" ht="13.95" customHeight="1" x14ac:dyDescent="0.25">
      <c r="A31" s="1193"/>
      <c r="B31" s="1194" t="s">
        <v>49</v>
      </c>
      <c r="C31" s="1198"/>
      <c r="D31" s="1198"/>
      <c r="E31" s="1198"/>
      <c r="F31" s="1198"/>
      <c r="G31" s="1193"/>
      <c r="H31" s="1557">
        <f>'1-бутерброд с маслом'!$H$28</f>
        <v>0</v>
      </c>
      <c r="I31" s="1557"/>
      <c r="J31" s="1557"/>
    </row>
    <row r="32" spans="1:13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545" t="s">
        <v>327</v>
      </c>
      <c r="B33" s="1545"/>
      <c r="C33" s="1546" t="s">
        <v>328</v>
      </c>
      <c r="D33" s="1546"/>
      <c r="E33" s="1546"/>
      <c r="F33" s="1546"/>
      <c r="G33" s="106"/>
      <c r="H33" s="1531"/>
      <c r="I33" s="1531"/>
      <c r="J33" s="1531"/>
    </row>
    <row r="34" spans="1:10" x14ac:dyDescent="0.25">
      <c r="A34" s="1193"/>
      <c r="B34" s="1193"/>
      <c r="C34" s="1546"/>
      <c r="D34" s="1546"/>
      <c r="E34" s="1546"/>
      <c r="F34" s="1546"/>
      <c r="G34" s="1193"/>
      <c r="H34" s="1531" t="s">
        <v>329</v>
      </c>
      <c r="I34" s="1531"/>
      <c r="J34" s="1531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3:B33"/>
    <mergeCell ref="C33:F34"/>
    <mergeCell ref="H33:J33"/>
    <mergeCell ref="H34:J34"/>
    <mergeCell ref="A26:B26"/>
    <mergeCell ref="A27:B27"/>
    <mergeCell ref="A28:B28"/>
    <mergeCell ref="A29:B29"/>
    <mergeCell ref="H31:J31"/>
    <mergeCell ref="A25:B25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J32"/>
  <sheetViews>
    <sheetView view="pageBreakPreview" zoomScaleNormal="100" zoomScaleSheetLayoutView="100" workbookViewId="0">
      <selection activeCell="O21" sqref="O21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255)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338</v>
      </c>
    </row>
    <row r="8" spans="1:10" s="2" customFormat="1" ht="9.6" customHeight="1" x14ac:dyDescent="0.25">
      <c r="A8" s="283"/>
      <c r="B8" s="283"/>
      <c r="C8" s="283"/>
      <c r="D8" s="283"/>
      <c r="E8" s="283"/>
      <c r="F8" s="283"/>
      <c r="G8" s="283"/>
      <c r="H8" s="283"/>
      <c r="I8" s="283"/>
      <c r="J8" s="109"/>
    </row>
    <row r="9" spans="1:10" s="2" customFormat="1" ht="26.1" customHeight="1" x14ac:dyDescent="0.3">
      <c r="A9" s="1550" t="s">
        <v>497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'338-яблоки (150)'!H14+1</f>
        <v>255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84" t="s">
        <v>92</v>
      </c>
      <c r="D17" s="284" t="s">
        <v>94</v>
      </c>
      <c r="E17" s="284" t="s">
        <v>93</v>
      </c>
      <c r="F17" s="284" t="s">
        <v>23</v>
      </c>
      <c r="G17" s="284" t="s">
        <v>92</v>
      </c>
      <c r="H17" s="284" t="s">
        <v>94</v>
      </c>
      <c r="I17" s="284" t="s">
        <v>92</v>
      </c>
      <c r="J17" s="284" t="s">
        <v>94</v>
      </c>
    </row>
    <row r="18" spans="1:10" ht="9.6" customHeight="1" x14ac:dyDescent="0.25">
      <c r="A18" s="284">
        <v>1</v>
      </c>
      <c r="B18" s="285">
        <v>2</v>
      </c>
      <c r="C18" s="284">
        <v>3</v>
      </c>
      <c r="D18" s="285">
        <v>4</v>
      </c>
      <c r="E18" s="284">
        <v>5</v>
      </c>
      <c r="F18" s="285">
        <v>6</v>
      </c>
      <c r="G18" s="284">
        <v>7</v>
      </c>
      <c r="H18" s="285">
        <v>8</v>
      </c>
      <c r="I18" s="284">
        <v>9</v>
      </c>
      <c r="J18" s="285">
        <v>10</v>
      </c>
    </row>
    <row r="19" spans="1:10" s="10" customFormat="1" ht="12" customHeight="1" x14ac:dyDescent="0.25">
      <c r="A19" s="180">
        <v>1</v>
      </c>
      <c r="B19" s="20" t="s">
        <v>497</v>
      </c>
      <c r="C19" s="111">
        <v>0.1</v>
      </c>
      <c r="D19" s="111">
        <v>0.1</v>
      </c>
      <c r="E19" s="13">
        <f>цены!F67</f>
        <v>240</v>
      </c>
      <c r="F19" s="13">
        <f>C19*E19</f>
        <v>24</v>
      </c>
      <c r="G19" s="97">
        <f>C19*10</f>
        <v>1</v>
      </c>
      <c r="H19" s="21">
        <f>D19*10</f>
        <v>1</v>
      </c>
      <c r="I19" s="21">
        <f>C19*100</f>
        <v>10</v>
      </c>
      <c r="J19" s="21">
        <f>D19*100</f>
        <v>10</v>
      </c>
    </row>
    <row r="20" spans="1:10" s="10" customFormat="1" ht="12" customHeight="1" x14ac:dyDescent="0.25">
      <c r="A20" s="98"/>
      <c r="B20" s="93" t="s">
        <v>100</v>
      </c>
      <c r="C20" s="112"/>
      <c r="D20" s="112">
        <v>0.1</v>
      </c>
      <c r="E20" s="95"/>
      <c r="F20" s="95">
        <f>SUM(F19:F19)</f>
        <v>24</v>
      </c>
      <c r="G20" s="99"/>
      <c r="H20" s="100">
        <f>D20*10</f>
        <v>1</v>
      </c>
      <c r="I20" s="100"/>
      <c r="J20" s="100">
        <f>D20*100</f>
        <v>10</v>
      </c>
    </row>
    <row r="21" spans="1:10" s="10" customFormat="1" ht="27.6" customHeight="1" x14ac:dyDescent="0.25">
      <c r="A21" s="1536" t="s">
        <v>35</v>
      </c>
      <c r="B21" s="1536"/>
      <c r="C21" s="90"/>
      <c r="D21" s="90"/>
      <c r="E21" s="13"/>
      <c r="F21" s="13">
        <f>F20</f>
        <v>24</v>
      </c>
      <c r="G21" s="286"/>
      <c r="H21" s="286"/>
      <c r="I21" s="21"/>
      <c r="J21" s="13"/>
    </row>
    <row r="22" spans="1:10" s="10" customFormat="1" ht="25.35" customHeight="1" x14ac:dyDescent="0.25">
      <c r="A22" s="1536" t="s">
        <v>36</v>
      </c>
      <c r="B22" s="1536"/>
      <c r="C22" s="90">
        <v>100</v>
      </c>
      <c r="D22" s="90"/>
      <c r="E22" s="13"/>
      <c r="F22" s="13"/>
      <c r="G22" s="13"/>
      <c r="H22" s="13"/>
      <c r="I22" s="21"/>
      <c r="J22" s="17"/>
    </row>
    <row r="23" spans="1:10" s="10" customFormat="1" ht="25.35" customHeight="1" x14ac:dyDescent="0.25">
      <c r="A23" s="1537" t="s">
        <v>37</v>
      </c>
      <c r="B23" s="1538"/>
      <c r="C23" s="91">
        <v>100</v>
      </c>
      <c r="D23" s="92"/>
      <c r="E23" s="285"/>
      <c r="F23" s="285"/>
      <c r="G23" s="285"/>
      <c r="H23" s="285"/>
      <c r="I23" s="21"/>
      <c r="J23" s="17"/>
    </row>
    <row r="24" spans="1:10" s="10" customFormat="1" ht="15" customHeight="1" x14ac:dyDescent="0.25">
      <c r="A24" s="1539" t="s">
        <v>38</v>
      </c>
      <c r="B24" s="1540"/>
      <c r="C24" s="92">
        <f>C22/C23</f>
        <v>1</v>
      </c>
      <c r="D24" s="92"/>
      <c r="E24" s="285"/>
      <c r="F24" s="285"/>
      <c r="G24" s="285"/>
      <c r="H24" s="285"/>
      <c r="I24" s="21"/>
      <c r="J24" s="17"/>
    </row>
    <row r="25" spans="1:10" ht="16.350000000000001" customHeight="1" x14ac:dyDescent="0.25">
      <c r="A25" s="1541" t="s">
        <v>39</v>
      </c>
      <c r="B25" s="1542"/>
      <c r="C25" s="15" t="s">
        <v>40</v>
      </c>
      <c r="D25" s="102"/>
      <c r="E25" s="102" t="s">
        <v>40</v>
      </c>
      <c r="F25" s="16">
        <f>F21/C24</f>
        <v>24</v>
      </c>
      <c r="G25" s="16"/>
      <c r="H25" s="16"/>
      <c r="I25" s="102" t="s">
        <v>40</v>
      </c>
      <c r="J25" s="102" t="s">
        <v>40</v>
      </c>
    </row>
    <row r="26" spans="1:10" ht="23.1" customHeight="1" x14ac:dyDescent="0.25">
      <c r="A26" s="1193"/>
      <c r="B26" s="1193"/>
      <c r="C26" s="1193"/>
      <c r="D26" s="1193"/>
      <c r="E26" s="1193"/>
      <c r="F26" s="1193"/>
      <c r="G26" s="1193"/>
      <c r="H26" s="1193"/>
      <c r="I26" s="1193"/>
      <c r="J26" s="1193"/>
    </row>
    <row r="27" spans="1:10" ht="13.95" customHeight="1" x14ac:dyDescent="0.25">
      <c r="A27" s="1193"/>
      <c r="B27" s="1194" t="s">
        <v>49</v>
      </c>
      <c r="C27" s="1198"/>
      <c r="D27" s="1198"/>
      <c r="E27" s="1198"/>
      <c r="F27" s="1198"/>
      <c r="G27" s="1193"/>
      <c r="H27" s="1557">
        <f>'1-бутерброд с маслом'!$H$28</f>
        <v>0</v>
      </c>
      <c r="I27" s="1557"/>
      <c r="J27" s="1557"/>
    </row>
    <row r="28" spans="1:10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545" t="s">
        <v>327</v>
      </c>
      <c r="B29" s="1545"/>
      <c r="C29" s="1546" t="s">
        <v>328</v>
      </c>
      <c r="D29" s="1546"/>
      <c r="E29" s="1546"/>
      <c r="F29" s="1546"/>
      <c r="G29" s="106"/>
      <c r="H29" s="1531"/>
      <c r="I29" s="1531"/>
      <c r="J29" s="1531"/>
    </row>
    <row r="30" spans="1:10" x14ac:dyDescent="0.25">
      <c r="A30" s="1193"/>
      <c r="B30" s="1193"/>
      <c r="C30" s="1546"/>
      <c r="D30" s="1546"/>
      <c r="E30" s="1546"/>
      <c r="F30" s="1546"/>
      <c r="G30" s="1193"/>
      <c r="H30" s="1531" t="s">
        <v>329</v>
      </c>
      <c r="I30" s="1531"/>
      <c r="J30" s="1531"/>
    </row>
    <row r="31" spans="1:10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29:B29"/>
    <mergeCell ref="C29:F30"/>
    <mergeCell ref="H29:J29"/>
    <mergeCell ref="H30:J30"/>
    <mergeCell ref="A22:B22"/>
    <mergeCell ref="A23:B23"/>
    <mergeCell ref="A24:B24"/>
    <mergeCell ref="A25:B25"/>
    <mergeCell ref="H27:J27"/>
    <mergeCell ref="A21:B21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J30"/>
  <sheetViews>
    <sheetView view="pageBreakPreview" topLeftCell="A13" zoomScaleNormal="100" zoomScaleSheetLayoutView="100" workbookViewId="0">
      <selection activeCell="H15" sqref="H15"/>
    </sheetView>
  </sheetViews>
  <sheetFormatPr defaultColWidth="8.88671875" defaultRowHeight="13.8" x14ac:dyDescent="0.25"/>
  <cols>
    <col min="1" max="1" width="4.109375" style="1324" customWidth="1"/>
    <col min="2" max="2" width="21.109375" style="1324" customWidth="1"/>
    <col min="3" max="7" width="7.5546875" style="1324" customWidth="1"/>
    <col min="8" max="8" width="8.88671875" style="1324" customWidth="1"/>
    <col min="9" max="9" width="7.5546875" style="1324" customWidth="1"/>
    <col min="10" max="10" width="9" style="1324" customWidth="1"/>
    <col min="11" max="11" width="4.33203125" style="1324" customWidth="1"/>
    <col min="12" max="16384" width="8.88671875" style="1324"/>
  </cols>
  <sheetData>
    <row r="1" spans="1:10" ht="15.6" x14ac:dyDescent="0.3">
      <c r="F1" s="1319"/>
      <c r="G1" s="1521" t="str">
        <f>"Приложение 3 (Лист"&amp;" "&amp;H14&amp;")"</f>
        <v>Приложение 3 (Лист 256)</v>
      </c>
      <c r="H1" s="1521"/>
      <c r="I1" s="1521"/>
      <c r="J1" s="1521"/>
    </row>
    <row r="2" spans="1:10" ht="15.6" x14ac:dyDescent="0.3">
      <c r="G2" s="1521" t="s">
        <v>1346</v>
      </c>
      <c r="H2" s="1521"/>
      <c r="I2" s="1521"/>
      <c r="J2" s="1521"/>
    </row>
    <row r="3" spans="1:10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320"/>
      <c r="I6" s="1320"/>
      <c r="J6" s="1326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326">
        <v>338</v>
      </c>
    </row>
    <row r="8" spans="1:10" s="2" customFormat="1" ht="9.6" customHeight="1" x14ac:dyDescent="0.25">
      <c r="A8" s="1321"/>
      <c r="B8" s="1321"/>
      <c r="C8" s="1321"/>
      <c r="D8" s="1321"/>
      <c r="E8" s="1321"/>
      <c r="F8" s="1321"/>
      <c r="G8" s="1321"/>
      <c r="H8" s="1321"/>
      <c r="I8" s="1321"/>
      <c r="J8" s="109"/>
    </row>
    <row r="9" spans="1:10" s="2" customFormat="1" ht="26.1" customHeight="1" x14ac:dyDescent="0.3">
      <c r="A9" s="1550" t="s">
        <v>497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E12" s="101"/>
      <c r="F12" s="101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323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'338-груши'!H14+1</f>
        <v>256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1322" t="s">
        <v>92</v>
      </c>
      <c r="D17" s="1322" t="s">
        <v>94</v>
      </c>
      <c r="E17" s="1322" t="s">
        <v>93</v>
      </c>
      <c r="F17" s="1322" t="s">
        <v>23</v>
      </c>
      <c r="G17" s="1322" t="s">
        <v>92</v>
      </c>
      <c r="H17" s="1322" t="s">
        <v>94</v>
      </c>
      <c r="I17" s="1322" t="s">
        <v>92</v>
      </c>
      <c r="J17" s="1322" t="s">
        <v>94</v>
      </c>
    </row>
    <row r="18" spans="1:10" ht="9.6" customHeight="1" x14ac:dyDescent="0.25">
      <c r="A18" s="1322">
        <v>1</v>
      </c>
      <c r="B18" s="1323">
        <v>2</v>
      </c>
      <c r="C18" s="1322">
        <v>3</v>
      </c>
      <c r="D18" s="1323">
        <v>4</v>
      </c>
      <c r="E18" s="1322">
        <v>5</v>
      </c>
      <c r="F18" s="1323">
        <v>6</v>
      </c>
      <c r="G18" s="1322">
        <v>7</v>
      </c>
      <c r="H18" s="1323">
        <v>8</v>
      </c>
      <c r="I18" s="1322">
        <v>9</v>
      </c>
      <c r="J18" s="1323">
        <v>10</v>
      </c>
    </row>
    <row r="19" spans="1:10" s="10" customFormat="1" ht="12" customHeight="1" x14ac:dyDescent="0.25">
      <c r="A19" s="180">
        <v>1</v>
      </c>
      <c r="B19" s="20" t="s">
        <v>497</v>
      </c>
      <c r="C19" s="111">
        <v>0.15</v>
      </c>
      <c r="D19" s="111">
        <v>0.15</v>
      </c>
      <c r="E19" s="408">
        <f>цены!F67</f>
        <v>240</v>
      </c>
      <c r="F19" s="408">
        <f>C19*E19</f>
        <v>36</v>
      </c>
      <c r="G19" s="97">
        <f>C19*10</f>
        <v>1.5</v>
      </c>
      <c r="H19" s="21">
        <f>D19*10</f>
        <v>1.5</v>
      </c>
      <c r="I19" s="21">
        <f>C19*100</f>
        <v>15</v>
      </c>
      <c r="J19" s="21">
        <f>D19*100</f>
        <v>15</v>
      </c>
    </row>
    <row r="20" spans="1:10" s="10" customFormat="1" ht="12" customHeight="1" x14ac:dyDescent="0.25">
      <c r="A20" s="98"/>
      <c r="B20" s="93" t="s">
        <v>100</v>
      </c>
      <c r="C20" s="112"/>
      <c r="D20" s="1028">
        <v>150</v>
      </c>
      <c r="E20" s="95"/>
      <c r="F20" s="95">
        <f>SUM(F19:F19)</f>
        <v>36</v>
      </c>
      <c r="G20" s="99"/>
      <c r="H20" s="1028">
        <f>D20*10</f>
        <v>1500</v>
      </c>
      <c r="I20" s="1028"/>
      <c r="J20" s="1028">
        <f>D20*100</f>
        <v>15000</v>
      </c>
    </row>
    <row r="21" spans="1:10" s="10" customFormat="1" ht="27.6" customHeight="1" x14ac:dyDescent="0.25">
      <c r="A21" s="1536" t="s">
        <v>35</v>
      </c>
      <c r="B21" s="1536"/>
      <c r="C21" s="90"/>
      <c r="D21" s="90"/>
      <c r="E21" s="408"/>
      <c r="F21" s="408">
        <f>F20</f>
        <v>36</v>
      </c>
      <c r="G21" s="1325"/>
      <c r="H21" s="1325"/>
      <c r="I21" s="21"/>
      <c r="J21" s="408"/>
    </row>
    <row r="22" spans="1:10" s="10" customFormat="1" ht="25.35" customHeight="1" x14ac:dyDescent="0.25">
      <c r="A22" s="1536" t="s">
        <v>36</v>
      </c>
      <c r="B22" s="1536"/>
      <c r="C22" s="90">
        <v>150</v>
      </c>
      <c r="D22" s="90"/>
      <c r="E22" s="408"/>
      <c r="F22" s="408"/>
      <c r="G22" s="408"/>
      <c r="H22" s="408"/>
      <c r="I22" s="21"/>
      <c r="J22" s="17"/>
    </row>
    <row r="23" spans="1:10" s="10" customFormat="1" ht="25.35" customHeight="1" x14ac:dyDescent="0.25">
      <c r="A23" s="1537" t="s">
        <v>37</v>
      </c>
      <c r="B23" s="1538"/>
      <c r="C23" s="91">
        <v>150</v>
      </c>
      <c r="D23" s="92"/>
      <c r="E23" s="1323"/>
      <c r="F23" s="1323"/>
      <c r="G23" s="1323"/>
      <c r="H23" s="1323"/>
      <c r="I23" s="21"/>
      <c r="J23" s="17"/>
    </row>
    <row r="24" spans="1:10" s="10" customFormat="1" ht="15" customHeight="1" x14ac:dyDescent="0.25">
      <c r="A24" s="1539" t="s">
        <v>38</v>
      </c>
      <c r="B24" s="1540"/>
      <c r="C24" s="92">
        <f>C22/C23</f>
        <v>1</v>
      </c>
      <c r="D24" s="92"/>
      <c r="E24" s="1323"/>
      <c r="F24" s="1323"/>
      <c r="G24" s="1323"/>
      <c r="H24" s="1323"/>
      <c r="I24" s="21"/>
      <c r="J24" s="17"/>
    </row>
    <row r="25" spans="1:10" ht="16.350000000000001" customHeight="1" x14ac:dyDescent="0.25">
      <c r="A25" s="1541" t="s">
        <v>39</v>
      </c>
      <c r="B25" s="1542"/>
      <c r="C25" s="15" t="s">
        <v>40</v>
      </c>
      <c r="D25" s="102"/>
      <c r="E25" s="102" t="s">
        <v>40</v>
      </c>
      <c r="F25" s="16">
        <f>F21/C24</f>
        <v>36</v>
      </c>
      <c r="G25" s="16"/>
      <c r="H25" s="16"/>
      <c r="I25" s="102" t="s">
        <v>40</v>
      </c>
      <c r="J25" s="102" t="s">
        <v>40</v>
      </c>
    </row>
    <row r="26" spans="1:10" ht="23.1" customHeight="1" x14ac:dyDescent="0.25"/>
    <row r="27" spans="1:10" ht="13.95" customHeight="1" x14ac:dyDescent="0.25">
      <c r="B27" s="1319" t="s">
        <v>49</v>
      </c>
      <c r="C27" s="1198"/>
      <c r="D27" s="1198"/>
      <c r="E27" s="1198"/>
      <c r="F27" s="1198"/>
      <c r="H27" s="1557">
        <f>'1-бутерброд с маслом'!$H$28</f>
        <v>0</v>
      </c>
      <c r="I27" s="1557"/>
      <c r="J27" s="1557"/>
    </row>
    <row r="29" spans="1:10" ht="13.95" customHeight="1" x14ac:dyDescent="0.25">
      <c r="A29" s="1545" t="s">
        <v>327</v>
      </c>
      <c r="B29" s="1545"/>
      <c r="C29" s="1546" t="s">
        <v>328</v>
      </c>
      <c r="D29" s="1546"/>
      <c r="E29" s="1546"/>
      <c r="F29" s="1546"/>
      <c r="G29" s="106"/>
      <c r="H29" s="1531"/>
      <c r="I29" s="1531"/>
      <c r="J29" s="1531"/>
    </row>
    <row r="30" spans="1:10" x14ac:dyDescent="0.25">
      <c r="C30" s="1546"/>
      <c r="D30" s="1546"/>
      <c r="E30" s="1546"/>
      <c r="F30" s="1546"/>
      <c r="H30" s="1531" t="s">
        <v>329</v>
      </c>
      <c r="I30" s="1531"/>
      <c r="J30" s="1531"/>
    </row>
  </sheetData>
  <mergeCells count="28">
    <mergeCell ref="A29:B29"/>
    <mergeCell ref="C29:F30"/>
    <mergeCell ref="H29:J29"/>
    <mergeCell ref="H30:J30"/>
    <mergeCell ref="A16:A17"/>
    <mergeCell ref="B16:B17"/>
    <mergeCell ref="C16:F16"/>
    <mergeCell ref="G16:H16"/>
    <mergeCell ref="I16:J16"/>
    <mergeCell ref="A21:B21"/>
    <mergeCell ref="A22:B22"/>
    <mergeCell ref="A23:B23"/>
    <mergeCell ref="A24:B24"/>
    <mergeCell ref="A25:B25"/>
    <mergeCell ref="H27:J27"/>
    <mergeCell ref="C14:G14"/>
    <mergeCell ref="I14:J14"/>
    <mergeCell ref="G1:J1"/>
    <mergeCell ref="G2:J2"/>
    <mergeCell ref="G3:J3"/>
    <mergeCell ref="A5:G5"/>
    <mergeCell ref="H5:I5"/>
    <mergeCell ref="A6:G6"/>
    <mergeCell ref="A7:I7"/>
    <mergeCell ref="A9:J9"/>
    <mergeCell ref="A11:J11"/>
    <mergeCell ref="A13:G13"/>
    <mergeCell ref="I13:J13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J32"/>
  <sheetViews>
    <sheetView view="pageBreakPreview" zoomScaleNormal="100" zoomScaleSheetLayoutView="100" workbookViewId="0">
      <selection activeCell="H15" sqref="H15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257)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338</v>
      </c>
    </row>
    <row r="8" spans="1:10" s="2" customFormat="1" ht="9.6" customHeight="1" x14ac:dyDescent="0.25">
      <c r="A8" s="283"/>
      <c r="B8" s="283"/>
      <c r="C8" s="283"/>
      <c r="D8" s="283"/>
      <c r="E8" s="283"/>
      <c r="F8" s="283"/>
      <c r="G8" s="283"/>
      <c r="H8" s="283"/>
      <c r="I8" s="283"/>
      <c r="J8" s="109"/>
    </row>
    <row r="9" spans="1:10" s="2" customFormat="1" ht="26.1" customHeight="1" x14ac:dyDescent="0.3">
      <c r="A9" s="1550" t="s">
        <v>500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'338-груши (150)'!H14+1</f>
        <v>257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84" t="s">
        <v>92</v>
      </c>
      <c r="D17" s="284" t="s">
        <v>94</v>
      </c>
      <c r="E17" s="284" t="s">
        <v>93</v>
      </c>
      <c r="F17" s="284" t="s">
        <v>23</v>
      </c>
      <c r="G17" s="284" t="s">
        <v>92</v>
      </c>
      <c r="H17" s="284" t="s">
        <v>94</v>
      </c>
      <c r="I17" s="284" t="s">
        <v>92</v>
      </c>
      <c r="J17" s="284" t="s">
        <v>94</v>
      </c>
    </row>
    <row r="18" spans="1:10" ht="9.6" customHeight="1" x14ac:dyDescent="0.25">
      <c r="A18" s="284">
        <v>1</v>
      </c>
      <c r="B18" s="285">
        <v>2</v>
      </c>
      <c r="C18" s="284">
        <v>3</v>
      </c>
      <c r="D18" s="285">
        <v>4</v>
      </c>
      <c r="E18" s="284">
        <v>5</v>
      </c>
      <c r="F18" s="285">
        <v>6</v>
      </c>
      <c r="G18" s="284">
        <v>7</v>
      </c>
      <c r="H18" s="285">
        <v>8</v>
      </c>
      <c r="I18" s="284">
        <v>9</v>
      </c>
      <c r="J18" s="285">
        <v>10</v>
      </c>
    </row>
    <row r="19" spans="1:10" s="10" customFormat="1" ht="12" customHeight="1" x14ac:dyDescent="0.25">
      <c r="A19" s="180">
        <v>1</v>
      </c>
      <c r="B19" s="20" t="s">
        <v>500</v>
      </c>
      <c r="C19" s="111">
        <v>0.1</v>
      </c>
      <c r="D19" s="111">
        <v>0.1</v>
      </c>
      <c r="E19" s="13">
        <f>цены!F68</f>
        <v>180</v>
      </c>
      <c r="F19" s="13">
        <f>C19*E19</f>
        <v>18</v>
      </c>
      <c r="G19" s="97">
        <f>C19*10</f>
        <v>1</v>
      </c>
      <c r="H19" s="21">
        <f>D19*10</f>
        <v>1</v>
      </c>
      <c r="I19" s="21">
        <f>C19*100</f>
        <v>10</v>
      </c>
      <c r="J19" s="21">
        <f>D19*100</f>
        <v>10</v>
      </c>
    </row>
    <row r="20" spans="1:10" s="10" customFormat="1" ht="12" customHeight="1" x14ac:dyDescent="0.25">
      <c r="A20" s="98"/>
      <c r="B20" s="93" t="s">
        <v>100</v>
      </c>
      <c r="C20" s="112"/>
      <c r="D20" s="112">
        <v>0.1</v>
      </c>
      <c r="E20" s="95"/>
      <c r="F20" s="95">
        <f>SUM(F19:F19)</f>
        <v>18</v>
      </c>
      <c r="G20" s="99"/>
      <c r="H20" s="100">
        <f>D20*10</f>
        <v>1</v>
      </c>
      <c r="I20" s="100"/>
      <c r="J20" s="100">
        <f>D20*100</f>
        <v>10</v>
      </c>
    </row>
    <row r="21" spans="1:10" s="10" customFormat="1" ht="27.6" customHeight="1" x14ac:dyDescent="0.25">
      <c r="A21" s="1536" t="s">
        <v>35</v>
      </c>
      <c r="B21" s="1536"/>
      <c r="C21" s="90"/>
      <c r="D21" s="90"/>
      <c r="E21" s="13"/>
      <c r="F21" s="13">
        <f>F20</f>
        <v>18</v>
      </c>
      <c r="G21" s="286"/>
      <c r="H21" s="286"/>
      <c r="I21" s="21"/>
      <c r="J21" s="13"/>
    </row>
    <row r="22" spans="1:10" s="10" customFormat="1" ht="25.35" customHeight="1" x14ac:dyDescent="0.25">
      <c r="A22" s="1536" t="s">
        <v>36</v>
      </c>
      <c r="B22" s="1536"/>
      <c r="C22" s="90">
        <v>100</v>
      </c>
      <c r="D22" s="90"/>
      <c r="E22" s="13"/>
      <c r="F22" s="13"/>
      <c r="G22" s="13"/>
      <c r="H22" s="13"/>
      <c r="I22" s="21"/>
      <c r="J22" s="17"/>
    </row>
    <row r="23" spans="1:10" s="10" customFormat="1" ht="25.35" customHeight="1" x14ac:dyDescent="0.25">
      <c r="A23" s="1537" t="s">
        <v>37</v>
      </c>
      <c r="B23" s="1538"/>
      <c r="C23" s="91">
        <v>100</v>
      </c>
      <c r="D23" s="92"/>
      <c r="E23" s="285"/>
      <c r="F23" s="285"/>
      <c r="G23" s="285"/>
      <c r="H23" s="285"/>
      <c r="I23" s="21"/>
      <c r="J23" s="17"/>
    </row>
    <row r="24" spans="1:10" s="10" customFormat="1" ht="15" customHeight="1" x14ac:dyDescent="0.25">
      <c r="A24" s="1539" t="s">
        <v>38</v>
      </c>
      <c r="B24" s="1540"/>
      <c r="C24" s="92">
        <f>C22/C23</f>
        <v>1</v>
      </c>
      <c r="D24" s="92"/>
      <c r="E24" s="285"/>
      <c r="F24" s="285"/>
      <c r="G24" s="285"/>
      <c r="H24" s="285"/>
      <c r="I24" s="21"/>
      <c r="J24" s="17"/>
    </row>
    <row r="25" spans="1:10" ht="16.350000000000001" customHeight="1" x14ac:dyDescent="0.25">
      <c r="A25" s="1541" t="s">
        <v>39</v>
      </c>
      <c r="B25" s="1542"/>
      <c r="C25" s="15" t="s">
        <v>40</v>
      </c>
      <c r="D25" s="102"/>
      <c r="E25" s="102" t="s">
        <v>40</v>
      </c>
      <c r="F25" s="16">
        <f>F21/C24</f>
        <v>18</v>
      </c>
      <c r="G25" s="16"/>
      <c r="H25" s="16"/>
      <c r="I25" s="102" t="s">
        <v>40</v>
      </c>
      <c r="J25" s="102" t="s">
        <v>40</v>
      </c>
    </row>
    <row r="26" spans="1:10" ht="23.1" customHeight="1" x14ac:dyDescent="0.25">
      <c r="A26" s="1193"/>
      <c r="B26" s="1193"/>
      <c r="C26" s="1193"/>
      <c r="D26" s="1193"/>
      <c r="E26" s="1193"/>
      <c r="F26" s="1193"/>
      <c r="G26" s="1193"/>
      <c r="H26" s="1193"/>
      <c r="I26" s="1193"/>
      <c r="J26" s="1193"/>
    </row>
    <row r="27" spans="1:10" ht="13.95" customHeight="1" x14ac:dyDescent="0.25">
      <c r="A27" s="1193"/>
      <c r="B27" s="1194" t="s">
        <v>49</v>
      </c>
      <c r="C27" s="1198"/>
      <c r="D27" s="1198"/>
      <c r="E27" s="1198"/>
      <c r="F27" s="1198"/>
      <c r="G27" s="1193"/>
      <c r="H27" s="1557">
        <f>'1-бутерброд с маслом'!$H$28</f>
        <v>0</v>
      </c>
      <c r="I27" s="1557"/>
      <c r="J27" s="1557"/>
    </row>
    <row r="28" spans="1:10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545" t="s">
        <v>327</v>
      </c>
      <c r="B29" s="1545"/>
      <c r="C29" s="1546" t="s">
        <v>328</v>
      </c>
      <c r="D29" s="1546"/>
      <c r="E29" s="1546"/>
      <c r="F29" s="1546"/>
      <c r="G29" s="106"/>
      <c r="H29" s="1531"/>
      <c r="I29" s="1531"/>
      <c r="J29" s="1531"/>
    </row>
    <row r="30" spans="1:10" x14ac:dyDescent="0.25">
      <c r="A30" s="1193"/>
      <c r="B30" s="1193"/>
      <c r="C30" s="1546"/>
      <c r="D30" s="1546"/>
      <c r="E30" s="1546"/>
      <c r="F30" s="1546"/>
      <c r="G30" s="1193"/>
      <c r="H30" s="1531" t="s">
        <v>329</v>
      </c>
      <c r="I30" s="1531"/>
      <c r="J30" s="1531"/>
    </row>
    <row r="31" spans="1:10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29:B29"/>
    <mergeCell ref="C29:F30"/>
    <mergeCell ref="H29:J29"/>
    <mergeCell ref="H30:J30"/>
    <mergeCell ref="A22:B22"/>
    <mergeCell ref="A23:B23"/>
    <mergeCell ref="A24:B24"/>
    <mergeCell ref="A25:B25"/>
    <mergeCell ref="H27:J27"/>
    <mergeCell ref="A21:B21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J32"/>
  <sheetViews>
    <sheetView view="pageBreakPreview" zoomScaleNormal="100" zoomScaleSheetLayoutView="100" workbookViewId="0">
      <selection activeCell="Q18" sqref="Q18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2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258)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338</v>
      </c>
    </row>
    <row r="8" spans="1:10" s="2" customFormat="1" ht="9.6" customHeight="1" x14ac:dyDescent="0.25">
      <c r="A8" s="283"/>
      <c r="B8" s="283"/>
      <c r="C8" s="283"/>
      <c r="D8" s="283"/>
      <c r="E8" s="283"/>
      <c r="F8" s="283"/>
      <c r="G8" s="283"/>
      <c r="H8" s="283"/>
      <c r="I8" s="283"/>
      <c r="J8" s="109"/>
    </row>
    <row r="9" spans="1:10" s="2" customFormat="1" ht="26.1" customHeight="1" x14ac:dyDescent="0.3">
      <c r="A9" s="1550" t="s">
        <v>501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'338-абрикосы'!H14+1</f>
        <v>258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84" t="s">
        <v>92</v>
      </c>
      <c r="D17" s="284" t="s">
        <v>94</v>
      </c>
      <c r="E17" s="284" t="s">
        <v>93</v>
      </c>
      <c r="F17" s="284" t="s">
        <v>23</v>
      </c>
      <c r="G17" s="284" t="s">
        <v>92</v>
      </c>
      <c r="H17" s="284" t="s">
        <v>94</v>
      </c>
      <c r="I17" s="284" t="s">
        <v>92</v>
      </c>
      <c r="J17" s="284" t="s">
        <v>94</v>
      </c>
    </row>
    <row r="18" spans="1:10" ht="9.6" customHeight="1" x14ac:dyDescent="0.25">
      <c r="A18" s="284">
        <v>1</v>
      </c>
      <c r="B18" s="285">
        <v>2</v>
      </c>
      <c r="C18" s="284">
        <v>3</v>
      </c>
      <c r="D18" s="285">
        <v>4</v>
      </c>
      <c r="E18" s="284">
        <v>5</v>
      </c>
      <c r="F18" s="285">
        <v>6</v>
      </c>
      <c r="G18" s="284">
        <v>7</v>
      </c>
      <c r="H18" s="285">
        <v>8</v>
      </c>
      <c r="I18" s="284">
        <v>9</v>
      </c>
      <c r="J18" s="285">
        <v>10</v>
      </c>
    </row>
    <row r="19" spans="1:10" s="10" customFormat="1" ht="12" customHeight="1" x14ac:dyDescent="0.25">
      <c r="A19" s="180">
        <v>1</v>
      </c>
      <c r="B19" s="20" t="s">
        <v>501</v>
      </c>
      <c r="C19" s="111">
        <v>0.1</v>
      </c>
      <c r="D19" s="111">
        <v>0.1</v>
      </c>
      <c r="E19" s="13">
        <f>цены!F69</f>
        <v>180</v>
      </c>
      <c r="F19" s="13">
        <f>C19*E19</f>
        <v>18</v>
      </c>
      <c r="G19" s="97">
        <f>C19*10</f>
        <v>1</v>
      </c>
      <c r="H19" s="21">
        <f>D19*10</f>
        <v>1</v>
      </c>
      <c r="I19" s="21">
        <f>C19*100</f>
        <v>10</v>
      </c>
      <c r="J19" s="21">
        <f>D19*100</f>
        <v>10</v>
      </c>
    </row>
    <row r="20" spans="1:10" s="10" customFormat="1" ht="12" customHeight="1" x14ac:dyDescent="0.25">
      <c r="A20" s="98"/>
      <c r="B20" s="93" t="s">
        <v>100</v>
      </c>
      <c r="C20" s="112"/>
      <c r="D20" s="112">
        <v>0.1</v>
      </c>
      <c r="E20" s="95"/>
      <c r="F20" s="95">
        <f>SUM(F19:F19)</f>
        <v>18</v>
      </c>
      <c r="G20" s="99"/>
      <c r="H20" s="100">
        <f>D20*10</f>
        <v>1</v>
      </c>
      <c r="I20" s="100"/>
      <c r="J20" s="100">
        <f>D20*100</f>
        <v>10</v>
      </c>
    </row>
    <row r="21" spans="1:10" s="10" customFormat="1" ht="27.6" customHeight="1" x14ac:dyDescent="0.25">
      <c r="A21" s="1536" t="s">
        <v>35</v>
      </c>
      <c r="B21" s="1536"/>
      <c r="C21" s="90"/>
      <c r="D21" s="90"/>
      <c r="E21" s="13"/>
      <c r="F21" s="13">
        <f>F20</f>
        <v>18</v>
      </c>
      <c r="G21" s="286"/>
      <c r="H21" s="286"/>
      <c r="I21" s="21"/>
      <c r="J21" s="13"/>
    </row>
    <row r="22" spans="1:10" s="10" customFormat="1" ht="25.35" customHeight="1" x14ac:dyDescent="0.25">
      <c r="A22" s="1536" t="s">
        <v>36</v>
      </c>
      <c r="B22" s="1536"/>
      <c r="C22" s="90">
        <v>100</v>
      </c>
      <c r="D22" s="90"/>
      <c r="E22" s="13"/>
      <c r="F22" s="13"/>
      <c r="G22" s="13"/>
      <c r="H22" s="13"/>
      <c r="I22" s="21"/>
      <c r="J22" s="17"/>
    </row>
    <row r="23" spans="1:10" s="10" customFormat="1" ht="25.35" customHeight="1" x14ac:dyDescent="0.25">
      <c r="A23" s="1537" t="s">
        <v>37</v>
      </c>
      <c r="B23" s="1538"/>
      <c r="C23" s="91">
        <v>100</v>
      </c>
      <c r="D23" s="92"/>
      <c r="E23" s="285"/>
      <c r="F23" s="285"/>
      <c r="G23" s="285"/>
      <c r="H23" s="285"/>
      <c r="I23" s="21"/>
      <c r="J23" s="17"/>
    </row>
    <row r="24" spans="1:10" s="10" customFormat="1" ht="15" customHeight="1" x14ac:dyDescent="0.25">
      <c r="A24" s="1539" t="s">
        <v>38</v>
      </c>
      <c r="B24" s="1540"/>
      <c r="C24" s="92">
        <f>C22/C23</f>
        <v>1</v>
      </c>
      <c r="D24" s="92"/>
      <c r="E24" s="285"/>
      <c r="F24" s="285"/>
      <c r="G24" s="285"/>
      <c r="H24" s="285"/>
      <c r="I24" s="21"/>
      <c r="J24" s="17"/>
    </row>
    <row r="25" spans="1:10" ht="16.350000000000001" customHeight="1" x14ac:dyDescent="0.25">
      <c r="A25" s="1541" t="s">
        <v>39</v>
      </c>
      <c r="B25" s="1542"/>
      <c r="C25" s="15" t="s">
        <v>40</v>
      </c>
      <c r="D25" s="102"/>
      <c r="E25" s="102" t="s">
        <v>40</v>
      </c>
      <c r="F25" s="16">
        <f>F21/C24</f>
        <v>18</v>
      </c>
      <c r="G25" s="16"/>
      <c r="H25" s="16"/>
      <c r="I25" s="102" t="s">
        <v>40</v>
      </c>
      <c r="J25" s="102" t="s">
        <v>40</v>
      </c>
    </row>
    <row r="26" spans="1:10" ht="23.1" customHeight="1" x14ac:dyDescent="0.25">
      <c r="A26" s="1193"/>
      <c r="B26" s="1193"/>
      <c r="C26" s="1193"/>
      <c r="D26" s="1193"/>
      <c r="E26" s="1193"/>
      <c r="F26" s="1193"/>
      <c r="G26" s="1193"/>
      <c r="H26" s="1193"/>
      <c r="I26" s="1193"/>
      <c r="J26" s="1193"/>
    </row>
    <row r="27" spans="1:10" ht="13.95" customHeight="1" x14ac:dyDescent="0.25">
      <c r="A27" s="1193"/>
      <c r="B27" s="1194" t="s">
        <v>49</v>
      </c>
      <c r="C27" s="1198"/>
      <c r="D27" s="1198"/>
      <c r="E27" s="1198"/>
      <c r="F27" s="1198"/>
      <c r="G27" s="1193"/>
      <c r="H27" s="1557">
        <f>'1-бутерброд с маслом'!$H$28</f>
        <v>0</v>
      </c>
      <c r="I27" s="1557"/>
      <c r="J27" s="1557"/>
    </row>
    <row r="28" spans="1:10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545" t="s">
        <v>327</v>
      </c>
      <c r="B29" s="1545"/>
      <c r="C29" s="1546" t="s">
        <v>328</v>
      </c>
      <c r="D29" s="1546"/>
      <c r="E29" s="1546"/>
      <c r="F29" s="1546"/>
      <c r="G29" s="106"/>
      <c r="H29" s="1531"/>
      <c r="I29" s="1531"/>
      <c r="J29" s="1531"/>
    </row>
    <row r="30" spans="1:10" x14ac:dyDescent="0.25">
      <c r="A30" s="1193"/>
      <c r="B30" s="1193"/>
      <c r="C30" s="1546"/>
      <c r="D30" s="1546"/>
      <c r="E30" s="1546"/>
      <c r="F30" s="1546"/>
      <c r="G30" s="1193"/>
      <c r="H30" s="1531" t="s">
        <v>329</v>
      </c>
      <c r="I30" s="1531"/>
      <c r="J30" s="1531"/>
    </row>
    <row r="31" spans="1:10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29:B29"/>
    <mergeCell ref="C29:F30"/>
    <mergeCell ref="H29:J29"/>
    <mergeCell ref="H30:J30"/>
    <mergeCell ref="A22:B22"/>
    <mergeCell ref="A23:B23"/>
    <mergeCell ref="A24:B24"/>
    <mergeCell ref="A25:B25"/>
    <mergeCell ref="H27:J27"/>
    <mergeCell ref="A21:B21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J32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259)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338</v>
      </c>
    </row>
    <row r="8" spans="1:10" s="2" customFormat="1" ht="9.6" customHeight="1" x14ac:dyDescent="0.25">
      <c r="A8" s="283"/>
      <c r="B8" s="283"/>
      <c r="C8" s="283"/>
      <c r="D8" s="283"/>
      <c r="E8" s="283"/>
      <c r="F8" s="283"/>
      <c r="G8" s="283"/>
      <c r="H8" s="283"/>
      <c r="I8" s="283"/>
      <c r="J8" s="109"/>
    </row>
    <row r="9" spans="1:10" s="2" customFormat="1" ht="26.1" customHeight="1" x14ac:dyDescent="0.3">
      <c r="A9" s="1550" t="s">
        <v>494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'338-персики'!H14+1</f>
        <v>259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84" t="s">
        <v>92</v>
      </c>
      <c r="D17" s="284" t="s">
        <v>94</v>
      </c>
      <c r="E17" s="284" t="s">
        <v>93</v>
      </c>
      <c r="F17" s="284" t="s">
        <v>23</v>
      </c>
      <c r="G17" s="284" t="s">
        <v>92</v>
      </c>
      <c r="H17" s="284" t="s">
        <v>94</v>
      </c>
      <c r="I17" s="284" t="s">
        <v>92</v>
      </c>
      <c r="J17" s="284" t="s">
        <v>94</v>
      </c>
    </row>
    <row r="18" spans="1:10" ht="9.6" customHeight="1" x14ac:dyDescent="0.25">
      <c r="A18" s="284">
        <v>1</v>
      </c>
      <c r="B18" s="285">
        <v>2</v>
      </c>
      <c r="C18" s="284">
        <v>3</v>
      </c>
      <c r="D18" s="285">
        <v>4</v>
      </c>
      <c r="E18" s="284">
        <v>5</v>
      </c>
      <c r="F18" s="285">
        <v>6</v>
      </c>
      <c r="G18" s="284">
        <v>7</v>
      </c>
      <c r="H18" s="285">
        <v>8</v>
      </c>
      <c r="I18" s="284">
        <v>9</v>
      </c>
      <c r="J18" s="285">
        <v>10</v>
      </c>
    </row>
    <row r="19" spans="1:10" s="10" customFormat="1" ht="12" customHeight="1" x14ac:dyDescent="0.25">
      <c r="A19" s="180">
        <v>1</v>
      </c>
      <c r="B19" s="20" t="s">
        <v>494</v>
      </c>
      <c r="C19" s="111">
        <v>0.1</v>
      </c>
      <c r="D19" s="111">
        <v>0.1</v>
      </c>
      <c r="E19" s="13">
        <f>цены!F66</f>
        <v>115</v>
      </c>
      <c r="F19" s="13">
        <f>C19*E19</f>
        <v>11.5</v>
      </c>
      <c r="G19" s="97">
        <f>C19*10</f>
        <v>1</v>
      </c>
      <c r="H19" s="21">
        <f>D19*10</f>
        <v>1</v>
      </c>
      <c r="I19" s="21">
        <f>C19*100</f>
        <v>10</v>
      </c>
      <c r="J19" s="21">
        <f>D19*100</f>
        <v>10</v>
      </c>
    </row>
    <row r="20" spans="1:10" s="10" customFormat="1" ht="12" customHeight="1" x14ac:dyDescent="0.25">
      <c r="A20" s="98"/>
      <c r="B20" s="93" t="s">
        <v>100</v>
      </c>
      <c r="C20" s="112"/>
      <c r="D20" s="112">
        <v>0.1</v>
      </c>
      <c r="E20" s="95"/>
      <c r="F20" s="95">
        <f>SUM(F19:F19)</f>
        <v>11.5</v>
      </c>
      <c r="G20" s="99"/>
      <c r="H20" s="100">
        <f>D20*10</f>
        <v>1</v>
      </c>
      <c r="I20" s="100"/>
      <c r="J20" s="100">
        <f>D20*100</f>
        <v>10</v>
      </c>
    </row>
    <row r="21" spans="1:10" s="10" customFormat="1" ht="27.6" customHeight="1" x14ac:dyDescent="0.25">
      <c r="A21" s="1536" t="s">
        <v>35</v>
      </c>
      <c r="B21" s="1536"/>
      <c r="C21" s="90"/>
      <c r="D21" s="90"/>
      <c r="E21" s="13"/>
      <c r="F21" s="13">
        <f>F20</f>
        <v>11.5</v>
      </c>
      <c r="G21" s="286"/>
      <c r="H21" s="286"/>
      <c r="I21" s="21"/>
      <c r="J21" s="13"/>
    </row>
    <row r="22" spans="1:10" s="10" customFormat="1" ht="25.35" customHeight="1" x14ac:dyDescent="0.25">
      <c r="A22" s="1536" t="s">
        <v>36</v>
      </c>
      <c r="B22" s="1536"/>
      <c r="C22" s="90">
        <v>100</v>
      </c>
      <c r="D22" s="90"/>
      <c r="E22" s="13"/>
      <c r="F22" s="13"/>
      <c r="G22" s="13"/>
      <c r="H22" s="13"/>
      <c r="I22" s="21"/>
      <c r="J22" s="17"/>
    </row>
    <row r="23" spans="1:10" s="10" customFormat="1" ht="25.35" customHeight="1" x14ac:dyDescent="0.25">
      <c r="A23" s="1537" t="s">
        <v>37</v>
      </c>
      <c r="B23" s="1538"/>
      <c r="C23" s="91">
        <v>100</v>
      </c>
      <c r="D23" s="92"/>
      <c r="E23" s="285"/>
      <c r="F23" s="285"/>
      <c r="G23" s="285"/>
      <c r="H23" s="285"/>
      <c r="I23" s="21"/>
      <c r="J23" s="17"/>
    </row>
    <row r="24" spans="1:10" s="10" customFormat="1" ht="15" customHeight="1" x14ac:dyDescent="0.25">
      <c r="A24" s="1539" t="s">
        <v>38</v>
      </c>
      <c r="B24" s="1540"/>
      <c r="C24" s="92">
        <f>C22/C23</f>
        <v>1</v>
      </c>
      <c r="D24" s="92"/>
      <c r="E24" s="285"/>
      <c r="F24" s="285"/>
      <c r="G24" s="285"/>
      <c r="H24" s="285"/>
      <c r="I24" s="21"/>
      <c r="J24" s="17"/>
    </row>
    <row r="25" spans="1:10" ht="16.350000000000001" customHeight="1" x14ac:dyDescent="0.25">
      <c r="A25" s="1541" t="s">
        <v>39</v>
      </c>
      <c r="B25" s="1542"/>
      <c r="C25" s="15" t="s">
        <v>40</v>
      </c>
      <c r="D25" s="102"/>
      <c r="E25" s="102" t="s">
        <v>40</v>
      </c>
      <c r="F25" s="16">
        <f>F21/C24</f>
        <v>11.5</v>
      </c>
      <c r="G25" s="16"/>
      <c r="H25" s="16"/>
      <c r="I25" s="102" t="s">
        <v>40</v>
      </c>
      <c r="J25" s="102" t="s">
        <v>40</v>
      </c>
    </row>
    <row r="26" spans="1:10" ht="23.1" customHeight="1" x14ac:dyDescent="0.25">
      <c r="A26" s="1193"/>
      <c r="B26" s="1193"/>
      <c r="C26" s="1193"/>
      <c r="D26" s="1193"/>
      <c r="E26" s="1193"/>
      <c r="F26" s="1193"/>
      <c r="G26" s="1193"/>
      <c r="H26" s="1193"/>
      <c r="I26" s="1193"/>
      <c r="J26" s="1193"/>
    </row>
    <row r="27" spans="1:10" ht="13.95" customHeight="1" x14ac:dyDescent="0.25">
      <c r="A27" s="1193"/>
      <c r="B27" s="1194" t="s">
        <v>49</v>
      </c>
      <c r="C27" s="1198"/>
      <c r="D27" s="1198"/>
      <c r="E27" s="1198"/>
      <c r="F27" s="1198"/>
      <c r="G27" s="1193"/>
      <c r="H27" s="1557">
        <f>'1-бутерброд с маслом'!$H$28</f>
        <v>0</v>
      </c>
      <c r="I27" s="1557"/>
      <c r="J27" s="1557"/>
    </row>
    <row r="28" spans="1:10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545" t="s">
        <v>327</v>
      </c>
      <c r="B29" s="1545"/>
      <c r="C29" s="1546" t="s">
        <v>328</v>
      </c>
      <c r="D29" s="1546"/>
      <c r="E29" s="1546"/>
      <c r="F29" s="1546"/>
      <c r="G29" s="106"/>
      <c r="H29" s="1531"/>
      <c r="I29" s="1531"/>
      <c r="J29" s="1531"/>
    </row>
    <row r="30" spans="1:10" x14ac:dyDescent="0.25">
      <c r="A30" s="1193"/>
      <c r="B30" s="1193"/>
      <c r="C30" s="1546"/>
      <c r="D30" s="1546"/>
      <c r="E30" s="1546"/>
      <c r="F30" s="1546"/>
      <c r="G30" s="1193"/>
      <c r="H30" s="1531" t="s">
        <v>329</v>
      </c>
      <c r="I30" s="1531"/>
      <c r="J30" s="1531"/>
    </row>
    <row r="31" spans="1:10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29:B29"/>
    <mergeCell ref="C29:F30"/>
    <mergeCell ref="H29:J29"/>
    <mergeCell ref="H30:J30"/>
    <mergeCell ref="A22:B22"/>
    <mergeCell ref="A23:B23"/>
    <mergeCell ref="A24:B24"/>
    <mergeCell ref="A25:B25"/>
    <mergeCell ref="H27:J27"/>
    <mergeCell ref="A21:B21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J32"/>
  <sheetViews>
    <sheetView view="pageBreakPreview" topLeftCell="A14" zoomScaleNormal="100" zoomScaleSheetLayoutView="100" workbookViewId="0">
      <selection activeCell="G22" sqref="G22"/>
    </sheetView>
  </sheetViews>
  <sheetFormatPr defaultColWidth="9.109375" defaultRowHeight="13.8" x14ac:dyDescent="0.25"/>
  <cols>
    <col min="1" max="1" width="4.109375" style="919" customWidth="1"/>
    <col min="2" max="2" width="21.109375" style="919" customWidth="1"/>
    <col min="3" max="7" width="7.5546875" style="919" customWidth="1"/>
    <col min="8" max="8" width="8.88671875" style="919" customWidth="1"/>
    <col min="9" max="9" width="7.5546875" style="919" customWidth="1"/>
    <col min="10" max="10" width="9" style="919" customWidth="1"/>
    <col min="11" max="11" width="3.88671875" style="919" customWidth="1"/>
    <col min="12" max="16384" width="9.109375" style="91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260)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924">
        <v>338</v>
      </c>
    </row>
    <row r="8" spans="1:10" s="2" customFormat="1" ht="9.6" customHeight="1" x14ac:dyDescent="0.25">
      <c r="A8" s="923"/>
      <c r="B8" s="923"/>
      <c r="C8" s="923"/>
      <c r="D8" s="923"/>
      <c r="E8" s="923"/>
      <c r="F8" s="923"/>
      <c r="G8" s="923"/>
      <c r="H8" s="923"/>
      <c r="I8" s="923"/>
      <c r="J8" s="109"/>
    </row>
    <row r="9" spans="1:10" s="2" customFormat="1" ht="26.1" customHeight="1" x14ac:dyDescent="0.3">
      <c r="A9" s="1550" t="s">
        <v>494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'338-бананы'!H14+1</f>
        <v>260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20" t="s">
        <v>92</v>
      </c>
      <c r="D17" s="920" t="s">
        <v>94</v>
      </c>
      <c r="E17" s="920" t="s">
        <v>93</v>
      </c>
      <c r="F17" s="920" t="s">
        <v>23</v>
      </c>
      <c r="G17" s="920" t="s">
        <v>92</v>
      </c>
      <c r="H17" s="920" t="s">
        <v>94</v>
      </c>
      <c r="I17" s="920" t="s">
        <v>92</v>
      </c>
      <c r="J17" s="920" t="s">
        <v>94</v>
      </c>
    </row>
    <row r="18" spans="1:10" ht="9.6" customHeight="1" x14ac:dyDescent="0.25">
      <c r="A18" s="920">
        <v>1</v>
      </c>
      <c r="B18" s="922">
        <v>2</v>
      </c>
      <c r="C18" s="920">
        <v>3</v>
      </c>
      <c r="D18" s="922">
        <v>4</v>
      </c>
      <c r="E18" s="920">
        <v>5</v>
      </c>
      <c r="F18" s="922">
        <v>6</v>
      </c>
      <c r="G18" s="920">
        <v>7</v>
      </c>
      <c r="H18" s="922">
        <v>8</v>
      </c>
      <c r="I18" s="920">
        <v>9</v>
      </c>
      <c r="J18" s="922">
        <v>10</v>
      </c>
    </row>
    <row r="19" spans="1:10" s="10" customFormat="1" ht="12" customHeight="1" x14ac:dyDescent="0.25">
      <c r="A19" s="180">
        <v>1</v>
      </c>
      <c r="B19" s="20" t="s">
        <v>494</v>
      </c>
      <c r="C19" s="111">
        <v>0.16</v>
      </c>
      <c r="D19" s="111">
        <v>0.16</v>
      </c>
      <c r="E19" s="408">
        <f>цены!F66</f>
        <v>115</v>
      </c>
      <c r="F19" s="408">
        <f>C19*E19</f>
        <v>18.399999999999999</v>
      </c>
      <c r="G19" s="97">
        <f>C19*10</f>
        <v>1.6</v>
      </c>
      <c r="H19" s="21">
        <f>D19*10</f>
        <v>1.6</v>
      </c>
      <c r="I19" s="21">
        <f>C19*100</f>
        <v>16</v>
      </c>
      <c r="J19" s="21">
        <f>D19*100</f>
        <v>16</v>
      </c>
    </row>
    <row r="20" spans="1:10" s="10" customFormat="1" ht="12" customHeight="1" x14ac:dyDescent="0.25">
      <c r="A20" s="98"/>
      <c r="B20" s="93" t="s">
        <v>100</v>
      </c>
      <c r="C20" s="112"/>
      <c r="D20" s="112">
        <v>0.1</v>
      </c>
      <c r="E20" s="95"/>
      <c r="F20" s="95">
        <f>SUM(F19:F19)</f>
        <v>18.399999999999999</v>
      </c>
      <c r="G20" s="99"/>
      <c r="H20" s="100">
        <f>D20*10</f>
        <v>1</v>
      </c>
      <c r="I20" s="100"/>
      <c r="J20" s="100">
        <f>D20*100</f>
        <v>10</v>
      </c>
    </row>
    <row r="21" spans="1:10" s="10" customFormat="1" ht="27.6" customHeight="1" x14ac:dyDescent="0.25">
      <c r="A21" s="1536" t="s">
        <v>35</v>
      </c>
      <c r="B21" s="1536"/>
      <c r="C21" s="90"/>
      <c r="D21" s="90"/>
      <c r="E21" s="408"/>
      <c r="F21" s="408">
        <f>F20</f>
        <v>18.399999999999999</v>
      </c>
      <c r="G21" s="921"/>
      <c r="H21" s="921"/>
      <c r="I21" s="21"/>
      <c r="J21" s="408"/>
    </row>
    <row r="22" spans="1:10" s="10" customFormat="1" ht="25.35" customHeight="1" x14ac:dyDescent="0.25">
      <c r="A22" s="1536" t="s">
        <v>36</v>
      </c>
      <c r="B22" s="1536"/>
      <c r="C22" s="90">
        <v>160</v>
      </c>
      <c r="D22" s="90"/>
      <c r="E22" s="408"/>
      <c r="F22" s="408"/>
      <c r="G22" s="408"/>
      <c r="H22" s="408"/>
      <c r="I22" s="21"/>
      <c r="J22" s="17"/>
    </row>
    <row r="23" spans="1:10" s="10" customFormat="1" ht="25.35" customHeight="1" x14ac:dyDescent="0.25">
      <c r="A23" s="1537" t="s">
        <v>37</v>
      </c>
      <c r="B23" s="1538"/>
      <c r="C23" s="91">
        <v>160</v>
      </c>
      <c r="D23" s="92"/>
      <c r="E23" s="922"/>
      <c r="F23" s="922"/>
      <c r="G23" s="922"/>
      <c r="H23" s="922"/>
      <c r="I23" s="21"/>
      <c r="J23" s="17"/>
    </row>
    <row r="24" spans="1:10" s="10" customFormat="1" ht="15" customHeight="1" x14ac:dyDescent="0.25">
      <c r="A24" s="1539" t="s">
        <v>38</v>
      </c>
      <c r="B24" s="1540"/>
      <c r="C24" s="92">
        <f>C22/C23</f>
        <v>1</v>
      </c>
      <c r="D24" s="92"/>
      <c r="E24" s="922"/>
      <c r="F24" s="922"/>
      <c r="G24" s="922"/>
      <c r="H24" s="922"/>
      <c r="I24" s="21"/>
      <c r="J24" s="17"/>
    </row>
    <row r="25" spans="1:10" ht="16.350000000000001" customHeight="1" x14ac:dyDescent="0.25">
      <c r="A25" s="1541" t="s">
        <v>39</v>
      </c>
      <c r="B25" s="1542"/>
      <c r="C25" s="15" t="s">
        <v>40</v>
      </c>
      <c r="D25" s="102"/>
      <c r="E25" s="102" t="s">
        <v>40</v>
      </c>
      <c r="F25" s="16">
        <f>F21/C24</f>
        <v>18.399999999999999</v>
      </c>
      <c r="G25" s="16"/>
      <c r="H25" s="16"/>
      <c r="I25" s="102" t="s">
        <v>40</v>
      </c>
      <c r="J25" s="102" t="s">
        <v>40</v>
      </c>
    </row>
    <row r="26" spans="1:10" ht="23.1" customHeight="1" x14ac:dyDescent="0.25">
      <c r="A26" s="1193"/>
      <c r="B26" s="1193"/>
      <c r="C26" s="1193"/>
      <c r="D26" s="1193"/>
      <c r="E26" s="1193"/>
      <c r="F26" s="1193"/>
      <c r="G26" s="1193"/>
      <c r="H26" s="1193"/>
      <c r="I26" s="1193"/>
      <c r="J26" s="1193"/>
    </row>
    <row r="27" spans="1:10" ht="13.95" customHeight="1" x14ac:dyDescent="0.25">
      <c r="A27" s="1193"/>
      <c r="B27" s="1194" t="s">
        <v>49</v>
      </c>
      <c r="C27" s="1198"/>
      <c r="D27" s="1198"/>
      <c r="E27" s="1198"/>
      <c r="F27" s="1198"/>
      <c r="G27" s="1193"/>
      <c r="H27" s="1557">
        <f>'1-бутерброд с маслом'!$H$28</f>
        <v>0</v>
      </c>
      <c r="I27" s="1557"/>
      <c r="J27" s="1557"/>
    </row>
    <row r="28" spans="1:10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545" t="s">
        <v>327</v>
      </c>
      <c r="B29" s="1545"/>
      <c r="C29" s="1546" t="s">
        <v>328</v>
      </c>
      <c r="D29" s="1546"/>
      <c r="E29" s="1546"/>
      <c r="F29" s="1546"/>
      <c r="G29" s="106"/>
      <c r="H29" s="1531"/>
      <c r="I29" s="1531"/>
      <c r="J29" s="1531"/>
    </row>
    <row r="30" spans="1:10" x14ac:dyDescent="0.25">
      <c r="A30" s="1193"/>
      <c r="B30" s="1193"/>
      <c r="C30" s="1546"/>
      <c r="D30" s="1546"/>
      <c r="E30" s="1546"/>
      <c r="F30" s="1546"/>
      <c r="G30" s="1193"/>
      <c r="H30" s="1531" t="s">
        <v>329</v>
      </c>
      <c r="I30" s="1531"/>
      <c r="J30" s="1531"/>
    </row>
    <row r="31" spans="1:10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</sheetData>
  <mergeCells count="28">
    <mergeCell ref="H27:J27"/>
    <mergeCell ref="A13:G13"/>
    <mergeCell ref="A22:B22"/>
    <mergeCell ref="A23:B23"/>
    <mergeCell ref="A24:B24"/>
    <mergeCell ref="A25:B25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29:B29"/>
    <mergeCell ref="C29:F30"/>
    <mergeCell ref="H29:J29"/>
    <mergeCell ref="H30:J30"/>
    <mergeCell ref="H5:I5"/>
    <mergeCell ref="A6:G6"/>
    <mergeCell ref="A7:I7"/>
    <mergeCell ref="A21:B21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J32"/>
  <sheetViews>
    <sheetView view="pageBreakPreview" zoomScaleNormal="100" zoomScaleSheetLayoutView="100" workbookViewId="0">
      <selection activeCell="H15" sqref="H15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261)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338</v>
      </c>
    </row>
    <row r="8" spans="1:10" s="2" customFormat="1" ht="9.6" customHeight="1" x14ac:dyDescent="0.25">
      <c r="A8" s="283"/>
      <c r="B8" s="283"/>
      <c r="C8" s="283"/>
      <c r="D8" s="283"/>
      <c r="E8" s="283"/>
      <c r="F8" s="283"/>
      <c r="G8" s="283"/>
      <c r="H8" s="283"/>
      <c r="I8" s="283"/>
      <c r="J8" s="109"/>
    </row>
    <row r="9" spans="1:10" s="2" customFormat="1" ht="26.1" customHeight="1" x14ac:dyDescent="0.3">
      <c r="A9" s="1550" t="s">
        <v>498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'338-бананы (2)'!H14+1</f>
        <v>261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84" t="s">
        <v>92</v>
      </c>
      <c r="D17" s="284" t="s">
        <v>94</v>
      </c>
      <c r="E17" s="284" t="s">
        <v>93</v>
      </c>
      <c r="F17" s="284" t="s">
        <v>23</v>
      </c>
      <c r="G17" s="284" t="s">
        <v>92</v>
      </c>
      <c r="H17" s="284" t="s">
        <v>94</v>
      </c>
      <c r="I17" s="284" t="s">
        <v>92</v>
      </c>
      <c r="J17" s="284" t="s">
        <v>94</v>
      </c>
    </row>
    <row r="18" spans="1:10" ht="9.6" customHeight="1" x14ac:dyDescent="0.25">
      <c r="A18" s="284">
        <v>1</v>
      </c>
      <c r="B18" s="285">
        <v>2</v>
      </c>
      <c r="C18" s="284">
        <v>3</v>
      </c>
      <c r="D18" s="285">
        <v>4</v>
      </c>
      <c r="E18" s="284">
        <v>5</v>
      </c>
      <c r="F18" s="285">
        <v>6</v>
      </c>
      <c r="G18" s="284">
        <v>7</v>
      </c>
      <c r="H18" s="285">
        <v>8</v>
      </c>
      <c r="I18" s="284">
        <v>9</v>
      </c>
      <c r="J18" s="285">
        <v>10</v>
      </c>
    </row>
    <row r="19" spans="1:10" s="10" customFormat="1" ht="12" customHeight="1" x14ac:dyDescent="0.25">
      <c r="A19" s="180">
        <v>1</v>
      </c>
      <c r="B19" s="20" t="s">
        <v>499</v>
      </c>
      <c r="C19" s="111">
        <v>0.105</v>
      </c>
      <c r="D19" s="111">
        <v>0.1</v>
      </c>
      <c r="E19" s="13">
        <f>цены!F70</f>
        <v>250</v>
      </c>
      <c r="F19" s="13">
        <f>C19*E19</f>
        <v>26.25</v>
      </c>
      <c r="G19" s="97">
        <f>C19*10</f>
        <v>1.05</v>
      </c>
      <c r="H19" s="21">
        <f>D19*10</f>
        <v>1</v>
      </c>
      <c r="I19" s="21">
        <f>C19*100</f>
        <v>10.5</v>
      </c>
      <c r="J19" s="21">
        <f>D19*100</f>
        <v>10</v>
      </c>
    </row>
    <row r="20" spans="1:10" s="10" customFormat="1" ht="12" customHeight="1" x14ac:dyDescent="0.25">
      <c r="A20" s="98"/>
      <c r="B20" s="93" t="s">
        <v>100</v>
      </c>
      <c r="C20" s="112"/>
      <c r="D20" s="112">
        <v>0.1</v>
      </c>
      <c r="E20" s="95"/>
      <c r="F20" s="95">
        <f>SUM(F19:F19)</f>
        <v>26.25</v>
      </c>
      <c r="G20" s="99"/>
      <c r="H20" s="100">
        <f>D20*10</f>
        <v>1</v>
      </c>
      <c r="I20" s="100"/>
      <c r="J20" s="100">
        <f>D20*100</f>
        <v>10</v>
      </c>
    </row>
    <row r="21" spans="1:10" s="10" customFormat="1" ht="27.6" customHeight="1" x14ac:dyDescent="0.25">
      <c r="A21" s="1536" t="s">
        <v>35</v>
      </c>
      <c r="B21" s="1536"/>
      <c r="C21" s="90"/>
      <c r="D21" s="90"/>
      <c r="E21" s="13"/>
      <c r="F21" s="13">
        <f>F20</f>
        <v>26.25</v>
      </c>
      <c r="G21" s="286"/>
      <c r="H21" s="286"/>
      <c r="I21" s="21"/>
      <c r="J21" s="13"/>
    </row>
    <row r="22" spans="1:10" s="10" customFormat="1" ht="25.35" customHeight="1" x14ac:dyDescent="0.25">
      <c r="A22" s="1536" t="s">
        <v>36</v>
      </c>
      <c r="B22" s="1536"/>
      <c r="C22" s="90">
        <v>100</v>
      </c>
      <c r="D22" s="90"/>
      <c r="E22" s="13"/>
      <c r="F22" s="13"/>
      <c r="G22" s="13"/>
      <c r="H22" s="13"/>
      <c r="I22" s="21"/>
      <c r="J22" s="17"/>
    </row>
    <row r="23" spans="1:10" s="10" customFormat="1" ht="25.35" customHeight="1" x14ac:dyDescent="0.25">
      <c r="A23" s="1537" t="s">
        <v>37</v>
      </c>
      <c r="B23" s="1538"/>
      <c r="C23" s="91">
        <v>100</v>
      </c>
      <c r="D23" s="92"/>
      <c r="E23" s="285"/>
      <c r="F23" s="285"/>
      <c r="G23" s="285"/>
      <c r="H23" s="285"/>
      <c r="I23" s="21"/>
      <c r="J23" s="17"/>
    </row>
    <row r="24" spans="1:10" s="10" customFormat="1" ht="15" customHeight="1" x14ac:dyDescent="0.25">
      <c r="A24" s="1539" t="s">
        <v>38</v>
      </c>
      <c r="B24" s="1540"/>
      <c r="C24" s="92">
        <f>C22/C23</f>
        <v>1</v>
      </c>
      <c r="D24" s="92"/>
      <c r="E24" s="285"/>
      <c r="F24" s="285"/>
      <c r="G24" s="285"/>
      <c r="H24" s="285"/>
      <c r="I24" s="21"/>
      <c r="J24" s="17"/>
    </row>
    <row r="25" spans="1:10" ht="16.350000000000001" customHeight="1" x14ac:dyDescent="0.25">
      <c r="A25" s="1541" t="s">
        <v>39</v>
      </c>
      <c r="B25" s="1542"/>
      <c r="C25" s="15" t="s">
        <v>40</v>
      </c>
      <c r="D25" s="102"/>
      <c r="E25" s="102" t="s">
        <v>40</v>
      </c>
      <c r="F25" s="16">
        <f>F21/C24</f>
        <v>26.25</v>
      </c>
      <c r="G25" s="16"/>
      <c r="H25" s="16"/>
      <c r="I25" s="102" t="s">
        <v>40</v>
      </c>
      <c r="J25" s="102" t="s">
        <v>40</v>
      </c>
    </row>
    <row r="26" spans="1:10" ht="23.1" customHeight="1" x14ac:dyDescent="0.25">
      <c r="A26" s="1193"/>
      <c r="B26" s="1193"/>
      <c r="C26" s="1193"/>
      <c r="D26" s="1193"/>
      <c r="E26" s="1193"/>
      <c r="F26" s="1193"/>
      <c r="G26" s="1193"/>
      <c r="H26" s="1193"/>
      <c r="I26" s="1193"/>
      <c r="J26" s="1193"/>
    </row>
    <row r="27" spans="1:10" ht="13.95" customHeight="1" x14ac:dyDescent="0.25">
      <c r="A27" s="1193"/>
      <c r="B27" s="1194" t="s">
        <v>49</v>
      </c>
      <c r="C27" s="1198"/>
      <c r="D27" s="1198"/>
      <c r="E27" s="1198"/>
      <c r="F27" s="1198"/>
      <c r="G27" s="1193"/>
      <c r="H27" s="1557">
        <f>'1-бутерброд с маслом'!$H$28</f>
        <v>0</v>
      </c>
      <c r="I27" s="1557"/>
      <c r="J27" s="1557"/>
    </row>
    <row r="28" spans="1:10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545" t="s">
        <v>327</v>
      </c>
      <c r="B29" s="1545"/>
      <c r="C29" s="1546" t="s">
        <v>328</v>
      </c>
      <c r="D29" s="1546"/>
      <c r="E29" s="1546"/>
      <c r="F29" s="1546"/>
      <c r="G29" s="106"/>
      <c r="H29" s="1531"/>
      <c r="I29" s="1531"/>
      <c r="J29" s="1531"/>
    </row>
    <row r="30" spans="1:10" x14ac:dyDescent="0.25">
      <c r="A30" s="1193"/>
      <c r="B30" s="1193"/>
      <c r="C30" s="1546"/>
      <c r="D30" s="1546"/>
      <c r="E30" s="1546"/>
      <c r="F30" s="1546"/>
      <c r="G30" s="1193"/>
      <c r="H30" s="1531" t="s">
        <v>329</v>
      </c>
      <c r="I30" s="1531"/>
      <c r="J30" s="1531"/>
    </row>
    <row r="31" spans="1:10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29:B29"/>
    <mergeCell ref="C29:F30"/>
    <mergeCell ref="H29:J29"/>
    <mergeCell ref="H30:J30"/>
    <mergeCell ref="A22:B22"/>
    <mergeCell ref="A23:B23"/>
    <mergeCell ref="A24:B24"/>
    <mergeCell ref="A25:B25"/>
    <mergeCell ref="H27:J27"/>
    <mergeCell ref="A21:B21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J33"/>
  <sheetViews>
    <sheetView view="pageBreakPreview" topLeftCell="A5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88671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262)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339</v>
      </c>
    </row>
    <row r="8" spans="1:10" s="2" customFormat="1" ht="9.6" customHeight="1" x14ac:dyDescent="0.25">
      <c r="A8" s="283"/>
      <c r="B8" s="283"/>
      <c r="C8" s="283"/>
      <c r="D8" s="283"/>
      <c r="E8" s="283"/>
      <c r="F8" s="283"/>
      <c r="G8" s="283"/>
      <c r="H8" s="283"/>
      <c r="I8" s="283"/>
      <c r="J8" s="109"/>
    </row>
    <row r="9" spans="1:10" s="2" customFormat="1" ht="26.1" customHeight="1" x14ac:dyDescent="0.3">
      <c r="A9" s="1550" t="s">
        <v>665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'338-виноград'!H14+1</f>
        <v>262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84" t="s">
        <v>92</v>
      </c>
      <c r="D17" s="284" t="s">
        <v>94</v>
      </c>
      <c r="E17" s="284" t="s">
        <v>93</v>
      </c>
      <c r="F17" s="284" t="s">
        <v>23</v>
      </c>
      <c r="G17" s="284" t="s">
        <v>92</v>
      </c>
      <c r="H17" s="284" t="s">
        <v>94</v>
      </c>
      <c r="I17" s="284" t="s">
        <v>92</v>
      </c>
      <c r="J17" s="284" t="s">
        <v>94</v>
      </c>
    </row>
    <row r="18" spans="1:10" ht="9.6" customHeight="1" x14ac:dyDescent="0.25">
      <c r="A18" s="284">
        <v>1</v>
      </c>
      <c r="B18" s="285">
        <v>2</v>
      </c>
      <c r="C18" s="284">
        <v>3</v>
      </c>
      <c r="D18" s="285">
        <v>4</v>
      </c>
      <c r="E18" s="284">
        <v>5</v>
      </c>
      <c r="F18" s="285">
        <v>6</v>
      </c>
      <c r="G18" s="284">
        <v>7</v>
      </c>
      <c r="H18" s="285">
        <v>8</v>
      </c>
      <c r="I18" s="284">
        <v>9</v>
      </c>
      <c r="J18" s="285">
        <v>10</v>
      </c>
    </row>
    <row r="19" spans="1:10" s="10" customFormat="1" ht="12" customHeight="1" x14ac:dyDescent="0.25">
      <c r="A19" s="180">
        <v>1</v>
      </c>
      <c r="B19" s="20" t="s">
        <v>502</v>
      </c>
      <c r="C19" s="111">
        <v>0.105</v>
      </c>
      <c r="D19" s="111">
        <v>0.1</v>
      </c>
      <c r="E19" s="13">
        <f>цены!F57</f>
        <v>160</v>
      </c>
      <c r="F19" s="13">
        <f>C19*E19</f>
        <v>16.8</v>
      </c>
      <c r="G19" s="97">
        <f>C19*10</f>
        <v>1.05</v>
      </c>
      <c r="H19" s="21">
        <f>D19*10</f>
        <v>1</v>
      </c>
      <c r="I19" s="21">
        <f>C19*100</f>
        <v>10.5</v>
      </c>
      <c r="J19" s="21">
        <f>D19*100</f>
        <v>10</v>
      </c>
    </row>
    <row r="20" spans="1:10" s="10" customFormat="1" ht="12" customHeight="1" x14ac:dyDescent="0.25">
      <c r="A20" s="180">
        <v>2</v>
      </c>
      <c r="B20" s="20" t="s">
        <v>30</v>
      </c>
      <c r="C20" s="111">
        <v>1.4999999999999999E-2</v>
      </c>
      <c r="D20" s="111">
        <v>1.4999999999999999E-2</v>
      </c>
      <c r="E20" s="13">
        <f>цены!F107</f>
        <v>76</v>
      </c>
      <c r="F20" s="13">
        <f>C20*E20</f>
        <v>1.1399999999999999</v>
      </c>
      <c r="G20" s="97">
        <f>C20*10</f>
        <v>0.15</v>
      </c>
      <c r="H20" s="21">
        <f>D20*10</f>
        <v>0.15</v>
      </c>
      <c r="I20" s="21">
        <f>C20*100</f>
        <v>1.5</v>
      </c>
      <c r="J20" s="21">
        <f>D20*100</f>
        <v>1.5</v>
      </c>
    </row>
    <row r="21" spans="1:10" s="10" customFormat="1" ht="12" customHeight="1" x14ac:dyDescent="0.25">
      <c r="A21" s="98"/>
      <c r="B21" s="93" t="s">
        <v>100</v>
      </c>
      <c r="C21" s="112"/>
      <c r="D21" s="112">
        <v>0.115</v>
      </c>
      <c r="E21" s="95"/>
      <c r="F21" s="95">
        <f>SUM(F19:F20)</f>
        <v>17.940000000000001</v>
      </c>
      <c r="G21" s="99"/>
      <c r="H21" s="100">
        <f>D21*10</f>
        <v>1.1499999999999999</v>
      </c>
      <c r="I21" s="100"/>
      <c r="J21" s="100">
        <f>D21*100</f>
        <v>11.5</v>
      </c>
    </row>
    <row r="22" spans="1:10" s="10" customFormat="1" ht="27.6" customHeight="1" x14ac:dyDescent="0.25">
      <c r="A22" s="1536" t="s">
        <v>35</v>
      </c>
      <c r="B22" s="1536"/>
      <c r="C22" s="90"/>
      <c r="D22" s="90"/>
      <c r="E22" s="13"/>
      <c r="F22" s="13">
        <f>F21</f>
        <v>17.940000000000001</v>
      </c>
      <c r="G22" s="286"/>
      <c r="H22" s="286"/>
      <c r="I22" s="21"/>
      <c r="J22" s="13"/>
    </row>
    <row r="23" spans="1:10" s="10" customFormat="1" ht="25.35" customHeight="1" x14ac:dyDescent="0.25">
      <c r="A23" s="1536" t="s">
        <v>36</v>
      </c>
      <c r="B23" s="1536"/>
      <c r="C23" s="90">
        <v>115</v>
      </c>
      <c r="D23" s="90"/>
      <c r="E23" s="13"/>
      <c r="F23" s="13"/>
      <c r="G23" s="13"/>
      <c r="H23" s="13"/>
      <c r="I23" s="21"/>
      <c r="J23" s="17"/>
    </row>
    <row r="24" spans="1:10" s="10" customFormat="1" ht="25.35" customHeight="1" x14ac:dyDescent="0.25">
      <c r="A24" s="1537" t="s">
        <v>37</v>
      </c>
      <c r="B24" s="1538"/>
      <c r="C24" s="91">
        <v>115</v>
      </c>
      <c r="D24" s="92"/>
      <c r="E24" s="285"/>
      <c r="F24" s="285"/>
      <c r="G24" s="285"/>
      <c r="H24" s="285"/>
      <c r="I24" s="21"/>
      <c r="J24" s="17"/>
    </row>
    <row r="25" spans="1:10" s="10" customFormat="1" ht="15" customHeight="1" x14ac:dyDescent="0.25">
      <c r="A25" s="1539" t="s">
        <v>38</v>
      </c>
      <c r="B25" s="1540"/>
      <c r="C25" s="92">
        <f>C23/C24</f>
        <v>1</v>
      </c>
      <c r="D25" s="92"/>
      <c r="E25" s="285"/>
      <c r="F25" s="285"/>
      <c r="G25" s="285"/>
      <c r="H25" s="285"/>
      <c r="I25" s="21"/>
      <c r="J25" s="17"/>
    </row>
    <row r="26" spans="1:10" ht="16.350000000000001" customHeight="1" x14ac:dyDescent="0.25">
      <c r="A26" s="1541" t="s">
        <v>39</v>
      </c>
      <c r="B26" s="1542"/>
      <c r="C26" s="15" t="s">
        <v>40</v>
      </c>
      <c r="D26" s="102"/>
      <c r="E26" s="102" t="s">
        <v>40</v>
      </c>
      <c r="F26" s="16">
        <f>F22/C25</f>
        <v>17.940000000000001</v>
      </c>
      <c r="G26" s="16"/>
      <c r="H26" s="16"/>
      <c r="I26" s="102" t="s">
        <v>40</v>
      </c>
      <c r="J26" s="102" t="s">
        <v>40</v>
      </c>
    </row>
    <row r="27" spans="1:10" ht="23.1" customHeight="1" x14ac:dyDescent="0.25">
      <c r="A27" s="1193"/>
      <c r="B27" s="1193"/>
      <c r="C27" s="1193"/>
      <c r="D27" s="1193"/>
      <c r="E27" s="1193"/>
      <c r="F27" s="1193"/>
      <c r="G27" s="1193"/>
      <c r="H27" s="1193"/>
      <c r="I27" s="1193"/>
      <c r="J27" s="1193"/>
    </row>
    <row r="28" spans="1:10" ht="13.95" customHeight="1" x14ac:dyDescent="0.25">
      <c r="A28" s="1193"/>
      <c r="B28" s="1194" t="s">
        <v>49</v>
      </c>
      <c r="C28" s="1198"/>
      <c r="D28" s="1198"/>
      <c r="E28" s="1198"/>
      <c r="F28" s="1198"/>
      <c r="G28" s="1193"/>
      <c r="H28" s="1557">
        <f>'1-бутерброд с маслом'!$H$28</f>
        <v>0</v>
      </c>
      <c r="I28" s="1557"/>
      <c r="J28" s="1557"/>
    </row>
    <row r="29" spans="1:10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0" ht="13.95" customHeight="1" x14ac:dyDescent="0.25">
      <c r="A30" s="1545" t="s">
        <v>327</v>
      </c>
      <c r="B30" s="1545"/>
      <c r="C30" s="1546" t="s">
        <v>328</v>
      </c>
      <c r="D30" s="1546"/>
      <c r="E30" s="1546"/>
      <c r="F30" s="1546"/>
      <c r="G30" s="106"/>
      <c r="H30" s="1531"/>
      <c r="I30" s="1531"/>
      <c r="J30" s="1531"/>
    </row>
    <row r="31" spans="1:10" x14ac:dyDescent="0.25">
      <c r="A31" s="1193"/>
      <c r="B31" s="1193"/>
      <c r="C31" s="1546"/>
      <c r="D31" s="1546"/>
      <c r="E31" s="1546"/>
      <c r="F31" s="1546"/>
      <c r="G31" s="1193"/>
      <c r="H31" s="1531" t="s">
        <v>329</v>
      </c>
      <c r="I31" s="1531"/>
      <c r="J31" s="1531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0:B30"/>
    <mergeCell ref="C30:F31"/>
    <mergeCell ref="H30:J30"/>
    <mergeCell ref="H31:J31"/>
    <mergeCell ref="A23:B23"/>
    <mergeCell ref="A24:B24"/>
    <mergeCell ref="A25:B25"/>
    <mergeCell ref="A26:B26"/>
    <mergeCell ref="H28:J28"/>
    <mergeCell ref="A22:B22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J33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2.5546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263)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339</v>
      </c>
    </row>
    <row r="8" spans="1:10" s="2" customFormat="1" ht="9.6" customHeight="1" x14ac:dyDescent="0.25">
      <c r="A8" s="283"/>
      <c r="B8" s="283"/>
      <c r="C8" s="283"/>
      <c r="D8" s="283"/>
      <c r="E8" s="283"/>
      <c r="F8" s="283"/>
      <c r="G8" s="283"/>
      <c r="H8" s="283"/>
      <c r="I8" s="283"/>
      <c r="J8" s="109"/>
    </row>
    <row r="9" spans="1:10" s="2" customFormat="1" ht="26.1" customHeight="1" x14ac:dyDescent="0.3">
      <c r="A9" s="1550" t="s">
        <v>666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'339-черешня'!H14+1</f>
        <v>263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84" t="s">
        <v>92</v>
      </c>
      <c r="D17" s="284" t="s">
        <v>94</v>
      </c>
      <c r="E17" s="284" t="s">
        <v>93</v>
      </c>
      <c r="F17" s="284" t="s">
        <v>23</v>
      </c>
      <c r="G17" s="284" t="s">
        <v>92</v>
      </c>
      <c r="H17" s="284" t="s">
        <v>94</v>
      </c>
      <c r="I17" s="284" t="s">
        <v>92</v>
      </c>
      <c r="J17" s="284" t="s">
        <v>94</v>
      </c>
    </row>
    <row r="18" spans="1:10" ht="9.6" customHeight="1" x14ac:dyDescent="0.25">
      <c r="A18" s="284">
        <v>1</v>
      </c>
      <c r="B18" s="285">
        <v>2</v>
      </c>
      <c r="C18" s="284">
        <v>3</v>
      </c>
      <c r="D18" s="285">
        <v>4</v>
      </c>
      <c r="E18" s="284">
        <v>5</v>
      </c>
      <c r="F18" s="285">
        <v>6</v>
      </c>
      <c r="G18" s="284">
        <v>7</v>
      </c>
      <c r="H18" s="285">
        <v>8</v>
      </c>
      <c r="I18" s="284">
        <v>9</v>
      </c>
      <c r="J18" s="285">
        <v>10</v>
      </c>
    </row>
    <row r="19" spans="1:10" s="10" customFormat="1" ht="12" customHeight="1" x14ac:dyDescent="0.25">
      <c r="A19" s="180">
        <v>1</v>
      </c>
      <c r="B19" s="20" t="s">
        <v>503</v>
      </c>
      <c r="C19" s="111">
        <v>0.11799999999999999</v>
      </c>
      <c r="D19" s="111">
        <v>0.1</v>
      </c>
      <c r="E19" s="13">
        <f>цены!F58</f>
        <v>160</v>
      </c>
      <c r="F19" s="13">
        <f>C19*E19</f>
        <v>18.88</v>
      </c>
      <c r="G19" s="97">
        <f>C19*10</f>
        <v>1.18</v>
      </c>
      <c r="H19" s="21">
        <f>D19*10</f>
        <v>1</v>
      </c>
      <c r="I19" s="21">
        <f>C19*100</f>
        <v>11.8</v>
      </c>
      <c r="J19" s="21">
        <f>D19*100</f>
        <v>10</v>
      </c>
    </row>
    <row r="20" spans="1:10" s="10" customFormat="1" ht="12" customHeight="1" x14ac:dyDescent="0.25">
      <c r="A20" s="180">
        <v>2</v>
      </c>
      <c r="B20" s="20" t="s">
        <v>30</v>
      </c>
      <c r="C20" s="111">
        <v>1.4999999999999999E-2</v>
      </c>
      <c r="D20" s="111">
        <v>1.4999999999999999E-2</v>
      </c>
      <c r="E20" s="13">
        <f>цены!F107</f>
        <v>76</v>
      </c>
      <c r="F20" s="13">
        <f>C20*E20</f>
        <v>1.1399999999999999</v>
      </c>
      <c r="G20" s="97">
        <f>C20*10</f>
        <v>0.15</v>
      </c>
      <c r="H20" s="21">
        <f>D20*10</f>
        <v>0.15</v>
      </c>
      <c r="I20" s="21">
        <f>C20*100</f>
        <v>1.5</v>
      </c>
      <c r="J20" s="21">
        <f>D20*100</f>
        <v>1.5</v>
      </c>
    </row>
    <row r="21" spans="1:10" s="10" customFormat="1" ht="12" customHeight="1" x14ac:dyDescent="0.25">
      <c r="A21" s="98"/>
      <c r="B21" s="93" t="s">
        <v>100</v>
      </c>
      <c r="C21" s="112"/>
      <c r="D21" s="112">
        <v>0.115</v>
      </c>
      <c r="E21" s="95"/>
      <c r="F21" s="95">
        <f>SUM(F19:F20)</f>
        <v>20.02</v>
      </c>
      <c r="G21" s="99"/>
      <c r="H21" s="100">
        <f>D21*10</f>
        <v>1.1499999999999999</v>
      </c>
      <c r="I21" s="100"/>
      <c r="J21" s="100">
        <f>D21*100</f>
        <v>11.5</v>
      </c>
    </row>
    <row r="22" spans="1:10" s="10" customFormat="1" ht="27.6" customHeight="1" x14ac:dyDescent="0.25">
      <c r="A22" s="1536" t="s">
        <v>35</v>
      </c>
      <c r="B22" s="1536"/>
      <c r="C22" s="90"/>
      <c r="D22" s="90"/>
      <c r="E22" s="13"/>
      <c r="F22" s="13">
        <f>F21</f>
        <v>20.02</v>
      </c>
      <c r="G22" s="286"/>
      <c r="H22" s="286"/>
      <c r="I22" s="21"/>
      <c r="J22" s="13"/>
    </row>
    <row r="23" spans="1:10" s="10" customFormat="1" ht="25.35" customHeight="1" x14ac:dyDescent="0.25">
      <c r="A23" s="1536" t="s">
        <v>36</v>
      </c>
      <c r="B23" s="1536"/>
      <c r="C23" s="90">
        <v>115</v>
      </c>
      <c r="D23" s="90"/>
      <c r="E23" s="13"/>
      <c r="F23" s="13"/>
      <c r="G23" s="13"/>
      <c r="H23" s="13"/>
      <c r="I23" s="21"/>
      <c r="J23" s="17"/>
    </row>
    <row r="24" spans="1:10" s="10" customFormat="1" ht="25.35" customHeight="1" x14ac:dyDescent="0.25">
      <c r="A24" s="1537" t="s">
        <v>37</v>
      </c>
      <c r="B24" s="1538"/>
      <c r="C24" s="91">
        <v>115</v>
      </c>
      <c r="D24" s="92"/>
      <c r="E24" s="285"/>
      <c r="F24" s="285"/>
      <c r="G24" s="285"/>
      <c r="H24" s="285"/>
      <c r="I24" s="21"/>
      <c r="J24" s="17"/>
    </row>
    <row r="25" spans="1:10" s="10" customFormat="1" ht="15" customHeight="1" x14ac:dyDescent="0.25">
      <c r="A25" s="1539" t="s">
        <v>38</v>
      </c>
      <c r="B25" s="1540"/>
      <c r="C25" s="92">
        <f>C23/C24</f>
        <v>1</v>
      </c>
      <c r="D25" s="92"/>
      <c r="E25" s="285"/>
      <c r="F25" s="285"/>
      <c r="G25" s="285"/>
      <c r="H25" s="285"/>
      <c r="I25" s="21"/>
      <c r="J25" s="17"/>
    </row>
    <row r="26" spans="1:10" ht="16.350000000000001" customHeight="1" x14ac:dyDescent="0.25">
      <c r="A26" s="1541" t="s">
        <v>39</v>
      </c>
      <c r="B26" s="1542"/>
      <c r="C26" s="15" t="s">
        <v>40</v>
      </c>
      <c r="D26" s="102"/>
      <c r="E26" s="102" t="s">
        <v>40</v>
      </c>
      <c r="F26" s="16">
        <f>F22/C25</f>
        <v>20.02</v>
      </c>
      <c r="G26" s="16"/>
      <c r="H26" s="16"/>
      <c r="I26" s="102" t="s">
        <v>40</v>
      </c>
      <c r="J26" s="102" t="s">
        <v>40</v>
      </c>
    </row>
    <row r="27" spans="1:10" ht="23.1" customHeight="1" x14ac:dyDescent="0.25">
      <c r="A27" s="1193"/>
      <c r="B27" s="1193"/>
      <c r="C27" s="1193"/>
      <c r="D27" s="1193"/>
      <c r="E27" s="1193"/>
      <c r="F27" s="1193"/>
      <c r="G27" s="1193"/>
      <c r="H27" s="1193"/>
      <c r="I27" s="1193"/>
      <c r="J27" s="1193"/>
    </row>
    <row r="28" spans="1:10" ht="13.95" customHeight="1" x14ac:dyDescent="0.25">
      <c r="A28" s="1193"/>
      <c r="B28" s="1194" t="s">
        <v>49</v>
      </c>
      <c r="C28" s="1198"/>
      <c r="D28" s="1198"/>
      <c r="E28" s="1198"/>
      <c r="F28" s="1198"/>
      <c r="G28" s="1193"/>
      <c r="H28" s="1557">
        <f>'1-бутерброд с маслом'!$H$28</f>
        <v>0</v>
      </c>
      <c r="I28" s="1557"/>
      <c r="J28" s="1557"/>
    </row>
    <row r="29" spans="1:10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0" ht="13.95" customHeight="1" x14ac:dyDescent="0.25">
      <c r="A30" s="1545" t="s">
        <v>327</v>
      </c>
      <c r="B30" s="1545"/>
      <c r="C30" s="1546" t="s">
        <v>328</v>
      </c>
      <c r="D30" s="1546"/>
      <c r="E30" s="1546"/>
      <c r="F30" s="1546"/>
      <c r="G30" s="106"/>
      <c r="H30" s="1531"/>
      <c r="I30" s="1531"/>
      <c r="J30" s="1531"/>
    </row>
    <row r="31" spans="1:10" x14ac:dyDescent="0.25">
      <c r="A31" s="1193"/>
      <c r="B31" s="1193"/>
      <c r="C31" s="1546"/>
      <c r="D31" s="1546"/>
      <c r="E31" s="1546"/>
      <c r="F31" s="1546"/>
      <c r="G31" s="1193"/>
      <c r="H31" s="1531" t="s">
        <v>329</v>
      </c>
      <c r="I31" s="1531"/>
      <c r="J31" s="1531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0:B30"/>
    <mergeCell ref="C30:F31"/>
    <mergeCell ref="H30:J30"/>
    <mergeCell ref="H31:J31"/>
    <mergeCell ref="A23:B23"/>
    <mergeCell ref="A24:B24"/>
    <mergeCell ref="A25:B25"/>
    <mergeCell ref="A26:B26"/>
    <mergeCell ref="H28:J28"/>
    <mergeCell ref="A22:B22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J32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1093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264)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340</v>
      </c>
    </row>
    <row r="8" spans="1:10" s="2" customFormat="1" ht="9.6" customHeight="1" x14ac:dyDescent="0.25">
      <c r="A8" s="283"/>
      <c r="B8" s="283"/>
      <c r="C8" s="283"/>
      <c r="D8" s="283"/>
      <c r="E8" s="283"/>
      <c r="F8" s="283"/>
      <c r="G8" s="283"/>
      <c r="H8" s="283"/>
      <c r="I8" s="283"/>
      <c r="J8" s="109"/>
    </row>
    <row r="9" spans="1:10" s="2" customFormat="1" ht="26.1" customHeight="1" x14ac:dyDescent="0.3">
      <c r="A9" s="1550" t="s">
        <v>504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'339-земляника'!H14+1</f>
        <v>264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84" t="s">
        <v>92</v>
      </c>
      <c r="D17" s="284" t="s">
        <v>94</v>
      </c>
      <c r="E17" s="284" t="s">
        <v>93</v>
      </c>
      <c r="F17" s="284" t="s">
        <v>23</v>
      </c>
      <c r="G17" s="284" t="s">
        <v>92</v>
      </c>
      <c r="H17" s="284" t="s">
        <v>94</v>
      </c>
      <c r="I17" s="284" t="s">
        <v>92</v>
      </c>
      <c r="J17" s="284" t="s">
        <v>94</v>
      </c>
    </row>
    <row r="18" spans="1:10" ht="9.6" customHeight="1" x14ac:dyDescent="0.25">
      <c r="A18" s="284">
        <v>1</v>
      </c>
      <c r="B18" s="285">
        <v>2</v>
      </c>
      <c r="C18" s="284">
        <v>3</v>
      </c>
      <c r="D18" s="285">
        <v>4</v>
      </c>
      <c r="E18" s="284">
        <v>5</v>
      </c>
      <c r="F18" s="285">
        <v>6</v>
      </c>
      <c r="G18" s="284">
        <v>7</v>
      </c>
      <c r="H18" s="285">
        <v>8</v>
      </c>
      <c r="I18" s="284">
        <v>9</v>
      </c>
      <c r="J18" s="285">
        <v>10</v>
      </c>
    </row>
    <row r="19" spans="1:10" s="10" customFormat="1" ht="12" customHeight="1" x14ac:dyDescent="0.25">
      <c r="A19" s="180">
        <v>1</v>
      </c>
      <c r="B19" s="20" t="s">
        <v>504</v>
      </c>
      <c r="C19" s="111">
        <v>0.27800000000000002</v>
      </c>
      <c r="D19" s="111">
        <v>0.25</v>
      </c>
      <c r="E19" s="13">
        <f>цены!F62</f>
        <v>25</v>
      </c>
      <c r="F19" s="13">
        <f>C19*E19</f>
        <v>6.95</v>
      </c>
      <c r="G19" s="97">
        <f>C19*10</f>
        <v>2.78</v>
      </c>
      <c r="H19" s="21">
        <f>D19*10</f>
        <v>2.5</v>
      </c>
      <c r="I19" s="21">
        <f>C19*100</f>
        <v>27.8</v>
      </c>
      <c r="J19" s="21">
        <f>D19*100</f>
        <v>25</v>
      </c>
    </row>
    <row r="20" spans="1:10" s="10" customFormat="1" ht="12" customHeight="1" x14ac:dyDescent="0.25">
      <c r="A20" s="98"/>
      <c r="B20" s="93" t="s">
        <v>100</v>
      </c>
      <c r="C20" s="112"/>
      <c r="D20" s="112">
        <v>0.25</v>
      </c>
      <c r="E20" s="95"/>
      <c r="F20" s="95">
        <f>SUM(F19:F19)</f>
        <v>6.95</v>
      </c>
      <c r="G20" s="99"/>
      <c r="H20" s="100">
        <f>D20*10</f>
        <v>2.5</v>
      </c>
      <c r="I20" s="100"/>
      <c r="J20" s="100">
        <f>D20*100</f>
        <v>25</v>
      </c>
    </row>
    <row r="21" spans="1:10" s="10" customFormat="1" ht="27.6" customHeight="1" x14ac:dyDescent="0.25">
      <c r="A21" s="1536" t="s">
        <v>35</v>
      </c>
      <c r="B21" s="1536"/>
      <c r="C21" s="90"/>
      <c r="D21" s="90"/>
      <c r="E21" s="13"/>
      <c r="F21" s="13">
        <f>F20</f>
        <v>6.95</v>
      </c>
      <c r="G21" s="286"/>
      <c r="H21" s="286"/>
      <c r="I21" s="21"/>
      <c r="J21" s="13"/>
    </row>
    <row r="22" spans="1:10" s="10" customFormat="1" ht="25.35" customHeight="1" x14ac:dyDescent="0.25">
      <c r="A22" s="1536" t="s">
        <v>36</v>
      </c>
      <c r="B22" s="1536"/>
      <c r="C22" s="90">
        <v>250</v>
      </c>
      <c r="D22" s="90"/>
      <c r="E22" s="13"/>
      <c r="F22" s="13"/>
      <c r="G22" s="13"/>
      <c r="H22" s="13"/>
      <c r="I22" s="21"/>
      <c r="J22" s="17"/>
    </row>
    <row r="23" spans="1:10" s="10" customFormat="1" ht="25.35" customHeight="1" x14ac:dyDescent="0.25">
      <c r="A23" s="1537" t="s">
        <v>37</v>
      </c>
      <c r="B23" s="1538"/>
      <c r="C23" s="91">
        <v>250</v>
      </c>
      <c r="D23" s="92"/>
      <c r="E23" s="285"/>
      <c r="F23" s="285"/>
      <c r="G23" s="285"/>
      <c r="H23" s="285"/>
      <c r="I23" s="21"/>
      <c r="J23" s="17"/>
    </row>
    <row r="24" spans="1:10" s="10" customFormat="1" ht="15" customHeight="1" x14ac:dyDescent="0.25">
      <c r="A24" s="1539" t="s">
        <v>38</v>
      </c>
      <c r="B24" s="1540"/>
      <c r="C24" s="92">
        <f>C22/C23</f>
        <v>1</v>
      </c>
      <c r="D24" s="92"/>
      <c r="E24" s="285"/>
      <c r="F24" s="285"/>
      <c r="G24" s="285"/>
      <c r="H24" s="285"/>
      <c r="I24" s="21"/>
      <c r="J24" s="17"/>
    </row>
    <row r="25" spans="1:10" ht="16.350000000000001" customHeight="1" x14ac:dyDescent="0.25">
      <c r="A25" s="1541" t="s">
        <v>39</v>
      </c>
      <c r="B25" s="1542"/>
      <c r="C25" s="15" t="s">
        <v>40</v>
      </c>
      <c r="D25" s="102"/>
      <c r="E25" s="102" t="s">
        <v>40</v>
      </c>
      <c r="F25" s="16">
        <f>F21/C24</f>
        <v>6.95</v>
      </c>
      <c r="G25" s="16"/>
      <c r="H25" s="16"/>
      <c r="I25" s="102" t="s">
        <v>40</v>
      </c>
      <c r="J25" s="102" t="s">
        <v>40</v>
      </c>
    </row>
    <row r="26" spans="1:10" ht="23.1" customHeight="1" x14ac:dyDescent="0.25">
      <c r="A26" s="1193"/>
      <c r="B26" s="1193"/>
      <c r="C26" s="1193"/>
      <c r="D26" s="1193"/>
      <c r="E26" s="1193"/>
      <c r="F26" s="1193"/>
      <c r="G26" s="1193"/>
      <c r="H26" s="1193"/>
      <c r="I26" s="1193"/>
      <c r="J26" s="1193"/>
    </row>
    <row r="27" spans="1:10" ht="13.95" customHeight="1" x14ac:dyDescent="0.25">
      <c r="A27" s="1193"/>
      <c r="B27" s="1194" t="s">
        <v>49</v>
      </c>
      <c r="C27" s="1198"/>
      <c r="D27" s="1198"/>
      <c r="E27" s="1198"/>
      <c r="F27" s="1198"/>
      <c r="G27" s="1193"/>
      <c r="H27" s="1557">
        <f>'1-бутерброд с маслом'!$H$28</f>
        <v>0</v>
      </c>
      <c r="I27" s="1557"/>
      <c r="J27" s="1557"/>
    </row>
    <row r="28" spans="1:10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545" t="s">
        <v>327</v>
      </c>
      <c r="B29" s="1545"/>
      <c r="C29" s="1546" t="s">
        <v>328</v>
      </c>
      <c r="D29" s="1546"/>
      <c r="E29" s="1546"/>
      <c r="F29" s="1546"/>
      <c r="G29" s="106"/>
      <c r="H29" s="1531"/>
      <c r="I29" s="1531"/>
      <c r="J29" s="1531"/>
    </row>
    <row r="30" spans="1:10" x14ac:dyDescent="0.25">
      <c r="A30" s="1193"/>
      <c r="B30" s="1193"/>
      <c r="C30" s="1546"/>
      <c r="D30" s="1546"/>
      <c r="E30" s="1546"/>
      <c r="F30" s="1546"/>
      <c r="G30" s="1193"/>
      <c r="H30" s="1531" t="s">
        <v>329</v>
      </c>
      <c r="I30" s="1531"/>
      <c r="J30" s="1531"/>
    </row>
    <row r="31" spans="1:10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29:B29"/>
    <mergeCell ref="C29:F30"/>
    <mergeCell ref="H29:J29"/>
    <mergeCell ref="H30:J30"/>
    <mergeCell ref="A22:B22"/>
    <mergeCell ref="A23:B23"/>
    <mergeCell ref="A24:B24"/>
    <mergeCell ref="A25:B25"/>
    <mergeCell ref="H27:J27"/>
    <mergeCell ref="A21:B21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M40"/>
  <sheetViews>
    <sheetView view="pageBreakPreview" topLeftCell="A21" zoomScaleNormal="100" zoomScaleSheetLayoutView="100" workbookViewId="0">
      <selection activeCell="A32" sqref="A32:J36"/>
    </sheetView>
  </sheetViews>
  <sheetFormatPr defaultRowHeight="13.8" x14ac:dyDescent="0.25"/>
  <cols>
    <col min="1" max="1" width="4.109375" customWidth="1"/>
    <col min="2" max="2" width="21" customWidth="1"/>
    <col min="3" max="3" width="8.88671875" customWidth="1"/>
    <col min="4" max="7" width="7.5546875" customWidth="1"/>
    <col min="8" max="8" width="7.44140625" customWidth="1"/>
    <col min="9" max="9" width="8.44140625" customWidth="1"/>
    <col min="10" max="10" width="9.109375" customWidth="1"/>
    <col min="11" max="11" width="5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22)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290"/>
      <c r="I6" s="290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28</v>
      </c>
    </row>
    <row r="8" spans="1:10" s="2" customFormat="1" ht="9.6" customHeight="1" x14ac:dyDescent="0.25">
      <c r="A8" s="291"/>
      <c r="B8" s="291"/>
      <c r="C8" s="291"/>
      <c r="D8" s="291"/>
      <c r="E8" s="291"/>
      <c r="F8" s="291"/>
      <c r="G8" s="291"/>
      <c r="H8" s="291"/>
      <c r="I8" s="291"/>
      <c r="J8" s="109"/>
    </row>
    <row r="9" spans="1:10" s="2" customFormat="1" ht="26.1" customHeight="1" x14ac:dyDescent="0.3">
      <c r="A9" s="1550" t="s">
        <v>519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'24-салат помидор и огурц 20'!H14+1</f>
        <v>22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287" t="s">
        <v>92</v>
      </c>
      <c r="D17" s="287" t="s">
        <v>94</v>
      </c>
      <c r="E17" s="287" t="s">
        <v>93</v>
      </c>
      <c r="F17" s="287" t="s">
        <v>23</v>
      </c>
      <c r="G17" s="287" t="s">
        <v>92</v>
      </c>
      <c r="H17" s="287" t="s">
        <v>94</v>
      </c>
      <c r="I17" s="287" t="s">
        <v>92</v>
      </c>
      <c r="J17" s="287" t="s">
        <v>94</v>
      </c>
    </row>
    <row r="18" spans="1:13" ht="9.6" customHeight="1" x14ac:dyDescent="0.25">
      <c r="A18" s="287">
        <v>1</v>
      </c>
      <c r="B18" s="289">
        <v>2</v>
      </c>
      <c r="C18" s="287">
        <v>3</v>
      </c>
      <c r="D18" s="289">
        <v>4</v>
      </c>
      <c r="E18" s="287">
        <v>5</v>
      </c>
      <c r="F18" s="289">
        <v>6</v>
      </c>
      <c r="G18" s="287">
        <v>7</v>
      </c>
      <c r="H18" s="289">
        <v>8</v>
      </c>
      <c r="I18" s="287">
        <v>9</v>
      </c>
      <c r="J18" s="289">
        <v>10</v>
      </c>
    </row>
    <row r="19" spans="1:13" ht="14.4" customHeight="1" x14ac:dyDescent="0.25">
      <c r="A19" s="299">
        <v>1</v>
      </c>
      <c r="B19" s="298" t="s">
        <v>509</v>
      </c>
      <c r="C19" s="300">
        <v>0.29199999999999998</v>
      </c>
      <c r="D19" s="90">
        <v>0.21</v>
      </c>
      <c r="E19" s="13">
        <f>цены!F43</f>
        <v>200</v>
      </c>
      <c r="F19" s="13">
        <f t="shared" ref="F19:F25" si="0">C19*E19</f>
        <v>58.4</v>
      </c>
      <c r="G19" s="97">
        <f t="shared" ref="G19:H25" si="1">C19*10</f>
        <v>2.92</v>
      </c>
      <c r="H19" s="21">
        <f t="shared" si="1"/>
        <v>2.1</v>
      </c>
      <c r="I19" s="21">
        <f t="shared" ref="I19:J25" si="2">C19*100</f>
        <v>29.2</v>
      </c>
      <c r="J19" s="21">
        <f t="shared" si="2"/>
        <v>21</v>
      </c>
      <c r="L19" s="1015">
        <f>C19/C$30</f>
        <v>1.7519649607007901E-2</v>
      </c>
      <c r="M19" s="1015">
        <f>F19/C$30</f>
        <v>3.50392992140157</v>
      </c>
    </row>
    <row r="20" spans="1:13" s="10" customFormat="1" ht="14.1" customHeight="1" x14ac:dyDescent="0.25">
      <c r="A20" s="180">
        <v>2</v>
      </c>
      <c r="B20" s="20" t="s">
        <v>520</v>
      </c>
      <c r="C20" s="21">
        <v>0.215</v>
      </c>
      <c r="D20" s="21">
        <v>0.2</v>
      </c>
      <c r="E20" s="13">
        <f>цены!F56</f>
        <v>50</v>
      </c>
      <c r="F20" s="13">
        <f t="shared" si="0"/>
        <v>10.75</v>
      </c>
      <c r="G20" s="97">
        <f t="shared" si="1"/>
        <v>2.15</v>
      </c>
      <c r="H20" s="21">
        <f t="shared" si="1"/>
        <v>2</v>
      </c>
      <c r="I20" s="21">
        <f t="shared" si="2"/>
        <v>21.5</v>
      </c>
      <c r="J20" s="21">
        <f t="shared" si="2"/>
        <v>20</v>
      </c>
      <c r="L20" s="1015">
        <f t="shared" ref="L20:L25" si="3">C20/C$30</f>
        <v>1.2899742005159901E-2</v>
      </c>
      <c r="M20" s="1015">
        <f t="shared" ref="M20:M25" si="4">F20/C$30</f>
        <v>0.64498710025799499</v>
      </c>
    </row>
    <row r="21" spans="1:13" s="10" customFormat="1" ht="14.1" customHeight="1" x14ac:dyDescent="0.25">
      <c r="A21" s="299">
        <v>3</v>
      </c>
      <c r="B21" s="20" t="s">
        <v>514</v>
      </c>
      <c r="C21" s="21">
        <v>0.438</v>
      </c>
      <c r="D21" s="21">
        <v>0.35</v>
      </c>
      <c r="E21" s="13">
        <f>цены!F42</f>
        <v>60</v>
      </c>
      <c r="F21" s="13">
        <f t="shared" si="0"/>
        <v>26.28</v>
      </c>
      <c r="G21" s="97">
        <f t="shared" si="1"/>
        <v>4.38</v>
      </c>
      <c r="H21" s="21">
        <f t="shared" si="1"/>
        <v>3.5</v>
      </c>
      <c r="I21" s="21">
        <f t="shared" si="2"/>
        <v>43.8</v>
      </c>
      <c r="J21" s="21">
        <f t="shared" si="2"/>
        <v>35</v>
      </c>
      <c r="L21" s="1015">
        <f t="shared" si="3"/>
        <v>2.6279474410511799E-2</v>
      </c>
      <c r="M21" s="1015">
        <f t="shared" si="4"/>
        <v>1.5767684646307101</v>
      </c>
    </row>
    <row r="22" spans="1:13" s="10" customFormat="1" ht="13.35" customHeight="1" x14ac:dyDescent="0.25">
      <c r="A22" s="180">
        <v>4</v>
      </c>
      <c r="B22" s="20" t="s">
        <v>337</v>
      </c>
      <c r="C22" s="21">
        <v>0.17499999999999999</v>
      </c>
      <c r="D22" s="21">
        <v>0.14000000000000001</v>
      </c>
      <c r="E22" s="13">
        <f>цены!F39</f>
        <v>300</v>
      </c>
      <c r="F22" s="13">
        <f t="shared" si="0"/>
        <v>52.5</v>
      </c>
      <c r="G22" s="97">
        <f t="shared" si="1"/>
        <v>1.75</v>
      </c>
      <c r="H22" s="21">
        <f t="shared" si="1"/>
        <v>1.4</v>
      </c>
      <c r="I22" s="21">
        <f t="shared" si="2"/>
        <v>17.5</v>
      </c>
      <c r="J22" s="21">
        <f t="shared" si="2"/>
        <v>14</v>
      </c>
      <c r="L22" s="1015">
        <f t="shared" si="3"/>
        <v>1.0499790004199899E-2</v>
      </c>
      <c r="M22" s="1015">
        <f t="shared" si="4"/>
        <v>3.1499370012599699</v>
      </c>
    </row>
    <row r="23" spans="1:13" s="10" customFormat="1" ht="13.35" customHeight="1" x14ac:dyDescent="0.25">
      <c r="A23" s="299">
        <v>5</v>
      </c>
      <c r="B23" s="20" t="s">
        <v>521</v>
      </c>
      <c r="C23" s="21">
        <v>6.9000000000000006E-2</v>
      </c>
      <c r="D23" s="21">
        <v>0.6</v>
      </c>
      <c r="E23" s="13">
        <f>цены!F30</f>
        <v>152.16999999999999</v>
      </c>
      <c r="F23" s="13">
        <f t="shared" si="0"/>
        <v>10.5</v>
      </c>
      <c r="G23" s="97">
        <f t="shared" si="1"/>
        <v>0.69</v>
      </c>
      <c r="H23" s="21">
        <f t="shared" si="1"/>
        <v>6</v>
      </c>
      <c r="I23" s="21">
        <f t="shared" si="2"/>
        <v>6.9</v>
      </c>
      <c r="J23" s="21">
        <f t="shared" si="2"/>
        <v>60</v>
      </c>
      <c r="L23" s="1015">
        <f t="shared" si="3"/>
        <v>4.1399172016559696E-3</v>
      </c>
      <c r="M23" s="1015">
        <f t="shared" si="4"/>
        <v>0.62998740025199496</v>
      </c>
    </row>
    <row r="24" spans="1:13" s="10" customFormat="1" ht="14.1" customHeight="1" x14ac:dyDescent="0.25">
      <c r="A24" s="180">
        <v>6</v>
      </c>
      <c r="B24" s="20" t="s">
        <v>74</v>
      </c>
      <c r="C24" s="21">
        <v>0.05</v>
      </c>
      <c r="D24" s="21">
        <v>0.05</v>
      </c>
      <c r="E24" s="13">
        <f>цены!F87</f>
        <v>120</v>
      </c>
      <c r="F24" s="13">
        <f t="shared" si="0"/>
        <v>6</v>
      </c>
      <c r="G24" s="97">
        <f t="shared" si="1"/>
        <v>0.5</v>
      </c>
      <c r="H24" s="21">
        <f t="shared" si="1"/>
        <v>0.5</v>
      </c>
      <c r="I24" s="21">
        <f t="shared" si="2"/>
        <v>5</v>
      </c>
      <c r="J24" s="21">
        <f t="shared" si="2"/>
        <v>5</v>
      </c>
      <c r="L24" s="1015">
        <f t="shared" si="3"/>
        <v>2.9999400011999802E-3</v>
      </c>
      <c r="M24" s="1015">
        <f t="shared" si="4"/>
        <v>0.35999280014399698</v>
      </c>
    </row>
    <row r="25" spans="1:13" s="10" customFormat="1" ht="14.1" customHeight="1" x14ac:dyDescent="0.25">
      <c r="A25" s="299">
        <v>7</v>
      </c>
      <c r="B25" s="20" t="s">
        <v>75</v>
      </c>
      <c r="C25" s="21">
        <f>0.002*C30</f>
        <v>3.3000000000000002E-2</v>
      </c>
      <c r="D25" s="21">
        <f>C25</f>
        <v>3.3000000000000002E-2</v>
      </c>
      <c r="E25" s="13">
        <f>цены!F110</f>
        <v>24</v>
      </c>
      <c r="F25" s="13">
        <f t="shared" si="0"/>
        <v>0.79</v>
      </c>
      <c r="G25" s="97">
        <f t="shared" si="1"/>
        <v>0.33</v>
      </c>
      <c r="H25" s="21">
        <f t="shared" si="1"/>
        <v>0.33</v>
      </c>
      <c r="I25" s="21">
        <f t="shared" si="2"/>
        <v>3.3</v>
      </c>
      <c r="J25" s="21">
        <f t="shared" si="2"/>
        <v>3.3</v>
      </c>
      <c r="L25" s="1015">
        <f t="shared" si="3"/>
        <v>1.9799604007919801E-3</v>
      </c>
      <c r="M25" s="1015">
        <f t="shared" si="4"/>
        <v>4.7399052018959602E-2</v>
      </c>
    </row>
    <row r="26" spans="1:13" s="10" customFormat="1" ht="12" customHeight="1" x14ac:dyDescent="0.25">
      <c r="A26" s="98"/>
      <c r="B26" s="93" t="s">
        <v>100</v>
      </c>
      <c r="C26" s="100"/>
      <c r="D26" s="100">
        <v>1</v>
      </c>
      <c r="E26" s="95"/>
      <c r="F26" s="95">
        <f>SUM(F19:F25)</f>
        <v>165.22</v>
      </c>
      <c r="G26" s="99"/>
      <c r="H26" s="100">
        <f>D26*10</f>
        <v>10</v>
      </c>
      <c r="I26" s="100"/>
      <c r="J26" s="100">
        <f>D26*100</f>
        <v>100</v>
      </c>
      <c r="L26" s="1015">
        <f>SUM(L19:L25)</f>
        <v>7.6318473630527406E-2</v>
      </c>
      <c r="M26" s="1015">
        <f>SUM(M19:M25)</f>
        <v>9.9130017399651997</v>
      </c>
    </row>
    <row r="27" spans="1:13" s="10" customFormat="1" ht="27.6" customHeight="1" x14ac:dyDescent="0.25">
      <c r="A27" s="1536" t="s">
        <v>35</v>
      </c>
      <c r="B27" s="1536"/>
      <c r="C27" s="90"/>
      <c r="D27" s="90"/>
      <c r="E27" s="13"/>
      <c r="F27" s="13">
        <f>F26</f>
        <v>165.22</v>
      </c>
      <c r="G27" s="288"/>
      <c r="H27" s="288"/>
      <c r="I27" s="21"/>
      <c r="J27" s="13"/>
    </row>
    <row r="28" spans="1:13" s="10" customFormat="1" ht="25.35" customHeight="1" x14ac:dyDescent="0.25">
      <c r="A28" s="1536" t="s">
        <v>36</v>
      </c>
      <c r="B28" s="1536"/>
      <c r="C28" s="90">
        <v>1000</v>
      </c>
      <c r="D28" s="90"/>
      <c r="E28" s="13"/>
      <c r="F28" s="13"/>
      <c r="G28" s="13"/>
      <c r="H28" s="13"/>
      <c r="I28" s="21"/>
      <c r="J28" s="17"/>
    </row>
    <row r="29" spans="1:13" s="10" customFormat="1" ht="25.35" customHeight="1" x14ac:dyDescent="0.25">
      <c r="A29" s="1537" t="s">
        <v>37</v>
      </c>
      <c r="B29" s="1538"/>
      <c r="C29" s="91">
        <v>60</v>
      </c>
      <c r="D29" s="92"/>
      <c r="E29" s="289"/>
      <c r="F29" s="289"/>
      <c r="G29" s="289"/>
      <c r="H29" s="289"/>
      <c r="I29" s="21"/>
      <c r="J29" s="17"/>
    </row>
    <row r="30" spans="1:13" s="10" customFormat="1" ht="15" customHeight="1" x14ac:dyDescent="0.25">
      <c r="A30" s="1539" t="s">
        <v>38</v>
      </c>
      <c r="B30" s="1540"/>
      <c r="C30" s="92">
        <f>C28/C29</f>
        <v>16.667000000000002</v>
      </c>
      <c r="D30" s="92"/>
      <c r="E30" s="289"/>
      <c r="F30" s="289"/>
      <c r="G30" s="289"/>
      <c r="H30" s="289"/>
      <c r="I30" s="21"/>
      <c r="J30" s="17"/>
    </row>
    <row r="31" spans="1:13" ht="16.350000000000001" customHeight="1" x14ac:dyDescent="0.25">
      <c r="A31" s="1541" t="s">
        <v>39</v>
      </c>
      <c r="B31" s="1542"/>
      <c r="C31" s="15" t="s">
        <v>40</v>
      </c>
      <c r="D31" s="102"/>
      <c r="E31" s="102" t="s">
        <v>40</v>
      </c>
      <c r="F31" s="16">
        <f>F27/C30</f>
        <v>9.91</v>
      </c>
      <c r="G31" s="16"/>
      <c r="H31" s="16"/>
      <c r="I31" s="102" t="s">
        <v>40</v>
      </c>
      <c r="J31" s="102" t="s">
        <v>40</v>
      </c>
    </row>
    <row r="32" spans="1:13" ht="23.1" customHeight="1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193"/>
      <c r="B33" s="1194" t="s">
        <v>49</v>
      </c>
      <c r="C33" s="1198"/>
      <c r="D33" s="1198"/>
      <c r="E33" s="1198"/>
      <c r="F33" s="1198"/>
      <c r="G33" s="1193"/>
      <c r="H33" s="1557">
        <f>'1-бутерброд с маслом'!$H$28</f>
        <v>0</v>
      </c>
      <c r="I33" s="1557"/>
      <c r="J33" s="1557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545" t="s">
        <v>327</v>
      </c>
      <c r="B35" s="1545"/>
      <c r="C35" s="1546" t="s">
        <v>328</v>
      </c>
      <c r="D35" s="1546"/>
      <c r="E35" s="1546"/>
      <c r="F35" s="1546"/>
      <c r="G35" s="106"/>
      <c r="H35" s="1531"/>
      <c r="I35" s="1531"/>
      <c r="J35" s="1531"/>
    </row>
    <row r="36" spans="1:10" x14ac:dyDescent="0.25">
      <c r="A36" s="1193"/>
      <c r="B36" s="1193"/>
      <c r="C36" s="1546"/>
      <c r="D36" s="1546"/>
      <c r="E36" s="1546"/>
      <c r="F36" s="1546"/>
      <c r="G36" s="1193"/>
      <c r="H36" s="1531" t="s">
        <v>329</v>
      </c>
      <c r="I36" s="1531"/>
      <c r="J36" s="1531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</sheetData>
  <mergeCells count="28">
    <mergeCell ref="H33:J33"/>
    <mergeCell ref="A13:G13"/>
    <mergeCell ref="A28:B28"/>
    <mergeCell ref="A29:B29"/>
    <mergeCell ref="A30:B30"/>
    <mergeCell ref="A31:B31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5:B35"/>
    <mergeCell ref="C35:F36"/>
    <mergeCell ref="H35:J35"/>
    <mergeCell ref="H36:J36"/>
    <mergeCell ref="H5:I5"/>
    <mergeCell ref="A6:G6"/>
    <mergeCell ref="A7:I7"/>
    <mergeCell ref="A27:B27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J32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1093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265)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340</v>
      </c>
    </row>
    <row r="8" spans="1:10" s="2" customFormat="1" ht="9.6" customHeight="1" x14ac:dyDescent="0.25">
      <c r="A8" s="283"/>
      <c r="B8" s="283"/>
      <c r="C8" s="283"/>
      <c r="D8" s="283"/>
      <c r="E8" s="283"/>
      <c r="F8" s="283"/>
      <c r="G8" s="283"/>
      <c r="H8" s="283"/>
      <c r="I8" s="283"/>
      <c r="J8" s="109"/>
    </row>
    <row r="9" spans="1:10" s="2" customFormat="1" ht="26.1" customHeight="1" x14ac:dyDescent="0.3">
      <c r="A9" s="1550" t="s">
        <v>505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'340-арбуз'!H14+1</f>
        <v>265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84" t="s">
        <v>92</v>
      </c>
      <c r="D17" s="284" t="s">
        <v>94</v>
      </c>
      <c r="E17" s="284" t="s">
        <v>93</v>
      </c>
      <c r="F17" s="284" t="s">
        <v>23</v>
      </c>
      <c r="G17" s="284" t="s">
        <v>92</v>
      </c>
      <c r="H17" s="284" t="s">
        <v>94</v>
      </c>
      <c r="I17" s="284" t="s">
        <v>92</v>
      </c>
      <c r="J17" s="284" t="s">
        <v>94</v>
      </c>
    </row>
    <row r="18" spans="1:10" ht="9.6" customHeight="1" x14ac:dyDescent="0.25">
      <c r="A18" s="284">
        <v>1</v>
      </c>
      <c r="B18" s="285">
        <v>2</v>
      </c>
      <c r="C18" s="284">
        <v>3</v>
      </c>
      <c r="D18" s="285">
        <v>4</v>
      </c>
      <c r="E18" s="284">
        <v>5</v>
      </c>
      <c r="F18" s="285">
        <v>6</v>
      </c>
      <c r="G18" s="284">
        <v>7</v>
      </c>
      <c r="H18" s="285">
        <v>8</v>
      </c>
      <c r="I18" s="284">
        <v>9</v>
      </c>
      <c r="J18" s="285">
        <v>10</v>
      </c>
    </row>
    <row r="19" spans="1:10" s="10" customFormat="1" ht="12" customHeight="1" x14ac:dyDescent="0.25">
      <c r="A19" s="180">
        <v>1</v>
      </c>
      <c r="B19" s="20" t="s">
        <v>505</v>
      </c>
      <c r="C19" s="111">
        <v>0.26</v>
      </c>
      <c r="D19" s="111">
        <v>0.2</v>
      </c>
      <c r="E19" s="13">
        <f>цены!F63</f>
        <v>25</v>
      </c>
      <c r="F19" s="13">
        <f>C19*E19</f>
        <v>6.5</v>
      </c>
      <c r="G19" s="97">
        <f>C19*10</f>
        <v>2.6</v>
      </c>
      <c r="H19" s="21">
        <f>D19*10</f>
        <v>2</v>
      </c>
      <c r="I19" s="21">
        <f>C19*100</f>
        <v>26</v>
      </c>
      <c r="J19" s="21">
        <f>D19*100</f>
        <v>20</v>
      </c>
    </row>
    <row r="20" spans="1:10" s="10" customFormat="1" ht="12" customHeight="1" x14ac:dyDescent="0.25">
      <c r="A20" s="98"/>
      <c r="B20" s="93" t="s">
        <v>100</v>
      </c>
      <c r="C20" s="112"/>
      <c r="D20" s="112">
        <v>0.2</v>
      </c>
      <c r="E20" s="95"/>
      <c r="F20" s="95">
        <f>SUM(F19:F19)</f>
        <v>6.5</v>
      </c>
      <c r="G20" s="99"/>
      <c r="H20" s="100">
        <f>D20*10</f>
        <v>2</v>
      </c>
      <c r="I20" s="100"/>
      <c r="J20" s="100">
        <f>D20*100</f>
        <v>20</v>
      </c>
    </row>
    <row r="21" spans="1:10" s="10" customFormat="1" ht="27.6" customHeight="1" x14ac:dyDescent="0.25">
      <c r="A21" s="1536" t="s">
        <v>35</v>
      </c>
      <c r="B21" s="1536"/>
      <c r="C21" s="90"/>
      <c r="D21" s="90"/>
      <c r="E21" s="13"/>
      <c r="F21" s="13">
        <f>F20</f>
        <v>6.5</v>
      </c>
      <c r="G21" s="286"/>
      <c r="H21" s="286"/>
      <c r="I21" s="21"/>
      <c r="J21" s="13"/>
    </row>
    <row r="22" spans="1:10" s="10" customFormat="1" ht="25.35" customHeight="1" x14ac:dyDescent="0.25">
      <c r="A22" s="1536" t="s">
        <v>36</v>
      </c>
      <c r="B22" s="1536"/>
      <c r="C22" s="90">
        <v>200</v>
      </c>
      <c r="D22" s="90"/>
      <c r="E22" s="13"/>
      <c r="F22" s="13"/>
      <c r="G22" s="13"/>
      <c r="H22" s="13"/>
      <c r="I22" s="21"/>
      <c r="J22" s="17"/>
    </row>
    <row r="23" spans="1:10" s="10" customFormat="1" ht="25.35" customHeight="1" x14ac:dyDescent="0.25">
      <c r="A23" s="1537" t="s">
        <v>37</v>
      </c>
      <c r="B23" s="1538"/>
      <c r="C23" s="91">
        <v>200</v>
      </c>
      <c r="D23" s="92"/>
      <c r="E23" s="285"/>
      <c r="F23" s="285"/>
      <c r="G23" s="285"/>
      <c r="H23" s="285"/>
      <c r="I23" s="21"/>
      <c r="J23" s="17"/>
    </row>
    <row r="24" spans="1:10" s="10" customFormat="1" ht="15" customHeight="1" x14ac:dyDescent="0.25">
      <c r="A24" s="1539" t="s">
        <v>38</v>
      </c>
      <c r="B24" s="1540"/>
      <c r="C24" s="92">
        <f>C22/C23</f>
        <v>1</v>
      </c>
      <c r="D24" s="92"/>
      <c r="E24" s="285"/>
      <c r="F24" s="285"/>
      <c r="G24" s="285"/>
      <c r="H24" s="285"/>
      <c r="I24" s="21"/>
      <c r="J24" s="17"/>
    </row>
    <row r="25" spans="1:10" ht="16.350000000000001" customHeight="1" x14ac:dyDescent="0.25">
      <c r="A25" s="1541" t="s">
        <v>39</v>
      </c>
      <c r="B25" s="1542"/>
      <c r="C25" s="15" t="s">
        <v>40</v>
      </c>
      <c r="D25" s="102"/>
      <c r="E25" s="102" t="s">
        <v>40</v>
      </c>
      <c r="F25" s="16">
        <f>F21/C24</f>
        <v>6.5</v>
      </c>
      <c r="G25" s="16"/>
      <c r="H25" s="16"/>
      <c r="I25" s="102" t="s">
        <v>40</v>
      </c>
      <c r="J25" s="102" t="s">
        <v>40</v>
      </c>
    </row>
    <row r="26" spans="1:10" ht="23.1" customHeight="1" x14ac:dyDescent="0.25">
      <c r="A26" s="1193"/>
      <c r="B26" s="1193"/>
      <c r="C26" s="1193"/>
      <c r="D26" s="1193"/>
      <c r="E26" s="1193"/>
      <c r="F26" s="1193"/>
      <c r="G26" s="1193"/>
      <c r="H26" s="1193"/>
      <c r="I26" s="1193"/>
      <c r="J26" s="1193"/>
    </row>
    <row r="27" spans="1:10" ht="13.95" customHeight="1" x14ac:dyDescent="0.25">
      <c r="A27" s="1193"/>
      <c r="B27" s="1194" t="s">
        <v>49</v>
      </c>
      <c r="C27" s="1198"/>
      <c r="D27" s="1198"/>
      <c r="E27" s="1198"/>
      <c r="F27" s="1198"/>
      <c r="G27" s="1193"/>
      <c r="H27" s="1557">
        <f>'1-бутерброд с маслом'!$H$28</f>
        <v>0</v>
      </c>
      <c r="I27" s="1557"/>
      <c r="J27" s="1557"/>
    </row>
    <row r="28" spans="1:10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545" t="s">
        <v>327</v>
      </c>
      <c r="B29" s="1545"/>
      <c r="C29" s="1546" t="s">
        <v>328</v>
      </c>
      <c r="D29" s="1546"/>
      <c r="E29" s="1546"/>
      <c r="F29" s="1546"/>
      <c r="G29" s="106"/>
      <c r="H29" s="1531"/>
      <c r="I29" s="1531"/>
      <c r="J29" s="1531"/>
    </row>
    <row r="30" spans="1:10" x14ac:dyDescent="0.25">
      <c r="A30" s="1193"/>
      <c r="B30" s="1193"/>
      <c r="C30" s="1546"/>
      <c r="D30" s="1546"/>
      <c r="E30" s="1546"/>
      <c r="F30" s="1546"/>
      <c r="G30" s="1193"/>
      <c r="H30" s="1531" t="s">
        <v>329</v>
      </c>
      <c r="I30" s="1531"/>
      <c r="J30" s="1531"/>
    </row>
    <row r="31" spans="1:10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29:B29"/>
    <mergeCell ref="C29:F30"/>
    <mergeCell ref="H29:J29"/>
    <mergeCell ref="H30:J30"/>
    <mergeCell ref="A22:B22"/>
    <mergeCell ref="A23:B23"/>
    <mergeCell ref="A24:B24"/>
    <mergeCell ref="A25:B25"/>
    <mergeCell ref="H27:J27"/>
    <mergeCell ref="A21:B21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J33"/>
  <sheetViews>
    <sheetView view="pageBreakPreview" topLeftCell="A10" zoomScaleNormal="100" zoomScaleSheetLayoutView="100" workbookViewId="0">
      <selection activeCell="N13" sqref="N13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266)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341</v>
      </c>
    </row>
    <row r="8" spans="1:10" s="2" customFormat="1" ht="9.6" customHeight="1" x14ac:dyDescent="0.25">
      <c r="A8" s="283"/>
      <c r="B8" s="283"/>
      <c r="C8" s="283"/>
      <c r="D8" s="283"/>
      <c r="E8" s="283"/>
      <c r="F8" s="283"/>
      <c r="G8" s="283"/>
      <c r="H8" s="283"/>
      <c r="I8" s="283"/>
      <c r="J8" s="109"/>
    </row>
    <row r="9" spans="1:10" s="2" customFormat="1" ht="26.1" customHeight="1" x14ac:dyDescent="0.3">
      <c r="A9" s="1550" t="s">
        <v>667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'340-дыня'!H14+1</f>
        <v>266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84" t="s">
        <v>92</v>
      </c>
      <c r="D17" s="284" t="s">
        <v>94</v>
      </c>
      <c r="E17" s="284" t="s">
        <v>93</v>
      </c>
      <c r="F17" s="284" t="s">
        <v>23</v>
      </c>
      <c r="G17" s="284" t="s">
        <v>92</v>
      </c>
      <c r="H17" s="284" t="s">
        <v>94</v>
      </c>
      <c r="I17" s="284" t="s">
        <v>92</v>
      </c>
      <c r="J17" s="284" t="s">
        <v>94</v>
      </c>
    </row>
    <row r="18" spans="1:10" ht="9.6" customHeight="1" x14ac:dyDescent="0.25">
      <c r="A18" s="284">
        <v>1</v>
      </c>
      <c r="B18" s="285">
        <v>2</v>
      </c>
      <c r="C18" s="284">
        <v>3</v>
      </c>
      <c r="D18" s="285">
        <v>4</v>
      </c>
      <c r="E18" s="284">
        <v>5</v>
      </c>
      <c r="F18" s="285">
        <v>6</v>
      </c>
      <c r="G18" s="284">
        <v>7</v>
      </c>
      <c r="H18" s="285">
        <v>8</v>
      </c>
      <c r="I18" s="284">
        <v>9</v>
      </c>
      <c r="J18" s="285">
        <v>10</v>
      </c>
    </row>
    <row r="19" spans="1:10" s="10" customFormat="1" ht="12" customHeight="1" x14ac:dyDescent="0.25">
      <c r="A19" s="180">
        <v>1</v>
      </c>
      <c r="B19" s="20" t="s">
        <v>506</v>
      </c>
      <c r="C19" s="111">
        <v>0.14899999999999999</v>
      </c>
      <c r="D19" s="111">
        <v>0.1</v>
      </c>
      <c r="E19" s="13">
        <f>цены!F64</f>
        <v>124</v>
      </c>
      <c r="F19" s="13">
        <f>C19*E19</f>
        <v>18.48</v>
      </c>
      <c r="G19" s="97">
        <f>C19*10</f>
        <v>1.49</v>
      </c>
      <c r="H19" s="21">
        <f>D19*10</f>
        <v>1</v>
      </c>
      <c r="I19" s="21">
        <f>C19*100</f>
        <v>14.9</v>
      </c>
      <c r="J19" s="21">
        <f>D19*100</f>
        <v>10</v>
      </c>
    </row>
    <row r="20" spans="1:10" s="10" customFormat="1" ht="12" customHeight="1" x14ac:dyDescent="0.25">
      <c r="A20" s="180">
        <v>2</v>
      </c>
      <c r="B20" s="20" t="s">
        <v>30</v>
      </c>
      <c r="C20" s="111">
        <v>1.4999999999999999E-2</v>
      </c>
      <c r="D20" s="111">
        <v>1.4999999999999999E-2</v>
      </c>
      <c r="E20" s="13">
        <f>цены!F107</f>
        <v>76</v>
      </c>
      <c r="F20" s="13">
        <f>C20*E20</f>
        <v>1.1399999999999999</v>
      </c>
      <c r="G20" s="97">
        <f>C20*10</f>
        <v>0.15</v>
      </c>
      <c r="H20" s="21">
        <f>D20*10</f>
        <v>0.15</v>
      </c>
      <c r="I20" s="21">
        <f>C20*100</f>
        <v>1.5</v>
      </c>
      <c r="J20" s="21">
        <f>D20*100</f>
        <v>1.5</v>
      </c>
    </row>
    <row r="21" spans="1:10" s="10" customFormat="1" ht="12" customHeight="1" x14ac:dyDescent="0.25">
      <c r="A21" s="98"/>
      <c r="B21" s="93" t="s">
        <v>100</v>
      </c>
      <c r="C21" s="112"/>
      <c r="D21" s="112">
        <v>0.115</v>
      </c>
      <c r="E21" s="95"/>
      <c r="F21" s="95">
        <f>SUM(F19:F20)</f>
        <v>19.62</v>
      </c>
      <c r="G21" s="99"/>
      <c r="H21" s="100">
        <f>D21*10</f>
        <v>1.1499999999999999</v>
      </c>
      <c r="I21" s="100"/>
      <c r="J21" s="100">
        <f>D21*100</f>
        <v>11.5</v>
      </c>
    </row>
    <row r="22" spans="1:10" s="10" customFormat="1" ht="27.6" customHeight="1" x14ac:dyDescent="0.25">
      <c r="A22" s="1536" t="s">
        <v>35</v>
      </c>
      <c r="B22" s="1536"/>
      <c r="C22" s="90"/>
      <c r="D22" s="90"/>
      <c r="E22" s="13"/>
      <c r="F22" s="13">
        <f>F21</f>
        <v>19.62</v>
      </c>
      <c r="G22" s="286"/>
      <c r="H22" s="286"/>
      <c r="I22" s="21"/>
      <c r="J22" s="13"/>
    </row>
    <row r="23" spans="1:10" s="10" customFormat="1" ht="25.35" customHeight="1" x14ac:dyDescent="0.25">
      <c r="A23" s="1536" t="s">
        <v>36</v>
      </c>
      <c r="B23" s="1536"/>
      <c r="C23" s="90">
        <v>115</v>
      </c>
      <c r="D23" s="90"/>
      <c r="E23" s="13"/>
      <c r="F23" s="13"/>
      <c r="G23" s="13"/>
      <c r="H23" s="13"/>
      <c r="I23" s="21"/>
      <c r="J23" s="17"/>
    </row>
    <row r="24" spans="1:10" s="10" customFormat="1" ht="25.35" customHeight="1" x14ac:dyDescent="0.25">
      <c r="A24" s="1537" t="s">
        <v>37</v>
      </c>
      <c r="B24" s="1538"/>
      <c r="C24" s="91">
        <v>115</v>
      </c>
      <c r="D24" s="92"/>
      <c r="E24" s="285"/>
      <c r="F24" s="285"/>
      <c r="G24" s="285"/>
      <c r="H24" s="285"/>
      <c r="I24" s="21"/>
      <c r="J24" s="17"/>
    </row>
    <row r="25" spans="1:10" s="10" customFormat="1" ht="15" customHeight="1" x14ac:dyDescent="0.25">
      <c r="A25" s="1539" t="s">
        <v>38</v>
      </c>
      <c r="B25" s="1540"/>
      <c r="C25" s="92">
        <f>C23/C24</f>
        <v>1</v>
      </c>
      <c r="D25" s="92"/>
      <c r="E25" s="285"/>
      <c r="F25" s="285"/>
      <c r="G25" s="285"/>
      <c r="H25" s="285"/>
      <c r="I25" s="21"/>
      <c r="J25" s="17"/>
    </row>
    <row r="26" spans="1:10" ht="16.350000000000001" customHeight="1" x14ac:dyDescent="0.25">
      <c r="A26" s="1541" t="s">
        <v>39</v>
      </c>
      <c r="B26" s="1542"/>
      <c r="C26" s="15" t="s">
        <v>40</v>
      </c>
      <c r="D26" s="102"/>
      <c r="E26" s="102" t="s">
        <v>40</v>
      </c>
      <c r="F26" s="16">
        <f>F22/C25</f>
        <v>19.62</v>
      </c>
      <c r="G26" s="16"/>
      <c r="H26" s="16"/>
      <c r="I26" s="102" t="s">
        <v>40</v>
      </c>
      <c r="J26" s="102" t="s">
        <v>40</v>
      </c>
    </row>
    <row r="27" spans="1:10" ht="23.1" customHeight="1" x14ac:dyDescent="0.25">
      <c r="A27" s="1193"/>
      <c r="B27" s="1193"/>
      <c r="C27" s="1193"/>
      <c r="D27" s="1193"/>
      <c r="E27" s="1193"/>
      <c r="F27" s="1193"/>
      <c r="G27" s="1193"/>
      <c r="H27" s="1193"/>
      <c r="I27" s="1193"/>
      <c r="J27" s="1193"/>
    </row>
    <row r="28" spans="1:10" ht="13.95" customHeight="1" x14ac:dyDescent="0.25">
      <c r="A28" s="1193"/>
      <c r="B28" s="1194" t="s">
        <v>49</v>
      </c>
      <c r="C28" s="1198"/>
      <c r="D28" s="1198"/>
      <c r="E28" s="1198"/>
      <c r="F28" s="1198"/>
      <c r="G28" s="1193"/>
      <c r="H28" s="1557">
        <f>'1-бутерброд с маслом'!$H$28</f>
        <v>0</v>
      </c>
      <c r="I28" s="1557"/>
      <c r="J28" s="1557"/>
    </row>
    <row r="29" spans="1:10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0" ht="13.95" customHeight="1" x14ac:dyDescent="0.25">
      <c r="A30" s="1545" t="s">
        <v>327</v>
      </c>
      <c r="B30" s="1545"/>
      <c r="C30" s="1546" t="s">
        <v>328</v>
      </c>
      <c r="D30" s="1546"/>
      <c r="E30" s="1546"/>
      <c r="F30" s="1546"/>
      <c r="G30" s="106"/>
      <c r="H30" s="1531"/>
      <c r="I30" s="1531"/>
      <c r="J30" s="1531"/>
    </row>
    <row r="31" spans="1:10" x14ac:dyDescent="0.25">
      <c r="A31" s="1193"/>
      <c r="B31" s="1193"/>
      <c r="C31" s="1546"/>
      <c r="D31" s="1546"/>
      <c r="E31" s="1546"/>
      <c r="F31" s="1546"/>
      <c r="G31" s="1193"/>
      <c r="H31" s="1531" t="s">
        <v>329</v>
      </c>
      <c r="I31" s="1531"/>
      <c r="J31" s="1531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0:B30"/>
    <mergeCell ref="C30:F31"/>
    <mergeCell ref="H30:J30"/>
    <mergeCell ref="H31:J31"/>
    <mergeCell ref="A23:B23"/>
    <mergeCell ref="A24:B24"/>
    <mergeCell ref="A25:B25"/>
    <mergeCell ref="A26:B26"/>
    <mergeCell ref="H28:J28"/>
    <mergeCell ref="A22:B22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J33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2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267)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341</v>
      </c>
    </row>
    <row r="8" spans="1:10" s="2" customFormat="1" ht="9.6" customHeight="1" x14ac:dyDescent="0.25">
      <c r="A8" s="283"/>
      <c r="B8" s="283"/>
      <c r="C8" s="283"/>
      <c r="D8" s="283"/>
      <c r="E8" s="283"/>
      <c r="F8" s="283"/>
      <c r="G8" s="283"/>
      <c r="H8" s="283"/>
      <c r="I8" s="283"/>
      <c r="J8" s="109"/>
    </row>
    <row r="9" spans="1:10" s="2" customFormat="1" ht="26.1" customHeight="1" x14ac:dyDescent="0.3">
      <c r="A9" s="1550" t="s">
        <v>668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'341-апельсин'!H14+1</f>
        <v>267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84" t="s">
        <v>92</v>
      </c>
      <c r="D17" s="284" t="s">
        <v>94</v>
      </c>
      <c r="E17" s="284" t="s">
        <v>93</v>
      </c>
      <c r="F17" s="284" t="s">
        <v>23</v>
      </c>
      <c r="G17" s="284" t="s">
        <v>92</v>
      </c>
      <c r="H17" s="284" t="s">
        <v>94</v>
      </c>
      <c r="I17" s="284" t="s">
        <v>92</v>
      </c>
      <c r="J17" s="284" t="s">
        <v>94</v>
      </c>
    </row>
    <row r="18" spans="1:10" ht="9.6" customHeight="1" x14ac:dyDescent="0.25">
      <c r="A18" s="284">
        <v>1</v>
      </c>
      <c r="B18" s="285">
        <v>2</v>
      </c>
      <c r="C18" s="284">
        <v>3</v>
      </c>
      <c r="D18" s="285">
        <v>4</v>
      </c>
      <c r="E18" s="284">
        <v>5</v>
      </c>
      <c r="F18" s="285">
        <v>6</v>
      </c>
      <c r="G18" s="284">
        <v>7</v>
      </c>
      <c r="H18" s="285">
        <v>8</v>
      </c>
      <c r="I18" s="284">
        <v>9</v>
      </c>
      <c r="J18" s="285">
        <v>10</v>
      </c>
    </row>
    <row r="19" spans="1:10" s="10" customFormat="1" ht="12" customHeight="1" x14ac:dyDescent="0.25">
      <c r="A19" s="180">
        <v>1</v>
      </c>
      <c r="B19" s="20" t="s">
        <v>507</v>
      </c>
      <c r="C19" s="111">
        <v>0.13500000000000001</v>
      </c>
      <c r="D19" s="111">
        <v>0.1</v>
      </c>
      <c r="E19" s="13">
        <f>цены!F65</f>
        <v>120</v>
      </c>
      <c r="F19" s="13">
        <f>C19*E19</f>
        <v>16.2</v>
      </c>
      <c r="G19" s="97">
        <f>C19*10</f>
        <v>1.35</v>
      </c>
      <c r="H19" s="21">
        <f>D19*10</f>
        <v>1</v>
      </c>
      <c r="I19" s="21">
        <f>C19*100</f>
        <v>13.5</v>
      </c>
      <c r="J19" s="21">
        <f>D19*100</f>
        <v>10</v>
      </c>
    </row>
    <row r="20" spans="1:10" s="10" customFormat="1" ht="12" customHeight="1" x14ac:dyDescent="0.25">
      <c r="A20" s="180">
        <v>2</v>
      </c>
      <c r="B20" s="20" t="s">
        <v>30</v>
      </c>
      <c r="C20" s="111">
        <v>1.4999999999999999E-2</v>
      </c>
      <c r="D20" s="111">
        <v>1.4999999999999999E-2</v>
      </c>
      <c r="E20" s="13">
        <f>цены!F107</f>
        <v>76</v>
      </c>
      <c r="F20" s="13">
        <f>C20*E20</f>
        <v>1.1399999999999999</v>
      </c>
      <c r="G20" s="97">
        <f>C20*10</f>
        <v>0.15</v>
      </c>
      <c r="H20" s="21">
        <f>D20*10</f>
        <v>0.15</v>
      </c>
      <c r="I20" s="21">
        <f>C20*100</f>
        <v>1.5</v>
      </c>
      <c r="J20" s="21">
        <f>D20*100</f>
        <v>1.5</v>
      </c>
    </row>
    <row r="21" spans="1:10" s="10" customFormat="1" ht="12" customHeight="1" x14ac:dyDescent="0.25">
      <c r="A21" s="98"/>
      <c r="B21" s="93" t="s">
        <v>100</v>
      </c>
      <c r="C21" s="112"/>
      <c r="D21" s="112">
        <v>0.115</v>
      </c>
      <c r="E21" s="95"/>
      <c r="F21" s="95">
        <f>SUM(F19:F20)</f>
        <v>17.34</v>
      </c>
      <c r="G21" s="99"/>
      <c r="H21" s="100">
        <f>D21*10</f>
        <v>1.1499999999999999</v>
      </c>
      <c r="I21" s="100"/>
      <c r="J21" s="100">
        <f>D21*100</f>
        <v>11.5</v>
      </c>
    </row>
    <row r="22" spans="1:10" s="10" customFormat="1" ht="27.6" customHeight="1" x14ac:dyDescent="0.25">
      <c r="A22" s="1536" t="s">
        <v>35</v>
      </c>
      <c r="B22" s="1536"/>
      <c r="C22" s="90"/>
      <c r="D22" s="90"/>
      <c r="E22" s="13"/>
      <c r="F22" s="13">
        <f>F21</f>
        <v>17.34</v>
      </c>
      <c r="G22" s="286"/>
      <c r="H22" s="286"/>
      <c r="I22" s="21"/>
      <c r="J22" s="13"/>
    </row>
    <row r="23" spans="1:10" s="10" customFormat="1" ht="25.35" customHeight="1" x14ac:dyDescent="0.25">
      <c r="A23" s="1536" t="s">
        <v>36</v>
      </c>
      <c r="B23" s="1536"/>
      <c r="C23" s="90">
        <v>115</v>
      </c>
      <c r="D23" s="90"/>
      <c r="E23" s="13"/>
      <c r="F23" s="13"/>
      <c r="G23" s="13"/>
      <c r="H23" s="13"/>
      <c r="I23" s="21"/>
      <c r="J23" s="17"/>
    </row>
    <row r="24" spans="1:10" s="10" customFormat="1" ht="25.35" customHeight="1" x14ac:dyDescent="0.25">
      <c r="A24" s="1537" t="s">
        <v>37</v>
      </c>
      <c r="B24" s="1538"/>
      <c r="C24" s="91">
        <v>115</v>
      </c>
      <c r="D24" s="92"/>
      <c r="E24" s="285"/>
      <c r="F24" s="285"/>
      <c r="G24" s="285"/>
      <c r="H24" s="285"/>
      <c r="I24" s="21"/>
      <c r="J24" s="17"/>
    </row>
    <row r="25" spans="1:10" s="10" customFormat="1" ht="15" customHeight="1" x14ac:dyDescent="0.25">
      <c r="A25" s="1539" t="s">
        <v>38</v>
      </c>
      <c r="B25" s="1540"/>
      <c r="C25" s="92">
        <f>C23/C24</f>
        <v>1</v>
      </c>
      <c r="D25" s="92"/>
      <c r="E25" s="285"/>
      <c r="F25" s="285"/>
      <c r="G25" s="285"/>
      <c r="H25" s="285"/>
      <c r="I25" s="21"/>
      <c r="J25" s="17"/>
    </row>
    <row r="26" spans="1:10" ht="16.350000000000001" customHeight="1" x14ac:dyDescent="0.25">
      <c r="A26" s="1541" t="s">
        <v>39</v>
      </c>
      <c r="B26" s="1542"/>
      <c r="C26" s="15" t="s">
        <v>40</v>
      </c>
      <c r="D26" s="102"/>
      <c r="E26" s="102" t="s">
        <v>40</v>
      </c>
      <c r="F26" s="16">
        <f>F22/C25</f>
        <v>17.34</v>
      </c>
      <c r="G26" s="16"/>
      <c r="H26" s="16"/>
      <c r="I26" s="102" t="s">
        <v>40</v>
      </c>
      <c r="J26" s="102" t="s">
        <v>40</v>
      </c>
    </row>
    <row r="27" spans="1:10" ht="23.1" customHeight="1" x14ac:dyDescent="0.25">
      <c r="A27" s="1193"/>
      <c r="B27" s="1193"/>
      <c r="C27" s="1193"/>
      <c r="D27" s="1193"/>
      <c r="E27" s="1193"/>
      <c r="F27" s="1193"/>
      <c r="G27" s="1193"/>
      <c r="H27" s="1193"/>
      <c r="I27" s="1193"/>
      <c r="J27" s="1193"/>
    </row>
    <row r="28" spans="1:10" ht="13.95" customHeight="1" x14ac:dyDescent="0.25">
      <c r="A28" s="1193"/>
      <c r="B28" s="1194" t="s">
        <v>49</v>
      </c>
      <c r="C28" s="1198"/>
      <c r="D28" s="1198"/>
      <c r="E28" s="1198"/>
      <c r="F28" s="1198"/>
      <c r="G28" s="1193"/>
      <c r="H28" s="1557">
        <f>'1-бутерброд с маслом'!$H$28</f>
        <v>0</v>
      </c>
      <c r="I28" s="1557"/>
      <c r="J28" s="1557"/>
    </row>
    <row r="29" spans="1:10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0" ht="13.95" customHeight="1" x14ac:dyDescent="0.25">
      <c r="A30" s="1545" t="s">
        <v>327</v>
      </c>
      <c r="B30" s="1545"/>
      <c r="C30" s="1546" t="s">
        <v>328</v>
      </c>
      <c r="D30" s="1546"/>
      <c r="E30" s="1546"/>
      <c r="F30" s="1546"/>
      <c r="G30" s="106"/>
      <c r="H30" s="1531"/>
      <c r="I30" s="1531"/>
      <c r="J30" s="1531"/>
    </row>
    <row r="31" spans="1:10" x14ac:dyDescent="0.25">
      <c r="A31" s="1193"/>
      <c r="B31" s="1193"/>
      <c r="C31" s="1546"/>
      <c r="D31" s="1546"/>
      <c r="E31" s="1546"/>
      <c r="F31" s="1546"/>
      <c r="G31" s="1193"/>
      <c r="H31" s="1531" t="s">
        <v>329</v>
      </c>
      <c r="I31" s="1531"/>
      <c r="J31" s="1531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0:B30"/>
    <mergeCell ref="C30:F31"/>
    <mergeCell ref="H30:J30"/>
    <mergeCell ref="H31:J31"/>
    <mergeCell ref="A23:B23"/>
    <mergeCell ref="A24:B24"/>
    <mergeCell ref="A25:B25"/>
    <mergeCell ref="A26:B26"/>
    <mergeCell ref="H28:J28"/>
    <mergeCell ref="A22:B22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M35"/>
  <sheetViews>
    <sheetView view="pageBreakPreview" topLeftCell="A11" zoomScaleNormal="100" zoomScaleSheetLayoutView="100" workbookViewId="0">
      <selection activeCell="L19" sqref="L19:M23"/>
    </sheetView>
  </sheetViews>
  <sheetFormatPr defaultColWidth="8.88671875" defaultRowHeight="13.8" x14ac:dyDescent="0.25"/>
  <cols>
    <col min="1" max="1" width="4.109375" style="407" customWidth="1"/>
    <col min="2" max="2" width="20.5546875" style="407" customWidth="1"/>
    <col min="3" max="7" width="7.5546875" style="407" customWidth="1"/>
    <col min="8" max="8" width="8.88671875" style="407" customWidth="1"/>
    <col min="9" max="9" width="7.5546875" style="407" customWidth="1"/>
    <col min="10" max="10" width="9" style="407" customWidth="1"/>
    <col min="11" max="11" width="3.6640625" style="407" customWidth="1"/>
    <col min="12" max="16384" width="8.88671875" style="40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268)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342</v>
      </c>
    </row>
    <row r="8" spans="1:10" s="2" customFormat="1" ht="9.6" customHeight="1" x14ac:dyDescent="0.25">
      <c r="A8" s="433"/>
      <c r="B8" s="433"/>
      <c r="C8" s="433"/>
      <c r="D8" s="433"/>
      <c r="E8" s="433"/>
      <c r="F8" s="433"/>
      <c r="G8" s="433"/>
      <c r="H8" s="433"/>
      <c r="I8" s="433"/>
      <c r="J8" s="109"/>
    </row>
    <row r="9" spans="1:10" s="2" customFormat="1" ht="26.1" customHeight="1" x14ac:dyDescent="0.3">
      <c r="A9" s="1550" t="s">
        <v>685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'341-мандарины'!H14+1</f>
        <v>268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44.25" customHeight="1" x14ac:dyDescent="0.25">
      <c r="A17" s="1543"/>
      <c r="B17" s="1543"/>
      <c r="C17" s="434" t="s">
        <v>92</v>
      </c>
      <c r="D17" s="434" t="s">
        <v>94</v>
      </c>
      <c r="E17" s="434" t="s">
        <v>93</v>
      </c>
      <c r="F17" s="434" t="s">
        <v>23</v>
      </c>
      <c r="G17" s="434" t="s">
        <v>92</v>
      </c>
      <c r="H17" s="434" t="s">
        <v>94</v>
      </c>
      <c r="I17" s="434" t="s">
        <v>92</v>
      </c>
      <c r="J17" s="434" t="s">
        <v>94</v>
      </c>
    </row>
    <row r="18" spans="1:13" ht="13.5" customHeight="1" x14ac:dyDescent="0.25">
      <c r="A18" s="434">
        <v>1</v>
      </c>
      <c r="B18" s="435">
        <v>2</v>
      </c>
      <c r="C18" s="434">
        <v>3</v>
      </c>
      <c r="D18" s="435">
        <v>4</v>
      </c>
      <c r="E18" s="434">
        <v>5</v>
      </c>
      <c r="F18" s="435">
        <v>6</v>
      </c>
      <c r="G18" s="434">
        <v>7</v>
      </c>
      <c r="H18" s="435">
        <v>8</v>
      </c>
      <c r="I18" s="434">
        <v>9</v>
      </c>
      <c r="J18" s="435">
        <v>10</v>
      </c>
    </row>
    <row r="19" spans="1:13" s="10" customFormat="1" ht="14.1" customHeight="1" x14ac:dyDescent="0.25">
      <c r="A19" s="180"/>
      <c r="B19" s="20" t="s">
        <v>132</v>
      </c>
      <c r="C19" s="21">
        <v>0.22700000000000001</v>
      </c>
      <c r="D19" s="125">
        <v>0.2</v>
      </c>
      <c r="E19" s="408">
        <f>цены!F71</f>
        <v>91</v>
      </c>
      <c r="F19" s="408">
        <f>C19*E19</f>
        <v>20.66</v>
      </c>
      <c r="G19" s="97">
        <f t="shared" ref="G19:H22" si="0">C19*10</f>
        <v>2.27</v>
      </c>
      <c r="H19" s="21">
        <f t="shared" si="0"/>
        <v>2</v>
      </c>
      <c r="I19" s="21">
        <f t="shared" ref="I19:J22" si="1">C19*100</f>
        <v>22.7</v>
      </c>
      <c r="J19" s="21">
        <f t="shared" si="1"/>
        <v>20</v>
      </c>
      <c r="L19" s="1219">
        <f>C19/C$27</f>
        <v>4.5400000000000003E-2</v>
      </c>
      <c r="M19" s="1219">
        <f>F19/C$27</f>
        <v>4.1319999999999997</v>
      </c>
    </row>
    <row r="20" spans="1:13" s="10" customFormat="1" ht="12" customHeight="1" x14ac:dyDescent="0.25">
      <c r="A20" s="180"/>
      <c r="B20" s="20" t="s">
        <v>134</v>
      </c>
      <c r="C20" s="21">
        <v>0.12</v>
      </c>
      <c r="D20" s="111">
        <v>0.12</v>
      </c>
      <c r="E20" s="408">
        <f>цены!F107</f>
        <v>76</v>
      </c>
      <c r="F20" s="408">
        <f>C20*E20</f>
        <v>9.1199999999999992</v>
      </c>
      <c r="G20" s="97">
        <f t="shared" si="0"/>
        <v>1.2</v>
      </c>
      <c r="H20" s="21">
        <f t="shared" si="0"/>
        <v>1.2</v>
      </c>
      <c r="I20" s="21">
        <f t="shared" si="1"/>
        <v>12</v>
      </c>
      <c r="J20" s="21">
        <f t="shared" si="1"/>
        <v>12</v>
      </c>
      <c r="L20" s="1219">
        <f t="shared" ref="L20:L22" si="2">C20/C$27</f>
        <v>2.4E-2</v>
      </c>
      <c r="M20" s="1219">
        <f t="shared" ref="M20:M22" si="3">F20/C$27</f>
        <v>1.8240000000000001</v>
      </c>
    </row>
    <row r="21" spans="1:13" s="10" customFormat="1" ht="12" customHeight="1" x14ac:dyDescent="0.25">
      <c r="A21" s="180"/>
      <c r="B21" s="20" t="s">
        <v>135</v>
      </c>
      <c r="C21" s="21">
        <v>1E-3</v>
      </c>
      <c r="D21" s="125">
        <v>1E-3</v>
      </c>
      <c r="E21" s="408">
        <f>цены!F98</f>
        <v>290</v>
      </c>
      <c r="F21" s="408">
        <f>C21*E21</f>
        <v>0.28999999999999998</v>
      </c>
      <c r="G21" s="97">
        <f t="shared" si="0"/>
        <v>0.01</v>
      </c>
      <c r="H21" s="21">
        <f t="shared" si="0"/>
        <v>0.01</v>
      </c>
      <c r="I21" s="21">
        <f t="shared" si="1"/>
        <v>0.1</v>
      </c>
      <c r="J21" s="21">
        <f t="shared" si="1"/>
        <v>0.1</v>
      </c>
      <c r="L21" s="1219">
        <f t="shared" si="2"/>
        <v>2.0000000000000001E-4</v>
      </c>
      <c r="M21" s="1219">
        <f t="shared" si="3"/>
        <v>5.8000000000000003E-2</v>
      </c>
    </row>
    <row r="22" spans="1:13" s="10" customFormat="1" ht="12" customHeight="1" x14ac:dyDescent="0.25">
      <c r="A22" s="180"/>
      <c r="B22" s="20" t="s">
        <v>28</v>
      </c>
      <c r="C22" s="21">
        <v>0.86</v>
      </c>
      <c r="D22" s="111">
        <v>0.86</v>
      </c>
      <c r="E22" s="408"/>
      <c r="F22" s="408">
        <f>C22*E22</f>
        <v>0</v>
      </c>
      <c r="G22" s="97">
        <f t="shared" si="0"/>
        <v>8.6</v>
      </c>
      <c r="H22" s="21">
        <f t="shared" si="0"/>
        <v>8.6</v>
      </c>
      <c r="I22" s="21">
        <f t="shared" si="1"/>
        <v>86</v>
      </c>
      <c r="J22" s="21">
        <f t="shared" si="1"/>
        <v>86</v>
      </c>
      <c r="L22" s="1219">
        <f t="shared" si="2"/>
        <v>0.17199999999999999</v>
      </c>
      <c r="M22" s="1219">
        <f t="shared" si="3"/>
        <v>0</v>
      </c>
    </row>
    <row r="23" spans="1:13" s="10" customFormat="1" ht="12" customHeight="1" x14ac:dyDescent="0.25">
      <c r="A23" s="98"/>
      <c r="B23" s="93" t="s">
        <v>100</v>
      </c>
      <c r="C23" s="112"/>
      <c r="D23" s="112">
        <v>1</v>
      </c>
      <c r="E23" s="95"/>
      <c r="F23" s="95">
        <f>SUM(F19:F22)</f>
        <v>30.07</v>
      </c>
      <c r="G23" s="99"/>
      <c r="H23" s="100">
        <f>D23*10</f>
        <v>10</v>
      </c>
      <c r="I23" s="100"/>
      <c r="J23" s="100">
        <f>D23*100</f>
        <v>100</v>
      </c>
      <c r="L23" s="1219">
        <f>SUM(L19:L22)</f>
        <v>0.24160000000000001</v>
      </c>
      <c r="M23" s="1219">
        <f>SUM(M19:M22)</f>
        <v>6.0140000000000002</v>
      </c>
    </row>
    <row r="24" spans="1:13" s="10" customFormat="1" ht="27.6" customHeight="1" x14ac:dyDescent="0.25">
      <c r="A24" s="1536" t="s">
        <v>35</v>
      </c>
      <c r="B24" s="1536"/>
      <c r="C24" s="90"/>
      <c r="D24" s="90"/>
      <c r="E24" s="408"/>
      <c r="F24" s="408">
        <f>F23</f>
        <v>30.07</v>
      </c>
      <c r="G24" s="436"/>
      <c r="H24" s="436"/>
      <c r="I24" s="21"/>
      <c r="J24" s="408"/>
    </row>
    <row r="25" spans="1:13" s="10" customFormat="1" ht="25.35" customHeight="1" x14ac:dyDescent="0.25">
      <c r="A25" s="1536" t="s">
        <v>36</v>
      </c>
      <c r="B25" s="1536"/>
      <c r="C25" s="90">
        <v>1000</v>
      </c>
      <c r="D25" s="90"/>
      <c r="E25" s="408"/>
      <c r="F25" s="408"/>
      <c r="G25" s="408"/>
      <c r="H25" s="408"/>
      <c r="I25" s="21"/>
      <c r="J25" s="17"/>
    </row>
    <row r="26" spans="1:13" s="10" customFormat="1" ht="25.35" customHeight="1" x14ac:dyDescent="0.25">
      <c r="A26" s="1537" t="s">
        <v>37</v>
      </c>
      <c r="B26" s="1538"/>
      <c r="C26" s="91">
        <v>200</v>
      </c>
      <c r="D26" s="92"/>
      <c r="E26" s="435"/>
      <c r="F26" s="435"/>
      <c r="G26" s="435"/>
      <c r="H26" s="435"/>
      <c r="I26" s="21"/>
      <c r="J26" s="17"/>
    </row>
    <row r="27" spans="1:13" s="10" customFormat="1" ht="15" customHeight="1" x14ac:dyDescent="0.25">
      <c r="A27" s="1539" t="s">
        <v>38</v>
      </c>
      <c r="B27" s="1540"/>
      <c r="C27" s="92">
        <f>C25/C26</f>
        <v>5</v>
      </c>
      <c r="D27" s="92"/>
      <c r="E27" s="435"/>
      <c r="F27" s="435"/>
      <c r="G27" s="435"/>
      <c r="H27" s="435"/>
      <c r="I27" s="21"/>
      <c r="J27" s="17"/>
    </row>
    <row r="28" spans="1:13" ht="16.350000000000001" customHeight="1" x14ac:dyDescent="0.25">
      <c r="A28" s="1541" t="s">
        <v>39</v>
      </c>
      <c r="B28" s="1542"/>
      <c r="C28" s="15" t="s">
        <v>40</v>
      </c>
      <c r="D28" s="102"/>
      <c r="E28" s="102" t="s">
        <v>40</v>
      </c>
      <c r="F28" s="16">
        <f>F24/C27</f>
        <v>6.01</v>
      </c>
      <c r="G28" s="16"/>
      <c r="H28" s="16"/>
      <c r="I28" s="102" t="s">
        <v>40</v>
      </c>
      <c r="J28" s="102" t="s">
        <v>40</v>
      </c>
    </row>
    <row r="29" spans="1:13" ht="23.1" customHeight="1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3" ht="13.95" customHeight="1" x14ac:dyDescent="0.25">
      <c r="A30" s="1193"/>
      <c r="B30" s="1194" t="s">
        <v>49</v>
      </c>
      <c r="C30" s="1198"/>
      <c r="D30" s="1198"/>
      <c r="E30" s="1198"/>
      <c r="F30" s="1198"/>
      <c r="G30" s="1193"/>
      <c r="H30" s="1557">
        <f>'1-бутерброд с маслом'!$H$28</f>
        <v>0</v>
      </c>
      <c r="I30" s="1557"/>
      <c r="J30" s="1557"/>
    </row>
    <row r="31" spans="1:13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3" ht="13.95" customHeight="1" x14ac:dyDescent="0.25">
      <c r="A32" s="1545" t="s">
        <v>327</v>
      </c>
      <c r="B32" s="1545"/>
      <c r="C32" s="1546" t="s">
        <v>328</v>
      </c>
      <c r="D32" s="1546"/>
      <c r="E32" s="1546"/>
      <c r="F32" s="1546"/>
      <c r="G32" s="106"/>
      <c r="H32" s="1531"/>
      <c r="I32" s="1531"/>
      <c r="J32" s="1531"/>
    </row>
    <row r="33" spans="1:10" x14ac:dyDescent="0.25">
      <c r="A33" s="1193"/>
      <c r="B33" s="1193"/>
      <c r="C33" s="1546"/>
      <c r="D33" s="1546"/>
      <c r="E33" s="1546"/>
      <c r="F33" s="1546"/>
      <c r="G33" s="1193"/>
      <c r="H33" s="1531" t="s">
        <v>329</v>
      </c>
      <c r="I33" s="1531"/>
      <c r="J33" s="1531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2:B32"/>
    <mergeCell ref="C32:F33"/>
    <mergeCell ref="H32:J32"/>
    <mergeCell ref="H33:J33"/>
    <mergeCell ref="A25:B25"/>
    <mergeCell ref="A26:B26"/>
    <mergeCell ref="A27:B27"/>
    <mergeCell ref="A28:B28"/>
    <mergeCell ref="H30:J30"/>
    <mergeCell ref="A24:B24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M35"/>
  <sheetViews>
    <sheetView view="pageBreakPreview" topLeftCell="A12" zoomScaleNormal="100" zoomScaleSheetLayoutView="100" workbookViewId="0">
      <selection activeCell="L19" sqref="L19:M23"/>
    </sheetView>
  </sheetViews>
  <sheetFormatPr defaultColWidth="8.88671875" defaultRowHeight="13.8" x14ac:dyDescent="0.25"/>
  <cols>
    <col min="1" max="1" width="4.109375" style="1181" customWidth="1"/>
    <col min="2" max="2" width="20.5546875" style="1181" customWidth="1"/>
    <col min="3" max="7" width="7.5546875" style="1181" customWidth="1"/>
    <col min="8" max="8" width="8.88671875" style="1181" customWidth="1"/>
    <col min="9" max="9" width="7.5546875" style="1181" customWidth="1"/>
    <col min="10" max="10" width="9" style="1181" customWidth="1"/>
    <col min="11" max="11" width="3.6640625" style="1181" customWidth="1"/>
    <col min="12" max="16384" width="8.88671875" style="118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269)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186">
        <v>342</v>
      </c>
    </row>
    <row r="8" spans="1:10" s="2" customFormat="1" ht="9.6" customHeight="1" x14ac:dyDescent="0.25">
      <c r="A8" s="1185"/>
      <c r="B8" s="1185"/>
      <c r="C8" s="1185"/>
      <c r="D8" s="1185"/>
      <c r="E8" s="1185"/>
      <c r="F8" s="1185"/>
      <c r="G8" s="1185"/>
      <c r="H8" s="1185"/>
      <c r="I8" s="1185"/>
      <c r="J8" s="109"/>
    </row>
    <row r="9" spans="1:10" s="2" customFormat="1" ht="26.1" customHeight="1" x14ac:dyDescent="0.3">
      <c r="A9" s="1550" t="s">
        <v>1321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'342-компот яблок'!H14+1</f>
        <v>269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44.25" customHeight="1" x14ac:dyDescent="0.25">
      <c r="A17" s="1543"/>
      <c r="B17" s="1543"/>
      <c r="C17" s="1182" t="s">
        <v>92</v>
      </c>
      <c r="D17" s="1182" t="s">
        <v>94</v>
      </c>
      <c r="E17" s="1182" t="s">
        <v>93</v>
      </c>
      <c r="F17" s="1182" t="s">
        <v>23</v>
      </c>
      <c r="G17" s="1182" t="s">
        <v>92</v>
      </c>
      <c r="H17" s="1182" t="s">
        <v>94</v>
      </c>
      <c r="I17" s="1182" t="s">
        <v>92</v>
      </c>
      <c r="J17" s="1182" t="s">
        <v>94</v>
      </c>
    </row>
    <row r="18" spans="1:13" ht="13.5" customHeight="1" x14ac:dyDescent="0.25">
      <c r="A18" s="1182">
        <v>1</v>
      </c>
      <c r="B18" s="1184">
        <v>2</v>
      </c>
      <c r="C18" s="1182">
        <v>3</v>
      </c>
      <c r="D18" s="1184">
        <v>4</v>
      </c>
      <c r="E18" s="1182">
        <v>5</v>
      </c>
      <c r="F18" s="1184">
        <v>6</v>
      </c>
      <c r="G18" s="1182">
        <v>7</v>
      </c>
      <c r="H18" s="1184">
        <v>8</v>
      </c>
      <c r="I18" s="1182">
        <v>9</v>
      </c>
      <c r="J18" s="1184">
        <v>10</v>
      </c>
    </row>
    <row r="19" spans="1:13" s="10" customFormat="1" ht="14.1" customHeight="1" x14ac:dyDescent="0.25">
      <c r="A19" s="180"/>
      <c r="B19" s="20" t="s">
        <v>936</v>
      </c>
      <c r="C19" s="21">
        <v>0.21099999999999999</v>
      </c>
      <c r="D19" s="125">
        <v>0.2</v>
      </c>
      <c r="E19" s="408">
        <f>цены!F60</f>
        <v>250</v>
      </c>
      <c r="F19" s="408">
        <f>C19*E19</f>
        <v>52.75</v>
      </c>
      <c r="G19" s="97">
        <f t="shared" ref="G19:H22" si="0">C19*10</f>
        <v>2.11</v>
      </c>
      <c r="H19" s="21">
        <f t="shared" si="0"/>
        <v>2</v>
      </c>
      <c r="I19" s="21">
        <f t="shared" ref="I19:J22" si="1">C19*100</f>
        <v>21.1</v>
      </c>
      <c r="J19" s="21">
        <f t="shared" si="1"/>
        <v>20</v>
      </c>
      <c r="L19" s="1219">
        <f>C19/C$27</f>
        <v>4.2200000000000001E-2</v>
      </c>
      <c r="M19" s="1219">
        <f>F19/C$27</f>
        <v>10.55</v>
      </c>
    </row>
    <row r="20" spans="1:13" s="10" customFormat="1" ht="12" customHeight="1" x14ac:dyDescent="0.25">
      <c r="A20" s="180"/>
      <c r="B20" s="20" t="s">
        <v>134</v>
      </c>
      <c r="C20" s="21">
        <v>0.12</v>
      </c>
      <c r="D20" s="111">
        <v>0.12</v>
      </c>
      <c r="E20" s="408">
        <f>цены!F107</f>
        <v>76</v>
      </c>
      <c r="F20" s="408">
        <f>C20*E20</f>
        <v>9.1199999999999992</v>
      </c>
      <c r="G20" s="97">
        <f t="shared" si="0"/>
        <v>1.2</v>
      </c>
      <c r="H20" s="21">
        <f t="shared" si="0"/>
        <v>1.2</v>
      </c>
      <c r="I20" s="21">
        <f t="shared" si="1"/>
        <v>12</v>
      </c>
      <c r="J20" s="21">
        <f t="shared" si="1"/>
        <v>12</v>
      </c>
      <c r="L20" s="1219">
        <f t="shared" ref="L20:L22" si="2">C20/C$27</f>
        <v>2.4E-2</v>
      </c>
      <c r="M20" s="1219">
        <f t="shared" ref="M20:M22" si="3">F20/C$27</f>
        <v>1.8240000000000001</v>
      </c>
    </row>
    <row r="21" spans="1:13" s="10" customFormat="1" ht="12" customHeight="1" x14ac:dyDescent="0.25">
      <c r="A21" s="180"/>
      <c r="B21" s="20" t="s">
        <v>135</v>
      </c>
      <c r="C21" s="21">
        <v>1E-3</v>
      </c>
      <c r="D21" s="125">
        <v>1E-3</v>
      </c>
      <c r="E21" s="408">
        <f>цены!F98</f>
        <v>290</v>
      </c>
      <c r="F21" s="408">
        <f>C21*E21</f>
        <v>0.28999999999999998</v>
      </c>
      <c r="G21" s="97">
        <f t="shared" si="0"/>
        <v>0.01</v>
      </c>
      <c r="H21" s="21">
        <f t="shared" si="0"/>
        <v>0.01</v>
      </c>
      <c r="I21" s="21">
        <f t="shared" si="1"/>
        <v>0.1</v>
      </c>
      <c r="J21" s="21">
        <f t="shared" si="1"/>
        <v>0.1</v>
      </c>
      <c r="L21" s="1219">
        <f t="shared" si="2"/>
        <v>2.0000000000000001E-4</v>
      </c>
      <c r="M21" s="1219">
        <f t="shared" si="3"/>
        <v>5.8000000000000003E-2</v>
      </c>
    </row>
    <row r="22" spans="1:13" s="10" customFormat="1" ht="12" customHeight="1" x14ac:dyDescent="0.25">
      <c r="A22" s="180"/>
      <c r="B22" s="20" t="s">
        <v>28</v>
      </c>
      <c r="C22" s="21">
        <v>0.86</v>
      </c>
      <c r="D22" s="111">
        <v>0.86</v>
      </c>
      <c r="E22" s="408"/>
      <c r="F22" s="408">
        <f>C22*E22</f>
        <v>0</v>
      </c>
      <c r="G22" s="97">
        <f t="shared" si="0"/>
        <v>8.6</v>
      </c>
      <c r="H22" s="21">
        <f t="shared" si="0"/>
        <v>8.6</v>
      </c>
      <c r="I22" s="21">
        <f t="shared" si="1"/>
        <v>86</v>
      </c>
      <c r="J22" s="21">
        <f t="shared" si="1"/>
        <v>86</v>
      </c>
      <c r="L22" s="1219">
        <f t="shared" si="2"/>
        <v>0.17199999999999999</v>
      </c>
      <c r="M22" s="1219">
        <f t="shared" si="3"/>
        <v>0</v>
      </c>
    </row>
    <row r="23" spans="1:13" s="10" customFormat="1" ht="12" customHeight="1" x14ac:dyDescent="0.25">
      <c r="A23" s="98"/>
      <c r="B23" s="93" t="s">
        <v>100</v>
      </c>
      <c r="C23" s="112"/>
      <c r="D23" s="112">
        <v>1</v>
      </c>
      <c r="E23" s="95"/>
      <c r="F23" s="95">
        <f>SUM(F19:F22)</f>
        <v>62.16</v>
      </c>
      <c r="G23" s="99"/>
      <c r="H23" s="100">
        <f>D23*10</f>
        <v>10</v>
      </c>
      <c r="I23" s="100"/>
      <c r="J23" s="100">
        <f>D23*100</f>
        <v>100</v>
      </c>
      <c r="L23" s="1219">
        <f>SUM(L19:L22)</f>
        <v>0.2384</v>
      </c>
      <c r="M23" s="1219">
        <f>SUM(M19:M22)</f>
        <v>12.432</v>
      </c>
    </row>
    <row r="24" spans="1:13" s="10" customFormat="1" ht="27.6" customHeight="1" x14ac:dyDescent="0.25">
      <c r="A24" s="1536" t="s">
        <v>35</v>
      </c>
      <c r="B24" s="1536"/>
      <c r="C24" s="90"/>
      <c r="D24" s="90"/>
      <c r="E24" s="408"/>
      <c r="F24" s="408">
        <f>F23</f>
        <v>62.16</v>
      </c>
      <c r="G24" s="1183"/>
      <c r="H24" s="1183"/>
      <c r="I24" s="21"/>
      <c r="J24" s="408"/>
    </row>
    <row r="25" spans="1:13" s="10" customFormat="1" ht="25.35" customHeight="1" x14ac:dyDescent="0.25">
      <c r="A25" s="1536" t="s">
        <v>36</v>
      </c>
      <c r="B25" s="1536"/>
      <c r="C25" s="90">
        <v>1000</v>
      </c>
      <c r="D25" s="90"/>
      <c r="E25" s="408"/>
      <c r="F25" s="408"/>
      <c r="G25" s="408"/>
      <c r="H25" s="408"/>
      <c r="I25" s="21"/>
      <c r="J25" s="17"/>
    </row>
    <row r="26" spans="1:13" s="10" customFormat="1" ht="25.35" customHeight="1" x14ac:dyDescent="0.25">
      <c r="A26" s="1537" t="s">
        <v>37</v>
      </c>
      <c r="B26" s="1538"/>
      <c r="C26" s="91">
        <v>200</v>
      </c>
      <c r="D26" s="92"/>
      <c r="E26" s="1184"/>
      <c r="F26" s="1184"/>
      <c r="G26" s="1184"/>
      <c r="H26" s="1184"/>
      <c r="I26" s="21"/>
      <c r="J26" s="17"/>
    </row>
    <row r="27" spans="1:13" s="10" customFormat="1" ht="15" customHeight="1" x14ac:dyDescent="0.25">
      <c r="A27" s="1539" t="s">
        <v>38</v>
      </c>
      <c r="B27" s="1540"/>
      <c r="C27" s="92">
        <f>C25/C26</f>
        <v>5</v>
      </c>
      <c r="D27" s="92"/>
      <c r="E27" s="1184"/>
      <c r="F27" s="1184"/>
      <c r="G27" s="1184"/>
      <c r="H27" s="1184"/>
      <c r="I27" s="21"/>
      <c r="J27" s="17"/>
    </row>
    <row r="28" spans="1:13" ht="16.350000000000001" customHeight="1" x14ac:dyDescent="0.25">
      <c r="A28" s="1541" t="s">
        <v>39</v>
      </c>
      <c r="B28" s="1542"/>
      <c r="C28" s="15" t="s">
        <v>40</v>
      </c>
      <c r="D28" s="102"/>
      <c r="E28" s="102" t="s">
        <v>40</v>
      </c>
      <c r="F28" s="16">
        <f>F24/C27</f>
        <v>12.43</v>
      </c>
      <c r="G28" s="16"/>
      <c r="H28" s="16"/>
      <c r="I28" s="102" t="s">
        <v>40</v>
      </c>
      <c r="J28" s="102" t="s">
        <v>40</v>
      </c>
    </row>
    <row r="29" spans="1:13" ht="23.1" customHeight="1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3" ht="13.95" customHeight="1" x14ac:dyDescent="0.25">
      <c r="A30" s="1193"/>
      <c r="B30" s="1194" t="s">
        <v>49</v>
      </c>
      <c r="C30" s="1198"/>
      <c r="D30" s="1198"/>
      <c r="E30" s="1198"/>
      <c r="F30" s="1198"/>
      <c r="G30" s="1193"/>
      <c r="H30" s="1557">
        <f>'1-бутерброд с маслом'!$H$28</f>
        <v>0</v>
      </c>
      <c r="I30" s="1557"/>
      <c r="J30" s="1557"/>
    </row>
    <row r="31" spans="1:13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3" ht="13.95" customHeight="1" x14ac:dyDescent="0.25">
      <c r="A32" s="1545" t="s">
        <v>327</v>
      </c>
      <c r="B32" s="1545"/>
      <c r="C32" s="1546" t="s">
        <v>328</v>
      </c>
      <c r="D32" s="1546"/>
      <c r="E32" s="1546"/>
      <c r="F32" s="1546"/>
      <c r="G32" s="106"/>
      <c r="H32" s="1531"/>
      <c r="I32" s="1531"/>
      <c r="J32" s="1531"/>
    </row>
    <row r="33" spans="1:10" x14ac:dyDescent="0.25">
      <c r="A33" s="1193"/>
      <c r="B33" s="1193"/>
      <c r="C33" s="1546"/>
      <c r="D33" s="1546"/>
      <c r="E33" s="1546"/>
      <c r="F33" s="1546"/>
      <c r="G33" s="1193"/>
      <c r="H33" s="1531" t="s">
        <v>329</v>
      </c>
      <c r="I33" s="1531"/>
      <c r="J33" s="1531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</sheetData>
  <mergeCells count="28">
    <mergeCell ref="H30:J30"/>
    <mergeCell ref="A13:G13"/>
    <mergeCell ref="A25:B25"/>
    <mergeCell ref="A26:B26"/>
    <mergeCell ref="A27:B27"/>
    <mergeCell ref="A28:B28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2:B32"/>
    <mergeCell ref="C32:F33"/>
    <mergeCell ref="H32:J32"/>
    <mergeCell ref="H33:J33"/>
    <mergeCell ref="H5:I5"/>
    <mergeCell ref="A6:G6"/>
    <mergeCell ref="A7:I7"/>
    <mergeCell ref="A24:B24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M35"/>
  <sheetViews>
    <sheetView view="pageBreakPreview" topLeftCell="A11" zoomScaleNormal="100" zoomScaleSheetLayoutView="100" workbookViewId="0">
      <selection activeCell="L19" sqref="L19:M23"/>
    </sheetView>
  </sheetViews>
  <sheetFormatPr defaultColWidth="8.88671875" defaultRowHeight="13.8" x14ac:dyDescent="0.25"/>
  <cols>
    <col min="1" max="1" width="4.109375" style="1181" customWidth="1"/>
    <col min="2" max="2" width="20.5546875" style="1181" customWidth="1"/>
    <col min="3" max="7" width="7.5546875" style="1181" customWidth="1"/>
    <col min="8" max="8" width="8.88671875" style="1181" customWidth="1"/>
    <col min="9" max="9" width="7.5546875" style="1181" customWidth="1"/>
    <col min="10" max="10" width="9" style="1181" customWidth="1"/>
    <col min="11" max="11" width="3.6640625" style="1181" customWidth="1"/>
    <col min="12" max="16384" width="8.88671875" style="118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270)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186">
        <v>342</v>
      </c>
    </row>
    <row r="8" spans="1:10" s="2" customFormat="1" ht="9.6" customHeight="1" x14ac:dyDescent="0.25">
      <c r="A8" s="1185"/>
      <c r="B8" s="1185"/>
      <c r="C8" s="1185"/>
      <c r="D8" s="1185"/>
      <c r="E8" s="1185"/>
      <c r="F8" s="1185"/>
      <c r="G8" s="1185"/>
      <c r="H8" s="1185"/>
      <c r="I8" s="1185"/>
      <c r="J8" s="109"/>
    </row>
    <row r="9" spans="1:10" s="2" customFormat="1" ht="26.1" customHeight="1" x14ac:dyDescent="0.3">
      <c r="A9" s="1550" t="s">
        <v>1322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'342-компот вишня'!H14+1</f>
        <v>270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44.25" customHeight="1" x14ac:dyDescent="0.25">
      <c r="A17" s="1543"/>
      <c r="B17" s="1543"/>
      <c r="C17" s="1182" t="s">
        <v>92</v>
      </c>
      <c r="D17" s="1182" t="s">
        <v>94</v>
      </c>
      <c r="E17" s="1182" t="s">
        <v>93</v>
      </c>
      <c r="F17" s="1182" t="s">
        <v>23</v>
      </c>
      <c r="G17" s="1182" t="s">
        <v>92</v>
      </c>
      <c r="H17" s="1182" t="s">
        <v>94</v>
      </c>
      <c r="I17" s="1182" t="s">
        <v>92</v>
      </c>
      <c r="J17" s="1182" t="s">
        <v>94</v>
      </c>
    </row>
    <row r="18" spans="1:13" ht="13.5" customHeight="1" x14ac:dyDescent="0.25">
      <c r="A18" s="1182">
        <v>1</v>
      </c>
      <c r="B18" s="1184">
        <v>2</v>
      </c>
      <c r="C18" s="1182">
        <v>3</v>
      </c>
      <c r="D18" s="1184">
        <v>4</v>
      </c>
      <c r="E18" s="1182">
        <v>5</v>
      </c>
      <c r="F18" s="1184">
        <v>6</v>
      </c>
      <c r="G18" s="1182">
        <v>7</v>
      </c>
      <c r="H18" s="1184">
        <v>8</v>
      </c>
      <c r="I18" s="1182">
        <v>9</v>
      </c>
      <c r="J18" s="1184">
        <v>10</v>
      </c>
    </row>
    <row r="19" spans="1:13" s="10" customFormat="1" ht="14.1" customHeight="1" x14ac:dyDescent="0.25">
      <c r="A19" s="180"/>
      <c r="B19" s="20" t="s">
        <v>500</v>
      </c>
      <c r="C19" s="21">
        <v>0.23300000000000001</v>
      </c>
      <c r="D19" s="125">
        <v>0.2</v>
      </c>
      <c r="E19" s="408">
        <f>цены!F68</f>
        <v>180</v>
      </c>
      <c r="F19" s="408">
        <f>C19*E19</f>
        <v>41.94</v>
      </c>
      <c r="G19" s="97">
        <f t="shared" ref="G19:H22" si="0">C19*10</f>
        <v>2.33</v>
      </c>
      <c r="H19" s="21">
        <f t="shared" si="0"/>
        <v>2</v>
      </c>
      <c r="I19" s="21">
        <f t="shared" ref="I19:J22" si="1">C19*100</f>
        <v>23.3</v>
      </c>
      <c r="J19" s="21">
        <f t="shared" si="1"/>
        <v>20</v>
      </c>
      <c r="L19" s="1219">
        <f>C19/C$27</f>
        <v>4.6600000000000003E-2</v>
      </c>
      <c r="M19" s="1219">
        <f>F19/C$27</f>
        <v>8.3879999999999999</v>
      </c>
    </row>
    <row r="20" spans="1:13" s="10" customFormat="1" ht="12" customHeight="1" x14ac:dyDescent="0.25">
      <c r="A20" s="180"/>
      <c r="B20" s="20" t="s">
        <v>134</v>
      </c>
      <c r="C20" s="21">
        <v>0.12</v>
      </c>
      <c r="D20" s="111">
        <v>0.12</v>
      </c>
      <c r="E20" s="408">
        <f>цены!F107</f>
        <v>76</v>
      </c>
      <c r="F20" s="408">
        <f>C20*E20</f>
        <v>9.1199999999999992</v>
      </c>
      <c r="G20" s="97">
        <f t="shared" si="0"/>
        <v>1.2</v>
      </c>
      <c r="H20" s="21">
        <f t="shared" si="0"/>
        <v>1.2</v>
      </c>
      <c r="I20" s="21">
        <f t="shared" si="1"/>
        <v>12</v>
      </c>
      <c r="J20" s="21">
        <f t="shared" si="1"/>
        <v>12</v>
      </c>
      <c r="L20" s="1219">
        <f t="shared" ref="L20:L22" si="2">C20/C$27</f>
        <v>2.4E-2</v>
      </c>
      <c r="M20" s="1219">
        <f t="shared" ref="M20:M22" si="3">F20/C$27</f>
        <v>1.8240000000000001</v>
      </c>
    </row>
    <row r="21" spans="1:13" s="10" customFormat="1" ht="12" customHeight="1" x14ac:dyDescent="0.25">
      <c r="A21" s="180"/>
      <c r="B21" s="20" t="s">
        <v>135</v>
      </c>
      <c r="C21" s="21">
        <v>1E-3</v>
      </c>
      <c r="D21" s="125">
        <v>1E-3</v>
      </c>
      <c r="E21" s="408">
        <f>цены!F98</f>
        <v>290</v>
      </c>
      <c r="F21" s="408">
        <f>C21*E21</f>
        <v>0.28999999999999998</v>
      </c>
      <c r="G21" s="97">
        <f t="shared" si="0"/>
        <v>0.01</v>
      </c>
      <c r="H21" s="21">
        <f t="shared" si="0"/>
        <v>0.01</v>
      </c>
      <c r="I21" s="21">
        <f t="shared" si="1"/>
        <v>0.1</v>
      </c>
      <c r="J21" s="21">
        <f t="shared" si="1"/>
        <v>0.1</v>
      </c>
      <c r="L21" s="1219">
        <f t="shared" si="2"/>
        <v>2.0000000000000001E-4</v>
      </c>
      <c r="M21" s="1219">
        <f t="shared" si="3"/>
        <v>5.8000000000000003E-2</v>
      </c>
    </row>
    <row r="22" spans="1:13" s="10" customFormat="1" ht="12" customHeight="1" x14ac:dyDescent="0.25">
      <c r="A22" s="180"/>
      <c r="B22" s="20" t="s">
        <v>28</v>
      </c>
      <c r="C22" s="21">
        <v>0.86</v>
      </c>
      <c r="D22" s="111">
        <v>0.86</v>
      </c>
      <c r="E22" s="408"/>
      <c r="F22" s="408">
        <f>C22*E22</f>
        <v>0</v>
      </c>
      <c r="G22" s="97">
        <f t="shared" si="0"/>
        <v>8.6</v>
      </c>
      <c r="H22" s="21">
        <f t="shared" si="0"/>
        <v>8.6</v>
      </c>
      <c r="I22" s="21">
        <f t="shared" si="1"/>
        <v>86</v>
      </c>
      <c r="J22" s="21">
        <f t="shared" si="1"/>
        <v>86</v>
      </c>
      <c r="L22" s="1219">
        <f t="shared" si="2"/>
        <v>0.17199999999999999</v>
      </c>
      <c r="M22" s="1219">
        <f t="shared" si="3"/>
        <v>0</v>
      </c>
    </row>
    <row r="23" spans="1:13" s="10" customFormat="1" ht="12" customHeight="1" x14ac:dyDescent="0.25">
      <c r="A23" s="98"/>
      <c r="B23" s="93" t="s">
        <v>100</v>
      </c>
      <c r="C23" s="112"/>
      <c r="D23" s="1028">
        <v>1000</v>
      </c>
      <c r="E23" s="95"/>
      <c r="F23" s="95">
        <f>SUM(F19:F22)</f>
        <v>51.35</v>
      </c>
      <c r="G23" s="99"/>
      <c r="H23" s="184">
        <f>D23*10</f>
        <v>10000</v>
      </c>
      <c r="I23" s="184"/>
      <c r="J23" s="184">
        <f>D23*100</f>
        <v>100000</v>
      </c>
      <c r="L23" s="1219">
        <f>SUM(L19:L22)</f>
        <v>0.24279999999999999</v>
      </c>
      <c r="M23" s="1219">
        <f>SUM(M19:M22)</f>
        <v>10.27</v>
      </c>
    </row>
    <row r="24" spans="1:13" s="10" customFormat="1" ht="27.6" customHeight="1" x14ac:dyDescent="0.25">
      <c r="A24" s="1536" t="s">
        <v>35</v>
      </c>
      <c r="B24" s="1536"/>
      <c r="C24" s="90"/>
      <c r="D24" s="90"/>
      <c r="E24" s="408"/>
      <c r="F24" s="408">
        <f>F23</f>
        <v>51.35</v>
      </c>
      <c r="G24" s="1183"/>
      <c r="H24" s="1183"/>
      <c r="I24" s="21"/>
      <c r="J24" s="408"/>
    </row>
    <row r="25" spans="1:13" s="10" customFormat="1" ht="25.35" customHeight="1" x14ac:dyDescent="0.25">
      <c r="A25" s="1536" t="s">
        <v>36</v>
      </c>
      <c r="B25" s="1536"/>
      <c r="C25" s="90">
        <v>1000</v>
      </c>
      <c r="D25" s="90"/>
      <c r="E25" s="408"/>
      <c r="F25" s="408"/>
      <c r="G25" s="408"/>
      <c r="H25" s="408"/>
      <c r="I25" s="21"/>
      <c r="J25" s="17"/>
    </row>
    <row r="26" spans="1:13" s="10" customFormat="1" ht="25.35" customHeight="1" x14ac:dyDescent="0.25">
      <c r="A26" s="1537" t="s">
        <v>37</v>
      </c>
      <c r="B26" s="1538"/>
      <c r="C26" s="91">
        <v>200</v>
      </c>
      <c r="D26" s="92"/>
      <c r="E26" s="1184"/>
      <c r="F26" s="1184"/>
      <c r="G26" s="1184"/>
      <c r="H26" s="1184"/>
      <c r="I26" s="21"/>
      <c r="J26" s="17"/>
    </row>
    <row r="27" spans="1:13" s="10" customFormat="1" ht="15" customHeight="1" x14ac:dyDescent="0.25">
      <c r="A27" s="1539" t="s">
        <v>38</v>
      </c>
      <c r="B27" s="1540"/>
      <c r="C27" s="92">
        <f>C25/C26</f>
        <v>5</v>
      </c>
      <c r="D27" s="92"/>
      <c r="E27" s="1184"/>
      <c r="F27" s="1184"/>
      <c r="G27" s="1184"/>
      <c r="H27" s="1184"/>
      <c r="I27" s="21"/>
      <c r="J27" s="17"/>
    </row>
    <row r="28" spans="1:13" ht="16.350000000000001" customHeight="1" x14ac:dyDescent="0.25">
      <c r="A28" s="1541" t="s">
        <v>39</v>
      </c>
      <c r="B28" s="1542"/>
      <c r="C28" s="15" t="s">
        <v>40</v>
      </c>
      <c r="D28" s="102"/>
      <c r="E28" s="102" t="s">
        <v>40</v>
      </c>
      <c r="F28" s="16">
        <f>F24/C27</f>
        <v>10.27</v>
      </c>
      <c r="G28" s="16"/>
      <c r="H28" s="16"/>
      <c r="I28" s="102" t="s">
        <v>40</v>
      </c>
      <c r="J28" s="102" t="s">
        <v>40</v>
      </c>
    </row>
    <row r="29" spans="1:13" ht="23.1" customHeight="1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3" ht="13.95" customHeight="1" x14ac:dyDescent="0.25">
      <c r="A30" s="1193"/>
      <c r="B30" s="1194" t="s">
        <v>49</v>
      </c>
      <c r="C30" s="1198"/>
      <c r="D30" s="1198"/>
      <c r="E30" s="1198"/>
      <c r="F30" s="1198"/>
      <c r="G30" s="1193"/>
      <c r="H30" s="1557">
        <f>'1-бутерброд с маслом'!$H$28</f>
        <v>0</v>
      </c>
      <c r="I30" s="1557"/>
      <c r="J30" s="1557"/>
    </row>
    <row r="31" spans="1:13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3" ht="13.95" customHeight="1" x14ac:dyDescent="0.25">
      <c r="A32" s="1545" t="s">
        <v>327</v>
      </c>
      <c r="B32" s="1545"/>
      <c r="C32" s="1546" t="s">
        <v>328</v>
      </c>
      <c r="D32" s="1546"/>
      <c r="E32" s="1546"/>
      <c r="F32" s="1546"/>
      <c r="G32" s="106"/>
      <c r="H32" s="1531"/>
      <c r="I32" s="1531"/>
      <c r="J32" s="1531"/>
    </row>
    <row r="33" spans="1:10" x14ac:dyDescent="0.25">
      <c r="A33" s="1193"/>
      <c r="B33" s="1193"/>
      <c r="C33" s="1546"/>
      <c r="D33" s="1546"/>
      <c r="E33" s="1546"/>
      <c r="F33" s="1546"/>
      <c r="G33" s="1193"/>
      <c r="H33" s="1531" t="s">
        <v>329</v>
      </c>
      <c r="I33" s="1531"/>
      <c r="J33" s="1531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</sheetData>
  <mergeCells count="28">
    <mergeCell ref="H30:J30"/>
    <mergeCell ref="A13:G13"/>
    <mergeCell ref="A25:B25"/>
    <mergeCell ref="A26:B26"/>
    <mergeCell ref="A27:B27"/>
    <mergeCell ref="A28:B28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2:B32"/>
    <mergeCell ref="C32:F33"/>
    <mergeCell ref="H32:J32"/>
    <mergeCell ref="H33:J33"/>
    <mergeCell ref="H5:I5"/>
    <mergeCell ref="A6:G6"/>
    <mergeCell ref="A7:I7"/>
    <mergeCell ref="A24:B24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M36"/>
  <sheetViews>
    <sheetView view="pageBreakPreview" topLeftCell="A9" zoomScaleNormal="100" zoomScaleSheetLayoutView="100" workbookViewId="0">
      <selection activeCell="L19" sqref="L19:M24"/>
    </sheetView>
  </sheetViews>
  <sheetFormatPr defaultRowHeight="13.8" x14ac:dyDescent="0.25"/>
  <cols>
    <col min="1" max="1" width="4.109375" customWidth="1"/>
    <col min="2" max="2" width="20.55468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88671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271)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344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131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'342-компот абрикос'!H14+1</f>
        <v>271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3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3" s="10" customFormat="1" ht="14.1" customHeight="1" x14ac:dyDescent="0.25">
      <c r="A19" s="180"/>
      <c r="B19" s="20" t="s">
        <v>132</v>
      </c>
      <c r="C19" s="21">
        <v>0.114</v>
      </c>
      <c r="D19" s="125">
        <v>0.1</v>
      </c>
      <c r="E19" s="13">
        <f>цены!F71</f>
        <v>91</v>
      </c>
      <c r="F19" s="13">
        <f>C19*E19</f>
        <v>10.37</v>
      </c>
      <c r="G19" s="97">
        <f t="shared" ref="G19:H23" si="0">C19*10</f>
        <v>1.1399999999999999</v>
      </c>
      <c r="H19" s="21">
        <f t="shared" si="0"/>
        <v>1</v>
      </c>
      <c r="I19" s="21">
        <f t="shared" ref="I19:J23" si="1">C19*100</f>
        <v>11.4</v>
      </c>
      <c r="J19" s="21">
        <f t="shared" si="1"/>
        <v>10</v>
      </c>
      <c r="L19" s="1219">
        <f>C19/C$28</f>
        <v>2.2800000000000001E-2</v>
      </c>
      <c r="M19" s="1219">
        <f>F19/C$28</f>
        <v>2.0739999999999998</v>
      </c>
    </row>
    <row r="20" spans="1:13" s="10" customFormat="1" ht="14.1" customHeight="1" x14ac:dyDescent="0.25">
      <c r="A20" s="180"/>
      <c r="B20" s="20" t="s">
        <v>133</v>
      </c>
      <c r="C20" s="21">
        <v>0.111</v>
      </c>
      <c r="D20" s="111">
        <v>0.1</v>
      </c>
      <c r="E20" s="13">
        <f>цены!F55</f>
        <v>100</v>
      </c>
      <c r="F20" s="13">
        <f>C20*E20</f>
        <v>11.1</v>
      </c>
      <c r="G20" s="97">
        <f t="shared" si="0"/>
        <v>1.1100000000000001</v>
      </c>
      <c r="H20" s="21">
        <f t="shared" si="0"/>
        <v>1</v>
      </c>
      <c r="I20" s="21">
        <f t="shared" si="1"/>
        <v>11.1</v>
      </c>
      <c r="J20" s="21">
        <f t="shared" si="1"/>
        <v>10</v>
      </c>
      <c r="L20" s="1219">
        <f t="shared" ref="L20:L23" si="2">C20/C$28</f>
        <v>2.2200000000000001E-2</v>
      </c>
      <c r="M20" s="1219">
        <f t="shared" ref="M20:M23" si="3">F20/C$28</f>
        <v>2.2200000000000002</v>
      </c>
    </row>
    <row r="21" spans="1:13" s="10" customFormat="1" ht="12" customHeight="1" x14ac:dyDescent="0.25">
      <c r="A21" s="180"/>
      <c r="B21" s="20" t="s">
        <v>134</v>
      </c>
      <c r="C21" s="21">
        <v>0.12</v>
      </c>
      <c r="D21" s="111">
        <v>0.12</v>
      </c>
      <c r="E21" s="13">
        <f>цены!F107</f>
        <v>76</v>
      </c>
      <c r="F21" s="13">
        <f>C21*E21</f>
        <v>9.1199999999999992</v>
      </c>
      <c r="G21" s="97">
        <f t="shared" si="0"/>
        <v>1.2</v>
      </c>
      <c r="H21" s="21">
        <f t="shared" si="0"/>
        <v>1.2</v>
      </c>
      <c r="I21" s="21">
        <f t="shared" si="1"/>
        <v>12</v>
      </c>
      <c r="J21" s="21">
        <f t="shared" si="1"/>
        <v>12</v>
      </c>
      <c r="L21" s="1219">
        <f t="shared" si="2"/>
        <v>2.4E-2</v>
      </c>
      <c r="M21" s="1219">
        <f t="shared" si="3"/>
        <v>1.8240000000000001</v>
      </c>
    </row>
    <row r="22" spans="1:13" s="10" customFormat="1" ht="12" customHeight="1" x14ac:dyDescent="0.25">
      <c r="A22" s="180"/>
      <c r="B22" s="20" t="s">
        <v>135</v>
      </c>
      <c r="C22" s="21">
        <v>1E-3</v>
      </c>
      <c r="D22" s="125">
        <v>1E-3</v>
      </c>
      <c r="E22" s="13">
        <f>цены!F98</f>
        <v>290</v>
      </c>
      <c r="F22" s="13">
        <f>C22*E22</f>
        <v>0.28999999999999998</v>
      </c>
      <c r="G22" s="97">
        <f t="shared" si="0"/>
        <v>0.01</v>
      </c>
      <c r="H22" s="21">
        <f t="shared" si="0"/>
        <v>0.01</v>
      </c>
      <c r="I22" s="21">
        <f t="shared" si="1"/>
        <v>0.1</v>
      </c>
      <c r="J22" s="21">
        <f t="shared" si="1"/>
        <v>0.1</v>
      </c>
      <c r="L22" s="1219">
        <f t="shared" si="2"/>
        <v>2.0000000000000001E-4</v>
      </c>
      <c r="M22" s="1219">
        <f t="shared" si="3"/>
        <v>5.8000000000000003E-2</v>
      </c>
    </row>
    <row r="23" spans="1:13" s="10" customFormat="1" ht="12" customHeight="1" x14ac:dyDescent="0.25">
      <c r="A23" s="180"/>
      <c r="B23" s="20" t="s">
        <v>28</v>
      </c>
      <c r="C23" s="21">
        <v>0.84</v>
      </c>
      <c r="D23" s="111">
        <v>0.84</v>
      </c>
      <c r="E23" s="13"/>
      <c r="F23" s="13">
        <f>C23*E23</f>
        <v>0</v>
      </c>
      <c r="G23" s="97">
        <f t="shared" si="0"/>
        <v>8.4</v>
      </c>
      <c r="H23" s="21">
        <f t="shared" si="0"/>
        <v>8.4</v>
      </c>
      <c r="I23" s="21">
        <f t="shared" si="1"/>
        <v>84</v>
      </c>
      <c r="J23" s="21">
        <f t="shared" si="1"/>
        <v>84</v>
      </c>
      <c r="L23" s="1219">
        <f t="shared" si="2"/>
        <v>0.16800000000000001</v>
      </c>
      <c r="M23" s="1219">
        <f t="shared" si="3"/>
        <v>0</v>
      </c>
    </row>
    <row r="24" spans="1:13" s="10" customFormat="1" ht="12" customHeight="1" x14ac:dyDescent="0.25">
      <c r="A24" s="98"/>
      <c r="B24" s="93" t="s">
        <v>100</v>
      </c>
      <c r="C24" s="112"/>
      <c r="D24" s="112">
        <v>1</v>
      </c>
      <c r="E24" s="95"/>
      <c r="F24" s="95">
        <f>SUM(F19:F23)</f>
        <v>30.88</v>
      </c>
      <c r="G24" s="99"/>
      <c r="H24" s="100">
        <f>D24*10</f>
        <v>10</v>
      </c>
      <c r="I24" s="100"/>
      <c r="J24" s="100">
        <f>D24*100</f>
        <v>100</v>
      </c>
      <c r="L24" s="1219">
        <f>SUM(L19:L23)</f>
        <v>0.23719999999999999</v>
      </c>
      <c r="M24" s="1219">
        <f>SUM(M19:M23)</f>
        <v>6.1760000000000002</v>
      </c>
    </row>
    <row r="25" spans="1:13" s="10" customFormat="1" ht="27.6" customHeight="1" x14ac:dyDescent="0.25">
      <c r="A25" s="1536" t="s">
        <v>35</v>
      </c>
      <c r="B25" s="1536"/>
      <c r="C25" s="90"/>
      <c r="D25" s="90"/>
      <c r="E25" s="13"/>
      <c r="F25" s="13">
        <f>F24</f>
        <v>30.88</v>
      </c>
      <c r="G25" s="14"/>
      <c r="H25" s="14"/>
      <c r="I25" s="21"/>
      <c r="J25" s="13"/>
    </row>
    <row r="26" spans="1:13" s="10" customFormat="1" ht="25.35" customHeight="1" x14ac:dyDescent="0.25">
      <c r="A26" s="1536" t="s">
        <v>36</v>
      </c>
      <c r="B26" s="1536"/>
      <c r="C26" s="90">
        <v>1000</v>
      </c>
      <c r="D26" s="90"/>
      <c r="E26" s="13"/>
      <c r="F26" s="13"/>
      <c r="G26" s="13"/>
      <c r="H26" s="13"/>
      <c r="I26" s="21"/>
      <c r="J26" s="17"/>
    </row>
    <row r="27" spans="1:13" s="10" customFormat="1" ht="25.35" customHeight="1" x14ac:dyDescent="0.25">
      <c r="A27" s="1537" t="s">
        <v>37</v>
      </c>
      <c r="B27" s="1538"/>
      <c r="C27" s="91">
        <v>200</v>
      </c>
      <c r="D27" s="92"/>
      <c r="E27" s="5"/>
      <c r="F27" s="5"/>
      <c r="G27" s="5"/>
      <c r="H27" s="5"/>
      <c r="I27" s="21"/>
      <c r="J27" s="17"/>
    </row>
    <row r="28" spans="1:13" s="10" customFormat="1" ht="15" customHeight="1" x14ac:dyDescent="0.25">
      <c r="A28" s="1539" t="s">
        <v>38</v>
      </c>
      <c r="B28" s="1540"/>
      <c r="C28" s="92">
        <f>C26/C27</f>
        <v>5</v>
      </c>
      <c r="D28" s="92"/>
      <c r="E28" s="5"/>
      <c r="F28" s="5"/>
      <c r="G28" s="5"/>
      <c r="H28" s="5"/>
      <c r="I28" s="21"/>
      <c r="J28" s="17"/>
    </row>
    <row r="29" spans="1:13" ht="16.350000000000001" customHeight="1" x14ac:dyDescent="0.25">
      <c r="A29" s="1541" t="s">
        <v>39</v>
      </c>
      <c r="B29" s="1542"/>
      <c r="C29" s="15" t="s">
        <v>40</v>
      </c>
      <c r="D29" s="102"/>
      <c r="E29" s="102" t="s">
        <v>40</v>
      </c>
      <c r="F29" s="16">
        <f>F25/C28</f>
        <v>6.18</v>
      </c>
      <c r="G29" s="16"/>
      <c r="H29" s="16"/>
      <c r="I29" s="102" t="s">
        <v>40</v>
      </c>
      <c r="J29" s="102" t="s">
        <v>40</v>
      </c>
    </row>
    <row r="30" spans="1:13" ht="23.1" customHeight="1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3" ht="13.95" customHeight="1" x14ac:dyDescent="0.25">
      <c r="A31" s="1193"/>
      <c r="B31" s="1194" t="s">
        <v>49</v>
      </c>
      <c r="C31" s="1198"/>
      <c r="D31" s="1198"/>
      <c r="E31" s="1198"/>
      <c r="F31" s="1198"/>
      <c r="G31" s="1193"/>
      <c r="H31" s="1557">
        <f>'1-бутерброд с маслом'!$H$28</f>
        <v>0</v>
      </c>
      <c r="I31" s="1557"/>
      <c r="J31" s="1557"/>
    </row>
    <row r="32" spans="1:13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545" t="s">
        <v>327</v>
      </c>
      <c r="B33" s="1545"/>
      <c r="C33" s="1546" t="s">
        <v>328</v>
      </c>
      <c r="D33" s="1546"/>
      <c r="E33" s="1546"/>
      <c r="F33" s="1546"/>
      <c r="G33" s="106"/>
      <c r="H33" s="1531"/>
      <c r="I33" s="1531"/>
      <c r="J33" s="1531"/>
    </row>
    <row r="34" spans="1:10" x14ac:dyDescent="0.25">
      <c r="A34" s="1193"/>
      <c r="B34" s="1193"/>
      <c r="C34" s="1546"/>
      <c r="D34" s="1546"/>
      <c r="E34" s="1546"/>
      <c r="F34" s="1546"/>
      <c r="G34" s="1193"/>
      <c r="H34" s="1531" t="s">
        <v>329</v>
      </c>
      <c r="I34" s="1531"/>
      <c r="J34" s="1531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</sheetData>
  <mergeCells count="28">
    <mergeCell ref="A26:B26"/>
    <mergeCell ref="A13:G13"/>
    <mergeCell ref="A27:B27"/>
    <mergeCell ref="A28:B28"/>
    <mergeCell ref="A29:B29"/>
    <mergeCell ref="A16:A17"/>
    <mergeCell ref="B16:B17"/>
    <mergeCell ref="A25:B25"/>
    <mergeCell ref="A6:G6"/>
    <mergeCell ref="A7:I7"/>
    <mergeCell ref="C16:F16"/>
    <mergeCell ref="G16:H16"/>
    <mergeCell ref="I16:J16"/>
    <mergeCell ref="A9:J9"/>
    <mergeCell ref="A11:J11"/>
    <mergeCell ref="I13:J13"/>
    <mergeCell ref="C14:G14"/>
    <mergeCell ref="I14:J14"/>
    <mergeCell ref="G1:J1"/>
    <mergeCell ref="G2:J2"/>
    <mergeCell ref="G3:J3"/>
    <mergeCell ref="A5:G5"/>
    <mergeCell ref="H5:I5"/>
    <mergeCell ref="A33:B33"/>
    <mergeCell ref="C33:F34"/>
    <mergeCell ref="H33:J33"/>
    <mergeCell ref="H34:J34"/>
    <mergeCell ref="H31:J3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M35"/>
  <sheetViews>
    <sheetView view="pageBreakPreview" topLeftCell="A8" zoomScaleNormal="100" zoomScaleSheetLayoutView="100" workbookViewId="0">
      <selection activeCell="L19" sqref="L19:M23"/>
    </sheetView>
  </sheetViews>
  <sheetFormatPr defaultColWidth="8.88671875" defaultRowHeight="13.8" x14ac:dyDescent="0.25"/>
  <cols>
    <col min="1" max="1" width="4.109375" style="1181" customWidth="1"/>
    <col min="2" max="2" width="20.5546875" style="1181" customWidth="1"/>
    <col min="3" max="7" width="7.5546875" style="1181" customWidth="1"/>
    <col min="8" max="8" width="8.88671875" style="1181" customWidth="1"/>
    <col min="9" max="9" width="7.5546875" style="1181" customWidth="1"/>
    <col min="10" max="10" width="9" style="1181" customWidth="1"/>
    <col min="11" max="11" width="3.88671875" style="1181" customWidth="1"/>
    <col min="12" max="16384" width="8.88671875" style="118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272)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186">
        <v>346</v>
      </c>
    </row>
    <row r="8" spans="1:10" s="2" customFormat="1" ht="9.6" customHeight="1" x14ac:dyDescent="0.25">
      <c r="A8" s="1185"/>
      <c r="B8" s="1185"/>
      <c r="C8" s="1185"/>
      <c r="D8" s="1185"/>
      <c r="E8" s="1185"/>
      <c r="F8" s="1185"/>
      <c r="G8" s="1185"/>
      <c r="H8" s="1185"/>
      <c r="I8" s="1185"/>
      <c r="J8" s="109"/>
    </row>
    <row r="9" spans="1:10" s="2" customFormat="1" ht="26.1" customHeight="1" x14ac:dyDescent="0.3">
      <c r="A9" s="1550" t="s">
        <v>1323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'344-компот яблок и слив'!H14+1</f>
        <v>272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1182" t="s">
        <v>92</v>
      </c>
      <c r="D17" s="1182" t="s">
        <v>94</v>
      </c>
      <c r="E17" s="1182" t="s">
        <v>93</v>
      </c>
      <c r="F17" s="1182" t="s">
        <v>23</v>
      </c>
      <c r="G17" s="1182" t="s">
        <v>92</v>
      </c>
      <c r="H17" s="1182" t="s">
        <v>94</v>
      </c>
      <c r="I17" s="1182" t="s">
        <v>92</v>
      </c>
      <c r="J17" s="1182" t="s">
        <v>94</v>
      </c>
    </row>
    <row r="18" spans="1:13" ht="9.6" customHeight="1" x14ac:dyDescent="0.25">
      <c r="A18" s="1182">
        <v>1</v>
      </c>
      <c r="B18" s="1184">
        <v>2</v>
      </c>
      <c r="C18" s="1182">
        <v>3</v>
      </c>
      <c r="D18" s="1184">
        <v>4</v>
      </c>
      <c r="E18" s="1182">
        <v>5</v>
      </c>
      <c r="F18" s="1184">
        <v>6</v>
      </c>
      <c r="G18" s="1182">
        <v>7</v>
      </c>
      <c r="H18" s="1184">
        <v>8</v>
      </c>
      <c r="I18" s="1182">
        <v>9</v>
      </c>
      <c r="J18" s="1184">
        <v>10</v>
      </c>
    </row>
    <row r="19" spans="1:13" s="10" customFormat="1" ht="14.1" customHeight="1" x14ac:dyDescent="0.25">
      <c r="A19" s="180"/>
      <c r="B19" s="20" t="s">
        <v>506</v>
      </c>
      <c r="C19" s="21">
        <v>0.373</v>
      </c>
      <c r="D19" s="125">
        <v>0.25</v>
      </c>
      <c r="E19" s="408">
        <f>цены!F64</f>
        <v>124</v>
      </c>
      <c r="F19" s="408">
        <f>C19*E19</f>
        <v>46.25</v>
      </c>
      <c r="G19" s="97">
        <f t="shared" ref="G19:H22" si="0">C19*10</f>
        <v>3.73</v>
      </c>
      <c r="H19" s="21">
        <f t="shared" si="0"/>
        <v>2.5</v>
      </c>
      <c r="I19" s="21">
        <f t="shared" ref="I19:J22" si="1">C19*100</f>
        <v>37.299999999999997</v>
      </c>
      <c r="J19" s="21">
        <f t="shared" si="1"/>
        <v>25</v>
      </c>
      <c r="L19" s="1219">
        <f>C19/C$27</f>
        <v>7.46E-2</v>
      </c>
      <c r="M19" s="1219">
        <f>F19/C$27</f>
        <v>9.25</v>
      </c>
    </row>
    <row r="20" spans="1:13" s="10" customFormat="1" ht="12" customHeight="1" x14ac:dyDescent="0.25">
      <c r="A20" s="180"/>
      <c r="B20" s="20" t="s">
        <v>134</v>
      </c>
      <c r="C20" s="21">
        <v>0.15</v>
      </c>
      <c r="D20" s="111">
        <v>0.15</v>
      </c>
      <c r="E20" s="408">
        <f>цены!F107</f>
        <v>76</v>
      </c>
      <c r="F20" s="408">
        <f>C20*E20</f>
        <v>11.4</v>
      </c>
      <c r="G20" s="97">
        <f t="shared" si="0"/>
        <v>1.5</v>
      </c>
      <c r="H20" s="21">
        <f t="shared" si="0"/>
        <v>1.5</v>
      </c>
      <c r="I20" s="21">
        <f t="shared" si="1"/>
        <v>15</v>
      </c>
      <c r="J20" s="21">
        <f t="shared" si="1"/>
        <v>15</v>
      </c>
      <c r="L20" s="1219">
        <f t="shared" ref="L20:L22" si="2">C20/C$27</f>
        <v>0.03</v>
      </c>
      <c r="M20" s="1219">
        <f t="shared" ref="M20:M22" si="3">F20/C$27</f>
        <v>2.2799999999999998</v>
      </c>
    </row>
    <row r="21" spans="1:13" s="10" customFormat="1" ht="12" customHeight="1" x14ac:dyDescent="0.25">
      <c r="A21" s="180"/>
      <c r="B21" s="20" t="s">
        <v>1324</v>
      </c>
      <c r="C21" s="21">
        <v>2.5000000000000001E-2</v>
      </c>
      <c r="D21" s="125">
        <v>2.5000000000000001E-2</v>
      </c>
      <c r="E21" s="408">
        <f>цены!F64</f>
        <v>124</v>
      </c>
      <c r="F21" s="408">
        <f>C21*E21</f>
        <v>3.1</v>
      </c>
      <c r="G21" s="97">
        <f t="shared" si="0"/>
        <v>0.25</v>
      </c>
      <c r="H21" s="21">
        <f t="shared" si="0"/>
        <v>0.25</v>
      </c>
      <c r="I21" s="21">
        <f t="shared" si="1"/>
        <v>2.5</v>
      </c>
      <c r="J21" s="21">
        <f t="shared" si="1"/>
        <v>2.5</v>
      </c>
      <c r="L21" s="1219">
        <f t="shared" si="2"/>
        <v>5.0000000000000001E-3</v>
      </c>
      <c r="M21" s="1219">
        <f t="shared" si="3"/>
        <v>0.62</v>
      </c>
    </row>
    <row r="22" spans="1:13" s="10" customFormat="1" ht="12" customHeight="1" x14ac:dyDescent="0.25">
      <c r="A22" s="180"/>
      <c r="B22" s="20" t="s">
        <v>28</v>
      </c>
      <c r="C22" s="21">
        <v>0.625</v>
      </c>
      <c r="D22" s="111">
        <v>0.625</v>
      </c>
      <c r="E22" s="408"/>
      <c r="F22" s="408">
        <f>C22*E22</f>
        <v>0</v>
      </c>
      <c r="G22" s="97">
        <f t="shared" si="0"/>
        <v>6.25</v>
      </c>
      <c r="H22" s="21">
        <f t="shared" si="0"/>
        <v>6.25</v>
      </c>
      <c r="I22" s="21">
        <f t="shared" si="1"/>
        <v>62.5</v>
      </c>
      <c r="J22" s="21">
        <f t="shared" si="1"/>
        <v>62.5</v>
      </c>
      <c r="L22" s="1219">
        <f t="shared" si="2"/>
        <v>0.125</v>
      </c>
      <c r="M22" s="1219">
        <f t="shared" si="3"/>
        <v>0</v>
      </c>
    </row>
    <row r="23" spans="1:13" s="10" customFormat="1" ht="12" customHeight="1" x14ac:dyDescent="0.25">
      <c r="A23" s="98"/>
      <c r="B23" s="93" t="s">
        <v>100</v>
      </c>
      <c r="C23" s="112"/>
      <c r="D23" s="112">
        <v>1</v>
      </c>
      <c r="E23" s="95"/>
      <c r="F23" s="95">
        <f>SUM(F19:F22)</f>
        <v>60.75</v>
      </c>
      <c r="G23" s="99"/>
      <c r="H23" s="100">
        <f>D23*10</f>
        <v>10</v>
      </c>
      <c r="I23" s="100"/>
      <c r="J23" s="100">
        <f>D23*100</f>
        <v>100</v>
      </c>
      <c r="L23" s="1219">
        <f>SUM(L19:L22)</f>
        <v>0.2346</v>
      </c>
      <c r="M23" s="1219">
        <f>SUM(M19:M22)</f>
        <v>12.15</v>
      </c>
    </row>
    <row r="24" spans="1:13" s="10" customFormat="1" ht="27.6" customHeight="1" x14ac:dyDescent="0.25">
      <c r="A24" s="1536" t="s">
        <v>35</v>
      </c>
      <c r="B24" s="1536"/>
      <c r="C24" s="90"/>
      <c r="D24" s="90"/>
      <c r="E24" s="408"/>
      <c r="F24" s="408">
        <f>F23</f>
        <v>60.75</v>
      </c>
      <c r="G24" s="1183"/>
      <c r="H24" s="1183"/>
      <c r="I24" s="21"/>
      <c r="J24" s="408"/>
    </row>
    <row r="25" spans="1:13" s="10" customFormat="1" ht="25.35" customHeight="1" x14ac:dyDescent="0.25">
      <c r="A25" s="1536" t="s">
        <v>36</v>
      </c>
      <c r="B25" s="1536"/>
      <c r="C25" s="90">
        <v>1000</v>
      </c>
      <c r="D25" s="90"/>
      <c r="E25" s="408"/>
      <c r="F25" s="408"/>
      <c r="G25" s="408"/>
      <c r="H25" s="408"/>
      <c r="I25" s="21"/>
      <c r="J25" s="17"/>
    </row>
    <row r="26" spans="1:13" s="10" customFormat="1" ht="25.35" customHeight="1" x14ac:dyDescent="0.25">
      <c r="A26" s="1537" t="s">
        <v>37</v>
      </c>
      <c r="B26" s="1538"/>
      <c r="C26" s="91">
        <v>200</v>
      </c>
      <c r="D26" s="92"/>
      <c r="E26" s="1184"/>
      <c r="F26" s="1184"/>
      <c r="G26" s="1184"/>
      <c r="H26" s="1184"/>
      <c r="I26" s="21"/>
      <c r="J26" s="17"/>
    </row>
    <row r="27" spans="1:13" s="10" customFormat="1" ht="15" customHeight="1" x14ac:dyDescent="0.25">
      <c r="A27" s="1539" t="s">
        <v>38</v>
      </c>
      <c r="B27" s="1540"/>
      <c r="C27" s="92">
        <f>C25/C26</f>
        <v>5</v>
      </c>
      <c r="D27" s="92"/>
      <c r="E27" s="1184"/>
      <c r="F27" s="1184"/>
      <c r="G27" s="1184"/>
      <c r="H27" s="1184"/>
      <c r="I27" s="21"/>
      <c r="J27" s="17"/>
    </row>
    <row r="28" spans="1:13" ht="16.350000000000001" customHeight="1" x14ac:dyDescent="0.25">
      <c r="A28" s="1541" t="s">
        <v>39</v>
      </c>
      <c r="B28" s="1542"/>
      <c r="C28" s="15" t="s">
        <v>40</v>
      </c>
      <c r="D28" s="102"/>
      <c r="E28" s="102" t="s">
        <v>40</v>
      </c>
      <c r="F28" s="16">
        <f>F24/C27</f>
        <v>12.15</v>
      </c>
      <c r="G28" s="16"/>
      <c r="H28" s="16"/>
      <c r="I28" s="102" t="s">
        <v>40</v>
      </c>
      <c r="J28" s="102" t="s">
        <v>40</v>
      </c>
    </row>
    <row r="29" spans="1:13" ht="23.1" customHeight="1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3" ht="13.95" customHeight="1" x14ac:dyDescent="0.25">
      <c r="A30" s="1193"/>
      <c r="B30" s="1194" t="s">
        <v>49</v>
      </c>
      <c r="C30" s="1198"/>
      <c r="D30" s="1198"/>
      <c r="E30" s="1198"/>
      <c r="F30" s="1198"/>
      <c r="G30" s="1193"/>
      <c r="H30" s="1557">
        <f>'1-бутерброд с маслом'!$H$28</f>
        <v>0</v>
      </c>
      <c r="I30" s="1557"/>
      <c r="J30" s="1557"/>
    </row>
    <row r="31" spans="1:13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3" ht="13.95" customHeight="1" x14ac:dyDescent="0.25">
      <c r="A32" s="1545" t="s">
        <v>327</v>
      </c>
      <c r="B32" s="1545"/>
      <c r="C32" s="1546" t="s">
        <v>328</v>
      </c>
      <c r="D32" s="1546"/>
      <c r="E32" s="1546"/>
      <c r="F32" s="1546"/>
      <c r="G32" s="106"/>
      <c r="H32" s="1531"/>
      <c r="I32" s="1531"/>
      <c r="J32" s="1531"/>
    </row>
    <row r="33" spans="1:10" x14ac:dyDescent="0.25">
      <c r="A33" s="1193"/>
      <c r="B33" s="1193"/>
      <c r="C33" s="1546"/>
      <c r="D33" s="1546"/>
      <c r="E33" s="1546"/>
      <c r="F33" s="1546"/>
      <c r="G33" s="1193"/>
      <c r="H33" s="1531" t="s">
        <v>329</v>
      </c>
      <c r="I33" s="1531"/>
      <c r="J33" s="1531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</sheetData>
  <mergeCells count="28">
    <mergeCell ref="H30:J30"/>
    <mergeCell ref="A13:G13"/>
    <mergeCell ref="A25:B25"/>
    <mergeCell ref="A26:B26"/>
    <mergeCell ref="A27:B27"/>
    <mergeCell ref="A28:B28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2:B32"/>
    <mergeCell ref="C32:F33"/>
    <mergeCell ref="H32:J32"/>
    <mergeCell ref="H33:J33"/>
    <mergeCell ref="H5:I5"/>
    <mergeCell ref="A6:G6"/>
    <mergeCell ref="A7:I7"/>
    <mergeCell ref="A24:B24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M35"/>
  <sheetViews>
    <sheetView view="pageBreakPreview" topLeftCell="A6" zoomScaleNormal="100" zoomScaleSheetLayoutView="100" workbookViewId="0">
      <selection activeCell="L19" sqref="L19:M23"/>
    </sheetView>
  </sheetViews>
  <sheetFormatPr defaultColWidth="8.88671875" defaultRowHeight="13.8" x14ac:dyDescent="0.25"/>
  <cols>
    <col min="1" max="1" width="4.109375" style="1181" customWidth="1"/>
    <col min="2" max="2" width="20.5546875" style="1181" customWidth="1"/>
    <col min="3" max="7" width="7.5546875" style="1181" customWidth="1"/>
    <col min="8" max="8" width="8.88671875" style="1181" customWidth="1"/>
    <col min="9" max="9" width="7.5546875" style="1181" customWidth="1"/>
    <col min="10" max="10" width="9" style="1181" customWidth="1"/>
    <col min="11" max="11" width="3.88671875" style="1181" customWidth="1"/>
    <col min="12" max="16384" width="8.88671875" style="118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273)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186">
        <v>346</v>
      </c>
    </row>
    <row r="8" spans="1:10" s="2" customFormat="1" ht="9.6" customHeight="1" x14ac:dyDescent="0.25">
      <c r="A8" s="1185"/>
      <c r="B8" s="1185"/>
      <c r="C8" s="1185"/>
      <c r="D8" s="1185"/>
      <c r="E8" s="1185"/>
      <c r="F8" s="1185"/>
      <c r="G8" s="1185"/>
      <c r="H8" s="1185"/>
      <c r="I8" s="1185"/>
      <c r="J8" s="109"/>
    </row>
    <row r="9" spans="1:10" s="2" customFormat="1" ht="26.1" customHeight="1" x14ac:dyDescent="0.3">
      <c r="A9" s="1550" t="s">
        <v>1325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'346-компот апельсины'!H14+1</f>
        <v>273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1182" t="s">
        <v>92</v>
      </c>
      <c r="D17" s="1182" t="s">
        <v>94</v>
      </c>
      <c r="E17" s="1182" t="s">
        <v>93</v>
      </c>
      <c r="F17" s="1182" t="s">
        <v>23</v>
      </c>
      <c r="G17" s="1182" t="s">
        <v>92</v>
      </c>
      <c r="H17" s="1182" t="s">
        <v>94</v>
      </c>
      <c r="I17" s="1182" t="s">
        <v>92</v>
      </c>
      <c r="J17" s="1182" t="s">
        <v>94</v>
      </c>
    </row>
    <row r="18" spans="1:13" ht="9.6" customHeight="1" x14ac:dyDescent="0.25">
      <c r="A18" s="1182">
        <v>1</v>
      </c>
      <c r="B18" s="1184">
        <v>2</v>
      </c>
      <c r="C18" s="1182">
        <v>3</v>
      </c>
      <c r="D18" s="1184">
        <v>4</v>
      </c>
      <c r="E18" s="1182">
        <v>5</v>
      </c>
      <c r="F18" s="1184">
        <v>6</v>
      </c>
      <c r="G18" s="1182">
        <v>7</v>
      </c>
      <c r="H18" s="1184">
        <v>8</v>
      </c>
      <c r="I18" s="1182">
        <v>9</v>
      </c>
      <c r="J18" s="1184">
        <v>10</v>
      </c>
    </row>
    <row r="19" spans="1:13" s="10" customFormat="1" ht="14.1" customHeight="1" x14ac:dyDescent="0.25">
      <c r="A19" s="180"/>
      <c r="B19" s="20" t="s">
        <v>507</v>
      </c>
      <c r="C19" s="21">
        <v>0.33800000000000002</v>
      </c>
      <c r="D19" s="125">
        <v>0.25</v>
      </c>
      <c r="E19" s="408">
        <f>цены!F65</f>
        <v>120</v>
      </c>
      <c r="F19" s="408">
        <f>C19*E19</f>
        <v>40.56</v>
      </c>
      <c r="G19" s="97">
        <f t="shared" ref="G19:H22" si="0">C19*10</f>
        <v>3.38</v>
      </c>
      <c r="H19" s="21">
        <f t="shared" si="0"/>
        <v>2.5</v>
      </c>
      <c r="I19" s="21">
        <f t="shared" ref="I19:J22" si="1">C19*100</f>
        <v>33.799999999999997</v>
      </c>
      <c r="J19" s="21">
        <f t="shared" si="1"/>
        <v>25</v>
      </c>
      <c r="L19" s="1219">
        <f>C19/C$27</f>
        <v>6.7599999999999993E-2</v>
      </c>
      <c r="M19" s="1219">
        <f>F19/C$27</f>
        <v>8.1120000000000001</v>
      </c>
    </row>
    <row r="20" spans="1:13" s="10" customFormat="1" ht="12" customHeight="1" x14ac:dyDescent="0.25">
      <c r="A20" s="180"/>
      <c r="B20" s="20" t="s">
        <v>134</v>
      </c>
      <c r="C20" s="21">
        <v>0.15</v>
      </c>
      <c r="D20" s="111">
        <v>0.15</v>
      </c>
      <c r="E20" s="408">
        <f>цены!F107</f>
        <v>76</v>
      </c>
      <c r="F20" s="408">
        <f>C20*E20</f>
        <v>11.4</v>
      </c>
      <c r="G20" s="97">
        <f t="shared" si="0"/>
        <v>1.5</v>
      </c>
      <c r="H20" s="21">
        <f t="shared" si="0"/>
        <v>1.5</v>
      </c>
      <c r="I20" s="21">
        <f t="shared" si="1"/>
        <v>15</v>
      </c>
      <c r="J20" s="21">
        <f t="shared" si="1"/>
        <v>15</v>
      </c>
      <c r="L20" s="1219">
        <f t="shared" ref="L20:L22" si="2">C20/C$27</f>
        <v>0.03</v>
      </c>
      <c r="M20" s="1219">
        <f t="shared" ref="M20:M22" si="3">F20/C$27</f>
        <v>2.2799999999999998</v>
      </c>
    </row>
    <row r="21" spans="1:13" s="10" customFormat="1" ht="12" customHeight="1" x14ac:dyDescent="0.25">
      <c r="A21" s="180"/>
      <c r="B21" s="20" t="s">
        <v>1324</v>
      </c>
      <c r="C21" s="21">
        <v>2.5000000000000001E-2</v>
      </c>
      <c r="D21" s="125">
        <v>2.5000000000000001E-2</v>
      </c>
      <c r="E21" s="408">
        <f>цены!F65</f>
        <v>120</v>
      </c>
      <c r="F21" s="408">
        <f>C21*E21</f>
        <v>3</v>
      </c>
      <c r="G21" s="97">
        <f t="shared" si="0"/>
        <v>0.25</v>
      </c>
      <c r="H21" s="21">
        <f t="shared" si="0"/>
        <v>0.25</v>
      </c>
      <c r="I21" s="21">
        <f t="shared" si="1"/>
        <v>2.5</v>
      </c>
      <c r="J21" s="21">
        <f t="shared" si="1"/>
        <v>2.5</v>
      </c>
      <c r="L21" s="1219">
        <f t="shared" si="2"/>
        <v>5.0000000000000001E-3</v>
      </c>
      <c r="M21" s="1219">
        <f t="shared" si="3"/>
        <v>0.6</v>
      </c>
    </row>
    <row r="22" spans="1:13" s="10" customFormat="1" ht="12" customHeight="1" x14ac:dyDescent="0.25">
      <c r="A22" s="180"/>
      <c r="B22" s="20" t="s">
        <v>28</v>
      </c>
      <c r="C22" s="21">
        <v>0.625</v>
      </c>
      <c r="D22" s="111">
        <v>0.625</v>
      </c>
      <c r="E22" s="408"/>
      <c r="F22" s="408">
        <f>C22*E22</f>
        <v>0</v>
      </c>
      <c r="G22" s="97">
        <f t="shared" si="0"/>
        <v>6.25</v>
      </c>
      <c r="H22" s="21">
        <f t="shared" si="0"/>
        <v>6.25</v>
      </c>
      <c r="I22" s="21">
        <f t="shared" si="1"/>
        <v>62.5</v>
      </c>
      <c r="J22" s="21">
        <f t="shared" si="1"/>
        <v>62.5</v>
      </c>
      <c r="L22" s="1219">
        <f t="shared" si="2"/>
        <v>0.125</v>
      </c>
      <c r="M22" s="1219">
        <f t="shared" si="3"/>
        <v>0</v>
      </c>
    </row>
    <row r="23" spans="1:13" s="10" customFormat="1" ht="12" customHeight="1" x14ac:dyDescent="0.25">
      <c r="A23" s="98"/>
      <c r="B23" s="93" t="s">
        <v>100</v>
      </c>
      <c r="C23" s="112"/>
      <c r="D23" s="112">
        <v>1</v>
      </c>
      <c r="E23" s="95"/>
      <c r="F23" s="95">
        <f>SUM(F19:F22)</f>
        <v>54.96</v>
      </c>
      <c r="G23" s="99"/>
      <c r="H23" s="100">
        <f>D23*10</f>
        <v>10</v>
      </c>
      <c r="I23" s="100"/>
      <c r="J23" s="100">
        <f>D23*100</f>
        <v>100</v>
      </c>
      <c r="L23" s="1219">
        <f>SUM(L19:L22)</f>
        <v>0.2276</v>
      </c>
      <c r="M23" s="1219">
        <f>SUM(M19:M22)</f>
        <v>10.992000000000001</v>
      </c>
    </row>
    <row r="24" spans="1:13" s="10" customFormat="1" ht="27.6" customHeight="1" x14ac:dyDescent="0.25">
      <c r="A24" s="1536" t="s">
        <v>35</v>
      </c>
      <c r="B24" s="1536"/>
      <c r="C24" s="90"/>
      <c r="D24" s="90"/>
      <c r="E24" s="408"/>
      <c r="F24" s="408">
        <f>F23</f>
        <v>54.96</v>
      </c>
      <c r="G24" s="1183"/>
      <c r="H24" s="1183"/>
      <c r="I24" s="21"/>
      <c r="J24" s="408"/>
    </row>
    <row r="25" spans="1:13" s="10" customFormat="1" ht="25.35" customHeight="1" x14ac:dyDescent="0.25">
      <c r="A25" s="1536" t="s">
        <v>36</v>
      </c>
      <c r="B25" s="1536"/>
      <c r="C25" s="90">
        <v>1000</v>
      </c>
      <c r="D25" s="90"/>
      <c r="E25" s="408"/>
      <c r="F25" s="408"/>
      <c r="G25" s="408"/>
      <c r="H25" s="408"/>
      <c r="I25" s="21"/>
      <c r="J25" s="17"/>
    </row>
    <row r="26" spans="1:13" s="10" customFormat="1" ht="25.35" customHeight="1" x14ac:dyDescent="0.25">
      <c r="A26" s="1537" t="s">
        <v>37</v>
      </c>
      <c r="B26" s="1538"/>
      <c r="C26" s="91">
        <v>200</v>
      </c>
      <c r="D26" s="92"/>
      <c r="E26" s="1184"/>
      <c r="F26" s="1184"/>
      <c r="G26" s="1184"/>
      <c r="H26" s="1184"/>
      <c r="I26" s="21"/>
      <c r="J26" s="17"/>
    </row>
    <row r="27" spans="1:13" s="10" customFormat="1" ht="15" customHeight="1" x14ac:dyDescent="0.25">
      <c r="A27" s="1539" t="s">
        <v>38</v>
      </c>
      <c r="B27" s="1540"/>
      <c r="C27" s="92">
        <f>C25/C26</f>
        <v>5</v>
      </c>
      <c r="D27" s="92"/>
      <c r="E27" s="1184"/>
      <c r="F27" s="1184"/>
      <c r="G27" s="1184"/>
      <c r="H27" s="1184"/>
      <c r="I27" s="21"/>
      <c r="J27" s="17"/>
    </row>
    <row r="28" spans="1:13" ht="16.350000000000001" customHeight="1" x14ac:dyDescent="0.25">
      <c r="A28" s="1541" t="s">
        <v>39</v>
      </c>
      <c r="B28" s="1542"/>
      <c r="C28" s="15" t="s">
        <v>40</v>
      </c>
      <c r="D28" s="102"/>
      <c r="E28" s="102" t="s">
        <v>40</v>
      </c>
      <c r="F28" s="16">
        <f>F24/C27</f>
        <v>10.99</v>
      </c>
      <c r="G28" s="16"/>
      <c r="H28" s="16"/>
      <c r="I28" s="102" t="s">
        <v>40</v>
      </c>
      <c r="J28" s="102" t="s">
        <v>40</v>
      </c>
    </row>
    <row r="29" spans="1:13" ht="23.1" customHeight="1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3" ht="13.95" customHeight="1" x14ac:dyDescent="0.25">
      <c r="A30" s="1193"/>
      <c r="B30" s="1194" t="s">
        <v>49</v>
      </c>
      <c r="C30" s="1198"/>
      <c r="D30" s="1198"/>
      <c r="E30" s="1198"/>
      <c r="F30" s="1198"/>
      <c r="G30" s="1193"/>
      <c r="H30" s="1557">
        <f>'1-бутерброд с маслом'!$H$28</f>
        <v>0</v>
      </c>
      <c r="I30" s="1557"/>
      <c r="J30" s="1557"/>
    </row>
    <row r="31" spans="1:13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3" ht="13.95" customHeight="1" x14ac:dyDescent="0.25">
      <c r="A32" s="1545" t="s">
        <v>327</v>
      </c>
      <c r="B32" s="1545"/>
      <c r="C32" s="1546" t="s">
        <v>328</v>
      </c>
      <c r="D32" s="1546"/>
      <c r="E32" s="1546"/>
      <c r="F32" s="1546"/>
      <c r="G32" s="106"/>
      <c r="H32" s="1531"/>
      <c r="I32" s="1531"/>
      <c r="J32" s="1531"/>
    </row>
    <row r="33" spans="1:10" x14ac:dyDescent="0.25">
      <c r="A33" s="1193"/>
      <c r="B33" s="1193"/>
      <c r="C33" s="1546"/>
      <c r="D33" s="1546"/>
      <c r="E33" s="1546"/>
      <c r="F33" s="1546"/>
      <c r="G33" s="1193"/>
      <c r="H33" s="1531" t="s">
        <v>329</v>
      </c>
      <c r="I33" s="1531"/>
      <c r="J33" s="1531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</sheetData>
  <mergeCells count="28">
    <mergeCell ref="H30:J30"/>
    <mergeCell ref="A13:G13"/>
    <mergeCell ref="A25:B25"/>
    <mergeCell ref="A26:B26"/>
    <mergeCell ref="A27:B27"/>
    <mergeCell ref="A28:B28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2:B32"/>
    <mergeCell ref="C32:F33"/>
    <mergeCell ref="H32:J32"/>
    <mergeCell ref="H33:J33"/>
    <mergeCell ref="H5:I5"/>
    <mergeCell ref="A6:G6"/>
    <mergeCell ref="A7:I7"/>
    <mergeCell ref="A24:B24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M35"/>
  <sheetViews>
    <sheetView view="pageBreakPreview" topLeftCell="A11" zoomScaleNormal="100" zoomScaleSheetLayoutView="100" workbookViewId="0">
      <selection activeCell="E21" sqref="E21"/>
    </sheetView>
  </sheetViews>
  <sheetFormatPr defaultColWidth="8.88671875" defaultRowHeight="13.8" x14ac:dyDescent="0.25"/>
  <cols>
    <col min="1" max="1" width="4.109375" style="1181" customWidth="1"/>
    <col min="2" max="2" width="20.5546875" style="1181" customWidth="1"/>
    <col min="3" max="7" width="7.5546875" style="1181" customWidth="1"/>
    <col min="8" max="8" width="8.88671875" style="1181" customWidth="1"/>
    <col min="9" max="9" width="7.5546875" style="1181" customWidth="1"/>
    <col min="10" max="10" width="9" style="1181" customWidth="1"/>
    <col min="11" max="11" width="4.44140625" style="1181" customWidth="1"/>
    <col min="12" max="16384" width="8.88671875" style="118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274)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186">
        <v>347</v>
      </c>
    </row>
    <row r="8" spans="1:10" s="2" customFormat="1" ht="9.6" customHeight="1" x14ac:dyDescent="0.25">
      <c r="A8" s="1185"/>
      <c r="B8" s="1185"/>
      <c r="C8" s="1185"/>
      <c r="D8" s="1185"/>
      <c r="E8" s="1185"/>
      <c r="F8" s="1185"/>
      <c r="G8" s="1185"/>
      <c r="H8" s="1185"/>
      <c r="I8" s="1185"/>
      <c r="J8" s="109"/>
    </row>
    <row r="9" spans="1:10" s="2" customFormat="1" ht="26.1" customHeight="1" x14ac:dyDescent="0.3">
      <c r="A9" s="1550" t="s">
        <v>1320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'346-компот мандарины'!H14+1</f>
        <v>274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1182" t="s">
        <v>92</v>
      </c>
      <c r="D17" s="1182" t="s">
        <v>94</v>
      </c>
      <c r="E17" s="1182" t="s">
        <v>93</v>
      </c>
      <c r="F17" s="1182" t="s">
        <v>23</v>
      </c>
      <c r="G17" s="1182" t="s">
        <v>92</v>
      </c>
      <c r="H17" s="1182" t="s">
        <v>94</v>
      </c>
      <c r="I17" s="1182" t="s">
        <v>92</v>
      </c>
      <c r="J17" s="1182" t="s">
        <v>94</v>
      </c>
    </row>
    <row r="18" spans="1:13" ht="9.6" customHeight="1" x14ac:dyDescent="0.25">
      <c r="A18" s="1182">
        <v>1</v>
      </c>
      <c r="B18" s="1184">
        <v>2</v>
      </c>
      <c r="C18" s="1182">
        <v>3</v>
      </c>
      <c r="D18" s="1184">
        <v>4</v>
      </c>
      <c r="E18" s="1182">
        <v>5</v>
      </c>
      <c r="F18" s="1184">
        <v>6</v>
      </c>
      <c r="G18" s="1182">
        <v>7</v>
      </c>
      <c r="H18" s="1184">
        <v>8</v>
      </c>
      <c r="I18" s="1182">
        <v>9</v>
      </c>
      <c r="J18" s="1184">
        <v>10</v>
      </c>
    </row>
    <row r="19" spans="1:13" s="10" customFormat="1" ht="16.95" customHeight="1" x14ac:dyDescent="0.25">
      <c r="A19" s="180">
        <v>5</v>
      </c>
      <c r="B19" s="20" t="s">
        <v>936</v>
      </c>
      <c r="C19" s="21">
        <v>0.36499999999999999</v>
      </c>
      <c r="D19" s="111">
        <v>0.36499999999999999</v>
      </c>
      <c r="E19" s="408">
        <f>цены!F127</f>
        <v>181</v>
      </c>
      <c r="F19" s="408">
        <f>C19*E19</f>
        <v>66.069999999999993</v>
      </c>
      <c r="G19" s="97">
        <f t="shared" ref="G19:H22" si="0">C19*10</f>
        <v>3.65</v>
      </c>
      <c r="H19" s="21">
        <f t="shared" si="0"/>
        <v>3.65</v>
      </c>
      <c r="I19" s="21">
        <f t="shared" ref="I19:J22" si="1">C19*100</f>
        <v>36.5</v>
      </c>
      <c r="J19" s="21">
        <f t="shared" si="1"/>
        <v>36.5</v>
      </c>
      <c r="L19" s="1219">
        <f>C19/C$27</f>
        <v>7.2999999999999995E-2</v>
      </c>
      <c r="M19" s="1219">
        <f>F19/C$27</f>
        <v>13.214</v>
      </c>
    </row>
    <row r="20" spans="1:13" s="10" customFormat="1" ht="12" customHeight="1" x14ac:dyDescent="0.25">
      <c r="A20" s="180">
        <v>6</v>
      </c>
      <c r="B20" s="20" t="s">
        <v>134</v>
      </c>
      <c r="C20" s="21">
        <v>6.5000000000000002E-2</v>
      </c>
      <c r="D20" s="111">
        <v>6.5000000000000002E-2</v>
      </c>
      <c r="E20" s="408">
        <f>цены!F107</f>
        <v>76</v>
      </c>
      <c r="F20" s="408">
        <f>C20*E20</f>
        <v>4.9400000000000004</v>
      </c>
      <c r="G20" s="97">
        <f t="shared" si="0"/>
        <v>0.65</v>
      </c>
      <c r="H20" s="21">
        <f t="shared" si="0"/>
        <v>0.65</v>
      </c>
      <c r="I20" s="21">
        <f t="shared" si="1"/>
        <v>6.5</v>
      </c>
      <c r="J20" s="21">
        <f t="shared" si="1"/>
        <v>6.5</v>
      </c>
      <c r="L20" s="1219">
        <f t="shared" ref="L20:L22" si="2">C20/C$27</f>
        <v>1.2999999999999999E-2</v>
      </c>
      <c r="M20" s="1219">
        <f t="shared" ref="M20:M22" si="3">F20/C$27</f>
        <v>0.98799999999999999</v>
      </c>
    </row>
    <row r="21" spans="1:13" s="10" customFormat="1" ht="23.25" customHeight="1" x14ac:dyDescent="0.25">
      <c r="A21" s="180">
        <v>7</v>
      </c>
      <c r="B21" s="20" t="s">
        <v>433</v>
      </c>
      <c r="C21" s="21">
        <v>0.3</v>
      </c>
      <c r="D21" s="111">
        <v>0.3</v>
      </c>
      <c r="E21" s="408">
        <f>цены!F127</f>
        <v>181</v>
      </c>
      <c r="F21" s="408">
        <f>C21*E21</f>
        <v>54.3</v>
      </c>
      <c r="G21" s="97">
        <f t="shared" si="0"/>
        <v>3</v>
      </c>
      <c r="H21" s="21">
        <f t="shared" si="0"/>
        <v>3</v>
      </c>
      <c r="I21" s="21">
        <f t="shared" si="1"/>
        <v>30</v>
      </c>
      <c r="J21" s="21">
        <f t="shared" si="1"/>
        <v>30</v>
      </c>
      <c r="L21" s="1219">
        <f t="shared" si="2"/>
        <v>0.06</v>
      </c>
      <c r="M21" s="1219">
        <f t="shared" si="3"/>
        <v>10.86</v>
      </c>
    </row>
    <row r="22" spans="1:13" s="10" customFormat="1" ht="12.75" customHeight="1" x14ac:dyDescent="0.25">
      <c r="A22" s="180"/>
      <c r="B22" s="20" t="s">
        <v>434</v>
      </c>
      <c r="C22" s="21">
        <v>0.33</v>
      </c>
      <c r="D22" s="111">
        <v>0.33</v>
      </c>
      <c r="E22" s="408">
        <v>0</v>
      </c>
      <c r="F22" s="408">
        <f>C22*E22</f>
        <v>0</v>
      </c>
      <c r="G22" s="97">
        <f t="shared" si="0"/>
        <v>3.3</v>
      </c>
      <c r="H22" s="21">
        <f t="shared" si="0"/>
        <v>3.3</v>
      </c>
      <c r="I22" s="21">
        <f t="shared" si="1"/>
        <v>33</v>
      </c>
      <c r="J22" s="21">
        <f t="shared" si="1"/>
        <v>33</v>
      </c>
      <c r="L22" s="1219">
        <f t="shared" si="2"/>
        <v>6.6000000000000003E-2</v>
      </c>
      <c r="M22" s="1219">
        <f t="shared" si="3"/>
        <v>0</v>
      </c>
    </row>
    <row r="23" spans="1:13" s="10" customFormat="1" ht="12" customHeight="1" x14ac:dyDescent="0.25">
      <c r="A23" s="98"/>
      <c r="B23" s="93" t="s">
        <v>100</v>
      </c>
      <c r="C23" s="112"/>
      <c r="D23" s="1028">
        <v>1000</v>
      </c>
      <c r="E23" s="95"/>
      <c r="F23" s="95">
        <f>SUM(F19:F22)</f>
        <v>125.31</v>
      </c>
      <c r="G23" s="99"/>
      <c r="H23" s="1028">
        <f>D23*10</f>
        <v>10000</v>
      </c>
      <c r="I23" s="1028"/>
      <c r="J23" s="1028">
        <f>D23*100</f>
        <v>100000</v>
      </c>
      <c r="L23" s="1219">
        <f>SUM(L19:L22)</f>
        <v>0.21199999999999999</v>
      </c>
      <c r="M23" s="1219">
        <f>SUM(M19:M22)</f>
        <v>25.062000000000001</v>
      </c>
    </row>
    <row r="24" spans="1:13" s="10" customFormat="1" ht="27.6" customHeight="1" x14ac:dyDescent="0.25">
      <c r="A24" s="1536" t="s">
        <v>35</v>
      </c>
      <c r="B24" s="1536"/>
      <c r="C24" s="90"/>
      <c r="D24" s="90"/>
      <c r="E24" s="408"/>
      <c r="F24" s="408">
        <f>F23</f>
        <v>125.31</v>
      </c>
      <c r="G24" s="1183"/>
      <c r="H24" s="1183"/>
      <c r="I24" s="21"/>
      <c r="J24" s="408"/>
    </row>
    <row r="25" spans="1:13" s="10" customFormat="1" ht="25.35" customHeight="1" x14ac:dyDescent="0.25">
      <c r="A25" s="1536" t="s">
        <v>36</v>
      </c>
      <c r="B25" s="1536"/>
      <c r="C25" s="90">
        <v>1000</v>
      </c>
      <c r="D25" s="90"/>
      <c r="E25" s="408"/>
      <c r="F25" s="408"/>
      <c r="G25" s="408"/>
      <c r="H25" s="408"/>
      <c r="I25" s="21"/>
      <c r="J25" s="17"/>
    </row>
    <row r="26" spans="1:13" s="10" customFormat="1" ht="25.35" customHeight="1" x14ac:dyDescent="0.25">
      <c r="A26" s="1537" t="s">
        <v>37</v>
      </c>
      <c r="B26" s="1538"/>
      <c r="C26" s="91">
        <v>200</v>
      </c>
      <c r="D26" s="92"/>
      <c r="E26" s="1184"/>
      <c r="F26" s="1184"/>
      <c r="G26" s="1184"/>
      <c r="H26" s="1184"/>
      <c r="I26" s="21"/>
      <c r="J26" s="17"/>
    </row>
    <row r="27" spans="1:13" s="10" customFormat="1" ht="15" customHeight="1" x14ac:dyDescent="0.25">
      <c r="A27" s="1539" t="s">
        <v>38</v>
      </c>
      <c r="B27" s="1540"/>
      <c r="C27" s="92">
        <f>C25/C26</f>
        <v>5</v>
      </c>
      <c r="D27" s="92"/>
      <c r="E27" s="1184"/>
      <c r="F27" s="1184"/>
      <c r="G27" s="1184"/>
      <c r="H27" s="1184"/>
      <c r="I27" s="21"/>
      <c r="J27" s="17"/>
    </row>
    <row r="28" spans="1:13" ht="16.350000000000001" customHeight="1" x14ac:dyDescent="0.25">
      <c r="A28" s="1541" t="s">
        <v>39</v>
      </c>
      <c r="B28" s="1542"/>
      <c r="C28" s="15" t="s">
        <v>40</v>
      </c>
      <c r="D28" s="102"/>
      <c r="E28" s="102" t="s">
        <v>40</v>
      </c>
      <c r="F28" s="16">
        <f>F24/C27</f>
        <v>25.06</v>
      </c>
      <c r="G28" s="16"/>
      <c r="H28" s="16"/>
      <c r="I28" s="102" t="s">
        <v>40</v>
      </c>
      <c r="J28" s="102" t="s">
        <v>40</v>
      </c>
    </row>
    <row r="29" spans="1:13" ht="23.1" customHeight="1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3" ht="13.95" customHeight="1" x14ac:dyDescent="0.25">
      <c r="A30" s="1193"/>
      <c r="B30" s="1194" t="s">
        <v>49</v>
      </c>
      <c r="C30" s="1198"/>
      <c r="D30" s="1198"/>
      <c r="E30" s="1198"/>
      <c r="F30" s="1198"/>
      <c r="G30" s="1193"/>
      <c r="H30" s="1557">
        <f>'1-бутерброд с маслом'!$H$28</f>
        <v>0</v>
      </c>
      <c r="I30" s="1557"/>
      <c r="J30" s="1557"/>
    </row>
    <row r="31" spans="1:13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3" ht="13.95" customHeight="1" x14ac:dyDescent="0.25">
      <c r="A32" s="1545" t="s">
        <v>327</v>
      </c>
      <c r="B32" s="1545"/>
      <c r="C32" s="1546" t="s">
        <v>328</v>
      </c>
      <c r="D32" s="1546"/>
      <c r="E32" s="1546"/>
      <c r="F32" s="1546"/>
      <c r="G32" s="106"/>
      <c r="H32" s="1531"/>
      <c r="I32" s="1531"/>
      <c r="J32" s="1531"/>
    </row>
    <row r="33" spans="1:10" x14ac:dyDescent="0.25">
      <c r="A33" s="1193"/>
      <c r="B33" s="1193"/>
      <c r="C33" s="1546"/>
      <c r="D33" s="1546"/>
      <c r="E33" s="1546"/>
      <c r="F33" s="1546"/>
      <c r="G33" s="1193"/>
      <c r="H33" s="1531" t="s">
        <v>329</v>
      </c>
      <c r="I33" s="1531"/>
      <c r="J33" s="1531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</sheetData>
  <mergeCells count="28">
    <mergeCell ref="H30:J30"/>
    <mergeCell ref="A13:G13"/>
    <mergeCell ref="A25:B25"/>
    <mergeCell ref="A26:B26"/>
    <mergeCell ref="A27:B27"/>
    <mergeCell ref="A28:B28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2:B32"/>
    <mergeCell ref="C32:F33"/>
    <mergeCell ref="H32:J32"/>
    <mergeCell ref="H33:J33"/>
    <mergeCell ref="H5:I5"/>
    <mergeCell ref="A6:G6"/>
    <mergeCell ref="A7:I7"/>
    <mergeCell ref="A24:B24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M39"/>
  <sheetViews>
    <sheetView view="pageBreakPreview" topLeftCell="A17" zoomScaleNormal="100" zoomScaleSheetLayoutView="100" workbookViewId="0">
      <selection activeCell="A31" sqref="A31:J35"/>
    </sheetView>
  </sheetViews>
  <sheetFormatPr defaultRowHeight="13.8" x14ac:dyDescent="0.25"/>
  <cols>
    <col min="1" max="1" width="4.109375" customWidth="1"/>
    <col min="2" max="2" width="21" customWidth="1"/>
    <col min="3" max="3" width="8.88671875" customWidth="1"/>
    <col min="4" max="7" width="7.5546875" customWidth="1"/>
    <col min="8" max="8" width="7.44140625" customWidth="1"/>
    <col min="9" max="9" width="8.44140625" customWidth="1"/>
    <col min="10" max="10" width="9.109375" customWidth="1"/>
    <col min="11" max="11" width="5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23)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290"/>
      <c r="I6" s="290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29</v>
      </c>
    </row>
    <row r="8" spans="1:10" s="2" customFormat="1" ht="9.6" customHeight="1" x14ac:dyDescent="0.25">
      <c r="A8" s="291"/>
      <c r="B8" s="291"/>
      <c r="C8" s="291"/>
      <c r="D8" s="291"/>
      <c r="E8" s="291"/>
      <c r="F8" s="291"/>
      <c r="G8" s="291"/>
      <c r="H8" s="291"/>
      <c r="I8" s="291"/>
      <c r="J8" s="109"/>
    </row>
    <row r="9" spans="1:10" s="2" customFormat="1" ht="26.1" customHeight="1" x14ac:dyDescent="0.3">
      <c r="A9" s="1550" t="s">
        <v>518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'28-салат весна'!H14+1</f>
        <v>23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287" t="s">
        <v>92</v>
      </c>
      <c r="D17" s="287" t="s">
        <v>94</v>
      </c>
      <c r="E17" s="287" t="s">
        <v>93</v>
      </c>
      <c r="F17" s="287" t="s">
        <v>23</v>
      </c>
      <c r="G17" s="287" t="s">
        <v>92</v>
      </c>
      <c r="H17" s="287" t="s">
        <v>94</v>
      </c>
      <c r="I17" s="287" t="s">
        <v>92</v>
      </c>
      <c r="J17" s="287" t="s">
        <v>94</v>
      </c>
    </row>
    <row r="18" spans="1:13" ht="9.6" customHeight="1" x14ac:dyDescent="0.25">
      <c r="A18" s="287">
        <v>1</v>
      </c>
      <c r="B18" s="289">
        <v>2</v>
      </c>
      <c r="C18" s="287">
        <v>3</v>
      </c>
      <c r="D18" s="289">
        <v>4</v>
      </c>
      <c r="E18" s="287">
        <v>5</v>
      </c>
      <c r="F18" s="289">
        <v>6</v>
      </c>
      <c r="G18" s="287">
        <v>7</v>
      </c>
      <c r="H18" s="289">
        <v>8</v>
      </c>
      <c r="I18" s="287">
        <v>9</v>
      </c>
      <c r="J18" s="289">
        <v>10</v>
      </c>
    </row>
    <row r="19" spans="1:13" ht="14.4" customHeight="1" x14ac:dyDescent="0.25">
      <c r="A19" s="287">
        <v>1</v>
      </c>
      <c r="B19" s="298" t="s">
        <v>47</v>
      </c>
      <c r="C19" s="300">
        <v>0.2</v>
      </c>
      <c r="D19" s="90">
        <v>0.16</v>
      </c>
      <c r="E19" s="13">
        <f>цены!F44</f>
        <v>50</v>
      </c>
      <c r="F19" s="13">
        <f t="shared" ref="F19:F24" si="0">C19*E19</f>
        <v>10</v>
      </c>
      <c r="G19" s="97">
        <f>C19*10</f>
        <v>2</v>
      </c>
      <c r="H19" s="21">
        <f>D19*10</f>
        <v>1.6</v>
      </c>
      <c r="I19" s="21">
        <f>C19*100</f>
        <v>20</v>
      </c>
      <c r="J19" s="21">
        <f>D19*100</f>
        <v>16</v>
      </c>
      <c r="L19" s="1015">
        <f>C19/C$29</f>
        <v>1.19997600047999E-2</v>
      </c>
      <c r="M19" s="1015">
        <f>F19/C$29</f>
        <v>0.59998800023999499</v>
      </c>
    </row>
    <row r="20" spans="1:13" s="10" customFormat="1" ht="14.1" customHeight="1" x14ac:dyDescent="0.25">
      <c r="A20" s="180">
        <v>2</v>
      </c>
      <c r="B20" s="20" t="s">
        <v>516</v>
      </c>
      <c r="C20" s="21">
        <v>0.29399999999999998</v>
      </c>
      <c r="D20" s="21">
        <v>0.25</v>
      </c>
      <c r="E20" s="13">
        <f>цены!F41</f>
        <v>106</v>
      </c>
      <c r="F20" s="13">
        <f t="shared" si="0"/>
        <v>31.16</v>
      </c>
      <c r="G20" s="97">
        <f t="shared" ref="G20:H24" si="1">C20*10</f>
        <v>2.94</v>
      </c>
      <c r="H20" s="21">
        <f t="shared" si="1"/>
        <v>2.5</v>
      </c>
      <c r="I20" s="21">
        <f t="shared" ref="I20:J24" si="2">C20*100</f>
        <v>29.4</v>
      </c>
      <c r="J20" s="21">
        <f t="shared" si="2"/>
        <v>25</v>
      </c>
      <c r="L20" s="1015">
        <f t="shared" ref="L20:L24" si="3">C20/C$29</f>
        <v>1.7639647207055902E-2</v>
      </c>
      <c r="M20" s="1015">
        <f t="shared" ref="M20:M24" si="4">F20/C$29</f>
        <v>1.8695626087478201</v>
      </c>
    </row>
    <row r="21" spans="1:13" s="10" customFormat="1" ht="14.1" customHeight="1" x14ac:dyDescent="0.25">
      <c r="A21" s="287">
        <v>3</v>
      </c>
      <c r="B21" s="20" t="s">
        <v>514</v>
      </c>
      <c r="C21" s="21">
        <v>0.34799999999999998</v>
      </c>
      <c r="D21" s="21">
        <v>0.35</v>
      </c>
      <c r="E21" s="13">
        <f>цены!F42</f>
        <v>60</v>
      </c>
      <c r="F21" s="13">
        <f t="shared" si="0"/>
        <v>20.88</v>
      </c>
      <c r="G21" s="97">
        <f t="shared" si="1"/>
        <v>3.48</v>
      </c>
      <c r="H21" s="21">
        <f t="shared" si="1"/>
        <v>3.5</v>
      </c>
      <c r="I21" s="21">
        <f t="shared" si="2"/>
        <v>34.799999999999997</v>
      </c>
      <c r="J21" s="21">
        <f t="shared" si="2"/>
        <v>35</v>
      </c>
      <c r="L21" s="1015">
        <f t="shared" si="3"/>
        <v>2.0879582408351801E-2</v>
      </c>
      <c r="M21" s="1015">
        <f t="shared" si="4"/>
        <v>1.25277494450111</v>
      </c>
    </row>
    <row r="22" spans="1:13" s="10" customFormat="1" ht="26.1" customHeight="1" x14ac:dyDescent="0.25">
      <c r="A22" s="180">
        <v>4</v>
      </c>
      <c r="B22" s="20" t="s">
        <v>180</v>
      </c>
      <c r="C22" s="21">
        <v>0.23799999999999999</v>
      </c>
      <c r="D22" s="21">
        <v>0.19</v>
      </c>
      <c r="E22" s="13">
        <f>цены!F33</f>
        <v>53</v>
      </c>
      <c r="F22" s="13">
        <f t="shared" si="0"/>
        <v>12.61</v>
      </c>
      <c r="G22" s="97">
        <f t="shared" si="1"/>
        <v>2.38</v>
      </c>
      <c r="H22" s="21">
        <f t="shared" si="1"/>
        <v>1.9</v>
      </c>
      <c r="I22" s="21">
        <f t="shared" si="2"/>
        <v>23.8</v>
      </c>
      <c r="J22" s="21">
        <f t="shared" si="2"/>
        <v>19</v>
      </c>
      <c r="L22" s="1015">
        <f t="shared" si="3"/>
        <v>1.42797144057119E-2</v>
      </c>
      <c r="M22" s="1015">
        <f t="shared" si="4"/>
        <v>0.75658486830263405</v>
      </c>
    </row>
    <row r="23" spans="1:13" s="10" customFormat="1" ht="14.1" customHeight="1" x14ac:dyDescent="0.25">
      <c r="A23" s="287">
        <v>5</v>
      </c>
      <c r="B23" s="20" t="s">
        <v>74</v>
      </c>
      <c r="C23" s="21">
        <v>0.06</v>
      </c>
      <c r="D23" s="21">
        <v>0.06</v>
      </c>
      <c r="E23" s="13">
        <f>цены!F87</f>
        <v>120</v>
      </c>
      <c r="F23" s="13">
        <f t="shared" si="0"/>
        <v>7.2</v>
      </c>
      <c r="G23" s="97">
        <f t="shared" si="1"/>
        <v>0.6</v>
      </c>
      <c r="H23" s="21">
        <f t="shared" si="1"/>
        <v>0.6</v>
      </c>
      <c r="I23" s="21">
        <f t="shared" si="2"/>
        <v>6</v>
      </c>
      <c r="J23" s="21">
        <f t="shared" si="2"/>
        <v>6</v>
      </c>
      <c r="L23" s="1015">
        <f t="shared" si="3"/>
        <v>3.5999280014399702E-3</v>
      </c>
      <c r="M23" s="1015">
        <f t="shared" si="4"/>
        <v>0.43199136017279599</v>
      </c>
    </row>
    <row r="24" spans="1:13" s="10" customFormat="1" ht="14.1" customHeight="1" x14ac:dyDescent="0.25">
      <c r="A24" s="180">
        <v>6</v>
      </c>
      <c r="B24" s="20" t="s">
        <v>75</v>
      </c>
      <c r="C24" s="21">
        <f>0.002*C29</f>
        <v>3.3000000000000002E-2</v>
      </c>
      <c r="D24" s="21">
        <f>C24</f>
        <v>3.3000000000000002E-2</v>
      </c>
      <c r="E24" s="13">
        <f>цены!F110</f>
        <v>24</v>
      </c>
      <c r="F24" s="13">
        <f t="shared" si="0"/>
        <v>0.79</v>
      </c>
      <c r="G24" s="97">
        <f t="shared" si="1"/>
        <v>0.33</v>
      </c>
      <c r="H24" s="21">
        <f t="shared" si="1"/>
        <v>0.33</v>
      </c>
      <c r="I24" s="21">
        <f t="shared" si="2"/>
        <v>3.3</v>
      </c>
      <c r="J24" s="21">
        <f t="shared" si="2"/>
        <v>3.3</v>
      </c>
      <c r="L24" s="1015">
        <f t="shared" si="3"/>
        <v>1.9799604007919801E-3</v>
      </c>
      <c r="M24" s="1015">
        <f t="shared" si="4"/>
        <v>4.7399052018959602E-2</v>
      </c>
    </row>
    <row r="25" spans="1:13" s="10" customFormat="1" ht="12" customHeight="1" x14ac:dyDescent="0.25">
      <c r="A25" s="98"/>
      <c r="B25" s="93" t="s">
        <v>100</v>
      </c>
      <c r="C25" s="100"/>
      <c r="D25" s="100">
        <v>1</v>
      </c>
      <c r="E25" s="95"/>
      <c r="F25" s="95">
        <f>SUM(F19:F24)</f>
        <v>82.64</v>
      </c>
      <c r="G25" s="99"/>
      <c r="H25" s="100">
        <f>D25*10</f>
        <v>10</v>
      </c>
      <c r="I25" s="100"/>
      <c r="J25" s="100">
        <f>D25*100</f>
        <v>100</v>
      </c>
      <c r="L25" s="1015">
        <f>SUM(L19:L24)</f>
        <v>7.0378592428151504E-2</v>
      </c>
      <c r="M25" s="1015">
        <f>SUM(M19:M24)</f>
        <v>4.9583008339833103</v>
      </c>
    </row>
    <row r="26" spans="1:13" s="10" customFormat="1" ht="27.6" customHeight="1" x14ac:dyDescent="0.25">
      <c r="A26" s="1536" t="s">
        <v>35</v>
      </c>
      <c r="B26" s="1536"/>
      <c r="C26" s="90"/>
      <c r="D26" s="90"/>
      <c r="E26" s="13"/>
      <c r="F26" s="13">
        <f>F25</f>
        <v>82.64</v>
      </c>
      <c r="G26" s="288"/>
      <c r="H26" s="288"/>
      <c r="I26" s="21"/>
      <c r="J26" s="13"/>
    </row>
    <row r="27" spans="1:13" s="10" customFormat="1" ht="25.35" customHeight="1" x14ac:dyDescent="0.25">
      <c r="A27" s="1536" t="s">
        <v>36</v>
      </c>
      <c r="B27" s="1536"/>
      <c r="C27" s="90">
        <v>1000</v>
      </c>
      <c r="D27" s="90"/>
      <c r="E27" s="13"/>
      <c r="F27" s="13"/>
      <c r="G27" s="13"/>
      <c r="H27" s="13"/>
      <c r="I27" s="21"/>
      <c r="J27" s="17"/>
    </row>
    <row r="28" spans="1:13" s="10" customFormat="1" ht="25.35" customHeight="1" x14ac:dyDescent="0.25">
      <c r="A28" s="1537" t="s">
        <v>37</v>
      </c>
      <c r="B28" s="1538"/>
      <c r="C28" s="91">
        <v>60</v>
      </c>
      <c r="D28" s="92"/>
      <c r="E28" s="289"/>
      <c r="F28" s="289"/>
      <c r="G28" s="289"/>
      <c r="H28" s="289"/>
      <c r="I28" s="21"/>
      <c r="J28" s="17"/>
    </row>
    <row r="29" spans="1:13" s="10" customFormat="1" ht="15" customHeight="1" x14ac:dyDescent="0.25">
      <c r="A29" s="1539" t="s">
        <v>38</v>
      </c>
      <c r="B29" s="1540"/>
      <c r="C29" s="92">
        <f>C27/C28</f>
        <v>16.667000000000002</v>
      </c>
      <c r="D29" s="92"/>
      <c r="E29" s="289"/>
      <c r="F29" s="289"/>
      <c r="G29" s="289"/>
      <c r="H29" s="289"/>
      <c r="I29" s="21"/>
      <c r="J29" s="17"/>
    </row>
    <row r="30" spans="1:13" ht="16.350000000000001" customHeight="1" x14ac:dyDescent="0.25">
      <c r="A30" s="1541" t="s">
        <v>39</v>
      </c>
      <c r="B30" s="1542"/>
      <c r="C30" s="15" t="s">
        <v>40</v>
      </c>
      <c r="D30" s="102"/>
      <c r="E30" s="102" t="s">
        <v>40</v>
      </c>
      <c r="F30" s="16">
        <f>F26/C29</f>
        <v>4.96</v>
      </c>
      <c r="G30" s="16"/>
      <c r="H30" s="16"/>
      <c r="I30" s="102" t="s">
        <v>40</v>
      </c>
      <c r="J30" s="102" t="s">
        <v>40</v>
      </c>
    </row>
    <row r="31" spans="1:13" ht="23.1" customHeight="1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3" ht="13.95" customHeight="1" x14ac:dyDescent="0.25">
      <c r="A32" s="1193"/>
      <c r="B32" s="1194" t="s">
        <v>49</v>
      </c>
      <c r="C32" s="1198"/>
      <c r="D32" s="1198"/>
      <c r="E32" s="1198"/>
      <c r="F32" s="1198"/>
      <c r="G32" s="1193"/>
      <c r="H32" s="1557">
        <f>'1-бутерброд с маслом'!$H$28</f>
        <v>0</v>
      </c>
      <c r="I32" s="1557"/>
      <c r="J32" s="1557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545" t="s">
        <v>327</v>
      </c>
      <c r="B34" s="1545"/>
      <c r="C34" s="1546" t="s">
        <v>328</v>
      </c>
      <c r="D34" s="1546"/>
      <c r="E34" s="1546"/>
      <c r="F34" s="1546"/>
      <c r="G34" s="106"/>
      <c r="H34" s="1531"/>
      <c r="I34" s="1531"/>
      <c r="J34" s="1531"/>
    </row>
    <row r="35" spans="1:10" x14ac:dyDescent="0.25">
      <c r="A35" s="1193"/>
      <c r="B35" s="1193"/>
      <c r="C35" s="1546"/>
      <c r="D35" s="1546"/>
      <c r="E35" s="1546"/>
      <c r="F35" s="1546"/>
      <c r="G35" s="1193"/>
      <c r="H35" s="1531" t="s">
        <v>329</v>
      </c>
      <c r="I35" s="1531"/>
      <c r="J35" s="1531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</sheetData>
  <mergeCells count="28">
    <mergeCell ref="H32:J32"/>
    <mergeCell ref="A13:G13"/>
    <mergeCell ref="A27:B27"/>
    <mergeCell ref="A28:B28"/>
    <mergeCell ref="A29:B29"/>
    <mergeCell ref="A30:B30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4:B34"/>
    <mergeCell ref="C34:F35"/>
    <mergeCell ref="H34:J34"/>
    <mergeCell ref="H35:J35"/>
    <mergeCell ref="H5:I5"/>
    <mergeCell ref="A6:G6"/>
    <mergeCell ref="A7:I7"/>
    <mergeCell ref="A26:B26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M35"/>
  <sheetViews>
    <sheetView view="pageBreakPreview" topLeftCell="A12" zoomScaleNormal="100" zoomScaleSheetLayoutView="100" workbookViewId="0">
      <selection activeCell="G26" sqref="G26"/>
    </sheetView>
  </sheetViews>
  <sheetFormatPr defaultRowHeight="13.8" x14ac:dyDescent="0.25"/>
  <cols>
    <col min="1" max="1" width="4.109375" customWidth="1"/>
    <col min="2" max="2" width="20.55468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441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275)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347</v>
      </c>
    </row>
    <row r="8" spans="1:10" s="2" customFormat="1" ht="9.6" customHeight="1" x14ac:dyDescent="0.25">
      <c r="A8" s="229"/>
      <c r="B8" s="229"/>
      <c r="C8" s="229"/>
      <c r="D8" s="229"/>
      <c r="E8" s="229"/>
      <c r="F8" s="229"/>
      <c r="G8" s="229"/>
      <c r="H8" s="229"/>
      <c r="I8" s="229"/>
      <c r="J8" s="109"/>
    </row>
    <row r="9" spans="1:10" s="2" customFormat="1" ht="26.1" customHeight="1" x14ac:dyDescent="0.3">
      <c r="A9" s="1550" t="s">
        <v>1326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'347-компот из плодов консер виш'!H14+1</f>
        <v>275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226" t="s">
        <v>92</v>
      </c>
      <c r="D17" s="226" t="s">
        <v>94</v>
      </c>
      <c r="E17" s="226" t="s">
        <v>93</v>
      </c>
      <c r="F17" s="226" t="s">
        <v>23</v>
      </c>
      <c r="G17" s="226" t="s">
        <v>92</v>
      </c>
      <c r="H17" s="226" t="s">
        <v>94</v>
      </c>
      <c r="I17" s="226" t="s">
        <v>92</v>
      </c>
      <c r="J17" s="226" t="s">
        <v>94</v>
      </c>
    </row>
    <row r="18" spans="1:13" ht="9.6" customHeight="1" x14ac:dyDescent="0.25">
      <c r="A18" s="226">
        <v>1</v>
      </c>
      <c r="B18" s="228">
        <v>2</v>
      </c>
      <c r="C18" s="226">
        <v>3</v>
      </c>
      <c r="D18" s="228">
        <v>4</v>
      </c>
      <c r="E18" s="226">
        <v>5</v>
      </c>
      <c r="F18" s="228">
        <v>6</v>
      </c>
      <c r="G18" s="226">
        <v>7</v>
      </c>
      <c r="H18" s="228">
        <v>8</v>
      </c>
      <c r="I18" s="226">
        <v>9</v>
      </c>
      <c r="J18" s="228">
        <v>10</v>
      </c>
    </row>
    <row r="19" spans="1:13" s="10" customFormat="1" ht="21" customHeight="1" x14ac:dyDescent="0.25">
      <c r="A19" s="180">
        <v>1</v>
      </c>
      <c r="B19" s="20" t="s">
        <v>1327</v>
      </c>
      <c r="C19" s="21">
        <v>0.4</v>
      </c>
      <c r="D19" s="125">
        <v>0.4</v>
      </c>
      <c r="E19" s="13">
        <f>цены!F127</f>
        <v>181</v>
      </c>
      <c r="F19" s="13">
        <f>C19*E19</f>
        <v>72.400000000000006</v>
      </c>
      <c r="G19" s="97">
        <f t="shared" ref="G19:H22" si="0">C19*10</f>
        <v>4</v>
      </c>
      <c r="H19" s="21">
        <f t="shared" si="0"/>
        <v>4</v>
      </c>
      <c r="I19" s="21">
        <f t="shared" ref="I19:J22" si="1">C19*100</f>
        <v>40</v>
      </c>
      <c r="J19" s="21">
        <f t="shared" si="1"/>
        <v>40</v>
      </c>
      <c r="L19" s="1219">
        <f>C19/C$27</f>
        <v>0.08</v>
      </c>
      <c r="M19" s="1219">
        <f>F19/C$27</f>
        <v>14.48</v>
      </c>
    </row>
    <row r="20" spans="1:13" s="10" customFormat="1" ht="14.1" customHeight="1" x14ac:dyDescent="0.25">
      <c r="A20" s="180">
        <v>2</v>
      </c>
      <c r="B20" s="20" t="s">
        <v>134</v>
      </c>
      <c r="C20" s="21">
        <v>6.5000000000000002E-2</v>
      </c>
      <c r="D20" s="111">
        <v>6.5000000000000002E-2</v>
      </c>
      <c r="E20" s="13">
        <f>цены!F107</f>
        <v>76</v>
      </c>
      <c r="F20" s="408">
        <f t="shared" ref="F20:F22" si="2">C20*E20</f>
        <v>4.9400000000000004</v>
      </c>
      <c r="G20" s="97">
        <f t="shared" si="0"/>
        <v>0.65</v>
      </c>
      <c r="H20" s="21">
        <f t="shared" si="0"/>
        <v>0.65</v>
      </c>
      <c r="I20" s="21">
        <f t="shared" si="1"/>
        <v>6.5</v>
      </c>
      <c r="J20" s="21">
        <f t="shared" si="1"/>
        <v>6.5</v>
      </c>
      <c r="L20" s="1219">
        <f t="shared" ref="L20:L22" si="3">C20/C$27</f>
        <v>1.2999999999999999E-2</v>
      </c>
      <c r="M20" s="1219">
        <f t="shared" ref="M20:M22" si="4">F20/C$27</f>
        <v>0.98799999999999999</v>
      </c>
    </row>
    <row r="21" spans="1:13" s="10" customFormat="1" ht="23.25" customHeight="1" x14ac:dyDescent="0.25">
      <c r="A21" s="180">
        <v>3</v>
      </c>
      <c r="B21" s="20" t="s">
        <v>433</v>
      </c>
      <c r="C21" s="21">
        <v>0.27</v>
      </c>
      <c r="D21" s="111">
        <v>0.27</v>
      </c>
      <c r="E21" s="408">
        <f>цены!F127</f>
        <v>181</v>
      </c>
      <c r="F21" s="408">
        <f t="shared" si="2"/>
        <v>48.87</v>
      </c>
      <c r="G21" s="97">
        <f t="shared" si="0"/>
        <v>2.7</v>
      </c>
      <c r="H21" s="21">
        <f t="shared" si="0"/>
        <v>2.7</v>
      </c>
      <c r="I21" s="21">
        <f t="shared" si="1"/>
        <v>27</v>
      </c>
      <c r="J21" s="21">
        <f t="shared" si="1"/>
        <v>27</v>
      </c>
      <c r="L21" s="1219">
        <f t="shared" si="3"/>
        <v>5.3999999999999999E-2</v>
      </c>
      <c r="M21" s="1219">
        <f t="shared" si="4"/>
        <v>9.7739999999999991</v>
      </c>
    </row>
    <row r="22" spans="1:13" s="10" customFormat="1" ht="12" customHeight="1" x14ac:dyDescent="0.25">
      <c r="A22" s="180">
        <v>4</v>
      </c>
      <c r="B22" s="20" t="s">
        <v>434</v>
      </c>
      <c r="C22" s="21">
        <v>0.3</v>
      </c>
      <c r="D22" s="125">
        <v>0.3</v>
      </c>
      <c r="E22" s="13">
        <v>0</v>
      </c>
      <c r="F22" s="408">
        <f t="shared" si="2"/>
        <v>0</v>
      </c>
      <c r="G22" s="97">
        <f t="shared" si="0"/>
        <v>3</v>
      </c>
      <c r="H22" s="21">
        <f t="shared" si="0"/>
        <v>3</v>
      </c>
      <c r="I22" s="21">
        <f t="shared" si="1"/>
        <v>30</v>
      </c>
      <c r="J22" s="21">
        <f t="shared" si="1"/>
        <v>30</v>
      </c>
      <c r="L22" s="1219">
        <f t="shared" si="3"/>
        <v>0.06</v>
      </c>
      <c r="M22" s="1219">
        <f t="shared" si="4"/>
        <v>0</v>
      </c>
    </row>
    <row r="23" spans="1:13" s="10" customFormat="1" ht="12" customHeight="1" x14ac:dyDescent="0.25">
      <c r="A23" s="98"/>
      <c r="B23" s="93" t="s">
        <v>100</v>
      </c>
      <c r="C23" s="112"/>
      <c r="D23" s="112">
        <v>1</v>
      </c>
      <c r="E23" s="95"/>
      <c r="F23" s="95">
        <f>SUM(F19:F22)</f>
        <v>126.21</v>
      </c>
      <c r="G23" s="99"/>
      <c r="H23" s="100">
        <f>D23*10</f>
        <v>10</v>
      </c>
      <c r="I23" s="100"/>
      <c r="J23" s="100">
        <f>D23*100</f>
        <v>100</v>
      </c>
      <c r="L23" s="1219">
        <f>SUM(L19:L22)</f>
        <v>0.20699999999999999</v>
      </c>
      <c r="M23" s="1219">
        <f>SUM(M19:M22)</f>
        <v>25.242000000000001</v>
      </c>
    </row>
    <row r="24" spans="1:13" s="10" customFormat="1" ht="27.6" customHeight="1" x14ac:dyDescent="0.25">
      <c r="A24" s="1536" t="s">
        <v>35</v>
      </c>
      <c r="B24" s="1536"/>
      <c r="C24" s="90"/>
      <c r="D24" s="90"/>
      <c r="E24" s="13"/>
      <c r="F24" s="13">
        <f>F23</f>
        <v>126.21</v>
      </c>
      <c r="G24" s="227"/>
      <c r="H24" s="227"/>
      <c r="I24" s="21"/>
      <c r="J24" s="13"/>
    </row>
    <row r="25" spans="1:13" s="10" customFormat="1" ht="25.35" customHeight="1" x14ac:dyDescent="0.25">
      <c r="A25" s="1536" t="s">
        <v>36</v>
      </c>
      <c r="B25" s="1536"/>
      <c r="C25" s="90">
        <v>1000</v>
      </c>
      <c r="D25" s="90"/>
      <c r="E25" s="13"/>
      <c r="F25" s="13"/>
      <c r="G25" s="13"/>
      <c r="H25" s="13"/>
      <c r="I25" s="21"/>
      <c r="J25" s="17"/>
    </row>
    <row r="26" spans="1:13" s="10" customFormat="1" ht="25.35" customHeight="1" x14ac:dyDescent="0.25">
      <c r="A26" s="1537" t="s">
        <v>37</v>
      </c>
      <c r="B26" s="1538"/>
      <c r="C26" s="91">
        <v>200</v>
      </c>
      <c r="D26" s="92"/>
      <c r="E26" s="228"/>
      <c r="F26" s="228"/>
      <c r="G26" s="228"/>
      <c r="H26" s="228"/>
      <c r="I26" s="21"/>
      <c r="J26" s="17"/>
    </row>
    <row r="27" spans="1:13" s="10" customFormat="1" ht="15" customHeight="1" x14ac:dyDescent="0.25">
      <c r="A27" s="1539" t="s">
        <v>38</v>
      </c>
      <c r="B27" s="1540"/>
      <c r="C27" s="92">
        <f>C25/C26</f>
        <v>5</v>
      </c>
      <c r="D27" s="92"/>
      <c r="E27" s="228"/>
      <c r="F27" s="228"/>
      <c r="G27" s="228"/>
      <c r="H27" s="228"/>
      <c r="I27" s="21"/>
      <c r="J27" s="17"/>
    </row>
    <row r="28" spans="1:13" ht="16.350000000000001" customHeight="1" x14ac:dyDescent="0.25">
      <c r="A28" s="1541" t="s">
        <v>39</v>
      </c>
      <c r="B28" s="1542"/>
      <c r="C28" s="15" t="s">
        <v>40</v>
      </c>
      <c r="D28" s="102"/>
      <c r="E28" s="102" t="s">
        <v>40</v>
      </c>
      <c r="F28" s="16">
        <f>F24/C27</f>
        <v>25.24</v>
      </c>
      <c r="G28" s="16"/>
      <c r="H28" s="16"/>
      <c r="I28" s="102" t="s">
        <v>40</v>
      </c>
      <c r="J28" s="102" t="s">
        <v>40</v>
      </c>
    </row>
    <row r="29" spans="1:13" ht="23.1" customHeight="1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3" ht="13.95" customHeight="1" x14ac:dyDescent="0.25">
      <c r="A30" s="1193"/>
      <c r="B30" s="1194" t="s">
        <v>49</v>
      </c>
      <c r="C30" s="1198"/>
      <c r="D30" s="1198"/>
      <c r="E30" s="1198"/>
      <c r="F30" s="1198"/>
      <c r="G30" s="1193"/>
      <c r="H30" s="1557">
        <f>'1-бутерброд с маслом'!$H$28</f>
        <v>0</v>
      </c>
      <c r="I30" s="1557"/>
      <c r="J30" s="1557"/>
    </row>
    <row r="31" spans="1:13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3" ht="13.95" customHeight="1" x14ac:dyDescent="0.25">
      <c r="A32" s="1545" t="s">
        <v>327</v>
      </c>
      <c r="B32" s="1545"/>
      <c r="C32" s="1546" t="s">
        <v>328</v>
      </c>
      <c r="D32" s="1546"/>
      <c r="E32" s="1546"/>
      <c r="F32" s="1546"/>
      <c r="G32" s="106"/>
      <c r="H32" s="1531"/>
      <c r="I32" s="1531"/>
      <c r="J32" s="1531"/>
    </row>
    <row r="33" spans="1:10" x14ac:dyDescent="0.25">
      <c r="A33" s="1193"/>
      <c r="B33" s="1193"/>
      <c r="C33" s="1546"/>
      <c r="D33" s="1546"/>
      <c r="E33" s="1546"/>
      <c r="F33" s="1546"/>
      <c r="G33" s="1193"/>
      <c r="H33" s="1531" t="s">
        <v>329</v>
      </c>
      <c r="I33" s="1531"/>
      <c r="J33" s="1531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</sheetData>
  <mergeCells count="28">
    <mergeCell ref="H30:J30"/>
    <mergeCell ref="A13:G13"/>
    <mergeCell ref="A25:B25"/>
    <mergeCell ref="A26:B26"/>
    <mergeCell ref="A27:B27"/>
    <mergeCell ref="A28:B28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2:B32"/>
    <mergeCell ref="C32:F33"/>
    <mergeCell ref="H32:J32"/>
    <mergeCell ref="H33:J33"/>
    <mergeCell ref="H5:I5"/>
    <mergeCell ref="A6:G6"/>
    <mergeCell ref="A7:I7"/>
    <mergeCell ref="A24:B24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M35"/>
  <sheetViews>
    <sheetView view="pageBreakPreview" topLeftCell="A9" zoomScaleNormal="100" zoomScaleSheetLayoutView="100" workbookViewId="0">
      <selection activeCell="L26" sqref="L26"/>
    </sheetView>
  </sheetViews>
  <sheetFormatPr defaultColWidth="8.88671875" defaultRowHeight="13.8" x14ac:dyDescent="0.25"/>
  <cols>
    <col min="1" max="1" width="4.109375" style="1181" customWidth="1"/>
    <col min="2" max="2" width="20.5546875" style="1181" customWidth="1"/>
    <col min="3" max="7" width="7.5546875" style="1181" customWidth="1"/>
    <col min="8" max="8" width="8.88671875" style="1181" customWidth="1"/>
    <col min="9" max="9" width="7.5546875" style="1181" customWidth="1"/>
    <col min="10" max="10" width="9" style="1181" customWidth="1"/>
    <col min="11" max="11" width="4.44140625" style="1181" customWidth="1"/>
    <col min="12" max="16384" width="8.88671875" style="118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276)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186">
        <v>348</v>
      </c>
    </row>
    <row r="8" spans="1:10" s="2" customFormat="1" ht="9.6" customHeight="1" x14ac:dyDescent="0.25">
      <c r="A8" s="1185"/>
      <c r="B8" s="1185"/>
      <c r="C8" s="1185"/>
      <c r="D8" s="1185"/>
      <c r="E8" s="1185"/>
      <c r="F8" s="1185"/>
      <c r="G8" s="1185"/>
      <c r="H8" s="1185"/>
      <c r="I8" s="1185"/>
      <c r="J8" s="109"/>
    </row>
    <row r="9" spans="1:10" s="2" customFormat="1" ht="26.1" customHeight="1" x14ac:dyDescent="0.3">
      <c r="A9" s="1550" t="s">
        <v>1328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'347-компот консерв персик'!H14+1</f>
        <v>276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1182" t="s">
        <v>92</v>
      </c>
      <c r="D17" s="1182" t="s">
        <v>94</v>
      </c>
      <c r="E17" s="1182" t="s">
        <v>93</v>
      </c>
      <c r="F17" s="1182" t="s">
        <v>23</v>
      </c>
      <c r="G17" s="1182" t="s">
        <v>92</v>
      </c>
      <c r="H17" s="1182" t="s">
        <v>94</v>
      </c>
      <c r="I17" s="1182" t="s">
        <v>92</v>
      </c>
      <c r="J17" s="1182" t="s">
        <v>94</v>
      </c>
    </row>
    <row r="18" spans="1:13" ht="9.6" customHeight="1" x14ac:dyDescent="0.25">
      <c r="A18" s="1182">
        <v>1</v>
      </c>
      <c r="B18" s="1184">
        <v>2</v>
      </c>
      <c r="C18" s="1182">
        <v>3</v>
      </c>
      <c r="D18" s="1184">
        <v>4</v>
      </c>
      <c r="E18" s="1182">
        <v>5</v>
      </c>
      <c r="F18" s="1184">
        <v>6</v>
      </c>
      <c r="G18" s="1182">
        <v>7</v>
      </c>
      <c r="H18" s="1184">
        <v>8</v>
      </c>
      <c r="I18" s="1182">
        <v>9</v>
      </c>
      <c r="J18" s="1184">
        <v>10</v>
      </c>
    </row>
    <row r="19" spans="1:13" s="10" customFormat="1" ht="13.2" x14ac:dyDescent="0.25">
      <c r="A19" s="180">
        <v>1</v>
      </c>
      <c r="B19" s="20" t="s">
        <v>807</v>
      </c>
      <c r="C19" s="21">
        <v>0.1</v>
      </c>
      <c r="D19" s="125">
        <v>0.185</v>
      </c>
      <c r="E19" s="408">
        <f>цены!F122</f>
        <v>250</v>
      </c>
      <c r="F19" s="408">
        <f>C19*E19</f>
        <v>25</v>
      </c>
      <c r="G19" s="97">
        <f t="shared" ref="G19:H22" si="0">C19*10</f>
        <v>1</v>
      </c>
      <c r="H19" s="21">
        <f t="shared" si="0"/>
        <v>1.85</v>
      </c>
      <c r="I19" s="21">
        <f t="shared" ref="I19:J22" si="1">C19*100</f>
        <v>10</v>
      </c>
      <c r="J19" s="21">
        <f t="shared" si="1"/>
        <v>18.5</v>
      </c>
      <c r="L19" s="1219">
        <f>C19/C$27</f>
        <v>0.02</v>
      </c>
      <c r="M19" s="1219">
        <f>F19/C$27</f>
        <v>5</v>
      </c>
    </row>
    <row r="20" spans="1:13" s="10" customFormat="1" ht="13.2" x14ac:dyDescent="0.25">
      <c r="A20" s="180">
        <v>2</v>
      </c>
      <c r="B20" s="20" t="s">
        <v>134</v>
      </c>
      <c r="C20" s="21">
        <v>0.1</v>
      </c>
      <c r="D20" s="111">
        <v>0.1</v>
      </c>
      <c r="E20" s="408">
        <f>цены!F107</f>
        <v>76</v>
      </c>
      <c r="F20" s="408">
        <f t="shared" ref="F20:F22" si="2">C20*E20</f>
        <v>7.6</v>
      </c>
      <c r="G20" s="97">
        <f t="shared" si="0"/>
        <v>1</v>
      </c>
      <c r="H20" s="21">
        <f t="shared" si="0"/>
        <v>1</v>
      </c>
      <c r="I20" s="21">
        <f t="shared" si="1"/>
        <v>10</v>
      </c>
      <c r="J20" s="21">
        <f t="shared" si="1"/>
        <v>10</v>
      </c>
      <c r="L20" s="1219">
        <f t="shared" ref="L20:L22" si="3">C20/C$27</f>
        <v>0.02</v>
      </c>
      <c r="M20" s="1219">
        <f t="shared" ref="M20:M22" si="4">F20/C$27</f>
        <v>1.52</v>
      </c>
    </row>
    <row r="21" spans="1:13" s="10" customFormat="1" ht="13.2" x14ac:dyDescent="0.25">
      <c r="A21" s="180">
        <v>3</v>
      </c>
      <c r="B21" s="20" t="s">
        <v>135</v>
      </c>
      <c r="C21" s="21">
        <v>1E-3</v>
      </c>
      <c r="D21" s="111">
        <v>1E-3</v>
      </c>
      <c r="E21" s="408">
        <f>цены!F98</f>
        <v>290</v>
      </c>
      <c r="F21" s="408">
        <f t="shared" si="2"/>
        <v>0.28999999999999998</v>
      </c>
      <c r="G21" s="97">
        <f t="shared" si="0"/>
        <v>0.01</v>
      </c>
      <c r="H21" s="21">
        <f t="shared" si="0"/>
        <v>0.01</v>
      </c>
      <c r="I21" s="21">
        <f t="shared" si="1"/>
        <v>0.1</v>
      </c>
      <c r="J21" s="21">
        <f t="shared" si="1"/>
        <v>0.1</v>
      </c>
      <c r="L21" s="1219">
        <f t="shared" si="3"/>
        <v>2.0000000000000001E-4</v>
      </c>
      <c r="M21" s="1219">
        <f t="shared" si="4"/>
        <v>5.8000000000000003E-2</v>
      </c>
    </row>
    <row r="22" spans="1:13" s="10" customFormat="1" ht="12" customHeight="1" x14ac:dyDescent="0.25">
      <c r="A22" s="180">
        <v>4</v>
      </c>
      <c r="B22" s="20" t="s">
        <v>28</v>
      </c>
      <c r="C22" s="21">
        <v>1.0149999999999999</v>
      </c>
      <c r="D22" s="125">
        <v>1.0349999999999999</v>
      </c>
      <c r="E22" s="408">
        <v>0</v>
      </c>
      <c r="F22" s="408">
        <f t="shared" si="2"/>
        <v>0</v>
      </c>
      <c r="G22" s="97">
        <f t="shared" si="0"/>
        <v>10.15</v>
      </c>
      <c r="H22" s="21">
        <f t="shared" si="0"/>
        <v>10.35</v>
      </c>
      <c r="I22" s="21">
        <f t="shared" si="1"/>
        <v>101.5</v>
      </c>
      <c r="J22" s="21">
        <f t="shared" si="1"/>
        <v>103.5</v>
      </c>
      <c r="L22" s="1219">
        <f t="shared" si="3"/>
        <v>0.20300000000000001</v>
      </c>
      <c r="M22" s="1219">
        <f t="shared" si="4"/>
        <v>0</v>
      </c>
    </row>
    <row r="23" spans="1:13" s="10" customFormat="1" ht="12" customHeight="1" x14ac:dyDescent="0.25">
      <c r="A23" s="98"/>
      <c r="B23" s="93" t="s">
        <v>100</v>
      </c>
      <c r="C23" s="112"/>
      <c r="D23" s="112">
        <v>1</v>
      </c>
      <c r="E23" s="95"/>
      <c r="F23" s="95">
        <f>SUM(F19:F22)</f>
        <v>32.89</v>
      </c>
      <c r="G23" s="99"/>
      <c r="H23" s="100">
        <f>D23*10</f>
        <v>10</v>
      </c>
      <c r="I23" s="100"/>
      <c r="J23" s="100">
        <f>D23*100</f>
        <v>100</v>
      </c>
      <c r="L23" s="1219">
        <f>SUM(L19:L22)</f>
        <v>0.2432</v>
      </c>
      <c r="M23" s="1219">
        <f>SUM(M19:M22)</f>
        <v>6.5780000000000003</v>
      </c>
    </row>
    <row r="24" spans="1:13" s="10" customFormat="1" ht="27.6" customHeight="1" x14ac:dyDescent="0.25">
      <c r="A24" s="1536" t="s">
        <v>35</v>
      </c>
      <c r="B24" s="1536"/>
      <c r="C24" s="90"/>
      <c r="D24" s="90"/>
      <c r="E24" s="408"/>
      <c r="F24" s="408">
        <f>F23</f>
        <v>32.89</v>
      </c>
      <c r="G24" s="1183"/>
      <c r="H24" s="1183"/>
      <c r="I24" s="21"/>
      <c r="J24" s="408"/>
    </row>
    <row r="25" spans="1:13" s="10" customFormat="1" ht="25.35" customHeight="1" x14ac:dyDescent="0.25">
      <c r="A25" s="1536" t="s">
        <v>36</v>
      </c>
      <c r="B25" s="1536"/>
      <c r="C25" s="90">
        <v>1000</v>
      </c>
      <c r="D25" s="90"/>
      <c r="E25" s="408"/>
      <c r="F25" s="408"/>
      <c r="G25" s="408"/>
      <c r="H25" s="408"/>
      <c r="I25" s="21"/>
      <c r="J25" s="17"/>
    </row>
    <row r="26" spans="1:13" s="10" customFormat="1" ht="25.35" customHeight="1" x14ac:dyDescent="0.25">
      <c r="A26" s="1537" t="s">
        <v>37</v>
      </c>
      <c r="B26" s="1538"/>
      <c r="C26" s="91">
        <v>200</v>
      </c>
      <c r="D26" s="92"/>
      <c r="E26" s="1184"/>
      <c r="F26" s="1184"/>
      <c r="G26" s="1184"/>
      <c r="H26" s="1184"/>
      <c r="I26" s="21"/>
      <c r="J26" s="17"/>
    </row>
    <row r="27" spans="1:13" s="10" customFormat="1" ht="15" customHeight="1" x14ac:dyDescent="0.25">
      <c r="A27" s="1539" t="s">
        <v>38</v>
      </c>
      <c r="B27" s="1540"/>
      <c r="C27" s="92">
        <f>C25/C26</f>
        <v>5</v>
      </c>
      <c r="D27" s="92"/>
      <c r="E27" s="1184"/>
      <c r="F27" s="1184"/>
      <c r="G27" s="1184"/>
      <c r="H27" s="1184"/>
      <c r="I27" s="21"/>
      <c r="J27" s="17"/>
    </row>
    <row r="28" spans="1:13" ht="16.350000000000001" customHeight="1" x14ac:dyDescent="0.25">
      <c r="A28" s="1541" t="s">
        <v>39</v>
      </c>
      <c r="B28" s="1542"/>
      <c r="C28" s="15" t="s">
        <v>40</v>
      </c>
      <c r="D28" s="102"/>
      <c r="E28" s="102" t="s">
        <v>40</v>
      </c>
      <c r="F28" s="16">
        <f>F24/C27</f>
        <v>6.58</v>
      </c>
      <c r="G28" s="16"/>
      <c r="H28" s="16"/>
      <c r="I28" s="102" t="s">
        <v>40</v>
      </c>
      <c r="J28" s="102" t="s">
        <v>40</v>
      </c>
    </row>
    <row r="29" spans="1:13" ht="23.1" customHeight="1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3" ht="13.95" customHeight="1" x14ac:dyDescent="0.25">
      <c r="A30" s="1193"/>
      <c r="B30" s="1194" t="s">
        <v>49</v>
      </c>
      <c r="C30" s="1198"/>
      <c r="D30" s="1198"/>
      <c r="E30" s="1198"/>
      <c r="F30" s="1198"/>
      <c r="G30" s="1193"/>
      <c r="H30" s="1557">
        <f>'1-бутерброд с маслом'!$H$28</f>
        <v>0</v>
      </c>
      <c r="I30" s="1557"/>
      <c r="J30" s="1557"/>
    </row>
    <row r="31" spans="1:13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3" ht="13.95" customHeight="1" x14ac:dyDescent="0.25">
      <c r="A32" s="1545" t="s">
        <v>327</v>
      </c>
      <c r="B32" s="1545"/>
      <c r="C32" s="1546" t="s">
        <v>328</v>
      </c>
      <c r="D32" s="1546"/>
      <c r="E32" s="1546"/>
      <c r="F32" s="1546"/>
      <c r="G32" s="106"/>
      <c r="H32" s="1531"/>
      <c r="I32" s="1531"/>
      <c r="J32" s="1531"/>
    </row>
    <row r="33" spans="1:10" x14ac:dyDescent="0.25">
      <c r="A33" s="1193"/>
      <c r="B33" s="1193"/>
      <c r="C33" s="1546"/>
      <c r="D33" s="1546"/>
      <c r="E33" s="1546"/>
      <c r="F33" s="1546"/>
      <c r="G33" s="1193"/>
      <c r="H33" s="1531" t="s">
        <v>329</v>
      </c>
      <c r="I33" s="1531"/>
      <c r="J33" s="1531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</sheetData>
  <mergeCells count="28">
    <mergeCell ref="H30:J30"/>
    <mergeCell ref="A13:G13"/>
    <mergeCell ref="A25:B25"/>
    <mergeCell ref="A26:B26"/>
    <mergeCell ref="A27:B27"/>
    <mergeCell ref="A28:B28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2:B32"/>
    <mergeCell ref="C32:F33"/>
    <mergeCell ref="H32:J32"/>
    <mergeCell ref="H33:J33"/>
    <mergeCell ref="H5:I5"/>
    <mergeCell ref="A6:G6"/>
    <mergeCell ref="A7:I7"/>
    <mergeCell ref="A24:B24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M35"/>
  <sheetViews>
    <sheetView view="pageBreakPreview" topLeftCell="A8" zoomScaleNormal="100" zoomScaleSheetLayoutView="100" workbookViewId="0">
      <selection activeCell="O19" sqref="O19"/>
    </sheetView>
  </sheetViews>
  <sheetFormatPr defaultRowHeight="13.8" x14ac:dyDescent="0.25"/>
  <cols>
    <col min="1" max="1" width="4.109375" customWidth="1"/>
    <col min="2" max="2" width="20.55468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277)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349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137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'348-компот сушеной кураги'!H14+1</f>
        <v>277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3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3" s="10" customFormat="1" ht="38.4" customHeight="1" x14ac:dyDescent="0.25">
      <c r="A19" s="180"/>
      <c r="B19" s="20" t="s">
        <v>308</v>
      </c>
      <c r="C19" s="21">
        <v>0.1</v>
      </c>
      <c r="D19" s="125">
        <v>0.25</v>
      </c>
      <c r="E19" s="13">
        <f>цены!F112</f>
        <v>130</v>
      </c>
      <c r="F19" s="13">
        <f>C19*E19</f>
        <v>13</v>
      </c>
      <c r="G19" s="97">
        <f t="shared" ref="G19:H22" si="0">C19*10</f>
        <v>1</v>
      </c>
      <c r="H19" s="21">
        <f t="shared" si="0"/>
        <v>2.5</v>
      </c>
      <c r="I19" s="21">
        <f t="shared" ref="I19:J22" si="1">C19*100</f>
        <v>10</v>
      </c>
      <c r="J19" s="21">
        <f t="shared" si="1"/>
        <v>25</v>
      </c>
      <c r="L19" s="1219">
        <f>C19/C$27</f>
        <v>0.02</v>
      </c>
      <c r="M19" s="1219">
        <f>F19/C$27</f>
        <v>2.6</v>
      </c>
    </row>
    <row r="20" spans="1:13" s="10" customFormat="1" ht="12" customHeight="1" x14ac:dyDescent="0.25">
      <c r="A20" s="180"/>
      <c r="B20" s="20" t="s">
        <v>134</v>
      </c>
      <c r="C20" s="21">
        <v>0.1</v>
      </c>
      <c r="D20" s="111">
        <v>0.1</v>
      </c>
      <c r="E20" s="13">
        <f>цены!F107/1</f>
        <v>76</v>
      </c>
      <c r="F20" s="13">
        <f>C20*E20</f>
        <v>7.6</v>
      </c>
      <c r="G20" s="97">
        <f t="shared" si="0"/>
        <v>1</v>
      </c>
      <c r="H20" s="21">
        <f t="shared" si="0"/>
        <v>1</v>
      </c>
      <c r="I20" s="21">
        <f t="shared" si="1"/>
        <v>10</v>
      </c>
      <c r="J20" s="21">
        <f t="shared" si="1"/>
        <v>10</v>
      </c>
      <c r="L20" s="1219">
        <f t="shared" ref="L20:L22" si="2">C20/C$27</f>
        <v>0.02</v>
      </c>
      <c r="M20" s="1219">
        <f t="shared" ref="M20:M22" si="3">F20/C$27</f>
        <v>1.52</v>
      </c>
    </row>
    <row r="21" spans="1:13" s="10" customFormat="1" ht="12" customHeight="1" x14ac:dyDescent="0.25">
      <c r="A21" s="180"/>
      <c r="B21" s="20" t="s">
        <v>135</v>
      </c>
      <c r="C21" s="21">
        <v>1E-3</v>
      </c>
      <c r="D21" s="125">
        <v>1E-3</v>
      </c>
      <c r="E21" s="13">
        <f>цены!F98</f>
        <v>290</v>
      </c>
      <c r="F21" s="13">
        <f>C21*E21</f>
        <v>0.28999999999999998</v>
      </c>
      <c r="G21" s="97">
        <f t="shared" si="0"/>
        <v>0.01</v>
      </c>
      <c r="H21" s="21">
        <f t="shared" si="0"/>
        <v>0.01</v>
      </c>
      <c r="I21" s="21">
        <f t="shared" si="1"/>
        <v>0.1</v>
      </c>
      <c r="J21" s="21">
        <f t="shared" si="1"/>
        <v>0.1</v>
      </c>
      <c r="L21" s="1219">
        <f t="shared" si="2"/>
        <v>2.0000000000000001E-4</v>
      </c>
      <c r="M21" s="1219">
        <f t="shared" si="3"/>
        <v>5.8000000000000003E-2</v>
      </c>
    </row>
    <row r="22" spans="1:13" s="10" customFormat="1" ht="12" customHeight="1" x14ac:dyDescent="0.25">
      <c r="A22" s="180"/>
      <c r="B22" s="20" t="s">
        <v>28</v>
      </c>
      <c r="C22" s="21">
        <v>1</v>
      </c>
      <c r="D22" s="111">
        <v>1</v>
      </c>
      <c r="E22" s="13"/>
      <c r="F22" s="13">
        <f>C22*E22</f>
        <v>0</v>
      </c>
      <c r="G22" s="97">
        <f t="shared" si="0"/>
        <v>10</v>
      </c>
      <c r="H22" s="21">
        <f t="shared" si="0"/>
        <v>10</v>
      </c>
      <c r="I22" s="21">
        <f t="shared" si="1"/>
        <v>100</v>
      </c>
      <c r="J22" s="21">
        <f t="shared" si="1"/>
        <v>100</v>
      </c>
      <c r="L22" s="1219">
        <f t="shared" si="2"/>
        <v>0.2</v>
      </c>
      <c r="M22" s="1219">
        <f t="shared" si="3"/>
        <v>0</v>
      </c>
    </row>
    <row r="23" spans="1:13" s="10" customFormat="1" ht="12" customHeight="1" x14ac:dyDescent="0.25">
      <c r="A23" s="98"/>
      <c r="B23" s="93" t="s">
        <v>100</v>
      </c>
      <c r="C23" s="112"/>
      <c r="D23" s="112">
        <v>1</v>
      </c>
      <c r="E23" s="95"/>
      <c r="F23" s="95">
        <f>SUM(F19:F22)</f>
        <v>20.89</v>
      </c>
      <c r="G23" s="99"/>
      <c r="H23" s="100">
        <f>D23*10</f>
        <v>10</v>
      </c>
      <c r="I23" s="100"/>
      <c r="J23" s="100">
        <f>D23*100</f>
        <v>100</v>
      </c>
      <c r="L23" s="1219">
        <f>SUM(L19:L22)</f>
        <v>0.2402</v>
      </c>
      <c r="M23" s="1219">
        <f>SUM(M19:M22)</f>
        <v>4.1779999999999999</v>
      </c>
    </row>
    <row r="24" spans="1:13" s="10" customFormat="1" ht="27.6" customHeight="1" x14ac:dyDescent="0.25">
      <c r="A24" s="1536" t="s">
        <v>35</v>
      </c>
      <c r="B24" s="1536"/>
      <c r="C24" s="90"/>
      <c r="D24" s="90"/>
      <c r="E24" s="13"/>
      <c r="F24" s="13">
        <f>F23</f>
        <v>20.89</v>
      </c>
      <c r="G24" s="14"/>
      <c r="H24" s="14"/>
      <c r="I24" s="21"/>
      <c r="J24" s="13"/>
    </row>
    <row r="25" spans="1:13" s="10" customFormat="1" ht="25.35" customHeight="1" x14ac:dyDescent="0.25">
      <c r="A25" s="1536" t="s">
        <v>36</v>
      </c>
      <c r="B25" s="1536"/>
      <c r="C25" s="90">
        <v>1000</v>
      </c>
      <c r="D25" s="90"/>
      <c r="E25" s="13"/>
      <c r="F25" s="13"/>
      <c r="G25" s="13"/>
      <c r="H25" s="13"/>
      <c r="I25" s="21"/>
      <c r="J25" s="17"/>
    </row>
    <row r="26" spans="1:13" s="10" customFormat="1" ht="25.35" customHeight="1" x14ac:dyDescent="0.25">
      <c r="A26" s="1537" t="s">
        <v>37</v>
      </c>
      <c r="B26" s="1538"/>
      <c r="C26" s="91">
        <v>200</v>
      </c>
      <c r="D26" s="92"/>
      <c r="E26" s="5"/>
      <c r="F26" s="5"/>
      <c r="G26" s="5"/>
      <c r="H26" s="5"/>
      <c r="I26" s="21"/>
      <c r="J26" s="17"/>
    </row>
    <row r="27" spans="1:13" s="10" customFormat="1" ht="15" customHeight="1" x14ac:dyDescent="0.25">
      <c r="A27" s="1539" t="s">
        <v>38</v>
      </c>
      <c r="B27" s="1540"/>
      <c r="C27" s="92">
        <f>C25/C26</f>
        <v>5</v>
      </c>
      <c r="D27" s="92"/>
      <c r="E27" s="5"/>
      <c r="F27" s="5"/>
      <c r="G27" s="5"/>
      <c r="H27" s="5"/>
      <c r="I27" s="21"/>
      <c r="J27" s="17"/>
    </row>
    <row r="28" spans="1:13" ht="16.350000000000001" customHeight="1" x14ac:dyDescent="0.25">
      <c r="A28" s="1541" t="s">
        <v>39</v>
      </c>
      <c r="B28" s="1542"/>
      <c r="C28" s="15" t="s">
        <v>40</v>
      </c>
      <c r="D28" s="102"/>
      <c r="E28" s="102" t="s">
        <v>40</v>
      </c>
      <c r="F28" s="16">
        <f>F24/C27</f>
        <v>4.18</v>
      </c>
      <c r="G28" s="16"/>
      <c r="H28" s="16"/>
      <c r="I28" s="102" t="s">
        <v>40</v>
      </c>
      <c r="J28" s="102" t="s">
        <v>40</v>
      </c>
    </row>
    <row r="29" spans="1:13" ht="23.1" customHeight="1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3" ht="13.95" customHeight="1" x14ac:dyDescent="0.25">
      <c r="A30" s="1193"/>
      <c r="B30" s="1194" t="s">
        <v>49</v>
      </c>
      <c r="C30" s="1198"/>
      <c r="D30" s="1198"/>
      <c r="E30" s="1198"/>
      <c r="F30" s="1198"/>
      <c r="G30" s="1193"/>
      <c r="H30" s="1557">
        <f>'1-бутерброд с маслом'!$H$28</f>
        <v>0</v>
      </c>
      <c r="I30" s="1557"/>
      <c r="J30" s="1557"/>
    </row>
    <row r="31" spans="1:13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3" ht="13.95" customHeight="1" x14ac:dyDescent="0.25">
      <c r="A32" s="1545" t="s">
        <v>327</v>
      </c>
      <c r="B32" s="1545"/>
      <c r="C32" s="1546" t="s">
        <v>328</v>
      </c>
      <c r="D32" s="1546"/>
      <c r="E32" s="1546"/>
      <c r="F32" s="1546"/>
      <c r="G32" s="106"/>
      <c r="H32" s="1531"/>
      <c r="I32" s="1531"/>
      <c r="J32" s="1531"/>
    </row>
    <row r="33" spans="1:10" x14ac:dyDescent="0.25">
      <c r="A33" s="1193"/>
      <c r="B33" s="1193"/>
      <c r="C33" s="1546"/>
      <c r="D33" s="1546"/>
      <c r="E33" s="1546"/>
      <c r="F33" s="1546"/>
      <c r="G33" s="1193"/>
      <c r="H33" s="1531" t="s">
        <v>329</v>
      </c>
      <c r="I33" s="1531"/>
      <c r="J33" s="1531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2:B32"/>
    <mergeCell ref="C32:F33"/>
    <mergeCell ref="H32:J32"/>
    <mergeCell ref="H33:J33"/>
    <mergeCell ref="A25:B25"/>
    <mergeCell ref="A26:B26"/>
    <mergeCell ref="A27:B27"/>
    <mergeCell ref="A28:B28"/>
    <mergeCell ref="H30:J30"/>
    <mergeCell ref="A24:B24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36"/>
  <sheetViews>
    <sheetView view="pageBreakPreview" topLeftCell="A10" zoomScaleNormal="100" zoomScaleSheetLayoutView="100" workbookViewId="0">
      <selection activeCell="L19" sqref="L19:M24"/>
    </sheetView>
  </sheetViews>
  <sheetFormatPr defaultRowHeight="13.8" x14ac:dyDescent="0.25"/>
  <cols>
    <col min="1" max="1" width="4.109375" customWidth="1"/>
    <col min="2" max="2" width="20.55468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276)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352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669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'347-компот консерв персик'!H14+1</f>
        <v>276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3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3" s="10" customFormat="1" ht="15" customHeight="1" x14ac:dyDescent="0.25">
      <c r="A19" s="180"/>
      <c r="B19" s="20" t="s">
        <v>60</v>
      </c>
      <c r="C19" s="21">
        <v>0.17</v>
      </c>
      <c r="D19" s="21">
        <v>0.15</v>
      </c>
      <c r="E19" s="13">
        <f>цены!F71</f>
        <v>91</v>
      </c>
      <c r="F19" s="13">
        <f>C19*E19</f>
        <v>15.47</v>
      </c>
      <c r="G19" s="97">
        <f t="shared" ref="G19:H23" si="0">C19*10</f>
        <v>1.7</v>
      </c>
      <c r="H19" s="21">
        <f t="shared" si="0"/>
        <v>1.5</v>
      </c>
      <c r="I19" s="21">
        <f t="shared" ref="I19:J23" si="1">C19*100</f>
        <v>17</v>
      </c>
      <c r="J19" s="21">
        <f t="shared" si="1"/>
        <v>15</v>
      </c>
      <c r="L19" s="1219">
        <f>C19/C$28</f>
        <v>3.4000000000000002E-2</v>
      </c>
      <c r="M19" s="1219">
        <f>F19/C$28</f>
        <v>3.0939999999999999</v>
      </c>
    </row>
    <row r="20" spans="1:13" s="10" customFormat="1" ht="12" customHeight="1" x14ac:dyDescent="0.25">
      <c r="A20" s="180"/>
      <c r="B20" s="20" t="s">
        <v>134</v>
      </c>
      <c r="C20" s="21">
        <v>0.1</v>
      </c>
      <c r="D20" s="21">
        <v>0.1</v>
      </c>
      <c r="E20" s="13">
        <f>цены!F107</f>
        <v>76</v>
      </c>
      <c r="F20" s="13">
        <f>C20*E20</f>
        <v>7.6</v>
      </c>
      <c r="G20" s="97">
        <f t="shared" si="0"/>
        <v>1</v>
      </c>
      <c r="H20" s="21">
        <f t="shared" si="0"/>
        <v>1</v>
      </c>
      <c r="I20" s="21">
        <f t="shared" si="1"/>
        <v>10</v>
      </c>
      <c r="J20" s="21">
        <f t="shared" si="1"/>
        <v>10</v>
      </c>
      <c r="L20" s="1219">
        <f t="shared" ref="L20:L23" si="2">C20/C$28</f>
        <v>0.02</v>
      </c>
      <c r="M20" s="1219">
        <f t="shared" ref="M20:M23" si="3">F20/C$28</f>
        <v>1.52</v>
      </c>
    </row>
    <row r="21" spans="1:13" s="10" customFormat="1" ht="12" customHeight="1" x14ac:dyDescent="0.25">
      <c r="A21" s="180"/>
      <c r="B21" s="20" t="s">
        <v>63</v>
      </c>
      <c r="C21" s="21">
        <v>0.04</v>
      </c>
      <c r="D21" s="21">
        <v>0.04</v>
      </c>
      <c r="E21" s="13">
        <f>цены!F99</f>
        <v>111</v>
      </c>
      <c r="F21" s="13">
        <f>C21*E21</f>
        <v>4.4400000000000004</v>
      </c>
      <c r="G21" s="97">
        <f t="shared" si="0"/>
        <v>0.4</v>
      </c>
      <c r="H21" s="21">
        <f t="shared" si="0"/>
        <v>0.4</v>
      </c>
      <c r="I21" s="21">
        <f t="shared" si="1"/>
        <v>4</v>
      </c>
      <c r="J21" s="21">
        <f t="shared" si="1"/>
        <v>4</v>
      </c>
      <c r="L21" s="1219">
        <f t="shared" si="2"/>
        <v>8.0000000000000002E-3</v>
      </c>
      <c r="M21" s="1219">
        <f t="shared" si="3"/>
        <v>0.88800000000000001</v>
      </c>
    </row>
    <row r="22" spans="1:13" s="10" customFormat="1" ht="12" customHeight="1" x14ac:dyDescent="0.25">
      <c r="A22" s="180"/>
      <c r="B22" s="20" t="s">
        <v>135</v>
      </c>
      <c r="C22" s="21">
        <v>1E-3</v>
      </c>
      <c r="D22" s="21">
        <v>1E-3</v>
      </c>
      <c r="E22" s="13">
        <f>цены!F98</f>
        <v>290</v>
      </c>
      <c r="F22" s="13">
        <f>C22*E22</f>
        <v>0.28999999999999998</v>
      </c>
      <c r="G22" s="97">
        <f t="shared" si="0"/>
        <v>0.01</v>
      </c>
      <c r="H22" s="21">
        <f t="shared" si="0"/>
        <v>0.01</v>
      </c>
      <c r="I22" s="21">
        <f t="shared" si="1"/>
        <v>0.1</v>
      </c>
      <c r="J22" s="21">
        <f t="shared" si="1"/>
        <v>0.1</v>
      </c>
      <c r="L22" s="1219">
        <f t="shared" si="2"/>
        <v>2.0000000000000001E-4</v>
      </c>
      <c r="M22" s="1219">
        <f t="shared" si="3"/>
        <v>5.8000000000000003E-2</v>
      </c>
    </row>
    <row r="23" spans="1:13" s="10" customFormat="1" ht="12" customHeight="1" x14ac:dyDescent="0.25">
      <c r="A23" s="180"/>
      <c r="B23" s="20" t="s">
        <v>28</v>
      </c>
      <c r="C23" s="21">
        <v>0.98499999999999999</v>
      </c>
      <c r="D23" s="21">
        <v>0.98499999999999999</v>
      </c>
      <c r="E23" s="13"/>
      <c r="F23" s="13">
        <f>C23*E23</f>
        <v>0</v>
      </c>
      <c r="G23" s="97">
        <f t="shared" si="0"/>
        <v>9.85</v>
      </c>
      <c r="H23" s="21">
        <f t="shared" si="0"/>
        <v>9.85</v>
      </c>
      <c r="I23" s="21">
        <f t="shared" si="1"/>
        <v>98.5</v>
      </c>
      <c r="J23" s="21">
        <f t="shared" si="1"/>
        <v>98.5</v>
      </c>
      <c r="L23" s="1219">
        <f t="shared" si="2"/>
        <v>0.19700000000000001</v>
      </c>
      <c r="M23" s="1219">
        <f t="shared" si="3"/>
        <v>0</v>
      </c>
    </row>
    <row r="24" spans="1:13" s="10" customFormat="1" ht="12" customHeight="1" x14ac:dyDescent="0.25">
      <c r="A24" s="98"/>
      <c r="B24" s="93" t="s">
        <v>100</v>
      </c>
      <c r="C24" s="112"/>
      <c r="D24" s="112">
        <v>1</v>
      </c>
      <c r="E24" s="95"/>
      <c r="F24" s="95">
        <f>SUM(F19:F23)</f>
        <v>27.8</v>
      </c>
      <c r="G24" s="99"/>
      <c r="H24" s="100">
        <f>D24*10</f>
        <v>10</v>
      </c>
      <c r="I24" s="100"/>
      <c r="J24" s="100">
        <f>D24*100</f>
        <v>100</v>
      </c>
      <c r="L24" s="1219">
        <f>SUM(L19:L23)</f>
        <v>0.25919999999999999</v>
      </c>
      <c r="M24" s="1219">
        <f>SUM(M19:M23)</f>
        <v>5.56</v>
      </c>
    </row>
    <row r="25" spans="1:13" s="10" customFormat="1" ht="27.6" customHeight="1" x14ac:dyDescent="0.25">
      <c r="A25" s="1536" t="s">
        <v>35</v>
      </c>
      <c r="B25" s="1536"/>
      <c r="C25" s="90"/>
      <c r="D25" s="90"/>
      <c r="E25" s="13"/>
      <c r="F25" s="13">
        <f>F24</f>
        <v>27.8</v>
      </c>
      <c r="G25" s="14"/>
      <c r="H25" s="14"/>
      <c r="I25" s="21"/>
      <c r="J25" s="13"/>
    </row>
    <row r="26" spans="1:13" s="10" customFormat="1" ht="25.35" customHeight="1" x14ac:dyDescent="0.25">
      <c r="A26" s="1536" t="s">
        <v>36</v>
      </c>
      <c r="B26" s="1536"/>
      <c r="C26" s="90">
        <v>1000</v>
      </c>
      <c r="D26" s="90"/>
      <c r="E26" s="13"/>
      <c r="F26" s="13"/>
      <c r="G26" s="13"/>
      <c r="H26" s="13"/>
      <c r="I26" s="21"/>
      <c r="J26" s="17"/>
    </row>
    <row r="27" spans="1:13" s="10" customFormat="1" ht="25.35" customHeight="1" x14ac:dyDescent="0.25">
      <c r="A27" s="1537" t="s">
        <v>37</v>
      </c>
      <c r="B27" s="1538"/>
      <c r="C27" s="91">
        <v>200</v>
      </c>
      <c r="D27" s="92"/>
      <c r="E27" s="5"/>
      <c r="F27" s="5"/>
      <c r="G27" s="5"/>
      <c r="H27" s="5"/>
      <c r="I27" s="21"/>
      <c r="J27" s="17"/>
    </row>
    <row r="28" spans="1:13" s="10" customFormat="1" ht="15" customHeight="1" x14ac:dyDescent="0.25">
      <c r="A28" s="1539" t="s">
        <v>38</v>
      </c>
      <c r="B28" s="1540"/>
      <c r="C28" s="92">
        <f>C26/C27</f>
        <v>5</v>
      </c>
      <c r="D28" s="92"/>
      <c r="E28" s="5"/>
      <c r="F28" s="5"/>
      <c r="G28" s="5"/>
      <c r="H28" s="5"/>
      <c r="I28" s="21"/>
      <c r="J28" s="17"/>
    </row>
    <row r="29" spans="1:13" ht="16.350000000000001" customHeight="1" x14ac:dyDescent="0.25">
      <c r="A29" s="1541" t="s">
        <v>39</v>
      </c>
      <c r="B29" s="1542"/>
      <c r="C29" s="15" t="s">
        <v>40</v>
      </c>
      <c r="D29" s="102"/>
      <c r="E29" s="102" t="s">
        <v>40</v>
      </c>
      <c r="F29" s="16">
        <f>F25/C28</f>
        <v>5.56</v>
      </c>
      <c r="G29" s="16"/>
      <c r="H29" s="16"/>
      <c r="I29" s="102" t="s">
        <v>40</v>
      </c>
      <c r="J29" s="102" t="s">
        <v>40</v>
      </c>
    </row>
    <row r="30" spans="1:13" ht="23.1" customHeight="1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3" ht="13.95" customHeight="1" x14ac:dyDescent="0.25">
      <c r="A31" s="1193"/>
      <c r="B31" s="1194" t="s">
        <v>49</v>
      </c>
      <c r="C31" s="1198"/>
      <c r="D31" s="1198"/>
      <c r="E31" s="1198"/>
      <c r="F31" s="1198"/>
      <c r="G31" s="1193"/>
      <c r="H31" s="1557">
        <f>'1-бутерброд с маслом'!$H$28</f>
        <v>0</v>
      </c>
      <c r="I31" s="1557"/>
      <c r="J31" s="1557"/>
    </row>
    <row r="32" spans="1:13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545" t="s">
        <v>327</v>
      </c>
      <c r="B33" s="1545"/>
      <c r="C33" s="1546" t="s">
        <v>328</v>
      </c>
      <c r="D33" s="1546"/>
      <c r="E33" s="1546"/>
      <c r="F33" s="1546"/>
      <c r="G33" s="106"/>
      <c r="H33" s="1531"/>
      <c r="I33" s="1531"/>
      <c r="J33" s="1531"/>
    </row>
    <row r="34" spans="1:10" x14ac:dyDescent="0.25">
      <c r="A34" s="1193"/>
      <c r="B34" s="1193"/>
      <c r="C34" s="1546"/>
      <c r="D34" s="1546"/>
      <c r="E34" s="1546"/>
      <c r="F34" s="1546"/>
      <c r="G34" s="1193"/>
      <c r="H34" s="1531" t="s">
        <v>329</v>
      </c>
      <c r="I34" s="1531"/>
      <c r="J34" s="1531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3:B33"/>
    <mergeCell ref="C33:F34"/>
    <mergeCell ref="H33:J33"/>
    <mergeCell ref="H34:J34"/>
    <mergeCell ref="A26:B26"/>
    <mergeCell ref="A27:B27"/>
    <mergeCell ref="A28:B28"/>
    <mergeCell ref="A29:B29"/>
    <mergeCell ref="H31:J31"/>
    <mergeCell ref="A25:B25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36"/>
  <sheetViews>
    <sheetView view="pageBreakPreview" topLeftCell="A8" zoomScaleNormal="100" zoomScaleSheetLayoutView="100" workbookViewId="0">
      <selection activeCell="P12" sqref="P12"/>
    </sheetView>
  </sheetViews>
  <sheetFormatPr defaultRowHeight="13.8" x14ac:dyDescent="0.25"/>
  <cols>
    <col min="1" max="1" width="4.109375" customWidth="1"/>
    <col min="2" max="2" width="20.55468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5546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277)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354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195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'352-кисель ябл'!H14+1</f>
        <v>277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3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3" s="10" customFormat="1" ht="15" customHeight="1" x14ac:dyDescent="0.25">
      <c r="A19" s="180"/>
      <c r="B19" s="20" t="s">
        <v>194</v>
      </c>
      <c r="C19" s="21">
        <v>0.06</v>
      </c>
      <c r="D19" s="21">
        <v>0.06</v>
      </c>
      <c r="E19" s="13">
        <f>цены!F126</f>
        <v>130</v>
      </c>
      <c r="F19" s="13">
        <f>C19*E19</f>
        <v>7.8</v>
      </c>
      <c r="G19" s="97">
        <f t="shared" ref="G19:H23" si="0">C19*10</f>
        <v>0.6</v>
      </c>
      <c r="H19" s="21">
        <f t="shared" si="0"/>
        <v>0.6</v>
      </c>
      <c r="I19" s="21">
        <f t="shared" ref="I19:J23" si="1">C19*100</f>
        <v>6</v>
      </c>
      <c r="J19" s="21">
        <f t="shared" si="1"/>
        <v>6</v>
      </c>
      <c r="L19" s="1219">
        <f>C19/C$28</f>
        <v>1.2E-2</v>
      </c>
      <c r="M19" s="1219">
        <f>F19/C$28</f>
        <v>1.56</v>
      </c>
    </row>
    <row r="20" spans="1:13" s="10" customFormat="1" ht="12" customHeight="1" x14ac:dyDescent="0.25">
      <c r="A20" s="180"/>
      <c r="B20" s="20" t="s">
        <v>134</v>
      </c>
      <c r="C20" s="21">
        <v>0.12</v>
      </c>
      <c r="D20" s="21">
        <v>0.12</v>
      </c>
      <c r="E20" s="13">
        <f>цены!F107</f>
        <v>76</v>
      </c>
      <c r="F20" s="13">
        <f>C20*E20</f>
        <v>9.1199999999999992</v>
      </c>
      <c r="G20" s="97">
        <f t="shared" si="0"/>
        <v>1.2</v>
      </c>
      <c r="H20" s="21">
        <f t="shared" si="0"/>
        <v>1.2</v>
      </c>
      <c r="I20" s="21">
        <f t="shared" si="1"/>
        <v>12</v>
      </c>
      <c r="J20" s="21">
        <f t="shared" si="1"/>
        <v>12</v>
      </c>
      <c r="L20" s="1219">
        <f t="shared" ref="L20:L23" si="2">C20/C$28</f>
        <v>2.4E-2</v>
      </c>
      <c r="M20" s="1219">
        <f t="shared" ref="M20:M23" si="3">F20/C$28</f>
        <v>1.8240000000000001</v>
      </c>
    </row>
    <row r="21" spans="1:13" s="10" customFormat="1" ht="12" customHeight="1" x14ac:dyDescent="0.25">
      <c r="A21" s="180"/>
      <c r="B21" s="20" t="s">
        <v>63</v>
      </c>
      <c r="C21" s="21">
        <v>0.04</v>
      </c>
      <c r="D21" s="21">
        <v>0.04</v>
      </c>
      <c r="E21" s="13">
        <f>цены!F99</f>
        <v>111</v>
      </c>
      <c r="F21" s="13">
        <f>C21*E21</f>
        <v>4.4400000000000004</v>
      </c>
      <c r="G21" s="97">
        <f t="shared" si="0"/>
        <v>0.4</v>
      </c>
      <c r="H21" s="21">
        <f t="shared" si="0"/>
        <v>0.4</v>
      </c>
      <c r="I21" s="21">
        <f t="shared" si="1"/>
        <v>4</v>
      </c>
      <c r="J21" s="21">
        <f t="shared" si="1"/>
        <v>4</v>
      </c>
      <c r="L21" s="1219">
        <f t="shared" si="2"/>
        <v>8.0000000000000002E-3</v>
      </c>
      <c r="M21" s="1219">
        <f t="shared" si="3"/>
        <v>0.88800000000000001</v>
      </c>
    </row>
    <row r="22" spans="1:13" s="10" customFormat="1" ht="12" customHeight="1" x14ac:dyDescent="0.25">
      <c r="A22" s="180"/>
      <c r="B22" s="20" t="s">
        <v>135</v>
      </c>
      <c r="C22" s="21">
        <v>1E-3</v>
      </c>
      <c r="D22" s="21">
        <v>1E-3</v>
      </c>
      <c r="E22" s="13">
        <f>цены!F98</f>
        <v>290</v>
      </c>
      <c r="F22" s="13">
        <f>C22*E22</f>
        <v>0.28999999999999998</v>
      </c>
      <c r="G22" s="97">
        <f t="shared" si="0"/>
        <v>0.01</v>
      </c>
      <c r="H22" s="21">
        <f t="shared" si="0"/>
        <v>0.01</v>
      </c>
      <c r="I22" s="21">
        <f t="shared" si="1"/>
        <v>0.1</v>
      </c>
      <c r="J22" s="21">
        <f t="shared" si="1"/>
        <v>0.1</v>
      </c>
      <c r="L22" s="1219">
        <f t="shared" si="2"/>
        <v>2.0000000000000001E-4</v>
      </c>
      <c r="M22" s="1219">
        <f t="shared" si="3"/>
        <v>5.8000000000000003E-2</v>
      </c>
    </row>
    <row r="23" spans="1:13" s="10" customFormat="1" ht="12" customHeight="1" x14ac:dyDescent="0.25">
      <c r="A23" s="180"/>
      <c r="B23" s="20" t="s">
        <v>28</v>
      </c>
      <c r="C23" s="21">
        <v>1.08</v>
      </c>
      <c r="D23" s="21">
        <v>1.08</v>
      </c>
      <c r="E23" s="13"/>
      <c r="F23" s="13">
        <f>C23*E23</f>
        <v>0</v>
      </c>
      <c r="G23" s="97">
        <f t="shared" si="0"/>
        <v>10.8</v>
      </c>
      <c r="H23" s="21">
        <f t="shared" si="0"/>
        <v>10.8</v>
      </c>
      <c r="I23" s="21">
        <f t="shared" si="1"/>
        <v>108</v>
      </c>
      <c r="J23" s="21">
        <f t="shared" si="1"/>
        <v>108</v>
      </c>
      <c r="L23" s="1219">
        <f t="shared" si="2"/>
        <v>0.216</v>
      </c>
      <c r="M23" s="1219">
        <f t="shared" si="3"/>
        <v>0</v>
      </c>
    </row>
    <row r="24" spans="1:13" s="10" customFormat="1" ht="12" customHeight="1" x14ac:dyDescent="0.25">
      <c r="A24" s="98"/>
      <c r="B24" s="93" t="s">
        <v>100</v>
      </c>
      <c r="C24" s="112"/>
      <c r="D24" s="112">
        <v>1</v>
      </c>
      <c r="E24" s="95"/>
      <c r="F24" s="95">
        <f>SUM(F19:F23)</f>
        <v>21.65</v>
      </c>
      <c r="G24" s="99"/>
      <c r="H24" s="100">
        <f>D24*10</f>
        <v>10</v>
      </c>
      <c r="I24" s="100"/>
      <c r="J24" s="100">
        <f>D24*100</f>
        <v>100</v>
      </c>
      <c r="L24" s="1219">
        <f>SUM(L19:L23)</f>
        <v>0.26019999999999999</v>
      </c>
      <c r="M24" s="1219">
        <f>SUM(M19:M23)</f>
        <v>4.33</v>
      </c>
    </row>
    <row r="25" spans="1:13" s="10" customFormat="1" ht="27.6" customHeight="1" x14ac:dyDescent="0.25">
      <c r="A25" s="1536" t="s">
        <v>35</v>
      </c>
      <c r="B25" s="1536"/>
      <c r="C25" s="90"/>
      <c r="D25" s="90"/>
      <c r="E25" s="13"/>
      <c r="F25" s="13">
        <f>F24</f>
        <v>21.65</v>
      </c>
      <c r="G25" s="14"/>
      <c r="H25" s="14"/>
      <c r="I25" s="21"/>
      <c r="J25" s="13"/>
    </row>
    <row r="26" spans="1:13" s="10" customFormat="1" ht="25.35" customHeight="1" x14ac:dyDescent="0.25">
      <c r="A26" s="1536" t="s">
        <v>36</v>
      </c>
      <c r="B26" s="1536"/>
      <c r="C26" s="90">
        <v>1000</v>
      </c>
      <c r="D26" s="90"/>
      <c r="E26" s="13"/>
      <c r="F26" s="13"/>
      <c r="G26" s="13"/>
      <c r="H26" s="13"/>
      <c r="I26" s="21"/>
      <c r="J26" s="17"/>
    </row>
    <row r="27" spans="1:13" s="10" customFormat="1" ht="25.35" customHeight="1" x14ac:dyDescent="0.25">
      <c r="A27" s="1537" t="s">
        <v>37</v>
      </c>
      <c r="B27" s="1538"/>
      <c r="C27" s="91">
        <v>200</v>
      </c>
      <c r="D27" s="92"/>
      <c r="E27" s="5"/>
      <c r="F27" s="5"/>
      <c r="G27" s="5"/>
      <c r="H27" s="5"/>
      <c r="I27" s="21"/>
      <c r="J27" s="17"/>
    </row>
    <row r="28" spans="1:13" s="10" customFormat="1" ht="15" customHeight="1" x14ac:dyDescent="0.25">
      <c r="A28" s="1539" t="s">
        <v>38</v>
      </c>
      <c r="B28" s="1540"/>
      <c r="C28" s="92">
        <f>C26/C27</f>
        <v>5</v>
      </c>
      <c r="D28" s="92"/>
      <c r="E28" s="5"/>
      <c r="F28" s="5"/>
      <c r="G28" s="5"/>
      <c r="H28" s="5"/>
      <c r="I28" s="21"/>
      <c r="J28" s="17"/>
    </row>
    <row r="29" spans="1:13" ht="16.350000000000001" customHeight="1" x14ac:dyDescent="0.25">
      <c r="A29" s="1541" t="s">
        <v>39</v>
      </c>
      <c r="B29" s="1542"/>
      <c r="C29" s="15" t="s">
        <v>40</v>
      </c>
      <c r="D29" s="102"/>
      <c r="E29" s="102" t="s">
        <v>40</v>
      </c>
      <c r="F29" s="16">
        <f>F25/C28</f>
        <v>4.33</v>
      </c>
      <c r="G29" s="16"/>
      <c r="H29" s="16"/>
      <c r="I29" s="102" t="s">
        <v>40</v>
      </c>
      <c r="J29" s="102" t="s">
        <v>40</v>
      </c>
    </row>
    <row r="30" spans="1:13" ht="23.1" customHeight="1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3" ht="13.95" customHeight="1" x14ac:dyDescent="0.25">
      <c r="A31" s="1193"/>
      <c r="B31" s="1194" t="s">
        <v>49</v>
      </c>
      <c r="C31" s="1198"/>
      <c r="D31" s="1198"/>
      <c r="E31" s="1198"/>
      <c r="F31" s="1198"/>
      <c r="G31" s="1193"/>
      <c r="H31" s="1557">
        <f>'1-бутерброд с маслом'!$H$28</f>
        <v>0</v>
      </c>
      <c r="I31" s="1557"/>
      <c r="J31" s="1557"/>
    </row>
    <row r="32" spans="1:13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545" t="s">
        <v>327</v>
      </c>
      <c r="B33" s="1545"/>
      <c r="C33" s="1546" t="s">
        <v>328</v>
      </c>
      <c r="D33" s="1546"/>
      <c r="E33" s="1546"/>
      <c r="F33" s="1546"/>
      <c r="G33" s="106"/>
      <c r="H33" s="1531"/>
      <c r="I33" s="1531"/>
      <c r="J33" s="1531"/>
    </row>
    <row r="34" spans="1:10" x14ac:dyDescent="0.25">
      <c r="A34" s="1193"/>
      <c r="B34" s="1193"/>
      <c r="C34" s="1546"/>
      <c r="D34" s="1546"/>
      <c r="E34" s="1546"/>
      <c r="F34" s="1546"/>
      <c r="G34" s="1193"/>
      <c r="H34" s="1531" t="s">
        <v>329</v>
      </c>
      <c r="I34" s="1531"/>
      <c r="J34" s="1531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3:B33"/>
    <mergeCell ref="C33:F34"/>
    <mergeCell ref="H33:J33"/>
    <mergeCell ref="H34:J34"/>
    <mergeCell ref="A26:B26"/>
    <mergeCell ref="A27:B27"/>
    <mergeCell ref="A28:B28"/>
    <mergeCell ref="A29:B29"/>
    <mergeCell ref="H31:J31"/>
    <mergeCell ref="A25:B25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36"/>
  <sheetViews>
    <sheetView view="pageBreakPreview" zoomScaleNormal="100" zoomScaleSheetLayoutView="100" workbookViewId="0">
      <selection activeCell="H31" sqref="H31:J31"/>
    </sheetView>
  </sheetViews>
  <sheetFormatPr defaultRowHeight="13.8" x14ac:dyDescent="0.25"/>
  <cols>
    <col min="1" max="1" width="4.109375" customWidth="1"/>
    <col min="2" max="2" width="20.55468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278)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357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145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'354-кисель ябл суш'!H14+1</f>
        <v>278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5" customHeight="1" x14ac:dyDescent="0.25">
      <c r="A19" s="180"/>
      <c r="B19" s="20" t="s">
        <v>146</v>
      </c>
      <c r="C19" s="21">
        <v>0.04</v>
      </c>
      <c r="D19" s="21">
        <v>0.04</v>
      </c>
      <c r="E19" s="13">
        <f>цены!F115</f>
        <v>100</v>
      </c>
      <c r="F19" s="13">
        <f>C19*E19</f>
        <v>4</v>
      </c>
      <c r="G19" s="97">
        <f t="shared" ref="G19:H23" si="0">C19*10</f>
        <v>0.4</v>
      </c>
      <c r="H19" s="21">
        <f t="shared" si="0"/>
        <v>0.4</v>
      </c>
      <c r="I19" s="21">
        <f t="shared" ref="I19:J23" si="1">C19*100</f>
        <v>4</v>
      </c>
      <c r="J19" s="21">
        <f t="shared" si="1"/>
        <v>4</v>
      </c>
    </row>
    <row r="20" spans="1:10" s="10" customFormat="1" ht="12" customHeight="1" x14ac:dyDescent="0.25">
      <c r="A20" s="180"/>
      <c r="B20" s="20" t="s">
        <v>134</v>
      </c>
      <c r="C20" s="21">
        <v>0.12</v>
      </c>
      <c r="D20" s="21">
        <v>0.12</v>
      </c>
      <c r="E20" s="13">
        <f>цены!F107</f>
        <v>76</v>
      </c>
      <c r="F20" s="13">
        <f>C20*E20</f>
        <v>9.1199999999999992</v>
      </c>
      <c r="G20" s="97">
        <f t="shared" si="0"/>
        <v>1.2</v>
      </c>
      <c r="H20" s="21">
        <f t="shared" si="0"/>
        <v>1.2</v>
      </c>
      <c r="I20" s="21">
        <f t="shared" si="1"/>
        <v>12</v>
      </c>
      <c r="J20" s="21">
        <f t="shared" si="1"/>
        <v>12</v>
      </c>
    </row>
    <row r="21" spans="1:10" s="10" customFormat="1" ht="12" customHeight="1" x14ac:dyDescent="0.25">
      <c r="A21" s="180"/>
      <c r="B21" s="20" t="s">
        <v>63</v>
      </c>
      <c r="C21" s="21">
        <v>0.05</v>
      </c>
      <c r="D21" s="21">
        <v>0.05</v>
      </c>
      <c r="E21" s="13">
        <f>цены!F99</f>
        <v>111</v>
      </c>
      <c r="F21" s="13">
        <f>C21*E21</f>
        <v>5.55</v>
      </c>
      <c r="G21" s="97">
        <f t="shared" si="0"/>
        <v>0.5</v>
      </c>
      <c r="H21" s="21">
        <f t="shared" si="0"/>
        <v>0.5</v>
      </c>
      <c r="I21" s="21">
        <f t="shared" si="1"/>
        <v>5</v>
      </c>
      <c r="J21" s="21">
        <f t="shared" si="1"/>
        <v>5</v>
      </c>
    </row>
    <row r="22" spans="1:10" s="10" customFormat="1" ht="12" customHeight="1" x14ac:dyDescent="0.25">
      <c r="A22" s="180"/>
      <c r="B22" s="20" t="s">
        <v>135</v>
      </c>
      <c r="C22" s="111">
        <v>1.5E-3</v>
      </c>
      <c r="D22" s="111">
        <v>1.5E-3</v>
      </c>
      <c r="E22" s="13">
        <f>цены!F98</f>
        <v>290</v>
      </c>
      <c r="F22" s="13">
        <f>C22*E22</f>
        <v>0.44</v>
      </c>
      <c r="G22" s="97">
        <f t="shared" si="0"/>
        <v>1.4999999999999999E-2</v>
      </c>
      <c r="H22" s="21">
        <f t="shared" si="0"/>
        <v>1.4999999999999999E-2</v>
      </c>
      <c r="I22" s="21">
        <f t="shared" si="1"/>
        <v>0.15</v>
      </c>
      <c r="J22" s="21">
        <f t="shared" si="1"/>
        <v>0.15</v>
      </c>
    </row>
    <row r="23" spans="1:10" s="10" customFormat="1" ht="12" customHeight="1" x14ac:dyDescent="0.25">
      <c r="A23" s="180"/>
      <c r="B23" s="20" t="s">
        <v>28</v>
      </c>
      <c r="C23" s="21">
        <v>0.8</v>
      </c>
      <c r="D23" s="21">
        <v>0.8</v>
      </c>
      <c r="E23" s="13"/>
      <c r="F23" s="13">
        <f>C23*E23</f>
        <v>0</v>
      </c>
      <c r="G23" s="97">
        <f t="shared" si="0"/>
        <v>8</v>
      </c>
      <c r="H23" s="21">
        <f t="shared" si="0"/>
        <v>8</v>
      </c>
      <c r="I23" s="21">
        <f t="shared" si="1"/>
        <v>80</v>
      </c>
      <c r="J23" s="21">
        <f t="shared" si="1"/>
        <v>80</v>
      </c>
    </row>
    <row r="24" spans="1:10" s="10" customFormat="1" ht="12" customHeight="1" x14ac:dyDescent="0.25">
      <c r="A24" s="98"/>
      <c r="B24" s="93" t="s">
        <v>100</v>
      </c>
      <c r="C24" s="112"/>
      <c r="D24" s="112">
        <v>1</v>
      </c>
      <c r="E24" s="95"/>
      <c r="F24" s="95">
        <f>SUM(F19:F23)</f>
        <v>19.11</v>
      </c>
      <c r="G24" s="99"/>
      <c r="H24" s="100">
        <f>D24*10</f>
        <v>10</v>
      </c>
      <c r="I24" s="100"/>
      <c r="J24" s="100">
        <f>D24*100</f>
        <v>100</v>
      </c>
    </row>
    <row r="25" spans="1:10" s="10" customFormat="1" ht="27.6" customHeight="1" x14ac:dyDescent="0.25">
      <c r="A25" s="1536" t="s">
        <v>35</v>
      </c>
      <c r="B25" s="1536"/>
      <c r="C25" s="90"/>
      <c r="D25" s="90"/>
      <c r="E25" s="13"/>
      <c r="F25" s="13">
        <f>F24</f>
        <v>19.11</v>
      </c>
      <c r="G25" s="14"/>
      <c r="H25" s="14"/>
      <c r="I25" s="21"/>
      <c r="J25" s="13"/>
    </row>
    <row r="26" spans="1:10" s="10" customFormat="1" ht="25.35" customHeight="1" x14ac:dyDescent="0.25">
      <c r="A26" s="1536" t="s">
        <v>36</v>
      </c>
      <c r="B26" s="1536"/>
      <c r="C26" s="90">
        <v>1000</v>
      </c>
      <c r="D26" s="90"/>
      <c r="E26" s="13"/>
      <c r="F26" s="13"/>
      <c r="G26" s="13"/>
      <c r="H26" s="13"/>
      <c r="I26" s="21"/>
      <c r="J26" s="17"/>
    </row>
    <row r="27" spans="1:10" s="10" customFormat="1" ht="25.35" customHeight="1" x14ac:dyDescent="0.25">
      <c r="A27" s="1537" t="s">
        <v>37</v>
      </c>
      <c r="B27" s="1538"/>
      <c r="C27" s="91">
        <v>200</v>
      </c>
      <c r="D27" s="92"/>
      <c r="E27" s="5"/>
      <c r="F27" s="5"/>
      <c r="G27" s="5"/>
      <c r="H27" s="5"/>
      <c r="I27" s="21"/>
      <c r="J27" s="17"/>
    </row>
    <row r="28" spans="1:10" s="10" customFormat="1" ht="15" customHeight="1" x14ac:dyDescent="0.25">
      <c r="A28" s="1539" t="s">
        <v>38</v>
      </c>
      <c r="B28" s="1540"/>
      <c r="C28" s="92">
        <f>C26/C27</f>
        <v>5</v>
      </c>
      <c r="D28" s="92"/>
      <c r="E28" s="5"/>
      <c r="F28" s="5"/>
      <c r="G28" s="5"/>
      <c r="H28" s="5"/>
      <c r="I28" s="21"/>
      <c r="J28" s="17"/>
    </row>
    <row r="29" spans="1:10" ht="16.350000000000001" customHeight="1" x14ac:dyDescent="0.25">
      <c r="A29" s="1541" t="s">
        <v>39</v>
      </c>
      <c r="B29" s="1542"/>
      <c r="C29" s="15" t="s">
        <v>40</v>
      </c>
      <c r="D29" s="102"/>
      <c r="E29" s="102" t="s">
        <v>40</v>
      </c>
      <c r="F29" s="16">
        <f>F25/C28</f>
        <v>3.82</v>
      </c>
      <c r="G29" s="16"/>
      <c r="H29" s="16"/>
      <c r="I29" s="102" t="s">
        <v>40</v>
      </c>
      <c r="J29" s="102" t="s">
        <v>40</v>
      </c>
    </row>
    <row r="30" spans="1:10" ht="23.1" customHeight="1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0" ht="13.95" customHeight="1" x14ac:dyDescent="0.25">
      <c r="A31" s="1193"/>
      <c r="B31" s="1194" t="s">
        <v>49</v>
      </c>
      <c r="C31" s="1198"/>
      <c r="D31" s="1198"/>
      <c r="E31" s="1198"/>
      <c r="F31" s="1198"/>
      <c r="G31" s="1193"/>
      <c r="H31" s="1556">
        <f>'1-бутерброд с маслом'!$H$28</f>
        <v>0</v>
      </c>
      <c r="I31" s="1556"/>
      <c r="J31" s="1556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545" t="s">
        <v>327</v>
      </c>
      <c r="B33" s="1545"/>
      <c r="C33" s="1546" t="s">
        <v>328</v>
      </c>
      <c r="D33" s="1546"/>
      <c r="E33" s="1546"/>
      <c r="F33" s="1546"/>
      <c r="G33" s="106"/>
      <c r="H33" s="1531"/>
      <c r="I33" s="1531"/>
      <c r="J33" s="1531"/>
    </row>
    <row r="34" spans="1:10" x14ac:dyDescent="0.25">
      <c r="A34" s="1193"/>
      <c r="B34" s="1193"/>
      <c r="C34" s="1546"/>
      <c r="D34" s="1546"/>
      <c r="E34" s="1546"/>
      <c r="F34" s="1546"/>
      <c r="G34" s="1193"/>
      <c r="H34" s="1531" t="s">
        <v>329</v>
      </c>
      <c r="I34" s="1531"/>
      <c r="J34" s="1531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3:B33"/>
    <mergeCell ref="C33:F34"/>
    <mergeCell ref="H33:J33"/>
    <mergeCell ref="H34:J34"/>
    <mergeCell ref="A26:B26"/>
    <mergeCell ref="A27:B27"/>
    <mergeCell ref="A28:B28"/>
    <mergeCell ref="A29:B29"/>
    <mergeCell ref="H31:J31"/>
    <mergeCell ref="A25:B25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3"/>
  <sheetViews>
    <sheetView view="pageBreakPreview" zoomScaleNormal="100" zoomScaleSheetLayoutView="100" workbookViewId="0">
      <selection activeCell="H28" sqref="H28:J28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279)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375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118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'357-кисель шиповн'!H14+1</f>
        <v>279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42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/>
      <c r="B19" s="20" t="s">
        <v>119</v>
      </c>
      <c r="C19" s="21">
        <v>0.01</v>
      </c>
      <c r="D19" s="21">
        <v>0.01</v>
      </c>
      <c r="E19" s="13">
        <f>цены!F125</f>
        <v>900</v>
      </c>
      <c r="F19" s="13">
        <f>C19*E19</f>
        <v>9</v>
      </c>
      <c r="G19" s="97">
        <f>C19*10</f>
        <v>0.1</v>
      </c>
      <c r="H19" s="21">
        <f>D19*10</f>
        <v>0.1</v>
      </c>
      <c r="I19" s="21">
        <f>C19*100</f>
        <v>1</v>
      </c>
      <c r="J19" s="21">
        <f>D19*100</f>
        <v>1</v>
      </c>
    </row>
    <row r="20" spans="1:10" s="10" customFormat="1" ht="12" customHeight="1" x14ac:dyDescent="0.25">
      <c r="A20" s="180"/>
      <c r="B20" s="20" t="s">
        <v>28</v>
      </c>
      <c r="C20" s="21">
        <v>1.08</v>
      </c>
      <c r="D20" s="21">
        <v>1.08</v>
      </c>
      <c r="E20" s="13"/>
      <c r="F20" s="13">
        <f>C20*E20</f>
        <v>0</v>
      </c>
      <c r="G20" s="97">
        <f>C20*10</f>
        <v>10.8</v>
      </c>
      <c r="H20" s="21">
        <f>D20*10</f>
        <v>10.8</v>
      </c>
      <c r="I20" s="21">
        <f>C20*100</f>
        <v>108</v>
      </c>
      <c r="J20" s="21">
        <f>D20*100</f>
        <v>108</v>
      </c>
    </row>
    <row r="21" spans="1:10" s="10" customFormat="1" ht="12" customHeight="1" x14ac:dyDescent="0.25">
      <c r="A21" s="98"/>
      <c r="B21" s="93" t="s">
        <v>100</v>
      </c>
      <c r="C21" s="112"/>
      <c r="D21" s="1028">
        <v>1000</v>
      </c>
      <c r="E21" s="95"/>
      <c r="F21" s="95">
        <f>SUM(F19:F20)</f>
        <v>9</v>
      </c>
      <c r="G21" s="99"/>
      <c r="H21" s="1028">
        <f>D21*10</f>
        <v>10000</v>
      </c>
      <c r="I21" s="1028"/>
      <c r="J21" s="1028">
        <f>D21*100</f>
        <v>100000</v>
      </c>
    </row>
    <row r="22" spans="1:10" s="10" customFormat="1" ht="27.6" customHeight="1" x14ac:dyDescent="0.25">
      <c r="A22" s="1536" t="s">
        <v>35</v>
      </c>
      <c r="B22" s="1536"/>
      <c r="C22" s="90"/>
      <c r="D22" s="90"/>
      <c r="E22" s="13"/>
      <c r="F22" s="13">
        <f>F21</f>
        <v>9</v>
      </c>
      <c r="G22" s="14"/>
      <c r="H22" s="14"/>
      <c r="I22" s="21"/>
      <c r="J22" s="13"/>
    </row>
    <row r="23" spans="1:10" s="10" customFormat="1" ht="25.35" customHeight="1" x14ac:dyDescent="0.25">
      <c r="A23" s="1536" t="s">
        <v>36</v>
      </c>
      <c r="B23" s="1536"/>
      <c r="C23" s="866">
        <v>1000</v>
      </c>
      <c r="D23" s="90"/>
      <c r="E23" s="13"/>
      <c r="F23" s="13"/>
      <c r="G23" s="13"/>
      <c r="H23" s="13"/>
      <c r="I23" s="21"/>
      <c r="J23" s="17"/>
    </row>
    <row r="24" spans="1:10" s="10" customFormat="1" ht="25.35" customHeight="1" x14ac:dyDescent="0.25">
      <c r="A24" s="1537" t="s">
        <v>37</v>
      </c>
      <c r="B24" s="1538"/>
      <c r="C24" s="1071">
        <v>1000</v>
      </c>
      <c r="D24" s="92"/>
      <c r="E24" s="5"/>
      <c r="F24" s="5"/>
      <c r="G24" s="5"/>
      <c r="H24" s="5"/>
      <c r="I24" s="21"/>
      <c r="J24" s="17"/>
    </row>
    <row r="25" spans="1:10" s="10" customFormat="1" ht="15" customHeight="1" x14ac:dyDescent="0.25">
      <c r="A25" s="1539" t="s">
        <v>38</v>
      </c>
      <c r="B25" s="1540"/>
      <c r="C25" s="92">
        <f>C23/C24</f>
        <v>1</v>
      </c>
      <c r="D25" s="92"/>
      <c r="E25" s="5"/>
      <c r="F25" s="5"/>
      <c r="G25" s="5"/>
      <c r="H25" s="5"/>
      <c r="I25" s="21"/>
      <c r="J25" s="17"/>
    </row>
    <row r="26" spans="1:10" ht="16.350000000000001" customHeight="1" x14ac:dyDescent="0.25">
      <c r="A26" s="1541" t="s">
        <v>39</v>
      </c>
      <c r="B26" s="1542"/>
      <c r="C26" s="15" t="s">
        <v>40</v>
      </c>
      <c r="D26" s="102"/>
      <c r="E26" s="102" t="s">
        <v>40</v>
      </c>
      <c r="F26" s="16">
        <f>F22/C25</f>
        <v>9</v>
      </c>
      <c r="G26" s="16"/>
      <c r="H26" s="16"/>
      <c r="I26" s="102" t="s">
        <v>40</v>
      </c>
      <c r="J26" s="102" t="s">
        <v>40</v>
      </c>
    </row>
    <row r="27" spans="1:10" ht="23.1" customHeight="1" x14ac:dyDescent="0.25">
      <c r="A27" s="1193"/>
      <c r="B27" s="1193"/>
      <c r="C27" s="1193"/>
      <c r="D27" s="1193"/>
      <c r="E27" s="1193"/>
      <c r="F27" s="1193"/>
      <c r="G27" s="1193"/>
      <c r="H27" s="1193"/>
      <c r="I27" s="1193"/>
      <c r="J27" s="1193"/>
    </row>
    <row r="28" spans="1:10" ht="13.95" customHeight="1" x14ac:dyDescent="0.25">
      <c r="A28" s="1193"/>
      <c r="B28" s="1194" t="s">
        <v>49</v>
      </c>
      <c r="C28" s="1198"/>
      <c r="D28" s="1198"/>
      <c r="E28" s="1198"/>
      <c r="F28" s="1198"/>
      <c r="G28" s="1193"/>
      <c r="H28" s="1556">
        <f>'1-бутерброд с маслом'!$H$28</f>
        <v>0</v>
      </c>
      <c r="I28" s="1556"/>
      <c r="J28" s="1556"/>
    </row>
    <row r="29" spans="1:10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0" ht="13.95" customHeight="1" x14ac:dyDescent="0.25">
      <c r="A30" s="1545" t="s">
        <v>327</v>
      </c>
      <c r="B30" s="1545"/>
      <c r="C30" s="1546" t="s">
        <v>328</v>
      </c>
      <c r="D30" s="1546"/>
      <c r="E30" s="1546"/>
      <c r="F30" s="1546"/>
      <c r="G30" s="106"/>
      <c r="H30" s="1531"/>
      <c r="I30" s="1531"/>
      <c r="J30" s="1531"/>
    </row>
    <row r="31" spans="1:10" x14ac:dyDescent="0.25">
      <c r="A31" s="1193"/>
      <c r="B31" s="1193"/>
      <c r="C31" s="1546"/>
      <c r="D31" s="1546"/>
      <c r="E31" s="1546"/>
      <c r="F31" s="1546"/>
      <c r="G31" s="1193"/>
      <c r="H31" s="1531" t="s">
        <v>329</v>
      </c>
      <c r="I31" s="1531"/>
      <c r="J31" s="1531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</sheetData>
  <mergeCells count="28">
    <mergeCell ref="A23:B23"/>
    <mergeCell ref="A13:G13"/>
    <mergeCell ref="A24:B24"/>
    <mergeCell ref="A25:B25"/>
    <mergeCell ref="A26:B26"/>
    <mergeCell ref="A16:A17"/>
    <mergeCell ref="B16:B17"/>
    <mergeCell ref="A22:B22"/>
    <mergeCell ref="A6:G6"/>
    <mergeCell ref="A7:I7"/>
    <mergeCell ref="C16:F16"/>
    <mergeCell ref="G16:H16"/>
    <mergeCell ref="I16:J16"/>
    <mergeCell ref="A9:J9"/>
    <mergeCell ref="A11:J11"/>
    <mergeCell ref="I13:J13"/>
    <mergeCell ref="C14:G14"/>
    <mergeCell ref="I14:J14"/>
    <mergeCell ref="G1:J1"/>
    <mergeCell ref="G2:J2"/>
    <mergeCell ref="G3:J3"/>
    <mergeCell ref="A5:G5"/>
    <mergeCell ref="H5:I5"/>
    <mergeCell ref="A30:B30"/>
    <mergeCell ref="C30:F31"/>
    <mergeCell ref="H30:J30"/>
    <mergeCell ref="H31:J31"/>
    <mergeCell ref="H28:J28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4"/>
  <sheetViews>
    <sheetView view="pageBreakPreview" topLeftCell="A11" zoomScaleNormal="100" zoomScaleSheetLayoutView="100" workbookViewId="0">
      <selection activeCell="C26" sqref="C26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88671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280)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376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110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'375-чай заварка'!H14+1</f>
        <v>280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/>
      <c r="B19" s="20" t="s">
        <v>122</v>
      </c>
      <c r="C19" s="21">
        <v>0.05</v>
      </c>
      <c r="D19" s="21">
        <v>0.05</v>
      </c>
      <c r="E19" s="13">
        <f>'375-чай заварка'!F26</f>
        <v>9</v>
      </c>
      <c r="F19" s="13">
        <f>C19*E19</f>
        <v>0.45</v>
      </c>
      <c r="G19" s="97">
        <f t="shared" ref="G19:H21" si="0">C19*10</f>
        <v>0.5</v>
      </c>
      <c r="H19" s="21">
        <f t="shared" si="0"/>
        <v>0.5</v>
      </c>
      <c r="I19" s="21">
        <f t="shared" ref="I19:J21" si="1">C19*100</f>
        <v>5</v>
      </c>
      <c r="J19" s="21">
        <f t="shared" si="1"/>
        <v>5</v>
      </c>
    </row>
    <row r="20" spans="1:10" s="10" customFormat="1" ht="14.1" customHeight="1" x14ac:dyDescent="0.25">
      <c r="A20" s="180"/>
      <c r="B20" s="20" t="s">
        <v>30</v>
      </c>
      <c r="C20" s="21">
        <v>1.4999999999999999E-2</v>
      </c>
      <c r="D20" s="21">
        <v>1.4999999999999999E-2</v>
      </c>
      <c r="E20" s="13">
        <f>цены!F107</f>
        <v>76</v>
      </c>
      <c r="F20" s="13">
        <f>C20*E20</f>
        <v>1.1399999999999999</v>
      </c>
      <c r="G20" s="97">
        <f t="shared" si="0"/>
        <v>0.15</v>
      </c>
      <c r="H20" s="21">
        <f t="shared" si="0"/>
        <v>0.15</v>
      </c>
      <c r="I20" s="21">
        <f t="shared" si="1"/>
        <v>1.5</v>
      </c>
      <c r="J20" s="21">
        <f t="shared" si="1"/>
        <v>1.5</v>
      </c>
    </row>
    <row r="21" spans="1:10" s="10" customFormat="1" ht="12" customHeight="1" x14ac:dyDescent="0.25">
      <c r="A21" s="180"/>
      <c r="B21" s="20" t="s">
        <v>28</v>
      </c>
      <c r="C21" s="21">
        <v>0.15</v>
      </c>
      <c r="D21" s="21">
        <v>0.15</v>
      </c>
      <c r="E21" s="13"/>
      <c r="F21" s="13">
        <f>C21*E21</f>
        <v>0</v>
      </c>
      <c r="G21" s="97">
        <f t="shared" si="0"/>
        <v>1.5</v>
      </c>
      <c r="H21" s="21">
        <f t="shared" si="0"/>
        <v>1.5</v>
      </c>
      <c r="I21" s="21">
        <f t="shared" si="1"/>
        <v>15</v>
      </c>
      <c r="J21" s="21">
        <f t="shared" si="1"/>
        <v>15</v>
      </c>
    </row>
    <row r="22" spans="1:10" s="10" customFormat="1" ht="12" customHeight="1" x14ac:dyDescent="0.25">
      <c r="A22" s="98"/>
      <c r="B22" s="93" t="s">
        <v>100</v>
      </c>
      <c r="C22" s="112"/>
      <c r="D22" s="112">
        <v>215</v>
      </c>
      <c r="E22" s="95"/>
      <c r="F22" s="95">
        <f>SUM(F19:F21)</f>
        <v>1.59</v>
      </c>
      <c r="G22" s="99"/>
      <c r="H22" s="100">
        <f>D22*10</f>
        <v>2150</v>
      </c>
      <c r="I22" s="100"/>
      <c r="J22" s="100">
        <f>D22*100</f>
        <v>21500</v>
      </c>
    </row>
    <row r="23" spans="1:10" s="10" customFormat="1" ht="27.6" customHeight="1" x14ac:dyDescent="0.25">
      <c r="A23" s="1536" t="s">
        <v>35</v>
      </c>
      <c r="B23" s="1536"/>
      <c r="C23" s="90"/>
      <c r="D23" s="90"/>
      <c r="E23" s="13"/>
      <c r="F23" s="13">
        <f>F22</f>
        <v>1.59</v>
      </c>
      <c r="G23" s="14"/>
      <c r="H23" s="14"/>
      <c r="I23" s="21"/>
      <c r="J23" s="13"/>
    </row>
    <row r="24" spans="1:10" s="10" customFormat="1" ht="25.35" customHeight="1" x14ac:dyDescent="0.25">
      <c r="A24" s="1536" t="s">
        <v>36</v>
      </c>
      <c r="B24" s="1536"/>
      <c r="C24" s="90">
        <v>200</v>
      </c>
      <c r="D24" s="90"/>
      <c r="E24" s="13"/>
      <c r="F24" s="13"/>
      <c r="G24" s="13"/>
      <c r="H24" s="13"/>
      <c r="I24" s="21"/>
      <c r="J24" s="17"/>
    </row>
    <row r="25" spans="1:10" s="10" customFormat="1" ht="25.35" customHeight="1" x14ac:dyDescent="0.25">
      <c r="A25" s="1537" t="s">
        <v>37</v>
      </c>
      <c r="B25" s="1538"/>
      <c r="C25" s="91">
        <v>200</v>
      </c>
      <c r="D25" s="1189" t="s">
        <v>1084</v>
      </c>
      <c r="E25" s="5"/>
      <c r="F25" s="5"/>
      <c r="G25" s="5"/>
      <c r="H25" s="5"/>
      <c r="I25" s="21"/>
      <c r="J25" s="17"/>
    </row>
    <row r="26" spans="1:10" s="10" customFormat="1" ht="15" customHeight="1" x14ac:dyDescent="0.25">
      <c r="A26" s="1539" t="s">
        <v>38</v>
      </c>
      <c r="B26" s="1540"/>
      <c r="C26" s="92">
        <f>C24/C25</f>
        <v>1</v>
      </c>
      <c r="D26" s="92"/>
      <c r="E26" s="5"/>
      <c r="F26" s="5"/>
      <c r="G26" s="5"/>
      <c r="H26" s="5"/>
      <c r="I26" s="21"/>
      <c r="J26" s="17"/>
    </row>
    <row r="27" spans="1:10" ht="16.350000000000001" customHeight="1" x14ac:dyDescent="0.25">
      <c r="A27" s="1541" t="s">
        <v>39</v>
      </c>
      <c r="B27" s="1542"/>
      <c r="C27" s="15" t="s">
        <v>40</v>
      </c>
      <c r="D27" s="102"/>
      <c r="E27" s="102" t="s">
        <v>40</v>
      </c>
      <c r="F27" s="16">
        <f>F23/C26</f>
        <v>1.59</v>
      </c>
      <c r="G27" s="16"/>
      <c r="H27" s="16"/>
      <c r="I27" s="102" t="s">
        <v>40</v>
      </c>
      <c r="J27" s="102" t="s">
        <v>40</v>
      </c>
    </row>
    <row r="28" spans="1:10" ht="23.1" customHeight="1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193"/>
      <c r="B29" s="1194" t="s">
        <v>49</v>
      </c>
      <c r="C29" s="1198"/>
      <c r="D29" s="1198"/>
      <c r="E29" s="1198"/>
      <c r="F29" s="1198"/>
      <c r="G29" s="1193"/>
      <c r="H29" s="1556">
        <f>'1-бутерброд с маслом'!$H$28</f>
        <v>0</v>
      </c>
      <c r="I29" s="1556"/>
      <c r="J29" s="1556"/>
    </row>
    <row r="30" spans="1:10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0" ht="13.95" customHeight="1" x14ac:dyDescent="0.25">
      <c r="A31" s="1545" t="s">
        <v>327</v>
      </c>
      <c r="B31" s="1545"/>
      <c r="C31" s="1546" t="s">
        <v>328</v>
      </c>
      <c r="D31" s="1546"/>
      <c r="E31" s="1546"/>
      <c r="F31" s="1546"/>
      <c r="G31" s="106"/>
      <c r="H31" s="1531"/>
      <c r="I31" s="1531"/>
      <c r="J31" s="1531"/>
    </row>
    <row r="32" spans="1:10" x14ac:dyDescent="0.25">
      <c r="A32" s="1193"/>
      <c r="B32" s="1193"/>
      <c r="C32" s="1546"/>
      <c r="D32" s="1546"/>
      <c r="E32" s="1546"/>
      <c r="F32" s="1546"/>
      <c r="G32" s="1193"/>
      <c r="H32" s="1531" t="s">
        <v>329</v>
      </c>
      <c r="I32" s="1531"/>
      <c r="J32" s="1531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</sheetData>
  <mergeCells count="28">
    <mergeCell ref="A24:B24"/>
    <mergeCell ref="A13:G13"/>
    <mergeCell ref="A25:B25"/>
    <mergeCell ref="A26:B26"/>
    <mergeCell ref="A27:B27"/>
    <mergeCell ref="A16:A17"/>
    <mergeCell ref="B16:B17"/>
    <mergeCell ref="A23:B23"/>
    <mergeCell ref="A6:G6"/>
    <mergeCell ref="A7:I7"/>
    <mergeCell ref="C16:F16"/>
    <mergeCell ref="G16:H16"/>
    <mergeCell ref="I16:J16"/>
    <mergeCell ref="A9:J9"/>
    <mergeCell ref="A11:J11"/>
    <mergeCell ref="I13:J13"/>
    <mergeCell ref="C14:G14"/>
    <mergeCell ref="I14:J14"/>
    <mergeCell ref="G1:J1"/>
    <mergeCell ref="G2:J2"/>
    <mergeCell ref="G3:J3"/>
    <mergeCell ref="A5:G5"/>
    <mergeCell ref="H5:I5"/>
    <mergeCell ref="A31:B31"/>
    <mergeCell ref="C31:F32"/>
    <mergeCell ref="H31:J31"/>
    <mergeCell ref="H32:J32"/>
    <mergeCell ref="H29:J29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4"/>
  <sheetViews>
    <sheetView view="pageBreakPreview" topLeftCell="A7" zoomScaleNormal="100" zoomScaleSheetLayoutView="100" workbookViewId="0">
      <selection activeCell="H29" sqref="H29:J29"/>
    </sheetView>
  </sheetViews>
  <sheetFormatPr defaultColWidth="8.88671875" defaultRowHeight="13.8" x14ac:dyDescent="0.25"/>
  <cols>
    <col min="1" max="1" width="4.109375" style="1170" customWidth="1"/>
    <col min="2" max="2" width="21.109375" style="1170" customWidth="1"/>
    <col min="3" max="7" width="7.5546875" style="1170" customWidth="1"/>
    <col min="8" max="8" width="8.88671875" style="1170" customWidth="1"/>
    <col min="9" max="9" width="7.5546875" style="1170" customWidth="1"/>
    <col min="10" max="10" width="9" style="1170" customWidth="1"/>
    <col min="11" max="11" width="3.88671875" style="1170" customWidth="1"/>
    <col min="12" max="16384" width="8.88671875" style="1170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280)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176">
        <v>376</v>
      </c>
    </row>
    <row r="8" spans="1:10" s="2" customFormat="1" ht="9.6" customHeight="1" x14ac:dyDescent="0.25">
      <c r="A8" s="1172"/>
      <c r="B8" s="1172"/>
      <c r="C8" s="1172"/>
      <c r="D8" s="1172"/>
      <c r="E8" s="1172"/>
      <c r="F8" s="1172"/>
      <c r="G8" s="1172"/>
      <c r="H8" s="1172"/>
      <c r="I8" s="1172"/>
      <c r="J8" s="109"/>
    </row>
    <row r="9" spans="1:10" s="2" customFormat="1" ht="26.1" customHeight="1" x14ac:dyDescent="0.3">
      <c r="A9" s="1550" t="s">
        <v>1309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'375-чай заварка'!H14+1</f>
        <v>280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1173" t="s">
        <v>92</v>
      </c>
      <c r="D17" s="1173" t="s">
        <v>94</v>
      </c>
      <c r="E17" s="1173" t="s">
        <v>93</v>
      </c>
      <c r="F17" s="1173" t="s">
        <v>23</v>
      </c>
      <c r="G17" s="1173" t="s">
        <v>92</v>
      </c>
      <c r="H17" s="1173" t="s">
        <v>94</v>
      </c>
      <c r="I17" s="1173" t="s">
        <v>92</v>
      </c>
      <c r="J17" s="1173" t="s">
        <v>94</v>
      </c>
    </row>
    <row r="18" spans="1:10" ht="9.6" customHeight="1" x14ac:dyDescent="0.25">
      <c r="A18" s="1173">
        <v>1</v>
      </c>
      <c r="B18" s="1174">
        <v>2</v>
      </c>
      <c r="C18" s="1173">
        <v>3</v>
      </c>
      <c r="D18" s="1174">
        <v>4</v>
      </c>
      <c r="E18" s="1173">
        <v>5</v>
      </c>
      <c r="F18" s="1174">
        <v>6</v>
      </c>
      <c r="G18" s="1173">
        <v>7</v>
      </c>
      <c r="H18" s="1174">
        <v>8</v>
      </c>
      <c r="I18" s="1173">
        <v>9</v>
      </c>
      <c r="J18" s="1174">
        <v>10</v>
      </c>
    </row>
    <row r="19" spans="1:10" s="10" customFormat="1" ht="14.1" customHeight="1" x14ac:dyDescent="0.25">
      <c r="A19" s="180"/>
      <c r="B19" s="20" t="s">
        <v>122</v>
      </c>
      <c r="C19" s="21">
        <v>0.05</v>
      </c>
      <c r="D19" s="21">
        <v>0.05</v>
      </c>
      <c r="E19" s="408">
        <f>'375-чай заварка'!F26</f>
        <v>9</v>
      </c>
      <c r="F19" s="408">
        <f>C19*E19</f>
        <v>0.45</v>
      </c>
      <c r="G19" s="97">
        <f t="shared" ref="G19:H21" si="0">C19*10</f>
        <v>0.5</v>
      </c>
      <c r="H19" s="21">
        <f t="shared" si="0"/>
        <v>0.5</v>
      </c>
      <c r="I19" s="21">
        <f t="shared" ref="I19:J21" si="1">C19*100</f>
        <v>5</v>
      </c>
      <c r="J19" s="21">
        <f t="shared" si="1"/>
        <v>5</v>
      </c>
    </row>
    <row r="20" spans="1:10" s="10" customFormat="1" ht="14.1" customHeight="1" x14ac:dyDescent="0.25">
      <c r="A20" s="180"/>
      <c r="B20" s="20" t="s">
        <v>1311</v>
      </c>
      <c r="C20" s="21">
        <v>0.02</v>
      </c>
      <c r="D20" s="21">
        <v>0.02</v>
      </c>
      <c r="E20" s="408">
        <f>цены!F106</f>
        <v>400</v>
      </c>
      <c r="F20" s="408">
        <f>C20*E20</f>
        <v>8</v>
      </c>
      <c r="G20" s="97">
        <f t="shared" si="0"/>
        <v>0.2</v>
      </c>
      <c r="H20" s="21">
        <f t="shared" si="0"/>
        <v>0.2</v>
      </c>
      <c r="I20" s="21">
        <f t="shared" si="1"/>
        <v>2</v>
      </c>
      <c r="J20" s="21">
        <f t="shared" si="1"/>
        <v>2</v>
      </c>
    </row>
    <row r="21" spans="1:10" s="10" customFormat="1" ht="12" customHeight="1" x14ac:dyDescent="0.25">
      <c r="A21" s="180"/>
      <c r="B21" s="20" t="s">
        <v>28</v>
      </c>
      <c r="C21" s="21">
        <v>0.15</v>
      </c>
      <c r="D21" s="21">
        <v>0.15</v>
      </c>
      <c r="E21" s="408"/>
      <c r="F21" s="408">
        <f>C21*E21</f>
        <v>0</v>
      </c>
      <c r="G21" s="97">
        <f t="shared" si="0"/>
        <v>1.5</v>
      </c>
      <c r="H21" s="21">
        <f t="shared" si="0"/>
        <v>1.5</v>
      </c>
      <c r="I21" s="21">
        <f t="shared" si="1"/>
        <v>15</v>
      </c>
      <c r="J21" s="21">
        <f t="shared" si="1"/>
        <v>15</v>
      </c>
    </row>
    <row r="22" spans="1:10" s="10" customFormat="1" ht="12" customHeight="1" x14ac:dyDescent="0.25">
      <c r="A22" s="98"/>
      <c r="B22" s="93" t="s">
        <v>100</v>
      </c>
      <c r="C22" s="112"/>
      <c r="D22" s="1028">
        <v>220</v>
      </c>
      <c r="E22" s="95"/>
      <c r="F22" s="95">
        <f>SUM(F19:F21)</f>
        <v>8.4499999999999993</v>
      </c>
      <c r="G22" s="99"/>
      <c r="H22" s="1028">
        <f>D22*10</f>
        <v>2200</v>
      </c>
      <c r="I22" s="1028"/>
      <c r="J22" s="1028">
        <f>D22*100</f>
        <v>22000</v>
      </c>
    </row>
    <row r="23" spans="1:10" s="10" customFormat="1" ht="27.6" customHeight="1" x14ac:dyDescent="0.25">
      <c r="A23" s="1536" t="s">
        <v>35</v>
      </c>
      <c r="B23" s="1536"/>
      <c r="C23" s="90"/>
      <c r="D23" s="90"/>
      <c r="E23" s="408"/>
      <c r="F23" s="408">
        <f>F22</f>
        <v>8.4499999999999993</v>
      </c>
      <c r="G23" s="1175"/>
      <c r="H23" s="1175"/>
      <c r="I23" s="21"/>
      <c r="J23" s="408"/>
    </row>
    <row r="24" spans="1:10" s="10" customFormat="1" ht="25.35" customHeight="1" x14ac:dyDescent="0.25">
      <c r="A24" s="1536" t="s">
        <v>36</v>
      </c>
      <c r="B24" s="1536"/>
      <c r="C24" s="90">
        <v>220</v>
      </c>
      <c r="D24" s="90"/>
      <c r="E24" s="408"/>
      <c r="F24" s="408"/>
      <c r="G24" s="408"/>
      <c r="H24" s="408"/>
      <c r="I24" s="21"/>
      <c r="J24" s="17"/>
    </row>
    <row r="25" spans="1:10" s="10" customFormat="1" ht="25.35" customHeight="1" x14ac:dyDescent="0.25">
      <c r="A25" s="1537" t="s">
        <v>37</v>
      </c>
      <c r="B25" s="1538"/>
      <c r="C25" s="91">
        <v>220</v>
      </c>
      <c r="D25" s="1189" t="s">
        <v>1312</v>
      </c>
      <c r="E25" s="1174"/>
      <c r="F25" s="1174"/>
      <c r="G25" s="1174"/>
      <c r="H25" s="1174"/>
      <c r="I25" s="21"/>
      <c r="J25" s="17"/>
    </row>
    <row r="26" spans="1:10" s="10" customFormat="1" ht="15" customHeight="1" x14ac:dyDescent="0.25">
      <c r="A26" s="1539" t="s">
        <v>38</v>
      </c>
      <c r="B26" s="1540"/>
      <c r="C26" s="92">
        <f>C24/C25</f>
        <v>1</v>
      </c>
      <c r="D26" s="92"/>
      <c r="E26" s="1174"/>
      <c r="F26" s="1174"/>
      <c r="G26" s="1174"/>
      <c r="H26" s="1174"/>
      <c r="I26" s="21"/>
      <c r="J26" s="17"/>
    </row>
    <row r="27" spans="1:10" ht="16.350000000000001" customHeight="1" x14ac:dyDescent="0.25">
      <c r="A27" s="1541" t="s">
        <v>39</v>
      </c>
      <c r="B27" s="1542"/>
      <c r="C27" s="15" t="s">
        <v>40</v>
      </c>
      <c r="D27" s="102"/>
      <c r="E27" s="102" t="s">
        <v>40</v>
      </c>
      <c r="F27" s="16">
        <f>F23/C26</f>
        <v>8.4499999999999993</v>
      </c>
      <c r="G27" s="16"/>
      <c r="H27" s="16"/>
      <c r="I27" s="102" t="s">
        <v>40</v>
      </c>
      <c r="J27" s="102" t="s">
        <v>40</v>
      </c>
    </row>
    <row r="28" spans="1:10" ht="23.1" customHeight="1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193"/>
      <c r="B29" s="1194" t="s">
        <v>49</v>
      </c>
      <c r="C29" s="1198"/>
      <c r="D29" s="1198"/>
      <c r="E29" s="1198"/>
      <c r="F29" s="1198"/>
      <c r="G29" s="1193"/>
      <c r="H29" s="1556">
        <f>'1-бутерброд с маслом'!$H$28</f>
        <v>0</v>
      </c>
      <c r="I29" s="1556"/>
      <c r="J29" s="1556"/>
    </row>
    <row r="30" spans="1:10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0" ht="13.95" customHeight="1" x14ac:dyDescent="0.25">
      <c r="A31" s="1545" t="s">
        <v>327</v>
      </c>
      <c r="B31" s="1545"/>
      <c r="C31" s="1546" t="s">
        <v>328</v>
      </c>
      <c r="D31" s="1546"/>
      <c r="E31" s="1546"/>
      <c r="F31" s="1546"/>
      <c r="G31" s="106"/>
      <c r="H31" s="1531"/>
      <c r="I31" s="1531"/>
      <c r="J31" s="1531"/>
    </row>
    <row r="32" spans="1:10" x14ac:dyDescent="0.25">
      <c r="A32" s="1193"/>
      <c r="B32" s="1193"/>
      <c r="C32" s="1546"/>
      <c r="D32" s="1546"/>
      <c r="E32" s="1546"/>
      <c r="F32" s="1546"/>
      <c r="G32" s="1193"/>
      <c r="H32" s="1531" t="s">
        <v>329</v>
      </c>
      <c r="I32" s="1531"/>
      <c r="J32" s="1531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1:B31"/>
    <mergeCell ref="C31:F32"/>
    <mergeCell ref="H31:J31"/>
    <mergeCell ref="H32:J32"/>
    <mergeCell ref="A24:B24"/>
    <mergeCell ref="A25:B25"/>
    <mergeCell ref="A26:B26"/>
    <mergeCell ref="A27:B27"/>
    <mergeCell ref="H29:J29"/>
    <mergeCell ref="A23:B23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5"/>
  <sheetViews>
    <sheetView view="pageBreakPreview" topLeftCell="A13" zoomScaleNormal="100" zoomScaleSheetLayoutView="100" workbookViewId="0">
      <selection activeCell="C27" sqref="C27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281)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377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114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'376-чай сахар'!H14+1</f>
        <v>281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40.5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/>
      <c r="B19" s="20" t="s">
        <v>122</v>
      </c>
      <c r="C19" s="21">
        <v>0.05</v>
      </c>
      <c r="D19" s="21">
        <v>0.05</v>
      </c>
      <c r="E19" s="13">
        <f>'375-чай заварка'!F26</f>
        <v>9</v>
      </c>
      <c r="F19" s="13">
        <f>C19*E19</f>
        <v>0.45</v>
      </c>
      <c r="G19" s="97">
        <f t="shared" ref="G19:H22" si="0">C19*10</f>
        <v>0.5</v>
      </c>
      <c r="H19" s="21">
        <f t="shared" si="0"/>
        <v>0.5</v>
      </c>
      <c r="I19" s="21">
        <f t="shared" ref="I19:J22" si="1">C19*100</f>
        <v>5</v>
      </c>
      <c r="J19" s="21">
        <f t="shared" si="1"/>
        <v>5</v>
      </c>
    </row>
    <row r="20" spans="1:10" s="10" customFormat="1" ht="14.1" customHeight="1" x14ac:dyDescent="0.25">
      <c r="A20" s="180"/>
      <c r="B20" s="20" t="s">
        <v>265</v>
      </c>
      <c r="C20" s="21">
        <v>8.0000000000000002E-3</v>
      </c>
      <c r="D20" s="21">
        <v>7.0000000000000001E-3</v>
      </c>
      <c r="E20" s="13">
        <f>цены!F37</f>
        <v>180</v>
      </c>
      <c r="F20" s="13">
        <f>C20*E20</f>
        <v>1.44</v>
      </c>
      <c r="G20" s="97">
        <f t="shared" si="0"/>
        <v>0.08</v>
      </c>
      <c r="H20" s="21">
        <f t="shared" si="0"/>
        <v>7.0000000000000007E-2</v>
      </c>
      <c r="I20" s="21">
        <f t="shared" si="1"/>
        <v>0.8</v>
      </c>
      <c r="J20" s="21">
        <f t="shared" si="1"/>
        <v>0.7</v>
      </c>
    </row>
    <row r="21" spans="1:10" s="10" customFormat="1" ht="14.1" customHeight="1" x14ac:dyDescent="0.25">
      <c r="A21" s="180"/>
      <c r="B21" s="20" t="s">
        <v>30</v>
      </c>
      <c r="C21" s="21">
        <v>1.4999999999999999E-2</v>
      </c>
      <c r="D21" s="21">
        <v>1.4999999999999999E-2</v>
      </c>
      <c r="E21" s="13">
        <f>цены!F107</f>
        <v>76</v>
      </c>
      <c r="F21" s="13">
        <f>C21*E21</f>
        <v>1.1399999999999999</v>
      </c>
      <c r="G21" s="97">
        <f t="shared" si="0"/>
        <v>0.15</v>
      </c>
      <c r="H21" s="21">
        <f t="shared" si="0"/>
        <v>0.15</v>
      </c>
      <c r="I21" s="21">
        <f t="shared" si="1"/>
        <v>1.5</v>
      </c>
      <c r="J21" s="21">
        <f t="shared" si="1"/>
        <v>1.5</v>
      </c>
    </row>
    <row r="22" spans="1:10" s="10" customFormat="1" ht="12" customHeight="1" x14ac:dyDescent="0.25">
      <c r="A22" s="180"/>
      <c r="B22" s="20" t="s">
        <v>28</v>
      </c>
      <c r="C22" s="21">
        <v>0.15</v>
      </c>
      <c r="D22" s="21">
        <v>0.15</v>
      </c>
      <c r="E22" s="13"/>
      <c r="F22" s="13">
        <f>C22*E22</f>
        <v>0</v>
      </c>
      <c r="G22" s="97">
        <f t="shared" si="0"/>
        <v>1.5</v>
      </c>
      <c r="H22" s="21">
        <f t="shared" si="0"/>
        <v>1.5</v>
      </c>
      <c r="I22" s="21">
        <f t="shared" si="1"/>
        <v>15</v>
      </c>
      <c r="J22" s="21">
        <f t="shared" si="1"/>
        <v>15</v>
      </c>
    </row>
    <row r="23" spans="1:10" s="10" customFormat="1" ht="12" customHeight="1" x14ac:dyDescent="0.25">
      <c r="A23" s="184"/>
      <c r="B23" s="93" t="s">
        <v>100</v>
      </c>
      <c r="C23" s="112"/>
      <c r="D23" s="1028">
        <v>222</v>
      </c>
      <c r="E23" s="112"/>
      <c r="F23" s="95">
        <f>SUM(F19:F22)</f>
        <v>3.03</v>
      </c>
      <c r="G23" s="99"/>
      <c r="H23" s="184">
        <f>D23*10</f>
        <v>2220</v>
      </c>
      <c r="I23" s="184"/>
      <c r="J23" s="184">
        <f>D23*100</f>
        <v>22200</v>
      </c>
    </row>
    <row r="24" spans="1:10" s="10" customFormat="1" ht="27.6" customHeight="1" x14ac:dyDescent="0.25">
      <c r="A24" s="1536" t="s">
        <v>35</v>
      </c>
      <c r="B24" s="1536"/>
      <c r="C24" s="90"/>
      <c r="D24" s="90"/>
      <c r="E24" s="13"/>
      <c r="F24" s="13">
        <f>F23</f>
        <v>3.03</v>
      </c>
      <c r="G24" s="14"/>
      <c r="H24" s="14"/>
      <c r="I24" s="21"/>
      <c r="J24" s="13"/>
    </row>
    <row r="25" spans="1:10" s="10" customFormat="1" ht="25.35" customHeight="1" x14ac:dyDescent="0.25">
      <c r="A25" s="1536" t="s">
        <v>36</v>
      </c>
      <c r="B25" s="1536"/>
      <c r="C25" s="866">
        <v>200</v>
      </c>
      <c r="D25" s="90"/>
      <c r="E25" s="13"/>
      <c r="F25" s="13"/>
      <c r="G25" s="13"/>
      <c r="H25" s="13"/>
      <c r="I25" s="21"/>
      <c r="J25" s="17"/>
    </row>
    <row r="26" spans="1:10" s="10" customFormat="1" ht="25.35" customHeight="1" x14ac:dyDescent="0.25">
      <c r="A26" s="1537" t="s">
        <v>37</v>
      </c>
      <c r="B26" s="1538"/>
      <c r="C26" s="1071">
        <v>200</v>
      </c>
      <c r="D26" s="1189" t="s">
        <v>1350</v>
      </c>
      <c r="E26" s="5"/>
      <c r="F26" s="5"/>
      <c r="G26" s="5"/>
      <c r="H26" s="5"/>
      <c r="I26" s="21"/>
      <c r="J26" s="17"/>
    </row>
    <row r="27" spans="1:10" s="10" customFormat="1" ht="15" customHeight="1" x14ac:dyDescent="0.25">
      <c r="A27" s="1539" t="s">
        <v>38</v>
      </c>
      <c r="B27" s="1540"/>
      <c r="C27" s="92">
        <f>C25/C26</f>
        <v>1</v>
      </c>
      <c r="D27" s="92"/>
      <c r="E27" s="5"/>
      <c r="F27" s="5"/>
      <c r="G27" s="5"/>
      <c r="H27" s="5"/>
      <c r="I27" s="21"/>
      <c r="J27" s="17"/>
    </row>
    <row r="28" spans="1:10" ht="16.350000000000001" customHeight="1" x14ac:dyDescent="0.25">
      <c r="A28" s="1541" t="s">
        <v>39</v>
      </c>
      <c r="B28" s="1542"/>
      <c r="C28" s="15" t="s">
        <v>40</v>
      </c>
      <c r="D28" s="102"/>
      <c r="E28" s="102" t="s">
        <v>40</v>
      </c>
      <c r="F28" s="16">
        <f>F24/C27</f>
        <v>3.03</v>
      </c>
      <c r="G28" s="16"/>
      <c r="H28" s="16"/>
      <c r="I28" s="102" t="s">
        <v>40</v>
      </c>
      <c r="J28" s="102" t="s">
        <v>40</v>
      </c>
    </row>
    <row r="29" spans="1:10" ht="23.1" customHeight="1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0" ht="13.95" customHeight="1" x14ac:dyDescent="0.25">
      <c r="A30" s="1193"/>
      <c r="B30" s="1194" t="s">
        <v>49</v>
      </c>
      <c r="C30" s="1198"/>
      <c r="D30" s="1198"/>
      <c r="E30" s="1198"/>
      <c r="F30" s="1198"/>
      <c r="G30" s="1193"/>
      <c r="H30" s="1556">
        <f>'1-бутерброд с маслом'!$H$28</f>
        <v>0</v>
      </c>
      <c r="I30" s="1556"/>
      <c r="J30" s="1556"/>
    </row>
    <row r="31" spans="1:10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ht="13.95" customHeight="1" x14ac:dyDescent="0.25">
      <c r="A32" s="1545" t="s">
        <v>327</v>
      </c>
      <c r="B32" s="1545"/>
      <c r="C32" s="1546" t="s">
        <v>328</v>
      </c>
      <c r="D32" s="1546"/>
      <c r="E32" s="1546"/>
      <c r="F32" s="1546"/>
      <c r="G32" s="106"/>
      <c r="H32" s="1531"/>
      <c r="I32" s="1531"/>
      <c r="J32" s="1531"/>
    </row>
    <row r="33" spans="1:10" x14ac:dyDescent="0.25">
      <c r="A33" s="1193"/>
      <c r="B33" s="1193"/>
      <c r="C33" s="1546"/>
      <c r="D33" s="1546"/>
      <c r="E33" s="1546"/>
      <c r="F33" s="1546"/>
      <c r="G33" s="1193"/>
      <c r="H33" s="1531" t="s">
        <v>329</v>
      </c>
      <c r="I33" s="1531"/>
      <c r="J33" s="1531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</sheetData>
  <mergeCells count="28">
    <mergeCell ref="A25:B25"/>
    <mergeCell ref="A26:B26"/>
    <mergeCell ref="A27:B27"/>
    <mergeCell ref="A28:B28"/>
    <mergeCell ref="A6:G6"/>
    <mergeCell ref="A7:I7"/>
    <mergeCell ref="G16:H16"/>
    <mergeCell ref="I16:J16"/>
    <mergeCell ref="A24:B24"/>
    <mergeCell ref="A9:J9"/>
    <mergeCell ref="A11:J11"/>
    <mergeCell ref="I13:J13"/>
    <mergeCell ref="C14:G14"/>
    <mergeCell ref="I14:J14"/>
    <mergeCell ref="A16:A17"/>
    <mergeCell ref="B16:B17"/>
    <mergeCell ref="C16:F16"/>
    <mergeCell ref="A13:G13"/>
    <mergeCell ref="G1:J1"/>
    <mergeCell ref="G2:J2"/>
    <mergeCell ref="G3:J3"/>
    <mergeCell ref="A5:G5"/>
    <mergeCell ref="H5:I5"/>
    <mergeCell ref="A32:B32"/>
    <mergeCell ref="C32:F33"/>
    <mergeCell ref="H32:J32"/>
    <mergeCell ref="H33:J33"/>
    <mergeCell ref="H30:J30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M38"/>
  <sheetViews>
    <sheetView view="pageBreakPreview" topLeftCell="A13" zoomScaleNormal="100" zoomScaleSheetLayoutView="100" workbookViewId="0">
      <selection activeCell="A30" sqref="A30:J34"/>
    </sheetView>
  </sheetViews>
  <sheetFormatPr defaultRowHeight="13.8" x14ac:dyDescent="0.25"/>
  <cols>
    <col min="1" max="1" width="4.109375" customWidth="1"/>
    <col min="2" max="2" width="21" customWidth="1"/>
    <col min="3" max="3" width="8.88671875" customWidth="1"/>
    <col min="4" max="7" width="7.5546875" customWidth="1"/>
    <col min="8" max="8" width="7.44140625" customWidth="1"/>
    <col min="9" max="9" width="8.44140625" customWidth="1"/>
    <col min="10" max="10" width="9.109375" customWidth="1"/>
    <col min="11" max="11" width="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24)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290"/>
      <c r="I6" s="290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31</v>
      </c>
    </row>
    <row r="8" spans="1:10" s="2" customFormat="1" ht="9.6" customHeight="1" x14ac:dyDescent="0.25">
      <c r="A8" s="291"/>
      <c r="B8" s="291"/>
      <c r="C8" s="291"/>
      <c r="D8" s="291"/>
      <c r="E8" s="291"/>
      <c r="F8" s="291"/>
      <c r="G8" s="291"/>
      <c r="H8" s="291"/>
      <c r="I8" s="291"/>
      <c r="J8" s="109"/>
    </row>
    <row r="9" spans="1:10" s="2" customFormat="1" ht="26.1" customHeight="1" x14ac:dyDescent="0.3">
      <c r="A9" s="1550" t="s">
        <v>523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'29-салат из сырых овощей'!H14+1</f>
        <v>24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287" t="s">
        <v>92</v>
      </c>
      <c r="D17" s="287" t="s">
        <v>94</v>
      </c>
      <c r="E17" s="287" t="s">
        <v>93</v>
      </c>
      <c r="F17" s="287" t="s">
        <v>23</v>
      </c>
      <c r="G17" s="287" t="s">
        <v>92</v>
      </c>
      <c r="H17" s="287" t="s">
        <v>94</v>
      </c>
      <c r="I17" s="287" t="s">
        <v>92</v>
      </c>
      <c r="J17" s="287" t="s">
        <v>94</v>
      </c>
    </row>
    <row r="18" spans="1:13" ht="9.6" customHeight="1" x14ac:dyDescent="0.25">
      <c r="A18" s="287">
        <v>1</v>
      </c>
      <c r="B18" s="289">
        <v>2</v>
      </c>
      <c r="C18" s="287">
        <v>3</v>
      </c>
      <c r="D18" s="289">
        <v>4</v>
      </c>
      <c r="E18" s="287">
        <v>5</v>
      </c>
      <c r="F18" s="289">
        <v>6</v>
      </c>
      <c r="G18" s="287">
        <v>7</v>
      </c>
      <c r="H18" s="289">
        <v>8</v>
      </c>
      <c r="I18" s="287">
        <v>9</v>
      </c>
      <c r="J18" s="289">
        <v>10</v>
      </c>
    </row>
    <row r="19" spans="1:13" s="10" customFormat="1" ht="14.1" customHeight="1" x14ac:dyDescent="0.25">
      <c r="A19" s="180">
        <v>1</v>
      </c>
      <c r="B19" s="20" t="s">
        <v>520</v>
      </c>
      <c r="C19" s="21">
        <v>0.54800000000000004</v>
      </c>
      <c r="D19" s="21">
        <v>0.51</v>
      </c>
      <c r="E19" s="13">
        <f>цены!F56</f>
        <v>50</v>
      </c>
      <c r="F19" s="13">
        <f>C19*E19</f>
        <v>27.4</v>
      </c>
      <c r="G19" s="97">
        <f t="shared" ref="G19:H23" si="0">C19*10</f>
        <v>5.48</v>
      </c>
      <c r="H19" s="21">
        <f t="shared" si="0"/>
        <v>5.0999999999999996</v>
      </c>
      <c r="I19" s="21">
        <f t="shared" ref="I19:J23" si="1">C19*100</f>
        <v>54.8</v>
      </c>
      <c r="J19" s="21">
        <f t="shared" si="1"/>
        <v>51</v>
      </c>
      <c r="L19" s="1015">
        <f>C19/C$28</f>
        <v>3.2879342413151699E-2</v>
      </c>
      <c r="M19" s="1015">
        <f>F19/C$28</f>
        <v>1.6439671206575901</v>
      </c>
    </row>
    <row r="20" spans="1:13" s="10" customFormat="1" ht="14.1" customHeight="1" x14ac:dyDescent="0.25">
      <c r="A20" s="299">
        <v>2</v>
      </c>
      <c r="B20" s="20" t="s">
        <v>514</v>
      </c>
      <c r="C20" s="21">
        <v>0.4</v>
      </c>
      <c r="D20" s="21">
        <v>0.32</v>
      </c>
      <c r="E20" s="13">
        <f>цены!F42</f>
        <v>60</v>
      </c>
      <c r="F20" s="13">
        <f>C20*E20</f>
        <v>24</v>
      </c>
      <c r="G20" s="97">
        <f t="shared" si="0"/>
        <v>4</v>
      </c>
      <c r="H20" s="21">
        <f t="shared" si="0"/>
        <v>3.2</v>
      </c>
      <c r="I20" s="21">
        <f t="shared" si="1"/>
        <v>40</v>
      </c>
      <c r="J20" s="21">
        <f t="shared" si="1"/>
        <v>32</v>
      </c>
      <c r="L20" s="1015">
        <f t="shared" ref="L20:L23" si="2">C20/C$28</f>
        <v>2.39995200095998E-2</v>
      </c>
      <c r="M20" s="1015">
        <f t="shared" ref="M20:M23" si="3">F20/C$28</f>
        <v>1.4399712005759899</v>
      </c>
    </row>
    <row r="21" spans="1:13" s="10" customFormat="1" ht="13.35" customHeight="1" x14ac:dyDescent="0.25">
      <c r="A21" s="180">
        <v>3</v>
      </c>
      <c r="B21" s="20" t="s">
        <v>524</v>
      </c>
      <c r="C21" s="21">
        <v>0.13800000000000001</v>
      </c>
      <c r="D21" s="21">
        <v>0.12</v>
      </c>
      <c r="E21" s="13">
        <f>цены!F30</f>
        <v>152.16999999999999</v>
      </c>
      <c r="F21" s="13">
        <f>C21*E21</f>
        <v>21</v>
      </c>
      <c r="G21" s="97">
        <f t="shared" si="0"/>
        <v>1.38</v>
      </c>
      <c r="H21" s="21">
        <f t="shared" si="0"/>
        <v>1.2</v>
      </c>
      <c r="I21" s="21">
        <f t="shared" si="1"/>
        <v>13.8</v>
      </c>
      <c r="J21" s="21">
        <f t="shared" si="1"/>
        <v>12</v>
      </c>
      <c r="L21" s="1015">
        <f t="shared" si="2"/>
        <v>8.2798344033119305E-3</v>
      </c>
      <c r="M21" s="1015">
        <f t="shared" si="3"/>
        <v>1.2599748005039899</v>
      </c>
    </row>
    <row r="22" spans="1:13" s="10" customFormat="1" ht="14.1" customHeight="1" x14ac:dyDescent="0.25">
      <c r="A22" s="299">
        <v>4</v>
      </c>
      <c r="B22" s="20" t="s">
        <v>74</v>
      </c>
      <c r="C22" s="21">
        <v>0.05</v>
      </c>
      <c r="D22" s="21">
        <v>0.05</v>
      </c>
      <c r="E22" s="13">
        <f>цены!F87</f>
        <v>120</v>
      </c>
      <c r="F22" s="13">
        <f>C22*E22</f>
        <v>6</v>
      </c>
      <c r="G22" s="97">
        <f t="shared" si="0"/>
        <v>0.5</v>
      </c>
      <c r="H22" s="21">
        <f t="shared" si="0"/>
        <v>0.5</v>
      </c>
      <c r="I22" s="21">
        <f t="shared" si="1"/>
        <v>5</v>
      </c>
      <c r="J22" s="21">
        <f t="shared" si="1"/>
        <v>5</v>
      </c>
      <c r="L22" s="1015">
        <f t="shared" si="2"/>
        <v>2.9999400011999802E-3</v>
      </c>
      <c r="M22" s="1015">
        <f t="shared" si="3"/>
        <v>0.35999280014399698</v>
      </c>
    </row>
    <row r="23" spans="1:13" s="10" customFormat="1" ht="14.1" customHeight="1" x14ac:dyDescent="0.25">
      <c r="A23" s="180">
        <v>5</v>
      </c>
      <c r="B23" s="20" t="s">
        <v>75</v>
      </c>
      <c r="C23" s="21">
        <f>0.002*C28</f>
        <v>3.3000000000000002E-2</v>
      </c>
      <c r="D23" s="21">
        <f>C23</f>
        <v>3.3000000000000002E-2</v>
      </c>
      <c r="E23" s="13">
        <f>цены!F110</f>
        <v>24</v>
      </c>
      <c r="F23" s="13">
        <f>C23*E23</f>
        <v>0.79</v>
      </c>
      <c r="G23" s="97">
        <f t="shared" si="0"/>
        <v>0.33</v>
      </c>
      <c r="H23" s="21">
        <f t="shared" si="0"/>
        <v>0.33</v>
      </c>
      <c r="I23" s="21">
        <f t="shared" si="1"/>
        <v>3.3</v>
      </c>
      <c r="J23" s="21">
        <f t="shared" si="1"/>
        <v>3.3</v>
      </c>
      <c r="L23" s="1015">
        <f t="shared" si="2"/>
        <v>1.9799604007919801E-3</v>
      </c>
      <c r="M23" s="1015">
        <f t="shared" si="3"/>
        <v>4.7399052018959602E-2</v>
      </c>
    </row>
    <row r="24" spans="1:13" s="10" customFormat="1" ht="12" customHeight="1" x14ac:dyDescent="0.25">
      <c r="A24" s="98"/>
      <c r="B24" s="93" t="s">
        <v>100</v>
      </c>
      <c r="C24" s="100"/>
      <c r="D24" s="100">
        <v>1</v>
      </c>
      <c r="E24" s="95"/>
      <c r="F24" s="95">
        <f>SUM(F19:F23)</f>
        <v>79.19</v>
      </c>
      <c r="G24" s="99"/>
      <c r="H24" s="100">
        <f>D24*10</f>
        <v>10</v>
      </c>
      <c r="I24" s="100"/>
      <c r="J24" s="100">
        <f>D24*100</f>
        <v>100</v>
      </c>
      <c r="L24" s="1015">
        <f>SUM(L19:L23)</f>
        <v>7.0138597228055405E-2</v>
      </c>
      <c r="M24" s="1015">
        <f>SUM(M19:M23)</f>
        <v>4.7513049739005302</v>
      </c>
    </row>
    <row r="25" spans="1:13" s="10" customFormat="1" ht="27.6" customHeight="1" x14ac:dyDescent="0.25">
      <c r="A25" s="1536" t="s">
        <v>35</v>
      </c>
      <c r="B25" s="1536"/>
      <c r="C25" s="90"/>
      <c r="D25" s="90"/>
      <c r="E25" s="13"/>
      <c r="F25" s="13">
        <f>F24</f>
        <v>79.19</v>
      </c>
      <c r="G25" s="288"/>
      <c r="H25" s="288"/>
      <c r="I25" s="21"/>
      <c r="J25" s="13"/>
    </row>
    <row r="26" spans="1:13" s="10" customFormat="1" ht="25.35" customHeight="1" x14ac:dyDescent="0.25">
      <c r="A26" s="1536" t="s">
        <v>36</v>
      </c>
      <c r="B26" s="1536"/>
      <c r="C26" s="90">
        <v>1000</v>
      </c>
      <c r="D26" s="90"/>
      <c r="E26" s="13"/>
      <c r="F26" s="13"/>
      <c r="G26" s="13"/>
      <c r="H26" s="13"/>
      <c r="I26" s="21"/>
      <c r="J26" s="17"/>
    </row>
    <row r="27" spans="1:13" s="10" customFormat="1" ht="25.35" customHeight="1" x14ac:dyDescent="0.25">
      <c r="A27" s="1537" t="s">
        <v>37</v>
      </c>
      <c r="B27" s="1538"/>
      <c r="C27" s="91">
        <v>60</v>
      </c>
      <c r="D27" s="92"/>
      <c r="E27" s="289"/>
      <c r="F27" s="289"/>
      <c r="G27" s="289"/>
      <c r="H27" s="289"/>
      <c r="I27" s="21"/>
      <c r="J27" s="17"/>
    </row>
    <row r="28" spans="1:13" s="10" customFormat="1" ht="15" customHeight="1" x14ac:dyDescent="0.25">
      <c r="A28" s="1539" t="s">
        <v>38</v>
      </c>
      <c r="B28" s="1540"/>
      <c r="C28" s="92">
        <f>C26/C27</f>
        <v>16.667000000000002</v>
      </c>
      <c r="D28" s="92"/>
      <c r="E28" s="289"/>
      <c r="F28" s="289"/>
      <c r="G28" s="289"/>
      <c r="H28" s="289"/>
      <c r="I28" s="21"/>
      <c r="J28" s="17"/>
    </row>
    <row r="29" spans="1:13" ht="16.350000000000001" customHeight="1" x14ac:dyDescent="0.25">
      <c r="A29" s="1541" t="s">
        <v>39</v>
      </c>
      <c r="B29" s="1542"/>
      <c r="C29" s="15" t="s">
        <v>40</v>
      </c>
      <c r="D29" s="102"/>
      <c r="E29" s="102" t="s">
        <v>40</v>
      </c>
      <c r="F29" s="16">
        <f>F25/C28</f>
        <v>4.75</v>
      </c>
      <c r="G29" s="16"/>
      <c r="H29" s="16"/>
      <c r="I29" s="102" t="s">
        <v>40</v>
      </c>
      <c r="J29" s="102" t="s">
        <v>40</v>
      </c>
    </row>
    <row r="30" spans="1:13" ht="23.1" customHeight="1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3" ht="13.95" customHeight="1" x14ac:dyDescent="0.25">
      <c r="A31" s="1193"/>
      <c r="B31" s="1194" t="s">
        <v>49</v>
      </c>
      <c r="C31" s="1198"/>
      <c r="D31" s="1198"/>
      <c r="E31" s="1198"/>
      <c r="F31" s="1198"/>
      <c r="G31" s="1193"/>
      <c r="H31" s="1557">
        <f>'1-бутерброд с маслом'!$H$28</f>
        <v>0</v>
      </c>
      <c r="I31" s="1557"/>
      <c r="J31" s="1557"/>
    </row>
    <row r="32" spans="1:13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545" t="s">
        <v>327</v>
      </c>
      <c r="B33" s="1545"/>
      <c r="C33" s="1546" t="s">
        <v>328</v>
      </c>
      <c r="D33" s="1546"/>
      <c r="E33" s="1546"/>
      <c r="F33" s="1546"/>
      <c r="G33" s="106"/>
      <c r="H33" s="1531"/>
      <c r="I33" s="1531"/>
      <c r="J33" s="1531"/>
    </row>
    <row r="34" spans="1:10" x14ac:dyDescent="0.25">
      <c r="A34" s="1193"/>
      <c r="B34" s="1193"/>
      <c r="C34" s="1546"/>
      <c r="D34" s="1546"/>
      <c r="E34" s="1546"/>
      <c r="F34" s="1546"/>
      <c r="G34" s="1193"/>
      <c r="H34" s="1531" t="s">
        <v>329</v>
      </c>
      <c r="I34" s="1531"/>
      <c r="J34" s="1531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</sheetData>
  <mergeCells count="28">
    <mergeCell ref="H31:J31"/>
    <mergeCell ref="A13:G13"/>
    <mergeCell ref="A26:B26"/>
    <mergeCell ref="A27:B27"/>
    <mergeCell ref="A28:B28"/>
    <mergeCell ref="A29:B29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3:B33"/>
    <mergeCell ref="C33:F34"/>
    <mergeCell ref="H33:J33"/>
    <mergeCell ref="H34:J34"/>
    <mergeCell ref="H5:I5"/>
    <mergeCell ref="A6:G6"/>
    <mergeCell ref="A7:I7"/>
    <mergeCell ref="A25:B25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5"/>
  <sheetViews>
    <sheetView view="pageBreakPreview" zoomScaleNormal="100" zoomScaleSheetLayoutView="100" workbookViewId="0">
      <selection activeCell="P20" sqref="P20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1093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282)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378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150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'377-чай с лимон'!H14+1</f>
        <v>282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36.75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/>
      <c r="B19" s="20" t="s">
        <v>122</v>
      </c>
      <c r="C19" s="21">
        <v>0.05</v>
      </c>
      <c r="D19" s="21">
        <v>0.05</v>
      </c>
      <c r="E19" s="13">
        <f>'375-чай заварка'!F26</f>
        <v>9</v>
      </c>
      <c r="F19" s="13">
        <f>C19*E19</f>
        <v>0.45</v>
      </c>
      <c r="G19" s="97">
        <f t="shared" ref="G19:H22" si="0">C19*10</f>
        <v>0.5</v>
      </c>
      <c r="H19" s="21">
        <f t="shared" si="0"/>
        <v>0.5</v>
      </c>
      <c r="I19" s="21">
        <f t="shared" ref="I19:J22" si="1">C19*100</f>
        <v>5</v>
      </c>
      <c r="J19" s="21">
        <f t="shared" si="1"/>
        <v>5</v>
      </c>
    </row>
    <row r="20" spans="1:10" s="10" customFormat="1" ht="14.1" customHeight="1" x14ac:dyDescent="0.25">
      <c r="A20" s="180"/>
      <c r="B20" s="20" t="s">
        <v>30</v>
      </c>
      <c r="C20" s="21">
        <v>1.4999999999999999E-2</v>
      </c>
      <c r="D20" s="21">
        <v>1.4999999999999999E-2</v>
      </c>
      <c r="E20" s="13">
        <f>цены!F107</f>
        <v>76</v>
      </c>
      <c r="F20" s="13">
        <f>C20*E20</f>
        <v>1.1399999999999999</v>
      </c>
      <c r="G20" s="97">
        <f t="shared" si="0"/>
        <v>0.15</v>
      </c>
      <c r="H20" s="21">
        <f t="shared" si="0"/>
        <v>0.15</v>
      </c>
      <c r="I20" s="21">
        <f t="shared" si="1"/>
        <v>1.5</v>
      </c>
      <c r="J20" s="21">
        <f t="shared" si="1"/>
        <v>1.5</v>
      </c>
    </row>
    <row r="21" spans="1:10" s="10" customFormat="1" ht="14.1" customHeight="1" x14ac:dyDescent="0.25">
      <c r="A21" s="180"/>
      <c r="B21" s="20" t="s">
        <v>34</v>
      </c>
      <c r="C21" s="21">
        <v>5.0999999999999997E-2</v>
      </c>
      <c r="D21" s="21">
        <v>0.05</v>
      </c>
      <c r="E21" s="13">
        <f>цены!F20</f>
        <v>80</v>
      </c>
      <c r="F21" s="13">
        <f>C21*E21</f>
        <v>4.08</v>
      </c>
      <c r="G21" s="97">
        <f t="shared" si="0"/>
        <v>0.51</v>
      </c>
      <c r="H21" s="21">
        <f t="shared" si="0"/>
        <v>0.5</v>
      </c>
      <c r="I21" s="21">
        <f t="shared" si="1"/>
        <v>5.0999999999999996</v>
      </c>
      <c r="J21" s="21">
        <f t="shared" si="1"/>
        <v>5</v>
      </c>
    </row>
    <row r="22" spans="1:10" s="10" customFormat="1" ht="12" customHeight="1" x14ac:dyDescent="0.25">
      <c r="A22" s="180"/>
      <c r="B22" s="20" t="s">
        <v>28</v>
      </c>
      <c r="C22" s="21">
        <v>0.1</v>
      </c>
      <c r="D22" s="21">
        <v>0.1</v>
      </c>
      <c r="E22" s="13"/>
      <c r="F22" s="13">
        <f>C22*E22</f>
        <v>0</v>
      </c>
      <c r="G22" s="97">
        <f t="shared" si="0"/>
        <v>1</v>
      </c>
      <c r="H22" s="21">
        <f t="shared" si="0"/>
        <v>1</v>
      </c>
      <c r="I22" s="21">
        <f t="shared" si="1"/>
        <v>10</v>
      </c>
      <c r="J22" s="21">
        <f t="shared" si="1"/>
        <v>10</v>
      </c>
    </row>
    <row r="23" spans="1:10" s="10" customFormat="1" ht="12" customHeight="1" x14ac:dyDescent="0.25">
      <c r="A23" s="98"/>
      <c r="B23" s="93" t="s">
        <v>100</v>
      </c>
      <c r="C23" s="189"/>
      <c r="D23" s="1217">
        <v>215</v>
      </c>
      <c r="E23" s="95"/>
      <c r="F23" s="95">
        <f>SUM(F19:F22)</f>
        <v>5.67</v>
      </c>
      <c r="G23" s="99"/>
      <c r="H23" s="1028">
        <f>D23*10</f>
        <v>2150</v>
      </c>
      <c r="I23" s="1028"/>
      <c r="J23" s="1028">
        <f>D23*100</f>
        <v>21500</v>
      </c>
    </row>
    <row r="24" spans="1:10" s="10" customFormat="1" ht="27.6" customHeight="1" x14ac:dyDescent="0.25">
      <c r="A24" s="1536" t="s">
        <v>35</v>
      </c>
      <c r="B24" s="1536"/>
      <c r="C24" s="90"/>
      <c r="D24" s="90"/>
      <c r="E24" s="13"/>
      <c r="F24" s="13">
        <f>F23</f>
        <v>5.67</v>
      </c>
      <c r="G24" s="14"/>
      <c r="H24" s="14"/>
      <c r="I24" s="21"/>
      <c r="J24" s="13"/>
    </row>
    <row r="25" spans="1:10" s="10" customFormat="1" ht="25.35" customHeight="1" x14ac:dyDescent="0.25">
      <c r="A25" s="1536" t="s">
        <v>36</v>
      </c>
      <c r="B25" s="1536"/>
      <c r="C25" s="866">
        <v>215</v>
      </c>
      <c r="D25" s="90"/>
      <c r="E25" s="13"/>
      <c r="F25" s="13"/>
      <c r="G25" s="13"/>
      <c r="H25" s="13"/>
      <c r="I25" s="21"/>
      <c r="J25" s="17"/>
    </row>
    <row r="26" spans="1:10" s="10" customFormat="1" ht="25.35" customHeight="1" x14ac:dyDescent="0.25">
      <c r="A26" s="1537" t="s">
        <v>37</v>
      </c>
      <c r="B26" s="1538"/>
      <c r="C26" s="1071">
        <v>215</v>
      </c>
      <c r="D26" s="1189" t="s">
        <v>1351</v>
      </c>
      <c r="E26" s="5"/>
      <c r="F26" s="5"/>
      <c r="G26" s="5"/>
      <c r="H26" s="5"/>
      <c r="I26" s="21"/>
      <c r="J26" s="17"/>
    </row>
    <row r="27" spans="1:10" s="10" customFormat="1" ht="15" customHeight="1" x14ac:dyDescent="0.25">
      <c r="A27" s="1539" t="s">
        <v>38</v>
      </c>
      <c r="B27" s="1540"/>
      <c r="C27" s="92">
        <f>C25/C26</f>
        <v>1</v>
      </c>
      <c r="D27" s="92"/>
      <c r="E27" s="5"/>
      <c r="F27" s="5"/>
      <c r="G27" s="5"/>
      <c r="H27" s="5"/>
      <c r="I27" s="21"/>
      <c r="J27" s="17"/>
    </row>
    <row r="28" spans="1:10" ht="16.350000000000001" customHeight="1" x14ac:dyDescent="0.25">
      <c r="A28" s="1541" t="s">
        <v>39</v>
      </c>
      <c r="B28" s="1542"/>
      <c r="C28" s="15" t="s">
        <v>40</v>
      </c>
      <c r="D28" s="102"/>
      <c r="E28" s="102" t="s">
        <v>40</v>
      </c>
      <c r="F28" s="16">
        <f>F24/C27</f>
        <v>5.67</v>
      </c>
      <c r="G28" s="16"/>
      <c r="H28" s="16"/>
      <c r="I28" s="102" t="s">
        <v>40</v>
      </c>
      <c r="J28" s="102" t="s">
        <v>40</v>
      </c>
    </row>
    <row r="29" spans="1:10" ht="23.1" customHeight="1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0" ht="13.95" customHeight="1" x14ac:dyDescent="0.25">
      <c r="A30" s="1193"/>
      <c r="B30" s="1194" t="s">
        <v>49</v>
      </c>
      <c r="C30" s="1198"/>
      <c r="D30" s="1198"/>
      <c r="E30" s="1198"/>
      <c r="F30" s="1198"/>
      <c r="G30" s="1193"/>
      <c r="H30" s="1556">
        <f>'1-бутерброд с маслом'!$H$28</f>
        <v>0</v>
      </c>
      <c r="I30" s="1556"/>
      <c r="J30" s="1556"/>
    </row>
    <row r="31" spans="1:10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ht="13.95" customHeight="1" x14ac:dyDescent="0.25">
      <c r="A32" s="1545" t="s">
        <v>327</v>
      </c>
      <c r="B32" s="1545"/>
      <c r="C32" s="1546" t="s">
        <v>328</v>
      </c>
      <c r="D32" s="1546"/>
      <c r="E32" s="1546"/>
      <c r="F32" s="1546"/>
      <c r="G32" s="106"/>
      <c r="H32" s="1531"/>
      <c r="I32" s="1531"/>
      <c r="J32" s="1531"/>
    </row>
    <row r="33" spans="1:10" x14ac:dyDescent="0.25">
      <c r="A33" s="1193"/>
      <c r="B33" s="1193"/>
      <c r="C33" s="1546"/>
      <c r="D33" s="1546"/>
      <c r="E33" s="1546"/>
      <c r="F33" s="1546"/>
      <c r="G33" s="1193"/>
      <c r="H33" s="1531" t="s">
        <v>329</v>
      </c>
      <c r="I33" s="1531"/>
      <c r="J33" s="1531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</sheetData>
  <mergeCells count="28">
    <mergeCell ref="H5:I5"/>
    <mergeCell ref="A6:G6"/>
    <mergeCell ref="A7:I7"/>
    <mergeCell ref="C16:F16"/>
    <mergeCell ref="G16:H16"/>
    <mergeCell ref="I16:J16"/>
    <mergeCell ref="A9:J9"/>
    <mergeCell ref="A11:J11"/>
    <mergeCell ref="I13:J13"/>
    <mergeCell ref="C14:G14"/>
    <mergeCell ref="I14:J14"/>
    <mergeCell ref="A13:G13"/>
    <mergeCell ref="G1:J1"/>
    <mergeCell ref="G2:J2"/>
    <mergeCell ref="G3:J3"/>
    <mergeCell ref="A5:G5"/>
    <mergeCell ref="A32:B32"/>
    <mergeCell ref="C32:F33"/>
    <mergeCell ref="H32:J32"/>
    <mergeCell ref="H33:J33"/>
    <mergeCell ref="A25:B25"/>
    <mergeCell ref="A26:B26"/>
    <mergeCell ref="A27:B27"/>
    <mergeCell ref="A28:B28"/>
    <mergeCell ref="H30:J30"/>
    <mergeCell ref="A24:B24"/>
    <mergeCell ref="A16:A17"/>
    <mergeCell ref="B16:B17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35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283)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379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152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'378-чай с молоком'!H14+1</f>
        <v>283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/>
      <c r="B19" s="20" t="s">
        <v>143</v>
      </c>
      <c r="C19" s="21">
        <v>2.5000000000000001E-2</v>
      </c>
      <c r="D19" s="21">
        <v>2.5000000000000001E-2</v>
      </c>
      <c r="E19" s="13">
        <f>цены!F96</f>
        <v>435</v>
      </c>
      <c r="F19" s="13">
        <f>C19*E19</f>
        <v>10.88</v>
      </c>
      <c r="G19" s="97">
        <f t="shared" ref="G19:H22" si="0">C19*10</f>
        <v>0.25</v>
      </c>
      <c r="H19" s="21">
        <f t="shared" si="0"/>
        <v>0.25</v>
      </c>
      <c r="I19" s="21">
        <f t="shared" ref="I19:J22" si="1">C19*100</f>
        <v>2.5</v>
      </c>
      <c r="J19" s="21">
        <f t="shared" si="1"/>
        <v>2.5</v>
      </c>
    </row>
    <row r="20" spans="1:10" s="10" customFormat="1" ht="14.1" customHeight="1" x14ac:dyDescent="0.25">
      <c r="A20" s="180"/>
      <c r="B20" s="20" t="s">
        <v>28</v>
      </c>
      <c r="C20" s="21">
        <v>0.6</v>
      </c>
      <c r="D20" s="21">
        <v>0.6</v>
      </c>
      <c r="E20" s="13"/>
      <c r="F20" s="13">
        <f>C20*E20</f>
        <v>0</v>
      </c>
      <c r="G20" s="97">
        <f t="shared" si="0"/>
        <v>6</v>
      </c>
      <c r="H20" s="21">
        <f t="shared" si="0"/>
        <v>6</v>
      </c>
      <c r="I20" s="21">
        <f t="shared" si="1"/>
        <v>60</v>
      </c>
      <c r="J20" s="21">
        <f t="shared" si="1"/>
        <v>60</v>
      </c>
    </row>
    <row r="21" spans="1:10" s="10" customFormat="1" ht="14.1" customHeight="1" x14ac:dyDescent="0.25">
      <c r="A21" s="180"/>
      <c r="B21" s="20" t="s">
        <v>30</v>
      </c>
      <c r="C21" s="21">
        <v>0.1</v>
      </c>
      <c r="D21" s="21">
        <v>0.1</v>
      </c>
      <c r="E21" s="13">
        <f>цены!F107</f>
        <v>76</v>
      </c>
      <c r="F21" s="13">
        <f>C21*E21</f>
        <v>7.6</v>
      </c>
      <c r="G21" s="97">
        <f t="shared" si="0"/>
        <v>1</v>
      </c>
      <c r="H21" s="21">
        <f t="shared" si="0"/>
        <v>1</v>
      </c>
      <c r="I21" s="21">
        <f t="shared" si="1"/>
        <v>10</v>
      </c>
      <c r="J21" s="21">
        <f t="shared" si="1"/>
        <v>10</v>
      </c>
    </row>
    <row r="22" spans="1:10" s="10" customFormat="1" ht="14.1" customHeight="1" x14ac:dyDescent="0.25">
      <c r="A22" s="180"/>
      <c r="B22" s="20" t="s">
        <v>153</v>
      </c>
      <c r="C22" s="21">
        <v>0.5</v>
      </c>
      <c r="D22" s="21">
        <v>0.5</v>
      </c>
      <c r="E22" s="13">
        <f>цены!F20</f>
        <v>80</v>
      </c>
      <c r="F22" s="13">
        <f>C22*E22</f>
        <v>40</v>
      </c>
      <c r="G22" s="97">
        <f t="shared" si="0"/>
        <v>5</v>
      </c>
      <c r="H22" s="21">
        <f t="shared" si="0"/>
        <v>5</v>
      </c>
      <c r="I22" s="21">
        <f t="shared" si="1"/>
        <v>50</v>
      </c>
      <c r="J22" s="21">
        <f t="shared" si="1"/>
        <v>50</v>
      </c>
    </row>
    <row r="23" spans="1:10" s="10" customFormat="1" ht="12" customHeight="1" x14ac:dyDescent="0.25">
      <c r="A23" s="184"/>
      <c r="B23" s="93" t="s">
        <v>100</v>
      </c>
      <c r="C23" s="112"/>
      <c r="D23" s="112">
        <v>1</v>
      </c>
      <c r="E23" s="112"/>
      <c r="F23" s="95">
        <f>SUM(F19:F22)</f>
        <v>58.48</v>
      </c>
      <c r="G23" s="99"/>
      <c r="H23" s="100">
        <f>D23*10</f>
        <v>10</v>
      </c>
      <c r="I23" s="100"/>
      <c r="J23" s="100">
        <f>D23*100</f>
        <v>100</v>
      </c>
    </row>
    <row r="24" spans="1:10" s="10" customFormat="1" ht="27.6" customHeight="1" x14ac:dyDescent="0.25">
      <c r="A24" s="1536" t="s">
        <v>35</v>
      </c>
      <c r="B24" s="1536"/>
      <c r="C24" s="90"/>
      <c r="D24" s="90"/>
      <c r="E24" s="13"/>
      <c r="F24" s="13">
        <f>F23</f>
        <v>58.48</v>
      </c>
      <c r="G24" s="14"/>
      <c r="H24" s="14"/>
      <c r="I24" s="21"/>
      <c r="J24" s="13"/>
    </row>
    <row r="25" spans="1:10" s="10" customFormat="1" ht="25.35" customHeight="1" x14ac:dyDescent="0.25">
      <c r="A25" s="1536" t="s">
        <v>36</v>
      </c>
      <c r="B25" s="1536"/>
      <c r="C25" s="90">
        <v>1000</v>
      </c>
      <c r="D25" s="90"/>
      <c r="E25" s="13"/>
      <c r="F25" s="13"/>
      <c r="G25" s="13"/>
      <c r="H25" s="13"/>
      <c r="I25" s="21"/>
      <c r="J25" s="17"/>
    </row>
    <row r="26" spans="1:10" s="10" customFormat="1" ht="25.35" customHeight="1" x14ac:dyDescent="0.25">
      <c r="A26" s="1537" t="s">
        <v>37</v>
      </c>
      <c r="B26" s="1538"/>
      <c r="C26" s="91">
        <v>200</v>
      </c>
      <c r="D26" s="92"/>
      <c r="E26" s="5"/>
      <c r="F26" s="5"/>
      <c r="G26" s="5"/>
      <c r="H26" s="5"/>
      <c r="I26" s="21"/>
      <c r="J26" s="17"/>
    </row>
    <row r="27" spans="1:10" s="10" customFormat="1" ht="15" customHeight="1" x14ac:dyDescent="0.25">
      <c r="A27" s="1539" t="s">
        <v>38</v>
      </c>
      <c r="B27" s="1540"/>
      <c r="C27" s="92">
        <f>C25/C26</f>
        <v>5</v>
      </c>
      <c r="D27" s="92"/>
      <c r="E27" s="5"/>
      <c r="F27" s="5"/>
      <c r="G27" s="5"/>
      <c r="H27" s="5"/>
      <c r="I27" s="21"/>
      <c r="J27" s="17"/>
    </row>
    <row r="28" spans="1:10" ht="16.350000000000001" customHeight="1" x14ac:dyDescent="0.25">
      <c r="A28" s="1541" t="s">
        <v>39</v>
      </c>
      <c r="B28" s="1542"/>
      <c r="C28" s="15" t="s">
        <v>40</v>
      </c>
      <c r="D28" s="102"/>
      <c r="E28" s="102" t="s">
        <v>40</v>
      </c>
      <c r="F28" s="16">
        <f>F24/C27</f>
        <v>11.7</v>
      </c>
      <c r="G28" s="16"/>
      <c r="H28" s="16"/>
      <c r="I28" s="102" t="s">
        <v>40</v>
      </c>
      <c r="J28" s="102" t="s">
        <v>40</v>
      </c>
    </row>
    <row r="29" spans="1:10" ht="23.1" customHeight="1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0" ht="13.95" customHeight="1" x14ac:dyDescent="0.25">
      <c r="A30" s="1193"/>
      <c r="B30" s="1194" t="s">
        <v>49</v>
      </c>
      <c r="C30" s="1198"/>
      <c r="D30" s="1198"/>
      <c r="E30" s="1198"/>
      <c r="F30" s="1198"/>
      <c r="G30" s="1193"/>
      <c r="H30" s="1557">
        <f>'1-бутерброд с маслом'!$H$28</f>
        <v>0</v>
      </c>
      <c r="I30" s="1557"/>
      <c r="J30" s="1557"/>
    </row>
    <row r="31" spans="1:10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ht="13.95" customHeight="1" x14ac:dyDescent="0.25">
      <c r="A32" s="1545" t="s">
        <v>327</v>
      </c>
      <c r="B32" s="1545"/>
      <c r="C32" s="1546" t="s">
        <v>328</v>
      </c>
      <c r="D32" s="1546"/>
      <c r="E32" s="1546"/>
      <c r="F32" s="1546"/>
      <c r="G32" s="106"/>
      <c r="H32" s="1531"/>
      <c r="I32" s="1531"/>
      <c r="J32" s="1531"/>
    </row>
    <row r="33" spans="1:10" x14ac:dyDescent="0.25">
      <c r="A33" s="1193"/>
      <c r="B33" s="1193"/>
      <c r="C33" s="1546"/>
      <c r="D33" s="1546"/>
      <c r="E33" s="1546"/>
      <c r="F33" s="1546"/>
      <c r="G33" s="1193"/>
      <c r="H33" s="1531" t="s">
        <v>329</v>
      </c>
      <c r="I33" s="1531"/>
      <c r="J33" s="1531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2:B32"/>
    <mergeCell ref="C32:F33"/>
    <mergeCell ref="H32:J32"/>
    <mergeCell ref="H33:J33"/>
    <mergeCell ref="A25:B25"/>
    <mergeCell ref="A26:B26"/>
    <mergeCell ref="A27:B27"/>
    <mergeCell ref="A28:B28"/>
    <mergeCell ref="H30:J30"/>
    <mergeCell ref="A24:B24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34"/>
  <sheetViews>
    <sheetView view="pageBreakPreview" topLeftCell="A2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441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284)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380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151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'379-кофейный напиток с молоком'!H14+1</f>
        <v>284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/>
      <c r="B19" s="20" t="s">
        <v>143</v>
      </c>
      <c r="C19" s="21">
        <v>2.5000000000000001E-2</v>
      </c>
      <c r="D19" s="21">
        <v>2.5000000000000001E-2</v>
      </c>
      <c r="E19" s="13">
        <f>цены!F96</f>
        <v>435</v>
      </c>
      <c r="F19" s="13">
        <f>C19*E19</f>
        <v>10.88</v>
      </c>
      <c r="G19" s="97">
        <f t="shared" ref="G19:H21" si="0">C19*10</f>
        <v>0.25</v>
      </c>
      <c r="H19" s="21">
        <f t="shared" si="0"/>
        <v>0.25</v>
      </c>
      <c r="I19" s="21">
        <f t="shared" ref="I19:J21" si="1">C19*100</f>
        <v>2.5</v>
      </c>
      <c r="J19" s="21">
        <f t="shared" si="1"/>
        <v>2.5</v>
      </c>
    </row>
    <row r="20" spans="1:10" s="10" customFormat="1" ht="27.6" customHeight="1" x14ac:dyDescent="0.25">
      <c r="A20" s="180"/>
      <c r="B20" s="20" t="s">
        <v>144</v>
      </c>
      <c r="C20" s="21">
        <v>0.2</v>
      </c>
      <c r="D20" s="21">
        <v>0.2</v>
      </c>
      <c r="E20" s="13">
        <f>цены!F25</f>
        <v>250</v>
      </c>
      <c r="F20" s="13">
        <f>C20*E20</f>
        <v>50</v>
      </c>
      <c r="G20" s="97">
        <f t="shared" si="0"/>
        <v>2</v>
      </c>
      <c r="H20" s="21">
        <f t="shared" si="0"/>
        <v>2</v>
      </c>
      <c r="I20" s="21">
        <f t="shared" si="1"/>
        <v>20</v>
      </c>
      <c r="J20" s="21">
        <f t="shared" si="1"/>
        <v>20</v>
      </c>
    </row>
    <row r="21" spans="1:10" s="10" customFormat="1" ht="12" customHeight="1" x14ac:dyDescent="0.25">
      <c r="A21" s="180"/>
      <c r="B21" s="20" t="s">
        <v>28</v>
      </c>
      <c r="C21" s="21">
        <v>1</v>
      </c>
      <c r="D21" s="21">
        <v>1</v>
      </c>
      <c r="E21" s="13"/>
      <c r="F21" s="13">
        <f>C21*E21</f>
        <v>0</v>
      </c>
      <c r="G21" s="97">
        <f t="shared" si="0"/>
        <v>10</v>
      </c>
      <c r="H21" s="21">
        <f t="shared" si="0"/>
        <v>10</v>
      </c>
      <c r="I21" s="21">
        <f t="shared" si="1"/>
        <v>100</v>
      </c>
      <c r="J21" s="21">
        <f t="shared" si="1"/>
        <v>100</v>
      </c>
    </row>
    <row r="22" spans="1:10" s="10" customFormat="1" ht="12" customHeight="1" x14ac:dyDescent="0.25">
      <c r="A22" s="184"/>
      <c r="B22" s="93" t="s">
        <v>100</v>
      </c>
      <c r="C22" s="112"/>
      <c r="D22" s="112">
        <v>1</v>
      </c>
      <c r="E22" s="112"/>
      <c r="F22" s="95">
        <f>SUM(F19:F21)</f>
        <v>60.88</v>
      </c>
      <c r="G22" s="99"/>
      <c r="H22" s="100">
        <f>D22*10</f>
        <v>10</v>
      </c>
      <c r="I22" s="100"/>
      <c r="J22" s="100">
        <f>D22*100</f>
        <v>100</v>
      </c>
    </row>
    <row r="23" spans="1:10" s="10" customFormat="1" ht="27.6" customHeight="1" x14ac:dyDescent="0.25">
      <c r="A23" s="1536" t="s">
        <v>35</v>
      </c>
      <c r="B23" s="1536"/>
      <c r="C23" s="90"/>
      <c r="D23" s="90"/>
      <c r="E23" s="13"/>
      <c r="F23" s="13">
        <f>F22</f>
        <v>60.88</v>
      </c>
      <c r="G23" s="14"/>
      <c r="H23" s="14"/>
      <c r="I23" s="21"/>
      <c r="J23" s="13"/>
    </row>
    <row r="24" spans="1:10" s="10" customFormat="1" ht="25.35" customHeight="1" x14ac:dyDescent="0.25">
      <c r="A24" s="1536" t="s">
        <v>36</v>
      </c>
      <c r="B24" s="1536"/>
      <c r="C24" s="90">
        <v>1000</v>
      </c>
      <c r="D24" s="90"/>
      <c r="E24" s="13"/>
      <c r="F24" s="13"/>
      <c r="G24" s="13"/>
      <c r="H24" s="13"/>
      <c r="I24" s="21"/>
      <c r="J24" s="17"/>
    </row>
    <row r="25" spans="1:10" s="10" customFormat="1" ht="25.35" customHeight="1" x14ac:dyDescent="0.25">
      <c r="A25" s="1537" t="s">
        <v>37</v>
      </c>
      <c r="B25" s="1538"/>
      <c r="C25" s="91">
        <v>200</v>
      </c>
      <c r="D25" s="92"/>
      <c r="E25" s="5"/>
      <c r="F25" s="5"/>
      <c r="G25" s="5"/>
      <c r="H25" s="5"/>
      <c r="I25" s="21"/>
      <c r="J25" s="17"/>
    </row>
    <row r="26" spans="1:10" s="10" customFormat="1" ht="15" customHeight="1" x14ac:dyDescent="0.25">
      <c r="A26" s="1539" t="s">
        <v>38</v>
      </c>
      <c r="B26" s="1540"/>
      <c r="C26" s="92">
        <f>C24/C25</f>
        <v>5</v>
      </c>
      <c r="D26" s="92"/>
      <c r="E26" s="5"/>
      <c r="F26" s="5"/>
      <c r="G26" s="5"/>
      <c r="H26" s="5"/>
      <c r="I26" s="21"/>
      <c r="J26" s="17"/>
    </row>
    <row r="27" spans="1:10" ht="16.350000000000001" customHeight="1" x14ac:dyDescent="0.25">
      <c r="A27" s="1541" t="s">
        <v>39</v>
      </c>
      <c r="B27" s="1542"/>
      <c r="C27" s="15" t="s">
        <v>40</v>
      </c>
      <c r="D27" s="102"/>
      <c r="E27" s="102" t="s">
        <v>40</v>
      </c>
      <c r="F27" s="16">
        <f>F23/C26</f>
        <v>12.18</v>
      </c>
      <c r="G27" s="16"/>
      <c r="H27" s="16"/>
      <c r="I27" s="102" t="s">
        <v>40</v>
      </c>
      <c r="J27" s="102" t="s">
        <v>40</v>
      </c>
    </row>
    <row r="28" spans="1:10" ht="23.1" customHeight="1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193"/>
      <c r="B29" s="1194" t="s">
        <v>49</v>
      </c>
      <c r="C29" s="1198"/>
      <c r="D29" s="1198"/>
      <c r="E29" s="1198"/>
      <c r="F29" s="1198"/>
      <c r="G29" s="1193"/>
      <c r="H29" s="1557">
        <f>'1-бутерброд с маслом'!$H$28</f>
        <v>0</v>
      </c>
      <c r="I29" s="1557"/>
      <c r="J29" s="1557"/>
    </row>
    <row r="30" spans="1:10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0" ht="13.95" customHeight="1" x14ac:dyDescent="0.25">
      <c r="A31" s="1545" t="s">
        <v>327</v>
      </c>
      <c r="B31" s="1545"/>
      <c r="C31" s="1546" t="s">
        <v>328</v>
      </c>
      <c r="D31" s="1546"/>
      <c r="E31" s="1546"/>
      <c r="F31" s="1546"/>
      <c r="G31" s="106"/>
      <c r="H31" s="1531"/>
      <c r="I31" s="1531"/>
      <c r="J31" s="1531"/>
    </row>
    <row r="32" spans="1:10" x14ac:dyDescent="0.25">
      <c r="A32" s="1193"/>
      <c r="B32" s="1193"/>
      <c r="C32" s="1546"/>
      <c r="D32" s="1546"/>
      <c r="E32" s="1546"/>
      <c r="F32" s="1546"/>
      <c r="G32" s="1193"/>
      <c r="H32" s="1531" t="s">
        <v>329</v>
      </c>
      <c r="I32" s="1531"/>
      <c r="J32" s="1531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</sheetData>
  <mergeCells count="28">
    <mergeCell ref="H5:I5"/>
    <mergeCell ref="A6:G6"/>
    <mergeCell ref="A7:I7"/>
    <mergeCell ref="C16:F16"/>
    <mergeCell ref="G16:H16"/>
    <mergeCell ref="I16:J16"/>
    <mergeCell ref="A9:J9"/>
    <mergeCell ref="A11:J11"/>
    <mergeCell ref="I13:J13"/>
    <mergeCell ref="C14:G14"/>
    <mergeCell ref="I14:J14"/>
    <mergeCell ref="A13:G13"/>
    <mergeCell ref="G1:J1"/>
    <mergeCell ref="G2:J2"/>
    <mergeCell ref="G3:J3"/>
    <mergeCell ref="A5:G5"/>
    <mergeCell ref="A31:B31"/>
    <mergeCell ref="C31:F32"/>
    <mergeCell ref="H31:J31"/>
    <mergeCell ref="H32:J32"/>
    <mergeCell ref="A23:B23"/>
    <mergeCell ref="A24:B24"/>
    <mergeCell ref="A25:B25"/>
    <mergeCell ref="A26:B26"/>
    <mergeCell ref="A27:B27"/>
    <mergeCell ref="H29:J29"/>
    <mergeCell ref="A16:A17"/>
    <mergeCell ref="B16:B17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5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285)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382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115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'380-кофейный напиток со сгущ'!H14+1</f>
        <v>285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/>
      <c r="B19" s="20" t="s">
        <v>154</v>
      </c>
      <c r="C19" s="21">
        <v>0.02</v>
      </c>
      <c r="D19" s="21">
        <v>0.02</v>
      </c>
      <c r="E19" s="13">
        <f>цены!F95</f>
        <v>625</v>
      </c>
      <c r="F19" s="13">
        <f>C19*E19</f>
        <v>12.5</v>
      </c>
      <c r="G19" s="97">
        <f t="shared" ref="G19:H22" si="0">C19*10</f>
        <v>0.2</v>
      </c>
      <c r="H19" s="21">
        <f t="shared" si="0"/>
        <v>0.2</v>
      </c>
      <c r="I19" s="21">
        <f t="shared" ref="I19:J22" si="1">C19*100</f>
        <v>2</v>
      </c>
      <c r="J19" s="21">
        <f t="shared" si="1"/>
        <v>2</v>
      </c>
    </row>
    <row r="20" spans="1:10" s="10" customFormat="1" ht="14.1" customHeight="1" x14ac:dyDescent="0.25">
      <c r="A20" s="180"/>
      <c r="B20" s="20" t="s">
        <v>34</v>
      </c>
      <c r="C20" s="21">
        <v>0.5</v>
      </c>
      <c r="D20" s="21">
        <v>0.5</v>
      </c>
      <c r="E20" s="13">
        <f>цены!F20</f>
        <v>80</v>
      </c>
      <c r="F20" s="13">
        <f>C20*E20</f>
        <v>40</v>
      </c>
      <c r="G20" s="97">
        <f t="shared" si="0"/>
        <v>5</v>
      </c>
      <c r="H20" s="21">
        <f t="shared" si="0"/>
        <v>5</v>
      </c>
      <c r="I20" s="21">
        <f t="shared" si="1"/>
        <v>50</v>
      </c>
      <c r="J20" s="21">
        <f t="shared" si="1"/>
        <v>50</v>
      </c>
    </row>
    <row r="21" spans="1:10" s="10" customFormat="1" ht="14.1" customHeight="1" x14ac:dyDescent="0.25">
      <c r="A21" s="180"/>
      <c r="B21" s="20" t="s">
        <v>28</v>
      </c>
      <c r="C21" s="21">
        <v>0.6</v>
      </c>
      <c r="D21" s="21">
        <v>0.6</v>
      </c>
      <c r="E21" s="13"/>
      <c r="F21" s="13">
        <f>C21*E21</f>
        <v>0</v>
      </c>
      <c r="G21" s="97">
        <f t="shared" si="0"/>
        <v>6</v>
      </c>
      <c r="H21" s="21">
        <f t="shared" si="0"/>
        <v>6</v>
      </c>
      <c r="I21" s="21">
        <f t="shared" si="1"/>
        <v>60</v>
      </c>
      <c r="J21" s="21">
        <f t="shared" si="1"/>
        <v>60</v>
      </c>
    </row>
    <row r="22" spans="1:10" s="10" customFormat="1" ht="14.1" customHeight="1" x14ac:dyDescent="0.25">
      <c r="A22" s="180"/>
      <c r="B22" s="20" t="s">
        <v>30</v>
      </c>
      <c r="C22" s="21">
        <v>0.1</v>
      </c>
      <c r="D22" s="21">
        <v>0.1</v>
      </c>
      <c r="E22" s="13">
        <f>цены!F107</f>
        <v>76</v>
      </c>
      <c r="F22" s="13">
        <f>C22*E22</f>
        <v>7.6</v>
      </c>
      <c r="G22" s="97">
        <f t="shared" si="0"/>
        <v>1</v>
      </c>
      <c r="H22" s="21">
        <f t="shared" si="0"/>
        <v>1</v>
      </c>
      <c r="I22" s="21">
        <f t="shared" si="1"/>
        <v>10</v>
      </c>
      <c r="J22" s="21">
        <f t="shared" si="1"/>
        <v>10</v>
      </c>
    </row>
    <row r="23" spans="1:10" s="10" customFormat="1" ht="12" customHeight="1" x14ac:dyDescent="0.25">
      <c r="A23" s="98"/>
      <c r="B23" s="93" t="s">
        <v>100</v>
      </c>
      <c r="C23" s="112"/>
      <c r="D23" s="112">
        <v>1</v>
      </c>
      <c r="E23" s="112"/>
      <c r="F23" s="95">
        <f>SUM(F19:F22)</f>
        <v>60.1</v>
      </c>
      <c r="G23" s="99"/>
      <c r="H23" s="100">
        <f>D23*10</f>
        <v>10</v>
      </c>
      <c r="I23" s="100"/>
      <c r="J23" s="100">
        <f>D23*100</f>
        <v>100</v>
      </c>
    </row>
    <row r="24" spans="1:10" s="10" customFormat="1" ht="27.6" customHeight="1" x14ac:dyDescent="0.25">
      <c r="A24" s="1536" t="s">
        <v>35</v>
      </c>
      <c r="B24" s="1536"/>
      <c r="C24" s="90"/>
      <c r="D24" s="90"/>
      <c r="E24" s="13"/>
      <c r="F24" s="13">
        <f>F23</f>
        <v>60.1</v>
      </c>
      <c r="G24" s="14"/>
      <c r="H24" s="14"/>
      <c r="I24" s="21"/>
      <c r="J24" s="13"/>
    </row>
    <row r="25" spans="1:10" s="10" customFormat="1" ht="25.35" customHeight="1" x14ac:dyDescent="0.25">
      <c r="A25" s="1536" t="s">
        <v>36</v>
      </c>
      <c r="B25" s="1536"/>
      <c r="C25" s="90">
        <v>1000</v>
      </c>
      <c r="D25" s="90"/>
      <c r="E25" s="13"/>
      <c r="F25" s="13"/>
      <c r="G25" s="13"/>
      <c r="H25" s="13"/>
      <c r="I25" s="21"/>
      <c r="J25" s="17"/>
    </row>
    <row r="26" spans="1:10" s="10" customFormat="1" ht="25.35" customHeight="1" x14ac:dyDescent="0.25">
      <c r="A26" s="1537" t="s">
        <v>37</v>
      </c>
      <c r="B26" s="1538"/>
      <c r="C26" s="91">
        <v>200</v>
      </c>
      <c r="D26" s="92"/>
      <c r="E26" s="5"/>
      <c r="F26" s="5"/>
      <c r="G26" s="5"/>
      <c r="H26" s="5"/>
      <c r="I26" s="21"/>
      <c r="J26" s="17"/>
    </row>
    <row r="27" spans="1:10" s="10" customFormat="1" ht="15" customHeight="1" x14ac:dyDescent="0.25">
      <c r="A27" s="1539" t="s">
        <v>38</v>
      </c>
      <c r="B27" s="1540"/>
      <c r="C27" s="92">
        <f>C25/C26</f>
        <v>5</v>
      </c>
      <c r="D27" s="92"/>
      <c r="E27" s="5"/>
      <c r="F27" s="5"/>
      <c r="G27" s="5"/>
      <c r="H27" s="5"/>
      <c r="I27" s="21"/>
      <c r="J27" s="17"/>
    </row>
    <row r="28" spans="1:10" ht="16.350000000000001" customHeight="1" x14ac:dyDescent="0.25">
      <c r="A28" s="1541" t="s">
        <v>39</v>
      </c>
      <c r="B28" s="1542"/>
      <c r="C28" s="15" t="s">
        <v>40</v>
      </c>
      <c r="D28" s="102"/>
      <c r="E28" s="102" t="s">
        <v>40</v>
      </c>
      <c r="F28" s="16">
        <f>F24/C27</f>
        <v>12.02</v>
      </c>
      <c r="G28" s="16"/>
      <c r="H28" s="16"/>
      <c r="I28" s="102" t="s">
        <v>40</v>
      </c>
      <c r="J28" s="102" t="s">
        <v>40</v>
      </c>
    </row>
    <row r="29" spans="1:10" ht="23.1" customHeight="1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0" ht="13.95" customHeight="1" x14ac:dyDescent="0.25">
      <c r="A30" s="1193"/>
      <c r="B30" s="1194" t="s">
        <v>49</v>
      </c>
      <c r="C30" s="1198"/>
      <c r="D30" s="1198"/>
      <c r="E30" s="1198"/>
      <c r="F30" s="1198"/>
      <c r="G30" s="1193"/>
      <c r="H30" s="1557">
        <f>'1-бутерброд с маслом'!$H$28</f>
        <v>0</v>
      </c>
      <c r="I30" s="1557"/>
      <c r="J30" s="1557"/>
    </row>
    <row r="31" spans="1:10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ht="13.95" customHeight="1" x14ac:dyDescent="0.25">
      <c r="A32" s="1545" t="s">
        <v>327</v>
      </c>
      <c r="B32" s="1545"/>
      <c r="C32" s="1546" t="s">
        <v>328</v>
      </c>
      <c r="D32" s="1546"/>
      <c r="E32" s="1546"/>
      <c r="F32" s="1546"/>
      <c r="G32" s="106"/>
      <c r="H32" s="1531"/>
      <c r="I32" s="1531"/>
      <c r="J32" s="1531"/>
    </row>
    <row r="33" spans="1:10" x14ac:dyDescent="0.25">
      <c r="A33" s="1193"/>
      <c r="B33" s="1193"/>
      <c r="C33" s="1546"/>
      <c r="D33" s="1546"/>
      <c r="E33" s="1546"/>
      <c r="F33" s="1546"/>
      <c r="G33" s="1193"/>
      <c r="H33" s="1531" t="s">
        <v>329</v>
      </c>
      <c r="I33" s="1531"/>
      <c r="J33" s="1531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2:B32"/>
    <mergeCell ref="C32:F33"/>
    <mergeCell ref="H32:J32"/>
    <mergeCell ref="H33:J33"/>
    <mergeCell ref="A25:B25"/>
    <mergeCell ref="A26:B26"/>
    <mergeCell ref="A27:B27"/>
    <mergeCell ref="A28:B28"/>
    <mergeCell ref="H30:J30"/>
    <mergeCell ref="A24:B24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5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441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286)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383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155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'382-какао с молоком'!H14+1</f>
        <v>286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/>
      <c r="B19" s="20" t="s">
        <v>154</v>
      </c>
      <c r="C19" s="21">
        <v>0.02</v>
      </c>
      <c r="D19" s="21">
        <v>0.02</v>
      </c>
      <c r="E19" s="13">
        <f>цены!F95</f>
        <v>625</v>
      </c>
      <c r="F19" s="13">
        <f>C19*E19</f>
        <v>12.5</v>
      </c>
      <c r="G19" s="97">
        <f t="shared" ref="G19:H22" si="0">C19*10</f>
        <v>0.2</v>
      </c>
      <c r="H19" s="21">
        <f t="shared" si="0"/>
        <v>0.2</v>
      </c>
      <c r="I19" s="21">
        <f t="shared" ref="I19:J22" si="1">C19*100</f>
        <v>2</v>
      </c>
      <c r="J19" s="21">
        <f t="shared" si="1"/>
        <v>2</v>
      </c>
    </row>
    <row r="20" spans="1:10" s="10" customFormat="1" ht="26.1" customHeight="1" x14ac:dyDescent="0.25">
      <c r="A20" s="180"/>
      <c r="B20" s="20" t="s">
        <v>156</v>
      </c>
      <c r="C20" s="21">
        <v>0.19</v>
      </c>
      <c r="D20" s="21">
        <v>0.19</v>
      </c>
      <c r="E20" s="13">
        <f>цены!F25</f>
        <v>250</v>
      </c>
      <c r="F20" s="13">
        <f>C20*E20</f>
        <v>47.5</v>
      </c>
      <c r="G20" s="97">
        <f t="shared" si="0"/>
        <v>1.9</v>
      </c>
      <c r="H20" s="21">
        <f t="shared" si="0"/>
        <v>1.9</v>
      </c>
      <c r="I20" s="21">
        <f t="shared" si="1"/>
        <v>19</v>
      </c>
      <c r="J20" s="21">
        <f t="shared" si="1"/>
        <v>19</v>
      </c>
    </row>
    <row r="21" spans="1:10" s="10" customFormat="1" ht="14.1" customHeight="1" x14ac:dyDescent="0.25">
      <c r="A21" s="180"/>
      <c r="B21" s="20" t="s">
        <v>30</v>
      </c>
      <c r="C21" s="21">
        <v>1.4999999999999999E-2</v>
      </c>
      <c r="D21" s="21">
        <v>1.4999999999999999E-2</v>
      </c>
      <c r="E21" s="13">
        <f>цены!F107</f>
        <v>76</v>
      </c>
      <c r="F21" s="13">
        <f>C21*E21</f>
        <v>1.1399999999999999</v>
      </c>
      <c r="G21" s="97">
        <f t="shared" si="0"/>
        <v>0.15</v>
      </c>
      <c r="H21" s="21">
        <f t="shared" si="0"/>
        <v>0.15</v>
      </c>
      <c r="I21" s="21">
        <f t="shared" si="1"/>
        <v>1.5</v>
      </c>
      <c r="J21" s="21">
        <f t="shared" si="1"/>
        <v>1.5</v>
      </c>
    </row>
    <row r="22" spans="1:10" s="10" customFormat="1" ht="14.1" customHeight="1" x14ac:dyDescent="0.25">
      <c r="A22" s="180"/>
      <c r="B22" s="20" t="s">
        <v>28</v>
      </c>
      <c r="C22" s="21">
        <v>0.82</v>
      </c>
      <c r="D22" s="21">
        <v>0.82</v>
      </c>
      <c r="E22" s="13"/>
      <c r="F22" s="13">
        <f>C22*E22</f>
        <v>0</v>
      </c>
      <c r="G22" s="97">
        <f t="shared" si="0"/>
        <v>8.1999999999999993</v>
      </c>
      <c r="H22" s="21">
        <f t="shared" si="0"/>
        <v>8.1999999999999993</v>
      </c>
      <c r="I22" s="21">
        <f t="shared" si="1"/>
        <v>82</v>
      </c>
      <c r="J22" s="21">
        <f t="shared" si="1"/>
        <v>82</v>
      </c>
    </row>
    <row r="23" spans="1:10" s="10" customFormat="1" ht="12" customHeight="1" x14ac:dyDescent="0.25">
      <c r="A23" s="184"/>
      <c r="B23" s="93" t="s">
        <v>100</v>
      </c>
      <c r="C23" s="112"/>
      <c r="D23" s="112">
        <v>1</v>
      </c>
      <c r="E23" s="112"/>
      <c r="F23" s="95">
        <f>SUM(F19:F22)</f>
        <v>61.14</v>
      </c>
      <c r="G23" s="99"/>
      <c r="H23" s="100">
        <f>D23*10</f>
        <v>10</v>
      </c>
      <c r="I23" s="100"/>
      <c r="J23" s="100">
        <f>D23*100</f>
        <v>100</v>
      </c>
    </row>
    <row r="24" spans="1:10" s="10" customFormat="1" ht="27.6" customHeight="1" x14ac:dyDescent="0.25">
      <c r="A24" s="1536" t="s">
        <v>35</v>
      </c>
      <c r="B24" s="1536"/>
      <c r="C24" s="90"/>
      <c r="D24" s="90"/>
      <c r="E24" s="13"/>
      <c r="F24" s="13">
        <f>F23</f>
        <v>61.14</v>
      </c>
      <c r="G24" s="14"/>
      <c r="H24" s="14"/>
      <c r="I24" s="21"/>
      <c r="J24" s="13"/>
    </row>
    <row r="25" spans="1:10" s="10" customFormat="1" ht="25.35" customHeight="1" x14ac:dyDescent="0.25">
      <c r="A25" s="1536" t="s">
        <v>36</v>
      </c>
      <c r="B25" s="1536"/>
      <c r="C25" s="90">
        <v>1000</v>
      </c>
      <c r="D25" s="90"/>
      <c r="E25" s="13"/>
      <c r="F25" s="13"/>
      <c r="G25" s="13"/>
      <c r="H25" s="13"/>
      <c r="I25" s="21"/>
      <c r="J25" s="17"/>
    </row>
    <row r="26" spans="1:10" s="10" customFormat="1" ht="25.35" customHeight="1" x14ac:dyDescent="0.25">
      <c r="A26" s="1537" t="s">
        <v>37</v>
      </c>
      <c r="B26" s="1538"/>
      <c r="C26" s="91">
        <v>200</v>
      </c>
      <c r="D26" s="92"/>
      <c r="E26" s="5"/>
      <c r="F26" s="5"/>
      <c r="G26" s="5"/>
      <c r="H26" s="5"/>
      <c r="I26" s="21"/>
      <c r="J26" s="17"/>
    </row>
    <row r="27" spans="1:10" s="10" customFormat="1" ht="15" customHeight="1" x14ac:dyDescent="0.25">
      <c r="A27" s="1539" t="s">
        <v>38</v>
      </c>
      <c r="B27" s="1540"/>
      <c r="C27" s="92">
        <f>C25/C26</f>
        <v>5</v>
      </c>
      <c r="D27" s="92"/>
      <c r="E27" s="5"/>
      <c r="F27" s="5"/>
      <c r="G27" s="5"/>
      <c r="H27" s="5"/>
      <c r="I27" s="21"/>
      <c r="J27" s="17"/>
    </row>
    <row r="28" spans="1:10" ht="16.350000000000001" customHeight="1" x14ac:dyDescent="0.25">
      <c r="A28" s="1541" t="s">
        <v>39</v>
      </c>
      <c r="B28" s="1542"/>
      <c r="C28" s="15" t="s">
        <v>40</v>
      </c>
      <c r="D28" s="102"/>
      <c r="E28" s="102" t="s">
        <v>40</v>
      </c>
      <c r="F28" s="16">
        <f>F24/C27</f>
        <v>12.23</v>
      </c>
      <c r="G28" s="16"/>
      <c r="H28" s="16"/>
      <c r="I28" s="102" t="s">
        <v>40</v>
      </c>
      <c r="J28" s="102" t="s">
        <v>40</v>
      </c>
    </row>
    <row r="29" spans="1:10" ht="23.1" customHeight="1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0" ht="13.95" customHeight="1" x14ac:dyDescent="0.25">
      <c r="A30" s="1193"/>
      <c r="B30" s="1194" t="s">
        <v>49</v>
      </c>
      <c r="C30" s="1198"/>
      <c r="D30" s="1198"/>
      <c r="E30" s="1198"/>
      <c r="F30" s="1198"/>
      <c r="G30" s="1193"/>
      <c r="H30" s="1557">
        <f>'1-бутерброд с маслом'!$H$28</f>
        <v>0</v>
      </c>
      <c r="I30" s="1557"/>
      <c r="J30" s="1557"/>
    </row>
    <row r="31" spans="1:10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ht="13.95" customHeight="1" x14ac:dyDescent="0.25">
      <c r="A32" s="1545" t="s">
        <v>327</v>
      </c>
      <c r="B32" s="1545"/>
      <c r="C32" s="1546" t="s">
        <v>328</v>
      </c>
      <c r="D32" s="1546"/>
      <c r="E32" s="1546"/>
      <c r="F32" s="1546"/>
      <c r="G32" s="106"/>
      <c r="H32" s="1531"/>
      <c r="I32" s="1531"/>
      <c r="J32" s="1531"/>
    </row>
    <row r="33" spans="1:10" x14ac:dyDescent="0.25">
      <c r="A33" s="1193"/>
      <c r="B33" s="1193"/>
      <c r="C33" s="1546"/>
      <c r="D33" s="1546"/>
      <c r="E33" s="1546"/>
      <c r="F33" s="1546"/>
      <c r="G33" s="1193"/>
      <c r="H33" s="1531" t="s">
        <v>329</v>
      </c>
      <c r="I33" s="1531"/>
      <c r="J33" s="1531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2:B32"/>
    <mergeCell ref="C32:F33"/>
    <mergeCell ref="H32:J32"/>
    <mergeCell ref="H33:J33"/>
    <mergeCell ref="A25:B25"/>
    <mergeCell ref="A26:B26"/>
    <mergeCell ref="A27:B27"/>
    <mergeCell ref="A28:B28"/>
    <mergeCell ref="H30:J30"/>
    <mergeCell ref="A24:B24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2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5546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287)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385</v>
      </c>
    </row>
    <row r="8" spans="1:10" s="2" customFormat="1" ht="9.6" customHeight="1" x14ac:dyDescent="0.25">
      <c r="A8" s="266"/>
      <c r="B8" s="266"/>
      <c r="C8" s="266"/>
      <c r="D8" s="266"/>
      <c r="E8" s="266"/>
      <c r="F8" s="266"/>
      <c r="G8" s="266"/>
      <c r="H8" s="266"/>
      <c r="I8" s="266"/>
      <c r="J8" s="109"/>
    </row>
    <row r="9" spans="1:10" s="2" customFormat="1" ht="26.1" customHeight="1" x14ac:dyDescent="0.3">
      <c r="A9" s="1550" t="s">
        <v>478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405">
        <f>'383-какао с сгущ'!H14+1</f>
        <v>287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63" t="s">
        <v>92</v>
      </c>
      <c r="D17" s="263" t="s">
        <v>94</v>
      </c>
      <c r="E17" s="263" t="s">
        <v>93</v>
      </c>
      <c r="F17" s="263" t="s">
        <v>23</v>
      </c>
      <c r="G17" s="263" t="s">
        <v>92</v>
      </c>
      <c r="H17" s="263" t="s">
        <v>94</v>
      </c>
      <c r="I17" s="263" t="s">
        <v>92</v>
      </c>
      <c r="J17" s="263" t="s">
        <v>94</v>
      </c>
    </row>
    <row r="18" spans="1:10" ht="9.6" customHeight="1" x14ac:dyDescent="0.25">
      <c r="A18" s="263">
        <v>1</v>
      </c>
      <c r="B18" s="265">
        <v>2</v>
      </c>
      <c r="C18" s="263">
        <v>3</v>
      </c>
      <c r="D18" s="265">
        <v>4</v>
      </c>
      <c r="E18" s="263">
        <v>5</v>
      </c>
      <c r="F18" s="265">
        <v>6</v>
      </c>
      <c r="G18" s="263">
        <v>7</v>
      </c>
      <c r="H18" s="265">
        <v>8</v>
      </c>
      <c r="I18" s="263">
        <v>9</v>
      </c>
      <c r="J18" s="265">
        <v>10</v>
      </c>
    </row>
    <row r="19" spans="1:10" s="10" customFormat="1" ht="14.1" customHeight="1" x14ac:dyDescent="0.25">
      <c r="A19" s="180"/>
      <c r="B19" s="20" t="s">
        <v>153</v>
      </c>
      <c r="C19" s="21">
        <v>0.21099999999999999</v>
      </c>
      <c r="D19" s="21">
        <v>0.2</v>
      </c>
      <c r="E19" s="13">
        <f>цены!F20</f>
        <v>80</v>
      </c>
      <c r="F19" s="13">
        <f>C19*E19</f>
        <v>16.88</v>
      </c>
      <c r="G19" s="97">
        <f>C19*10</f>
        <v>2.11</v>
      </c>
      <c r="H19" s="21">
        <f>D19*10</f>
        <v>2</v>
      </c>
      <c r="I19" s="21">
        <f>C19*100</f>
        <v>21.1</v>
      </c>
      <c r="J19" s="21">
        <f>D19*100</f>
        <v>20</v>
      </c>
    </row>
    <row r="20" spans="1:10" s="10" customFormat="1" ht="12" customHeight="1" x14ac:dyDescent="0.25">
      <c r="A20" s="184"/>
      <c r="B20" s="93" t="s">
        <v>100</v>
      </c>
      <c r="C20" s="112"/>
      <c r="D20" s="112">
        <v>0.2</v>
      </c>
      <c r="E20" s="112"/>
      <c r="F20" s="95">
        <f>SUM(F19:F19)</f>
        <v>16.88</v>
      </c>
      <c r="G20" s="99"/>
      <c r="H20" s="100">
        <f>D20*10</f>
        <v>2</v>
      </c>
      <c r="I20" s="100"/>
      <c r="J20" s="100">
        <f>D20*100</f>
        <v>20</v>
      </c>
    </row>
    <row r="21" spans="1:10" s="10" customFormat="1" ht="27.6" customHeight="1" x14ac:dyDescent="0.25">
      <c r="A21" s="1536" t="s">
        <v>35</v>
      </c>
      <c r="B21" s="1536"/>
      <c r="C21" s="90"/>
      <c r="D21" s="90"/>
      <c r="E21" s="13"/>
      <c r="F21" s="13">
        <f>F20</f>
        <v>16.88</v>
      </c>
      <c r="G21" s="264"/>
      <c r="H21" s="264"/>
      <c r="I21" s="21"/>
      <c r="J21" s="13"/>
    </row>
    <row r="22" spans="1:10" s="10" customFormat="1" ht="25.35" customHeight="1" x14ac:dyDescent="0.25">
      <c r="A22" s="1536" t="s">
        <v>36</v>
      </c>
      <c r="B22" s="1536"/>
      <c r="C22" s="90">
        <v>200</v>
      </c>
      <c r="D22" s="90"/>
      <c r="E22" s="13"/>
      <c r="F22" s="13"/>
      <c r="G22" s="13"/>
      <c r="H22" s="13"/>
      <c r="I22" s="21"/>
      <c r="J22" s="17"/>
    </row>
    <row r="23" spans="1:10" s="10" customFormat="1" ht="25.35" customHeight="1" x14ac:dyDescent="0.25">
      <c r="A23" s="1537" t="s">
        <v>37</v>
      </c>
      <c r="B23" s="1538"/>
      <c r="C23" s="91">
        <v>200</v>
      </c>
      <c r="D23" s="92"/>
      <c r="E23" s="265"/>
      <c r="F23" s="265"/>
      <c r="G23" s="265"/>
      <c r="H23" s="265"/>
      <c r="I23" s="21"/>
      <c r="J23" s="17"/>
    </row>
    <row r="24" spans="1:10" s="10" customFormat="1" ht="15" customHeight="1" x14ac:dyDescent="0.25">
      <c r="A24" s="1539" t="s">
        <v>38</v>
      </c>
      <c r="B24" s="1540"/>
      <c r="C24" s="92">
        <f>C22/C23</f>
        <v>1</v>
      </c>
      <c r="D24" s="92"/>
      <c r="E24" s="265"/>
      <c r="F24" s="265"/>
      <c r="G24" s="265"/>
      <c r="H24" s="265"/>
      <c r="I24" s="21"/>
      <c r="J24" s="17"/>
    </row>
    <row r="25" spans="1:10" ht="16.350000000000001" customHeight="1" x14ac:dyDescent="0.25">
      <c r="A25" s="1541" t="s">
        <v>39</v>
      </c>
      <c r="B25" s="1542"/>
      <c r="C25" s="15" t="s">
        <v>40</v>
      </c>
      <c r="D25" s="102"/>
      <c r="E25" s="102" t="s">
        <v>40</v>
      </c>
      <c r="F25" s="16">
        <f>F21/C24</f>
        <v>16.88</v>
      </c>
      <c r="G25" s="16"/>
      <c r="H25" s="16"/>
      <c r="I25" s="102" t="s">
        <v>40</v>
      </c>
      <c r="J25" s="102" t="s">
        <v>40</v>
      </c>
    </row>
    <row r="26" spans="1:10" ht="23.1" customHeight="1" x14ac:dyDescent="0.25">
      <c r="A26" s="1193"/>
      <c r="B26" s="1193"/>
      <c r="C26" s="1193"/>
      <c r="D26" s="1193"/>
      <c r="E26" s="1193"/>
      <c r="F26" s="1193"/>
      <c r="G26" s="1193"/>
      <c r="H26" s="1193"/>
      <c r="I26" s="1193"/>
      <c r="J26" s="1193"/>
    </row>
    <row r="27" spans="1:10" ht="13.95" customHeight="1" x14ac:dyDescent="0.25">
      <c r="A27" s="1193"/>
      <c r="B27" s="1194" t="s">
        <v>49</v>
      </c>
      <c r="C27" s="1198"/>
      <c r="D27" s="1198"/>
      <c r="E27" s="1198"/>
      <c r="F27" s="1198"/>
      <c r="G27" s="1193"/>
      <c r="H27" s="1557">
        <f>'1-бутерброд с маслом'!$H$28</f>
        <v>0</v>
      </c>
      <c r="I27" s="1557"/>
      <c r="J27" s="1557"/>
    </row>
    <row r="28" spans="1:10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545" t="s">
        <v>327</v>
      </c>
      <c r="B29" s="1545"/>
      <c r="C29" s="1546" t="s">
        <v>328</v>
      </c>
      <c r="D29" s="1546"/>
      <c r="E29" s="1546"/>
      <c r="F29" s="1546"/>
      <c r="G29" s="106"/>
      <c r="H29" s="1531"/>
      <c r="I29" s="1531"/>
      <c r="J29" s="1531"/>
    </row>
    <row r="30" spans="1:10" x14ac:dyDescent="0.25">
      <c r="A30" s="1193"/>
      <c r="B30" s="1193"/>
      <c r="C30" s="1546"/>
      <c r="D30" s="1546"/>
      <c r="E30" s="1546"/>
      <c r="F30" s="1546"/>
      <c r="G30" s="1193"/>
      <c r="H30" s="1531" t="s">
        <v>329</v>
      </c>
      <c r="I30" s="1531"/>
      <c r="J30" s="1531"/>
    </row>
    <row r="31" spans="1:10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</sheetData>
  <mergeCells count="28">
    <mergeCell ref="H27:J27"/>
    <mergeCell ref="A13:G13"/>
    <mergeCell ref="A22:B22"/>
    <mergeCell ref="A23:B23"/>
    <mergeCell ref="A24:B24"/>
    <mergeCell ref="A25:B25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29:B29"/>
    <mergeCell ref="C29:F30"/>
    <mergeCell ref="H29:J29"/>
    <mergeCell ref="H30:J30"/>
    <mergeCell ref="H5:I5"/>
    <mergeCell ref="A6:G6"/>
    <mergeCell ref="A7:I7"/>
    <mergeCell ref="A21:B21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34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2.4414062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88671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288)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388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157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'385-молоко'!H14+1</f>
        <v>288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/>
      <c r="B19" s="20" t="s">
        <v>146</v>
      </c>
      <c r="C19" s="21">
        <v>0.1</v>
      </c>
      <c r="D19" s="21">
        <v>0.1</v>
      </c>
      <c r="E19" s="13">
        <f>цены!F115</f>
        <v>100</v>
      </c>
      <c r="F19" s="13">
        <f>C19*E19</f>
        <v>10</v>
      </c>
      <c r="G19" s="97">
        <f t="shared" ref="G19:H21" si="0">C19*10</f>
        <v>1</v>
      </c>
      <c r="H19" s="21">
        <f t="shared" si="0"/>
        <v>1</v>
      </c>
      <c r="I19" s="21">
        <f t="shared" ref="I19:J21" si="1">C19*100</f>
        <v>10</v>
      </c>
      <c r="J19" s="21">
        <f t="shared" si="1"/>
        <v>10</v>
      </c>
    </row>
    <row r="20" spans="1:10" s="10" customFormat="1" ht="12" customHeight="1" x14ac:dyDescent="0.25">
      <c r="A20" s="180"/>
      <c r="B20" s="20" t="s">
        <v>30</v>
      </c>
      <c r="C20" s="21">
        <v>0.1</v>
      </c>
      <c r="D20" s="21">
        <v>0.1</v>
      </c>
      <c r="E20" s="13">
        <f>цены!F107</f>
        <v>76</v>
      </c>
      <c r="F20" s="13">
        <f>C20*E20</f>
        <v>7.6</v>
      </c>
      <c r="G20" s="97">
        <f t="shared" si="0"/>
        <v>1</v>
      </c>
      <c r="H20" s="21">
        <f t="shared" si="0"/>
        <v>1</v>
      </c>
      <c r="I20" s="21">
        <f t="shared" si="1"/>
        <v>10</v>
      </c>
      <c r="J20" s="21">
        <f t="shared" si="1"/>
        <v>10</v>
      </c>
    </row>
    <row r="21" spans="1:10" s="10" customFormat="1" ht="12" customHeight="1" x14ac:dyDescent="0.25">
      <c r="A21" s="180"/>
      <c r="B21" s="20" t="s">
        <v>28</v>
      </c>
      <c r="C21" s="21">
        <v>1</v>
      </c>
      <c r="D21" s="21">
        <v>1</v>
      </c>
      <c r="E21" s="13"/>
      <c r="F21" s="13">
        <f>C21*E21</f>
        <v>0</v>
      </c>
      <c r="G21" s="97">
        <f t="shared" si="0"/>
        <v>10</v>
      </c>
      <c r="H21" s="21">
        <f t="shared" si="0"/>
        <v>10</v>
      </c>
      <c r="I21" s="21">
        <f t="shared" si="1"/>
        <v>100</v>
      </c>
      <c r="J21" s="21">
        <f t="shared" si="1"/>
        <v>100</v>
      </c>
    </row>
    <row r="22" spans="1:10" s="10" customFormat="1" ht="12" customHeight="1" x14ac:dyDescent="0.25">
      <c r="A22" s="184"/>
      <c r="B22" s="93" t="s">
        <v>100</v>
      </c>
      <c r="C22" s="112"/>
      <c r="D22" s="112">
        <v>1</v>
      </c>
      <c r="E22" s="95"/>
      <c r="F22" s="95">
        <f>SUM(F19:F21)</f>
        <v>17.600000000000001</v>
      </c>
      <c r="G22" s="99"/>
      <c r="H22" s="100">
        <f>D22*10</f>
        <v>10</v>
      </c>
      <c r="I22" s="100"/>
      <c r="J22" s="100">
        <f>D22*100</f>
        <v>100</v>
      </c>
    </row>
    <row r="23" spans="1:10" s="10" customFormat="1" ht="27.6" customHeight="1" x14ac:dyDescent="0.25">
      <c r="A23" s="1536" t="s">
        <v>35</v>
      </c>
      <c r="B23" s="1536"/>
      <c r="C23" s="90"/>
      <c r="D23" s="90"/>
      <c r="E23" s="13"/>
      <c r="F23" s="13">
        <f>F22</f>
        <v>17.600000000000001</v>
      </c>
      <c r="G23" s="14"/>
      <c r="H23" s="14"/>
      <c r="I23" s="21"/>
      <c r="J23" s="13"/>
    </row>
    <row r="24" spans="1:10" s="10" customFormat="1" ht="25.35" customHeight="1" x14ac:dyDescent="0.25">
      <c r="A24" s="1536" t="s">
        <v>36</v>
      </c>
      <c r="B24" s="1536"/>
      <c r="C24" s="90">
        <v>1000</v>
      </c>
      <c r="D24" s="90"/>
      <c r="E24" s="13"/>
      <c r="F24" s="13"/>
      <c r="G24" s="13"/>
      <c r="H24" s="13"/>
      <c r="I24" s="21"/>
      <c r="J24" s="17"/>
    </row>
    <row r="25" spans="1:10" s="10" customFormat="1" ht="25.35" customHeight="1" x14ac:dyDescent="0.25">
      <c r="A25" s="1537" t="s">
        <v>37</v>
      </c>
      <c r="B25" s="1538"/>
      <c r="C25" s="91">
        <v>200</v>
      </c>
      <c r="D25" s="92"/>
      <c r="E25" s="5"/>
      <c r="F25" s="5"/>
      <c r="G25" s="5"/>
      <c r="H25" s="5"/>
      <c r="I25" s="21"/>
      <c r="J25" s="17"/>
    </row>
    <row r="26" spans="1:10" s="10" customFormat="1" ht="15" customHeight="1" x14ac:dyDescent="0.25">
      <c r="A26" s="1539" t="s">
        <v>38</v>
      </c>
      <c r="B26" s="1540"/>
      <c r="C26" s="92">
        <f>C24/C25</f>
        <v>5</v>
      </c>
      <c r="D26" s="92"/>
      <c r="E26" s="5"/>
      <c r="F26" s="5"/>
      <c r="G26" s="5"/>
      <c r="H26" s="5"/>
      <c r="I26" s="21"/>
      <c r="J26" s="17"/>
    </row>
    <row r="27" spans="1:10" ht="16.350000000000001" customHeight="1" x14ac:dyDescent="0.25">
      <c r="A27" s="1541" t="s">
        <v>39</v>
      </c>
      <c r="B27" s="1542"/>
      <c r="C27" s="15" t="s">
        <v>40</v>
      </c>
      <c r="D27" s="102"/>
      <c r="E27" s="102" t="s">
        <v>40</v>
      </c>
      <c r="F27" s="16">
        <f>F23/C26</f>
        <v>3.52</v>
      </c>
      <c r="G27" s="16"/>
      <c r="H27" s="16"/>
      <c r="I27" s="102" t="s">
        <v>40</v>
      </c>
      <c r="J27" s="102" t="s">
        <v>40</v>
      </c>
    </row>
    <row r="28" spans="1:10" ht="23.1" customHeight="1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193"/>
      <c r="B29" s="1194" t="s">
        <v>49</v>
      </c>
      <c r="C29" s="1198"/>
      <c r="D29" s="1198"/>
      <c r="E29" s="1198"/>
      <c r="F29" s="1198"/>
      <c r="G29" s="1193"/>
      <c r="H29" s="1557">
        <f>'1-бутерброд с маслом'!$H$28</f>
        <v>0</v>
      </c>
      <c r="I29" s="1557"/>
      <c r="J29" s="1557"/>
    </row>
    <row r="30" spans="1:10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0" ht="13.95" customHeight="1" x14ac:dyDescent="0.25">
      <c r="A31" s="1545" t="s">
        <v>327</v>
      </c>
      <c r="B31" s="1545"/>
      <c r="C31" s="1546" t="s">
        <v>328</v>
      </c>
      <c r="D31" s="1546"/>
      <c r="E31" s="1546"/>
      <c r="F31" s="1546"/>
      <c r="G31" s="106"/>
      <c r="H31" s="1531"/>
      <c r="I31" s="1531"/>
      <c r="J31" s="1531"/>
    </row>
    <row r="32" spans="1:10" x14ac:dyDescent="0.25">
      <c r="A32" s="1193"/>
      <c r="B32" s="1193"/>
      <c r="C32" s="1546"/>
      <c r="D32" s="1546"/>
      <c r="E32" s="1546"/>
      <c r="F32" s="1546"/>
      <c r="G32" s="1193"/>
      <c r="H32" s="1531" t="s">
        <v>329</v>
      </c>
      <c r="I32" s="1531"/>
      <c r="J32" s="1531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1:B31"/>
    <mergeCell ref="C31:F32"/>
    <mergeCell ref="H31:J31"/>
    <mergeCell ref="H32:J32"/>
    <mergeCell ref="A24:B24"/>
    <mergeCell ref="A25:B25"/>
    <mergeCell ref="A26:B26"/>
    <mergeCell ref="A27:B27"/>
    <mergeCell ref="H29:J29"/>
    <mergeCell ref="A23:B23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6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6.44140625" customWidth="1"/>
    <col min="2" max="2" width="20.5546875" customWidth="1"/>
    <col min="3" max="9" width="7.5546875" customWidth="1"/>
    <col min="10" max="10" width="8.109375" customWidth="1"/>
    <col min="11" max="11" width="3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289)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393</v>
      </c>
    </row>
    <row r="8" spans="1:10" s="2" customFormat="1" ht="9.6" customHeight="1" x14ac:dyDescent="0.25">
      <c r="A8" s="229"/>
      <c r="B8" s="229"/>
      <c r="C8" s="229"/>
      <c r="D8" s="229"/>
      <c r="E8" s="229"/>
      <c r="F8" s="229"/>
      <c r="G8" s="229"/>
      <c r="H8" s="229"/>
      <c r="I8" s="229"/>
      <c r="J8" s="109"/>
    </row>
    <row r="9" spans="1:10" s="2" customFormat="1" ht="26.1" customHeight="1" x14ac:dyDescent="0.3">
      <c r="A9" s="1550" t="s">
        <v>440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'388-напиток из шипов'!H14+1</f>
        <v>289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26" t="s">
        <v>92</v>
      </c>
      <c r="D17" s="226" t="s">
        <v>94</v>
      </c>
      <c r="E17" s="226" t="s">
        <v>93</v>
      </c>
      <c r="F17" s="226" t="s">
        <v>23</v>
      </c>
      <c r="G17" s="226" t="s">
        <v>92</v>
      </c>
      <c r="H17" s="226" t="s">
        <v>94</v>
      </c>
      <c r="I17" s="226" t="s">
        <v>92</v>
      </c>
      <c r="J17" s="226" t="s">
        <v>94</v>
      </c>
    </row>
    <row r="18" spans="1:10" ht="9.6" customHeight="1" x14ac:dyDescent="0.25">
      <c r="A18" s="226">
        <v>1</v>
      </c>
      <c r="B18" s="228">
        <v>2</v>
      </c>
      <c r="C18" s="226">
        <v>3</v>
      </c>
      <c r="D18" s="228">
        <v>4</v>
      </c>
      <c r="E18" s="226">
        <v>5</v>
      </c>
      <c r="F18" s="228">
        <v>6</v>
      </c>
      <c r="G18" s="226">
        <v>7</v>
      </c>
      <c r="H18" s="228">
        <v>8</v>
      </c>
      <c r="I18" s="226">
        <v>9</v>
      </c>
      <c r="J18" s="228">
        <v>10</v>
      </c>
    </row>
    <row r="19" spans="1:10" s="10" customFormat="1" ht="14.1" customHeight="1" x14ac:dyDescent="0.25">
      <c r="A19" s="180"/>
      <c r="B19" s="20" t="s">
        <v>45</v>
      </c>
      <c r="C19" s="21">
        <v>0.69499999999999995</v>
      </c>
      <c r="D19" s="21">
        <v>0.69499999999999995</v>
      </c>
      <c r="E19" s="13">
        <f>цены!F74</f>
        <v>36</v>
      </c>
      <c r="F19" s="13">
        <f>C19*E19</f>
        <v>25.02</v>
      </c>
      <c r="G19" s="97">
        <f t="shared" ref="G19:H22" si="0">C19*10</f>
        <v>6.95</v>
      </c>
      <c r="H19" s="21">
        <f t="shared" si="0"/>
        <v>6.95</v>
      </c>
      <c r="I19" s="21">
        <f t="shared" ref="I19:J22" si="1">C19*100</f>
        <v>69.5</v>
      </c>
      <c r="J19" s="21">
        <f t="shared" si="1"/>
        <v>69.5</v>
      </c>
    </row>
    <row r="20" spans="1:10" s="10" customFormat="1" ht="12" customHeight="1" x14ac:dyDescent="0.25">
      <c r="A20" s="180"/>
      <c r="B20" s="20" t="s">
        <v>439</v>
      </c>
      <c r="C20" s="21">
        <v>0.59799999999999998</v>
      </c>
      <c r="D20" s="21">
        <v>0.52</v>
      </c>
      <c r="E20" s="13">
        <f>цены!F30</f>
        <v>152.16999999999999</v>
      </c>
      <c r="F20" s="13">
        <f>C20*E20</f>
        <v>91</v>
      </c>
      <c r="G20" s="97">
        <f t="shared" si="0"/>
        <v>5.98</v>
      </c>
      <c r="H20" s="21">
        <f t="shared" si="0"/>
        <v>5.2</v>
      </c>
      <c r="I20" s="21">
        <f t="shared" si="1"/>
        <v>59.8</v>
      </c>
      <c r="J20" s="21">
        <f t="shared" si="1"/>
        <v>52</v>
      </c>
    </row>
    <row r="21" spans="1:10" s="10" customFormat="1" ht="12" customHeight="1" x14ac:dyDescent="0.25">
      <c r="A21" s="180"/>
      <c r="B21" s="20" t="s">
        <v>350</v>
      </c>
      <c r="C21" s="21">
        <v>0.27</v>
      </c>
      <c r="D21" s="21">
        <v>0.27</v>
      </c>
      <c r="E21" s="13">
        <v>0</v>
      </c>
      <c r="F21" s="13">
        <f>C21*E21</f>
        <v>0</v>
      </c>
      <c r="G21" s="97">
        <f t="shared" si="0"/>
        <v>2.7</v>
      </c>
      <c r="H21" s="21">
        <f t="shared" si="0"/>
        <v>2.7</v>
      </c>
      <c r="I21" s="21">
        <f t="shared" si="1"/>
        <v>27</v>
      </c>
      <c r="J21" s="21">
        <f t="shared" si="1"/>
        <v>27</v>
      </c>
    </row>
    <row r="22" spans="1:10" s="10" customFormat="1" ht="12" customHeight="1" x14ac:dyDescent="0.25">
      <c r="A22" s="180"/>
      <c r="B22" s="20" t="s">
        <v>33</v>
      </c>
      <c r="C22" s="21">
        <v>1.2E-2</v>
      </c>
      <c r="D22" s="21">
        <v>1.2E-2</v>
      </c>
      <c r="E22" s="13">
        <f>цены!F110</f>
        <v>24</v>
      </c>
      <c r="F22" s="13">
        <f>C22*E22</f>
        <v>0.28999999999999998</v>
      </c>
      <c r="G22" s="97">
        <f t="shared" si="0"/>
        <v>0.12</v>
      </c>
      <c r="H22" s="21">
        <f t="shared" si="0"/>
        <v>0.12</v>
      </c>
      <c r="I22" s="21">
        <f t="shared" si="1"/>
        <v>1.2</v>
      </c>
      <c r="J22" s="21">
        <f t="shared" si="1"/>
        <v>1.2</v>
      </c>
    </row>
    <row r="23" spans="1:10" s="10" customFormat="1" ht="12" customHeight="1" x14ac:dyDescent="0.25">
      <c r="A23" s="184"/>
      <c r="B23" s="93" t="s">
        <v>100</v>
      </c>
      <c r="C23" s="100"/>
      <c r="D23" s="100">
        <v>1</v>
      </c>
      <c r="E23" s="95"/>
      <c r="F23" s="95">
        <f>SUM(F19:F22)</f>
        <v>116.31</v>
      </c>
      <c r="G23" s="99"/>
      <c r="H23" s="100">
        <f>D23*10</f>
        <v>10</v>
      </c>
      <c r="I23" s="100"/>
      <c r="J23" s="100">
        <f>D23*100</f>
        <v>100</v>
      </c>
    </row>
    <row r="24" spans="1:10" s="10" customFormat="1" ht="12" customHeight="1" x14ac:dyDescent="0.25">
      <c r="A24" s="122"/>
      <c r="B24" s="123" t="s">
        <v>127</v>
      </c>
      <c r="C24" s="126"/>
      <c r="D24" s="129">
        <v>40</v>
      </c>
      <c r="E24" s="127"/>
      <c r="F24" s="127"/>
      <c r="G24" s="128"/>
      <c r="H24" s="126"/>
      <c r="I24" s="126"/>
      <c r="J24" s="126"/>
    </row>
    <row r="25" spans="1:10" s="10" customFormat="1" ht="27.6" customHeight="1" x14ac:dyDescent="0.25">
      <c r="A25" s="1536" t="s">
        <v>35</v>
      </c>
      <c r="B25" s="1536"/>
      <c r="C25" s="90"/>
      <c r="D25" s="90"/>
      <c r="E25" s="13"/>
      <c r="F25" s="13">
        <f>F23</f>
        <v>116.31</v>
      </c>
      <c r="G25" s="227"/>
      <c r="H25" s="227"/>
      <c r="I25" s="21"/>
      <c r="J25" s="13"/>
    </row>
    <row r="26" spans="1:10" s="10" customFormat="1" ht="25.35" customHeight="1" x14ac:dyDescent="0.25">
      <c r="A26" s="1536" t="s">
        <v>36</v>
      </c>
      <c r="B26" s="1536"/>
      <c r="C26" s="90">
        <v>1000</v>
      </c>
      <c r="D26" s="90"/>
      <c r="E26" s="13"/>
      <c r="F26" s="13"/>
      <c r="G26" s="13"/>
      <c r="H26" s="13"/>
      <c r="I26" s="21"/>
      <c r="J26" s="17"/>
    </row>
    <row r="27" spans="1:10" s="10" customFormat="1" ht="25.35" customHeight="1" x14ac:dyDescent="0.25">
      <c r="A27" s="1537" t="s">
        <v>37</v>
      </c>
      <c r="B27" s="1538"/>
      <c r="C27" s="91">
        <v>1000</v>
      </c>
      <c r="D27" s="92"/>
      <c r="E27" s="228"/>
      <c r="F27" s="228"/>
      <c r="G27" s="228"/>
      <c r="H27" s="228"/>
      <c r="I27" s="21"/>
      <c r="J27" s="17"/>
    </row>
    <row r="28" spans="1:10" s="10" customFormat="1" ht="15" customHeight="1" x14ac:dyDescent="0.25">
      <c r="A28" s="1539" t="s">
        <v>38</v>
      </c>
      <c r="B28" s="1540"/>
      <c r="C28" s="92">
        <f>C26/C27</f>
        <v>1</v>
      </c>
      <c r="D28" s="92"/>
      <c r="E28" s="228"/>
      <c r="F28" s="228"/>
      <c r="G28" s="228"/>
      <c r="H28" s="228"/>
      <c r="I28" s="21"/>
      <c r="J28" s="17"/>
    </row>
    <row r="29" spans="1:10" ht="16.350000000000001" customHeight="1" x14ac:dyDescent="0.25">
      <c r="A29" s="1541" t="s">
        <v>39</v>
      </c>
      <c r="B29" s="1542"/>
      <c r="C29" s="15" t="s">
        <v>40</v>
      </c>
      <c r="D29" s="102"/>
      <c r="E29" s="102" t="s">
        <v>40</v>
      </c>
      <c r="F29" s="16">
        <f>F25/C28</f>
        <v>116.31</v>
      </c>
      <c r="G29" s="16"/>
      <c r="H29" s="16"/>
      <c r="I29" s="102" t="s">
        <v>40</v>
      </c>
      <c r="J29" s="102" t="s">
        <v>40</v>
      </c>
    </row>
    <row r="30" spans="1:10" ht="23.1" customHeight="1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0" ht="13.95" customHeight="1" x14ac:dyDescent="0.25">
      <c r="A31" s="1193"/>
      <c r="B31" s="1194" t="s">
        <v>49</v>
      </c>
      <c r="C31" s="1198"/>
      <c r="D31" s="1198"/>
      <c r="E31" s="1198"/>
      <c r="F31" s="1198"/>
      <c r="G31" s="1193"/>
      <c r="H31" s="1557">
        <f>'1-бутерброд с маслом'!$H$28</f>
        <v>0</v>
      </c>
      <c r="I31" s="1557"/>
      <c r="J31" s="1557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545" t="s">
        <v>327</v>
      </c>
      <c r="B33" s="1545"/>
      <c r="C33" s="1546" t="s">
        <v>328</v>
      </c>
      <c r="D33" s="1546"/>
      <c r="E33" s="1546"/>
      <c r="F33" s="1546"/>
      <c r="G33" s="106"/>
      <c r="H33" s="1531"/>
      <c r="I33" s="1531"/>
      <c r="J33" s="1531"/>
    </row>
    <row r="34" spans="1:10" x14ac:dyDescent="0.25">
      <c r="A34" s="1193"/>
      <c r="B34" s="1193"/>
      <c r="C34" s="1546"/>
      <c r="D34" s="1546"/>
      <c r="E34" s="1546"/>
      <c r="F34" s="1546"/>
      <c r="G34" s="1193"/>
      <c r="H34" s="1531" t="s">
        <v>329</v>
      </c>
      <c r="I34" s="1531"/>
      <c r="J34" s="1531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</sheetData>
  <mergeCells count="28">
    <mergeCell ref="H31:J31"/>
    <mergeCell ref="A13:G13"/>
    <mergeCell ref="A26:B26"/>
    <mergeCell ref="A27:B27"/>
    <mergeCell ref="A28:B28"/>
    <mergeCell ref="A29:B29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3:B33"/>
    <mergeCell ref="C33:F34"/>
    <mergeCell ref="H33:J33"/>
    <mergeCell ref="H34:J34"/>
    <mergeCell ref="H5:I5"/>
    <mergeCell ref="A6:G6"/>
    <mergeCell ref="A7:I7"/>
    <mergeCell ref="A25:B25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7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6.44140625" customWidth="1"/>
    <col min="2" max="2" width="20.5546875" customWidth="1"/>
    <col min="3" max="9" width="7.5546875" customWidth="1"/>
    <col min="10" max="10" width="8.109375" customWidth="1"/>
    <col min="11" max="11" width="4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290)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394</v>
      </c>
    </row>
    <row r="8" spans="1:10" s="2" customFormat="1" ht="9.6" customHeight="1" x14ac:dyDescent="0.25">
      <c r="A8" s="229"/>
      <c r="B8" s="229"/>
      <c r="C8" s="229"/>
      <c r="D8" s="229"/>
      <c r="E8" s="229"/>
      <c r="F8" s="229"/>
      <c r="G8" s="229"/>
      <c r="H8" s="229"/>
      <c r="I8" s="229"/>
      <c r="J8" s="109"/>
    </row>
    <row r="9" spans="1:10" s="2" customFormat="1" ht="26.1" customHeight="1" x14ac:dyDescent="0.3">
      <c r="A9" s="1550" t="s">
        <v>441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'393 тесто для вареников'!H14+1</f>
        <v>290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26" t="s">
        <v>92</v>
      </c>
      <c r="D17" s="226" t="s">
        <v>94</v>
      </c>
      <c r="E17" s="226" t="s">
        <v>93</v>
      </c>
      <c r="F17" s="226" t="s">
        <v>23</v>
      </c>
      <c r="G17" s="226" t="s">
        <v>92</v>
      </c>
      <c r="H17" s="226" t="s">
        <v>94</v>
      </c>
      <c r="I17" s="226" t="s">
        <v>92</v>
      </c>
      <c r="J17" s="226" t="s">
        <v>94</v>
      </c>
    </row>
    <row r="18" spans="1:10" ht="9.6" customHeight="1" x14ac:dyDescent="0.25">
      <c r="A18" s="226">
        <v>1</v>
      </c>
      <c r="B18" s="228">
        <v>2</v>
      </c>
      <c r="C18" s="226">
        <v>3</v>
      </c>
      <c r="D18" s="228">
        <v>4</v>
      </c>
      <c r="E18" s="226">
        <v>5</v>
      </c>
      <c r="F18" s="228">
        <v>6</v>
      </c>
      <c r="G18" s="226">
        <v>7</v>
      </c>
      <c r="H18" s="228">
        <v>8</v>
      </c>
      <c r="I18" s="226">
        <v>9</v>
      </c>
      <c r="J18" s="228">
        <v>10</v>
      </c>
    </row>
    <row r="19" spans="1:10" s="10" customFormat="1" ht="14.1" customHeight="1" x14ac:dyDescent="0.25">
      <c r="A19" s="180">
        <v>1</v>
      </c>
      <c r="B19" s="20" t="s">
        <v>442</v>
      </c>
      <c r="C19" s="21"/>
      <c r="D19" s="21">
        <v>7.3999999999999996E-2</v>
      </c>
      <c r="E19" s="13">
        <f>'393 тесто для вареников'!F29</f>
        <v>116.31</v>
      </c>
      <c r="F19" s="13">
        <f>D19*E19</f>
        <v>8.61</v>
      </c>
      <c r="G19" s="97">
        <f t="shared" ref="G19:H23" si="0">C19*10</f>
        <v>0</v>
      </c>
      <c r="H19" s="21">
        <f t="shared" si="0"/>
        <v>0.74</v>
      </c>
      <c r="I19" s="21">
        <f t="shared" ref="I19:J23" si="1">C19*100</f>
        <v>0</v>
      </c>
      <c r="J19" s="21">
        <f t="shared" si="1"/>
        <v>7.4</v>
      </c>
    </row>
    <row r="20" spans="1:10" s="10" customFormat="1" ht="12" customHeight="1" x14ac:dyDescent="0.25">
      <c r="A20" s="180">
        <v>2</v>
      </c>
      <c r="B20" s="20" t="s">
        <v>443</v>
      </c>
      <c r="C20" s="21"/>
      <c r="D20" s="111">
        <v>9.2700000000000005E-2</v>
      </c>
      <c r="E20" s="13">
        <f>'468-фарш творож'!F29</f>
        <v>334.49</v>
      </c>
      <c r="F20" s="13">
        <f>D20*E20</f>
        <v>31.01</v>
      </c>
      <c r="G20" s="97">
        <f t="shared" si="0"/>
        <v>0</v>
      </c>
      <c r="H20" s="21">
        <f t="shared" si="0"/>
        <v>0.92700000000000005</v>
      </c>
      <c r="I20" s="21">
        <f t="shared" si="1"/>
        <v>0</v>
      </c>
      <c r="J20" s="21">
        <f t="shared" si="1"/>
        <v>9.27</v>
      </c>
    </row>
    <row r="21" spans="1:10" s="10" customFormat="1" ht="12" customHeight="1" x14ac:dyDescent="0.25">
      <c r="A21" s="180">
        <v>3</v>
      </c>
      <c r="B21" s="20" t="s">
        <v>444</v>
      </c>
      <c r="C21" s="111"/>
      <c r="D21" s="111">
        <v>0.16669999999999999</v>
      </c>
      <c r="E21" s="13">
        <v>0</v>
      </c>
      <c r="F21" s="13">
        <f>C21*E21</f>
        <v>0</v>
      </c>
      <c r="G21" s="97">
        <f t="shared" si="0"/>
        <v>0</v>
      </c>
      <c r="H21" s="21">
        <f t="shared" si="0"/>
        <v>1.667</v>
      </c>
      <c r="I21" s="21">
        <f t="shared" si="1"/>
        <v>0</v>
      </c>
      <c r="J21" s="21">
        <f t="shared" si="1"/>
        <v>16.670000000000002</v>
      </c>
    </row>
    <row r="22" spans="1:10" s="10" customFormat="1" ht="12" customHeight="1" x14ac:dyDescent="0.25">
      <c r="A22" s="180">
        <v>4</v>
      </c>
      <c r="B22" s="20" t="s">
        <v>445</v>
      </c>
      <c r="C22" s="21"/>
      <c r="D22" s="21">
        <v>0.18</v>
      </c>
      <c r="E22" s="13">
        <f>цены!F110</f>
        <v>24</v>
      </c>
      <c r="F22" s="13">
        <f>C22*E22</f>
        <v>0</v>
      </c>
      <c r="G22" s="97">
        <f t="shared" si="0"/>
        <v>0</v>
      </c>
      <c r="H22" s="21">
        <f t="shared" si="0"/>
        <v>1.8</v>
      </c>
      <c r="I22" s="21">
        <f t="shared" si="1"/>
        <v>0</v>
      </c>
      <c r="J22" s="21">
        <f t="shared" si="1"/>
        <v>18</v>
      </c>
    </row>
    <row r="23" spans="1:10" s="10" customFormat="1" ht="12" customHeight="1" x14ac:dyDescent="0.25">
      <c r="A23" s="180">
        <v>5</v>
      </c>
      <c r="B23" s="20" t="s">
        <v>31</v>
      </c>
      <c r="C23" s="21">
        <v>5.0000000000000001E-3</v>
      </c>
      <c r="D23" s="21">
        <v>5.0000000000000001E-3</v>
      </c>
      <c r="E23" s="13">
        <f>цены!F21</f>
        <v>710</v>
      </c>
      <c r="F23" s="13">
        <f>C23*E23</f>
        <v>3.55</v>
      </c>
      <c r="G23" s="97">
        <f t="shared" si="0"/>
        <v>0.05</v>
      </c>
      <c r="H23" s="21">
        <f t="shared" si="0"/>
        <v>0.05</v>
      </c>
      <c r="I23" s="21">
        <f t="shared" si="1"/>
        <v>0.5</v>
      </c>
      <c r="J23" s="21">
        <f t="shared" si="1"/>
        <v>0.5</v>
      </c>
    </row>
    <row r="24" spans="1:10" s="10" customFormat="1" ht="12" customHeight="1" x14ac:dyDescent="0.25">
      <c r="A24" s="184"/>
      <c r="B24" s="93" t="s">
        <v>100</v>
      </c>
      <c r="C24" s="100"/>
      <c r="D24" s="100">
        <v>0.185</v>
      </c>
      <c r="E24" s="95"/>
      <c r="F24" s="95">
        <f>SUM(F19:F23)</f>
        <v>43.17</v>
      </c>
      <c r="G24" s="99"/>
      <c r="H24" s="100">
        <f>D24*10</f>
        <v>1.85</v>
      </c>
      <c r="I24" s="100"/>
      <c r="J24" s="100">
        <f>D24*100</f>
        <v>18.5</v>
      </c>
    </row>
    <row r="25" spans="1:10" s="10" customFormat="1" ht="12" customHeight="1" x14ac:dyDescent="0.25">
      <c r="A25" s="122"/>
      <c r="B25" s="123" t="s">
        <v>127</v>
      </c>
      <c r="C25" s="126"/>
      <c r="D25" s="129">
        <v>40</v>
      </c>
      <c r="E25" s="127"/>
      <c r="F25" s="127"/>
      <c r="G25" s="128"/>
      <c r="H25" s="126"/>
      <c r="I25" s="126"/>
      <c r="J25" s="126"/>
    </row>
    <row r="26" spans="1:10" s="10" customFormat="1" ht="27.6" customHeight="1" x14ac:dyDescent="0.25">
      <c r="A26" s="1536" t="s">
        <v>35</v>
      </c>
      <c r="B26" s="1536"/>
      <c r="C26" s="90"/>
      <c r="D26" s="90"/>
      <c r="E26" s="13"/>
      <c r="F26" s="13">
        <f>F24</f>
        <v>43.17</v>
      </c>
      <c r="G26" s="227"/>
      <c r="H26" s="227"/>
      <c r="I26" s="21"/>
      <c r="J26" s="13"/>
    </row>
    <row r="27" spans="1:10" s="10" customFormat="1" ht="25.35" customHeight="1" x14ac:dyDescent="0.25">
      <c r="A27" s="1536" t="s">
        <v>36</v>
      </c>
      <c r="B27" s="1536"/>
      <c r="C27" s="90">
        <v>185</v>
      </c>
      <c r="D27" s="90"/>
      <c r="E27" s="13"/>
      <c r="F27" s="13"/>
      <c r="G27" s="13"/>
      <c r="H27" s="13"/>
      <c r="I27" s="21"/>
      <c r="J27" s="17"/>
    </row>
    <row r="28" spans="1:10" s="10" customFormat="1" ht="25.35" customHeight="1" x14ac:dyDescent="0.25">
      <c r="A28" s="1537" t="s">
        <v>37</v>
      </c>
      <c r="B28" s="1538"/>
      <c r="C28" s="91">
        <v>185</v>
      </c>
      <c r="D28" s="92"/>
      <c r="E28" s="228"/>
      <c r="F28" s="228"/>
      <c r="G28" s="228"/>
      <c r="H28" s="228"/>
      <c r="I28" s="21"/>
      <c r="J28" s="17"/>
    </row>
    <row r="29" spans="1:10" s="10" customFormat="1" ht="15" customHeight="1" x14ac:dyDescent="0.25">
      <c r="A29" s="1539" t="s">
        <v>38</v>
      </c>
      <c r="B29" s="1540"/>
      <c r="C29" s="92">
        <f>C27/C28</f>
        <v>1</v>
      </c>
      <c r="D29" s="92"/>
      <c r="E29" s="228"/>
      <c r="F29" s="228"/>
      <c r="G29" s="228"/>
      <c r="H29" s="228"/>
      <c r="I29" s="21"/>
      <c r="J29" s="17"/>
    </row>
    <row r="30" spans="1:10" ht="16.350000000000001" customHeight="1" x14ac:dyDescent="0.25">
      <c r="A30" s="1541" t="s">
        <v>39</v>
      </c>
      <c r="B30" s="1542"/>
      <c r="C30" s="15" t="s">
        <v>40</v>
      </c>
      <c r="D30" s="102"/>
      <c r="E30" s="102" t="s">
        <v>40</v>
      </c>
      <c r="F30" s="16">
        <f>F26/C29</f>
        <v>43.17</v>
      </c>
      <c r="G30" s="16"/>
      <c r="H30" s="16"/>
      <c r="I30" s="102" t="s">
        <v>40</v>
      </c>
      <c r="J30" s="102" t="s">
        <v>40</v>
      </c>
    </row>
    <row r="31" spans="1:10" ht="23.1" customHeight="1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ht="13.95" customHeight="1" x14ac:dyDescent="0.25">
      <c r="A32" s="1193"/>
      <c r="B32" s="1194" t="s">
        <v>49</v>
      </c>
      <c r="C32" s="1198"/>
      <c r="D32" s="1198"/>
      <c r="E32" s="1198"/>
      <c r="F32" s="1198"/>
      <c r="G32" s="1193"/>
      <c r="H32" s="1557">
        <f>'1-бутерброд с маслом'!$H$28</f>
        <v>0</v>
      </c>
      <c r="I32" s="1557"/>
      <c r="J32" s="1557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545" t="s">
        <v>327</v>
      </c>
      <c r="B34" s="1545"/>
      <c r="C34" s="1546" t="s">
        <v>328</v>
      </c>
      <c r="D34" s="1546"/>
      <c r="E34" s="1546"/>
      <c r="F34" s="1546"/>
      <c r="G34" s="106"/>
      <c r="H34" s="1531"/>
      <c r="I34" s="1531"/>
      <c r="J34" s="1531"/>
    </row>
    <row r="35" spans="1:10" x14ac:dyDescent="0.25">
      <c r="A35" s="1193"/>
      <c r="B35" s="1193"/>
      <c r="C35" s="1546"/>
      <c r="D35" s="1546"/>
      <c r="E35" s="1546"/>
      <c r="F35" s="1546"/>
      <c r="G35" s="1193"/>
      <c r="H35" s="1531" t="s">
        <v>329</v>
      </c>
      <c r="I35" s="1531"/>
      <c r="J35" s="1531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</sheetData>
  <mergeCells count="28">
    <mergeCell ref="H32:J32"/>
    <mergeCell ref="A13:G13"/>
    <mergeCell ref="A27:B27"/>
    <mergeCell ref="A28:B28"/>
    <mergeCell ref="A29:B29"/>
    <mergeCell ref="A30:B30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4:B34"/>
    <mergeCell ref="C34:F35"/>
    <mergeCell ref="H34:J34"/>
    <mergeCell ref="H35:J35"/>
    <mergeCell ref="H5:I5"/>
    <mergeCell ref="A6:G6"/>
    <mergeCell ref="A7:I7"/>
    <mergeCell ref="A26:B26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40"/>
  <sheetViews>
    <sheetView view="pageBreakPreview" zoomScaleNormal="100" zoomScaleSheetLayoutView="100" workbookViewId="0">
      <selection activeCell="A7" sqref="A7:I7"/>
    </sheetView>
  </sheetViews>
  <sheetFormatPr defaultRowHeight="13.8" x14ac:dyDescent="0.25"/>
  <cols>
    <col min="1" max="1" width="4.109375" customWidth="1"/>
    <col min="2" max="2" width="24.44140625" customWidth="1"/>
    <col min="3" max="7" width="7.5546875" customWidth="1"/>
    <col min="8" max="8" width="8.44140625" customWidth="1"/>
    <col min="9" max="9" width="7.5546875" customWidth="1"/>
    <col min="10" max="10" width="9" customWidth="1"/>
    <col min="11" max="11" width="2.88671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291)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396</v>
      </c>
    </row>
    <row r="8" spans="1:10" s="2" customFormat="1" ht="9.6" customHeight="1" x14ac:dyDescent="0.25">
      <c r="A8" s="229"/>
      <c r="B8" s="229"/>
      <c r="C8" s="229"/>
      <c r="D8" s="229"/>
      <c r="E8" s="229"/>
      <c r="F8" s="229"/>
      <c r="G8" s="229"/>
      <c r="H8" s="229"/>
      <c r="I8" s="229"/>
      <c r="J8" s="109"/>
    </row>
    <row r="9" spans="1:10" s="2" customFormat="1" ht="26.1" customHeight="1" x14ac:dyDescent="0.3">
      <c r="A9" s="1550" t="s">
        <v>670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'394 Вареники с творожным фаршем'!H14+1</f>
        <v>291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26" t="s">
        <v>92</v>
      </c>
      <c r="D17" s="226" t="s">
        <v>94</v>
      </c>
      <c r="E17" s="226" t="s">
        <v>93</v>
      </c>
      <c r="F17" s="226" t="s">
        <v>23</v>
      </c>
      <c r="G17" s="226" t="s">
        <v>92</v>
      </c>
      <c r="H17" s="226" t="s">
        <v>94</v>
      </c>
      <c r="I17" s="226" t="s">
        <v>92</v>
      </c>
      <c r="J17" s="226" t="s">
        <v>94</v>
      </c>
    </row>
    <row r="18" spans="1:10" ht="9.6" customHeight="1" x14ac:dyDescent="0.25">
      <c r="A18" s="226">
        <v>1</v>
      </c>
      <c r="B18" s="228">
        <v>2</v>
      </c>
      <c r="C18" s="226">
        <v>3</v>
      </c>
      <c r="D18" s="228">
        <v>4</v>
      </c>
      <c r="E18" s="226">
        <v>5</v>
      </c>
      <c r="F18" s="228">
        <v>6</v>
      </c>
      <c r="G18" s="226">
        <v>7</v>
      </c>
      <c r="H18" s="228">
        <v>8</v>
      </c>
      <c r="I18" s="226">
        <v>9</v>
      </c>
      <c r="J18" s="228">
        <v>10</v>
      </c>
    </row>
    <row r="19" spans="1:10" s="10" customFormat="1" ht="12" customHeight="1" x14ac:dyDescent="0.25">
      <c r="A19" s="180">
        <v>1</v>
      </c>
      <c r="B19" s="20" t="s">
        <v>45</v>
      </c>
      <c r="C19" s="111">
        <v>7.4999999999999997E-2</v>
      </c>
      <c r="D19" s="111">
        <v>7.4999999999999997E-2</v>
      </c>
      <c r="E19" s="13">
        <f>цены!F74</f>
        <v>36</v>
      </c>
      <c r="F19" s="13">
        <f>C19*E19</f>
        <v>2.7</v>
      </c>
      <c r="G19" s="97">
        <f t="shared" ref="G19:H25" si="0">C19*10</f>
        <v>0.75</v>
      </c>
      <c r="H19" s="21">
        <f t="shared" si="0"/>
        <v>0.75</v>
      </c>
      <c r="I19" s="21">
        <f t="shared" ref="I19:J25" si="1">C19*100</f>
        <v>7.5</v>
      </c>
      <c r="J19" s="21">
        <f t="shared" si="1"/>
        <v>7.5</v>
      </c>
    </row>
    <row r="20" spans="1:10" s="10" customFormat="1" ht="12" customHeight="1" x14ac:dyDescent="0.25">
      <c r="A20" s="180">
        <v>2</v>
      </c>
      <c r="B20" s="20" t="s">
        <v>30</v>
      </c>
      <c r="C20" s="111">
        <v>3.0000000000000001E-3</v>
      </c>
      <c r="D20" s="111">
        <v>3.0000000000000001E-3</v>
      </c>
      <c r="E20" s="13">
        <f>цены!F107</f>
        <v>76</v>
      </c>
      <c r="F20" s="13">
        <f t="shared" ref="F20:F25" si="2">C20*E20</f>
        <v>0.23</v>
      </c>
      <c r="G20" s="97">
        <f t="shared" si="0"/>
        <v>0.03</v>
      </c>
      <c r="H20" s="21">
        <f t="shared" si="0"/>
        <v>0.03</v>
      </c>
      <c r="I20" s="21">
        <f t="shared" si="1"/>
        <v>0.3</v>
      </c>
      <c r="J20" s="21">
        <f t="shared" si="1"/>
        <v>0.3</v>
      </c>
    </row>
    <row r="21" spans="1:10" s="10" customFormat="1" ht="12" customHeight="1" x14ac:dyDescent="0.25">
      <c r="A21" s="180">
        <v>3</v>
      </c>
      <c r="B21" s="20" t="s">
        <v>34</v>
      </c>
      <c r="C21" s="111">
        <v>0.11799999999999999</v>
      </c>
      <c r="D21" s="111">
        <v>0.11799999999999999</v>
      </c>
      <c r="E21" s="13">
        <f>цены!F20</f>
        <v>80</v>
      </c>
      <c r="F21" s="13">
        <f t="shared" si="2"/>
        <v>9.44</v>
      </c>
      <c r="G21" s="97">
        <f t="shared" si="0"/>
        <v>1.18</v>
      </c>
      <c r="H21" s="21">
        <f t="shared" si="0"/>
        <v>1.18</v>
      </c>
      <c r="I21" s="21">
        <f t="shared" si="1"/>
        <v>11.8</v>
      </c>
      <c r="J21" s="21">
        <f t="shared" si="1"/>
        <v>11.8</v>
      </c>
    </row>
    <row r="22" spans="1:10" s="10" customFormat="1" ht="12" customHeight="1" x14ac:dyDescent="0.25">
      <c r="A22" s="180">
        <v>4</v>
      </c>
      <c r="B22" s="20" t="s">
        <v>435</v>
      </c>
      <c r="C22" s="111">
        <v>3.0000000000000001E-3</v>
      </c>
      <c r="D22" s="111">
        <v>3.0000000000000001E-3</v>
      </c>
      <c r="E22" s="13">
        <f>цены!F93</f>
        <v>455</v>
      </c>
      <c r="F22" s="13">
        <f t="shared" si="2"/>
        <v>1.37</v>
      </c>
      <c r="G22" s="97">
        <f t="shared" si="0"/>
        <v>0.03</v>
      </c>
      <c r="H22" s="21">
        <f t="shared" si="0"/>
        <v>0.03</v>
      </c>
      <c r="I22" s="21">
        <f t="shared" si="1"/>
        <v>0.3</v>
      </c>
      <c r="J22" s="21">
        <f t="shared" si="1"/>
        <v>0.3</v>
      </c>
    </row>
    <row r="23" spans="1:10" s="10" customFormat="1" ht="12" customHeight="1" x14ac:dyDescent="0.25">
      <c r="A23" s="180">
        <v>5</v>
      </c>
      <c r="B23" s="20" t="s">
        <v>33</v>
      </c>
      <c r="C23" s="113">
        <v>1.5E-3</v>
      </c>
      <c r="D23" s="113">
        <v>1.5E-3</v>
      </c>
      <c r="E23" s="13">
        <f>цены!F110</f>
        <v>24</v>
      </c>
      <c r="F23" s="13">
        <f t="shared" si="2"/>
        <v>0.04</v>
      </c>
      <c r="G23" s="97">
        <f t="shared" si="0"/>
        <v>1.4999999999999999E-2</v>
      </c>
      <c r="H23" s="21">
        <f t="shared" si="0"/>
        <v>1.4999999999999999E-2</v>
      </c>
      <c r="I23" s="21">
        <f t="shared" si="1"/>
        <v>0.15</v>
      </c>
      <c r="J23" s="21">
        <f t="shared" si="1"/>
        <v>0.15</v>
      </c>
    </row>
    <row r="24" spans="1:10" s="10" customFormat="1" ht="12" customHeight="1" x14ac:dyDescent="0.25">
      <c r="A24" s="180"/>
      <c r="B24" s="93" t="s">
        <v>436</v>
      </c>
      <c r="C24" s="238"/>
      <c r="D24" s="238">
        <v>0.19500000000000001</v>
      </c>
      <c r="E24" s="192"/>
      <c r="F24" s="192"/>
      <c r="G24" s="231"/>
      <c r="H24" s="232">
        <f t="shared" si="0"/>
        <v>1.95</v>
      </c>
      <c r="I24" s="232"/>
      <c r="J24" s="232">
        <f t="shared" si="1"/>
        <v>19.5</v>
      </c>
    </row>
    <row r="25" spans="1:10" s="10" customFormat="1" ht="12" customHeight="1" x14ac:dyDescent="0.25">
      <c r="A25" s="180">
        <v>6</v>
      </c>
      <c r="B25" s="20" t="s">
        <v>74</v>
      </c>
      <c r="C25" s="111">
        <v>5.0000000000000001E-3</v>
      </c>
      <c r="D25" s="111">
        <v>5.0000000000000001E-3</v>
      </c>
      <c r="E25" s="13">
        <f>цены!F87</f>
        <v>120</v>
      </c>
      <c r="F25" s="13">
        <f t="shared" si="2"/>
        <v>0.6</v>
      </c>
      <c r="G25" s="97">
        <f t="shared" si="0"/>
        <v>0.05</v>
      </c>
      <c r="H25" s="21">
        <f t="shared" si="0"/>
        <v>0.05</v>
      </c>
      <c r="I25" s="21">
        <f t="shared" si="1"/>
        <v>0.5</v>
      </c>
      <c r="J25" s="21">
        <f t="shared" si="1"/>
        <v>0.5</v>
      </c>
    </row>
    <row r="26" spans="1:10" s="10" customFormat="1" ht="12" customHeight="1" x14ac:dyDescent="0.25">
      <c r="A26" s="184"/>
      <c r="B26" s="93" t="s">
        <v>437</v>
      </c>
      <c r="C26" s="112"/>
      <c r="D26" s="112">
        <v>0.15</v>
      </c>
      <c r="E26" s="95"/>
      <c r="F26" s="95">
        <f>F19+F20+F21+F22+F23+F25</f>
        <v>14.38</v>
      </c>
      <c r="G26" s="99"/>
      <c r="H26" s="100"/>
      <c r="I26" s="100"/>
      <c r="J26" s="100"/>
    </row>
    <row r="27" spans="1:10" s="10" customFormat="1" ht="12" customHeight="1" x14ac:dyDescent="0.25">
      <c r="A27" s="237">
        <v>7</v>
      </c>
      <c r="B27" s="204" t="s">
        <v>31</v>
      </c>
      <c r="C27" s="205">
        <v>0.01</v>
      </c>
      <c r="D27" s="205">
        <v>0.01</v>
      </c>
      <c r="E27" s="206">
        <f>цены!F21</f>
        <v>710</v>
      </c>
      <c r="F27" s="206">
        <f>C27*E27</f>
        <v>7.1</v>
      </c>
      <c r="G27" s="207">
        <f>C27*10</f>
        <v>0.1</v>
      </c>
      <c r="H27" s="208">
        <f>D27*10</f>
        <v>0.1</v>
      </c>
      <c r="I27" s="208">
        <f>C27*100</f>
        <v>1</v>
      </c>
      <c r="J27" s="208">
        <f>D27*100</f>
        <v>1</v>
      </c>
    </row>
    <row r="28" spans="1:10" s="10" customFormat="1" ht="12" customHeight="1" x14ac:dyDescent="0.25">
      <c r="A28" s="184"/>
      <c r="B28" s="93" t="s">
        <v>438</v>
      </c>
      <c r="C28" s="191"/>
      <c r="D28" s="191">
        <v>0.16</v>
      </c>
      <c r="E28" s="192"/>
      <c r="F28" s="192">
        <f>F26+F27</f>
        <v>21.48</v>
      </c>
      <c r="G28" s="231"/>
      <c r="H28" s="232"/>
      <c r="I28" s="232"/>
      <c r="J28" s="232"/>
    </row>
    <row r="29" spans="1:10" s="10" customFormat="1" ht="26.4" customHeight="1" x14ac:dyDescent="0.25">
      <c r="A29" s="1536" t="s">
        <v>35</v>
      </c>
      <c r="B29" s="1536"/>
      <c r="C29" s="90"/>
      <c r="D29" s="90"/>
      <c r="E29" s="13"/>
      <c r="F29" s="13">
        <f>F28</f>
        <v>21.48</v>
      </c>
      <c r="G29" s="227"/>
      <c r="H29" s="227"/>
      <c r="I29" s="21"/>
      <c r="J29" s="13"/>
    </row>
    <row r="30" spans="1:10" s="10" customFormat="1" ht="22.35" customHeight="1" x14ac:dyDescent="0.25">
      <c r="A30" s="1536" t="s">
        <v>36</v>
      </c>
      <c r="B30" s="1536"/>
      <c r="C30" s="90">
        <v>160</v>
      </c>
      <c r="D30" s="90"/>
      <c r="E30" s="13"/>
      <c r="F30" s="13"/>
      <c r="G30" s="13"/>
      <c r="H30" s="13"/>
      <c r="I30" s="21"/>
      <c r="J30" s="17"/>
    </row>
    <row r="31" spans="1:10" s="10" customFormat="1" ht="25.35" customHeight="1" x14ac:dyDescent="0.25">
      <c r="A31" s="1539" t="s">
        <v>37</v>
      </c>
      <c r="B31" s="1562"/>
      <c r="C31" s="91">
        <v>160</v>
      </c>
      <c r="D31" s="92"/>
      <c r="E31" s="228"/>
      <c r="F31" s="228"/>
      <c r="G31" s="228"/>
      <c r="H31" s="228"/>
      <c r="I31" s="21"/>
      <c r="J31" s="17"/>
    </row>
    <row r="32" spans="1:10" s="10" customFormat="1" ht="15" customHeight="1" x14ac:dyDescent="0.25">
      <c r="A32" s="1539" t="s">
        <v>38</v>
      </c>
      <c r="B32" s="1540"/>
      <c r="C32" s="92">
        <f>C30/C31</f>
        <v>1</v>
      </c>
      <c r="D32" s="92"/>
      <c r="E32" s="228"/>
      <c r="F32" s="228"/>
      <c r="G32" s="228"/>
      <c r="H32" s="228"/>
      <c r="I32" s="21"/>
      <c r="J32" s="17"/>
    </row>
    <row r="33" spans="1:10" ht="16.350000000000001" customHeight="1" x14ac:dyDescent="0.25">
      <c r="A33" s="1541" t="s">
        <v>39</v>
      </c>
      <c r="B33" s="1542"/>
      <c r="C33" s="15" t="s">
        <v>40</v>
      </c>
      <c r="D33" s="102"/>
      <c r="E33" s="102" t="s">
        <v>40</v>
      </c>
      <c r="F33" s="16">
        <f>F29/C32</f>
        <v>21.48</v>
      </c>
      <c r="G33" s="16"/>
      <c r="H33" s="16"/>
      <c r="I33" s="102" t="s">
        <v>40</v>
      </c>
      <c r="J33" s="102" t="s">
        <v>40</v>
      </c>
    </row>
    <row r="34" spans="1:10" ht="23.1" customHeight="1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193"/>
      <c r="B35" s="1194" t="s">
        <v>49</v>
      </c>
      <c r="C35" s="1198"/>
      <c r="D35" s="1198"/>
      <c r="E35" s="1198"/>
      <c r="F35" s="1198"/>
      <c r="G35" s="1193"/>
      <c r="H35" s="1557">
        <f>'1-бутерброд с маслом'!$H$28</f>
        <v>0</v>
      </c>
      <c r="I35" s="1557"/>
      <c r="J35" s="1557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545" t="s">
        <v>327</v>
      </c>
      <c r="B37" s="1545"/>
      <c r="C37" s="1546" t="s">
        <v>328</v>
      </c>
      <c r="D37" s="1546"/>
      <c r="E37" s="1546"/>
      <c r="F37" s="1546"/>
      <c r="G37" s="106"/>
      <c r="H37" s="1531"/>
      <c r="I37" s="1531"/>
      <c r="J37" s="1531"/>
    </row>
    <row r="38" spans="1:10" x14ac:dyDescent="0.25">
      <c r="A38" s="1193"/>
      <c r="B38" s="1193"/>
      <c r="C38" s="1546"/>
      <c r="D38" s="1546"/>
      <c r="E38" s="1546"/>
      <c r="F38" s="1546"/>
      <c r="G38" s="1193"/>
      <c r="H38" s="1531" t="s">
        <v>329</v>
      </c>
      <c r="I38" s="1531"/>
      <c r="J38" s="1531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</sheetData>
  <mergeCells count="28">
    <mergeCell ref="H35:J35"/>
    <mergeCell ref="A13:G13"/>
    <mergeCell ref="A30:B30"/>
    <mergeCell ref="A31:B31"/>
    <mergeCell ref="A32:B32"/>
    <mergeCell ref="A33:B33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7:B37"/>
    <mergeCell ref="C37:F38"/>
    <mergeCell ref="H37:J37"/>
    <mergeCell ref="H38:J38"/>
    <mergeCell ref="H5:I5"/>
    <mergeCell ref="A6:G6"/>
    <mergeCell ref="A7:I7"/>
    <mergeCell ref="A29:B29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J746"/>
  <sheetViews>
    <sheetView zoomScale="110" zoomScaleNormal="110" workbookViewId="0">
      <pane xSplit="8" ySplit="4" topLeftCell="I330" activePane="bottomRight" state="frozen"/>
      <selection pane="topRight" activeCell="I1" sqref="I1"/>
      <selection pane="bottomLeft" activeCell="A5" sqref="A5"/>
      <selection pane="bottomRight" activeCell="F742" sqref="F742"/>
    </sheetView>
  </sheetViews>
  <sheetFormatPr defaultRowHeight="13.8" x14ac:dyDescent="0.25"/>
  <cols>
    <col min="1" max="1" width="4.44140625" customWidth="1"/>
    <col min="2" max="2" width="55" customWidth="1"/>
    <col min="3" max="3" width="8.33203125" style="633" customWidth="1"/>
    <col min="4" max="4" width="10.109375" style="588" customWidth="1"/>
    <col min="5" max="5" width="9.33203125" style="588" customWidth="1"/>
    <col min="6" max="6" width="10.6640625" style="588" customWidth="1"/>
    <col min="7" max="7" width="9.88671875" customWidth="1"/>
    <col min="8" max="8" width="9.5546875" style="633" customWidth="1"/>
    <col min="9" max="9" width="8.109375" style="1235" customWidth="1"/>
    <col min="10" max="11" width="10.6640625" customWidth="1"/>
    <col min="12" max="12" width="10.6640625" style="407" customWidth="1"/>
    <col min="13" max="13" width="10.6640625" style="506" customWidth="1"/>
    <col min="14" max="16" width="10.6640625" customWidth="1"/>
    <col min="17" max="17" width="12.109375" customWidth="1"/>
    <col min="18" max="19" width="10.6640625" style="522" customWidth="1"/>
    <col min="20" max="26" width="10.6640625" customWidth="1"/>
    <col min="27" max="28" width="10.6640625" style="407" customWidth="1"/>
    <col min="29" max="29" width="10.6640625" style="628" customWidth="1"/>
    <col min="30" max="30" width="10.6640625" style="407" customWidth="1"/>
    <col min="31" max="32" width="10.6640625" customWidth="1"/>
    <col min="33" max="33" width="10.6640625" style="544" customWidth="1"/>
    <col min="34" max="43" width="10.6640625" customWidth="1"/>
    <col min="44" max="44" width="10.6640625" style="544" customWidth="1"/>
    <col min="45" max="50" width="10.6640625" customWidth="1"/>
    <col min="51" max="51" width="10.6640625" style="544" customWidth="1"/>
    <col min="52" max="57" width="10.6640625" customWidth="1"/>
    <col min="58" max="60" width="10.6640625" style="699" customWidth="1"/>
    <col min="61" max="74" width="10.6640625" customWidth="1"/>
    <col min="75" max="76" width="10.6640625" style="407" customWidth="1"/>
    <col min="77" max="78" width="10.6640625" style="589" customWidth="1"/>
    <col min="79" max="80" width="10.6640625" customWidth="1"/>
    <col min="81" max="81" width="10.6640625" style="699" customWidth="1"/>
    <col min="82" max="82" width="10.6640625" style="544" customWidth="1"/>
    <col min="83" max="87" width="10.6640625" customWidth="1"/>
    <col min="88" max="88" width="10.6640625" style="407" customWidth="1"/>
    <col min="89" max="102" width="10.6640625" customWidth="1"/>
    <col min="103" max="103" width="10.6640625" style="564" customWidth="1"/>
    <col min="104" max="113" width="10.6640625" customWidth="1"/>
    <col min="114" max="115" width="10.6640625" style="544" customWidth="1"/>
    <col min="116" max="117" width="10.6640625" customWidth="1"/>
    <col min="118" max="118" width="10.6640625" style="589" customWidth="1"/>
    <col min="119" max="121" width="10.6640625" style="544" customWidth="1"/>
    <col min="122" max="130" width="10.6640625" customWidth="1"/>
    <col min="131" max="133" width="10.6640625" style="407" customWidth="1"/>
    <col min="134" max="137" width="10.6640625" style="544" customWidth="1"/>
    <col min="138" max="138" width="10.6640625" style="407" customWidth="1"/>
    <col min="139" max="139" width="10.6640625" style="544" customWidth="1"/>
    <col min="140" max="141" width="10.6640625" style="407" customWidth="1"/>
    <col min="142" max="143" width="10.6640625" style="462" customWidth="1"/>
    <col min="144" max="148" width="10.6640625" style="544" customWidth="1"/>
    <col min="149" max="149" width="10.6640625" style="462" customWidth="1"/>
    <col min="150" max="151" width="10.6640625" style="699" customWidth="1"/>
    <col min="152" max="154" width="10.6640625" customWidth="1"/>
    <col min="155" max="155" width="13.5546875" customWidth="1"/>
    <col min="156" max="166" width="8.6640625" style="616" customWidth="1"/>
  </cols>
  <sheetData>
    <row r="1" spans="1:166" x14ac:dyDescent="0.25">
      <c r="A1" s="1430" t="s">
        <v>709</v>
      </c>
      <c r="B1" s="1430"/>
      <c r="C1" s="1430"/>
      <c r="D1" s="1430"/>
      <c r="E1" s="1430"/>
      <c r="F1" s="1430"/>
      <c r="G1" s="1430"/>
      <c r="H1" s="1231"/>
      <c r="I1" s="1232"/>
    </row>
    <row r="2" spans="1:166" ht="13.95" customHeight="1" x14ac:dyDescent="0.25">
      <c r="A2" s="1438" t="s">
        <v>572</v>
      </c>
      <c r="B2" s="213" t="e">
        <f>#REF!</f>
        <v>#REF!</v>
      </c>
      <c r="C2" s="1436" t="s">
        <v>107</v>
      </c>
      <c r="D2" s="1431" t="s">
        <v>961</v>
      </c>
      <c r="E2" s="1432"/>
      <c r="F2" s="1433"/>
      <c r="G2" s="1434" t="s">
        <v>590</v>
      </c>
      <c r="H2" s="1436" t="s">
        <v>136</v>
      </c>
      <c r="I2" s="1440" t="s">
        <v>108</v>
      </c>
      <c r="J2" s="1425" t="s">
        <v>425</v>
      </c>
      <c r="K2" s="1426"/>
      <c r="L2" s="1426"/>
      <c r="M2" s="1426"/>
      <c r="N2" s="1426"/>
      <c r="O2" s="1426"/>
      <c r="P2" s="1426"/>
      <c r="Q2" s="1426"/>
      <c r="R2" s="1426"/>
      <c r="S2" s="1426"/>
      <c r="T2" s="1427"/>
      <c r="U2" s="1449" t="s">
        <v>424</v>
      </c>
      <c r="V2" s="1450"/>
      <c r="W2" s="1450"/>
      <c r="X2" s="1450"/>
      <c r="Y2" s="1450"/>
      <c r="Z2" s="1451"/>
      <c r="AA2" s="480"/>
      <c r="AB2" s="480"/>
      <c r="AC2" s="627"/>
      <c r="AD2" s="480"/>
      <c r="AE2" s="480"/>
      <c r="AF2" s="1452" t="s">
        <v>274</v>
      </c>
      <c r="AG2" s="1453"/>
      <c r="AH2" s="1453"/>
      <c r="AI2" s="1453"/>
      <c r="AJ2" s="1453"/>
      <c r="AK2" s="1453"/>
      <c r="AL2" s="1453"/>
      <c r="AM2" s="1453"/>
      <c r="AN2" s="1453"/>
      <c r="AO2" s="1453"/>
      <c r="AP2" s="1453"/>
      <c r="AQ2" s="1453"/>
      <c r="AR2" s="1453"/>
      <c r="AS2" s="1453"/>
      <c r="AT2" s="1453"/>
      <c r="AU2" s="1453"/>
      <c r="AV2" s="1453"/>
      <c r="AW2" s="1453"/>
      <c r="AX2" s="1453"/>
      <c r="AY2" s="1453"/>
      <c r="AZ2" s="1453"/>
      <c r="BA2" s="1453"/>
      <c r="BB2" s="1453"/>
      <c r="BC2" s="1453"/>
      <c r="BD2" s="1453"/>
      <c r="BE2" s="1453"/>
      <c r="BF2" s="1453"/>
      <c r="BG2" s="1453"/>
      <c r="BH2" s="1453"/>
      <c r="BI2" s="1453"/>
      <c r="BJ2" s="1453"/>
      <c r="BK2" s="1453"/>
      <c r="BL2" s="1453"/>
      <c r="BM2" s="1453"/>
      <c r="BN2" s="1453"/>
      <c r="BO2" s="1453"/>
      <c r="BP2" s="1453"/>
      <c r="BQ2" s="1453"/>
      <c r="BR2" s="1454"/>
      <c r="BS2" s="1428" t="s">
        <v>276</v>
      </c>
      <c r="BT2" s="1429"/>
      <c r="BU2" s="1429"/>
      <c r="BV2" s="1429"/>
      <c r="BW2" s="1429"/>
      <c r="BX2" s="1429"/>
      <c r="BY2" s="1429"/>
      <c r="BZ2" s="1429"/>
      <c r="CA2" s="1429"/>
      <c r="CB2" s="1429"/>
      <c r="CC2" s="1429"/>
      <c r="CD2" s="1429"/>
      <c r="CE2" s="1429"/>
      <c r="CF2" s="1429"/>
      <c r="CG2" s="1429"/>
      <c r="CH2" s="1429"/>
      <c r="CI2" s="1429"/>
      <c r="CJ2" s="1429"/>
      <c r="CK2" s="1429"/>
      <c r="CL2" s="1429"/>
      <c r="CM2" s="1429"/>
      <c r="CN2" s="1429"/>
      <c r="CO2" s="1429"/>
      <c r="CP2" s="1429"/>
      <c r="CQ2" s="1429"/>
      <c r="CR2" s="1429"/>
      <c r="CS2" s="1429"/>
      <c r="CT2" s="1429"/>
      <c r="CU2" s="1429"/>
      <c r="CV2" s="1429"/>
      <c r="CW2" s="1429"/>
      <c r="CX2" s="1429"/>
      <c r="CY2" s="1429"/>
      <c r="CZ2" s="1429"/>
      <c r="DA2" s="1429"/>
      <c r="DB2" s="1429"/>
      <c r="DC2" s="1429"/>
      <c r="DD2" s="1429"/>
      <c r="DE2" s="1429"/>
      <c r="DF2" s="1429"/>
      <c r="DG2" s="1429"/>
      <c r="DH2" s="1429"/>
      <c r="DI2" s="1429"/>
      <c r="DJ2" s="1429"/>
      <c r="DK2" s="1429"/>
      <c r="DL2" s="1429"/>
      <c r="DM2" s="1429"/>
      <c r="DN2" s="1429"/>
      <c r="DO2" s="1429"/>
      <c r="DP2" s="1429"/>
      <c r="DQ2" s="1429"/>
      <c r="DR2" s="1429"/>
      <c r="DS2" s="1429"/>
      <c r="DT2" s="1429"/>
      <c r="DU2" s="1429"/>
      <c r="DV2" s="1429"/>
      <c r="DW2" s="1429"/>
      <c r="DX2" s="1429"/>
      <c r="DY2" s="1429"/>
      <c r="DZ2" s="1429"/>
      <c r="EA2" s="1429"/>
      <c r="EB2" s="1429"/>
      <c r="EC2" s="1429"/>
      <c r="ED2" s="1429"/>
      <c r="EE2" s="1429"/>
      <c r="EF2" s="1429"/>
      <c r="EG2" s="1429"/>
      <c r="EH2" s="1429"/>
      <c r="EI2" s="1429"/>
      <c r="EJ2" s="1429"/>
      <c r="EK2" s="1429"/>
      <c r="EL2" s="481"/>
      <c r="EM2" s="481"/>
      <c r="EN2" s="543"/>
      <c r="EO2" s="543"/>
      <c r="EP2" s="543"/>
      <c r="EQ2" s="543"/>
      <c r="ER2" s="543"/>
      <c r="ES2" s="481"/>
      <c r="ET2" s="731"/>
      <c r="EU2" s="731"/>
      <c r="EV2" s="1447" t="s">
        <v>304</v>
      </c>
      <c r="EW2" s="1447"/>
      <c r="EX2" s="1447"/>
      <c r="EY2" s="1448" t="s">
        <v>202</v>
      </c>
      <c r="EZ2" s="1442" t="s">
        <v>938</v>
      </c>
      <c r="FA2" s="1443"/>
      <c r="FB2" s="1443"/>
      <c r="FC2" s="1443"/>
      <c r="FD2" s="1444" t="s">
        <v>943</v>
      </c>
      <c r="FE2" s="1445"/>
      <c r="FF2" s="1445"/>
      <c r="FG2" s="1445"/>
      <c r="FH2" s="1445"/>
      <c r="FI2" s="1445"/>
      <c r="FJ2" s="1446"/>
    </row>
    <row r="3" spans="1:166" ht="105.6" x14ac:dyDescent="0.25">
      <c r="A3" s="1439"/>
      <c r="B3" s="159" t="s">
        <v>106</v>
      </c>
      <c r="C3" s="1437"/>
      <c r="D3" s="682" t="s">
        <v>587</v>
      </c>
      <c r="E3" s="682" t="s">
        <v>588</v>
      </c>
      <c r="F3" s="682" t="s">
        <v>589</v>
      </c>
      <c r="G3" s="1435"/>
      <c r="H3" s="1437"/>
      <c r="I3" s="1441"/>
      <c r="J3" s="726" t="str">
        <f>цены!$D7</f>
        <v>Говядина (бескостное мясо)</v>
      </c>
      <c r="K3" s="726" t="str">
        <f>цены!$D8</f>
        <v>Мясо птицы  (окорочка, бедра) свежемороженное</v>
      </c>
      <c r="L3" s="726" t="str">
        <f>цены!$D9</f>
        <v>Мясо птицы  (тушка)</v>
      </c>
      <c r="M3" s="726" t="str">
        <f>цены!$D10</f>
        <v>Мясо птицы филе</v>
      </c>
      <c r="N3" s="726" t="str">
        <f>цены!$D11</f>
        <v xml:space="preserve">Сосиски "Халяль" </v>
      </c>
      <c r="O3" s="726" t="str">
        <f>цены!$D12</f>
        <v>Колбаса полукопченная</v>
      </c>
      <c r="P3" s="726" t="str">
        <f>цены!$D13</f>
        <v>Жир сырой крупного рогатого скота</v>
      </c>
      <c r="Q3" s="726" t="str">
        <f>цены!$D14</f>
        <v>Минтай (рыба замороженная, обезглавленная, потрошеная)</v>
      </c>
      <c r="R3" s="726" t="str">
        <f>цены!$D15</f>
        <v>Хек филе</v>
      </c>
      <c r="S3" s="726" t="str">
        <f>цены!$D16</f>
        <v>Минтай филе</v>
      </c>
      <c r="T3" s="726" t="str">
        <f>цены!$D17</f>
        <v>Сельдь слабосоленая</v>
      </c>
      <c r="U3" s="729" t="str">
        <f>цены!$D20</f>
        <v>Молоко пастеризованное 2,5% жирн.</v>
      </c>
      <c r="V3" s="729" t="str">
        <f>цены!$D21</f>
        <v xml:space="preserve">Масло сливочное фасованное 72,5% жир. </v>
      </c>
      <c r="W3" s="729" t="str">
        <f>цены!$D22</f>
        <v>Сыр российский 45% жирн.</v>
      </c>
      <c r="X3" s="729" t="str">
        <f>цены!$D23</f>
        <v xml:space="preserve">Творог с массовой долей жира от 9,0% </v>
      </c>
      <c r="Y3" s="729" t="str">
        <f>цены!$D24</f>
        <v>Сметана 20% жирности</v>
      </c>
      <c r="Z3" s="729" t="str">
        <f>цены!$D25</f>
        <v>Молоко цельное сгущенное с сахаром 8,5% жир.</v>
      </c>
      <c r="AA3" s="729" t="str">
        <f>цены!$D26</f>
        <v>Кефир 2,5 % жирности</v>
      </c>
      <c r="AB3" s="729" t="str">
        <f>цены!$D27</f>
        <v>Йогурт питьевой 1,5% жирности</v>
      </c>
      <c r="AC3" s="729" t="str">
        <f>цены!$D28</f>
        <v xml:space="preserve">Йогурт  порционный </v>
      </c>
      <c r="AD3" s="726" t="str">
        <f>цены!$D29</f>
        <v>Мед натуральный пчелиный</v>
      </c>
      <c r="AE3" s="726" t="str">
        <f>цены!$D30</f>
        <v xml:space="preserve">Яйца куриные   8,39                               </v>
      </c>
      <c r="AF3" s="729" t="str">
        <f>цены!$D33</f>
        <v>Капуста свежая</v>
      </c>
      <c r="AG3" s="729" t="str">
        <f>цены!$D34</f>
        <v>Капуста свежая молодая</v>
      </c>
      <c r="AH3" s="729" t="str">
        <f>цены!$D35</f>
        <v>Картофель</v>
      </c>
      <c r="AI3" s="729" t="str">
        <f>цены!$D36</f>
        <v>Картофель молодой</v>
      </c>
      <c r="AJ3" s="729" t="str">
        <f>цены!$D37</f>
        <v xml:space="preserve">Лимон </v>
      </c>
      <c r="AK3" s="729" t="str">
        <f>цены!$D38</f>
        <v>Лук репчатый</v>
      </c>
      <c r="AL3" s="729" t="str">
        <f>цены!$D39</f>
        <v>Лук зеленый</v>
      </c>
      <c r="AM3" s="729" t="str">
        <f>цены!$D40</f>
        <v>Чеснок</v>
      </c>
      <c r="AN3" s="729" t="str">
        <f>цены!$D41</f>
        <v>Помидоры</v>
      </c>
      <c r="AO3" s="729" t="str">
        <f>цены!$D42</f>
        <v>Огурцы</v>
      </c>
      <c r="AP3" s="729" t="str">
        <f>цены!$D43</f>
        <v>Салат зеленый</v>
      </c>
      <c r="AQ3" s="729" t="str">
        <f>цены!$D44</f>
        <v>Морковь столовая</v>
      </c>
      <c r="AR3" s="729" t="str">
        <f>цены!$D45</f>
        <v>Морковь столовая молодая</v>
      </c>
      <c r="AS3" s="729" t="str">
        <f>цены!$D46</f>
        <v>Перец сладкий</v>
      </c>
      <c r="AT3" s="729" t="str">
        <f>цены!$D47</f>
        <v>Петрушка корневая</v>
      </c>
      <c r="AU3" s="729" t="str">
        <f>цены!$D48</f>
        <v>Петрушка зеленая</v>
      </c>
      <c r="AV3" s="729" t="str">
        <f>цены!$D49</f>
        <v>Щавель</v>
      </c>
      <c r="AW3" s="729" t="str">
        <f>цены!$D50</f>
        <v>Шпинат</v>
      </c>
      <c r="AX3" s="729" t="str">
        <f>цены!$D51</f>
        <v>Свекла столовая</v>
      </c>
      <c r="AY3" s="729" t="str">
        <f>цены!$D52</f>
        <v>Свекла столовая свежая</v>
      </c>
      <c r="AZ3" s="729" t="str">
        <f>цены!$D53</f>
        <v>Кабачки</v>
      </c>
      <c r="BA3" s="729" t="str">
        <f>цены!$D54</f>
        <v>Репа</v>
      </c>
      <c r="BB3" s="729" t="str">
        <f>цены!$D55</f>
        <v>Сливы</v>
      </c>
      <c r="BC3" s="729" t="str">
        <f>цены!$D56</f>
        <v>Редис красный</v>
      </c>
      <c r="BD3" s="729" t="str">
        <f>цены!$D57</f>
        <v>Черешня</v>
      </c>
      <c r="BE3" s="729" t="str">
        <f>цены!$D58</f>
        <v>Земляника садовая (клубника)</v>
      </c>
      <c r="BF3" s="817" t="str">
        <f>цены!$D59</f>
        <v>Малина</v>
      </c>
      <c r="BG3" s="817" t="str">
        <f>цены!$D60</f>
        <v>Вишня</v>
      </c>
      <c r="BH3" s="817" t="str">
        <f>цены!$D61</f>
        <v>Черная смородина</v>
      </c>
      <c r="BI3" s="729" t="str">
        <f>цены!$D62</f>
        <v>Арбуз</v>
      </c>
      <c r="BJ3" s="729" t="str">
        <f>цены!$D63</f>
        <v>Дыня</v>
      </c>
      <c r="BK3" s="729" t="str">
        <f>цены!$D64</f>
        <v>Апельсин</v>
      </c>
      <c r="BL3" s="729" t="str">
        <f>цены!$D65</f>
        <v>Мандарин (мандора)</v>
      </c>
      <c r="BM3" s="729" t="str">
        <f>цены!$D66</f>
        <v>Бананы</v>
      </c>
      <c r="BN3" s="729" t="str">
        <f>цены!$D67</f>
        <v>Груши</v>
      </c>
      <c r="BO3" s="729" t="str">
        <f>цены!$D68</f>
        <v>Абрикосы</v>
      </c>
      <c r="BP3" s="729" t="str">
        <f>цены!$D69</f>
        <v>Персики</v>
      </c>
      <c r="BQ3" s="729" t="str">
        <f>цены!$D70</f>
        <v xml:space="preserve">Виноград </v>
      </c>
      <c r="BR3" s="729" t="str">
        <f>цены!$D71</f>
        <v xml:space="preserve">Яблоки </v>
      </c>
      <c r="BS3" s="726" t="str">
        <f>цены!$D74</f>
        <v>Мука пшеничная высшего сорта</v>
      </c>
      <c r="BT3" s="726" t="str">
        <f>цены!$D75</f>
        <v>Крупа гречневая - ядрица быстроразваривающаяся</v>
      </c>
      <c r="BU3" s="726" t="str">
        <f>цены!$D76</f>
        <v>Крупа манная</v>
      </c>
      <c r="BV3" s="726" t="str">
        <f>цены!$D77</f>
        <v>Крупа перловая</v>
      </c>
      <c r="BW3" s="726" t="str">
        <f>цены!$D78</f>
        <v>Крупа овсяная</v>
      </c>
      <c r="BX3" s="726" t="str">
        <f>цены!$D79</f>
        <v>Крупа ячневая</v>
      </c>
      <c r="BY3" s="726" t="str">
        <f>цены!$D80</f>
        <v>Крупа пшеничная</v>
      </c>
      <c r="BZ3" s="726" t="str">
        <f>цены!$D81</f>
        <v>Крупа кукурузная</v>
      </c>
      <c r="CA3" s="726" t="str">
        <f>цены!$D82</f>
        <v>Пшено шлифованное высшего сорта</v>
      </c>
      <c r="CB3" s="726" t="str">
        <f>цены!$D83</f>
        <v>Рис шлифованный</v>
      </c>
      <c r="CC3" s="726" t="str">
        <f>цены!$D84</f>
        <v>Хлопья овсяные "Геркулес"</v>
      </c>
      <c r="CD3" s="726" t="str">
        <f>цены!$D85</f>
        <v>Хлопья овсяные "Ясно солнышко"</v>
      </c>
      <c r="CE3" s="726" t="str">
        <f>цены!$D86</f>
        <v>Маргарин столовый</v>
      </c>
      <c r="CF3" s="726" t="str">
        <f>цены!$D87</f>
        <v>Масло подсолнечное рафинированное</v>
      </c>
      <c r="CG3" s="726" t="str">
        <f>цены!$D88</f>
        <v>Макаронные изделия высшего сорта</v>
      </c>
      <c r="CH3" s="726" t="str">
        <f>цены!$D89</f>
        <v>Вермишель</v>
      </c>
      <c r="CI3" s="726" t="str">
        <f>цены!$D90</f>
        <v>Ванилин</v>
      </c>
      <c r="CJ3" s="726" t="str">
        <f>цены!$D91</f>
        <v>Эссенция</v>
      </c>
      <c r="CK3" s="726" t="str">
        <f>цены!$D92</f>
        <v>Сода пищевая</v>
      </c>
      <c r="CL3" s="726" t="str">
        <f>цены!$D93</f>
        <v>Дрожжи пекарные прессованные</v>
      </c>
      <c r="CM3" s="726" t="str">
        <f>цены!$D94</f>
        <v>Виноград сушеный (изюм)</v>
      </c>
      <c r="CN3" s="726" t="str">
        <f>цены!$D95</f>
        <v xml:space="preserve">Порошок какао без добавок сахара </v>
      </c>
      <c r="CO3" s="726" t="str">
        <f>цены!$D96</f>
        <v>Кофейный напиток</v>
      </c>
      <c r="CP3" s="726" t="str">
        <f>цены!$D97</f>
        <v>Кетчуп томатный</v>
      </c>
      <c r="CQ3" s="726" t="str">
        <f>цены!$D98</f>
        <v>Кислота лимонная</v>
      </c>
      <c r="CR3" s="726" t="str">
        <f>цены!$D99</f>
        <v>Крахмал картофельный</v>
      </c>
      <c r="CS3" s="726" t="str">
        <f>цены!$D100</f>
        <v>Лист лавровый обработанный</v>
      </c>
      <c r="CT3" s="726" t="str">
        <f>цены!$D101</f>
        <v>Огурцы консервированные</v>
      </c>
      <c r="CU3" s="726" t="str">
        <f>цены!$D102</f>
        <v>Помидоры соленые</v>
      </c>
      <c r="CV3" s="726" t="str">
        <f>цены!$D103</f>
        <v>Капуста квашеная</v>
      </c>
      <c r="CW3" s="726" t="str">
        <f>цены!$D104</f>
        <v>Повидло из яблок</v>
      </c>
      <c r="CX3" s="726" t="str">
        <f>цены!$D105</f>
        <v>Джем абрикосовый (клубничный и др)</v>
      </c>
      <c r="CY3" s="726" t="str">
        <f>цены!$D106</f>
        <v>Варенье (абрикосовое, малиновое)</v>
      </c>
      <c r="CZ3" s="726" t="str">
        <f>цены!$D107</f>
        <v>Сахар белый свекловичный</v>
      </c>
      <c r="DA3" s="726" t="str">
        <f>цены!$D108</f>
        <v xml:space="preserve">Пудра рафинированная сахарная </v>
      </c>
      <c r="DB3" s="726" t="str">
        <f>цены!$D109</f>
        <v>Сок натуральный фруктовый с сахаром (3л.)</v>
      </c>
      <c r="DC3" s="726" t="str">
        <f>цены!$D110</f>
        <v xml:space="preserve">Соль йодированная </v>
      </c>
      <c r="DD3" s="726" t="str">
        <f>цены!$D111</f>
        <v>Сухари панировочные</v>
      </c>
      <c r="DE3" s="726" t="str">
        <f>цены!$D112</f>
        <v>Смеси сушеных фруктов</v>
      </c>
      <c r="DF3" s="726" t="str">
        <f>цены!$D113</f>
        <v>Пюре томатное концентрированное</v>
      </c>
      <c r="DG3" s="726" t="str">
        <f>цены!$D114</f>
        <v>Икра кабачковая</v>
      </c>
      <c r="DH3" s="726" t="str">
        <f>цены!$D115</f>
        <v>Плоды шиповника сушеные</v>
      </c>
      <c r="DI3" s="726" t="str">
        <f>цены!$D116</f>
        <v>Разрыхлитель (аммоний углекислый)</v>
      </c>
      <c r="DJ3" s="726" t="str">
        <f>цены!$D117</f>
        <v>Корица молотая</v>
      </c>
      <c r="DK3" s="726" t="str">
        <f>цены!$D118</f>
        <v>Пряности обработанные прочие</v>
      </c>
      <c r="DL3" s="726" t="str">
        <f>цены!$D119</f>
        <v>Горох</v>
      </c>
      <c r="DM3" s="726" t="str">
        <f>цены!$D120</f>
        <v xml:space="preserve">Фасоль </v>
      </c>
      <c r="DN3" s="726" t="str">
        <f>цены!$D121</f>
        <v>Чечевица</v>
      </c>
      <c r="DO3" s="726" t="str">
        <f>цены!$D122</f>
        <v>Курага</v>
      </c>
      <c r="DP3" s="726" t="str">
        <f>цены!$D123</f>
        <v>Финики</v>
      </c>
      <c r="DQ3" s="726" t="str">
        <f>цены!$D124</f>
        <v>Орех грецкий</v>
      </c>
      <c r="DR3" s="726" t="str">
        <f>цены!$D125</f>
        <v>Чай черный байховый высшего сорта</v>
      </c>
      <c r="DS3" s="726" t="str">
        <f>цены!$D126</f>
        <v>Яблоки сушеные</v>
      </c>
      <c r="DT3" s="726" t="str">
        <f>цены!$D127</f>
        <v>Компот концентрированный из плодов консервированных</v>
      </c>
      <c r="DU3" s="726" t="str">
        <f>цены!$D128</f>
        <v>Зеленый горошек консервированный</v>
      </c>
      <c r="DV3" s="726" t="str">
        <f>цены!$D129</f>
        <v>Фасоль стручковая консервированная</v>
      </c>
      <c r="DW3" s="726" t="str">
        <f>цены!$D130</f>
        <v>Кукуруза консервированная</v>
      </c>
      <c r="DX3" s="726" t="str">
        <f>цены!$D131</f>
        <v>Меланж</v>
      </c>
      <c r="DY3" s="726" t="str">
        <f>цены!$D132</f>
        <v>Перец черный</v>
      </c>
      <c r="DZ3" s="726" t="str">
        <f>цены!$D133</f>
        <v>Перец черный горошком</v>
      </c>
      <c r="EA3" s="726" t="str">
        <f>цены!$D134</f>
        <v>Мороженое пломбир Кореновское</v>
      </c>
      <c r="EB3" s="726" t="str">
        <f>цены!$D135</f>
        <v>Вода питьевая 19 л</v>
      </c>
      <c r="EC3" s="726" t="str">
        <f>цены!$D136</f>
        <v>Печенье сахарное "Юбилейное"</v>
      </c>
      <c r="ED3" s="726" t="str">
        <f>цены!$D137</f>
        <v>Печенье овсяное</v>
      </c>
      <c r="EE3" s="726" t="str">
        <f>цены!$D138</f>
        <v>Пряники</v>
      </c>
      <c r="EF3" s="726" t="str">
        <f>цены!$D139</f>
        <v>Кексы</v>
      </c>
      <c r="EG3" s="726" t="str">
        <f>цены!$D140</f>
        <v>Вафли с пралиновыми начинками</v>
      </c>
      <c r="EH3" s="726" t="str">
        <f>цены!$D141</f>
        <v>Зефир</v>
      </c>
      <c r="EI3" s="726" t="str">
        <f>цены!$D142</f>
        <v>Сок натуральный (виноградный, яблочный и др. в пакетах)</v>
      </c>
      <c r="EJ3" s="726" t="str">
        <f>цены!$D143</f>
        <v>Сок натуральный виноградный (в банках 3 л)</v>
      </c>
      <c r="EK3" s="726" t="str">
        <f>цены!$D144</f>
        <v>Конфеты, глазированные шоколадом (Морские)</v>
      </c>
      <c r="EL3" s="726" t="str">
        <f>цены!$D145</f>
        <v>Конфеты сливочные (Коровка)</v>
      </c>
      <c r="EM3" s="726" t="str">
        <f>цены!$D146</f>
        <v>Конфеты шоколадные ("Российские" (плитка)</v>
      </c>
      <c r="EN3" s="726" t="str">
        <f>цены!$D147</f>
        <v>Конфеты сливочные ( Лёвушка)</v>
      </c>
      <c r="EO3" s="726" t="str">
        <f>цены!$D148</f>
        <v>Конфеты, глазированные шоколадом (Степ, Марс)</v>
      </c>
      <c r="EP3" s="726" t="str">
        <f>цены!$D149</f>
        <v>Конфеты "Тортимилка" 1 шт. 17,5 гр</v>
      </c>
      <c r="EQ3" s="726" t="str">
        <f>цены!$D150</f>
        <v>Конфеты желейные (мармелад)</v>
      </c>
      <c r="ER3" s="726" t="str">
        <f>цены!$D151</f>
        <v>Конфеты Батончик (Ротфронт)</v>
      </c>
      <c r="ES3" s="726" t="str">
        <f>цены!$D152</f>
        <v>Конфеты ирис (Золотой ключик)</v>
      </c>
      <c r="ET3" s="726">
        <f>цены!$D153</f>
        <v>0</v>
      </c>
      <c r="EU3" s="726">
        <f>цены!$D154</f>
        <v>0</v>
      </c>
      <c r="EV3" s="726" t="str">
        <f>цены!$D157</f>
        <v>Хлеб пшеничный нарезной</v>
      </c>
      <c r="EW3" s="726" t="str">
        <f>цены!$D158</f>
        <v>Хлеб пшенично-ржаной нарезной</v>
      </c>
      <c r="EX3" s="726" t="str">
        <f>цены!$D159</f>
        <v>Батон белого хлеба</v>
      </c>
      <c r="EY3" s="1448"/>
      <c r="EZ3" s="820" t="s">
        <v>939</v>
      </c>
      <c r="FA3" s="820" t="s">
        <v>940</v>
      </c>
      <c r="FB3" s="820" t="s">
        <v>941</v>
      </c>
      <c r="FC3" s="821" t="s">
        <v>942</v>
      </c>
      <c r="FD3" s="820" t="s">
        <v>944</v>
      </c>
      <c r="FE3" s="820" t="s">
        <v>945</v>
      </c>
      <c r="FF3" s="820" t="s">
        <v>946</v>
      </c>
      <c r="FG3" s="820" t="s">
        <v>947</v>
      </c>
      <c r="FH3" s="820" t="s">
        <v>948</v>
      </c>
      <c r="FI3" s="820" t="s">
        <v>949</v>
      </c>
      <c r="FJ3" s="820" t="s">
        <v>950</v>
      </c>
    </row>
    <row r="4" spans="1:166" x14ac:dyDescent="0.25">
      <c r="A4" s="521">
        <v>1</v>
      </c>
      <c r="B4" s="521"/>
      <c r="C4" s="677">
        <v>4</v>
      </c>
      <c r="D4" s="824">
        <v>5</v>
      </c>
      <c r="E4" s="824">
        <v>7</v>
      </c>
      <c r="F4" s="824">
        <v>13</v>
      </c>
      <c r="G4" s="825">
        <v>32</v>
      </c>
      <c r="H4" s="677">
        <v>3</v>
      </c>
      <c r="I4" s="1233">
        <v>5</v>
      </c>
      <c r="J4" s="521">
        <v>1</v>
      </c>
      <c r="K4" s="725">
        <v>2</v>
      </c>
      <c r="L4" s="521">
        <v>3</v>
      </c>
      <c r="M4" s="725">
        <v>4</v>
      </c>
      <c r="N4" s="521">
        <v>5</v>
      </c>
      <c r="O4" s="725">
        <v>6</v>
      </c>
      <c r="P4" s="521">
        <v>7</v>
      </c>
      <c r="Q4" s="725">
        <v>8</v>
      </c>
      <c r="R4" s="521">
        <v>9</v>
      </c>
      <c r="S4" s="725">
        <v>10</v>
      </c>
      <c r="T4" s="521">
        <v>11</v>
      </c>
      <c r="U4" s="725">
        <v>12</v>
      </c>
      <c r="V4" s="521">
        <v>13</v>
      </c>
      <c r="W4" s="725">
        <v>14</v>
      </c>
      <c r="X4" s="521">
        <v>15</v>
      </c>
      <c r="Y4" s="725">
        <v>16</v>
      </c>
      <c r="Z4" s="521">
        <v>17</v>
      </c>
      <c r="AA4" s="725">
        <v>18</v>
      </c>
      <c r="AB4" s="521">
        <v>19</v>
      </c>
      <c r="AC4" s="725">
        <v>20</v>
      </c>
      <c r="AD4" s="521">
        <v>21</v>
      </c>
      <c r="AE4" s="725">
        <v>22</v>
      </c>
      <c r="AF4" s="521">
        <v>23</v>
      </c>
      <c r="AG4" s="725">
        <v>24</v>
      </c>
      <c r="AH4" s="521">
        <v>25</v>
      </c>
      <c r="AI4" s="725">
        <v>26</v>
      </c>
      <c r="AJ4" s="521">
        <v>27</v>
      </c>
      <c r="AK4" s="725">
        <v>28</v>
      </c>
      <c r="AL4" s="521">
        <v>29</v>
      </c>
      <c r="AM4" s="725">
        <v>30</v>
      </c>
      <c r="AN4" s="521">
        <v>31</v>
      </c>
      <c r="AO4" s="725">
        <v>32</v>
      </c>
      <c r="AP4" s="521">
        <v>33</v>
      </c>
      <c r="AQ4" s="725">
        <v>34</v>
      </c>
      <c r="AR4" s="521">
        <v>35</v>
      </c>
      <c r="AS4" s="725">
        <v>36</v>
      </c>
      <c r="AT4" s="521">
        <v>37</v>
      </c>
      <c r="AU4" s="725">
        <v>38</v>
      </c>
      <c r="AV4" s="521">
        <v>39</v>
      </c>
      <c r="AW4" s="725">
        <v>40</v>
      </c>
      <c r="AX4" s="521">
        <v>41</v>
      </c>
      <c r="AY4" s="725">
        <v>42</v>
      </c>
      <c r="AZ4" s="521">
        <v>43</v>
      </c>
      <c r="BA4" s="725">
        <v>44</v>
      </c>
      <c r="BB4" s="521">
        <v>45</v>
      </c>
      <c r="BC4" s="725">
        <v>46</v>
      </c>
      <c r="BD4" s="521">
        <v>47</v>
      </c>
      <c r="BE4" s="725">
        <v>48</v>
      </c>
      <c r="BF4" s="521">
        <v>49</v>
      </c>
      <c r="BG4" s="725">
        <v>50</v>
      </c>
      <c r="BH4" s="521">
        <v>51</v>
      </c>
      <c r="BI4" s="725">
        <v>52</v>
      </c>
      <c r="BJ4" s="521">
        <v>53</v>
      </c>
      <c r="BK4" s="725">
        <v>54</v>
      </c>
      <c r="BL4" s="521">
        <v>55</v>
      </c>
      <c r="BM4" s="725">
        <v>56</v>
      </c>
      <c r="BN4" s="521">
        <v>57</v>
      </c>
      <c r="BO4" s="725">
        <v>58</v>
      </c>
      <c r="BP4" s="521">
        <v>59</v>
      </c>
      <c r="BQ4" s="725">
        <v>60</v>
      </c>
      <c r="BR4" s="521">
        <v>61</v>
      </c>
      <c r="BS4" s="725">
        <v>62</v>
      </c>
      <c r="BT4" s="521">
        <v>63</v>
      </c>
      <c r="BU4" s="725">
        <v>64</v>
      </c>
      <c r="BV4" s="521">
        <v>65</v>
      </c>
      <c r="BW4" s="725">
        <v>66</v>
      </c>
      <c r="BX4" s="521">
        <v>67</v>
      </c>
      <c r="BY4" s="725">
        <v>68</v>
      </c>
      <c r="BZ4" s="521">
        <v>69</v>
      </c>
      <c r="CA4" s="725">
        <v>70</v>
      </c>
      <c r="CB4" s="521">
        <v>71</v>
      </c>
      <c r="CC4" s="725">
        <v>72</v>
      </c>
      <c r="CD4" s="521">
        <v>73</v>
      </c>
      <c r="CE4" s="725">
        <v>74</v>
      </c>
      <c r="CF4" s="521">
        <v>75</v>
      </c>
      <c r="CG4" s="725">
        <v>76</v>
      </c>
      <c r="CH4" s="521">
        <v>77</v>
      </c>
      <c r="CI4" s="725">
        <v>78</v>
      </c>
      <c r="CJ4" s="521">
        <v>79</v>
      </c>
      <c r="CK4" s="725">
        <v>80</v>
      </c>
      <c r="CL4" s="521">
        <v>81</v>
      </c>
      <c r="CM4" s="725">
        <v>82</v>
      </c>
      <c r="CN4" s="521">
        <v>83</v>
      </c>
      <c r="CO4" s="725">
        <v>84</v>
      </c>
      <c r="CP4" s="521">
        <v>85</v>
      </c>
      <c r="CQ4" s="725">
        <v>86</v>
      </c>
      <c r="CR4" s="521">
        <v>87</v>
      </c>
      <c r="CS4" s="725">
        <v>88</v>
      </c>
      <c r="CT4" s="521">
        <v>89</v>
      </c>
      <c r="CU4" s="725">
        <v>90</v>
      </c>
      <c r="CV4" s="521">
        <v>91</v>
      </c>
      <c r="CW4" s="725">
        <v>92</v>
      </c>
      <c r="CX4" s="521">
        <v>93</v>
      </c>
      <c r="CY4" s="725">
        <v>94</v>
      </c>
      <c r="CZ4" s="521">
        <v>95</v>
      </c>
      <c r="DA4" s="725">
        <v>96</v>
      </c>
      <c r="DB4" s="521">
        <v>97</v>
      </c>
      <c r="DC4" s="725">
        <v>98</v>
      </c>
      <c r="DD4" s="521">
        <v>99</v>
      </c>
      <c r="DE4" s="725">
        <v>100</v>
      </c>
      <c r="DF4" s="521">
        <v>101</v>
      </c>
      <c r="DG4" s="725">
        <v>102</v>
      </c>
      <c r="DH4" s="521">
        <v>103</v>
      </c>
      <c r="DI4" s="725">
        <v>104</v>
      </c>
      <c r="DJ4" s="521">
        <v>105</v>
      </c>
      <c r="DK4" s="725">
        <v>106</v>
      </c>
      <c r="DL4" s="521">
        <v>107</v>
      </c>
      <c r="DM4" s="725">
        <v>108</v>
      </c>
      <c r="DN4" s="521">
        <v>109</v>
      </c>
      <c r="DO4" s="725">
        <v>110</v>
      </c>
      <c r="DP4" s="521">
        <v>111</v>
      </c>
      <c r="DQ4" s="725">
        <v>112</v>
      </c>
      <c r="DR4" s="521">
        <v>113</v>
      </c>
      <c r="DS4" s="725">
        <v>114</v>
      </c>
      <c r="DT4" s="521">
        <v>115</v>
      </c>
      <c r="DU4" s="725">
        <v>116</v>
      </c>
      <c r="DV4" s="521">
        <v>117</v>
      </c>
      <c r="DW4" s="725">
        <v>118</v>
      </c>
      <c r="DX4" s="521">
        <v>119</v>
      </c>
      <c r="DY4" s="725">
        <v>120</v>
      </c>
      <c r="DZ4" s="521">
        <v>121</v>
      </c>
      <c r="EA4" s="725">
        <v>122</v>
      </c>
      <c r="EB4" s="521">
        <v>123</v>
      </c>
      <c r="EC4" s="725">
        <v>124</v>
      </c>
      <c r="ED4" s="521">
        <v>125</v>
      </c>
      <c r="EE4" s="725">
        <v>126</v>
      </c>
      <c r="EF4" s="521">
        <v>127</v>
      </c>
      <c r="EG4" s="725">
        <v>128</v>
      </c>
      <c r="EH4" s="521">
        <v>129</v>
      </c>
      <c r="EI4" s="725">
        <v>130</v>
      </c>
      <c r="EJ4" s="521">
        <v>131</v>
      </c>
      <c r="EK4" s="725">
        <v>132</v>
      </c>
      <c r="EL4" s="521">
        <v>133</v>
      </c>
      <c r="EM4" s="725">
        <v>134</v>
      </c>
      <c r="EN4" s="521">
        <v>135</v>
      </c>
      <c r="EO4" s="725">
        <v>136</v>
      </c>
      <c r="EP4" s="521">
        <v>137</v>
      </c>
      <c r="EQ4" s="725">
        <v>138</v>
      </c>
      <c r="ER4" s="521">
        <v>139</v>
      </c>
      <c r="ES4" s="725">
        <v>140</v>
      </c>
      <c r="ET4" s="521">
        <v>141</v>
      </c>
      <c r="EU4" s="725">
        <v>142</v>
      </c>
      <c r="EV4" s="521">
        <v>143</v>
      </c>
      <c r="EW4" s="725">
        <v>144</v>
      </c>
      <c r="EX4" s="521">
        <v>145</v>
      </c>
      <c r="EY4" s="521"/>
      <c r="EZ4" s="823">
        <v>1</v>
      </c>
      <c r="FA4" s="823">
        <v>2</v>
      </c>
      <c r="FB4" s="823">
        <v>3</v>
      </c>
      <c r="FC4" s="823">
        <v>4</v>
      </c>
      <c r="FD4" s="823">
        <v>5</v>
      </c>
      <c r="FE4" s="823">
        <v>6</v>
      </c>
      <c r="FF4" s="823">
        <v>7</v>
      </c>
      <c r="FG4" s="823">
        <v>8</v>
      </c>
      <c r="FH4" s="823">
        <v>9</v>
      </c>
      <c r="FI4" s="823">
        <v>10</v>
      </c>
      <c r="FJ4" s="823">
        <v>11</v>
      </c>
    </row>
    <row r="5" spans="1:166" ht="14.7" customHeight="1" x14ac:dyDescent="0.25">
      <c r="A5" s="168">
        <v>1</v>
      </c>
      <c r="B5" s="183" t="str">
        <f>'1-бутерброд с маслом'!A9</f>
        <v>Бутерброды с маслом сливочным</v>
      </c>
      <c r="C5" s="419">
        <f>'1-бутерброд с маслом'!C24</f>
        <v>40</v>
      </c>
      <c r="D5" s="1209">
        <f>2.36/40*C5</f>
        <v>2.36</v>
      </c>
      <c r="E5" s="1209">
        <f>7.49/40*C5</f>
        <v>7.49</v>
      </c>
      <c r="F5" s="1209">
        <f>14.89/40*C5</f>
        <v>14.89</v>
      </c>
      <c r="G5" s="1210">
        <f>32/40*C5</f>
        <v>32</v>
      </c>
      <c r="H5" s="419">
        <f>'1-бутерброд с маслом'!J7</f>
        <v>1</v>
      </c>
      <c r="I5" s="483">
        <f>'1-бутерброд с маслом'!F26</f>
        <v>9.17</v>
      </c>
      <c r="J5" s="727"/>
      <c r="K5" s="728"/>
      <c r="L5" s="728"/>
      <c r="M5" s="728"/>
      <c r="N5" s="727"/>
      <c r="O5" s="727"/>
      <c r="P5" s="727"/>
      <c r="Q5" s="727"/>
      <c r="R5" s="727"/>
      <c r="S5" s="727"/>
      <c r="T5" s="727"/>
      <c r="U5" s="329"/>
      <c r="V5" s="329">
        <f>'1-бутерброд с маслом'!D19</f>
        <v>0.01</v>
      </c>
      <c r="W5" s="329"/>
      <c r="X5" s="329"/>
      <c r="Y5" s="329"/>
      <c r="Z5" s="329"/>
      <c r="AA5" s="329"/>
      <c r="AB5" s="329"/>
      <c r="AC5" s="329"/>
      <c r="AD5" s="329"/>
      <c r="AE5" s="330"/>
      <c r="AF5" s="329"/>
      <c r="AG5" s="329"/>
      <c r="AH5" s="329"/>
      <c r="AI5" s="329"/>
      <c r="AJ5" s="329"/>
      <c r="AK5" s="329"/>
      <c r="AL5" s="329"/>
      <c r="AM5" s="329"/>
      <c r="AN5" s="329"/>
      <c r="AO5" s="329"/>
      <c r="AP5" s="329"/>
      <c r="AQ5" s="329"/>
      <c r="AR5" s="329"/>
      <c r="AS5" s="329"/>
      <c r="AT5" s="329"/>
      <c r="AU5" s="329"/>
      <c r="AV5" s="329"/>
      <c r="AW5" s="329"/>
      <c r="AX5" s="329"/>
      <c r="AY5" s="329"/>
      <c r="AZ5" s="329"/>
      <c r="BA5" s="329"/>
      <c r="BB5" s="329"/>
      <c r="BC5" s="329"/>
      <c r="BD5" s="329"/>
      <c r="BE5" s="329"/>
      <c r="BF5" s="329"/>
      <c r="BG5" s="329"/>
      <c r="BH5" s="329"/>
      <c r="BI5" s="329"/>
      <c r="BJ5" s="329"/>
      <c r="BK5" s="329"/>
      <c r="BL5" s="329"/>
      <c r="BM5" s="329"/>
      <c r="BN5" s="329"/>
      <c r="BO5" s="329"/>
      <c r="BP5" s="329"/>
      <c r="BQ5" s="329"/>
      <c r="BR5" s="329"/>
      <c r="BS5" s="329"/>
      <c r="BT5" s="329"/>
      <c r="BU5" s="329"/>
      <c r="BV5" s="329"/>
      <c r="BW5" s="329"/>
      <c r="BX5" s="329"/>
      <c r="BY5" s="329"/>
      <c r="BZ5" s="329"/>
      <c r="CA5" s="329"/>
      <c r="CB5" s="329"/>
      <c r="CC5" s="329"/>
      <c r="CD5" s="329"/>
      <c r="CE5" s="329"/>
      <c r="CF5" s="329"/>
      <c r="CG5" s="329"/>
      <c r="CH5" s="329"/>
      <c r="CI5" s="329"/>
      <c r="CJ5" s="329"/>
      <c r="CK5" s="329"/>
      <c r="CL5" s="329"/>
      <c r="CM5" s="329"/>
      <c r="CN5" s="329"/>
      <c r="CO5" s="329"/>
      <c r="CP5" s="329"/>
      <c r="CQ5" s="329"/>
      <c r="CR5" s="329"/>
      <c r="CS5" s="329"/>
      <c r="CT5" s="329"/>
      <c r="CU5" s="329"/>
      <c r="CV5" s="329"/>
      <c r="CW5" s="329"/>
      <c r="CX5" s="329"/>
      <c r="CY5" s="329"/>
      <c r="CZ5" s="329"/>
      <c r="DA5" s="329"/>
      <c r="DB5" s="329"/>
      <c r="DC5" s="329"/>
      <c r="DD5" s="329"/>
      <c r="DE5" s="329"/>
      <c r="DF5" s="329"/>
      <c r="DG5" s="329"/>
      <c r="DH5" s="329"/>
      <c r="DI5" s="329"/>
      <c r="DJ5" s="329"/>
      <c r="DK5" s="329"/>
      <c r="DL5" s="329"/>
      <c r="DM5" s="329"/>
      <c r="DN5" s="329"/>
      <c r="DO5" s="329"/>
      <c r="DP5" s="329"/>
      <c r="DQ5" s="329"/>
      <c r="DR5" s="329"/>
      <c r="DS5" s="329"/>
      <c r="DT5" s="329"/>
      <c r="DU5" s="329"/>
      <c r="DV5" s="329"/>
      <c r="DW5" s="329"/>
      <c r="DX5" s="330"/>
      <c r="DY5" s="330"/>
      <c r="DZ5" s="330"/>
      <c r="EA5" s="330"/>
      <c r="EB5" s="330"/>
      <c r="EC5" s="330"/>
      <c r="ED5" s="330"/>
      <c r="EE5" s="330"/>
      <c r="EF5" s="330"/>
      <c r="EG5" s="330"/>
      <c r="EH5" s="330"/>
      <c r="EI5" s="330"/>
      <c r="EJ5" s="330"/>
      <c r="EK5" s="330"/>
      <c r="EL5" s="330"/>
      <c r="EM5" s="330"/>
      <c r="EN5" s="330"/>
      <c r="EO5" s="330"/>
      <c r="EP5" s="330"/>
      <c r="EQ5" s="330"/>
      <c r="ER5" s="330"/>
      <c r="ES5" s="330"/>
      <c r="ET5" s="330"/>
      <c r="EU5" s="330"/>
      <c r="EV5" s="330"/>
      <c r="EW5" s="330"/>
      <c r="EX5" s="330">
        <f>'1-бутерброд с маслом'!C20</f>
        <v>0.03</v>
      </c>
      <c r="EY5" s="1032">
        <f t="shared" ref="EY5:EY111" si="0">SUM(J5:EX5)</f>
        <v>0.04</v>
      </c>
      <c r="EZ5" s="819"/>
      <c r="FA5" s="819"/>
      <c r="FB5" s="819"/>
      <c r="FC5" s="819"/>
      <c r="FD5" s="819"/>
      <c r="FE5" s="819"/>
      <c r="FF5" s="819"/>
      <c r="FG5" s="819"/>
      <c r="FH5" s="819"/>
      <c r="FI5" s="819"/>
      <c r="FJ5" s="819"/>
    </row>
    <row r="6" spans="1:166" ht="14.7" customHeight="1" x14ac:dyDescent="0.25">
      <c r="A6" s="168">
        <v>2</v>
      </c>
      <c r="B6" s="183" t="str">
        <f>'2-бутерброд с джемом'!A9</f>
        <v>Бутерброды с джемом абрикосовым и маслом</v>
      </c>
      <c r="C6" s="419">
        <f>'2-бутерброд с джемом'!C25</f>
        <v>55</v>
      </c>
      <c r="D6" s="1209">
        <f>2.42/55*C6</f>
        <v>2.42</v>
      </c>
      <c r="E6" s="1209">
        <f>3.87/55*C6</f>
        <v>3.87</v>
      </c>
      <c r="F6" s="1209">
        <f>29.15/55*C6</f>
        <v>29.15</v>
      </c>
      <c r="G6" s="1210">
        <f>161/55*C6</f>
        <v>161</v>
      </c>
      <c r="H6" s="419">
        <f>'2-бутерброд с джемом'!J7</f>
        <v>2</v>
      </c>
      <c r="I6" s="483">
        <f>'2-бутерброд с джемом'!F27</f>
        <v>12.4</v>
      </c>
      <c r="J6" s="329"/>
      <c r="K6" s="394"/>
      <c r="L6" s="394"/>
      <c r="M6" s="394"/>
      <c r="N6" s="329"/>
      <c r="O6" s="329"/>
      <c r="P6" s="329"/>
      <c r="Q6" s="329"/>
      <c r="R6" s="329"/>
      <c r="S6" s="329"/>
      <c r="T6" s="329"/>
      <c r="U6" s="329"/>
      <c r="V6" s="329">
        <f>'2-бутерброд с джемом'!C20</f>
        <v>0.01</v>
      </c>
      <c r="W6" s="329"/>
      <c r="X6" s="329"/>
      <c r="Y6" s="329"/>
      <c r="Z6" s="329"/>
      <c r="AA6" s="329"/>
      <c r="AB6" s="329"/>
      <c r="AC6" s="329"/>
      <c r="AD6" s="329"/>
      <c r="AE6" s="330"/>
      <c r="AF6" s="329"/>
      <c r="AG6" s="329"/>
      <c r="AH6" s="329"/>
      <c r="AI6" s="329"/>
      <c r="AJ6" s="329"/>
      <c r="AK6" s="329"/>
      <c r="AL6" s="329"/>
      <c r="AM6" s="329"/>
      <c r="AN6" s="329"/>
      <c r="AO6" s="329"/>
      <c r="AP6" s="329"/>
      <c r="AQ6" s="329"/>
      <c r="AR6" s="329"/>
      <c r="AS6" s="329"/>
      <c r="AT6" s="329"/>
      <c r="AU6" s="329"/>
      <c r="AV6" s="329"/>
      <c r="AW6" s="329"/>
      <c r="AX6" s="329"/>
      <c r="AY6" s="329"/>
      <c r="AZ6" s="329"/>
      <c r="BA6" s="329"/>
      <c r="BB6" s="329"/>
      <c r="BC6" s="329"/>
      <c r="BD6" s="329"/>
      <c r="BE6" s="329"/>
      <c r="BF6" s="329"/>
      <c r="BG6" s="329"/>
      <c r="BH6" s="329"/>
      <c r="BI6" s="329"/>
      <c r="BJ6" s="329"/>
      <c r="BK6" s="329"/>
      <c r="BL6" s="329"/>
      <c r="BM6" s="329"/>
      <c r="BN6" s="329"/>
      <c r="BO6" s="329"/>
      <c r="BP6" s="329"/>
      <c r="BQ6" s="329"/>
      <c r="BR6" s="329"/>
      <c r="BS6" s="329"/>
      <c r="BT6" s="329"/>
      <c r="BU6" s="329"/>
      <c r="BV6" s="329"/>
      <c r="BW6" s="329"/>
      <c r="BX6" s="329"/>
      <c r="BY6" s="329"/>
      <c r="BZ6" s="329"/>
      <c r="CA6" s="329"/>
      <c r="CB6" s="329"/>
      <c r="CC6" s="329"/>
      <c r="CD6" s="329"/>
      <c r="CE6" s="329"/>
      <c r="CF6" s="329"/>
      <c r="CG6" s="329"/>
      <c r="CH6" s="329"/>
      <c r="CI6" s="329"/>
      <c r="CJ6" s="329"/>
      <c r="CK6" s="329"/>
      <c r="CL6" s="329"/>
      <c r="CM6" s="329"/>
      <c r="CN6" s="329"/>
      <c r="CO6" s="329"/>
      <c r="CP6" s="329"/>
      <c r="CQ6" s="329"/>
      <c r="CR6" s="329"/>
      <c r="CS6" s="329"/>
      <c r="CT6" s="329"/>
      <c r="CU6" s="329"/>
      <c r="CV6" s="329"/>
      <c r="CW6" s="329"/>
      <c r="CX6" s="329">
        <f>'2-бутерброд с джемом'!C19</f>
        <v>2.0199999999999999E-2</v>
      </c>
      <c r="CY6" s="329"/>
      <c r="CZ6" s="329"/>
      <c r="DA6" s="329"/>
      <c r="DB6" s="329"/>
      <c r="DC6" s="329"/>
      <c r="DD6" s="329"/>
      <c r="DE6" s="329"/>
      <c r="DF6" s="329"/>
      <c r="DG6" s="329"/>
      <c r="DH6" s="329"/>
      <c r="DI6" s="329"/>
      <c r="DJ6" s="329"/>
      <c r="DK6" s="329"/>
      <c r="DL6" s="329"/>
      <c r="DM6" s="329"/>
      <c r="DN6" s="329"/>
      <c r="DO6" s="329"/>
      <c r="DP6" s="329"/>
      <c r="DQ6" s="329"/>
      <c r="DR6" s="329"/>
      <c r="DS6" s="329"/>
      <c r="DT6" s="329"/>
      <c r="DU6" s="329"/>
      <c r="DV6" s="329"/>
      <c r="DW6" s="329"/>
      <c r="DX6" s="330"/>
      <c r="DY6" s="330"/>
      <c r="DZ6" s="330"/>
      <c r="EA6" s="330"/>
      <c r="EB6" s="330"/>
      <c r="EC6" s="330"/>
      <c r="ED6" s="330"/>
      <c r="EE6" s="330"/>
      <c r="EF6" s="330"/>
      <c r="EG6" s="330"/>
      <c r="EH6" s="330"/>
      <c r="EI6" s="330"/>
      <c r="EJ6" s="330"/>
      <c r="EK6" s="330"/>
      <c r="EL6" s="330"/>
      <c r="EM6" s="330"/>
      <c r="EN6" s="330"/>
      <c r="EO6" s="330"/>
      <c r="EP6" s="330"/>
      <c r="EQ6" s="330"/>
      <c r="ER6" s="330"/>
      <c r="ES6" s="330"/>
      <c r="ET6" s="330"/>
      <c r="EU6" s="330"/>
      <c r="EV6" s="330"/>
      <c r="EW6" s="330"/>
      <c r="EX6" s="330">
        <f>'2-бутерброд с джемом'!C21</f>
        <v>0.03</v>
      </c>
      <c r="EY6" s="1032">
        <f t="shared" si="0"/>
        <v>6.0199999999999997E-2</v>
      </c>
      <c r="EZ6" s="819"/>
      <c r="FA6" s="819"/>
      <c r="FB6" s="819"/>
      <c r="FC6" s="819"/>
      <c r="FD6" s="819"/>
      <c r="FE6" s="819"/>
      <c r="FF6" s="819"/>
      <c r="FG6" s="819"/>
      <c r="FH6" s="819"/>
      <c r="FI6" s="819"/>
      <c r="FJ6" s="819"/>
    </row>
    <row r="7" spans="1:166" ht="14.7" customHeight="1" x14ac:dyDescent="0.25">
      <c r="A7" s="421">
        <v>3</v>
      </c>
      <c r="B7" s="183" t="str">
        <f>'3-бутерброд с сыром'!A9</f>
        <v>Бутерброды с сыром российским и маслом</v>
      </c>
      <c r="C7" s="419">
        <f>'3-бутерброд с сыром'!C25</f>
        <v>50</v>
      </c>
      <c r="D7" s="1209">
        <f>5.8/50*C7</f>
        <v>5.8</v>
      </c>
      <c r="E7" s="1209">
        <f>8.3/50*C7</f>
        <v>8.3000000000000007</v>
      </c>
      <c r="F7" s="1209">
        <f>14.83/50*C7</f>
        <v>14.83</v>
      </c>
      <c r="G7" s="1210">
        <f>157/50*C7</f>
        <v>157</v>
      </c>
      <c r="H7" s="419">
        <f>'3-бутерброд с сыром'!J7</f>
        <v>3</v>
      </c>
      <c r="I7" s="483">
        <f>'3-бутерброд с сыром'!F27</f>
        <v>17.12</v>
      </c>
      <c r="J7" s="329"/>
      <c r="K7" s="394"/>
      <c r="L7" s="394"/>
      <c r="M7" s="394"/>
      <c r="N7" s="329"/>
      <c r="O7" s="329"/>
      <c r="P7" s="329"/>
      <c r="Q7" s="329"/>
      <c r="R7" s="329"/>
      <c r="S7" s="329"/>
      <c r="T7" s="329"/>
      <c r="U7" s="329"/>
      <c r="V7" s="329">
        <f>'3-бутерброд с сыром'!C20</f>
        <v>5.0000000000000001E-3</v>
      </c>
      <c r="W7" s="329">
        <f>'3-бутерброд с сыром'!C19</f>
        <v>1.6E-2</v>
      </c>
      <c r="X7" s="329"/>
      <c r="Y7" s="329"/>
      <c r="Z7" s="329"/>
      <c r="AA7" s="329"/>
      <c r="AB7" s="329"/>
      <c r="AC7" s="329"/>
      <c r="AD7" s="329"/>
      <c r="AE7" s="330"/>
      <c r="AF7" s="329"/>
      <c r="AG7" s="329"/>
      <c r="AH7" s="329"/>
      <c r="AI7" s="329"/>
      <c r="AJ7" s="329"/>
      <c r="AK7" s="329"/>
      <c r="AL7" s="329"/>
      <c r="AM7" s="329"/>
      <c r="AN7" s="329"/>
      <c r="AO7" s="329"/>
      <c r="AP7" s="329"/>
      <c r="AQ7" s="329"/>
      <c r="AR7" s="329"/>
      <c r="AS7" s="329"/>
      <c r="AT7" s="329"/>
      <c r="AU7" s="329"/>
      <c r="AV7" s="329"/>
      <c r="AW7" s="329"/>
      <c r="AX7" s="329"/>
      <c r="AY7" s="329"/>
      <c r="AZ7" s="329"/>
      <c r="BA7" s="329"/>
      <c r="BB7" s="329"/>
      <c r="BC7" s="329"/>
      <c r="BD7" s="329"/>
      <c r="BE7" s="329"/>
      <c r="BF7" s="329"/>
      <c r="BG7" s="329"/>
      <c r="BH7" s="329"/>
      <c r="BI7" s="329"/>
      <c r="BJ7" s="329"/>
      <c r="BK7" s="329"/>
      <c r="BL7" s="329"/>
      <c r="BM7" s="329"/>
      <c r="BN7" s="329"/>
      <c r="BO7" s="329"/>
      <c r="BP7" s="329"/>
      <c r="BQ7" s="329"/>
      <c r="BR7" s="329"/>
      <c r="BS7" s="329"/>
      <c r="BT7" s="329"/>
      <c r="BU7" s="329"/>
      <c r="BV7" s="329"/>
      <c r="BW7" s="329"/>
      <c r="BX7" s="329"/>
      <c r="BY7" s="329"/>
      <c r="BZ7" s="329"/>
      <c r="CA7" s="329"/>
      <c r="CB7" s="329"/>
      <c r="CC7" s="329"/>
      <c r="CD7" s="329"/>
      <c r="CE7" s="329"/>
      <c r="CF7" s="329"/>
      <c r="CG7" s="329"/>
      <c r="CH7" s="329"/>
      <c r="CI7" s="329"/>
      <c r="CJ7" s="329"/>
      <c r="CK7" s="329"/>
      <c r="CL7" s="329"/>
      <c r="CM7" s="329"/>
      <c r="CN7" s="329"/>
      <c r="CO7" s="329"/>
      <c r="CP7" s="329"/>
      <c r="CQ7" s="329"/>
      <c r="CR7" s="329"/>
      <c r="CS7" s="329"/>
      <c r="CT7" s="329"/>
      <c r="CU7" s="329"/>
      <c r="CV7" s="329"/>
      <c r="CW7" s="329"/>
      <c r="CX7" s="329"/>
      <c r="CY7" s="329"/>
      <c r="CZ7" s="329"/>
      <c r="DA7" s="329"/>
      <c r="DB7" s="329"/>
      <c r="DC7" s="329"/>
      <c r="DD7" s="329"/>
      <c r="DE7" s="329"/>
      <c r="DF7" s="329"/>
      <c r="DG7" s="329"/>
      <c r="DH7" s="329"/>
      <c r="DI7" s="329"/>
      <c r="DJ7" s="329"/>
      <c r="DK7" s="329"/>
      <c r="DL7" s="329"/>
      <c r="DM7" s="329"/>
      <c r="DN7" s="329"/>
      <c r="DO7" s="329"/>
      <c r="DP7" s="329"/>
      <c r="DQ7" s="329"/>
      <c r="DR7" s="329"/>
      <c r="DS7" s="329"/>
      <c r="DT7" s="329"/>
      <c r="DU7" s="329"/>
      <c r="DV7" s="329"/>
      <c r="DW7" s="329"/>
      <c r="DX7" s="330"/>
      <c r="DY7" s="330"/>
      <c r="DZ7" s="330"/>
      <c r="EA7" s="330"/>
      <c r="EB7" s="330"/>
      <c r="EC7" s="330"/>
      <c r="ED7" s="330"/>
      <c r="EE7" s="330"/>
      <c r="EF7" s="330"/>
      <c r="EG7" s="330"/>
      <c r="EH7" s="330"/>
      <c r="EI7" s="330"/>
      <c r="EJ7" s="330"/>
      <c r="EK7" s="330"/>
      <c r="EL7" s="330"/>
      <c r="EM7" s="330"/>
      <c r="EN7" s="330"/>
      <c r="EO7" s="330"/>
      <c r="EP7" s="330"/>
      <c r="EQ7" s="330"/>
      <c r="ER7" s="330"/>
      <c r="ES7" s="330"/>
      <c r="ET7" s="330"/>
      <c r="EU7" s="330"/>
      <c r="EV7" s="330"/>
      <c r="EW7" s="330"/>
      <c r="EX7" s="330">
        <f>'3-бутерброд с сыром'!C21</f>
        <v>0.03</v>
      </c>
      <c r="EY7" s="1032">
        <f t="shared" si="0"/>
        <v>5.0999999999999997E-2</v>
      </c>
      <c r="EZ7" s="819"/>
      <c r="FA7" s="819"/>
      <c r="FB7" s="819"/>
      <c r="FC7" s="819"/>
      <c r="FD7" s="819"/>
      <c r="FE7" s="819"/>
      <c r="FF7" s="819"/>
      <c r="FG7" s="819"/>
      <c r="FH7" s="819"/>
      <c r="FI7" s="819"/>
      <c r="FJ7" s="819"/>
    </row>
    <row r="8" spans="1:166" ht="14.7" customHeight="1" x14ac:dyDescent="0.25">
      <c r="A8" s="421">
        <v>4</v>
      </c>
      <c r="B8" s="183" t="str">
        <f>'6-бутерброд с колбасой'!A9</f>
        <v>Бутерброды с колбасой</v>
      </c>
      <c r="C8" s="419">
        <f>'6-бутерброд с колбасой'!C24</f>
        <v>50</v>
      </c>
      <c r="D8" s="1209">
        <f>5.3/50*C8</f>
        <v>5.3</v>
      </c>
      <c r="E8" s="1209">
        <f>8.26/50*C8</f>
        <v>8.26</v>
      </c>
      <c r="F8" s="1209">
        <f>14.82/50*C8</f>
        <v>14.82</v>
      </c>
      <c r="G8" s="1210">
        <f>155/50*C8</f>
        <v>155</v>
      </c>
      <c r="H8" s="419">
        <f>'6-бутерброд с колбасой'!J7</f>
        <v>6</v>
      </c>
      <c r="I8" s="483">
        <f>'6-бутерброд с колбасой'!F26</f>
        <v>10.47</v>
      </c>
      <c r="J8" s="329"/>
      <c r="K8" s="394"/>
      <c r="L8" s="394"/>
      <c r="M8" s="394"/>
      <c r="N8" s="329"/>
      <c r="O8" s="329">
        <f>'6-бутерброд с колбасой'!C19</f>
        <v>2.1000000000000001E-2</v>
      </c>
      <c r="P8" s="329"/>
      <c r="Q8" s="329"/>
      <c r="R8" s="329"/>
      <c r="S8" s="329"/>
      <c r="T8" s="329"/>
      <c r="U8" s="329"/>
      <c r="V8" s="329"/>
      <c r="W8" s="329"/>
      <c r="X8" s="329"/>
      <c r="Y8" s="329"/>
      <c r="Z8" s="329"/>
      <c r="AA8" s="329"/>
      <c r="AB8" s="329"/>
      <c r="AC8" s="329"/>
      <c r="AD8" s="329"/>
      <c r="AE8" s="330"/>
      <c r="AF8" s="329"/>
      <c r="AG8" s="329"/>
      <c r="AH8" s="329"/>
      <c r="AI8" s="329"/>
      <c r="AJ8" s="329"/>
      <c r="AK8" s="329"/>
      <c r="AL8" s="329"/>
      <c r="AM8" s="329"/>
      <c r="AN8" s="329"/>
      <c r="AO8" s="329"/>
      <c r="AP8" s="329"/>
      <c r="AQ8" s="329"/>
      <c r="AR8" s="329"/>
      <c r="AS8" s="329"/>
      <c r="AT8" s="329"/>
      <c r="AU8" s="329"/>
      <c r="AV8" s="329"/>
      <c r="AW8" s="329"/>
      <c r="AX8" s="329"/>
      <c r="AY8" s="329"/>
      <c r="AZ8" s="329"/>
      <c r="BA8" s="329"/>
      <c r="BB8" s="329"/>
      <c r="BC8" s="329"/>
      <c r="BD8" s="329"/>
      <c r="BE8" s="329"/>
      <c r="BF8" s="329"/>
      <c r="BG8" s="329"/>
      <c r="BH8" s="329"/>
      <c r="BI8" s="329"/>
      <c r="BJ8" s="329"/>
      <c r="BK8" s="329"/>
      <c r="BL8" s="329"/>
      <c r="BM8" s="329"/>
      <c r="BN8" s="329"/>
      <c r="BO8" s="329"/>
      <c r="BP8" s="329"/>
      <c r="BQ8" s="329"/>
      <c r="BR8" s="329"/>
      <c r="BS8" s="329"/>
      <c r="BT8" s="329"/>
      <c r="BU8" s="329"/>
      <c r="BV8" s="329"/>
      <c r="BW8" s="329"/>
      <c r="BX8" s="329"/>
      <c r="BY8" s="329"/>
      <c r="BZ8" s="329"/>
      <c r="CA8" s="329"/>
      <c r="CB8" s="329"/>
      <c r="CC8" s="329"/>
      <c r="CD8" s="329"/>
      <c r="CE8" s="329"/>
      <c r="CF8" s="329"/>
      <c r="CG8" s="329"/>
      <c r="CH8" s="329"/>
      <c r="CI8" s="329"/>
      <c r="CJ8" s="329"/>
      <c r="CK8" s="329"/>
      <c r="CL8" s="329"/>
      <c r="CM8" s="329"/>
      <c r="CN8" s="329"/>
      <c r="CO8" s="329"/>
      <c r="CP8" s="329"/>
      <c r="CQ8" s="329"/>
      <c r="CR8" s="329"/>
      <c r="CS8" s="329"/>
      <c r="CT8" s="329"/>
      <c r="CU8" s="329"/>
      <c r="CV8" s="329"/>
      <c r="CW8" s="329"/>
      <c r="CX8" s="329"/>
      <c r="CY8" s="329"/>
      <c r="CZ8" s="329"/>
      <c r="DA8" s="329"/>
      <c r="DB8" s="329"/>
      <c r="DC8" s="329"/>
      <c r="DD8" s="329"/>
      <c r="DE8" s="329"/>
      <c r="DF8" s="329"/>
      <c r="DG8" s="329"/>
      <c r="DH8" s="329"/>
      <c r="DI8" s="329"/>
      <c r="DJ8" s="329"/>
      <c r="DK8" s="329"/>
      <c r="DL8" s="329"/>
      <c r="DM8" s="329"/>
      <c r="DN8" s="329"/>
      <c r="DO8" s="329"/>
      <c r="DP8" s="329"/>
      <c r="DQ8" s="329"/>
      <c r="DR8" s="329"/>
      <c r="DS8" s="329"/>
      <c r="DT8" s="329"/>
      <c r="DU8" s="329"/>
      <c r="DV8" s="329"/>
      <c r="DW8" s="329"/>
      <c r="DX8" s="330"/>
      <c r="DY8" s="330"/>
      <c r="DZ8" s="330"/>
      <c r="EA8" s="330"/>
      <c r="EB8" s="330"/>
      <c r="EC8" s="330"/>
      <c r="ED8" s="330"/>
      <c r="EE8" s="330"/>
      <c r="EF8" s="330"/>
      <c r="EG8" s="330"/>
      <c r="EH8" s="330"/>
      <c r="EI8" s="330"/>
      <c r="EJ8" s="330"/>
      <c r="EK8" s="330"/>
      <c r="EL8" s="330"/>
      <c r="EM8" s="330"/>
      <c r="EN8" s="330"/>
      <c r="EO8" s="330"/>
      <c r="EP8" s="330"/>
      <c r="EQ8" s="330"/>
      <c r="ER8" s="330"/>
      <c r="ES8" s="330"/>
      <c r="ET8" s="330"/>
      <c r="EU8" s="330"/>
      <c r="EV8" s="330"/>
      <c r="EW8" s="330"/>
      <c r="EX8" s="330">
        <f>'6-бутерброд с колбасой'!C20</f>
        <v>0.03</v>
      </c>
      <c r="EY8" s="1032">
        <f t="shared" si="0"/>
        <v>5.0999999999999997E-2</v>
      </c>
      <c r="EZ8" s="819"/>
      <c r="FA8" s="819"/>
      <c r="FB8" s="819"/>
      <c r="FC8" s="819"/>
      <c r="FD8" s="819"/>
      <c r="FE8" s="819"/>
      <c r="FF8" s="819"/>
      <c r="FG8" s="819"/>
      <c r="FH8" s="819"/>
      <c r="FI8" s="819"/>
      <c r="FJ8" s="819"/>
    </row>
    <row r="9" spans="1:166" ht="14.7" customHeight="1" x14ac:dyDescent="0.25">
      <c r="A9" s="421">
        <v>5</v>
      </c>
      <c r="B9" s="183" t="str">
        <f>'7-бутерброд горяч. с сыром'!A9</f>
        <v>Бутерброды горячие с сыром российским</v>
      </c>
      <c r="C9" s="419">
        <f>'7-бутерброд горяч. с сыром'!C25</f>
        <v>50</v>
      </c>
      <c r="D9" s="1209">
        <f>5.58/50*C9</f>
        <v>5.58</v>
      </c>
      <c r="E9" s="1209">
        <f>8.32/50*C9</f>
        <v>8.32</v>
      </c>
      <c r="F9" s="1209">
        <f>14.84/50*C9</f>
        <v>14.84</v>
      </c>
      <c r="G9" s="1210">
        <f>157/50*C9</f>
        <v>157</v>
      </c>
      <c r="H9" s="419">
        <f>'7-бутерброд горяч. с сыром'!J7</f>
        <v>7</v>
      </c>
      <c r="I9" s="483">
        <f>'7-бутерброд горяч. с сыром'!F27</f>
        <v>17.829999999999998</v>
      </c>
      <c r="J9" s="329"/>
      <c r="K9" s="394"/>
      <c r="L9" s="394"/>
      <c r="M9" s="394"/>
      <c r="N9" s="329"/>
      <c r="O9" s="329"/>
      <c r="P9" s="329"/>
      <c r="Q9" s="329"/>
      <c r="R9" s="329"/>
      <c r="S9" s="329"/>
      <c r="T9" s="329"/>
      <c r="U9" s="329"/>
      <c r="V9" s="329">
        <f>'7-бутерброд горяч. с сыром'!C20</f>
        <v>6.0000000000000001E-3</v>
      </c>
      <c r="W9" s="329">
        <f>'7-бутерброд горяч. с сыром'!C19</f>
        <v>1.6E-2</v>
      </c>
      <c r="X9" s="329"/>
      <c r="Y9" s="329"/>
      <c r="Z9" s="329"/>
      <c r="AA9" s="329"/>
      <c r="AB9" s="329"/>
      <c r="AC9" s="329"/>
      <c r="AD9" s="329"/>
      <c r="AE9" s="330"/>
      <c r="AF9" s="329"/>
      <c r="AG9" s="329"/>
      <c r="AH9" s="329"/>
      <c r="AI9" s="329"/>
      <c r="AJ9" s="329"/>
      <c r="AK9" s="329"/>
      <c r="AL9" s="329"/>
      <c r="AM9" s="329"/>
      <c r="AN9" s="329"/>
      <c r="AO9" s="329"/>
      <c r="AP9" s="329"/>
      <c r="AQ9" s="329"/>
      <c r="AR9" s="329"/>
      <c r="AS9" s="329"/>
      <c r="AT9" s="329"/>
      <c r="AU9" s="329"/>
      <c r="AV9" s="329"/>
      <c r="AW9" s="329"/>
      <c r="AX9" s="329"/>
      <c r="AY9" s="329"/>
      <c r="AZ9" s="329"/>
      <c r="BA9" s="329"/>
      <c r="BB9" s="329"/>
      <c r="BC9" s="329"/>
      <c r="BD9" s="329"/>
      <c r="BE9" s="329"/>
      <c r="BF9" s="329"/>
      <c r="BG9" s="329"/>
      <c r="BH9" s="329"/>
      <c r="BI9" s="329"/>
      <c r="BJ9" s="329"/>
      <c r="BK9" s="329"/>
      <c r="BL9" s="329"/>
      <c r="BM9" s="329"/>
      <c r="BN9" s="329"/>
      <c r="BO9" s="329"/>
      <c r="BP9" s="329"/>
      <c r="BQ9" s="329"/>
      <c r="BR9" s="329"/>
      <c r="BS9" s="329"/>
      <c r="BT9" s="329"/>
      <c r="BU9" s="329"/>
      <c r="BV9" s="329"/>
      <c r="BW9" s="329"/>
      <c r="BX9" s="329"/>
      <c r="BY9" s="329"/>
      <c r="BZ9" s="329"/>
      <c r="CA9" s="329"/>
      <c r="CB9" s="329"/>
      <c r="CC9" s="329"/>
      <c r="CD9" s="329"/>
      <c r="CE9" s="329"/>
      <c r="CF9" s="329"/>
      <c r="CG9" s="329"/>
      <c r="CH9" s="329"/>
      <c r="CI9" s="329"/>
      <c r="CJ9" s="329"/>
      <c r="CK9" s="329"/>
      <c r="CL9" s="329"/>
      <c r="CM9" s="329"/>
      <c r="CN9" s="329"/>
      <c r="CO9" s="329"/>
      <c r="CP9" s="329"/>
      <c r="CQ9" s="329"/>
      <c r="CR9" s="329"/>
      <c r="CS9" s="329"/>
      <c r="CT9" s="329"/>
      <c r="CU9" s="329"/>
      <c r="CV9" s="329"/>
      <c r="CW9" s="329"/>
      <c r="CX9" s="329"/>
      <c r="CY9" s="329"/>
      <c r="CZ9" s="329"/>
      <c r="DA9" s="329"/>
      <c r="DB9" s="329"/>
      <c r="DC9" s="329"/>
      <c r="DD9" s="329"/>
      <c r="DE9" s="329"/>
      <c r="DF9" s="329"/>
      <c r="DG9" s="329"/>
      <c r="DH9" s="329"/>
      <c r="DI9" s="329"/>
      <c r="DJ9" s="329"/>
      <c r="DK9" s="329"/>
      <c r="DL9" s="329"/>
      <c r="DM9" s="329"/>
      <c r="DN9" s="329"/>
      <c r="DO9" s="329"/>
      <c r="DP9" s="329"/>
      <c r="DQ9" s="329"/>
      <c r="DR9" s="329"/>
      <c r="DS9" s="329"/>
      <c r="DT9" s="329"/>
      <c r="DU9" s="329"/>
      <c r="DV9" s="329"/>
      <c r="DW9" s="329"/>
      <c r="DX9" s="330"/>
      <c r="DY9" s="330"/>
      <c r="DZ9" s="330"/>
      <c r="EA9" s="330"/>
      <c r="EB9" s="330"/>
      <c r="EC9" s="330"/>
      <c r="ED9" s="330"/>
      <c r="EE9" s="330"/>
      <c r="EF9" s="330"/>
      <c r="EG9" s="330"/>
      <c r="EH9" s="330"/>
      <c r="EI9" s="330"/>
      <c r="EJ9" s="330"/>
      <c r="EK9" s="330"/>
      <c r="EL9" s="330"/>
      <c r="EM9" s="330"/>
      <c r="EN9" s="330"/>
      <c r="EO9" s="330"/>
      <c r="EP9" s="330"/>
      <c r="EQ9" s="330"/>
      <c r="ER9" s="330"/>
      <c r="ES9" s="330"/>
      <c r="ET9" s="330"/>
      <c r="EU9" s="330"/>
      <c r="EV9" s="330"/>
      <c r="EW9" s="330"/>
      <c r="EX9" s="330">
        <f>'7-бутерброд горяч. с сыром'!C21</f>
        <v>0.03</v>
      </c>
      <c r="EY9" s="1032">
        <f t="shared" si="0"/>
        <v>5.1999999999999998E-2</v>
      </c>
      <c r="EZ9" s="819"/>
      <c r="FA9" s="819"/>
      <c r="FB9" s="819"/>
      <c r="FC9" s="819"/>
      <c r="FD9" s="819"/>
      <c r="FE9" s="819"/>
      <c r="FF9" s="819"/>
      <c r="FG9" s="819"/>
      <c r="FH9" s="819"/>
      <c r="FI9" s="819"/>
      <c r="FJ9" s="819"/>
    </row>
    <row r="10" spans="1:166" ht="14.7" customHeight="1" x14ac:dyDescent="0.25">
      <c r="A10" s="421">
        <v>6</v>
      </c>
      <c r="B10" s="183" t="str">
        <f>'8-бутерброд горяч. с колбас.'!A9</f>
        <v>Бутерброды горячие с колбасой</v>
      </c>
      <c r="C10" s="419">
        <f>'8-бутерброд горяч. с колбас.'!C26</f>
        <v>60</v>
      </c>
      <c r="D10" s="1209">
        <f>6.67/60*C10</f>
        <v>6.67</v>
      </c>
      <c r="E10" s="1209">
        <f>8.47/60*C10</f>
        <v>8.4700000000000006</v>
      </c>
      <c r="F10" s="1209">
        <f>14.98/60*C10</f>
        <v>14.98</v>
      </c>
      <c r="G10" s="1210">
        <f>163/60*C10</f>
        <v>163</v>
      </c>
      <c r="H10" s="419">
        <f>'8-бутерброд горяч. с колбас.'!J7</f>
        <v>8</v>
      </c>
      <c r="I10" s="483">
        <f>'8-бутерброд горяч. с колбас.'!F28</f>
        <v>16.920000000000002</v>
      </c>
      <c r="J10" s="329"/>
      <c r="K10" s="329"/>
      <c r="L10" s="329"/>
      <c r="M10" s="329"/>
      <c r="N10" s="329"/>
      <c r="O10" s="329">
        <f>'8-бутерброд горяч. с колбас.'!C19</f>
        <v>1.6E-2</v>
      </c>
      <c r="P10" s="329"/>
      <c r="Q10" s="329"/>
      <c r="R10" s="329"/>
      <c r="S10" s="329"/>
      <c r="T10" s="329"/>
      <c r="U10" s="329"/>
      <c r="V10" s="329"/>
      <c r="W10" s="329">
        <f>'8-бутерброд горяч. с колбас.'!C21</f>
        <v>1.0500000000000001E-2</v>
      </c>
      <c r="X10" s="329"/>
      <c r="Y10" s="329"/>
      <c r="Z10" s="329"/>
      <c r="AA10" s="329"/>
      <c r="AB10" s="329"/>
      <c r="AC10" s="329"/>
      <c r="AD10" s="329"/>
      <c r="AE10" s="330"/>
      <c r="AF10" s="329"/>
      <c r="AG10" s="329"/>
      <c r="AH10" s="329"/>
      <c r="AI10" s="329"/>
      <c r="AJ10" s="329"/>
      <c r="AK10" s="329"/>
      <c r="AL10" s="329"/>
      <c r="AM10" s="329"/>
      <c r="AN10" s="329"/>
      <c r="AO10" s="329">
        <f>'8-бутерброд горяч. с колбас.'!C22</f>
        <v>1.7000000000000001E-2</v>
      </c>
      <c r="AP10" s="329"/>
      <c r="AQ10" s="329"/>
      <c r="AR10" s="329"/>
      <c r="AS10" s="329"/>
      <c r="AT10" s="329"/>
      <c r="AU10" s="329"/>
      <c r="AV10" s="329"/>
      <c r="AW10" s="329"/>
      <c r="AX10" s="329"/>
      <c r="AY10" s="329"/>
      <c r="AZ10" s="329"/>
      <c r="BA10" s="329"/>
      <c r="BB10" s="329"/>
      <c r="BC10" s="329"/>
      <c r="BD10" s="329"/>
      <c r="BE10" s="329"/>
      <c r="BF10" s="329"/>
      <c r="BG10" s="329"/>
      <c r="BH10" s="329"/>
      <c r="BI10" s="329"/>
      <c r="BJ10" s="329"/>
      <c r="BK10" s="329"/>
      <c r="BL10" s="329"/>
      <c r="BM10" s="329"/>
      <c r="BN10" s="329"/>
      <c r="BO10" s="329"/>
      <c r="BP10" s="329"/>
      <c r="BQ10" s="329"/>
      <c r="BR10" s="329"/>
      <c r="BS10" s="329"/>
      <c r="BT10" s="329"/>
      <c r="BU10" s="329"/>
      <c r="BV10" s="329"/>
      <c r="BW10" s="329"/>
      <c r="BX10" s="329"/>
      <c r="BY10" s="329"/>
      <c r="BZ10" s="329"/>
      <c r="CA10" s="329"/>
      <c r="CB10" s="329"/>
      <c r="CC10" s="329"/>
      <c r="CD10" s="329"/>
      <c r="CE10" s="329"/>
      <c r="CF10" s="329"/>
      <c r="CG10" s="329"/>
      <c r="CH10" s="329"/>
      <c r="CI10" s="329"/>
      <c r="CJ10" s="329"/>
      <c r="CK10" s="329"/>
      <c r="CL10" s="329"/>
      <c r="CM10" s="329"/>
      <c r="CN10" s="329"/>
      <c r="CO10" s="329"/>
      <c r="CP10" s="329"/>
      <c r="CQ10" s="329"/>
      <c r="CR10" s="329"/>
      <c r="CS10" s="329"/>
      <c r="CT10" s="329"/>
      <c r="CU10" s="329"/>
      <c r="CV10" s="329"/>
      <c r="CW10" s="329"/>
      <c r="CX10" s="329"/>
      <c r="CY10" s="329"/>
      <c r="CZ10" s="329"/>
      <c r="DA10" s="329"/>
      <c r="DB10" s="329"/>
      <c r="DC10" s="329"/>
      <c r="DD10" s="329"/>
      <c r="DE10" s="329"/>
      <c r="DF10" s="329"/>
      <c r="DG10" s="329"/>
      <c r="DH10" s="329"/>
      <c r="DI10" s="329"/>
      <c r="DJ10" s="329"/>
      <c r="DK10" s="329"/>
      <c r="DL10" s="329"/>
      <c r="DM10" s="329"/>
      <c r="DN10" s="329"/>
      <c r="DO10" s="329"/>
      <c r="DP10" s="329"/>
      <c r="DQ10" s="329"/>
      <c r="DR10" s="329"/>
      <c r="DS10" s="329"/>
      <c r="DT10" s="329"/>
      <c r="DU10" s="329"/>
      <c r="DV10" s="329"/>
      <c r="DW10" s="329"/>
      <c r="DX10" s="330"/>
      <c r="DY10" s="330"/>
      <c r="DZ10" s="330"/>
      <c r="EA10" s="330"/>
      <c r="EB10" s="330"/>
      <c r="EC10" s="330"/>
      <c r="ED10" s="330"/>
      <c r="EE10" s="330"/>
      <c r="EF10" s="330"/>
      <c r="EG10" s="330"/>
      <c r="EH10" s="330"/>
      <c r="EI10" s="330"/>
      <c r="EJ10" s="330"/>
      <c r="EK10" s="330"/>
      <c r="EL10" s="330"/>
      <c r="EM10" s="330"/>
      <c r="EN10" s="330"/>
      <c r="EO10" s="330"/>
      <c r="EP10" s="330"/>
      <c r="EQ10" s="330"/>
      <c r="ER10" s="330"/>
      <c r="ES10" s="330"/>
      <c r="ET10" s="330"/>
      <c r="EU10" s="330"/>
      <c r="EV10" s="330">
        <f>'8-бутерброд горяч. с колбас.'!C20</f>
        <v>0.03</v>
      </c>
      <c r="EW10" s="330"/>
      <c r="EX10" s="330"/>
      <c r="EY10" s="1032">
        <f t="shared" si="0"/>
        <v>7.3499999999999996E-2</v>
      </c>
      <c r="EZ10" s="819"/>
      <c r="FA10" s="819"/>
      <c r="FB10" s="819"/>
      <c r="FC10" s="819"/>
      <c r="FD10" s="819"/>
      <c r="FE10" s="819"/>
      <c r="FF10" s="819"/>
      <c r="FG10" s="819"/>
      <c r="FH10" s="819"/>
      <c r="FI10" s="819"/>
      <c r="FJ10" s="819"/>
    </row>
    <row r="11" spans="1:166" ht="14.7" customHeight="1" x14ac:dyDescent="0.25">
      <c r="A11" s="421">
        <v>7</v>
      </c>
      <c r="B11" s="183" t="str">
        <f>'11-гамбургер с сосиской'!A9</f>
        <v>Гамбургер с сосиской молочной</v>
      </c>
      <c r="C11" s="419">
        <f>'11-гамбургер с сосиской'!C26</f>
        <v>75</v>
      </c>
      <c r="D11" s="1209">
        <f>5.98/75*C11</f>
        <v>5.98</v>
      </c>
      <c r="E11" s="1209">
        <f>2.37/75*C11</f>
        <v>2.37</v>
      </c>
      <c r="F11" s="1209">
        <f>17.47/75*C11</f>
        <v>17.47</v>
      </c>
      <c r="G11" s="1210">
        <f>115/75*C11</f>
        <v>115</v>
      </c>
      <c r="H11" s="419">
        <f>'11-гамбургер с сосиской'!J7</f>
        <v>11</v>
      </c>
      <c r="I11" s="483">
        <f>'11-гамбургер с сосиской'!F28</f>
        <v>13.65</v>
      </c>
      <c r="J11" s="329"/>
      <c r="K11" s="329"/>
      <c r="L11" s="329"/>
      <c r="M11" s="329"/>
      <c r="N11" s="329">
        <f>'11-гамбургер с сосиской'!C21</f>
        <v>3.1E-2</v>
      </c>
      <c r="O11" s="329"/>
      <c r="P11" s="329"/>
      <c r="Q11" s="329"/>
      <c r="R11" s="329"/>
      <c r="S11" s="329"/>
      <c r="T11" s="329"/>
      <c r="U11" s="329"/>
      <c r="V11" s="329"/>
      <c r="W11" s="329"/>
      <c r="X11" s="329"/>
      <c r="Y11" s="329"/>
      <c r="Z11" s="329"/>
      <c r="AA11" s="329"/>
      <c r="AB11" s="329"/>
      <c r="AC11" s="329"/>
      <c r="AD11" s="329"/>
      <c r="AE11" s="330"/>
      <c r="AF11" s="329"/>
      <c r="AG11" s="329"/>
      <c r="AH11" s="329"/>
      <c r="AI11" s="329"/>
      <c r="AJ11" s="329"/>
      <c r="AK11" s="329"/>
      <c r="AL11" s="329"/>
      <c r="AM11" s="329"/>
      <c r="AN11" s="329"/>
      <c r="AO11" s="329"/>
      <c r="AP11" s="329"/>
      <c r="AQ11" s="329"/>
      <c r="AR11" s="329"/>
      <c r="AS11" s="329"/>
      <c r="AT11" s="329"/>
      <c r="AU11" s="329"/>
      <c r="AV11" s="329"/>
      <c r="AW11" s="329"/>
      <c r="AX11" s="329"/>
      <c r="AY11" s="329"/>
      <c r="AZ11" s="329"/>
      <c r="BA11" s="329"/>
      <c r="BB11" s="329"/>
      <c r="BC11" s="329"/>
      <c r="BD11" s="329"/>
      <c r="BE11" s="329"/>
      <c r="BF11" s="329"/>
      <c r="BG11" s="329"/>
      <c r="BH11" s="329"/>
      <c r="BI11" s="329"/>
      <c r="BJ11" s="329"/>
      <c r="BK11" s="329"/>
      <c r="BL11" s="329"/>
      <c r="BM11" s="329"/>
      <c r="BN11" s="329"/>
      <c r="BO11" s="329"/>
      <c r="BP11" s="329"/>
      <c r="BQ11" s="329"/>
      <c r="BR11" s="329"/>
      <c r="BS11" s="329">
        <f>('428-булочка школьная 30г'!C19+'428-булочка школьная 30г'!C20)/6000*30</f>
        <v>2.4580000000000001E-2</v>
      </c>
      <c r="BT11" s="329"/>
      <c r="BU11" s="329"/>
      <c r="BV11" s="329"/>
      <c r="BW11" s="329"/>
      <c r="BX11" s="329"/>
      <c r="BY11" s="329"/>
      <c r="BZ11" s="329"/>
      <c r="CA11" s="329"/>
      <c r="CB11" s="329"/>
      <c r="CC11" s="329"/>
      <c r="CD11" s="329"/>
      <c r="CE11" s="329">
        <f>'428-булочка школьная 30г'!C22/6000*30</f>
        <v>7.1000000000000002E-4</v>
      </c>
      <c r="CF11" s="329">
        <f>'428-булочка школьная 30г'!C23/6000*30</f>
        <v>1.2E-4</v>
      </c>
      <c r="CG11" s="329"/>
      <c r="CH11" s="329"/>
      <c r="CI11" s="329"/>
      <c r="CJ11" s="329"/>
      <c r="CK11" s="329"/>
      <c r="CL11" s="329">
        <f>'428-булочка школьная 30г'!C24/6000*30</f>
        <v>2.4000000000000001E-4</v>
      </c>
      <c r="CM11" s="329"/>
      <c r="CN11" s="329"/>
      <c r="CO11" s="329"/>
      <c r="CP11" s="329">
        <f>'11-гамбургер с сосиской'!C20</f>
        <v>5.0000000000000001E-3</v>
      </c>
      <c r="CQ11" s="329"/>
      <c r="CR11" s="329"/>
      <c r="CS11" s="329"/>
      <c r="CT11" s="329">
        <f>'11-гамбургер с сосиской'!C22</f>
        <v>1.2999999999999999E-2</v>
      </c>
      <c r="CU11" s="329"/>
      <c r="CV11" s="329"/>
      <c r="CW11" s="329"/>
      <c r="CX11" s="329"/>
      <c r="CY11" s="329"/>
      <c r="CZ11" s="329">
        <f>'428-булочка школьная 30г'!C21/6000*30</f>
        <v>1.41E-3</v>
      </c>
      <c r="DA11" s="329"/>
      <c r="DB11" s="329"/>
      <c r="DC11" s="329">
        <f>'428-булочка школьная 30г'!C25/6000*30</f>
        <v>3.6000000000000002E-4</v>
      </c>
      <c r="DD11" s="329"/>
      <c r="DE11" s="329"/>
      <c r="DF11" s="329"/>
      <c r="DG11" s="329"/>
      <c r="DH11" s="329"/>
      <c r="DI11" s="329"/>
      <c r="DJ11" s="329"/>
      <c r="DK11" s="329"/>
      <c r="DL11" s="329"/>
      <c r="DM11" s="329"/>
      <c r="DN11" s="329"/>
      <c r="DO11" s="329"/>
      <c r="DP11" s="329"/>
      <c r="DQ11" s="329"/>
      <c r="DR11" s="329"/>
      <c r="DS11" s="329"/>
      <c r="DT11" s="329"/>
      <c r="DU11" s="329"/>
      <c r="DV11" s="329"/>
      <c r="DW11" s="329"/>
      <c r="DX11" s="330"/>
      <c r="DY11" s="330"/>
      <c r="DZ11" s="330"/>
      <c r="EA11" s="330"/>
      <c r="EB11" s="330"/>
      <c r="EC11" s="330"/>
      <c r="ED11" s="330"/>
      <c r="EE11" s="330"/>
      <c r="EF11" s="330"/>
      <c r="EG11" s="330"/>
      <c r="EH11" s="330"/>
      <c r="EI11" s="330"/>
      <c r="EJ11" s="330"/>
      <c r="EK11" s="330"/>
      <c r="EL11" s="330"/>
      <c r="EM11" s="330"/>
      <c r="EN11" s="330"/>
      <c r="EO11" s="330"/>
      <c r="EP11" s="330"/>
      <c r="EQ11" s="330"/>
      <c r="ER11" s="330"/>
      <c r="ES11" s="330"/>
      <c r="ET11" s="330"/>
      <c r="EU11" s="330"/>
      <c r="EV11" s="330"/>
      <c r="EW11" s="330"/>
      <c r="EX11" s="330"/>
      <c r="EY11" s="1032">
        <f t="shared" si="0"/>
        <v>7.6420000000000002E-2</v>
      </c>
      <c r="EZ11" s="822"/>
      <c r="FA11" s="822"/>
      <c r="FB11" s="822"/>
      <c r="FC11" s="822"/>
      <c r="FD11" s="822"/>
      <c r="FE11" s="822"/>
      <c r="FF11" s="822"/>
      <c r="FG11" s="822"/>
      <c r="FH11" s="822"/>
      <c r="FI11" s="822"/>
      <c r="FJ11" s="822"/>
    </row>
    <row r="12" spans="1:166" ht="14.7" customHeight="1" x14ac:dyDescent="0.25">
      <c r="A12" s="421">
        <v>8</v>
      </c>
      <c r="B12" s="183" t="str">
        <f>'13-чизбургер'!A9</f>
        <v>Чизбургер</v>
      </c>
      <c r="C12" s="419">
        <f>'11-гамбургер с сосиской'!C26</f>
        <v>75</v>
      </c>
      <c r="D12" s="1211">
        <f>5.56/75*C12</f>
        <v>5.56</v>
      </c>
      <c r="E12" s="1211">
        <f>4.62/75*C12</f>
        <v>4.62</v>
      </c>
      <c r="F12" s="1211">
        <f>17.43/75*C12</f>
        <v>17.43</v>
      </c>
      <c r="G12" s="1212">
        <f>134/75*C12</f>
        <v>134</v>
      </c>
      <c r="H12" s="419">
        <f>'13-чизбургер'!J7</f>
        <v>13</v>
      </c>
      <c r="I12" s="483">
        <f>'13-чизбургер'!F30</f>
        <v>12.48</v>
      </c>
      <c r="J12" s="330"/>
      <c r="K12" s="330"/>
      <c r="L12" s="330"/>
      <c r="M12" s="330"/>
      <c r="N12" s="330"/>
      <c r="O12" s="330"/>
      <c r="P12" s="330"/>
      <c r="Q12" s="330"/>
      <c r="R12" s="330"/>
      <c r="S12" s="330"/>
      <c r="T12" s="330"/>
      <c r="U12" s="330"/>
      <c r="V12" s="330"/>
      <c r="W12" s="330">
        <f>'13-чизбургер'!C24</f>
        <v>1.03E-2</v>
      </c>
      <c r="X12" s="330"/>
      <c r="Y12" s="330"/>
      <c r="Z12" s="330"/>
      <c r="AA12" s="330"/>
      <c r="AB12" s="330"/>
      <c r="AC12" s="330"/>
      <c r="AD12" s="330"/>
      <c r="AE12" s="330">
        <f>'13-чизбургер'!C23</f>
        <v>4.5999999999999999E-3</v>
      </c>
      <c r="AF12" s="330"/>
      <c r="AG12" s="330"/>
      <c r="AH12" s="330"/>
      <c r="AI12" s="330"/>
      <c r="AJ12" s="330"/>
      <c r="AK12" s="330"/>
      <c r="AL12" s="330"/>
      <c r="AM12" s="330"/>
      <c r="AN12" s="330"/>
      <c r="AO12" s="330"/>
      <c r="AP12" s="330">
        <f>'13-чизбургер'!C21</f>
        <v>4.0000000000000001E-3</v>
      </c>
      <c r="AQ12" s="330"/>
      <c r="AR12" s="330"/>
      <c r="AS12" s="330"/>
      <c r="AT12" s="330"/>
      <c r="AU12" s="330"/>
      <c r="AV12" s="330"/>
      <c r="AW12" s="330"/>
      <c r="AX12" s="330"/>
      <c r="AY12" s="330"/>
      <c r="AZ12" s="330"/>
      <c r="BA12" s="330"/>
      <c r="BB12" s="330"/>
      <c r="BC12" s="330"/>
      <c r="BD12" s="330"/>
      <c r="BE12" s="330"/>
      <c r="BF12" s="330"/>
      <c r="BG12" s="330"/>
      <c r="BH12" s="330"/>
      <c r="BI12" s="330"/>
      <c r="BJ12" s="330"/>
      <c r="BK12" s="330"/>
      <c r="BL12" s="330"/>
      <c r="BM12" s="330"/>
      <c r="BN12" s="330"/>
      <c r="BO12" s="330"/>
      <c r="BP12" s="330"/>
      <c r="BQ12" s="330"/>
      <c r="BR12" s="330"/>
      <c r="BS12" s="330">
        <f>'428-булочка школьная 30г'!C19/200+'428-булочка школьная 30г'!C20/200</f>
        <v>2.4580000000000001E-2</v>
      </c>
      <c r="BT12" s="330"/>
      <c r="BU12" s="330"/>
      <c r="BV12" s="330"/>
      <c r="BW12" s="330"/>
      <c r="BX12" s="330"/>
      <c r="BY12" s="330"/>
      <c r="BZ12" s="330"/>
      <c r="CA12" s="330"/>
      <c r="CB12" s="330"/>
      <c r="CC12" s="330"/>
      <c r="CD12" s="330"/>
      <c r="CE12" s="329">
        <f>'428-булочка школьная 30г'!C22/6000*30</f>
        <v>7.1000000000000002E-4</v>
      </c>
      <c r="CF12" s="329">
        <f>'428-булочка школьная 30г'!C23/6000*30</f>
        <v>1.2E-4</v>
      </c>
      <c r="CG12" s="330"/>
      <c r="CH12" s="330"/>
      <c r="CI12" s="330"/>
      <c r="CJ12" s="330"/>
      <c r="CK12" s="330"/>
      <c r="CL12" s="329">
        <f>'428-булочка школьная 30г'!C24/6000*30</f>
        <v>2.4000000000000001E-4</v>
      </c>
      <c r="CM12" s="330"/>
      <c r="CN12" s="330"/>
      <c r="CO12" s="330"/>
      <c r="CP12" s="330">
        <f>'13-чизбургер'!C20</f>
        <v>5.0000000000000001E-3</v>
      </c>
      <c r="CQ12" s="330"/>
      <c r="CR12" s="330"/>
      <c r="CS12" s="330"/>
      <c r="CT12" s="330">
        <f>'13-чизбургер'!C22</f>
        <v>1.2999999999999999E-2</v>
      </c>
      <c r="CU12" s="330"/>
      <c r="CV12" s="330"/>
      <c r="CW12" s="330"/>
      <c r="CX12" s="330"/>
      <c r="CY12" s="330"/>
      <c r="CZ12" s="329">
        <f>'428-булочка школьная 30г'!C21/6000*30</f>
        <v>1.41E-3</v>
      </c>
      <c r="DA12" s="330"/>
      <c r="DB12" s="330"/>
      <c r="DC12" s="329">
        <f>'428-булочка школьная 30г'!C25/6000*30</f>
        <v>3.6000000000000002E-4</v>
      </c>
      <c r="DD12" s="330"/>
      <c r="DE12" s="330"/>
      <c r="DF12" s="330"/>
      <c r="DG12" s="330"/>
      <c r="DH12" s="330"/>
      <c r="DI12" s="330"/>
      <c r="DJ12" s="330"/>
      <c r="DK12" s="330"/>
      <c r="DL12" s="330"/>
      <c r="DM12" s="330"/>
      <c r="DN12" s="330"/>
      <c r="DO12" s="330"/>
      <c r="DP12" s="330"/>
      <c r="DQ12" s="330"/>
      <c r="DR12" s="330"/>
      <c r="DS12" s="330"/>
      <c r="DT12" s="330"/>
      <c r="DU12" s="330"/>
      <c r="DV12" s="330"/>
      <c r="DW12" s="330"/>
      <c r="DX12" s="330"/>
      <c r="DY12" s="330"/>
      <c r="DZ12" s="330"/>
      <c r="EA12" s="330"/>
      <c r="EB12" s="330"/>
      <c r="EC12" s="330"/>
      <c r="ED12" s="330"/>
      <c r="EE12" s="330"/>
      <c r="EF12" s="330"/>
      <c r="EG12" s="330"/>
      <c r="EH12" s="330"/>
      <c r="EI12" s="330"/>
      <c r="EJ12" s="330"/>
      <c r="EK12" s="330"/>
      <c r="EL12" s="330"/>
      <c r="EM12" s="330"/>
      <c r="EN12" s="330"/>
      <c r="EO12" s="330"/>
      <c r="EP12" s="330"/>
      <c r="EQ12" s="330"/>
      <c r="ER12" s="330"/>
      <c r="ES12" s="330"/>
      <c r="ET12" s="330"/>
      <c r="EU12" s="330"/>
      <c r="EV12" s="330"/>
      <c r="EW12" s="330"/>
      <c r="EX12" s="330"/>
      <c r="EY12" s="1032">
        <f t="shared" si="0"/>
        <v>6.4320000000000002E-2</v>
      </c>
    </row>
    <row r="13" spans="1:166" ht="14.7" customHeight="1" x14ac:dyDescent="0.25">
      <c r="A13" s="421">
        <v>9</v>
      </c>
      <c r="B13" s="183" t="str">
        <f>'14-масло'!A9</f>
        <v>Масло сливочное (порциями)</v>
      </c>
      <c r="C13" s="419">
        <f>'14-масло'!C23</f>
        <v>10</v>
      </c>
      <c r="D13" s="1209">
        <f>0.08/10*C13</f>
        <v>0.08</v>
      </c>
      <c r="E13" s="1209">
        <f>7.25/10*C13</f>
        <v>7.25</v>
      </c>
      <c r="F13" s="1209">
        <f>0.13/10*C13</f>
        <v>0.13</v>
      </c>
      <c r="G13" s="1210">
        <f>66/10*C13</f>
        <v>66</v>
      </c>
      <c r="H13" s="419">
        <f>'14-масло'!J7</f>
        <v>14</v>
      </c>
      <c r="I13" s="483">
        <f>'14-масло'!F25</f>
        <v>7.1</v>
      </c>
      <c r="J13" s="329"/>
      <c r="K13" s="329"/>
      <c r="L13" s="329"/>
      <c r="M13" s="329"/>
      <c r="N13" s="329"/>
      <c r="O13" s="329"/>
      <c r="P13" s="329"/>
      <c r="Q13" s="329"/>
      <c r="R13" s="329"/>
      <c r="S13" s="329"/>
      <c r="T13" s="329"/>
      <c r="U13" s="329"/>
      <c r="V13" s="329">
        <f>'14-масло'!C19</f>
        <v>0.01</v>
      </c>
      <c r="W13" s="329"/>
      <c r="X13" s="329"/>
      <c r="Y13" s="329"/>
      <c r="Z13" s="329"/>
      <c r="AA13" s="329"/>
      <c r="AB13" s="329"/>
      <c r="AC13" s="329"/>
      <c r="AD13" s="329"/>
      <c r="AE13" s="330"/>
      <c r="AF13" s="329"/>
      <c r="AG13" s="329"/>
      <c r="AH13" s="329"/>
      <c r="AI13" s="329"/>
      <c r="AJ13" s="329"/>
      <c r="AK13" s="329"/>
      <c r="AL13" s="329"/>
      <c r="AM13" s="329"/>
      <c r="AN13" s="329"/>
      <c r="AO13" s="329"/>
      <c r="AP13" s="329"/>
      <c r="AQ13" s="329"/>
      <c r="AR13" s="329"/>
      <c r="AS13" s="329"/>
      <c r="AT13" s="329"/>
      <c r="AU13" s="329"/>
      <c r="AV13" s="329"/>
      <c r="AW13" s="329"/>
      <c r="AX13" s="329"/>
      <c r="AY13" s="329"/>
      <c r="AZ13" s="329"/>
      <c r="BA13" s="329"/>
      <c r="BB13" s="329"/>
      <c r="BC13" s="329"/>
      <c r="BD13" s="329"/>
      <c r="BE13" s="329"/>
      <c r="BF13" s="329"/>
      <c r="BG13" s="329"/>
      <c r="BH13" s="329"/>
      <c r="BI13" s="329"/>
      <c r="BJ13" s="329"/>
      <c r="BK13" s="329"/>
      <c r="BL13" s="329"/>
      <c r="BM13" s="329"/>
      <c r="BN13" s="329"/>
      <c r="BO13" s="329"/>
      <c r="BP13" s="329"/>
      <c r="BQ13" s="329"/>
      <c r="BR13" s="329"/>
      <c r="BS13" s="329"/>
      <c r="BT13" s="329"/>
      <c r="BU13" s="329"/>
      <c r="BV13" s="329"/>
      <c r="BW13" s="329"/>
      <c r="BX13" s="329"/>
      <c r="BY13" s="329"/>
      <c r="BZ13" s="329"/>
      <c r="CA13" s="329"/>
      <c r="CB13" s="329"/>
      <c r="CC13" s="329"/>
      <c r="CD13" s="329"/>
      <c r="CE13" s="329"/>
      <c r="CF13" s="329"/>
      <c r="CG13" s="329"/>
      <c r="CH13" s="329"/>
      <c r="CI13" s="329"/>
      <c r="CJ13" s="329"/>
      <c r="CK13" s="329"/>
      <c r="CL13" s="329"/>
      <c r="CM13" s="329"/>
      <c r="CN13" s="329"/>
      <c r="CO13" s="329"/>
      <c r="CP13" s="329"/>
      <c r="CQ13" s="329"/>
      <c r="CR13" s="329"/>
      <c r="CS13" s="329"/>
      <c r="CT13" s="329"/>
      <c r="CU13" s="329"/>
      <c r="CV13" s="329"/>
      <c r="CW13" s="329"/>
      <c r="CX13" s="329"/>
      <c r="CY13" s="329"/>
      <c r="CZ13" s="329"/>
      <c r="DA13" s="329"/>
      <c r="DB13" s="329"/>
      <c r="DC13" s="329"/>
      <c r="DD13" s="329"/>
      <c r="DE13" s="329"/>
      <c r="DF13" s="329"/>
      <c r="DG13" s="329"/>
      <c r="DH13" s="329"/>
      <c r="DI13" s="329"/>
      <c r="DJ13" s="329"/>
      <c r="DK13" s="329"/>
      <c r="DL13" s="329"/>
      <c r="DM13" s="329"/>
      <c r="DN13" s="329"/>
      <c r="DO13" s="329"/>
      <c r="DP13" s="329"/>
      <c r="DQ13" s="329"/>
      <c r="DR13" s="329"/>
      <c r="DS13" s="329"/>
      <c r="DT13" s="329"/>
      <c r="DU13" s="329"/>
      <c r="DV13" s="329"/>
      <c r="DW13" s="329"/>
      <c r="DX13" s="330"/>
      <c r="DY13" s="330"/>
      <c r="DZ13" s="330"/>
      <c r="EA13" s="330"/>
      <c r="EB13" s="330"/>
      <c r="EC13" s="330"/>
      <c r="ED13" s="330"/>
      <c r="EE13" s="330"/>
      <c r="EF13" s="330"/>
      <c r="EG13" s="330"/>
      <c r="EH13" s="330"/>
      <c r="EI13" s="330"/>
      <c r="EJ13" s="330"/>
      <c r="EK13" s="330"/>
      <c r="EL13" s="330"/>
      <c r="EM13" s="330"/>
      <c r="EN13" s="330"/>
      <c r="EO13" s="330"/>
      <c r="EP13" s="330"/>
      <c r="EQ13" s="330"/>
      <c r="ER13" s="330"/>
      <c r="ES13" s="330"/>
      <c r="ET13" s="330"/>
      <c r="EU13" s="330"/>
      <c r="EV13" s="330"/>
      <c r="EW13" s="330"/>
      <c r="EX13" s="330"/>
      <c r="EY13" s="1032">
        <f t="shared" si="0"/>
        <v>0.01</v>
      </c>
    </row>
    <row r="14" spans="1:166" ht="14.7" customHeight="1" x14ac:dyDescent="0.25">
      <c r="A14" s="421">
        <v>10</v>
      </c>
      <c r="B14" s="183" t="str">
        <f>'15-сыр (30)'!A9</f>
        <v xml:space="preserve">Сыр российский (порциями) </v>
      </c>
      <c r="C14" s="419">
        <f>'15-сыр (30)'!C23</f>
        <v>30</v>
      </c>
      <c r="D14" s="1209">
        <f>232/1000*C14</f>
        <v>6.96</v>
      </c>
      <c r="E14" s="1209">
        <f>295/1000*C14</f>
        <v>8.85</v>
      </c>
      <c r="F14" s="1209">
        <v>0</v>
      </c>
      <c r="G14" s="1210">
        <f>3600/1000*C14</f>
        <v>108</v>
      </c>
      <c r="H14" s="419">
        <f>'15-сыр (30)'!J7</f>
        <v>15</v>
      </c>
      <c r="I14" s="483">
        <f>'15-сыр (30)'!F25</f>
        <v>23.01</v>
      </c>
      <c r="J14" s="329"/>
      <c r="K14" s="329"/>
      <c r="L14" s="329"/>
      <c r="M14" s="329"/>
      <c r="N14" s="329"/>
      <c r="O14" s="329"/>
      <c r="P14" s="329"/>
      <c r="Q14" s="329"/>
      <c r="R14" s="329"/>
      <c r="S14" s="329"/>
      <c r="T14" s="329"/>
      <c r="U14" s="329"/>
      <c r="V14" s="329"/>
      <c r="W14" s="329">
        <f>'15-сыр (30)'!C19</f>
        <v>3.2000000000000001E-2</v>
      </c>
      <c r="X14" s="329"/>
      <c r="Y14" s="329"/>
      <c r="Z14" s="329"/>
      <c r="AA14" s="329"/>
      <c r="AB14" s="329"/>
      <c r="AC14" s="329"/>
      <c r="AD14" s="329"/>
      <c r="AE14" s="330"/>
      <c r="AF14" s="329"/>
      <c r="AG14" s="329"/>
      <c r="AH14" s="329"/>
      <c r="AI14" s="329"/>
      <c r="AJ14" s="329"/>
      <c r="AK14" s="329"/>
      <c r="AL14" s="329"/>
      <c r="AM14" s="329"/>
      <c r="AN14" s="329"/>
      <c r="AO14" s="329"/>
      <c r="AP14" s="329"/>
      <c r="AQ14" s="329"/>
      <c r="AR14" s="329"/>
      <c r="AS14" s="329"/>
      <c r="AT14" s="329"/>
      <c r="AU14" s="329"/>
      <c r="AV14" s="329"/>
      <c r="AW14" s="329"/>
      <c r="AX14" s="329"/>
      <c r="AY14" s="329"/>
      <c r="AZ14" s="329"/>
      <c r="BA14" s="329"/>
      <c r="BB14" s="329"/>
      <c r="BC14" s="329"/>
      <c r="BD14" s="329"/>
      <c r="BE14" s="329"/>
      <c r="BF14" s="329"/>
      <c r="BG14" s="329"/>
      <c r="BH14" s="329"/>
      <c r="BI14" s="329"/>
      <c r="BJ14" s="329"/>
      <c r="BK14" s="329"/>
      <c r="BL14" s="329"/>
      <c r="BM14" s="329"/>
      <c r="BN14" s="329"/>
      <c r="BO14" s="329"/>
      <c r="BP14" s="329"/>
      <c r="BQ14" s="329"/>
      <c r="BR14" s="329"/>
      <c r="BS14" s="329"/>
      <c r="BT14" s="329"/>
      <c r="BU14" s="329"/>
      <c r="BV14" s="329"/>
      <c r="BW14" s="329"/>
      <c r="BX14" s="329"/>
      <c r="BY14" s="329"/>
      <c r="BZ14" s="329"/>
      <c r="CA14" s="329"/>
      <c r="CB14" s="329"/>
      <c r="CC14" s="329"/>
      <c r="CD14" s="329"/>
      <c r="CE14" s="329"/>
      <c r="CF14" s="329"/>
      <c r="CG14" s="329"/>
      <c r="CH14" s="329"/>
      <c r="CI14" s="329"/>
      <c r="CJ14" s="329"/>
      <c r="CK14" s="329"/>
      <c r="CL14" s="329"/>
      <c r="CM14" s="329"/>
      <c r="CN14" s="329"/>
      <c r="CO14" s="329"/>
      <c r="CP14" s="329"/>
      <c r="CQ14" s="329"/>
      <c r="CR14" s="329"/>
      <c r="CS14" s="329"/>
      <c r="CT14" s="329"/>
      <c r="CU14" s="329"/>
      <c r="CV14" s="329"/>
      <c r="CW14" s="329"/>
      <c r="CX14" s="329"/>
      <c r="CY14" s="329"/>
      <c r="CZ14" s="329"/>
      <c r="DA14" s="329"/>
      <c r="DB14" s="329"/>
      <c r="DC14" s="329"/>
      <c r="DD14" s="329"/>
      <c r="DE14" s="329"/>
      <c r="DF14" s="329"/>
      <c r="DG14" s="329"/>
      <c r="DH14" s="329"/>
      <c r="DI14" s="329"/>
      <c r="DJ14" s="329"/>
      <c r="DK14" s="329"/>
      <c r="DL14" s="329"/>
      <c r="DM14" s="329"/>
      <c r="DN14" s="329"/>
      <c r="DO14" s="329"/>
      <c r="DP14" s="329"/>
      <c r="DQ14" s="329"/>
      <c r="DR14" s="329"/>
      <c r="DS14" s="329"/>
      <c r="DT14" s="329"/>
      <c r="DU14" s="329"/>
      <c r="DV14" s="329"/>
      <c r="DW14" s="329"/>
      <c r="DX14" s="330"/>
      <c r="DY14" s="330"/>
      <c r="DZ14" s="330"/>
      <c r="EA14" s="330"/>
      <c r="EB14" s="330"/>
      <c r="EC14" s="330"/>
      <c r="ED14" s="330"/>
      <c r="EE14" s="330"/>
      <c r="EF14" s="330"/>
      <c r="EG14" s="330"/>
      <c r="EH14" s="330"/>
      <c r="EI14" s="330"/>
      <c r="EJ14" s="330"/>
      <c r="EK14" s="330"/>
      <c r="EL14" s="330"/>
      <c r="EM14" s="330"/>
      <c r="EN14" s="330"/>
      <c r="EO14" s="330"/>
      <c r="EP14" s="330"/>
      <c r="EQ14" s="330"/>
      <c r="ER14" s="330"/>
      <c r="ES14" s="330"/>
      <c r="ET14" s="330"/>
      <c r="EU14" s="330"/>
      <c r="EV14" s="330"/>
      <c r="EW14" s="330"/>
      <c r="EX14" s="330"/>
      <c r="EY14" s="1032">
        <f t="shared" si="0"/>
        <v>3.2000000000000001E-2</v>
      </c>
    </row>
    <row r="15" spans="1:166" s="699" customFormat="1" ht="14.7" customHeight="1" x14ac:dyDescent="0.25">
      <c r="A15" s="421">
        <v>11</v>
      </c>
      <c r="B15" s="183" t="str">
        <f>'15-сыр (15)'!A9</f>
        <v xml:space="preserve">Сыр российский (порциями) </v>
      </c>
      <c r="C15" s="419">
        <f>'15-сыр (15)'!C23</f>
        <v>15</v>
      </c>
      <c r="D15" s="1209">
        <f>232/1000*C15</f>
        <v>3.48</v>
      </c>
      <c r="E15" s="1209">
        <f>295/1000*C15</f>
        <v>4.43</v>
      </c>
      <c r="F15" s="1209">
        <v>1</v>
      </c>
      <c r="G15" s="1210">
        <f>3600/1000*C15</f>
        <v>54</v>
      </c>
      <c r="H15" s="419">
        <f>'15-сыр (15)'!J7</f>
        <v>15</v>
      </c>
      <c r="I15" s="483">
        <f>'15-сыр (15)'!F25</f>
        <v>11.5</v>
      </c>
      <c r="J15" s="329"/>
      <c r="K15" s="329"/>
      <c r="L15" s="329"/>
      <c r="M15" s="329"/>
      <c r="N15" s="329"/>
      <c r="O15" s="329"/>
      <c r="P15" s="329"/>
      <c r="Q15" s="329"/>
      <c r="R15" s="329"/>
      <c r="S15" s="329"/>
      <c r="T15" s="329"/>
      <c r="U15" s="329"/>
      <c r="V15" s="329"/>
      <c r="W15" s="329">
        <f>'15-сыр (15)'!C19</f>
        <v>1.6E-2</v>
      </c>
      <c r="X15" s="329"/>
      <c r="Y15" s="329"/>
      <c r="Z15" s="329"/>
      <c r="AA15" s="329"/>
      <c r="AB15" s="329"/>
      <c r="AC15" s="329"/>
      <c r="AD15" s="329"/>
      <c r="AE15" s="330"/>
      <c r="AF15" s="329"/>
      <c r="AG15" s="329"/>
      <c r="AH15" s="329"/>
      <c r="AI15" s="329"/>
      <c r="AJ15" s="329"/>
      <c r="AK15" s="329"/>
      <c r="AL15" s="329"/>
      <c r="AM15" s="329"/>
      <c r="AN15" s="329"/>
      <c r="AO15" s="329"/>
      <c r="AP15" s="329"/>
      <c r="AQ15" s="329"/>
      <c r="AR15" s="329"/>
      <c r="AS15" s="329"/>
      <c r="AT15" s="329"/>
      <c r="AU15" s="329"/>
      <c r="AV15" s="329"/>
      <c r="AW15" s="329"/>
      <c r="AX15" s="329"/>
      <c r="AY15" s="329"/>
      <c r="AZ15" s="329"/>
      <c r="BA15" s="329"/>
      <c r="BB15" s="329"/>
      <c r="BC15" s="329"/>
      <c r="BD15" s="329"/>
      <c r="BE15" s="329"/>
      <c r="BF15" s="329"/>
      <c r="BG15" s="329"/>
      <c r="BH15" s="329"/>
      <c r="BI15" s="329"/>
      <c r="BJ15" s="329"/>
      <c r="BK15" s="329"/>
      <c r="BL15" s="329"/>
      <c r="BM15" s="329"/>
      <c r="BN15" s="329"/>
      <c r="BO15" s="329"/>
      <c r="BP15" s="329"/>
      <c r="BQ15" s="329"/>
      <c r="BR15" s="329"/>
      <c r="BS15" s="329"/>
      <c r="BT15" s="329"/>
      <c r="BU15" s="329"/>
      <c r="BV15" s="329"/>
      <c r="BW15" s="329"/>
      <c r="BX15" s="329"/>
      <c r="BY15" s="329"/>
      <c r="BZ15" s="329"/>
      <c r="CA15" s="329"/>
      <c r="CB15" s="329"/>
      <c r="CC15" s="329"/>
      <c r="CD15" s="329"/>
      <c r="CE15" s="329"/>
      <c r="CF15" s="329"/>
      <c r="CG15" s="329"/>
      <c r="CH15" s="329"/>
      <c r="CI15" s="329"/>
      <c r="CJ15" s="329"/>
      <c r="CK15" s="329"/>
      <c r="CL15" s="329"/>
      <c r="CM15" s="329"/>
      <c r="CN15" s="329"/>
      <c r="CO15" s="329"/>
      <c r="CP15" s="329"/>
      <c r="CQ15" s="329"/>
      <c r="CR15" s="329"/>
      <c r="CS15" s="329"/>
      <c r="CT15" s="329"/>
      <c r="CU15" s="329"/>
      <c r="CV15" s="329"/>
      <c r="CW15" s="329"/>
      <c r="CX15" s="329"/>
      <c r="CY15" s="329"/>
      <c r="CZ15" s="329"/>
      <c r="DA15" s="329"/>
      <c r="DB15" s="329"/>
      <c r="DC15" s="329"/>
      <c r="DD15" s="329"/>
      <c r="DE15" s="329"/>
      <c r="DF15" s="329"/>
      <c r="DG15" s="329"/>
      <c r="DH15" s="329"/>
      <c r="DI15" s="329"/>
      <c r="DJ15" s="329"/>
      <c r="DK15" s="329"/>
      <c r="DL15" s="329"/>
      <c r="DM15" s="329"/>
      <c r="DN15" s="329"/>
      <c r="DO15" s="329"/>
      <c r="DP15" s="329"/>
      <c r="DQ15" s="329"/>
      <c r="DR15" s="329"/>
      <c r="DS15" s="329"/>
      <c r="DT15" s="329"/>
      <c r="DU15" s="329"/>
      <c r="DV15" s="329"/>
      <c r="DW15" s="329"/>
      <c r="DX15" s="330"/>
      <c r="DY15" s="330"/>
      <c r="DZ15" s="330"/>
      <c r="EA15" s="330"/>
      <c r="EB15" s="330"/>
      <c r="EC15" s="330"/>
      <c r="ED15" s="330"/>
      <c r="EE15" s="330"/>
      <c r="EF15" s="330"/>
      <c r="EG15" s="330"/>
      <c r="EH15" s="330"/>
      <c r="EI15" s="330"/>
      <c r="EJ15" s="330"/>
      <c r="EK15" s="330"/>
      <c r="EL15" s="330"/>
      <c r="EM15" s="330"/>
      <c r="EN15" s="330"/>
      <c r="EO15" s="330"/>
      <c r="EP15" s="330"/>
      <c r="EQ15" s="330"/>
      <c r="ER15" s="330"/>
      <c r="ES15" s="330"/>
      <c r="ET15" s="330"/>
      <c r="EU15" s="330"/>
      <c r="EV15" s="330"/>
      <c r="EW15" s="330"/>
      <c r="EX15" s="330"/>
      <c r="EY15" s="1032">
        <f t="shared" si="0"/>
        <v>1.6E-2</v>
      </c>
      <c r="EZ15" s="616"/>
      <c r="FA15" s="616"/>
      <c r="FB15" s="616"/>
      <c r="FC15" s="616"/>
      <c r="FD15" s="616"/>
      <c r="FE15" s="616"/>
      <c r="FF15" s="616"/>
      <c r="FG15" s="616"/>
      <c r="FH15" s="616"/>
      <c r="FI15" s="616"/>
      <c r="FJ15" s="616"/>
    </row>
    <row r="16" spans="1:166" s="407" customFormat="1" ht="14.7" customHeight="1" x14ac:dyDescent="0.25">
      <c r="A16" s="421">
        <v>12</v>
      </c>
      <c r="B16" s="183" t="str">
        <f>'15-сыр (20)'!A9</f>
        <v xml:space="preserve">Сыр российский (порциями) </v>
      </c>
      <c r="C16" s="419">
        <f>'15-сыр (20)'!C23</f>
        <v>20</v>
      </c>
      <c r="D16" s="1209">
        <f>232/1000*C16</f>
        <v>4.6399999999999997</v>
      </c>
      <c r="E16" s="1209">
        <f>295/1000*C16</f>
        <v>5.9</v>
      </c>
      <c r="F16" s="1209">
        <v>2</v>
      </c>
      <c r="G16" s="1210">
        <f>3600/1000*C16</f>
        <v>72</v>
      </c>
      <c r="H16" s="419">
        <f>'15-сыр (20)'!J7</f>
        <v>15</v>
      </c>
      <c r="I16" s="483">
        <f>'15-сыр (20)'!F25</f>
        <v>15.1</v>
      </c>
      <c r="J16" s="329"/>
      <c r="K16" s="329"/>
      <c r="L16" s="329"/>
      <c r="M16" s="329"/>
      <c r="N16" s="329"/>
      <c r="O16" s="329"/>
      <c r="P16" s="329"/>
      <c r="Q16" s="329"/>
      <c r="R16" s="329"/>
      <c r="S16" s="329"/>
      <c r="T16" s="329"/>
      <c r="U16" s="329"/>
      <c r="V16" s="329"/>
      <c r="W16" s="329">
        <f>'15-сыр (20)'!C19</f>
        <v>2.1000000000000001E-2</v>
      </c>
      <c r="X16" s="329"/>
      <c r="Y16" s="329"/>
      <c r="Z16" s="329"/>
      <c r="AA16" s="329"/>
      <c r="AB16" s="329"/>
      <c r="AC16" s="329"/>
      <c r="AD16" s="329"/>
      <c r="AE16" s="330"/>
      <c r="AF16" s="329"/>
      <c r="AG16" s="329"/>
      <c r="AH16" s="329"/>
      <c r="AI16" s="329"/>
      <c r="AJ16" s="329"/>
      <c r="AK16" s="329"/>
      <c r="AL16" s="329"/>
      <c r="AM16" s="329"/>
      <c r="AN16" s="329"/>
      <c r="AO16" s="329"/>
      <c r="AP16" s="329"/>
      <c r="AQ16" s="329"/>
      <c r="AR16" s="329"/>
      <c r="AS16" s="329"/>
      <c r="AT16" s="329"/>
      <c r="AU16" s="329"/>
      <c r="AV16" s="329"/>
      <c r="AW16" s="329"/>
      <c r="AX16" s="329"/>
      <c r="AY16" s="329"/>
      <c r="AZ16" s="329"/>
      <c r="BA16" s="329"/>
      <c r="BB16" s="329"/>
      <c r="BC16" s="329"/>
      <c r="BD16" s="329"/>
      <c r="BE16" s="329"/>
      <c r="BF16" s="329"/>
      <c r="BG16" s="329"/>
      <c r="BH16" s="329"/>
      <c r="BI16" s="329"/>
      <c r="BJ16" s="329"/>
      <c r="BK16" s="329"/>
      <c r="BL16" s="329"/>
      <c r="BM16" s="329"/>
      <c r="BN16" s="329"/>
      <c r="BO16" s="329"/>
      <c r="BP16" s="329"/>
      <c r="BQ16" s="329"/>
      <c r="BR16" s="329"/>
      <c r="BS16" s="329"/>
      <c r="BT16" s="329"/>
      <c r="BU16" s="329"/>
      <c r="BV16" s="329"/>
      <c r="BW16" s="329"/>
      <c r="BX16" s="329"/>
      <c r="BY16" s="329"/>
      <c r="BZ16" s="329"/>
      <c r="CA16" s="329"/>
      <c r="CB16" s="329"/>
      <c r="CC16" s="329"/>
      <c r="CD16" s="329"/>
      <c r="CE16" s="329"/>
      <c r="CF16" s="329"/>
      <c r="CG16" s="329"/>
      <c r="CH16" s="329"/>
      <c r="CI16" s="329"/>
      <c r="CJ16" s="329"/>
      <c r="CK16" s="329"/>
      <c r="CL16" s="329"/>
      <c r="CM16" s="329"/>
      <c r="CN16" s="329"/>
      <c r="CO16" s="329"/>
      <c r="CP16" s="329"/>
      <c r="CQ16" s="329"/>
      <c r="CR16" s="329"/>
      <c r="CS16" s="329"/>
      <c r="CT16" s="329"/>
      <c r="CU16" s="329"/>
      <c r="CV16" s="329"/>
      <c r="CW16" s="329"/>
      <c r="CX16" s="329"/>
      <c r="CY16" s="329"/>
      <c r="CZ16" s="329"/>
      <c r="DA16" s="329"/>
      <c r="DB16" s="329"/>
      <c r="DC16" s="329"/>
      <c r="DD16" s="329"/>
      <c r="DE16" s="329"/>
      <c r="DF16" s="329"/>
      <c r="DG16" s="329"/>
      <c r="DH16" s="329"/>
      <c r="DI16" s="329"/>
      <c r="DJ16" s="329"/>
      <c r="DK16" s="329"/>
      <c r="DL16" s="329"/>
      <c r="DM16" s="329"/>
      <c r="DN16" s="329"/>
      <c r="DO16" s="329"/>
      <c r="DP16" s="329"/>
      <c r="DQ16" s="329"/>
      <c r="DR16" s="329"/>
      <c r="DS16" s="329"/>
      <c r="DT16" s="329"/>
      <c r="DU16" s="329"/>
      <c r="DV16" s="329"/>
      <c r="DW16" s="329"/>
      <c r="DX16" s="330"/>
      <c r="DY16" s="330"/>
      <c r="DZ16" s="330"/>
      <c r="EA16" s="330"/>
      <c r="EB16" s="330"/>
      <c r="EC16" s="330"/>
      <c r="ED16" s="330"/>
      <c r="EE16" s="330"/>
      <c r="EF16" s="330"/>
      <c r="EG16" s="330"/>
      <c r="EH16" s="330"/>
      <c r="EI16" s="330"/>
      <c r="EJ16" s="330"/>
      <c r="EK16" s="330"/>
      <c r="EL16" s="330"/>
      <c r="EM16" s="330"/>
      <c r="EN16" s="330"/>
      <c r="EO16" s="330"/>
      <c r="EP16" s="330"/>
      <c r="EQ16" s="330"/>
      <c r="ER16" s="330"/>
      <c r="ES16" s="330"/>
      <c r="ET16" s="330"/>
      <c r="EU16" s="330"/>
      <c r="EV16" s="330"/>
      <c r="EW16" s="330"/>
      <c r="EX16" s="330"/>
      <c r="EY16" s="1032">
        <f t="shared" si="0"/>
        <v>2.1000000000000001E-2</v>
      </c>
      <c r="EZ16" s="616"/>
      <c r="FA16" s="616"/>
      <c r="FB16" s="616"/>
      <c r="FC16" s="616"/>
      <c r="FD16" s="616"/>
      <c r="FE16" s="616"/>
      <c r="FF16" s="616"/>
      <c r="FG16" s="616"/>
      <c r="FH16" s="616"/>
      <c r="FI16" s="616"/>
      <c r="FJ16" s="616"/>
    </row>
    <row r="17" spans="1:155" ht="14.7" customHeight="1" x14ac:dyDescent="0.25">
      <c r="A17" s="421">
        <v>13</v>
      </c>
      <c r="B17" s="183" t="str">
        <f>'16-колбаса'!A9</f>
        <v>Колбаса полукопченая (порциями)</v>
      </c>
      <c r="C17" s="419">
        <f>'16-колбаса'!C23</f>
        <v>30</v>
      </c>
      <c r="D17" s="1209">
        <f>4.53/30*C17</f>
        <v>4.53</v>
      </c>
      <c r="E17" s="1209">
        <f>12.03/30*C17</f>
        <v>12.03</v>
      </c>
      <c r="F17" s="1209">
        <f>0.09/30*C17</f>
        <v>0.09</v>
      </c>
      <c r="G17" s="1210">
        <f>127/30*C17</f>
        <v>127</v>
      </c>
      <c r="H17" s="419">
        <f>'16-колбаса'!J7</f>
        <v>16</v>
      </c>
      <c r="I17" s="483">
        <f>'16-колбаса'!F25</f>
        <v>12.4</v>
      </c>
      <c r="J17" s="329"/>
      <c r="K17" s="329"/>
      <c r="L17" s="329"/>
      <c r="M17" s="329"/>
      <c r="N17" s="329"/>
      <c r="O17" s="329">
        <f>'16-колбаса'!C19</f>
        <v>3.1E-2</v>
      </c>
      <c r="P17" s="329"/>
      <c r="Q17" s="329"/>
      <c r="R17" s="329"/>
      <c r="S17" s="329"/>
      <c r="T17" s="329"/>
      <c r="U17" s="329"/>
      <c r="V17" s="329"/>
      <c r="W17" s="329"/>
      <c r="X17" s="329"/>
      <c r="Y17" s="329"/>
      <c r="Z17" s="329"/>
      <c r="AA17" s="329"/>
      <c r="AB17" s="329"/>
      <c r="AC17" s="329"/>
      <c r="AD17" s="329"/>
      <c r="AE17" s="330"/>
      <c r="AF17" s="329"/>
      <c r="AG17" s="329"/>
      <c r="AH17" s="329"/>
      <c r="AI17" s="329"/>
      <c r="AJ17" s="329"/>
      <c r="AK17" s="329"/>
      <c r="AL17" s="329"/>
      <c r="AM17" s="329"/>
      <c r="AN17" s="329"/>
      <c r="AO17" s="329"/>
      <c r="AP17" s="329"/>
      <c r="AQ17" s="329"/>
      <c r="AR17" s="329"/>
      <c r="AS17" s="329"/>
      <c r="AT17" s="329"/>
      <c r="AU17" s="329"/>
      <c r="AV17" s="329"/>
      <c r="AW17" s="329"/>
      <c r="AX17" s="329"/>
      <c r="AY17" s="329"/>
      <c r="AZ17" s="329"/>
      <c r="BA17" s="329"/>
      <c r="BB17" s="329"/>
      <c r="BC17" s="329"/>
      <c r="BD17" s="329"/>
      <c r="BE17" s="329"/>
      <c r="BF17" s="329"/>
      <c r="BG17" s="329"/>
      <c r="BH17" s="329"/>
      <c r="BI17" s="329"/>
      <c r="BJ17" s="329"/>
      <c r="BK17" s="329"/>
      <c r="BL17" s="329"/>
      <c r="BM17" s="329"/>
      <c r="BN17" s="329"/>
      <c r="BO17" s="329"/>
      <c r="BP17" s="329"/>
      <c r="BQ17" s="329"/>
      <c r="BR17" s="329"/>
      <c r="BS17" s="329"/>
      <c r="BT17" s="329"/>
      <c r="BU17" s="329"/>
      <c r="BV17" s="329"/>
      <c r="BW17" s="329"/>
      <c r="BX17" s="329"/>
      <c r="BY17" s="329"/>
      <c r="BZ17" s="329"/>
      <c r="CA17" s="329"/>
      <c r="CB17" s="329"/>
      <c r="CC17" s="329"/>
      <c r="CD17" s="329"/>
      <c r="CE17" s="329"/>
      <c r="CF17" s="329"/>
      <c r="CG17" s="329"/>
      <c r="CH17" s="329"/>
      <c r="CI17" s="329"/>
      <c r="CJ17" s="329"/>
      <c r="CK17" s="329"/>
      <c r="CL17" s="329"/>
      <c r="CM17" s="329"/>
      <c r="CN17" s="329"/>
      <c r="CO17" s="329"/>
      <c r="CP17" s="329"/>
      <c r="CQ17" s="329"/>
      <c r="CR17" s="329"/>
      <c r="CS17" s="329"/>
      <c r="CT17" s="329"/>
      <c r="CU17" s="329"/>
      <c r="CV17" s="329"/>
      <c r="CW17" s="329"/>
      <c r="CX17" s="329"/>
      <c r="CY17" s="329"/>
      <c r="CZ17" s="329"/>
      <c r="DA17" s="329"/>
      <c r="DB17" s="329"/>
      <c r="DC17" s="329"/>
      <c r="DD17" s="329"/>
      <c r="DE17" s="329"/>
      <c r="DF17" s="329"/>
      <c r="DG17" s="329"/>
      <c r="DH17" s="329"/>
      <c r="DI17" s="329"/>
      <c r="DJ17" s="329"/>
      <c r="DK17" s="329"/>
      <c r="DL17" s="329"/>
      <c r="DM17" s="329"/>
      <c r="DN17" s="329"/>
      <c r="DO17" s="329"/>
      <c r="DP17" s="329"/>
      <c r="DQ17" s="329"/>
      <c r="DR17" s="329"/>
      <c r="DS17" s="329"/>
      <c r="DT17" s="329"/>
      <c r="DU17" s="329"/>
      <c r="DV17" s="329"/>
      <c r="DW17" s="329"/>
      <c r="DX17" s="330"/>
      <c r="DY17" s="330"/>
      <c r="DZ17" s="330"/>
      <c r="EA17" s="330"/>
      <c r="EB17" s="330"/>
      <c r="EC17" s="330"/>
      <c r="ED17" s="330"/>
      <c r="EE17" s="330"/>
      <c r="EF17" s="330"/>
      <c r="EG17" s="330"/>
      <c r="EH17" s="330"/>
      <c r="EI17" s="330"/>
      <c r="EJ17" s="330"/>
      <c r="EK17" s="330"/>
      <c r="EL17" s="330"/>
      <c r="EM17" s="330"/>
      <c r="EN17" s="330"/>
      <c r="EO17" s="330"/>
      <c r="EP17" s="330"/>
      <c r="EQ17" s="330"/>
      <c r="ER17" s="330"/>
      <c r="ES17" s="330"/>
      <c r="ET17" s="330"/>
      <c r="EU17" s="330"/>
      <c r="EV17" s="330"/>
      <c r="EW17" s="330"/>
      <c r="EX17" s="330"/>
      <c r="EY17" s="1032">
        <f t="shared" si="0"/>
        <v>3.1E-2</v>
      </c>
    </row>
    <row r="18" spans="1:155" ht="14.7" customHeight="1" x14ac:dyDescent="0.25">
      <c r="A18" s="421">
        <v>14</v>
      </c>
      <c r="B18" s="183" t="str">
        <f>'17-салат зеленый'!A9</f>
        <v>Салат зеленый</v>
      </c>
      <c r="C18" s="419">
        <f>'17-салат зеленый'!C25</f>
        <v>60</v>
      </c>
      <c r="D18" s="1209">
        <f>14.08/1000*C18</f>
        <v>0.84</v>
      </c>
      <c r="E18" s="1209">
        <f>61.11/1000*C18</f>
        <v>3.67</v>
      </c>
      <c r="F18" s="1209">
        <f>18.77/1000*C18</f>
        <v>1.1299999999999999</v>
      </c>
      <c r="G18" s="1210">
        <f>681/1000*C18</f>
        <v>41</v>
      </c>
      <c r="H18" s="419">
        <f>'17-салат зеленый'!J7</f>
        <v>17</v>
      </c>
      <c r="I18" s="483">
        <f>'17-салат зеленый'!F27</f>
        <v>16.309999999999999</v>
      </c>
      <c r="J18" s="329"/>
      <c r="K18" s="329"/>
      <c r="L18" s="329"/>
      <c r="M18" s="329"/>
      <c r="N18" s="329"/>
      <c r="O18" s="329"/>
      <c r="P18" s="329"/>
      <c r="Q18" s="329"/>
      <c r="R18" s="329"/>
      <c r="S18" s="329"/>
      <c r="T18" s="329"/>
      <c r="U18" s="329"/>
      <c r="V18" s="329"/>
      <c r="W18" s="329"/>
      <c r="X18" s="329"/>
      <c r="Y18" s="329"/>
      <c r="Z18" s="329"/>
      <c r="AA18" s="329"/>
      <c r="AB18" s="329"/>
      <c r="AC18" s="329"/>
      <c r="AD18" s="329"/>
      <c r="AE18" s="330"/>
      <c r="AF18" s="329"/>
      <c r="AG18" s="329"/>
      <c r="AH18" s="329"/>
      <c r="AI18" s="329"/>
      <c r="AJ18" s="329"/>
      <c r="AK18" s="329"/>
      <c r="AL18" s="329"/>
      <c r="AM18" s="329"/>
      <c r="AN18" s="329"/>
      <c r="AO18" s="329"/>
      <c r="AP18" s="329">
        <f>'17-салат зеленый'!C19/'17-салат зеленый'!C24*'17-салат зеленый'!C25</f>
        <v>7.9140000000000002E-2</v>
      </c>
      <c r="AQ18" s="329"/>
      <c r="AR18" s="329"/>
      <c r="AS18" s="329"/>
      <c r="AT18" s="329"/>
      <c r="AU18" s="329"/>
      <c r="AV18" s="329"/>
      <c r="AW18" s="329"/>
      <c r="AX18" s="329"/>
      <c r="AY18" s="329"/>
      <c r="AZ18" s="329"/>
      <c r="BA18" s="329"/>
      <c r="BB18" s="329"/>
      <c r="BC18" s="329"/>
      <c r="BD18" s="329"/>
      <c r="BE18" s="329"/>
      <c r="BF18" s="329"/>
      <c r="BG18" s="329"/>
      <c r="BH18" s="329"/>
      <c r="BI18" s="329"/>
      <c r="BJ18" s="329"/>
      <c r="BK18" s="329"/>
      <c r="BL18" s="329"/>
      <c r="BM18" s="329"/>
      <c r="BN18" s="329"/>
      <c r="BO18" s="329"/>
      <c r="BP18" s="329"/>
      <c r="BQ18" s="329"/>
      <c r="BR18" s="329"/>
      <c r="BS18" s="329"/>
      <c r="BT18" s="329"/>
      <c r="BU18" s="329"/>
      <c r="BV18" s="329"/>
      <c r="BW18" s="329"/>
      <c r="BX18" s="329"/>
      <c r="BY18" s="329"/>
      <c r="BZ18" s="329"/>
      <c r="CA18" s="329"/>
      <c r="CB18" s="329"/>
      <c r="CC18" s="329"/>
      <c r="CD18" s="329"/>
      <c r="CE18" s="329"/>
      <c r="CF18" s="329">
        <f>'17-салат зеленый'!C20/'17-салат зеленый'!C24*'17-салат зеленый'!C25</f>
        <v>3.5999999999999999E-3</v>
      </c>
      <c r="CG18" s="329"/>
      <c r="CH18" s="329"/>
      <c r="CI18" s="329"/>
      <c r="CJ18" s="329"/>
      <c r="CK18" s="329"/>
      <c r="CL18" s="329"/>
      <c r="CM18" s="329"/>
      <c r="CN18" s="329"/>
      <c r="CO18" s="329"/>
      <c r="CP18" s="329"/>
      <c r="CQ18" s="329"/>
      <c r="CR18" s="329"/>
      <c r="CS18" s="329"/>
      <c r="CT18" s="329"/>
      <c r="CU18" s="329"/>
      <c r="CV18" s="329"/>
      <c r="CW18" s="329"/>
      <c r="CX18" s="329"/>
      <c r="CY18" s="329"/>
      <c r="CZ18" s="329"/>
      <c r="DA18" s="329"/>
      <c r="DB18" s="329"/>
      <c r="DC18" s="329">
        <f>'17-салат зеленый'!C21/'17-салат зеленый'!C24*'17-салат зеленый'!C25</f>
        <v>1.98E-3</v>
      </c>
      <c r="DD18" s="329"/>
      <c r="DE18" s="329"/>
      <c r="DF18" s="329"/>
      <c r="DG18" s="329"/>
      <c r="DH18" s="329"/>
      <c r="DI18" s="329"/>
      <c r="DJ18" s="329"/>
      <c r="DK18" s="329"/>
      <c r="DL18" s="329"/>
      <c r="DM18" s="329"/>
      <c r="DN18" s="329"/>
      <c r="DO18" s="329"/>
      <c r="DP18" s="329"/>
      <c r="DQ18" s="329"/>
      <c r="DR18" s="329"/>
      <c r="DS18" s="329"/>
      <c r="DT18" s="329"/>
      <c r="DU18" s="329"/>
      <c r="DV18" s="329"/>
      <c r="DW18" s="329"/>
      <c r="DX18" s="330"/>
      <c r="DY18" s="330"/>
      <c r="DZ18" s="330"/>
      <c r="EA18" s="330"/>
      <c r="EB18" s="330"/>
      <c r="EC18" s="330"/>
      <c r="ED18" s="330"/>
      <c r="EE18" s="330"/>
      <c r="EF18" s="330"/>
      <c r="EG18" s="330"/>
      <c r="EH18" s="330"/>
      <c r="EI18" s="330"/>
      <c r="EJ18" s="330"/>
      <c r="EK18" s="330"/>
      <c r="EL18" s="330"/>
      <c r="EM18" s="330"/>
      <c r="EN18" s="330"/>
      <c r="EO18" s="330"/>
      <c r="EP18" s="330"/>
      <c r="EQ18" s="330"/>
      <c r="ER18" s="330"/>
      <c r="ES18" s="330"/>
      <c r="ET18" s="330"/>
      <c r="EU18" s="330"/>
      <c r="EV18" s="330"/>
      <c r="EW18" s="330"/>
      <c r="EX18" s="330"/>
      <c r="EY18" s="1032">
        <f t="shared" si="0"/>
        <v>8.4720000000000004E-2</v>
      </c>
    </row>
    <row r="19" spans="1:155" ht="14.7" customHeight="1" x14ac:dyDescent="0.25">
      <c r="A19" s="421">
        <v>15</v>
      </c>
      <c r="B19" s="183" t="str">
        <f>'18-салат с огурцами'!A9</f>
        <v>Салат зеленый с огурцами</v>
      </c>
      <c r="C19" s="419">
        <f>'18-салат с огурцами'!C26</f>
        <v>60</v>
      </c>
      <c r="D19" s="1209">
        <f>10.35/1000*C19</f>
        <v>0.62</v>
      </c>
      <c r="E19" s="1209">
        <f>60.57/1000*C19</f>
        <v>3.63</v>
      </c>
      <c r="F19" s="1209">
        <f>21.44/1000*C19</f>
        <v>1.29</v>
      </c>
      <c r="G19" s="1210">
        <f>672/1000*C19</f>
        <v>40</v>
      </c>
      <c r="H19" s="419">
        <f>'18-салат с огурцами'!J7</f>
        <v>18</v>
      </c>
      <c r="I19" s="483">
        <f>'18-салат с огурцами'!F28</f>
        <v>9.74</v>
      </c>
      <c r="J19" s="329"/>
      <c r="K19" s="329"/>
      <c r="L19" s="329"/>
      <c r="M19" s="329"/>
      <c r="N19" s="329"/>
      <c r="O19" s="329"/>
      <c r="P19" s="329"/>
      <c r="Q19" s="329"/>
      <c r="R19" s="329"/>
      <c r="S19" s="329"/>
      <c r="T19" s="329"/>
      <c r="U19" s="329"/>
      <c r="V19" s="329"/>
      <c r="W19" s="329"/>
      <c r="X19" s="329"/>
      <c r="Y19" s="329"/>
      <c r="Z19" s="329"/>
      <c r="AA19" s="329"/>
      <c r="AB19" s="329"/>
      <c r="AC19" s="329"/>
      <c r="AD19" s="329"/>
      <c r="AE19" s="330"/>
      <c r="AF19" s="329"/>
      <c r="AG19" s="329"/>
      <c r="AH19" s="329"/>
      <c r="AI19" s="329"/>
      <c r="AJ19" s="329"/>
      <c r="AK19" s="329"/>
      <c r="AL19" s="329"/>
      <c r="AM19" s="329"/>
      <c r="AN19" s="329"/>
      <c r="AO19" s="329">
        <f>'18-салат с огурцами'!C20/'18-салат с огурцами'!C25*'18-салат с огурцами'!C26</f>
        <v>4.0500000000000001E-2</v>
      </c>
      <c r="AP19" s="329">
        <f>'18-салат с огурцами'!C19/'18-салат с огурцами'!C25*'18-салат с огурцами'!C26</f>
        <v>3.4139999999999997E-2</v>
      </c>
      <c r="AQ19" s="329"/>
      <c r="AR19" s="329"/>
      <c r="AS19" s="329"/>
      <c r="AT19" s="329"/>
      <c r="AU19" s="329"/>
      <c r="AV19" s="329"/>
      <c r="AW19" s="329"/>
      <c r="AX19" s="329"/>
      <c r="AY19" s="329"/>
      <c r="AZ19" s="329"/>
      <c r="BA19" s="329"/>
      <c r="BB19" s="329"/>
      <c r="BC19" s="329"/>
      <c r="BD19" s="329"/>
      <c r="BE19" s="329"/>
      <c r="BF19" s="329"/>
      <c r="BG19" s="329"/>
      <c r="BH19" s="329"/>
      <c r="BI19" s="329"/>
      <c r="BJ19" s="329"/>
      <c r="BK19" s="329"/>
      <c r="BL19" s="329"/>
      <c r="BM19" s="329"/>
      <c r="BN19" s="329"/>
      <c r="BO19" s="329"/>
      <c r="BP19" s="329"/>
      <c r="BQ19" s="329"/>
      <c r="BR19" s="329"/>
      <c r="BS19" s="329"/>
      <c r="BT19" s="329"/>
      <c r="BU19" s="329"/>
      <c r="BV19" s="329"/>
      <c r="BW19" s="329"/>
      <c r="BX19" s="329"/>
      <c r="BY19" s="329"/>
      <c r="BZ19" s="329"/>
      <c r="CA19" s="329"/>
      <c r="CB19" s="329"/>
      <c r="CC19" s="329"/>
      <c r="CD19" s="329"/>
      <c r="CE19" s="329"/>
      <c r="CF19" s="329">
        <f>'18-салат с огурцами'!C21/'18-салат с огурцами'!C25*'18-салат с огурцами'!C26</f>
        <v>3.5999999999999999E-3</v>
      </c>
      <c r="CG19" s="329"/>
      <c r="CH19" s="329"/>
      <c r="CI19" s="329"/>
      <c r="CJ19" s="329"/>
      <c r="CK19" s="329"/>
      <c r="CL19" s="329"/>
      <c r="CM19" s="329"/>
      <c r="CN19" s="329"/>
      <c r="CO19" s="329"/>
      <c r="CP19" s="329"/>
      <c r="CQ19" s="329"/>
      <c r="CR19" s="329"/>
      <c r="CS19" s="329"/>
      <c r="CT19" s="329"/>
      <c r="CU19" s="329"/>
      <c r="CV19" s="329"/>
      <c r="CW19" s="329"/>
      <c r="CX19" s="329"/>
      <c r="CY19" s="329"/>
      <c r="CZ19" s="329"/>
      <c r="DA19" s="329"/>
      <c r="DB19" s="329"/>
      <c r="DC19" s="329">
        <f>'18-салат с огурцами'!C22/'18-салат с огурцами'!C25*'18-салат с огурцами'!C26</f>
        <v>1.98E-3</v>
      </c>
      <c r="DD19" s="329"/>
      <c r="DE19" s="329"/>
      <c r="DF19" s="329"/>
      <c r="DG19" s="329"/>
      <c r="DH19" s="329"/>
      <c r="DI19" s="329"/>
      <c r="DJ19" s="329"/>
      <c r="DK19" s="329"/>
      <c r="DL19" s="329"/>
      <c r="DM19" s="329"/>
      <c r="DN19" s="329"/>
      <c r="DO19" s="329"/>
      <c r="DP19" s="329"/>
      <c r="DQ19" s="329"/>
      <c r="DR19" s="329"/>
      <c r="DS19" s="329"/>
      <c r="DT19" s="329"/>
      <c r="DU19" s="329"/>
      <c r="DV19" s="329"/>
      <c r="DW19" s="329"/>
      <c r="DX19" s="330"/>
      <c r="DY19" s="330"/>
      <c r="DZ19" s="330"/>
      <c r="EA19" s="330"/>
      <c r="EB19" s="330"/>
      <c r="EC19" s="330"/>
      <c r="ED19" s="330"/>
      <c r="EE19" s="330"/>
      <c r="EF19" s="330"/>
      <c r="EG19" s="330"/>
      <c r="EH19" s="330"/>
      <c r="EI19" s="330"/>
      <c r="EJ19" s="330"/>
      <c r="EK19" s="330"/>
      <c r="EL19" s="330"/>
      <c r="EM19" s="330"/>
      <c r="EN19" s="330"/>
      <c r="EO19" s="330"/>
      <c r="EP19" s="330"/>
      <c r="EQ19" s="330"/>
      <c r="ER19" s="330"/>
      <c r="ES19" s="330"/>
      <c r="ET19" s="330"/>
      <c r="EU19" s="330"/>
      <c r="EV19" s="330"/>
      <c r="EW19" s="330"/>
      <c r="EX19" s="330"/>
      <c r="EY19" s="1032">
        <f t="shared" si="0"/>
        <v>8.022E-2</v>
      </c>
    </row>
    <row r="20" spans="1:155" ht="14.7" customHeight="1" x14ac:dyDescent="0.25">
      <c r="A20" s="421">
        <v>16</v>
      </c>
      <c r="B20" s="183" t="str">
        <f>'19-салат с огурцами и помидор'!A9</f>
        <v>Салат зеленый с огурцами и помидорами</v>
      </c>
      <c r="C20" s="419">
        <f>'19-салат с огурцами и помидор'!C27</f>
        <v>60</v>
      </c>
      <c r="D20" s="1209">
        <f>10.44/1000*C20</f>
        <v>0.63</v>
      </c>
      <c r="E20" s="1209">
        <f>60.75/1000*C20</f>
        <v>3.65</v>
      </c>
      <c r="F20" s="1209">
        <f>25.71/1000*C20</f>
        <v>1.54</v>
      </c>
      <c r="G20" s="1210">
        <f>691/1000*C20</f>
        <v>41</v>
      </c>
      <c r="H20" s="419">
        <f>'19-салат с огурцами и помидор'!J7</f>
        <v>19</v>
      </c>
      <c r="I20" s="483">
        <f>'19-салат с огурцами и помидор'!F29</f>
        <v>9.27</v>
      </c>
      <c r="J20" s="329"/>
      <c r="K20" s="329"/>
      <c r="L20" s="329"/>
      <c r="M20" s="329"/>
      <c r="N20" s="329"/>
      <c r="O20" s="329"/>
      <c r="P20" s="329"/>
      <c r="Q20" s="329"/>
      <c r="R20" s="329"/>
      <c r="S20" s="329"/>
      <c r="T20" s="329"/>
      <c r="U20" s="329"/>
      <c r="V20" s="329"/>
      <c r="W20" s="329"/>
      <c r="X20" s="329"/>
      <c r="Y20" s="329"/>
      <c r="Z20" s="329"/>
      <c r="AA20" s="329"/>
      <c r="AB20" s="329"/>
      <c r="AC20" s="329"/>
      <c r="AD20" s="329"/>
      <c r="AE20" s="330"/>
      <c r="AF20" s="329"/>
      <c r="AG20" s="329"/>
      <c r="AH20" s="329"/>
      <c r="AI20" s="329"/>
      <c r="AJ20" s="329"/>
      <c r="AK20" s="329"/>
      <c r="AL20" s="329"/>
      <c r="AM20" s="329"/>
      <c r="AN20" s="329">
        <f>'19-салат с огурцами и помидор'!C21/'19-салат с огурцами и помидор'!C26*'19-салат с огурцами и помидор'!C27</f>
        <v>2.0459999999999999E-2</v>
      </c>
      <c r="AO20" s="329">
        <f>'19-салат с огурцами и помидор'!C20/'19-салат с огурцами и помидор'!C26*'19-салат с огурцами и помидор'!C27</f>
        <v>2.7E-2</v>
      </c>
      <c r="AP20" s="329">
        <f>'19-салат с огурцами и помидор'!C19/'19-салат с огурцами и помидор'!C26*'19-салат с огурцами и помидор'!C27</f>
        <v>2.5020000000000001E-2</v>
      </c>
      <c r="AQ20" s="329"/>
      <c r="AR20" s="329"/>
      <c r="AS20" s="329"/>
      <c r="AT20" s="329"/>
      <c r="AU20" s="329"/>
      <c r="AV20" s="329"/>
      <c r="AW20" s="329"/>
      <c r="AX20" s="329"/>
      <c r="AY20" s="329"/>
      <c r="AZ20" s="329"/>
      <c r="BA20" s="329"/>
      <c r="BB20" s="329"/>
      <c r="BC20" s="329"/>
      <c r="BD20" s="329"/>
      <c r="BE20" s="329"/>
      <c r="BF20" s="329"/>
      <c r="BG20" s="329"/>
      <c r="BH20" s="329"/>
      <c r="BI20" s="329"/>
      <c r="BJ20" s="329"/>
      <c r="BK20" s="329"/>
      <c r="BL20" s="329"/>
      <c r="BM20" s="329"/>
      <c r="BN20" s="329"/>
      <c r="BO20" s="329"/>
      <c r="BP20" s="329"/>
      <c r="BQ20" s="329"/>
      <c r="BR20" s="329"/>
      <c r="BS20" s="329"/>
      <c r="BT20" s="329"/>
      <c r="BU20" s="329"/>
      <c r="BV20" s="329"/>
      <c r="BW20" s="329"/>
      <c r="BX20" s="329"/>
      <c r="BY20" s="329"/>
      <c r="BZ20" s="329"/>
      <c r="CA20" s="329"/>
      <c r="CB20" s="329"/>
      <c r="CC20" s="329"/>
      <c r="CD20" s="329"/>
      <c r="CE20" s="329"/>
      <c r="CF20" s="329">
        <f>'19-салат с огурцами и помидор'!C22/'19-салат с огурцами и помидор'!C26*'19-салат с огурцами и помидор'!C27</f>
        <v>3.5999999999999999E-3</v>
      </c>
      <c r="CG20" s="329"/>
      <c r="CH20" s="329"/>
      <c r="CI20" s="329"/>
      <c r="CJ20" s="329"/>
      <c r="CK20" s="329"/>
      <c r="CL20" s="329"/>
      <c r="CM20" s="329"/>
      <c r="CN20" s="329"/>
      <c r="CO20" s="329"/>
      <c r="CP20" s="329"/>
      <c r="CQ20" s="329"/>
      <c r="CR20" s="329"/>
      <c r="CS20" s="329"/>
      <c r="CT20" s="329"/>
      <c r="CU20" s="329"/>
      <c r="CV20" s="329"/>
      <c r="CW20" s="329"/>
      <c r="CX20" s="329"/>
      <c r="CY20" s="329"/>
      <c r="CZ20" s="329"/>
      <c r="DA20" s="329"/>
      <c r="DB20" s="329"/>
      <c r="DC20" s="329">
        <f>'19-салат с огурцами и помидор'!C23/'19-салат с огурцами и помидор'!C26*'19-салат с огурцами и помидор'!C27</f>
        <v>1.98E-3</v>
      </c>
      <c r="DD20" s="329"/>
      <c r="DE20" s="329"/>
      <c r="DF20" s="329"/>
      <c r="DG20" s="329"/>
      <c r="DH20" s="329"/>
      <c r="DI20" s="329"/>
      <c r="DJ20" s="329"/>
      <c r="DK20" s="329"/>
      <c r="DL20" s="329"/>
      <c r="DM20" s="329"/>
      <c r="DN20" s="329"/>
      <c r="DO20" s="329"/>
      <c r="DP20" s="329"/>
      <c r="DQ20" s="329"/>
      <c r="DR20" s="329"/>
      <c r="DS20" s="329"/>
      <c r="DT20" s="329"/>
      <c r="DU20" s="329"/>
      <c r="DV20" s="329"/>
      <c r="DW20" s="329"/>
      <c r="DX20" s="330"/>
      <c r="DY20" s="330"/>
      <c r="DZ20" s="330"/>
      <c r="EA20" s="330"/>
      <c r="EB20" s="330"/>
      <c r="EC20" s="330"/>
      <c r="ED20" s="330"/>
      <c r="EE20" s="330"/>
      <c r="EF20" s="330"/>
      <c r="EG20" s="330"/>
      <c r="EH20" s="330"/>
      <c r="EI20" s="330"/>
      <c r="EJ20" s="330"/>
      <c r="EK20" s="330"/>
      <c r="EL20" s="330"/>
      <c r="EM20" s="330"/>
      <c r="EN20" s="330"/>
      <c r="EO20" s="330"/>
      <c r="EP20" s="330"/>
      <c r="EQ20" s="330"/>
      <c r="ER20" s="330"/>
      <c r="ES20" s="330"/>
      <c r="ET20" s="330"/>
      <c r="EU20" s="330"/>
      <c r="EV20" s="330"/>
      <c r="EW20" s="330"/>
      <c r="EX20" s="330"/>
      <c r="EY20" s="1032">
        <f t="shared" si="0"/>
        <v>7.8060000000000004E-2</v>
      </c>
    </row>
    <row r="21" spans="1:155" ht="14.7" customHeight="1" x14ac:dyDescent="0.25">
      <c r="A21" s="421">
        <v>17</v>
      </c>
      <c r="B21" s="183" t="str">
        <f>'20-салат из огурцов'!A9</f>
        <v>Салат из свежих огурцов</v>
      </c>
      <c r="C21" s="419">
        <f>'20-салат из огурцов'!C25</f>
        <v>60</v>
      </c>
      <c r="D21" s="1209">
        <f>7.51/1000*C21</f>
        <v>0.45</v>
      </c>
      <c r="E21" s="1209">
        <f>60.17/1000*C21</f>
        <v>3.61</v>
      </c>
      <c r="F21" s="1209">
        <f>23.47/1000*C21</f>
        <v>1.41</v>
      </c>
      <c r="G21" s="1210">
        <f>666/1000*C21</f>
        <v>40</v>
      </c>
      <c r="H21" s="419">
        <f>'20-салат из огурцов'!J7</f>
        <v>20</v>
      </c>
      <c r="I21" s="483">
        <f>'20-салат из огурцов'!F27</f>
        <v>4.76</v>
      </c>
      <c r="J21" s="329"/>
      <c r="K21" s="329"/>
      <c r="L21" s="329"/>
      <c r="M21" s="329"/>
      <c r="N21" s="329"/>
      <c r="O21" s="329"/>
      <c r="P21" s="329"/>
      <c r="Q21" s="329"/>
      <c r="R21" s="329"/>
      <c r="S21" s="329"/>
      <c r="T21" s="329"/>
      <c r="U21" s="329"/>
      <c r="V21" s="329"/>
      <c r="W21" s="329"/>
      <c r="X21" s="329"/>
      <c r="Y21" s="329"/>
      <c r="Z21" s="329"/>
      <c r="AA21" s="329"/>
      <c r="AB21" s="329"/>
      <c r="AC21" s="329"/>
      <c r="AD21" s="329"/>
      <c r="AE21" s="330"/>
      <c r="AF21" s="329"/>
      <c r="AG21" s="329"/>
      <c r="AH21" s="329"/>
      <c r="AI21" s="329"/>
      <c r="AJ21" s="329"/>
      <c r="AK21" s="329"/>
      <c r="AL21" s="329"/>
      <c r="AM21" s="329"/>
      <c r="AN21" s="329"/>
      <c r="AO21" s="329">
        <f>'20-салат из огурцов'!C19/'20-салат из огурцов'!C24*'20-салат из огурцов'!C25</f>
        <v>7.1279999999999996E-2</v>
      </c>
      <c r="AP21" s="329"/>
      <c r="AQ21" s="329"/>
      <c r="AR21" s="329"/>
      <c r="AS21" s="329"/>
      <c r="AT21" s="329"/>
      <c r="AU21" s="329"/>
      <c r="AV21" s="329"/>
      <c r="AW21" s="329"/>
      <c r="AX21" s="329"/>
      <c r="AY21" s="329"/>
      <c r="AZ21" s="329"/>
      <c r="BA21" s="329"/>
      <c r="BB21" s="329"/>
      <c r="BC21" s="329"/>
      <c r="BD21" s="329"/>
      <c r="BE21" s="329"/>
      <c r="BF21" s="329"/>
      <c r="BG21" s="329"/>
      <c r="BH21" s="329"/>
      <c r="BI21" s="329"/>
      <c r="BJ21" s="329"/>
      <c r="BK21" s="329"/>
      <c r="BL21" s="329"/>
      <c r="BM21" s="329"/>
      <c r="BN21" s="329"/>
      <c r="BO21" s="329"/>
      <c r="BP21" s="329"/>
      <c r="BQ21" s="329"/>
      <c r="BR21" s="329"/>
      <c r="BS21" s="329"/>
      <c r="BT21" s="329"/>
      <c r="BU21" s="329"/>
      <c r="BV21" s="329"/>
      <c r="BW21" s="329"/>
      <c r="BX21" s="329"/>
      <c r="BY21" s="329"/>
      <c r="BZ21" s="329"/>
      <c r="CA21" s="329"/>
      <c r="CB21" s="329"/>
      <c r="CC21" s="329"/>
      <c r="CD21" s="329"/>
      <c r="CE21" s="329"/>
      <c r="CF21" s="329">
        <f>'20-салат из огурцов'!C20/'20-салат из огурцов'!C24*'20-салат из огурцов'!C25</f>
        <v>3.5999999999999999E-3</v>
      </c>
      <c r="CG21" s="329"/>
      <c r="CH21" s="329"/>
      <c r="CI21" s="329"/>
      <c r="CJ21" s="329"/>
      <c r="CK21" s="329"/>
      <c r="CL21" s="329"/>
      <c r="CM21" s="329"/>
      <c r="CN21" s="329"/>
      <c r="CO21" s="329"/>
      <c r="CP21" s="329"/>
      <c r="CQ21" s="329"/>
      <c r="CR21" s="329"/>
      <c r="CS21" s="329"/>
      <c r="CT21" s="329"/>
      <c r="CU21" s="329"/>
      <c r="CV21" s="329"/>
      <c r="CW21" s="329"/>
      <c r="CX21" s="329"/>
      <c r="CY21" s="329"/>
      <c r="CZ21" s="329"/>
      <c r="DA21" s="329"/>
      <c r="DB21" s="329"/>
      <c r="DC21" s="329">
        <f>'20-салат из огурцов'!C21/'20-салат из огурцов'!C24*'20-салат из огурцов'!C25</f>
        <v>1.98E-3</v>
      </c>
      <c r="DD21" s="329"/>
      <c r="DE21" s="329"/>
      <c r="DF21" s="329"/>
      <c r="DG21" s="329"/>
      <c r="DH21" s="329"/>
      <c r="DI21" s="329"/>
      <c r="DJ21" s="329"/>
      <c r="DK21" s="329"/>
      <c r="DL21" s="329"/>
      <c r="DM21" s="329"/>
      <c r="DN21" s="329"/>
      <c r="DO21" s="329"/>
      <c r="DP21" s="329"/>
      <c r="DQ21" s="329"/>
      <c r="DR21" s="329"/>
      <c r="DS21" s="329"/>
      <c r="DT21" s="329"/>
      <c r="DU21" s="329"/>
      <c r="DV21" s="329"/>
      <c r="DW21" s="329"/>
      <c r="DX21" s="330"/>
      <c r="DY21" s="330"/>
      <c r="DZ21" s="330"/>
      <c r="EA21" s="330"/>
      <c r="EB21" s="330"/>
      <c r="EC21" s="330"/>
      <c r="ED21" s="330"/>
      <c r="EE21" s="330"/>
      <c r="EF21" s="330"/>
      <c r="EG21" s="330"/>
      <c r="EH21" s="330"/>
      <c r="EI21" s="330"/>
      <c r="EJ21" s="330"/>
      <c r="EK21" s="330"/>
      <c r="EL21" s="330"/>
      <c r="EM21" s="330"/>
      <c r="EN21" s="330"/>
      <c r="EO21" s="330"/>
      <c r="EP21" s="330"/>
      <c r="EQ21" s="330"/>
      <c r="ER21" s="330"/>
      <c r="ES21" s="330"/>
      <c r="ET21" s="330"/>
      <c r="EU21" s="330"/>
      <c r="EV21" s="330"/>
      <c r="EW21" s="330"/>
      <c r="EX21" s="330"/>
      <c r="EY21" s="1032">
        <f t="shared" si="0"/>
        <v>7.6859999999999998E-2</v>
      </c>
    </row>
    <row r="22" spans="1:155" ht="14.7" customHeight="1" x14ac:dyDescent="0.25">
      <c r="A22" s="421">
        <v>18</v>
      </c>
      <c r="B22" s="183" t="str">
        <f>'23-салат из помидоров'!A9</f>
        <v>Салат из свежих помидоров с луком зеленым</v>
      </c>
      <c r="C22" s="419">
        <f>'23-салат из помидоров'!C26</f>
        <v>60</v>
      </c>
      <c r="D22" s="1209">
        <f>10.78/1000*C22</f>
        <v>0.65</v>
      </c>
      <c r="E22" s="1209">
        <f>60.88/1000*C22</f>
        <v>3.65</v>
      </c>
      <c r="F22" s="1209">
        <f>34.31/1000*C22</f>
        <v>2.06</v>
      </c>
      <c r="G22" s="1210">
        <f>728/1000*C22</f>
        <v>44</v>
      </c>
      <c r="H22" s="419">
        <f>'23-салат из помидоров'!J7</f>
        <v>23</v>
      </c>
      <c r="I22" s="483">
        <f>'23-салат из помидоров'!F28</f>
        <v>11.05</v>
      </c>
      <c r="J22" s="329"/>
      <c r="K22" s="329"/>
      <c r="L22" s="329"/>
      <c r="M22" s="329"/>
      <c r="N22" s="329"/>
      <c r="O22" s="329"/>
      <c r="P22" s="329"/>
      <c r="Q22" s="329"/>
      <c r="R22" s="329"/>
      <c r="S22" s="329"/>
      <c r="T22" s="329"/>
      <c r="U22" s="329"/>
      <c r="V22" s="329"/>
      <c r="W22" s="329"/>
      <c r="X22" s="329"/>
      <c r="Y22" s="329"/>
      <c r="Z22" s="329"/>
      <c r="AA22" s="329"/>
      <c r="AB22" s="329"/>
      <c r="AC22" s="329"/>
      <c r="AD22" s="329"/>
      <c r="AE22" s="330"/>
      <c r="AF22" s="329"/>
      <c r="AG22" s="329"/>
      <c r="AH22" s="329"/>
      <c r="AI22" s="329"/>
      <c r="AJ22" s="329"/>
      <c r="AK22" s="329"/>
      <c r="AL22" s="329">
        <f>'23-салат из помидоров'!C20/'23-салат из помидоров'!C25*'23-салат из помидоров'!C26</f>
        <v>1.728E-2</v>
      </c>
      <c r="AM22" s="329"/>
      <c r="AN22" s="329">
        <f>'23-салат из помидоров'!C19/'23-салат из помидоров'!C25*'23-салат из помидоров'!C26</f>
        <v>5.0819999999999997E-2</v>
      </c>
      <c r="AO22" s="329"/>
      <c r="AP22" s="329"/>
      <c r="AQ22" s="329"/>
      <c r="AR22" s="329"/>
      <c r="AS22" s="329"/>
      <c r="AT22" s="329"/>
      <c r="AU22" s="329"/>
      <c r="AV22" s="329"/>
      <c r="AW22" s="329"/>
      <c r="AX22" s="329"/>
      <c r="AY22" s="329"/>
      <c r="AZ22" s="329"/>
      <c r="BA22" s="329"/>
      <c r="BB22" s="329"/>
      <c r="BC22" s="329"/>
      <c r="BD22" s="329"/>
      <c r="BE22" s="329"/>
      <c r="BF22" s="329"/>
      <c r="BG22" s="329"/>
      <c r="BH22" s="329"/>
      <c r="BI22" s="329"/>
      <c r="BJ22" s="329"/>
      <c r="BK22" s="329"/>
      <c r="BL22" s="329"/>
      <c r="BM22" s="329"/>
      <c r="BN22" s="329"/>
      <c r="BO22" s="329"/>
      <c r="BP22" s="329"/>
      <c r="BQ22" s="329"/>
      <c r="BR22" s="329"/>
      <c r="BS22" s="329"/>
      <c r="BT22" s="329"/>
      <c r="BU22" s="329"/>
      <c r="BV22" s="329"/>
      <c r="BW22" s="329"/>
      <c r="BX22" s="329"/>
      <c r="BY22" s="329"/>
      <c r="BZ22" s="329"/>
      <c r="CA22" s="329"/>
      <c r="CB22" s="329"/>
      <c r="CC22" s="329"/>
      <c r="CD22" s="329"/>
      <c r="CE22" s="329"/>
      <c r="CF22" s="329">
        <f>'23-салат из помидоров'!C21/'23-салат из помидоров'!C25*'23-салат из помидоров'!C26</f>
        <v>3.5999999999999999E-3</v>
      </c>
      <c r="CG22" s="329"/>
      <c r="CH22" s="329"/>
      <c r="CI22" s="329"/>
      <c r="CJ22" s="329"/>
      <c r="CK22" s="329"/>
      <c r="CL22" s="329"/>
      <c r="CM22" s="329"/>
      <c r="CN22" s="329"/>
      <c r="CO22" s="329"/>
      <c r="CP22" s="329"/>
      <c r="CQ22" s="329"/>
      <c r="CR22" s="329"/>
      <c r="CS22" s="329"/>
      <c r="CT22" s="329"/>
      <c r="CU22" s="329"/>
      <c r="CV22" s="329"/>
      <c r="CW22" s="329"/>
      <c r="CX22" s="329"/>
      <c r="CY22" s="329"/>
      <c r="CZ22" s="329"/>
      <c r="DA22" s="329"/>
      <c r="DB22" s="329"/>
      <c r="DC22" s="329">
        <f>'23-салат из помидоров'!C22/'23-салат из помидоров'!C25*'23-салат из помидоров'!C26</f>
        <v>1.98E-3</v>
      </c>
      <c r="DD22" s="329"/>
      <c r="DE22" s="329"/>
      <c r="DF22" s="329"/>
      <c r="DG22" s="329"/>
      <c r="DH22" s="329"/>
      <c r="DI22" s="329"/>
      <c r="DJ22" s="329"/>
      <c r="DK22" s="329"/>
      <c r="DL22" s="329"/>
      <c r="DM22" s="329"/>
      <c r="DN22" s="329"/>
      <c r="DO22" s="329"/>
      <c r="DP22" s="329"/>
      <c r="DQ22" s="329"/>
      <c r="DR22" s="329"/>
      <c r="DS22" s="329"/>
      <c r="DT22" s="329"/>
      <c r="DU22" s="329"/>
      <c r="DV22" s="329"/>
      <c r="DW22" s="329"/>
      <c r="DX22" s="330"/>
      <c r="DY22" s="330"/>
      <c r="DZ22" s="330"/>
      <c r="EA22" s="330"/>
      <c r="EB22" s="330"/>
      <c r="EC22" s="330"/>
      <c r="ED22" s="330"/>
      <c r="EE22" s="330"/>
      <c r="EF22" s="330"/>
      <c r="EG22" s="330"/>
      <c r="EH22" s="330"/>
      <c r="EI22" s="330"/>
      <c r="EJ22" s="330"/>
      <c r="EK22" s="330"/>
      <c r="EL22" s="330"/>
      <c r="EM22" s="330"/>
      <c r="EN22" s="330"/>
      <c r="EO22" s="330"/>
      <c r="EP22" s="330"/>
      <c r="EQ22" s="330"/>
      <c r="ER22" s="330"/>
      <c r="ES22" s="330"/>
      <c r="ET22" s="330"/>
      <c r="EU22" s="330"/>
      <c r="EV22" s="330"/>
      <c r="EW22" s="330"/>
      <c r="EX22" s="330"/>
      <c r="EY22" s="1032">
        <f t="shared" si="0"/>
        <v>7.3679999999999995E-2</v>
      </c>
    </row>
    <row r="23" spans="1:155" ht="14.7" customHeight="1" x14ac:dyDescent="0.25">
      <c r="A23" s="421">
        <v>19</v>
      </c>
      <c r="B23" s="183" t="str">
        <f>'23-салат из помидоров (2)'!A9</f>
        <v>Салат из свежих помидоров с луком репчатым</v>
      </c>
      <c r="C23" s="419">
        <f>'23-салат из помидоров (2)'!C26</f>
        <v>60</v>
      </c>
      <c r="D23" s="1209">
        <f>11.01/1000*C23</f>
        <v>0.66</v>
      </c>
      <c r="E23" s="1209">
        <f>61.11/1000*C23</f>
        <v>3.67</v>
      </c>
      <c r="F23" s="1209">
        <f>45.67/1000*C23</f>
        <v>2.74</v>
      </c>
      <c r="G23" s="1210">
        <f>777/1000*C23</f>
        <v>47</v>
      </c>
      <c r="H23" s="419">
        <f>'23-салат из помидоров (2)'!J7</f>
        <v>23</v>
      </c>
      <c r="I23" s="483">
        <f>'23-салат из помидоров (2)'!F28</f>
        <v>6.69</v>
      </c>
      <c r="J23" s="329"/>
      <c r="K23" s="329"/>
      <c r="L23" s="329"/>
      <c r="M23" s="329"/>
      <c r="N23" s="329"/>
      <c r="O23" s="329"/>
      <c r="P23" s="329"/>
      <c r="Q23" s="329"/>
      <c r="R23" s="329"/>
      <c r="S23" s="329"/>
      <c r="T23" s="329"/>
      <c r="U23" s="329"/>
      <c r="V23" s="329"/>
      <c r="W23" s="329"/>
      <c r="X23" s="329"/>
      <c r="Y23" s="329"/>
      <c r="Z23" s="329"/>
      <c r="AA23" s="329"/>
      <c r="AB23" s="329"/>
      <c r="AC23" s="329"/>
      <c r="AD23" s="329"/>
      <c r="AE23" s="330"/>
      <c r="AF23" s="329"/>
      <c r="AG23" s="329"/>
      <c r="AH23" s="329"/>
      <c r="AI23" s="329"/>
      <c r="AJ23" s="329"/>
      <c r="AK23" s="329">
        <f>'23-салат из помидоров (2)'!C20/'23-салат из помидоров (2)'!C25*'23-салат из помидоров (2)'!C26</f>
        <v>1.644E-2</v>
      </c>
      <c r="AL23" s="329"/>
      <c r="AM23" s="329"/>
      <c r="AN23" s="329">
        <f>'23-салат из помидоров (2)'!C19/'23-салат из помидоров (2)'!C25*'23-салат из помидоров (2)'!C26</f>
        <v>5.0819999999999997E-2</v>
      </c>
      <c r="AO23" s="329"/>
      <c r="AP23" s="329"/>
      <c r="AQ23" s="329"/>
      <c r="AR23" s="329"/>
      <c r="AS23" s="329"/>
      <c r="AT23" s="329"/>
      <c r="AU23" s="329"/>
      <c r="AV23" s="329"/>
      <c r="AW23" s="329"/>
      <c r="AX23" s="329"/>
      <c r="AY23" s="329"/>
      <c r="AZ23" s="329"/>
      <c r="BA23" s="329"/>
      <c r="BB23" s="329"/>
      <c r="BC23" s="329"/>
      <c r="BD23" s="329"/>
      <c r="BE23" s="329"/>
      <c r="BF23" s="329"/>
      <c r="BG23" s="329"/>
      <c r="BH23" s="329"/>
      <c r="BI23" s="329"/>
      <c r="BJ23" s="329"/>
      <c r="BK23" s="329"/>
      <c r="BL23" s="329"/>
      <c r="BM23" s="329"/>
      <c r="BN23" s="329"/>
      <c r="BO23" s="329"/>
      <c r="BP23" s="329"/>
      <c r="BQ23" s="329"/>
      <c r="BR23" s="329"/>
      <c r="BS23" s="329"/>
      <c r="BT23" s="329"/>
      <c r="BU23" s="329"/>
      <c r="BV23" s="329"/>
      <c r="BW23" s="329"/>
      <c r="BX23" s="329"/>
      <c r="BY23" s="329"/>
      <c r="BZ23" s="329"/>
      <c r="CA23" s="329"/>
      <c r="CB23" s="329"/>
      <c r="CC23" s="329"/>
      <c r="CD23" s="329"/>
      <c r="CE23" s="329"/>
      <c r="CF23" s="329">
        <f>'23-салат из помидоров (2)'!C21/'23-салат из помидоров (2)'!C25*'23-салат из помидоров (2)'!C26</f>
        <v>3.5999999999999999E-3</v>
      </c>
      <c r="CG23" s="329"/>
      <c r="CH23" s="329"/>
      <c r="CI23" s="329"/>
      <c r="CJ23" s="329"/>
      <c r="CK23" s="329"/>
      <c r="CL23" s="329"/>
      <c r="CM23" s="329"/>
      <c r="CN23" s="329"/>
      <c r="CO23" s="329"/>
      <c r="CP23" s="329"/>
      <c r="CQ23" s="329"/>
      <c r="CR23" s="329"/>
      <c r="CS23" s="329"/>
      <c r="CT23" s="329"/>
      <c r="CU23" s="329"/>
      <c r="CV23" s="329"/>
      <c r="CW23" s="329"/>
      <c r="CX23" s="329"/>
      <c r="CY23" s="329"/>
      <c r="CZ23" s="329"/>
      <c r="DA23" s="329"/>
      <c r="DB23" s="329"/>
      <c r="DC23" s="329">
        <f>'23-салат из помидоров (2)'!C22/'23-салат из помидоров (2)'!C25*'23-салат из помидоров (2)'!C26</f>
        <v>1.98E-3</v>
      </c>
      <c r="DD23" s="329"/>
      <c r="DE23" s="329"/>
      <c r="DF23" s="329"/>
      <c r="DG23" s="329"/>
      <c r="DH23" s="329"/>
      <c r="DI23" s="329"/>
      <c r="DJ23" s="329"/>
      <c r="DK23" s="329"/>
      <c r="DL23" s="329"/>
      <c r="DM23" s="329"/>
      <c r="DN23" s="329"/>
      <c r="DO23" s="329"/>
      <c r="DP23" s="329"/>
      <c r="DQ23" s="329"/>
      <c r="DR23" s="329"/>
      <c r="DS23" s="329"/>
      <c r="DT23" s="329"/>
      <c r="DU23" s="329"/>
      <c r="DV23" s="329"/>
      <c r="DW23" s="329"/>
      <c r="DX23" s="330"/>
      <c r="DY23" s="330"/>
      <c r="DZ23" s="330"/>
      <c r="EA23" s="330"/>
      <c r="EB23" s="330"/>
      <c r="EC23" s="330"/>
      <c r="ED23" s="330"/>
      <c r="EE23" s="330"/>
      <c r="EF23" s="330"/>
      <c r="EG23" s="330"/>
      <c r="EH23" s="330"/>
      <c r="EI23" s="330"/>
      <c r="EJ23" s="330"/>
      <c r="EK23" s="330"/>
      <c r="EL23" s="330"/>
      <c r="EM23" s="330"/>
      <c r="EN23" s="330"/>
      <c r="EO23" s="330"/>
      <c r="EP23" s="330"/>
      <c r="EQ23" s="330"/>
      <c r="ER23" s="330"/>
      <c r="ES23" s="330"/>
      <c r="ET23" s="330"/>
      <c r="EU23" s="330"/>
      <c r="EV23" s="330"/>
      <c r="EW23" s="330"/>
      <c r="EX23" s="330"/>
      <c r="EY23" s="1032">
        <f t="shared" si="0"/>
        <v>7.2840000000000002E-2</v>
      </c>
    </row>
    <row r="24" spans="1:155" ht="14.7" customHeight="1" x14ac:dyDescent="0.25">
      <c r="A24" s="421">
        <v>20</v>
      </c>
      <c r="B24" s="183" t="str">
        <f>'24-салат из помидор и огурцов'!A9</f>
        <v>Салат из свежих помидоров и огурцов с луком зеленым</v>
      </c>
      <c r="C24" s="419">
        <f>'24-салат из помидор и огурцов'!C27</f>
        <v>60</v>
      </c>
      <c r="D24" s="1209">
        <f>9.53/1000*C24</f>
        <v>0.56999999999999995</v>
      </c>
      <c r="E24" s="1209">
        <f>60.64/1000*C24</f>
        <v>3.64</v>
      </c>
      <c r="F24" s="1209">
        <f>30.46/1000*C24</f>
        <v>1.83</v>
      </c>
      <c r="G24" s="1210">
        <f>706/1000*C24</f>
        <v>42</v>
      </c>
      <c r="H24" s="419">
        <f>'24-салат из помидор и огурцов'!J7</f>
        <v>24</v>
      </c>
      <c r="I24" s="483">
        <f>'24-салат из помидор и огурцов'!F29</f>
        <v>8.35</v>
      </c>
      <c r="J24" s="329"/>
      <c r="K24" s="329"/>
      <c r="L24" s="329"/>
      <c r="M24" s="329"/>
      <c r="N24" s="329"/>
      <c r="O24" s="329"/>
      <c r="P24" s="329"/>
      <c r="Q24" s="329"/>
      <c r="R24" s="329"/>
      <c r="S24" s="329"/>
      <c r="T24" s="329"/>
      <c r="U24" s="329"/>
      <c r="V24" s="329"/>
      <c r="W24" s="329"/>
      <c r="X24" s="329"/>
      <c r="Y24" s="329"/>
      <c r="Z24" s="329"/>
      <c r="AA24" s="329"/>
      <c r="AB24" s="329"/>
      <c r="AC24" s="329"/>
      <c r="AD24" s="329"/>
      <c r="AE24" s="330"/>
      <c r="AF24" s="329"/>
      <c r="AG24" s="329"/>
      <c r="AH24" s="329"/>
      <c r="AI24" s="329"/>
      <c r="AJ24" s="329"/>
      <c r="AK24" s="329"/>
      <c r="AL24" s="329">
        <f>'24-салат из помидор и огурцов'!C21/'24-салат из помидор и огурцов'!C26*'24-салат из помидор и огурцов'!C27</f>
        <v>8.9999999999999993E-3</v>
      </c>
      <c r="AM24" s="329"/>
      <c r="AN24" s="329">
        <f>'24-салат из помидор и огурцов'!C19/'24-салат из помидор и огурцов'!C26*'24-салат из помидор и огурцов'!C27</f>
        <v>3.39E-2</v>
      </c>
      <c r="AO24" s="329">
        <f>'24-салат из помидор и огурцов'!C20/'24-салат из помидор и огурцов'!C26*'24-салат из помидор и огурцов'!C27</f>
        <v>2.6280000000000001E-2</v>
      </c>
      <c r="AP24" s="329"/>
      <c r="AQ24" s="329"/>
      <c r="AR24" s="329"/>
      <c r="AS24" s="329"/>
      <c r="AT24" s="329"/>
      <c r="AU24" s="329"/>
      <c r="AV24" s="329"/>
      <c r="AW24" s="329"/>
      <c r="AX24" s="329"/>
      <c r="AY24" s="329"/>
      <c r="AZ24" s="329"/>
      <c r="BA24" s="329"/>
      <c r="BB24" s="329"/>
      <c r="BC24" s="329"/>
      <c r="BD24" s="329"/>
      <c r="BE24" s="329"/>
      <c r="BF24" s="329"/>
      <c r="BG24" s="329"/>
      <c r="BH24" s="329"/>
      <c r="BI24" s="329"/>
      <c r="BJ24" s="329"/>
      <c r="BK24" s="329"/>
      <c r="BL24" s="329"/>
      <c r="BM24" s="329"/>
      <c r="BN24" s="329"/>
      <c r="BO24" s="329"/>
      <c r="BP24" s="329"/>
      <c r="BQ24" s="329"/>
      <c r="BR24" s="329"/>
      <c r="BS24" s="329"/>
      <c r="BT24" s="329"/>
      <c r="BU24" s="329"/>
      <c r="BV24" s="329"/>
      <c r="BW24" s="329"/>
      <c r="BX24" s="329"/>
      <c r="BY24" s="329"/>
      <c r="BZ24" s="329"/>
      <c r="CA24" s="329"/>
      <c r="CB24" s="329"/>
      <c r="CC24" s="329"/>
      <c r="CD24" s="329"/>
      <c r="CE24" s="329"/>
      <c r="CF24" s="329">
        <f>'24-салат из помидор и огурцов'!C22/'24-салат из помидор и огурцов'!C26*'24-салат из помидор и огурцов'!C27</f>
        <v>3.5999999999999999E-3</v>
      </c>
      <c r="CG24" s="329"/>
      <c r="CH24" s="329"/>
      <c r="CI24" s="329"/>
      <c r="CJ24" s="329"/>
      <c r="CK24" s="329"/>
      <c r="CL24" s="329"/>
      <c r="CM24" s="329"/>
      <c r="CN24" s="329"/>
      <c r="CO24" s="329"/>
      <c r="CP24" s="329"/>
      <c r="CQ24" s="329"/>
      <c r="CR24" s="329"/>
      <c r="CS24" s="329"/>
      <c r="CT24" s="329"/>
      <c r="CU24" s="329"/>
      <c r="CV24" s="329"/>
      <c r="CW24" s="329"/>
      <c r="CX24" s="329"/>
      <c r="CY24" s="329"/>
      <c r="CZ24" s="329"/>
      <c r="DA24" s="329"/>
      <c r="DB24" s="329"/>
      <c r="DC24" s="329">
        <f>'24-салат из помидор и огурцов'!C23/'24-салат из помидор и огурцов'!C26*'24-салат из помидор и огурцов'!C27</f>
        <v>1.98E-3</v>
      </c>
      <c r="DD24" s="329"/>
      <c r="DE24" s="329"/>
      <c r="DF24" s="329"/>
      <c r="DG24" s="329"/>
      <c r="DH24" s="329"/>
      <c r="DI24" s="329"/>
      <c r="DJ24" s="329"/>
      <c r="DK24" s="329"/>
      <c r="DL24" s="329"/>
      <c r="DM24" s="329"/>
      <c r="DN24" s="329"/>
      <c r="DO24" s="329"/>
      <c r="DP24" s="329"/>
      <c r="DQ24" s="329"/>
      <c r="DR24" s="329"/>
      <c r="DS24" s="329"/>
      <c r="DT24" s="329"/>
      <c r="DU24" s="329"/>
      <c r="DV24" s="329"/>
      <c r="DW24" s="329"/>
      <c r="DX24" s="330"/>
      <c r="DY24" s="330"/>
      <c r="DZ24" s="330"/>
      <c r="EA24" s="330"/>
      <c r="EB24" s="330"/>
      <c r="EC24" s="330"/>
      <c r="ED24" s="330"/>
      <c r="EE24" s="330"/>
      <c r="EF24" s="330"/>
      <c r="EG24" s="330"/>
      <c r="EH24" s="330"/>
      <c r="EI24" s="330"/>
      <c r="EJ24" s="330"/>
      <c r="EK24" s="330"/>
      <c r="EL24" s="330"/>
      <c r="EM24" s="330"/>
      <c r="EN24" s="330"/>
      <c r="EO24" s="330"/>
      <c r="EP24" s="330"/>
      <c r="EQ24" s="330"/>
      <c r="ER24" s="330"/>
      <c r="ES24" s="330"/>
      <c r="ET24" s="330"/>
      <c r="EU24" s="330"/>
      <c r="EV24" s="330"/>
      <c r="EW24" s="330"/>
      <c r="EX24" s="330"/>
      <c r="EY24" s="1032">
        <f t="shared" si="0"/>
        <v>7.4759999999999993E-2</v>
      </c>
    </row>
    <row r="25" spans="1:155" ht="14.7" customHeight="1" x14ac:dyDescent="0.25">
      <c r="A25" s="421">
        <v>21</v>
      </c>
      <c r="B25" s="183" t="str">
        <f>'24-салат помидор и огурц 20'!A9</f>
        <v>Салат из свежих помидоров и огурцов с луком репчатым</v>
      </c>
      <c r="C25" s="419">
        <f>'24-салат помидор и огурц 20'!C27</f>
        <v>60</v>
      </c>
      <c r="D25" s="1209">
        <f>9.64/1000*C25</f>
        <v>0.57999999999999996</v>
      </c>
      <c r="E25" s="1209">
        <f>60.76/1000*C25</f>
        <v>3.65</v>
      </c>
      <c r="F25" s="1209">
        <f>36.46/1000*C25</f>
        <v>2.19</v>
      </c>
      <c r="G25" s="1210">
        <f>707/1000*C25</f>
        <v>42</v>
      </c>
      <c r="H25" s="419">
        <f>'24-салат помидор и огурц 20'!J7</f>
        <v>24</v>
      </c>
      <c r="I25" s="483">
        <f>'24-салат помидор и огурц 20'!F29</f>
        <v>6.08</v>
      </c>
      <c r="J25" s="329"/>
      <c r="K25" s="329"/>
      <c r="L25" s="329"/>
      <c r="M25" s="329"/>
      <c r="N25" s="329"/>
      <c r="O25" s="329"/>
      <c r="P25" s="329"/>
      <c r="Q25" s="329"/>
      <c r="R25" s="329"/>
      <c r="S25" s="329"/>
      <c r="T25" s="329"/>
      <c r="U25" s="329"/>
      <c r="V25" s="329"/>
      <c r="W25" s="329"/>
      <c r="X25" s="329"/>
      <c r="Y25" s="329"/>
      <c r="Z25" s="329"/>
      <c r="AA25" s="329"/>
      <c r="AB25" s="329"/>
      <c r="AC25" s="329"/>
      <c r="AD25" s="329"/>
      <c r="AE25" s="330"/>
      <c r="AF25" s="329"/>
      <c r="AG25" s="329"/>
      <c r="AH25" s="329"/>
      <c r="AI25" s="329"/>
      <c r="AJ25" s="329"/>
      <c r="AK25" s="329">
        <f>'24-салат помидор и огурц 20'!C21/'24-салат помидор и огурц 20'!C26*'24-салат помидор и огурц 20'!C27</f>
        <v>8.5800000000000008E-3</v>
      </c>
      <c r="AL25" s="329"/>
      <c r="AM25" s="329"/>
      <c r="AN25" s="329">
        <f>'24-салат помидор и огурц 20'!C19/'24-салат помидор и огурц 20'!C26*'24-салат помидор и огурц 20'!C27</f>
        <v>3.39E-2</v>
      </c>
      <c r="AO25" s="329">
        <f>'24-салат помидор и огурц 20'!C20/'24-салат помидор и огурц 20'!C26*'24-салат помидор и огурц 20'!C27</f>
        <v>2.6280000000000001E-2</v>
      </c>
      <c r="AP25" s="329"/>
      <c r="AQ25" s="329"/>
      <c r="AR25" s="329"/>
      <c r="AS25" s="329"/>
      <c r="AT25" s="329"/>
      <c r="AU25" s="329"/>
      <c r="AV25" s="329"/>
      <c r="AW25" s="329"/>
      <c r="AX25" s="329"/>
      <c r="AY25" s="329"/>
      <c r="AZ25" s="329"/>
      <c r="BA25" s="329"/>
      <c r="BB25" s="329"/>
      <c r="BC25" s="329"/>
      <c r="BD25" s="329"/>
      <c r="BE25" s="329"/>
      <c r="BF25" s="329"/>
      <c r="BG25" s="329"/>
      <c r="BH25" s="329"/>
      <c r="BI25" s="329"/>
      <c r="BJ25" s="329"/>
      <c r="BK25" s="329"/>
      <c r="BL25" s="329"/>
      <c r="BM25" s="329"/>
      <c r="BN25" s="329"/>
      <c r="BO25" s="329"/>
      <c r="BP25" s="329"/>
      <c r="BQ25" s="329"/>
      <c r="BR25" s="329"/>
      <c r="BS25" s="329"/>
      <c r="BT25" s="329"/>
      <c r="BU25" s="329"/>
      <c r="BV25" s="329"/>
      <c r="BW25" s="329"/>
      <c r="BX25" s="329"/>
      <c r="BY25" s="329"/>
      <c r="BZ25" s="329"/>
      <c r="CA25" s="329"/>
      <c r="CB25" s="329"/>
      <c r="CC25" s="329"/>
      <c r="CD25" s="329"/>
      <c r="CE25" s="329"/>
      <c r="CF25" s="329">
        <f>'24-салат помидор и огурц 20'!C22/'24-салат помидор и огурц 20'!C26*'24-салат помидор и огурц 20'!C27</f>
        <v>3.5999999999999999E-3</v>
      </c>
      <c r="CG25" s="329"/>
      <c r="CH25" s="329"/>
      <c r="CI25" s="329"/>
      <c r="CJ25" s="329"/>
      <c r="CK25" s="329"/>
      <c r="CL25" s="329"/>
      <c r="CM25" s="329"/>
      <c r="CN25" s="329"/>
      <c r="CO25" s="329"/>
      <c r="CP25" s="329"/>
      <c r="CQ25" s="329"/>
      <c r="CR25" s="329"/>
      <c r="CS25" s="329"/>
      <c r="CT25" s="329"/>
      <c r="CU25" s="329"/>
      <c r="CV25" s="329"/>
      <c r="CW25" s="329"/>
      <c r="CX25" s="329"/>
      <c r="CY25" s="329"/>
      <c r="CZ25" s="329"/>
      <c r="DA25" s="329"/>
      <c r="DB25" s="329"/>
      <c r="DC25" s="329">
        <f>'24-салат помидор и огурц 20'!C23/'24-салат помидор и огурц 20'!C26*'24-салат помидор и огурц 20'!C27</f>
        <v>1.98E-3</v>
      </c>
      <c r="DD25" s="329"/>
      <c r="DE25" s="329"/>
      <c r="DF25" s="329"/>
      <c r="DG25" s="329"/>
      <c r="DH25" s="329"/>
      <c r="DI25" s="329"/>
      <c r="DJ25" s="329"/>
      <c r="DK25" s="329"/>
      <c r="DL25" s="329"/>
      <c r="DM25" s="329"/>
      <c r="DN25" s="329"/>
      <c r="DO25" s="329"/>
      <c r="DP25" s="329"/>
      <c r="DQ25" s="329"/>
      <c r="DR25" s="329"/>
      <c r="DS25" s="329"/>
      <c r="DT25" s="329"/>
      <c r="DU25" s="329"/>
      <c r="DV25" s="329"/>
      <c r="DW25" s="329"/>
      <c r="DX25" s="330"/>
      <c r="DY25" s="330"/>
      <c r="DZ25" s="330"/>
      <c r="EA25" s="330"/>
      <c r="EB25" s="330"/>
      <c r="EC25" s="330"/>
      <c r="ED25" s="330"/>
      <c r="EE25" s="330"/>
      <c r="EF25" s="330"/>
      <c r="EG25" s="330"/>
      <c r="EH25" s="330"/>
      <c r="EI25" s="330"/>
      <c r="EJ25" s="330"/>
      <c r="EK25" s="330"/>
      <c r="EL25" s="330"/>
      <c r="EM25" s="330"/>
      <c r="EN25" s="330"/>
      <c r="EO25" s="330"/>
      <c r="EP25" s="330"/>
      <c r="EQ25" s="330"/>
      <c r="ER25" s="330"/>
      <c r="ES25" s="330"/>
      <c r="ET25" s="330"/>
      <c r="EU25" s="330"/>
      <c r="EV25" s="330"/>
      <c r="EW25" s="330"/>
      <c r="EX25" s="330"/>
      <c r="EY25" s="1032">
        <f t="shared" si="0"/>
        <v>7.4340000000000003E-2</v>
      </c>
    </row>
    <row r="26" spans="1:155" ht="14.7" customHeight="1" x14ac:dyDescent="0.25">
      <c r="A26" s="421">
        <v>22</v>
      </c>
      <c r="B26" s="183" t="str">
        <f>'28-салат весна'!A9</f>
        <v>Салат "Весна"</v>
      </c>
      <c r="C26" s="419">
        <f>'28-салат весна'!C29</f>
        <v>60</v>
      </c>
      <c r="D26" s="1209">
        <f>17.64/1000*C26</f>
        <v>1.06</v>
      </c>
      <c r="E26" s="1209">
        <f>57.33/1000*C26</f>
        <v>3.44</v>
      </c>
      <c r="F26" s="1209">
        <f>24.42/1000*C26</f>
        <v>1.47</v>
      </c>
      <c r="G26" s="1210">
        <f>684/1000*C26</f>
        <v>41</v>
      </c>
      <c r="H26" s="419">
        <f>'28-салат весна'!J7</f>
        <v>28</v>
      </c>
      <c r="I26" s="483">
        <f>'28-салат весна'!F31</f>
        <v>9.91</v>
      </c>
      <c r="J26" s="329"/>
      <c r="K26" s="329"/>
      <c r="L26" s="329"/>
      <c r="M26" s="329"/>
      <c r="N26" s="329"/>
      <c r="O26" s="329"/>
      <c r="P26" s="329"/>
      <c r="Q26" s="329"/>
      <c r="R26" s="329"/>
      <c r="S26" s="329"/>
      <c r="T26" s="329"/>
      <c r="U26" s="329"/>
      <c r="V26" s="329"/>
      <c r="W26" s="329"/>
      <c r="X26" s="329"/>
      <c r="Y26" s="329"/>
      <c r="Z26" s="329"/>
      <c r="AA26" s="329"/>
      <c r="AB26" s="329"/>
      <c r="AC26" s="329"/>
      <c r="AD26" s="329"/>
      <c r="AE26" s="330">
        <f>'28-салат весна'!C23/'28-салат весна'!C28*'28-салат весна'!C29</f>
        <v>4.1399999999999996E-3</v>
      </c>
      <c r="AF26" s="329"/>
      <c r="AG26" s="329"/>
      <c r="AH26" s="329"/>
      <c r="AI26" s="329"/>
      <c r="AJ26" s="329"/>
      <c r="AK26" s="329"/>
      <c r="AL26" s="329">
        <f>'28-салат весна'!C22/'28-салат весна'!C28*'28-салат весна'!C29</f>
        <v>1.0500000000000001E-2</v>
      </c>
      <c r="AM26" s="329"/>
      <c r="AN26" s="329"/>
      <c r="AO26" s="329">
        <f>'28-салат весна'!C21/'28-салат весна'!C28*'28-салат весна'!C29</f>
        <v>2.6280000000000001E-2</v>
      </c>
      <c r="AP26" s="329">
        <f>'28-салат весна'!C19/'28-салат весна'!C28*'28-салат весна'!C29</f>
        <v>1.7520000000000001E-2</v>
      </c>
      <c r="AQ26" s="329"/>
      <c r="AR26" s="329"/>
      <c r="AS26" s="329"/>
      <c r="AT26" s="329"/>
      <c r="AU26" s="329"/>
      <c r="AV26" s="329"/>
      <c r="AW26" s="329"/>
      <c r="AX26" s="329"/>
      <c r="AY26" s="329"/>
      <c r="AZ26" s="329"/>
      <c r="BA26" s="329"/>
      <c r="BB26" s="329"/>
      <c r="BC26" s="329">
        <f>'28-салат весна'!C20/'28-салат весна'!C28*'28-салат весна'!C29</f>
        <v>1.29E-2</v>
      </c>
      <c r="BD26" s="329"/>
      <c r="BE26" s="329"/>
      <c r="BF26" s="329"/>
      <c r="BG26" s="329"/>
      <c r="BH26" s="329"/>
      <c r="BI26" s="329"/>
      <c r="BJ26" s="329"/>
      <c r="BK26" s="329"/>
      <c r="BL26" s="329"/>
      <c r="BM26" s="329"/>
      <c r="BN26" s="329"/>
      <c r="BO26" s="329"/>
      <c r="BP26" s="329"/>
      <c r="BQ26" s="329"/>
      <c r="BR26" s="329"/>
      <c r="BS26" s="329"/>
      <c r="BT26" s="329"/>
      <c r="BU26" s="329"/>
      <c r="BV26" s="329"/>
      <c r="BW26" s="329"/>
      <c r="BX26" s="329"/>
      <c r="BY26" s="329"/>
      <c r="BZ26" s="329"/>
      <c r="CA26" s="329"/>
      <c r="CB26" s="329"/>
      <c r="CC26" s="329"/>
      <c r="CD26" s="329"/>
      <c r="CE26" s="329"/>
      <c r="CF26" s="329">
        <f>'28-салат весна'!C24/'28-салат весна'!C28*'28-салат весна'!C29</f>
        <v>3.0000000000000001E-3</v>
      </c>
      <c r="CG26" s="329"/>
      <c r="CH26" s="329"/>
      <c r="CI26" s="329"/>
      <c r="CJ26" s="329"/>
      <c r="CK26" s="329"/>
      <c r="CL26" s="329"/>
      <c r="CM26" s="329"/>
      <c r="CN26" s="329"/>
      <c r="CO26" s="329"/>
      <c r="CP26" s="329"/>
      <c r="CQ26" s="329"/>
      <c r="CR26" s="329"/>
      <c r="CS26" s="329"/>
      <c r="CT26" s="329"/>
      <c r="CU26" s="329"/>
      <c r="CV26" s="329"/>
      <c r="CW26" s="329"/>
      <c r="CX26" s="329"/>
      <c r="CY26" s="329"/>
      <c r="CZ26" s="329"/>
      <c r="DA26" s="329"/>
      <c r="DB26" s="329"/>
      <c r="DC26" s="329">
        <f>'28-салат весна'!C25/'28-салат весна'!C28*'28-салат весна'!C29</f>
        <v>1.98E-3</v>
      </c>
      <c r="DD26" s="329"/>
      <c r="DE26" s="329"/>
      <c r="DF26" s="329"/>
      <c r="DG26" s="329"/>
      <c r="DH26" s="329"/>
      <c r="DI26" s="329"/>
      <c r="DJ26" s="329"/>
      <c r="DK26" s="329"/>
      <c r="DL26" s="329"/>
      <c r="DM26" s="329"/>
      <c r="DN26" s="329"/>
      <c r="DO26" s="329"/>
      <c r="DP26" s="329"/>
      <c r="DQ26" s="329"/>
      <c r="DR26" s="329"/>
      <c r="DS26" s="329"/>
      <c r="DT26" s="329"/>
      <c r="DU26" s="329"/>
      <c r="DV26" s="329"/>
      <c r="DW26" s="329"/>
      <c r="DX26" s="330"/>
      <c r="DY26" s="330"/>
      <c r="DZ26" s="330"/>
      <c r="EA26" s="330"/>
      <c r="EB26" s="330"/>
      <c r="EC26" s="330"/>
      <c r="ED26" s="330"/>
      <c r="EE26" s="330"/>
      <c r="EF26" s="330"/>
      <c r="EG26" s="330"/>
      <c r="EH26" s="330"/>
      <c r="EI26" s="330"/>
      <c r="EJ26" s="330"/>
      <c r="EK26" s="330"/>
      <c r="EL26" s="330"/>
      <c r="EM26" s="330"/>
      <c r="EN26" s="330"/>
      <c r="EO26" s="330"/>
      <c r="EP26" s="330"/>
      <c r="EQ26" s="330"/>
      <c r="ER26" s="330"/>
      <c r="ES26" s="330"/>
      <c r="ET26" s="330"/>
      <c r="EU26" s="330"/>
      <c r="EV26" s="330"/>
      <c r="EW26" s="330"/>
      <c r="EX26" s="330"/>
      <c r="EY26" s="1032">
        <f t="shared" si="0"/>
        <v>7.6319999999999999E-2</v>
      </c>
    </row>
    <row r="27" spans="1:155" ht="14.7" customHeight="1" x14ac:dyDescent="0.25">
      <c r="A27" s="421">
        <v>23</v>
      </c>
      <c r="B27" s="183" t="str">
        <f>'29-салат из сырых овощей'!A9</f>
        <v>Салат из сырых овощей</v>
      </c>
      <c r="C27" s="419">
        <f>'29-салат из сырых овощей'!C28</f>
        <v>60</v>
      </c>
      <c r="D27" s="1209">
        <f>10.92/1000*C27</f>
        <v>0.66</v>
      </c>
      <c r="E27" s="1209">
        <f>60.42/1000*C27</f>
        <v>3.63</v>
      </c>
      <c r="F27" s="1209">
        <f>37.77/1000*C27</f>
        <v>2.27</v>
      </c>
      <c r="G27" s="1210">
        <f>739/1000*C27</f>
        <v>44</v>
      </c>
      <c r="H27" s="419">
        <f>'29-салат из сырых овощей'!J7</f>
        <v>29</v>
      </c>
      <c r="I27" s="483">
        <f>'29-салат из сырых овощей'!F30</f>
        <v>4.96</v>
      </c>
      <c r="J27" s="329"/>
      <c r="K27" s="329"/>
      <c r="L27" s="329"/>
      <c r="M27" s="329"/>
      <c r="N27" s="329"/>
      <c r="O27" s="329"/>
      <c r="P27" s="329"/>
      <c r="Q27" s="329"/>
      <c r="R27" s="329"/>
      <c r="S27" s="329"/>
      <c r="T27" s="329"/>
      <c r="U27" s="329"/>
      <c r="V27" s="329"/>
      <c r="W27" s="329"/>
      <c r="X27" s="329"/>
      <c r="Y27" s="329"/>
      <c r="Z27" s="329"/>
      <c r="AA27" s="329"/>
      <c r="AB27" s="329"/>
      <c r="AC27" s="329"/>
      <c r="AD27" s="329"/>
      <c r="AE27" s="330"/>
      <c r="AF27" s="329">
        <f>'29-салат из сырых овощей'!C22/'29-салат из сырых овощей'!C27*'29-салат из сырых овощей'!C28</f>
        <v>1.4279999999999999E-2</v>
      </c>
      <c r="AG27" s="329"/>
      <c r="AH27" s="329"/>
      <c r="AI27" s="329"/>
      <c r="AJ27" s="329"/>
      <c r="AK27" s="329"/>
      <c r="AL27" s="329"/>
      <c r="AM27" s="329"/>
      <c r="AN27" s="329">
        <f>'29-салат из сырых овощей'!C20/'29-салат из сырых овощей'!C27*'29-салат из сырых овощей'!C28</f>
        <v>1.7639999999999999E-2</v>
      </c>
      <c r="AO27" s="329">
        <f>'29-салат из сырых овощей'!C21/'29-салат из сырых овощей'!C27*'29-салат из сырых овощей'!C28</f>
        <v>2.0879999999999999E-2</v>
      </c>
      <c r="AP27" s="329"/>
      <c r="AQ27" s="329">
        <f>'29-салат из сырых овощей'!C19/'29-салат из сырых овощей'!C27*'29-салат из сырых овощей'!C28</f>
        <v>1.2E-2</v>
      </c>
      <c r="AR27" s="329"/>
      <c r="AS27" s="329"/>
      <c r="AT27" s="329"/>
      <c r="AU27" s="329"/>
      <c r="AV27" s="329"/>
      <c r="AW27" s="329"/>
      <c r="AX27" s="329"/>
      <c r="AY27" s="329"/>
      <c r="AZ27" s="329"/>
      <c r="BA27" s="329"/>
      <c r="BB27" s="329"/>
      <c r="BC27" s="329"/>
      <c r="BD27" s="329"/>
      <c r="BE27" s="329"/>
      <c r="BF27" s="329"/>
      <c r="BG27" s="329"/>
      <c r="BH27" s="329"/>
      <c r="BI27" s="329"/>
      <c r="BJ27" s="329"/>
      <c r="BK27" s="329"/>
      <c r="BL27" s="329"/>
      <c r="BM27" s="329"/>
      <c r="BN27" s="329"/>
      <c r="BO27" s="329"/>
      <c r="BP27" s="329"/>
      <c r="BQ27" s="329"/>
      <c r="BR27" s="329"/>
      <c r="BS27" s="329"/>
      <c r="BT27" s="329"/>
      <c r="BU27" s="329"/>
      <c r="BV27" s="329"/>
      <c r="BW27" s="329"/>
      <c r="BX27" s="329"/>
      <c r="BY27" s="329"/>
      <c r="BZ27" s="329"/>
      <c r="CA27" s="329"/>
      <c r="CB27" s="329"/>
      <c r="CC27" s="329"/>
      <c r="CD27" s="329"/>
      <c r="CE27" s="329"/>
      <c r="CF27" s="329">
        <f>'29-салат из сырых овощей'!C23/'29-салат из сырых овощей'!C27*'29-салат из сырых овощей'!C28</f>
        <v>3.5999999999999999E-3</v>
      </c>
      <c r="CG27" s="329"/>
      <c r="CH27" s="329"/>
      <c r="CI27" s="329"/>
      <c r="CJ27" s="329"/>
      <c r="CK27" s="329"/>
      <c r="CL27" s="329"/>
      <c r="CM27" s="329"/>
      <c r="CN27" s="329"/>
      <c r="CO27" s="329"/>
      <c r="CP27" s="329"/>
      <c r="CQ27" s="329"/>
      <c r="CR27" s="329"/>
      <c r="CS27" s="329"/>
      <c r="CT27" s="329"/>
      <c r="CU27" s="329"/>
      <c r="CV27" s="329"/>
      <c r="CW27" s="329"/>
      <c r="CX27" s="329"/>
      <c r="CY27" s="329"/>
      <c r="CZ27" s="329"/>
      <c r="DA27" s="329"/>
      <c r="DB27" s="329"/>
      <c r="DC27" s="329">
        <f>'29-салат из сырых овощей'!C24/'29-салат из сырых овощей'!C27*'29-салат из сырых овощей'!C28</f>
        <v>1.98E-3</v>
      </c>
      <c r="DD27" s="329"/>
      <c r="DE27" s="329"/>
      <c r="DF27" s="329"/>
      <c r="DG27" s="329"/>
      <c r="DH27" s="329"/>
      <c r="DI27" s="329"/>
      <c r="DJ27" s="329"/>
      <c r="DK27" s="329"/>
      <c r="DL27" s="329"/>
      <c r="DM27" s="329"/>
      <c r="DN27" s="329"/>
      <c r="DO27" s="329"/>
      <c r="DP27" s="329"/>
      <c r="DQ27" s="329"/>
      <c r="DR27" s="329"/>
      <c r="DS27" s="329"/>
      <c r="DT27" s="329"/>
      <c r="DU27" s="329"/>
      <c r="DV27" s="329"/>
      <c r="DW27" s="329"/>
      <c r="DX27" s="330"/>
      <c r="DY27" s="330"/>
      <c r="DZ27" s="330"/>
      <c r="EA27" s="330"/>
      <c r="EB27" s="330"/>
      <c r="EC27" s="330"/>
      <c r="ED27" s="330"/>
      <c r="EE27" s="330"/>
      <c r="EF27" s="330"/>
      <c r="EG27" s="330"/>
      <c r="EH27" s="330"/>
      <c r="EI27" s="330"/>
      <c r="EJ27" s="330"/>
      <c r="EK27" s="330"/>
      <c r="EL27" s="330"/>
      <c r="EM27" s="330"/>
      <c r="EN27" s="330"/>
      <c r="EO27" s="330"/>
      <c r="EP27" s="330"/>
      <c r="EQ27" s="330"/>
      <c r="ER27" s="330"/>
      <c r="ES27" s="330"/>
      <c r="ET27" s="330"/>
      <c r="EU27" s="330"/>
      <c r="EV27" s="330"/>
      <c r="EW27" s="330"/>
      <c r="EX27" s="330"/>
      <c r="EY27" s="1032">
        <f t="shared" si="0"/>
        <v>7.0379999999999998E-2</v>
      </c>
    </row>
    <row r="28" spans="1:155" ht="14.7" customHeight="1" x14ac:dyDescent="0.25">
      <c r="A28" s="421">
        <v>24</v>
      </c>
      <c r="B28" s="183" t="str">
        <f>'31-салат из редиса'!A9</f>
        <v>Салат из редиса с огурцами и яйцом</v>
      </c>
      <c r="C28" s="419">
        <f>'31-салат из редиса'!C27</f>
        <v>60</v>
      </c>
      <c r="D28" s="1209">
        <f>23.75/1000*C28</f>
        <v>1.43</v>
      </c>
      <c r="E28" s="1209">
        <f>73.8/1000*C28</f>
        <v>4.43</v>
      </c>
      <c r="F28" s="1209">
        <f>25.99/1000*C28</f>
        <v>1.56</v>
      </c>
      <c r="G28" s="1210">
        <f>863/1000*C28</f>
        <v>52</v>
      </c>
      <c r="H28" s="419">
        <f>'31-салат из редиса'!J7</f>
        <v>31</v>
      </c>
      <c r="I28" s="483">
        <f>'31-салат из редиса'!F29</f>
        <v>4.75</v>
      </c>
      <c r="J28" s="329"/>
      <c r="K28" s="329"/>
      <c r="L28" s="329"/>
      <c r="M28" s="329"/>
      <c r="N28" s="329"/>
      <c r="O28" s="329"/>
      <c r="P28" s="329"/>
      <c r="Q28" s="329"/>
      <c r="R28" s="329"/>
      <c r="S28" s="329"/>
      <c r="T28" s="329"/>
      <c r="U28" s="329"/>
      <c r="V28" s="329"/>
      <c r="W28" s="329"/>
      <c r="X28" s="329"/>
      <c r="Y28" s="329"/>
      <c r="Z28" s="329"/>
      <c r="AA28" s="329"/>
      <c r="AB28" s="329"/>
      <c r="AC28" s="329"/>
      <c r="AD28" s="329"/>
      <c r="AE28" s="330">
        <f>'31-салат из редиса'!C21/'31-салат из редиса'!C26*'31-салат из редиса'!C27</f>
        <v>8.2799999999999992E-3</v>
      </c>
      <c r="AF28" s="329"/>
      <c r="AG28" s="329"/>
      <c r="AH28" s="329"/>
      <c r="AI28" s="329"/>
      <c r="AJ28" s="329"/>
      <c r="AK28" s="329"/>
      <c r="AL28" s="329"/>
      <c r="AM28" s="329"/>
      <c r="AN28" s="329"/>
      <c r="AO28" s="329">
        <f>'31-салат из редиса'!C20/'31-салат из редиса'!C26*'31-салат из редиса'!C27</f>
        <v>2.4E-2</v>
      </c>
      <c r="AP28" s="329"/>
      <c r="AQ28" s="329"/>
      <c r="AR28" s="329"/>
      <c r="AS28" s="329"/>
      <c r="AT28" s="329"/>
      <c r="AU28" s="329"/>
      <c r="AV28" s="329"/>
      <c r="AW28" s="329"/>
      <c r="AX28" s="329"/>
      <c r="AY28" s="329"/>
      <c r="AZ28" s="329"/>
      <c r="BA28" s="329"/>
      <c r="BB28" s="329"/>
      <c r="BC28" s="329">
        <f>'31-салат из редиса'!C19/'31-салат из редиса'!C26*'31-салат из редиса'!C27</f>
        <v>3.288E-2</v>
      </c>
      <c r="BD28" s="329"/>
      <c r="BE28" s="329"/>
      <c r="BF28" s="329"/>
      <c r="BG28" s="329"/>
      <c r="BH28" s="329"/>
      <c r="BI28" s="329"/>
      <c r="BJ28" s="329"/>
      <c r="BK28" s="329"/>
      <c r="BL28" s="329"/>
      <c r="BM28" s="329"/>
      <c r="BN28" s="329"/>
      <c r="BO28" s="329"/>
      <c r="BP28" s="329"/>
      <c r="BQ28" s="329"/>
      <c r="BR28" s="329"/>
      <c r="BS28" s="329"/>
      <c r="BT28" s="329"/>
      <c r="BU28" s="329"/>
      <c r="BV28" s="329"/>
      <c r="BW28" s="329"/>
      <c r="BX28" s="329"/>
      <c r="BY28" s="329"/>
      <c r="BZ28" s="329"/>
      <c r="CA28" s="329"/>
      <c r="CB28" s="329"/>
      <c r="CC28" s="329"/>
      <c r="CD28" s="329"/>
      <c r="CE28" s="329"/>
      <c r="CF28" s="329">
        <f>'31-салат из редиса'!C22/'31-салат из редиса'!C26*'31-салат из редиса'!C27</f>
        <v>3.0000000000000001E-3</v>
      </c>
      <c r="CG28" s="329"/>
      <c r="CH28" s="329"/>
      <c r="CI28" s="329"/>
      <c r="CJ28" s="329"/>
      <c r="CK28" s="329"/>
      <c r="CL28" s="329"/>
      <c r="CM28" s="329"/>
      <c r="CN28" s="329"/>
      <c r="CO28" s="329"/>
      <c r="CP28" s="329"/>
      <c r="CQ28" s="329"/>
      <c r="CR28" s="329"/>
      <c r="CS28" s="329"/>
      <c r="CT28" s="329"/>
      <c r="CU28" s="329"/>
      <c r="CV28" s="329"/>
      <c r="CW28" s="329"/>
      <c r="CX28" s="329"/>
      <c r="CY28" s="329"/>
      <c r="CZ28" s="329"/>
      <c r="DA28" s="329"/>
      <c r="DB28" s="329"/>
      <c r="DC28" s="329">
        <f>'31-салат из редиса'!C23/'31-салат из редиса'!C26*'31-салат из редиса'!C27</f>
        <v>1.98E-3</v>
      </c>
      <c r="DD28" s="329"/>
      <c r="DE28" s="329"/>
      <c r="DF28" s="329"/>
      <c r="DG28" s="329"/>
      <c r="DH28" s="329"/>
      <c r="DI28" s="329"/>
      <c r="DJ28" s="329"/>
      <c r="DK28" s="329"/>
      <c r="DL28" s="329"/>
      <c r="DM28" s="329"/>
      <c r="DN28" s="329"/>
      <c r="DO28" s="329"/>
      <c r="DP28" s="329"/>
      <c r="DQ28" s="329"/>
      <c r="DR28" s="329"/>
      <c r="DS28" s="329"/>
      <c r="DT28" s="329"/>
      <c r="DU28" s="329"/>
      <c r="DV28" s="329"/>
      <c r="DW28" s="329"/>
      <c r="DX28" s="330"/>
      <c r="DY28" s="330"/>
      <c r="DZ28" s="330"/>
      <c r="EA28" s="330"/>
      <c r="EB28" s="330"/>
      <c r="EC28" s="330"/>
      <c r="ED28" s="330"/>
      <c r="EE28" s="330"/>
      <c r="EF28" s="330"/>
      <c r="EG28" s="330"/>
      <c r="EH28" s="330"/>
      <c r="EI28" s="330"/>
      <c r="EJ28" s="330"/>
      <c r="EK28" s="330"/>
      <c r="EL28" s="330"/>
      <c r="EM28" s="330"/>
      <c r="EN28" s="330"/>
      <c r="EO28" s="330"/>
      <c r="EP28" s="330"/>
      <c r="EQ28" s="330"/>
      <c r="ER28" s="330"/>
      <c r="ES28" s="330"/>
      <c r="ET28" s="330"/>
      <c r="EU28" s="330"/>
      <c r="EV28" s="330"/>
      <c r="EW28" s="330"/>
      <c r="EX28" s="330"/>
      <c r="EY28" s="1032">
        <f t="shared" si="0"/>
        <v>7.0139999999999994E-2</v>
      </c>
    </row>
    <row r="29" spans="1:155" ht="14.7" customHeight="1" x14ac:dyDescent="0.25">
      <c r="A29" s="421">
        <v>25</v>
      </c>
      <c r="B29" s="183" t="str">
        <f>'34-салат летний'!A9</f>
        <v>Салат "Летний"</v>
      </c>
      <c r="C29" s="419">
        <f>'34-салат летний'!C29</f>
        <v>60</v>
      </c>
      <c r="D29" s="1209">
        <f>25.2/1000*C29</f>
        <v>1.51</v>
      </c>
      <c r="E29" s="1209">
        <f>72.52/1000*C29</f>
        <v>4.3499999999999996</v>
      </c>
      <c r="F29" s="1209">
        <f>65.37/1000*C29</f>
        <v>3.92</v>
      </c>
      <c r="G29" s="1210">
        <f>1015/1000*C29</f>
        <v>61</v>
      </c>
      <c r="H29" s="419">
        <f>'34-салат летний'!J7</f>
        <v>34</v>
      </c>
      <c r="I29" s="483">
        <f>'34-салат летний'!F31</f>
        <v>7.01</v>
      </c>
      <c r="J29" s="329"/>
      <c r="K29" s="329"/>
      <c r="L29" s="329"/>
      <c r="M29" s="329"/>
      <c r="N29" s="329"/>
      <c r="O29" s="329"/>
      <c r="P29" s="329"/>
      <c r="Q29" s="329"/>
      <c r="R29" s="329"/>
      <c r="S29" s="329"/>
      <c r="T29" s="329"/>
      <c r="U29" s="329"/>
      <c r="V29" s="329"/>
      <c r="W29" s="329"/>
      <c r="X29" s="329"/>
      <c r="Y29" s="329"/>
      <c r="Z29" s="329"/>
      <c r="AA29" s="329"/>
      <c r="AB29" s="329"/>
      <c r="AC29" s="329"/>
      <c r="AD29" s="329"/>
      <c r="AE29" s="330">
        <f>'34-салат летний'!C23/'34-салат летний'!C28*'34-салат летний'!C29</f>
        <v>6.8999999999999999E-3</v>
      </c>
      <c r="AF29" s="329"/>
      <c r="AG29" s="329"/>
      <c r="AH29" s="329"/>
      <c r="AI29" s="329">
        <f>'34-салат летний'!C19/'34-салат летний'!C28*'34-салат летний'!C29</f>
        <v>2.4E-2</v>
      </c>
      <c r="AJ29" s="329"/>
      <c r="AK29" s="329"/>
      <c r="AL29" s="329">
        <f>'34-салат летний'!C22/'34-салат летний'!C28*'34-салат летний'!C29</f>
        <v>7.4999999999999997E-3</v>
      </c>
      <c r="AM29" s="329"/>
      <c r="AN29" s="329">
        <f>'34-салат летний'!C21/'34-салат летний'!C28*'34-салат летний'!C29</f>
        <v>1.41E-2</v>
      </c>
      <c r="AO29" s="329">
        <f>'34-салат летний'!C20/'34-салат летний'!C28*'34-салат летний'!C29</f>
        <v>1.89E-2</v>
      </c>
      <c r="AP29" s="329"/>
      <c r="AQ29" s="329"/>
      <c r="AR29" s="329"/>
      <c r="AS29" s="329"/>
      <c r="AT29" s="329"/>
      <c r="AU29" s="329"/>
      <c r="AV29" s="329"/>
      <c r="AW29" s="329"/>
      <c r="AX29" s="329"/>
      <c r="AY29" s="329"/>
      <c r="AZ29" s="329"/>
      <c r="BA29" s="329"/>
      <c r="BB29" s="329"/>
      <c r="BC29" s="329"/>
      <c r="BD29" s="329"/>
      <c r="BE29" s="329"/>
      <c r="BF29" s="329"/>
      <c r="BG29" s="329"/>
      <c r="BH29" s="329"/>
      <c r="BI29" s="329"/>
      <c r="BJ29" s="329"/>
      <c r="BK29" s="329"/>
      <c r="BL29" s="329"/>
      <c r="BM29" s="329"/>
      <c r="BN29" s="329"/>
      <c r="BO29" s="329"/>
      <c r="BP29" s="329"/>
      <c r="BQ29" s="329"/>
      <c r="BR29" s="329"/>
      <c r="BS29" s="329"/>
      <c r="BT29" s="329"/>
      <c r="BU29" s="329"/>
      <c r="BV29" s="329"/>
      <c r="BW29" s="329"/>
      <c r="BX29" s="329"/>
      <c r="BY29" s="329"/>
      <c r="BZ29" s="329"/>
      <c r="CA29" s="329"/>
      <c r="CB29" s="329"/>
      <c r="CC29" s="329"/>
      <c r="CD29" s="329"/>
      <c r="CE29" s="329"/>
      <c r="CF29" s="329">
        <f>'34-салат летний'!C24/'34-салат летний'!C28*'34-салат летний'!C29</f>
        <v>3.5999999999999999E-3</v>
      </c>
      <c r="CG29" s="329"/>
      <c r="CH29" s="329"/>
      <c r="CI29" s="329"/>
      <c r="CJ29" s="329"/>
      <c r="CK29" s="329"/>
      <c r="CL29" s="329"/>
      <c r="CM29" s="329"/>
      <c r="CN29" s="329"/>
      <c r="CO29" s="329"/>
      <c r="CP29" s="329"/>
      <c r="CQ29" s="329"/>
      <c r="CR29" s="329"/>
      <c r="CS29" s="329"/>
      <c r="CT29" s="329"/>
      <c r="CU29" s="329"/>
      <c r="CV29" s="329"/>
      <c r="CW29" s="329"/>
      <c r="CX29" s="329"/>
      <c r="CY29" s="329"/>
      <c r="CZ29" s="329"/>
      <c r="DA29" s="329"/>
      <c r="DB29" s="329"/>
      <c r="DC29" s="329">
        <f>'34-салат летний'!C25/'34-салат летний'!C28*'34-салат летний'!C29</f>
        <v>1.98E-3</v>
      </c>
      <c r="DD29" s="329"/>
      <c r="DE29" s="329"/>
      <c r="DF29" s="329"/>
      <c r="DG29" s="329"/>
      <c r="DH29" s="329"/>
      <c r="DI29" s="329"/>
      <c r="DJ29" s="329"/>
      <c r="DK29" s="329"/>
      <c r="DL29" s="329"/>
      <c r="DM29" s="329"/>
      <c r="DN29" s="329"/>
      <c r="DO29" s="329"/>
      <c r="DP29" s="329"/>
      <c r="DQ29" s="329"/>
      <c r="DR29" s="329"/>
      <c r="DS29" s="329"/>
      <c r="DT29" s="329"/>
      <c r="DU29" s="329"/>
      <c r="DV29" s="329"/>
      <c r="DW29" s="329"/>
      <c r="DX29" s="330"/>
      <c r="DY29" s="330"/>
      <c r="DZ29" s="330"/>
      <c r="EA29" s="330"/>
      <c r="EB29" s="330"/>
      <c r="EC29" s="330"/>
      <c r="ED29" s="330"/>
      <c r="EE29" s="330"/>
      <c r="EF29" s="330"/>
      <c r="EG29" s="330"/>
      <c r="EH29" s="330"/>
      <c r="EI29" s="330"/>
      <c r="EJ29" s="330"/>
      <c r="EK29" s="330"/>
      <c r="EL29" s="330"/>
      <c r="EM29" s="330"/>
      <c r="EN29" s="330"/>
      <c r="EO29" s="330"/>
      <c r="EP29" s="330"/>
      <c r="EQ29" s="330"/>
      <c r="ER29" s="330"/>
      <c r="ES29" s="330"/>
      <c r="ET29" s="330"/>
      <c r="EU29" s="330"/>
      <c r="EV29" s="330"/>
      <c r="EW29" s="330"/>
      <c r="EX29" s="330"/>
      <c r="EY29" s="1032">
        <f t="shared" si="0"/>
        <v>7.6980000000000007E-2</v>
      </c>
    </row>
    <row r="30" spans="1:155" ht="14.7" customHeight="1" x14ac:dyDescent="0.25">
      <c r="A30" s="421">
        <v>26</v>
      </c>
      <c r="B30" s="183" t="str">
        <f>'39-салат с кукурузой'!A9</f>
        <v>Салат картофельный с кукурузой и морковью</v>
      </c>
      <c r="C30" s="419">
        <f>'39-салат с кукурузой'!C28</f>
        <v>60</v>
      </c>
      <c r="D30" s="1209">
        <f>30.23/1000*C30</f>
        <v>1.81</v>
      </c>
      <c r="E30" s="1209">
        <f>63.58/1000*C30</f>
        <v>3.81</v>
      </c>
      <c r="F30" s="1209">
        <f>237.2/1000*C30</f>
        <v>14.23</v>
      </c>
      <c r="G30" s="1210">
        <f>1642/1000*C30</f>
        <v>99</v>
      </c>
      <c r="H30" s="419">
        <f>'39-салат с кукурузой'!J7</f>
        <v>39</v>
      </c>
      <c r="I30" s="483">
        <f>'39-салат с кукурузой'!F30</f>
        <v>6.93</v>
      </c>
      <c r="J30" s="329"/>
      <c r="K30" s="329"/>
      <c r="L30" s="329"/>
      <c r="M30" s="329"/>
      <c r="N30" s="329"/>
      <c r="O30" s="329"/>
      <c r="P30" s="329"/>
      <c r="Q30" s="329"/>
      <c r="R30" s="329"/>
      <c r="S30" s="329"/>
      <c r="T30" s="329"/>
      <c r="U30" s="329"/>
      <c r="V30" s="329"/>
      <c r="W30" s="329"/>
      <c r="X30" s="329"/>
      <c r="Y30" s="329"/>
      <c r="Z30" s="329"/>
      <c r="AA30" s="329"/>
      <c r="AB30" s="329"/>
      <c r="AC30" s="329"/>
      <c r="AD30" s="329"/>
      <c r="AE30" s="330"/>
      <c r="AF30" s="329"/>
      <c r="AG30" s="329"/>
      <c r="AH30" s="329">
        <f>'39-салат с кукурузой'!C19/'39-салат с кукурузой'!C27*'39-салат с кукурузой'!C28</f>
        <v>2.0820000000000002E-2</v>
      </c>
      <c r="AI30" s="329"/>
      <c r="AJ30" s="329"/>
      <c r="AK30" s="329"/>
      <c r="AL30" s="329"/>
      <c r="AM30" s="329"/>
      <c r="AN30" s="329"/>
      <c r="AO30" s="329">
        <f>'39-салат с кукурузой'!C22/'39-салат с кукурузой'!C27*'39-салат с кукурузой'!C28</f>
        <v>1.4999999999999999E-2</v>
      </c>
      <c r="AP30" s="329"/>
      <c r="AQ30" s="329">
        <f>'39-салат с кукурузой'!C21/'39-салат с кукурузой'!C27*'39-салат с кукурузой'!C28</f>
        <v>1.8839999999999999E-2</v>
      </c>
      <c r="AR30" s="329"/>
      <c r="AS30" s="329"/>
      <c r="AT30" s="329"/>
      <c r="AU30" s="329"/>
      <c r="AV30" s="329"/>
      <c r="AW30" s="329"/>
      <c r="AX30" s="329"/>
      <c r="AY30" s="329"/>
      <c r="AZ30" s="329"/>
      <c r="BA30" s="329"/>
      <c r="BB30" s="329"/>
      <c r="BC30" s="329"/>
      <c r="BD30" s="329"/>
      <c r="BE30" s="329"/>
      <c r="BF30" s="329"/>
      <c r="BG30" s="329"/>
      <c r="BH30" s="329"/>
      <c r="BI30" s="329"/>
      <c r="BJ30" s="329"/>
      <c r="BK30" s="329"/>
      <c r="BL30" s="329"/>
      <c r="BM30" s="329"/>
      <c r="BN30" s="329"/>
      <c r="BO30" s="329"/>
      <c r="BP30" s="329"/>
      <c r="BQ30" s="329"/>
      <c r="BR30" s="329"/>
      <c r="BS30" s="329"/>
      <c r="BT30" s="329"/>
      <c r="BU30" s="329"/>
      <c r="BV30" s="329"/>
      <c r="BW30" s="329"/>
      <c r="BX30" s="329"/>
      <c r="BY30" s="329"/>
      <c r="BZ30" s="329"/>
      <c r="CA30" s="329"/>
      <c r="CB30" s="329"/>
      <c r="CC30" s="329"/>
      <c r="CD30" s="329"/>
      <c r="CE30" s="329"/>
      <c r="CF30" s="329">
        <f>'39-салат с кукурузой'!C23/'39-салат с кукурузой'!C27*'39-салат с кукурузой'!C28</f>
        <v>3.5999999999999999E-3</v>
      </c>
      <c r="CG30" s="329"/>
      <c r="CH30" s="329"/>
      <c r="CI30" s="329"/>
      <c r="CJ30" s="329"/>
      <c r="CK30" s="329"/>
      <c r="CL30" s="329"/>
      <c r="CM30" s="329"/>
      <c r="CN30" s="329"/>
      <c r="CO30" s="329"/>
      <c r="CP30" s="329"/>
      <c r="CQ30" s="329"/>
      <c r="CR30" s="329"/>
      <c r="CS30" s="329"/>
      <c r="CT30" s="329"/>
      <c r="CU30" s="329"/>
      <c r="CV30" s="329"/>
      <c r="CW30" s="329"/>
      <c r="CX30" s="329"/>
      <c r="CY30" s="329"/>
      <c r="CZ30" s="329"/>
      <c r="DA30" s="329"/>
      <c r="DB30" s="329"/>
      <c r="DC30" s="329">
        <f>'39-салат с кукурузой'!C24/'39-салат с кукурузой'!C27*'39-салат с кукурузой'!C28</f>
        <v>1.98E-3</v>
      </c>
      <c r="DD30" s="329"/>
      <c r="DE30" s="329"/>
      <c r="DF30" s="329"/>
      <c r="DG30" s="329"/>
      <c r="DH30" s="329"/>
      <c r="DI30" s="329"/>
      <c r="DJ30" s="329"/>
      <c r="DK30" s="329"/>
      <c r="DL30" s="329"/>
      <c r="DM30" s="329"/>
      <c r="DN30" s="329"/>
      <c r="DO30" s="329"/>
      <c r="DP30" s="329"/>
      <c r="DQ30" s="329"/>
      <c r="DR30" s="329"/>
      <c r="DS30" s="329"/>
      <c r="DT30" s="329"/>
      <c r="DU30" s="329"/>
      <c r="DV30" s="329"/>
      <c r="DW30" s="329">
        <f>'39-салат с кукурузой'!C20/'39-салат с кукурузой'!C27*'39-салат с кукурузой'!C28</f>
        <v>2.496E-2</v>
      </c>
      <c r="DX30" s="330"/>
      <c r="DY30" s="330"/>
      <c r="DZ30" s="330"/>
      <c r="EA30" s="330"/>
      <c r="EB30" s="330"/>
      <c r="EC30" s="330"/>
      <c r="ED30" s="330"/>
      <c r="EE30" s="330"/>
      <c r="EF30" s="330"/>
      <c r="EG30" s="330"/>
      <c r="EH30" s="330"/>
      <c r="EI30" s="330"/>
      <c r="EJ30" s="330"/>
      <c r="EK30" s="330"/>
      <c r="EL30" s="330"/>
      <c r="EM30" s="330"/>
      <c r="EN30" s="330"/>
      <c r="EO30" s="330"/>
      <c r="EP30" s="330"/>
      <c r="EQ30" s="330"/>
      <c r="ER30" s="330"/>
      <c r="ES30" s="330"/>
      <c r="ET30" s="330"/>
      <c r="EU30" s="330"/>
      <c r="EV30" s="330"/>
      <c r="EW30" s="330"/>
      <c r="EX30" s="330"/>
      <c r="EY30" s="1032">
        <f t="shared" si="0"/>
        <v>8.5199999999999998E-2</v>
      </c>
    </row>
    <row r="31" spans="1:155" ht="14.7" customHeight="1" x14ac:dyDescent="0.25">
      <c r="A31" s="421">
        <v>27</v>
      </c>
      <c r="B31" s="183" t="str">
        <f>'40-салат картоф. с морк. и гор.'!A9</f>
        <v>Салат картофельный с морковью и зеленым горошком</v>
      </c>
      <c r="C31" s="419">
        <f>'40-салат картоф. с морк. и гор.'!C28</f>
        <v>60</v>
      </c>
      <c r="D31" s="1209">
        <f>27.35/1000*C31</f>
        <v>1.64</v>
      </c>
      <c r="E31" s="1209">
        <f>70.66/1000*C31</f>
        <v>4.24</v>
      </c>
      <c r="F31" s="1209">
        <f>95.52/1000*C31</f>
        <v>5.73</v>
      </c>
      <c r="G31" s="1210">
        <f>1127/1000*C31</f>
        <v>68</v>
      </c>
      <c r="H31" s="419">
        <f>'40-салат картоф. с морк. и гор.'!J7</f>
        <v>40</v>
      </c>
      <c r="I31" s="483">
        <f>'40-салат картоф. с морк. и гор.'!F30</f>
        <v>6.12</v>
      </c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29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30">
        <f>'40-салат картоф. с морк. и гор.'!C22/'40-салат картоф. с морк. и гор.'!C27*'40-салат картоф. с морк. и гор.'!C28</f>
        <v>5.5199999999999997E-3</v>
      </c>
      <c r="AF31" s="329"/>
      <c r="AG31" s="329"/>
      <c r="AH31" s="329">
        <f>'40-салат картоф. с морк. и гор.'!C19/'40-салат картоф. с морк. и гор.'!C27*'40-салат картоф. с морк. и гор.'!C28</f>
        <v>3.7499999999999999E-2</v>
      </c>
      <c r="AI31" s="329"/>
      <c r="AJ31" s="329"/>
      <c r="AK31" s="329"/>
      <c r="AL31" s="329"/>
      <c r="AM31" s="329"/>
      <c r="AN31" s="329"/>
      <c r="AO31" s="329"/>
      <c r="AP31" s="329"/>
      <c r="AQ31" s="329">
        <f>'40-салат картоф. с морк. и гор.'!C21/'40-салат картоф. с морк. и гор.'!C27*'40-салат картоф. с морк. и гор.'!C28</f>
        <v>1.8839999999999999E-2</v>
      </c>
      <c r="AR31" s="329"/>
      <c r="AS31" s="329"/>
      <c r="AT31" s="329"/>
      <c r="AU31" s="329"/>
      <c r="AV31" s="329"/>
      <c r="AW31" s="329"/>
      <c r="AX31" s="329"/>
      <c r="AY31" s="329"/>
      <c r="AZ31" s="329"/>
      <c r="BA31" s="329"/>
      <c r="BB31" s="329"/>
      <c r="BC31" s="329"/>
      <c r="BD31" s="329"/>
      <c r="BE31" s="329"/>
      <c r="BF31" s="329"/>
      <c r="BG31" s="329"/>
      <c r="BH31" s="329"/>
      <c r="BI31" s="329"/>
      <c r="BJ31" s="329"/>
      <c r="BK31" s="329"/>
      <c r="BL31" s="329"/>
      <c r="BM31" s="329"/>
      <c r="BN31" s="329"/>
      <c r="BO31" s="329"/>
      <c r="BP31" s="329"/>
      <c r="BQ31" s="329"/>
      <c r="BR31" s="329"/>
      <c r="BS31" s="329"/>
      <c r="BT31" s="329"/>
      <c r="BU31" s="329"/>
      <c r="BV31" s="329"/>
      <c r="BW31" s="329"/>
      <c r="BX31" s="329"/>
      <c r="BY31" s="329"/>
      <c r="BZ31" s="329"/>
      <c r="CA31" s="329"/>
      <c r="CB31" s="329"/>
      <c r="CC31" s="329"/>
      <c r="CD31" s="329"/>
      <c r="CE31" s="329"/>
      <c r="CF31" s="329">
        <f>'40-салат картоф. с морк. и гор.'!C23/'40-салат картоф. с морк. и гор.'!C27*'40-салат картоф. с морк. и гор.'!C28</f>
        <v>3.5999999999999999E-3</v>
      </c>
      <c r="CG31" s="329"/>
      <c r="CH31" s="329"/>
      <c r="CI31" s="329"/>
      <c r="CJ31" s="329"/>
      <c r="CK31" s="329"/>
      <c r="CL31" s="329"/>
      <c r="CM31" s="329"/>
      <c r="CN31" s="329"/>
      <c r="CO31" s="329"/>
      <c r="CP31" s="329"/>
      <c r="CQ31" s="329"/>
      <c r="CR31" s="329"/>
      <c r="CS31" s="329"/>
      <c r="CT31" s="329"/>
      <c r="CU31" s="329"/>
      <c r="CV31" s="329"/>
      <c r="CW31" s="329"/>
      <c r="CX31" s="329"/>
      <c r="CY31" s="329"/>
      <c r="CZ31" s="329"/>
      <c r="DA31" s="329"/>
      <c r="DB31" s="329"/>
      <c r="DC31" s="329">
        <f>'40-салат картоф. с морк. и гор.'!C24/'40-салат картоф. с морк. и гор.'!C27*'40-салат картоф. с морк. и гор.'!C28</f>
        <v>1.98E-3</v>
      </c>
      <c r="DD31" s="329"/>
      <c r="DE31" s="329"/>
      <c r="DF31" s="329"/>
      <c r="DG31" s="329"/>
      <c r="DH31" s="329"/>
      <c r="DI31" s="329"/>
      <c r="DJ31" s="329"/>
      <c r="DK31" s="329"/>
      <c r="DL31" s="329"/>
      <c r="DM31" s="329"/>
      <c r="DN31" s="329"/>
      <c r="DO31" s="329"/>
      <c r="DP31" s="329"/>
      <c r="DQ31" s="329"/>
      <c r="DR31" s="329"/>
      <c r="DS31" s="329"/>
      <c r="DT31" s="329"/>
      <c r="DU31" s="329">
        <f>'40-салат картоф. с морк. и гор.'!C20/'40-салат картоф. с морк. и гор.'!C27*'40-салат картоф. с морк. и гор.'!C28</f>
        <v>1.5720000000000001E-2</v>
      </c>
      <c r="DV31" s="329"/>
      <c r="DW31" s="329"/>
      <c r="DX31" s="330"/>
      <c r="DY31" s="330"/>
      <c r="DZ31" s="330"/>
      <c r="EA31" s="330"/>
      <c r="EB31" s="330"/>
      <c r="EC31" s="330"/>
      <c r="ED31" s="330"/>
      <c r="EE31" s="330"/>
      <c r="EF31" s="330"/>
      <c r="EG31" s="330"/>
      <c r="EH31" s="330"/>
      <c r="EI31" s="330"/>
      <c r="EJ31" s="330"/>
      <c r="EK31" s="330"/>
      <c r="EL31" s="330"/>
      <c r="EM31" s="330"/>
      <c r="EN31" s="330"/>
      <c r="EO31" s="330"/>
      <c r="EP31" s="330"/>
      <c r="EQ31" s="330"/>
      <c r="ER31" s="330"/>
      <c r="ES31" s="330"/>
      <c r="ET31" s="330"/>
      <c r="EU31" s="330"/>
      <c r="EV31" s="330"/>
      <c r="EW31" s="330"/>
      <c r="EX31" s="330"/>
      <c r="EY31" s="1032">
        <f t="shared" si="0"/>
        <v>8.3159999999999998E-2</v>
      </c>
    </row>
    <row r="32" spans="1:155" ht="14.7" customHeight="1" x14ac:dyDescent="0.25">
      <c r="A32" s="421">
        <v>28</v>
      </c>
      <c r="B32" s="183" t="str">
        <f>'41-салат картоф. с капустой'!A9</f>
        <v>Салат картофельный с капустой свежей и кукурузой</v>
      </c>
      <c r="C32" s="419">
        <f>'41-салат картоф. с капустой'!C27</f>
        <v>60</v>
      </c>
      <c r="D32" s="1209">
        <f>33.64/1000*C32</f>
        <v>2.02</v>
      </c>
      <c r="E32" s="1209">
        <f>63.89/1000*C32</f>
        <v>3.83</v>
      </c>
      <c r="F32" s="1209">
        <f>247.55/1000*C32</f>
        <v>14.85</v>
      </c>
      <c r="G32" s="1210">
        <f>1699/1000*C32</f>
        <v>102</v>
      </c>
      <c r="H32" s="419">
        <f>'41-салат картоф. с капустой'!J7</f>
        <v>41</v>
      </c>
      <c r="I32" s="483">
        <f>'41-салат картоф. с капустой'!F29</f>
        <v>6.91</v>
      </c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329"/>
      <c r="U32" s="329"/>
      <c r="V32" s="329"/>
      <c r="W32" s="329"/>
      <c r="X32" s="329"/>
      <c r="Y32" s="329"/>
      <c r="Z32" s="329"/>
      <c r="AA32" s="329"/>
      <c r="AB32" s="329"/>
      <c r="AC32" s="329"/>
      <c r="AD32" s="329"/>
      <c r="AE32" s="330"/>
      <c r="AF32" s="329">
        <f>'41-салат картоф. с капустой'!C20/'41-салат картоф. с капустой'!C26*'41-салат картоф. с капустой'!C27</f>
        <v>2.6280000000000001E-2</v>
      </c>
      <c r="AG32" s="329"/>
      <c r="AH32" s="329">
        <f>'41-салат картоф. с капустой'!C19/'41-салат картоф. с капустой'!C26*'41-салат картоф. с капустой'!C27</f>
        <v>2.9159999999999998E-2</v>
      </c>
      <c r="AI32" s="329"/>
      <c r="AJ32" s="329"/>
      <c r="AK32" s="329"/>
      <c r="AL32" s="329"/>
      <c r="AM32" s="329"/>
      <c r="AN32" s="329"/>
      <c r="AO32" s="329"/>
      <c r="AP32" s="329"/>
      <c r="AQ32" s="329"/>
      <c r="AR32" s="329"/>
      <c r="AS32" s="329"/>
      <c r="AT32" s="329"/>
      <c r="AU32" s="329"/>
      <c r="AV32" s="329"/>
      <c r="AW32" s="329"/>
      <c r="AX32" s="329"/>
      <c r="AY32" s="329"/>
      <c r="AZ32" s="329"/>
      <c r="BA32" s="329"/>
      <c r="BB32" s="329"/>
      <c r="BC32" s="329"/>
      <c r="BD32" s="329"/>
      <c r="BE32" s="329"/>
      <c r="BF32" s="329"/>
      <c r="BG32" s="329"/>
      <c r="BH32" s="329"/>
      <c r="BI32" s="329"/>
      <c r="BJ32" s="329"/>
      <c r="BK32" s="329"/>
      <c r="BL32" s="329"/>
      <c r="BM32" s="329"/>
      <c r="BN32" s="329"/>
      <c r="BO32" s="329"/>
      <c r="BP32" s="329"/>
      <c r="BQ32" s="329"/>
      <c r="BR32" s="329"/>
      <c r="BS32" s="329"/>
      <c r="BT32" s="329"/>
      <c r="BU32" s="329"/>
      <c r="BV32" s="329"/>
      <c r="BW32" s="329"/>
      <c r="BX32" s="329"/>
      <c r="BY32" s="329"/>
      <c r="BZ32" s="329"/>
      <c r="CA32" s="329"/>
      <c r="CB32" s="329"/>
      <c r="CC32" s="329"/>
      <c r="CD32" s="329"/>
      <c r="CE32" s="329"/>
      <c r="CF32" s="329">
        <f>'41-салат картоф. с капустой'!C22/'41-салат картоф. с капустой'!C26*'41-салат картоф. с капустой'!C27</f>
        <v>3.5999999999999999E-3</v>
      </c>
      <c r="CG32" s="329"/>
      <c r="CH32" s="329"/>
      <c r="CI32" s="329"/>
      <c r="CJ32" s="329"/>
      <c r="CK32" s="329"/>
      <c r="CL32" s="329"/>
      <c r="CM32" s="329"/>
      <c r="CN32" s="329"/>
      <c r="CO32" s="329"/>
      <c r="CP32" s="329"/>
      <c r="CQ32" s="329"/>
      <c r="CR32" s="329"/>
      <c r="CS32" s="329"/>
      <c r="CT32" s="329"/>
      <c r="CU32" s="329"/>
      <c r="CV32" s="329"/>
      <c r="CW32" s="329"/>
      <c r="CX32" s="329"/>
      <c r="CY32" s="329"/>
      <c r="CZ32" s="329"/>
      <c r="DA32" s="329"/>
      <c r="DB32" s="329"/>
      <c r="DC32" s="329">
        <f>'41-салат картоф. с капустой'!C23/'41-салат картоф. с капустой'!C26*'41-салат картоф. с капустой'!C27</f>
        <v>1.98E-3</v>
      </c>
      <c r="DD32" s="329"/>
      <c r="DE32" s="329"/>
      <c r="DF32" s="329"/>
      <c r="DG32" s="329"/>
      <c r="DH32" s="329"/>
      <c r="DI32" s="329"/>
      <c r="DJ32" s="329"/>
      <c r="DK32" s="329"/>
      <c r="DL32" s="329"/>
      <c r="DM32" s="329"/>
      <c r="DN32" s="329"/>
      <c r="DO32" s="329"/>
      <c r="DP32" s="329"/>
      <c r="DQ32" s="329"/>
      <c r="DR32" s="329"/>
      <c r="DS32" s="329"/>
      <c r="DT32" s="329"/>
      <c r="DU32" s="329"/>
      <c r="DV32" s="329"/>
      <c r="DW32" s="329">
        <f>'41-салат картоф. с капустой'!C21/'41-салат картоф. с капустой'!C26*'41-салат картоф. с капустой'!C27</f>
        <v>2.5020000000000001E-2</v>
      </c>
      <c r="DX32" s="330"/>
      <c r="DY32" s="330"/>
      <c r="DZ32" s="330"/>
      <c r="EA32" s="330"/>
      <c r="EB32" s="330"/>
      <c r="EC32" s="330"/>
      <c r="ED32" s="330"/>
      <c r="EE32" s="330"/>
      <c r="EF32" s="330"/>
      <c r="EG32" s="330"/>
      <c r="EH32" s="330"/>
      <c r="EI32" s="330"/>
      <c r="EJ32" s="330"/>
      <c r="EK32" s="330"/>
      <c r="EL32" s="330"/>
      <c r="EM32" s="330"/>
      <c r="EN32" s="330"/>
      <c r="EO32" s="330"/>
      <c r="EP32" s="330"/>
      <c r="EQ32" s="330"/>
      <c r="ER32" s="330"/>
      <c r="ES32" s="330"/>
      <c r="ET32" s="330"/>
      <c r="EU32" s="330"/>
      <c r="EV32" s="330"/>
      <c r="EW32" s="330"/>
      <c r="EX32" s="330"/>
      <c r="EY32" s="1032">
        <f t="shared" si="0"/>
        <v>8.6040000000000005E-2</v>
      </c>
    </row>
    <row r="33" spans="1:166" ht="14.7" customHeight="1" x14ac:dyDescent="0.25">
      <c r="A33" s="421">
        <v>29</v>
      </c>
      <c r="B33" s="183" t="str">
        <f>'43-салат из овощей'!A9</f>
        <v>Салат из овощей</v>
      </c>
      <c r="C33" s="419">
        <f>'43-салат из овощей'!C28</f>
        <v>60</v>
      </c>
      <c r="D33" s="1209">
        <f>25.95/1000*C33</f>
        <v>1.56</v>
      </c>
      <c r="E33" s="1209">
        <f>73.87/1000*C33</f>
        <v>4.43</v>
      </c>
      <c r="F33" s="1209">
        <f>32.33/1000*C33</f>
        <v>1.94</v>
      </c>
      <c r="G33" s="1210">
        <f>898/1000*C33</f>
        <v>54</v>
      </c>
      <c r="H33" s="419">
        <f>'43-салат из овощей'!J7</f>
        <v>43</v>
      </c>
      <c r="I33" s="483">
        <f>'43-салат из овощей'!F30</f>
        <v>6.13</v>
      </c>
      <c r="J33" s="329"/>
      <c r="K33" s="329"/>
      <c r="L33" s="329"/>
      <c r="M33" s="329"/>
      <c r="N33" s="329"/>
      <c r="O33" s="329"/>
      <c r="P33" s="329"/>
      <c r="Q33" s="329"/>
      <c r="R33" s="329"/>
      <c r="S33" s="329"/>
      <c r="T33" s="329"/>
      <c r="U33" s="329"/>
      <c r="V33" s="329"/>
      <c r="W33" s="329"/>
      <c r="X33" s="329"/>
      <c r="Y33" s="329"/>
      <c r="Z33" s="329"/>
      <c r="AA33" s="329"/>
      <c r="AB33" s="329"/>
      <c r="AC33" s="329"/>
      <c r="AD33" s="329"/>
      <c r="AE33" s="330">
        <f>'43-салат из овощей'!C22/'43-салат из овощей'!C27*'43-салат из овощей'!C28</f>
        <v>8.2799999999999992E-3</v>
      </c>
      <c r="AF33" s="329">
        <f>'43-салат из овощей'!C19/'43-салат из овощей'!C27*'43-салат из овощей'!C28</f>
        <v>3.0839999999999999E-2</v>
      </c>
      <c r="AG33" s="329"/>
      <c r="AH33" s="329"/>
      <c r="AI33" s="329"/>
      <c r="AJ33" s="329"/>
      <c r="AK33" s="329"/>
      <c r="AL33" s="329"/>
      <c r="AM33" s="329"/>
      <c r="AN33" s="329">
        <f>'43-салат из овощей'!C20/'43-салат из овощей'!C27*'43-салат из овощей'!C28</f>
        <v>1.626E-2</v>
      </c>
      <c r="AO33" s="329">
        <f>'43-салат из овощей'!C21/'43-салат из овощей'!C27*'43-салат из овощей'!C28</f>
        <v>1.728E-2</v>
      </c>
      <c r="AP33" s="329"/>
      <c r="AQ33" s="329"/>
      <c r="AR33" s="329"/>
      <c r="AS33" s="329"/>
      <c r="AT33" s="329"/>
      <c r="AU33" s="329"/>
      <c r="AV33" s="329"/>
      <c r="AW33" s="329"/>
      <c r="AX33" s="329"/>
      <c r="AY33" s="329"/>
      <c r="AZ33" s="329"/>
      <c r="BA33" s="329"/>
      <c r="BB33" s="329"/>
      <c r="BC33" s="329"/>
      <c r="BD33" s="329"/>
      <c r="BE33" s="329"/>
      <c r="BF33" s="329"/>
      <c r="BG33" s="329"/>
      <c r="BH33" s="329"/>
      <c r="BI33" s="329"/>
      <c r="BJ33" s="329"/>
      <c r="BK33" s="329"/>
      <c r="BL33" s="329"/>
      <c r="BM33" s="329"/>
      <c r="BN33" s="329"/>
      <c r="BO33" s="329"/>
      <c r="BP33" s="329"/>
      <c r="BQ33" s="329"/>
      <c r="BR33" s="329"/>
      <c r="BS33" s="329"/>
      <c r="BT33" s="329"/>
      <c r="BU33" s="329"/>
      <c r="BV33" s="329"/>
      <c r="BW33" s="329"/>
      <c r="BX33" s="329"/>
      <c r="BY33" s="329"/>
      <c r="BZ33" s="329"/>
      <c r="CA33" s="329"/>
      <c r="CB33" s="329"/>
      <c r="CC33" s="329"/>
      <c r="CD33" s="329"/>
      <c r="CE33" s="329"/>
      <c r="CF33" s="329">
        <f>'43-салат из овощей'!C23/'43-салат из овощей'!C27*'43-салат из овощей'!C28</f>
        <v>3.5999999999999999E-3</v>
      </c>
      <c r="CG33" s="329"/>
      <c r="CH33" s="329"/>
      <c r="CI33" s="329"/>
      <c r="CJ33" s="329"/>
      <c r="CK33" s="329"/>
      <c r="CL33" s="329"/>
      <c r="CM33" s="329"/>
      <c r="CN33" s="329"/>
      <c r="CO33" s="329"/>
      <c r="CP33" s="329"/>
      <c r="CQ33" s="329"/>
      <c r="CR33" s="329"/>
      <c r="CS33" s="329"/>
      <c r="CT33" s="329"/>
      <c r="CU33" s="329"/>
      <c r="CV33" s="329"/>
      <c r="CW33" s="329"/>
      <c r="CX33" s="329"/>
      <c r="CY33" s="329"/>
      <c r="CZ33" s="329"/>
      <c r="DA33" s="329"/>
      <c r="DB33" s="329"/>
      <c r="DC33" s="329">
        <f>'43-салат из овощей'!C24/'43-салат из овощей'!C27*'43-салат из овощей'!C28</f>
        <v>1.98E-3</v>
      </c>
      <c r="DD33" s="329"/>
      <c r="DE33" s="329"/>
      <c r="DF33" s="329"/>
      <c r="DG33" s="329"/>
      <c r="DH33" s="329"/>
      <c r="DI33" s="329"/>
      <c r="DJ33" s="329"/>
      <c r="DK33" s="329"/>
      <c r="DL33" s="329"/>
      <c r="DM33" s="329"/>
      <c r="DN33" s="329"/>
      <c r="DO33" s="329"/>
      <c r="DP33" s="329"/>
      <c r="DQ33" s="329"/>
      <c r="DR33" s="329"/>
      <c r="DS33" s="329"/>
      <c r="DT33" s="329"/>
      <c r="DU33" s="329"/>
      <c r="DV33" s="329"/>
      <c r="DW33" s="329"/>
      <c r="DX33" s="330"/>
      <c r="DY33" s="330"/>
      <c r="DZ33" s="330"/>
      <c r="EA33" s="330"/>
      <c r="EB33" s="330"/>
      <c r="EC33" s="330"/>
      <c r="ED33" s="330"/>
      <c r="EE33" s="330"/>
      <c r="EF33" s="330"/>
      <c r="EG33" s="330"/>
      <c r="EH33" s="330"/>
      <c r="EI33" s="330"/>
      <c r="EJ33" s="330"/>
      <c r="EK33" s="330"/>
      <c r="EL33" s="330"/>
      <c r="EM33" s="330"/>
      <c r="EN33" s="330"/>
      <c r="EO33" s="330"/>
      <c r="EP33" s="330"/>
      <c r="EQ33" s="330"/>
      <c r="ER33" s="330"/>
      <c r="ES33" s="330"/>
      <c r="ET33" s="330"/>
      <c r="EU33" s="330"/>
      <c r="EV33" s="330"/>
      <c r="EW33" s="330"/>
      <c r="EX33" s="330"/>
      <c r="EY33" s="1032">
        <f t="shared" si="0"/>
        <v>7.8240000000000004E-2</v>
      </c>
    </row>
    <row r="34" spans="1:166" ht="14.7" customHeight="1" x14ac:dyDescent="0.25">
      <c r="A34" s="421">
        <v>30</v>
      </c>
      <c r="B34" s="183" t="str">
        <f>'45-салат из капусты'!A9</f>
        <v>Салат из белокачанной капусты с морковью</v>
      </c>
      <c r="C34" s="419">
        <f>'45-салат из капусты'!C30</f>
        <v>60</v>
      </c>
      <c r="D34" s="1209">
        <f>13.12/1000*C34</f>
        <v>0.79</v>
      </c>
      <c r="E34" s="1209">
        <f>32.49/1000*C34</f>
        <v>1.95</v>
      </c>
      <c r="F34" s="1209">
        <f>64.66/1000*C34</f>
        <v>3.88</v>
      </c>
      <c r="G34" s="1210">
        <f>604/1000*C34</f>
        <v>36</v>
      </c>
      <c r="H34" s="419">
        <f>'45-салат из капусты'!J7</f>
        <v>45</v>
      </c>
      <c r="I34" s="483">
        <f>'45-салат из капусты'!F32</f>
        <v>5.04</v>
      </c>
      <c r="J34" s="329"/>
      <c r="K34" s="329"/>
      <c r="L34" s="329"/>
      <c r="M34" s="329"/>
      <c r="N34" s="329"/>
      <c r="O34" s="329"/>
      <c r="P34" s="329"/>
      <c r="Q34" s="329"/>
      <c r="R34" s="329"/>
      <c r="S34" s="329"/>
      <c r="T34" s="329"/>
      <c r="U34" s="329"/>
      <c r="V34" s="329"/>
      <c r="W34" s="329"/>
      <c r="X34" s="329"/>
      <c r="Y34" s="329"/>
      <c r="Z34" s="329"/>
      <c r="AA34" s="329"/>
      <c r="AB34" s="329"/>
      <c r="AC34" s="329"/>
      <c r="AD34" s="329"/>
      <c r="AE34" s="330"/>
      <c r="AF34" s="393">
        <f>'45-салат из капусты'!C19/'45-салат из капусты'!C29*'45-салат из капусты'!C30</f>
        <v>5.9159999999999997E-2</v>
      </c>
      <c r="AG34" s="329"/>
      <c r="AH34" s="329"/>
      <c r="AI34" s="329"/>
      <c r="AJ34" s="329"/>
      <c r="AK34" s="329"/>
      <c r="AL34" s="329"/>
      <c r="AM34" s="329"/>
      <c r="AN34" s="329"/>
      <c r="AO34" s="329"/>
      <c r="AP34" s="329"/>
      <c r="AQ34" s="329">
        <f>'45-салат из капусты'!C21/'45-салат из капусты'!C29*'45-салат из капусты'!C30</f>
        <v>2.5020000000000001E-2</v>
      </c>
      <c r="AR34" s="329"/>
      <c r="AS34" s="329"/>
      <c r="AT34" s="329"/>
      <c r="AU34" s="329"/>
      <c r="AV34" s="329"/>
      <c r="AW34" s="329"/>
      <c r="AX34" s="329"/>
      <c r="AY34" s="329"/>
      <c r="AZ34" s="329"/>
      <c r="BA34" s="329"/>
      <c r="BB34" s="329"/>
      <c r="BC34" s="329"/>
      <c r="BD34" s="329"/>
      <c r="BE34" s="329"/>
      <c r="BF34" s="329"/>
      <c r="BG34" s="329"/>
      <c r="BH34" s="329"/>
      <c r="BI34" s="329"/>
      <c r="BJ34" s="329"/>
      <c r="BK34" s="329"/>
      <c r="BL34" s="329"/>
      <c r="BM34" s="329"/>
      <c r="BN34" s="329"/>
      <c r="BO34" s="329"/>
      <c r="BP34" s="329"/>
      <c r="BQ34" s="329"/>
      <c r="BR34" s="329"/>
      <c r="BS34" s="329"/>
      <c r="BT34" s="329"/>
      <c r="BU34" s="329"/>
      <c r="BV34" s="329"/>
      <c r="BW34" s="329"/>
      <c r="BX34" s="329"/>
      <c r="BY34" s="329"/>
      <c r="BZ34" s="329"/>
      <c r="CA34" s="329"/>
      <c r="CB34" s="329"/>
      <c r="CC34" s="329"/>
      <c r="CD34" s="329"/>
      <c r="CE34" s="329"/>
      <c r="CF34" s="329">
        <f>'45-салат из капусты'!C25/'45-салат из капусты'!C29*'45-салат из капусты'!C30</f>
        <v>3.0000000000000001E-3</v>
      </c>
      <c r="CG34" s="329"/>
      <c r="CH34" s="329"/>
      <c r="CI34" s="329"/>
      <c r="CJ34" s="329"/>
      <c r="CK34" s="329"/>
      <c r="CL34" s="329"/>
      <c r="CM34" s="329"/>
      <c r="CN34" s="329"/>
      <c r="CO34" s="329"/>
      <c r="CP34" s="329"/>
      <c r="CQ34" s="329">
        <f>'45-салат из капусты'!C22/'45-салат из капусты'!C29*'45-салат из капусты'!C30</f>
        <v>1.8000000000000001E-4</v>
      </c>
      <c r="CR34" s="329"/>
      <c r="CS34" s="329"/>
      <c r="CT34" s="329"/>
      <c r="CU34" s="329"/>
      <c r="CV34" s="329"/>
      <c r="CW34" s="329"/>
      <c r="CX34" s="329"/>
      <c r="CY34" s="329"/>
      <c r="CZ34" s="329">
        <f>'45-салат из капусты'!C24/'45-салат из капусты'!C29*'45-салат из капусты'!C30</f>
        <v>3.0000000000000001E-3</v>
      </c>
      <c r="DA34" s="329"/>
      <c r="DB34" s="329"/>
      <c r="DC34" s="329">
        <f>'45-салат из капусты'!C26/'45-салат из капусты'!C29*'45-салат из капусты'!C30</f>
        <v>7.2000000000000005E-4</v>
      </c>
      <c r="DD34" s="329"/>
      <c r="DE34" s="329"/>
      <c r="DF34" s="329"/>
      <c r="DG34" s="329"/>
      <c r="DH34" s="329"/>
      <c r="DI34" s="329"/>
      <c r="DJ34" s="329"/>
      <c r="DK34" s="329"/>
      <c r="DL34" s="329"/>
      <c r="DM34" s="329"/>
      <c r="DN34" s="329"/>
      <c r="DO34" s="329"/>
      <c r="DP34" s="329"/>
      <c r="DQ34" s="329"/>
      <c r="DR34" s="329"/>
      <c r="DS34" s="329"/>
      <c r="DT34" s="329"/>
      <c r="DU34" s="329"/>
      <c r="DV34" s="329"/>
      <c r="DW34" s="329"/>
      <c r="DX34" s="330"/>
      <c r="DY34" s="330"/>
      <c r="DZ34" s="330"/>
      <c r="EA34" s="330"/>
      <c r="EB34" s="330"/>
      <c r="EC34" s="330"/>
      <c r="ED34" s="330"/>
      <c r="EE34" s="330"/>
      <c r="EF34" s="330"/>
      <c r="EG34" s="330"/>
      <c r="EH34" s="330"/>
      <c r="EI34" s="330"/>
      <c r="EJ34" s="330"/>
      <c r="EK34" s="330"/>
      <c r="EL34" s="330"/>
      <c r="EM34" s="330"/>
      <c r="EN34" s="330"/>
      <c r="EO34" s="330"/>
      <c r="EP34" s="330"/>
      <c r="EQ34" s="330"/>
      <c r="ER34" s="330"/>
      <c r="ES34" s="330"/>
      <c r="ET34" s="330"/>
      <c r="EU34" s="330"/>
      <c r="EV34" s="330"/>
      <c r="EW34" s="330"/>
      <c r="EX34" s="330"/>
      <c r="EY34" s="1032">
        <f t="shared" si="0"/>
        <v>9.1079999999999994E-2</v>
      </c>
    </row>
    <row r="35" spans="1:166" s="564" customFormat="1" ht="14.7" customHeight="1" x14ac:dyDescent="0.25">
      <c r="A35" s="421">
        <v>31</v>
      </c>
      <c r="B35" s="183" t="str">
        <f>'45-салат из капусты новой 30'!A9</f>
        <v>Салат из белокачанной капусты с морковью (молодой)</v>
      </c>
      <c r="C35" s="419">
        <f>'45-салат из капусты новой 30'!C30</f>
        <v>60</v>
      </c>
      <c r="D35" s="1209">
        <f>13.12/1000*C35</f>
        <v>0.79</v>
      </c>
      <c r="E35" s="1209">
        <f>32.49/1000*C35</f>
        <v>1.95</v>
      </c>
      <c r="F35" s="1209">
        <f>64.66/1000*C35</f>
        <v>3.88</v>
      </c>
      <c r="G35" s="1210">
        <f>604/1000*C35</f>
        <v>36</v>
      </c>
      <c r="H35" s="419">
        <f>'45-салат из капусты новой 30'!J7</f>
        <v>45</v>
      </c>
      <c r="I35" s="483">
        <f>'45-салат из капусты новой 30'!F32</f>
        <v>2.72</v>
      </c>
      <c r="J35" s="329"/>
      <c r="K35" s="329"/>
      <c r="L35" s="329"/>
      <c r="M35" s="329"/>
      <c r="N35" s="329"/>
      <c r="O35" s="329"/>
      <c r="P35" s="329"/>
      <c r="Q35" s="329"/>
      <c r="R35" s="329"/>
      <c r="S35" s="329"/>
      <c r="T35" s="32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30"/>
      <c r="AF35" s="393"/>
      <c r="AG35" s="329">
        <f>'45-салат из капусты'!C19/'45-салат из капусты'!C29*'45-салат из капусты'!C30</f>
        <v>5.9159999999999997E-2</v>
      </c>
      <c r="AH35" s="329"/>
      <c r="AI35" s="329"/>
      <c r="AJ35" s="329"/>
      <c r="AK35" s="329"/>
      <c r="AL35" s="329"/>
      <c r="AM35" s="329"/>
      <c r="AN35" s="329"/>
      <c r="AO35" s="329"/>
      <c r="AP35" s="329"/>
      <c r="AQ35" s="329"/>
      <c r="AR35" s="329">
        <f>'45-салат из капусты новой 30'!C21/'45-салат из капусты новой 30'!C29*'45-салат из капусты новой 30'!C30</f>
        <v>2.5020000000000001E-2</v>
      </c>
      <c r="AS35" s="329"/>
      <c r="AT35" s="329"/>
      <c r="AU35" s="329"/>
      <c r="AV35" s="329"/>
      <c r="AW35" s="329"/>
      <c r="AX35" s="329"/>
      <c r="AY35" s="329"/>
      <c r="AZ35" s="329"/>
      <c r="BA35" s="329"/>
      <c r="BB35" s="329"/>
      <c r="BC35" s="329"/>
      <c r="BD35" s="329"/>
      <c r="BE35" s="329"/>
      <c r="BF35" s="329"/>
      <c r="BG35" s="329"/>
      <c r="BH35" s="329"/>
      <c r="BI35" s="329"/>
      <c r="BJ35" s="329"/>
      <c r="BK35" s="329"/>
      <c r="BL35" s="329"/>
      <c r="BM35" s="329"/>
      <c r="BN35" s="329"/>
      <c r="BO35" s="329"/>
      <c r="BP35" s="329"/>
      <c r="BQ35" s="329"/>
      <c r="BR35" s="329"/>
      <c r="BS35" s="329"/>
      <c r="BT35" s="329"/>
      <c r="BU35" s="329"/>
      <c r="BV35" s="329"/>
      <c r="BW35" s="329"/>
      <c r="BX35" s="329"/>
      <c r="BY35" s="329"/>
      <c r="BZ35" s="329"/>
      <c r="CA35" s="329"/>
      <c r="CB35" s="329"/>
      <c r="CC35" s="329"/>
      <c r="CD35" s="329"/>
      <c r="CE35" s="329"/>
      <c r="CF35" s="329">
        <f>'45-салат из капусты новой 30'!C25/'45-салат из капусты новой 30'!C29*'45-салат из капусты новой 30'!C30</f>
        <v>3.0000000000000001E-3</v>
      </c>
      <c r="CG35" s="329"/>
      <c r="CH35" s="329"/>
      <c r="CI35" s="329"/>
      <c r="CJ35" s="329"/>
      <c r="CK35" s="329"/>
      <c r="CL35" s="329"/>
      <c r="CM35" s="329"/>
      <c r="CN35" s="329"/>
      <c r="CO35" s="329"/>
      <c r="CP35" s="329"/>
      <c r="CQ35" s="329">
        <f>'45-салат из капусты новой 30'!C22/'45-салат из капусты новой 30'!C29*'45-салат из капусты новой 30'!C30</f>
        <v>1.8000000000000001E-4</v>
      </c>
      <c r="CR35" s="329"/>
      <c r="CS35" s="329"/>
      <c r="CT35" s="329"/>
      <c r="CU35" s="329"/>
      <c r="CV35" s="329"/>
      <c r="CW35" s="329"/>
      <c r="CX35" s="329"/>
      <c r="CY35" s="329"/>
      <c r="CZ35" s="329">
        <f>'45-салат из капусты новой 30'!C24/'45-салат из капусты новой 30'!C29*'45-салат из капусты новой 30'!C30</f>
        <v>3.0000000000000001E-3</v>
      </c>
      <c r="DA35" s="329"/>
      <c r="DB35" s="329"/>
      <c r="DC35" s="329">
        <f>'45-салат из капусты новой 30'!C26/'45-салат из капусты новой 30'!C29*'45-салат из капусты новой 30'!C30</f>
        <v>7.2000000000000005E-4</v>
      </c>
      <c r="DD35" s="329"/>
      <c r="DE35" s="329"/>
      <c r="DF35" s="329"/>
      <c r="DG35" s="329"/>
      <c r="DH35" s="329"/>
      <c r="DI35" s="329"/>
      <c r="DJ35" s="329"/>
      <c r="DK35" s="329"/>
      <c r="DL35" s="329"/>
      <c r="DM35" s="329"/>
      <c r="DN35" s="329"/>
      <c r="DO35" s="329"/>
      <c r="DP35" s="329"/>
      <c r="DQ35" s="329"/>
      <c r="DR35" s="329"/>
      <c r="DS35" s="329"/>
      <c r="DT35" s="329"/>
      <c r="DU35" s="329"/>
      <c r="DV35" s="329"/>
      <c r="DW35" s="329"/>
      <c r="DX35" s="330"/>
      <c r="DY35" s="330"/>
      <c r="DZ35" s="330"/>
      <c r="EA35" s="330"/>
      <c r="EB35" s="330"/>
      <c r="EC35" s="330"/>
      <c r="ED35" s="330"/>
      <c r="EE35" s="330"/>
      <c r="EF35" s="330"/>
      <c r="EG35" s="330"/>
      <c r="EH35" s="330"/>
      <c r="EI35" s="330"/>
      <c r="EJ35" s="330"/>
      <c r="EK35" s="330"/>
      <c r="EL35" s="330"/>
      <c r="EM35" s="330"/>
      <c r="EN35" s="330"/>
      <c r="EO35" s="330"/>
      <c r="EP35" s="330"/>
      <c r="EQ35" s="330"/>
      <c r="ER35" s="330"/>
      <c r="ES35" s="330"/>
      <c r="ET35" s="330"/>
      <c r="EU35" s="330"/>
      <c r="EV35" s="330"/>
      <c r="EW35" s="330"/>
      <c r="EX35" s="330"/>
      <c r="EY35" s="1032">
        <f t="shared" si="0"/>
        <v>9.1079999999999994E-2</v>
      </c>
      <c r="EZ35" s="616"/>
      <c r="FA35" s="616"/>
      <c r="FB35" s="616"/>
      <c r="FC35" s="616"/>
      <c r="FD35" s="616"/>
      <c r="FE35" s="616"/>
      <c r="FF35" s="616"/>
      <c r="FG35" s="616"/>
      <c r="FH35" s="616"/>
      <c r="FI35" s="616"/>
      <c r="FJ35" s="616"/>
    </row>
    <row r="36" spans="1:166" ht="14.7" customHeight="1" x14ac:dyDescent="0.25">
      <c r="A36" s="421">
        <v>32</v>
      </c>
      <c r="B36" s="183" t="str">
        <f>'48-салат витаминный'!A9</f>
        <v>Салат витаминный ( 1 вариант)</v>
      </c>
      <c r="C36" s="419">
        <f>'48-салат витаминный'!C29</f>
        <v>60</v>
      </c>
      <c r="D36" s="1209">
        <f>8.3/1000*C36</f>
        <v>0.5</v>
      </c>
      <c r="E36" s="1209">
        <f>61.08/1000*C36</f>
        <v>3.66</v>
      </c>
      <c r="F36" s="1209">
        <f>52.73/1000*C36</f>
        <v>3.16</v>
      </c>
      <c r="G36" s="1210">
        <f>794/1000*C36</f>
        <v>48</v>
      </c>
      <c r="H36" s="419">
        <f>'48-салат витаминный'!J7</f>
        <v>48</v>
      </c>
      <c r="I36" s="483">
        <f>'48-салат витаминный'!F31</f>
        <v>6.35</v>
      </c>
      <c r="J36" s="329"/>
      <c r="K36" s="329"/>
      <c r="L36" s="329"/>
      <c r="M36" s="329"/>
      <c r="N36" s="329"/>
      <c r="O36" s="329"/>
      <c r="P36" s="329"/>
      <c r="Q36" s="329"/>
      <c r="R36" s="329"/>
      <c r="S36" s="329"/>
      <c r="T36" s="32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30"/>
      <c r="AF36" s="329"/>
      <c r="AG36" s="329"/>
      <c r="AH36" s="329"/>
      <c r="AI36" s="329"/>
      <c r="AJ36" s="329">
        <f>'48-салат витаминный'!C23/'48-салат витаминный'!C28*'48-салат витаминный'!C29</f>
        <v>1.4400000000000001E-3</v>
      </c>
      <c r="AK36" s="329"/>
      <c r="AL36" s="329"/>
      <c r="AM36" s="329"/>
      <c r="AN36" s="329">
        <f>'48-салат витаминный'!C20/'48-салат витаминный'!C28*'48-салат витаминный'!C29</f>
        <v>1.7639999999999999E-2</v>
      </c>
      <c r="AO36" s="329">
        <f>'48-салат витаминный'!C21/'48-салат витаминный'!C28*'48-салат витаминный'!C29</f>
        <v>1.8720000000000001E-2</v>
      </c>
      <c r="AP36" s="329"/>
      <c r="AQ36" s="329">
        <f>'48-салат витаминный'!C22/'48-салат витаминный'!C28*'48-салат витаминный'!C29</f>
        <v>1.4999999999999999E-2</v>
      </c>
      <c r="AR36" s="329"/>
      <c r="AS36" s="329"/>
      <c r="AT36" s="329"/>
      <c r="AU36" s="329"/>
      <c r="AV36" s="329"/>
      <c r="AW36" s="329"/>
      <c r="AX36" s="329"/>
      <c r="AY36" s="329"/>
      <c r="AZ36" s="329"/>
      <c r="BA36" s="329"/>
      <c r="BB36" s="329"/>
      <c r="BC36" s="329"/>
      <c r="BD36" s="329"/>
      <c r="BE36" s="329"/>
      <c r="BF36" s="329"/>
      <c r="BG36" s="329"/>
      <c r="BH36" s="329"/>
      <c r="BI36" s="329"/>
      <c r="BJ36" s="329"/>
      <c r="BK36" s="329"/>
      <c r="BL36" s="329"/>
      <c r="BM36" s="329"/>
      <c r="BN36" s="329"/>
      <c r="BO36" s="329"/>
      <c r="BP36" s="329"/>
      <c r="BQ36" s="329"/>
      <c r="BR36" s="329">
        <f>'48-салат витаминный'!C19/'48-салат витаминный'!C28*'48-салат витаминный'!C29</f>
        <v>2.0580000000000001E-2</v>
      </c>
      <c r="BS36" s="329"/>
      <c r="BT36" s="329"/>
      <c r="BU36" s="329"/>
      <c r="BV36" s="329"/>
      <c r="BW36" s="329"/>
      <c r="BX36" s="329"/>
      <c r="BY36" s="329"/>
      <c r="BZ36" s="329"/>
      <c r="CA36" s="329"/>
      <c r="CB36" s="329"/>
      <c r="CC36" s="329"/>
      <c r="CD36" s="329"/>
      <c r="CE36" s="329"/>
      <c r="CF36" s="329">
        <f>'48-салат витаминный'!C24/'48-салат витаминный'!C28*'48-салат витаминный'!C29</f>
        <v>3.5999999999999999E-3</v>
      </c>
      <c r="CG36" s="329"/>
      <c r="CH36" s="329"/>
      <c r="CI36" s="329"/>
      <c r="CJ36" s="329"/>
      <c r="CK36" s="329"/>
      <c r="CL36" s="329"/>
      <c r="CM36" s="329"/>
      <c r="CN36" s="329"/>
      <c r="CO36" s="329"/>
      <c r="CP36" s="329"/>
      <c r="CQ36" s="329"/>
      <c r="CR36" s="329"/>
      <c r="CS36" s="329"/>
      <c r="CT36" s="329"/>
      <c r="CU36" s="329"/>
      <c r="CV36" s="329"/>
      <c r="CW36" s="329"/>
      <c r="CX36" s="329"/>
      <c r="CY36" s="329"/>
      <c r="CZ36" s="329"/>
      <c r="DA36" s="329"/>
      <c r="DB36" s="329"/>
      <c r="DC36" s="329">
        <f>'48-салат витаминный'!C25/'48-салат витаминный'!C28*'48-салат витаминный'!C29</f>
        <v>1.98E-3</v>
      </c>
      <c r="DD36" s="329"/>
      <c r="DE36" s="329"/>
      <c r="DF36" s="329"/>
      <c r="DG36" s="329"/>
      <c r="DH36" s="329"/>
      <c r="DI36" s="329"/>
      <c r="DJ36" s="329"/>
      <c r="DK36" s="329"/>
      <c r="DL36" s="329"/>
      <c r="DM36" s="329"/>
      <c r="DN36" s="329"/>
      <c r="DO36" s="329"/>
      <c r="DP36" s="329"/>
      <c r="DQ36" s="329"/>
      <c r="DR36" s="329"/>
      <c r="DS36" s="329"/>
      <c r="DT36" s="329"/>
      <c r="DU36" s="329"/>
      <c r="DV36" s="329"/>
      <c r="DW36" s="329"/>
      <c r="DX36" s="330"/>
      <c r="DY36" s="330"/>
      <c r="DZ36" s="330"/>
      <c r="EA36" s="330"/>
      <c r="EB36" s="330"/>
      <c r="EC36" s="330"/>
      <c r="ED36" s="330"/>
      <c r="EE36" s="330"/>
      <c r="EF36" s="330"/>
      <c r="EG36" s="330"/>
      <c r="EH36" s="330"/>
      <c r="EI36" s="330"/>
      <c r="EJ36" s="330"/>
      <c r="EK36" s="330"/>
      <c r="EL36" s="330"/>
      <c r="EM36" s="330"/>
      <c r="EN36" s="330"/>
      <c r="EO36" s="330"/>
      <c r="EP36" s="330"/>
      <c r="EQ36" s="330"/>
      <c r="ER36" s="330"/>
      <c r="ES36" s="330"/>
      <c r="ET36" s="330"/>
      <c r="EU36" s="330"/>
      <c r="EV36" s="330"/>
      <c r="EW36" s="330"/>
      <c r="EX36" s="330"/>
      <c r="EY36" s="1032">
        <f t="shared" si="0"/>
        <v>7.8960000000000002E-2</v>
      </c>
    </row>
    <row r="37" spans="1:166" ht="14.7" customHeight="1" x14ac:dyDescent="0.25">
      <c r="A37" s="421">
        <v>33</v>
      </c>
      <c r="B37" s="183" t="str">
        <f>'52-салат из свеклы отварной'!A9</f>
        <v>Салат из свеклы отварной</v>
      </c>
      <c r="C37" s="419">
        <f>'52-салат из свеклы отварной'!C25</f>
        <v>60</v>
      </c>
      <c r="D37" s="1209">
        <f>14.08/1000*C37</f>
        <v>0.84</v>
      </c>
      <c r="E37" s="1209">
        <f>60.12/1000*C37</f>
        <v>3.61</v>
      </c>
      <c r="F37" s="1209">
        <f>82.6/1000*C37</f>
        <v>4.96</v>
      </c>
      <c r="G37" s="1210">
        <f>928/1000*C37</f>
        <v>56</v>
      </c>
      <c r="H37" s="419">
        <f>'52-салат из свеклы отварной'!J7</f>
        <v>52</v>
      </c>
      <c r="I37" s="483">
        <f>'52-салат из свеклы отварной'!F27</f>
        <v>2.66</v>
      </c>
      <c r="J37" s="329"/>
      <c r="K37" s="329"/>
      <c r="L37" s="329"/>
      <c r="M37" s="329"/>
      <c r="N37" s="329"/>
      <c r="O37" s="329"/>
      <c r="P37" s="329"/>
      <c r="Q37" s="329"/>
      <c r="R37" s="329"/>
      <c r="S37" s="329"/>
      <c r="T37" s="329"/>
      <c r="U37" s="329"/>
      <c r="V37" s="329"/>
      <c r="W37" s="329"/>
      <c r="X37" s="329"/>
      <c r="Y37" s="329"/>
      <c r="Z37" s="329"/>
      <c r="AA37" s="329"/>
      <c r="AB37" s="329"/>
      <c r="AC37" s="329"/>
      <c r="AD37" s="329"/>
      <c r="AE37" s="330"/>
      <c r="AF37" s="329"/>
      <c r="AG37" s="329"/>
      <c r="AH37" s="329"/>
      <c r="AI37" s="329"/>
      <c r="AJ37" s="329"/>
      <c r="AK37" s="329"/>
      <c r="AL37" s="329"/>
      <c r="AM37" s="329"/>
      <c r="AN37" s="329"/>
      <c r="AO37" s="329"/>
      <c r="AP37" s="329"/>
      <c r="AQ37" s="329"/>
      <c r="AR37" s="329"/>
      <c r="AS37" s="329"/>
      <c r="AT37" s="329"/>
      <c r="AU37" s="329"/>
      <c r="AV37" s="329"/>
      <c r="AW37" s="329"/>
      <c r="AX37" s="329">
        <f>'52-салат из свеклы отварной'!C19/'52-салат из свеклы отварной'!C24*'52-салат из свеклы отварной'!C25</f>
        <v>7.2720000000000007E-2</v>
      </c>
      <c r="AY37" s="329"/>
      <c r="AZ37" s="329"/>
      <c r="BA37" s="329"/>
      <c r="BB37" s="329"/>
      <c r="BC37" s="329"/>
      <c r="BD37" s="329"/>
      <c r="BE37" s="329"/>
      <c r="BF37" s="329"/>
      <c r="BG37" s="329"/>
      <c r="BH37" s="329"/>
      <c r="BI37" s="329"/>
      <c r="BJ37" s="329"/>
      <c r="BK37" s="329"/>
      <c r="BL37" s="329"/>
      <c r="BM37" s="329"/>
      <c r="BN37" s="329"/>
      <c r="BO37" s="329"/>
      <c r="BP37" s="329"/>
      <c r="BQ37" s="329"/>
      <c r="BR37" s="329"/>
      <c r="BS37" s="329"/>
      <c r="BT37" s="329"/>
      <c r="BU37" s="329"/>
      <c r="BV37" s="329"/>
      <c r="BW37" s="329"/>
      <c r="BX37" s="329"/>
      <c r="BY37" s="329"/>
      <c r="BZ37" s="329"/>
      <c r="CA37" s="329"/>
      <c r="CB37" s="329"/>
      <c r="CC37" s="329"/>
      <c r="CD37" s="329"/>
      <c r="CE37" s="329"/>
      <c r="CF37" s="393">
        <f>'52-салат из свеклы отварной'!C20/'52-салат из свеклы отварной'!C24*'52-салат из свеклы отварной'!C25</f>
        <v>3.5999999999999999E-3</v>
      </c>
      <c r="CG37" s="329"/>
      <c r="CH37" s="329"/>
      <c r="CI37" s="329"/>
      <c r="CJ37" s="329"/>
      <c r="CK37" s="329"/>
      <c r="CL37" s="329"/>
      <c r="CM37" s="329"/>
      <c r="CN37" s="329"/>
      <c r="CO37" s="329"/>
      <c r="CP37" s="329"/>
      <c r="CQ37" s="329"/>
      <c r="CR37" s="329"/>
      <c r="CS37" s="329"/>
      <c r="CT37" s="329"/>
      <c r="CU37" s="329"/>
      <c r="CV37" s="329"/>
      <c r="CW37" s="329"/>
      <c r="CX37" s="329"/>
      <c r="CY37" s="329"/>
      <c r="CZ37" s="329"/>
      <c r="DA37" s="329"/>
      <c r="DB37" s="329"/>
      <c r="DC37" s="329">
        <f>'52-салат из свеклы отварной'!C21/'52-салат из свеклы отварной'!C24*'52-салат из свеклы отварной'!C25</f>
        <v>1.98E-3</v>
      </c>
      <c r="DD37" s="329"/>
      <c r="DE37" s="329"/>
      <c r="DF37" s="329"/>
      <c r="DG37" s="329"/>
      <c r="DH37" s="329"/>
      <c r="DI37" s="329"/>
      <c r="DJ37" s="329"/>
      <c r="DK37" s="329"/>
      <c r="DL37" s="329"/>
      <c r="DM37" s="329"/>
      <c r="DN37" s="329"/>
      <c r="DO37" s="329"/>
      <c r="DP37" s="329"/>
      <c r="DQ37" s="329"/>
      <c r="DR37" s="329"/>
      <c r="DS37" s="329"/>
      <c r="DT37" s="329"/>
      <c r="DU37" s="329"/>
      <c r="DV37" s="329"/>
      <c r="DW37" s="329"/>
      <c r="DX37" s="330"/>
      <c r="DY37" s="330"/>
      <c r="DZ37" s="330"/>
      <c r="EA37" s="330"/>
      <c r="EB37" s="330"/>
      <c r="EC37" s="330"/>
      <c r="ED37" s="330"/>
      <c r="EE37" s="330"/>
      <c r="EF37" s="330"/>
      <c r="EG37" s="330"/>
      <c r="EH37" s="330"/>
      <c r="EI37" s="330"/>
      <c r="EJ37" s="330"/>
      <c r="EK37" s="330"/>
      <c r="EL37" s="330"/>
      <c r="EM37" s="330"/>
      <c r="EN37" s="330"/>
      <c r="EO37" s="330"/>
      <c r="EP37" s="330"/>
      <c r="EQ37" s="330"/>
      <c r="ER37" s="330"/>
      <c r="ES37" s="330"/>
      <c r="ET37" s="330"/>
      <c r="EU37" s="330"/>
      <c r="EV37" s="330"/>
      <c r="EW37" s="330"/>
      <c r="EX37" s="330"/>
      <c r="EY37" s="1032">
        <f t="shared" si="0"/>
        <v>7.8299999999999995E-2</v>
      </c>
    </row>
    <row r="38" spans="1:166" s="699" customFormat="1" ht="14.7" customHeight="1" x14ac:dyDescent="0.25">
      <c r="A38" s="421">
        <v>34</v>
      </c>
      <c r="B38" s="183" t="str">
        <f>'53-салат из свеклы с горошком'!A9</f>
        <v>Салат из свеклы с зеленым горошком</v>
      </c>
      <c r="C38" s="730">
        <f>'53-салат из свеклы с горошком'!C28</f>
        <v>60</v>
      </c>
      <c r="D38" s="1209">
        <f>16.47/1000*C38</f>
        <v>0.99</v>
      </c>
      <c r="E38" s="1209">
        <f>41.22/1000*C38</f>
        <v>2.4700000000000002</v>
      </c>
      <c r="F38" s="1209">
        <f>72.94/1000*C38</f>
        <v>4.38</v>
      </c>
      <c r="G38" s="1210">
        <f>729/1000*C38</f>
        <v>44</v>
      </c>
      <c r="H38" s="730">
        <f>'53-салат из свеклы с горошком'!J7</f>
        <v>53</v>
      </c>
      <c r="I38" s="483">
        <f>'53-салат из свеклы с горошком'!F30</f>
        <v>6.12</v>
      </c>
      <c r="J38" s="329"/>
      <c r="K38" s="329"/>
      <c r="L38" s="329"/>
      <c r="M38" s="329"/>
      <c r="N38" s="329"/>
      <c r="O38" s="329"/>
      <c r="P38" s="329"/>
      <c r="Q38" s="329"/>
      <c r="R38" s="329"/>
      <c r="S38" s="329"/>
      <c r="T38" s="329"/>
      <c r="U38" s="329"/>
      <c r="V38" s="329"/>
      <c r="W38" s="329"/>
      <c r="X38" s="329"/>
      <c r="Y38" s="329"/>
      <c r="Z38" s="329"/>
      <c r="AA38" s="329"/>
      <c r="AB38" s="329"/>
      <c r="AC38" s="329"/>
      <c r="AD38" s="329"/>
      <c r="AE38" s="330"/>
      <c r="AF38" s="329"/>
      <c r="AG38" s="329"/>
      <c r="AH38" s="329"/>
      <c r="AI38" s="329"/>
      <c r="AJ38" s="329"/>
      <c r="AK38" s="329">
        <f>'53-салат из свеклы с горошком'!C22/'53-салат из свеклы с горошком'!C27*'53-салат из свеклы с горошком'!C28</f>
        <v>3.5999999999999999E-3</v>
      </c>
      <c r="AL38" s="329"/>
      <c r="AM38" s="329"/>
      <c r="AN38" s="329"/>
      <c r="AO38" s="329"/>
      <c r="AP38" s="329"/>
      <c r="AQ38" s="329"/>
      <c r="AR38" s="329"/>
      <c r="AS38" s="329"/>
      <c r="AT38" s="329"/>
      <c r="AU38" s="329"/>
      <c r="AV38" s="329"/>
      <c r="AW38" s="329"/>
      <c r="AX38" s="329">
        <f>'53-салат из свеклы с горошком'!C19/'53-салат из свеклы с горошком'!C27*'53-салат из свеклы с горошком'!C28</f>
        <v>3.8339999999999999E-2</v>
      </c>
      <c r="AY38" s="329"/>
      <c r="AZ38" s="329"/>
      <c r="BA38" s="329"/>
      <c r="BB38" s="329"/>
      <c r="BC38" s="329"/>
      <c r="BD38" s="329"/>
      <c r="BE38" s="329"/>
      <c r="BF38" s="329"/>
      <c r="BG38" s="329"/>
      <c r="BH38" s="329"/>
      <c r="BI38" s="329"/>
      <c r="BJ38" s="329"/>
      <c r="BK38" s="329"/>
      <c r="BL38" s="329"/>
      <c r="BM38" s="329"/>
      <c r="BN38" s="329"/>
      <c r="BO38" s="329"/>
      <c r="BP38" s="329"/>
      <c r="BQ38" s="329"/>
      <c r="BR38" s="329">
        <f>'53-салат из свеклы с горошком'!C21/'53-салат из свеклы с горошком'!C27*'53-салат из свеклы с горошком'!C28</f>
        <v>1.542E-2</v>
      </c>
      <c r="BS38" s="329"/>
      <c r="BT38" s="329"/>
      <c r="BU38" s="329"/>
      <c r="BV38" s="329"/>
      <c r="BW38" s="329"/>
      <c r="BX38" s="329"/>
      <c r="BY38" s="329"/>
      <c r="BZ38" s="329"/>
      <c r="CA38" s="329"/>
      <c r="CB38" s="329"/>
      <c r="CC38" s="329"/>
      <c r="CD38" s="329"/>
      <c r="CE38" s="329"/>
      <c r="CF38" s="393">
        <f>'53-салат из свеклы с горошком'!C23/'53-салат из свеклы с горошком'!C27*'53-салат из свеклы с горошком'!C28</f>
        <v>3.5999999999999999E-3</v>
      </c>
      <c r="CG38" s="329"/>
      <c r="CH38" s="329"/>
      <c r="CI38" s="329"/>
      <c r="CJ38" s="329"/>
      <c r="CK38" s="329"/>
      <c r="CL38" s="329"/>
      <c r="CM38" s="329"/>
      <c r="CN38" s="329"/>
      <c r="CO38" s="329"/>
      <c r="CP38" s="329"/>
      <c r="CQ38" s="329"/>
      <c r="CR38" s="329"/>
      <c r="CS38" s="329"/>
      <c r="CT38" s="329"/>
      <c r="CU38" s="329"/>
      <c r="CV38" s="329"/>
      <c r="CW38" s="329"/>
      <c r="CX38" s="329"/>
      <c r="CY38" s="329"/>
      <c r="CZ38" s="329"/>
      <c r="DA38" s="329"/>
      <c r="DB38" s="329"/>
      <c r="DC38" s="329">
        <f>'53-салат из свеклы с горошком'!C24/'53-салат из свеклы с горошком'!C27*'53-салат из свеклы с горошком'!C28</f>
        <v>1.98E-3</v>
      </c>
      <c r="DD38" s="329"/>
      <c r="DE38" s="329"/>
      <c r="DF38" s="329"/>
      <c r="DG38" s="329"/>
      <c r="DH38" s="329"/>
      <c r="DI38" s="329"/>
      <c r="DJ38" s="329"/>
      <c r="DK38" s="329"/>
      <c r="DL38" s="329"/>
      <c r="DM38" s="329"/>
      <c r="DN38" s="329"/>
      <c r="DO38" s="329"/>
      <c r="DP38" s="329"/>
      <c r="DQ38" s="329"/>
      <c r="DR38" s="329"/>
      <c r="DS38" s="329"/>
      <c r="DT38" s="329"/>
      <c r="DU38" s="329">
        <f>'53-салат из свеклы с горошком'!C20/'53-салат из свеклы с горошком'!C27*'53-салат из свеклы с горошком'!C28</f>
        <v>2.3099999999999999E-2</v>
      </c>
      <c r="DV38" s="329"/>
      <c r="DW38" s="329"/>
      <c r="DX38" s="330"/>
      <c r="DY38" s="330"/>
      <c r="DZ38" s="330"/>
      <c r="EA38" s="330"/>
      <c r="EB38" s="330"/>
      <c r="EC38" s="330"/>
      <c r="ED38" s="330"/>
      <c r="EE38" s="330"/>
      <c r="EF38" s="330"/>
      <c r="EG38" s="330"/>
      <c r="EH38" s="330"/>
      <c r="EI38" s="330"/>
      <c r="EJ38" s="330"/>
      <c r="EK38" s="330"/>
      <c r="EL38" s="330"/>
      <c r="EM38" s="330"/>
      <c r="EN38" s="330"/>
      <c r="EO38" s="330"/>
      <c r="EP38" s="330"/>
      <c r="EQ38" s="330"/>
      <c r="ER38" s="330"/>
      <c r="ES38" s="330"/>
      <c r="ET38" s="330"/>
      <c r="EU38" s="330"/>
      <c r="EV38" s="330"/>
      <c r="EW38" s="330"/>
      <c r="EX38" s="330"/>
      <c r="EY38" s="1032">
        <f t="shared" si="0"/>
        <v>8.6040000000000005E-2</v>
      </c>
      <c r="EZ38" s="616"/>
      <c r="FA38" s="616"/>
      <c r="FB38" s="616"/>
      <c r="FC38" s="616"/>
      <c r="FD38" s="616"/>
      <c r="FE38" s="616"/>
      <c r="FF38" s="616"/>
      <c r="FG38" s="616"/>
      <c r="FH38" s="616"/>
      <c r="FI38" s="616"/>
      <c r="FJ38" s="616"/>
    </row>
    <row r="39" spans="1:166" s="699" customFormat="1" ht="14.7" customHeight="1" x14ac:dyDescent="0.25">
      <c r="A39" s="421">
        <v>35</v>
      </c>
      <c r="B39" s="183" t="str">
        <f>'54-салат из свеклы с яблоками'!A9</f>
        <v>Салат из свеклы с яблоками</v>
      </c>
      <c r="C39" s="730">
        <f>'54-салат из свеклы с яблоками'!C26</f>
        <v>60</v>
      </c>
      <c r="D39" s="1209">
        <f>10.91/1000*C39</f>
        <v>0.65</v>
      </c>
      <c r="E39" s="1209">
        <f>60.83/1000*C39</f>
        <v>3.65</v>
      </c>
      <c r="F39" s="1209">
        <f>112.05/1000*C39</f>
        <v>6.72</v>
      </c>
      <c r="G39" s="1210">
        <f>1039/1000*C39</f>
        <v>62</v>
      </c>
      <c r="H39" s="730">
        <f>'54-салат из свеклы с яблоками'!J7</f>
        <v>54</v>
      </c>
      <c r="I39" s="483">
        <f>'54-салат из свеклы с яблоками'!F28</f>
        <v>4.0599999999999996</v>
      </c>
      <c r="J39" s="329"/>
      <c r="K39" s="329"/>
      <c r="L39" s="329"/>
      <c r="M39" s="329"/>
      <c r="N39" s="329"/>
      <c r="O39" s="329"/>
      <c r="P39" s="329"/>
      <c r="Q39" s="329"/>
      <c r="R39" s="329"/>
      <c r="S39" s="329"/>
      <c r="T39" s="329"/>
      <c r="U39" s="329"/>
      <c r="V39" s="329"/>
      <c r="W39" s="329"/>
      <c r="X39" s="329"/>
      <c r="Y39" s="329"/>
      <c r="Z39" s="329"/>
      <c r="AA39" s="329"/>
      <c r="AB39" s="329"/>
      <c r="AC39" s="329"/>
      <c r="AD39" s="329"/>
      <c r="AE39" s="330"/>
      <c r="AF39" s="329"/>
      <c r="AG39" s="329"/>
      <c r="AH39" s="329"/>
      <c r="AI39" s="329"/>
      <c r="AJ39" s="329"/>
      <c r="AK39" s="329"/>
      <c r="AL39" s="329"/>
      <c r="AM39" s="329"/>
      <c r="AN39" s="329"/>
      <c r="AO39" s="329"/>
      <c r="AP39" s="329"/>
      <c r="AQ39" s="329"/>
      <c r="AR39" s="329"/>
      <c r="AS39" s="329"/>
      <c r="AT39" s="329"/>
      <c r="AU39" s="329"/>
      <c r="AV39" s="329"/>
      <c r="AW39" s="329"/>
      <c r="AX39" s="329">
        <f>'54-салат из свеклы с яблоками'!C19/'54-салат из свеклы с яблоками'!C25*'54-салат из свеклы с яблоками'!C26</f>
        <v>5.1360000000000003E-2</v>
      </c>
      <c r="AY39" s="329"/>
      <c r="AZ39" s="329"/>
      <c r="BA39" s="329"/>
      <c r="BB39" s="329"/>
      <c r="BC39" s="329"/>
      <c r="BD39" s="329"/>
      <c r="BE39" s="329"/>
      <c r="BF39" s="329"/>
      <c r="BG39" s="329"/>
      <c r="BH39" s="329"/>
      <c r="BI39" s="329"/>
      <c r="BJ39" s="329"/>
      <c r="BK39" s="329"/>
      <c r="BL39" s="329"/>
      <c r="BM39" s="329"/>
      <c r="BN39" s="329"/>
      <c r="BO39" s="329"/>
      <c r="BP39" s="329"/>
      <c r="BQ39" s="329"/>
      <c r="BR39" s="329">
        <f>'54-салат из свеклы с яблоками'!C20/'54-салат из свеклы с яблоками'!C25*'54-салат из свеклы с яблоками'!C26</f>
        <v>2.1420000000000002E-2</v>
      </c>
      <c r="BS39" s="329"/>
      <c r="BT39" s="329"/>
      <c r="BU39" s="329"/>
      <c r="BV39" s="329"/>
      <c r="BW39" s="329"/>
      <c r="BX39" s="329"/>
      <c r="BY39" s="329"/>
      <c r="BZ39" s="329"/>
      <c r="CA39" s="329"/>
      <c r="CB39" s="329"/>
      <c r="CC39" s="329"/>
      <c r="CD39" s="329"/>
      <c r="CE39" s="329"/>
      <c r="CF39" s="393">
        <f>'54-салат из свеклы с яблоками'!C22/'54-салат из свеклы с яблоками'!C25*'54-салат из свеклы с яблоками'!C26</f>
        <v>3.5999999999999999E-3</v>
      </c>
      <c r="CG39" s="329"/>
      <c r="CH39" s="329"/>
      <c r="CI39" s="329"/>
      <c r="CJ39" s="329"/>
      <c r="CK39" s="329"/>
      <c r="CL39" s="329"/>
      <c r="CM39" s="329"/>
      <c r="CN39" s="329"/>
      <c r="CO39" s="329"/>
      <c r="CP39" s="329"/>
      <c r="CQ39" s="329"/>
      <c r="CR39" s="329"/>
      <c r="CS39" s="329"/>
      <c r="CT39" s="329"/>
      <c r="CU39" s="329"/>
      <c r="CV39" s="329"/>
      <c r="CW39" s="329"/>
      <c r="CX39" s="329"/>
      <c r="CY39" s="329"/>
      <c r="CZ39" s="329">
        <f>'54-салат из свеклы с яблоками'!C21/'54-салат из свеклы с яблоками'!C25*'54-салат из свеклы с яблоками'!C26</f>
        <v>1.8E-3</v>
      </c>
      <c r="DA39" s="329"/>
      <c r="DB39" s="329"/>
      <c r="DC39" s="329"/>
      <c r="DD39" s="329"/>
      <c r="DE39" s="329"/>
      <c r="DF39" s="329"/>
      <c r="DG39" s="329"/>
      <c r="DH39" s="329"/>
      <c r="DI39" s="329"/>
      <c r="DJ39" s="329"/>
      <c r="DK39" s="329"/>
      <c r="DL39" s="329"/>
      <c r="DM39" s="329"/>
      <c r="DN39" s="329"/>
      <c r="DO39" s="329"/>
      <c r="DP39" s="329"/>
      <c r="DQ39" s="329"/>
      <c r="DR39" s="329"/>
      <c r="DS39" s="329"/>
      <c r="DT39" s="329"/>
      <c r="DU39" s="329"/>
      <c r="DV39" s="329"/>
      <c r="DW39" s="329"/>
      <c r="DX39" s="330"/>
      <c r="DY39" s="330"/>
      <c r="DZ39" s="330"/>
      <c r="EA39" s="330"/>
      <c r="EB39" s="330"/>
      <c r="EC39" s="330"/>
      <c r="ED39" s="330"/>
      <c r="EE39" s="330"/>
      <c r="EF39" s="330"/>
      <c r="EG39" s="330"/>
      <c r="EH39" s="330"/>
      <c r="EI39" s="330"/>
      <c r="EJ39" s="330"/>
      <c r="EK39" s="330"/>
      <c r="EL39" s="330"/>
      <c r="EM39" s="330"/>
      <c r="EN39" s="330"/>
      <c r="EO39" s="330"/>
      <c r="EP39" s="330"/>
      <c r="EQ39" s="330"/>
      <c r="ER39" s="330"/>
      <c r="ES39" s="330"/>
      <c r="ET39" s="330"/>
      <c r="EU39" s="330"/>
      <c r="EV39" s="330"/>
      <c r="EW39" s="330"/>
      <c r="EX39" s="330"/>
      <c r="EY39" s="1032">
        <f t="shared" si="0"/>
        <v>7.8179999999999999E-2</v>
      </c>
      <c r="EZ39" s="616"/>
      <c r="FA39" s="616"/>
      <c r="FB39" s="616"/>
      <c r="FC39" s="616"/>
      <c r="FD39" s="616"/>
      <c r="FE39" s="616"/>
      <c r="FF39" s="616"/>
      <c r="FG39" s="616"/>
      <c r="FH39" s="616"/>
      <c r="FI39" s="616"/>
      <c r="FJ39" s="616"/>
    </row>
    <row r="40" spans="1:166" s="699" customFormat="1" ht="14.7" customHeight="1" x14ac:dyDescent="0.25">
      <c r="A40" s="421">
        <v>36</v>
      </c>
      <c r="B40" s="183" t="str">
        <f>'56-салат овощной с яблоками'!A9</f>
        <v>Салат овощной с яблоками</v>
      </c>
      <c r="C40" s="730">
        <f>'56-салат овощной с яблоками'!C27</f>
        <v>60</v>
      </c>
      <c r="D40" s="1209">
        <f>11.56/1000*C40</f>
        <v>0.69</v>
      </c>
      <c r="E40" s="1209">
        <f>1.85/1000*C40</f>
        <v>0.11</v>
      </c>
      <c r="F40" s="1209">
        <f>71.99/1000*C40</f>
        <v>4.32</v>
      </c>
      <c r="G40" s="1210">
        <f>351/1000*C40</f>
        <v>21</v>
      </c>
      <c r="H40" s="730">
        <f>'56-салат овощной с яблоками'!J7</f>
        <v>56</v>
      </c>
      <c r="I40" s="483">
        <f>'56-салат овощной с яблоками'!F29</f>
        <v>6.1</v>
      </c>
      <c r="J40" s="329"/>
      <c r="K40" s="329"/>
      <c r="L40" s="329"/>
      <c r="M40" s="329"/>
      <c r="N40" s="329"/>
      <c r="O40" s="329"/>
      <c r="P40" s="329"/>
      <c r="Q40" s="329"/>
      <c r="R40" s="329"/>
      <c r="S40" s="329"/>
      <c r="T40" s="329"/>
      <c r="U40" s="329"/>
      <c r="V40" s="329"/>
      <c r="W40" s="329"/>
      <c r="X40" s="329"/>
      <c r="Y40" s="329"/>
      <c r="Z40" s="329"/>
      <c r="AA40" s="329"/>
      <c r="AB40" s="329"/>
      <c r="AC40" s="329"/>
      <c r="AD40" s="329"/>
      <c r="AE40" s="330"/>
      <c r="AF40" s="329">
        <f>'56-салат овощной с яблоками'!C21/'56-салат овощной с яблоками'!C26*'56-салат овощной с яблоками'!C27</f>
        <v>2.2499999999999999E-2</v>
      </c>
      <c r="AG40" s="329"/>
      <c r="AH40" s="329"/>
      <c r="AI40" s="329"/>
      <c r="AJ40" s="329">
        <f>'56-салат овощной с яблоками'!C23/'56-салат овощной с яблоками'!C26*'56-салат овощной с яблоками'!C27</f>
        <v>1.158E-2</v>
      </c>
      <c r="AK40" s="329"/>
      <c r="AL40" s="329"/>
      <c r="AM40" s="329"/>
      <c r="AN40" s="329"/>
      <c r="AO40" s="329"/>
      <c r="AP40" s="329"/>
      <c r="AQ40" s="329">
        <f>'56-салат овощной с яблоками'!C20/'56-салат овощной с яблоками'!C26*'56-салат овощной с яблоками'!C27</f>
        <v>9.7800000000000005E-3</v>
      </c>
      <c r="AR40" s="329"/>
      <c r="AS40" s="329"/>
      <c r="AT40" s="329"/>
      <c r="AU40" s="329"/>
      <c r="AV40" s="329"/>
      <c r="AW40" s="329"/>
      <c r="AX40" s="329">
        <f>'56-салат овощной с яблоками'!C19/'56-салат овощной с яблоками'!C26*'56-салат овощной с яблоками'!C27</f>
        <v>1.2959999999999999E-2</v>
      </c>
      <c r="AY40" s="329"/>
      <c r="AZ40" s="329"/>
      <c r="BA40" s="329"/>
      <c r="BB40" s="329"/>
      <c r="BC40" s="329"/>
      <c r="BD40" s="329"/>
      <c r="BE40" s="329"/>
      <c r="BF40" s="329"/>
      <c r="BG40" s="329"/>
      <c r="BH40" s="329"/>
      <c r="BI40" s="329"/>
      <c r="BJ40" s="329"/>
      <c r="BK40" s="329"/>
      <c r="BL40" s="329"/>
      <c r="BM40" s="329"/>
      <c r="BN40" s="329"/>
      <c r="BO40" s="329"/>
      <c r="BP40" s="329"/>
      <c r="BQ40" s="329"/>
      <c r="BR40" s="329">
        <f>'56-салат овощной с яблоками'!C22/'56-салат овощной с яблоками'!C26*'56-салат овощной с яблоками'!C27</f>
        <v>2.1420000000000002E-2</v>
      </c>
      <c r="BS40" s="329"/>
      <c r="BT40" s="329"/>
      <c r="BU40" s="329"/>
      <c r="BV40" s="329"/>
      <c r="BW40" s="329"/>
      <c r="BX40" s="329"/>
      <c r="BY40" s="329"/>
      <c r="BZ40" s="329"/>
      <c r="CA40" s="329"/>
      <c r="CB40" s="329"/>
      <c r="CC40" s="329"/>
      <c r="CD40" s="329"/>
      <c r="CE40" s="329"/>
      <c r="CF40" s="393"/>
      <c r="CG40" s="329"/>
      <c r="CH40" s="329"/>
      <c r="CI40" s="329"/>
      <c r="CJ40" s="329"/>
      <c r="CK40" s="329"/>
      <c r="CL40" s="329"/>
      <c r="CM40" s="329"/>
      <c r="CN40" s="329"/>
      <c r="CO40" s="329"/>
      <c r="CP40" s="329"/>
      <c r="CQ40" s="329"/>
      <c r="CR40" s="329"/>
      <c r="CS40" s="329"/>
      <c r="CT40" s="329"/>
      <c r="CU40" s="329"/>
      <c r="CV40" s="329"/>
      <c r="CW40" s="329"/>
      <c r="CX40" s="329"/>
      <c r="CY40" s="329"/>
      <c r="CZ40" s="329"/>
      <c r="DA40" s="329"/>
      <c r="DB40" s="329"/>
      <c r="DC40" s="329"/>
      <c r="DD40" s="329"/>
      <c r="DE40" s="329"/>
      <c r="DF40" s="329"/>
      <c r="DG40" s="329"/>
      <c r="DH40" s="329"/>
      <c r="DI40" s="329"/>
      <c r="DJ40" s="329"/>
      <c r="DK40" s="329"/>
      <c r="DL40" s="329"/>
      <c r="DM40" s="329"/>
      <c r="DN40" s="329"/>
      <c r="DO40" s="329"/>
      <c r="DP40" s="329"/>
      <c r="DQ40" s="329"/>
      <c r="DR40" s="329"/>
      <c r="DS40" s="329"/>
      <c r="DT40" s="329"/>
      <c r="DU40" s="329"/>
      <c r="DV40" s="329"/>
      <c r="DW40" s="329"/>
      <c r="DX40" s="330"/>
      <c r="DY40" s="330"/>
      <c r="DZ40" s="330"/>
      <c r="EA40" s="330"/>
      <c r="EB40" s="330"/>
      <c r="EC40" s="330"/>
      <c r="ED40" s="330"/>
      <c r="EE40" s="330"/>
      <c r="EF40" s="330"/>
      <c r="EG40" s="330"/>
      <c r="EH40" s="330"/>
      <c r="EI40" s="330"/>
      <c r="EJ40" s="330"/>
      <c r="EK40" s="330"/>
      <c r="EL40" s="330"/>
      <c r="EM40" s="330"/>
      <c r="EN40" s="330"/>
      <c r="EO40" s="330"/>
      <c r="EP40" s="330"/>
      <c r="EQ40" s="330"/>
      <c r="ER40" s="330"/>
      <c r="ES40" s="330"/>
      <c r="ET40" s="330"/>
      <c r="EU40" s="330"/>
      <c r="EV40" s="330"/>
      <c r="EW40" s="330"/>
      <c r="EX40" s="330"/>
      <c r="EY40" s="1032">
        <f t="shared" si="0"/>
        <v>7.8240000000000004E-2</v>
      </c>
      <c r="EZ40" s="616"/>
      <c r="FA40" s="616"/>
      <c r="FB40" s="616"/>
      <c r="FC40" s="616"/>
      <c r="FD40" s="616"/>
      <c r="FE40" s="616"/>
      <c r="FF40" s="616"/>
      <c r="FG40" s="616"/>
      <c r="FH40" s="616"/>
      <c r="FI40" s="616"/>
      <c r="FJ40" s="616"/>
    </row>
    <row r="41" spans="1:166" ht="14.7" customHeight="1" x14ac:dyDescent="0.25">
      <c r="A41" s="421">
        <v>37</v>
      </c>
      <c r="B41" s="183" t="str">
        <f>'62-салат из моркови'!A9</f>
        <v>Салат из моркови с сахаром</v>
      </c>
      <c r="C41" s="419">
        <f>'62-салат из моркови'!C24</f>
        <v>60</v>
      </c>
      <c r="D41" s="1209">
        <f>12.33/1000*C41</f>
        <v>0.74</v>
      </c>
      <c r="E41" s="1209">
        <f>0.94/1000*C41</f>
        <v>0.06</v>
      </c>
      <c r="F41" s="1209">
        <f>114.76/1000*C41</f>
        <v>6.89</v>
      </c>
      <c r="G41" s="1210">
        <f>817/1000*C41</f>
        <v>49</v>
      </c>
      <c r="H41" s="419">
        <f>'62-салат из моркови'!J7</f>
        <v>62</v>
      </c>
      <c r="I41" s="483">
        <f>'62-салат из моркови'!F26</f>
        <v>3.83</v>
      </c>
      <c r="J41" s="329"/>
      <c r="K41" s="329"/>
      <c r="L41" s="329"/>
      <c r="M41" s="329"/>
      <c r="N41" s="329"/>
      <c r="O41" s="329"/>
      <c r="P41" s="329"/>
      <c r="Q41" s="329"/>
      <c r="R41" s="329"/>
      <c r="S41" s="329"/>
      <c r="T41" s="329"/>
      <c r="U41" s="329"/>
      <c r="V41" s="329"/>
      <c r="W41" s="329"/>
      <c r="X41" s="329"/>
      <c r="Y41" s="329"/>
      <c r="Z41" s="329"/>
      <c r="AA41" s="329"/>
      <c r="AB41" s="329"/>
      <c r="AC41" s="329"/>
      <c r="AD41" s="329"/>
      <c r="AE41" s="330"/>
      <c r="AF41" s="329"/>
      <c r="AG41" s="329"/>
      <c r="AH41" s="329"/>
      <c r="AI41" s="329"/>
      <c r="AJ41" s="329"/>
      <c r="AK41" s="329"/>
      <c r="AL41" s="329"/>
      <c r="AM41" s="329"/>
      <c r="AN41" s="329"/>
      <c r="AO41" s="329"/>
      <c r="AP41" s="329"/>
      <c r="AQ41" s="329">
        <f>'62-салат из моркови'!C19/'62-салат из моркови'!C23*'62-салат из моркови'!C24</f>
        <v>7.1999999999999995E-2</v>
      </c>
      <c r="AR41" s="329"/>
      <c r="AS41" s="329"/>
      <c r="AT41" s="329"/>
      <c r="AU41" s="329"/>
      <c r="AV41" s="329"/>
      <c r="AW41" s="329"/>
      <c r="AX41" s="329"/>
      <c r="AY41" s="329"/>
      <c r="AZ41" s="329"/>
      <c r="BA41" s="329"/>
      <c r="BB41" s="329"/>
      <c r="BC41" s="329"/>
      <c r="BD41" s="329"/>
      <c r="BE41" s="329"/>
      <c r="BF41" s="329"/>
      <c r="BG41" s="329"/>
      <c r="BH41" s="329"/>
      <c r="BI41" s="329"/>
      <c r="BJ41" s="329"/>
      <c r="BK41" s="329"/>
      <c r="BL41" s="329"/>
      <c r="BM41" s="329"/>
      <c r="BN41" s="329"/>
      <c r="BO41" s="329"/>
      <c r="BP41" s="329"/>
      <c r="BQ41" s="329"/>
      <c r="BR41" s="329"/>
      <c r="BS41" s="329"/>
      <c r="BT41" s="329"/>
      <c r="BU41" s="329"/>
      <c r="BV41" s="329"/>
      <c r="BW41" s="329"/>
      <c r="BX41" s="329"/>
      <c r="BY41" s="329"/>
      <c r="BZ41" s="329"/>
      <c r="CA41" s="329"/>
      <c r="CB41" s="329"/>
      <c r="CC41" s="329"/>
      <c r="CD41" s="329"/>
      <c r="CE41" s="329"/>
      <c r="CF41" s="329"/>
      <c r="CG41" s="329"/>
      <c r="CH41" s="329"/>
      <c r="CI41" s="329"/>
      <c r="CJ41" s="329"/>
      <c r="CK41" s="329"/>
      <c r="CL41" s="329"/>
      <c r="CM41" s="329"/>
      <c r="CN41" s="329"/>
      <c r="CO41" s="329"/>
      <c r="CP41" s="329"/>
      <c r="CQ41" s="329"/>
      <c r="CR41" s="329"/>
      <c r="CS41" s="329"/>
      <c r="CT41" s="329"/>
      <c r="CU41" s="329"/>
      <c r="CV41" s="329"/>
      <c r="CW41" s="329"/>
      <c r="CX41" s="329"/>
      <c r="CY41" s="329"/>
      <c r="CZ41" s="329">
        <f>'62-салат из моркови'!C20/'62-салат из моркови'!C23*'62-салат из моркови'!C24</f>
        <v>3.0000000000000001E-3</v>
      </c>
      <c r="DA41" s="329"/>
      <c r="DB41" s="329"/>
      <c r="DC41" s="329"/>
      <c r="DD41" s="329"/>
      <c r="DE41" s="329"/>
      <c r="DF41" s="329"/>
      <c r="DG41" s="329"/>
      <c r="DH41" s="329"/>
      <c r="DI41" s="329"/>
      <c r="DJ41" s="329"/>
      <c r="DK41" s="329"/>
      <c r="DL41" s="329"/>
      <c r="DM41" s="329"/>
      <c r="DN41" s="329"/>
      <c r="DO41" s="329"/>
      <c r="DP41" s="329"/>
      <c r="DQ41" s="329"/>
      <c r="DR41" s="329"/>
      <c r="DS41" s="329"/>
      <c r="DT41" s="329"/>
      <c r="DU41" s="329"/>
      <c r="DV41" s="329"/>
      <c r="DW41" s="329"/>
      <c r="DX41" s="330"/>
      <c r="DY41" s="330"/>
      <c r="DZ41" s="330"/>
      <c r="EA41" s="330"/>
      <c r="EB41" s="330"/>
      <c r="EC41" s="330"/>
      <c r="ED41" s="330"/>
      <c r="EE41" s="330"/>
      <c r="EF41" s="330"/>
      <c r="EG41" s="330"/>
      <c r="EH41" s="330"/>
      <c r="EI41" s="330"/>
      <c r="EJ41" s="330"/>
      <c r="EK41" s="330"/>
      <c r="EL41" s="330"/>
      <c r="EM41" s="330"/>
      <c r="EN41" s="330"/>
      <c r="EO41" s="330"/>
      <c r="EP41" s="330"/>
      <c r="EQ41" s="330"/>
      <c r="ER41" s="330"/>
      <c r="ES41" s="330"/>
      <c r="ET41" s="330"/>
      <c r="EU41" s="330"/>
      <c r="EV41" s="330"/>
      <c r="EW41" s="330"/>
      <c r="EX41" s="330"/>
      <c r="EY41" s="1032">
        <f t="shared" si="0"/>
        <v>7.4999999999999997E-2</v>
      </c>
    </row>
    <row r="42" spans="1:166" s="699" customFormat="1" ht="14.7" customHeight="1" x14ac:dyDescent="0.25">
      <c r="A42" s="421">
        <v>38</v>
      </c>
      <c r="B42" s="183" t="str">
        <f>' 65-салат из моркови и яблок'!A9</f>
        <v>Салат из моркови и яблок с яйцом</v>
      </c>
      <c r="C42" s="730">
        <f>' 65-салат из моркови и яблок'!C26</f>
        <v>60</v>
      </c>
      <c r="D42" s="1209">
        <f>17.43/1000*C42</f>
        <v>1.05</v>
      </c>
      <c r="E42" s="1209">
        <f>11.26/1000*C42</f>
        <v>0.68</v>
      </c>
      <c r="F42" s="1209">
        <f>122.47/1000*C42</f>
        <v>7.35</v>
      </c>
      <c r="G42" s="1210">
        <f>661/1000*C42</f>
        <v>40</v>
      </c>
      <c r="H42" s="730">
        <f>' 65-салат из моркови и яблок'!J7</f>
        <v>65</v>
      </c>
      <c r="I42" s="483">
        <f>' 65-салат из моркови и яблок'!F28</f>
        <v>6.28</v>
      </c>
      <c r="J42" s="329"/>
      <c r="K42" s="329"/>
      <c r="L42" s="329"/>
      <c r="M42" s="329"/>
      <c r="N42" s="329"/>
      <c r="O42" s="329"/>
      <c r="P42" s="329"/>
      <c r="Q42" s="329"/>
      <c r="R42" s="329"/>
      <c r="S42" s="329"/>
      <c r="T42" s="329"/>
      <c r="U42" s="329"/>
      <c r="V42" s="329"/>
      <c r="W42" s="329"/>
      <c r="X42" s="329"/>
      <c r="Y42" s="329"/>
      <c r="Z42" s="329"/>
      <c r="AA42" s="329"/>
      <c r="AB42" s="329"/>
      <c r="AC42" s="329"/>
      <c r="AD42" s="329"/>
      <c r="AE42" s="330">
        <f>' 65-салат из моркови и яблок'!C21/' 65-салат из моркови и яблок'!C25*' 65-салат из моркови и яблок'!C26</f>
        <v>5.5199999999999997E-3</v>
      </c>
      <c r="AF42" s="329"/>
      <c r="AG42" s="329"/>
      <c r="AH42" s="329"/>
      <c r="AI42" s="329"/>
      <c r="AJ42" s="329"/>
      <c r="AK42" s="329"/>
      <c r="AL42" s="329"/>
      <c r="AM42" s="329"/>
      <c r="AN42" s="329"/>
      <c r="AO42" s="329"/>
      <c r="AP42" s="329"/>
      <c r="AQ42" s="329">
        <f>' 65-салат из моркови и яблок'!C19/' 65-салат из моркови и яблок'!C25*' 65-салат из моркови и яблок'!C26</f>
        <v>3.3000000000000002E-2</v>
      </c>
      <c r="AR42" s="329"/>
      <c r="AS42" s="329"/>
      <c r="AT42" s="329"/>
      <c r="AU42" s="329"/>
      <c r="AV42" s="329"/>
      <c r="AW42" s="329"/>
      <c r="AX42" s="329"/>
      <c r="AY42" s="329"/>
      <c r="AZ42" s="329"/>
      <c r="BA42" s="329"/>
      <c r="BB42" s="329"/>
      <c r="BC42" s="329"/>
      <c r="BD42" s="329"/>
      <c r="BE42" s="329"/>
      <c r="BF42" s="329"/>
      <c r="BG42" s="329"/>
      <c r="BH42" s="329"/>
      <c r="BI42" s="329"/>
      <c r="BJ42" s="329"/>
      <c r="BK42" s="329"/>
      <c r="BL42" s="329"/>
      <c r="BM42" s="329"/>
      <c r="BN42" s="329"/>
      <c r="BO42" s="329"/>
      <c r="BP42" s="329"/>
      <c r="BQ42" s="329"/>
      <c r="BR42" s="329">
        <f>' 65-салат из моркови и яблок'!C20/' 65-салат из моркови и яблок'!C25*' 65-салат из моркови и яблок'!C26</f>
        <v>3.7679999999999998E-2</v>
      </c>
      <c r="BS42" s="329"/>
      <c r="BT42" s="329"/>
      <c r="BU42" s="329"/>
      <c r="BV42" s="329"/>
      <c r="BW42" s="329"/>
      <c r="BX42" s="329"/>
      <c r="BY42" s="329"/>
      <c r="BZ42" s="329"/>
      <c r="CA42" s="329"/>
      <c r="CB42" s="329"/>
      <c r="CC42" s="329"/>
      <c r="CD42" s="329"/>
      <c r="CE42" s="329"/>
      <c r="CF42" s="329">
        <f>' 65-салат из моркови и яблок'!C22/' 65-салат из моркови и яблок'!C25*' 65-салат из моркови и яблок'!C26</f>
        <v>3.0000000000000001E-3</v>
      </c>
      <c r="CG42" s="329"/>
      <c r="CH42" s="329"/>
      <c r="CI42" s="329"/>
      <c r="CJ42" s="329"/>
      <c r="CK42" s="329"/>
      <c r="CL42" s="329"/>
      <c r="CM42" s="329"/>
      <c r="CN42" s="329"/>
      <c r="CO42" s="329"/>
      <c r="CP42" s="329"/>
      <c r="CQ42" s="329"/>
      <c r="CR42" s="329"/>
      <c r="CS42" s="329"/>
      <c r="CT42" s="329"/>
      <c r="CU42" s="329"/>
      <c r="CV42" s="329"/>
      <c r="CW42" s="329"/>
      <c r="CX42" s="329"/>
      <c r="CY42" s="329"/>
      <c r="CZ42" s="329"/>
      <c r="DA42" s="329"/>
      <c r="DB42" s="329"/>
      <c r="DC42" s="329"/>
      <c r="DD42" s="329"/>
      <c r="DE42" s="329"/>
      <c r="DF42" s="329"/>
      <c r="DG42" s="329"/>
      <c r="DH42" s="329"/>
      <c r="DI42" s="329"/>
      <c r="DJ42" s="329"/>
      <c r="DK42" s="329"/>
      <c r="DL42" s="329"/>
      <c r="DM42" s="329"/>
      <c r="DN42" s="329"/>
      <c r="DO42" s="329"/>
      <c r="DP42" s="329"/>
      <c r="DQ42" s="329"/>
      <c r="DR42" s="329"/>
      <c r="DS42" s="329"/>
      <c r="DT42" s="329"/>
      <c r="DU42" s="329"/>
      <c r="DV42" s="329"/>
      <c r="DW42" s="329"/>
      <c r="DX42" s="330"/>
      <c r="DY42" s="330"/>
      <c r="DZ42" s="330"/>
      <c r="EA42" s="330"/>
      <c r="EB42" s="330"/>
      <c r="EC42" s="330"/>
      <c r="ED42" s="330"/>
      <c r="EE42" s="330"/>
      <c r="EF42" s="330"/>
      <c r="EG42" s="330"/>
      <c r="EH42" s="330"/>
      <c r="EI42" s="330"/>
      <c r="EJ42" s="330"/>
      <c r="EK42" s="330"/>
      <c r="EL42" s="330"/>
      <c r="EM42" s="330"/>
      <c r="EN42" s="330"/>
      <c r="EO42" s="330"/>
      <c r="EP42" s="330"/>
      <c r="EQ42" s="330"/>
      <c r="ER42" s="330"/>
      <c r="ES42" s="330"/>
      <c r="ET42" s="330"/>
      <c r="EU42" s="330"/>
      <c r="EV42" s="330"/>
      <c r="EW42" s="330"/>
      <c r="EX42" s="330"/>
      <c r="EY42" s="1032">
        <f t="shared" si="0"/>
        <v>7.9200000000000007E-2</v>
      </c>
      <c r="EZ42" s="616"/>
      <c r="FA42" s="616"/>
      <c r="FB42" s="616"/>
      <c r="FC42" s="616"/>
      <c r="FD42" s="616"/>
      <c r="FE42" s="616"/>
      <c r="FF42" s="616"/>
      <c r="FG42" s="616"/>
      <c r="FH42" s="616"/>
      <c r="FI42" s="616"/>
      <c r="FJ42" s="616"/>
    </row>
    <row r="43" spans="1:166" ht="14.7" customHeight="1" x14ac:dyDescent="0.25">
      <c r="A43" s="421">
        <v>39</v>
      </c>
      <c r="B43" s="183" t="str">
        <f>'67-винегрет'!A9</f>
        <v>Винегрет овощной (с горошком) с луком зеленым</v>
      </c>
      <c r="C43" s="419">
        <f>'67-винегрет'!C30</f>
        <v>75</v>
      </c>
      <c r="D43" s="1209">
        <f>13.88/1000*C43</f>
        <v>1.04</v>
      </c>
      <c r="E43" s="1209">
        <f>100.2/1000*C43</f>
        <v>7.52</v>
      </c>
      <c r="F43" s="1209">
        <f>65.49/1000*C43</f>
        <v>4.91</v>
      </c>
      <c r="G43" s="1210">
        <f>1220/1000*C43</f>
        <v>92</v>
      </c>
      <c r="H43" s="419">
        <f>'67-винегрет'!J7</f>
        <v>67</v>
      </c>
      <c r="I43" s="483">
        <f>'67-винегрет'!F32</f>
        <v>10</v>
      </c>
      <c r="J43" s="329"/>
      <c r="K43" s="329"/>
      <c r="L43" s="329"/>
      <c r="M43" s="329"/>
      <c r="N43" s="329"/>
      <c r="O43" s="329"/>
      <c r="P43" s="329"/>
      <c r="Q43" s="329"/>
      <c r="R43" s="329"/>
      <c r="S43" s="329"/>
      <c r="T43" s="329"/>
      <c r="U43" s="329"/>
      <c r="V43" s="329"/>
      <c r="W43" s="329"/>
      <c r="X43" s="329"/>
      <c r="Y43" s="329"/>
      <c r="Z43" s="329"/>
      <c r="AA43" s="329"/>
      <c r="AB43" s="329"/>
      <c r="AC43" s="329"/>
      <c r="AD43" s="329"/>
      <c r="AE43" s="330"/>
      <c r="AF43" s="329"/>
      <c r="AG43" s="329"/>
      <c r="AH43" s="329">
        <f>'67-винегрет'!C19/'67-винегрет'!C29*'67-винегрет'!C30</f>
        <v>2.2120000000000001E-2</v>
      </c>
      <c r="AI43" s="329"/>
      <c r="AJ43" s="329"/>
      <c r="AK43" s="329"/>
      <c r="AL43" s="329">
        <f>'67-винегрет'!C24/'67-винегрет'!C29*'67-винегрет'!C30</f>
        <v>1.439E-2</v>
      </c>
      <c r="AM43" s="329"/>
      <c r="AN43" s="329"/>
      <c r="AO43" s="329"/>
      <c r="AP43" s="329"/>
      <c r="AQ43" s="329">
        <f>'67-винегрет'!C21/'67-винегрет'!C29*'67-винегрет'!C30</f>
        <v>9.6399999999999993E-3</v>
      </c>
      <c r="AR43" s="329"/>
      <c r="AS43" s="329"/>
      <c r="AT43" s="329"/>
      <c r="AU43" s="329"/>
      <c r="AV43" s="329"/>
      <c r="AW43" s="329"/>
      <c r="AX43" s="329">
        <f>'67-винегрет'!C20/'67-винегрет'!C29*'67-винегрет'!C30</f>
        <v>1.4619999999999999E-2</v>
      </c>
      <c r="AY43" s="329"/>
      <c r="AZ43" s="329"/>
      <c r="BA43" s="329"/>
      <c r="BB43" s="329"/>
      <c r="BC43" s="329"/>
      <c r="BD43" s="329"/>
      <c r="BE43" s="329"/>
      <c r="BF43" s="329"/>
      <c r="BG43" s="329"/>
      <c r="BH43" s="329"/>
      <c r="BI43" s="329"/>
      <c r="BJ43" s="329"/>
      <c r="BK43" s="329"/>
      <c r="BL43" s="329"/>
      <c r="BM43" s="329"/>
      <c r="BN43" s="329"/>
      <c r="BO43" s="329"/>
      <c r="BP43" s="329"/>
      <c r="BQ43" s="329"/>
      <c r="BR43" s="329"/>
      <c r="BS43" s="329"/>
      <c r="BT43" s="329"/>
      <c r="BU43" s="329"/>
      <c r="BV43" s="329"/>
      <c r="BW43" s="329"/>
      <c r="BX43" s="329"/>
      <c r="BY43" s="329"/>
      <c r="BZ43" s="329"/>
      <c r="CA43" s="329"/>
      <c r="CB43" s="329"/>
      <c r="CC43" s="329"/>
      <c r="CD43" s="329"/>
      <c r="CE43" s="329"/>
      <c r="CF43" s="329">
        <f>'67-винегрет'!C25/'67-винегрет'!C29*'67-винегрет'!C30</f>
        <v>7.6499999999999997E-3</v>
      </c>
      <c r="CG43" s="329"/>
      <c r="CH43" s="329"/>
      <c r="CI43" s="329"/>
      <c r="CJ43" s="329"/>
      <c r="CK43" s="329"/>
      <c r="CL43" s="329"/>
      <c r="CM43" s="329"/>
      <c r="CN43" s="329"/>
      <c r="CO43" s="329"/>
      <c r="CP43" s="329"/>
      <c r="CQ43" s="329"/>
      <c r="CR43" s="329"/>
      <c r="CS43" s="329"/>
      <c r="CT43" s="329">
        <f>'67-винегрет'!C22/'67-винегрет'!C29*'67-винегрет'!C30</f>
        <v>1.439E-2</v>
      </c>
      <c r="CU43" s="329"/>
      <c r="CV43" s="329"/>
      <c r="CW43" s="329"/>
      <c r="CX43" s="329"/>
      <c r="CY43" s="329"/>
      <c r="CZ43" s="329"/>
      <c r="DA43" s="329"/>
      <c r="DB43" s="329"/>
      <c r="DC43" s="329">
        <f>'67-винегрет'!C26/'67-винегрет'!C29*'67-винегрет'!C30</f>
        <v>1.99E-3</v>
      </c>
      <c r="DD43" s="329"/>
      <c r="DE43" s="329"/>
      <c r="DF43" s="329"/>
      <c r="DG43" s="329"/>
      <c r="DH43" s="329"/>
      <c r="DI43" s="329"/>
      <c r="DJ43" s="329"/>
      <c r="DK43" s="329"/>
      <c r="DL43" s="329"/>
      <c r="DM43" s="329"/>
      <c r="DN43" s="329"/>
      <c r="DO43" s="329"/>
      <c r="DP43" s="329"/>
      <c r="DQ43" s="329"/>
      <c r="DR43" s="329"/>
      <c r="DS43" s="329"/>
      <c r="DT43" s="329"/>
      <c r="DU43" s="329">
        <f>'67-винегрет'!C23/'67-винегрет'!C29*'67-винегрет'!C30</f>
        <v>7.6499999999999997E-3</v>
      </c>
      <c r="DV43" s="329"/>
      <c r="DW43" s="329"/>
      <c r="DX43" s="330"/>
      <c r="DY43" s="330"/>
      <c r="DZ43" s="330"/>
      <c r="EA43" s="330"/>
      <c r="EB43" s="330"/>
      <c r="EC43" s="330"/>
      <c r="ED43" s="330"/>
      <c r="EE43" s="330"/>
      <c r="EF43" s="330"/>
      <c r="EG43" s="330"/>
      <c r="EH43" s="330"/>
      <c r="EI43" s="330"/>
      <c r="EJ43" s="330"/>
      <c r="EK43" s="330"/>
      <c r="EL43" s="330"/>
      <c r="EM43" s="330"/>
      <c r="EN43" s="330"/>
      <c r="EO43" s="330"/>
      <c r="EP43" s="330"/>
      <c r="EQ43" s="330"/>
      <c r="ER43" s="330"/>
      <c r="ES43" s="330"/>
      <c r="ET43" s="330"/>
      <c r="EU43" s="330"/>
      <c r="EV43" s="330"/>
      <c r="EW43" s="330"/>
      <c r="EX43" s="330"/>
      <c r="EY43" s="1032">
        <f t="shared" si="0"/>
        <v>9.2450000000000004E-2</v>
      </c>
    </row>
    <row r="44" spans="1:166" ht="14.7" customHeight="1" x14ac:dyDescent="0.25">
      <c r="A44" s="421">
        <v>40</v>
      </c>
      <c r="B44" s="183" t="str">
        <f>'67-винегрет с капустой'!A9</f>
        <v>Винегрет овощной (с капустой) с луком зеленым</v>
      </c>
      <c r="C44" s="419">
        <f>'67-винегрет с капустой'!C30</f>
        <v>75</v>
      </c>
      <c r="D44" s="1209">
        <f>13.88/1000*C44</f>
        <v>1.04</v>
      </c>
      <c r="E44" s="1209">
        <f>100.2/1000*C44</f>
        <v>7.52</v>
      </c>
      <c r="F44" s="1209">
        <f>65.49/1000*C44</f>
        <v>4.91</v>
      </c>
      <c r="G44" s="1210">
        <f>1220/1000*C44</f>
        <v>92</v>
      </c>
      <c r="H44" s="419">
        <f>'67-винегрет с капустой'!J7</f>
        <v>67</v>
      </c>
      <c r="I44" s="483">
        <f>'67-винегрет с капустой'!F32</f>
        <v>10.65</v>
      </c>
      <c r="J44" s="329"/>
      <c r="K44" s="329"/>
      <c r="L44" s="329"/>
      <c r="M44" s="329"/>
      <c r="N44" s="329"/>
      <c r="O44" s="329"/>
      <c r="P44" s="329"/>
      <c r="Q44" s="329"/>
      <c r="R44" s="329"/>
      <c r="S44" s="329"/>
      <c r="T44" s="329"/>
      <c r="U44" s="329"/>
      <c r="V44" s="329"/>
      <c r="W44" s="329"/>
      <c r="X44" s="329"/>
      <c r="Y44" s="329"/>
      <c r="Z44" s="329"/>
      <c r="AA44" s="329"/>
      <c r="AB44" s="329"/>
      <c r="AC44" s="329"/>
      <c r="AD44" s="329"/>
      <c r="AE44" s="330"/>
      <c r="AF44" s="329"/>
      <c r="AG44" s="329"/>
      <c r="AH44" s="329">
        <f>'67-винегрет с капустой'!C19/'67-винегрет с капустой'!C29*'67-винегрет с капустой'!C30</f>
        <v>2.1680000000000001E-2</v>
      </c>
      <c r="AI44" s="329"/>
      <c r="AJ44" s="329"/>
      <c r="AK44" s="329"/>
      <c r="AL44" s="329">
        <f>'67-винегрет с капустой'!C24/'67-винегрет с капустой'!C29*'67-винегрет с капустой'!C30</f>
        <v>1.41E-2</v>
      </c>
      <c r="AM44" s="329"/>
      <c r="AN44" s="329"/>
      <c r="AO44" s="329"/>
      <c r="AP44" s="329"/>
      <c r="AQ44" s="329">
        <f>'67-винегрет с капустой'!C21/'67-винегрет с капустой'!C29*'67-винегрет с капустой'!C30</f>
        <v>9.4500000000000001E-3</v>
      </c>
      <c r="AR44" s="329"/>
      <c r="AS44" s="329"/>
      <c r="AT44" s="329"/>
      <c r="AU44" s="329"/>
      <c r="AV44" s="329"/>
      <c r="AW44" s="329"/>
      <c r="AX44" s="329">
        <f>'67-винегрет с капустой'!C20/'67-винегрет с капустой'!C29*'67-винегрет с капустой'!C30</f>
        <v>1.4330000000000001E-2</v>
      </c>
      <c r="AY44" s="329"/>
      <c r="AZ44" s="329"/>
      <c r="BA44" s="329"/>
      <c r="BB44" s="329"/>
      <c r="BC44" s="329"/>
      <c r="BD44" s="329"/>
      <c r="BE44" s="329"/>
      <c r="BF44" s="329"/>
      <c r="BG44" s="329"/>
      <c r="BH44" s="329"/>
      <c r="BI44" s="329"/>
      <c r="BJ44" s="329"/>
      <c r="BK44" s="329"/>
      <c r="BL44" s="329"/>
      <c r="BM44" s="329"/>
      <c r="BN44" s="329"/>
      <c r="BO44" s="329"/>
      <c r="BP44" s="329"/>
      <c r="BQ44" s="329"/>
      <c r="BR44" s="329"/>
      <c r="BS44" s="329"/>
      <c r="BT44" s="329"/>
      <c r="BU44" s="329"/>
      <c r="BV44" s="329"/>
      <c r="BW44" s="329"/>
      <c r="BX44" s="329"/>
      <c r="BY44" s="329"/>
      <c r="BZ44" s="329"/>
      <c r="CA44" s="329"/>
      <c r="CB44" s="329"/>
      <c r="CC44" s="329"/>
      <c r="CD44" s="329"/>
      <c r="CE44" s="329"/>
      <c r="CF44" s="329">
        <f>'67-винегрет с капустой'!C25/'67-винегрет с капустой'!C29*'67-винегрет с капустой'!C30</f>
        <v>7.4999999999999997E-3</v>
      </c>
      <c r="CG44" s="329"/>
      <c r="CH44" s="329"/>
      <c r="CI44" s="329"/>
      <c r="CJ44" s="329"/>
      <c r="CK44" s="329"/>
      <c r="CL44" s="329"/>
      <c r="CM44" s="329"/>
      <c r="CN44" s="329"/>
      <c r="CO44" s="329"/>
      <c r="CP44" s="329"/>
      <c r="CQ44" s="329"/>
      <c r="CR44" s="329"/>
      <c r="CS44" s="329"/>
      <c r="CT44" s="329">
        <f>'67-винегрет с капустой'!C22/'67-винегрет с капустой'!C29*'67-винегрет с капустой'!C30</f>
        <v>1.41E-2</v>
      </c>
      <c r="CU44" s="329"/>
      <c r="CV44" s="329">
        <f>'67-винегрет с капустой'!C23/'67-винегрет с капустой'!C29*'67-винегрет с капустой'!C30</f>
        <v>1.6049999999999998E-2</v>
      </c>
      <c r="CW44" s="329"/>
      <c r="CX44" s="329"/>
      <c r="CY44" s="329"/>
      <c r="CZ44" s="329"/>
      <c r="DA44" s="329"/>
      <c r="DB44" s="329"/>
      <c r="DC44" s="329">
        <f>'67-винегрет с капустой'!C26/'67-винегрет с капустой'!C29*'67-винегрет с капустой'!C30</f>
        <v>2.0300000000000001E-3</v>
      </c>
      <c r="DD44" s="329"/>
      <c r="DE44" s="329"/>
      <c r="DF44" s="329"/>
      <c r="DG44" s="329"/>
      <c r="DH44" s="329"/>
      <c r="DI44" s="329"/>
      <c r="DJ44" s="329"/>
      <c r="DK44" s="329"/>
      <c r="DL44" s="329"/>
      <c r="DM44" s="329"/>
      <c r="DN44" s="329"/>
      <c r="DO44" s="329"/>
      <c r="DP44" s="329"/>
      <c r="DQ44" s="329"/>
      <c r="DR44" s="329"/>
      <c r="DS44" s="329"/>
      <c r="DT44" s="329"/>
      <c r="DU44" s="329"/>
      <c r="DV44" s="329"/>
      <c r="DW44" s="329"/>
      <c r="DX44" s="330"/>
      <c r="DY44" s="330"/>
      <c r="DZ44" s="330"/>
      <c r="EA44" s="330"/>
      <c r="EB44" s="330"/>
      <c r="EC44" s="330"/>
      <c r="ED44" s="330"/>
      <c r="EE44" s="330"/>
      <c r="EF44" s="330"/>
      <c r="EG44" s="330"/>
      <c r="EH44" s="330"/>
      <c r="EI44" s="330"/>
      <c r="EJ44" s="330"/>
      <c r="EK44" s="330"/>
      <c r="EL44" s="330"/>
      <c r="EM44" s="330"/>
      <c r="EN44" s="330"/>
      <c r="EO44" s="330"/>
      <c r="EP44" s="330"/>
      <c r="EQ44" s="330"/>
      <c r="ER44" s="330"/>
      <c r="ES44" s="330"/>
      <c r="ET44" s="330"/>
      <c r="EU44" s="330"/>
      <c r="EV44" s="330"/>
      <c r="EW44" s="330"/>
      <c r="EX44" s="330"/>
      <c r="EY44" s="1032">
        <f t="shared" si="0"/>
        <v>9.9239999999999995E-2</v>
      </c>
    </row>
    <row r="45" spans="1:166" ht="14.7" customHeight="1" x14ac:dyDescent="0.25">
      <c r="A45" s="421">
        <v>41</v>
      </c>
      <c r="B45" s="183" t="str">
        <f>'68-винегрет с фасолью'!A9</f>
        <v>Винегрет овощной с фасолью</v>
      </c>
      <c r="C45" s="419">
        <f>'68-винегрет с фасолью'!C24</f>
        <v>75</v>
      </c>
      <c r="D45" s="1209">
        <f>17.17/1000*C45</f>
        <v>1.29</v>
      </c>
      <c r="E45" s="1209">
        <f>71.34/1000*C45</f>
        <v>5.35</v>
      </c>
      <c r="F45" s="1209">
        <f>54.93/1000*C45</f>
        <v>4.12</v>
      </c>
      <c r="G45" s="1210">
        <f>930/1000*C45</f>
        <v>70</v>
      </c>
      <c r="H45" s="419">
        <f>'68-винегрет с фасолью'!J7</f>
        <v>68</v>
      </c>
      <c r="I45" s="483">
        <f>'68-винегрет с фасолью'!F26</f>
        <v>13.08</v>
      </c>
      <c r="J45" s="329"/>
      <c r="K45" s="329"/>
      <c r="L45" s="329"/>
      <c r="M45" s="329"/>
      <c r="N45" s="329"/>
      <c r="O45" s="329"/>
      <c r="P45" s="329"/>
      <c r="Q45" s="329"/>
      <c r="R45" s="329"/>
      <c r="S45" s="329"/>
      <c r="T45" s="329"/>
      <c r="U45" s="329"/>
      <c r="V45" s="329"/>
      <c r="W45" s="329"/>
      <c r="X45" s="329"/>
      <c r="Y45" s="329"/>
      <c r="Z45" s="329"/>
      <c r="AA45" s="329"/>
      <c r="AB45" s="329"/>
      <c r="AC45" s="329"/>
      <c r="AD45" s="329"/>
      <c r="AE45" s="330"/>
      <c r="AF45" s="329"/>
      <c r="AG45" s="329"/>
      <c r="AH45" s="329">
        <f>'67-винегрет с капустой'!C19/'67-винегрет с капустой'!C29*'68-винегрет с фасолью'!C19*1000/'68-винегрет с фасолью'!C23*'68-винегрет с фасолью'!C24</f>
        <v>1.5389999999999999E-2</v>
      </c>
      <c r="AI45" s="329"/>
      <c r="AJ45" s="329"/>
      <c r="AK45" s="329"/>
      <c r="AL45" s="329">
        <f>'67-винегрет с капустой'!C24/'67-винегрет с капустой'!C29*'68-винегрет с фасолью'!C19*1000/'68-винегрет с фасолью'!C23*'68-винегрет с фасолью'!C24</f>
        <v>1.001E-2</v>
      </c>
      <c r="AM45" s="329"/>
      <c r="AN45" s="329"/>
      <c r="AO45" s="329"/>
      <c r="AP45" s="329"/>
      <c r="AQ45" s="329">
        <f>'67-винегрет с капустой'!C21/'67-винегрет с капустой'!C29*'68-винегрет с фасолью'!C19*1000/'68-винегрет с фасолью'!C23*'68-винегрет с фасолью'!C24</f>
        <v>6.7099999999999998E-3</v>
      </c>
      <c r="AR45" s="329"/>
      <c r="AS45" s="329"/>
      <c r="AT45" s="329"/>
      <c r="AU45" s="329"/>
      <c r="AV45" s="329"/>
      <c r="AW45" s="329"/>
      <c r="AX45" s="329">
        <f>'67-винегрет с капустой'!C20/'67-винегрет с капустой'!C29*'68-винегрет с фасолью'!C19*1000/'68-винегрет с фасолью'!C23*'68-винегрет с фасолью'!C24</f>
        <v>1.017E-2</v>
      </c>
      <c r="AY45" s="329"/>
      <c r="AZ45" s="329"/>
      <c r="BA45" s="329"/>
      <c r="BB45" s="329"/>
      <c r="BC45" s="329"/>
      <c r="BD45" s="329"/>
      <c r="BE45" s="329"/>
      <c r="BF45" s="329"/>
      <c r="BG45" s="329"/>
      <c r="BH45" s="329"/>
      <c r="BI45" s="329"/>
      <c r="BJ45" s="329"/>
      <c r="BK45" s="329"/>
      <c r="BL45" s="329"/>
      <c r="BM45" s="329"/>
      <c r="BN45" s="329"/>
      <c r="BO45" s="329"/>
      <c r="BP45" s="329"/>
      <c r="BQ45" s="329"/>
      <c r="BR45" s="329"/>
      <c r="BS45" s="329"/>
      <c r="BT45" s="329"/>
      <c r="BU45" s="329"/>
      <c r="BV45" s="329"/>
      <c r="BW45" s="329"/>
      <c r="BX45" s="329"/>
      <c r="BY45" s="329"/>
      <c r="BZ45" s="329"/>
      <c r="CA45" s="329"/>
      <c r="CB45" s="329"/>
      <c r="CC45" s="329"/>
      <c r="CD45" s="329"/>
      <c r="CE45" s="329"/>
      <c r="CF45" s="329">
        <f>'67-винегрет с капустой'!C25/'67-винегрет с капустой'!C29*'68-винегрет с фасолью'!C19*1000/'68-винегрет с фасолью'!C23*'68-винегрет с фасолью'!C24</f>
        <v>5.3299999999999997E-3</v>
      </c>
      <c r="CG45" s="329"/>
      <c r="CH45" s="329"/>
      <c r="CI45" s="329"/>
      <c r="CJ45" s="329"/>
      <c r="CK45" s="329"/>
      <c r="CL45" s="329"/>
      <c r="CM45" s="329"/>
      <c r="CN45" s="329"/>
      <c r="CO45" s="329"/>
      <c r="CP45" s="329"/>
      <c r="CQ45" s="329"/>
      <c r="CR45" s="329"/>
      <c r="CS45" s="329"/>
      <c r="CT45" s="329">
        <f>'67-винегрет с капустой'!C22/'67-винегрет с капустой'!C29*'68-винегрет с фасолью'!C19*1000/'68-винегрет с фасолью'!C23*'68-винегрет с фасолью'!C24</f>
        <v>1.001E-2</v>
      </c>
      <c r="CU45" s="329"/>
      <c r="CV45" s="329">
        <f>'67-винегрет с капустой'!C23/'67-винегрет с капустой'!C29*'68-винегрет с фасолью'!C19*1000/'68-винегрет с фасолью'!C23*'68-винегрет с фасолью'!C24</f>
        <v>1.14E-2</v>
      </c>
      <c r="CW45" s="329"/>
      <c r="CX45" s="329"/>
      <c r="CY45" s="329"/>
      <c r="CZ45" s="329"/>
      <c r="DA45" s="329"/>
      <c r="DB45" s="329"/>
      <c r="DC45" s="329">
        <f>'67-винегрет с капустой'!C26/'67-винегрет с капустой'!C29*'68-винегрет с фасолью'!C19*1000/'68-винегрет с фасолью'!C23*'68-винегрет с фасолью'!C24</f>
        <v>1.4400000000000001E-3</v>
      </c>
      <c r="DD45" s="329"/>
      <c r="DE45" s="329"/>
      <c r="DF45" s="329"/>
      <c r="DG45" s="329"/>
      <c r="DH45" s="329"/>
      <c r="DI45" s="329"/>
      <c r="DJ45" s="329"/>
      <c r="DK45" s="329"/>
      <c r="DL45" s="329"/>
      <c r="DM45" s="329"/>
      <c r="DN45" s="329"/>
      <c r="DO45" s="329"/>
      <c r="DP45" s="329"/>
      <c r="DQ45" s="329"/>
      <c r="DR45" s="329"/>
      <c r="DS45" s="329"/>
      <c r="DT45" s="329"/>
      <c r="DU45" s="329"/>
      <c r="DV45" s="329">
        <f>'68-винегрет с фасолью'!C20/'68-винегрет с фасолью'!C23*'68-винегрет с фасолью'!C24</f>
        <v>3.7499999999999999E-2</v>
      </c>
      <c r="DW45" s="329"/>
      <c r="DX45" s="330"/>
      <c r="DY45" s="330"/>
      <c r="DZ45" s="330"/>
      <c r="EA45" s="330"/>
      <c r="EB45" s="330"/>
      <c r="EC45" s="330"/>
      <c r="ED45" s="330"/>
      <c r="EE45" s="330"/>
      <c r="EF45" s="330"/>
      <c r="EG45" s="330"/>
      <c r="EH45" s="330"/>
      <c r="EI45" s="330"/>
      <c r="EJ45" s="330"/>
      <c r="EK45" s="330"/>
      <c r="EL45" s="330"/>
      <c r="EM45" s="330"/>
      <c r="EN45" s="330"/>
      <c r="EO45" s="330"/>
      <c r="EP45" s="330"/>
      <c r="EQ45" s="330"/>
      <c r="ER45" s="330"/>
      <c r="ES45" s="330"/>
      <c r="ET45" s="330"/>
      <c r="EU45" s="330"/>
      <c r="EV45" s="330"/>
      <c r="EW45" s="330"/>
      <c r="EX45" s="330"/>
      <c r="EY45" s="1032">
        <f t="shared" si="0"/>
        <v>0.10796</v>
      </c>
    </row>
    <row r="46" spans="1:166" ht="14.7" customHeight="1" x14ac:dyDescent="0.25">
      <c r="A46" s="421">
        <v>42</v>
      </c>
      <c r="B46" s="183" t="str">
        <f>'70-помидоры сол.'!A9</f>
        <v>Овощи натуральные соленые (помидоры)</v>
      </c>
      <c r="C46" s="419">
        <f>'70-помидоры сол.'!C23</f>
        <v>50</v>
      </c>
      <c r="D46" s="1209">
        <f>1.12/100*C46</f>
        <v>0.56000000000000005</v>
      </c>
      <c r="E46" s="1209">
        <f>0.1/100*C46</f>
        <v>0.05</v>
      </c>
      <c r="F46" s="1209">
        <f>3.5/100*C46</f>
        <v>1.75</v>
      </c>
      <c r="G46" s="1210">
        <f>20/100*C46</f>
        <v>10</v>
      </c>
      <c r="H46" s="419">
        <f>'70-помидоры сол.'!J7</f>
        <v>70</v>
      </c>
      <c r="I46" s="483">
        <f>'70-помидоры сол.'!F25</f>
        <v>6.6</v>
      </c>
      <c r="J46" s="329"/>
      <c r="K46" s="329"/>
      <c r="L46" s="329"/>
      <c r="M46" s="329"/>
      <c r="N46" s="329"/>
      <c r="O46" s="329"/>
      <c r="P46" s="329"/>
      <c r="Q46" s="329"/>
      <c r="R46" s="329"/>
      <c r="S46" s="329"/>
      <c r="T46" s="329"/>
      <c r="U46" s="329"/>
      <c r="V46" s="329"/>
      <c r="W46" s="329"/>
      <c r="X46" s="329"/>
      <c r="Y46" s="329"/>
      <c r="Z46" s="329"/>
      <c r="AA46" s="329"/>
      <c r="AB46" s="329"/>
      <c r="AC46" s="329"/>
      <c r="AD46" s="329"/>
      <c r="AE46" s="330"/>
      <c r="AF46" s="329"/>
      <c r="AG46" s="329"/>
      <c r="AH46" s="329"/>
      <c r="AI46" s="329"/>
      <c r="AJ46" s="329"/>
      <c r="AK46" s="329"/>
      <c r="AL46" s="329"/>
      <c r="AM46" s="329"/>
      <c r="AN46" s="329"/>
      <c r="AO46" s="329"/>
      <c r="AP46" s="329"/>
      <c r="AQ46" s="329"/>
      <c r="AR46" s="329"/>
      <c r="AS46" s="329"/>
      <c r="AT46" s="329"/>
      <c r="AU46" s="329"/>
      <c r="AV46" s="329"/>
      <c r="AW46" s="329"/>
      <c r="AX46" s="329"/>
      <c r="AY46" s="329"/>
      <c r="AZ46" s="329"/>
      <c r="BA46" s="329"/>
      <c r="BB46" s="329"/>
      <c r="BC46" s="329"/>
      <c r="BD46" s="329"/>
      <c r="BE46" s="329"/>
      <c r="BF46" s="329"/>
      <c r="BG46" s="329"/>
      <c r="BH46" s="329"/>
      <c r="BI46" s="329"/>
      <c r="BJ46" s="329"/>
      <c r="BK46" s="329"/>
      <c r="BL46" s="329"/>
      <c r="BM46" s="329"/>
      <c r="BN46" s="329"/>
      <c r="BO46" s="329"/>
      <c r="BP46" s="329"/>
      <c r="BQ46" s="329"/>
      <c r="BR46" s="329"/>
      <c r="BS46" s="329"/>
      <c r="BT46" s="329"/>
      <c r="BU46" s="329"/>
      <c r="BV46" s="329"/>
      <c r="BW46" s="329"/>
      <c r="BX46" s="329"/>
      <c r="BY46" s="329"/>
      <c r="BZ46" s="329"/>
      <c r="CA46" s="329"/>
      <c r="CB46" s="329"/>
      <c r="CC46" s="329"/>
      <c r="CD46" s="329"/>
      <c r="CE46" s="329"/>
      <c r="CF46" s="329"/>
      <c r="CG46" s="329"/>
      <c r="CH46" s="329"/>
      <c r="CI46" s="329"/>
      <c r="CJ46" s="329"/>
      <c r="CK46" s="329"/>
      <c r="CL46" s="329"/>
      <c r="CM46" s="329"/>
      <c r="CN46" s="329"/>
      <c r="CO46" s="329"/>
      <c r="CP46" s="329"/>
      <c r="CQ46" s="329"/>
      <c r="CR46" s="329"/>
      <c r="CS46" s="329"/>
      <c r="CT46" s="329"/>
      <c r="CU46" s="329">
        <f>'70-помидоры сол.'!C19</f>
        <v>5.5E-2</v>
      </c>
      <c r="CV46" s="329"/>
      <c r="CW46" s="329"/>
      <c r="CX46" s="329"/>
      <c r="CY46" s="329"/>
      <c r="CZ46" s="329"/>
      <c r="DA46" s="329"/>
      <c r="DB46" s="329"/>
      <c r="DC46" s="329"/>
      <c r="DD46" s="329"/>
      <c r="DE46" s="329"/>
      <c r="DF46" s="329"/>
      <c r="DG46" s="329"/>
      <c r="DH46" s="329"/>
      <c r="DI46" s="329"/>
      <c r="DJ46" s="329"/>
      <c r="DK46" s="329"/>
      <c r="DL46" s="329"/>
      <c r="DM46" s="329"/>
      <c r="DN46" s="329"/>
      <c r="DO46" s="329"/>
      <c r="DP46" s="329"/>
      <c r="DQ46" s="329"/>
      <c r="DR46" s="329"/>
      <c r="DS46" s="329"/>
      <c r="DT46" s="329"/>
      <c r="DU46" s="329"/>
      <c r="DV46" s="329"/>
      <c r="DW46" s="329"/>
      <c r="DX46" s="330"/>
      <c r="DY46" s="330"/>
      <c r="DZ46" s="330"/>
      <c r="EA46" s="330"/>
      <c r="EB46" s="330"/>
      <c r="EC46" s="330"/>
      <c r="ED46" s="330"/>
      <c r="EE46" s="330"/>
      <c r="EF46" s="330"/>
      <c r="EG46" s="330"/>
      <c r="EH46" s="330"/>
      <c r="EI46" s="330"/>
      <c r="EJ46" s="330"/>
      <c r="EK46" s="330"/>
      <c r="EL46" s="330"/>
      <c r="EM46" s="330"/>
      <c r="EN46" s="330"/>
      <c r="EO46" s="330"/>
      <c r="EP46" s="330"/>
      <c r="EQ46" s="330"/>
      <c r="ER46" s="330"/>
      <c r="ES46" s="330"/>
      <c r="ET46" s="330"/>
      <c r="EU46" s="330"/>
      <c r="EV46" s="330"/>
      <c r="EW46" s="330"/>
      <c r="EX46" s="330"/>
      <c r="EY46" s="1032">
        <f t="shared" si="0"/>
        <v>5.5E-2</v>
      </c>
    </row>
    <row r="47" spans="1:166" ht="14.7" customHeight="1" x14ac:dyDescent="0.25">
      <c r="A47" s="421">
        <v>43</v>
      </c>
      <c r="B47" s="183" t="str">
        <f>'70-огурцы сол.'!A9</f>
        <v>Овощи натуральные соленые (огурцы)</v>
      </c>
      <c r="C47" s="419">
        <f>'70-огурцы сол.'!C23</f>
        <v>50</v>
      </c>
      <c r="D47" s="1209">
        <f>0.4/50*C47</f>
        <v>0.4</v>
      </c>
      <c r="E47" s="1209">
        <f>0.05/50*C47</f>
        <v>0.05</v>
      </c>
      <c r="F47" s="1209">
        <f>0.85/50*C47</f>
        <v>0.85</v>
      </c>
      <c r="G47" s="1210">
        <f>5/50*C47</f>
        <v>5</v>
      </c>
      <c r="H47" s="419">
        <f>'70-огурцы сол.'!J7</f>
        <v>70</v>
      </c>
      <c r="I47" s="483">
        <f>'70-огурцы сол.'!F25</f>
        <v>6.6</v>
      </c>
      <c r="J47" s="329"/>
      <c r="K47" s="329"/>
      <c r="L47" s="329"/>
      <c r="M47" s="329"/>
      <c r="N47" s="329"/>
      <c r="O47" s="329"/>
      <c r="P47" s="329"/>
      <c r="Q47" s="329"/>
      <c r="R47" s="329"/>
      <c r="S47" s="329"/>
      <c r="T47" s="329"/>
      <c r="U47" s="329"/>
      <c r="V47" s="329"/>
      <c r="W47" s="329"/>
      <c r="X47" s="329"/>
      <c r="Y47" s="329"/>
      <c r="Z47" s="329"/>
      <c r="AA47" s="329"/>
      <c r="AB47" s="329"/>
      <c r="AC47" s="329"/>
      <c r="AD47" s="329"/>
      <c r="AE47" s="330"/>
      <c r="AF47" s="329"/>
      <c r="AG47" s="329"/>
      <c r="AH47" s="329"/>
      <c r="AI47" s="329"/>
      <c r="AJ47" s="329"/>
      <c r="AK47" s="329"/>
      <c r="AL47" s="329"/>
      <c r="AM47" s="329"/>
      <c r="AN47" s="329"/>
      <c r="AO47" s="329"/>
      <c r="AP47" s="329"/>
      <c r="AQ47" s="329"/>
      <c r="AR47" s="329"/>
      <c r="AS47" s="329"/>
      <c r="AT47" s="329"/>
      <c r="AU47" s="329"/>
      <c r="AV47" s="329"/>
      <c r="AW47" s="329"/>
      <c r="AX47" s="329"/>
      <c r="AY47" s="329"/>
      <c r="AZ47" s="329"/>
      <c r="BA47" s="329"/>
      <c r="BB47" s="329"/>
      <c r="BC47" s="329"/>
      <c r="BD47" s="329"/>
      <c r="BE47" s="329"/>
      <c r="BF47" s="329"/>
      <c r="BG47" s="329"/>
      <c r="BH47" s="329"/>
      <c r="BI47" s="329"/>
      <c r="BJ47" s="329"/>
      <c r="BK47" s="329"/>
      <c r="BL47" s="329"/>
      <c r="BM47" s="329"/>
      <c r="BN47" s="329"/>
      <c r="BO47" s="329"/>
      <c r="BP47" s="329"/>
      <c r="BQ47" s="329"/>
      <c r="BR47" s="329"/>
      <c r="BS47" s="329"/>
      <c r="BT47" s="329"/>
      <c r="BU47" s="329"/>
      <c r="BV47" s="329"/>
      <c r="BW47" s="329"/>
      <c r="BX47" s="329"/>
      <c r="BY47" s="329"/>
      <c r="BZ47" s="329"/>
      <c r="CA47" s="329"/>
      <c r="CB47" s="329"/>
      <c r="CC47" s="329"/>
      <c r="CD47" s="329"/>
      <c r="CE47" s="329"/>
      <c r="CF47" s="329"/>
      <c r="CG47" s="329"/>
      <c r="CH47" s="329"/>
      <c r="CI47" s="329"/>
      <c r="CJ47" s="329"/>
      <c r="CK47" s="329"/>
      <c r="CL47" s="329"/>
      <c r="CM47" s="329"/>
      <c r="CN47" s="329"/>
      <c r="CO47" s="329"/>
      <c r="CP47" s="329"/>
      <c r="CQ47" s="329"/>
      <c r="CR47" s="329"/>
      <c r="CS47" s="329"/>
      <c r="CT47" s="329">
        <f>'70-огурцы сол.'!C19</f>
        <v>5.5E-2</v>
      </c>
      <c r="CU47" s="329"/>
      <c r="CV47" s="329"/>
      <c r="CW47" s="329"/>
      <c r="CX47" s="329"/>
      <c r="CY47" s="329"/>
      <c r="CZ47" s="329"/>
      <c r="DA47" s="329"/>
      <c r="DB47" s="329"/>
      <c r="DC47" s="329"/>
      <c r="DD47" s="329"/>
      <c r="DE47" s="329"/>
      <c r="DF47" s="329"/>
      <c r="DG47" s="329"/>
      <c r="DH47" s="329"/>
      <c r="DI47" s="329"/>
      <c r="DJ47" s="329"/>
      <c r="DK47" s="329"/>
      <c r="DL47" s="329"/>
      <c r="DM47" s="329"/>
      <c r="DN47" s="329"/>
      <c r="DO47" s="329"/>
      <c r="DP47" s="329"/>
      <c r="DQ47" s="329"/>
      <c r="DR47" s="329"/>
      <c r="DS47" s="329"/>
      <c r="DT47" s="329"/>
      <c r="DU47" s="329"/>
      <c r="DV47" s="329"/>
      <c r="DW47" s="329"/>
      <c r="DX47" s="330"/>
      <c r="DY47" s="330"/>
      <c r="DZ47" s="330"/>
      <c r="EA47" s="330"/>
      <c r="EB47" s="330"/>
      <c r="EC47" s="330"/>
      <c r="ED47" s="330"/>
      <c r="EE47" s="330"/>
      <c r="EF47" s="330"/>
      <c r="EG47" s="330"/>
      <c r="EH47" s="330"/>
      <c r="EI47" s="330"/>
      <c r="EJ47" s="330"/>
      <c r="EK47" s="330"/>
      <c r="EL47" s="330"/>
      <c r="EM47" s="330"/>
      <c r="EN47" s="330"/>
      <c r="EO47" s="330"/>
      <c r="EP47" s="330"/>
      <c r="EQ47" s="330"/>
      <c r="ER47" s="330"/>
      <c r="ES47" s="330"/>
      <c r="ET47" s="330"/>
      <c r="EU47" s="330"/>
      <c r="EV47" s="330"/>
      <c r="EW47" s="330"/>
      <c r="EX47" s="330"/>
      <c r="EY47" s="1032">
        <f t="shared" si="0"/>
        <v>5.5E-2</v>
      </c>
    </row>
    <row r="48" spans="1:166" ht="14.7" customHeight="1" x14ac:dyDescent="0.25">
      <c r="A48" s="421">
        <v>44</v>
      </c>
      <c r="B48" s="183" t="str">
        <f>'71-помидоры'!A9</f>
        <v>Овощи натуральные свежие (помидоры)</v>
      </c>
      <c r="C48" s="419">
        <f>'71-помидоры'!C23</f>
        <v>60</v>
      </c>
      <c r="D48" s="1209">
        <f>0.55/50*C48</f>
        <v>0.66</v>
      </c>
      <c r="E48" s="1209">
        <f>0.1/50*C48</f>
        <v>0.12</v>
      </c>
      <c r="F48" s="1209">
        <f>1.9/50*C48</f>
        <v>2.2799999999999998</v>
      </c>
      <c r="G48" s="1210">
        <f>11/50*C48</f>
        <v>13</v>
      </c>
      <c r="H48" s="419">
        <f>'71-помидоры'!J7</f>
        <v>71</v>
      </c>
      <c r="I48" s="483">
        <f>'71-помидоры'!F25</f>
        <v>7.53</v>
      </c>
      <c r="J48" s="329"/>
      <c r="K48" s="329"/>
      <c r="L48" s="329"/>
      <c r="M48" s="329"/>
      <c r="N48" s="329"/>
      <c r="O48" s="329"/>
      <c r="P48" s="329"/>
      <c r="Q48" s="329"/>
      <c r="R48" s="329"/>
      <c r="S48" s="329"/>
      <c r="T48" s="329"/>
      <c r="U48" s="329"/>
      <c r="V48" s="329"/>
      <c r="W48" s="329"/>
      <c r="X48" s="329"/>
      <c r="Y48" s="329"/>
      <c r="Z48" s="329"/>
      <c r="AA48" s="329"/>
      <c r="AB48" s="329"/>
      <c r="AC48" s="329"/>
      <c r="AD48" s="329"/>
      <c r="AE48" s="330"/>
      <c r="AF48" s="329"/>
      <c r="AG48" s="329"/>
      <c r="AH48" s="329"/>
      <c r="AI48" s="329"/>
      <c r="AJ48" s="329"/>
      <c r="AK48" s="329"/>
      <c r="AL48" s="329"/>
      <c r="AM48" s="329"/>
      <c r="AN48" s="329">
        <f>'71-помидоры'!C19</f>
        <v>7.0999999999999994E-2</v>
      </c>
      <c r="AO48" s="329"/>
      <c r="AP48" s="329"/>
      <c r="AQ48" s="329"/>
      <c r="AR48" s="329"/>
      <c r="AS48" s="329"/>
      <c r="AT48" s="329"/>
      <c r="AU48" s="329"/>
      <c r="AV48" s="329"/>
      <c r="AW48" s="329"/>
      <c r="AX48" s="329"/>
      <c r="AY48" s="329"/>
      <c r="AZ48" s="329"/>
      <c r="BA48" s="329"/>
      <c r="BB48" s="329"/>
      <c r="BC48" s="329"/>
      <c r="BD48" s="329"/>
      <c r="BE48" s="329"/>
      <c r="BF48" s="329"/>
      <c r="BG48" s="329"/>
      <c r="BH48" s="329"/>
      <c r="BI48" s="329"/>
      <c r="BJ48" s="329"/>
      <c r="BK48" s="329"/>
      <c r="BL48" s="329"/>
      <c r="BM48" s="329"/>
      <c r="BN48" s="329"/>
      <c r="BO48" s="329"/>
      <c r="BP48" s="329"/>
      <c r="BQ48" s="329"/>
      <c r="BR48" s="329"/>
      <c r="BS48" s="329"/>
      <c r="BT48" s="329"/>
      <c r="BU48" s="329"/>
      <c r="BV48" s="329"/>
      <c r="BW48" s="329"/>
      <c r="BX48" s="329"/>
      <c r="BY48" s="329"/>
      <c r="BZ48" s="329"/>
      <c r="CA48" s="329"/>
      <c r="CB48" s="329"/>
      <c r="CC48" s="329"/>
      <c r="CD48" s="329"/>
      <c r="CE48" s="329"/>
      <c r="CF48" s="329"/>
      <c r="CG48" s="329"/>
      <c r="CH48" s="329"/>
      <c r="CI48" s="329"/>
      <c r="CJ48" s="329"/>
      <c r="CK48" s="329"/>
      <c r="CL48" s="329"/>
      <c r="CM48" s="329"/>
      <c r="CN48" s="329"/>
      <c r="CO48" s="329"/>
      <c r="CP48" s="329"/>
      <c r="CQ48" s="329"/>
      <c r="CR48" s="329"/>
      <c r="CS48" s="329"/>
      <c r="CT48" s="329"/>
      <c r="CU48" s="329"/>
      <c r="CV48" s="329"/>
      <c r="CW48" s="329"/>
      <c r="CX48" s="329"/>
      <c r="CY48" s="329"/>
      <c r="CZ48" s="329"/>
      <c r="DA48" s="329"/>
      <c r="DB48" s="329"/>
      <c r="DC48" s="329"/>
      <c r="DD48" s="329"/>
      <c r="DE48" s="329"/>
      <c r="DF48" s="329"/>
      <c r="DG48" s="329"/>
      <c r="DH48" s="329"/>
      <c r="DI48" s="329"/>
      <c r="DJ48" s="329"/>
      <c r="DK48" s="329"/>
      <c r="DL48" s="329"/>
      <c r="DM48" s="329"/>
      <c r="DN48" s="329"/>
      <c r="DO48" s="329"/>
      <c r="DP48" s="329"/>
      <c r="DQ48" s="329"/>
      <c r="DR48" s="329"/>
      <c r="DS48" s="329"/>
      <c r="DT48" s="329"/>
      <c r="DU48" s="329"/>
      <c r="DV48" s="329"/>
      <c r="DW48" s="329"/>
      <c r="DX48" s="330"/>
      <c r="DY48" s="330"/>
      <c r="DZ48" s="330"/>
      <c r="EA48" s="330"/>
      <c r="EB48" s="330"/>
      <c r="EC48" s="330"/>
      <c r="ED48" s="330"/>
      <c r="EE48" s="330"/>
      <c r="EF48" s="330"/>
      <c r="EG48" s="330"/>
      <c r="EH48" s="330"/>
      <c r="EI48" s="330"/>
      <c r="EJ48" s="330"/>
      <c r="EK48" s="330"/>
      <c r="EL48" s="330"/>
      <c r="EM48" s="330"/>
      <c r="EN48" s="330"/>
      <c r="EO48" s="330"/>
      <c r="EP48" s="330"/>
      <c r="EQ48" s="330"/>
      <c r="ER48" s="330"/>
      <c r="ES48" s="330"/>
      <c r="ET48" s="330"/>
      <c r="EU48" s="330"/>
      <c r="EV48" s="330"/>
      <c r="EW48" s="330"/>
      <c r="EX48" s="330"/>
      <c r="EY48" s="1032">
        <f t="shared" si="0"/>
        <v>7.0999999999999994E-2</v>
      </c>
    </row>
    <row r="49" spans="1:166" ht="14.7" customHeight="1" x14ac:dyDescent="0.25">
      <c r="A49" s="421">
        <v>45</v>
      </c>
      <c r="B49" s="183" t="str">
        <f>'71-огурцы '!A9</f>
        <v>Овощи натуральные свежие (огурцы)</v>
      </c>
      <c r="C49" s="419">
        <f>'71-огурцы '!C23</f>
        <v>60</v>
      </c>
      <c r="D49" s="1209">
        <f>0.35/50*C49</f>
        <v>0.42</v>
      </c>
      <c r="E49" s="1209">
        <f>0.05/50*C49</f>
        <v>0.06</v>
      </c>
      <c r="F49" s="1209">
        <f>0.95/50*C49</f>
        <v>1.1399999999999999</v>
      </c>
      <c r="G49" s="1210">
        <f>6/50*C49</f>
        <v>7</v>
      </c>
      <c r="H49" s="419">
        <f>'71-огурцы '!J7</f>
        <v>71</v>
      </c>
      <c r="I49" s="483">
        <f>'71-огурцы '!F25</f>
        <v>3.79</v>
      </c>
      <c r="J49" s="329"/>
      <c r="K49" s="329"/>
      <c r="L49" s="329"/>
      <c r="M49" s="329"/>
      <c r="N49" s="329"/>
      <c r="O49" s="329"/>
      <c r="P49" s="329"/>
      <c r="Q49" s="329"/>
      <c r="R49" s="329"/>
      <c r="S49" s="329"/>
      <c r="T49" s="329"/>
      <c r="U49" s="329"/>
      <c r="V49" s="329"/>
      <c r="W49" s="329"/>
      <c r="X49" s="329"/>
      <c r="Y49" s="329"/>
      <c r="Z49" s="329"/>
      <c r="AA49" s="329"/>
      <c r="AB49" s="329"/>
      <c r="AC49" s="329"/>
      <c r="AD49" s="329"/>
      <c r="AE49" s="330"/>
      <c r="AF49" s="329"/>
      <c r="AG49" s="329"/>
      <c r="AH49" s="329"/>
      <c r="AI49" s="329"/>
      <c r="AJ49" s="329"/>
      <c r="AK49" s="329"/>
      <c r="AL49" s="329"/>
      <c r="AM49" s="329"/>
      <c r="AN49" s="329"/>
      <c r="AO49" s="329">
        <f>'71-огурцы '!C19</f>
        <v>6.3100000000000003E-2</v>
      </c>
      <c r="AP49" s="329"/>
      <c r="AQ49" s="329"/>
      <c r="AR49" s="329"/>
      <c r="AS49" s="329"/>
      <c r="AT49" s="329"/>
      <c r="AU49" s="329"/>
      <c r="AV49" s="329"/>
      <c r="AW49" s="329"/>
      <c r="AX49" s="329"/>
      <c r="AY49" s="329"/>
      <c r="AZ49" s="329"/>
      <c r="BA49" s="329"/>
      <c r="BB49" s="329"/>
      <c r="BC49" s="329"/>
      <c r="BD49" s="329"/>
      <c r="BE49" s="329"/>
      <c r="BF49" s="329"/>
      <c r="BG49" s="329"/>
      <c r="BH49" s="329"/>
      <c r="BI49" s="329"/>
      <c r="BJ49" s="329"/>
      <c r="BK49" s="329"/>
      <c r="BL49" s="329"/>
      <c r="BM49" s="329"/>
      <c r="BN49" s="329"/>
      <c r="BO49" s="329"/>
      <c r="BP49" s="329"/>
      <c r="BQ49" s="329"/>
      <c r="BR49" s="329"/>
      <c r="BS49" s="329"/>
      <c r="BT49" s="329"/>
      <c r="BU49" s="329"/>
      <c r="BV49" s="329"/>
      <c r="BW49" s="329"/>
      <c r="BX49" s="329"/>
      <c r="BY49" s="329"/>
      <c r="BZ49" s="329"/>
      <c r="CA49" s="329"/>
      <c r="CB49" s="329"/>
      <c r="CC49" s="329"/>
      <c r="CD49" s="329"/>
      <c r="CE49" s="329"/>
      <c r="CF49" s="329"/>
      <c r="CG49" s="329"/>
      <c r="CH49" s="329"/>
      <c r="CI49" s="329"/>
      <c r="CJ49" s="329"/>
      <c r="CK49" s="329"/>
      <c r="CL49" s="329"/>
      <c r="CM49" s="329"/>
      <c r="CN49" s="329"/>
      <c r="CO49" s="329"/>
      <c r="CP49" s="329"/>
      <c r="CQ49" s="329"/>
      <c r="CR49" s="329"/>
      <c r="CS49" s="329"/>
      <c r="CT49" s="329"/>
      <c r="CU49" s="329"/>
      <c r="CV49" s="329"/>
      <c r="CW49" s="329"/>
      <c r="CX49" s="329"/>
      <c r="CY49" s="329"/>
      <c r="CZ49" s="329"/>
      <c r="DA49" s="329"/>
      <c r="DB49" s="329"/>
      <c r="DC49" s="329"/>
      <c r="DD49" s="329"/>
      <c r="DE49" s="329"/>
      <c r="DF49" s="329"/>
      <c r="DG49" s="329"/>
      <c r="DH49" s="329"/>
      <c r="DI49" s="329"/>
      <c r="DJ49" s="329"/>
      <c r="DK49" s="329"/>
      <c r="DL49" s="329"/>
      <c r="DM49" s="329"/>
      <c r="DN49" s="329"/>
      <c r="DO49" s="329"/>
      <c r="DP49" s="329"/>
      <c r="DQ49" s="329"/>
      <c r="DR49" s="329"/>
      <c r="DS49" s="329"/>
      <c r="DT49" s="329"/>
      <c r="DU49" s="329"/>
      <c r="DV49" s="329"/>
      <c r="DW49" s="329"/>
      <c r="DX49" s="330"/>
      <c r="DY49" s="330"/>
      <c r="DZ49" s="330"/>
      <c r="EA49" s="330"/>
      <c r="EB49" s="330"/>
      <c r="EC49" s="330"/>
      <c r="ED49" s="330"/>
      <c r="EE49" s="330"/>
      <c r="EF49" s="330"/>
      <c r="EG49" s="330"/>
      <c r="EH49" s="330"/>
      <c r="EI49" s="330"/>
      <c r="EJ49" s="330"/>
      <c r="EK49" s="330"/>
      <c r="EL49" s="330"/>
      <c r="EM49" s="330"/>
      <c r="EN49" s="330"/>
      <c r="EO49" s="330"/>
      <c r="EP49" s="330"/>
      <c r="EQ49" s="330"/>
      <c r="ER49" s="330"/>
      <c r="ES49" s="330"/>
      <c r="ET49" s="330"/>
      <c r="EU49" s="330"/>
      <c r="EV49" s="330"/>
      <c r="EW49" s="330"/>
      <c r="EX49" s="330"/>
      <c r="EY49" s="1032">
        <f t="shared" si="0"/>
        <v>6.3100000000000003E-2</v>
      </c>
    </row>
    <row r="50" spans="1:166" s="533" customFormat="1" ht="14.7" customHeight="1" x14ac:dyDescent="0.25">
      <c r="A50" s="421">
        <v>46</v>
      </c>
      <c r="B50" s="183" t="str">
        <f>'71-огурцы и помидоры'!A9</f>
        <v>Огурцы, помидоры в нарезке</v>
      </c>
      <c r="C50" s="419">
        <f>'71-огурцы и помидоры'!C24</f>
        <v>60</v>
      </c>
      <c r="D50" s="1209">
        <f>0.35/50*C50</f>
        <v>0.42</v>
      </c>
      <c r="E50" s="1209">
        <f>0.05/50*C50</f>
        <v>0.06</v>
      </c>
      <c r="F50" s="1209">
        <f>0.95/50*C50</f>
        <v>1.1399999999999999</v>
      </c>
      <c r="G50" s="1210">
        <f>6/50*C50</f>
        <v>7</v>
      </c>
      <c r="H50" s="419">
        <f>'71-огурцы и помидоры'!J7</f>
        <v>71</v>
      </c>
      <c r="I50" s="483">
        <f>'71-огурцы и помидоры'!F26</f>
        <v>5.66</v>
      </c>
      <c r="J50" s="329"/>
      <c r="K50" s="329"/>
      <c r="L50" s="329"/>
      <c r="M50" s="329"/>
      <c r="N50" s="329"/>
      <c r="O50" s="329"/>
      <c r="P50" s="329"/>
      <c r="Q50" s="329"/>
      <c r="R50" s="329"/>
      <c r="S50" s="329"/>
      <c r="T50" s="329"/>
      <c r="U50" s="329"/>
      <c r="V50" s="329"/>
      <c r="W50" s="329"/>
      <c r="X50" s="329"/>
      <c r="Y50" s="329"/>
      <c r="Z50" s="329"/>
      <c r="AA50" s="329"/>
      <c r="AB50" s="329"/>
      <c r="AC50" s="329"/>
      <c r="AD50" s="329"/>
      <c r="AE50" s="330"/>
      <c r="AF50" s="329"/>
      <c r="AG50" s="329"/>
      <c r="AH50" s="329"/>
      <c r="AI50" s="329"/>
      <c r="AJ50" s="329"/>
      <c r="AK50" s="329"/>
      <c r="AL50" s="329"/>
      <c r="AM50" s="329"/>
      <c r="AN50" s="329">
        <f>'71-огурцы и помидоры'!C20</f>
        <v>3.5499999999999997E-2</v>
      </c>
      <c r="AO50" s="329">
        <f>'71-огурцы и помидоры'!C19</f>
        <v>3.1600000000000003E-2</v>
      </c>
      <c r="AP50" s="329"/>
      <c r="AQ50" s="329"/>
      <c r="AR50" s="329"/>
      <c r="AS50" s="329"/>
      <c r="AT50" s="329"/>
      <c r="AU50" s="329"/>
      <c r="AV50" s="329"/>
      <c r="AW50" s="329"/>
      <c r="AX50" s="329"/>
      <c r="AY50" s="329"/>
      <c r="AZ50" s="329"/>
      <c r="BA50" s="329"/>
      <c r="BB50" s="329"/>
      <c r="BC50" s="329"/>
      <c r="BD50" s="329"/>
      <c r="BE50" s="329"/>
      <c r="BF50" s="329"/>
      <c r="BG50" s="329"/>
      <c r="BH50" s="329"/>
      <c r="BI50" s="329"/>
      <c r="BJ50" s="329"/>
      <c r="BK50" s="329"/>
      <c r="BL50" s="329"/>
      <c r="BM50" s="329"/>
      <c r="BN50" s="329"/>
      <c r="BO50" s="329"/>
      <c r="BP50" s="329"/>
      <c r="BQ50" s="329"/>
      <c r="BR50" s="329"/>
      <c r="BS50" s="329"/>
      <c r="BT50" s="329"/>
      <c r="BU50" s="329"/>
      <c r="BV50" s="329"/>
      <c r="BW50" s="329"/>
      <c r="BX50" s="329"/>
      <c r="BY50" s="329"/>
      <c r="BZ50" s="329"/>
      <c r="CA50" s="329"/>
      <c r="CB50" s="329"/>
      <c r="CC50" s="329"/>
      <c r="CD50" s="329"/>
      <c r="CE50" s="329"/>
      <c r="CF50" s="329"/>
      <c r="CG50" s="329"/>
      <c r="CH50" s="329"/>
      <c r="CI50" s="329"/>
      <c r="CJ50" s="329"/>
      <c r="CK50" s="329"/>
      <c r="CL50" s="329"/>
      <c r="CM50" s="329"/>
      <c r="CN50" s="329"/>
      <c r="CO50" s="329"/>
      <c r="CP50" s="329"/>
      <c r="CQ50" s="329"/>
      <c r="CR50" s="329"/>
      <c r="CS50" s="329"/>
      <c r="CT50" s="329"/>
      <c r="CU50" s="329"/>
      <c r="CV50" s="329"/>
      <c r="CW50" s="329"/>
      <c r="CX50" s="329"/>
      <c r="CY50" s="329"/>
      <c r="CZ50" s="329"/>
      <c r="DA50" s="329"/>
      <c r="DB50" s="329"/>
      <c r="DC50" s="329"/>
      <c r="DD50" s="329"/>
      <c r="DE50" s="329"/>
      <c r="DF50" s="329"/>
      <c r="DG50" s="329"/>
      <c r="DH50" s="329"/>
      <c r="DI50" s="329"/>
      <c r="DJ50" s="329"/>
      <c r="DK50" s="329"/>
      <c r="DL50" s="329"/>
      <c r="DM50" s="329"/>
      <c r="DN50" s="329"/>
      <c r="DO50" s="329"/>
      <c r="DP50" s="329"/>
      <c r="DQ50" s="329"/>
      <c r="DR50" s="329"/>
      <c r="DS50" s="329"/>
      <c r="DT50" s="329"/>
      <c r="DU50" s="329"/>
      <c r="DV50" s="329"/>
      <c r="DW50" s="329"/>
      <c r="DX50" s="330"/>
      <c r="DY50" s="330"/>
      <c r="DZ50" s="330"/>
      <c r="EA50" s="330"/>
      <c r="EB50" s="330"/>
      <c r="EC50" s="330"/>
      <c r="ED50" s="330"/>
      <c r="EE50" s="330"/>
      <c r="EF50" s="330"/>
      <c r="EG50" s="330"/>
      <c r="EH50" s="330"/>
      <c r="EI50" s="330"/>
      <c r="EJ50" s="330"/>
      <c r="EK50" s="330"/>
      <c r="EL50" s="330"/>
      <c r="EM50" s="330"/>
      <c r="EN50" s="330"/>
      <c r="EO50" s="330"/>
      <c r="EP50" s="330"/>
      <c r="EQ50" s="330"/>
      <c r="ER50" s="330"/>
      <c r="ES50" s="330"/>
      <c r="ET50" s="330"/>
      <c r="EU50" s="330"/>
      <c r="EV50" s="330"/>
      <c r="EW50" s="330"/>
      <c r="EX50" s="330"/>
      <c r="EY50" s="1032">
        <f t="shared" si="0"/>
        <v>6.7100000000000007E-2</v>
      </c>
      <c r="EZ50" s="616"/>
      <c r="FA50" s="616"/>
      <c r="FB50" s="616"/>
      <c r="FC50" s="616"/>
      <c r="FD50" s="616"/>
      <c r="FE50" s="616"/>
      <c r="FF50" s="616"/>
      <c r="FG50" s="616"/>
      <c r="FH50" s="616"/>
      <c r="FI50" s="616"/>
      <c r="FJ50" s="616"/>
    </row>
    <row r="51" spans="1:166" ht="14.7" customHeight="1" x14ac:dyDescent="0.25">
      <c r="A51" s="421">
        <v>47</v>
      </c>
      <c r="B51" s="183" t="str">
        <f>'77-сельдь'!A9</f>
        <v>Сельдь с картофелем</v>
      </c>
      <c r="C51" s="419">
        <f>'77-сельдь'!C25</f>
        <v>100</v>
      </c>
      <c r="D51" s="1209">
        <f>6.18/100*C51</f>
        <v>6.18</v>
      </c>
      <c r="E51" s="1209">
        <f>7.88/100*C51</f>
        <v>7.88</v>
      </c>
      <c r="F51" s="1209">
        <f>14.93/100*C51</f>
        <v>14.93</v>
      </c>
      <c r="G51" s="1210">
        <f>155/100*C51</f>
        <v>155</v>
      </c>
      <c r="H51" s="419">
        <f>'77-сельдь'!J7</f>
        <v>77</v>
      </c>
      <c r="I51" s="483">
        <f>'77-сельдь'!F27</f>
        <v>14.94</v>
      </c>
      <c r="J51" s="329"/>
      <c r="K51" s="329"/>
      <c r="L51" s="329"/>
      <c r="M51" s="329"/>
      <c r="N51" s="329"/>
      <c r="O51" s="329"/>
      <c r="P51" s="329"/>
      <c r="Q51" s="329"/>
      <c r="R51" s="329"/>
      <c r="S51" s="329"/>
      <c r="T51" s="329">
        <f>'77-сельдь'!C19</f>
        <v>5.1999999999999998E-2</v>
      </c>
      <c r="U51" s="329"/>
      <c r="V51" s="329"/>
      <c r="W51" s="329"/>
      <c r="X51" s="329"/>
      <c r="Y51" s="329"/>
      <c r="Z51" s="329"/>
      <c r="AA51" s="329"/>
      <c r="AB51" s="329"/>
      <c r="AC51" s="329"/>
      <c r="AD51" s="329"/>
      <c r="AE51" s="330"/>
      <c r="AF51" s="329"/>
      <c r="AG51" s="329"/>
      <c r="AH51" s="329">
        <f>'77-сельдь'!C20</f>
        <v>9.7199999999999995E-2</v>
      </c>
      <c r="AI51" s="329"/>
      <c r="AJ51" s="329"/>
      <c r="AK51" s="329"/>
      <c r="AL51" s="329"/>
      <c r="AM51" s="329"/>
      <c r="AN51" s="329"/>
      <c r="AO51" s="329"/>
      <c r="AP51" s="329"/>
      <c r="AQ51" s="329"/>
      <c r="AR51" s="329"/>
      <c r="AS51" s="329"/>
      <c r="AT51" s="329"/>
      <c r="AU51" s="329"/>
      <c r="AV51" s="329"/>
      <c r="AW51" s="329"/>
      <c r="AX51" s="329"/>
      <c r="AY51" s="329"/>
      <c r="AZ51" s="329"/>
      <c r="BA51" s="329"/>
      <c r="BB51" s="329"/>
      <c r="BC51" s="329"/>
      <c r="BD51" s="329"/>
      <c r="BE51" s="329"/>
      <c r="BF51" s="329"/>
      <c r="BG51" s="329"/>
      <c r="BH51" s="329"/>
      <c r="BI51" s="329"/>
      <c r="BJ51" s="329"/>
      <c r="BK51" s="329"/>
      <c r="BL51" s="329"/>
      <c r="BM51" s="329"/>
      <c r="BN51" s="329"/>
      <c r="BO51" s="329"/>
      <c r="BP51" s="329"/>
      <c r="BQ51" s="329"/>
      <c r="BR51" s="329"/>
      <c r="BS51" s="329"/>
      <c r="BT51" s="329"/>
      <c r="BU51" s="329"/>
      <c r="BV51" s="329"/>
      <c r="BW51" s="329"/>
      <c r="BX51" s="329"/>
      <c r="BY51" s="329"/>
      <c r="BZ51" s="329"/>
      <c r="CA51" s="329"/>
      <c r="CB51" s="329"/>
      <c r="CC51" s="329"/>
      <c r="CD51" s="329"/>
      <c r="CE51" s="329"/>
      <c r="CF51" s="329">
        <f>'77-сельдь'!C21</f>
        <v>6.0000000000000001E-3</v>
      </c>
      <c r="CG51" s="329"/>
      <c r="CH51" s="329"/>
      <c r="CI51" s="329"/>
      <c r="CJ51" s="329"/>
      <c r="CK51" s="329"/>
      <c r="CL51" s="329"/>
      <c r="CM51" s="329"/>
      <c r="CN51" s="329"/>
      <c r="CO51" s="329"/>
      <c r="CP51" s="329"/>
      <c r="CQ51" s="329"/>
      <c r="CR51" s="329"/>
      <c r="CS51" s="329"/>
      <c r="CT51" s="329"/>
      <c r="CU51" s="329"/>
      <c r="CV51" s="329"/>
      <c r="CW51" s="329"/>
      <c r="CX51" s="329"/>
      <c r="CY51" s="329"/>
      <c r="CZ51" s="329"/>
      <c r="DA51" s="329"/>
      <c r="DB51" s="329"/>
      <c r="DC51" s="329"/>
      <c r="DD51" s="329"/>
      <c r="DE51" s="329"/>
      <c r="DF51" s="329"/>
      <c r="DG51" s="329"/>
      <c r="DH51" s="329"/>
      <c r="DI51" s="329"/>
      <c r="DJ51" s="329"/>
      <c r="DK51" s="329"/>
      <c r="DL51" s="329"/>
      <c r="DM51" s="329"/>
      <c r="DN51" s="329"/>
      <c r="DO51" s="329"/>
      <c r="DP51" s="329"/>
      <c r="DQ51" s="329"/>
      <c r="DR51" s="329"/>
      <c r="DS51" s="329"/>
      <c r="DT51" s="329"/>
      <c r="DU51" s="329"/>
      <c r="DV51" s="329"/>
      <c r="DW51" s="329"/>
      <c r="DX51" s="330"/>
      <c r="DY51" s="330"/>
      <c r="DZ51" s="330"/>
      <c r="EA51" s="330"/>
      <c r="EB51" s="330"/>
      <c r="EC51" s="330"/>
      <c r="ED51" s="330"/>
      <c r="EE51" s="330"/>
      <c r="EF51" s="330"/>
      <c r="EG51" s="330"/>
      <c r="EH51" s="330"/>
      <c r="EI51" s="330"/>
      <c r="EJ51" s="330"/>
      <c r="EK51" s="330"/>
      <c r="EL51" s="330"/>
      <c r="EM51" s="330"/>
      <c r="EN51" s="330"/>
      <c r="EO51" s="330"/>
      <c r="EP51" s="330"/>
      <c r="EQ51" s="330"/>
      <c r="ER51" s="330"/>
      <c r="ES51" s="330"/>
      <c r="ET51" s="330"/>
      <c r="EU51" s="330"/>
      <c r="EV51" s="330"/>
      <c r="EW51" s="330"/>
      <c r="EX51" s="330"/>
      <c r="EY51" s="1032">
        <f t="shared" si="0"/>
        <v>0.1552</v>
      </c>
    </row>
    <row r="52" spans="1:166" ht="14.7" customHeight="1" x14ac:dyDescent="0.25">
      <c r="A52" s="421">
        <v>48</v>
      </c>
      <c r="B52" s="183" t="str">
        <f>'82-борщ с капустой'!A9</f>
        <v>Борщ с капустой и картофелем, со сметаной</v>
      </c>
      <c r="C52" s="419">
        <f>'82-борщ с капустой'!C36</f>
        <v>250</v>
      </c>
      <c r="D52" s="1209">
        <f>7.21/1000*C52</f>
        <v>1.8</v>
      </c>
      <c r="E52" s="1209">
        <f>19.68/1000*C52</f>
        <v>4.92</v>
      </c>
      <c r="F52" s="1209">
        <f>43.73/1000*C52</f>
        <v>10.93</v>
      </c>
      <c r="G52" s="1210">
        <f>415/1000*C52</f>
        <v>104</v>
      </c>
      <c r="H52" s="419">
        <f>'82-борщ с капустой'!J7</f>
        <v>82</v>
      </c>
      <c r="I52" s="483">
        <f>'82-борщ с капустой'!F38</f>
        <v>10.8</v>
      </c>
      <c r="J52" s="329"/>
      <c r="K52" s="329"/>
      <c r="L52" s="329"/>
      <c r="M52" s="329"/>
      <c r="N52" s="329"/>
      <c r="O52" s="329"/>
      <c r="P52" s="329"/>
      <c r="Q52" s="329"/>
      <c r="R52" s="329"/>
      <c r="S52" s="329"/>
      <c r="T52" s="329"/>
      <c r="U52" s="329"/>
      <c r="V52" s="329"/>
      <c r="W52" s="329"/>
      <c r="X52" s="329"/>
      <c r="Y52" s="329">
        <f>'82-борщ с капустой'!C30/4</f>
        <v>5.0000000000000001E-3</v>
      </c>
      <c r="Z52" s="329"/>
      <c r="AA52" s="329"/>
      <c r="AB52" s="329"/>
      <c r="AC52" s="329"/>
      <c r="AD52" s="329"/>
      <c r="AE52" s="330"/>
      <c r="AF52" s="329">
        <f>'82-борщ с капустой'!C20/4</f>
        <v>2.5000000000000001E-2</v>
      </c>
      <c r="AG52" s="329"/>
      <c r="AH52" s="329">
        <f>'82-борщ с капустой'!C21/4</f>
        <v>2.6749999999999999E-2</v>
      </c>
      <c r="AI52" s="329"/>
      <c r="AJ52" s="329"/>
      <c r="AK52" s="329">
        <f>'82-борщ с капустой'!C24/4</f>
        <v>1.2E-2</v>
      </c>
      <c r="AL52" s="329"/>
      <c r="AM52" s="329"/>
      <c r="AN52" s="329"/>
      <c r="AO52" s="329"/>
      <c r="AP52" s="329"/>
      <c r="AQ52" s="329">
        <f>'82-борщ с капустой'!C22/4</f>
        <v>1.2500000000000001E-2</v>
      </c>
      <c r="AR52" s="329"/>
      <c r="AS52" s="329"/>
      <c r="AT52" s="329">
        <f>'82-борщ с капустой'!C23/4</f>
        <v>3.2499999999999999E-3</v>
      </c>
      <c r="AU52" s="329">
        <f>'82-борщ с капустой'!C31/4</f>
        <v>2E-3</v>
      </c>
      <c r="AV52" s="329"/>
      <c r="AW52" s="329"/>
      <c r="AX52" s="329">
        <f>'82-борщ с капустой'!C19/4</f>
        <v>0.05</v>
      </c>
      <c r="AY52" s="329"/>
      <c r="AZ52" s="329"/>
      <c r="BA52" s="329"/>
      <c r="BB52" s="329"/>
      <c r="BC52" s="329"/>
      <c r="BD52" s="329"/>
      <c r="BE52" s="329"/>
      <c r="BF52" s="329"/>
      <c r="BG52" s="329"/>
      <c r="BH52" s="329"/>
      <c r="BI52" s="329"/>
      <c r="BJ52" s="329"/>
      <c r="BK52" s="329"/>
      <c r="BL52" s="329"/>
      <c r="BM52" s="329"/>
      <c r="BN52" s="329"/>
      <c r="BO52" s="329"/>
      <c r="BP52" s="329"/>
      <c r="BQ52" s="329"/>
      <c r="BR52" s="329"/>
      <c r="BS52" s="329">
        <f>'82-борщ с капустой'!C32/4</f>
        <v>2.5000000000000001E-3</v>
      </c>
      <c r="BT52" s="329"/>
      <c r="BU52" s="329"/>
      <c r="BV52" s="329"/>
      <c r="BW52" s="329"/>
      <c r="BX52" s="329"/>
      <c r="BY52" s="329"/>
      <c r="BZ52" s="329"/>
      <c r="CA52" s="329"/>
      <c r="CB52" s="329"/>
      <c r="CC52" s="329"/>
      <c r="CD52" s="329"/>
      <c r="CE52" s="329"/>
      <c r="CF52" s="329">
        <f>'82-борщ с капустой'!C26/4</f>
        <v>5.0000000000000001E-3</v>
      </c>
      <c r="CG52" s="329"/>
      <c r="CH52" s="329"/>
      <c r="CI52" s="329"/>
      <c r="CJ52" s="329"/>
      <c r="CK52" s="329"/>
      <c r="CL52" s="329"/>
      <c r="CM52" s="329"/>
      <c r="CN52" s="329"/>
      <c r="CO52" s="329"/>
      <c r="CP52" s="329"/>
      <c r="CQ52" s="329"/>
      <c r="CR52" s="329"/>
      <c r="CS52" s="329"/>
      <c r="CT52" s="329"/>
      <c r="CU52" s="329"/>
      <c r="CV52" s="329"/>
      <c r="CW52" s="329"/>
      <c r="CX52" s="329"/>
      <c r="CY52" s="329"/>
      <c r="CZ52" s="329">
        <f>'82-борщ с капустой'!C27/4</f>
        <v>2.5000000000000001E-3</v>
      </c>
      <c r="DA52" s="329"/>
      <c r="DB52" s="329"/>
      <c r="DC52" s="329">
        <f>'82-борщ с капустой'!C29/4</f>
        <v>2.5000000000000001E-3</v>
      </c>
      <c r="DD52" s="329"/>
      <c r="DE52" s="329"/>
      <c r="DF52" s="329">
        <f>'82-борщ с капустой'!C25/4</f>
        <v>7.4999999999999997E-3</v>
      </c>
      <c r="DG52" s="329"/>
      <c r="DH52" s="329"/>
      <c r="DI52" s="329"/>
      <c r="DJ52" s="329"/>
      <c r="DK52" s="329"/>
      <c r="DL52" s="329"/>
      <c r="DM52" s="329"/>
      <c r="DN52" s="329"/>
      <c r="DO52" s="329"/>
      <c r="DP52" s="329"/>
      <c r="DQ52" s="329"/>
      <c r="DR52" s="329"/>
      <c r="DS52" s="329"/>
      <c r="DT52" s="329"/>
      <c r="DU52" s="329"/>
      <c r="DV52" s="329"/>
      <c r="DW52" s="329"/>
      <c r="DX52" s="330"/>
      <c r="DY52" s="330"/>
      <c r="DZ52" s="330"/>
      <c r="EA52" s="330"/>
      <c r="EB52" s="330"/>
      <c r="EC52" s="330"/>
      <c r="ED52" s="330"/>
      <c r="EE52" s="330"/>
      <c r="EF52" s="330"/>
      <c r="EG52" s="330"/>
      <c r="EH52" s="330"/>
      <c r="EI52" s="330"/>
      <c r="EJ52" s="330"/>
      <c r="EK52" s="330"/>
      <c r="EL52" s="330"/>
      <c r="EM52" s="330"/>
      <c r="EN52" s="330"/>
      <c r="EO52" s="330"/>
      <c r="EP52" s="330"/>
      <c r="EQ52" s="330"/>
      <c r="ER52" s="330"/>
      <c r="ES52" s="330"/>
      <c r="ET52" s="330"/>
      <c r="EU52" s="330"/>
      <c r="EV52" s="330"/>
      <c r="EW52" s="330"/>
      <c r="EX52" s="330"/>
      <c r="EY52" s="1032">
        <f t="shared" si="0"/>
        <v>0.1565</v>
      </c>
    </row>
    <row r="53" spans="1:166" s="570" customFormat="1" ht="14.7" customHeight="1" x14ac:dyDescent="0.25">
      <c r="A53" s="421">
        <v>49</v>
      </c>
      <c r="B53" s="183" t="str">
        <f>'83-борщ с картофелем'!A9</f>
        <v>Борщ с картофелем</v>
      </c>
      <c r="C53" s="419">
        <f>'83-борщ с картофелем'!C36</f>
        <v>250</v>
      </c>
      <c r="D53" s="1209">
        <f>8.1/1000*C53</f>
        <v>2.0299999999999998</v>
      </c>
      <c r="E53" s="1209">
        <f>20.06/1000*C53</f>
        <v>5.0199999999999996</v>
      </c>
      <c r="F53" s="1209">
        <f>53.77/1000*C53</f>
        <v>13.44</v>
      </c>
      <c r="G53" s="1210">
        <f>468/1000*C53</f>
        <v>117</v>
      </c>
      <c r="H53" s="419">
        <f>'83-борщ с картофелем'!J7</f>
        <v>83</v>
      </c>
      <c r="I53" s="483">
        <f>'83-борщ с картофелем'!F38</f>
        <v>11.69</v>
      </c>
      <c r="J53" s="329"/>
      <c r="K53" s="329"/>
      <c r="L53" s="329"/>
      <c r="M53" s="329"/>
      <c r="N53" s="329"/>
      <c r="O53" s="329"/>
      <c r="P53" s="329"/>
      <c r="Q53" s="329"/>
      <c r="R53" s="329"/>
      <c r="S53" s="329"/>
      <c r="T53" s="329"/>
      <c r="U53" s="329"/>
      <c r="V53" s="329"/>
      <c r="W53" s="329"/>
      <c r="X53" s="329"/>
      <c r="Y53" s="329">
        <f>'83-борщ с картофелем'!C29/4</f>
        <v>5.0000000000000001E-3</v>
      </c>
      <c r="Z53" s="329"/>
      <c r="AA53" s="329"/>
      <c r="AB53" s="329"/>
      <c r="AC53" s="329"/>
      <c r="AD53" s="329"/>
      <c r="AE53" s="330"/>
      <c r="AF53" s="329"/>
      <c r="AG53" s="329"/>
      <c r="AH53" s="329">
        <f>'83-борщ с картофелем'!C20/4</f>
        <v>6.6750000000000004E-2</v>
      </c>
      <c r="AI53" s="329"/>
      <c r="AJ53" s="329"/>
      <c r="AK53" s="329">
        <f>'83-борщ с картофелем'!C23/4</f>
        <v>1.2E-2</v>
      </c>
      <c r="AL53" s="329"/>
      <c r="AM53" s="329"/>
      <c r="AN53" s="329"/>
      <c r="AO53" s="329"/>
      <c r="AP53" s="329"/>
      <c r="AQ53" s="329">
        <f>'83-борщ с картофелем'!C21/4</f>
        <v>1.2500000000000001E-2</v>
      </c>
      <c r="AR53" s="329"/>
      <c r="AS53" s="329"/>
      <c r="AT53" s="329">
        <f>'83-борщ с картофелем'!C22/4</f>
        <v>3.2499999999999999E-3</v>
      </c>
      <c r="AU53" s="329">
        <f>'83-борщ с картофелем'!C30/4</f>
        <v>2E-3</v>
      </c>
      <c r="AV53" s="329"/>
      <c r="AW53" s="329"/>
      <c r="AX53" s="329">
        <f>'83-борщ с картофелем'!C19/4</f>
        <v>5.1249999999999997E-2</v>
      </c>
      <c r="AY53" s="329"/>
      <c r="AZ53" s="329"/>
      <c r="BA53" s="329"/>
      <c r="BB53" s="329"/>
      <c r="BC53" s="329"/>
      <c r="BD53" s="329"/>
      <c r="BE53" s="329"/>
      <c r="BF53" s="329"/>
      <c r="BG53" s="329"/>
      <c r="BH53" s="329"/>
      <c r="BI53" s="329"/>
      <c r="BJ53" s="329"/>
      <c r="BK53" s="329"/>
      <c r="BL53" s="329"/>
      <c r="BM53" s="329"/>
      <c r="BN53" s="329"/>
      <c r="BO53" s="329"/>
      <c r="BP53" s="329"/>
      <c r="BQ53" s="329"/>
      <c r="BR53" s="329"/>
      <c r="BS53" s="329">
        <f>'83-борщ с картофелем'!C31/4</f>
        <v>2.5000000000000001E-3</v>
      </c>
      <c r="BT53" s="329"/>
      <c r="BU53" s="329"/>
      <c r="BV53" s="329"/>
      <c r="BW53" s="329"/>
      <c r="BX53" s="329"/>
      <c r="BY53" s="329"/>
      <c r="BZ53" s="329"/>
      <c r="CA53" s="329"/>
      <c r="CB53" s="329"/>
      <c r="CC53" s="329"/>
      <c r="CD53" s="329"/>
      <c r="CE53" s="329"/>
      <c r="CF53" s="329">
        <f>'83-борщ с картофелем'!C25/4</f>
        <v>5.0000000000000001E-3</v>
      </c>
      <c r="CG53" s="329"/>
      <c r="CH53" s="329"/>
      <c r="CI53" s="329"/>
      <c r="CJ53" s="329"/>
      <c r="CK53" s="329"/>
      <c r="CL53" s="329"/>
      <c r="CM53" s="329"/>
      <c r="CN53" s="329"/>
      <c r="CO53" s="329"/>
      <c r="CP53" s="329"/>
      <c r="CQ53" s="329"/>
      <c r="CR53" s="329"/>
      <c r="CS53" s="329">
        <f>'83-борщ с картофелем'!C32/4</f>
        <v>2.5000000000000001E-4</v>
      </c>
      <c r="CT53" s="329"/>
      <c r="CU53" s="329"/>
      <c r="CV53" s="329"/>
      <c r="CW53" s="329"/>
      <c r="CX53" s="329"/>
      <c r="CY53" s="329"/>
      <c r="CZ53" s="329">
        <f>'83-борщ с картофелем'!C26/4</f>
        <v>1.5E-3</v>
      </c>
      <c r="DA53" s="329"/>
      <c r="DB53" s="329"/>
      <c r="DC53" s="329">
        <f>'83-борщ с картофелем'!C28/4</f>
        <v>2.5000000000000001E-3</v>
      </c>
      <c r="DD53" s="329"/>
      <c r="DE53" s="329"/>
      <c r="DF53" s="329">
        <f>'83-борщ с картофелем'!C24/4</f>
        <v>7.4999999999999997E-3</v>
      </c>
      <c r="DG53" s="329"/>
      <c r="DH53" s="329"/>
      <c r="DI53" s="329"/>
      <c r="DJ53" s="329"/>
      <c r="DK53" s="329"/>
      <c r="DL53" s="329"/>
      <c r="DM53" s="329"/>
      <c r="DN53" s="329"/>
      <c r="DO53" s="329"/>
      <c r="DP53" s="329"/>
      <c r="DQ53" s="329"/>
      <c r="DR53" s="329"/>
      <c r="DS53" s="329"/>
      <c r="DT53" s="329"/>
      <c r="DU53" s="329"/>
      <c r="DV53" s="329"/>
      <c r="DW53" s="329"/>
      <c r="DX53" s="330"/>
      <c r="DY53" s="330"/>
      <c r="DZ53" s="330"/>
      <c r="EA53" s="330"/>
      <c r="EB53" s="330"/>
      <c r="EC53" s="330"/>
      <c r="ED53" s="330"/>
      <c r="EE53" s="330"/>
      <c r="EF53" s="330"/>
      <c r="EG53" s="330"/>
      <c r="EH53" s="330"/>
      <c r="EI53" s="330"/>
      <c r="EJ53" s="330"/>
      <c r="EK53" s="330"/>
      <c r="EL53" s="330"/>
      <c r="EM53" s="330"/>
      <c r="EN53" s="330"/>
      <c r="EO53" s="330"/>
      <c r="EP53" s="330"/>
      <c r="EQ53" s="330"/>
      <c r="ER53" s="330"/>
      <c r="ES53" s="330"/>
      <c r="ET53" s="330"/>
      <c r="EU53" s="330"/>
      <c r="EV53" s="330"/>
      <c r="EW53" s="330"/>
      <c r="EX53" s="330"/>
      <c r="EY53" s="1032">
        <f t="shared" si="0"/>
        <v>0.17199999999999999</v>
      </c>
      <c r="EZ53" s="616"/>
      <c r="FA53" s="616"/>
      <c r="FB53" s="616"/>
      <c r="FC53" s="616"/>
      <c r="FD53" s="616"/>
      <c r="FE53" s="616"/>
      <c r="FF53" s="616"/>
      <c r="FG53" s="616"/>
      <c r="FH53" s="616"/>
      <c r="FI53" s="616"/>
      <c r="FJ53" s="616"/>
    </row>
    <row r="54" spans="1:166" ht="14.7" customHeight="1" x14ac:dyDescent="0.25">
      <c r="A54" s="421">
        <v>50</v>
      </c>
      <c r="B54" s="183" t="str">
        <f>'84-борщ с фасолью'!A9</f>
        <v>Борщ с фасолью и картофелем</v>
      </c>
      <c r="C54" s="419">
        <f>'84-борщ с фасолью'!C37</f>
        <v>250</v>
      </c>
      <c r="D54" s="1209">
        <f>14.23/1000*C54</f>
        <v>3.56</v>
      </c>
      <c r="E54" s="1209">
        <f>20.46/1000*C54</f>
        <v>5.12</v>
      </c>
      <c r="F54" s="1209">
        <f>56.66/1000*C54</f>
        <v>14.17</v>
      </c>
      <c r="G54" s="1210">
        <f>511/1000*C54</f>
        <v>128</v>
      </c>
      <c r="H54" s="419">
        <f>'84-борщ с фасолью'!J7</f>
        <v>84</v>
      </c>
      <c r="I54" s="483">
        <f>'84-борщ с фасолью'!F39</f>
        <v>11.72</v>
      </c>
      <c r="J54" s="329"/>
      <c r="K54" s="329"/>
      <c r="L54" s="329"/>
      <c r="M54" s="329"/>
      <c r="N54" s="329"/>
      <c r="O54" s="329"/>
      <c r="P54" s="329"/>
      <c r="Q54" s="329"/>
      <c r="R54" s="329"/>
      <c r="S54" s="329"/>
      <c r="T54" s="329"/>
      <c r="U54" s="329"/>
      <c r="V54" s="329"/>
      <c r="W54" s="329"/>
      <c r="X54" s="329"/>
      <c r="Y54" s="329">
        <f>'84-борщ с фасолью'!C31/4</f>
        <v>5.0000000000000001E-3</v>
      </c>
      <c r="Z54" s="329"/>
      <c r="AA54" s="329"/>
      <c r="AB54" s="329"/>
      <c r="AC54" s="329"/>
      <c r="AD54" s="329"/>
      <c r="AE54" s="330"/>
      <c r="AF54" s="329"/>
      <c r="AG54" s="329"/>
      <c r="AH54" s="329">
        <f>'84-борщ с фасолью'!C20/4</f>
        <v>3.3250000000000002E-2</v>
      </c>
      <c r="AI54" s="329"/>
      <c r="AJ54" s="329"/>
      <c r="AK54" s="329">
        <f>'84-борщ с фасолью'!C24/4</f>
        <v>1.2E-2</v>
      </c>
      <c r="AL54" s="329"/>
      <c r="AM54" s="329">
        <f>'84-борщ с фасолью'!C27/4</f>
        <v>1E-3</v>
      </c>
      <c r="AN54" s="329"/>
      <c r="AO54" s="329"/>
      <c r="AP54" s="329"/>
      <c r="AQ54" s="329">
        <f>'84-борщ с фасолью'!C22/4</f>
        <v>1.2500000000000001E-2</v>
      </c>
      <c r="AR54" s="329"/>
      <c r="AS54" s="329"/>
      <c r="AT54" s="329">
        <f>'84-борщ с фасолью'!C23/4</f>
        <v>3.2499999999999999E-3</v>
      </c>
      <c r="AU54" s="329">
        <f>'84-борщ с фасолью'!C32/4</f>
        <v>2E-3</v>
      </c>
      <c r="AV54" s="329"/>
      <c r="AW54" s="329"/>
      <c r="AX54" s="329">
        <f>'84-борщ с фасолью'!C19/4</f>
        <v>0.05</v>
      </c>
      <c r="AY54" s="329"/>
      <c r="AZ54" s="329"/>
      <c r="BA54" s="329"/>
      <c r="BB54" s="329"/>
      <c r="BC54" s="329"/>
      <c r="BD54" s="329"/>
      <c r="BE54" s="329"/>
      <c r="BF54" s="329"/>
      <c r="BG54" s="329"/>
      <c r="BH54" s="329"/>
      <c r="BI54" s="329"/>
      <c r="BJ54" s="329"/>
      <c r="BK54" s="329"/>
      <c r="BL54" s="329"/>
      <c r="BM54" s="329"/>
      <c r="BN54" s="329"/>
      <c r="BO54" s="329"/>
      <c r="BP54" s="329"/>
      <c r="BQ54" s="329"/>
      <c r="BR54" s="329"/>
      <c r="BS54" s="329">
        <f>'84-борщ с фасолью'!C33/4</f>
        <v>2.5000000000000001E-3</v>
      </c>
      <c r="BT54" s="329"/>
      <c r="BU54" s="329"/>
      <c r="BV54" s="329"/>
      <c r="BW54" s="329"/>
      <c r="BX54" s="329"/>
      <c r="BY54" s="329"/>
      <c r="BZ54" s="329"/>
      <c r="CA54" s="329"/>
      <c r="CB54" s="329"/>
      <c r="CC54" s="329"/>
      <c r="CD54" s="329"/>
      <c r="CE54" s="329"/>
      <c r="CF54" s="329">
        <f>'84-борщ с фасолью'!C26/4</f>
        <v>5.0000000000000001E-3</v>
      </c>
      <c r="CG54" s="329"/>
      <c r="CH54" s="329"/>
      <c r="CI54" s="329"/>
      <c r="CJ54" s="329"/>
      <c r="CK54" s="329"/>
      <c r="CL54" s="329"/>
      <c r="CM54" s="329"/>
      <c r="CN54" s="329"/>
      <c r="CO54" s="329"/>
      <c r="CP54" s="329"/>
      <c r="CQ54" s="329"/>
      <c r="CR54" s="329"/>
      <c r="CS54" s="329"/>
      <c r="CT54" s="329"/>
      <c r="CU54" s="329"/>
      <c r="CV54" s="329"/>
      <c r="CW54" s="329"/>
      <c r="CX54" s="329"/>
      <c r="CY54" s="329"/>
      <c r="CZ54" s="329">
        <f>'84-борщ с фасолью'!C28/4</f>
        <v>1.5E-3</v>
      </c>
      <c r="DA54" s="329"/>
      <c r="DB54" s="329"/>
      <c r="DC54" s="329">
        <f>'84-борщ с фасолью'!C30/4</f>
        <v>2.5000000000000001E-3</v>
      </c>
      <c r="DD54" s="329"/>
      <c r="DE54" s="329"/>
      <c r="DF54" s="329">
        <f>'84-борщ с фасолью'!C25/4</f>
        <v>7.4999999999999997E-3</v>
      </c>
      <c r="DG54" s="329"/>
      <c r="DH54" s="329"/>
      <c r="DI54" s="329"/>
      <c r="DJ54" s="329"/>
      <c r="DK54" s="329"/>
      <c r="DL54" s="329"/>
      <c r="DM54" s="329">
        <f>'84-борщ с фасолью'!C21/4</f>
        <v>0.01</v>
      </c>
      <c r="DN54" s="329"/>
      <c r="DO54" s="329"/>
      <c r="DP54" s="329"/>
      <c r="DQ54" s="329"/>
      <c r="DR54" s="329"/>
      <c r="DS54" s="329"/>
      <c r="DT54" s="329"/>
      <c r="DU54" s="329"/>
      <c r="DV54" s="329"/>
      <c r="DW54" s="329"/>
      <c r="DX54" s="330"/>
      <c r="DY54" s="330"/>
      <c r="DZ54" s="330"/>
      <c r="EA54" s="330"/>
      <c r="EB54" s="330"/>
      <c r="EC54" s="330"/>
      <c r="ED54" s="330"/>
      <c r="EE54" s="330"/>
      <c r="EF54" s="330"/>
      <c r="EG54" s="330"/>
      <c r="EH54" s="330"/>
      <c r="EI54" s="330"/>
      <c r="EJ54" s="330"/>
      <c r="EK54" s="330"/>
      <c r="EL54" s="330"/>
      <c r="EM54" s="330"/>
      <c r="EN54" s="330"/>
      <c r="EO54" s="330"/>
      <c r="EP54" s="330"/>
      <c r="EQ54" s="330"/>
      <c r="ER54" s="330"/>
      <c r="ES54" s="330"/>
      <c r="ET54" s="330"/>
      <c r="EU54" s="330"/>
      <c r="EV54" s="330"/>
      <c r="EW54" s="330"/>
      <c r="EX54" s="330"/>
      <c r="EY54" s="1032">
        <f t="shared" si="0"/>
        <v>0.14799999999999999</v>
      </c>
    </row>
    <row r="55" spans="1:166" ht="14.7" customHeight="1" x14ac:dyDescent="0.25">
      <c r="A55" s="421">
        <v>51</v>
      </c>
      <c r="B55" s="183" t="str">
        <f>'85-борщ зеленый'!A9</f>
        <v>Борщ зеленый</v>
      </c>
      <c r="C55" s="419">
        <f>'85-борщ зеленый'!C35</f>
        <v>250</v>
      </c>
      <c r="D55" s="1209">
        <f>14.31/1000*C55</f>
        <v>3.58</v>
      </c>
      <c r="E55" s="1209">
        <f>22.95/1000*C55</f>
        <v>5.74</v>
      </c>
      <c r="F55" s="1209">
        <f>52.46/1000*C55</f>
        <v>13.12</v>
      </c>
      <c r="G55" s="1210">
        <f>515/1000*C55</f>
        <v>129</v>
      </c>
      <c r="H55" s="419">
        <f>'85-борщ зеленый'!J7</f>
        <v>85</v>
      </c>
      <c r="I55" s="483">
        <f>'85-борщ зеленый'!F37</f>
        <v>35.04</v>
      </c>
      <c r="J55" s="329"/>
      <c r="K55" s="329"/>
      <c r="L55" s="329"/>
      <c r="M55" s="329"/>
      <c r="N55" s="329"/>
      <c r="O55" s="329"/>
      <c r="P55" s="329"/>
      <c r="Q55" s="329"/>
      <c r="R55" s="329"/>
      <c r="S55" s="329"/>
      <c r="T55" s="329"/>
      <c r="U55" s="329"/>
      <c r="V55" s="329"/>
      <c r="W55" s="329"/>
      <c r="X55" s="329"/>
      <c r="Y55" s="329">
        <f>'85-борщ зеленый'!C30/'85-борщ зеленый'!C34*'85-борщ зеленый'!C35</f>
        <v>5.0000000000000001E-3</v>
      </c>
      <c r="Z55" s="329"/>
      <c r="AA55" s="329"/>
      <c r="AB55" s="329"/>
      <c r="AC55" s="329"/>
      <c r="AD55" s="329"/>
      <c r="AE55" s="330">
        <f>'85-борщ зеленый'!C27/'85-борщ зеленый'!C34*'85-борщ зеленый'!C35</f>
        <v>5.7499999999999999E-3</v>
      </c>
      <c r="AF55" s="329"/>
      <c r="AG55" s="329"/>
      <c r="AH55" s="329">
        <f>'85-борщ зеленый'!C20/'85-борщ зеленый'!C34*'85-борщ зеленый'!C35</f>
        <v>6.6750000000000004E-2</v>
      </c>
      <c r="AI55" s="329"/>
      <c r="AJ55" s="329"/>
      <c r="AK55" s="329"/>
      <c r="AL55" s="329">
        <f>'85-борщ зеленый'!C21/'85-борщ зеленый'!C34*'85-борщ зеленый'!C35</f>
        <v>9.4999999999999998E-3</v>
      </c>
      <c r="AM55" s="329"/>
      <c r="AN55" s="329"/>
      <c r="AO55" s="329"/>
      <c r="AP55" s="329"/>
      <c r="AQ55" s="329"/>
      <c r="AR55" s="329"/>
      <c r="AS55" s="329"/>
      <c r="AT55" s="329"/>
      <c r="AU55" s="329">
        <f>'85-борщ зеленый'!C31/'85-борщ зеленый'!C34*'85-борщ зеленый'!C35</f>
        <v>2E-3</v>
      </c>
      <c r="AV55" s="329">
        <f>'85-борщ зеленый'!C22/'85-борщ зеленый'!C34*'85-борщ зеленый'!C35</f>
        <v>4.5999999999999999E-2</v>
      </c>
      <c r="AW55" s="329">
        <f>'85-борщ зеленый'!C23/'85-борщ зеленый'!C34*'85-борщ зеленый'!C35</f>
        <v>4.725E-2</v>
      </c>
      <c r="AX55" s="329">
        <f>'85-борщ зеленый'!C19/'85-борщ зеленый'!C34*'85-борщ зеленый'!C35</f>
        <v>3.7749999999999999E-2</v>
      </c>
      <c r="AY55" s="329"/>
      <c r="AZ55" s="329"/>
      <c r="BA55" s="329"/>
      <c r="BB55" s="329"/>
      <c r="BC55" s="329"/>
      <c r="BD55" s="329"/>
      <c r="BE55" s="329"/>
      <c r="BF55" s="329"/>
      <c r="BG55" s="329"/>
      <c r="BH55" s="329"/>
      <c r="BI55" s="329"/>
      <c r="BJ55" s="329"/>
      <c r="BK55" s="329"/>
      <c r="BL55" s="329"/>
      <c r="BM55" s="329"/>
      <c r="BN55" s="329"/>
      <c r="BO55" s="329"/>
      <c r="BP55" s="329"/>
      <c r="BQ55" s="329"/>
      <c r="BR55" s="329"/>
      <c r="BS55" s="329">
        <f>'85-борщ зеленый'!C24/'85-борщ зеленый'!C34*'85-борщ зеленый'!C35</f>
        <v>1.5E-3</v>
      </c>
      <c r="BT55" s="329"/>
      <c r="BU55" s="329"/>
      <c r="BV55" s="329"/>
      <c r="BW55" s="329"/>
      <c r="BX55" s="329"/>
      <c r="BY55" s="329"/>
      <c r="BZ55" s="329"/>
      <c r="CA55" s="329"/>
      <c r="CB55" s="329"/>
      <c r="CC55" s="329"/>
      <c r="CD55" s="329"/>
      <c r="CE55" s="329"/>
      <c r="CF55" s="329">
        <f>'85-борщ зеленый'!C25/'85-борщ зеленый'!C34*'85-борщ зеленый'!C35</f>
        <v>5.0000000000000001E-3</v>
      </c>
      <c r="CG55" s="329"/>
      <c r="CH55" s="329"/>
      <c r="CI55" s="329"/>
      <c r="CJ55" s="329"/>
      <c r="CK55" s="329"/>
      <c r="CL55" s="329"/>
      <c r="CM55" s="329"/>
      <c r="CN55" s="329"/>
      <c r="CO55" s="329"/>
      <c r="CP55" s="329"/>
      <c r="CQ55" s="329"/>
      <c r="CR55" s="329"/>
      <c r="CS55" s="329"/>
      <c r="CT55" s="329"/>
      <c r="CU55" s="329"/>
      <c r="CV55" s="329"/>
      <c r="CW55" s="329"/>
      <c r="CX55" s="329"/>
      <c r="CY55" s="329"/>
      <c r="CZ55" s="329">
        <f>'85-борщ зеленый'!C26/'85-борщ зеленый'!C34*'85-борщ зеленый'!C35</f>
        <v>1.5E-3</v>
      </c>
      <c r="DA55" s="329"/>
      <c r="DB55" s="329"/>
      <c r="DC55" s="329">
        <f>'85-борщ зеленый'!C29/'85-борщ зеленый'!C34*'85-борщ зеленый'!C35</f>
        <v>2.5000000000000001E-3</v>
      </c>
      <c r="DD55" s="329"/>
      <c r="DE55" s="329"/>
      <c r="DF55" s="329"/>
      <c r="DG55" s="329"/>
      <c r="DH55" s="329"/>
      <c r="DI55" s="329"/>
      <c r="DJ55" s="329"/>
      <c r="DK55" s="329"/>
      <c r="DL55" s="329"/>
      <c r="DM55" s="329"/>
      <c r="DN55" s="329"/>
      <c r="DO55" s="329"/>
      <c r="DP55" s="329"/>
      <c r="DQ55" s="329"/>
      <c r="DR55" s="329"/>
      <c r="DS55" s="329"/>
      <c r="DT55" s="329"/>
      <c r="DU55" s="329"/>
      <c r="DV55" s="329"/>
      <c r="DW55" s="329"/>
      <c r="DX55" s="330"/>
      <c r="DY55" s="330"/>
      <c r="DZ55" s="330"/>
      <c r="EA55" s="330"/>
      <c r="EB55" s="330"/>
      <c r="EC55" s="330"/>
      <c r="ED55" s="330"/>
      <c r="EE55" s="330"/>
      <c r="EF55" s="330"/>
      <c r="EG55" s="330"/>
      <c r="EH55" s="330"/>
      <c r="EI55" s="330"/>
      <c r="EJ55" s="330"/>
      <c r="EK55" s="330"/>
      <c r="EL55" s="330"/>
      <c r="EM55" s="330"/>
      <c r="EN55" s="330"/>
      <c r="EO55" s="330"/>
      <c r="EP55" s="330"/>
      <c r="EQ55" s="330"/>
      <c r="ER55" s="330"/>
      <c r="ES55" s="330"/>
      <c r="ET55" s="330"/>
      <c r="EU55" s="330"/>
      <c r="EV55" s="330"/>
      <c r="EW55" s="330"/>
      <c r="EX55" s="330"/>
      <c r="EY55" s="1032">
        <f t="shared" si="0"/>
        <v>0.23050000000000001</v>
      </c>
    </row>
    <row r="56" spans="1:166" s="699" customFormat="1" ht="14.7" customHeight="1" x14ac:dyDescent="0.25">
      <c r="A56" s="421">
        <v>52</v>
      </c>
      <c r="B56" s="183" t="str">
        <f>'бн-свекольник'!A9</f>
        <v>Свекольник со сметаной и яйцом</v>
      </c>
      <c r="C56" s="730">
        <f>'бн-свекольник'!C33</f>
        <v>250</v>
      </c>
      <c r="D56" s="1209">
        <f>9.08/1000*C56</f>
        <v>2.27</v>
      </c>
      <c r="E56" s="1209">
        <f>21.52/1000*C56</f>
        <v>5.38</v>
      </c>
      <c r="F56" s="1209">
        <f>43.92/1000*C56</f>
        <v>10.98</v>
      </c>
      <c r="G56" s="1210">
        <f>396/1000*C56</f>
        <v>99</v>
      </c>
      <c r="H56" s="730">
        <f>'бн-свекольник'!J7</f>
        <v>0</v>
      </c>
      <c r="I56" s="483">
        <f>'бн-свекольник'!F35</f>
        <v>10.02</v>
      </c>
      <c r="J56" s="329"/>
      <c r="K56" s="329"/>
      <c r="L56" s="329"/>
      <c r="M56" s="329"/>
      <c r="N56" s="329"/>
      <c r="O56" s="329"/>
      <c r="P56" s="329"/>
      <c r="Q56" s="329"/>
      <c r="R56" s="329"/>
      <c r="S56" s="329"/>
      <c r="T56" s="329"/>
      <c r="U56" s="329"/>
      <c r="V56" s="329">
        <f>'бн-свекольник'!C23</f>
        <v>2E-3</v>
      </c>
      <c r="W56" s="329"/>
      <c r="X56" s="329"/>
      <c r="Y56" s="329">
        <f>'бн-свекольник'!C28</f>
        <v>5.0000000000000001E-3</v>
      </c>
      <c r="Z56" s="329"/>
      <c r="AA56" s="329"/>
      <c r="AB56" s="329"/>
      <c r="AC56" s="329"/>
      <c r="AD56" s="329"/>
      <c r="AE56" s="330">
        <f>'бн-свекольник'!C24</f>
        <v>8.9999999999999993E-3</v>
      </c>
      <c r="AF56" s="329"/>
      <c r="AG56" s="329"/>
      <c r="AH56" s="329">
        <f>'бн-свекольник'!C25</f>
        <v>0.04</v>
      </c>
      <c r="AI56" s="329"/>
      <c r="AJ56" s="329"/>
      <c r="AK56" s="329">
        <f>'бн-свекольник'!C20</f>
        <v>0.01</v>
      </c>
      <c r="AL56" s="329"/>
      <c r="AM56" s="329"/>
      <c r="AN56" s="329"/>
      <c r="AO56" s="329"/>
      <c r="AP56" s="329"/>
      <c r="AQ56" s="329">
        <f>'бн-свекольник'!C21</f>
        <v>0.01</v>
      </c>
      <c r="AR56" s="329"/>
      <c r="AS56" s="329"/>
      <c r="AT56" s="329"/>
      <c r="AU56" s="329">
        <f>'бн-свекольник'!C29</f>
        <v>2E-3</v>
      </c>
      <c r="AV56" s="329"/>
      <c r="AW56" s="329"/>
      <c r="AX56" s="329">
        <f>'бн-свекольник'!C19</f>
        <v>6.5000000000000002E-2</v>
      </c>
      <c r="AY56" s="329"/>
      <c r="AZ56" s="329"/>
      <c r="BA56" s="329"/>
      <c r="BB56" s="329"/>
      <c r="BC56" s="329"/>
      <c r="BD56" s="329"/>
      <c r="BE56" s="329"/>
      <c r="BF56" s="329"/>
      <c r="BG56" s="329"/>
      <c r="BH56" s="329"/>
      <c r="BI56" s="329"/>
      <c r="BJ56" s="329"/>
      <c r="BK56" s="329"/>
      <c r="BL56" s="329"/>
      <c r="BM56" s="329"/>
      <c r="BN56" s="329"/>
      <c r="BO56" s="329"/>
      <c r="BP56" s="329"/>
      <c r="BQ56" s="329"/>
      <c r="BR56" s="329"/>
      <c r="BS56" s="329"/>
      <c r="BT56" s="329"/>
      <c r="BU56" s="329"/>
      <c r="BV56" s="329"/>
      <c r="BW56" s="329"/>
      <c r="BX56" s="329"/>
      <c r="BY56" s="329"/>
      <c r="BZ56" s="329"/>
      <c r="CA56" s="329"/>
      <c r="CB56" s="329"/>
      <c r="CC56" s="329"/>
      <c r="CD56" s="329"/>
      <c r="CE56" s="329"/>
      <c r="CF56" s="329"/>
      <c r="CG56" s="329"/>
      <c r="CH56" s="329"/>
      <c r="CI56" s="329"/>
      <c r="CJ56" s="329"/>
      <c r="CK56" s="329"/>
      <c r="CL56" s="329"/>
      <c r="CM56" s="329"/>
      <c r="CN56" s="329"/>
      <c r="CO56" s="329"/>
      <c r="CP56" s="329"/>
      <c r="CQ56" s="329"/>
      <c r="CR56" s="329"/>
      <c r="CS56" s="329"/>
      <c r="CT56" s="329"/>
      <c r="CU56" s="329"/>
      <c r="CV56" s="329"/>
      <c r="CW56" s="329"/>
      <c r="CX56" s="329"/>
      <c r="CY56" s="329"/>
      <c r="CZ56" s="329"/>
      <c r="DA56" s="329"/>
      <c r="DB56" s="329"/>
      <c r="DC56" s="329">
        <f>'бн-свекольник'!C27</f>
        <v>2E-3</v>
      </c>
      <c r="DD56" s="329"/>
      <c r="DE56" s="329"/>
      <c r="DF56" s="329">
        <f>'бн-свекольник'!C22</f>
        <v>2E-3</v>
      </c>
      <c r="DG56" s="329"/>
      <c r="DH56" s="329"/>
      <c r="DI56" s="329"/>
      <c r="DJ56" s="329"/>
      <c r="DK56" s="329"/>
      <c r="DL56" s="329"/>
      <c r="DM56" s="329"/>
      <c r="DN56" s="329"/>
      <c r="DO56" s="329"/>
      <c r="DP56" s="329"/>
      <c r="DQ56" s="329"/>
      <c r="DR56" s="329"/>
      <c r="DS56" s="329"/>
      <c r="DT56" s="329"/>
      <c r="DU56" s="329"/>
      <c r="DV56" s="329"/>
      <c r="DW56" s="329"/>
      <c r="DX56" s="330"/>
      <c r="DY56" s="330"/>
      <c r="DZ56" s="330"/>
      <c r="EA56" s="330"/>
      <c r="EB56" s="330"/>
      <c r="EC56" s="330"/>
      <c r="ED56" s="330"/>
      <c r="EE56" s="330"/>
      <c r="EF56" s="330"/>
      <c r="EG56" s="330"/>
      <c r="EH56" s="330"/>
      <c r="EI56" s="330"/>
      <c r="EJ56" s="330"/>
      <c r="EK56" s="330"/>
      <c r="EL56" s="330"/>
      <c r="EM56" s="330"/>
      <c r="EN56" s="330"/>
      <c r="EO56" s="330"/>
      <c r="EP56" s="330"/>
      <c r="EQ56" s="330"/>
      <c r="ER56" s="330"/>
      <c r="ES56" s="330"/>
      <c r="ET56" s="330"/>
      <c r="EU56" s="330"/>
      <c r="EV56" s="330"/>
      <c r="EW56" s="330"/>
      <c r="EX56" s="330"/>
      <c r="EY56" s="1032">
        <f t="shared" si="0"/>
        <v>0.14699999999999999</v>
      </c>
      <c r="EZ56" s="616"/>
      <c r="FA56" s="616"/>
      <c r="FB56" s="616"/>
      <c r="FC56" s="616"/>
      <c r="FD56" s="616"/>
      <c r="FE56" s="616"/>
      <c r="FF56" s="616"/>
      <c r="FG56" s="616"/>
      <c r="FH56" s="616"/>
      <c r="FI56" s="616"/>
      <c r="FJ56" s="616"/>
    </row>
    <row r="57" spans="1:166" s="570" customFormat="1" ht="14.7" customHeight="1" x14ac:dyDescent="0.25">
      <c r="A57" s="421">
        <v>53</v>
      </c>
      <c r="B57" s="183" t="str">
        <f>'87-щи из капусты'!A9</f>
        <v>Щи из свежей капусты</v>
      </c>
      <c r="C57" s="419">
        <f>'87-щи из капусты'!C33</f>
        <v>250</v>
      </c>
      <c r="D57" s="1209">
        <f>7.02/1000*C57</f>
        <v>1.76</v>
      </c>
      <c r="E57" s="1209">
        <f>19.54/1000*C57</f>
        <v>4.8899999999999997</v>
      </c>
      <c r="F57" s="1209">
        <f>23.6/1000*C57</f>
        <v>5.9</v>
      </c>
      <c r="G57" s="1210">
        <f>320/1000*C57</f>
        <v>80</v>
      </c>
      <c r="H57" s="419">
        <f>'87-щи из капусты'!J7</f>
        <v>87</v>
      </c>
      <c r="I57" s="483">
        <f>'87-щи из капусты'!F35</f>
        <v>9.6999999999999993</v>
      </c>
      <c r="J57" s="329"/>
      <c r="K57" s="329"/>
      <c r="L57" s="329"/>
      <c r="M57" s="329"/>
      <c r="N57" s="329"/>
      <c r="O57" s="329"/>
      <c r="P57" s="329"/>
      <c r="Q57" s="329"/>
      <c r="R57" s="329"/>
      <c r="S57" s="329"/>
      <c r="T57" s="329"/>
      <c r="U57" s="329"/>
      <c r="V57" s="329"/>
      <c r="W57" s="329"/>
      <c r="X57" s="329"/>
      <c r="Y57" s="329">
        <f>'87-щи из капусты'!C28/4</f>
        <v>5.0000000000000001E-3</v>
      </c>
      <c r="Z57" s="329"/>
      <c r="AA57" s="329"/>
      <c r="AB57" s="329"/>
      <c r="AC57" s="329"/>
      <c r="AD57" s="329"/>
      <c r="AE57" s="330"/>
      <c r="AF57" s="329">
        <f>'87-щи из капусты'!C19/4</f>
        <v>8.7499999999999994E-2</v>
      </c>
      <c r="AG57" s="329"/>
      <c r="AH57" s="329"/>
      <c r="AI57" s="329"/>
      <c r="AJ57" s="329"/>
      <c r="AK57" s="329">
        <f>'87-щи из капусты'!C22/4</f>
        <v>1.2E-2</v>
      </c>
      <c r="AL57" s="329"/>
      <c r="AM57" s="329"/>
      <c r="AN57" s="329"/>
      <c r="AO57" s="329"/>
      <c r="AP57" s="329"/>
      <c r="AQ57" s="329">
        <f>'87-щи из капусты'!C20/4</f>
        <v>1.2500000000000001E-2</v>
      </c>
      <c r="AR57" s="329"/>
      <c r="AS57" s="329"/>
      <c r="AT57" s="329">
        <f>'87-щи из капусты'!C21/4</f>
        <v>3.2499999999999999E-3</v>
      </c>
      <c r="AU57" s="329">
        <f>'87-щи из капусты'!C29/4</f>
        <v>2E-3</v>
      </c>
      <c r="AV57" s="329"/>
      <c r="AW57" s="329"/>
      <c r="AX57" s="329"/>
      <c r="AY57" s="329"/>
      <c r="AZ57" s="329"/>
      <c r="BA57" s="329"/>
      <c r="BB57" s="329"/>
      <c r="BC57" s="329"/>
      <c r="BD57" s="329"/>
      <c r="BE57" s="329"/>
      <c r="BF57" s="329"/>
      <c r="BG57" s="329"/>
      <c r="BH57" s="329"/>
      <c r="BI57" s="329"/>
      <c r="BJ57" s="329"/>
      <c r="BK57" s="329"/>
      <c r="BL57" s="329"/>
      <c r="BM57" s="329"/>
      <c r="BN57" s="329"/>
      <c r="BO57" s="329"/>
      <c r="BP57" s="329"/>
      <c r="BQ57" s="329"/>
      <c r="BR57" s="329"/>
      <c r="BS57" s="329">
        <f>'87-щи из капусты'!C24/4</f>
        <v>2.5000000000000001E-3</v>
      </c>
      <c r="BT57" s="329"/>
      <c r="BU57" s="329"/>
      <c r="BV57" s="329"/>
      <c r="BW57" s="329"/>
      <c r="BX57" s="329"/>
      <c r="BY57" s="329"/>
      <c r="BZ57" s="329"/>
      <c r="CA57" s="329"/>
      <c r="CB57" s="329"/>
      <c r="CC57" s="329"/>
      <c r="CD57" s="329"/>
      <c r="CE57" s="329"/>
      <c r="CF57" s="329">
        <f>'87-щи из капусты'!C25/4</f>
        <v>5.0000000000000001E-3</v>
      </c>
      <c r="CG57" s="329"/>
      <c r="CH57" s="329"/>
      <c r="CI57" s="329"/>
      <c r="CJ57" s="329"/>
      <c r="CK57" s="329"/>
      <c r="CL57" s="329"/>
      <c r="CM57" s="329"/>
      <c r="CN57" s="329"/>
      <c r="CO57" s="329"/>
      <c r="CP57" s="329"/>
      <c r="CQ57" s="329"/>
      <c r="CR57" s="329"/>
      <c r="CS57" s="329"/>
      <c r="CT57" s="329"/>
      <c r="CU57" s="329"/>
      <c r="CV57" s="329"/>
      <c r="CW57" s="329"/>
      <c r="CX57" s="329"/>
      <c r="CY57" s="329"/>
      <c r="CZ57" s="329"/>
      <c r="DA57" s="329"/>
      <c r="DB57" s="329"/>
      <c r="DC57" s="329">
        <f>'87-щи из капусты'!C27/4</f>
        <v>2.5000000000000001E-3</v>
      </c>
      <c r="DD57" s="329"/>
      <c r="DE57" s="329"/>
      <c r="DF57" s="329">
        <f>'87-щи из капусты'!C23/4</f>
        <v>1.5E-3</v>
      </c>
      <c r="DG57" s="329"/>
      <c r="DH57" s="329"/>
      <c r="DI57" s="329"/>
      <c r="DJ57" s="329"/>
      <c r="DK57" s="329"/>
      <c r="DL57" s="329"/>
      <c r="DM57" s="329"/>
      <c r="DN57" s="329"/>
      <c r="DO57" s="329"/>
      <c r="DP57" s="329"/>
      <c r="DQ57" s="329"/>
      <c r="DR57" s="329"/>
      <c r="DS57" s="329"/>
      <c r="DT57" s="329"/>
      <c r="DU57" s="329"/>
      <c r="DV57" s="329"/>
      <c r="DW57" s="329"/>
      <c r="DX57" s="330"/>
      <c r="DY57" s="330"/>
      <c r="DZ57" s="330"/>
      <c r="EA57" s="330"/>
      <c r="EB57" s="330"/>
      <c r="EC57" s="330"/>
      <c r="ED57" s="330"/>
      <c r="EE57" s="330"/>
      <c r="EF57" s="330"/>
      <c r="EG57" s="330"/>
      <c r="EH57" s="330"/>
      <c r="EI57" s="330"/>
      <c r="EJ57" s="330"/>
      <c r="EK57" s="330"/>
      <c r="EL57" s="330"/>
      <c r="EM57" s="330"/>
      <c r="EN57" s="330"/>
      <c r="EO57" s="330"/>
      <c r="EP57" s="330"/>
      <c r="EQ57" s="330"/>
      <c r="ER57" s="330"/>
      <c r="ES57" s="330"/>
      <c r="ET57" s="330"/>
      <c r="EU57" s="330"/>
      <c r="EV57" s="330"/>
      <c r="EW57" s="330"/>
      <c r="EX57" s="330"/>
      <c r="EY57" s="1032">
        <f t="shared" si="0"/>
        <v>0.13375000000000001</v>
      </c>
      <c r="EZ57" s="616"/>
      <c r="FA57" s="616"/>
      <c r="FB57" s="616"/>
      <c r="FC57" s="616"/>
      <c r="FD57" s="616"/>
      <c r="FE57" s="616"/>
      <c r="FF57" s="616"/>
      <c r="FG57" s="616"/>
      <c r="FH57" s="616"/>
      <c r="FI57" s="616"/>
      <c r="FJ57" s="616"/>
    </row>
    <row r="58" spans="1:166" s="570" customFormat="1" ht="14.7" customHeight="1" x14ac:dyDescent="0.25">
      <c r="A58" s="421">
        <v>54</v>
      </c>
      <c r="B58" s="183" t="str">
        <f>'88-щи из картофеля'!A9</f>
        <v>Щи из свежей капусты и картофеля</v>
      </c>
      <c r="C58" s="419">
        <f>'88-щи из картофеля'!C33</f>
        <v>250</v>
      </c>
      <c r="D58" s="1209">
        <f>7.06/1000*C58</f>
        <v>1.77</v>
      </c>
      <c r="E58" s="1209">
        <f>19.8/1000*C58</f>
        <v>4.95</v>
      </c>
      <c r="F58" s="1209">
        <f>31.61/1000*C58</f>
        <v>7.9</v>
      </c>
      <c r="G58" s="1210">
        <f>359/1000*C58</f>
        <v>90</v>
      </c>
      <c r="H58" s="419">
        <f>'88-щи из картофеля'!J7</f>
        <v>88</v>
      </c>
      <c r="I58" s="483">
        <f>'88-щи из картофеля'!F35</f>
        <v>10.52</v>
      </c>
      <c r="J58" s="329"/>
      <c r="K58" s="329"/>
      <c r="L58" s="329"/>
      <c r="M58" s="329"/>
      <c r="N58" s="329"/>
      <c r="O58" s="329"/>
      <c r="P58" s="329"/>
      <c r="Q58" s="329"/>
      <c r="R58" s="329"/>
      <c r="S58" s="329"/>
      <c r="T58" s="329"/>
      <c r="U58" s="329"/>
      <c r="V58" s="329"/>
      <c r="W58" s="329"/>
      <c r="X58" s="329"/>
      <c r="Y58" s="329">
        <f>'88-щи из картофеля'!C28/4</f>
        <v>5.0000000000000001E-3</v>
      </c>
      <c r="Z58" s="329"/>
      <c r="AA58" s="329"/>
      <c r="AB58" s="329"/>
      <c r="AC58" s="329"/>
      <c r="AD58" s="329"/>
      <c r="AE58" s="330"/>
      <c r="AF58" s="329">
        <f>'88-щи из картофеля'!C19/4</f>
        <v>6.25E-2</v>
      </c>
      <c r="AG58" s="329"/>
      <c r="AH58" s="329">
        <f>'88-щи из картофеля'!C20/4</f>
        <v>0.04</v>
      </c>
      <c r="AI58" s="329"/>
      <c r="AJ58" s="329"/>
      <c r="AK58" s="329">
        <f>'88-щи из картофеля'!C23/4</f>
        <v>1.2E-2</v>
      </c>
      <c r="AL58" s="329"/>
      <c r="AM58" s="329"/>
      <c r="AN58" s="329"/>
      <c r="AO58" s="329"/>
      <c r="AP58" s="329"/>
      <c r="AQ58" s="329">
        <f>'88-щи из картофеля'!C21/4</f>
        <v>1.2500000000000001E-2</v>
      </c>
      <c r="AR58" s="329"/>
      <c r="AS58" s="329"/>
      <c r="AT58" s="329">
        <f>'88-щи из картофеля'!C22/4</f>
        <v>3.2499999999999999E-3</v>
      </c>
      <c r="AU58" s="329">
        <f>'88-щи из картофеля'!C29/4</f>
        <v>2E-3</v>
      </c>
      <c r="AV58" s="329"/>
      <c r="AW58" s="329"/>
      <c r="AX58" s="329"/>
      <c r="AY58" s="329"/>
      <c r="AZ58" s="329"/>
      <c r="BA58" s="329"/>
      <c r="BB58" s="329"/>
      <c r="BC58" s="329"/>
      <c r="BD58" s="329"/>
      <c r="BE58" s="329"/>
      <c r="BF58" s="329"/>
      <c r="BG58" s="329"/>
      <c r="BH58" s="329"/>
      <c r="BI58" s="329"/>
      <c r="BJ58" s="329"/>
      <c r="BK58" s="329"/>
      <c r="BL58" s="329"/>
      <c r="BM58" s="329"/>
      <c r="BN58" s="329"/>
      <c r="BO58" s="329"/>
      <c r="BP58" s="329"/>
      <c r="BQ58" s="329"/>
      <c r="BR58" s="329"/>
      <c r="BS58" s="329"/>
      <c r="BT58" s="329"/>
      <c r="BU58" s="329"/>
      <c r="BV58" s="329"/>
      <c r="BW58" s="329"/>
      <c r="BX58" s="329"/>
      <c r="BY58" s="329"/>
      <c r="BZ58" s="329"/>
      <c r="CA58" s="329"/>
      <c r="CB58" s="329"/>
      <c r="CC58" s="329"/>
      <c r="CD58" s="329"/>
      <c r="CE58" s="329"/>
      <c r="CF58" s="329">
        <f>'88-щи из картофеля'!C25/4</f>
        <v>5.0000000000000001E-3</v>
      </c>
      <c r="CG58" s="329"/>
      <c r="CH58" s="329"/>
      <c r="CI58" s="329"/>
      <c r="CJ58" s="329"/>
      <c r="CK58" s="329"/>
      <c r="CL58" s="329"/>
      <c r="CM58" s="329"/>
      <c r="CN58" s="329"/>
      <c r="CO58" s="329"/>
      <c r="CP58" s="329"/>
      <c r="CQ58" s="329"/>
      <c r="CR58" s="329"/>
      <c r="CS58" s="329"/>
      <c r="CT58" s="329"/>
      <c r="CU58" s="329"/>
      <c r="CV58" s="329"/>
      <c r="CW58" s="329"/>
      <c r="CX58" s="329"/>
      <c r="CY58" s="329"/>
      <c r="CZ58" s="329"/>
      <c r="DA58" s="329"/>
      <c r="DB58" s="329"/>
      <c r="DC58" s="329">
        <f>'88-щи из картофеля'!C27/4</f>
        <v>2.5000000000000001E-3</v>
      </c>
      <c r="DD58" s="329"/>
      <c r="DE58" s="329"/>
      <c r="DF58" s="329">
        <f>'88-щи из картофеля'!C24/4</f>
        <v>2.5000000000000001E-3</v>
      </c>
      <c r="DG58" s="329"/>
      <c r="DH58" s="329"/>
      <c r="DI58" s="329"/>
      <c r="DJ58" s="329"/>
      <c r="DK58" s="329"/>
      <c r="DL58" s="329"/>
      <c r="DM58" s="329"/>
      <c r="DN58" s="329"/>
      <c r="DO58" s="329"/>
      <c r="DP58" s="329"/>
      <c r="DQ58" s="329"/>
      <c r="DR58" s="329"/>
      <c r="DS58" s="329"/>
      <c r="DT58" s="329"/>
      <c r="DU58" s="329"/>
      <c r="DV58" s="329"/>
      <c r="DW58" s="329"/>
      <c r="DX58" s="330"/>
      <c r="DY58" s="330"/>
      <c r="DZ58" s="330"/>
      <c r="EA58" s="330"/>
      <c r="EB58" s="330"/>
      <c r="EC58" s="330"/>
      <c r="ED58" s="330"/>
      <c r="EE58" s="330"/>
      <c r="EF58" s="330"/>
      <c r="EG58" s="330"/>
      <c r="EH58" s="330"/>
      <c r="EI58" s="330"/>
      <c r="EJ58" s="330"/>
      <c r="EK58" s="330"/>
      <c r="EL58" s="330"/>
      <c r="EM58" s="330"/>
      <c r="EN58" s="330"/>
      <c r="EO58" s="330"/>
      <c r="EP58" s="330"/>
      <c r="EQ58" s="330"/>
      <c r="ER58" s="330"/>
      <c r="ES58" s="330"/>
      <c r="ET58" s="330"/>
      <c r="EU58" s="330"/>
      <c r="EV58" s="330"/>
      <c r="EW58" s="330"/>
      <c r="EX58" s="330"/>
      <c r="EY58" s="1032">
        <f t="shared" si="0"/>
        <v>0.14724999999999999</v>
      </c>
      <c r="EZ58" s="616"/>
      <c r="FA58" s="616"/>
      <c r="FB58" s="616"/>
      <c r="FC58" s="616"/>
      <c r="FD58" s="616"/>
      <c r="FE58" s="616"/>
      <c r="FF58" s="616"/>
      <c r="FG58" s="616"/>
      <c r="FH58" s="616"/>
      <c r="FI58" s="616"/>
      <c r="FJ58" s="616"/>
    </row>
    <row r="59" spans="1:166" s="570" customFormat="1" ht="14.7" customHeight="1" x14ac:dyDescent="0.25">
      <c r="A59" s="421">
        <v>55</v>
      </c>
      <c r="B59" s="183" t="str">
        <f>'89-щи зеленые'!A9</f>
        <v>Щи зелёные</v>
      </c>
      <c r="C59" s="419">
        <f>'89-щи зеленые'!C32</f>
        <v>250</v>
      </c>
      <c r="D59" s="1209">
        <f>10.9/1000*C59</f>
        <v>2.73</v>
      </c>
      <c r="E59" s="1209">
        <f>26.52/1000*C59</f>
        <v>6.63</v>
      </c>
      <c r="F59" s="1209">
        <f>35.8/1000*C59</f>
        <v>8.9499999999999993</v>
      </c>
      <c r="G59" s="1210">
        <f>457/1000*C59</f>
        <v>114</v>
      </c>
      <c r="H59" s="419">
        <f>'89-щи зеленые'!J7</f>
        <v>89</v>
      </c>
      <c r="I59" s="483">
        <f>'89-щи зеленые'!F34</f>
        <v>31.53</v>
      </c>
      <c r="J59" s="329"/>
      <c r="K59" s="329"/>
      <c r="L59" s="329"/>
      <c r="M59" s="329"/>
      <c r="N59" s="329"/>
      <c r="O59" s="329"/>
      <c r="P59" s="329"/>
      <c r="Q59" s="329"/>
      <c r="R59" s="329"/>
      <c r="S59" s="329"/>
      <c r="T59" s="329"/>
      <c r="U59" s="329"/>
      <c r="V59" s="329"/>
      <c r="W59" s="329"/>
      <c r="X59" s="329"/>
      <c r="Y59" s="329">
        <f>'89-щи зеленые'!C27/4</f>
        <v>5.0000000000000001E-3</v>
      </c>
      <c r="Z59" s="329"/>
      <c r="AA59" s="329"/>
      <c r="AB59" s="329"/>
      <c r="AC59" s="329"/>
      <c r="AD59" s="329"/>
      <c r="AE59" s="330">
        <f>'89-щи зеленые'!C24/4</f>
        <v>5.7499999999999999E-3</v>
      </c>
      <c r="AF59" s="329"/>
      <c r="AG59" s="329"/>
      <c r="AH59" s="329">
        <f>'89-щи зеленые'!C20/4</f>
        <v>3.3000000000000002E-2</v>
      </c>
      <c r="AI59" s="329"/>
      <c r="AJ59" s="329"/>
      <c r="AK59" s="329">
        <f>'89-щи зеленые'!C21/4</f>
        <v>1.2E-2</v>
      </c>
      <c r="AL59" s="329"/>
      <c r="AM59" s="329"/>
      <c r="AN59" s="329"/>
      <c r="AO59" s="329"/>
      <c r="AP59" s="329"/>
      <c r="AQ59" s="329"/>
      <c r="AR59" s="329"/>
      <c r="AS59" s="329"/>
      <c r="AT59" s="329"/>
      <c r="AU59" s="329">
        <f>'89-щи зеленые'!C28/4</f>
        <v>2E-3</v>
      </c>
      <c r="AV59" s="329">
        <f>'89-щи зеленые'!C19/4</f>
        <v>9.8750000000000004E-2</v>
      </c>
      <c r="AW59" s="329"/>
      <c r="AX59" s="329"/>
      <c r="AY59" s="329"/>
      <c r="AZ59" s="329"/>
      <c r="BA59" s="329"/>
      <c r="BB59" s="329"/>
      <c r="BC59" s="329"/>
      <c r="BD59" s="329"/>
      <c r="BE59" s="329"/>
      <c r="BF59" s="329"/>
      <c r="BG59" s="329"/>
      <c r="BH59" s="329"/>
      <c r="BI59" s="329"/>
      <c r="BJ59" s="329"/>
      <c r="BK59" s="329"/>
      <c r="BL59" s="329"/>
      <c r="BM59" s="329"/>
      <c r="BN59" s="329"/>
      <c r="BO59" s="329"/>
      <c r="BP59" s="329"/>
      <c r="BQ59" s="329"/>
      <c r="BR59" s="329"/>
      <c r="BS59" s="329">
        <f>'89-щи зеленые'!C22/4</f>
        <v>5.0000000000000001E-3</v>
      </c>
      <c r="BT59" s="329"/>
      <c r="BU59" s="329"/>
      <c r="BV59" s="329"/>
      <c r="BW59" s="329"/>
      <c r="BX59" s="329"/>
      <c r="BY59" s="329"/>
      <c r="BZ59" s="329"/>
      <c r="CA59" s="329"/>
      <c r="CB59" s="329"/>
      <c r="CC59" s="329"/>
      <c r="CD59" s="329"/>
      <c r="CE59" s="329"/>
      <c r="CF59" s="329">
        <f>'89-щи зеленые'!C23/4</f>
        <v>6.0000000000000001E-3</v>
      </c>
      <c r="CG59" s="329"/>
      <c r="CH59" s="329"/>
      <c r="CI59" s="329"/>
      <c r="CJ59" s="329"/>
      <c r="CK59" s="329"/>
      <c r="CL59" s="329"/>
      <c r="CM59" s="329"/>
      <c r="CN59" s="329"/>
      <c r="CO59" s="329"/>
      <c r="CP59" s="329"/>
      <c r="CQ59" s="329"/>
      <c r="CR59" s="329"/>
      <c r="CS59" s="329"/>
      <c r="CT59" s="329"/>
      <c r="CU59" s="329"/>
      <c r="CV59" s="329"/>
      <c r="CW59" s="329"/>
      <c r="CX59" s="329"/>
      <c r="CY59" s="329"/>
      <c r="CZ59" s="329"/>
      <c r="DA59" s="329"/>
      <c r="DB59" s="329"/>
      <c r="DC59" s="329">
        <f>'89-щи зеленые'!C26/4</f>
        <v>2.5000000000000001E-3</v>
      </c>
      <c r="DD59" s="329"/>
      <c r="DE59" s="329"/>
      <c r="DF59" s="329"/>
      <c r="DG59" s="329"/>
      <c r="DH59" s="329"/>
      <c r="DI59" s="329"/>
      <c r="DJ59" s="329"/>
      <c r="DK59" s="329"/>
      <c r="DL59" s="329"/>
      <c r="DM59" s="329"/>
      <c r="DN59" s="329"/>
      <c r="DO59" s="329"/>
      <c r="DP59" s="329"/>
      <c r="DQ59" s="329"/>
      <c r="DR59" s="329"/>
      <c r="DS59" s="329"/>
      <c r="DT59" s="329"/>
      <c r="DU59" s="329"/>
      <c r="DV59" s="329"/>
      <c r="DW59" s="329"/>
      <c r="DX59" s="330"/>
      <c r="DY59" s="330"/>
      <c r="DZ59" s="330"/>
      <c r="EA59" s="330"/>
      <c r="EB59" s="330"/>
      <c r="EC59" s="330"/>
      <c r="ED59" s="330"/>
      <c r="EE59" s="330"/>
      <c r="EF59" s="330"/>
      <c r="EG59" s="330"/>
      <c r="EH59" s="330"/>
      <c r="EI59" s="330"/>
      <c r="EJ59" s="330"/>
      <c r="EK59" s="330"/>
      <c r="EL59" s="330"/>
      <c r="EM59" s="330"/>
      <c r="EN59" s="330"/>
      <c r="EO59" s="330"/>
      <c r="EP59" s="330"/>
      <c r="EQ59" s="330"/>
      <c r="ER59" s="330"/>
      <c r="ES59" s="330"/>
      <c r="ET59" s="330"/>
      <c r="EU59" s="330"/>
      <c r="EV59" s="330"/>
      <c r="EW59" s="330"/>
      <c r="EX59" s="330"/>
      <c r="EY59" s="1032">
        <f t="shared" si="0"/>
        <v>0.17</v>
      </c>
      <c r="EZ59" s="616"/>
      <c r="FA59" s="616"/>
      <c r="FB59" s="616"/>
      <c r="FC59" s="616"/>
      <c r="FD59" s="616"/>
      <c r="FE59" s="616"/>
      <c r="FF59" s="616"/>
      <c r="FG59" s="616"/>
      <c r="FH59" s="616"/>
      <c r="FI59" s="616"/>
      <c r="FJ59" s="616"/>
    </row>
    <row r="60" spans="1:166" s="595" customFormat="1" ht="14.7" customHeight="1" x14ac:dyDescent="0.25">
      <c r="A60" s="421">
        <v>56</v>
      </c>
      <c r="B60" s="183" t="str">
        <f>'92-щи кваш. капуста 50'!A9</f>
        <v>Щи из квашеной капусты с картофелем</v>
      </c>
      <c r="C60" s="419">
        <f>'92-щи кваш. капуста 50'!C32</f>
        <v>250</v>
      </c>
      <c r="D60" s="1209">
        <f>6.55/1000*C60</f>
        <v>1.64</v>
      </c>
      <c r="E60" s="1209">
        <f>19.67/1000*C60</f>
        <v>4.92</v>
      </c>
      <c r="F60" s="1209">
        <f>25.09/1000*C60</f>
        <v>6.27</v>
      </c>
      <c r="G60" s="1210">
        <f>326/1000*C60</f>
        <v>82</v>
      </c>
      <c r="H60" s="419">
        <f>'92-щи кваш. капуста 50'!J7</f>
        <v>92</v>
      </c>
      <c r="I60" s="483">
        <f>'92-щи кваш. капуста 50'!F34</f>
        <v>13.9</v>
      </c>
      <c r="J60" s="329"/>
      <c r="K60" s="329"/>
      <c r="L60" s="329"/>
      <c r="M60" s="329"/>
      <c r="N60" s="329"/>
      <c r="O60" s="329"/>
      <c r="P60" s="329"/>
      <c r="Q60" s="329"/>
      <c r="R60" s="329"/>
      <c r="S60" s="329"/>
      <c r="T60" s="329"/>
      <c r="U60" s="329"/>
      <c r="V60" s="329"/>
      <c r="W60" s="329"/>
      <c r="X60" s="329"/>
      <c r="Y60" s="329">
        <f>'92-щи кваш. капуста 50'!C27/'92-щи кваш. капуста 50'!C31*'92-щи кваш. капуста 50'!C32</f>
        <v>5.0000000000000001E-3</v>
      </c>
      <c r="Z60" s="329"/>
      <c r="AA60" s="329"/>
      <c r="AB60" s="329"/>
      <c r="AC60" s="329"/>
      <c r="AD60" s="329"/>
      <c r="AE60" s="330"/>
      <c r="AF60" s="329"/>
      <c r="AG60" s="329"/>
      <c r="AH60" s="329">
        <f>'92-щи кваш. капуста 50'!C20/'92-щи кваш. капуста 50'!C31*'92-щи кваш. капуста 50'!C32</f>
        <v>3.3250000000000002E-2</v>
      </c>
      <c r="AI60" s="329"/>
      <c r="AJ60" s="329"/>
      <c r="AK60" s="329">
        <f>'92-щи кваш. капуста 50'!C22/'92-щи кваш. капуста 50'!C31*'92-щи кваш. капуста 50'!C32</f>
        <v>1.2E-2</v>
      </c>
      <c r="AL60" s="329"/>
      <c r="AM60" s="329"/>
      <c r="AN60" s="329"/>
      <c r="AO60" s="329"/>
      <c r="AP60" s="329"/>
      <c r="AQ60" s="329">
        <f>'92-щи кваш. капуста 50'!C21/'92-щи кваш. капуста 50'!C31*'92-щи кваш. капуста 50'!C32</f>
        <v>1.2500000000000001E-2</v>
      </c>
      <c r="AR60" s="329"/>
      <c r="AS60" s="329"/>
      <c r="AT60" s="329"/>
      <c r="AU60" s="329">
        <f>'92-щи кваш. капуста 50'!C28/'92-щи кваш. капуста 50'!C31*'92-щи кваш. капуста 50'!C32</f>
        <v>2E-3</v>
      </c>
      <c r="AV60" s="329"/>
      <c r="AW60" s="329"/>
      <c r="AX60" s="329"/>
      <c r="AY60" s="329"/>
      <c r="AZ60" s="329"/>
      <c r="BA60" s="329"/>
      <c r="BB60" s="329"/>
      <c r="BC60" s="329"/>
      <c r="BD60" s="329"/>
      <c r="BE60" s="329"/>
      <c r="BF60" s="329"/>
      <c r="BG60" s="329"/>
      <c r="BH60" s="329"/>
      <c r="BI60" s="329"/>
      <c r="BJ60" s="329"/>
      <c r="BK60" s="329"/>
      <c r="BL60" s="329"/>
      <c r="BM60" s="329"/>
      <c r="BN60" s="329"/>
      <c r="BO60" s="329"/>
      <c r="BP60" s="329"/>
      <c r="BQ60" s="329"/>
      <c r="BR60" s="329"/>
      <c r="BS60" s="329"/>
      <c r="BT60" s="329"/>
      <c r="BU60" s="329"/>
      <c r="BV60" s="329"/>
      <c r="BW60" s="329"/>
      <c r="BX60" s="329"/>
      <c r="BY60" s="329"/>
      <c r="BZ60" s="329"/>
      <c r="CA60" s="329"/>
      <c r="CB60" s="329"/>
      <c r="CC60" s="329"/>
      <c r="CD60" s="329"/>
      <c r="CE60" s="329"/>
      <c r="CF60" s="329">
        <f>'92-щи кваш. капуста 50'!C24/'92-щи кваш. капуста 50'!C31*'92-щи кваш. капуста 50'!C32</f>
        <v>5.0000000000000001E-3</v>
      </c>
      <c r="CG60" s="329"/>
      <c r="CH60" s="329"/>
      <c r="CI60" s="329"/>
      <c r="CJ60" s="329"/>
      <c r="CK60" s="329"/>
      <c r="CL60" s="329"/>
      <c r="CM60" s="329"/>
      <c r="CN60" s="329"/>
      <c r="CO60" s="329"/>
      <c r="CP60" s="329"/>
      <c r="CQ60" s="329"/>
      <c r="CR60" s="329"/>
      <c r="CS60" s="329"/>
      <c r="CT60" s="329"/>
      <c r="CU60" s="329"/>
      <c r="CV60" s="329">
        <f>'92-щи кваш. капуста 50'!C19/'92-щи кваш. капуста 50'!C31*'92-щи кваш. капуста 50'!C32</f>
        <v>7.1499999999999994E-2</v>
      </c>
      <c r="CW60" s="329"/>
      <c r="CX60" s="329"/>
      <c r="CY60" s="329"/>
      <c r="CZ60" s="329"/>
      <c r="DA60" s="329"/>
      <c r="DB60" s="329"/>
      <c r="DC60" s="329">
        <f>'92-щи кваш. капуста 50'!C26/'92-щи кваш. капуста 50'!C31*'92-щи кваш. капуста 50'!C32</f>
        <v>2.5000000000000001E-3</v>
      </c>
      <c r="DD60" s="329"/>
      <c r="DE60" s="329"/>
      <c r="DF60" s="329">
        <f>'92-щи кваш. капуста 50'!C23/'92-щи кваш. капуста 50'!C31*'92-щи кваш. капуста 50'!C32</f>
        <v>2.5000000000000001E-3</v>
      </c>
      <c r="DG60" s="329"/>
      <c r="DH60" s="329"/>
      <c r="DI60" s="329"/>
      <c r="DJ60" s="329"/>
      <c r="DK60" s="329"/>
      <c r="DL60" s="329"/>
      <c r="DM60" s="329"/>
      <c r="DN60" s="329"/>
      <c r="DO60" s="329"/>
      <c r="DP60" s="329"/>
      <c r="DQ60" s="329"/>
      <c r="DR60" s="329"/>
      <c r="DS60" s="329"/>
      <c r="DT60" s="329"/>
      <c r="DU60" s="329"/>
      <c r="DV60" s="329"/>
      <c r="DW60" s="329"/>
      <c r="DX60" s="330"/>
      <c r="DY60" s="330"/>
      <c r="DZ60" s="330"/>
      <c r="EA60" s="330"/>
      <c r="EB60" s="330"/>
      <c r="EC60" s="330"/>
      <c r="ED60" s="330"/>
      <c r="EE60" s="330"/>
      <c r="EF60" s="330"/>
      <c r="EG60" s="330"/>
      <c r="EH60" s="330"/>
      <c r="EI60" s="330"/>
      <c r="EJ60" s="330"/>
      <c r="EK60" s="330"/>
      <c r="EL60" s="330"/>
      <c r="EM60" s="330"/>
      <c r="EN60" s="330"/>
      <c r="EO60" s="330"/>
      <c r="EP60" s="330"/>
      <c r="EQ60" s="330"/>
      <c r="ER60" s="330"/>
      <c r="ES60" s="330"/>
      <c r="ET60" s="330"/>
      <c r="EU60" s="330"/>
      <c r="EV60" s="330"/>
      <c r="EW60" s="330"/>
      <c r="EX60" s="330"/>
      <c r="EY60" s="1032">
        <f t="shared" si="0"/>
        <v>0.14624999999999999</v>
      </c>
      <c r="EZ60" s="616"/>
      <c r="FA60" s="616"/>
      <c r="FB60" s="616"/>
      <c r="FC60" s="616"/>
      <c r="FD60" s="616"/>
      <c r="FE60" s="616"/>
      <c r="FF60" s="616"/>
      <c r="FG60" s="616"/>
      <c r="FH60" s="616"/>
      <c r="FI60" s="616"/>
      <c r="FJ60" s="616"/>
    </row>
    <row r="61" spans="1:166" s="699" customFormat="1" ht="14.7" customHeight="1" x14ac:dyDescent="0.25">
      <c r="A61" s="421">
        <v>57</v>
      </c>
      <c r="B61" s="183" t="str">
        <f>'94-рассольник'!A9</f>
        <v>Рассольник</v>
      </c>
      <c r="C61" s="730">
        <f>'94-рассольник'!C28</f>
        <v>250</v>
      </c>
      <c r="D61" s="1209">
        <f>6.55/1000*C61</f>
        <v>1.64</v>
      </c>
      <c r="E61" s="1209">
        <f>20.25/1000*C61</f>
        <v>5.0599999999999996</v>
      </c>
      <c r="F61" s="1209">
        <f>45.22/1000*C61</f>
        <v>11.31</v>
      </c>
      <c r="G61" s="1210">
        <f>424/1000*C61</f>
        <v>106</v>
      </c>
      <c r="H61" s="730">
        <f>'94-рассольник'!J7</f>
        <v>94</v>
      </c>
      <c r="I61" s="483">
        <f>'94-рассольник'!F30</f>
        <v>9.3800000000000008</v>
      </c>
      <c r="J61" s="329"/>
      <c r="K61" s="329"/>
      <c r="L61" s="329"/>
      <c r="M61" s="329"/>
      <c r="N61" s="329"/>
      <c r="O61" s="329"/>
      <c r="P61" s="329"/>
      <c r="Q61" s="329"/>
      <c r="R61" s="329"/>
      <c r="S61" s="329"/>
      <c r="T61" s="329"/>
      <c r="U61" s="329"/>
      <c r="V61" s="329"/>
      <c r="W61" s="329"/>
      <c r="X61" s="329"/>
      <c r="Y61" s="329">
        <f>'94-рассольник'!C24/'94-рассольник'!C27*'94-рассольник'!C28</f>
        <v>5.0000000000000001E-3</v>
      </c>
      <c r="Z61" s="329"/>
      <c r="AA61" s="329"/>
      <c r="AB61" s="329"/>
      <c r="AC61" s="329"/>
      <c r="AD61" s="329"/>
      <c r="AE61" s="330"/>
      <c r="AF61" s="329"/>
      <c r="AG61" s="329"/>
      <c r="AH61" s="329">
        <f>'94-рассольник'!C19/'94-рассольник'!C27*'94-рассольник'!C28</f>
        <v>0.1</v>
      </c>
      <c r="AI61" s="329"/>
      <c r="AJ61" s="329"/>
      <c r="AK61" s="329">
        <f>'94-рассольник'!C20/'94-рассольник'!C27*'94-рассольник'!C28</f>
        <v>1.2E-2</v>
      </c>
      <c r="AL61" s="329"/>
      <c r="AM61" s="329"/>
      <c r="AN61" s="329"/>
      <c r="AO61" s="329"/>
      <c r="AP61" s="329"/>
      <c r="AQ61" s="329"/>
      <c r="AR61" s="329"/>
      <c r="AS61" s="329"/>
      <c r="AT61" s="329"/>
      <c r="AU61" s="329"/>
      <c r="AV61" s="329"/>
      <c r="AW61" s="329"/>
      <c r="AX61" s="329"/>
      <c r="AY61" s="329"/>
      <c r="AZ61" s="329"/>
      <c r="BA61" s="329"/>
      <c r="BB61" s="329"/>
      <c r="BC61" s="329"/>
      <c r="BD61" s="329"/>
      <c r="BE61" s="329"/>
      <c r="BF61" s="329"/>
      <c r="BG61" s="329"/>
      <c r="BH61" s="329"/>
      <c r="BI61" s="329"/>
      <c r="BJ61" s="329"/>
      <c r="BK61" s="329"/>
      <c r="BL61" s="329"/>
      <c r="BM61" s="329"/>
      <c r="BN61" s="329"/>
      <c r="BO61" s="329"/>
      <c r="BP61" s="329"/>
      <c r="BQ61" s="329"/>
      <c r="BR61" s="329"/>
      <c r="BS61" s="329"/>
      <c r="BT61" s="329"/>
      <c r="BU61" s="329"/>
      <c r="BV61" s="329"/>
      <c r="BW61" s="329"/>
      <c r="BX61" s="329"/>
      <c r="BY61" s="329"/>
      <c r="BZ61" s="329"/>
      <c r="CA61" s="329"/>
      <c r="CB61" s="329"/>
      <c r="CC61" s="329"/>
      <c r="CD61" s="329"/>
      <c r="CE61" s="329"/>
      <c r="CF61" s="329">
        <f>'94-рассольник'!C22/'94-рассольник'!C27*'94-рассольник'!C28</f>
        <v>5.0000000000000001E-3</v>
      </c>
      <c r="CG61" s="329"/>
      <c r="CH61" s="329"/>
      <c r="CI61" s="329"/>
      <c r="CJ61" s="329"/>
      <c r="CK61" s="329"/>
      <c r="CL61" s="329"/>
      <c r="CM61" s="329"/>
      <c r="CN61" s="329"/>
      <c r="CO61" s="329"/>
      <c r="CP61" s="329"/>
      <c r="CQ61" s="329"/>
      <c r="CR61" s="329"/>
      <c r="CS61" s="329"/>
      <c r="CT61" s="329">
        <f>'94-рассольник'!C21/'94-рассольник'!C27*'94-рассольник'!C28</f>
        <v>1.6750000000000001E-2</v>
      </c>
      <c r="CU61" s="329"/>
      <c r="CV61" s="329"/>
      <c r="CW61" s="329"/>
      <c r="CX61" s="329"/>
      <c r="CY61" s="329"/>
      <c r="CZ61" s="329"/>
      <c r="DA61" s="329"/>
      <c r="DB61" s="329"/>
      <c r="DC61" s="329"/>
      <c r="DD61" s="329"/>
      <c r="DE61" s="329"/>
      <c r="DF61" s="329"/>
      <c r="DG61" s="329"/>
      <c r="DH61" s="329"/>
      <c r="DI61" s="329"/>
      <c r="DJ61" s="329"/>
      <c r="DK61" s="329"/>
      <c r="DL61" s="329"/>
      <c r="DM61" s="329"/>
      <c r="DN61" s="329"/>
      <c r="DO61" s="329"/>
      <c r="DP61" s="329"/>
      <c r="DQ61" s="329"/>
      <c r="DR61" s="329"/>
      <c r="DS61" s="329"/>
      <c r="DT61" s="329"/>
      <c r="DU61" s="329"/>
      <c r="DV61" s="329"/>
      <c r="DW61" s="329"/>
      <c r="DX61" s="330"/>
      <c r="DY61" s="330"/>
      <c r="DZ61" s="330"/>
      <c r="EA61" s="330"/>
      <c r="EB61" s="330"/>
      <c r="EC61" s="330"/>
      <c r="ED61" s="330"/>
      <c r="EE61" s="330"/>
      <c r="EF61" s="330"/>
      <c r="EG61" s="330"/>
      <c r="EH61" s="330"/>
      <c r="EI61" s="330"/>
      <c r="EJ61" s="330"/>
      <c r="EK61" s="330"/>
      <c r="EL61" s="330"/>
      <c r="EM61" s="330"/>
      <c r="EN61" s="330"/>
      <c r="EO61" s="330"/>
      <c r="EP61" s="330"/>
      <c r="EQ61" s="330"/>
      <c r="ER61" s="330"/>
      <c r="ES61" s="330"/>
      <c r="ET61" s="330"/>
      <c r="EU61" s="330"/>
      <c r="EV61" s="330"/>
      <c r="EW61" s="330"/>
      <c r="EX61" s="330"/>
      <c r="EY61" s="1032">
        <f t="shared" si="0"/>
        <v>0.13875000000000001</v>
      </c>
      <c r="EZ61" s="616"/>
      <c r="FA61" s="616"/>
      <c r="FB61" s="616"/>
      <c r="FC61" s="616"/>
      <c r="FD61" s="616"/>
      <c r="FE61" s="616"/>
      <c r="FF61" s="616"/>
      <c r="FG61" s="616"/>
      <c r="FH61" s="616"/>
      <c r="FI61" s="616"/>
      <c r="FJ61" s="616"/>
    </row>
    <row r="62" spans="1:166" s="699" customFormat="1" ht="14.7" customHeight="1" x14ac:dyDescent="0.25">
      <c r="A62" s="421">
        <v>58</v>
      </c>
      <c r="B62" s="183" t="str">
        <f>'96-рассольник ленинград'!A9</f>
        <v>Рассольник ленинградский</v>
      </c>
      <c r="C62" s="730">
        <f>'96-рассольник ленинград'!C30</f>
        <v>250</v>
      </c>
      <c r="D62" s="1209">
        <f>8.07/1000*C62</f>
        <v>2.02</v>
      </c>
      <c r="E62" s="1209">
        <f>20.36/1000*C62</f>
        <v>5.09</v>
      </c>
      <c r="F62" s="1209">
        <f>47.92/1000*C62</f>
        <v>11.98</v>
      </c>
      <c r="G62" s="1210">
        <f>429/1000*C62</f>
        <v>107</v>
      </c>
      <c r="H62" s="419">
        <f>'96-рассольник ленинград'!J7</f>
        <v>96</v>
      </c>
      <c r="I62" s="483">
        <f>'96-рассольник ленинград'!F32</f>
        <v>10.199999999999999</v>
      </c>
      <c r="J62" s="329"/>
      <c r="K62" s="329"/>
      <c r="L62" s="329"/>
      <c r="M62" s="329"/>
      <c r="N62" s="329"/>
      <c r="O62" s="329"/>
      <c r="P62" s="329"/>
      <c r="Q62" s="329"/>
      <c r="R62" s="329"/>
      <c r="S62" s="329"/>
      <c r="T62" s="329"/>
      <c r="U62" s="329"/>
      <c r="V62" s="329"/>
      <c r="W62" s="329"/>
      <c r="X62" s="329"/>
      <c r="Y62" s="329">
        <f>'96-рассольник ленинград'!C26/'96-рассольник ленинград'!C29*'96-рассольник ленинград'!C30</f>
        <v>5.0000000000000001E-3</v>
      </c>
      <c r="Z62" s="329"/>
      <c r="AA62" s="329"/>
      <c r="AB62" s="329"/>
      <c r="AC62" s="329"/>
      <c r="AD62" s="329"/>
      <c r="AE62" s="330"/>
      <c r="AF62" s="329"/>
      <c r="AG62" s="329"/>
      <c r="AH62" s="329">
        <f>'96-рассольник ленинград'!C19/'96-рассольник ленинград'!C29*'96-рассольник ленинград'!C30</f>
        <v>0.1</v>
      </c>
      <c r="AI62" s="329"/>
      <c r="AJ62" s="329"/>
      <c r="AK62" s="329">
        <f>'96-рассольник ленинград'!C22/'96-рассольник ленинград'!C29*'96-рассольник ленинград'!C30</f>
        <v>6.0000000000000001E-3</v>
      </c>
      <c r="AL62" s="329"/>
      <c r="AM62" s="329"/>
      <c r="AN62" s="329"/>
      <c r="AO62" s="329"/>
      <c r="AP62" s="329"/>
      <c r="AQ62" s="329">
        <f>'96-рассольник ленинград'!C21/'96-рассольник ленинград'!C29*'96-рассольник ленинград'!C30</f>
        <v>1.2500000000000001E-2</v>
      </c>
      <c r="AR62" s="329"/>
      <c r="AS62" s="329"/>
      <c r="AT62" s="329"/>
      <c r="AU62" s="329"/>
      <c r="AV62" s="329"/>
      <c r="AW62" s="329"/>
      <c r="AX62" s="329"/>
      <c r="AY62" s="329"/>
      <c r="AZ62" s="329"/>
      <c r="BA62" s="329"/>
      <c r="BB62" s="329"/>
      <c r="BC62" s="329"/>
      <c r="BD62" s="329"/>
      <c r="BE62" s="329"/>
      <c r="BF62" s="329"/>
      <c r="BG62" s="329"/>
      <c r="BH62" s="329"/>
      <c r="BI62" s="329"/>
      <c r="BJ62" s="329"/>
      <c r="BK62" s="329"/>
      <c r="BL62" s="329"/>
      <c r="BM62" s="329"/>
      <c r="BN62" s="329"/>
      <c r="BO62" s="329"/>
      <c r="BP62" s="329"/>
      <c r="BQ62" s="329"/>
      <c r="BR62" s="329"/>
      <c r="BS62" s="329"/>
      <c r="BT62" s="329"/>
      <c r="BU62" s="329"/>
      <c r="BV62" s="329"/>
      <c r="BW62" s="329"/>
      <c r="BX62" s="329"/>
      <c r="BY62" s="329"/>
      <c r="BZ62" s="329"/>
      <c r="CA62" s="329"/>
      <c r="CB62" s="329">
        <f>'96-рассольник ленинград'!C20/'96-рассольник ленинград'!C29*'96-рассольник ленинград'!C30</f>
        <v>5.0000000000000001E-3</v>
      </c>
      <c r="CC62" s="329"/>
      <c r="CD62" s="329"/>
      <c r="CE62" s="329"/>
      <c r="CF62" s="329">
        <f>'96-рассольник ленинград'!C24/'96-рассольник ленинград'!C29*'96-рассольник ленинград'!C30</f>
        <v>5.0000000000000001E-3</v>
      </c>
      <c r="CG62" s="329"/>
      <c r="CH62" s="329"/>
      <c r="CI62" s="329"/>
      <c r="CJ62" s="329"/>
      <c r="CK62" s="329"/>
      <c r="CL62" s="329"/>
      <c r="CM62" s="329"/>
      <c r="CN62" s="329"/>
      <c r="CO62" s="329"/>
      <c r="CP62" s="329"/>
      <c r="CQ62" s="329"/>
      <c r="CR62" s="329"/>
      <c r="CS62" s="329"/>
      <c r="CT62" s="329">
        <f>'96-рассольник ленинград'!C23/'96-рассольник ленинград'!C29*'96-рассольник ленинград'!C30</f>
        <v>1.6750000000000001E-2</v>
      </c>
      <c r="CU62" s="329"/>
      <c r="CV62" s="329"/>
      <c r="CW62" s="329"/>
      <c r="CX62" s="329"/>
      <c r="CY62" s="329"/>
      <c r="CZ62" s="329"/>
      <c r="DA62" s="329"/>
      <c r="DB62" s="329"/>
      <c r="DC62" s="329"/>
      <c r="DD62" s="329"/>
      <c r="DE62" s="329"/>
      <c r="DF62" s="329"/>
      <c r="DG62" s="329"/>
      <c r="DH62" s="329"/>
      <c r="DI62" s="329"/>
      <c r="DJ62" s="329"/>
      <c r="DK62" s="329"/>
      <c r="DL62" s="329"/>
      <c r="DM62" s="329"/>
      <c r="DN62" s="329"/>
      <c r="DO62" s="329"/>
      <c r="DP62" s="329"/>
      <c r="DQ62" s="329"/>
      <c r="DR62" s="329"/>
      <c r="DS62" s="329"/>
      <c r="DT62" s="329"/>
      <c r="DU62" s="329"/>
      <c r="DV62" s="329"/>
      <c r="DW62" s="329"/>
      <c r="DX62" s="330"/>
      <c r="DY62" s="330"/>
      <c r="DZ62" s="330"/>
      <c r="EA62" s="330"/>
      <c r="EB62" s="330"/>
      <c r="EC62" s="330"/>
      <c r="ED62" s="330"/>
      <c r="EE62" s="330"/>
      <c r="EF62" s="330"/>
      <c r="EG62" s="330"/>
      <c r="EH62" s="330"/>
      <c r="EI62" s="330"/>
      <c r="EJ62" s="330"/>
      <c r="EK62" s="330"/>
      <c r="EL62" s="330"/>
      <c r="EM62" s="330"/>
      <c r="EN62" s="330"/>
      <c r="EO62" s="330"/>
      <c r="EP62" s="330"/>
      <c r="EQ62" s="330"/>
      <c r="ER62" s="330"/>
      <c r="ES62" s="330"/>
      <c r="ET62" s="330"/>
      <c r="EU62" s="330"/>
      <c r="EV62" s="330"/>
      <c r="EW62" s="330"/>
      <c r="EX62" s="330"/>
      <c r="EY62" s="1032">
        <f t="shared" si="0"/>
        <v>0.15024999999999999</v>
      </c>
      <c r="EZ62" s="616"/>
      <c r="FA62" s="616"/>
      <c r="FB62" s="616"/>
      <c r="FC62" s="616"/>
      <c r="FD62" s="616"/>
      <c r="FE62" s="616"/>
      <c r="FF62" s="616"/>
      <c r="FG62" s="616"/>
      <c r="FH62" s="616"/>
      <c r="FI62" s="616"/>
      <c r="FJ62" s="616"/>
    </row>
    <row r="63" spans="1:166" ht="14.7" customHeight="1" x14ac:dyDescent="0.25">
      <c r="A63" s="421">
        <v>59</v>
      </c>
      <c r="B63" s="183" t="str">
        <f>'97-суп картофельный '!A9</f>
        <v>Суп картофельный</v>
      </c>
      <c r="C63" s="419">
        <f>'97-суп картофельный '!C31</f>
        <v>250</v>
      </c>
      <c r="D63" s="1209">
        <f>9.37/1000*C63</f>
        <v>2.34</v>
      </c>
      <c r="E63" s="1209">
        <f>11.31/1000*C63</f>
        <v>2.83</v>
      </c>
      <c r="F63" s="1209">
        <f>67.48/1000*C63</f>
        <v>16.87</v>
      </c>
      <c r="G63" s="1210">
        <f>456/1000*C63</f>
        <v>114</v>
      </c>
      <c r="H63" s="419">
        <f>'97-суп картофельный '!J7</f>
        <v>97</v>
      </c>
      <c r="I63" s="483">
        <f>'97-суп картофельный '!F33</f>
        <v>10.87</v>
      </c>
      <c r="J63" s="329"/>
      <c r="K63" s="329"/>
      <c r="L63" s="329"/>
      <c r="M63" s="329"/>
      <c r="N63" s="329"/>
      <c r="O63" s="329"/>
      <c r="P63" s="329"/>
      <c r="Q63" s="329"/>
      <c r="R63" s="329"/>
      <c r="S63" s="329"/>
      <c r="T63" s="329"/>
      <c r="U63" s="329"/>
      <c r="V63" s="329"/>
      <c r="W63" s="329"/>
      <c r="X63" s="329"/>
      <c r="Y63" s="329">
        <f>'97-суп картофельный '!C26/4</f>
        <v>5.0000000000000001E-3</v>
      </c>
      <c r="Z63" s="329"/>
      <c r="AA63" s="329"/>
      <c r="AB63" s="329"/>
      <c r="AC63" s="329"/>
      <c r="AD63" s="329"/>
      <c r="AE63" s="330"/>
      <c r="AF63" s="329"/>
      <c r="AG63" s="329"/>
      <c r="AH63" s="329">
        <f>'97-суп картофельный '!C19/4</f>
        <v>0.15</v>
      </c>
      <c r="AI63" s="329"/>
      <c r="AJ63" s="329"/>
      <c r="AK63" s="329">
        <f>'97-суп картофельный '!C21/4</f>
        <v>1.2E-2</v>
      </c>
      <c r="AL63" s="329"/>
      <c r="AM63" s="329"/>
      <c r="AN63" s="329"/>
      <c r="AO63" s="329"/>
      <c r="AP63" s="329"/>
      <c r="AQ63" s="329">
        <f>'97-суп картофельный '!C20/4</f>
        <v>1.2500000000000001E-2</v>
      </c>
      <c r="AR63" s="329"/>
      <c r="AS63" s="329"/>
      <c r="AT63" s="329"/>
      <c r="AU63" s="329">
        <f>'97-суп картофельный '!C27/4</f>
        <v>2E-3</v>
      </c>
      <c r="AV63" s="329"/>
      <c r="AW63" s="329"/>
      <c r="AX63" s="329"/>
      <c r="AY63" s="329"/>
      <c r="AZ63" s="329"/>
      <c r="BA63" s="329"/>
      <c r="BB63" s="329"/>
      <c r="BC63" s="329"/>
      <c r="BD63" s="329"/>
      <c r="BE63" s="329"/>
      <c r="BF63" s="329"/>
      <c r="BG63" s="329"/>
      <c r="BH63" s="329"/>
      <c r="BI63" s="329"/>
      <c r="BJ63" s="329"/>
      <c r="BK63" s="329"/>
      <c r="BL63" s="329"/>
      <c r="BM63" s="329"/>
      <c r="BN63" s="329"/>
      <c r="BO63" s="329"/>
      <c r="BP63" s="329"/>
      <c r="BQ63" s="329"/>
      <c r="BR63" s="329"/>
      <c r="BS63" s="329"/>
      <c r="BT63" s="329"/>
      <c r="BU63" s="329"/>
      <c r="BV63" s="329"/>
      <c r="BW63" s="329"/>
      <c r="BX63" s="329"/>
      <c r="BY63" s="329"/>
      <c r="BZ63" s="329"/>
      <c r="CA63" s="329"/>
      <c r="CB63" s="329"/>
      <c r="CC63" s="329"/>
      <c r="CD63" s="329"/>
      <c r="CE63" s="329"/>
      <c r="CF63" s="329">
        <f>'97-суп картофельный '!C22/4</f>
        <v>2.5000000000000001E-3</v>
      </c>
      <c r="CG63" s="329"/>
      <c r="CH63" s="329"/>
      <c r="CI63" s="329"/>
      <c r="CJ63" s="329"/>
      <c r="CK63" s="329"/>
      <c r="CL63" s="329"/>
      <c r="CM63" s="329"/>
      <c r="CN63" s="329"/>
      <c r="CO63" s="329"/>
      <c r="CP63" s="329"/>
      <c r="CQ63" s="329"/>
      <c r="CR63" s="329"/>
      <c r="CS63" s="329">
        <f>'97-суп картофельный '!C24/4</f>
        <v>1.0000000000000001E-5</v>
      </c>
      <c r="CT63" s="329"/>
      <c r="CU63" s="329"/>
      <c r="CV63" s="329"/>
      <c r="CW63" s="329"/>
      <c r="CX63" s="329"/>
      <c r="CY63" s="329"/>
      <c r="CZ63" s="329"/>
      <c r="DA63" s="329"/>
      <c r="DB63" s="329"/>
      <c r="DC63" s="329">
        <f>'97-суп картофельный '!C25/4</f>
        <v>2.5000000000000001E-3</v>
      </c>
      <c r="DD63" s="329"/>
      <c r="DE63" s="329"/>
      <c r="DF63" s="329"/>
      <c r="DG63" s="329"/>
      <c r="DH63" s="329"/>
      <c r="DI63" s="329"/>
      <c r="DJ63" s="329"/>
      <c r="DK63" s="329"/>
      <c r="DL63" s="329"/>
      <c r="DM63" s="329"/>
      <c r="DN63" s="329"/>
      <c r="DO63" s="329"/>
      <c r="DP63" s="329"/>
      <c r="DQ63" s="329"/>
      <c r="DR63" s="329"/>
      <c r="DS63" s="329"/>
      <c r="DT63" s="329"/>
      <c r="DU63" s="329"/>
      <c r="DV63" s="329"/>
      <c r="DW63" s="329"/>
      <c r="DX63" s="330"/>
      <c r="DY63" s="330"/>
      <c r="DZ63" s="330"/>
      <c r="EA63" s="330"/>
      <c r="EB63" s="330"/>
      <c r="EC63" s="330"/>
      <c r="ED63" s="330"/>
      <c r="EE63" s="330"/>
      <c r="EF63" s="330"/>
      <c r="EG63" s="330"/>
      <c r="EH63" s="330"/>
      <c r="EI63" s="330"/>
      <c r="EJ63" s="330"/>
      <c r="EK63" s="330"/>
      <c r="EL63" s="330"/>
      <c r="EM63" s="330"/>
      <c r="EN63" s="330"/>
      <c r="EO63" s="330"/>
      <c r="EP63" s="330"/>
      <c r="EQ63" s="330"/>
      <c r="ER63" s="330"/>
      <c r="ES63" s="330"/>
      <c r="ET63" s="330"/>
      <c r="EU63" s="330"/>
      <c r="EV63" s="330"/>
      <c r="EW63" s="330"/>
      <c r="EX63" s="330"/>
      <c r="EY63" s="1032">
        <f t="shared" si="0"/>
        <v>0.18651000000000001</v>
      </c>
    </row>
    <row r="64" spans="1:166" s="595" customFormat="1" ht="14.7" customHeight="1" x14ac:dyDescent="0.25">
      <c r="A64" s="421">
        <v>60</v>
      </c>
      <c r="B64" s="183" t="str">
        <f>'98-суп крестьян. рис'!A9</f>
        <v>Суп крестьянский с рисом</v>
      </c>
      <c r="C64" s="250">
        <f>'98-суп крестьян. рис'!C33</f>
        <v>250</v>
      </c>
      <c r="D64" s="1209">
        <f t="shared" ref="D64:D69" si="1">5.93/1000*C64</f>
        <v>1.48</v>
      </c>
      <c r="E64" s="1209">
        <f t="shared" ref="E64:E69" si="2">19.67/1000*C64</f>
        <v>4.92</v>
      </c>
      <c r="F64" s="1209">
        <f t="shared" ref="F64:F69" si="3">24.36/1000*C64</f>
        <v>6.09</v>
      </c>
      <c r="G64" s="1210">
        <f t="shared" ref="G64:G69" si="4">305/1000*C64</f>
        <v>76</v>
      </c>
      <c r="H64" s="250">
        <f>'98-суп крестьян. рис'!J7</f>
        <v>98</v>
      </c>
      <c r="I64" s="683">
        <f>'98-суп крестьян. рис'!F35</f>
        <v>8.3000000000000007</v>
      </c>
      <c r="J64" s="329"/>
      <c r="K64" s="329"/>
      <c r="L64" s="329"/>
      <c r="M64" s="329"/>
      <c r="N64" s="329"/>
      <c r="O64" s="329"/>
      <c r="P64" s="329"/>
      <c r="Q64" s="329"/>
      <c r="R64" s="329"/>
      <c r="S64" s="329"/>
      <c r="T64" s="329"/>
      <c r="U64" s="329"/>
      <c r="V64" s="329"/>
      <c r="W64" s="329"/>
      <c r="X64" s="329"/>
      <c r="Y64" s="329">
        <f>'98-суп крестьян. рис'!C27/'98-суп крестьян. рис'!C32*'98-суп крестьян. рис'!C33</f>
        <v>5.0000000000000001E-3</v>
      </c>
      <c r="Z64" s="329"/>
      <c r="AA64" s="329"/>
      <c r="AB64" s="329"/>
      <c r="AC64" s="329"/>
      <c r="AD64" s="329"/>
      <c r="AE64" s="330"/>
      <c r="AF64" s="329">
        <f>'98-суп крестьян. рис'!C19/'98-суп крестьян. рис'!C32*'98-суп крестьян. рис'!C33</f>
        <v>3.7499999999999999E-2</v>
      </c>
      <c r="AG64" s="329"/>
      <c r="AH64" s="329">
        <f>'98-суп крестьян. рис'!C20/'98-суп крестьян. рис'!C32*'98-суп крестьян. рис'!C33</f>
        <v>3.3250000000000002E-2</v>
      </c>
      <c r="AI64" s="329"/>
      <c r="AJ64" s="329"/>
      <c r="AK64" s="329">
        <f>'98-суп крестьян. рис'!C23/'98-суп крестьян. рис'!C32*'98-суп крестьян. рис'!C33</f>
        <v>1.2E-2</v>
      </c>
      <c r="AL64" s="329"/>
      <c r="AM64" s="329"/>
      <c r="AN64" s="329"/>
      <c r="AO64" s="329"/>
      <c r="AP64" s="329"/>
      <c r="AQ64" s="329">
        <f>'98-суп крестьян. рис'!C22/'98-суп крестьян. рис'!C32*'98-суп крестьян. рис'!C33</f>
        <v>1.2500000000000001E-2</v>
      </c>
      <c r="AR64" s="329"/>
      <c r="AS64" s="329"/>
      <c r="AT64" s="329"/>
      <c r="AU64" s="329">
        <f>'98-суп крестьян. рис'!C29/'98-суп крестьян. рис'!C32*'98-суп крестьян. рис'!C33</f>
        <v>2E-3</v>
      </c>
      <c r="AV64" s="329"/>
      <c r="AW64" s="329"/>
      <c r="AX64" s="329"/>
      <c r="AY64" s="329"/>
      <c r="AZ64" s="329"/>
      <c r="BA64" s="329"/>
      <c r="BB64" s="329"/>
      <c r="BC64" s="329"/>
      <c r="BD64" s="329"/>
      <c r="BE64" s="329"/>
      <c r="BF64" s="329"/>
      <c r="BG64" s="329"/>
      <c r="BH64" s="329"/>
      <c r="BI64" s="329"/>
      <c r="BJ64" s="329"/>
      <c r="BK64" s="329"/>
      <c r="BL64" s="329"/>
      <c r="BM64" s="329"/>
      <c r="BN64" s="329"/>
      <c r="BO64" s="329"/>
      <c r="BP64" s="329"/>
      <c r="BQ64" s="329"/>
      <c r="BR64" s="329"/>
      <c r="BS64" s="329"/>
      <c r="BT64" s="329"/>
      <c r="BU64" s="329"/>
      <c r="BV64" s="329"/>
      <c r="BW64" s="329"/>
      <c r="BX64" s="329"/>
      <c r="BY64" s="329"/>
      <c r="BZ64" s="329"/>
      <c r="CA64" s="329"/>
      <c r="CB64" s="329">
        <f>'98-суп крестьян. рис'!C21/'98-суп крестьян. рис'!C32*'98-суп крестьян. рис'!C33</f>
        <v>0.01</v>
      </c>
      <c r="CC64" s="329"/>
      <c r="CD64" s="329"/>
      <c r="CE64" s="329"/>
      <c r="CF64" s="329">
        <f>'98-суп крестьян. рис'!C24/'98-суп крестьян. рис'!C32*'98-суп крестьян. рис'!C33</f>
        <v>5.0000000000000001E-3</v>
      </c>
      <c r="CG64" s="329"/>
      <c r="CH64" s="329"/>
      <c r="CI64" s="329"/>
      <c r="CJ64" s="329"/>
      <c r="CK64" s="329"/>
      <c r="CL64" s="329"/>
      <c r="CM64" s="329"/>
      <c r="CN64" s="329"/>
      <c r="CO64" s="329"/>
      <c r="CP64" s="329"/>
      <c r="CQ64" s="329"/>
      <c r="CR64" s="329"/>
      <c r="CS64" s="329">
        <f>'98-суп крестьян. рис'!C28/'98-суп крестьян. рис'!C32*'98-суп крестьян. рис'!C33</f>
        <v>1.0000000000000001E-5</v>
      </c>
      <c r="CT64" s="329"/>
      <c r="CU64" s="329"/>
      <c r="CV64" s="329"/>
      <c r="CW64" s="329"/>
      <c r="CX64" s="329"/>
      <c r="CY64" s="329"/>
      <c r="CZ64" s="329"/>
      <c r="DA64" s="329"/>
      <c r="DB64" s="329"/>
      <c r="DC64" s="329">
        <f>'98-суп крестьян. рис'!C26/'98-суп крестьян. рис'!C32*'98-суп крестьян. рис'!C33</f>
        <v>2.5000000000000001E-3</v>
      </c>
      <c r="DD64" s="329"/>
      <c r="DE64" s="329"/>
      <c r="DF64" s="329"/>
      <c r="DG64" s="329"/>
      <c r="DH64" s="329"/>
      <c r="DI64" s="329"/>
      <c r="DJ64" s="329"/>
      <c r="DK64" s="329"/>
      <c r="DL64" s="329"/>
      <c r="DM64" s="329"/>
      <c r="DN64" s="329"/>
      <c r="DO64" s="329"/>
      <c r="DP64" s="329"/>
      <c r="DQ64" s="329"/>
      <c r="DR64" s="329"/>
      <c r="DS64" s="329"/>
      <c r="DT64" s="329"/>
      <c r="DU64" s="329"/>
      <c r="DV64" s="329"/>
      <c r="DW64" s="329"/>
      <c r="DX64" s="330"/>
      <c r="DY64" s="330"/>
      <c r="DZ64" s="330"/>
      <c r="EA64" s="330"/>
      <c r="EB64" s="330"/>
      <c r="EC64" s="330"/>
      <c r="ED64" s="330"/>
      <c r="EE64" s="330"/>
      <c r="EF64" s="330"/>
      <c r="EG64" s="330"/>
      <c r="EH64" s="330"/>
      <c r="EI64" s="330"/>
      <c r="EJ64" s="330"/>
      <c r="EK64" s="330"/>
      <c r="EL64" s="330"/>
      <c r="EM64" s="330"/>
      <c r="EN64" s="330"/>
      <c r="EO64" s="330"/>
      <c r="EP64" s="330"/>
      <c r="EQ64" s="330"/>
      <c r="ER64" s="330"/>
      <c r="ES64" s="330"/>
      <c r="ET64" s="330"/>
      <c r="EU64" s="330"/>
      <c r="EV64" s="330"/>
      <c r="EW64" s="330"/>
      <c r="EX64" s="330"/>
      <c r="EY64" s="1032">
        <f t="shared" si="0"/>
        <v>0.11976000000000001</v>
      </c>
      <c r="EZ64" s="616"/>
      <c r="FA64" s="616"/>
      <c r="FB64" s="616"/>
      <c r="FC64" s="616"/>
      <c r="FD64" s="616"/>
      <c r="FE64" s="616"/>
      <c r="FF64" s="616"/>
      <c r="FG64" s="616"/>
      <c r="FH64" s="616"/>
      <c r="FI64" s="616"/>
      <c r="FJ64" s="616"/>
    </row>
    <row r="65" spans="1:166" s="595" customFormat="1" ht="14.7" customHeight="1" x14ac:dyDescent="0.25">
      <c r="A65" s="421">
        <v>61</v>
      </c>
      <c r="B65" s="183" t="str">
        <f>'98-суп крестьян. овсянка'!A9</f>
        <v>Суп крестьянский с крупой овсяной</v>
      </c>
      <c r="C65" s="250">
        <f>'98-суп крестьян. овсянка'!C33</f>
        <v>250</v>
      </c>
      <c r="D65" s="1209">
        <f t="shared" si="1"/>
        <v>1.48</v>
      </c>
      <c r="E65" s="1209">
        <f t="shared" si="2"/>
        <v>4.92</v>
      </c>
      <c r="F65" s="1209">
        <f t="shared" si="3"/>
        <v>6.09</v>
      </c>
      <c r="G65" s="1210">
        <f t="shared" si="4"/>
        <v>76</v>
      </c>
      <c r="H65" s="250">
        <f>'98-суп крестьян. овсянка'!J7</f>
        <v>98</v>
      </c>
      <c r="I65" s="683">
        <f>'98-суп крестьян. овсянка'!F35</f>
        <v>7.67</v>
      </c>
      <c r="J65" s="329"/>
      <c r="K65" s="329"/>
      <c r="L65" s="329"/>
      <c r="M65" s="329"/>
      <c r="N65" s="329"/>
      <c r="O65" s="329"/>
      <c r="P65" s="329"/>
      <c r="Q65" s="329"/>
      <c r="R65" s="329"/>
      <c r="S65" s="329"/>
      <c r="T65" s="329"/>
      <c r="U65" s="329"/>
      <c r="V65" s="329"/>
      <c r="W65" s="329"/>
      <c r="X65" s="329"/>
      <c r="Y65" s="329">
        <f>'98-суп крестьян. овсянка'!C27/'98-суп крестьян. овсянка'!C32*'98-суп крестьян. овсянка'!C33</f>
        <v>5.0000000000000001E-3</v>
      </c>
      <c r="Z65" s="329"/>
      <c r="AA65" s="329"/>
      <c r="AB65" s="329"/>
      <c r="AC65" s="329"/>
      <c r="AD65" s="329"/>
      <c r="AE65" s="330"/>
      <c r="AF65" s="329">
        <f>'98-суп крестьян. овсянка'!C19/'98-суп крестьян. овсянка'!C32*'98-суп крестьян. овсянка'!C33</f>
        <v>3.7499999999999999E-2</v>
      </c>
      <c r="AG65" s="329"/>
      <c r="AH65" s="329">
        <f>'98-суп крестьян. овсянка'!C20/'98-суп крестьян. овсянка'!C32*'98-суп крестьян. овсянка'!C33</f>
        <v>3.3250000000000002E-2</v>
      </c>
      <c r="AI65" s="329"/>
      <c r="AJ65" s="329"/>
      <c r="AK65" s="329">
        <f>'98-суп крестьян. овсянка'!C23/'98-суп крестьян. овсянка'!C32*'98-суп крестьян. овсянка'!C33</f>
        <v>1.2E-2</v>
      </c>
      <c r="AL65" s="329"/>
      <c r="AM65" s="329"/>
      <c r="AN65" s="329"/>
      <c r="AO65" s="329"/>
      <c r="AP65" s="329"/>
      <c r="AQ65" s="329">
        <f>'98-суп крестьян. овсянка'!C22/'98-суп крестьян. овсянка'!C32*'98-суп крестьян. овсянка'!C33</f>
        <v>1.2500000000000001E-2</v>
      </c>
      <c r="AR65" s="329"/>
      <c r="AS65" s="329"/>
      <c r="AT65" s="329"/>
      <c r="AU65" s="329">
        <f>'98-суп крестьян. овсянка'!C28/'98-суп крестьян. овсянка'!C32*'98-суп крестьян. овсянка'!C33</f>
        <v>2E-3</v>
      </c>
      <c r="AV65" s="329"/>
      <c r="AW65" s="329"/>
      <c r="AX65" s="329"/>
      <c r="AY65" s="329"/>
      <c r="AZ65" s="329"/>
      <c r="BA65" s="329"/>
      <c r="BB65" s="329"/>
      <c r="BC65" s="329"/>
      <c r="BD65" s="329"/>
      <c r="BE65" s="329"/>
      <c r="BF65" s="329"/>
      <c r="BG65" s="329"/>
      <c r="BH65" s="329"/>
      <c r="BI65" s="329"/>
      <c r="BJ65" s="329"/>
      <c r="BK65" s="329"/>
      <c r="BL65" s="329"/>
      <c r="BM65" s="329"/>
      <c r="BN65" s="329"/>
      <c r="BO65" s="329"/>
      <c r="BP65" s="329"/>
      <c r="BQ65" s="329"/>
      <c r="BR65" s="329"/>
      <c r="BS65" s="329"/>
      <c r="BT65" s="329"/>
      <c r="BU65" s="329"/>
      <c r="BV65" s="329"/>
      <c r="BW65" s="329">
        <f>'98-суп крестьян. овсянка'!C21/'98-суп крестьян. овсянка'!C32*'98-суп крестьян. овсянка'!C33</f>
        <v>0.01</v>
      </c>
      <c r="BX65" s="329"/>
      <c r="BY65" s="329"/>
      <c r="BZ65" s="329"/>
      <c r="CA65" s="329"/>
      <c r="CB65" s="329"/>
      <c r="CC65" s="329"/>
      <c r="CD65" s="329"/>
      <c r="CE65" s="329"/>
      <c r="CF65" s="329">
        <f>'98-суп крестьян. овсянка'!C24/'98-суп крестьян. овсянка'!C32*'98-суп крестьян. овсянка'!C33</f>
        <v>5.0000000000000001E-3</v>
      </c>
      <c r="CG65" s="329"/>
      <c r="CH65" s="329"/>
      <c r="CI65" s="329"/>
      <c r="CJ65" s="329"/>
      <c r="CK65" s="329"/>
      <c r="CL65" s="329"/>
      <c r="CM65" s="329"/>
      <c r="CN65" s="329"/>
      <c r="CO65" s="329"/>
      <c r="CP65" s="329"/>
      <c r="CQ65" s="329"/>
      <c r="CR65" s="329"/>
      <c r="CS65" s="329">
        <f>'98-суп крестьян. овсянка'!C29/'98-суп крестьян. овсянка'!C32*'98-суп крестьян. овсянка'!C33</f>
        <v>1.0000000000000001E-5</v>
      </c>
      <c r="CT65" s="329"/>
      <c r="CU65" s="329"/>
      <c r="CV65" s="329"/>
      <c r="CW65" s="329"/>
      <c r="CX65" s="329"/>
      <c r="CY65" s="329"/>
      <c r="CZ65" s="329"/>
      <c r="DA65" s="329"/>
      <c r="DB65" s="329"/>
      <c r="DC65" s="329">
        <f>'98-суп крестьян. овсянка'!C26/'98-суп крестьян. овсянка'!C32*'98-суп крестьян. овсянка'!C33</f>
        <v>2.5000000000000001E-3</v>
      </c>
      <c r="DD65" s="329"/>
      <c r="DE65" s="329"/>
      <c r="DF65" s="329"/>
      <c r="DG65" s="329"/>
      <c r="DH65" s="329"/>
      <c r="DI65" s="329"/>
      <c r="DJ65" s="329"/>
      <c r="DK65" s="329"/>
      <c r="DL65" s="329"/>
      <c r="DM65" s="329"/>
      <c r="DN65" s="329"/>
      <c r="DO65" s="329"/>
      <c r="DP65" s="329"/>
      <c r="DQ65" s="329"/>
      <c r="DR65" s="329"/>
      <c r="DS65" s="329"/>
      <c r="DT65" s="329"/>
      <c r="DU65" s="329"/>
      <c r="DV65" s="329"/>
      <c r="DW65" s="329"/>
      <c r="DX65" s="330"/>
      <c r="DY65" s="330"/>
      <c r="DZ65" s="330"/>
      <c r="EA65" s="330"/>
      <c r="EB65" s="330"/>
      <c r="EC65" s="330"/>
      <c r="ED65" s="330"/>
      <c r="EE65" s="330"/>
      <c r="EF65" s="330"/>
      <c r="EG65" s="330"/>
      <c r="EH65" s="330"/>
      <c r="EI65" s="330"/>
      <c r="EJ65" s="330"/>
      <c r="EK65" s="330"/>
      <c r="EL65" s="330"/>
      <c r="EM65" s="330"/>
      <c r="EN65" s="330"/>
      <c r="EO65" s="330"/>
      <c r="EP65" s="330"/>
      <c r="EQ65" s="330"/>
      <c r="ER65" s="330"/>
      <c r="ES65" s="330"/>
      <c r="ET65" s="330"/>
      <c r="EU65" s="330"/>
      <c r="EV65" s="330"/>
      <c r="EW65" s="330"/>
      <c r="EX65" s="330"/>
      <c r="EY65" s="1032">
        <f t="shared" si="0"/>
        <v>0.11976000000000001</v>
      </c>
      <c r="EZ65" s="616"/>
      <c r="FA65" s="616"/>
      <c r="FB65" s="616"/>
      <c r="FC65" s="616"/>
      <c r="FD65" s="616"/>
      <c r="FE65" s="616"/>
      <c r="FF65" s="616"/>
      <c r="FG65" s="616"/>
      <c r="FH65" s="616"/>
      <c r="FI65" s="616"/>
      <c r="FJ65" s="616"/>
    </row>
    <row r="66" spans="1:166" s="595" customFormat="1" ht="14.7" customHeight="1" x14ac:dyDescent="0.25">
      <c r="A66" s="421">
        <v>62</v>
      </c>
      <c r="B66" s="183" t="str">
        <f>'98-суп крестьян. перловка'!A9</f>
        <v>Суп крестьянский с крупой перловой</v>
      </c>
      <c r="C66" s="250">
        <f>'98-суп крестьян. перловка'!C33</f>
        <v>250</v>
      </c>
      <c r="D66" s="1209">
        <f t="shared" si="1"/>
        <v>1.48</v>
      </c>
      <c r="E66" s="1209">
        <f t="shared" si="2"/>
        <v>4.92</v>
      </c>
      <c r="F66" s="1209">
        <f t="shared" si="3"/>
        <v>6.09</v>
      </c>
      <c r="G66" s="1210">
        <f t="shared" si="4"/>
        <v>76</v>
      </c>
      <c r="H66" s="250">
        <f>'98-суп крестьян. перловка'!J7</f>
        <v>98</v>
      </c>
      <c r="I66" s="683">
        <f>'98-суп крестьян. перловка'!F35</f>
        <v>7.72</v>
      </c>
      <c r="J66" s="329"/>
      <c r="K66" s="329"/>
      <c r="L66" s="329"/>
      <c r="M66" s="329"/>
      <c r="N66" s="329"/>
      <c r="O66" s="329"/>
      <c r="P66" s="329"/>
      <c r="Q66" s="329"/>
      <c r="R66" s="329"/>
      <c r="S66" s="329"/>
      <c r="T66" s="329"/>
      <c r="U66" s="329"/>
      <c r="V66" s="329"/>
      <c r="W66" s="329"/>
      <c r="X66" s="329"/>
      <c r="Y66" s="329">
        <f>'98-суп крестьян. перловка'!C27/'98-суп крестьян. перловка'!C32*'98-суп крестьян. перловка'!C33</f>
        <v>5.0000000000000001E-3</v>
      </c>
      <c r="Z66" s="329"/>
      <c r="AA66" s="329"/>
      <c r="AB66" s="329"/>
      <c r="AC66" s="329"/>
      <c r="AD66" s="329"/>
      <c r="AE66" s="330"/>
      <c r="AF66" s="329">
        <f>'98-суп крестьян. перловка'!C19/'98-суп крестьян. перловка'!C32*'98-суп крестьян. перловка'!C33</f>
        <v>3.7499999999999999E-2</v>
      </c>
      <c r="AG66" s="329"/>
      <c r="AH66" s="329">
        <f>'98-суп крестьян. перловка'!C20/'98-суп крестьян. перловка'!C32*'98-суп крестьян. перловка'!C33</f>
        <v>3.3250000000000002E-2</v>
      </c>
      <c r="AI66" s="329"/>
      <c r="AJ66" s="329"/>
      <c r="AK66" s="329">
        <f>'98-суп крестьян. перловка'!C23/'98-суп крестьян. перловка'!C32*'98-суп крестьян. перловка'!C33</f>
        <v>1.2E-2</v>
      </c>
      <c r="AL66" s="329"/>
      <c r="AM66" s="329"/>
      <c r="AN66" s="329"/>
      <c r="AO66" s="329"/>
      <c r="AP66" s="329"/>
      <c r="AQ66" s="329">
        <f>'98-суп крестьян. перловка'!C22/'98-суп крестьян. перловка'!C32*'98-суп крестьян. перловка'!C33</f>
        <v>1.2500000000000001E-2</v>
      </c>
      <c r="AR66" s="329"/>
      <c r="AS66" s="329"/>
      <c r="AT66" s="329"/>
      <c r="AU66" s="329">
        <f>'98-суп крестьян. перловка'!C28/'98-суп крестьян. перловка'!C32*'98-суп крестьян. перловка'!C33</f>
        <v>2E-3</v>
      </c>
      <c r="AV66" s="329"/>
      <c r="AW66" s="329"/>
      <c r="AX66" s="329"/>
      <c r="AY66" s="329"/>
      <c r="AZ66" s="329"/>
      <c r="BA66" s="329"/>
      <c r="BB66" s="329"/>
      <c r="BC66" s="329"/>
      <c r="BD66" s="329"/>
      <c r="BE66" s="329"/>
      <c r="BF66" s="329"/>
      <c r="BG66" s="329"/>
      <c r="BH66" s="329"/>
      <c r="BI66" s="329"/>
      <c r="BJ66" s="329"/>
      <c r="BK66" s="329"/>
      <c r="BL66" s="329"/>
      <c r="BM66" s="329"/>
      <c r="BN66" s="329"/>
      <c r="BO66" s="329"/>
      <c r="BP66" s="329"/>
      <c r="BQ66" s="329"/>
      <c r="BR66" s="329"/>
      <c r="BS66" s="329"/>
      <c r="BT66" s="329"/>
      <c r="BU66" s="329"/>
      <c r="BV66" s="329">
        <f>'98-суп крестьян. перловка'!C21/'98-суп крестьян. перловка'!C32*'98-суп крестьян. перловка'!C33</f>
        <v>0.01</v>
      </c>
      <c r="BW66" s="329"/>
      <c r="BX66" s="329"/>
      <c r="BY66" s="329"/>
      <c r="BZ66" s="329"/>
      <c r="CA66" s="329"/>
      <c r="CB66" s="329"/>
      <c r="CC66" s="329"/>
      <c r="CD66" s="329"/>
      <c r="CE66" s="329"/>
      <c r="CF66" s="329">
        <f>'98-суп крестьян. перловка'!C24/'98-суп крестьян. перловка'!C32*'98-суп крестьян. перловка'!C33</f>
        <v>5.0000000000000001E-3</v>
      </c>
      <c r="CG66" s="329"/>
      <c r="CH66" s="329"/>
      <c r="CI66" s="329"/>
      <c r="CJ66" s="329"/>
      <c r="CK66" s="329"/>
      <c r="CL66" s="329"/>
      <c r="CM66" s="329"/>
      <c r="CN66" s="329"/>
      <c r="CO66" s="329"/>
      <c r="CP66" s="329"/>
      <c r="CQ66" s="329"/>
      <c r="CR66" s="329"/>
      <c r="CS66" s="329">
        <f>'98-суп крестьян. перловка'!C29/'98-суп крестьян. перловка'!C32*'98-суп крестьян. перловка'!C33</f>
        <v>1.0000000000000001E-5</v>
      </c>
      <c r="CT66" s="329"/>
      <c r="CU66" s="329"/>
      <c r="CV66" s="329"/>
      <c r="CW66" s="329"/>
      <c r="CX66" s="329"/>
      <c r="CY66" s="329"/>
      <c r="CZ66" s="329"/>
      <c r="DA66" s="329"/>
      <c r="DB66" s="329"/>
      <c r="DC66" s="329">
        <f>'98-суп крестьян. перловка'!C26/'98-суп крестьян. перловка'!C32*'98-суп крестьян. перловка'!C33</f>
        <v>2.5000000000000001E-3</v>
      </c>
      <c r="DD66" s="329"/>
      <c r="DE66" s="329"/>
      <c r="DF66" s="329"/>
      <c r="DG66" s="329"/>
      <c r="DH66" s="329"/>
      <c r="DI66" s="329"/>
      <c r="DJ66" s="329"/>
      <c r="DK66" s="329"/>
      <c r="DL66" s="329"/>
      <c r="DM66" s="329"/>
      <c r="DN66" s="329"/>
      <c r="DO66" s="329"/>
      <c r="DP66" s="329"/>
      <c r="DQ66" s="329"/>
      <c r="DR66" s="329"/>
      <c r="DS66" s="329"/>
      <c r="DT66" s="329"/>
      <c r="DU66" s="329"/>
      <c r="DV66" s="329"/>
      <c r="DW66" s="329"/>
      <c r="DX66" s="330"/>
      <c r="DY66" s="330"/>
      <c r="DZ66" s="330"/>
      <c r="EA66" s="330"/>
      <c r="EB66" s="330"/>
      <c r="EC66" s="330"/>
      <c r="ED66" s="330"/>
      <c r="EE66" s="330"/>
      <c r="EF66" s="330"/>
      <c r="EG66" s="330"/>
      <c r="EH66" s="330"/>
      <c r="EI66" s="330"/>
      <c r="EJ66" s="330"/>
      <c r="EK66" s="330"/>
      <c r="EL66" s="330"/>
      <c r="EM66" s="330"/>
      <c r="EN66" s="330"/>
      <c r="EO66" s="330"/>
      <c r="EP66" s="330"/>
      <c r="EQ66" s="330"/>
      <c r="ER66" s="330"/>
      <c r="ES66" s="330"/>
      <c r="ET66" s="330"/>
      <c r="EU66" s="330"/>
      <c r="EV66" s="330"/>
      <c r="EW66" s="330"/>
      <c r="EX66" s="330"/>
      <c r="EY66" s="1032">
        <f t="shared" si="0"/>
        <v>0.11976000000000001</v>
      </c>
      <c r="EZ66" s="616"/>
      <c r="FA66" s="616"/>
      <c r="FB66" s="616"/>
      <c r="FC66" s="616"/>
      <c r="FD66" s="616"/>
      <c r="FE66" s="616"/>
      <c r="FF66" s="616"/>
      <c r="FG66" s="616"/>
      <c r="FH66" s="616"/>
      <c r="FI66" s="616"/>
      <c r="FJ66" s="616"/>
    </row>
    <row r="67" spans="1:166" s="595" customFormat="1" ht="14.7" customHeight="1" x14ac:dyDescent="0.25">
      <c r="A67" s="421">
        <v>63</v>
      </c>
      <c r="B67" s="183" t="str">
        <f>'98-суп крестьян. пшеничная'!A9</f>
        <v>Суп крестьянский с крупой пшеничной</v>
      </c>
      <c r="C67" s="250">
        <f>'98-суп крестьян. пшеничная'!C33</f>
        <v>250</v>
      </c>
      <c r="D67" s="1209">
        <f t="shared" si="1"/>
        <v>1.48</v>
      </c>
      <c r="E67" s="1209">
        <f t="shared" si="2"/>
        <v>4.92</v>
      </c>
      <c r="F67" s="1209">
        <f t="shared" si="3"/>
        <v>6.09</v>
      </c>
      <c r="G67" s="1210">
        <f t="shared" si="4"/>
        <v>76</v>
      </c>
      <c r="H67" s="250">
        <f>'98-суп крестьян. пшеничная'!J7</f>
        <v>98</v>
      </c>
      <c r="I67" s="683">
        <f>'98-суп крестьян. пшеничная'!F35</f>
        <v>7.67</v>
      </c>
      <c r="J67" s="329"/>
      <c r="K67" s="329"/>
      <c r="L67" s="329"/>
      <c r="M67" s="329"/>
      <c r="N67" s="329"/>
      <c r="O67" s="329"/>
      <c r="P67" s="329"/>
      <c r="Q67" s="329"/>
      <c r="R67" s="329"/>
      <c r="S67" s="329"/>
      <c r="T67" s="329"/>
      <c r="U67" s="329"/>
      <c r="V67" s="329"/>
      <c r="W67" s="329"/>
      <c r="X67" s="329"/>
      <c r="Y67" s="329">
        <f>'98-суп крестьян. пшеничная'!C27/'98-суп крестьян. пшеничная'!C32*'98-суп крестьян. пшеничная'!C33</f>
        <v>5.0000000000000001E-3</v>
      </c>
      <c r="Z67" s="329"/>
      <c r="AA67" s="329"/>
      <c r="AB67" s="329"/>
      <c r="AC67" s="329"/>
      <c r="AD67" s="329"/>
      <c r="AE67" s="330"/>
      <c r="AF67" s="329">
        <f>'98-суп крестьян. пшеничная'!C19/'98-суп крестьян. пшеничная'!C32*'98-суп крестьян. пшеничная'!C33</f>
        <v>3.7499999999999999E-2</v>
      </c>
      <c r="AG67" s="329"/>
      <c r="AH67" s="329">
        <f>'98-суп крестьян. пшеничная'!C20/'98-суп крестьян. пшеничная'!C32*'98-суп крестьян. пшеничная'!C33</f>
        <v>3.3250000000000002E-2</v>
      </c>
      <c r="AI67" s="329"/>
      <c r="AJ67" s="329"/>
      <c r="AK67" s="329">
        <f>'98-суп крестьян. пшеничная'!C23/'98-суп крестьян. пшеничная'!C32*'98-суп крестьян. пшеничная'!C33</f>
        <v>1.2E-2</v>
      </c>
      <c r="AL67" s="329"/>
      <c r="AM67" s="329"/>
      <c r="AN67" s="329"/>
      <c r="AO67" s="329"/>
      <c r="AP67" s="329"/>
      <c r="AQ67" s="329">
        <f>'98-суп крестьян. пшеничная'!C22/'98-суп крестьян. пшеничная'!C32*'98-суп крестьян. пшеничная'!C33</f>
        <v>1.2500000000000001E-2</v>
      </c>
      <c r="AR67" s="329"/>
      <c r="AS67" s="329"/>
      <c r="AT67" s="329"/>
      <c r="AU67" s="329">
        <f>'98-суп крестьян. пшеничная'!C28/'98-суп крестьян. пшеничная'!C32*'98-суп крестьян. пшеничная'!C33</f>
        <v>2E-3</v>
      </c>
      <c r="AV67" s="329"/>
      <c r="AW67" s="329"/>
      <c r="AX67" s="329"/>
      <c r="AY67" s="329"/>
      <c r="AZ67" s="329"/>
      <c r="BA67" s="329"/>
      <c r="BB67" s="329"/>
      <c r="BC67" s="329"/>
      <c r="BD67" s="329"/>
      <c r="BE67" s="329"/>
      <c r="BF67" s="329"/>
      <c r="BG67" s="329"/>
      <c r="BH67" s="329"/>
      <c r="BI67" s="329"/>
      <c r="BJ67" s="329"/>
      <c r="BK67" s="329"/>
      <c r="BL67" s="329"/>
      <c r="BM67" s="329"/>
      <c r="BN67" s="329"/>
      <c r="BO67" s="329"/>
      <c r="BP67" s="329"/>
      <c r="BQ67" s="329"/>
      <c r="BR67" s="329"/>
      <c r="BS67" s="329"/>
      <c r="BT67" s="329"/>
      <c r="BU67" s="329"/>
      <c r="BV67" s="329"/>
      <c r="BW67" s="329"/>
      <c r="BX67" s="329"/>
      <c r="BY67" s="329">
        <f>'98-суп крестьян. пшеничная'!C21/'98-суп крестьян. пшеничная'!C32*'98-суп крестьян. пшеничная'!C33</f>
        <v>0.01</v>
      </c>
      <c r="BZ67" s="329"/>
      <c r="CA67" s="329"/>
      <c r="CB67" s="329"/>
      <c r="CC67" s="329"/>
      <c r="CD67" s="329"/>
      <c r="CE67" s="329"/>
      <c r="CF67" s="329">
        <f>'98-суп крестьян. пшеничная'!C24/'98-суп крестьян. пшеничная'!C32*'98-суп крестьян. пшеничная'!C33</f>
        <v>5.0000000000000001E-3</v>
      </c>
      <c r="CG67" s="329"/>
      <c r="CH67" s="329"/>
      <c r="CI67" s="329"/>
      <c r="CJ67" s="329"/>
      <c r="CK67" s="329"/>
      <c r="CL67" s="329"/>
      <c r="CM67" s="329"/>
      <c r="CN67" s="329"/>
      <c r="CO67" s="329"/>
      <c r="CP67" s="329"/>
      <c r="CQ67" s="329"/>
      <c r="CR67" s="329"/>
      <c r="CS67" s="329">
        <f>'98-суп крестьян. пшеничная'!C29/'98-суп крестьян. пшеничная'!C32*'98-суп крестьян. пшеничная'!C33</f>
        <v>1.0000000000000001E-5</v>
      </c>
      <c r="CT67" s="329"/>
      <c r="CU67" s="329"/>
      <c r="CV67" s="329"/>
      <c r="CW67" s="329"/>
      <c r="CX67" s="329"/>
      <c r="CY67" s="329"/>
      <c r="CZ67" s="329"/>
      <c r="DA67" s="329"/>
      <c r="DB67" s="329"/>
      <c r="DC67" s="329">
        <f>'98-суп крестьян. пшеничная'!C26/'98-суп крестьян. пшеничная'!C32*'98-суп крестьян. пшеничная'!C33</f>
        <v>2.5000000000000001E-3</v>
      </c>
      <c r="DD67" s="329"/>
      <c r="DE67" s="329"/>
      <c r="DF67" s="329"/>
      <c r="DG67" s="329"/>
      <c r="DH67" s="329"/>
      <c r="DI67" s="329"/>
      <c r="DJ67" s="329"/>
      <c r="DK67" s="329"/>
      <c r="DL67" s="329"/>
      <c r="DM67" s="329"/>
      <c r="DN67" s="329"/>
      <c r="DO67" s="329"/>
      <c r="DP67" s="329"/>
      <c r="DQ67" s="329"/>
      <c r="DR67" s="329"/>
      <c r="DS67" s="329"/>
      <c r="DT67" s="329"/>
      <c r="DU67" s="329"/>
      <c r="DV67" s="329"/>
      <c r="DW67" s="329"/>
      <c r="DX67" s="330"/>
      <c r="DY67" s="330"/>
      <c r="DZ67" s="330"/>
      <c r="EA67" s="330"/>
      <c r="EB67" s="330"/>
      <c r="EC67" s="330"/>
      <c r="ED67" s="330"/>
      <c r="EE67" s="330"/>
      <c r="EF67" s="330"/>
      <c r="EG67" s="330"/>
      <c r="EH67" s="330"/>
      <c r="EI67" s="330"/>
      <c r="EJ67" s="330"/>
      <c r="EK67" s="330"/>
      <c r="EL67" s="330"/>
      <c r="EM67" s="330"/>
      <c r="EN67" s="330"/>
      <c r="EO67" s="330"/>
      <c r="EP67" s="330"/>
      <c r="EQ67" s="330"/>
      <c r="ER67" s="330"/>
      <c r="ES67" s="330"/>
      <c r="ET67" s="330"/>
      <c r="EU67" s="330"/>
      <c r="EV67" s="330"/>
      <c r="EW67" s="330"/>
      <c r="EX67" s="330"/>
      <c r="EY67" s="1032">
        <f t="shared" si="0"/>
        <v>0.11976000000000001</v>
      </c>
      <c r="EZ67" s="616"/>
      <c r="FA67" s="616"/>
      <c r="FB67" s="616"/>
      <c r="FC67" s="616"/>
      <c r="FD67" s="616"/>
      <c r="FE67" s="616"/>
      <c r="FF67" s="616"/>
      <c r="FG67" s="616"/>
      <c r="FH67" s="616"/>
      <c r="FI67" s="616"/>
      <c r="FJ67" s="616"/>
    </row>
    <row r="68" spans="1:166" s="595" customFormat="1" ht="14.7" customHeight="1" x14ac:dyDescent="0.25">
      <c r="A68" s="421">
        <v>64</v>
      </c>
      <c r="B68" s="183" t="str">
        <f>'98-суп крестьян. пшено'!A9</f>
        <v>Суп крестьянский с пшеном</v>
      </c>
      <c r="C68" s="250">
        <f>'98-суп крестьян. пшено'!C33</f>
        <v>250</v>
      </c>
      <c r="D68" s="1209">
        <f t="shared" si="1"/>
        <v>1.48</v>
      </c>
      <c r="E68" s="1209">
        <f t="shared" si="2"/>
        <v>4.92</v>
      </c>
      <c r="F68" s="1209">
        <f t="shared" si="3"/>
        <v>6.09</v>
      </c>
      <c r="G68" s="1210">
        <f t="shared" si="4"/>
        <v>76</v>
      </c>
      <c r="H68" s="250">
        <f>'98-суп крестьян. пшено'!J7</f>
        <v>98</v>
      </c>
      <c r="I68" s="683">
        <f>'98-суп крестьян. пшено'!F35</f>
        <v>7.62</v>
      </c>
      <c r="J68" s="329"/>
      <c r="K68" s="329"/>
      <c r="L68" s="329"/>
      <c r="M68" s="329"/>
      <c r="N68" s="329"/>
      <c r="O68" s="329"/>
      <c r="P68" s="329"/>
      <c r="Q68" s="329"/>
      <c r="R68" s="329"/>
      <c r="S68" s="329"/>
      <c r="T68" s="329"/>
      <c r="U68" s="329"/>
      <c r="V68" s="329"/>
      <c r="W68" s="329"/>
      <c r="X68" s="329"/>
      <c r="Y68" s="329">
        <f>'98-суп крестьян. пшено'!C27/'98-суп крестьян. пшено'!C32*'98-суп крестьян. пшено'!C33</f>
        <v>5.0000000000000001E-3</v>
      </c>
      <c r="Z68" s="329"/>
      <c r="AA68" s="329"/>
      <c r="AB68" s="329"/>
      <c r="AC68" s="329"/>
      <c r="AD68" s="329"/>
      <c r="AE68" s="330"/>
      <c r="AF68" s="329">
        <f>'98-суп крестьян. пшено'!C19/'98-суп крестьян. пшено'!C32*'98-суп крестьян. пшено'!C33</f>
        <v>3.7499999999999999E-2</v>
      </c>
      <c r="AG68" s="329"/>
      <c r="AH68" s="329">
        <f>'98-суп крестьян. пшено'!C20/'98-суп крестьян. пшено'!C32*'98-суп крестьян. пшено'!C33</f>
        <v>3.3250000000000002E-2</v>
      </c>
      <c r="AI68" s="329"/>
      <c r="AJ68" s="329"/>
      <c r="AK68" s="329">
        <f>'98-суп крестьян. пшено'!C23/'98-суп крестьян. пшено'!C32*'98-суп крестьян. пшено'!C33</f>
        <v>1.2E-2</v>
      </c>
      <c r="AL68" s="329"/>
      <c r="AM68" s="329"/>
      <c r="AN68" s="329"/>
      <c r="AO68" s="329"/>
      <c r="AP68" s="329"/>
      <c r="AQ68" s="329">
        <f>'98-суп крестьян. пшено'!C22/'98-суп крестьян. пшено'!C32*'98-суп крестьян. пшено'!C33</f>
        <v>1.2500000000000001E-2</v>
      </c>
      <c r="AR68" s="329"/>
      <c r="AS68" s="329"/>
      <c r="AT68" s="329"/>
      <c r="AU68" s="329">
        <f>'98-суп крестьян. пшено'!C28/'98-суп крестьян. пшено'!C32*'98-суп крестьян. пшено'!C33</f>
        <v>2E-3</v>
      </c>
      <c r="AV68" s="329"/>
      <c r="AW68" s="329"/>
      <c r="AX68" s="329"/>
      <c r="AY68" s="329"/>
      <c r="AZ68" s="329"/>
      <c r="BA68" s="329"/>
      <c r="BB68" s="329"/>
      <c r="BC68" s="329"/>
      <c r="BD68" s="329"/>
      <c r="BE68" s="329"/>
      <c r="BF68" s="329"/>
      <c r="BG68" s="329"/>
      <c r="BH68" s="329"/>
      <c r="BI68" s="329"/>
      <c r="BJ68" s="329"/>
      <c r="BK68" s="329"/>
      <c r="BL68" s="329"/>
      <c r="BM68" s="329"/>
      <c r="BN68" s="329"/>
      <c r="BO68" s="329"/>
      <c r="BP68" s="329"/>
      <c r="BQ68" s="329"/>
      <c r="BR68" s="329"/>
      <c r="BS68" s="329"/>
      <c r="BT68" s="329"/>
      <c r="BU68" s="329"/>
      <c r="BV68" s="329"/>
      <c r="BW68" s="329"/>
      <c r="BX68" s="329"/>
      <c r="BY68" s="329"/>
      <c r="BZ68" s="329"/>
      <c r="CA68" s="329">
        <f>'98-суп крестьян. пшено'!C21/'98-суп крестьян. пшено'!C32*'98-суп крестьян. пшено'!C33</f>
        <v>5.0000000000000001E-3</v>
      </c>
      <c r="CB68" s="329"/>
      <c r="CC68" s="329"/>
      <c r="CD68" s="329"/>
      <c r="CE68" s="329"/>
      <c r="CF68" s="329">
        <f>'98-суп крестьян. пшено'!C24/'98-суп крестьян. пшено'!C32*'98-суп крестьян. пшено'!C33</f>
        <v>5.0000000000000001E-3</v>
      </c>
      <c r="CG68" s="329"/>
      <c r="CH68" s="329"/>
      <c r="CI68" s="329"/>
      <c r="CJ68" s="329"/>
      <c r="CK68" s="329"/>
      <c r="CL68" s="329"/>
      <c r="CM68" s="329"/>
      <c r="CN68" s="329"/>
      <c r="CO68" s="329"/>
      <c r="CP68" s="329"/>
      <c r="CQ68" s="329"/>
      <c r="CR68" s="329"/>
      <c r="CS68" s="329">
        <f>'98-суп крестьян. пшено'!C29/'98-суп крестьян. пшено'!C32*'98-суп крестьян. пшено'!C33</f>
        <v>1.0000000000000001E-5</v>
      </c>
      <c r="CT68" s="329"/>
      <c r="CU68" s="329"/>
      <c r="CV68" s="329"/>
      <c r="CW68" s="329"/>
      <c r="CX68" s="329"/>
      <c r="CY68" s="329"/>
      <c r="CZ68" s="329"/>
      <c r="DA68" s="329"/>
      <c r="DB68" s="329"/>
      <c r="DC68" s="329">
        <f>'98-суп крестьян. пшено'!C26/'98-суп крестьян. пшено'!C32*'98-суп крестьян. пшено'!C33</f>
        <v>2.5000000000000001E-3</v>
      </c>
      <c r="DD68" s="329"/>
      <c r="DE68" s="329"/>
      <c r="DF68" s="329"/>
      <c r="DG68" s="329"/>
      <c r="DH68" s="329"/>
      <c r="DI68" s="329"/>
      <c r="DJ68" s="329"/>
      <c r="DK68" s="329"/>
      <c r="DL68" s="329"/>
      <c r="DM68" s="329"/>
      <c r="DN68" s="329"/>
      <c r="DO68" s="329"/>
      <c r="DP68" s="329"/>
      <c r="DQ68" s="329"/>
      <c r="DR68" s="329"/>
      <c r="DS68" s="329"/>
      <c r="DT68" s="329"/>
      <c r="DU68" s="329"/>
      <c r="DV68" s="329"/>
      <c r="DW68" s="329"/>
      <c r="DX68" s="330"/>
      <c r="DY68" s="330"/>
      <c r="DZ68" s="330"/>
      <c r="EA68" s="330"/>
      <c r="EB68" s="330"/>
      <c r="EC68" s="330"/>
      <c r="ED68" s="330"/>
      <c r="EE68" s="330"/>
      <c r="EF68" s="330"/>
      <c r="EG68" s="330"/>
      <c r="EH68" s="330"/>
      <c r="EI68" s="330"/>
      <c r="EJ68" s="330"/>
      <c r="EK68" s="330"/>
      <c r="EL68" s="330"/>
      <c r="EM68" s="330"/>
      <c r="EN68" s="330"/>
      <c r="EO68" s="330"/>
      <c r="EP68" s="330"/>
      <c r="EQ68" s="330"/>
      <c r="ER68" s="330"/>
      <c r="ES68" s="330"/>
      <c r="ET68" s="330"/>
      <c r="EU68" s="330"/>
      <c r="EV68" s="330"/>
      <c r="EW68" s="330"/>
      <c r="EX68" s="330"/>
      <c r="EY68" s="1032">
        <f t="shared" si="0"/>
        <v>0.11476</v>
      </c>
      <c r="EZ68" s="616"/>
      <c r="FA68" s="616"/>
      <c r="FB68" s="616"/>
      <c r="FC68" s="616"/>
      <c r="FD68" s="616"/>
      <c r="FE68" s="616"/>
      <c r="FF68" s="616"/>
      <c r="FG68" s="616"/>
      <c r="FH68" s="616"/>
      <c r="FI68" s="616"/>
      <c r="FJ68" s="616"/>
    </row>
    <row r="69" spans="1:166" s="595" customFormat="1" ht="14.7" customHeight="1" x14ac:dyDescent="0.25">
      <c r="A69" s="421">
        <v>65</v>
      </c>
      <c r="B69" s="183" t="str">
        <f>'98-суп крестьян. хлопья'!A9</f>
        <v>Суп крестьянский с хлопьями  овсяными "Геркулес"</v>
      </c>
      <c r="C69" s="250">
        <f>'98-суп крестьян. хлопья'!C33</f>
        <v>250</v>
      </c>
      <c r="D69" s="1209">
        <f t="shared" si="1"/>
        <v>1.48</v>
      </c>
      <c r="E69" s="1209">
        <f t="shared" si="2"/>
        <v>4.92</v>
      </c>
      <c r="F69" s="1209">
        <f t="shared" si="3"/>
        <v>6.09</v>
      </c>
      <c r="G69" s="1210">
        <f t="shared" si="4"/>
        <v>76</v>
      </c>
      <c r="H69" s="250">
        <f>'98-суп крестьян. хлопья'!J7</f>
        <v>98</v>
      </c>
      <c r="I69" s="683">
        <f>'98-суп крестьян. хлопья'!F35</f>
        <v>7.64</v>
      </c>
      <c r="J69" s="329"/>
      <c r="K69" s="329"/>
      <c r="L69" s="329"/>
      <c r="M69" s="329"/>
      <c r="N69" s="329"/>
      <c r="O69" s="329"/>
      <c r="P69" s="329"/>
      <c r="Q69" s="329"/>
      <c r="R69" s="329"/>
      <c r="S69" s="329"/>
      <c r="T69" s="329"/>
      <c r="U69" s="329"/>
      <c r="V69" s="329"/>
      <c r="W69" s="329"/>
      <c r="X69" s="329"/>
      <c r="Y69" s="329">
        <f>'98-суп крестьян. хлопья'!C27/'98-суп крестьян. хлопья'!C32*'98-суп крестьян. хлопья'!C33</f>
        <v>5.0000000000000001E-3</v>
      </c>
      <c r="Z69" s="329"/>
      <c r="AA69" s="329"/>
      <c r="AB69" s="329"/>
      <c r="AC69" s="329"/>
      <c r="AD69" s="329"/>
      <c r="AE69" s="330"/>
      <c r="AF69" s="329">
        <f>'98-суп крестьян. хлопья'!C19/'98-суп крестьян. хлопья'!C32*'98-суп крестьян. хлопья'!C33</f>
        <v>3.7499999999999999E-2</v>
      </c>
      <c r="AG69" s="329"/>
      <c r="AH69" s="329">
        <f>'98-суп крестьян. хлопья'!C20/'98-суп крестьян. хлопья'!C32*'98-суп крестьян. хлопья'!C33</f>
        <v>3.3250000000000002E-2</v>
      </c>
      <c r="AI69" s="329"/>
      <c r="AJ69" s="329"/>
      <c r="AK69" s="329">
        <f>'98-суп крестьян. хлопья'!C23/'98-суп крестьян. хлопья'!C32*'98-суп крестьян. хлопья'!C33</f>
        <v>1.2E-2</v>
      </c>
      <c r="AL69" s="329"/>
      <c r="AM69" s="329"/>
      <c r="AN69" s="329"/>
      <c r="AO69" s="329"/>
      <c r="AP69" s="329"/>
      <c r="AQ69" s="329">
        <f>'98-суп крестьян. хлопья'!C22/'98-суп крестьян. хлопья'!C32*'98-суп крестьян. хлопья'!C33</f>
        <v>1.2500000000000001E-2</v>
      </c>
      <c r="AR69" s="329"/>
      <c r="AS69" s="329"/>
      <c r="AT69" s="329"/>
      <c r="AU69" s="329">
        <f>'98-суп крестьян. хлопья'!C28/'98-суп крестьян. хлопья'!C32*'98-суп крестьян. хлопья'!C33</f>
        <v>2E-3</v>
      </c>
      <c r="AV69" s="329"/>
      <c r="AW69" s="329"/>
      <c r="AX69" s="329"/>
      <c r="AY69" s="329"/>
      <c r="AZ69" s="329"/>
      <c r="BA69" s="329"/>
      <c r="BB69" s="329"/>
      <c r="BC69" s="329"/>
      <c r="BD69" s="329"/>
      <c r="BE69" s="329"/>
      <c r="BF69" s="329"/>
      <c r="BG69" s="329"/>
      <c r="BH69" s="329"/>
      <c r="BI69" s="329"/>
      <c r="BJ69" s="329"/>
      <c r="BK69" s="329"/>
      <c r="BL69" s="329"/>
      <c r="BM69" s="329"/>
      <c r="BN69" s="329"/>
      <c r="BO69" s="329"/>
      <c r="BP69" s="329"/>
      <c r="BQ69" s="329"/>
      <c r="BR69" s="329"/>
      <c r="BS69" s="329"/>
      <c r="BT69" s="329"/>
      <c r="BU69" s="329"/>
      <c r="BV69" s="329"/>
      <c r="BW69" s="329"/>
      <c r="BX69" s="329"/>
      <c r="BY69" s="329"/>
      <c r="BZ69" s="329"/>
      <c r="CA69" s="329"/>
      <c r="CB69" s="329"/>
      <c r="CC69" s="329">
        <f>'98-суп крестьян. хлопья'!C21/'98-суп крестьян. хлопья'!C32*'98-суп крестьян. хлопья'!C33</f>
        <v>5.0000000000000001E-3</v>
      </c>
      <c r="CD69" s="329"/>
      <c r="CE69" s="329"/>
      <c r="CF69" s="329">
        <f>'98-суп крестьян. хлопья'!C24/'98-суп крестьян. хлопья'!C32*'98-суп крестьян. хлопья'!C33</f>
        <v>5.0000000000000001E-3</v>
      </c>
      <c r="CG69" s="329"/>
      <c r="CH69" s="329"/>
      <c r="CI69" s="329"/>
      <c r="CJ69" s="329"/>
      <c r="CK69" s="329"/>
      <c r="CL69" s="329"/>
      <c r="CM69" s="329"/>
      <c r="CN69" s="329"/>
      <c r="CO69" s="329"/>
      <c r="CP69" s="329"/>
      <c r="CQ69" s="329"/>
      <c r="CR69" s="329"/>
      <c r="CS69" s="329">
        <f>'98-суп крестьян. хлопья'!C29/'98-суп крестьян. хлопья'!C32*'98-суп крестьян. хлопья'!C33</f>
        <v>1.0000000000000001E-5</v>
      </c>
      <c r="CT69" s="329"/>
      <c r="CU69" s="329"/>
      <c r="CV69" s="329"/>
      <c r="CW69" s="329"/>
      <c r="CX69" s="329"/>
      <c r="CY69" s="329"/>
      <c r="CZ69" s="329"/>
      <c r="DA69" s="329"/>
      <c r="DB69" s="329"/>
      <c r="DC69" s="329">
        <f>'98-суп крестьян. хлопья'!C26/'98-суп крестьян. хлопья'!C32*'98-суп крестьян. хлопья'!C33</f>
        <v>2.5000000000000001E-3</v>
      </c>
      <c r="DD69" s="329"/>
      <c r="DE69" s="329"/>
      <c r="DF69" s="329"/>
      <c r="DG69" s="329"/>
      <c r="DH69" s="329"/>
      <c r="DI69" s="329"/>
      <c r="DJ69" s="329"/>
      <c r="DK69" s="329"/>
      <c r="DL69" s="329"/>
      <c r="DM69" s="329"/>
      <c r="DN69" s="329"/>
      <c r="DO69" s="329"/>
      <c r="DP69" s="329"/>
      <c r="DQ69" s="329"/>
      <c r="DR69" s="329"/>
      <c r="DS69" s="329"/>
      <c r="DT69" s="329"/>
      <c r="DU69" s="329"/>
      <c r="DV69" s="329"/>
      <c r="DW69" s="329"/>
      <c r="DX69" s="330"/>
      <c r="DY69" s="330"/>
      <c r="DZ69" s="330"/>
      <c r="EA69" s="330"/>
      <c r="EB69" s="330"/>
      <c r="EC69" s="330"/>
      <c r="ED69" s="330"/>
      <c r="EE69" s="330"/>
      <c r="EF69" s="330"/>
      <c r="EG69" s="330"/>
      <c r="EH69" s="330"/>
      <c r="EI69" s="330"/>
      <c r="EJ69" s="330"/>
      <c r="EK69" s="330"/>
      <c r="EL69" s="330"/>
      <c r="EM69" s="330"/>
      <c r="EN69" s="330"/>
      <c r="EO69" s="330"/>
      <c r="EP69" s="330"/>
      <c r="EQ69" s="330"/>
      <c r="ER69" s="330"/>
      <c r="ES69" s="330"/>
      <c r="ET69" s="330"/>
      <c r="EU69" s="330"/>
      <c r="EV69" s="330"/>
      <c r="EW69" s="330"/>
      <c r="EX69" s="330"/>
      <c r="EY69" s="1032">
        <f t="shared" si="0"/>
        <v>0.11476</v>
      </c>
      <c r="EZ69" s="616"/>
      <c r="FA69" s="616"/>
      <c r="FB69" s="616"/>
      <c r="FC69" s="616"/>
      <c r="FD69" s="616"/>
      <c r="FE69" s="616"/>
      <c r="FF69" s="616"/>
      <c r="FG69" s="616"/>
      <c r="FH69" s="616"/>
      <c r="FI69" s="616"/>
      <c r="FJ69" s="616"/>
    </row>
    <row r="70" spans="1:166" s="595" customFormat="1" ht="14.7" customHeight="1" x14ac:dyDescent="0.25">
      <c r="A70" s="421">
        <v>66</v>
      </c>
      <c r="B70" s="183" t="str">
        <f>'99-суп из овощей'!A9</f>
        <v>Суп из овощей</v>
      </c>
      <c r="C70" s="250">
        <f>'99-суп из овощей'!C33</f>
        <v>250</v>
      </c>
      <c r="D70" s="1209">
        <f>6.35/1000*C70</f>
        <v>1.59</v>
      </c>
      <c r="E70" s="1209">
        <f>19.95/1000*C70</f>
        <v>4.99</v>
      </c>
      <c r="F70" s="1209">
        <f>36.59/1000*C70</f>
        <v>9.15</v>
      </c>
      <c r="G70" s="1210">
        <f>381/1000*C70</f>
        <v>95</v>
      </c>
      <c r="H70" s="250">
        <f>'99-суп из овощей'!J7</f>
        <v>99</v>
      </c>
      <c r="I70" s="683">
        <f>'99-суп из овощей'!F35</f>
        <v>9.81</v>
      </c>
      <c r="J70" s="329"/>
      <c r="K70" s="329"/>
      <c r="L70" s="329"/>
      <c r="M70" s="329"/>
      <c r="N70" s="329"/>
      <c r="O70" s="329"/>
      <c r="P70" s="329"/>
      <c r="Q70" s="329"/>
      <c r="R70" s="329"/>
      <c r="S70" s="329"/>
      <c r="T70" s="329"/>
      <c r="U70" s="329"/>
      <c r="V70" s="329"/>
      <c r="W70" s="329"/>
      <c r="X70" s="329"/>
      <c r="Y70" s="329">
        <f>'99-суп из овощей'!C27/'99-суп из овощей'!C32*'99-суп из овощей'!C33</f>
        <v>5.0000000000000001E-3</v>
      </c>
      <c r="Z70" s="329"/>
      <c r="AA70" s="329"/>
      <c r="AB70" s="329"/>
      <c r="AC70" s="329"/>
      <c r="AD70" s="329"/>
      <c r="AE70" s="330"/>
      <c r="AF70" s="329">
        <f>'99-суп из овощей'!C19/'99-суп из овощей'!C32*'99-суп из овощей'!C33</f>
        <v>2.5000000000000001E-2</v>
      </c>
      <c r="AG70" s="329"/>
      <c r="AH70" s="329">
        <f>'99-суп из овощей'!C20/'99-суп из овощей'!C32*'99-суп из овощей'!C33</f>
        <v>6.6750000000000004E-2</v>
      </c>
      <c r="AI70" s="329"/>
      <c r="AJ70" s="329"/>
      <c r="AK70" s="329">
        <f>'99-суп из овощей'!C22/'99-суп из овощей'!C32*'99-суп из овощей'!C33</f>
        <v>1.2E-2</v>
      </c>
      <c r="AL70" s="329"/>
      <c r="AM70" s="329"/>
      <c r="AN70" s="329"/>
      <c r="AO70" s="329"/>
      <c r="AP70" s="329"/>
      <c r="AQ70" s="329">
        <f>'99-суп из овощей'!C21/'99-суп из овощей'!C32*'99-суп из овощей'!C33</f>
        <v>1.2500000000000001E-2</v>
      </c>
      <c r="AR70" s="329"/>
      <c r="AS70" s="329"/>
      <c r="AT70" s="329"/>
      <c r="AU70" s="329">
        <f>'99-суп из овощей'!C28/'99-суп из овощей'!C32*'99-суп из овощей'!C33</f>
        <v>2E-3</v>
      </c>
      <c r="AV70" s="329"/>
      <c r="AW70" s="329"/>
      <c r="AX70" s="329"/>
      <c r="AY70" s="329"/>
      <c r="AZ70" s="329"/>
      <c r="BA70" s="329"/>
      <c r="BB70" s="329"/>
      <c r="BC70" s="329"/>
      <c r="BD70" s="329"/>
      <c r="BE70" s="329"/>
      <c r="BF70" s="329"/>
      <c r="BG70" s="329"/>
      <c r="BH70" s="329"/>
      <c r="BI70" s="329"/>
      <c r="BJ70" s="329"/>
      <c r="BK70" s="329"/>
      <c r="BL70" s="329"/>
      <c r="BM70" s="329"/>
      <c r="BN70" s="329"/>
      <c r="BO70" s="329"/>
      <c r="BP70" s="329"/>
      <c r="BQ70" s="329"/>
      <c r="BR70" s="329"/>
      <c r="BS70" s="329"/>
      <c r="BT70" s="329"/>
      <c r="BU70" s="329"/>
      <c r="BV70" s="329"/>
      <c r="BW70" s="329"/>
      <c r="BX70" s="329"/>
      <c r="BY70" s="329"/>
      <c r="BZ70" s="329"/>
      <c r="CA70" s="329"/>
      <c r="CB70" s="329"/>
      <c r="CC70" s="329"/>
      <c r="CD70" s="329"/>
      <c r="CE70" s="329"/>
      <c r="CF70" s="329">
        <f>'99-суп из овощей'!C24/'99-суп из овощей'!C32*'99-суп из овощей'!C33</f>
        <v>5.0000000000000001E-3</v>
      </c>
      <c r="CG70" s="329"/>
      <c r="CH70" s="329"/>
      <c r="CI70" s="329"/>
      <c r="CJ70" s="329"/>
      <c r="CK70" s="329"/>
      <c r="CL70" s="329"/>
      <c r="CM70" s="329"/>
      <c r="CN70" s="329"/>
      <c r="CO70" s="329"/>
      <c r="CP70" s="329"/>
      <c r="CQ70" s="329"/>
      <c r="CR70" s="329"/>
      <c r="CS70" s="329">
        <f>'99-суп из овощей'!C29/'99-суп из овощей'!C32*'99-суп из овощей'!C33</f>
        <v>1.0000000000000001E-5</v>
      </c>
      <c r="CT70" s="329"/>
      <c r="CU70" s="329"/>
      <c r="CV70" s="329"/>
      <c r="CW70" s="329"/>
      <c r="CX70" s="329"/>
      <c r="CY70" s="329"/>
      <c r="CZ70" s="329"/>
      <c r="DA70" s="329"/>
      <c r="DB70" s="329"/>
      <c r="DC70" s="329">
        <f>'99-суп из овощей'!C26/'99-суп из овощей'!C32*'99-суп из овощей'!C33</f>
        <v>2.5000000000000001E-3</v>
      </c>
      <c r="DD70" s="329"/>
      <c r="DE70" s="329"/>
      <c r="DF70" s="329"/>
      <c r="DG70" s="329"/>
      <c r="DH70" s="329"/>
      <c r="DI70" s="329"/>
      <c r="DJ70" s="329"/>
      <c r="DK70" s="329"/>
      <c r="DL70" s="329"/>
      <c r="DM70" s="329">
        <f>'99-суп из овощей'!C23/'99-суп из овощей'!C32*'99-суп из овощей'!C33</f>
        <v>8.2500000000000004E-3</v>
      </c>
      <c r="DN70" s="329"/>
      <c r="DO70" s="329"/>
      <c r="DP70" s="329"/>
      <c r="DQ70" s="329"/>
      <c r="DR70" s="329"/>
      <c r="DS70" s="329"/>
      <c r="DT70" s="329"/>
      <c r="DU70" s="329"/>
      <c r="DV70" s="329"/>
      <c r="DW70" s="329"/>
      <c r="DX70" s="330"/>
      <c r="DY70" s="330"/>
      <c r="DZ70" s="330"/>
      <c r="EA70" s="330"/>
      <c r="EB70" s="330"/>
      <c r="EC70" s="330"/>
      <c r="ED70" s="330"/>
      <c r="EE70" s="330"/>
      <c r="EF70" s="330"/>
      <c r="EG70" s="330"/>
      <c r="EH70" s="330"/>
      <c r="EI70" s="330"/>
      <c r="EJ70" s="330"/>
      <c r="EK70" s="330"/>
      <c r="EL70" s="330"/>
      <c r="EM70" s="330"/>
      <c r="EN70" s="330"/>
      <c r="EO70" s="330"/>
      <c r="EP70" s="330"/>
      <c r="EQ70" s="330"/>
      <c r="ER70" s="330"/>
      <c r="ES70" s="330"/>
      <c r="ET70" s="330"/>
      <c r="EU70" s="330"/>
      <c r="EV70" s="330"/>
      <c r="EW70" s="330"/>
      <c r="EX70" s="330"/>
      <c r="EY70" s="1032">
        <f t="shared" si="0"/>
        <v>0.13900999999999999</v>
      </c>
      <c r="EZ70" s="616"/>
      <c r="FA70" s="616"/>
      <c r="FB70" s="616"/>
      <c r="FC70" s="616"/>
      <c r="FD70" s="616"/>
      <c r="FE70" s="616"/>
      <c r="FF70" s="616"/>
      <c r="FG70" s="616"/>
      <c r="FH70" s="616"/>
      <c r="FI70" s="616"/>
      <c r="FJ70" s="616"/>
    </row>
    <row r="71" spans="1:166" ht="14.7" customHeight="1" x14ac:dyDescent="0.25">
      <c r="A71" s="421">
        <v>67</v>
      </c>
      <c r="B71" s="183" t="str">
        <f>'101-суп картофельный с перлов.'!A9</f>
        <v>Суп картофельный с крупой перловой</v>
      </c>
      <c r="C71" s="419">
        <f>'101-суп картофельный с перлов.'!C32</f>
        <v>250</v>
      </c>
      <c r="D71" s="1209">
        <f t="shared" ref="D71:D76" si="5">7.89/1000*C71</f>
        <v>1.97</v>
      </c>
      <c r="E71" s="1209">
        <f t="shared" ref="E71:E76" si="6">10.85/1000*C71</f>
        <v>2.71</v>
      </c>
      <c r="F71" s="1209">
        <f t="shared" ref="F71:F76" si="7">48.45/1000*C71</f>
        <v>12.11</v>
      </c>
      <c r="G71" s="1210">
        <f t="shared" ref="G71:G76" si="8">343/1000*C71</f>
        <v>86</v>
      </c>
      <c r="H71" s="419">
        <f>'101-суп картофельный с перлов.'!J7</f>
        <v>101</v>
      </c>
      <c r="I71" s="483">
        <f>'101-суп картофельный с перлов.'!F34</f>
        <v>8.77</v>
      </c>
      <c r="J71" s="329"/>
      <c r="K71" s="329"/>
      <c r="L71" s="329"/>
      <c r="M71" s="329"/>
      <c r="N71" s="329"/>
      <c r="O71" s="329"/>
      <c r="P71" s="329"/>
      <c r="Q71" s="329"/>
      <c r="R71" s="329"/>
      <c r="S71" s="329"/>
      <c r="T71" s="329"/>
      <c r="U71" s="329"/>
      <c r="V71" s="329"/>
      <c r="W71" s="329"/>
      <c r="X71" s="329"/>
      <c r="Y71" s="329">
        <f>'101-суп картофельный с перлов.'!C27/4</f>
        <v>5.0000000000000001E-3</v>
      </c>
      <c r="Z71" s="329"/>
      <c r="AA71" s="329"/>
      <c r="AB71" s="329"/>
      <c r="AC71" s="329"/>
      <c r="AD71" s="329"/>
      <c r="AE71" s="330"/>
      <c r="AF71" s="329"/>
      <c r="AG71" s="329"/>
      <c r="AH71" s="329">
        <f>'101-суп картофельный с перлов.'!C19/4</f>
        <v>0.1</v>
      </c>
      <c r="AI71" s="329"/>
      <c r="AJ71" s="329"/>
      <c r="AK71" s="329">
        <f>'101-суп картофельный с перлов.'!C22/4</f>
        <v>1.2E-2</v>
      </c>
      <c r="AL71" s="329"/>
      <c r="AM71" s="329"/>
      <c r="AN71" s="329"/>
      <c r="AO71" s="329"/>
      <c r="AP71" s="329"/>
      <c r="AQ71" s="329">
        <f>'101-суп картофельный с перлов.'!C21/4</f>
        <v>1.2500000000000001E-2</v>
      </c>
      <c r="AR71" s="329"/>
      <c r="AS71" s="329"/>
      <c r="AT71" s="329"/>
      <c r="AU71" s="329">
        <f>'101-суп картофельный с перлов.'!C28/4</f>
        <v>2E-3</v>
      </c>
      <c r="AV71" s="329"/>
      <c r="AW71" s="329"/>
      <c r="AX71" s="329"/>
      <c r="AY71" s="329"/>
      <c r="AZ71" s="329"/>
      <c r="BA71" s="329"/>
      <c r="BB71" s="329"/>
      <c r="BC71" s="329"/>
      <c r="BD71" s="329"/>
      <c r="BE71" s="329"/>
      <c r="BF71" s="329"/>
      <c r="BG71" s="329"/>
      <c r="BH71" s="329"/>
      <c r="BI71" s="329"/>
      <c r="BJ71" s="329"/>
      <c r="BK71" s="329"/>
      <c r="BL71" s="329"/>
      <c r="BM71" s="329"/>
      <c r="BN71" s="329"/>
      <c r="BO71" s="329"/>
      <c r="BP71" s="329"/>
      <c r="BQ71" s="329"/>
      <c r="BR71" s="329"/>
      <c r="BS71" s="329"/>
      <c r="BT71" s="329"/>
      <c r="BU71" s="329"/>
      <c r="BV71" s="329">
        <f>'101-суп картофельный с перлов.'!C20/4</f>
        <v>0.01</v>
      </c>
      <c r="BW71" s="329"/>
      <c r="BX71" s="329"/>
      <c r="BY71" s="329"/>
      <c r="BZ71" s="329"/>
      <c r="CA71" s="329"/>
      <c r="CB71" s="329"/>
      <c r="CC71" s="329"/>
      <c r="CD71" s="329"/>
      <c r="CE71" s="329"/>
      <c r="CF71" s="329">
        <f>'101-суп картофельный с перлов.'!C23/4</f>
        <v>2.5000000000000001E-3</v>
      </c>
      <c r="CG71" s="329"/>
      <c r="CH71" s="329"/>
      <c r="CI71" s="329"/>
      <c r="CJ71" s="329"/>
      <c r="CK71" s="329"/>
      <c r="CL71" s="329"/>
      <c r="CM71" s="329"/>
      <c r="CN71" s="329"/>
      <c r="CO71" s="329"/>
      <c r="CP71" s="329"/>
      <c r="CQ71" s="329"/>
      <c r="CR71" s="329"/>
      <c r="CS71" s="329">
        <f>'101-суп картофельный с перлов.'!C25/4</f>
        <v>1.0000000000000001E-5</v>
      </c>
      <c r="CT71" s="329"/>
      <c r="CU71" s="329"/>
      <c r="CV71" s="329"/>
      <c r="CW71" s="329"/>
      <c r="CX71" s="329"/>
      <c r="CY71" s="329"/>
      <c r="CZ71" s="329"/>
      <c r="DA71" s="329"/>
      <c r="DB71" s="329"/>
      <c r="DC71" s="329">
        <f>'101-суп картофельный с перлов.'!C26/4</f>
        <v>2.5000000000000001E-3</v>
      </c>
      <c r="DD71" s="329"/>
      <c r="DE71" s="329"/>
      <c r="DF71" s="329"/>
      <c r="DG71" s="329"/>
      <c r="DH71" s="329"/>
      <c r="DI71" s="329"/>
      <c r="DJ71" s="329"/>
      <c r="DK71" s="329"/>
      <c r="DL71" s="329"/>
      <c r="DM71" s="329"/>
      <c r="DN71" s="329"/>
      <c r="DO71" s="329"/>
      <c r="DP71" s="329"/>
      <c r="DQ71" s="329"/>
      <c r="DR71" s="329"/>
      <c r="DS71" s="329"/>
      <c r="DT71" s="329"/>
      <c r="DU71" s="329"/>
      <c r="DV71" s="329"/>
      <c r="DW71" s="329"/>
      <c r="DX71" s="330"/>
      <c r="DY71" s="330"/>
      <c r="DZ71" s="330"/>
      <c r="EA71" s="330"/>
      <c r="EB71" s="330"/>
      <c r="EC71" s="330"/>
      <c r="ED71" s="330"/>
      <c r="EE71" s="330"/>
      <c r="EF71" s="330"/>
      <c r="EG71" s="330"/>
      <c r="EH71" s="330"/>
      <c r="EI71" s="330"/>
      <c r="EJ71" s="330"/>
      <c r="EK71" s="330"/>
      <c r="EL71" s="330"/>
      <c r="EM71" s="330"/>
      <c r="EN71" s="330"/>
      <c r="EO71" s="330"/>
      <c r="EP71" s="330"/>
      <c r="EQ71" s="330"/>
      <c r="ER71" s="330"/>
      <c r="ES71" s="330"/>
      <c r="ET71" s="330"/>
      <c r="EU71" s="330"/>
      <c r="EV71" s="330"/>
      <c r="EW71" s="330"/>
      <c r="EX71" s="330"/>
      <c r="EY71" s="1032">
        <f t="shared" si="0"/>
        <v>0.14651</v>
      </c>
    </row>
    <row r="72" spans="1:166" s="595" customFormat="1" ht="14.7" customHeight="1" x14ac:dyDescent="0.25">
      <c r="A72" s="421">
        <v>68</v>
      </c>
      <c r="B72" s="183" t="str">
        <f>'101-суп картофельный с пшено'!A9</f>
        <v>Суп картофельный с пшеном</v>
      </c>
      <c r="C72" s="419">
        <f>'101-суп картофельный с пшено'!C32</f>
        <v>250</v>
      </c>
      <c r="D72" s="1209">
        <f t="shared" si="5"/>
        <v>1.97</v>
      </c>
      <c r="E72" s="1209">
        <f t="shared" si="6"/>
        <v>2.71</v>
      </c>
      <c r="F72" s="1209">
        <f t="shared" si="7"/>
        <v>12.11</v>
      </c>
      <c r="G72" s="1210">
        <f t="shared" si="8"/>
        <v>86</v>
      </c>
      <c r="H72" s="419">
        <f>'101-суп картофельный с пшено'!J7</f>
        <v>101</v>
      </c>
      <c r="I72" s="483">
        <f>'101-суп картофельный с пшено'!F34</f>
        <v>8.67</v>
      </c>
      <c r="J72" s="329"/>
      <c r="K72" s="329"/>
      <c r="L72" s="329"/>
      <c r="M72" s="329"/>
      <c r="N72" s="329"/>
      <c r="O72" s="329"/>
      <c r="P72" s="329"/>
      <c r="Q72" s="329"/>
      <c r="R72" s="329"/>
      <c r="S72" s="329"/>
      <c r="T72" s="329"/>
      <c r="U72" s="329"/>
      <c r="V72" s="329"/>
      <c r="W72" s="329"/>
      <c r="X72" s="329"/>
      <c r="Y72" s="329">
        <f>'101-суп картофельный с пшено'!C27/'101-суп картофельный с пшено'!C31*'101-суп картофельный с пшено'!C32</f>
        <v>5.0000000000000001E-3</v>
      </c>
      <c r="Z72" s="329"/>
      <c r="AA72" s="329"/>
      <c r="AB72" s="329"/>
      <c r="AC72" s="329"/>
      <c r="AD72" s="329"/>
      <c r="AE72" s="330"/>
      <c r="AF72" s="329"/>
      <c r="AG72" s="329"/>
      <c r="AH72" s="329">
        <f>'101-суп картофельный с пшено'!C19/'101-суп картофельный с пшено'!C31*'101-суп картофельный с пшено'!C32</f>
        <v>0.1</v>
      </c>
      <c r="AI72" s="329"/>
      <c r="AJ72" s="329"/>
      <c r="AK72" s="329">
        <f>'101-суп картофельный с пшено'!C22/'101-суп картофельный с пшено'!C31*'101-суп картофельный с пшено'!C32</f>
        <v>1.2E-2</v>
      </c>
      <c r="AL72" s="329"/>
      <c r="AM72" s="329"/>
      <c r="AN72" s="329"/>
      <c r="AO72" s="329"/>
      <c r="AP72" s="329"/>
      <c r="AQ72" s="329">
        <f>'101-суп картофельный с пшено'!C21/'101-суп картофельный с пшено'!C31*'101-суп картофельный с пшено'!C32</f>
        <v>1.2500000000000001E-2</v>
      </c>
      <c r="AR72" s="329"/>
      <c r="AS72" s="329"/>
      <c r="AT72" s="329"/>
      <c r="AU72" s="329">
        <f>'101-суп картофельный с пшено'!C28/'101-суп картофельный с пшено'!C31*'101-суп картофельный с пшено'!C32</f>
        <v>2E-3</v>
      </c>
      <c r="AV72" s="329"/>
      <c r="AW72" s="329"/>
      <c r="AX72" s="329"/>
      <c r="AY72" s="329"/>
      <c r="AZ72" s="329"/>
      <c r="BA72" s="329"/>
      <c r="BB72" s="329"/>
      <c r="BC72" s="329"/>
      <c r="BD72" s="329"/>
      <c r="BE72" s="329"/>
      <c r="BF72" s="329"/>
      <c r="BG72" s="329"/>
      <c r="BH72" s="329"/>
      <c r="BI72" s="329"/>
      <c r="BJ72" s="329"/>
      <c r="BK72" s="329"/>
      <c r="BL72" s="329"/>
      <c r="BM72" s="329"/>
      <c r="BN72" s="329"/>
      <c r="BO72" s="329"/>
      <c r="BP72" s="329"/>
      <c r="BQ72" s="329"/>
      <c r="BR72" s="329"/>
      <c r="BS72" s="329"/>
      <c r="BT72" s="329"/>
      <c r="BU72" s="329"/>
      <c r="BV72" s="329"/>
      <c r="BW72" s="329"/>
      <c r="BX72" s="329"/>
      <c r="BY72" s="329"/>
      <c r="BZ72" s="329"/>
      <c r="CA72" s="329">
        <f>'101-суп картофельный с пшено'!C20/'101-суп картофельный с пшено'!C31*'101-суп картофельный с пшено'!C32</f>
        <v>5.0000000000000001E-3</v>
      </c>
      <c r="CB72" s="329"/>
      <c r="CC72" s="329"/>
      <c r="CD72" s="329"/>
      <c r="CE72" s="329"/>
      <c r="CF72" s="329">
        <f>'101-суп картофельный с пшено'!C23/'101-суп картофельный с пшено'!C31*'101-суп картофельный с пшено'!C32</f>
        <v>2.5000000000000001E-3</v>
      </c>
      <c r="CG72" s="329"/>
      <c r="CH72" s="329"/>
      <c r="CI72" s="329"/>
      <c r="CJ72" s="329"/>
      <c r="CK72" s="329"/>
      <c r="CL72" s="329"/>
      <c r="CM72" s="329"/>
      <c r="CN72" s="329"/>
      <c r="CO72" s="329"/>
      <c r="CP72" s="329"/>
      <c r="CQ72" s="329"/>
      <c r="CR72" s="329"/>
      <c r="CS72" s="329">
        <f>'101-суп картофельный с пшено'!C25/'101-суп картофельный с пшено'!C31*'101-суп картофельный с пшено'!C32</f>
        <v>1.0000000000000001E-5</v>
      </c>
      <c r="CT72" s="329"/>
      <c r="CU72" s="329"/>
      <c r="CV72" s="329"/>
      <c r="CW72" s="329"/>
      <c r="CX72" s="329"/>
      <c r="CY72" s="329"/>
      <c r="CZ72" s="329"/>
      <c r="DA72" s="329"/>
      <c r="DB72" s="329"/>
      <c r="DC72" s="329">
        <f>'101-суп картофельный с пшено'!C26/'101-суп картофельный с пшено'!C31*'101-суп картофельный с пшено'!C32</f>
        <v>2.5000000000000001E-3</v>
      </c>
      <c r="DD72" s="329"/>
      <c r="DE72" s="329"/>
      <c r="DF72" s="329"/>
      <c r="DG72" s="329"/>
      <c r="DH72" s="329"/>
      <c r="DI72" s="329"/>
      <c r="DJ72" s="329"/>
      <c r="DK72" s="329"/>
      <c r="DL72" s="329"/>
      <c r="DM72" s="329"/>
      <c r="DN72" s="329"/>
      <c r="DO72" s="329"/>
      <c r="DP72" s="329"/>
      <c r="DQ72" s="329"/>
      <c r="DR72" s="329"/>
      <c r="DS72" s="329"/>
      <c r="DT72" s="329"/>
      <c r="DU72" s="329"/>
      <c r="DV72" s="329"/>
      <c r="DW72" s="329"/>
      <c r="DX72" s="330"/>
      <c r="DY72" s="330"/>
      <c r="DZ72" s="330"/>
      <c r="EA72" s="330"/>
      <c r="EB72" s="330"/>
      <c r="EC72" s="330"/>
      <c r="ED72" s="330"/>
      <c r="EE72" s="330"/>
      <c r="EF72" s="330"/>
      <c r="EG72" s="330"/>
      <c r="EH72" s="330"/>
      <c r="EI72" s="330"/>
      <c r="EJ72" s="330"/>
      <c r="EK72" s="330"/>
      <c r="EL72" s="330"/>
      <c r="EM72" s="330"/>
      <c r="EN72" s="330"/>
      <c r="EO72" s="330"/>
      <c r="EP72" s="330"/>
      <c r="EQ72" s="330"/>
      <c r="ER72" s="330"/>
      <c r="ES72" s="330"/>
      <c r="ET72" s="330"/>
      <c r="EU72" s="330"/>
      <c r="EV72" s="330"/>
      <c r="EW72" s="330"/>
      <c r="EX72" s="330"/>
      <c r="EY72" s="1032">
        <f t="shared" si="0"/>
        <v>0.14151</v>
      </c>
      <c r="EZ72" s="616"/>
      <c r="FA72" s="616"/>
      <c r="FB72" s="616"/>
      <c r="FC72" s="616"/>
      <c r="FD72" s="616"/>
      <c r="FE72" s="616"/>
      <c r="FF72" s="616"/>
      <c r="FG72" s="616"/>
      <c r="FH72" s="616"/>
      <c r="FI72" s="616"/>
      <c r="FJ72" s="616"/>
    </row>
    <row r="73" spans="1:166" s="595" customFormat="1" ht="14.7" customHeight="1" x14ac:dyDescent="0.25">
      <c r="A73" s="421">
        <v>69</v>
      </c>
      <c r="B73" s="183" t="str">
        <f>'101-суп картофель рис '!A9</f>
        <v>Суп картофельный с рисом</v>
      </c>
      <c r="C73" s="419">
        <f>'101-суп картофель рис '!C32</f>
        <v>250</v>
      </c>
      <c r="D73" s="1209">
        <f t="shared" si="5"/>
        <v>1.97</v>
      </c>
      <c r="E73" s="1209">
        <f t="shared" si="6"/>
        <v>2.71</v>
      </c>
      <c r="F73" s="1209">
        <f t="shared" si="7"/>
        <v>12.11</v>
      </c>
      <c r="G73" s="1210">
        <f t="shared" si="8"/>
        <v>86</v>
      </c>
      <c r="H73" s="419">
        <f>'101-суп картофель рис '!J7</f>
        <v>101</v>
      </c>
      <c r="I73" s="483">
        <f>'101-суп картофель рис '!F34</f>
        <v>8.86</v>
      </c>
      <c r="J73" s="329"/>
      <c r="K73" s="329"/>
      <c r="L73" s="329"/>
      <c r="M73" s="329"/>
      <c r="N73" s="329"/>
      <c r="O73" s="329"/>
      <c r="P73" s="329"/>
      <c r="Q73" s="329"/>
      <c r="R73" s="329"/>
      <c r="S73" s="329"/>
      <c r="T73" s="329"/>
      <c r="U73" s="329"/>
      <c r="V73" s="329"/>
      <c r="W73" s="329"/>
      <c r="X73" s="329"/>
      <c r="Y73" s="329">
        <f>'101-суп картофель рис '!C27/'101-суп картофель рис '!C31*'101-суп картофель рис '!C32</f>
        <v>5.0000000000000001E-3</v>
      </c>
      <c r="Z73" s="329"/>
      <c r="AA73" s="329"/>
      <c r="AB73" s="329"/>
      <c r="AC73" s="329"/>
      <c r="AD73" s="329"/>
      <c r="AE73" s="330"/>
      <c r="AF73" s="329"/>
      <c r="AG73" s="329"/>
      <c r="AH73" s="329">
        <f>'101-суп картофель рис '!C19/'101-суп картофель рис '!C31*'101-суп картофель рис '!C32</f>
        <v>0.1</v>
      </c>
      <c r="AI73" s="329"/>
      <c r="AJ73" s="329"/>
      <c r="AK73" s="329">
        <f>'101-суп картофель рис '!C22/'101-суп картофель рис '!C31*'101-суп картофель рис '!C32</f>
        <v>1.2E-2</v>
      </c>
      <c r="AL73" s="329"/>
      <c r="AM73" s="329"/>
      <c r="AN73" s="329"/>
      <c r="AO73" s="329"/>
      <c r="AP73" s="329"/>
      <c r="AQ73" s="329">
        <f>'101-суп картофель рис '!C21/'101-суп картофель рис '!C31*'101-суп картофель рис '!C32</f>
        <v>1.2500000000000001E-2</v>
      </c>
      <c r="AR73" s="329"/>
      <c r="AS73" s="329"/>
      <c r="AT73" s="329"/>
      <c r="AU73" s="329">
        <f>'101-суп картофель рис '!C28/'101-суп картофель рис '!C31*'101-суп картофель рис '!C32</f>
        <v>2E-3</v>
      </c>
      <c r="AV73" s="329"/>
      <c r="AW73" s="329"/>
      <c r="AX73" s="329"/>
      <c r="AY73" s="329"/>
      <c r="AZ73" s="329"/>
      <c r="BA73" s="329"/>
      <c r="BB73" s="329"/>
      <c r="BC73" s="329"/>
      <c r="BD73" s="329"/>
      <c r="BE73" s="329"/>
      <c r="BF73" s="329"/>
      <c r="BG73" s="329"/>
      <c r="BH73" s="329"/>
      <c r="BI73" s="329"/>
      <c r="BJ73" s="329"/>
      <c r="BK73" s="329"/>
      <c r="BL73" s="329"/>
      <c r="BM73" s="329"/>
      <c r="BN73" s="329"/>
      <c r="BO73" s="329"/>
      <c r="BP73" s="329"/>
      <c r="BQ73" s="329"/>
      <c r="BR73" s="329"/>
      <c r="BS73" s="329"/>
      <c r="BT73" s="329"/>
      <c r="BU73" s="329"/>
      <c r="BV73" s="329"/>
      <c r="BW73" s="329"/>
      <c r="BX73" s="329"/>
      <c r="BY73" s="329"/>
      <c r="BZ73" s="329"/>
      <c r="CA73" s="329"/>
      <c r="CB73" s="329">
        <f>'101-суп картофель рис '!C20/'101-суп картофель рис '!C31*'101-суп картофель рис '!C32</f>
        <v>5.0000000000000001E-3</v>
      </c>
      <c r="CC73" s="329"/>
      <c r="CD73" s="329"/>
      <c r="CE73" s="329"/>
      <c r="CF73" s="329">
        <f>'101-суп картофель рис '!C23/'101-суп картофель рис '!C31*'101-суп картофель рис '!C32</f>
        <v>2.5000000000000001E-3</v>
      </c>
      <c r="CG73" s="329"/>
      <c r="CH73" s="329"/>
      <c r="CI73" s="329"/>
      <c r="CJ73" s="329"/>
      <c r="CK73" s="329"/>
      <c r="CL73" s="329"/>
      <c r="CM73" s="329"/>
      <c r="CN73" s="329"/>
      <c r="CO73" s="329"/>
      <c r="CP73" s="329"/>
      <c r="CQ73" s="329"/>
      <c r="CR73" s="329"/>
      <c r="CS73" s="329">
        <f>'101-суп картофель рис '!C25/'101-суп картофель рис '!C31*'101-суп картофель рис '!C32</f>
        <v>1.0000000000000001E-5</v>
      </c>
      <c r="CT73" s="329"/>
      <c r="CU73" s="329"/>
      <c r="CV73" s="329"/>
      <c r="CW73" s="329"/>
      <c r="CX73" s="329"/>
      <c r="CY73" s="329"/>
      <c r="CZ73" s="329"/>
      <c r="DA73" s="329"/>
      <c r="DB73" s="329"/>
      <c r="DC73" s="329">
        <f>'101-суп картофель рис '!C26/'101-суп картофель рис '!C31*'101-суп картофель рис '!C32</f>
        <v>2.5000000000000001E-3</v>
      </c>
      <c r="DD73" s="329"/>
      <c r="DE73" s="329"/>
      <c r="DF73" s="329"/>
      <c r="DG73" s="329"/>
      <c r="DH73" s="329"/>
      <c r="DI73" s="329"/>
      <c r="DJ73" s="329"/>
      <c r="DK73" s="329"/>
      <c r="DL73" s="329"/>
      <c r="DM73" s="329"/>
      <c r="DN73" s="329"/>
      <c r="DO73" s="329"/>
      <c r="DP73" s="329"/>
      <c r="DQ73" s="329"/>
      <c r="DR73" s="329"/>
      <c r="DS73" s="329"/>
      <c r="DT73" s="329"/>
      <c r="DU73" s="329"/>
      <c r="DV73" s="329"/>
      <c r="DW73" s="329"/>
      <c r="DX73" s="330"/>
      <c r="DY73" s="330"/>
      <c r="DZ73" s="330"/>
      <c r="EA73" s="330"/>
      <c r="EB73" s="330"/>
      <c r="EC73" s="330"/>
      <c r="ED73" s="330"/>
      <c r="EE73" s="330"/>
      <c r="EF73" s="330"/>
      <c r="EG73" s="330"/>
      <c r="EH73" s="330"/>
      <c r="EI73" s="330"/>
      <c r="EJ73" s="330"/>
      <c r="EK73" s="330"/>
      <c r="EL73" s="330"/>
      <c r="EM73" s="330"/>
      <c r="EN73" s="330"/>
      <c r="EO73" s="330"/>
      <c r="EP73" s="330"/>
      <c r="EQ73" s="330"/>
      <c r="ER73" s="330"/>
      <c r="ES73" s="330"/>
      <c r="ET73" s="330"/>
      <c r="EU73" s="330"/>
      <c r="EV73" s="330"/>
      <c r="EW73" s="330"/>
      <c r="EX73" s="330"/>
      <c r="EY73" s="1032">
        <f t="shared" si="0"/>
        <v>0.14151</v>
      </c>
      <c r="EZ73" s="616"/>
      <c r="FA73" s="616"/>
      <c r="FB73" s="616"/>
      <c r="FC73" s="616"/>
      <c r="FD73" s="616"/>
      <c r="FE73" s="616"/>
      <c r="FF73" s="616"/>
      <c r="FG73" s="616"/>
      <c r="FH73" s="616"/>
      <c r="FI73" s="616"/>
      <c r="FJ73" s="616"/>
    </row>
    <row r="74" spans="1:166" s="595" customFormat="1" ht="14.7" customHeight="1" x14ac:dyDescent="0.25">
      <c r="A74" s="421">
        <v>70</v>
      </c>
      <c r="B74" s="183" t="str">
        <f>'101-суп картофельный овсянка'!A9</f>
        <v>Суп картофельный с крупой овсяной</v>
      </c>
      <c r="C74" s="419">
        <f>'101-суп картофельный овсянка'!C32</f>
        <v>250</v>
      </c>
      <c r="D74" s="1209">
        <f t="shared" si="5"/>
        <v>1.97</v>
      </c>
      <c r="E74" s="1209">
        <f t="shared" si="6"/>
        <v>2.71</v>
      </c>
      <c r="F74" s="1209">
        <f t="shared" si="7"/>
        <v>12.11</v>
      </c>
      <c r="G74" s="1210">
        <f t="shared" si="8"/>
        <v>86</v>
      </c>
      <c r="H74" s="419">
        <f>'101-суп картофельный овсянка'!J7</f>
        <v>101</v>
      </c>
      <c r="I74" s="483">
        <f>'101-суп картофельный овсянка'!F34</f>
        <v>8.7200000000000006</v>
      </c>
      <c r="J74" s="329"/>
      <c r="K74" s="329"/>
      <c r="L74" s="329"/>
      <c r="M74" s="329"/>
      <c r="N74" s="329"/>
      <c r="O74" s="329"/>
      <c r="P74" s="329"/>
      <c r="Q74" s="329"/>
      <c r="R74" s="329"/>
      <c r="S74" s="329"/>
      <c r="T74" s="329"/>
      <c r="U74" s="329"/>
      <c r="V74" s="329"/>
      <c r="W74" s="329"/>
      <c r="X74" s="329"/>
      <c r="Y74" s="329">
        <f>'101-суп картофельный овсянка'!C27/'101-суп картофельный овсянка'!C31*'101-суп картофельный овсянка'!C32</f>
        <v>5.0000000000000001E-3</v>
      </c>
      <c r="Z74" s="329"/>
      <c r="AA74" s="329"/>
      <c r="AB74" s="329"/>
      <c r="AC74" s="329"/>
      <c r="AD74" s="329"/>
      <c r="AE74" s="330"/>
      <c r="AF74" s="329"/>
      <c r="AG74" s="329"/>
      <c r="AH74" s="329">
        <f>'101-суп картофельный овсянка'!C19/'101-суп картофельный овсянка'!C31*'101-суп картофельный овсянка'!C32</f>
        <v>0.1</v>
      </c>
      <c r="AI74" s="329"/>
      <c r="AJ74" s="329"/>
      <c r="AK74" s="329">
        <f>'101-суп картофельный овсянка'!C22/'101-суп картофельный овсянка'!C31*'101-суп картофельный овсянка'!C32</f>
        <v>1.2E-2</v>
      </c>
      <c r="AL74" s="329"/>
      <c r="AM74" s="329"/>
      <c r="AN74" s="329"/>
      <c r="AO74" s="329"/>
      <c r="AP74" s="329"/>
      <c r="AQ74" s="329">
        <f>'101-суп картофельный овсянка'!C21/'101-суп картофельный овсянка'!C31*'101-суп картофельный овсянка'!C32</f>
        <v>1.2500000000000001E-2</v>
      </c>
      <c r="AR74" s="329"/>
      <c r="AS74" s="329"/>
      <c r="AT74" s="329"/>
      <c r="AU74" s="329">
        <f>'101-суп картофельный овсянка'!C28/'101-суп картофельный овсянка'!C31*'101-суп картофельный овсянка'!C32</f>
        <v>2E-3</v>
      </c>
      <c r="AV74" s="329"/>
      <c r="AW74" s="329"/>
      <c r="AX74" s="329"/>
      <c r="AY74" s="329"/>
      <c r="AZ74" s="329"/>
      <c r="BA74" s="329"/>
      <c r="BB74" s="329"/>
      <c r="BC74" s="329"/>
      <c r="BD74" s="329"/>
      <c r="BE74" s="329"/>
      <c r="BF74" s="329"/>
      <c r="BG74" s="329"/>
      <c r="BH74" s="329"/>
      <c r="BI74" s="329"/>
      <c r="BJ74" s="329"/>
      <c r="BK74" s="329"/>
      <c r="BL74" s="329"/>
      <c r="BM74" s="329"/>
      <c r="BN74" s="329"/>
      <c r="BO74" s="329"/>
      <c r="BP74" s="329"/>
      <c r="BQ74" s="329"/>
      <c r="BR74" s="329"/>
      <c r="BS74" s="329"/>
      <c r="BT74" s="329"/>
      <c r="BU74" s="329"/>
      <c r="BV74" s="329"/>
      <c r="BW74" s="329">
        <f>'101-суп картофельный овсянка'!C20/'101-суп картофельный овсянка'!C31*'101-суп картофельный овсянка'!C32</f>
        <v>0.01</v>
      </c>
      <c r="BX74" s="329"/>
      <c r="BY74" s="329"/>
      <c r="BZ74" s="329"/>
      <c r="CA74" s="329"/>
      <c r="CB74" s="329"/>
      <c r="CC74" s="329"/>
      <c r="CD74" s="329"/>
      <c r="CE74" s="329"/>
      <c r="CF74" s="329">
        <f>'101-суп картофельный овсянка'!C23/'101-суп картофельный овсянка'!C31*'101-суп картофельный овсянка'!C32</f>
        <v>2.5000000000000001E-3</v>
      </c>
      <c r="CG74" s="329"/>
      <c r="CH74" s="329"/>
      <c r="CI74" s="329"/>
      <c r="CJ74" s="329"/>
      <c r="CK74" s="329"/>
      <c r="CL74" s="329"/>
      <c r="CM74" s="329"/>
      <c r="CN74" s="329"/>
      <c r="CO74" s="329"/>
      <c r="CP74" s="329"/>
      <c r="CQ74" s="329"/>
      <c r="CR74" s="329"/>
      <c r="CS74" s="329">
        <f>'101-суп картофельный овсянка'!C25/'101-суп картофельный овсянка'!C31*'101-суп картофельный овсянка'!C32</f>
        <v>1.0000000000000001E-5</v>
      </c>
      <c r="CT74" s="329"/>
      <c r="CU74" s="329"/>
      <c r="CV74" s="329"/>
      <c r="CW74" s="329"/>
      <c r="CX74" s="329"/>
      <c r="CY74" s="329"/>
      <c r="CZ74" s="329"/>
      <c r="DA74" s="329"/>
      <c r="DB74" s="329"/>
      <c r="DC74" s="329">
        <f>'101-суп картофельный овсянка'!C26/'101-суп картофельный овсянка'!C31*'101-суп картофельный овсянка'!C32</f>
        <v>2.5000000000000001E-3</v>
      </c>
      <c r="DD74" s="329"/>
      <c r="DE74" s="329"/>
      <c r="DF74" s="329"/>
      <c r="DG74" s="329"/>
      <c r="DH74" s="329"/>
      <c r="DI74" s="329"/>
      <c r="DJ74" s="329"/>
      <c r="DK74" s="329"/>
      <c r="DL74" s="329"/>
      <c r="DM74" s="329"/>
      <c r="DN74" s="329"/>
      <c r="DO74" s="329"/>
      <c r="DP74" s="329"/>
      <c r="DQ74" s="329"/>
      <c r="DR74" s="329"/>
      <c r="DS74" s="329"/>
      <c r="DT74" s="329"/>
      <c r="DU74" s="329"/>
      <c r="DV74" s="329"/>
      <c r="DW74" s="329"/>
      <c r="DX74" s="330"/>
      <c r="DY74" s="330"/>
      <c r="DZ74" s="330"/>
      <c r="EA74" s="330"/>
      <c r="EB74" s="330"/>
      <c r="EC74" s="330"/>
      <c r="ED74" s="330"/>
      <c r="EE74" s="330"/>
      <c r="EF74" s="330"/>
      <c r="EG74" s="330"/>
      <c r="EH74" s="330"/>
      <c r="EI74" s="330"/>
      <c r="EJ74" s="330"/>
      <c r="EK74" s="330"/>
      <c r="EL74" s="330"/>
      <c r="EM74" s="330"/>
      <c r="EN74" s="330"/>
      <c r="EO74" s="330"/>
      <c r="EP74" s="330"/>
      <c r="EQ74" s="330"/>
      <c r="ER74" s="330"/>
      <c r="ES74" s="330"/>
      <c r="ET74" s="330"/>
      <c r="EU74" s="330"/>
      <c r="EV74" s="330"/>
      <c r="EW74" s="330"/>
      <c r="EX74" s="330"/>
      <c r="EY74" s="1032">
        <f t="shared" si="0"/>
        <v>0.14651</v>
      </c>
      <c r="EZ74" s="616"/>
      <c r="FA74" s="616"/>
      <c r="FB74" s="616"/>
      <c r="FC74" s="616"/>
      <c r="FD74" s="616"/>
      <c r="FE74" s="616"/>
      <c r="FF74" s="616"/>
      <c r="FG74" s="616"/>
      <c r="FH74" s="616"/>
      <c r="FI74" s="616"/>
      <c r="FJ74" s="616"/>
    </row>
    <row r="75" spans="1:166" s="595" customFormat="1" ht="14.7" customHeight="1" x14ac:dyDescent="0.25">
      <c r="A75" s="421">
        <v>71</v>
      </c>
      <c r="B75" s="183" t="str">
        <f>'101-суп картофельный пшенич'!A9</f>
        <v>Суп картофельный с крупой пшеничной</v>
      </c>
      <c r="C75" s="419">
        <f>'101-суп картофельный пшенич'!C32</f>
        <v>250</v>
      </c>
      <c r="D75" s="1209">
        <f t="shared" si="5"/>
        <v>1.97</v>
      </c>
      <c r="E75" s="1209">
        <f t="shared" si="6"/>
        <v>2.71</v>
      </c>
      <c r="F75" s="1209">
        <f t="shared" si="7"/>
        <v>12.11</v>
      </c>
      <c r="G75" s="1210">
        <f t="shared" si="8"/>
        <v>86</v>
      </c>
      <c r="H75" s="419">
        <f>'101-суп картофельный пшенич'!J7</f>
        <v>101</v>
      </c>
      <c r="I75" s="483">
        <f>'101-суп картофельный пшенич'!F34</f>
        <v>8.7200000000000006</v>
      </c>
      <c r="J75" s="329"/>
      <c r="K75" s="329"/>
      <c r="L75" s="329"/>
      <c r="M75" s="329"/>
      <c r="N75" s="329"/>
      <c r="O75" s="329"/>
      <c r="P75" s="329"/>
      <c r="Q75" s="329"/>
      <c r="R75" s="329"/>
      <c r="S75" s="329"/>
      <c r="T75" s="329"/>
      <c r="U75" s="329"/>
      <c r="V75" s="329"/>
      <c r="W75" s="329"/>
      <c r="X75" s="329"/>
      <c r="Y75" s="329">
        <f>'101-суп картофельный пшенич'!C27/'101-суп картофельный пшенич'!C31*'101-суп картофельный пшенич'!C32</f>
        <v>5.0000000000000001E-3</v>
      </c>
      <c r="Z75" s="329"/>
      <c r="AA75" s="329"/>
      <c r="AB75" s="329"/>
      <c r="AC75" s="329"/>
      <c r="AD75" s="329"/>
      <c r="AE75" s="330"/>
      <c r="AF75" s="329"/>
      <c r="AG75" s="329"/>
      <c r="AH75" s="329">
        <f>'101-суп картофельный пшенич'!C19/'101-суп картофельный пшенич'!C31*'101-суп картофельный пшенич'!C32</f>
        <v>0.1</v>
      </c>
      <c r="AI75" s="329"/>
      <c r="AJ75" s="329"/>
      <c r="AK75" s="329">
        <f>'101-суп картофельный пшенич'!C22/'101-суп картофельный пшенич'!C31*'101-суп картофельный пшенич'!C32</f>
        <v>1.2E-2</v>
      </c>
      <c r="AL75" s="329"/>
      <c r="AM75" s="329"/>
      <c r="AN75" s="329"/>
      <c r="AO75" s="329"/>
      <c r="AP75" s="329"/>
      <c r="AQ75" s="329">
        <f>'101-суп картофельный пшенич'!C21/'101-суп картофельный пшенич'!C31*'101-суп картофельный пшенич'!C32</f>
        <v>1.2500000000000001E-2</v>
      </c>
      <c r="AR75" s="329"/>
      <c r="AS75" s="329"/>
      <c r="AT75" s="329"/>
      <c r="AU75" s="329">
        <f>'101-суп картофельный пшенич'!C28/'101-суп картофельный пшенич'!C31*'101-суп картофельный пшенич'!C32</f>
        <v>2E-3</v>
      </c>
      <c r="AV75" s="329"/>
      <c r="AW75" s="329"/>
      <c r="AX75" s="329"/>
      <c r="AY75" s="329"/>
      <c r="AZ75" s="329"/>
      <c r="BA75" s="329"/>
      <c r="BB75" s="329"/>
      <c r="BC75" s="329"/>
      <c r="BD75" s="329"/>
      <c r="BE75" s="329"/>
      <c r="BF75" s="329"/>
      <c r="BG75" s="329"/>
      <c r="BH75" s="329"/>
      <c r="BI75" s="329"/>
      <c r="BJ75" s="329"/>
      <c r="BK75" s="329"/>
      <c r="BL75" s="329"/>
      <c r="BM75" s="329"/>
      <c r="BN75" s="329"/>
      <c r="BO75" s="329"/>
      <c r="BP75" s="329"/>
      <c r="BQ75" s="329"/>
      <c r="BR75" s="329"/>
      <c r="BS75" s="329"/>
      <c r="BT75" s="329"/>
      <c r="BU75" s="329"/>
      <c r="BV75" s="329"/>
      <c r="BW75" s="329"/>
      <c r="BX75" s="329"/>
      <c r="BY75" s="329">
        <f>'101-суп картофельный пшенич'!C20/'101-суп картофельный пшенич'!C31*'101-суп картофельный пшенич'!C32</f>
        <v>0.01</v>
      </c>
      <c r="BZ75" s="329"/>
      <c r="CA75" s="329"/>
      <c r="CB75" s="329"/>
      <c r="CC75" s="329"/>
      <c r="CD75" s="329"/>
      <c r="CE75" s="329"/>
      <c r="CF75" s="329">
        <f>'101-суп картофельный пшенич'!C23/'101-суп картофельный пшенич'!C31*'101-суп картофельный пшенич'!C32</f>
        <v>2.5000000000000001E-3</v>
      </c>
      <c r="CG75" s="329"/>
      <c r="CH75" s="329"/>
      <c r="CI75" s="329"/>
      <c r="CJ75" s="329"/>
      <c r="CK75" s="329"/>
      <c r="CL75" s="329"/>
      <c r="CM75" s="329"/>
      <c r="CN75" s="329"/>
      <c r="CO75" s="329"/>
      <c r="CP75" s="329"/>
      <c r="CQ75" s="329"/>
      <c r="CR75" s="329"/>
      <c r="CS75" s="329">
        <f>'101-суп картофельный пшенич'!C25/'101-суп картофельный пшенич'!C31*'101-суп картофельный пшенич'!C32</f>
        <v>1.0000000000000001E-5</v>
      </c>
      <c r="CT75" s="329"/>
      <c r="CU75" s="329"/>
      <c r="CV75" s="329"/>
      <c r="CW75" s="329"/>
      <c r="CX75" s="329"/>
      <c r="CY75" s="329"/>
      <c r="CZ75" s="329"/>
      <c r="DA75" s="329"/>
      <c r="DB75" s="329"/>
      <c r="DC75" s="329">
        <f>'101-суп картофельный пшенич'!C26/'101-суп картофельный пшенич'!C31*'101-суп картофельный пшенич'!C32</f>
        <v>2.5000000000000001E-3</v>
      </c>
      <c r="DD75" s="329"/>
      <c r="DE75" s="329"/>
      <c r="DF75" s="329"/>
      <c r="DG75" s="329"/>
      <c r="DH75" s="329"/>
      <c r="DI75" s="329"/>
      <c r="DJ75" s="329"/>
      <c r="DK75" s="329"/>
      <c r="DL75" s="329"/>
      <c r="DM75" s="329"/>
      <c r="DN75" s="329"/>
      <c r="DO75" s="329"/>
      <c r="DP75" s="329"/>
      <c r="DQ75" s="329"/>
      <c r="DR75" s="329"/>
      <c r="DS75" s="329"/>
      <c r="DT75" s="329"/>
      <c r="DU75" s="329"/>
      <c r="DV75" s="329"/>
      <c r="DW75" s="329"/>
      <c r="DX75" s="330"/>
      <c r="DY75" s="330"/>
      <c r="DZ75" s="330"/>
      <c r="EA75" s="330"/>
      <c r="EB75" s="330"/>
      <c r="EC75" s="330"/>
      <c r="ED75" s="330"/>
      <c r="EE75" s="330"/>
      <c r="EF75" s="330"/>
      <c r="EG75" s="330"/>
      <c r="EH75" s="330"/>
      <c r="EI75" s="330"/>
      <c r="EJ75" s="330"/>
      <c r="EK75" s="330"/>
      <c r="EL75" s="330"/>
      <c r="EM75" s="330"/>
      <c r="EN75" s="330"/>
      <c r="EO75" s="330"/>
      <c r="EP75" s="330"/>
      <c r="EQ75" s="330"/>
      <c r="ER75" s="330"/>
      <c r="ES75" s="330"/>
      <c r="ET75" s="330"/>
      <c r="EU75" s="330"/>
      <c r="EV75" s="330"/>
      <c r="EW75" s="330"/>
      <c r="EX75" s="330"/>
      <c r="EY75" s="1032">
        <f t="shared" si="0"/>
        <v>0.14651</v>
      </c>
      <c r="EZ75" s="616"/>
      <c r="FA75" s="616"/>
      <c r="FB75" s="616"/>
      <c r="FC75" s="616"/>
      <c r="FD75" s="616"/>
      <c r="FE75" s="616"/>
      <c r="FF75" s="616"/>
      <c r="FG75" s="616"/>
      <c r="FH75" s="616"/>
      <c r="FI75" s="616"/>
      <c r="FJ75" s="616"/>
    </row>
    <row r="76" spans="1:166" s="595" customFormat="1" ht="14.7" customHeight="1" x14ac:dyDescent="0.25">
      <c r="A76" s="421">
        <v>72</v>
      </c>
      <c r="B76" s="183" t="str">
        <f>'101-суп картофельный хлопья'!A9</f>
        <v>Суп картофельный с хлопьями овсяными "Геркулес"</v>
      </c>
      <c r="C76" s="419">
        <f>'101-суп картофельный хлопья'!C32</f>
        <v>250</v>
      </c>
      <c r="D76" s="1209">
        <f t="shared" si="5"/>
        <v>1.97</v>
      </c>
      <c r="E76" s="1209">
        <f t="shared" si="6"/>
        <v>2.71</v>
      </c>
      <c r="F76" s="1209">
        <f t="shared" si="7"/>
        <v>12.11</v>
      </c>
      <c r="G76" s="1210">
        <f t="shared" si="8"/>
        <v>86</v>
      </c>
      <c r="H76" s="419">
        <f>'101-суп картофельный хлопья'!J7</f>
        <v>101</v>
      </c>
      <c r="I76" s="483">
        <f>'101-суп картофельный хлопья'!F34</f>
        <v>8.69</v>
      </c>
      <c r="J76" s="329"/>
      <c r="K76" s="329"/>
      <c r="L76" s="329"/>
      <c r="M76" s="329"/>
      <c r="N76" s="329"/>
      <c r="O76" s="329"/>
      <c r="P76" s="329"/>
      <c r="Q76" s="329"/>
      <c r="R76" s="329"/>
      <c r="S76" s="329"/>
      <c r="T76" s="329"/>
      <c r="U76" s="329"/>
      <c r="V76" s="329"/>
      <c r="W76" s="329"/>
      <c r="X76" s="329"/>
      <c r="Y76" s="329">
        <f>'101-суп картофельный хлопья'!C27/'101-суп картофельный хлопья'!C31*'101-суп картофельный хлопья'!C32</f>
        <v>5.0000000000000001E-3</v>
      </c>
      <c r="Z76" s="329"/>
      <c r="AA76" s="329"/>
      <c r="AB76" s="329"/>
      <c r="AC76" s="329"/>
      <c r="AD76" s="329"/>
      <c r="AE76" s="330"/>
      <c r="AF76" s="329"/>
      <c r="AG76" s="329"/>
      <c r="AH76" s="329">
        <f>'101-суп картофельный хлопья'!C19/'101-суп картофельный хлопья'!C31*'101-суп картофельный хлопья'!C32</f>
        <v>0.1</v>
      </c>
      <c r="AI76" s="329"/>
      <c r="AJ76" s="329"/>
      <c r="AK76" s="329">
        <f>'101-суп картофельный хлопья'!C22/'101-суп картофельный хлопья'!C31*'101-суп картофельный хлопья'!C32</f>
        <v>1.2E-2</v>
      </c>
      <c r="AL76" s="329"/>
      <c r="AM76" s="329"/>
      <c r="AN76" s="329"/>
      <c r="AO76" s="329"/>
      <c r="AP76" s="329"/>
      <c r="AQ76" s="329">
        <f>'101-суп картофельный хлопья'!C21/'101-суп картофельный хлопья'!C31*'101-суп картофельный хлопья'!C32</f>
        <v>1.2500000000000001E-2</v>
      </c>
      <c r="AR76" s="329"/>
      <c r="AS76" s="329"/>
      <c r="AT76" s="329"/>
      <c r="AU76" s="329">
        <f>'101-суп картофельный хлопья'!C28/'101-суп картофельный хлопья'!C31*'101-суп картофельный хлопья'!C32</f>
        <v>2E-3</v>
      </c>
      <c r="AV76" s="329"/>
      <c r="AW76" s="329"/>
      <c r="AX76" s="329"/>
      <c r="AY76" s="329"/>
      <c r="AZ76" s="329"/>
      <c r="BA76" s="329"/>
      <c r="BB76" s="329"/>
      <c r="BC76" s="329"/>
      <c r="BD76" s="329"/>
      <c r="BE76" s="329"/>
      <c r="BF76" s="329"/>
      <c r="BG76" s="329"/>
      <c r="BH76" s="329"/>
      <c r="BI76" s="329"/>
      <c r="BJ76" s="329"/>
      <c r="BK76" s="329"/>
      <c r="BL76" s="329"/>
      <c r="BM76" s="329"/>
      <c r="BN76" s="329"/>
      <c r="BO76" s="329"/>
      <c r="BP76" s="329"/>
      <c r="BQ76" s="329"/>
      <c r="BR76" s="329"/>
      <c r="BS76" s="329"/>
      <c r="BT76" s="329"/>
      <c r="BU76" s="329"/>
      <c r="BV76" s="329"/>
      <c r="BW76" s="329"/>
      <c r="BX76" s="329"/>
      <c r="BY76" s="329"/>
      <c r="BZ76" s="329"/>
      <c r="CA76" s="329"/>
      <c r="CB76" s="329"/>
      <c r="CC76" s="329">
        <f>'101-суп картофельный хлопья'!C20/'101-суп картофельный хлопья'!C31*'101-суп картофельный хлопья'!C32</f>
        <v>5.0000000000000001E-3</v>
      </c>
      <c r="CD76" s="329"/>
      <c r="CE76" s="329"/>
      <c r="CF76" s="329">
        <f>'101-суп картофельный хлопья'!C23/'101-суп картофельный хлопья'!C31*'101-суп картофельный хлопья'!C32</f>
        <v>2.5000000000000001E-3</v>
      </c>
      <c r="CG76" s="329"/>
      <c r="CH76" s="329"/>
      <c r="CI76" s="329"/>
      <c r="CJ76" s="329"/>
      <c r="CK76" s="329"/>
      <c r="CL76" s="329"/>
      <c r="CM76" s="329"/>
      <c r="CN76" s="329"/>
      <c r="CO76" s="329"/>
      <c r="CP76" s="329"/>
      <c r="CQ76" s="329"/>
      <c r="CR76" s="329"/>
      <c r="CS76" s="329">
        <f>'101-суп картофельный хлопья'!C25/'101-суп картофельный хлопья'!C31*'101-суп картофельный хлопья'!C32</f>
        <v>1.0000000000000001E-5</v>
      </c>
      <c r="CT76" s="329"/>
      <c r="CU76" s="329"/>
      <c r="CV76" s="329"/>
      <c r="CW76" s="329"/>
      <c r="CX76" s="329"/>
      <c r="CY76" s="329"/>
      <c r="CZ76" s="329"/>
      <c r="DA76" s="329"/>
      <c r="DB76" s="329"/>
      <c r="DC76" s="329">
        <f>'101-суп картофельный хлопья'!C26/'101-суп картофельный хлопья'!C31*'101-суп картофельный хлопья'!C32</f>
        <v>2.5000000000000001E-3</v>
      </c>
      <c r="DD76" s="329"/>
      <c r="DE76" s="329"/>
      <c r="DF76" s="329"/>
      <c r="DG76" s="329"/>
      <c r="DH76" s="329"/>
      <c r="DI76" s="329"/>
      <c r="DJ76" s="329"/>
      <c r="DK76" s="329"/>
      <c r="DL76" s="329"/>
      <c r="DM76" s="329"/>
      <c r="DN76" s="329"/>
      <c r="DO76" s="329"/>
      <c r="DP76" s="329"/>
      <c r="DQ76" s="329"/>
      <c r="DR76" s="329"/>
      <c r="DS76" s="329"/>
      <c r="DT76" s="329"/>
      <c r="DU76" s="329"/>
      <c r="DV76" s="329"/>
      <c r="DW76" s="329"/>
      <c r="DX76" s="330"/>
      <c r="DY76" s="330"/>
      <c r="DZ76" s="330"/>
      <c r="EA76" s="330"/>
      <c r="EB76" s="330"/>
      <c r="EC76" s="330"/>
      <c r="ED76" s="330"/>
      <c r="EE76" s="330"/>
      <c r="EF76" s="330"/>
      <c r="EG76" s="330"/>
      <c r="EH76" s="330"/>
      <c r="EI76" s="330"/>
      <c r="EJ76" s="330"/>
      <c r="EK76" s="330"/>
      <c r="EL76" s="330"/>
      <c r="EM76" s="330"/>
      <c r="EN76" s="330"/>
      <c r="EO76" s="330"/>
      <c r="EP76" s="330"/>
      <c r="EQ76" s="330"/>
      <c r="ER76" s="330"/>
      <c r="ES76" s="330"/>
      <c r="ET76" s="330"/>
      <c r="EU76" s="330"/>
      <c r="EV76" s="330"/>
      <c r="EW76" s="330"/>
      <c r="EX76" s="330"/>
      <c r="EY76" s="1032">
        <f t="shared" si="0"/>
        <v>0.14151</v>
      </c>
      <c r="EZ76" s="616"/>
      <c r="FA76" s="616"/>
      <c r="FB76" s="616"/>
      <c r="FC76" s="616"/>
      <c r="FD76" s="616"/>
      <c r="FE76" s="616"/>
      <c r="FF76" s="616"/>
      <c r="FG76" s="616"/>
      <c r="FH76" s="616"/>
      <c r="FI76" s="616"/>
      <c r="FJ76" s="616"/>
    </row>
    <row r="77" spans="1:166" ht="14.7" customHeight="1" x14ac:dyDescent="0.25">
      <c r="A77" s="421">
        <v>73</v>
      </c>
      <c r="B77" s="183" t="str">
        <f>'102-суп картофельный с горохом'!A9</f>
        <v>Суп картофельный с горохом</v>
      </c>
      <c r="C77" s="419">
        <f>'102-суп картофельный с горохом'!C33</f>
        <v>250</v>
      </c>
      <c r="D77" s="1109">
        <f>21.96/1000*C77</f>
        <v>5.49</v>
      </c>
      <c r="E77" s="1109">
        <f>21.08/1000*C77</f>
        <v>5.27</v>
      </c>
      <c r="F77" s="1109">
        <f>66.14/1000*C77</f>
        <v>16.54</v>
      </c>
      <c r="G77" s="1210">
        <f>593/1000*C77</f>
        <v>148</v>
      </c>
      <c r="H77" s="419">
        <f>'102-суп картофельный с горохом'!J7</f>
        <v>102</v>
      </c>
      <c r="I77" s="483">
        <f>'102-суп картофельный с горохом'!F35</f>
        <v>8.99</v>
      </c>
      <c r="J77" s="329"/>
      <c r="K77" s="329"/>
      <c r="L77" s="329"/>
      <c r="M77" s="329"/>
      <c r="N77" s="329"/>
      <c r="O77" s="329"/>
      <c r="P77" s="329"/>
      <c r="Q77" s="329"/>
      <c r="R77" s="329"/>
      <c r="S77" s="329"/>
      <c r="T77" s="329"/>
      <c r="U77" s="329"/>
      <c r="V77" s="329"/>
      <c r="W77" s="329"/>
      <c r="X77" s="329"/>
      <c r="Y77" s="329">
        <f>'102-суп картофельный с горохом'!C28/4</f>
        <v>5.0000000000000001E-3</v>
      </c>
      <c r="Z77" s="329"/>
      <c r="AA77" s="329"/>
      <c r="AB77" s="329"/>
      <c r="AC77" s="329"/>
      <c r="AD77" s="329"/>
      <c r="AE77" s="330"/>
      <c r="AF77" s="329"/>
      <c r="AG77" s="329"/>
      <c r="AH77" s="329">
        <f>'102-суп картофельный с горохом'!C19/4</f>
        <v>6.6750000000000004E-2</v>
      </c>
      <c r="AI77" s="329"/>
      <c r="AJ77" s="329"/>
      <c r="AK77" s="329">
        <f>'102-суп картофельный с горохом'!C21/4</f>
        <v>1.2E-2</v>
      </c>
      <c r="AL77" s="329"/>
      <c r="AM77" s="329"/>
      <c r="AN77" s="329"/>
      <c r="AO77" s="329"/>
      <c r="AP77" s="329"/>
      <c r="AQ77" s="329">
        <f>'102-суп картофельный с горохом'!C22/4</f>
        <v>1.2500000000000001E-2</v>
      </c>
      <c r="AR77" s="329"/>
      <c r="AS77" s="329"/>
      <c r="AT77" s="329">
        <f>'102-суп картофельный с горохом'!C23/4</f>
        <v>3.2499999999999999E-3</v>
      </c>
      <c r="AU77" s="329">
        <f>'102-суп картофельный с горохом'!C29/4</f>
        <v>1.5E-3</v>
      </c>
      <c r="AV77" s="329"/>
      <c r="AW77" s="329"/>
      <c r="AX77" s="329"/>
      <c r="AY77" s="329"/>
      <c r="AZ77" s="329"/>
      <c r="BA77" s="329"/>
      <c r="BB77" s="329"/>
      <c r="BC77" s="329"/>
      <c r="BD77" s="329"/>
      <c r="BE77" s="329"/>
      <c r="BF77" s="329"/>
      <c r="BG77" s="329"/>
      <c r="BH77" s="329"/>
      <c r="BI77" s="329"/>
      <c r="BJ77" s="329"/>
      <c r="BK77" s="329"/>
      <c r="BL77" s="329"/>
      <c r="BM77" s="329"/>
      <c r="BN77" s="329"/>
      <c r="BO77" s="329"/>
      <c r="BP77" s="329"/>
      <c r="BQ77" s="329"/>
      <c r="BR77" s="329"/>
      <c r="BS77" s="329"/>
      <c r="BT77" s="329"/>
      <c r="BU77" s="329"/>
      <c r="BV77" s="329"/>
      <c r="BW77" s="329"/>
      <c r="BX77" s="329"/>
      <c r="BY77" s="329"/>
      <c r="BZ77" s="329"/>
      <c r="CA77" s="329"/>
      <c r="CB77" s="329"/>
      <c r="CC77" s="329"/>
      <c r="CD77" s="329"/>
      <c r="CE77" s="329"/>
      <c r="CF77" s="329">
        <f>'102-суп картофельный с горохом'!C24/4</f>
        <v>5.0000000000000001E-3</v>
      </c>
      <c r="CG77" s="329"/>
      <c r="CH77" s="329"/>
      <c r="CI77" s="329"/>
      <c r="CJ77" s="329"/>
      <c r="CK77" s="329"/>
      <c r="CL77" s="329"/>
      <c r="CM77" s="329"/>
      <c r="CN77" s="329"/>
      <c r="CO77" s="329"/>
      <c r="CP77" s="329"/>
      <c r="CQ77" s="329"/>
      <c r="CR77" s="329"/>
      <c r="CS77" s="329">
        <f>'102-суп картофельный с горохом'!C26/4</f>
        <v>1.8000000000000001E-4</v>
      </c>
      <c r="CT77" s="329"/>
      <c r="CU77" s="329"/>
      <c r="CV77" s="329"/>
      <c r="CW77" s="329"/>
      <c r="CX77" s="329"/>
      <c r="CY77" s="329"/>
      <c r="CZ77" s="329"/>
      <c r="DA77" s="329"/>
      <c r="DB77" s="329"/>
      <c r="DC77" s="329">
        <f>'102-суп картофельный с горохом'!C27/4</f>
        <v>2E-3</v>
      </c>
      <c r="DD77" s="329"/>
      <c r="DE77" s="329"/>
      <c r="DF77" s="329"/>
      <c r="DG77" s="329"/>
      <c r="DH77" s="329"/>
      <c r="DI77" s="329"/>
      <c r="DJ77" s="329"/>
      <c r="DK77" s="329"/>
      <c r="DL77" s="329">
        <f>'102-суп картофельный с горохом'!C20/4</f>
        <v>2.0250000000000001E-2</v>
      </c>
      <c r="DM77" s="329"/>
      <c r="DN77" s="329"/>
      <c r="DO77" s="329"/>
      <c r="DP77" s="329"/>
      <c r="DQ77" s="329"/>
      <c r="DR77" s="329"/>
      <c r="DS77" s="329"/>
      <c r="DT77" s="329"/>
      <c r="DU77" s="329"/>
      <c r="DV77" s="329"/>
      <c r="DW77" s="329"/>
      <c r="DX77" s="330"/>
      <c r="DY77" s="330"/>
      <c r="DZ77" s="330"/>
      <c r="EA77" s="330"/>
      <c r="EB77" s="330"/>
      <c r="EC77" s="330"/>
      <c r="ED77" s="330"/>
      <c r="EE77" s="330"/>
      <c r="EF77" s="330"/>
      <c r="EG77" s="330"/>
      <c r="EH77" s="330"/>
      <c r="EI77" s="330"/>
      <c r="EJ77" s="330"/>
      <c r="EK77" s="330"/>
      <c r="EL77" s="330"/>
      <c r="EM77" s="330"/>
      <c r="EN77" s="330"/>
      <c r="EO77" s="330"/>
      <c r="EP77" s="330"/>
      <c r="EQ77" s="330"/>
      <c r="ER77" s="330"/>
      <c r="ES77" s="330"/>
      <c r="ET77" s="330"/>
      <c r="EU77" s="330"/>
      <c r="EV77" s="330"/>
      <c r="EW77" s="330"/>
      <c r="EX77" s="330"/>
      <c r="EY77" s="1032">
        <f t="shared" si="0"/>
        <v>0.12842999999999999</v>
      </c>
    </row>
    <row r="78" spans="1:166" s="595" customFormat="1" ht="14.7" customHeight="1" x14ac:dyDescent="0.25">
      <c r="A78" s="421">
        <v>74</v>
      </c>
      <c r="B78" s="183" t="str">
        <f>'102-суп картофельный с фасоль'!A9</f>
        <v>Суп картофельный с фасолью</v>
      </c>
      <c r="C78" s="419">
        <f>'102-суп картофельный с фасоль'!C33</f>
        <v>250</v>
      </c>
      <c r="D78" s="1109">
        <f>21.96/1000*C78</f>
        <v>5.49</v>
      </c>
      <c r="E78" s="1109">
        <f>21.08/1000*C78</f>
        <v>5.27</v>
      </c>
      <c r="F78" s="1109">
        <f>66.14/1000*C78</f>
        <v>16.54</v>
      </c>
      <c r="G78" s="1210">
        <f>593/1000*C78</f>
        <v>148</v>
      </c>
      <c r="H78" s="419">
        <f>'102-суп картофельный с фасоль'!J7</f>
        <v>102</v>
      </c>
      <c r="I78" s="483">
        <f>'102-суп картофельный с фасоль'!F35</f>
        <v>11.33</v>
      </c>
      <c r="J78" s="329"/>
      <c r="K78" s="329"/>
      <c r="L78" s="329"/>
      <c r="M78" s="329"/>
      <c r="N78" s="329"/>
      <c r="O78" s="329"/>
      <c r="P78" s="329"/>
      <c r="Q78" s="329"/>
      <c r="R78" s="329"/>
      <c r="S78" s="329"/>
      <c r="T78" s="329"/>
      <c r="U78" s="329"/>
      <c r="V78" s="329"/>
      <c r="W78" s="329"/>
      <c r="X78" s="329"/>
      <c r="Y78" s="329">
        <f>'102-суп картофельный с фасоль'!C27/'102-суп картофельный с фасоль'!C32*'102-суп картофельный с фасоль'!C33</f>
        <v>5.0000000000000001E-3</v>
      </c>
      <c r="Z78" s="329"/>
      <c r="AA78" s="329"/>
      <c r="AB78" s="329"/>
      <c r="AC78" s="329"/>
      <c r="AD78" s="329"/>
      <c r="AE78" s="330"/>
      <c r="AF78" s="329"/>
      <c r="AG78" s="329"/>
      <c r="AH78" s="329">
        <f>'102-суп картофельный с фасоль'!C19/'102-суп картофельный с фасоль'!C32*'102-суп картофельный с фасоль'!C33</f>
        <v>6.6750000000000004E-2</v>
      </c>
      <c r="AI78" s="329"/>
      <c r="AJ78" s="329"/>
      <c r="AK78" s="329">
        <f>'102-суп картофельный с фасоль'!C21/'102-суп картофельный с фасоль'!C32*'102-суп картофельный с фасоль'!C33</f>
        <v>1.2E-2</v>
      </c>
      <c r="AL78" s="329"/>
      <c r="AM78" s="329"/>
      <c r="AN78" s="329"/>
      <c r="AO78" s="329"/>
      <c r="AP78" s="329"/>
      <c r="AQ78" s="329">
        <f>'102-суп картофельный с фасоль'!C22/'102-суп картофельный с фасоль'!C32*'102-суп картофельный с фасоль'!C33</f>
        <v>1.2500000000000001E-2</v>
      </c>
      <c r="AR78" s="329"/>
      <c r="AS78" s="329"/>
      <c r="AT78" s="329">
        <f>'102-суп картофельный с фасоль'!C23/'102-суп картофельный с фасоль'!C32*'102-суп картофельный с фасоль'!C33</f>
        <v>3.2499999999999999E-3</v>
      </c>
      <c r="AU78" s="329">
        <f>'102-суп картофельный с фасоль'!C29/'102-суп картофельный с фасоль'!C32*'102-суп картофельный с фасоль'!C33</f>
        <v>5.0000000000000001E-4</v>
      </c>
      <c r="AV78" s="329"/>
      <c r="AW78" s="329"/>
      <c r="AX78" s="329"/>
      <c r="AY78" s="329"/>
      <c r="AZ78" s="329"/>
      <c r="BA78" s="329"/>
      <c r="BB78" s="329"/>
      <c r="BC78" s="329"/>
      <c r="BD78" s="329"/>
      <c r="BE78" s="329"/>
      <c r="BF78" s="329"/>
      <c r="BG78" s="329"/>
      <c r="BH78" s="329"/>
      <c r="BI78" s="329"/>
      <c r="BJ78" s="329"/>
      <c r="BK78" s="329"/>
      <c r="BL78" s="329"/>
      <c r="BM78" s="329"/>
      <c r="BN78" s="329"/>
      <c r="BO78" s="329"/>
      <c r="BP78" s="329"/>
      <c r="BQ78" s="329"/>
      <c r="BR78" s="329"/>
      <c r="BS78" s="329"/>
      <c r="BT78" s="329"/>
      <c r="BU78" s="329"/>
      <c r="BV78" s="329"/>
      <c r="BW78" s="329"/>
      <c r="BX78" s="329"/>
      <c r="BY78" s="329"/>
      <c r="BZ78" s="329"/>
      <c r="CA78" s="329"/>
      <c r="CB78" s="329"/>
      <c r="CC78" s="329"/>
      <c r="CD78" s="329"/>
      <c r="CE78" s="329"/>
      <c r="CF78" s="329">
        <f>'102-суп картофельный с фасоль'!C24/'102-суп картофельный с фасоль'!C32*'102-суп картофельный с фасоль'!C33</f>
        <v>5.0000000000000001E-3</v>
      </c>
      <c r="CG78" s="329"/>
      <c r="CH78" s="329"/>
      <c r="CI78" s="329"/>
      <c r="CJ78" s="329"/>
      <c r="CK78" s="329"/>
      <c r="CL78" s="329"/>
      <c r="CM78" s="329"/>
      <c r="CN78" s="329"/>
      <c r="CO78" s="329"/>
      <c r="CP78" s="329"/>
      <c r="CQ78" s="329"/>
      <c r="CR78" s="329"/>
      <c r="CS78" s="329">
        <f>'102-суп картофельный с фасоль'!C28/'102-суп картофельный с фасоль'!C32*'102-суп картофельный с фасоль'!C33</f>
        <v>1.8000000000000001E-4</v>
      </c>
      <c r="CT78" s="329"/>
      <c r="CU78" s="329"/>
      <c r="CV78" s="329"/>
      <c r="CW78" s="329"/>
      <c r="CX78" s="329"/>
      <c r="CY78" s="329"/>
      <c r="CZ78" s="329"/>
      <c r="DA78" s="329"/>
      <c r="DB78" s="329"/>
      <c r="DC78" s="329">
        <f>'102-суп картофельный с фасоль'!C26/'102-суп картофельный с фасоль'!C32*'102-суп картофельный с фасоль'!C33</f>
        <v>2E-3</v>
      </c>
      <c r="DD78" s="329"/>
      <c r="DE78" s="329"/>
      <c r="DF78" s="329"/>
      <c r="DG78" s="329"/>
      <c r="DH78" s="329"/>
      <c r="DI78" s="329"/>
      <c r="DJ78" s="329"/>
      <c r="DK78" s="329"/>
      <c r="DL78" s="329"/>
      <c r="DM78" s="329">
        <f>'102-суп картофельный с фасоль'!C20/'102-суп картофельный с фасоль'!C32*'102-суп картофельный с фасоль'!C33</f>
        <v>2.0250000000000001E-2</v>
      </c>
      <c r="DN78" s="329"/>
      <c r="DO78" s="329"/>
      <c r="DP78" s="329"/>
      <c r="DQ78" s="329"/>
      <c r="DR78" s="329"/>
      <c r="DS78" s="329"/>
      <c r="DT78" s="329"/>
      <c r="DU78" s="329"/>
      <c r="DV78" s="329"/>
      <c r="DW78" s="329"/>
      <c r="DX78" s="330"/>
      <c r="DY78" s="330"/>
      <c r="DZ78" s="330"/>
      <c r="EA78" s="330"/>
      <c r="EB78" s="330"/>
      <c r="EC78" s="330"/>
      <c r="ED78" s="330"/>
      <c r="EE78" s="330"/>
      <c r="EF78" s="330"/>
      <c r="EG78" s="330"/>
      <c r="EH78" s="330"/>
      <c r="EI78" s="330"/>
      <c r="EJ78" s="330"/>
      <c r="EK78" s="330"/>
      <c r="EL78" s="330"/>
      <c r="EM78" s="330"/>
      <c r="EN78" s="330"/>
      <c r="EO78" s="330"/>
      <c r="EP78" s="330"/>
      <c r="EQ78" s="330"/>
      <c r="ER78" s="330"/>
      <c r="ES78" s="330"/>
      <c r="ET78" s="330"/>
      <c r="EU78" s="330"/>
      <c r="EV78" s="330"/>
      <c r="EW78" s="330"/>
      <c r="EX78" s="330"/>
      <c r="EY78" s="1032">
        <f t="shared" si="0"/>
        <v>0.12742999999999999</v>
      </c>
      <c r="EZ78" s="616"/>
      <c r="FA78" s="616"/>
      <c r="FB78" s="616"/>
      <c r="FC78" s="616"/>
      <c r="FD78" s="616"/>
      <c r="FE78" s="616"/>
      <c r="FF78" s="616"/>
      <c r="FG78" s="616"/>
      <c r="FH78" s="616"/>
      <c r="FI78" s="616"/>
      <c r="FJ78" s="616"/>
    </row>
    <row r="79" spans="1:166" s="595" customFormat="1" ht="14.7" customHeight="1" x14ac:dyDescent="0.25">
      <c r="A79" s="421">
        <v>75</v>
      </c>
      <c r="B79" s="183" t="str">
        <f>'102-суп картофельный чечевица'!A9</f>
        <v>Суп картофельный с чечевицей</v>
      </c>
      <c r="C79" s="419">
        <f>'102-суп картофельный чечевица'!C33</f>
        <v>250</v>
      </c>
      <c r="D79" s="1109">
        <f>21.96/1000*C79</f>
        <v>5.49</v>
      </c>
      <c r="E79" s="1109">
        <f>21.08/1000*C79</f>
        <v>5.27</v>
      </c>
      <c r="F79" s="1109">
        <f>66.14/1000*C79</f>
        <v>16.54</v>
      </c>
      <c r="G79" s="1210">
        <f>593/1000*C79</f>
        <v>148</v>
      </c>
      <c r="H79" s="419">
        <f>'102-суп картофельный чечевица'!J7</f>
        <v>102</v>
      </c>
      <c r="I79" s="483">
        <f>'102-суп картофельный чечевица'!F35</f>
        <v>10.51</v>
      </c>
      <c r="J79" s="329"/>
      <c r="K79" s="329"/>
      <c r="L79" s="329"/>
      <c r="M79" s="329"/>
      <c r="N79" s="329"/>
      <c r="O79" s="329"/>
      <c r="P79" s="329"/>
      <c r="Q79" s="329"/>
      <c r="R79" s="329"/>
      <c r="S79" s="329"/>
      <c r="T79" s="329"/>
      <c r="U79" s="329"/>
      <c r="V79" s="329"/>
      <c r="W79" s="329"/>
      <c r="X79" s="329"/>
      <c r="Y79" s="329">
        <f>'102-суп картофельный чечевица'!C28/'102-суп картофельный чечевица'!C32*'102-суп картофельный чечевица'!C33</f>
        <v>5.0000000000000001E-3</v>
      </c>
      <c r="Z79" s="329"/>
      <c r="AA79" s="329"/>
      <c r="AB79" s="329"/>
      <c r="AC79" s="329"/>
      <c r="AD79" s="329"/>
      <c r="AE79" s="330"/>
      <c r="AF79" s="329"/>
      <c r="AG79" s="329"/>
      <c r="AH79" s="329">
        <f>'102-суп картофельный чечевица'!C19/'102-суп картофельный чечевица'!C32*'102-суп картофельный чечевица'!C33</f>
        <v>6.6750000000000004E-2</v>
      </c>
      <c r="AI79" s="329"/>
      <c r="AJ79" s="329"/>
      <c r="AK79" s="329">
        <f>'102-суп картофельный чечевица'!C21/'102-суп картофельный чечевица'!C32*'102-суп картофельный чечевица'!C33</f>
        <v>1.2E-2</v>
      </c>
      <c r="AL79" s="329"/>
      <c r="AM79" s="329"/>
      <c r="AN79" s="329"/>
      <c r="AO79" s="329"/>
      <c r="AP79" s="329"/>
      <c r="AQ79" s="329">
        <f>'102-суп картофельный чечевица'!C22/'102-суп картофельный чечевица'!C32*'102-суп картофельный чечевица'!C33</f>
        <v>1.2500000000000001E-2</v>
      </c>
      <c r="AR79" s="329"/>
      <c r="AS79" s="329"/>
      <c r="AT79" s="329">
        <f>'102-суп картофельный чечевица'!C23/'102-суп картофельный чечевица'!C32*'102-суп картофельный чечевица'!C33</f>
        <v>3.2499999999999999E-3</v>
      </c>
      <c r="AU79" s="329">
        <f>'102-суп картофельный чечевица'!C29/'102-суп картофельный чечевица'!C32*'102-суп картофельный чечевица'!C33</f>
        <v>2E-3</v>
      </c>
      <c r="AV79" s="329"/>
      <c r="AW79" s="329"/>
      <c r="AX79" s="329"/>
      <c r="AY79" s="329"/>
      <c r="AZ79" s="329"/>
      <c r="BA79" s="329"/>
      <c r="BB79" s="329"/>
      <c r="BC79" s="329"/>
      <c r="BD79" s="329"/>
      <c r="BE79" s="329"/>
      <c r="BF79" s="329"/>
      <c r="BG79" s="329"/>
      <c r="BH79" s="329"/>
      <c r="BI79" s="329"/>
      <c r="BJ79" s="329"/>
      <c r="BK79" s="329"/>
      <c r="BL79" s="329"/>
      <c r="BM79" s="329"/>
      <c r="BN79" s="329"/>
      <c r="BO79" s="329"/>
      <c r="BP79" s="329"/>
      <c r="BQ79" s="329"/>
      <c r="BR79" s="329"/>
      <c r="BS79" s="329"/>
      <c r="BT79" s="329"/>
      <c r="BU79" s="329"/>
      <c r="BV79" s="329"/>
      <c r="BW79" s="329"/>
      <c r="BX79" s="329"/>
      <c r="BY79" s="329"/>
      <c r="BZ79" s="329"/>
      <c r="CA79" s="329"/>
      <c r="CB79" s="329"/>
      <c r="CC79" s="329"/>
      <c r="CD79" s="329"/>
      <c r="CE79" s="329"/>
      <c r="CF79" s="329">
        <f>'102-суп картофельный чечевица'!C24/'102-суп картофельный чечевица'!C32*'102-суп картофельный чечевица'!C33</f>
        <v>5.0000000000000001E-3</v>
      </c>
      <c r="CG79" s="329"/>
      <c r="CH79" s="329"/>
      <c r="CI79" s="329"/>
      <c r="CJ79" s="329"/>
      <c r="CK79" s="329"/>
      <c r="CL79" s="329"/>
      <c r="CM79" s="329"/>
      <c r="CN79" s="329"/>
      <c r="CO79" s="329"/>
      <c r="CP79" s="329"/>
      <c r="CQ79" s="329"/>
      <c r="CR79" s="329"/>
      <c r="CS79" s="329">
        <f>'102-суп картофельный чечевица'!C26/'102-суп картофельный чечевица'!C32*'102-суп картофельный чечевица'!C33</f>
        <v>1.0000000000000001E-5</v>
      </c>
      <c r="CT79" s="329"/>
      <c r="CU79" s="329"/>
      <c r="CV79" s="329"/>
      <c r="CW79" s="329"/>
      <c r="CX79" s="329"/>
      <c r="CY79" s="329"/>
      <c r="CZ79" s="329"/>
      <c r="DA79" s="329"/>
      <c r="DB79" s="329"/>
      <c r="DC79" s="329">
        <f>'102-суп картофельный чечевица'!C27/'102-суп картофельный чечевица'!C32*'102-суп картофельный чечевица'!C33</f>
        <v>2.5000000000000001E-3</v>
      </c>
      <c r="DD79" s="329"/>
      <c r="DE79" s="329"/>
      <c r="DF79" s="329"/>
      <c r="DG79" s="329"/>
      <c r="DH79" s="329"/>
      <c r="DI79" s="329"/>
      <c r="DJ79" s="329"/>
      <c r="DK79" s="329"/>
      <c r="DL79" s="329"/>
      <c r="DM79" s="329"/>
      <c r="DN79" s="329">
        <f>'102-суп картофельный чечевица'!C20/'102-суп картофельный чечевица'!C32*'102-суп картофельный чечевица'!C33</f>
        <v>2.0250000000000001E-2</v>
      </c>
      <c r="DO79" s="329"/>
      <c r="DP79" s="329"/>
      <c r="DQ79" s="329"/>
      <c r="DR79" s="329"/>
      <c r="DS79" s="329"/>
      <c r="DT79" s="329"/>
      <c r="DU79" s="329"/>
      <c r="DV79" s="329"/>
      <c r="DW79" s="329"/>
      <c r="DX79" s="330"/>
      <c r="DY79" s="330"/>
      <c r="DZ79" s="330"/>
      <c r="EA79" s="330"/>
      <c r="EB79" s="330"/>
      <c r="EC79" s="330"/>
      <c r="ED79" s="330"/>
      <c r="EE79" s="330"/>
      <c r="EF79" s="330"/>
      <c r="EG79" s="330"/>
      <c r="EH79" s="330"/>
      <c r="EI79" s="330"/>
      <c r="EJ79" s="330"/>
      <c r="EK79" s="330"/>
      <c r="EL79" s="330"/>
      <c r="EM79" s="330"/>
      <c r="EN79" s="330"/>
      <c r="EO79" s="330"/>
      <c r="EP79" s="330"/>
      <c r="EQ79" s="330"/>
      <c r="ER79" s="330"/>
      <c r="ES79" s="330"/>
      <c r="ET79" s="330"/>
      <c r="EU79" s="330"/>
      <c r="EV79" s="330"/>
      <c r="EW79" s="330"/>
      <c r="EX79" s="330"/>
      <c r="EY79" s="1032">
        <f t="shared" si="0"/>
        <v>0.12926000000000001</v>
      </c>
      <c r="EZ79" s="616"/>
      <c r="FA79" s="616"/>
      <c r="FB79" s="616"/>
      <c r="FC79" s="616"/>
      <c r="FD79" s="616"/>
      <c r="FE79" s="616"/>
      <c r="FF79" s="616"/>
      <c r="FG79" s="616"/>
      <c r="FH79" s="616"/>
      <c r="FI79" s="616"/>
      <c r="FJ79" s="616"/>
    </row>
    <row r="80" spans="1:166" ht="14.7" customHeight="1" x14ac:dyDescent="0.25">
      <c r="A80" s="421">
        <v>76</v>
      </c>
      <c r="B80" s="183" t="str">
        <f>'103-суп картофельный с вермиш.'!A9</f>
        <v>Суп картофельный с вермишелью</v>
      </c>
      <c r="C80" s="419">
        <f>'103-суп картофельный с вермиш.'!C31</f>
        <v>250</v>
      </c>
      <c r="D80" s="1209">
        <f>10.75/1000*C80</f>
        <v>2.69</v>
      </c>
      <c r="E80" s="1209">
        <f>11.35/1000*C80</f>
        <v>2.84</v>
      </c>
      <c r="F80" s="1209">
        <f>69.82/1000*C80</f>
        <v>17.46</v>
      </c>
      <c r="G80" s="1210">
        <f>473/1000*C80</f>
        <v>118</v>
      </c>
      <c r="H80" s="419">
        <f>'103-суп картофельный с вермиш.'!J7</f>
        <v>103</v>
      </c>
      <c r="I80" s="483">
        <f>'103-суп картофельный с вермиш.'!F33</f>
        <v>7.7</v>
      </c>
      <c r="J80" s="329"/>
      <c r="K80" s="329"/>
      <c r="L80" s="329"/>
      <c r="M80" s="329"/>
      <c r="N80" s="329"/>
      <c r="O80" s="329"/>
      <c r="P80" s="329"/>
      <c r="Q80" s="329"/>
      <c r="R80" s="329"/>
      <c r="S80" s="329"/>
      <c r="T80" s="329"/>
      <c r="U80" s="329"/>
      <c r="V80" s="329"/>
      <c r="W80" s="329"/>
      <c r="X80" s="329"/>
      <c r="Y80" s="329"/>
      <c r="Z80" s="329"/>
      <c r="AA80" s="329"/>
      <c r="AB80" s="329"/>
      <c r="AC80" s="329"/>
      <c r="AD80" s="329"/>
      <c r="AE80" s="330"/>
      <c r="AF80" s="329"/>
      <c r="AG80" s="329"/>
      <c r="AH80" s="329">
        <f>'103-суп картофельный с вермиш.'!C19/4</f>
        <v>0.1</v>
      </c>
      <c r="AI80" s="329"/>
      <c r="AJ80" s="329"/>
      <c r="AK80" s="329">
        <f>'103-суп картофельный с вермиш.'!C22/4</f>
        <v>1.2E-2</v>
      </c>
      <c r="AL80" s="329"/>
      <c r="AM80" s="329"/>
      <c r="AN80" s="329"/>
      <c r="AO80" s="329"/>
      <c r="AP80" s="329"/>
      <c r="AQ80" s="329">
        <f>'103-суп картофельный с вермиш.'!C21/4</f>
        <v>1.2500000000000001E-2</v>
      </c>
      <c r="AR80" s="329"/>
      <c r="AS80" s="329"/>
      <c r="AT80" s="329"/>
      <c r="AU80" s="329">
        <f>'103-суп картофельный с вермиш.'!C27/4</f>
        <v>2E-3</v>
      </c>
      <c r="AV80" s="329"/>
      <c r="AW80" s="329"/>
      <c r="AX80" s="329"/>
      <c r="AY80" s="329"/>
      <c r="AZ80" s="329"/>
      <c r="BA80" s="329"/>
      <c r="BB80" s="329"/>
      <c r="BC80" s="329"/>
      <c r="BD80" s="329"/>
      <c r="BE80" s="329"/>
      <c r="BF80" s="329"/>
      <c r="BG80" s="329"/>
      <c r="BH80" s="329"/>
      <c r="BI80" s="329"/>
      <c r="BJ80" s="329"/>
      <c r="BK80" s="329"/>
      <c r="BL80" s="329"/>
      <c r="BM80" s="329"/>
      <c r="BN80" s="329"/>
      <c r="BO80" s="329"/>
      <c r="BP80" s="329"/>
      <c r="BQ80" s="329"/>
      <c r="BR80" s="329"/>
      <c r="BS80" s="329"/>
      <c r="BT80" s="329"/>
      <c r="BU80" s="329"/>
      <c r="BV80" s="329"/>
      <c r="BW80" s="329"/>
      <c r="BX80" s="329"/>
      <c r="BY80" s="329"/>
      <c r="BZ80" s="329"/>
      <c r="CA80" s="329"/>
      <c r="CB80" s="329"/>
      <c r="CC80" s="329"/>
      <c r="CD80" s="329"/>
      <c r="CE80" s="329"/>
      <c r="CF80" s="329">
        <f>'103-суп картофельный с вермиш.'!C23/4</f>
        <v>2.5000000000000001E-3</v>
      </c>
      <c r="CG80" s="329"/>
      <c r="CH80" s="329">
        <f>'103-суп картофельный с вермиш.'!C20/4</f>
        <v>0.01</v>
      </c>
      <c r="CI80" s="329"/>
      <c r="CJ80" s="329"/>
      <c r="CK80" s="329"/>
      <c r="CL80" s="329"/>
      <c r="CM80" s="329"/>
      <c r="CN80" s="329"/>
      <c r="CO80" s="329"/>
      <c r="CP80" s="329"/>
      <c r="CQ80" s="329"/>
      <c r="CR80" s="329"/>
      <c r="CS80" s="329">
        <f>'103-суп картофельный с вермиш.'!C25/4</f>
        <v>1.0000000000000001E-5</v>
      </c>
      <c r="CT80" s="329"/>
      <c r="CU80" s="329"/>
      <c r="CV80" s="329"/>
      <c r="CW80" s="329"/>
      <c r="CX80" s="329"/>
      <c r="CY80" s="329"/>
      <c r="CZ80" s="329"/>
      <c r="DA80" s="329"/>
      <c r="DB80" s="329"/>
      <c r="DC80" s="329">
        <f>'103-суп картофельный с вермиш.'!C26/4</f>
        <v>2.5000000000000001E-3</v>
      </c>
      <c r="DD80" s="329"/>
      <c r="DE80" s="329"/>
      <c r="DF80" s="329"/>
      <c r="DG80" s="329"/>
      <c r="DH80" s="329"/>
      <c r="DI80" s="329"/>
      <c r="DJ80" s="329"/>
      <c r="DK80" s="329"/>
      <c r="DL80" s="329"/>
      <c r="DM80" s="329"/>
      <c r="DN80" s="329"/>
      <c r="DO80" s="329"/>
      <c r="DP80" s="329"/>
      <c r="DQ80" s="329"/>
      <c r="DR80" s="329"/>
      <c r="DS80" s="329"/>
      <c r="DT80" s="329"/>
      <c r="DU80" s="329"/>
      <c r="DV80" s="329"/>
      <c r="DW80" s="329"/>
      <c r="DX80" s="330"/>
      <c r="DY80" s="330"/>
      <c r="DZ80" s="330"/>
      <c r="EA80" s="330"/>
      <c r="EB80" s="330"/>
      <c r="EC80" s="330"/>
      <c r="ED80" s="330"/>
      <c r="EE80" s="330"/>
      <c r="EF80" s="330"/>
      <c r="EG80" s="330"/>
      <c r="EH80" s="330"/>
      <c r="EI80" s="330"/>
      <c r="EJ80" s="330"/>
      <c r="EK80" s="330"/>
      <c r="EL80" s="330"/>
      <c r="EM80" s="330"/>
      <c r="EN80" s="330"/>
      <c r="EO80" s="330"/>
      <c r="EP80" s="330"/>
      <c r="EQ80" s="330"/>
      <c r="ER80" s="330"/>
      <c r="ES80" s="330"/>
      <c r="ET80" s="330"/>
      <c r="EU80" s="330"/>
      <c r="EV80" s="330"/>
      <c r="EW80" s="330"/>
      <c r="EX80" s="330"/>
      <c r="EY80" s="1032">
        <f t="shared" si="0"/>
        <v>0.14151</v>
      </c>
    </row>
    <row r="81" spans="1:166" ht="14.7" customHeight="1" x14ac:dyDescent="0.25">
      <c r="A81" s="421">
        <v>77</v>
      </c>
      <c r="B81" s="615" t="str">
        <f>'104-суп с фрикадель'!A9</f>
        <v>Суп картофельный с мясными фрикадельками</v>
      </c>
      <c r="C81" s="419">
        <f>'104-суп с фрикадель'!C34</f>
        <v>250</v>
      </c>
      <c r="D81" s="1209">
        <f>8.78/1000*C81</f>
        <v>2.2000000000000002</v>
      </c>
      <c r="E81" s="1209">
        <f>11.12/1000*C81</f>
        <v>2.78</v>
      </c>
      <c r="F81" s="1209">
        <f>61.56/1000*C81</f>
        <v>15.39</v>
      </c>
      <c r="G81" s="1210">
        <f>424/1000*C81</f>
        <v>106</v>
      </c>
      <c r="H81" s="419">
        <f>'104-суп с фрикадель'!J7</f>
        <v>104</v>
      </c>
      <c r="I81" s="483">
        <f>'104-суп с фрикадель'!F36</f>
        <v>66.05</v>
      </c>
      <c r="J81" s="329">
        <f>'105-фрикадельки 70'!C19*'104-суп с фрикадель'!C30/4</f>
        <v>9.6809999999999993E-2</v>
      </c>
      <c r="K81" s="329"/>
      <c r="L81" s="329"/>
      <c r="M81" s="329"/>
      <c r="N81" s="329"/>
      <c r="O81" s="329"/>
      <c r="P81" s="329"/>
      <c r="Q81" s="329"/>
      <c r="R81" s="329"/>
      <c r="S81" s="329"/>
      <c r="T81" s="329"/>
      <c r="U81" s="329"/>
      <c r="V81" s="329"/>
      <c r="W81" s="329"/>
      <c r="X81" s="329"/>
      <c r="Y81" s="329">
        <f>'104-суп с фрикадель'!C28/'104-суп с фрикадель'!C35</f>
        <v>5.0000000000000001E-3</v>
      </c>
      <c r="Z81" s="329"/>
      <c r="AA81" s="329"/>
      <c r="AB81" s="329"/>
      <c r="AC81" s="329"/>
      <c r="AD81" s="329"/>
      <c r="AE81" s="330">
        <f>'105-фрикадельки 70'!C22*'104-суп с фрикадель'!C30/'104-суп с фрикадель'!C35</f>
        <v>5.7499999999999999E-3</v>
      </c>
      <c r="AF81" s="329"/>
      <c r="AG81" s="329"/>
      <c r="AH81" s="329">
        <f>'104-суп с фрикадель'!C19/4</f>
        <v>0.13325000000000001</v>
      </c>
      <c r="AI81" s="329"/>
      <c r="AJ81" s="329"/>
      <c r="AK81" s="329">
        <f>('104-суп с фрикадель'!C21/'104-суп с фрикадель'!C35)+('105-фрикадельки 70'!C20*'104-суп с фрикадель'!C30/'104-суп с фрикадель'!C35)</f>
        <v>1.9439999999999999E-2</v>
      </c>
      <c r="AL81" s="329"/>
      <c r="AM81" s="329"/>
      <c r="AN81" s="329"/>
      <c r="AO81" s="329"/>
      <c r="AP81" s="329"/>
      <c r="AQ81" s="329">
        <f>'104-суп с фрикадель'!C20/4</f>
        <v>1.2500000000000001E-2</v>
      </c>
      <c r="AR81" s="329"/>
      <c r="AS81" s="329"/>
      <c r="AT81" s="329"/>
      <c r="AU81" s="329">
        <f>'104-суп с фрикадель'!C27/4</f>
        <v>2E-3</v>
      </c>
      <c r="AV81" s="329"/>
      <c r="AW81" s="329"/>
      <c r="AX81" s="329"/>
      <c r="AY81" s="329"/>
      <c r="AZ81" s="329"/>
      <c r="BA81" s="329"/>
      <c r="BB81" s="329"/>
      <c r="BC81" s="329"/>
      <c r="BD81" s="329"/>
      <c r="BE81" s="329"/>
      <c r="BF81" s="329"/>
      <c r="BG81" s="329"/>
      <c r="BH81" s="329"/>
      <c r="BI81" s="329"/>
      <c r="BJ81" s="329"/>
      <c r="BK81" s="329"/>
      <c r="BL81" s="329"/>
      <c r="BM81" s="329"/>
      <c r="BN81" s="329"/>
      <c r="BO81" s="329"/>
      <c r="BP81" s="329"/>
      <c r="BQ81" s="329"/>
      <c r="BR81" s="329"/>
      <c r="BS81" s="329"/>
      <c r="BT81" s="329"/>
      <c r="BU81" s="329"/>
      <c r="BV81" s="329"/>
      <c r="BW81" s="329"/>
      <c r="BX81" s="329"/>
      <c r="BY81" s="329"/>
      <c r="BZ81" s="329"/>
      <c r="CA81" s="329"/>
      <c r="CB81" s="329"/>
      <c r="CC81" s="329"/>
      <c r="CD81" s="329"/>
      <c r="CE81" s="329"/>
      <c r="CF81" s="329">
        <f>'104-суп с фрикадель'!C23/4</f>
        <v>2.5000000000000001E-3</v>
      </c>
      <c r="CG81" s="329"/>
      <c r="CH81" s="329"/>
      <c r="CI81" s="329"/>
      <c r="CJ81" s="329"/>
      <c r="CK81" s="329"/>
      <c r="CL81" s="329"/>
      <c r="CM81" s="329"/>
      <c r="CN81" s="329"/>
      <c r="CO81" s="329"/>
      <c r="CP81" s="329"/>
      <c r="CQ81" s="329"/>
      <c r="CR81" s="329"/>
      <c r="CS81" s="329">
        <f>'104-суп с фрикадель'!C25/4</f>
        <v>1.0000000000000001E-5</v>
      </c>
      <c r="CT81" s="329"/>
      <c r="CU81" s="329"/>
      <c r="CV81" s="329"/>
      <c r="CW81" s="329"/>
      <c r="CX81" s="329"/>
      <c r="CY81" s="329"/>
      <c r="CZ81" s="329"/>
      <c r="DA81" s="329"/>
      <c r="DB81" s="329"/>
      <c r="DC81" s="329">
        <f>'104-суп с фрикадель'!C26/4</f>
        <v>1.75E-3</v>
      </c>
      <c r="DD81" s="329"/>
      <c r="DE81" s="329"/>
      <c r="DF81" s="329">
        <f>'104-суп с фрикадель'!C22/4</f>
        <v>2.5000000000000001E-3</v>
      </c>
      <c r="DG81" s="329"/>
      <c r="DH81" s="329"/>
      <c r="DI81" s="329"/>
      <c r="DJ81" s="329"/>
      <c r="DK81" s="329"/>
      <c r="DL81" s="329"/>
      <c r="DM81" s="329"/>
      <c r="DN81" s="329"/>
      <c r="DO81" s="329"/>
      <c r="DP81" s="329"/>
      <c r="DQ81" s="329"/>
      <c r="DR81" s="329"/>
      <c r="DS81" s="329"/>
      <c r="DT81" s="329"/>
      <c r="DU81" s="329"/>
      <c r="DV81" s="329"/>
      <c r="DW81" s="329"/>
      <c r="DX81" s="330"/>
      <c r="DY81" s="330"/>
      <c r="DZ81" s="330"/>
      <c r="EA81" s="330"/>
      <c r="EB81" s="330"/>
      <c r="EC81" s="330"/>
      <c r="ED81" s="330"/>
      <c r="EE81" s="330"/>
      <c r="EF81" s="330"/>
      <c r="EG81" s="330"/>
      <c r="EH81" s="330"/>
      <c r="EI81" s="330"/>
      <c r="EJ81" s="330"/>
      <c r="EK81" s="330"/>
      <c r="EL81" s="330"/>
      <c r="EM81" s="330"/>
      <c r="EN81" s="330"/>
      <c r="EO81" s="330"/>
      <c r="EP81" s="330"/>
      <c r="EQ81" s="330"/>
      <c r="ER81" s="330"/>
      <c r="ES81" s="330"/>
      <c r="ET81" s="330"/>
      <c r="EU81" s="330"/>
      <c r="EV81" s="330"/>
      <c r="EW81" s="330"/>
      <c r="EX81" s="330"/>
      <c r="EY81" s="1032">
        <f t="shared" si="0"/>
        <v>0.28150999999999998</v>
      </c>
    </row>
    <row r="82" spans="1:166" ht="14.7" customHeight="1" x14ac:dyDescent="0.25">
      <c r="A82" s="421">
        <v>78</v>
      </c>
      <c r="B82" s="183" t="str">
        <f>'105-фрикадельки 70'!A9</f>
        <v>Фрикадельки мясные</v>
      </c>
      <c r="C82" s="419">
        <f>'105-фрикадельки 70'!C27</f>
        <v>20</v>
      </c>
      <c r="D82" s="1209">
        <f>199.47/1000*C82</f>
        <v>3.99</v>
      </c>
      <c r="E82" s="1209">
        <f>117.23/1000*C82</f>
        <v>2.34</v>
      </c>
      <c r="F82" s="1209">
        <f>7.45/1000*C82</f>
        <v>0.15</v>
      </c>
      <c r="G82" s="1210">
        <f>1961/1000*C82</f>
        <v>39</v>
      </c>
      <c r="H82" s="419">
        <f>'105-фрикадельки 70'!J7</f>
        <v>105</v>
      </c>
      <c r="I82" s="483">
        <f>'105-фрикадельки 70'!F29</f>
        <v>17.75</v>
      </c>
      <c r="J82" s="329">
        <f>'105-фрикадельки 70'!C19/1000*20</f>
        <v>3.0980000000000001E-2</v>
      </c>
      <c r="K82" s="329"/>
      <c r="L82" s="329"/>
      <c r="M82" s="329"/>
      <c r="N82" s="329"/>
      <c r="O82" s="329"/>
      <c r="P82" s="329"/>
      <c r="Q82" s="329"/>
      <c r="R82" s="329"/>
      <c r="S82" s="329"/>
      <c r="T82" s="329"/>
      <c r="U82" s="329"/>
      <c r="V82" s="329"/>
      <c r="W82" s="329"/>
      <c r="X82" s="329"/>
      <c r="Y82" s="329"/>
      <c r="Z82" s="329"/>
      <c r="AA82" s="329"/>
      <c r="AB82" s="329"/>
      <c r="AC82" s="329"/>
      <c r="AD82" s="329"/>
      <c r="AE82" s="330">
        <f>'105-фрикадельки 70'!C22/1000*20</f>
        <v>1.8400000000000001E-3</v>
      </c>
      <c r="AF82" s="329"/>
      <c r="AG82" s="329"/>
      <c r="AH82" s="329"/>
      <c r="AI82" s="329"/>
      <c r="AJ82" s="329"/>
      <c r="AK82" s="329">
        <f>'105-фрикадельки 70'!C20/1000*20</f>
        <v>2.3800000000000002E-3</v>
      </c>
      <c r="AL82" s="329"/>
      <c r="AM82" s="329"/>
      <c r="AN82" s="329"/>
      <c r="AO82" s="329"/>
      <c r="AP82" s="329"/>
      <c r="AQ82" s="329"/>
      <c r="AR82" s="329"/>
      <c r="AS82" s="329"/>
      <c r="AT82" s="329"/>
      <c r="AU82" s="329"/>
      <c r="AV82" s="329"/>
      <c r="AW82" s="329"/>
      <c r="AX82" s="329"/>
      <c r="AY82" s="329"/>
      <c r="AZ82" s="329"/>
      <c r="BA82" s="329"/>
      <c r="BB82" s="329"/>
      <c r="BC82" s="329"/>
      <c r="BD82" s="329"/>
      <c r="BE82" s="329"/>
      <c r="BF82" s="329"/>
      <c r="BG82" s="329"/>
      <c r="BH82" s="329"/>
      <c r="BI82" s="329"/>
      <c r="BJ82" s="329"/>
      <c r="BK82" s="329"/>
      <c r="BL82" s="329"/>
      <c r="BM82" s="329"/>
      <c r="BN82" s="329"/>
      <c r="BO82" s="329"/>
      <c r="BP82" s="329"/>
      <c r="BQ82" s="329"/>
      <c r="BR82" s="329"/>
      <c r="BS82" s="329"/>
      <c r="BT82" s="329"/>
      <c r="BU82" s="329"/>
      <c r="BV82" s="329"/>
      <c r="BW82" s="329"/>
      <c r="BX82" s="329"/>
      <c r="BY82" s="329"/>
      <c r="BZ82" s="329"/>
      <c r="CA82" s="329"/>
      <c r="CB82" s="329"/>
      <c r="CC82" s="329"/>
      <c r="CD82" s="329"/>
      <c r="CE82" s="329"/>
      <c r="CF82" s="329"/>
      <c r="CG82" s="329"/>
      <c r="CH82" s="329"/>
      <c r="CI82" s="329"/>
      <c r="CJ82" s="329"/>
      <c r="CK82" s="329"/>
      <c r="CL82" s="329"/>
      <c r="CM82" s="329"/>
      <c r="CN82" s="329"/>
      <c r="CO82" s="329"/>
      <c r="CP82" s="329"/>
      <c r="CQ82" s="329"/>
      <c r="CR82" s="329"/>
      <c r="CS82" s="329"/>
      <c r="CT82" s="329"/>
      <c r="CU82" s="329"/>
      <c r="CV82" s="329"/>
      <c r="CW82" s="329"/>
      <c r="CX82" s="329"/>
      <c r="CY82" s="329"/>
      <c r="CZ82" s="329"/>
      <c r="DA82" s="329"/>
      <c r="DB82" s="329"/>
      <c r="DC82" s="329"/>
      <c r="DD82" s="329"/>
      <c r="DE82" s="329"/>
      <c r="DF82" s="329"/>
      <c r="DG82" s="329"/>
      <c r="DH82" s="329"/>
      <c r="DI82" s="329"/>
      <c r="DJ82" s="329"/>
      <c r="DK82" s="329"/>
      <c r="DL82" s="329"/>
      <c r="DM82" s="329"/>
      <c r="DN82" s="329"/>
      <c r="DO82" s="329"/>
      <c r="DP82" s="329"/>
      <c r="DQ82" s="329"/>
      <c r="DR82" s="329"/>
      <c r="DS82" s="329"/>
      <c r="DT82" s="329"/>
      <c r="DU82" s="329"/>
      <c r="DV82" s="329"/>
      <c r="DW82" s="329"/>
      <c r="DX82" s="330"/>
      <c r="DY82" s="330"/>
      <c r="DZ82" s="330"/>
      <c r="EA82" s="330"/>
      <c r="EB82" s="330"/>
      <c r="EC82" s="330"/>
      <c r="ED82" s="330"/>
      <c r="EE82" s="330"/>
      <c r="EF82" s="330"/>
      <c r="EG82" s="330"/>
      <c r="EH82" s="330"/>
      <c r="EI82" s="330"/>
      <c r="EJ82" s="330"/>
      <c r="EK82" s="330"/>
      <c r="EL82" s="330"/>
      <c r="EM82" s="330"/>
      <c r="EN82" s="330"/>
      <c r="EO82" s="330"/>
      <c r="EP82" s="330"/>
      <c r="EQ82" s="330"/>
      <c r="ER82" s="330"/>
      <c r="ES82" s="330"/>
      <c r="ET82" s="330"/>
      <c r="EU82" s="330"/>
      <c r="EV82" s="330"/>
      <c r="EW82" s="330"/>
      <c r="EX82" s="330"/>
      <c r="EY82" s="1032">
        <f t="shared" si="0"/>
        <v>3.5200000000000002E-2</v>
      </c>
    </row>
    <row r="83" spans="1:166" s="595" customFormat="1" ht="14.7" customHeight="1" x14ac:dyDescent="0.25">
      <c r="A83" s="421">
        <v>79</v>
      </c>
      <c r="B83" s="183" t="str">
        <f>'106-суп фрикад. рыб.'!A9</f>
        <v>Суп картофельный с рыбными фрикадельками</v>
      </c>
      <c r="C83" s="419">
        <f>'106-суп фрикад. рыб.'!C34</f>
        <v>250</v>
      </c>
      <c r="D83" s="1209">
        <f>8.78/1000*C83</f>
        <v>2.2000000000000002</v>
      </c>
      <c r="E83" s="1209">
        <f>11.12/1000*C83</f>
        <v>2.78</v>
      </c>
      <c r="F83" s="1209">
        <f>61.56/1000*C83</f>
        <v>15.39</v>
      </c>
      <c r="G83" s="1210">
        <f>424/1000*C83</f>
        <v>106</v>
      </c>
      <c r="H83" s="419">
        <f>'106-суп фрикад. рыб.'!J7</f>
        <v>106</v>
      </c>
      <c r="I83" s="483">
        <f>'106-суп фрикад. рыб.'!F36</f>
        <v>32.79</v>
      </c>
      <c r="J83" s="332"/>
      <c r="K83" s="329"/>
      <c r="L83" s="329"/>
      <c r="M83" s="329"/>
      <c r="N83" s="329"/>
      <c r="O83" s="329"/>
      <c r="P83" s="329"/>
      <c r="Q83" s="329">
        <f>'107-фрикадельки рыб.'!C19*'106-суп фрикад. рыб.'!C30/'106-суп фрикад. рыб.'!C33*'106-суп фрикад. рыб.'!C34</f>
        <v>0.11749999999999999</v>
      </c>
      <c r="R83" s="329"/>
      <c r="S83" s="329"/>
      <c r="T83" s="329"/>
      <c r="U83" s="329"/>
      <c r="V83" s="329"/>
      <c r="W83" s="329"/>
      <c r="X83" s="329"/>
      <c r="Y83" s="329">
        <f>'106-суп фрикад. рыб.'!C28/'106-суп фрикад. рыб.'!C33*'106-суп фрикад. рыб.'!C34</f>
        <v>5.0000000000000001E-3</v>
      </c>
      <c r="Z83" s="329"/>
      <c r="AA83" s="329"/>
      <c r="AB83" s="329"/>
      <c r="AC83" s="329"/>
      <c r="AD83" s="329"/>
      <c r="AE83" s="330">
        <f>('107-фрикадельки рыб.'!C20/'107-фрикадельки рыб.'!C26*1000*'106-суп фрикад. рыб.'!C30)/'106-суп фрикад. рыб.'!C33*'106-суп фрикад. рыб.'!C34</f>
        <v>3.5899999999999999E-3</v>
      </c>
      <c r="AF83" s="329"/>
      <c r="AG83" s="329"/>
      <c r="AH83" s="329">
        <f>'106-суп фрикад. рыб.'!C19/'106-суп фрикад. рыб.'!C33*'106-суп фрикад. рыб.'!C34</f>
        <v>0.13325000000000001</v>
      </c>
      <c r="AI83" s="329"/>
      <c r="AJ83" s="329"/>
      <c r="AK83" s="329">
        <f>('106-суп фрикад. рыб.'!C21/'106-суп фрикад. рыб.'!C33*'106-суп фрикад. рыб.'!C34)+('107-фрикадельки рыб.'!C21/4/4)</f>
        <v>2.6880000000000001E-2</v>
      </c>
      <c r="AL83" s="329"/>
      <c r="AM83" s="329"/>
      <c r="AN83" s="329"/>
      <c r="AO83" s="329"/>
      <c r="AP83" s="329"/>
      <c r="AQ83" s="329">
        <f>'106-суп фрикад. рыб.'!C20/'106-суп фрикад. рыб.'!C33*'106-суп фрикад. рыб.'!C34</f>
        <v>1.2500000000000001E-2</v>
      </c>
      <c r="AR83" s="329"/>
      <c r="AS83" s="329"/>
      <c r="AT83" s="329"/>
      <c r="AU83" s="329">
        <f>'106-суп фрикад. рыб.'!C27/'106-суп фрикад. рыб.'!C33*'106-суп фрикад. рыб.'!C34</f>
        <v>2E-3</v>
      </c>
      <c r="AV83" s="329"/>
      <c r="AW83" s="329"/>
      <c r="AX83" s="329"/>
      <c r="AY83" s="329"/>
      <c r="AZ83" s="329"/>
      <c r="BA83" s="329"/>
      <c r="BB83" s="329"/>
      <c r="BC83" s="329"/>
      <c r="BD83" s="329"/>
      <c r="BE83" s="329"/>
      <c r="BF83" s="329"/>
      <c r="BG83" s="329"/>
      <c r="BH83" s="329"/>
      <c r="BI83" s="329"/>
      <c r="BJ83" s="329"/>
      <c r="BK83" s="329"/>
      <c r="BL83" s="329"/>
      <c r="BM83" s="329"/>
      <c r="BN83" s="329"/>
      <c r="BO83" s="329"/>
      <c r="BP83" s="329"/>
      <c r="BQ83" s="329"/>
      <c r="BR83" s="329"/>
      <c r="BS83" s="329"/>
      <c r="BT83" s="329"/>
      <c r="BU83" s="329"/>
      <c r="BV83" s="329"/>
      <c r="BW83" s="329"/>
      <c r="BX83" s="329"/>
      <c r="BY83" s="329"/>
      <c r="BZ83" s="329"/>
      <c r="CA83" s="329"/>
      <c r="CB83" s="329"/>
      <c r="CC83" s="329"/>
      <c r="CD83" s="329"/>
      <c r="CE83" s="329"/>
      <c r="CF83" s="329">
        <f>'106-суп фрикад. рыб.'!C23/'106-суп фрикад. рыб.'!C33*'106-суп фрикад. рыб.'!C34</f>
        <v>2.5000000000000001E-3</v>
      </c>
      <c r="CG83" s="329"/>
      <c r="CH83" s="329"/>
      <c r="CI83" s="329"/>
      <c r="CJ83" s="329"/>
      <c r="CK83" s="329"/>
      <c r="CL83" s="329"/>
      <c r="CM83" s="329"/>
      <c r="CN83" s="329"/>
      <c r="CO83" s="329"/>
      <c r="CP83" s="329"/>
      <c r="CQ83" s="329"/>
      <c r="CR83" s="329"/>
      <c r="CS83" s="329">
        <f>'106-суп фрикад. рыб.'!C25/'106-суп фрикад. рыб.'!C33*'106-суп фрикад. рыб.'!C34</f>
        <v>1.0000000000000001E-5</v>
      </c>
      <c r="CT83" s="329"/>
      <c r="CU83" s="329"/>
      <c r="CV83" s="329"/>
      <c r="CW83" s="329"/>
      <c r="CX83" s="329"/>
      <c r="CY83" s="329"/>
      <c r="CZ83" s="329"/>
      <c r="DA83" s="329"/>
      <c r="DB83" s="329"/>
      <c r="DC83" s="329">
        <f>'106-суп фрикад. рыб.'!C26/'106-суп фрикад. рыб.'!C33*'106-суп фрикад. рыб.'!C34</f>
        <v>1.75E-3</v>
      </c>
      <c r="DD83" s="329"/>
      <c r="DE83" s="329"/>
      <c r="DF83" s="329">
        <f>'106-суп фрикад. рыб.'!C22/'106-суп фрикад. рыб.'!C33*'106-суп фрикад. рыб.'!C34</f>
        <v>2.5000000000000001E-3</v>
      </c>
      <c r="DG83" s="329"/>
      <c r="DH83" s="329"/>
      <c r="DI83" s="329"/>
      <c r="DJ83" s="329"/>
      <c r="DK83" s="329"/>
      <c r="DL83" s="329"/>
      <c r="DM83" s="329"/>
      <c r="DN83" s="329"/>
      <c r="DO83" s="329"/>
      <c r="DP83" s="329"/>
      <c r="DQ83" s="329"/>
      <c r="DR83" s="329"/>
      <c r="DS83" s="329"/>
      <c r="DT83" s="329"/>
      <c r="DU83" s="329"/>
      <c r="DV83" s="329"/>
      <c r="DW83" s="329"/>
      <c r="DX83" s="330"/>
      <c r="DY83" s="330"/>
      <c r="DZ83" s="330"/>
      <c r="EA83" s="330"/>
      <c r="EB83" s="330"/>
      <c r="EC83" s="330"/>
      <c r="ED83" s="330"/>
      <c r="EE83" s="330"/>
      <c r="EF83" s="330"/>
      <c r="EG83" s="330"/>
      <c r="EH83" s="330"/>
      <c r="EI83" s="330"/>
      <c r="EJ83" s="330"/>
      <c r="EK83" s="330"/>
      <c r="EL83" s="330"/>
      <c r="EM83" s="330"/>
      <c r="EN83" s="330"/>
      <c r="EO83" s="330"/>
      <c r="EP83" s="330"/>
      <c r="EQ83" s="330"/>
      <c r="ER83" s="330"/>
      <c r="ES83" s="330"/>
      <c r="ET83" s="330"/>
      <c r="EU83" s="330"/>
      <c r="EV83" s="330"/>
      <c r="EW83" s="330"/>
      <c r="EX83" s="330"/>
      <c r="EY83" s="1032">
        <f t="shared" si="0"/>
        <v>0.30747999999999998</v>
      </c>
      <c r="EZ83" s="616"/>
      <c r="FA83" s="616"/>
      <c r="FB83" s="616"/>
      <c r="FC83" s="616"/>
      <c r="FD83" s="616"/>
      <c r="FE83" s="616"/>
      <c r="FF83" s="616"/>
      <c r="FG83" s="616"/>
      <c r="FH83" s="616"/>
      <c r="FI83" s="616"/>
      <c r="FJ83" s="616"/>
    </row>
    <row r="84" spans="1:166" s="595" customFormat="1" ht="14.7" customHeight="1" x14ac:dyDescent="0.25">
      <c r="A84" s="421">
        <v>80</v>
      </c>
      <c r="B84" s="183" t="str">
        <f>'107-фрикадельки рыб.'!A9</f>
        <v>Фрикадельки мясные</v>
      </c>
      <c r="C84" s="419">
        <f>'107-фрикадельки рыб.'!C27</f>
        <v>1000</v>
      </c>
      <c r="D84" s="1209">
        <f>167.61/1000*C84</f>
        <v>167.61</v>
      </c>
      <c r="E84" s="1209">
        <f>35.31/1000*C84</f>
        <v>35.31</v>
      </c>
      <c r="F84" s="1209">
        <f>14.24/1000*C84</f>
        <v>14.24</v>
      </c>
      <c r="G84" s="1210">
        <v>1100</v>
      </c>
      <c r="H84" s="419">
        <f>'107-фрикадельки рыб.'!J7</f>
        <v>107</v>
      </c>
      <c r="I84" s="483">
        <f>'107-фрикадельки рыб.'!F29</f>
        <v>355.29</v>
      </c>
      <c r="J84" s="332"/>
      <c r="K84" s="329"/>
      <c r="L84" s="329"/>
      <c r="M84" s="329"/>
      <c r="N84" s="329"/>
      <c r="O84" s="329"/>
      <c r="P84" s="329"/>
      <c r="Q84" s="329">
        <f>'107-фрикадельки рыб.'!C19</f>
        <v>1.88</v>
      </c>
      <c r="R84" s="329"/>
      <c r="S84" s="329"/>
      <c r="T84" s="329"/>
      <c r="U84" s="329"/>
      <c r="V84" s="329"/>
      <c r="W84" s="329"/>
      <c r="X84" s="329"/>
      <c r="Y84" s="329"/>
      <c r="Z84" s="329"/>
      <c r="AA84" s="329"/>
      <c r="AB84" s="329"/>
      <c r="AC84" s="329"/>
      <c r="AD84" s="329"/>
      <c r="AE84" s="330">
        <f>'107-фрикадельки рыб.'!C20</f>
        <v>5.7500000000000002E-2</v>
      </c>
      <c r="AF84" s="329"/>
      <c r="AG84" s="329"/>
      <c r="AH84" s="329"/>
      <c r="AI84" s="329"/>
      <c r="AJ84" s="329"/>
      <c r="AK84" s="329">
        <f>'107-фрикадельки рыб.'!C21</f>
        <v>0.23799999999999999</v>
      </c>
      <c r="AL84" s="329"/>
      <c r="AM84" s="329"/>
      <c r="AN84" s="329"/>
      <c r="AO84" s="329"/>
      <c r="AP84" s="329"/>
      <c r="AQ84" s="329"/>
      <c r="AR84" s="329"/>
      <c r="AS84" s="329"/>
      <c r="AT84" s="329"/>
      <c r="AU84" s="329"/>
      <c r="AV84" s="329"/>
      <c r="AW84" s="329"/>
      <c r="AX84" s="329"/>
      <c r="AY84" s="329"/>
      <c r="AZ84" s="329"/>
      <c r="BA84" s="329"/>
      <c r="BB84" s="329"/>
      <c r="BC84" s="329"/>
      <c r="BD84" s="329"/>
      <c r="BE84" s="329"/>
      <c r="BF84" s="329"/>
      <c r="BG84" s="329"/>
      <c r="BH84" s="329"/>
      <c r="BI84" s="329"/>
      <c r="BJ84" s="329"/>
      <c r="BK84" s="329"/>
      <c r="BL84" s="329"/>
      <c r="BM84" s="329"/>
      <c r="BN84" s="329"/>
      <c r="BO84" s="329"/>
      <c r="BP84" s="329"/>
      <c r="BQ84" s="329"/>
      <c r="BR84" s="329"/>
      <c r="BS84" s="329"/>
      <c r="BT84" s="329"/>
      <c r="BU84" s="329"/>
      <c r="BV84" s="329"/>
      <c r="BW84" s="329"/>
      <c r="BX84" s="329"/>
      <c r="BY84" s="329"/>
      <c r="BZ84" s="329"/>
      <c r="CA84" s="329"/>
      <c r="CB84" s="329"/>
      <c r="CC84" s="329"/>
      <c r="CD84" s="329"/>
      <c r="CE84" s="329"/>
      <c r="CF84" s="329"/>
      <c r="CG84" s="329"/>
      <c r="CH84" s="329"/>
      <c r="CI84" s="329"/>
      <c r="CJ84" s="329"/>
      <c r="CK84" s="329"/>
      <c r="CL84" s="329"/>
      <c r="CM84" s="329"/>
      <c r="CN84" s="329"/>
      <c r="CO84" s="329"/>
      <c r="CP84" s="329"/>
      <c r="CQ84" s="329"/>
      <c r="CR84" s="329"/>
      <c r="CS84" s="329"/>
      <c r="CT84" s="329"/>
      <c r="CU84" s="329"/>
      <c r="CV84" s="329"/>
      <c r="CW84" s="329"/>
      <c r="CX84" s="329"/>
      <c r="CY84" s="329"/>
      <c r="CZ84" s="329"/>
      <c r="DA84" s="329"/>
      <c r="DB84" s="329"/>
      <c r="DC84" s="329"/>
      <c r="DD84" s="329"/>
      <c r="DE84" s="329"/>
      <c r="DF84" s="329"/>
      <c r="DG84" s="329"/>
      <c r="DH84" s="329"/>
      <c r="DI84" s="329"/>
      <c r="DJ84" s="329"/>
      <c r="DK84" s="329"/>
      <c r="DL84" s="329"/>
      <c r="DM84" s="329"/>
      <c r="DN84" s="329"/>
      <c r="DO84" s="329"/>
      <c r="DP84" s="329"/>
      <c r="DQ84" s="329"/>
      <c r="DR84" s="329"/>
      <c r="DS84" s="329"/>
      <c r="DT84" s="329"/>
      <c r="DU84" s="329"/>
      <c r="DV84" s="329"/>
      <c r="DW84" s="329"/>
      <c r="DX84" s="330"/>
      <c r="DY84" s="330"/>
      <c r="DZ84" s="330"/>
      <c r="EA84" s="330"/>
      <c r="EB84" s="330"/>
      <c r="EC84" s="330"/>
      <c r="ED84" s="330"/>
      <c r="EE84" s="330"/>
      <c r="EF84" s="330"/>
      <c r="EG84" s="330"/>
      <c r="EH84" s="330"/>
      <c r="EI84" s="330"/>
      <c r="EJ84" s="330"/>
      <c r="EK84" s="330"/>
      <c r="EL84" s="330"/>
      <c r="EM84" s="330"/>
      <c r="EN84" s="330"/>
      <c r="EO84" s="330"/>
      <c r="EP84" s="330"/>
      <c r="EQ84" s="330"/>
      <c r="ER84" s="330"/>
      <c r="ES84" s="330"/>
      <c r="ET84" s="330"/>
      <c r="EU84" s="330"/>
      <c r="EV84" s="330"/>
      <c r="EW84" s="330"/>
      <c r="EX84" s="330"/>
      <c r="EY84" s="1032">
        <f t="shared" si="0"/>
        <v>2.1755</v>
      </c>
      <c r="EZ84" s="616"/>
      <c r="FA84" s="616"/>
      <c r="FB84" s="616"/>
      <c r="FC84" s="616"/>
      <c r="FD84" s="616"/>
      <c r="FE84" s="616"/>
      <c r="FF84" s="616"/>
      <c r="FG84" s="616"/>
      <c r="FH84" s="616"/>
      <c r="FI84" s="616"/>
      <c r="FJ84" s="616"/>
    </row>
    <row r="85" spans="1:166" s="595" customFormat="1" ht="14.7" customHeight="1" x14ac:dyDescent="0.25">
      <c r="A85" s="421">
        <v>81</v>
      </c>
      <c r="B85" s="183" t="str">
        <f>'108-суп с клёцками'!A9</f>
        <v>Суп картофельный с клёцками</v>
      </c>
      <c r="C85" s="419">
        <f>'108-суп с клёцками'!C32</f>
        <v>250</v>
      </c>
      <c r="D85" s="1209">
        <f>14.23/1000*C85</f>
        <v>3.56</v>
      </c>
      <c r="E85" s="1209">
        <f>18.37/1000*C85</f>
        <v>4.59</v>
      </c>
      <c r="F85" s="1209">
        <f>75.17/1000*C85</f>
        <v>18.79</v>
      </c>
      <c r="G85" s="1210">
        <f>577/1000*C85</f>
        <v>144</v>
      </c>
      <c r="H85" s="419">
        <f>'108-суп с клёцками'!J7</f>
        <v>108</v>
      </c>
      <c r="I85" s="483">
        <f>'108-суп с клёцками'!F34</f>
        <v>12.55</v>
      </c>
      <c r="J85" s="332"/>
      <c r="K85" s="329"/>
      <c r="L85" s="329"/>
      <c r="M85" s="329"/>
      <c r="N85" s="329"/>
      <c r="O85" s="329"/>
      <c r="P85" s="329"/>
      <c r="Q85" s="329"/>
      <c r="R85" s="329"/>
      <c r="S85" s="329"/>
      <c r="T85" s="329"/>
      <c r="U85" s="329">
        <f>'109-клёцки'!C22*'108-суп с клёцками'!C24/'108-суп с клёцками'!C31*'108-суп с клёцками'!C32</f>
        <v>3.1399999999999997E-2</v>
      </c>
      <c r="V85" s="329">
        <f>'109-клёцки'!C20*'108-суп с клёцками'!C24/'108-суп с клёцками'!C31*'108-суп с клёцками'!C32</f>
        <v>2.2799999999999999E-3</v>
      </c>
      <c r="W85" s="329"/>
      <c r="X85" s="329"/>
      <c r="Y85" s="329">
        <f>'108-суп с клёцками'!C28/'108-суп с клёцками'!C31*'108-суп с клёцками'!C32</f>
        <v>5.0000000000000001E-3</v>
      </c>
      <c r="Z85" s="329"/>
      <c r="AA85" s="329"/>
      <c r="AB85" s="329"/>
      <c r="AC85" s="329"/>
      <c r="AD85" s="329"/>
      <c r="AE85" s="333">
        <f>'109-клёцки'!C21*'108-суп с клёцками'!C24/'108-суп с клёцками'!C31*'108-суп с клёцками'!C32</f>
        <v>6.5799999999999999E-3</v>
      </c>
      <c r="AF85" s="329"/>
      <c r="AG85" s="329"/>
      <c r="AH85" s="329">
        <f>'108-суп с клёцками'!C19/'108-суп с клёцками'!C31*'108-суп с клёцками'!C32</f>
        <v>6.6750000000000004E-2</v>
      </c>
      <c r="AI85" s="329"/>
      <c r="AJ85" s="329"/>
      <c r="AK85" s="329">
        <f>'108-суп с клёцками'!C21/'108-суп с клёцками'!C31*'108-суп с клёцками'!C32</f>
        <v>1.2E-2</v>
      </c>
      <c r="AL85" s="329"/>
      <c r="AM85" s="329"/>
      <c r="AN85" s="329"/>
      <c r="AO85" s="329"/>
      <c r="AP85" s="329"/>
      <c r="AQ85" s="329">
        <f>'108-суп с клёцками'!C20/'108-суп с клёцками'!C31*'108-суп с клёцками'!C32</f>
        <v>1.2500000000000001E-2</v>
      </c>
      <c r="AR85" s="329"/>
      <c r="AS85" s="329"/>
      <c r="AT85" s="329"/>
      <c r="AU85" s="329">
        <f>'108-суп с клёцками'!C27/'108-суп с клёцками'!C31*'108-суп с клёцками'!C32</f>
        <v>2E-3</v>
      </c>
      <c r="AV85" s="329"/>
      <c r="AW85" s="329"/>
      <c r="AX85" s="329"/>
      <c r="AY85" s="329"/>
      <c r="AZ85" s="329"/>
      <c r="BA85" s="329"/>
      <c r="BB85" s="329"/>
      <c r="BC85" s="329"/>
      <c r="BD85" s="329"/>
      <c r="BE85" s="329"/>
      <c r="BF85" s="329"/>
      <c r="BG85" s="329"/>
      <c r="BH85" s="329"/>
      <c r="BI85" s="329"/>
      <c r="BJ85" s="329"/>
      <c r="BK85" s="329"/>
      <c r="BL85" s="329"/>
      <c r="BM85" s="329"/>
      <c r="BN85" s="329"/>
      <c r="BO85" s="329"/>
      <c r="BP85" s="329"/>
      <c r="BQ85" s="329"/>
      <c r="BR85" s="329"/>
      <c r="BS85" s="329">
        <f>'109-клёцки'!C19*'108-суп с клёцками'!C24/'108-суп с клёцками'!C31*'108-суп с клёцками'!C32</f>
        <v>2.002E-2</v>
      </c>
      <c r="BT85" s="329"/>
      <c r="BU85" s="329"/>
      <c r="BV85" s="329"/>
      <c r="BW85" s="329"/>
      <c r="BX85" s="329"/>
      <c r="BY85" s="329"/>
      <c r="BZ85" s="329"/>
      <c r="CA85" s="329"/>
      <c r="CB85" s="329"/>
      <c r="CC85" s="329"/>
      <c r="CD85" s="329"/>
      <c r="CE85" s="329"/>
      <c r="CF85" s="329">
        <f>'108-суп с клёцками'!C22/'108-суп с клёцками'!C31*'108-суп с клёцками'!C32</f>
        <v>2.5000000000000001E-3</v>
      </c>
      <c r="CG85" s="329"/>
      <c r="CH85" s="329"/>
      <c r="CI85" s="329"/>
      <c r="CJ85" s="329"/>
      <c r="CK85" s="329"/>
      <c r="CL85" s="329"/>
      <c r="CM85" s="329"/>
      <c r="CN85" s="329"/>
      <c r="CO85" s="329"/>
      <c r="CP85" s="329"/>
      <c r="CQ85" s="329"/>
      <c r="CR85" s="329"/>
      <c r="CS85" s="329">
        <f>'108-суп с клёцками'!C25/'108-суп с клёцками'!C31*'108-суп с клёцками'!C32</f>
        <v>1.0000000000000001E-5</v>
      </c>
      <c r="CT85" s="329"/>
      <c r="CU85" s="329"/>
      <c r="CV85" s="329"/>
      <c r="CW85" s="329"/>
      <c r="CX85" s="329"/>
      <c r="CY85" s="329"/>
      <c r="CZ85" s="329"/>
      <c r="DA85" s="329"/>
      <c r="DB85" s="329"/>
      <c r="DC85" s="329">
        <f>('108-суп с клёцками'!C26/'108-суп с клёцками'!C31*'108-суп с клёцками'!C32)+('109-клёцки'!C23*'108-суп с клёцками'!C24/4)</f>
        <v>2.3400000000000001E-3</v>
      </c>
      <c r="DD85" s="329"/>
      <c r="DE85" s="329"/>
      <c r="DF85" s="329"/>
      <c r="DG85" s="329"/>
      <c r="DH85" s="329"/>
      <c r="DI85" s="329"/>
      <c r="DJ85" s="329"/>
      <c r="DK85" s="329"/>
      <c r="DL85" s="329"/>
      <c r="DM85" s="329"/>
      <c r="DN85" s="329"/>
      <c r="DO85" s="329"/>
      <c r="DP85" s="329"/>
      <c r="DQ85" s="329"/>
      <c r="DR85" s="329"/>
      <c r="DS85" s="329"/>
      <c r="DT85" s="329"/>
      <c r="DU85" s="329"/>
      <c r="DV85" s="329"/>
      <c r="DW85" s="329"/>
      <c r="DX85" s="330"/>
      <c r="DY85" s="330"/>
      <c r="DZ85" s="330"/>
      <c r="EA85" s="330"/>
      <c r="EB85" s="330"/>
      <c r="EC85" s="330"/>
      <c r="ED85" s="330"/>
      <c r="EE85" s="330"/>
      <c r="EF85" s="330"/>
      <c r="EG85" s="330"/>
      <c r="EH85" s="330"/>
      <c r="EI85" s="330"/>
      <c r="EJ85" s="330"/>
      <c r="EK85" s="330"/>
      <c r="EL85" s="330"/>
      <c r="EM85" s="330"/>
      <c r="EN85" s="330"/>
      <c r="EO85" s="330"/>
      <c r="EP85" s="330"/>
      <c r="EQ85" s="330"/>
      <c r="ER85" s="330"/>
      <c r="ES85" s="330"/>
      <c r="ET85" s="330"/>
      <c r="EU85" s="330"/>
      <c r="EV85" s="330"/>
      <c r="EW85" s="330"/>
      <c r="EX85" s="330"/>
      <c r="EY85" s="1032">
        <f t="shared" si="0"/>
        <v>0.16338</v>
      </c>
      <c r="EZ85" s="616"/>
      <c r="FA85" s="616"/>
      <c r="FB85" s="616"/>
      <c r="FC85" s="616"/>
      <c r="FD85" s="616"/>
      <c r="FE85" s="616"/>
      <c r="FF85" s="616"/>
      <c r="FG85" s="616"/>
      <c r="FH85" s="616"/>
      <c r="FI85" s="616"/>
      <c r="FJ85" s="616"/>
    </row>
    <row r="86" spans="1:166" s="595" customFormat="1" ht="14.7" customHeight="1" x14ac:dyDescent="0.25">
      <c r="A86" s="421">
        <v>82</v>
      </c>
      <c r="B86" s="183" t="str">
        <f>'109-клёцки'!A9</f>
        <v>Клёцки</v>
      </c>
      <c r="C86" s="419">
        <f>'109-клёцки'!C28</f>
        <v>1000</v>
      </c>
      <c r="D86" s="1209">
        <f>41.02/1000*C86</f>
        <v>41.02</v>
      </c>
      <c r="E86" s="1209">
        <f>37.52/1000*C86</f>
        <v>37.520000000000003</v>
      </c>
      <c r="F86" s="1209">
        <f>180.24/1000*C86</f>
        <v>180.24</v>
      </c>
      <c r="G86" s="1210">
        <f>1352/1000*C86</f>
        <v>1352</v>
      </c>
      <c r="H86" s="419">
        <f>'109-клёцки'!J7</f>
        <v>109</v>
      </c>
      <c r="I86" s="483">
        <f>'109-клёцки'!F30</f>
        <v>90.2</v>
      </c>
      <c r="J86" s="332"/>
      <c r="K86" s="329"/>
      <c r="L86" s="329"/>
      <c r="M86" s="329"/>
      <c r="N86" s="329"/>
      <c r="O86" s="329"/>
      <c r="P86" s="329"/>
      <c r="Q86" s="329"/>
      <c r="R86" s="329"/>
      <c r="S86" s="329"/>
      <c r="T86" s="329"/>
      <c r="U86" s="329">
        <f>'109-клёцки'!C22</f>
        <v>0.48299999999999998</v>
      </c>
      <c r="V86" s="329">
        <f>'109-клёцки'!C20</f>
        <v>3.5000000000000003E-2</v>
      </c>
      <c r="W86" s="329"/>
      <c r="X86" s="329"/>
      <c r="Y86" s="329"/>
      <c r="Z86" s="329"/>
      <c r="AA86" s="329"/>
      <c r="AB86" s="329"/>
      <c r="AC86" s="329"/>
      <c r="AD86" s="329"/>
      <c r="AE86" s="330">
        <f>'109-клёцки'!C21</f>
        <v>0.1012</v>
      </c>
      <c r="AF86" s="329"/>
      <c r="AG86" s="329"/>
      <c r="AH86" s="329"/>
      <c r="AI86" s="329"/>
      <c r="AJ86" s="329"/>
      <c r="AK86" s="329"/>
      <c r="AL86" s="329"/>
      <c r="AM86" s="329"/>
      <c r="AN86" s="329"/>
      <c r="AO86" s="329"/>
      <c r="AP86" s="329"/>
      <c r="AQ86" s="329"/>
      <c r="AR86" s="329"/>
      <c r="AS86" s="329"/>
      <c r="AT86" s="329"/>
      <c r="AU86" s="329"/>
      <c r="AV86" s="329"/>
      <c r="AW86" s="329"/>
      <c r="AX86" s="329"/>
      <c r="AY86" s="329"/>
      <c r="AZ86" s="329"/>
      <c r="BA86" s="329"/>
      <c r="BB86" s="329"/>
      <c r="BC86" s="329"/>
      <c r="BD86" s="329"/>
      <c r="BE86" s="329"/>
      <c r="BF86" s="329"/>
      <c r="BG86" s="329"/>
      <c r="BH86" s="329"/>
      <c r="BI86" s="329"/>
      <c r="BJ86" s="329"/>
      <c r="BK86" s="329"/>
      <c r="BL86" s="329"/>
      <c r="BM86" s="329"/>
      <c r="BN86" s="329"/>
      <c r="BO86" s="329"/>
      <c r="BP86" s="329"/>
      <c r="BQ86" s="329"/>
      <c r="BR86" s="329"/>
      <c r="BS86" s="329">
        <f>'109-клёцки'!C19</f>
        <v>0.308</v>
      </c>
      <c r="BT86" s="329"/>
      <c r="BU86" s="329"/>
      <c r="BV86" s="329"/>
      <c r="BW86" s="329"/>
      <c r="BX86" s="329"/>
      <c r="BY86" s="329"/>
      <c r="BZ86" s="329"/>
      <c r="CA86" s="329"/>
      <c r="CB86" s="329"/>
      <c r="CC86" s="329"/>
      <c r="CD86" s="329"/>
      <c r="CE86" s="329"/>
      <c r="CF86" s="329"/>
      <c r="CG86" s="329"/>
      <c r="CH86" s="329"/>
      <c r="CI86" s="329"/>
      <c r="CJ86" s="329"/>
      <c r="CK86" s="329"/>
      <c r="CL86" s="329"/>
      <c r="CM86" s="329"/>
      <c r="CN86" s="329"/>
      <c r="CO86" s="329"/>
      <c r="CP86" s="329"/>
      <c r="CQ86" s="329"/>
      <c r="CR86" s="329"/>
      <c r="CS86" s="329"/>
      <c r="CT86" s="329"/>
      <c r="CU86" s="329"/>
      <c r="CV86" s="329"/>
      <c r="CW86" s="329"/>
      <c r="CX86" s="329"/>
      <c r="CY86" s="329"/>
      <c r="CZ86" s="329"/>
      <c r="DA86" s="329"/>
      <c r="DB86" s="329"/>
      <c r="DC86" s="329">
        <f>'109-клёцки'!C23</f>
        <v>8.9999999999999993E-3</v>
      </c>
      <c r="DD86" s="329"/>
      <c r="DE86" s="329"/>
      <c r="DF86" s="329"/>
      <c r="DG86" s="329"/>
      <c r="DH86" s="329"/>
      <c r="DI86" s="329"/>
      <c r="DJ86" s="329"/>
      <c r="DK86" s="329"/>
      <c r="DL86" s="329"/>
      <c r="DM86" s="329"/>
      <c r="DN86" s="329"/>
      <c r="DO86" s="329"/>
      <c r="DP86" s="329"/>
      <c r="DQ86" s="329"/>
      <c r="DR86" s="329"/>
      <c r="DS86" s="329"/>
      <c r="DT86" s="329"/>
      <c r="DU86" s="329"/>
      <c r="DV86" s="329"/>
      <c r="DW86" s="329"/>
      <c r="DX86" s="330"/>
      <c r="DY86" s="330"/>
      <c r="DZ86" s="330"/>
      <c r="EA86" s="330"/>
      <c r="EB86" s="330"/>
      <c r="EC86" s="330"/>
      <c r="ED86" s="330"/>
      <c r="EE86" s="330"/>
      <c r="EF86" s="330"/>
      <c r="EG86" s="330"/>
      <c r="EH86" s="330"/>
      <c r="EI86" s="330"/>
      <c r="EJ86" s="330"/>
      <c r="EK86" s="330"/>
      <c r="EL86" s="330"/>
      <c r="EM86" s="330"/>
      <c r="EN86" s="330"/>
      <c r="EO86" s="330"/>
      <c r="EP86" s="330"/>
      <c r="EQ86" s="330"/>
      <c r="ER86" s="330"/>
      <c r="ES86" s="330"/>
      <c r="ET86" s="330"/>
      <c r="EU86" s="330"/>
      <c r="EV86" s="330"/>
      <c r="EW86" s="330"/>
      <c r="EX86" s="330"/>
      <c r="EY86" s="1032">
        <f t="shared" si="0"/>
        <v>0.93620000000000003</v>
      </c>
      <c r="EZ86" s="616"/>
      <c r="FA86" s="616"/>
      <c r="FB86" s="616"/>
      <c r="FC86" s="616"/>
      <c r="FD86" s="616"/>
      <c r="FE86" s="616"/>
      <c r="FF86" s="616"/>
      <c r="FG86" s="616"/>
      <c r="FH86" s="616"/>
      <c r="FI86" s="616"/>
      <c r="FJ86" s="616"/>
    </row>
    <row r="87" spans="1:166" ht="14.7" customHeight="1" x14ac:dyDescent="0.25">
      <c r="A87" s="421">
        <v>83</v>
      </c>
      <c r="B87" s="183" t="str">
        <f>'111-суп макарон'!A9</f>
        <v>Суп с макаронными изделиями на бульоне из птицы</v>
      </c>
      <c r="C87" s="419">
        <f>'111-суп макарон'!C32</f>
        <v>250</v>
      </c>
      <c r="D87" s="1209">
        <f>9.54/1000*C87</f>
        <v>2.39</v>
      </c>
      <c r="E87" s="1209">
        <f>20.31/1000*C87</f>
        <v>5.08</v>
      </c>
      <c r="F87" s="1209">
        <f>51.98/1000*C87</f>
        <v>13</v>
      </c>
      <c r="G87" s="1210">
        <f>468/1000*C87</f>
        <v>117</v>
      </c>
      <c r="H87" s="419">
        <f>'111-суп макарон'!J7</f>
        <v>111</v>
      </c>
      <c r="I87" s="483">
        <f>'111-суп макарон'!F34</f>
        <v>5.01</v>
      </c>
      <c r="J87" s="330"/>
      <c r="K87" s="330"/>
      <c r="L87" s="330"/>
      <c r="M87" s="330"/>
      <c r="N87" s="330"/>
      <c r="O87" s="330"/>
      <c r="P87" s="330"/>
      <c r="Q87" s="330"/>
      <c r="R87" s="330"/>
      <c r="S87" s="330"/>
      <c r="T87" s="330"/>
      <c r="U87" s="330"/>
      <c r="V87" s="330"/>
      <c r="W87" s="330"/>
      <c r="X87" s="330"/>
      <c r="Y87" s="330">
        <f>'111-суп макарон'!C27/4</f>
        <v>5.0000000000000001E-3</v>
      </c>
      <c r="Z87" s="330"/>
      <c r="AA87" s="330"/>
      <c r="AB87" s="330"/>
      <c r="AC87" s="330"/>
      <c r="AD87" s="330"/>
      <c r="AE87" s="330"/>
      <c r="AF87" s="330"/>
      <c r="AG87" s="330"/>
      <c r="AH87" s="330"/>
      <c r="AI87" s="330"/>
      <c r="AJ87" s="330"/>
      <c r="AK87" s="330">
        <f>'111-суп макарон'!C21/4</f>
        <v>1.2E-2</v>
      </c>
      <c r="AL87" s="330"/>
      <c r="AM87" s="330"/>
      <c r="AN87" s="330"/>
      <c r="AO87" s="330"/>
      <c r="AP87" s="330"/>
      <c r="AQ87" s="330">
        <f>'111-суп макарон'!C20/4</f>
        <v>1.2500000000000001E-2</v>
      </c>
      <c r="AR87" s="330"/>
      <c r="AS87" s="330"/>
      <c r="AT87" s="330"/>
      <c r="AU87" s="330">
        <f>'111-суп макарон'!C28/4</f>
        <v>2E-3</v>
      </c>
      <c r="AV87" s="330"/>
      <c r="AW87" s="330"/>
      <c r="AX87" s="330"/>
      <c r="AY87" s="330"/>
      <c r="AZ87" s="330"/>
      <c r="BA87" s="330"/>
      <c r="BB87" s="330"/>
      <c r="BC87" s="330"/>
      <c r="BD87" s="330"/>
      <c r="BE87" s="330"/>
      <c r="BF87" s="330"/>
      <c r="BG87" s="330"/>
      <c r="BH87" s="330"/>
      <c r="BI87" s="330"/>
      <c r="BJ87" s="330"/>
      <c r="BK87" s="330"/>
      <c r="BL87" s="330"/>
      <c r="BM87" s="330"/>
      <c r="BN87" s="330"/>
      <c r="BO87" s="330"/>
      <c r="BP87" s="330"/>
      <c r="BQ87" s="330"/>
      <c r="BR87" s="330"/>
      <c r="BS87" s="330"/>
      <c r="BT87" s="330"/>
      <c r="BU87" s="330"/>
      <c r="BV87" s="330"/>
      <c r="BW87" s="330"/>
      <c r="BX87" s="330"/>
      <c r="BY87" s="330"/>
      <c r="BZ87" s="330"/>
      <c r="CA87" s="330"/>
      <c r="CB87" s="330"/>
      <c r="CC87" s="330"/>
      <c r="CD87" s="330"/>
      <c r="CE87" s="330"/>
      <c r="CF87" s="330">
        <f>'111-суп макарон'!C22/4</f>
        <v>5.0000000000000001E-3</v>
      </c>
      <c r="CG87" s="330">
        <f>'111-суп макарон'!C19/4</f>
        <v>0.02</v>
      </c>
      <c r="CH87" s="330"/>
      <c r="CI87" s="330"/>
      <c r="CJ87" s="330"/>
      <c r="CK87" s="330"/>
      <c r="CL87" s="330"/>
      <c r="CM87" s="330"/>
      <c r="CN87" s="330"/>
      <c r="CO87" s="330"/>
      <c r="CP87" s="330"/>
      <c r="CQ87" s="330"/>
      <c r="CR87" s="330"/>
      <c r="CS87" s="330">
        <f>'111-суп макарон'!C25/4</f>
        <v>1.0000000000000001E-5</v>
      </c>
      <c r="CT87" s="330"/>
      <c r="CU87" s="330"/>
      <c r="CV87" s="330"/>
      <c r="CW87" s="330"/>
      <c r="CX87" s="330"/>
      <c r="CY87" s="330"/>
      <c r="CZ87" s="330"/>
      <c r="DA87" s="330"/>
      <c r="DB87" s="330"/>
      <c r="DC87" s="330">
        <f>'111-суп макарон'!C26/4</f>
        <v>2.5000000000000001E-3</v>
      </c>
      <c r="DD87" s="330"/>
      <c r="DE87" s="330"/>
      <c r="DF87" s="330">
        <f>'111-суп макарон'!C23/4</f>
        <v>1.5E-3</v>
      </c>
      <c r="DG87" s="330"/>
      <c r="DH87" s="330"/>
      <c r="DI87" s="330"/>
      <c r="DJ87" s="330"/>
      <c r="DK87" s="330"/>
      <c r="DL87" s="330"/>
      <c r="DM87" s="330"/>
      <c r="DN87" s="330"/>
      <c r="DO87" s="330"/>
      <c r="DP87" s="330"/>
      <c r="DQ87" s="330"/>
      <c r="DR87" s="330"/>
      <c r="DS87" s="330"/>
      <c r="DT87" s="330"/>
      <c r="DU87" s="330"/>
      <c r="DV87" s="330"/>
      <c r="DW87" s="330"/>
      <c r="DX87" s="330"/>
      <c r="DY87" s="330"/>
      <c r="DZ87" s="330"/>
      <c r="EA87" s="330"/>
      <c r="EB87" s="330"/>
      <c r="EC87" s="330"/>
      <c r="ED87" s="330"/>
      <c r="EE87" s="330"/>
      <c r="EF87" s="330"/>
      <c r="EG87" s="330"/>
      <c r="EH87" s="330"/>
      <c r="EI87" s="330"/>
      <c r="EJ87" s="330"/>
      <c r="EK87" s="330"/>
      <c r="EL87" s="330"/>
      <c r="EM87" s="330"/>
      <c r="EN87" s="330"/>
      <c r="EO87" s="330"/>
      <c r="EP87" s="330"/>
      <c r="EQ87" s="330"/>
      <c r="ER87" s="330"/>
      <c r="ES87" s="330"/>
      <c r="ET87" s="330"/>
      <c r="EU87" s="330"/>
      <c r="EV87" s="330"/>
      <c r="EW87" s="330"/>
      <c r="EX87" s="330"/>
      <c r="EY87" s="1032">
        <f t="shared" si="0"/>
        <v>6.0510000000000001E-2</v>
      </c>
    </row>
    <row r="88" spans="1:166" ht="14.7" customHeight="1" x14ac:dyDescent="0.25">
      <c r="A88" s="421">
        <v>84</v>
      </c>
      <c r="B88" s="183" t="str">
        <f>'113-суп-лапша'!A9</f>
        <v>Суп-лапша домашняя</v>
      </c>
      <c r="C88" s="419">
        <f>'113-суп-лапша'!C29</f>
        <v>250</v>
      </c>
      <c r="D88" s="1209">
        <f>10.26/1000*C88</f>
        <v>2.57</v>
      </c>
      <c r="E88" s="1209">
        <f>22.17/1000*C88</f>
        <v>5.54</v>
      </c>
      <c r="F88" s="1209">
        <f>46.48/1000*C88</f>
        <v>11.62</v>
      </c>
      <c r="G88" s="1210">
        <f>463/1000*C88</f>
        <v>116</v>
      </c>
      <c r="H88" s="419">
        <f>'113-суп-лапша'!J7</f>
        <v>113</v>
      </c>
      <c r="I88" s="483">
        <f>'113-суп-лапша'!F31</f>
        <v>4.5199999999999996</v>
      </c>
      <c r="J88" s="330"/>
      <c r="K88" s="330"/>
      <c r="L88" s="330"/>
      <c r="M88" s="330"/>
      <c r="N88" s="330"/>
      <c r="O88" s="330"/>
      <c r="P88" s="330"/>
      <c r="Q88" s="330"/>
      <c r="R88" s="330"/>
      <c r="S88" s="330"/>
      <c r="T88" s="330"/>
      <c r="U88" s="330"/>
      <c r="V88" s="330"/>
      <c r="W88" s="330"/>
      <c r="X88" s="330"/>
      <c r="Y88" s="330">
        <f>'113-суп-лапша'!C24/4</f>
        <v>5.0000000000000001E-3</v>
      </c>
      <c r="Z88" s="330"/>
      <c r="AA88" s="330"/>
      <c r="AB88" s="330"/>
      <c r="AC88" s="330"/>
      <c r="AD88" s="330"/>
      <c r="AE88" s="330">
        <f>'114-лапша'!C21/1000*'113-суп-лапша'!C19*1000/4</f>
        <v>5.7499999999999999E-3</v>
      </c>
      <c r="AF88" s="330"/>
      <c r="AG88" s="330"/>
      <c r="AH88" s="330"/>
      <c r="AI88" s="330"/>
      <c r="AJ88" s="330"/>
      <c r="AK88" s="330">
        <f>'113-суп-лапша'!C21/4</f>
        <v>1.2E-2</v>
      </c>
      <c r="AL88" s="330"/>
      <c r="AM88" s="330"/>
      <c r="AN88" s="330"/>
      <c r="AO88" s="330"/>
      <c r="AP88" s="330"/>
      <c r="AQ88" s="330"/>
      <c r="AR88" s="330"/>
      <c r="AS88" s="330"/>
      <c r="AT88" s="330"/>
      <c r="AU88" s="330">
        <f>'113-суп-лапша'!C25/4</f>
        <v>2E-3</v>
      </c>
      <c r="AV88" s="330"/>
      <c r="AW88" s="330"/>
      <c r="AX88" s="330"/>
      <c r="AY88" s="330"/>
      <c r="AZ88" s="330"/>
      <c r="BA88" s="330"/>
      <c r="BB88" s="330"/>
      <c r="BC88" s="330"/>
      <c r="BD88" s="330"/>
      <c r="BE88" s="330"/>
      <c r="BF88" s="330"/>
      <c r="BG88" s="330"/>
      <c r="BH88" s="330"/>
      <c r="BI88" s="330"/>
      <c r="BJ88" s="330"/>
      <c r="BK88" s="330"/>
      <c r="BL88" s="330"/>
      <c r="BM88" s="330"/>
      <c r="BN88" s="330"/>
      <c r="BO88" s="330"/>
      <c r="BP88" s="330"/>
      <c r="BQ88" s="330"/>
      <c r="BR88" s="330"/>
      <c r="BS88" s="330">
        <f>('114-лапша'!C19+'114-лапша'!C20)/1000*'113-суп-лапша'!C19*1000/4</f>
        <v>1.8700000000000001E-2</v>
      </c>
      <c r="BT88" s="330"/>
      <c r="BU88" s="330"/>
      <c r="BV88" s="330"/>
      <c r="BW88" s="330"/>
      <c r="BX88" s="330"/>
      <c r="BY88" s="330"/>
      <c r="BZ88" s="330"/>
      <c r="CA88" s="330"/>
      <c r="CB88" s="330"/>
      <c r="CC88" s="330"/>
      <c r="CD88" s="330"/>
      <c r="CE88" s="330"/>
      <c r="CF88" s="330">
        <f>'113-суп-лапша'!C22/4</f>
        <v>5.0000000000000001E-3</v>
      </c>
      <c r="CG88" s="330"/>
      <c r="CH88" s="330"/>
      <c r="CI88" s="330"/>
      <c r="CJ88" s="330"/>
      <c r="CK88" s="330"/>
      <c r="CL88" s="330"/>
      <c r="CM88" s="330"/>
      <c r="CN88" s="330"/>
      <c r="CO88" s="330"/>
      <c r="CP88" s="330"/>
      <c r="CQ88" s="330"/>
      <c r="CR88" s="330"/>
      <c r="CS88" s="330"/>
      <c r="CT88" s="330"/>
      <c r="CU88" s="330"/>
      <c r="CV88" s="330"/>
      <c r="CW88" s="330"/>
      <c r="CX88" s="330"/>
      <c r="CY88" s="330"/>
      <c r="CZ88" s="330"/>
      <c r="DA88" s="330"/>
      <c r="DB88" s="330"/>
      <c r="DC88" s="330">
        <f>'114-лапша'!C23/1000*'113-суп-лапша'!C19*1000/4</f>
        <v>1.2E-4</v>
      </c>
      <c r="DD88" s="330"/>
      <c r="DE88" s="330"/>
      <c r="DF88" s="330"/>
      <c r="DG88" s="330"/>
      <c r="DH88" s="330"/>
      <c r="DI88" s="330"/>
      <c r="DJ88" s="330"/>
      <c r="DK88" s="330"/>
      <c r="DL88" s="330"/>
      <c r="DM88" s="330"/>
      <c r="DN88" s="330"/>
      <c r="DO88" s="330"/>
      <c r="DP88" s="330"/>
      <c r="DQ88" s="330"/>
      <c r="DR88" s="330"/>
      <c r="DS88" s="330"/>
      <c r="DT88" s="330"/>
      <c r="DU88" s="330"/>
      <c r="DV88" s="330"/>
      <c r="DW88" s="330"/>
      <c r="DX88" s="330"/>
      <c r="DY88" s="330"/>
      <c r="DZ88" s="330"/>
      <c r="EA88" s="330"/>
      <c r="EB88" s="330"/>
      <c r="EC88" s="330"/>
      <c r="ED88" s="330"/>
      <c r="EE88" s="330"/>
      <c r="EF88" s="330"/>
      <c r="EG88" s="330"/>
      <c r="EH88" s="330"/>
      <c r="EI88" s="330"/>
      <c r="EJ88" s="330"/>
      <c r="EK88" s="330"/>
      <c r="EL88" s="330"/>
      <c r="EM88" s="330"/>
      <c r="EN88" s="330"/>
      <c r="EO88" s="330"/>
      <c r="EP88" s="330"/>
      <c r="EQ88" s="330"/>
      <c r="ER88" s="330"/>
      <c r="ES88" s="330"/>
      <c r="ET88" s="330"/>
      <c r="EU88" s="330"/>
      <c r="EV88" s="330"/>
      <c r="EW88" s="330"/>
      <c r="EX88" s="330"/>
      <c r="EY88" s="1032">
        <f t="shared" si="0"/>
        <v>4.8570000000000002E-2</v>
      </c>
    </row>
    <row r="89" spans="1:166" ht="14.7" customHeight="1" x14ac:dyDescent="0.25">
      <c r="A89" s="421">
        <v>85</v>
      </c>
      <c r="B89" s="183" t="str">
        <f>'114-лапша'!A9</f>
        <v>Лапша домашняя</v>
      </c>
      <c r="C89" s="419">
        <f>'114-лапша'!C27</f>
        <v>1000</v>
      </c>
      <c r="D89" s="1209">
        <f>121.7/1000*C89</f>
        <v>121.7</v>
      </c>
      <c r="E89" s="1209">
        <f>38.86/1000*C89</f>
        <v>38.86</v>
      </c>
      <c r="F89" s="1209">
        <f>545.89/1000*C89</f>
        <v>545.89</v>
      </c>
      <c r="G89" s="1210">
        <f>3391/1000*C89</f>
        <v>3391</v>
      </c>
      <c r="H89" s="419">
        <f>'114-лапша'!J7</f>
        <v>114</v>
      </c>
      <c r="I89" s="483">
        <f>'114-лапша'!F29</f>
        <v>77.55</v>
      </c>
      <c r="J89" s="330"/>
      <c r="K89" s="330"/>
      <c r="L89" s="330"/>
      <c r="M89" s="330"/>
      <c r="N89" s="330"/>
      <c r="O89" s="330"/>
      <c r="P89" s="330"/>
      <c r="Q89" s="330"/>
      <c r="R89" s="330"/>
      <c r="S89" s="330"/>
      <c r="T89" s="330"/>
      <c r="U89" s="330"/>
      <c r="V89" s="330"/>
      <c r="W89" s="330"/>
      <c r="X89" s="330"/>
      <c r="Y89" s="330"/>
      <c r="Z89" s="330"/>
      <c r="AA89" s="330"/>
      <c r="AB89" s="330"/>
      <c r="AC89" s="330"/>
      <c r="AD89" s="330"/>
      <c r="AE89" s="330">
        <f>'114-лапша'!C21</f>
        <v>0.28749999999999998</v>
      </c>
      <c r="AF89" s="330"/>
      <c r="AG89" s="330"/>
      <c r="AH89" s="330"/>
      <c r="AI89" s="330"/>
      <c r="AJ89" s="330"/>
      <c r="AK89" s="330"/>
      <c r="AL89" s="330"/>
      <c r="AM89" s="330"/>
      <c r="AN89" s="330"/>
      <c r="AO89" s="330"/>
      <c r="AP89" s="330"/>
      <c r="AQ89" s="330"/>
      <c r="AR89" s="330"/>
      <c r="AS89" s="330"/>
      <c r="AT89" s="330"/>
      <c r="AU89" s="330"/>
      <c r="AV89" s="330"/>
      <c r="AW89" s="330"/>
      <c r="AX89" s="330"/>
      <c r="AY89" s="330"/>
      <c r="AZ89" s="330"/>
      <c r="BA89" s="330"/>
      <c r="BB89" s="330"/>
      <c r="BC89" s="330"/>
      <c r="BD89" s="330"/>
      <c r="BE89" s="330"/>
      <c r="BF89" s="330"/>
      <c r="BG89" s="330"/>
      <c r="BH89" s="330"/>
      <c r="BI89" s="330"/>
      <c r="BJ89" s="330"/>
      <c r="BK89" s="330"/>
      <c r="BL89" s="330"/>
      <c r="BM89" s="330"/>
      <c r="BN89" s="330"/>
      <c r="BO89" s="330"/>
      <c r="BP89" s="330"/>
      <c r="BQ89" s="330"/>
      <c r="BR89" s="330"/>
      <c r="BS89" s="330">
        <f>'114-лапша'!C19+'114-лапша'!C20</f>
        <v>0.93500000000000005</v>
      </c>
      <c r="BT89" s="330"/>
      <c r="BU89" s="330"/>
      <c r="BV89" s="330"/>
      <c r="BW89" s="330"/>
      <c r="BX89" s="330"/>
      <c r="BY89" s="330"/>
      <c r="BZ89" s="330"/>
      <c r="CA89" s="330"/>
      <c r="CB89" s="330"/>
      <c r="CC89" s="330"/>
      <c r="CD89" s="330"/>
      <c r="CE89" s="330"/>
      <c r="CF89" s="330"/>
      <c r="CG89" s="330"/>
      <c r="CH89" s="330"/>
      <c r="CI89" s="330"/>
      <c r="CJ89" s="330"/>
      <c r="CK89" s="330"/>
      <c r="CL89" s="330"/>
      <c r="CM89" s="330"/>
      <c r="CN89" s="330"/>
      <c r="CO89" s="330"/>
      <c r="CP89" s="330"/>
      <c r="CQ89" s="330"/>
      <c r="CR89" s="330"/>
      <c r="CS89" s="330"/>
      <c r="CT89" s="330"/>
      <c r="CU89" s="330"/>
      <c r="CV89" s="330"/>
      <c r="CW89" s="330"/>
      <c r="CX89" s="330"/>
      <c r="CY89" s="330"/>
      <c r="CZ89" s="330"/>
      <c r="DA89" s="330"/>
      <c r="DB89" s="330"/>
      <c r="DC89" s="330">
        <f>'114-лапша'!C23</f>
        <v>6.0000000000000001E-3</v>
      </c>
      <c r="DD89" s="330"/>
      <c r="DE89" s="330"/>
      <c r="DF89" s="330"/>
      <c r="DG89" s="330"/>
      <c r="DH89" s="330"/>
      <c r="DI89" s="330"/>
      <c r="DJ89" s="330"/>
      <c r="DK89" s="330"/>
      <c r="DL89" s="330"/>
      <c r="DM89" s="330"/>
      <c r="DN89" s="330"/>
      <c r="DO89" s="330"/>
      <c r="DP89" s="330"/>
      <c r="DQ89" s="330"/>
      <c r="DR89" s="330"/>
      <c r="DS89" s="330"/>
      <c r="DT89" s="330"/>
      <c r="DU89" s="330"/>
      <c r="DV89" s="330"/>
      <c r="DW89" s="330"/>
      <c r="DX89" s="330"/>
      <c r="DY89" s="330"/>
      <c r="DZ89" s="330"/>
      <c r="EA89" s="330"/>
      <c r="EB89" s="330"/>
      <c r="EC89" s="330"/>
      <c r="ED89" s="330"/>
      <c r="EE89" s="330"/>
      <c r="EF89" s="330"/>
      <c r="EG89" s="330"/>
      <c r="EH89" s="330"/>
      <c r="EI89" s="330"/>
      <c r="EJ89" s="330"/>
      <c r="EK89" s="330"/>
      <c r="EL89" s="330"/>
      <c r="EM89" s="330"/>
      <c r="EN89" s="330"/>
      <c r="EO89" s="330"/>
      <c r="EP89" s="330"/>
      <c r="EQ89" s="330"/>
      <c r="ER89" s="330"/>
      <c r="ES89" s="330"/>
      <c r="ET89" s="330"/>
      <c r="EU89" s="330"/>
      <c r="EV89" s="330"/>
      <c r="EW89" s="330"/>
      <c r="EX89" s="330"/>
      <c r="EY89" s="1032">
        <f t="shared" si="0"/>
        <v>1.2284999999999999</v>
      </c>
    </row>
    <row r="90" spans="1:166" s="595" customFormat="1" ht="14.7" customHeight="1" x14ac:dyDescent="0.25">
      <c r="A90" s="421">
        <v>86</v>
      </c>
      <c r="B90" s="183" t="str">
        <f>'115-суп с рисом'!A9</f>
        <v>Суп с рисом</v>
      </c>
      <c r="C90" s="419">
        <f>'115-суп с рисом'!C31</f>
        <v>250</v>
      </c>
      <c r="D90" s="1209">
        <f t="shared" ref="D90:D95" si="9">2.31/1000*C90</f>
        <v>0.57999999999999996</v>
      </c>
      <c r="E90" s="1209">
        <f t="shared" ref="E90:E95" si="10">19.2/1000*C90</f>
        <v>4.8</v>
      </c>
      <c r="F90" s="1209">
        <f t="shared" ref="F90:F95" si="11">6.89/1000*C90</f>
        <v>1.72</v>
      </c>
      <c r="G90" s="1210">
        <f t="shared" ref="G90:G95" si="12">205/1000*C90</f>
        <v>51</v>
      </c>
      <c r="H90" s="419">
        <f>'115-суп с рисом'!J7</f>
        <v>115</v>
      </c>
      <c r="I90" s="483">
        <f>'115-суп с рисом'!F33</f>
        <v>5.63</v>
      </c>
      <c r="J90" s="330"/>
      <c r="K90" s="330"/>
      <c r="L90" s="330"/>
      <c r="M90" s="330"/>
      <c r="N90" s="330"/>
      <c r="O90" s="330"/>
      <c r="P90" s="330"/>
      <c r="Q90" s="330"/>
      <c r="R90" s="330"/>
      <c r="S90" s="330"/>
      <c r="T90" s="330"/>
      <c r="U90" s="330"/>
      <c r="V90" s="330"/>
      <c r="W90" s="330"/>
      <c r="X90" s="330"/>
      <c r="Y90" s="330">
        <f>'115-суп с рисом'!C26/'115-суп с рисом'!C30*'115-суп с рисом'!C31</f>
        <v>5.0000000000000001E-3</v>
      </c>
      <c r="Z90" s="330"/>
      <c r="AA90" s="330"/>
      <c r="AB90" s="330"/>
      <c r="AC90" s="330"/>
      <c r="AD90" s="330"/>
      <c r="AE90" s="330"/>
      <c r="AF90" s="330"/>
      <c r="AG90" s="330"/>
      <c r="AH90" s="330"/>
      <c r="AI90" s="330"/>
      <c r="AJ90" s="330"/>
      <c r="AK90" s="330">
        <f>'115-суп с рисом'!C21/'115-суп с рисом'!C30*'115-суп с рисом'!C31</f>
        <v>1.2E-2</v>
      </c>
      <c r="AL90" s="330"/>
      <c r="AM90" s="330"/>
      <c r="AN90" s="330"/>
      <c r="AO90" s="330"/>
      <c r="AP90" s="330"/>
      <c r="AQ90" s="330">
        <f>'115-суп с рисом'!C20/'115-суп с рисом'!C30*'115-суп с рисом'!C31</f>
        <v>1.2500000000000001E-2</v>
      </c>
      <c r="AR90" s="330"/>
      <c r="AS90" s="330"/>
      <c r="AT90" s="330"/>
      <c r="AU90" s="330">
        <f>'115-суп с рисом'!C27/'115-суп с рисом'!C30*'115-суп с рисом'!C31</f>
        <v>2E-3</v>
      </c>
      <c r="AV90" s="330"/>
      <c r="AW90" s="330"/>
      <c r="AX90" s="330"/>
      <c r="AY90" s="330"/>
      <c r="AZ90" s="330"/>
      <c r="BA90" s="330"/>
      <c r="BB90" s="330"/>
      <c r="BC90" s="330"/>
      <c r="BD90" s="330"/>
      <c r="BE90" s="330"/>
      <c r="BF90" s="330"/>
      <c r="BG90" s="330"/>
      <c r="BH90" s="330"/>
      <c r="BI90" s="330"/>
      <c r="BJ90" s="330"/>
      <c r="BK90" s="330"/>
      <c r="BL90" s="330"/>
      <c r="BM90" s="330"/>
      <c r="BN90" s="330"/>
      <c r="BO90" s="330"/>
      <c r="BP90" s="330"/>
      <c r="BQ90" s="330"/>
      <c r="BR90" s="330"/>
      <c r="BS90" s="330"/>
      <c r="BT90" s="330"/>
      <c r="BU90" s="330"/>
      <c r="BV90" s="330"/>
      <c r="BW90" s="330"/>
      <c r="BX90" s="330"/>
      <c r="BY90" s="330"/>
      <c r="BZ90" s="330"/>
      <c r="CA90" s="330"/>
      <c r="CB90" s="330">
        <f>'115-суп с рисом'!C19/'115-суп с рисом'!C30*'115-суп с рисом'!C31</f>
        <v>0.02</v>
      </c>
      <c r="CC90" s="330"/>
      <c r="CD90" s="330"/>
      <c r="CE90" s="330"/>
      <c r="CF90" s="330">
        <f>'115-суп с рисом'!C22/'115-суп с рисом'!C30*'115-суп с рисом'!C31</f>
        <v>5.0000000000000001E-3</v>
      </c>
      <c r="CG90" s="330"/>
      <c r="CH90" s="330"/>
      <c r="CI90" s="330"/>
      <c r="CJ90" s="330"/>
      <c r="CK90" s="330"/>
      <c r="CL90" s="330"/>
      <c r="CM90" s="330"/>
      <c r="CN90" s="330"/>
      <c r="CO90" s="330"/>
      <c r="CP90" s="330"/>
      <c r="CQ90" s="330"/>
      <c r="CR90" s="330"/>
      <c r="CS90" s="330">
        <f>'115-суп с рисом'!C24/'115-суп с рисом'!C30*'115-суп с рисом'!C31</f>
        <v>1.0000000000000001E-5</v>
      </c>
      <c r="CT90" s="330"/>
      <c r="CU90" s="330"/>
      <c r="CV90" s="330"/>
      <c r="CW90" s="330"/>
      <c r="CX90" s="330"/>
      <c r="CY90" s="330"/>
      <c r="CZ90" s="330"/>
      <c r="DA90" s="330"/>
      <c r="DB90" s="330"/>
      <c r="DC90" s="330">
        <f>'115-суп с рисом'!C25/'115-суп с рисом'!C30*'115-суп с рисом'!C31</f>
        <v>2.5000000000000001E-3</v>
      </c>
      <c r="DD90" s="330"/>
      <c r="DE90" s="330"/>
      <c r="DF90" s="330"/>
      <c r="DG90" s="330"/>
      <c r="DH90" s="330"/>
      <c r="DI90" s="330"/>
      <c r="DJ90" s="330"/>
      <c r="DK90" s="330"/>
      <c r="DL90" s="330"/>
      <c r="DM90" s="330"/>
      <c r="DN90" s="330"/>
      <c r="DO90" s="330"/>
      <c r="DP90" s="330"/>
      <c r="DQ90" s="330"/>
      <c r="DR90" s="330"/>
      <c r="DS90" s="330"/>
      <c r="DT90" s="330"/>
      <c r="DU90" s="330"/>
      <c r="DV90" s="330"/>
      <c r="DW90" s="330"/>
      <c r="DX90" s="330"/>
      <c r="DY90" s="330"/>
      <c r="DZ90" s="330"/>
      <c r="EA90" s="330"/>
      <c r="EB90" s="330"/>
      <c r="EC90" s="330"/>
      <c r="ED90" s="330"/>
      <c r="EE90" s="330"/>
      <c r="EF90" s="330"/>
      <c r="EG90" s="330"/>
      <c r="EH90" s="330"/>
      <c r="EI90" s="330"/>
      <c r="EJ90" s="330"/>
      <c r="EK90" s="330"/>
      <c r="EL90" s="330"/>
      <c r="EM90" s="330"/>
      <c r="EN90" s="330"/>
      <c r="EO90" s="330"/>
      <c r="EP90" s="330"/>
      <c r="EQ90" s="330"/>
      <c r="ER90" s="330"/>
      <c r="ES90" s="330"/>
      <c r="ET90" s="330"/>
      <c r="EU90" s="330"/>
      <c r="EV90" s="330"/>
      <c r="EW90" s="330"/>
      <c r="EX90" s="330"/>
      <c r="EY90" s="1032">
        <f t="shared" si="0"/>
        <v>5.901E-2</v>
      </c>
      <c r="EZ90" s="616"/>
      <c r="FA90" s="616"/>
      <c r="FB90" s="616"/>
      <c r="FC90" s="616"/>
      <c r="FD90" s="616"/>
      <c r="FE90" s="616"/>
      <c r="FF90" s="616"/>
      <c r="FG90" s="616"/>
      <c r="FH90" s="616"/>
      <c r="FI90" s="616"/>
      <c r="FJ90" s="616"/>
    </row>
    <row r="91" spans="1:166" s="595" customFormat="1" ht="14.7" customHeight="1" x14ac:dyDescent="0.25">
      <c r="A91" s="421">
        <v>87</v>
      </c>
      <c r="B91" s="183" t="str">
        <f>'115-суп с перловкой'!A9</f>
        <v>Суп с крупой перловой</v>
      </c>
      <c r="C91" s="419">
        <f>'115-суп с перловкой'!C31</f>
        <v>250</v>
      </c>
      <c r="D91" s="1209">
        <f t="shared" si="9"/>
        <v>0.57999999999999996</v>
      </c>
      <c r="E91" s="1209">
        <f t="shared" si="10"/>
        <v>4.8</v>
      </c>
      <c r="F91" s="1209">
        <f t="shared" si="11"/>
        <v>1.72</v>
      </c>
      <c r="G91" s="1210">
        <f t="shared" si="12"/>
        <v>51</v>
      </c>
      <c r="H91" s="419">
        <f>'115-суп с перловкой'!J7</f>
        <v>115</v>
      </c>
      <c r="I91" s="483">
        <f>'115-суп с перловкой'!F33</f>
        <v>4.47</v>
      </c>
      <c r="J91" s="330"/>
      <c r="K91" s="330"/>
      <c r="L91" s="330"/>
      <c r="M91" s="330"/>
      <c r="N91" s="330"/>
      <c r="O91" s="330"/>
      <c r="P91" s="330"/>
      <c r="Q91" s="330"/>
      <c r="R91" s="330"/>
      <c r="S91" s="330"/>
      <c r="T91" s="330"/>
      <c r="U91" s="330"/>
      <c r="V91" s="330"/>
      <c r="W91" s="330"/>
      <c r="X91" s="330"/>
      <c r="Y91" s="330">
        <f>'115-суп с перловкой'!C26/'115-суп с перловкой'!C30*'115-суп с перловкой'!C31</f>
        <v>5.0000000000000001E-3</v>
      </c>
      <c r="Z91" s="330"/>
      <c r="AA91" s="330"/>
      <c r="AB91" s="330"/>
      <c r="AC91" s="330"/>
      <c r="AD91" s="330"/>
      <c r="AE91" s="330"/>
      <c r="AF91" s="330"/>
      <c r="AG91" s="330"/>
      <c r="AH91" s="330"/>
      <c r="AI91" s="330"/>
      <c r="AJ91" s="330"/>
      <c r="AK91" s="330">
        <f>'115-суп с перловкой'!C21/'115-суп с перловкой'!C30*'115-суп с перловкой'!C31</f>
        <v>1.2E-2</v>
      </c>
      <c r="AL91" s="330"/>
      <c r="AM91" s="330"/>
      <c r="AN91" s="330"/>
      <c r="AO91" s="330"/>
      <c r="AP91" s="330"/>
      <c r="AQ91" s="330">
        <f>'115-суп с перловкой'!C20/'115-суп с перловкой'!C30*'115-суп с перловкой'!C31</f>
        <v>1.2500000000000001E-2</v>
      </c>
      <c r="AR91" s="330"/>
      <c r="AS91" s="330"/>
      <c r="AT91" s="330"/>
      <c r="AU91" s="330">
        <f>'115-суп с перловкой'!C27/'115-суп с перловкой'!C30*'115-суп с перловкой'!C31</f>
        <v>2E-3</v>
      </c>
      <c r="AV91" s="330"/>
      <c r="AW91" s="330"/>
      <c r="AX91" s="330"/>
      <c r="AY91" s="330"/>
      <c r="AZ91" s="330"/>
      <c r="BA91" s="330"/>
      <c r="BB91" s="330"/>
      <c r="BC91" s="330"/>
      <c r="BD91" s="330"/>
      <c r="BE91" s="330"/>
      <c r="BF91" s="330"/>
      <c r="BG91" s="330"/>
      <c r="BH91" s="330"/>
      <c r="BI91" s="330"/>
      <c r="BJ91" s="330"/>
      <c r="BK91" s="330"/>
      <c r="BL91" s="330"/>
      <c r="BM91" s="330"/>
      <c r="BN91" s="330"/>
      <c r="BO91" s="330"/>
      <c r="BP91" s="330"/>
      <c r="BQ91" s="330"/>
      <c r="BR91" s="330"/>
      <c r="BS91" s="330"/>
      <c r="BT91" s="330"/>
      <c r="BU91" s="330"/>
      <c r="BV91" s="330">
        <f>'115-суп с перловкой'!C19/'115-суп с перловкой'!C30*'115-суп с перловкой'!C31</f>
        <v>0.02</v>
      </c>
      <c r="BW91" s="330"/>
      <c r="BX91" s="330"/>
      <c r="BY91" s="330"/>
      <c r="BZ91" s="330"/>
      <c r="CA91" s="330"/>
      <c r="CB91" s="330"/>
      <c r="CC91" s="330"/>
      <c r="CD91" s="330"/>
      <c r="CE91" s="330"/>
      <c r="CF91" s="330">
        <f>'115-суп с перловкой'!C22/'115-суп с перловкой'!C30*'115-суп с перловкой'!C31</f>
        <v>5.0000000000000001E-3</v>
      </c>
      <c r="CG91" s="330"/>
      <c r="CH91" s="330"/>
      <c r="CI91" s="330"/>
      <c r="CJ91" s="330"/>
      <c r="CK91" s="330"/>
      <c r="CL91" s="330"/>
      <c r="CM91" s="330"/>
      <c r="CN91" s="330"/>
      <c r="CO91" s="330"/>
      <c r="CP91" s="330"/>
      <c r="CQ91" s="330"/>
      <c r="CR91" s="330"/>
      <c r="CS91" s="330">
        <f>'115-суп с перловкой'!C24/'115-суп с перловкой'!C30*'115-суп с перловкой'!C31</f>
        <v>1.0000000000000001E-5</v>
      </c>
      <c r="CT91" s="330"/>
      <c r="CU91" s="330"/>
      <c r="CV91" s="330"/>
      <c r="CW91" s="330"/>
      <c r="CX91" s="330"/>
      <c r="CY91" s="330"/>
      <c r="CZ91" s="330"/>
      <c r="DA91" s="330"/>
      <c r="DB91" s="330"/>
      <c r="DC91" s="330">
        <f>'115-суп с перловкой'!C25/'115-суп с перловкой'!C30*'115-суп с перловкой'!C31</f>
        <v>2.5000000000000001E-3</v>
      </c>
      <c r="DD91" s="330"/>
      <c r="DE91" s="330"/>
      <c r="DF91" s="330"/>
      <c r="DG91" s="330"/>
      <c r="DH91" s="330"/>
      <c r="DI91" s="330"/>
      <c r="DJ91" s="330"/>
      <c r="DK91" s="330"/>
      <c r="DL91" s="330"/>
      <c r="DM91" s="330"/>
      <c r="DN91" s="330"/>
      <c r="DO91" s="330"/>
      <c r="DP91" s="330"/>
      <c r="DQ91" s="330"/>
      <c r="DR91" s="330"/>
      <c r="DS91" s="330"/>
      <c r="DT91" s="330"/>
      <c r="DU91" s="330"/>
      <c r="DV91" s="330"/>
      <c r="DW91" s="330"/>
      <c r="DX91" s="330"/>
      <c r="DY91" s="330"/>
      <c r="DZ91" s="330"/>
      <c r="EA91" s="330"/>
      <c r="EB91" s="330"/>
      <c r="EC91" s="330"/>
      <c r="ED91" s="330"/>
      <c r="EE91" s="330"/>
      <c r="EF91" s="330"/>
      <c r="EG91" s="330"/>
      <c r="EH91" s="330"/>
      <c r="EI91" s="330"/>
      <c r="EJ91" s="330"/>
      <c r="EK91" s="330"/>
      <c r="EL91" s="330"/>
      <c r="EM91" s="330"/>
      <c r="EN91" s="330"/>
      <c r="EO91" s="330"/>
      <c r="EP91" s="330"/>
      <c r="EQ91" s="330"/>
      <c r="ER91" s="330"/>
      <c r="ES91" s="330"/>
      <c r="ET91" s="330"/>
      <c r="EU91" s="330"/>
      <c r="EV91" s="330"/>
      <c r="EW91" s="330"/>
      <c r="EX91" s="330"/>
      <c r="EY91" s="1032">
        <f t="shared" si="0"/>
        <v>5.901E-2</v>
      </c>
      <c r="EZ91" s="616"/>
      <c r="FA91" s="616"/>
      <c r="FB91" s="616"/>
      <c r="FC91" s="616"/>
      <c r="FD91" s="616"/>
      <c r="FE91" s="616"/>
      <c r="FF91" s="616"/>
      <c r="FG91" s="616"/>
      <c r="FH91" s="616"/>
      <c r="FI91" s="616"/>
      <c r="FJ91" s="616"/>
    </row>
    <row r="92" spans="1:166" s="595" customFormat="1" ht="14.7" customHeight="1" x14ac:dyDescent="0.25">
      <c r="A92" s="421">
        <v>88</v>
      </c>
      <c r="B92" s="183" t="str">
        <f>'115-суп с овсянкой 80'!A9</f>
        <v>Суп с крупой овсяной</v>
      </c>
      <c r="C92" s="419">
        <f>'115-суп с овсянкой 80'!C31</f>
        <v>250</v>
      </c>
      <c r="D92" s="1209">
        <f t="shared" si="9"/>
        <v>0.57999999999999996</v>
      </c>
      <c r="E92" s="1209">
        <f t="shared" si="10"/>
        <v>4.8</v>
      </c>
      <c r="F92" s="1209">
        <f t="shared" si="11"/>
        <v>1.72</v>
      </c>
      <c r="G92" s="1210">
        <f t="shared" si="12"/>
        <v>51</v>
      </c>
      <c r="H92" s="419">
        <f>'115-суп с овсянкой 80'!J7</f>
        <v>115</v>
      </c>
      <c r="I92" s="483">
        <f>'115-суп с овсянкой 80'!F33</f>
        <v>4.54</v>
      </c>
      <c r="J92" s="330"/>
      <c r="K92" s="330"/>
      <c r="L92" s="330"/>
      <c r="M92" s="330"/>
      <c r="N92" s="330"/>
      <c r="O92" s="330"/>
      <c r="P92" s="330"/>
      <c r="Q92" s="330"/>
      <c r="R92" s="330"/>
      <c r="S92" s="330"/>
      <c r="T92" s="330"/>
      <c r="U92" s="330"/>
      <c r="V92" s="330"/>
      <c r="W92" s="330"/>
      <c r="X92" s="330"/>
      <c r="Y92" s="330">
        <f>'115-суп с овсянкой 80'!C26/'115-суп с овсянкой 80'!C30*'115-суп с овсянкой 80'!C31</f>
        <v>5.0000000000000001E-3</v>
      </c>
      <c r="Z92" s="330"/>
      <c r="AA92" s="330"/>
      <c r="AB92" s="330"/>
      <c r="AC92" s="330"/>
      <c r="AD92" s="330"/>
      <c r="AE92" s="330"/>
      <c r="AF92" s="330"/>
      <c r="AG92" s="330"/>
      <c r="AH92" s="330"/>
      <c r="AI92" s="330"/>
      <c r="AJ92" s="330"/>
      <c r="AK92" s="330">
        <f>'115-суп с овсянкой 80'!C21/'115-суп с овсянкой 80'!C30*'115-суп с овсянкой 80'!C31</f>
        <v>1.2E-2</v>
      </c>
      <c r="AL92" s="330"/>
      <c r="AM92" s="330"/>
      <c r="AN92" s="330"/>
      <c r="AO92" s="330"/>
      <c r="AP92" s="330"/>
      <c r="AQ92" s="330">
        <f>'115-суп с овсянкой 80'!C20/'115-суп с овсянкой 80'!C30*'115-суп с овсянкой 80'!C31</f>
        <v>1.2500000000000001E-2</v>
      </c>
      <c r="AR92" s="330"/>
      <c r="AS92" s="330"/>
      <c r="AT92" s="330"/>
      <c r="AU92" s="330">
        <f>'115-суп с овсянкой 80'!C27/'115-суп с овсянкой 80'!C30*'115-суп с овсянкой 80'!C31</f>
        <v>2E-3</v>
      </c>
      <c r="AV92" s="330"/>
      <c r="AW92" s="330"/>
      <c r="AX92" s="330"/>
      <c r="AY92" s="330"/>
      <c r="AZ92" s="330"/>
      <c r="BA92" s="330"/>
      <c r="BB92" s="330"/>
      <c r="BC92" s="330"/>
      <c r="BD92" s="330"/>
      <c r="BE92" s="330"/>
      <c r="BF92" s="330"/>
      <c r="BG92" s="330"/>
      <c r="BH92" s="330"/>
      <c r="BI92" s="330"/>
      <c r="BJ92" s="330"/>
      <c r="BK92" s="330"/>
      <c r="BL92" s="330"/>
      <c r="BM92" s="330"/>
      <c r="BN92" s="330"/>
      <c r="BO92" s="330"/>
      <c r="BP92" s="330"/>
      <c r="BQ92" s="330"/>
      <c r="BR92" s="330"/>
      <c r="BS92" s="330"/>
      <c r="BT92" s="330"/>
      <c r="BU92" s="330"/>
      <c r="BV92" s="330"/>
      <c r="BW92" s="330">
        <f>'115-суп с овсянкой 80'!C19/'115-суп с овсянкой 80'!C30*'115-суп с овсянкой 80'!C31</f>
        <v>2.5000000000000001E-2</v>
      </c>
      <c r="BX92" s="330"/>
      <c r="BY92" s="330"/>
      <c r="BZ92" s="330"/>
      <c r="CA92" s="330"/>
      <c r="CB92" s="330"/>
      <c r="CC92" s="330"/>
      <c r="CD92" s="330"/>
      <c r="CE92" s="330"/>
      <c r="CF92" s="330">
        <f>'115-суп с овсянкой 80'!C22/'115-суп с овсянкой 80'!C30*'115-суп с овсянкой 80'!C31</f>
        <v>5.0000000000000001E-3</v>
      </c>
      <c r="CG92" s="330"/>
      <c r="CH92" s="330"/>
      <c r="CI92" s="330"/>
      <c r="CJ92" s="330"/>
      <c r="CK92" s="330"/>
      <c r="CL92" s="330"/>
      <c r="CM92" s="330"/>
      <c r="CN92" s="330"/>
      <c r="CO92" s="330"/>
      <c r="CP92" s="330"/>
      <c r="CQ92" s="330"/>
      <c r="CR92" s="330"/>
      <c r="CS92" s="330">
        <f>'115-суп с овсянкой 80'!C24/'115-суп с овсянкой 80'!C30*'115-суп с овсянкой 80'!C31</f>
        <v>1.0000000000000001E-5</v>
      </c>
      <c r="CT92" s="330"/>
      <c r="CU92" s="330"/>
      <c r="CV92" s="330"/>
      <c r="CW92" s="330"/>
      <c r="CX92" s="330"/>
      <c r="CY92" s="330"/>
      <c r="CZ92" s="330"/>
      <c r="DA92" s="330"/>
      <c r="DB92" s="330"/>
      <c r="DC92" s="330">
        <f>'115-суп с овсянкой 80'!C25/'115-суп с овсянкой 80'!C30*'115-суп с овсянкой 80'!C31</f>
        <v>2.5000000000000001E-3</v>
      </c>
      <c r="DD92" s="330"/>
      <c r="DE92" s="330"/>
      <c r="DF92" s="330"/>
      <c r="DG92" s="330"/>
      <c r="DH92" s="330"/>
      <c r="DI92" s="330"/>
      <c r="DJ92" s="330"/>
      <c r="DK92" s="330"/>
      <c r="DL92" s="330"/>
      <c r="DM92" s="330"/>
      <c r="DN92" s="330"/>
      <c r="DO92" s="330"/>
      <c r="DP92" s="330"/>
      <c r="DQ92" s="330"/>
      <c r="DR92" s="330"/>
      <c r="DS92" s="330"/>
      <c r="DT92" s="330"/>
      <c r="DU92" s="330"/>
      <c r="DV92" s="330"/>
      <c r="DW92" s="330"/>
      <c r="DX92" s="330"/>
      <c r="DY92" s="330"/>
      <c r="DZ92" s="330"/>
      <c r="EA92" s="330"/>
      <c r="EB92" s="330"/>
      <c r="EC92" s="330"/>
      <c r="ED92" s="330"/>
      <c r="EE92" s="330"/>
      <c r="EF92" s="330"/>
      <c r="EG92" s="330"/>
      <c r="EH92" s="330"/>
      <c r="EI92" s="330"/>
      <c r="EJ92" s="330"/>
      <c r="EK92" s="330"/>
      <c r="EL92" s="330"/>
      <c r="EM92" s="330"/>
      <c r="EN92" s="330"/>
      <c r="EO92" s="330"/>
      <c r="EP92" s="330"/>
      <c r="EQ92" s="330"/>
      <c r="ER92" s="330"/>
      <c r="ES92" s="330"/>
      <c r="ET92" s="330"/>
      <c r="EU92" s="330"/>
      <c r="EV92" s="330"/>
      <c r="EW92" s="330"/>
      <c r="EX92" s="330"/>
      <c r="EY92" s="1032">
        <f t="shared" si="0"/>
        <v>6.4009999999999997E-2</v>
      </c>
      <c r="EZ92" s="616"/>
      <c r="FA92" s="616"/>
      <c r="FB92" s="616"/>
      <c r="FC92" s="616"/>
      <c r="FD92" s="616"/>
      <c r="FE92" s="616"/>
      <c r="FF92" s="616"/>
      <c r="FG92" s="616"/>
      <c r="FH92" s="616"/>
      <c r="FI92" s="616"/>
      <c r="FJ92" s="616"/>
    </row>
    <row r="93" spans="1:166" s="595" customFormat="1" ht="14.7" customHeight="1" x14ac:dyDescent="0.25">
      <c r="A93" s="421">
        <v>89</v>
      </c>
      <c r="B93" s="183" t="str">
        <f>'115-суп с ячневой'!A9</f>
        <v>Суп с крупой ячневой</v>
      </c>
      <c r="C93" s="419">
        <f>'115-суп с ячневой'!C31</f>
        <v>250</v>
      </c>
      <c r="D93" s="1209">
        <f t="shared" si="9"/>
        <v>0.57999999999999996</v>
      </c>
      <c r="E93" s="1209">
        <f t="shared" si="10"/>
        <v>4.8</v>
      </c>
      <c r="F93" s="1209">
        <f t="shared" si="11"/>
        <v>1.72</v>
      </c>
      <c r="G93" s="1210">
        <f t="shared" si="12"/>
        <v>51</v>
      </c>
      <c r="H93" s="419">
        <f>'115-суп с ячневой'!J7</f>
        <v>115</v>
      </c>
      <c r="I93" s="483">
        <f>'115-суп с ячневой'!F33</f>
        <v>4.54</v>
      </c>
      <c r="J93" s="330"/>
      <c r="K93" s="330"/>
      <c r="L93" s="330"/>
      <c r="M93" s="330"/>
      <c r="N93" s="330"/>
      <c r="O93" s="330"/>
      <c r="P93" s="330"/>
      <c r="Q93" s="330"/>
      <c r="R93" s="330"/>
      <c r="S93" s="330"/>
      <c r="T93" s="330"/>
      <c r="U93" s="330"/>
      <c r="V93" s="330"/>
      <c r="W93" s="330"/>
      <c r="X93" s="330"/>
      <c r="Y93" s="330">
        <f>'115-суп с ячневой'!C26/'115-суп с ячневой'!C30*'115-суп с ячневой'!C31</f>
        <v>5.0000000000000001E-3</v>
      </c>
      <c r="Z93" s="330"/>
      <c r="AA93" s="330"/>
      <c r="AB93" s="330"/>
      <c r="AC93" s="330"/>
      <c r="AD93" s="330"/>
      <c r="AE93" s="330"/>
      <c r="AF93" s="330"/>
      <c r="AG93" s="330"/>
      <c r="AH93" s="330"/>
      <c r="AI93" s="330"/>
      <c r="AJ93" s="330"/>
      <c r="AK93" s="330">
        <f>'115-суп с ячневой'!C21/'115-суп с ячневой'!C30*'115-суп с ячневой'!C31</f>
        <v>1.2E-2</v>
      </c>
      <c r="AL93" s="330"/>
      <c r="AM93" s="330"/>
      <c r="AN93" s="330"/>
      <c r="AO93" s="330"/>
      <c r="AP93" s="330"/>
      <c r="AQ93" s="330">
        <f>'115-суп с ячневой'!C20/'115-суп с ячневой'!C30*'115-суп с ячневой'!C31</f>
        <v>1.2500000000000001E-2</v>
      </c>
      <c r="AR93" s="330"/>
      <c r="AS93" s="330"/>
      <c r="AT93" s="330"/>
      <c r="AU93" s="330">
        <f>'115-суп с ячневой'!C27/'115-суп с ячневой'!C30*'115-суп с ячневой'!C31</f>
        <v>2E-3</v>
      </c>
      <c r="AV93" s="330"/>
      <c r="AW93" s="330"/>
      <c r="AX93" s="330"/>
      <c r="AY93" s="330"/>
      <c r="AZ93" s="330"/>
      <c r="BA93" s="330"/>
      <c r="BB93" s="330"/>
      <c r="BC93" s="330"/>
      <c r="BD93" s="330"/>
      <c r="BE93" s="330"/>
      <c r="BF93" s="330"/>
      <c r="BG93" s="330"/>
      <c r="BH93" s="330"/>
      <c r="BI93" s="330"/>
      <c r="BJ93" s="330"/>
      <c r="BK93" s="330"/>
      <c r="BL93" s="330"/>
      <c r="BM93" s="330"/>
      <c r="BN93" s="330"/>
      <c r="BO93" s="330"/>
      <c r="BP93" s="330"/>
      <c r="BQ93" s="330"/>
      <c r="BR93" s="330"/>
      <c r="BS93" s="330"/>
      <c r="BT93" s="330"/>
      <c r="BU93" s="330"/>
      <c r="BV93" s="330"/>
      <c r="BW93" s="330"/>
      <c r="BX93" s="330">
        <f>'115-суп с ячневой'!C19/'115-суп с ячневой'!C30*'115-суп с ячневой'!C31</f>
        <v>2.5000000000000001E-2</v>
      </c>
      <c r="BY93" s="330"/>
      <c r="BZ93" s="330"/>
      <c r="CA93" s="330"/>
      <c r="CB93" s="330"/>
      <c r="CC93" s="330"/>
      <c r="CD93" s="330"/>
      <c r="CE93" s="330"/>
      <c r="CF93" s="330">
        <f>'115-суп с ячневой'!C22/'115-суп с ячневой'!C30*'115-суп с ячневой'!C31</f>
        <v>5.0000000000000001E-3</v>
      </c>
      <c r="CG93" s="330"/>
      <c r="CH93" s="330"/>
      <c r="CI93" s="330"/>
      <c r="CJ93" s="330"/>
      <c r="CK93" s="330"/>
      <c r="CL93" s="330"/>
      <c r="CM93" s="330"/>
      <c r="CN93" s="330"/>
      <c r="CO93" s="330"/>
      <c r="CP93" s="330"/>
      <c r="CQ93" s="330"/>
      <c r="CR93" s="330"/>
      <c r="CS93" s="330">
        <f>'115-суп с ячневой'!C24/'115-суп с ячневой'!C30*'115-суп с ячневой'!C31</f>
        <v>1.0000000000000001E-5</v>
      </c>
      <c r="CT93" s="330"/>
      <c r="CU93" s="330"/>
      <c r="CV93" s="330"/>
      <c r="CW93" s="330"/>
      <c r="CX93" s="330"/>
      <c r="CY93" s="330"/>
      <c r="CZ93" s="330"/>
      <c r="DA93" s="330"/>
      <c r="DB93" s="330"/>
      <c r="DC93" s="330">
        <f>'115-суп с ячневой'!C25/'115-суп с ячневой'!C30*'115-суп с ячневой'!C31</f>
        <v>2.5000000000000001E-3</v>
      </c>
      <c r="DD93" s="330"/>
      <c r="DE93" s="330"/>
      <c r="DF93" s="330"/>
      <c r="DG93" s="330"/>
      <c r="DH93" s="330"/>
      <c r="DI93" s="330"/>
      <c r="DJ93" s="330"/>
      <c r="DK93" s="330"/>
      <c r="DL93" s="330"/>
      <c r="DM93" s="330"/>
      <c r="DN93" s="330"/>
      <c r="DO93" s="330"/>
      <c r="DP93" s="330"/>
      <c r="DQ93" s="330"/>
      <c r="DR93" s="330"/>
      <c r="DS93" s="330"/>
      <c r="DT93" s="330"/>
      <c r="DU93" s="330"/>
      <c r="DV93" s="330"/>
      <c r="DW93" s="330"/>
      <c r="DX93" s="330"/>
      <c r="DY93" s="330"/>
      <c r="DZ93" s="330"/>
      <c r="EA93" s="330"/>
      <c r="EB93" s="330"/>
      <c r="EC93" s="330"/>
      <c r="ED93" s="330"/>
      <c r="EE93" s="330"/>
      <c r="EF93" s="330"/>
      <c r="EG93" s="330"/>
      <c r="EH93" s="330"/>
      <c r="EI93" s="330"/>
      <c r="EJ93" s="330"/>
      <c r="EK93" s="330"/>
      <c r="EL93" s="330"/>
      <c r="EM93" s="330"/>
      <c r="EN93" s="330"/>
      <c r="EO93" s="330"/>
      <c r="EP93" s="330"/>
      <c r="EQ93" s="330"/>
      <c r="ER93" s="330"/>
      <c r="ES93" s="330"/>
      <c r="ET93" s="330"/>
      <c r="EU93" s="330"/>
      <c r="EV93" s="330"/>
      <c r="EW93" s="330"/>
      <c r="EX93" s="330"/>
      <c r="EY93" s="1032">
        <f t="shared" si="0"/>
        <v>6.4009999999999997E-2</v>
      </c>
      <c r="EZ93" s="616"/>
      <c r="FA93" s="616"/>
      <c r="FB93" s="616"/>
      <c r="FC93" s="616"/>
      <c r="FD93" s="616"/>
      <c r="FE93" s="616"/>
      <c r="FF93" s="616"/>
      <c r="FG93" s="616"/>
      <c r="FH93" s="616"/>
      <c r="FI93" s="616"/>
      <c r="FJ93" s="616"/>
    </row>
    <row r="94" spans="1:166" s="595" customFormat="1" ht="14.7" customHeight="1" x14ac:dyDescent="0.25">
      <c r="A94" s="421">
        <v>90</v>
      </c>
      <c r="B94" s="183" t="str">
        <f>'115-суп с пшеничной'!A9</f>
        <v>Суп с крупой пшеничной</v>
      </c>
      <c r="C94" s="419">
        <f>'115-суп с пшеничной'!C31</f>
        <v>250</v>
      </c>
      <c r="D94" s="1209">
        <f t="shared" si="9"/>
        <v>0.57999999999999996</v>
      </c>
      <c r="E94" s="1209">
        <f t="shared" si="10"/>
        <v>4.8</v>
      </c>
      <c r="F94" s="1209">
        <f t="shared" si="11"/>
        <v>1.72</v>
      </c>
      <c r="G94" s="1210">
        <f t="shared" si="12"/>
        <v>51</v>
      </c>
      <c r="H94" s="419">
        <f>'115-суп с пшеничной'!J7</f>
        <v>115</v>
      </c>
      <c r="I94" s="483">
        <f>'115-суп с пшеничной'!F33</f>
        <v>4.54</v>
      </c>
      <c r="J94" s="330"/>
      <c r="K94" s="330"/>
      <c r="L94" s="330"/>
      <c r="M94" s="330"/>
      <c r="N94" s="330"/>
      <c r="O94" s="330"/>
      <c r="P94" s="330"/>
      <c r="Q94" s="330"/>
      <c r="R94" s="330"/>
      <c r="S94" s="330"/>
      <c r="T94" s="330"/>
      <c r="U94" s="330"/>
      <c r="V94" s="330"/>
      <c r="W94" s="330"/>
      <c r="X94" s="330"/>
      <c r="Y94" s="330">
        <f>'115-суп с пшеничной'!C26/'115-суп с пшеничной'!C30*'115-суп с пшеничной'!C31</f>
        <v>5.0000000000000001E-3</v>
      </c>
      <c r="Z94" s="330"/>
      <c r="AA94" s="330"/>
      <c r="AB94" s="330"/>
      <c r="AC94" s="330"/>
      <c r="AD94" s="330"/>
      <c r="AE94" s="330"/>
      <c r="AF94" s="330"/>
      <c r="AG94" s="330"/>
      <c r="AH94" s="330"/>
      <c r="AI94" s="330"/>
      <c r="AJ94" s="330"/>
      <c r="AK94" s="330">
        <f>'115-суп с пшеничной'!C21/'115-суп с пшеничной'!C30*'115-суп с пшеничной'!C31</f>
        <v>1.2E-2</v>
      </c>
      <c r="AL94" s="330"/>
      <c r="AM94" s="330"/>
      <c r="AN94" s="330"/>
      <c r="AO94" s="330"/>
      <c r="AP94" s="330"/>
      <c r="AQ94" s="330">
        <f>'115-суп с пшеничной'!C20/'115-суп с пшеничной'!C30*'115-суп с пшеничной'!C31</f>
        <v>1.2500000000000001E-2</v>
      </c>
      <c r="AR94" s="330"/>
      <c r="AS94" s="330"/>
      <c r="AT94" s="330"/>
      <c r="AU94" s="330">
        <f>'115-суп с пшеничной'!C27/'115-суп с пшеничной'!C30*'115-суп с пшеничной'!C31</f>
        <v>2E-3</v>
      </c>
      <c r="AV94" s="330"/>
      <c r="AW94" s="330"/>
      <c r="AX94" s="330"/>
      <c r="AY94" s="330"/>
      <c r="AZ94" s="330"/>
      <c r="BA94" s="330"/>
      <c r="BB94" s="330"/>
      <c r="BC94" s="330"/>
      <c r="BD94" s="330"/>
      <c r="BE94" s="330"/>
      <c r="BF94" s="330"/>
      <c r="BG94" s="330"/>
      <c r="BH94" s="330"/>
      <c r="BI94" s="330"/>
      <c r="BJ94" s="330"/>
      <c r="BK94" s="330"/>
      <c r="BL94" s="330"/>
      <c r="BM94" s="330"/>
      <c r="BN94" s="330"/>
      <c r="BO94" s="330"/>
      <c r="BP94" s="330"/>
      <c r="BQ94" s="330"/>
      <c r="BR94" s="330"/>
      <c r="BS94" s="330"/>
      <c r="BT94" s="330"/>
      <c r="BU94" s="330"/>
      <c r="BV94" s="330"/>
      <c r="BW94" s="330"/>
      <c r="BX94" s="330"/>
      <c r="BY94" s="330">
        <f>'115-суп с пшеничной'!C19/'115-суп с пшеничной'!C30*'115-суп с пшеничной'!C31</f>
        <v>2.5000000000000001E-2</v>
      </c>
      <c r="BZ94" s="330"/>
      <c r="CA94" s="330"/>
      <c r="CB94" s="330"/>
      <c r="CC94" s="330"/>
      <c r="CD94" s="330"/>
      <c r="CE94" s="330"/>
      <c r="CF94" s="330">
        <f>'115-суп с пшеничной'!C22/'115-суп с пшеничной'!C30*'115-суп с пшеничной'!C31</f>
        <v>5.0000000000000001E-3</v>
      </c>
      <c r="CG94" s="330"/>
      <c r="CH94" s="330"/>
      <c r="CI94" s="330"/>
      <c r="CJ94" s="330"/>
      <c r="CK94" s="330"/>
      <c r="CL94" s="330"/>
      <c r="CM94" s="330"/>
      <c r="CN94" s="330"/>
      <c r="CO94" s="330"/>
      <c r="CP94" s="330"/>
      <c r="CQ94" s="330"/>
      <c r="CR94" s="330"/>
      <c r="CS94" s="330">
        <f>'115-суп с пшеничной'!C24/'115-суп с пшеничной'!C30*'115-суп с пшеничной'!C31</f>
        <v>1.0000000000000001E-5</v>
      </c>
      <c r="CT94" s="330"/>
      <c r="CU94" s="330"/>
      <c r="CV94" s="330"/>
      <c r="CW94" s="330"/>
      <c r="CX94" s="330"/>
      <c r="CY94" s="330"/>
      <c r="CZ94" s="330"/>
      <c r="DA94" s="330"/>
      <c r="DB94" s="330"/>
      <c r="DC94" s="330">
        <f>'115-суп с пшеничной'!C25/'115-суп с пшеничной'!C30*'115-суп с пшеничной'!C31</f>
        <v>2.5000000000000001E-3</v>
      </c>
      <c r="DD94" s="330"/>
      <c r="DE94" s="330"/>
      <c r="DF94" s="330"/>
      <c r="DG94" s="330"/>
      <c r="DH94" s="330"/>
      <c r="DI94" s="330"/>
      <c r="DJ94" s="330"/>
      <c r="DK94" s="330"/>
      <c r="DL94" s="330"/>
      <c r="DM94" s="330"/>
      <c r="DN94" s="330"/>
      <c r="DO94" s="330"/>
      <c r="DP94" s="330"/>
      <c r="DQ94" s="330"/>
      <c r="DR94" s="330"/>
      <c r="DS94" s="330"/>
      <c r="DT94" s="330"/>
      <c r="DU94" s="330"/>
      <c r="DV94" s="330"/>
      <c r="DW94" s="330"/>
      <c r="DX94" s="330"/>
      <c r="DY94" s="330"/>
      <c r="DZ94" s="330"/>
      <c r="EA94" s="330"/>
      <c r="EB94" s="330"/>
      <c r="EC94" s="330"/>
      <c r="ED94" s="330"/>
      <c r="EE94" s="330"/>
      <c r="EF94" s="330"/>
      <c r="EG94" s="330"/>
      <c r="EH94" s="330"/>
      <c r="EI94" s="330"/>
      <c r="EJ94" s="330"/>
      <c r="EK94" s="330"/>
      <c r="EL94" s="330"/>
      <c r="EM94" s="330"/>
      <c r="EN94" s="330"/>
      <c r="EO94" s="330"/>
      <c r="EP94" s="330"/>
      <c r="EQ94" s="330"/>
      <c r="ER94" s="330"/>
      <c r="ES94" s="330"/>
      <c r="ET94" s="330"/>
      <c r="EU94" s="330"/>
      <c r="EV94" s="330"/>
      <c r="EW94" s="330"/>
      <c r="EX94" s="330"/>
      <c r="EY94" s="1032">
        <f t="shared" si="0"/>
        <v>6.4009999999999997E-2</v>
      </c>
      <c r="EZ94" s="616"/>
      <c r="FA94" s="616"/>
      <c r="FB94" s="616"/>
      <c r="FC94" s="616"/>
      <c r="FD94" s="616"/>
      <c r="FE94" s="616"/>
      <c r="FF94" s="616"/>
      <c r="FG94" s="616"/>
      <c r="FH94" s="616"/>
      <c r="FI94" s="616"/>
      <c r="FJ94" s="616"/>
    </row>
    <row r="95" spans="1:166" s="595" customFormat="1" ht="14.7" customHeight="1" x14ac:dyDescent="0.25">
      <c r="A95" s="421">
        <v>91</v>
      </c>
      <c r="B95" s="183" t="str">
        <f>'115-суп с пшено'!A9</f>
        <v>Суп с пшеном</v>
      </c>
      <c r="C95" s="419">
        <f>'115-суп с пшено'!C31</f>
        <v>250</v>
      </c>
      <c r="D95" s="1209">
        <f t="shared" si="9"/>
        <v>0.57999999999999996</v>
      </c>
      <c r="E95" s="1209">
        <f t="shared" si="10"/>
        <v>4.8</v>
      </c>
      <c r="F95" s="1209">
        <f t="shared" si="11"/>
        <v>1.72</v>
      </c>
      <c r="G95" s="1210">
        <f t="shared" si="12"/>
        <v>51</v>
      </c>
      <c r="H95" s="419">
        <f>'115-суп с пшено'!J7</f>
        <v>115</v>
      </c>
      <c r="I95" s="483">
        <f>'115-суп с пшено'!F33</f>
        <v>5.17</v>
      </c>
      <c r="J95" s="330"/>
      <c r="K95" s="330"/>
      <c r="L95" s="330"/>
      <c r="M95" s="330"/>
      <c r="N95" s="330"/>
      <c r="O95" s="330"/>
      <c r="P95" s="330"/>
      <c r="Q95" s="330"/>
      <c r="R95" s="330"/>
      <c r="S95" s="330"/>
      <c r="T95" s="330"/>
      <c r="U95" s="330"/>
      <c r="V95" s="330"/>
      <c r="W95" s="330"/>
      <c r="X95" s="330"/>
      <c r="Y95" s="330">
        <f>'115-суп с пшено'!C26/'115-суп с пшено'!C30*'115-суп с пшено'!C31</f>
        <v>5.0000000000000001E-3</v>
      </c>
      <c r="Z95" s="330"/>
      <c r="AA95" s="330"/>
      <c r="AB95" s="330"/>
      <c r="AC95" s="330"/>
      <c r="AD95" s="330"/>
      <c r="AE95" s="330"/>
      <c r="AF95" s="330"/>
      <c r="AG95" s="330"/>
      <c r="AH95" s="330"/>
      <c r="AI95" s="330"/>
      <c r="AJ95" s="330"/>
      <c r="AK95" s="330">
        <f>'115-суп с пшено'!C21/'115-суп с пшено'!C30*'115-суп с пшено'!C31</f>
        <v>1.2E-2</v>
      </c>
      <c r="AL95" s="330"/>
      <c r="AM95" s="330"/>
      <c r="AN95" s="330"/>
      <c r="AO95" s="330"/>
      <c r="AP95" s="330"/>
      <c r="AQ95" s="330">
        <f>'115-суп с пшено'!C20/'115-суп с пшено'!C30*'115-суп с пшено'!C31</f>
        <v>1.2500000000000001E-2</v>
      </c>
      <c r="AR95" s="330"/>
      <c r="AS95" s="330"/>
      <c r="AT95" s="330"/>
      <c r="AU95" s="330">
        <f>'115-суп с пшено'!C27/'115-суп с пшено'!C30*'115-суп с пшено'!C31</f>
        <v>2E-3</v>
      </c>
      <c r="AV95" s="330"/>
      <c r="AW95" s="330"/>
      <c r="AX95" s="330"/>
      <c r="AY95" s="330"/>
      <c r="AZ95" s="330"/>
      <c r="BA95" s="330"/>
      <c r="BB95" s="330"/>
      <c r="BC95" s="330"/>
      <c r="BD95" s="330"/>
      <c r="BE95" s="330"/>
      <c r="BF95" s="330"/>
      <c r="BG95" s="330"/>
      <c r="BH95" s="330"/>
      <c r="BI95" s="330"/>
      <c r="BJ95" s="330"/>
      <c r="BK95" s="330"/>
      <c r="BL95" s="330"/>
      <c r="BM95" s="330"/>
      <c r="BN95" s="330"/>
      <c r="BO95" s="330"/>
      <c r="BP95" s="330"/>
      <c r="BQ95" s="330"/>
      <c r="BR95" s="330"/>
      <c r="BS95" s="330"/>
      <c r="BT95" s="330"/>
      <c r="BU95" s="330"/>
      <c r="BV95" s="330"/>
      <c r="BW95" s="330"/>
      <c r="BX95" s="330"/>
      <c r="BY95" s="330"/>
      <c r="BZ95" s="330"/>
      <c r="CA95" s="330">
        <f>'115-суп с пшено'!C19/'115-суп с пшено'!C30*'115-суп с пшено'!C31</f>
        <v>2.5000000000000001E-2</v>
      </c>
      <c r="CB95" s="330"/>
      <c r="CC95" s="330"/>
      <c r="CD95" s="330"/>
      <c r="CE95" s="330"/>
      <c r="CF95" s="330">
        <f>'115-суп с пшено'!C22/'115-суп с пшено'!C30*'115-суп с пшено'!C31</f>
        <v>5.0000000000000001E-3</v>
      </c>
      <c r="CG95" s="330"/>
      <c r="CH95" s="330"/>
      <c r="CI95" s="330"/>
      <c r="CJ95" s="330"/>
      <c r="CK95" s="330"/>
      <c r="CL95" s="330"/>
      <c r="CM95" s="330"/>
      <c r="CN95" s="330"/>
      <c r="CO95" s="330"/>
      <c r="CP95" s="330"/>
      <c r="CQ95" s="330"/>
      <c r="CR95" s="330"/>
      <c r="CS95" s="330">
        <f>'115-суп с пшено'!C24/'115-суп с пшено'!C30*'115-суп с пшено'!C31</f>
        <v>1.0000000000000001E-5</v>
      </c>
      <c r="CT95" s="330"/>
      <c r="CU95" s="330"/>
      <c r="CV95" s="330"/>
      <c r="CW95" s="330"/>
      <c r="CX95" s="330"/>
      <c r="CY95" s="330"/>
      <c r="CZ95" s="330"/>
      <c r="DA95" s="330"/>
      <c r="DB95" s="330"/>
      <c r="DC95" s="330">
        <f>'115-суп с пшено'!C25/'115-суп с пшено'!C30*'115-суп с пшено'!C31</f>
        <v>2.5000000000000001E-3</v>
      </c>
      <c r="DD95" s="330"/>
      <c r="DE95" s="330"/>
      <c r="DF95" s="330"/>
      <c r="DG95" s="330"/>
      <c r="DH95" s="330"/>
      <c r="DI95" s="330"/>
      <c r="DJ95" s="330"/>
      <c r="DK95" s="330"/>
      <c r="DL95" s="330"/>
      <c r="DM95" s="330"/>
      <c r="DN95" s="330"/>
      <c r="DO95" s="330"/>
      <c r="DP95" s="330"/>
      <c r="DQ95" s="330"/>
      <c r="DR95" s="330"/>
      <c r="DS95" s="330"/>
      <c r="DT95" s="330"/>
      <c r="DU95" s="330"/>
      <c r="DV95" s="330"/>
      <c r="DW95" s="330"/>
      <c r="DX95" s="330"/>
      <c r="DY95" s="330"/>
      <c r="DZ95" s="330"/>
      <c r="EA95" s="330"/>
      <c r="EB95" s="330"/>
      <c r="EC95" s="330"/>
      <c r="ED95" s="330"/>
      <c r="EE95" s="330"/>
      <c r="EF95" s="330"/>
      <c r="EG95" s="330"/>
      <c r="EH95" s="330"/>
      <c r="EI95" s="330"/>
      <c r="EJ95" s="330"/>
      <c r="EK95" s="330"/>
      <c r="EL95" s="330"/>
      <c r="EM95" s="330"/>
      <c r="EN95" s="330"/>
      <c r="EO95" s="330"/>
      <c r="EP95" s="330"/>
      <c r="EQ95" s="330"/>
      <c r="ER95" s="330"/>
      <c r="ES95" s="330"/>
      <c r="ET95" s="330"/>
      <c r="EU95" s="330"/>
      <c r="EV95" s="330"/>
      <c r="EW95" s="330"/>
      <c r="EX95" s="330"/>
      <c r="EY95" s="1032">
        <f t="shared" si="0"/>
        <v>6.4009999999999997E-2</v>
      </c>
      <c r="EZ95" s="616"/>
      <c r="FA95" s="616"/>
      <c r="FB95" s="616"/>
      <c r="FC95" s="616"/>
      <c r="FD95" s="616"/>
      <c r="FE95" s="616"/>
      <c r="FF95" s="616"/>
      <c r="FG95" s="616"/>
      <c r="FH95" s="616"/>
      <c r="FI95" s="616"/>
      <c r="FJ95" s="616"/>
    </row>
    <row r="96" spans="1:166" ht="14.7" customHeight="1" x14ac:dyDescent="0.25">
      <c r="A96" s="421">
        <v>92</v>
      </c>
      <c r="B96" s="183" t="str">
        <f>'120-суп молочный'!A9</f>
        <v>Суп молочный с макаронными изделиями</v>
      </c>
      <c r="C96" s="419">
        <f>'120-суп молочный'!C27</f>
        <v>250</v>
      </c>
      <c r="D96" s="1209">
        <f>21.88/1000*C96</f>
        <v>5.47</v>
      </c>
      <c r="E96" s="1209">
        <f>18.98/1000*C96</f>
        <v>4.75</v>
      </c>
      <c r="F96" s="1209">
        <f>71.82/1000*C96</f>
        <v>17.96</v>
      </c>
      <c r="G96" s="1210">
        <f>600/1000*C96</f>
        <v>150</v>
      </c>
      <c r="H96" s="419">
        <f>'120-суп молочный'!J7</f>
        <v>120</v>
      </c>
      <c r="I96" s="483">
        <f>'120-суп молочный'!F29</f>
        <v>12.54</v>
      </c>
      <c r="J96" s="330"/>
      <c r="K96" s="330"/>
      <c r="L96" s="330"/>
      <c r="M96" s="330"/>
      <c r="N96" s="330"/>
      <c r="O96" s="330"/>
      <c r="P96" s="330"/>
      <c r="Q96" s="330"/>
      <c r="R96" s="330"/>
      <c r="S96" s="330"/>
      <c r="T96" s="330"/>
      <c r="U96" s="330">
        <f>'120-суп молочный'!C19/'120-суп молочный'!C26*'120-суп молочный'!C27</f>
        <v>0.125</v>
      </c>
      <c r="V96" s="330">
        <f>'120-суп молочный'!C22/'120-суп молочный'!C26*'120-суп молочный'!C27</f>
        <v>2E-3</v>
      </c>
      <c r="W96" s="330"/>
      <c r="X96" s="330"/>
      <c r="Y96" s="330"/>
      <c r="Z96" s="330"/>
      <c r="AA96" s="330"/>
      <c r="AB96" s="330"/>
      <c r="AC96" s="330"/>
      <c r="AD96" s="330"/>
      <c r="AE96" s="330"/>
      <c r="AF96" s="330"/>
      <c r="AG96" s="330"/>
      <c r="AH96" s="330"/>
      <c r="AI96" s="330"/>
      <c r="AJ96" s="330"/>
      <c r="AK96" s="330"/>
      <c r="AL96" s="330"/>
      <c r="AM96" s="330"/>
      <c r="AN96" s="330"/>
      <c r="AO96" s="330"/>
      <c r="AP96" s="330"/>
      <c r="AQ96" s="330"/>
      <c r="AR96" s="330"/>
      <c r="AS96" s="330"/>
      <c r="AT96" s="330"/>
      <c r="AU96" s="330"/>
      <c r="AV96" s="330"/>
      <c r="AW96" s="330"/>
      <c r="AX96" s="330"/>
      <c r="AY96" s="330"/>
      <c r="AZ96" s="330"/>
      <c r="BA96" s="330"/>
      <c r="BB96" s="330"/>
      <c r="BC96" s="330"/>
      <c r="BD96" s="330"/>
      <c r="BE96" s="330"/>
      <c r="BF96" s="330"/>
      <c r="BG96" s="330"/>
      <c r="BH96" s="330"/>
      <c r="BI96" s="330"/>
      <c r="BJ96" s="330"/>
      <c r="BK96" s="330"/>
      <c r="BL96" s="330"/>
      <c r="BM96" s="330"/>
      <c r="BN96" s="330"/>
      <c r="BO96" s="330"/>
      <c r="BP96" s="330"/>
      <c r="BQ96" s="330"/>
      <c r="BR96" s="330"/>
      <c r="BS96" s="330"/>
      <c r="BT96" s="330"/>
      <c r="BU96" s="330"/>
      <c r="BV96" s="330"/>
      <c r="BW96" s="330"/>
      <c r="BX96" s="330"/>
      <c r="BY96" s="330"/>
      <c r="BZ96" s="330"/>
      <c r="CA96" s="330"/>
      <c r="CB96" s="330"/>
      <c r="CC96" s="330"/>
      <c r="CD96" s="330"/>
      <c r="CE96" s="330"/>
      <c r="CF96" s="330"/>
      <c r="CG96" s="330">
        <f>'120-суп молочный'!C21/'120-суп молочный'!C26*'120-суп молочный'!C27</f>
        <v>0.02</v>
      </c>
      <c r="CH96" s="330"/>
      <c r="CI96" s="330"/>
      <c r="CJ96" s="330"/>
      <c r="CK96" s="330"/>
      <c r="CL96" s="330"/>
      <c r="CM96" s="330"/>
      <c r="CN96" s="330"/>
      <c r="CO96" s="330"/>
      <c r="CP96" s="330"/>
      <c r="CQ96" s="330"/>
      <c r="CR96" s="330"/>
      <c r="CS96" s="330"/>
      <c r="CT96" s="330"/>
      <c r="CU96" s="330"/>
      <c r="CV96" s="330"/>
      <c r="CW96" s="330"/>
      <c r="CX96" s="330"/>
      <c r="CY96" s="330"/>
      <c r="CZ96" s="330">
        <f>'120-суп молочный'!C23/'120-суп молочный'!C26*'120-суп молочный'!C27</f>
        <v>1.5E-3</v>
      </c>
      <c r="DA96" s="330"/>
      <c r="DB96" s="330"/>
      <c r="DC96" s="330"/>
      <c r="DD96" s="330"/>
      <c r="DE96" s="330"/>
      <c r="DF96" s="330"/>
      <c r="DG96" s="330"/>
      <c r="DH96" s="330"/>
      <c r="DI96" s="330"/>
      <c r="DJ96" s="330"/>
      <c r="DK96" s="330"/>
      <c r="DL96" s="330"/>
      <c r="DM96" s="330"/>
      <c r="DN96" s="330"/>
      <c r="DO96" s="330"/>
      <c r="DP96" s="330"/>
      <c r="DQ96" s="330"/>
      <c r="DR96" s="330"/>
      <c r="DS96" s="330"/>
      <c r="DT96" s="330"/>
      <c r="DU96" s="330"/>
      <c r="DV96" s="330"/>
      <c r="DW96" s="330"/>
      <c r="DX96" s="330"/>
      <c r="DY96" s="330"/>
      <c r="DZ96" s="330"/>
      <c r="EA96" s="330"/>
      <c r="EB96" s="330"/>
      <c r="EC96" s="330"/>
      <c r="ED96" s="330"/>
      <c r="EE96" s="330"/>
      <c r="EF96" s="330"/>
      <c r="EG96" s="330"/>
      <c r="EH96" s="330"/>
      <c r="EI96" s="330"/>
      <c r="EJ96" s="330"/>
      <c r="EK96" s="330"/>
      <c r="EL96" s="330"/>
      <c r="EM96" s="330"/>
      <c r="EN96" s="330"/>
      <c r="EO96" s="330"/>
      <c r="EP96" s="330"/>
      <c r="EQ96" s="330"/>
      <c r="ER96" s="330"/>
      <c r="ES96" s="330"/>
      <c r="ET96" s="330"/>
      <c r="EU96" s="330"/>
      <c r="EV96" s="330"/>
      <c r="EW96" s="330"/>
      <c r="EX96" s="330"/>
      <c r="EY96" s="1032">
        <f t="shared" si="0"/>
        <v>0.14849999999999999</v>
      </c>
    </row>
    <row r="97" spans="1:166" ht="14.7" customHeight="1" x14ac:dyDescent="0.25">
      <c r="A97" s="421">
        <v>93</v>
      </c>
      <c r="B97" s="183" t="str">
        <f>'121-суп с рисом'!A9</f>
        <v>Суп молочный с рисом</v>
      </c>
      <c r="C97" s="419">
        <f>'121-суп с рисом'!C27</f>
        <v>250</v>
      </c>
      <c r="D97" s="1209">
        <f t="shared" ref="D97:D103" si="13">14.85/1000*C97</f>
        <v>3.71</v>
      </c>
      <c r="E97" s="1209">
        <f t="shared" ref="E97:E103" si="14">17.87/1000*C97</f>
        <v>4.47</v>
      </c>
      <c r="F97" s="1209">
        <f t="shared" ref="F97:F103" si="15">30.72/1000*C97</f>
        <v>7.68</v>
      </c>
      <c r="G97" s="1210">
        <f t="shared" ref="G97:G103" si="16">356/1000*C97</f>
        <v>89</v>
      </c>
      <c r="H97" s="419">
        <f>'121-суп с рисом'!J7</f>
        <v>121</v>
      </c>
      <c r="I97" s="483">
        <f>'121-суп с рисом'!F29</f>
        <v>13.08</v>
      </c>
      <c r="J97" s="330"/>
      <c r="K97" s="330"/>
      <c r="L97" s="330"/>
      <c r="M97" s="330"/>
      <c r="N97" s="330"/>
      <c r="O97" s="330"/>
      <c r="P97" s="330"/>
      <c r="Q97" s="330"/>
      <c r="R97" s="330"/>
      <c r="S97" s="330"/>
      <c r="T97" s="330"/>
      <c r="U97" s="330">
        <f>'121-суп с рисом'!C19/'121-суп с рисом'!C26*'121-суп с рисом'!C27</f>
        <v>0.125</v>
      </c>
      <c r="V97" s="330">
        <f>'121-суп с рисом'!C22/'121-суп с рисом'!C26*'121-суп с рисом'!C27</f>
        <v>2E-3</v>
      </c>
      <c r="W97" s="330"/>
      <c r="X97" s="330"/>
      <c r="Y97" s="330"/>
      <c r="Z97" s="330"/>
      <c r="AA97" s="330"/>
      <c r="AB97" s="330"/>
      <c r="AC97" s="330"/>
      <c r="AD97" s="330"/>
      <c r="AE97" s="330"/>
      <c r="AF97" s="330"/>
      <c r="AG97" s="330"/>
      <c r="AH97" s="330"/>
      <c r="AI97" s="330"/>
      <c r="AJ97" s="330"/>
      <c r="AK97" s="330"/>
      <c r="AL97" s="330"/>
      <c r="AM97" s="330"/>
      <c r="AN97" s="330"/>
      <c r="AO97" s="330"/>
      <c r="AP97" s="330"/>
      <c r="AQ97" s="330"/>
      <c r="AR97" s="330"/>
      <c r="AS97" s="330"/>
      <c r="AT97" s="330"/>
      <c r="AU97" s="330"/>
      <c r="AV97" s="330"/>
      <c r="AW97" s="330"/>
      <c r="AX97" s="330"/>
      <c r="AY97" s="330"/>
      <c r="AZ97" s="330"/>
      <c r="BA97" s="330"/>
      <c r="BB97" s="330"/>
      <c r="BC97" s="330"/>
      <c r="BD97" s="330"/>
      <c r="BE97" s="330"/>
      <c r="BF97" s="330"/>
      <c r="BG97" s="330"/>
      <c r="BH97" s="330"/>
      <c r="BI97" s="330"/>
      <c r="BJ97" s="330"/>
      <c r="BK97" s="330"/>
      <c r="BL97" s="330"/>
      <c r="BM97" s="330"/>
      <c r="BN97" s="330"/>
      <c r="BO97" s="330"/>
      <c r="BP97" s="330"/>
      <c r="BQ97" s="330"/>
      <c r="BR97" s="330"/>
      <c r="BS97" s="330"/>
      <c r="BT97" s="330"/>
      <c r="BU97" s="330"/>
      <c r="BV97" s="330"/>
      <c r="BW97" s="330"/>
      <c r="BX97" s="330"/>
      <c r="BY97" s="330"/>
      <c r="BZ97" s="330"/>
      <c r="CA97" s="330"/>
      <c r="CB97" s="330">
        <f>'121-суп с рисом'!C21/'121-суп с рисом'!C26*'121-суп с рисом'!C27</f>
        <v>1.4999999999999999E-2</v>
      </c>
      <c r="CC97" s="330"/>
      <c r="CD97" s="330"/>
      <c r="CE97" s="330"/>
      <c r="CF97" s="330"/>
      <c r="CG97" s="330"/>
      <c r="CH97" s="330"/>
      <c r="CI97" s="330"/>
      <c r="CJ97" s="330"/>
      <c r="CK97" s="330"/>
      <c r="CL97" s="330"/>
      <c r="CM97" s="330"/>
      <c r="CN97" s="330"/>
      <c r="CO97" s="330"/>
      <c r="CP97" s="330"/>
      <c r="CQ97" s="330"/>
      <c r="CR97" s="330"/>
      <c r="CS97" s="330"/>
      <c r="CT97" s="330"/>
      <c r="CU97" s="330"/>
      <c r="CV97" s="330"/>
      <c r="CW97" s="330"/>
      <c r="CX97" s="330"/>
      <c r="CY97" s="330"/>
      <c r="CZ97" s="330">
        <f>'121-суп с рисом'!C23/'121-суп с рисом'!C26*'121-суп с рисом'!C27</f>
        <v>2.5000000000000001E-3</v>
      </c>
      <c r="DA97" s="330"/>
      <c r="DB97" s="330"/>
      <c r="DC97" s="330"/>
      <c r="DD97" s="330"/>
      <c r="DE97" s="330"/>
      <c r="DF97" s="330"/>
      <c r="DG97" s="330"/>
      <c r="DH97" s="330"/>
      <c r="DI97" s="330"/>
      <c r="DJ97" s="330"/>
      <c r="DK97" s="330"/>
      <c r="DL97" s="330"/>
      <c r="DM97" s="330"/>
      <c r="DN97" s="330"/>
      <c r="DO97" s="330"/>
      <c r="DP97" s="330"/>
      <c r="DQ97" s="330"/>
      <c r="DR97" s="330"/>
      <c r="DS97" s="330"/>
      <c r="DT97" s="330"/>
      <c r="DU97" s="330"/>
      <c r="DV97" s="330"/>
      <c r="DW97" s="330"/>
      <c r="DX97" s="330"/>
      <c r="DY97" s="330"/>
      <c r="DZ97" s="330"/>
      <c r="EA97" s="330"/>
      <c r="EB97" s="330"/>
      <c r="EC97" s="330"/>
      <c r="ED97" s="330"/>
      <c r="EE97" s="330"/>
      <c r="EF97" s="330"/>
      <c r="EG97" s="330"/>
      <c r="EH97" s="330"/>
      <c r="EI97" s="330"/>
      <c r="EJ97" s="330"/>
      <c r="EK97" s="330"/>
      <c r="EL97" s="330"/>
      <c r="EM97" s="330"/>
      <c r="EN97" s="330"/>
      <c r="EO97" s="330"/>
      <c r="EP97" s="330"/>
      <c r="EQ97" s="330"/>
      <c r="ER97" s="330"/>
      <c r="ES97" s="330"/>
      <c r="ET97" s="330"/>
      <c r="EU97" s="330"/>
      <c r="EV97" s="330"/>
      <c r="EW97" s="330"/>
      <c r="EX97" s="330"/>
      <c r="EY97" s="1032">
        <f t="shared" si="0"/>
        <v>0.14449999999999999</v>
      </c>
    </row>
    <row r="98" spans="1:166" ht="14.7" customHeight="1" x14ac:dyDescent="0.25">
      <c r="A98" s="421">
        <v>94</v>
      </c>
      <c r="B98" s="183" t="str">
        <f>'121-суп с гречкой'!A9</f>
        <v>Суп молочный с крупой гречневой</v>
      </c>
      <c r="C98" s="419">
        <f>'121-суп с гречкой'!C27</f>
        <v>250</v>
      </c>
      <c r="D98" s="1209">
        <f t="shared" si="13"/>
        <v>3.71</v>
      </c>
      <c r="E98" s="1209">
        <f t="shared" si="14"/>
        <v>4.47</v>
      </c>
      <c r="F98" s="1209">
        <f t="shared" si="15"/>
        <v>7.68</v>
      </c>
      <c r="G98" s="1210">
        <f t="shared" si="16"/>
        <v>89</v>
      </c>
      <c r="H98" s="419">
        <f>'121-суп с гречкой'!J7</f>
        <v>121</v>
      </c>
      <c r="I98" s="483">
        <f>'121-суп с гречкой'!F29</f>
        <v>13.61</v>
      </c>
      <c r="J98" s="330"/>
      <c r="K98" s="330"/>
      <c r="L98" s="330"/>
      <c r="M98" s="330"/>
      <c r="N98" s="330"/>
      <c r="O98" s="330"/>
      <c r="P98" s="330"/>
      <c r="Q98" s="330"/>
      <c r="R98" s="330"/>
      <c r="S98" s="330"/>
      <c r="T98" s="330"/>
      <c r="U98" s="330">
        <f>'121-суп с гречкой'!C19/'121-суп с гречкой'!C26*'121-суп с гречкой'!C27</f>
        <v>0.125</v>
      </c>
      <c r="V98" s="330">
        <f>'121-суп с гречкой'!C22/'121-суп с гречкой'!C26*'121-суп с гречкой'!C27</f>
        <v>2E-3</v>
      </c>
      <c r="W98" s="330"/>
      <c r="X98" s="330"/>
      <c r="Y98" s="330"/>
      <c r="Z98" s="330"/>
      <c r="AA98" s="330"/>
      <c r="AB98" s="330"/>
      <c r="AC98" s="330"/>
      <c r="AD98" s="330"/>
      <c r="AE98" s="330"/>
      <c r="AF98" s="330"/>
      <c r="AG98" s="330"/>
      <c r="AH98" s="330"/>
      <c r="AI98" s="330"/>
      <c r="AJ98" s="330"/>
      <c r="AK98" s="330"/>
      <c r="AL98" s="330"/>
      <c r="AM98" s="330"/>
      <c r="AN98" s="330"/>
      <c r="AO98" s="330"/>
      <c r="AP98" s="330"/>
      <c r="AQ98" s="330"/>
      <c r="AR98" s="330"/>
      <c r="AS98" s="330"/>
      <c r="AT98" s="330"/>
      <c r="AU98" s="330"/>
      <c r="AV98" s="330"/>
      <c r="AW98" s="330"/>
      <c r="AX98" s="330"/>
      <c r="AY98" s="330"/>
      <c r="AZ98" s="330"/>
      <c r="BA98" s="330"/>
      <c r="BB98" s="330"/>
      <c r="BC98" s="330"/>
      <c r="BD98" s="330"/>
      <c r="BE98" s="330"/>
      <c r="BF98" s="330"/>
      <c r="BG98" s="330"/>
      <c r="BH98" s="330"/>
      <c r="BI98" s="330"/>
      <c r="BJ98" s="330"/>
      <c r="BK98" s="330"/>
      <c r="BL98" s="330"/>
      <c r="BM98" s="330"/>
      <c r="BN98" s="330"/>
      <c r="BO98" s="330"/>
      <c r="BP98" s="330"/>
      <c r="BQ98" s="330"/>
      <c r="BR98" s="330"/>
      <c r="BS98" s="330"/>
      <c r="BT98" s="330">
        <f>'121-суп с гречкой'!C21/'121-суп с гречкой'!C26*'121-суп с гречкой'!C27</f>
        <v>0.02</v>
      </c>
      <c r="BU98" s="330"/>
      <c r="BV98" s="330"/>
      <c r="BW98" s="330"/>
      <c r="BX98" s="330"/>
      <c r="BY98" s="330"/>
      <c r="BZ98" s="330"/>
      <c r="CA98" s="330"/>
      <c r="CB98" s="330"/>
      <c r="CC98" s="330"/>
      <c r="CD98" s="330"/>
      <c r="CE98" s="330"/>
      <c r="CF98" s="330"/>
      <c r="CG98" s="330"/>
      <c r="CH98" s="330"/>
      <c r="CI98" s="330"/>
      <c r="CJ98" s="330"/>
      <c r="CK98" s="330"/>
      <c r="CL98" s="330"/>
      <c r="CM98" s="330"/>
      <c r="CN98" s="330"/>
      <c r="CO98" s="330"/>
      <c r="CP98" s="330"/>
      <c r="CQ98" s="330"/>
      <c r="CR98" s="330"/>
      <c r="CS98" s="330"/>
      <c r="CT98" s="330"/>
      <c r="CU98" s="330"/>
      <c r="CV98" s="330"/>
      <c r="CW98" s="330"/>
      <c r="CX98" s="330"/>
      <c r="CY98" s="330"/>
      <c r="CZ98" s="330">
        <f>'121-суп с гречкой'!C23/'121-суп с гречкой'!C26*'121-суп с гречкой'!C27</f>
        <v>2.5000000000000001E-3</v>
      </c>
      <c r="DA98" s="330"/>
      <c r="DB98" s="330"/>
      <c r="DC98" s="330"/>
      <c r="DD98" s="330"/>
      <c r="DE98" s="330"/>
      <c r="DF98" s="330"/>
      <c r="DG98" s="330"/>
      <c r="DH98" s="330"/>
      <c r="DI98" s="330"/>
      <c r="DJ98" s="330"/>
      <c r="DK98" s="330"/>
      <c r="DL98" s="330"/>
      <c r="DM98" s="330"/>
      <c r="DN98" s="330"/>
      <c r="DO98" s="330"/>
      <c r="DP98" s="330"/>
      <c r="DQ98" s="330"/>
      <c r="DR98" s="330"/>
      <c r="DS98" s="330"/>
      <c r="DT98" s="330"/>
      <c r="DU98" s="330"/>
      <c r="DV98" s="330"/>
      <c r="DW98" s="330"/>
      <c r="DX98" s="330"/>
      <c r="DY98" s="330"/>
      <c r="DZ98" s="330"/>
      <c r="EA98" s="330"/>
      <c r="EB98" s="330"/>
      <c r="EC98" s="330"/>
      <c r="ED98" s="330"/>
      <c r="EE98" s="330"/>
      <c r="EF98" s="330"/>
      <c r="EG98" s="330"/>
      <c r="EH98" s="330"/>
      <c r="EI98" s="330"/>
      <c r="EJ98" s="330"/>
      <c r="EK98" s="330"/>
      <c r="EL98" s="330"/>
      <c r="EM98" s="330"/>
      <c r="EN98" s="330"/>
      <c r="EO98" s="330"/>
      <c r="EP98" s="330"/>
      <c r="EQ98" s="330"/>
      <c r="ER98" s="330"/>
      <c r="ES98" s="330"/>
      <c r="ET98" s="330"/>
      <c r="EU98" s="330"/>
      <c r="EV98" s="330"/>
      <c r="EW98" s="330"/>
      <c r="EX98" s="330"/>
      <c r="EY98" s="1032">
        <f t="shared" si="0"/>
        <v>0.14949999999999999</v>
      </c>
    </row>
    <row r="99" spans="1:166" ht="14.7" customHeight="1" x14ac:dyDescent="0.25">
      <c r="A99" s="421">
        <v>95</v>
      </c>
      <c r="B99" s="183" t="str">
        <f>'121-суп с перловкой'!A9</f>
        <v>Суп молочный с крупой перловой</v>
      </c>
      <c r="C99" s="419">
        <f>'121-суп с перловкой'!C27</f>
        <v>250</v>
      </c>
      <c r="D99" s="1209">
        <f t="shared" si="13"/>
        <v>3.71</v>
      </c>
      <c r="E99" s="1209">
        <f t="shared" si="14"/>
        <v>4.47</v>
      </c>
      <c r="F99" s="1209">
        <f t="shared" si="15"/>
        <v>7.68</v>
      </c>
      <c r="G99" s="1210">
        <f t="shared" si="16"/>
        <v>89</v>
      </c>
      <c r="H99" s="419">
        <f>'121-суп с перловкой'!J7</f>
        <v>121</v>
      </c>
      <c r="I99" s="483">
        <f>'121-суп с перловкой'!F29</f>
        <v>12.41</v>
      </c>
      <c r="J99" s="330"/>
      <c r="K99" s="330"/>
      <c r="L99" s="330"/>
      <c r="M99" s="330"/>
      <c r="N99" s="330"/>
      <c r="O99" s="330"/>
      <c r="P99" s="330"/>
      <c r="Q99" s="330"/>
      <c r="R99" s="330"/>
      <c r="S99" s="330"/>
      <c r="T99" s="330"/>
      <c r="U99" s="330">
        <f>'121-суп с перловкой'!C19/'121-суп с перловкой'!C26*'121-суп с перловкой'!C27</f>
        <v>0.125</v>
      </c>
      <c r="V99" s="330">
        <f>'121-суп с перловкой'!C22/'121-суп с перловкой'!C26*'121-суп с перловкой'!C27</f>
        <v>2E-3</v>
      </c>
      <c r="W99" s="330"/>
      <c r="X99" s="330"/>
      <c r="Y99" s="330"/>
      <c r="Z99" s="330"/>
      <c r="AA99" s="330"/>
      <c r="AB99" s="330"/>
      <c r="AC99" s="330"/>
      <c r="AD99" s="330"/>
      <c r="AE99" s="330"/>
      <c r="AF99" s="330"/>
      <c r="AG99" s="330"/>
      <c r="AH99" s="330"/>
      <c r="AI99" s="330"/>
      <c r="AJ99" s="330"/>
      <c r="AK99" s="330"/>
      <c r="AL99" s="330"/>
      <c r="AM99" s="330"/>
      <c r="AN99" s="330"/>
      <c r="AO99" s="330"/>
      <c r="AP99" s="330"/>
      <c r="AQ99" s="330"/>
      <c r="AR99" s="330"/>
      <c r="AS99" s="330"/>
      <c r="AT99" s="330"/>
      <c r="AU99" s="330"/>
      <c r="AV99" s="330"/>
      <c r="AW99" s="330"/>
      <c r="AX99" s="330"/>
      <c r="AY99" s="330"/>
      <c r="AZ99" s="330"/>
      <c r="BA99" s="330"/>
      <c r="BB99" s="330"/>
      <c r="BC99" s="330"/>
      <c r="BD99" s="330"/>
      <c r="BE99" s="330"/>
      <c r="BF99" s="330"/>
      <c r="BG99" s="330"/>
      <c r="BH99" s="330"/>
      <c r="BI99" s="330"/>
      <c r="BJ99" s="330"/>
      <c r="BK99" s="330"/>
      <c r="BL99" s="330"/>
      <c r="BM99" s="330"/>
      <c r="BN99" s="330"/>
      <c r="BO99" s="330"/>
      <c r="BP99" s="330"/>
      <c r="BQ99" s="330"/>
      <c r="BR99" s="330"/>
      <c r="BS99" s="330"/>
      <c r="BT99" s="330"/>
      <c r="BU99" s="330"/>
      <c r="BV99" s="330">
        <f>'121-суп с перловкой'!C21/'121-суп с перловкой'!C26*'121-суп с перловкой'!C27</f>
        <v>0.02</v>
      </c>
      <c r="BW99" s="330"/>
      <c r="BX99" s="330"/>
      <c r="BY99" s="330"/>
      <c r="BZ99" s="330"/>
      <c r="CA99" s="330"/>
      <c r="CB99" s="330"/>
      <c r="CC99" s="330"/>
      <c r="CD99" s="330"/>
      <c r="CE99" s="330"/>
      <c r="CF99" s="330"/>
      <c r="CG99" s="330"/>
      <c r="CH99" s="330"/>
      <c r="CI99" s="330"/>
      <c r="CJ99" s="330"/>
      <c r="CK99" s="330"/>
      <c r="CL99" s="330"/>
      <c r="CM99" s="330"/>
      <c r="CN99" s="330"/>
      <c r="CO99" s="330"/>
      <c r="CP99" s="330"/>
      <c r="CQ99" s="330"/>
      <c r="CR99" s="330"/>
      <c r="CS99" s="330"/>
      <c r="CT99" s="330"/>
      <c r="CU99" s="330"/>
      <c r="CV99" s="330"/>
      <c r="CW99" s="330"/>
      <c r="CX99" s="330"/>
      <c r="CY99" s="330"/>
      <c r="CZ99" s="330">
        <f>'121-суп с перловкой'!C23/'121-суп с перловкой'!C26*'121-суп с перловкой'!C27</f>
        <v>2.5000000000000001E-3</v>
      </c>
      <c r="DA99" s="330"/>
      <c r="DB99" s="330"/>
      <c r="DC99" s="330"/>
      <c r="DD99" s="330"/>
      <c r="DE99" s="330"/>
      <c r="DF99" s="330"/>
      <c r="DG99" s="330"/>
      <c r="DH99" s="330"/>
      <c r="DI99" s="330"/>
      <c r="DJ99" s="330"/>
      <c r="DK99" s="330"/>
      <c r="DL99" s="330"/>
      <c r="DM99" s="330"/>
      <c r="DN99" s="330"/>
      <c r="DO99" s="330"/>
      <c r="DP99" s="330"/>
      <c r="DQ99" s="330"/>
      <c r="DR99" s="330"/>
      <c r="DS99" s="330"/>
      <c r="DT99" s="330"/>
      <c r="DU99" s="330"/>
      <c r="DV99" s="330"/>
      <c r="DW99" s="330"/>
      <c r="DX99" s="330"/>
      <c r="DY99" s="330"/>
      <c r="DZ99" s="330"/>
      <c r="EA99" s="330"/>
      <c r="EB99" s="330"/>
      <c r="EC99" s="330"/>
      <c r="ED99" s="330"/>
      <c r="EE99" s="330"/>
      <c r="EF99" s="330"/>
      <c r="EG99" s="330"/>
      <c r="EH99" s="330"/>
      <c r="EI99" s="330"/>
      <c r="EJ99" s="330"/>
      <c r="EK99" s="330"/>
      <c r="EL99" s="330"/>
      <c r="EM99" s="330"/>
      <c r="EN99" s="330"/>
      <c r="EO99" s="330"/>
      <c r="EP99" s="330"/>
      <c r="EQ99" s="330"/>
      <c r="ER99" s="330"/>
      <c r="ES99" s="330"/>
      <c r="ET99" s="330"/>
      <c r="EU99" s="330"/>
      <c r="EV99" s="330"/>
      <c r="EW99" s="330"/>
      <c r="EX99" s="330"/>
      <c r="EY99" s="1032">
        <f t="shared" si="0"/>
        <v>0.14949999999999999</v>
      </c>
    </row>
    <row r="100" spans="1:166" s="595" customFormat="1" ht="14.7" customHeight="1" x14ac:dyDescent="0.25">
      <c r="A100" s="421">
        <v>96</v>
      </c>
      <c r="B100" s="183" t="str">
        <f>'121-суп с кукурузной'!A9</f>
        <v>Суп молочный с крупой кукурузной</v>
      </c>
      <c r="C100" s="419">
        <f>'121-суп с кукурузной'!C27</f>
        <v>250</v>
      </c>
      <c r="D100" s="1209">
        <f t="shared" si="13"/>
        <v>3.71</v>
      </c>
      <c r="E100" s="1209">
        <f t="shared" si="14"/>
        <v>4.47</v>
      </c>
      <c r="F100" s="1209">
        <f t="shared" si="15"/>
        <v>7.68</v>
      </c>
      <c r="G100" s="1210">
        <f t="shared" si="16"/>
        <v>89</v>
      </c>
      <c r="H100" s="419">
        <f>'121-суп с кукурузной'!J7</f>
        <v>121</v>
      </c>
      <c r="I100" s="483">
        <f>'121-суп с кукурузной'!F29</f>
        <v>12.15</v>
      </c>
      <c r="J100" s="330"/>
      <c r="K100" s="330"/>
      <c r="L100" s="330"/>
      <c r="M100" s="330"/>
      <c r="N100" s="330"/>
      <c r="O100" s="330"/>
      <c r="P100" s="330"/>
      <c r="Q100" s="330"/>
      <c r="R100" s="330"/>
      <c r="S100" s="330"/>
      <c r="T100" s="330"/>
      <c r="U100" s="330">
        <f>'121-суп с кукурузной'!C19/'121-суп с кукурузной'!C26*'121-суп с кукурузной'!C27</f>
        <v>0.125</v>
      </c>
      <c r="V100" s="330">
        <f>'121-суп с кукурузной'!C22/'121-суп с кукурузной'!C26*'121-суп с кукурузной'!C27</f>
        <v>2E-3</v>
      </c>
      <c r="W100" s="330"/>
      <c r="X100" s="330"/>
      <c r="Y100" s="330"/>
      <c r="Z100" s="330"/>
      <c r="AA100" s="330"/>
      <c r="AB100" s="330"/>
      <c r="AC100" s="330"/>
      <c r="AD100" s="330"/>
      <c r="AE100" s="330"/>
      <c r="AF100" s="330"/>
      <c r="AG100" s="330"/>
      <c r="AH100" s="330"/>
      <c r="AI100" s="330"/>
      <c r="AJ100" s="330"/>
      <c r="AK100" s="330"/>
      <c r="AL100" s="330"/>
      <c r="AM100" s="330"/>
      <c r="AN100" s="330"/>
      <c r="AO100" s="330"/>
      <c r="AP100" s="330"/>
      <c r="AQ100" s="330"/>
      <c r="AR100" s="330"/>
      <c r="AS100" s="330"/>
      <c r="AT100" s="330"/>
      <c r="AU100" s="330"/>
      <c r="AV100" s="330"/>
      <c r="AW100" s="330"/>
      <c r="AX100" s="330"/>
      <c r="AY100" s="330"/>
      <c r="AZ100" s="330"/>
      <c r="BA100" s="330"/>
      <c r="BB100" s="330"/>
      <c r="BC100" s="330"/>
      <c r="BD100" s="330"/>
      <c r="BE100" s="330"/>
      <c r="BF100" s="330"/>
      <c r="BG100" s="330"/>
      <c r="BH100" s="330"/>
      <c r="BI100" s="330"/>
      <c r="BJ100" s="330"/>
      <c r="BK100" s="330"/>
      <c r="BL100" s="330"/>
      <c r="BM100" s="330"/>
      <c r="BN100" s="330"/>
      <c r="BO100" s="330"/>
      <c r="BP100" s="330"/>
      <c r="BQ100" s="330"/>
      <c r="BR100" s="330"/>
      <c r="BS100" s="330"/>
      <c r="BT100" s="330"/>
      <c r="BU100" s="330"/>
      <c r="BV100" s="330"/>
      <c r="BW100" s="330"/>
      <c r="BX100" s="330"/>
      <c r="BY100" s="330"/>
      <c r="BZ100" s="330">
        <f>'121-суп с кукурузной'!C21/'121-суп с кукурузной'!C26*'121-суп с кукурузной'!C27</f>
        <v>1.4999999999999999E-2</v>
      </c>
      <c r="CA100" s="330"/>
      <c r="CB100" s="330"/>
      <c r="CC100" s="330"/>
      <c r="CD100" s="330"/>
      <c r="CE100" s="330"/>
      <c r="CF100" s="330"/>
      <c r="CG100" s="330"/>
      <c r="CH100" s="330"/>
      <c r="CI100" s="330"/>
      <c r="CJ100" s="330"/>
      <c r="CK100" s="330"/>
      <c r="CL100" s="330"/>
      <c r="CM100" s="330"/>
      <c r="CN100" s="330"/>
      <c r="CO100" s="330"/>
      <c r="CP100" s="330"/>
      <c r="CQ100" s="330"/>
      <c r="CR100" s="330"/>
      <c r="CS100" s="330"/>
      <c r="CT100" s="330"/>
      <c r="CU100" s="330"/>
      <c r="CV100" s="330"/>
      <c r="CW100" s="330"/>
      <c r="CX100" s="330"/>
      <c r="CY100" s="330"/>
      <c r="CZ100" s="330">
        <f>'121-суп с кукурузной'!C23/'121-суп с кукурузной'!C26*'121-суп с кукурузной'!C27</f>
        <v>2.5000000000000001E-3</v>
      </c>
      <c r="DA100" s="330"/>
      <c r="DB100" s="330"/>
      <c r="DC100" s="330"/>
      <c r="DD100" s="330"/>
      <c r="DE100" s="330"/>
      <c r="DF100" s="330"/>
      <c r="DG100" s="330"/>
      <c r="DH100" s="330"/>
      <c r="DI100" s="330"/>
      <c r="DJ100" s="330"/>
      <c r="DK100" s="330"/>
      <c r="DL100" s="330"/>
      <c r="DM100" s="330"/>
      <c r="DN100" s="330"/>
      <c r="DO100" s="330"/>
      <c r="DP100" s="330"/>
      <c r="DQ100" s="330"/>
      <c r="DR100" s="330"/>
      <c r="DS100" s="330"/>
      <c r="DT100" s="330"/>
      <c r="DU100" s="330"/>
      <c r="DV100" s="330"/>
      <c r="DW100" s="330"/>
      <c r="DX100" s="330"/>
      <c r="DY100" s="330"/>
      <c r="DZ100" s="330"/>
      <c r="EA100" s="330"/>
      <c r="EB100" s="330"/>
      <c r="EC100" s="330"/>
      <c r="ED100" s="330"/>
      <c r="EE100" s="330"/>
      <c r="EF100" s="330"/>
      <c r="EG100" s="330"/>
      <c r="EH100" s="330"/>
      <c r="EI100" s="330"/>
      <c r="EJ100" s="330"/>
      <c r="EK100" s="330"/>
      <c r="EL100" s="330"/>
      <c r="EM100" s="330"/>
      <c r="EN100" s="330"/>
      <c r="EO100" s="330"/>
      <c r="EP100" s="330"/>
      <c r="EQ100" s="330"/>
      <c r="ER100" s="330"/>
      <c r="ES100" s="330"/>
      <c r="ET100" s="330"/>
      <c r="EU100" s="330"/>
      <c r="EV100" s="330"/>
      <c r="EW100" s="330"/>
      <c r="EX100" s="330"/>
      <c r="EY100" s="1032">
        <f t="shared" si="0"/>
        <v>0.14449999999999999</v>
      </c>
      <c r="EZ100" s="616"/>
      <c r="FA100" s="616"/>
      <c r="FB100" s="616"/>
      <c r="FC100" s="616"/>
      <c r="FD100" s="616"/>
      <c r="FE100" s="616"/>
      <c r="FF100" s="616"/>
      <c r="FG100" s="616"/>
      <c r="FH100" s="616"/>
      <c r="FI100" s="616"/>
      <c r="FJ100" s="616"/>
    </row>
    <row r="101" spans="1:166" s="595" customFormat="1" ht="14.7" customHeight="1" x14ac:dyDescent="0.25">
      <c r="A101" s="421">
        <v>97</v>
      </c>
      <c r="B101" s="183" t="str">
        <f>'121-суп хлопья'!A9</f>
        <v>Суп молочный с хлопьями овсяными "Геркулес"</v>
      </c>
      <c r="C101" s="419">
        <f>'121-суп хлопья'!C27</f>
        <v>250</v>
      </c>
      <c r="D101" s="1209">
        <f t="shared" si="13"/>
        <v>3.71</v>
      </c>
      <c r="E101" s="1209">
        <f t="shared" si="14"/>
        <v>4.47</v>
      </c>
      <c r="F101" s="1209">
        <f t="shared" si="15"/>
        <v>7.68</v>
      </c>
      <c r="G101" s="1210">
        <f t="shared" si="16"/>
        <v>89</v>
      </c>
      <c r="H101" s="419">
        <f>'121-суп хлопья'!J7</f>
        <v>121</v>
      </c>
      <c r="I101" s="483">
        <f>'121-суп хлопья'!F29</f>
        <v>12.59</v>
      </c>
      <c r="J101" s="330"/>
      <c r="K101" s="330"/>
      <c r="L101" s="330"/>
      <c r="M101" s="330"/>
      <c r="N101" s="330"/>
      <c r="O101" s="330"/>
      <c r="P101" s="330"/>
      <c r="Q101" s="330"/>
      <c r="R101" s="330"/>
      <c r="S101" s="330"/>
      <c r="T101" s="330"/>
      <c r="U101" s="330">
        <f>'121-суп хлопья'!C19/'121-суп хлопья'!C26*'121-суп хлопья'!C27</f>
        <v>0.125</v>
      </c>
      <c r="V101" s="330">
        <f>'121-суп хлопья'!C22/'121-суп хлопья'!C26*'121-суп хлопья'!C27</f>
        <v>2E-3</v>
      </c>
      <c r="W101" s="330"/>
      <c r="X101" s="330"/>
      <c r="Y101" s="330"/>
      <c r="Z101" s="330"/>
      <c r="AA101" s="330"/>
      <c r="AB101" s="330"/>
      <c r="AC101" s="330"/>
      <c r="AD101" s="330"/>
      <c r="AE101" s="330"/>
      <c r="AF101" s="330"/>
      <c r="AG101" s="330"/>
      <c r="AH101" s="330"/>
      <c r="AI101" s="330"/>
      <c r="AJ101" s="330"/>
      <c r="AK101" s="330"/>
      <c r="AL101" s="330"/>
      <c r="AM101" s="330"/>
      <c r="AN101" s="330"/>
      <c r="AO101" s="330"/>
      <c r="AP101" s="330"/>
      <c r="AQ101" s="330"/>
      <c r="AR101" s="330"/>
      <c r="AS101" s="330"/>
      <c r="AT101" s="330"/>
      <c r="AU101" s="330"/>
      <c r="AV101" s="330"/>
      <c r="AW101" s="330"/>
      <c r="AX101" s="330"/>
      <c r="AY101" s="330"/>
      <c r="AZ101" s="330"/>
      <c r="BA101" s="330"/>
      <c r="BB101" s="330"/>
      <c r="BC101" s="330"/>
      <c r="BD101" s="330"/>
      <c r="BE101" s="330"/>
      <c r="BF101" s="330"/>
      <c r="BG101" s="330"/>
      <c r="BH101" s="330"/>
      <c r="BI101" s="330"/>
      <c r="BJ101" s="330"/>
      <c r="BK101" s="330"/>
      <c r="BL101" s="330"/>
      <c r="BM101" s="330"/>
      <c r="BN101" s="330"/>
      <c r="BO101" s="330"/>
      <c r="BP101" s="330"/>
      <c r="BQ101" s="330"/>
      <c r="BR101" s="330"/>
      <c r="BS101" s="330"/>
      <c r="BT101" s="330"/>
      <c r="BU101" s="330"/>
      <c r="BV101" s="330"/>
      <c r="BW101" s="330"/>
      <c r="BX101" s="330"/>
      <c r="BY101" s="330"/>
      <c r="BZ101" s="330"/>
      <c r="CA101" s="330"/>
      <c r="CB101" s="330"/>
      <c r="CC101" s="330">
        <f>'121-суп хлопья'!C21/'121-суп хлопья'!C26*'121-суп хлопья'!C27</f>
        <v>1.4999999999999999E-2</v>
      </c>
      <c r="CD101" s="330"/>
      <c r="CE101" s="330"/>
      <c r="CF101" s="330"/>
      <c r="CG101" s="330"/>
      <c r="CH101" s="330"/>
      <c r="CI101" s="330"/>
      <c r="CJ101" s="330"/>
      <c r="CK101" s="330"/>
      <c r="CL101" s="330"/>
      <c r="CM101" s="330"/>
      <c r="CN101" s="330"/>
      <c r="CO101" s="330"/>
      <c r="CP101" s="330"/>
      <c r="CQ101" s="330"/>
      <c r="CR101" s="330"/>
      <c r="CS101" s="330"/>
      <c r="CT101" s="330"/>
      <c r="CU101" s="330"/>
      <c r="CV101" s="330"/>
      <c r="CW101" s="330"/>
      <c r="CX101" s="330"/>
      <c r="CY101" s="330"/>
      <c r="CZ101" s="330">
        <f>'121-суп хлопья'!C23/'121-суп хлопья'!C26*'121-суп хлопья'!C27</f>
        <v>2.5000000000000001E-3</v>
      </c>
      <c r="DA101" s="330"/>
      <c r="DB101" s="330"/>
      <c r="DC101" s="330"/>
      <c r="DD101" s="330"/>
      <c r="DE101" s="330"/>
      <c r="DF101" s="330"/>
      <c r="DG101" s="330"/>
      <c r="DH101" s="330"/>
      <c r="DI101" s="330"/>
      <c r="DJ101" s="330"/>
      <c r="DK101" s="330"/>
      <c r="DL101" s="330"/>
      <c r="DM101" s="330"/>
      <c r="DN101" s="330"/>
      <c r="DO101" s="330"/>
      <c r="DP101" s="330"/>
      <c r="DQ101" s="330"/>
      <c r="DR101" s="330"/>
      <c r="DS101" s="330"/>
      <c r="DT101" s="330"/>
      <c r="DU101" s="330"/>
      <c r="DV101" s="330"/>
      <c r="DW101" s="330"/>
      <c r="DX101" s="330"/>
      <c r="DY101" s="330"/>
      <c r="DZ101" s="330"/>
      <c r="EA101" s="330"/>
      <c r="EB101" s="330"/>
      <c r="EC101" s="330"/>
      <c r="ED101" s="330"/>
      <c r="EE101" s="330"/>
      <c r="EF101" s="330"/>
      <c r="EG101" s="330"/>
      <c r="EH101" s="330"/>
      <c r="EI101" s="330"/>
      <c r="EJ101" s="330"/>
      <c r="EK101" s="330"/>
      <c r="EL101" s="330"/>
      <c r="EM101" s="330"/>
      <c r="EN101" s="330"/>
      <c r="EO101" s="330"/>
      <c r="EP101" s="330"/>
      <c r="EQ101" s="330"/>
      <c r="ER101" s="330"/>
      <c r="ES101" s="330"/>
      <c r="ET101" s="330"/>
      <c r="EU101" s="330"/>
      <c r="EV101" s="330"/>
      <c r="EW101" s="330"/>
      <c r="EX101" s="330"/>
      <c r="EY101" s="1032">
        <f t="shared" si="0"/>
        <v>0.14449999999999999</v>
      </c>
      <c r="EZ101" s="616"/>
      <c r="FA101" s="616"/>
      <c r="FB101" s="616"/>
      <c r="FC101" s="616"/>
      <c r="FD101" s="616"/>
      <c r="FE101" s="616"/>
      <c r="FF101" s="616"/>
      <c r="FG101" s="616"/>
      <c r="FH101" s="616"/>
      <c r="FI101" s="616"/>
      <c r="FJ101" s="616"/>
    </row>
    <row r="102" spans="1:166" s="595" customFormat="1" ht="14.7" customHeight="1" x14ac:dyDescent="0.25">
      <c r="A102" s="421">
        <v>98</v>
      </c>
      <c r="B102" s="183" t="str">
        <f>'121-суп с манкой 90'!A9</f>
        <v>Суп молочный с крупой манной</v>
      </c>
      <c r="C102" s="419">
        <f>'121-суп с манкой 90'!C27</f>
        <v>250</v>
      </c>
      <c r="D102" s="1209">
        <f t="shared" si="13"/>
        <v>3.71</v>
      </c>
      <c r="E102" s="1209">
        <f t="shared" si="14"/>
        <v>4.47</v>
      </c>
      <c r="F102" s="1209">
        <f t="shared" si="15"/>
        <v>7.68</v>
      </c>
      <c r="G102" s="1210">
        <f t="shared" si="16"/>
        <v>89</v>
      </c>
      <c r="H102" s="419">
        <f>'121-суп с манкой 90'!J7</f>
        <v>121</v>
      </c>
      <c r="I102" s="483">
        <f>'121-суп с манкой 90'!F29</f>
        <v>12.21</v>
      </c>
      <c r="J102" s="330"/>
      <c r="K102" s="330"/>
      <c r="L102" s="330"/>
      <c r="M102" s="330"/>
      <c r="N102" s="330"/>
      <c r="O102" s="330"/>
      <c r="P102" s="330"/>
      <c r="Q102" s="330"/>
      <c r="R102" s="330"/>
      <c r="S102" s="330"/>
      <c r="T102" s="330"/>
      <c r="U102" s="330">
        <f>'121-суп с манкой 90'!C19/'121-суп с манкой 90'!C26*'121-суп с манкой 90'!C27</f>
        <v>0.125</v>
      </c>
      <c r="V102" s="330">
        <f>'121-суп с манкой 90'!C22/'121-суп с манкой 90'!C26*'121-суп с манкой 90'!C27</f>
        <v>2E-3</v>
      </c>
      <c r="W102" s="330"/>
      <c r="X102" s="330"/>
      <c r="Y102" s="330"/>
      <c r="Z102" s="330"/>
      <c r="AA102" s="330"/>
      <c r="AB102" s="330"/>
      <c r="AC102" s="330"/>
      <c r="AD102" s="330"/>
      <c r="AE102" s="330"/>
      <c r="AF102" s="330"/>
      <c r="AG102" s="330"/>
      <c r="AH102" s="330"/>
      <c r="AI102" s="330"/>
      <c r="AJ102" s="330"/>
      <c r="AK102" s="330"/>
      <c r="AL102" s="330"/>
      <c r="AM102" s="330"/>
      <c r="AN102" s="330"/>
      <c r="AO102" s="330"/>
      <c r="AP102" s="330"/>
      <c r="AQ102" s="330"/>
      <c r="AR102" s="330"/>
      <c r="AS102" s="330"/>
      <c r="AT102" s="330"/>
      <c r="AU102" s="330"/>
      <c r="AV102" s="330"/>
      <c r="AW102" s="330"/>
      <c r="AX102" s="330"/>
      <c r="AY102" s="330"/>
      <c r="AZ102" s="330"/>
      <c r="BA102" s="330"/>
      <c r="BB102" s="330"/>
      <c r="BC102" s="330"/>
      <c r="BD102" s="330"/>
      <c r="BE102" s="330"/>
      <c r="BF102" s="330"/>
      <c r="BG102" s="330"/>
      <c r="BH102" s="330"/>
      <c r="BI102" s="330"/>
      <c r="BJ102" s="330"/>
      <c r="BK102" s="330"/>
      <c r="BL102" s="330"/>
      <c r="BM102" s="330"/>
      <c r="BN102" s="330"/>
      <c r="BO102" s="330"/>
      <c r="BP102" s="330"/>
      <c r="BQ102" s="330"/>
      <c r="BR102" s="330"/>
      <c r="BS102" s="330"/>
      <c r="BT102" s="330"/>
      <c r="BU102" s="330">
        <f>'121-суп с манкой 90'!C21/'121-суп с манкой 90'!C26*'121-суп с манкой 90'!C27</f>
        <v>1.4999999999999999E-2</v>
      </c>
      <c r="BV102" s="330"/>
      <c r="BW102" s="330"/>
      <c r="BX102" s="330"/>
      <c r="BY102" s="330"/>
      <c r="BZ102" s="330"/>
      <c r="CA102" s="330"/>
      <c r="CB102" s="330"/>
      <c r="CC102" s="330"/>
      <c r="CD102" s="330"/>
      <c r="CE102" s="330"/>
      <c r="CF102" s="330"/>
      <c r="CG102" s="330"/>
      <c r="CH102" s="330"/>
      <c r="CI102" s="330"/>
      <c r="CJ102" s="330"/>
      <c r="CK102" s="330"/>
      <c r="CL102" s="330"/>
      <c r="CM102" s="330"/>
      <c r="CN102" s="330"/>
      <c r="CO102" s="330"/>
      <c r="CP102" s="330"/>
      <c r="CQ102" s="330"/>
      <c r="CR102" s="330"/>
      <c r="CS102" s="330"/>
      <c r="CT102" s="330"/>
      <c r="CU102" s="330"/>
      <c r="CV102" s="330"/>
      <c r="CW102" s="330"/>
      <c r="CX102" s="330"/>
      <c r="CY102" s="330"/>
      <c r="CZ102" s="330">
        <f>'121-суп с манкой 90'!C23/'121-суп с манкой 90'!C26*'121-суп с манкой 90'!C27</f>
        <v>2.5000000000000001E-3</v>
      </c>
      <c r="DA102" s="330"/>
      <c r="DB102" s="330"/>
      <c r="DC102" s="330"/>
      <c r="DD102" s="330"/>
      <c r="DE102" s="330"/>
      <c r="DF102" s="330"/>
      <c r="DG102" s="330"/>
      <c r="DH102" s="330"/>
      <c r="DI102" s="330"/>
      <c r="DJ102" s="330"/>
      <c r="DK102" s="330"/>
      <c r="DL102" s="330"/>
      <c r="DM102" s="330"/>
      <c r="DN102" s="330"/>
      <c r="DO102" s="330"/>
      <c r="DP102" s="330"/>
      <c r="DQ102" s="330"/>
      <c r="DR102" s="330"/>
      <c r="DS102" s="330"/>
      <c r="DT102" s="330"/>
      <c r="DU102" s="330"/>
      <c r="DV102" s="330"/>
      <c r="DW102" s="330"/>
      <c r="DX102" s="330"/>
      <c r="DY102" s="330"/>
      <c r="DZ102" s="330"/>
      <c r="EA102" s="330"/>
      <c r="EB102" s="330"/>
      <c r="EC102" s="330"/>
      <c r="ED102" s="330"/>
      <c r="EE102" s="330"/>
      <c r="EF102" s="330"/>
      <c r="EG102" s="330"/>
      <c r="EH102" s="330"/>
      <c r="EI102" s="330"/>
      <c r="EJ102" s="330"/>
      <c r="EK102" s="330"/>
      <c r="EL102" s="330"/>
      <c r="EM102" s="330"/>
      <c r="EN102" s="330"/>
      <c r="EO102" s="330"/>
      <c r="EP102" s="330"/>
      <c r="EQ102" s="330"/>
      <c r="ER102" s="330"/>
      <c r="ES102" s="330"/>
      <c r="ET102" s="330"/>
      <c r="EU102" s="330"/>
      <c r="EV102" s="330"/>
      <c r="EW102" s="330"/>
      <c r="EX102" s="330"/>
      <c r="EY102" s="1032">
        <f t="shared" si="0"/>
        <v>0.14449999999999999</v>
      </c>
      <c r="EZ102" s="616"/>
      <c r="FA102" s="616"/>
      <c r="FB102" s="616"/>
      <c r="FC102" s="616"/>
      <c r="FD102" s="616"/>
      <c r="FE102" s="616"/>
      <c r="FF102" s="616"/>
      <c r="FG102" s="616"/>
      <c r="FH102" s="616"/>
      <c r="FI102" s="616"/>
      <c r="FJ102" s="616"/>
    </row>
    <row r="103" spans="1:166" s="595" customFormat="1" ht="14.7" customHeight="1" x14ac:dyDescent="0.25">
      <c r="A103" s="421">
        <v>99</v>
      </c>
      <c r="B103" s="183" t="str">
        <f>' 121-суп с пшеном '!A9</f>
        <v>Суп молочный с пшеном</v>
      </c>
      <c r="C103" s="419">
        <f>' 121-суп с пшеном '!C27</f>
        <v>250</v>
      </c>
      <c r="D103" s="1209">
        <f t="shared" si="13"/>
        <v>3.71</v>
      </c>
      <c r="E103" s="1209">
        <f t="shared" si="14"/>
        <v>4.47</v>
      </c>
      <c r="F103" s="1209">
        <f t="shared" si="15"/>
        <v>7.68</v>
      </c>
      <c r="G103" s="1210">
        <f t="shared" si="16"/>
        <v>89</v>
      </c>
      <c r="H103" s="419">
        <f>' 121-суп с пшеном '!J7</f>
        <v>121</v>
      </c>
      <c r="I103" s="483">
        <f>' 121-суп с пшеном '!F29</f>
        <v>12.81</v>
      </c>
      <c r="J103" s="330"/>
      <c r="K103" s="330"/>
      <c r="L103" s="330"/>
      <c r="M103" s="330"/>
      <c r="N103" s="330"/>
      <c r="O103" s="330"/>
      <c r="P103" s="330"/>
      <c r="Q103" s="330"/>
      <c r="R103" s="330"/>
      <c r="S103" s="330"/>
      <c r="T103" s="330"/>
      <c r="U103" s="330">
        <f>' 121-суп с пшеном '!C19/' 121-суп с пшеном '!C26*' 121-суп с пшеном '!C27</f>
        <v>0.125</v>
      </c>
      <c r="V103" s="330">
        <f>' 121-суп с пшеном '!C22/' 121-суп с пшеном '!C26*' 121-суп с пшеном '!C27</f>
        <v>2E-3</v>
      </c>
      <c r="W103" s="330"/>
      <c r="X103" s="330"/>
      <c r="Y103" s="330"/>
      <c r="Z103" s="330"/>
      <c r="AA103" s="330"/>
      <c r="AB103" s="330"/>
      <c r="AC103" s="330"/>
      <c r="AD103" s="330"/>
      <c r="AE103" s="330"/>
      <c r="AF103" s="330"/>
      <c r="AG103" s="330"/>
      <c r="AH103" s="330"/>
      <c r="AI103" s="330"/>
      <c r="AJ103" s="330"/>
      <c r="AK103" s="330"/>
      <c r="AL103" s="330"/>
      <c r="AM103" s="330"/>
      <c r="AN103" s="330"/>
      <c r="AO103" s="330"/>
      <c r="AP103" s="330"/>
      <c r="AQ103" s="330"/>
      <c r="AR103" s="330"/>
      <c r="AS103" s="330"/>
      <c r="AT103" s="330"/>
      <c r="AU103" s="330"/>
      <c r="AV103" s="330"/>
      <c r="AW103" s="330"/>
      <c r="AX103" s="330"/>
      <c r="AY103" s="330"/>
      <c r="AZ103" s="330"/>
      <c r="BA103" s="330"/>
      <c r="BB103" s="330"/>
      <c r="BC103" s="330"/>
      <c r="BD103" s="330"/>
      <c r="BE103" s="330"/>
      <c r="BF103" s="330"/>
      <c r="BG103" s="330"/>
      <c r="BH103" s="330"/>
      <c r="BI103" s="330"/>
      <c r="BJ103" s="330"/>
      <c r="BK103" s="330"/>
      <c r="BL103" s="330"/>
      <c r="BM103" s="330"/>
      <c r="BN103" s="330"/>
      <c r="BO103" s="330"/>
      <c r="BP103" s="330"/>
      <c r="BQ103" s="330"/>
      <c r="BR103" s="330"/>
      <c r="BS103" s="330"/>
      <c r="BT103" s="330"/>
      <c r="BU103" s="330"/>
      <c r="BV103" s="330"/>
      <c r="BW103" s="330"/>
      <c r="BX103" s="330"/>
      <c r="BY103" s="330"/>
      <c r="BZ103" s="330"/>
      <c r="CA103" s="330">
        <f>' 121-суп с пшеном '!C21/' 121-суп с пшеном '!C26*' 121-суп с пшеном '!C27</f>
        <v>0.02</v>
      </c>
      <c r="CB103" s="330"/>
      <c r="CC103" s="330"/>
      <c r="CD103" s="330"/>
      <c r="CE103" s="330"/>
      <c r="CF103" s="330"/>
      <c r="CG103" s="330"/>
      <c r="CH103" s="330"/>
      <c r="CI103" s="330"/>
      <c r="CJ103" s="330"/>
      <c r="CK103" s="330"/>
      <c r="CL103" s="330"/>
      <c r="CM103" s="330"/>
      <c r="CN103" s="330"/>
      <c r="CO103" s="330"/>
      <c r="CP103" s="330"/>
      <c r="CQ103" s="330"/>
      <c r="CR103" s="330"/>
      <c r="CS103" s="330"/>
      <c r="CT103" s="330"/>
      <c r="CU103" s="330"/>
      <c r="CV103" s="330"/>
      <c r="CW103" s="330"/>
      <c r="CX103" s="330"/>
      <c r="CY103" s="330"/>
      <c r="CZ103" s="330">
        <f>' 121-суп с пшеном '!C23/' 121-суп с пшеном '!C26*' 121-суп с пшеном '!C27</f>
        <v>2.5000000000000001E-3</v>
      </c>
      <c r="DA103" s="330"/>
      <c r="DB103" s="330"/>
      <c r="DC103" s="330"/>
      <c r="DD103" s="330"/>
      <c r="DE103" s="330"/>
      <c r="DF103" s="330"/>
      <c r="DG103" s="330"/>
      <c r="DH103" s="330"/>
      <c r="DI103" s="330"/>
      <c r="DJ103" s="330"/>
      <c r="DK103" s="330"/>
      <c r="DL103" s="330"/>
      <c r="DM103" s="330"/>
      <c r="DN103" s="330"/>
      <c r="DO103" s="330"/>
      <c r="DP103" s="330"/>
      <c r="DQ103" s="330"/>
      <c r="DR103" s="330"/>
      <c r="DS103" s="330"/>
      <c r="DT103" s="330"/>
      <c r="DU103" s="330"/>
      <c r="DV103" s="330"/>
      <c r="DW103" s="330"/>
      <c r="DX103" s="330"/>
      <c r="DY103" s="330"/>
      <c r="DZ103" s="330"/>
      <c r="EA103" s="330"/>
      <c r="EB103" s="330"/>
      <c r="EC103" s="330"/>
      <c r="ED103" s="330"/>
      <c r="EE103" s="330"/>
      <c r="EF103" s="330"/>
      <c r="EG103" s="330"/>
      <c r="EH103" s="330"/>
      <c r="EI103" s="330"/>
      <c r="EJ103" s="330"/>
      <c r="EK103" s="330"/>
      <c r="EL103" s="330"/>
      <c r="EM103" s="330"/>
      <c r="EN103" s="330"/>
      <c r="EO103" s="330"/>
      <c r="EP103" s="330"/>
      <c r="EQ103" s="330"/>
      <c r="ER103" s="330"/>
      <c r="ES103" s="330"/>
      <c r="ET103" s="330"/>
      <c r="EU103" s="330"/>
      <c r="EV103" s="330"/>
      <c r="EW103" s="330"/>
      <c r="EX103" s="330"/>
      <c r="EY103" s="1032">
        <f t="shared" si="0"/>
        <v>0.14949999999999999</v>
      </c>
      <c r="EZ103" s="616"/>
      <c r="FA103" s="616"/>
      <c r="FB103" s="616"/>
      <c r="FC103" s="616"/>
      <c r="FD103" s="616"/>
      <c r="FE103" s="616"/>
      <c r="FF103" s="616"/>
      <c r="FG103" s="616"/>
      <c r="FH103" s="616"/>
      <c r="FI103" s="616"/>
      <c r="FJ103" s="616"/>
    </row>
    <row r="104" spans="1:166" ht="14.7" customHeight="1" x14ac:dyDescent="0.25">
      <c r="A104" s="421">
        <v>100</v>
      </c>
      <c r="B104" s="183" t="str">
        <f>'125-картофель'!A9</f>
        <v>Картофель отварной в сметанном соусе</v>
      </c>
      <c r="C104" s="419">
        <f>'125-картофель'!C27</f>
        <v>130</v>
      </c>
      <c r="D104" s="1209">
        <f>2.02/105*C104</f>
        <v>2.5</v>
      </c>
      <c r="E104" s="1209">
        <f>3.96/105*C104</f>
        <v>4.9000000000000004</v>
      </c>
      <c r="F104" s="1209">
        <f>13.99/105*C104</f>
        <v>17.32</v>
      </c>
      <c r="G104" s="1210">
        <f>105/105*C104</f>
        <v>130</v>
      </c>
      <c r="H104" s="419">
        <f>'125-картофель'!J7</f>
        <v>125</v>
      </c>
      <c r="I104" s="483">
        <f>'125-картофель'!F30</f>
        <v>9.36</v>
      </c>
      <c r="J104" s="330"/>
      <c r="K104" s="330"/>
      <c r="L104" s="330"/>
      <c r="M104" s="330"/>
      <c r="N104" s="330"/>
      <c r="O104" s="330"/>
      <c r="P104" s="330"/>
      <c r="Q104" s="330"/>
      <c r="R104" s="330"/>
      <c r="S104" s="330"/>
      <c r="T104" s="330"/>
      <c r="U104" s="330"/>
      <c r="V104" s="330"/>
      <c r="W104" s="330"/>
      <c r="X104" s="330"/>
      <c r="Y104" s="988">
        <f>'330-соус сметанный'!C19/'330-соус сметанный'!C27*1000*'125-картофель'!C24</f>
        <v>7.4999999999999997E-3</v>
      </c>
      <c r="Z104" s="330"/>
      <c r="AA104" s="330"/>
      <c r="AB104" s="330"/>
      <c r="AC104" s="330"/>
      <c r="AD104" s="330"/>
      <c r="AE104" s="330"/>
      <c r="AF104" s="330"/>
      <c r="AG104" s="330"/>
      <c r="AH104" s="330">
        <f>'125-картофель'!C19</f>
        <v>0.13800000000000001</v>
      </c>
      <c r="AI104" s="330"/>
      <c r="AJ104" s="330"/>
      <c r="AK104" s="330"/>
      <c r="AL104" s="330"/>
      <c r="AM104" s="330"/>
      <c r="AN104" s="330"/>
      <c r="AO104" s="330"/>
      <c r="AP104" s="330"/>
      <c r="AQ104" s="330"/>
      <c r="AR104" s="330"/>
      <c r="AS104" s="330"/>
      <c r="AT104" s="330"/>
      <c r="AU104" s="330">
        <f>'125-картофель'!C22</f>
        <v>2E-3</v>
      </c>
      <c r="AV104" s="330"/>
      <c r="AW104" s="330"/>
      <c r="AX104" s="330"/>
      <c r="AY104" s="330"/>
      <c r="AZ104" s="330"/>
      <c r="BA104" s="330"/>
      <c r="BB104" s="330"/>
      <c r="BC104" s="330"/>
      <c r="BD104" s="330"/>
      <c r="BE104" s="330"/>
      <c r="BF104" s="330"/>
      <c r="BG104" s="330"/>
      <c r="BH104" s="330"/>
      <c r="BI104" s="330"/>
      <c r="BJ104" s="330"/>
      <c r="BK104" s="330"/>
      <c r="BL104" s="330"/>
      <c r="BM104" s="330"/>
      <c r="BN104" s="330"/>
      <c r="BO104" s="330"/>
      <c r="BP104" s="330"/>
      <c r="BQ104" s="330"/>
      <c r="BR104" s="330"/>
      <c r="BS104" s="333">
        <f>'330-соус сметанный'!C20/'330-соус сметанный'!C27*1000*'125-картофель'!C24</f>
        <v>2.2499999999999998E-3</v>
      </c>
      <c r="BT104" s="330"/>
      <c r="BU104" s="330"/>
      <c r="BV104" s="330"/>
      <c r="BW104" s="330"/>
      <c r="BX104" s="330"/>
      <c r="BY104" s="330"/>
      <c r="BZ104" s="330"/>
      <c r="CA104" s="330"/>
      <c r="CB104" s="330"/>
      <c r="CC104" s="330"/>
      <c r="CD104" s="330"/>
      <c r="CE104" s="330"/>
      <c r="CF104" s="330"/>
      <c r="CG104" s="330"/>
      <c r="CH104" s="330"/>
      <c r="CI104" s="330"/>
      <c r="CJ104" s="330"/>
      <c r="CK104" s="330"/>
      <c r="CL104" s="330"/>
      <c r="CM104" s="330"/>
      <c r="CN104" s="330"/>
      <c r="CO104" s="330"/>
      <c r="CP104" s="330"/>
      <c r="CQ104" s="330"/>
      <c r="CR104" s="330"/>
      <c r="CS104" s="330">
        <f>'330-соус сметанный'!C22/'330-соус сметанный'!C27*1000*'125-картофель'!C24</f>
        <v>0</v>
      </c>
      <c r="CT104" s="330"/>
      <c r="CU104" s="330"/>
      <c r="CV104" s="330"/>
      <c r="CW104" s="330"/>
      <c r="CX104" s="330"/>
      <c r="CY104" s="330"/>
      <c r="CZ104" s="330"/>
      <c r="DA104" s="330"/>
      <c r="DB104" s="330"/>
      <c r="DC104" s="330">
        <f>'125-картофель'!C21+('330-соус сметанный'!C23/'330-соус сметанный'!C27*1000*'125-картофель'!C24)</f>
        <v>9.3999999999999997E-4</v>
      </c>
      <c r="DD104" s="330"/>
      <c r="DE104" s="330"/>
      <c r="DF104" s="330"/>
      <c r="DG104" s="330"/>
      <c r="DH104" s="330"/>
      <c r="DI104" s="330"/>
      <c r="DJ104" s="330"/>
      <c r="DK104" s="330"/>
      <c r="DL104" s="330"/>
      <c r="DM104" s="330"/>
      <c r="DN104" s="330"/>
      <c r="DO104" s="330"/>
      <c r="DP104" s="330"/>
      <c r="DQ104" s="330"/>
      <c r="DR104" s="330"/>
      <c r="DS104" s="330"/>
      <c r="DT104" s="330"/>
      <c r="DU104" s="330"/>
      <c r="DV104" s="330"/>
      <c r="DW104" s="330"/>
      <c r="DX104" s="330"/>
      <c r="DY104" s="330"/>
      <c r="DZ104" s="330"/>
      <c r="EA104" s="330"/>
      <c r="EB104" s="330"/>
      <c r="EC104" s="330"/>
      <c r="ED104" s="330"/>
      <c r="EE104" s="330"/>
      <c r="EF104" s="330"/>
      <c r="EG104" s="330"/>
      <c r="EH104" s="330"/>
      <c r="EI104" s="330"/>
      <c r="EJ104" s="330"/>
      <c r="EK104" s="330"/>
      <c r="EL104" s="330"/>
      <c r="EM104" s="330"/>
      <c r="EN104" s="330"/>
      <c r="EO104" s="330"/>
      <c r="EP104" s="330"/>
      <c r="EQ104" s="330"/>
      <c r="ER104" s="330"/>
      <c r="ES104" s="330"/>
      <c r="ET104" s="330"/>
      <c r="EU104" s="330"/>
      <c r="EV104" s="330"/>
      <c r="EW104" s="330"/>
      <c r="EX104" s="330"/>
      <c r="EY104" s="1032">
        <f t="shared" si="0"/>
        <v>0.15068999999999999</v>
      </c>
    </row>
    <row r="105" spans="1:166" ht="14.7" customHeight="1" x14ac:dyDescent="0.25">
      <c r="A105" s="421">
        <v>101</v>
      </c>
      <c r="B105" s="183" t="str">
        <f>'126-картофель с луком'!A9</f>
        <v>Картофель отварной с луком</v>
      </c>
      <c r="C105" s="419">
        <f>'126-картофель с луком'!C30</f>
        <v>115</v>
      </c>
      <c r="D105" s="1209">
        <f>2.38/115*C105</f>
        <v>2.38</v>
      </c>
      <c r="E105" s="1209">
        <f>5.36/115*C105</f>
        <v>5.36</v>
      </c>
      <c r="F105" s="1209">
        <f>15.98/115*C105</f>
        <v>15.98</v>
      </c>
      <c r="G105" s="1210">
        <f>128/115*C105</f>
        <v>128</v>
      </c>
      <c r="H105" s="419">
        <f>'126-картофель с луком'!J7</f>
        <v>126</v>
      </c>
      <c r="I105" s="483">
        <f>'126-картофель с луком'!F32</f>
        <v>9.92</v>
      </c>
      <c r="J105" s="330"/>
      <c r="K105" s="330"/>
      <c r="L105" s="330"/>
      <c r="M105" s="330"/>
      <c r="N105" s="330"/>
      <c r="O105" s="330"/>
      <c r="P105" s="330"/>
      <c r="Q105" s="330"/>
      <c r="R105" s="330"/>
      <c r="S105" s="330"/>
      <c r="T105" s="330"/>
      <c r="U105" s="330"/>
      <c r="V105" s="330"/>
      <c r="W105" s="330"/>
      <c r="X105" s="330"/>
      <c r="Y105" s="330"/>
      <c r="Z105" s="330"/>
      <c r="AA105" s="330"/>
      <c r="AB105" s="330"/>
      <c r="AC105" s="330"/>
      <c r="AD105" s="330"/>
      <c r="AE105" s="330"/>
      <c r="AF105" s="330"/>
      <c r="AG105" s="330"/>
      <c r="AH105" s="330">
        <f>'126-картофель с луком'!C19</f>
        <v>0.13800000000000001</v>
      </c>
      <c r="AI105" s="330"/>
      <c r="AJ105" s="330"/>
      <c r="AK105" s="330">
        <f>'126-картофель с луком'!C23</f>
        <v>3.5999999999999997E-2</v>
      </c>
      <c r="AL105" s="330"/>
      <c r="AM105" s="330"/>
      <c r="AN105" s="330"/>
      <c r="AO105" s="330"/>
      <c r="AP105" s="330"/>
      <c r="AQ105" s="330"/>
      <c r="AR105" s="330"/>
      <c r="AS105" s="330"/>
      <c r="AT105" s="330"/>
      <c r="AU105" s="330">
        <f>'126-картофель с луком'!C26</f>
        <v>2E-3</v>
      </c>
      <c r="AV105" s="330"/>
      <c r="AW105" s="330"/>
      <c r="AX105" s="330"/>
      <c r="AY105" s="330"/>
      <c r="AZ105" s="330"/>
      <c r="BA105" s="330"/>
      <c r="BB105" s="330"/>
      <c r="BC105" s="330"/>
      <c r="BD105" s="330"/>
      <c r="BE105" s="330"/>
      <c r="BF105" s="330"/>
      <c r="BG105" s="330"/>
      <c r="BH105" s="330"/>
      <c r="BI105" s="330"/>
      <c r="BJ105" s="330"/>
      <c r="BK105" s="330"/>
      <c r="BL105" s="330"/>
      <c r="BM105" s="330"/>
      <c r="BN105" s="330"/>
      <c r="BO105" s="330"/>
      <c r="BP105" s="330"/>
      <c r="BQ105" s="330"/>
      <c r="BR105" s="330"/>
      <c r="BS105" s="330"/>
      <c r="BT105" s="330"/>
      <c r="BU105" s="330"/>
      <c r="BV105" s="330"/>
      <c r="BW105" s="330"/>
      <c r="BX105" s="330"/>
      <c r="BY105" s="330"/>
      <c r="BZ105" s="330"/>
      <c r="CA105" s="330"/>
      <c r="CB105" s="330"/>
      <c r="CC105" s="330"/>
      <c r="CD105" s="330"/>
      <c r="CE105" s="330"/>
      <c r="CF105" s="330">
        <f>'126-картофель с луком'!C24</f>
        <v>5.0000000000000001E-3</v>
      </c>
      <c r="CG105" s="330"/>
      <c r="CH105" s="330"/>
      <c r="CI105" s="330"/>
      <c r="CJ105" s="330"/>
      <c r="CK105" s="330"/>
      <c r="CL105" s="330"/>
      <c r="CM105" s="330"/>
      <c r="CN105" s="330"/>
      <c r="CO105" s="330"/>
      <c r="CP105" s="330"/>
      <c r="CQ105" s="330"/>
      <c r="CR105" s="330"/>
      <c r="CS105" s="330"/>
      <c r="CT105" s="330"/>
      <c r="CU105" s="330"/>
      <c r="CV105" s="330"/>
      <c r="CW105" s="330"/>
      <c r="CX105" s="330"/>
      <c r="CY105" s="330"/>
      <c r="CZ105" s="330"/>
      <c r="DA105" s="330"/>
      <c r="DB105" s="330"/>
      <c r="DC105" s="330">
        <f>'126-картофель с луком'!C21</f>
        <v>6.9999999999999999E-4</v>
      </c>
      <c r="DD105" s="330"/>
      <c r="DE105" s="330"/>
      <c r="DF105" s="330"/>
      <c r="DG105" s="330"/>
      <c r="DH105" s="330"/>
      <c r="DI105" s="330"/>
      <c r="DJ105" s="330"/>
      <c r="DK105" s="330"/>
      <c r="DL105" s="330"/>
      <c r="DM105" s="330"/>
      <c r="DN105" s="330"/>
      <c r="DO105" s="330"/>
      <c r="DP105" s="330"/>
      <c r="DQ105" s="330"/>
      <c r="DR105" s="330"/>
      <c r="DS105" s="330"/>
      <c r="DT105" s="330"/>
      <c r="DU105" s="330"/>
      <c r="DV105" s="330"/>
      <c r="DW105" s="330"/>
      <c r="DX105" s="330"/>
      <c r="DY105" s="330"/>
      <c r="DZ105" s="330"/>
      <c r="EA105" s="330"/>
      <c r="EB105" s="330"/>
      <c r="EC105" s="330"/>
      <c r="ED105" s="330"/>
      <c r="EE105" s="330"/>
      <c r="EF105" s="330"/>
      <c r="EG105" s="330"/>
      <c r="EH105" s="330"/>
      <c r="EI105" s="330"/>
      <c r="EJ105" s="330"/>
      <c r="EK105" s="330"/>
      <c r="EL105" s="330"/>
      <c r="EM105" s="330"/>
      <c r="EN105" s="330"/>
      <c r="EO105" s="330"/>
      <c r="EP105" s="330"/>
      <c r="EQ105" s="330"/>
      <c r="ER105" s="330"/>
      <c r="ES105" s="330"/>
      <c r="ET105" s="330"/>
      <c r="EU105" s="330"/>
      <c r="EV105" s="330"/>
      <c r="EW105" s="330"/>
      <c r="EX105" s="330"/>
      <c r="EY105" s="1032">
        <f t="shared" si="0"/>
        <v>0.1817</v>
      </c>
    </row>
    <row r="106" spans="1:166" ht="14.7" customHeight="1" x14ac:dyDescent="0.25">
      <c r="A106" s="421">
        <v>102</v>
      </c>
      <c r="B106" s="183" t="str">
        <f>'127-картофель в молоке'!A9</f>
        <v>Картофель в молоке</v>
      </c>
      <c r="C106" s="419">
        <f>'127-картофель в молоке'!C28</f>
        <v>100</v>
      </c>
      <c r="D106" s="1211">
        <f>2.18/100*C106</f>
        <v>2.1800000000000002</v>
      </c>
      <c r="E106" s="1211">
        <f>3.85/100*C106</f>
        <v>3.85</v>
      </c>
      <c r="F106" s="1211">
        <f>10.67/100*C106</f>
        <v>10.67</v>
      </c>
      <c r="G106" s="1212">
        <f>90/100*C106</f>
        <v>90</v>
      </c>
      <c r="H106" s="419">
        <f>'127-картофель в молоке'!J7</f>
        <v>127</v>
      </c>
      <c r="I106" s="1234">
        <f>'127-картофель в молоке'!F30</f>
        <v>10.55</v>
      </c>
      <c r="J106" s="330"/>
      <c r="K106" s="330"/>
      <c r="L106" s="330"/>
      <c r="M106" s="330"/>
      <c r="N106" s="330"/>
      <c r="O106" s="330"/>
      <c r="P106" s="330"/>
      <c r="Q106" s="330"/>
      <c r="R106" s="330"/>
      <c r="S106" s="330"/>
      <c r="T106" s="330"/>
      <c r="U106" s="330">
        <f>'127-картофель в молоке'!C22</f>
        <v>0.03</v>
      </c>
      <c r="V106" s="330">
        <f>'127-картофель в молоке'!C23</f>
        <v>4.0000000000000001E-3</v>
      </c>
      <c r="W106" s="330"/>
      <c r="X106" s="330"/>
      <c r="Y106" s="330"/>
      <c r="Z106" s="330"/>
      <c r="AA106" s="330"/>
      <c r="AB106" s="330"/>
      <c r="AC106" s="330"/>
      <c r="AD106" s="330"/>
      <c r="AE106" s="330"/>
      <c r="AF106" s="330"/>
      <c r="AG106" s="330"/>
      <c r="AH106" s="330">
        <f>'127-картофель в молоке'!C19</f>
        <v>9.4E-2</v>
      </c>
      <c r="AI106" s="330"/>
      <c r="AJ106" s="330"/>
      <c r="AK106" s="330"/>
      <c r="AL106" s="330"/>
      <c r="AM106" s="330"/>
      <c r="AN106" s="330"/>
      <c r="AO106" s="330"/>
      <c r="AP106" s="330"/>
      <c r="AQ106" s="330"/>
      <c r="AR106" s="330"/>
      <c r="AS106" s="330"/>
      <c r="AT106" s="330"/>
      <c r="AU106" s="330">
        <f>'127-картофель в молоке'!C24</f>
        <v>2E-3</v>
      </c>
      <c r="AV106" s="330"/>
      <c r="AW106" s="330"/>
      <c r="AX106" s="330"/>
      <c r="AY106" s="330"/>
      <c r="AZ106" s="330"/>
      <c r="BA106" s="330"/>
      <c r="BB106" s="330"/>
      <c r="BC106" s="330"/>
      <c r="BD106" s="330"/>
      <c r="BE106" s="330"/>
      <c r="BF106" s="330"/>
      <c r="BG106" s="330"/>
      <c r="BH106" s="330"/>
      <c r="BI106" s="330"/>
      <c r="BJ106" s="330"/>
      <c r="BK106" s="330"/>
      <c r="BL106" s="330"/>
      <c r="BM106" s="330"/>
      <c r="BN106" s="330"/>
      <c r="BO106" s="330"/>
      <c r="BP106" s="330"/>
      <c r="BQ106" s="330"/>
      <c r="BR106" s="330"/>
      <c r="BS106" s="330"/>
      <c r="BT106" s="330"/>
      <c r="BU106" s="330"/>
      <c r="BV106" s="330"/>
      <c r="BW106" s="330"/>
      <c r="BX106" s="330"/>
      <c r="BY106" s="330"/>
      <c r="BZ106" s="330"/>
      <c r="CA106" s="330"/>
      <c r="CB106" s="330"/>
      <c r="CC106" s="330"/>
      <c r="CD106" s="330"/>
      <c r="CE106" s="330"/>
      <c r="CF106" s="330"/>
      <c r="CG106" s="330"/>
      <c r="CH106" s="330"/>
      <c r="CI106" s="330"/>
      <c r="CJ106" s="330"/>
      <c r="CK106" s="330"/>
      <c r="CL106" s="330"/>
      <c r="CM106" s="330"/>
      <c r="CN106" s="330"/>
      <c r="CO106" s="330"/>
      <c r="CP106" s="330"/>
      <c r="CQ106" s="330"/>
      <c r="CR106" s="330"/>
      <c r="CS106" s="330"/>
      <c r="CT106" s="330"/>
      <c r="CU106" s="330"/>
      <c r="CV106" s="330"/>
      <c r="CW106" s="330"/>
      <c r="CX106" s="330"/>
      <c r="CY106" s="330"/>
      <c r="CZ106" s="330"/>
      <c r="DA106" s="330"/>
      <c r="DB106" s="330"/>
      <c r="DC106" s="330">
        <f>'127-картофель в молоке'!C21</f>
        <v>5.0000000000000001E-4</v>
      </c>
      <c r="DD106" s="330"/>
      <c r="DE106" s="330"/>
      <c r="DF106" s="330"/>
      <c r="DG106" s="330"/>
      <c r="DH106" s="330"/>
      <c r="DI106" s="330"/>
      <c r="DJ106" s="330"/>
      <c r="DK106" s="330"/>
      <c r="DL106" s="330"/>
      <c r="DM106" s="330"/>
      <c r="DN106" s="330"/>
      <c r="DO106" s="330"/>
      <c r="DP106" s="330"/>
      <c r="DQ106" s="330"/>
      <c r="DR106" s="330"/>
      <c r="DS106" s="330"/>
      <c r="DT106" s="330"/>
      <c r="DU106" s="330"/>
      <c r="DV106" s="330"/>
      <c r="DW106" s="330"/>
      <c r="DX106" s="330"/>
      <c r="DY106" s="330"/>
      <c r="DZ106" s="330"/>
      <c r="EA106" s="330"/>
      <c r="EB106" s="330"/>
      <c r="EC106" s="330"/>
      <c r="ED106" s="330"/>
      <c r="EE106" s="330"/>
      <c r="EF106" s="330"/>
      <c r="EG106" s="330"/>
      <c r="EH106" s="330"/>
      <c r="EI106" s="330"/>
      <c r="EJ106" s="330"/>
      <c r="EK106" s="330"/>
      <c r="EL106" s="330"/>
      <c r="EM106" s="330"/>
      <c r="EN106" s="330"/>
      <c r="EO106" s="330"/>
      <c r="EP106" s="330"/>
      <c r="EQ106" s="330"/>
      <c r="ER106" s="330"/>
      <c r="ES106" s="330"/>
      <c r="ET106" s="330"/>
      <c r="EU106" s="330"/>
      <c r="EV106" s="330"/>
      <c r="EW106" s="330"/>
      <c r="EX106" s="330"/>
      <c r="EY106" s="1032">
        <f t="shared" si="0"/>
        <v>0.1305</v>
      </c>
    </row>
    <row r="107" spans="1:166" ht="14.7" customHeight="1" x14ac:dyDescent="0.25">
      <c r="A107" s="421">
        <v>103</v>
      </c>
      <c r="B107" s="183" t="str">
        <f>'128-пюре'!A9</f>
        <v>Картофельное пюре с луком пассерованным</v>
      </c>
      <c r="C107" s="419">
        <f>'128-пюре'!C32</f>
        <v>105</v>
      </c>
      <c r="D107" s="1211">
        <f>2.4/105*C107</f>
        <v>2.4</v>
      </c>
      <c r="E107" s="1211">
        <f>7.79/105*C107</f>
        <v>7.79</v>
      </c>
      <c r="F107" s="1211">
        <f>13.9/105*C107</f>
        <v>13.9</v>
      </c>
      <c r="G107" s="1212">
        <f>140/105*C107</f>
        <v>140</v>
      </c>
      <c r="H107" s="419">
        <f>'128-пюре'!J7</f>
        <v>128</v>
      </c>
      <c r="I107" s="1234">
        <f>'128-пюре'!F34</f>
        <v>11.67</v>
      </c>
      <c r="J107" s="330"/>
      <c r="K107" s="330"/>
      <c r="L107" s="330"/>
      <c r="M107" s="330"/>
      <c r="N107" s="330"/>
      <c r="O107" s="330"/>
      <c r="P107" s="330"/>
      <c r="Q107" s="330"/>
      <c r="R107" s="330"/>
      <c r="S107" s="330"/>
      <c r="T107" s="330"/>
      <c r="U107" s="330">
        <f>'128-пюре'!C20</f>
        <v>1.6E-2</v>
      </c>
      <c r="V107" s="330">
        <f>'128-пюре'!C22</f>
        <v>3.0000000000000001E-3</v>
      </c>
      <c r="W107" s="330"/>
      <c r="X107" s="330"/>
      <c r="Y107" s="330"/>
      <c r="Z107" s="330"/>
      <c r="AA107" s="330"/>
      <c r="AB107" s="330"/>
      <c r="AC107" s="330"/>
      <c r="AD107" s="330"/>
      <c r="AE107" s="330"/>
      <c r="AF107" s="330"/>
      <c r="AG107" s="330"/>
      <c r="AH107" s="330">
        <f>'128-пюре'!C19</f>
        <v>0.11700000000000001</v>
      </c>
      <c r="AI107" s="330"/>
      <c r="AJ107" s="330"/>
      <c r="AK107" s="330">
        <f>'128-пюре'!C25</f>
        <v>2.4E-2</v>
      </c>
      <c r="AL107" s="330"/>
      <c r="AM107" s="330"/>
      <c r="AN107" s="330"/>
      <c r="AO107" s="330"/>
      <c r="AP107" s="330"/>
      <c r="AQ107" s="330"/>
      <c r="AR107" s="330"/>
      <c r="AS107" s="330"/>
      <c r="AT107" s="330"/>
      <c r="AU107" s="330">
        <f>'128-пюре'!C28</f>
        <v>2E-3</v>
      </c>
      <c r="AV107" s="330"/>
      <c r="AW107" s="330"/>
      <c r="AX107" s="330"/>
      <c r="AY107" s="330"/>
      <c r="AZ107" s="330"/>
      <c r="BA107" s="330"/>
      <c r="BB107" s="330"/>
      <c r="BC107" s="330"/>
      <c r="BD107" s="330"/>
      <c r="BE107" s="330"/>
      <c r="BF107" s="330"/>
      <c r="BG107" s="330"/>
      <c r="BH107" s="330"/>
      <c r="BI107" s="330"/>
      <c r="BJ107" s="330"/>
      <c r="BK107" s="330"/>
      <c r="BL107" s="330"/>
      <c r="BM107" s="330"/>
      <c r="BN107" s="330"/>
      <c r="BO107" s="330"/>
      <c r="BP107" s="330"/>
      <c r="BQ107" s="330"/>
      <c r="BR107" s="330"/>
      <c r="BS107" s="330"/>
      <c r="BT107" s="330"/>
      <c r="BU107" s="330"/>
      <c r="BV107" s="330"/>
      <c r="BW107" s="330"/>
      <c r="BX107" s="330"/>
      <c r="BY107" s="330"/>
      <c r="BZ107" s="330"/>
      <c r="CA107" s="330"/>
      <c r="CB107" s="330"/>
      <c r="CC107" s="330"/>
      <c r="CD107" s="330"/>
      <c r="CE107" s="330"/>
      <c r="CF107" s="330">
        <f>'128-пюре'!C26</f>
        <v>5.0000000000000001E-3</v>
      </c>
      <c r="CG107" s="330"/>
      <c r="CH107" s="330"/>
      <c r="CI107" s="330"/>
      <c r="CJ107" s="330"/>
      <c r="CK107" s="330"/>
      <c r="CL107" s="330"/>
      <c r="CM107" s="330"/>
      <c r="CN107" s="330"/>
      <c r="CO107" s="330"/>
      <c r="CP107" s="330"/>
      <c r="CQ107" s="330"/>
      <c r="CR107" s="330"/>
      <c r="CS107" s="330"/>
      <c r="CT107" s="330"/>
      <c r="CU107" s="330"/>
      <c r="CV107" s="330"/>
      <c r="CW107" s="330"/>
      <c r="CX107" s="330"/>
      <c r="CY107" s="330"/>
      <c r="CZ107" s="330"/>
      <c r="DA107" s="330"/>
      <c r="DB107" s="330"/>
      <c r="DC107" s="330">
        <f>'128-пюре'!C23</f>
        <v>5.9999999999999995E-4</v>
      </c>
      <c r="DD107" s="330"/>
      <c r="DE107" s="330"/>
      <c r="DF107" s="330"/>
      <c r="DG107" s="330"/>
      <c r="DH107" s="330"/>
      <c r="DI107" s="330"/>
      <c r="DJ107" s="330"/>
      <c r="DK107" s="330"/>
      <c r="DL107" s="330"/>
      <c r="DM107" s="330"/>
      <c r="DN107" s="330"/>
      <c r="DO107" s="330"/>
      <c r="DP107" s="330"/>
      <c r="DQ107" s="330"/>
      <c r="DR107" s="330"/>
      <c r="DS107" s="330"/>
      <c r="DT107" s="330"/>
      <c r="DU107" s="330"/>
      <c r="DV107" s="330"/>
      <c r="DW107" s="330"/>
      <c r="DX107" s="330"/>
      <c r="DY107" s="330"/>
      <c r="DZ107" s="330"/>
      <c r="EA107" s="330"/>
      <c r="EB107" s="330"/>
      <c r="EC107" s="330"/>
      <c r="ED107" s="330"/>
      <c r="EE107" s="330"/>
      <c r="EF107" s="330"/>
      <c r="EG107" s="330"/>
      <c r="EH107" s="330"/>
      <c r="EI107" s="330"/>
      <c r="EJ107" s="330"/>
      <c r="EK107" s="330"/>
      <c r="EL107" s="330"/>
      <c r="EM107" s="330"/>
      <c r="EN107" s="330"/>
      <c r="EO107" s="330"/>
      <c r="EP107" s="330"/>
      <c r="EQ107" s="330"/>
      <c r="ER107" s="330"/>
      <c r="ES107" s="330"/>
      <c r="ET107" s="330"/>
      <c r="EU107" s="330"/>
      <c r="EV107" s="330"/>
      <c r="EW107" s="330"/>
      <c r="EX107" s="330"/>
      <c r="EY107" s="1032">
        <f t="shared" si="0"/>
        <v>0.1676</v>
      </c>
    </row>
    <row r="108" spans="1:166" ht="14.7" customHeight="1" x14ac:dyDescent="0.25">
      <c r="A108" s="421">
        <v>104</v>
      </c>
      <c r="B108" s="183" t="str">
        <f>'139-капуста туш.'!A9</f>
        <v>Капуста тушеная</v>
      </c>
      <c r="C108" s="419">
        <f>'139-капуста туш.'!C34</f>
        <v>150</v>
      </c>
      <c r="D108" s="1211">
        <f>2.04/100*C108</f>
        <v>3.06</v>
      </c>
      <c r="E108" s="1211">
        <f>3.68/100*C108</f>
        <v>5.52</v>
      </c>
      <c r="F108" s="1211">
        <f>7.89/100*C108</f>
        <v>11.84</v>
      </c>
      <c r="G108" s="1212">
        <f>77/100*C108</f>
        <v>116</v>
      </c>
      <c r="H108" s="419">
        <f>'139-капуста туш.'!J7</f>
        <v>139</v>
      </c>
      <c r="I108" s="1234">
        <f>'139-капуста туш.'!F36</f>
        <v>17.309999999999999</v>
      </c>
      <c r="J108" s="330"/>
      <c r="K108" s="330"/>
      <c r="L108" s="330"/>
      <c r="M108" s="330"/>
      <c r="N108" s="330"/>
      <c r="O108" s="330"/>
      <c r="P108" s="330"/>
      <c r="Q108" s="330"/>
      <c r="R108" s="330"/>
      <c r="S108" s="330"/>
      <c r="T108" s="330"/>
      <c r="U108" s="330"/>
      <c r="V108" s="330"/>
      <c r="W108" s="330"/>
      <c r="X108" s="330"/>
      <c r="Y108" s="330"/>
      <c r="Z108" s="330"/>
      <c r="AA108" s="330"/>
      <c r="AB108" s="330"/>
      <c r="AC108" s="330"/>
      <c r="AD108" s="330"/>
      <c r="AE108" s="330"/>
      <c r="AF108" s="330">
        <f>'139-капуста туш.'!C19</f>
        <v>0.21299999999999999</v>
      </c>
      <c r="AG108" s="330"/>
      <c r="AH108" s="330"/>
      <c r="AI108" s="330"/>
      <c r="AJ108" s="330"/>
      <c r="AK108" s="330">
        <f>'139-капуста туш.'!C24</f>
        <v>7.4999999999999997E-3</v>
      </c>
      <c r="AL108" s="330"/>
      <c r="AM108" s="330"/>
      <c r="AN108" s="330"/>
      <c r="AO108" s="330"/>
      <c r="AP108" s="330"/>
      <c r="AQ108" s="330">
        <f>'139-капуста туш.'!C23</f>
        <v>4.4999999999999997E-3</v>
      </c>
      <c r="AR108" s="330"/>
      <c r="AS108" s="330"/>
      <c r="AT108" s="330"/>
      <c r="AU108" s="330">
        <f>'139-капуста туш.'!C30</f>
        <v>3.0000000000000001E-3</v>
      </c>
      <c r="AV108" s="330"/>
      <c r="AW108" s="330"/>
      <c r="AX108" s="330"/>
      <c r="AY108" s="330"/>
      <c r="AZ108" s="330"/>
      <c r="BA108" s="330"/>
      <c r="BB108" s="330"/>
      <c r="BC108" s="330"/>
      <c r="BD108" s="330"/>
      <c r="BE108" s="330"/>
      <c r="BF108" s="330"/>
      <c r="BG108" s="330"/>
      <c r="BH108" s="330"/>
      <c r="BI108" s="330"/>
      <c r="BJ108" s="330"/>
      <c r="BK108" s="330"/>
      <c r="BL108" s="330"/>
      <c r="BM108" s="330"/>
      <c r="BN108" s="330"/>
      <c r="BO108" s="330"/>
      <c r="BP108" s="330"/>
      <c r="BQ108" s="330"/>
      <c r="BR108" s="330"/>
      <c r="BS108" s="330">
        <f>'139-капуста туш.'!C27</f>
        <v>1.5E-3</v>
      </c>
      <c r="BT108" s="330"/>
      <c r="BU108" s="330"/>
      <c r="BV108" s="330"/>
      <c r="BW108" s="330"/>
      <c r="BX108" s="330"/>
      <c r="BY108" s="330"/>
      <c r="BZ108" s="330"/>
      <c r="CA108" s="330"/>
      <c r="CB108" s="330"/>
      <c r="CC108" s="330"/>
      <c r="CD108" s="330"/>
      <c r="CE108" s="330"/>
      <c r="CF108" s="330">
        <f>'139-капуста туш.'!C21</f>
        <v>6.0000000000000001E-3</v>
      </c>
      <c r="CG108" s="330"/>
      <c r="CH108" s="330"/>
      <c r="CI108" s="330"/>
      <c r="CJ108" s="330"/>
      <c r="CK108" s="330"/>
      <c r="CL108" s="330"/>
      <c r="CM108" s="330"/>
      <c r="CN108" s="330"/>
      <c r="CO108" s="330"/>
      <c r="CP108" s="330"/>
      <c r="CQ108" s="330">
        <f>'139-капуста туш.'!C20</f>
        <v>4.4999999999999997E-3</v>
      </c>
      <c r="CR108" s="330"/>
      <c r="CS108" s="330">
        <f>'139-капуста туш.'!C25</f>
        <v>1.0000000000000001E-5</v>
      </c>
      <c r="CT108" s="330"/>
      <c r="CU108" s="330"/>
      <c r="CV108" s="330"/>
      <c r="CW108" s="330"/>
      <c r="CX108" s="330"/>
      <c r="CY108" s="330"/>
      <c r="CZ108" s="330">
        <f>'139-капуста туш.'!C29</f>
        <v>4.4999999999999997E-3</v>
      </c>
      <c r="DA108" s="330"/>
      <c r="DB108" s="330"/>
      <c r="DC108" s="330">
        <f>'139-капуста туш.'!C28</f>
        <v>5.0000000000000001E-4</v>
      </c>
      <c r="DD108" s="330"/>
      <c r="DE108" s="330"/>
      <c r="DF108" s="330">
        <f>'139-капуста туш.'!C22</f>
        <v>8.9999999999999993E-3</v>
      </c>
      <c r="DG108" s="330"/>
      <c r="DH108" s="330"/>
      <c r="DI108" s="330"/>
      <c r="DJ108" s="330"/>
      <c r="DK108" s="330"/>
      <c r="DL108" s="330"/>
      <c r="DM108" s="330"/>
      <c r="DN108" s="330"/>
      <c r="DO108" s="330"/>
      <c r="DP108" s="330"/>
      <c r="DQ108" s="330"/>
      <c r="DR108" s="330"/>
      <c r="DS108" s="330"/>
      <c r="DT108" s="330"/>
      <c r="DU108" s="330"/>
      <c r="DV108" s="330"/>
      <c r="DW108" s="330"/>
      <c r="DX108" s="330"/>
      <c r="DY108" s="330"/>
      <c r="DZ108" s="330"/>
      <c r="EA108" s="330"/>
      <c r="EB108" s="330"/>
      <c r="EC108" s="330"/>
      <c r="ED108" s="330"/>
      <c r="EE108" s="330"/>
      <c r="EF108" s="330"/>
      <c r="EG108" s="330"/>
      <c r="EH108" s="330"/>
      <c r="EI108" s="330"/>
      <c r="EJ108" s="330"/>
      <c r="EK108" s="330"/>
      <c r="EL108" s="330"/>
      <c r="EM108" s="330"/>
      <c r="EN108" s="330"/>
      <c r="EO108" s="330"/>
      <c r="EP108" s="330"/>
      <c r="EQ108" s="330"/>
      <c r="ER108" s="330"/>
      <c r="ES108" s="330"/>
      <c r="ET108" s="330"/>
      <c r="EU108" s="330"/>
      <c r="EV108" s="330"/>
      <c r="EW108" s="330"/>
      <c r="EX108" s="330"/>
      <c r="EY108" s="1032">
        <f t="shared" si="0"/>
        <v>0.25401000000000001</v>
      </c>
    </row>
    <row r="109" spans="1:166" ht="14.7" customHeight="1" x14ac:dyDescent="0.25">
      <c r="A109" s="421">
        <v>105</v>
      </c>
      <c r="B109" s="183" t="str">
        <f>'140-свекла тушен.'!A9</f>
        <v>Свекла, тушенная в сметанном соусе</v>
      </c>
      <c r="C109" s="419">
        <f>'140-свекла тушен.'!C28</f>
        <v>125</v>
      </c>
      <c r="D109" s="1211">
        <f>2.23/125*C109</f>
        <v>2.23</v>
      </c>
      <c r="E109" s="1211">
        <f>8.25/125*C109</f>
        <v>8.25</v>
      </c>
      <c r="F109" s="1211">
        <f>11.66/125*C109</f>
        <v>11.66</v>
      </c>
      <c r="G109" s="1212">
        <f>128/125*C109</f>
        <v>128</v>
      </c>
      <c r="H109" s="419">
        <f>'140-свекла тушен.'!J7</f>
        <v>140</v>
      </c>
      <c r="I109" s="1234">
        <f>'140-свекла тушен.'!F30</f>
        <v>8.26</v>
      </c>
      <c r="J109" s="330"/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>
        <f>'330-соус сметанный'!C19/'330-соус сметанный'!C27*1000*'140-свекла тушен.'!C23</f>
        <v>6.2500000000000003E-3</v>
      </c>
      <c r="Z109" s="330"/>
      <c r="AA109" s="330"/>
      <c r="AB109" s="330"/>
      <c r="AC109" s="330"/>
      <c r="AD109" s="330"/>
      <c r="AE109" s="330"/>
      <c r="AF109" s="330"/>
      <c r="AG109" s="330"/>
      <c r="AH109" s="330"/>
      <c r="AI109" s="330"/>
      <c r="AJ109" s="330"/>
      <c r="AK109" s="330">
        <f>'140-свекла тушен.'!C20</f>
        <v>0.03</v>
      </c>
      <c r="AL109" s="330"/>
      <c r="AM109" s="330"/>
      <c r="AN109" s="330"/>
      <c r="AO109" s="330"/>
      <c r="AP109" s="330"/>
      <c r="AQ109" s="330"/>
      <c r="AR109" s="330"/>
      <c r="AS109" s="330"/>
      <c r="AT109" s="330"/>
      <c r="AU109" s="330">
        <f>'140-свекла тушен.'!C24</f>
        <v>2E-3</v>
      </c>
      <c r="AV109" s="330"/>
      <c r="AW109" s="330"/>
      <c r="AX109" s="330">
        <f>'140-свекла тушен.'!C19</f>
        <v>0.13400000000000001</v>
      </c>
      <c r="AY109" s="330"/>
      <c r="AZ109" s="330"/>
      <c r="BA109" s="330"/>
      <c r="BB109" s="330"/>
      <c r="BC109" s="330"/>
      <c r="BD109" s="330"/>
      <c r="BE109" s="330"/>
      <c r="BF109" s="330"/>
      <c r="BG109" s="330"/>
      <c r="BH109" s="330"/>
      <c r="BI109" s="330"/>
      <c r="BJ109" s="330"/>
      <c r="BK109" s="330"/>
      <c r="BL109" s="330"/>
      <c r="BM109" s="330"/>
      <c r="BN109" s="330"/>
      <c r="BO109" s="330"/>
      <c r="BP109" s="330"/>
      <c r="BQ109" s="330"/>
      <c r="BR109" s="330"/>
      <c r="BS109" s="330">
        <f>'330-соус сметанный'!C20/'330-соус сметанный'!C27*1000*'140-свекла тушен.'!C23</f>
        <v>1.8799999999999999E-3</v>
      </c>
      <c r="BT109" s="330"/>
      <c r="BU109" s="330"/>
      <c r="BV109" s="330"/>
      <c r="BW109" s="330"/>
      <c r="BX109" s="330"/>
      <c r="BY109" s="330"/>
      <c r="BZ109" s="330"/>
      <c r="CA109" s="330"/>
      <c r="CB109" s="330"/>
      <c r="CC109" s="330"/>
      <c r="CD109" s="330"/>
      <c r="CE109" s="330"/>
      <c r="CF109" s="330">
        <f>'140-свекла тушен.'!C21</f>
        <v>5.0000000000000001E-3</v>
      </c>
      <c r="CG109" s="330"/>
      <c r="CH109" s="330"/>
      <c r="CI109" s="330"/>
      <c r="CJ109" s="330"/>
      <c r="CK109" s="330"/>
      <c r="CL109" s="330"/>
      <c r="CM109" s="330"/>
      <c r="CN109" s="330"/>
      <c r="CO109" s="330"/>
      <c r="CP109" s="330"/>
      <c r="CQ109" s="330"/>
      <c r="CR109" s="330"/>
      <c r="CS109" s="330">
        <f>'330-соус сметанный'!C22/'330-соус сметанный'!C27*1000*'140-свекла тушен.'!C23</f>
        <v>0</v>
      </c>
      <c r="CT109" s="330"/>
      <c r="CU109" s="330"/>
      <c r="CV109" s="330"/>
      <c r="CW109" s="330"/>
      <c r="CX109" s="330"/>
      <c r="CY109" s="330"/>
      <c r="CZ109" s="330"/>
      <c r="DA109" s="330"/>
      <c r="DB109" s="330"/>
      <c r="DC109" s="330">
        <f>'330-соус сметанный'!C23/'330-соус сметанный'!C27*1000*'140-свекла тушен.'!C23</f>
        <v>2.0000000000000001E-4</v>
      </c>
      <c r="DD109" s="330"/>
      <c r="DE109" s="330"/>
      <c r="DF109" s="330"/>
      <c r="DG109" s="330"/>
      <c r="DH109" s="330"/>
      <c r="DI109" s="330"/>
      <c r="DJ109" s="330"/>
      <c r="DK109" s="330"/>
      <c r="DL109" s="330"/>
      <c r="DM109" s="330"/>
      <c r="DN109" s="330"/>
      <c r="DO109" s="330"/>
      <c r="DP109" s="330"/>
      <c r="DQ109" s="330"/>
      <c r="DR109" s="330"/>
      <c r="DS109" s="330"/>
      <c r="DT109" s="330"/>
      <c r="DU109" s="330"/>
      <c r="DV109" s="330"/>
      <c r="DW109" s="330"/>
      <c r="DX109" s="330"/>
      <c r="DY109" s="330"/>
      <c r="DZ109" s="330"/>
      <c r="EA109" s="330"/>
      <c r="EB109" s="330"/>
      <c r="EC109" s="330"/>
      <c r="ED109" s="330"/>
      <c r="EE109" s="330"/>
      <c r="EF109" s="330"/>
      <c r="EG109" s="330"/>
      <c r="EH109" s="330"/>
      <c r="EI109" s="330"/>
      <c r="EJ109" s="330"/>
      <c r="EK109" s="330"/>
      <c r="EL109" s="330"/>
      <c r="EM109" s="330"/>
      <c r="EN109" s="330"/>
      <c r="EO109" s="330"/>
      <c r="EP109" s="330"/>
      <c r="EQ109" s="330"/>
      <c r="ER109" s="330"/>
      <c r="ES109" s="330"/>
      <c r="ET109" s="330"/>
      <c r="EU109" s="330"/>
      <c r="EV109" s="330"/>
      <c r="EW109" s="330"/>
      <c r="EX109" s="330"/>
      <c r="EY109" s="1032">
        <f t="shared" si="0"/>
        <v>0.17932999999999999</v>
      </c>
    </row>
    <row r="110" spans="1:166" ht="14.7" customHeight="1" x14ac:dyDescent="0.25">
      <c r="A110" s="421">
        <v>106</v>
      </c>
      <c r="B110" s="183" t="str">
        <f>'142-картофель и овощи'!A9</f>
        <v>Картофель и овощи, тушенные в сметанном соусе</v>
      </c>
      <c r="C110" s="419">
        <f>'142-картофель и овощи'!C29</f>
        <v>125</v>
      </c>
      <c r="D110" s="1211">
        <f>2.72/125*C110</f>
        <v>2.72</v>
      </c>
      <c r="E110" s="1211">
        <f>10.49/125*C110</f>
        <v>10.49</v>
      </c>
      <c r="F110" s="1211">
        <f>18.88/125*C110</f>
        <v>18.88</v>
      </c>
      <c r="G110" s="1212">
        <f>180/125*C110</f>
        <v>180</v>
      </c>
      <c r="H110" s="419">
        <f>'142-картофель и овощи'!J7</f>
        <v>142</v>
      </c>
      <c r="I110" s="1234">
        <f>'142-картофель и овощи'!F31</f>
        <v>10.74</v>
      </c>
      <c r="J110" s="330"/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>
        <f>'330-соус сметанный'!C19/1000*25</f>
        <v>6.2500000000000003E-3</v>
      </c>
      <c r="Z110" s="330"/>
      <c r="AA110" s="330"/>
      <c r="AB110" s="330"/>
      <c r="AC110" s="330"/>
      <c r="AD110" s="330"/>
      <c r="AE110" s="330"/>
      <c r="AF110" s="330"/>
      <c r="AG110" s="330"/>
      <c r="AH110" s="330">
        <f>'142-картофель и овощи'!C19</f>
        <v>0.154</v>
      </c>
      <c r="AI110" s="330"/>
      <c r="AJ110" s="330"/>
      <c r="AK110" s="330">
        <f>'142-картофель и овощи'!C21</f>
        <v>6.0000000000000001E-3</v>
      </c>
      <c r="AL110" s="330"/>
      <c r="AM110" s="330"/>
      <c r="AN110" s="330"/>
      <c r="AO110" s="330"/>
      <c r="AP110" s="330"/>
      <c r="AQ110" s="330">
        <f>'142-картофель и овощи'!C20</f>
        <v>7.0000000000000001E-3</v>
      </c>
      <c r="AR110" s="330"/>
      <c r="AS110" s="330"/>
      <c r="AT110" s="330"/>
      <c r="AU110" s="330"/>
      <c r="AV110" s="330"/>
      <c r="AW110" s="330"/>
      <c r="AX110" s="330"/>
      <c r="AY110" s="330"/>
      <c r="AZ110" s="330"/>
      <c r="BA110" s="330"/>
      <c r="BB110" s="330"/>
      <c r="BC110" s="330"/>
      <c r="BD110" s="330"/>
      <c r="BE110" s="330"/>
      <c r="BF110" s="330"/>
      <c r="BG110" s="330"/>
      <c r="BH110" s="330"/>
      <c r="BI110" s="330"/>
      <c r="BJ110" s="330"/>
      <c r="BK110" s="330"/>
      <c r="BL110" s="330"/>
      <c r="BM110" s="330"/>
      <c r="BN110" s="330"/>
      <c r="BO110" s="330"/>
      <c r="BP110" s="330"/>
      <c r="BQ110" s="330"/>
      <c r="BR110" s="330"/>
      <c r="BS110" s="330">
        <f>'330-соус сметанный'!C20/1000*25</f>
        <v>1.8799999999999999E-3</v>
      </c>
      <c r="BT110" s="330"/>
      <c r="BU110" s="330"/>
      <c r="BV110" s="330"/>
      <c r="BW110" s="330"/>
      <c r="BX110" s="330"/>
      <c r="BY110" s="330"/>
      <c r="BZ110" s="330"/>
      <c r="CA110" s="330"/>
      <c r="CB110" s="330"/>
      <c r="CC110" s="330"/>
      <c r="CD110" s="330"/>
      <c r="CE110" s="330"/>
      <c r="CF110" s="330">
        <f>'142-картофель и овощи'!C22</f>
        <v>7.0000000000000001E-3</v>
      </c>
      <c r="CG110" s="330"/>
      <c r="CH110" s="330"/>
      <c r="CI110" s="330"/>
      <c r="CJ110" s="330"/>
      <c r="CK110" s="330"/>
      <c r="CL110" s="330"/>
      <c r="CM110" s="330"/>
      <c r="CN110" s="330"/>
      <c r="CO110" s="330"/>
      <c r="CP110" s="330"/>
      <c r="CQ110" s="330"/>
      <c r="CR110" s="330"/>
      <c r="CS110" s="330">
        <f>'142-картофель и овощи'!C23+('330-соус сметанный'!C22/1000*25)</f>
        <v>1.0000000000000001E-5</v>
      </c>
      <c r="CT110" s="330"/>
      <c r="CU110" s="330"/>
      <c r="CV110" s="330"/>
      <c r="CW110" s="330"/>
      <c r="CX110" s="330"/>
      <c r="CY110" s="330"/>
      <c r="CZ110" s="330"/>
      <c r="DA110" s="330"/>
      <c r="DB110" s="330"/>
      <c r="DC110" s="330">
        <f>'142-картофель и овощи'!C24+('330-соус сметанный'!C23/1000*25)</f>
        <v>2.9999999999999997E-4</v>
      </c>
      <c r="DD110" s="330"/>
      <c r="DE110" s="330"/>
      <c r="DF110" s="330"/>
      <c r="DG110" s="330"/>
      <c r="DH110" s="330"/>
      <c r="DI110" s="330"/>
      <c r="DJ110" s="330"/>
      <c r="DK110" s="330"/>
      <c r="DL110" s="330"/>
      <c r="DM110" s="330"/>
      <c r="DN110" s="330"/>
      <c r="DO110" s="330"/>
      <c r="DP110" s="330"/>
      <c r="DQ110" s="330"/>
      <c r="DR110" s="330"/>
      <c r="DS110" s="330"/>
      <c r="DT110" s="330"/>
      <c r="DU110" s="330"/>
      <c r="DV110" s="330"/>
      <c r="DW110" s="330"/>
      <c r="DX110" s="330"/>
      <c r="DY110" s="330"/>
      <c r="DZ110" s="330"/>
      <c r="EA110" s="330"/>
      <c r="EB110" s="330"/>
      <c r="EC110" s="330"/>
      <c r="ED110" s="330"/>
      <c r="EE110" s="330"/>
      <c r="EF110" s="330"/>
      <c r="EG110" s="330"/>
      <c r="EH110" s="330"/>
      <c r="EI110" s="330"/>
      <c r="EJ110" s="330"/>
      <c r="EK110" s="330"/>
      <c r="EL110" s="330"/>
      <c r="EM110" s="330"/>
      <c r="EN110" s="330"/>
      <c r="EO110" s="330"/>
      <c r="EP110" s="330"/>
      <c r="EQ110" s="330"/>
      <c r="ER110" s="330"/>
      <c r="ES110" s="330"/>
      <c r="ET110" s="330"/>
      <c r="EU110" s="330"/>
      <c r="EV110" s="330"/>
      <c r="EW110" s="330"/>
      <c r="EX110" s="330"/>
      <c r="EY110" s="1032">
        <f t="shared" si="0"/>
        <v>0.18243999999999999</v>
      </c>
    </row>
    <row r="111" spans="1:166" ht="14.7" customHeight="1" x14ac:dyDescent="0.25">
      <c r="A111" s="421">
        <v>107</v>
      </c>
      <c r="B111" s="183" t="str">
        <f>'143-рагу'!A9</f>
        <v>Рагу из овощей</v>
      </c>
      <c r="C111" s="419">
        <f>'143-рагу'!C34</f>
        <v>160</v>
      </c>
      <c r="D111" s="1211">
        <f>1.77/105*C111</f>
        <v>2.7</v>
      </c>
      <c r="E111" s="1211">
        <f>10.99/105*C111</f>
        <v>16.75</v>
      </c>
      <c r="F111" s="1211">
        <f>8.6/105*C111</f>
        <v>13.1</v>
      </c>
      <c r="G111" s="1212">
        <f>142/105*C111</f>
        <v>216</v>
      </c>
      <c r="H111" s="419">
        <f>'143-рагу'!J7</f>
        <v>143</v>
      </c>
      <c r="I111" s="483">
        <f>'143-рагу'!F36</f>
        <v>19.18</v>
      </c>
      <c r="J111" s="330"/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>
        <f>'143-рагу'!C29</f>
        <v>8.0000000000000002E-3</v>
      </c>
      <c r="W111" s="330"/>
      <c r="X111" s="330"/>
      <c r="Y111" s="330">
        <f>'330-соус сметанный'!C19*'143-рагу'!C25</f>
        <v>1.125E-2</v>
      </c>
      <c r="Z111" s="330"/>
      <c r="AA111" s="330"/>
      <c r="AB111" s="330"/>
      <c r="AC111" s="330"/>
      <c r="AD111" s="330"/>
      <c r="AE111" s="330"/>
      <c r="AF111" s="330">
        <f>'143-рагу'!C23</f>
        <v>3.7499999999999999E-2</v>
      </c>
      <c r="AG111" s="330"/>
      <c r="AH111" s="330">
        <f>'143-рагу'!C19</f>
        <v>6.4500000000000002E-2</v>
      </c>
      <c r="AI111" s="330"/>
      <c r="AJ111" s="330"/>
      <c r="AK111" s="330">
        <f>'143-рагу'!C21</f>
        <v>1.4999999999999999E-2</v>
      </c>
      <c r="AL111" s="330"/>
      <c r="AM111" s="330"/>
      <c r="AN111" s="330"/>
      <c r="AO111" s="330"/>
      <c r="AP111" s="330"/>
      <c r="AQ111" s="330">
        <f>'143-рагу'!C20</f>
        <v>0.03</v>
      </c>
      <c r="AR111" s="330"/>
      <c r="AS111" s="330"/>
      <c r="AT111" s="330"/>
      <c r="AU111" s="330">
        <f>'143-рагу'!C30</f>
        <v>2E-3</v>
      </c>
      <c r="AV111" s="330"/>
      <c r="AW111" s="330"/>
      <c r="AX111" s="330"/>
      <c r="AY111" s="330"/>
      <c r="AZ111" s="330"/>
      <c r="BA111" s="330">
        <f>'143-рагу'!C22</f>
        <v>3.15E-2</v>
      </c>
      <c r="BB111" s="330"/>
      <c r="BC111" s="330"/>
      <c r="BD111" s="330"/>
      <c r="BE111" s="330"/>
      <c r="BF111" s="330"/>
      <c r="BG111" s="330"/>
      <c r="BH111" s="330"/>
      <c r="BI111" s="330"/>
      <c r="BJ111" s="330"/>
      <c r="BK111" s="330"/>
      <c r="BL111" s="330"/>
      <c r="BM111" s="330"/>
      <c r="BN111" s="330"/>
      <c r="BO111" s="330"/>
      <c r="BP111" s="330"/>
      <c r="BQ111" s="330"/>
      <c r="BR111" s="330"/>
      <c r="BS111" s="330">
        <f>'330-соус сметанный'!C20*'143-рагу'!C25</f>
        <v>3.3800000000000002E-3</v>
      </c>
      <c r="BT111" s="330"/>
      <c r="BU111" s="330"/>
      <c r="BV111" s="330"/>
      <c r="BW111" s="330"/>
      <c r="BX111" s="330"/>
      <c r="BY111" s="330"/>
      <c r="BZ111" s="330"/>
      <c r="CA111" s="330"/>
      <c r="CB111" s="330"/>
      <c r="CC111" s="330"/>
      <c r="CD111" s="330"/>
      <c r="CE111" s="330"/>
      <c r="CF111" s="330">
        <f>'143-рагу'!C24</f>
        <v>6.0000000000000001E-3</v>
      </c>
      <c r="CG111" s="330"/>
      <c r="CH111" s="330"/>
      <c r="CI111" s="330"/>
      <c r="CJ111" s="330"/>
      <c r="CK111" s="330"/>
      <c r="CL111" s="330"/>
      <c r="CM111" s="330"/>
      <c r="CN111" s="330"/>
      <c r="CO111" s="330"/>
      <c r="CP111" s="330"/>
      <c r="CQ111" s="330"/>
      <c r="CR111" s="330"/>
      <c r="CS111" s="330">
        <f>'143-рагу'!C26+'330-соус сметанный'!C22*'143-рагу'!C25</f>
        <v>2.0000000000000002E-5</v>
      </c>
      <c r="CT111" s="330"/>
      <c r="CU111" s="330"/>
      <c r="CV111" s="330"/>
      <c r="CW111" s="330"/>
      <c r="CX111" s="330"/>
      <c r="CY111" s="330"/>
      <c r="CZ111" s="330"/>
      <c r="DA111" s="330"/>
      <c r="DB111" s="330"/>
      <c r="DC111" s="330">
        <f>'143-рагу'!C27+'330-соус сметанный'!C23*'143-рагу'!C25</f>
        <v>1.8600000000000001E-3</v>
      </c>
      <c r="DD111" s="330"/>
      <c r="DE111" s="330"/>
      <c r="DF111" s="330"/>
      <c r="DG111" s="330"/>
      <c r="DH111" s="330"/>
      <c r="DI111" s="330"/>
      <c r="DJ111" s="330"/>
      <c r="DK111" s="330"/>
      <c r="DL111" s="330"/>
      <c r="DM111" s="330"/>
      <c r="DN111" s="330"/>
      <c r="DO111" s="330"/>
      <c r="DP111" s="330"/>
      <c r="DQ111" s="330"/>
      <c r="DR111" s="330"/>
      <c r="DS111" s="330"/>
      <c r="DT111" s="330"/>
      <c r="DU111" s="330"/>
      <c r="DV111" s="330"/>
      <c r="DW111" s="330"/>
      <c r="DX111" s="330"/>
      <c r="DY111" s="330"/>
      <c r="DZ111" s="330"/>
      <c r="EA111" s="330"/>
      <c r="EB111" s="330"/>
      <c r="EC111" s="330"/>
      <c r="ED111" s="330"/>
      <c r="EE111" s="330"/>
      <c r="EF111" s="330"/>
      <c r="EG111" s="330"/>
      <c r="EH111" s="330"/>
      <c r="EI111" s="330"/>
      <c r="EJ111" s="330"/>
      <c r="EK111" s="330"/>
      <c r="EL111" s="330"/>
      <c r="EM111" s="330"/>
      <c r="EN111" s="330"/>
      <c r="EO111" s="330"/>
      <c r="EP111" s="330"/>
      <c r="EQ111" s="330"/>
      <c r="ER111" s="330"/>
      <c r="ES111" s="330"/>
      <c r="ET111" s="330"/>
      <c r="EU111" s="330"/>
      <c r="EV111" s="330"/>
      <c r="EW111" s="330"/>
      <c r="EX111" s="330"/>
      <c r="EY111" s="1032">
        <f t="shared" si="0"/>
        <v>0.21101</v>
      </c>
    </row>
    <row r="112" spans="1:166" ht="14.7" customHeight="1" x14ac:dyDescent="0.25">
      <c r="A112" s="421">
        <v>108</v>
      </c>
      <c r="B112" s="183" t="str">
        <f>'145-картофель тушен.'!A9</f>
        <v xml:space="preserve">Картофель, тушенный с луком и томатом в сметанном соусе </v>
      </c>
      <c r="C112" s="419">
        <f>'145-картофель тушен.'!C30</f>
        <v>100</v>
      </c>
      <c r="D112" s="1211">
        <f>2.09/100*C112</f>
        <v>2.09</v>
      </c>
      <c r="E112" s="1211">
        <f>7.05/100*C112</f>
        <v>7.05</v>
      </c>
      <c r="F112" s="1211">
        <f>14.07/100*C112</f>
        <v>14.07</v>
      </c>
      <c r="G112" s="1212">
        <f>130/100*C112</f>
        <v>130</v>
      </c>
      <c r="H112" s="419">
        <f>'145-картофель тушен.'!J7</f>
        <v>145</v>
      </c>
      <c r="I112" s="1234">
        <f>'145-картофель тушен.'!F32</f>
        <v>8.99</v>
      </c>
      <c r="J112" s="330"/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>
        <f>'331-соус с томатом'!C19/1000*25</f>
        <v>6.2500000000000003E-3</v>
      </c>
      <c r="Z112" s="330"/>
      <c r="AA112" s="330"/>
      <c r="AB112" s="330"/>
      <c r="AC112" s="330"/>
      <c r="AD112" s="330"/>
      <c r="AE112" s="330"/>
      <c r="AF112" s="330"/>
      <c r="AG112" s="330"/>
      <c r="AH112" s="330">
        <f>'145-картофель тушен.'!C19</f>
        <v>9.9000000000000005E-2</v>
      </c>
      <c r="AI112" s="330"/>
      <c r="AJ112" s="330"/>
      <c r="AK112" s="330">
        <f>'145-картофель тушен.'!C21</f>
        <v>2.4E-2</v>
      </c>
      <c r="AL112" s="330"/>
      <c r="AM112" s="330"/>
      <c r="AN112" s="330"/>
      <c r="AO112" s="330"/>
      <c r="AP112" s="330"/>
      <c r="AQ112" s="330"/>
      <c r="AR112" s="330"/>
      <c r="AS112" s="330"/>
      <c r="AT112" s="330"/>
      <c r="AU112" s="330"/>
      <c r="AV112" s="330"/>
      <c r="AW112" s="330"/>
      <c r="AX112" s="330"/>
      <c r="AY112" s="330"/>
      <c r="AZ112" s="330"/>
      <c r="BA112" s="330"/>
      <c r="BB112" s="330"/>
      <c r="BC112" s="330"/>
      <c r="BD112" s="330"/>
      <c r="BE112" s="330"/>
      <c r="BF112" s="330"/>
      <c r="BG112" s="330"/>
      <c r="BH112" s="330"/>
      <c r="BI112" s="330"/>
      <c r="BJ112" s="330"/>
      <c r="BK112" s="330"/>
      <c r="BL112" s="330"/>
      <c r="BM112" s="330"/>
      <c r="BN112" s="330"/>
      <c r="BO112" s="330"/>
      <c r="BP112" s="330"/>
      <c r="BQ112" s="330"/>
      <c r="BR112" s="330"/>
      <c r="BS112" s="330">
        <f>'331-соус с томатом'!C20/1000*25</f>
        <v>1.8799999999999999E-3</v>
      </c>
      <c r="BT112" s="330"/>
      <c r="BU112" s="330"/>
      <c r="BV112" s="330"/>
      <c r="BW112" s="330"/>
      <c r="BX112" s="330"/>
      <c r="BY112" s="330"/>
      <c r="BZ112" s="330"/>
      <c r="CA112" s="330"/>
      <c r="CB112" s="330"/>
      <c r="CC112" s="330"/>
      <c r="CD112" s="330"/>
      <c r="CE112" s="330"/>
      <c r="CF112" s="330">
        <f>'145-картофель тушен.'!C20+'145-картофель тушен.'!C22</f>
        <v>6.0000000000000001E-3</v>
      </c>
      <c r="CG112" s="330"/>
      <c r="CH112" s="330"/>
      <c r="CI112" s="330"/>
      <c r="CJ112" s="330"/>
      <c r="CK112" s="330"/>
      <c r="CL112" s="330"/>
      <c r="CM112" s="330"/>
      <c r="CN112" s="330"/>
      <c r="CO112" s="330"/>
      <c r="CP112" s="330"/>
      <c r="CQ112" s="330"/>
      <c r="CR112" s="330"/>
      <c r="CS112" s="330">
        <f>'145-картофель тушен.'!C25+('331-соус с томатом'!C23/1000*25)</f>
        <v>1.0000000000000001E-5</v>
      </c>
      <c r="CT112" s="330"/>
      <c r="CU112" s="330"/>
      <c r="CV112" s="330"/>
      <c r="CW112" s="330"/>
      <c r="CX112" s="330"/>
      <c r="CY112" s="330"/>
      <c r="CZ112" s="330"/>
      <c r="DA112" s="330"/>
      <c r="DB112" s="330"/>
      <c r="DC112" s="330">
        <f>'331-соус с томатом'!C24/1000*25</f>
        <v>2.0000000000000001E-4</v>
      </c>
      <c r="DD112" s="330"/>
      <c r="DE112" s="330"/>
      <c r="DF112" s="330">
        <f>'331-соус с томатом'!C22/1000*25</f>
        <v>2.5000000000000001E-3</v>
      </c>
      <c r="DG112" s="330"/>
      <c r="DH112" s="330"/>
      <c r="DI112" s="330"/>
      <c r="DJ112" s="330"/>
      <c r="DK112" s="330"/>
      <c r="DL112" s="330"/>
      <c r="DM112" s="330"/>
      <c r="DN112" s="330"/>
      <c r="DO112" s="330"/>
      <c r="DP112" s="330"/>
      <c r="DQ112" s="330"/>
      <c r="DR112" s="330"/>
      <c r="DS112" s="330"/>
      <c r="DT112" s="330"/>
      <c r="DU112" s="330"/>
      <c r="DV112" s="330"/>
      <c r="DW112" s="330"/>
      <c r="DX112" s="330"/>
      <c r="DY112" s="330"/>
      <c r="DZ112" s="330"/>
      <c r="EA112" s="330"/>
      <c r="EB112" s="330"/>
      <c r="EC112" s="330"/>
      <c r="ED112" s="330"/>
      <c r="EE112" s="330"/>
      <c r="EF112" s="330"/>
      <c r="EG112" s="330"/>
      <c r="EH112" s="330"/>
      <c r="EI112" s="330"/>
      <c r="EJ112" s="330"/>
      <c r="EK112" s="330"/>
      <c r="EL112" s="330"/>
      <c r="EM112" s="330"/>
      <c r="EN112" s="330"/>
      <c r="EO112" s="330"/>
      <c r="EP112" s="330"/>
      <c r="EQ112" s="330"/>
      <c r="ER112" s="330"/>
      <c r="ES112" s="330"/>
      <c r="ET112" s="330"/>
      <c r="EU112" s="330"/>
      <c r="EV112" s="330"/>
      <c r="EW112" s="330"/>
      <c r="EX112" s="330"/>
      <c r="EY112" s="1032">
        <f t="shared" ref="EY112:EY178" si="17">SUM(J112:EX112)</f>
        <v>0.13983999999999999</v>
      </c>
    </row>
    <row r="113" spans="1:166" ht="14.7" customHeight="1" x14ac:dyDescent="0.25">
      <c r="A113" s="421">
        <v>109</v>
      </c>
      <c r="B113" s="183" t="str">
        <f>'147-картофель жарен.100'!A9</f>
        <v>Картофель, жаренный брусочками, дольками и.т.д.</v>
      </c>
      <c r="C113" s="419">
        <f>'147-картофель жарен.100'!C26</f>
        <v>100</v>
      </c>
      <c r="D113" s="1211">
        <f>2.76/100*C113</f>
        <v>2.76</v>
      </c>
      <c r="E113" s="1211">
        <f>9.51/100*C113</f>
        <v>9.51</v>
      </c>
      <c r="F113" s="1211">
        <f>21.15/100*C113</f>
        <v>21.15</v>
      </c>
      <c r="G113" s="1212">
        <f>185/100*C113</f>
        <v>185</v>
      </c>
      <c r="H113" s="419">
        <f>'147-картофель жарен.100'!J7</f>
        <v>147</v>
      </c>
      <c r="I113" s="1234">
        <f>'147-картофель жарен.100'!F28</f>
        <v>11.45</v>
      </c>
      <c r="J113" s="330"/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0"/>
      <c r="AD113" s="330"/>
      <c r="AE113" s="330"/>
      <c r="AF113" s="330"/>
      <c r="AG113" s="330"/>
      <c r="AH113" s="330">
        <f>'147-картофель жарен.100'!C19</f>
        <v>0.193</v>
      </c>
      <c r="AI113" s="330"/>
      <c r="AJ113" s="330"/>
      <c r="AK113" s="330"/>
      <c r="AL113" s="330"/>
      <c r="AM113" s="330"/>
      <c r="AN113" s="330"/>
      <c r="AO113" s="330"/>
      <c r="AP113" s="330"/>
      <c r="AQ113" s="330"/>
      <c r="AR113" s="330"/>
      <c r="AS113" s="330"/>
      <c r="AT113" s="330"/>
      <c r="AU113" s="330">
        <f>'147-картофель жарен.100'!C21</f>
        <v>2E-3</v>
      </c>
      <c r="AV113" s="330"/>
      <c r="AW113" s="330"/>
      <c r="AX113" s="330"/>
      <c r="AY113" s="330"/>
      <c r="AZ113" s="330"/>
      <c r="BA113" s="330"/>
      <c r="BB113" s="330"/>
      <c r="BC113" s="330"/>
      <c r="BD113" s="330"/>
      <c r="BE113" s="330"/>
      <c r="BF113" s="330"/>
      <c r="BG113" s="330"/>
      <c r="BH113" s="330"/>
      <c r="BI113" s="330"/>
      <c r="BJ113" s="330"/>
      <c r="BK113" s="330"/>
      <c r="BL113" s="330"/>
      <c r="BM113" s="330"/>
      <c r="BN113" s="330"/>
      <c r="BO113" s="330"/>
      <c r="BP113" s="330"/>
      <c r="BQ113" s="330"/>
      <c r="BR113" s="330"/>
      <c r="BS113" s="330"/>
      <c r="BT113" s="330"/>
      <c r="BU113" s="330"/>
      <c r="BV113" s="330"/>
      <c r="BW113" s="330"/>
      <c r="BX113" s="330"/>
      <c r="BY113" s="330"/>
      <c r="BZ113" s="330"/>
      <c r="CA113" s="330"/>
      <c r="CB113" s="330"/>
      <c r="CC113" s="330"/>
      <c r="CD113" s="330"/>
      <c r="CE113" s="330"/>
      <c r="CF113" s="330">
        <f>'147-картофель жарен.100'!C20</f>
        <v>0.01</v>
      </c>
      <c r="CG113" s="330"/>
      <c r="CH113" s="330"/>
      <c r="CI113" s="330"/>
      <c r="CJ113" s="330"/>
      <c r="CK113" s="330"/>
      <c r="CL113" s="330"/>
      <c r="CM113" s="330"/>
      <c r="CN113" s="330"/>
      <c r="CO113" s="330"/>
      <c r="CP113" s="330"/>
      <c r="CQ113" s="330"/>
      <c r="CR113" s="330"/>
      <c r="CS113" s="330"/>
      <c r="CT113" s="330"/>
      <c r="CU113" s="330"/>
      <c r="CV113" s="330"/>
      <c r="CW113" s="330"/>
      <c r="CX113" s="330"/>
      <c r="CY113" s="330"/>
      <c r="CZ113" s="330"/>
      <c r="DA113" s="330"/>
      <c r="DB113" s="330"/>
      <c r="DC113" s="330"/>
      <c r="DD113" s="330"/>
      <c r="DE113" s="330"/>
      <c r="DF113" s="330"/>
      <c r="DG113" s="330"/>
      <c r="DH113" s="330"/>
      <c r="DI113" s="330"/>
      <c r="DJ113" s="330"/>
      <c r="DK113" s="330"/>
      <c r="DL113" s="330"/>
      <c r="DM113" s="330"/>
      <c r="DN113" s="330"/>
      <c r="DO113" s="330"/>
      <c r="DP113" s="330"/>
      <c r="DQ113" s="330"/>
      <c r="DR113" s="330"/>
      <c r="DS113" s="330"/>
      <c r="DT113" s="330"/>
      <c r="DU113" s="330"/>
      <c r="DV113" s="330"/>
      <c r="DW113" s="330"/>
      <c r="DX113" s="330"/>
      <c r="DY113" s="330"/>
      <c r="DZ113" s="330"/>
      <c r="EA113" s="330"/>
      <c r="EB113" s="330"/>
      <c r="EC113" s="330"/>
      <c r="ED113" s="330"/>
      <c r="EE113" s="330"/>
      <c r="EF113" s="330"/>
      <c r="EG113" s="330"/>
      <c r="EH113" s="330"/>
      <c r="EI113" s="330"/>
      <c r="EJ113" s="330"/>
      <c r="EK113" s="330"/>
      <c r="EL113" s="330"/>
      <c r="EM113" s="330"/>
      <c r="EN113" s="330"/>
      <c r="EO113" s="330"/>
      <c r="EP113" s="330"/>
      <c r="EQ113" s="330"/>
      <c r="ER113" s="330"/>
      <c r="ES113" s="330"/>
      <c r="ET113" s="330"/>
      <c r="EU113" s="330"/>
      <c r="EV113" s="330"/>
      <c r="EW113" s="330"/>
      <c r="EX113" s="330"/>
      <c r="EY113" s="1032">
        <f t="shared" si="17"/>
        <v>0.20499999999999999</v>
      </c>
    </row>
    <row r="114" spans="1:166" ht="14.7" customHeight="1" x14ac:dyDescent="0.25">
      <c r="A114" s="421">
        <v>110</v>
      </c>
      <c r="B114" s="183" t="str">
        <f>'167-голубцы овощ.'!A9</f>
        <v>Голубцы овощные с соусом сметанным и томатом</v>
      </c>
      <c r="C114" s="419">
        <f>'167-голубцы овощ.'!C33</f>
        <v>125</v>
      </c>
      <c r="D114" s="1211">
        <f>2.98/125*C114</f>
        <v>2.98</v>
      </c>
      <c r="E114" s="1211">
        <f>7.79/125*C114</f>
        <v>7.79</v>
      </c>
      <c r="F114" s="1211">
        <f>13.68/125*C114</f>
        <v>13.68</v>
      </c>
      <c r="G114" s="1212">
        <f>152/125*C114</f>
        <v>152</v>
      </c>
      <c r="H114" s="419">
        <f>'167-голубцы овощ.'!J7</f>
        <v>167</v>
      </c>
      <c r="I114" s="1234">
        <f>'167-голубцы овощ.'!F35</f>
        <v>12.62</v>
      </c>
      <c r="J114" s="330"/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>
        <f>'331-соус с томатом'!C19/1000*50</f>
        <v>1.2500000000000001E-2</v>
      </c>
      <c r="Z114" s="330"/>
      <c r="AA114" s="330"/>
      <c r="AB114" s="330"/>
      <c r="AC114" s="330"/>
      <c r="AD114" s="330"/>
      <c r="AE114" s="330"/>
      <c r="AF114" s="330">
        <f>'167-голубцы овощ.'!C19</f>
        <v>9.5000000000000001E-2</v>
      </c>
      <c r="AG114" s="330"/>
      <c r="AH114" s="330"/>
      <c r="AI114" s="330"/>
      <c r="AJ114" s="330"/>
      <c r="AK114" s="330">
        <f>'167-голубцы овощ.'!C23</f>
        <v>1.7999999999999999E-2</v>
      </c>
      <c r="AL114" s="330"/>
      <c r="AM114" s="330"/>
      <c r="AN114" s="330"/>
      <c r="AO114" s="330"/>
      <c r="AP114" s="330"/>
      <c r="AQ114" s="330">
        <f>'167-голубцы овощ.'!C22</f>
        <v>1.4E-2</v>
      </c>
      <c r="AR114" s="330"/>
      <c r="AS114" s="330"/>
      <c r="AT114" s="330"/>
      <c r="AU114" s="330">
        <f>'167-голубцы овощ.'!C25</f>
        <v>1.5E-3</v>
      </c>
      <c r="AV114" s="330"/>
      <c r="AW114" s="330"/>
      <c r="AX114" s="330"/>
      <c r="AY114" s="330"/>
      <c r="AZ114" s="330"/>
      <c r="BA114" s="330"/>
      <c r="BB114" s="330"/>
      <c r="BC114" s="330"/>
      <c r="BD114" s="330"/>
      <c r="BE114" s="330"/>
      <c r="BF114" s="330"/>
      <c r="BG114" s="330"/>
      <c r="BH114" s="330"/>
      <c r="BI114" s="330"/>
      <c r="BJ114" s="330"/>
      <c r="BK114" s="330"/>
      <c r="BL114" s="330"/>
      <c r="BM114" s="330"/>
      <c r="BN114" s="330"/>
      <c r="BO114" s="330"/>
      <c r="BP114" s="330"/>
      <c r="BQ114" s="330"/>
      <c r="BR114" s="330"/>
      <c r="BS114" s="330">
        <f>'331-соус с томатом'!C20/1000*50</f>
        <v>3.7499999999999999E-3</v>
      </c>
      <c r="BT114" s="330"/>
      <c r="BU114" s="330"/>
      <c r="BV114" s="330"/>
      <c r="BW114" s="330"/>
      <c r="BX114" s="330"/>
      <c r="BY114" s="330"/>
      <c r="BZ114" s="330"/>
      <c r="CA114" s="330"/>
      <c r="CB114" s="330">
        <f>'167-голубцы овощ.'!C24</f>
        <v>6.0000000000000001E-3</v>
      </c>
      <c r="CC114" s="330"/>
      <c r="CD114" s="330"/>
      <c r="CE114" s="330"/>
      <c r="CF114" s="330">
        <f>'167-голубцы овощ.'!C26</f>
        <v>6.0000000000000001E-3</v>
      </c>
      <c r="CG114" s="330"/>
      <c r="CH114" s="330"/>
      <c r="CI114" s="330"/>
      <c r="CJ114" s="330"/>
      <c r="CK114" s="330"/>
      <c r="CL114" s="330"/>
      <c r="CM114" s="330"/>
      <c r="CN114" s="330"/>
      <c r="CO114" s="330"/>
      <c r="CP114" s="330"/>
      <c r="CQ114" s="330"/>
      <c r="CR114" s="330"/>
      <c r="CS114" s="330"/>
      <c r="CT114" s="330"/>
      <c r="CU114" s="330"/>
      <c r="CV114" s="330"/>
      <c r="CW114" s="330"/>
      <c r="CX114" s="330"/>
      <c r="CY114" s="330"/>
      <c r="CZ114" s="330"/>
      <c r="DA114" s="330"/>
      <c r="DB114" s="330"/>
      <c r="DC114" s="330">
        <f>'331-соус с томатом'!C24/1000*50</f>
        <v>4.0000000000000002E-4</v>
      </c>
      <c r="DD114" s="330"/>
      <c r="DE114" s="330"/>
      <c r="DF114" s="330">
        <f>'331-соус с томатом'!C22/1000*50</f>
        <v>5.0000000000000001E-3</v>
      </c>
      <c r="DG114" s="330"/>
      <c r="DH114" s="330"/>
      <c r="DI114" s="330"/>
      <c r="DJ114" s="330"/>
      <c r="DK114" s="330"/>
      <c r="DL114" s="330"/>
      <c r="DM114" s="330"/>
      <c r="DN114" s="330"/>
      <c r="DO114" s="330"/>
      <c r="DP114" s="330"/>
      <c r="DQ114" s="330"/>
      <c r="DR114" s="330"/>
      <c r="DS114" s="330"/>
      <c r="DT114" s="330"/>
      <c r="DU114" s="330"/>
      <c r="DV114" s="330"/>
      <c r="DW114" s="330"/>
      <c r="DX114" s="330"/>
      <c r="DY114" s="330"/>
      <c r="DZ114" s="330"/>
      <c r="EA114" s="330"/>
      <c r="EB114" s="330"/>
      <c r="EC114" s="330"/>
      <c r="ED114" s="330"/>
      <c r="EE114" s="330"/>
      <c r="EF114" s="330"/>
      <c r="EG114" s="330"/>
      <c r="EH114" s="330"/>
      <c r="EI114" s="330"/>
      <c r="EJ114" s="330"/>
      <c r="EK114" s="330"/>
      <c r="EL114" s="330"/>
      <c r="EM114" s="330"/>
      <c r="EN114" s="330"/>
      <c r="EO114" s="330"/>
      <c r="EP114" s="330"/>
      <c r="EQ114" s="330"/>
      <c r="ER114" s="330"/>
      <c r="ES114" s="330"/>
      <c r="ET114" s="330"/>
      <c r="EU114" s="330"/>
      <c r="EV114" s="330"/>
      <c r="EW114" s="330"/>
      <c r="EX114" s="330"/>
      <c r="EY114" s="1032">
        <f t="shared" si="17"/>
        <v>0.16214999999999999</v>
      </c>
    </row>
    <row r="115" spans="1:166" ht="29.4" customHeight="1" x14ac:dyDescent="0.25">
      <c r="A115" s="421">
        <v>111</v>
      </c>
      <c r="B115" s="183" t="str">
        <f>'168-перец овощ.'!A9</f>
        <v>Перец, фаршированный овощами и рисомс соусом сметанныи и томатом</v>
      </c>
      <c r="C115" s="419">
        <f>'168-перец овощ.'!C33</f>
        <v>110</v>
      </c>
      <c r="D115" s="1211">
        <f>2.64/110*C115</f>
        <v>2.64</v>
      </c>
      <c r="E115" s="1211">
        <f>6.45/110*C115</f>
        <v>6.45</v>
      </c>
      <c r="F115" s="1211">
        <f>13.79/110*C115</f>
        <v>13.79</v>
      </c>
      <c r="G115" s="1212">
        <f>133/110*C115</f>
        <v>133</v>
      </c>
      <c r="H115" s="419">
        <f>'168-перец овощ.'!J7</f>
        <v>168</v>
      </c>
      <c r="I115" s="1234">
        <f>'168-перец овощ.'!F35</f>
        <v>28.08</v>
      </c>
      <c r="J115" s="330"/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>
        <f>'331-соус с томатом'!C19/1000*40</f>
        <v>0.01</v>
      </c>
      <c r="Z115" s="330"/>
      <c r="AA115" s="330"/>
      <c r="AB115" s="330"/>
      <c r="AC115" s="330"/>
      <c r="AD115" s="330"/>
      <c r="AE115" s="330"/>
      <c r="AF115" s="330"/>
      <c r="AG115" s="330"/>
      <c r="AH115" s="330"/>
      <c r="AI115" s="330"/>
      <c r="AJ115" s="330"/>
      <c r="AK115" s="330">
        <f>'168-перец овощ.'!C24</f>
        <v>1.2E-2</v>
      </c>
      <c r="AL115" s="330"/>
      <c r="AM115" s="330"/>
      <c r="AN115" s="330">
        <f>'168-перец овощ.'!C25</f>
        <v>1.9E-2</v>
      </c>
      <c r="AO115" s="330"/>
      <c r="AP115" s="330"/>
      <c r="AQ115" s="330">
        <f>'168-перец овощ.'!C23</f>
        <v>1.7999999999999999E-2</v>
      </c>
      <c r="AR115" s="330"/>
      <c r="AS115" s="330">
        <f>'168-перец овощ.'!C19</f>
        <v>0.08</v>
      </c>
      <c r="AT115" s="330"/>
      <c r="AU115" s="330"/>
      <c r="AV115" s="330"/>
      <c r="AW115" s="330"/>
      <c r="AX115" s="330"/>
      <c r="AY115" s="330"/>
      <c r="AZ115" s="330"/>
      <c r="BA115" s="330"/>
      <c r="BB115" s="330"/>
      <c r="BC115" s="330"/>
      <c r="BD115" s="330"/>
      <c r="BE115" s="330"/>
      <c r="BF115" s="330"/>
      <c r="BG115" s="330"/>
      <c r="BH115" s="330"/>
      <c r="BI115" s="330"/>
      <c r="BJ115" s="330"/>
      <c r="BK115" s="330"/>
      <c r="BL115" s="330"/>
      <c r="BM115" s="330"/>
      <c r="BN115" s="330"/>
      <c r="BO115" s="330"/>
      <c r="BP115" s="330"/>
      <c r="BQ115" s="330"/>
      <c r="BR115" s="330"/>
      <c r="BS115" s="330">
        <f>'331-соус с томатом'!C20/1000*40</f>
        <v>3.0000000000000001E-3</v>
      </c>
      <c r="BT115" s="330"/>
      <c r="BU115" s="330"/>
      <c r="BV115" s="330"/>
      <c r="BW115" s="330"/>
      <c r="BX115" s="330"/>
      <c r="BY115" s="330"/>
      <c r="BZ115" s="330"/>
      <c r="CA115" s="330"/>
      <c r="CB115" s="330">
        <f>'168-перец овощ.'!C22</f>
        <v>6.0000000000000001E-3</v>
      </c>
      <c r="CC115" s="330"/>
      <c r="CD115" s="330"/>
      <c r="CE115" s="330"/>
      <c r="CF115" s="330">
        <f>'168-перец овощ.'!C26</f>
        <v>5.0000000000000001E-3</v>
      </c>
      <c r="CG115" s="330"/>
      <c r="CH115" s="330"/>
      <c r="CI115" s="330"/>
      <c r="CJ115" s="330"/>
      <c r="CK115" s="330"/>
      <c r="CL115" s="330"/>
      <c r="CM115" s="330"/>
      <c r="CN115" s="330"/>
      <c r="CO115" s="330"/>
      <c r="CP115" s="330"/>
      <c r="CQ115" s="330"/>
      <c r="CR115" s="330"/>
      <c r="CS115" s="330">
        <f>'331-соус с томатом'!C23/1000*40</f>
        <v>0</v>
      </c>
      <c r="CT115" s="330"/>
      <c r="CU115" s="330"/>
      <c r="CV115" s="330"/>
      <c r="CW115" s="330"/>
      <c r="CX115" s="330"/>
      <c r="CY115" s="330"/>
      <c r="CZ115" s="330"/>
      <c r="DA115" s="330"/>
      <c r="DB115" s="330"/>
      <c r="DC115" s="330">
        <f>'331-соус с томатом'!C24/1000*40</f>
        <v>3.2000000000000003E-4</v>
      </c>
      <c r="DD115" s="330"/>
      <c r="DE115" s="330"/>
      <c r="DF115" s="330">
        <f>'331-соус с томатом'!C22/1000*40</f>
        <v>4.0000000000000001E-3</v>
      </c>
      <c r="DG115" s="330"/>
      <c r="DH115" s="330"/>
      <c r="DI115" s="330"/>
      <c r="DJ115" s="330"/>
      <c r="DK115" s="330"/>
      <c r="DL115" s="330"/>
      <c r="DM115" s="330"/>
      <c r="DN115" s="330"/>
      <c r="DO115" s="330"/>
      <c r="DP115" s="330"/>
      <c r="DQ115" s="330"/>
      <c r="DR115" s="330"/>
      <c r="DS115" s="330"/>
      <c r="DT115" s="330"/>
      <c r="DU115" s="330"/>
      <c r="DV115" s="330"/>
      <c r="DW115" s="330"/>
      <c r="DX115" s="330"/>
      <c r="DY115" s="330"/>
      <c r="DZ115" s="330"/>
      <c r="EA115" s="330"/>
      <c r="EB115" s="330"/>
      <c r="EC115" s="330"/>
      <c r="ED115" s="330"/>
      <c r="EE115" s="330"/>
      <c r="EF115" s="330"/>
      <c r="EG115" s="330"/>
      <c r="EH115" s="330"/>
      <c r="EI115" s="330"/>
      <c r="EJ115" s="330"/>
      <c r="EK115" s="330"/>
      <c r="EL115" s="330"/>
      <c r="EM115" s="330"/>
      <c r="EN115" s="330"/>
      <c r="EO115" s="330"/>
      <c r="EP115" s="330"/>
      <c r="EQ115" s="330"/>
      <c r="ER115" s="330"/>
      <c r="ES115" s="330"/>
      <c r="ET115" s="330"/>
      <c r="EU115" s="330"/>
      <c r="EV115" s="330"/>
      <c r="EW115" s="330"/>
      <c r="EX115" s="330"/>
      <c r="EY115" s="1032">
        <f t="shared" si="17"/>
        <v>0.15731999999999999</v>
      </c>
    </row>
    <row r="116" spans="1:166" s="474" customFormat="1" ht="14.7" customHeight="1" x14ac:dyDescent="0.25">
      <c r="A116" s="421">
        <v>112</v>
      </c>
      <c r="B116" s="183" t="str">
        <f>'171-каша греч рассып. '!A9</f>
        <v xml:space="preserve">Каша рассыпчатая гречневая с маслом </v>
      </c>
      <c r="C116" s="419">
        <f>'171-каша греч рассып. '!C27</f>
        <v>160</v>
      </c>
      <c r="D116" s="1211">
        <f>8.85/160*C116</f>
        <v>8.85</v>
      </c>
      <c r="E116" s="1211">
        <f>9.55/160*C116</f>
        <v>9.5500000000000007</v>
      </c>
      <c r="F116" s="1211">
        <f>39.86/160*C116</f>
        <v>39.86</v>
      </c>
      <c r="G116" s="1212">
        <f>280/160*C116</f>
        <v>280</v>
      </c>
      <c r="H116" s="419">
        <f>'171-каша греч рассып. '!J7</f>
        <v>171</v>
      </c>
      <c r="I116" s="483">
        <f>'171-каша греч рассып. '!F29</f>
        <v>14.28</v>
      </c>
      <c r="J116" s="330"/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>
        <f>'171-каша греч рассып. '!C23</f>
        <v>0.01</v>
      </c>
      <c r="W116" s="330"/>
      <c r="X116" s="330"/>
      <c r="Y116" s="330"/>
      <c r="Z116" s="330"/>
      <c r="AA116" s="330"/>
      <c r="AB116" s="330"/>
      <c r="AC116" s="330"/>
      <c r="AD116" s="330"/>
      <c r="AE116" s="330"/>
      <c r="AF116" s="330"/>
      <c r="AG116" s="330"/>
      <c r="AH116" s="330"/>
      <c r="AI116" s="330"/>
      <c r="AJ116" s="330"/>
      <c r="AK116" s="330"/>
      <c r="AL116" s="330"/>
      <c r="AM116" s="330"/>
      <c r="AN116" s="330"/>
      <c r="AO116" s="330"/>
      <c r="AP116" s="330"/>
      <c r="AQ116" s="330"/>
      <c r="AR116" s="330"/>
      <c r="AS116" s="330"/>
      <c r="AT116" s="330"/>
      <c r="AU116" s="330"/>
      <c r="AV116" s="330"/>
      <c r="AW116" s="330"/>
      <c r="AX116" s="330"/>
      <c r="AY116" s="330"/>
      <c r="AZ116" s="330"/>
      <c r="BA116" s="330"/>
      <c r="BB116" s="330"/>
      <c r="BC116" s="330"/>
      <c r="BD116" s="330"/>
      <c r="BE116" s="330"/>
      <c r="BF116" s="330"/>
      <c r="BG116" s="330"/>
      <c r="BH116" s="330"/>
      <c r="BI116" s="330"/>
      <c r="BJ116" s="330"/>
      <c r="BK116" s="330"/>
      <c r="BL116" s="330"/>
      <c r="BM116" s="330"/>
      <c r="BN116" s="330"/>
      <c r="BO116" s="330"/>
      <c r="BP116" s="330"/>
      <c r="BQ116" s="330"/>
      <c r="BR116" s="330"/>
      <c r="BS116" s="330"/>
      <c r="BT116" s="330">
        <f>'171-каша греч рассып. '!C19</f>
        <v>7.0999999999999994E-2</v>
      </c>
      <c r="BU116" s="330"/>
      <c r="BV116" s="330"/>
      <c r="BW116" s="330"/>
      <c r="BX116" s="330"/>
      <c r="BY116" s="330"/>
      <c r="BZ116" s="330"/>
      <c r="CA116" s="330"/>
      <c r="CB116" s="330"/>
      <c r="CC116" s="330"/>
      <c r="CD116" s="330"/>
      <c r="CE116" s="330"/>
      <c r="CF116" s="330"/>
      <c r="CG116" s="330"/>
      <c r="CH116" s="330"/>
      <c r="CI116" s="330"/>
      <c r="CJ116" s="330"/>
      <c r="CK116" s="330"/>
      <c r="CL116" s="330"/>
      <c r="CM116" s="330"/>
      <c r="CN116" s="330"/>
      <c r="CO116" s="330"/>
      <c r="CP116" s="330"/>
      <c r="CQ116" s="330"/>
      <c r="CR116" s="330"/>
      <c r="CS116" s="330"/>
      <c r="CT116" s="330"/>
      <c r="CU116" s="330"/>
      <c r="CV116" s="330"/>
      <c r="CW116" s="330"/>
      <c r="CX116" s="330"/>
      <c r="CY116" s="330"/>
      <c r="CZ116" s="330"/>
      <c r="DA116" s="330"/>
      <c r="DB116" s="330"/>
      <c r="DC116" s="330">
        <f>'171-каша греч рассып. '!C21</f>
        <v>3.2000000000000002E-3</v>
      </c>
      <c r="DD116" s="330"/>
      <c r="DE116" s="330"/>
      <c r="DF116" s="330"/>
      <c r="DG116" s="330"/>
      <c r="DH116" s="330"/>
      <c r="DI116" s="330"/>
      <c r="DJ116" s="330"/>
      <c r="DK116" s="330"/>
      <c r="DL116" s="330"/>
      <c r="DM116" s="330"/>
      <c r="DN116" s="330"/>
      <c r="DO116" s="330"/>
      <c r="DP116" s="330"/>
      <c r="DQ116" s="330"/>
      <c r="DR116" s="330"/>
      <c r="DS116" s="330"/>
      <c r="DT116" s="330"/>
      <c r="DU116" s="330"/>
      <c r="DV116" s="330"/>
      <c r="DW116" s="330"/>
      <c r="DX116" s="330"/>
      <c r="DY116" s="330"/>
      <c r="DZ116" s="330"/>
      <c r="EA116" s="330"/>
      <c r="EB116" s="330"/>
      <c r="EC116" s="330"/>
      <c r="ED116" s="330"/>
      <c r="EE116" s="330"/>
      <c r="EF116" s="330"/>
      <c r="EG116" s="330"/>
      <c r="EH116" s="330"/>
      <c r="EI116" s="330"/>
      <c r="EJ116" s="330"/>
      <c r="EK116" s="330"/>
      <c r="EL116" s="330"/>
      <c r="EM116" s="330"/>
      <c r="EN116" s="330"/>
      <c r="EO116" s="330"/>
      <c r="EP116" s="330"/>
      <c r="EQ116" s="330"/>
      <c r="ER116" s="330"/>
      <c r="ES116" s="330"/>
      <c r="ET116" s="330"/>
      <c r="EU116" s="330"/>
      <c r="EV116" s="330"/>
      <c r="EW116" s="330"/>
      <c r="EX116" s="330"/>
      <c r="EY116" s="1032">
        <f t="shared" si="17"/>
        <v>8.4199999999999997E-2</v>
      </c>
      <c r="EZ116" s="616"/>
      <c r="FA116" s="616"/>
      <c r="FB116" s="616"/>
      <c r="FC116" s="616"/>
      <c r="FD116" s="616"/>
      <c r="FE116" s="616"/>
      <c r="FF116" s="616"/>
      <c r="FG116" s="616"/>
      <c r="FH116" s="616"/>
      <c r="FI116" s="616"/>
      <c r="FJ116" s="616"/>
    </row>
    <row r="117" spans="1:166" ht="14.7" customHeight="1" x14ac:dyDescent="0.25">
      <c r="A117" s="421">
        <v>113</v>
      </c>
      <c r="B117" s="183" t="str">
        <f>'171-каша греч рассып. сах'!A9</f>
        <v>Каша рассыпчатая гречневая с маслом и сахаром</v>
      </c>
      <c r="C117" s="419">
        <f>'171-каша греч рассып. сах'!C28</f>
        <v>170</v>
      </c>
      <c r="D117" s="1211">
        <f>8.85/170*C117</f>
        <v>8.85</v>
      </c>
      <c r="E117" s="1211">
        <f>9.55/170*C117</f>
        <v>9.5500000000000007</v>
      </c>
      <c r="F117" s="1211">
        <f>49.84/170*C117</f>
        <v>49.84</v>
      </c>
      <c r="G117" s="1212">
        <f>320/170*C117</f>
        <v>320</v>
      </c>
      <c r="H117" s="419">
        <f>'171-каша греч рассып. сах'!J7</f>
        <v>171</v>
      </c>
      <c r="I117" s="1234">
        <f>'171-каша греч рассып. сах'!F30</f>
        <v>15.04</v>
      </c>
      <c r="J117" s="330"/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>
        <f>'171-каша греч рассып. сах'!C23</f>
        <v>0.01</v>
      </c>
      <c r="W117" s="330"/>
      <c r="X117" s="330"/>
      <c r="Y117" s="330"/>
      <c r="Z117" s="330"/>
      <c r="AA117" s="330"/>
      <c r="AB117" s="330"/>
      <c r="AC117" s="330"/>
      <c r="AD117" s="330"/>
      <c r="AE117" s="330"/>
      <c r="AF117" s="330"/>
      <c r="AG117" s="330"/>
      <c r="AH117" s="330"/>
      <c r="AI117" s="330"/>
      <c r="AJ117" s="330"/>
      <c r="AK117" s="330"/>
      <c r="AL117" s="330"/>
      <c r="AM117" s="330"/>
      <c r="AN117" s="330"/>
      <c r="AO117" s="330"/>
      <c r="AP117" s="330"/>
      <c r="AQ117" s="330"/>
      <c r="AR117" s="330"/>
      <c r="AS117" s="330"/>
      <c r="AT117" s="330"/>
      <c r="AU117" s="330"/>
      <c r="AV117" s="330"/>
      <c r="AW117" s="330"/>
      <c r="AX117" s="330"/>
      <c r="AY117" s="330"/>
      <c r="AZ117" s="330"/>
      <c r="BA117" s="330"/>
      <c r="BB117" s="330"/>
      <c r="BC117" s="330"/>
      <c r="BD117" s="330"/>
      <c r="BE117" s="330"/>
      <c r="BF117" s="330"/>
      <c r="BG117" s="330"/>
      <c r="BH117" s="330"/>
      <c r="BI117" s="330"/>
      <c r="BJ117" s="330"/>
      <c r="BK117" s="330"/>
      <c r="BL117" s="330"/>
      <c r="BM117" s="330"/>
      <c r="BN117" s="330"/>
      <c r="BO117" s="330"/>
      <c r="BP117" s="330"/>
      <c r="BQ117" s="330"/>
      <c r="BR117" s="330"/>
      <c r="BS117" s="330"/>
      <c r="BT117" s="330">
        <f>'171-каша греч рассып. сах'!C19</f>
        <v>7.0999999999999994E-2</v>
      </c>
      <c r="BU117" s="330"/>
      <c r="BV117" s="330"/>
      <c r="BW117" s="330"/>
      <c r="BX117" s="330"/>
      <c r="BY117" s="330"/>
      <c r="BZ117" s="330"/>
      <c r="CA117" s="330"/>
      <c r="CB117" s="330"/>
      <c r="CC117" s="330"/>
      <c r="CD117" s="330"/>
      <c r="CE117" s="330"/>
      <c r="CF117" s="330"/>
      <c r="CG117" s="330"/>
      <c r="CH117" s="330"/>
      <c r="CI117" s="330"/>
      <c r="CJ117" s="330"/>
      <c r="CK117" s="330"/>
      <c r="CL117" s="330"/>
      <c r="CM117" s="330"/>
      <c r="CN117" s="330"/>
      <c r="CO117" s="330"/>
      <c r="CP117" s="330"/>
      <c r="CQ117" s="330"/>
      <c r="CR117" s="330"/>
      <c r="CS117" s="330"/>
      <c r="CT117" s="330"/>
      <c r="CU117" s="330"/>
      <c r="CV117" s="330"/>
      <c r="CW117" s="330"/>
      <c r="CX117" s="330"/>
      <c r="CY117" s="330"/>
      <c r="CZ117" s="330">
        <f>'171-каша греч рассып. сах'!C24</f>
        <v>0.01</v>
      </c>
      <c r="DA117" s="330"/>
      <c r="DB117" s="330"/>
      <c r="DC117" s="330">
        <f>'171-каша греч рассып. сах'!C21</f>
        <v>3.2000000000000002E-3</v>
      </c>
      <c r="DD117" s="330"/>
      <c r="DE117" s="330"/>
      <c r="DF117" s="330"/>
      <c r="DG117" s="330"/>
      <c r="DH117" s="330"/>
      <c r="DI117" s="330"/>
      <c r="DJ117" s="330"/>
      <c r="DK117" s="330"/>
      <c r="DL117" s="330"/>
      <c r="DM117" s="330"/>
      <c r="DN117" s="330"/>
      <c r="DO117" s="330"/>
      <c r="DP117" s="330"/>
      <c r="DQ117" s="330"/>
      <c r="DR117" s="330"/>
      <c r="DS117" s="330"/>
      <c r="DT117" s="330"/>
      <c r="DU117" s="330"/>
      <c r="DV117" s="330"/>
      <c r="DW117" s="330"/>
      <c r="DX117" s="330"/>
      <c r="DY117" s="330"/>
      <c r="DZ117" s="330"/>
      <c r="EA117" s="330"/>
      <c r="EB117" s="330"/>
      <c r="EC117" s="330"/>
      <c r="ED117" s="330"/>
      <c r="EE117" s="330"/>
      <c r="EF117" s="330"/>
      <c r="EG117" s="330"/>
      <c r="EH117" s="330"/>
      <c r="EI117" s="330"/>
      <c r="EJ117" s="330"/>
      <c r="EK117" s="330"/>
      <c r="EL117" s="330"/>
      <c r="EM117" s="330"/>
      <c r="EN117" s="330"/>
      <c r="EO117" s="330"/>
      <c r="EP117" s="330"/>
      <c r="EQ117" s="330"/>
      <c r="ER117" s="330"/>
      <c r="ES117" s="330"/>
      <c r="ET117" s="330"/>
      <c r="EU117" s="330"/>
      <c r="EV117" s="330"/>
      <c r="EW117" s="330"/>
      <c r="EX117" s="330"/>
      <c r="EY117" s="1032">
        <f t="shared" si="17"/>
        <v>9.4200000000000006E-2</v>
      </c>
    </row>
    <row r="118" spans="1:166" s="474" customFormat="1" ht="14.7" customHeight="1" x14ac:dyDescent="0.25">
      <c r="A118" s="421">
        <v>114</v>
      </c>
      <c r="B118" s="183" t="str">
        <f>'171-каша рис рассып.'!A9</f>
        <v>Каша рассыпчатая рисовая маслом</v>
      </c>
      <c r="C118" s="419">
        <f>'171-каша рис рассып.'!C27</f>
        <v>160</v>
      </c>
      <c r="D118" s="1211">
        <f>3.78/160*C118</f>
        <v>3.78</v>
      </c>
      <c r="E118" s="1211">
        <f>7.78/160*C118</f>
        <v>7.78</v>
      </c>
      <c r="F118" s="1211">
        <f>39.29/160*C118</f>
        <v>39.29</v>
      </c>
      <c r="G118" s="1212">
        <f>242/160*C118</f>
        <v>242</v>
      </c>
      <c r="H118" s="419">
        <f>'171-каша рис рассып.'!J7</f>
        <v>171</v>
      </c>
      <c r="I118" s="483">
        <f>'171-каша рис рассып.'!F29</f>
        <v>12.49</v>
      </c>
      <c r="J118" s="330"/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>
        <f>'171-каша рис рассып.'!C23</f>
        <v>0.01</v>
      </c>
      <c r="W118" s="330"/>
      <c r="X118" s="330"/>
      <c r="Y118" s="330"/>
      <c r="Z118" s="330"/>
      <c r="AA118" s="330"/>
      <c r="AB118" s="330"/>
      <c r="AC118" s="330"/>
      <c r="AD118" s="330"/>
      <c r="AE118" s="330"/>
      <c r="AF118" s="330"/>
      <c r="AG118" s="330"/>
      <c r="AH118" s="330"/>
      <c r="AI118" s="330"/>
      <c r="AJ118" s="330"/>
      <c r="AK118" s="330"/>
      <c r="AL118" s="330"/>
      <c r="AM118" s="330"/>
      <c r="AN118" s="330"/>
      <c r="AO118" s="330"/>
      <c r="AP118" s="330"/>
      <c r="AQ118" s="330"/>
      <c r="AR118" s="330"/>
      <c r="AS118" s="330"/>
      <c r="AT118" s="330"/>
      <c r="AU118" s="330"/>
      <c r="AV118" s="330"/>
      <c r="AW118" s="330"/>
      <c r="AX118" s="330"/>
      <c r="AY118" s="330"/>
      <c r="AZ118" s="330"/>
      <c r="BA118" s="330"/>
      <c r="BB118" s="330"/>
      <c r="BC118" s="330"/>
      <c r="BD118" s="330"/>
      <c r="BE118" s="330"/>
      <c r="BF118" s="330"/>
      <c r="BG118" s="330"/>
      <c r="BH118" s="330"/>
      <c r="BI118" s="330"/>
      <c r="BJ118" s="330"/>
      <c r="BK118" s="330"/>
      <c r="BL118" s="330"/>
      <c r="BM118" s="330"/>
      <c r="BN118" s="330"/>
      <c r="BO118" s="330"/>
      <c r="BP118" s="330"/>
      <c r="BQ118" s="330"/>
      <c r="BR118" s="330"/>
      <c r="BS118" s="330"/>
      <c r="BT118" s="330"/>
      <c r="BU118" s="330"/>
      <c r="BV118" s="330"/>
      <c r="BW118" s="330"/>
      <c r="BX118" s="330"/>
      <c r="BY118" s="330"/>
      <c r="BZ118" s="330"/>
      <c r="CA118" s="330"/>
      <c r="CB118" s="330">
        <f>'171-каша рис рассып.'!C19</f>
        <v>5.3999999999999999E-2</v>
      </c>
      <c r="CC118" s="330"/>
      <c r="CD118" s="330"/>
      <c r="CE118" s="330"/>
      <c r="CF118" s="330"/>
      <c r="CG118" s="330"/>
      <c r="CH118" s="330"/>
      <c r="CI118" s="330"/>
      <c r="CJ118" s="330"/>
      <c r="CK118" s="330"/>
      <c r="CL118" s="330"/>
      <c r="CM118" s="330"/>
      <c r="CN118" s="330"/>
      <c r="CO118" s="330"/>
      <c r="CP118" s="330"/>
      <c r="CQ118" s="330"/>
      <c r="CR118" s="330"/>
      <c r="CS118" s="330"/>
      <c r="CT118" s="330"/>
      <c r="CU118" s="330"/>
      <c r="CV118" s="330"/>
      <c r="CW118" s="330"/>
      <c r="CX118" s="330"/>
      <c r="CY118" s="330"/>
      <c r="CZ118" s="330"/>
      <c r="DA118" s="330"/>
      <c r="DB118" s="330"/>
      <c r="DC118" s="330">
        <f>'171-каша рис рассып.'!C21</f>
        <v>4.1999999999999997E-3</v>
      </c>
      <c r="DD118" s="330"/>
      <c r="DE118" s="330"/>
      <c r="DF118" s="330"/>
      <c r="DG118" s="330"/>
      <c r="DH118" s="330"/>
      <c r="DI118" s="330"/>
      <c r="DJ118" s="330"/>
      <c r="DK118" s="330"/>
      <c r="DL118" s="330"/>
      <c r="DM118" s="330"/>
      <c r="DN118" s="330"/>
      <c r="DO118" s="330"/>
      <c r="DP118" s="330"/>
      <c r="DQ118" s="330"/>
      <c r="DR118" s="330"/>
      <c r="DS118" s="330"/>
      <c r="DT118" s="330"/>
      <c r="DU118" s="330"/>
      <c r="DV118" s="330"/>
      <c r="DW118" s="330"/>
      <c r="DX118" s="330"/>
      <c r="DY118" s="330"/>
      <c r="DZ118" s="330"/>
      <c r="EA118" s="330"/>
      <c r="EB118" s="330"/>
      <c r="EC118" s="330"/>
      <c r="ED118" s="330"/>
      <c r="EE118" s="330"/>
      <c r="EF118" s="330"/>
      <c r="EG118" s="330"/>
      <c r="EH118" s="330"/>
      <c r="EI118" s="330"/>
      <c r="EJ118" s="330"/>
      <c r="EK118" s="330"/>
      <c r="EL118" s="330"/>
      <c r="EM118" s="330"/>
      <c r="EN118" s="330"/>
      <c r="EO118" s="330"/>
      <c r="EP118" s="330"/>
      <c r="EQ118" s="330"/>
      <c r="ER118" s="330"/>
      <c r="ES118" s="330"/>
      <c r="ET118" s="330"/>
      <c r="EU118" s="330"/>
      <c r="EV118" s="330"/>
      <c r="EW118" s="330"/>
      <c r="EX118" s="330"/>
      <c r="EY118" s="1032">
        <f t="shared" si="17"/>
        <v>6.8199999999999997E-2</v>
      </c>
      <c r="EZ118" s="616"/>
      <c r="FA118" s="616"/>
      <c r="FB118" s="616"/>
      <c r="FC118" s="616"/>
      <c r="FD118" s="616"/>
      <c r="FE118" s="616"/>
      <c r="FF118" s="616"/>
      <c r="FG118" s="616"/>
      <c r="FH118" s="616"/>
      <c r="FI118" s="616"/>
      <c r="FJ118" s="616"/>
    </row>
    <row r="119" spans="1:166" ht="14.7" customHeight="1" x14ac:dyDescent="0.25">
      <c r="A119" s="421">
        <v>115</v>
      </c>
      <c r="B119" s="183" t="str">
        <f>'171-каша рис рассып.сах'!A9</f>
        <v>Каша рассыпчатая рисовая маслом и сахаром</v>
      </c>
      <c r="C119" s="419">
        <f>'171-каша рис рассып.сах'!C28</f>
        <v>170</v>
      </c>
      <c r="D119" s="1211">
        <f>3.78/170*C119</f>
        <v>3.78</v>
      </c>
      <c r="E119" s="1211">
        <f>7.78/170*C119</f>
        <v>7.78</v>
      </c>
      <c r="F119" s="1211">
        <f>49.27/170*C119</f>
        <v>49.27</v>
      </c>
      <c r="G119" s="1212">
        <f>282/170*C119</f>
        <v>282</v>
      </c>
      <c r="H119" s="419">
        <f>'171-каша рис рассып.сах'!J7</f>
        <v>171</v>
      </c>
      <c r="I119" s="1234">
        <f>'171-каша рис рассып.сах'!F30</f>
        <v>13.25</v>
      </c>
      <c r="J119" s="330"/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>
        <f>'171-каша рис рассып.сах'!C23</f>
        <v>0.01</v>
      </c>
      <c r="W119" s="330"/>
      <c r="X119" s="330"/>
      <c r="Y119" s="330"/>
      <c r="Z119" s="330"/>
      <c r="AA119" s="330"/>
      <c r="AB119" s="330"/>
      <c r="AC119" s="330"/>
      <c r="AD119" s="330"/>
      <c r="AE119" s="330"/>
      <c r="AF119" s="330"/>
      <c r="AG119" s="330"/>
      <c r="AH119" s="330"/>
      <c r="AI119" s="330"/>
      <c r="AJ119" s="330"/>
      <c r="AK119" s="330"/>
      <c r="AL119" s="330"/>
      <c r="AM119" s="330"/>
      <c r="AN119" s="330"/>
      <c r="AO119" s="330"/>
      <c r="AP119" s="330"/>
      <c r="AQ119" s="330"/>
      <c r="AR119" s="330"/>
      <c r="AS119" s="330"/>
      <c r="AT119" s="330"/>
      <c r="AU119" s="330"/>
      <c r="AV119" s="330"/>
      <c r="AW119" s="330"/>
      <c r="AX119" s="330"/>
      <c r="AY119" s="330"/>
      <c r="AZ119" s="330"/>
      <c r="BA119" s="330"/>
      <c r="BB119" s="330"/>
      <c r="BC119" s="330"/>
      <c r="BD119" s="330"/>
      <c r="BE119" s="330"/>
      <c r="BF119" s="330"/>
      <c r="BG119" s="330"/>
      <c r="BH119" s="330"/>
      <c r="BI119" s="330"/>
      <c r="BJ119" s="330"/>
      <c r="BK119" s="330"/>
      <c r="BL119" s="330"/>
      <c r="BM119" s="330"/>
      <c r="BN119" s="330"/>
      <c r="BO119" s="330"/>
      <c r="BP119" s="330"/>
      <c r="BQ119" s="330"/>
      <c r="BR119" s="330"/>
      <c r="BS119" s="330"/>
      <c r="BT119" s="330"/>
      <c r="BU119" s="330"/>
      <c r="BV119" s="330"/>
      <c r="BW119" s="330"/>
      <c r="BX119" s="330"/>
      <c r="BY119" s="330"/>
      <c r="BZ119" s="330"/>
      <c r="CA119" s="330"/>
      <c r="CB119" s="330">
        <f>'171-каша рис рассып.сах'!C19</f>
        <v>5.3999999999999999E-2</v>
      </c>
      <c r="CC119" s="330"/>
      <c r="CD119" s="330"/>
      <c r="CE119" s="330"/>
      <c r="CF119" s="330"/>
      <c r="CG119" s="330"/>
      <c r="CH119" s="330"/>
      <c r="CI119" s="330"/>
      <c r="CJ119" s="330"/>
      <c r="CK119" s="330"/>
      <c r="CL119" s="330"/>
      <c r="CM119" s="330"/>
      <c r="CN119" s="330"/>
      <c r="CO119" s="330"/>
      <c r="CP119" s="330"/>
      <c r="CQ119" s="330"/>
      <c r="CR119" s="330"/>
      <c r="CS119" s="330"/>
      <c r="CT119" s="330"/>
      <c r="CU119" s="330"/>
      <c r="CV119" s="330"/>
      <c r="CW119" s="330"/>
      <c r="CX119" s="330"/>
      <c r="CY119" s="330"/>
      <c r="CZ119" s="330">
        <f>'171-каша рис рассып.сах'!C24</f>
        <v>0.01</v>
      </c>
      <c r="DA119" s="330"/>
      <c r="DB119" s="330"/>
      <c r="DC119" s="330">
        <f>'171-каша рис рассып.сах'!C21</f>
        <v>4.1999999999999997E-3</v>
      </c>
      <c r="DD119" s="330"/>
      <c r="DE119" s="330"/>
      <c r="DF119" s="330"/>
      <c r="DG119" s="330"/>
      <c r="DH119" s="330"/>
      <c r="DI119" s="330"/>
      <c r="DJ119" s="330"/>
      <c r="DK119" s="330"/>
      <c r="DL119" s="330"/>
      <c r="DM119" s="330"/>
      <c r="DN119" s="330"/>
      <c r="DO119" s="330"/>
      <c r="DP119" s="330"/>
      <c r="DQ119" s="330"/>
      <c r="DR119" s="330"/>
      <c r="DS119" s="330"/>
      <c r="DT119" s="330"/>
      <c r="DU119" s="330"/>
      <c r="DV119" s="330"/>
      <c r="DW119" s="330"/>
      <c r="DX119" s="330"/>
      <c r="DY119" s="330"/>
      <c r="DZ119" s="330"/>
      <c r="EA119" s="330"/>
      <c r="EB119" s="330"/>
      <c r="EC119" s="330"/>
      <c r="ED119" s="330"/>
      <c r="EE119" s="330"/>
      <c r="EF119" s="330"/>
      <c r="EG119" s="330"/>
      <c r="EH119" s="330"/>
      <c r="EI119" s="330"/>
      <c r="EJ119" s="330"/>
      <c r="EK119" s="330"/>
      <c r="EL119" s="330"/>
      <c r="EM119" s="330"/>
      <c r="EN119" s="330"/>
      <c r="EO119" s="330"/>
      <c r="EP119" s="330"/>
      <c r="EQ119" s="330"/>
      <c r="ER119" s="330"/>
      <c r="ES119" s="330"/>
      <c r="ET119" s="330"/>
      <c r="EU119" s="330"/>
      <c r="EV119" s="330"/>
      <c r="EW119" s="330"/>
      <c r="EX119" s="330"/>
      <c r="EY119" s="1032">
        <f t="shared" si="17"/>
        <v>7.8200000000000006E-2</v>
      </c>
    </row>
    <row r="120" spans="1:166" s="474" customFormat="1" ht="14.7" customHeight="1" x14ac:dyDescent="0.25">
      <c r="A120" s="421">
        <v>116</v>
      </c>
      <c r="B120" s="183" t="str">
        <f>'171-каша перловка рассып.'!A9</f>
        <v>Каша рассыпчатая перловая с маслом</v>
      </c>
      <c r="C120" s="419">
        <f>'171-каша перловка рассып.'!C27</f>
        <v>160</v>
      </c>
      <c r="D120" s="1211">
        <f>4.64/160*C120</f>
        <v>4.6399999999999997</v>
      </c>
      <c r="E120" s="1211">
        <f>7.79/160*C120</f>
        <v>7.79</v>
      </c>
      <c r="F120" s="1211">
        <f>32.91/160*C120</f>
        <v>32.909999999999997</v>
      </c>
      <c r="G120" s="1212">
        <f>220/160*C120</f>
        <v>220</v>
      </c>
      <c r="H120" s="419">
        <f>'171-каша перловка рассып.'!J7</f>
        <v>171</v>
      </c>
      <c r="I120" s="483">
        <f>'171-каша перловка рассып.'!F29</f>
        <v>9.2100000000000009</v>
      </c>
      <c r="J120" s="330"/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>
        <f>'171-каша перловка рассып.'!C23</f>
        <v>0.01</v>
      </c>
      <c r="W120" s="330"/>
      <c r="X120" s="330"/>
      <c r="Y120" s="330"/>
      <c r="Z120" s="330"/>
      <c r="AA120" s="330"/>
      <c r="AB120" s="330"/>
      <c r="AC120" s="330"/>
      <c r="AD120" s="330"/>
      <c r="AE120" s="330"/>
      <c r="AF120" s="330"/>
      <c r="AG120" s="330"/>
      <c r="AH120" s="330"/>
      <c r="AI120" s="330"/>
      <c r="AJ120" s="330"/>
      <c r="AK120" s="330"/>
      <c r="AL120" s="330"/>
      <c r="AM120" s="330"/>
      <c r="AN120" s="330"/>
      <c r="AO120" s="330"/>
      <c r="AP120" s="330"/>
      <c r="AQ120" s="330"/>
      <c r="AR120" s="330"/>
      <c r="AS120" s="330"/>
      <c r="AT120" s="330"/>
      <c r="AU120" s="330"/>
      <c r="AV120" s="330"/>
      <c r="AW120" s="330"/>
      <c r="AX120" s="330"/>
      <c r="AY120" s="330"/>
      <c r="AZ120" s="330"/>
      <c r="BA120" s="330"/>
      <c r="BB120" s="330"/>
      <c r="BC120" s="330"/>
      <c r="BD120" s="330"/>
      <c r="BE120" s="330"/>
      <c r="BF120" s="330"/>
      <c r="BG120" s="330"/>
      <c r="BH120" s="330"/>
      <c r="BI120" s="330"/>
      <c r="BJ120" s="330"/>
      <c r="BK120" s="330"/>
      <c r="BL120" s="330"/>
      <c r="BM120" s="330"/>
      <c r="BN120" s="330"/>
      <c r="BO120" s="330"/>
      <c r="BP120" s="330"/>
      <c r="BQ120" s="330"/>
      <c r="BR120" s="330"/>
      <c r="BS120" s="330"/>
      <c r="BT120" s="330"/>
      <c r="BU120" s="330"/>
      <c r="BV120" s="330">
        <f>'171-каша перловка рассып.'!C19</f>
        <v>0.05</v>
      </c>
      <c r="BW120" s="330"/>
      <c r="BX120" s="330"/>
      <c r="BY120" s="330"/>
      <c r="BZ120" s="330"/>
      <c r="CA120" s="330"/>
      <c r="CB120" s="330"/>
      <c r="CC120" s="330"/>
      <c r="CD120" s="330"/>
      <c r="CE120" s="330"/>
      <c r="CF120" s="330"/>
      <c r="CG120" s="330"/>
      <c r="CH120" s="330"/>
      <c r="CI120" s="330"/>
      <c r="CJ120" s="330"/>
      <c r="CK120" s="330"/>
      <c r="CL120" s="330"/>
      <c r="CM120" s="330"/>
      <c r="CN120" s="330"/>
      <c r="CO120" s="330"/>
      <c r="CP120" s="330"/>
      <c r="CQ120" s="330"/>
      <c r="CR120" s="330"/>
      <c r="CS120" s="330"/>
      <c r="CT120" s="330"/>
      <c r="CU120" s="330"/>
      <c r="CV120" s="330"/>
      <c r="CW120" s="330"/>
      <c r="CX120" s="330"/>
      <c r="CY120" s="330"/>
      <c r="CZ120" s="330"/>
      <c r="DA120" s="330"/>
      <c r="DB120" s="330"/>
      <c r="DC120" s="330">
        <f>'171-каша перловка рассып.'!C21</f>
        <v>4.4999999999999997E-3</v>
      </c>
      <c r="DD120" s="330"/>
      <c r="DE120" s="330"/>
      <c r="DF120" s="330"/>
      <c r="DG120" s="330"/>
      <c r="DH120" s="330"/>
      <c r="DI120" s="330"/>
      <c r="DJ120" s="330"/>
      <c r="DK120" s="330"/>
      <c r="DL120" s="330"/>
      <c r="DM120" s="330"/>
      <c r="DN120" s="330"/>
      <c r="DO120" s="330"/>
      <c r="DP120" s="330"/>
      <c r="DQ120" s="330"/>
      <c r="DR120" s="330"/>
      <c r="DS120" s="330"/>
      <c r="DT120" s="330"/>
      <c r="DU120" s="330"/>
      <c r="DV120" s="330"/>
      <c r="DW120" s="330"/>
      <c r="DX120" s="330"/>
      <c r="DY120" s="330"/>
      <c r="DZ120" s="330"/>
      <c r="EA120" s="330"/>
      <c r="EB120" s="330"/>
      <c r="EC120" s="330"/>
      <c r="ED120" s="330"/>
      <c r="EE120" s="330"/>
      <c r="EF120" s="330"/>
      <c r="EG120" s="330"/>
      <c r="EH120" s="330"/>
      <c r="EI120" s="330"/>
      <c r="EJ120" s="330"/>
      <c r="EK120" s="330"/>
      <c r="EL120" s="330"/>
      <c r="EM120" s="330"/>
      <c r="EN120" s="330"/>
      <c r="EO120" s="330"/>
      <c r="EP120" s="330"/>
      <c r="EQ120" s="330"/>
      <c r="ER120" s="330"/>
      <c r="ES120" s="330"/>
      <c r="ET120" s="330"/>
      <c r="EU120" s="330"/>
      <c r="EV120" s="330"/>
      <c r="EW120" s="330"/>
      <c r="EX120" s="330"/>
      <c r="EY120" s="1032">
        <f t="shared" si="17"/>
        <v>6.4500000000000002E-2</v>
      </c>
      <c r="EZ120" s="616"/>
      <c r="FA120" s="616"/>
      <c r="FB120" s="616"/>
      <c r="FC120" s="616"/>
      <c r="FD120" s="616"/>
      <c r="FE120" s="616"/>
      <c r="FF120" s="616"/>
      <c r="FG120" s="616"/>
      <c r="FH120" s="616"/>
      <c r="FI120" s="616"/>
      <c r="FJ120" s="616"/>
    </row>
    <row r="121" spans="1:166" ht="14.7" customHeight="1" x14ac:dyDescent="0.25">
      <c r="A121" s="421">
        <v>117</v>
      </c>
      <c r="B121" s="183" t="str">
        <f>'171-каша перловка рассып.сах'!A9</f>
        <v>Каша рассыпчатая перловая с маслом и сахаром</v>
      </c>
      <c r="C121" s="419">
        <f>'171-каша перловка рассып.сах'!C28</f>
        <v>170</v>
      </c>
      <c r="D121" s="1211">
        <f>4.64/170*C121</f>
        <v>4.6399999999999997</v>
      </c>
      <c r="E121" s="1211">
        <f>7.79/170*C121</f>
        <v>7.79</v>
      </c>
      <c r="F121" s="1211">
        <f>42.89/170*C121</f>
        <v>42.89</v>
      </c>
      <c r="G121" s="1212">
        <f>260/170*C121</f>
        <v>260</v>
      </c>
      <c r="H121" s="419">
        <f>'171-каша перловка рассып.сах'!J7</f>
        <v>171</v>
      </c>
      <c r="I121" s="1234">
        <f>'171-каша перловка рассып.сах'!F30</f>
        <v>9.9700000000000006</v>
      </c>
      <c r="J121" s="330"/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>
        <f>'171-каша перловка рассып.сах'!C23</f>
        <v>0.01</v>
      </c>
      <c r="W121" s="330"/>
      <c r="X121" s="330"/>
      <c r="Y121" s="330"/>
      <c r="Z121" s="330"/>
      <c r="AA121" s="330"/>
      <c r="AB121" s="330"/>
      <c r="AC121" s="330"/>
      <c r="AD121" s="330"/>
      <c r="AE121" s="330"/>
      <c r="AF121" s="330"/>
      <c r="AG121" s="330"/>
      <c r="AH121" s="330"/>
      <c r="AI121" s="330"/>
      <c r="AJ121" s="330"/>
      <c r="AK121" s="330"/>
      <c r="AL121" s="330"/>
      <c r="AM121" s="330"/>
      <c r="AN121" s="330"/>
      <c r="AO121" s="330"/>
      <c r="AP121" s="330"/>
      <c r="AQ121" s="330"/>
      <c r="AR121" s="330"/>
      <c r="AS121" s="330"/>
      <c r="AT121" s="330"/>
      <c r="AU121" s="330"/>
      <c r="AV121" s="330"/>
      <c r="AW121" s="330"/>
      <c r="AX121" s="330"/>
      <c r="AY121" s="330"/>
      <c r="AZ121" s="330"/>
      <c r="BA121" s="330"/>
      <c r="BB121" s="330"/>
      <c r="BC121" s="330"/>
      <c r="BD121" s="330"/>
      <c r="BE121" s="330"/>
      <c r="BF121" s="330"/>
      <c r="BG121" s="330"/>
      <c r="BH121" s="330"/>
      <c r="BI121" s="330"/>
      <c r="BJ121" s="330"/>
      <c r="BK121" s="330"/>
      <c r="BL121" s="330"/>
      <c r="BM121" s="330"/>
      <c r="BN121" s="330"/>
      <c r="BO121" s="330"/>
      <c r="BP121" s="330"/>
      <c r="BQ121" s="330"/>
      <c r="BR121" s="330"/>
      <c r="BS121" s="330"/>
      <c r="BT121" s="330"/>
      <c r="BU121" s="330"/>
      <c r="BV121" s="330">
        <f>'171-каша перловка рассып.сах'!C19</f>
        <v>0.05</v>
      </c>
      <c r="BW121" s="330"/>
      <c r="BX121" s="330"/>
      <c r="BY121" s="330"/>
      <c r="BZ121" s="330"/>
      <c r="CA121" s="330"/>
      <c r="CB121" s="330"/>
      <c r="CC121" s="330"/>
      <c r="CD121" s="330"/>
      <c r="CE121" s="330"/>
      <c r="CF121" s="330"/>
      <c r="CG121" s="330"/>
      <c r="CH121" s="330"/>
      <c r="CI121" s="330"/>
      <c r="CJ121" s="330"/>
      <c r="CK121" s="330"/>
      <c r="CL121" s="330"/>
      <c r="CM121" s="330"/>
      <c r="CN121" s="330"/>
      <c r="CO121" s="330"/>
      <c r="CP121" s="330"/>
      <c r="CQ121" s="330"/>
      <c r="CR121" s="330"/>
      <c r="CS121" s="330"/>
      <c r="CT121" s="330"/>
      <c r="CU121" s="330"/>
      <c r="CV121" s="330"/>
      <c r="CW121" s="330"/>
      <c r="CX121" s="330"/>
      <c r="CY121" s="330"/>
      <c r="CZ121" s="330">
        <f>'171-каша перловка рассып.сах'!C24</f>
        <v>0.01</v>
      </c>
      <c r="DA121" s="330"/>
      <c r="DB121" s="330"/>
      <c r="DC121" s="330">
        <f>'171-каша перловка рассып.сах'!C21</f>
        <v>4.4999999999999997E-3</v>
      </c>
      <c r="DD121" s="330"/>
      <c r="DE121" s="330"/>
      <c r="DF121" s="330"/>
      <c r="DG121" s="330"/>
      <c r="DH121" s="330"/>
      <c r="DI121" s="330"/>
      <c r="DJ121" s="330"/>
      <c r="DK121" s="330"/>
      <c r="DL121" s="330"/>
      <c r="DM121" s="330"/>
      <c r="DN121" s="330"/>
      <c r="DO121" s="330"/>
      <c r="DP121" s="330"/>
      <c r="DQ121" s="330"/>
      <c r="DR121" s="330"/>
      <c r="DS121" s="330"/>
      <c r="DT121" s="330"/>
      <c r="DU121" s="330"/>
      <c r="DV121" s="330"/>
      <c r="DW121" s="330"/>
      <c r="DX121" s="330"/>
      <c r="DY121" s="330"/>
      <c r="DZ121" s="330"/>
      <c r="EA121" s="330"/>
      <c r="EB121" s="330"/>
      <c r="EC121" s="330"/>
      <c r="ED121" s="330"/>
      <c r="EE121" s="330"/>
      <c r="EF121" s="330"/>
      <c r="EG121" s="330"/>
      <c r="EH121" s="330"/>
      <c r="EI121" s="330"/>
      <c r="EJ121" s="330"/>
      <c r="EK121" s="330"/>
      <c r="EL121" s="330"/>
      <c r="EM121" s="330"/>
      <c r="EN121" s="330"/>
      <c r="EO121" s="330"/>
      <c r="EP121" s="330"/>
      <c r="EQ121" s="330"/>
      <c r="ER121" s="330"/>
      <c r="ES121" s="330"/>
      <c r="ET121" s="330"/>
      <c r="EU121" s="330"/>
      <c r="EV121" s="330"/>
      <c r="EW121" s="330"/>
      <c r="EX121" s="330"/>
      <c r="EY121" s="1032">
        <f t="shared" si="17"/>
        <v>7.4499999999999997E-2</v>
      </c>
    </row>
    <row r="122" spans="1:166" s="474" customFormat="1" ht="14.7" customHeight="1" x14ac:dyDescent="0.25">
      <c r="A122" s="421">
        <v>118</v>
      </c>
      <c r="B122" s="183" t="str">
        <f>'171-каша пшенная рассып.'!A9</f>
        <v>Каша рассыпчатая пшенная с маслом</v>
      </c>
      <c r="C122" s="419">
        <f>'171-каша пшенная рассып.'!C27</f>
        <v>160</v>
      </c>
      <c r="D122" s="1211">
        <f>6.84/160*C122</f>
        <v>6.84</v>
      </c>
      <c r="E122" s="1211">
        <f>9.19/160*C122</f>
        <v>9.19</v>
      </c>
      <c r="F122" s="1211">
        <f>39.23/160*C122</f>
        <v>39.229999999999997</v>
      </c>
      <c r="G122" s="1212">
        <f>267/160*C122</f>
        <v>267</v>
      </c>
      <c r="H122" s="419">
        <f>'171-каша пшенная рассып.'!J7</f>
        <v>171</v>
      </c>
      <c r="I122" s="483">
        <f>'171-каша пшенная рассып.'!F29</f>
        <v>10.79</v>
      </c>
      <c r="J122" s="330"/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>
        <f>'171-каша пшенная рассып.'!C23</f>
        <v>0.01</v>
      </c>
      <c r="W122" s="330"/>
      <c r="X122" s="330"/>
      <c r="Y122" s="330"/>
      <c r="Z122" s="330"/>
      <c r="AA122" s="330"/>
      <c r="AB122" s="330"/>
      <c r="AC122" s="330"/>
      <c r="AD122" s="330"/>
      <c r="AE122" s="330"/>
      <c r="AF122" s="330"/>
      <c r="AG122" s="330"/>
      <c r="AH122" s="330"/>
      <c r="AI122" s="330"/>
      <c r="AJ122" s="330"/>
      <c r="AK122" s="330"/>
      <c r="AL122" s="330"/>
      <c r="AM122" s="330"/>
      <c r="AN122" s="330"/>
      <c r="AO122" s="330"/>
      <c r="AP122" s="330"/>
      <c r="AQ122" s="330"/>
      <c r="AR122" s="330"/>
      <c r="AS122" s="330"/>
      <c r="AT122" s="330"/>
      <c r="AU122" s="330"/>
      <c r="AV122" s="330"/>
      <c r="AW122" s="330"/>
      <c r="AX122" s="330"/>
      <c r="AY122" s="330"/>
      <c r="AZ122" s="330"/>
      <c r="BA122" s="330"/>
      <c r="BB122" s="330"/>
      <c r="BC122" s="330"/>
      <c r="BD122" s="330"/>
      <c r="BE122" s="330"/>
      <c r="BF122" s="330"/>
      <c r="BG122" s="330"/>
      <c r="BH122" s="330"/>
      <c r="BI122" s="330"/>
      <c r="BJ122" s="330"/>
      <c r="BK122" s="330"/>
      <c r="BL122" s="330"/>
      <c r="BM122" s="330"/>
      <c r="BN122" s="330"/>
      <c r="BO122" s="330"/>
      <c r="BP122" s="330"/>
      <c r="BQ122" s="330"/>
      <c r="BR122" s="330"/>
      <c r="BS122" s="330"/>
      <c r="BT122" s="330"/>
      <c r="BU122" s="330"/>
      <c r="BV122" s="330"/>
      <c r="BW122" s="330"/>
      <c r="BX122" s="330"/>
      <c r="BY122" s="330"/>
      <c r="BZ122" s="330"/>
      <c r="CA122" s="330">
        <f>'171-каша пшенная рассып.'!C19</f>
        <v>0.06</v>
      </c>
      <c r="CB122" s="330"/>
      <c r="CC122" s="330"/>
      <c r="CD122" s="330"/>
      <c r="CE122" s="330"/>
      <c r="CF122" s="330"/>
      <c r="CG122" s="330"/>
      <c r="CH122" s="330"/>
      <c r="CI122" s="330"/>
      <c r="CJ122" s="330"/>
      <c r="CK122" s="330"/>
      <c r="CL122" s="330"/>
      <c r="CM122" s="330"/>
      <c r="CN122" s="330"/>
      <c r="CO122" s="330"/>
      <c r="CP122" s="330"/>
      <c r="CQ122" s="330"/>
      <c r="CR122" s="330"/>
      <c r="CS122" s="330"/>
      <c r="CT122" s="330"/>
      <c r="CU122" s="330"/>
      <c r="CV122" s="330"/>
      <c r="CW122" s="330"/>
      <c r="CX122" s="330"/>
      <c r="CY122" s="330"/>
      <c r="CZ122" s="330"/>
      <c r="DA122" s="330"/>
      <c r="DB122" s="330"/>
      <c r="DC122" s="330">
        <f>'171-каша пшенная рассып.'!C21</f>
        <v>3.8E-3</v>
      </c>
      <c r="DD122" s="330"/>
      <c r="DE122" s="330"/>
      <c r="DF122" s="330"/>
      <c r="DG122" s="330"/>
      <c r="DH122" s="330"/>
      <c r="DI122" s="330"/>
      <c r="DJ122" s="330"/>
      <c r="DK122" s="330"/>
      <c r="DL122" s="330"/>
      <c r="DM122" s="330"/>
      <c r="DN122" s="330"/>
      <c r="DO122" s="330"/>
      <c r="DP122" s="330"/>
      <c r="DQ122" s="330"/>
      <c r="DR122" s="330"/>
      <c r="DS122" s="330"/>
      <c r="DT122" s="330"/>
      <c r="DU122" s="330"/>
      <c r="DV122" s="330"/>
      <c r="DW122" s="330"/>
      <c r="DX122" s="330"/>
      <c r="DY122" s="330"/>
      <c r="DZ122" s="330"/>
      <c r="EA122" s="330"/>
      <c r="EB122" s="330"/>
      <c r="EC122" s="330"/>
      <c r="ED122" s="330"/>
      <c r="EE122" s="330"/>
      <c r="EF122" s="330"/>
      <c r="EG122" s="330"/>
      <c r="EH122" s="330"/>
      <c r="EI122" s="330"/>
      <c r="EJ122" s="330"/>
      <c r="EK122" s="330"/>
      <c r="EL122" s="330"/>
      <c r="EM122" s="330"/>
      <c r="EN122" s="330"/>
      <c r="EO122" s="330"/>
      <c r="EP122" s="330"/>
      <c r="EQ122" s="330"/>
      <c r="ER122" s="330"/>
      <c r="ES122" s="330"/>
      <c r="ET122" s="330"/>
      <c r="EU122" s="330"/>
      <c r="EV122" s="330"/>
      <c r="EW122" s="330"/>
      <c r="EX122" s="330"/>
      <c r="EY122" s="1032">
        <f t="shared" si="17"/>
        <v>7.3800000000000004E-2</v>
      </c>
      <c r="EZ122" s="616"/>
      <c r="FA122" s="616"/>
      <c r="FB122" s="616"/>
      <c r="FC122" s="616"/>
      <c r="FD122" s="616"/>
      <c r="FE122" s="616"/>
      <c r="FF122" s="616"/>
      <c r="FG122" s="616"/>
      <c r="FH122" s="616"/>
      <c r="FI122" s="616"/>
      <c r="FJ122" s="616"/>
    </row>
    <row r="123" spans="1:166" ht="14.7" customHeight="1" x14ac:dyDescent="0.25">
      <c r="A123" s="421">
        <v>119</v>
      </c>
      <c r="B123" s="183" t="str">
        <f>'171-каша пшенная рассып.сах110'!A9</f>
        <v>Каша рассыпчатая пшенная с маслом и сахаром</v>
      </c>
      <c r="C123" s="419">
        <f>'171-каша пшенная рассып.сах110'!C28</f>
        <v>170</v>
      </c>
      <c r="D123" s="1211">
        <f>6.84/170*C123</f>
        <v>6.84</v>
      </c>
      <c r="E123" s="1211">
        <f>9.19/170*C123</f>
        <v>9.19</v>
      </c>
      <c r="F123" s="1211">
        <f>49.21/170*C123</f>
        <v>49.21</v>
      </c>
      <c r="G123" s="1212">
        <f>307/170*C123</f>
        <v>307</v>
      </c>
      <c r="H123" s="419">
        <f>'171-каша пшенная рассып.сах110'!J7</f>
        <v>171</v>
      </c>
      <c r="I123" s="1234">
        <f>'171-каша пшенная рассып.сах110'!F30</f>
        <v>11.55</v>
      </c>
      <c r="J123" s="330"/>
      <c r="K123" s="330"/>
      <c r="L123" s="330"/>
      <c r="M123" s="330"/>
      <c r="N123" s="330"/>
      <c r="O123" s="330"/>
      <c r="P123" s="330"/>
      <c r="Q123" s="330"/>
      <c r="R123" s="330"/>
      <c r="S123" s="330"/>
      <c r="T123" s="330"/>
      <c r="U123" s="330"/>
      <c r="V123" s="330">
        <f>'171-каша пшенная рассып.сах110'!C23</f>
        <v>0.01</v>
      </c>
      <c r="W123" s="330"/>
      <c r="X123" s="330"/>
      <c r="Y123" s="330"/>
      <c r="Z123" s="330"/>
      <c r="AA123" s="330"/>
      <c r="AB123" s="330"/>
      <c r="AC123" s="330"/>
      <c r="AD123" s="330"/>
      <c r="AE123" s="330"/>
      <c r="AF123" s="330"/>
      <c r="AG123" s="330"/>
      <c r="AH123" s="330"/>
      <c r="AI123" s="330"/>
      <c r="AJ123" s="330"/>
      <c r="AK123" s="330"/>
      <c r="AL123" s="330"/>
      <c r="AM123" s="330"/>
      <c r="AN123" s="330"/>
      <c r="AO123" s="330"/>
      <c r="AP123" s="330"/>
      <c r="AQ123" s="330"/>
      <c r="AR123" s="330"/>
      <c r="AS123" s="330"/>
      <c r="AT123" s="330"/>
      <c r="AU123" s="330"/>
      <c r="AV123" s="330"/>
      <c r="AW123" s="330"/>
      <c r="AX123" s="330"/>
      <c r="AY123" s="330"/>
      <c r="AZ123" s="330"/>
      <c r="BA123" s="330"/>
      <c r="BB123" s="330"/>
      <c r="BC123" s="330"/>
      <c r="BD123" s="330"/>
      <c r="BE123" s="330"/>
      <c r="BF123" s="330"/>
      <c r="BG123" s="330"/>
      <c r="BH123" s="330"/>
      <c r="BI123" s="330"/>
      <c r="BJ123" s="330"/>
      <c r="BK123" s="330"/>
      <c r="BL123" s="330"/>
      <c r="BM123" s="330"/>
      <c r="BN123" s="330"/>
      <c r="BO123" s="330"/>
      <c r="BP123" s="330"/>
      <c r="BQ123" s="330"/>
      <c r="BR123" s="330"/>
      <c r="BS123" s="330"/>
      <c r="BT123" s="330"/>
      <c r="BU123" s="330"/>
      <c r="BV123" s="330"/>
      <c r="BW123" s="330"/>
      <c r="BX123" s="330"/>
      <c r="BY123" s="330"/>
      <c r="BZ123" s="330"/>
      <c r="CA123" s="330">
        <f>'171-каша пшенная рассып.сах110'!C19</f>
        <v>0.06</v>
      </c>
      <c r="CB123" s="330"/>
      <c r="CC123" s="330"/>
      <c r="CD123" s="330"/>
      <c r="CE123" s="330"/>
      <c r="CF123" s="330"/>
      <c r="CG123" s="330"/>
      <c r="CH123" s="330"/>
      <c r="CI123" s="330"/>
      <c r="CJ123" s="330"/>
      <c r="CK123" s="330"/>
      <c r="CL123" s="330"/>
      <c r="CM123" s="330"/>
      <c r="CN123" s="330"/>
      <c r="CO123" s="330"/>
      <c r="CP123" s="330"/>
      <c r="CQ123" s="330"/>
      <c r="CR123" s="330"/>
      <c r="CS123" s="330"/>
      <c r="CT123" s="330"/>
      <c r="CU123" s="330"/>
      <c r="CV123" s="330"/>
      <c r="CW123" s="330"/>
      <c r="CX123" s="330"/>
      <c r="CY123" s="330"/>
      <c r="CZ123" s="330">
        <f>'171-каша пшенная рассып.сах110'!C24</f>
        <v>0.01</v>
      </c>
      <c r="DA123" s="330"/>
      <c r="DB123" s="330"/>
      <c r="DC123" s="330">
        <f>'171-каша пшенная рассып.сах110'!C21</f>
        <v>3.8E-3</v>
      </c>
      <c r="DD123" s="330"/>
      <c r="DE123" s="330"/>
      <c r="DF123" s="330"/>
      <c r="DG123" s="330"/>
      <c r="DH123" s="330"/>
      <c r="DI123" s="330"/>
      <c r="DJ123" s="330"/>
      <c r="DK123" s="330"/>
      <c r="DL123" s="330"/>
      <c r="DM123" s="330"/>
      <c r="DN123" s="330"/>
      <c r="DO123" s="330"/>
      <c r="DP123" s="330"/>
      <c r="DQ123" s="330"/>
      <c r="DR123" s="330"/>
      <c r="DS123" s="330"/>
      <c r="DT123" s="330"/>
      <c r="DU123" s="330"/>
      <c r="DV123" s="330"/>
      <c r="DW123" s="330"/>
      <c r="DX123" s="330"/>
      <c r="DY123" s="330"/>
      <c r="DZ123" s="330"/>
      <c r="EA123" s="330"/>
      <c r="EB123" s="330"/>
      <c r="EC123" s="330"/>
      <c r="ED123" s="330"/>
      <c r="EE123" s="330"/>
      <c r="EF123" s="330"/>
      <c r="EG123" s="330"/>
      <c r="EH123" s="330"/>
      <c r="EI123" s="330"/>
      <c r="EJ123" s="330"/>
      <c r="EK123" s="330"/>
      <c r="EL123" s="330"/>
      <c r="EM123" s="330"/>
      <c r="EN123" s="330"/>
      <c r="EO123" s="330"/>
      <c r="EP123" s="330"/>
      <c r="EQ123" s="330"/>
      <c r="ER123" s="330"/>
      <c r="ES123" s="330"/>
      <c r="ET123" s="330"/>
      <c r="EU123" s="330"/>
      <c r="EV123" s="330"/>
      <c r="EW123" s="330"/>
      <c r="EX123" s="330"/>
      <c r="EY123" s="1032">
        <f t="shared" si="17"/>
        <v>8.3799999999999999E-2</v>
      </c>
    </row>
    <row r="124" spans="1:166" ht="14.7" customHeight="1" x14ac:dyDescent="0.25">
      <c r="A124" s="421">
        <v>120</v>
      </c>
      <c r="B124" s="183" t="str">
        <f>'173-каша гречневая вязк.'!A9</f>
        <v>Каша вязкая молочная из крупы гречневой с маслом и сахаром</v>
      </c>
      <c r="C124" s="419">
        <f>'173-каша гречневая вязк.'!C30</f>
        <v>220</v>
      </c>
      <c r="D124" s="1211">
        <f>9.09/220*C124</f>
        <v>9.09</v>
      </c>
      <c r="E124" s="1211">
        <f>12.99/220*C124</f>
        <v>12.99</v>
      </c>
      <c r="F124" s="1211">
        <f>45.16/220*C124</f>
        <v>45.16</v>
      </c>
      <c r="G124" s="1212">
        <f>335/220*C124</f>
        <v>335</v>
      </c>
      <c r="H124" s="419">
        <f>'173-каша гречневая вязк.'!J7</f>
        <v>173</v>
      </c>
      <c r="I124" s="1234">
        <f>'173-каша гречневая вязк.'!F32</f>
        <v>21.33</v>
      </c>
      <c r="J124" s="330"/>
      <c r="K124" s="330"/>
      <c r="L124" s="330"/>
      <c r="M124" s="330"/>
      <c r="N124" s="330"/>
      <c r="O124" s="330"/>
      <c r="P124" s="330"/>
      <c r="Q124" s="330"/>
      <c r="R124" s="330"/>
      <c r="S124" s="330"/>
      <c r="T124" s="330"/>
      <c r="U124" s="330">
        <f>'173-каша гречневая вязк.'!C20</f>
        <v>0.1</v>
      </c>
      <c r="V124" s="330">
        <f>'173-каша гречневая вязк.'!C25</f>
        <v>0.01</v>
      </c>
      <c r="W124" s="330"/>
      <c r="X124" s="330"/>
      <c r="Y124" s="330"/>
      <c r="Z124" s="330"/>
      <c r="AA124" s="330"/>
      <c r="AB124" s="330"/>
      <c r="AC124" s="330"/>
      <c r="AD124" s="330"/>
      <c r="AE124" s="330"/>
      <c r="AF124" s="330"/>
      <c r="AG124" s="330"/>
      <c r="AH124" s="330"/>
      <c r="AI124" s="330"/>
      <c r="AJ124" s="330"/>
      <c r="AK124" s="330"/>
      <c r="AL124" s="330"/>
      <c r="AM124" s="330"/>
      <c r="AN124" s="330"/>
      <c r="AO124" s="330"/>
      <c r="AP124" s="330"/>
      <c r="AQ124" s="330"/>
      <c r="AR124" s="330"/>
      <c r="AS124" s="330"/>
      <c r="AT124" s="330"/>
      <c r="AU124" s="330"/>
      <c r="AV124" s="330"/>
      <c r="AW124" s="330"/>
      <c r="AX124" s="330"/>
      <c r="AY124" s="330"/>
      <c r="AZ124" s="330"/>
      <c r="BA124" s="330"/>
      <c r="BB124" s="330"/>
      <c r="BC124" s="330"/>
      <c r="BD124" s="330"/>
      <c r="BE124" s="330"/>
      <c r="BF124" s="330"/>
      <c r="BG124" s="330"/>
      <c r="BH124" s="330"/>
      <c r="BI124" s="330"/>
      <c r="BJ124" s="330"/>
      <c r="BK124" s="330"/>
      <c r="BL124" s="330"/>
      <c r="BM124" s="330"/>
      <c r="BN124" s="330"/>
      <c r="BO124" s="330"/>
      <c r="BP124" s="330"/>
      <c r="BQ124" s="330"/>
      <c r="BR124" s="330"/>
      <c r="BS124" s="330"/>
      <c r="BT124" s="330">
        <f>'173-каша гречневая вязк.'!C19</f>
        <v>0.05</v>
      </c>
      <c r="BU124" s="330"/>
      <c r="BV124" s="330"/>
      <c r="BW124" s="330"/>
      <c r="BX124" s="330"/>
      <c r="BY124" s="330"/>
      <c r="BZ124" s="330"/>
      <c r="CA124" s="330"/>
      <c r="CB124" s="330"/>
      <c r="CC124" s="330"/>
      <c r="CD124" s="330"/>
      <c r="CE124" s="330"/>
      <c r="CF124" s="330"/>
      <c r="CG124" s="330"/>
      <c r="CH124" s="330"/>
      <c r="CI124" s="330"/>
      <c r="CJ124" s="330"/>
      <c r="CK124" s="330"/>
      <c r="CL124" s="330"/>
      <c r="CM124" s="330"/>
      <c r="CN124" s="330"/>
      <c r="CO124" s="330"/>
      <c r="CP124" s="330"/>
      <c r="CQ124" s="330"/>
      <c r="CR124" s="330"/>
      <c r="CS124" s="330"/>
      <c r="CT124" s="330"/>
      <c r="CU124" s="330"/>
      <c r="CV124" s="330"/>
      <c r="CW124" s="330"/>
      <c r="CX124" s="330"/>
      <c r="CY124" s="330"/>
      <c r="CZ124" s="330">
        <f>'173-каша гречневая вязк.'!C22+'173-каша гречневая вязк.'!C26</f>
        <v>1.6E-2</v>
      </c>
      <c r="DA124" s="330"/>
      <c r="DB124" s="330"/>
      <c r="DC124" s="330">
        <f>'173-каша гречневая вязк.'!C23</f>
        <v>2.9999999999999997E-4</v>
      </c>
      <c r="DD124" s="330"/>
      <c r="DE124" s="330"/>
      <c r="DF124" s="330"/>
      <c r="DG124" s="330"/>
      <c r="DH124" s="330"/>
      <c r="DI124" s="330"/>
      <c r="DJ124" s="330"/>
      <c r="DK124" s="330"/>
      <c r="DL124" s="330"/>
      <c r="DM124" s="330"/>
      <c r="DN124" s="330"/>
      <c r="DO124" s="330"/>
      <c r="DP124" s="330"/>
      <c r="DQ124" s="330"/>
      <c r="DR124" s="330"/>
      <c r="DS124" s="330"/>
      <c r="DT124" s="330"/>
      <c r="DU124" s="330"/>
      <c r="DV124" s="330"/>
      <c r="DW124" s="330"/>
      <c r="DX124" s="330"/>
      <c r="DY124" s="330"/>
      <c r="DZ124" s="330"/>
      <c r="EA124" s="330"/>
      <c r="EB124" s="330"/>
      <c r="EC124" s="330"/>
      <c r="ED124" s="330"/>
      <c r="EE124" s="330"/>
      <c r="EF124" s="330"/>
      <c r="EG124" s="330"/>
      <c r="EH124" s="330"/>
      <c r="EI124" s="330"/>
      <c r="EJ124" s="330"/>
      <c r="EK124" s="330"/>
      <c r="EL124" s="330"/>
      <c r="EM124" s="330"/>
      <c r="EN124" s="330"/>
      <c r="EO124" s="330"/>
      <c r="EP124" s="330"/>
      <c r="EQ124" s="330"/>
      <c r="ER124" s="330"/>
      <c r="ES124" s="330"/>
      <c r="ET124" s="330"/>
      <c r="EU124" s="330"/>
      <c r="EV124" s="330"/>
      <c r="EW124" s="330"/>
      <c r="EX124" s="330"/>
      <c r="EY124" s="1032">
        <f t="shared" si="17"/>
        <v>0.17630000000000001</v>
      </c>
    </row>
    <row r="125" spans="1:166" ht="14.7" customHeight="1" x14ac:dyDescent="0.25">
      <c r="A125" s="421">
        <v>121</v>
      </c>
      <c r="B125" s="183" t="str">
        <f>'173-каша пшенная вязк.'!A9</f>
        <v>Каша вязкая молочная из крупы пшенной с маслом и сахаром</v>
      </c>
      <c r="C125" s="419">
        <f>'173-каша пшенная вязк.'!C30</f>
        <v>220</v>
      </c>
      <c r="D125" s="1211">
        <f>5.1/220*C125</f>
        <v>5.0999999999999996</v>
      </c>
      <c r="E125" s="1211">
        <f>10.72/220*C125</f>
        <v>10.72</v>
      </c>
      <c r="F125" s="1211">
        <f>43.4/220*C125</f>
        <v>43.4</v>
      </c>
      <c r="G125" s="1212">
        <f>291/220*C125</f>
        <v>291</v>
      </c>
      <c r="H125" s="419">
        <f>'173-каша пшенная вязк.'!J7</f>
        <v>173</v>
      </c>
      <c r="I125" s="1234">
        <f>'173-каша пшенная вязк.'!F32</f>
        <v>19.329999999999998</v>
      </c>
      <c r="J125" s="330"/>
      <c r="K125" s="330"/>
      <c r="L125" s="330"/>
      <c r="M125" s="330"/>
      <c r="N125" s="330"/>
      <c r="O125" s="330"/>
      <c r="P125" s="330"/>
      <c r="Q125" s="330"/>
      <c r="R125" s="330"/>
      <c r="S125" s="330"/>
      <c r="T125" s="330"/>
      <c r="U125" s="330">
        <f>'173-каша пшенная вязк.'!C20</f>
        <v>0.1</v>
      </c>
      <c r="V125" s="330">
        <f>'173-каша пшенная вязк.'!C25</f>
        <v>0.01</v>
      </c>
      <c r="W125" s="330"/>
      <c r="X125" s="330"/>
      <c r="Y125" s="330"/>
      <c r="Z125" s="330"/>
      <c r="AA125" s="330"/>
      <c r="AB125" s="330"/>
      <c r="AC125" s="330"/>
      <c r="AD125" s="330"/>
      <c r="AE125" s="330"/>
      <c r="AF125" s="330"/>
      <c r="AG125" s="330"/>
      <c r="AH125" s="330"/>
      <c r="AI125" s="330"/>
      <c r="AJ125" s="330"/>
      <c r="AK125" s="330"/>
      <c r="AL125" s="330"/>
      <c r="AM125" s="330"/>
      <c r="AN125" s="330"/>
      <c r="AO125" s="330"/>
      <c r="AP125" s="330"/>
      <c r="AQ125" s="330"/>
      <c r="AR125" s="330"/>
      <c r="AS125" s="330"/>
      <c r="AT125" s="330"/>
      <c r="AU125" s="330"/>
      <c r="AV125" s="330"/>
      <c r="AW125" s="330"/>
      <c r="AX125" s="330"/>
      <c r="AY125" s="330"/>
      <c r="AZ125" s="330"/>
      <c r="BA125" s="330"/>
      <c r="BB125" s="330"/>
      <c r="BC125" s="330"/>
      <c r="BD125" s="330"/>
      <c r="BE125" s="330"/>
      <c r="BF125" s="330"/>
      <c r="BG125" s="330"/>
      <c r="BH125" s="330"/>
      <c r="BI125" s="330"/>
      <c r="BJ125" s="330"/>
      <c r="BK125" s="330"/>
      <c r="BL125" s="330"/>
      <c r="BM125" s="330"/>
      <c r="BN125" s="330"/>
      <c r="BO125" s="330"/>
      <c r="BP125" s="330"/>
      <c r="BQ125" s="330"/>
      <c r="BR125" s="330"/>
      <c r="BS125" s="330"/>
      <c r="BT125" s="330"/>
      <c r="BU125" s="330"/>
      <c r="BV125" s="330"/>
      <c r="BW125" s="330"/>
      <c r="BX125" s="330"/>
      <c r="BY125" s="330"/>
      <c r="BZ125" s="330"/>
      <c r="CA125" s="330">
        <f>'173-каша пшенная вязк.'!C19</f>
        <v>0.05</v>
      </c>
      <c r="CB125" s="330"/>
      <c r="CC125" s="330"/>
      <c r="CD125" s="330"/>
      <c r="CE125" s="330"/>
      <c r="CF125" s="330"/>
      <c r="CG125" s="330"/>
      <c r="CH125" s="330"/>
      <c r="CI125" s="330"/>
      <c r="CJ125" s="330"/>
      <c r="CK125" s="330"/>
      <c r="CL125" s="330"/>
      <c r="CM125" s="330"/>
      <c r="CN125" s="330"/>
      <c r="CO125" s="330"/>
      <c r="CP125" s="330"/>
      <c r="CQ125" s="330"/>
      <c r="CR125" s="330"/>
      <c r="CS125" s="330"/>
      <c r="CT125" s="330"/>
      <c r="CU125" s="330"/>
      <c r="CV125" s="330"/>
      <c r="CW125" s="330"/>
      <c r="CX125" s="330"/>
      <c r="CY125" s="330"/>
      <c r="CZ125" s="330">
        <f>'174-каша перловая вяз.'!C26+'174-каша перловая вяз.'!C22</f>
        <v>1.6E-2</v>
      </c>
      <c r="DA125" s="330"/>
      <c r="DB125" s="330"/>
      <c r="DC125" s="330">
        <f>'173-каша пшенная вязк.'!C23</f>
        <v>2.9999999999999997E-4</v>
      </c>
      <c r="DD125" s="330"/>
      <c r="DE125" s="330"/>
      <c r="DF125" s="330"/>
      <c r="DG125" s="330"/>
      <c r="DH125" s="330"/>
      <c r="DI125" s="330"/>
      <c r="DJ125" s="330"/>
      <c r="DK125" s="330"/>
      <c r="DL125" s="330"/>
      <c r="DM125" s="330"/>
      <c r="DN125" s="330"/>
      <c r="DO125" s="330"/>
      <c r="DP125" s="330"/>
      <c r="DQ125" s="330"/>
      <c r="DR125" s="330"/>
      <c r="DS125" s="330"/>
      <c r="DT125" s="330"/>
      <c r="DU125" s="330"/>
      <c r="DV125" s="330"/>
      <c r="DW125" s="330"/>
      <c r="DX125" s="330"/>
      <c r="DY125" s="330"/>
      <c r="DZ125" s="330"/>
      <c r="EA125" s="330"/>
      <c r="EB125" s="330"/>
      <c r="EC125" s="330"/>
      <c r="ED125" s="330"/>
      <c r="EE125" s="330"/>
      <c r="EF125" s="330"/>
      <c r="EG125" s="330"/>
      <c r="EH125" s="330"/>
      <c r="EI125" s="330"/>
      <c r="EJ125" s="330"/>
      <c r="EK125" s="330"/>
      <c r="EL125" s="330"/>
      <c r="EM125" s="330"/>
      <c r="EN125" s="330"/>
      <c r="EO125" s="330"/>
      <c r="EP125" s="330"/>
      <c r="EQ125" s="330"/>
      <c r="ER125" s="330"/>
      <c r="ES125" s="330"/>
      <c r="ET125" s="330"/>
      <c r="EU125" s="330"/>
      <c r="EV125" s="330"/>
      <c r="EW125" s="330"/>
      <c r="EX125" s="330"/>
      <c r="EY125" s="1032">
        <f t="shared" si="17"/>
        <v>0.17630000000000001</v>
      </c>
    </row>
    <row r="126" spans="1:166" s="699" customFormat="1" ht="14.7" customHeight="1" x14ac:dyDescent="0.25">
      <c r="A126" s="421">
        <v>122</v>
      </c>
      <c r="B126" s="183" t="str">
        <f>'173-каша ясно солнышко'!A9</f>
        <v>Каша вязкая овсяная "Ясно солнышко"</v>
      </c>
      <c r="C126" s="730">
        <f>'173-каша ясно солнышко'!C30</f>
        <v>220</v>
      </c>
      <c r="D126" s="1211">
        <f>12/100*C126</f>
        <v>26.4</v>
      </c>
      <c r="E126" s="1211">
        <f>6/100*C126</f>
        <v>13.2</v>
      </c>
      <c r="F126" s="1211">
        <f>51/100*C126</f>
        <v>112.2</v>
      </c>
      <c r="G126" s="1212">
        <f>310/100*C126</f>
        <v>682</v>
      </c>
      <c r="H126" s="730">
        <f>'173-каша ясно солнышко'!J7</f>
        <v>173</v>
      </c>
      <c r="I126" s="483">
        <f>'173-каша ясно солнышко'!F32</f>
        <v>18.13</v>
      </c>
      <c r="J126" s="330"/>
      <c r="K126" s="330"/>
      <c r="L126" s="330"/>
      <c r="M126" s="330"/>
      <c r="N126" s="330"/>
      <c r="O126" s="330"/>
      <c r="P126" s="330"/>
      <c r="Q126" s="330"/>
      <c r="R126" s="330"/>
      <c r="S126" s="330"/>
      <c r="T126" s="330"/>
      <c r="U126" s="330">
        <f>'173-каша ясно солнышко'!C20/5</f>
        <v>5.3600000000000002E-2</v>
      </c>
      <c r="V126" s="330">
        <f>'173-каша ясно солнышко'!C25</f>
        <v>5.0000000000000001E-3</v>
      </c>
      <c r="W126" s="330"/>
      <c r="X126" s="330"/>
      <c r="Y126" s="330"/>
      <c r="Z126" s="330"/>
      <c r="AA126" s="330"/>
      <c r="AB126" s="330"/>
      <c r="AC126" s="330"/>
      <c r="AD126" s="330"/>
      <c r="AE126" s="330"/>
      <c r="AF126" s="330"/>
      <c r="AG126" s="330"/>
      <c r="AH126" s="330"/>
      <c r="AI126" s="330"/>
      <c r="AJ126" s="330"/>
      <c r="AK126" s="330"/>
      <c r="AL126" s="330"/>
      <c r="AM126" s="330"/>
      <c r="AN126" s="330"/>
      <c r="AO126" s="330"/>
      <c r="AP126" s="330"/>
      <c r="AQ126" s="330"/>
      <c r="AR126" s="330"/>
      <c r="AS126" s="330"/>
      <c r="AT126" s="330"/>
      <c r="AU126" s="330"/>
      <c r="AV126" s="330"/>
      <c r="AW126" s="330"/>
      <c r="AX126" s="330"/>
      <c r="AY126" s="330"/>
      <c r="AZ126" s="330"/>
      <c r="BA126" s="330"/>
      <c r="BB126" s="330"/>
      <c r="BC126" s="330"/>
      <c r="BD126" s="330"/>
      <c r="BE126" s="330"/>
      <c r="BF126" s="330"/>
      <c r="BG126" s="330"/>
      <c r="BH126" s="330"/>
      <c r="BI126" s="330"/>
      <c r="BJ126" s="330"/>
      <c r="BK126" s="330"/>
      <c r="BL126" s="330"/>
      <c r="BM126" s="330"/>
      <c r="BN126" s="330"/>
      <c r="BO126" s="330"/>
      <c r="BP126" s="330"/>
      <c r="BQ126" s="330"/>
      <c r="BR126" s="330"/>
      <c r="BS126" s="330"/>
      <c r="BT126" s="330"/>
      <c r="BU126" s="330"/>
      <c r="BV126" s="330"/>
      <c r="BW126" s="330"/>
      <c r="BX126" s="330"/>
      <c r="BY126" s="330"/>
      <c r="BZ126" s="330"/>
      <c r="CA126" s="330"/>
      <c r="CB126" s="330"/>
      <c r="CC126" s="330"/>
      <c r="CD126" s="330">
        <f>'173-каша ясно солнышко'!C19/5</f>
        <v>6.6000000000000003E-2</v>
      </c>
      <c r="CE126" s="330"/>
      <c r="CF126" s="330"/>
      <c r="CG126" s="330"/>
      <c r="CH126" s="330"/>
      <c r="CI126" s="330"/>
      <c r="CJ126" s="330"/>
      <c r="CK126" s="330"/>
      <c r="CL126" s="330"/>
      <c r="CM126" s="330"/>
      <c r="CN126" s="330"/>
      <c r="CO126" s="330"/>
      <c r="CP126" s="330"/>
      <c r="CQ126" s="330"/>
      <c r="CR126" s="330"/>
      <c r="CS126" s="330"/>
      <c r="CT126" s="330"/>
      <c r="CU126" s="330"/>
      <c r="CV126" s="330"/>
      <c r="CW126" s="330"/>
      <c r="CX126" s="330"/>
      <c r="CY126" s="330"/>
      <c r="CZ126" s="330">
        <f>'173-каша ясно солнышко'!C26</f>
        <v>5.0000000000000001E-3</v>
      </c>
      <c r="DA126" s="330"/>
      <c r="DB126" s="330"/>
      <c r="DC126" s="330">
        <f>'173-каша ясно солнышко'!C22/5</f>
        <v>2.9999999999999997E-4</v>
      </c>
      <c r="DD126" s="330"/>
      <c r="DE126" s="330"/>
      <c r="DF126" s="330"/>
      <c r="DG126" s="330"/>
      <c r="DH126" s="330"/>
      <c r="DI126" s="330"/>
      <c r="DJ126" s="330"/>
      <c r="DK126" s="330"/>
      <c r="DL126" s="330"/>
      <c r="DM126" s="330"/>
      <c r="DN126" s="330"/>
      <c r="DO126" s="330"/>
      <c r="DP126" s="330"/>
      <c r="DQ126" s="330"/>
      <c r="DR126" s="330"/>
      <c r="DS126" s="330"/>
      <c r="DT126" s="330"/>
      <c r="DU126" s="330"/>
      <c r="DV126" s="330"/>
      <c r="DW126" s="330"/>
      <c r="DX126" s="330"/>
      <c r="DY126" s="330"/>
      <c r="DZ126" s="330"/>
      <c r="EA126" s="330"/>
      <c r="EB126" s="330"/>
      <c r="EC126" s="330"/>
      <c r="ED126" s="330"/>
      <c r="EE126" s="330"/>
      <c r="EF126" s="330"/>
      <c r="EG126" s="330"/>
      <c r="EH126" s="330"/>
      <c r="EI126" s="330"/>
      <c r="EJ126" s="330"/>
      <c r="EK126" s="330"/>
      <c r="EL126" s="330"/>
      <c r="EM126" s="330"/>
      <c r="EN126" s="330"/>
      <c r="EO126" s="330"/>
      <c r="EP126" s="330"/>
      <c r="EQ126" s="330"/>
      <c r="ER126" s="330"/>
      <c r="ES126" s="330"/>
      <c r="ET126" s="330"/>
      <c r="EU126" s="330"/>
      <c r="EV126" s="330"/>
      <c r="EW126" s="330"/>
      <c r="EX126" s="330"/>
      <c r="EY126" s="1032">
        <f t="shared" si="17"/>
        <v>0.12989999999999999</v>
      </c>
      <c r="EZ126" s="616"/>
      <c r="FA126" s="616"/>
      <c r="FB126" s="616"/>
      <c r="FC126" s="616"/>
      <c r="FD126" s="616"/>
      <c r="FE126" s="616"/>
      <c r="FF126" s="616"/>
      <c r="FG126" s="616"/>
      <c r="FH126" s="616"/>
      <c r="FI126" s="616"/>
      <c r="FJ126" s="616"/>
    </row>
    <row r="127" spans="1:166" ht="14.7" customHeight="1" x14ac:dyDescent="0.25">
      <c r="A127" s="421">
        <v>123</v>
      </c>
      <c r="B127" s="183" t="str">
        <f>'174-каша рисовая вяз.'!A9</f>
        <v>Каша вязкая молочная из риса с маслом и сахаром</v>
      </c>
      <c r="C127" s="419">
        <f>'174-каша рисовая вяз.'!C30</f>
        <v>220</v>
      </c>
      <c r="D127" s="1211">
        <f>6/220*C127</f>
        <v>6</v>
      </c>
      <c r="E127" s="1211">
        <f>10.85/220*C127</f>
        <v>10.85</v>
      </c>
      <c r="F127" s="1211">
        <f>52.93/220*C127</f>
        <v>52.93</v>
      </c>
      <c r="G127" s="1212">
        <f>334/220*C127</f>
        <v>334</v>
      </c>
      <c r="H127" s="419">
        <f>'174-каша рисовая вяз.'!J7</f>
        <v>174</v>
      </c>
      <c r="I127" s="1234">
        <f>'174-каша рисовая вяз.'!F32</f>
        <v>20.64</v>
      </c>
      <c r="J127" s="330"/>
      <c r="K127" s="330"/>
      <c r="L127" s="330"/>
      <c r="M127" s="330"/>
      <c r="N127" s="330"/>
      <c r="O127" s="330"/>
      <c r="P127" s="330"/>
      <c r="Q127" s="330"/>
      <c r="R127" s="330"/>
      <c r="S127" s="330"/>
      <c r="T127" s="330"/>
      <c r="U127" s="330">
        <f>'174-каша рисовая вяз.'!C20</f>
        <v>0.1</v>
      </c>
      <c r="V127" s="330">
        <f>'174-каша рисовая вяз.'!C25</f>
        <v>0.01</v>
      </c>
      <c r="W127" s="330"/>
      <c r="X127" s="330"/>
      <c r="Y127" s="330"/>
      <c r="Z127" s="330"/>
      <c r="AA127" s="330"/>
      <c r="AB127" s="330"/>
      <c r="AC127" s="330"/>
      <c r="AD127" s="330"/>
      <c r="AE127" s="330"/>
      <c r="AF127" s="330"/>
      <c r="AG127" s="330"/>
      <c r="AH127" s="330"/>
      <c r="AI127" s="330"/>
      <c r="AJ127" s="330"/>
      <c r="AK127" s="330"/>
      <c r="AL127" s="330"/>
      <c r="AM127" s="330"/>
      <c r="AN127" s="330"/>
      <c r="AO127" s="330"/>
      <c r="AP127" s="330"/>
      <c r="AQ127" s="330"/>
      <c r="AR127" s="330"/>
      <c r="AS127" s="330"/>
      <c r="AT127" s="330"/>
      <c r="AU127" s="330"/>
      <c r="AV127" s="330"/>
      <c r="AW127" s="330"/>
      <c r="AX127" s="330"/>
      <c r="AY127" s="330"/>
      <c r="AZ127" s="330"/>
      <c r="BA127" s="330"/>
      <c r="BB127" s="330"/>
      <c r="BC127" s="330"/>
      <c r="BD127" s="330"/>
      <c r="BE127" s="330"/>
      <c r="BF127" s="330"/>
      <c r="BG127" s="330"/>
      <c r="BH127" s="330"/>
      <c r="BI127" s="330"/>
      <c r="BJ127" s="330"/>
      <c r="BK127" s="330"/>
      <c r="BL127" s="330"/>
      <c r="BM127" s="330"/>
      <c r="BN127" s="330"/>
      <c r="BO127" s="330"/>
      <c r="BP127" s="330"/>
      <c r="BQ127" s="330"/>
      <c r="BR127" s="330"/>
      <c r="BS127" s="330"/>
      <c r="BT127" s="330"/>
      <c r="BU127" s="330"/>
      <c r="BV127" s="330"/>
      <c r="BW127" s="330"/>
      <c r="BX127" s="330"/>
      <c r="BY127" s="330"/>
      <c r="BZ127" s="330"/>
      <c r="CA127" s="330"/>
      <c r="CB127" s="330">
        <f>'174-каша рисовая вяз.'!C19</f>
        <v>4.3999999999999997E-2</v>
      </c>
      <c r="CC127" s="330"/>
      <c r="CD127" s="330"/>
      <c r="CE127" s="330"/>
      <c r="CF127" s="330"/>
      <c r="CG127" s="330"/>
      <c r="CH127" s="330"/>
      <c r="CI127" s="330"/>
      <c r="CJ127" s="330"/>
      <c r="CK127" s="330"/>
      <c r="CL127" s="330"/>
      <c r="CM127" s="330"/>
      <c r="CN127" s="330"/>
      <c r="CO127" s="330"/>
      <c r="CP127" s="330"/>
      <c r="CQ127" s="330"/>
      <c r="CR127" s="330"/>
      <c r="CS127" s="330"/>
      <c r="CT127" s="330"/>
      <c r="CU127" s="330"/>
      <c r="CV127" s="330"/>
      <c r="CW127" s="330"/>
      <c r="CX127" s="330"/>
      <c r="CY127" s="330"/>
      <c r="CZ127" s="330">
        <f>'174-каша рисовая вяз.'!C26+'174-каша рисовая вяз.'!C22</f>
        <v>1.6E-2</v>
      </c>
      <c r="DA127" s="330"/>
      <c r="DB127" s="330"/>
      <c r="DC127" s="330">
        <f>'174-каша рисовая вяз.'!C23</f>
        <v>2.9999999999999997E-4</v>
      </c>
      <c r="DD127" s="330"/>
      <c r="DE127" s="330"/>
      <c r="DF127" s="330"/>
      <c r="DG127" s="330"/>
      <c r="DH127" s="330"/>
      <c r="DI127" s="330"/>
      <c r="DJ127" s="330"/>
      <c r="DK127" s="330"/>
      <c r="DL127" s="330"/>
      <c r="DM127" s="330"/>
      <c r="DN127" s="330"/>
      <c r="DO127" s="330"/>
      <c r="DP127" s="330"/>
      <c r="DQ127" s="330"/>
      <c r="DR127" s="330"/>
      <c r="DS127" s="330"/>
      <c r="DT127" s="330"/>
      <c r="DU127" s="330"/>
      <c r="DV127" s="330"/>
      <c r="DW127" s="330"/>
      <c r="DX127" s="330"/>
      <c r="DY127" s="330"/>
      <c r="DZ127" s="330"/>
      <c r="EA127" s="330"/>
      <c r="EB127" s="330"/>
      <c r="EC127" s="330"/>
      <c r="ED127" s="330"/>
      <c r="EE127" s="330"/>
      <c r="EF127" s="330"/>
      <c r="EG127" s="330"/>
      <c r="EH127" s="330"/>
      <c r="EI127" s="330"/>
      <c r="EJ127" s="330"/>
      <c r="EK127" s="330"/>
      <c r="EL127" s="330"/>
      <c r="EM127" s="330"/>
      <c r="EN127" s="330"/>
      <c r="EO127" s="330"/>
      <c r="EP127" s="330"/>
      <c r="EQ127" s="330"/>
      <c r="ER127" s="330"/>
      <c r="ES127" s="330"/>
      <c r="ET127" s="330"/>
      <c r="EU127" s="330"/>
      <c r="EV127" s="330"/>
      <c r="EW127" s="330"/>
      <c r="EX127" s="330"/>
      <c r="EY127" s="1032">
        <f t="shared" si="17"/>
        <v>0.17030000000000001</v>
      </c>
    </row>
    <row r="128" spans="1:166" ht="14.7" customHeight="1" x14ac:dyDescent="0.25">
      <c r="A128" s="421">
        <v>124</v>
      </c>
      <c r="B128" s="183" t="str">
        <f>'174-каша перловая вяз.'!A9</f>
        <v>Каша вязкая молочная из крупы перловой с маслом и сахаром</v>
      </c>
      <c r="C128" s="419">
        <f>'174-каша перловая вяз.'!C30</f>
        <v>220</v>
      </c>
      <c r="D128" s="1211">
        <f>7/220*C128</f>
        <v>7</v>
      </c>
      <c r="E128" s="1211">
        <f>10.9/220*C128</f>
        <v>10.9</v>
      </c>
      <c r="F128" s="1211">
        <f>49.83/220*C128</f>
        <v>49.83</v>
      </c>
      <c r="G128" s="1212">
        <f>326/220*C128</f>
        <v>326</v>
      </c>
      <c r="H128" s="419">
        <f>'174-каша перловая вяз.'!J7</f>
        <v>174</v>
      </c>
      <c r="I128" s="1234">
        <f>'174-каша перловая вяз.'!F32</f>
        <v>18.09</v>
      </c>
      <c r="J128" s="330"/>
      <c r="K128" s="330"/>
      <c r="L128" s="330"/>
      <c r="M128" s="330"/>
      <c r="N128" s="330"/>
      <c r="O128" s="330"/>
      <c r="P128" s="330"/>
      <c r="Q128" s="330"/>
      <c r="R128" s="330"/>
      <c r="S128" s="330"/>
      <c r="T128" s="330"/>
      <c r="U128" s="330">
        <f>'174-каша перловая вяз.'!C20</f>
        <v>0.1</v>
      </c>
      <c r="V128" s="330">
        <f>'174-каша перловая вяз.'!C25</f>
        <v>0.01</v>
      </c>
      <c r="W128" s="330"/>
      <c r="X128" s="330"/>
      <c r="Y128" s="330"/>
      <c r="Z128" s="330"/>
      <c r="AA128" s="330"/>
      <c r="AB128" s="330"/>
      <c r="AC128" s="330"/>
      <c r="AD128" s="330"/>
      <c r="AE128" s="330"/>
      <c r="AF128" s="330"/>
      <c r="AG128" s="330"/>
      <c r="AH128" s="330"/>
      <c r="AI128" s="330"/>
      <c r="AJ128" s="330"/>
      <c r="AK128" s="330"/>
      <c r="AL128" s="330"/>
      <c r="AM128" s="330"/>
      <c r="AN128" s="330"/>
      <c r="AO128" s="330"/>
      <c r="AP128" s="330"/>
      <c r="AQ128" s="330"/>
      <c r="AR128" s="330"/>
      <c r="AS128" s="330"/>
      <c r="AT128" s="330"/>
      <c r="AU128" s="330"/>
      <c r="AV128" s="330"/>
      <c r="AW128" s="330"/>
      <c r="AX128" s="330"/>
      <c r="AY128" s="330"/>
      <c r="AZ128" s="330"/>
      <c r="BA128" s="330"/>
      <c r="BB128" s="330"/>
      <c r="BC128" s="330"/>
      <c r="BD128" s="330"/>
      <c r="BE128" s="330"/>
      <c r="BF128" s="330"/>
      <c r="BG128" s="330"/>
      <c r="BH128" s="330"/>
      <c r="BI128" s="330"/>
      <c r="BJ128" s="330"/>
      <c r="BK128" s="330"/>
      <c r="BL128" s="330"/>
      <c r="BM128" s="330"/>
      <c r="BN128" s="330"/>
      <c r="BO128" s="330"/>
      <c r="BP128" s="330"/>
      <c r="BQ128" s="330"/>
      <c r="BR128" s="330"/>
      <c r="BS128" s="330"/>
      <c r="BT128" s="330"/>
      <c r="BU128" s="330"/>
      <c r="BV128" s="330">
        <f>'174-каша перловая вяз.'!C19</f>
        <v>4.3999999999999997E-2</v>
      </c>
      <c r="BW128" s="330"/>
      <c r="BX128" s="330"/>
      <c r="BY128" s="330"/>
      <c r="BZ128" s="330"/>
      <c r="CA128" s="330"/>
      <c r="CB128" s="330"/>
      <c r="CC128" s="330"/>
      <c r="CD128" s="330"/>
      <c r="CE128" s="330"/>
      <c r="CF128" s="330"/>
      <c r="CG128" s="330"/>
      <c r="CH128" s="330"/>
      <c r="CI128" s="330"/>
      <c r="CJ128" s="330"/>
      <c r="CK128" s="330"/>
      <c r="CL128" s="330"/>
      <c r="CM128" s="330"/>
      <c r="CN128" s="330"/>
      <c r="CO128" s="330"/>
      <c r="CP128" s="330"/>
      <c r="CQ128" s="330"/>
      <c r="CR128" s="330"/>
      <c r="CS128" s="330"/>
      <c r="CT128" s="330"/>
      <c r="CU128" s="330"/>
      <c r="CV128" s="330"/>
      <c r="CW128" s="330"/>
      <c r="CX128" s="330"/>
      <c r="CY128" s="330"/>
      <c r="CZ128" s="330">
        <f>'174-каша перловая вяз.'!C22+'174-каша перловая вяз.'!C26</f>
        <v>1.6E-2</v>
      </c>
      <c r="DA128" s="330"/>
      <c r="DB128" s="330"/>
      <c r="DC128" s="330">
        <f>'174-каша перловая вяз.'!C23</f>
        <v>2.9999999999999997E-4</v>
      </c>
      <c r="DD128" s="330"/>
      <c r="DE128" s="330"/>
      <c r="DF128" s="330"/>
      <c r="DG128" s="330"/>
      <c r="DH128" s="330"/>
      <c r="DI128" s="330"/>
      <c r="DJ128" s="330"/>
      <c r="DK128" s="330"/>
      <c r="DL128" s="330"/>
      <c r="DM128" s="330"/>
      <c r="DN128" s="330"/>
      <c r="DO128" s="330"/>
      <c r="DP128" s="330"/>
      <c r="DQ128" s="330"/>
      <c r="DR128" s="330"/>
      <c r="DS128" s="330"/>
      <c r="DT128" s="330"/>
      <c r="DU128" s="330"/>
      <c r="DV128" s="330"/>
      <c r="DW128" s="330"/>
      <c r="DX128" s="330"/>
      <c r="DY128" s="330"/>
      <c r="DZ128" s="330"/>
      <c r="EA128" s="330"/>
      <c r="EB128" s="330"/>
      <c r="EC128" s="330"/>
      <c r="ED128" s="330"/>
      <c r="EE128" s="330"/>
      <c r="EF128" s="330"/>
      <c r="EG128" s="330"/>
      <c r="EH128" s="330"/>
      <c r="EI128" s="330"/>
      <c r="EJ128" s="330"/>
      <c r="EK128" s="330"/>
      <c r="EL128" s="330"/>
      <c r="EM128" s="330"/>
      <c r="EN128" s="330"/>
      <c r="EO128" s="330"/>
      <c r="EP128" s="330"/>
      <c r="EQ128" s="330"/>
      <c r="ER128" s="330"/>
      <c r="ES128" s="330"/>
      <c r="ET128" s="330"/>
      <c r="EU128" s="330"/>
      <c r="EV128" s="330"/>
      <c r="EW128" s="330"/>
      <c r="EX128" s="330"/>
      <c r="EY128" s="1032">
        <f t="shared" si="17"/>
        <v>0.17030000000000001</v>
      </c>
    </row>
    <row r="129" spans="1:166" s="564" customFormat="1" ht="14.7" customHeight="1" x14ac:dyDescent="0.25">
      <c r="A129" s="421">
        <v>125</v>
      </c>
      <c r="B129" s="183" t="str">
        <f>'177-каша пшенная с изюм'!A9</f>
        <v>Каша пшенная с изюмом</v>
      </c>
      <c r="C129" s="419">
        <f>'177-каша пшенная с изюм'!C28</f>
        <v>210</v>
      </c>
      <c r="D129" s="1211">
        <f>8.19/210*C129</f>
        <v>8.19</v>
      </c>
      <c r="E129" s="1211">
        <f>11.9/210*C129</f>
        <v>11.9</v>
      </c>
      <c r="F129" s="1211">
        <f>46.19/210*C129</f>
        <v>46.19</v>
      </c>
      <c r="G129" s="1212">
        <f>326/210*C129</f>
        <v>326</v>
      </c>
      <c r="H129" s="419">
        <f>'177-каша пшенная с изюм'!J7</f>
        <v>177</v>
      </c>
      <c r="I129" s="483">
        <f>'177-каша пшенная с изюм'!F31</f>
        <v>22.28</v>
      </c>
      <c r="J129" s="330"/>
      <c r="K129" s="330"/>
      <c r="L129" s="330"/>
      <c r="M129" s="330"/>
      <c r="N129" s="330"/>
      <c r="O129" s="330"/>
      <c r="P129" s="330"/>
      <c r="Q129" s="330"/>
      <c r="R129" s="330"/>
      <c r="S129" s="330"/>
      <c r="T129" s="330"/>
      <c r="U129" s="330">
        <f>'177-каша пшенная с изюм'!C20</f>
        <v>0.1</v>
      </c>
      <c r="V129" s="330">
        <f>'177-каша пшенная с изюм'!C25</f>
        <v>0.01</v>
      </c>
      <c r="W129" s="330"/>
      <c r="X129" s="330"/>
      <c r="Y129" s="330"/>
      <c r="Z129" s="330"/>
      <c r="AA129" s="330"/>
      <c r="AB129" s="330"/>
      <c r="AC129" s="330"/>
      <c r="AD129" s="330"/>
      <c r="AE129" s="330"/>
      <c r="AF129" s="330"/>
      <c r="AG129" s="330"/>
      <c r="AH129" s="330"/>
      <c r="AI129" s="330"/>
      <c r="AJ129" s="330"/>
      <c r="AK129" s="330"/>
      <c r="AL129" s="330"/>
      <c r="AM129" s="330"/>
      <c r="AN129" s="330"/>
      <c r="AO129" s="330"/>
      <c r="AP129" s="330"/>
      <c r="AQ129" s="330"/>
      <c r="AR129" s="330"/>
      <c r="AS129" s="330"/>
      <c r="AT129" s="330"/>
      <c r="AU129" s="330"/>
      <c r="AV129" s="330"/>
      <c r="AW129" s="330"/>
      <c r="AX129" s="330"/>
      <c r="AY129" s="330"/>
      <c r="AZ129" s="330"/>
      <c r="BA129" s="330"/>
      <c r="BB129" s="330"/>
      <c r="BC129" s="330"/>
      <c r="BD129" s="330"/>
      <c r="BE129" s="330"/>
      <c r="BF129" s="330"/>
      <c r="BG129" s="330"/>
      <c r="BH129" s="330"/>
      <c r="BI129" s="330"/>
      <c r="BJ129" s="330"/>
      <c r="BK129" s="330"/>
      <c r="BL129" s="330"/>
      <c r="BM129" s="330"/>
      <c r="BN129" s="330"/>
      <c r="BO129" s="330"/>
      <c r="BP129" s="330"/>
      <c r="BQ129" s="330"/>
      <c r="BR129" s="330"/>
      <c r="BS129" s="330"/>
      <c r="BT129" s="330"/>
      <c r="BU129" s="330"/>
      <c r="BV129" s="330"/>
      <c r="BW129" s="330"/>
      <c r="BX129" s="330"/>
      <c r="BY129" s="330"/>
      <c r="BZ129" s="330"/>
      <c r="CA129" s="330">
        <f>'177-каша пшенная с изюм'!C19</f>
        <v>4.3999999999999997E-2</v>
      </c>
      <c r="CB129" s="330"/>
      <c r="CC129" s="330"/>
      <c r="CD129" s="330"/>
      <c r="CE129" s="330"/>
      <c r="CF129" s="330"/>
      <c r="CG129" s="330"/>
      <c r="CH129" s="330"/>
      <c r="CI129" s="330"/>
      <c r="CJ129" s="330"/>
      <c r="CK129" s="330"/>
      <c r="CL129" s="330"/>
      <c r="CM129" s="330">
        <f>'177-каша пшенная с изюм'!C23</f>
        <v>1.0200000000000001E-2</v>
      </c>
      <c r="CN129" s="330"/>
      <c r="CO129" s="330"/>
      <c r="CP129" s="330"/>
      <c r="CQ129" s="330"/>
      <c r="CR129" s="330"/>
      <c r="CS129" s="330"/>
      <c r="CT129" s="330"/>
      <c r="CU129" s="330"/>
      <c r="CV129" s="330"/>
      <c r="CW129" s="330"/>
      <c r="CX129" s="330"/>
      <c r="CY129" s="330"/>
      <c r="CZ129" s="330">
        <f>'177-каша пшенная с изюм'!C22</f>
        <v>6.0000000000000001E-3</v>
      </c>
      <c r="DA129" s="330"/>
      <c r="DB129" s="330"/>
      <c r="DC129" s="330"/>
      <c r="DD129" s="330"/>
      <c r="DE129" s="330"/>
      <c r="DF129" s="330"/>
      <c r="DG129" s="330"/>
      <c r="DH129" s="330"/>
      <c r="DI129" s="330"/>
      <c r="DJ129" s="330"/>
      <c r="DK129" s="330"/>
      <c r="DL129" s="330"/>
      <c r="DM129" s="330"/>
      <c r="DN129" s="330"/>
      <c r="DO129" s="330"/>
      <c r="DP129" s="330"/>
      <c r="DQ129" s="330"/>
      <c r="DR129" s="330"/>
      <c r="DS129" s="330"/>
      <c r="DT129" s="330"/>
      <c r="DU129" s="330"/>
      <c r="DV129" s="330"/>
      <c r="DW129" s="330"/>
      <c r="DX129" s="330"/>
      <c r="DY129" s="330"/>
      <c r="DZ129" s="330"/>
      <c r="EA129" s="330"/>
      <c r="EB129" s="330"/>
      <c r="EC129" s="330"/>
      <c r="ED129" s="330"/>
      <c r="EE129" s="330"/>
      <c r="EF129" s="330"/>
      <c r="EG129" s="330"/>
      <c r="EH129" s="330"/>
      <c r="EI129" s="330"/>
      <c r="EJ129" s="330"/>
      <c r="EK129" s="330"/>
      <c r="EL129" s="330"/>
      <c r="EM129" s="330"/>
      <c r="EN129" s="330"/>
      <c r="EO129" s="330"/>
      <c r="EP129" s="330"/>
      <c r="EQ129" s="330"/>
      <c r="ER129" s="330"/>
      <c r="ES129" s="330"/>
      <c r="ET129" s="330"/>
      <c r="EU129" s="330"/>
      <c r="EV129" s="330"/>
      <c r="EW129" s="330"/>
      <c r="EX129" s="330"/>
      <c r="EY129" s="1032">
        <f t="shared" si="17"/>
        <v>0.17019999999999999</v>
      </c>
      <c r="EZ129" s="616"/>
      <c r="FA129" s="616"/>
      <c r="FB129" s="616"/>
      <c r="FC129" s="616"/>
      <c r="FD129" s="616"/>
      <c r="FE129" s="616"/>
      <c r="FF129" s="616"/>
      <c r="FG129" s="616"/>
      <c r="FH129" s="616"/>
      <c r="FI129" s="616"/>
      <c r="FJ129" s="616"/>
    </row>
    <row r="130" spans="1:166" ht="14.7" customHeight="1" x14ac:dyDescent="0.25">
      <c r="A130" s="421">
        <v>126</v>
      </c>
      <c r="B130" s="417" t="str">
        <f>'181- каша манная жид. '!A9</f>
        <v>Каша жидкая молочная из манной крупы с маслом и сахаром</v>
      </c>
      <c r="C130" s="419">
        <f>'181- каша манная жид. '!C29</f>
        <v>220</v>
      </c>
      <c r="D130" s="1211">
        <f>6.11/220*C130</f>
        <v>6.11</v>
      </c>
      <c r="E130" s="1211">
        <f>10.72/220*C130</f>
        <v>10.72</v>
      </c>
      <c r="F130" s="1211">
        <f>42.36/220*C130</f>
        <v>42.36</v>
      </c>
      <c r="G130" s="1212">
        <f>291/220*C130</f>
        <v>291</v>
      </c>
      <c r="H130" s="419">
        <f>'181- каша манная жид. '!J7</f>
        <v>181</v>
      </c>
      <c r="I130" s="1234">
        <f>'181- каша манная жид. '!F31</f>
        <v>17.559999999999999</v>
      </c>
      <c r="J130" s="330"/>
      <c r="K130" s="330"/>
      <c r="L130" s="330"/>
      <c r="M130" s="330"/>
      <c r="N130" s="330"/>
      <c r="O130" s="330"/>
      <c r="P130" s="330"/>
      <c r="Q130" s="330"/>
      <c r="R130" s="330"/>
      <c r="S130" s="330"/>
      <c r="T130" s="330"/>
      <c r="U130" s="330">
        <f>'181- каша манная жид. '!C20</f>
        <v>0.1</v>
      </c>
      <c r="V130" s="330">
        <f>'181- каша манная жид. '!C24</f>
        <v>0.01</v>
      </c>
      <c r="W130" s="330"/>
      <c r="X130" s="330"/>
      <c r="Y130" s="330"/>
      <c r="Z130" s="330"/>
      <c r="AA130" s="330"/>
      <c r="AB130" s="330"/>
      <c r="AC130" s="330"/>
      <c r="AD130" s="330"/>
      <c r="AE130" s="330"/>
      <c r="AF130" s="330"/>
      <c r="AG130" s="330"/>
      <c r="AH130" s="330"/>
      <c r="AI130" s="330"/>
      <c r="AJ130" s="330"/>
      <c r="AK130" s="330"/>
      <c r="AL130" s="330"/>
      <c r="AM130" s="330"/>
      <c r="AN130" s="330"/>
      <c r="AO130" s="330"/>
      <c r="AP130" s="330"/>
      <c r="AQ130" s="330"/>
      <c r="AR130" s="330"/>
      <c r="AS130" s="330"/>
      <c r="AT130" s="330"/>
      <c r="AU130" s="330"/>
      <c r="AV130" s="330"/>
      <c r="AW130" s="330"/>
      <c r="AX130" s="330"/>
      <c r="AY130" s="330"/>
      <c r="AZ130" s="330"/>
      <c r="BA130" s="330"/>
      <c r="BB130" s="330"/>
      <c r="BC130" s="330"/>
      <c r="BD130" s="330"/>
      <c r="BE130" s="330"/>
      <c r="BF130" s="330"/>
      <c r="BG130" s="330"/>
      <c r="BH130" s="330"/>
      <c r="BI130" s="330"/>
      <c r="BJ130" s="330"/>
      <c r="BK130" s="330"/>
      <c r="BL130" s="330"/>
      <c r="BM130" s="330"/>
      <c r="BN130" s="330"/>
      <c r="BO130" s="330"/>
      <c r="BP130" s="330"/>
      <c r="BQ130" s="330"/>
      <c r="BR130" s="330"/>
      <c r="BS130" s="330"/>
      <c r="BT130" s="330"/>
      <c r="BU130" s="330">
        <f>'181- каша манная жид. '!C19</f>
        <v>3.1E-2</v>
      </c>
      <c r="BV130" s="330"/>
      <c r="BW130" s="330"/>
      <c r="BX130" s="330"/>
      <c r="BY130" s="330"/>
      <c r="BZ130" s="330"/>
      <c r="CA130" s="330"/>
      <c r="CB130" s="330"/>
      <c r="CC130" s="330"/>
      <c r="CD130" s="330"/>
      <c r="CE130" s="330"/>
      <c r="CF130" s="330"/>
      <c r="CG130" s="330"/>
      <c r="CH130" s="330"/>
      <c r="CI130" s="330"/>
      <c r="CJ130" s="330"/>
      <c r="CK130" s="330"/>
      <c r="CL130" s="330"/>
      <c r="CM130" s="330"/>
      <c r="CN130" s="330"/>
      <c r="CO130" s="330"/>
      <c r="CP130" s="330"/>
      <c r="CQ130" s="330"/>
      <c r="CR130" s="330"/>
      <c r="CS130" s="330"/>
      <c r="CT130" s="330"/>
      <c r="CU130" s="330"/>
      <c r="CV130" s="330"/>
      <c r="CW130" s="330"/>
      <c r="CX130" s="330"/>
      <c r="CY130" s="330"/>
      <c r="CZ130" s="330">
        <f>'181- каша манная жид. '!C22+'181- каша манная жид. '!C25</f>
        <v>1.6E-2</v>
      </c>
      <c r="DA130" s="330"/>
      <c r="DB130" s="330"/>
      <c r="DC130" s="330"/>
      <c r="DD130" s="330"/>
      <c r="DE130" s="330"/>
      <c r="DF130" s="330"/>
      <c r="DG130" s="330"/>
      <c r="DH130" s="330"/>
      <c r="DI130" s="330"/>
      <c r="DJ130" s="330"/>
      <c r="DK130" s="330"/>
      <c r="DL130" s="330"/>
      <c r="DM130" s="330"/>
      <c r="DN130" s="330"/>
      <c r="DO130" s="330"/>
      <c r="DP130" s="330"/>
      <c r="DQ130" s="330"/>
      <c r="DR130" s="330"/>
      <c r="DS130" s="330"/>
      <c r="DT130" s="330"/>
      <c r="DU130" s="330"/>
      <c r="DV130" s="330"/>
      <c r="DW130" s="330"/>
      <c r="DX130" s="330"/>
      <c r="DY130" s="330"/>
      <c r="DZ130" s="330"/>
      <c r="EA130" s="330"/>
      <c r="EB130" s="330"/>
      <c r="EC130" s="330"/>
      <c r="ED130" s="330"/>
      <c r="EE130" s="330"/>
      <c r="EF130" s="330"/>
      <c r="EG130" s="330"/>
      <c r="EH130" s="330"/>
      <c r="EI130" s="330"/>
      <c r="EJ130" s="330"/>
      <c r="EK130" s="330"/>
      <c r="EL130" s="330"/>
      <c r="EM130" s="330"/>
      <c r="EN130" s="330"/>
      <c r="EO130" s="330"/>
      <c r="EP130" s="330"/>
      <c r="EQ130" s="330"/>
      <c r="ER130" s="330"/>
      <c r="ES130" s="330"/>
      <c r="ET130" s="330"/>
      <c r="EU130" s="330"/>
      <c r="EV130" s="330"/>
      <c r="EW130" s="330"/>
      <c r="EX130" s="330"/>
      <c r="EY130" s="1032">
        <f t="shared" si="17"/>
        <v>0.157</v>
      </c>
    </row>
    <row r="131" spans="1:166" ht="14.7" customHeight="1" x14ac:dyDescent="0.25">
      <c r="A131" s="421">
        <v>127</v>
      </c>
      <c r="B131" s="417" t="str">
        <f>'182- каша пшенная жид.'!A9</f>
        <v>Каша жидкая молочная из крупы пшенной с маслом и сахаром</v>
      </c>
      <c r="C131" s="419">
        <f>'182- каша пшенная жид.'!C29</f>
        <v>220</v>
      </c>
      <c r="D131" s="1211">
        <f>7.51/220*C131</f>
        <v>7.51</v>
      </c>
      <c r="E131" s="1211">
        <f>11.72/220*C131</f>
        <v>11.72</v>
      </c>
      <c r="F131" s="1211">
        <f>47.03/220*C131</f>
        <v>47.03</v>
      </c>
      <c r="G131" s="1212">
        <f>325/220*C131</f>
        <v>325</v>
      </c>
      <c r="H131" s="419">
        <f>'182- каша пшенная жид.'!J7</f>
        <v>182</v>
      </c>
      <c r="I131" s="1234">
        <f>'182- каша пшенная жид.'!F31</f>
        <v>18.72</v>
      </c>
      <c r="J131" s="330"/>
      <c r="K131" s="330"/>
      <c r="L131" s="330"/>
      <c r="M131" s="330"/>
      <c r="N131" s="330"/>
      <c r="O131" s="330"/>
      <c r="P131" s="330"/>
      <c r="Q131" s="330"/>
      <c r="R131" s="330"/>
      <c r="S131" s="330"/>
      <c r="T131" s="330"/>
      <c r="U131" s="330">
        <f>'182- каша пшенная жид.'!C20</f>
        <v>0.1</v>
      </c>
      <c r="V131" s="330">
        <f>'182- каша пшенная жид.'!C24</f>
        <v>0.01</v>
      </c>
      <c r="W131" s="330"/>
      <c r="X131" s="330"/>
      <c r="Y131" s="330"/>
      <c r="Z131" s="330"/>
      <c r="AA131" s="330"/>
      <c r="AB131" s="330"/>
      <c r="AC131" s="330"/>
      <c r="AD131" s="330"/>
      <c r="AE131" s="330"/>
      <c r="AF131" s="330"/>
      <c r="AG131" s="330"/>
      <c r="AH131" s="330"/>
      <c r="AI131" s="330"/>
      <c r="AJ131" s="330"/>
      <c r="AK131" s="330"/>
      <c r="AL131" s="330"/>
      <c r="AM131" s="330"/>
      <c r="AN131" s="330"/>
      <c r="AO131" s="330"/>
      <c r="AP131" s="330"/>
      <c r="AQ131" s="330"/>
      <c r="AR131" s="330"/>
      <c r="AS131" s="330"/>
      <c r="AT131" s="330"/>
      <c r="AU131" s="330"/>
      <c r="AV131" s="330"/>
      <c r="AW131" s="330"/>
      <c r="AX131" s="330"/>
      <c r="AY131" s="330"/>
      <c r="AZ131" s="330"/>
      <c r="BA131" s="330"/>
      <c r="BB131" s="330"/>
      <c r="BC131" s="330"/>
      <c r="BD131" s="330"/>
      <c r="BE131" s="330"/>
      <c r="BF131" s="330"/>
      <c r="BG131" s="330"/>
      <c r="BH131" s="330"/>
      <c r="BI131" s="330"/>
      <c r="BJ131" s="330"/>
      <c r="BK131" s="330"/>
      <c r="BL131" s="330"/>
      <c r="BM131" s="330"/>
      <c r="BN131" s="330"/>
      <c r="BO131" s="330"/>
      <c r="BP131" s="330"/>
      <c r="BQ131" s="330"/>
      <c r="BR131" s="330"/>
      <c r="BS131" s="330"/>
      <c r="BT131" s="330"/>
      <c r="BU131" s="330"/>
      <c r="BV131" s="330"/>
      <c r="BW131" s="330"/>
      <c r="BX131" s="330"/>
      <c r="BY131" s="330"/>
      <c r="BZ131" s="330"/>
      <c r="CA131" s="330">
        <f>'182- каша пшенная жид.'!C19</f>
        <v>0.04</v>
      </c>
      <c r="CB131" s="330"/>
      <c r="CC131" s="330"/>
      <c r="CD131" s="330"/>
      <c r="CE131" s="330"/>
      <c r="CF131" s="330"/>
      <c r="CG131" s="330"/>
      <c r="CH131" s="330"/>
      <c r="CI131" s="330"/>
      <c r="CJ131" s="330"/>
      <c r="CK131" s="330"/>
      <c r="CL131" s="330"/>
      <c r="CM131" s="330"/>
      <c r="CN131" s="330"/>
      <c r="CO131" s="330"/>
      <c r="CP131" s="330"/>
      <c r="CQ131" s="330"/>
      <c r="CR131" s="330"/>
      <c r="CS131" s="330"/>
      <c r="CT131" s="330"/>
      <c r="CU131" s="330"/>
      <c r="CV131" s="330"/>
      <c r="CW131" s="330"/>
      <c r="CX131" s="330"/>
      <c r="CY131" s="330"/>
      <c r="CZ131" s="330">
        <f>'182- каша пшенная жид.'!C22+'182- каша пшенная жид.'!C25</f>
        <v>1.6E-2</v>
      </c>
      <c r="DA131" s="330"/>
      <c r="DB131" s="330"/>
      <c r="DC131" s="330"/>
      <c r="DD131" s="330"/>
      <c r="DE131" s="330"/>
      <c r="DF131" s="330"/>
      <c r="DG131" s="330"/>
      <c r="DH131" s="330"/>
      <c r="DI131" s="330"/>
      <c r="DJ131" s="330"/>
      <c r="DK131" s="330"/>
      <c r="DL131" s="330"/>
      <c r="DM131" s="330"/>
      <c r="DN131" s="330"/>
      <c r="DO131" s="330"/>
      <c r="DP131" s="330"/>
      <c r="DQ131" s="330"/>
      <c r="DR131" s="330"/>
      <c r="DS131" s="330"/>
      <c r="DT131" s="330"/>
      <c r="DU131" s="330"/>
      <c r="DV131" s="330"/>
      <c r="DW131" s="330"/>
      <c r="DX131" s="330"/>
      <c r="DY131" s="330"/>
      <c r="DZ131" s="330"/>
      <c r="EA131" s="330"/>
      <c r="EB131" s="330"/>
      <c r="EC131" s="330"/>
      <c r="ED131" s="330"/>
      <c r="EE131" s="330"/>
      <c r="EF131" s="330"/>
      <c r="EG131" s="330"/>
      <c r="EH131" s="330"/>
      <c r="EI131" s="330"/>
      <c r="EJ131" s="330"/>
      <c r="EK131" s="330"/>
      <c r="EL131" s="330"/>
      <c r="EM131" s="330"/>
      <c r="EN131" s="330"/>
      <c r="EO131" s="330"/>
      <c r="EP131" s="330"/>
      <c r="EQ131" s="330"/>
      <c r="ER131" s="330"/>
      <c r="ES131" s="330"/>
      <c r="ET131" s="330"/>
      <c r="EU131" s="330"/>
      <c r="EV131" s="330"/>
      <c r="EW131" s="330"/>
      <c r="EX131" s="330"/>
      <c r="EY131" s="1032">
        <f t="shared" si="17"/>
        <v>0.16600000000000001</v>
      </c>
    </row>
    <row r="132" spans="1:166" ht="14.7" customHeight="1" x14ac:dyDescent="0.25">
      <c r="A132" s="421">
        <v>128</v>
      </c>
      <c r="B132" s="417" t="str">
        <f>'182- каша рисовая жид.'!A9</f>
        <v>Каша жидкая молочная из крупы рисовой с маслом и сахаром</v>
      </c>
      <c r="C132" s="419">
        <f>'182- каша рисовая жид.'!C29</f>
        <v>220</v>
      </c>
      <c r="D132" s="1211">
        <f>5.1/220*C132</f>
        <v>5.0999999999999996</v>
      </c>
      <c r="E132" s="1211">
        <f>10.72/220*C132</f>
        <v>10.72</v>
      </c>
      <c r="F132" s="1211">
        <f>43.4/220*C132</f>
        <v>43.4</v>
      </c>
      <c r="G132" s="1212">
        <f>291/220*C132</f>
        <v>291</v>
      </c>
      <c r="H132" s="419">
        <f>'182- каша рисовая жид.'!J7</f>
        <v>182</v>
      </c>
      <c r="I132" s="483">
        <f>'182- каша рисовая жид.'!F31</f>
        <v>19.36</v>
      </c>
      <c r="J132" s="330"/>
      <c r="K132" s="330"/>
      <c r="L132" s="330"/>
      <c r="M132" s="330"/>
      <c r="N132" s="330"/>
      <c r="O132" s="330"/>
      <c r="P132" s="330"/>
      <c r="Q132" s="330"/>
      <c r="R132" s="330"/>
      <c r="S132" s="330"/>
      <c r="T132" s="330"/>
      <c r="U132" s="330">
        <f>'182- каша рисовая жид.'!C20</f>
        <v>0.1</v>
      </c>
      <c r="V132" s="330">
        <f>'182- каша рисовая жид.'!C24</f>
        <v>0.01</v>
      </c>
      <c r="W132" s="330"/>
      <c r="X132" s="330"/>
      <c r="Y132" s="330"/>
      <c r="Z132" s="330"/>
      <c r="AA132" s="330"/>
      <c r="AB132" s="330"/>
      <c r="AC132" s="330"/>
      <c r="AD132" s="330"/>
      <c r="AE132" s="330"/>
      <c r="AF132" s="330"/>
      <c r="AG132" s="330"/>
      <c r="AH132" s="330"/>
      <c r="AI132" s="330"/>
      <c r="AJ132" s="330"/>
      <c r="AK132" s="330"/>
      <c r="AL132" s="330"/>
      <c r="AM132" s="330"/>
      <c r="AN132" s="330"/>
      <c r="AO132" s="330"/>
      <c r="AP132" s="330"/>
      <c r="AQ132" s="330"/>
      <c r="AR132" s="330"/>
      <c r="AS132" s="330"/>
      <c r="AT132" s="330"/>
      <c r="AU132" s="330"/>
      <c r="AV132" s="330"/>
      <c r="AW132" s="330"/>
      <c r="AX132" s="330"/>
      <c r="AY132" s="330"/>
      <c r="AZ132" s="330"/>
      <c r="BA132" s="330"/>
      <c r="BB132" s="330"/>
      <c r="BC132" s="330"/>
      <c r="BD132" s="330"/>
      <c r="BE132" s="330"/>
      <c r="BF132" s="330"/>
      <c r="BG132" s="330"/>
      <c r="BH132" s="330"/>
      <c r="BI132" s="330"/>
      <c r="BJ132" s="330"/>
      <c r="BK132" s="330"/>
      <c r="BL132" s="330"/>
      <c r="BM132" s="330"/>
      <c r="BN132" s="330"/>
      <c r="BO132" s="330"/>
      <c r="BP132" s="330"/>
      <c r="BQ132" s="330"/>
      <c r="BR132" s="330"/>
      <c r="BS132" s="330"/>
      <c r="BT132" s="330"/>
      <c r="BU132" s="330"/>
      <c r="BV132" s="330"/>
      <c r="BW132" s="330"/>
      <c r="BX132" s="330"/>
      <c r="BY132" s="330"/>
      <c r="BZ132" s="330"/>
      <c r="CA132" s="330"/>
      <c r="CB132" s="330">
        <f>'182- каша рисовая жид.'!C19</f>
        <v>3.1E-2</v>
      </c>
      <c r="CC132" s="330"/>
      <c r="CD132" s="330"/>
      <c r="CE132" s="330"/>
      <c r="CF132" s="330"/>
      <c r="CG132" s="330"/>
      <c r="CH132" s="330"/>
      <c r="CI132" s="330"/>
      <c r="CJ132" s="330"/>
      <c r="CK132" s="330"/>
      <c r="CL132" s="330"/>
      <c r="CM132" s="330"/>
      <c r="CN132" s="330"/>
      <c r="CO132" s="330"/>
      <c r="CP132" s="330"/>
      <c r="CQ132" s="330"/>
      <c r="CR132" s="330"/>
      <c r="CS132" s="330"/>
      <c r="CT132" s="330"/>
      <c r="CU132" s="330"/>
      <c r="CV132" s="330"/>
      <c r="CW132" s="330"/>
      <c r="CX132" s="330"/>
      <c r="CY132" s="330"/>
      <c r="CZ132" s="330">
        <f>'182- каша рисовая жид.'!C22+'182- каша рисовая жид.'!C25</f>
        <v>1.6E-2</v>
      </c>
      <c r="DA132" s="330"/>
      <c r="DB132" s="330"/>
      <c r="DC132" s="330"/>
      <c r="DD132" s="330"/>
      <c r="DE132" s="330"/>
      <c r="DF132" s="330"/>
      <c r="DG132" s="330"/>
      <c r="DH132" s="330"/>
      <c r="DI132" s="330"/>
      <c r="DJ132" s="330"/>
      <c r="DK132" s="330"/>
      <c r="DL132" s="330"/>
      <c r="DM132" s="330"/>
      <c r="DN132" s="330"/>
      <c r="DO132" s="330"/>
      <c r="DP132" s="330"/>
      <c r="DQ132" s="330"/>
      <c r="DR132" s="330"/>
      <c r="DS132" s="330"/>
      <c r="DT132" s="330"/>
      <c r="DU132" s="330"/>
      <c r="DV132" s="330"/>
      <c r="DW132" s="330"/>
      <c r="DX132" s="330"/>
      <c r="DY132" s="330"/>
      <c r="DZ132" s="330"/>
      <c r="EA132" s="330"/>
      <c r="EB132" s="330"/>
      <c r="EC132" s="330"/>
      <c r="ED132" s="330"/>
      <c r="EE132" s="330"/>
      <c r="EF132" s="330"/>
      <c r="EG132" s="330"/>
      <c r="EH132" s="330"/>
      <c r="EI132" s="330"/>
      <c r="EJ132" s="330"/>
      <c r="EK132" s="330"/>
      <c r="EL132" s="330"/>
      <c r="EM132" s="330"/>
      <c r="EN132" s="330"/>
      <c r="EO132" s="330"/>
      <c r="EP132" s="330"/>
      <c r="EQ132" s="330"/>
      <c r="ER132" s="330"/>
      <c r="ES132" s="330"/>
      <c r="ET132" s="330"/>
      <c r="EU132" s="330"/>
      <c r="EV132" s="330"/>
      <c r="EW132" s="330"/>
      <c r="EX132" s="330"/>
      <c r="EY132" s="1032">
        <f t="shared" si="17"/>
        <v>0.157</v>
      </c>
    </row>
    <row r="133" spans="1:166" ht="14.7" customHeight="1" x14ac:dyDescent="0.25">
      <c r="A133" s="421">
        <v>129</v>
      </c>
      <c r="B133" s="417" t="str">
        <f>'182- каша перловая жид. '!A9</f>
        <v>Каша жидкая молочная из крупы перловой с маслом и сахаром</v>
      </c>
      <c r="C133" s="419">
        <f>'182- каша перловая жид. '!C29</f>
        <v>220</v>
      </c>
      <c r="D133" s="1211">
        <f>7/220*C133</f>
        <v>7</v>
      </c>
      <c r="E133" s="1211">
        <f>10.9/220*C133</f>
        <v>10.9</v>
      </c>
      <c r="F133" s="1211">
        <f>49.83/220*C133</f>
        <v>49.83</v>
      </c>
      <c r="G133" s="1212">
        <f>326/220*C133</f>
        <v>326</v>
      </c>
      <c r="H133" s="419">
        <f>'182- каша перловая жид. '!J7</f>
        <v>182</v>
      </c>
      <c r="I133" s="483">
        <f>'182- каша перловая жид. '!F31</f>
        <v>18.079999999999998</v>
      </c>
      <c r="J133" s="330"/>
      <c r="K133" s="330"/>
      <c r="L133" s="330"/>
      <c r="M133" s="330"/>
      <c r="N133" s="330"/>
      <c r="O133" s="330"/>
      <c r="P133" s="330"/>
      <c r="Q133" s="330"/>
      <c r="R133" s="330"/>
      <c r="S133" s="330"/>
      <c r="T133" s="330"/>
      <c r="U133" s="330">
        <f>'182- каша перловая жид. '!C20</f>
        <v>0.1</v>
      </c>
      <c r="V133" s="330">
        <f>'182- каша перловая жид. '!C24</f>
        <v>0.01</v>
      </c>
      <c r="W133" s="330"/>
      <c r="X133" s="330"/>
      <c r="Y133" s="330"/>
      <c r="Z133" s="330"/>
      <c r="AA133" s="330"/>
      <c r="AB133" s="330"/>
      <c r="AC133" s="330"/>
      <c r="AD133" s="330"/>
      <c r="AE133" s="330"/>
      <c r="AF133" s="330"/>
      <c r="AG133" s="330"/>
      <c r="AH133" s="330"/>
      <c r="AI133" s="330"/>
      <c r="AJ133" s="330"/>
      <c r="AK133" s="330"/>
      <c r="AL133" s="330"/>
      <c r="AM133" s="330"/>
      <c r="AN133" s="330"/>
      <c r="AO133" s="330"/>
      <c r="AP133" s="330"/>
      <c r="AQ133" s="330"/>
      <c r="AR133" s="330"/>
      <c r="AS133" s="330"/>
      <c r="AT133" s="330"/>
      <c r="AU133" s="330"/>
      <c r="AV133" s="330"/>
      <c r="AW133" s="330"/>
      <c r="AX133" s="330"/>
      <c r="AY133" s="330"/>
      <c r="AZ133" s="330"/>
      <c r="BA133" s="330"/>
      <c r="BB133" s="330"/>
      <c r="BC133" s="330"/>
      <c r="BD133" s="330"/>
      <c r="BE133" s="330"/>
      <c r="BF133" s="330"/>
      <c r="BG133" s="330"/>
      <c r="BH133" s="330"/>
      <c r="BI133" s="330"/>
      <c r="BJ133" s="330"/>
      <c r="BK133" s="330"/>
      <c r="BL133" s="330"/>
      <c r="BM133" s="330"/>
      <c r="BN133" s="330"/>
      <c r="BO133" s="330"/>
      <c r="BP133" s="330"/>
      <c r="BQ133" s="330"/>
      <c r="BR133" s="330"/>
      <c r="BS133" s="330"/>
      <c r="BT133" s="330"/>
      <c r="BU133" s="330"/>
      <c r="BV133" s="330">
        <f>'182- каша перловая жид. '!C19</f>
        <v>4.3999999999999997E-2</v>
      </c>
      <c r="BW133" s="330"/>
      <c r="BX133" s="330"/>
      <c r="BY133" s="330"/>
      <c r="BZ133" s="330"/>
      <c r="CA133" s="330"/>
      <c r="CB133" s="330"/>
      <c r="CC133" s="330"/>
      <c r="CD133" s="330"/>
      <c r="CE133" s="330"/>
      <c r="CF133" s="330"/>
      <c r="CG133" s="330"/>
      <c r="CH133" s="330"/>
      <c r="CI133" s="330"/>
      <c r="CJ133" s="330"/>
      <c r="CK133" s="330"/>
      <c r="CL133" s="330"/>
      <c r="CM133" s="330"/>
      <c r="CN133" s="330"/>
      <c r="CO133" s="330"/>
      <c r="CP133" s="330"/>
      <c r="CQ133" s="330"/>
      <c r="CR133" s="330"/>
      <c r="CS133" s="330"/>
      <c r="CT133" s="330"/>
      <c r="CU133" s="330"/>
      <c r="CV133" s="330"/>
      <c r="CW133" s="330"/>
      <c r="CX133" s="330"/>
      <c r="CY133" s="330"/>
      <c r="CZ133" s="330">
        <f>'182- каша перловая жид. '!C22+'182- каша перловая жид. '!C25</f>
        <v>1.6E-2</v>
      </c>
      <c r="DA133" s="330"/>
      <c r="DB133" s="330"/>
      <c r="DC133" s="330"/>
      <c r="DD133" s="330"/>
      <c r="DE133" s="330"/>
      <c r="DF133" s="330"/>
      <c r="DG133" s="330"/>
      <c r="DH133" s="330"/>
      <c r="DI133" s="330"/>
      <c r="DJ133" s="330"/>
      <c r="DK133" s="330"/>
      <c r="DL133" s="330"/>
      <c r="DM133" s="330"/>
      <c r="DN133" s="330"/>
      <c r="DO133" s="330"/>
      <c r="DP133" s="330"/>
      <c r="DQ133" s="330"/>
      <c r="DR133" s="330"/>
      <c r="DS133" s="330"/>
      <c r="DT133" s="330"/>
      <c r="DU133" s="330"/>
      <c r="DV133" s="330"/>
      <c r="DW133" s="330"/>
      <c r="DX133" s="330"/>
      <c r="DY133" s="330"/>
      <c r="DZ133" s="330"/>
      <c r="EA133" s="330"/>
      <c r="EB133" s="330"/>
      <c r="EC133" s="330"/>
      <c r="ED133" s="330"/>
      <c r="EE133" s="330"/>
      <c r="EF133" s="330"/>
      <c r="EG133" s="330"/>
      <c r="EH133" s="330"/>
      <c r="EI133" s="330"/>
      <c r="EJ133" s="330"/>
      <c r="EK133" s="330"/>
      <c r="EL133" s="330"/>
      <c r="EM133" s="330"/>
      <c r="EN133" s="330"/>
      <c r="EO133" s="330"/>
      <c r="EP133" s="330"/>
      <c r="EQ133" s="330"/>
      <c r="ER133" s="330"/>
      <c r="ES133" s="330"/>
      <c r="ET133" s="330"/>
      <c r="EU133" s="330"/>
      <c r="EV133" s="330"/>
      <c r="EW133" s="330"/>
      <c r="EX133" s="330"/>
      <c r="EY133" s="1032">
        <f t="shared" si="17"/>
        <v>0.17</v>
      </c>
    </row>
    <row r="134" spans="1:166" s="407" customFormat="1" ht="14.7" customHeight="1" x14ac:dyDescent="0.25">
      <c r="A134" s="421">
        <v>130</v>
      </c>
      <c r="B134" s="417" t="str">
        <f>'182- каша овсяная жид.120'!A9</f>
        <v>Каша жидкая молочная из крупы овсяной с маслом и сахаром</v>
      </c>
      <c r="C134" s="419">
        <f>'182- каша овсяная жид.120'!C29</f>
        <v>220</v>
      </c>
      <c r="D134" s="1211">
        <f>7.82/220*C134</f>
        <v>7.82</v>
      </c>
      <c r="E134" s="1211">
        <f>12.83/220*C134</f>
        <v>12.83</v>
      </c>
      <c r="F134" s="1211">
        <f>44.25/220*C134</f>
        <v>44.25</v>
      </c>
      <c r="G134" s="1212">
        <f>325/220*C134</f>
        <v>325</v>
      </c>
      <c r="H134" s="419">
        <f>'182- каша овсяная жид.120'!J7</f>
        <v>182</v>
      </c>
      <c r="I134" s="483">
        <f>'182- каша овсяная жид.120'!F31</f>
        <v>17.72</v>
      </c>
      <c r="J134" s="330"/>
      <c r="K134" s="330"/>
      <c r="L134" s="330"/>
      <c r="M134" s="330"/>
      <c r="N134" s="330"/>
      <c r="O134" s="330"/>
      <c r="P134" s="330"/>
      <c r="Q134" s="330"/>
      <c r="R134" s="330"/>
      <c r="S134" s="330"/>
      <c r="T134" s="330"/>
      <c r="U134" s="330">
        <f>'182- каша овсяная жид.120'!C20</f>
        <v>0.1</v>
      </c>
      <c r="V134" s="330">
        <f>'182- каша овсяная жид.120'!C24</f>
        <v>0.01</v>
      </c>
      <c r="W134" s="330"/>
      <c r="X134" s="330"/>
      <c r="Y134" s="330"/>
      <c r="Z134" s="330"/>
      <c r="AA134" s="330"/>
      <c r="AB134" s="330"/>
      <c r="AC134" s="330"/>
      <c r="AD134" s="330"/>
      <c r="AE134" s="330"/>
      <c r="AF134" s="330"/>
      <c r="AG134" s="330"/>
      <c r="AH134" s="330"/>
      <c r="AI134" s="330"/>
      <c r="AJ134" s="330"/>
      <c r="AK134" s="330"/>
      <c r="AL134" s="330"/>
      <c r="AM134" s="330"/>
      <c r="AN134" s="330"/>
      <c r="AO134" s="330"/>
      <c r="AP134" s="330"/>
      <c r="AQ134" s="330"/>
      <c r="AR134" s="330"/>
      <c r="AS134" s="330"/>
      <c r="AT134" s="330"/>
      <c r="AU134" s="330"/>
      <c r="AV134" s="330"/>
      <c r="AW134" s="330"/>
      <c r="AX134" s="330"/>
      <c r="AY134" s="330"/>
      <c r="AZ134" s="330"/>
      <c r="BA134" s="330"/>
      <c r="BB134" s="330"/>
      <c r="BC134" s="330"/>
      <c r="BD134" s="330"/>
      <c r="BE134" s="330"/>
      <c r="BF134" s="330"/>
      <c r="BG134" s="330"/>
      <c r="BH134" s="330"/>
      <c r="BI134" s="330"/>
      <c r="BJ134" s="330"/>
      <c r="BK134" s="330"/>
      <c r="BL134" s="330"/>
      <c r="BM134" s="330"/>
      <c r="BN134" s="330"/>
      <c r="BO134" s="330"/>
      <c r="BP134" s="330"/>
      <c r="BQ134" s="330"/>
      <c r="BR134" s="330"/>
      <c r="BS134" s="330"/>
      <c r="BT134" s="330"/>
      <c r="BU134" s="330"/>
      <c r="BV134" s="330"/>
      <c r="BW134" s="330">
        <f>'182- каша овсяная жид.120'!C19</f>
        <v>0.04</v>
      </c>
      <c r="BX134" s="330"/>
      <c r="BY134" s="330"/>
      <c r="BZ134" s="330"/>
      <c r="CA134" s="330"/>
      <c r="CB134" s="330"/>
      <c r="CC134" s="330"/>
      <c r="CD134" s="330"/>
      <c r="CE134" s="330"/>
      <c r="CF134" s="330"/>
      <c r="CG134" s="330"/>
      <c r="CH134" s="330"/>
      <c r="CI134" s="330"/>
      <c r="CJ134" s="330"/>
      <c r="CK134" s="330"/>
      <c r="CL134" s="330"/>
      <c r="CM134" s="330"/>
      <c r="CN134" s="330"/>
      <c r="CO134" s="330"/>
      <c r="CP134" s="330"/>
      <c r="CQ134" s="330"/>
      <c r="CR134" s="330"/>
      <c r="CS134" s="330"/>
      <c r="CT134" s="330"/>
      <c r="CU134" s="330"/>
      <c r="CV134" s="330"/>
      <c r="CW134" s="330"/>
      <c r="CX134" s="330"/>
      <c r="CY134" s="330"/>
      <c r="CZ134" s="330">
        <f>'182- каша овсяная жид.120'!C22+'182- каша овсяная жид.120'!C25</f>
        <v>1.6E-2</v>
      </c>
      <c r="DA134" s="330"/>
      <c r="DB134" s="330"/>
      <c r="DC134" s="330"/>
      <c r="DD134" s="330"/>
      <c r="DE134" s="330"/>
      <c r="DF134" s="330"/>
      <c r="DG134" s="330"/>
      <c r="DH134" s="330"/>
      <c r="DI134" s="330"/>
      <c r="DJ134" s="330"/>
      <c r="DK134" s="330"/>
      <c r="DL134" s="330"/>
      <c r="DM134" s="330"/>
      <c r="DN134" s="330"/>
      <c r="DO134" s="330"/>
      <c r="DP134" s="330"/>
      <c r="DQ134" s="330"/>
      <c r="DR134" s="330"/>
      <c r="DS134" s="330"/>
      <c r="DT134" s="330"/>
      <c r="DU134" s="330"/>
      <c r="DV134" s="330"/>
      <c r="DW134" s="330"/>
      <c r="DX134" s="330"/>
      <c r="DY134" s="330"/>
      <c r="DZ134" s="330"/>
      <c r="EA134" s="330"/>
      <c r="EB134" s="330"/>
      <c r="EC134" s="330"/>
      <c r="ED134" s="330"/>
      <c r="EE134" s="330"/>
      <c r="EF134" s="330"/>
      <c r="EG134" s="330"/>
      <c r="EH134" s="330"/>
      <c r="EI134" s="330"/>
      <c r="EJ134" s="330"/>
      <c r="EK134" s="330"/>
      <c r="EL134" s="330"/>
      <c r="EM134" s="330"/>
      <c r="EN134" s="330"/>
      <c r="EO134" s="330"/>
      <c r="EP134" s="330"/>
      <c r="EQ134" s="330"/>
      <c r="ER134" s="330"/>
      <c r="ES134" s="330"/>
      <c r="ET134" s="330"/>
      <c r="EU134" s="330"/>
      <c r="EV134" s="330"/>
      <c r="EW134" s="330"/>
      <c r="EX134" s="330"/>
      <c r="EY134" s="1032">
        <f t="shared" si="17"/>
        <v>0.16600000000000001</v>
      </c>
      <c r="EZ134" s="616"/>
      <c r="FA134" s="616"/>
      <c r="FB134" s="616"/>
      <c r="FC134" s="616"/>
      <c r="FD134" s="616"/>
      <c r="FE134" s="616"/>
      <c r="FF134" s="616"/>
      <c r="FG134" s="616"/>
      <c r="FH134" s="616"/>
      <c r="FI134" s="616"/>
      <c r="FJ134" s="616"/>
    </row>
    <row r="135" spans="1:166" s="407" customFormat="1" ht="14.7" customHeight="1" x14ac:dyDescent="0.25">
      <c r="A135" s="421">
        <v>131</v>
      </c>
      <c r="B135" s="417" t="str">
        <f>'182- каша ячневая жид.'!A9</f>
        <v>Каша жидкая молочная из крупы ячневой с маслом и сахаром</v>
      </c>
      <c r="C135" s="419">
        <f>'182- каша ячневая жид.'!C29</f>
        <v>220</v>
      </c>
      <c r="D135" s="1211">
        <f>7.31/220*C135</f>
        <v>7.31</v>
      </c>
      <c r="E135" s="1211">
        <f>10.98/220*C135</f>
        <v>10.98</v>
      </c>
      <c r="F135" s="1211">
        <f>49.18/220*C135</f>
        <v>49.18</v>
      </c>
      <c r="G135" s="1212">
        <f>325/220*C135</f>
        <v>325</v>
      </c>
      <c r="H135" s="419">
        <f>'182- каша ячневая жид.'!J7</f>
        <v>182</v>
      </c>
      <c r="I135" s="483">
        <f>'182- каша ячневая жид.'!F31</f>
        <v>17.86</v>
      </c>
      <c r="J135" s="330"/>
      <c r="K135" s="330"/>
      <c r="L135" s="330"/>
      <c r="M135" s="330"/>
      <c r="N135" s="330"/>
      <c r="O135" s="330"/>
      <c r="P135" s="330"/>
      <c r="Q135" s="330"/>
      <c r="R135" s="330"/>
      <c r="S135" s="330"/>
      <c r="T135" s="330"/>
      <c r="U135" s="330">
        <f>'182- каша ячневая жид.'!C20</f>
        <v>0.1</v>
      </c>
      <c r="V135" s="330">
        <f>'182- каша ячневая жид.'!C24</f>
        <v>0.01</v>
      </c>
      <c r="W135" s="330"/>
      <c r="X135" s="330"/>
      <c r="Y135" s="330"/>
      <c r="Z135" s="330"/>
      <c r="AA135" s="330"/>
      <c r="AB135" s="330"/>
      <c r="AC135" s="330"/>
      <c r="AD135" s="330"/>
      <c r="AE135" s="330"/>
      <c r="AF135" s="330"/>
      <c r="AG135" s="330"/>
      <c r="AH135" s="330"/>
      <c r="AI135" s="330"/>
      <c r="AJ135" s="330"/>
      <c r="AK135" s="330"/>
      <c r="AL135" s="330"/>
      <c r="AM135" s="330"/>
      <c r="AN135" s="330"/>
      <c r="AO135" s="330"/>
      <c r="AP135" s="330"/>
      <c r="AQ135" s="330"/>
      <c r="AR135" s="330"/>
      <c r="AS135" s="330"/>
      <c r="AT135" s="330"/>
      <c r="AU135" s="330"/>
      <c r="AV135" s="330"/>
      <c r="AW135" s="330"/>
      <c r="AX135" s="330"/>
      <c r="AY135" s="330"/>
      <c r="AZ135" s="330"/>
      <c r="BA135" s="330"/>
      <c r="BB135" s="330"/>
      <c r="BC135" s="330"/>
      <c r="BD135" s="330"/>
      <c r="BE135" s="330"/>
      <c r="BF135" s="330"/>
      <c r="BG135" s="330"/>
      <c r="BH135" s="330"/>
      <c r="BI135" s="330"/>
      <c r="BJ135" s="330"/>
      <c r="BK135" s="330"/>
      <c r="BL135" s="330"/>
      <c r="BM135" s="330"/>
      <c r="BN135" s="330"/>
      <c r="BO135" s="330"/>
      <c r="BP135" s="330"/>
      <c r="BQ135" s="330"/>
      <c r="BR135" s="330"/>
      <c r="BS135" s="330"/>
      <c r="BT135" s="330"/>
      <c r="BU135" s="330"/>
      <c r="BV135" s="330"/>
      <c r="BW135" s="330"/>
      <c r="BX135" s="330">
        <f>'182- каша ячневая жид.'!C19</f>
        <v>4.3999999999999997E-2</v>
      </c>
      <c r="BY135" s="330"/>
      <c r="BZ135" s="330"/>
      <c r="CA135" s="330"/>
      <c r="CB135" s="330"/>
      <c r="CC135" s="330"/>
      <c r="CD135" s="330"/>
      <c r="CE135" s="330"/>
      <c r="CF135" s="330"/>
      <c r="CG135" s="330"/>
      <c r="CH135" s="330"/>
      <c r="CI135" s="330"/>
      <c r="CJ135" s="330"/>
      <c r="CK135" s="330"/>
      <c r="CL135" s="330"/>
      <c r="CM135" s="330"/>
      <c r="CN135" s="330"/>
      <c r="CO135" s="330"/>
      <c r="CP135" s="330"/>
      <c r="CQ135" s="330"/>
      <c r="CR135" s="330"/>
      <c r="CS135" s="330"/>
      <c r="CT135" s="330"/>
      <c r="CU135" s="330"/>
      <c r="CV135" s="330"/>
      <c r="CW135" s="330"/>
      <c r="CX135" s="330"/>
      <c r="CY135" s="330"/>
      <c r="CZ135" s="330">
        <f>'182- каша ячневая жид.'!C22+'182- каша ячневая жид.'!C25</f>
        <v>1.6E-2</v>
      </c>
      <c r="DA135" s="330"/>
      <c r="DB135" s="330"/>
      <c r="DC135" s="330"/>
      <c r="DD135" s="330"/>
      <c r="DE135" s="330"/>
      <c r="DF135" s="330"/>
      <c r="DG135" s="330"/>
      <c r="DH135" s="330"/>
      <c r="DI135" s="330"/>
      <c r="DJ135" s="330"/>
      <c r="DK135" s="330"/>
      <c r="DL135" s="330"/>
      <c r="DM135" s="330"/>
      <c r="DN135" s="330"/>
      <c r="DO135" s="330"/>
      <c r="DP135" s="330"/>
      <c r="DQ135" s="330"/>
      <c r="DR135" s="330"/>
      <c r="DS135" s="330"/>
      <c r="DT135" s="330"/>
      <c r="DU135" s="330"/>
      <c r="DV135" s="330"/>
      <c r="DW135" s="330"/>
      <c r="DX135" s="330"/>
      <c r="DY135" s="330"/>
      <c r="DZ135" s="330"/>
      <c r="EA135" s="330"/>
      <c r="EB135" s="330"/>
      <c r="EC135" s="330"/>
      <c r="ED135" s="330"/>
      <c r="EE135" s="330"/>
      <c r="EF135" s="330"/>
      <c r="EG135" s="330"/>
      <c r="EH135" s="330"/>
      <c r="EI135" s="330"/>
      <c r="EJ135" s="330"/>
      <c r="EK135" s="330"/>
      <c r="EL135" s="330"/>
      <c r="EM135" s="330"/>
      <c r="EN135" s="330"/>
      <c r="EO135" s="330"/>
      <c r="EP135" s="330"/>
      <c r="EQ135" s="330"/>
      <c r="ER135" s="330"/>
      <c r="ES135" s="330"/>
      <c r="ET135" s="330"/>
      <c r="EU135" s="330"/>
      <c r="EV135" s="330"/>
      <c r="EW135" s="330"/>
      <c r="EX135" s="330"/>
      <c r="EY135" s="1032">
        <f t="shared" si="17"/>
        <v>0.17</v>
      </c>
      <c r="EZ135" s="616"/>
      <c r="FA135" s="616"/>
      <c r="FB135" s="616"/>
      <c r="FC135" s="616"/>
      <c r="FD135" s="616"/>
      <c r="FE135" s="616"/>
      <c r="FF135" s="616"/>
      <c r="FG135" s="616"/>
      <c r="FH135" s="616"/>
      <c r="FI135" s="616"/>
      <c r="FJ135" s="616"/>
    </row>
    <row r="136" spans="1:166" ht="14.7" customHeight="1" x14ac:dyDescent="0.25">
      <c r="A136" s="421">
        <v>132</v>
      </c>
      <c r="B136" s="417" t="str">
        <f>'183-каша гречневая жид.'!A9</f>
        <v>Каша жидкая молочная из гречневой крупы с маслом и сахаром</v>
      </c>
      <c r="C136" s="419">
        <f>'183-каша гречневая жид.'!C30</f>
        <v>220</v>
      </c>
      <c r="D136" s="1211">
        <f>9.09/220*C136</f>
        <v>9.09</v>
      </c>
      <c r="E136" s="1211">
        <f>12.99/220*C136</f>
        <v>12.99</v>
      </c>
      <c r="F136" s="1211">
        <f>45.16/220*C136</f>
        <v>45.16</v>
      </c>
      <c r="G136" s="1212">
        <f>335/220*C136</f>
        <v>335</v>
      </c>
      <c r="H136" s="419">
        <f>'183-каша гречневая жид.'!J7</f>
        <v>183</v>
      </c>
      <c r="I136" s="1234">
        <f>'183-каша гречневая жид.'!F32</f>
        <v>23.56</v>
      </c>
      <c r="J136" s="330"/>
      <c r="K136" s="330"/>
      <c r="L136" s="330"/>
      <c r="M136" s="330"/>
      <c r="N136" s="330"/>
      <c r="O136" s="330"/>
      <c r="P136" s="330"/>
      <c r="Q136" s="330"/>
      <c r="R136" s="330"/>
      <c r="S136" s="330"/>
      <c r="T136" s="330"/>
      <c r="U136" s="330">
        <f>'183-каша гречневая жид.'!C21</f>
        <v>0.14000000000000001</v>
      </c>
      <c r="V136" s="330">
        <f>'183-каша гречневая жид.'!C25</f>
        <v>0.01</v>
      </c>
      <c r="W136" s="330"/>
      <c r="X136" s="330"/>
      <c r="Y136" s="330"/>
      <c r="Z136" s="330"/>
      <c r="AA136" s="330"/>
      <c r="AB136" s="330"/>
      <c r="AC136" s="330"/>
      <c r="AD136" s="330"/>
      <c r="AE136" s="330"/>
      <c r="AF136" s="330"/>
      <c r="AG136" s="330"/>
      <c r="AH136" s="330"/>
      <c r="AI136" s="330"/>
      <c r="AJ136" s="330"/>
      <c r="AK136" s="330"/>
      <c r="AL136" s="330"/>
      <c r="AM136" s="330"/>
      <c r="AN136" s="330"/>
      <c r="AO136" s="330"/>
      <c r="AP136" s="330"/>
      <c r="AQ136" s="330"/>
      <c r="AR136" s="330"/>
      <c r="AS136" s="330"/>
      <c r="AT136" s="330"/>
      <c r="AU136" s="330"/>
      <c r="AV136" s="330"/>
      <c r="AW136" s="330"/>
      <c r="AX136" s="330"/>
      <c r="AY136" s="330"/>
      <c r="AZ136" s="330"/>
      <c r="BA136" s="330"/>
      <c r="BB136" s="330"/>
      <c r="BC136" s="330"/>
      <c r="BD136" s="330"/>
      <c r="BE136" s="330"/>
      <c r="BF136" s="330"/>
      <c r="BG136" s="330"/>
      <c r="BH136" s="330"/>
      <c r="BI136" s="330"/>
      <c r="BJ136" s="330"/>
      <c r="BK136" s="330"/>
      <c r="BL136" s="330"/>
      <c r="BM136" s="330"/>
      <c r="BN136" s="330"/>
      <c r="BO136" s="330"/>
      <c r="BP136" s="330"/>
      <c r="BQ136" s="330"/>
      <c r="BR136" s="330"/>
      <c r="BS136" s="330"/>
      <c r="BT136" s="330">
        <f>'183-каша гречневая жид.'!C19</f>
        <v>0.04</v>
      </c>
      <c r="BU136" s="330"/>
      <c r="BV136" s="330"/>
      <c r="BW136" s="330"/>
      <c r="BX136" s="330"/>
      <c r="BY136" s="330"/>
      <c r="BZ136" s="330"/>
      <c r="CA136" s="330"/>
      <c r="CB136" s="330"/>
      <c r="CC136" s="330"/>
      <c r="CD136" s="330"/>
      <c r="CE136" s="330"/>
      <c r="CF136" s="330"/>
      <c r="CG136" s="330"/>
      <c r="CH136" s="330"/>
      <c r="CI136" s="330"/>
      <c r="CJ136" s="330"/>
      <c r="CK136" s="330"/>
      <c r="CL136" s="330"/>
      <c r="CM136" s="330"/>
      <c r="CN136" s="330"/>
      <c r="CO136" s="330"/>
      <c r="CP136" s="330"/>
      <c r="CQ136" s="330"/>
      <c r="CR136" s="330"/>
      <c r="CS136" s="330"/>
      <c r="CT136" s="330"/>
      <c r="CU136" s="330"/>
      <c r="CV136" s="330"/>
      <c r="CW136" s="330"/>
      <c r="CX136" s="330"/>
      <c r="CY136" s="330"/>
      <c r="CZ136" s="330">
        <f>'183-каша гречневая жид.'!C22+'183-каша гречневая жид.'!C26</f>
        <v>1.6E-2</v>
      </c>
      <c r="DA136" s="330"/>
      <c r="DB136" s="330"/>
      <c r="DC136" s="330">
        <f>'183-каша гречневая жид.'!C23</f>
        <v>1.6000000000000001E-3</v>
      </c>
      <c r="DD136" s="330"/>
      <c r="DE136" s="330"/>
      <c r="DF136" s="330"/>
      <c r="DG136" s="330"/>
      <c r="DH136" s="330"/>
      <c r="DI136" s="330"/>
      <c r="DJ136" s="330"/>
      <c r="DK136" s="330"/>
      <c r="DL136" s="330"/>
      <c r="DM136" s="330"/>
      <c r="DN136" s="330"/>
      <c r="DO136" s="330"/>
      <c r="DP136" s="330"/>
      <c r="DQ136" s="330"/>
      <c r="DR136" s="330"/>
      <c r="DS136" s="330"/>
      <c r="DT136" s="330"/>
      <c r="DU136" s="330"/>
      <c r="DV136" s="330"/>
      <c r="DW136" s="330"/>
      <c r="DX136" s="330"/>
      <c r="DY136" s="330"/>
      <c r="DZ136" s="330"/>
      <c r="EA136" s="330"/>
      <c r="EB136" s="330"/>
      <c r="EC136" s="330"/>
      <c r="ED136" s="330"/>
      <c r="EE136" s="330"/>
      <c r="EF136" s="330"/>
      <c r="EG136" s="330"/>
      <c r="EH136" s="330"/>
      <c r="EI136" s="330"/>
      <c r="EJ136" s="330"/>
      <c r="EK136" s="330"/>
      <c r="EL136" s="330"/>
      <c r="EM136" s="330"/>
      <c r="EN136" s="330"/>
      <c r="EO136" s="330"/>
      <c r="EP136" s="330"/>
      <c r="EQ136" s="330"/>
      <c r="ER136" s="330"/>
      <c r="ES136" s="330"/>
      <c r="ET136" s="330"/>
      <c r="EU136" s="330"/>
      <c r="EV136" s="330"/>
      <c r="EW136" s="330"/>
      <c r="EX136" s="330"/>
      <c r="EY136" s="1032">
        <f t="shared" si="17"/>
        <v>0.20760000000000001</v>
      </c>
    </row>
    <row r="137" spans="1:166" s="628" customFormat="1" ht="14.7" customHeight="1" x14ac:dyDescent="0.25">
      <c r="A137" s="421">
        <v>133</v>
      </c>
      <c r="B137" s="417" t="str">
        <f>'184-крупеник гречка'!A9</f>
        <v>Крупеник из гречневой крупы с маслом</v>
      </c>
      <c r="C137" s="418">
        <f>'184-крупеник гречка'!C34</f>
        <v>105</v>
      </c>
      <c r="D137" s="1211">
        <f>9.53/105*C137</f>
        <v>9.5299999999999994</v>
      </c>
      <c r="E137" s="1211">
        <f>9.66/105*C137</f>
        <v>9.66</v>
      </c>
      <c r="F137" s="1211">
        <f>23.33/105*C137</f>
        <v>23.33</v>
      </c>
      <c r="G137" s="1212">
        <f>221/105*C137</f>
        <v>221</v>
      </c>
      <c r="H137" s="418">
        <f>'184-крупеник гречка'!J7</f>
        <v>184</v>
      </c>
      <c r="I137" s="483">
        <f>'184-крупеник гречка'!F36</f>
        <v>18.940000000000001</v>
      </c>
      <c r="J137" s="330"/>
      <c r="K137" s="330"/>
      <c r="L137" s="330"/>
      <c r="M137" s="330"/>
      <c r="N137" s="330"/>
      <c r="O137" s="330"/>
      <c r="P137" s="330"/>
      <c r="Q137" s="330"/>
      <c r="R137" s="330"/>
      <c r="S137" s="330"/>
      <c r="T137" s="330"/>
      <c r="U137" s="330"/>
      <c r="V137" s="330">
        <f>'184-крупеник гречка'!C30</f>
        <v>5.0000000000000001E-3</v>
      </c>
      <c r="W137" s="330"/>
      <c r="X137" s="330">
        <f>'184-крупеник гречка'!C22</f>
        <v>3.04E-2</v>
      </c>
      <c r="Y137" s="330">
        <f>'184-крупеник гречка'!C27</f>
        <v>2E-3</v>
      </c>
      <c r="Z137" s="330"/>
      <c r="AA137" s="330"/>
      <c r="AB137" s="330"/>
      <c r="AC137" s="330"/>
      <c r="AD137" s="330"/>
      <c r="AE137" s="330">
        <f>'184-крупеник гречка'!C24</f>
        <v>2E-3</v>
      </c>
      <c r="AF137" s="330"/>
      <c r="AG137" s="330"/>
      <c r="AH137" s="330"/>
      <c r="AI137" s="330"/>
      <c r="AJ137" s="330"/>
      <c r="AK137" s="330"/>
      <c r="AL137" s="330"/>
      <c r="AM137" s="330"/>
      <c r="AN137" s="330"/>
      <c r="AO137" s="330"/>
      <c r="AP137" s="330"/>
      <c r="AQ137" s="330"/>
      <c r="AR137" s="330"/>
      <c r="AS137" s="330"/>
      <c r="AT137" s="330"/>
      <c r="AU137" s="330"/>
      <c r="AV137" s="330"/>
      <c r="AW137" s="330"/>
      <c r="AX137" s="330"/>
      <c r="AY137" s="330"/>
      <c r="AZ137" s="330"/>
      <c r="BA137" s="330"/>
      <c r="BB137" s="330"/>
      <c r="BC137" s="330"/>
      <c r="BD137" s="330"/>
      <c r="BE137" s="330"/>
      <c r="BF137" s="330"/>
      <c r="BG137" s="330"/>
      <c r="BH137" s="330"/>
      <c r="BI137" s="330"/>
      <c r="BJ137" s="330"/>
      <c r="BK137" s="330"/>
      <c r="BL137" s="330"/>
      <c r="BM137" s="330"/>
      <c r="BN137" s="330"/>
      <c r="BO137" s="330"/>
      <c r="BP137" s="330"/>
      <c r="BQ137" s="330"/>
      <c r="BR137" s="330"/>
      <c r="BS137" s="330"/>
      <c r="BT137" s="330">
        <f>'184-крупеник гречка'!C19</f>
        <v>3.2000000000000001E-2</v>
      </c>
      <c r="BU137" s="330"/>
      <c r="BV137" s="330"/>
      <c r="BW137" s="330"/>
      <c r="BX137" s="330"/>
      <c r="BY137" s="330"/>
      <c r="BZ137" s="330"/>
      <c r="CA137" s="330"/>
      <c r="CB137" s="330"/>
      <c r="CC137" s="330"/>
      <c r="CD137" s="330"/>
      <c r="CE137" s="330"/>
      <c r="CF137" s="330">
        <f>'184-крупеник гречка'!C26</f>
        <v>2E-3</v>
      </c>
      <c r="CG137" s="330"/>
      <c r="CH137" s="330"/>
      <c r="CI137" s="330"/>
      <c r="CJ137" s="330"/>
      <c r="CK137" s="330"/>
      <c r="CL137" s="330"/>
      <c r="CM137" s="330"/>
      <c r="CN137" s="330"/>
      <c r="CO137" s="330"/>
      <c r="CP137" s="330"/>
      <c r="CQ137" s="330"/>
      <c r="CR137" s="330"/>
      <c r="CS137" s="330"/>
      <c r="CT137" s="330"/>
      <c r="CU137" s="330"/>
      <c r="CV137" s="330"/>
      <c r="CW137" s="330"/>
      <c r="CX137" s="330"/>
      <c r="CY137" s="330"/>
      <c r="CZ137" s="330">
        <f>'184-крупеник гречка'!C23</f>
        <v>4.0000000000000001E-3</v>
      </c>
      <c r="DA137" s="330"/>
      <c r="DB137" s="330"/>
      <c r="DC137" s="330"/>
      <c r="DD137" s="330">
        <f>'184-крупеник гречка'!C25</f>
        <v>2E-3</v>
      </c>
      <c r="DE137" s="330"/>
      <c r="DF137" s="330"/>
      <c r="DG137" s="330"/>
      <c r="DH137" s="330"/>
      <c r="DI137" s="330"/>
      <c r="DJ137" s="330"/>
      <c r="DK137" s="330"/>
      <c r="DL137" s="330"/>
      <c r="DM137" s="330"/>
      <c r="DN137" s="330"/>
      <c r="DO137" s="330"/>
      <c r="DP137" s="330"/>
      <c r="DQ137" s="330"/>
      <c r="DR137" s="330"/>
      <c r="DS137" s="330"/>
      <c r="DT137" s="330"/>
      <c r="DU137" s="330"/>
      <c r="DV137" s="330"/>
      <c r="DW137" s="330"/>
      <c r="DX137" s="330"/>
      <c r="DY137" s="330"/>
      <c r="DZ137" s="330"/>
      <c r="EA137" s="330"/>
      <c r="EB137" s="330"/>
      <c r="EC137" s="330"/>
      <c r="ED137" s="330"/>
      <c r="EE137" s="330"/>
      <c r="EF137" s="330"/>
      <c r="EG137" s="330"/>
      <c r="EH137" s="330"/>
      <c r="EI137" s="330"/>
      <c r="EJ137" s="330"/>
      <c r="EK137" s="330"/>
      <c r="EL137" s="330"/>
      <c r="EM137" s="330"/>
      <c r="EN137" s="330"/>
      <c r="EO137" s="330"/>
      <c r="EP137" s="330"/>
      <c r="EQ137" s="330"/>
      <c r="ER137" s="330"/>
      <c r="ES137" s="330"/>
      <c r="ET137" s="330"/>
      <c r="EU137" s="330"/>
      <c r="EV137" s="330"/>
      <c r="EW137" s="330"/>
      <c r="EX137" s="330"/>
      <c r="EY137" s="1032">
        <f t="shared" si="17"/>
        <v>7.9399999999999998E-2</v>
      </c>
      <c r="EZ137" s="616"/>
      <c r="FA137" s="616"/>
      <c r="FB137" s="616"/>
      <c r="FC137" s="616"/>
      <c r="FD137" s="616"/>
      <c r="FE137" s="616"/>
      <c r="FF137" s="616"/>
      <c r="FG137" s="616"/>
      <c r="FH137" s="616"/>
      <c r="FI137" s="616"/>
      <c r="FJ137" s="616"/>
    </row>
    <row r="138" spans="1:166" s="628" customFormat="1" ht="14.7" customHeight="1" x14ac:dyDescent="0.25">
      <c r="A138" s="421">
        <v>134</v>
      </c>
      <c r="B138" s="417" t="str">
        <f>'184-крупеник гречка йогурт'!A9</f>
        <v>Крупеник из гречневой крупы с йогуртом</v>
      </c>
      <c r="C138" s="418">
        <f>'184-крупеник гречка йогурт'!C34</f>
        <v>120</v>
      </c>
      <c r="D138" s="1211">
        <f>10.31/120*C138</f>
        <v>10.31</v>
      </c>
      <c r="E138" s="1211">
        <f>6.34/120*C138</f>
        <v>6.34</v>
      </c>
      <c r="F138" s="1211">
        <f>24.45/120*C138</f>
        <v>24.45</v>
      </c>
      <c r="G138" s="1212">
        <f>200/120*C138</f>
        <v>200</v>
      </c>
      <c r="H138" s="418">
        <f>'184-крупеник гречка йогурт'!J7</f>
        <v>184</v>
      </c>
      <c r="I138" s="483">
        <f>'184-крупеник гречка йогурт'!F36</f>
        <v>24.19</v>
      </c>
      <c r="J138" s="330"/>
      <c r="K138" s="330"/>
      <c r="L138" s="330"/>
      <c r="M138" s="330"/>
      <c r="N138" s="330"/>
      <c r="O138" s="330"/>
      <c r="P138" s="330"/>
      <c r="Q138" s="330"/>
      <c r="R138" s="330"/>
      <c r="S138" s="330"/>
      <c r="T138" s="330"/>
      <c r="U138" s="330"/>
      <c r="V138" s="330"/>
      <c r="W138" s="330"/>
      <c r="X138" s="330">
        <f>'184-крупеник гречка йогурт'!C22</f>
        <v>3.04E-2</v>
      </c>
      <c r="Y138" s="330">
        <f>'184-крупеник гречка йогурт'!C27</f>
        <v>2E-3</v>
      </c>
      <c r="Z138" s="330"/>
      <c r="AA138" s="330"/>
      <c r="AB138" s="330"/>
      <c r="AC138" s="330">
        <f>'184-крупеник гречка йогурт'!C30</f>
        <v>0.02</v>
      </c>
      <c r="AD138" s="330"/>
      <c r="AE138" s="330">
        <f>'184-крупеник гречка йогурт'!C24</f>
        <v>2E-3</v>
      </c>
      <c r="AF138" s="330"/>
      <c r="AG138" s="330"/>
      <c r="AH138" s="330"/>
      <c r="AI138" s="330"/>
      <c r="AJ138" s="330"/>
      <c r="AK138" s="330"/>
      <c r="AL138" s="330"/>
      <c r="AM138" s="330"/>
      <c r="AN138" s="330"/>
      <c r="AO138" s="330"/>
      <c r="AP138" s="330"/>
      <c r="AQ138" s="330"/>
      <c r="AR138" s="330"/>
      <c r="AS138" s="330"/>
      <c r="AT138" s="330"/>
      <c r="AU138" s="330"/>
      <c r="AV138" s="330"/>
      <c r="AW138" s="330"/>
      <c r="AX138" s="330"/>
      <c r="AY138" s="330"/>
      <c r="AZ138" s="330"/>
      <c r="BA138" s="330"/>
      <c r="BB138" s="330"/>
      <c r="BC138" s="330"/>
      <c r="BD138" s="330"/>
      <c r="BE138" s="330"/>
      <c r="BF138" s="330"/>
      <c r="BG138" s="330"/>
      <c r="BH138" s="330"/>
      <c r="BI138" s="330"/>
      <c r="BJ138" s="330"/>
      <c r="BK138" s="330"/>
      <c r="BL138" s="330"/>
      <c r="BM138" s="330"/>
      <c r="BN138" s="330"/>
      <c r="BO138" s="330"/>
      <c r="BP138" s="330"/>
      <c r="BQ138" s="330"/>
      <c r="BR138" s="330"/>
      <c r="BS138" s="330"/>
      <c r="BT138" s="330">
        <f>'184-крупеник гречка йогурт'!C19</f>
        <v>3.2000000000000001E-2</v>
      </c>
      <c r="BU138" s="330"/>
      <c r="BV138" s="330"/>
      <c r="BW138" s="330"/>
      <c r="BX138" s="330"/>
      <c r="BY138" s="330"/>
      <c r="BZ138" s="330"/>
      <c r="CA138" s="330"/>
      <c r="CB138" s="330"/>
      <c r="CC138" s="330"/>
      <c r="CD138" s="330"/>
      <c r="CE138" s="330"/>
      <c r="CF138" s="330">
        <f>'184-крупеник гречка йогурт'!C26</f>
        <v>2E-3</v>
      </c>
      <c r="CG138" s="330"/>
      <c r="CH138" s="330"/>
      <c r="CI138" s="330"/>
      <c r="CJ138" s="330"/>
      <c r="CK138" s="330"/>
      <c r="CL138" s="330"/>
      <c r="CM138" s="330"/>
      <c r="CN138" s="330"/>
      <c r="CO138" s="330"/>
      <c r="CP138" s="330"/>
      <c r="CQ138" s="330"/>
      <c r="CR138" s="330"/>
      <c r="CS138" s="330"/>
      <c r="CT138" s="330"/>
      <c r="CU138" s="330"/>
      <c r="CV138" s="330"/>
      <c r="CW138" s="330"/>
      <c r="CX138" s="330"/>
      <c r="CY138" s="330"/>
      <c r="CZ138" s="330">
        <f>'184-крупеник гречка йогурт'!C23</f>
        <v>4.0000000000000001E-3</v>
      </c>
      <c r="DA138" s="330"/>
      <c r="DB138" s="330"/>
      <c r="DC138" s="330"/>
      <c r="DD138" s="330">
        <f>'184-крупеник гречка йогурт'!C25</f>
        <v>2E-3</v>
      </c>
      <c r="DE138" s="330"/>
      <c r="DF138" s="330"/>
      <c r="DG138" s="330"/>
      <c r="DH138" s="330"/>
      <c r="DI138" s="330"/>
      <c r="DJ138" s="330"/>
      <c r="DK138" s="330"/>
      <c r="DL138" s="330"/>
      <c r="DM138" s="330"/>
      <c r="DN138" s="330"/>
      <c r="DO138" s="330"/>
      <c r="DP138" s="330"/>
      <c r="DQ138" s="330"/>
      <c r="DR138" s="330"/>
      <c r="DS138" s="330"/>
      <c r="DT138" s="330"/>
      <c r="DU138" s="330"/>
      <c r="DV138" s="330"/>
      <c r="DW138" s="330"/>
      <c r="DX138" s="330"/>
      <c r="DY138" s="330"/>
      <c r="DZ138" s="330"/>
      <c r="EA138" s="330"/>
      <c r="EB138" s="330"/>
      <c r="EC138" s="330"/>
      <c r="ED138" s="330"/>
      <c r="EE138" s="330"/>
      <c r="EF138" s="330"/>
      <c r="EG138" s="330"/>
      <c r="EH138" s="330"/>
      <c r="EI138" s="330"/>
      <c r="EJ138" s="330"/>
      <c r="EK138" s="330"/>
      <c r="EL138" s="330"/>
      <c r="EM138" s="330"/>
      <c r="EN138" s="330"/>
      <c r="EO138" s="330"/>
      <c r="EP138" s="330"/>
      <c r="EQ138" s="330"/>
      <c r="ER138" s="330"/>
      <c r="ES138" s="330"/>
      <c r="ET138" s="330"/>
      <c r="EU138" s="330"/>
      <c r="EV138" s="330"/>
      <c r="EW138" s="330"/>
      <c r="EX138" s="330"/>
      <c r="EY138" s="1032">
        <f t="shared" si="17"/>
        <v>9.4399999999999998E-2</v>
      </c>
      <c r="EZ138" s="616"/>
      <c r="FA138" s="616"/>
      <c r="FB138" s="616"/>
      <c r="FC138" s="616"/>
      <c r="FD138" s="616"/>
      <c r="FE138" s="616"/>
      <c r="FF138" s="616"/>
      <c r="FG138" s="616"/>
      <c r="FH138" s="616"/>
      <c r="FI138" s="616"/>
      <c r="FJ138" s="616"/>
    </row>
    <row r="139" spans="1:166" s="628" customFormat="1" ht="14.7" customHeight="1" x14ac:dyDescent="0.25">
      <c r="A139" s="421">
        <v>135</v>
      </c>
      <c r="B139" s="417" t="str">
        <f>'184-крупеник пшенич.'!A9</f>
        <v>Крупеник из пшеничной крупы с маслом</v>
      </c>
      <c r="C139" s="418">
        <f>'184-крупеник пшенич.'!C34</f>
        <v>105</v>
      </c>
      <c r="D139" s="1211">
        <f>8.65/105*C139</f>
        <v>8.65</v>
      </c>
      <c r="E139" s="1211">
        <f>9/105*C139</f>
        <v>9</v>
      </c>
      <c r="F139" s="1211">
        <f>23.39/105*C139</f>
        <v>23.39</v>
      </c>
      <c r="G139" s="1212">
        <f>212/105*C139</f>
        <v>212</v>
      </c>
      <c r="H139" s="418">
        <f>'184-крупеник пшенич.'!J7</f>
        <v>184</v>
      </c>
      <c r="I139" s="483">
        <f>'184-крупеник пшенич.'!F36</f>
        <v>16.690000000000001</v>
      </c>
      <c r="J139" s="330"/>
      <c r="K139" s="330"/>
      <c r="L139" s="330"/>
      <c r="M139" s="330"/>
      <c r="N139" s="330"/>
      <c r="O139" s="330"/>
      <c r="P139" s="330"/>
      <c r="Q139" s="330"/>
      <c r="R139" s="330"/>
      <c r="S139" s="330"/>
      <c r="T139" s="330"/>
      <c r="U139" s="330"/>
      <c r="V139" s="330">
        <f>'184-крупеник пшенич.'!C30</f>
        <v>5.0000000000000001E-3</v>
      </c>
      <c r="W139" s="330"/>
      <c r="X139" s="330">
        <f>'184-крупеник пшенич.'!C22</f>
        <v>3.04E-2</v>
      </c>
      <c r="Y139" s="330">
        <f>'184-крупеник пшенич.'!C27</f>
        <v>2E-3</v>
      </c>
      <c r="Z139" s="330"/>
      <c r="AA139" s="330"/>
      <c r="AB139" s="330"/>
      <c r="AC139" s="330"/>
      <c r="AD139" s="330"/>
      <c r="AE139" s="330">
        <f>'184-крупеник пшенич.'!C24</f>
        <v>2E-3</v>
      </c>
      <c r="AF139" s="330"/>
      <c r="AG139" s="330"/>
      <c r="AH139" s="330"/>
      <c r="AI139" s="330"/>
      <c r="AJ139" s="330"/>
      <c r="AK139" s="330"/>
      <c r="AL139" s="330"/>
      <c r="AM139" s="330"/>
      <c r="AN139" s="330"/>
      <c r="AO139" s="330"/>
      <c r="AP139" s="330"/>
      <c r="AQ139" s="330"/>
      <c r="AR139" s="330"/>
      <c r="AS139" s="330"/>
      <c r="AT139" s="330"/>
      <c r="AU139" s="330"/>
      <c r="AV139" s="330"/>
      <c r="AW139" s="330"/>
      <c r="AX139" s="330"/>
      <c r="AY139" s="330"/>
      <c r="AZ139" s="330"/>
      <c r="BA139" s="330"/>
      <c r="BB139" s="330"/>
      <c r="BC139" s="330"/>
      <c r="BD139" s="330"/>
      <c r="BE139" s="330"/>
      <c r="BF139" s="330"/>
      <c r="BG139" s="330"/>
      <c r="BH139" s="330"/>
      <c r="BI139" s="330"/>
      <c r="BJ139" s="330"/>
      <c r="BK139" s="330"/>
      <c r="BL139" s="330"/>
      <c r="BM139" s="330"/>
      <c r="BN139" s="330"/>
      <c r="BO139" s="330"/>
      <c r="BP139" s="330"/>
      <c r="BQ139" s="330"/>
      <c r="BR139" s="330"/>
      <c r="BS139" s="330"/>
      <c r="BT139" s="330"/>
      <c r="BU139" s="330"/>
      <c r="BV139" s="330"/>
      <c r="BW139" s="330"/>
      <c r="BX139" s="330"/>
      <c r="BY139" s="330">
        <f>'184-крупеник пшенич.'!C19</f>
        <v>2.7E-2</v>
      </c>
      <c r="BZ139" s="330"/>
      <c r="CA139" s="330"/>
      <c r="CB139" s="330"/>
      <c r="CC139" s="330"/>
      <c r="CD139" s="330"/>
      <c r="CE139" s="330"/>
      <c r="CF139" s="330">
        <f>'184-крупеник пшенич.'!C26</f>
        <v>2E-3</v>
      </c>
      <c r="CG139" s="330"/>
      <c r="CH139" s="330"/>
      <c r="CI139" s="330"/>
      <c r="CJ139" s="330"/>
      <c r="CK139" s="330"/>
      <c r="CL139" s="330"/>
      <c r="CM139" s="330"/>
      <c r="CN139" s="330"/>
      <c r="CO139" s="330"/>
      <c r="CP139" s="330"/>
      <c r="CQ139" s="330"/>
      <c r="CR139" s="330"/>
      <c r="CS139" s="330"/>
      <c r="CT139" s="330"/>
      <c r="CU139" s="330"/>
      <c r="CV139" s="330"/>
      <c r="CW139" s="330"/>
      <c r="CX139" s="330"/>
      <c r="CY139" s="330"/>
      <c r="CZ139" s="330">
        <f>'184-крупеник пшенич.'!C23</f>
        <v>4.0000000000000001E-3</v>
      </c>
      <c r="DA139" s="330"/>
      <c r="DB139" s="330"/>
      <c r="DC139" s="330"/>
      <c r="DD139" s="330">
        <f>'184-крупеник пшенич.'!C25</f>
        <v>2E-3</v>
      </c>
      <c r="DE139" s="330"/>
      <c r="DF139" s="330"/>
      <c r="DG139" s="330"/>
      <c r="DH139" s="330"/>
      <c r="DI139" s="330"/>
      <c r="DJ139" s="330"/>
      <c r="DK139" s="330"/>
      <c r="DL139" s="330"/>
      <c r="DM139" s="330"/>
      <c r="DN139" s="330"/>
      <c r="DO139" s="330"/>
      <c r="DP139" s="330"/>
      <c r="DQ139" s="330"/>
      <c r="DR139" s="330"/>
      <c r="DS139" s="330"/>
      <c r="DT139" s="330"/>
      <c r="DU139" s="330"/>
      <c r="DV139" s="330"/>
      <c r="DW139" s="330"/>
      <c r="DX139" s="330"/>
      <c r="DY139" s="330"/>
      <c r="DZ139" s="330"/>
      <c r="EA139" s="330"/>
      <c r="EB139" s="330"/>
      <c r="EC139" s="330"/>
      <c r="ED139" s="330"/>
      <c r="EE139" s="330"/>
      <c r="EF139" s="330"/>
      <c r="EG139" s="330"/>
      <c r="EH139" s="330"/>
      <c r="EI139" s="330"/>
      <c r="EJ139" s="330"/>
      <c r="EK139" s="330"/>
      <c r="EL139" s="330"/>
      <c r="EM139" s="330"/>
      <c r="EN139" s="330"/>
      <c r="EO139" s="330"/>
      <c r="EP139" s="330"/>
      <c r="EQ139" s="330"/>
      <c r="ER139" s="330"/>
      <c r="ES139" s="330"/>
      <c r="ET139" s="330"/>
      <c r="EU139" s="330"/>
      <c r="EV139" s="330"/>
      <c r="EW139" s="330"/>
      <c r="EX139" s="330"/>
      <c r="EY139" s="1032">
        <f t="shared" si="17"/>
        <v>7.4399999999999994E-2</v>
      </c>
      <c r="EZ139" s="616"/>
      <c r="FA139" s="616"/>
      <c r="FB139" s="616"/>
      <c r="FC139" s="616"/>
      <c r="FD139" s="616"/>
      <c r="FE139" s="616"/>
      <c r="FF139" s="616"/>
      <c r="FG139" s="616"/>
      <c r="FH139" s="616"/>
      <c r="FI139" s="616"/>
      <c r="FJ139" s="616"/>
    </row>
    <row r="140" spans="1:166" s="628" customFormat="1" ht="14.7" customHeight="1" x14ac:dyDescent="0.25">
      <c r="A140" s="421">
        <v>136</v>
      </c>
      <c r="B140" s="417" t="str">
        <f>'184-крупеник пшенич.йог.'!A9</f>
        <v>Крупеник из пшеничной крупы с йогуртом</v>
      </c>
      <c r="C140" s="418">
        <f>'184-крупеник пшенич.йог.'!C34</f>
        <v>120</v>
      </c>
      <c r="D140" s="1211">
        <f>9.43/120*C140</f>
        <v>9.43</v>
      </c>
      <c r="E140" s="1211">
        <f>5.68/120*C140</f>
        <v>5.68</v>
      </c>
      <c r="F140" s="1211">
        <f>24.5/120*C140</f>
        <v>24.5</v>
      </c>
      <c r="G140" s="1212">
        <f>191/120*C140</f>
        <v>191</v>
      </c>
      <c r="H140" s="418">
        <f>'184-крупеник пшенич.йог.'!J7</f>
        <v>184</v>
      </c>
      <c r="I140" s="483">
        <f>'184-крупеник пшенич.йог.'!F36</f>
        <v>21.94</v>
      </c>
      <c r="J140" s="330"/>
      <c r="K140" s="330"/>
      <c r="L140" s="330"/>
      <c r="M140" s="330"/>
      <c r="N140" s="330"/>
      <c r="O140" s="330"/>
      <c r="P140" s="330"/>
      <c r="Q140" s="330"/>
      <c r="R140" s="330"/>
      <c r="S140" s="330"/>
      <c r="T140" s="330"/>
      <c r="U140" s="330"/>
      <c r="V140" s="330"/>
      <c r="W140" s="330"/>
      <c r="X140" s="330">
        <f>'184-крупеник пшенич.йог.'!C22</f>
        <v>3.04E-2</v>
      </c>
      <c r="Y140" s="330">
        <f>'184-крупеник пшенич.йог.'!C27</f>
        <v>2E-3</v>
      </c>
      <c r="Z140" s="330"/>
      <c r="AA140" s="330"/>
      <c r="AB140" s="330"/>
      <c r="AC140" s="330">
        <f>'184-крупеник пшенич.йог.'!C30</f>
        <v>0.02</v>
      </c>
      <c r="AD140" s="330"/>
      <c r="AE140" s="330">
        <f>'184-крупеник пшенич.йог.'!C24</f>
        <v>2E-3</v>
      </c>
      <c r="AF140" s="330"/>
      <c r="AG140" s="330"/>
      <c r="AH140" s="330"/>
      <c r="AI140" s="330"/>
      <c r="AJ140" s="330"/>
      <c r="AK140" s="330"/>
      <c r="AL140" s="330"/>
      <c r="AM140" s="330"/>
      <c r="AN140" s="330"/>
      <c r="AO140" s="330"/>
      <c r="AP140" s="330"/>
      <c r="AQ140" s="330"/>
      <c r="AR140" s="330"/>
      <c r="AS140" s="330"/>
      <c r="AT140" s="330"/>
      <c r="AU140" s="330"/>
      <c r="AV140" s="330"/>
      <c r="AW140" s="330"/>
      <c r="AX140" s="330"/>
      <c r="AY140" s="330"/>
      <c r="AZ140" s="330"/>
      <c r="BA140" s="330"/>
      <c r="BB140" s="330"/>
      <c r="BC140" s="330"/>
      <c r="BD140" s="330"/>
      <c r="BE140" s="330"/>
      <c r="BF140" s="330"/>
      <c r="BG140" s="330"/>
      <c r="BH140" s="330"/>
      <c r="BI140" s="330"/>
      <c r="BJ140" s="330"/>
      <c r="BK140" s="330"/>
      <c r="BL140" s="330"/>
      <c r="BM140" s="330"/>
      <c r="BN140" s="330"/>
      <c r="BO140" s="330"/>
      <c r="BP140" s="330"/>
      <c r="BQ140" s="330"/>
      <c r="BR140" s="330"/>
      <c r="BS140" s="330"/>
      <c r="BT140" s="330"/>
      <c r="BU140" s="330"/>
      <c r="BV140" s="330"/>
      <c r="BW140" s="330"/>
      <c r="BX140" s="330"/>
      <c r="BY140" s="330">
        <f>'184-крупеник пшенич.йог.'!C19</f>
        <v>2.7E-2</v>
      </c>
      <c r="BZ140" s="330"/>
      <c r="CA140" s="330"/>
      <c r="CB140" s="330"/>
      <c r="CC140" s="330"/>
      <c r="CD140" s="330"/>
      <c r="CE140" s="330"/>
      <c r="CF140" s="330">
        <f>'184-крупеник пшенич.йог.'!C26</f>
        <v>2E-3</v>
      </c>
      <c r="CG140" s="330"/>
      <c r="CH140" s="330"/>
      <c r="CI140" s="330"/>
      <c r="CJ140" s="330"/>
      <c r="CK140" s="330"/>
      <c r="CL140" s="330"/>
      <c r="CM140" s="330"/>
      <c r="CN140" s="330"/>
      <c r="CO140" s="330"/>
      <c r="CP140" s="330"/>
      <c r="CQ140" s="330"/>
      <c r="CR140" s="330"/>
      <c r="CS140" s="330"/>
      <c r="CT140" s="330"/>
      <c r="CU140" s="330"/>
      <c r="CV140" s="330"/>
      <c r="CW140" s="330"/>
      <c r="CX140" s="330"/>
      <c r="CY140" s="330"/>
      <c r="CZ140" s="330">
        <f>'184-крупеник пшенич.йог.'!C23</f>
        <v>4.0000000000000001E-3</v>
      </c>
      <c r="DA140" s="330"/>
      <c r="DB140" s="330"/>
      <c r="DC140" s="330"/>
      <c r="DD140" s="330">
        <f>'184-крупеник пшенич.йог.'!C25</f>
        <v>2E-3</v>
      </c>
      <c r="DE140" s="330"/>
      <c r="DF140" s="330"/>
      <c r="DG140" s="330"/>
      <c r="DH140" s="330"/>
      <c r="DI140" s="330"/>
      <c r="DJ140" s="330"/>
      <c r="DK140" s="330"/>
      <c r="DL140" s="330"/>
      <c r="DM140" s="330"/>
      <c r="DN140" s="330"/>
      <c r="DO140" s="330"/>
      <c r="DP140" s="330"/>
      <c r="DQ140" s="330"/>
      <c r="DR140" s="330"/>
      <c r="DS140" s="330"/>
      <c r="DT140" s="330"/>
      <c r="DU140" s="330"/>
      <c r="DV140" s="330"/>
      <c r="DW140" s="330"/>
      <c r="DX140" s="330"/>
      <c r="DY140" s="330"/>
      <c r="DZ140" s="330"/>
      <c r="EA140" s="330"/>
      <c r="EB140" s="330"/>
      <c r="EC140" s="330"/>
      <c r="ED140" s="330"/>
      <c r="EE140" s="330"/>
      <c r="EF140" s="330"/>
      <c r="EG140" s="330"/>
      <c r="EH140" s="330"/>
      <c r="EI140" s="330"/>
      <c r="EJ140" s="330"/>
      <c r="EK140" s="330"/>
      <c r="EL140" s="330"/>
      <c r="EM140" s="330"/>
      <c r="EN140" s="330"/>
      <c r="EO140" s="330"/>
      <c r="EP140" s="330"/>
      <c r="EQ140" s="330"/>
      <c r="ER140" s="330"/>
      <c r="ES140" s="330"/>
      <c r="ET140" s="330"/>
      <c r="EU140" s="330"/>
      <c r="EV140" s="330"/>
      <c r="EW140" s="330"/>
      <c r="EX140" s="330"/>
      <c r="EY140" s="1032">
        <f t="shared" si="17"/>
        <v>8.9399999999999993E-2</v>
      </c>
      <c r="EZ140" s="616"/>
      <c r="FA140" s="616"/>
      <c r="FB140" s="616"/>
      <c r="FC140" s="616"/>
      <c r="FD140" s="616"/>
      <c r="FE140" s="616"/>
      <c r="FF140" s="616"/>
      <c r="FG140" s="616"/>
      <c r="FH140" s="616"/>
      <c r="FI140" s="616"/>
      <c r="FJ140" s="616"/>
    </row>
    <row r="141" spans="1:166" s="407" customFormat="1" ht="14.7" customHeight="1" x14ac:dyDescent="0.25">
      <c r="A141" s="421">
        <v>137</v>
      </c>
      <c r="B141" s="417" t="str">
        <f>'185-запеканка манка с маслом'!A9</f>
        <v>Запеканка манная с маслом</v>
      </c>
      <c r="C141" s="419">
        <f>'185-запеканка манка с маслом'!C33</f>
        <v>205</v>
      </c>
      <c r="D141" s="1211">
        <f>3.01/105*C141</f>
        <v>5.88</v>
      </c>
      <c r="E141" s="1211">
        <f>6.49/105*C141</f>
        <v>12.67</v>
      </c>
      <c r="F141" s="1211">
        <f>21.36/105*C141</f>
        <v>41.7</v>
      </c>
      <c r="G141" s="1212">
        <f>156/105*C141</f>
        <v>305</v>
      </c>
      <c r="H141" s="419">
        <f>'185-запеканка манка с маслом'!J7</f>
        <v>185</v>
      </c>
      <c r="I141" s="483">
        <f>'185-запеканка манка с маслом'!F35</f>
        <v>9.2100000000000009</v>
      </c>
      <c r="J141" s="330"/>
      <c r="K141" s="330"/>
      <c r="L141" s="330"/>
      <c r="M141" s="330"/>
      <c r="N141" s="330"/>
      <c r="O141" s="330"/>
      <c r="P141" s="330"/>
      <c r="Q141" s="330"/>
      <c r="R141" s="330"/>
      <c r="S141" s="330"/>
      <c r="T141" s="330"/>
      <c r="U141" s="330"/>
      <c r="V141" s="330">
        <f>'185-запеканка манка с маслом'!C29</f>
        <v>5.0000000000000001E-3</v>
      </c>
      <c r="W141" s="330"/>
      <c r="X141" s="330"/>
      <c r="Y141" s="330">
        <f>'185-запеканка манка с маслом'!C25</f>
        <v>4.0000000000000001E-3</v>
      </c>
      <c r="Z141" s="330"/>
      <c r="AA141" s="330"/>
      <c r="AB141" s="330"/>
      <c r="AC141" s="330"/>
      <c r="AD141" s="330"/>
      <c r="AE141" s="330">
        <f>'185-запеканка манка с маслом'!C22</f>
        <v>8.0000000000000002E-3</v>
      </c>
      <c r="AF141" s="330"/>
      <c r="AG141" s="330"/>
      <c r="AH141" s="330"/>
      <c r="AI141" s="330"/>
      <c r="AJ141" s="330"/>
      <c r="AK141" s="330"/>
      <c r="AL141" s="330"/>
      <c r="AM141" s="330"/>
      <c r="AN141" s="330"/>
      <c r="AO141" s="330"/>
      <c r="AP141" s="330"/>
      <c r="AQ141" s="330"/>
      <c r="AR141" s="330"/>
      <c r="AS141" s="330"/>
      <c r="AT141" s="330"/>
      <c r="AU141" s="330"/>
      <c r="AV141" s="330"/>
      <c r="AW141" s="330"/>
      <c r="AX141" s="330"/>
      <c r="AY141" s="330"/>
      <c r="AZ141" s="330"/>
      <c r="BA141" s="330"/>
      <c r="BB141" s="330"/>
      <c r="BC141" s="330"/>
      <c r="BD141" s="330"/>
      <c r="BE141" s="330"/>
      <c r="BF141" s="330"/>
      <c r="BG141" s="330"/>
      <c r="BH141" s="330"/>
      <c r="BI141" s="330"/>
      <c r="BJ141" s="330"/>
      <c r="BK141" s="330"/>
      <c r="BL141" s="330"/>
      <c r="BM141" s="330"/>
      <c r="BN141" s="330"/>
      <c r="BO141" s="330"/>
      <c r="BP141" s="330"/>
      <c r="BQ141" s="330"/>
      <c r="BR141" s="330"/>
      <c r="BS141" s="330"/>
      <c r="BT141" s="330"/>
      <c r="BU141" s="330">
        <f>'185-запеканка манка с маслом'!C19</f>
        <v>4.5999999999999999E-2</v>
      </c>
      <c r="BV141" s="330"/>
      <c r="BW141" s="330"/>
      <c r="BX141" s="330"/>
      <c r="BY141" s="330"/>
      <c r="BZ141" s="330"/>
      <c r="CA141" s="330"/>
      <c r="CB141" s="330"/>
      <c r="CC141" s="330"/>
      <c r="CD141" s="330"/>
      <c r="CE141" s="330"/>
      <c r="CF141" s="330">
        <f>'185-запеканка манка с маслом'!C23</f>
        <v>4.0000000000000001E-3</v>
      </c>
      <c r="CG141" s="330"/>
      <c r="CH141" s="330"/>
      <c r="CI141" s="330">
        <f>'185-запеканка манка с маслом'!C26</f>
        <v>2.0000000000000002E-5</v>
      </c>
      <c r="CJ141" s="330"/>
      <c r="CK141" s="330"/>
      <c r="CL141" s="330"/>
      <c r="CM141" s="330"/>
      <c r="CN141" s="330"/>
      <c r="CO141" s="330"/>
      <c r="CP141" s="330"/>
      <c r="CQ141" s="330"/>
      <c r="CR141" s="330"/>
      <c r="CS141" s="330"/>
      <c r="CT141" s="330"/>
      <c r="CU141" s="330"/>
      <c r="CV141" s="330"/>
      <c r="CW141" s="330"/>
      <c r="CX141" s="330"/>
      <c r="CY141" s="330"/>
      <c r="CZ141" s="330">
        <f>'185-запеканка манка с маслом'!C21</f>
        <v>8.0000000000000002E-3</v>
      </c>
      <c r="DA141" s="330"/>
      <c r="DB141" s="330"/>
      <c r="DC141" s="330"/>
      <c r="DD141" s="330">
        <f>'185-запеканка манка с маслом'!C24</f>
        <v>4.0000000000000001E-3</v>
      </c>
      <c r="DE141" s="330"/>
      <c r="DF141" s="330"/>
      <c r="DG141" s="330"/>
      <c r="DH141" s="330"/>
      <c r="DI141" s="330"/>
      <c r="DJ141" s="330"/>
      <c r="DK141" s="330"/>
      <c r="DL141" s="330"/>
      <c r="DM141" s="330"/>
      <c r="DN141" s="330"/>
      <c r="DO141" s="330"/>
      <c r="DP141" s="330"/>
      <c r="DQ141" s="330"/>
      <c r="DR141" s="330"/>
      <c r="DS141" s="330"/>
      <c r="DT141" s="330"/>
      <c r="DU141" s="330"/>
      <c r="DV141" s="330"/>
      <c r="DW141" s="330"/>
      <c r="DX141" s="330"/>
      <c r="DY141" s="330"/>
      <c r="DZ141" s="330"/>
      <c r="EA141" s="330"/>
      <c r="EB141" s="330"/>
      <c r="EC141" s="330"/>
      <c r="ED141" s="330"/>
      <c r="EE141" s="330"/>
      <c r="EF141" s="330"/>
      <c r="EG141" s="330"/>
      <c r="EH141" s="330"/>
      <c r="EI141" s="330"/>
      <c r="EJ141" s="330"/>
      <c r="EK141" s="330"/>
      <c r="EL141" s="330"/>
      <c r="EM141" s="330"/>
      <c r="EN141" s="330"/>
      <c r="EO141" s="330"/>
      <c r="EP141" s="330"/>
      <c r="EQ141" s="330"/>
      <c r="ER141" s="330"/>
      <c r="ES141" s="330"/>
      <c r="ET141" s="330"/>
      <c r="EU141" s="330"/>
      <c r="EV141" s="330"/>
      <c r="EW141" s="330"/>
      <c r="EX141" s="330"/>
      <c r="EY141" s="1032">
        <f t="shared" si="17"/>
        <v>7.9020000000000007E-2</v>
      </c>
      <c r="EZ141" s="616"/>
      <c r="FA141" s="616"/>
      <c r="FB141" s="616"/>
      <c r="FC141" s="616"/>
      <c r="FD141" s="616"/>
      <c r="FE141" s="616"/>
      <c r="FF141" s="616"/>
      <c r="FG141" s="616"/>
      <c r="FH141" s="616"/>
      <c r="FI141" s="616"/>
      <c r="FJ141" s="616"/>
    </row>
    <row r="142" spans="1:166" s="407" customFormat="1" ht="14.7" customHeight="1" x14ac:dyDescent="0.25">
      <c r="A142" s="421">
        <v>138</v>
      </c>
      <c r="B142" s="417" t="str">
        <f>'185-запеканка манка со сгущ.'!A9</f>
        <v>Запеканка манная с молоком сгущенным</v>
      </c>
      <c r="C142" s="419">
        <f>'185-запеканка манка со сгущ.'!C33</f>
        <v>220</v>
      </c>
      <c r="D142" s="1211">
        <f>4.39/120*C142</f>
        <v>8.0500000000000007</v>
      </c>
      <c r="E142" s="1211">
        <f>3.87/120*C142</f>
        <v>7.1</v>
      </c>
      <c r="F142" s="1211">
        <f>32.34/120*C142</f>
        <v>59.29</v>
      </c>
      <c r="G142" s="1212">
        <f>182/120*C142</f>
        <v>334</v>
      </c>
      <c r="H142" s="419">
        <f>'185-запеканка манка со сгущ.'!J7</f>
        <v>185</v>
      </c>
      <c r="I142" s="483">
        <f>'185-запеканка манка со сгущ.'!F35</f>
        <v>10.66</v>
      </c>
      <c r="J142" s="330"/>
      <c r="K142" s="330"/>
      <c r="L142" s="330"/>
      <c r="M142" s="330"/>
      <c r="N142" s="330"/>
      <c r="O142" s="330"/>
      <c r="P142" s="330"/>
      <c r="Q142" s="330"/>
      <c r="R142" s="330"/>
      <c r="S142" s="330"/>
      <c r="T142" s="330"/>
      <c r="U142" s="330"/>
      <c r="V142" s="330"/>
      <c r="W142" s="330"/>
      <c r="X142" s="330"/>
      <c r="Y142" s="330">
        <f>'185-запеканка манка со сгущ.'!C25</f>
        <v>4.0000000000000001E-3</v>
      </c>
      <c r="Z142" s="330">
        <f>'185-запеканка манка со сгущ.'!C29</f>
        <v>0.02</v>
      </c>
      <c r="AA142" s="330"/>
      <c r="AB142" s="330"/>
      <c r="AC142" s="330"/>
      <c r="AD142" s="330"/>
      <c r="AE142" s="330">
        <f>'185-запеканка манка со сгущ.'!C22</f>
        <v>8.0000000000000002E-3</v>
      </c>
      <c r="AF142" s="330"/>
      <c r="AG142" s="330"/>
      <c r="AH142" s="330"/>
      <c r="AI142" s="330"/>
      <c r="AJ142" s="330"/>
      <c r="AK142" s="330"/>
      <c r="AL142" s="330"/>
      <c r="AM142" s="330"/>
      <c r="AN142" s="330"/>
      <c r="AO142" s="330"/>
      <c r="AP142" s="330"/>
      <c r="AQ142" s="330"/>
      <c r="AR142" s="330"/>
      <c r="AS142" s="330"/>
      <c r="AT142" s="330"/>
      <c r="AU142" s="330"/>
      <c r="AV142" s="330"/>
      <c r="AW142" s="330"/>
      <c r="AX142" s="330"/>
      <c r="AY142" s="330"/>
      <c r="AZ142" s="330"/>
      <c r="BA142" s="330"/>
      <c r="BB142" s="330"/>
      <c r="BC142" s="330"/>
      <c r="BD142" s="330"/>
      <c r="BE142" s="330"/>
      <c r="BF142" s="330"/>
      <c r="BG142" s="330"/>
      <c r="BH142" s="330"/>
      <c r="BI142" s="330"/>
      <c r="BJ142" s="330"/>
      <c r="BK142" s="330"/>
      <c r="BL142" s="330"/>
      <c r="BM142" s="330"/>
      <c r="BN142" s="330"/>
      <c r="BO142" s="330"/>
      <c r="BP142" s="330"/>
      <c r="BQ142" s="330"/>
      <c r="BR142" s="330"/>
      <c r="BS142" s="330"/>
      <c r="BT142" s="330"/>
      <c r="BU142" s="330">
        <f>'185-запеканка манка со сгущ.'!C19</f>
        <v>4.5999999999999999E-2</v>
      </c>
      <c r="BV142" s="330"/>
      <c r="BW142" s="330"/>
      <c r="BX142" s="330"/>
      <c r="BY142" s="330"/>
      <c r="BZ142" s="330"/>
      <c r="CA142" s="330"/>
      <c r="CB142" s="330"/>
      <c r="CC142" s="330"/>
      <c r="CD142" s="330"/>
      <c r="CE142" s="330"/>
      <c r="CF142" s="330">
        <f>'185-запеканка манка со сгущ.'!C23</f>
        <v>4.0000000000000001E-3</v>
      </c>
      <c r="CG142" s="330"/>
      <c r="CH142" s="330"/>
      <c r="CI142" s="330">
        <f>'185-запеканка манка со сгущ.'!C26</f>
        <v>2.0000000000000002E-5</v>
      </c>
      <c r="CJ142" s="330"/>
      <c r="CK142" s="330"/>
      <c r="CL142" s="330"/>
      <c r="CM142" s="330"/>
      <c r="CN142" s="330"/>
      <c r="CO142" s="330"/>
      <c r="CP142" s="330"/>
      <c r="CQ142" s="330"/>
      <c r="CR142" s="330"/>
      <c r="CS142" s="330"/>
      <c r="CT142" s="330"/>
      <c r="CU142" s="330"/>
      <c r="CV142" s="330"/>
      <c r="CW142" s="330"/>
      <c r="CX142" s="330"/>
      <c r="CY142" s="330"/>
      <c r="CZ142" s="330">
        <f>'185-запеканка манка со сгущ.'!C21</f>
        <v>8.0000000000000002E-3</v>
      </c>
      <c r="DA142" s="330"/>
      <c r="DB142" s="330"/>
      <c r="DC142" s="330"/>
      <c r="DD142" s="330">
        <f>'185-запеканка манка со сгущ.'!C24</f>
        <v>4.0000000000000001E-3</v>
      </c>
      <c r="DE142" s="330"/>
      <c r="DF142" s="330"/>
      <c r="DG142" s="330"/>
      <c r="DH142" s="330"/>
      <c r="DI142" s="330"/>
      <c r="DJ142" s="330"/>
      <c r="DK142" s="330"/>
      <c r="DL142" s="330"/>
      <c r="DM142" s="330"/>
      <c r="DN142" s="330"/>
      <c r="DO142" s="330"/>
      <c r="DP142" s="330"/>
      <c r="DQ142" s="330"/>
      <c r="DR142" s="330"/>
      <c r="DS142" s="330"/>
      <c r="DT142" s="330"/>
      <c r="DU142" s="330"/>
      <c r="DV142" s="330"/>
      <c r="DW142" s="330"/>
      <c r="DX142" s="330"/>
      <c r="DY142" s="330"/>
      <c r="DZ142" s="330"/>
      <c r="EA142" s="330"/>
      <c r="EB142" s="330"/>
      <c r="EC142" s="330"/>
      <c r="ED142" s="330"/>
      <c r="EE142" s="330"/>
      <c r="EF142" s="330"/>
      <c r="EG142" s="330"/>
      <c r="EH142" s="330"/>
      <c r="EI142" s="330"/>
      <c r="EJ142" s="330"/>
      <c r="EK142" s="330"/>
      <c r="EL142" s="330"/>
      <c r="EM142" s="330"/>
      <c r="EN142" s="330"/>
      <c r="EO142" s="330"/>
      <c r="EP142" s="330"/>
      <c r="EQ142" s="330"/>
      <c r="ER142" s="330"/>
      <c r="ES142" s="330"/>
      <c r="ET142" s="330"/>
      <c r="EU142" s="330"/>
      <c r="EV142" s="330"/>
      <c r="EW142" s="330"/>
      <c r="EX142" s="330"/>
      <c r="EY142" s="1032">
        <f t="shared" si="17"/>
        <v>9.4020000000000006E-2</v>
      </c>
      <c r="EZ142" s="616"/>
      <c r="FA142" s="616"/>
      <c r="FB142" s="616"/>
      <c r="FC142" s="616"/>
      <c r="FD142" s="616"/>
      <c r="FE142" s="616"/>
      <c r="FF142" s="616"/>
      <c r="FG142" s="616"/>
      <c r="FH142" s="616"/>
      <c r="FI142" s="616"/>
      <c r="FJ142" s="616"/>
    </row>
    <row r="143" spans="1:166" s="407" customFormat="1" ht="14.7" customHeight="1" x14ac:dyDescent="0.25">
      <c r="A143" s="421">
        <v>139</v>
      </c>
      <c r="B143" s="417" t="str">
        <f>'185-запеканка рис с маслом'!A9</f>
        <v>Запеканка рисовая с маслом</v>
      </c>
      <c r="C143" s="419">
        <f>'185-запеканка рис с маслом'!C33</f>
        <v>205</v>
      </c>
      <c r="D143" s="1211">
        <f>2.27/105*C143</f>
        <v>4.43</v>
      </c>
      <c r="E143" s="1211">
        <f>6.49/105*C143</f>
        <v>12.67</v>
      </c>
      <c r="F143" s="1211">
        <f>22.13/105*C143</f>
        <v>43.21</v>
      </c>
      <c r="G143" s="1212">
        <f>156/105*C143</f>
        <v>305</v>
      </c>
      <c r="H143" s="419">
        <f>'185-запеканка рис с маслом'!J7</f>
        <v>185</v>
      </c>
      <c r="I143" s="483">
        <f>'185-запеканка рис с маслом'!F35</f>
        <v>11.88</v>
      </c>
      <c r="J143" s="330"/>
      <c r="K143" s="330"/>
      <c r="L143" s="330"/>
      <c r="M143" s="330"/>
      <c r="N143" s="330"/>
      <c r="O143" s="330"/>
      <c r="P143" s="330"/>
      <c r="Q143" s="330"/>
      <c r="R143" s="330"/>
      <c r="S143" s="330"/>
      <c r="T143" s="330"/>
      <c r="U143" s="330"/>
      <c r="V143" s="330">
        <f>'185-запеканка рис с маслом'!C29</f>
        <v>5.0000000000000001E-3</v>
      </c>
      <c r="W143" s="330"/>
      <c r="X143" s="330"/>
      <c r="Y143" s="330">
        <f>'185-запеканка рис с маслом'!C25</f>
        <v>4.0000000000000001E-3</v>
      </c>
      <c r="Z143" s="330"/>
      <c r="AA143" s="330"/>
      <c r="AB143" s="330"/>
      <c r="AC143" s="330"/>
      <c r="AD143" s="330"/>
      <c r="AE143" s="330">
        <f>'185-запеканка рис с маслом'!C22</f>
        <v>8.0000000000000002E-3</v>
      </c>
      <c r="AF143" s="330"/>
      <c r="AG143" s="330"/>
      <c r="AH143" s="330"/>
      <c r="AI143" s="330"/>
      <c r="AJ143" s="330"/>
      <c r="AK143" s="330"/>
      <c r="AL143" s="330"/>
      <c r="AM143" s="330"/>
      <c r="AN143" s="330"/>
      <c r="AO143" s="330"/>
      <c r="AP143" s="330"/>
      <c r="AQ143" s="330"/>
      <c r="AR143" s="330"/>
      <c r="AS143" s="330"/>
      <c r="AT143" s="330"/>
      <c r="AU143" s="330"/>
      <c r="AV143" s="330"/>
      <c r="AW143" s="330"/>
      <c r="AX143" s="330"/>
      <c r="AY143" s="330"/>
      <c r="AZ143" s="330"/>
      <c r="BA143" s="330"/>
      <c r="BB143" s="330"/>
      <c r="BC143" s="330"/>
      <c r="BD143" s="330"/>
      <c r="BE143" s="330"/>
      <c r="BF143" s="330"/>
      <c r="BG143" s="330"/>
      <c r="BH143" s="330"/>
      <c r="BI143" s="330"/>
      <c r="BJ143" s="330"/>
      <c r="BK143" s="330"/>
      <c r="BL143" s="330"/>
      <c r="BM143" s="330"/>
      <c r="BN143" s="330"/>
      <c r="BO143" s="330"/>
      <c r="BP143" s="330"/>
      <c r="BQ143" s="330"/>
      <c r="BR143" s="330"/>
      <c r="BS143" s="330"/>
      <c r="BT143" s="330"/>
      <c r="BU143" s="330"/>
      <c r="BV143" s="330"/>
      <c r="BW143" s="330"/>
      <c r="BX143" s="330"/>
      <c r="BY143" s="330"/>
      <c r="BZ143" s="330"/>
      <c r="CA143" s="330"/>
      <c r="CB143" s="330">
        <f>'185-запеканка рис с маслом'!C19</f>
        <v>4.5999999999999999E-2</v>
      </c>
      <c r="CC143" s="330"/>
      <c r="CD143" s="330"/>
      <c r="CE143" s="330"/>
      <c r="CF143" s="330">
        <f>'185-запеканка рис с маслом'!C23</f>
        <v>4.0000000000000001E-3</v>
      </c>
      <c r="CG143" s="330"/>
      <c r="CH143" s="330"/>
      <c r="CI143" s="330">
        <f>'185-запеканка рис с маслом'!C26</f>
        <v>2.0000000000000002E-5</v>
      </c>
      <c r="CJ143" s="330"/>
      <c r="CK143" s="330"/>
      <c r="CL143" s="330"/>
      <c r="CM143" s="330"/>
      <c r="CN143" s="330"/>
      <c r="CO143" s="330"/>
      <c r="CP143" s="330"/>
      <c r="CQ143" s="330"/>
      <c r="CR143" s="330"/>
      <c r="CS143" s="330"/>
      <c r="CT143" s="330"/>
      <c r="CU143" s="330"/>
      <c r="CV143" s="330"/>
      <c r="CW143" s="330"/>
      <c r="CX143" s="330"/>
      <c r="CY143" s="330"/>
      <c r="CZ143" s="330">
        <f>'185-запеканка рис с маслом'!C21</f>
        <v>8.0000000000000002E-3</v>
      </c>
      <c r="DA143" s="330"/>
      <c r="DB143" s="330"/>
      <c r="DC143" s="330"/>
      <c r="DD143" s="330">
        <f>'185-запеканка рис с маслом'!C24</f>
        <v>4.0000000000000001E-3</v>
      </c>
      <c r="DE143" s="330"/>
      <c r="DF143" s="330"/>
      <c r="DG143" s="330"/>
      <c r="DH143" s="330"/>
      <c r="DI143" s="330"/>
      <c r="DJ143" s="330"/>
      <c r="DK143" s="330"/>
      <c r="DL143" s="330"/>
      <c r="DM143" s="330"/>
      <c r="DN143" s="330"/>
      <c r="DO143" s="330"/>
      <c r="DP143" s="330"/>
      <c r="DQ143" s="330"/>
      <c r="DR143" s="330"/>
      <c r="DS143" s="330"/>
      <c r="DT143" s="330"/>
      <c r="DU143" s="330"/>
      <c r="DV143" s="330"/>
      <c r="DW143" s="330"/>
      <c r="DX143" s="330"/>
      <c r="DY143" s="330"/>
      <c r="DZ143" s="330"/>
      <c r="EA143" s="330"/>
      <c r="EB143" s="330"/>
      <c r="EC143" s="330"/>
      <c r="ED143" s="330"/>
      <c r="EE143" s="330"/>
      <c r="EF143" s="330"/>
      <c r="EG143" s="330"/>
      <c r="EH143" s="330"/>
      <c r="EI143" s="330"/>
      <c r="EJ143" s="330"/>
      <c r="EK143" s="330"/>
      <c r="EL143" s="330"/>
      <c r="EM143" s="330"/>
      <c r="EN143" s="330"/>
      <c r="EO143" s="330"/>
      <c r="EP143" s="330"/>
      <c r="EQ143" s="330"/>
      <c r="ER143" s="330"/>
      <c r="ES143" s="330"/>
      <c r="ET143" s="330"/>
      <c r="EU143" s="330"/>
      <c r="EV143" s="330"/>
      <c r="EW143" s="330"/>
      <c r="EX143" s="330"/>
      <c r="EY143" s="1032">
        <f t="shared" si="17"/>
        <v>7.9020000000000007E-2</v>
      </c>
      <c r="EZ143" s="616"/>
      <c r="FA143" s="616"/>
      <c r="FB143" s="616"/>
      <c r="FC143" s="616"/>
      <c r="FD143" s="616"/>
      <c r="FE143" s="616"/>
      <c r="FF143" s="616"/>
      <c r="FG143" s="616"/>
      <c r="FH143" s="616"/>
      <c r="FI143" s="616"/>
      <c r="FJ143" s="616"/>
    </row>
    <row r="144" spans="1:166" s="407" customFormat="1" ht="14.7" customHeight="1" x14ac:dyDescent="0.25">
      <c r="A144" s="421">
        <v>140</v>
      </c>
      <c r="B144" s="417" t="str">
        <f>'185-запеканка рис со сгущ.'!A9</f>
        <v>Запеканка рисовая с молоком сгущенным</v>
      </c>
      <c r="C144" s="419">
        <f>'185-запеканка рис со сгущ.'!C33</f>
        <v>120</v>
      </c>
      <c r="D144" s="1211">
        <f>3.65/120*C144</f>
        <v>3.65</v>
      </c>
      <c r="E144" s="1211">
        <f>3.87/120*C144</f>
        <v>3.87</v>
      </c>
      <c r="F144" s="1211">
        <f>33.1/120*C144</f>
        <v>33.1</v>
      </c>
      <c r="G144" s="1212">
        <f>182/120*C144</f>
        <v>182</v>
      </c>
      <c r="H144" s="419">
        <f>'185-запеканка рис со сгущ.'!J7</f>
        <v>185</v>
      </c>
      <c r="I144" s="483">
        <f>'185-запеканка рис со сгущ.'!F35</f>
        <v>9.16</v>
      </c>
      <c r="J144" s="330"/>
      <c r="K144" s="330"/>
      <c r="L144" s="330"/>
      <c r="M144" s="330"/>
      <c r="N144" s="330"/>
      <c r="O144" s="330"/>
      <c r="P144" s="330"/>
      <c r="Q144" s="330"/>
      <c r="R144" s="330"/>
      <c r="S144" s="330"/>
      <c r="T144" s="330"/>
      <c r="U144" s="330"/>
      <c r="V144" s="330"/>
      <c r="W144" s="330"/>
      <c r="X144" s="330"/>
      <c r="Y144" s="330">
        <f>'185-запеканка рис со сгущ.'!C25</f>
        <v>2E-3</v>
      </c>
      <c r="Z144" s="330">
        <f>'185-запеканка рис со сгущ.'!C29</f>
        <v>0.02</v>
      </c>
      <c r="AA144" s="330"/>
      <c r="AB144" s="330"/>
      <c r="AC144" s="330"/>
      <c r="AD144" s="330"/>
      <c r="AE144" s="330">
        <f>'185-запеканка рис со сгущ.'!C22</f>
        <v>4.0000000000000001E-3</v>
      </c>
      <c r="AF144" s="330"/>
      <c r="AG144" s="330"/>
      <c r="AH144" s="330"/>
      <c r="AI144" s="330"/>
      <c r="AJ144" s="330"/>
      <c r="AK144" s="330"/>
      <c r="AL144" s="330"/>
      <c r="AM144" s="330"/>
      <c r="AN144" s="330"/>
      <c r="AO144" s="330"/>
      <c r="AP144" s="330"/>
      <c r="AQ144" s="330"/>
      <c r="AR144" s="330"/>
      <c r="AS144" s="330"/>
      <c r="AT144" s="330"/>
      <c r="AU144" s="330"/>
      <c r="AV144" s="330"/>
      <c r="AW144" s="330"/>
      <c r="AX144" s="330"/>
      <c r="AY144" s="330"/>
      <c r="AZ144" s="330"/>
      <c r="BA144" s="330"/>
      <c r="BB144" s="330"/>
      <c r="BC144" s="330"/>
      <c r="BD144" s="330"/>
      <c r="BE144" s="330"/>
      <c r="BF144" s="330"/>
      <c r="BG144" s="330"/>
      <c r="BH144" s="330"/>
      <c r="BI144" s="330"/>
      <c r="BJ144" s="330"/>
      <c r="BK144" s="330"/>
      <c r="BL144" s="330"/>
      <c r="BM144" s="330"/>
      <c r="BN144" s="330"/>
      <c r="BO144" s="330"/>
      <c r="BP144" s="330"/>
      <c r="BQ144" s="330"/>
      <c r="BR144" s="330"/>
      <c r="BS144" s="330"/>
      <c r="BT144" s="330"/>
      <c r="BU144" s="330"/>
      <c r="BV144" s="330"/>
      <c r="BW144" s="330"/>
      <c r="BX144" s="330"/>
      <c r="BY144" s="330"/>
      <c r="BZ144" s="330"/>
      <c r="CA144" s="330"/>
      <c r="CB144" s="330">
        <f>'185-запеканка рис со сгущ.'!C19</f>
        <v>2.3E-2</v>
      </c>
      <c r="CC144" s="330"/>
      <c r="CD144" s="330"/>
      <c r="CE144" s="330"/>
      <c r="CF144" s="330">
        <f>'185-запеканка рис со сгущ.'!C23</f>
        <v>2E-3</v>
      </c>
      <c r="CG144" s="330"/>
      <c r="CH144" s="330"/>
      <c r="CI144" s="330">
        <f>'185-запеканка рис со сгущ.'!C26</f>
        <v>1.0000000000000001E-5</v>
      </c>
      <c r="CJ144" s="330"/>
      <c r="CK144" s="330"/>
      <c r="CL144" s="330"/>
      <c r="CM144" s="330"/>
      <c r="CN144" s="330"/>
      <c r="CO144" s="330"/>
      <c r="CP144" s="330"/>
      <c r="CQ144" s="330"/>
      <c r="CR144" s="330"/>
      <c r="CS144" s="330"/>
      <c r="CT144" s="330"/>
      <c r="CU144" s="330"/>
      <c r="CV144" s="330"/>
      <c r="CW144" s="330"/>
      <c r="CX144" s="330"/>
      <c r="CY144" s="330"/>
      <c r="CZ144" s="330">
        <f>'185-запеканка рис со сгущ.'!C21</f>
        <v>4.0000000000000001E-3</v>
      </c>
      <c r="DA144" s="330"/>
      <c r="DB144" s="330"/>
      <c r="DC144" s="330"/>
      <c r="DD144" s="330">
        <f>'185-запеканка рис со сгущ.'!C24</f>
        <v>2E-3</v>
      </c>
      <c r="DE144" s="330"/>
      <c r="DF144" s="330"/>
      <c r="DG144" s="330"/>
      <c r="DH144" s="330"/>
      <c r="DI144" s="330"/>
      <c r="DJ144" s="330"/>
      <c r="DK144" s="330"/>
      <c r="DL144" s="330"/>
      <c r="DM144" s="330"/>
      <c r="DN144" s="330"/>
      <c r="DO144" s="330"/>
      <c r="DP144" s="330"/>
      <c r="DQ144" s="330"/>
      <c r="DR144" s="330"/>
      <c r="DS144" s="330"/>
      <c r="DT144" s="330"/>
      <c r="DU144" s="330"/>
      <c r="DV144" s="330"/>
      <c r="DW144" s="330"/>
      <c r="DX144" s="330"/>
      <c r="DY144" s="330"/>
      <c r="DZ144" s="330"/>
      <c r="EA144" s="330"/>
      <c r="EB144" s="330"/>
      <c r="EC144" s="330"/>
      <c r="ED144" s="330"/>
      <c r="EE144" s="330"/>
      <c r="EF144" s="330"/>
      <c r="EG144" s="330"/>
      <c r="EH144" s="330"/>
      <c r="EI144" s="330"/>
      <c r="EJ144" s="330"/>
      <c r="EK144" s="330"/>
      <c r="EL144" s="330"/>
      <c r="EM144" s="330"/>
      <c r="EN144" s="330"/>
      <c r="EO144" s="330"/>
      <c r="EP144" s="330"/>
      <c r="EQ144" s="330"/>
      <c r="ER144" s="330"/>
      <c r="ES144" s="330"/>
      <c r="ET144" s="330"/>
      <c r="EU144" s="330"/>
      <c r="EV144" s="330"/>
      <c r="EW144" s="330"/>
      <c r="EX144" s="330"/>
      <c r="EY144" s="1032">
        <f t="shared" si="17"/>
        <v>5.7009999999999998E-2</v>
      </c>
      <c r="EZ144" s="616"/>
      <c r="FA144" s="616"/>
      <c r="FB144" s="616"/>
      <c r="FC144" s="616"/>
      <c r="FD144" s="616"/>
      <c r="FE144" s="616"/>
      <c r="FF144" s="616"/>
      <c r="FG144" s="616"/>
      <c r="FH144" s="616"/>
      <c r="FI144" s="616"/>
      <c r="FJ144" s="616"/>
    </row>
    <row r="145" spans="1:166" s="1170" customFormat="1" ht="14.7" customHeight="1" x14ac:dyDescent="0.25">
      <c r="A145" s="421">
        <v>141</v>
      </c>
      <c r="B145" s="417" t="str">
        <f>'186-запеканка манка с изюмом'!A9</f>
        <v>Запеканка манная с изюмом</v>
      </c>
      <c r="C145" s="419" t="str">
        <f>'186-запеканка манка с изюмом'!D35</f>
        <v>200/20</v>
      </c>
      <c r="D145" s="1211">
        <f>4.55/105*220</f>
        <v>9.5299999999999994</v>
      </c>
      <c r="E145" s="1211">
        <f>8.09/105*220</f>
        <v>16.95</v>
      </c>
      <c r="F145" s="1211">
        <f>26.92/105*220</f>
        <v>56.4</v>
      </c>
      <c r="G145" s="1212">
        <f>199/105*220</f>
        <v>417</v>
      </c>
      <c r="H145" s="419">
        <f>'186-запеканка манка с изюмом'!J7</f>
        <v>186</v>
      </c>
      <c r="I145" s="1234">
        <f>'186-запеканка манка с изюмом'!F37</f>
        <v>22.74</v>
      </c>
      <c r="J145" s="330"/>
      <c r="K145" s="330"/>
      <c r="L145" s="330"/>
      <c r="M145" s="330"/>
      <c r="N145" s="330"/>
      <c r="O145" s="330"/>
      <c r="P145" s="330"/>
      <c r="Q145" s="330"/>
      <c r="R145" s="330"/>
      <c r="S145" s="330"/>
      <c r="T145" s="330"/>
      <c r="U145" s="330">
        <f>'186-запеканка манка с изюмом'!C20</f>
        <v>0.1</v>
      </c>
      <c r="V145" s="330"/>
      <c r="W145" s="330"/>
      <c r="X145" s="330"/>
      <c r="Y145" s="330">
        <f>'186-запеканка манка с изюмом'!C27</f>
        <v>4.0000000000000001E-3</v>
      </c>
      <c r="Z145" s="330">
        <f>'186-запеканка манка с изюмом'!C31</f>
        <v>0.02</v>
      </c>
      <c r="AA145" s="330"/>
      <c r="AB145" s="330"/>
      <c r="AC145" s="330"/>
      <c r="AD145" s="330"/>
      <c r="AE145" s="330">
        <f>'186-запеканка манка с изюмом'!C24</f>
        <v>8.0000000000000002E-3</v>
      </c>
      <c r="AF145" s="330"/>
      <c r="AG145" s="330"/>
      <c r="AH145" s="330"/>
      <c r="AI145" s="330"/>
      <c r="AJ145" s="330"/>
      <c r="AK145" s="330"/>
      <c r="AL145" s="330"/>
      <c r="AM145" s="330"/>
      <c r="AN145" s="330"/>
      <c r="AO145" s="330"/>
      <c r="AP145" s="330"/>
      <c r="AQ145" s="330"/>
      <c r="AR145" s="330"/>
      <c r="AS145" s="330"/>
      <c r="AT145" s="330"/>
      <c r="AU145" s="330"/>
      <c r="AV145" s="330"/>
      <c r="AW145" s="330"/>
      <c r="AX145" s="330"/>
      <c r="AY145" s="330"/>
      <c r="AZ145" s="330"/>
      <c r="BA145" s="330"/>
      <c r="BB145" s="330"/>
      <c r="BC145" s="330"/>
      <c r="BD145" s="330"/>
      <c r="BE145" s="330"/>
      <c r="BF145" s="330"/>
      <c r="BG145" s="330"/>
      <c r="BH145" s="330"/>
      <c r="BI145" s="330"/>
      <c r="BJ145" s="330"/>
      <c r="BK145" s="330"/>
      <c r="BL145" s="330"/>
      <c r="BM145" s="330"/>
      <c r="BN145" s="330"/>
      <c r="BO145" s="330"/>
      <c r="BP145" s="330"/>
      <c r="BQ145" s="330"/>
      <c r="BR145" s="330"/>
      <c r="BS145" s="330"/>
      <c r="BT145" s="330"/>
      <c r="BU145" s="330">
        <f>'186-запеканка манка с изюмом'!C19</f>
        <v>4.5999999999999999E-2</v>
      </c>
      <c r="BV145" s="330"/>
      <c r="BW145" s="330"/>
      <c r="BX145" s="330"/>
      <c r="BY145" s="330"/>
      <c r="BZ145" s="330"/>
      <c r="CA145" s="330"/>
      <c r="CB145" s="330"/>
      <c r="CC145" s="330"/>
      <c r="CD145" s="330"/>
      <c r="CE145" s="330"/>
      <c r="CF145" s="330">
        <f>'186-запеканка манка с изюмом'!C25</f>
        <v>4.0000000000000001E-3</v>
      </c>
      <c r="CG145" s="330"/>
      <c r="CH145" s="330"/>
      <c r="CI145" s="330">
        <f>'186-запеканка манка с изюмом'!C28</f>
        <v>2.0000000000000002E-5</v>
      </c>
      <c r="CJ145" s="330"/>
      <c r="CK145" s="330"/>
      <c r="CL145" s="330"/>
      <c r="CM145" s="330">
        <f>'186-запеканка манка с изюмом'!C23</f>
        <v>1.0200000000000001E-2</v>
      </c>
      <c r="CN145" s="330"/>
      <c r="CO145" s="330"/>
      <c r="CP145" s="330"/>
      <c r="CQ145" s="330"/>
      <c r="CR145" s="330"/>
      <c r="CS145" s="330"/>
      <c r="CT145" s="330"/>
      <c r="CU145" s="330"/>
      <c r="CV145" s="330"/>
      <c r="CW145" s="330"/>
      <c r="CX145" s="330"/>
      <c r="CY145" s="330"/>
      <c r="CZ145" s="330">
        <f>'186-запеканка манка с изюмом'!C22</f>
        <v>8.0000000000000002E-3</v>
      </c>
      <c r="DA145" s="330"/>
      <c r="DB145" s="330"/>
      <c r="DC145" s="330"/>
      <c r="DD145" s="330">
        <f>'186-запеканка манка с изюмом'!C26</f>
        <v>4.0000000000000001E-3</v>
      </c>
      <c r="DE145" s="330"/>
      <c r="DF145" s="330"/>
      <c r="DG145" s="330"/>
      <c r="DH145" s="330"/>
      <c r="DI145" s="330"/>
      <c r="DJ145" s="330"/>
      <c r="DK145" s="330"/>
      <c r="DL145" s="330"/>
      <c r="DM145" s="330"/>
      <c r="DN145" s="330"/>
      <c r="DO145" s="330"/>
      <c r="DP145" s="330"/>
      <c r="DQ145" s="330"/>
      <c r="DR145" s="330"/>
      <c r="DS145" s="330"/>
      <c r="DT145" s="330"/>
      <c r="DU145" s="330"/>
      <c r="DV145" s="330"/>
      <c r="DW145" s="330"/>
      <c r="DX145" s="330"/>
      <c r="DY145" s="330"/>
      <c r="DZ145" s="330"/>
      <c r="EA145" s="330"/>
      <c r="EB145" s="330"/>
      <c r="EC145" s="330"/>
      <c r="ED145" s="330"/>
      <c r="EE145" s="330"/>
      <c r="EF145" s="330"/>
      <c r="EG145" s="330"/>
      <c r="EH145" s="330"/>
      <c r="EI145" s="330"/>
      <c r="EJ145" s="330"/>
      <c r="EK145" s="330"/>
      <c r="EL145" s="330"/>
      <c r="EM145" s="330"/>
      <c r="EN145" s="330"/>
      <c r="EO145" s="330"/>
      <c r="EP145" s="330"/>
      <c r="EQ145" s="330"/>
      <c r="ER145" s="330"/>
      <c r="ES145" s="330"/>
      <c r="ET145" s="330"/>
      <c r="EU145" s="330"/>
      <c r="EV145" s="330"/>
      <c r="EW145" s="330"/>
      <c r="EX145" s="330"/>
      <c r="EY145" s="1032">
        <f t="shared" si="17"/>
        <v>0.20422000000000001</v>
      </c>
      <c r="EZ145" s="616"/>
      <c r="FA145" s="616"/>
      <c r="FB145" s="616"/>
      <c r="FC145" s="616"/>
      <c r="FD145" s="616"/>
      <c r="FE145" s="616"/>
      <c r="FF145" s="616"/>
      <c r="FG145" s="616"/>
      <c r="FH145" s="616"/>
      <c r="FI145" s="616"/>
      <c r="FJ145" s="616"/>
    </row>
    <row r="146" spans="1:166" ht="14.7" customHeight="1" x14ac:dyDescent="0.25">
      <c r="A146" s="421">
        <v>142</v>
      </c>
      <c r="B146" s="417" t="str">
        <f>'202-макароны отвар'!A9</f>
        <v>Макаронные изделия отварные</v>
      </c>
      <c r="C146" s="419">
        <f>'202-макароны отвар'!C25</f>
        <v>1000</v>
      </c>
      <c r="D146" s="1211">
        <f>37.73/1000*C146</f>
        <v>37.729999999999997</v>
      </c>
      <c r="E146" s="1211">
        <f>4.46/1000*C146</f>
        <v>4.46</v>
      </c>
      <c r="F146" s="1211">
        <f>212.8/1000*C146</f>
        <v>212.8</v>
      </c>
      <c r="G146" s="1212">
        <f>1042/1000*C146</f>
        <v>1042</v>
      </c>
      <c r="H146" s="419">
        <f>'202-макароны отвар'!J7</f>
        <v>202</v>
      </c>
      <c r="I146" s="1234">
        <f>'202-макароны отвар'!F27</f>
        <v>17.920000000000002</v>
      </c>
      <c r="J146" s="330"/>
      <c r="K146" s="330"/>
      <c r="L146" s="330"/>
      <c r="M146" s="330"/>
      <c r="N146" s="330"/>
      <c r="O146" s="330"/>
      <c r="P146" s="330"/>
      <c r="Q146" s="330"/>
      <c r="R146" s="330"/>
      <c r="S146" s="330"/>
      <c r="T146" s="330"/>
      <c r="U146" s="330"/>
      <c r="V146" s="330"/>
      <c r="W146" s="330"/>
      <c r="X146" s="330"/>
      <c r="Y146" s="330"/>
      <c r="Z146" s="330"/>
      <c r="AA146" s="330"/>
      <c r="AB146" s="330"/>
      <c r="AC146" s="330"/>
      <c r="AD146" s="330"/>
      <c r="AE146" s="330"/>
      <c r="AF146" s="330"/>
      <c r="AG146" s="330"/>
      <c r="AH146" s="330"/>
      <c r="AI146" s="330"/>
      <c r="AJ146" s="330"/>
      <c r="AK146" s="330"/>
      <c r="AL146" s="330"/>
      <c r="AM146" s="330"/>
      <c r="AN146" s="330"/>
      <c r="AO146" s="330"/>
      <c r="AP146" s="330"/>
      <c r="AQ146" s="330"/>
      <c r="AR146" s="330"/>
      <c r="AS146" s="330"/>
      <c r="AT146" s="330"/>
      <c r="AU146" s="330"/>
      <c r="AV146" s="330"/>
      <c r="AW146" s="330"/>
      <c r="AX146" s="330"/>
      <c r="AY146" s="330"/>
      <c r="AZ146" s="330"/>
      <c r="BA146" s="330"/>
      <c r="BB146" s="330"/>
      <c r="BC146" s="330"/>
      <c r="BD146" s="330"/>
      <c r="BE146" s="330"/>
      <c r="BF146" s="330"/>
      <c r="BG146" s="330"/>
      <c r="BH146" s="330"/>
      <c r="BI146" s="330"/>
      <c r="BJ146" s="330"/>
      <c r="BK146" s="330"/>
      <c r="BL146" s="330"/>
      <c r="BM146" s="330"/>
      <c r="BN146" s="330"/>
      <c r="BO146" s="330"/>
      <c r="BP146" s="330"/>
      <c r="BQ146" s="330"/>
      <c r="BR146" s="330"/>
      <c r="BS146" s="330"/>
      <c r="BT146" s="330"/>
      <c r="BU146" s="330"/>
      <c r="BV146" s="330"/>
      <c r="BW146" s="330"/>
      <c r="BX146" s="330"/>
      <c r="BY146" s="330"/>
      <c r="BZ146" s="330"/>
      <c r="CA146" s="330"/>
      <c r="CB146" s="330"/>
      <c r="CC146" s="330"/>
      <c r="CD146" s="330"/>
      <c r="CE146" s="330"/>
      <c r="CF146" s="330"/>
      <c r="CG146" s="330">
        <f>'202-макароны отвар'!C19</f>
        <v>0.35</v>
      </c>
      <c r="CH146" s="330"/>
      <c r="CI146" s="330"/>
      <c r="CJ146" s="330"/>
      <c r="CK146" s="330"/>
      <c r="CL146" s="330"/>
      <c r="CM146" s="330"/>
      <c r="CN146" s="330"/>
      <c r="CO146" s="330"/>
      <c r="CP146" s="330"/>
      <c r="CQ146" s="330"/>
      <c r="CR146" s="330"/>
      <c r="CS146" s="330"/>
      <c r="CT146" s="330"/>
      <c r="CU146" s="330"/>
      <c r="CV146" s="330"/>
      <c r="CW146" s="330"/>
      <c r="CX146" s="330"/>
      <c r="CY146" s="330"/>
      <c r="CZ146" s="330"/>
      <c r="DA146" s="330"/>
      <c r="DB146" s="330"/>
      <c r="DC146" s="330">
        <f>'202-макароны отвар'!C21</f>
        <v>1.7500000000000002E-2</v>
      </c>
      <c r="DD146" s="330"/>
      <c r="DE146" s="330"/>
      <c r="DF146" s="330"/>
      <c r="DG146" s="330"/>
      <c r="DH146" s="330"/>
      <c r="DI146" s="330"/>
      <c r="DJ146" s="330"/>
      <c r="DK146" s="330"/>
      <c r="DL146" s="330"/>
      <c r="DM146" s="330"/>
      <c r="DN146" s="330"/>
      <c r="DO146" s="330"/>
      <c r="DP146" s="330"/>
      <c r="DQ146" s="330"/>
      <c r="DR146" s="330"/>
      <c r="DS146" s="330"/>
      <c r="DT146" s="330"/>
      <c r="DU146" s="330"/>
      <c r="DV146" s="330"/>
      <c r="DW146" s="330"/>
      <c r="DX146" s="330"/>
      <c r="DY146" s="330"/>
      <c r="DZ146" s="330"/>
      <c r="EA146" s="330"/>
      <c r="EB146" s="330"/>
      <c r="EC146" s="330"/>
      <c r="ED146" s="330"/>
      <c r="EE146" s="330"/>
      <c r="EF146" s="330"/>
      <c r="EG146" s="330"/>
      <c r="EH146" s="330"/>
      <c r="EI146" s="330"/>
      <c r="EJ146" s="330"/>
      <c r="EK146" s="330"/>
      <c r="EL146" s="330"/>
      <c r="EM146" s="330"/>
      <c r="EN146" s="330"/>
      <c r="EO146" s="330"/>
      <c r="EP146" s="330"/>
      <c r="EQ146" s="330"/>
      <c r="ER146" s="330"/>
      <c r="ES146" s="330"/>
      <c r="ET146" s="330"/>
      <c r="EU146" s="330"/>
      <c r="EV146" s="330"/>
      <c r="EW146" s="330"/>
      <c r="EX146" s="330"/>
      <c r="EY146" s="1032">
        <f t="shared" si="17"/>
        <v>0.36749999999999999</v>
      </c>
    </row>
    <row r="147" spans="1:166" s="937" customFormat="1" ht="14.7" customHeight="1" x14ac:dyDescent="0.25">
      <c r="A147" s="421">
        <v>143</v>
      </c>
      <c r="B147" s="417" t="str">
        <f>'202-макароны отвар (150)'!A9</f>
        <v>Макаронные изделия отварные</v>
      </c>
      <c r="C147" s="419">
        <f>'202-макароны отвар (150)'!C25</f>
        <v>150</v>
      </c>
      <c r="D147" s="1211">
        <f>37.73/1000*C147</f>
        <v>5.66</v>
      </c>
      <c r="E147" s="1211">
        <f>4.46/1000*C147</f>
        <v>0.67</v>
      </c>
      <c r="F147" s="1211">
        <f>212.8/1000*C147</f>
        <v>31.92</v>
      </c>
      <c r="G147" s="1212">
        <f>1042/1000*C147</f>
        <v>156</v>
      </c>
      <c r="H147" s="419">
        <f>'202-макароны отвар (150)'!J7</f>
        <v>202</v>
      </c>
      <c r="I147" s="1234">
        <f>'202-макароны отвар (150)'!F27</f>
        <v>2.69</v>
      </c>
      <c r="J147" s="330"/>
      <c r="K147" s="330"/>
      <c r="L147" s="330"/>
      <c r="M147" s="330"/>
      <c r="N147" s="330"/>
      <c r="O147" s="330"/>
      <c r="P147" s="330"/>
      <c r="Q147" s="330"/>
      <c r="R147" s="330"/>
      <c r="S147" s="330"/>
      <c r="T147" s="330"/>
      <c r="U147" s="330"/>
      <c r="V147" s="330"/>
      <c r="W147" s="330"/>
      <c r="X147" s="330"/>
      <c r="Y147" s="330"/>
      <c r="Z147" s="330"/>
      <c r="AA147" s="330"/>
      <c r="AB147" s="330"/>
      <c r="AC147" s="330"/>
      <c r="AD147" s="330"/>
      <c r="AE147" s="330"/>
      <c r="AF147" s="330"/>
      <c r="AG147" s="330"/>
      <c r="AH147" s="330"/>
      <c r="AI147" s="330"/>
      <c r="AJ147" s="330"/>
      <c r="AK147" s="330"/>
      <c r="AL147" s="330"/>
      <c r="AM147" s="330"/>
      <c r="AN147" s="330"/>
      <c r="AO147" s="330"/>
      <c r="AP147" s="330"/>
      <c r="AQ147" s="330"/>
      <c r="AR147" s="330"/>
      <c r="AS147" s="330"/>
      <c r="AT147" s="330"/>
      <c r="AU147" s="330"/>
      <c r="AV147" s="330"/>
      <c r="AW147" s="330"/>
      <c r="AX147" s="330"/>
      <c r="AY147" s="330"/>
      <c r="AZ147" s="330"/>
      <c r="BA147" s="330"/>
      <c r="BB147" s="330"/>
      <c r="BC147" s="330"/>
      <c r="BD147" s="330"/>
      <c r="BE147" s="330"/>
      <c r="BF147" s="330"/>
      <c r="BG147" s="330"/>
      <c r="BH147" s="330"/>
      <c r="BI147" s="330"/>
      <c r="BJ147" s="330"/>
      <c r="BK147" s="330"/>
      <c r="BL147" s="330"/>
      <c r="BM147" s="330"/>
      <c r="BN147" s="330"/>
      <c r="BO147" s="330"/>
      <c r="BP147" s="330"/>
      <c r="BQ147" s="330"/>
      <c r="BR147" s="330"/>
      <c r="BS147" s="330"/>
      <c r="BT147" s="330"/>
      <c r="BU147" s="330"/>
      <c r="BV147" s="330"/>
      <c r="BW147" s="330"/>
      <c r="BX147" s="330"/>
      <c r="BY147" s="330"/>
      <c r="BZ147" s="330"/>
      <c r="CA147" s="330"/>
      <c r="CB147" s="330"/>
      <c r="CC147" s="330"/>
      <c r="CD147" s="330"/>
      <c r="CE147" s="330"/>
      <c r="CF147" s="330"/>
      <c r="CG147" s="330">
        <f>'202-макароны отвар (150)'!C19/'202-макароны отвар (150)'!C26</f>
        <v>5.2499999999999998E-2</v>
      </c>
      <c r="CH147" s="330"/>
      <c r="CI147" s="330"/>
      <c r="CJ147" s="330"/>
      <c r="CK147" s="330"/>
      <c r="CL147" s="330"/>
      <c r="CM147" s="330"/>
      <c r="CN147" s="330"/>
      <c r="CO147" s="330"/>
      <c r="CP147" s="330"/>
      <c r="CQ147" s="330"/>
      <c r="CR147" s="330"/>
      <c r="CS147" s="330"/>
      <c r="CT147" s="330"/>
      <c r="CU147" s="330"/>
      <c r="CV147" s="330"/>
      <c r="CW147" s="330"/>
      <c r="CX147" s="330"/>
      <c r="CY147" s="330"/>
      <c r="CZ147" s="330"/>
      <c r="DA147" s="330"/>
      <c r="DB147" s="330"/>
      <c r="DC147" s="330">
        <f>'202-макароны отвар (150)'!C21/'202-макароны отвар (150)'!C26</f>
        <v>2.6199999999999999E-3</v>
      </c>
      <c r="DD147" s="330"/>
      <c r="DE147" s="330"/>
      <c r="DF147" s="330"/>
      <c r="DG147" s="330"/>
      <c r="DH147" s="330"/>
      <c r="DI147" s="330"/>
      <c r="DJ147" s="330"/>
      <c r="DK147" s="330"/>
      <c r="DL147" s="330"/>
      <c r="DM147" s="330"/>
      <c r="DN147" s="330"/>
      <c r="DO147" s="330"/>
      <c r="DP147" s="330"/>
      <c r="DQ147" s="330"/>
      <c r="DR147" s="330"/>
      <c r="DS147" s="330"/>
      <c r="DT147" s="330"/>
      <c r="DU147" s="330"/>
      <c r="DV147" s="330"/>
      <c r="DW147" s="330"/>
      <c r="DX147" s="330"/>
      <c r="DY147" s="330"/>
      <c r="DZ147" s="330"/>
      <c r="EA147" s="330"/>
      <c r="EB147" s="330"/>
      <c r="EC147" s="330"/>
      <c r="ED147" s="330"/>
      <c r="EE147" s="330"/>
      <c r="EF147" s="330"/>
      <c r="EG147" s="330"/>
      <c r="EH147" s="330"/>
      <c r="EI147" s="330"/>
      <c r="EJ147" s="330"/>
      <c r="EK147" s="330"/>
      <c r="EL147" s="330"/>
      <c r="EM147" s="330"/>
      <c r="EN147" s="330"/>
      <c r="EO147" s="330"/>
      <c r="EP147" s="330"/>
      <c r="EQ147" s="330"/>
      <c r="ER147" s="330"/>
      <c r="ES147" s="330"/>
      <c r="ET147" s="330"/>
      <c r="EU147" s="330"/>
      <c r="EV147" s="330"/>
      <c r="EW147" s="330"/>
      <c r="EX147" s="330"/>
      <c r="EY147" s="1032">
        <f t="shared" si="17"/>
        <v>5.5120000000000002E-2</v>
      </c>
      <c r="EZ147" s="616"/>
      <c r="FA147" s="616"/>
      <c r="FB147" s="616"/>
      <c r="FC147" s="616"/>
      <c r="FD147" s="616"/>
      <c r="FE147" s="616"/>
      <c r="FF147" s="616"/>
      <c r="FG147" s="616"/>
      <c r="FH147" s="616"/>
      <c r="FI147" s="616"/>
      <c r="FJ147" s="616"/>
    </row>
    <row r="148" spans="1:166" ht="14.7" customHeight="1" x14ac:dyDescent="0.25">
      <c r="A148" s="421">
        <v>144</v>
      </c>
      <c r="B148" s="417" t="str">
        <f>'203-макароны'!A9</f>
        <v>Макаронные изделия отварные с маслом</v>
      </c>
      <c r="C148" s="419">
        <f>'203-макароны'!C24</f>
        <v>155</v>
      </c>
      <c r="D148" s="1211">
        <f>3.82/105*C148</f>
        <v>5.64</v>
      </c>
      <c r="E148" s="1211">
        <f>4.05/105*C148</f>
        <v>5.98</v>
      </c>
      <c r="F148" s="1211">
        <f>21.32/105*C148</f>
        <v>31.47</v>
      </c>
      <c r="G148" s="1212">
        <f>137/105*C148</f>
        <v>202</v>
      </c>
      <c r="H148" s="419">
        <f>'203-макароны'!J7</f>
        <v>203</v>
      </c>
      <c r="I148" s="483">
        <f>'203-макароны'!F26</f>
        <v>6.24</v>
      </c>
      <c r="J148" s="330"/>
      <c r="K148" s="330"/>
      <c r="L148" s="330"/>
      <c r="M148" s="330"/>
      <c r="N148" s="330"/>
      <c r="O148" s="330"/>
      <c r="P148" s="330"/>
      <c r="Q148" s="330"/>
      <c r="R148" s="330"/>
      <c r="S148" s="330"/>
      <c r="T148" s="330"/>
      <c r="U148" s="330"/>
      <c r="V148" s="330">
        <f>'203-макароны'!C20/'203-макароны'!C23*'203-макароны'!C24</f>
        <v>5.0000000000000001E-3</v>
      </c>
      <c r="W148" s="330"/>
      <c r="X148" s="330"/>
      <c r="Y148" s="330"/>
      <c r="Z148" s="330"/>
      <c r="AA148" s="330"/>
      <c r="AB148" s="330"/>
      <c r="AC148" s="330"/>
      <c r="AD148" s="330"/>
      <c r="AE148" s="330"/>
      <c r="AF148" s="330"/>
      <c r="AG148" s="330"/>
      <c r="AH148" s="330"/>
      <c r="AI148" s="330"/>
      <c r="AJ148" s="330"/>
      <c r="AK148" s="330"/>
      <c r="AL148" s="330"/>
      <c r="AM148" s="330"/>
      <c r="AN148" s="330"/>
      <c r="AO148" s="330"/>
      <c r="AP148" s="330"/>
      <c r="AQ148" s="330"/>
      <c r="AR148" s="330"/>
      <c r="AS148" s="330"/>
      <c r="AT148" s="330"/>
      <c r="AU148" s="330"/>
      <c r="AV148" s="330"/>
      <c r="AW148" s="330"/>
      <c r="AX148" s="330"/>
      <c r="AY148" s="330"/>
      <c r="AZ148" s="330"/>
      <c r="BA148" s="330"/>
      <c r="BB148" s="330"/>
      <c r="BC148" s="330"/>
      <c r="BD148" s="330"/>
      <c r="BE148" s="330"/>
      <c r="BF148" s="330"/>
      <c r="BG148" s="330"/>
      <c r="BH148" s="330"/>
      <c r="BI148" s="330"/>
      <c r="BJ148" s="330"/>
      <c r="BK148" s="330"/>
      <c r="BL148" s="330"/>
      <c r="BM148" s="330"/>
      <c r="BN148" s="330"/>
      <c r="BO148" s="330"/>
      <c r="BP148" s="330"/>
      <c r="BQ148" s="330"/>
      <c r="BR148" s="330"/>
      <c r="BS148" s="330"/>
      <c r="BT148" s="330"/>
      <c r="BU148" s="330"/>
      <c r="BV148" s="330"/>
      <c r="BW148" s="330"/>
      <c r="BX148" s="330"/>
      <c r="BY148" s="330"/>
      <c r="BZ148" s="330"/>
      <c r="CA148" s="330"/>
      <c r="CB148" s="330"/>
      <c r="CC148" s="330"/>
      <c r="CD148" s="330"/>
      <c r="CE148" s="330"/>
      <c r="CF148" s="330"/>
      <c r="CG148" s="330">
        <f>'202-макароны отвар'!C19*'203-макароны'!C19/'203-макароны'!C23*'203-макароны'!C24</f>
        <v>5.2499999999999998E-2</v>
      </c>
      <c r="CH148" s="330"/>
      <c r="CI148" s="330"/>
      <c r="CJ148" s="330"/>
      <c r="CK148" s="330"/>
      <c r="CL148" s="330"/>
      <c r="CM148" s="330"/>
      <c r="CN148" s="330"/>
      <c r="CO148" s="330"/>
      <c r="CP148" s="330"/>
      <c r="CQ148" s="330"/>
      <c r="CR148" s="330"/>
      <c r="CS148" s="330"/>
      <c r="CT148" s="330"/>
      <c r="CU148" s="330"/>
      <c r="CV148" s="330"/>
      <c r="CW148" s="330"/>
      <c r="CX148" s="330"/>
      <c r="CY148" s="330"/>
      <c r="CZ148" s="330"/>
      <c r="DA148" s="330"/>
      <c r="DB148" s="330"/>
      <c r="DC148" s="330">
        <f>'202-макароны отвар'!C21*'203-макароны'!C19/'203-макароны'!C23*'203-макароны'!C24</f>
        <v>2.63E-3</v>
      </c>
      <c r="DD148" s="330"/>
      <c r="DE148" s="330"/>
      <c r="DF148" s="330"/>
      <c r="DG148" s="330"/>
      <c r="DH148" s="330"/>
      <c r="DI148" s="330"/>
      <c r="DJ148" s="330"/>
      <c r="DK148" s="330"/>
      <c r="DL148" s="330"/>
      <c r="DM148" s="330"/>
      <c r="DN148" s="330"/>
      <c r="DO148" s="330"/>
      <c r="DP148" s="330"/>
      <c r="DQ148" s="330"/>
      <c r="DR148" s="330"/>
      <c r="DS148" s="330"/>
      <c r="DT148" s="330"/>
      <c r="DU148" s="330"/>
      <c r="DV148" s="330"/>
      <c r="DW148" s="330"/>
      <c r="DX148" s="330"/>
      <c r="DY148" s="330"/>
      <c r="DZ148" s="330"/>
      <c r="EA148" s="330"/>
      <c r="EB148" s="330"/>
      <c r="EC148" s="330"/>
      <c r="ED148" s="330"/>
      <c r="EE148" s="330"/>
      <c r="EF148" s="330"/>
      <c r="EG148" s="330"/>
      <c r="EH148" s="330"/>
      <c r="EI148" s="330"/>
      <c r="EJ148" s="330"/>
      <c r="EK148" s="330"/>
      <c r="EL148" s="330"/>
      <c r="EM148" s="330"/>
      <c r="EN148" s="330"/>
      <c r="EO148" s="330"/>
      <c r="EP148" s="330"/>
      <c r="EQ148" s="330"/>
      <c r="ER148" s="330"/>
      <c r="ES148" s="330"/>
      <c r="ET148" s="330"/>
      <c r="EU148" s="330"/>
      <c r="EV148" s="330"/>
      <c r="EW148" s="330"/>
      <c r="EX148" s="330"/>
      <c r="EY148" s="1032">
        <f t="shared" si="17"/>
        <v>6.0130000000000003E-2</v>
      </c>
    </row>
    <row r="149" spans="1:166" ht="14.7" customHeight="1" x14ac:dyDescent="0.25">
      <c r="A149" s="421">
        <v>145</v>
      </c>
      <c r="B149" s="417" t="str">
        <f>'204-макароны с сыр'!A9</f>
        <v>Макароны отварные с сыром</v>
      </c>
      <c r="C149" s="419">
        <f>'204-макароны с сыр'!C25</f>
        <v>156</v>
      </c>
      <c r="D149" s="1211">
        <f>8.46/125*C149</f>
        <v>10.56</v>
      </c>
      <c r="E149" s="1211">
        <f>9.95/125*C149</f>
        <v>12.42</v>
      </c>
      <c r="F149" s="1211">
        <f>21.32/125*C149</f>
        <v>26.61</v>
      </c>
      <c r="G149" s="1212">
        <f>209/125*C149</f>
        <v>261</v>
      </c>
      <c r="H149" s="419">
        <f>'204-макароны с сыр'!J7</f>
        <v>204</v>
      </c>
      <c r="I149" s="1234">
        <f>'204-макароны с сыр'!F27</f>
        <v>26.27</v>
      </c>
      <c r="J149" s="330"/>
      <c r="K149" s="330"/>
      <c r="L149" s="330"/>
      <c r="M149" s="330"/>
      <c r="N149" s="330"/>
      <c r="O149" s="330"/>
      <c r="P149" s="330"/>
      <c r="Q149" s="330"/>
      <c r="R149" s="330"/>
      <c r="S149" s="330"/>
      <c r="T149" s="330"/>
      <c r="U149" s="330"/>
      <c r="V149" s="330">
        <f>'204-макароны с сыр'!C20</f>
        <v>6.0000000000000001E-3</v>
      </c>
      <c r="W149" s="330">
        <f>'204-макароны с сыр'!C21</f>
        <v>2.75E-2</v>
      </c>
      <c r="X149" s="330"/>
      <c r="Y149" s="330"/>
      <c r="Z149" s="330"/>
      <c r="AA149" s="330"/>
      <c r="AB149" s="330"/>
      <c r="AC149" s="330"/>
      <c r="AD149" s="330"/>
      <c r="AE149" s="330"/>
      <c r="AF149" s="330"/>
      <c r="AG149" s="330"/>
      <c r="AH149" s="330"/>
      <c r="AI149" s="330"/>
      <c r="AJ149" s="330"/>
      <c r="AK149" s="330"/>
      <c r="AL149" s="330"/>
      <c r="AM149" s="330"/>
      <c r="AN149" s="330"/>
      <c r="AO149" s="330"/>
      <c r="AP149" s="330"/>
      <c r="AQ149" s="330"/>
      <c r="AR149" s="330"/>
      <c r="AS149" s="330"/>
      <c r="AT149" s="330"/>
      <c r="AU149" s="330"/>
      <c r="AV149" s="330"/>
      <c r="AW149" s="330"/>
      <c r="AX149" s="330"/>
      <c r="AY149" s="330"/>
      <c r="AZ149" s="330"/>
      <c r="BA149" s="330"/>
      <c r="BB149" s="330"/>
      <c r="BC149" s="330"/>
      <c r="BD149" s="330"/>
      <c r="BE149" s="330"/>
      <c r="BF149" s="330"/>
      <c r="BG149" s="330"/>
      <c r="BH149" s="330"/>
      <c r="BI149" s="330"/>
      <c r="BJ149" s="330"/>
      <c r="BK149" s="330"/>
      <c r="BL149" s="330"/>
      <c r="BM149" s="330"/>
      <c r="BN149" s="330"/>
      <c r="BO149" s="330"/>
      <c r="BP149" s="330"/>
      <c r="BQ149" s="330"/>
      <c r="BR149" s="330"/>
      <c r="BS149" s="330"/>
      <c r="BT149" s="330"/>
      <c r="BU149" s="330"/>
      <c r="BV149" s="330"/>
      <c r="BW149" s="330"/>
      <c r="BX149" s="330"/>
      <c r="BY149" s="330"/>
      <c r="BZ149" s="330"/>
      <c r="CA149" s="330"/>
      <c r="CB149" s="330"/>
      <c r="CC149" s="330"/>
      <c r="CD149" s="330"/>
      <c r="CE149" s="330"/>
      <c r="CF149" s="330"/>
      <c r="CG149" s="330">
        <f>'202-макароны отвар'!C19*'204-макароны с сыр'!C19</f>
        <v>4.3749999999999997E-2</v>
      </c>
      <c r="CH149" s="330"/>
      <c r="CI149" s="330"/>
      <c r="CJ149" s="330"/>
      <c r="CK149" s="330"/>
      <c r="CL149" s="330"/>
      <c r="CM149" s="330"/>
      <c r="CN149" s="330"/>
      <c r="CO149" s="330"/>
      <c r="CP149" s="330"/>
      <c r="CQ149" s="330"/>
      <c r="CR149" s="330"/>
      <c r="CS149" s="330"/>
      <c r="CT149" s="330"/>
      <c r="CU149" s="330"/>
      <c r="CV149" s="330"/>
      <c r="CW149" s="330"/>
      <c r="CX149" s="330"/>
      <c r="CY149" s="330"/>
      <c r="CZ149" s="330"/>
      <c r="DA149" s="330"/>
      <c r="DB149" s="330"/>
      <c r="DC149" s="330">
        <f>'202-макароны отвар'!C21*'204-макароны с сыр'!C19</f>
        <v>2.1900000000000001E-3</v>
      </c>
      <c r="DD149" s="330"/>
      <c r="DE149" s="330"/>
      <c r="DF149" s="330"/>
      <c r="DG149" s="330"/>
      <c r="DH149" s="330"/>
      <c r="DI149" s="330"/>
      <c r="DJ149" s="330"/>
      <c r="DK149" s="330"/>
      <c r="DL149" s="330"/>
      <c r="DM149" s="330"/>
      <c r="DN149" s="330"/>
      <c r="DO149" s="330"/>
      <c r="DP149" s="330"/>
      <c r="DQ149" s="330"/>
      <c r="DR149" s="330"/>
      <c r="DS149" s="330"/>
      <c r="DT149" s="330"/>
      <c r="DU149" s="330"/>
      <c r="DV149" s="330"/>
      <c r="DW149" s="330"/>
      <c r="DX149" s="330"/>
      <c r="DY149" s="330"/>
      <c r="DZ149" s="330"/>
      <c r="EA149" s="330"/>
      <c r="EB149" s="330"/>
      <c r="EC149" s="330"/>
      <c r="ED149" s="330"/>
      <c r="EE149" s="330"/>
      <c r="EF149" s="330"/>
      <c r="EG149" s="330"/>
      <c r="EH149" s="330"/>
      <c r="EI149" s="330"/>
      <c r="EJ149" s="330"/>
      <c r="EK149" s="330"/>
      <c r="EL149" s="330"/>
      <c r="EM149" s="330"/>
      <c r="EN149" s="330"/>
      <c r="EO149" s="330"/>
      <c r="EP149" s="330"/>
      <c r="EQ149" s="330"/>
      <c r="ER149" s="330"/>
      <c r="ES149" s="330"/>
      <c r="ET149" s="330"/>
      <c r="EU149" s="330"/>
      <c r="EV149" s="330"/>
      <c r="EW149" s="330"/>
      <c r="EX149" s="330"/>
      <c r="EY149" s="1032">
        <f t="shared" si="17"/>
        <v>7.9439999999999997E-2</v>
      </c>
    </row>
    <row r="150" spans="1:166" ht="14.7" customHeight="1" x14ac:dyDescent="0.25">
      <c r="A150" s="421">
        <v>146</v>
      </c>
      <c r="B150" s="417" t="str">
        <f>'205-макароны с овощ 130'!A9</f>
        <v>Макароны отварные с овощами</v>
      </c>
      <c r="C150" s="419">
        <f>'205-макароны с овощ 130'!C29</f>
        <v>125</v>
      </c>
      <c r="D150" s="1211">
        <f>4.31/125*C150</f>
        <v>4.3099999999999996</v>
      </c>
      <c r="E150" s="1211">
        <f>4.99/125*C150</f>
        <v>4.99</v>
      </c>
      <c r="F150" s="1211">
        <f>23.77/125*C150</f>
        <v>23.77</v>
      </c>
      <c r="G150" s="1212">
        <f>157/125*C150</f>
        <v>157</v>
      </c>
      <c r="H150" s="419">
        <f>'205-макароны с овощ 130'!J7</f>
        <v>205</v>
      </c>
      <c r="I150" s="1234">
        <f>'205-макароны с овощ 130'!F31</f>
        <v>6.46</v>
      </c>
      <c r="J150" s="330"/>
      <c r="K150" s="330"/>
      <c r="L150" s="330"/>
      <c r="M150" s="330"/>
      <c r="N150" s="330"/>
      <c r="O150" s="330"/>
      <c r="P150" s="330"/>
      <c r="Q150" s="330"/>
      <c r="R150" s="330"/>
      <c r="S150" s="330"/>
      <c r="T150" s="330"/>
      <c r="U150" s="330"/>
      <c r="V150" s="330"/>
      <c r="W150" s="330"/>
      <c r="X150" s="330"/>
      <c r="Y150" s="330"/>
      <c r="Z150" s="330"/>
      <c r="AA150" s="330"/>
      <c r="AB150" s="330"/>
      <c r="AC150" s="330"/>
      <c r="AD150" s="330"/>
      <c r="AE150" s="330"/>
      <c r="AF150" s="330"/>
      <c r="AG150" s="330"/>
      <c r="AH150" s="330"/>
      <c r="AI150" s="330"/>
      <c r="AJ150" s="330"/>
      <c r="AK150" s="330">
        <f>'205-макароны с овощ 130'!C22</f>
        <v>9.4999999999999998E-3</v>
      </c>
      <c r="AL150" s="330"/>
      <c r="AM150" s="330"/>
      <c r="AN150" s="330"/>
      <c r="AO150" s="330"/>
      <c r="AP150" s="330"/>
      <c r="AQ150" s="330">
        <f>'205-макароны с овощ 130'!C20</f>
        <v>1.2500000000000001E-2</v>
      </c>
      <c r="AR150" s="330"/>
      <c r="AS150" s="330"/>
      <c r="AT150" s="330">
        <f>'205-макароны с овощ 130'!C21</f>
        <v>4.4999999999999997E-3</v>
      </c>
      <c r="AU150" s="330"/>
      <c r="AV150" s="330"/>
      <c r="AW150" s="330"/>
      <c r="AX150" s="330"/>
      <c r="AY150" s="330"/>
      <c r="AZ150" s="330"/>
      <c r="BA150" s="330"/>
      <c r="BB150" s="330"/>
      <c r="BC150" s="330"/>
      <c r="BD150" s="330"/>
      <c r="BE150" s="330"/>
      <c r="BF150" s="330"/>
      <c r="BG150" s="330"/>
      <c r="BH150" s="330"/>
      <c r="BI150" s="330"/>
      <c r="BJ150" s="330"/>
      <c r="BK150" s="330"/>
      <c r="BL150" s="330"/>
      <c r="BM150" s="330"/>
      <c r="BN150" s="330"/>
      <c r="BO150" s="330"/>
      <c r="BP150" s="330"/>
      <c r="BQ150" s="330"/>
      <c r="BR150" s="330"/>
      <c r="BS150" s="330"/>
      <c r="BT150" s="330"/>
      <c r="BU150" s="330"/>
      <c r="BV150" s="330"/>
      <c r="BW150" s="330"/>
      <c r="BX150" s="330"/>
      <c r="BY150" s="330"/>
      <c r="BZ150" s="330"/>
      <c r="CA150" s="330"/>
      <c r="CB150" s="330"/>
      <c r="CC150" s="330"/>
      <c r="CD150" s="330"/>
      <c r="CE150" s="330"/>
      <c r="CF150" s="330">
        <f>'205-макароны с овощ 130'!C24</f>
        <v>5.0000000000000001E-3</v>
      </c>
      <c r="CG150" s="330">
        <f>'202-макароны отвар'!C19/1000*100</f>
        <v>3.5000000000000003E-2</v>
      </c>
      <c r="CH150" s="330"/>
      <c r="CI150" s="330"/>
      <c r="CJ150" s="330"/>
      <c r="CK150" s="330"/>
      <c r="CL150" s="330"/>
      <c r="CM150" s="330"/>
      <c r="CN150" s="330"/>
      <c r="CO150" s="330"/>
      <c r="CP150" s="330"/>
      <c r="CQ150" s="330"/>
      <c r="CR150" s="330"/>
      <c r="CS150" s="330"/>
      <c r="CT150" s="330"/>
      <c r="CU150" s="330"/>
      <c r="CV150" s="330"/>
      <c r="CW150" s="330"/>
      <c r="CX150" s="330"/>
      <c r="CY150" s="330"/>
      <c r="CZ150" s="330"/>
      <c r="DA150" s="330"/>
      <c r="DB150" s="330"/>
      <c r="DC150" s="330">
        <f>'202-макароны отвар'!C21/1000*100</f>
        <v>1.75E-3</v>
      </c>
      <c r="DD150" s="330"/>
      <c r="DE150" s="330"/>
      <c r="DF150" s="330">
        <f>'205-макароны с овощ 130'!C23</f>
        <v>7.0000000000000001E-3</v>
      </c>
      <c r="DG150" s="330"/>
      <c r="DH150" s="330"/>
      <c r="DI150" s="330"/>
      <c r="DJ150" s="330"/>
      <c r="DK150" s="330"/>
      <c r="DL150" s="330"/>
      <c r="DM150" s="330"/>
      <c r="DN150" s="330"/>
      <c r="DO150" s="330"/>
      <c r="DP150" s="330"/>
      <c r="DQ150" s="330"/>
      <c r="DR150" s="330"/>
      <c r="DS150" s="330"/>
      <c r="DT150" s="330"/>
      <c r="DU150" s="330"/>
      <c r="DV150" s="330"/>
      <c r="DW150" s="330"/>
      <c r="DX150" s="330"/>
      <c r="DY150" s="330"/>
      <c r="DZ150" s="330"/>
      <c r="EA150" s="330"/>
      <c r="EB150" s="330"/>
      <c r="EC150" s="330"/>
      <c r="ED150" s="330"/>
      <c r="EE150" s="330"/>
      <c r="EF150" s="330"/>
      <c r="EG150" s="330"/>
      <c r="EH150" s="330"/>
      <c r="EI150" s="330"/>
      <c r="EJ150" s="330"/>
      <c r="EK150" s="330"/>
      <c r="EL150" s="330"/>
      <c r="EM150" s="330"/>
      <c r="EN150" s="330"/>
      <c r="EO150" s="330"/>
      <c r="EP150" s="330"/>
      <c r="EQ150" s="330"/>
      <c r="ER150" s="330"/>
      <c r="ES150" s="330"/>
      <c r="ET150" s="330"/>
      <c r="EU150" s="330"/>
      <c r="EV150" s="330"/>
      <c r="EW150" s="330"/>
      <c r="EX150" s="330"/>
      <c r="EY150" s="1032">
        <f t="shared" si="17"/>
        <v>7.5249999999999997E-2</v>
      </c>
    </row>
    <row r="151" spans="1:166" ht="14.7" customHeight="1" x14ac:dyDescent="0.25">
      <c r="A151" s="421">
        <v>147</v>
      </c>
      <c r="B151" s="417" t="str">
        <f>'209-яйца'!A9</f>
        <v>Яйца вареные</v>
      </c>
      <c r="C151" s="419">
        <f>'209-яйца'!C25</f>
        <v>40</v>
      </c>
      <c r="D151" s="1211">
        <f>5.08/40*C151</f>
        <v>5.08</v>
      </c>
      <c r="E151" s="1211">
        <f>4.6/40*C151</f>
        <v>4.5999999999999996</v>
      </c>
      <c r="F151" s="1211">
        <f>0.28/40*C151</f>
        <v>0.28000000000000003</v>
      </c>
      <c r="G151" s="1212">
        <f>63/40*C151</f>
        <v>63</v>
      </c>
      <c r="H151" s="419">
        <f>'209-яйца'!J7</f>
        <v>209</v>
      </c>
      <c r="I151" s="1234">
        <f>'209-яйца'!F27</f>
        <v>7.1</v>
      </c>
      <c r="J151" s="330"/>
      <c r="K151" s="330"/>
      <c r="L151" s="330"/>
      <c r="M151" s="330"/>
      <c r="N151" s="330"/>
      <c r="O151" s="330"/>
      <c r="P151" s="330"/>
      <c r="Q151" s="330"/>
      <c r="R151" s="330"/>
      <c r="S151" s="330"/>
      <c r="T151" s="330"/>
      <c r="U151" s="330"/>
      <c r="V151" s="330"/>
      <c r="W151" s="330"/>
      <c r="X151" s="330"/>
      <c r="Y151" s="330"/>
      <c r="Z151" s="330"/>
      <c r="AA151" s="330"/>
      <c r="AB151" s="330"/>
      <c r="AC151" s="330"/>
      <c r="AD151" s="330"/>
      <c r="AE151" s="330">
        <f>'209-яйца'!C19</f>
        <v>4.5999999999999999E-2</v>
      </c>
      <c r="AF151" s="330"/>
      <c r="AG151" s="330"/>
      <c r="AH151" s="330"/>
      <c r="AI151" s="330"/>
      <c r="AJ151" s="330"/>
      <c r="AK151" s="330"/>
      <c r="AL151" s="330"/>
      <c r="AM151" s="330"/>
      <c r="AN151" s="330"/>
      <c r="AO151" s="330"/>
      <c r="AP151" s="330"/>
      <c r="AQ151" s="330"/>
      <c r="AR151" s="330"/>
      <c r="AS151" s="330"/>
      <c r="AT151" s="330"/>
      <c r="AU151" s="330"/>
      <c r="AV151" s="330"/>
      <c r="AW151" s="330"/>
      <c r="AX151" s="330"/>
      <c r="AY151" s="330"/>
      <c r="AZ151" s="330"/>
      <c r="BA151" s="330"/>
      <c r="BB151" s="330"/>
      <c r="BC151" s="330"/>
      <c r="BD151" s="330"/>
      <c r="BE151" s="330"/>
      <c r="BF151" s="330"/>
      <c r="BG151" s="330"/>
      <c r="BH151" s="330"/>
      <c r="BI151" s="330"/>
      <c r="BJ151" s="330"/>
      <c r="BK151" s="330"/>
      <c r="BL151" s="330"/>
      <c r="BM151" s="330"/>
      <c r="BN151" s="330"/>
      <c r="BO151" s="330"/>
      <c r="BP151" s="330"/>
      <c r="BQ151" s="330"/>
      <c r="BR151" s="330"/>
      <c r="BS151" s="330"/>
      <c r="BT151" s="330"/>
      <c r="BU151" s="330"/>
      <c r="BV151" s="330"/>
      <c r="BW151" s="330"/>
      <c r="BX151" s="330"/>
      <c r="BY151" s="330"/>
      <c r="BZ151" s="330"/>
      <c r="CA151" s="330"/>
      <c r="CB151" s="330"/>
      <c r="CC151" s="330"/>
      <c r="CD151" s="330"/>
      <c r="CE151" s="330"/>
      <c r="CF151" s="330"/>
      <c r="CG151" s="330"/>
      <c r="CH151" s="330"/>
      <c r="CI151" s="330"/>
      <c r="CJ151" s="330"/>
      <c r="CK151" s="330"/>
      <c r="CL151" s="330"/>
      <c r="CM151" s="330"/>
      <c r="CN151" s="330"/>
      <c r="CO151" s="330"/>
      <c r="CP151" s="330"/>
      <c r="CQ151" s="330"/>
      <c r="CR151" s="330"/>
      <c r="CS151" s="330"/>
      <c r="CT151" s="330"/>
      <c r="CU151" s="330"/>
      <c r="CV151" s="330"/>
      <c r="CW151" s="330"/>
      <c r="CX151" s="330"/>
      <c r="CY151" s="330"/>
      <c r="CZ151" s="330"/>
      <c r="DA151" s="330"/>
      <c r="DB151" s="330"/>
      <c r="DC151" s="330">
        <f>'209-яйца'!C21</f>
        <v>4.0000000000000001E-3</v>
      </c>
      <c r="DD151" s="330"/>
      <c r="DE151" s="330"/>
      <c r="DF151" s="330"/>
      <c r="DG151" s="330"/>
      <c r="DH151" s="330"/>
      <c r="DI151" s="330"/>
      <c r="DJ151" s="330"/>
      <c r="DK151" s="330"/>
      <c r="DL151" s="330"/>
      <c r="DM151" s="330"/>
      <c r="DN151" s="330"/>
      <c r="DO151" s="330"/>
      <c r="DP151" s="330"/>
      <c r="DQ151" s="330"/>
      <c r="DR151" s="330"/>
      <c r="DS151" s="330"/>
      <c r="DT151" s="330"/>
      <c r="DU151" s="330"/>
      <c r="DV151" s="330"/>
      <c r="DW151" s="330"/>
      <c r="DX151" s="330"/>
      <c r="DY151" s="330"/>
      <c r="DZ151" s="330"/>
      <c r="EA151" s="330"/>
      <c r="EB151" s="330"/>
      <c r="EC151" s="330"/>
      <c r="ED151" s="330"/>
      <c r="EE151" s="330"/>
      <c r="EF151" s="330"/>
      <c r="EG151" s="330"/>
      <c r="EH151" s="330"/>
      <c r="EI151" s="330"/>
      <c r="EJ151" s="330"/>
      <c r="EK151" s="330"/>
      <c r="EL151" s="330"/>
      <c r="EM151" s="330"/>
      <c r="EN151" s="330"/>
      <c r="EO151" s="330"/>
      <c r="EP151" s="330"/>
      <c r="EQ151" s="330"/>
      <c r="ER151" s="330"/>
      <c r="ES151" s="330"/>
      <c r="ET151" s="330"/>
      <c r="EU151" s="330"/>
      <c r="EV151" s="330"/>
      <c r="EW151" s="330"/>
      <c r="EX151" s="330"/>
      <c r="EY151" s="1032">
        <f t="shared" si="17"/>
        <v>0.05</v>
      </c>
    </row>
    <row r="152" spans="1:166" ht="14.7" customHeight="1" x14ac:dyDescent="0.25">
      <c r="A152" s="421">
        <v>148</v>
      </c>
      <c r="B152" s="417" t="str">
        <f>'210-омлет'!A9</f>
        <v>Омлет натуральный с маслом</v>
      </c>
      <c r="C152" s="419">
        <f>'210-омлет'!C31</f>
        <v>140</v>
      </c>
      <c r="D152" s="1211">
        <f>5.39/58*C152</f>
        <v>13.01</v>
      </c>
      <c r="E152" s="1211">
        <f>9.6/58*C152</f>
        <v>23.17</v>
      </c>
      <c r="F152" s="1211">
        <f>1.02/58*C152</f>
        <v>2.46</v>
      </c>
      <c r="G152" s="1212">
        <f>112/58*C152</f>
        <v>270</v>
      </c>
      <c r="H152" s="419">
        <f>'210-омлет'!J7</f>
        <v>210</v>
      </c>
      <c r="I152" s="1234">
        <f>'210-омлет'!F33</f>
        <v>27.56</v>
      </c>
      <c r="J152" s="330"/>
      <c r="K152" s="330"/>
      <c r="L152" s="330"/>
      <c r="M152" s="330"/>
      <c r="N152" s="330"/>
      <c r="O152" s="330"/>
      <c r="P152" s="330"/>
      <c r="Q152" s="330"/>
      <c r="R152" s="330"/>
      <c r="S152" s="330"/>
      <c r="T152" s="330"/>
      <c r="U152" s="330">
        <f>'210-омлет'!C20</f>
        <v>3.4099999999999998E-2</v>
      </c>
      <c r="V152" s="330">
        <f>'210-омлет'!C23+'210-омлет'!C25</f>
        <v>0.01</v>
      </c>
      <c r="W152" s="330"/>
      <c r="X152" s="330"/>
      <c r="Y152" s="330"/>
      <c r="Z152" s="330"/>
      <c r="AA152" s="330"/>
      <c r="AB152" s="330"/>
      <c r="AC152" s="330"/>
      <c r="AD152" s="330"/>
      <c r="AE152" s="330">
        <f>'210-омлет'!C19</f>
        <v>0.1045</v>
      </c>
      <c r="AF152" s="330"/>
      <c r="AG152" s="330"/>
      <c r="AH152" s="330"/>
      <c r="AI152" s="330"/>
      <c r="AJ152" s="330"/>
      <c r="AK152" s="330"/>
      <c r="AL152" s="330">
        <f>'210-омлет'!C27</f>
        <v>2E-3</v>
      </c>
      <c r="AM152" s="330"/>
      <c r="AN152" s="330"/>
      <c r="AO152" s="330"/>
      <c r="AP152" s="330"/>
      <c r="AQ152" s="330"/>
      <c r="AR152" s="330"/>
      <c r="AS152" s="330"/>
      <c r="AT152" s="330"/>
      <c r="AU152" s="330">
        <f>'210-омлет'!C26</f>
        <v>4.0000000000000001E-3</v>
      </c>
      <c r="AV152" s="330"/>
      <c r="AW152" s="330"/>
      <c r="AX152" s="330"/>
      <c r="AY152" s="330"/>
      <c r="AZ152" s="330"/>
      <c r="BA152" s="330"/>
      <c r="BB152" s="330"/>
      <c r="BC152" s="330"/>
      <c r="BD152" s="330"/>
      <c r="BE152" s="330"/>
      <c r="BF152" s="330"/>
      <c r="BG152" s="330"/>
      <c r="BH152" s="330"/>
      <c r="BI152" s="330"/>
      <c r="BJ152" s="330"/>
      <c r="BK152" s="330"/>
      <c r="BL152" s="330"/>
      <c r="BM152" s="330"/>
      <c r="BN152" s="330"/>
      <c r="BO152" s="330"/>
      <c r="BP152" s="330"/>
      <c r="BQ152" s="330"/>
      <c r="BR152" s="330"/>
      <c r="BS152" s="330"/>
      <c r="BT152" s="330"/>
      <c r="BU152" s="330"/>
      <c r="BV152" s="330"/>
      <c r="BW152" s="330"/>
      <c r="BX152" s="330"/>
      <c r="BY152" s="330"/>
      <c r="BZ152" s="330"/>
      <c r="CA152" s="330"/>
      <c r="CB152" s="330"/>
      <c r="CC152" s="330"/>
      <c r="CD152" s="330"/>
      <c r="CE152" s="330"/>
      <c r="CF152" s="330"/>
      <c r="CG152" s="330"/>
      <c r="CH152" s="330"/>
      <c r="CI152" s="330"/>
      <c r="CJ152" s="330"/>
      <c r="CK152" s="330"/>
      <c r="CL152" s="330"/>
      <c r="CM152" s="330"/>
      <c r="CN152" s="330"/>
      <c r="CO152" s="330"/>
      <c r="CP152" s="330"/>
      <c r="CQ152" s="330"/>
      <c r="CR152" s="330"/>
      <c r="CS152" s="330"/>
      <c r="CT152" s="330"/>
      <c r="CU152" s="330"/>
      <c r="CV152" s="330"/>
      <c r="CW152" s="330"/>
      <c r="CX152" s="330"/>
      <c r="CY152" s="330"/>
      <c r="CZ152" s="330"/>
      <c r="DA152" s="330"/>
      <c r="DB152" s="330"/>
      <c r="DC152" s="330">
        <f>'210-омлет'!C21</f>
        <v>1.1000000000000001E-3</v>
      </c>
      <c r="DD152" s="330"/>
      <c r="DE152" s="330"/>
      <c r="DF152" s="330"/>
      <c r="DG152" s="330"/>
      <c r="DH152" s="330"/>
      <c r="DI152" s="330"/>
      <c r="DJ152" s="330"/>
      <c r="DK152" s="330"/>
      <c r="DL152" s="330"/>
      <c r="DM152" s="330"/>
      <c r="DN152" s="330"/>
      <c r="DO152" s="330"/>
      <c r="DP152" s="330"/>
      <c r="DQ152" s="330"/>
      <c r="DR152" s="330"/>
      <c r="DS152" s="330"/>
      <c r="DT152" s="330"/>
      <c r="DU152" s="330"/>
      <c r="DV152" s="330"/>
      <c r="DW152" s="330"/>
      <c r="DX152" s="330"/>
      <c r="DY152" s="330"/>
      <c r="DZ152" s="330"/>
      <c r="EA152" s="330"/>
      <c r="EB152" s="330"/>
      <c r="EC152" s="330"/>
      <c r="ED152" s="330"/>
      <c r="EE152" s="330"/>
      <c r="EF152" s="330"/>
      <c r="EG152" s="330"/>
      <c r="EH152" s="330"/>
      <c r="EI152" s="330"/>
      <c r="EJ152" s="330"/>
      <c r="EK152" s="330"/>
      <c r="EL152" s="330"/>
      <c r="EM152" s="330"/>
      <c r="EN152" s="330"/>
      <c r="EO152" s="330"/>
      <c r="EP152" s="330"/>
      <c r="EQ152" s="330"/>
      <c r="ER152" s="330"/>
      <c r="ES152" s="330"/>
      <c r="ET152" s="330"/>
      <c r="EU152" s="330"/>
      <c r="EV152" s="330"/>
      <c r="EW152" s="330"/>
      <c r="EX152" s="330"/>
      <c r="EY152" s="1032">
        <f t="shared" si="17"/>
        <v>0.15570000000000001</v>
      </c>
    </row>
    <row r="153" spans="1:166" ht="14.7" customHeight="1" x14ac:dyDescent="0.25">
      <c r="A153" s="421">
        <v>149</v>
      </c>
      <c r="B153" s="417" t="str">
        <f>'211-омлет с сыром'!A9</f>
        <v>Омлет с сыром</v>
      </c>
      <c r="C153" s="419">
        <f>'211-омлет с сыром'!C29</f>
        <v>60</v>
      </c>
      <c r="D153" s="1211">
        <f>7.17/60*C153</f>
        <v>7.17</v>
      </c>
      <c r="E153" s="1211">
        <f>11.77/60*C153</f>
        <v>11.77</v>
      </c>
      <c r="F153" s="1211">
        <f>1.02/60*C153</f>
        <v>1.02</v>
      </c>
      <c r="G153" s="1212">
        <f>139/60*C153</f>
        <v>139</v>
      </c>
      <c r="H153" s="419">
        <f>'211-омлет с сыром'!J7</f>
        <v>211</v>
      </c>
      <c r="I153" s="1234">
        <f>'211-омлет с сыром'!F31</f>
        <v>19.29</v>
      </c>
      <c r="J153" s="330"/>
      <c r="K153" s="330"/>
      <c r="L153" s="330"/>
      <c r="M153" s="330"/>
      <c r="N153" s="330"/>
      <c r="O153" s="330"/>
      <c r="P153" s="330"/>
      <c r="Q153" s="330"/>
      <c r="R153" s="330"/>
      <c r="S153" s="330"/>
      <c r="T153" s="330"/>
      <c r="U153" s="330">
        <f>'211-омлет с сыром'!C20</f>
        <v>1.4999999999999999E-2</v>
      </c>
      <c r="V153" s="330">
        <f>'211-омлет с сыром'!C22+'211-омлет с сыром'!C25</f>
        <v>7.0000000000000001E-3</v>
      </c>
      <c r="W153" s="330">
        <f>'211-омлет с сыром'!C21</f>
        <v>8.5000000000000006E-3</v>
      </c>
      <c r="X153" s="330"/>
      <c r="Y153" s="330"/>
      <c r="Z153" s="330"/>
      <c r="AA153" s="330"/>
      <c r="AB153" s="330"/>
      <c r="AC153" s="330"/>
      <c r="AD153" s="330"/>
      <c r="AE153" s="330">
        <f>'211-омлет с сыром'!C19</f>
        <v>4.5999999999999999E-2</v>
      </c>
      <c r="AF153" s="330"/>
      <c r="AG153" s="330"/>
      <c r="AH153" s="330"/>
      <c r="AI153" s="330"/>
      <c r="AJ153" s="330"/>
      <c r="AK153" s="330"/>
      <c r="AL153" s="330"/>
      <c r="AM153" s="330"/>
      <c r="AN153" s="330"/>
      <c r="AO153" s="330"/>
      <c r="AP153" s="330"/>
      <c r="AQ153" s="330"/>
      <c r="AR153" s="330"/>
      <c r="AS153" s="330"/>
      <c r="AT153" s="330"/>
      <c r="AU153" s="330"/>
      <c r="AV153" s="330"/>
      <c r="AW153" s="330"/>
      <c r="AX153" s="330"/>
      <c r="AY153" s="330"/>
      <c r="AZ153" s="330"/>
      <c r="BA153" s="330"/>
      <c r="BB153" s="330"/>
      <c r="BC153" s="330"/>
      <c r="BD153" s="330"/>
      <c r="BE153" s="330"/>
      <c r="BF153" s="330"/>
      <c r="BG153" s="330"/>
      <c r="BH153" s="330"/>
      <c r="BI153" s="330"/>
      <c r="BJ153" s="330"/>
      <c r="BK153" s="330"/>
      <c r="BL153" s="330"/>
      <c r="BM153" s="330"/>
      <c r="BN153" s="330"/>
      <c r="BO153" s="330"/>
      <c r="BP153" s="330"/>
      <c r="BQ153" s="330"/>
      <c r="BR153" s="330"/>
      <c r="BS153" s="330"/>
      <c r="BT153" s="330"/>
      <c r="BU153" s="330"/>
      <c r="BV153" s="330"/>
      <c r="BW153" s="330"/>
      <c r="BX153" s="330"/>
      <c r="BY153" s="330"/>
      <c r="BZ153" s="330"/>
      <c r="CA153" s="330"/>
      <c r="CB153" s="330"/>
      <c r="CC153" s="330"/>
      <c r="CD153" s="330"/>
      <c r="CE153" s="330"/>
      <c r="CF153" s="330"/>
      <c r="CG153" s="330"/>
      <c r="CH153" s="330"/>
      <c r="CI153" s="330"/>
      <c r="CJ153" s="330"/>
      <c r="CK153" s="330"/>
      <c r="CL153" s="330"/>
      <c r="CM153" s="330"/>
      <c r="CN153" s="330"/>
      <c r="CO153" s="330"/>
      <c r="CP153" s="330"/>
      <c r="CQ153" s="330"/>
      <c r="CR153" s="330"/>
      <c r="CS153" s="330"/>
      <c r="CT153" s="330"/>
      <c r="CU153" s="330"/>
      <c r="CV153" s="330"/>
      <c r="CW153" s="330"/>
      <c r="CX153" s="330"/>
      <c r="CY153" s="330"/>
      <c r="CZ153" s="330"/>
      <c r="DA153" s="330"/>
      <c r="DB153" s="330"/>
      <c r="DC153" s="330">
        <f>'211-омлет с сыром'!C23</f>
        <v>5.0000000000000001E-4</v>
      </c>
      <c r="DD153" s="330"/>
      <c r="DE153" s="330"/>
      <c r="DF153" s="330"/>
      <c r="DG153" s="330"/>
      <c r="DH153" s="330"/>
      <c r="DI153" s="330"/>
      <c r="DJ153" s="330"/>
      <c r="DK153" s="330"/>
      <c r="DL153" s="330"/>
      <c r="DM153" s="330"/>
      <c r="DN153" s="330"/>
      <c r="DO153" s="330"/>
      <c r="DP153" s="330"/>
      <c r="DQ153" s="330"/>
      <c r="DR153" s="330"/>
      <c r="DS153" s="330"/>
      <c r="DT153" s="330"/>
      <c r="DU153" s="330"/>
      <c r="DV153" s="330"/>
      <c r="DW153" s="330"/>
      <c r="DX153" s="330"/>
      <c r="DY153" s="330"/>
      <c r="DZ153" s="330"/>
      <c r="EA153" s="330"/>
      <c r="EB153" s="330"/>
      <c r="EC153" s="330"/>
      <c r="ED153" s="330"/>
      <c r="EE153" s="330"/>
      <c r="EF153" s="330"/>
      <c r="EG153" s="330"/>
      <c r="EH153" s="330"/>
      <c r="EI153" s="330"/>
      <c r="EJ153" s="330"/>
      <c r="EK153" s="330"/>
      <c r="EL153" s="330"/>
      <c r="EM153" s="330"/>
      <c r="EN153" s="330"/>
      <c r="EO153" s="330"/>
      <c r="EP153" s="330"/>
      <c r="EQ153" s="330"/>
      <c r="ER153" s="330"/>
      <c r="ES153" s="330"/>
      <c r="ET153" s="330"/>
      <c r="EU153" s="330"/>
      <c r="EV153" s="330"/>
      <c r="EW153" s="330"/>
      <c r="EX153" s="330"/>
      <c r="EY153" s="1032">
        <f t="shared" si="17"/>
        <v>7.6999999999999999E-2</v>
      </c>
    </row>
    <row r="154" spans="1:166" s="1065" customFormat="1" ht="14.7" customHeight="1" x14ac:dyDescent="0.25">
      <c r="A154" s="421">
        <v>150</v>
      </c>
      <c r="B154" s="417" t="str">
        <f>'213-омлет с картофелем'!A9</f>
        <v>Омлет с картофелем</v>
      </c>
      <c r="C154" s="419">
        <f>'213-омлет с картофелем'!C28</f>
        <v>140</v>
      </c>
      <c r="D154" s="1211">
        <f>6.39/90*C154</f>
        <v>9.94</v>
      </c>
      <c r="E154" s="1211">
        <f>16.22/90*C154</f>
        <v>25.23</v>
      </c>
      <c r="F154" s="1211">
        <f>9.49/90*C154</f>
        <v>14.76</v>
      </c>
      <c r="G154" s="1212">
        <f>210/90*C154</f>
        <v>327</v>
      </c>
      <c r="H154" s="419">
        <f>'213-омлет с картофелем'!J7</f>
        <v>213</v>
      </c>
      <c r="I154" s="1234">
        <f>'213-омлет с картофелем'!F31</f>
        <v>23.53</v>
      </c>
      <c r="J154" s="330"/>
      <c r="K154" s="330"/>
      <c r="L154" s="330"/>
      <c r="M154" s="330"/>
      <c r="N154" s="330"/>
      <c r="O154" s="330"/>
      <c r="P154" s="330"/>
      <c r="Q154" s="330"/>
      <c r="R154" s="330"/>
      <c r="S154" s="330"/>
      <c r="T154" s="330"/>
      <c r="U154" s="330">
        <f>'213-омлет с картофелем'!C20</f>
        <v>2.5000000000000001E-2</v>
      </c>
      <c r="V154" s="330">
        <f>'213-омлет с картофелем'!C25</f>
        <v>5.0000000000000001E-3</v>
      </c>
      <c r="W154" s="330"/>
      <c r="X154" s="330"/>
      <c r="Y154" s="330"/>
      <c r="Z154" s="330"/>
      <c r="AA154" s="330"/>
      <c r="AB154" s="330"/>
      <c r="AC154" s="330"/>
      <c r="AD154" s="330"/>
      <c r="AE154" s="330">
        <f>'213-омлет с картофелем'!C19</f>
        <v>7.4700000000000003E-2</v>
      </c>
      <c r="AF154" s="330"/>
      <c r="AG154" s="330"/>
      <c r="AH154" s="330">
        <f>'213-омлет с картофелем'!C21</f>
        <v>0.12</v>
      </c>
      <c r="AI154" s="330"/>
      <c r="AJ154" s="330"/>
      <c r="AK154" s="330"/>
      <c r="AL154" s="330"/>
      <c r="AM154" s="330"/>
      <c r="AN154" s="330"/>
      <c r="AO154" s="330"/>
      <c r="AP154" s="330"/>
      <c r="AQ154" s="330"/>
      <c r="AR154" s="330"/>
      <c r="AS154" s="330"/>
      <c r="AT154" s="330"/>
      <c r="AU154" s="330"/>
      <c r="AV154" s="330"/>
      <c r="AW154" s="330"/>
      <c r="AX154" s="330"/>
      <c r="AY154" s="330"/>
      <c r="AZ154" s="330"/>
      <c r="BA154" s="330"/>
      <c r="BB154" s="330"/>
      <c r="BC154" s="330"/>
      <c r="BD154" s="330"/>
      <c r="BE154" s="330"/>
      <c r="BF154" s="330"/>
      <c r="BG154" s="330"/>
      <c r="BH154" s="330"/>
      <c r="BI154" s="330"/>
      <c r="BJ154" s="330"/>
      <c r="BK154" s="330"/>
      <c r="BL154" s="330"/>
      <c r="BM154" s="330"/>
      <c r="BN154" s="330"/>
      <c r="BO154" s="330"/>
      <c r="BP154" s="330"/>
      <c r="BQ154" s="330"/>
      <c r="BR154" s="330"/>
      <c r="BS154" s="330"/>
      <c r="BT154" s="330"/>
      <c r="BU154" s="330"/>
      <c r="BV154" s="330"/>
      <c r="BW154" s="330"/>
      <c r="BX154" s="330"/>
      <c r="BY154" s="330"/>
      <c r="BZ154" s="330"/>
      <c r="CA154" s="330"/>
      <c r="CB154" s="330"/>
      <c r="CC154" s="330"/>
      <c r="CD154" s="330"/>
      <c r="CE154" s="330"/>
      <c r="CF154" s="330">
        <f>'213-омлет с картофелем'!C22</f>
        <v>5.0000000000000001E-3</v>
      </c>
      <c r="CG154" s="330"/>
      <c r="CH154" s="330"/>
      <c r="CI154" s="330"/>
      <c r="CJ154" s="330"/>
      <c r="CK154" s="330"/>
      <c r="CL154" s="330"/>
      <c r="CM154" s="330"/>
      <c r="CN154" s="330"/>
      <c r="CO154" s="330"/>
      <c r="CP154" s="330"/>
      <c r="CQ154" s="330"/>
      <c r="CR154" s="330"/>
      <c r="CS154" s="330"/>
      <c r="CT154" s="330"/>
      <c r="CU154" s="330"/>
      <c r="CV154" s="330"/>
      <c r="CW154" s="330"/>
      <c r="CX154" s="330"/>
      <c r="CY154" s="330"/>
      <c r="CZ154" s="330"/>
      <c r="DA154" s="330"/>
      <c r="DB154" s="330"/>
      <c r="DC154" s="330">
        <f>'213-омлет с картофелем'!C23</f>
        <v>5.0000000000000001E-4</v>
      </c>
      <c r="DD154" s="330"/>
      <c r="DE154" s="330"/>
      <c r="DF154" s="330"/>
      <c r="DG154" s="330"/>
      <c r="DH154" s="330"/>
      <c r="DI154" s="330"/>
      <c r="DJ154" s="330"/>
      <c r="DK154" s="330"/>
      <c r="DL154" s="330"/>
      <c r="DM154" s="330"/>
      <c r="DN154" s="330"/>
      <c r="DO154" s="330"/>
      <c r="DP154" s="330"/>
      <c r="DQ154" s="330"/>
      <c r="DR154" s="330"/>
      <c r="DS154" s="330"/>
      <c r="DT154" s="330"/>
      <c r="DU154" s="330"/>
      <c r="DV154" s="330"/>
      <c r="DW154" s="330"/>
      <c r="DX154" s="330"/>
      <c r="DY154" s="330"/>
      <c r="DZ154" s="330"/>
      <c r="EA154" s="330"/>
      <c r="EB154" s="330"/>
      <c r="EC154" s="330"/>
      <c r="ED154" s="330"/>
      <c r="EE154" s="330"/>
      <c r="EF154" s="330"/>
      <c r="EG154" s="330"/>
      <c r="EH154" s="330"/>
      <c r="EI154" s="330"/>
      <c r="EJ154" s="330"/>
      <c r="EK154" s="330"/>
      <c r="EL154" s="330"/>
      <c r="EM154" s="330"/>
      <c r="EN154" s="330"/>
      <c r="EO154" s="330"/>
      <c r="EP154" s="330"/>
      <c r="EQ154" s="330"/>
      <c r="ER154" s="330"/>
      <c r="ES154" s="330"/>
      <c r="ET154" s="330"/>
      <c r="EU154" s="330"/>
      <c r="EV154" s="330"/>
      <c r="EW154" s="330"/>
      <c r="EX154" s="330"/>
      <c r="EY154" s="1032">
        <f t="shared" si="17"/>
        <v>0.23019999999999999</v>
      </c>
      <c r="EZ154" s="616"/>
      <c r="FA154" s="616"/>
      <c r="FB154" s="616"/>
      <c r="FC154" s="616"/>
      <c r="FD154" s="616"/>
      <c r="FE154" s="616"/>
      <c r="FF154" s="616"/>
      <c r="FG154" s="616"/>
      <c r="FH154" s="616"/>
      <c r="FI154" s="616"/>
      <c r="FJ154" s="616"/>
    </row>
    <row r="155" spans="1:166" ht="14.7" customHeight="1" x14ac:dyDescent="0.25">
      <c r="A155" s="421">
        <v>151</v>
      </c>
      <c r="B155" s="417" t="str">
        <f>'219-сырники'!A9</f>
        <v>Сырники из творога с молоком сгущенным</v>
      </c>
      <c r="C155" s="419">
        <f>'219-сырники'!C29</f>
        <v>70</v>
      </c>
      <c r="D155" s="1211">
        <f>10.84/70*C155</f>
        <v>10.84</v>
      </c>
      <c r="E155" s="1211">
        <f>8.97/70*C155</f>
        <v>8.9700000000000006</v>
      </c>
      <c r="F155" s="1211">
        <f>17.14/70*C155</f>
        <v>17.14</v>
      </c>
      <c r="G155" s="1212">
        <f>193/70*C155</f>
        <v>193</v>
      </c>
      <c r="H155" s="419">
        <f>'219-сырники'!J7</f>
        <v>219</v>
      </c>
      <c r="I155" s="1234">
        <f>'219-сырники'!F31</f>
        <v>23.81</v>
      </c>
      <c r="J155" s="330"/>
      <c r="K155" s="330"/>
      <c r="L155" s="330"/>
      <c r="M155" s="330"/>
      <c r="N155" s="330"/>
      <c r="O155" s="330"/>
      <c r="P155" s="330"/>
      <c r="Q155" s="330"/>
      <c r="R155" s="330"/>
      <c r="S155" s="330"/>
      <c r="T155" s="330"/>
      <c r="U155" s="330"/>
      <c r="V155" s="330"/>
      <c r="W155" s="330"/>
      <c r="X155" s="330">
        <f>'219-сырники'!C19</f>
        <v>5.0999999999999997E-2</v>
      </c>
      <c r="Y155" s="330"/>
      <c r="Z155" s="330">
        <f>'219-сырники'!C25</f>
        <v>0.02</v>
      </c>
      <c r="AA155" s="330"/>
      <c r="AB155" s="330"/>
      <c r="AC155" s="330"/>
      <c r="AD155" s="330"/>
      <c r="AE155" s="330">
        <f>'219-сырники'!C21</f>
        <v>2.3E-3</v>
      </c>
      <c r="AF155" s="330"/>
      <c r="AG155" s="330"/>
      <c r="AH155" s="330"/>
      <c r="AI155" s="330"/>
      <c r="AJ155" s="330"/>
      <c r="AK155" s="330"/>
      <c r="AL155" s="330"/>
      <c r="AM155" s="330"/>
      <c r="AN155" s="330"/>
      <c r="AO155" s="330"/>
      <c r="AP155" s="330"/>
      <c r="AQ155" s="330"/>
      <c r="AR155" s="330"/>
      <c r="AS155" s="330"/>
      <c r="AT155" s="330"/>
      <c r="AU155" s="330"/>
      <c r="AV155" s="330"/>
      <c r="AW155" s="330"/>
      <c r="AX155" s="330"/>
      <c r="AY155" s="330"/>
      <c r="AZ155" s="330"/>
      <c r="BA155" s="330"/>
      <c r="BB155" s="330"/>
      <c r="BC155" s="330"/>
      <c r="BD155" s="330"/>
      <c r="BE155" s="330"/>
      <c r="BF155" s="330"/>
      <c r="BG155" s="330"/>
      <c r="BH155" s="330"/>
      <c r="BI155" s="330"/>
      <c r="BJ155" s="330"/>
      <c r="BK155" s="330"/>
      <c r="BL155" s="330"/>
      <c r="BM155" s="330"/>
      <c r="BN155" s="330"/>
      <c r="BO155" s="330"/>
      <c r="BP155" s="330"/>
      <c r="BQ155" s="330"/>
      <c r="BR155" s="330"/>
      <c r="BS155" s="330">
        <f>'219-сырники'!C20</f>
        <v>7.0000000000000001E-3</v>
      </c>
      <c r="BT155" s="330"/>
      <c r="BU155" s="330"/>
      <c r="BV155" s="330"/>
      <c r="BW155" s="330"/>
      <c r="BX155" s="330"/>
      <c r="BY155" s="330"/>
      <c r="BZ155" s="330"/>
      <c r="CA155" s="330"/>
      <c r="CB155" s="330"/>
      <c r="CC155" s="330"/>
      <c r="CD155" s="330"/>
      <c r="CE155" s="330"/>
      <c r="CF155" s="330">
        <f>'219-сырники'!C23</f>
        <v>3.0000000000000001E-3</v>
      </c>
      <c r="CG155" s="330"/>
      <c r="CH155" s="330"/>
      <c r="CI155" s="330"/>
      <c r="CJ155" s="330"/>
      <c r="CK155" s="330"/>
      <c r="CL155" s="330"/>
      <c r="CM155" s="330"/>
      <c r="CN155" s="330"/>
      <c r="CO155" s="330"/>
      <c r="CP155" s="330"/>
      <c r="CQ155" s="330"/>
      <c r="CR155" s="330"/>
      <c r="CS155" s="330"/>
      <c r="CT155" s="330"/>
      <c r="CU155" s="330"/>
      <c r="CV155" s="330"/>
      <c r="CW155" s="330"/>
      <c r="CX155" s="330"/>
      <c r="CY155" s="330"/>
      <c r="CZ155" s="330"/>
      <c r="DA155" s="330"/>
      <c r="DB155" s="330"/>
      <c r="DC155" s="330"/>
      <c r="DD155" s="330"/>
      <c r="DE155" s="330"/>
      <c r="DF155" s="330"/>
      <c r="DG155" s="330"/>
      <c r="DH155" s="330"/>
      <c r="DI155" s="330"/>
      <c r="DJ155" s="330"/>
      <c r="DK155" s="330"/>
      <c r="DL155" s="330"/>
      <c r="DM155" s="330"/>
      <c r="DN155" s="330"/>
      <c r="DO155" s="330"/>
      <c r="DP155" s="330"/>
      <c r="DQ155" s="330"/>
      <c r="DR155" s="330"/>
      <c r="DS155" s="330"/>
      <c r="DT155" s="330"/>
      <c r="DU155" s="330"/>
      <c r="DV155" s="330"/>
      <c r="DW155" s="330"/>
      <c r="DX155" s="330"/>
      <c r="DY155" s="330"/>
      <c r="DZ155" s="330"/>
      <c r="EA155" s="330"/>
      <c r="EB155" s="330"/>
      <c r="EC155" s="330"/>
      <c r="ED155" s="330"/>
      <c r="EE155" s="330"/>
      <c r="EF155" s="330"/>
      <c r="EG155" s="330"/>
      <c r="EH155" s="330"/>
      <c r="EI155" s="330"/>
      <c r="EJ155" s="330"/>
      <c r="EK155" s="330"/>
      <c r="EL155" s="330"/>
      <c r="EM155" s="330"/>
      <c r="EN155" s="330"/>
      <c r="EO155" s="330"/>
      <c r="EP155" s="330"/>
      <c r="EQ155" s="330"/>
      <c r="ER155" s="330"/>
      <c r="ES155" s="330"/>
      <c r="ET155" s="330"/>
      <c r="EU155" s="330"/>
      <c r="EV155" s="330"/>
      <c r="EW155" s="330"/>
      <c r="EX155" s="330"/>
      <c r="EY155" s="1032">
        <f t="shared" si="17"/>
        <v>8.3299999999999999E-2</v>
      </c>
    </row>
    <row r="156" spans="1:166" s="407" customFormat="1" ht="14.7" customHeight="1" x14ac:dyDescent="0.25">
      <c r="A156" s="421">
        <v>152</v>
      </c>
      <c r="B156" s="417" t="str">
        <f>'222-пудинг'!A9</f>
        <v>Пудинг из творога (запеченный) со сгущенным молоком</v>
      </c>
      <c r="C156" s="419">
        <f>'222-пудинг'!C33</f>
        <v>70</v>
      </c>
      <c r="D156" s="1211">
        <f>9.06/70*C156</f>
        <v>9.06</v>
      </c>
      <c r="E156" s="1211">
        <f>7.09/70*C156</f>
        <v>7.09</v>
      </c>
      <c r="F156" s="1211">
        <f>23.21/70*C156</f>
        <v>23.21</v>
      </c>
      <c r="G156" s="1212">
        <f>193/70*C156</f>
        <v>193</v>
      </c>
      <c r="H156" s="419">
        <f>'222-пудинг'!J7</f>
        <v>222</v>
      </c>
      <c r="I156" s="483">
        <f>'222-пудинг'!F35</f>
        <v>23.51</v>
      </c>
      <c r="J156" s="330"/>
      <c r="K156" s="330"/>
      <c r="L156" s="330"/>
      <c r="M156" s="330"/>
      <c r="N156" s="330"/>
      <c r="O156" s="330"/>
      <c r="P156" s="330"/>
      <c r="Q156" s="330"/>
      <c r="R156" s="330"/>
      <c r="S156" s="330"/>
      <c r="T156" s="330"/>
      <c r="U156" s="330"/>
      <c r="V156" s="330">
        <f>'222-пудинг'!C24</f>
        <v>2E-3</v>
      </c>
      <c r="W156" s="330"/>
      <c r="X156" s="330">
        <f>'222-пудинг'!C19</f>
        <v>3.85E-2</v>
      </c>
      <c r="Y156" s="330">
        <f>'222-пудинг'!C27</f>
        <v>2E-3</v>
      </c>
      <c r="Z156" s="330">
        <f>'222-пудинг'!C29</f>
        <v>0.02</v>
      </c>
      <c r="AA156" s="330"/>
      <c r="AB156" s="330"/>
      <c r="AC156" s="330"/>
      <c r="AD156" s="330"/>
      <c r="AE156" s="330">
        <f>'222-пудинг'!C22</f>
        <v>2.3E-3</v>
      </c>
      <c r="AF156" s="330"/>
      <c r="AG156" s="330"/>
      <c r="AH156" s="330"/>
      <c r="AI156" s="330"/>
      <c r="AJ156" s="330"/>
      <c r="AK156" s="330"/>
      <c r="AL156" s="330"/>
      <c r="AM156" s="330"/>
      <c r="AN156" s="330"/>
      <c r="AO156" s="330"/>
      <c r="AP156" s="330"/>
      <c r="AQ156" s="330"/>
      <c r="AR156" s="330"/>
      <c r="AS156" s="330"/>
      <c r="AT156" s="330"/>
      <c r="AU156" s="330"/>
      <c r="AV156" s="330"/>
      <c r="AW156" s="330"/>
      <c r="AX156" s="330"/>
      <c r="AY156" s="330"/>
      <c r="AZ156" s="330"/>
      <c r="BA156" s="330"/>
      <c r="BB156" s="330"/>
      <c r="BC156" s="330"/>
      <c r="BD156" s="330"/>
      <c r="BE156" s="330"/>
      <c r="BF156" s="330"/>
      <c r="BG156" s="330"/>
      <c r="BH156" s="330"/>
      <c r="BI156" s="330"/>
      <c r="BJ156" s="330"/>
      <c r="BK156" s="330"/>
      <c r="BL156" s="330"/>
      <c r="BM156" s="330"/>
      <c r="BN156" s="330"/>
      <c r="BO156" s="330"/>
      <c r="BP156" s="330"/>
      <c r="BQ156" s="330"/>
      <c r="BR156" s="330"/>
      <c r="BS156" s="330"/>
      <c r="BT156" s="330"/>
      <c r="BU156" s="330">
        <f>'222-пудинг'!C20</f>
        <v>4.0000000000000001E-3</v>
      </c>
      <c r="BV156" s="330"/>
      <c r="BW156" s="330"/>
      <c r="BX156" s="330"/>
      <c r="BY156" s="330"/>
      <c r="BZ156" s="330"/>
      <c r="CA156" s="330"/>
      <c r="CB156" s="330"/>
      <c r="CC156" s="330"/>
      <c r="CD156" s="330"/>
      <c r="CE156" s="330"/>
      <c r="CF156" s="330"/>
      <c r="CG156" s="330"/>
      <c r="CH156" s="330"/>
      <c r="CI156" s="330">
        <f>'222-пудинг'!C25</f>
        <v>1.0000000000000001E-5</v>
      </c>
      <c r="CJ156" s="330"/>
      <c r="CK156" s="330"/>
      <c r="CL156" s="330"/>
      <c r="CM156" s="330">
        <f>'222-пудинг'!C23</f>
        <v>5.1000000000000004E-3</v>
      </c>
      <c r="CN156" s="330"/>
      <c r="CO156" s="330"/>
      <c r="CP156" s="330"/>
      <c r="CQ156" s="330"/>
      <c r="CR156" s="330"/>
      <c r="CS156" s="330"/>
      <c r="CT156" s="330"/>
      <c r="CU156" s="330"/>
      <c r="CV156" s="330"/>
      <c r="CW156" s="330"/>
      <c r="CX156" s="330"/>
      <c r="CY156" s="330"/>
      <c r="CZ156" s="330">
        <f>'222-пудинг'!C21</f>
        <v>4.0000000000000001E-3</v>
      </c>
      <c r="DA156" s="330"/>
      <c r="DB156" s="330"/>
      <c r="DC156" s="330"/>
      <c r="DD156" s="330">
        <f>'222-пудинг'!C26</f>
        <v>2E-3</v>
      </c>
      <c r="DE156" s="330"/>
      <c r="DF156" s="330"/>
      <c r="DG156" s="330"/>
      <c r="DH156" s="330"/>
      <c r="DI156" s="330"/>
      <c r="DJ156" s="330"/>
      <c r="DK156" s="330"/>
      <c r="DL156" s="330"/>
      <c r="DM156" s="330"/>
      <c r="DN156" s="330"/>
      <c r="DO156" s="330"/>
      <c r="DP156" s="330"/>
      <c r="DQ156" s="330"/>
      <c r="DR156" s="330"/>
      <c r="DS156" s="330"/>
      <c r="DT156" s="330"/>
      <c r="DU156" s="330"/>
      <c r="DV156" s="330"/>
      <c r="DW156" s="330"/>
      <c r="DX156" s="330"/>
      <c r="DY156" s="330"/>
      <c r="DZ156" s="330"/>
      <c r="EA156" s="330"/>
      <c r="EB156" s="330"/>
      <c r="EC156" s="330"/>
      <c r="ED156" s="330"/>
      <c r="EE156" s="330"/>
      <c r="EF156" s="330"/>
      <c r="EG156" s="330"/>
      <c r="EH156" s="330"/>
      <c r="EI156" s="330"/>
      <c r="EJ156" s="330"/>
      <c r="EK156" s="330"/>
      <c r="EL156" s="330"/>
      <c r="EM156" s="330"/>
      <c r="EN156" s="330"/>
      <c r="EO156" s="330"/>
      <c r="EP156" s="330"/>
      <c r="EQ156" s="330"/>
      <c r="ER156" s="330"/>
      <c r="ES156" s="330"/>
      <c r="ET156" s="330"/>
      <c r="EU156" s="330"/>
      <c r="EV156" s="330"/>
      <c r="EW156" s="330"/>
      <c r="EX156" s="330"/>
      <c r="EY156" s="1032">
        <f t="shared" si="17"/>
        <v>7.9909999999999995E-2</v>
      </c>
      <c r="EZ156" s="616"/>
      <c r="FA156" s="616"/>
      <c r="FB156" s="616"/>
      <c r="FC156" s="616"/>
      <c r="FD156" s="616"/>
      <c r="FE156" s="616"/>
      <c r="FF156" s="616"/>
      <c r="FG156" s="616"/>
      <c r="FH156" s="616"/>
      <c r="FI156" s="616"/>
      <c r="FJ156" s="616"/>
    </row>
    <row r="157" spans="1:166" s="892" customFormat="1" ht="14.7" customHeight="1" x14ac:dyDescent="0.25">
      <c r="A157" s="421">
        <v>153</v>
      </c>
      <c r="B157" s="417" t="str">
        <f>'222-пудинг (120)'!A9</f>
        <v>Пудинг из творога (запеченный) со сгущенным молоком</v>
      </c>
      <c r="C157" s="419">
        <f>'222-пудинг (120)'!C33</f>
        <v>150</v>
      </c>
      <c r="D157" s="1211">
        <f>9.06/70*C157</f>
        <v>19.41</v>
      </c>
      <c r="E157" s="1211">
        <f>7.09/70*C157</f>
        <v>15.19</v>
      </c>
      <c r="F157" s="1211">
        <f>23.21/70*C157</f>
        <v>49.74</v>
      </c>
      <c r="G157" s="1212">
        <f>193/70*C157</f>
        <v>414</v>
      </c>
      <c r="H157" s="904">
        <f>'222-пудинг (120)'!J7</f>
        <v>222</v>
      </c>
      <c r="I157" s="483">
        <f>'222-пудинг (120)'!F35</f>
        <v>52.12</v>
      </c>
      <c r="J157" s="330"/>
      <c r="K157" s="330"/>
      <c r="L157" s="330"/>
      <c r="M157" s="330"/>
      <c r="N157" s="330"/>
      <c r="O157" s="330"/>
      <c r="P157" s="330"/>
      <c r="Q157" s="330"/>
      <c r="R157" s="330"/>
      <c r="S157" s="330"/>
      <c r="T157" s="330"/>
      <c r="U157" s="330"/>
      <c r="V157" s="330">
        <f>'222-пудинг (120)'!C24</f>
        <v>5.0000000000000001E-3</v>
      </c>
      <c r="W157" s="330"/>
      <c r="X157" s="330">
        <f>'222-пудинг (120)'!C19</f>
        <v>9.2399999999999996E-2</v>
      </c>
      <c r="Y157" s="330">
        <f>'222-пудинг (120)'!C27</f>
        <v>5.0000000000000001E-3</v>
      </c>
      <c r="Z157" s="330">
        <f>'222-пудинг (120)'!C29</f>
        <v>0.03</v>
      </c>
      <c r="AA157" s="330"/>
      <c r="AB157" s="330"/>
      <c r="AC157" s="330"/>
      <c r="AD157" s="330"/>
      <c r="AE157" s="330">
        <f>'222-пудинг (120)'!C22</f>
        <v>6.0000000000000001E-3</v>
      </c>
      <c r="AF157" s="330"/>
      <c r="AG157" s="330"/>
      <c r="AH157" s="330"/>
      <c r="AI157" s="330"/>
      <c r="AJ157" s="330"/>
      <c r="AK157" s="330"/>
      <c r="AL157" s="330"/>
      <c r="AM157" s="330"/>
      <c r="AN157" s="330"/>
      <c r="AO157" s="330"/>
      <c r="AP157" s="330"/>
      <c r="AQ157" s="330"/>
      <c r="AR157" s="330"/>
      <c r="AS157" s="330"/>
      <c r="AT157" s="330"/>
      <c r="AU157" s="330"/>
      <c r="AV157" s="330"/>
      <c r="AW157" s="330"/>
      <c r="AX157" s="330"/>
      <c r="AY157" s="330"/>
      <c r="AZ157" s="330"/>
      <c r="BA157" s="330"/>
      <c r="BB157" s="330"/>
      <c r="BC157" s="330"/>
      <c r="BD157" s="330"/>
      <c r="BE157" s="330"/>
      <c r="BF157" s="330"/>
      <c r="BG157" s="330"/>
      <c r="BH157" s="330"/>
      <c r="BI157" s="330"/>
      <c r="BJ157" s="330"/>
      <c r="BK157" s="330"/>
      <c r="BL157" s="330"/>
      <c r="BM157" s="330"/>
      <c r="BN157" s="330"/>
      <c r="BO157" s="330"/>
      <c r="BP157" s="330"/>
      <c r="BQ157" s="330"/>
      <c r="BR157" s="330"/>
      <c r="BS157" s="330"/>
      <c r="BT157" s="330"/>
      <c r="BU157" s="330">
        <f>'222-пудинг (120)'!C20</f>
        <v>0.01</v>
      </c>
      <c r="BV157" s="330"/>
      <c r="BW157" s="330"/>
      <c r="BX157" s="330"/>
      <c r="BY157" s="330"/>
      <c r="BZ157" s="330"/>
      <c r="CA157" s="330"/>
      <c r="CB157" s="330"/>
      <c r="CC157" s="330"/>
      <c r="CD157" s="330"/>
      <c r="CE157" s="330"/>
      <c r="CF157" s="330"/>
      <c r="CG157" s="330"/>
      <c r="CH157" s="330"/>
      <c r="CI157" s="330">
        <f>'222-пудинг (120)'!C25</f>
        <v>2.0000000000000002E-5</v>
      </c>
      <c r="CJ157" s="330"/>
      <c r="CK157" s="330"/>
      <c r="CL157" s="330"/>
      <c r="CM157" s="330">
        <f>'222-пудинг (120)'!C23</f>
        <v>1.2E-2</v>
      </c>
      <c r="CN157" s="330"/>
      <c r="CO157" s="330"/>
      <c r="CP157" s="330"/>
      <c r="CQ157" s="330"/>
      <c r="CR157" s="330"/>
      <c r="CS157" s="330"/>
      <c r="CT157" s="330"/>
      <c r="CU157" s="330"/>
      <c r="CV157" s="330"/>
      <c r="CW157" s="330"/>
      <c r="CX157" s="330"/>
      <c r="CY157" s="330"/>
      <c r="CZ157" s="330">
        <f>'222-пудинг (120)'!C21</f>
        <v>0.01</v>
      </c>
      <c r="DA157" s="330"/>
      <c r="DB157" s="330"/>
      <c r="DC157" s="330"/>
      <c r="DD157" s="330">
        <f>'222-пудинг (120)'!C26</f>
        <v>5.0000000000000001E-3</v>
      </c>
      <c r="DE157" s="330"/>
      <c r="DF157" s="330"/>
      <c r="DG157" s="330"/>
      <c r="DH157" s="330"/>
      <c r="DI157" s="330"/>
      <c r="DJ157" s="330"/>
      <c r="DK157" s="330"/>
      <c r="DL157" s="330"/>
      <c r="DM157" s="330"/>
      <c r="DN157" s="330"/>
      <c r="DO157" s="330"/>
      <c r="DP157" s="330"/>
      <c r="DQ157" s="330"/>
      <c r="DR157" s="330"/>
      <c r="DS157" s="330"/>
      <c r="DT157" s="330"/>
      <c r="DU157" s="330"/>
      <c r="DV157" s="330"/>
      <c r="DW157" s="330"/>
      <c r="DX157" s="330"/>
      <c r="DY157" s="330"/>
      <c r="DZ157" s="330"/>
      <c r="EA157" s="330"/>
      <c r="EB157" s="330"/>
      <c r="EC157" s="330"/>
      <c r="ED157" s="330"/>
      <c r="EE157" s="330"/>
      <c r="EF157" s="330"/>
      <c r="EG157" s="330"/>
      <c r="EH157" s="330"/>
      <c r="EI157" s="330"/>
      <c r="EJ157" s="330"/>
      <c r="EK157" s="330"/>
      <c r="EL157" s="330"/>
      <c r="EM157" s="330"/>
      <c r="EN157" s="330"/>
      <c r="EO157" s="330"/>
      <c r="EP157" s="330"/>
      <c r="EQ157" s="330"/>
      <c r="ER157" s="330"/>
      <c r="ES157" s="330"/>
      <c r="ET157" s="330"/>
      <c r="EU157" s="330"/>
      <c r="EV157" s="330"/>
      <c r="EW157" s="330"/>
      <c r="EX157" s="330"/>
      <c r="EY157" s="1032">
        <f t="shared" si="17"/>
        <v>0.17541999999999999</v>
      </c>
      <c r="EZ157" s="616"/>
      <c r="FA157" s="616"/>
      <c r="FB157" s="616"/>
      <c r="FC157" s="616"/>
      <c r="FD157" s="616"/>
      <c r="FE157" s="616"/>
      <c r="FF157" s="616"/>
      <c r="FG157" s="616"/>
      <c r="FH157" s="616"/>
      <c r="FI157" s="616"/>
      <c r="FJ157" s="616"/>
    </row>
    <row r="158" spans="1:166" s="407" customFormat="1" ht="14.7" customHeight="1" x14ac:dyDescent="0.25">
      <c r="A158" s="421">
        <v>154</v>
      </c>
      <c r="B158" s="417" t="str">
        <f>'223-запеканка творог'!A9</f>
        <v>Запеканка из творога со сгущенным молоком</v>
      </c>
      <c r="C158" s="419">
        <f>'223-запеканка творог'!C31</f>
        <v>70</v>
      </c>
      <c r="D158" s="1211">
        <f>10.23/70*C158</f>
        <v>10.23</v>
      </c>
      <c r="E158" s="1211">
        <f>7.74/70*C158</f>
        <v>7.74</v>
      </c>
      <c r="F158" s="1211">
        <f>19.6/70*C158</f>
        <v>19.600000000000001</v>
      </c>
      <c r="G158" s="1212">
        <f>189/70*C158</f>
        <v>189</v>
      </c>
      <c r="H158" s="419">
        <f>'223-запеканка творог'!J7</f>
        <v>223</v>
      </c>
      <c r="I158" s="483">
        <f>'223-запеканка творог'!F33</f>
        <v>26.87</v>
      </c>
      <c r="J158" s="330"/>
      <c r="K158" s="330"/>
      <c r="L158" s="330"/>
      <c r="M158" s="330"/>
      <c r="N158" s="330"/>
      <c r="O158" s="330"/>
      <c r="P158" s="330"/>
      <c r="Q158" s="330"/>
      <c r="R158" s="330"/>
      <c r="S158" s="330"/>
      <c r="T158" s="330"/>
      <c r="U158" s="330"/>
      <c r="V158" s="330">
        <f>'223-запеканка творог'!C23</f>
        <v>2E-3</v>
      </c>
      <c r="W158" s="330"/>
      <c r="X158" s="330">
        <f>'223-запеканка творог'!C19</f>
        <v>4.7E-2</v>
      </c>
      <c r="Y158" s="330">
        <f>'223-запеканка творог'!C25</f>
        <v>2E-3</v>
      </c>
      <c r="Z158" s="333">
        <f>'223-запеканка творог'!C27</f>
        <v>0.03</v>
      </c>
      <c r="AA158" s="330"/>
      <c r="AB158" s="330"/>
      <c r="AC158" s="330"/>
      <c r="AD158" s="330"/>
      <c r="AE158" s="330">
        <f>'223-запеканка творог'!C22</f>
        <v>2.3E-3</v>
      </c>
      <c r="AF158" s="330"/>
      <c r="AG158" s="330"/>
      <c r="AH158" s="330"/>
      <c r="AI158" s="330"/>
      <c r="AJ158" s="330"/>
      <c r="AK158" s="330"/>
      <c r="AL158" s="330"/>
      <c r="AM158" s="330"/>
      <c r="AN158" s="330"/>
      <c r="AO158" s="330"/>
      <c r="AP158" s="330"/>
      <c r="AQ158" s="330"/>
      <c r="AR158" s="330"/>
      <c r="AS158" s="330"/>
      <c r="AT158" s="330"/>
      <c r="AU158" s="330"/>
      <c r="AV158" s="330"/>
      <c r="AW158" s="330"/>
      <c r="AX158" s="330"/>
      <c r="AY158" s="330"/>
      <c r="AZ158" s="330"/>
      <c r="BA158" s="330"/>
      <c r="BB158" s="330"/>
      <c r="BC158" s="330"/>
      <c r="BD158" s="330"/>
      <c r="BE158" s="330"/>
      <c r="BF158" s="330"/>
      <c r="BG158" s="330"/>
      <c r="BH158" s="330"/>
      <c r="BI158" s="330"/>
      <c r="BJ158" s="330"/>
      <c r="BK158" s="330"/>
      <c r="BL158" s="330"/>
      <c r="BM158" s="330"/>
      <c r="BN158" s="330"/>
      <c r="BO158" s="330"/>
      <c r="BP158" s="330"/>
      <c r="BQ158" s="330"/>
      <c r="BR158" s="330"/>
      <c r="BS158" s="330">
        <f>'223-запеканка творог'!C20</f>
        <v>4.0000000000000001E-3</v>
      </c>
      <c r="BT158" s="330"/>
      <c r="BU158" s="330"/>
      <c r="BV158" s="330"/>
      <c r="BW158" s="330"/>
      <c r="BX158" s="330"/>
      <c r="BY158" s="330"/>
      <c r="BZ158" s="330"/>
      <c r="CA158" s="330"/>
      <c r="CB158" s="330"/>
      <c r="CC158" s="330"/>
      <c r="CD158" s="330"/>
      <c r="CE158" s="330"/>
      <c r="CF158" s="330"/>
      <c r="CG158" s="330"/>
      <c r="CH158" s="330"/>
      <c r="CI158" s="330"/>
      <c r="CJ158" s="330"/>
      <c r="CK158" s="330"/>
      <c r="CL158" s="330"/>
      <c r="CM158" s="330"/>
      <c r="CN158" s="330"/>
      <c r="CO158" s="330"/>
      <c r="CP158" s="330"/>
      <c r="CQ158" s="333"/>
      <c r="CR158" s="330"/>
      <c r="CS158" s="330"/>
      <c r="CT158" s="330"/>
      <c r="CU158" s="330"/>
      <c r="CV158" s="330"/>
      <c r="CW158" s="330"/>
      <c r="CX158" s="330"/>
      <c r="CY158" s="330"/>
      <c r="CZ158" s="330">
        <f>'223-запеканка творог'!C21</f>
        <v>4.0000000000000001E-3</v>
      </c>
      <c r="DA158" s="330"/>
      <c r="DB158" s="330"/>
      <c r="DC158" s="330"/>
      <c r="DD158" s="330">
        <f>'223-запеканка творог'!C24</f>
        <v>2E-3</v>
      </c>
      <c r="DE158" s="330"/>
      <c r="DF158" s="330"/>
      <c r="DG158" s="330"/>
      <c r="DH158" s="330"/>
      <c r="DI158" s="330"/>
      <c r="DJ158" s="333"/>
      <c r="DK158" s="330"/>
      <c r="DL158" s="330"/>
      <c r="DM158" s="330"/>
      <c r="DN158" s="330"/>
      <c r="DO158" s="330"/>
      <c r="DP158" s="330"/>
      <c r="DQ158" s="330"/>
      <c r="DR158" s="330"/>
      <c r="DS158" s="330"/>
      <c r="DT158" s="330"/>
      <c r="DU158" s="330"/>
      <c r="DV158" s="330"/>
      <c r="DW158" s="330"/>
      <c r="DX158" s="330"/>
      <c r="DY158" s="330"/>
      <c r="DZ158" s="330"/>
      <c r="EA158" s="330"/>
      <c r="EB158" s="330"/>
      <c r="EC158" s="330"/>
      <c r="ED158" s="330"/>
      <c r="EE158" s="330"/>
      <c r="EF158" s="330"/>
      <c r="EG158" s="330"/>
      <c r="EH158" s="330"/>
      <c r="EI158" s="330"/>
      <c r="EJ158" s="330"/>
      <c r="EK158" s="330"/>
      <c r="EL158" s="330"/>
      <c r="EM158" s="330"/>
      <c r="EN158" s="330"/>
      <c r="EO158" s="330"/>
      <c r="EP158" s="330"/>
      <c r="EQ158" s="330"/>
      <c r="ER158" s="330"/>
      <c r="ES158" s="330"/>
      <c r="ET158" s="330"/>
      <c r="EU158" s="330"/>
      <c r="EV158" s="330"/>
      <c r="EW158" s="330"/>
      <c r="EX158" s="330"/>
      <c r="EY158" s="1032">
        <f t="shared" si="17"/>
        <v>9.3299999999999994E-2</v>
      </c>
      <c r="EZ158" s="616"/>
      <c r="FA158" s="616"/>
      <c r="FB158" s="616"/>
      <c r="FC158" s="616"/>
      <c r="FD158" s="616"/>
      <c r="FE158" s="616"/>
      <c r="FF158" s="616"/>
      <c r="FG158" s="616"/>
      <c r="FH158" s="616"/>
      <c r="FI158" s="616"/>
      <c r="FJ158" s="616"/>
    </row>
    <row r="159" spans="1:166" s="1170" customFormat="1" ht="14.7" customHeight="1" x14ac:dyDescent="0.25">
      <c r="A159" s="421">
        <v>155</v>
      </c>
      <c r="B159" s="417" t="str">
        <f>'224-запеканка творог морковь'!A9</f>
        <v>Запеканка из творога с морковью и молоком сгущенным</v>
      </c>
      <c r="C159" s="419">
        <f>'224-запеканка творог морковь'!C33</f>
        <v>150</v>
      </c>
      <c r="D159" s="1211">
        <f>7.29/70*C159</f>
        <v>15.62</v>
      </c>
      <c r="E159" s="1211">
        <f>6.91/70*C159</f>
        <v>14.81</v>
      </c>
      <c r="F159" s="1211">
        <f>22.9/70*C159</f>
        <v>49.07</v>
      </c>
      <c r="G159" s="1212">
        <f>183/70*C159</f>
        <v>392</v>
      </c>
      <c r="H159" s="419">
        <f>'224-запеканка творог морковь'!J7</f>
        <v>224</v>
      </c>
      <c r="I159" s="1234">
        <f>'224-запеканка творог морковь'!F35</f>
        <v>46.05</v>
      </c>
      <c r="J159" s="330"/>
      <c r="K159" s="330"/>
      <c r="L159" s="330"/>
      <c r="M159" s="330"/>
      <c r="N159" s="330"/>
      <c r="O159" s="330"/>
      <c r="P159" s="330"/>
      <c r="Q159" s="330"/>
      <c r="R159" s="330"/>
      <c r="S159" s="330"/>
      <c r="T159" s="330"/>
      <c r="U159" s="330">
        <f>'224-запеканка творог морковь'!C24</f>
        <v>2.1600000000000001E-2</v>
      </c>
      <c r="V159" s="330"/>
      <c r="W159" s="330"/>
      <c r="X159" s="330">
        <f>'224-запеканка творог морковь'!C19</f>
        <v>6.7199999999999996E-2</v>
      </c>
      <c r="Y159" s="330">
        <f>'224-запеканка творог морковь'!C27</f>
        <v>4.0000000000000001E-3</v>
      </c>
      <c r="Z159" s="333">
        <f>'224-запеканка творог морковь'!C29</f>
        <v>0.03</v>
      </c>
      <c r="AA159" s="330"/>
      <c r="AB159" s="330"/>
      <c r="AC159" s="330"/>
      <c r="AD159" s="330"/>
      <c r="AE159" s="330">
        <f>'224-запеканка творог морковь'!C23</f>
        <v>5.5199999999999999E-2</v>
      </c>
      <c r="AF159" s="330"/>
      <c r="AG159" s="330"/>
      <c r="AH159" s="330"/>
      <c r="AI159" s="330"/>
      <c r="AJ159" s="330"/>
      <c r="AK159" s="330"/>
      <c r="AL159" s="330"/>
      <c r="AM159" s="330"/>
      <c r="AN159" s="330"/>
      <c r="AO159" s="330"/>
      <c r="AP159" s="330"/>
      <c r="AQ159" s="330">
        <f>'224-запеканка творог морковь'!C22</f>
        <v>2.8799999999999999E-2</v>
      </c>
      <c r="AR159" s="330"/>
      <c r="AS159" s="330"/>
      <c r="AT159" s="330"/>
      <c r="AU159" s="330"/>
      <c r="AV159" s="330"/>
      <c r="AW159" s="330"/>
      <c r="AX159" s="330"/>
      <c r="AY159" s="330"/>
      <c r="AZ159" s="330"/>
      <c r="BA159" s="330"/>
      <c r="BB159" s="330"/>
      <c r="BC159" s="330"/>
      <c r="BD159" s="330"/>
      <c r="BE159" s="330"/>
      <c r="BF159" s="330"/>
      <c r="BG159" s="330"/>
      <c r="BH159" s="330"/>
      <c r="BI159" s="330"/>
      <c r="BJ159" s="330"/>
      <c r="BK159" s="330"/>
      <c r="BL159" s="330"/>
      <c r="BM159" s="330"/>
      <c r="BN159" s="330"/>
      <c r="BO159" s="330"/>
      <c r="BP159" s="330"/>
      <c r="BQ159" s="330"/>
      <c r="BR159" s="330"/>
      <c r="BS159" s="330"/>
      <c r="BT159" s="330"/>
      <c r="BU159" s="330">
        <f>'224-запеканка творог морковь'!C20</f>
        <v>7.1999999999999998E-3</v>
      </c>
      <c r="BV159" s="330"/>
      <c r="BW159" s="330"/>
      <c r="BX159" s="330"/>
      <c r="BY159" s="330"/>
      <c r="BZ159" s="330"/>
      <c r="CA159" s="330"/>
      <c r="CB159" s="330"/>
      <c r="CC159" s="330"/>
      <c r="CD159" s="330"/>
      <c r="CE159" s="330"/>
      <c r="CF159" s="330">
        <f>'224-запеканка творог морковь'!C25</f>
        <v>4.0000000000000001E-3</v>
      </c>
      <c r="CG159" s="330"/>
      <c r="CH159" s="330"/>
      <c r="CI159" s="330"/>
      <c r="CJ159" s="330"/>
      <c r="CK159" s="330"/>
      <c r="CL159" s="330"/>
      <c r="CM159" s="330"/>
      <c r="CN159" s="330"/>
      <c r="CO159" s="330"/>
      <c r="CP159" s="330"/>
      <c r="CQ159" s="333"/>
      <c r="CR159" s="330"/>
      <c r="CS159" s="330"/>
      <c r="CT159" s="330"/>
      <c r="CU159" s="330"/>
      <c r="CV159" s="330"/>
      <c r="CW159" s="330"/>
      <c r="CX159" s="330"/>
      <c r="CY159" s="330"/>
      <c r="CZ159" s="330">
        <f>'224-запеканка творог морковь'!C21</f>
        <v>1.6799999999999999E-2</v>
      </c>
      <c r="DA159" s="330"/>
      <c r="DB159" s="330"/>
      <c r="DC159" s="330"/>
      <c r="DD159" s="330">
        <f>'224-запеканка творог морковь'!C26</f>
        <v>4.0000000000000001E-3</v>
      </c>
      <c r="DE159" s="330"/>
      <c r="DF159" s="330"/>
      <c r="DG159" s="330"/>
      <c r="DH159" s="330"/>
      <c r="DI159" s="330"/>
      <c r="DJ159" s="333"/>
      <c r="DK159" s="330"/>
      <c r="DL159" s="330"/>
      <c r="DM159" s="330"/>
      <c r="DN159" s="330"/>
      <c r="DO159" s="330"/>
      <c r="DP159" s="330"/>
      <c r="DQ159" s="330"/>
      <c r="DR159" s="330"/>
      <c r="DS159" s="330"/>
      <c r="DT159" s="330"/>
      <c r="DU159" s="330"/>
      <c r="DV159" s="330"/>
      <c r="DW159" s="330"/>
      <c r="DX159" s="330"/>
      <c r="DY159" s="330"/>
      <c r="DZ159" s="330"/>
      <c r="EA159" s="330"/>
      <c r="EB159" s="330"/>
      <c r="EC159" s="330"/>
      <c r="ED159" s="330"/>
      <c r="EE159" s="330"/>
      <c r="EF159" s="330"/>
      <c r="EG159" s="330"/>
      <c r="EH159" s="330"/>
      <c r="EI159" s="330"/>
      <c r="EJ159" s="330"/>
      <c r="EK159" s="330"/>
      <c r="EL159" s="330"/>
      <c r="EM159" s="330"/>
      <c r="EN159" s="330"/>
      <c r="EO159" s="330"/>
      <c r="EP159" s="330"/>
      <c r="EQ159" s="330"/>
      <c r="ER159" s="330"/>
      <c r="ES159" s="330"/>
      <c r="ET159" s="330"/>
      <c r="EU159" s="330"/>
      <c r="EV159" s="330"/>
      <c r="EW159" s="330"/>
      <c r="EX159" s="330"/>
      <c r="EY159" s="1032">
        <f t="shared" si="17"/>
        <v>0.23880000000000001</v>
      </c>
      <c r="EZ159" s="616"/>
      <c r="FA159" s="616"/>
      <c r="FB159" s="616"/>
      <c r="FC159" s="616"/>
      <c r="FD159" s="616"/>
      <c r="FE159" s="616"/>
      <c r="FF159" s="616"/>
      <c r="FG159" s="616"/>
      <c r="FH159" s="616"/>
      <c r="FI159" s="616"/>
      <c r="FJ159" s="616"/>
    </row>
    <row r="160" spans="1:166" ht="14.7" customHeight="1" x14ac:dyDescent="0.25">
      <c r="A160" s="421">
        <v>156</v>
      </c>
      <c r="B160" s="417" t="str">
        <f>'225-оладьи из творога'!A9</f>
        <v>Оладьи из творога с молоком сгущенным</v>
      </c>
      <c r="C160" s="419">
        <f>'225-оладьи из творога'!C31</f>
        <v>70</v>
      </c>
      <c r="D160" s="1211">
        <f>7.33/70*C160</f>
        <v>7.33</v>
      </c>
      <c r="E160" s="1211">
        <f>7.42/70*C160</f>
        <v>7.42</v>
      </c>
      <c r="F160" s="1211">
        <f>20.06/70*C160</f>
        <v>20.059999999999999</v>
      </c>
      <c r="G160" s="1212">
        <f>176/70*C160</f>
        <v>176</v>
      </c>
      <c r="H160" s="419">
        <f>'225-оладьи из творога'!J7</f>
        <v>225</v>
      </c>
      <c r="I160" s="1234">
        <f>'225-оладьи из творога'!F33</f>
        <v>19.52</v>
      </c>
      <c r="J160" s="330"/>
      <c r="K160" s="330"/>
      <c r="L160" s="330"/>
      <c r="M160" s="330"/>
      <c r="N160" s="330"/>
      <c r="O160" s="330"/>
      <c r="P160" s="330"/>
      <c r="Q160" s="330"/>
      <c r="R160" s="330"/>
      <c r="S160" s="330"/>
      <c r="T160" s="330"/>
      <c r="U160" s="330">
        <f>'225-оладьи из творога'!C24</f>
        <v>0.01</v>
      </c>
      <c r="V160" s="330"/>
      <c r="W160" s="330"/>
      <c r="X160" s="330">
        <f>'225-оладьи из творога'!C19</f>
        <v>2.5499999999999998E-2</v>
      </c>
      <c r="Y160" s="330"/>
      <c r="Z160" s="330">
        <f>'225-оладьи из творога'!C27</f>
        <v>0.02</v>
      </c>
      <c r="AA160" s="330"/>
      <c r="AB160" s="330"/>
      <c r="AC160" s="330"/>
      <c r="AD160" s="330"/>
      <c r="AE160" s="330">
        <f>'225-оладьи из творога'!C22</f>
        <v>4.5999999999999999E-3</v>
      </c>
      <c r="AF160" s="330"/>
      <c r="AG160" s="330"/>
      <c r="AH160" s="330"/>
      <c r="AI160" s="330"/>
      <c r="AJ160" s="330"/>
      <c r="AK160" s="330"/>
      <c r="AL160" s="330"/>
      <c r="AM160" s="330"/>
      <c r="AN160" s="330"/>
      <c r="AO160" s="330"/>
      <c r="AP160" s="330"/>
      <c r="AQ160" s="330"/>
      <c r="AR160" s="330"/>
      <c r="AS160" s="330"/>
      <c r="AT160" s="330"/>
      <c r="AU160" s="330"/>
      <c r="AV160" s="330"/>
      <c r="AW160" s="330"/>
      <c r="AX160" s="330"/>
      <c r="AY160" s="330"/>
      <c r="AZ160" s="330"/>
      <c r="BA160" s="330"/>
      <c r="BB160" s="330"/>
      <c r="BC160" s="330"/>
      <c r="BD160" s="330"/>
      <c r="BE160" s="330"/>
      <c r="BF160" s="330"/>
      <c r="BG160" s="330"/>
      <c r="BH160" s="330"/>
      <c r="BI160" s="330"/>
      <c r="BJ160" s="330"/>
      <c r="BK160" s="330"/>
      <c r="BL160" s="330"/>
      <c r="BM160" s="330"/>
      <c r="BN160" s="330"/>
      <c r="BO160" s="330"/>
      <c r="BP160" s="330"/>
      <c r="BQ160" s="330"/>
      <c r="BR160" s="330"/>
      <c r="BS160" s="330">
        <f>'225-оладьи из творога'!C20</f>
        <v>8.9999999999999993E-3</v>
      </c>
      <c r="BT160" s="330"/>
      <c r="BU160" s="330"/>
      <c r="BV160" s="330"/>
      <c r="BW160" s="330"/>
      <c r="BX160" s="330"/>
      <c r="BY160" s="330"/>
      <c r="BZ160" s="330"/>
      <c r="CA160" s="330"/>
      <c r="CB160" s="330"/>
      <c r="CC160" s="330"/>
      <c r="CD160" s="330"/>
      <c r="CE160" s="330"/>
      <c r="CF160" s="330">
        <f>'225-оладьи из творога'!C25</f>
        <v>0.03</v>
      </c>
      <c r="CG160" s="330"/>
      <c r="CH160" s="330"/>
      <c r="CI160" s="330"/>
      <c r="CJ160" s="330"/>
      <c r="CK160" s="330">
        <f>'225-оладьи из творога'!C23</f>
        <v>5.0000000000000001E-4</v>
      </c>
      <c r="CL160" s="330"/>
      <c r="CM160" s="330"/>
      <c r="CN160" s="330"/>
      <c r="CO160" s="330"/>
      <c r="CP160" s="330"/>
      <c r="CQ160" s="330"/>
      <c r="CR160" s="330"/>
      <c r="CS160" s="330"/>
      <c r="CT160" s="330"/>
      <c r="CU160" s="330"/>
      <c r="CV160" s="330"/>
      <c r="CW160" s="330"/>
      <c r="CX160" s="330"/>
      <c r="CY160" s="330"/>
      <c r="CZ160" s="330">
        <f>'225-оладьи из творога'!C21</f>
        <v>2E-3</v>
      </c>
      <c r="DA160" s="330"/>
      <c r="DB160" s="330"/>
      <c r="DC160" s="330"/>
      <c r="DD160" s="330"/>
      <c r="DE160" s="330"/>
      <c r="DF160" s="330"/>
      <c r="DG160" s="330"/>
      <c r="DH160" s="330"/>
      <c r="DI160" s="330"/>
      <c r="DJ160" s="330"/>
      <c r="DK160" s="330"/>
      <c r="DL160" s="330"/>
      <c r="DM160" s="330"/>
      <c r="DN160" s="330"/>
      <c r="DO160" s="330"/>
      <c r="DP160" s="330"/>
      <c r="DQ160" s="330"/>
      <c r="DR160" s="330"/>
      <c r="DS160" s="330"/>
      <c r="DT160" s="330"/>
      <c r="DU160" s="330"/>
      <c r="DV160" s="330"/>
      <c r="DW160" s="330"/>
      <c r="DX160" s="330"/>
      <c r="DY160" s="330"/>
      <c r="DZ160" s="330"/>
      <c r="EA160" s="330"/>
      <c r="EB160" s="330"/>
      <c r="EC160" s="330"/>
      <c r="ED160" s="330"/>
      <c r="EE160" s="330"/>
      <c r="EF160" s="330"/>
      <c r="EG160" s="330"/>
      <c r="EH160" s="330"/>
      <c r="EI160" s="330"/>
      <c r="EJ160" s="330"/>
      <c r="EK160" s="330"/>
      <c r="EL160" s="330"/>
      <c r="EM160" s="330"/>
      <c r="EN160" s="330"/>
      <c r="EO160" s="330"/>
      <c r="EP160" s="330"/>
      <c r="EQ160" s="330"/>
      <c r="ER160" s="330"/>
      <c r="ES160" s="330"/>
      <c r="ET160" s="330"/>
      <c r="EU160" s="330"/>
      <c r="EV160" s="330"/>
      <c r="EW160" s="330"/>
      <c r="EX160" s="330"/>
      <c r="EY160" s="1032">
        <f t="shared" si="17"/>
        <v>0.1016</v>
      </c>
    </row>
    <row r="161" spans="1:166" ht="14.7" customHeight="1" x14ac:dyDescent="0.25">
      <c r="A161" s="421">
        <v>157</v>
      </c>
      <c r="B161" s="417" t="str">
        <f>'227-рыба припущ.'!A9</f>
        <v>Рыба припущенная (минтай) с маслом</v>
      </c>
      <c r="C161" s="419">
        <f>'227-рыба припущ.'!C30</f>
        <v>55</v>
      </c>
      <c r="D161" s="1211">
        <f>8.56/55*C161</f>
        <v>8.56</v>
      </c>
      <c r="E161" s="1211">
        <f>4.11/55*C161</f>
        <v>4.1100000000000003</v>
      </c>
      <c r="F161" s="1211">
        <f>0.46/55*C161</f>
        <v>0.46</v>
      </c>
      <c r="G161" s="1212">
        <f>73/55*C161</f>
        <v>73</v>
      </c>
      <c r="H161" s="419">
        <f>'227-рыба припущ.'!J7</f>
        <v>227</v>
      </c>
      <c r="I161" s="1234">
        <f>'227-рыба припущ.'!F32</f>
        <v>26.55</v>
      </c>
      <c r="J161" s="330"/>
      <c r="K161" s="330"/>
      <c r="L161" s="330"/>
      <c r="M161" s="330"/>
      <c r="N161" s="330"/>
      <c r="O161" s="330"/>
      <c r="P161" s="330"/>
      <c r="Q161" s="330">
        <f>'227-рыба припущ.'!C19</f>
        <v>0.123</v>
      </c>
      <c r="R161" s="330"/>
      <c r="S161" s="330"/>
      <c r="T161" s="330"/>
      <c r="U161" s="330"/>
      <c r="V161" s="330">
        <f>'227-рыба припущ.'!C25</f>
        <v>5.0000000000000001E-3</v>
      </c>
      <c r="W161" s="330"/>
      <c r="X161" s="330"/>
      <c r="Y161" s="330"/>
      <c r="Z161" s="330"/>
      <c r="AA161" s="330"/>
      <c r="AB161" s="330"/>
      <c r="AC161" s="330"/>
      <c r="AD161" s="330"/>
      <c r="AE161" s="330"/>
      <c r="AF161" s="330"/>
      <c r="AG161" s="330"/>
      <c r="AH161" s="330"/>
      <c r="AI161" s="330"/>
      <c r="AJ161" s="330"/>
      <c r="AK161" s="330">
        <f>'227-рыба припущ.'!C20</f>
        <v>3.0000000000000001E-3</v>
      </c>
      <c r="AL161" s="330"/>
      <c r="AM161" s="330"/>
      <c r="AN161" s="330"/>
      <c r="AO161" s="330"/>
      <c r="AP161" s="330"/>
      <c r="AQ161" s="330"/>
      <c r="AR161" s="330"/>
      <c r="AS161" s="330"/>
      <c r="AT161" s="330">
        <f>'227-рыба припущ.'!C21</f>
        <v>3.0000000000000001E-3</v>
      </c>
      <c r="AU161" s="330"/>
      <c r="AV161" s="330"/>
      <c r="AW161" s="330"/>
      <c r="AX161" s="330"/>
      <c r="AY161" s="330"/>
      <c r="AZ161" s="330"/>
      <c r="BA161" s="330"/>
      <c r="BB161" s="330"/>
      <c r="BC161" s="330"/>
      <c r="BD161" s="330"/>
      <c r="BE161" s="330"/>
      <c r="BF161" s="330"/>
      <c r="BG161" s="330"/>
      <c r="BH161" s="330"/>
      <c r="BI161" s="330"/>
      <c r="BJ161" s="330"/>
      <c r="BK161" s="330"/>
      <c r="BL161" s="330"/>
      <c r="BM161" s="330"/>
      <c r="BN161" s="330"/>
      <c r="BO161" s="330"/>
      <c r="BP161" s="330"/>
      <c r="BQ161" s="330"/>
      <c r="BR161" s="330"/>
      <c r="BS161" s="330"/>
      <c r="BT161" s="330"/>
      <c r="BU161" s="330"/>
      <c r="BV161" s="330"/>
      <c r="BW161" s="330"/>
      <c r="BX161" s="330"/>
      <c r="BY161" s="330"/>
      <c r="BZ161" s="330"/>
      <c r="CA161" s="330"/>
      <c r="CB161" s="330"/>
      <c r="CC161" s="330"/>
      <c r="CD161" s="330"/>
      <c r="CE161" s="330"/>
      <c r="CF161" s="330"/>
      <c r="CG161" s="330"/>
      <c r="CH161" s="330"/>
      <c r="CI161" s="330"/>
      <c r="CJ161" s="330"/>
      <c r="CK161" s="330"/>
      <c r="CL161" s="330"/>
      <c r="CM161" s="330"/>
      <c r="CN161" s="330"/>
      <c r="CO161" s="330"/>
      <c r="CP161" s="330"/>
      <c r="CQ161" s="330"/>
      <c r="CR161" s="330"/>
      <c r="CS161" s="330">
        <f>'227-рыба припущ.'!C23</f>
        <v>1.0000000000000001E-5</v>
      </c>
      <c r="CT161" s="330"/>
      <c r="CU161" s="330"/>
      <c r="CV161" s="330"/>
      <c r="CW161" s="330"/>
      <c r="CX161" s="330"/>
      <c r="CY161" s="330"/>
      <c r="CZ161" s="330"/>
      <c r="DA161" s="330"/>
      <c r="DB161" s="330"/>
      <c r="DC161" s="330">
        <f>'227-рыба припущ.'!C22</f>
        <v>2E-3</v>
      </c>
      <c r="DD161" s="330"/>
      <c r="DE161" s="330"/>
      <c r="DF161" s="330"/>
      <c r="DG161" s="330"/>
      <c r="DH161" s="330"/>
      <c r="DI161" s="330"/>
      <c r="DJ161" s="330"/>
      <c r="DK161" s="330"/>
      <c r="DL161" s="330"/>
      <c r="DM161" s="330"/>
      <c r="DN161" s="330"/>
      <c r="DO161" s="330"/>
      <c r="DP161" s="330"/>
      <c r="DQ161" s="330"/>
      <c r="DR161" s="330"/>
      <c r="DS161" s="330"/>
      <c r="DT161" s="330"/>
      <c r="DU161" s="330"/>
      <c r="DV161" s="330"/>
      <c r="DW161" s="330"/>
      <c r="DX161" s="330"/>
      <c r="DY161" s="330"/>
      <c r="DZ161" s="330"/>
      <c r="EA161" s="330"/>
      <c r="EB161" s="330"/>
      <c r="EC161" s="330"/>
      <c r="ED161" s="330"/>
      <c r="EE161" s="330"/>
      <c r="EF161" s="330"/>
      <c r="EG161" s="330"/>
      <c r="EH161" s="330"/>
      <c r="EI161" s="330"/>
      <c r="EJ161" s="330"/>
      <c r="EK161" s="330"/>
      <c r="EL161" s="330"/>
      <c r="EM161" s="330"/>
      <c r="EN161" s="330"/>
      <c r="EO161" s="330"/>
      <c r="EP161" s="330"/>
      <c r="EQ161" s="330"/>
      <c r="ER161" s="330"/>
      <c r="ES161" s="330"/>
      <c r="ET161" s="330"/>
      <c r="EU161" s="330"/>
      <c r="EV161" s="330"/>
      <c r="EW161" s="330"/>
      <c r="EX161" s="330"/>
      <c r="EY161" s="1032">
        <f t="shared" si="17"/>
        <v>0.13600999999999999</v>
      </c>
    </row>
    <row r="162" spans="1:166" s="497" customFormat="1" ht="14.7" customHeight="1" x14ac:dyDescent="0.25">
      <c r="A162" s="421">
        <v>158</v>
      </c>
      <c r="B162" s="417" t="str">
        <f>'229-рыба тушен.'!A9</f>
        <v>Рыба (минтай), тушенная в томате с овощами</v>
      </c>
      <c r="C162" s="419">
        <f>'229-рыба тушен.'!C36</f>
        <v>100</v>
      </c>
      <c r="D162" s="1211">
        <f>9.75/100*C162</f>
        <v>9.75</v>
      </c>
      <c r="E162" s="1211">
        <f>4.95/100*C162</f>
        <v>4.95</v>
      </c>
      <c r="F162" s="1213">
        <f>3.8/100*C162</f>
        <v>3.8</v>
      </c>
      <c r="G162" s="1212">
        <f>105/100*C162</f>
        <v>105</v>
      </c>
      <c r="H162" s="419">
        <f>'229-рыба тушен.'!J7</f>
        <v>229</v>
      </c>
      <c r="I162" s="483">
        <f>'229-рыба тушен.'!F38</f>
        <v>29.57</v>
      </c>
      <c r="J162" s="330"/>
      <c r="K162" s="330"/>
      <c r="L162" s="330"/>
      <c r="M162" s="330"/>
      <c r="N162" s="330"/>
      <c r="O162" s="330"/>
      <c r="P162" s="330"/>
      <c r="Q162" s="330">
        <f>'229-рыба тушен.'!C19</f>
        <v>0.123</v>
      </c>
      <c r="R162" s="330"/>
      <c r="S162" s="330"/>
      <c r="T162" s="330"/>
      <c r="U162" s="330"/>
      <c r="V162" s="330"/>
      <c r="W162" s="330"/>
      <c r="X162" s="330"/>
      <c r="Y162" s="330"/>
      <c r="Z162" s="330"/>
      <c r="AA162" s="330"/>
      <c r="AB162" s="330"/>
      <c r="AC162" s="330"/>
      <c r="AD162" s="330"/>
      <c r="AE162" s="330"/>
      <c r="AF162" s="330"/>
      <c r="AG162" s="330"/>
      <c r="AH162" s="330"/>
      <c r="AI162" s="330"/>
      <c r="AJ162" s="330"/>
      <c r="AK162" s="330">
        <f>'229-рыба тушен.'!C23</f>
        <v>0.01</v>
      </c>
      <c r="AL162" s="330"/>
      <c r="AM162" s="330"/>
      <c r="AN162" s="330"/>
      <c r="AO162" s="330"/>
      <c r="AP162" s="330"/>
      <c r="AQ162" s="330">
        <f>'229-рыба тушен.'!C21</f>
        <v>2.3E-2</v>
      </c>
      <c r="AR162" s="330"/>
      <c r="AS162" s="330"/>
      <c r="AT162" s="330">
        <f>'229-рыба тушен.'!C22</f>
        <v>4.0000000000000001E-3</v>
      </c>
      <c r="AU162" s="330"/>
      <c r="AV162" s="330"/>
      <c r="AW162" s="330"/>
      <c r="AX162" s="330"/>
      <c r="AY162" s="330"/>
      <c r="AZ162" s="330"/>
      <c r="BA162" s="330"/>
      <c r="BB162" s="330"/>
      <c r="BC162" s="330"/>
      <c r="BD162" s="330"/>
      <c r="BE162" s="330"/>
      <c r="BF162" s="330"/>
      <c r="BG162" s="330"/>
      <c r="BH162" s="330"/>
      <c r="BI162" s="330"/>
      <c r="BJ162" s="330"/>
      <c r="BK162" s="330"/>
      <c r="BL162" s="330"/>
      <c r="BM162" s="330"/>
      <c r="BN162" s="330"/>
      <c r="BO162" s="330"/>
      <c r="BP162" s="330"/>
      <c r="BQ162" s="330"/>
      <c r="BR162" s="330"/>
      <c r="BS162" s="330"/>
      <c r="BT162" s="330"/>
      <c r="BU162" s="330"/>
      <c r="BV162" s="330"/>
      <c r="BW162" s="330"/>
      <c r="BX162" s="330"/>
      <c r="BY162" s="330"/>
      <c r="BZ162" s="330"/>
      <c r="CA162" s="330"/>
      <c r="CB162" s="330"/>
      <c r="CC162" s="330"/>
      <c r="CD162" s="330"/>
      <c r="CE162" s="330"/>
      <c r="CF162" s="330">
        <f>'229-рыба тушен.'!C25</f>
        <v>5.0000000000000001E-3</v>
      </c>
      <c r="CG162" s="330"/>
      <c r="CH162" s="330"/>
      <c r="CI162" s="330"/>
      <c r="CJ162" s="330"/>
      <c r="CK162" s="330"/>
      <c r="CL162" s="330"/>
      <c r="CM162" s="330"/>
      <c r="CN162" s="330"/>
      <c r="CO162" s="330"/>
      <c r="CP162" s="330"/>
      <c r="CQ162" s="330">
        <f>'229-рыба тушен.'!C26</f>
        <v>2.5000000000000001E-3</v>
      </c>
      <c r="CR162" s="330"/>
      <c r="CS162" s="330">
        <f>'229-рыба тушен.'!C29</f>
        <v>1E-3</v>
      </c>
      <c r="CT162" s="330"/>
      <c r="CU162" s="330"/>
      <c r="CV162" s="330"/>
      <c r="CW162" s="330"/>
      <c r="CX162" s="330"/>
      <c r="CY162" s="330"/>
      <c r="CZ162" s="330">
        <f>'229-рыба тушен.'!C27</f>
        <v>2E-3</v>
      </c>
      <c r="DA162" s="330"/>
      <c r="DB162" s="330"/>
      <c r="DC162" s="330">
        <f>'229-рыба тушен.'!C28</f>
        <v>2E-3</v>
      </c>
      <c r="DD162" s="330"/>
      <c r="DE162" s="330"/>
      <c r="DF162" s="330">
        <f>'229-рыба тушен.'!C24</f>
        <v>0.01</v>
      </c>
      <c r="DG162" s="330"/>
      <c r="DH162" s="330"/>
      <c r="DI162" s="330"/>
      <c r="DJ162" s="330"/>
      <c r="DK162" s="330"/>
      <c r="DL162" s="330"/>
      <c r="DM162" s="330"/>
      <c r="DN162" s="330"/>
      <c r="DO162" s="330"/>
      <c r="DP162" s="330"/>
      <c r="DQ162" s="330"/>
      <c r="DR162" s="330"/>
      <c r="DS162" s="330"/>
      <c r="DT162" s="330"/>
      <c r="DU162" s="330"/>
      <c r="DV162" s="330"/>
      <c r="DW162" s="330"/>
      <c r="DX162" s="330"/>
      <c r="DY162" s="330"/>
      <c r="DZ162" s="330"/>
      <c r="EA162" s="330"/>
      <c r="EB162" s="330"/>
      <c r="EC162" s="330"/>
      <c r="ED162" s="330"/>
      <c r="EE162" s="330"/>
      <c r="EF162" s="330"/>
      <c r="EG162" s="330"/>
      <c r="EH162" s="330"/>
      <c r="EI162" s="330"/>
      <c r="EJ162" s="330"/>
      <c r="EK162" s="330"/>
      <c r="EL162" s="330"/>
      <c r="EM162" s="330"/>
      <c r="EN162" s="330"/>
      <c r="EO162" s="330"/>
      <c r="EP162" s="330"/>
      <c r="EQ162" s="330"/>
      <c r="ER162" s="330"/>
      <c r="ES162" s="330"/>
      <c r="ET162" s="330"/>
      <c r="EU162" s="330"/>
      <c r="EV162" s="330"/>
      <c r="EW162" s="330"/>
      <c r="EX162" s="330"/>
      <c r="EY162" s="1032">
        <f t="shared" si="17"/>
        <v>0.1825</v>
      </c>
      <c r="EZ162" s="616"/>
      <c r="FA162" s="616"/>
      <c r="FB162" s="616"/>
      <c r="FC162" s="616"/>
      <c r="FD162" s="616"/>
      <c r="FE162" s="616"/>
      <c r="FF162" s="616"/>
      <c r="FG162" s="616"/>
      <c r="FH162" s="616"/>
      <c r="FI162" s="616"/>
      <c r="FJ162" s="616"/>
    </row>
    <row r="163" spans="1:166" s="522" customFormat="1" ht="14.7" customHeight="1" x14ac:dyDescent="0.25">
      <c r="A163" s="421">
        <v>159</v>
      </c>
      <c r="B163" s="417" t="str">
        <f>'229-рыба тушен. хек 140'!A9</f>
        <v>Рыба хек (филе), тушенная в томате с овощами</v>
      </c>
      <c r="C163" s="419">
        <f>'229-рыба тушен. хек 140'!C36</f>
        <v>100</v>
      </c>
      <c r="D163" s="1209">
        <f>10.76/100*C163</f>
        <v>10.76</v>
      </c>
      <c r="E163" s="1209">
        <f>5.75/100*C163</f>
        <v>5.75</v>
      </c>
      <c r="F163" s="1213">
        <f>3.8/100*C163</f>
        <v>3.8</v>
      </c>
      <c r="G163" s="1214">
        <f>116/100*C163</f>
        <v>116</v>
      </c>
      <c r="H163" s="419">
        <f>'229-рыба тушен. хек 140'!J7</f>
        <v>229</v>
      </c>
      <c r="I163" s="483">
        <f>'229-рыба тушен. хек 140'!F38</f>
        <v>37.28</v>
      </c>
      <c r="J163" s="417"/>
      <c r="K163" s="417"/>
      <c r="L163" s="417"/>
      <c r="M163" s="417"/>
      <c r="N163" s="417"/>
      <c r="O163" s="417"/>
      <c r="P163" s="417"/>
      <c r="Q163" s="417"/>
      <c r="R163" s="482">
        <f>'229-рыба тушен. хек 140'!C19</f>
        <v>7.3999999999999996E-2</v>
      </c>
      <c r="S163" s="418"/>
      <c r="T163" s="418"/>
      <c r="U163" s="418"/>
      <c r="V163" s="418"/>
      <c r="W163" s="417"/>
      <c r="X163" s="417"/>
      <c r="Y163" s="417"/>
      <c r="Z163" s="417"/>
      <c r="AA163" s="417"/>
      <c r="AB163" s="417"/>
      <c r="AC163" s="417"/>
      <c r="AD163" s="417"/>
      <c r="AE163" s="417"/>
      <c r="AF163" s="417"/>
      <c r="AG163" s="417"/>
      <c r="AH163" s="417"/>
      <c r="AI163" s="417"/>
      <c r="AJ163" s="417"/>
      <c r="AK163" s="482">
        <f>'229-рыба тушен. хек 140'!C23</f>
        <v>0.01</v>
      </c>
      <c r="AL163" s="417"/>
      <c r="AM163" s="417"/>
      <c r="AN163" s="417"/>
      <c r="AO163" s="417"/>
      <c r="AP163" s="417"/>
      <c r="AQ163" s="482">
        <f>'229-рыба тушен. хек 140'!C21</f>
        <v>2.3E-2</v>
      </c>
      <c r="AR163" s="482"/>
      <c r="AS163" s="482"/>
      <c r="AT163" s="482">
        <f>'229-рыба тушен. хек 140'!C22</f>
        <v>4.0000000000000001E-3</v>
      </c>
      <c r="AU163" s="482"/>
      <c r="AV163" s="482"/>
      <c r="AW163" s="482"/>
      <c r="AX163" s="482"/>
      <c r="AY163" s="482"/>
      <c r="AZ163" s="482"/>
      <c r="BA163" s="482"/>
      <c r="BB163" s="482"/>
      <c r="BC163" s="482"/>
      <c r="BD163" s="482"/>
      <c r="BE163" s="482"/>
      <c r="BF163" s="482"/>
      <c r="BG163" s="482"/>
      <c r="BH163" s="482"/>
      <c r="BI163" s="482"/>
      <c r="BJ163" s="482"/>
      <c r="BK163" s="482"/>
      <c r="BL163" s="482"/>
      <c r="BM163" s="482"/>
      <c r="BN163" s="482"/>
      <c r="BO163" s="482"/>
      <c r="BP163" s="482"/>
      <c r="BQ163" s="482"/>
      <c r="BR163" s="482"/>
      <c r="BS163" s="482"/>
      <c r="BT163" s="482"/>
      <c r="BU163" s="482"/>
      <c r="BV163" s="482"/>
      <c r="BW163" s="482"/>
      <c r="BX163" s="482"/>
      <c r="BY163" s="482"/>
      <c r="BZ163" s="482"/>
      <c r="CA163" s="482"/>
      <c r="CB163" s="482"/>
      <c r="CC163" s="482"/>
      <c r="CD163" s="482"/>
      <c r="CE163" s="482"/>
      <c r="CF163" s="482">
        <f>'229-рыба тушен. хек 140'!C25</f>
        <v>5.0000000000000001E-3</v>
      </c>
      <c r="CG163" s="482"/>
      <c r="CH163" s="482"/>
      <c r="CI163" s="482"/>
      <c r="CJ163" s="482"/>
      <c r="CK163" s="482"/>
      <c r="CL163" s="482"/>
      <c r="CM163" s="482"/>
      <c r="CN163" s="482"/>
      <c r="CO163" s="482"/>
      <c r="CP163" s="482"/>
      <c r="CQ163" s="482">
        <f>'229-рыба тушен. хек 140'!C26</f>
        <v>2.5000000000000001E-3</v>
      </c>
      <c r="CR163" s="482"/>
      <c r="CS163" s="482">
        <f>'229-рыба тушен. хек 140'!C29</f>
        <v>1E-3</v>
      </c>
      <c r="CT163" s="482"/>
      <c r="CU163" s="482"/>
      <c r="CV163" s="482"/>
      <c r="CW163" s="482"/>
      <c r="CX163" s="482"/>
      <c r="CY163" s="482"/>
      <c r="CZ163" s="482">
        <f>'229-рыба тушен. хек 140'!C27</f>
        <v>2E-3</v>
      </c>
      <c r="DA163" s="482"/>
      <c r="DB163" s="482"/>
      <c r="DC163" s="482">
        <f>'229-рыба тушен. хек 140'!C28</f>
        <v>2E-3</v>
      </c>
      <c r="DD163" s="482"/>
      <c r="DE163" s="482"/>
      <c r="DF163" s="482">
        <f>'229-рыба тушен. хек 140'!C24</f>
        <v>0.01</v>
      </c>
      <c r="DG163" s="482"/>
      <c r="DH163" s="482"/>
      <c r="DI163" s="482"/>
      <c r="DJ163" s="482"/>
      <c r="DK163" s="482"/>
      <c r="DL163" s="482"/>
      <c r="DM163" s="482"/>
      <c r="DN163" s="482"/>
      <c r="DO163" s="482"/>
      <c r="DP163" s="482"/>
      <c r="DQ163" s="482"/>
      <c r="DR163" s="482"/>
      <c r="DS163" s="482"/>
      <c r="DT163" s="482"/>
      <c r="DU163" s="482"/>
      <c r="DV163" s="482"/>
      <c r="DW163" s="482"/>
      <c r="DX163" s="482"/>
      <c r="DY163" s="482"/>
      <c r="DZ163" s="482"/>
      <c r="EA163" s="482"/>
      <c r="EB163" s="482"/>
      <c r="EC163" s="482"/>
      <c r="ED163" s="482"/>
      <c r="EE163" s="482"/>
      <c r="EF163" s="482"/>
      <c r="EG163" s="482"/>
      <c r="EH163" s="482"/>
      <c r="EI163" s="482"/>
      <c r="EJ163" s="482"/>
      <c r="EK163" s="527"/>
      <c r="EL163" s="527"/>
      <c r="EM163" s="527"/>
      <c r="EN163" s="527"/>
      <c r="EO163" s="527"/>
      <c r="EP163" s="527"/>
      <c r="EQ163" s="527"/>
      <c r="ER163" s="527"/>
      <c r="ES163" s="527"/>
      <c r="ET163" s="527"/>
      <c r="EU163" s="527"/>
      <c r="EV163" s="527"/>
      <c r="EW163" s="527"/>
      <c r="EX163" s="527"/>
      <c r="EY163" s="1032">
        <f t="shared" si="17"/>
        <v>0.13350000000000001</v>
      </c>
      <c r="EZ163" s="616"/>
      <c r="FA163" s="616"/>
      <c r="FB163" s="616"/>
      <c r="FC163" s="616"/>
      <c r="FD163" s="616"/>
      <c r="FE163" s="616"/>
      <c r="FF163" s="616"/>
      <c r="FG163" s="616"/>
      <c r="FH163" s="616"/>
      <c r="FI163" s="616"/>
      <c r="FJ163" s="616"/>
    </row>
    <row r="164" spans="1:166" s="522" customFormat="1" ht="14.7" customHeight="1" x14ac:dyDescent="0.25">
      <c r="A164" s="421">
        <v>160</v>
      </c>
      <c r="B164" s="417" t="str">
        <f>'229-рыба тушен. минтай филе'!A9</f>
        <v>Рыба минтай (филе), тушенная в томате с овощами</v>
      </c>
      <c r="C164" s="419">
        <f>'229-рыба тушен. минтай филе'!C36</f>
        <v>100</v>
      </c>
      <c r="D164" s="1211">
        <f>9.75/100*C164</f>
        <v>9.75</v>
      </c>
      <c r="E164" s="1211">
        <f>4.95/100*C164</f>
        <v>4.95</v>
      </c>
      <c r="F164" s="1213">
        <f>3.8/100*C164</f>
        <v>3.8</v>
      </c>
      <c r="G164" s="1212">
        <f>105/100*C164</f>
        <v>105</v>
      </c>
      <c r="H164" s="419">
        <f>'229-рыба тушен. минтай филе'!J7</f>
        <v>229</v>
      </c>
      <c r="I164" s="483">
        <f>'229-рыба тушен. минтай филе'!F38</f>
        <v>33.909999999999997</v>
      </c>
      <c r="J164" s="417"/>
      <c r="K164" s="417"/>
      <c r="L164" s="417"/>
      <c r="M164" s="417"/>
      <c r="N164" s="417"/>
      <c r="O164" s="417"/>
      <c r="P164" s="417"/>
      <c r="Q164" s="417"/>
      <c r="R164" s="418"/>
      <c r="S164" s="482">
        <f>'229-рыба тушен. минтай филе'!C19</f>
        <v>7.9000000000000001E-2</v>
      </c>
      <c r="T164" s="418"/>
      <c r="U164" s="418"/>
      <c r="V164" s="418"/>
      <c r="W164" s="417"/>
      <c r="X164" s="417"/>
      <c r="Y164" s="417"/>
      <c r="Z164" s="417"/>
      <c r="AA164" s="417"/>
      <c r="AB164" s="417"/>
      <c r="AC164" s="417"/>
      <c r="AD164" s="417"/>
      <c r="AE164" s="417"/>
      <c r="AF164" s="417"/>
      <c r="AG164" s="417"/>
      <c r="AH164" s="417"/>
      <c r="AI164" s="417"/>
      <c r="AJ164" s="417"/>
      <c r="AK164" s="482">
        <f>'229-рыба тушен. минтай филе'!C23</f>
        <v>0.01</v>
      </c>
      <c r="AL164" s="417"/>
      <c r="AM164" s="417"/>
      <c r="AN164" s="417"/>
      <c r="AO164" s="417"/>
      <c r="AP164" s="417"/>
      <c r="AQ164" s="482">
        <f>'229-рыба тушен. минтай филе'!C21</f>
        <v>2.3E-2</v>
      </c>
      <c r="AR164" s="482"/>
      <c r="AS164" s="482"/>
      <c r="AT164" s="482">
        <f>'229-рыба тушен. минтай филе'!C22</f>
        <v>4.0000000000000001E-3</v>
      </c>
      <c r="AU164" s="482"/>
      <c r="AV164" s="482"/>
      <c r="AW164" s="482"/>
      <c r="AX164" s="482"/>
      <c r="AY164" s="482"/>
      <c r="AZ164" s="482"/>
      <c r="BA164" s="482"/>
      <c r="BB164" s="482"/>
      <c r="BC164" s="482"/>
      <c r="BD164" s="482"/>
      <c r="BE164" s="482"/>
      <c r="BF164" s="482"/>
      <c r="BG164" s="482"/>
      <c r="BH164" s="482"/>
      <c r="BI164" s="482"/>
      <c r="BJ164" s="482"/>
      <c r="BK164" s="482"/>
      <c r="BL164" s="482"/>
      <c r="BM164" s="482"/>
      <c r="BN164" s="482"/>
      <c r="BO164" s="482"/>
      <c r="BP164" s="482"/>
      <c r="BQ164" s="482"/>
      <c r="BR164" s="482"/>
      <c r="BS164" s="482"/>
      <c r="BT164" s="482"/>
      <c r="BU164" s="482"/>
      <c r="BV164" s="482"/>
      <c r="BW164" s="482"/>
      <c r="BX164" s="482"/>
      <c r="BY164" s="482"/>
      <c r="BZ164" s="482"/>
      <c r="CA164" s="482"/>
      <c r="CB164" s="482"/>
      <c r="CC164" s="482"/>
      <c r="CD164" s="482"/>
      <c r="CE164" s="482"/>
      <c r="CF164" s="482">
        <f>'229-рыба тушен. минтай филе'!C25</f>
        <v>5.0000000000000001E-3</v>
      </c>
      <c r="CG164" s="482"/>
      <c r="CH164" s="482"/>
      <c r="CI164" s="482"/>
      <c r="CJ164" s="482"/>
      <c r="CK164" s="482"/>
      <c r="CL164" s="482"/>
      <c r="CM164" s="482"/>
      <c r="CN164" s="482"/>
      <c r="CO164" s="482"/>
      <c r="CP164" s="482"/>
      <c r="CQ164" s="482">
        <f>'229-рыба тушен. минтай филе'!C26</f>
        <v>2.5000000000000001E-3</v>
      </c>
      <c r="CR164" s="482"/>
      <c r="CS164" s="482">
        <f>'229-рыба тушен. минтай филе'!C29</f>
        <v>1E-3</v>
      </c>
      <c r="CT164" s="482"/>
      <c r="CU164" s="482"/>
      <c r="CV164" s="482"/>
      <c r="CW164" s="482"/>
      <c r="CX164" s="482"/>
      <c r="CY164" s="482"/>
      <c r="CZ164" s="482">
        <f>'229-рыба тушен. минтай филе'!C27</f>
        <v>2E-3</v>
      </c>
      <c r="DA164" s="482"/>
      <c r="DB164" s="482"/>
      <c r="DC164" s="482">
        <f>'229-рыба тушен. минтай филе'!C28</f>
        <v>2E-3</v>
      </c>
      <c r="DD164" s="482"/>
      <c r="DE164" s="482"/>
      <c r="DF164" s="482">
        <f>'229-рыба тушен. минтай филе'!C24</f>
        <v>0.01</v>
      </c>
      <c r="DG164" s="482"/>
      <c r="DH164" s="482"/>
      <c r="DI164" s="482"/>
      <c r="DJ164" s="482"/>
      <c r="DK164" s="482"/>
      <c r="DL164" s="482"/>
      <c r="DM164" s="482"/>
      <c r="DN164" s="482"/>
      <c r="DO164" s="482"/>
      <c r="DP164" s="482"/>
      <c r="DQ164" s="482"/>
      <c r="DR164" s="482"/>
      <c r="DS164" s="482"/>
      <c r="DT164" s="482"/>
      <c r="DU164" s="482"/>
      <c r="DV164" s="482"/>
      <c r="DW164" s="482"/>
      <c r="DX164" s="482"/>
      <c r="DY164" s="482"/>
      <c r="DZ164" s="482"/>
      <c r="EA164" s="482"/>
      <c r="EB164" s="482"/>
      <c r="EC164" s="482"/>
      <c r="ED164" s="482"/>
      <c r="EE164" s="482"/>
      <c r="EF164" s="482"/>
      <c r="EG164" s="482"/>
      <c r="EH164" s="482"/>
      <c r="EI164" s="482"/>
      <c r="EJ164" s="482"/>
      <c r="EK164" s="527"/>
      <c r="EL164" s="527"/>
      <c r="EM164" s="527"/>
      <c r="EN164" s="527"/>
      <c r="EO164" s="527"/>
      <c r="EP164" s="527"/>
      <c r="EQ164" s="527"/>
      <c r="ER164" s="527"/>
      <c r="ES164" s="527"/>
      <c r="ET164" s="527"/>
      <c r="EU164" s="527"/>
      <c r="EV164" s="527"/>
      <c r="EW164" s="527"/>
      <c r="EX164" s="527"/>
      <c r="EY164" s="1032">
        <f t="shared" si="17"/>
        <v>0.13850000000000001</v>
      </c>
      <c r="EZ164" s="616"/>
      <c r="FA164" s="616"/>
      <c r="FB164" s="616"/>
      <c r="FC164" s="616"/>
      <c r="FD164" s="616"/>
      <c r="FE164" s="616"/>
      <c r="FF164" s="616"/>
      <c r="FG164" s="616"/>
      <c r="FH164" s="616"/>
      <c r="FI164" s="616"/>
      <c r="FJ164" s="616"/>
    </row>
    <row r="165" spans="1:166" ht="14.7" customHeight="1" x14ac:dyDescent="0.25">
      <c r="A165" s="421">
        <v>161</v>
      </c>
      <c r="B165" s="417" t="str">
        <f>'230-рыба жареная'!A9</f>
        <v xml:space="preserve">Рыба жареная (минтай) </v>
      </c>
      <c r="C165" s="419">
        <f>'230-рыба жареная'!C31</f>
        <v>55</v>
      </c>
      <c r="D165" s="1211">
        <f>7.64/55*C165</f>
        <v>7.64</v>
      </c>
      <c r="E165" s="1211">
        <f>7.4/55*C165</f>
        <v>7.4</v>
      </c>
      <c r="F165" s="1211">
        <f>2.2/55*C165</f>
        <v>2.2000000000000002</v>
      </c>
      <c r="G165" s="1212">
        <f>106/55*C165</f>
        <v>106</v>
      </c>
      <c r="H165" s="419">
        <f>'230-рыба жареная'!J7</f>
        <v>230</v>
      </c>
      <c r="I165" s="1234">
        <f>'230-рыба жареная'!F33</f>
        <v>30.5</v>
      </c>
      <c r="J165" s="330"/>
      <c r="K165" s="330"/>
      <c r="L165" s="330"/>
      <c r="M165" s="330"/>
      <c r="N165" s="330"/>
      <c r="O165" s="330"/>
      <c r="P165" s="330"/>
      <c r="Q165" s="330">
        <f>'230-рыба жареная'!C19</f>
        <v>0.14199999999999999</v>
      </c>
      <c r="R165" s="330"/>
      <c r="S165" s="330"/>
      <c r="T165" s="330"/>
      <c r="U165" s="330"/>
      <c r="V165" s="330">
        <f>'230-рыба жареная'!C25</f>
        <v>5.0000000000000001E-3</v>
      </c>
      <c r="W165" s="330"/>
      <c r="X165" s="330"/>
      <c r="Y165" s="330"/>
      <c r="Z165" s="330"/>
      <c r="AA165" s="330"/>
      <c r="AB165" s="330"/>
      <c r="AC165" s="330"/>
      <c r="AD165" s="330"/>
      <c r="AE165" s="330"/>
      <c r="AF165" s="330"/>
      <c r="AG165" s="330"/>
      <c r="AH165" s="330"/>
      <c r="AI165" s="330"/>
      <c r="AJ165" s="330"/>
      <c r="AK165" s="330"/>
      <c r="AL165" s="330"/>
      <c r="AM165" s="330"/>
      <c r="AN165" s="330"/>
      <c r="AO165" s="330"/>
      <c r="AP165" s="330"/>
      <c r="AQ165" s="330"/>
      <c r="AR165" s="330"/>
      <c r="AS165" s="330"/>
      <c r="AT165" s="330"/>
      <c r="AU165" s="330">
        <f>'230-рыба жареная'!C26</f>
        <v>3.0000000000000001E-3</v>
      </c>
      <c r="AV165" s="330"/>
      <c r="AW165" s="330"/>
      <c r="AX165" s="330"/>
      <c r="AY165" s="330"/>
      <c r="AZ165" s="330"/>
      <c r="BA165" s="330"/>
      <c r="BB165" s="330"/>
      <c r="BC165" s="330"/>
      <c r="BD165" s="330"/>
      <c r="BE165" s="330"/>
      <c r="BF165" s="330"/>
      <c r="BG165" s="330"/>
      <c r="BH165" s="330"/>
      <c r="BI165" s="330"/>
      <c r="BJ165" s="330"/>
      <c r="BK165" s="330"/>
      <c r="BL165" s="330"/>
      <c r="BM165" s="330"/>
      <c r="BN165" s="330"/>
      <c r="BO165" s="330"/>
      <c r="BP165" s="330"/>
      <c r="BQ165" s="330"/>
      <c r="BR165" s="330"/>
      <c r="BS165" s="330">
        <f>'230-рыба жареная'!C20</f>
        <v>3.0000000000000001E-3</v>
      </c>
      <c r="BT165" s="330"/>
      <c r="BU165" s="330"/>
      <c r="BV165" s="330"/>
      <c r="BW165" s="330"/>
      <c r="BX165" s="330"/>
      <c r="BY165" s="330"/>
      <c r="BZ165" s="330"/>
      <c r="CA165" s="330"/>
      <c r="CB165" s="330"/>
      <c r="CC165" s="330"/>
      <c r="CD165" s="330"/>
      <c r="CE165" s="330"/>
      <c r="CF165" s="330">
        <f>'230-рыба жареная'!C21</f>
        <v>5.0000000000000001E-3</v>
      </c>
      <c r="CG165" s="330"/>
      <c r="CH165" s="330"/>
      <c r="CI165" s="330"/>
      <c r="CJ165" s="330"/>
      <c r="CK165" s="330"/>
      <c r="CL165" s="330"/>
      <c r="CM165" s="330"/>
      <c r="CN165" s="330"/>
      <c r="CO165" s="330"/>
      <c r="CP165" s="330"/>
      <c r="CQ165" s="330"/>
      <c r="CR165" s="330"/>
      <c r="CS165" s="330">
        <f>'230-рыба жареная'!C23</f>
        <v>1.0000000000000001E-5</v>
      </c>
      <c r="CT165" s="330"/>
      <c r="CU165" s="330"/>
      <c r="CV165" s="330"/>
      <c r="CW165" s="330"/>
      <c r="CX165" s="330"/>
      <c r="CY165" s="330"/>
      <c r="CZ165" s="330"/>
      <c r="DA165" s="330"/>
      <c r="DB165" s="330"/>
      <c r="DC165" s="330">
        <f>'230-рыба жареная'!C22</f>
        <v>2E-3</v>
      </c>
      <c r="DD165" s="330"/>
      <c r="DE165" s="330"/>
      <c r="DF165" s="330"/>
      <c r="DG165" s="330"/>
      <c r="DH165" s="330"/>
      <c r="DI165" s="330"/>
      <c r="DJ165" s="330"/>
      <c r="DK165" s="330"/>
      <c r="DL165" s="330"/>
      <c r="DM165" s="330"/>
      <c r="DN165" s="330"/>
      <c r="DO165" s="330"/>
      <c r="DP165" s="330"/>
      <c r="DQ165" s="330"/>
      <c r="DR165" s="330"/>
      <c r="DS165" s="330"/>
      <c r="DT165" s="330"/>
      <c r="DU165" s="330"/>
      <c r="DV165" s="330"/>
      <c r="DW165" s="330"/>
      <c r="DX165" s="330"/>
      <c r="DY165" s="330"/>
      <c r="DZ165" s="330"/>
      <c r="EA165" s="330"/>
      <c r="EB165" s="330"/>
      <c r="EC165" s="330"/>
      <c r="ED165" s="330"/>
      <c r="EE165" s="330"/>
      <c r="EF165" s="330"/>
      <c r="EG165" s="330"/>
      <c r="EH165" s="330"/>
      <c r="EI165" s="330"/>
      <c r="EJ165" s="330"/>
      <c r="EK165" s="330"/>
      <c r="EL165" s="330"/>
      <c r="EM165" s="330"/>
      <c r="EN165" s="330"/>
      <c r="EO165" s="330"/>
      <c r="EP165" s="330"/>
      <c r="EQ165" s="330"/>
      <c r="ER165" s="330"/>
      <c r="ES165" s="330"/>
      <c r="ET165" s="330"/>
      <c r="EU165" s="330"/>
      <c r="EV165" s="330"/>
      <c r="EW165" s="330"/>
      <c r="EX165" s="330"/>
      <c r="EY165" s="1032">
        <f t="shared" si="17"/>
        <v>0.16001000000000001</v>
      </c>
    </row>
    <row r="166" spans="1:166" ht="14.7" customHeight="1" x14ac:dyDescent="0.25">
      <c r="A166" s="421">
        <v>162</v>
      </c>
      <c r="B166" s="417" t="str">
        <f>'230-рыба жареная (2)'!A9</f>
        <v>Рыба жареная (2 вариант)</v>
      </c>
      <c r="C166" s="419">
        <f>'230-рыба жареная (2)'!C31</f>
        <v>30</v>
      </c>
      <c r="D166" s="1211">
        <f>7.64/55*C166</f>
        <v>4.17</v>
      </c>
      <c r="E166" s="1211">
        <f>7.4/55*C166</f>
        <v>4.04</v>
      </c>
      <c r="F166" s="1211">
        <f>2.2/55*C166</f>
        <v>1.2</v>
      </c>
      <c r="G166" s="1212">
        <f>106/55*C166</f>
        <v>58</v>
      </c>
      <c r="H166" s="419">
        <f>'230-рыба жареная (2)'!J7</f>
        <v>230</v>
      </c>
      <c r="I166" s="1234">
        <f>'230-рыба жареная (2)'!F33</f>
        <v>16.64</v>
      </c>
      <c r="J166" s="330"/>
      <c r="K166" s="330"/>
      <c r="L166" s="330"/>
      <c r="M166" s="330"/>
      <c r="N166" s="330"/>
      <c r="O166" s="330"/>
      <c r="P166" s="330"/>
      <c r="Q166" s="330">
        <f>'230-рыба жареная (2)'!C19/55*30</f>
        <v>7.7450000000000005E-2</v>
      </c>
      <c r="R166" s="330"/>
      <c r="S166" s="330"/>
      <c r="T166" s="330"/>
      <c r="U166" s="330"/>
      <c r="V166" s="330">
        <f>'230-рыба жареная (2)'!C25/55*30</f>
        <v>2.7299999999999998E-3</v>
      </c>
      <c r="W166" s="330"/>
      <c r="X166" s="330"/>
      <c r="Y166" s="330"/>
      <c r="Z166" s="330"/>
      <c r="AA166" s="330"/>
      <c r="AB166" s="330"/>
      <c r="AC166" s="330"/>
      <c r="AD166" s="330"/>
      <c r="AE166" s="330"/>
      <c r="AF166" s="330"/>
      <c r="AG166" s="330"/>
      <c r="AH166" s="330"/>
      <c r="AI166" s="330"/>
      <c r="AJ166" s="330"/>
      <c r="AK166" s="330"/>
      <c r="AL166" s="330"/>
      <c r="AM166" s="330"/>
      <c r="AN166" s="330"/>
      <c r="AO166" s="330"/>
      <c r="AP166" s="330"/>
      <c r="AQ166" s="330"/>
      <c r="AR166" s="330"/>
      <c r="AS166" s="330"/>
      <c r="AT166" s="330"/>
      <c r="AU166" s="330">
        <f>'230-рыба жареная (2)'!C26/55*30</f>
        <v>1.64E-3</v>
      </c>
      <c r="AV166" s="330"/>
      <c r="AW166" s="330"/>
      <c r="AX166" s="330"/>
      <c r="AY166" s="330"/>
      <c r="AZ166" s="330"/>
      <c r="BA166" s="330"/>
      <c r="BB166" s="330"/>
      <c r="BC166" s="330"/>
      <c r="BD166" s="330"/>
      <c r="BE166" s="330"/>
      <c r="BF166" s="330"/>
      <c r="BG166" s="330"/>
      <c r="BH166" s="330"/>
      <c r="BI166" s="330"/>
      <c r="BJ166" s="330"/>
      <c r="BK166" s="330"/>
      <c r="BL166" s="330"/>
      <c r="BM166" s="330"/>
      <c r="BN166" s="330"/>
      <c r="BO166" s="330"/>
      <c r="BP166" s="330"/>
      <c r="BQ166" s="330"/>
      <c r="BR166" s="330"/>
      <c r="BS166" s="330">
        <f>'230-рыба жареная (2)'!C20/55*30</f>
        <v>1.64E-3</v>
      </c>
      <c r="BT166" s="330"/>
      <c r="BU166" s="330"/>
      <c r="BV166" s="330"/>
      <c r="BW166" s="330"/>
      <c r="BX166" s="330"/>
      <c r="BY166" s="330"/>
      <c r="BZ166" s="330"/>
      <c r="CA166" s="330"/>
      <c r="CB166" s="330"/>
      <c r="CC166" s="330"/>
      <c r="CD166" s="330"/>
      <c r="CE166" s="330"/>
      <c r="CF166" s="330">
        <f>'230-рыба жареная (2)'!C21/55*30</f>
        <v>2.7299999999999998E-3</v>
      </c>
      <c r="CG166" s="330"/>
      <c r="CH166" s="330"/>
      <c r="CI166" s="330"/>
      <c r="CJ166" s="330"/>
      <c r="CK166" s="330"/>
      <c r="CL166" s="330"/>
      <c r="CM166" s="330"/>
      <c r="CN166" s="330"/>
      <c r="CO166" s="330"/>
      <c r="CP166" s="330"/>
      <c r="CQ166" s="330"/>
      <c r="CR166" s="330"/>
      <c r="CS166" s="330">
        <f>'230-рыба жареная (2)'!C23/55*30</f>
        <v>1.0000000000000001E-5</v>
      </c>
      <c r="CT166" s="330"/>
      <c r="CU166" s="330"/>
      <c r="CV166" s="330"/>
      <c r="CW166" s="330"/>
      <c r="CX166" s="330"/>
      <c r="CY166" s="330"/>
      <c r="CZ166" s="330"/>
      <c r="DA166" s="330"/>
      <c r="DB166" s="330"/>
      <c r="DC166" s="330">
        <f>'230-рыба жареная (2)'!C22/55*30</f>
        <v>1.09E-3</v>
      </c>
      <c r="DD166" s="330"/>
      <c r="DE166" s="330"/>
      <c r="DF166" s="330"/>
      <c r="DG166" s="330"/>
      <c r="DH166" s="330"/>
      <c r="DI166" s="330"/>
      <c r="DJ166" s="330"/>
      <c r="DK166" s="330"/>
      <c r="DL166" s="330"/>
      <c r="DM166" s="330"/>
      <c r="DN166" s="330"/>
      <c r="DO166" s="330"/>
      <c r="DP166" s="330"/>
      <c r="DQ166" s="330"/>
      <c r="DR166" s="330"/>
      <c r="DS166" s="330"/>
      <c r="DT166" s="330"/>
      <c r="DU166" s="330"/>
      <c r="DV166" s="330"/>
      <c r="DW166" s="330"/>
      <c r="DX166" s="330"/>
      <c r="DY166" s="330"/>
      <c r="DZ166" s="330"/>
      <c r="EA166" s="330"/>
      <c r="EB166" s="330"/>
      <c r="EC166" s="330"/>
      <c r="ED166" s="330"/>
      <c r="EE166" s="330"/>
      <c r="EF166" s="330"/>
      <c r="EG166" s="330"/>
      <c r="EH166" s="330"/>
      <c r="EI166" s="330"/>
      <c r="EJ166" s="330"/>
      <c r="EK166" s="330"/>
      <c r="EL166" s="330"/>
      <c r="EM166" s="330"/>
      <c r="EN166" s="330"/>
      <c r="EO166" s="330"/>
      <c r="EP166" s="330"/>
      <c r="EQ166" s="330"/>
      <c r="ER166" s="330"/>
      <c r="ES166" s="330"/>
      <c r="ET166" s="330"/>
      <c r="EU166" s="330"/>
      <c r="EV166" s="330"/>
      <c r="EW166" s="330"/>
      <c r="EX166" s="330"/>
      <c r="EY166" s="1032">
        <f t="shared" si="17"/>
        <v>8.7290000000000006E-2</v>
      </c>
    </row>
    <row r="167" spans="1:166" ht="14.7" customHeight="1" x14ac:dyDescent="0.25">
      <c r="A167" s="421">
        <v>163</v>
      </c>
      <c r="B167" s="169" t="str">
        <f>'241-мясо отвар'!A9</f>
        <v>Мясо отварное с соусом сметанным</v>
      </c>
      <c r="C167" s="419">
        <f>'241-мясо отвар'!C32</f>
        <v>80</v>
      </c>
      <c r="D167" s="1211">
        <f>14.04/80*C167</f>
        <v>14.04</v>
      </c>
      <c r="E167" s="1211">
        <f>11.24/80*C167</f>
        <v>11.24</v>
      </c>
      <c r="F167" s="1211">
        <f>1.76/80*C167</f>
        <v>1.76</v>
      </c>
      <c r="G167" s="1212">
        <f>163/80*C167</f>
        <v>163</v>
      </c>
      <c r="H167" s="419">
        <f>'241-мясо отвар'!J7</f>
        <v>241</v>
      </c>
      <c r="I167" s="1234">
        <f>'241-мясо отвар'!F34</f>
        <v>65.010000000000005</v>
      </c>
      <c r="J167" s="330">
        <f>'241-мясо отвар'!C19</f>
        <v>0.11</v>
      </c>
      <c r="K167" s="330"/>
      <c r="L167" s="330"/>
      <c r="M167" s="330"/>
      <c r="N167" s="330"/>
      <c r="O167" s="330"/>
      <c r="P167" s="330"/>
      <c r="Q167" s="330"/>
      <c r="R167" s="330"/>
      <c r="S167" s="330"/>
      <c r="T167" s="330"/>
      <c r="U167" s="330"/>
      <c r="V167" s="330"/>
      <c r="W167" s="330"/>
      <c r="X167" s="330"/>
      <c r="Y167" s="330">
        <f>'330-соус сметанный'!C19/1000*30</f>
        <v>7.4999999999999997E-3</v>
      </c>
      <c r="Z167" s="330"/>
      <c r="AA167" s="330"/>
      <c r="AB167" s="330"/>
      <c r="AC167" s="330"/>
      <c r="AD167" s="330"/>
      <c r="AE167" s="330"/>
      <c r="AF167" s="330"/>
      <c r="AG167" s="330"/>
      <c r="AH167" s="330"/>
      <c r="AI167" s="330"/>
      <c r="AJ167" s="330"/>
      <c r="AK167" s="330">
        <f>'241-мясо отвар'!C21</f>
        <v>2.5000000000000001E-3</v>
      </c>
      <c r="AL167" s="330">
        <f>'241-мясо отвар'!C24</f>
        <v>2E-3</v>
      </c>
      <c r="AM167" s="330"/>
      <c r="AN167" s="330"/>
      <c r="AO167" s="330"/>
      <c r="AP167" s="330"/>
      <c r="AQ167" s="330">
        <f>'241-мясо отвар'!C20</f>
        <v>3.0000000000000001E-3</v>
      </c>
      <c r="AR167" s="330"/>
      <c r="AS167" s="330"/>
      <c r="AT167" s="330"/>
      <c r="AU167" s="330">
        <f>'241-мясо отвар'!C25</f>
        <v>2E-3</v>
      </c>
      <c r="AV167" s="330"/>
      <c r="AW167" s="330"/>
      <c r="AX167" s="330"/>
      <c r="AY167" s="330"/>
      <c r="AZ167" s="330"/>
      <c r="BA167" s="330"/>
      <c r="BB167" s="330"/>
      <c r="BC167" s="330"/>
      <c r="BD167" s="330"/>
      <c r="BE167" s="330"/>
      <c r="BF167" s="330"/>
      <c r="BG167" s="330"/>
      <c r="BH167" s="330"/>
      <c r="BI167" s="330"/>
      <c r="BJ167" s="330"/>
      <c r="BK167" s="330"/>
      <c r="BL167" s="330"/>
      <c r="BM167" s="330"/>
      <c r="BN167" s="330"/>
      <c r="BO167" s="330"/>
      <c r="BP167" s="330"/>
      <c r="BQ167" s="330"/>
      <c r="BR167" s="330"/>
      <c r="BS167" s="330">
        <f>'330-соус сметанный'!C20/1000*30</f>
        <v>2.2499999999999998E-3</v>
      </c>
      <c r="BT167" s="330"/>
      <c r="BU167" s="330"/>
      <c r="BV167" s="330"/>
      <c r="BW167" s="330"/>
      <c r="BX167" s="330"/>
      <c r="BY167" s="330"/>
      <c r="BZ167" s="330"/>
      <c r="CA167" s="330"/>
      <c r="CB167" s="330"/>
      <c r="CC167" s="330"/>
      <c r="CD167" s="330"/>
      <c r="CE167" s="330"/>
      <c r="CF167" s="330"/>
      <c r="CG167" s="330"/>
      <c r="CH167" s="330"/>
      <c r="CI167" s="330"/>
      <c r="CJ167" s="330"/>
      <c r="CK167" s="330"/>
      <c r="CL167" s="330"/>
      <c r="CM167" s="330"/>
      <c r="CN167" s="330"/>
      <c r="CO167" s="330"/>
      <c r="CP167" s="330"/>
      <c r="CQ167" s="330"/>
      <c r="CR167" s="330"/>
      <c r="CS167" s="330">
        <f>'241-мясо отвар'!C23+('330-соус сметанный'!C22/1000*30)</f>
        <v>2.0000000000000002E-5</v>
      </c>
      <c r="CT167" s="330"/>
      <c r="CU167" s="330"/>
      <c r="CV167" s="330"/>
      <c r="CW167" s="330"/>
      <c r="CX167" s="330"/>
      <c r="CY167" s="330"/>
      <c r="CZ167" s="330"/>
      <c r="DA167" s="330"/>
      <c r="DB167" s="330"/>
      <c r="DC167" s="330">
        <f>'241-мясо отвар'!C22+'330-соус сметанный'!C23/1000*30</f>
        <v>3.2399999999999998E-3</v>
      </c>
      <c r="DD167" s="330"/>
      <c r="DE167" s="330"/>
      <c r="DF167" s="330"/>
      <c r="DG167" s="330"/>
      <c r="DH167" s="330"/>
      <c r="DI167" s="330"/>
      <c r="DJ167" s="330"/>
      <c r="DK167" s="330"/>
      <c r="DL167" s="330"/>
      <c r="DM167" s="330"/>
      <c r="DN167" s="330"/>
      <c r="DO167" s="330"/>
      <c r="DP167" s="330"/>
      <c r="DQ167" s="330"/>
      <c r="DR167" s="330"/>
      <c r="DS167" s="330"/>
      <c r="DT167" s="330"/>
      <c r="DU167" s="330"/>
      <c r="DV167" s="330"/>
      <c r="DW167" s="330"/>
      <c r="DX167" s="330"/>
      <c r="DY167" s="330"/>
      <c r="DZ167" s="330"/>
      <c r="EA167" s="330"/>
      <c r="EB167" s="330"/>
      <c r="EC167" s="330"/>
      <c r="ED167" s="330"/>
      <c r="EE167" s="330"/>
      <c r="EF167" s="330"/>
      <c r="EG167" s="330"/>
      <c r="EH167" s="330"/>
      <c r="EI167" s="330"/>
      <c r="EJ167" s="330"/>
      <c r="EK167" s="330"/>
      <c r="EL167" s="330"/>
      <c r="EM167" s="330"/>
      <c r="EN167" s="330"/>
      <c r="EO167" s="330"/>
      <c r="EP167" s="330"/>
      <c r="EQ167" s="330"/>
      <c r="ER167" s="330"/>
      <c r="ES167" s="330"/>
      <c r="ET167" s="330"/>
      <c r="EU167" s="330"/>
      <c r="EV167" s="330"/>
      <c r="EW167" s="330"/>
      <c r="EX167" s="330"/>
      <c r="EY167" s="1032">
        <f t="shared" si="17"/>
        <v>0.13250999999999999</v>
      </c>
    </row>
    <row r="168" spans="1:166" ht="14.7" customHeight="1" x14ac:dyDescent="0.25">
      <c r="A168" s="421">
        <v>164</v>
      </c>
      <c r="B168" s="169" t="str">
        <f>'243-сосиски'!A9</f>
        <v>Сосиски отварные со сливочным маслом</v>
      </c>
      <c r="C168" s="419">
        <f>'243-сосиски'!C26</f>
        <v>60</v>
      </c>
      <c r="D168" s="1211">
        <f>5.55/55*C168</f>
        <v>6.05</v>
      </c>
      <c r="E168" s="1211">
        <f>15.55/55*C168</f>
        <v>16.96</v>
      </c>
      <c r="F168" s="1211">
        <f>0.25/55*C168</f>
        <v>0.27</v>
      </c>
      <c r="G168" s="1212">
        <f>164/55*C168</f>
        <v>179</v>
      </c>
      <c r="H168" s="419">
        <f>'243-сосиски'!J7</f>
        <v>243</v>
      </c>
      <c r="I168" s="1234">
        <f>'243-сосиски'!F28</f>
        <v>22.15</v>
      </c>
      <c r="J168" s="330"/>
      <c r="K168" s="330"/>
      <c r="L168" s="330"/>
      <c r="M168" s="330"/>
      <c r="N168" s="330">
        <f>'243-сосиски'!C19</f>
        <v>5.7000000000000002E-2</v>
      </c>
      <c r="O168" s="330"/>
      <c r="P168" s="330"/>
      <c r="Q168" s="330"/>
      <c r="R168" s="330"/>
      <c r="S168" s="330"/>
      <c r="T168" s="330"/>
      <c r="U168" s="330"/>
      <c r="V168" s="330">
        <f>'243-сосиски'!C20</f>
        <v>5.0000000000000001E-3</v>
      </c>
      <c r="W168" s="330"/>
      <c r="X168" s="330"/>
      <c r="Y168" s="330"/>
      <c r="Z168" s="330"/>
      <c r="AA168" s="330"/>
      <c r="AB168" s="330"/>
      <c r="AC168" s="330"/>
      <c r="AD168" s="330"/>
      <c r="AE168" s="330"/>
      <c r="AF168" s="330"/>
      <c r="AG168" s="330"/>
      <c r="AH168" s="330"/>
      <c r="AI168" s="330"/>
      <c r="AJ168" s="330"/>
      <c r="AK168" s="330"/>
      <c r="AL168" s="330"/>
      <c r="AM168" s="330"/>
      <c r="AN168" s="330"/>
      <c r="AO168" s="330"/>
      <c r="AP168" s="330"/>
      <c r="AQ168" s="330"/>
      <c r="AR168" s="330"/>
      <c r="AS168" s="330"/>
      <c r="AT168" s="330"/>
      <c r="AU168" s="330"/>
      <c r="AV168" s="330"/>
      <c r="AW168" s="330"/>
      <c r="AX168" s="330"/>
      <c r="AY168" s="330"/>
      <c r="AZ168" s="330"/>
      <c r="BA168" s="330"/>
      <c r="BB168" s="330"/>
      <c r="BC168" s="330"/>
      <c r="BD168" s="330"/>
      <c r="BE168" s="330"/>
      <c r="BF168" s="330"/>
      <c r="BG168" s="330"/>
      <c r="BH168" s="330"/>
      <c r="BI168" s="330"/>
      <c r="BJ168" s="330"/>
      <c r="BK168" s="330"/>
      <c r="BL168" s="330"/>
      <c r="BM168" s="330"/>
      <c r="BN168" s="330"/>
      <c r="BO168" s="330"/>
      <c r="BP168" s="330"/>
      <c r="BQ168" s="330"/>
      <c r="BR168" s="330"/>
      <c r="BS168" s="330"/>
      <c r="BT168" s="330"/>
      <c r="BU168" s="330"/>
      <c r="BV168" s="330"/>
      <c r="BW168" s="330"/>
      <c r="BX168" s="330"/>
      <c r="BY168" s="330"/>
      <c r="BZ168" s="330"/>
      <c r="CA168" s="330"/>
      <c r="CB168" s="330"/>
      <c r="CC168" s="330"/>
      <c r="CD168" s="330"/>
      <c r="CE168" s="330"/>
      <c r="CF168" s="330"/>
      <c r="CG168" s="330"/>
      <c r="CH168" s="330"/>
      <c r="CI168" s="330"/>
      <c r="CJ168" s="330"/>
      <c r="CK168" s="330"/>
      <c r="CL168" s="330"/>
      <c r="CM168" s="330"/>
      <c r="CN168" s="330"/>
      <c r="CO168" s="330"/>
      <c r="CP168" s="330"/>
      <c r="CQ168" s="330"/>
      <c r="CR168" s="330"/>
      <c r="CS168" s="330"/>
      <c r="CT168" s="330"/>
      <c r="CU168" s="330"/>
      <c r="CV168" s="330"/>
      <c r="CW168" s="330"/>
      <c r="CX168" s="330"/>
      <c r="CY168" s="330"/>
      <c r="CZ168" s="330"/>
      <c r="DA168" s="330"/>
      <c r="DB168" s="330"/>
      <c r="DC168" s="330">
        <f>'243-сосиски'!C21</f>
        <v>3.0000000000000001E-3</v>
      </c>
      <c r="DD168" s="330"/>
      <c r="DE168" s="330"/>
      <c r="DF168" s="330"/>
      <c r="DG168" s="330"/>
      <c r="DH168" s="330"/>
      <c r="DI168" s="330"/>
      <c r="DJ168" s="330"/>
      <c r="DK168" s="330"/>
      <c r="DL168" s="330"/>
      <c r="DM168" s="330"/>
      <c r="DN168" s="330"/>
      <c r="DO168" s="330"/>
      <c r="DP168" s="330"/>
      <c r="DQ168" s="330"/>
      <c r="DR168" s="330"/>
      <c r="DS168" s="330"/>
      <c r="DT168" s="330"/>
      <c r="DU168" s="330"/>
      <c r="DV168" s="330"/>
      <c r="DW168" s="330"/>
      <c r="DX168" s="330"/>
      <c r="DY168" s="330"/>
      <c r="DZ168" s="330"/>
      <c r="EA168" s="330"/>
      <c r="EB168" s="330"/>
      <c r="EC168" s="330"/>
      <c r="ED168" s="330"/>
      <c r="EE168" s="330"/>
      <c r="EF168" s="330"/>
      <c r="EG168" s="330"/>
      <c r="EH168" s="330"/>
      <c r="EI168" s="330"/>
      <c r="EJ168" s="330"/>
      <c r="EK168" s="330"/>
      <c r="EL168" s="330"/>
      <c r="EM168" s="330"/>
      <c r="EN168" s="330"/>
      <c r="EO168" s="330"/>
      <c r="EP168" s="330"/>
      <c r="EQ168" s="330"/>
      <c r="ER168" s="330"/>
      <c r="ES168" s="330"/>
      <c r="ET168" s="330"/>
      <c r="EU168" s="330"/>
      <c r="EV168" s="330"/>
      <c r="EW168" s="330"/>
      <c r="EX168" s="330"/>
      <c r="EY168" s="1032">
        <f t="shared" si="17"/>
        <v>6.5000000000000002E-2</v>
      </c>
    </row>
    <row r="169" spans="1:166" ht="14.7" customHeight="1" x14ac:dyDescent="0.25">
      <c r="A169" s="421">
        <v>165</v>
      </c>
      <c r="B169" s="169" t="str">
        <f>'244-плов из говядины'!A9</f>
        <v>Плов из отварной говядины</v>
      </c>
      <c r="C169" s="419">
        <f>'244-плов из говядины'!C31</f>
        <v>150</v>
      </c>
      <c r="D169" s="1211">
        <f>15.3/150*C169</f>
        <v>15.3</v>
      </c>
      <c r="E169" s="1211">
        <f>14.33/150*C169</f>
        <v>14.33</v>
      </c>
      <c r="F169" s="1211">
        <f>24.38/150*C169</f>
        <v>24.38</v>
      </c>
      <c r="G169" s="1212">
        <f>297/150*C169</f>
        <v>297</v>
      </c>
      <c r="H169" s="419">
        <f>'244-плов из говядины'!J7</f>
        <v>244</v>
      </c>
      <c r="I169" s="1234">
        <f>'244-плов из говядины'!F33</f>
        <v>66.400000000000006</v>
      </c>
      <c r="J169" s="330">
        <f>'244-плов из говядины'!C19</f>
        <v>0.11</v>
      </c>
      <c r="K169" s="330"/>
      <c r="L169" s="330"/>
      <c r="M169" s="330"/>
      <c r="N169" s="330"/>
      <c r="O169" s="330"/>
      <c r="P169" s="330"/>
      <c r="Q169" s="330"/>
      <c r="R169" s="330"/>
      <c r="S169" s="330"/>
      <c r="T169" s="330"/>
      <c r="U169" s="330"/>
      <c r="V169" s="330"/>
      <c r="W169" s="330"/>
      <c r="X169" s="330"/>
      <c r="Y169" s="330"/>
      <c r="Z169" s="330"/>
      <c r="AA169" s="330"/>
      <c r="AB169" s="330"/>
      <c r="AC169" s="330"/>
      <c r="AD169" s="330"/>
      <c r="AE169" s="330"/>
      <c r="AF169" s="330"/>
      <c r="AG169" s="330"/>
      <c r="AH169" s="330"/>
      <c r="AI169" s="330"/>
      <c r="AJ169" s="330"/>
      <c r="AK169" s="330">
        <f>'244-плов из говядины'!C22</f>
        <v>6.0000000000000001E-3</v>
      </c>
      <c r="AL169" s="330"/>
      <c r="AM169" s="330"/>
      <c r="AN169" s="330"/>
      <c r="AO169" s="330"/>
      <c r="AP169" s="330"/>
      <c r="AQ169" s="330">
        <f>'244-плов из говядины'!C23</f>
        <v>0.01</v>
      </c>
      <c r="AR169" s="330"/>
      <c r="AS169" s="330"/>
      <c r="AT169" s="330"/>
      <c r="AU169" s="330"/>
      <c r="AV169" s="330"/>
      <c r="AW169" s="330"/>
      <c r="AX169" s="330"/>
      <c r="AY169" s="330"/>
      <c r="AZ169" s="330"/>
      <c r="BA169" s="330"/>
      <c r="BB169" s="330"/>
      <c r="BC169" s="330"/>
      <c r="BD169" s="330"/>
      <c r="BE169" s="330"/>
      <c r="BF169" s="330"/>
      <c r="BG169" s="330"/>
      <c r="BH169" s="330"/>
      <c r="BI169" s="330"/>
      <c r="BJ169" s="330"/>
      <c r="BK169" s="330"/>
      <c r="BL169" s="330"/>
      <c r="BM169" s="330"/>
      <c r="BN169" s="330"/>
      <c r="BO169" s="330"/>
      <c r="BP169" s="330"/>
      <c r="BQ169" s="330"/>
      <c r="BR169" s="330"/>
      <c r="BS169" s="330"/>
      <c r="BT169" s="330"/>
      <c r="BU169" s="330"/>
      <c r="BV169" s="330"/>
      <c r="BW169" s="330"/>
      <c r="BX169" s="330"/>
      <c r="BY169" s="330"/>
      <c r="BZ169" s="330"/>
      <c r="CA169" s="330"/>
      <c r="CB169" s="330">
        <f>'244-плов из говядины'!C20</f>
        <v>3.4000000000000002E-2</v>
      </c>
      <c r="CC169" s="330"/>
      <c r="CD169" s="330"/>
      <c r="CE169" s="330"/>
      <c r="CF169" s="330">
        <f>'244-плов из говядины'!C21</f>
        <v>5.0000000000000001E-3</v>
      </c>
      <c r="CG169" s="330"/>
      <c r="CH169" s="330"/>
      <c r="CI169" s="330"/>
      <c r="CJ169" s="330"/>
      <c r="CK169" s="330"/>
      <c r="CL169" s="330"/>
      <c r="CM169" s="330"/>
      <c r="CN169" s="330"/>
      <c r="CO169" s="330"/>
      <c r="CP169" s="330"/>
      <c r="CQ169" s="330"/>
      <c r="CR169" s="330"/>
      <c r="CS169" s="330"/>
      <c r="CT169" s="330"/>
      <c r="CU169" s="330"/>
      <c r="CV169" s="330"/>
      <c r="CW169" s="330"/>
      <c r="CX169" s="330"/>
      <c r="CY169" s="330"/>
      <c r="CZ169" s="330"/>
      <c r="DA169" s="330"/>
      <c r="DB169" s="330"/>
      <c r="DC169" s="330">
        <f>'244-плов из говядины'!C25</f>
        <v>3.0000000000000001E-3</v>
      </c>
      <c r="DD169" s="330"/>
      <c r="DE169" s="330"/>
      <c r="DF169" s="330"/>
      <c r="DG169" s="330"/>
      <c r="DH169" s="330"/>
      <c r="DI169" s="330"/>
      <c r="DJ169" s="330"/>
      <c r="DK169" s="330"/>
      <c r="DL169" s="330"/>
      <c r="DM169" s="330"/>
      <c r="DN169" s="330"/>
      <c r="DO169" s="330"/>
      <c r="DP169" s="330"/>
      <c r="DQ169" s="330"/>
      <c r="DR169" s="330"/>
      <c r="DS169" s="330"/>
      <c r="DT169" s="330"/>
      <c r="DU169" s="330"/>
      <c r="DV169" s="330"/>
      <c r="DW169" s="330"/>
      <c r="DX169" s="330"/>
      <c r="DY169" s="330"/>
      <c r="DZ169" s="330"/>
      <c r="EA169" s="330"/>
      <c r="EB169" s="330"/>
      <c r="EC169" s="330"/>
      <c r="ED169" s="330"/>
      <c r="EE169" s="330"/>
      <c r="EF169" s="330"/>
      <c r="EG169" s="330"/>
      <c r="EH169" s="330"/>
      <c r="EI169" s="330"/>
      <c r="EJ169" s="330"/>
      <c r="EK169" s="330"/>
      <c r="EL169" s="330"/>
      <c r="EM169" s="330"/>
      <c r="EN169" s="330"/>
      <c r="EO169" s="330"/>
      <c r="EP169" s="330"/>
      <c r="EQ169" s="330"/>
      <c r="ER169" s="330"/>
      <c r="ES169" s="330"/>
      <c r="ET169" s="330"/>
      <c r="EU169" s="330"/>
      <c r="EV169" s="330"/>
      <c r="EW169" s="330"/>
      <c r="EX169" s="330"/>
      <c r="EY169" s="1032">
        <f t="shared" si="17"/>
        <v>0.16800000000000001</v>
      </c>
    </row>
    <row r="170" spans="1:166" ht="14.7" customHeight="1" x14ac:dyDescent="0.25">
      <c r="A170" s="421">
        <v>166</v>
      </c>
      <c r="B170" s="169" t="str">
        <f>'244-плов из говядины (2)'!A9</f>
        <v>Плов из отварной говядины (2 вариант)</v>
      </c>
      <c r="C170" s="419">
        <f>'244-плов из говядины (2)'!C32</f>
        <v>125</v>
      </c>
      <c r="D170" s="1211">
        <f>15.3/150*C170</f>
        <v>12.75</v>
      </c>
      <c r="E170" s="1211">
        <f>14.33/150*C170</f>
        <v>11.94</v>
      </c>
      <c r="F170" s="1211">
        <f>24.38/150*C170</f>
        <v>20.32</v>
      </c>
      <c r="G170" s="1212">
        <f>297/150*C170</f>
        <v>248</v>
      </c>
      <c r="H170" s="419">
        <f>'244-плов из говядины (2)'!J7</f>
        <v>244</v>
      </c>
      <c r="I170" s="1234">
        <f>'244-плов из говядины (2)'!F34</f>
        <v>35.6</v>
      </c>
      <c r="J170" s="330">
        <f>'244-плов из говядины (2)'!C19/50*25</f>
        <v>5.5E-2</v>
      </c>
      <c r="K170" s="330"/>
      <c r="L170" s="330"/>
      <c r="M170" s="330"/>
      <c r="N170" s="330"/>
      <c r="O170" s="330"/>
      <c r="P170" s="330"/>
      <c r="Q170" s="330"/>
      <c r="R170" s="330"/>
      <c r="S170" s="330"/>
      <c r="T170" s="330"/>
      <c r="U170" s="330"/>
      <c r="V170" s="330"/>
      <c r="W170" s="330"/>
      <c r="X170" s="330"/>
      <c r="Y170" s="330"/>
      <c r="Z170" s="330"/>
      <c r="AA170" s="330"/>
      <c r="AB170" s="330"/>
      <c r="AC170" s="330"/>
      <c r="AD170" s="330"/>
      <c r="AE170" s="330"/>
      <c r="AF170" s="330"/>
      <c r="AG170" s="330"/>
      <c r="AH170" s="330"/>
      <c r="AI170" s="330"/>
      <c r="AJ170" s="330"/>
      <c r="AK170" s="330">
        <f>'244-плов из говядины (2)'!C22</f>
        <v>6.0000000000000001E-3</v>
      </c>
      <c r="AL170" s="330"/>
      <c r="AM170" s="330"/>
      <c r="AN170" s="330"/>
      <c r="AO170" s="330"/>
      <c r="AP170" s="330"/>
      <c r="AQ170" s="330">
        <f>'244-плов из говядины (2)'!C23</f>
        <v>0.01</v>
      </c>
      <c r="AR170" s="330"/>
      <c r="AS170" s="330"/>
      <c r="AT170" s="330"/>
      <c r="AU170" s="330"/>
      <c r="AV170" s="330"/>
      <c r="AW170" s="330"/>
      <c r="AX170" s="330"/>
      <c r="AY170" s="330"/>
      <c r="AZ170" s="330"/>
      <c r="BA170" s="330"/>
      <c r="BB170" s="330"/>
      <c r="BC170" s="330"/>
      <c r="BD170" s="330"/>
      <c r="BE170" s="330"/>
      <c r="BF170" s="330"/>
      <c r="BG170" s="330"/>
      <c r="BH170" s="330"/>
      <c r="BI170" s="330"/>
      <c r="BJ170" s="330"/>
      <c r="BK170" s="330"/>
      <c r="BL170" s="330"/>
      <c r="BM170" s="330"/>
      <c r="BN170" s="330"/>
      <c r="BO170" s="330"/>
      <c r="BP170" s="330"/>
      <c r="BQ170" s="330"/>
      <c r="BR170" s="330"/>
      <c r="BS170" s="330"/>
      <c r="BT170" s="330"/>
      <c r="BU170" s="330"/>
      <c r="BV170" s="330"/>
      <c r="BW170" s="330"/>
      <c r="BX170" s="330"/>
      <c r="BY170" s="330"/>
      <c r="BZ170" s="330"/>
      <c r="CA170" s="330"/>
      <c r="CB170" s="330">
        <f>'244-плов из говядины (2)'!C20</f>
        <v>3.4000000000000002E-2</v>
      </c>
      <c r="CC170" s="330"/>
      <c r="CD170" s="330"/>
      <c r="CE170" s="330"/>
      <c r="CF170" s="330">
        <f>'244-плов из говядины (2)'!C21</f>
        <v>5.0000000000000001E-3</v>
      </c>
      <c r="CG170" s="330"/>
      <c r="CH170" s="330"/>
      <c r="CI170" s="330"/>
      <c r="CJ170" s="330"/>
      <c r="CK170" s="330"/>
      <c r="CL170" s="330"/>
      <c r="CM170" s="330"/>
      <c r="CN170" s="330"/>
      <c r="CO170" s="330"/>
      <c r="CP170" s="330"/>
      <c r="CQ170" s="330"/>
      <c r="CR170" s="330"/>
      <c r="CS170" s="330"/>
      <c r="CT170" s="330"/>
      <c r="CU170" s="330"/>
      <c r="CV170" s="330"/>
      <c r="CW170" s="330"/>
      <c r="CX170" s="330"/>
      <c r="CY170" s="330"/>
      <c r="CZ170" s="330"/>
      <c r="DA170" s="330"/>
      <c r="DB170" s="330"/>
      <c r="DC170" s="330">
        <f>'244-плов из говядины (2)'!C25</f>
        <v>3.0000000000000001E-3</v>
      </c>
      <c r="DD170" s="330"/>
      <c r="DE170" s="330"/>
      <c r="DF170" s="330"/>
      <c r="DG170" s="330"/>
      <c r="DH170" s="330"/>
      <c r="DI170" s="330"/>
      <c r="DJ170" s="330"/>
      <c r="DK170" s="330"/>
      <c r="DL170" s="330"/>
      <c r="DM170" s="330"/>
      <c r="DN170" s="330"/>
      <c r="DO170" s="330"/>
      <c r="DP170" s="330"/>
      <c r="DQ170" s="330"/>
      <c r="DR170" s="330"/>
      <c r="DS170" s="330"/>
      <c r="DT170" s="330"/>
      <c r="DU170" s="330"/>
      <c r="DV170" s="330"/>
      <c r="DW170" s="330"/>
      <c r="DX170" s="330"/>
      <c r="DY170" s="330"/>
      <c r="DZ170" s="330"/>
      <c r="EA170" s="330"/>
      <c r="EB170" s="330"/>
      <c r="EC170" s="330"/>
      <c r="ED170" s="330"/>
      <c r="EE170" s="330"/>
      <c r="EF170" s="330"/>
      <c r="EG170" s="330"/>
      <c r="EH170" s="330"/>
      <c r="EI170" s="330"/>
      <c r="EJ170" s="330"/>
      <c r="EK170" s="330"/>
      <c r="EL170" s="330"/>
      <c r="EM170" s="330"/>
      <c r="EN170" s="330"/>
      <c r="EO170" s="330"/>
      <c r="EP170" s="330"/>
      <c r="EQ170" s="330"/>
      <c r="ER170" s="330"/>
      <c r="ES170" s="330"/>
      <c r="ET170" s="330"/>
      <c r="EU170" s="330"/>
      <c r="EV170" s="330"/>
      <c r="EW170" s="330"/>
      <c r="EX170" s="330"/>
      <c r="EY170" s="1032">
        <f t="shared" si="17"/>
        <v>0.113</v>
      </c>
    </row>
    <row r="171" spans="1:166" ht="14.7" customHeight="1" x14ac:dyDescent="0.25">
      <c r="A171" s="421">
        <v>167</v>
      </c>
      <c r="B171" s="169" t="str">
        <f>'245-бефстроганов'!A9</f>
        <v>Бефстроганов из отварной говядины со сметанным соусом</v>
      </c>
      <c r="C171" s="419">
        <f>'245-бефстроганов'!C33</f>
        <v>100</v>
      </c>
      <c r="D171" s="1211">
        <f>14.44/100*C171</f>
        <v>14.44</v>
      </c>
      <c r="E171" s="1211">
        <f>12.25/100*C171</f>
        <v>12.25</v>
      </c>
      <c r="F171" s="1211">
        <f>3.78/100*C171</f>
        <v>3.78</v>
      </c>
      <c r="G171" s="1212">
        <f>181/100*C171</f>
        <v>181</v>
      </c>
      <c r="H171" s="419">
        <f>'245-бефстроганов'!J7</f>
        <v>245</v>
      </c>
      <c r="I171" s="1234">
        <f>'245-бефстроганов'!F35</f>
        <v>66.87</v>
      </c>
      <c r="J171" s="330">
        <f>'245-бефстроганов'!C19</f>
        <v>0.11</v>
      </c>
      <c r="K171" s="330"/>
      <c r="L171" s="330"/>
      <c r="M171" s="330"/>
      <c r="N171" s="330"/>
      <c r="O171" s="330"/>
      <c r="P171" s="330"/>
      <c r="Q171" s="330"/>
      <c r="R171" s="330"/>
      <c r="S171" s="330"/>
      <c r="T171" s="330"/>
      <c r="U171" s="330"/>
      <c r="V171" s="330"/>
      <c r="W171" s="330"/>
      <c r="X171" s="330"/>
      <c r="Y171" s="330">
        <f>'330-соус сметанный'!C19/1000*50</f>
        <v>1.2500000000000001E-2</v>
      </c>
      <c r="Z171" s="330"/>
      <c r="AA171" s="330"/>
      <c r="AB171" s="330"/>
      <c r="AC171" s="330"/>
      <c r="AD171" s="330"/>
      <c r="AE171" s="330"/>
      <c r="AF171" s="330"/>
      <c r="AG171" s="330"/>
      <c r="AH171" s="330"/>
      <c r="AI171" s="330"/>
      <c r="AJ171" s="330"/>
      <c r="AK171" s="330">
        <f>'245-бефстроганов'!C21</f>
        <v>2.5000000000000001E-3</v>
      </c>
      <c r="AL171" s="330">
        <f>'245-бефстроганов'!C27</f>
        <v>2E-3</v>
      </c>
      <c r="AM171" s="330"/>
      <c r="AN171" s="330"/>
      <c r="AO171" s="330"/>
      <c r="AP171" s="330"/>
      <c r="AQ171" s="330">
        <f>'245-бефстроганов'!C20+'245-бефстроганов'!C23</f>
        <v>1.55E-2</v>
      </c>
      <c r="AR171" s="330"/>
      <c r="AS171" s="330"/>
      <c r="AT171" s="330"/>
      <c r="AU171" s="330">
        <f>'245-бефстроганов'!C28</f>
        <v>2E-3</v>
      </c>
      <c r="AV171" s="330"/>
      <c r="AW171" s="330"/>
      <c r="AX171" s="330"/>
      <c r="AY171" s="330"/>
      <c r="AZ171" s="330"/>
      <c r="BA171" s="330"/>
      <c r="BB171" s="330"/>
      <c r="BC171" s="330"/>
      <c r="BD171" s="330"/>
      <c r="BE171" s="330"/>
      <c r="BF171" s="330"/>
      <c r="BG171" s="330"/>
      <c r="BH171" s="330"/>
      <c r="BI171" s="330"/>
      <c r="BJ171" s="330"/>
      <c r="BK171" s="330"/>
      <c r="BL171" s="330"/>
      <c r="BM171" s="330"/>
      <c r="BN171" s="330"/>
      <c r="BO171" s="330"/>
      <c r="BP171" s="330"/>
      <c r="BQ171" s="330"/>
      <c r="BR171" s="330"/>
      <c r="BS171" s="330">
        <f>'330-соус сметанный'!C20/1000*50</f>
        <v>3.7499999999999999E-3</v>
      </c>
      <c r="BT171" s="330"/>
      <c r="BU171" s="330"/>
      <c r="BV171" s="330"/>
      <c r="BW171" s="330"/>
      <c r="BX171" s="330"/>
      <c r="BY171" s="330"/>
      <c r="BZ171" s="330"/>
      <c r="CA171" s="330"/>
      <c r="CB171" s="330"/>
      <c r="CC171" s="330"/>
      <c r="CD171" s="330"/>
      <c r="CE171" s="330"/>
      <c r="CF171" s="330"/>
      <c r="CG171" s="330"/>
      <c r="CH171" s="330"/>
      <c r="CI171" s="330"/>
      <c r="CJ171" s="330"/>
      <c r="CK171" s="330"/>
      <c r="CL171" s="330"/>
      <c r="CM171" s="330"/>
      <c r="CN171" s="330"/>
      <c r="CO171" s="330"/>
      <c r="CP171" s="330"/>
      <c r="CQ171" s="330"/>
      <c r="CR171" s="330"/>
      <c r="CS171" s="330">
        <f>'245-бефстроганов'!C26+('330-соус сметанный'!C22/1000*50)+('330-соус сметанный'!C22/1000*920/1000*30)</f>
        <v>2.0000000000000002E-5</v>
      </c>
      <c r="CT171" s="330"/>
      <c r="CU171" s="330"/>
      <c r="CV171" s="330"/>
      <c r="CW171" s="330"/>
      <c r="CX171" s="330"/>
      <c r="CY171" s="330"/>
      <c r="CZ171" s="330"/>
      <c r="DA171" s="330"/>
      <c r="DB171" s="330"/>
      <c r="DC171" s="330">
        <f>'245-бефстроганов'!C25+('330-соус сметанный'!C23/1000*50)</f>
        <v>3.3999999999999998E-3</v>
      </c>
      <c r="DD171" s="330"/>
      <c r="DE171" s="330"/>
      <c r="DF171" s="330"/>
      <c r="DG171" s="330"/>
      <c r="DH171" s="330"/>
      <c r="DI171" s="330"/>
      <c r="DJ171" s="330"/>
      <c r="DK171" s="330"/>
      <c r="DL171" s="330"/>
      <c r="DM171" s="330"/>
      <c r="DN171" s="330"/>
      <c r="DO171" s="330"/>
      <c r="DP171" s="330"/>
      <c r="DQ171" s="330"/>
      <c r="DR171" s="330"/>
      <c r="DS171" s="330"/>
      <c r="DT171" s="330"/>
      <c r="DU171" s="330"/>
      <c r="DV171" s="330"/>
      <c r="DW171" s="330"/>
      <c r="DX171" s="330"/>
      <c r="DY171" s="330"/>
      <c r="DZ171" s="330"/>
      <c r="EA171" s="330"/>
      <c r="EB171" s="330"/>
      <c r="EC171" s="330"/>
      <c r="ED171" s="330"/>
      <c r="EE171" s="330"/>
      <c r="EF171" s="330"/>
      <c r="EG171" s="330"/>
      <c r="EH171" s="330"/>
      <c r="EI171" s="330"/>
      <c r="EJ171" s="330"/>
      <c r="EK171" s="330"/>
      <c r="EL171" s="330"/>
      <c r="EM171" s="330"/>
      <c r="EN171" s="330"/>
      <c r="EO171" s="330"/>
      <c r="EP171" s="330"/>
      <c r="EQ171" s="330"/>
      <c r="ER171" s="330"/>
      <c r="ES171" s="330"/>
      <c r="ET171" s="330"/>
      <c r="EU171" s="330"/>
      <c r="EV171" s="330"/>
      <c r="EW171" s="330"/>
      <c r="EX171" s="330"/>
      <c r="EY171" s="1032">
        <f t="shared" si="17"/>
        <v>0.15167</v>
      </c>
    </row>
    <row r="172" spans="1:166" ht="14.7" customHeight="1" x14ac:dyDescent="0.25">
      <c r="A172" s="421">
        <v>168</v>
      </c>
      <c r="B172" s="169" t="str">
        <f>'245-бефстроганов (2)'!A9</f>
        <v>Бефстроганов из отварной говядины (2 вариант)</v>
      </c>
      <c r="C172" s="419">
        <f>'245-бефстроганов (2)'!C33</f>
        <v>50</v>
      </c>
      <c r="D172" s="1211">
        <f>14.44/100*C172</f>
        <v>7.22</v>
      </c>
      <c r="E172" s="1211">
        <f>12.25/100*C172</f>
        <v>6.13</v>
      </c>
      <c r="F172" s="1211">
        <f>3.78/100*C172</f>
        <v>1.89</v>
      </c>
      <c r="G172" s="1212">
        <f>181/100*C172</f>
        <v>91</v>
      </c>
      <c r="H172" s="419">
        <f>'245-бефстроганов (2)'!J7</f>
        <v>245</v>
      </c>
      <c r="I172" s="1234">
        <f>'245-бефстроганов (2)'!F35</f>
        <v>33.44</v>
      </c>
      <c r="J172" s="430">
        <f>'245-бефстроганов (2)'!C19/2</f>
        <v>5.5E-2</v>
      </c>
      <c r="K172" s="330"/>
      <c r="L172" s="330"/>
      <c r="M172" s="330"/>
      <c r="N172" s="330"/>
      <c r="O172" s="330"/>
      <c r="P172" s="330"/>
      <c r="Q172" s="330"/>
      <c r="R172" s="330"/>
      <c r="S172" s="330"/>
      <c r="T172" s="330"/>
      <c r="U172" s="330"/>
      <c r="V172" s="330"/>
      <c r="W172" s="330"/>
      <c r="X172" s="330"/>
      <c r="Y172" s="330">
        <f>'330-соус сметанный'!C19/1000*50/2</f>
        <v>6.2500000000000003E-3</v>
      </c>
      <c r="Z172" s="330"/>
      <c r="AA172" s="330"/>
      <c r="AB172" s="330"/>
      <c r="AC172" s="330"/>
      <c r="AD172" s="330"/>
      <c r="AE172" s="330"/>
      <c r="AF172" s="330"/>
      <c r="AG172" s="330"/>
      <c r="AH172" s="330"/>
      <c r="AI172" s="330"/>
      <c r="AJ172" s="330"/>
      <c r="AK172" s="330">
        <f>'245-бефстроганов (2)'!C21/2</f>
        <v>1.25E-3</v>
      </c>
      <c r="AL172" s="330">
        <f>'245-бефстроганов (2)'!C27/2</f>
        <v>1E-3</v>
      </c>
      <c r="AM172" s="330"/>
      <c r="AN172" s="330"/>
      <c r="AO172" s="330"/>
      <c r="AP172" s="330"/>
      <c r="AQ172" s="330">
        <f>'245-бефстроганов (2)'!C20/2+'245-бефстроганов (2)'!C23/2</f>
        <v>7.7499999999999999E-3</v>
      </c>
      <c r="AR172" s="330"/>
      <c r="AS172" s="330"/>
      <c r="AT172" s="330"/>
      <c r="AU172" s="330">
        <f>'245-бефстроганов (2)'!C28/2</f>
        <v>1E-3</v>
      </c>
      <c r="AV172" s="330"/>
      <c r="AW172" s="330"/>
      <c r="AX172" s="330"/>
      <c r="AY172" s="330"/>
      <c r="AZ172" s="330"/>
      <c r="BA172" s="330"/>
      <c r="BB172" s="330"/>
      <c r="BC172" s="330"/>
      <c r="BD172" s="330"/>
      <c r="BE172" s="330"/>
      <c r="BF172" s="330"/>
      <c r="BG172" s="330"/>
      <c r="BH172" s="330"/>
      <c r="BI172" s="330"/>
      <c r="BJ172" s="330"/>
      <c r="BK172" s="330"/>
      <c r="BL172" s="330"/>
      <c r="BM172" s="330"/>
      <c r="BN172" s="330"/>
      <c r="BO172" s="330"/>
      <c r="BP172" s="330"/>
      <c r="BQ172" s="330"/>
      <c r="BR172" s="330"/>
      <c r="BS172" s="330">
        <f>'330-соус сметанный'!C20/1000*50/2</f>
        <v>1.8799999999999999E-3</v>
      </c>
      <c r="BT172" s="330"/>
      <c r="BU172" s="330"/>
      <c r="BV172" s="330"/>
      <c r="BW172" s="330"/>
      <c r="BX172" s="330"/>
      <c r="BY172" s="330"/>
      <c r="BZ172" s="330"/>
      <c r="CA172" s="330"/>
      <c r="CB172" s="330"/>
      <c r="CC172" s="330"/>
      <c r="CD172" s="330"/>
      <c r="CE172" s="330"/>
      <c r="CF172" s="330"/>
      <c r="CG172" s="330"/>
      <c r="CH172" s="330"/>
      <c r="CI172" s="330"/>
      <c r="CJ172" s="330"/>
      <c r="CK172" s="330"/>
      <c r="CL172" s="330"/>
      <c r="CM172" s="330"/>
      <c r="CN172" s="330"/>
      <c r="CO172" s="330"/>
      <c r="CP172" s="330"/>
      <c r="CQ172" s="330"/>
      <c r="CR172" s="330"/>
      <c r="CS172" s="330">
        <f>'245-бефстроганов (2)'!C26/2+'330-соус сметанный'!C22/1000*50/2</f>
        <v>1.0000000000000001E-5</v>
      </c>
      <c r="CT172" s="330"/>
      <c r="CU172" s="330"/>
      <c r="CV172" s="330"/>
      <c r="CW172" s="330"/>
      <c r="CX172" s="330"/>
      <c r="CY172" s="330"/>
      <c r="CZ172" s="330"/>
      <c r="DA172" s="330"/>
      <c r="DB172" s="330"/>
      <c r="DC172" s="330">
        <f>'245-бефстроганов (2)'!C25/2+'330-соус сметанный'!C23/1000*50/2</f>
        <v>1.6999999999999999E-3</v>
      </c>
      <c r="DD172" s="330"/>
      <c r="DE172" s="330"/>
      <c r="DF172" s="330"/>
      <c r="DG172" s="330"/>
      <c r="DH172" s="330"/>
      <c r="DI172" s="330"/>
      <c r="DJ172" s="330"/>
      <c r="DK172" s="330"/>
      <c r="DL172" s="330"/>
      <c r="DM172" s="330"/>
      <c r="DN172" s="330"/>
      <c r="DO172" s="330"/>
      <c r="DP172" s="330"/>
      <c r="DQ172" s="330"/>
      <c r="DR172" s="330"/>
      <c r="DS172" s="330"/>
      <c r="DT172" s="330"/>
      <c r="DU172" s="330"/>
      <c r="DV172" s="330"/>
      <c r="DW172" s="330"/>
      <c r="DX172" s="330"/>
      <c r="DY172" s="330"/>
      <c r="DZ172" s="330"/>
      <c r="EA172" s="330"/>
      <c r="EB172" s="330"/>
      <c r="EC172" s="330"/>
      <c r="ED172" s="330"/>
      <c r="EE172" s="330"/>
      <c r="EF172" s="330"/>
      <c r="EG172" s="330"/>
      <c r="EH172" s="330"/>
      <c r="EI172" s="330"/>
      <c r="EJ172" s="330"/>
      <c r="EK172" s="330"/>
      <c r="EL172" s="330"/>
      <c r="EM172" s="330"/>
      <c r="EN172" s="330"/>
      <c r="EO172" s="330"/>
      <c r="EP172" s="330"/>
      <c r="EQ172" s="330"/>
      <c r="ER172" s="330"/>
      <c r="ES172" s="330"/>
      <c r="ET172" s="330"/>
      <c r="EU172" s="330"/>
      <c r="EV172" s="330"/>
      <c r="EW172" s="330"/>
      <c r="EX172" s="330"/>
      <c r="EY172" s="1032">
        <f t="shared" si="17"/>
        <v>7.5840000000000005E-2</v>
      </c>
    </row>
    <row r="173" spans="1:166" s="467" customFormat="1" ht="14.7" customHeight="1" x14ac:dyDescent="0.25">
      <c r="A173" s="421">
        <v>169</v>
      </c>
      <c r="B173" s="417" t="str">
        <f>'246-гуляш 150'!A9</f>
        <v>Гуляш из отварной говядины</v>
      </c>
      <c r="C173" s="419">
        <f>'246-гуляш 150'!C35</f>
        <v>100</v>
      </c>
      <c r="D173" s="1211">
        <f>13.36/100*C173</f>
        <v>13.36</v>
      </c>
      <c r="E173" s="1211">
        <f>14.08/100*C173</f>
        <v>14.08</v>
      </c>
      <c r="F173" s="1211">
        <f>3.27/100*C173</f>
        <v>3.27</v>
      </c>
      <c r="G173" s="1212">
        <f>164/100*C173</f>
        <v>164</v>
      </c>
      <c r="H173" s="419">
        <f>'246-гуляш 150'!J7</f>
        <v>246</v>
      </c>
      <c r="I173" s="483">
        <f>'246-гуляш 150'!F37</f>
        <v>65.14</v>
      </c>
      <c r="J173" s="482">
        <f>'246-гуляш 150'!C19</f>
        <v>0.11</v>
      </c>
      <c r="K173" s="330"/>
      <c r="L173" s="330"/>
      <c r="M173" s="330"/>
      <c r="N173" s="330"/>
      <c r="O173" s="330"/>
      <c r="P173" s="330"/>
      <c r="Q173" s="330"/>
      <c r="R173" s="330"/>
      <c r="S173" s="330"/>
      <c r="T173" s="330"/>
      <c r="U173" s="330"/>
      <c r="V173" s="330"/>
      <c r="W173" s="330"/>
      <c r="X173" s="330"/>
      <c r="Y173" s="330"/>
      <c r="Z173" s="330"/>
      <c r="AA173" s="330"/>
      <c r="AB173" s="330"/>
      <c r="AC173" s="330"/>
      <c r="AD173" s="330"/>
      <c r="AE173" s="330"/>
      <c r="AF173" s="330"/>
      <c r="AG173" s="330"/>
      <c r="AH173" s="330"/>
      <c r="AI173" s="330"/>
      <c r="AJ173" s="330"/>
      <c r="AK173" s="330">
        <f>'246-гуляш 150'!C21+'246-гуляш 150'!C25</f>
        <v>1.4500000000000001E-2</v>
      </c>
      <c r="AL173" s="330"/>
      <c r="AM173" s="330"/>
      <c r="AN173" s="330">
        <f>'246-гуляш 150'!C27</f>
        <v>1.2E-2</v>
      </c>
      <c r="AO173" s="330"/>
      <c r="AP173" s="330"/>
      <c r="AQ173" s="330">
        <f>'246-гуляш 150'!C20+'246-гуляш 150'!C23</f>
        <v>1.55E-2</v>
      </c>
      <c r="AR173" s="330"/>
      <c r="AS173" s="330"/>
      <c r="AT173" s="330"/>
      <c r="AU173" s="330"/>
      <c r="AV173" s="330"/>
      <c r="AW173" s="330"/>
      <c r="AX173" s="330"/>
      <c r="AY173" s="330"/>
      <c r="AZ173" s="330"/>
      <c r="BA173" s="330"/>
      <c r="BB173" s="330"/>
      <c r="BC173" s="330"/>
      <c r="BD173" s="330"/>
      <c r="BE173" s="330"/>
      <c r="BF173" s="330"/>
      <c r="BG173" s="330"/>
      <c r="BH173" s="330"/>
      <c r="BI173" s="330"/>
      <c r="BJ173" s="330"/>
      <c r="BK173" s="330"/>
      <c r="BL173" s="330"/>
      <c r="BM173" s="330"/>
      <c r="BN173" s="330"/>
      <c r="BO173" s="330"/>
      <c r="BP173" s="330"/>
      <c r="BQ173" s="330"/>
      <c r="BR173" s="330"/>
      <c r="BS173" s="330">
        <f>'246-гуляш 150'!C26</f>
        <v>2E-3</v>
      </c>
      <c r="BT173" s="330"/>
      <c r="BU173" s="330"/>
      <c r="BV173" s="330"/>
      <c r="BW173" s="330"/>
      <c r="BX173" s="330"/>
      <c r="BY173" s="330"/>
      <c r="BZ173" s="330"/>
      <c r="CA173" s="330"/>
      <c r="CB173" s="330"/>
      <c r="CC173" s="330"/>
      <c r="CD173" s="330"/>
      <c r="CE173" s="330"/>
      <c r="CF173" s="330">
        <f>'246-гуляш 150'!C24</f>
        <v>5.0000000000000001E-3</v>
      </c>
      <c r="CG173" s="330"/>
      <c r="CH173" s="330"/>
      <c r="CI173" s="330"/>
      <c r="CJ173" s="330"/>
      <c r="CK173" s="330"/>
      <c r="CL173" s="330"/>
      <c r="CM173" s="330"/>
      <c r="CN173" s="330"/>
      <c r="CO173" s="330"/>
      <c r="CP173" s="330"/>
      <c r="CQ173" s="330"/>
      <c r="CR173" s="330"/>
      <c r="CS173" s="330">
        <f>'246-гуляш 150'!C29</f>
        <v>2.0000000000000002E-5</v>
      </c>
      <c r="CT173" s="330"/>
      <c r="CU173" s="330"/>
      <c r="CV173" s="330"/>
      <c r="CW173" s="330"/>
      <c r="CX173" s="330"/>
      <c r="CY173" s="330"/>
      <c r="CZ173" s="330"/>
      <c r="DA173" s="330"/>
      <c r="DB173" s="330"/>
      <c r="DC173" s="330">
        <f>'246-гуляш 150'!C28</f>
        <v>3.0000000000000001E-3</v>
      </c>
      <c r="DD173" s="330"/>
      <c r="DE173" s="330"/>
      <c r="DF173" s="330"/>
      <c r="DG173" s="330"/>
      <c r="DH173" s="330"/>
      <c r="DI173" s="330"/>
      <c r="DJ173" s="330"/>
      <c r="DK173" s="330"/>
      <c r="DL173" s="330"/>
      <c r="DM173" s="330"/>
      <c r="DN173" s="330"/>
      <c r="DO173" s="330"/>
      <c r="DP173" s="330"/>
      <c r="DQ173" s="330"/>
      <c r="DR173" s="330"/>
      <c r="DS173" s="330"/>
      <c r="DT173" s="330"/>
      <c r="DU173" s="330"/>
      <c r="DV173" s="330"/>
      <c r="DW173" s="330"/>
      <c r="DX173" s="330"/>
      <c r="DY173" s="330"/>
      <c r="DZ173" s="330"/>
      <c r="EA173" s="330"/>
      <c r="EB173" s="330"/>
      <c r="EC173" s="330"/>
      <c r="ED173" s="330"/>
      <c r="EE173" s="330"/>
      <c r="EF173" s="330"/>
      <c r="EG173" s="330"/>
      <c r="EH173" s="330"/>
      <c r="EI173" s="330"/>
      <c r="EJ173" s="330"/>
      <c r="EK173" s="330"/>
      <c r="EL173" s="330"/>
      <c r="EM173" s="330"/>
      <c r="EN173" s="330"/>
      <c r="EO173" s="330"/>
      <c r="EP173" s="330"/>
      <c r="EQ173" s="330"/>
      <c r="ER173" s="330"/>
      <c r="ES173" s="330"/>
      <c r="ET173" s="330"/>
      <c r="EU173" s="330"/>
      <c r="EV173" s="330"/>
      <c r="EW173" s="330"/>
      <c r="EX173" s="330"/>
      <c r="EY173" s="1032">
        <f t="shared" si="17"/>
        <v>0.16202</v>
      </c>
      <c r="EZ173" s="616"/>
      <c r="FA173" s="616"/>
      <c r="FB173" s="616"/>
      <c r="FC173" s="616"/>
      <c r="FD173" s="616"/>
      <c r="FE173" s="616"/>
      <c r="FF173" s="616"/>
      <c r="FG173" s="616"/>
      <c r="FH173" s="616"/>
      <c r="FI173" s="616"/>
      <c r="FJ173" s="616"/>
    </row>
    <row r="174" spans="1:166" s="467" customFormat="1" ht="14.7" customHeight="1" x14ac:dyDescent="0.25">
      <c r="A174" s="421">
        <v>170</v>
      </c>
      <c r="B174" s="417" t="str">
        <f>'247-мясо крупное'!A10</f>
        <v>Мясо, жаренное крупным куском с молочным соусом</v>
      </c>
      <c r="C174" s="419">
        <f>'247-мясо крупное'!C32</f>
        <v>80</v>
      </c>
      <c r="D174" s="1211">
        <f>13.04/80*C174</f>
        <v>13.04</v>
      </c>
      <c r="E174" s="1211">
        <f>12.02/80*C174</f>
        <v>12.02</v>
      </c>
      <c r="F174" s="1211">
        <f>2.11/80*C174</f>
        <v>2.11</v>
      </c>
      <c r="G174" s="1212">
        <f>181/80*C174</f>
        <v>181</v>
      </c>
      <c r="H174" s="419">
        <f>'247-мясо крупное'!J7</f>
        <v>247</v>
      </c>
      <c r="I174" s="483">
        <f>'247-мясо крупное'!F34</f>
        <v>62.79</v>
      </c>
      <c r="J174" s="482">
        <f>'247-мясо крупное'!C20</f>
        <v>0.105</v>
      </c>
      <c r="K174" s="330"/>
      <c r="L174" s="330"/>
      <c r="M174" s="330"/>
      <c r="N174" s="330"/>
      <c r="O174" s="330"/>
      <c r="P174" s="330"/>
      <c r="Q174" s="330"/>
      <c r="R174" s="330"/>
      <c r="S174" s="330"/>
      <c r="T174" s="330"/>
      <c r="U174" s="330">
        <f>'326-соус молочный'!C19/'326-соус молочный'!C28*1000*'247-мясо крупное'!C27</f>
        <v>1.4999999999999999E-2</v>
      </c>
      <c r="V174" s="330">
        <f>'326-соус молочный'!C20/'326-соус молочный'!C28*1000*'247-мясо крупное'!C27</f>
        <v>1.65E-3</v>
      </c>
      <c r="W174" s="330"/>
      <c r="X174" s="330"/>
      <c r="Y174" s="330"/>
      <c r="Z174" s="330"/>
      <c r="AA174" s="330"/>
      <c r="AB174" s="330"/>
      <c r="AC174" s="330"/>
      <c r="AD174" s="330"/>
      <c r="AE174" s="330"/>
      <c r="AF174" s="330"/>
      <c r="AG174" s="330"/>
      <c r="AH174" s="330"/>
      <c r="AI174" s="330"/>
      <c r="AJ174" s="330"/>
      <c r="AK174" s="330"/>
      <c r="AL174" s="330">
        <f>'247-мясо крупное'!C23</f>
        <v>2E-3</v>
      </c>
      <c r="AM174" s="330"/>
      <c r="AN174" s="330"/>
      <c r="AO174" s="330"/>
      <c r="AP174" s="330"/>
      <c r="AQ174" s="330"/>
      <c r="AR174" s="330"/>
      <c r="AS174" s="330"/>
      <c r="AT174" s="330"/>
      <c r="AU174" s="330">
        <f>'247-мясо крупное'!C24</f>
        <v>2E-3</v>
      </c>
      <c r="AV174" s="330"/>
      <c r="AW174" s="330"/>
      <c r="AX174" s="330"/>
      <c r="AY174" s="330"/>
      <c r="AZ174" s="330"/>
      <c r="BA174" s="330"/>
      <c r="BB174" s="330"/>
      <c r="BC174" s="330"/>
      <c r="BD174" s="330"/>
      <c r="BE174" s="330"/>
      <c r="BF174" s="330"/>
      <c r="BG174" s="330"/>
      <c r="BH174" s="330"/>
      <c r="BI174" s="330"/>
      <c r="BJ174" s="330"/>
      <c r="BK174" s="330"/>
      <c r="BL174" s="330"/>
      <c r="BM174" s="330"/>
      <c r="BN174" s="330"/>
      <c r="BO174" s="330"/>
      <c r="BP174" s="330"/>
      <c r="BQ174" s="330"/>
      <c r="BR174" s="330"/>
      <c r="BS174" s="330">
        <f>'326-соус молочный'!C21/'326-соус молочный'!C28*1000*'247-мясо крупное'!C27</f>
        <v>1.65E-3</v>
      </c>
      <c r="BT174" s="330"/>
      <c r="BU174" s="330"/>
      <c r="BV174" s="330"/>
      <c r="BW174" s="330"/>
      <c r="BX174" s="330"/>
      <c r="BY174" s="330"/>
      <c r="BZ174" s="330"/>
      <c r="CA174" s="330"/>
      <c r="CB174" s="330"/>
      <c r="CC174" s="330"/>
      <c r="CD174" s="330"/>
      <c r="CE174" s="330"/>
      <c r="CF174" s="330">
        <f>'247-мясо крупное'!C21</f>
        <v>2E-3</v>
      </c>
      <c r="CG174" s="330"/>
      <c r="CH174" s="330"/>
      <c r="CI174" s="330"/>
      <c r="CJ174" s="330"/>
      <c r="CK174" s="330"/>
      <c r="CL174" s="330"/>
      <c r="CM174" s="330"/>
      <c r="CN174" s="330"/>
      <c r="CO174" s="330"/>
      <c r="CP174" s="330"/>
      <c r="CQ174" s="330"/>
      <c r="CR174" s="330"/>
      <c r="CS174" s="330">
        <f>'247-мясо крупное'!C25+('326-соус молочный'!C24/'326-соус молочный'!C28*1000*'247-мясо крупное'!C27)</f>
        <v>2.0000000000000002E-5</v>
      </c>
      <c r="CT174" s="330"/>
      <c r="CU174" s="330"/>
      <c r="CV174" s="330"/>
      <c r="CW174" s="330"/>
      <c r="CX174" s="330"/>
      <c r="CY174" s="330"/>
      <c r="CZ174" s="330">
        <f>'326-соус молочный'!C23/'326-соус молочный'!C28*1000*'247-мясо крупное'!C27</f>
        <v>2.9999999999999997E-4</v>
      </c>
      <c r="DA174" s="330"/>
      <c r="DB174" s="330"/>
      <c r="DC174" s="330">
        <f>'247-мясо крупное'!C22+('326-соус молочный'!C25/'326-соус молочный'!C28*1000*'247-мясо крупное'!C27)</f>
        <v>3.2399999999999998E-3</v>
      </c>
      <c r="DD174" s="330"/>
      <c r="DE174" s="330"/>
      <c r="DF174" s="330"/>
      <c r="DG174" s="330"/>
      <c r="DH174" s="330"/>
      <c r="DI174" s="330"/>
      <c r="DJ174" s="330"/>
      <c r="DK174" s="330"/>
      <c r="DL174" s="330"/>
      <c r="DM174" s="330"/>
      <c r="DN174" s="330"/>
      <c r="DO174" s="330"/>
      <c r="DP174" s="330"/>
      <c r="DQ174" s="330"/>
      <c r="DR174" s="330"/>
      <c r="DS174" s="330"/>
      <c r="DT174" s="330"/>
      <c r="DU174" s="330"/>
      <c r="DV174" s="330"/>
      <c r="DW174" s="330"/>
      <c r="DX174" s="330"/>
      <c r="DY174" s="330"/>
      <c r="DZ174" s="330"/>
      <c r="EA174" s="330"/>
      <c r="EB174" s="330"/>
      <c r="EC174" s="330"/>
      <c r="ED174" s="330"/>
      <c r="EE174" s="330"/>
      <c r="EF174" s="330"/>
      <c r="EG174" s="330"/>
      <c r="EH174" s="330"/>
      <c r="EI174" s="330"/>
      <c r="EJ174" s="330"/>
      <c r="EK174" s="330"/>
      <c r="EL174" s="330"/>
      <c r="EM174" s="330"/>
      <c r="EN174" s="330"/>
      <c r="EO174" s="330"/>
      <c r="EP174" s="330"/>
      <c r="EQ174" s="330"/>
      <c r="ER174" s="330"/>
      <c r="ES174" s="330"/>
      <c r="ET174" s="330"/>
      <c r="EU174" s="330"/>
      <c r="EV174" s="330"/>
      <c r="EW174" s="330"/>
      <c r="EX174" s="330"/>
      <c r="EY174" s="1032">
        <f t="shared" si="17"/>
        <v>0.13286000000000001</v>
      </c>
      <c r="EZ174" s="616"/>
      <c r="FA174" s="616"/>
      <c r="FB174" s="616"/>
      <c r="FC174" s="616"/>
      <c r="FD174" s="616"/>
      <c r="FE174" s="616"/>
      <c r="FF174" s="616"/>
      <c r="FG174" s="616"/>
      <c r="FH174" s="616"/>
      <c r="FI174" s="616"/>
      <c r="FJ174" s="616"/>
    </row>
    <row r="175" spans="1:166" s="486" customFormat="1" ht="13.95" customHeight="1" x14ac:dyDescent="0.25">
      <c r="A175" s="421">
        <v>171</v>
      </c>
      <c r="B175" s="417" t="str">
        <f>'247-мясо крупное (2)'!A9</f>
        <v>Мясо, жаренное крупным куском (2 вариант) с молочным соусом</v>
      </c>
      <c r="C175" s="419">
        <f>'247-мясо крупное (2)'!C31</f>
        <v>75</v>
      </c>
      <c r="D175" s="1211">
        <f>13.04/80*C175</f>
        <v>12.23</v>
      </c>
      <c r="E175" s="1211">
        <f>12.02/80*C175</f>
        <v>11.27</v>
      </c>
      <c r="F175" s="1211">
        <f>2.11/80*C175</f>
        <v>1.98</v>
      </c>
      <c r="G175" s="1212">
        <f>181/80*C175</f>
        <v>170</v>
      </c>
      <c r="H175" s="419">
        <f>'247-мясо крупное (2)'!J7</f>
        <v>247</v>
      </c>
      <c r="I175" s="483">
        <f>'247-мясо крупное (2)'!F33</f>
        <v>35.31</v>
      </c>
      <c r="J175" s="482">
        <f>'247-мясо крупное (2)'!C19</f>
        <v>5.2999999999999999E-2</v>
      </c>
      <c r="K175" s="330"/>
      <c r="L175" s="330"/>
      <c r="M175" s="330"/>
      <c r="N175" s="330"/>
      <c r="O175" s="330"/>
      <c r="P175" s="330"/>
      <c r="Q175" s="330"/>
      <c r="R175" s="330"/>
      <c r="S175" s="330"/>
      <c r="T175" s="330"/>
      <c r="U175" s="330">
        <f>'326-соус молочный'!C19/'326-соус молочный'!C28*1000*'247-мясо крупное (2)'!C26</f>
        <v>2.5000000000000001E-2</v>
      </c>
      <c r="V175" s="330">
        <f>'326-соус молочный'!C20/'326-соус молочный'!C28*1000*'247-мясо крупное (2)'!C26</f>
        <v>2.7499999999999998E-3</v>
      </c>
      <c r="W175" s="330"/>
      <c r="X175" s="330"/>
      <c r="Y175" s="330"/>
      <c r="Z175" s="330"/>
      <c r="AA175" s="330"/>
      <c r="AB175" s="330"/>
      <c r="AC175" s="330"/>
      <c r="AD175" s="330"/>
      <c r="AE175" s="330"/>
      <c r="AF175" s="330"/>
      <c r="AG175" s="330"/>
      <c r="AH175" s="330"/>
      <c r="AI175" s="330"/>
      <c r="AJ175" s="330"/>
      <c r="AK175" s="330"/>
      <c r="AL175" s="330">
        <f>'247-мясо крупное (2)'!C22</f>
        <v>2E-3</v>
      </c>
      <c r="AM175" s="330"/>
      <c r="AN175" s="330"/>
      <c r="AO175" s="330"/>
      <c r="AP175" s="330"/>
      <c r="AQ175" s="330"/>
      <c r="AR175" s="330"/>
      <c r="AS175" s="330"/>
      <c r="AT175" s="330"/>
      <c r="AU175" s="330">
        <f>'247-мясо крупное (2)'!C23</f>
        <v>2E-3</v>
      </c>
      <c r="AV175" s="330"/>
      <c r="AW175" s="330"/>
      <c r="AX175" s="330"/>
      <c r="AY175" s="330"/>
      <c r="AZ175" s="330"/>
      <c r="BA175" s="330"/>
      <c r="BB175" s="330"/>
      <c r="BC175" s="330"/>
      <c r="BD175" s="330"/>
      <c r="BE175" s="330"/>
      <c r="BF175" s="330"/>
      <c r="BG175" s="330"/>
      <c r="BH175" s="330"/>
      <c r="BI175" s="330"/>
      <c r="BJ175" s="330"/>
      <c r="BK175" s="330"/>
      <c r="BL175" s="330"/>
      <c r="BM175" s="330"/>
      <c r="BN175" s="330"/>
      <c r="BO175" s="330"/>
      <c r="BP175" s="330"/>
      <c r="BQ175" s="330"/>
      <c r="BR175" s="330"/>
      <c r="BS175" s="330">
        <f>'326-соус молочный'!C21/'326-соус молочный'!C28*1000*'247-мясо крупное (2)'!C26</f>
        <v>2.7499999999999998E-3</v>
      </c>
      <c r="BT175" s="330"/>
      <c r="BU175" s="330"/>
      <c r="BV175" s="330"/>
      <c r="BW175" s="330"/>
      <c r="BX175" s="330"/>
      <c r="BY175" s="330"/>
      <c r="BZ175" s="330"/>
      <c r="CA175" s="330"/>
      <c r="CB175" s="330"/>
      <c r="CC175" s="330"/>
      <c r="CD175" s="330"/>
      <c r="CE175" s="330"/>
      <c r="CF175" s="330">
        <f>'247-мясо крупное (2)'!C20</f>
        <v>2E-3</v>
      </c>
      <c r="CG175" s="330"/>
      <c r="CH175" s="330"/>
      <c r="CI175" s="330"/>
      <c r="CJ175" s="330"/>
      <c r="CK175" s="330"/>
      <c r="CL175" s="330"/>
      <c r="CM175" s="330"/>
      <c r="CN175" s="330"/>
      <c r="CO175" s="330"/>
      <c r="CP175" s="330"/>
      <c r="CQ175" s="330"/>
      <c r="CR175" s="330"/>
      <c r="CS175" s="330">
        <f>'247-мясо крупное (2)'!C24+('326-соус молочный'!C24/'326-соус молочный'!C28*1000*'247-мясо крупное (2)'!C26)</f>
        <v>2.0000000000000002E-5</v>
      </c>
      <c r="CT175" s="330"/>
      <c r="CU175" s="330"/>
      <c r="CV175" s="330"/>
      <c r="CW175" s="330"/>
      <c r="CX175" s="330"/>
      <c r="CY175" s="330"/>
      <c r="CZ175" s="330">
        <f>'326-соус молочный'!C23/'326-соус молочный'!C28*1000*'247-мясо крупное (2)'!C26</f>
        <v>5.0000000000000001E-4</v>
      </c>
      <c r="DA175" s="330"/>
      <c r="DB175" s="330"/>
      <c r="DC175" s="330">
        <f>'247-мясо крупное (2)'!C21+('326-соус молочный'!C25/'326-соус молочный'!C28*1000*'247-мясо крупное (2)'!C26)</f>
        <v>3.3999999999999998E-3</v>
      </c>
      <c r="DD175" s="330"/>
      <c r="DE175" s="330"/>
      <c r="DF175" s="330"/>
      <c r="DG175" s="330"/>
      <c r="DH175" s="330"/>
      <c r="DI175" s="330"/>
      <c r="DJ175" s="330"/>
      <c r="DK175" s="330"/>
      <c r="DL175" s="330"/>
      <c r="DM175" s="330"/>
      <c r="DN175" s="330"/>
      <c r="DO175" s="330"/>
      <c r="DP175" s="330"/>
      <c r="DQ175" s="330"/>
      <c r="DR175" s="330"/>
      <c r="DS175" s="330"/>
      <c r="DT175" s="330"/>
      <c r="DU175" s="330"/>
      <c r="DV175" s="330"/>
      <c r="DW175" s="330"/>
      <c r="DX175" s="330"/>
      <c r="DY175" s="330"/>
      <c r="DZ175" s="330"/>
      <c r="EA175" s="330"/>
      <c r="EB175" s="330"/>
      <c r="EC175" s="330"/>
      <c r="ED175" s="330"/>
      <c r="EE175" s="330"/>
      <c r="EF175" s="330"/>
      <c r="EG175" s="330"/>
      <c r="EH175" s="330"/>
      <c r="EI175" s="330"/>
      <c r="EJ175" s="330"/>
      <c r="EK175" s="330"/>
      <c r="EL175" s="330"/>
      <c r="EM175" s="330"/>
      <c r="EN175" s="330"/>
      <c r="EO175" s="330"/>
      <c r="EP175" s="330"/>
      <c r="EQ175" s="330"/>
      <c r="ER175" s="330"/>
      <c r="ES175" s="330"/>
      <c r="ET175" s="330"/>
      <c r="EU175" s="330"/>
      <c r="EV175" s="330"/>
      <c r="EW175" s="330"/>
      <c r="EX175" s="330"/>
      <c r="EY175" s="1032">
        <f t="shared" si="17"/>
        <v>9.3420000000000003E-2</v>
      </c>
      <c r="EZ175" s="616"/>
      <c r="FA175" s="616"/>
      <c r="FB175" s="616"/>
      <c r="FC175" s="616"/>
      <c r="FD175" s="616"/>
      <c r="FE175" s="616"/>
      <c r="FF175" s="616"/>
      <c r="FG175" s="616"/>
      <c r="FH175" s="616"/>
      <c r="FI175" s="616"/>
      <c r="FJ175" s="616"/>
    </row>
    <row r="176" spans="1:166" s="467" customFormat="1" ht="14.7" customHeight="1" x14ac:dyDescent="0.25">
      <c r="A176" s="421">
        <v>172</v>
      </c>
      <c r="B176" s="417" t="str">
        <f>'249-антрекот'!A9</f>
        <v>Антрекот</v>
      </c>
      <c r="C176" s="419">
        <f>'249-антрекот'!C30</f>
        <v>100</v>
      </c>
      <c r="D176" s="1211">
        <f>13.39/100*C176</f>
        <v>13.39</v>
      </c>
      <c r="E176" s="1211">
        <f>13.71/100*C176</f>
        <v>13.71</v>
      </c>
      <c r="F176" s="1211">
        <v>0</v>
      </c>
      <c r="G176" s="1212">
        <f>182/100*C176</f>
        <v>182</v>
      </c>
      <c r="H176" s="419">
        <f>'249-антрекот'!J7</f>
        <v>249</v>
      </c>
      <c r="I176" s="483">
        <f>'249-антрекот'!F32</f>
        <v>62.93</v>
      </c>
      <c r="J176" s="482">
        <f>'249-антрекот'!C19</f>
        <v>0.109</v>
      </c>
      <c r="K176" s="330"/>
      <c r="L176" s="330"/>
      <c r="M176" s="330"/>
      <c r="N176" s="330"/>
      <c r="O176" s="330"/>
      <c r="P176" s="330"/>
      <c r="Q176" s="330"/>
      <c r="R176" s="330"/>
      <c r="S176" s="330"/>
      <c r="T176" s="330"/>
      <c r="U176" s="330"/>
      <c r="V176" s="330"/>
      <c r="W176" s="330"/>
      <c r="X176" s="330"/>
      <c r="Y176" s="330"/>
      <c r="Z176" s="330"/>
      <c r="AA176" s="330"/>
      <c r="AB176" s="330"/>
      <c r="AC176" s="330"/>
      <c r="AD176" s="330"/>
      <c r="AE176" s="330"/>
      <c r="AF176" s="330"/>
      <c r="AG176" s="330"/>
      <c r="AH176" s="330"/>
      <c r="AI176" s="330"/>
      <c r="AJ176" s="330"/>
      <c r="AK176" s="330"/>
      <c r="AL176" s="330">
        <f>'249-антрекот'!C22</f>
        <v>2E-3</v>
      </c>
      <c r="AM176" s="330"/>
      <c r="AN176" s="330"/>
      <c r="AO176" s="330"/>
      <c r="AP176" s="330"/>
      <c r="AQ176" s="330"/>
      <c r="AR176" s="330"/>
      <c r="AS176" s="330"/>
      <c r="AT176" s="330"/>
      <c r="AU176" s="330">
        <f>'249-антрекот'!C23</f>
        <v>2E-3</v>
      </c>
      <c r="AV176" s="330"/>
      <c r="AW176" s="330"/>
      <c r="AX176" s="330"/>
      <c r="AY176" s="330"/>
      <c r="AZ176" s="330"/>
      <c r="BA176" s="330"/>
      <c r="BB176" s="330"/>
      <c r="BC176" s="330"/>
      <c r="BD176" s="330"/>
      <c r="BE176" s="330"/>
      <c r="BF176" s="330"/>
      <c r="BG176" s="330"/>
      <c r="BH176" s="330"/>
      <c r="BI176" s="330"/>
      <c r="BJ176" s="330"/>
      <c r="BK176" s="330"/>
      <c r="BL176" s="330"/>
      <c r="BM176" s="330"/>
      <c r="BN176" s="330"/>
      <c r="BO176" s="330"/>
      <c r="BP176" s="330"/>
      <c r="BQ176" s="330"/>
      <c r="BR176" s="330"/>
      <c r="BS176" s="330"/>
      <c r="BT176" s="330"/>
      <c r="BU176" s="330"/>
      <c r="BV176" s="330"/>
      <c r="BW176" s="330"/>
      <c r="BX176" s="330"/>
      <c r="BY176" s="330"/>
      <c r="BZ176" s="330"/>
      <c r="CA176" s="330"/>
      <c r="CB176" s="330"/>
      <c r="CC176" s="330"/>
      <c r="CD176" s="330"/>
      <c r="CE176" s="330"/>
      <c r="CF176" s="330">
        <f>'249-антрекот'!C20</f>
        <v>5.0000000000000001E-3</v>
      </c>
      <c r="CG176" s="330"/>
      <c r="CH176" s="330"/>
      <c r="CI176" s="330"/>
      <c r="CJ176" s="330"/>
      <c r="CK176" s="330"/>
      <c r="CL176" s="330"/>
      <c r="CM176" s="330"/>
      <c r="CN176" s="330"/>
      <c r="CO176" s="330"/>
      <c r="CP176" s="330"/>
      <c r="CQ176" s="330"/>
      <c r="CR176" s="330"/>
      <c r="CS176" s="330">
        <f>'249-антрекот'!C24</f>
        <v>2.0000000000000002E-5</v>
      </c>
      <c r="CT176" s="330"/>
      <c r="CU176" s="330"/>
      <c r="CV176" s="330"/>
      <c r="CW176" s="330"/>
      <c r="CX176" s="330"/>
      <c r="CY176" s="330"/>
      <c r="CZ176" s="330"/>
      <c r="DA176" s="330"/>
      <c r="DB176" s="330"/>
      <c r="DC176" s="330">
        <f>'249-антрекот'!C21</f>
        <v>3.0000000000000001E-3</v>
      </c>
      <c r="DD176" s="330"/>
      <c r="DE176" s="330"/>
      <c r="DF176" s="330"/>
      <c r="DG176" s="330"/>
      <c r="DH176" s="330"/>
      <c r="DI176" s="330"/>
      <c r="DJ176" s="330"/>
      <c r="DK176" s="330"/>
      <c r="DL176" s="330"/>
      <c r="DM176" s="330"/>
      <c r="DN176" s="330"/>
      <c r="DO176" s="330"/>
      <c r="DP176" s="330"/>
      <c r="DQ176" s="330"/>
      <c r="DR176" s="330"/>
      <c r="DS176" s="330"/>
      <c r="DT176" s="330"/>
      <c r="DU176" s="330"/>
      <c r="DV176" s="330"/>
      <c r="DW176" s="330"/>
      <c r="DX176" s="330"/>
      <c r="DY176" s="330"/>
      <c r="DZ176" s="330"/>
      <c r="EA176" s="330"/>
      <c r="EB176" s="330"/>
      <c r="EC176" s="330"/>
      <c r="ED176" s="330"/>
      <c r="EE176" s="330"/>
      <c r="EF176" s="330"/>
      <c r="EG176" s="330"/>
      <c r="EH176" s="330"/>
      <c r="EI176" s="330"/>
      <c r="EJ176" s="330"/>
      <c r="EK176" s="330"/>
      <c r="EL176" s="330"/>
      <c r="EM176" s="330"/>
      <c r="EN176" s="330"/>
      <c r="EO176" s="330"/>
      <c r="EP176" s="330"/>
      <c r="EQ176" s="330"/>
      <c r="ER176" s="330"/>
      <c r="ES176" s="330"/>
      <c r="ET176" s="330"/>
      <c r="EU176" s="330"/>
      <c r="EV176" s="330"/>
      <c r="EW176" s="330"/>
      <c r="EX176" s="330"/>
      <c r="EY176" s="1032">
        <f t="shared" si="17"/>
        <v>0.12102</v>
      </c>
      <c r="EZ176" s="616"/>
      <c r="FA176" s="616"/>
      <c r="FB176" s="616"/>
      <c r="FC176" s="616"/>
      <c r="FD176" s="616"/>
      <c r="FE176" s="616"/>
      <c r="FF176" s="616"/>
      <c r="FG176" s="616"/>
      <c r="FH176" s="616"/>
      <c r="FI176" s="616"/>
      <c r="FJ176" s="616"/>
    </row>
    <row r="177" spans="1:166" s="467" customFormat="1" ht="14.7" customHeight="1" x14ac:dyDescent="0.25">
      <c r="A177" s="421">
        <v>173</v>
      </c>
      <c r="B177" s="417" t="str">
        <f>'250-бефстроганов жар.'!A9</f>
        <v xml:space="preserve">Бефстроганов </v>
      </c>
      <c r="C177" s="419">
        <f>'250-бефстроганов жар.'!C36</f>
        <v>100</v>
      </c>
      <c r="D177" s="1211">
        <f>15.2/100*C177</f>
        <v>15.2</v>
      </c>
      <c r="E177" s="1211">
        <f>23.1/100*C177</f>
        <v>23.1</v>
      </c>
      <c r="F177" s="1211">
        <f>5.12/100*C177</f>
        <v>5.12</v>
      </c>
      <c r="G177" s="1212">
        <f>290/100*C177</f>
        <v>290</v>
      </c>
      <c r="H177" s="419">
        <f>'250-бефстроганов жар.'!J7</f>
        <v>250</v>
      </c>
      <c r="I177" s="483">
        <f>'250-бефстроганов жар.'!F38</f>
        <v>69.02</v>
      </c>
      <c r="J177" s="482">
        <f>'250-бефстроганов жар.'!C19</f>
        <v>0.107</v>
      </c>
      <c r="K177" s="330"/>
      <c r="L177" s="330"/>
      <c r="M177" s="330"/>
      <c r="N177" s="330"/>
      <c r="O177" s="330"/>
      <c r="P177" s="330"/>
      <c r="Q177" s="330"/>
      <c r="R177" s="330"/>
      <c r="S177" s="330"/>
      <c r="T177" s="330"/>
      <c r="U177" s="330"/>
      <c r="V177" s="330"/>
      <c r="W177" s="330"/>
      <c r="X177" s="330"/>
      <c r="Y177" s="330">
        <f>'250-бефстроганов жар.'!C24</f>
        <v>2.3E-2</v>
      </c>
      <c r="Z177" s="330"/>
      <c r="AA177" s="330"/>
      <c r="AB177" s="330"/>
      <c r="AC177" s="330"/>
      <c r="AD177" s="330"/>
      <c r="AE177" s="330"/>
      <c r="AF177" s="330"/>
      <c r="AG177" s="330"/>
      <c r="AH177" s="330"/>
      <c r="AI177" s="330"/>
      <c r="AJ177" s="330"/>
      <c r="AK177" s="330">
        <f>'250-бефстроганов жар.'!C20</f>
        <v>2.9000000000000001E-2</v>
      </c>
      <c r="AL177" s="330">
        <f>'250-бефстроганов жар.'!C29</f>
        <v>2E-3</v>
      </c>
      <c r="AM177" s="330"/>
      <c r="AN177" s="330"/>
      <c r="AO177" s="330"/>
      <c r="AP177" s="330"/>
      <c r="AQ177" s="330"/>
      <c r="AR177" s="330"/>
      <c r="AS177" s="330"/>
      <c r="AT177" s="330"/>
      <c r="AU177" s="330">
        <f>'250-бефстроганов жар.'!C30</f>
        <v>2E-3</v>
      </c>
      <c r="AV177" s="330"/>
      <c r="AW177" s="330"/>
      <c r="AX177" s="330"/>
      <c r="AY177" s="330"/>
      <c r="AZ177" s="330"/>
      <c r="BA177" s="330"/>
      <c r="BB177" s="330"/>
      <c r="BC177" s="330"/>
      <c r="BD177" s="330"/>
      <c r="BE177" s="330"/>
      <c r="BF177" s="330"/>
      <c r="BG177" s="330"/>
      <c r="BH177" s="330"/>
      <c r="BI177" s="330"/>
      <c r="BJ177" s="330"/>
      <c r="BK177" s="330"/>
      <c r="BL177" s="330"/>
      <c r="BM177" s="330"/>
      <c r="BN177" s="330"/>
      <c r="BO177" s="330"/>
      <c r="BP177" s="330"/>
      <c r="BQ177" s="330"/>
      <c r="BR177" s="330"/>
      <c r="BS177" s="330">
        <f>'250-бефстроганов жар.'!C23</f>
        <v>4.0000000000000001E-3</v>
      </c>
      <c r="BT177" s="330"/>
      <c r="BU177" s="330"/>
      <c r="BV177" s="330"/>
      <c r="BW177" s="330"/>
      <c r="BX177" s="330"/>
      <c r="BY177" s="330"/>
      <c r="BZ177" s="330"/>
      <c r="CA177" s="330"/>
      <c r="CB177" s="330"/>
      <c r="CC177" s="330"/>
      <c r="CD177" s="330"/>
      <c r="CE177" s="330"/>
      <c r="CF177" s="330">
        <f>'250-бефстроганов жар.'!C21</f>
        <v>7.0000000000000001E-3</v>
      </c>
      <c r="CG177" s="330"/>
      <c r="CH177" s="330"/>
      <c r="CI177" s="330"/>
      <c r="CJ177" s="330"/>
      <c r="CK177" s="330"/>
      <c r="CL177" s="330"/>
      <c r="CM177" s="330"/>
      <c r="CN177" s="330"/>
      <c r="CO177" s="330"/>
      <c r="CP177" s="330"/>
      <c r="CQ177" s="330"/>
      <c r="CR177" s="330"/>
      <c r="CS177" s="330">
        <f>'250-бефстроганов жар.'!C28</f>
        <v>2.0000000000000002E-5</v>
      </c>
      <c r="CT177" s="330"/>
      <c r="CU177" s="330"/>
      <c r="CV177" s="330"/>
      <c r="CW177" s="330"/>
      <c r="CX177" s="330"/>
      <c r="CY177" s="330"/>
      <c r="CZ177" s="330"/>
      <c r="DA177" s="330"/>
      <c r="DB177" s="330"/>
      <c r="DC177" s="330">
        <f>'250-бефстроганов жар.'!C27</f>
        <v>3.0000000000000001E-3</v>
      </c>
      <c r="DD177" s="330"/>
      <c r="DE177" s="330"/>
      <c r="DF177" s="330"/>
      <c r="DG177" s="330"/>
      <c r="DH177" s="330"/>
      <c r="DI177" s="330"/>
      <c r="DJ177" s="330"/>
      <c r="DK177" s="330"/>
      <c r="DL177" s="330"/>
      <c r="DM177" s="330"/>
      <c r="DN177" s="330"/>
      <c r="DO177" s="330"/>
      <c r="DP177" s="330"/>
      <c r="DQ177" s="330"/>
      <c r="DR177" s="330"/>
      <c r="DS177" s="330"/>
      <c r="DT177" s="330"/>
      <c r="DU177" s="330"/>
      <c r="DV177" s="330"/>
      <c r="DW177" s="330"/>
      <c r="DX177" s="330"/>
      <c r="DY177" s="330"/>
      <c r="DZ177" s="330"/>
      <c r="EA177" s="330"/>
      <c r="EB177" s="330"/>
      <c r="EC177" s="330"/>
      <c r="ED177" s="330"/>
      <c r="EE177" s="330"/>
      <c r="EF177" s="330"/>
      <c r="EG177" s="330"/>
      <c r="EH177" s="330"/>
      <c r="EI177" s="330"/>
      <c r="EJ177" s="330"/>
      <c r="EK177" s="330"/>
      <c r="EL177" s="330"/>
      <c r="EM177" s="330"/>
      <c r="EN177" s="330"/>
      <c r="EO177" s="330"/>
      <c r="EP177" s="330"/>
      <c r="EQ177" s="330"/>
      <c r="ER177" s="330"/>
      <c r="ES177" s="330"/>
      <c r="ET177" s="330"/>
      <c r="EU177" s="330"/>
      <c r="EV177" s="330"/>
      <c r="EW177" s="330"/>
      <c r="EX177" s="330"/>
      <c r="EY177" s="1032">
        <f t="shared" si="17"/>
        <v>0.17702000000000001</v>
      </c>
      <c r="EZ177" s="616"/>
      <c r="FA177" s="616"/>
      <c r="FB177" s="616"/>
      <c r="FC177" s="616"/>
      <c r="FD177" s="616"/>
      <c r="FE177" s="616"/>
      <c r="FF177" s="616"/>
      <c r="FG177" s="616"/>
      <c r="FH177" s="616"/>
      <c r="FI177" s="616"/>
      <c r="FJ177" s="616"/>
    </row>
    <row r="178" spans="1:166" s="467" customFormat="1" ht="14.7" customHeight="1" x14ac:dyDescent="0.25">
      <c r="A178" s="421">
        <v>174</v>
      </c>
      <c r="B178" s="417" t="str">
        <f>'251-поджарка'!A9</f>
        <v>Поджарка из говядины</v>
      </c>
      <c r="C178" s="419">
        <f>'251-поджарка'!C34</f>
        <v>65</v>
      </c>
      <c r="D178" s="1211">
        <f>13.88/65*C178</f>
        <v>13.88</v>
      </c>
      <c r="E178" s="1211">
        <f>18.07/65*C178</f>
        <v>18.07</v>
      </c>
      <c r="F178" s="1211">
        <f>2.67/65*C178</f>
        <v>2.67</v>
      </c>
      <c r="G178" s="1212">
        <f>228/65*C178</f>
        <v>228</v>
      </c>
      <c r="H178" s="419">
        <f>'251-поджарка'!J7</f>
        <v>251</v>
      </c>
      <c r="I178" s="483">
        <f>'251-поджарка'!F36</f>
        <v>65.55</v>
      </c>
      <c r="J178" s="482">
        <f>'251-поджарка'!C19</f>
        <v>0.107</v>
      </c>
      <c r="K178" s="330"/>
      <c r="L178" s="330"/>
      <c r="M178" s="330"/>
      <c r="N178" s="330"/>
      <c r="O178" s="330"/>
      <c r="P178" s="330"/>
      <c r="Q178" s="330"/>
      <c r="R178" s="330"/>
      <c r="S178" s="330"/>
      <c r="T178" s="330"/>
      <c r="U178" s="330"/>
      <c r="V178" s="330"/>
      <c r="W178" s="330"/>
      <c r="X178" s="330"/>
      <c r="Y178" s="330"/>
      <c r="Z178" s="330"/>
      <c r="AA178" s="330"/>
      <c r="AB178" s="330"/>
      <c r="AC178" s="330"/>
      <c r="AD178" s="330"/>
      <c r="AE178" s="330"/>
      <c r="AF178" s="330"/>
      <c r="AG178" s="330"/>
      <c r="AH178" s="330"/>
      <c r="AI178" s="330"/>
      <c r="AJ178" s="330"/>
      <c r="AK178" s="330">
        <f>'251-поджарка'!C21</f>
        <v>2.4E-2</v>
      </c>
      <c r="AL178" s="330">
        <f>'251-поджарка'!C28</f>
        <v>2E-3</v>
      </c>
      <c r="AM178" s="330"/>
      <c r="AN178" s="330"/>
      <c r="AO178" s="330"/>
      <c r="AP178" s="330"/>
      <c r="AQ178" s="330"/>
      <c r="AR178" s="330"/>
      <c r="AS178" s="330"/>
      <c r="AT178" s="330"/>
      <c r="AU178" s="330">
        <f>'251-поджарка'!C29</f>
        <v>2E-3</v>
      </c>
      <c r="AV178" s="330"/>
      <c r="AW178" s="330"/>
      <c r="AX178" s="330"/>
      <c r="AY178" s="330"/>
      <c r="AZ178" s="330"/>
      <c r="BA178" s="330"/>
      <c r="BB178" s="330"/>
      <c r="BC178" s="330"/>
      <c r="BD178" s="330"/>
      <c r="BE178" s="330"/>
      <c r="BF178" s="330"/>
      <c r="BG178" s="330"/>
      <c r="BH178" s="330"/>
      <c r="BI178" s="330"/>
      <c r="BJ178" s="330"/>
      <c r="BK178" s="330"/>
      <c r="BL178" s="330"/>
      <c r="BM178" s="330"/>
      <c r="BN178" s="330"/>
      <c r="BO178" s="330"/>
      <c r="BP178" s="330"/>
      <c r="BQ178" s="330"/>
      <c r="BR178" s="330"/>
      <c r="BS178" s="330"/>
      <c r="BT178" s="330"/>
      <c r="BU178" s="330"/>
      <c r="BV178" s="330"/>
      <c r="BW178" s="330"/>
      <c r="BX178" s="330"/>
      <c r="BY178" s="330"/>
      <c r="BZ178" s="330"/>
      <c r="CA178" s="330"/>
      <c r="CB178" s="330"/>
      <c r="CC178" s="330"/>
      <c r="CD178" s="330"/>
      <c r="CE178" s="330"/>
      <c r="CF178" s="330">
        <f>'251-поджарка'!C22</f>
        <v>7.0000000000000001E-3</v>
      </c>
      <c r="CG178" s="330"/>
      <c r="CH178" s="330"/>
      <c r="CI178" s="330"/>
      <c r="CJ178" s="330"/>
      <c r="CK178" s="330"/>
      <c r="CL178" s="330"/>
      <c r="CM178" s="330"/>
      <c r="CN178" s="330"/>
      <c r="CO178" s="330"/>
      <c r="CP178" s="330"/>
      <c r="CQ178" s="330"/>
      <c r="CR178" s="330"/>
      <c r="CS178" s="330">
        <f>'251-поджарка'!C27</f>
        <v>2.0000000000000002E-5</v>
      </c>
      <c r="CT178" s="330"/>
      <c r="CU178" s="330"/>
      <c r="CV178" s="330"/>
      <c r="CW178" s="330"/>
      <c r="CX178" s="330"/>
      <c r="CY178" s="330"/>
      <c r="CZ178" s="330"/>
      <c r="DA178" s="330"/>
      <c r="DB178" s="330"/>
      <c r="DC178" s="330">
        <f>'251-поджарка'!C26</f>
        <v>3.0000000000000001E-3</v>
      </c>
      <c r="DD178" s="330"/>
      <c r="DE178" s="330"/>
      <c r="DF178" s="330">
        <f>'251-поджарка'!C24</f>
        <v>0.01</v>
      </c>
      <c r="DG178" s="330"/>
      <c r="DH178" s="330"/>
      <c r="DI178" s="330"/>
      <c r="DJ178" s="330"/>
      <c r="DK178" s="330"/>
      <c r="DL178" s="330"/>
      <c r="DM178" s="330"/>
      <c r="DN178" s="330"/>
      <c r="DO178" s="330"/>
      <c r="DP178" s="330"/>
      <c r="DQ178" s="330"/>
      <c r="DR178" s="330"/>
      <c r="DS178" s="330"/>
      <c r="DT178" s="330"/>
      <c r="DU178" s="330"/>
      <c r="DV178" s="330"/>
      <c r="DW178" s="330"/>
      <c r="DX178" s="330"/>
      <c r="DY178" s="330"/>
      <c r="DZ178" s="330"/>
      <c r="EA178" s="330"/>
      <c r="EB178" s="330"/>
      <c r="EC178" s="330"/>
      <c r="ED178" s="330"/>
      <c r="EE178" s="330"/>
      <c r="EF178" s="330"/>
      <c r="EG178" s="330"/>
      <c r="EH178" s="330"/>
      <c r="EI178" s="330"/>
      <c r="EJ178" s="330"/>
      <c r="EK178" s="330"/>
      <c r="EL178" s="330"/>
      <c r="EM178" s="330"/>
      <c r="EN178" s="330"/>
      <c r="EO178" s="330"/>
      <c r="EP178" s="330"/>
      <c r="EQ178" s="330"/>
      <c r="ER178" s="330"/>
      <c r="ES178" s="330"/>
      <c r="ET178" s="330"/>
      <c r="EU178" s="330"/>
      <c r="EV178" s="330"/>
      <c r="EW178" s="330"/>
      <c r="EX178" s="330"/>
      <c r="EY178" s="1032">
        <f t="shared" si="17"/>
        <v>0.15501999999999999</v>
      </c>
      <c r="EZ178" s="616"/>
      <c r="FA178" s="616"/>
      <c r="FB178" s="616"/>
      <c r="FC178" s="616"/>
      <c r="FD178" s="616"/>
      <c r="FE178" s="616"/>
      <c r="FF178" s="616"/>
      <c r="FG178" s="616"/>
      <c r="FH178" s="616"/>
      <c r="FI178" s="616"/>
      <c r="FJ178" s="616"/>
    </row>
    <row r="179" spans="1:166" s="486" customFormat="1" ht="14.7" customHeight="1" x14ac:dyDescent="0.25">
      <c r="A179" s="421">
        <v>175</v>
      </c>
      <c r="B179" s="417" t="str">
        <f>'251-поджарка (2)'!A9</f>
        <v>Поджарка из говядины (2 вариант)</v>
      </c>
      <c r="C179" s="419">
        <f>'251-поджарка (2)'!C33</f>
        <v>40</v>
      </c>
      <c r="D179" s="1211">
        <f>13.88/65*C179</f>
        <v>8.5399999999999991</v>
      </c>
      <c r="E179" s="1211">
        <f>18.07/65*C179</f>
        <v>11.12</v>
      </c>
      <c r="F179" s="1211">
        <f>2.67/65*C179</f>
        <v>1.64</v>
      </c>
      <c r="G179" s="1212">
        <f>228/65*C179</f>
        <v>140</v>
      </c>
      <c r="H179" s="419">
        <f>'251-поджарка (2)'!J7</f>
        <v>251</v>
      </c>
      <c r="I179" s="483">
        <f>'251-поджарка (2)'!F36</f>
        <v>35.869999999999997</v>
      </c>
      <c r="J179" s="482">
        <f>'251-поджарка (2)'!C19</f>
        <v>5.3999999999999999E-2</v>
      </c>
      <c r="K179" s="330"/>
      <c r="L179" s="330"/>
      <c r="M179" s="330"/>
      <c r="N179" s="330"/>
      <c r="O179" s="330"/>
      <c r="P179" s="330"/>
      <c r="Q179" s="330"/>
      <c r="R179" s="330"/>
      <c r="S179" s="330"/>
      <c r="T179" s="330"/>
      <c r="U179" s="330"/>
      <c r="V179" s="330"/>
      <c r="W179" s="330"/>
      <c r="X179" s="330"/>
      <c r="Y179" s="330"/>
      <c r="Z179" s="330"/>
      <c r="AA179" s="330"/>
      <c r="AB179" s="330"/>
      <c r="AC179" s="330"/>
      <c r="AD179" s="330"/>
      <c r="AE179" s="330"/>
      <c r="AF179" s="330"/>
      <c r="AG179" s="330"/>
      <c r="AH179" s="330"/>
      <c r="AI179" s="330"/>
      <c r="AJ179" s="330"/>
      <c r="AK179" s="330">
        <f>'251-поджарка (2)'!C21</f>
        <v>2.4E-2</v>
      </c>
      <c r="AL179" s="330">
        <f>'251-поджарка (2)'!C28</f>
        <v>2E-3</v>
      </c>
      <c r="AM179" s="330"/>
      <c r="AN179" s="330"/>
      <c r="AO179" s="330"/>
      <c r="AP179" s="330"/>
      <c r="AQ179" s="330"/>
      <c r="AR179" s="330"/>
      <c r="AS179" s="330"/>
      <c r="AT179" s="330"/>
      <c r="AU179" s="330">
        <f>'251-поджарка (2)'!C29</f>
        <v>2E-3</v>
      </c>
      <c r="AV179" s="330"/>
      <c r="AW179" s="330"/>
      <c r="AX179" s="330"/>
      <c r="AY179" s="330"/>
      <c r="AZ179" s="330"/>
      <c r="BA179" s="330"/>
      <c r="BB179" s="330"/>
      <c r="BC179" s="330"/>
      <c r="BD179" s="330"/>
      <c r="BE179" s="330"/>
      <c r="BF179" s="330"/>
      <c r="BG179" s="330"/>
      <c r="BH179" s="330"/>
      <c r="BI179" s="330"/>
      <c r="BJ179" s="330"/>
      <c r="BK179" s="330"/>
      <c r="BL179" s="330"/>
      <c r="BM179" s="330"/>
      <c r="BN179" s="330"/>
      <c r="BO179" s="330"/>
      <c r="BP179" s="330"/>
      <c r="BQ179" s="330"/>
      <c r="BR179" s="330"/>
      <c r="BS179" s="330"/>
      <c r="BT179" s="330"/>
      <c r="BU179" s="330"/>
      <c r="BV179" s="330"/>
      <c r="BW179" s="330"/>
      <c r="BX179" s="330"/>
      <c r="BY179" s="330"/>
      <c r="BZ179" s="330"/>
      <c r="CA179" s="330"/>
      <c r="CB179" s="330"/>
      <c r="CC179" s="330"/>
      <c r="CD179" s="330"/>
      <c r="CE179" s="330"/>
      <c r="CF179" s="330">
        <f>'251-поджарка (2)'!C22</f>
        <v>7.0000000000000001E-3</v>
      </c>
      <c r="CG179" s="330"/>
      <c r="CH179" s="330"/>
      <c r="CI179" s="330"/>
      <c r="CJ179" s="330"/>
      <c r="CK179" s="330"/>
      <c r="CL179" s="330"/>
      <c r="CM179" s="330"/>
      <c r="CN179" s="330"/>
      <c r="CO179" s="330"/>
      <c r="CP179" s="330"/>
      <c r="CQ179" s="330"/>
      <c r="CR179" s="330"/>
      <c r="CS179" s="330">
        <f>'251-поджарка (2)'!C27</f>
        <v>2.0000000000000002E-5</v>
      </c>
      <c r="CT179" s="330"/>
      <c r="CU179" s="330"/>
      <c r="CV179" s="330"/>
      <c r="CW179" s="330"/>
      <c r="CX179" s="330"/>
      <c r="CY179" s="330"/>
      <c r="CZ179" s="330"/>
      <c r="DA179" s="330"/>
      <c r="DB179" s="330"/>
      <c r="DC179" s="330">
        <f>'251-поджарка (2)'!C26</f>
        <v>3.0000000000000001E-3</v>
      </c>
      <c r="DD179" s="330"/>
      <c r="DE179" s="330"/>
      <c r="DF179" s="330">
        <f>'251-поджарка (2)'!C24</f>
        <v>0.01</v>
      </c>
      <c r="DG179" s="330"/>
      <c r="DH179" s="330"/>
      <c r="DI179" s="330"/>
      <c r="DJ179" s="330"/>
      <c r="DK179" s="330"/>
      <c r="DL179" s="330"/>
      <c r="DM179" s="330"/>
      <c r="DN179" s="330"/>
      <c r="DO179" s="330"/>
      <c r="DP179" s="330"/>
      <c r="DQ179" s="330"/>
      <c r="DR179" s="330"/>
      <c r="DS179" s="330"/>
      <c r="DT179" s="330"/>
      <c r="DU179" s="330"/>
      <c r="DV179" s="330"/>
      <c r="DW179" s="330"/>
      <c r="DX179" s="330"/>
      <c r="DY179" s="330"/>
      <c r="DZ179" s="330"/>
      <c r="EA179" s="330"/>
      <c r="EB179" s="330"/>
      <c r="EC179" s="330"/>
      <c r="ED179" s="330"/>
      <c r="EE179" s="330"/>
      <c r="EF179" s="330"/>
      <c r="EG179" s="330"/>
      <c r="EH179" s="330"/>
      <c r="EI179" s="330"/>
      <c r="EJ179" s="330"/>
      <c r="EK179" s="330"/>
      <c r="EL179" s="330"/>
      <c r="EM179" s="330"/>
      <c r="EN179" s="330"/>
      <c r="EO179" s="330"/>
      <c r="EP179" s="330"/>
      <c r="EQ179" s="330"/>
      <c r="ER179" s="330"/>
      <c r="ES179" s="330"/>
      <c r="ET179" s="330"/>
      <c r="EU179" s="330"/>
      <c r="EV179" s="330"/>
      <c r="EW179" s="330"/>
      <c r="EX179" s="330"/>
      <c r="EY179" s="1032">
        <f t="shared" ref="EY179:EY245" si="18">SUM(J179:EX179)</f>
        <v>0.10202</v>
      </c>
      <c r="EZ179" s="616"/>
      <c r="FA179" s="616"/>
      <c r="FB179" s="616"/>
      <c r="FC179" s="616"/>
      <c r="FD179" s="616"/>
      <c r="FE179" s="616"/>
      <c r="FF179" s="616"/>
      <c r="FG179" s="616"/>
      <c r="FH179" s="616"/>
      <c r="FI179" s="616"/>
      <c r="FJ179" s="616"/>
    </row>
    <row r="180" spans="1:166" ht="14.7" customHeight="1" x14ac:dyDescent="0.25">
      <c r="A180" s="421">
        <v>176</v>
      </c>
      <c r="B180" s="417" t="str">
        <f>'252-сосиски жареные'!A9</f>
        <v>Сосиски жареные с соусом сметанным и луком</v>
      </c>
      <c r="C180" s="419">
        <f>'252-сосиски жареные'!C29</f>
        <v>80</v>
      </c>
      <c r="D180" s="1211">
        <f>5.88/80*C180</f>
        <v>5.88</v>
      </c>
      <c r="E180" s="1211">
        <f>13.67/80*C180</f>
        <v>13.67</v>
      </c>
      <c r="F180" s="1211">
        <f>2.25/80*C180</f>
        <v>2.25</v>
      </c>
      <c r="G180" s="1212">
        <f>161/80*C180</f>
        <v>161</v>
      </c>
      <c r="H180" s="419">
        <f>'252-сосиски жареные'!J7</f>
        <v>252</v>
      </c>
      <c r="I180" s="1234">
        <f>'252-сосиски жареные'!F31</f>
        <v>25.76</v>
      </c>
      <c r="J180" s="330"/>
      <c r="K180" s="330"/>
      <c r="L180" s="330"/>
      <c r="M180" s="330"/>
      <c r="N180" s="330">
        <f>'252-сосиски жареные'!C19</f>
        <v>5.7000000000000002E-2</v>
      </c>
      <c r="O180" s="330"/>
      <c r="P180" s="330"/>
      <c r="Q180" s="330"/>
      <c r="R180" s="330"/>
      <c r="S180" s="330"/>
      <c r="T180" s="330"/>
      <c r="U180" s="330"/>
      <c r="V180" s="330">
        <f>'252-сосиски жареные'!C20+('332-соус с луком'!C21/1000*30)</f>
        <v>5.5999999999999999E-3</v>
      </c>
      <c r="W180" s="330"/>
      <c r="X180" s="330"/>
      <c r="Y180" s="330">
        <f>'330-соус сметанный'!C19/1000*920/1000*30</f>
        <v>6.8999999999999999E-3</v>
      </c>
      <c r="Z180" s="330"/>
      <c r="AA180" s="330"/>
      <c r="AB180" s="330"/>
      <c r="AC180" s="330"/>
      <c r="AD180" s="330"/>
      <c r="AE180" s="330"/>
      <c r="AF180" s="330"/>
      <c r="AG180" s="330"/>
      <c r="AH180" s="330"/>
      <c r="AI180" s="330"/>
      <c r="AJ180" s="330"/>
      <c r="AK180" s="330">
        <f>'332-соус с луком'!C20/1000*30</f>
        <v>7.1399999999999996E-3</v>
      </c>
      <c r="AL180" s="330">
        <f>'252-сосиски жареные'!C23</f>
        <v>2E-3</v>
      </c>
      <c r="AM180" s="330"/>
      <c r="AN180" s="330"/>
      <c r="AO180" s="330"/>
      <c r="AP180" s="330"/>
      <c r="AQ180" s="330"/>
      <c r="AR180" s="330"/>
      <c r="AS180" s="330"/>
      <c r="AT180" s="330"/>
      <c r="AU180" s="330">
        <f>'252-сосиски жареные'!C24</f>
        <v>2E-3</v>
      </c>
      <c r="AV180" s="330"/>
      <c r="AW180" s="330"/>
      <c r="AX180" s="330"/>
      <c r="AY180" s="330"/>
      <c r="AZ180" s="330"/>
      <c r="BA180" s="330"/>
      <c r="BB180" s="330"/>
      <c r="BC180" s="330"/>
      <c r="BD180" s="330"/>
      <c r="BE180" s="330"/>
      <c r="BF180" s="330"/>
      <c r="BG180" s="330"/>
      <c r="BH180" s="330"/>
      <c r="BI180" s="330"/>
      <c r="BJ180" s="330"/>
      <c r="BK180" s="330"/>
      <c r="BL180" s="330"/>
      <c r="BM180" s="330"/>
      <c r="BN180" s="330"/>
      <c r="BO180" s="330"/>
      <c r="BP180" s="330"/>
      <c r="BQ180" s="330"/>
      <c r="BR180" s="330"/>
      <c r="BS180" s="330">
        <f>'330-соус сметанный'!C20/1000*920/1000*30</f>
        <v>2.0699999999999998E-3</v>
      </c>
      <c r="BT180" s="330"/>
      <c r="BU180" s="330"/>
      <c r="BV180" s="330"/>
      <c r="BW180" s="330"/>
      <c r="BX180" s="330"/>
      <c r="BY180" s="330"/>
      <c r="BZ180" s="330"/>
      <c r="CA180" s="330"/>
      <c r="CB180" s="330"/>
      <c r="CC180" s="330"/>
      <c r="CD180" s="330"/>
      <c r="CE180" s="330"/>
      <c r="CF180" s="330"/>
      <c r="CG180" s="330"/>
      <c r="CH180" s="330"/>
      <c r="CI180" s="330"/>
      <c r="CJ180" s="330"/>
      <c r="CK180" s="330"/>
      <c r="CL180" s="330"/>
      <c r="CM180" s="330"/>
      <c r="CN180" s="330"/>
      <c r="CO180" s="330"/>
      <c r="CP180" s="330"/>
      <c r="CQ180" s="330"/>
      <c r="CR180" s="330"/>
      <c r="CS180" s="330"/>
      <c r="CT180" s="330"/>
      <c r="CU180" s="330"/>
      <c r="CV180" s="330"/>
      <c r="CW180" s="330"/>
      <c r="CX180" s="330"/>
      <c r="CY180" s="330"/>
      <c r="CZ180" s="330"/>
      <c r="DA180" s="330"/>
      <c r="DB180" s="330"/>
      <c r="DC180" s="330">
        <f>'330-соус сметанный'!C23/1000*920/1000*30</f>
        <v>2.2000000000000001E-4</v>
      </c>
      <c r="DD180" s="330"/>
      <c r="DE180" s="330"/>
      <c r="DF180" s="330"/>
      <c r="DG180" s="330"/>
      <c r="DH180" s="330"/>
      <c r="DI180" s="330"/>
      <c r="DJ180" s="330"/>
      <c r="DK180" s="330"/>
      <c r="DL180" s="330"/>
      <c r="DM180" s="330"/>
      <c r="DN180" s="330"/>
      <c r="DO180" s="330"/>
      <c r="DP180" s="330"/>
      <c r="DQ180" s="330"/>
      <c r="DR180" s="330"/>
      <c r="DS180" s="330"/>
      <c r="DT180" s="330"/>
      <c r="DU180" s="330"/>
      <c r="DV180" s="330"/>
      <c r="DW180" s="330"/>
      <c r="DX180" s="330"/>
      <c r="DY180" s="330"/>
      <c r="DZ180" s="330"/>
      <c r="EA180" s="330"/>
      <c r="EB180" s="330"/>
      <c r="EC180" s="330"/>
      <c r="ED180" s="330"/>
      <c r="EE180" s="330"/>
      <c r="EF180" s="330"/>
      <c r="EG180" s="330"/>
      <c r="EH180" s="330"/>
      <c r="EI180" s="330"/>
      <c r="EJ180" s="330"/>
      <c r="EK180" s="330"/>
      <c r="EL180" s="330"/>
      <c r="EM180" s="330"/>
      <c r="EN180" s="330"/>
      <c r="EO180" s="330"/>
      <c r="EP180" s="330"/>
      <c r="EQ180" s="330"/>
      <c r="ER180" s="330"/>
      <c r="ES180" s="330"/>
      <c r="ET180" s="330"/>
      <c r="EU180" s="330"/>
      <c r="EV180" s="330"/>
      <c r="EW180" s="330"/>
      <c r="EX180" s="330"/>
      <c r="EY180" s="1032">
        <f t="shared" si="18"/>
        <v>8.2930000000000004E-2</v>
      </c>
    </row>
    <row r="181" spans="1:166" ht="14.7" customHeight="1" x14ac:dyDescent="0.25">
      <c r="A181" s="421">
        <v>177</v>
      </c>
      <c r="B181" s="169" t="str">
        <f>'256-мясо туш.'!A9</f>
        <v>Мясо тушеное с соусом</v>
      </c>
      <c r="C181" s="419">
        <f>'256-мясо туш.'!C35</f>
        <v>100</v>
      </c>
      <c r="D181" s="1211">
        <f>15.2/100*C181</f>
        <v>15.2</v>
      </c>
      <c r="E181" s="1211">
        <f>17.38/100*C181</f>
        <v>17.38</v>
      </c>
      <c r="F181" s="1211">
        <f>2.56/100*C181</f>
        <v>2.56</v>
      </c>
      <c r="G181" s="1212">
        <f>225/100*C181</f>
        <v>225</v>
      </c>
      <c r="H181" s="419">
        <f>'256-мясо туш.'!J7</f>
        <v>256</v>
      </c>
      <c r="I181" s="1234">
        <f>'256-мясо туш.'!F37</f>
        <v>67.349999999999994</v>
      </c>
      <c r="J181" s="330">
        <f>'256-мясо туш.'!C19</f>
        <v>0.113</v>
      </c>
      <c r="K181" s="330"/>
      <c r="L181" s="330"/>
      <c r="M181" s="330"/>
      <c r="N181" s="330"/>
      <c r="O181" s="330"/>
      <c r="P181" s="330"/>
      <c r="Q181" s="330"/>
      <c r="R181" s="330"/>
      <c r="S181" s="330"/>
      <c r="T181" s="330"/>
      <c r="U181" s="330"/>
      <c r="V181" s="330"/>
      <c r="W181" s="330"/>
      <c r="X181" s="330"/>
      <c r="Y181" s="330"/>
      <c r="Z181" s="330"/>
      <c r="AA181" s="330"/>
      <c r="AB181" s="330"/>
      <c r="AC181" s="330"/>
      <c r="AD181" s="330"/>
      <c r="AE181" s="330"/>
      <c r="AF181" s="330"/>
      <c r="AG181" s="330"/>
      <c r="AH181" s="330"/>
      <c r="AI181" s="330"/>
      <c r="AJ181" s="330"/>
      <c r="AK181" s="330">
        <f>'256-мясо туш.'!C21</f>
        <v>5.0000000000000001E-3</v>
      </c>
      <c r="AL181" s="330">
        <f>'256-мясо туш.'!C27</f>
        <v>2E-3</v>
      </c>
      <c r="AM181" s="330"/>
      <c r="AN181" s="330"/>
      <c r="AO181" s="330"/>
      <c r="AP181" s="330"/>
      <c r="AQ181" s="330">
        <f>'256-мясо туш.'!C20</f>
        <v>5.0000000000000001E-3</v>
      </c>
      <c r="AR181" s="330"/>
      <c r="AS181" s="330"/>
      <c r="AT181" s="330"/>
      <c r="AU181" s="330">
        <f>'256-мясо туш.'!C28</f>
        <v>2E-3</v>
      </c>
      <c r="AV181" s="330"/>
      <c r="AW181" s="330"/>
      <c r="AX181" s="330"/>
      <c r="AY181" s="330"/>
      <c r="AZ181" s="330"/>
      <c r="BA181" s="330"/>
      <c r="BB181" s="330"/>
      <c r="BC181" s="330"/>
      <c r="BD181" s="330"/>
      <c r="BE181" s="330"/>
      <c r="BF181" s="330"/>
      <c r="BG181" s="330"/>
      <c r="BH181" s="330"/>
      <c r="BI181" s="330"/>
      <c r="BJ181" s="330"/>
      <c r="BK181" s="330"/>
      <c r="BL181" s="330"/>
      <c r="BM181" s="330"/>
      <c r="BN181" s="330"/>
      <c r="BO181" s="330"/>
      <c r="BP181" s="330"/>
      <c r="BQ181" s="330"/>
      <c r="BR181" s="330"/>
      <c r="BS181" s="330">
        <f>'256-мясо туш.'!C24</f>
        <v>2E-3</v>
      </c>
      <c r="BT181" s="330"/>
      <c r="BU181" s="330"/>
      <c r="BV181" s="330"/>
      <c r="BW181" s="330"/>
      <c r="BX181" s="330"/>
      <c r="BY181" s="330"/>
      <c r="BZ181" s="330"/>
      <c r="CA181" s="330"/>
      <c r="CB181" s="330"/>
      <c r="CC181" s="330"/>
      <c r="CD181" s="330"/>
      <c r="CE181" s="330"/>
      <c r="CF181" s="330">
        <f>'256-мясо туш.'!C22</f>
        <v>5.0000000000000001E-3</v>
      </c>
      <c r="CG181" s="330"/>
      <c r="CH181" s="330"/>
      <c r="CI181" s="330"/>
      <c r="CJ181" s="330"/>
      <c r="CK181" s="330"/>
      <c r="CL181" s="330"/>
      <c r="CM181" s="330"/>
      <c r="CN181" s="330"/>
      <c r="CO181" s="330"/>
      <c r="CP181" s="330"/>
      <c r="CQ181" s="330"/>
      <c r="CR181" s="330"/>
      <c r="CS181" s="330">
        <f>'256-мясо туш.'!C26</f>
        <v>2.0000000000000002E-5</v>
      </c>
      <c r="CT181" s="330"/>
      <c r="CU181" s="330"/>
      <c r="CV181" s="330"/>
      <c r="CW181" s="330"/>
      <c r="CX181" s="330"/>
      <c r="CY181" s="330"/>
      <c r="CZ181" s="330"/>
      <c r="DA181" s="330"/>
      <c r="DB181" s="330"/>
      <c r="DC181" s="330">
        <f>'256-мясо туш.'!C25</f>
        <v>3.0000000000000001E-3</v>
      </c>
      <c r="DD181" s="330"/>
      <c r="DE181" s="330"/>
      <c r="DF181" s="330">
        <f>'256-мясо туш.'!C23</f>
        <v>7.0000000000000001E-3</v>
      </c>
      <c r="DG181" s="330"/>
      <c r="DH181" s="330"/>
      <c r="DI181" s="330"/>
      <c r="DJ181" s="330"/>
      <c r="DK181" s="330"/>
      <c r="DL181" s="330"/>
      <c r="DM181" s="330"/>
      <c r="DN181" s="330"/>
      <c r="DO181" s="330"/>
      <c r="DP181" s="330"/>
      <c r="DQ181" s="330"/>
      <c r="DR181" s="330"/>
      <c r="DS181" s="330"/>
      <c r="DT181" s="330"/>
      <c r="DU181" s="330"/>
      <c r="DV181" s="330"/>
      <c r="DW181" s="330"/>
      <c r="DX181" s="330"/>
      <c r="DY181" s="330"/>
      <c r="DZ181" s="330"/>
      <c r="EA181" s="330"/>
      <c r="EB181" s="330"/>
      <c r="EC181" s="330"/>
      <c r="ED181" s="330"/>
      <c r="EE181" s="330"/>
      <c r="EF181" s="330"/>
      <c r="EG181" s="330"/>
      <c r="EH181" s="330"/>
      <c r="EI181" s="330"/>
      <c r="EJ181" s="330"/>
      <c r="EK181" s="330"/>
      <c r="EL181" s="330"/>
      <c r="EM181" s="330"/>
      <c r="EN181" s="330"/>
      <c r="EO181" s="330"/>
      <c r="EP181" s="330"/>
      <c r="EQ181" s="330"/>
      <c r="ER181" s="330"/>
      <c r="ES181" s="330"/>
      <c r="ET181" s="330"/>
      <c r="EU181" s="330"/>
      <c r="EV181" s="330"/>
      <c r="EW181" s="330"/>
      <c r="EX181" s="330"/>
      <c r="EY181" s="1032">
        <f t="shared" si="18"/>
        <v>0.14402000000000001</v>
      </c>
    </row>
    <row r="182" spans="1:166" ht="14.7" customHeight="1" x14ac:dyDescent="0.25">
      <c r="A182" s="421">
        <v>178</v>
      </c>
      <c r="B182" s="169" t="str">
        <f>'256-мясо туш. (2)'!A9</f>
        <v>Мясо тушеное с соусом (2 вариант)</v>
      </c>
      <c r="C182" s="419">
        <f>'256-мясо туш. (2)'!C35</f>
        <v>50</v>
      </c>
      <c r="D182" s="1211">
        <f>15.2/100*C182</f>
        <v>7.6</v>
      </c>
      <c r="E182" s="1211">
        <f>17.38/100*C182</f>
        <v>8.69</v>
      </c>
      <c r="F182" s="1211">
        <f>2.56/100*C182</f>
        <v>1.28</v>
      </c>
      <c r="G182" s="1212">
        <f>225/100*C182</f>
        <v>113</v>
      </c>
      <c r="H182" s="419">
        <f>'256-мясо туш. (2)'!J7</f>
        <v>256</v>
      </c>
      <c r="I182" s="1234">
        <f>'256-мясо туш. (2)'!F37</f>
        <v>33.380000000000003</v>
      </c>
      <c r="J182" s="330">
        <f>'256-мясо туш. (2)'!C19/2</f>
        <v>5.6500000000000002E-2</v>
      </c>
      <c r="K182" s="330"/>
      <c r="L182" s="330"/>
      <c r="M182" s="330"/>
      <c r="N182" s="330"/>
      <c r="O182" s="330"/>
      <c r="P182" s="330"/>
      <c r="Q182" s="330"/>
      <c r="R182" s="330"/>
      <c r="S182" s="330"/>
      <c r="T182" s="330"/>
      <c r="U182" s="330"/>
      <c r="V182" s="330"/>
      <c r="W182" s="330"/>
      <c r="X182" s="330"/>
      <c r="Y182" s="330"/>
      <c r="Z182" s="330"/>
      <c r="AA182" s="330"/>
      <c r="AB182" s="330"/>
      <c r="AC182" s="330"/>
      <c r="AD182" s="330"/>
      <c r="AE182" s="330"/>
      <c r="AF182" s="330"/>
      <c r="AG182" s="330"/>
      <c r="AH182" s="330"/>
      <c r="AI182" s="330"/>
      <c r="AJ182" s="330"/>
      <c r="AK182" s="330">
        <f>'256-мясо туш. (2)'!C21/2</f>
        <v>2.5000000000000001E-3</v>
      </c>
      <c r="AL182" s="330"/>
      <c r="AM182" s="330"/>
      <c r="AN182" s="330"/>
      <c r="AO182" s="330"/>
      <c r="AP182" s="330"/>
      <c r="AQ182" s="330">
        <f>'256-мясо туш. (2)'!C20/2</f>
        <v>2.5000000000000001E-3</v>
      </c>
      <c r="AR182" s="330"/>
      <c r="AS182" s="330"/>
      <c r="AT182" s="330"/>
      <c r="AU182" s="330">
        <f>'256-мясо туш. (2)'!C27/2</f>
        <v>1E-3</v>
      </c>
      <c r="AV182" s="330"/>
      <c r="AW182" s="330"/>
      <c r="AX182" s="330"/>
      <c r="AY182" s="330"/>
      <c r="AZ182" s="330"/>
      <c r="BA182" s="330"/>
      <c r="BB182" s="330"/>
      <c r="BC182" s="330"/>
      <c r="BD182" s="330"/>
      <c r="BE182" s="330"/>
      <c r="BF182" s="330"/>
      <c r="BG182" s="330"/>
      <c r="BH182" s="330"/>
      <c r="BI182" s="330"/>
      <c r="BJ182" s="330"/>
      <c r="BK182" s="330"/>
      <c r="BL182" s="330"/>
      <c r="BM182" s="330"/>
      <c r="BN182" s="330"/>
      <c r="BO182" s="330"/>
      <c r="BP182" s="330"/>
      <c r="BQ182" s="330"/>
      <c r="BR182" s="330"/>
      <c r="BS182" s="330">
        <f>'256-мясо туш. (2)'!C24/2</f>
        <v>1E-3</v>
      </c>
      <c r="BT182" s="330"/>
      <c r="BU182" s="330"/>
      <c r="BV182" s="330"/>
      <c r="BW182" s="330"/>
      <c r="BX182" s="330"/>
      <c r="BY182" s="330"/>
      <c r="BZ182" s="330"/>
      <c r="CA182" s="330"/>
      <c r="CB182" s="330"/>
      <c r="CC182" s="330"/>
      <c r="CD182" s="330"/>
      <c r="CE182" s="330"/>
      <c r="CF182" s="330">
        <f>'256-мясо туш. (2)'!C22/2</f>
        <v>2.5000000000000001E-3</v>
      </c>
      <c r="CG182" s="330"/>
      <c r="CH182" s="330"/>
      <c r="CI182" s="330"/>
      <c r="CJ182" s="330"/>
      <c r="CK182" s="330"/>
      <c r="CL182" s="330"/>
      <c r="CM182" s="330"/>
      <c r="CN182" s="330"/>
      <c r="CO182" s="330"/>
      <c r="CP182" s="330"/>
      <c r="CQ182" s="330"/>
      <c r="CR182" s="330"/>
      <c r="CS182" s="330">
        <f>'256-мясо туш. (2)'!C26/2</f>
        <v>1.0000000000000001E-5</v>
      </c>
      <c r="CT182" s="330"/>
      <c r="CU182" s="330"/>
      <c r="CV182" s="330"/>
      <c r="CW182" s="330"/>
      <c r="CX182" s="330"/>
      <c r="CY182" s="330"/>
      <c r="CZ182" s="330"/>
      <c r="DA182" s="330"/>
      <c r="DB182" s="330"/>
      <c r="DC182" s="330">
        <f>'256-мясо туш. (2)'!C25/2</f>
        <v>1.5E-3</v>
      </c>
      <c r="DD182" s="330"/>
      <c r="DE182" s="330"/>
      <c r="DF182" s="330">
        <f>'256-мясо туш. (2)'!C23/2</f>
        <v>3.5000000000000001E-3</v>
      </c>
      <c r="DG182" s="330"/>
      <c r="DH182" s="330"/>
      <c r="DI182" s="330"/>
      <c r="DJ182" s="330"/>
      <c r="DK182" s="330"/>
      <c r="DL182" s="330"/>
      <c r="DM182" s="330"/>
      <c r="DN182" s="330"/>
      <c r="DO182" s="330"/>
      <c r="DP182" s="330"/>
      <c r="DQ182" s="330"/>
      <c r="DR182" s="330"/>
      <c r="DS182" s="330"/>
      <c r="DT182" s="330"/>
      <c r="DU182" s="330"/>
      <c r="DV182" s="330"/>
      <c r="DW182" s="330"/>
      <c r="DX182" s="330"/>
      <c r="DY182" s="330"/>
      <c r="DZ182" s="330"/>
      <c r="EA182" s="330"/>
      <c r="EB182" s="330"/>
      <c r="EC182" s="330"/>
      <c r="ED182" s="330"/>
      <c r="EE182" s="330"/>
      <c r="EF182" s="330"/>
      <c r="EG182" s="330"/>
      <c r="EH182" s="330"/>
      <c r="EI182" s="330"/>
      <c r="EJ182" s="330"/>
      <c r="EK182" s="330"/>
      <c r="EL182" s="330"/>
      <c r="EM182" s="330"/>
      <c r="EN182" s="330"/>
      <c r="EO182" s="330"/>
      <c r="EP182" s="330"/>
      <c r="EQ182" s="330"/>
      <c r="ER182" s="330"/>
      <c r="ES182" s="330"/>
      <c r="ET182" s="330"/>
      <c r="EU182" s="330"/>
      <c r="EV182" s="330"/>
      <c r="EW182" s="330"/>
      <c r="EX182" s="330"/>
      <c r="EY182" s="1032">
        <f t="shared" si="18"/>
        <v>7.1010000000000004E-2</v>
      </c>
    </row>
    <row r="183" spans="1:166" ht="14.7" customHeight="1" x14ac:dyDescent="0.25">
      <c r="A183" s="421">
        <v>179</v>
      </c>
      <c r="B183" s="169" t="str">
        <f>'258-мясо духовое'!A9</f>
        <v>Мясо духовое в сметанном соусе</v>
      </c>
      <c r="C183" s="419">
        <f>'258-мясо духовое'!C36</f>
        <v>173</v>
      </c>
      <c r="D183" s="1211">
        <f>16.3/173*C183</f>
        <v>16.3</v>
      </c>
      <c r="E183" s="1211">
        <f>18.17/173*C183</f>
        <v>18.170000000000002</v>
      </c>
      <c r="F183" s="1211">
        <f>15.33/173*C183</f>
        <v>15.33</v>
      </c>
      <c r="G183" s="1212">
        <f>234/173*C183</f>
        <v>234</v>
      </c>
      <c r="H183" s="419">
        <f>'258-мясо духовое'!J7</f>
        <v>258</v>
      </c>
      <c r="I183" s="1234">
        <f>'258-мясо духовое'!F38</f>
        <v>74.849999999999994</v>
      </c>
      <c r="J183" s="330">
        <f>'258-мясо духовое'!C19</f>
        <v>0.109</v>
      </c>
      <c r="K183" s="330"/>
      <c r="L183" s="330"/>
      <c r="M183" s="330"/>
      <c r="N183" s="330"/>
      <c r="O183" s="330"/>
      <c r="P183" s="330"/>
      <c r="Q183" s="330"/>
      <c r="R183" s="330"/>
      <c r="S183" s="330"/>
      <c r="T183" s="330"/>
      <c r="U183" s="330"/>
      <c r="V183" s="330"/>
      <c r="W183" s="330"/>
      <c r="X183" s="330"/>
      <c r="Y183" s="330">
        <f>'330-соус сметанный'!C19/1000*50</f>
        <v>1.2500000000000001E-2</v>
      </c>
      <c r="Z183" s="330"/>
      <c r="AA183" s="330"/>
      <c r="AB183" s="330"/>
      <c r="AC183" s="330"/>
      <c r="AD183" s="330"/>
      <c r="AE183" s="330"/>
      <c r="AF183" s="330"/>
      <c r="AG183" s="330"/>
      <c r="AH183" s="330">
        <f>'258-мясо духовое'!C21</f>
        <v>0.107</v>
      </c>
      <c r="AI183" s="330"/>
      <c r="AJ183" s="330"/>
      <c r="AK183" s="330">
        <f>'258-мясо духовое'!C23</f>
        <v>1.2E-2</v>
      </c>
      <c r="AL183" s="330">
        <f>'258-мясо духовое'!C28</f>
        <v>2E-3</v>
      </c>
      <c r="AM183" s="330"/>
      <c r="AN183" s="330"/>
      <c r="AO183" s="330"/>
      <c r="AP183" s="330"/>
      <c r="AQ183" s="330">
        <f>'258-мясо духовое'!C22</f>
        <v>2.1999999999999999E-2</v>
      </c>
      <c r="AR183" s="330"/>
      <c r="AS183" s="330"/>
      <c r="AT183" s="330"/>
      <c r="AU183" s="330">
        <f>'258-мясо духовое'!C29</f>
        <v>2E-3</v>
      </c>
      <c r="AV183" s="330"/>
      <c r="AW183" s="330"/>
      <c r="AX183" s="330"/>
      <c r="AY183" s="330"/>
      <c r="AZ183" s="330"/>
      <c r="BA183" s="330"/>
      <c r="BB183" s="330"/>
      <c r="BC183" s="330"/>
      <c r="BD183" s="330"/>
      <c r="BE183" s="330"/>
      <c r="BF183" s="330"/>
      <c r="BG183" s="330"/>
      <c r="BH183" s="330"/>
      <c r="BI183" s="330"/>
      <c r="BJ183" s="330"/>
      <c r="BK183" s="330"/>
      <c r="BL183" s="330"/>
      <c r="BM183" s="330"/>
      <c r="BN183" s="330"/>
      <c r="BO183" s="330"/>
      <c r="BP183" s="330"/>
      <c r="BQ183" s="330"/>
      <c r="BR183" s="330"/>
      <c r="BS183" s="330">
        <f>'258-мясо духовое'!C24+('330-соус сметанный'!C20/1000*50)</f>
        <v>5.7499999999999999E-3</v>
      </c>
      <c r="BT183" s="330"/>
      <c r="BU183" s="330"/>
      <c r="BV183" s="330"/>
      <c r="BW183" s="330"/>
      <c r="BX183" s="330"/>
      <c r="BY183" s="330"/>
      <c r="BZ183" s="330"/>
      <c r="CA183" s="330"/>
      <c r="CB183" s="330"/>
      <c r="CC183" s="330"/>
      <c r="CD183" s="330"/>
      <c r="CE183" s="330"/>
      <c r="CF183" s="330">
        <f>'258-мясо духовое'!C20</f>
        <v>6.0000000000000001E-3</v>
      </c>
      <c r="CG183" s="330"/>
      <c r="CH183" s="330"/>
      <c r="CI183" s="330"/>
      <c r="CJ183" s="330"/>
      <c r="CK183" s="330"/>
      <c r="CL183" s="330"/>
      <c r="CM183" s="330"/>
      <c r="CN183" s="330"/>
      <c r="CO183" s="330"/>
      <c r="CP183" s="330"/>
      <c r="CQ183" s="330"/>
      <c r="CR183" s="330"/>
      <c r="CS183" s="330">
        <f>'258-мясо духовое'!C27+('330-соус сметанный'!C22/1000*50)</f>
        <v>2.0000000000000002E-5</v>
      </c>
      <c r="CT183" s="330"/>
      <c r="CU183" s="330"/>
      <c r="CV183" s="330"/>
      <c r="CW183" s="330"/>
      <c r="CX183" s="330"/>
      <c r="CY183" s="330"/>
      <c r="CZ183" s="330"/>
      <c r="DA183" s="330"/>
      <c r="DB183" s="330"/>
      <c r="DC183" s="330">
        <f>'258-мясо духовое'!C26+('330-соус сметанный'!C23/1000*50)</f>
        <v>3.3999999999999998E-3</v>
      </c>
      <c r="DD183" s="330"/>
      <c r="DE183" s="330"/>
      <c r="DF183" s="330">
        <f>'258-мясо духовое'!C25</f>
        <v>7.0000000000000001E-3</v>
      </c>
      <c r="DG183" s="330"/>
      <c r="DH183" s="330"/>
      <c r="DI183" s="330"/>
      <c r="DJ183" s="330"/>
      <c r="DK183" s="330"/>
      <c r="DL183" s="330"/>
      <c r="DM183" s="330"/>
      <c r="DN183" s="330"/>
      <c r="DO183" s="330"/>
      <c r="DP183" s="330"/>
      <c r="DQ183" s="330"/>
      <c r="DR183" s="330"/>
      <c r="DS183" s="330"/>
      <c r="DT183" s="330"/>
      <c r="DU183" s="330"/>
      <c r="DV183" s="330"/>
      <c r="DW183" s="330"/>
      <c r="DX183" s="330"/>
      <c r="DY183" s="330"/>
      <c r="DZ183" s="330"/>
      <c r="EA183" s="330"/>
      <c r="EB183" s="330"/>
      <c r="EC183" s="330"/>
      <c r="ED183" s="330"/>
      <c r="EE183" s="330"/>
      <c r="EF183" s="330"/>
      <c r="EG183" s="330"/>
      <c r="EH183" s="330"/>
      <c r="EI183" s="330"/>
      <c r="EJ183" s="330"/>
      <c r="EK183" s="330"/>
      <c r="EL183" s="330"/>
      <c r="EM183" s="330"/>
      <c r="EN183" s="330"/>
      <c r="EO183" s="330"/>
      <c r="EP183" s="330"/>
      <c r="EQ183" s="330"/>
      <c r="ER183" s="330"/>
      <c r="ES183" s="330"/>
      <c r="ET183" s="330"/>
      <c r="EU183" s="330"/>
      <c r="EV183" s="330"/>
      <c r="EW183" s="330"/>
      <c r="EX183" s="330"/>
      <c r="EY183" s="1032">
        <f t="shared" si="18"/>
        <v>0.28866999999999998</v>
      </c>
    </row>
    <row r="184" spans="1:166" ht="14.7" customHeight="1" x14ac:dyDescent="0.25">
      <c r="A184" s="421">
        <v>180</v>
      </c>
      <c r="B184" s="169" t="str">
        <f>'259-жаркое'!A9</f>
        <v>Жаркое по-домашнему</v>
      </c>
      <c r="C184" s="419">
        <f>'259-жаркое'!C32</f>
        <v>175</v>
      </c>
      <c r="D184" s="1211">
        <f>16.2/175*C184</f>
        <v>16.2</v>
      </c>
      <c r="E184" s="1211">
        <f>18.09/175*C184</f>
        <v>18.09</v>
      </c>
      <c r="F184" s="1211">
        <f>16.58/175*C184</f>
        <v>16.579999999999998</v>
      </c>
      <c r="G184" s="1212">
        <f>295/175*C184</f>
        <v>295</v>
      </c>
      <c r="H184" s="419">
        <f>'259-жаркое'!J7</f>
        <v>259</v>
      </c>
      <c r="I184" s="1234">
        <f>'259-жаркое'!F34</f>
        <v>69.180000000000007</v>
      </c>
      <c r="J184" s="330">
        <f>'259-жаркое'!C19</f>
        <v>0.107</v>
      </c>
      <c r="K184" s="330"/>
      <c r="L184" s="330"/>
      <c r="M184" s="330"/>
      <c r="N184" s="330"/>
      <c r="O184" s="330"/>
      <c r="P184" s="330"/>
      <c r="Q184" s="330"/>
      <c r="R184" s="330"/>
      <c r="S184" s="330"/>
      <c r="T184" s="330"/>
      <c r="U184" s="330"/>
      <c r="V184" s="330"/>
      <c r="W184" s="330"/>
      <c r="X184" s="330"/>
      <c r="Y184" s="330"/>
      <c r="Z184" s="330"/>
      <c r="AA184" s="330"/>
      <c r="AB184" s="330"/>
      <c r="AC184" s="330"/>
      <c r="AD184" s="330"/>
      <c r="AE184" s="330"/>
      <c r="AF184" s="330"/>
      <c r="AG184" s="330"/>
      <c r="AH184" s="330">
        <f>'259-жаркое'!C20</f>
        <v>0.13300000000000001</v>
      </c>
      <c r="AI184" s="330"/>
      <c r="AJ184" s="330"/>
      <c r="AK184" s="330">
        <f>'259-жаркое'!C21</f>
        <v>1.2E-2</v>
      </c>
      <c r="AL184" s="330">
        <f>'259-жаркое'!C25</f>
        <v>2E-3</v>
      </c>
      <c r="AM184" s="330"/>
      <c r="AN184" s="330"/>
      <c r="AO184" s="330"/>
      <c r="AP184" s="330"/>
      <c r="AQ184" s="330"/>
      <c r="AR184" s="330"/>
      <c r="AS184" s="330"/>
      <c r="AT184" s="330"/>
      <c r="AU184" s="330">
        <f>'259-жаркое'!C26</f>
        <v>2E-3</v>
      </c>
      <c r="AV184" s="330"/>
      <c r="AW184" s="330"/>
      <c r="AX184" s="330"/>
      <c r="AY184" s="330"/>
      <c r="AZ184" s="330"/>
      <c r="BA184" s="330"/>
      <c r="BB184" s="330"/>
      <c r="BC184" s="330"/>
      <c r="BD184" s="330"/>
      <c r="BE184" s="330"/>
      <c r="BF184" s="330"/>
      <c r="BG184" s="330"/>
      <c r="BH184" s="330"/>
      <c r="BI184" s="330"/>
      <c r="BJ184" s="330"/>
      <c r="BK184" s="330"/>
      <c r="BL184" s="330"/>
      <c r="BM184" s="330"/>
      <c r="BN184" s="330"/>
      <c r="BO184" s="330"/>
      <c r="BP184" s="330"/>
      <c r="BQ184" s="330"/>
      <c r="BR184" s="330"/>
      <c r="BS184" s="330"/>
      <c r="BT184" s="330"/>
      <c r="BU184" s="330"/>
      <c r="BV184" s="330"/>
      <c r="BW184" s="330"/>
      <c r="BX184" s="330"/>
      <c r="BY184" s="330"/>
      <c r="BZ184" s="330"/>
      <c r="CA184" s="330"/>
      <c r="CB184" s="330"/>
      <c r="CC184" s="330"/>
      <c r="CD184" s="330"/>
      <c r="CE184" s="330"/>
      <c r="CF184" s="330">
        <f>'259-жаркое'!C22</f>
        <v>6.0000000000000001E-3</v>
      </c>
      <c r="CG184" s="330"/>
      <c r="CH184" s="330"/>
      <c r="CI184" s="330"/>
      <c r="CJ184" s="330"/>
      <c r="CK184" s="330"/>
      <c r="CL184" s="330"/>
      <c r="CM184" s="330"/>
      <c r="CN184" s="330"/>
      <c r="CO184" s="330"/>
      <c r="CP184" s="330"/>
      <c r="CQ184" s="330"/>
      <c r="CR184" s="330"/>
      <c r="CS184" s="330">
        <f>'259-жаркое'!C24</f>
        <v>2.0000000000000002E-5</v>
      </c>
      <c r="CT184" s="330"/>
      <c r="CU184" s="330"/>
      <c r="CV184" s="330"/>
      <c r="CW184" s="330"/>
      <c r="CX184" s="330"/>
      <c r="CY184" s="330"/>
      <c r="CZ184" s="330"/>
      <c r="DA184" s="330"/>
      <c r="DB184" s="330"/>
      <c r="DC184" s="330">
        <f>'259-жаркое'!C23</f>
        <v>3.0000000000000001E-3</v>
      </c>
      <c r="DD184" s="330"/>
      <c r="DE184" s="330"/>
      <c r="DF184" s="330"/>
      <c r="DG184" s="330"/>
      <c r="DH184" s="330"/>
      <c r="DI184" s="330"/>
      <c r="DJ184" s="330"/>
      <c r="DK184" s="330"/>
      <c r="DL184" s="330"/>
      <c r="DM184" s="330"/>
      <c r="DN184" s="330"/>
      <c r="DO184" s="330"/>
      <c r="DP184" s="330"/>
      <c r="DQ184" s="330"/>
      <c r="DR184" s="330"/>
      <c r="DS184" s="330"/>
      <c r="DT184" s="330"/>
      <c r="DU184" s="330"/>
      <c r="DV184" s="330"/>
      <c r="DW184" s="330"/>
      <c r="DX184" s="330"/>
      <c r="DY184" s="330"/>
      <c r="DZ184" s="330"/>
      <c r="EA184" s="330"/>
      <c r="EB184" s="330"/>
      <c r="EC184" s="330"/>
      <c r="ED184" s="330"/>
      <c r="EE184" s="330"/>
      <c r="EF184" s="330"/>
      <c r="EG184" s="330"/>
      <c r="EH184" s="330"/>
      <c r="EI184" s="330"/>
      <c r="EJ184" s="330"/>
      <c r="EK184" s="330"/>
      <c r="EL184" s="330"/>
      <c r="EM184" s="330"/>
      <c r="EN184" s="330"/>
      <c r="EO184" s="330"/>
      <c r="EP184" s="330"/>
      <c r="EQ184" s="330"/>
      <c r="ER184" s="330"/>
      <c r="ES184" s="330"/>
      <c r="ET184" s="330"/>
      <c r="EU184" s="330"/>
      <c r="EV184" s="330"/>
      <c r="EW184" s="330"/>
      <c r="EX184" s="330"/>
      <c r="EY184" s="1032">
        <f t="shared" si="18"/>
        <v>0.26501999999999998</v>
      </c>
    </row>
    <row r="185" spans="1:166" s="491" customFormat="1" ht="14.7" customHeight="1" x14ac:dyDescent="0.25">
      <c r="A185" s="421">
        <v>181</v>
      </c>
      <c r="B185" s="417" t="str">
        <f>'259-жаркое (2)'!A9</f>
        <v>Жаркое по-домашнему (2 вариант)</v>
      </c>
      <c r="C185" s="419">
        <f>'259-жаркое (2)'!C32</f>
        <v>245</v>
      </c>
      <c r="D185" s="1211">
        <f>16.2/175*C185</f>
        <v>22.68</v>
      </c>
      <c r="E185" s="1211">
        <f>18.09/175*C185</f>
        <v>25.33</v>
      </c>
      <c r="F185" s="1211">
        <f>16.58/175*C185</f>
        <v>23.21</v>
      </c>
      <c r="G185" s="1212">
        <f>295/175*C185</f>
        <v>413</v>
      </c>
      <c r="H185" s="419">
        <f>'259-жаркое (2)'!J7</f>
        <v>259</v>
      </c>
      <c r="I185" s="483">
        <f>'259-жаркое (2)'!F34</f>
        <v>97.01</v>
      </c>
      <c r="J185" s="330">
        <f>'259-жаркое (2)'!C19</f>
        <v>0.15</v>
      </c>
      <c r="K185" s="330"/>
      <c r="L185" s="330"/>
      <c r="M185" s="330"/>
      <c r="N185" s="330"/>
      <c r="O185" s="330"/>
      <c r="P185" s="330"/>
      <c r="Q185" s="330"/>
      <c r="R185" s="330"/>
      <c r="S185" s="330"/>
      <c r="T185" s="330"/>
      <c r="U185" s="330"/>
      <c r="V185" s="330"/>
      <c r="W185" s="330"/>
      <c r="X185" s="330"/>
      <c r="Y185" s="330"/>
      <c r="Z185" s="330"/>
      <c r="AA185" s="330"/>
      <c r="AB185" s="330"/>
      <c r="AC185" s="330"/>
      <c r="AD185" s="330"/>
      <c r="AE185" s="330"/>
      <c r="AF185" s="330"/>
      <c r="AG185" s="330"/>
      <c r="AH185" s="330">
        <f>'259-жаркое (2)'!C20</f>
        <v>0.186</v>
      </c>
      <c r="AI185" s="330"/>
      <c r="AJ185" s="330"/>
      <c r="AK185" s="330">
        <f>'259-жаркое (2)'!C21</f>
        <v>1.7000000000000001E-2</v>
      </c>
      <c r="AL185" s="330">
        <f>'259-жаркое (2)'!C25</f>
        <v>3.0000000000000001E-3</v>
      </c>
      <c r="AM185" s="330"/>
      <c r="AN185" s="330"/>
      <c r="AO185" s="330"/>
      <c r="AP185" s="330"/>
      <c r="AQ185" s="330"/>
      <c r="AR185" s="330"/>
      <c r="AS185" s="330"/>
      <c r="AT185" s="330"/>
      <c r="AU185" s="330">
        <f>'259-жаркое (2)'!C26</f>
        <v>3.0000000000000001E-3</v>
      </c>
      <c r="AV185" s="330"/>
      <c r="AW185" s="330"/>
      <c r="AX185" s="330"/>
      <c r="AY185" s="330"/>
      <c r="AZ185" s="330"/>
      <c r="BA185" s="330"/>
      <c r="BB185" s="330"/>
      <c r="BC185" s="330"/>
      <c r="BD185" s="330"/>
      <c r="BE185" s="330"/>
      <c r="BF185" s="330"/>
      <c r="BG185" s="330"/>
      <c r="BH185" s="330"/>
      <c r="BI185" s="330"/>
      <c r="BJ185" s="330"/>
      <c r="BK185" s="330"/>
      <c r="BL185" s="330"/>
      <c r="BM185" s="330"/>
      <c r="BN185" s="330"/>
      <c r="BO185" s="330"/>
      <c r="BP185" s="330"/>
      <c r="BQ185" s="330"/>
      <c r="BR185" s="330"/>
      <c r="BS185" s="330"/>
      <c r="BT185" s="330"/>
      <c r="BU185" s="330"/>
      <c r="BV185" s="330"/>
      <c r="BW185" s="330"/>
      <c r="BX185" s="330"/>
      <c r="BY185" s="330"/>
      <c r="BZ185" s="330"/>
      <c r="CA185" s="330"/>
      <c r="CB185" s="330"/>
      <c r="CC185" s="330"/>
      <c r="CD185" s="330"/>
      <c r="CE185" s="330"/>
      <c r="CF185" s="330">
        <f>'259-жаркое (2)'!C22</f>
        <v>8.0000000000000002E-3</v>
      </c>
      <c r="CG185" s="330"/>
      <c r="CH185" s="330"/>
      <c r="CI185" s="330"/>
      <c r="CJ185" s="330"/>
      <c r="CK185" s="330"/>
      <c r="CL185" s="330"/>
      <c r="CM185" s="330"/>
      <c r="CN185" s="330"/>
      <c r="CO185" s="330"/>
      <c r="CP185" s="330"/>
      <c r="CQ185" s="330"/>
      <c r="CR185" s="330"/>
      <c r="CS185" s="330">
        <f>'259-жаркое (2)'!C24</f>
        <v>3.0000000000000001E-5</v>
      </c>
      <c r="CT185" s="330"/>
      <c r="CU185" s="330"/>
      <c r="CV185" s="330"/>
      <c r="CW185" s="330"/>
      <c r="CX185" s="330"/>
      <c r="CY185" s="330"/>
      <c r="CZ185" s="330"/>
      <c r="DA185" s="330"/>
      <c r="DB185" s="330"/>
      <c r="DC185" s="330">
        <f>'259-жаркое (2)'!C23</f>
        <v>3.0000000000000001E-3</v>
      </c>
      <c r="DD185" s="330"/>
      <c r="DE185" s="330"/>
      <c r="DF185" s="330"/>
      <c r="DG185" s="330"/>
      <c r="DH185" s="330"/>
      <c r="DI185" s="330"/>
      <c r="DJ185" s="330"/>
      <c r="DK185" s="330"/>
      <c r="DL185" s="330"/>
      <c r="DM185" s="330"/>
      <c r="DN185" s="330"/>
      <c r="DO185" s="330"/>
      <c r="DP185" s="330"/>
      <c r="DQ185" s="330"/>
      <c r="DR185" s="330"/>
      <c r="DS185" s="330"/>
      <c r="DT185" s="330"/>
      <c r="DU185" s="330"/>
      <c r="DV185" s="330"/>
      <c r="DW185" s="330"/>
      <c r="DX185" s="330"/>
      <c r="DY185" s="330"/>
      <c r="DZ185" s="330"/>
      <c r="EA185" s="330"/>
      <c r="EB185" s="330"/>
      <c r="EC185" s="330"/>
      <c r="ED185" s="330"/>
      <c r="EE185" s="330"/>
      <c r="EF185" s="330"/>
      <c r="EG185" s="330"/>
      <c r="EH185" s="330"/>
      <c r="EI185" s="330"/>
      <c r="EJ185" s="330"/>
      <c r="EK185" s="330"/>
      <c r="EL185" s="330"/>
      <c r="EM185" s="330"/>
      <c r="EN185" s="330"/>
      <c r="EO185" s="330"/>
      <c r="EP185" s="330"/>
      <c r="EQ185" s="330"/>
      <c r="ER185" s="330"/>
      <c r="ES185" s="330"/>
      <c r="ET185" s="330"/>
      <c r="EU185" s="330"/>
      <c r="EV185" s="330"/>
      <c r="EW185" s="330"/>
      <c r="EX185" s="330"/>
      <c r="EY185" s="1032">
        <f t="shared" si="18"/>
        <v>0.37003000000000003</v>
      </c>
      <c r="EZ185" s="616"/>
      <c r="FA185" s="616"/>
      <c r="FB185" s="616"/>
      <c r="FC185" s="616"/>
      <c r="FD185" s="616"/>
      <c r="FE185" s="616"/>
      <c r="FF185" s="616"/>
      <c r="FG185" s="616"/>
      <c r="FH185" s="616"/>
      <c r="FI185" s="616"/>
      <c r="FJ185" s="616"/>
    </row>
    <row r="186" spans="1:166" ht="14.7" customHeight="1" x14ac:dyDescent="0.25">
      <c r="A186" s="421">
        <v>182</v>
      </c>
      <c r="B186" s="169" t="str">
        <f>'260-гуляш'!A9</f>
        <v>Гуляш с соусом томатным</v>
      </c>
      <c r="C186" s="419">
        <f>'260-гуляш'!C34</f>
        <v>100</v>
      </c>
      <c r="D186" s="1211">
        <f>14.55/100*C186</f>
        <v>14.55</v>
      </c>
      <c r="E186" s="1211">
        <f>16.79/100*C186</f>
        <v>16.79</v>
      </c>
      <c r="F186" s="1211">
        <f>2.89/100*C186</f>
        <v>2.89</v>
      </c>
      <c r="G186" s="1212">
        <f>221/100*C186</f>
        <v>221</v>
      </c>
      <c r="H186" s="419">
        <f>'260-гуляш'!J7</f>
        <v>260</v>
      </c>
      <c r="I186" s="1234">
        <f>'260-гуляш'!F36</f>
        <v>67.83</v>
      </c>
      <c r="J186" s="331">
        <f>'260-гуляш'!C19</f>
        <v>0.107</v>
      </c>
      <c r="K186" s="331"/>
      <c r="L186" s="430"/>
      <c r="M186" s="430"/>
      <c r="N186" s="331"/>
      <c r="O186" s="331"/>
      <c r="P186" s="331"/>
      <c r="Q186" s="331"/>
      <c r="R186" s="430"/>
      <c r="S186" s="430"/>
      <c r="T186" s="331"/>
      <c r="U186" s="331"/>
      <c r="V186" s="331"/>
      <c r="W186" s="331"/>
      <c r="X186" s="331"/>
      <c r="Y186" s="331">
        <f>'260-гуляш'!C25</f>
        <v>1.4999999999999999E-2</v>
      </c>
      <c r="Z186" s="331"/>
      <c r="AA186" s="430"/>
      <c r="AB186" s="430"/>
      <c r="AC186" s="430"/>
      <c r="AD186" s="430"/>
      <c r="AE186" s="331"/>
      <c r="AF186" s="331"/>
      <c r="AG186" s="430"/>
      <c r="AH186" s="331"/>
      <c r="AI186" s="331"/>
      <c r="AJ186" s="331"/>
      <c r="AK186" s="331">
        <f>'260-гуляш'!C21</f>
        <v>1.2E-2</v>
      </c>
      <c r="AL186" s="331">
        <f>'260-гуляш'!C27</f>
        <v>2E-3</v>
      </c>
      <c r="AM186" s="331"/>
      <c r="AN186" s="331"/>
      <c r="AO186" s="331"/>
      <c r="AP186" s="331"/>
      <c r="AQ186" s="331"/>
      <c r="AR186" s="430"/>
      <c r="AS186" s="331"/>
      <c r="AT186" s="331"/>
      <c r="AU186" s="331">
        <f>'260-гуляш'!C28</f>
        <v>2E-3</v>
      </c>
      <c r="AV186" s="331"/>
      <c r="AW186" s="331"/>
      <c r="AX186" s="331"/>
      <c r="AY186" s="430"/>
      <c r="AZ186" s="331"/>
      <c r="BA186" s="331"/>
      <c r="BB186" s="331"/>
      <c r="BC186" s="331"/>
      <c r="BD186" s="331"/>
      <c r="BE186" s="331"/>
      <c r="BF186" s="430"/>
      <c r="BG186" s="430"/>
      <c r="BH186" s="430"/>
      <c r="BI186" s="331"/>
      <c r="BJ186" s="331"/>
      <c r="BK186" s="331"/>
      <c r="BL186" s="331"/>
      <c r="BM186" s="331"/>
      <c r="BN186" s="331"/>
      <c r="BO186" s="331"/>
      <c r="BP186" s="331"/>
      <c r="BQ186" s="331"/>
      <c r="BR186" s="331"/>
      <c r="BS186" s="331">
        <f>'260-гуляш'!C23</f>
        <v>2E-3</v>
      </c>
      <c r="BT186" s="331"/>
      <c r="BU186" s="331"/>
      <c r="BV186" s="331"/>
      <c r="BW186" s="430"/>
      <c r="BX186" s="430"/>
      <c r="BY186" s="430"/>
      <c r="BZ186" s="430"/>
      <c r="CA186" s="331"/>
      <c r="CB186" s="331"/>
      <c r="CC186" s="430"/>
      <c r="CD186" s="430"/>
      <c r="CE186" s="331"/>
      <c r="CF186" s="331">
        <f>'260-гуляш'!C20</f>
        <v>5.0000000000000001E-3</v>
      </c>
      <c r="CG186" s="331"/>
      <c r="CH186" s="331"/>
      <c r="CI186" s="331"/>
      <c r="CJ186" s="430"/>
      <c r="CK186" s="331"/>
      <c r="CL186" s="331"/>
      <c r="CM186" s="331"/>
      <c r="CN186" s="331"/>
      <c r="CO186" s="331"/>
      <c r="CP186" s="331"/>
      <c r="CQ186" s="331"/>
      <c r="CR186" s="331"/>
      <c r="CS186" s="331">
        <f>'260-гуляш'!C26</f>
        <v>2.0000000000000002E-5</v>
      </c>
      <c r="CT186" s="331"/>
      <c r="CU186" s="331"/>
      <c r="CV186" s="331"/>
      <c r="CW186" s="331"/>
      <c r="CX186" s="331"/>
      <c r="CY186" s="430"/>
      <c r="CZ186" s="331"/>
      <c r="DA186" s="331"/>
      <c r="DB186" s="331"/>
      <c r="DC186" s="331">
        <f>'260-гуляш'!C24</f>
        <v>3.0000000000000001E-3</v>
      </c>
      <c r="DD186" s="331"/>
      <c r="DE186" s="331"/>
      <c r="DF186" s="331">
        <f>'260-гуляш'!C22</f>
        <v>8.0000000000000002E-3</v>
      </c>
      <c r="DG186" s="331"/>
      <c r="DH186" s="331"/>
      <c r="DI186" s="331"/>
      <c r="DJ186" s="430"/>
      <c r="DK186" s="430"/>
      <c r="DL186" s="331"/>
      <c r="DM186" s="331"/>
      <c r="DN186" s="430"/>
      <c r="DO186" s="430"/>
      <c r="DP186" s="430"/>
      <c r="DQ186" s="430"/>
      <c r="DR186" s="331"/>
      <c r="DS186" s="331"/>
      <c r="DT186" s="331"/>
      <c r="DU186" s="331"/>
      <c r="DV186" s="331"/>
      <c r="DW186" s="331"/>
      <c r="DX186" s="331"/>
      <c r="DY186" s="331"/>
      <c r="DZ186" s="331"/>
      <c r="EA186" s="430"/>
      <c r="EB186" s="430"/>
      <c r="EC186" s="430"/>
      <c r="ED186" s="430"/>
      <c r="EE186" s="430"/>
      <c r="EF186" s="430"/>
      <c r="EG186" s="430"/>
      <c r="EH186" s="430"/>
      <c r="EI186" s="430"/>
      <c r="EJ186" s="430"/>
      <c r="EK186" s="430"/>
      <c r="EL186" s="430"/>
      <c r="EM186" s="430"/>
      <c r="EN186" s="430"/>
      <c r="EO186" s="430"/>
      <c r="EP186" s="430"/>
      <c r="EQ186" s="430"/>
      <c r="ER186" s="430"/>
      <c r="ES186" s="430"/>
      <c r="ET186" s="430"/>
      <c r="EU186" s="430"/>
      <c r="EV186" s="331"/>
      <c r="EW186" s="331"/>
      <c r="EX186" s="331"/>
      <c r="EY186" s="1032">
        <f t="shared" si="18"/>
        <v>0.15601999999999999</v>
      </c>
    </row>
    <row r="187" spans="1:166" s="486" customFormat="1" ht="14.7" customHeight="1" x14ac:dyDescent="0.25">
      <c r="A187" s="421">
        <v>183</v>
      </c>
      <c r="B187" s="417" t="str">
        <f>'260-гуляш (2)'!A10</f>
        <v>Гуляш с соусом томатным (2 вариант)</v>
      </c>
      <c r="C187" s="419">
        <f>'260-гуляш (2)'!C36</f>
        <v>140</v>
      </c>
      <c r="D187" s="1211">
        <f>14.55/100*C187</f>
        <v>20.37</v>
      </c>
      <c r="E187" s="1211">
        <f>16.79/100*C187</f>
        <v>23.51</v>
      </c>
      <c r="F187" s="1211">
        <f>2.89/100*C187</f>
        <v>4.05</v>
      </c>
      <c r="G187" s="1212">
        <f>221/100*C187</f>
        <v>309</v>
      </c>
      <c r="H187" s="419">
        <f>'260-гуляш (2)'!J7</f>
        <v>260</v>
      </c>
      <c r="I187" s="483">
        <f>'260-гуляш (2)'!F38</f>
        <v>95.05</v>
      </c>
      <c r="J187" s="430">
        <f>'260-гуляш (2)'!C20</f>
        <v>0.15</v>
      </c>
      <c r="K187" s="430"/>
      <c r="L187" s="430"/>
      <c r="M187" s="430"/>
      <c r="N187" s="430"/>
      <c r="O187" s="430"/>
      <c r="P187" s="430"/>
      <c r="Q187" s="430"/>
      <c r="R187" s="430"/>
      <c r="S187" s="430"/>
      <c r="T187" s="430"/>
      <c r="U187" s="430"/>
      <c r="V187" s="430"/>
      <c r="W187" s="430"/>
      <c r="X187" s="430"/>
      <c r="Y187" s="430">
        <f>'260-гуляш (2)'!C26</f>
        <v>2.1000000000000001E-2</v>
      </c>
      <c r="Z187" s="430"/>
      <c r="AA187" s="430"/>
      <c r="AB187" s="430"/>
      <c r="AC187" s="430"/>
      <c r="AD187" s="430"/>
      <c r="AE187" s="430"/>
      <c r="AF187" s="430"/>
      <c r="AG187" s="430"/>
      <c r="AH187" s="430"/>
      <c r="AI187" s="430"/>
      <c r="AJ187" s="430"/>
      <c r="AK187" s="430">
        <f>'260-гуляш (2)'!C22</f>
        <v>1.7000000000000001E-2</v>
      </c>
      <c r="AL187" s="430">
        <f>'260-гуляш (2)'!C28</f>
        <v>2.8E-3</v>
      </c>
      <c r="AM187" s="430"/>
      <c r="AN187" s="430"/>
      <c r="AO187" s="430"/>
      <c r="AP187" s="430"/>
      <c r="AQ187" s="430"/>
      <c r="AR187" s="430"/>
      <c r="AS187" s="430"/>
      <c r="AT187" s="430"/>
      <c r="AU187" s="430">
        <f>'260-гуляш (2)'!C29</f>
        <v>2.8E-3</v>
      </c>
      <c r="AV187" s="430"/>
      <c r="AW187" s="430"/>
      <c r="AX187" s="430"/>
      <c r="AY187" s="430"/>
      <c r="AZ187" s="430"/>
      <c r="BA187" s="430"/>
      <c r="BB187" s="430"/>
      <c r="BC187" s="430"/>
      <c r="BD187" s="430"/>
      <c r="BE187" s="430"/>
      <c r="BF187" s="430"/>
      <c r="BG187" s="430"/>
      <c r="BH187" s="430"/>
      <c r="BI187" s="430"/>
      <c r="BJ187" s="430"/>
      <c r="BK187" s="430"/>
      <c r="BL187" s="430"/>
      <c r="BM187" s="430"/>
      <c r="BN187" s="430"/>
      <c r="BO187" s="430"/>
      <c r="BP187" s="430"/>
      <c r="BQ187" s="430"/>
      <c r="BR187" s="430"/>
      <c r="BS187" s="430">
        <f>'260-гуляш (2)'!C24</f>
        <v>3.0000000000000001E-3</v>
      </c>
      <c r="BT187" s="430"/>
      <c r="BU187" s="430"/>
      <c r="BV187" s="430"/>
      <c r="BW187" s="430"/>
      <c r="BX187" s="430"/>
      <c r="BY187" s="430"/>
      <c r="BZ187" s="430"/>
      <c r="CA187" s="430"/>
      <c r="CB187" s="430"/>
      <c r="CC187" s="430"/>
      <c r="CD187" s="430"/>
      <c r="CE187" s="430"/>
      <c r="CF187" s="430">
        <f>'260-гуляш (2)'!C21</f>
        <v>7.0000000000000001E-3</v>
      </c>
      <c r="CG187" s="430"/>
      <c r="CH187" s="430"/>
      <c r="CI187" s="430"/>
      <c r="CJ187" s="430"/>
      <c r="CK187" s="430"/>
      <c r="CL187" s="430"/>
      <c r="CM187" s="430"/>
      <c r="CN187" s="430"/>
      <c r="CO187" s="430"/>
      <c r="CP187" s="430"/>
      <c r="CQ187" s="430"/>
      <c r="CR187" s="430"/>
      <c r="CS187" s="430">
        <f>'260-гуляш (2)'!C27</f>
        <v>3.0000000000000001E-5</v>
      </c>
      <c r="CT187" s="430"/>
      <c r="CU187" s="430"/>
      <c r="CV187" s="430"/>
      <c r="CW187" s="430"/>
      <c r="CX187" s="430"/>
      <c r="CY187" s="430"/>
      <c r="CZ187" s="430"/>
      <c r="DA187" s="430"/>
      <c r="DB187" s="430"/>
      <c r="DC187" s="430">
        <f>'260-гуляш (2)'!C25</f>
        <v>4.0000000000000001E-3</v>
      </c>
      <c r="DD187" s="430"/>
      <c r="DE187" s="430"/>
      <c r="DF187" s="430">
        <f>'260-гуляш (2)'!C23</f>
        <v>1.0999999999999999E-2</v>
      </c>
      <c r="DG187" s="430"/>
      <c r="DH187" s="430"/>
      <c r="DI187" s="430"/>
      <c r="DJ187" s="430"/>
      <c r="DK187" s="430"/>
      <c r="DL187" s="430"/>
      <c r="DM187" s="430"/>
      <c r="DN187" s="430"/>
      <c r="DO187" s="430"/>
      <c r="DP187" s="430"/>
      <c r="DQ187" s="430"/>
      <c r="DR187" s="430"/>
      <c r="DS187" s="430"/>
      <c r="DT187" s="430"/>
      <c r="DU187" s="430"/>
      <c r="DV187" s="430"/>
      <c r="DW187" s="430"/>
      <c r="DX187" s="430"/>
      <c r="DY187" s="430"/>
      <c r="DZ187" s="430"/>
      <c r="EA187" s="430"/>
      <c r="EB187" s="430"/>
      <c r="EC187" s="430"/>
      <c r="ED187" s="430"/>
      <c r="EE187" s="430"/>
      <c r="EF187" s="430"/>
      <c r="EG187" s="430"/>
      <c r="EH187" s="430"/>
      <c r="EI187" s="430"/>
      <c r="EJ187" s="430"/>
      <c r="EK187" s="430"/>
      <c r="EL187" s="430"/>
      <c r="EM187" s="430"/>
      <c r="EN187" s="430"/>
      <c r="EO187" s="430"/>
      <c r="EP187" s="430"/>
      <c r="EQ187" s="430"/>
      <c r="ER187" s="430"/>
      <c r="ES187" s="430"/>
      <c r="ET187" s="430"/>
      <c r="EU187" s="430"/>
      <c r="EV187" s="430"/>
      <c r="EW187" s="430"/>
      <c r="EX187" s="430"/>
      <c r="EY187" s="1032">
        <f t="shared" si="18"/>
        <v>0.21862999999999999</v>
      </c>
      <c r="EZ187" s="616"/>
      <c r="FA187" s="616"/>
      <c r="FB187" s="616"/>
      <c r="FC187" s="616"/>
      <c r="FD187" s="616"/>
      <c r="FE187" s="616"/>
      <c r="FF187" s="616"/>
      <c r="FG187" s="616"/>
      <c r="FH187" s="616"/>
      <c r="FI187" s="616"/>
      <c r="FJ187" s="616"/>
    </row>
    <row r="188" spans="1:166" ht="14.7" customHeight="1" x14ac:dyDescent="0.25">
      <c r="A188" s="421">
        <v>184</v>
      </c>
      <c r="B188" s="169" t="str">
        <f>'264-говядина тушеная'!A9</f>
        <v>Говядина, тушенная в сметане</v>
      </c>
      <c r="C188" s="419">
        <f>'264-говядина тушеная'!C34</f>
        <v>100</v>
      </c>
      <c r="D188" s="1211">
        <f>15.27/100*C188</f>
        <v>15.27</v>
      </c>
      <c r="E188" s="1211">
        <f>22.1/100*C188</f>
        <v>22.1</v>
      </c>
      <c r="F188" s="1211">
        <f>1.9/100*C188</f>
        <v>1.9</v>
      </c>
      <c r="G188" s="1212">
        <f>264/100*C188</f>
        <v>264</v>
      </c>
      <c r="H188" s="419">
        <f>'264-говядина тушеная'!J7</f>
        <v>264</v>
      </c>
      <c r="I188" s="1234">
        <f>'264-говядина тушеная'!F36</f>
        <v>71.87</v>
      </c>
      <c r="J188" s="331">
        <f>'264-говядина тушеная'!C19</f>
        <v>0.113</v>
      </c>
      <c r="K188" s="331"/>
      <c r="L188" s="430"/>
      <c r="M188" s="430"/>
      <c r="N188" s="331"/>
      <c r="O188" s="331"/>
      <c r="P188" s="331"/>
      <c r="Q188" s="331"/>
      <c r="R188" s="430"/>
      <c r="S188" s="430"/>
      <c r="T188" s="331"/>
      <c r="U188" s="331"/>
      <c r="V188" s="331"/>
      <c r="W188" s="331"/>
      <c r="X188" s="331"/>
      <c r="Y188" s="331">
        <f>'264-говядина тушеная'!C23</f>
        <v>2.5000000000000001E-2</v>
      </c>
      <c r="Z188" s="331"/>
      <c r="AA188" s="430"/>
      <c r="AB188" s="430"/>
      <c r="AC188" s="430"/>
      <c r="AD188" s="430"/>
      <c r="AE188" s="331"/>
      <c r="AF188" s="331"/>
      <c r="AG188" s="430"/>
      <c r="AH188" s="331"/>
      <c r="AI188" s="331"/>
      <c r="AJ188" s="331"/>
      <c r="AK188" s="331">
        <f>'264-говядина тушеная'!C21</f>
        <v>8.0000000000000002E-3</v>
      </c>
      <c r="AL188" s="331">
        <f>'264-говядина тушеная'!C26</f>
        <v>2E-3</v>
      </c>
      <c r="AM188" s="331"/>
      <c r="AN188" s="331"/>
      <c r="AO188" s="331"/>
      <c r="AP188" s="331"/>
      <c r="AQ188" s="331">
        <f>'264-говядина тушеная'!C22</f>
        <v>8.9999999999999993E-3</v>
      </c>
      <c r="AR188" s="430"/>
      <c r="AS188" s="331"/>
      <c r="AT188" s="331"/>
      <c r="AU188" s="331">
        <f>'264-говядина тушеная'!C27</f>
        <v>2E-3</v>
      </c>
      <c r="AV188" s="331"/>
      <c r="AW188" s="331"/>
      <c r="AX188" s="331"/>
      <c r="AY188" s="430"/>
      <c r="AZ188" s="331"/>
      <c r="BA188" s="331"/>
      <c r="BB188" s="331"/>
      <c r="BC188" s="331"/>
      <c r="BD188" s="331"/>
      <c r="BE188" s="331"/>
      <c r="BF188" s="430"/>
      <c r="BG188" s="430"/>
      <c r="BH188" s="430"/>
      <c r="BI188" s="331"/>
      <c r="BJ188" s="331"/>
      <c r="BK188" s="331"/>
      <c r="BL188" s="331"/>
      <c r="BM188" s="331"/>
      <c r="BN188" s="331"/>
      <c r="BO188" s="331"/>
      <c r="BP188" s="331"/>
      <c r="BQ188" s="331"/>
      <c r="BR188" s="331"/>
      <c r="BS188" s="331"/>
      <c r="BT188" s="331"/>
      <c r="BU188" s="331"/>
      <c r="BV188" s="331"/>
      <c r="BW188" s="430"/>
      <c r="BX188" s="430"/>
      <c r="BY188" s="430"/>
      <c r="BZ188" s="430"/>
      <c r="CA188" s="331"/>
      <c r="CB188" s="331"/>
      <c r="CC188" s="430"/>
      <c r="CD188" s="430"/>
      <c r="CE188" s="331"/>
      <c r="CF188" s="331">
        <f>'264-говядина тушеная'!C20</f>
        <v>5.0000000000000001E-3</v>
      </c>
      <c r="CG188" s="331"/>
      <c r="CH188" s="331"/>
      <c r="CI188" s="331"/>
      <c r="CJ188" s="430"/>
      <c r="CK188" s="331"/>
      <c r="CL188" s="331"/>
      <c r="CM188" s="331"/>
      <c r="CN188" s="331"/>
      <c r="CO188" s="331"/>
      <c r="CP188" s="331"/>
      <c r="CQ188" s="331"/>
      <c r="CR188" s="331"/>
      <c r="CS188" s="331">
        <f>'264-говядина тушеная'!C25</f>
        <v>2.0000000000000002E-5</v>
      </c>
      <c r="CT188" s="331"/>
      <c r="CU188" s="331"/>
      <c r="CV188" s="331"/>
      <c r="CW188" s="331"/>
      <c r="CX188" s="331"/>
      <c r="CY188" s="430"/>
      <c r="CZ188" s="331"/>
      <c r="DA188" s="331"/>
      <c r="DB188" s="331"/>
      <c r="DC188" s="331">
        <f>'264-говядина тушеная'!C24</f>
        <v>3.0000000000000001E-3</v>
      </c>
      <c r="DD188" s="331"/>
      <c r="DE188" s="331"/>
      <c r="DF188" s="331"/>
      <c r="DG188" s="331"/>
      <c r="DH188" s="331"/>
      <c r="DI188" s="331"/>
      <c r="DJ188" s="430"/>
      <c r="DK188" s="430"/>
      <c r="DL188" s="331"/>
      <c r="DM188" s="331"/>
      <c r="DN188" s="430"/>
      <c r="DO188" s="430"/>
      <c r="DP188" s="430"/>
      <c r="DQ188" s="430"/>
      <c r="DR188" s="331"/>
      <c r="DS188" s="331"/>
      <c r="DT188" s="331"/>
      <c r="DU188" s="331"/>
      <c r="DV188" s="331"/>
      <c r="DW188" s="331"/>
      <c r="DX188" s="331"/>
      <c r="DY188" s="331"/>
      <c r="DZ188" s="331"/>
      <c r="EA188" s="430"/>
      <c r="EB188" s="430"/>
      <c r="EC188" s="430"/>
      <c r="ED188" s="430"/>
      <c r="EE188" s="430"/>
      <c r="EF188" s="430"/>
      <c r="EG188" s="430"/>
      <c r="EH188" s="430"/>
      <c r="EI188" s="430"/>
      <c r="EJ188" s="430"/>
      <c r="EK188" s="430"/>
      <c r="EL188" s="430"/>
      <c r="EM188" s="430"/>
      <c r="EN188" s="430"/>
      <c r="EO188" s="430"/>
      <c r="EP188" s="430"/>
      <c r="EQ188" s="430"/>
      <c r="ER188" s="430"/>
      <c r="ES188" s="430"/>
      <c r="ET188" s="430"/>
      <c r="EU188" s="430"/>
      <c r="EV188" s="331"/>
      <c r="EW188" s="331"/>
      <c r="EX188" s="331"/>
      <c r="EY188" s="1032">
        <f t="shared" si="18"/>
        <v>0.16702</v>
      </c>
    </row>
    <row r="189" spans="1:166" s="467" customFormat="1" ht="14.7" customHeight="1" x14ac:dyDescent="0.25">
      <c r="A189" s="421">
        <v>185</v>
      </c>
      <c r="B189" s="417" t="str">
        <f>'265-плов'!A9</f>
        <v>Плов из говядины</v>
      </c>
      <c r="C189" s="419">
        <f>'265-плов'!C33</f>
        <v>150</v>
      </c>
      <c r="D189" s="1211">
        <f>16.49/150*C189</f>
        <v>16.489999999999998</v>
      </c>
      <c r="E189" s="1211">
        <f>16.89/150*C189</f>
        <v>16.89</v>
      </c>
      <c r="F189" s="1211">
        <f>26.02/150*C189</f>
        <v>26.02</v>
      </c>
      <c r="G189" s="1212">
        <f>322/150*C189</f>
        <v>322</v>
      </c>
      <c r="H189" s="419">
        <f>'265-плов'!J7</f>
        <v>265</v>
      </c>
      <c r="I189" s="483">
        <f>'265-плов'!F35</f>
        <v>66.58</v>
      </c>
      <c r="J189" s="430">
        <f>'265-плов'!C19</f>
        <v>0.107</v>
      </c>
      <c r="K189" s="430"/>
      <c r="L189" s="430"/>
      <c r="M189" s="430"/>
      <c r="N189" s="430"/>
      <c r="O189" s="430"/>
      <c r="P189" s="430"/>
      <c r="Q189" s="430"/>
      <c r="R189" s="430"/>
      <c r="S189" s="430"/>
      <c r="T189" s="430"/>
      <c r="U189" s="430"/>
      <c r="V189" s="430"/>
      <c r="W189" s="430"/>
      <c r="X189" s="430"/>
      <c r="Y189" s="430"/>
      <c r="Z189" s="430"/>
      <c r="AA189" s="430"/>
      <c r="AB189" s="430"/>
      <c r="AC189" s="430"/>
      <c r="AD189" s="430"/>
      <c r="AE189" s="430"/>
      <c r="AF189" s="430"/>
      <c r="AG189" s="430"/>
      <c r="AH189" s="430"/>
      <c r="AI189" s="430"/>
      <c r="AJ189" s="430"/>
      <c r="AK189" s="430">
        <f>'265-плов'!C22</f>
        <v>6.0000000000000001E-3</v>
      </c>
      <c r="AL189" s="430"/>
      <c r="AM189" s="430"/>
      <c r="AN189" s="430"/>
      <c r="AO189" s="430"/>
      <c r="AP189" s="430"/>
      <c r="AQ189" s="430">
        <f>'265-плов'!C23</f>
        <v>0.01</v>
      </c>
      <c r="AR189" s="430"/>
      <c r="AS189" s="430"/>
      <c r="AT189" s="430"/>
      <c r="AU189" s="430"/>
      <c r="AV189" s="430"/>
      <c r="AW189" s="430"/>
      <c r="AX189" s="430"/>
      <c r="AY189" s="430"/>
      <c r="AZ189" s="430"/>
      <c r="BA189" s="430"/>
      <c r="BB189" s="430"/>
      <c r="BC189" s="430"/>
      <c r="BD189" s="430"/>
      <c r="BE189" s="430"/>
      <c r="BF189" s="430"/>
      <c r="BG189" s="430"/>
      <c r="BH189" s="430"/>
      <c r="BI189" s="430"/>
      <c r="BJ189" s="430"/>
      <c r="BK189" s="430"/>
      <c r="BL189" s="430"/>
      <c r="BM189" s="430"/>
      <c r="BN189" s="430"/>
      <c r="BO189" s="430"/>
      <c r="BP189" s="430"/>
      <c r="BQ189" s="430"/>
      <c r="BR189" s="430"/>
      <c r="BS189" s="430"/>
      <c r="BT189" s="430"/>
      <c r="BU189" s="430"/>
      <c r="BV189" s="430"/>
      <c r="BW189" s="430"/>
      <c r="BX189" s="430"/>
      <c r="BY189" s="430"/>
      <c r="BZ189" s="430"/>
      <c r="CA189" s="430"/>
      <c r="CB189" s="430">
        <f>'265-плов'!C20</f>
        <v>3.4000000000000002E-2</v>
      </c>
      <c r="CC189" s="430"/>
      <c r="CD189" s="430"/>
      <c r="CE189" s="430"/>
      <c r="CF189" s="430">
        <f>'265-плов'!C21</f>
        <v>5.0000000000000001E-3</v>
      </c>
      <c r="CG189" s="430"/>
      <c r="CH189" s="430"/>
      <c r="CI189" s="430"/>
      <c r="CJ189" s="430"/>
      <c r="CK189" s="430"/>
      <c r="CL189" s="430"/>
      <c r="CM189" s="430"/>
      <c r="CN189" s="430"/>
      <c r="CO189" s="430"/>
      <c r="CP189" s="430"/>
      <c r="CQ189" s="430"/>
      <c r="CR189" s="430"/>
      <c r="CS189" s="430">
        <f>'265-плов'!C26</f>
        <v>2.0000000000000002E-5</v>
      </c>
      <c r="CT189" s="430"/>
      <c r="CU189" s="430"/>
      <c r="CV189" s="430"/>
      <c r="CW189" s="430"/>
      <c r="CX189" s="430"/>
      <c r="CY189" s="430"/>
      <c r="CZ189" s="430"/>
      <c r="DA189" s="430"/>
      <c r="DB189" s="430"/>
      <c r="DC189" s="430">
        <f>'265-плов'!C25</f>
        <v>3.0000000000000001E-3</v>
      </c>
      <c r="DD189" s="430"/>
      <c r="DE189" s="430"/>
      <c r="DF189" s="430">
        <f>'265-плов'!C24</f>
        <v>8.0000000000000002E-3</v>
      </c>
      <c r="DG189" s="430"/>
      <c r="DH189" s="430"/>
      <c r="DI189" s="430"/>
      <c r="DJ189" s="430"/>
      <c r="DK189" s="430"/>
      <c r="DL189" s="430"/>
      <c r="DM189" s="430"/>
      <c r="DN189" s="430"/>
      <c r="DO189" s="430"/>
      <c r="DP189" s="430"/>
      <c r="DQ189" s="430"/>
      <c r="DR189" s="430"/>
      <c r="DS189" s="430"/>
      <c r="DT189" s="430"/>
      <c r="DU189" s="430"/>
      <c r="DV189" s="430"/>
      <c r="DW189" s="430"/>
      <c r="DX189" s="430"/>
      <c r="DY189" s="430"/>
      <c r="DZ189" s="430"/>
      <c r="EA189" s="430"/>
      <c r="EB189" s="430"/>
      <c r="EC189" s="430"/>
      <c r="ED189" s="430"/>
      <c r="EE189" s="430"/>
      <c r="EF189" s="430"/>
      <c r="EG189" s="430"/>
      <c r="EH189" s="430"/>
      <c r="EI189" s="430"/>
      <c r="EJ189" s="430"/>
      <c r="EK189" s="430"/>
      <c r="EL189" s="430"/>
      <c r="EM189" s="430"/>
      <c r="EN189" s="430"/>
      <c r="EO189" s="430"/>
      <c r="EP189" s="430"/>
      <c r="EQ189" s="430"/>
      <c r="ER189" s="430"/>
      <c r="ES189" s="430"/>
      <c r="ET189" s="430"/>
      <c r="EU189" s="430"/>
      <c r="EV189" s="430"/>
      <c r="EW189" s="430"/>
      <c r="EX189" s="430"/>
      <c r="EY189" s="1032">
        <f t="shared" si="18"/>
        <v>0.17302000000000001</v>
      </c>
      <c r="EZ189" s="616"/>
      <c r="FA189" s="616"/>
      <c r="FB189" s="616"/>
      <c r="FC189" s="616"/>
      <c r="FD189" s="616"/>
      <c r="FE189" s="616"/>
      <c r="FF189" s="616"/>
      <c r="FG189" s="616"/>
      <c r="FH189" s="616"/>
      <c r="FI189" s="616"/>
      <c r="FJ189" s="616"/>
    </row>
    <row r="190" spans="1:166" s="516" customFormat="1" ht="14.7" customHeight="1" x14ac:dyDescent="0.25">
      <c r="A190" s="421">
        <v>186</v>
      </c>
      <c r="B190" s="417" t="str">
        <f>'267-шницель'!A9</f>
        <v>Шницель натуральный рубленый из говядины</v>
      </c>
      <c r="C190" s="419">
        <f>'267-шницель'!C33</f>
        <v>80</v>
      </c>
      <c r="D190" s="1211">
        <f>13.83/80*C190</f>
        <v>13.83</v>
      </c>
      <c r="E190" s="1211">
        <f>28.63/80*C190</f>
        <v>28.63</v>
      </c>
      <c r="F190" s="1211">
        <f>6.58/80*C190</f>
        <v>6.58</v>
      </c>
      <c r="G190" s="1212">
        <f>341/80*C190</f>
        <v>341</v>
      </c>
      <c r="H190" s="419">
        <f>'267-шницель'!J7</f>
        <v>267</v>
      </c>
      <c r="I190" s="483">
        <f>'267-шницель'!F35</f>
        <v>60.76</v>
      </c>
      <c r="J190" s="482">
        <f>'267-шницель'!C19</f>
        <v>9.5000000000000001E-2</v>
      </c>
      <c r="K190" s="430"/>
      <c r="L190" s="430"/>
      <c r="M190" s="430"/>
      <c r="N190" s="430"/>
      <c r="O190" s="430"/>
      <c r="P190" s="430">
        <f>'267-шницель'!C20</f>
        <v>1.0999999999999999E-2</v>
      </c>
      <c r="Q190" s="430"/>
      <c r="R190" s="430"/>
      <c r="S190" s="430"/>
      <c r="T190" s="430"/>
      <c r="U190" s="430"/>
      <c r="V190" s="430">
        <f>'267-шницель'!C28</f>
        <v>5.0000000000000001E-3</v>
      </c>
      <c r="W190" s="430"/>
      <c r="X190" s="430"/>
      <c r="Y190" s="430"/>
      <c r="Z190" s="430"/>
      <c r="AA190" s="430"/>
      <c r="AB190" s="430"/>
      <c r="AC190" s="430"/>
      <c r="AD190" s="430"/>
      <c r="AE190" s="430">
        <f>'267-шницель'!C22</f>
        <v>4.5999999999999999E-3</v>
      </c>
      <c r="AF190" s="430"/>
      <c r="AG190" s="430"/>
      <c r="AH190" s="430"/>
      <c r="AI190" s="430"/>
      <c r="AJ190" s="430"/>
      <c r="AK190" s="430"/>
      <c r="AL190" s="430"/>
      <c r="AM190" s="430"/>
      <c r="AN190" s="430"/>
      <c r="AO190" s="430"/>
      <c r="AP190" s="430"/>
      <c r="AQ190" s="430"/>
      <c r="AR190" s="430"/>
      <c r="AS190" s="430"/>
      <c r="AT190" s="430"/>
      <c r="AU190" s="430"/>
      <c r="AV190" s="430"/>
      <c r="AW190" s="430"/>
      <c r="AX190" s="430"/>
      <c r="AY190" s="430"/>
      <c r="AZ190" s="430"/>
      <c r="BA190" s="430"/>
      <c r="BB190" s="430"/>
      <c r="BC190" s="430"/>
      <c r="BD190" s="430"/>
      <c r="BE190" s="430"/>
      <c r="BF190" s="430"/>
      <c r="BG190" s="430"/>
      <c r="BH190" s="430"/>
      <c r="BI190" s="430"/>
      <c r="BJ190" s="430"/>
      <c r="BK190" s="430"/>
      <c r="BL190" s="430"/>
      <c r="BM190" s="430"/>
      <c r="BN190" s="430"/>
      <c r="BO190" s="430"/>
      <c r="BP190" s="430"/>
      <c r="BQ190" s="430"/>
      <c r="BR190" s="430"/>
      <c r="BS190" s="430"/>
      <c r="BT190" s="430"/>
      <c r="BU190" s="430"/>
      <c r="BV190" s="430"/>
      <c r="BW190" s="430"/>
      <c r="BX190" s="430"/>
      <c r="BY190" s="430"/>
      <c r="BZ190" s="430"/>
      <c r="CA190" s="430"/>
      <c r="CB190" s="430"/>
      <c r="CC190" s="430"/>
      <c r="CD190" s="430"/>
      <c r="CE190" s="430"/>
      <c r="CF190" s="430">
        <f>'267-шницель'!C26</f>
        <v>6.0000000000000001E-3</v>
      </c>
      <c r="CG190" s="430"/>
      <c r="CH190" s="430"/>
      <c r="CI190" s="430"/>
      <c r="CJ190" s="430"/>
      <c r="CK190" s="430"/>
      <c r="CL190" s="430"/>
      <c r="CM190" s="430"/>
      <c r="CN190" s="430"/>
      <c r="CO190" s="430"/>
      <c r="CP190" s="430"/>
      <c r="CQ190" s="430"/>
      <c r="CR190" s="430"/>
      <c r="CS190" s="430"/>
      <c r="CT190" s="430"/>
      <c r="CU190" s="430"/>
      <c r="CV190" s="430"/>
      <c r="CW190" s="430"/>
      <c r="CX190" s="430"/>
      <c r="CY190" s="430"/>
      <c r="CZ190" s="430"/>
      <c r="DA190" s="430"/>
      <c r="DB190" s="430"/>
      <c r="DC190" s="430">
        <f>'267-шницель'!C24</f>
        <v>3.0000000000000001E-3</v>
      </c>
      <c r="DD190" s="430">
        <f>'267-шницель'!C23</f>
        <v>1.2E-2</v>
      </c>
      <c r="DE190" s="430"/>
      <c r="DF190" s="430"/>
      <c r="DG190" s="430"/>
      <c r="DH190" s="430"/>
      <c r="DI190" s="430"/>
      <c r="DJ190" s="430"/>
      <c r="DK190" s="430"/>
      <c r="DL190" s="430"/>
      <c r="DM190" s="430"/>
      <c r="DN190" s="430"/>
      <c r="DO190" s="430"/>
      <c r="DP190" s="430"/>
      <c r="DQ190" s="430"/>
      <c r="DR190" s="430"/>
      <c r="DS190" s="430"/>
      <c r="DT190" s="430"/>
      <c r="DU190" s="430"/>
      <c r="DV190" s="430"/>
      <c r="DW190" s="430"/>
      <c r="DX190" s="430"/>
      <c r="DY190" s="430"/>
      <c r="DZ190" s="430"/>
      <c r="EA190" s="430"/>
      <c r="EB190" s="430"/>
      <c r="EC190" s="430"/>
      <c r="ED190" s="430"/>
      <c r="EE190" s="430"/>
      <c r="EF190" s="430"/>
      <c r="EG190" s="430"/>
      <c r="EH190" s="430"/>
      <c r="EI190" s="430"/>
      <c r="EJ190" s="430"/>
      <c r="EK190" s="430"/>
      <c r="EL190" s="430"/>
      <c r="EM190" s="430"/>
      <c r="EN190" s="430"/>
      <c r="EO190" s="430"/>
      <c r="EP190" s="430"/>
      <c r="EQ190" s="430"/>
      <c r="ER190" s="430"/>
      <c r="ES190" s="430"/>
      <c r="ET190" s="430"/>
      <c r="EU190" s="430"/>
      <c r="EV190" s="430"/>
      <c r="EW190" s="430"/>
      <c r="EX190" s="430"/>
      <c r="EY190" s="1032">
        <f t="shared" si="18"/>
        <v>0.1366</v>
      </c>
      <c r="EZ190" s="616"/>
      <c r="FA190" s="616"/>
      <c r="FB190" s="616"/>
      <c r="FC190" s="616"/>
      <c r="FD190" s="616"/>
      <c r="FE190" s="616"/>
      <c r="FF190" s="616"/>
      <c r="FG190" s="616"/>
      <c r="FH190" s="616"/>
      <c r="FI190" s="616"/>
      <c r="FJ190" s="616"/>
    </row>
    <row r="191" spans="1:166" ht="14.7" customHeight="1" x14ac:dyDescent="0.25">
      <c r="A191" s="421">
        <v>187</v>
      </c>
      <c r="B191" s="417" t="str">
        <f>'268-котлеты'!A9</f>
        <v>Котлеты из говядины с маслом</v>
      </c>
      <c r="C191" s="419">
        <f>'268-котлеты'!C32</f>
        <v>50</v>
      </c>
      <c r="D191" s="1211">
        <f>8.25/85*C191</f>
        <v>4.8499999999999996</v>
      </c>
      <c r="E191" s="1211">
        <f>12.1/85*C191</f>
        <v>7.12</v>
      </c>
      <c r="F191" s="1211">
        <f>7.16/85*C191</f>
        <v>4.21</v>
      </c>
      <c r="G191" s="1212">
        <f>172/85*C191</f>
        <v>101</v>
      </c>
      <c r="H191" s="419">
        <f>'268-котлеты'!J7</f>
        <v>268</v>
      </c>
      <c r="I191" s="483">
        <f>'268-котлеты'!F35</f>
        <v>33.64</v>
      </c>
      <c r="J191" s="331">
        <f>'268-котлеты'!C19</f>
        <v>0.05</v>
      </c>
      <c r="K191" s="331"/>
      <c r="L191" s="430"/>
      <c r="M191" s="430"/>
      <c r="N191" s="331"/>
      <c r="O191" s="331"/>
      <c r="P191" s="331"/>
      <c r="Q191" s="331"/>
      <c r="R191" s="430"/>
      <c r="S191" s="430"/>
      <c r="T191" s="331"/>
      <c r="U191" s="331">
        <f>'268-котлеты'!C21</f>
        <v>6.0000000000000001E-3</v>
      </c>
      <c r="V191" s="331">
        <f>'268-котлеты'!C28</f>
        <v>5.0000000000000001E-3</v>
      </c>
      <c r="W191" s="331"/>
      <c r="X191" s="331"/>
      <c r="Y191" s="331"/>
      <c r="Z191" s="331"/>
      <c r="AA191" s="430"/>
      <c r="AB191" s="430"/>
      <c r="AC191" s="430"/>
      <c r="AD191" s="430"/>
      <c r="AE191" s="331"/>
      <c r="AF191" s="331"/>
      <c r="AG191" s="430"/>
      <c r="AH191" s="331"/>
      <c r="AI191" s="331"/>
      <c r="AJ191" s="331"/>
      <c r="AK191" s="331"/>
      <c r="AL191" s="331"/>
      <c r="AM191" s="331"/>
      <c r="AN191" s="331"/>
      <c r="AO191" s="331"/>
      <c r="AP191" s="331"/>
      <c r="AQ191" s="331"/>
      <c r="AR191" s="430"/>
      <c r="AS191" s="331"/>
      <c r="AT191" s="331"/>
      <c r="AU191" s="331"/>
      <c r="AV191" s="331"/>
      <c r="AW191" s="331"/>
      <c r="AX191" s="331"/>
      <c r="AY191" s="430"/>
      <c r="AZ191" s="331"/>
      <c r="BA191" s="331"/>
      <c r="BB191" s="331"/>
      <c r="BC191" s="331"/>
      <c r="BD191" s="331"/>
      <c r="BE191" s="331"/>
      <c r="BF191" s="430"/>
      <c r="BG191" s="430"/>
      <c r="BH191" s="430"/>
      <c r="BI191" s="331"/>
      <c r="BJ191" s="331"/>
      <c r="BK191" s="331"/>
      <c r="BL191" s="331"/>
      <c r="BM191" s="331"/>
      <c r="BN191" s="331"/>
      <c r="BO191" s="331"/>
      <c r="BP191" s="331"/>
      <c r="BQ191" s="331"/>
      <c r="BR191" s="331"/>
      <c r="BS191" s="331"/>
      <c r="BT191" s="331"/>
      <c r="BU191" s="331"/>
      <c r="BV191" s="331"/>
      <c r="BW191" s="430"/>
      <c r="BX191" s="430"/>
      <c r="BY191" s="430"/>
      <c r="BZ191" s="430"/>
      <c r="CA191" s="331"/>
      <c r="CB191" s="331"/>
      <c r="CC191" s="430"/>
      <c r="CD191" s="430"/>
      <c r="CE191" s="331"/>
      <c r="CF191" s="331">
        <f>'268-котлеты'!C26</f>
        <v>3.0000000000000001E-3</v>
      </c>
      <c r="CG191" s="331"/>
      <c r="CH191" s="331"/>
      <c r="CI191" s="331"/>
      <c r="CJ191" s="430"/>
      <c r="CK191" s="331"/>
      <c r="CL191" s="331"/>
      <c r="CM191" s="331"/>
      <c r="CN191" s="331"/>
      <c r="CO191" s="331"/>
      <c r="CP191" s="331"/>
      <c r="CQ191" s="331"/>
      <c r="CR191" s="331"/>
      <c r="CS191" s="331"/>
      <c r="CT191" s="331"/>
      <c r="CU191" s="331"/>
      <c r="CV191" s="331"/>
      <c r="CW191" s="331"/>
      <c r="CX191" s="331"/>
      <c r="CY191" s="430"/>
      <c r="CZ191" s="331"/>
      <c r="DA191" s="331"/>
      <c r="DB191" s="331"/>
      <c r="DC191" s="331">
        <f>'268-котлеты'!C23+'330-соус сметанный'!C23*'332-соус с луком (30)'!C19/'332-соус с луком (30)'!C24*'332-соус с луком (30)'!C25</f>
        <v>3.2200000000000002E-3</v>
      </c>
      <c r="DD191" s="331">
        <f>'268-котлеты'!C22</f>
        <v>5.0000000000000001E-3</v>
      </c>
      <c r="DE191" s="331"/>
      <c r="DF191" s="331"/>
      <c r="DG191" s="331"/>
      <c r="DH191" s="331"/>
      <c r="DI191" s="331"/>
      <c r="DJ191" s="430"/>
      <c r="DK191" s="430"/>
      <c r="DL191" s="331"/>
      <c r="DM191" s="331"/>
      <c r="DN191" s="430"/>
      <c r="DO191" s="430"/>
      <c r="DP191" s="430"/>
      <c r="DQ191" s="430"/>
      <c r="DR191" s="331"/>
      <c r="DS191" s="331"/>
      <c r="DT191" s="331"/>
      <c r="DU191" s="331"/>
      <c r="DV191" s="331"/>
      <c r="DW191" s="331"/>
      <c r="DX191" s="331"/>
      <c r="DY191" s="331"/>
      <c r="DZ191" s="331"/>
      <c r="EA191" s="430"/>
      <c r="EB191" s="430"/>
      <c r="EC191" s="430"/>
      <c r="ED191" s="430"/>
      <c r="EE191" s="430"/>
      <c r="EF191" s="430"/>
      <c r="EG191" s="430"/>
      <c r="EH191" s="430"/>
      <c r="EI191" s="430"/>
      <c r="EJ191" s="430"/>
      <c r="EK191" s="430"/>
      <c r="EL191" s="430"/>
      <c r="EM191" s="430"/>
      <c r="EN191" s="430"/>
      <c r="EO191" s="430"/>
      <c r="EP191" s="430"/>
      <c r="EQ191" s="430"/>
      <c r="ER191" s="430"/>
      <c r="ES191" s="430"/>
      <c r="ET191" s="430"/>
      <c r="EU191" s="430"/>
      <c r="EV191" s="430">
        <f>'268-котлеты'!C20</f>
        <v>8.9999999999999993E-3</v>
      </c>
      <c r="EW191" s="331"/>
      <c r="EX191" s="331"/>
      <c r="EY191" s="1032">
        <f t="shared" si="18"/>
        <v>8.1220000000000001E-2</v>
      </c>
    </row>
    <row r="192" spans="1:166" s="699" customFormat="1" x14ac:dyDescent="0.25">
      <c r="A192" s="421">
        <v>188</v>
      </c>
      <c r="B192" s="417" t="str">
        <f>'268-котлеты с соусом'!A9</f>
        <v>Котлеты (биточки, шницели) из говядины с томатным соусом</v>
      </c>
      <c r="C192" s="418">
        <f>'268-котлеты с соусом'!C32</f>
        <v>80</v>
      </c>
      <c r="D192" s="1211">
        <f>8.38/80*C192</f>
        <v>8.3800000000000008</v>
      </c>
      <c r="E192" s="1211">
        <f>10.02/80*C192</f>
        <v>10.02</v>
      </c>
      <c r="F192" s="1211">
        <f>9.15/80*C192</f>
        <v>9.15</v>
      </c>
      <c r="G192" s="1212">
        <f>162/80*C192</f>
        <v>162</v>
      </c>
      <c r="H192" s="418">
        <f>'268-котлеты с соусом'!J7</f>
        <v>268</v>
      </c>
      <c r="I192" s="483">
        <f>'268-котлеты с соусом'!F35</f>
        <v>32.619999999999997</v>
      </c>
      <c r="J192" s="430">
        <f>'268-котлеты с соусом'!C19</f>
        <v>0.05</v>
      </c>
      <c r="K192" s="430"/>
      <c r="L192" s="430"/>
      <c r="M192" s="430"/>
      <c r="N192" s="430"/>
      <c r="O192" s="430"/>
      <c r="P192" s="430"/>
      <c r="Q192" s="430"/>
      <c r="R192" s="430"/>
      <c r="S192" s="430"/>
      <c r="T192" s="430"/>
      <c r="U192" s="430">
        <f>'268-котлеты с соусом'!C21</f>
        <v>6.0000000000000001E-3</v>
      </c>
      <c r="V192" s="430"/>
      <c r="W192" s="430"/>
      <c r="X192" s="430"/>
      <c r="Y192" s="430">
        <f>'331-соус с томатом'!C19/'331-соус с томатом'!C27*1000*'268-котлеты с соусом'!C28</f>
        <v>7.4999999999999997E-3</v>
      </c>
      <c r="Z192" s="430"/>
      <c r="AA192" s="430"/>
      <c r="AB192" s="430"/>
      <c r="AC192" s="430"/>
      <c r="AD192" s="430"/>
      <c r="AE192" s="430"/>
      <c r="AF192" s="430"/>
      <c r="AG192" s="430"/>
      <c r="AH192" s="430"/>
      <c r="AI192" s="430"/>
      <c r="AJ192" s="430"/>
      <c r="AK192" s="430"/>
      <c r="AL192" s="430"/>
      <c r="AM192" s="430"/>
      <c r="AN192" s="430"/>
      <c r="AO192" s="430"/>
      <c r="AP192" s="430"/>
      <c r="AQ192" s="430"/>
      <c r="AR192" s="430"/>
      <c r="AS192" s="430"/>
      <c r="AT192" s="430"/>
      <c r="AU192" s="430"/>
      <c r="AV192" s="430"/>
      <c r="AW192" s="430"/>
      <c r="AX192" s="430"/>
      <c r="AY192" s="430"/>
      <c r="AZ192" s="430"/>
      <c r="BA192" s="430"/>
      <c r="BB192" s="430"/>
      <c r="BC192" s="430"/>
      <c r="BD192" s="430"/>
      <c r="BE192" s="430"/>
      <c r="BF192" s="430"/>
      <c r="BG192" s="430"/>
      <c r="BH192" s="430"/>
      <c r="BI192" s="430"/>
      <c r="BJ192" s="430"/>
      <c r="BK192" s="430"/>
      <c r="BL192" s="430"/>
      <c r="BM192" s="430"/>
      <c r="BN192" s="430"/>
      <c r="BO192" s="430"/>
      <c r="BP192" s="430"/>
      <c r="BQ192" s="430"/>
      <c r="BR192" s="430"/>
      <c r="BS192" s="430">
        <f>'331-соус с томатом'!C20/'331-соус с томатом'!C27*1000*'268-котлеты с соусом'!C28</f>
        <v>2.2499999999999998E-3</v>
      </c>
      <c r="BT192" s="430"/>
      <c r="BU192" s="430"/>
      <c r="BV192" s="430"/>
      <c r="BW192" s="430"/>
      <c r="BX192" s="430"/>
      <c r="BY192" s="430"/>
      <c r="BZ192" s="430"/>
      <c r="CA192" s="430"/>
      <c r="CB192" s="430"/>
      <c r="CC192" s="430"/>
      <c r="CD192" s="430"/>
      <c r="CE192" s="430"/>
      <c r="CF192" s="430">
        <f>'268-котлеты с соусом'!C26</f>
        <v>3.0000000000000001E-3</v>
      </c>
      <c r="CG192" s="430"/>
      <c r="CH192" s="430"/>
      <c r="CI192" s="430"/>
      <c r="CJ192" s="430"/>
      <c r="CK192" s="430"/>
      <c r="CL192" s="430"/>
      <c r="CM192" s="430"/>
      <c r="CN192" s="430"/>
      <c r="CO192" s="430"/>
      <c r="CP192" s="430"/>
      <c r="CQ192" s="430"/>
      <c r="CR192" s="430"/>
      <c r="CS192" s="712">
        <f>'331-соус с томатом'!C23/'331-соус с томатом'!C27*1000*'268-котлеты с соусом'!C28</f>
        <v>9.9999999999999995E-7</v>
      </c>
      <c r="CT192" s="430"/>
      <c r="CU192" s="430"/>
      <c r="CV192" s="430"/>
      <c r="CW192" s="430"/>
      <c r="CX192" s="430"/>
      <c r="CY192" s="430"/>
      <c r="CZ192" s="430"/>
      <c r="DA192" s="430"/>
      <c r="DB192" s="430"/>
      <c r="DC192" s="430">
        <f>'268-котлеты с соусом'!C23+('331-соус с томатом'!C24/'331-соус с томатом'!C27*1000*'268-котлеты с соусом'!C28)</f>
        <v>3.2399999999999998E-3</v>
      </c>
      <c r="DD192" s="430">
        <f>'268-котлеты с соусом'!C22</f>
        <v>5.0000000000000001E-3</v>
      </c>
      <c r="DE192" s="430"/>
      <c r="DF192" s="430">
        <f>'331-соус с томатом'!C22/'331-соус с томатом'!C27*1000*'268-котлеты с соусом'!C28</f>
        <v>3.0000000000000001E-3</v>
      </c>
      <c r="DG192" s="430"/>
      <c r="DH192" s="430"/>
      <c r="DI192" s="430"/>
      <c r="DJ192" s="430"/>
      <c r="DK192" s="430"/>
      <c r="DL192" s="430"/>
      <c r="DM192" s="430"/>
      <c r="DN192" s="430"/>
      <c r="DO192" s="430"/>
      <c r="DP192" s="430"/>
      <c r="DQ192" s="430"/>
      <c r="DR192" s="430"/>
      <c r="DS192" s="430"/>
      <c r="DT192" s="430"/>
      <c r="DU192" s="430"/>
      <c r="DV192" s="430"/>
      <c r="DW192" s="430"/>
      <c r="DX192" s="430"/>
      <c r="DY192" s="430"/>
      <c r="DZ192" s="430"/>
      <c r="EA192" s="430"/>
      <c r="EB192" s="430"/>
      <c r="EC192" s="430"/>
      <c r="ED192" s="430"/>
      <c r="EE192" s="430"/>
      <c r="EF192" s="430"/>
      <c r="EG192" s="430"/>
      <c r="EH192" s="430"/>
      <c r="EI192" s="430"/>
      <c r="EJ192" s="430"/>
      <c r="EK192" s="430"/>
      <c r="EL192" s="430"/>
      <c r="EM192" s="430"/>
      <c r="EN192" s="430"/>
      <c r="EO192" s="430"/>
      <c r="EP192" s="430"/>
      <c r="EQ192" s="430"/>
      <c r="ER192" s="430"/>
      <c r="ES192" s="430"/>
      <c r="ET192" s="430"/>
      <c r="EU192" s="430"/>
      <c r="EV192" s="430">
        <f>'268-котлеты с соусом'!C20</f>
        <v>8.9999999999999993E-3</v>
      </c>
      <c r="EW192" s="430"/>
      <c r="EX192" s="430"/>
      <c r="EY192" s="1032">
        <f t="shared" si="18"/>
        <v>8.8991000000000001E-2</v>
      </c>
      <c r="EZ192" s="616"/>
      <c r="FA192" s="616"/>
      <c r="FB192" s="616"/>
      <c r="FC192" s="616"/>
      <c r="FD192" s="616"/>
      <c r="FE192" s="616"/>
      <c r="FF192" s="616"/>
      <c r="FG192" s="616"/>
      <c r="FH192" s="616"/>
      <c r="FI192" s="616"/>
      <c r="FJ192" s="616"/>
    </row>
    <row r="193" spans="1:166" s="930" customFormat="1" ht="15" customHeight="1" x14ac:dyDescent="0.25">
      <c r="A193" s="421">
        <v>189</v>
      </c>
      <c r="B193" s="417" t="str">
        <f>'268-котлеты (80)'!A9</f>
        <v>Шницель (биточки, котлеты) из говядины</v>
      </c>
      <c r="C193" s="418">
        <f>'268-котлеты (80)'!C32</f>
        <v>85</v>
      </c>
      <c r="D193" s="1211">
        <f>8.27/80*C193</f>
        <v>8.7899999999999991</v>
      </c>
      <c r="E193" s="1211">
        <f>10.02/80*C193</f>
        <v>10.65</v>
      </c>
      <c r="F193" s="1211">
        <f>8.79/80*C193</f>
        <v>9.34</v>
      </c>
      <c r="G193" s="1212">
        <f>131/80*C193</f>
        <v>139</v>
      </c>
      <c r="H193" s="418">
        <f>'268-котлеты (80)'!J7</f>
        <v>268</v>
      </c>
      <c r="I193" s="1234">
        <f>'268-котлеты (80)'!F35</f>
        <v>48.09</v>
      </c>
      <c r="J193" s="430">
        <f>'268-котлеты (80)'!C19</f>
        <v>0.08</v>
      </c>
      <c r="K193" s="430"/>
      <c r="L193" s="430"/>
      <c r="M193" s="430"/>
      <c r="N193" s="430"/>
      <c r="O193" s="430"/>
      <c r="P193" s="430"/>
      <c r="Q193" s="430"/>
      <c r="R193" s="430"/>
      <c r="S193" s="430"/>
      <c r="T193" s="430"/>
      <c r="U193" s="430">
        <f>'268-котлеты (80)'!C21</f>
        <v>8.9999999999999993E-3</v>
      </c>
      <c r="V193" s="430"/>
      <c r="W193" s="430"/>
      <c r="X193" s="430"/>
      <c r="Y193" s="430"/>
      <c r="Z193" s="430"/>
      <c r="AA193" s="430"/>
      <c r="AB193" s="430"/>
      <c r="AC193" s="430"/>
      <c r="AD193" s="430"/>
      <c r="AE193" s="430"/>
      <c r="AF193" s="430"/>
      <c r="AG193" s="430"/>
      <c r="AH193" s="430"/>
      <c r="AI193" s="430"/>
      <c r="AJ193" s="430"/>
      <c r="AK193" s="430"/>
      <c r="AL193" s="430"/>
      <c r="AM193" s="430"/>
      <c r="AN193" s="430"/>
      <c r="AO193" s="430"/>
      <c r="AP193" s="430"/>
      <c r="AQ193" s="430"/>
      <c r="AR193" s="430"/>
      <c r="AS193" s="430"/>
      <c r="AT193" s="430"/>
      <c r="AU193" s="430"/>
      <c r="AV193" s="430"/>
      <c r="AW193" s="430"/>
      <c r="AX193" s="430"/>
      <c r="AY193" s="430"/>
      <c r="AZ193" s="430"/>
      <c r="BA193" s="430"/>
      <c r="BB193" s="430"/>
      <c r="BC193" s="430"/>
      <c r="BD193" s="430"/>
      <c r="BE193" s="430"/>
      <c r="BF193" s="430"/>
      <c r="BG193" s="430"/>
      <c r="BH193" s="430"/>
      <c r="BI193" s="430"/>
      <c r="BJ193" s="430"/>
      <c r="BK193" s="430"/>
      <c r="BL193" s="430"/>
      <c r="BM193" s="430"/>
      <c r="BN193" s="430"/>
      <c r="BO193" s="430"/>
      <c r="BP193" s="430"/>
      <c r="BQ193" s="430"/>
      <c r="BR193" s="430"/>
      <c r="BS193" s="430"/>
      <c r="BT193" s="430"/>
      <c r="BU193" s="430"/>
      <c r="BV193" s="430"/>
      <c r="BW193" s="430"/>
      <c r="BX193" s="430"/>
      <c r="BY193" s="430"/>
      <c r="BZ193" s="430"/>
      <c r="CA193" s="430"/>
      <c r="CB193" s="430"/>
      <c r="CC193" s="430"/>
      <c r="CD193" s="430"/>
      <c r="CE193" s="430"/>
      <c r="CF193" s="430">
        <f>'268-котлеты (80)'!C26</f>
        <v>5.0000000000000001E-3</v>
      </c>
      <c r="CG193" s="430"/>
      <c r="CH193" s="430"/>
      <c r="CI193" s="430"/>
      <c r="CJ193" s="430"/>
      <c r="CK193" s="430"/>
      <c r="CL193" s="430"/>
      <c r="CM193" s="430"/>
      <c r="CN193" s="430"/>
      <c r="CO193" s="430"/>
      <c r="CP193" s="430"/>
      <c r="CQ193" s="430"/>
      <c r="CR193" s="430"/>
      <c r="CS193" s="712"/>
      <c r="CT193" s="430"/>
      <c r="CU193" s="430"/>
      <c r="CV193" s="430"/>
      <c r="CW193" s="430"/>
      <c r="CX193" s="430"/>
      <c r="CY193" s="430"/>
      <c r="CZ193" s="430"/>
      <c r="DA193" s="430"/>
      <c r="DB193" s="430"/>
      <c r="DC193" s="430">
        <f>'268-котлеты (80)'!C23</f>
        <v>5.0000000000000001E-3</v>
      </c>
      <c r="DD193" s="430">
        <f>'268-котлеты (80)'!C22</f>
        <v>8.0000000000000002E-3</v>
      </c>
      <c r="DE193" s="430"/>
      <c r="DF193" s="430"/>
      <c r="DG193" s="430"/>
      <c r="DH193" s="430"/>
      <c r="DI193" s="430"/>
      <c r="DJ193" s="430"/>
      <c r="DK193" s="430"/>
      <c r="DL193" s="430"/>
      <c r="DM193" s="430"/>
      <c r="DN193" s="430"/>
      <c r="DO193" s="430"/>
      <c r="DP193" s="430"/>
      <c r="DQ193" s="430"/>
      <c r="DR193" s="430"/>
      <c r="DS193" s="430"/>
      <c r="DT193" s="430"/>
      <c r="DU193" s="430"/>
      <c r="DV193" s="430"/>
      <c r="DW193" s="430"/>
      <c r="DX193" s="430"/>
      <c r="DY193" s="430"/>
      <c r="DZ193" s="430"/>
      <c r="EA193" s="430"/>
      <c r="EB193" s="430"/>
      <c r="EC193" s="430"/>
      <c r="ED193" s="430"/>
      <c r="EE193" s="430"/>
      <c r="EF193" s="430"/>
      <c r="EG193" s="430"/>
      <c r="EH193" s="430"/>
      <c r="EI193" s="430"/>
      <c r="EJ193" s="430"/>
      <c r="EK193" s="430"/>
      <c r="EL193" s="430"/>
      <c r="EM193" s="430"/>
      <c r="EN193" s="430"/>
      <c r="EO193" s="430"/>
      <c r="EP193" s="430"/>
      <c r="EQ193" s="430"/>
      <c r="ER193" s="430"/>
      <c r="ES193" s="430"/>
      <c r="ET193" s="430"/>
      <c r="EU193" s="430"/>
      <c r="EV193" s="430">
        <f>'268-котлеты (80)'!C20</f>
        <v>1.4E-2</v>
      </c>
      <c r="EW193" s="430"/>
      <c r="EX193" s="430"/>
      <c r="EY193" s="1032">
        <f t="shared" si="18"/>
        <v>0.121</v>
      </c>
      <c r="EZ193" s="616"/>
      <c r="FA193" s="616"/>
      <c r="FB193" s="616"/>
      <c r="FC193" s="616"/>
      <c r="FD193" s="616"/>
      <c r="FE193" s="616"/>
      <c r="FF193" s="616"/>
      <c r="FG193" s="616"/>
      <c r="FH193" s="616"/>
      <c r="FI193" s="616"/>
      <c r="FJ193" s="616"/>
    </row>
    <row r="194" spans="1:166" x14ac:dyDescent="0.25">
      <c r="A194" s="421">
        <v>190</v>
      </c>
      <c r="B194" s="417" t="str">
        <f>'271-котлеты дом '!A9</f>
        <v>Котлеты домашние со сметанным соусом и томатом (2 шт)</v>
      </c>
      <c r="C194" s="419">
        <f>'271-котлеты дом '!C36</f>
        <v>120</v>
      </c>
      <c r="D194" s="1211">
        <f>5.72/71*C194</f>
        <v>9.67</v>
      </c>
      <c r="E194" s="1211">
        <f>2.14/71*C194</f>
        <v>3.62</v>
      </c>
      <c r="F194" s="1211">
        <f>6.2/71*C194</f>
        <v>10.48</v>
      </c>
      <c r="G194" s="1212">
        <f>126/71*C194</f>
        <v>213</v>
      </c>
      <c r="H194" s="419">
        <f>'271-котлеты дом '!J7</f>
        <v>271</v>
      </c>
      <c r="I194" s="1234">
        <f>'271-котлеты дом '!F38</f>
        <v>47.33</v>
      </c>
      <c r="J194" s="331">
        <f>'271-котлеты дом '!C19</f>
        <v>7.1999999999999995E-2</v>
      </c>
      <c r="K194" s="331"/>
      <c r="L194" s="430"/>
      <c r="M194" s="430"/>
      <c r="N194" s="331"/>
      <c r="O194" s="331"/>
      <c r="P194" s="331">
        <f>'271-котлеты дом '!C20</f>
        <v>2E-3</v>
      </c>
      <c r="Q194" s="331"/>
      <c r="R194" s="430"/>
      <c r="S194" s="430"/>
      <c r="T194" s="331"/>
      <c r="U194" s="331"/>
      <c r="V194" s="331"/>
      <c r="W194" s="331"/>
      <c r="X194" s="331"/>
      <c r="Y194" s="430">
        <f>'331-соус с томатом'!C19/'331-соус с томатом'!C27*1000*'271-котлеты дом '!C31</f>
        <v>0.01</v>
      </c>
      <c r="Z194" s="331"/>
      <c r="AA194" s="430"/>
      <c r="AB194" s="430"/>
      <c r="AC194" s="430"/>
      <c r="AD194" s="430"/>
      <c r="AE194" s="331">
        <f>'271-котлеты дом '!C23</f>
        <v>1.15E-3</v>
      </c>
      <c r="AF194" s="331"/>
      <c r="AG194" s="430"/>
      <c r="AH194" s="331"/>
      <c r="AI194" s="331"/>
      <c r="AJ194" s="331"/>
      <c r="AK194" s="331">
        <f>'271-котлеты дом '!C21</f>
        <v>2.3999999999999998E-3</v>
      </c>
      <c r="AL194" s="331"/>
      <c r="AM194" s="331"/>
      <c r="AN194" s="331"/>
      <c r="AO194" s="331"/>
      <c r="AP194" s="331"/>
      <c r="AQ194" s="331"/>
      <c r="AR194" s="430"/>
      <c r="AS194" s="331"/>
      <c r="AT194" s="331"/>
      <c r="AU194" s="331">
        <f>'271-котлеты дом '!C27</f>
        <v>4.0000000000000001E-3</v>
      </c>
      <c r="AV194" s="331"/>
      <c r="AW194" s="331"/>
      <c r="AX194" s="331"/>
      <c r="AY194" s="430"/>
      <c r="AZ194" s="331"/>
      <c r="BA194" s="331"/>
      <c r="BB194" s="331"/>
      <c r="BC194" s="331"/>
      <c r="BD194" s="331"/>
      <c r="BE194" s="331"/>
      <c r="BF194" s="430"/>
      <c r="BG194" s="430"/>
      <c r="BH194" s="430"/>
      <c r="BI194" s="331"/>
      <c r="BJ194" s="331"/>
      <c r="BK194" s="331"/>
      <c r="BL194" s="331"/>
      <c r="BM194" s="331"/>
      <c r="BN194" s="331"/>
      <c r="BO194" s="331"/>
      <c r="BP194" s="331"/>
      <c r="BQ194" s="331"/>
      <c r="BR194" s="331"/>
      <c r="BS194" s="331">
        <f>'331-соус с томатом'!C20/'331-соус с томатом'!C27*1000*'271-котлеты дом '!C31</f>
        <v>3.0000000000000001E-3</v>
      </c>
      <c r="BT194" s="331"/>
      <c r="BU194" s="331"/>
      <c r="BV194" s="331"/>
      <c r="BW194" s="430"/>
      <c r="BX194" s="430"/>
      <c r="BY194" s="430"/>
      <c r="BZ194" s="430"/>
      <c r="CA194" s="331"/>
      <c r="CB194" s="331"/>
      <c r="CC194" s="430"/>
      <c r="CD194" s="430"/>
      <c r="CE194" s="331"/>
      <c r="CF194" s="331">
        <f>'271-котлеты дом '!C29</f>
        <v>4.0000000000000001E-3</v>
      </c>
      <c r="CG194" s="331"/>
      <c r="CH194" s="331"/>
      <c r="CI194" s="331"/>
      <c r="CJ194" s="430"/>
      <c r="CK194" s="331"/>
      <c r="CL194" s="331"/>
      <c r="CM194" s="331"/>
      <c r="CN194" s="331"/>
      <c r="CO194" s="331"/>
      <c r="CP194" s="331"/>
      <c r="CQ194" s="331"/>
      <c r="CR194" s="331"/>
      <c r="CS194" s="256">
        <f>'331-соус с томатом'!C23/'331-соус с томатом'!C27*1000*'271-котлеты дом '!C31</f>
        <v>9.9999999999999995E-7</v>
      </c>
      <c r="CT194" s="331"/>
      <c r="CU194" s="331"/>
      <c r="CV194" s="331"/>
      <c r="CW194" s="331"/>
      <c r="CX194" s="331"/>
      <c r="CY194" s="430"/>
      <c r="CZ194" s="331"/>
      <c r="DA194" s="331"/>
      <c r="DB194" s="331"/>
      <c r="DC194" s="331">
        <f>'271-котлеты дом '!C26+('331-соус с томатом'!C24/'331-соус с томатом'!C27*1000*'271-котлеты дом '!C31)</f>
        <v>6.3200000000000001E-3</v>
      </c>
      <c r="DD194" s="331">
        <f>'271-котлеты дом '!C22</f>
        <v>4.0000000000000001E-3</v>
      </c>
      <c r="DE194" s="331"/>
      <c r="DF194" s="331">
        <f>'331-соус с томатом'!C22/'331-соус с томатом'!C27*1000*'271-котлеты дом '!C31</f>
        <v>4.0000000000000001E-3</v>
      </c>
      <c r="DG194" s="331"/>
      <c r="DH194" s="331"/>
      <c r="DI194" s="331"/>
      <c r="DJ194" s="430"/>
      <c r="DK194" s="430"/>
      <c r="DL194" s="331"/>
      <c r="DM194" s="331"/>
      <c r="DN194" s="430"/>
      <c r="DO194" s="430"/>
      <c r="DP194" s="430"/>
      <c r="DQ194" s="430"/>
      <c r="DR194" s="331"/>
      <c r="DS194" s="331"/>
      <c r="DT194" s="331"/>
      <c r="DU194" s="331"/>
      <c r="DV194" s="331"/>
      <c r="DW194" s="331"/>
      <c r="DX194" s="331"/>
      <c r="DY194" s="331"/>
      <c r="DZ194" s="331"/>
      <c r="EA194" s="430"/>
      <c r="EB194" s="430"/>
      <c r="EC194" s="430"/>
      <c r="ED194" s="430"/>
      <c r="EE194" s="430"/>
      <c r="EF194" s="430"/>
      <c r="EG194" s="430"/>
      <c r="EH194" s="430"/>
      <c r="EI194" s="430"/>
      <c r="EJ194" s="430"/>
      <c r="EK194" s="430"/>
      <c r="EL194" s="430"/>
      <c r="EM194" s="430"/>
      <c r="EN194" s="430"/>
      <c r="EO194" s="430"/>
      <c r="EP194" s="430"/>
      <c r="EQ194" s="430"/>
      <c r="ER194" s="430"/>
      <c r="ES194" s="430"/>
      <c r="ET194" s="430"/>
      <c r="EU194" s="430"/>
      <c r="EV194" s="331">
        <f>'271-котлеты дом '!C24</f>
        <v>1.2999999999999999E-2</v>
      </c>
      <c r="EW194" s="331"/>
      <c r="EX194" s="331"/>
      <c r="EY194" s="1032">
        <f t="shared" si="18"/>
        <v>0.12587100000000001</v>
      </c>
    </row>
    <row r="195" spans="1:166" ht="14.7" customHeight="1" x14ac:dyDescent="0.25">
      <c r="A195" s="421">
        <v>191</v>
      </c>
      <c r="B195" s="169" t="str">
        <f>'273-котлеты с соусом'!A9</f>
        <v>Котлеты рубленые, запеченные с молочным соусом</v>
      </c>
      <c r="C195" s="419">
        <f>'273-котлеты с соусом'!C36</f>
        <v>100</v>
      </c>
      <c r="D195" s="1211">
        <f>3.35/100*C195</f>
        <v>3.35</v>
      </c>
      <c r="E195" s="1211">
        <f>8.67/100*C195</f>
        <v>8.67</v>
      </c>
      <c r="F195" s="1211">
        <f>9.42/100*C195</f>
        <v>9.42</v>
      </c>
      <c r="G195" s="1212">
        <f>130/100*C195</f>
        <v>130</v>
      </c>
      <c r="H195" s="419">
        <f>'273-котлеты с соусом'!J7</f>
        <v>273</v>
      </c>
      <c r="I195" s="1234">
        <f>'273-котлеты с соусом'!F39</f>
        <v>42.9</v>
      </c>
      <c r="J195" s="330">
        <f>'273-котлеты с соусом'!C19</f>
        <v>0.05</v>
      </c>
      <c r="K195" s="330"/>
      <c r="L195" s="330"/>
      <c r="M195" s="330"/>
      <c r="N195" s="330"/>
      <c r="O195" s="330"/>
      <c r="P195" s="330"/>
      <c r="Q195" s="330"/>
      <c r="R195" s="330"/>
      <c r="S195" s="330"/>
      <c r="T195" s="330"/>
      <c r="U195" s="330">
        <f>'273-котлеты с соусом'!C21+'329 соус молочный густой'!C19/1000*26</f>
        <v>2.5499999999999998E-2</v>
      </c>
      <c r="V195" s="330">
        <f>'273-котлеты с соусом'!C26+'329 соус молочный густой'!C20/1000*26+'333-соус с томатом и лук'!C21/1000*30</f>
        <v>8.9800000000000001E-3</v>
      </c>
      <c r="W195" s="330">
        <f>'273-котлеты с соусом'!C27</f>
        <v>3.3E-3</v>
      </c>
      <c r="X195" s="330"/>
      <c r="Y195" s="330">
        <f>'330-соус сметанный'!C19/1000*'333-соус с томатом и лук'!C19*1000*'273-котлеты с соусом'!C32</f>
        <v>6.7499999999999999E-3</v>
      </c>
      <c r="Z195" s="330"/>
      <c r="AA195" s="330"/>
      <c r="AB195" s="330"/>
      <c r="AC195" s="330"/>
      <c r="AD195" s="330"/>
      <c r="AE195" s="330"/>
      <c r="AF195" s="330"/>
      <c r="AG195" s="330"/>
      <c r="AH195" s="330"/>
      <c r="AI195" s="330"/>
      <c r="AJ195" s="330"/>
      <c r="AK195" s="330">
        <f>'333-соус с томатом и лук'!C20/1000*30</f>
        <v>7.1399999999999996E-3</v>
      </c>
      <c r="AL195" s="330"/>
      <c r="AM195" s="330"/>
      <c r="AN195" s="330"/>
      <c r="AO195" s="330"/>
      <c r="AP195" s="330"/>
      <c r="AQ195" s="330"/>
      <c r="AR195" s="330"/>
      <c r="AS195" s="330"/>
      <c r="AT195" s="330"/>
      <c r="AU195" s="330">
        <f>'273-котлеты с соусом'!C28</f>
        <v>2E-3</v>
      </c>
      <c r="AV195" s="330"/>
      <c r="AW195" s="330"/>
      <c r="AX195" s="330"/>
      <c r="AY195" s="330"/>
      <c r="AZ195" s="330"/>
      <c r="BA195" s="330"/>
      <c r="BB195" s="330"/>
      <c r="BC195" s="330"/>
      <c r="BD195" s="330"/>
      <c r="BE195" s="330"/>
      <c r="BF195" s="330"/>
      <c r="BG195" s="330"/>
      <c r="BH195" s="330"/>
      <c r="BI195" s="330"/>
      <c r="BJ195" s="330"/>
      <c r="BK195" s="330"/>
      <c r="BL195" s="330"/>
      <c r="BM195" s="330"/>
      <c r="BN195" s="330"/>
      <c r="BO195" s="330"/>
      <c r="BP195" s="330"/>
      <c r="BQ195" s="330"/>
      <c r="BR195" s="330"/>
      <c r="BS195" s="330">
        <f>'329 соус молочный густой'!C21/1000*26+'330-соус сметанный'!C20/1000*900/1000*30</f>
        <v>5.4099999999999999E-3</v>
      </c>
      <c r="BT195" s="330"/>
      <c r="BU195" s="330"/>
      <c r="BV195" s="330"/>
      <c r="BW195" s="330"/>
      <c r="BX195" s="330"/>
      <c r="BY195" s="330"/>
      <c r="BZ195" s="330"/>
      <c r="CA195" s="330"/>
      <c r="CB195" s="330"/>
      <c r="CC195" s="330"/>
      <c r="CD195" s="330"/>
      <c r="CE195" s="330"/>
      <c r="CF195" s="330"/>
      <c r="CG195" s="330"/>
      <c r="CH195" s="330"/>
      <c r="CI195" s="330"/>
      <c r="CJ195" s="330"/>
      <c r="CK195" s="330"/>
      <c r="CL195" s="330"/>
      <c r="CM195" s="330"/>
      <c r="CN195" s="330"/>
      <c r="CO195" s="330"/>
      <c r="CP195" s="330"/>
      <c r="CQ195" s="330"/>
      <c r="CR195" s="330"/>
      <c r="CS195" s="330">
        <f>'329 соус молочный густой'!C22/1000*26+'330-соус сметанный'!C22/1000*900/1000*30+'273-котлеты с соусом'!C29</f>
        <v>2.0000000000000002E-5</v>
      </c>
      <c r="CT195" s="330"/>
      <c r="CU195" s="330"/>
      <c r="CV195" s="330"/>
      <c r="CW195" s="330"/>
      <c r="CX195" s="330"/>
      <c r="CY195" s="330"/>
      <c r="CZ195" s="330"/>
      <c r="DA195" s="330"/>
      <c r="DB195" s="330"/>
      <c r="DC195" s="330">
        <f>'273-котлеты с соусом'!C22+'329 соус молочный густой'!C23/1000*26+'330-соус сметанный'!C23/1000*900/1000*30</f>
        <v>3.4199999999999999E-3</v>
      </c>
      <c r="DD195" s="330"/>
      <c r="DE195" s="330"/>
      <c r="DF195" s="330">
        <f>'333-соус с томатом и лук'!C22/1000*30</f>
        <v>3.0000000000000001E-3</v>
      </c>
      <c r="DG195" s="330"/>
      <c r="DH195" s="330"/>
      <c r="DI195" s="330"/>
      <c r="DJ195" s="330"/>
      <c r="DK195" s="330"/>
      <c r="DL195" s="330"/>
      <c r="DM195" s="330"/>
      <c r="DN195" s="330"/>
      <c r="DO195" s="330"/>
      <c r="DP195" s="330"/>
      <c r="DQ195" s="330"/>
      <c r="DR195" s="330"/>
      <c r="DS195" s="330"/>
      <c r="DT195" s="330"/>
      <c r="DU195" s="330"/>
      <c r="DV195" s="330"/>
      <c r="DW195" s="330"/>
      <c r="DX195" s="330"/>
      <c r="DY195" s="330"/>
      <c r="DZ195" s="330"/>
      <c r="EA195" s="330"/>
      <c r="EB195" s="330"/>
      <c r="EC195" s="330"/>
      <c r="ED195" s="330"/>
      <c r="EE195" s="330"/>
      <c r="EF195" s="330"/>
      <c r="EG195" s="330"/>
      <c r="EH195" s="330"/>
      <c r="EI195" s="330"/>
      <c r="EJ195" s="330"/>
      <c r="EK195" s="330"/>
      <c r="EL195" s="330"/>
      <c r="EM195" s="330"/>
      <c r="EN195" s="330"/>
      <c r="EO195" s="330"/>
      <c r="EP195" s="330"/>
      <c r="EQ195" s="330"/>
      <c r="ER195" s="330"/>
      <c r="ES195" s="330"/>
      <c r="ET195" s="330"/>
      <c r="EU195" s="330"/>
      <c r="EV195" s="330">
        <f>'273-котлеты с соусом'!C20</f>
        <v>8.9999999999999993E-3</v>
      </c>
      <c r="EW195" s="330"/>
      <c r="EX195" s="330"/>
      <c r="EY195" s="1032">
        <f t="shared" si="18"/>
        <v>0.12452000000000001</v>
      </c>
    </row>
    <row r="196" spans="1:166" ht="14.7" customHeight="1" x14ac:dyDescent="0.25">
      <c r="A196" s="421">
        <v>192</v>
      </c>
      <c r="B196" s="417" t="str">
        <f>'278-тефтели (1)'!A9</f>
        <v>Тефтели из говядины 1-й вариант</v>
      </c>
      <c r="C196" s="419">
        <f>'278-тефтели (1)'!C38</f>
        <v>110</v>
      </c>
      <c r="D196" s="1211">
        <f>8.13/110*C196</f>
        <v>8.1300000000000008</v>
      </c>
      <c r="E196" s="1211">
        <f>9.01/110*C196</f>
        <v>9.01</v>
      </c>
      <c r="F196" s="1211">
        <f>10.72/110*C196</f>
        <v>10.72</v>
      </c>
      <c r="G196" s="1212">
        <f>157/110*C196</f>
        <v>157</v>
      </c>
      <c r="H196" s="419">
        <f>'278-тефтели (1)'!J7</f>
        <v>278</v>
      </c>
      <c r="I196" s="1234">
        <f>'278-тефтели (1)'!F40</f>
        <v>37.090000000000003</v>
      </c>
      <c r="J196" s="330">
        <f>'278-тефтели (1)'!C19</f>
        <v>5.1999999999999998E-2</v>
      </c>
      <c r="K196" s="330"/>
      <c r="L196" s="330"/>
      <c r="M196" s="330"/>
      <c r="N196" s="330"/>
      <c r="O196" s="330"/>
      <c r="P196" s="330"/>
      <c r="Q196" s="330"/>
      <c r="R196" s="330"/>
      <c r="S196" s="330"/>
      <c r="T196" s="330"/>
      <c r="U196" s="330">
        <f>'278-тефтели (1)'!C21</f>
        <v>6.0000000000000001E-3</v>
      </c>
      <c r="V196" s="330"/>
      <c r="W196" s="330"/>
      <c r="X196" s="330"/>
      <c r="Y196" s="330">
        <f>'331-соус с томатом'!C19/'331-соус с томатом'!C28*'278-тефтели (1)'!C33*1000</f>
        <v>1.2500000000000001E-2</v>
      </c>
      <c r="Z196" s="330"/>
      <c r="AA196" s="330"/>
      <c r="AB196" s="330"/>
      <c r="AC196" s="330"/>
      <c r="AD196" s="330"/>
      <c r="AE196" s="330"/>
      <c r="AF196" s="330"/>
      <c r="AG196" s="330"/>
      <c r="AH196" s="330"/>
      <c r="AI196" s="330"/>
      <c r="AJ196" s="330"/>
      <c r="AK196" s="330">
        <f>'278-тефтели (1)'!C22</f>
        <v>2.4E-2</v>
      </c>
      <c r="AL196" s="330"/>
      <c r="AM196" s="330"/>
      <c r="AN196" s="330"/>
      <c r="AO196" s="330"/>
      <c r="AP196" s="330"/>
      <c r="AQ196" s="330"/>
      <c r="AR196" s="330"/>
      <c r="AS196" s="330"/>
      <c r="AT196" s="330"/>
      <c r="AU196" s="330">
        <f>'278-тефтели (1)'!C30</f>
        <v>2E-3</v>
      </c>
      <c r="AV196" s="330"/>
      <c r="AW196" s="330"/>
      <c r="AX196" s="330"/>
      <c r="AY196" s="330"/>
      <c r="AZ196" s="330"/>
      <c r="BA196" s="330"/>
      <c r="BB196" s="330"/>
      <c r="BC196" s="330"/>
      <c r="BD196" s="330"/>
      <c r="BE196" s="330"/>
      <c r="BF196" s="330"/>
      <c r="BG196" s="330"/>
      <c r="BH196" s="330"/>
      <c r="BI196" s="330"/>
      <c r="BJ196" s="330"/>
      <c r="BK196" s="330"/>
      <c r="BL196" s="330"/>
      <c r="BM196" s="330"/>
      <c r="BN196" s="330"/>
      <c r="BO196" s="330"/>
      <c r="BP196" s="330"/>
      <c r="BQ196" s="330"/>
      <c r="BR196" s="330"/>
      <c r="BS196" s="430">
        <f>'278-тефтели (1)'!C27+('331-соус с томатом'!C20/'331-соус с томатом'!C28*'278-тефтели (1)'!C33*1000)</f>
        <v>7.7499999999999999E-3</v>
      </c>
      <c r="BT196" s="330"/>
      <c r="BU196" s="330"/>
      <c r="BV196" s="330"/>
      <c r="BW196" s="330"/>
      <c r="BX196" s="330"/>
      <c r="BY196" s="330"/>
      <c r="BZ196" s="330"/>
      <c r="CA196" s="330"/>
      <c r="CB196" s="330"/>
      <c r="CC196" s="330"/>
      <c r="CD196" s="330"/>
      <c r="CE196" s="330"/>
      <c r="CF196" s="330">
        <f>'278-тефтели (1)'!C24+'278-тефтели (1)'!C29</f>
        <v>6.0000000000000001E-3</v>
      </c>
      <c r="CG196" s="330"/>
      <c r="CH196" s="330"/>
      <c r="CI196" s="330"/>
      <c r="CJ196" s="330"/>
      <c r="CK196" s="330"/>
      <c r="CL196" s="330"/>
      <c r="CM196" s="330"/>
      <c r="CN196" s="330"/>
      <c r="CO196" s="330"/>
      <c r="CP196" s="330"/>
      <c r="CQ196" s="330"/>
      <c r="CR196" s="330"/>
      <c r="CS196" s="330">
        <f>'278-тефтели (1)'!C31+('331-соус с томатом'!C23*'278-тефтели (1)'!C33)</f>
        <v>2.0000000000000002E-5</v>
      </c>
      <c r="CT196" s="330"/>
      <c r="CU196" s="330"/>
      <c r="CV196" s="330"/>
      <c r="CW196" s="330"/>
      <c r="CX196" s="330"/>
      <c r="CY196" s="330"/>
      <c r="CZ196" s="330"/>
      <c r="DA196" s="330"/>
      <c r="DB196" s="330"/>
      <c r="DC196" s="330">
        <f>'278-тефтели (1)'!C23+('331-соус с томатом'!C24/'331-соус с томатом'!C27*'278-тефтели (1)'!C33*1000)</f>
        <v>3.3999999999999998E-3</v>
      </c>
      <c r="DD196" s="330"/>
      <c r="DE196" s="330"/>
      <c r="DF196" s="330">
        <f>'331-соус с томатом'!C22/'331-соус с томатом'!C27*'278-тефтели (1)'!C33*1000</f>
        <v>5.0000000000000001E-3</v>
      </c>
      <c r="DG196" s="330"/>
      <c r="DH196" s="330"/>
      <c r="DI196" s="330"/>
      <c r="DJ196" s="330"/>
      <c r="DK196" s="330"/>
      <c r="DL196" s="330"/>
      <c r="DM196" s="330"/>
      <c r="DN196" s="330"/>
      <c r="DO196" s="330"/>
      <c r="DP196" s="330"/>
      <c r="DQ196" s="330"/>
      <c r="DR196" s="330"/>
      <c r="DS196" s="330"/>
      <c r="DT196" s="330"/>
      <c r="DU196" s="330"/>
      <c r="DV196" s="330"/>
      <c r="DW196" s="330"/>
      <c r="DX196" s="330"/>
      <c r="DY196" s="330"/>
      <c r="DZ196" s="330"/>
      <c r="EA196" s="330"/>
      <c r="EB196" s="330"/>
      <c r="EC196" s="330"/>
      <c r="ED196" s="330"/>
      <c r="EE196" s="330"/>
      <c r="EF196" s="330"/>
      <c r="EG196" s="330"/>
      <c r="EH196" s="330"/>
      <c r="EI196" s="330"/>
      <c r="EJ196" s="330"/>
      <c r="EK196" s="330"/>
      <c r="EL196" s="330"/>
      <c r="EM196" s="330"/>
      <c r="EN196" s="330"/>
      <c r="EO196" s="330"/>
      <c r="EP196" s="330"/>
      <c r="EQ196" s="330"/>
      <c r="ER196" s="330"/>
      <c r="ES196" s="330"/>
      <c r="ET196" s="330"/>
      <c r="EU196" s="330"/>
      <c r="EV196" s="330">
        <f>'278-тефтели (1)'!C20</f>
        <v>8.0000000000000002E-3</v>
      </c>
      <c r="EW196" s="330"/>
      <c r="EX196" s="330"/>
      <c r="EY196" s="1032">
        <f t="shared" si="18"/>
        <v>0.12667</v>
      </c>
    </row>
    <row r="197" spans="1:166" s="1311" customFormat="1" ht="28.2" customHeight="1" x14ac:dyDescent="0.25">
      <c r="A197" s="421">
        <v>193</v>
      </c>
      <c r="B197" s="417" t="str">
        <f>'279-тефтели (60х2)'!A9</f>
        <v>Тефтели из говядины 2-й вариант (с рисом (2 шт) и соусом сметанным с томатом)</v>
      </c>
      <c r="C197" s="419">
        <f>'279-тефтели (60х2)'!C38</f>
        <v>170</v>
      </c>
      <c r="D197" s="1211">
        <f>7.46/110*C197</f>
        <v>11.53</v>
      </c>
      <c r="E197" s="1211">
        <f>8.29/110*C197</f>
        <v>12.81</v>
      </c>
      <c r="F197" s="1211">
        <f>9.44/110*C197</f>
        <v>14.59</v>
      </c>
      <c r="G197" s="1212">
        <f>142/110*C197</f>
        <v>219</v>
      </c>
      <c r="H197" s="419">
        <f>'279-тефтели (60х2)'!J7</f>
        <v>279</v>
      </c>
      <c r="I197" s="1234">
        <f>'279-тефтели (60х2)'!F36</f>
        <v>68.63</v>
      </c>
      <c r="J197" s="330">
        <f>'279-тефтели (60х2)'!C19</f>
        <v>0.104</v>
      </c>
      <c r="K197" s="330"/>
      <c r="L197" s="330"/>
      <c r="M197" s="330"/>
      <c r="N197" s="330"/>
      <c r="O197" s="330"/>
      <c r="P197" s="330"/>
      <c r="Q197" s="330"/>
      <c r="R197" s="330"/>
      <c r="S197" s="330"/>
      <c r="T197" s="330"/>
      <c r="U197" s="330"/>
      <c r="V197" s="330"/>
      <c r="W197" s="330"/>
      <c r="X197" s="330"/>
      <c r="Y197" s="330">
        <f>'331-соус с томатом'!C19*'279-тефтели (60х2)'!C33</f>
        <v>1.2500000000000001E-2</v>
      </c>
      <c r="Z197" s="330"/>
      <c r="AA197" s="330"/>
      <c r="AB197" s="330"/>
      <c r="AC197" s="330"/>
      <c r="AD197" s="330"/>
      <c r="AE197" s="330"/>
      <c r="AF197" s="330"/>
      <c r="AG197" s="330"/>
      <c r="AH197" s="330"/>
      <c r="AI197" s="330"/>
      <c r="AJ197" s="330"/>
      <c r="AK197" s="330">
        <f>'279-тефтели (60х2)'!C23</f>
        <v>4.2000000000000003E-2</v>
      </c>
      <c r="AL197" s="330"/>
      <c r="AM197" s="330"/>
      <c r="AN197" s="330"/>
      <c r="AO197" s="330"/>
      <c r="AP197" s="330"/>
      <c r="AQ197" s="330"/>
      <c r="AR197" s="330"/>
      <c r="AS197" s="330"/>
      <c r="AT197" s="330"/>
      <c r="AU197" s="330">
        <f>'279-тефтели (60х2)'!C30</f>
        <v>4.0000000000000001E-3</v>
      </c>
      <c r="AV197" s="330"/>
      <c r="AW197" s="330"/>
      <c r="AX197" s="330"/>
      <c r="AY197" s="330"/>
      <c r="AZ197" s="330"/>
      <c r="BA197" s="330"/>
      <c r="BB197" s="330"/>
      <c r="BC197" s="330"/>
      <c r="BD197" s="330"/>
      <c r="BE197" s="330"/>
      <c r="BF197" s="330"/>
      <c r="BG197" s="330"/>
      <c r="BH197" s="330"/>
      <c r="BI197" s="330"/>
      <c r="BJ197" s="330"/>
      <c r="BK197" s="330"/>
      <c r="BL197" s="330"/>
      <c r="BM197" s="330"/>
      <c r="BN197" s="330"/>
      <c r="BO197" s="330"/>
      <c r="BP197" s="330"/>
      <c r="BQ197" s="330"/>
      <c r="BR197" s="330"/>
      <c r="BS197" s="430">
        <f>'279-тефтели (60х2)'!C27+('331-соус с томатом'!C20*'279-тефтели (60х2)'!C33)</f>
        <v>1.175E-2</v>
      </c>
      <c r="BT197" s="330"/>
      <c r="BU197" s="330"/>
      <c r="BV197" s="330"/>
      <c r="BW197" s="330"/>
      <c r="BX197" s="330"/>
      <c r="BY197" s="330"/>
      <c r="BZ197" s="330"/>
      <c r="CA197" s="330"/>
      <c r="CB197" s="330">
        <f>'279-тефтели (60х2)'!C20</f>
        <v>0.01</v>
      </c>
      <c r="CC197" s="330"/>
      <c r="CD197" s="330"/>
      <c r="CE197" s="330"/>
      <c r="CF197" s="330">
        <f>'279-тефтели (60х2)'!C25+'279-тефтели (60х2)'!C29</f>
        <v>1.2E-2</v>
      </c>
      <c r="CG197" s="330"/>
      <c r="CH197" s="330"/>
      <c r="CI197" s="330"/>
      <c r="CJ197" s="330"/>
      <c r="CK197" s="330"/>
      <c r="CL197" s="330"/>
      <c r="CM197" s="330"/>
      <c r="CN197" s="330"/>
      <c r="CO197" s="330"/>
      <c r="CP197" s="330"/>
      <c r="CQ197" s="330"/>
      <c r="CR197" s="330"/>
      <c r="CS197" s="330">
        <f>'279-тефтели (60х2)'!C31+('331-соус с томатом'!C23*'279-тефтели (60х2)'!C33)</f>
        <v>4.0000000000000003E-5</v>
      </c>
      <c r="CT197" s="330"/>
      <c r="CU197" s="330"/>
      <c r="CV197" s="330"/>
      <c r="CW197" s="330"/>
      <c r="CX197" s="330"/>
      <c r="CY197" s="330"/>
      <c r="CZ197" s="330"/>
      <c r="DA197" s="330"/>
      <c r="DB197" s="330"/>
      <c r="DC197" s="330">
        <f>'279-тефтели (60х2)'!C24+('331-соус с томатом'!C24*'279-тефтели (60х2)'!C33)</f>
        <v>5.4000000000000003E-3</v>
      </c>
      <c r="DD197" s="330"/>
      <c r="DE197" s="330"/>
      <c r="DF197" s="330">
        <f>'331-соус с томатом'!C22*'279-тефтели (60х2)'!C33</f>
        <v>5.0000000000000001E-3</v>
      </c>
      <c r="DG197" s="330"/>
      <c r="DH197" s="330"/>
      <c r="DI197" s="330"/>
      <c r="DJ197" s="330"/>
      <c r="DK197" s="330"/>
      <c r="DL197" s="330"/>
      <c r="DM197" s="330"/>
      <c r="DN197" s="330"/>
      <c r="DO197" s="330"/>
      <c r="DP197" s="330"/>
      <c r="DQ197" s="330"/>
      <c r="DR197" s="330"/>
      <c r="DS197" s="330"/>
      <c r="DT197" s="330"/>
      <c r="DU197" s="330"/>
      <c r="DV197" s="330"/>
      <c r="DW197" s="330"/>
      <c r="DX197" s="330"/>
      <c r="DY197" s="330"/>
      <c r="DZ197" s="330"/>
      <c r="EA197" s="330"/>
      <c r="EB197" s="330"/>
      <c r="EC197" s="330"/>
      <c r="ED197" s="330"/>
      <c r="EE197" s="330"/>
      <c r="EF197" s="330"/>
      <c r="EG197" s="330"/>
      <c r="EH197" s="330"/>
      <c r="EI197" s="330"/>
      <c r="EJ197" s="330"/>
      <c r="EK197" s="330"/>
      <c r="EL197" s="330"/>
      <c r="EM197" s="330"/>
      <c r="EN197" s="330"/>
      <c r="EO197" s="330"/>
      <c r="EP197" s="330"/>
      <c r="EQ197" s="330"/>
      <c r="ER197" s="330"/>
      <c r="ES197" s="330"/>
      <c r="ET197" s="330"/>
      <c r="EU197" s="330"/>
      <c r="EV197" s="330"/>
      <c r="EW197" s="330"/>
      <c r="EX197" s="330"/>
      <c r="EY197" s="1032"/>
      <c r="EZ197" s="616"/>
      <c r="FA197" s="616"/>
      <c r="FB197" s="616"/>
      <c r="FC197" s="616"/>
      <c r="FD197" s="616"/>
      <c r="FE197" s="616"/>
      <c r="FF197" s="616"/>
      <c r="FG197" s="616"/>
      <c r="FH197" s="616"/>
      <c r="FI197" s="616"/>
      <c r="FJ197" s="616"/>
    </row>
    <row r="198" spans="1:166" ht="14.7" customHeight="1" x14ac:dyDescent="0.25">
      <c r="A198" s="421">
        <v>194</v>
      </c>
      <c r="B198" s="417" t="str">
        <f>'279-тефтели 80)'!A9</f>
        <v xml:space="preserve">Тефтели из говядины 2-й вариант с рисом </v>
      </c>
      <c r="C198" s="419">
        <f>'279-тефтели 80)'!C38</f>
        <v>80</v>
      </c>
      <c r="D198" s="1211">
        <f>7.46/110*C198</f>
        <v>5.43</v>
      </c>
      <c r="E198" s="1211">
        <f>8.29/110*C198</f>
        <v>6.03</v>
      </c>
      <c r="F198" s="1211">
        <f>9.44/110*C198</f>
        <v>6.87</v>
      </c>
      <c r="G198" s="1212">
        <f>142/110*C198</f>
        <v>103</v>
      </c>
      <c r="H198" s="419">
        <f>'279-тефтели 80)'!J7</f>
        <v>279</v>
      </c>
      <c r="I198" s="483">
        <f>'279-тефтели 80)'!F40</f>
        <v>42.89</v>
      </c>
      <c r="J198" s="329">
        <f>'279-тефтели 80)'!C19</f>
        <v>6.9000000000000006E-2</v>
      </c>
      <c r="K198" s="330"/>
      <c r="L198" s="330"/>
      <c r="M198" s="330"/>
      <c r="N198" s="330"/>
      <c r="O198" s="330"/>
      <c r="P198" s="330"/>
      <c r="Q198" s="330"/>
      <c r="R198" s="330"/>
      <c r="S198" s="330"/>
      <c r="T198" s="330"/>
      <c r="U198" s="330"/>
      <c r="V198" s="330">
        <f>'333-соус с томатом и лук'!C21/'333-соус с томатом и лук'!C25*1000*'279-тефтели 80)'!C33</f>
        <v>0</v>
      </c>
      <c r="W198" s="330"/>
      <c r="X198" s="330"/>
      <c r="Y198" s="329">
        <f>'330-соус сметанный'!C19/'330-соус сметанный'!C27*1000*'333-соус с томатом и лук'!C19/'333-соус с томатом и лук'!C25*1000*'279-тефтели 80)'!C33</f>
        <v>0</v>
      </c>
      <c r="Z198" s="330"/>
      <c r="AA198" s="330"/>
      <c r="AB198" s="330"/>
      <c r="AC198" s="330"/>
      <c r="AD198" s="330"/>
      <c r="AE198" s="330"/>
      <c r="AF198" s="330"/>
      <c r="AG198" s="330"/>
      <c r="AH198" s="330"/>
      <c r="AI198" s="330"/>
      <c r="AJ198" s="330"/>
      <c r="AK198" s="330">
        <f>'279-тефтели 80)'!C23</f>
        <v>2.8000000000000001E-2</v>
      </c>
      <c r="AL198" s="330"/>
      <c r="AM198" s="330"/>
      <c r="AN198" s="330"/>
      <c r="AO198" s="330"/>
      <c r="AP198" s="330"/>
      <c r="AQ198" s="330"/>
      <c r="AR198" s="330"/>
      <c r="AS198" s="330"/>
      <c r="AT198" s="330"/>
      <c r="AU198" s="330">
        <f>'279-тефтели 80)'!C30</f>
        <v>3.0000000000000001E-3</v>
      </c>
      <c r="AV198" s="330"/>
      <c r="AW198" s="330"/>
      <c r="AX198" s="330"/>
      <c r="AY198" s="330"/>
      <c r="AZ198" s="330"/>
      <c r="BA198" s="330"/>
      <c r="BB198" s="330"/>
      <c r="BC198" s="330"/>
      <c r="BD198" s="330"/>
      <c r="BE198" s="330"/>
      <c r="BF198" s="330"/>
      <c r="BG198" s="330"/>
      <c r="BH198" s="330"/>
      <c r="BI198" s="330"/>
      <c r="BJ198" s="330"/>
      <c r="BK198" s="330"/>
      <c r="BL198" s="330"/>
      <c r="BM198" s="330"/>
      <c r="BN198" s="330"/>
      <c r="BO198" s="330"/>
      <c r="BP198" s="330"/>
      <c r="BQ198" s="330"/>
      <c r="BR198" s="330"/>
      <c r="BS198" s="330">
        <f>'279-тефтели 80)'!C27+('330-соус сметанный'!C20/'330-соус сметанный'!C27*1000*'333-соус с томатом и лук'!C19*'279-тефтели 80)'!C33)</f>
        <v>5.0000000000000001E-3</v>
      </c>
      <c r="BT198" s="330"/>
      <c r="BU198" s="330"/>
      <c r="BV198" s="330"/>
      <c r="BW198" s="330"/>
      <c r="BX198" s="330"/>
      <c r="BY198" s="330"/>
      <c r="BZ198" s="330"/>
      <c r="CA198" s="330"/>
      <c r="CB198" s="330">
        <f>'279-тефтели 80)'!C20</f>
        <v>7.0000000000000001E-3</v>
      </c>
      <c r="CC198" s="330"/>
      <c r="CD198" s="330"/>
      <c r="CE198" s="330"/>
      <c r="CF198" s="330">
        <f>'279-тефтели 80)'!C25+'279-тефтели 80)'!D29</f>
        <v>8.0000000000000002E-3</v>
      </c>
      <c r="CG198" s="330"/>
      <c r="CH198" s="330"/>
      <c r="CI198" s="330"/>
      <c r="CJ198" s="330"/>
      <c r="CK198" s="330"/>
      <c r="CL198" s="330"/>
      <c r="CM198" s="330"/>
      <c r="CN198" s="330"/>
      <c r="CO198" s="330"/>
      <c r="CP198" s="330"/>
      <c r="CQ198" s="330"/>
      <c r="CR198" s="330"/>
      <c r="CS198" s="330">
        <f>'279-тефтели 80)'!C31+('330-соус сметанный'!C22/'330-соус сметанный'!C27*1000*'333-соус с томатом и лук'!C19*'279-тефтели 80)'!C33)</f>
        <v>2.0000000000000002E-5</v>
      </c>
      <c r="CT198" s="330"/>
      <c r="CU198" s="330"/>
      <c r="CV198" s="330"/>
      <c r="CW198" s="330"/>
      <c r="CX198" s="330"/>
      <c r="CY198" s="330"/>
      <c r="CZ198" s="330"/>
      <c r="DA198" s="330"/>
      <c r="DB198" s="330"/>
      <c r="DC198" s="330">
        <f>'279-тефтели 80)'!C24+('330-соус сметанный'!C23/'330-соус сметанный'!C27*1000*'333-соус с томатом и лук'!C19*'279-тефтели 80)'!C33)</f>
        <v>4.0000000000000001E-3</v>
      </c>
      <c r="DD198" s="330"/>
      <c r="DE198" s="330"/>
      <c r="DF198" s="330">
        <f>'333-соус с томатом и лук'!C22/'333-соус с томатом и лук'!C25*1000*'279-тефтели 80)'!C33</f>
        <v>0</v>
      </c>
      <c r="DG198" s="330"/>
      <c r="DH198" s="330"/>
      <c r="DI198" s="330"/>
      <c r="DJ198" s="330"/>
      <c r="DK198" s="330"/>
      <c r="DL198" s="330"/>
      <c r="DM198" s="330"/>
      <c r="DN198" s="330"/>
      <c r="DO198" s="330"/>
      <c r="DP198" s="330"/>
      <c r="DQ198" s="330"/>
      <c r="DR198" s="330"/>
      <c r="DS198" s="330"/>
      <c r="DT198" s="330"/>
      <c r="DU198" s="330"/>
      <c r="DV198" s="330"/>
      <c r="DW198" s="330"/>
      <c r="DX198" s="330"/>
      <c r="DY198" s="330"/>
      <c r="DZ198" s="330"/>
      <c r="EA198" s="330"/>
      <c r="EB198" s="330"/>
      <c r="EC198" s="330"/>
      <c r="ED198" s="330"/>
      <c r="EE198" s="330"/>
      <c r="EF198" s="330"/>
      <c r="EG198" s="330"/>
      <c r="EH198" s="330"/>
      <c r="EI198" s="330"/>
      <c r="EJ198" s="330"/>
      <c r="EK198" s="330"/>
      <c r="EL198" s="330"/>
      <c r="EM198" s="330"/>
      <c r="EN198" s="330"/>
      <c r="EO198" s="330"/>
      <c r="EP198" s="330"/>
      <c r="EQ198" s="330"/>
      <c r="ER198" s="330"/>
      <c r="ES198" s="330"/>
      <c r="ET198" s="330"/>
      <c r="EU198" s="330"/>
      <c r="EV198" s="330"/>
      <c r="EW198" s="330"/>
      <c r="EX198" s="330"/>
      <c r="EY198" s="1032">
        <f t="shared" si="18"/>
        <v>0.12402000000000001</v>
      </c>
    </row>
    <row r="199" spans="1:166" s="937" customFormat="1" ht="26.4" x14ac:dyDescent="0.25">
      <c r="A199" s="421">
        <v>195</v>
      </c>
      <c r="B199" s="417" t="str">
        <f>'279-тефтели (120)'!A9</f>
        <v>Тефтели из говядины 2-й вариант с рисом со сметанным соусом и томатом</v>
      </c>
      <c r="C199" s="419">
        <f>'279-тефтели (120)'!C38</f>
        <v>120</v>
      </c>
      <c r="D199" s="1211">
        <f>7.46/110*C199</f>
        <v>8.14</v>
      </c>
      <c r="E199" s="1211">
        <f>8.29/110*C199</f>
        <v>9.0399999999999991</v>
      </c>
      <c r="F199" s="1211">
        <f>9.44/110*C199</f>
        <v>10.3</v>
      </c>
      <c r="G199" s="1212">
        <f>142/110*C199</f>
        <v>155</v>
      </c>
      <c r="H199" s="419">
        <f>'279-тефтели (120)'!J7</f>
        <v>279</v>
      </c>
      <c r="I199" s="1234">
        <f>'279-тефтели (120)'!F40</f>
        <v>36.549999999999997</v>
      </c>
      <c r="J199" s="329">
        <f>'279-тефтели (120)'!C19</f>
        <v>5.1999999999999998E-2</v>
      </c>
      <c r="K199" s="330"/>
      <c r="L199" s="330"/>
      <c r="M199" s="330"/>
      <c r="N199" s="330"/>
      <c r="O199" s="330"/>
      <c r="P199" s="330"/>
      <c r="Q199" s="330"/>
      <c r="R199" s="330"/>
      <c r="S199" s="330"/>
      <c r="T199" s="330"/>
      <c r="U199" s="330"/>
      <c r="V199" s="330"/>
      <c r="W199" s="330"/>
      <c r="X199" s="330"/>
      <c r="Y199" s="329">
        <f>'331-соус с томатом'!C19/'331-соус с томатом'!C27*1000*'279-тефтели (120)'!C33</f>
        <v>0.01</v>
      </c>
      <c r="Z199" s="330"/>
      <c r="AA199" s="330"/>
      <c r="AB199" s="330"/>
      <c r="AC199" s="330"/>
      <c r="AD199" s="330"/>
      <c r="AE199" s="330"/>
      <c r="AF199" s="330"/>
      <c r="AG199" s="330"/>
      <c r="AH199" s="330"/>
      <c r="AI199" s="330"/>
      <c r="AJ199" s="330"/>
      <c r="AK199" s="330">
        <f>'279-тефтели (120)'!C23</f>
        <v>2.8000000000000001E-2</v>
      </c>
      <c r="AL199" s="330"/>
      <c r="AM199" s="330"/>
      <c r="AN199" s="330"/>
      <c r="AO199" s="330"/>
      <c r="AP199" s="330"/>
      <c r="AQ199" s="330"/>
      <c r="AR199" s="330"/>
      <c r="AS199" s="330"/>
      <c r="AT199" s="330"/>
      <c r="AU199" s="330">
        <f>'279-тефтели (120)'!C30</f>
        <v>3.0000000000000001E-3</v>
      </c>
      <c r="AV199" s="330"/>
      <c r="AW199" s="330"/>
      <c r="AX199" s="330"/>
      <c r="AY199" s="330"/>
      <c r="AZ199" s="330"/>
      <c r="BA199" s="330"/>
      <c r="BB199" s="330"/>
      <c r="BC199" s="330"/>
      <c r="BD199" s="330"/>
      <c r="BE199" s="330"/>
      <c r="BF199" s="330"/>
      <c r="BG199" s="330"/>
      <c r="BH199" s="330"/>
      <c r="BI199" s="330"/>
      <c r="BJ199" s="330"/>
      <c r="BK199" s="330"/>
      <c r="BL199" s="330"/>
      <c r="BM199" s="330"/>
      <c r="BN199" s="330"/>
      <c r="BO199" s="330"/>
      <c r="BP199" s="330"/>
      <c r="BQ199" s="330"/>
      <c r="BR199" s="330"/>
      <c r="BS199" s="330">
        <f>'279-тефтели (120)'!C27+'331-соус с томатом'!C20/'331-соус с томатом'!C27*1000*'279-тефтели (120)'!C33</f>
        <v>8.0000000000000002E-3</v>
      </c>
      <c r="BT199" s="330"/>
      <c r="BU199" s="330"/>
      <c r="BV199" s="330"/>
      <c r="BW199" s="330"/>
      <c r="BX199" s="330"/>
      <c r="BY199" s="330"/>
      <c r="BZ199" s="330"/>
      <c r="CA199" s="330"/>
      <c r="CB199" s="330">
        <f>'279-тефтели (120)'!C20</f>
        <v>5.0000000000000001E-3</v>
      </c>
      <c r="CC199" s="330"/>
      <c r="CD199" s="330"/>
      <c r="CE199" s="330"/>
      <c r="CF199" s="330">
        <f>'279-тефтели (120)'!C25+'279-тефтели (120)'!C29</f>
        <v>8.0000000000000002E-3</v>
      </c>
      <c r="CG199" s="330"/>
      <c r="CH199" s="330"/>
      <c r="CI199" s="330"/>
      <c r="CJ199" s="330"/>
      <c r="CK199" s="330"/>
      <c r="CL199" s="330"/>
      <c r="CM199" s="330"/>
      <c r="CN199" s="330"/>
      <c r="CO199" s="330"/>
      <c r="CP199" s="330"/>
      <c r="CQ199" s="330"/>
      <c r="CR199" s="330"/>
      <c r="CS199" s="333">
        <f>'279-тефтели (120)'!C31+'331-соус с томатом'!C23/'331-соус с томатом'!C27*1000*'279-тефтели (120)'!C33</f>
        <v>2.0000000000000002E-5</v>
      </c>
      <c r="CT199" s="330"/>
      <c r="CU199" s="330"/>
      <c r="CV199" s="330"/>
      <c r="CW199" s="330"/>
      <c r="CX199" s="330"/>
      <c r="CY199" s="330"/>
      <c r="CZ199" s="330"/>
      <c r="DA199" s="330"/>
      <c r="DB199" s="330"/>
      <c r="DC199" s="330">
        <f>'279-тефтели (120)'!C24+'331-соус с томатом'!C24/'331-соус с томатом'!C27*1000*'279-тефтели (120)'!C33</f>
        <v>4.3200000000000001E-3</v>
      </c>
      <c r="DD199" s="330"/>
      <c r="DE199" s="330"/>
      <c r="DF199" s="333">
        <f>'331-соус с томатом'!C22/'331-соус с томатом'!C27*1000*'279-тефтели (120)'!C33</f>
        <v>4.0000000000000001E-3</v>
      </c>
      <c r="DG199" s="330"/>
      <c r="DH199" s="330"/>
      <c r="DI199" s="330"/>
      <c r="DJ199" s="330"/>
      <c r="DK199" s="330"/>
      <c r="DL199" s="330"/>
      <c r="DM199" s="330"/>
      <c r="DN199" s="330"/>
      <c r="DO199" s="330"/>
      <c r="DP199" s="330"/>
      <c r="DQ199" s="330"/>
      <c r="DR199" s="330"/>
      <c r="DS199" s="330"/>
      <c r="DT199" s="330"/>
      <c r="DU199" s="330"/>
      <c r="DV199" s="330"/>
      <c r="DW199" s="330"/>
      <c r="DX199" s="330"/>
      <c r="DY199" s="330"/>
      <c r="DZ199" s="330"/>
      <c r="EA199" s="330"/>
      <c r="EB199" s="330"/>
      <c r="EC199" s="330"/>
      <c r="ED199" s="330"/>
      <c r="EE199" s="330"/>
      <c r="EF199" s="330"/>
      <c r="EG199" s="330"/>
      <c r="EH199" s="330"/>
      <c r="EI199" s="330"/>
      <c r="EJ199" s="330"/>
      <c r="EK199" s="330"/>
      <c r="EL199" s="330"/>
      <c r="EM199" s="330"/>
      <c r="EN199" s="330"/>
      <c r="EO199" s="330"/>
      <c r="EP199" s="330"/>
      <c r="EQ199" s="330"/>
      <c r="ER199" s="330"/>
      <c r="ES199" s="330"/>
      <c r="ET199" s="330"/>
      <c r="EU199" s="330"/>
      <c r="EV199" s="330"/>
      <c r="EW199" s="330"/>
      <c r="EX199" s="330"/>
      <c r="EY199" s="1032">
        <f t="shared" si="18"/>
        <v>0.12234</v>
      </c>
      <c r="EZ199" s="616"/>
      <c r="FA199" s="616"/>
      <c r="FB199" s="616"/>
      <c r="FC199" s="616"/>
      <c r="FD199" s="616"/>
      <c r="FE199" s="616"/>
      <c r="FF199" s="616"/>
      <c r="FG199" s="616"/>
      <c r="FH199" s="616"/>
      <c r="FI199" s="616"/>
      <c r="FJ199" s="616"/>
    </row>
    <row r="200" spans="1:166" ht="14.7" customHeight="1" x14ac:dyDescent="0.25">
      <c r="A200" s="421">
        <v>196</v>
      </c>
      <c r="B200" s="183" t="str">
        <f>'280 фрикадельки в соусе'!A9</f>
        <v>Фрикадельки из говядины в соусе сметанном с томатом</v>
      </c>
      <c r="C200" s="419">
        <f>'280 фрикадельки в соусе'!C36</f>
        <v>105</v>
      </c>
      <c r="D200" s="1211">
        <f>8.79/105*C200</f>
        <v>8.7899999999999991</v>
      </c>
      <c r="E200" s="1211">
        <f>11.54/105*C200</f>
        <v>11.54</v>
      </c>
      <c r="F200" s="1211">
        <f>11.08/105*C200</f>
        <v>11.08</v>
      </c>
      <c r="G200" s="1212">
        <f>186/105*C200</f>
        <v>186</v>
      </c>
      <c r="H200" s="419">
        <f>'280 фрикадельки в соусе'!J7</f>
        <v>280</v>
      </c>
      <c r="I200" s="1234">
        <f>'280 фрикадельки в соусе'!F38</f>
        <v>36.06</v>
      </c>
      <c r="J200" s="332">
        <f>'280 фрикадельки в соусе'!C19</f>
        <v>5.1999999999999998E-2</v>
      </c>
      <c r="K200" s="332"/>
      <c r="L200" s="332"/>
      <c r="M200" s="332"/>
      <c r="N200" s="332"/>
      <c r="O200" s="332"/>
      <c r="P200" s="332"/>
      <c r="Q200" s="332"/>
      <c r="R200" s="332"/>
      <c r="S200" s="332"/>
      <c r="T200" s="332"/>
      <c r="U200" s="332">
        <f>'280 фрикадельки в соусе'!C23</f>
        <v>6.0000000000000001E-3</v>
      </c>
      <c r="V200" s="332"/>
      <c r="W200" s="332"/>
      <c r="X200" s="332"/>
      <c r="Y200" s="332">
        <f>'331-соус с томатом'!C19/1000*50</f>
        <v>1.2500000000000001E-2</v>
      </c>
      <c r="Z200" s="332"/>
      <c r="AA200" s="332"/>
      <c r="AB200" s="332"/>
      <c r="AC200" s="332"/>
      <c r="AD200" s="332"/>
      <c r="AE200" s="331"/>
      <c r="AF200" s="332"/>
      <c r="AG200" s="332"/>
      <c r="AH200" s="332"/>
      <c r="AI200" s="332"/>
      <c r="AJ200" s="332"/>
      <c r="AK200" s="332">
        <f>'280 фрикадельки в соусе'!C21</f>
        <v>5.0000000000000001E-3</v>
      </c>
      <c r="AL200" s="332"/>
      <c r="AM200" s="332"/>
      <c r="AN200" s="332"/>
      <c r="AO200" s="332"/>
      <c r="AP200" s="332"/>
      <c r="AQ200" s="332"/>
      <c r="AR200" s="332"/>
      <c r="AS200" s="332"/>
      <c r="AT200" s="332"/>
      <c r="AU200" s="332">
        <f>'280 фрикадельки в соусе'!C28</f>
        <v>2E-3</v>
      </c>
      <c r="AV200" s="332"/>
      <c r="AW200" s="332"/>
      <c r="AX200" s="332"/>
      <c r="AY200" s="332"/>
      <c r="AZ200" s="332"/>
      <c r="BA200" s="332"/>
      <c r="BB200" s="332"/>
      <c r="BC200" s="332"/>
      <c r="BD200" s="332"/>
      <c r="BE200" s="332"/>
      <c r="BF200" s="332"/>
      <c r="BG200" s="332"/>
      <c r="BH200" s="332"/>
      <c r="BI200" s="332"/>
      <c r="BJ200" s="332"/>
      <c r="BK200" s="332"/>
      <c r="BL200" s="332"/>
      <c r="BM200" s="332"/>
      <c r="BN200" s="332"/>
      <c r="BO200" s="332"/>
      <c r="BP200" s="332"/>
      <c r="BQ200" s="332"/>
      <c r="BR200" s="332"/>
      <c r="BS200" s="332">
        <f>'280 фрикадельки в соусе'!C24+'331-соус с томатом'!C20/1000*50</f>
        <v>8.7500000000000008E-3</v>
      </c>
      <c r="BT200" s="332"/>
      <c r="BU200" s="332"/>
      <c r="BV200" s="332"/>
      <c r="BW200" s="332"/>
      <c r="BX200" s="332"/>
      <c r="BY200" s="332"/>
      <c r="BZ200" s="332"/>
      <c r="CA200" s="332"/>
      <c r="CB200" s="332"/>
      <c r="CC200" s="332"/>
      <c r="CD200" s="332"/>
      <c r="CE200" s="332"/>
      <c r="CF200" s="332">
        <f>'280 фрикадельки в соусе'!C27</f>
        <v>5.0000000000000001E-3</v>
      </c>
      <c r="CG200" s="332"/>
      <c r="CH200" s="332"/>
      <c r="CI200" s="332"/>
      <c r="CJ200" s="332"/>
      <c r="CK200" s="332"/>
      <c r="CL200" s="332"/>
      <c r="CM200" s="332"/>
      <c r="CN200" s="332"/>
      <c r="CO200" s="332"/>
      <c r="CP200" s="332"/>
      <c r="CQ200" s="332"/>
      <c r="CR200" s="332"/>
      <c r="CS200" s="332">
        <f>'280 фрикадельки в соусе'!C29+'331-соус с томатом'!C23/1000*50</f>
        <v>2.0000000000000002E-5</v>
      </c>
      <c r="CT200" s="332"/>
      <c r="CU200" s="332"/>
      <c r="CV200" s="332"/>
      <c r="CW200" s="332"/>
      <c r="CX200" s="332"/>
      <c r="CY200" s="332"/>
      <c r="CZ200" s="332"/>
      <c r="DA200" s="332"/>
      <c r="DB200" s="332"/>
      <c r="DC200" s="332">
        <f>'280 фрикадельки в соусе'!C22+'331-соус с томатом'!C24/1000*50</f>
        <v>3.3999999999999998E-3</v>
      </c>
      <c r="DD200" s="332"/>
      <c r="DE200" s="332"/>
      <c r="DF200" s="332">
        <f>'331-соус с томатом'!C22/1000*50</f>
        <v>5.0000000000000001E-3</v>
      </c>
      <c r="DG200" s="332"/>
      <c r="DH200" s="332"/>
      <c r="DI200" s="332"/>
      <c r="DJ200" s="332"/>
      <c r="DK200" s="332"/>
      <c r="DL200" s="332"/>
      <c r="DM200" s="332"/>
      <c r="DN200" s="332"/>
      <c r="DO200" s="332"/>
      <c r="DP200" s="332"/>
      <c r="DQ200" s="332"/>
      <c r="DR200" s="332"/>
      <c r="DS200" s="332"/>
      <c r="DT200" s="332"/>
      <c r="DU200" s="332"/>
      <c r="DV200" s="332"/>
      <c r="DW200" s="332"/>
      <c r="DX200" s="331"/>
      <c r="DY200" s="331"/>
      <c r="DZ200" s="331"/>
      <c r="EA200" s="430"/>
      <c r="EB200" s="430"/>
      <c r="EC200" s="430"/>
      <c r="ED200" s="430"/>
      <c r="EE200" s="430"/>
      <c r="EF200" s="430"/>
      <c r="EG200" s="430"/>
      <c r="EH200" s="430"/>
      <c r="EI200" s="430"/>
      <c r="EJ200" s="430"/>
      <c r="EK200" s="430"/>
      <c r="EL200" s="430"/>
      <c r="EM200" s="430"/>
      <c r="EN200" s="430"/>
      <c r="EO200" s="430"/>
      <c r="EP200" s="430"/>
      <c r="EQ200" s="430"/>
      <c r="ER200" s="430"/>
      <c r="ES200" s="430"/>
      <c r="ET200" s="430"/>
      <c r="EU200" s="430"/>
      <c r="EV200" s="331">
        <f>'280 фрикадельки в соусе'!C20</f>
        <v>8.0000000000000002E-3</v>
      </c>
      <c r="EW200" s="331"/>
      <c r="EX200" s="331"/>
      <c r="EY200" s="1032">
        <f t="shared" si="18"/>
        <v>0.10767</v>
      </c>
    </row>
    <row r="201" spans="1:166" s="1170" customFormat="1" ht="14.7" customHeight="1" x14ac:dyDescent="0.25">
      <c r="A201" s="421">
        <v>197</v>
      </c>
      <c r="B201" s="183" t="str">
        <f>'285-макаронник с мясом'!A9</f>
        <v>Макаронник с мясом</v>
      </c>
      <c r="C201" s="419">
        <f>'285-макаронник с мясом'!C36</f>
        <v>200</v>
      </c>
      <c r="D201" s="1211">
        <f>17.79/145*C201</f>
        <v>24.54</v>
      </c>
      <c r="E201" s="1211">
        <f>24.82/145*C201</f>
        <v>34.229999999999997</v>
      </c>
      <c r="F201" s="1211">
        <f>20.73/145*C201</f>
        <v>28.59</v>
      </c>
      <c r="G201" s="1212">
        <f>275/145*C201</f>
        <v>379</v>
      </c>
      <c r="H201" s="419">
        <f>'285-макаронник с мясом'!J7</f>
        <v>285</v>
      </c>
      <c r="I201" s="1234">
        <f>'285-макаронник с мясом'!F38</f>
        <v>126.55</v>
      </c>
      <c r="J201" s="332">
        <f>'285-макаронник с мясом'!C19</f>
        <v>0.15</v>
      </c>
      <c r="K201" s="332"/>
      <c r="L201" s="332"/>
      <c r="M201" s="332"/>
      <c r="N201" s="332"/>
      <c r="O201" s="332"/>
      <c r="P201" s="332"/>
      <c r="Q201" s="332"/>
      <c r="R201" s="332"/>
      <c r="S201" s="332"/>
      <c r="T201" s="332"/>
      <c r="U201" s="332"/>
      <c r="V201" s="332">
        <f>'285-макаронник с мясом'!C27+'285-макаронник с мясом'!C31</f>
        <v>5.2999999999999999E-2</v>
      </c>
      <c r="W201" s="332"/>
      <c r="X201" s="332"/>
      <c r="Y201" s="332"/>
      <c r="Z201" s="332"/>
      <c r="AA201" s="332"/>
      <c r="AB201" s="332"/>
      <c r="AC201" s="332"/>
      <c r="AD201" s="332"/>
      <c r="AE201" s="430"/>
      <c r="AF201" s="332"/>
      <c r="AG201" s="332"/>
      <c r="AH201" s="332"/>
      <c r="AI201" s="332"/>
      <c r="AJ201" s="332"/>
      <c r="AK201" s="332">
        <f>'285-макаронник с мясом'!C23</f>
        <v>1.7000000000000001E-2</v>
      </c>
      <c r="AL201" s="332"/>
      <c r="AM201" s="332"/>
      <c r="AN201" s="332"/>
      <c r="AO201" s="332"/>
      <c r="AP201" s="332"/>
      <c r="AQ201" s="332"/>
      <c r="AR201" s="332"/>
      <c r="AS201" s="332"/>
      <c r="AT201" s="332"/>
      <c r="AU201" s="332"/>
      <c r="AV201" s="332"/>
      <c r="AW201" s="332"/>
      <c r="AX201" s="332"/>
      <c r="AY201" s="332"/>
      <c r="AZ201" s="332"/>
      <c r="BA201" s="332"/>
      <c r="BB201" s="332"/>
      <c r="BC201" s="332"/>
      <c r="BD201" s="332"/>
      <c r="BE201" s="332"/>
      <c r="BF201" s="332"/>
      <c r="BG201" s="332"/>
      <c r="BH201" s="332"/>
      <c r="BI201" s="332"/>
      <c r="BJ201" s="332"/>
      <c r="BK201" s="332"/>
      <c r="BL201" s="332"/>
      <c r="BM201" s="332"/>
      <c r="BN201" s="332"/>
      <c r="BO201" s="332"/>
      <c r="BP201" s="332"/>
      <c r="BQ201" s="332"/>
      <c r="BR201" s="332"/>
      <c r="BS201" s="332"/>
      <c r="BT201" s="332"/>
      <c r="BU201" s="332"/>
      <c r="BV201" s="332"/>
      <c r="BW201" s="332"/>
      <c r="BX201" s="332"/>
      <c r="BY201" s="332"/>
      <c r="BZ201" s="332"/>
      <c r="CA201" s="332"/>
      <c r="CB201" s="332"/>
      <c r="CC201" s="332"/>
      <c r="CD201" s="332"/>
      <c r="CE201" s="332"/>
      <c r="CF201" s="332">
        <f>'285-макаронник с мясом'!C20+'285-макаронник с мясом'!C25</f>
        <v>8.9999999999999993E-3</v>
      </c>
      <c r="CG201" s="332">
        <f>'285-макаронник с мясом'!C22</f>
        <v>4.9000000000000002E-2</v>
      </c>
      <c r="CH201" s="332"/>
      <c r="CI201" s="332"/>
      <c r="CJ201" s="332"/>
      <c r="CK201" s="332"/>
      <c r="CL201" s="332"/>
      <c r="CM201" s="332"/>
      <c r="CN201" s="332"/>
      <c r="CO201" s="332"/>
      <c r="CP201" s="332"/>
      <c r="CQ201" s="332"/>
      <c r="CR201" s="332"/>
      <c r="CS201" s="332"/>
      <c r="CT201" s="332"/>
      <c r="CU201" s="332"/>
      <c r="CV201" s="332"/>
      <c r="CW201" s="332"/>
      <c r="CX201" s="332"/>
      <c r="CY201" s="332"/>
      <c r="CZ201" s="332"/>
      <c r="DA201" s="332"/>
      <c r="DB201" s="332"/>
      <c r="DC201" s="332">
        <f>'285-макаронник с мясом'!C24</f>
        <v>3.0000000000000001E-3</v>
      </c>
      <c r="DD201" s="332">
        <f>'285-макаронник с мясом'!C28</f>
        <v>4.0000000000000001E-3</v>
      </c>
      <c r="DE201" s="332"/>
      <c r="DF201" s="332"/>
      <c r="DG201" s="332"/>
      <c r="DH201" s="332"/>
      <c r="DI201" s="332"/>
      <c r="DJ201" s="332"/>
      <c r="DK201" s="332"/>
      <c r="DL201" s="332"/>
      <c r="DM201" s="332"/>
      <c r="DN201" s="332"/>
      <c r="DO201" s="332"/>
      <c r="DP201" s="332"/>
      <c r="DQ201" s="332"/>
      <c r="DR201" s="332"/>
      <c r="DS201" s="332"/>
      <c r="DT201" s="332"/>
      <c r="DU201" s="332"/>
      <c r="DV201" s="332"/>
      <c r="DW201" s="332"/>
      <c r="DX201" s="430"/>
      <c r="DY201" s="430"/>
      <c r="DZ201" s="430"/>
      <c r="EA201" s="430"/>
      <c r="EB201" s="430"/>
      <c r="EC201" s="430"/>
      <c r="ED201" s="430"/>
      <c r="EE201" s="430"/>
      <c r="EF201" s="430"/>
      <c r="EG201" s="430"/>
      <c r="EH201" s="430"/>
      <c r="EI201" s="430"/>
      <c r="EJ201" s="430"/>
      <c r="EK201" s="430"/>
      <c r="EL201" s="430"/>
      <c r="EM201" s="430"/>
      <c r="EN201" s="430"/>
      <c r="EO201" s="430"/>
      <c r="EP201" s="430"/>
      <c r="EQ201" s="430"/>
      <c r="ER201" s="430"/>
      <c r="ES201" s="430"/>
      <c r="ET201" s="430"/>
      <c r="EU201" s="430"/>
      <c r="EV201" s="430"/>
      <c r="EW201" s="430"/>
      <c r="EX201" s="430"/>
      <c r="EY201" s="1032">
        <f t="shared" si="18"/>
        <v>0.28499999999999998</v>
      </c>
      <c r="EZ201" s="616"/>
      <c r="FA201" s="616"/>
      <c r="FB201" s="616"/>
      <c r="FC201" s="616"/>
      <c r="FD201" s="616"/>
      <c r="FE201" s="616"/>
      <c r="FF201" s="616"/>
      <c r="FG201" s="616"/>
      <c r="FH201" s="616"/>
      <c r="FI201" s="616"/>
      <c r="FJ201" s="616"/>
    </row>
    <row r="202" spans="1:166" ht="14.7" customHeight="1" x14ac:dyDescent="0.25">
      <c r="A202" s="421">
        <v>198</v>
      </c>
      <c r="B202" s="169" t="str">
        <f>'287-Голубцы с мясом и рисом'!A9</f>
        <v>Голубцы с мясом и рисом в сметанном соусе с томатом</v>
      </c>
      <c r="C202" s="419">
        <f>'287-Голубцы с мясом и рисом'!C34</f>
        <v>158</v>
      </c>
      <c r="D202" s="1211">
        <f>10/158*C202</f>
        <v>10</v>
      </c>
      <c r="E202" s="1211">
        <f>8.22/158*C202</f>
        <v>8.2200000000000006</v>
      </c>
      <c r="F202" s="1211">
        <f>16.92/158*C202</f>
        <v>16.920000000000002</v>
      </c>
      <c r="G202" s="1212">
        <f>182/158*C202</f>
        <v>182</v>
      </c>
      <c r="H202" s="419">
        <f>'287-Голубцы с мясом и рисом'!J7</f>
        <v>287</v>
      </c>
      <c r="I202" s="483">
        <f>'287-Голубцы с мясом и рисом'!F36</f>
        <v>40.22</v>
      </c>
      <c r="J202" s="329">
        <f>'287-Голубцы с мясом и рисом'!C20</f>
        <v>5.3999999999999999E-2</v>
      </c>
      <c r="K202" s="330"/>
      <c r="L202" s="330"/>
      <c r="M202" s="330"/>
      <c r="N202" s="330"/>
      <c r="O202" s="330"/>
      <c r="P202" s="330"/>
      <c r="Q202" s="330"/>
      <c r="R202" s="330"/>
      <c r="S202" s="330"/>
      <c r="T202" s="330"/>
      <c r="U202" s="330"/>
      <c r="V202" s="330"/>
      <c r="W202" s="330"/>
      <c r="X202" s="330"/>
      <c r="Y202" s="329">
        <f>'331-соус с томатом'!C19/'331-соус с томатом'!C27*1000*'287-Голубцы с мясом и рисом'!C29</f>
        <v>1.2500000000000001E-2</v>
      </c>
      <c r="Z202" s="330"/>
      <c r="AA202" s="330"/>
      <c r="AB202" s="330"/>
      <c r="AC202" s="330"/>
      <c r="AD202" s="330"/>
      <c r="AE202" s="330"/>
      <c r="AF202" s="330">
        <f>'287-Голубцы с мясом и рисом'!C19</f>
        <v>8.1000000000000003E-2</v>
      </c>
      <c r="AG202" s="330"/>
      <c r="AH202" s="330"/>
      <c r="AI202" s="330"/>
      <c r="AJ202" s="330"/>
      <c r="AK202" s="330">
        <f>'287-Голубцы с мясом и рисом'!C22</f>
        <v>1.0999999999999999E-2</v>
      </c>
      <c r="AL202" s="330"/>
      <c r="AM202" s="330"/>
      <c r="AN202" s="330"/>
      <c r="AO202" s="330"/>
      <c r="AP202" s="330"/>
      <c r="AQ202" s="330"/>
      <c r="AR202" s="330"/>
      <c r="AS202" s="330"/>
      <c r="AT202" s="330"/>
      <c r="AU202" s="330"/>
      <c r="AV202" s="330"/>
      <c r="AW202" s="330"/>
      <c r="AX202" s="330"/>
      <c r="AY202" s="330"/>
      <c r="AZ202" s="330"/>
      <c r="BA202" s="330"/>
      <c r="BB202" s="330"/>
      <c r="BC202" s="330"/>
      <c r="BD202" s="330"/>
      <c r="BE202" s="330"/>
      <c r="BF202" s="330"/>
      <c r="BG202" s="330"/>
      <c r="BH202" s="330"/>
      <c r="BI202" s="330"/>
      <c r="BJ202" s="330"/>
      <c r="BK202" s="330"/>
      <c r="BL202" s="330"/>
      <c r="BM202" s="330"/>
      <c r="BN202" s="330"/>
      <c r="BO202" s="330"/>
      <c r="BP202" s="330"/>
      <c r="BQ202" s="330"/>
      <c r="BR202" s="330"/>
      <c r="BS202" s="330">
        <f>'331-соус с томатом'!C20/'331-соус с томатом'!C27*1000*'287-Голубцы с мясом и рисом'!C29</f>
        <v>3.7499999999999999E-3</v>
      </c>
      <c r="BT202" s="330"/>
      <c r="BU202" s="330"/>
      <c r="BV202" s="330"/>
      <c r="BW202" s="330"/>
      <c r="BX202" s="330"/>
      <c r="BY202" s="330"/>
      <c r="BZ202" s="330"/>
      <c r="CA202" s="330"/>
      <c r="CB202" s="330">
        <f>'287-Голубцы с мясом и рисом'!C21</f>
        <v>5.0000000000000001E-3</v>
      </c>
      <c r="CC202" s="330"/>
      <c r="CD202" s="330"/>
      <c r="CE202" s="330"/>
      <c r="CF202" s="330">
        <f>'287-Голубцы с мясом и рисом'!C23+'287-Голубцы с мясом и рисом'!C25</f>
        <v>3.0000000000000001E-3</v>
      </c>
      <c r="CG202" s="330"/>
      <c r="CH202" s="330"/>
      <c r="CI202" s="330"/>
      <c r="CJ202" s="330"/>
      <c r="CK202" s="330"/>
      <c r="CL202" s="330"/>
      <c r="CM202" s="330"/>
      <c r="CN202" s="330"/>
      <c r="CO202" s="330"/>
      <c r="CP202" s="330"/>
      <c r="CQ202" s="330"/>
      <c r="CR202" s="330"/>
      <c r="CS202" s="330">
        <f>'331-соус с томатом'!C23/'331-соус с томатом'!C27*1000*'287-Голубцы с мясом и рисом'!C29</f>
        <v>0</v>
      </c>
      <c r="CT202" s="330"/>
      <c r="CU202" s="330"/>
      <c r="CV202" s="330"/>
      <c r="CW202" s="330"/>
      <c r="CX202" s="330"/>
      <c r="CY202" s="330"/>
      <c r="CZ202" s="330"/>
      <c r="DA202" s="330"/>
      <c r="DB202" s="330"/>
      <c r="DC202" s="330">
        <f>'287-Голубцы с мясом и рисом'!C23+('331-соус с томатом'!C24/'331-соус с томатом'!C27*1000*'287-Голубцы с мясом и рисом'!C29)</f>
        <v>3.3999999999999998E-3</v>
      </c>
      <c r="DD202" s="330"/>
      <c r="DE202" s="330"/>
      <c r="DF202" s="330">
        <f>'331-соус с томатом'!C22/'331-соус с томатом'!C27*1000*'287-Голубцы с мясом и рисом'!C29</f>
        <v>5.0000000000000001E-3</v>
      </c>
      <c r="DG202" s="330"/>
      <c r="DH202" s="330"/>
      <c r="DI202" s="330"/>
      <c r="DJ202" s="330"/>
      <c r="DK202" s="330"/>
      <c r="DL202" s="330"/>
      <c r="DM202" s="330"/>
      <c r="DN202" s="330"/>
      <c r="DO202" s="330"/>
      <c r="DP202" s="330"/>
      <c r="DQ202" s="330"/>
      <c r="DR202" s="330"/>
      <c r="DS202" s="330"/>
      <c r="DT202" s="330"/>
      <c r="DU202" s="330"/>
      <c r="DV202" s="330"/>
      <c r="DW202" s="330"/>
      <c r="DX202" s="330"/>
      <c r="DY202" s="330"/>
      <c r="DZ202" s="330"/>
      <c r="EA202" s="330"/>
      <c r="EB202" s="330"/>
      <c r="EC202" s="330"/>
      <c r="ED202" s="330"/>
      <c r="EE202" s="330"/>
      <c r="EF202" s="330"/>
      <c r="EG202" s="330"/>
      <c r="EH202" s="330"/>
      <c r="EI202" s="330"/>
      <c r="EJ202" s="330"/>
      <c r="EK202" s="330"/>
      <c r="EL202" s="330"/>
      <c r="EM202" s="330"/>
      <c r="EN202" s="330"/>
      <c r="EO202" s="330"/>
      <c r="EP202" s="330"/>
      <c r="EQ202" s="330"/>
      <c r="ER202" s="330"/>
      <c r="ES202" s="330"/>
      <c r="ET202" s="330"/>
      <c r="EU202" s="330"/>
      <c r="EV202" s="330"/>
      <c r="EW202" s="330"/>
      <c r="EX202" s="330"/>
      <c r="EY202" s="1032">
        <f t="shared" si="18"/>
        <v>0.17865</v>
      </c>
    </row>
    <row r="203" spans="1:166" ht="14.7" customHeight="1" x14ac:dyDescent="0.25">
      <c r="A203" s="421">
        <v>199</v>
      </c>
      <c r="B203" s="169" t="str">
        <f>'288-птица отвар'!A9</f>
        <v>Птица отварная со сметанным соусом и томатом</v>
      </c>
      <c r="C203" s="419">
        <f>'288-птица отвар'!C32</f>
        <v>110</v>
      </c>
      <c r="D203" s="1211">
        <f>12.24/80*C203</f>
        <v>16.829999999999998</v>
      </c>
      <c r="E203" s="1211">
        <f>10.28/80*C203</f>
        <v>14.14</v>
      </c>
      <c r="F203" s="1211">
        <f>2.31/80*C203</f>
        <v>3.18</v>
      </c>
      <c r="G203" s="1212">
        <f>151/80*C203</f>
        <v>208</v>
      </c>
      <c r="H203" s="419">
        <f>'288-птица отвар'!J7</f>
        <v>288</v>
      </c>
      <c r="I203" s="1234">
        <f>'288-птица отвар'!F34</f>
        <v>38.53</v>
      </c>
      <c r="J203" s="331"/>
      <c r="K203" s="331"/>
      <c r="L203" s="430">
        <f>'288-птица отвар'!C19</f>
        <v>0.14599999999999999</v>
      </c>
      <c r="M203" s="430"/>
      <c r="N203" s="331"/>
      <c r="O203" s="331"/>
      <c r="P203" s="331"/>
      <c r="Q203" s="331"/>
      <c r="R203" s="430"/>
      <c r="S203" s="430"/>
      <c r="T203" s="331"/>
      <c r="U203" s="331"/>
      <c r="V203" s="331">
        <f>'288-птица отвар'!C26</f>
        <v>7.0000000000000001E-3</v>
      </c>
      <c r="W203" s="331"/>
      <c r="X203" s="331"/>
      <c r="Y203" s="331">
        <f>'331-соус с томатом'!C19/'331-соус с томатом'!C27*1000*'288-птица отвар'!C27</f>
        <v>0.01</v>
      </c>
      <c r="Z203" s="331"/>
      <c r="AA203" s="430"/>
      <c r="AB203" s="430"/>
      <c r="AC203" s="430"/>
      <c r="AD203" s="430"/>
      <c r="AE203" s="331"/>
      <c r="AF203" s="331"/>
      <c r="AG203" s="430"/>
      <c r="AH203" s="331"/>
      <c r="AI203" s="331"/>
      <c r="AJ203" s="331"/>
      <c r="AK203" s="331">
        <f>'288-птица отвар'!C20</f>
        <v>3.5000000000000001E-3</v>
      </c>
      <c r="AL203" s="331"/>
      <c r="AM203" s="331"/>
      <c r="AN203" s="331"/>
      <c r="AO203" s="331"/>
      <c r="AP203" s="331"/>
      <c r="AQ203" s="331"/>
      <c r="AR203" s="430"/>
      <c r="AS203" s="331"/>
      <c r="AT203" s="331">
        <f>'288-птица отвар'!C21</f>
        <v>2.0999999999999999E-3</v>
      </c>
      <c r="AU203" s="331">
        <f>'288-птица отвар'!C23</f>
        <v>2E-3</v>
      </c>
      <c r="AV203" s="331"/>
      <c r="AW203" s="331"/>
      <c r="AX203" s="331"/>
      <c r="AY203" s="430"/>
      <c r="AZ203" s="331"/>
      <c r="BA203" s="331"/>
      <c r="BB203" s="331"/>
      <c r="BC203" s="331"/>
      <c r="BD203" s="331"/>
      <c r="BE203" s="331"/>
      <c r="BF203" s="430"/>
      <c r="BG203" s="430"/>
      <c r="BH203" s="430"/>
      <c r="BI203" s="331"/>
      <c r="BJ203" s="331"/>
      <c r="BK203" s="331"/>
      <c r="BL203" s="331"/>
      <c r="BM203" s="331"/>
      <c r="BN203" s="331"/>
      <c r="BO203" s="331"/>
      <c r="BP203" s="331"/>
      <c r="BQ203" s="331"/>
      <c r="BR203" s="331"/>
      <c r="BS203" s="430">
        <f>'331-соус с томатом'!C20/'331-соус с томатом'!C27*1000*'288-птица отвар'!C27</f>
        <v>3.0000000000000001E-3</v>
      </c>
      <c r="BT203" s="331"/>
      <c r="BU203" s="331"/>
      <c r="BV203" s="331"/>
      <c r="BW203" s="430"/>
      <c r="BX203" s="430"/>
      <c r="BY203" s="430"/>
      <c r="BZ203" s="430"/>
      <c r="CA203" s="331"/>
      <c r="CB203" s="331"/>
      <c r="CC203" s="430"/>
      <c r="CD203" s="430"/>
      <c r="CE203" s="331"/>
      <c r="CF203" s="331"/>
      <c r="CG203" s="331"/>
      <c r="CH203" s="331"/>
      <c r="CI203" s="331"/>
      <c r="CJ203" s="430"/>
      <c r="CK203" s="331"/>
      <c r="CL203" s="331"/>
      <c r="CM203" s="331"/>
      <c r="CN203" s="331"/>
      <c r="CO203" s="331"/>
      <c r="CP203" s="331"/>
      <c r="CQ203" s="331"/>
      <c r="CR203" s="331"/>
      <c r="CS203" s="331">
        <f>'288-птица отвар'!C24+('331-соус с томатом'!C23/'331-соус с томатом'!C27*1000*'288-птица отвар'!C27)</f>
        <v>2.0000000000000001E-4</v>
      </c>
      <c r="CT203" s="331"/>
      <c r="CU203" s="331"/>
      <c r="CV203" s="331"/>
      <c r="CW203" s="331"/>
      <c r="CX203" s="331"/>
      <c r="CY203" s="430"/>
      <c r="CZ203" s="331"/>
      <c r="DA203" s="331"/>
      <c r="DB203" s="331"/>
      <c r="DC203" s="331">
        <f>'288-птица отвар'!C22+('331-соус с томатом'!C24/'331-соус с томатом'!C27*1000*'288-птица отвар'!C27)</f>
        <v>4.3200000000000001E-3</v>
      </c>
      <c r="DD203" s="331"/>
      <c r="DE203" s="331"/>
      <c r="DF203" s="331">
        <f>'331-соус с томатом'!C22/'331-соус с томатом'!C27*1000*'288-птица отвар'!C27</f>
        <v>4.0000000000000001E-3</v>
      </c>
      <c r="DG203" s="331"/>
      <c r="DH203" s="331"/>
      <c r="DI203" s="331"/>
      <c r="DJ203" s="430"/>
      <c r="DK203" s="430"/>
      <c r="DL203" s="331"/>
      <c r="DM203" s="331"/>
      <c r="DN203" s="430"/>
      <c r="DO203" s="430"/>
      <c r="DP203" s="430"/>
      <c r="DQ203" s="430"/>
      <c r="DR203" s="331"/>
      <c r="DS203" s="331"/>
      <c r="DT203" s="331"/>
      <c r="DU203" s="331"/>
      <c r="DV203" s="331"/>
      <c r="DW203" s="331"/>
      <c r="DX203" s="331"/>
      <c r="DY203" s="331"/>
      <c r="DZ203" s="331"/>
      <c r="EA203" s="430"/>
      <c r="EB203" s="430"/>
      <c r="EC203" s="430"/>
      <c r="ED203" s="430"/>
      <c r="EE203" s="430"/>
      <c r="EF203" s="430"/>
      <c r="EG203" s="430"/>
      <c r="EH203" s="430"/>
      <c r="EI203" s="430"/>
      <c r="EJ203" s="430"/>
      <c r="EK203" s="430"/>
      <c r="EL203" s="430"/>
      <c r="EM203" s="430"/>
      <c r="EN203" s="430"/>
      <c r="EO203" s="430"/>
      <c r="EP203" s="430"/>
      <c r="EQ203" s="430"/>
      <c r="ER203" s="430"/>
      <c r="ES203" s="430"/>
      <c r="ET203" s="430"/>
      <c r="EU203" s="430"/>
      <c r="EV203" s="331"/>
      <c r="EW203" s="331"/>
      <c r="EX203" s="331"/>
      <c r="EY203" s="1032">
        <f t="shared" si="18"/>
        <v>0.18212</v>
      </c>
    </row>
    <row r="204" spans="1:166" s="506" customFormat="1" ht="14.7" customHeight="1" x14ac:dyDescent="0.25">
      <c r="A204" s="421">
        <v>200</v>
      </c>
      <c r="B204" s="417" t="str">
        <f>'288-птица отвар окор.'!A9</f>
        <v>Птица отварная (куриные окорочка)</v>
      </c>
      <c r="C204" s="419">
        <f>'288-птица отвар окор.'!C32</f>
        <v>80</v>
      </c>
      <c r="D204" s="1209">
        <f>11.73/55*C204</f>
        <v>17.059999999999999</v>
      </c>
      <c r="E204" s="1209">
        <f>12.91/55*C204</f>
        <v>18.78</v>
      </c>
      <c r="F204" s="1209">
        <f>0.25/55*C204</f>
        <v>0.36</v>
      </c>
      <c r="G204" s="1216">
        <f>164/55*C204</f>
        <v>239</v>
      </c>
      <c r="H204" s="419">
        <f>'288-птица отвар окор.'!J7</f>
        <v>288</v>
      </c>
      <c r="I204" s="483">
        <f>'288-птица отвар окор.'!F34</f>
        <v>20.83</v>
      </c>
      <c r="J204" s="418"/>
      <c r="K204" s="482">
        <f>'288-птица отвар окор.'!C19</f>
        <v>7.0999999999999994E-2</v>
      </c>
      <c r="L204" s="482"/>
      <c r="M204" s="418"/>
      <c r="N204" s="418"/>
      <c r="O204" s="418"/>
      <c r="P204" s="418"/>
      <c r="Q204" s="418"/>
      <c r="R204" s="418"/>
      <c r="S204" s="418"/>
      <c r="T204" s="418"/>
      <c r="U204" s="418"/>
      <c r="V204" s="482">
        <f>'288-птица отвар окор.'!C26</f>
        <v>5.0000000000000001E-3</v>
      </c>
      <c r="W204" s="418"/>
      <c r="X204" s="418"/>
      <c r="Y204" s="482">
        <f>'331-соус с томатом'!C19/'331-соус с томатом'!C27*1000*'288-птица отвар окор.'!C27</f>
        <v>7.4999999999999997E-3</v>
      </c>
      <c r="Z204" s="418"/>
      <c r="AA204" s="418"/>
      <c r="AB204" s="418"/>
      <c r="AC204" s="418"/>
      <c r="AD204" s="418"/>
      <c r="AE204" s="418"/>
      <c r="AF204" s="418"/>
      <c r="AG204" s="418"/>
      <c r="AH204" s="418"/>
      <c r="AI204" s="418"/>
      <c r="AJ204" s="418"/>
      <c r="AK204" s="418">
        <f>'288-птица отвар окор.'!C20</f>
        <v>2.5000000000000001E-3</v>
      </c>
      <c r="AL204" s="418"/>
      <c r="AM204" s="418"/>
      <c r="AN204" s="418"/>
      <c r="AO204" s="418"/>
      <c r="AP204" s="418"/>
      <c r="AQ204" s="418"/>
      <c r="AR204" s="418"/>
      <c r="AS204" s="418"/>
      <c r="AT204" s="482">
        <f>'288-птица отвар окор.'!C21</f>
        <v>1.5E-3</v>
      </c>
      <c r="AU204" s="482">
        <f>'288-птица отвар окор.'!C23</f>
        <v>1E-3</v>
      </c>
      <c r="AV204" s="418"/>
      <c r="AW204" s="418"/>
      <c r="AX204" s="418"/>
      <c r="AY204" s="418"/>
      <c r="AZ204" s="418"/>
      <c r="BA204" s="418"/>
      <c r="BB204" s="418"/>
      <c r="BC204" s="418"/>
      <c r="BD204" s="418"/>
      <c r="BE204" s="418"/>
      <c r="BF204" s="418"/>
      <c r="BG204" s="418"/>
      <c r="BH204" s="418"/>
      <c r="BI204" s="418"/>
      <c r="BJ204" s="418"/>
      <c r="BK204" s="418"/>
      <c r="BL204" s="418"/>
      <c r="BM204" s="418"/>
      <c r="BN204" s="418"/>
      <c r="BO204" s="418"/>
      <c r="BP204" s="418"/>
      <c r="BQ204" s="418"/>
      <c r="BR204" s="418"/>
      <c r="BS204" s="418">
        <f>'331-соус с томатом'!C20/'331-соус с томатом'!C27*1000*'288-птица отвар окор.'!C27</f>
        <v>2.2499999999999998E-3</v>
      </c>
      <c r="BT204" s="418"/>
      <c r="BU204" s="418"/>
      <c r="BV204" s="418"/>
      <c r="BW204" s="418"/>
      <c r="BX204" s="418"/>
      <c r="BY204" s="418"/>
      <c r="BZ204" s="418"/>
      <c r="CA204" s="418"/>
      <c r="CB204" s="418"/>
      <c r="CC204" s="418"/>
      <c r="CD204" s="418"/>
      <c r="CE204" s="418"/>
      <c r="CF204" s="418"/>
      <c r="CG204" s="418"/>
      <c r="CH204" s="418"/>
      <c r="CI204" s="418"/>
      <c r="CJ204" s="418"/>
      <c r="CK204" s="418"/>
      <c r="CL204" s="418"/>
      <c r="CM204" s="418"/>
      <c r="CN204" s="418"/>
      <c r="CO204" s="418"/>
      <c r="CP204" s="418"/>
      <c r="CQ204" s="418"/>
      <c r="CR204" s="418"/>
      <c r="CS204" s="482">
        <f>'288-птица отвар окор.'!C24+('331-соус с томатом'!C23/'331-соус с томатом'!C27*1000*'288-птица отвар окор.'!C27)</f>
        <v>1E-4</v>
      </c>
      <c r="CT204" s="418"/>
      <c r="CU204" s="418"/>
      <c r="CV204" s="418"/>
      <c r="CW204" s="418"/>
      <c r="CX204" s="418"/>
      <c r="CY204" s="418"/>
      <c r="CZ204" s="418"/>
      <c r="DA204" s="418"/>
      <c r="DB204" s="418"/>
      <c r="DC204" s="482">
        <f>'288-птица отвар окор.'!C22+('331-соус с томатом'!C24/'331-соус с томатом'!C27*1000*'288-птица отвар окор.'!C27)</f>
        <v>3.2399999999999998E-3</v>
      </c>
      <c r="DD204" s="430"/>
      <c r="DE204" s="430"/>
      <c r="DF204" s="430">
        <f>'331-соус с томатом'!C22/'331-соус с томатом'!C27*1000*'288-птица отвар окор.'!C27</f>
        <v>3.0000000000000001E-3</v>
      </c>
      <c r="DG204" s="430"/>
      <c r="DH204" s="430"/>
      <c r="DI204" s="430"/>
      <c r="DJ204" s="430"/>
      <c r="DK204" s="430"/>
      <c r="DL204" s="430"/>
      <c r="DM204" s="430"/>
      <c r="DN204" s="430"/>
      <c r="DO204" s="430"/>
      <c r="DP204" s="430"/>
      <c r="DQ204" s="430"/>
      <c r="DR204" s="430"/>
      <c r="DS204" s="430"/>
      <c r="DT204" s="430"/>
      <c r="DU204" s="430"/>
      <c r="DV204" s="430"/>
      <c r="DW204" s="430"/>
      <c r="DX204" s="430"/>
      <c r="DY204" s="430"/>
      <c r="DZ204" s="430"/>
      <c r="EA204" s="430"/>
      <c r="EB204" s="430"/>
      <c r="EC204" s="430"/>
      <c r="ED204" s="430"/>
      <c r="EE204" s="430"/>
      <c r="EF204" s="430"/>
      <c r="EG204" s="430"/>
      <c r="EH204" s="430"/>
      <c r="EI204" s="430"/>
      <c r="EJ204" s="430"/>
      <c r="EK204" s="430"/>
      <c r="EL204" s="430"/>
      <c r="EM204" s="430"/>
      <c r="EN204" s="430"/>
      <c r="EO204" s="430"/>
      <c r="EP204" s="430"/>
      <c r="EQ204" s="430"/>
      <c r="ER204" s="430"/>
      <c r="ES204" s="430"/>
      <c r="ET204" s="430"/>
      <c r="EU204" s="430"/>
      <c r="EV204" s="430"/>
      <c r="EW204" s="430"/>
      <c r="EX204" s="430"/>
      <c r="EY204" s="1032">
        <f t="shared" si="18"/>
        <v>9.7089999999999996E-2</v>
      </c>
      <c r="EZ204" s="616"/>
      <c r="FA204" s="616"/>
      <c r="FB204" s="616"/>
      <c r="FC204" s="616"/>
      <c r="FD204" s="616"/>
      <c r="FE204" s="616"/>
      <c r="FF204" s="616"/>
      <c r="FG204" s="616"/>
      <c r="FH204" s="616"/>
      <c r="FI204" s="616"/>
      <c r="FJ204" s="616"/>
    </row>
    <row r="205" spans="1:166" s="506" customFormat="1" ht="14.7" customHeight="1" x14ac:dyDescent="0.25">
      <c r="A205" s="421">
        <v>201</v>
      </c>
      <c r="B205" s="417" t="str">
        <f>'288-птица отвар филе'!A9</f>
        <v>Птица отварная (филе)</v>
      </c>
      <c r="C205" s="419">
        <f>'288-птица отвар филе'!C32</f>
        <v>80</v>
      </c>
      <c r="D205" s="1209">
        <f>11.74/55*C205</f>
        <v>17.079999999999998</v>
      </c>
      <c r="E205" s="1209">
        <f>12.81/55*C205</f>
        <v>18.63</v>
      </c>
      <c r="F205" s="1209">
        <f>0.24/55*C205</f>
        <v>0.35</v>
      </c>
      <c r="G205" s="1216">
        <f>164/55*C205</f>
        <v>239</v>
      </c>
      <c r="H205" s="419">
        <f>'288-птица отвар филе'!J7</f>
        <v>288</v>
      </c>
      <c r="I205" s="483">
        <f>'288-птица отвар филе'!F34</f>
        <v>30.17</v>
      </c>
      <c r="J205" s="418"/>
      <c r="K205" s="418"/>
      <c r="L205" s="418"/>
      <c r="M205" s="482">
        <f>'288-птица отвар филе'!C19</f>
        <v>7.1999999999999995E-2</v>
      </c>
      <c r="N205" s="482"/>
      <c r="O205" s="482"/>
      <c r="P205" s="482"/>
      <c r="Q205" s="482"/>
      <c r="R205" s="482"/>
      <c r="S205" s="482"/>
      <c r="T205" s="482"/>
      <c r="U205" s="482"/>
      <c r="V205" s="482">
        <f>'288-птица отвар филе'!C26</f>
        <v>5.0000000000000001E-3</v>
      </c>
      <c r="W205" s="482"/>
      <c r="X205" s="482"/>
      <c r="Y205" s="482">
        <f>'331-соус с томатом'!C19/'331-соус с томатом'!C27*1000*'288-птица отвар филе'!C27</f>
        <v>7.4999999999999997E-3</v>
      </c>
      <c r="Z205" s="482"/>
      <c r="AA205" s="482"/>
      <c r="AB205" s="482"/>
      <c r="AC205" s="482"/>
      <c r="AD205" s="482"/>
      <c r="AE205" s="482"/>
      <c r="AF205" s="482"/>
      <c r="AG205" s="482"/>
      <c r="AH205" s="482"/>
      <c r="AI205" s="482"/>
      <c r="AJ205" s="482"/>
      <c r="AK205" s="482">
        <f>'288-птица отвар филе'!C20</f>
        <v>2.5000000000000001E-3</v>
      </c>
      <c r="AL205" s="482"/>
      <c r="AM205" s="482"/>
      <c r="AN205" s="482"/>
      <c r="AO205" s="482"/>
      <c r="AP205" s="482"/>
      <c r="AQ205" s="482"/>
      <c r="AR205" s="482"/>
      <c r="AS205" s="482"/>
      <c r="AT205" s="482">
        <f>'288-птица отвар филе'!C21</f>
        <v>1.5E-3</v>
      </c>
      <c r="AU205" s="482">
        <f>'288-птица отвар филе'!C23</f>
        <v>1E-3</v>
      </c>
      <c r="AV205" s="482"/>
      <c r="AW205" s="482"/>
      <c r="AX205" s="482"/>
      <c r="AY205" s="482"/>
      <c r="AZ205" s="482"/>
      <c r="BA205" s="482"/>
      <c r="BB205" s="482"/>
      <c r="BC205" s="482"/>
      <c r="BD205" s="482"/>
      <c r="BE205" s="482"/>
      <c r="BF205" s="482"/>
      <c r="BG205" s="482"/>
      <c r="BH205" s="482"/>
      <c r="BI205" s="482"/>
      <c r="BJ205" s="482"/>
      <c r="BK205" s="482"/>
      <c r="BL205" s="482"/>
      <c r="BM205" s="482"/>
      <c r="BN205" s="482"/>
      <c r="BO205" s="482"/>
      <c r="BP205" s="482"/>
      <c r="BQ205" s="482"/>
      <c r="BR205" s="482"/>
      <c r="BS205" s="482">
        <f>'331-соус с томатом'!C20/'331-соус с томатом'!C27*1000*'288-птица отвар окор.'!C27</f>
        <v>2.2499999999999998E-3</v>
      </c>
      <c r="BT205" s="482"/>
      <c r="BU205" s="482"/>
      <c r="BV205" s="482"/>
      <c r="BW205" s="482"/>
      <c r="BX205" s="482"/>
      <c r="BY205" s="482"/>
      <c r="BZ205" s="482"/>
      <c r="CA205" s="482"/>
      <c r="CB205" s="482"/>
      <c r="CC205" s="482"/>
      <c r="CD205" s="482"/>
      <c r="CE205" s="482"/>
      <c r="CF205" s="482"/>
      <c r="CG205" s="482"/>
      <c r="CH205" s="482"/>
      <c r="CI205" s="482"/>
      <c r="CJ205" s="482"/>
      <c r="CK205" s="482"/>
      <c r="CL205" s="482"/>
      <c r="CM205" s="482"/>
      <c r="CN205" s="482"/>
      <c r="CO205" s="482"/>
      <c r="CP205" s="482"/>
      <c r="CQ205" s="482"/>
      <c r="CR205" s="482"/>
      <c r="CS205" s="482">
        <f>'288-птица отвар филе'!C24+('331-соус с томатом'!C23/'331-соус с томатом'!C27*1000*'288-птица отвар филе'!C27)</f>
        <v>1E-4</v>
      </c>
      <c r="CT205" s="482"/>
      <c r="CU205" s="482"/>
      <c r="CV205" s="482"/>
      <c r="CW205" s="482"/>
      <c r="CX205" s="482"/>
      <c r="CY205" s="482"/>
      <c r="CZ205" s="482"/>
      <c r="DA205" s="482"/>
      <c r="DB205" s="482"/>
      <c r="DC205" s="482">
        <f>'288-птица отвар филе'!C22+('331-соус с томатом'!C24/'331-соус с томатом'!C27*1000*'288-птица отвар филе'!C27)</f>
        <v>3.2399999999999998E-3</v>
      </c>
      <c r="DD205" s="482"/>
      <c r="DE205" s="482"/>
      <c r="DF205" s="482">
        <f>'331-соус с томатом'!C22/'331-соус с томатом'!C27*1000*'288-птица отвар филе'!C27</f>
        <v>3.0000000000000001E-3</v>
      </c>
      <c r="DG205" s="482"/>
      <c r="DH205" s="482"/>
      <c r="DI205" s="482"/>
      <c r="DJ205" s="482"/>
      <c r="DK205" s="482"/>
      <c r="DL205" s="482"/>
      <c r="DM205" s="482"/>
      <c r="DN205" s="482"/>
      <c r="DO205" s="482"/>
      <c r="DP205" s="482"/>
      <c r="DQ205" s="482"/>
      <c r="DR205" s="482"/>
      <c r="DS205" s="482"/>
      <c r="DT205" s="482"/>
      <c r="DU205" s="482"/>
      <c r="DV205" s="482"/>
      <c r="DW205" s="482"/>
      <c r="DX205" s="482"/>
      <c r="DY205" s="482"/>
      <c r="DZ205" s="482"/>
      <c r="EA205" s="482"/>
      <c r="EB205" s="482"/>
      <c r="EC205" s="482"/>
      <c r="ED205" s="482"/>
      <c r="EE205" s="482"/>
      <c r="EF205" s="482"/>
      <c r="EG205" s="482"/>
      <c r="EH205" s="482"/>
      <c r="EI205" s="482"/>
      <c r="EJ205" s="482"/>
      <c r="EK205" s="482"/>
      <c r="EL205" s="430"/>
      <c r="EM205" s="430"/>
      <c r="EN205" s="430"/>
      <c r="EO205" s="430"/>
      <c r="EP205" s="430"/>
      <c r="EQ205" s="430"/>
      <c r="ER205" s="430"/>
      <c r="ES205" s="430"/>
      <c r="ET205" s="430"/>
      <c r="EU205" s="430"/>
      <c r="EV205" s="430"/>
      <c r="EW205" s="430"/>
      <c r="EX205" s="430"/>
      <c r="EY205" s="1032">
        <f t="shared" si="18"/>
        <v>9.8089999999999997E-2</v>
      </c>
      <c r="EZ205" s="616"/>
      <c r="FA205" s="616"/>
      <c r="FB205" s="616"/>
      <c r="FC205" s="616"/>
      <c r="FD205" s="616"/>
      <c r="FE205" s="616"/>
      <c r="FF205" s="616"/>
      <c r="FG205" s="616"/>
      <c r="FH205" s="616"/>
      <c r="FI205" s="616"/>
      <c r="FJ205" s="616"/>
    </row>
    <row r="206" spans="1:166" ht="14.7" customHeight="1" x14ac:dyDescent="0.25">
      <c r="A206" s="421">
        <v>202</v>
      </c>
      <c r="B206" s="417" t="str">
        <f>'289 Рагу из окорочка'!A9</f>
        <v>Рагу из куриных окорочков</v>
      </c>
      <c r="C206" s="419">
        <f>'289 Рагу из окорочка'!C36</f>
        <v>175</v>
      </c>
      <c r="D206" s="1211">
        <f>12/175*C206</f>
        <v>12</v>
      </c>
      <c r="E206" s="1211">
        <f>11.27/175*C206</f>
        <v>11.27</v>
      </c>
      <c r="F206" s="1211">
        <f>15.2/175*C206</f>
        <v>15.2</v>
      </c>
      <c r="G206" s="1212">
        <f>210/175*C206</f>
        <v>210</v>
      </c>
      <c r="H206" s="419">
        <f>'289 Рагу из окорочка'!J7</f>
        <v>289</v>
      </c>
      <c r="I206" s="1234">
        <f>'289 Рагу из окорочка'!F38</f>
        <v>24.19</v>
      </c>
      <c r="J206" s="330"/>
      <c r="K206" s="330">
        <f>'289 Рагу из окорочка'!C19</f>
        <v>7.5999999999999998E-2</v>
      </c>
      <c r="L206" s="330"/>
      <c r="M206" s="330"/>
      <c r="N206" s="330"/>
      <c r="O206" s="330"/>
      <c r="P206" s="330"/>
      <c r="Q206" s="330"/>
      <c r="R206" s="330"/>
      <c r="S206" s="330"/>
      <c r="T206" s="330"/>
      <c r="U206" s="330"/>
      <c r="V206" s="330"/>
      <c r="W206" s="330"/>
      <c r="X206" s="330"/>
      <c r="Y206" s="330"/>
      <c r="Z206" s="330"/>
      <c r="AA206" s="330"/>
      <c r="AB206" s="330"/>
      <c r="AC206" s="330"/>
      <c r="AD206" s="330"/>
      <c r="AE206" s="330"/>
      <c r="AF206" s="330"/>
      <c r="AG206" s="330"/>
      <c r="AH206" s="330">
        <f>'289 Рагу из окорочка'!C22</f>
        <v>0.107</v>
      </c>
      <c r="AI206" s="330"/>
      <c r="AJ206" s="330"/>
      <c r="AK206" s="330">
        <f>'289 Рагу из окорочка'!C25</f>
        <v>1.2E-2</v>
      </c>
      <c r="AL206" s="330"/>
      <c r="AM206" s="330"/>
      <c r="AN206" s="330"/>
      <c r="AO206" s="330"/>
      <c r="AP206" s="330"/>
      <c r="AQ206" s="330">
        <f>'289 Рагу из окорочка'!C23</f>
        <v>2.1000000000000001E-2</v>
      </c>
      <c r="AR206" s="330"/>
      <c r="AS206" s="330"/>
      <c r="AT206" s="330"/>
      <c r="AU206" s="330">
        <f>'289 Рагу из окорочка'!C31</f>
        <v>1E-3</v>
      </c>
      <c r="AV206" s="330"/>
      <c r="AW206" s="330"/>
      <c r="AX206" s="330"/>
      <c r="AY206" s="330"/>
      <c r="AZ206" s="330"/>
      <c r="BA206" s="330"/>
      <c r="BB206" s="330"/>
      <c r="BC206" s="330"/>
      <c r="BD206" s="330"/>
      <c r="BE206" s="330"/>
      <c r="BF206" s="330"/>
      <c r="BG206" s="330"/>
      <c r="BH206" s="330"/>
      <c r="BI206" s="330"/>
      <c r="BJ206" s="330"/>
      <c r="BK206" s="330"/>
      <c r="BL206" s="330"/>
      <c r="BM206" s="330"/>
      <c r="BN206" s="330"/>
      <c r="BO206" s="330"/>
      <c r="BP206" s="330"/>
      <c r="BQ206" s="330"/>
      <c r="BR206" s="330"/>
      <c r="BS206" s="330">
        <f>'289 Рагу из окорочка'!C29</f>
        <v>1E-3</v>
      </c>
      <c r="BT206" s="330"/>
      <c r="BU206" s="330"/>
      <c r="BV206" s="330"/>
      <c r="BW206" s="330"/>
      <c r="BX206" s="330"/>
      <c r="BY206" s="330"/>
      <c r="BZ206" s="330"/>
      <c r="CA206" s="330"/>
      <c r="CB206" s="330"/>
      <c r="CC206" s="330"/>
      <c r="CD206" s="330"/>
      <c r="CE206" s="330"/>
      <c r="CF206" s="330">
        <f>'289 Рагу из окорочка'!C20+'289 Рагу из окорочка'!C28</f>
        <v>6.0000000000000001E-3</v>
      </c>
      <c r="CG206" s="330"/>
      <c r="CH206" s="330"/>
      <c r="CI206" s="330"/>
      <c r="CJ206" s="330"/>
      <c r="CK206" s="330"/>
      <c r="CL206" s="330"/>
      <c r="CM206" s="330"/>
      <c r="CN206" s="330"/>
      <c r="CO206" s="330"/>
      <c r="CP206" s="330"/>
      <c r="CQ206" s="330"/>
      <c r="CR206" s="330"/>
      <c r="CS206" s="330">
        <f>'289 Рагу из окорочка'!C27</f>
        <v>1.0000000000000001E-5</v>
      </c>
      <c r="CT206" s="330"/>
      <c r="CU206" s="330"/>
      <c r="CV206" s="330"/>
      <c r="CW206" s="330"/>
      <c r="CX206" s="330"/>
      <c r="CY206" s="330"/>
      <c r="CZ206" s="330"/>
      <c r="DA206" s="330"/>
      <c r="DB206" s="330"/>
      <c r="DC206" s="330">
        <f>'289 Рагу из окорочка'!C26</f>
        <v>3.0000000000000001E-3</v>
      </c>
      <c r="DD206" s="330"/>
      <c r="DE206" s="330"/>
      <c r="DF206" s="330">
        <f>'289 Рагу из окорочка'!C24</f>
        <v>6.0000000000000001E-3</v>
      </c>
      <c r="DG206" s="330"/>
      <c r="DH206" s="330"/>
      <c r="DI206" s="330"/>
      <c r="DJ206" s="330"/>
      <c r="DK206" s="330"/>
      <c r="DL206" s="330"/>
      <c r="DM206" s="330"/>
      <c r="DN206" s="330"/>
      <c r="DO206" s="330"/>
      <c r="DP206" s="330"/>
      <c r="DQ206" s="330"/>
      <c r="DR206" s="330"/>
      <c r="DS206" s="330"/>
      <c r="DT206" s="330"/>
      <c r="DU206" s="330"/>
      <c r="DV206" s="330"/>
      <c r="DW206" s="330"/>
      <c r="DX206" s="330"/>
      <c r="DY206" s="330"/>
      <c r="DZ206" s="330"/>
      <c r="EA206" s="330"/>
      <c r="EB206" s="330"/>
      <c r="EC206" s="330"/>
      <c r="ED206" s="330"/>
      <c r="EE206" s="330"/>
      <c r="EF206" s="330"/>
      <c r="EG206" s="330"/>
      <c r="EH206" s="330"/>
      <c r="EI206" s="330"/>
      <c r="EJ206" s="330"/>
      <c r="EK206" s="330"/>
      <c r="EL206" s="330"/>
      <c r="EM206" s="330"/>
      <c r="EN206" s="330"/>
      <c r="EO206" s="330"/>
      <c r="EP206" s="330"/>
      <c r="EQ206" s="330"/>
      <c r="ER206" s="330"/>
      <c r="ES206" s="330"/>
      <c r="ET206" s="330"/>
      <c r="EU206" s="330"/>
      <c r="EV206" s="330"/>
      <c r="EW206" s="330"/>
      <c r="EX206" s="330"/>
      <c r="EY206" s="1032">
        <f t="shared" si="18"/>
        <v>0.23300999999999999</v>
      </c>
    </row>
    <row r="207" spans="1:166" s="497" customFormat="1" ht="14.7" customHeight="1" x14ac:dyDescent="0.25">
      <c r="A207" s="421">
        <v>203</v>
      </c>
      <c r="B207" s="417" t="str">
        <f>'289 Рагу из птицы '!A9</f>
        <v>Рагу из птицы</v>
      </c>
      <c r="C207" s="419">
        <f>'289 Рагу из птицы '!C36</f>
        <v>175</v>
      </c>
      <c r="D207" s="1211">
        <f>12.56/175*C207</f>
        <v>12.56</v>
      </c>
      <c r="E207" s="1211">
        <f>11.72/175*C207</f>
        <v>11.72</v>
      </c>
      <c r="F207" s="1211">
        <f>15.2/175*C207</f>
        <v>15.2</v>
      </c>
      <c r="G207" s="1212">
        <f>217/175*C207</f>
        <v>217</v>
      </c>
      <c r="H207" s="419">
        <f>'289 Рагу из птицы '!J7</f>
        <v>289</v>
      </c>
      <c r="I207" s="483">
        <f>'289 Рагу из птицы '!F38</f>
        <v>30.19</v>
      </c>
      <c r="J207" s="330"/>
      <c r="K207" s="330"/>
      <c r="L207" s="330">
        <f>'289 Рагу из птицы '!C19</f>
        <v>0.106</v>
      </c>
      <c r="M207" s="330"/>
      <c r="N207" s="330"/>
      <c r="O207" s="330"/>
      <c r="P207" s="330"/>
      <c r="Q207" s="330"/>
      <c r="R207" s="330"/>
      <c r="S207" s="330"/>
      <c r="T207" s="330"/>
      <c r="U207" s="330"/>
      <c r="V207" s="330"/>
      <c r="W207" s="330"/>
      <c r="X207" s="330"/>
      <c r="Y207" s="330"/>
      <c r="Z207" s="330"/>
      <c r="AA207" s="330"/>
      <c r="AB207" s="330"/>
      <c r="AC207" s="330"/>
      <c r="AD207" s="330"/>
      <c r="AE207" s="330"/>
      <c r="AF207" s="330"/>
      <c r="AG207" s="330"/>
      <c r="AH207" s="330">
        <f>'289 Рагу из птицы '!C22</f>
        <v>0.107</v>
      </c>
      <c r="AI207" s="330"/>
      <c r="AJ207" s="330"/>
      <c r="AK207" s="330">
        <f>'289 Рагу из птицы '!C25</f>
        <v>1.2E-2</v>
      </c>
      <c r="AL207" s="330"/>
      <c r="AM207" s="330"/>
      <c r="AN207" s="330"/>
      <c r="AO207" s="330"/>
      <c r="AP207" s="330"/>
      <c r="AQ207" s="330">
        <f>'289 Рагу из птицы '!C23</f>
        <v>2.1000000000000001E-2</v>
      </c>
      <c r="AR207" s="330"/>
      <c r="AS207" s="330"/>
      <c r="AT207" s="330"/>
      <c r="AU207" s="330">
        <f>'289 Рагу из птицы '!C31</f>
        <v>1E-3</v>
      </c>
      <c r="AV207" s="330"/>
      <c r="AW207" s="330"/>
      <c r="AX207" s="330"/>
      <c r="AY207" s="330"/>
      <c r="AZ207" s="330"/>
      <c r="BA207" s="330"/>
      <c r="BB207" s="330"/>
      <c r="BC207" s="330"/>
      <c r="BD207" s="330"/>
      <c r="BE207" s="330"/>
      <c r="BF207" s="330"/>
      <c r="BG207" s="330"/>
      <c r="BH207" s="330"/>
      <c r="BI207" s="330"/>
      <c r="BJ207" s="330"/>
      <c r="BK207" s="330"/>
      <c r="BL207" s="330"/>
      <c r="BM207" s="330"/>
      <c r="BN207" s="330"/>
      <c r="BO207" s="330"/>
      <c r="BP207" s="330"/>
      <c r="BQ207" s="330"/>
      <c r="BR207" s="330"/>
      <c r="BS207" s="330">
        <f>'289 Рагу из птицы '!C29</f>
        <v>1E-3</v>
      </c>
      <c r="BT207" s="330"/>
      <c r="BU207" s="330"/>
      <c r="BV207" s="330"/>
      <c r="BW207" s="330"/>
      <c r="BX207" s="330"/>
      <c r="BY207" s="330"/>
      <c r="BZ207" s="330"/>
      <c r="CA207" s="330"/>
      <c r="CB207" s="330"/>
      <c r="CC207" s="330"/>
      <c r="CD207" s="330"/>
      <c r="CE207" s="330"/>
      <c r="CF207" s="330">
        <f>'289 Рагу из птицы '!C20+'289 Рагу из птицы '!C28</f>
        <v>6.0000000000000001E-3</v>
      </c>
      <c r="CG207" s="330"/>
      <c r="CH207" s="330"/>
      <c r="CI207" s="330"/>
      <c r="CJ207" s="330"/>
      <c r="CK207" s="330"/>
      <c r="CL207" s="330"/>
      <c r="CM207" s="330"/>
      <c r="CN207" s="330"/>
      <c r="CO207" s="330"/>
      <c r="CP207" s="330"/>
      <c r="CQ207" s="330"/>
      <c r="CR207" s="330"/>
      <c r="CS207" s="330">
        <f>'289 Рагу из птицы '!C27</f>
        <v>1.0000000000000001E-5</v>
      </c>
      <c r="CT207" s="330"/>
      <c r="CU207" s="330"/>
      <c r="CV207" s="330"/>
      <c r="CW207" s="330"/>
      <c r="CX207" s="330"/>
      <c r="CY207" s="330"/>
      <c r="CZ207" s="330"/>
      <c r="DA207" s="330"/>
      <c r="DB207" s="330"/>
      <c r="DC207" s="330">
        <f>'289 Рагу из птицы '!C26</f>
        <v>3.0000000000000001E-3</v>
      </c>
      <c r="DD207" s="330"/>
      <c r="DE207" s="330"/>
      <c r="DF207" s="330">
        <f>'289 Рагу из птицы '!C24</f>
        <v>6.0000000000000001E-3</v>
      </c>
      <c r="DG207" s="330"/>
      <c r="DH207" s="330"/>
      <c r="DI207" s="330"/>
      <c r="DJ207" s="330"/>
      <c r="DK207" s="330"/>
      <c r="DL207" s="330"/>
      <c r="DM207" s="330"/>
      <c r="DN207" s="330"/>
      <c r="DO207" s="330"/>
      <c r="DP207" s="330"/>
      <c r="DQ207" s="330"/>
      <c r="DR207" s="330"/>
      <c r="DS207" s="330"/>
      <c r="DT207" s="330"/>
      <c r="DU207" s="330"/>
      <c r="DV207" s="330"/>
      <c r="DW207" s="330"/>
      <c r="DX207" s="330"/>
      <c r="DY207" s="330"/>
      <c r="DZ207" s="330"/>
      <c r="EA207" s="330"/>
      <c r="EB207" s="330"/>
      <c r="EC207" s="330"/>
      <c r="ED207" s="330"/>
      <c r="EE207" s="330"/>
      <c r="EF207" s="330"/>
      <c r="EG207" s="330"/>
      <c r="EH207" s="330"/>
      <c r="EI207" s="330"/>
      <c r="EJ207" s="330"/>
      <c r="EK207" s="330"/>
      <c r="EL207" s="330"/>
      <c r="EM207" s="330"/>
      <c r="EN207" s="330"/>
      <c r="EO207" s="330"/>
      <c r="EP207" s="330"/>
      <c r="EQ207" s="330"/>
      <c r="ER207" s="330"/>
      <c r="ES207" s="330"/>
      <c r="ET207" s="330"/>
      <c r="EU207" s="330"/>
      <c r="EV207" s="330"/>
      <c r="EW207" s="330"/>
      <c r="EX207" s="330"/>
      <c r="EY207" s="1032">
        <f t="shared" si="18"/>
        <v>0.26301000000000002</v>
      </c>
      <c r="EZ207" s="616"/>
      <c r="FA207" s="616"/>
      <c r="FB207" s="616"/>
      <c r="FC207" s="616"/>
      <c r="FD207" s="616"/>
      <c r="FE207" s="616"/>
      <c r="FF207" s="616"/>
      <c r="FG207" s="616"/>
      <c r="FH207" s="616"/>
      <c r="FI207" s="616"/>
      <c r="FJ207" s="616"/>
    </row>
    <row r="208" spans="1:166" ht="14.7" customHeight="1" x14ac:dyDescent="0.25">
      <c r="A208" s="421">
        <v>204</v>
      </c>
      <c r="B208" s="417" t="str">
        <f>'290 птица туш.окор.'!A9</f>
        <v>Птица  (окорочка) тушенная в соусе</v>
      </c>
      <c r="C208" s="419">
        <f>'290 птица туш.окор.'!C31</f>
        <v>100</v>
      </c>
      <c r="D208" s="1211">
        <f>10.93/100*C208</f>
        <v>10.93</v>
      </c>
      <c r="E208" s="1211">
        <f>10.47/100*C208</f>
        <v>10.47</v>
      </c>
      <c r="F208" s="1211">
        <f>2.93/100*C208</f>
        <v>2.93</v>
      </c>
      <c r="G208" s="1212">
        <f>150/100*C208</f>
        <v>150</v>
      </c>
      <c r="H208" s="419">
        <f>'290 птица туш.окор.'!J7</f>
        <v>290</v>
      </c>
      <c r="I208" s="1234">
        <f>'290 птица туш.окор.'!F33</f>
        <v>20.39</v>
      </c>
      <c r="J208" s="330"/>
      <c r="K208" s="330">
        <f>'290 птица туш.окор.'!C19</f>
        <v>7.9000000000000001E-2</v>
      </c>
      <c r="L208" s="330"/>
      <c r="M208" s="330"/>
      <c r="N208" s="330"/>
      <c r="O208" s="330"/>
      <c r="P208" s="330"/>
      <c r="Q208" s="330"/>
      <c r="R208" s="330"/>
      <c r="S208" s="330"/>
      <c r="T208" s="330"/>
      <c r="U208" s="330"/>
      <c r="V208" s="330"/>
      <c r="W208" s="330"/>
      <c r="X208" s="330"/>
      <c r="Y208" s="330">
        <f>'331-соус с томатом'!C19/'331-соус с томатом'!C27*1000*'290 птица туш.окор.'!C26</f>
        <v>1.2500000000000001E-2</v>
      </c>
      <c r="Z208" s="330"/>
      <c r="AA208" s="330"/>
      <c r="AB208" s="330"/>
      <c r="AC208" s="330"/>
      <c r="AD208" s="330"/>
      <c r="AE208" s="330"/>
      <c r="AF208" s="330"/>
      <c r="AG208" s="330"/>
      <c r="AH208" s="330"/>
      <c r="AI208" s="330"/>
      <c r="AJ208" s="330"/>
      <c r="AK208" s="330"/>
      <c r="AL208" s="330">
        <f>'290 птица туш.окор.'!C22</f>
        <v>1E-3</v>
      </c>
      <c r="AM208" s="330"/>
      <c r="AN208" s="330"/>
      <c r="AO208" s="330"/>
      <c r="AP208" s="330"/>
      <c r="AQ208" s="330"/>
      <c r="AR208" s="330"/>
      <c r="AS208" s="330"/>
      <c r="AT208" s="330"/>
      <c r="AU208" s="330">
        <f>'290 птица туш.окор.'!C23</f>
        <v>1E-3</v>
      </c>
      <c r="AV208" s="330"/>
      <c r="AW208" s="330"/>
      <c r="AX208" s="330"/>
      <c r="AY208" s="330"/>
      <c r="AZ208" s="330"/>
      <c r="BA208" s="330"/>
      <c r="BB208" s="330"/>
      <c r="BC208" s="330"/>
      <c r="BD208" s="330"/>
      <c r="BE208" s="330"/>
      <c r="BF208" s="330"/>
      <c r="BG208" s="330"/>
      <c r="BH208" s="330"/>
      <c r="BI208" s="330"/>
      <c r="BJ208" s="330"/>
      <c r="BK208" s="330"/>
      <c r="BL208" s="330"/>
      <c r="BM208" s="330"/>
      <c r="BN208" s="330"/>
      <c r="BO208" s="330"/>
      <c r="BP208" s="330"/>
      <c r="BQ208" s="330"/>
      <c r="BR208" s="330"/>
      <c r="BS208" s="330">
        <f>'331-соус с томатом'!C20/'331-соус с томатом'!C27*1000*'290 птица туш.окор.'!C26</f>
        <v>3.7499999999999999E-3</v>
      </c>
      <c r="BT208" s="330"/>
      <c r="BU208" s="330"/>
      <c r="BV208" s="330"/>
      <c r="BW208" s="330"/>
      <c r="BX208" s="330"/>
      <c r="BY208" s="330"/>
      <c r="BZ208" s="330"/>
      <c r="CA208" s="330"/>
      <c r="CB208" s="330"/>
      <c r="CC208" s="330"/>
      <c r="CD208" s="330"/>
      <c r="CE208" s="330"/>
      <c r="CF208" s="330">
        <f>'290 птица туш.окор.'!C20</f>
        <v>2E-3</v>
      </c>
      <c r="CG208" s="330"/>
      <c r="CH208" s="330"/>
      <c r="CI208" s="330"/>
      <c r="CJ208" s="330"/>
      <c r="CK208" s="330"/>
      <c r="CL208" s="330"/>
      <c r="CM208" s="330"/>
      <c r="CN208" s="330"/>
      <c r="CO208" s="330"/>
      <c r="CP208" s="330"/>
      <c r="CQ208" s="330"/>
      <c r="CR208" s="330"/>
      <c r="CS208" s="330">
        <f>'290 птица туш.окор.'!C21+('331-соус с томатом'!C23/'331-соус с томатом'!C27*1000*'290 птица туш.окор.'!C26)</f>
        <v>1.0000000000000001E-5</v>
      </c>
      <c r="CT208" s="330"/>
      <c r="CU208" s="330"/>
      <c r="CV208" s="330"/>
      <c r="CW208" s="330"/>
      <c r="CX208" s="330"/>
      <c r="CY208" s="330"/>
      <c r="CZ208" s="330"/>
      <c r="DA208" s="330"/>
      <c r="DB208" s="330"/>
      <c r="DC208" s="330">
        <f>'290 птица туш.окор.'!C24+('331-соус с томатом'!C24/'331-соус с томатом'!C27*1000*'290 птица туш.окор.'!C26)</f>
        <v>3.3999999999999998E-3</v>
      </c>
      <c r="DD208" s="330"/>
      <c r="DE208" s="330"/>
      <c r="DF208" s="330">
        <f>'331-соус с томатом'!C22/'331-соус с томатом'!C27*1000*'290 птица туш.окор.'!C26</f>
        <v>5.0000000000000001E-3</v>
      </c>
      <c r="DG208" s="330"/>
      <c r="DH208" s="330"/>
      <c r="DI208" s="330"/>
      <c r="DJ208" s="330"/>
      <c r="DK208" s="330"/>
      <c r="DL208" s="330"/>
      <c r="DM208" s="330"/>
      <c r="DN208" s="330"/>
      <c r="DO208" s="330"/>
      <c r="DP208" s="330"/>
      <c r="DQ208" s="330"/>
      <c r="DR208" s="330"/>
      <c r="DS208" s="330"/>
      <c r="DT208" s="330"/>
      <c r="DU208" s="330"/>
      <c r="DV208" s="330"/>
      <c r="DW208" s="330"/>
      <c r="DX208" s="330"/>
      <c r="DY208" s="330"/>
      <c r="DZ208" s="330"/>
      <c r="EA208" s="330"/>
      <c r="EB208" s="330"/>
      <c r="EC208" s="330"/>
      <c r="ED208" s="330"/>
      <c r="EE208" s="330"/>
      <c r="EF208" s="330"/>
      <c r="EG208" s="330"/>
      <c r="EH208" s="330"/>
      <c r="EI208" s="330"/>
      <c r="EJ208" s="330"/>
      <c r="EK208" s="330"/>
      <c r="EL208" s="330"/>
      <c r="EM208" s="330"/>
      <c r="EN208" s="330"/>
      <c r="EO208" s="330"/>
      <c r="EP208" s="330"/>
      <c r="EQ208" s="330"/>
      <c r="ER208" s="330"/>
      <c r="ES208" s="330"/>
      <c r="ET208" s="330"/>
      <c r="EU208" s="330"/>
      <c r="EV208" s="330"/>
      <c r="EW208" s="330"/>
      <c r="EX208" s="330"/>
      <c r="EY208" s="1032">
        <f t="shared" si="18"/>
        <v>0.10766000000000001</v>
      </c>
    </row>
    <row r="209" spans="1:166" s="528" customFormat="1" ht="14.7" customHeight="1" x14ac:dyDescent="0.25">
      <c r="A209" s="421">
        <v>205</v>
      </c>
      <c r="B209" s="417" t="str">
        <f>'290 птица туш.'!A9</f>
        <v>Птица  тушенная в соусе</v>
      </c>
      <c r="C209" s="419">
        <f>'290 птица туш.'!C31</f>
        <v>100</v>
      </c>
      <c r="D209" s="1211">
        <f>13.28/100*C209</f>
        <v>13.28</v>
      </c>
      <c r="E209" s="1211">
        <f>10.84/100*C209</f>
        <v>10.84</v>
      </c>
      <c r="F209" s="1211">
        <f>2.9/100*C209</f>
        <v>2.9</v>
      </c>
      <c r="G209" s="1212">
        <f>162/100*C209</f>
        <v>162</v>
      </c>
      <c r="H209" s="419">
        <f>'290 птица туш.'!J7</f>
        <v>290</v>
      </c>
      <c r="I209" s="483">
        <f>'290 птица туш.'!F33</f>
        <v>26.4</v>
      </c>
      <c r="J209" s="330"/>
      <c r="K209" s="330"/>
      <c r="L209" s="330">
        <f>'290 птица туш.'!C19</f>
        <v>0.109</v>
      </c>
      <c r="M209" s="330"/>
      <c r="N209" s="330"/>
      <c r="O209" s="330"/>
      <c r="P209" s="330"/>
      <c r="Q209" s="330"/>
      <c r="R209" s="330"/>
      <c r="S209" s="330"/>
      <c r="T209" s="330"/>
      <c r="U209" s="330"/>
      <c r="V209" s="330"/>
      <c r="W209" s="330"/>
      <c r="X209" s="330"/>
      <c r="Y209" s="330">
        <f>'331-соус с томатом'!C19/'331-соус с томатом'!C27*1000*'290 птица туш.'!C26</f>
        <v>1.2500000000000001E-2</v>
      </c>
      <c r="Z209" s="330"/>
      <c r="AA209" s="330"/>
      <c r="AB209" s="330"/>
      <c r="AC209" s="330"/>
      <c r="AD209" s="330"/>
      <c r="AE209" s="330"/>
      <c r="AF209" s="330"/>
      <c r="AG209" s="330"/>
      <c r="AH209" s="330"/>
      <c r="AI209" s="330"/>
      <c r="AJ209" s="330"/>
      <c r="AK209" s="330"/>
      <c r="AL209" s="330">
        <f>'290 птица туш.'!C22</f>
        <v>1E-3</v>
      </c>
      <c r="AM209" s="330"/>
      <c r="AN209" s="330"/>
      <c r="AO209" s="330"/>
      <c r="AP209" s="330"/>
      <c r="AQ209" s="330"/>
      <c r="AR209" s="330"/>
      <c r="AS209" s="330"/>
      <c r="AT209" s="330"/>
      <c r="AU209" s="330">
        <f>'290 птица туш.'!C23</f>
        <v>1E-3</v>
      </c>
      <c r="AV209" s="330"/>
      <c r="AW209" s="330"/>
      <c r="AX209" s="330"/>
      <c r="AY209" s="330"/>
      <c r="AZ209" s="330"/>
      <c r="BA209" s="330"/>
      <c r="BB209" s="330"/>
      <c r="BC209" s="330"/>
      <c r="BD209" s="330"/>
      <c r="BE209" s="330"/>
      <c r="BF209" s="330"/>
      <c r="BG209" s="330"/>
      <c r="BH209" s="330"/>
      <c r="BI209" s="330"/>
      <c r="BJ209" s="330"/>
      <c r="BK209" s="330"/>
      <c r="BL209" s="330"/>
      <c r="BM209" s="330"/>
      <c r="BN209" s="330"/>
      <c r="BO209" s="330"/>
      <c r="BP209" s="330"/>
      <c r="BQ209" s="330"/>
      <c r="BR209" s="330"/>
      <c r="BS209" s="330">
        <f>'331-соус с томатом'!C20/'331-соус с томатом'!C27*1000*'290 птица туш.'!C26</f>
        <v>3.7499999999999999E-3</v>
      </c>
      <c r="BT209" s="330"/>
      <c r="BU209" s="330"/>
      <c r="BV209" s="330"/>
      <c r="BW209" s="330"/>
      <c r="BX209" s="330"/>
      <c r="BY209" s="330"/>
      <c r="BZ209" s="330"/>
      <c r="CA209" s="330"/>
      <c r="CB209" s="330"/>
      <c r="CC209" s="330"/>
      <c r="CD209" s="330"/>
      <c r="CE209" s="330"/>
      <c r="CF209" s="330">
        <f>'290 птица туш.'!C20</f>
        <v>2E-3</v>
      </c>
      <c r="CG209" s="330"/>
      <c r="CH209" s="330"/>
      <c r="CI209" s="330"/>
      <c r="CJ209" s="330"/>
      <c r="CK209" s="330"/>
      <c r="CL209" s="330"/>
      <c r="CM209" s="330"/>
      <c r="CN209" s="330"/>
      <c r="CO209" s="330"/>
      <c r="CP209" s="330"/>
      <c r="CQ209" s="330"/>
      <c r="CR209" s="330"/>
      <c r="CS209" s="330">
        <f>'290 птица туш.'!C21+('331-соус с томатом'!C23/'331-соус с томатом'!C27*1000*'290 птица туш.'!C26)</f>
        <v>1.0000000000000001E-5</v>
      </c>
      <c r="CT209" s="330"/>
      <c r="CU209" s="330"/>
      <c r="CV209" s="330"/>
      <c r="CW209" s="330"/>
      <c r="CX209" s="330"/>
      <c r="CY209" s="330"/>
      <c r="CZ209" s="330"/>
      <c r="DA209" s="330"/>
      <c r="DB209" s="330"/>
      <c r="DC209" s="330">
        <f>'290 птица туш.'!C24+('331-соус с томатом'!C24/'331-соус с томатом'!C27*1000*'290 птица туш.'!C26)</f>
        <v>3.3999999999999998E-3</v>
      </c>
      <c r="DD209" s="330"/>
      <c r="DE209" s="330"/>
      <c r="DF209" s="330">
        <f>'331-соус с томатом'!C22/'331-соус с томатом'!C27*1000*'290 птица туш.'!C26</f>
        <v>5.0000000000000001E-3</v>
      </c>
      <c r="DG209" s="330"/>
      <c r="DH209" s="330"/>
      <c r="DI209" s="330"/>
      <c r="DJ209" s="330"/>
      <c r="DK209" s="330"/>
      <c r="DL209" s="330"/>
      <c r="DM209" s="330"/>
      <c r="DN209" s="330"/>
      <c r="DO209" s="330"/>
      <c r="DP209" s="330"/>
      <c r="DQ209" s="330"/>
      <c r="DR209" s="330"/>
      <c r="DS209" s="330"/>
      <c r="DT209" s="330"/>
      <c r="DU209" s="330"/>
      <c r="DV209" s="330"/>
      <c r="DW209" s="330"/>
      <c r="DX209" s="330"/>
      <c r="DY209" s="330"/>
      <c r="DZ209" s="330"/>
      <c r="EA209" s="330"/>
      <c r="EB209" s="330"/>
      <c r="EC209" s="330"/>
      <c r="ED209" s="330"/>
      <c r="EE209" s="330"/>
      <c r="EF209" s="330"/>
      <c r="EG209" s="330"/>
      <c r="EH209" s="330"/>
      <c r="EI209" s="330"/>
      <c r="EJ209" s="330"/>
      <c r="EK209" s="330"/>
      <c r="EL209" s="330"/>
      <c r="EM209" s="330"/>
      <c r="EN209" s="330"/>
      <c r="EO209" s="330"/>
      <c r="EP209" s="330"/>
      <c r="EQ209" s="330"/>
      <c r="ER209" s="330"/>
      <c r="ES209" s="330"/>
      <c r="ET209" s="330"/>
      <c r="EU209" s="330"/>
      <c r="EV209" s="330"/>
      <c r="EW209" s="330"/>
      <c r="EX209" s="330"/>
      <c r="EY209" s="1032">
        <f t="shared" si="18"/>
        <v>0.13766</v>
      </c>
      <c r="EZ209" s="616"/>
      <c r="FA209" s="616"/>
      <c r="FB209" s="616"/>
      <c r="FC209" s="616"/>
      <c r="FD209" s="616"/>
      <c r="FE209" s="616"/>
      <c r="FF209" s="616"/>
      <c r="FG209" s="616"/>
      <c r="FH209" s="616"/>
      <c r="FI209" s="616"/>
      <c r="FJ209" s="616"/>
    </row>
    <row r="210" spans="1:166" s="937" customFormat="1" ht="14.7" customHeight="1" x14ac:dyDescent="0.25">
      <c r="A210" s="421">
        <v>206</v>
      </c>
      <c r="B210" s="417" t="str">
        <f>'290 птица туш. 120г'!A9</f>
        <v>Птица  тушенная в соусе</v>
      </c>
      <c r="C210" s="419">
        <f>'290 птица туш. 120г'!C31</f>
        <v>120</v>
      </c>
      <c r="D210" s="1211">
        <f>13.28/100*C210</f>
        <v>15.94</v>
      </c>
      <c r="E210" s="1211">
        <f>10.84/100*C210</f>
        <v>13.01</v>
      </c>
      <c r="F210" s="1211">
        <f>2.9/100*C210</f>
        <v>3.48</v>
      </c>
      <c r="G210" s="1212">
        <f>162/100*C210</f>
        <v>194</v>
      </c>
      <c r="H210" s="419">
        <f>'290 птица туш. 120г'!J7</f>
        <v>290</v>
      </c>
      <c r="I210" s="1234">
        <f>'290 птица туш. 120г'!F33</f>
        <v>35.130000000000003</v>
      </c>
      <c r="J210" s="330"/>
      <c r="K210" s="330"/>
      <c r="L210" s="330">
        <f>'290 птица туш. 120г'!C19</f>
        <v>0.153</v>
      </c>
      <c r="M210" s="330"/>
      <c r="N210" s="330"/>
      <c r="O210" s="330"/>
      <c r="P210" s="330"/>
      <c r="Q210" s="330"/>
      <c r="R210" s="330"/>
      <c r="S210" s="330"/>
      <c r="T210" s="330"/>
      <c r="U210" s="330"/>
      <c r="V210" s="330"/>
      <c r="W210" s="330"/>
      <c r="X210" s="330"/>
      <c r="Y210" s="330">
        <f>'331-соус с томатом'!C19/'331-соус с томатом'!C27*1000*'290 птица туш. 120г'!C26</f>
        <v>1.2500000000000001E-2</v>
      </c>
      <c r="Z210" s="330"/>
      <c r="AA210" s="330"/>
      <c r="AB210" s="330"/>
      <c r="AC210" s="330"/>
      <c r="AD210" s="330"/>
      <c r="AE210" s="330"/>
      <c r="AF210" s="330"/>
      <c r="AG210" s="330"/>
      <c r="AH210" s="330"/>
      <c r="AI210" s="330"/>
      <c r="AJ210" s="330"/>
      <c r="AK210" s="330"/>
      <c r="AL210" s="330">
        <f>'290 птица туш. 120г'!C22</f>
        <v>1E-3</v>
      </c>
      <c r="AM210" s="330"/>
      <c r="AN210" s="330"/>
      <c r="AO210" s="330"/>
      <c r="AP210" s="330"/>
      <c r="AQ210" s="330"/>
      <c r="AR210" s="330"/>
      <c r="AS210" s="330"/>
      <c r="AT210" s="330"/>
      <c r="AU210" s="330">
        <f>'290 птица туш. 120г'!C23</f>
        <v>1E-3</v>
      </c>
      <c r="AV210" s="330"/>
      <c r="AW210" s="330"/>
      <c r="AX210" s="330"/>
      <c r="AY210" s="330"/>
      <c r="AZ210" s="330"/>
      <c r="BA210" s="330"/>
      <c r="BB210" s="330"/>
      <c r="BC210" s="330"/>
      <c r="BD210" s="330"/>
      <c r="BE210" s="330"/>
      <c r="BF210" s="330"/>
      <c r="BG210" s="330"/>
      <c r="BH210" s="330"/>
      <c r="BI210" s="330"/>
      <c r="BJ210" s="330"/>
      <c r="BK210" s="330"/>
      <c r="BL210" s="330"/>
      <c r="BM210" s="330"/>
      <c r="BN210" s="330"/>
      <c r="BO210" s="330"/>
      <c r="BP210" s="330"/>
      <c r="BQ210" s="330"/>
      <c r="BR210" s="330"/>
      <c r="BS210" s="330">
        <f>'331-соус с томатом'!C20/'331-соус с томатом'!C27*1000*'290 птица туш. 120г'!C26</f>
        <v>3.7499999999999999E-3</v>
      </c>
      <c r="BT210" s="330"/>
      <c r="BU210" s="330"/>
      <c r="BV210" s="330"/>
      <c r="BW210" s="330"/>
      <c r="BX210" s="330"/>
      <c r="BY210" s="330"/>
      <c r="BZ210" s="330"/>
      <c r="CA210" s="330"/>
      <c r="CB210" s="330"/>
      <c r="CC210" s="330"/>
      <c r="CD210" s="330"/>
      <c r="CE210" s="330"/>
      <c r="CF210" s="330">
        <f>'290 птица туш. 120г'!C20</f>
        <v>3.0000000000000001E-3</v>
      </c>
      <c r="CG210" s="330"/>
      <c r="CH210" s="330"/>
      <c r="CI210" s="330"/>
      <c r="CJ210" s="330"/>
      <c r="CK210" s="330"/>
      <c r="CL210" s="330"/>
      <c r="CM210" s="330"/>
      <c r="CN210" s="330"/>
      <c r="CO210" s="330"/>
      <c r="CP210" s="330"/>
      <c r="CQ210" s="330"/>
      <c r="CR210" s="330"/>
      <c r="CS210" s="330">
        <f>'290 птица туш. 120г'!C21+('331-соус с томатом'!C23/'331-соус с томатом'!C27*1000*'290 птица туш. 120г'!C26)</f>
        <v>1.0000000000000001E-5</v>
      </c>
      <c r="CT210" s="330"/>
      <c r="CU210" s="330"/>
      <c r="CV210" s="330"/>
      <c r="CW210" s="330"/>
      <c r="CX210" s="330"/>
      <c r="CY210" s="330"/>
      <c r="CZ210" s="330"/>
      <c r="DA210" s="330"/>
      <c r="DB210" s="330"/>
      <c r="DC210" s="330">
        <f>'290 птица туш. 120г'!C24+('331-соус с томатом'!C24/'331-соус с томатом'!C27*1000*'290 птица туш. 120г'!C26)</f>
        <v>4.4000000000000003E-3</v>
      </c>
      <c r="DD210" s="330"/>
      <c r="DE210" s="330"/>
      <c r="DF210" s="330">
        <f>'331-соус с томатом'!C22/'331-соус с томатом'!C27*1000*'290 птица туш. 120г'!C26</f>
        <v>5.0000000000000001E-3</v>
      </c>
      <c r="DG210" s="330"/>
      <c r="DH210" s="330"/>
      <c r="DI210" s="330"/>
      <c r="DJ210" s="330"/>
      <c r="DK210" s="330"/>
      <c r="DL210" s="330"/>
      <c r="DM210" s="330"/>
      <c r="DN210" s="330"/>
      <c r="DO210" s="330"/>
      <c r="DP210" s="330"/>
      <c r="DQ210" s="330"/>
      <c r="DR210" s="330"/>
      <c r="DS210" s="330"/>
      <c r="DT210" s="330"/>
      <c r="DU210" s="330"/>
      <c r="DV210" s="330"/>
      <c r="DW210" s="330"/>
      <c r="DX210" s="330"/>
      <c r="DY210" s="330"/>
      <c r="DZ210" s="330"/>
      <c r="EA210" s="330"/>
      <c r="EB210" s="330"/>
      <c r="EC210" s="330"/>
      <c r="ED210" s="330"/>
      <c r="EE210" s="330"/>
      <c r="EF210" s="330"/>
      <c r="EG210" s="330"/>
      <c r="EH210" s="330"/>
      <c r="EI210" s="330"/>
      <c r="EJ210" s="330"/>
      <c r="EK210" s="330"/>
      <c r="EL210" s="330"/>
      <c r="EM210" s="330"/>
      <c r="EN210" s="330"/>
      <c r="EO210" s="330"/>
      <c r="EP210" s="330"/>
      <c r="EQ210" s="330"/>
      <c r="ER210" s="330"/>
      <c r="ES210" s="330"/>
      <c r="ET210" s="330"/>
      <c r="EU210" s="330"/>
      <c r="EV210" s="330"/>
      <c r="EW210" s="330"/>
      <c r="EX210" s="330"/>
      <c r="EY210" s="1032">
        <f t="shared" si="18"/>
        <v>0.18365999999999999</v>
      </c>
      <c r="EZ210" s="616"/>
      <c r="FA210" s="616"/>
      <c r="FB210" s="616"/>
      <c r="FC210" s="616"/>
      <c r="FD210" s="616"/>
      <c r="FE210" s="616"/>
      <c r="FF210" s="616"/>
      <c r="FG210" s="616"/>
      <c r="FH210" s="616"/>
      <c r="FI210" s="616"/>
      <c r="FJ210" s="616"/>
    </row>
    <row r="211" spans="1:166" ht="14.7" customHeight="1" x14ac:dyDescent="0.25">
      <c r="A211" s="421">
        <v>207</v>
      </c>
      <c r="B211" s="417" t="str">
        <f>'291-плов из окорочков'!A9</f>
        <v>Плов из куриных окорочков</v>
      </c>
      <c r="C211" s="419">
        <f>'291-плов из окорочков'!C31</f>
        <v>150</v>
      </c>
      <c r="D211" s="1211">
        <f>12.67/150*C211</f>
        <v>12.67</v>
      </c>
      <c r="E211" s="1211">
        <f>7.4/150*C211</f>
        <v>7.4</v>
      </c>
      <c r="F211" s="1211">
        <f>27.34/150*C211</f>
        <v>27.34</v>
      </c>
      <c r="G211" s="1212">
        <f>227/150*C211</f>
        <v>227</v>
      </c>
      <c r="H211" s="419">
        <f>'291-плов из окорочков'!J7</f>
        <v>291</v>
      </c>
      <c r="I211" s="1234">
        <f>'291-плов из окорочков'!F33</f>
        <v>21.06</v>
      </c>
      <c r="J211" s="330"/>
      <c r="K211" s="333">
        <f>'291-плов из окорочков'!C19</f>
        <v>7.5999999999999998E-2</v>
      </c>
      <c r="L211" s="330"/>
      <c r="M211" s="330"/>
      <c r="N211" s="330"/>
      <c r="O211" s="330"/>
      <c r="P211" s="330"/>
      <c r="Q211" s="330"/>
      <c r="R211" s="330"/>
      <c r="S211" s="330"/>
      <c r="T211" s="330"/>
      <c r="U211" s="330"/>
      <c r="V211" s="330"/>
      <c r="W211" s="330"/>
      <c r="X211" s="330"/>
      <c r="Y211" s="330"/>
      <c r="Z211" s="330"/>
      <c r="AA211" s="330"/>
      <c r="AB211" s="330"/>
      <c r="AC211" s="330"/>
      <c r="AD211" s="330"/>
      <c r="AE211" s="330"/>
      <c r="AF211" s="330"/>
      <c r="AG211" s="330"/>
      <c r="AH211" s="330"/>
      <c r="AI211" s="330"/>
      <c r="AJ211" s="330"/>
      <c r="AK211" s="330">
        <f>'291-плов из окорочков'!C21</f>
        <v>8.0000000000000002E-3</v>
      </c>
      <c r="AL211" s="330"/>
      <c r="AM211" s="330"/>
      <c r="AN211" s="330"/>
      <c r="AO211" s="330"/>
      <c r="AP211" s="330"/>
      <c r="AQ211" s="330">
        <f>'291-плов из окорочков'!C22</f>
        <v>0.01</v>
      </c>
      <c r="AR211" s="330"/>
      <c r="AS211" s="330"/>
      <c r="AT211" s="330"/>
      <c r="AU211" s="330"/>
      <c r="AV211" s="330"/>
      <c r="AW211" s="330"/>
      <c r="AX211" s="330"/>
      <c r="AY211" s="330"/>
      <c r="AZ211" s="330"/>
      <c r="BA211" s="330"/>
      <c r="BB211" s="330"/>
      <c r="BC211" s="330"/>
      <c r="BD211" s="330"/>
      <c r="BE211" s="330"/>
      <c r="BF211" s="330"/>
      <c r="BG211" s="330"/>
      <c r="BH211" s="330"/>
      <c r="BI211" s="330"/>
      <c r="BJ211" s="330"/>
      <c r="BK211" s="330"/>
      <c r="BL211" s="330"/>
      <c r="BM211" s="330"/>
      <c r="BN211" s="330"/>
      <c r="BO211" s="330"/>
      <c r="BP211" s="330"/>
      <c r="BQ211" s="330"/>
      <c r="BR211" s="330"/>
      <c r="BS211" s="330"/>
      <c r="BT211" s="330"/>
      <c r="BU211" s="330"/>
      <c r="BV211" s="330"/>
      <c r="BW211" s="330"/>
      <c r="BX211" s="330"/>
      <c r="BY211" s="330"/>
      <c r="BZ211" s="330"/>
      <c r="CA211" s="330"/>
      <c r="CB211" s="330">
        <f>'291-плов из окорочков'!C24</f>
        <v>3.5000000000000003E-2</v>
      </c>
      <c r="CC211" s="330"/>
      <c r="CD211" s="330"/>
      <c r="CE211" s="330"/>
      <c r="CF211" s="330">
        <f>'291-плов из окорочков'!C20</f>
        <v>7.0000000000000001E-3</v>
      </c>
      <c r="CG211" s="330"/>
      <c r="CH211" s="330"/>
      <c r="CI211" s="330"/>
      <c r="CJ211" s="330"/>
      <c r="CK211" s="330"/>
      <c r="CL211" s="330"/>
      <c r="CM211" s="330"/>
      <c r="CN211" s="330"/>
      <c r="CO211" s="330"/>
      <c r="CP211" s="330"/>
      <c r="CQ211" s="330"/>
      <c r="CR211" s="330"/>
      <c r="CS211" s="330"/>
      <c r="CT211" s="330"/>
      <c r="CU211" s="330"/>
      <c r="CV211" s="330"/>
      <c r="CW211" s="330"/>
      <c r="CX211" s="330"/>
      <c r="CY211" s="330"/>
      <c r="CZ211" s="330"/>
      <c r="DA211" s="330"/>
      <c r="DB211" s="330"/>
      <c r="DC211" s="330">
        <f>'291-плов из окорочков'!C25</f>
        <v>3.0000000000000001E-3</v>
      </c>
      <c r="DD211" s="330"/>
      <c r="DE211" s="330"/>
      <c r="DF211" s="330">
        <f>'291-плов из окорочков'!C23</f>
        <v>5.0000000000000001E-3</v>
      </c>
      <c r="DG211" s="330"/>
      <c r="DH211" s="330"/>
      <c r="DI211" s="330"/>
      <c r="DJ211" s="330"/>
      <c r="DK211" s="330"/>
      <c r="DL211" s="330"/>
      <c r="DM211" s="330"/>
      <c r="DN211" s="330"/>
      <c r="DO211" s="330"/>
      <c r="DP211" s="330"/>
      <c r="DQ211" s="330"/>
      <c r="DR211" s="330"/>
      <c r="DS211" s="330"/>
      <c r="DT211" s="330"/>
      <c r="DU211" s="330"/>
      <c r="DV211" s="330"/>
      <c r="DW211" s="330"/>
      <c r="DX211" s="330"/>
      <c r="DY211" s="330"/>
      <c r="DZ211" s="330"/>
      <c r="EA211" s="330"/>
      <c r="EB211" s="330"/>
      <c r="EC211" s="330"/>
      <c r="ED211" s="330"/>
      <c r="EE211" s="330"/>
      <c r="EF211" s="330"/>
      <c r="EG211" s="330"/>
      <c r="EH211" s="330"/>
      <c r="EI211" s="330"/>
      <c r="EJ211" s="330"/>
      <c r="EK211" s="330"/>
      <c r="EL211" s="330"/>
      <c r="EM211" s="330"/>
      <c r="EN211" s="330"/>
      <c r="EO211" s="330"/>
      <c r="EP211" s="330"/>
      <c r="EQ211" s="330"/>
      <c r="ER211" s="330"/>
      <c r="ES211" s="330"/>
      <c r="ET211" s="330"/>
      <c r="EU211" s="330"/>
      <c r="EV211" s="330"/>
      <c r="EW211" s="330"/>
      <c r="EX211" s="330"/>
      <c r="EY211" s="1032">
        <f t="shared" si="18"/>
        <v>0.14399999999999999</v>
      </c>
    </row>
    <row r="212" spans="1:166" s="467" customFormat="1" ht="14.7" customHeight="1" x14ac:dyDescent="0.25">
      <c r="A212" s="421">
        <v>208</v>
      </c>
      <c r="B212" s="417" t="str">
        <f>'291-плов из курицы'!A9</f>
        <v>Плов из курицы</v>
      </c>
      <c r="C212" s="419">
        <f>'291-плов из курицы'!C31</f>
        <v>150</v>
      </c>
      <c r="D212" s="1211">
        <f>12.71/150*C212</f>
        <v>12.71</v>
      </c>
      <c r="E212" s="1211">
        <f>7.85/150*C212</f>
        <v>7.85</v>
      </c>
      <c r="F212" s="1211">
        <f>26.8/150*C212</f>
        <v>26.8</v>
      </c>
      <c r="G212" s="1212">
        <f>229/150*C212</f>
        <v>229</v>
      </c>
      <c r="H212" s="419">
        <f>'291-плов из курицы'!J7</f>
        <v>291</v>
      </c>
      <c r="I212" s="483">
        <f>'291-плов из курицы'!F33</f>
        <v>27.06</v>
      </c>
      <c r="J212" s="330"/>
      <c r="K212" s="333"/>
      <c r="L212" s="330">
        <f>'291-плов из курицы'!C19</f>
        <v>0.106</v>
      </c>
      <c r="M212" s="330"/>
      <c r="N212" s="330"/>
      <c r="O212" s="330"/>
      <c r="P212" s="330"/>
      <c r="Q212" s="330"/>
      <c r="R212" s="330"/>
      <c r="S212" s="330"/>
      <c r="T212" s="330"/>
      <c r="U212" s="330"/>
      <c r="V212" s="330"/>
      <c r="W212" s="330"/>
      <c r="X212" s="330"/>
      <c r="Y212" s="330"/>
      <c r="Z212" s="330"/>
      <c r="AA212" s="330"/>
      <c r="AB212" s="330"/>
      <c r="AC212" s="330"/>
      <c r="AD212" s="330"/>
      <c r="AE212" s="330"/>
      <c r="AF212" s="330"/>
      <c r="AG212" s="330"/>
      <c r="AH212" s="330"/>
      <c r="AI212" s="330"/>
      <c r="AJ212" s="330"/>
      <c r="AK212" s="330">
        <f>'291-плов из курицы'!C21</f>
        <v>8.0000000000000002E-3</v>
      </c>
      <c r="AL212" s="330"/>
      <c r="AM212" s="330"/>
      <c r="AN212" s="330"/>
      <c r="AO212" s="330"/>
      <c r="AP212" s="330"/>
      <c r="AQ212" s="330">
        <f>'291-плов из курицы'!C22</f>
        <v>0.01</v>
      </c>
      <c r="AR212" s="330"/>
      <c r="AS212" s="330"/>
      <c r="AT212" s="330"/>
      <c r="AU212" s="330"/>
      <c r="AV212" s="330"/>
      <c r="AW212" s="330"/>
      <c r="AX212" s="330"/>
      <c r="AY212" s="330"/>
      <c r="AZ212" s="330"/>
      <c r="BA212" s="330"/>
      <c r="BB212" s="330"/>
      <c r="BC212" s="330"/>
      <c r="BD212" s="330"/>
      <c r="BE212" s="330"/>
      <c r="BF212" s="330"/>
      <c r="BG212" s="330"/>
      <c r="BH212" s="330"/>
      <c r="BI212" s="330"/>
      <c r="BJ212" s="330"/>
      <c r="BK212" s="330"/>
      <c r="BL212" s="330"/>
      <c r="BM212" s="330"/>
      <c r="BN212" s="330"/>
      <c r="BO212" s="330"/>
      <c r="BP212" s="330"/>
      <c r="BQ212" s="330"/>
      <c r="BR212" s="330"/>
      <c r="BS212" s="330"/>
      <c r="BT212" s="330"/>
      <c r="BU212" s="330"/>
      <c r="BV212" s="330"/>
      <c r="BW212" s="330"/>
      <c r="BX212" s="330"/>
      <c r="BY212" s="330"/>
      <c r="BZ212" s="330"/>
      <c r="CA212" s="330"/>
      <c r="CB212" s="330">
        <f>'291-плов из курицы'!C24</f>
        <v>3.5000000000000003E-2</v>
      </c>
      <c r="CC212" s="330"/>
      <c r="CD212" s="330"/>
      <c r="CE212" s="330"/>
      <c r="CF212" s="330">
        <f>'291-плов из курицы'!C20</f>
        <v>7.0000000000000001E-3</v>
      </c>
      <c r="CG212" s="330"/>
      <c r="CH212" s="330"/>
      <c r="CI212" s="330"/>
      <c r="CJ212" s="330"/>
      <c r="CK212" s="330"/>
      <c r="CL212" s="330"/>
      <c r="CM212" s="330"/>
      <c r="CN212" s="330"/>
      <c r="CO212" s="330"/>
      <c r="CP212" s="330"/>
      <c r="CQ212" s="330"/>
      <c r="CR212" s="330"/>
      <c r="CS212" s="330"/>
      <c r="CT212" s="330"/>
      <c r="CU212" s="330"/>
      <c r="CV212" s="330"/>
      <c r="CW212" s="330"/>
      <c r="CX212" s="330"/>
      <c r="CY212" s="330"/>
      <c r="CZ212" s="330"/>
      <c r="DA212" s="330"/>
      <c r="DB212" s="330"/>
      <c r="DC212" s="330">
        <f>'291-плов из курицы'!C25</f>
        <v>3.0000000000000001E-3</v>
      </c>
      <c r="DD212" s="330"/>
      <c r="DE212" s="330"/>
      <c r="DF212" s="330">
        <f>'291-плов из курицы'!C23</f>
        <v>5.0000000000000001E-3</v>
      </c>
      <c r="DG212" s="330"/>
      <c r="DH212" s="330"/>
      <c r="DI212" s="330"/>
      <c r="DJ212" s="330"/>
      <c r="DK212" s="330"/>
      <c r="DL212" s="330"/>
      <c r="DM212" s="330"/>
      <c r="DN212" s="330"/>
      <c r="DO212" s="330"/>
      <c r="DP212" s="330"/>
      <c r="DQ212" s="330"/>
      <c r="DR212" s="330"/>
      <c r="DS212" s="330"/>
      <c r="DT212" s="330"/>
      <c r="DU212" s="330"/>
      <c r="DV212" s="330"/>
      <c r="DW212" s="330"/>
      <c r="DX212" s="330"/>
      <c r="DY212" s="330"/>
      <c r="DZ212" s="330"/>
      <c r="EA212" s="330"/>
      <c r="EB212" s="330"/>
      <c r="EC212" s="330"/>
      <c r="ED212" s="330"/>
      <c r="EE212" s="330"/>
      <c r="EF212" s="330"/>
      <c r="EG212" s="330"/>
      <c r="EH212" s="330"/>
      <c r="EI212" s="330"/>
      <c r="EJ212" s="330"/>
      <c r="EK212" s="330"/>
      <c r="EL212" s="330"/>
      <c r="EM212" s="330"/>
      <c r="EN212" s="330"/>
      <c r="EO212" s="330"/>
      <c r="EP212" s="330"/>
      <c r="EQ212" s="330"/>
      <c r="ER212" s="330"/>
      <c r="ES212" s="330"/>
      <c r="ET212" s="330"/>
      <c r="EU212" s="330"/>
      <c r="EV212" s="330"/>
      <c r="EW212" s="330"/>
      <c r="EX212" s="330"/>
      <c r="EY212" s="1032">
        <f t="shared" si="18"/>
        <v>0.17399999999999999</v>
      </c>
      <c r="EZ212" s="616"/>
      <c r="FA212" s="616"/>
      <c r="FB212" s="616"/>
      <c r="FC212" s="616"/>
      <c r="FD212" s="616"/>
      <c r="FE212" s="616"/>
      <c r="FF212" s="616"/>
      <c r="FG212" s="616"/>
      <c r="FH212" s="616"/>
      <c r="FI212" s="616"/>
      <c r="FJ212" s="616"/>
    </row>
    <row r="213" spans="1:166" ht="14.7" customHeight="1" x14ac:dyDescent="0.25">
      <c r="A213" s="421">
        <v>209</v>
      </c>
      <c r="B213" s="417" t="str">
        <f>'292 окорочка тушенная в соусе'!A9</f>
        <v>Куриные окорочка тушеные в соусе с овощами</v>
      </c>
      <c r="C213" s="419">
        <f>'292 окорочка тушенная в соусе'!C34</f>
        <v>150</v>
      </c>
      <c r="D213" s="1211">
        <f>12.5/150*C213</f>
        <v>12.5</v>
      </c>
      <c r="E213" s="1211">
        <f>11.17/150*C213</f>
        <v>11.17</v>
      </c>
      <c r="F213" s="1211">
        <f>12.9/150*C213</f>
        <v>12.9</v>
      </c>
      <c r="G213" s="1212">
        <f>202/150*C213</f>
        <v>202</v>
      </c>
      <c r="H213" s="419">
        <f>'292 окорочка тушенная в соусе'!J7</f>
        <v>292</v>
      </c>
      <c r="I213" s="1234">
        <f>'292 окорочка тушенная в соусе'!F36</f>
        <v>28.19</v>
      </c>
      <c r="J213" s="330"/>
      <c r="K213" s="330">
        <f>'292 окорочка тушенная в соусе'!C19</f>
        <v>7.9000000000000001E-2</v>
      </c>
      <c r="L213" s="330"/>
      <c r="M213" s="330"/>
      <c r="N213" s="330"/>
      <c r="O213" s="330"/>
      <c r="P213" s="330"/>
      <c r="Q213" s="330"/>
      <c r="R213" s="330"/>
      <c r="S213" s="330"/>
      <c r="T213" s="330"/>
      <c r="U213" s="330"/>
      <c r="V213" s="330"/>
      <c r="W213" s="330"/>
      <c r="X213" s="330"/>
      <c r="Y213" s="330">
        <f>'331-соус с томатом'!C19/'331-соус с томатом'!C27*1000*'292 окорочка тушенная в соусе'!C30</f>
        <v>1.2500000000000001E-2</v>
      </c>
      <c r="Z213" s="330"/>
      <c r="AA213" s="330"/>
      <c r="AB213" s="330"/>
      <c r="AC213" s="330"/>
      <c r="AD213" s="330"/>
      <c r="AE213" s="330"/>
      <c r="AF213" s="330"/>
      <c r="AG213" s="330"/>
      <c r="AH213" s="330">
        <f>'292 окорочка тушенная в соусе'!C24</f>
        <v>6.7000000000000004E-2</v>
      </c>
      <c r="AI213" s="330"/>
      <c r="AJ213" s="330"/>
      <c r="AK213" s="330">
        <f>'292 окорочка тушенная в соусе'!C21</f>
        <v>1.2E-2</v>
      </c>
      <c r="AL213" s="330">
        <f>'292 окорочка тушенная в соусе'!C27</f>
        <v>2E-3</v>
      </c>
      <c r="AM213" s="330"/>
      <c r="AN213" s="330"/>
      <c r="AO213" s="330"/>
      <c r="AP213" s="330"/>
      <c r="AQ213" s="330">
        <f>'292 окорочка тушенная в соусе'!C20</f>
        <v>2.9000000000000001E-2</v>
      </c>
      <c r="AR213" s="330"/>
      <c r="AS213" s="330"/>
      <c r="AT213" s="330">
        <f>'292 окорочка тушенная в соусе'!C28</f>
        <v>3.0000000000000001E-3</v>
      </c>
      <c r="AU213" s="330"/>
      <c r="AV213" s="330"/>
      <c r="AW213" s="330"/>
      <c r="AX213" s="330"/>
      <c r="AY213" s="330"/>
      <c r="AZ213" s="330"/>
      <c r="BA213" s="330"/>
      <c r="BB213" s="330"/>
      <c r="BC213" s="330"/>
      <c r="BD213" s="330"/>
      <c r="BE213" s="330"/>
      <c r="BF213" s="330"/>
      <c r="BG213" s="330"/>
      <c r="BH213" s="330"/>
      <c r="BI213" s="330"/>
      <c r="BJ213" s="330"/>
      <c r="BK213" s="330"/>
      <c r="BL213" s="330"/>
      <c r="BM213" s="330"/>
      <c r="BN213" s="330"/>
      <c r="BO213" s="330"/>
      <c r="BP213" s="330"/>
      <c r="BQ213" s="330"/>
      <c r="BR213" s="330"/>
      <c r="BS213" s="330">
        <f>'331-соус с томатом'!C20/'331-соус с томатом'!C27*1000*'292 окорочка тушенная в соусе'!C30</f>
        <v>3.7499999999999999E-3</v>
      </c>
      <c r="BT213" s="330"/>
      <c r="BU213" s="330"/>
      <c r="BV213" s="330"/>
      <c r="BW213" s="330"/>
      <c r="BX213" s="330"/>
      <c r="BY213" s="330"/>
      <c r="BZ213" s="330"/>
      <c r="CA213" s="330"/>
      <c r="CB213" s="330"/>
      <c r="CC213" s="330"/>
      <c r="CD213" s="330"/>
      <c r="CE213" s="330"/>
      <c r="CF213" s="330">
        <f>'292 окорочка тушенная в соусе'!C22</f>
        <v>6.0000000000000001E-3</v>
      </c>
      <c r="CG213" s="330"/>
      <c r="CH213" s="330"/>
      <c r="CI213" s="330"/>
      <c r="CJ213" s="330"/>
      <c r="CK213" s="330"/>
      <c r="CL213" s="330"/>
      <c r="CM213" s="330"/>
      <c r="CN213" s="330"/>
      <c r="CO213" s="330"/>
      <c r="CP213" s="330"/>
      <c r="CQ213" s="330"/>
      <c r="CR213" s="330"/>
      <c r="CS213" s="330">
        <f>'292 окорочка тушенная в соусе'!C26+('331-соус с томатом'!C23/'331-соус с томатом'!C27*1000*'292 окорочка тушенная в соусе'!C30)</f>
        <v>2.0000000000000002E-5</v>
      </c>
      <c r="CT213" s="330"/>
      <c r="CU213" s="330"/>
      <c r="CV213" s="330"/>
      <c r="CW213" s="330"/>
      <c r="CX213" s="330"/>
      <c r="CY213" s="330"/>
      <c r="CZ213" s="330"/>
      <c r="DA213" s="330"/>
      <c r="DB213" s="330"/>
      <c r="DC213" s="330">
        <f>'292 окорочка тушенная в соусе'!C25+('331-соус с томатом'!C24/'331-соус с томатом'!C27*1000*'292 окорочка тушенная в соусе'!C30)</f>
        <v>3.3999999999999998E-3</v>
      </c>
      <c r="DD213" s="330"/>
      <c r="DE213" s="330"/>
      <c r="DF213" s="330">
        <f>'331-соус с томатом'!C22/'331-соус с томатом'!C27*1000*'292 окорочка тушенная в соусе'!C30</f>
        <v>5.0000000000000001E-3</v>
      </c>
      <c r="DG213" s="330"/>
      <c r="DH213" s="330"/>
      <c r="DI213" s="330"/>
      <c r="DJ213" s="330"/>
      <c r="DK213" s="330"/>
      <c r="DL213" s="330"/>
      <c r="DM213" s="330"/>
      <c r="DN213" s="330"/>
      <c r="DO213" s="330"/>
      <c r="DP213" s="330"/>
      <c r="DQ213" s="330"/>
      <c r="DR213" s="330"/>
      <c r="DS213" s="330"/>
      <c r="DT213" s="330"/>
      <c r="DU213" s="330">
        <f>'292 окорочка тушенная в соусе'!C23</f>
        <v>8.0000000000000002E-3</v>
      </c>
      <c r="DV213" s="330"/>
      <c r="DW213" s="330"/>
      <c r="DX213" s="330"/>
      <c r="DY213" s="330"/>
      <c r="DZ213" s="330"/>
      <c r="EA213" s="330"/>
      <c r="EB213" s="330"/>
      <c r="EC213" s="330"/>
      <c r="ED213" s="330"/>
      <c r="EE213" s="330"/>
      <c r="EF213" s="330"/>
      <c r="EG213" s="330"/>
      <c r="EH213" s="330"/>
      <c r="EI213" s="330"/>
      <c r="EJ213" s="330"/>
      <c r="EK213" s="330"/>
      <c r="EL213" s="330"/>
      <c r="EM213" s="330"/>
      <c r="EN213" s="330"/>
      <c r="EO213" s="330"/>
      <c r="EP213" s="330"/>
      <c r="EQ213" s="330"/>
      <c r="ER213" s="330"/>
      <c r="ES213" s="330"/>
      <c r="ET213" s="330"/>
      <c r="EU213" s="330"/>
      <c r="EV213" s="330"/>
      <c r="EW213" s="330"/>
      <c r="EX213" s="330"/>
      <c r="EY213" s="1032">
        <f t="shared" si="18"/>
        <v>0.23066999999999999</v>
      </c>
    </row>
    <row r="214" spans="1:166" s="467" customFormat="1" ht="14.7" customHeight="1" x14ac:dyDescent="0.25">
      <c r="A214" s="421">
        <v>210</v>
      </c>
      <c r="B214" s="417" t="str">
        <f>'292 птица тушенная в соусе'!A9</f>
        <v>Птица, тушеная в соусе с овощами</v>
      </c>
      <c r="C214" s="419">
        <f>'292 птица тушенная в соусе'!C34</f>
        <v>150</v>
      </c>
      <c r="D214" s="1211">
        <f>13.06/150*C214</f>
        <v>13.06</v>
      </c>
      <c r="E214" s="1211">
        <f>11.56/150*C214</f>
        <v>11.56</v>
      </c>
      <c r="F214" s="1211">
        <f>12.9/150*C214</f>
        <v>12.9</v>
      </c>
      <c r="G214" s="1212">
        <f>208/150*C214</f>
        <v>208</v>
      </c>
      <c r="H214" s="419">
        <f>'292 птица тушенная в соусе'!J7</f>
        <v>292</v>
      </c>
      <c r="I214" s="483">
        <f>'292 птица тушенная в соусе'!F36</f>
        <v>34.200000000000003</v>
      </c>
      <c r="J214" s="330"/>
      <c r="K214" s="330"/>
      <c r="L214" s="330">
        <f>'292 птица тушенная в соусе'!C19</f>
        <v>0.109</v>
      </c>
      <c r="M214" s="330"/>
      <c r="N214" s="330"/>
      <c r="O214" s="330"/>
      <c r="P214" s="330"/>
      <c r="Q214" s="330"/>
      <c r="R214" s="330"/>
      <c r="S214" s="330"/>
      <c r="T214" s="330"/>
      <c r="U214" s="330"/>
      <c r="V214" s="330"/>
      <c r="W214" s="330"/>
      <c r="X214" s="330"/>
      <c r="Y214" s="330">
        <f>'331-соус с томатом'!C19/'331-соус с томатом'!C27*1000*'292 птица тушенная в соусе'!C30</f>
        <v>1.2500000000000001E-2</v>
      </c>
      <c r="Z214" s="330"/>
      <c r="AA214" s="330"/>
      <c r="AB214" s="330"/>
      <c r="AC214" s="330"/>
      <c r="AD214" s="330"/>
      <c r="AE214" s="330"/>
      <c r="AF214" s="330"/>
      <c r="AG214" s="330"/>
      <c r="AH214" s="330">
        <f>'292 птица тушенная в соусе'!C24</f>
        <v>6.7000000000000004E-2</v>
      </c>
      <c r="AI214" s="330"/>
      <c r="AJ214" s="330"/>
      <c r="AK214" s="330">
        <f>'292 птица тушенная в соусе'!C21</f>
        <v>1.2E-2</v>
      </c>
      <c r="AL214" s="330">
        <f>'292 птица тушенная в соусе'!C27</f>
        <v>2E-3</v>
      </c>
      <c r="AM214" s="330"/>
      <c r="AN214" s="330"/>
      <c r="AO214" s="330"/>
      <c r="AP214" s="330"/>
      <c r="AQ214" s="330">
        <f>'292 птица тушенная в соусе'!C20</f>
        <v>2.9000000000000001E-2</v>
      </c>
      <c r="AR214" s="330"/>
      <c r="AS214" s="330"/>
      <c r="AT214" s="330">
        <f>'292 птица тушенная в соусе'!C28</f>
        <v>3.0000000000000001E-3</v>
      </c>
      <c r="AU214" s="330"/>
      <c r="AV214" s="330"/>
      <c r="AW214" s="330"/>
      <c r="AX214" s="330"/>
      <c r="AY214" s="330"/>
      <c r="AZ214" s="330"/>
      <c r="BA214" s="330"/>
      <c r="BB214" s="330"/>
      <c r="BC214" s="330"/>
      <c r="BD214" s="330"/>
      <c r="BE214" s="330"/>
      <c r="BF214" s="330"/>
      <c r="BG214" s="330"/>
      <c r="BH214" s="330"/>
      <c r="BI214" s="330"/>
      <c r="BJ214" s="330"/>
      <c r="BK214" s="330"/>
      <c r="BL214" s="330"/>
      <c r="BM214" s="330"/>
      <c r="BN214" s="330"/>
      <c r="BO214" s="330"/>
      <c r="BP214" s="330"/>
      <c r="BQ214" s="330"/>
      <c r="BR214" s="330"/>
      <c r="BS214" s="330">
        <f>'331-соус с томатом'!C20/'331-соус с томатом'!C27*1000*'292 птица тушенная в соусе'!C30</f>
        <v>3.7499999999999999E-3</v>
      </c>
      <c r="BT214" s="330"/>
      <c r="BU214" s="330"/>
      <c r="BV214" s="330"/>
      <c r="BW214" s="330"/>
      <c r="BX214" s="330"/>
      <c r="BY214" s="330"/>
      <c r="BZ214" s="330"/>
      <c r="CA214" s="330"/>
      <c r="CB214" s="330"/>
      <c r="CC214" s="330"/>
      <c r="CD214" s="330"/>
      <c r="CE214" s="330"/>
      <c r="CF214" s="330">
        <f>'292 птица тушенная в соусе'!C22</f>
        <v>6.0000000000000001E-3</v>
      </c>
      <c r="CG214" s="330"/>
      <c r="CH214" s="330"/>
      <c r="CI214" s="330"/>
      <c r="CJ214" s="330"/>
      <c r="CK214" s="330"/>
      <c r="CL214" s="330"/>
      <c r="CM214" s="330"/>
      <c r="CN214" s="330"/>
      <c r="CO214" s="330"/>
      <c r="CP214" s="330"/>
      <c r="CQ214" s="330"/>
      <c r="CR214" s="330"/>
      <c r="CS214" s="330">
        <f>'292 птица тушенная в соусе'!C26+('331-соус с томатом'!C23/'331-соус с томатом'!C27*1000*'292 птица тушенная в соусе'!C30)</f>
        <v>2.0000000000000002E-5</v>
      </c>
      <c r="CT214" s="330"/>
      <c r="CU214" s="330"/>
      <c r="CV214" s="330"/>
      <c r="CW214" s="330"/>
      <c r="CX214" s="330"/>
      <c r="CY214" s="330"/>
      <c r="CZ214" s="330"/>
      <c r="DA214" s="330"/>
      <c r="DB214" s="330"/>
      <c r="DC214" s="330">
        <f>'292 птица тушенная в соусе'!C25+('331-соус с томатом'!C24/'331-соус с томатом'!C27*1000*'292 птица тушенная в соусе'!C30)</f>
        <v>3.3999999999999998E-3</v>
      </c>
      <c r="DD214" s="330"/>
      <c r="DE214" s="330"/>
      <c r="DF214" s="330">
        <f>'331-соус с томатом'!C22/'331-соус с томатом'!C27*1000*'292 птица тушенная в соусе'!C30</f>
        <v>5.0000000000000001E-3</v>
      </c>
      <c r="DG214" s="330"/>
      <c r="DH214" s="330"/>
      <c r="DI214" s="330"/>
      <c r="DJ214" s="330"/>
      <c r="DK214" s="330"/>
      <c r="DL214" s="330"/>
      <c r="DM214" s="330"/>
      <c r="DN214" s="330"/>
      <c r="DO214" s="330"/>
      <c r="DP214" s="330"/>
      <c r="DQ214" s="330"/>
      <c r="DR214" s="330"/>
      <c r="DS214" s="330"/>
      <c r="DT214" s="330"/>
      <c r="DU214" s="330">
        <f>'292 птица тушенная в соусе'!C23</f>
        <v>8.0000000000000002E-3</v>
      </c>
      <c r="DV214" s="330"/>
      <c r="DW214" s="330"/>
      <c r="DX214" s="330"/>
      <c r="DY214" s="330"/>
      <c r="DZ214" s="330"/>
      <c r="EA214" s="330"/>
      <c r="EB214" s="330"/>
      <c r="EC214" s="330"/>
      <c r="ED214" s="330"/>
      <c r="EE214" s="330"/>
      <c r="EF214" s="330"/>
      <c r="EG214" s="330"/>
      <c r="EH214" s="330"/>
      <c r="EI214" s="330"/>
      <c r="EJ214" s="330"/>
      <c r="EK214" s="330"/>
      <c r="EL214" s="330"/>
      <c r="EM214" s="330"/>
      <c r="EN214" s="330"/>
      <c r="EO214" s="330"/>
      <c r="EP214" s="330"/>
      <c r="EQ214" s="330"/>
      <c r="ER214" s="330"/>
      <c r="ES214" s="330"/>
      <c r="ET214" s="330"/>
      <c r="EU214" s="330"/>
      <c r="EV214" s="330"/>
      <c r="EW214" s="330"/>
      <c r="EX214" s="330"/>
      <c r="EY214" s="1032">
        <f t="shared" si="18"/>
        <v>0.26067000000000001</v>
      </c>
      <c r="EZ214" s="616"/>
      <c r="FA214" s="616"/>
      <c r="FB214" s="616"/>
      <c r="FC214" s="616"/>
      <c r="FD214" s="616"/>
      <c r="FE214" s="616"/>
      <c r="FF214" s="616"/>
      <c r="FG214" s="616"/>
      <c r="FH214" s="616"/>
      <c r="FI214" s="616"/>
      <c r="FJ214" s="616"/>
    </row>
    <row r="215" spans="1:166" ht="14.7" customHeight="1" x14ac:dyDescent="0.25">
      <c r="A215" s="421">
        <v>211</v>
      </c>
      <c r="B215" s="417" t="str">
        <f>'293 птица жареная'!A9</f>
        <v>Птица жареная</v>
      </c>
      <c r="C215" s="419">
        <f>'293 птица жареная'!C32</f>
        <v>55</v>
      </c>
      <c r="D215" s="1211">
        <f>11.68/55*C215</f>
        <v>11.68</v>
      </c>
      <c r="E215" s="1211">
        <f>13.29/55*C215</f>
        <v>13.29</v>
      </c>
      <c r="F215" s="1211">
        <f>0.04/55*C215</f>
        <v>0.04</v>
      </c>
      <c r="G215" s="1212">
        <f>167/55*C215</f>
        <v>167</v>
      </c>
      <c r="H215" s="419">
        <f>'293 птица жареная'!J7</f>
        <v>293</v>
      </c>
      <c r="I215" s="1234">
        <f>'293 птица жареная'!F34</f>
        <v>33.61</v>
      </c>
      <c r="J215" s="330"/>
      <c r="K215" s="330"/>
      <c r="L215" s="330">
        <f>'293 птица жареная'!C19</f>
        <v>0.109</v>
      </c>
      <c r="M215" s="330"/>
      <c r="N215" s="330"/>
      <c r="O215" s="330"/>
      <c r="P215" s="330"/>
      <c r="Q215" s="330"/>
      <c r="R215" s="330"/>
      <c r="S215" s="330"/>
      <c r="T215" s="330"/>
      <c r="U215" s="330"/>
      <c r="V215" s="330">
        <f>'293 птица жареная'!C27</f>
        <v>5.0000000000000001E-3</v>
      </c>
      <c r="W215" s="330"/>
      <c r="X215" s="330"/>
      <c r="Y215" s="330">
        <f>'293 птица жареная'!C20</f>
        <v>2.9000000000000001E-2</v>
      </c>
      <c r="Z215" s="330"/>
      <c r="AA215" s="330"/>
      <c r="AB215" s="330"/>
      <c r="AC215" s="330"/>
      <c r="AD215" s="330"/>
      <c r="AE215" s="330"/>
      <c r="AF215" s="330"/>
      <c r="AG215" s="330"/>
      <c r="AH215" s="330"/>
      <c r="AI215" s="330"/>
      <c r="AJ215" s="330"/>
      <c r="AK215" s="330"/>
      <c r="AL215" s="330">
        <f>'293 птица жареная'!C24</f>
        <v>2E-3</v>
      </c>
      <c r="AM215" s="330"/>
      <c r="AN215" s="330"/>
      <c r="AO215" s="330"/>
      <c r="AP215" s="330"/>
      <c r="AQ215" s="330"/>
      <c r="AR215" s="330"/>
      <c r="AS215" s="330"/>
      <c r="AT215" s="330"/>
      <c r="AU215" s="330">
        <f>'293 птица жареная'!C25</f>
        <v>2E-3</v>
      </c>
      <c r="AV215" s="330"/>
      <c r="AW215" s="330"/>
      <c r="AX215" s="330"/>
      <c r="AY215" s="330"/>
      <c r="AZ215" s="330"/>
      <c r="BA215" s="330"/>
      <c r="BB215" s="330"/>
      <c r="BC215" s="330"/>
      <c r="BD215" s="330"/>
      <c r="BE215" s="330"/>
      <c r="BF215" s="330"/>
      <c r="BG215" s="330"/>
      <c r="BH215" s="330"/>
      <c r="BI215" s="330"/>
      <c r="BJ215" s="330"/>
      <c r="BK215" s="330"/>
      <c r="BL215" s="330"/>
      <c r="BM215" s="330"/>
      <c r="BN215" s="330"/>
      <c r="BO215" s="330"/>
      <c r="BP215" s="330"/>
      <c r="BQ215" s="330"/>
      <c r="BR215" s="330"/>
      <c r="BS215" s="330"/>
      <c r="BT215" s="330"/>
      <c r="BU215" s="330"/>
      <c r="BV215" s="330"/>
      <c r="BW215" s="330"/>
      <c r="BX215" s="330"/>
      <c r="BY215" s="330"/>
      <c r="BZ215" s="330"/>
      <c r="CA215" s="330"/>
      <c r="CB215" s="330"/>
      <c r="CC215" s="330"/>
      <c r="CD215" s="330"/>
      <c r="CE215" s="330"/>
      <c r="CF215" s="330">
        <f>'293 птица жареная'!C21</f>
        <v>6.0000000000000001E-3</v>
      </c>
      <c r="CG215" s="330"/>
      <c r="CH215" s="330"/>
      <c r="CI215" s="330"/>
      <c r="CJ215" s="330"/>
      <c r="CK215" s="330"/>
      <c r="CL215" s="330"/>
      <c r="CM215" s="330"/>
      <c r="CN215" s="330"/>
      <c r="CO215" s="330"/>
      <c r="CP215" s="330"/>
      <c r="CQ215" s="330"/>
      <c r="CR215" s="330"/>
      <c r="CS215" s="330">
        <f>'293 птица жареная'!C23</f>
        <v>2.0000000000000002E-5</v>
      </c>
      <c r="CT215" s="330"/>
      <c r="CU215" s="330"/>
      <c r="CV215" s="330"/>
      <c r="CW215" s="330"/>
      <c r="CX215" s="330"/>
      <c r="CY215" s="330"/>
      <c r="CZ215" s="330"/>
      <c r="DA215" s="330"/>
      <c r="DB215" s="330"/>
      <c r="DC215" s="330">
        <f>'293 птица жареная'!C22</f>
        <v>3.0000000000000001E-3</v>
      </c>
      <c r="DD215" s="330"/>
      <c r="DE215" s="330"/>
      <c r="DF215" s="330"/>
      <c r="DG215" s="330"/>
      <c r="DH215" s="330"/>
      <c r="DI215" s="330"/>
      <c r="DJ215" s="330"/>
      <c r="DK215" s="330"/>
      <c r="DL215" s="330"/>
      <c r="DM215" s="330"/>
      <c r="DN215" s="330"/>
      <c r="DO215" s="330"/>
      <c r="DP215" s="330"/>
      <c r="DQ215" s="330"/>
      <c r="DR215" s="330"/>
      <c r="DS215" s="330"/>
      <c r="DT215" s="330"/>
      <c r="DU215" s="330"/>
      <c r="DV215" s="330"/>
      <c r="DW215" s="330"/>
      <c r="DX215" s="330"/>
      <c r="DY215" s="330"/>
      <c r="DZ215" s="330"/>
      <c r="EA215" s="330"/>
      <c r="EB215" s="330"/>
      <c r="EC215" s="330"/>
      <c r="ED215" s="330"/>
      <c r="EE215" s="330"/>
      <c r="EF215" s="330"/>
      <c r="EG215" s="330"/>
      <c r="EH215" s="330"/>
      <c r="EI215" s="330"/>
      <c r="EJ215" s="330"/>
      <c r="EK215" s="330"/>
      <c r="EL215" s="330"/>
      <c r="EM215" s="330"/>
      <c r="EN215" s="330"/>
      <c r="EO215" s="330"/>
      <c r="EP215" s="330"/>
      <c r="EQ215" s="330"/>
      <c r="ER215" s="330"/>
      <c r="ES215" s="330"/>
      <c r="ET215" s="330"/>
      <c r="EU215" s="330"/>
      <c r="EV215" s="330"/>
      <c r="EW215" s="330"/>
      <c r="EX215" s="330"/>
      <c r="EY215" s="1032">
        <f t="shared" si="18"/>
        <v>0.15601999999999999</v>
      </c>
    </row>
    <row r="216" spans="1:166" ht="14.7" customHeight="1" x14ac:dyDescent="0.25">
      <c r="A216" s="421">
        <v>212</v>
      </c>
      <c r="B216" s="417" t="str">
        <f>'294 котлеты куриные окорочка'!A9</f>
        <v>Котлеты рубленные из мяса птицы (окорочка)</v>
      </c>
      <c r="C216" s="419">
        <f>'294 котлеты куриные окорочка'!C34</f>
        <v>55</v>
      </c>
      <c r="D216" s="1211">
        <f>7.95/55*C216</f>
        <v>7.95</v>
      </c>
      <c r="E216" s="1211">
        <f>12.48/55*C216</f>
        <v>12.48</v>
      </c>
      <c r="F216" s="1211">
        <f>8.29/55*C216</f>
        <v>8.2899999999999991</v>
      </c>
      <c r="G216" s="1212">
        <f>177/55*C216</f>
        <v>177</v>
      </c>
      <c r="H216" s="419">
        <f>'294 котлеты куриные окорочка'!J7</f>
        <v>294</v>
      </c>
      <c r="I216" s="1234">
        <f>'294 котлеты куриные окорочка'!F36</f>
        <v>19.3</v>
      </c>
      <c r="J216" s="330"/>
      <c r="K216" s="330">
        <f>'294 котлеты куриные окорочка'!C19</f>
        <v>6.6000000000000003E-2</v>
      </c>
      <c r="L216" s="330"/>
      <c r="M216" s="330"/>
      <c r="N216" s="330"/>
      <c r="O216" s="330"/>
      <c r="P216" s="330">
        <f>'294 котлеты куриные окорочка'!C22</f>
        <v>2E-3</v>
      </c>
      <c r="Q216" s="330"/>
      <c r="R216" s="330"/>
      <c r="S216" s="330"/>
      <c r="T216" s="330"/>
      <c r="U216" s="330">
        <f>'294 котлеты куриные окорочка'!C20</f>
        <v>1.4999999999999999E-2</v>
      </c>
      <c r="V216" s="330">
        <f>'294 котлеты куриные окорочка'!C29</f>
        <v>5.0000000000000001E-3</v>
      </c>
      <c r="W216" s="330"/>
      <c r="X216" s="330"/>
      <c r="Y216" s="330"/>
      <c r="Z216" s="330"/>
      <c r="AA216" s="330"/>
      <c r="AB216" s="330"/>
      <c r="AC216" s="330"/>
      <c r="AD216" s="330"/>
      <c r="AE216" s="330"/>
      <c r="AF216" s="330"/>
      <c r="AG216" s="330"/>
      <c r="AH216" s="330"/>
      <c r="AI216" s="330"/>
      <c r="AJ216" s="330"/>
      <c r="AK216" s="330"/>
      <c r="AL216" s="330"/>
      <c r="AM216" s="330"/>
      <c r="AN216" s="330"/>
      <c r="AO216" s="330"/>
      <c r="AP216" s="330"/>
      <c r="AQ216" s="330"/>
      <c r="AR216" s="330"/>
      <c r="AS216" s="330"/>
      <c r="AT216" s="330"/>
      <c r="AU216" s="330"/>
      <c r="AV216" s="330"/>
      <c r="AW216" s="330"/>
      <c r="AX216" s="330"/>
      <c r="AY216" s="330"/>
      <c r="AZ216" s="330"/>
      <c r="BA216" s="330"/>
      <c r="BB216" s="330"/>
      <c r="BC216" s="330"/>
      <c r="BD216" s="330"/>
      <c r="BE216" s="330"/>
      <c r="BF216" s="330"/>
      <c r="BG216" s="330"/>
      <c r="BH216" s="330"/>
      <c r="BI216" s="330"/>
      <c r="BJ216" s="330"/>
      <c r="BK216" s="330"/>
      <c r="BL216" s="330"/>
      <c r="BM216" s="330"/>
      <c r="BN216" s="330"/>
      <c r="BO216" s="330"/>
      <c r="BP216" s="330"/>
      <c r="BQ216" s="330"/>
      <c r="BR216" s="330"/>
      <c r="BS216" s="330"/>
      <c r="BT216" s="330"/>
      <c r="BU216" s="330"/>
      <c r="BV216" s="330"/>
      <c r="BW216" s="330"/>
      <c r="BX216" s="330"/>
      <c r="BY216" s="330"/>
      <c r="BZ216" s="330"/>
      <c r="CA216" s="330"/>
      <c r="CB216" s="330"/>
      <c r="CC216" s="330"/>
      <c r="CD216" s="330"/>
      <c r="CE216" s="330"/>
      <c r="CF216" s="330">
        <f>'294 котлеты куриные окорочка'!C27</f>
        <v>3.0000000000000001E-3</v>
      </c>
      <c r="CG216" s="330"/>
      <c r="CH216" s="330"/>
      <c r="CI216" s="330"/>
      <c r="CJ216" s="330"/>
      <c r="CK216" s="330"/>
      <c r="CL216" s="330"/>
      <c r="CM216" s="330"/>
      <c r="CN216" s="330"/>
      <c r="CO216" s="330"/>
      <c r="CP216" s="330"/>
      <c r="CQ216" s="330"/>
      <c r="CR216" s="330"/>
      <c r="CS216" s="330"/>
      <c r="CT216" s="330"/>
      <c r="CU216" s="330"/>
      <c r="CV216" s="330"/>
      <c r="CW216" s="330"/>
      <c r="CX216" s="330"/>
      <c r="CY216" s="330"/>
      <c r="CZ216" s="330"/>
      <c r="DA216" s="330"/>
      <c r="DB216" s="330"/>
      <c r="DC216" s="330">
        <f>'294 котлеты куриные окорочка'!C24</f>
        <v>3.0000000000000001E-3</v>
      </c>
      <c r="DD216" s="330">
        <f>'294 котлеты куриные окорочка'!C23</f>
        <v>5.0000000000000001E-3</v>
      </c>
      <c r="DE216" s="330"/>
      <c r="DF216" s="330"/>
      <c r="DG216" s="330"/>
      <c r="DH216" s="330"/>
      <c r="DI216" s="330"/>
      <c r="DJ216" s="330"/>
      <c r="DK216" s="330"/>
      <c r="DL216" s="330"/>
      <c r="DM216" s="330"/>
      <c r="DN216" s="330"/>
      <c r="DO216" s="330"/>
      <c r="DP216" s="330"/>
      <c r="DQ216" s="330"/>
      <c r="DR216" s="330"/>
      <c r="DS216" s="330"/>
      <c r="DT216" s="330"/>
      <c r="DU216" s="330"/>
      <c r="DV216" s="330"/>
      <c r="DW216" s="330"/>
      <c r="DX216" s="330"/>
      <c r="DY216" s="330"/>
      <c r="DZ216" s="330"/>
      <c r="EA216" s="330"/>
      <c r="EB216" s="330"/>
      <c r="EC216" s="330"/>
      <c r="ED216" s="330"/>
      <c r="EE216" s="330"/>
      <c r="EF216" s="330"/>
      <c r="EG216" s="330"/>
      <c r="EH216" s="330"/>
      <c r="EI216" s="330"/>
      <c r="EJ216" s="330"/>
      <c r="EK216" s="330"/>
      <c r="EL216" s="330"/>
      <c r="EM216" s="330"/>
      <c r="EN216" s="330"/>
      <c r="EO216" s="330"/>
      <c r="EP216" s="330"/>
      <c r="EQ216" s="330"/>
      <c r="ER216" s="330"/>
      <c r="ES216" s="330"/>
      <c r="ET216" s="330"/>
      <c r="EU216" s="330"/>
      <c r="EV216" s="330">
        <f>'294 котлеты куриные окорочка'!C21</f>
        <v>8.9999999999999993E-3</v>
      </c>
      <c r="EW216" s="330"/>
      <c r="EX216" s="330"/>
      <c r="EY216" s="1032">
        <f t="shared" si="18"/>
        <v>0.108</v>
      </c>
    </row>
    <row r="217" spans="1:166" s="522" customFormat="1" ht="14.7" customHeight="1" x14ac:dyDescent="0.25">
      <c r="A217" s="421">
        <v>213</v>
      </c>
      <c r="B217" s="417" t="str">
        <f>'294 котлеты из птицы'!A9</f>
        <v>Котлеты рубленные из мяса птицы с маслом</v>
      </c>
      <c r="C217" s="419">
        <f>'294 котлеты из птицы'!C34</f>
        <v>55</v>
      </c>
      <c r="D217" s="1211">
        <f>9.61/55*C217</f>
        <v>9.61</v>
      </c>
      <c r="E217" s="1211">
        <f>12.64/55*C217</f>
        <v>12.64</v>
      </c>
      <c r="F217" s="1211">
        <f>10.07/55*C217</f>
        <v>10.07</v>
      </c>
      <c r="G217" s="1212">
        <f>192/55*C217</f>
        <v>192</v>
      </c>
      <c r="H217" s="419">
        <f>'294 котлеты из птицы'!J7</f>
        <v>294</v>
      </c>
      <c r="I217" s="483">
        <f>'294 котлеты из птицы'!F36</f>
        <v>21.58</v>
      </c>
      <c r="J217" s="330"/>
      <c r="K217" s="330"/>
      <c r="L217" s="330">
        <f>'294 котлеты из птицы'!C19</f>
        <v>7.6999999999999999E-2</v>
      </c>
      <c r="M217" s="330"/>
      <c r="N217" s="330"/>
      <c r="O217" s="330"/>
      <c r="P217" s="330">
        <f>'294 котлеты из птицы'!C22</f>
        <v>2E-3</v>
      </c>
      <c r="Q217" s="330"/>
      <c r="R217" s="330"/>
      <c r="S217" s="330"/>
      <c r="T217" s="330"/>
      <c r="U217" s="330">
        <f>'294 котлеты из птицы'!C20</f>
        <v>1.4999999999999999E-2</v>
      </c>
      <c r="V217" s="330">
        <f>'294 котлеты из птицы'!C29</f>
        <v>5.0000000000000001E-3</v>
      </c>
      <c r="W217" s="330"/>
      <c r="X217" s="330"/>
      <c r="Y217" s="330"/>
      <c r="Z217" s="330"/>
      <c r="AA217" s="330"/>
      <c r="AB217" s="330"/>
      <c r="AC217" s="330"/>
      <c r="AD217" s="330"/>
      <c r="AE217" s="330"/>
      <c r="AF217" s="330"/>
      <c r="AG217" s="330"/>
      <c r="AH217" s="330"/>
      <c r="AI217" s="330"/>
      <c r="AJ217" s="330"/>
      <c r="AK217" s="330"/>
      <c r="AL217" s="330"/>
      <c r="AM217" s="330"/>
      <c r="AN217" s="330"/>
      <c r="AO217" s="330"/>
      <c r="AP217" s="330"/>
      <c r="AQ217" s="330"/>
      <c r="AR217" s="330"/>
      <c r="AS217" s="330"/>
      <c r="AT217" s="330"/>
      <c r="AU217" s="330"/>
      <c r="AV217" s="330"/>
      <c r="AW217" s="330"/>
      <c r="AX217" s="330"/>
      <c r="AY217" s="330"/>
      <c r="AZ217" s="330"/>
      <c r="BA217" s="330"/>
      <c r="BB217" s="330"/>
      <c r="BC217" s="330"/>
      <c r="BD217" s="330"/>
      <c r="BE217" s="330"/>
      <c r="BF217" s="330"/>
      <c r="BG217" s="330"/>
      <c r="BH217" s="330"/>
      <c r="BI217" s="330"/>
      <c r="BJ217" s="330"/>
      <c r="BK217" s="330"/>
      <c r="BL217" s="330"/>
      <c r="BM217" s="330"/>
      <c r="BN217" s="330"/>
      <c r="BO217" s="330"/>
      <c r="BP217" s="330"/>
      <c r="BQ217" s="330"/>
      <c r="BR217" s="330"/>
      <c r="BS217" s="330"/>
      <c r="BT217" s="330"/>
      <c r="BU217" s="330"/>
      <c r="BV217" s="330"/>
      <c r="BW217" s="330"/>
      <c r="BX217" s="330"/>
      <c r="BY217" s="330"/>
      <c r="BZ217" s="330"/>
      <c r="CA217" s="330"/>
      <c r="CB217" s="330"/>
      <c r="CC217" s="330"/>
      <c r="CD217" s="330"/>
      <c r="CE217" s="330"/>
      <c r="CF217" s="330">
        <f>'294 котлеты из птицы'!C27</f>
        <v>3.0000000000000001E-3</v>
      </c>
      <c r="CG217" s="330"/>
      <c r="CH217" s="330"/>
      <c r="CI217" s="330"/>
      <c r="CJ217" s="330"/>
      <c r="CK217" s="330"/>
      <c r="CL217" s="330"/>
      <c r="CM217" s="330"/>
      <c r="CN217" s="330"/>
      <c r="CO217" s="330"/>
      <c r="CP217" s="330"/>
      <c r="CQ217" s="330"/>
      <c r="CR217" s="330"/>
      <c r="CS217" s="330"/>
      <c r="CT217" s="330"/>
      <c r="CU217" s="330"/>
      <c r="CV217" s="330"/>
      <c r="CW217" s="330"/>
      <c r="CX217" s="330"/>
      <c r="CY217" s="330"/>
      <c r="CZ217" s="330"/>
      <c r="DA217" s="330"/>
      <c r="DB217" s="330"/>
      <c r="DC217" s="330">
        <f>'294 котлеты из птицы'!C24</f>
        <v>3.0000000000000001E-3</v>
      </c>
      <c r="DD217" s="330">
        <f>'294 котлеты из птицы'!C23</f>
        <v>5.0000000000000001E-3</v>
      </c>
      <c r="DE217" s="330"/>
      <c r="DF217" s="330"/>
      <c r="DG217" s="330"/>
      <c r="DH217" s="330"/>
      <c r="DI217" s="330"/>
      <c r="DJ217" s="330"/>
      <c r="DK217" s="330"/>
      <c r="DL217" s="330"/>
      <c r="DM217" s="330"/>
      <c r="DN217" s="330"/>
      <c r="DO217" s="330"/>
      <c r="DP217" s="330"/>
      <c r="DQ217" s="330"/>
      <c r="DR217" s="330"/>
      <c r="DS217" s="330"/>
      <c r="DT217" s="330"/>
      <c r="DU217" s="330"/>
      <c r="DV217" s="330"/>
      <c r="DW217" s="330"/>
      <c r="DX217" s="330"/>
      <c r="DY217" s="330"/>
      <c r="DZ217" s="330"/>
      <c r="EA217" s="330"/>
      <c r="EB217" s="330"/>
      <c r="EC217" s="330"/>
      <c r="ED217" s="330"/>
      <c r="EE217" s="330"/>
      <c r="EF217" s="330"/>
      <c r="EG217" s="330"/>
      <c r="EH217" s="330"/>
      <c r="EI217" s="330"/>
      <c r="EJ217" s="330"/>
      <c r="EK217" s="330"/>
      <c r="EL217" s="330"/>
      <c r="EM217" s="330"/>
      <c r="EN217" s="330"/>
      <c r="EO217" s="330"/>
      <c r="EP217" s="330"/>
      <c r="EQ217" s="330"/>
      <c r="ER217" s="330"/>
      <c r="ES217" s="330"/>
      <c r="ET217" s="330"/>
      <c r="EU217" s="330"/>
      <c r="EV217" s="330">
        <f>'294 котлеты из птицы'!C21</f>
        <v>8.9999999999999993E-3</v>
      </c>
      <c r="EW217" s="330"/>
      <c r="EX217" s="330"/>
      <c r="EY217" s="1032">
        <f t="shared" si="18"/>
        <v>0.11899999999999999</v>
      </c>
      <c r="EZ217" s="616"/>
      <c r="FA217" s="616"/>
      <c r="FB217" s="616"/>
      <c r="FC217" s="616"/>
      <c r="FD217" s="616"/>
      <c r="FE217" s="616"/>
      <c r="FF217" s="616"/>
      <c r="FG217" s="616"/>
      <c r="FH217" s="616"/>
      <c r="FI217" s="616"/>
      <c r="FJ217" s="616"/>
    </row>
    <row r="218" spans="1:166" s="699" customFormat="1" ht="16.2" customHeight="1" x14ac:dyDescent="0.25">
      <c r="A218" s="421">
        <v>214</v>
      </c>
      <c r="B218" s="115" t="str">
        <f>'294 котлеты из филе птицы '!A9</f>
        <v>Котлеты рубленные из филе птицы с маслом</v>
      </c>
      <c r="C218" s="418">
        <f>'294 котлеты из филе птицы '!C34</f>
        <v>85</v>
      </c>
      <c r="D218" s="1211">
        <f>8.45/90*C218</f>
        <v>7.98</v>
      </c>
      <c r="E218" s="1211">
        <f>9.85/90*C218</f>
        <v>9.3000000000000007</v>
      </c>
      <c r="F218" s="1211">
        <f>10.36/90*C218</f>
        <v>9.7799999999999994</v>
      </c>
      <c r="G218" s="1212">
        <f>164/90*C218</f>
        <v>155</v>
      </c>
      <c r="H218" s="418">
        <f>'294 котлеты из филе птицы '!J7</f>
        <v>294</v>
      </c>
      <c r="I218" s="483">
        <f>'294 котлеты из филе птицы '!F36</f>
        <v>35.46</v>
      </c>
      <c r="J218" s="330"/>
      <c r="K218" s="330"/>
      <c r="L218" s="330"/>
      <c r="M218" s="330">
        <f>'294 котлеты из филе птицы '!C19</f>
        <v>8.5000000000000006E-2</v>
      </c>
      <c r="N218" s="330"/>
      <c r="O218" s="330"/>
      <c r="P218" s="330">
        <f>'294 котлеты из филе птицы '!C22</f>
        <v>3.0000000000000001E-3</v>
      </c>
      <c r="Q218" s="330"/>
      <c r="R218" s="330"/>
      <c r="S218" s="330"/>
      <c r="T218" s="330"/>
      <c r="U218" s="330">
        <f>'294 котлеты из филе птицы '!C20</f>
        <v>2.3E-2</v>
      </c>
      <c r="V218" s="330">
        <f>'294 котлеты из филе птицы '!C29</f>
        <v>5.0000000000000001E-3</v>
      </c>
      <c r="W218" s="330"/>
      <c r="X218" s="330"/>
      <c r="Y218" s="330"/>
      <c r="Z218" s="330"/>
      <c r="AA218" s="330"/>
      <c r="AB218" s="330"/>
      <c r="AC218" s="330"/>
      <c r="AD218" s="330"/>
      <c r="AE218" s="330"/>
      <c r="AF218" s="330"/>
      <c r="AG218" s="330"/>
      <c r="AH218" s="330"/>
      <c r="AI218" s="330"/>
      <c r="AJ218" s="330"/>
      <c r="AK218" s="330"/>
      <c r="AL218" s="330"/>
      <c r="AM218" s="330"/>
      <c r="AN218" s="330"/>
      <c r="AO218" s="330"/>
      <c r="AP218" s="330"/>
      <c r="AQ218" s="330"/>
      <c r="AR218" s="330"/>
      <c r="AS218" s="330"/>
      <c r="AT218" s="330"/>
      <c r="AU218" s="330"/>
      <c r="AV218" s="330"/>
      <c r="AW218" s="330"/>
      <c r="AX218" s="330"/>
      <c r="AY218" s="330"/>
      <c r="AZ218" s="330"/>
      <c r="BA218" s="330"/>
      <c r="BB218" s="330"/>
      <c r="BC218" s="330"/>
      <c r="BD218" s="330"/>
      <c r="BE218" s="330"/>
      <c r="BF218" s="330"/>
      <c r="BG218" s="330"/>
      <c r="BH218" s="330"/>
      <c r="BI218" s="330"/>
      <c r="BJ218" s="330"/>
      <c r="BK218" s="330"/>
      <c r="BL218" s="330"/>
      <c r="BM218" s="330"/>
      <c r="BN218" s="330"/>
      <c r="BO218" s="330"/>
      <c r="BP218" s="330"/>
      <c r="BQ218" s="330"/>
      <c r="BR218" s="330"/>
      <c r="BS218" s="330"/>
      <c r="BT218" s="330"/>
      <c r="BU218" s="330"/>
      <c r="BV218" s="330"/>
      <c r="BW218" s="330"/>
      <c r="BX218" s="330"/>
      <c r="BY218" s="330"/>
      <c r="BZ218" s="330"/>
      <c r="CA218" s="330"/>
      <c r="CB218" s="330"/>
      <c r="CC218" s="330"/>
      <c r="CD218" s="330"/>
      <c r="CE218" s="330"/>
      <c r="CF218" s="330">
        <f>'294 котлеты из филе птицы '!C27</f>
        <v>5.0000000000000001E-3</v>
      </c>
      <c r="CG218" s="330"/>
      <c r="CH218" s="330"/>
      <c r="CI218" s="330"/>
      <c r="CJ218" s="330"/>
      <c r="CK218" s="330"/>
      <c r="CL218" s="330"/>
      <c r="CM218" s="330"/>
      <c r="CN218" s="330"/>
      <c r="CO218" s="330"/>
      <c r="CP218" s="330"/>
      <c r="CQ218" s="330"/>
      <c r="CR218" s="330"/>
      <c r="CS218" s="255"/>
      <c r="CT218" s="330"/>
      <c r="CU218" s="330"/>
      <c r="CV218" s="330"/>
      <c r="CW218" s="330"/>
      <c r="CX218" s="330"/>
      <c r="CY218" s="330"/>
      <c r="CZ218" s="330"/>
      <c r="DA218" s="330"/>
      <c r="DB218" s="330"/>
      <c r="DC218" s="330">
        <f>'294 котлеты из филе птицы '!C24</f>
        <v>5.0000000000000001E-3</v>
      </c>
      <c r="DD218" s="330">
        <f>'294 котлеты из филе птицы '!C23</f>
        <v>8.0000000000000002E-3</v>
      </c>
      <c r="DE218" s="330"/>
      <c r="DF218" s="330"/>
      <c r="DG218" s="330"/>
      <c r="DH218" s="330"/>
      <c r="DI218" s="330"/>
      <c r="DJ218" s="330"/>
      <c r="DK218" s="330"/>
      <c r="DL218" s="330"/>
      <c r="DM218" s="330"/>
      <c r="DN218" s="330"/>
      <c r="DO218" s="330"/>
      <c r="DP218" s="330"/>
      <c r="DQ218" s="330"/>
      <c r="DR218" s="330"/>
      <c r="DS218" s="330"/>
      <c r="DT218" s="330"/>
      <c r="DU218" s="330"/>
      <c r="DV218" s="330"/>
      <c r="DW218" s="330"/>
      <c r="DX218" s="330"/>
      <c r="DY218" s="330"/>
      <c r="DZ218" s="330"/>
      <c r="EA218" s="330"/>
      <c r="EB218" s="330"/>
      <c r="EC218" s="330"/>
      <c r="ED218" s="330"/>
      <c r="EE218" s="330"/>
      <c r="EF218" s="330"/>
      <c r="EG218" s="330"/>
      <c r="EH218" s="330"/>
      <c r="EI218" s="330"/>
      <c r="EJ218" s="330"/>
      <c r="EK218" s="330"/>
      <c r="EL218" s="330"/>
      <c r="EM218" s="330"/>
      <c r="EN218" s="330"/>
      <c r="EO218" s="330"/>
      <c r="EP218" s="330"/>
      <c r="EQ218" s="330"/>
      <c r="ER218" s="330"/>
      <c r="ES218" s="330"/>
      <c r="ET218" s="330"/>
      <c r="EU218" s="330"/>
      <c r="EV218" s="330">
        <f>'294 котлеты из филе птицы '!C21</f>
        <v>1.4E-2</v>
      </c>
      <c r="EW218" s="330"/>
      <c r="EX218" s="330"/>
      <c r="EY218" s="1032">
        <f t="shared" si="18"/>
        <v>0.14799999999999999</v>
      </c>
      <c r="EZ218" s="616"/>
      <c r="FA218" s="616"/>
      <c r="FB218" s="616"/>
      <c r="FC218" s="616"/>
      <c r="FD218" s="616"/>
      <c r="FE218" s="616"/>
      <c r="FF218" s="616"/>
      <c r="FG218" s="616"/>
      <c r="FH218" s="616"/>
      <c r="FI218" s="616"/>
      <c r="FJ218" s="616"/>
    </row>
    <row r="219" spans="1:166" s="851" customFormat="1" ht="25.2" customHeight="1" x14ac:dyDescent="0.25">
      <c r="A219" s="421">
        <v>215</v>
      </c>
      <c r="B219" s="115" t="str">
        <f>'294 котлеты из птицы '!A9</f>
        <v>Котлеты рубленные из филе птицы со сметанным соусом с томатом и луком</v>
      </c>
      <c r="C219" s="418">
        <f>'294 котлеты из птицы '!C34</f>
        <v>110</v>
      </c>
      <c r="D219" s="1211">
        <f>8.45/90*C219</f>
        <v>10.33</v>
      </c>
      <c r="E219" s="1211">
        <f>9.85/90*C219</f>
        <v>12.04</v>
      </c>
      <c r="F219" s="1211">
        <f>10.36/90*C219</f>
        <v>12.66</v>
      </c>
      <c r="G219" s="1212">
        <f>164/90*C219</f>
        <v>200</v>
      </c>
      <c r="H219" s="418">
        <f>'294 котлеты из птицы '!J7</f>
        <v>294</v>
      </c>
      <c r="I219" s="483">
        <f>'294 котлеты из птицы '!F36</f>
        <v>35.04</v>
      </c>
      <c r="J219" s="330"/>
      <c r="K219" s="330"/>
      <c r="L219" s="330"/>
      <c r="M219" s="330">
        <f>'294 котлеты из птицы '!C19</f>
        <v>8.5000000000000006E-2</v>
      </c>
      <c r="N219" s="330"/>
      <c r="O219" s="330"/>
      <c r="P219" s="330">
        <f>'294 котлеты из птицы '!C22</f>
        <v>3.0000000000000001E-3</v>
      </c>
      <c r="Q219" s="330"/>
      <c r="R219" s="330"/>
      <c r="S219" s="330"/>
      <c r="T219" s="330"/>
      <c r="U219" s="330">
        <f>'294 котлеты из птицы '!C20</f>
        <v>2.3E-2</v>
      </c>
      <c r="V219" s="330">
        <f>'333-соус с томатом и лук'!C21/'333-соус с томатом и лук'!C25*1000*'294 котлеты из птицы '!C29</f>
        <v>5.9999999999999995E-4</v>
      </c>
      <c r="W219" s="330"/>
      <c r="X219" s="330"/>
      <c r="Y219" s="330">
        <f>'330-соус сметанный'!C19/1000*'333-соус с томатом и лук'!C19*1000*'294 котлеты из птицы '!C29</f>
        <v>6.7499999999999999E-3</v>
      </c>
      <c r="Z219" s="330"/>
      <c r="AA219" s="330"/>
      <c r="AB219" s="330"/>
      <c r="AC219" s="330"/>
      <c r="AD219" s="330"/>
      <c r="AE219" s="330"/>
      <c r="AF219" s="330"/>
      <c r="AG219" s="330"/>
      <c r="AH219" s="330"/>
      <c r="AI219" s="330"/>
      <c r="AJ219" s="330"/>
      <c r="AK219" s="330">
        <f>'333-соус с томатом и лук'!C20/'333-соус с томатом и лук'!C25*1000*'294 котлеты из птицы '!C29</f>
        <v>7.1399999999999996E-3</v>
      </c>
      <c r="AL219" s="330"/>
      <c r="AM219" s="330"/>
      <c r="AN219" s="330"/>
      <c r="AO219" s="330"/>
      <c r="AP219" s="330"/>
      <c r="AQ219" s="330"/>
      <c r="AR219" s="330"/>
      <c r="AS219" s="330"/>
      <c r="AT219" s="330"/>
      <c r="AU219" s="330"/>
      <c r="AV219" s="330"/>
      <c r="AW219" s="330"/>
      <c r="AX219" s="330"/>
      <c r="AY219" s="330"/>
      <c r="AZ219" s="330"/>
      <c r="BA219" s="330"/>
      <c r="BB219" s="330"/>
      <c r="BC219" s="330"/>
      <c r="BD219" s="330"/>
      <c r="BE219" s="330"/>
      <c r="BF219" s="330"/>
      <c r="BG219" s="330"/>
      <c r="BH219" s="330"/>
      <c r="BI219" s="330"/>
      <c r="BJ219" s="330"/>
      <c r="BK219" s="330"/>
      <c r="BL219" s="330"/>
      <c r="BM219" s="330"/>
      <c r="BN219" s="330"/>
      <c r="BO219" s="330"/>
      <c r="BP219" s="330"/>
      <c r="BQ219" s="330"/>
      <c r="BR219" s="330"/>
      <c r="BS219" s="330">
        <f>'330-соус сметанный'!C20/1000*'333-соус с томатом и лук'!C19*1000*'294 котлеты из птицы '!C29</f>
        <v>2.0300000000000001E-3</v>
      </c>
      <c r="BT219" s="330"/>
      <c r="BU219" s="330"/>
      <c r="BV219" s="330"/>
      <c r="BW219" s="330"/>
      <c r="BX219" s="330"/>
      <c r="BY219" s="330"/>
      <c r="BZ219" s="330"/>
      <c r="CA219" s="330"/>
      <c r="CB219" s="330"/>
      <c r="CC219" s="330"/>
      <c r="CD219" s="330"/>
      <c r="CE219" s="330"/>
      <c r="CF219" s="330">
        <f>'294 котлеты из птицы '!C27</f>
        <v>5.0000000000000001E-3</v>
      </c>
      <c r="CG219" s="330"/>
      <c r="CH219" s="330"/>
      <c r="CI219" s="330"/>
      <c r="CJ219" s="330"/>
      <c r="CK219" s="330"/>
      <c r="CL219" s="330"/>
      <c r="CM219" s="330"/>
      <c r="CN219" s="330"/>
      <c r="CO219" s="330"/>
      <c r="CP219" s="330"/>
      <c r="CQ219" s="330"/>
      <c r="CR219" s="330"/>
      <c r="CS219" s="887">
        <f>'330-соус сметанный'!C22/1000*'333-соус с томатом и лук'!C19*1000*'294 котлеты из птицы '!C29</f>
        <v>9.9999999999999995E-7</v>
      </c>
      <c r="CT219" s="330"/>
      <c r="CU219" s="330"/>
      <c r="CV219" s="330"/>
      <c r="CW219" s="330"/>
      <c r="CX219" s="330"/>
      <c r="CY219" s="330"/>
      <c r="CZ219" s="330"/>
      <c r="DA219" s="330"/>
      <c r="DB219" s="330"/>
      <c r="DC219" s="330">
        <f>'294 котлеты из птицы '!C24+('330-соус сметанный'!C23/1000*'333-соус с томатом и лук'!C19*1000*'294 котлеты из птицы '!C29)</f>
        <v>5.2199999999999998E-3</v>
      </c>
      <c r="DD219" s="330">
        <f>'294 котлеты из птицы '!C23</f>
        <v>8.0000000000000002E-3</v>
      </c>
      <c r="DE219" s="330"/>
      <c r="DF219" s="330">
        <f>'333-соус с томатом и лук'!C22/'333-соус с томатом и лук'!C25*1000*'294 котлеты из птицы '!C29</f>
        <v>3.0000000000000001E-3</v>
      </c>
      <c r="DG219" s="330"/>
      <c r="DH219" s="330"/>
      <c r="DI219" s="330"/>
      <c r="DJ219" s="330"/>
      <c r="DK219" s="330"/>
      <c r="DL219" s="330"/>
      <c r="DM219" s="330"/>
      <c r="DN219" s="330"/>
      <c r="DO219" s="330"/>
      <c r="DP219" s="330"/>
      <c r="DQ219" s="330"/>
      <c r="DR219" s="330"/>
      <c r="DS219" s="330"/>
      <c r="DT219" s="330"/>
      <c r="DU219" s="330"/>
      <c r="DV219" s="330"/>
      <c r="DW219" s="330"/>
      <c r="DX219" s="330"/>
      <c r="DY219" s="330"/>
      <c r="DZ219" s="330"/>
      <c r="EA219" s="330"/>
      <c r="EB219" s="330"/>
      <c r="EC219" s="330"/>
      <c r="ED219" s="330"/>
      <c r="EE219" s="330"/>
      <c r="EF219" s="330"/>
      <c r="EG219" s="330"/>
      <c r="EH219" s="330"/>
      <c r="EI219" s="330"/>
      <c r="EJ219" s="330"/>
      <c r="EK219" s="330"/>
      <c r="EL219" s="330"/>
      <c r="EM219" s="330"/>
      <c r="EN219" s="330"/>
      <c r="EO219" s="330"/>
      <c r="EP219" s="330"/>
      <c r="EQ219" s="330"/>
      <c r="ER219" s="330"/>
      <c r="ES219" s="330"/>
      <c r="ET219" s="330"/>
      <c r="EU219" s="330"/>
      <c r="EV219" s="330">
        <f>'294 котлеты из птицы '!C21</f>
        <v>1.4E-2</v>
      </c>
      <c r="EW219" s="330"/>
      <c r="EX219" s="330"/>
      <c r="EY219" s="1032">
        <f t="shared" si="18"/>
        <v>0.162741</v>
      </c>
      <c r="EZ219" s="616"/>
      <c r="FA219" s="616"/>
      <c r="FB219" s="616"/>
      <c r="FC219" s="616"/>
      <c r="FD219" s="616"/>
      <c r="FE219" s="616"/>
      <c r="FF219" s="616"/>
      <c r="FG219" s="616"/>
      <c r="FH219" s="616"/>
      <c r="FI219" s="616"/>
      <c r="FJ219" s="616"/>
    </row>
    <row r="220" spans="1:166" x14ac:dyDescent="0.25">
      <c r="A220" s="421">
        <v>216</v>
      </c>
      <c r="B220" s="115" t="str">
        <f>'296 котлеты рубленные из кур'!A9</f>
        <v>Котлеты рубленные из кур, запеченные с соусом молочным</v>
      </c>
      <c r="C220" s="419">
        <f>'296 котлеты рубленные из кур'!C37</f>
        <v>100</v>
      </c>
      <c r="D220" s="1211">
        <f>9.61/100*C220</f>
        <v>9.61</v>
      </c>
      <c r="E220" s="1211">
        <f>12.64/100*C220</f>
        <v>12.64</v>
      </c>
      <c r="F220" s="1211">
        <f>10.07/100*C220</f>
        <v>10.07</v>
      </c>
      <c r="G220" s="1212">
        <f>192/100*C220</f>
        <v>192</v>
      </c>
      <c r="H220" s="419">
        <f>'296 котлеты рубленные из кур'!J7</f>
        <v>296</v>
      </c>
      <c r="I220" s="1234">
        <f>'296 котлеты рубленные из кур'!F39</f>
        <v>29.37</v>
      </c>
      <c r="J220" s="330"/>
      <c r="K220" s="330"/>
      <c r="L220" s="330">
        <f>'296 котлеты рубленные из кур'!C19</f>
        <v>7.6999999999999999E-2</v>
      </c>
      <c r="M220" s="330"/>
      <c r="N220" s="330"/>
      <c r="O220" s="330"/>
      <c r="P220" s="330">
        <f>'294 котлеты куриные окорочка'!C22</f>
        <v>2E-3</v>
      </c>
      <c r="Q220" s="330"/>
      <c r="R220" s="330"/>
      <c r="S220" s="330"/>
      <c r="T220" s="330"/>
      <c r="U220" s="330">
        <f>'296 котлеты рубленные из кур'!C20+'329 соус молочный густой'!C19/1000*25</f>
        <v>2.5749999999999999E-2</v>
      </c>
      <c r="V220" s="330">
        <f>'296 котлеты рубленные из кур'!C27+'329 соус молочный густой'!C20/1000*25+'332-соус с луком'!C21/1000*30</f>
        <v>8.8500000000000002E-3</v>
      </c>
      <c r="W220" s="330">
        <f>'296 котлеты рубленные из кур'!C28</f>
        <v>3.3E-3</v>
      </c>
      <c r="X220" s="330"/>
      <c r="Y220" s="330">
        <f>'330-соус сметанный'!C19/1000*920/1000*30</f>
        <v>6.8999999999999999E-3</v>
      </c>
      <c r="Z220" s="330"/>
      <c r="AA220" s="330"/>
      <c r="AB220" s="330"/>
      <c r="AC220" s="330"/>
      <c r="AD220" s="330"/>
      <c r="AE220" s="330"/>
      <c r="AF220" s="330"/>
      <c r="AG220" s="330"/>
      <c r="AH220" s="330"/>
      <c r="AI220" s="330"/>
      <c r="AJ220" s="330"/>
      <c r="AK220" s="330">
        <f>'332-соус с луком'!C20/1000*30</f>
        <v>7.1399999999999996E-3</v>
      </c>
      <c r="AL220" s="330"/>
      <c r="AM220" s="330"/>
      <c r="AN220" s="330"/>
      <c r="AO220" s="330"/>
      <c r="AP220" s="330"/>
      <c r="AQ220" s="330"/>
      <c r="AR220" s="330"/>
      <c r="AS220" s="330"/>
      <c r="AT220" s="330"/>
      <c r="AU220" s="330">
        <f>'296 котлеты рубленные из кур'!C31</f>
        <v>2E-3</v>
      </c>
      <c r="AV220" s="330"/>
      <c r="AW220" s="330"/>
      <c r="AX220" s="330"/>
      <c r="AY220" s="330"/>
      <c r="AZ220" s="330"/>
      <c r="BA220" s="330"/>
      <c r="BB220" s="330"/>
      <c r="BC220" s="330"/>
      <c r="BD220" s="330"/>
      <c r="BE220" s="330"/>
      <c r="BF220" s="330"/>
      <c r="BG220" s="330"/>
      <c r="BH220" s="330"/>
      <c r="BI220" s="330"/>
      <c r="BJ220" s="330"/>
      <c r="BK220" s="330"/>
      <c r="BL220" s="330"/>
      <c r="BM220" s="330"/>
      <c r="BN220" s="330"/>
      <c r="BO220" s="330"/>
      <c r="BP220" s="330"/>
      <c r="BQ220" s="330"/>
      <c r="BR220" s="330"/>
      <c r="BS220" s="330">
        <f>'329 соус молочный густой'!C21/1000*25+'330-соус сметанный'!C20/1000*920/1000*30</f>
        <v>5.3200000000000001E-3</v>
      </c>
      <c r="BT220" s="330"/>
      <c r="BU220" s="330"/>
      <c r="BV220" s="330"/>
      <c r="BW220" s="330"/>
      <c r="BX220" s="330"/>
      <c r="BY220" s="330"/>
      <c r="BZ220" s="330"/>
      <c r="CA220" s="330"/>
      <c r="CB220" s="330"/>
      <c r="CC220" s="330"/>
      <c r="CD220" s="330"/>
      <c r="CE220" s="330"/>
      <c r="CF220" s="330"/>
      <c r="CG220" s="330"/>
      <c r="CH220" s="330"/>
      <c r="CI220" s="330"/>
      <c r="CJ220" s="330"/>
      <c r="CK220" s="330"/>
      <c r="CL220" s="330"/>
      <c r="CM220" s="330"/>
      <c r="CN220" s="330"/>
      <c r="CO220" s="330"/>
      <c r="CP220" s="330"/>
      <c r="CQ220" s="330"/>
      <c r="CR220" s="330"/>
      <c r="CS220" s="255">
        <f>'329 соус молочный густой'!C22/1000*25+('330-соус сметанный'!C22/1000*920/1000*30)</f>
        <v>9.9999999999999995E-7</v>
      </c>
      <c r="CT220" s="330"/>
      <c r="CU220" s="330"/>
      <c r="CV220" s="330"/>
      <c r="CW220" s="330"/>
      <c r="CX220" s="330"/>
      <c r="CY220" s="330"/>
      <c r="CZ220" s="330"/>
      <c r="DA220" s="330"/>
      <c r="DB220" s="330"/>
      <c r="DC220" s="330">
        <f>'296 котлеты рубленные из кур'!C23+'329 соус молочный густой'!C23/1000*25+'330-соус сметанный'!C23/1000*920/1000*30</f>
        <v>3.4199999999999999E-3</v>
      </c>
      <c r="DD220" s="330"/>
      <c r="DE220" s="330"/>
      <c r="DF220" s="330"/>
      <c r="DG220" s="330"/>
      <c r="DH220" s="330"/>
      <c r="DI220" s="330"/>
      <c r="DJ220" s="330"/>
      <c r="DK220" s="330"/>
      <c r="DL220" s="330"/>
      <c r="DM220" s="330"/>
      <c r="DN220" s="330"/>
      <c r="DO220" s="330"/>
      <c r="DP220" s="330"/>
      <c r="DQ220" s="330"/>
      <c r="DR220" s="330"/>
      <c r="DS220" s="330"/>
      <c r="DT220" s="330"/>
      <c r="DU220" s="330"/>
      <c r="DV220" s="330"/>
      <c r="DW220" s="330"/>
      <c r="DX220" s="330"/>
      <c r="DY220" s="330"/>
      <c r="DZ220" s="330"/>
      <c r="EA220" s="330"/>
      <c r="EB220" s="330"/>
      <c r="EC220" s="330"/>
      <c r="ED220" s="330"/>
      <c r="EE220" s="330"/>
      <c r="EF220" s="330"/>
      <c r="EG220" s="330"/>
      <c r="EH220" s="330"/>
      <c r="EI220" s="330"/>
      <c r="EJ220" s="330"/>
      <c r="EK220" s="330"/>
      <c r="EL220" s="330"/>
      <c r="EM220" s="330"/>
      <c r="EN220" s="330"/>
      <c r="EO220" s="330"/>
      <c r="EP220" s="330"/>
      <c r="EQ220" s="330"/>
      <c r="ER220" s="330"/>
      <c r="ES220" s="330"/>
      <c r="ET220" s="330"/>
      <c r="EU220" s="330"/>
      <c r="EV220" s="330">
        <f>'296 котлеты рубленные из кур'!C21</f>
        <v>8.9999999999999993E-3</v>
      </c>
      <c r="EW220" s="330"/>
      <c r="EX220" s="330"/>
      <c r="EY220" s="1032">
        <f t="shared" si="18"/>
        <v>0.15068100000000001</v>
      </c>
    </row>
    <row r="221" spans="1:166" s="522" customFormat="1" ht="28.95" customHeight="1" x14ac:dyDescent="0.25">
      <c r="A221" s="421">
        <v>217</v>
      </c>
      <c r="B221" s="115" t="str">
        <f>'296 котлеты рубленные из окор'!A9</f>
        <v>Котлеты рубленные из кур (окорочка), запеченные с соусом молочным</v>
      </c>
      <c r="C221" s="419">
        <f>'296 котлеты рубленные из окор'!C37</f>
        <v>100</v>
      </c>
      <c r="D221" s="1211">
        <f>9.5/100*C221</f>
        <v>9.5</v>
      </c>
      <c r="E221" s="1211">
        <f>12.64/100*C221</f>
        <v>12.64</v>
      </c>
      <c r="F221" s="1211">
        <f>9.73/100*C221</f>
        <v>9.73</v>
      </c>
      <c r="G221" s="1212">
        <f>191/100*C221</f>
        <v>191</v>
      </c>
      <c r="H221" s="419">
        <f>'296 котлеты рубленные из окор'!J7</f>
        <v>296</v>
      </c>
      <c r="I221" s="483">
        <f>'296 котлеты рубленные из окор'!F39</f>
        <v>25.16</v>
      </c>
      <c r="J221" s="330"/>
      <c r="K221" s="330">
        <f>'296 котлеты рубленные из окор'!C19</f>
        <v>5.6000000000000001E-2</v>
      </c>
      <c r="L221" s="330"/>
      <c r="M221" s="330"/>
      <c r="N221" s="330"/>
      <c r="O221" s="330"/>
      <c r="P221" s="330">
        <f>'296 котлеты рубленные из окор'!C22</f>
        <v>2E-3</v>
      </c>
      <c r="Q221" s="330"/>
      <c r="R221" s="330"/>
      <c r="S221" s="330"/>
      <c r="T221" s="330"/>
      <c r="U221" s="330">
        <f>'296 котлеты рубленные из окор'!C20+'329 соус молочный густой'!C19/1000*25</f>
        <v>2.5749999999999999E-2</v>
      </c>
      <c r="V221" s="330">
        <f>'296 котлеты рубленные из кур'!C27+'329 соус молочный густой'!C20/1000*25+'332-соус с луком'!C21/1000*30</f>
        <v>8.8500000000000002E-3</v>
      </c>
      <c r="W221" s="330">
        <f>'296 котлеты рубленные из окор'!C28</f>
        <v>3.3E-3</v>
      </c>
      <c r="X221" s="330"/>
      <c r="Y221" s="330">
        <f>'330-соус сметанный'!C19/1000*920/1000*30</f>
        <v>6.8999999999999999E-3</v>
      </c>
      <c r="Z221" s="330"/>
      <c r="AA221" s="330"/>
      <c r="AB221" s="330"/>
      <c r="AC221" s="330"/>
      <c r="AD221" s="330"/>
      <c r="AE221" s="330"/>
      <c r="AF221" s="330"/>
      <c r="AG221" s="330"/>
      <c r="AH221" s="330"/>
      <c r="AI221" s="330"/>
      <c r="AJ221" s="330"/>
      <c r="AK221" s="330">
        <f>'332-соус с луком'!C20/1000*30</f>
        <v>7.1399999999999996E-3</v>
      </c>
      <c r="AL221" s="330"/>
      <c r="AM221" s="330"/>
      <c r="AN221" s="330"/>
      <c r="AO221" s="330"/>
      <c r="AP221" s="330"/>
      <c r="AQ221" s="330"/>
      <c r="AR221" s="330"/>
      <c r="AS221" s="330"/>
      <c r="AT221" s="330"/>
      <c r="AU221" s="330">
        <f>'296 котлеты рубленные из окор'!C31</f>
        <v>2E-3</v>
      </c>
      <c r="AV221" s="330"/>
      <c r="AW221" s="330"/>
      <c r="AX221" s="330"/>
      <c r="AY221" s="330"/>
      <c r="AZ221" s="330"/>
      <c r="BA221" s="330"/>
      <c r="BB221" s="330"/>
      <c r="BC221" s="330"/>
      <c r="BD221" s="330"/>
      <c r="BE221" s="330"/>
      <c r="BF221" s="330"/>
      <c r="BG221" s="330"/>
      <c r="BH221" s="330"/>
      <c r="BI221" s="330"/>
      <c r="BJ221" s="330"/>
      <c r="BK221" s="330"/>
      <c r="BL221" s="330"/>
      <c r="BM221" s="330"/>
      <c r="BN221" s="330"/>
      <c r="BO221" s="330"/>
      <c r="BP221" s="330"/>
      <c r="BQ221" s="330"/>
      <c r="BR221" s="330"/>
      <c r="BS221" s="330">
        <f>'329 соус молочный густой'!C21/1000*25+'330-соус сметанный'!C20/1000*920/1000*30</f>
        <v>5.3200000000000001E-3</v>
      </c>
      <c r="BT221" s="330"/>
      <c r="BU221" s="330"/>
      <c r="BV221" s="330"/>
      <c r="BW221" s="330"/>
      <c r="BX221" s="330"/>
      <c r="BY221" s="330"/>
      <c r="BZ221" s="330"/>
      <c r="CA221" s="330"/>
      <c r="CB221" s="330"/>
      <c r="CC221" s="330"/>
      <c r="CD221" s="330"/>
      <c r="CE221" s="330"/>
      <c r="CF221" s="330"/>
      <c r="CG221" s="330"/>
      <c r="CH221" s="330"/>
      <c r="CI221" s="330"/>
      <c r="CJ221" s="330"/>
      <c r="CK221" s="330"/>
      <c r="CL221" s="330"/>
      <c r="CM221" s="330"/>
      <c r="CN221" s="330"/>
      <c r="CO221" s="330"/>
      <c r="CP221" s="330"/>
      <c r="CQ221" s="330"/>
      <c r="CR221" s="330"/>
      <c r="CS221" s="255">
        <f>'329 соус молочный густой'!C22/1000*25+('330-соус сметанный'!C22/1000*920/1000*30)</f>
        <v>9.9999999999999995E-7</v>
      </c>
      <c r="CT221" s="330"/>
      <c r="CU221" s="330"/>
      <c r="CV221" s="330"/>
      <c r="CW221" s="330"/>
      <c r="CX221" s="330"/>
      <c r="CY221" s="330"/>
      <c r="CZ221" s="330"/>
      <c r="DA221" s="330"/>
      <c r="DB221" s="330"/>
      <c r="DC221" s="330">
        <f>'296 котлеты рубленные из окор'!C23+'329 соус молочный густой'!C23/1000*25+'330-соус сметанный'!C23/1000*920/1000*30</f>
        <v>3.4199999999999999E-3</v>
      </c>
      <c r="DD221" s="330"/>
      <c r="DE221" s="330"/>
      <c r="DF221" s="330"/>
      <c r="DG221" s="330"/>
      <c r="DH221" s="330"/>
      <c r="DI221" s="330"/>
      <c r="DJ221" s="330"/>
      <c r="DK221" s="330"/>
      <c r="DL221" s="330"/>
      <c r="DM221" s="330"/>
      <c r="DN221" s="330"/>
      <c r="DO221" s="330"/>
      <c r="DP221" s="330"/>
      <c r="DQ221" s="330"/>
      <c r="DR221" s="330"/>
      <c r="DS221" s="330"/>
      <c r="DT221" s="330"/>
      <c r="DU221" s="330"/>
      <c r="DV221" s="330"/>
      <c r="DW221" s="330"/>
      <c r="DX221" s="330"/>
      <c r="DY221" s="330"/>
      <c r="DZ221" s="330"/>
      <c r="EA221" s="330"/>
      <c r="EB221" s="330"/>
      <c r="EC221" s="330"/>
      <c r="ED221" s="330"/>
      <c r="EE221" s="330"/>
      <c r="EF221" s="330"/>
      <c r="EG221" s="330"/>
      <c r="EH221" s="330"/>
      <c r="EI221" s="330"/>
      <c r="EJ221" s="330"/>
      <c r="EK221" s="330"/>
      <c r="EL221" s="330"/>
      <c r="EM221" s="330"/>
      <c r="EN221" s="330"/>
      <c r="EO221" s="330"/>
      <c r="EP221" s="330"/>
      <c r="EQ221" s="330"/>
      <c r="ER221" s="330"/>
      <c r="ES221" s="330"/>
      <c r="ET221" s="330"/>
      <c r="EU221" s="330"/>
      <c r="EV221" s="330">
        <f>'296 котлеты рубленные из окор'!C21</f>
        <v>8.9999999999999993E-3</v>
      </c>
      <c r="EW221" s="330"/>
      <c r="EX221" s="330"/>
      <c r="EY221" s="1032">
        <f t="shared" si="18"/>
        <v>0.12968099999999999</v>
      </c>
      <c r="EZ221" s="616"/>
      <c r="FA221" s="616"/>
      <c r="FB221" s="616"/>
      <c r="FC221" s="616"/>
      <c r="FD221" s="616"/>
      <c r="FE221" s="616"/>
      <c r="FF221" s="616"/>
      <c r="FG221" s="616"/>
      <c r="FH221" s="616"/>
      <c r="FI221" s="616"/>
      <c r="FJ221" s="616"/>
    </row>
    <row r="222" spans="1:166" ht="14.7" customHeight="1" x14ac:dyDescent="0.25">
      <c r="A222" s="421">
        <v>218</v>
      </c>
      <c r="B222" s="417" t="str">
        <f>'297 фрикадельки из кур'!A9</f>
        <v>Фрикадельки из кур или бройлеров-цыплят</v>
      </c>
      <c r="C222" s="419">
        <f>'297 фрикадельки из кур'!C32</f>
        <v>55</v>
      </c>
      <c r="D222" s="1211">
        <f>6.86/55*C222</f>
        <v>6.86</v>
      </c>
      <c r="E222" s="1211">
        <f>10.24/55*C222</f>
        <v>10.24</v>
      </c>
      <c r="F222" s="1211">
        <f>4.05/55*C222</f>
        <v>4.05</v>
      </c>
      <c r="G222" s="1212">
        <f>136/55*C222</f>
        <v>136</v>
      </c>
      <c r="H222" s="419">
        <f>'297 фрикадельки из кур'!J7</f>
        <v>297</v>
      </c>
      <c r="I222" s="1234">
        <f>'297 фрикадельки из кур'!F34</f>
        <v>25.91</v>
      </c>
      <c r="J222" s="330"/>
      <c r="K222" s="330"/>
      <c r="L222" s="330">
        <f>'297 фрикадельки из кур'!C19</f>
        <v>0.10299999999999999</v>
      </c>
      <c r="M222" s="330"/>
      <c r="N222" s="330"/>
      <c r="O222" s="330"/>
      <c r="P222" s="330">
        <f>'297 фрикадельки из кур'!C22</f>
        <v>2E-3</v>
      </c>
      <c r="Q222" s="330"/>
      <c r="R222" s="330"/>
      <c r="S222" s="330"/>
      <c r="T222" s="330"/>
      <c r="U222" s="330">
        <f>'297 фрикадельки из кур'!C20</f>
        <v>1.0999999999999999E-2</v>
      </c>
      <c r="V222" s="330">
        <f>'297 фрикадельки из кур'!C26</f>
        <v>5.0000000000000001E-3</v>
      </c>
      <c r="W222" s="330"/>
      <c r="X222" s="330"/>
      <c r="Y222" s="330"/>
      <c r="Z222" s="330"/>
      <c r="AA222" s="330"/>
      <c r="AB222" s="330"/>
      <c r="AC222" s="330"/>
      <c r="AD222" s="330"/>
      <c r="AE222" s="330"/>
      <c r="AF222" s="330"/>
      <c r="AG222" s="330"/>
      <c r="AH222" s="330"/>
      <c r="AI222" s="330"/>
      <c r="AJ222" s="330"/>
      <c r="AK222" s="330"/>
      <c r="AL222" s="330"/>
      <c r="AM222" s="330"/>
      <c r="AN222" s="330"/>
      <c r="AO222" s="330"/>
      <c r="AP222" s="330"/>
      <c r="AQ222" s="330"/>
      <c r="AR222" s="330"/>
      <c r="AS222" s="330"/>
      <c r="AT222" s="330"/>
      <c r="AU222" s="330">
        <f>'297 фрикадельки из кур'!C27</f>
        <v>2E-3</v>
      </c>
      <c r="AV222" s="330"/>
      <c r="AW222" s="330"/>
      <c r="AX222" s="330"/>
      <c r="AY222" s="330"/>
      <c r="AZ222" s="330"/>
      <c r="BA222" s="330"/>
      <c r="BB222" s="330"/>
      <c r="BC222" s="330"/>
      <c r="BD222" s="330"/>
      <c r="BE222" s="330"/>
      <c r="BF222" s="330"/>
      <c r="BG222" s="330"/>
      <c r="BH222" s="330"/>
      <c r="BI222" s="330"/>
      <c r="BJ222" s="330"/>
      <c r="BK222" s="330"/>
      <c r="BL222" s="330"/>
      <c r="BM222" s="330"/>
      <c r="BN222" s="330"/>
      <c r="BO222" s="330"/>
      <c r="BP222" s="330"/>
      <c r="BQ222" s="330"/>
      <c r="BR222" s="330"/>
      <c r="BS222" s="330"/>
      <c r="BT222" s="330"/>
      <c r="BU222" s="330"/>
      <c r="BV222" s="330"/>
      <c r="BW222" s="330"/>
      <c r="BX222" s="330"/>
      <c r="BY222" s="330"/>
      <c r="BZ222" s="330"/>
      <c r="CA222" s="330"/>
      <c r="CB222" s="330"/>
      <c r="CC222" s="330"/>
      <c r="CD222" s="330"/>
      <c r="CE222" s="330"/>
      <c r="CF222" s="330"/>
      <c r="CG222" s="330"/>
      <c r="CH222" s="330"/>
      <c r="CI222" s="330"/>
      <c r="CJ222" s="330"/>
      <c r="CK222" s="330"/>
      <c r="CL222" s="330"/>
      <c r="CM222" s="330"/>
      <c r="CN222" s="330"/>
      <c r="CO222" s="330"/>
      <c r="CP222" s="330"/>
      <c r="CQ222" s="330"/>
      <c r="CR222" s="330"/>
      <c r="CS222" s="330"/>
      <c r="CT222" s="330"/>
      <c r="CU222" s="330"/>
      <c r="CV222" s="330"/>
      <c r="CW222" s="330"/>
      <c r="CX222" s="330"/>
      <c r="CY222" s="330"/>
      <c r="CZ222" s="330"/>
      <c r="DA222" s="330"/>
      <c r="DB222" s="330"/>
      <c r="DC222" s="330">
        <f>'297 фрикадельки из кур'!C23</f>
        <v>3.0000000000000001E-3</v>
      </c>
      <c r="DD222" s="330"/>
      <c r="DE222" s="330"/>
      <c r="DF222" s="330"/>
      <c r="DG222" s="330"/>
      <c r="DH222" s="330"/>
      <c r="DI222" s="330"/>
      <c r="DJ222" s="330"/>
      <c r="DK222" s="330"/>
      <c r="DL222" s="330"/>
      <c r="DM222" s="330"/>
      <c r="DN222" s="330"/>
      <c r="DO222" s="330"/>
      <c r="DP222" s="330"/>
      <c r="DQ222" s="330"/>
      <c r="DR222" s="330"/>
      <c r="DS222" s="330"/>
      <c r="DT222" s="330"/>
      <c r="DU222" s="330"/>
      <c r="DV222" s="330"/>
      <c r="DW222" s="330"/>
      <c r="DX222" s="330"/>
      <c r="DY222" s="330"/>
      <c r="DZ222" s="330"/>
      <c r="EA222" s="330"/>
      <c r="EB222" s="330"/>
      <c r="EC222" s="330"/>
      <c r="ED222" s="330"/>
      <c r="EE222" s="330"/>
      <c r="EF222" s="330"/>
      <c r="EG222" s="330"/>
      <c r="EH222" s="330"/>
      <c r="EI222" s="330"/>
      <c r="EJ222" s="330"/>
      <c r="EK222" s="330"/>
      <c r="EL222" s="330"/>
      <c r="EM222" s="330"/>
      <c r="EN222" s="330"/>
      <c r="EO222" s="330"/>
      <c r="EP222" s="330"/>
      <c r="EQ222" s="330"/>
      <c r="ER222" s="330"/>
      <c r="ES222" s="330"/>
      <c r="ET222" s="330"/>
      <c r="EU222" s="330"/>
      <c r="EV222" s="330">
        <f>'297 фрикадельки из кур'!C21</f>
        <v>8.0000000000000002E-3</v>
      </c>
      <c r="EW222" s="330"/>
      <c r="EX222" s="330"/>
      <c r="EY222" s="1032">
        <f t="shared" si="18"/>
        <v>0.13400000000000001</v>
      </c>
    </row>
    <row r="223" spans="1:166" s="528" customFormat="1" ht="14.7" customHeight="1" x14ac:dyDescent="0.25">
      <c r="A223" s="421">
        <v>219</v>
      </c>
      <c r="B223" s="417" t="str">
        <f>'297 фрикадельки из кур окор'!A9</f>
        <v>Фрикадельки из куриных окорочков или бройлеров-цыплят</v>
      </c>
      <c r="C223" s="419">
        <f>'297 фрикадельки из кур окор'!C32</f>
        <v>55</v>
      </c>
      <c r="D223" s="1211">
        <f>6.86/55*C223</f>
        <v>6.86</v>
      </c>
      <c r="E223" s="1211">
        <f>10.22/55*C223</f>
        <v>10.220000000000001</v>
      </c>
      <c r="F223" s="1211">
        <f>4.05/55*C223</f>
        <v>4.05</v>
      </c>
      <c r="G223" s="1212">
        <f>136/55*C223</f>
        <v>136</v>
      </c>
      <c r="H223" s="419">
        <f>'297 фрикадельки из кур окор'!J7</f>
        <v>297</v>
      </c>
      <c r="I223" s="483">
        <f>'297 фрикадельки из кур окор'!F34</f>
        <v>18.559999999999999</v>
      </c>
      <c r="J223" s="330"/>
      <c r="K223" s="330">
        <f>'297 фрикадельки из кур окор'!C19</f>
        <v>6.6000000000000003E-2</v>
      </c>
      <c r="L223" s="330"/>
      <c r="M223" s="330"/>
      <c r="N223" s="330"/>
      <c r="O223" s="330"/>
      <c r="P223" s="330">
        <f>'297 фрикадельки из кур окор'!C22</f>
        <v>2E-3</v>
      </c>
      <c r="Q223" s="330"/>
      <c r="R223" s="330"/>
      <c r="S223" s="330"/>
      <c r="T223" s="330"/>
      <c r="U223" s="330">
        <f>'297 фрикадельки из кур окор'!C20</f>
        <v>1.0999999999999999E-2</v>
      </c>
      <c r="V223" s="330">
        <f>'297 фрикадельки из кур окор'!C26</f>
        <v>5.0000000000000001E-3</v>
      </c>
      <c r="W223" s="330"/>
      <c r="X223" s="330"/>
      <c r="Y223" s="330"/>
      <c r="Z223" s="330"/>
      <c r="AA223" s="330"/>
      <c r="AB223" s="330"/>
      <c r="AC223" s="330"/>
      <c r="AD223" s="330"/>
      <c r="AE223" s="330"/>
      <c r="AF223" s="330"/>
      <c r="AG223" s="330"/>
      <c r="AH223" s="330"/>
      <c r="AI223" s="330"/>
      <c r="AJ223" s="330"/>
      <c r="AK223" s="330"/>
      <c r="AL223" s="330"/>
      <c r="AM223" s="330"/>
      <c r="AN223" s="330"/>
      <c r="AO223" s="330"/>
      <c r="AP223" s="330"/>
      <c r="AQ223" s="330"/>
      <c r="AR223" s="330"/>
      <c r="AS223" s="330"/>
      <c r="AT223" s="330"/>
      <c r="AU223" s="330">
        <f>'297 фрикадельки из кур окор'!C27</f>
        <v>2E-3</v>
      </c>
      <c r="AV223" s="330"/>
      <c r="AW223" s="330"/>
      <c r="AX223" s="330"/>
      <c r="AY223" s="330"/>
      <c r="AZ223" s="330"/>
      <c r="BA223" s="330"/>
      <c r="BB223" s="330"/>
      <c r="BC223" s="330"/>
      <c r="BD223" s="330"/>
      <c r="BE223" s="330"/>
      <c r="BF223" s="330"/>
      <c r="BG223" s="330"/>
      <c r="BH223" s="330"/>
      <c r="BI223" s="330"/>
      <c r="BJ223" s="330"/>
      <c r="BK223" s="330"/>
      <c r="BL223" s="330"/>
      <c r="BM223" s="330"/>
      <c r="BN223" s="330"/>
      <c r="BO223" s="330"/>
      <c r="BP223" s="330"/>
      <c r="BQ223" s="330"/>
      <c r="BR223" s="330"/>
      <c r="BS223" s="330"/>
      <c r="BT223" s="330"/>
      <c r="BU223" s="330"/>
      <c r="BV223" s="330"/>
      <c r="BW223" s="330"/>
      <c r="BX223" s="330"/>
      <c r="BY223" s="330"/>
      <c r="BZ223" s="330"/>
      <c r="CA223" s="330"/>
      <c r="CB223" s="330"/>
      <c r="CC223" s="330"/>
      <c r="CD223" s="330"/>
      <c r="CE223" s="330"/>
      <c r="CF223" s="330"/>
      <c r="CG223" s="330"/>
      <c r="CH223" s="330"/>
      <c r="CI223" s="330"/>
      <c r="CJ223" s="330"/>
      <c r="CK223" s="330"/>
      <c r="CL223" s="330"/>
      <c r="CM223" s="330"/>
      <c r="CN223" s="330"/>
      <c r="CO223" s="330"/>
      <c r="CP223" s="330"/>
      <c r="CQ223" s="330"/>
      <c r="CR223" s="330"/>
      <c r="CS223" s="330"/>
      <c r="CT223" s="330"/>
      <c r="CU223" s="330"/>
      <c r="CV223" s="330"/>
      <c r="CW223" s="330"/>
      <c r="CX223" s="330"/>
      <c r="CY223" s="330"/>
      <c r="CZ223" s="330"/>
      <c r="DA223" s="330"/>
      <c r="DB223" s="330"/>
      <c r="DC223" s="330">
        <f>'297 фрикадельки из кур окор'!C23</f>
        <v>3.0000000000000001E-3</v>
      </c>
      <c r="DD223" s="330"/>
      <c r="DE223" s="330"/>
      <c r="DF223" s="330"/>
      <c r="DG223" s="330"/>
      <c r="DH223" s="330"/>
      <c r="DI223" s="330"/>
      <c r="DJ223" s="330"/>
      <c r="DK223" s="330"/>
      <c r="DL223" s="330"/>
      <c r="DM223" s="330"/>
      <c r="DN223" s="330"/>
      <c r="DO223" s="330"/>
      <c r="DP223" s="330"/>
      <c r="DQ223" s="330"/>
      <c r="DR223" s="330"/>
      <c r="DS223" s="330"/>
      <c r="DT223" s="330"/>
      <c r="DU223" s="330"/>
      <c r="DV223" s="330"/>
      <c r="DW223" s="330"/>
      <c r="DX223" s="330"/>
      <c r="DY223" s="330"/>
      <c r="DZ223" s="330"/>
      <c r="EA223" s="330"/>
      <c r="EB223" s="330"/>
      <c r="EC223" s="330"/>
      <c r="ED223" s="330"/>
      <c r="EE223" s="330"/>
      <c r="EF223" s="330"/>
      <c r="EG223" s="330"/>
      <c r="EH223" s="330"/>
      <c r="EI223" s="330"/>
      <c r="EJ223" s="330"/>
      <c r="EK223" s="330"/>
      <c r="EL223" s="330"/>
      <c r="EM223" s="330"/>
      <c r="EN223" s="330"/>
      <c r="EO223" s="330"/>
      <c r="EP223" s="330"/>
      <c r="EQ223" s="330"/>
      <c r="ER223" s="330"/>
      <c r="ES223" s="330"/>
      <c r="ET223" s="330"/>
      <c r="EU223" s="330"/>
      <c r="EV223" s="330">
        <f>'297 фрикадельки из кур окор'!C21</f>
        <v>8.0000000000000002E-3</v>
      </c>
      <c r="EW223" s="330"/>
      <c r="EX223" s="330"/>
      <c r="EY223" s="1032">
        <f t="shared" si="18"/>
        <v>9.7000000000000003E-2</v>
      </c>
      <c r="EZ223" s="616"/>
      <c r="FA223" s="616"/>
      <c r="FB223" s="616"/>
      <c r="FC223" s="616"/>
      <c r="FD223" s="616"/>
      <c r="FE223" s="616"/>
      <c r="FF223" s="616"/>
      <c r="FG223" s="616"/>
      <c r="FH223" s="616"/>
      <c r="FI223" s="616"/>
      <c r="FJ223" s="616"/>
    </row>
    <row r="224" spans="1:166" ht="14.7" customHeight="1" x14ac:dyDescent="0.25">
      <c r="A224" s="421">
        <v>220</v>
      </c>
      <c r="B224" s="417" t="str">
        <f>'298 Зразы из кур'!A9</f>
        <v>Зразы из кур, бройлеров-цыплят с омлетом и овощами</v>
      </c>
      <c r="C224" s="419">
        <f>'298 Зразы из кур'!C39</f>
        <v>65</v>
      </c>
      <c r="D224" s="1211">
        <f>7.57/65*C224</f>
        <v>7.57</v>
      </c>
      <c r="E224" s="1211">
        <f>11.12/65*C224</f>
        <v>11.12</v>
      </c>
      <c r="F224" s="1211">
        <f>4.7/65*C224</f>
        <v>4.7</v>
      </c>
      <c r="G224" s="1212">
        <f>149/65*C224</f>
        <v>149</v>
      </c>
      <c r="H224" s="419">
        <f>'298 Зразы из кур'!J7</f>
        <v>298</v>
      </c>
      <c r="I224" s="1234">
        <f>'298 Зразы из кур'!F41</f>
        <v>28.73</v>
      </c>
      <c r="J224" s="330"/>
      <c r="K224" s="333"/>
      <c r="L224" s="330">
        <f>'298 Зразы из кур'!C19</f>
        <v>0.10299999999999999</v>
      </c>
      <c r="M224" s="330"/>
      <c r="N224" s="330"/>
      <c r="O224" s="330"/>
      <c r="P224" s="330">
        <f>'298 Зразы из кур'!C22</f>
        <v>2E-3</v>
      </c>
      <c r="Q224" s="330"/>
      <c r="R224" s="330"/>
      <c r="S224" s="330"/>
      <c r="T224" s="330"/>
      <c r="U224" s="330">
        <f>'298 Зразы из кур'!C20+'298 Зразы из кур'!C27</f>
        <v>1.2999999999999999E-2</v>
      </c>
      <c r="V224" s="330">
        <f>'298 Зразы из кур'!C30+'298 Зразы из кур'!C34</f>
        <v>6.0000000000000001E-3</v>
      </c>
      <c r="W224" s="330"/>
      <c r="X224" s="330"/>
      <c r="Y224" s="330"/>
      <c r="Z224" s="330"/>
      <c r="AA224" s="330"/>
      <c r="AB224" s="330"/>
      <c r="AC224" s="330"/>
      <c r="AD224" s="330"/>
      <c r="AE224" s="330">
        <f>'298 Зразы из кур'!C26</f>
        <v>5.0000000000000001E-3</v>
      </c>
      <c r="AF224" s="330"/>
      <c r="AG224" s="330"/>
      <c r="AH224" s="330"/>
      <c r="AI224" s="330"/>
      <c r="AJ224" s="330"/>
      <c r="AK224" s="330"/>
      <c r="AL224" s="330"/>
      <c r="AM224" s="330"/>
      <c r="AN224" s="330"/>
      <c r="AO224" s="330"/>
      <c r="AP224" s="330"/>
      <c r="AQ224" s="330">
        <f>'298 Зразы из кур'!C28</f>
        <v>7.0000000000000001E-3</v>
      </c>
      <c r="AR224" s="330"/>
      <c r="AS224" s="330"/>
      <c r="AT224" s="330"/>
      <c r="AU224" s="330"/>
      <c r="AV224" s="330"/>
      <c r="AW224" s="330"/>
      <c r="AX224" s="330"/>
      <c r="AY224" s="330"/>
      <c r="AZ224" s="330">
        <f>'298 Зразы из кур'!C29</f>
        <v>8.9999999999999993E-3</v>
      </c>
      <c r="BA224" s="330"/>
      <c r="BB224" s="330"/>
      <c r="BC224" s="330"/>
      <c r="BD224" s="330"/>
      <c r="BE224" s="330"/>
      <c r="BF224" s="330"/>
      <c r="BG224" s="330"/>
      <c r="BH224" s="330"/>
      <c r="BI224" s="330"/>
      <c r="BJ224" s="330"/>
      <c r="BK224" s="330"/>
      <c r="BL224" s="330"/>
      <c r="BM224" s="330"/>
      <c r="BN224" s="330"/>
      <c r="BO224" s="330"/>
      <c r="BP224" s="330"/>
      <c r="BQ224" s="330"/>
      <c r="BR224" s="330"/>
      <c r="BS224" s="330"/>
      <c r="BT224" s="330"/>
      <c r="BU224" s="330"/>
      <c r="BV224" s="330"/>
      <c r="BW224" s="330"/>
      <c r="BX224" s="330"/>
      <c r="BY224" s="330"/>
      <c r="BZ224" s="330"/>
      <c r="CA224" s="330"/>
      <c r="CB224" s="330"/>
      <c r="CC224" s="330"/>
      <c r="CD224" s="330"/>
      <c r="CE224" s="330"/>
      <c r="CF224" s="330"/>
      <c r="CG224" s="330"/>
      <c r="CH224" s="330"/>
      <c r="CI224" s="330"/>
      <c r="CJ224" s="330"/>
      <c r="CK224" s="330"/>
      <c r="CL224" s="330"/>
      <c r="CM224" s="330"/>
      <c r="CN224" s="330"/>
      <c r="CO224" s="330"/>
      <c r="CP224" s="330"/>
      <c r="CQ224" s="330"/>
      <c r="CR224" s="330"/>
      <c r="CS224" s="330"/>
      <c r="CT224" s="330"/>
      <c r="CU224" s="330"/>
      <c r="CV224" s="330"/>
      <c r="CW224" s="330"/>
      <c r="CX224" s="330"/>
      <c r="CY224" s="330"/>
      <c r="CZ224" s="330"/>
      <c r="DA224" s="330"/>
      <c r="DB224" s="330"/>
      <c r="DC224" s="330">
        <f>'298 Зразы из кур'!C23</f>
        <v>3.0000000000000001E-3</v>
      </c>
      <c r="DD224" s="330"/>
      <c r="DE224" s="330"/>
      <c r="DF224" s="330"/>
      <c r="DG224" s="330"/>
      <c r="DH224" s="330"/>
      <c r="DI224" s="330"/>
      <c r="DJ224" s="330"/>
      <c r="DK224" s="330"/>
      <c r="DL224" s="330"/>
      <c r="DM224" s="330"/>
      <c r="DN224" s="330"/>
      <c r="DO224" s="330"/>
      <c r="DP224" s="330"/>
      <c r="DQ224" s="330"/>
      <c r="DR224" s="330"/>
      <c r="DS224" s="330"/>
      <c r="DT224" s="330"/>
      <c r="DU224" s="330"/>
      <c r="DV224" s="330"/>
      <c r="DW224" s="330"/>
      <c r="DX224" s="330"/>
      <c r="DY224" s="330"/>
      <c r="DZ224" s="330"/>
      <c r="EA224" s="330"/>
      <c r="EB224" s="330"/>
      <c r="EC224" s="330"/>
      <c r="ED224" s="330"/>
      <c r="EE224" s="330"/>
      <c r="EF224" s="330"/>
      <c r="EG224" s="330"/>
      <c r="EH224" s="330"/>
      <c r="EI224" s="330"/>
      <c r="EJ224" s="330"/>
      <c r="EK224" s="330"/>
      <c r="EL224" s="330"/>
      <c r="EM224" s="330"/>
      <c r="EN224" s="330"/>
      <c r="EO224" s="330"/>
      <c r="EP224" s="330"/>
      <c r="EQ224" s="330"/>
      <c r="ER224" s="330"/>
      <c r="ES224" s="330"/>
      <c r="ET224" s="330"/>
      <c r="EU224" s="330"/>
      <c r="EV224" s="330">
        <f>'298 Зразы из кур'!C21</f>
        <v>8.0000000000000002E-3</v>
      </c>
      <c r="EW224" s="330"/>
      <c r="EX224" s="330"/>
      <c r="EY224" s="1032">
        <f t="shared" si="18"/>
        <v>0.156</v>
      </c>
    </row>
    <row r="225" spans="1:166" ht="14.7" customHeight="1" x14ac:dyDescent="0.25">
      <c r="A225" s="421">
        <v>221</v>
      </c>
      <c r="B225" s="417" t="str">
        <f>'302-каша греч гарнир'!A9</f>
        <v>Каша рассыпчатая гречневая (гарнир)</v>
      </c>
      <c r="C225" s="419">
        <f>'302-каша греч гарнир'!C24</f>
        <v>150</v>
      </c>
      <c r="D225" s="1211">
        <f>57.32/1000*C225</f>
        <v>8.6</v>
      </c>
      <c r="E225" s="1211">
        <f>40.62/1000*C225</f>
        <v>6.09</v>
      </c>
      <c r="F225" s="1211">
        <f>257.61/1000*C225</f>
        <v>38.64</v>
      </c>
      <c r="G225" s="1212">
        <f>1625/1000*C225</f>
        <v>244</v>
      </c>
      <c r="H225" s="419">
        <f>'302-каша греч гарнир'!J7</f>
        <v>302</v>
      </c>
      <c r="I225" s="1234">
        <f>'302-каша греч гарнир'!F26</f>
        <v>10.69</v>
      </c>
      <c r="J225" s="330"/>
      <c r="K225" s="330"/>
      <c r="L225" s="330"/>
      <c r="M225" s="330"/>
      <c r="N225" s="330"/>
      <c r="O225" s="330"/>
      <c r="P225" s="330"/>
      <c r="Q225" s="330"/>
      <c r="R225" s="330"/>
      <c r="S225" s="330"/>
      <c r="T225" s="330"/>
      <c r="U225" s="330"/>
      <c r="V225" s="330">
        <f>'302-каша греч гарнир'!C20/1000*150</f>
        <v>5.2500000000000003E-3</v>
      </c>
      <c r="W225" s="330"/>
      <c r="X225" s="330"/>
      <c r="Y225" s="330"/>
      <c r="Z225" s="330"/>
      <c r="AA225" s="330"/>
      <c r="AB225" s="330"/>
      <c r="AC225" s="330"/>
      <c r="AD225" s="330"/>
      <c r="AE225" s="330"/>
      <c r="AF225" s="330"/>
      <c r="AG225" s="330"/>
      <c r="AH225" s="330"/>
      <c r="AI225" s="330"/>
      <c r="AJ225" s="330"/>
      <c r="AK225" s="330"/>
      <c r="AL225" s="330"/>
      <c r="AM225" s="330"/>
      <c r="AN225" s="330"/>
      <c r="AO225" s="330"/>
      <c r="AP225" s="330"/>
      <c r="AQ225" s="330"/>
      <c r="AR225" s="330"/>
      <c r="AS225" s="330"/>
      <c r="AT225" s="330"/>
      <c r="AU225" s="330"/>
      <c r="AV225" s="330"/>
      <c r="AW225" s="330"/>
      <c r="AX225" s="330"/>
      <c r="AY225" s="330"/>
      <c r="AZ225" s="330"/>
      <c r="BA225" s="330"/>
      <c r="BB225" s="330"/>
      <c r="BC225" s="330"/>
      <c r="BD225" s="330"/>
      <c r="BE225" s="330"/>
      <c r="BF225" s="330"/>
      <c r="BG225" s="330"/>
      <c r="BH225" s="330"/>
      <c r="BI225" s="330"/>
      <c r="BJ225" s="330"/>
      <c r="BK225" s="330"/>
      <c r="BL225" s="330"/>
      <c r="BM225" s="330"/>
      <c r="BN225" s="330"/>
      <c r="BO225" s="330"/>
      <c r="BP225" s="330"/>
      <c r="BQ225" s="330"/>
      <c r="BR225" s="330"/>
      <c r="BS225" s="330"/>
      <c r="BT225" s="330">
        <f>'171-каша греч рассып. сах'!C19/1000*970</f>
        <v>6.8870000000000001E-2</v>
      </c>
      <c r="BU225" s="330"/>
      <c r="BV225" s="330"/>
      <c r="BW225" s="330"/>
      <c r="BX225" s="330"/>
      <c r="BY225" s="330"/>
      <c r="BZ225" s="330"/>
      <c r="CA225" s="330"/>
      <c r="CB225" s="330"/>
      <c r="CC225" s="330"/>
      <c r="CD225" s="330"/>
      <c r="CE225" s="330"/>
      <c r="CF225" s="330"/>
      <c r="CG225" s="330"/>
      <c r="CH225" s="330"/>
      <c r="CI225" s="330"/>
      <c r="CJ225" s="330"/>
      <c r="CK225" s="330"/>
      <c r="CL225" s="330"/>
      <c r="CM225" s="330"/>
      <c r="CN225" s="330"/>
      <c r="CO225" s="330"/>
      <c r="CP225" s="330"/>
      <c r="CQ225" s="330"/>
      <c r="CR225" s="330"/>
      <c r="CS225" s="330"/>
      <c r="CT225" s="330"/>
      <c r="CU225" s="330"/>
      <c r="CV225" s="330"/>
      <c r="CW225" s="330"/>
      <c r="CX225" s="330"/>
      <c r="CY225" s="330"/>
      <c r="CZ225" s="330"/>
      <c r="DA225" s="330"/>
      <c r="DB225" s="330"/>
      <c r="DC225" s="330">
        <f>'171-каша греч рассып. сах'!C21/150*970/1000*150</f>
        <v>3.0999999999999999E-3</v>
      </c>
      <c r="DD225" s="330"/>
      <c r="DE225" s="330"/>
      <c r="DF225" s="330"/>
      <c r="DG225" s="330"/>
      <c r="DH225" s="330"/>
      <c r="DI225" s="330"/>
      <c r="DJ225" s="330"/>
      <c r="DK225" s="330"/>
      <c r="DL225" s="330"/>
      <c r="DM225" s="330"/>
      <c r="DN225" s="330"/>
      <c r="DO225" s="330"/>
      <c r="DP225" s="330"/>
      <c r="DQ225" s="330"/>
      <c r="DR225" s="330"/>
      <c r="DS225" s="330"/>
      <c r="DT225" s="330"/>
      <c r="DU225" s="330"/>
      <c r="DV225" s="330"/>
      <c r="DW225" s="330"/>
      <c r="DX225" s="330"/>
      <c r="DY225" s="330"/>
      <c r="DZ225" s="330"/>
      <c r="EA225" s="330"/>
      <c r="EB225" s="330"/>
      <c r="EC225" s="330"/>
      <c r="ED225" s="330"/>
      <c r="EE225" s="330"/>
      <c r="EF225" s="330"/>
      <c r="EG225" s="330"/>
      <c r="EH225" s="330"/>
      <c r="EI225" s="330"/>
      <c r="EJ225" s="330"/>
      <c r="EK225" s="330"/>
      <c r="EL225" s="330"/>
      <c r="EM225" s="330"/>
      <c r="EN225" s="330"/>
      <c r="EO225" s="330"/>
      <c r="EP225" s="330"/>
      <c r="EQ225" s="330"/>
      <c r="ER225" s="330"/>
      <c r="ES225" s="330"/>
      <c r="ET225" s="330"/>
      <c r="EU225" s="330"/>
      <c r="EV225" s="330"/>
      <c r="EW225" s="330"/>
      <c r="EX225" s="330"/>
      <c r="EY225" s="1032">
        <f t="shared" si="18"/>
        <v>7.7219999999999997E-2</v>
      </c>
    </row>
    <row r="226" spans="1:166" ht="14.7" customHeight="1" x14ac:dyDescent="0.25">
      <c r="A226" s="421">
        <v>222</v>
      </c>
      <c r="B226" s="169" t="str">
        <f>'302-каша рис гарнир'!A9</f>
        <v>Каша рассыпчатая рисовая (гарнир)</v>
      </c>
      <c r="C226" s="419">
        <f>'302-каша рис гарнир'!C24</f>
        <v>150</v>
      </c>
      <c r="D226" s="1211">
        <f>24.03/1000*C226</f>
        <v>3.6</v>
      </c>
      <c r="E226" s="1211">
        <f>28.84/1000*C226</f>
        <v>4.33</v>
      </c>
      <c r="F226" s="1211">
        <f>250.23/1000*C226</f>
        <v>37.53</v>
      </c>
      <c r="G226" s="1212">
        <f>1357/1000*C226</f>
        <v>204</v>
      </c>
      <c r="H226" s="419">
        <f>'302-каша рис гарнир'!J7</f>
        <v>302</v>
      </c>
      <c r="I226" s="1234">
        <f>'302-каша рис гарнир'!F26</f>
        <v>8.9499999999999993</v>
      </c>
      <c r="J226" s="330"/>
      <c r="K226" s="330"/>
      <c r="L226" s="330"/>
      <c r="M226" s="330"/>
      <c r="N226" s="330"/>
      <c r="O226" s="330"/>
      <c r="P226" s="330"/>
      <c r="Q226" s="330"/>
      <c r="R226" s="330"/>
      <c r="S226" s="330"/>
      <c r="T226" s="330"/>
      <c r="U226" s="330"/>
      <c r="V226" s="330">
        <f>'302-каша рис гарнир'!C20/1000*150</f>
        <v>5.2500000000000003E-3</v>
      </c>
      <c r="W226" s="330"/>
      <c r="X226" s="330"/>
      <c r="Y226" s="330"/>
      <c r="Z226" s="330"/>
      <c r="AA226" s="330"/>
      <c r="AB226" s="330"/>
      <c r="AC226" s="330"/>
      <c r="AD226" s="330"/>
      <c r="AE226" s="330"/>
      <c r="AF226" s="330"/>
      <c r="AG226" s="330"/>
      <c r="AH226" s="330"/>
      <c r="AI226" s="330"/>
      <c r="AJ226" s="330"/>
      <c r="AK226" s="330"/>
      <c r="AL226" s="330"/>
      <c r="AM226" s="330"/>
      <c r="AN226" s="330"/>
      <c r="AO226" s="330"/>
      <c r="AP226" s="330"/>
      <c r="AQ226" s="330"/>
      <c r="AR226" s="330"/>
      <c r="AS226" s="330"/>
      <c r="AT226" s="330"/>
      <c r="AU226" s="330"/>
      <c r="AV226" s="330"/>
      <c r="AW226" s="330"/>
      <c r="AX226" s="330"/>
      <c r="AY226" s="330"/>
      <c r="AZ226" s="330"/>
      <c r="BA226" s="330"/>
      <c r="BB226" s="330"/>
      <c r="BC226" s="330"/>
      <c r="BD226" s="330"/>
      <c r="BE226" s="330"/>
      <c r="BF226" s="330"/>
      <c r="BG226" s="330"/>
      <c r="BH226" s="330"/>
      <c r="BI226" s="330"/>
      <c r="BJ226" s="330"/>
      <c r="BK226" s="330"/>
      <c r="BL226" s="330"/>
      <c r="BM226" s="330"/>
      <c r="BN226" s="330"/>
      <c r="BO226" s="330"/>
      <c r="BP226" s="330"/>
      <c r="BQ226" s="330"/>
      <c r="BR226" s="330"/>
      <c r="BS226" s="330"/>
      <c r="BT226" s="330"/>
      <c r="BU226" s="330"/>
      <c r="BV226" s="330"/>
      <c r="BW226" s="330"/>
      <c r="BX226" s="330"/>
      <c r="BY226" s="330"/>
      <c r="BZ226" s="330"/>
      <c r="CA226" s="330"/>
      <c r="CB226" s="330">
        <f>'171-каша рис рассып.сах'!C19/1000*970</f>
        <v>5.2380000000000003E-2</v>
      </c>
      <c r="CC226" s="330"/>
      <c r="CD226" s="330"/>
      <c r="CE226" s="330"/>
      <c r="CF226" s="330"/>
      <c r="CG226" s="330"/>
      <c r="CH226" s="330"/>
      <c r="CI226" s="330"/>
      <c r="CJ226" s="330"/>
      <c r="CK226" s="330"/>
      <c r="CL226" s="330"/>
      <c r="CM226" s="330"/>
      <c r="CN226" s="330"/>
      <c r="CO226" s="330"/>
      <c r="CP226" s="330"/>
      <c r="CQ226" s="330"/>
      <c r="CR226" s="330"/>
      <c r="CS226" s="330"/>
      <c r="CT226" s="330"/>
      <c r="CU226" s="330"/>
      <c r="CV226" s="330"/>
      <c r="CW226" s="330"/>
      <c r="CX226" s="330"/>
      <c r="CY226" s="330"/>
      <c r="CZ226" s="330"/>
      <c r="DA226" s="330"/>
      <c r="DB226" s="330"/>
      <c r="DC226" s="330">
        <f>'171-каша рис рассып.сах'!C21/150*970/1000*150</f>
        <v>4.0699999999999998E-3</v>
      </c>
      <c r="DD226" s="330"/>
      <c r="DE226" s="330"/>
      <c r="DF226" s="330"/>
      <c r="DG226" s="330"/>
      <c r="DH226" s="330"/>
      <c r="DI226" s="330"/>
      <c r="DJ226" s="330"/>
      <c r="DK226" s="330"/>
      <c r="DL226" s="330"/>
      <c r="DM226" s="330"/>
      <c r="DN226" s="330"/>
      <c r="DO226" s="330"/>
      <c r="DP226" s="330"/>
      <c r="DQ226" s="330"/>
      <c r="DR226" s="330"/>
      <c r="DS226" s="330"/>
      <c r="DT226" s="330"/>
      <c r="DU226" s="330"/>
      <c r="DV226" s="330"/>
      <c r="DW226" s="330"/>
      <c r="DX226" s="330"/>
      <c r="DY226" s="330"/>
      <c r="DZ226" s="330"/>
      <c r="EA226" s="330"/>
      <c r="EB226" s="330"/>
      <c r="EC226" s="330"/>
      <c r="ED226" s="330"/>
      <c r="EE226" s="330"/>
      <c r="EF226" s="330"/>
      <c r="EG226" s="330"/>
      <c r="EH226" s="330"/>
      <c r="EI226" s="330"/>
      <c r="EJ226" s="330"/>
      <c r="EK226" s="330"/>
      <c r="EL226" s="330"/>
      <c r="EM226" s="330"/>
      <c r="EN226" s="330"/>
      <c r="EO226" s="330"/>
      <c r="EP226" s="330"/>
      <c r="EQ226" s="330"/>
      <c r="ER226" s="330"/>
      <c r="ES226" s="330"/>
      <c r="ET226" s="330"/>
      <c r="EU226" s="330"/>
      <c r="EV226" s="330"/>
      <c r="EW226" s="330"/>
      <c r="EX226" s="330"/>
      <c r="EY226" s="1032">
        <f t="shared" si="18"/>
        <v>6.1699999999999998E-2</v>
      </c>
    </row>
    <row r="227" spans="1:166" s="467" customFormat="1" ht="14.7" customHeight="1" x14ac:dyDescent="0.25">
      <c r="A227" s="421">
        <v>223</v>
      </c>
      <c r="B227" s="417" t="str">
        <f>'302-каша пшено гарнир'!A9</f>
        <v>Каша рассыпчатая пшенная (гарнир)</v>
      </c>
      <c r="C227" s="419">
        <f>'302-каша пшено гарнир'!C24</f>
        <v>150</v>
      </c>
      <c r="D227" s="1211">
        <f>44/1000*C227</f>
        <v>6.6</v>
      </c>
      <c r="E227" s="1211">
        <f>238.18/1000*C227</f>
        <v>35.729999999999997</v>
      </c>
      <c r="F227" s="1211">
        <f>252.55/1000*C227</f>
        <v>37.880000000000003</v>
      </c>
      <c r="G227" s="1212">
        <f>1530/1000*C227</f>
        <v>230</v>
      </c>
      <c r="H227" s="419">
        <f>'302-каша пшено гарнир'!J7</f>
        <v>302</v>
      </c>
      <c r="I227" s="483">
        <f>'302-каша пшено гарнир'!F26</f>
        <v>6.88</v>
      </c>
      <c r="J227" s="330"/>
      <c r="K227" s="330"/>
      <c r="L227" s="330"/>
      <c r="M227" s="330"/>
      <c r="N227" s="330"/>
      <c r="O227" s="330"/>
      <c r="P227" s="330"/>
      <c r="Q227" s="330"/>
      <c r="R227" s="330"/>
      <c r="S227" s="330"/>
      <c r="T227" s="330"/>
      <c r="U227" s="330"/>
      <c r="V227" s="330">
        <f>'302-каша пшено гарнир'!C20/1000*150</f>
        <v>5.2500000000000003E-3</v>
      </c>
      <c r="W227" s="330"/>
      <c r="X227" s="330"/>
      <c r="Y227" s="330"/>
      <c r="Z227" s="330"/>
      <c r="AA227" s="330"/>
      <c r="AB227" s="330"/>
      <c r="AC227" s="330"/>
      <c r="AD227" s="330"/>
      <c r="AE227" s="330"/>
      <c r="AF227" s="330"/>
      <c r="AG227" s="330"/>
      <c r="AH227" s="330"/>
      <c r="AI227" s="330"/>
      <c r="AJ227" s="330"/>
      <c r="AK227" s="330"/>
      <c r="AL227" s="330"/>
      <c r="AM227" s="330"/>
      <c r="AN227" s="330"/>
      <c r="AO227" s="330"/>
      <c r="AP227" s="330"/>
      <c r="AQ227" s="330"/>
      <c r="AR227" s="330"/>
      <c r="AS227" s="330"/>
      <c r="AT227" s="330"/>
      <c r="AU227" s="330"/>
      <c r="AV227" s="330"/>
      <c r="AW227" s="330"/>
      <c r="AX227" s="330"/>
      <c r="AY227" s="330"/>
      <c r="AZ227" s="330"/>
      <c r="BA227" s="330"/>
      <c r="BB227" s="330"/>
      <c r="BC227" s="330"/>
      <c r="BD227" s="330"/>
      <c r="BE227" s="330"/>
      <c r="BF227" s="330"/>
      <c r="BG227" s="330"/>
      <c r="BH227" s="330"/>
      <c r="BI227" s="330"/>
      <c r="BJ227" s="330"/>
      <c r="BK227" s="330"/>
      <c r="BL227" s="330"/>
      <c r="BM227" s="330"/>
      <c r="BN227" s="330"/>
      <c r="BO227" s="330"/>
      <c r="BP227" s="330"/>
      <c r="BQ227" s="330"/>
      <c r="BR227" s="330"/>
      <c r="BS227" s="330"/>
      <c r="BT227" s="330"/>
      <c r="BU227" s="330"/>
      <c r="BV227" s="330"/>
      <c r="BW227" s="330"/>
      <c r="BX227" s="330"/>
      <c r="BY227" s="330"/>
      <c r="BZ227" s="330"/>
      <c r="CA227" s="330">
        <f>'171-каша пшенная рассып.сах110'!C19/'171-каша пшенная рассып.сах110'!C27*'302-каша пшено гарнир'!C19*150</f>
        <v>5.135E-2</v>
      </c>
      <c r="CB227" s="330"/>
      <c r="CC227" s="330"/>
      <c r="CD227" s="330"/>
      <c r="CE227" s="330"/>
      <c r="CF227" s="330"/>
      <c r="CG227" s="330"/>
      <c r="CH227" s="330"/>
      <c r="CI227" s="330"/>
      <c r="CJ227" s="330"/>
      <c r="CK227" s="330"/>
      <c r="CL227" s="330"/>
      <c r="CM227" s="330"/>
      <c r="CN227" s="330"/>
      <c r="CO227" s="330"/>
      <c r="CP227" s="330"/>
      <c r="CQ227" s="330"/>
      <c r="CR227" s="330"/>
      <c r="CS227" s="330"/>
      <c r="CT227" s="330"/>
      <c r="CU227" s="330"/>
      <c r="CV227" s="330"/>
      <c r="CW227" s="330"/>
      <c r="CX227" s="330"/>
      <c r="CY227" s="330"/>
      <c r="CZ227" s="330"/>
      <c r="DA227" s="330"/>
      <c r="DB227" s="330"/>
      <c r="DC227" s="330">
        <f>'171-каша пшенная рассып.сах110'!C21/150*970/1000*150</f>
        <v>3.6900000000000001E-3</v>
      </c>
      <c r="DD227" s="330"/>
      <c r="DE227" s="330"/>
      <c r="DF227" s="330"/>
      <c r="DG227" s="330"/>
      <c r="DH227" s="330"/>
      <c r="DI227" s="330"/>
      <c r="DJ227" s="330"/>
      <c r="DK227" s="330"/>
      <c r="DL227" s="330"/>
      <c r="DM227" s="330"/>
      <c r="DN227" s="330"/>
      <c r="DO227" s="330"/>
      <c r="DP227" s="330"/>
      <c r="DQ227" s="330"/>
      <c r="DR227" s="330"/>
      <c r="DS227" s="330"/>
      <c r="DT227" s="330"/>
      <c r="DU227" s="330"/>
      <c r="DV227" s="330"/>
      <c r="DW227" s="330"/>
      <c r="DX227" s="330"/>
      <c r="DY227" s="330"/>
      <c r="DZ227" s="330"/>
      <c r="EA227" s="330"/>
      <c r="EB227" s="330"/>
      <c r="EC227" s="330"/>
      <c r="ED227" s="330"/>
      <c r="EE227" s="330"/>
      <c r="EF227" s="330"/>
      <c r="EG227" s="330"/>
      <c r="EH227" s="330"/>
      <c r="EI227" s="330"/>
      <c r="EJ227" s="330"/>
      <c r="EK227" s="330"/>
      <c r="EL227" s="330"/>
      <c r="EM227" s="330"/>
      <c r="EN227" s="330"/>
      <c r="EO227" s="330"/>
      <c r="EP227" s="330"/>
      <c r="EQ227" s="330"/>
      <c r="ER227" s="330"/>
      <c r="ES227" s="330"/>
      <c r="ET227" s="330"/>
      <c r="EU227" s="330"/>
      <c r="EV227" s="330"/>
      <c r="EW227" s="330"/>
      <c r="EX227" s="330"/>
      <c r="EY227" s="1032">
        <f t="shared" si="18"/>
        <v>6.0290000000000003E-2</v>
      </c>
      <c r="EZ227" s="616"/>
      <c r="FA227" s="616"/>
      <c r="FB227" s="616"/>
      <c r="FC227" s="616"/>
      <c r="FD227" s="616"/>
      <c r="FE227" s="616"/>
      <c r="FF227" s="616"/>
      <c r="FG227" s="616"/>
      <c r="FH227" s="616"/>
      <c r="FI227" s="616"/>
      <c r="FJ227" s="616"/>
    </row>
    <row r="228" spans="1:166" s="699" customFormat="1" ht="14.7" customHeight="1" x14ac:dyDescent="0.25">
      <c r="A228" s="421">
        <v>224</v>
      </c>
      <c r="B228" s="417" t="str">
        <f>'304-рис отварной'!A9</f>
        <v>Рис отварной</v>
      </c>
      <c r="C228" s="418">
        <f>'304-рис отварной'!C25</f>
        <v>150</v>
      </c>
      <c r="D228" s="1211">
        <f>24.34/1000*C228</f>
        <v>3.65</v>
      </c>
      <c r="E228" s="1211">
        <f>35.83/1000*C228</f>
        <v>5.37</v>
      </c>
      <c r="F228" s="1211">
        <f>244.56/1000*C228</f>
        <v>36.68</v>
      </c>
      <c r="G228" s="1212">
        <f>1398/1000*C228</f>
        <v>210</v>
      </c>
      <c r="H228" s="418">
        <f>'304-рис отварной'!J7</f>
        <v>304</v>
      </c>
      <c r="I228" s="483">
        <f>'304-рис отварной'!F27</f>
        <v>10.16</v>
      </c>
      <c r="J228" s="330"/>
      <c r="K228" s="330"/>
      <c r="L228" s="330"/>
      <c r="M228" s="330"/>
      <c r="N228" s="330"/>
      <c r="O228" s="330"/>
      <c r="P228" s="330"/>
      <c r="Q228" s="330"/>
      <c r="R228" s="330"/>
      <c r="S228" s="330"/>
      <c r="T228" s="330"/>
      <c r="U228" s="330"/>
      <c r="V228" s="330">
        <f>'304-рис отварной'!C20/'304-рис отварной'!C24*'304-рис отварной'!C25</f>
        <v>6.7499999999999999E-3</v>
      </c>
      <c r="W228" s="330"/>
      <c r="X228" s="330"/>
      <c r="Y228" s="330"/>
      <c r="Z228" s="330"/>
      <c r="AA228" s="330"/>
      <c r="AB228" s="330"/>
      <c r="AC228" s="330"/>
      <c r="AD228" s="330"/>
      <c r="AE228" s="330"/>
      <c r="AF228" s="330"/>
      <c r="AG228" s="330"/>
      <c r="AH228" s="330"/>
      <c r="AI228" s="330"/>
      <c r="AJ228" s="330"/>
      <c r="AK228" s="330"/>
      <c r="AL228" s="330"/>
      <c r="AM228" s="330"/>
      <c r="AN228" s="330"/>
      <c r="AO228" s="330"/>
      <c r="AP228" s="330"/>
      <c r="AQ228" s="330"/>
      <c r="AR228" s="330"/>
      <c r="AS228" s="330"/>
      <c r="AT228" s="330"/>
      <c r="AU228" s="330"/>
      <c r="AV228" s="330"/>
      <c r="AW228" s="330"/>
      <c r="AX228" s="330"/>
      <c r="AY228" s="330"/>
      <c r="AZ228" s="330"/>
      <c r="BA228" s="330"/>
      <c r="BB228" s="330"/>
      <c r="BC228" s="330"/>
      <c r="BD228" s="330"/>
      <c r="BE228" s="330"/>
      <c r="BF228" s="330"/>
      <c r="BG228" s="330"/>
      <c r="BH228" s="330"/>
      <c r="BI228" s="330"/>
      <c r="BJ228" s="330"/>
      <c r="BK228" s="330"/>
      <c r="BL228" s="330"/>
      <c r="BM228" s="330"/>
      <c r="BN228" s="330"/>
      <c r="BO228" s="330"/>
      <c r="BP228" s="330"/>
      <c r="BQ228" s="330"/>
      <c r="BR228" s="330"/>
      <c r="BS228" s="330"/>
      <c r="BT228" s="330"/>
      <c r="BU228" s="330"/>
      <c r="BV228" s="330"/>
      <c r="BW228" s="330"/>
      <c r="BX228" s="330"/>
      <c r="BY228" s="330"/>
      <c r="BZ228" s="330"/>
      <c r="CA228" s="330"/>
      <c r="CB228" s="330">
        <f>'304-рис отварной'!C19/'304-рис отварной'!C24*'304-рис отварной'!C25</f>
        <v>5.3999999999999999E-2</v>
      </c>
      <c r="CC228" s="330"/>
      <c r="CD228" s="330"/>
      <c r="CE228" s="330"/>
      <c r="CF228" s="330"/>
      <c r="CG228" s="330"/>
      <c r="CH228" s="330"/>
      <c r="CI228" s="330"/>
      <c r="CJ228" s="330"/>
      <c r="CK228" s="330"/>
      <c r="CL228" s="330"/>
      <c r="CM228" s="330"/>
      <c r="CN228" s="330"/>
      <c r="CO228" s="330"/>
      <c r="CP228" s="330"/>
      <c r="CQ228" s="330"/>
      <c r="CR228" s="330"/>
      <c r="CS228" s="330"/>
      <c r="CT228" s="330"/>
      <c r="CU228" s="330"/>
      <c r="CV228" s="330"/>
      <c r="CW228" s="330"/>
      <c r="CX228" s="330"/>
      <c r="CY228" s="330"/>
      <c r="CZ228" s="330"/>
      <c r="DA228" s="330"/>
      <c r="DB228" s="330"/>
      <c r="DC228" s="330">
        <f>'305-рис припущенный'!C22/'305-рис припущенный'!C25*'305-рис припущенный'!C26</f>
        <v>3.15E-3</v>
      </c>
      <c r="DD228" s="330"/>
      <c r="DE228" s="330"/>
      <c r="DF228" s="330"/>
      <c r="DG228" s="330"/>
      <c r="DH228" s="330"/>
      <c r="DI228" s="330"/>
      <c r="DJ228" s="330"/>
      <c r="DK228" s="330"/>
      <c r="DL228" s="330"/>
      <c r="DM228" s="330"/>
      <c r="DN228" s="330"/>
      <c r="DO228" s="330"/>
      <c r="DP228" s="330"/>
      <c r="DQ228" s="330"/>
      <c r="DR228" s="330"/>
      <c r="DS228" s="330"/>
      <c r="DT228" s="330"/>
      <c r="DU228" s="330"/>
      <c r="DV228" s="330"/>
      <c r="DW228" s="330"/>
      <c r="DX228" s="330"/>
      <c r="DY228" s="330"/>
      <c r="DZ228" s="330"/>
      <c r="EA228" s="330"/>
      <c r="EB228" s="330"/>
      <c r="EC228" s="330"/>
      <c r="ED228" s="330"/>
      <c r="EE228" s="330"/>
      <c r="EF228" s="330"/>
      <c r="EG228" s="330"/>
      <c r="EH228" s="330"/>
      <c r="EI228" s="330"/>
      <c r="EJ228" s="330"/>
      <c r="EK228" s="330"/>
      <c r="EL228" s="330"/>
      <c r="EM228" s="330"/>
      <c r="EN228" s="330"/>
      <c r="EO228" s="330"/>
      <c r="EP228" s="330"/>
      <c r="EQ228" s="330"/>
      <c r="ER228" s="330"/>
      <c r="ES228" s="330"/>
      <c r="ET228" s="330"/>
      <c r="EU228" s="330"/>
      <c r="EV228" s="330"/>
      <c r="EW228" s="330"/>
      <c r="EX228" s="330"/>
      <c r="EY228" s="1032">
        <f t="shared" si="18"/>
        <v>6.3899999999999998E-2</v>
      </c>
      <c r="EZ228" s="616"/>
      <c r="FA228" s="616"/>
      <c r="FB228" s="616"/>
      <c r="FC228" s="616"/>
      <c r="FD228" s="616"/>
      <c r="FE228" s="616"/>
      <c r="FF228" s="616"/>
      <c r="FG228" s="616"/>
      <c r="FH228" s="616"/>
      <c r="FI228" s="616"/>
      <c r="FJ228" s="616"/>
    </row>
    <row r="229" spans="1:166" s="1354" customFormat="1" ht="14.7" customHeight="1" x14ac:dyDescent="0.25">
      <c r="A229" s="421">
        <v>225</v>
      </c>
      <c r="B229" s="292" t="str">
        <f>'305-рис припущенный'!A9</f>
        <v>Рис припущенный</v>
      </c>
      <c r="C229" s="418">
        <f>'305-рис припущенный'!C26</f>
        <v>150</v>
      </c>
      <c r="D229" s="1211">
        <f>24.26/1000*C229</f>
        <v>3.64</v>
      </c>
      <c r="E229" s="1211">
        <f>28.66/1000*C229</f>
        <v>4.3</v>
      </c>
      <c r="F229" s="1211">
        <f>244.46/1000*C229</f>
        <v>36.67</v>
      </c>
      <c r="G229" s="1212">
        <f>1333/1000*C229</f>
        <v>200</v>
      </c>
      <c r="H229" s="418">
        <f>'305-рис припущенный'!J7</f>
        <v>305</v>
      </c>
      <c r="I229" s="1234">
        <f>'305-рис припущенный'!F28</f>
        <v>8.94</v>
      </c>
      <c r="J229" s="330"/>
      <c r="K229" s="330"/>
      <c r="L229" s="330"/>
      <c r="M229" s="330"/>
      <c r="N229" s="330"/>
      <c r="O229" s="330"/>
      <c r="P229" s="330"/>
      <c r="Q229" s="330"/>
      <c r="R229" s="330"/>
      <c r="S229" s="330"/>
      <c r="T229" s="330"/>
      <c r="U229" s="330"/>
      <c r="V229" s="330">
        <f>'305-рис припущенный'!C21/'305-рис припущенный'!C25*'305-рис припущенный'!C26</f>
        <v>5.2500000000000003E-3</v>
      </c>
      <c r="W229" s="330"/>
      <c r="X229" s="330"/>
      <c r="Y229" s="330"/>
      <c r="Z229" s="330"/>
      <c r="AA229" s="330"/>
      <c r="AB229" s="330"/>
      <c r="AC229" s="330"/>
      <c r="AD229" s="330"/>
      <c r="AE229" s="330"/>
      <c r="AF229" s="330"/>
      <c r="AG229" s="330"/>
      <c r="AH229" s="330"/>
      <c r="AI229" s="330"/>
      <c r="AJ229" s="330"/>
      <c r="AK229" s="330"/>
      <c r="AL229" s="330"/>
      <c r="AM229" s="330"/>
      <c r="AN229" s="330"/>
      <c r="AO229" s="330"/>
      <c r="AP229" s="330"/>
      <c r="AQ229" s="330"/>
      <c r="AR229" s="330"/>
      <c r="AS229" s="330"/>
      <c r="AT229" s="330"/>
      <c r="AU229" s="330"/>
      <c r="AV229" s="330"/>
      <c r="AW229" s="330"/>
      <c r="AX229" s="330"/>
      <c r="AY229" s="330"/>
      <c r="AZ229" s="330"/>
      <c r="BA229" s="330"/>
      <c r="BB229" s="330"/>
      <c r="BC229" s="330"/>
      <c r="BD229" s="330"/>
      <c r="BE229" s="330"/>
      <c r="BF229" s="330"/>
      <c r="BG229" s="330"/>
      <c r="BH229" s="330"/>
      <c r="BI229" s="330"/>
      <c r="BJ229" s="330"/>
      <c r="BK229" s="330"/>
      <c r="BL229" s="330"/>
      <c r="BM229" s="330"/>
      <c r="BN229" s="330"/>
      <c r="BO229" s="330"/>
      <c r="BP229" s="330"/>
      <c r="BQ229" s="330"/>
      <c r="BR229" s="330"/>
      <c r="BS229" s="330"/>
      <c r="BT229" s="330"/>
      <c r="BU229" s="330"/>
      <c r="BV229" s="330"/>
      <c r="BW229" s="330"/>
      <c r="BX229" s="330"/>
      <c r="BY229" s="330"/>
      <c r="BZ229" s="330"/>
      <c r="CA229" s="330"/>
      <c r="CB229" s="330">
        <f>'305-рис припущенный'!C19/'305-рис припущенный'!C25*'305-рис припущенный'!C26</f>
        <v>5.2499999999999998E-2</v>
      </c>
      <c r="CC229" s="330"/>
      <c r="CD229" s="330"/>
      <c r="CE229" s="330"/>
      <c r="CF229" s="330"/>
      <c r="CG229" s="330"/>
      <c r="CH229" s="330"/>
      <c r="CI229" s="330"/>
      <c r="CJ229" s="330"/>
      <c r="CK229" s="330"/>
      <c r="CL229" s="330"/>
      <c r="CM229" s="330"/>
      <c r="CN229" s="330"/>
      <c r="CO229" s="330"/>
      <c r="CP229" s="330"/>
      <c r="CQ229" s="330"/>
      <c r="CR229" s="330"/>
      <c r="CS229" s="330"/>
      <c r="CT229" s="330"/>
      <c r="CU229" s="330"/>
      <c r="CV229" s="330"/>
      <c r="CW229" s="330"/>
      <c r="CX229" s="330"/>
      <c r="CY229" s="330"/>
      <c r="CZ229" s="330"/>
      <c r="DA229" s="330"/>
      <c r="DB229" s="330"/>
      <c r="DC229" s="330">
        <f>'305-рис припущенный'!C22/'305-рис припущенный'!C25*'305-рис припущенный'!C26</f>
        <v>3.15E-3</v>
      </c>
      <c r="DD229" s="330"/>
      <c r="DE229" s="330"/>
      <c r="DF229" s="330"/>
      <c r="DG229" s="330"/>
      <c r="DH229" s="330"/>
      <c r="DI229" s="330"/>
      <c r="DJ229" s="330"/>
      <c r="DK229" s="330"/>
      <c r="DL229" s="330"/>
      <c r="DM229" s="330"/>
      <c r="DN229" s="330"/>
      <c r="DO229" s="330"/>
      <c r="DP229" s="330"/>
      <c r="DQ229" s="330"/>
      <c r="DR229" s="330"/>
      <c r="DS229" s="330"/>
      <c r="DT229" s="330"/>
      <c r="DU229" s="330"/>
      <c r="DV229" s="330"/>
      <c r="DW229" s="330"/>
      <c r="DX229" s="330"/>
      <c r="DY229" s="330"/>
      <c r="DZ229" s="330"/>
      <c r="EA229" s="330"/>
      <c r="EB229" s="330"/>
      <c r="EC229" s="330"/>
      <c r="ED229" s="330"/>
      <c r="EE229" s="330"/>
      <c r="EF229" s="330"/>
      <c r="EG229" s="330"/>
      <c r="EH229" s="330"/>
      <c r="EI229" s="330"/>
      <c r="EJ229" s="330"/>
      <c r="EK229" s="330"/>
      <c r="EL229" s="330"/>
      <c r="EM229" s="330"/>
      <c r="EN229" s="330"/>
      <c r="EO229" s="330"/>
      <c r="EP229" s="330"/>
      <c r="EQ229" s="330"/>
      <c r="ER229" s="330"/>
      <c r="ES229" s="330"/>
      <c r="ET229" s="330"/>
      <c r="EU229" s="330"/>
      <c r="EV229" s="330"/>
      <c r="EW229" s="330"/>
      <c r="EX229" s="330"/>
      <c r="EY229" s="1032">
        <f t="shared" si="18"/>
        <v>6.0900000000000003E-2</v>
      </c>
      <c r="EZ229" s="616"/>
      <c r="FA229" s="616"/>
      <c r="FB229" s="616"/>
      <c r="FC229" s="616"/>
      <c r="FD229" s="616"/>
      <c r="FE229" s="616"/>
      <c r="FF229" s="616"/>
      <c r="FG229" s="616"/>
      <c r="FH229" s="616"/>
      <c r="FI229" s="616"/>
      <c r="FJ229" s="616"/>
    </row>
    <row r="230" spans="1:166" ht="14.7" customHeight="1" x14ac:dyDescent="0.25">
      <c r="A230" s="421">
        <v>226</v>
      </c>
      <c r="B230" s="169" t="str">
        <f>'309-макаронные'!A9</f>
        <v>Макаронные изделия отварные с маслом</v>
      </c>
      <c r="C230" s="419">
        <f>'309-макаронные'!C24</f>
        <v>150</v>
      </c>
      <c r="D230" s="1211">
        <f>36.78/1000*C230</f>
        <v>5.52</v>
      </c>
      <c r="E230" s="1211">
        <f>30.1/1000*C230</f>
        <v>4.5199999999999996</v>
      </c>
      <c r="F230" s="1211">
        <f>176.3/1000*C230</f>
        <v>26.45</v>
      </c>
      <c r="G230" s="1212">
        <f>1123/1000*C230</f>
        <v>168</v>
      </c>
      <c r="H230" s="419">
        <f>'309-макаронные'!J7</f>
        <v>309</v>
      </c>
      <c r="I230" s="1234">
        <f>'309-макаронные'!F26</f>
        <v>6.33</v>
      </c>
      <c r="J230" s="330"/>
      <c r="K230" s="330"/>
      <c r="L230" s="330"/>
      <c r="M230" s="330"/>
      <c r="N230" s="330"/>
      <c r="O230" s="330"/>
      <c r="P230" s="330"/>
      <c r="Q230" s="330"/>
      <c r="R230" s="330"/>
      <c r="S230" s="330"/>
      <c r="T230" s="330"/>
      <c r="U230" s="330"/>
      <c r="V230" s="330">
        <f>'309-макаронные'!C20/'309-макаронные'!C23*'309-макаронные'!C24</f>
        <v>5.2500000000000003E-3</v>
      </c>
      <c r="W230" s="330"/>
      <c r="X230" s="330"/>
      <c r="Y230" s="330"/>
      <c r="Z230" s="330"/>
      <c r="AA230" s="330"/>
      <c r="AB230" s="330"/>
      <c r="AC230" s="330"/>
      <c r="AD230" s="330"/>
      <c r="AE230" s="330"/>
      <c r="AF230" s="330"/>
      <c r="AG230" s="330"/>
      <c r="AH230" s="330"/>
      <c r="AI230" s="330"/>
      <c r="AJ230" s="330"/>
      <c r="AK230" s="330"/>
      <c r="AL230" s="330"/>
      <c r="AM230" s="330"/>
      <c r="AN230" s="330"/>
      <c r="AO230" s="330"/>
      <c r="AP230" s="330"/>
      <c r="AQ230" s="330"/>
      <c r="AR230" s="330"/>
      <c r="AS230" s="330"/>
      <c r="AT230" s="330"/>
      <c r="AU230" s="330"/>
      <c r="AV230" s="330"/>
      <c r="AW230" s="330"/>
      <c r="AX230" s="330"/>
      <c r="AY230" s="330"/>
      <c r="AZ230" s="330"/>
      <c r="BA230" s="330"/>
      <c r="BB230" s="330"/>
      <c r="BC230" s="330"/>
      <c r="BD230" s="330"/>
      <c r="BE230" s="330"/>
      <c r="BF230" s="330"/>
      <c r="BG230" s="330"/>
      <c r="BH230" s="330"/>
      <c r="BI230" s="330"/>
      <c r="BJ230" s="330"/>
      <c r="BK230" s="330"/>
      <c r="BL230" s="330"/>
      <c r="BM230" s="330"/>
      <c r="BN230" s="330"/>
      <c r="BO230" s="330"/>
      <c r="BP230" s="330"/>
      <c r="BQ230" s="330"/>
      <c r="BR230" s="330"/>
      <c r="BS230" s="330"/>
      <c r="BT230" s="330"/>
      <c r="BU230" s="330"/>
      <c r="BV230" s="330"/>
      <c r="BW230" s="330"/>
      <c r="BX230" s="330"/>
      <c r="BY230" s="330"/>
      <c r="BZ230" s="330"/>
      <c r="CA230" s="330"/>
      <c r="CB230" s="330"/>
      <c r="CC230" s="330"/>
      <c r="CD230" s="330"/>
      <c r="CE230" s="330"/>
      <c r="CF230" s="330"/>
      <c r="CG230" s="330">
        <f>'202-макароны отвар'!C19*'309-макаронные'!C19/1000*'309-макаронные'!C24</f>
        <v>5.0930000000000003E-2</v>
      </c>
      <c r="CH230" s="330"/>
      <c r="CI230" s="330"/>
      <c r="CJ230" s="330"/>
      <c r="CK230" s="330"/>
      <c r="CL230" s="330"/>
      <c r="CM230" s="330"/>
      <c r="CN230" s="330"/>
      <c r="CO230" s="330"/>
      <c r="CP230" s="330"/>
      <c r="CQ230" s="330"/>
      <c r="CR230" s="330"/>
      <c r="CS230" s="330"/>
      <c r="CT230" s="330"/>
      <c r="CU230" s="330"/>
      <c r="CV230" s="330"/>
      <c r="CW230" s="330"/>
      <c r="CX230" s="330"/>
      <c r="CY230" s="330"/>
      <c r="CZ230" s="330"/>
      <c r="DA230" s="330"/>
      <c r="DB230" s="330"/>
      <c r="DC230" s="330">
        <f>'202-макароны отвар'!C21*'309-макаронные'!C19/1000*'309-макаронные'!C24</f>
        <v>2.5500000000000002E-3</v>
      </c>
      <c r="DD230" s="330"/>
      <c r="DE230" s="330"/>
      <c r="DF230" s="330"/>
      <c r="DG230" s="330"/>
      <c r="DH230" s="330"/>
      <c r="DI230" s="330"/>
      <c r="DJ230" s="330"/>
      <c r="DK230" s="330"/>
      <c r="DL230" s="330"/>
      <c r="DM230" s="330"/>
      <c r="DN230" s="330"/>
      <c r="DO230" s="330"/>
      <c r="DP230" s="330"/>
      <c r="DQ230" s="330"/>
      <c r="DR230" s="330"/>
      <c r="DS230" s="330"/>
      <c r="DT230" s="330"/>
      <c r="DU230" s="330"/>
      <c r="DV230" s="330"/>
      <c r="DW230" s="330"/>
      <c r="DX230" s="330"/>
      <c r="DY230" s="330"/>
      <c r="DZ230" s="330"/>
      <c r="EA230" s="330"/>
      <c r="EB230" s="330"/>
      <c r="EC230" s="330"/>
      <c r="ED230" s="330"/>
      <c r="EE230" s="330"/>
      <c r="EF230" s="330"/>
      <c r="EG230" s="330"/>
      <c r="EH230" s="330"/>
      <c r="EI230" s="330"/>
      <c r="EJ230" s="330"/>
      <c r="EK230" s="330"/>
      <c r="EL230" s="330"/>
      <c r="EM230" s="330"/>
      <c r="EN230" s="330"/>
      <c r="EO230" s="330"/>
      <c r="EP230" s="330"/>
      <c r="EQ230" s="330"/>
      <c r="ER230" s="330"/>
      <c r="ES230" s="330"/>
      <c r="ET230" s="330"/>
      <c r="EU230" s="330"/>
      <c r="EV230" s="330"/>
      <c r="EW230" s="330"/>
      <c r="EX230" s="330"/>
      <c r="EY230" s="1032">
        <f t="shared" si="18"/>
        <v>5.8729999999999997E-2</v>
      </c>
    </row>
    <row r="231" spans="1:166" ht="14.7" customHeight="1" x14ac:dyDescent="0.25">
      <c r="A231" s="421">
        <v>227</v>
      </c>
      <c r="B231" s="169" t="str">
        <f>'310-картофель'!A9</f>
        <v>Картофель отварной</v>
      </c>
      <c r="C231" s="419">
        <f>'310-картофель'!C24</f>
        <v>150</v>
      </c>
      <c r="D231" s="1211">
        <f>19.06/1000*C231</f>
        <v>2.86</v>
      </c>
      <c r="E231" s="1211">
        <f>28.79/1000*C231</f>
        <v>4.32</v>
      </c>
      <c r="F231" s="1211">
        <f>153.42/1000*C231</f>
        <v>23.01</v>
      </c>
      <c r="G231" s="1212">
        <f>949/1000*C231</f>
        <v>142</v>
      </c>
      <c r="H231" s="419">
        <f>'310-картофель'!J7</f>
        <v>310</v>
      </c>
      <c r="I231" s="483">
        <f>'310-картофель'!F26</f>
        <v>13.72</v>
      </c>
      <c r="J231" s="330"/>
      <c r="K231" s="330"/>
      <c r="L231" s="330"/>
      <c r="M231" s="330"/>
      <c r="N231" s="330"/>
      <c r="O231" s="330"/>
      <c r="P231" s="330"/>
      <c r="Q231" s="330"/>
      <c r="R231" s="330"/>
      <c r="S231" s="330"/>
      <c r="T231" s="330"/>
      <c r="U231" s="330"/>
      <c r="V231" s="330">
        <f>'310-картофель'!C20/'310-картофель'!C23*'310-картофель'!C24</f>
        <v>5.2500000000000003E-3</v>
      </c>
      <c r="W231" s="330"/>
      <c r="X231" s="330"/>
      <c r="Y231" s="330"/>
      <c r="Z231" s="330"/>
      <c r="AA231" s="330"/>
      <c r="AB231" s="330"/>
      <c r="AC231" s="330"/>
      <c r="AD231" s="330"/>
      <c r="AE231" s="330"/>
      <c r="AF231" s="330"/>
      <c r="AG231" s="330"/>
      <c r="AH231" s="330">
        <f>'310-картофель'!C19/'310-картофель'!C23*'310-картофель'!C24</f>
        <v>0.19994999999999999</v>
      </c>
      <c r="AI231" s="330"/>
      <c r="AJ231" s="330"/>
      <c r="AK231" s="330"/>
      <c r="AL231" s="330"/>
      <c r="AM231" s="330"/>
      <c r="AN231" s="330"/>
      <c r="AO231" s="330"/>
      <c r="AP231" s="330"/>
      <c r="AQ231" s="330"/>
      <c r="AR231" s="330"/>
      <c r="AS231" s="330"/>
      <c r="AT231" s="330"/>
      <c r="AU231" s="330"/>
      <c r="AV231" s="330"/>
      <c r="AW231" s="330"/>
      <c r="AX231" s="330"/>
      <c r="AY231" s="330"/>
      <c r="AZ231" s="330"/>
      <c r="BA231" s="330"/>
      <c r="BB231" s="330"/>
      <c r="BC231" s="330"/>
      <c r="BD231" s="330"/>
      <c r="BE231" s="330"/>
      <c r="BF231" s="330"/>
      <c r="BG231" s="330"/>
      <c r="BH231" s="330"/>
      <c r="BI231" s="330"/>
      <c r="BJ231" s="330"/>
      <c r="BK231" s="330"/>
      <c r="BL231" s="330"/>
      <c r="BM231" s="330"/>
      <c r="BN231" s="330"/>
      <c r="BO231" s="330"/>
      <c r="BP231" s="330"/>
      <c r="BQ231" s="330"/>
      <c r="BR231" s="330"/>
      <c r="BS231" s="330"/>
      <c r="BT231" s="330"/>
      <c r="BU231" s="330"/>
      <c r="BV231" s="330"/>
      <c r="BW231" s="330"/>
      <c r="BX231" s="330"/>
      <c r="BY231" s="330"/>
      <c r="BZ231" s="330"/>
      <c r="CA231" s="330"/>
      <c r="CB231" s="330"/>
      <c r="CC231" s="330"/>
      <c r="CD231" s="330"/>
      <c r="CE231" s="330"/>
      <c r="CF231" s="330"/>
      <c r="CG231" s="330"/>
      <c r="CH231" s="330"/>
      <c r="CI231" s="330"/>
      <c r="CJ231" s="330"/>
      <c r="CK231" s="330"/>
      <c r="CL231" s="330"/>
      <c r="CM231" s="330"/>
      <c r="CN231" s="330"/>
      <c r="CO231" s="330"/>
      <c r="CP231" s="330"/>
      <c r="CQ231" s="330"/>
      <c r="CR231" s="330"/>
      <c r="CS231" s="330"/>
      <c r="CT231" s="330"/>
      <c r="CU231" s="330"/>
      <c r="CV231" s="330"/>
      <c r="CW231" s="330"/>
      <c r="CX231" s="330"/>
      <c r="CY231" s="330"/>
      <c r="CZ231" s="330"/>
      <c r="DA231" s="330"/>
      <c r="DB231" s="330"/>
      <c r="DC231" s="330"/>
      <c r="DD231" s="330"/>
      <c r="DE231" s="330"/>
      <c r="DF231" s="330"/>
      <c r="DG231" s="330"/>
      <c r="DH231" s="330"/>
      <c r="DI231" s="330"/>
      <c r="DJ231" s="330"/>
      <c r="DK231" s="330"/>
      <c r="DL231" s="330"/>
      <c r="DM231" s="330"/>
      <c r="DN231" s="330"/>
      <c r="DO231" s="330"/>
      <c r="DP231" s="330"/>
      <c r="DQ231" s="330"/>
      <c r="DR231" s="330"/>
      <c r="DS231" s="330"/>
      <c r="DT231" s="330"/>
      <c r="DU231" s="330"/>
      <c r="DV231" s="330"/>
      <c r="DW231" s="330"/>
      <c r="DX231" s="330"/>
      <c r="DY231" s="330"/>
      <c r="DZ231" s="330"/>
      <c r="EA231" s="330"/>
      <c r="EB231" s="330"/>
      <c r="EC231" s="330"/>
      <c r="ED231" s="330"/>
      <c r="EE231" s="330"/>
      <c r="EF231" s="330"/>
      <c r="EG231" s="330"/>
      <c r="EH231" s="330"/>
      <c r="EI231" s="330"/>
      <c r="EJ231" s="330"/>
      <c r="EK231" s="330"/>
      <c r="EL231" s="330"/>
      <c r="EM231" s="330"/>
      <c r="EN231" s="330"/>
      <c r="EO231" s="330"/>
      <c r="EP231" s="330"/>
      <c r="EQ231" s="330"/>
      <c r="ER231" s="330"/>
      <c r="ES231" s="330"/>
      <c r="ET231" s="330"/>
      <c r="EU231" s="330"/>
      <c r="EV231" s="330"/>
      <c r="EW231" s="330"/>
      <c r="EX231" s="330"/>
      <c r="EY231" s="1032">
        <f t="shared" si="18"/>
        <v>0.20519999999999999</v>
      </c>
    </row>
    <row r="232" spans="1:166" ht="14.7" customHeight="1" x14ac:dyDescent="0.25">
      <c r="A232" s="421">
        <v>228</v>
      </c>
      <c r="B232" s="169" t="str">
        <f>'310-картофель молодой'!A9</f>
        <v>Картофель отварной молодой</v>
      </c>
      <c r="C232" s="419">
        <f>'310-картофель молодой'!C24</f>
        <v>150</v>
      </c>
      <c r="D232" s="1211">
        <f>19.06/1000*C232</f>
        <v>2.86</v>
      </c>
      <c r="E232" s="1211">
        <f>28.79/1000*C232</f>
        <v>4.32</v>
      </c>
      <c r="F232" s="1211">
        <f>153.42/1000*C232</f>
        <v>23.01</v>
      </c>
      <c r="G232" s="1212">
        <f>949/1000*C232</f>
        <v>142</v>
      </c>
      <c r="H232" s="419">
        <f>'310-картофель молодой'!J7</f>
        <v>310</v>
      </c>
      <c r="I232" s="483">
        <f>'310-картофель молодой'!F26</f>
        <v>8.56</v>
      </c>
      <c r="J232" s="330"/>
      <c r="K232" s="330"/>
      <c r="L232" s="330"/>
      <c r="M232" s="330"/>
      <c r="N232" s="330"/>
      <c r="O232" s="330"/>
      <c r="P232" s="330"/>
      <c r="Q232" s="330"/>
      <c r="R232" s="330"/>
      <c r="S232" s="330"/>
      <c r="T232" s="330"/>
      <c r="U232" s="330"/>
      <c r="V232" s="330">
        <f>'310-картофель молодой'!C20/'310-картофель молодой'!C23*'310-картофель молодой'!C24</f>
        <v>5.2500000000000003E-3</v>
      </c>
      <c r="W232" s="330"/>
      <c r="X232" s="330"/>
      <c r="Y232" s="330"/>
      <c r="Z232" s="330"/>
      <c r="AA232" s="330"/>
      <c r="AB232" s="330"/>
      <c r="AC232" s="330"/>
      <c r="AD232" s="330"/>
      <c r="AE232" s="330"/>
      <c r="AF232" s="330"/>
      <c r="AG232" s="330"/>
      <c r="AH232" s="330"/>
      <c r="AI232" s="330">
        <f>'310-картофель молодой'!C19/'310-картофель молодой'!C23*'310-картофель молодой'!C24</f>
        <v>0.19350000000000001</v>
      </c>
      <c r="AJ232" s="330"/>
      <c r="AK232" s="330"/>
      <c r="AL232" s="330"/>
      <c r="AM232" s="330"/>
      <c r="AN232" s="330"/>
      <c r="AO232" s="330"/>
      <c r="AP232" s="330"/>
      <c r="AQ232" s="330"/>
      <c r="AR232" s="330"/>
      <c r="AS232" s="330"/>
      <c r="AT232" s="330"/>
      <c r="AU232" s="330"/>
      <c r="AV232" s="330"/>
      <c r="AW232" s="330"/>
      <c r="AX232" s="330"/>
      <c r="AY232" s="330"/>
      <c r="AZ232" s="330"/>
      <c r="BA232" s="330"/>
      <c r="BB232" s="330"/>
      <c r="BC232" s="330"/>
      <c r="BD232" s="330"/>
      <c r="BE232" s="330"/>
      <c r="BF232" s="330"/>
      <c r="BG232" s="330"/>
      <c r="BH232" s="330"/>
      <c r="BI232" s="330"/>
      <c r="BJ232" s="330"/>
      <c r="BK232" s="330"/>
      <c r="BL232" s="330"/>
      <c r="BM232" s="330"/>
      <c r="BN232" s="330"/>
      <c r="BO232" s="330"/>
      <c r="BP232" s="330"/>
      <c r="BQ232" s="330"/>
      <c r="BR232" s="330"/>
      <c r="BS232" s="330"/>
      <c r="BT232" s="330"/>
      <c r="BU232" s="330"/>
      <c r="BV232" s="330"/>
      <c r="BW232" s="330"/>
      <c r="BX232" s="330"/>
      <c r="BY232" s="330"/>
      <c r="BZ232" s="330"/>
      <c r="CA232" s="330"/>
      <c r="CB232" s="330"/>
      <c r="CC232" s="330"/>
      <c r="CD232" s="330"/>
      <c r="CE232" s="330"/>
      <c r="CF232" s="330"/>
      <c r="CG232" s="330"/>
      <c r="CH232" s="330"/>
      <c r="CI232" s="330"/>
      <c r="CJ232" s="330"/>
      <c r="CK232" s="330"/>
      <c r="CL232" s="330"/>
      <c r="CM232" s="330"/>
      <c r="CN232" s="330"/>
      <c r="CO232" s="330"/>
      <c r="CP232" s="330"/>
      <c r="CQ232" s="330"/>
      <c r="CR232" s="330"/>
      <c r="CS232" s="330"/>
      <c r="CT232" s="330"/>
      <c r="CU232" s="330"/>
      <c r="CV232" s="330"/>
      <c r="CW232" s="330"/>
      <c r="CX232" s="330"/>
      <c r="CY232" s="330"/>
      <c r="CZ232" s="330"/>
      <c r="DA232" s="330"/>
      <c r="DB232" s="330"/>
      <c r="DC232" s="330"/>
      <c r="DD232" s="330"/>
      <c r="DE232" s="330"/>
      <c r="DF232" s="330"/>
      <c r="DG232" s="330"/>
      <c r="DH232" s="330"/>
      <c r="DI232" s="330"/>
      <c r="DJ232" s="330"/>
      <c r="DK232" s="330"/>
      <c r="DL232" s="330"/>
      <c r="DM232" s="330"/>
      <c r="DN232" s="330"/>
      <c r="DO232" s="330"/>
      <c r="DP232" s="330"/>
      <c r="DQ232" s="330"/>
      <c r="DR232" s="330"/>
      <c r="DS232" s="330"/>
      <c r="DT232" s="330"/>
      <c r="DU232" s="330"/>
      <c r="DV232" s="330"/>
      <c r="DW232" s="330"/>
      <c r="DX232" s="330"/>
      <c r="DY232" s="330"/>
      <c r="DZ232" s="330"/>
      <c r="EA232" s="330"/>
      <c r="EB232" s="330"/>
      <c r="EC232" s="330"/>
      <c r="ED232" s="330"/>
      <c r="EE232" s="330"/>
      <c r="EF232" s="330"/>
      <c r="EG232" s="330"/>
      <c r="EH232" s="330"/>
      <c r="EI232" s="330"/>
      <c r="EJ232" s="330"/>
      <c r="EK232" s="330"/>
      <c r="EL232" s="330"/>
      <c r="EM232" s="330"/>
      <c r="EN232" s="330"/>
      <c r="EO232" s="330"/>
      <c r="EP232" s="330"/>
      <c r="EQ232" s="330"/>
      <c r="ER232" s="330"/>
      <c r="ES232" s="330"/>
      <c r="ET232" s="330"/>
      <c r="EU232" s="330"/>
      <c r="EV232" s="330"/>
      <c r="EW232" s="330"/>
      <c r="EX232" s="330"/>
      <c r="EY232" s="1032">
        <f t="shared" si="18"/>
        <v>0.19875000000000001</v>
      </c>
    </row>
    <row r="233" spans="1:166" ht="14.7" customHeight="1" x14ac:dyDescent="0.25">
      <c r="A233" s="421">
        <v>229</v>
      </c>
      <c r="B233" s="169" t="str">
        <f>'312-пюре 200'!A9</f>
        <v>Пюре картофельное</v>
      </c>
      <c r="C233" s="419">
        <f>'312-пюре 200'!C25</f>
        <v>150</v>
      </c>
      <c r="D233" s="1211">
        <f>20.43/1000*C233</f>
        <v>3.06</v>
      </c>
      <c r="E233" s="1211">
        <f>28.79/1000*C233</f>
        <v>4.32</v>
      </c>
      <c r="F233" s="1211">
        <f>153.42/1000*C233</f>
        <v>23.01</v>
      </c>
      <c r="G233" s="1212">
        <f>949/1000*C233</f>
        <v>142</v>
      </c>
      <c r="H233" s="419">
        <f>'312-пюре 200'!J7</f>
        <v>312</v>
      </c>
      <c r="I233" s="1234">
        <f>'312-пюре 200'!F27</f>
        <v>14.17</v>
      </c>
      <c r="J233" s="330"/>
      <c r="K233" s="330"/>
      <c r="L233" s="330"/>
      <c r="M233" s="330"/>
      <c r="N233" s="330"/>
      <c r="O233" s="330"/>
      <c r="P233" s="330"/>
      <c r="Q233" s="330"/>
      <c r="R233" s="330"/>
      <c r="S233" s="330"/>
      <c r="T233" s="330"/>
      <c r="U233" s="330">
        <f>'312-пюре 200'!C20/'312-пюре 200'!C24*'312-пюре 200'!C25</f>
        <v>2.3699999999999999E-2</v>
      </c>
      <c r="V233" s="330">
        <f>'312-пюре 200'!C21/'312-пюре 200'!C24*'312-пюре 200'!C25</f>
        <v>5.2500000000000003E-3</v>
      </c>
      <c r="W233" s="330"/>
      <c r="X233" s="330"/>
      <c r="Y233" s="330"/>
      <c r="Z233" s="330"/>
      <c r="AA233" s="330"/>
      <c r="AB233" s="330"/>
      <c r="AC233" s="330"/>
      <c r="AD233" s="330"/>
      <c r="AE233" s="330"/>
      <c r="AF233" s="330"/>
      <c r="AG233" s="330"/>
      <c r="AH233" s="330">
        <f>'312-пюре 200'!C19/'312-пюре 200'!C24*'312-пюре 200'!C25</f>
        <v>0.17100000000000001</v>
      </c>
      <c r="AI233" s="330"/>
      <c r="AJ233" s="330"/>
      <c r="AK233" s="330"/>
      <c r="AL233" s="330"/>
      <c r="AM233" s="330"/>
      <c r="AN233" s="330"/>
      <c r="AO233" s="330"/>
      <c r="AP233" s="330"/>
      <c r="AQ233" s="330"/>
      <c r="AR233" s="330"/>
      <c r="AS233" s="330"/>
      <c r="AT233" s="330"/>
      <c r="AU233" s="330"/>
      <c r="AV233" s="330"/>
      <c r="AW233" s="330"/>
      <c r="AX233" s="330"/>
      <c r="AY233" s="330"/>
      <c r="AZ233" s="330"/>
      <c r="BA233" s="330"/>
      <c r="BB233" s="330"/>
      <c r="BC233" s="330"/>
      <c r="BD233" s="330"/>
      <c r="BE233" s="330"/>
      <c r="BF233" s="330"/>
      <c r="BG233" s="330"/>
      <c r="BH233" s="330"/>
      <c r="BI233" s="330"/>
      <c r="BJ233" s="330"/>
      <c r="BK233" s="330"/>
      <c r="BL233" s="330"/>
      <c r="BM233" s="330"/>
      <c r="BN233" s="330"/>
      <c r="BO233" s="330"/>
      <c r="BP233" s="330"/>
      <c r="BQ233" s="330"/>
      <c r="BR233" s="330"/>
      <c r="BS233" s="330"/>
      <c r="BT233" s="330"/>
      <c r="BU233" s="330"/>
      <c r="BV233" s="330"/>
      <c r="BW233" s="330"/>
      <c r="BX233" s="330"/>
      <c r="BY233" s="330"/>
      <c r="BZ233" s="330"/>
      <c r="CA233" s="330"/>
      <c r="CB233" s="330"/>
      <c r="CC233" s="330"/>
      <c r="CD233" s="330"/>
      <c r="CE233" s="330"/>
      <c r="CF233" s="330"/>
      <c r="CG233" s="330"/>
      <c r="CH233" s="330"/>
      <c r="CI233" s="330"/>
      <c r="CJ233" s="330"/>
      <c r="CK233" s="330"/>
      <c r="CL233" s="330"/>
      <c r="CM233" s="330"/>
      <c r="CN233" s="330"/>
      <c r="CO233" s="330"/>
      <c r="CP233" s="330"/>
      <c r="CQ233" s="330"/>
      <c r="CR233" s="330"/>
      <c r="CS233" s="330"/>
      <c r="CT233" s="330"/>
      <c r="CU233" s="330"/>
      <c r="CV233" s="330"/>
      <c r="CW233" s="330"/>
      <c r="CX233" s="330"/>
      <c r="CY233" s="330"/>
      <c r="CZ233" s="330"/>
      <c r="DA233" s="330"/>
      <c r="DB233" s="330"/>
      <c r="DC233" s="330"/>
      <c r="DD233" s="330"/>
      <c r="DE233" s="330"/>
      <c r="DF233" s="330"/>
      <c r="DG233" s="330"/>
      <c r="DH233" s="330"/>
      <c r="DI233" s="330"/>
      <c r="DJ233" s="330"/>
      <c r="DK233" s="330"/>
      <c r="DL233" s="330"/>
      <c r="DM233" s="330"/>
      <c r="DN233" s="330"/>
      <c r="DO233" s="330"/>
      <c r="DP233" s="330"/>
      <c r="DQ233" s="330"/>
      <c r="DR233" s="330"/>
      <c r="DS233" s="330"/>
      <c r="DT233" s="330"/>
      <c r="DU233" s="330"/>
      <c r="DV233" s="330"/>
      <c r="DW233" s="330"/>
      <c r="DX233" s="330"/>
      <c r="DY233" s="330"/>
      <c r="DZ233" s="330"/>
      <c r="EA233" s="330"/>
      <c r="EB233" s="330"/>
      <c r="EC233" s="330"/>
      <c r="ED233" s="330"/>
      <c r="EE233" s="330"/>
      <c r="EF233" s="330"/>
      <c r="EG233" s="330"/>
      <c r="EH233" s="330"/>
      <c r="EI233" s="330"/>
      <c r="EJ233" s="330"/>
      <c r="EK233" s="330"/>
      <c r="EL233" s="330"/>
      <c r="EM233" s="330"/>
      <c r="EN233" s="330"/>
      <c r="EO233" s="330"/>
      <c r="EP233" s="330"/>
      <c r="EQ233" s="330"/>
      <c r="ER233" s="330"/>
      <c r="ES233" s="330"/>
      <c r="ET233" s="330"/>
      <c r="EU233" s="330"/>
      <c r="EV233" s="330"/>
      <c r="EW233" s="330"/>
      <c r="EX233" s="330"/>
      <c r="EY233" s="1032">
        <f t="shared" si="18"/>
        <v>0.19994999999999999</v>
      </c>
    </row>
    <row r="234" spans="1:166" ht="14.7" customHeight="1" x14ac:dyDescent="0.25">
      <c r="A234" s="421">
        <v>230</v>
      </c>
      <c r="B234" s="169" t="str">
        <f>'314-картофель жар.'!A9</f>
        <v>Картофель жареный (из сырого)</v>
      </c>
      <c r="C234" s="419">
        <f>'314-картофель жар.'!C25</f>
        <v>100</v>
      </c>
      <c r="D234" s="1211">
        <f>27.53/1000*C234</f>
        <v>2.75</v>
      </c>
      <c r="E234" s="1211">
        <f>95.13/1000*C234</f>
        <v>9.51</v>
      </c>
      <c r="F234" s="1211">
        <f>220.32/1000*C234</f>
        <v>22.03</v>
      </c>
      <c r="G234" s="1212">
        <f>1848/1000*C234</f>
        <v>185</v>
      </c>
      <c r="H234" s="419">
        <f>'314-картофель жар.'!J7</f>
        <v>314</v>
      </c>
      <c r="I234" s="1234">
        <f>'314-картофель жар.'!F27</f>
        <v>10.86</v>
      </c>
      <c r="J234" s="330"/>
      <c r="K234" s="330"/>
      <c r="L234" s="330"/>
      <c r="M234" s="330"/>
      <c r="N234" s="330"/>
      <c r="O234" s="330"/>
      <c r="P234" s="330"/>
      <c r="Q234" s="330"/>
      <c r="R234" s="330"/>
      <c r="S234" s="330"/>
      <c r="T234" s="330"/>
      <c r="U234" s="330"/>
      <c r="V234" s="330"/>
      <c r="W234" s="330"/>
      <c r="X234" s="330"/>
      <c r="Y234" s="330"/>
      <c r="Z234" s="330"/>
      <c r="AA234" s="330"/>
      <c r="AB234" s="330"/>
      <c r="AC234" s="330"/>
      <c r="AD234" s="330"/>
      <c r="AE234" s="330"/>
      <c r="AF234" s="330"/>
      <c r="AG234" s="330"/>
      <c r="AH234" s="330">
        <f>'314-картофель жар.'!C19/10</f>
        <v>0.19320000000000001</v>
      </c>
      <c r="AI234" s="330"/>
      <c r="AJ234" s="330"/>
      <c r="AK234" s="330"/>
      <c r="AL234" s="330"/>
      <c r="AM234" s="330"/>
      <c r="AN234" s="330"/>
      <c r="AO234" s="330"/>
      <c r="AP234" s="330"/>
      <c r="AQ234" s="330"/>
      <c r="AR234" s="330"/>
      <c r="AS234" s="330"/>
      <c r="AT234" s="330"/>
      <c r="AU234" s="330"/>
      <c r="AV234" s="330"/>
      <c r="AW234" s="330"/>
      <c r="AX234" s="330"/>
      <c r="AY234" s="330"/>
      <c r="AZ234" s="330"/>
      <c r="BA234" s="330"/>
      <c r="BB234" s="330"/>
      <c r="BC234" s="330"/>
      <c r="BD234" s="330"/>
      <c r="BE234" s="330"/>
      <c r="BF234" s="330"/>
      <c r="BG234" s="330"/>
      <c r="BH234" s="330"/>
      <c r="BI234" s="330"/>
      <c r="BJ234" s="330"/>
      <c r="BK234" s="330"/>
      <c r="BL234" s="330"/>
      <c r="BM234" s="330"/>
      <c r="BN234" s="330"/>
      <c r="BO234" s="330"/>
      <c r="BP234" s="330"/>
      <c r="BQ234" s="330"/>
      <c r="BR234" s="330"/>
      <c r="BS234" s="330"/>
      <c r="BT234" s="330"/>
      <c r="BU234" s="330"/>
      <c r="BV234" s="330"/>
      <c r="BW234" s="330"/>
      <c r="BX234" s="330"/>
      <c r="BY234" s="330"/>
      <c r="BZ234" s="330"/>
      <c r="CA234" s="330"/>
      <c r="CB234" s="330"/>
      <c r="CC234" s="330"/>
      <c r="CD234" s="330"/>
      <c r="CE234" s="330"/>
      <c r="CF234" s="330">
        <f>'314-картофель жар.'!C20/10</f>
        <v>0.01</v>
      </c>
      <c r="CG234" s="330"/>
      <c r="CH234" s="330"/>
      <c r="CI234" s="330"/>
      <c r="CJ234" s="330"/>
      <c r="CK234" s="330"/>
      <c r="CL234" s="330"/>
      <c r="CM234" s="330"/>
      <c r="CN234" s="330"/>
      <c r="CO234" s="330"/>
      <c r="CP234" s="330"/>
      <c r="CQ234" s="330"/>
      <c r="CR234" s="330"/>
      <c r="CS234" s="330"/>
      <c r="CT234" s="330"/>
      <c r="CU234" s="330"/>
      <c r="CV234" s="330"/>
      <c r="CW234" s="330"/>
      <c r="CX234" s="330"/>
      <c r="CY234" s="330"/>
      <c r="CZ234" s="330"/>
      <c r="DA234" s="330"/>
      <c r="DB234" s="330"/>
      <c r="DC234" s="330">
        <f>'314-картофель жар.'!C21/10</f>
        <v>1E-4</v>
      </c>
      <c r="DD234" s="330"/>
      <c r="DE234" s="330"/>
      <c r="DF234" s="330"/>
      <c r="DG234" s="330"/>
      <c r="DH234" s="330"/>
      <c r="DI234" s="330"/>
      <c r="DJ234" s="330"/>
      <c r="DK234" s="330"/>
      <c r="DL234" s="330"/>
      <c r="DM234" s="330"/>
      <c r="DN234" s="330"/>
      <c r="DO234" s="330"/>
      <c r="DP234" s="330"/>
      <c r="DQ234" s="330"/>
      <c r="DR234" s="330"/>
      <c r="DS234" s="330"/>
      <c r="DT234" s="330"/>
      <c r="DU234" s="330"/>
      <c r="DV234" s="330"/>
      <c r="DW234" s="330"/>
      <c r="DX234" s="330"/>
      <c r="DY234" s="330"/>
      <c r="DZ234" s="330"/>
      <c r="EA234" s="330"/>
      <c r="EB234" s="330"/>
      <c r="EC234" s="330"/>
      <c r="ED234" s="330"/>
      <c r="EE234" s="330"/>
      <c r="EF234" s="330"/>
      <c r="EG234" s="330"/>
      <c r="EH234" s="330"/>
      <c r="EI234" s="330"/>
      <c r="EJ234" s="330"/>
      <c r="EK234" s="330"/>
      <c r="EL234" s="330"/>
      <c r="EM234" s="330"/>
      <c r="EN234" s="330"/>
      <c r="EO234" s="330"/>
      <c r="EP234" s="330"/>
      <c r="EQ234" s="330"/>
      <c r="ER234" s="330"/>
      <c r="ES234" s="330"/>
      <c r="ET234" s="330"/>
      <c r="EU234" s="330"/>
      <c r="EV234" s="330"/>
      <c r="EW234" s="330"/>
      <c r="EX234" s="330"/>
      <c r="EY234" s="1032">
        <f t="shared" si="18"/>
        <v>0.20330000000000001</v>
      </c>
    </row>
    <row r="235" spans="1:166" ht="14.7" customHeight="1" x14ac:dyDescent="0.25">
      <c r="A235" s="421">
        <v>231</v>
      </c>
      <c r="B235" s="169" t="str">
        <f>'321-капуста тушеная'!A9</f>
        <v>Капуста тушеная</v>
      </c>
      <c r="C235" s="419">
        <f>'321-капуста тушеная'!C33</f>
        <v>100</v>
      </c>
      <c r="D235" s="1211">
        <f>20.65/1000*C235</f>
        <v>2.0699999999999998</v>
      </c>
      <c r="E235" s="1211">
        <f>32.37/1000*C235</f>
        <v>3.24</v>
      </c>
      <c r="F235" s="1211">
        <f>94.27/1000*C235</f>
        <v>9.43</v>
      </c>
      <c r="G235" s="1212">
        <f>751/1000*C235</f>
        <v>75</v>
      </c>
      <c r="H235" s="419">
        <f>'321-капуста тушеная'!J7</f>
        <v>321</v>
      </c>
      <c r="I235" s="483">
        <f>'321-капуста тушеная'!F35</f>
        <v>13.01</v>
      </c>
      <c r="J235" s="330"/>
      <c r="K235" s="330"/>
      <c r="L235" s="330"/>
      <c r="M235" s="330"/>
      <c r="N235" s="330"/>
      <c r="O235" s="330"/>
      <c r="P235" s="330"/>
      <c r="Q235" s="330"/>
      <c r="R235" s="330"/>
      <c r="S235" s="330"/>
      <c r="T235" s="330"/>
      <c r="U235" s="330"/>
      <c r="V235" s="330">
        <f>'321-капуста тушеная'!C20/10</f>
        <v>3.5000000000000001E-3</v>
      </c>
      <c r="W235" s="330"/>
      <c r="X235" s="330"/>
      <c r="Y235" s="330"/>
      <c r="Z235" s="330"/>
      <c r="AA235" s="330"/>
      <c r="AB235" s="330"/>
      <c r="AC235" s="330"/>
      <c r="AD235" s="330"/>
      <c r="AE235" s="330"/>
      <c r="AF235" s="330">
        <f>'321-капуста тушеная'!C19/10</f>
        <v>0.14330000000000001</v>
      </c>
      <c r="AG235" s="330"/>
      <c r="AH235" s="330"/>
      <c r="AI235" s="330"/>
      <c r="AJ235" s="330"/>
      <c r="AK235" s="330">
        <f>'321-капуста тушеная'!C22/10</f>
        <v>4.7999999999999996E-3</v>
      </c>
      <c r="AL235" s="330"/>
      <c r="AM235" s="330"/>
      <c r="AN235" s="330"/>
      <c r="AO235" s="330"/>
      <c r="AP235" s="330"/>
      <c r="AQ235" s="330">
        <f>'321-капуста тушеная'!C21/10</f>
        <v>2.5000000000000001E-3</v>
      </c>
      <c r="AR235" s="330"/>
      <c r="AS235" s="330"/>
      <c r="AT235" s="330"/>
      <c r="AU235" s="330"/>
      <c r="AV235" s="330"/>
      <c r="AW235" s="330"/>
      <c r="AX235" s="330"/>
      <c r="AY235" s="330"/>
      <c r="AZ235" s="330"/>
      <c r="BA235" s="330"/>
      <c r="BB235" s="330"/>
      <c r="BC235" s="330"/>
      <c r="BD235" s="330"/>
      <c r="BE235" s="330"/>
      <c r="BF235" s="330"/>
      <c r="BG235" s="330"/>
      <c r="BH235" s="330"/>
      <c r="BI235" s="330"/>
      <c r="BJ235" s="330"/>
      <c r="BK235" s="330"/>
      <c r="BL235" s="330"/>
      <c r="BM235" s="330"/>
      <c r="BN235" s="330"/>
      <c r="BO235" s="330"/>
      <c r="BP235" s="330"/>
      <c r="BQ235" s="330"/>
      <c r="BR235" s="330"/>
      <c r="BS235" s="330">
        <f>'321-капуста тушеная'!C25/10</f>
        <v>1.1999999999999999E-3</v>
      </c>
      <c r="BT235" s="330"/>
      <c r="BU235" s="330"/>
      <c r="BV235" s="330"/>
      <c r="BW235" s="330"/>
      <c r="BX235" s="330"/>
      <c r="BY235" s="330"/>
      <c r="BZ235" s="330"/>
      <c r="CA235" s="330"/>
      <c r="CB235" s="330"/>
      <c r="CC235" s="330"/>
      <c r="CD235" s="330"/>
      <c r="CE235" s="330"/>
      <c r="CF235" s="330"/>
      <c r="CG235" s="330"/>
      <c r="CH235" s="330"/>
      <c r="CI235" s="330"/>
      <c r="CJ235" s="330"/>
      <c r="CK235" s="330"/>
      <c r="CL235" s="330"/>
      <c r="CM235" s="330"/>
      <c r="CN235" s="330"/>
      <c r="CO235" s="330"/>
      <c r="CP235" s="330"/>
      <c r="CQ235" s="330">
        <f>'321-капуста тушеная'!C24/10</f>
        <v>3.0000000000000001E-3</v>
      </c>
      <c r="CR235" s="330"/>
      <c r="CS235" s="330">
        <f>'321-капуста тушеная'!C28/10</f>
        <v>1.0000000000000001E-5</v>
      </c>
      <c r="CT235" s="330"/>
      <c r="CU235" s="330"/>
      <c r="CV235" s="330"/>
      <c r="CW235" s="330"/>
      <c r="CX235" s="330"/>
      <c r="CY235" s="330"/>
      <c r="CZ235" s="330">
        <f>'321-капуста тушеная'!C26/10</f>
        <v>3.0000000000000001E-3</v>
      </c>
      <c r="DA235" s="330"/>
      <c r="DB235" s="330"/>
      <c r="DC235" s="330">
        <f>'321-капуста тушеная'!C29/10</f>
        <v>1E-4</v>
      </c>
      <c r="DD235" s="330"/>
      <c r="DE235" s="330"/>
      <c r="DF235" s="330">
        <f>'321-капуста тушеная'!C23/10</f>
        <v>6.0000000000000001E-3</v>
      </c>
      <c r="DG235" s="330"/>
      <c r="DH235" s="330"/>
      <c r="DI235" s="330"/>
      <c r="DJ235" s="330"/>
      <c r="DK235" s="330"/>
      <c r="DL235" s="330"/>
      <c r="DM235" s="330"/>
      <c r="DN235" s="330"/>
      <c r="DO235" s="330"/>
      <c r="DP235" s="330"/>
      <c r="DQ235" s="330"/>
      <c r="DR235" s="330"/>
      <c r="DS235" s="330"/>
      <c r="DT235" s="330"/>
      <c r="DU235" s="330"/>
      <c r="DV235" s="330"/>
      <c r="DW235" s="330"/>
      <c r="DX235" s="330"/>
      <c r="DY235" s="330"/>
      <c r="DZ235" s="330">
        <f>'321-капуста тушеная'!C27/10</f>
        <v>2.0000000000000002E-5</v>
      </c>
      <c r="EA235" s="330"/>
      <c r="EB235" s="330"/>
      <c r="EC235" s="330"/>
      <c r="ED235" s="330"/>
      <c r="EE235" s="330"/>
      <c r="EF235" s="330"/>
      <c r="EG235" s="330"/>
      <c r="EH235" s="330"/>
      <c r="EI235" s="330"/>
      <c r="EJ235" s="330"/>
      <c r="EK235" s="330"/>
      <c r="EL235" s="330"/>
      <c r="EM235" s="330"/>
      <c r="EN235" s="330"/>
      <c r="EO235" s="330"/>
      <c r="EP235" s="330"/>
      <c r="EQ235" s="330"/>
      <c r="ER235" s="330"/>
      <c r="ES235" s="330"/>
      <c r="ET235" s="330"/>
      <c r="EU235" s="330"/>
      <c r="EV235" s="330"/>
      <c r="EW235" s="330"/>
      <c r="EX235" s="330"/>
      <c r="EY235" s="1032">
        <f t="shared" si="18"/>
        <v>0.16743</v>
      </c>
    </row>
    <row r="236" spans="1:166" s="467" customFormat="1" ht="14.7" customHeight="1" x14ac:dyDescent="0.25">
      <c r="A236" s="421">
        <v>232</v>
      </c>
      <c r="B236" s="417" t="str">
        <f>'326-соус молочный'!A9</f>
        <v>Соус молочный (для подачи к блюду)</v>
      </c>
      <c r="C236" s="419">
        <f>'326-соус молочный'!C29</f>
        <v>1000</v>
      </c>
      <c r="D236" s="1211">
        <f>20.56/1000*C236</f>
        <v>20.56</v>
      </c>
      <c r="E236" s="1211">
        <f>52.42/1000*C236</f>
        <v>52.42</v>
      </c>
      <c r="F236" s="1211">
        <f>70.92/1000*C236</f>
        <v>70.92</v>
      </c>
      <c r="G236" s="1212">
        <f>838/1000*C236</f>
        <v>838</v>
      </c>
      <c r="H236" s="419">
        <f>'326-соус молочный'!J7</f>
        <v>326</v>
      </c>
      <c r="I236" s="483">
        <f>'326-соус молочный'!F31</f>
        <v>82</v>
      </c>
      <c r="J236" s="330"/>
      <c r="K236" s="330"/>
      <c r="L236" s="330"/>
      <c r="M236" s="330"/>
      <c r="N236" s="330"/>
      <c r="O236" s="330"/>
      <c r="P236" s="330"/>
      <c r="Q236" s="330"/>
      <c r="R236" s="330"/>
      <c r="S236" s="330"/>
      <c r="T236" s="330"/>
      <c r="U236" s="330">
        <f>'326-соус молочный'!C19</f>
        <v>0.5</v>
      </c>
      <c r="V236" s="330">
        <f>'326-соус молочный'!C20</f>
        <v>5.5E-2</v>
      </c>
      <c r="W236" s="330"/>
      <c r="X236" s="330"/>
      <c r="Y236" s="330"/>
      <c r="Z236" s="330"/>
      <c r="AA236" s="330"/>
      <c r="AB236" s="330"/>
      <c r="AC236" s="330"/>
      <c r="AD236" s="330"/>
      <c r="AE236" s="330"/>
      <c r="AF236" s="330"/>
      <c r="AG236" s="330"/>
      <c r="AH236" s="330"/>
      <c r="AI236" s="330"/>
      <c r="AJ236" s="330"/>
      <c r="AK236" s="330"/>
      <c r="AL236" s="330"/>
      <c r="AM236" s="330"/>
      <c r="AN236" s="330"/>
      <c r="AO236" s="330"/>
      <c r="AP236" s="330"/>
      <c r="AQ236" s="330"/>
      <c r="AR236" s="330"/>
      <c r="AS236" s="330"/>
      <c r="AT236" s="330"/>
      <c r="AU236" s="330"/>
      <c r="AV236" s="330"/>
      <c r="AW236" s="330"/>
      <c r="AX236" s="330"/>
      <c r="AY236" s="330"/>
      <c r="AZ236" s="330"/>
      <c r="BA236" s="330"/>
      <c r="BB236" s="330"/>
      <c r="BC236" s="330"/>
      <c r="BD236" s="330"/>
      <c r="BE236" s="330"/>
      <c r="BF236" s="330"/>
      <c r="BG236" s="330"/>
      <c r="BH236" s="330"/>
      <c r="BI236" s="330"/>
      <c r="BJ236" s="330"/>
      <c r="BK236" s="330"/>
      <c r="BL236" s="330"/>
      <c r="BM236" s="330"/>
      <c r="BN236" s="330"/>
      <c r="BO236" s="330"/>
      <c r="BP236" s="330"/>
      <c r="BQ236" s="330"/>
      <c r="BR236" s="330"/>
      <c r="BS236" s="330">
        <f>'326-соус молочный'!C21</f>
        <v>5.5E-2</v>
      </c>
      <c r="BT236" s="330"/>
      <c r="BU236" s="330"/>
      <c r="BV236" s="330"/>
      <c r="BW236" s="330"/>
      <c r="BX236" s="330"/>
      <c r="BY236" s="330"/>
      <c r="BZ236" s="330"/>
      <c r="CA236" s="330"/>
      <c r="CB236" s="330"/>
      <c r="CC236" s="330"/>
      <c r="CD236" s="330"/>
      <c r="CE236" s="330"/>
      <c r="CF236" s="330"/>
      <c r="CG236" s="330"/>
      <c r="CH236" s="330"/>
      <c r="CI236" s="330"/>
      <c r="CJ236" s="330"/>
      <c r="CK236" s="330"/>
      <c r="CL236" s="330"/>
      <c r="CM236" s="330"/>
      <c r="CN236" s="330"/>
      <c r="CO236" s="330"/>
      <c r="CP236" s="330"/>
      <c r="CQ236" s="330"/>
      <c r="CR236" s="330"/>
      <c r="CS236" s="330">
        <f>'326-соус молочный'!C24</f>
        <v>2.0000000000000002E-5</v>
      </c>
      <c r="CT236" s="330"/>
      <c r="CU236" s="330"/>
      <c r="CV236" s="330"/>
      <c r="CW236" s="330"/>
      <c r="CX236" s="330"/>
      <c r="CY236" s="330"/>
      <c r="CZ236" s="330">
        <f>'326-соус молочный'!C23</f>
        <v>0.01</v>
      </c>
      <c r="DA236" s="330"/>
      <c r="DB236" s="330"/>
      <c r="DC236" s="330">
        <f>'326-соус молочный'!C25</f>
        <v>8.0000000000000002E-3</v>
      </c>
      <c r="DD236" s="330"/>
      <c r="DE236" s="330"/>
      <c r="DF236" s="330"/>
      <c r="DG236" s="330"/>
      <c r="DH236" s="330"/>
      <c r="DI236" s="330"/>
      <c r="DJ236" s="330"/>
      <c r="DK236" s="330"/>
      <c r="DL236" s="330"/>
      <c r="DM236" s="330"/>
      <c r="DN236" s="330"/>
      <c r="DO236" s="330"/>
      <c r="DP236" s="330"/>
      <c r="DQ236" s="330"/>
      <c r="DR236" s="330"/>
      <c r="DS236" s="330"/>
      <c r="DT236" s="330"/>
      <c r="DU236" s="330"/>
      <c r="DV236" s="330"/>
      <c r="DW236" s="330"/>
      <c r="DX236" s="330"/>
      <c r="DY236" s="330"/>
      <c r="DZ236" s="330"/>
      <c r="EA236" s="330"/>
      <c r="EB236" s="330"/>
      <c r="EC236" s="330"/>
      <c r="ED236" s="330"/>
      <c r="EE236" s="330"/>
      <c r="EF236" s="330"/>
      <c r="EG236" s="330"/>
      <c r="EH236" s="330"/>
      <c r="EI236" s="330"/>
      <c r="EJ236" s="330"/>
      <c r="EK236" s="330"/>
      <c r="EL236" s="330"/>
      <c r="EM236" s="330"/>
      <c r="EN236" s="330"/>
      <c r="EO236" s="330"/>
      <c r="EP236" s="330"/>
      <c r="EQ236" s="330"/>
      <c r="ER236" s="330"/>
      <c r="ES236" s="330"/>
      <c r="ET236" s="330"/>
      <c r="EU236" s="330"/>
      <c r="EV236" s="330"/>
      <c r="EW236" s="330"/>
      <c r="EX236" s="330"/>
      <c r="EY236" s="1032">
        <f t="shared" si="18"/>
        <v>0.62802000000000002</v>
      </c>
      <c r="EZ236" s="616"/>
      <c r="FA236" s="616"/>
      <c r="FB236" s="616"/>
      <c r="FC236" s="616"/>
      <c r="FD236" s="616"/>
      <c r="FE236" s="616"/>
      <c r="FF236" s="616"/>
      <c r="FG236" s="616"/>
      <c r="FH236" s="616"/>
      <c r="FI236" s="616"/>
      <c r="FJ236" s="616"/>
    </row>
    <row r="237" spans="1:166" s="467" customFormat="1" ht="14.7" customHeight="1" x14ac:dyDescent="0.25">
      <c r="A237" s="421">
        <v>233</v>
      </c>
      <c r="B237" s="417" t="str">
        <f>'326-соус молочный 30'!A9</f>
        <v>Соус молочный (для подачи к блюду) (30 гр)</v>
      </c>
      <c r="C237" s="419">
        <f>'326-соус молочный 30'!C29</f>
        <v>30</v>
      </c>
      <c r="D237" s="1211">
        <f>20.56/1000*C237</f>
        <v>0.62</v>
      </c>
      <c r="E237" s="1211">
        <f>52.42/1000*C237</f>
        <v>1.57</v>
      </c>
      <c r="F237" s="1211">
        <f>70.92/1000*C237</f>
        <v>2.13</v>
      </c>
      <c r="G237" s="1212">
        <f>838/1000*C237</f>
        <v>25</v>
      </c>
      <c r="H237" s="419">
        <f>'326-соус молочный 30'!J7</f>
        <v>326</v>
      </c>
      <c r="I237" s="483">
        <f>'326-соус молочный 30'!F31</f>
        <v>2.46</v>
      </c>
      <c r="J237" s="330"/>
      <c r="K237" s="330"/>
      <c r="L237" s="330"/>
      <c r="M237" s="330"/>
      <c r="N237" s="330"/>
      <c r="O237" s="330"/>
      <c r="P237" s="330"/>
      <c r="Q237" s="330"/>
      <c r="R237" s="330"/>
      <c r="S237" s="330"/>
      <c r="T237" s="330"/>
      <c r="U237" s="330">
        <f>'326-соус молочный 30'!C19/1000*C237</f>
        <v>1.4999999999999999E-2</v>
      </c>
      <c r="V237" s="330">
        <f>'326-соус молочный 30'!C20/1000*C237</f>
        <v>1.65E-3</v>
      </c>
      <c r="W237" s="330"/>
      <c r="X237" s="330"/>
      <c r="Y237" s="330"/>
      <c r="Z237" s="330"/>
      <c r="AA237" s="330"/>
      <c r="AB237" s="330"/>
      <c r="AC237" s="330"/>
      <c r="AD237" s="330"/>
      <c r="AE237" s="330"/>
      <c r="AF237" s="330"/>
      <c r="AG237" s="330"/>
      <c r="AH237" s="330"/>
      <c r="AI237" s="330"/>
      <c r="AJ237" s="330"/>
      <c r="AK237" s="330"/>
      <c r="AL237" s="330"/>
      <c r="AM237" s="330"/>
      <c r="AN237" s="330"/>
      <c r="AO237" s="330"/>
      <c r="AP237" s="330"/>
      <c r="AQ237" s="330"/>
      <c r="AR237" s="330"/>
      <c r="AS237" s="330"/>
      <c r="AT237" s="330"/>
      <c r="AU237" s="330"/>
      <c r="AV237" s="330"/>
      <c r="AW237" s="330"/>
      <c r="AX237" s="330"/>
      <c r="AY237" s="330"/>
      <c r="AZ237" s="330"/>
      <c r="BA237" s="330"/>
      <c r="BB237" s="330"/>
      <c r="BC237" s="330"/>
      <c r="BD237" s="330"/>
      <c r="BE237" s="330"/>
      <c r="BF237" s="330"/>
      <c r="BG237" s="330"/>
      <c r="BH237" s="330"/>
      <c r="BI237" s="330"/>
      <c r="BJ237" s="330"/>
      <c r="BK237" s="330"/>
      <c r="BL237" s="330"/>
      <c r="BM237" s="330"/>
      <c r="BN237" s="330"/>
      <c r="BO237" s="330"/>
      <c r="BP237" s="330"/>
      <c r="BQ237" s="330"/>
      <c r="BR237" s="330"/>
      <c r="BS237" s="330">
        <f>'326-соус молочный 30'!C21/1000*C237</f>
        <v>1.65E-3</v>
      </c>
      <c r="BT237" s="330"/>
      <c r="BU237" s="330"/>
      <c r="BV237" s="330"/>
      <c r="BW237" s="330"/>
      <c r="BX237" s="330"/>
      <c r="BY237" s="330"/>
      <c r="BZ237" s="330"/>
      <c r="CA237" s="330"/>
      <c r="CB237" s="330"/>
      <c r="CC237" s="330"/>
      <c r="CD237" s="330"/>
      <c r="CE237" s="330"/>
      <c r="CF237" s="330"/>
      <c r="CG237" s="330"/>
      <c r="CH237" s="330"/>
      <c r="CI237" s="330"/>
      <c r="CJ237" s="330"/>
      <c r="CK237" s="330"/>
      <c r="CL237" s="330"/>
      <c r="CM237" s="330"/>
      <c r="CN237" s="330"/>
      <c r="CO237" s="330"/>
      <c r="CP237" s="330"/>
      <c r="CQ237" s="330"/>
      <c r="CR237" s="330"/>
      <c r="CS237" s="330">
        <f>'326-соус молочный 30'!C24/1000*C237</f>
        <v>0</v>
      </c>
      <c r="CT237" s="330"/>
      <c r="CU237" s="330"/>
      <c r="CV237" s="330"/>
      <c r="CW237" s="330"/>
      <c r="CX237" s="330"/>
      <c r="CY237" s="330"/>
      <c r="CZ237" s="330">
        <f>'326-соус молочный 30'!C23/1000*C237</f>
        <v>2.9999999999999997E-4</v>
      </c>
      <c r="DA237" s="330"/>
      <c r="DB237" s="330"/>
      <c r="DC237" s="330">
        <f>'326-соус молочный 30'!C25/1000*C237</f>
        <v>2.4000000000000001E-4</v>
      </c>
      <c r="DD237" s="330"/>
      <c r="DE237" s="330"/>
      <c r="DF237" s="330"/>
      <c r="DG237" s="330"/>
      <c r="DH237" s="330"/>
      <c r="DI237" s="330"/>
      <c r="DJ237" s="330"/>
      <c r="DK237" s="330"/>
      <c r="DL237" s="330"/>
      <c r="DM237" s="330"/>
      <c r="DN237" s="330"/>
      <c r="DO237" s="330"/>
      <c r="DP237" s="330"/>
      <c r="DQ237" s="330"/>
      <c r="DR237" s="330"/>
      <c r="DS237" s="330"/>
      <c r="DT237" s="330"/>
      <c r="DU237" s="330"/>
      <c r="DV237" s="330"/>
      <c r="DW237" s="330"/>
      <c r="DX237" s="330"/>
      <c r="DY237" s="330"/>
      <c r="DZ237" s="330"/>
      <c r="EA237" s="330"/>
      <c r="EB237" s="330"/>
      <c r="EC237" s="330"/>
      <c r="ED237" s="330"/>
      <c r="EE237" s="330"/>
      <c r="EF237" s="330"/>
      <c r="EG237" s="330"/>
      <c r="EH237" s="330"/>
      <c r="EI237" s="330"/>
      <c r="EJ237" s="330"/>
      <c r="EK237" s="330"/>
      <c r="EL237" s="330"/>
      <c r="EM237" s="330"/>
      <c r="EN237" s="330"/>
      <c r="EO237" s="330"/>
      <c r="EP237" s="330"/>
      <c r="EQ237" s="330"/>
      <c r="ER237" s="330"/>
      <c r="ES237" s="330"/>
      <c r="ET237" s="330"/>
      <c r="EU237" s="330"/>
      <c r="EV237" s="330"/>
      <c r="EW237" s="330"/>
      <c r="EX237" s="330"/>
      <c r="EY237" s="1032">
        <f t="shared" si="18"/>
        <v>1.8839999999999999E-2</v>
      </c>
      <c r="EZ237" s="616"/>
      <c r="FA237" s="616"/>
      <c r="FB237" s="616"/>
      <c r="FC237" s="616"/>
      <c r="FD237" s="616"/>
      <c r="FE237" s="616"/>
      <c r="FF237" s="616"/>
      <c r="FG237" s="616"/>
      <c r="FH237" s="616"/>
      <c r="FI237" s="616"/>
      <c r="FJ237" s="616"/>
    </row>
    <row r="238" spans="1:166" ht="14.7" customHeight="1" x14ac:dyDescent="0.25">
      <c r="A238" s="421">
        <v>234</v>
      </c>
      <c r="B238" s="292" t="str">
        <f>льезон!A9</f>
        <v>Льезон</v>
      </c>
      <c r="C238" s="419">
        <f>льезон!C25</f>
        <v>45</v>
      </c>
      <c r="D238" s="1211">
        <f>7.5/100*C238</f>
        <v>3.38</v>
      </c>
      <c r="E238" s="1211">
        <f>6.7/100*C238</f>
        <v>3.02</v>
      </c>
      <c r="F238" s="1211">
        <f>0.4/100*C238</f>
        <v>0.18</v>
      </c>
      <c r="G238" s="1212">
        <f>92/100*C238</f>
        <v>41</v>
      </c>
      <c r="H238" s="419"/>
      <c r="I238" s="1234">
        <f>льезон!F27</f>
        <v>4.5599999999999996</v>
      </c>
      <c r="J238" s="330"/>
      <c r="K238" s="330"/>
      <c r="L238" s="330"/>
      <c r="M238" s="330"/>
      <c r="N238" s="330"/>
      <c r="O238" s="330"/>
      <c r="P238" s="330"/>
      <c r="Q238" s="330"/>
      <c r="R238" s="330"/>
      <c r="S238" s="330"/>
      <c r="T238" s="330"/>
      <c r="U238" s="330">
        <f>льезон!C20/льезон!C24*льезон!C25</f>
        <v>3.5000000000000003E-2</v>
      </c>
      <c r="V238" s="330"/>
      <c r="W238" s="330"/>
      <c r="X238" s="330"/>
      <c r="Y238" s="330"/>
      <c r="Z238" s="330"/>
      <c r="AA238" s="330"/>
      <c r="AB238" s="330"/>
      <c r="AC238" s="330"/>
      <c r="AD238" s="330"/>
      <c r="AE238" s="330">
        <f>льезон!C19/льезон!C24*льезон!C25</f>
        <v>1.15E-2</v>
      </c>
      <c r="AF238" s="330"/>
      <c r="AG238" s="330"/>
      <c r="AH238" s="330"/>
      <c r="AI238" s="330"/>
      <c r="AJ238" s="330"/>
      <c r="AK238" s="330"/>
      <c r="AL238" s="330"/>
      <c r="AM238" s="330"/>
      <c r="AN238" s="330"/>
      <c r="AO238" s="330"/>
      <c r="AP238" s="330"/>
      <c r="AQ238" s="330"/>
      <c r="AR238" s="330"/>
      <c r="AS238" s="330"/>
      <c r="AT238" s="330"/>
      <c r="AU238" s="330"/>
      <c r="AV238" s="330"/>
      <c r="AW238" s="330"/>
      <c r="AX238" s="330"/>
      <c r="AY238" s="330"/>
      <c r="AZ238" s="330"/>
      <c r="BA238" s="330"/>
      <c r="BB238" s="330"/>
      <c r="BC238" s="330"/>
      <c r="BD238" s="330"/>
      <c r="BE238" s="330"/>
      <c r="BF238" s="330"/>
      <c r="BG238" s="330"/>
      <c r="BH238" s="330"/>
      <c r="BI238" s="330"/>
      <c r="BJ238" s="330"/>
      <c r="BK238" s="330"/>
      <c r="BL238" s="330"/>
      <c r="BM238" s="330"/>
      <c r="BN238" s="330"/>
      <c r="BO238" s="330"/>
      <c r="BP238" s="330"/>
      <c r="BQ238" s="330"/>
      <c r="BR238" s="330"/>
      <c r="BS238" s="330"/>
      <c r="BT238" s="330"/>
      <c r="BU238" s="330"/>
      <c r="BV238" s="330"/>
      <c r="BW238" s="330"/>
      <c r="BX238" s="330"/>
      <c r="BY238" s="330"/>
      <c r="BZ238" s="330"/>
      <c r="CA238" s="330"/>
      <c r="CB238" s="330"/>
      <c r="CC238" s="330"/>
      <c r="CD238" s="330"/>
      <c r="CE238" s="330"/>
      <c r="CF238" s="330"/>
      <c r="CG238" s="330"/>
      <c r="CH238" s="330"/>
      <c r="CI238" s="330"/>
      <c r="CJ238" s="330"/>
      <c r="CK238" s="330"/>
      <c r="CL238" s="330"/>
      <c r="CM238" s="330"/>
      <c r="CN238" s="330"/>
      <c r="CO238" s="330"/>
      <c r="CP238" s="330"/>
      <c r="CQ238" s="330"/>
      <c r="CR238" s="330"/>
      <c r="CS238" s="330"/>
      <c r="CT238" s="330"/>
      <c r="CU238" s="330"/>
      <c r="CV238" s="330"/>
      <c r="CW238" s="330"/>
      <c r="CX238" s="330"/>
      <c r="CY238" s="330"/>
      <c r="CZ238" s="330"/>
      <c r="DA238" s="330"/>
      <c r="DB238" s="330"/>
      <c r="DC238" s="330">
        <f>льезон!C21/льезон!C24*льезон!C25</f>
        <v>2.5000000000000001E-4</v>
      </c>
      <c r="DD238" s="330"/>
      <c r="DE238" s="330"/>
      <c r="DF238" s="330"/>
      <c r="DG238" s="330"/>
      <c r="DH238" s="330"/>
      <c r="DI238" s="330"/>
      <c r="DJ238" s="330"/>
      <c r="DK238" s="330"/>
      <c r="DL238" s="330"/>
      <c r="DM238" s="330"/>
      <c r="DN238" s="330"/>
      <c r="DO238" s="330"/>
      <c r="DP238" s="330"/>
      <c r="DQ238" s="330"/>
      <c r="DR238" s="330"/>
      <c r="DS238" s="330"/>
      <c r="DT238" s="330"/>
      <c r="DU238" s="330"/>
      <c r="DV238" s="330"/>
      <c r="DW238" s="330"/>
      <c r="DX238" s="330"/>
      <c r="DY238" s="330"/>
      <c r="DZ238" s="330"/>
      <c r="EA238" s="330"/>
      <c r="EB238" s="330"/>
      <c r="EC238" s="330"/>
      <c r="ED238" s="330"/>
      <c r="EE238" s="330"/>
      <c r="EF238" s="330"/>
      <c r="EG238" s="330"/>
      <c r="EH238" s="330"/>
      <c r="EI238" s="330"/>
      <c r="EJ238" s="330"/>
      <c r="EK238" s="330"/>
      <c r="EL238" s="330"/>
      <c r="EM238" s="330"/>
      <c r="EN238" s="330"/>
      <c r="EO238" s="330"/>
      <c r="EP238" s="330"/>
      <c r="EQ238" s="330"/>
      <c r="ER238" s="330"/>
      <c r="ES238" s="330"/>
      <c r="ET238" s="330"/>
      <c r="EU238" s="330"/>
      <c r="EV238" s="330"/>
      <c r="EW238" s="330"/>
      <c r="EX238" s="330"/>
      <c r="EY238" s="1032">
        <f t="shared" si="18"/>
        <v>4.675E-2</v>
      </c>
    </row>
    <row r="239" spans="1:166" ht="14.7" customHeight="1" x14ac:dyDescent="0.25">
      <c r="A239" s="421">
        <v>235</v>
      </c>
      <c r="B239" s="169" t="str">
        <f>'329 соус молочный густой'!A9</f>
        <v>Соус молочный густой (для фарширования)</v>
      </c>
      <c r="C239" s="419">
        <f>'329 соус молочный густой'!C28</f>
        <v>1000</v>
      </c>
      <c r="D239" s="1211">
        <f>36.2/1000*C239</f>
        <v>36.200000000000003</v>
      </c>
      <c r="E239" s="1211">
        <f>113/1000*C239</f>
        <v>113</v>
      </c>
      <c r="F239" s="1211">
        <f>124.21/1000*C239</f>
        <v>124.21</v>
      </c>
      <c r="G239" s="1212">
        <f>1659/1000*C239</f>
        <v>1659</v>
      </c>
      <c r="H239" s="419">
        <f>'329 соус молочный густой'!J7</f>
        <v>329</v>
      </c>
      <c r="I239" s="483">
        <f>'329 соус молочный густой'!F30</f>
        <v>157.19</v>
      </c>
      <c r="J239" s="330"/>
      <c r="K239" s="330"/>
      <c r="L239" s="330"/>
      <c r="M239" s="330"/>
      <c r="N239" s="330"/>
      <c r="O239" s="330"/>
      <c r="P239" s="330"/>
      <c r="Q239" s="330"/>
      <c r="R239" s="330"/>
      <c r="S239" s="330"/>
      <c r="T239" s="330"/>
      <c r="U239" s="330">
        <f>'329 соус молочный густой'!C19/'329 соус молочный густой'!C27*'329 соус молочный густой'!C28</f>
        <v>0.75</v>
      </c>
      <c r="V239" s="330">
        <f>'329 соус молочный густой'!C20/'329 соус молочный густой'!C27*'329 соус молочный густой'!C28</f>
        <v>0.13</v>
      </c>
      <c r="W239" s="330"/>
      <c r="X239" s="330"/>
      <c r="Y239" s="330"/>
      <c r="Z239" s="330"/>
      <c r="AA239" s="330"/>
      <c r="AB239" s="330"/>
      <c r="AC239" s="330"/>
      <c r="AD239" s="330"/>
      <c r="AE239" s="330"/>
      <c r="AF239" s="330"/>
      <c r="AG239" s="330"/>
      <c r="AH239" s="330"/>
      <c r="AI239" s="330"/>
      <c r="AJ239" s="330"/>
      <c r="AK239" s="330"/>
      <c r="AL239" s="330"/>
      <c r="AM239" s="330"/>
      <c r="AN239" s="330"/>
      <c r="AO239" s="330"/>
      <c r="AP239" s="330"/>
      <c r="AQ239" s="330"/>
      <c r="AR239" s="330"/>
      <c r="AS239" s="330"/>
      <c r="AT239" s="330"/>
      <c r="AU239" s="330"/>
      <c r="AV239" s="330"/>
      <c r="AW239" s="330"/>
      <c r="AX239" s="330"/>
      <c r="AY239" s="330"/>
      <c r="AZ239" s="330"/>
      <c r="BA239" s="330"/>
      <c r="BB239" s="330"/>
      <c r="BC239" s="330"/>
      <c r="BD239" s="330"/>
      <c r="BE239" s="330"/>
      <c r="BF239" s="330"/>
      <c r="BG239" s="330"/>
      <c r="BH239" s="330"/>
      <c r="BI239" s="330"/>
      <c r="BJ239" s="330"/>
      <c r="BK239" s="330"/>
      <c r="BL239" s="330"/>
      <c r="BM239" s="330"/>
      <c r="BN239" s="330"/>
      <c r="BO239" s="330"/>
      <c r="BP239" s="330"/>
      <c r="BQ239" s="330"/>
      <c r="BR239" s="330"/>
      <c r="BS239" s="330">
        <f>'329 соус молочный густой'!C21/'329 соус молочный густой'!C27*'329 соус молочный густой'!C28</f>
        <v>0.13</v>
      </c>
      <c r="BT239" s="330"/>
      <c r="BU239" s="330"/>
      <c r="BV239" s="330"/>
      <c r="BW239" s="330"/>
      <c r="BX239" s="330"/>
      <c r="BY239" s="330"/>
      <c r="BZ239" s="330"/>
      <c r="CA239" s="330"/>
      <c r="CB239" s="330"/>
      <c r="CC239" s="330"/>
      <c r="CD239" s="330"/>
      <c r="CE239" s="330"/>
      <c r="CF239" s="330"/>
      <c r="CG239" s="330"/>
      <c r="CH239" s="330"/>
      <c r="CI239" s="330"/>
      <c r="CJ239" s="330"/>
      <c r="CK239" s="330"/>
      <c r="CL239" s="330"/>
      <c r="CM239" s="330"/>
      <c r="CN239" s="330"/>
      <c r="CO239" s="330"/>
      <c r="CP239" s="330"/>
      <c r="CQ239" s="330"/>
      <c r="CR239" s="330"/>
      <c r="CS239" s="330">
        <f>'329 соус молочный густой'!C22/'329 соус молочный густой'!C27*'329 соус молочный густой'!C28</f>
        <v>2.0000000000000002E-5</v>
      </c>
      <c r="CT239" s="330"/>
      <c r="CU239" s="330"/>
      <c r="CV239" s="330"/>
      <c r="CW239" s="330"/>
      <c r="CX239" s="330"/>
      <c r="CY239" s="330"/>
      <c r="CZ239" s="330"/>
      <c r="DA239" s="330"/>
      <c r="DB239" s="330"/>
      <c r="DC239" s="330">
        <f>'329 соус молочный густой'!C23/'329 соус молочный густой'!C27*'329 соус молочный густой'!C28</f>
        <v>8.0000000000000002E-3</v>
      </c>
      <c r="DD239" s="330"/>
      <c r="DE239" s="330"/>
      <c r="DF239" s="330"/>
      <c r="DG239" s="330"/>
      <c r="DH239" s="330"/>
      <c r="DI239" s="330"/>
      <c r="DJ239" s="330"/>
      <c r="DK239" s="330"/>
      <c r="DL239" s="330"/>
      <c r="DM239" s="330"/>
      <c r="DN239" s="330"/>
      <c r="DO239" s="330"/>
      <c r="DP239" s="330"/>
      <c r="DQ239" s="330"/>
      <c r="DR239" s="330"/>
      <c r="DS239" s="330"/>
      <c r="DT239" s="330"/>
      <c r="DU239" s="330"/>
      <c r="DV239" s="330"/>
      <c r="DW239" s="330"/>
      <c r="DX239" s="330"/>
      <c r="DY239" s="330"/>
      <c r="DZ239" s="330"/>
      <c r="EA239" s="330"/>
      <c r="EB239" s="330"/>
      <c r="EC239" s="330"/>
      <c r="ED239" s="330"/>
      <c r="EE239" s="330"/>
      <c r="EF239" s="330"/>
      <c r="EG239" s="330"/>
      <c r="EH239" s="330"/>
      <c r="EI239" s="330"/>
      <c r="EJ239" s="330"/>
      <c r="EK239" s="330"/>
      <c r="EL239" s="330"/>
      <c r="EM239" s="330"/>
      <c r="EN239" s="330"/>
      <c r="EO239" s="330"/>
      <c r="EP239" s="330"/>
      <c r="EQ239" s="330"/>
      <c r="ER239" s="330"/>
      <c r="ES239" s="330"/>
      <c r="ET239" s="330"/>
      <c r="EU239" s="330"/>
      <c r="EV239" s="330"/>
      <c r="EW239" s="330"/>
      <c r="EX239" s="330"/>
      <c r="EY239" s="1032">
        <f t="shared" si="18"/>
        <v>1.0180199999999999</v>
      </c>
    </row>
    <row r="240" spans="1:166" ht="14.7" customHeight="1" x14ac:dyDescent="0.25">
      <c r="A240" s="421">
        <v>236</v>
      </c>
      <c r="B240" s="169" t="str">
        <f>'330-соус сметанный'!A9</f>
        <v>Соус сметанный</v>
      </c>
      <c r="C240" s="419">
        <f>'330-соус сметанный'!C28</f>
        <v>1000</v>
      </c>
      <c r="D240" s="1211">
        <f>14.06/1000*C240</f>
        <v>14.06</v>
      </c>
      <c r="E240" s="1211">
        <f t="shared" ref="E240:E246" si="19">49.96/1000*C240</f>
        <v>49.96</v>
      </c>
      <c r="F240" s="1211">
        <f>58.67/1000*C240</f>
        <v>58.67</v>
      </c>
      <c r="G240" s="1212">
        <f>741/1000*C240</f>
        <v>741</v>
      </c>
      <c r="H240" s="419">
        <f>'330-соус сметанный'!J7</f>
        <v>330</v>
      </c>
      <c r="I240" s="1234">
        <f>'330-соус сметанный'!F30</f>
        <v>61.41</v>
      </c>
      <c r="J240" s="330"/>
      <c r="K240" s="330"/>
      <c r="L240" s="330"/>
      <c r="M240" s="330"/>
      <c r="N240" s="330"/>
      <c r="O240" s="330"/>
      <c r="P240" s="330"/>
      <c r="Q240" s="330"/>
      <c r="R240" s="330"/>
      <c r="S240" s="330"/>
      <c r="T240" s="330"/>
      <c r="U240" s="330"/>
      <c r="V240" s="330"/>
      <c r="W240" s="330"/>
      <c r="X240" s="330"/>
      <c r="Y240" s="330">
        <f>'330-соус сметанный'!C19</f>
        <v>0.25</v>
      </c>
      <c r="Z240" s="330"/>
      <c r="AA240" s="330"/>
      <c r="AB240" s="330"/>
      <c r="AC240" s="330"/>
      <c r="AD240" s="330"/>
      <c r="AE240" s="330"/>
      <c r="AF240" s="330"/>
      <c r="AG240" s="330"/>
      <c r="AH240" s="330"/>
      <c r="AI240" s="330"/>
      <c r="AJ240" s="330"/>
      <c r="AK240" s="330"/>
      <c r="AL240" s="330"/>
      <c r="AM240" s="330"/>
      <c r="AN240" s="330"/>
      <c r="AO240" s="330"/>
      <c r="AP240" s="330"/>
      <c r="AQ240" s="330"/>
      <c r="AR240" s="330"/>
      <c r="AS240" s="330"/>
      <c r="AT240" s="330"/>
      <c r="AU240" s="330"/>
      <c r="AV240" s="330"/>
      <c r="AW240" s="330"/>
      <c r="AX240" s="330"/>
      <c r="AY240" s="330"/>
      <c r="AZ240" s="330"/>
      <c r="BA240" s="330"/>
      <c r="BB240" s="330"/>
      <c r="BC240" s="330"/>
      <c r="BD240" s="330"/>
      <c r="BE240" s="330"/>
      <c r="BF240" s="330"/>
      <c r="BG240" s="330"/>
      <c r="BH240" s="330"/>
      <c r="BI240" s="330"/>
      <c r="BJ240" s="330"/>
      <c r="BK240" s="330"/>
      <c r="BL240" s="330"/>
      <c r="BM240" s="330"/>
      <c r="BN240" s="330"/>
      <c r="BO240" s="330"/>
      <c r="BP240" s="330"/>
      <c r="BQ240" s="330"/>
      <c r="BR240" s="330"/>
      <c r="BS240" s="330">
        <f>'330-соус сметанный'!C20</f>
        <v>7.4999999999999997E-2</v>
      </c>
      <c r="BT240" s="330"/>
      <c r="BU240" s="330"/>
      <c r="BV240" s="330"/>
      <c r="BW240" s="330"/>
      <c r="BX240" s="330"/>
      <c r="BY240" s="330"/>
      <c r="BZ240" s="330"/>
      <c r="CA240" s="330"/>
      <c r="CB240" s="330"/>
      <c r="CC240" s="330"/>
      <c r="CD240" s="330"/>
      <c r="CE240" s="330"/>
      <c r="CF240" s="330"/>
      <c r="CG240" s="330"/>
      <c r="CH240" s="330"/>
      <c r="CI240" s="330"/>
      <c r="CJ240" s="330"/>
      <c r="CK240" s="330"/>
      <c r="CL240" s="330"/>
      <c r="CM240" s="330"/>
      <c r="CN240" s="330"/>
      <c r="CO240" s="330"/>
      <c r="CP240" s="330"/>
      <c r="CQ240" s="330"/>
      <c r="CR240" s="330"/>
      <c r="CS240" s="330">
        <f>'330-соус сметанный'!C22</f>
        <v>2.0000000000000002E-5</v>
      </c>
      <c r="CT240" s="330"/>
      <c r="CU240" s="330"/>
      <c r="CV240" s="330"/>
      <c r="CW240" s="330"/>
      <c r="CX240" s="330"/>
      <c r="CY240" s="330"/>
      <c r="CZ240" s="330"/>
      <c r="DA240" s="330"/>
      <c r="DB240" s="330"/>
      <c r="DC240" s="330">
        <f>'330-соус сметанный'!C23</f>
        <v>8.0000000000000002E-3</v>
      </c>
      <c r="DD240" s="330"/>
      <c r="DE240" s="330"/>
      <c r="DF240" s="330"/>
      <c r="DG240" s="330"/>
      <c r="DH240" s="330"/>
      <c r="DI240" s="330"/>
      <c r="DJ240" s="330"/>
      <c r="DK240" s="330"/>
      <c r="DL240" s="330"/>
      <c r="DM240" s="330"/>
      <c r="DN240" s="330"/>
      <c r="DO240" s="330"/>
      <c r="DP240" s="330"/>
      <c r="DQ240" s="330"/>
      <c r="DR240" s="330"/>
      <c r="DS240" s="330"/>
      <c r="DT240" s="330"/>
      <c r="DU240" s="330"/>
      <c r="DV240" s="330"/>
      <c r="DW240" s="330"/>
      <c r="DX240" s="330"/>
      <c r="DY240" s="330"/>
      <c r="DZ240" s="330"/>
      <c r="EA240" s="330"/>
      <c r="EB240" s="330"/>
      <c r="EC240" s="330"/>
      <c r="ED240" s="330"/>
      <c r="EE240" s="330"/>
      <c r="EF240" s="330"/>
      <c r="EG240" s="330"/>
      <c r="EH240" s="330"/>
      <c r="EI240" s="330"/>
      <c r="EJ240" s="330"/>
      <c r="EK240" s="330"/>
      <c r="EL240" s="330"/>
      <c r="EM240" s="330"/>
      <c r="EN240" s="330"/>
      <c r="EO240" s="330"/>
      <c r="EP240" s="330"/>
      <c r="EQ240" s="330"/>
      <c r="ER240" s="330"/>
      <c r="ES240" s="330"/>
      <c r="ET240" s="330"/>
      <c r="EU240" s="330"/>
      <c r="EV240" s="330"/>
      <c r="EW240" s="330"/>
      <c r="EX240" s="330"/>
      <c r="EY240" s="1032">
        <f t="shared" si="18"/>
        <v>0.33301999999999998</v>
      </c>
    </row>
    <row r="241" spans="1:166" ht="14.7" customHeight="1" x14ac:dyDescent="0.25">
      <c r="A241" s="421">
        <v>237</v>
      </c>
      <c r="B241" s="169" t="str">
        <f>'330-соус сметанный (2)'!A9</f>
        <v>Соус сметанный</v>
      </c>
      <c r="C241" s="419">
        <f>'330-соус сметанный (2)'!C28</f>
        <v>100</v>
      </c>
      <c r="D241" s="1211">
        <f>14.06/1000*C241</f>
        <v>1.41</v>
      </c>
      <c r="E241" s="1211">
        <f t="shared" si="19"/>
        <v>5</v>
      </c>
      <c r="F241" s="1211">
        <f>58.67/1000*C241</f>
        <v>5.87</v>
      </c>
      <c r="G241" s="1212">
        <f>741/1000*C241</f>
        <v>74</v>
      </c>
      <c r="H241" s="419">
        <f>'330-соус сметанный (2)'!J7</f>
        <v>330</v>
      </c>
      <c r="I241" s="483">
        <f>'330-соус сметанный (2)'!F30</f>
        <v>6.14</v>
      </c>
      <c r="J241" s="330"/>
      <c r="K241" s="330"/>
      <c r="L241" s="330"/>
      <c r="M241" s="330"/>
      <c r="N241" s="330"/>
      <c r="O241" s="330"/>
      <c r="P241" s="330"/>
      <c r="Q241" s="330"/>
      <c r="R241" s="330"/>
      <c r="S241" s="330"/>
      <c r="T241" s="330"/>
      <c r="U241" s="330"/>
      <c r="V241" s="330"/>
      <c r="W241" s="330"/>
      <c r="X241" s="330"/>
      <c r="Y241" s="333">
        <f>'330-соус сметанный (2)'!C19/'330-соус сметанный (2)'!C27*'330-соус сметанный (2)'!C28</f>
        <v>2.5000000000000001E-2</v>
      </c>
      <c r="Z241" s="330"/>
      <c r="AA241" s="330"/>
      <c r="AB241" s="330"/>
      <c r="AC241" s="330"/>
      <c r="AD241" s="330"/>
      <c r="AE241" s="330"/>
      <c r="AF241" s="330"/>
      <c r="AG241" s="330"/>
      <c r="AH241" s="330"/>
      <c r="AI241" s="330"/>
      <c r="AJ241" s="330"/>
      <c r="AK241" s="330"/>
      <c r="AL241" s="330"/>
      <c r="AM241" s="330"/>
      <c r="AN241" s="330"/>
      <c r="AO241" s="330"/>
      <c r="AP241" s="330"/>
      <c r="AQ241" s="330"/>
      <c r="AR241" s="330"/>
      <c r="AS241" s="330"/>
      <c r="AT241" s="330"/>
      <c r="AU241" s="330"/>
      <c r="AV241" s="330"/>
      <c r="AW241" s="330"/>
      <c r="AX241" s="330"/>
      <c r="AY241" s="330"/>
      <c r="AZ241" s="330"/>
      <c r="BA241" s="330"/>
      <c r="BB241" s="330"/>
      <c r="BC241" s="330"/>
      <c r="BD241" s="330"/>
      <c r="BE241" s="330"/>
      <c r="BF241" s="330"/>
      <c r="BG241" s="330"/>
      <c r="BH241" s="330"/>
      <c r="BI241" s="330"/>
      <c r="BJ241" s="330"/>
      <c r="BK241" s="330"/>
      <c r="BL241" s="330"/>
      <c r="BM241" s="330"/>
      <c r="BN241" s="330"/>
      <c r="BO241" s="330"/>
      <c r="BP241" s="330"/>
      <c r="BQ241" s="330"/>
      <c r="BR241" s="330"/>
      <c r="BS241" s="330">
        <f>'330-соус сметанный (2)'!C20/'330-соус сметанный (2)'!C27*'330-соус сметанный (2)'!C28</f>
        <v>7.4999999999999997E-3</v>
      </c>
      <c r="BT241" s="330"/>
      <c r="BU241" s="330"/>
      <c r="BV241" s="330"/>
      <c r="BW241" s="330"/>
      <c r="BX241" s="330"/>
      <c r="BY241" s="330"/>
      <c r="BZ241" s="330"/>
      <c r="CA241" s="330"/>
      <c r="CB241" s="330"/>
      <c r="CC241" s="330"/>
      <c r="CD241" s="330"/>
      <c r="CE241" s="330"/>
      <c r="CF241" s="330"/>
      <c r="CG241" s="330"/>
      <c r="CH241" s="330"/>
      <c r="CI241" s="330"/>
      <c r="CJ241" s="330"/>
      <c r="CK241" s="330"/>
      <c r="CL241" s="330"/>
      <c r="CM241" s="330"/>
      <c r="CN241" s="330"/>
      <c r="CO241" s="330"/>
      <c r="CP241" s="330"/>
      <c r="CQ241" s="330"/>
      <c r="CR241" s="330"/>
      <c r="CS241" s="282">
        <f>'330-соус сметанный (2)'!C22/'330-соус сметанный (2)'!C27*'330-соус сметанный (2)'!C28</f>
        <v>1.9999999999999999E-6</v>
      </c>
      <c r="CT241" s="330"/>
      <c r="CU241" s="330"/>
      <c r="CV241" s="330"/>
      <c r="CW241" s="330"/>
      <c r="CX241" s="330"/>
      <c r="CY241" s="330"/>
      <c r="CZ241" s="330"/>
      <c r="DA241" s="330"/>
      <c r="DB241" s="330"/>
      <c r="DC241" s="330">
        <f>'330-соус сметанный (2)'!C23/'330-соус сметанный (2)'!C27*'330-соус сметанный (2)'!C28</f>
        <v>8.0000000000000004E-4</v>
      </c>
      <c r="DD241" s="330"/>
      <c r="DE241" s="330"/>
      <c r="DF241" s="330"/>
      <c r="DG241" s="330"/>
      <c r="DH241" s="330"/>
      <c r="DI241" s="330"/>
      <c r="DJ241" s="330"/>
      <c r="DK241" s="330"/>
      <c r="DL241" s="330"/>
      <c r="DM241" s="330"/>
      <c r="DN241" s="330"/>
      <c r="DO241" s="330"/>
      <c r="DP241" s="330"/>
      <c r="DQ241" s="330"/>
      <c r="DR241" s="330"/>
      <c r="DS241" s="330"/>
      <c r="DT241" s="330"/>
      <c r="DU241" s="330"/>
      <c r="DV241" s="330"/>
      <c r="DW241" s="330"/>
      <c r="DX241" s="330"/>
      <c r="DY241" s="330"/>
      <c r="DZ241" s="330"/>
      <c r="EA241" s="330"/>
      <c r="EB241" s="330"/>
      <c r="EC241" s="330"/>
      <c r="ED241" s="330"/>
      <c r="EE241" s="330"/>
      <c r="EF241" s="330"/>
      <c r="EG241" s="330"/>
      <c r="EH241" s="330"/>
      <c r="EI241" s="330"/>
      <c r="EJ241" s="330"/>
      <c r="EK241" s="330"/>
      <c r="EL241" s="330"/>
      <c r="EM241" s="330"/>
      <c r="EN241" s="330"/>
      <c r="EO241" s="330"/>
      <c r="EP241" s="330"/>
      <c r="EQ241" s="330"/>
      <c r="ER241" s="330"/>
      <c r="ES241" s="330"/>
      <c r="ET241" s="330"/>
      <c r="EU241" s="330"/>
      <c r="EV241" s="330"/>
      <c r="EW241" s="330"/>
      <c r="EX241" s="330"/>
      <c r="EY241" s="1032">
        <f t="shared" si="18"/>
        <v>3.3301999999999998E-2</v>
      </c>
    </row>
    <row r="242" spans="1:166" ht="14.7" customHeight="1" x14ac:dyDescent="0.25">
      <c r="A242" s="421">
        <v>238</v>
      </c>
      <c r="B242" s="169" t="str">
        <f>'330-соус сметанный (3)'!A9</f>
        <v>Соус сметанный</v>
      </c>
      <c r="C242" s="419">
        <f>'330-соус сметанный (3)'!C28</f>
        <v>50</v>
      </c>
      <c r="D242" s="1211">
        <f>14.06/1000*C242</f>
        <v>0.7</v>
      </c>
      <c r="E242" s="1211">
        <f t="shared" si="19"/>
        <v>2.5</v>
      </c>
      <c r="F242" s="1211">
        <f>58.67/1000*C242</f>
        <v>2.93</v>
      </c>
      <c r="G242" s="1212">
        <f>741/1000*C242</f>
        <v>37</v>
      </c>
      <c r="H242" s="419">
        <f>'330-соус сметанный (3)'!J7</f>
        <v>330</v>
      </c>
      <c r="I242" s="483">
        <f>'330-соус сметанный (3)'!F30</f>
        <v>3.07</v>
      </c>
      <c r="J242" s="330"/>
      <c r="K242" s="330"/>
      <c r="L242" s="330"/>
      <c r="M242" s="330"/>
      <c r="N242" s="330"/>
      <c r="O242" s="330"/>
      <c r="P242" s="330"/>
      <c r="Q242" s="330"/>
      <c r="R242" s="330"/>
      <c r="S242" s="330"/>
      <c r="T242" s="330"/>
      <c r="U242" s="330"/>
      <c r="V242" s="330"/>
      <c r="W242" s="330"/>
      <c r="X242" s="330"/>
      <c r="Y242" s="330">
        <f>'330-соус сметанный (3)'!C19/'330-соус сметанный (3)'!C27*'330-соус сметанный (3)'!C28</f>
        <v>1.2500000000000001E-2</v>
      </c>
      <c r="Z242" s="330"/>
      <c r="AA242" s="330"/>
      <c r="AB242" s="330"/>
      <c r="AC242" s="330"/>
      <c r="AD242" s="330"/>
      <c r="AE242" s="330"/>
      <c r="AF242" s="330"/>
      <c r="AG242" s="330"/>
      <c r="AH242" s="330"/>
      <c r="AI242" s="330"/>
      <c r="AJ242" s="330"/>
      <c r="AK242" s="330"/>
      <c r="AL242" s="330"/>
      <c r="AM242" s="330"/>
      <c r="AN242" s="330"/>
      <c r="AO242" s="330"/>
      <c r="AP242" s="330"/>
      <c r="AQ242" s="330"/>
      <c r="AR242" s="330"/>
      <c r="AS242" s="330"/>
      <c r="AT242" s="330"/>
      <c r="AU242" s="330"/>
      <c r="AV242" s="330"/>
      <c r="AW242" s="330"/>
      <c r="AX242" s="330"/>
      <c r="AY242" s="330"/>
      <c r="AZ242" s="330"/>
      <c r="BA242" s="330"/>
      <c r="BB242" s="330"/>
      <c r="BC242" s="330"/>
      <c r="BD242" s="330"/>
      <c r="BE242" s="330"/>
      <c r="BF242" s="330"/>
      <c r="BG242" s="330"/>
      <c r="BH242" s="330"/>
      <c r="BI242" s="330"/>
      <c r="BJ242" s="330"/>
      <c r="BK242" s="330"/>
      <c r="BL242" s="330"/>
      <c r="BM242" s="330"/>
      <c r="BN242" s="330"/>
      <c r="BO242" s="330"/>
      <c r="BP242" s="330"/>
      <c r="BQ242" s="330"/>
      <c r="BR242" s="330"/>
      <c r="BS242" s="330">
        <f>'330-соус сметанный (3)'!C20/'330-соус сметанный (3)'!C27*'330-соус сметанный (3)'!C28</f>
        <v>3.7499999999999999E-3</v>
      </c>
      <c r="BT242" s="330"/>
      <c r="BU242" s="330"/>
      <c r="BV242" s="330"/>
      <c r="BW242" s="330"/>
      <c r="BX242" s="330"/>
      <c r="BY242" s="330"/>
      <c r="BZ242" s="330"/>
      <c r="CA242" s="330"/>
      <c r="CB242" s="330"/>
      <c r="CC242" s="330"/>
      <c r="CD242" s="330"/>
      <c r="CE242" s="330"/>
      <c r="CF242" s="330"/>
      <c r="CG242" s="330"/>
      <c r="CH242" s="330"/>
      <c r="CI242" s="330"/>
      <c r="CJ242" s="330"/>
      <c r="CK242" s="330"/>
      <c r="CL242" s="330"/>
      <c r="CM242" s="330"/>
      <c r="CN242" s="330"/>
      <c r="CO242" s="330"/>
      <c r="CP242" s="330"/>
      <c r="CQ242" s="330"/>
      <c r="CR242" s="330"/>
      <c r="CS242" s="282">
        <f>'330-соус сметанный (3)'!C22/'330-соус сметанный (3)'!C27*'330-соус сметанный (3)'!C28</f>
        <v>9.9999999999999995E-7</v>
      </c>
      <c r="CT242" s="330"/>
      <c r="CU242" s="330"/>
      <c r="CV242" s="330"/>
      <c r="CW242" s="330"/>
      <c r="CX242" s="330"/>
      <c r="CY242" s="330"/>
      <c r="CZ242" s="330"/>
      <c r="DA242" s="330"/>
      <c r="DB242" s="330"/>
      <c r="DC242" s="330">
        <f>'330-соус сметанный (3)'!C23/'330-соус сметанный (3)'!C27*'330-соус сметанный (3)'!C28</f>
        <v>4.0000000000000002E-4</v>
      </c>
      <c r="DD242" s="330"/>
      <c r="DE242" s="330"/>
      <c r="DF242" s="330"/>
      <c r="DG242" s="330"/>
      <c r="DH242" s="330"/>
      <c r="DI242" s="330"/>
      <c r="DJ242" s="330"/>
      <c r="DK242" s="330"/>
      <c r="DL242" s="330"/>
      <c r="DM242" s="330"/>
      <c r="DN242" s="330"/>
      <c r="DO242" s="330"/>
      <c r="DP242" s="330"/>
      <c r="DQ242" s="330"/>
      <c r="DR242" s="330"/>
      <c r="DS242" s="330"/>
      <c r="DT242" s="330"/>
      <c r="DU242" s="330"/>
      <c r="DV242" s="330"/>
      <c r="DW242" s="330"/>
      <c r="DX242" s="330"/>
      <c r="DY242" s="330"/>
      <c r="DZ242" s="330"/>
      <c r="EA242" s="330"/>
      <c r="EB242" s="330"/>
      <c r="EC242" s="330"/>
      <c r="ED242" s="330"/>
      <c r="EE242" s="330"/>
      <c r="EF242" s="330"/>
      <c r="EG242" s="330"/>
      <c r="EH242" s="330"/>
      <c r="EI242" s="330"/>
      <c r="EJ242" s="330"/>
      <c r="EK242" s="330"/>
      <c r="EL242" s="330"/>
      <c r="EM242" s="330"/>
      <c r="EN242" s="330"/>
      <c r="EO242" s="330"/>
      <c r="EP242" s="330"/>
      <c r="EQ242" s="330"/>
      <c r="ER242" s="330"/>
      <c r="ES242" s="330"/>
      <c r="ET242" s="330"/>
      <c r="EU242" s="330"/>
      <c r="EV242" s="330"/>
      <c r="EW242" s="330"/>
      <c r="EX242" s="330"/>
      <c r="EY242" s="1032">
        <f t="shared" si="18"/>
        <v>1.6650999999999999E-2</v>
      </c>
    </row>
    <row r="243" spans="1:166" s="407" customFormat="1" ht="14.7" customHeight="1" x14ac:dyDescent="0.25">
      <c r="A243" s="421">
        <v>239</v>
      </c>
      <c r="B243" s="417" t="str">
        <f>'330-соус сметанный (4)'!A9</f>
        <v>Соус сметанный</v>
      </c>
      <c r="C243" s="419">
        <f>'330-соус сметанный (4)'!C28</f>
        <v>30</v>
      </c>
      <c r="D243" s="1211">
        <f>14.06/1000*C243</f>
        <v>0.42</v>
      </c>
      <c r="E243" s="1211">
        <f t="shared" si="19"/>
        <v>1.5</v>
      </c>
      <c r="F243" s="1211">
        <f>58.67/1000*C243</f>
        <v>1.76</v>
      </c>
      <c r="G243" s="1212">
        <f>741/1000*C243</f>
        <v>22</v>
      </c>
      <c r="H243" s="419">
        <f>'330-соус сметанный (4)'!J7</f>
        <v>330</v>
      </c>
      <c r="I243" s="483">
        <f>'330-соус сметанный (4)'!F30</f>
        <v>1.84</v>
      </c>
      <c r="J243" s="330"/>
      <c r="K243" s="330"/>
      <c r="L243" s="330"/>
      <c r="M243" s="330"/>
      <c r="N243" s="330"/>
      <c r="O243" s="330"/>
      <c r="P243" s="330"/>
      <c r="Q243" s="330"/>
      <c r="R243" s="330"/>
      <c r="S243" s="330"/>
      <c r="T243" s="330"/>
      <c r="U243" s="330"/>
      <c r="V243" s="330"/>
      <c r="W243" s="330"/>
      <c r="X243" s="330"/>
      <c r="Y243" s="330">
        <f>'330-соус сметанный (4)'!C19/'330-соус сметанный (4)'!C27*'330-соус сметанный (4)'!C28</f>
        <v>7.4999999999999997E-3</v>
      </c>
      <c r="Z243" s="330"/>
      <c r="AA243" s="330"/>
      <c r="AB243" s="330"/>
      <c r="AC243" s="330"/>
      <c r="AD243" s="330"/>
      <c r="AE243" s="330"/>
      <c r="AF243" s="330"/>
      <c r="AG243" s="330"/>
      <c r="AH243" s="330"/>
      <c r="AI243" s="330"/>
      <c r="AJ243" s="330"/>
      <c r="AK243" s="330"/>
      <c r="AL243" s="330"/>
      <c r="AM243" s="330"/>
      <c r="AN243" s="330"/>
      <c r="AO243" s="330"/>
      <c r="AP243" s="330"/>
      <c r="AQ243" s="330"/>
      <c r="AR243" s="330"/>
      <c r="AS243" s="330"/>
      <c r="AT243" s="330"/>
      <c r="AU243" s="330"/>
      <c r="AV243" s="330"/>
      <c r="AW243" s="330"/>
      <c r="AX243" s="330"/>
      <c r="AY243" s="330"/>
      <c r="AZ243" s="330"/>
      <c r="BA243" s="330"/>
      <c r="BB243" s="330"/>
      <c r="BC243" s="330"/>
      <c r="BD243" s="330"/>
      <c r="BE243" s="330"/>
      <c r="BF243" s="330"/>
      <c r="BG243" s="330"/>
      <c r="BH243" s="330"/>
      <c r="BI243" s="330"/>
      <c r="BJ243" s="330"/>
      <c r="BK243" s="330"/>
      <c r="BL243" s="330"/>
      <c r="BM243" s="330"/>
      <c r="BN243" s="330"/>
      <c r="BO243" s="330"/>
      <c r="BP243" s="330"/>
      <c r="BQ243" s="330"/>
      <c r="BR243" s="330"/>
      <c r="BS243" s="330">
        <f>'330-соус сметанный (4)'!C20/'330-соус сметанный (4)'!C27*'330-соус сметанный (4)'!C28</f>
        <v>2.2499999999999998E-3</v>
      </c>
      <c r="BT243" s="330"/>
      <c r="BU243" s="330"/>
      <c r="BV243" s="330"/>
      <c r="BW243" s="330"/>
      <c r="BX243" s="330"/>
      <c r="BY243" s="330"/>
      <c r="BZ243" s="330"/>
      <c r="CA243" s="330"/>
      <c r="CB243" s="330"/>
      <c r="CC243" s="330"/>
      <c r="CD243" s="330"/>
      <c r="CE243" s="330"/>
      <c r="CF243" s="330"/>
      <c r="CG243" s="330"/>
      <c r="CH243" s="330"/>
      <c r="CI243" s="330"/>
      <c r="CJ243" s="330"/>
      <c r="CK243" s="330"/>
      <c r="CL243" s="330"/>
      <c r="CM243" s="330"/>
      <c r="CN243" s="330"/>
      <c r="CO243" s="330"/>
      <c r="CP243" s="330"/>
      <c r="CQ243" s="330"/>
      <c r="CR243" s="330"/>
      <c r="CS243" s="282">
        <f>'330-соус сметанный (4)'!C22/'330-соус сметанный (4)'!C27*'330-соус сметанный (4)'!C28</f>
        <v>5.9999999999999997E-7</v>
      </c>
      <c r="CT243" s="330"/>
      <c r="CU243" s="330"/>
      <c r="CV243" s="330"/>
      <c r="CW243" s="330"/>
      <c r="CX243" s="330"/>
      <c r="CY243" s="330"/>
      <c r="CZ243" s="330"/>
      <c r="DA243" s="330"/>
      <c r="DB243" s="330"/>
      <c r="DC243" s="330">
        <f>'330-соус сметанный (4)'!C23/'330-соус сметанный (4)'!C27*'330-соус сметанный (4)'!C28</f>
        <v>2.4000000000000001E-4</v>
      </c>
      <c r="DD243" s="330"/>
      <c r="DE243" s="330"/>
      <c r="DF243" s="330"/>
      <c r="DG243" s="330"/>
      <c r="DH243" s="330"/>
      <c r="DI243" s="330"/>
      <c r="DJ243" s="330"/>
      <c r="DK243" s="330"/>
      <c r="DL243" s="330"/>
      <c r="DM243" s="330"/>
      <c r="DN243" s="330"/>
      <c r="DO243" s="330"/>
      <c r="DP243" s="330"/>
      <c r="DQ243" s="330"/>
      <c r="DR243" s="330"/>
      <c r="DS243" s="330"/>
      <c r="DT243" s="330"/>
      <c r="DU243" s="330"/>
      <c r="DV243" s="330"/>
      <c r="DW243" s="330"/>
      <c r="DX243" s="330"/>
      <c r="DY243" s="330"/>
      <c r="DZ243" s="330"/>
      <c r="EA243" s="330"/>
      <c r="EB243" s="330"/>
      <c r="EC243" s="330"/>
      <c r="ED243" s="330"/>
      <c r="EE243" s="330"/>
      <c r="EF243" s="330"/>
      <c r="EG243" s="330"/>
      <c r="EH243" s="330"/>
      <c r="EI243" s="330"/>
      <c r="EJ243" s="330"/>
      <c r="EK243" s="330"/>
      <c r="EL243" s="330"/>
      <c r="EM243" s="330"/>
      <c r="EN243" s="330"/>
      <c r="EO243" s="330"/>
      <c r="EP243" s="330"/>
      <c r="EQ243" s="330"/>
      <c r="ER243" s="330"/>
      <c r="ES243" s="330"/>
      <c r="ET243" s="330"/>
      <c r="EU243" s="330"/>
      <c r="EV243" s="330"/>
      <c r="EW243" s="330"/>
      <c r="EX243" s="330"/>
      <c r="EY243" s="1032">
        <f t="shared" si="18"/>
        <v>9.9909999999999999E-3</v>
      </c>
      <c r="EZ243" s="616"/>
      <c r="FA243" s="616"/>
      <c r="FB243" s="616"/>
      <c r="FC243" s="616"/>
      <c r="FD243" s="616"/>
      <c r="FE243" s="616"/>
      <c r="FF243" s="616"/>
      <c r="FG243" s="616"/>
      <c r="FH243" s="616"/>
      <c r="FI243" s="616"/>
      <c r="FJ243" s="616"/>
    </row>
    <row r="244" spans="1:166" ht="14.7" customHeight="1" x14ac:dyDescent="0.25">
      <c r="A244" s="421">
        <v>240</v>
      </c>
      <c r="B244" s="169" t="str">
        <f>'331-соус с томатом'!A9</f>
        <v>Соус сметанный с томатом</v>
      </c>
      <c r="C244" s="419">
        <f>'331-соус с томатом'!C28</f>
        <v>1000</v>
      </c>
      <c r="D244" s="1211">
        <f>17.62/1000*C244</f>
        <v>17.62</v>
      </c>
      <c r="E244" s="1211">
        <f t="shared" si="19"/>
        <v>49.96</v>
      </c>
      <c r="F244" s="1211">
        <f>70.24/1000*C244</f>
        <v>70.239999999999995</v>
      </c>
      <c r="G244" s="1212">
        <f>801/1000*C244</f>
        <v>801</v>
      </c>
      <c r="H244" s="419">
        <f>'331-соус с томатом'!J7</f>
        <v>331</v>
      </c>
      <c r="I244" s="1234">
        <f>'331-соус с томатом'!F30</f>
        <v>84.41</v>
      </c>
      <c r="J244" s="330"/>
      <c r="K244" s="330"/>
      <c r="L244" s="330"/>
      <c r="M244" s="330"/>
      <c r="N244" s="330"/>
      <c r="O244" s="330"/>
      <c r="P244" s="330"/>
      <c r="Q244" s="330"/>
      <c r="R244" s="330"/>
      <c r="S244" s="330"/>
      <c r="T244" s="330"/>
      <c r="U244" s="330"/>
      <c r="V244" s="330"/>
      <c r="W244" s="330"/>
      <c r="X244" s="330"/>
      <c r="Y244" s="330">
        <f>'331-соус с томатом'!C19</f>
        <v>0.25</v>
      </c>
      <c r="Z244" s="330"/>
      <c r="AA244" s="330"/>
      <c r="AB244" s="330"/>
      <c r="AC244" s="330"/>
      <c r="AD244" s="330"/>
      <c r="AE244" s="330"/>
      <c r="AF244" s="330"/>
      <c r="AG244" s="330"/>
      <c r="AH244" s="330"/>
      <c r="AI244" s="330"/>
      <c r="AJ244" s="330"/>
      <c r="AK244" s="330"/>
      <c r="AL244" s="330"/>
      <c r="AM244" s="330"/>
      <c r="AN244" s="330"/>
      <c r="AO244" s="330"/>
      <c r="AP244" s="330"/>
      <c r="AQ244" s="330"/>
      <c r="AR244" s="330"/>
      <c r="AS244" s="330"/>
      <c r="AT244" s="330"/>
      <c r="AU244" s="330"/>
      <c r="AV244" s="330"/>
      <c r="AW244" s="330"/>
      <c r="AX244" s="330"/>
      <c r="AY244" s="330"/>
      <c r="AZ244" s="330"/>
      <c r="BA244" s="330"/>
      <c r="BB244" s="330"/>
      <c r="BC244" s="330"/>
      <c r="BD244" s="330"/>
      <c r="BE244" s="330"/>
      <c r="BF244" s="330"/>
      <c r="BG244" s="330"/>
      <c r="BH244" s="330"/>
      <c r="BI244" s="330"/>
      <c r="BJ244" s="330"/>
      <c r="BK244" s="330"/>
      <c r="BL244" s="330"/>
      <c r="BM244" s="330"/>
      <c r="BN244" s="330"/>
      <c r="BO244" s="330"/>
      <c r="BP244" s="330"/>
      <c r="BQ244" s="330"/>
      <c r="BR244" s="330"/>
      <c r="BS244" s="330">
        <f>'331-соус с томатом'!C20</f>
        <v>7.4999999999999997E-2</v>
      </c>
      <c r="BT244" s="330"/>
      <c r="BU244" s="330"/>
      <c r="BV244" s="330"/>
      <c r="BW244" s="330"/>
      <c r="BX244" s="330"/>
      <c r="BY244" s="330"/>
      <c r="BZ244" s="330"/>
      <c r="CA244" s="330"/>
      <c r="CB244" s="330"/>
      <c r="CC244" s="330"/>
      <c r="CD244" s="330"/>
      <c r="CE244" s="330"/>
      <c r="CF244" s="330"/>
      <c r="CG244" s="330"/>
      <c r="CH244" s="330"/>
      <c r="CI244" s="330"/>
      <c r="CJ244" s="330"/>
      <c r="CK244" s="330"/>
      <c r="CL244" s="330"/>
      <c r="CM244" s="330"/>
      <c r="CN244" s="330"/>
      <c r="CO244" s="330"/>
      <c r="CP244" s="330"/>
      <c r="CQ244" s="330"/>
      <c r="CR244" s="330"/>
      <c r="CS244" s="330">
        <f>'331-соус с томатом'!C23</f>
        <v>2.0000000000000002E-5</v>
      </c>
      <c r="CT244" s="330"/>
      <c r="CU244" s="330"/>
      <c r="CV244" s="330"/>
      <c r="CW244" s="330"/>
      <c r="CX244" s="330"/>
      <c r="CY244" s="330"/>
      <c r="CZ244" s="330"/>
      <c r="DA244" s="330"/>
      <c r="DB244" s="330"/>
      <c r="DC244" s="330">
        <f>'331-соус с томатом'!C24</f>
        <v>8.0000000000000002E-3</v>
      </c>
      <c r="DD244" s="330"/>
      <c r="DE244" s="330"/>
      <c r="DF244" s="330">
        <f>'331-соус с томатом'!C22</f>
        <v>0.1</v>
      </c>
      <c r="DG244" s="330"/>
      <c r="DH244" s="330"/>
      <c r="DI244" s="330"/>
      <c r="DJ244" s="330"/>
      <c r="DK244" s="330"/>
      <c r="DL244" s="330"/>
      <c r="DM244" s="330"/>
      <c r="DN244" s="330"/>
      <c r="DO244" s="330"/>
      <c r="DP244" s="330"/>
      <c r="DQ244" s="330"/>
      <c r="DR244" s="330"/>
      <c r="DS244" s="330"/>
      <c r="DT244" s="330"/>
      <c r="DU244" s="330"/>
      <c r="DV244" s="330"/>
      <c r="DW244" s="330"/>
      <c r="DX244" s="330"/>
      <c r="DY244" s="330"/>
      <c r="DZ244" s="330"/>
      <c r="EA244" s="330"/>
      <c r="EB244" s="330"/>
      <c r="EC244" s="330"/>
      <c r="ED244" s="330"/>
      <c r="EE244" s="330"/>
      <c r="EF244" s="330"/>
      <c r="EG244" s="330"/>
      <c r="EH244" s="330"/>
      <c r="EI244" s="330"/>
      <c r="EJ244" s="330"/>
      <c r="EK244" s="330"/>
      <c r="EL244" s="330"/>
      <c r="EM244" s="330"/>
      <c r="EN244" s="330"/>
      <c r="EO244" s="330"/>
      <c r="EP244" s="330"/>
      <c r="EQ244" s="330"/>
      <c r="ER244" s="330"/>
      <c r="ES244" s="330"/>
      <c r="ET244" s="330"/>
      <c r="EU244" s="330"/>
      <c r="EV244" s="330"/>
      <c r="EW244" s="330"/>
      <c r="EX244" s="330"/>
      <c r="EY244" s="1032">
        <f t="shared" si="18"/>
        <v>0.43302000000000002</v>
      </c>
    </row>
    <row r="245" spans="1:166" s="467" customFormat="1" ht="14.7" customHeight="1" x14ac:dyDescent="0.25">
      <c r="A245" s="421">
        <v>241</v>
      </c>
      <c r="B245" s="417" t="str">
        <f>'331-соус с томатом (30)'!A9</f>
        <v>Соус сметанный с томатом (30 гр.)</v>
      </c>
      <c r="C245" s="419">
        <f>'331-соус с томатом (30)'!C28</f>
        <v>30</v>
      </c>
      <c r="D245" s="1211">
        <f>17.62/1000*C245</f>
        <v>0.53</v>
      </c>
      <c r="E245" s="1211">
        <f t="shared" si="19"/>
        <v>1.5</v>
      </c>
      <c r="F245" s="1211">
        <f>70.24/1000*C245</f>
        <v>2.11</v>
      </c>
      <c r="G245" s="1212">
        <f>801/1000*C245</f>
        <v>24</v>
      </c>
      <c r="H245" s="419">
        <f>'331-соус с томатом (30)'!J7</f>
        <v>331</v>
      </c>
      <c r="I245" s="483">
        <f>'331-соус с томатом (30)'!F30</f>
        <v>2.5299999999999998</v>
      </c>
      <c r="J245" s="330"/>
      <c r="K245" s="330"/>
      <c r="L245" s="330"/>
      <c r="M245" s="330"/>
      <c r="N245" s="330"/>
      <c r="O245" s="330"/>
      <c r="P245" s="330"/>
      <c r="Q245" s="330"/>
      <c r="R245" s="330"/>
      <c r="S245" s="330"/>
      <c r="T245" s="330"/>
      <c r="U245" s="330"/>
      <c r="V245" s="330"/>
      <c r="W245" s="330"/>
      <c r="X245" s="330"/>
      <c r="Y245" s="330">
        <f>'331-соус с томатом (30)'!C19/1000*C245</f>
        <v>7.4999999999999997E-3</v>
      </c>
      <c r="Z245" s="330"/>
      <c r="AA245" s="330"/>
      <c r="AB245" s="330"/>
      <c r="AC245" s="330"/>
      <c r="AD245" s="330"/>
      <c r="AE245" s="330"/>
      <c r="AF245" s="330"/>
      <c r="AG245" s="330"/>
      <c r="AH245" s="330"/>
      <c r="AI245" s="330"/>
      <c r="AJ245" s="330"/>
      <c r="AK245" s="330"/>
      <c r="AL245" s="330"/>
      <c r="AM245" s="330"/>
      <c r="AN245" s="330"/>
      <c r="AO245" s="330"/>
      <c r="AP245" s="330"/>
      <c r="AQ245" s="330"/>
      <c r="AR245" s="330"/>
      <c r="AS245" s="330"/>
      <c r="AT245" s="330"/>
      <c r="AU245" s="330"/>
      <c r="AV245" s="330"/>
      <c r="AW245" s="330"/>
      <c r="AX245" s="330"/>
      <c r="AY245" s="330"/>
      <c r="AZ245" s="330"/>
      <c r="BA245" s="330"/>
      <c r="BB245" s="330"/>
      <c r="BC245" s="330"/>
      <c r="BD245" s="330"/>
      <c r="BE245" s="330"/>
      <c r="BF245" s="330"/>
      <c r="BG245" s="330"/>
      <c r="BH245" s="330"/>
      <c r="BI245" s="330"/>
      <c r="BJ245" s="330"/>
      <c r="BK245" s="330"/>
      <c r="BL245" s="330"/>
      <c r="BM245" s="330"/>
      <c r="BN245" s="330"/>
      <c r="BO245" s="330"/>
      <c r="BP245" s="330"/>
      <c r="BQ245" s="330"/>
      <c r="BR245" s="330"/>
      <c r="BS245" s="330">
        <f>'331-соус с томатом (30)'!C20/1000*C245</f>
        <v>2.2499999999999998E-3</v>
      </c>
      <c r="BT245" s="330"/>
      <c r="BU245" s="330"/>
      <c r="BV245" s="330"/>
      <c r="BW245" s="330"/>
      <c r="BX245" s="330"/>
      <c r="BY245" s="330"/>
      <c r="BZ245" s="330"/>
      <c r="CA245" s="330"/>
      <c r="CB245" s="330"/>
      <c r="CC245" s="330"/>
      <c r="CD245" s="330"/>
      <c r="CE245" s="330"/>
      <c r="CF245" s="330"/>
      <c r="CG245" s="330"/>
      <c r="CH245" s="330"/>
      <c r="CI245" s="330"/>
      <c r="CJ245" s="330"/>
      <c r="CK245" s="330"/>
      <c r="CL245" s="330"/>
      <c r="CM245" s="330"/>
      <c r="CN245" s="330"/>
      <c r="CO245" s="330"/>
      <c r="CP245" s="330"/>
      <c r="CQ245" s="330"/>
      <c r="CR245" s="330"/>
      <c r="CS245" s="330">
        <f>'331-соус с томатом (30)'!C23/1000*C245</f>
        <v>0</v>
      </c>
      <c r="CT245" s="330"/>
      <c r="CU245" s="330"/>
      <c r="CV245" s="330"/>
      <c r="CW245" s="330"/>
      <c r="CX245" s="330"/>
      <c r="CY245" s="330"/>
      <c r="CZ245" s="330"/>
      <c r="DA245" s="330"/>
      <c r="DB245" s="330"/>
      <c r="DC245" s="330">
        <f>'331-соус с томатом (30)'!C24/1000*C245</f>
        <v>2.4000000000000001E-4</v>
      </c>
      <c r="DD245" s="330"/>
      <c r="DE245" s="330"/>
      <c r="DF245" s="330">
        <f>'331-соус с томатом (30)'!C22/1000*C245</f>
        <v>3.0000000000000001E-3</v>
      </c>
      <c r="DG245" s="330"/>
      <c r="DH245" s="330"/>
      <c r="DI245" s="330"/>
      <c r="DJ245" s="330"/>
      <c r="DK245" s="330"/>
      <c r="DL245" s="330"/>
      <c r="DM245" s="330"/>
      <c r="DN245" s="330"/>
      <c r="DO245" s="330"/>
      <c r="DP245" s="330"/>
      <c r="DQ245" s="330"/>
      <c r="DR245" s="330"/>
      <c r="DS245" s="330"/>
      <c r="DT245" s="330"/>
      <c r="DU245" s="330"/>
      <c r="DV245" s="330"/>
      <c r="DW245" s="330"/>
      <c r="DX245" s="330"/>
      <c r="DY245" s="330"/>
      <c r="DZ245" s="330"/>
      <c r="EA245" s="330"/>
      <c r="EB245" s="330"/>
      <c r="EC245" s="330"/>
      <c r="ED245" s="330"/>
      <c r="EE245" s="330"/>
      <c r="EF245" s="330"/>
      <c r="EG245" s="330"/>
      <c r="EH245" s="330"/>
      <c r="EI245" s="330"/>
      <c r="EJ245" s="330"/>
      <c r="EK245" s="330"/>
      <c r="EL245" s="330"/>
      <c r="EM245" s="330"/>
      <c r="EN245" s="330"/>
      <c r="EO245" s="330"/>
      <c r="EP245" s="330"/>
      <c r="EQ245" s="330"/>
      <c r="ER245" s="330"/>
      <c r="ES245" s="330"/>
      <c r="ET245" s="330"/>
      <c r="EU245" s="330"/>
      <c r="EV245" s="330"/>
      <c r="EW245" s="330"/>
      <c r="EX245" s="330"/>
      <c r="EY245" s="1032">
        <f t="shared" si="18"/>
        <v>1.299E-2</v>
      </c>
      <c r="EZ245" s="616"/>
      <c r="FA245" s="616"/>
      <c r="FB245" s="616"/>
      <c r="FC245" s="616"/>
      <c r="FD245" s="616"/>
      <c r="FE245" s="616"/>
      <c r="FF245" s="616"/>
      <c r="FG245" s="616"/>
      <c r="FH245" s="616"/>
      <c r="FI245" s="616"/>
      <c r="FJ245" s="616"/>
    </row>
    <row r="246" spans="1:166" s="467" customFormat="1" ht="14.7" customHeight="1" x14ac:dyDescent="0.25">
      <c r="A246" s="421">
        <v>242</v>
      </c>
      <c r="B246" s="417" t="str">
        <f>'331-соус с томатом (50)'!A9</f>
        <v>Соус сметанный с томатом (50 гр.)</v>
      </c>
      <c r="C246" s="419">
        <f>'331-соус с томатом (50)'!C28</f>
        <v>50</v>
      </c>
      <c r="D246" s="1211">
        <f>17.62/1000*C246</f>
        <v>0.88</v>
      </c>
      <c r="E246" s="1211">
        <f t="shared" si="19"/>
        <v>2.5</v>
      </c>
      <c r="F246" s="1211">
        <f>70.24/1000*C246</f>
        <v>3.51</v>
      </c>
      <c r="G246" s="1212">
        <f>801/1000*C246</f>
        <v>40</v>
      </c>
      <c r="H246" s="419">
        <f>'331-соус с томатом (50)'!J7</f>
        <v>331</v>
      </c>
      <c r="I246" s="483">
        <f>'331-соус с томатом (50)'!F30</f>
        <v>4.22</v>
      </c>
      <c r="J246" s="330"/>
      <c r="K246" s="330"/>
      <c r="L246" s="330"/>
      <c r="M246" s="330"/>
      <c r="N246" s="330"/>
      <c r="O246" s="330"/>
      <c r="P246" s="330"/>
      <c r="Q246" s="330"/>
      <c r="R246" s="330"/>
      <c r="S246" s="330"/>
      <c r="T246" s="330"/>
      <c r="U246" s="330"/>
      <c r="V246" s="330"/>
      <c r="W246" s="330"/>
      <c r="X246" s="330"/>
      <c r="Y246" s="330">
        <f>'331-соус с томатом (50)'!C19/1000*C246</f>
        <v>1.2500000000000001E-2</v>
      </c>
      <c r="Z246" s="330"/>
      <c r="AA246" s="330"/>
      <c r="AB246" s="330"/>
      <c r="AC246" s="330"/>
      <c r="AD246" s="330"/>
      <c r="AE246" s="330"/>
      <c r="AF246" s="330"/>
      <c r="AG246" s="330"/>
      <c r="AH246" s="330"/>
      <c r="AI246" s="330"/>
      <c r="AJ246" s="330"/>
      <c r="AK246" s="330"/>
      <c r="AL246" s="330"/>
      <c r="AM246" s="330"/>
      <c r="AN246" s="330"/>
      <c r="AO246" s="330"/>
      <c r="AP246" s="330"/>
      <c r="AQ246" s="330"/>
      <c r="AR246" s="330"/>
      <c r="AS246" s="330"/>
      <c r="AT246" s="330"/>
      <c r="AU246" s="330"/>
      <c r="AV246" s="330"/>
      <c r="AW246" s="330"/>
      <c r="AX246" s="330"/>
      <c r="AY246" s="330"/>
      <c r="AZ246" s="330"/>
      <c r="BA246" s="330"/>
      <c r="BB246" s="330"/>
      <c r="BC246" s="330"/>
      <c r="BD246" s="330"/>
      <c r="BE246" s="330"/>
      <c r="BF246" s="330"/>
      <c r="BG246" s="330"/>
      <c r="BH246" s="330"/>
      <c r="BI246" s="330"/>
      <c r="BJ246" s="330"/>
      <c r="BK246" s="330"/>
      <c r="BL246" s="330"/>
      <c r="BM246" s="330"/>
      <c r="BN246" s="330"/>
      <c r="BO246" s="330"/>
      <c r="BP246" s="330"/>
      <c r="BQ246" s="330"/>
      <c r="BR246" s="330"/>
      <c r="BS246" s="330">
        <f>'331-соус с томатом (50)'!C20/1000*C246</f>
        <v>3.7499999999999999E-3</v>
      </c>
      <c r="BT246" s="330"/>
      <c r="BU246" s="330"/>
      <c r="BV246" s="330"/>
      <c r="BW246" s="330"/>
      <c r="BX246" s="330"/>
      <c r="BY246" s="330"/>
      <c r="BZ246" s="330"/>
      <c r="CA246" s="330"/>
      <c r="CB246" s="330"/>
      <c r="CC246" s="330"/>
      <c r="CD246" s="330"/>
      <c r="CE246" s="330"/>
      <c r="CF246" s="330"/>
      <c r="CG246" s="330"/>
      <c r="CH246" s="330"/>
      <c r="CI246" s="330"/>
      <c r="CJ246" s="330"/>
      <c r="CK246" s="330"/>
      <c r="CL246" s="330"/>
      <c r="CM246" s="330"/>
      <c r="CN246" s="330"/>
      <c r="CO246" s="330"/>
      <c r="CP246" s="330"/>
      <c r="CQ246" s="330"/>
      <c r="CR246" s="330"/>
      <c r="CS246" s="330">
        <f>'331-соус с томатом (50)'!C23/1000*C246</f>
        <v>0</v>
      </c>
      <c r="CT246" s="330"/>
      <c r="CU246" s="330"/>
      <c r="CV246" s="330"/>
      <c r="CW246" s="330"/>
      <c r="CX246" s="330"/>
      <c r="CY246" s="330"/>
      <c r="CZ246" s="330"/>
      <c r="DA246" s="330"/>
      <c r="DB246" s="330"/>
      <c r="DC246" s="330">
        <f>'331-соус с томатом (50)'!C24/1000*C246</f>
        <v>4.0000000000000002E-4</v>
      </c>
      <c r="DD246" s="330"/>
      <c r="DE246" s="330"/>
      <c r="DF246" s="330">
        <f>'331-соус с томатом (50)'!C22/1000*C246</f>
        <v>5.0000000000000001E-3</v>
      </c>
      <c r="DG246" s="330"/>
      <c r="DH246" s="330"/>
      <c r="DI246" s="330"/>
      <c r="DJ246" s="330"/>
      <c r="DK246" s="330"/>
      <c r="DL246" s="330"/>
      <c r="DM246" s="330"/>
      <c r="DN246" s="330"/>
      <c r="DO246" s="330"/>
      <c r="DP246" s="330"/>
      <c r="DQ246" s="330"/>
      <c r="DR246" s="330"/>
      <c r="DS246" s="330"/>
      <c r="DT246" s="330"/>
      <c r="DU246" s="330"/>
      <c r="DV246" s="330"/>
      <c r="DW246" s="330"/>
      <c r="DX246" s="330"/>
      <c r="DY246" s="330"/>
      <c r="DZ246" s="330"/>
      <c r="EA246" s="330"/>
      <c r="EB246" s="330"/>
      <c r="EC246" s="330"/>
      <c r="ED246" s="330"/>
      <c r="EE246" s="330"/>
      <c r="EF246" s="330"/>
      <c r="EG246" s="330"/>
      <c r="EH246" s="330"/>
      <c r="EI246" s="330"/>
      <c r="EJ246" s="330"/>
      <c r="EK246" s="330"/>
      <c r="EL246" s="330"/>
      <c r="EM246" s="330"/>
      <c r="EN246" s="330"/>
      <c r="EO246" s="330"/>
      <c r="EP246" s="330"/>
      <c r="EQ246" s="330"/>
      <c r="ER246" s="330"/>
      <c r="ES246" s="330"/>
      <c r="ET246" s="330"/>
      <c r="EU246" s="330"/>
      <c r="EV246" s="330"/>
      <c r="EW246" s="330"/>
      <c r="EX246" s="330"/>
      <c r="EY246" s="1032">
        <f t="shared" ref="EY246:EY317" si="20">SUM(J246:EX246)</f>
        <v>2.1649999999999999E-2</v>
      </c>
      <c r="EZ246" s="616"/>
      <c r="FA246" s="616"/>
      <c r="FB246" s="616"/>
      <c r="FC246" s="616"/>
      <c r="FD246" s="616"/>
      <c r="FE246" s="616"/>
      <c r="FF246" s="616"/>
      <c r="FG246" s="616"/>
      <c r="FH246" s="616"/>
      <c r="FI246" s="616"/>
      <c r="FJ246" s="616"/>
    </row>
    <row r="247" spans="1:166" ht="14.7" customHeight="1" x14ac:dyDescent="0.25">
      <c r="A247" s="421">
        <v>243</v>
      </c>
      <c r="B247" s="169" t="str">
        <f>'332-соус с луком'!A9</f>
        <v>Соус сметанный с луком</v>
      </c>
      <c r="C247" s="419">
        <f>'333-соус с томатом и лук'!C26</f>
        <v>1000</v>
      </c>
      <c r="D247" s="1211">
        <f>16.21/1000*C247</f>
        <v>16.21</v>
      </c>
      <c r="E247" s="1211">
        <f t="shared" ref="E247:E252" si="21">58.7/1000*C247</f>
        <v>58.7</v>
      </c>
      <c r="F247" s="1211">
        <f>70.41/1000*C247</f>
        <v>70.41</v>
      </c>
      <c r="G247" s="1212">
        <f>875/1000*C247</f>
        <v>875</v>
      </c>
      <c r="H247" s="419">
        <f>'332-соус с луком'!J7</f>
        <v>332</v>
      </c>
      <c r="I247" s="1234">
        <f>'332-соус с луком'!F27</f>
        <v>82.6</v>
      </c>
      <c r="J247" s="330"/>
      <c r="K247" s="330"/>
      <c r="L247" s="330"/>
      <c r="M247" s="330"/>
      <c r="N247" s="330"/>
      <c r="O247" s="330"/>
      <c r="P247" s="330"/>
      <c r="Q247" s="330"/>
      <c r="R247" s="330"/>
      <c r="S247" s="330"/>
      <c r="T247" s="330"/>
      <c r="U247" s="330"/>
      <c r="V247" s="330">
        <f>'332-соус с луком'!C21</f>
        <v>0.02</v>
      </c>
      <c r="W247" s="330"/>
      <c r="X247" s="330"/>
      <c r="Y247" s="330">
        <f>'330-соус сметанный'!C19/1000*920</f>
        <v>0.23</v>
      </c>
      <c r="Z247" s="330"/>
      <c r="AA247" s="330"/>
      <c r="AB247" s="330"/>
      <c r="AC247" s="330"/>
      <c r="AD247" s="330"/>
      <c r="AE247" s="330"/>
      <c r="AF247" s="330"/>
      <c r="AG247" s="330"/>
      <c r="AH247" s="330"/>
      <c r="AI247" s="330"/>
      <c r="AJ247" s="330"/>
      <c r="AK247" s="330">
        <f>'332-соус с луком'!C20</f>
        <v>0.23799999999999999</v>
      </c>
      <c r="AL247" s="330"/>
      <c r="AM247" s="330"/>
      <c r="AN247" s="330"/>
      <c r="AO247" s="330"/>
      <c r="AP247" s="330"/>
      <c r="AQ247" s="330"/>
      <c r="AR247" s="330"/>
      <c r="AS247" s="330"/>
      <c r="AT247" s="330"/>
      <c r="AU247" s="330"/>
      <c r="AV247" s="330"/>
      <c r="AW247" s="330"/>
      <c r="AX247" s="330"/>
      <c r="AY247" s="330"/>
      <c r="AZ247" s="330"/>
      <c r="BA247" s="330"/>
      <c r="BB247" s="330"/>
      <c r="BC247" s="330"/>
      <c r="BD247" s="330"/>
      <c r="BE247" s="330"/>
      <c r="BF247" s="330"/>
      <c r="BG247" s="330"/>
      <c r="BH247" s="330"/>
      <c r="BI247" s="330"/>
      <c r="BJ247" s="330"/>
      <c r="BK247" s="330"/>
      <c r="BL247" s="330"/>
      <c r="BM247" s="330"/>
      <c r="BN247" s="330"/>
      <c r="BO247" s="330"/>
      <c r="BP247" s="330"/>
      <c r="BQ247" s="330"/>
      <c r="BR247" s="330"/>
      <c r="BS247" s="330">
        <f>'330-соус сметанный'!C20/1000*920</f>
        <v>6.9000000000000006E-2</v>
      </c>
      <c r="BT247" s="330"/>
      <c r="BU247" s="330"/>
      <c r="BV247" s="330"/>
      <c r="BW247" s="330"/>
      <c r="BX247" s="330"/>
      <c r="BY247" s="330"/>
      <c r="BZ247" s="330"/>
      <c r="CA247" s="330"/>
      <c r="CB247" s="330"/>
      <c r="CC247" s="330"/>
      <c r="CD247" s="330"/>
      <c r="CE247" s="330"/>
      <c r="CF247" s="330"/>
      <c r="CG247" s="330"/>
      <c r="CH247" s="330"/>
      <c r="CI247" s="330"/>
      <c r="CJ247" s="330"/>
      <c r="CK247" s="330"/>
      <c r="CL247" s="330"/>
      <c r="CM247" s="330"/>
      <c r="CN247" s="330"/>
      <c r="CO247" s="330"/>
      <c r="CP247" s="330"/>
      <c r="CQ247" s="330"/>
      <c r="CR247" s="330"/>
      <c r="CS247" s="330">
        <f>'330-соус сметанный'!C22/1000*920</f>
        <v>2.0000000000000002E-5</v>
      </c>
      <c r="CT247" s="330"/>
      <c r="CU247" s="330"/>
      <c r="CV247" s="330"/>
      <c r="CW247" s="330"/>
      <c r="CX247" s="330"/>
      <c r="CY247" s="330"/>
      <c r="CZ247" s="330"/>
      <c r="DA247" s="330"/>
      <c r="DB247" s="330"/>
      <c r="DC247" s="330">
        <f>'330-соус сметанный'!C23/1000*920</f>
        <v>7.3600000000000002E-3</v>
      </c>
      <c r="DD247" s="330"/>
      <c r="DE247" s="330"/>
      <c r="DF247" s="330"/>
      <c r="DG247" s="330"/>
      <c r="DH247" s="330"/>
      <c r="DI247" s="330"/>
      <c r="DJ247" s="330"/>
      <c r="DK247" s="330"/>
      <c r="DL247" s="330"/>
      <c r="DM247" s="330"/>
      <c r="DN247" s="330"/>
      <c r="DO247" s="330"/>
      <c r="DP247" s="330"/>
      <c r="DQ247" s="330"/>
      <c r="DR247" s="330"/>
      <c r="DS247" s="330"/>
      <c r="DT247" s="330"/>
      <c r="DU247" s="330"/>
      <c r="DV247" s="330"/>
      <c r="DW247" s="330"/>
      <c r="DX247" s="330"/>
      <c r="DY247" s="330"/>
      <c r="DZ247" s="330"/>
      <c r="EA247" s="330"/>
      <c r="EB247" s="330"/>
      <c r="EC247" s="330"/>
      <c r="ED247" s="330"/>
      <c r="EE247" s="330"/>
      <c r="EF247" s="330"/>
      <c r="EG247" s="330"/>
      <c r="EH247" s="330"/>
      <c r="EI247" s="330"/>
      <c r="EJ247" s="330"/>
      <c r="EK247" s="330"/>
      <c r="EL247" s="330"/>
      <c r="EM247" s="330"/>
      <c r="EN247" s="330"/>
      <c r="EO247" s="330"/>
      <c r="EP247" s="330"/>
      <c r="EQ247" s="330"/>
      <c r="ER247" s="330"/>
      <c r="ES247" s="330"/>
      <c r="ET247" s="330"/>
      <c r="EU247" s="330"/>
      <c r="EV247" s="330"/>
      <c r="EW247" s="330"/>
      <c r="EX247" s="330"/>
      <c r="EY247" s="1032">
        <f t="shared" si="20"/>
        <v>0.56437999999999999</v>
      </c>
    </row>
    <row r="248" spans="1:166" s="467" customFormat="1" ht="14.7" customHeight="1" x14ac:dyDescent="0.25">
      <c r="A248" s="421">
        <v>244</v>
      </c>
      <c r="B248" s="417" t="str">
        <f>'332-соус с луком (30)'!A9</f>
        <v>Соус сметанный с луком (30 гр.)</v>
      </c>
      <c r="C248" s="419">
        <f>'332-соус с луком (30)'!C25</f>
        <v>30</v>
      </c>
      <c r="D248" s="1211">
        <f>16.21/1000*C248</f>
        <v>0.49</v>
      </c>
      <c r="E248" s="1211">
        <f t="shared" si="21"/>
        <v>1.76</v>
      </c>
      <c r="F248" s="1211">
        <f>70.41/1000*C248</f>
        <v>2.11</v>
      </c>
      <c r="G248" s="1212">
        <f>875/1000*C248</f>
        <v>26</v>
      </c>
      <c r="H248" s="419">
        <f>'332-соус с луком (30)'!J7</f>
        <v>332</v>
      </c>
      <c r="I248" s="483">
        <f>'332-соус с луком (30)'!F27</f>
        <v>2.48</v>
      </c>
      <c r="J248" s="330"/>
      <c r="K248" s="330"/>
      <c r="L248" s="330"/>
      <c r="M248" s="330"/>
      <c r="N248" s="330"/>
      <c r="O248" s="330"/>
      <c r="P248" s="330"/>
      <c r="Q248" s="330"/>
      <c r="R248" s="330"/>
      <c r="S248" s="330"/>
      <c r="T248" s="330"/>
      <c r="U248" s="330"/>
      <c r="V248" s="330">
        <f>'332-соус с луком (30)'!C21/1000*C248</f>
        <v>5.9999999999999995E-4</v>
      </c>
      <c r="W248" s="330"/>
      <c r="X248" s="330"/>
      <c r="Y248" s="330">
        <f>'330-соус сметанный'!C19/1000*920/1000*C248</f>
        <v>6.8999999999999999E-3</v>
      </c>
      <c r="Z248" s="330"/>
      <c r="AA248" s="330"/>
      <c r="AB248" s="330"/>
      <c r="AC248" s="330"/>
      <c r="AD248" s="330"/>
      <c r="AE248" s="330"/>
      <c r="AF248" s="330"/>
      <c r="AG248" s="330"/>
      <c r="AH248" s="330"/>
      <c r="AI248" s="330"/>
      <c r="AJ248" s="330"/>
      <c r="AK248" s="330">
        <f>'332-соус с луком (30)'!C20/1000*C248</f>
        <v>7.1399999999999996E-3</v>
      </c>
      <c r="AL248" s="330"/>
      <c r="AM248" s="330"/>
      <c r="AN248" s="330"/>
      <c r="AO248" s="330"/>
      <c r="AP248" s="330"/>
      <c r="AQ248" s="330"/>
      <c r="AR248" s="330"/>
      <c r="AS248" s="330"/>
      <c r="AT248" s="330"/>
      <c r="AU248" s="330"/>
      <c r="AV248" s="330"/>
      <c r="AW248" s="330"/>
      <c r="AX248" s="330"/>
      <c r="AY248" s="330"/>
      <c r="AZ248" s="330"/>
      <c r="BA248" s="330"/>
      <c r="BB248" s="330"/>
      <c r="BC248" s="330"/>
      <c r="BD248" s="330"/>
      <c r="BE248" s="330"/>
      <c r="BF248" s="330"/>
      <c r="BG248" s="330"/>
      <c r="BH248" s="330"/>
      <c r="BI248" s="330"/>
      <c r="BJ248" s="330"/>
      <c r="BK248" s="330"/>
      <c r="BL248" s="330"/>
      <c r="BM248" s="330"/>
      <c r="BN248" s="330"/>
      <c r="BO248" s="330"/>
      <c r="BP248" s="330"/>
      <c r="BQ248" s="330"/>
      <c r="BR248" s="330"/>
      <c r="BS248" s="330">
        <f>'330-соус сметанный'!C20/1000*920/1000*C248</f>
        <v>2.0699999999999998E-3</v>
      </c>
      <c r="BT248" s="330"/>
      <c r="BU248" s="330"/>
      <c r="BV248" s="330"/>
      <c r="BW248" s="330"/>
      <c r="BX248" s="330"/>
      <c r="BY248" s="330"/>
      <c r="BZ248" s="330"/>
      <c r="CA248" s="330"/>
      <c r="CB248" s="330"/>
      <c r="CC248" s="330"/>
      <c r="CD248" s="330"/>
      <c r="CE248" s="330"/>
      <c r="CF248" s="330"/>
      <c r="CG248" s="330"/>
      <c r="CH248" s="330"/>
      <c r="CI248" s="330"/>
      <c r="CJ248" s="330"/>
      <c r="CK248" s="330"/>
      <c r="CL248" s="330"/>
      <c r="CM248" s="330"/>
      <c r="CN248" s="330"/>
      <c r="CO248" s="330"/>
      <c r="CP248" s="330"/>
      <c r="CQ248" s="330"/>
      <c r="CR248" s="330"/>
      <c r="CS248" s="330">
        <f>'330-соус сметанный'!C22/1000*920/1000*C248</f>
        <v>0</v>
      </c>
      <c r="CT248" s="330"/>
      <c r="CU248" s="330"/>
      <c r="CV248" s="330"/>
      <c r="CW248" s="330"/>
      <c r="CX248" s="330"/>
      <c r="CY248" s="330"/>
      <c r="CZ248" s="330"/>
      <c r="DA248" s="330"/>
      <c r="DB248" s="330"/>
      <c r="DC248" s="330">
        <f>'330-соус сметанный'!C23/1000*920/1000*C248</f>
        <v>2.2000000000000001E-4</v>
      </c>
      <c r="DD248" s="330"/>
      <c r="DE248" s="330"/>
      <c r="DF248" s="330"/>
      <c r="DG248" s="330"/>
      <c r="DH248" s="330"/>
      <c r="DI248" s="330"/>
      <c r="DJ248" s="330"/>
      <c r="DK248" s="330"/>
      <c r="DL248" s="330"/>
      <c r="DM248" s="330"/>
      <c r="DN248" s="330"/>
      <c r="DO248" s="330"/>
      <c r="DP248" s="330"/>
      <c r="DQ248" s="330"/>
      <c r="DR248" s="330"/>
      <c r="DS248" s="330"/>
      <c r="DT248" s="330"/>
      <c r="DU248" s="330"/>
      <c r="DV248" s="330"/>
      <c r="DW248" s="330"/>
      <c r="DX248" s="330"/>
      <c r="DY248" s="330"/>
      <c r="DZ248" s="330"/>
      <c r="EA248" s="330"/>
      <c r="EB248" s="330"/>
      <c r="EC248" s="330"/>
      <c r="ED248" s="330"/>
      <c r="EE248" s="330"/>
      <c r="EF248" s="330"/>
      <c r="EG248" s="330"/>
      <c r="EH248" s="330"/>
      <c r="EI248" s="330"/>
      <c r="EJ248" s="330"/>
      <c r="EK248" s="330"/>
      <c r="EL248" s="330"/>
      <c r="EM248" s="330"/>
      <c r="EN248" s="330"/>
      <c r="EO248" s="330"/>
      <c r="EP248" s="330"/>
      <c r="EQ248" s="330"/>
      <c r="ER248" s="330"/>
      <c r="ES248" s="330"/>
      <c r="ET248" s="330"/>
      <c r="EU248" s="330"/>
      <c r="EV248" s="330"/>
      <c r="EW248" s="330"/>
      <c r="EX248" s="330"/>
      <c r="EY248" s="1032">
        <f t="shared" si="20"/>
        <v>1.6930000000000001E-2</v>
      </c>
      <c r="EZ248" s="616"/>
      <c r="FA248" s="616"/>
      <c r="FB248" s="616"/>
      <c r="FC248" s="616"/>
      <c r="FD248" s="616"/>
      <c r="FE248" s="616"/>
      <c r="FF248" s="616"/>
      <c r="FG248" s="616"/>
      <c r="FH248" s="616"/>
      <c r="FI248" s="616"/>
      <c r="FJ248" s="616"/>
    </row>
    <row r="249" spans="1:166" s="467" customFormat="1" ht="14.7" customHeight="1" x14ac:dyDescent="0.25">
      <c r="A249" s="421">
        <v>245</v>
      </c>
      <c r="B249" s="417" t="str">
        <f>'332-соус с луком (50)'!A9</f>
        <v>Соус сметанный с луком (50 гр.)</v>
      </c>
      <c r="C249" s="419">
        <f>'332-соус с луком (50)'!C25</f>
        <v>50</v>
      </c>
      <c r="D249" s="1211">
        <f>16.21/1000*C249</f>
        <v>0.81</v>
      </c>
      <c r="E249" s="1211">
        <f t="shared" si="21"/>
        <v>2.94</v>
      </c>
      <c r="F249" s="1211">
        <f>70.41/1000*C249</f>
        <v>3.52</v>
      </c>
      <c r="G249" s="1212">
        <f>875/1000*C249</f>
        <v>44</v>
      </c>
      <c r="H249" s="419">
        <f>'332-соус с луком (50)'!J7</f>
        <v>332</v>
      </c>
      <c r="I249" s="483">
        <f>'332-соус с луком (50)'!F27</f>
        <v>4.13</v>
      </c>
      <c r="J249" s="330"/>
      <c r="K249" s="330"/>
      <c r="L249" s="330"/>
      <c r="M249" s="330"/>
      <c r="N249" s="330"/>
      <c r="O249" s="330"/>
      <c r="P249" s="330"/>
      <c r="Q249" s="330"/>
      <c r="R249" s="330"/>
      <c r="S249" s="330"/>
      <c r="T249" s="330"/>
      <c r="U249" s="330"/>
      <c r="V249" s="330">
        <f>'332-соус с луком (50)'!C21/1000*C249</f>
        <v>1E-3</v>
      </c>
      <c r="W249" s="330"/>
      <c r="X249" s="330"/>
      <c r="Y249" s="330">
        <f>'330-соус сметанный'!C19/1000*920/1000*C249</f>
        <v>1.15E-2</v>
      </c>
      <c r="Z249" s="330"/>
      <c r="AA249" s="330"/>
      <c r="AB249" s="330"/>
      <c r="AC249" s="330"/>
      <c r="AD249" s="330"/>
      <c r="AE249" s="330"/>
      <c r="AF249" s="330"/>
      <c r="AG249" s="330"/>
      <c r="AH249" s="330"/>
      <c r="AI249" s="330"/>
      <c r="AJ249" s="330"/>
      <c r="AK249" s="330">
        <f>'332-соус с луком (50)'!C20/1000*C249</f>
        <v>1.1900000000000001E-2</v>
      </c>
      <c r="AL249" s="330"/>
      <c r="AM249" s="330"/>
      <c r="AN249" s="330"/>
      <c r="AO249" s="330"/>
      <c r="AP249" s="330"/>
      <c r="AQ249" s="330"/>
      <c r="AR249" s="330"/>
      <c r="AS249" s="330"/>
      <c r="AT249" s="330"/>
      <c r="AU249" s="330"/>
      <c r="AV249" s="330"/>
      <c r="AW249" s="330"/>
      <c r="AX249" s="330"/>
      <c r="AY249" s="330"/>
      <c r="AZ249" s="330"/>
      <c r="BA249" s="330"/>
      <c r="BB249" s="330"/>
      <c r="BC249" s="330"/>
      <c r="BD249" s="330"/>
      <c r="BE249" s="330"/>
      <c r="BF249" s="330"/>
      <c r="BG249" s="330"/>
      <c r="BH249" s="330"/>
      <c r="BI249" s="330"/>
      <c r="BJ249" s="330"/>
      <c r="BK249" s="330"/>
      <c r="BL249" s="330"/>
      <c r="BM249" s="330"/>
      <c r="BN249" s="330"/>
      <c r="BO249" s="330"/>
      <c r="BP249" s="330"/>
      <c r="BQ249" s="330"/>
      <c r="BR249" s="330"/>
      <c r="BS249" s="330">
        <f>'330-соус сметанный'!C20/1000*920/1000*C249</f>
        <v>3.4499999999999999E-3</v>
      </c>
      <c r="BT249" s="330"/>
      <c r="BU249" s="330"/>
      <c r="BV249" s="330"/>
      <c r="BW249" s="330"/>
      <c r="BX249" s="330"/>
      <c r="BY249" s="330"/>
      <c r="BZ249" s="330"/>
      <c r="CA249" s="330"/>
      <c r="CB249" s="330"/>
      <c r="CC249" s="330"/>
      <c r="CD249" s="330"/>
      <c r="CE249" s="330"/>
      <c r="CF249" s="330"/>
      <c r="CG249" s="330"/>
      <c r="CH249" s="330"/>
      <c r="CI249" s="330"/>
      <c r="CJ249" s="330"/>
      <c r="CK249" s="330"/>
      <c r="CL249" s="330"/>
      <c r="CM249" s="330"/>
      <c r="CN249" s="330"/>
      <c r="CO249" s="330"/>
      <c r="CP249" s="330"/>
      <c r="CQ249" s="330"/>
      <c r="CR249" s="330"/>
      <c r="CS249" s="330">
        <f>'330-соус сметанный'!C22/1000*920/1000*C249</f>
        <v>0</v>
      </c>
      <c r="CT249" s="330"/>
      <c r="CU249" s="330"/>
      <c r="CV249" s="330"/>
      <c r="CW249" s="330"/>
      <c r="CX249" s="330"/>
      <c r="CY249" s="330"/>
      <c r="CZ249" s="330"/>
      <c r="DA249" s="330"/>
      <c r="DB249" s="330"/>
      <c r="DC249" s="330">
        <f>'330-соус сметанный'!C23/1000*920/1000*C249</f>
        <v>3.6999999999999999E-4</v>
      </c>
      <c r="DD249" s="330"/>
      <c r="DE249" s="330"/>
      <c r="DF249" s="330"/>
      <c r="DG249" s="330"/>
      <c r="DH249" s="330"/>
      <c r="DI249" s="330"/>
      <c r="DJ249" s="330"/>
      <c r="DK249" s="330"/>
      <c r="DL249" s="330"/>
      <c r="DM249" s="330"/>
      <c r="DN249" s="330"/>
      <c r="DO249" s="330"/>
      <c r="DP249" s="330"/>
      <c r="DQ249" s="330"/>
      <c r="DR249" s="330"/>
      <c r="DS249" s="330"/>
      <c r="DT249" s="330"/>
      <c r="DU249" s="330"/>
      <c r="DV249" s="330"/>
      <c r="DW249" s="330"/>
      <c r="DX249" s="330"/>
      <c r="DY249" s="330"/>
      <c r="DZ249" s="330"/>
      <c r="EA249" s="330"/>
      <c r="EB249" s="330"/>
      <c r="EC249" s="330"/>
      <c r="ED249" s="330"/>
      <c r="EE249" s="330"/>
      <c r="EF249" s="330"/>
      <c r="EG249" s="330"/>
      <c r="EH249" s="330"/>
      <c r="EI249" s="330"/>
      <c r="EJ249" s="330"/>
      <c r="EK249" s="330"/>
      <c r="EL249" s="330"/>
      <c r="EM249" s="330"/>
      <c r="EN249" s="330"/>
      <c r="EO249" s="330"/>
      <c r="EP249" s="330"/>
      <c r="EQ249" s="330"/>
      <c r="ER249" s="330"/>
      <c r="ES249" s="330"/>
      <c r="ET249" s="330"/>
      <c r="EU249" s="330"/>
      <c r="EV249" s="330"/>
      <c r="EW249" s="330"/>
      <c r="EX249" s="330"/>
      <c r="EY249" s="1032">
        <f t="shared" si="20"/>
        <v>2.8219999999999999E-2</v>
      </c>
      <c r="EZ249" s="616"/>
      <c r="FA249" s="616"/>
      <c r="FB249" s="616"/>
      <c r="FC249" s="616"/>
      <c r="FD249" s="616"/>
      <c r="FE249" s="616"/>
      <c r="FF249" s="616"/>
      <c r="FG249" s="616"/>
      <c r="FH249" s="616"/>
      <c r="FI249" s="616"/>
      <c r="FJ249" s="616"/>
    </row>
    <row r="250" spans="1:166" ht="14.7" customHeight="1" x14ac:dyDescent="0.25">
      <c r="A250" s="421">
        <v>246</v>
      </c>
      <c r="B250" s="417" t="str">
        <f>'333-соус с томатом и лук'!A9</f>
        <v>Соус сметанный с томатом и луком</v>
      </c>
      <c r="C250" s="419">
        <f>'333-соус с томатом и лук'!C26</f>
        <v>1000</v>
      </c>
      <c r="D250" s="1211">
        <f>19.06/1000*C250</f>
        <v>19.059999999999999</v>
      </c>
      <c r="E250" s="1211">
        <f t="shared" si="21"/>
        <v>58.7</v>
      </c>
      <c r="F250" s="1211">
        <f>79.66/1000*C250</f>
        <v>79.66</v>
      </c>
      <c r="G250" s="1212">
        <f>923/1000*C250</f>
        <v>923</v>
      </c>
      <c r="H250" s="419">
        <f>'333-соус с томатом и лук'!J7</f>
        <v>333</v>
      </c>
      <c r="I250" s="1234">
        <f>'333-соус с томатом и лук'!F28</f>
        <v>104.37</v>
      </c>
      <c r="J250" s="330"/>
      <c r="K250" s="330"/>
      <c r="L250" s="330"/>
      <c r="M250" s="330"/>
      <c r="N250" s="330"/>
      <c r="O250" s="330"/>
      <c r="P250" s="330"/>
      <c r="Q250" s="330"/>
      <c r="R250" s="330"/>
      <c r="S250" s="330"/>
      <c r="T250" s="330"/>
      <c r="U250" s="330"/>
      <c r="V250" s="330">
        <f>'333-соус с томатом и лук'!C21</f>
        <v>0.02</v>
      </c>
      <c r="W250" s="330"/>
      <c r="X250" s="330"/>
      <c r="Y250" s="330">
        <f>'330-соус сметанный'!C19/1000*900</f>
        <v>0.22500000000000001</v>
      </c>
      <c r="Z250" s="330"/>
      <c r="AA250" s="330"/>
      <c r="AB250" s="330"/>
      <c r="AC250" s="330"/>
      <c r="AD250" s="330"/>
      <c r="AE250" s="330"/>
      <c r="AF250" s="330"/>
      <c r="AG250" s="330"/>
      <c r="AH250" s="330"/>
      <c r="AI250" s="330"/>
      <c r="AJ250" s="330"/>
      <c r="AK250" s="330">
        <f>'333-соус с томатом и лук'!C20</f>
        <v>0.23799999999999999</v>
      </c>
      <c r="AL250" s="330"/>
      <c r="AM250" s="330"/>
      <c r="AN250" s="330"/>
      <c r="AO250" s="330"/>
      <c r="AP250" s="330"/>
      <c r="AQ250" s="330"/>
      <c r="AR250" s="330"/>
      <c r="AS250" s="330"/>
      <c r="AT250" s="330"/>
      <c r="AU250" s="330"/>
      <c r="AV250" s="330"/>
      <c r="AW250" s="330"/>
      <c r="AX250" s="330"/>
      <c r="AY250" s="330"/>
      <c r="AZ250" s="330"/>
      <c r="BA250" s="330"/>
      <c r="BB250" s="330"/>
      <c r="BC250" s="330"/>
      <c r="BD250" s="330"/>
      <c r="BE250" s="330"/>
      <c r="BF250" s="330"/>
      <c r="BG250" s="330"/>
      <c r="BH250" s="330"/>
      <c r="BI250" s="330"/>
      <c r="BJ250" s="330"/>
      <c r="BK250" s="330"/>
      <c r="BL250" s="330"/>
      <c r="BM250" s="330"/>
      <c r="BN250" s="330"/>
      <c r="BO250" s="330"/>
      <c r="BP250" s="330"/>
      <c r="BQ250" s="330"/>
      <c r="BR250" s="330"/>
      <c r="BS250" s="330">
        <f>'330-соус сметанный'!C20/1000*900</f>
        <v>6.7500000000000004E-2</v>
      </c>
      <c r="BT250" s="330"/>
      <c r="BU250" s="330"/>
      <c r="BV250" s="330"/>
      <c r="BW250" s="330"/>
      <c r="BX250" s="330"/>
      <c r="BY250" s="330"/>
      <c r="BZ250" s="330"/>
      <c r="CA250" s="330"/>
      <c r="CB250" s="330"/>
      <c r="CC250" s="330"/>
      <c r="CD250" s="330"/>
      <c r="CE250" s="330"/>
      <c r="CF250" s="330"/>
      <c r="CG250" s="330"/>
      <c r="CH250" s="330"/>
      <c r="CI250" s="330"/>
      <c r="CJ250" s="330"/>
      <c r="CK250" s="330"/>
      <c r="CL250" s="330"/>
      <c r="CM250" s="330"/>
      <c r="CN250" s="330"/>
      <c r="CO250" s="330"/>
      <c r="CP250" s="330"/>
      <c r="CQ250" s="330"/>
      <c r="CR250" s="330"/>
      <c r="CS250" s="330">
        <f>'330-соус сметанный'!C22/1000*900</f>
        <v>2.0000000000000002E-5</v>
      </c>
      <c r="CT250" s="330"/>
      <c r="CU250" s="330"/>
      <c r="CV250" s="330"/>
      <c r="CW250" s="330"/>
      <c r="CX250" s="330"/>
      <c r="CY250" s="330"/>
      <c r="CZ250" s="330"/>
      <c r="DA250" s="330"/>
      <c r="DB250" s="330"/>
      <c r="DC250" s="330">
        <f>'330-соус сметанный'!C23/1000*900</f>
        <v>7.1999999999999998E-3</v>
      </c>
      <c r="DD250" s="330"/>
      <c r="DE250" s="330"/>
      <c r="DF250" s="330">
        <f>'333-соус с томатом и лук'!C22</f>
        <v>0.1</v>
      </c>
      <c r="DG250" s="330"/>
      <c r="DH250" s="330"/>
      <c r="DI250" s="330"/>
      <c r="DJ250" s="330"/>
      <c r="DK250" s="330"/>
      <c r="DL250" s="330"/>
      <c r="DM250" s="330"/>
      <c r="DN250" s="330"/>
      <c r="DO250" s="330"/>
      <c r="DP250" s="330"/>
      <c r="DQ250" s="330"/>
      <c r="DR250" s="330"/>
      <c r="DS250" s="330"/>
      <c r="DT250" s="330"/>
      <c r="DU250" s="330"/>
      <c r="DV250" s="330"/>
      <c r="DW250" s="330"/>
      <c r="DX250" s="330"/>
      <c r="DY250" s="330"/>
      <c r="DZ250" s="330"/>
      <c r="EA250" s="330"/>
      <c r="EB250" s="330"/>
      <c r="EC250" s="330"/>
      <c r="ED250" s="330"/>
      <c r="EE250" s="330"/>
      <c r="EF250" s="330"/>
      <c r="EG250" s="330"/>
      <c r="EH250" s="330"/>
      <c r="EI250" s="330"/>
      <c r="EJ250" s="330"/>
      <c r="EK250" s="330"/>
      <c r="EL250" s="330"/>
      <c r="EM250" s="330"/>
      <c r="EN250" s="330"/>
      <c r="EO250" s="330"/>
      <c r="EP250" s="330"/>
      <c r="EQ250" s="330"/>
      <c r="ER250" s="330"/>
      <c r="ES250" s="330"/>
      <c r="ET250" s="330"/>
      <c r="EU250" s="330"/>
      <c r="EV250" s="330"/>
      <c r="EW250" s="330"/>
      <c r="EX250" s="330"/>
      <c r="EY250" s="1032">
        <f t="shared" si="20"/>
        <v>0.65771999999999997</v>
      </c>
    </row>
    <row r="251" spans="1:166" s="467" customFormat="1" ht="14.7" customHeight="1" x14ac:dyDescent="0.25">
      <c r="A251" s="421">
        <v>247</v>
      </c>
      <c r="B251" s="417" t="str">
        <f>'333-соус с томатом и лук (30)'!A9</f>
        <v>Соус сметанный с томатом и луком (30 гр)</v>
      </c>
      <c r="C251" s="419">
        <f>'333-соус с томатом и лук (30)'!C26</f>
        <v>30</v>
      </c>
      <c r="D251" s="1211">
        <f>19.06/1000*C251</f>
        <v>0.56999999999999995</v>
      </c>
      <c r="E251" s="1211">
        <f t="shared" si="21"/>
        <v>1.76</v>
      </c>
      <c r="F251" s="1211">
        <f>79.66/1000*C251</f>
        <v>2.39</v>
      </c>
      <c r="G251" s="1212">
        <f>923/1000*C251</f>
        <v>28</v>
      </c>
      <c r="H251" s="419">
        <f>'333-соус с томатом и лук (30)'!J7</f>
        <v>333</v>
      </c>
      <c r="I251" s="483">
        <f>'333-соус с томатом и лук (30)'!F28</f>
        <v>3.13</v>
      </c>
      <c r="J251" s="330"/>
      <c r="K251" s="330"/>
      <c r="L251" s="330"/>
      <c r="M251" s="330"/>
      <c r="N251" s="330"/>
      <c r="O251" s="330"/>
      <c r="P251" s="330"/>
      <c r="Q251" s="330"/>
      <c r="R251" s="330"/>
      <c r="S251" s="330"/>
      <c r="T251" s="330"/>
      <c r="U251" s="330"/>
      <c r="V251" s="330">
        <f>'333-соус с томатом и лук (30)'!C21/1000*C251</f>
        <v>5.9999999999999995E-4</v>
      </c>
      <c r="W251" s="330"/>
      <c r="X251" s="330"/>
      <c r="Y251" s="330">
        <f>'330-соус сметанный'!C19/1000*900/1000*C251</f>
        <v>6.7499999999999999E-3</v>
      </c>
      <c r="Z251" s="330"/>
      <c r="AA251" s="330"/>
      <c r="AB251" s="330"/>
      <c r="AC251" s="330"/>
      <c r="AD251" s="330"/>
      <c r="AE251" s="330"/>
      <c r="AF251" s="330"/>
      <c r="AG251" s="330"/>
      <c r="AH251" s="330"/>
      <c r="AI251" s="330"/>
      <c r="AJ251" s="330"/>
      <c r="AK251" s="330">
        <f>'333-соус с томатом и лук (30)'!C20/1000*C251</f>
        <v>7.1399999999999996E-3</v>
      </c>
      <c r="AL251" s="330"/>
      <c r="AM251" s="330"/>
      <c r="AN251" s="330"/>
      <c r="AO251" s="330"/>
      <c r="AP251" s="330"/>
      <c r="AQ251" s="330"/>
      <c r="AR251" s="330"/>
      <c r="AS251" s="330"/>
      <c r="AT251" s="330"/>
      <c r="AU251" s="330"/>
      <c r="AV251" s="330"/>
      <c r="AW251" s="330"/>
      <c r="AX251" s="330"/>
      <c r="AY251" s="330"/>
      <c r="AZ251" s="330"/>
      <c r="BA251" s="330"/>
      <c r="BB251" s="330"/>
      <c r="BC251" s="330"/>
      <c r="BD251" s="330"/>
      <c r="BE251" s="330"/>
      <c r="BF251" s="330"/>
      <c r="BG251" s="330"/>
      <c r="BH251" s="330"/>
      <c r="BI251" s="330"/>
      <c r="BJ251" s="330"/>
      <c r="BK251" s="330"/>
      <c r="BL251" s="330"/>
      <c r="BM251" s="330"/>
      <c r="BN251" s="330"/>
      <c r="BO251" s="330"/>
      <c r="BP251" s="330"/>
      <c r="BQ251" s="330"/>
      <c r="BR251" s="330"/>
      <c r="BS251" s="330">
        <f>'330-соус сметанный'!C20/1000*900/1000*C251</f>
        <v>2.0300000000000001E-3</v>
      </c>
      <c r="BT251" s="330"/>
      <c r="BU251" s="330"/>
      <c r="BV251" s="330"/>
      <c r="BW251" s="330"/>
      <c r="BX251" s="330"/>
      <c r="BY251" s="330"/>
      <c r="BZ251" s="330"/>
      <c r="CA251" s="330"/>
      <c r="CB251" s="330"/>
      <c r="CC251" s="330"/>
      <c r="CD251" s="330"/>
      <c r="CE251" s="330"/>
      <c r="CF251" s="330"/>
      <c r="CG251" s="330"/>
      <c r="CH251" s="330"/>
      <c r="CI251" s="330"/>
      <c r="CJ251" s="330"/>
      <c r="CK251" s="330"/>
      <c r="CL251" s="330"/>
      <c r="CM251" s="330"/>
      <c r="CN251" s="330"/>
      <c r="CO251" s="330"/>
      <c r="CP251" s="330"/>
      <c r="CQ251" s="330"/>
      <c r="CR251" s="330"/>
      <c r="CS251" s="330">
        <f>'330-соус сметанный'!C22/1000*900/1000*C251</f>
        <v>0</v>
      </c>
      <c r="CT251" s="330"/>
      <c r="CU251" s="330"/>
      <c r="CV251" s="330"/>
      <c r="CW251" s="330"/>
      <c r="CX251" s="330"/>
      <c r="CY251" s="330"/>
      <c r="CZ251" s="330"/>
      <c r="DA251" s="330"/>
      <c r="DB251" s="330"/>
      <c r="DC251" s="330">
        <f>'330-соус сметанный'!C23/1000*900/1000*C251</f>
        <v>2.2000000000000001E-4</v>
      </c>
      <c r="DD251" s="330"/>
      <c r="DE251" s="330"/>
      <c r="DF251" s="330">
        <f>'333-соус с томатом и лук (30)'!C22/1000*C251</f>
        <v>3.0000000000000001E-3</v>
      </c>
      <c r="DG251" s="330"/>
      <c r="DH251" s="330"/>
      <c r="DI251" s="330"/>
      <c r="DJ251" s="330"/>
      <c r="DK251" s="330"/>
      <c r="DL251" s="330"/>
      <c r="DM251" s="330"/>
      <c r="DN251" s="330"/>
      <c r="DO251" s="330"/>
      <c r="DP251" s="330"/>
      <c r="DQ251" s="330"/>
      <c r="DR251" s="330"/>
      <c r="DS251" s="330"/>
      <c r="DT251" s="330"/>
      <c r="DU251" s="330"/>
      <c r="DV251" s="330"/>
      <c r="DW251" s="330"/>
      <c r="DX251" s="330"/>
      <c r="DY251" s="330"/>
      <c r="DZ251" s="330"/>
      <c r="EA251" s="330"/>
      <c r="EB251" s="330"/>
      <c r="EC251" s="330"/>
      <c r="ED251" s="330"/>
      <c r="EE251" s="330"/>
      <c r="EF251" s="330"/>
      <c r="EG251" s="330"/>
      <c r="EH251" s="330"/>
      <c r="EI251" s="330"/>
      <c r="EJ251" s="330"/>
      <c r="EK251" s="330"/>
      <c r="EL251" s="330"/>
      <c r="EM251" s="330"/>
      <c r="EN251" s="330"/>
      <c r="EO251" s="330"/>
      <c r="EP251" s="330"/>
      <c r="EQ251" s="330"/>
      <c r="ER251" s="330"/>
      <c r="ES251" s="330"/>
      <c r="ET251" s="330"/>
      <c r="EU251" s="330"/>
      <c r="EV251" s="330"/>
      <c r="EW251" s="330"/>
      <c r="EX251" s="330"/>
      <c r="EY251" s="1032">
        <f t="shared" si="20"/>
        <v>1.9740000000000001E-2</v>
      </c>
      <c r="EZ251" s="616"/>
      <c r="FA251" s="616"/>
      <c r="FB251" s="616"/>
      <c r="FC251" s="616"/>
      <c r="FD251" s="616"/>
      <c r="FE251" s="616"/>
      <c r="FF251" s="616"/>
      <c r="FG251" s="616"/>
      <c r="FH251" s="616"/>
      <c r="FI251" s="616"/>
      <c r="FJ251" s="616"/>
    </row>
    <row r="252" spans="1:166" s="467" customFormat="1" ht="14.7" customHeight="1" x14ac:dyDescent="0.25">
      <c r="A252" s="421">
        <v>248</v>
      </c>
      <c r="B252" s="417" t="str">
        <f>'334-соус малиновый'!A9</f>
        <v>Соус малиновый</v>
      </c>
      <c r="C252" s="419">
        <f>'334-соус малиновый'!C24</f>
        <v>50</v>
      </c>
      <c r="D252" s="1211">
        <f>19.06/1000*C252</f>
        <v>0.95</v>
      </c>
      <c r="E252" s="1211">
        <f t="shared" si="21"/>
        <v>2.94</v>
      </c>
      <c r="F252" s="1211">
        <f>79.66/1000*C252</f>
        <v>3.98</v>
      </c>
      <c r="G252" s="1212">
        <f>923/1000*C252</f>
        <v>46</v>
      </c>
      <c r="H252" s="419">
        <f>'334-соус малиновый'!J7</f>
        <v>334</v>
      </c>
      <c r="I252" s="483">
        <f>'334-соус малиновый'!F26</f>
        <v>9.7799999999999994</v>
      </c>
      <c r="J252" s="330"/>
      <c r="K252" s="330"/>
      <c r="L252" s="330"/>
      <c r="M252" s="330"/>
      <c r="N252" s="330"/>
      <c r="O252" s="330"/>
      <c r="P252" s="330"/>
      <c r="Q252" s="330"/>
      <c r="R252" s="330"/>
      <c r="S252" s="330"/>
      <c r="T252" s="330"/>
      <c r="U252" s="330"/>
      <c r="V252" s="330"/>
      <c r="W252" s="330"/>
      <c r="X252" s="330"/>
      <c r="Y252" s="330"/>
      <c r="Z252" s="330"/>
      <c r="AA252" s="330"/>
      <c r="AB252" s="330"/>
      <c r="AC252" s="330"/>
      <c r="AD252" s="330"/>
      <c r="AE252" s="330"/>
      <c r="AF252" s="330"/>
      <c r="AG252" s="330"/>
      <c r="AH252" s="330"/>
      <c r="AI252" s="330"/>
      <c r="AJ252" s="330"/>
      <c r="AK252" s="330"/>
      <c r="AL252" s="330"/>
      <c r="AM252" s="330"/>
      <c r="AN252" s="330"/>
      <c r="AO252" s="330"/>
      <c r="AP252" s="330"/>
      <c r="AQ252" s="330"/>
      <c r="AR252" s="330"/>
      <c r="AS252" s="330"/>
      <c r="AT252" s="330"/>
      <c r="AU252" s="330"/>
      <c r="AV252" s="330"/>
      <c r="AW252" s="330"/>
      <c r="AX252" s="330"/>
      <c r="AY252" s="330"/>
      <c r="AZ252" s="330"/>
      <c r="BA252" s="330"/>
      <c r="BB252" s="330"/>
      <c r="BC252" s="330"/>
      <c r="BD252" s="330"/>
      <c r="BE252" s="330"/>
      <c r="BF252" s="330">
        <f>'334-соус малиновый'!C19/'334-соус малиновый'!C23*'334-соус малиновый'!C24</f>
        <v>0.03</v>
      </c>
      <c r="BG252" s="330"/>
      <c r="BH252" s="330"/>
      <c r="BI252" s="330"/>
      <c r="BJ252" s="330"/>
      <c r="BK252" s="330"/>
      <c r="BL252" s="330"/>
      <c r="BM252" s="330"/>
      <c r="BN252" s="330"/>
      <c r="BO252" s="330"/>
      <c r="BP252" s="330"/>
      <c r="BQ252" s="330"/>
      <c r="BR252" s="330"/>
      <c r="BS252" s="330"/>
      <c r="BT252" s="330"/>
      <c r="BU252" s="330"/>
      <c r="BV252" s="330"/>
      <c r="BW252" s="330"/>
      <c r="BX252" s="330"/>
      <c r="BY252" s="330"/>
      <c r="BZ252" s="330"/>
      <c r="CA252" s="330"/>
      <c r="CB252" s="330"/>
      <c r="CC252" s="330"/>
      <c r="CD252" s="330"/>
      <c r="CE252" s="330"/>
      <c r="CF252" s="330"/>
      <c r="CG252" s="330"/>
      <c r="CH252" s="330"/>
      <c r="CI252" s="330"/>
      <c r="CJ252" s="330"/>
      <c r="CK252" s="330"/>
      <c r="CL252" s="330"/>
      <c r="CM252" s="330"/>
      <c r="CN252" s="330"/>
      <c r="CO252" s="330"/>
      <c r="CP252" s="330"/>
      <c r="CQ252" s="330"/>
      <c r="CR252" s="330"/>
      <c r="CS252" s="330"/>
      <c r="CT252" s="330"/>
      <c r="CU252" s="330"/>
      <c r="CV252" s="330"/>
      <c r="CW252" s="330"/>
      <c r="CX252" s="330"/>
      <c r="CY252" s="330"/>
      <c r="CZ252" s="330">
        <f>'334-соус малиновый'!C20/'334-соус малиновый'!C23*'334-соус малиновый'!C24</f>
        <v>0.03</v>
      </c>
      <c r="DA252" s="330"/>
      <c r="DB252" s="330"/>
      <c r="DC252" s="330"/>
      <c r="DD252" s="330"/>
      <c r="DE252" s="330"/>
      <c r="DF252" s="330"/>
      <c r="DG252" s="330"/>
      <c r="DH252" s="330"/>
      <c r="DI252" s="330"/>
      <c r="DJ252" s="330"/>
      <c r="DK252" s="330"/>
      <c r="DL252" s="330"/>
      <c r="DM252" s="330"/>
      <c r="DN252" s="330"/>
      <c r="DO252" s="330"/>
      <c r="DP252" s="330"/>
      <c r="DQ252" s="330"/>
      <c r="DR252" s="330"/>
      <c r="DS252" s="330"/>
      <c r="DT252" s="330"/>
      <c r="DU252" s="330"/>
      <c r="DV252" s="330"/>
      <c r="DW252" s="330"/>
      <c r="DX252" s="330"/>
      <c r="DY252" s="330"/>
      <c r="DZ252" s="330"/>
      <c r="EA252" s="330"/>
      <c r="EB252" s="330"/>
      <c r="EC252" s="330"/>
      <c r="ED252" s="330"/>
      <c r="EE252" s="330"/>
      <c r="EF252" s="330"/>
      <c r="EG252" s="330"/>
      <c r="EH252" s="330"/>
      <c r="EI252" s="330"/>
      <c r="EJ252" s="330"/>
      <c r="EK252" s="330"/>
      <c r="EL252" s="330"/>
      <c r="EM252" s="330"/>
      <c r="EN252" s="330"/>
      <c r="EO252" s="330"/>
      <c r="EP252" s="330"/>
      <c r="EQ252" s="330"/>
      <c r="ER252" s="330"/>
      <c r="ES252" s="330"/>
      <c r="ET252" s="330"/>
      <c r="EU252" s="330"/>
      <c r="EV252" s="330"/>
      <c r="EW252" s="330"/>
      <c r="EX252" s="330"/>
      <c r="EY252" s="1032">
        <f t="shared" si="20"/>
        <v>0.06</v>
      </c>
      <c r="EZ252" s="616"/>
      <c r="FA252" s="616"/>
      <c r="FB252" s="616"/>
      <c r="FC252" s="616"/>
      <c r="FD252" s="616"/>
      <c r="FE252" s="616"/>
      <c r="FF252" s="616"/>
      <c r="FG252" s="616"/>
      <c r="FH252" s="616"/>
      <c r="FI252" s="616"/>
      <c r="FJ252" s="616"/>
    </row>
    <row r="253" spans="1:166" s="699" customFormat="1" ht="14.7" customHeight="1" x14ac:dyDescent="0.25">
      <c r="A253" s="421">
        <v>249</v>
      </c>
      <c r="B253" s="417" t="str">
        <f>'335-соус абрикосовый'!A9</f>
        <v>Соус абрикосовый</v>
      </c>
      <c r="C253" s="419">
        <f>'335-соус абрикосовый'!C25</f>
        <v>1000</v>
      </c>
      <c r="D253" s="1211">
        <f>4.64/1000*C253</f>
        <v>4.6399999999999997</v>
      </c>
      <c r="E253" s="1211">
        <f>0.52/1000*C253</f>
        <v>0.52</v>
      </c>
      <c r="F253" s="1211">
        <f>645.16/1000*C253</f>
        <v>645.16</v>
      </c>
      <c r="G253" s="1212">
        <f>2604/1000*C253</f>
        <v>2604</v>
      </c>
      <c r="H253" s="419">
        <f>'335-соус абрикосовый'!J7</f>
        <v>335</v>
      </c>
      <c r="I253" s="1234">
        <f>'335-соус абрикосовый'!F27</f>
        <v>153.41999999999999</v>
      </c>
      <c r="J253" s="330"/>
      <c r="K253" s="330"/>
      <c r="L253" s="330"/>
      <c r="M253" s="330"/>
      <c r="N253" s="330"/>
      <c r="O253" s="330"/>
      <c r="P253" s="330"/>
      <c r="Q253" s="330"/>
      <c r="R253" s="330"/>
      <c r="S253" s="330"/>
      <c r="T253" s="330"/>
      <c r="U253" s="330"/>
      <c r="V253" s="330"/>
      <c r="W253" s="330"/>
      <c r="X253" s="330"/>
      <c r="Y253" s="330"/>
      <c r="Z253" s="330"/>
      <c r="AA253" s="330"/>
      <c r="AB253" s="330"/>
      <c r="AC253" s="330"/>
      <c r="AD253" s="330"/>
      <c r="AE253" s="330"/>
      <c r="AF253" s="330"/>
      <c r="AG253" s="330"/>
      <c r="AH253" s="330"/>
      <c r="AI253" s="330"/>
      <c r="AJ253" s="330"/>
      <c r="AK253" s="330"/>
      <c r="AL253" s="330"/>
      <c r="AM253" s="330"/>
      <c r="AN253" s="330"/>
      <c r="AO253" s="330"/>
      <c r="AP253" s="330"/>
      <c r="AQ253" s="330"/>
      <c r="AR253" s="330"/>
      <c r="AS253" s="330"/>
      <c r="AT253" s="330"/>
      <c r="AU253" s="330"/>
      <c r="AV253" s="330"/>
      <c r="AW253" s="330"/>
      <c r="AX253" s="330"/>
      <c r="AY253" s="330"/>
      <c r="AZ253" s="330"/>
      <c r="BA253" s="330"/>
      <c r="BB253" s="330"/>
      <c r="BC253" s="330"/>
      <c r="BD253" s="330"/>
      <c r="BE253" s="330"/>
      <c r="BF253" s="330"/>
      <c r="BG253" s="330"/>
      <c r="BH253" s="330"/>
      <c r="BI253" s="330"/>
      <c r="BJ253" s="330"/>
      <c r="BK253" s="330"/>
      <c r="BL253" s="330"/>
      <c r="BM253" s="330"/>
      <c r="BN253" s="330"/>
      <c r="BO253" s="330">
        <f>'335-соус абрикосовый'!C19</f>
        <v>0.59899999999999998</v>
      </c>
      <c r="BP253" s="330"/>
      <c r="BQ253" s="330"/>
      <c r="BR253" s="330"/>
      <c r="BS253" s="330"/>
      <c r="BT253" s="330"/>
      <c r="BU253" s="330"/>
      <c r="BV253" s="330"/>
      <c r="BW253" s="330"/>
      <c r="BX253" s="330"/>
      <c r="BY253" s="330"/>
      <c r="BZ253" s="330"/>
      <c r="CA253" s="330"/>
      <c r="CB253" s="330"/>
      <c r="CC253" s="330"/>
      <c r="CD253" s="330"/>
      <c r="CE253" s="330"/>
      <c r="CF253" s="330"/>
      <c r="CG253" s="330"/>
      <c r="CH253" s="330"/>
      <c r="CI253" s="330"/>
      <c r="CJ253" s="330"/>
      <c r="CK253" s="330"/>
      <c r="CL253" s="330"/>
      <c r="CM253" s="330"/>
      <c r="CN253" s="330"/>
      <c r="CO253" s="330"/>
      <c r="CP253" s="330"/>
      <c r="CQ253" s="330"/>
      <c r="CR253" s="330"/>
      <c r="CS253" s="330"/>
      <c r="CT253" s="330"/>
      <c r="CU253" s="330"/>
      <c r="CV253" s="330"/>
      <c r="CW253" s="330"/>
      <c r="CX253" s="330"/>
      <c r="CY253" s="330"/>
      <c r="CZ253" s="330">
        <f>'335-соус абрикосовый'!C20/'335-соус абрикосовый'!C24*'335-соус абрикосовый'!C25</f>
        <v>0.6</v>
      </c>
      <c r="DA253" s="330"/>
      <c r="DB253" s="330"/>
      <c r="DC253" s="330"/>
      <c r="DD253" s="330"/>
      <c r="DE253" s="330"/>
      <c r="DF253" s="330"/>
      <c r="DG253" s="330"/>
      <c r="DH253" s="330"/>
      <c r="DI253" s="330"/>
      <c r="DJ253" s="330"/>
      <c r="DK253" s="330"/>
      <c r="DL253" s="330"/>
      <c r="DM253" s="330"/>
      <c r="DN253" s="330"/>
      <c r="DO253" s="330"/>
      <c r="DP253" s="330"/>
      <c r="DQ253" s="330"/>
      <c r="DR253" s="330"/>
      <c r="DS253" s="330"/>
      <c r="DT253" s="330"/>
      <c r="DU253" s="330"/>
      <c r="DV253" s="330"/>
      <c r="DW253" s="330"/>
      <c r="DX253" s="330"/>
      <c r="DY253" s="330"/>
      <c r="DZ253" s="330"/>
      <c r="EA253" s="330"/>
      <c r="EB253" s="330"/>
      <c r="EC253" s="330"/>
      <c r="ED253" s="330"/>
      <c r="EE253" s="330"/>
      <c r="EF253" s="330"/>
      <c r="EG253" s="330"/>
      <c r="EH253" s="330"/>
      <c r="EI253" s="330"/>
      <c r="EJ253" s="330"/>
      <c r="EK253" s="330"/>
      <c r="EL253" s="330"/>
      <c r="EM253" s="330"/>
      <c r="EN253" s="330"/>
      <c r="EO253" s="330"/>
      <c r="EP253" s="330"/>
      <c r="EQ253" s="330"/>
      <c r="ER253" s="330"/>
      <c r="ES253" s="330"/>
      <c r="ET253" s="330"/>
      <c r="EU253" s="330"/>
      <c r="EV253" s="330"/>
      <c r="EW253" s="330"/>
      <c r="EX253" s="330"/>
      <c r="EY253" s="1032">
        <f t="shared" si="20"/>
        <v>1.1990000000000001</v>
      </c>
      <c r="EZ253" s="616"/>
      <c r="FA253" s="616"/>
      <c r="FB253" s="616"/>
      <c r="FC253" s="616"/>
      <c r="FD253" s="616"/>
      <c r="FE253" s="616"/>
      <c r="FF253" s="616"/>
      <c r="FG253" s="616"/>
      <c r="FH253" s="616"/>
      <c r="FI253" s="616"/>
      <c r="FJ253" s="616"/>
    </row>
    <row r="254" spans="1:166" s="699" customFormat="1" ht="14.7" customHeight="1" x14ac:dyDescent="0.25">
      <c r="A254" s="421">
        <v>250</v>
      </c>
      <c r="B254" s="417" t="str">
        <f>'335-соус абрикос курага'!A9</f>
        <v>Соус абрикосовый (курага)</v>
      </c>
      <c r="C254" s="419">
        <f>'335-соус абрикос курага'!C25</f>
        <v>1000</v>
      </c>
      <c r="D254" s="1211">
        <f>5.61/1000*C254</f>
        <v>5.61</v>
      </c>
      <c r="E254" s="1211">
        <f>0.32/1000*C254</f>
        <v>0.32</v>
      </c>
      <c r="F254" s="1211">
        <f>615.61/1000*C254</f>
        <v>615.61</v>
      </c>
      <c r="G254" s="1212">
        <f>2488/1000*C254</f>
        <v>2488</v>
      </c>
      <c r="H254" s="419">
        <f>'335-соус абрикос курага'!J7</f>
        <v>335</v>
      </c>
      <c r="I254" s="1234">
        <f>'335-соус абрикос курага'!F27</f>
        <v>73.099999999999994</v>
      </c>
      <c r="J254" s="330"/>
      <c r="K254" s="330"/>
      <c r="L254" s="330"/>
      <c r="M254" s="330"/>
      <c r="N254" s="330"/>
      <c r="O254" s="330"/>
      <c r="P254" s="330"/>
      <c r="Q254" s="330"/>
      <c r="R254" s="330"/>
      <c r="S254" s="330"/>
      <c r="T254" s="330"/>
      <c r="U254" s="330"/>
      <c r="V254" s="330"/>
      <c r="W254" s="330"/>
      <c r="X254" s="330"/>
      <c r="Y254" s="330"/>
      <c r="Z254" s="330"/>
      <c r="AA254" s="330"/>
      <c r="AB254" s="330"/>
      <c r="AC254" s="330"/>
      <c r="AD254" s="330"/>
      <c r="AE254" s="330"/>
      <c r="AF254" s="330"/>
      <c r="AG254" s="330"/>
      <c r="AH254" s="330"/>
      <c r="AI254" s="330"/>
      <c r="AJ254" s="330"/>
      <c r="AK254" s="330"/>
      <c r="AL254" s="330"/>
      <c r="AM254" s="330"/>
      <c r="AN254" s="330"/>
      <c r="AO254" s="330"/>
      <c r="AP254" s="330"/>
      <c r="AQ254" s="330"/>
      <c r="AR254" s="330"/>
      <c r="AS254" s="330"/>
      <c r="AT254" s="330"/>
      <c r="AU254" s="330"/>
      <c r="AV254" s="330"/>
      <c r="AW254" s="330"/>
      <c r="AX254" s="330"/>
      <c r="AY254" s="330"/>
      <c r="AZ254" s="330"/>
      <c r="BA254" s="330"/>
      <c r="BB254" s="330"/>
      <c r="BC254" s="330"/>
      <c r="BD254" s="330"/>
      <c r="BE254" s="330"/>
      <c r="BF254" s="330"/>
      <c r="BG254" s="330"/>
      <c r="BH254" s="330"/>
      <c r="BI254" s="330"/>
      <c r="BJ254" s="330"/>
      <c r="BK254" s="330"/>
      <c r="BL254" s="330"/>
      <c r="BM254" s="330"/>
      <c r="BN254" s="330"/>
      <c r="BO254" s="330"/>
      <c r="BP254" s="330"/>
      <c r="BQ254" s="330"/>
      <c r="BR254" s="330"/>
      <c r="BS254" s="330"/>
      <c r="BT254" s="330"/>
      <c r="BU254" s="330"/>
      <c r="BV254" s="330"/>
      <c r="BW254" s="330"/>
      <c r="BX254" s="330"/>
      <c r="BY254" s="330"/>
      <c r="BZ254" s="330"/>
      <c r="CA254" s="330"/>
      <c r="CB254" s="330"/>
      <c r="CC254" s="330"/>
      <c r="CD254" s="330"/>
      <c r="CE254" s="330"/>
      <c r="CF254" s="330"/>
      <c r="CG254" s="330"/>
      <c r="CH254" s="330"/>
      <c r="CI254" s="330"/>
      <c r="CJ254" s="330"/>
      <c r="CK254" s="330"/>
      <c r="CL254" s="330"/>
      <c r="CM254" s="330"/>
      <c r="CN254" s="330"/>
      <c r="CO254" s="330"/>
      <c r="CP254" s="330"/>
      <c r="CQ254" s="330"/>
      <c r="CR254" s="330"/>
      <c r="CS254" s="330"/>
      <c r="CT254" s="330"/>
      <c r="CU254" s="330"/>
      <c r="CV254" s="330"/>
      <c r="CW254" s="330"/>
      <c r="CX254" s="330"/>
      <c r="CY254" s="330"/>
      <c r="CZ254" s="330">
        <f>'335-соус абрикос курага'!C20/'335-соус абрикос курага'!C24*'335-соус абрикос курага'!C25</f>
        <v>0.6</v>
      </c>
      <c r="DA254" s="330"/>
      <c r="DB254" s="330"/>
      <c r="DC254" s="330"/>
      <c r="DD254" s="330"/>
      <c r="DE254" s="330"/>
      <c r="DF254" s="330"/>
      <c r="DG254" s="330"/>
      <c r="DH254" s="330"/>
      <c r="DI254" s="330"/>
      <c r="DJ254" s="330"/>
      <c r="DK254" s="330"/>
      <c r="DL254" s="330"/>
      <c r="DM254" s="330"/>
      <c r="DN254" s="330"/>
      <c r="DO254" s="330">
        <f>'335-соус абрикос курага'!C19</f>
        <v>0.11</v>
      </c>
      <c r="DP254" s="330"/>
      <c r="DQ254" s="330"/>
      <c r="DR254" s="330"/>
      <c r="DS254" s="330"/>
      <c r="DT254" s="330"/>
      <c r="DU254" s="330"/>
      <c r="DV254" s="330"/>
      <c r="DW254" s="330"/>
      <c r="DX254" s="330"/>
      <c r="DY254" s="330"/>
      <c r="DZ254" s="330"/>
      <c r="EA254" s="330"/>
      <c r="EB254" s="330"/>
      <c r="EC254" s="330"/>
      <c r="ED254" s="330"/>
      <c r="EE254" s="330"/>
      <c r="EF254" s="330"/>
      <c r="EG254" s="330"/>
      <c r="EH254" s="330"/>
      <c r="EI254" s="330"/>
      <c r="EJ254" s="330"/>
      <c r="EK254" s="330"/>
      <c r="EL254" s="330"/>
      <c r="EM254" s="330"/>
      <c r="EN254" s="330"/>
      <c r="EO254" s="330"/>
      <c r="EP254" s="330"/>
      <c r="EQ254" s="330"/>
      <c r="ER254" s="330"/>
      <c r="ES254" s="330"/>
      <c r="ET254" s="330"/>
      <c r="EU254" s="330"/>
      <c r="EV254" s="330"/>
      <c r="EW254" s="330"/>
      <c r="EX254" s="330"/>
      <c r="EY254" s="1032">
        <f t="shared" si="20"/>
        <v>0.71</v>
      </c>
      <c r="EZ254" s="616"/>
      <c r="FA254" s="616"/>
      <c r="FB254" s="616"/>
      <c r="FC254" s="616"/>
      <c r="FD254" s="616"/>
      <c r="FE254" s="616"/>
      <c r="FF254" s="616"/>
      <c r="FG254" s="616"/>
      <c r="FH254" s="616"/>
      <c r="FI254" s="616"/>
      <c r="FJ254" s="616"/>
    </row>
    <row r="255" spans="1:166" s="699" customFormat="1" ht="14.7" customHeight="1" x14ac:dyDescent="0.25">
      <c r="A255" s="421">
        <v>251</v>
      </c>
      <c r="B255" s="417" t="str">
        <f>'336-соус черносмородин'!A9</f>
        <v>Соус черносмородиновый</v>
      </c>
      <c r="C255" s="419">
        <f>'336-соус черносмородин'!C25</f>
        <v>1000</v>
      </c>
      <c r="D255" s="1211">
        <f>3.4/1000*C255</f>
        <v>3.4</v>
      </c>
      <c r="E255" s="1211">
        <f>1.36/1000*C255</f>
        <v>1.36</v>
      </c>
      <c r="F255" s="1211">
        <f>673.52/1000*C255</f>
        <v>673.52</v>
      </c>
      <c r="G255" s="1212">
        <f>2720/1000*C255</f>
        <v>2720</v>
      </c>
      <c r="H255" s="419">
        <f>'336-соус черносмородин'!J7</f>
        <v>336</v>
      </c>
      <c r="I255" s="1234">
        <f>'336-соус черносмородин'!F27</f>
        <v>136.15</v>
      </c>
      <c r="J255" s="330"/>
      <c r="K255" s="330"/>
      <c r="L255" s="330"/>
      <c r="M255" s="330"/>
      <c r="N255" s="330"/>
      <c r="O255" s="330"/>
      <c r="P255" s="330"/>
      <c r="Q255" s="330"/>
      <c r="R255" s="330"/>
      <c r="S255" s="330"/>
      <c r="T255" s="330"/>
      <c r="U255" s="330"/>
      <c r="V255" s="330"/>
      <c r="W255" s="330"/>
      <c r="X255" s="330"/>
      <c r="Y255" s="330"/>
      <c r="Z255" s="330"/>
      <c r="AA255" s="330"/>
      <c r="AB255" s="330"/>
      <c r="AC255" s="330"/>
      <c r="AD255" s="330"/>
      <c r="AE255" s="330"/>
      <c r="AF255" s="330"/>
      <c r="AG255" s="330"/>
      <c r="AH255" s="330"/>
      <c r="AI255" s="330"/>
      <c r="AJ255" s="330"/>
      <c r="AK255" s="330"/>
      <c r="AL255" s="330"/>
      <c r="AM255" s="330"/>
      <c r="AN255" s="330"/>
      <c r="AO255" s="330"/>
      <c r="AP255" s="330"/>
      <c r="AQ255" s="330"/>
      <c r="AR255" s="330"/>
      <c r="AS255" s="330"/>
      <c r="AT255" s="330"/>
      <c r="AU255" s="330"/>
      <c r="AV255" s="330"/>
      <c r="AW255" s="330"/>
      <c r="AX255" s="330"/>
      <c r="AY255" s="330"/>
      <c r="AZ255" s="330"/>
      <c r="BA255" s="330"/>
      <c r="BB255" s="330"/>
      <c r="BC255" s="330"/>
      <c r="BD255" s="330"/>
      <c r="BE255" s="330"/>
      <c r="BF255" s="330"/>
      <c r="BG255" s="330"/>
      <c r="BH255" s="330">
        <f>'336-соус черносмородин'!C19</f>
        <v>0.34699999999999998</v>
      </c>
      <c r="BI255" s="330"/>
      <c r="BJ255" s="330"/>
      <c r="BK255" s="330"/>
      <c r="BL255" s="330"/>
      <c r="BM255" s="330"/>
      <c r="BN255" s="330"/>
      <c r="BO255" s="330"/>
      <c r="BP255" s="330"/>
      <c r="BQ255" s="330"/>
      <c r="BR255" s="330"/>
      <c r="BS255" s="330"/>
      <c r="BT255" s="330"/>
      <c r="BU255" s="330"/>
      <c r="BV255" s="330"/>
      <c r="BW255" s="330"/>
      <c r="BX255" s="330"/>
      <c r="BY255" s="330"/>
      <c r="BZ255" s="330"/>
      <c r="CA255" s="330"/>
      <c r="CB255" s="330"/>
      <c r="CC255" s="330"/>
      <c r="CD255" s="330"/>
      <c r="CE255" s="330"/>
      <c r="CF255" s="330"/>
      <c r="CG255" s="330"/>
      <c r="CH255" s="330"/>
      <c r="CI255" s="330"/>
      <c r="CJ255" s="330"/>
      <c r="CK255" s="330"/>
      <c r="CL255" s="330"/>
      <c r="CM255" s="330"/>
      <c r="CN255" s="330"/>
      <c r="CO255" s="330"/>
      <c r="CP255" s="330"/>
      <c r="CQ255" s="330"/>
      <c r="CR255" s="330"/>
      <c r="CS255" s="330"/>
      <c r="CT255" s="330"/>
      <c r="CU255" s="330"/>
      <c r="CV255" s="330"/>
      <c r="CW255" s="330"/>
      <c r="CX255" s="330"/>
      <c r="CY255" s="330"/>
      <c r="CZ255" s="330">
        <f>'336-соус черносмородин'!C20/'336-соус черносмородин'!C24*'336-соус черносмородин'!C25</f>
        <v>0.65</v>
      </c>
      <c r="DA255" s="330"/>
      <c r="DB255" s="330"/>
      <c r="DC255" s="330"/>
      <c r="DD255" s="330"/>
      <c r="DE255" s="330"/>
      <c r="DF255" s="330"/>
      <c r="DG255" s="330"/>
      <c r="DH255" s="330"/>
      <c r="DI255" s="330"/>
      <c r="DJ255" s="330"/>
      <c r="DK255" s="330"/>
      <c r="DL255" s="330"/>
      <c r="DM255" s="330"/>
      <c r="DN255" s="330"/>
      <c r="DO255" s="330"/>
      <c r="DP255" s="330"/>
      <c r="DQ255" s="330"/>
      <c r="DR255" s="330"/>
      <c r="DS255" s="330"/>
      <c r="DT255" s="330"/>
      <c r="DU255" s="330"/>
      <c r="DV255" s="330"/>
      <c r="DW255" s="330"/>
      <c r="DX255" s="330"/>
      <c r="DY255" s="330"/>
      <c r="DZ255" s="330"/>
      <c r="EA255" s="330"/>
      <c r="EB255" s="330"/>
      <c r="EC255" s="330"/>
      <c r="ED255" s="330"/>
      <c r="EE255" s="330"/>
      <c r="EF255" s="330"/>
      <c r="EG255" s="330"/>
      <c r="EH255" s="330"/>
      <c r="EI255" s="330"/>
      <c r="EJ255" s="330"/>
      <c r="EK255" s="330"/>
      <c r="EL255" s="330"/>
      <c r="EM255" s="330"/>
      <c r="EN255" s="330"/>
      <c r="EO255" s="330"/>
      <c r="EP255" s="330"/>
      <c r="EQ255" s="330"/>
      <c r="ER255" s="330"/>
      <c r="ES255" s="330"/>
      <c r="ET255" s="330"/>
      <c r="EU255" s="330"/>
      <c r="EV255" s="330"/>
      <c r="EW255" s="330"/>
      <c r="EX255" s="330"/>
      <c r="EY255" s="1032">
        <f t="shared" si="20"/>
        <v>0.997</v>
      </c>
      <c r="EZ255" s="616"/>
      <c r="FA255" s="616"/>
      <c r="FB255" s="616"/>
      <c r="FC255" s="616"/>
      <c r="FD255" s="616"/>
      <c r="FE255" s="616"/>
      <c r="FF255" s="616"/>
      <c r="FG255" s="616"/>
      <c r="FH255" s="616"/>
      <c r="FI255" s="616"/>
      <c r="FJ255" s="616"/>
    </row>
    <row r="256" spans="1:166" s="699" customFormat="1" ht="14.7" customHeight="1" x14ac:dyDescent="0.25">
      <c r="A256" s="421">
        <v>252</v>
      </c>
      <c r="B256" s="417" t="str">
        <f>'337-соус яблочный'!A9</f>
        <v>Соус яблочный</v>
      </c>
      <c r="C256" s="419">
        <f>'337-соус яблочный'!C28</f>
        <v>1000</v>
      </c>
      <c r="D256" s="1211">
        <f>0.93/1000*C256</f>
        <v>0.93</v>
      </c>
      <c r="E256" s="1211">
        <f>0.9/1000*C256</f>
        <v>0.9</v>
      </c>
      <c r="F256" s="1211">
        <f>170.26/1000*C256</f>
        <v>170.26</v>
      </c>
      <c r="G256" s="1212">
        <f>693/1000*C256</f>
        <v>693</v>
      </c>
      <c r="H256" s="419">
        <f>'337-соус яблочный'!J7</f>
        <v>337</v>
      </c>
      <c r="I256" s="1234">
        <f>'337-соус яблочный'!F30</f>
        <v>37.630000000000003</v>
      </c>
      <c r="J256" s="330"/>
      <c r="K256" s="330"/>
      <c r="L256" s="330"/>
      <c r="M256" s="330"/>
      <c r="N256" s="330"/>
      <c r="O256" s="330"/>
      <c r="P256" s="330"/>
      <c r="Q256" s="330"/>
      <c r="R256" s="330"/>
      <c r="S256" s="330"/>
      <c r="T256" s="330"/>
      <c r="U256" s="330"/>
      <c r="V256" s="330"/>
      <c r="W256" s="330"/>
      <c r="X256" s="330"/>
      <c r="Y256" s="330"/>
      <c r="Z256" s="330"/>
      <c r="AA256" s="330"/>
      <c r="AB256" s="330"/>
      <c r="AC256" s="330"/>
      <c r="AD256" s="330"/>
      <c r="AE256" s="330"/>
      <c r="AF256" s="330"/>
      <c r="AG256" s="330"/>
      <c r="AH256" s="330"/>
      <c r="AI256" s="330"/>
      <c r="AJ256" s="330"/>
      <c r="AK256" s="330"/>
      <c r="AL256" s="330"/>
      <c r="AM256" s="330"/>
      <c r="AN256" s="330"/>
      <c r="AO256" s="330"/>
      <c r="AP256" s="330"/>
      <c r="AQ256" s="330"/>
      <c r="AR256" s="330"/>
      <c r="AS256" s="330"/>
      <c r="AT256" s="330"/>
      <c r="AU256" s="330"/>
      <c r="AV256" s="330"/>
      <c r="AW256" s="330"/>
      <c r="AX256" s="330"/>
      <c r="AY256" s="330"/>
      <c r="AZ256" s="330"/>
      <c r="BA256" s="330"/>
      <c r="BB256" s="330"/>
      <c r="BC256" s="330"/>
      <c r="BD256" s="330"/>
      <c r="BE256" s="330"/>
      <c r="BF256" s="330"/>
      <c r="BG256" s="330"/>
      <c r="BH256" s="330"/>
      <c r="BI256" s="330"/>
      <c r="BJ256" s="330"/>
      <c r="BK256" s="330"/>
      <c r="BL256" s="330"/>
      <c r="BM256" s="330"/>
      <c r="BN256" s="330"/>
      <c r="BO256" s="330"/>
      <c r="BP256" s="330"/>
      <c r="BQ256" s="330"/>
      <c r="BR256" s="330">
        <f>'337-соус яблочный'!C19</f>
        <v>0.25600000000000001</v>
      </c>
      <c r="BS256" s="330"/>
      <c r="BT256" s="330"/>
      <c r="BU256" s="330"/>
      <c r="BV256" s="330"/>
      <c r="BW256" s="330"/>
      <c r="BX256" s="330"/>
      <c r="BY256" s="330"/>
      <c r="BZ256" s="330"/>
      <c r="CA256" s="330"/>
      <c r="CB256" s="330"/>
      <c r="CC256" s="330"/>
      <c r="CD256" s="330"/>
      <c r="CE256" s="330"/>
      <c r="CF256" s="330"/>
      <c r="CG256" s="330"/>
      <c r="CH256" s="330"/>
      <c r="CI256" s="330"/>
      <c r="CJ256" s="330"/>
      <c r="CK256" s="330"/>
      <c r="CL256" s="330"/>
      <c r="CM256" s="330"/>
      <c r="CN256" s="330"/>
      <c r="CO256" s="330"/>
      <c r="CP256" s="330"/>
      <c r="CQ256" s="330">
        <f>'337-соус яблочный'!C23</f>
        <v>1E-3</v>
      </c>
      <c r="CR256" s="330">
        <f>'337-соус яблочный'!C21</f>
        <v>0.03</v>
      </c>
      <c r="CS256" s="330"/>
      <c r="CT256" s="330"/>
      <c r="CU256" s="330"/>
      <c r="CV256" s="330"/>
      <c r="CW256" s="330"/>
      <c r="CX256" s="330"/>
      <c r="CY256" s="330"/>
      <c r="CZ256" s="330">
        <f>'337-соус яблочный'!C20/'337-соус яблочный'!C27*'337-соус яблочный'!C28</f>
        <v>0.125</v>
      </c>
      <c r="DA256" s="330"/>
      <c r="DB256" s="330"/>
      <c r="DC256" s="330"/>
      <c r="DD256" s="330"/>
      <c r="DE256" s="330"/>
      <c r="DF256" s="330"/>
      <c r="DG256" s="330"/>
      <c r="DH256" s="330"/>
      <c r="DI256" s="330"/>
      <c r="DJ256" s="330">
        <f>'337-соус яблочный'!C22</f>
        <v>1E-3</v>
      </c>
      <c r="DK256" s="330"/>
      <c r="DL256" s="330"/>
      <c r="DM256" s="330"/>
      <c r="DN256" s="330"/>
      <c r="DO256" s="330"/>
      <c r="DP256" s="330"/>
      <c r="DQ256" s="330"/>
      <c r="DR256" s="330"/>
      <c r="DS256" s="330"/>
      <c r="DT256" s="330"/>
      <c r="DU256" s="330"/>
      <c r="DV256" s="330"/>
      <c r="DW256" s="330"/>
      <c r="DX256" s="330"/>
      <c r="DY256" s="330"/>
      <c r="DZ256" s="330"/>
      <c r="EA256" s="330"/>
      <c r="EB256" s="330"/>
      <c r="EC256" s="330"/>
      <c r="ED256" s="330"/>
      <c r="EE256" s="330"/>
      <c r="EF256" s="330"/>
      <c r="EG256" s="330"/>
      <c r="EH256" s="330"/>
      <c r="EI256" s="330"/>
      <c r="EJ256" s="330"/>
      <c r="EK256" s="330"/>
      <c r="EL256" s="330"/>
      <c r="EM256" s="330"/>
      <c r="EN256" s="330"/>
      <c r="EO256" s="330"/>
      <c r="EP256" s="330"/>
      <c r="EQ256" s="330"/>
      <c r="ER256" s="330"/>
      <c r="ES256" s="330"/>
      <c r="ET256" s="330"/>
      <c r="EU256" s="330"/>
      <c r="EV256" s="330"/>
      <c r="EW256" s="330"/>
      <c r="EX256" s="330"/>
      <c r="EY256" s="1032">
        <f t="shared" si="20"/>
        <v>0.41299999999999998</v>
      </c>
      <c r="EZ256" s="616"/>
      <c r="FA256" s="616"/>
      <c r="FB256" s="616"/>
      <c r="FC256" s="616"/>
      <c r="FD256" s="616"/>
      <c r="FE256" s="616"/>
      <c r="FF256" s="616"/>
      <c r="FG256" s="616"/>
      <c r="FH256" s="616"/>
      <c r="FI256" s="616"/>
      <c r="FJ256" s="616"/>
    </row>
    <row r="257" spans="1:166" ht="14.7" customHeight="1" x14ac:dyDescent="0.25">
      <c r="A257" s="421">
        <v>253</v>
      </c>
      <c r="B257" s="417" t="str">
        <f>'338-яблоки'!A9</f>
        <v>Яблоки свежие</v>
      </c>
      <c r="C257" s="419">
        <f>'338-яблоки'!C23</f>
        <v>100</v>
      </c>
      <c r="D257" s="1211">
        <f>0.4/100*C257</f>
        <v>0.4</v>
      </c>
      <c r="E257" s="1211">
        <f>0.4/100*C257</f>
        <v>0.4</v>
      </c>
      <c r="F257" s="1211">
        <f>9.8/100*C257</f>
        <v>9.8000000000000007</v>
      </c>
      <c r="G257" s="1212">
        <f>47/100*C257</f>
        <v>47</v>
      </c>
      <c r="H257" s="419">
        <f>'338-яблоки'!J7</f>
        <v>338</v>
      </c>
      <c r="I257" s="1234">
        <f>'338-яблоки'!F25</f>
        <v>9.1</v>
      </c>
      <c r="J257" s="330"/>
      <c r="K257" s="330"/>
      <c r="L257" s="330"/>
      <c r="M257" s="330"/>
      <c r="N257" s="330"/>
      <c r="O257" s="330"/>
      <c r="P257" s="330"/>
      <c r="Q257" s="330"/>
      <c r="R257" s="330"/>
      <c r="S257" s="330"/>
      <c r="T257" s="330"/>
      <c r="U257" s="330"/>
      <c r="V257" s="330"/>
      <c r="W257" s="330"/>
      <c r="X257" s="330"/>
      <c r="Y257" s="330"/>
      <c r="Z257" s="330"/>
      <c r="AA257" s="330"/>
      <c r="AB257" s="330"/>
      <c r="AC257" s="330"/>
      <c r="AD257" s="330"/>
      <c r="AE257" s="330"/>
      <c r="AF257" s="330"/>
      <c r="AG257" s="330"/>
      <c r="AH257" s="330"/>
      <c r="AI257" s="330"/>
      <c r="AJ257" s="330"/>
      <c r="AK257" s="330"/>
      <c r="AL257" s="330"/>
      <c r="AM257" s="330"/>
      <c r="AN257" s="330"/>
      <c r="AO257" s="330"/>
      <c r="AP257" s="330"/>
      <c r="AQ257" s="330"/>
      <c r="AR257" s="330"/>
      <c r="AS257" s="330"/>
      <c r="AT257" s="330"/>
      <c r="AU257" s="330"/>
      <c r="AV257" s="330"/>
      <c r="AW257" s="330"/>
      <c r="AX257" s="330"/>
      <c r="AY257" s="330"/>
      <c r="AZ257" s="330"/>
      <c r="BA257" s="330"/>
      <c r="BB257" s="330"/>
      <c r="BC257" s="330"/>
      <c r="BD257" s="330"/>
      <c r="BE257" s="330"/>
      <c r="BF257" s="330"/>
      <c r="BG257" s="330"/>
      <c r="BH257" s="330"/>
      <c r="BI257" s="330"/>
      <c r="BJ257" s="330"/>
      <c r="BK257" s="330"/>
      <c r="BL257" s="330"/>
      <c r="BM257" s="330"/>
      <c r="BN257" s="330"/>
      <c r="BO257" s="330"/>
      <c r="BP257" s="330"/>
      <c r="BQ257" s="330"/>
      <c r="BR257" s="330">
        <f>'338-яблоки'!C19/'338-яблоки'!C22*'338-яблоки'!C23</f>
        <v>0.1</v>
      </c>
      <c r="BS257" s="330"/>
      <c r="BT257" s="330"/>
      <c r="BU257" s="330"/>
      <c r="BV257" s="330"/>
      <c r="BW257" s="330"/>
      <c r="BX257" s="330"/>
      <c r="BY257" s="330"/>
      <c r="BZ257" s="330"/>
      <c r="CA257" s="330"/>
      <c r="CB257" s="330"/>
      <c r="CC257" s="330"/>
      <c r="CD257" s="330"/>
      <c r="CE257" s="330"/>
      <c r="CF257" s="330"/>
      <c r="CG257" s="330"/>
      <c r="CH257" s="330"/>
      <c r="CI257" s="330"/>
      <c r="CJ257" s="330"/>
      <c r="CK257" s="330"/>
      <c r="CL257" s="330"/>
      <c r="CM257" s="330"/>
      <c r="CN257" s="330"/>
      <c r="CO257" s="330"/>
      <c r="CP257" s="330"/>
      <c r="CQ257" s="330"/>
      <c r="CR257" s="330"/>
      <c r="CS257" s="330"/>
      <c r="CT257" s="330"/>
      <c r="CU257" s="330"/>
      <c r="CV257" s="330"/>
      <c r="CW257" s="330"/>
      <c r="CX257" s="330"/>
      <c r="CY257" s="330"/>
      <c r="CZ257" s="330"/>
      <c r="DA257" s="330"/>
      <c r="DB257" s="330"/>
      <c r="DC257" s="330"/>
      <c r="DD257" s="330"/>
      <c r="DE257" s="330"/>
      <c r="DF257" s="330"/>
      <c r="DG257" s="330"/>
      <c r="DH257" s="330"/>
      <c r="DI257" s="330"/>
      <c r="DJ257" s="330"/>
      <c r="DK257" s="330"/>
      <c r="DL257" s="330"/>
      <c r="DM257" s="330"/>
      <c r="DN257" s="330"/>
      <c r="DO257" s="330"/>
      <c r="DP257" s="330"/>
      <c r="DQ257" s="330"/>
      <c r="DR257" s="330"/>
      <c r="DS257" s="330"/>
      <c r="DT257" s="330"/>
      <c r="DU257" s="330"/>
      <c r="DV257" s="330"/>
      <c r="DW257" s="330"/>
      <c r="DX257" s="330"/>
      <c r="DY257" s="330"/>
      <c r="DZ257" s="330"/>
      <c r="EA257" s="330"/>
      <c r="EB257" s="330"/>
      <c r="EC257" s="330"/>
      <c r="ED257" s="330"/>
      <c r="EE257" s="330"/>
      <c r="EF257" s="330"/>
      <c r="EG257" s="330"/>
      <c r="EH257" s="330"/>
      <c r="EI257" s="330"/>
      <c r="EJ257" s="330"/>
      <c r="EK257" s="330"/>
      <c r="EL257" s="330"/>
      <c r="EM257" s="330"/>
      <c r="EN257" s="330"/>
      <c r="EO257" s="330"/>
      <c r="EP257" s="330"/>
      <c r="EQ257" s="330"/>
      <c r="ER257" s="330"/>
      <c r="ES257" s="330"/>
      <c r="ET257" s="330"/>
      <c r="EU257" s="330"/>
      <c r="EV257" s="330"/>
      <c r="EW257" s="330"/>
      <c r="EX257" s="330"/>
      <c r="EY257" s="1032">
        <f t="shared" si="20"/>
        <v>0.1</v>
      </c>
    </row>
    <row r="258" spans="1:166" s="851" customFormat="1" ht="14.7" customHeight="1" x14ac:dyDescent="0.25">
      <c r="A258" s="421">
        <v>254</v>
      </c>
      <c r="B258" s="417" t="str">
        <f>'338-яблоки (150)'!A9</f>
        <v>Яблоки свежие</v>
      </c>
      <c r="C258" s="418">
        <f>'338-яблоки (150)'!C23</f>
        <v>200</v>
      </c>
      <c r="D258" s="1211">
        <f>0.4/100*C258</f>
        <v>0.8</v>
      </c>
      <c r="E258" s="1211">
        <f>0.4/100*C258</f>
        <v>0.8</v>
      </c>
      <c r="F258" s="1211">
        <f>9.8/100*C258</f>
        <v>19.600000000000001</v>
      </c>
      <c r="G258" s="1212">
        <f>47/100*C258</f>
        <v>94</v>
      </c>
      <c r="H258" s="418">
        <f>'338-яблоки (150)'!J7</f>
        <v>338</v>
      </c>
      <c r="I258" s="483">
        <f>'338-яблоки (150)'!F25</f>
        <v>18.2</v>
      </c>
      <c r="J258" s="330"/>
      <c r="K258" s="330"/>
      <c r="L258" s="330"/>
      <c r="M258" s="330"/>
      <c r="N258" s="330"/>
      <c r="O258" s="330"/>
      <c r="P258" s="330"/>
      <c r="Q258" s="330"/>
      <c r="R258" s="330"/>
      <c r="S258" s="330"/>
      <c r="T258" s="330"/>
      <c r="U258" s="330"/>
      <c r="V258" s="330"/>
      <c r="W258" s="330"/>
      <c r="X258" s="330"/>
      <c r="Y258" s="330"/>
      <c r="Z258" s="330"/>
      <c r="AA258" s="330"/>
      <c r="AB258" s="330"/>
      <c r="AC258" s="330"/>
      <c r="AD258" s="330"/>
      <c r="AE258" s="330"/>
      <c r="AF258" s="330"/>
      <c r="AG258" s="330"/>
      <c r="AH258" s="330"/>
      <c r="AI258" s="330"/>
      <c r="AJ258" s="330"/>
      <c r="AK258" s="330"/>
      <c r="AL258" s="330"/>
      <c r="AM258" s="330"/>
      <c r="AN258" s="330"/>
      <c r="AO258" s="330"/>
      <c r="AP258" s="330"/>
      <c r="AQ258" s="330"/>
      <c r="AR258" s="330"/>
      <c r="AS258" s="330"/>
      <c r="AT258" s="330"/>
      <c r="AU258" s="330"/>
      <c r="AV258" s="330"/>
      <c r="AW258" s="330"/>
      <c r="AX258" s="330"/>
      <c r="AY258" s="330"/>
      <c r="AZ258" s="330"/>
      <c r="BA258" s="330"/>
      <c r="BB258" s="330"/>
      <c r="BC258" s="330"/>
      <c r="BD258" s="330"/>
      <c r="BE258" s="330"/>
      <c r="BF258" s="330"/>
      <c r="BG258" s="330"/>
      <c r="BH258" s="330"/>
      <c r="BI258" s="330"/>
      <c r="BJ258" s="330"/>
      <c r="BK258" s="330"/>
      <c r="BL258" s="330"/>
      <c r="BM258" s="330"/>
      <c r="BN258" s="330"/>
      <c r="BO258" s="330"/>
      <c r="BP258" s="330"/>
      <c r="BQ258" s="330"/>
      <c r="BR258" s="330">
        <f>'338-яблоки (150)'!C19/'338-яблоки (150)'!C22*'338-яблоки (150)'!C23</f>
        <v>0.2</v>
      </c>
      <c r="BS258" s="330"/>
      <c r="BT258" s="330"/>
      <c r="BU258" s="330"/>
      <c r="BV258" s="330"/>
      <c r="BW258" s="330"/>
      <c r="BX258" s="330"/>
      <c r="BY258" s="330"/>
      <c r="BZ258" s="330"/>
      <c r="CA258" s="330"/>
      <c r="CB258" s="330"/>
      <c r="CC258" s="330"/>
      <c r="CD258" s="330"/>
      <c r="CE258" s="330"/>
      <c r="CF258" s="330"/>
      <c r="CG258" s="330"/>
      <c r="CH258" s="330"/>
      <c r="CI258" s="330"/>
      <c r="CJ258" s="330"/>
      <c r="CK258" s="330"/>
      <c r="CL258" s="330"/>
      <c r="CM258" s="330"/>
      <c r="CN258" s="330"/>
      <c r="CO258" s="330"/>
      <c r="CP258" s="330"/>
      <c r="CQ258" s="330"/>
      <c r="CR258" s="330"/>
      <c r="CS258" s="330"/>
      <c r="CT258" s="330"/>
      <c r="CU258" s="330"/>
      <c r="CV258" s="330"/>
      <c r="CW258" s="330"/>
      <c r="CX258" s="330"/>
      <c r="CY258" s="330"/>
      <c r="CZ258" s="330"/>
      <c r="DA258" s="330"/>
      <c r="DB258" s="330"/>
      <c r="DC258" s="330"/>
      <c r="DD258" s="330"/>
      <c r="DE258" s="330"/>
      <c r="DF258" s="330"/>
      <c r="DG258" s="330"/>
      <c r="DH258" s="330"/>
      <c r="DI258" s="330"/>
      <c r="DJ258" s="330"/>
      <c r="DK258" s="330"/>
      <c r="DL258" s="330"/>
      <c r="DM258" s="330"/>
      <c r="DN258" s="330"/>
      <c r="DO258" s="330"/>
      <c r="DP258" s="330"/>
      <c r="DQ258" s="330"/>
      <c r="DR258" s="330"/>
      <c r="DS258" s="330"/>
      <c r="DT258" s="330"/>
      <c r="DU258" s="330"/>
      <c r="DV258" s="330"/>
      <c r="DW258" s="330"/>
      <c r="DX258" s="330"/>
      <c r="DY258" s="330"/>
      <c r="DZ258" s="330"/>
      <c r="EA258" s="330"/>
      <c r="EB258" s="330"/>
      <c r="EC258" s="330"/>
      <c r="ED258" s="330"/>
      <c r="EE258" s="330"/>
      <c r="EF258" s="330"/>
      <c r="EG258" s="330"/>
      <c r="EH258" s="330"/>
      <c r="EI258" s="330"/>
      <c r="EJ258" s="330"/>
      <c r="EK258" s="330"/>
      <c r="EL258" s="330"/>
      <c r="EM258" s="330"/>
      <c r="EN258" s="330"/>
      <c r="EO258" s="330"/>
      <c r="EP258" s="330"/>
      <c r="EQ258" s="330"/>
      <c r="ER258" s="330"/>
      <c r="ES258" s="330"/>
      <c r="ET258" s="330"/>
      <c r="EU258" s="330"/>
      <c r="EV258" s="330"/>
      <c r="EW258" s="330"/>
      <c r="EX258" s="330"/>
      <c r="EY258" s="1032">
        <f t="shared" si="20"/>
        <v>0.2</v>
      </c>
      <c r="EZ258" s="616"/>
      <c r="FA258" s="616"/>
      <c r="FB258" s="616"/>
      <c r="FC258" s="616"/>
      <c r="FD258" s="616"/>
      <c r="FE258" s="616"/>
      <c r="FF258" s="616"/>
      <c r="FG258" s="616"/>
      <c r="FH258" s="616"/>
      <c r="FI258" s="616"/>
      <c r="FJ258" s="616"/>
    </row>
    <row r="259" spans="1:166" ht="14.7" customHeight="1" x14ac:dyDescent="0.25">
      <c r="A259" s="421">
        <v>255</v>
      </c>
      <c r="B259" s="417" t="str">
        <f>'338-груши'!A9</f>
        <v>Груши свежие</v>
      </c>
      <c r="C259" s="419">
        <f>'338-груши'!C23</f>
        <v>100</v>
      </c>
      <c r="D259" s="1211">
        <f>0.4/100*C259</f>
        <v>0.4</v>
      </c>
      <c r="E259" s="1211">
        <f>0.3/100*C259</f>
        <v>0.3</v>
      </c>
      <c r="F259" s="1211">
        <f>10.3/100*C259</f>
        <v>10.3</v>
      </c>
      <c r="G259" s="1212">
        <f>47/100*C259</f>
        <v>47</v>
      </c>
      <c r="H259" s="419">
        <f>'338-груши'!J7</f>
        <v>338</v>
      </c>
      <c r="I259" s="483">
        <f>'338-груши'!F25</f>
        <v>24</v>
      </c>
      <c r="J259" s="330"/>
      <c r="K259" s="330"/>
      <c r="L259" s="330"/>
      <c r="M259" s="330"/>
      <c r="N259" s="330"/>
      <c r="O259" s="330"/>
      <c r="P259" s="330"/>
      <c r="Q259" s="330"/>
      <c r="R259" s="330"/>
      <c r="S259" s="330"/>
      <c r="T259" s="330"/>
      <c r="U259" s="330"/>
      <c r="V259" s="330"/>
      <c r="W259" s="330"/>
      <c r="X259" s="330"/>
      <c r="Y259" s="330"/>
      <c r="Z259" s="330"/>
      <c r="AA259" s="330"/>
      <c r="AB259" s="330"/>
      <c r="AC259" s="330"/>
      <c r="AD259" s="330"/>
      <c r="AE259" s="330"/>
      <c r="AF259" s="330"/>
      <c r="AG259" s="330"/>
      <c r="AH259" s="330"/>
      <c r="AI259" s="330"/>
      <c r="AJ259" s="330"/>
      <c r="AK259" s="330"/>
      <c r="AL259" s="330"/>
      <c r="AM259" s="330"/>
      <c r="AN259" s="330"/>
      <c r="AO259" s="330"/>
      <c r="AP259" s="330"/>
      <c r="AQ259" s="330"/>
      <c r="AR259" s="330"/>
      <c r="AS259" s="330"/>
      <c r="AT259" s="330"/>
      <c r="AU259" s="330"/>
      <c r="AV259" s="330"/>
      <c r="AW259" s="330"/>
      <c r="AX259" s="330"/>
      <c r="AY259" s="330"/>
      <c r="AZ259" s="330"/>
      <c r="BA259" s="330"/>
      <c r="BB259" s="330"/>
      <c r="BC259" s="330"/>
      <c r="BD259" s="330"/>
      <c r="BE259" s="330"/>
      <c r="BF259" s="330"/>
      <c r="BG259" s="330"/>
      <c r="BH259" s="330"/>
      <c r="BI259" s="330"/>
      <c r="BJ259" s="330"/>
      <c r="BK259" s="330"/>
      <c r="BL259" s="330"/>
      <c r="BM259" s="330"/>
      <c r="BN259" s="330">
        <f>'338-груши'!C19/'338-груши'!C22*'338-груши'!C23</f>
        <v>0.1</v>
      </c>
      <c r="BO259" s="330"/>
      <c r="BP259" s="330"/>
      <c r="BQ259" s="330"/>
      <c r="BR259" s="330"/>
      <c r="BS259" s="330"/>
      <c r="BT259" s="330"/>
      <c r="BU259" s="330"/>
      <c r="BV259" s="330"/>
      <c r="BW259" s="330"/>
      <c r="BX259" s="330"/>
      <c r="BY259" s="330"/>
      <c r="BZ259" s="330"/>
      <c r="CA259" s="330"/>
      <c r="CB259" s="330"/>
      <c r="CC259" s="330"/>
      <c r="CD259" s="330"/>
      <c r="CE259" s="330"/>
      <c r="CF259" s="330"/>
      <c r="CG259" s="330"/>
      <c r="CH259" s="330"/>
      <c r="CI259" s="330"/>
      <c r="CJ259" s="330"/>
      <c r="CK259" s="330"/>
      <c r="CL259" s="330"/>
      <c r="CM259" s="330"/>
      <c r="CN259" s="330"/>
      <c r="CO259" s="330"/>
      <c r="CP259" s="330"/>
      <c r="CQ259" s="330"/>
      <c r="CR259" s="330"/>
      <c r="CS259" s="330"/>
      <c r="CT259" s="330"/>
      <c r="CU259" s="330"/>
      <c r="CV259" s="330"/>
      <c r="CW259" s="330"/>
      <c r="CX259" s="330"/>
      <c r="CY259" s="330"/>
      <c r="CZ259" s="330"/>
      <c r="DA259" s="330"/>
      <c r="DB259" s="330"/>
      <c r="DC259" s="330"/>
      <c r="DD259" s="330"/>
      <c r="DE259" s="330"/>
      <c r="DF259" s="330"/>
      <c r="DG259" s="330"/>
      <c r="DH259" s="330"/>
      <c r="DI259" s="330"/>
      <c r="DJ259" s="330"/>
      <c r="DK259" s="330"/>
      <c r="DL259" s="330"/>
      <c r="DM259" s="330"/>
      <c r="DN259" s="330"/>
      <c r="DO259" s="330"/>
      <c r="DP259" s="330"/>
      <c r="DQ259" s="330"/>
      <c r="DR259" s="330"/>
      <c r="DS259" s="330"/>
      <c r="DT259" s="330"/>
      <c r="DU259" s="330"/>
      <c r="DV259" s="330"/>
      <c r="DW259" s="330"/>
      <c r="DX259" s="330"/>
      <c r="DY259" s="330"/>
      <c r="DZ259" s="330"/>
      <c r="EA259" s="330"/>
      <c r="EB259" s="330"/>
      <c r="EC259" s="330"/>
      <c r="ED259" s="330"/>
      <c r="EE259" s="330"/>
      <c r="EF259" s="330"/>
      <c r="EG259" s="330"/>
      <c r="EH259" s="330"/>
      <c r="EI259" s="330"/>
      <c r="EJ259" s="330"/>
      <c r="EK259" s="330"/>
      <c r="EL259" s="330"/>
      <c r="EM259" s="330"/>
      <c r="EN259" s="330"/>
      <c r="EO259" s="330"/>
      <c r="EP259" s="330"/>
      <c r="EQ259" s="330"/>
      <c r="ER259" s="330"/>
      <c r="ES259" s="330"/>
      <c r="ET259" s="330"/>
      <c r="EU259" s="330"/>
      <c r="EV259" s="330"/>
      <c r="EW259" s="330"/>
      <c r="EX259" s="330"/>
      <c r="EY259" s="1032">
        <f t="shared" si="20"/>
        <v>0.1</v>
      </c>
    </row>
    <row r="260" spans="1:166" s="1324" customFormat="1" ht="14.7" customHeight="1" x14ac:dyDescent="0.25">
      <c r="A260" s="421">
        <v>256</v>
      </c>
      <c r="B260" s="417" t="str">
        <f>'338-груши (150)'!A9</f>
        <v>Груши свежие</v>
      </c>
      <c r="C260" s="419">
        <f>'338-груши (150)'!C23</f>
        <v>150</v>
      </c>
      <c r="D260" s="1211">
        <f>0.4/100*C260</f>
        <v>0.6</v>
      </c>
      <c r="E260" s="1211">
        <f>0.3/100*C260</f>
        <v>0.45</v>
      </c>
      <c r="F260" s="1211">
        <f>10.3/100*C260</f>
        <v>15.45</v>
      </c>
      <c r="G260" s="1212">
        <f>47/100*C260</f>
        <v>71</v>
      </c>
      <c r="H260" s="419">
        <f>'338-груши (150)'!J7</f>
        <v>338</v>
      </c>
      <c r="I260" s="483">
        <f>'338-груши (150)'!F25</f>
        <v>36</v>
      </c>
      <c r="J260" s="330"/>
      <c r="K260" s="330"/>
      <c r="L260" s="330"/>
      <c r="M260" s="330"/>
      <c r="N260" s="330"/>
      <c r="O260" s="330"/>
      <c r="P260" s="330"/>
      <c r="Q260" s="330"/>
      <c r="R260" s="330"/>
      <c r="S260" s="330"/>
      <c r="T260" s="330"/>
      <c r="U260" s="330"/>
      <c r="V260" s="330"/>
      <c r="W260" s="330"/>
      <c r="X260" s="330"/>
      <c r="Y260" s="330"/>
      <c r="Z260" s="330"/>
      <c r="AA260" s="330"/>
      <c r="AB260" s="330"/>
      <c r="AC260" s="330"/>
      <c r="AD260" s="330"/>
      <c r="AE260" s="330"/>
      <c r="AF260" s="330"/>
      <c r="AG260" s="330"/>
      <c r="AH260" s="330"/>
      <c r="AI260" s="330"/>
      <c r="AJ260" s="330"/>
      <c r="AK260" s="330"/>
      <c r="AL260" s="330"/>
      <c r="AM260" s="330"/>
      <c r="AN260" s="330"/>
      <c r="AO260" s="330"/>
      <c r="AP260" s="330"/>
      <c r="AQ260" s="330"/>
      <c r="AR260" s="330"/>
      <c r="AS260" s="330"/>
      <c r="AT260" s="330"/>
      <c r="AU260" s="330"/>
      <c r="AV260" s="330"/>
      <c r="AW260" s="330"/>
      <c r="AX260" s="330"/>
      <c r="AY260" s="330"/>
      <c r="AZ260" s="330"/>
      <c r="BA260" s="330"/>
      <c r="BB260" s="330"/>
      <c r="BC260" s="330"/>
      <c r="BD260" s="330"/>
      <c r="BE260" s="330"/>
      <c r="BF260" s="330"/>
      <c r="BG260" s="330"/>
      <c r="BH260" s="330"/>
      <c r="BI260" s="330"/>
      <c r="BJ260" s="330"/>
      <c r="BK260" s="330"/>
      <c r="BL260" s="330"/>
      <c r="BM260" s="330"/>
      <c r="BN260" s="330">
        <f>'338-груши (150)'!C19/'338-груши (150)'!C22*'338-груши (150)'!C23</f>
        <v>0.15</v>
      </c>
      <c r="BO260" s="330"/>
      <c r="BP260" s="330"/>
      <c r="BQ260" s="330"/>
      <c r="BR260" s="330"/>
      <c r="BS260" s="330"/>
      <c r="BT260" s="330"/>
      <c r="BU260" s="330"/>
      <c r="BV260" s="330"/>
      <c r="BW260" s="330"/>
      <c r="BX260" s="330"/>
      <c r="BY260" s="330"/>
      <c r="BZ260" s="330"/>
      <c r="CA260" s="330"/>
      <c r="CB260" s="330"/>
      <c r="CC260" s="330"/>
      <c r="CD260" s="330"/>
      <c r="CE260" s="330"/>
      <c r="CF260" s="330"/>
      <c r="CG260" s="330"/>
      <c r="CH260" s="330"/>
      <c r="CI260" s="330"/>
      <c r="CJ260" s="330"/>
      <c r="CK260" s="330"/>
      <c r="CL260" s="330"/>
      <c r="CM260" s="330"/>
      <c r="CN260" s="330"/>
      <c r="CO260" s="330"/>
      <c r="CP260" s="330"/>
      <c r="CQ260" s="330"/>
      <c r="CR260" s="330"/>
      <c r="CS260" s="330"/>
      <c r="CT260" s="330"/>
      <c r="CU260" s="330"/>
      <c r="CV260" s="330"/>
      <c r="CW260" s="330"/>
      <c r="CX260" s="330"/>
      <c r="CY260" s="330"/>
      <c r="CZ260" s="330"/>
      <c r="DA260" s="330"/>
      <c r="DB260" s="330"/>
      <c r="DC260" s="330"/>
      <c r="DD260" s="330"/>
      <c r="DE260" s="330"/>
      <c r="DF260" s="330"/>
      <c r="DG260" s="330"/>
      <c r="DH260" s="330"/>
      <c r="DI260" s="330"/>
      <c r="DJ260" s="330"/>
      <c r="DK260" s="330"/>
      <c r="DL260" s="330"/>
      <c r="DM260" s="330"/>
      <c r="DN260" s="330"/>
      <c r="DO260" s="330"/>
      <c r="DP260" s="330"/>
      <c r="DQ260" s="330"/>
      <c r="DR260" s="330"/>
      <c r="DS260" s="330"/>
      <c r="DT260" s="330"/>
      <c r="DU260" s="330"/>
      <c r="DV260" s="330"/>
      <c r="DW260" s="330"/>
      <c r="DX260" s="330"/>
      <c r="DY260" s="330"/>
      <c r="DZ260" s="330"/>
      <c r="EA260" s="330"/>
      <c r="EB260" s="330"/>
      <c r="EC260" s="330"/>
      <c r="ED260" s="330"/>
      <c r="EE260" s="330"/>
      <c r="EF260" s="330"/>
      <c r="EG260" s="330"/>
      <c r="EH260" s="330"/>
      <c r="EI260" s="330"/>
      <c r="EJ260" s="330"/>
      <c r="EK260" s="330"/>
      <c r="EL260" s="330"/>
      <c r="EM260" s="330"/>
      <c r="EN260" s="330"/>
      <c r="EO260" s="330"/>
      <c r="EP260" s="330"/>
      <c r="EQ260" s="330"/>
      <c r="ER260" s="330"/>
      <c r="ES260" s="330"/>
      <c r="ET260" s="330"/>
      <c r="EU260" s="330"/>
      <c r="EV260" s="330"/>
      <c r="EW260" s="330"/>
      <c r="EX260" s="330"/>
      <c r="EY260" s="1032">
        <f t="shared" si="20"/>
        <v>0.15</v>
      </c>
      <c r="EZ260" s="616"/>
      <c r="FA260" s="616"/>
      <c r="FB260" s="616"/>
      <c r="FC260" s="616"/>
      <c r="FD260" s="616"/>
      <c r="FE260" s="616"/>
      <c r="FF260" s="616"/>
      <c r="FG260" s="616"/>
      <c r="FH260" s="616"/>
      <c r="FI260" s="616"/>
      <c r="FJ260" s="616"/>
    </row>
    <row r="261" spans="1:166" ht="14.7" customHeight="1" x14ac:dyDescent="0.25">
      <c r="A261" s="421">
        <v>257</v>
      </c>
      <c r="B261" s="417" t="str">
        <f>'338-абрикосы'!A9</f>
        <v>Абрикосы</v>
      </c>
      <c r="C261" s="419">
        <f>'338-абрикосы'!C23</f>
        <v>100</v>
      </c>
      <c r="D261" s="1211">
        <f>0.9/100*C261</f>
        <v>0.9</v>
      </c>
      <c r="E261" s="1211">
        <f>0.1/100*C261</f>
        <v>0.1</v>
      </c>
      <c r="F261" s="1211">
        <f>9/100*C261</f>
        <v>9</v>
      </c>
      <c r="G261" s="1212">
        <f>44/100*C261</f>
        <v>44</v>
      </c>
      <c r="H261" s="419">
        <f>'338-абрикосы'!J7</f>
        <v>338</v>
      </c>
      <c r="I261" s="483">
        <f>'338-абрикосы'!F25</f>
        <v>18</v>
      </c>
      <c r="J261" s="330"/>
      <c r="K261" s="330"/>
      <c r="L261" s="330"/>
      <c r="M261" s="330"/>
      <c r="N261" s="330"/>
      <c r="O261" s="330"/>
      <c r="P261" s="330"/>
      <c r="Q261" s="330"/>
      <c r="R261" s="330"/>
      <c r="S261" s="330"/>
      <c r="T261" s="330"/>
      <c r="U261" s="330"/>
      <c r="V261" s="330"/>
      <c r="W261" s="330"/>
      <c r="X261" s="330"/>
      <c r="Y261" s="330"/>
      <c r="Z261" s="330"/>
      <c r="AA261" s="330"/>
      <c r="AB261" s="330"/>
      <c r="AC261" s="330"/>
      <c r="AD261" s="330"/>
      <c r="AE261" s="330"/>
      <c r="AF261" s="330"/>
      <c r="AG261" s="330"/>
      <c r="AH261" s="330"/>
      <c r="AI261" s="330"/>
      <c r="AJ261" s="330"/>
      <c r="AK261" s="330"/>
      <c r="AL261" s="330"/>
      <c r="AM261" s="330"/>
      <c r="AN261" s="330"/>
      <c r="AO261" s="330"/>
      <c r="AP261" s="330"/>
      <c r="AQ261" s="330"/>
      <c r="AR261" s="330"/>
      <c r="AS261" s="330"/>
      <c r="AT261" s="330"/>
      <c r="AU261" s="330"/>
      <c r="AV261" s="330"/>
      <c r="AW261" s="330"/>
      <c r="AX261" s="330"/>
      <c r="AY261" s="330"/>
      <c r="AZ261" s="330"/>
      <c r="BA261" s="330"/>
      <c r="BB261" s="330"/>
      <c r="BC261" s="330"/>
      <c r="BD261" s="330"/>
      <c r="BE261" s="330"/>
      <c r="BF261" s="330"/>
      <c r="BG261" s="330"/>
      <c r="BH261" s="330"/>
      <c r="BI261" s="330"/>
      <c r="BJ261" s="330"/>
      <c r="BK261" s="330"/>
      <c r="BL261" s="330"/>
      <c r="BM261" s="330"/>
      <c r="BN261" s="330"/>
      <c r="BO261" s="330">
        <f>'338-абрикосы'!C19/'338-абрикосы'!C22*'338-абрикосы'!C23</f>
        <v>0.1</v>
      </c>
      <c r="BP261" s="330"/>
      <c r="BQ261" s="330"/>
      <c r="BR261" s="330"/>
      <c r="BS261" s="330"/>
      <c r="BT261" s="330"/>
      <c r="BU261" s="330"/>
      <c r="BV261" s="330"/>
      <c r="BW261" s="330"/>
      <c r="BX261" s="330"/>
      <c r="BY261" s="330"/>
      <c r="BZ261" s="330"/>
      <c r="CA261" s="330"/>
      <c r="CB261" s="330"/>
      <c r="CC261" s="330"/>
      <c r="CD261" s="330"/>
      <c r="CE261" s="330"/>
      <c r="CF261" s="330"/>
      <c r="CG261" s="330"/>
      <c r="CH261" s="330"/>
      <c r="CI261" s="330"/>
      <c r="CJ261" s="330"/>
      <c r="CK261" s="330"/>
      <c r="CL261" s="330"/>
      <c r="CM261" s="330"/>
      <c r="CN261" s="330"/>
      <c r="CO261" s="330"/>
      <c r="CP261" s="330"/>
      <c r="CQ261" s="330"/>
      <c r="CR261" s="330"/>
      <c r="CS261" s="330"/>
      <c r="CT261" s="330"/>
      <c r="CU261" s="330"/>
      <c r="CV261" s="330"/>
      <c r="CW261" s="330"/>
      <c r="CX261" s="330"/>
      <c r="CY261" s="330"/>
      <c r="CZ261" s="330"/>
      <c r="DA261" s="330"/>
      <c r="DB261" s="330"/>
      <c r="DC261" s="330"/>
      <c r="DD261" s="330"/>
      <c r="DE261" s="330"/>
      <c r="DF261" s="330"/>
      <c r="DG261" s="330"/>
      <c r="DH261" s="330"/>
      <c r="DI261" s="330"/>
      <c r="DJ261" s="330"/>
      <c r="DK261" s="330"/>
      <c r="DL261" s="330"/>
      <c r="DM261" s="330"/>
      <c r="DN261" s="330"/>
      <c r="DO261" s="330"/>
      <c r="DP261" s="330"/>
      <c r="DQ261" s="330"/>
      <c r="DR261" s="330"/>
      <c r="DS261" s="330"/>
      <c r="DT261" s="330"/>
      <c r="DU261" s="330"/>
      <c r="DV261" s="330"/>
      <c r="DW261" s="330"/>
      <c r="DX261" s="330"/>
      <c r="DY261" s="330"/>
      <c r="DZ261" s="330"/>
      <c r="EA261" s="330"/>
      <c r="EB261" s="330"/>
      <c r="EC261" s="330"/>
      <c r="ED261" s="330"/>
      <c r="EE261" s="330"/>
      <c r="EF261" s="330"/>
      <c r="EG261" s="330"/>
      <c r="EH261" s="330"/>
      <c r="EI261" s="330"/>
      <c r="EJ261" s="330"/>
      <c r="EK261" s="330"/>
      <c r="EL261" s="330"/>
      <c r="EM261" s="330"/>
      <c r="EN261" s="330"/>
      <c r="EO261" s="330"/>
      <c r="EP261" s="330"/>
      <c r="EQ261" s="330"/>
      <c r="ER261" s="330"/>
      <c r="ES261" s="330"/>
      <c r="ET261" s="330"/>
      <c r="EU261" s="330"/>
      <c r="EV261" s="330"/>
      <c r="EW261" s="330"/>
      <c r="EX261" s="330"/>
      <c r="EY261" s="1032">
        <f t="shared" si="20"/>
        <v>0.1</v>
      </c>
    </row>
    <row r="262" spans="1:166" ht="14.7" customHeight="1" x14ac:dyDescent="0.25">
      <c r="A262" s="421">
        <v>258</v>
      </c>
      <c r="B262" s="417" t="str">
        <f>'338-персики'!A9</f>
        <v>Персики</v>
      </c>
      <c r="C262" s="419">
        <f>'338-персики'!C23</f>
        <v>100</v>
      </c>
      <c r="D262" s="1211">
        <f>0.9/100*C262</f>
        <v>0.9</v>
      </c>
      <c r="E262" s="1211">
        <f>0.1/100*C262</f>
        <v>0.1</v>
      </c>
      <c r="F262" s="1211">
        <f>9.5/100*C262</f>
        <v>9.5</v>
      </c>
      <c r="G262" s="1212">
        <f>45/100*C262</f>
        <v>45</v>
      </c>
      <c r="H262" s="419">
        <f>'338-персики'!J7</f>
        <v>338</v>
      </c>
      <c r="I262" s="483">
        <f>'338-персики'!F25</f>
        <v>18</v>
      </c>
      <c r="J262" s="330"/>
      <c r="K262" s="330"/>
      <c r="L262" s="330"/>
      <c r="M262" s="330"/>
      <c r="N262" s="330"/>
      <c r="O262" s="330"/>
      <c r="P262" s="330"/>
      <c r="Q262" s="330"/>
      <c r="R262" s="330"/>
      <c r="S262" s="330"/>
      <c r="T262" s="330"/>
      <c r="U262" s="330"/>
      <c r="V262" s="330"/>
      <c r="W262" s="330"/>
      <c r="X262" s="330"/>
      <c r="Y262" s="330"/>
      <c r="Z262" s="330"/>
      <c r="AA262" s="330"/>
      <c r="AB262" s="330"/>
      <c r="AC262" s="330"/>
      <c r="AD262" s="330"/>
      <c r="AE262" s="330"/>
      <c r="AF262" s="330"/>
      <c r="AG262" s="330"/>
      <c r="AH262" s="330"/>
      <c r="AI262" s="330"/>
      <c r="AJ262" s="330"/>
      <c r="AK262" s="330"/>
      <c r="AL262" s="330"/>
      <c r="AM262" s="330"/>
      <c r="AN262" s="330"/>
      <c r="AO262" s="330"/>
      <c r="AP262" s="330"/>
      <c r="AQ262" s="330"/>
      <c r="AR262" s="330"/>
      <c r="AS262" s="330"/>
      <c r="AT262" s="330"/>
      <c r="AU262" s="330"/>
      <c r="AV262" s="330"/>
      <c r="AW262" s="330"/>
      <c r="AX262" s="330"/>
      <c r="AY262" s="330"/>
      <c r="AZ262" s="330"/>
      <c r="BA262" s="330"/>
      <c r="BB262" s="330"/>
      <c r="BC262" s="330"/>
      <c r="BD262" s="330"/>
      <c r="BE262" s="330"/>
      <c r="BF262" s="330"/>
      <c r="BG262" s="330"/>
      <c r="BH262" s="330"/>
      <c r="BI262" s="330"/>
      <c r="BJ262" s="330"/>
      <c r="BK262" s="330"/>
      <c r="BL262" s="330"/>
      <c r="BM262" s="330"/>
      <c r="BN262" s="330"/>
      <c r="BO262" s="330"/>
      <c r="BP262" s="330">
        <f>'338-персики'!C19/'338-персики'!C22*'338-персики'!C23</f>
        <v>0.1</v>
      </c>
      <c r="BQ262" s="330"/>
      <c r="BR262" s="330"/>
      <c r="BS262" s="330"/>
      <c r="BT262" s="330"/>
      <c r="BU262" s="330"/>
      <c r="BV262" s="330"/>
      <c r="BW262" s="330"/>
      <c r="BX262" s="330"/>
      <c r="BY262" s="330"/>
      <c r="BZ262" s="330"/>
      <c r="CA262" s="330"/>
      <c r="CB262" s="330"/>
      <c r="CC262" s="330"/>
      <c r="CD262" s="330"/>
      <c r="CE262" s="330"/>
      <c r="CF262" s="330"/>
      <c r="CG262" s="330"/>
      <c r="CH262" s="330"/>
      <c r="CI262" s="330"/>
      <c r="CJ262" s="330"/>
      <c r="CK262" s="330"/>
      <c r="CL262" s="330"/>
      <c r="CM262" s="330"/>
      <c r="CN262" s="330"/>
      <c r="CO262" s="330"/>
      <c r="CP262" s="330"/>
      <c r="CQ262" s="330"/>
      <c r="CR262" s="330"/>
      <c r="CS262" s="330"/>
      <c r="CT262" s="330"/>
      <c r="CU262" s="330"/>
      <c r="CV262" s="330"/>
      <c r="CW262" s="330"/>
      <c r="CX262" s="330"/>
      <c r="CY262" s="330"/>
      <c r="CZ262" s="330"/>
      <c r="DA262" s="330"/>
      <c r="DB262" s="330"/>
      <c r="DC262" s="330"/>
      <c r="DD262" s="330"/>
      <c r="DE262" s="330"/>
      <c r="DF262" s="330"/>
      <c r="DG262" s="330"/>
      <c r="DH262" s="330"/>
      <c r="DI262" s="330"/>
      <c r="DJ262" s="330"/>
      <c r="DK262" s="330"/>
      <c r="DL262" s="330"/>
      <c r="DM262" s="330"/>
      <c r="DN262" s="330"/>
      <c r="DO262" s="330"/>
      <c r="DP262" s="330"/>
      <c r="DQ262" s="330"/>
      <c r="DR262" s="330"/>
      <c r="DS262" s="330"/>
      <c r="DT262" s="330"/>
      <c r="DU262" s="330"/>
      <c r="DV262" s="330"/>
      <c r="DW262" s="330"/>
      <c r="DX262" s="330"/>
      <c r="DY262" s="330"/>
      <c r="DZ262" s="330"/>
      <c r="EA262" s="330"/>
      <c r="EB262" s="330"/>
      <c r="EC262" s="330"/>
      <c r="ED262" s="330"/>
      <c r="EE262" s="330"/>
      <c r="EF262" s="330"/>
      <c r="EG262" s="330"/>
      <c r="EH262" s="330"/>
      <c r="EI262" s="330"/>
      <c r="EJ262" s="330"/>
      <c r="EK262" s="330"/>
      <c r="EL262" s="330"/>
      <c r="EM262" s="330"/>
      <c r="EN262" s="330"/>
      <c r="EO262" s="330"/>
      <c r="EP262" s="330"/>
      <c r="EQ262" s="330"/>
      <c r="ER262" s="330"/>
      <c r="ES262" s="330"/>
      <c r="ET262" s="330"/>
      <c r="EU262" s="330"/>
      <c r="EV262" s="330"/>
      <c r="EW262" s="330"/>
      <c r="EX262" s="330"/>
      <c r="EY262" s="1032">
        <f t="shared" si="20"/>
        <v>0.1</v>
      </c>
    </row>
    <row r="263" spans="1:166" ht="14.7" customHeight="1" x14ac:dyDescent="0.25">
      <c r="A263" s="421">
        <v>259</v>
      </c>
      <c r="B263" s="417" t="str">
        <f>'338-бананы'!A9</f>
        <v>Бананы</v>
      </c>
      <c r="C263" s="419">
        <f>'338-бананы'!C23</f>
        <v>100</v>
      </c>
      <c r="D263" s="1211">
        <f>1.5/100*C263</f>
        <v>1.5</v>
      </c>
      <c r="E263" s="1211">
        <f>0.5/100*C263</f>
        <v>0.5</v>
      </c>
      <c r="F263" s="1211">
        <f>21/100*C263</f>
        <v>21</v>
      </c>
      <c r="G263" s="1212">
        <f>96/100*C263</f>
        <v>96</v>
      </c>
      <c r="H263" s="419">
        <f>'338-бананы'!J7</f>
        <v>338</v>
      </c>
      <c r="I263" s="483">
        <f>'338-бананы'!F25</f>
        <v>11.5</v>
      </c>
      <c r="J263" s="330"/>
      <c r="K263" s="330"/>
      <c r="L263" s="330"/>
      <c r="M263" s="330"/>
      <c r="N263" s="330"/>
      <c r="O263" s="330"/>
      <c r="P263" s="330"/>
      <c r="Q263" s="330"/>
      <c r="R263" s="330"/>
      <c r="S263" s="330"/>
      <c r="T263" s="330"/>
      <c r="U263" s="330"/>
      <c r="V263" s="330"/>
      <c r="W263" s="330"/>
      <c r="X263" s="330"/>
      <c r="Y263" s="330"/>
      <c r="Z263" s="330"/>
      <c r="AA263" s="330"/>
      <c r="AB263" s="330"/>
      <c r="AC263" s="330"/>
      <c r="AD263" s="330"/>
      <c r="AE263" s="330"/>
      <c r="AF263" s="330"/>
      <c r="AG263" s="330"/>
      <c r="AH263" s="330"/>
      <c r="AI263" s="330"/>
      <c r="AJ263" s="330"/>
      <c r="AK263" s="330"/>
      <c r="AL263" s="330"/>
      <c r="AM263" s="330"/>
      <c r="AN263" s="330"/>
      <c r="AO263" s="330"/>
      <c r="AP263" s="330"/>
      <c r="AQ263" s="330"/>
      <c r="AR263" s="330"/>
      <c r="AS263" s="330"/>
      <c r="AT263" s="330"/>
      <c r="AU263" s="330"/>
      <c r="AV263" s="330"/>
      <c r="AW263" s="330"/>
      <c r="AX263" s="330"/>
      <c r="AY263" s="330"/>
      <c r="AZ263" s="330"/>
      <c r="BA263" s="330"/>
      <c r="BB263" s="330"/>
      <c r="BC263" s="330"/>
      <c r="BD263" s="330"/>
      <c r="BE263" s="330"/>
      <c r="BF263" s="330"/>
      <c r="BG263" s="330"/>
      <c r="BH263" s="330"/>
      <c r="BI263" s="330"/>
      <c r="BJ263" s="330"/>
      <c r="BK263" s="330"/>
      <c r="BL263" s="330"/>
      <c r="BM263" s="330">
        <f>'338-бананы'!C19/'338-бананы'!C22*'338-бананы'!C23</f>
        <v>0.1</v>
      </c>
      <c r="BN263" s="330"/>
      <c r="BO263" s="330"/>
      <c r="BP263" s="330"/>
      <c r="BQ263" s="330"/>
      <c r="BR263" s="330"/>
      <c r="BS263" s="330"/>
      <c r="BT263" s="330"/>
      <c r="BU263" s="330"/>
      <c r="BV263" s="330"/>
      <c r="BW263" s="330"/>
      <c r="BX263" s="330"/>
      <c r="BY263" s="330"/>
      <c r="BZ263" s="330"/>
      <c r="CA263" s="330"/>
      <c r="CB263" s="330"/>
      <c r="CC263" s="330"/>
      <c r="CD263" s="330"/>
      <c r="CE263" s="330"/>
      <c r="CF263" s="330"/>
      <c r="CG263" s="330"/>
      <c r="CH263" s="330"/>
      <c r="CI263" s="330"/>
      <c r="CJ263" s="330"/>
      <c r="CK263" s="330"/>
      <c r="CL263" s="330"/>
      <c r="CM263" s="330"/>
      <c r="CN263" s="330"/>
      <c r="CO263" s="330"/>
      <c r="CP263" s="330"/>
      <c r="CQ263" s="330"/>
      <c r="CR263" s="330"/>
      <c r="CS263" s="330"/>
      <c r="CT263" s="330"/>
      <c r="CU263" s="330"/>
      <c r="CV263" s="330"/>
      <c r="CW263" s="330"/>
      <c r="CX263" s="330"/>
      <c r="CY263" s="330"/>
      <c r="CZ263" s="330"/>
      <c r="DA263" s="330"/>
      <c r="DB263" s="330"/>
      <c r="DC263" s="330"/>
      <c r="DD263" s="330"/>
      <c r="DE263" s="330"/>
      <c r="DF263" s="330"/>
      <c r="DG263" s="330"/>
      <c r="DH263" s="330"/>
      <c r="DI263" s="330"/>
      <c r="DJ263" s="330"/>
      <c r="DK263" s="330"/>
      <c r="DL263" s="330"/>
      <c r="DM263" s="330"/>
      <c r="DN263" s="330"/>
      <c r="DO263" s="330"/>
      <c r="DP263" s="330"/>
      <c r="DQ263" s="330"/>
      <c r="DR263" s="330"/>
      <c r="DS263" s="330"/>
      <c r="DT263" s="330"/>
      <c r="DU263" s="330"/>
      <c r="DV263" s="330"/>
      <c r="DW263" s="330"/>
      <c r="DX263" s="330"/>
      <c r="DY263" s="330"/>
      <c r="DZ263" s="330"/>
      <c r="EA263" s="330"/>
      <c r="EB263" s="330"/>
      <c r="EC263" s="330"/>
      <c r="ED263" s="330"/>
      <c r="EE263" s="330"/>
      <c r="EF263" s="330"/>
      <c r="EG263" s="330"/>
      <c r="EH263" s="330"/>
      <c r="EI263" s="330"/>
      <c r="EJ263" s="330"/>
      <c r="EK263" s="330"/>
      <c r="EL263" s="330"/>
      <c r="EM263" s="330"/>
      <c r="EN263" s="330"/>
      <c r="EO263" s="330"/>
      <c r="EP263" s="330"/>
      <c r="EQ263" s="330"/>
      <c r="ER263" s="330"/>
      <c r="ES263" s="330"/>
      <c r="ET263" s="330"/>
      <c r="EU263" s="330"/>
      <c r="EV263" s="330"/>
      <c r="EW263" s="330"/>
      <c r="EX263" s="330"/>
      <c r="EY263" s="1032">
        <f t="shared" si="20"/>
        <v>0.1</v>
      </c>
    </row>
    <row r="264" spans="1:166" s="919" customFormat="1" ht="14.7" customHeight="1" x14ac:dyDescent="0.25">
      <c r="A264" s="421">
        <v>260</v>
      </c>
      <c r="B264" s="417" t="str">
        <f>'338-бананы (2)'!A9</f>
        <v>Бананы</v>
      </c>
      <c r="C264" s="418">
        <f>'338-бананы (2)'!C23</f>
        <v>160</v>
      </c>
      <c r="D264" s="1211">
        <f>1.5/100*C264</f>
        <v>2.4</v>
      </c>
      <c r="E264" s="1211">
        <f>0.5/100*C264</f>
        <v>0.8</v>
      </c>
      <c r="F264" s="1211">
        <f>21/100*C264</f>
        <v>33.6</v>
      </c>
      <c r="G264" s="1212">
        <f>96/100*C264</f>
        <v>154</v>
      </c>
      <c r="H264" s="418">
        <f>'338-бананы (2)'!J7</f>
        <v>338</v>
      </c>
      <c r="I264" s="483">
        <f>'338-бананы (2)'!F25</f>
        <v>18.399999999999999</v>
      </c>
      <c r="J264" s="330"/>
      <c r="K264" s="330"/>
      <c r="L264" s="330"/>
      <c r="M264" s="330"/>
      <c r="N264" s="330"/>
      <c r="O264" s="330"/>
      <c r="P264" s="330"/>
      <c r="Q264" s="330"/>
      <c r="R264" s="330"/>
      <c r="S264" s="330"/>
      <c r="T264" s="330"/>
      <c r="U264" s="330"/>
      <c r="V264" s="330"/>
      <c r="W264" s="330"/>
      <c r="X264" s="330"/>
      <c r="Y264" s="330"/>
      <c r="Z264" s="330"/>
      <c r="AA264" s="330"/>
      <c r="AB264" s="330"/>
      <c r="AC264" s="330"/>
      <c r="AD264" s="330"/>
      <c r="AE264" s="330"/>
      <c r="AF264" s="330"/>
      <c r="AG264" s="330"/>
      <c r="AH264" s="330"/>
      <c r="AI264" s="330"/>
      <c r="AJ264" s="330"/>
      <c r="AK264" s="330"/>
      <c r="AL264" s="330"/>
      <c r="AM264" s="330"/>
      <c r="AN264" s="330"/>
      <c r="AO264" s="330"/>
      <c r="AP264" s="330"/>
      <c r="AQ264" s="330"/>
      <c r="AR264" s="330"/>
      <c r="AS264" s="330"/>
      <c r="AT264" s="330"/>
      <c r="AU264" s="330"/>
      <c r="AV264" s="330"/>
      <c r="AW264" s="330"/>
      <c r="AX264" s="330"/>
      <c r="AY264" s="330"/>
      <c r="AZ264" s="330"/>
      <c r="BA264" s="330"/>
      <c r="BB264" s="330"/>
      <c r="BC264" s="330"/>
      <c r="BD264" s="330"/>
      <c r="BE264" s="330"/>
      <c r="BF264" s="330"/>
      <c r="BG264" s="330"/>
      <c r="BH264" s="330"/>
      <c r="BI264" s="330"/>
      <c r="BJ264" s="330"/>
      <c r="BK264" s="330"/>
      <c r="BL264" s="330"/>
      <c r="BM264" s="330">
        <f>'338-бананы (2)'!C19/'338-бананы (2)'!C22*'338-бананы (2)'!C23</f>
        <v>0.16</v>
      </c>
      <c r="BN264" s="330"/>
      <c r="BO264" s="330"/>
      <c r="BP264" s="330"/>
      <c r="BQ264" s="330"/>
      <c r="BR264" s="330"/>
      <c r="BS264" s="330"/>
      <c r="BT264" s="330"/>
      <c r="BU264" s="330"/>
      <c r="BV264" s="330"/>
      <c r="BW264" s="330"/>
      <c r="BX264" s="330"/>
      <c r="BY264" s="330"/>
      <c r="BZ264" s="330"/>
      <c r="CA264" s="330"/>
      <c r="CB264" s="330"/>
      <c r="CC264" s="330"/>
      <c r="CD264" s="330"/>
      <c r="CE264" s="330"/>
      <c r="CF264" s="330"/>
      <c r="CG264" s="330"/>
      <c r="CH264" s="330"/>
      <c r="CI264" s="330"/>
      <c r="CJ264" s="330"/>
      <c r="CK264" s="330"/>
      <c r="CL264" s="330"/>
      <c r="CM264" s="330"/>
      <c r="CN264" s="330"/>
      <c r="CO264" s="330"/>
      <c r="CP264" s="330"/>
      <c r="CQ264" s="330"/>
      <c r="CR264" s="330"/>
      <c r="CS264" s="330"/>
      <c r="CT264" s="330"/>
      <c r="CU264" s="330"/>
      <c r="CV264" s="330"/>
      <c r="CW264" s="330"/>
      <c r="CX264" s="330"/>
      <c r="CY264" s="330"/>
      <c r="CZ264" s="330"/>
      <c r="DA264" s="330"/>
      <c r="DB264" s="330"/>
      <c r="DC264" s="330"/>
      <c r="DD264" s="330"/>
      <c r="DE264" s="330"/>
      <c r="DF264" s="330"/>
      <c r="DG264" s="330"/>
      <c r="DH264" s="330"/>
      <c r="DI264" s="330"/>
      <c r="DJ264" s="330"/>
      <c r="DK264" s="330"/>
      <c r="DL264" s="330"/>
      <c r="DM264" s="330"/>
      <c r="DN264" s="330"/>
      <c r="DO264" s="330"/>
      <c r="DP264" s="330"/>
      <c r="DQ264" s="330"/>
      <c r="DR264" s="330"/>
      <c r="DS264" s="330"/>
      <c r="DT264" s="330"/>
      <c r="DU264" s="330"/>
      <c r="DV264" s="330"/>
      <c r="DW264" s="330"/>
      <c r="DX264" s="330"/>
      <c r="DY264" s="330"/>
      <c r="DZ264" s="330"/>
      <c r="EA264" s="330"/>
      <c r="EB264" s="330"/>
      <c r="EC264" s="330"/>
      <c r="ED264" s="330"/>
      <c r="EE264" s="330"/>
      <c r="EF264" s="330"/>
      <c r="EG264" s="330"/>
      <c r="EH264" s="330"/>
      <c r="EI264" s="330"/>
      <c r="EJ264" s="330"/>
      <c r="EK264" s="330"/>
      <c r="EL264" s="330"/>
      <c r="EM264" s="330"/>
      <c r="EN264" s="330"/>
      <c r="EO264" s="330"/>
      <c r="EP264" s="330"/>
      <c r="EQ264" s="330"/>
      <c r="ER264" s="330"/>
      <c r="ES264" s="330"/>
      <c r="ET264" s="330"/>
      <c r="EU264" s="330"/>
      <c r="EV264" s="330"/>
      <c r="EW264" s="330"/>
      <c r="EX264" s="330"/>
      <c r="EY264" s="1032">
        <f t="shared" si="20"/>
        <v>0.16</v>
      </c>
      <c r="EZ264" s="616"/>
      <c r="FA264" s="616"/>
      <c r="FB264" s="616"/>
      <c r="FC264" s="616"/>
      <c r="FD264" s="616"/>
      <c r="FE264" s="616"/>
      <c r="FF264" s="616"/>
      <c r="FG264" s="616"/>
      <c r="FH264" s="616"/>
      <c r="FI264" s="616"/>
      <c r="FJ264" s="616"/>
    </row>
    <row r="265" spans="1:166" ht="14.7" customHeight="1" x14ac:dyDescent="0.25">
      <c r="A265" s="421">
        <v>261</v>
      </c>
      <c r="B265" s="417" t="str">
        <f>'338-виноград'!A9</f>
        <v>Виноград столовый</v>
      </c>
      <c r="C265" s="419">
        <f>'338-виноград'!C23</f>
        <v>100</v>
      </c>
      <c r="D265" s="1211">
        <f>0.6/100*C265</f>
        <v>0.6</v>
      </c>
      <c r="E265" s="1211">
        <f>0.6/100*C265</f>
        <v>0.6</v>
      </c>
      <c r="F265" s="1211">
        <f>15.4/100*C265</f>
        <v>15.4</v>
      </c>
      <c r="G265" s="1212">
        <f>72/100*C265</f>
        <v>72</v>
      </c>
      <c r="H265" s="419">
        <f>'338-виноград'!J7</f>
        <v>338</v>
      </c>
      <c r="I265" s="483">
        <f>'338-виноград'!F25</f>
        <v>26.25</v>
      </c>
      <c r="J265" s="330"/>
      <c r="K265" s="330"/>
      <c r="L265" s="330"/>
      <c r="M265" s="330"/>
      <c r="N265" s="330"/>
      <c r="O265" s="330"/>
      <c r="P265" s="330"/>
      <c r="Q265" s="330"/>
      <c r="R265" s="330"/>
      <c r="S265" s="330"/>
      <c r="T265" s="330"/>
      <c r="U265" s="330"/>
      <c r="V265" s="330"/>
      <c r="W265" s="330"/>
      <c r="X265" s="330"/>
      <c r="Y265" s="330"/>
      <c r="Z265" s="330"/>
      <c r="AA265" s="330"/>
      <c r="AB265" s="330"/>
      <c r="AC265" s="330"/>
      <c r="AD265" s="330"/>
      <c r="AE265" s="330"/>
      <c r="AF265" s="330"/>
      <c r="AG265" s="330"/>
      <c r="AH265" s="330"/>
      <c r="AI265" s="330"/>
      <c r="AJ265" s="330"/>
      <c r="AK265" s="330"/>
      <c r="AL265" s="330"/>
      <c r="AM265" s="330"/>
      <c r="AN265" s="330"/>
      <c r="AO265" s="330"/>
      <c r="AP265" s="330"/>
      <c r="AQ265" s="330"/>
      <c r="AR265" s="330"/>
      <c r="AS265" s="330"/>
      <c r="AT265" s="330"/>
      <c r="AU265" s="330"/>
      <c r="AV265" s="330"/>
      <c r="AW265" s="330"/>
      <c r="AX265" s="330"/>
      <c r="AY265" s="330"/>
      <c r="AZ265" s="330"/>
      <c r="BA265" s="330"/>
      <c r="BB265" s="330"/>
      <c r="BC265" s="330"/>
      <c r="BD265" s="330"/>
      <c r="BE265" s="330"/>
      <c r="BF265" s="330"/>
      <c r="BG265" s="330"/>
      <c r="BH265" s="330"/>
      <c r="BI265" s="330"/>
      <c r="BJ265" s="330"/>
      <c r="BK265" s="330"/>
      <c r="BL265" s="330"/>
      <c r="BM265" s="330"/>
      <c r="BN265" s="330"/>
      <c r="BO265" s="330"/>
      <c r="BP265" s="330"/>
      <c r="BQ265" s="330">
        <f>'338-виноград'!C19</f>
        <v>0.105</v>
      </c>
      <c r="BR265" s="330"/>
      <c r="BS265" s="330"/>
      <c r="BT265" s="330"/>
      <c r="BU265" s="330"/>
      <c r="BV265" s="330"/>
      <c r="BW265" s="330"/>
      <c r="BX265" s="330"/>
      <c r="BY265" s="330"/>
      <c r="BZ265" s="330"/>
      <c r="CA265" s="330"/>
      <c r="CB265" s="330"/>
      <c r="CC265" s="330"/>
      <c r="CD265" s="330"/>
      <c r="CE265" s="330"/>
      <c r="CF265" s="330"/>
      <c r="CG265" s="330"/>
      <c r="CH265" s="330"/>
      <c r="CI265" s="330"/>
      <c r="CJ265" s="330"/>
      <c r="CK265" s="330"/>
      <c r="CL265" s="330"/>
      <c r="CM265" s="330"/>
      <c r="CN265" s="330"/>
      <c r="CO265" s="330"/>
      <c r="CP265" s="330"/>
      <c r="CQ265" s="330"/>
      <c r="CR265" s="330"/>
      <c r="CS265" s="330"/>
      <c r="CT265" s="330"/>
      <c r="CU265" s="330"/>
      <c r="CV265" s="330"/>
      <c r="CW265" s="330"/>
      <c r="CX265" s="330"/>
      <c r="CY265" s="330"/>
      <c r="CZ265" s="330"/>
      <c r="DA265" s="330"/>
      <c r="DB265" s="330"/>
      <c r="DC265" s="330"/>
      <c r="DD265" s="330"/>
      <c r="DE265" s="330"/>
      <c r="DF265" s="330"/>
      <c r="DG265" s="330"/>
      <c r="DH265" s="330"/>
      <c r="DI265" s="330"/>
      <c r="DJ265" s="330"/>
      <c r="DK265" s="330"/>
      <c r="DL265" s="330"/>
      <c r="DM265" s="330"/>
      <c r="DN265" s="330"/>
      <c r="DO265" s="330"/>
      <c r="DP265" s="330"/>
      <c r="DQ265" s="330"/>
      <c r="DR265" s="330"/>
      <c r="DS265" s="330"/>
      <c r="DT265" s="330"/>
      <c r="DU265" s="330"/>
      <c r="DV265" s="330"/>
      <c r="DW265" s="330"/>
      <c r="DX265" s="330"/>
      <c r="DY265" s="330"/>
      <c r="DZ265" s="330"/>
      <c r="EA265" s="330"/>
      <c r="EB265" s="330"/>
      <c r="EC265" s="330"/>
      <c r="ED265" s="330"/>
      <c r="EE265" s="330"/>
      <c r="EF265" s="330"/>
      <c r="EG265" s="330"/>
      <c r="EH265" s="330"/>
      <c r="EI265" s="330"/>
      <c r="EJ265" s="330"/>
      <c r="EK265" s="330"/>
      <c r="EL265" s="330"/>
      <c r="EM265" s="330"/>
      <c r="EN265" s="330"/>
      <c r="EO265" s="330"/>
      <c r="EP265" s="330"/>
      <c r="EQ265" s="330"/>
      <c r="ER265" s="330"/>
      <c r="ES265" s="330"/>
      <c r="ET265" s="330"/>
      <c r="EU265" s="330"/>
      <c r="EV265" s="330"/>
      <c r="EW265" s="330"/>
      <c r="EX265" s="330"/>
      <c r="EY265" s="1032">
        <f t="shared" si="20"/>
        <v>0.105</v>
      </c>
    </row>
    <row r="266" spans="1:166" ht="14.7" customHeight="1" x14ac:dyDescent="0.25">
      <c r="A266" s="421">
        <v>262</v>
      </c>
      <c r="B266" s="169" t="str">
        <f>'339-черешня'!A9</f>
        <v>Черешня с сахаром</v>
      </c>
      <c r="C266" s="419">
        <f>'339-черешня'!C24</f>
        <v>115</v>
      </c>
      <c r="D266" s="1211">
        <f>1.1/115*C266</f>
        <v>1.1000000000000001</v>
      </c>
      <c r="E266" s="1211">
        <f>0.4/115*C266</f>
        <v>0.4</v>
      </c>
      <c r="F266" s="1211">
        <f>25.6/115*C266</f>
        <v>25.6</v>
      </c>
      <c r="G266" s="1212">
        <f>112/115*C266</f>
        <v>112</v>
      </c>
      <c r="H266" s="419">
        <f>'339-черешня'!J7</f>
        <v>339</v>
      </c>
      <c r="I266" s="483">
        <f>'339-черешня'!F26</f>
        <v>17.940000000000001</v>
      </c>
      <c r="J266" s="330"/>
      <c r="K266" s="330"/>
      <c r="L266" s="330"/>
      <c r="M266" s="330"/>
      <c r="N266" s="330"/>
      <c r="O266" s="330"/>
      <c r="P266" s="330"/>
      <c r="Q266" s="330"/>
      <c r="R266" s="330"/>
      <c r="S266" s="330"/>
      <c r="T266" s="330"/>
      <c r="U266" s="330"/>
      <c r="V266" s="330"/>
      <c r="W266" s="330"/>
      <c r="X266" s="330"/>
      <c r="Y266" s="330"/>
      <c r="Z266" s="330"/>
      <c r="AA266" s="330"/>
      <c r="AB266" s="330"/>
      <c r="AC266" s="330"/>
      <c r="AD266" s="330"/>
      <c r="AE266" s="330"/>
      <c r="AF266" s="330"/>
      <c r="AG266" s="330"/>
      <c r="AH266" s="330"/>
      <c r="AI266" s="330"/>
      <c r="AJ266" s="330"/>
      <c r="AK266" s="330"/>
      <c r="AL266" s="330"/>
      <c r="AM266" s="330"/>
      <c r="AN266" s="330"/>
      <c r="AO266" s="330"/>
      <c r="AP266" s="330"/>
      <c r="AQ266" s="330"/>
      <c r="AR266" s="330"/>
      <c r="AS266" s="330"/>
      <c r="AT266" s="330"/>
      <c r="AU266" s="330"/>
      <c r="AV266" s="330"/>
      <c r="AW266" s="330"/>
      <c r="AX266" s="330"/>
      <c r="AY266" s="330"/>
      <c r="AZ266" s="330"/>
      <c r="BA266" s="330"/>
      <c r="BB266" s="330"/>
      <c r="BC266" s="330"/>
      <c r="BD266" s="330">
        <f>'339-черешня'!C19</f>
        <v>0.105</v>
      </c>
      <c r="BE266" s="330"/>
      <c r="BF266" s="330"/>
      <c r="BG266" s="330"/>
      <c r="BH266" s="330"/>
      <c r="BI266" s="330"/>
      <c r="BJ266" s="330"/>
      <c r="BK266" s="330"/>
      <c r="BL266" s="330"/>
      <c r="BM266" s="330"/>
      <c r="BN266" s="330"/>
      <c r="BO266" s="330"/>
      <c r="BP266" s="330"/>
      <c r="BQ266" s="330"/>
      <c r="BR266" s="330"/>
      <c r="BS266" s="330"/>
      <c r="BT266" s="330"/>
      <c r="BU266" s="330"/>
      <c r="BV266" s="330"/>
      <c r="BW266" s="330"/>
      <c r="BX266" s="330"/>
      <c r="BY266" s="330"/>
      <c r="BZ266" s="330"/>
      <c r="CA266" s="330"/>
      <c r="CB266" s="330"/>
      <c r="CC266" s="330"/>
      <c r="CD266" s="330"/>
      <c r="CE266" s="330"/>
      <c r="CF266" s="330"/>
      <c r="CG266" s="330"/>
      <c r="CH266" s="330"/>
      <c r="CI266" s="330"/>
      <c r="CJ266" s="330"/>
      <c r="CK266" s="330"/>
      <c r="CL266" s="330"/>
      <c r="CM266" s="330"/>
      <c r="CN266" s="330"/>
      <c r="CO266" s="330"/>
      <c r="CP266" s="330"/>
      <c r="CQ266" s="330"/>
      <c r="CR266" s="330"/>
      <c r="CS266" s="330"/>
      <c r="CT266" s="330"/>
      <c r="CU266" s="330"/>
      <c r="CV266" s="330"/>
      <c r="CW266" s="330"/>
      <c r="CX266" s="330"/>
      <c r="CY266" s="330"/>
      <c r="CZ266" s="330">
        <f>'339-черешня'!C20</f>
        <v>1.4999999999999999E-2</v>
      </c>
      <c r="DA266" s="330"/>
      <c r="DB266" s="330"/>
      <c r="DC266" s="330"/>
      <c r="DD266" s="330"/>
      <c r="DE266" s="330"/>
      <c r="DF266" s="330"/>
      <c r="DG266" s="330"/>
      <c r="DH266" s="330"/>
      <c r="DI266" s="330"/>
      <c r="DJ266" s="330"/>
      <c r="DK266" s="330"/>
      <c r="DL266" s="330"/>
      <c r="DM266" s="330"/>
      <c r="DN266" s="330"/>
      <c r="DO266" s="330"/>
      <c r="DP266" s="330"/>
      <c r="DQ266" s="330"/>
      <c r="DR266" s="330"/>
      <c r="DS266" s="330"/>
      <c r="DT266" s="330"/>
      <c r="DU266" s="330"/>
      <c r="DV266" s="330"/>
      <c r="DW266" s="330"/>
      <c r="DX266" s="330"/>
      <c r="DY266" s="330"/>
      <c r="DZ266" s="330"/>
      <c r="EA266" s="330"/>
      <c r="EB266" s="330"/>
      <c r="EC266" s="330"/>
      <c r="ED266" s="330"/>
      <c r="EE266" s="330"/>
      <c r="EF266" s="330"/>
      <c r="EG266" s="330"/>
      <c r="EH266" s="330"/>
      <c r="EI266" s="330"/>
      <c r="EJ266" s="330"/>
      <c r="EK266" s="330"/>
      <c r="EL266" s="330"/>
      <c r="EM266" s="330"/>
      <c r="EN266" s="330"/>
      <c r="EO266" s="330"/>
      <c r="EP266" s="330"/>
      <c r="EQ266" s="330"/>
      <c r="ER266" s="330"/>
      <c r="ES266" s="330"/>
      <c r="ET266" s="330"/>
      <c r="EU266" s="330"/>
      <c r="EV266" s="330"/>
      <c r="EW266" s="330"/>
      <c r="EX266" s="330"/>
      <c r="EY266" s="1032">
        <f t="shared" si="20"/>
        <v>0.12</v>
      </c>
    </row>
    <row r="267" spans="1:166" ht="14.7" customHeight="1" x14ac:dyDescent="0.25">
      <c r="A267" s="421">
        <v>263</v>
      </c>
      <c r="B267" s="169" t="str">
        <f>'339-земляника'!A9</f>
        <v>Земляника садовая с сахаром</v>
      </c>
      <c r="C267" s="419">
        <f>'339-земляника'!C24</f>
        <v>115</v>
      </c>
      <c r="D267" s="1211">
        <f>0.8/115*C267</f>
        <v>0.8</v>
      </c>
      <c r="E267" s="1211">
        <f>0.4/115*C267</f>
        <v>0.4</v>
      </c>
      <c r="F267" s="1211">
        <f>22.5/115*C267</f>
        <v>22.5</v>
      </c>
      <c r="G267" s="1212">
        <f>101/115*C267</f>
        <v>101</v>
      </c>
      <c r="H267" s="419">
        <f>'339-земляника'!J7</f>
        <v>339</v>
      </c>
      <c r="I267" s="483">
        <f>'339-земляника'!F26</f>
        <v>20.02</v>
      </c>
      <c r="J267" s="330"/>
      <c r="K267" s="330"/>
      <c r="L267" s="330"/>
      <c r="M267" s="330"/>
      <c r="N267" s="330"/>
      <c r="O267" s="330"/>
      <c r="P267" s="330"/>
      <c r="Q267" s="330"/>
      <c r="R267" s="330"/>
      <c r="S267" s="330"/>
      <c r="T267" s="330"/>
      <c r="U267" s="330"/>
      <c r="V267" s="330"/>
      <c r="W267" s="330"/>
      <c r="X267" s="330"/>
      <c r="Y267" s="330"/>
      <c r="Z267" s="330"/>
      <c r="AA267" s="330"/>
      <c r="AB267" s="330"/>
      <c r="AC267" s="330"/>
      <c r="AD267" s="330"/>
      <c r="AE267" s="330"/>
      <c r="AF267" s="330"/>
      <c r="AG267" s="330"/>
      <c r="AH267" s="330"/>
      <c r="AI267" s="330"/>
      <c r="AJ267" s="330"/>
      <c r="AK267" s="330"/>
      <c r="AL267" s="330"/>
      <c r="AM267" s="330"/>
      <c r="AN267" s="330"/>
      <c r="AO267" s="330"/>
      <c r="AP267" s="330"/>
      <c r="AQ267" s="330"/>
      <c r="AR267" s="330"/>
      <c r="AS267" s="330"/>
      <c r="AT267" s="330"/>
      <c r="AU267" s="330"/>
      <c r="AV267" s="330"/>
      <c r="AW267" s="330"/>
      <c r="AX267" s="330"/>
      <c r="AY267" s="330"/>
      <c r="AZ267" s="330"/>
      <c r="BA267" s="330"/>
      <c r="BB267" s="330"/>
      <c r="BC267" s="330"/>
      <c r="BD267" s="330"/>
      <c r="BE267" s="330">
        <f>'339-земляника'!C19</f>
        <v>0.11799999999999999</v>
      </c>
      <c r="BF267" s="330"/>
      <c r="BG267" s="330"/>
      <c r="BH267" s="330"/>
      <c r="BI267" s="330"/>
      <c r="BJ267" s="330"/>
      <c r="BK267" s="330"/>
      <c r="BL267" s="330"/>
      <c r="BM267" s="330"/>
      <c r="BN267" s="330"/>
      <c r="BO267" s="330"/>
      <c r="BP267" s="330"/>
      <c r="BQ267" s="330"/>
      <c r="BR267" s="330"/>
      <c r="BS267" s="330"/>
      <c r="BT267" s="330"/>
      <c r="BU267" s="330"/>
      <c r="BV267" s="330"/>
      <c r="BW267" s="330"/>
      <c r="BX267" s="330"/>
      <c r="BY267" s="330"/>
      <c r="BZ267" s="330"/>
      <c r="CA267" s="330"/>
      <c r="CB267" s="330"/>
      <c r="CC267" s="330"/>
      <c r="CD267" s="330"/>
      <c r="CE267" s="330"/>
      <c r="CF267" s="330"/>
      <c r="CG267" s="330"/>
      <c r="CH267" s="330"/>
      <c r="CI267" s="330"/>
      <c r="CJ267" s="330"/>
      <c r="CK267" s="330"/>
      <c r="CL267" s="330"/>
      <c r="CM267" s="330"/>
      <c r="CN267" s="330"/>
      <c r="CO267" s="330"/>
      <c r="CP267" s="330"/>
      <c r="CQ267" s="330"/>
      <c r="CR267" s="330"/>
      <c r="CS267" s="330"/>
      <c r="CT267" s="330"/>
      <c r="CU267" s="330"/>
      <c r="CV267" s="330"/>
      <c r="CW267" s="330"/>
      <c r="CX267" s="330"/>
      <c r="CY267" s="330"/>
      <c r="CZ267" s="330">
        <f>'339-земляника'!C20</f>
        <v>1.4999999999999999E-2</v>
      </c>
      <c r="DA267" s="330"/>
      <c r="DB267" s="330"/>
      <c r="DC267" s="330"/>
      <c r="DD267" s="330"/>
      <c r="DE267" s="330"/>
      <c r="DF267" s="330"/>
      <c r="DG267" s="330"/>
      <c r="DH267" s="330"/>
      <c r="DI267" s="330"/>
      <c r="DJ267" s="330"/>
      <c r="DK267" s="330"/>
      <c r="DL267" s="330"/>
      <c r="DM267" s="330"/>
      <c r="DN267" s="330"/>
      <c r="DO267" s="330"/>
      <c r="DP267" s="330"/>
      <c r="DQ267" s="330"/>
      <c r="DR267" s="330"/>
      <c r="DS267" s="330"/>
      <c r="DT267" s="330"/>
      <c r="DU267" s="330"/>
      <c r="DV267" s="330"/>
      <c r="DW267" s="330"/>
      <c r="DX267" s="330"/>
      <c r="DY267" s="330"/>
      <c r="DZ267" s="330"/>
      <c r="EA267" s="330"/>
      <c r="EB267" s="330"/>
      <c r="EC267" s="330"/>
      <c r="ED267" s="330"/>
      <c r="EE267" s="330"/>
      <c r="EF267" s="330"/>
      <c r="EG267" s="330"/>
      <c r="EH267" s="330"/>
      <c r="EI267" s="330"/>
      <c r="EJ267" s="330"/>
      <c r="EK267" s="330"/>
      <c r="EL267" s="330"/>
      <c r="EM267" s="330"/>
      <c r="EN267" s="330"/>
      <c r="EO267" s="330"/>
      <c r="EP267" s="330"/>
      <c r="EQ267" s="330"/>
      <c r="ER267" s="330"/>
      <c r="ES267" s="330"/>
      <c r="ET267" s="330"/>
      <c r="EU267" s="330"/>
      <c r="EV267" s="330"/>
      <c r="EW267" s="330"/>
      <c r="EX267" s="330"/>
      <c r="EY267" s="1032">
        <f t="shared" si="20"/>
        <v>0.13300000000000001</v>
      </c>
    </row>
    <row r="268" spans="1:166" ht="14.7" customHeight="1" x14ac:dyDescent="0.25">
      <c r="A268" s="421">
        <v>264</v>
      </c>
      <c r="B268" s="169" t="str">
        <f>'340-арбуз'!A9</f>
        <v>Арбуз</v>
      </c>
      <c r="C268" s="419">
        <f>'340-арбуз'!C23</f>
        <v>250</v>
      </c>
      <c r="D268" s="1211">
        <f>2.5/250*C268</f>
        <v>2.5</v>
      </c>
      <c r="E268" s="1211">
        <f>0.25/250*C268</f>
        <v>0.25</v>
      </c>
      <c r="F268" s="1211">
        <f>14.5/250*C268</f>
        <v>14.5</v>
      </c>
      <c r="G268" s="1212">
        <f>66/250*C268</f>
        <v>66</v>
      </c>
      <c r="H268" s="419">
        <f>'340-арбуз'!J7</f>
        <v>340</v>
      </c>
      <c r="I268" s="483">
        <f>'340-арбуз'!F25</f>
        <v>6.95</v>
      </c>
      <c r="J268" s="330"/>
      <c r="K268" s="330"/>
      <c r="L268" s="330"/>
      <c r="M268" s="330"/>
      <c r="N268" s="330"/>
      <c r="O268" s="330"/>
      <c r="P268" s="330"/>
      <c r="Q268" s="330"/>
      <c r="R268" s="330"/>
      <c r="S268" s="330"/>
      <c r="T268" s="330"/>
      <c r="U268" s="330"/>
      <c r="V268" s="330"/>
      <c r="W268" s="330"/>
      <c r="X268" s="330"/>
      <c r="Y268" s="330"/>
      <c r="Z268" s="330"/>
      <c r="AA268" s="330"/>
      <c r="AB268" s="330"/>
      <c r="AC268" s="330"/>
      <c r="AD268" s="330"/>
      <c r="AE268" s="330"/>
      <c r="AF268" s="330"/>
      <c r="AG268" s="330"/>
      <c r="AH268" s="330"/>
      <c r="AI268" s="330"/>
      <c r="AJ268" s="330"/>
      <c r="AK268" s="330"/>
      <c r="AL268" s="330"/>
      <c r="AM268" s="330"/>
      <c r="AN268" s="330"/>
      <c r="AO268" s="330"/>
      <c r="AP268" s="330"/>
      <c r="AQ268" s="330"/>
      <c r="AR268" s="330"/>
      <c r="AS268" s="330"/>
      <c r="AT268" s="330"/>
      <c r="AU268" s="330"/>
      <c r="AV268" s="330"/>
      <c r="AW268" s="330"/>
      <c r="AX268" s="330"/>
      <c r="AY268" s="330"/>
      <c r="AZ268" s="330"/>
      <c r="BA268" s="330"/>
      <c r="BB268" s="330"/>
      <c r="BC268" s="330"/>
      <c r="BD268" s="330"/>
      <c r="BE268" s="330"/>
      <c r="BF268" s="330"/>
      <c r="BG268" s="330"/>
      <c r="BH268" s="330"/>
      <c r="BI268" s="330">
        <f>'340-арбуз'!C19</f>
        <v>0.27800000000000002</v>
      </c>
      <c r="BJ268" s="330"/>
      <c r="BK268" s="330"/>
      <c r="BL268" s="330"/>
      <c r="BM268" s="330"/>
      <c r="BN268" s="330"/>
      <c r="BO268" s="330"/>
      <c r="BP268" s="330"/>
      <c r="BQ268" s="330"/>
      <c r="BR268" s="330"/>
      <c r="BS268" s="330"/>
      <c r="BT268" s="330"/>
      <c r="BU268" s="330"/>
      <c r="BV268" s="330"/>
      <c r="BW268" s="330"/>
      <c r="BX268" s="330"/>
      <c r="BY268" s="330"/>
      <c r="BZ268" s="330"/>
      <c r="CA268" s="330"/>
      <c r="CB268" s="330"/>
      <c r="CC268" s="330"/>
      <c r="CD268" s="330"/>
      <c r="CE268" s="330"/>
      <c r="CF268" s="330"/>
      <c r="CG268" s="330"/>
      <c r="CH268" s="330"/>
      <c r="CI268" s="330"/>
      <c r="CJ268" s="330"/>
      <c r="CK268" s="330"/>
      <c r="CL268" s="330"/>
      <c r="CM268" s="330"/>
      <c r="CN268" s="330"/>
      <c r="CO268" s="330"/>
      <c r="CP268" s="330"/>
      <c r="CQ268" s="330"/>
      <c r="CR268" s="330"/>
      <c r="CS268" s="330"/>
      <c r="CT268" s="330"/>
      <c r="CU268" s="330"/>
      <c r="CV268" s="330"/>
      <c r="CW268" s="330"/>
      <c r="CX268" s="330"/>
      <c r="CY268" s="330"/>
      <c r="CZ268" s="330"/>
      <c r="DA268" s="330"/>
      <c r="DB268" s="330"/>
      <c r="DC268" s="330"/>
      <c r="DD268" s="330"/>
      <c r="DE268" s="330"/>
      <c r="DF268" s="330"/>
      <c r="DG268" s="330"/>
      <c r="DH268" s="330"/>
      <c r="DI268" s="330"/>
      <c r="DJ268" s="330"/>
      <c r="DK268" s="330"/>
      <c r="DL268" s="330"/>
      <c r="DM268" s="330"/>
      <c r="DN268" s="330"/>
      <c r="DO268" s="330"/>
      <c r="DP268" s="330"/>
      <c r="DQ268" s="330"/>
      <c r="DR268" s="330"/>
      <c r="DS268" s="330"/>
      <c r="DT268" s="330"/>
      <c r="DU268" s="330"/>
      <c r="DV268" s="330"/>
      <c r="DW268" s="330"/>
      <c r="DX268" s="330"/>
      <c r="DY268" s="330"/>
      <c r="DZ268" s="330"/>
      <c r="EA268" s="330"/>
      <c r="EB268" s="330"/>
      <c r="EC268" s="330"/>
      <c r="ED268" s="330"/>
      <c r="EE268" s="330"/>
      <c r="EF268" s="330"/>
      <c r="EG268" s="330"/>
      <c r="EH268" s="330"/>
      <c r="EI268" s="330"/>
      <c r="EJ268" s="330"/>
      <c r="EK268" s="330"/>
      <c r="EL268" s="330"/>
      <c r="EM268" s="330"/>
      <c r="EN268" s="330"/>
      <c r="EO268" s="330"/>
      <c r="EP268" s="330"/>
      <c r="EQ268" s="330"/>
      <c r="ER268" s="330"/>
      <c r="ES268" s="330"/>
      <c r="ET268" s="330"/>
      <c r="EU268" s="330"/>
      <c r="EV268" s="330"/>
      <c r="EW268" s="330"/>
      <c r="EX268" s="330"/>
      <c r="EY268" s="1032">
        <f t="shared" si="20"/>
        <v>0.27800000000000002</v>
      </c>
    </row>
    <row r="269" spans="1:166" ht="14.7" customHeight="1" x14ac:dyDescent="0.25">
      <c r="A269" s="421">
        <v>265</v>
      </c>
      <c r="B269" s="169" t="str">
        <f>'340-дыня'!A9</f>
        <v>Дыня</v>
      </c>
      <c r="C269" s="419">
        <f>'340-дыня'!C23</f>
        <v>200</v>
      </c>
      <c r="D269" s="1211">
        <f>1.2/200*C269</f>
        <v>1.2</v>
      </c>
      <c r="E269" s="1211">
        <f>0.6/200*C269</f>
        <v>0.6</v>
      </c>
      <c r="F269" s="1211">
        <f>14.8/200*C269</f>
        <v>14.8</v>
      </c>
      <c r="G269" s="1212">
        <f>69/200*C269</f>
        <v>69</v>
      </c>
      <c r="H269" s="419">
        <f>'340-дыня'!J7</f>
        <v>340</v>
      </c>
      <c r="I269" s="483">
        <f>'340-дыня'!F25</f>
        <v>6.5</v>
      </c>
      <c r="J269" s="330"/>
      <c r="K269" s="330"/>
      <c r="L269" s="330"/>
      <c r="M269" s="330"/>
      <c r="N269" s="330"/>
      <c r="O269" s="330"/>
      <c r="P269" s="330"/>
      <c r="Q269" s="330"/>
      <c r="R269" s="330"/>
      <c r="S269" s="330"/>
      <c r="T269" s="330"/>
      <c r="U269" s="330"/>
      <c r="V269" s="330"/>
      <c r="W269" s="330"/>
      <c r="X269" s="330"/>
      <c r="Y269" s="330"/>
      <c r="Z269" s="330"/>
      <c r="AA269" s="330"/>
      <c r="AB269" s="330"/>
      <c r="AC269" s="330"/>
      <c r="AD269" s="330"/>
      <c r="AE269" s="330"/>
      <c r="AF269" s="330"/>
      <c r="AG269" s="330"/>
      <c r="AH269" s="330"/>
      <c r="AI269" s="330"/>
      <c r="AJ269" s="330"/>
      <c r="AK269" s="330"/>
      <c r="AL269" s="330"/>
      <c r="AM269" s="330"/>
      <c r="AN269" s="330"/>
      <c r="AO269" s="330"/>
      <c r="AP269" s="330"/>
      <c r="AQ269" s="330"/>
      <c r="AR269" s="330"/>
      <c r="AS269" s="330"/>
      <c r="AT269" s="330"/>
      <c r="AU269" s="330"/>
      <c r="AV269" s="330"/>
      <c r="AW269" s="330"/>
      <c r="AX269" s="330"/>
      <c r="AY269" s="330"/>
      <c r="AZ269" s="330"/>
      <c r="BA269" s="330"/>
      <c r="BB269" s="330"/>
      <c r="BC269" s="330"/>
      <c r="BD269" s="330"/>
      <c r="BE269" s="330"/>
      <c r="BF269" s="330"/>
      <c r="BG269" s="330"/>
      <c r="BH269" s="330"/>
      <c r="BI269" s="330"/>
      <c r="BJ269" s="330">
        <f>'340-дыня'!C19</f>
        <v>0.26</v>
      </c>
      <c r="BK269" s="330"/>
      <c r="BL269" s="330"/>
      <c r="BM269" s="330"/>
      <c r="BN269" s="330"/>
      <c r="BO269" s="330"/>
      <c r="BP269" s="330"/>
      <c r="BQ269" s="330"/>
      <c r="BR269" s="330"/>
      <c r="BS269" s="330"/>
      <c r="BT269" s="330"/>
      <c r="BU269" s="330"/>
      <c r="BV269" s="330"/>
      <c r="BW269" s="330"/>
      <c r="BX269" s="330"/>
      <c r="BY269" s="330"/>
      <c r="BZ269" s="330"/>
      <c r="CA269" s="330"/>
      <c r="CB269" s="330"/>
      <c r="CC269" s="330"/>
      <c r="CD269" s="330"/>
      <c r="CE269" s="330"/>
      <c r="CF269" s="330"/>
      <c r="CG269" s="330"/>
      <c r="CH269" s="330"/>
      <c r="CI269" s="330"/>
      <c r="CJ269" s="330"/>
      <c r="CK269" s="330"/>
      <c r="CL269" s="330"/>
      <c r="CM269" s="330"/>
      <c r="CN269" s="330"/>
      <c r="CO269" s="330"/>
      <c r="CP269" s="330"/>
      <c r="CQ269" s="330"/>
      <c r="CR269" s="330"/>
      <c r="CS269" s="330"/>
      <c r="CT269" s="330"/>
      <c r="CU269" s="330"/>
      <c r="CV269" s="330"/>
      <c r="CW269" s="330"/>
      <c r="CX269" s="330"/>
      <c r="CY269" s="330"/>
      <c r="CZ269" s="330"/>
      <c r="DA269" s="330"/>
      <c r="DB269" s="330"/>
      <c r="DC269" s="330"/>
      <c r="DD269" s="330"/>
      <c r="DE269" s="330"/>
      <c r="DF269" s="330"/>
      <c r="DG269" s="330"/>
      <c r="DH269" s="330"/>
      <c r="DI269" s="330"/>
      <c r="DJ269" s="330"/>
      <c r="DK269" s="330"/>
      <c r="DL269" s="330"/>
      <c r="DM269" s="330"/>
      <c r="DN269" s="330"/>
      <c r="DO269" s="330"/>
      <c r="DP269" s="330"/>
      <c r="DQ269" s="330"/>
      <c r="DR269" s="330"/>
      <c r="DS269" s="330"/>
      <c r="DT269" s="330"/>
      <c r="DU269" s="330"/>
      <c r="DV269" s="330"/>
      <c r="DW269" s="330"/>
      <c r="DX269" s="330"/>
      <c r="DY269" s="330"/>
      <c r="DZ269" s="330"/>
      <c r="EA269" s="330"/>
      <c r="EB269" s="330"/>
      <c r="EC269" s="330"/>
      <c r="ED269" s="330"/>
      <c r="EE269" s="330"/>
      <c r="EF269" s="330"/>
      <c r="EG269" s="330"/>
      <c r="EH269" s="330"/>
      <c r="EI269" s="330"/>
      <c r="EJ269" s="330"/>
      <c r="EK269" s="330"/>
      <c r="EL269" s="330"/>
      <c r="EM269" s="330"/>
      <c r="EN269" s="330"/>
      <c r="EO269" s="330"/>
      <c r="EP269" s="330"/>
      <c r="EQ269" s="330"/>
      <c r="ER269" s="330"/>
      <c r="ES269" s="330"/>
      <c r="ET269" s="330"/>
      <c r="EU269" s="330"/>
      <c r="EV269" s="330"/>
      <c r="EW269" s="330"/>
      <c r="EX269" s="330"/>
      <c r="EY269" s="1032">
        <f t="shared" si="20"/>
        <v>0.26</v>
      </c>
    </row>
    <row r="270" spans="1:166" ht="14.7" customHeight="1" x14ac:dyDescent="0.25">
      <c r="A270" s="421">
        <v>266</v>
      </c>
      <c r="B270" s="169" t="str">
        <f>'341-апельсин'!A9</f>
        <v>Апельсины с сахаром</v>
      </c>
      <c r="C270" s="419">
        <f>'341-апельсин'!C24</f>
        <v>115</v>
      </c>
      <c r="D270" s="1211">
        <f>0.9/115*C270</f>
        <v>0.9</v>
      </c>
      <c r="E270" s="1211">
        <f>0.2/115*C270</f>
        <v>0.2</v>
      </c>
      <c r="F270" s="1211">
        <f>23.1/115*C270</f>
        <v>23.1</v>
      </c>
      <c r="G270" s="1212">
        <f>103/115*C270</f>
        <v>103</v>
      </c>
      <c r="H270" s="419">
        <f>'341-апельсин'!J7</f>
        <v>341</v>
      </c>
      <c r="I270" s="483">
        <f>'341-апельсин'!F26</f>
        <v>19.62</v>
      </c>
      <c r="J270" s="330"/>
      <c r="K270" s="330"/>
      <c r="L270" s="330"/>
      <c r="M270" s="330"/>
      <c r="N270" s="330"/>
      <c r="O270" s="330"/>
      <c r="P270" s="330"/>
      <c r="Q270" s="330"/>
      <c r="R270" s="330"/>
      <c r="S270" s="330"/>
      <c r="T270" s="330"/>
      <c r="U270" s="330"/>
      <c r="V270" s="330"/>
      <c r="W270" s="330"/>
      <c r="X270" s="330"/>
      <c r="Y270" s="330"/>
      <c r="Z270" s="330"/>
      <c r="AA270" s="330"/>
      <c r="AB270" s="330"/>
      <c r="AC270" s="330"/>
      <c r="AD270" s="330"/>
      <c r="AE270" s="330"/>
      <c r="AF270" s="330"/>
      <c r="AG270" s="330"/>
      <c r="AH270" s="330"/>
      <c r="AI270" s="330"/>
      <c r="AJ270" s="330"/>
      <c r="AK270" s="330"/>
      <c r="AL270" s="330"/>
      <c r="AM270" s="330"/>
      <c r="AN270" s="330"/>
      <c r="AO270" s="330"/>
      <c r="AP270" s="330"/>
      <c r="AQ270" s="330"/>
      <c r="AR270" s="330"/>
      <c r="AS270" s="330"/>
      <c r="AT270" s="330"/>
      <c r="AU270" s="330"/>
      <c r="AV270" s="330"/>
      <c r="AW270" s="330"/>
      <c r="AX270" s="330"/>
      <c r="AY270" s="330"/>
      <c r="AZ270" s="330"/>
      <c r="BA270" s="330"/>
      <c r="BB270" s="330"/>
      <c r="BC270" s="330"/>
      <c r="BD270" s="330"/>
      <c r="BE270" s="330"/>
      <c r="BF270" s="330"/>
      <c r="BG270" s="330"/>
      <c r="BH270" s="330"/>
      <c r="BI270" s="330"/>
      <c r="BJ270" s="330"/>
      <c r="BK270" s="330">
        <f>'341-апельсин'!C19</f>
        <v>0.14899999999999999</v>
      </c>
      <c r="BL270" s="330"/>
      <c r="BM270" s="330"/>
      <c r="BN270" s="330"/>
      <c r="BO270" s="330"/>
      <c r="BP270" s="330"/>
      <c r="BQ270" s="330"/>
      <c r="BR270" s="330"/>
      <c r="BS270" s="330"/>
      <c r="BT270" s="330"/>
      <c r="BU270" s="330"/>
      <c r="BV270" s="330"/>
      <c r="BW270" s="330"/>
      <c r="BX270" s="330"/>
      <c r="BY270" s="330"/>
      <c r="BZ270" s="330"/>
      <c r="CA270" s="330"/>
      <c r="CB270" s="330"/>
      <c r="CC270" s="330"/>
      <c r="CD270" s="330"/>
      <c r="CE270" s="330"/>
      <c r="CF270" s="330"/>
      <c r="CG270" s="330"/>
      <c r="CH270" s="330"/>
      <c r="CI270" s="330"/>
      <c r="CJ270" s="330"/>
      <c r="CK270" s="330"/>
      <c r="CL270" s="330"/>
      <c r="CM270" s="330"/>
      <c r="CN270" s="330"/>
      <c r="CO270" s="330"/>
      <c r="CP270" s="330"/>
      <c r="CQ270" s="330"/>
      <c r="CR270" s="330"/>
      <c r="CS270" s="330"/>
      <c r="CT270" s="330"/>
      <c r="CU270" s="330"/>
      <c r="CV270" s="330"/>
      <c r="CW270" s="330"/>
      <c r="CX270" s="330"/>
      <c r="CY270" s="330"/>
      <c r="CZ270" s="330">
        <f>'341-апельсин'!C20</f>
        <v>1.4999999999999999E-2</v>
      </c>
      <c r="DA270" s="330"/>
      <c r="DB270" s="330"/>
      <c r="DC270" s="330"/>
      <c r="DD270" s="330"/>
      <c r="DE270" s="330"/>
      <c r="DF270" s="330"/>
      <c r="DG270" s="330"/>
      <c r="DH270" s="330"/>
      <c r="DI270" s="330"/>
      <c r="DJ270" s="330"/>
      <c r="DK270" s="330"/>
      <c r="DL270" s="330"/>
      <c r="DM270" s="330"/>
      <c r="DN270" s="330"/>
      <c r="DO270" s="330"/>
      <c r="DP270" s="330"/>
      <c r="DQ270" s="330"/>
      <c r="DR270" s="330"/>
      <c r="DS270" s="330"/>
      <c r="DT270" s="330"/>
      <c r="DU270" s="330"/>
      <c r="DV270" s="330"/>
      <c r="DW270" s="330"/>
      <c r="DX270" s="330"/>
      <c r="DY270" s="330"/>
      <c r="DZ270" s="330"/>
      <c r="EA270" s="330"/>
      <c r="EB270" s="330"/>
      <c r="EC270" s="330"/>
      <c r="ED270" s="330"/>
      <c r="EE270" s="330"/>
      <c r="EF270" s="330"/>
      <c r="EG270" s="330"/>
      <c r="EH270" s="330"/>
      <c r="EI270" s="330"/>
      <c r="EJ270" s="330"/>
      <c r="EK270" s="330"/>
      <c r="EL270" s="330"/>
      <c r="EM270" s="330"/>
      <c r="EN270" s="330"/>
      <c r="EO270" s="330"/>
      <c r="EP270" s="330"/>
      <c r="EQ270" s="330"/>
      <c r="ER270" s="330"/>
      <c r="ES270" s="330"/>
      <c r="ET270" s="330"/>
      <c r="EU270" s="330"/>
      <c r="EV270" s="330"/>
      <c r="EW270" s="330"/>
      <c r="EX270" s="330"/>
      <c r="EY270" s="1032">
        <f t="shared" si="20"/>
        <v>0.16400000000000001</v>
      </c>
    </row>
    <row r="271" spans="1:166" ht="14.7" customHeight="1" x14ac:dyDescent="0.25">
      <c r="A271" s="421">
        <v>267</v>
      </c>
      <c r="B271" s="169" t="str">
        <f>'341-мандарины'!A9</f>
        <v>Мандарины с сахаром</v>
      </c>
      <c r="C271" s="419">
        <f>'341-мандарины'!C24</f>
        <v>115</v>
      </c>
      <c r="D271" s="1211">
        <f>0.8/115*C271</f>
        <v>0.8</v>
      </c>
      <c r="E271" s="1211">
        <f>0.2/115*C271</f>
        <v>0.2</v>
      </c>
      <c r="F271" s="1211">
        <f>22.5/115*C271</f>
        <v>22.5</v>
      </c>
      <c r="G271" s="1212">
        <f>98/115*C271</f>
        <v>98</v>
      </c>
      <c r="H271" s="419">
        <f>'341-мандарины'!J7</f>
        <v>341</v>
      </c>
      <c r="I271" s="483">
        <f>'341-мандарины'!F26</f>
        <v>17.34</v>
      </c>
      <c r="J271" s="330"/>
      <c r="K271" s="330"/>
      <c r="L271" s="330"/>
      <c r="M271" s="330"/>
      <c r="N271" s="330"/>
      <c r="O271" s="330"/>
      <c r="P271" s="330"/>
      <c r="Q271" s="330"/>
      <c r="R271" s="330"/>
      <c r="S271" s="330"/>
      <c r="T271" s="330"/>
      <c r="U271" s="330"/>
      <c r="V271" s="330"/>
      <c r="W271" s="330"/>
      <c r="X271" s="330"/>
      <c r="Y271" s="330"/>
      <c r="Z271" s="330"/>
      <c r="AA271" s="330"/>
      <c r="AB271" s="330"/>
      <c r="AC271" s="330"/>
      <c r="AD271" s="330"/>
      <c r="AE271" s="330"/>
      <c r="AF271" s="330"/>
      <c r="AG271" s="330"/>
      <c r="AH271" s="330"/>
      <c r="AI271" s="330"/>
      <c r="AJ271" s="330"/>
      <c r="AK271" s="330"/>
      <c r="AL271" s="330"/>
      <c r="AM271" s="330"/>
      <c r="AN271" s="330"/>
      <c r="AO271" s="330"/>
      <c r="AP271" s="330"/>
      <c r="AQ271" s="330"/>
      <c r="AR271" s="330"/>
      <c r="AS271" s="330"/>
      <c r="AT271" s="330"/>
      <c r="AU271" s="330"/>
      <c r="AV271" s="330"/>
      <c r="AW271" s="330"/>
      <c r="AX271" s="330"/>
      <c r="AY271" s="330"/>
      <c r="AZ271" s="330"/>
      <c r="BA271" s="330"/>
      <c r="BB271" s="330"/>
      <c r="BC271" s="330"/>
      <c r="BD271" s="330"/>
      <c r="BE271" s="330"/>
      <c r="BF271" s="330"/>
      <c r="BG271" s="330"/>
      <c r="BH271" s="330"/>
      <c r="BI271" s="330"/>
      <c r="BJ271" s="330"/>
      <c r="BK271" s="330"/>
      <c r="BL271" s="330">
        <f>'341-мандарины'!C19</f>
        <v>0.13500000000000001</v>
      </c>
      <c r="BM271" s="330"/>
      <c r="BN271" s="330"/>
      <c r="BO271" s="330"/>
      <c r="BP271" s="330"/>
      <c r="BQ271" s="330"/>
      <c r="BR271" s="330"/>
      <c r="BS271" s="330"/>
      <c r="BT271" s="330"/>
      <c r="BU271" s="330"/>
      <c r="BV271" s="330"/>
      <c r="BW271" s="330"/>
      <c r="BX271" s="330"/>
      <c r="BY271" s="330"/>
      <c r="BZ271" s="330"/>
      <c r="CA271" s="330"/>
      <c r="CB271" s="330"/>
      <c r="CC271" s="330"/>
      <c r="CD271" s="330"/>
      <c r="CE271" s="330"/>
      <c r="CF271" s="330"/>
      <c r="CG271" s="330"/>
      <c r="CH271" s="330"/>
      <c r="CI271" s="330"/>
      <c r="CJ271" s="330"/>
      <c r="CK271" s="330"/>
      <c r="CL271" s="330"/>
      <c r="CM271" s="330"/>
      <c r="CN271" s="330"/>
      <c r="CO271" s="330"/>
      <c r="CP271" s="330"/>
      <c r="CQ271" s="330"/>
      <c r="CR271" s="330"/>
      <c r="CS271" s="330"/>
      <c r="CT271" s="330"/>
      <c r="CU271" s="330"/>
      <c r="CV271" s="330"/>
      <c r="CW271" s="330"/>
      <c r="CX271" s="330"/>
      <c r="CY271" s="330"/>
      <c r="CZ271" s="330">
        <f>'341-мандарины'!C20</f>
        <v>1.4999999999999999E-2</v>
      </c>
      <c r="DA271" s="330"/>
      <c r="DB271" s="330"/>
      <c r="DC271" s="330"/>
      <c r="DD271" s="330"/>
      <c r="DE271" s="330"/>
      <c r="DF271" s="330"/>
      <c r="DG271" s="330"/>
      <c r="DH271" s="330"/>
      <c r="DI271" s="330"/>
      <c r="DJ271" s="330"/>
      <c r="DK271" s="330"/>
      <c r="DL271" s="330"/>
      <c r="DM271" s="330"/>
      <c r="DN271" s="330"/>
      <c r="DO271" s="330"/>
      <c r="DP271" s="330"/>
      <c r="DQ271" s="330"/>
      <c r="DR271" s="330"/>
      <c r="DS271" s="330"/>
      <c r="DT271" s="330"/>
      <c r="DU271" s="330"/>
      <c r="DV271" s="330"/>
      <c r="DW271" s="330"/>
      <c r="DX271" s="330"/>
      <c r="DY271" s="330"/>
      <c r="DZ271" s="330"/>
      <c r="EA271" s="330"/>
      <c r="EB271" s="330"/>
      <c r="EC271" s="330"/>
      <c r="ED271" s="330"/>
      <c r="EE271" s="330"/>
      <c r="EF271" s="330"/>
      <c r="EG271" s="330"/>
      <c r="EH271" s="330"/>
      <c r="EI271" s="330"/>
      <c r="EJ271" s="330"/>
      <c r="EK271" s="330"/>
      <c r="EL271" s="330"/>
      <c r="EM271" s="330"/>
      <c r="EN271" s="330"/>
      <c r="EO271" s="330"/>
      <c r="EP271" s="330"/>
      <c r="EQ271" s="330"/>
      <c r="ER271" s="330"/>
      <c r="ES271" s="330"/>
      <c r="ET271" s="330"/>
      <c r="EU271" s="330"/>
      <c r="EV271" s="330"/>
      <c r="EW271" s="330"/>
      <c r="EX271" s="330"/>
      <c r="EY271" s="1032">
        <f t="shared" si="20"/>
        <v>0.15</v>
      </c>
    </row>
    <row r="272" spans="1:166" s="407" customFormat="1" ht="14.7" customHeight="1" x14ac:dyDescent="0.25">
      <c r="A272" s="421">
        <v>268</v>
      </c>
      <c r="B272" s="417" t="str">
        <f>'342-компот яблок'!A9</f>
        <v xml:space="preserve">Компот из яблок </v>
      </c>
      <c r="C272" s="419">
        <f>'342-компот яблок'!C26</f>
        <v>200</v>
      </c>
      <c r="D272" s="1211">
        <f>0.8/1000*C272</f>
        <v>0.16</v>
      </c>
      <c r="E272" s="1211">
        <f>0.8/1000*C272</f>
        <v>0.16</v>
      </c>
      <c r="F272" s="1211">
        <f>139.4/1000*C272</f>
        <v>27.88</v>
      </c>
      <c r="G272" s="1212">
        <f>573/1000*C272</f>
        <v>115</v>
      </c>
      <c r="H272" s="419">
        <f>'342-компот яблок'!J7</f>
        <v>342</v>
      </c>
      <c r="I272" s="483">
        <f>'342-компот яблок'!F28</f>
        <v>6.01</v>
      </c>
      <c r="J272" s="330"/>
      <c r="K272" s="330"/>
      <c r="L272" s="330"/>
      <c r="M272" s="330"/>
      <c r="N272" s="330"/>
      <c r="O272" s="330"/>
      <c r="P272" s="330"/>
      <c r="Q272" s="330"/>
      <c r="R272" s="330"/>
      <c r="S272" s="330"/>
      <c r="T272" s="330"/>
      <c r="U272" s="330"/>
      <c r="V272" s="330"/>
      <c r="W272" s="330"/>
      <c r="X272" s="330"/>
      <c r="Y272" s="330"/>
      <c r="Z272" s="330"/>
      <c r="AA272" s="330"/>
      <c r="AB272" s="330"/>
      <c r="AC272" s="330"/>
      <c r="AD272" s="330"/>
      <c r="AE272" s="330"/>
      <c r="AF272" s="330"/>
      <c r="AG272" s="330"/>
      <c r="AH272" s="330"/>
      <c r="AI272" s="330"/>
      <c r="AJ272" s="330"/>
      <c r="AK272" s="330"/>
      <c r="AL272" s="330"/>
      <c r="AM272" s="330"/>
      <c r="AN272" s="330"/>
      <c r="AO272" s="330"/>
      <c r="AP272" s="330"/>
      <c r="AQ272" s="330"/>
      <c r="AR272" s="330"/>
      <c r="AS272" s="330"/>
      <c r="AT272" s="330"/>
      <c r="AU272" s="330"/>
      <c r="AV272" s="330"/>
      <c r="AW272" s="330"/>
      <c r="AX272" s="330"/>
      <c r="AY272" s="330"/>
      <c r="AZ272" s="330"/>
      <c r="BA272" s="330"/>
      <c r="BB272" s="330"/>
      <c r="BC272" s="330"/>
      <c r="BD272" s="330"/>
      <c r="BE272" s="330"/>
      <c r="BF272" s="330"/>
      <c r="BG272" s="330"/>
      <c r="BH272" s="330"/>
      <c r="BI272" s="330"/>
      <c r="BJ272" s="330"/>
      <c r="BK272" s="330"/>
      <c r="BL272" s="330"/>
      <c r="BM272" s="330"/>
      <c r="BN272" s="330"/>
      <c r="BO272" s="330"/>
      <c r="BP272" s="330"/>
      <c r="BQ272" s="330"/>
      <c r="BR272" s="330">
        <f>'342-компот яблок'!C19/'342-компот яблок'!C25*'342-компот яблок'!C26</f>
        <v>4.5400000000000003E-2</v>
      </c>
      <c r="BS272" s="330"/>
      <c r="BT272" s="330"/>
      <c r="BU272" s="330"/>
      <c r="BV272" s="330"/>
      <c r="BW272" s="330"/>
      <c r="BX272" s="330"/>
      <c r="BY272" s="330"/>
      <c r="BZ272" s="330"/>
      <c r="CA272" s="330"/>
      <c r="CB272" s="330"/>
      <c r="CC272" s="330"/>
      <c r="CD272" s="330"/>
      <c r="CE272" s="330"/>
      <c r="CF272" s="330"/>
      <c r="CG272" s="330"/>
      <c r="CH272" s="330"/>
      <c r="CI272" s="330"/>
      <c r="CJ272" s="330"/>
      <c r="CK272" s="330"/>
      <c r="CL272" s="330"/>
      <c r="CM272" s="330"/>
      <c r="CN272" s="330"/>
      <c r="CO272" s="330"/>
      <c r="CP272" s="330"/>
      <c r="CQ272" s="330">
        <f>'342-компот яблок'!C21/'342-компот яблок'!C25*'342-компот яблок'!C26</f>
        <v>2.0000000000000001E-4</v>
      </c>
      <c r="CR272" s="330"/>
      <c r="CS272" s="330"/>
      <c r="CT272" s="330"/>
      <c r="CU272" s="330"/>
      <c r="CV272" s="330"/>
      <c r="CW272" s="330"/>
      <c r="CX272" s="330"/>
      <c r="CY272" s="330"/>
      <c r="CZ272" s="330">
        <f>'342-компот яблок'!C20/'342-компот яблок'!C25*'342-компот яблок'!C26</f>
        <v>2.4E-2</v>
      </c>
      <c r="DA272" s="330"/>
      <c r="DB272" s="330"/>
      <c r="DC272" s="330"/>
      <c r="DD272" s="330"/>
      <c r="DE272" s="330"/>
      <c r="DF272" s="330"/>
      <c r="DG272" s="330"/>
      <c r="DH272" s="330"/>
      <c r="DI272" s="330"/>
      <c r="DJ272" s="330"/>
      <c r="DK272" s="330"/>
      <c r="DL272" s="330"/>
      <c r="DM272" s="330"/>
      <c r="DN272" s="330"/>
      <c r="DO272" s="330"/>
      <c r="DP272" s="330"/>
      <c r="DQ272" s="330"/>
      <c r="DR272" s="330"/>
      <c r="DS272" s="330"/>
      <c r="DT272" s="330"/>
      <c r="DU272" s="330"/>
      <c r="DV272" s="330"/>
      <c r="DW272" s="330"/>
      <c r="DX272" s="330"/>
      <c r="DY272" s="330"/>
      <c r="DZ272" s="330"/>
      <c r="EA272" s="330"/>
      <c r="EB272" s="330"/>
      <c r="EC272" s="330"/>
      <c r="ED272" s="330"/>
      <c r="EE272" s="330"/>
      <c r="EF272" s="330"/>
      <c r="EG272" s="330"/>
      <c r="EH272" s="330"/>
      <c r="EI272" s="330"/>
      <c r="EJ272" s="330"/>
      <c r="EK272" s="330"/>
      <c r="EL272" s="330"/>
      <c r="EM272" s="330"/>
      <c r="EN272" s="330"/>
      <c r="EO272" s="330"/>
      <c r="EP272" s="330"/>
      <c r="EQ272" s="330"/>
      <c r="ER272" s="330"/>
      <c r="ES272" s="330"/>
      <c r="ET272" s="330"/>
      <c r="EU272" s="330"/>
      <c r="EV272" s="330"/>
      <c r="EW272" s="330"/>
      <c r="EX272" s="330"/>
      <c r="EY272" s="1032">
        <f t="shared" si="20"/>
        <v>6.9599999999999995E-2</v>
      </c>
      <c r="EZ272" s="616"/>
      <c r="FA272" s="616"/>
      <c r="FB272" s="616"/>
      <c r="FC272" s="616"/>
      <c r="FD272" s="616"/>
      <c r="FE272" s="616"/>
      <c r="FF272" s="616"/>
      <c r="FG272" s="616"/>
      <c r="FH272" s="616"/>
      <c r="FI272" s="616"/>
      <c r="FJ272" s="616"/>
    </row>
    <row r="273" spans="1:166" s="1181" customFormat="1" ht="14.7" customHeight="1" x14ac:dyDescent="0.25">
      <c r="A273" s="421">
        <v>269</v>
      </c>
      <c r="B273" s="417" t="str">
        <f>'342-компот вишня'!A9</f>
        <v>Компот из вишни</v>
      </c>
      <c r="C273" s="419">
        <f>'342-компот вишня'!C26</f>
        <v>200</v>
      </c>
      <c r="D273" s="1211">
        <f>1.6/1000*C273</f>
        <v>0.32</v>
      </c>
      <c r="E273" s="1211">
        <f>0.4/1000*C273</f>
        <v>0.08</v>
      </c>
      <c r="F273" s="1211">
        <f>141/1000*C273</f>
        <v>28.2</v>
      </c>
      <c r="G273" s="1212">
        <f>583/1000*C273</f>
        <v>117</v>
      </c>
      <c r="H273" s="419">
        <f>'342-компот вишня'!J7</f>
        <v>342</v>
      </c>
      <c r="I273" s="1234">
        <f>'342-компот вишня'!F28</f>
        <v>12.43</v>
      </c>
      <c r="J273" s="330"/>
      <c r="K273" s="330"/>
      <c r="L273" s="330"/>
      <c r="M273" s="330"/>
      <c r="N273" s="330"/>
      <c r="O273" s="330"/>
      <c r="P273" s="330"/>
      <c r="Q273" s="330"/>
      <c r="R273" s="330"/>
      <c r="S273" s="330"/>
      <c r="T273" s="330"/>
      <c r="U273" s="330"/>
      <c r="V273" s="330"/>
      <c r="W273" s="330"/>
      <c r="X273" s="330"/>
      <c r="Y273" s="330"/>
      <c r="Z273" s="330"/>
      <c r="AA273" s="330"/>
      <c r="AB273" s="330"/>
      <c r="AC273" s="330"/>
      <c r="AD273" s="330"/>
      <c r="AE273" s="330"/>
      <c r="AF273" s="330"/>
      <c r="AG273" s="330"/>
      <c r="AH273" s="330"/>
      <c r="AI273" s="330"/>
      <c r="AJ273" s="330"/>
      <c r="AK273" s="330"/>
      <c r="AL273" s="330"/>
      <c r="AM273" s="330"/>
      <c r="AN273" s="330"/>
      <c r="AO273" s="330"/>
      <c r="AP273" s="330"/>
      <c r="AQ273" s="330"/>
      <c r="AR273" s="330"/>
      <c r="AS273" s="330"/>
      <c r="AT273" s="330"/>
      <c r="AU273" s="330"/>
      <c r="AV273" s="330"/>
      <c r="AW273" s="330"/>
      <c r="AX273" s="330"/>
      <c r="AY273" s="330"/>
      <c r="AZ273" s="330"/>
      <c r="BA273" s="330"/>
      <c r="BB273" s="330"/>
      <c r="BC273" s="330"/>
      <c r="BD273" s="330"/>
      <c r="BE273" s="330"/>
      <c r="BF273" s="330"/>
      <c r="BG273" s="330">
        <f>'342-компот вишня'!C19/'342-компот вишня'!C27</f>
        <v>4.2200000000000001E-2</v>
      </c>
      <c r="BH273" s="330"/>
      <c r="BI273" s="330"/>
      <c r="BJ273" s="330"/>
      <c r="BK273" s="330"/>
      <c r="BL273" s="330"/>
      <c r="BM273" s="330"/>
      <c r="BN273" s="330"/>
      <c r="BO273" s="330"/>
      <c r="BP273" s="330"/>
      <c r="BQ273" s="330"/>
      <c r="BR273" s="330"/>
      <c r="BS273" s="330"/>
      <c r="BT273" s="330"/>
      <c r="BU273" s="330"/>
      <c r="BV273" s="330"/>
      <c r="BW273" s="330"/>
      <c r="BX273" s="330"/>
      <c r="BY273" s="330"/>
      <c r="BZ273" s="330"/>
      <c r="CA273" s="330"/>
      <c r="CB273" s="330"/>
      <c r="CC273" s="330"/>
      <c r="CD273" s="330"/>
      <c r="CE273" s="330"/>
      <c r="CF273" s="330"/>
      <c r="CG273" s="330"/>
      <c r="CH273" s="330"/>
      <c r="CI273" s="330"/>
      <c r="CJ273" s="330"/>
      <c r="CK273" s="330"/>
      <c r="CL273" s="330"/>
      <c r="CM273" s="330"/>
      <c r="CN273" s="330"/>
      <c r="CO273" s="330"/>
      <c r="CP273" s="330"/>
      <c r="CQ273" s="330">
        <f>'342-компот вишня'!C21/'342-компот вишня'!C27</f>
        <v>2.0000000000000001E-4</v>
      </c>
      <c r="CR273" s="330"/>
      <c r="CS273" s="330"/>
      <c r="CT273" s="330"/>
      <c r="CU273" s="330"/>
      <c r="CV273" s="330"/>
      <c r="CW273" s="330"/>
      <c r="CX273" s="330"/>
      <c r="CY273" s="330"/>
      <c r="CZ273" s="330">
        <f>'342-компот вишня'!C20/'342-компот вишня'!C27</f>
        <v>2.4E-2</v>
      </c>
      <c r="DA273" s="330"/>
      <c r="DB273" s="330"/>
      <c r="DC273" s="330"/>
      <c r="DD273" s="330"/>
      <c r="DE273" s="330"/>
      <c r="DF273" s="330"/>
      <c r="DG273" s="330"/>
      <c r="DH273" s="330"/>
      <c r="DI273" s="330"/>
      <c r="DJ273" s="330"/>
      <c r="DK273" s="330"/>
      <c r="DL273" s="330"/>
      <c r="DM273" s="330"/>
      <c r="DN273" s="330"/>
      <c r="DO273" s="330"/>
      <c r="DP273" s="330"/>
      <c r="DQ273" s="330"/>
      <c r="DR273" s="330"/>
      <c r="DS273" s="330"/>
      <c r="DT273" s="330"/>
      <c r="DU273" s="330"/>
      <c r="DV273" s="330"/>
      <c r="DW273" s="330"/>
      <c r="DX273" s="330"/>
      <c r="DY273" s="330"/>
      <c r="DZ273" s="330"/>
      <c r="EA273" s="330"/>
      <c r="EB273" s="330"/>
      <c r="EC273" s="330"/>
      <c r="ED273" s="330"/>
      <c r="EE273" s="330"/>
      <c r="EF273" s="330"/>
      <c r="EG273" s="330"/>
      <c r="EH273" s="330"/>
      <c r="EI273" s="330"/>
      <c r="EJ273" s="330"/>
      <c r="EK273" s="330"/>
      <c r="EL273" s="330"/>
      <c r="EM273" s="330"/>
      <c r="EN273" s="330"/>
      <c r="EO273" s="330"/>
      <c r="EP273" s="330"/>
      <c r="EQ273" s="330"/>
      <c r="ER273" s="330"/>
      <c r="ES273" s="330"/>
      <c r="ET273" s="330"/>
      <c r="EU273" s="330"/>
      <c r="EV273" s="330"/>
      <c r="EW273" s="330"/>
      <c r="EX273" s="330"/>
      <c r="EY273" s="1032">
        <f t="shared" si="20"/>
        <v>6.6400000000000001E-2</v>
      </c>
      <c r="EZ273" s="616"/>
      <c r="FA273" s="616"/>
      <c r="FB273" s="616"/>
      <c r="FC273" s="616"/>
      <c r="FD273" s="616"/>
      <c r="FE273" s="616"/>
      <c r="FF273" s="616"/>
      <c r="FG273" s="616"/>
      <c r="FH273" s="616"/>
      <c r="FI273" s="616"/>
      <c r="FJ273" s="616"/>
    </row>
    <row r="274" spans="1:166" s="1181" customFormat="1" ht="14.7" customHeight="1" x14ac:dyDescent="0.25">
      <c r="A274" s="421">
        <v>270</v>
      </c>
      <c r="B274" s="417" t="str">
        <f>'342-компот абрикос'!A9</f>
        <v>Компот из абрикосов</v>
      </c>
      <c r="C274" s="419">
        <f>'342-компот абрикос'!C26</f>
        <v>200</v>
      </c>
      <c r="D274" s="1211">
        <f>1.8/1000*C274</f>
        <v>0.36</v>
      </c>
      <c r="E274" s="1211">
        <f>0.2/1000*C274</f>
        <v>0.04</v>
      </c>
      <c r="F274" s="1211">
        <f>137.8/1000*C274</f>
        <v>27.56</v>
      </c>
      <c r="G274" s="1212">
        <f>567/1000*C274</f>
        <v>113</v>
      </c>
      <c r="H274" s="419">
        <f>'342-компот абрикос'!J7</f>
        <v>342</v>
      </c>
      <c r="I274" s="1234">
        <f>'342-компот абрикос'!F28</f>
        <v>10.27</v>
      </c>
      <c r="J274" s="330"/>
      <c r="K274" s="330"/>
      <c r="L274" s="330"/>
      <c r="M274" s="330"/>
      <c r="N274" s="330"/>
      <c r="O274" s="330"/>
      <c r="P274" s="330"/>
      <c r="Q274" s="330"/>
      <c r="R274" s="330"/>
      <c r="S274" s="330"/>
      <c r="T274" s="330"/>
      <c r="U274" s="330"/>
      <c r="V274" s="330"/>
      <c r="W274" s="330"/>
      <c r="X274" s="330"/>
      <c r="Y274" s="330"/>
      <c r="Z274" s="330"/>
      <c r="AA274" s="330"/>
      <c r="AB274" s="330"/>
      <c r="AC274" s="330"/>
      <c r="AD274" s="330"/>
      <c r="AE274" s="330"/>
      <c r="AF274" s="330"/>
      <c r="AG274" s="330"/>
      <c r="AH274" s="330"/>
      <c r="AI274" s="330"/>
      <c r="AJ274" s="330"/>
      <c r="AK274" s="330"/>
      <c r="AL274" s="330"/>
      <c r="AM274" s="330"/>
      <c r="AN274" s="330"/>
      <c r="AO274" s="330"/>
      <c r="AP274" s="330"/>
      <c r="AQ274" s="330"/>
      <c r="AR274" s="330"/>
      <c r="AS274" s="330"/>
      <c r="AT274" s="330"/>
      <c r="AU274" s="330"/>
      <c r="AV274" s="330"/>
      <c r="AW274" s="330"/>
      <c r="AX274" s="330"/>
      <c r="AY274" s="330"/>
      <c r="AZ274" s="330"/>
      <c r="BA274" s="330"/>
      <c r="BB274" s="330"/>
      <c r="BC274" s="330"/>
      <c r="BD274" s="330"/>
      <c r="BE274" s="330"/>
      <c r="BF274" s="330"/>
      <c r="BG274" s="330"/>
      <c r="BH274" s="330"/>
      <c r="BI274" s="330"/>
      <c r="BJ274" s="330"/>
      <c r="BK274" s="330"/>
      <c r="BL274" s="330"/>
      <c r="BM274" s="330"/>
      <c r="BN274" s="330"/>
      <c r="BO274" s="330">
        <f>'342-компот абрикос'!C19/'342-компот абрикос'!C27</f>
        <v>4.6600000000000003E-2</v>
      </c>
      <c r="BP274" s="330"/>
      <c r="BQ274" s="330"/>
      <c r="BR274" s="330"/>
      <c r="BS274" s="330"/>
      <c r="BT274" s="330"/>
      <c r="BU274" s="330"/>
      <c r="BV274" s="330"/>
      <c r="BW274" s="330"/>
      <c r="BX274" s="330"/>
      <c r="BY274" s="330"/>
      <c r="BZ274" s="330"/>
      <c r="CA274" s="330"/>
      <c r="CB274" s="330"/>
      <c r="CC274" s="330"/>
      <c r="CD274" s="330"/>
      <c r="CE274" s="330"/>
      <c r="CF274" s="330"/>
      <c r="CG274" s="330"/>
      <c r="CH274" s="330"/>
      <c r="CI274" s="330"/>
      <c r="CJ274" s="330"/>
      <c r="CK274" s="330"/>
      <c r="CL274" s="330"/>
      <c r="CM274" s="330"/>
      <c r="CN274" s="330"/>
      <c r="CO274" s="330"/>
      <c r="CP274" s="330"/>
      <c r="CQ274" s="330">
        <f>'342-компот абрикос'!C21/'342-компот абрикос'!C27</f>
        <v>2.0000000000000001E-4</v>
      </c>
      <c r="CR274" s="330"/>
      <c r="CS274" s="330"/>
      <c r="CT274" s="330"/>
      <c r="CU274" s="330"/>
      <c r="CV274" s="330"/>
      <c r="CW274" s="330"/>
      <c r="CX274" s="330"/>
      <c r="CY274" s="330"/>
      <c r="CZ274" s="330">
        <f>'342-компот абрикос'!C20/'342-компот абрикос'!C27</f>
        <v>2.4E-2</v>
      </c>
      <c r="DA274" s="330"/>
      <c r="DB274" s="330"/>
      <c r="DC274" s="330"/>
      <c r="DD274" s="330"/>
      <c r="DE274" s="330"/>
      <c r="DF274" s="330"/>
      <c r="DG274" s="330"/>
      <c r="DH274" s="330"/>
      <c r="DI274" s="330"/>
      <c r="DJ274" s="330"/>
      <c r="DK274" s="330"/>
      <c r="DL274" s="330"/>
      <c r="DM274" s="330"/>
      <c r="DN274" s="330"/>
      <c r="DO274" s="330"/>
      <c r="DP274" s="330"/>
      <c r="DQ274" s="330"/>
      <c r="DR274" s="330"/>
      <c r="DS274" s="330"/>
      <c r="DT274" s="330"/>
      <c r="DU274" s="330"/>
      <c r="DV274" s="330"/>
      <c r="DW274" s="330"/>
      <c r="DX274" s="330"/>
      <c r="DY274" s="330"/>
      <c r="DZ274" s="330"/>
      <c r="EA274" s="330"/>
      <c r="EB274" s="330"/>
      <c r="EC274" s="330"/>
      <c r="ED274" s="330"/>
      <c r="EE274" s="330"/>
      <c r="EF274" s="330"/>
      <c r="EG274" s="330"/>
      <c r="EH274" s="330"/>
      <c r="EI274" s="330"/>
      <c r="EJ274" s="330"/>
      <c r="EK274" s="330"/>
      <c r="EL274" s="330"/>
      <c r="EM274" s="330"/>
      <c r="EN274" s="330"/>
      <c r="EO274" s="330"/>
      <c r="EP274" s="330"/>
      <c r="EQ274" s="330"/>
      <c r="ER274" s="330"/>
      <c r="ES274" s="330"/>
      <c r="ET274" s="330"/>
      <c r="EU274" s="330"/>
      <c r="EV274" s="330"/>
      <c r="EW274" s="330"/>
      <c r="EX274" s="330"/>
      <c r="EY274" s="1032">
        <f t="shared" si="20"/>
        <v>7.0800000000000002E-2</v>
      </c>
      <c r="EZ274" s="616"/>
      <c r="FA274" s="616"/>
      <c r="FB274" s="616"/>
      <c r="FC274" s="616"/>
      <c r="FD274" s="616"/>
      <c r="FE274" s="616"/>
      <c r="FF274" s="616"/>
      <c r="FG274" s="616"/>
      <c r="FH274" s="616"/>
      <c r="FI274" s="616"/>
      <c r="FJ274" s="616"/>
    </row>
    <row r="275" spans="1:166" ht="14.7" customHeight="1" x14ac:dyDescent="0.25">
      <c r="A275" s="421">
        <v>271</v>
      </c>
      <c r="B275" s="417" t="str">
        <f>'344-компот яблок и слив'!A9</f>
        <v>Компот из яблок и слив</v>
      </c>
      <c r="C275" s="419">
        <f>'344-компот яблок и слив'!C27</f>
        <v>200</v>
      </c>
      <c r="D275" s="1211">
        <f>1.2/1000*C275</f>
        <v>0.24</v>
      </c>
      <c r="E275" s="1211">
        <f>0.7/1000*C275</f>
        <v>0.14000000000000001</v>
      </c>
      <c r="F275" s="1211">
        <f>139.2/1000*C275</f>
        <v>27.84</v>
      </c>
      <c r="G275" s="1212">
        <f>575/1000*C275</f>
        <v>115</v>
      </c>
      <c r="H275" s="419">
        <f>'344-компот яблок и слив'!J7</f>
        <v>344</v>
      </c>
      <c r="I275" s="1234">
        <f>'344-компот яблок и слив'!F29</f>
        <v>6.18</v>
      </c>
      <c r="J275" s="330"/>
      <c r="K275" s="330"/>
      <c r="L275" s="330"/>
      <c r="M275" s="330"/>
      <c r="N275" s="330"/>
      <c r="O275" s="330"/>
      <c r="P275" s="330"/>
      <c r="Q275" s="330"/>
      <c r="R275" s="330"/>
      <c r="S275" s="330"/>
      <c r="T275" s="330"/>
      <c r="U275" s="330"/>
      <c r="V275" s="330"/>
      <c r="W275" s="330"/>
      <c r="X275" s="330"/>
      <c r="Y275" s="330"/>
      <c r="Z275" s="330"/>
      <c r="AA275" s="330"/>
      <c r="AB275" s="330"/>
      <c r="AC275" s="330"/>
      <c r="AD275" s="330"/>
      <c r="AE275" s="330"/>
      <c r="AF275" s="330"/>
      <c r="AG275" s="330"/>
      <c r="AH275" s="330"/>
      <c r="AI275" s="330"/>
      <c r="AJ275" s="330"/>
      <c r="AK275" s="330"/>
      <c r="AL275" s="330"/>
      <c r="AM275" s="330"/>
      <c r="AN275" s="330"/>
      <c r="AO275" s="330"/>
      <c r="AP275" s="330"/>
      <c r="AQ275" s="330"/>
      <c r="AR275" s="330"/>
      <c r="AS275" s="330"/>
      <c r="AT275" s="330"/>
      <c r="AU275" s="330"/>
      <c r="AV275" s="330"/>
      <c r="AW275" s="330"/>
      <c r="AX275" s="330"/>
      <c r="AY275" s="330"/>
      <c r="AZ275" s="330"/>
      <c r="BA275" s="330"/>
      <c r="BB275" s="330">
        <f>'344-компот яблок и слив'!C20/1000*200</f>
        <v>2.2200000000000001E-2</v>
      </c>
      <c r="BC275" s="330"/>
      <c r="BD275" s="330"/>
      <c r="BE275" s="330"/>
      <c r="BF275" s="330"/>
      <c r="BG275" s="330"/>
      <c r="BH275" s="330"/>
      <c r="BI275" s="330"/>
      <c r="BJ275" s="330"/>
      <c r="BK275" s="330"/>
      <c r="BL275" s="330"/>
      <c r="BM275" s="330"/>
      <c r="BN275" s="330"/>
      <c r="BO275" s="330"/>
      <c r="BP275" s="330"/>
      <c r="BQ275" s="330"/>
      <c r="BR275" s="330">
        <f>'344-компот яблок и слив'!C19/1000*200</f>
        <v>2.2800000000000001E-2</v>
      </c>
      <c r="BS275" s="330"/>
      <c r="BT275" s="330"/>
      <c r="BU275" s="330"/>
      <c r="BV275" s="330"/>
      <c r="BW275" s="330"/>
      <c r="BX275" s="330"/>
      <c r="BY275" s="330"/>
      <c r="BZ275" s="330"/>
      <c r="CA275" s="330"/>
      <c r="CB275" s="330"/>
      <c r="CC275" s="330"/>
      <c r="CD275" s="330"/>
      <c r="CE275" s="330"/>
      <c r="CF275" s="330"/>
      <c r="CG275" s="330"/>
      <c r="CH275" s="330"/>
      <c r="CI275" s="330"/>
      <c r="CJ275" s="330"/>
      <c r="CK275" s="330"/>
      <c r="CL275" s="330"/>
      <c r="CM275" s="330"/>
      <c r="CN275" s="330"/>
      <c r="CO275" s="330"/>
      <c r="CP275" s="330"/>
      <c r="CQ275" s="330">
        <f>'344-компот яблок и слив'!C22/1000*200</f>
        <v>2.0000000000000001E-4</v>
      </c>
      <c r="CR275" s="330"/>
      <c r="CS275" s="330"/>
      <c r="CT275" s="330"/>
      <c r="CU275" s="330"/>
      <c r="CV275" s="330"/>
      <c r="CW275" s="330"/>
      <c r="CX275" s="330"/>
      <c r="CY275" s="330"/>
      <c r="CZ275" s="330">
        <f>'344-компот яблок и слив'!C21/1000*200</f>
        <v>2.4E-2</v>
      </c>
      <c r="DA275" s="330"/>
      <c r="DB275" s="330"/>
      <c r="DC275" s="330"/>
      <c r="DD275" s="330"/>
      <c r="DE275" s="330"/>
      <c r="DF275" s="330"/>
      <c r="DG275" s="330"/>
      <c r="DH275" s="330"/>
      <c r="DI275" s="330"/>
      <c r="DJ275" s="330"/>
      <c r="DK275" s="330"/>
      <c r="DL275" s="330"/>
      <c r="DM275" s="330"/>
      <c r="DN275" s="330"/>
      <c r="DO275" s="330"/>
      <c r="DP275" s="330"/>
      <c r="DQ275" s="330"/>
      <c r="DR275" s="330"/>
      <c r="DS275" s="330"/>
      <c r="DT275" s="330"/>
      <c r="DU275" s="330"/>
      <c r="DV275" s="330"/>
      <c r="DW275" s="330"/>
      <c r="DX275" s="330"/>
      <c r="DY275" s="330"/>
      <c r="DZ275" s="330"/>
      <c r="EA275" s="330"/>
      <c r="EB275" s="330"/>
      <c r="EC275" s="330"/>
      <c r="ED275" s="330"/>
      <c r="EE275" s="330"/>
      <c r="EF275" s="330"/>
      <c r="EG275" s="330"/>
      <c r="EH275" s="330"/>
      <c r="EI275" s="330"/>
      <c r="EJ275" s="330"/>
      <c r="EK275" s="330"/>
      <c r="EL275" s="330"/>
      <c r="EM275" s="330"/>
      <c r="EN275" s="330"/>
      <c r="EO275" s="330"/>
      <c r="EP275" s="330"/>
      <c r="EQ275" s="330"/>
      <c r="ER275" s="330"/>
      <c r="ES275" s="330"/>
      <c r="ET275" s="330"/>
      <c r="EU275" s="330"/>
      <c r="EV275" s="330"/>
      <c r="EW275" s="330"/>
      <c r="EX275" s="330"/>
      <c r="EY275" s="1032">
        <f t="shared" si="20"/>
        <v>6.9199999999999998E-2</v>
      </c>
    </row>
    <row r="276" spans="1:166" s="1202" customFormat="1" ht="14.7" customHeight="1" x14ac:dyDescent="0.25">
      <c r="A276" s="421">
        <v>272</v>
      </c>
      <c r="B276" s="417" t="str">
        <f>'346-компот апельсины'!A9</f>
        <v xml:space="preserve">Компот из апельсинов </v>
      </c>
      <c r="C276" s="419">
        <f>'346-компот апельсины'!C26</f>
        <v>200</v>
      </c>
      <c r="D276" s="1211">
        <f>2.25/1000*C276</f>
        <v>0.45</v>
      </c>
      <c r="E276" s="1211">
        <f>0.5/1000*C276</f>
        <v>0.1</v>
      </c>
      <c r="F276" s="1211">
        <f>168.95/1000*C276</f>
        <v>33.79</v>
      </c>
      <c r="G276" s="1212">
        <f>706/1000*C276</f>
        <v>141</v>
      </c>
      <c r="H276" s="419">
        <f>'346-компот апельсины'!J7</f>
        <v>346</v>
      </c>
      <c r="I276" s="1234">
        <f>'346-компот апельсины'!F28</f>
        <v>12.15</v>
      </c>
      <c r="J276" s="330"/>
      <c r="K276" s="330"/>
      <c r="L276" s="330"/>
      <c r="M276" s="330"/>
      <c r="N276" s="330"/>
      <c r="O276" s="330"/>
      <c r="P276" s="330"/>
      <c r="Q276" s="330"/>
      <c r="R276" s="330"/>
      <c r="S276" s="330"/>
      <c r="T276" s="330"/>
      <c r="U276" s="330"/>
      <c r="V276" s="330"/>
      <c r="W276" s="330"/>
      <c r="X276" s="330"/>
      <c r="Y276" s="330"/>
      <c r="Z276" s="330"/>
      <c r="AA276" s="330"/>
      <c r="AB276" s="330"/>
      <c r="AC276" s="330"/>
      <c r="AD276" s="330"/>
      <c r="AE276" s="330"/>
      <c r="AF276" s="330"/>
      <c r="AG276" s="330"/>
      <c r="AH276" s="330"/>
      <c r="AI276" s="330"/>
      <c r="AJ276" s="330"/>
      <c r="AK276" s="330"/>
      <c r="AL276" s="330"/>
      <c r="AM276" s="330"/>
      <c r="AN276" s="330"/>
      <c r="AO276" s="330"/>
      <c r="AP276" s="330"/>
      <c r="AQ276" s="330"/>
      <c r="AR276" s="330"/>
      <c r="AS276" s="330"/>
      <c r="AT276" s="330"/>
      <c r="AU276" s="330"/>
      <c r="AV276" s="330"/>
      <c r="AW276" s="330"/>
      <c r="AX276" s="330"/>
      <c r="AY276" s="330"/>
      <c r="AZ276" s="330"/>
      <c r="BA276" s="330"/>
      <c r="BB276" s="330"/>
      <c r="BC276" s="330"/>
      <c r="BD276" s="330"/>
      <c r="BE276" s="330"/>
      <c r="BF276" s="330"/>
      <c r="BG276" s="330"/>
      <c r="BH276" s="330"/>
      <c r="BI276" s="330"/>
      <c r="BJ276" s="330"/>
      <c r="BK276" s="330">
        <f>('346-компот апельсины'!C19+'346-компот апельсины'!C21)/'346-компот апельсины'!C27</f>
        <v>7.9600000000000004E-2</v>
      </c>
      <c r="BL276" s="330"/>
      <c r="BM276" s="330"/>
      <c r="BN276" s="330"/>
      <c r="BO276" s="330"/>
      <c r="BP276" s="330"/>
      <c r="BQ276" s="330"/>
      <c r="BR276" s="330"/>
      <c r="BS276" s="330"/>
      <c r="BT276" s="330"/>
      <c r="BU276" s="330"/>
      <c r="BV276" s="330"/>
      <c r="BW276" s="330"/>
      <c r="BX276" s="330"/>
      <c r="BY276" s="330"/>
      <c r="BZ276" s="330"/>
      <c r="CA276" s="330"/>
      <c r="CB276" s="330"/>
      <c r="CC276" s="330"/>
      <c r="CD276" s="330"/>
      <c r="CE276" s="330"/>
      <c r="CF276" s="330"/>
      <c r="CG276" s="330"/>
      <c r="CH276" s="330"/>
      <c r="CI276" s="330"/>
      <c r="CJ276" s="330"/>
      <c r="CK276" s="330"/>
      <c r="CL276" s="330"/>
      <c r="CM276" s="330"/>
      <c r="CN276" s="330"/>
      <c r="CO276" s="330"/>
      <c r="CP276" s="330"/>
      <c r="CQ276" s="330"/>
      <c r="CR276" s="330"/>
      <c r="CS276" s="330"/>
      <c r="CT276" s="330"/>
      <c r="CU276" s="330"/>
      <c r="CV276" s="330"/>
      <c r="CW276" s="330"/>
      <c r="CX276" s="330"/>
      <c r="CY276" s="330"/>
      <c r="CZ276" s="330">
        <f>'346-компот апельсины'!C20/'346-компот апельсины'!C27</f>
        <v>0.03</v>
      </c>
      <c r="DA276" s="330"/>
      <c r="DB276" s="330"/>
      <c r="DC276" s="330"/>
      <c r="DD276" s="330"/>
      <c r="DE276" s="330"/>
      <c r="DF276" s="330"/>
      <c r="DG276" s="330"/>
      <c r="DH276" s="330"/>
      <c r="DI276" s="330"/>
      <c r="DJ276" s="330"/>
      <c r="DK276" s="330"/>
      <c r="DL276" s="330"/>
      <c r="DM276" s="330"/>
      <c r="DN276" s="330"/>
      <c r="DO276" s="330"/>
      <c r="DP276" s="330"/>
      <c r="DQ276" s="330"/>
      <c r="DR276" s="330"/>
      <c r="DS276" s="330"/>
      <c r="DT276" s="330"/>
      <c r="DU276" s="330"/>
      <c r="DV276" s="330"/>
      <c r="DW276" s="330"/>
      <c r="DX276" s="330"/>
      <c r="DY276" s="330"/>
      <c r="DZ276" s="330"/>
      <c r="EA276" s="330"/>
      <c r="EB276" s="330"/>
      <c r="EC276" s="330"/>
      <c r="ED276" s="330"/>
      <c r="EE276" s="330"/>
      <c r="EF276" s="330"/>
      <c r="EG276" s="330"/>
      <c r="EH276" s="330"/>
      <c r="EI276" s="330"/>
      <c r="EJ276" s="330"/>
      <c r="EK276" s="330"/>
      <c r="EL276" s="330"/>
      <c r="EM276" s="330"/>
      <c r="EN276" s="330"/>
      <c r="EO276" s="330"/>
      <c r="EP276" s="330"/>
      <c r="EQ276" s="330"/>
      <c r="ER276" s="330"/>
      <c r="ES276" s="330"/>
      <c r="ET276" s="330"/>
      <c r="EU276" s="330"/>
      <c r="EV276" s="330"/>
      <c r="EW276" s="330"/>
      <c r="EX276" s="330"/>
      <c r="EY276" s="1032">
        <f t="shared" si="20"/>
        <v>0.1096</v>
      </c>
      <c r="EZ276" s="616"/>
      <c r="FA276" s="616"/>
      <c r="FB276" s="616"/>
      <c r="FC276" s="616"/>
      <c r="FD276" s="616"/>
      <c r="FE276" s="616"/>
      <c r="FF276" s="616"/>
      <c r="FG276" s="616"/>
      <c r="FH276" s="616"/>
      <c r="FI276" s="616"/>
      <c r="FJ276" s="616"/>
    </row>
    <row r="277" spans="1:166" s="1202" customFormat="1" ht="14.7" customHeight="1" x14ac:dyDescent="0.25">
      <c r="A277" s="421">
        <v>273</v>
      </c>
      <c r="B277" s="417" t="str">
        <f>'346-компот мандарины'!A9</f>
        <v>Компот из мандаринов</v>
      </c>
      <c r="C277" s="419">
        <f>'346-компот мандарины'!C26</f>
        <v>200</v>
      </c>
      <c r="D277" s="1211">
        <f>2/1000*C277</f>
        <v>0.4</v>
      </c>
      <c r="E277" s="1211">
        <f>0.5/1000*C277</f>
        <v>0.1</v>
      </c>
      <c r="F277" s="1211">
        <f>168.45/1000*C277</f>
        <v>33.69</v>
      </c>
      <c r="G277" s="1212">
        <f>694/1000*D277</f>
        <v>0</v>
      </c>
      <c r="H277" s="419">
        <f>'346-компот мандарины'!J7</f>
        <v>346</v>
      </c>
      <c r="I277" s="1234">
        <f>'346-компот мандарины'!F28</f>
        <v>10.99</v>
      </c>
      <c r="J277" s="330"/>
      <c r="K277" s="330"/>
      <c r="L277" s="330"/>
      <c r="M277" s="330"/>
      <c r="N277" s="330"/>
      <c r="O277" s="330"/>
      <c r="P277" s="330"/>
      <c r="Q277" s="330"/>
      <c r="R277" s="330"/>
      <c r="S277" s="330"/>
      <c r="T277" s="330"/>
      <c r="U277" s="330"/>
      <c r="V277" s="330"/>
      <c r="W277" s="330"/>
      <c r="X277" s="330"/>
      <c r="Y277" s="330"/>
      <c r="Z277" s="330"/>
      <c r="AA277" s="330"/>
      <c r="AB277" s="330"/>
      <c r="AC277" s="330"/>
      <c r="AD277" s="330"/>
      <c r="AE277" s="330"/>
      <c r="AF277" s="330"/>
      <c r="AG277" s="330"/>
      <c r="AH277" s="330"/>
      <c r="AI277" s="330"/>
      <c r="AJ277" s="330"/>
      <c r="AK277" s="330"/>
      <c r="AL277" s="330"/>
      <c r="AM277" s="330"/>
      <c r="AN277" s="330"/>
      <c r="AO277" s="330"/>
      <c r="AP277" s="330"/>
      <c r="AQ277" s="330"/>
      <c r="AR277" s="330"/>
      <c r="AS277" s="330"/>
      <c r="AT277" s="330"/>
      <c r="AU277" s="330"/>
      <c r="AV277" s="330"/>
      <c r="AW277" s="330"/>
      <c r="AX277" s="330"/>
      <c r="AY277" s="330"/>
      <c r="AZ277" s="330"/>
      <c r="BA277" s="330"/>
      <c r="BB277" s="330"/>
      <c r="BC277" s="330"/>
      <c r="BD277" s="330"/>
      <c r="BE277" s="330"/>
      <c r="BF277" s="330"/>
      <c r="BG277" s="330"/>
      <c r="BH277" s="330"/>
      <c r="BI277" s="330"/>
      <c r="BJ277" s="330"/>
      <c r="BK277" s="330"/>
      <c r="BL277" s="330">
        <f>('346-компот мандарины'!C19+'346-компот мандарины'!C21)/'346-компот мандарины'!C27</f>
        <v>7.2599999999999998E-2</v>
      </c>
      <c r="BM277" s="330"/>
      <c r="BN277" s="330"/>
      <c r="BO277" s="330"/>
      <c r="BP277" s="330"/>
      <c r="BQ277" s="330"/>
      <c r="BR277" s="330"/>
      <c r="BS277" s="330"/>
      <c r="BT277" s="330"/>
      <c r="BU277" s="330"/>
      <c r="BV277" s="330"/>
      <c r="BW277" s="330"/>
      <c r="BX277" s="330"/>
      <c r="BY277" s="330"/>
      <c r="BZ277" s="330"/>
      <c r="CA277" s="330"/>
      <c r="CB277" s="330"/>
      <c r="CC277" s="330"/>
      <c r="CD277" s="330"/>
      <c r="CE277" s="330"/>
      <c r="CF277" s="330"/>
      <c r="CG277" s="330"/>
      <c r="CH277" s="330"/>
      <c r="CI277" s="330"/>
      <c r="CJ277" s="330"/>
      <c r="CK277" s="330"/>
      <c r="CL277" s="330"/>
      <c r="CM277" s="330"/>
      <c r="CN277" s="330"/>
      <c r="CO277" s="330"/>
      <c r="CP277" s="330"/>
      <c r="CQ277" s="330"/>
      <c r="CR277" s="330"/>
      <c r="CS277" s="330"/>
      <c r="CT277" s="330"/>
      <c r="CU277" s="330"/>
      <c r="CV277" s="330"/>
      <c r="CW277" s="330"/>
      <c r="CX277" s="330"/>
      <c r="CY277" s="330"/>
      <c r="CZ277" s="330">
        <f>'346-компот мандарины'!C20/'346-компот мандарины'!C27</f>
        <v>0.03</v>
      </c>
      <c r="DA277" s="330"/>
      <c r="DB277" s="330"/>
      <c r="DC277" s="330"/>
      <c r="DD277" s="330"/>
      <c r="DE277" s="330"/>
      <c r="DF277" s="330"/>
      <c r="DG277" s="330"/>
      <c r="DH277" s="330"/>
      <c r="DI277" s="330"/>
      <c r="DJ277" s="330"/>
      <c r="DK277" s="330"/>
      <c r="DL277" s="330"/>
      <c r="DM277" s="330"/>
      <c r="DN277" s="330"/>
      <c r="DO277" s="330"/>
      <c r="DP277" s="330"/>
      <c r="DQ277" s="330"/>
      <c r="DR277" s="330"/>
      <c r="DS277" s="330"/>
      <c r="DT277" s="330"/>
      <c r="DU277" s="330"/>
      <c r="DV277" s="330"/>
      <c r="DW277" s="330"/>
      <c r="DX277" s="330"/>
      <c r="DY277" s="330"/>
      <c r="DZ277" s="330"/>
      <c r="EA277" s="330"/>
      <c r="EB277" s="330"/>
      <c r="EC277" s="330"/>
      <c r="ED277" s="330"/>
      <c r="EE277" s="330"/>
      <c r="EF277" s="330"/>
      <c r="EG277" s="330"/>
      <c r="EH277" s="330"/>
      <c r="EI277" s="330"/>
      <c r="EJ277" s="330"/>
      <c r="EK277" s="330"/>
      <c r="EL277" s="330"/>
      <c r="EM277" s="330"/>
      <c r="EN277" s="330"/>
      <c r="EO277" s="330"/>
      <c r="EP277" s="330"/>
      <c r="EQ277" s="330"/>
      <c r="ER277" s="330"/>
      <c r="ES277" s="330"/>
      <c r="ET277" s="330"/>
      <c r="EU277" s="330"/>
      <c r="EV277" s="330"/>
      <c r="EW277" s="330"/>
      <c r="EX277" s="330"/>
      <c r="EY277" s="1032">
        <f t="shared" si="20"/>
        <v>0.1026</v>
      </c>
      <c r="EZ277" s="616"/>
      <c r="FA277" s="616"/>
      <c r="FB277" s="616"/>
      <c r="FC277" s="616"/>
      <c r="FD277" s="616"/>
      <c r="FE277" s="616"/>
      <c r="FF277" s="616"/>
      <c r="FG277" s="616"/>
      <c r="FH277" s="616"/>
      <c r="FI277" s="616"/>
      <c r="FJ277" s="616"/>
    </row>
    <row r="278" spans="1:166" s="1181" customFormat="1" ht="14.7" customHeight="1" x14ac:dyDescent="0.25">
      <c r="A278" s="421">
        <v>274</v>
      </c>
      <c r="B278" s="417" t="str">
        <f>'347-компот из плодов консер виш'!A9</f>
        <v>Компот из плодов консервированных (вишня)</v>
      </c>
      <c r="C278" s="419">
        <f>'347-компот из плодов консер виш'!C26</f>
        <v>200</v>
      </c>
      <c r="D278" s="1211">
        <f>2.42/1000*C278</f>
        <v>0.48</v>
      </c>
      <c r="E278" s="1211">
        <f>94/1000*C278</f>
        <v>18.8</v>
      </c>
      <c r="F278" s="1211">
        <f>162.17/1000*C278</f>
        <v>32.43</v>
      </c>
      <c r="G278" s="1212">
        <f>667/1000*C278</f>
        <v>133</v>
      </c>
      <c r="H278" s="419">
        <f>'347-компот из плодов консер виш'!J7</f>
        <v>347</v>
      </c>
      <c r="I278" s="1234">
        <f>'347-компот из плодов консер виш'!F28</f>
        <v>25.06</v>
      </c>
      <c r="J278" s="330"/>
      <c r="K278" s="330"/>
      <c r="L278" s="330"/>
      <c r="M278" s="330"/>
      <c r="N278" s="330"/>
      <c r="O278" s="330"/>
      <c r="P278" s="330"/>
      <c r="Q278" s="330"/>
      <c r="R278" s="330"/>
      <c r="S278" s="330"/>
      <c r="T278" s="330"/>
      <c r="U278" s="330"/>
      <c r="V278" s="330"/>
      <c r="W278" s="330"/>
      <c r="X278" s="330"/>
      <c r="Y278" s="330"/>
      <c r="Z278" s="330"/>
      <c r="AA278" s="330"/>
      <c r="AB278" s="330"/>
      <c r="AC278" s="330"/>
      <c r="AD278" s="330"/>
      <c r="AE278" s="330"/>
      <c r="AF278" s="330"/>
      <c r="AG278" s="330"/>
      <c r="AH278" s="330"/>
      <c r="AI278" s="330"/>
      <c r="AJ278" s="330"/>
      <c r="AK278" s="330"/>
      <c r="AL278" s="330"/>
      <c r="AM278" s="330"/>
      <c r="AN278" s="330"/>
      <c r="AO278" s="330"/>
      <c r="AP278" s="330"/>
      <c r="AQ278" s="330"/>
      <c r="AR278" s="330"/>
      <c r="AS278" s="330"/>
      <c r="AT278" s="330"/>
      <c r="AU278" s="330"/>
      <c r="AV278" s="330"/>
      <c r="AW278" s="330"/>
      <c r="AX278" s="330"/>
      <c r="AY278" s="330"/>
      <c r="AZ278" s="330"/>
      <c r="BA278" s="330"/>
      <c r="BB278" s="330"/>
      <c r="BC278" s="330"/>
      <c r="BD278" s="330"/>
      <c r="BE278" s="330"/>
      <c r="BF278" s="330"/>
      <c r="BG278" s="330"/>
      <c r="BH278" s="330"/>
      <c r="BI278" s="330"/>
      <c r="BJ278" s="330"/>
      <c r="BK278" s="330"/>
      <c r="BL278" s="330"/>
      <c r="BM278" s="330"/>
      <c r="BN278" s="330"/>
      <c r="BO278" s="330"/>
      <c r="BP278" s="330"/>
      <c r="BQ278" s="330"/>
      <c r="BR278" s="330"/>
      <c r="BS278" s="330"/>
      <c r="BT278" s="330"/>
      <c r="BU278" s="330"/>
      <c r="BV278" s="330"/>
      <c r="BW278" s="330"/>
      <c r="BX278" s="330"/>
      <c r="BY278" s="330"/>
      <c r="BZ278" s="330"/>
      <c r="CA278" s="330"/>
      <c r="CB278" s="330"/>
      <c r="CC278" s="330"/>
      <c r="CD278" s="330"/>
      <c r="CE278" s="330"/>
      <c r="CF278" s="330"/>
      <c r="CG278" s="330"/>
      <c r="CH278" s="330"/>
      <c r="CI278" s="330"/>
      <c r="CJ278" s="330"/>
      <c r="CK278" s="330"/>
      <c r="CL278" s="330"/>
      <c r="CM278" s="330"/>
      <c r="CN278" s="330"/>
      <c r="CO278" s="330"/>
      <c r="CP278" s="330"/>
      <c r="CQ278" s="330"/>
      <c r="CR278" s="330"/>
      <c r="CS278" s="330"/>
      <c r="CT278" s="330"/>
      <c r="CU278" s="330"/>
      <c r="CV278" s="330"/>
      <c r="CW278" s="330"/>
      <c r="CX278" s="330"/>
      <c r="CY278" s="330"/>
      <c r="CZ278" s="330">
        <f>'347-компот из плодов консер виш'!C20/'347-компот из плодов консер виш'!C27</f>
        <v>1.2999999999999999E-2</v>
      </c>
      <c r="DA278" s="330"/>
      <c r="DB278" s="330"/>
      <c r="DC278" s="330"/>
      <c r="DD278" s="330"/>
      <c r="DE278" s="330"/>
      <c r="DF278" s="330"/>
      <c r="DG278" s="330"/>
      <c r="DH278" s="330"/>
      <c r="DI278" s="330"/>
      <c r="DJ278" s="330"/>
      <c r="DK278" s="330"/>
      <c r="DL278" s="330"/>
      <c r="DM278" s="330"/>
      <c r="DN278" s="330"/>
      <c r="DO278" s="330"/>
      <c r="DP278" s="330"/>
      <c r="DQ278" s="330"/>
      <c r="DR278" s="330"/>
      <c r="DS278" s="330"/>
      <c r="DT278" s="330">
        <f>('347-компот из плодов консер виш'!C19+'347-компот из плодов консер виш'!C21)/'347-компот из плодов консер виш'!C27</f>
        <v>0.13300000000000001</v>
      </c>
      <c r="DU278" s="330"/>
      <c r="DV278" s="330"/>
      <c r="DW278" s="330"/>
      <c r="DX278" s="330"/>
      <c r="DY278" s="330"/>
      <c r="DZ278" s="330"/>
      <c r="EA278" s="330"/>
      <c r="EB278" s="330"/>
      <c r="EC278" s="330"/>
      <c r="ED278" s="330"/>
      <c r="EE278" s="330"/>
      <c r="EF278" s="330"/>
      <c r="EG278" s="330"/>
      <c r="EH278" s="330"/>
      <c r="EI278" s="330"/>
      <c r="EJ278" s="330"/>
      <c r="EK278" s="330"/>
      <c r="EL278" s="330"/>
      <c r="EM278" s="330"/>
      <c r="EN278" s="330"/>
      <c r="EO278" s="330"/>
      <c r="EP278" s="330"/>
      <c r="EQ278" s="330"/>
      <c r="ER278" s="330"/>
      <c r="ES278" s="330"/>
      <c r="ET278" s="330"/>
      <c r="EU278" s="330"/>
      <c r="EV278" s="330"/>
      <c r="EW278" s="330"/>
      <c r="EX278" s="330"/>
      <c r="EY278" s="1032">
        <f t="shared" si="20"/>
        <v>0.14599999999999999</v>
      </c>
      <c r="EZ278" s="616"/>
      <c r="FA278" s="616"/>
      <c r="FB278" s="616"/>
      <c r="FC278" s="616"/>
      <c r="FD278" s="616"/>
      <c r="FE278" s="616"/>
      <c r="FF278" s="616"/>
      <c r="FG278" s="616"/>
      <c r="FH278" s="616"/>
      <c r="FI278" s="616"/>
      <c r="FJ278" s="616"/>
    </row>
    <row r="279" spans="1:166" ht="14.7" customHeight="1" x14ac:dyDescent="0.25">
      <c r="A279" s="421">
        <v>275</v>
      </c>
      <c r="B279" s="417" t="str">
        <f>'347-компот консерв персик'!A9</f>
        <v>Компот из плодов консервированных персики</v>
      </c>
      <c r="C279" s="419">
        <f>'347-компот консерв персик'!C26</f>
        <v>200</v>
      </c>
      <c r="D279" s="1211">
        <f>2.42/1000*C279</f>
        <v>0.48</v>
      </c>
      <c r="E279" s="1211">
        <f>0.94/1000*C279</f>
        <v>0.19</v>
      </c>
      <c r="F279" s="1211">
        <f>162.17/1000*C279</f>
        <v>32.43</v>
      </c>
      <c r="G279" s="1212">
        <f>667/1000*C279</f>
        <v>133</v>
      </c>
      <c r="H279" s="419">
        <f>'347-компот консерв персик'!J7</f>
        <v>347</v>
      </c>
      <c r="I279" s="1234">
        <f>'347-компот консерв персик'!F28</f>
        <v>25.24</v>
      </c>
      <c r="J279" s="330"/>
      <c r="K279" s="330"/>
      <c r="L279" s="330"/>
      <c r="M279" s="330"/>
      <c r="N279" s="330"/>
      <c r="O279" s="330"/>
      <c r="P279" s="330"/>
      <c r="Q279" s="330"/>
      <c r="R279" s="330"/>
      <c r="S279" s="330"/>
      <c r="T279" s="330"/>
      <c r="U279" s="330"/>
      <c r="V279" s="330"/>
      <c r="W279" s="330"/>
      <c r="X279" s="330"/>
      <c r="Y279" s="330"/>
      <c r="Z279" s="330"/>
      <c r="AA279" s="330"/>
      <c r="AB279" s="330"/>
      <c r="AC279" s="330"/>
      <c r="AD279" s="330"/>
      <c r="AE279" s="330"/>
      <c r="AF279" s="330"/>
      <c r="AG279" s="330"/>
      <c r="AH279" s="330"/>
      <c r="AI279" s="330"/>
      <c r="AJ279" s="330"/>
      <c r="AK279" s="330"/>
      <c r="AL279" s="330"/>
      <c r="AM279" s="330"/>
      <c r="AN279" s="330"/>
      <c r="AO279" s="330"/>
      <c r="AP279" s="330"/>
      <c r="AQ279" s="330"/>
      <c r="AR279" s="330"/>
      <c r="AS279" s="330"/>
      <c r="AT279" s="330"/>
      <c r="AU279" s="330"/>
      <c r="AV279" s="330"/>
      <c r="AW279" s="330"/>
      <c r="AX279" s="330"/>
      <c r="AY279" s="330"/>
      <c r="AZ279" s="330"/>
      <c r="BA279" s="330"/>
      <c r="BB279" s="330"/>
      <c r="BC279" s="330"/>
      <c r="BD279" s="330"/>
      <c r="BE279" s="330"/>
      <c r="BF279" s="330"/>
      <c r="BG279" s="330"/>
      <c r="BH279" s="330"/>
      <c r="BI279" s="330"/>
      <c r="BJ279" s="330"/>
      <c r="BK279" s="330"/>
      <c r="BL279" s="330"/>
      <c r="BM279" s="330"/>
      <c r="BN279" s="330"/>
      <c r="BO279" s="330"/>
      <c r="BP279" s="330"/>
      <c r="BQ279" s="330"/>
      <c r="BR279" s="330"/>
      <c r="BS279" s="330"/>
      <c r="BT279" s="330"/>
      <c r="BU279" s="330"/>
      <c r="BV279" s="330"/>
      <c r="BW279" s="330"/>
      <c r="BX279" s="330"/>
      <c r="BY279" s="330"/>
      <c r="BZ279" s="330"/>
      <c r="CA279" s="330"/>
      <c r="CB279" s="330"/>
      <c r="CC279" s="330"/>
      <c r="CD279" s="330"/>
      <c r="CE279" s="330"/>
      <c r="CF279" s="330"/>
      <c r="CG279" s="330"/>
      <c r="CH279" s="330"/>
      <c r="CI279" s="330"/>
      <c r="CJ279" s="330"/>
      <c r="CK279" s="330"/>
      <c r="CL279" s="330"/>
      <c r="CM279" s="330"/>
      <c r="CN279" s="330"/>
      <c r="CO279" s="330"/>
      <c r="CP279" s="330"/>
      <c r="CQ279" s="330"/>
      <c r="CR279" s="330"/>
      <c r="CS279" s="330"/>
      <c r="CT279" s="330"/>
      <c r="CU279" s="330"/>
      <c r="CV279" s="330"/>
      <c r="CW279" s="330"/>
      <c r="CX279" s="330"/>
      <c r="CY279" s="330"/>
      <c r="CZ279" s="330">
        <f>'347-компот консерв персик'!C20/'347-компот консерв персик'!C27</f>
        <v>1.2999999999999999E-2</v>
      </c>
      <c r="DA279" s="330"/>
      <c r="DB279" s="330"/>
      <c r="DC279" s="330"/>
      <c r="DD279" s="330"/>
      <c r="DE279" s="330"/>
      <c r="DF279" s="330"/>
      <c r="DG279" s="330"/>
      <c r="DH279" s="330"/>
      <c r="DI279" s="330"/>
      <c r="DJ279" s="330"/>
      <c r="DK279" s="330"/>
      <c r="DL279" s="330"/>
      <c r="DM279" s="330"/>
      <c r="DN279" s="330"/>
      <c r="DO279" s="330"/>
      <c r="DP279" s="330"/>
      <c r="DQ279" s="330"/>
      <c r="DR279" s="330"/>
      <c r="DS279" s="330"/>
      <c r="DT279" s="330">
        <f>('347-компот консерв персик'!C19+'347-компот консерв персик'!C21)/'347-компот консерв персик'!C27</f>
        <v>0.13400000000000001</v>
      </c>
      <c r="DU279" s="330"/>
      <c r="DV279" s="330"/>
      <c r="DW279" s="330"/>
      <c r="DX279" s="330"/>
      <c r="DY279" s="330"/>
      <c r="DZ279" s="330"/>
      <c r="EA279" s="330"/>
      <c r="EB279" s="330"/>
      <c r="EC279" s="330"/>
      <c r="ED279" s="330"/>
      <c r="EE279" s="330"/>
      <c r="EF279" s="330"/>
      <c r="EG279" s="330"/>
      <c r="EH279" s="330"/>
      <c r="EI279" s="330"/>
      <c r="EJ279" s="330"/>
      <c r="EK279" s="330"/>
      <c r="EL279" s="330"/>
      <c r="EM279" s="330"/>
      <c r="EN279" s="330"/>
      <c r="EO279" s="330"/>
      <c r="EP279" s="330"/>
      <c r="EQ279" s="330"/>
      <c r="ER279" s="330"/>
      <c r="ES279" s="330"/>
      <c r="ET279" s="330"/>
      <c r="EU279" s="330"/>
      <c r="EV279" s="330"/>
      <c r="EW279" s="330"/>
      <c r="EX279" s="330"/>
      <c r="EY279" s="1032">
        <f t="shared" si="20"/>
        <v>0.14699999999999999</v>
      </c>
    </row>
    <row r="280" spans="1:166" s="1215" customFormat="1" ht="14.7" customHeight="1" x14ac:dyDescent="0.25">
      <c r="A280" s="421">
        <v>276</v>
      </c>
      <c r="B280" s="417" t="str">
        <f>'348-компот сушеной кураги'!A9</f>
        <v>Компот из кураги</v>
      </c>
      <c r="C280" s="419">
        <f>'348-компот сушеной кураги'!C26</f>
        <v>200</v>
      </c>
      <c r="D280" s="1211">
        <f>3.9/100*C280</f>
        <v>7.8</v>
      </c>
      <c r="E280" s="1211">
        <f>0.23/1000*C280</f>
        <v>0.05</v>
      </c>
      <c r="F280" s="1211">
        <f>138.15/1000*C280</f>
        <v>27.63</v>
      </c>
      <c r="G280" s="1212">
        <f>574/1000*C280</f>
        <v>115</v>
      </c>
      <c r="H280" s="419">
        <f>'348-компот сушеной кураги'!J7</f>
        <v>348</v>
      </c>
      <c r="I280" s="1234">
        <f>'348-компот сушеной кураги'!F28</f>
        <v>6.58</v>
      </c>
      <c r="J280" s="330"/>
      <c r="K280" s="330"/>
      <c r="L280" s="330"/>
      <c r="M280" s="330"/>
      <c r="N280" s="330"/>
      <c r="O280" s="330"/>
      <c r="P280" s="330"/>
      <c r="Q280" s="330"/>
      <c r="R280" s="330"/>
      <c r="S280" s="330"/>
      <c r="T280" s="330"/>
      <c r="U280" s="330"/>
      <c r="V280" s="330"/>
      <c r="W280" s="330"/>
      <c r="X280" s="330"/>
      <c r="Y280" s="330"/>
      <c r="Z280" s="330"/>
      <c r="AA280" s="330"/>
      <c r="AB280" s="330"/>
      <c r="AC280" s="330"/>
      <c r="AD280" s="330"/>
      <c r="AE280" s="330"/>
      <c r="AF280" s="330"/>
      <c r="AG280" s="330"/>
      <c r="AH280" s="330"/>
      <c r="AI280" s="330"/>
      <c r="AJ280" s="330"/>
      <c r="AK280" s="330"/>
      <c r="AL280" s="330"/>
      <c r="AM280" s="330"/>
      <c r="AN280" s="330"/>
      <c r="AO280" s="330"/>
      <c r="AP280" s="330"/>
      <c r="AQ280" s="330"/>
      <c r="AR280" s="330"/>
      <c r="AS280" s="330"/>
      <c r="AT280" s="330"/>
      <c r="AU280" s="330"/>
      <c r="AV280" s="330"/>
      <c r="AW280" s="330"/>
      <c r="AX280" s="330"/>
      <c r="AY280" s="330"/>
      <c r="AZ280" s="330"/>
      <c r="BA280" s="330"/>
      <c r="BB280" s="330"/>
      <c r="BC280" s="330"/>
      <c r="BD280" s="330"/>
      <c r="BE280" s="330"/>
      <c r="BF280" s="330"/>
      <c r="BG280" s="330"/>
      <c r="BH280" s="330"/>
      <c r="BI280" s="330"/>
      <c r="BJ280" s="330"/>
      <c r="BK280" s="330"/>
      <c r="BL280" s="330"/>
      <c r="BM280" s="330"/>
      <c r="BN280" s="330"/>
      <c r="BO280" s="330"/>
      <c r="BP280" s="330"/>
      <c r="BQ280" s="330"/>
      <c r="BR280" s="330"/>
      <c r="BS280" s="330"/>
      <c r="BT280" s="330"/>
      <c r="BU280" s="330"/>
      <c r="BV280" s="330"/>
      <c r="BW280" s="330"/>
      <c r="BX280" s="330"/>
      <c r="BY280" s="330"/>
      <c r="BZ280" s="330"/>
      <c r="CA280" s="330"/>
      <c r="CB280" s="330"/>
      <c r="CC280" s="330"/>
      <c r="CD280" s="330"/>
      <c r="CE280" s="330"/>
      <c r="CF280" s="330"/>
      <c r="CG280" s="330"/>
      <c r="CH280" s="330"/>
      <c r="CI280" s="330"/>
      <c r="CJ280" s="330"/>
      <c r="CK280" s="330"/>
      <c r="CL280" s="330"/>
      <c r="CM280" s="330"/>
      <c r="CN280" s="330"/>
      <c r="CO280" s="330"/>
      <c r="CP280" s="330"/>
      <c r="CQ280" s="330">
        <f>'348-компот сушеной кураги'!C21/'348-компот сушеной кураги'!C27</f>
        <v>2.0000000000000001E-4</v>
      </c>
      <c r="CR280" s="330"/>
      <c r="CS280" s="330"/>
      <c r="CT280" s="330"/>
      <c r="CU280" s="330"/>
      <c r="CV280" s="330"/>
      <c r="CW280" s="330"/>
      <c r="CX280" s="330"/>
      <c r="CY280" s="330"/>
      <c r="CZ280" s="330">
        <f>'348-компот сушеной кураги'!C20/'348-компот сушеной кураги'!C27</f>
        <v>0.02</v>
      </c>
      <c r="DA280" s="330"/>
      <c r="DB280" s="330"/>
      <c r="DC280" s="330"/>
      <c r="DD280" s="330"/>
      <c r="DE280" s="330"/>
      <c r="DF280" s="330"/>
      <c r="DG280" s="330"/>
      <c r="DH280" s="330"/>
      <c r="DI280" s="330"/>
      <c r="DJ280" s="330"/>
      <c r="DK280" s="330"/>
      <c r="DL280" s="330"/>
      <c r="DM280" s="330"/>
      <c r="DN280" s="330"/>
      <c r="DO280" s="330">
        <f>'348-компот сушеной кураги'!C19/'348-компот сушеной кураги'!C27</f>
        <v>0.02</v>
      </c>
      <c r="DP280" s="330"/>
      <c r="DQ280" s="330"/>
      <c r="DR280" s="330"/>
      <c r="DS280" s="330"/>
      <c r="DT280" s="330"/>
      <c r="DU280" s="330"/>
      <c r="DV280" s="330"/>
      <c r="DW280" s="330"/>
      <c r="DX280" s="330"/>
      <c r="DY280" s="330"/>
      <c r="DZ280" s="330"/>
      <c r="EA280" s="330"/>
      <c r="EB280" s="330"/>
      <c r="EC280" s="330"/>
      <c r="ED280" s="330"/>
      <c r="EE280" s="330"/>
      <c r="EF280" s="330"/>
      <c r="EG280" s="330"/>
      <c r="EH280" s="330"/>
      <c r="EI280" s="330"/>
      <c r="EJ280" s="330"/>
      <c r="EK280" s="330"/>
      <c r="EL280" s="330"/>
      <c r="EM280" s="330"/>
      <c r="EN280" s="330"/>
      <c r="EO280" s="330"/>
      <c r="EP280" s="330"/>
      <c r="EQ280" s="330"/>
      <c r="ER280" s="330"/>
      <c r="ES280" s="330"/>
      <c r="ET280" s="330"/>
      <c r="EU280" s="330"/>
      <c r="EV280" s="330"/>
      <c r="EW280" s="330"/>
      <c r="EX280" s="330"/>
      <c r="EY280" s="1032">
        <f t="shared" si="20"/>
        <v>4.02E-2</v>
      </c>
      <c r="EZ280" s="616"/>
      <c r="FA280" s="616"/>
      <c r="FB280" s="616"/>
      <c r="FC280" s="616"/>
      <c r="FD280" s="616"/>
      <c r="FE280" s="616"/>
      <c r="FF280" s="616"/>
      <c r="FG280" s="616"/>
      <c r="FH280" s="616"/>
      <c r="FI280" s="616"/>
      <c r="FJ280" s="616"/>
    </row>
    <row r="281" spans="1:166" ht="14.7" customHeight="1" x14ac:dyDescent="0.25">
      <c r="A281" s="421">
        <v>277</v>
      </c>
      <c r="B281" s="169" t="str">
        <f>'349-компот сухофрукт'!A9</f>
        <v>Компот из смеси сухофруктов</v>
      </c>
      <c r="C281" s="419">
        <f>'349-компот сухофрукт'!C26</f>
        <v>200</v>
      </c>
      <c r="D281" s="1211">
        <f>3.31/1000*C281</f>
        <v>0.66</v>
      </c>
      <c r="E281" s="1211">
        <f>0.45/1000*C281</f>
        <v>0.09</v>
      </c>
      <c r="F281" s="1211">
        <f>160.07/1000*C281</f>
        <v>32.01</v>
      </c>
      <c r="G281" s="1212">
        <f>664/1000*C281</f>
        <v>133</v>
      </c>
      <c r="H281" s="419">
        <f>'349-компот сухофрукт'!J7</f>
        <v>349</v>
      </c>
      <c r="I281" s="1234">
        <f>'349-компот сухофрукт'!F28</f>
        <v>4.18</v>
      </c>
      <c r="J281" s="330"/>
      <c r="K281" s="330"/>
      <c r="L281" s="330"/>
      <c r="M281" s="330"/>
      <c r="N281" s="330"/>
      <c r="O281" s="330"/>
      <c r="P281" s="330"/>
      <c r="Q281" s="330"/>
      <c r="R281" s="330"/>
      <c r="S281" s="330"/>
      <c r="T281" s="330"/>
      <c r="U281" s="330"/>
      <c r="V281" s="330"/>
      <c r="W281" s="330"/>
      <c r="X281" s="330"/>
      <c r="Y281" s="330"/>
      <c r="Z281" s="330"/>
      <c r="AA281" s="330"/>
      <c r="AB281" s="330"/>
      <c r="AC281" s="330"/>
      <c r="AD281" s="330"/>
      <c r="AE281" s="330"/>
      <c r="AF281" s="330"/>
      <c r="AG281" s="330"/>
      <c r="AH281" s="330"/>
      <c r="AI281" s="330"/>
      <c r="AJ281" s="330"/>
      <c r="AK281" s="330"/>
      <c r="AL281" s="330"/>
      <c r="AM281" s="330"/>
      <c r="AN281" s="330"/>
      <c r="AO281" s="330"/>
      <c r="AP281" s="330"/>
      <c r="AQ281" s="330"/>
      <c r="AR281" s="330"/>
      <c r="AS281" s="330"/>
      <c r="AT281" s="330"/>
      <c r="AU281" s="330"/>
      <c r="AV281" s="330"/>
      <c r="AW281" s="330"/>
      <c r="AX281" s="330"/>
      <c r="AY281" s="330"/>
      <c r="AZ281" s="330"/>
      <c r="BA281" s="330"/>
      <c r="BB281" s="330"/>
      <c r="BC281" s="330"/>
      <c r="BD281" s="330"/>
      <c r="BE281" s="330"/>
      <c r="BF281" s="330"/>
      <c r="BG281" s="330"/>
      <c r="BH281" s="330"/>
      <c r="BI281" s="330"/>
      <c r="BJ281" s="330"/>
      <c r="BK281" s="330"/>
      <c r="BL281" s="330"/>
      <c r="BM281" s="330"/>
      <c r="BN281" s="330"/>
      <c r="BO281" s="330"/>
      <c r="BP281" s="330"/>
      <c r="BQ281" s="330"/>
      <c r="BR281" s="330"/>
      <c r="BS281" s="330"/>
      <c r="BT281" s="330"/>
      <c r="BU281" s="330"/>
      <c r="BV281" s="330"/>
      <c r="BW281" s="330"/>
      <c r="BX281" s="330"/>
      <c r="BY281" s="330"/>
      <c r="BZ281" s="330"/>
      <c r="CA281" s="330"/>
      <c r="CB281" s="330"/>
      <c r="CC281" s="330"/>
      <c r="CD281" s="330"/>
      <c r="CE281" s="330"/>
      <c r="CF281" s="330"/>
      <c r="CG281" s="330"/>
      <c r="CH281" s="330"/>
      <c r="CI281" s="330"/>
      <c r="CJ281" s="330"/>
      <c r="CK281" s="330"/>
      <c r="CL281" s="330"/>
      <c r="CM281" s="330"/>
      <c r="CN281" s="330"/>
      <c r="CO281" s="330"/>
      <c r="CP281" s="330"/>
      <c r="CQ281" s="330">
        <f>'349-компот сухофрукт'!C21/1000*200</f>
        <v>2.0000000000000001E-4</v>
      </c>
      <c r="CR281" s="330"/>
      <c r="CS281" s="330"/>
      <c r="CT281" s="330"/>
      <c r="CU281" s="330"/>
      <c r="CV281" s="330"/>
      <c r="CW281" s="330"/>
      <c r="CX281" s="330"/>
      <c r="CY281" s="330"/>
      <c r="CZ281" s="330">
        <f>'349-компот сухофрукт'!C20/1000*200</f>
        <v>0.02</v>
      </c>
      <c r="DA281" s="330"/>
      <c r="DB281" s="330"/>
      <c r="DC281" s="330"/>
      <c r="DD281" s="330"/>
      <c r="DE281" s="330">
        <f>'349-компот сухофрукт'!C19/1000*200</f>
        <v>0.02</v>
      </c>
      <c r="DF281" s="330"/>
      <c r="DG281" s="330"/>
      <c r="DH281" s="330"/>
      <c r="DI281" s="330"/>
      <c r="DJ281" s="330"/>
      <c r="DK281" s="330"/>
      <c r="DL281" s="330"/>
      <c r="DM281" s="330"/>
      <c r="DN281" s="330"/>
      <c r="DO281" s="330"/>
      <c r="DP281" s="330"/>
      <c r="DQ281" s="330"/>
      <c r="DR281" s="330"/>
      <c r="DS281" s="330"/>
      <c r="DT281" s="330"/>
      <c r="DU281" s="330"/>
      <c r="DV281" s="330"/>
      <c r="DW281" s="330"/>
      <c r="DX281" s="330"/>
      <c r="DY281" s="330"/>
      <c r="DZ281" s="330"/>
      <c r="EA281" s="330"/>
      <c r="EB281" s="330"/>
      <c r="EC281" s="330"/>
      <c r="ED281" s="330"/>
      <c r="EE281" s="330"/>
      <c r="EF281" s="330"/>
      <c r="EG281" s="330"/>
      <c r="EH281" s="330"/>
      <c r="EI281" s="330"/>
      <c r="EJ281" s="330"/>
      <c r="EK281" s="330"/>
      <c r="EL281" s="330"/>
      <c r="EM281" s="330"/>
      <c r="EN281" s="330"/>
      <c r="EO281" s="330"/>
      <c r="EP281" s="330"/>
      <c r="EQ281" s="330"/>
      <c r="ER281" s="330"/>
      <c r="ES281" s="330"/>
      <c r="ET281" s="330"/>
      <c r="EU281" s="330"/>
      <c r="EV281" s="330"/>
      <c r="EW281" s="330"/>
      <c r="EX281" s="330"/>
      <c r="EY281" s="1032">
        <f t="shared" si="20"/>
        <v>4.02E-2</v>
      </c>
    </row>
    <row r="282" spans="1:166" ht="14.7" customHeight="1" x14ac:dyDescent="0.25">
      <c r="A282" s="421">
        <v>278</v>
      </c>
      <c r="B282" s="169" t="str">
        <f>'352-кисель ябл'!A9</f>
        <v xml:space="preserve">Кисель из яблок </v>
      </c>
      <c r="C282" s="419">
        <f>'352-кисель ябл'!C27</f>
        <v>200</v>
      </c>
      <c r="D282" s="1211">
        <f>0.54/1000*C282</f>
        <v>0.11</v>
      </c>
      <c r="E282" s="1211">
        <f>0.6/1000*C282</f>
        <v>0.12</v>
      </c>
      <c r="F282" s="1211">
        <f>125.46/1000*C282</f>
        <v>25.09</v>
      </c>
      <c r="G282" s="1212">
        <f>596/1000*C282</f>
        <v>119</v>
      </c>
      <c r="H282" s="419">
        <f>'352-кисель ябл'!J7</f>
        <v>352</v>
      </c>
      <c r="I282" s="1234">
        <f>'352-кисель ябл'!F29</f>
        <v>5.56</v>
      </c>
      <c r="J282" s="330"/>
      <c r="K282" s="330"/>
      <c r="L282" s="330"/>
      <c r="M282" s="330"/>
      <c r="N282" s="330"/>
      <c r="O282" s="330"/>
      <c r="P282" s="330"/>
      <c r="Q282" s="330"/>
      <c r="R282" s="330"/>
      <c r="S282" s="330"/>
      <c r="T282" s="330"/>
      <c r="U282" s="330"/>
      <c r="V282" s="330"/>
      <c r="W282" s="330"/>
      <c r="X282" s="330"/>
      <c r="Y282" s="330"/>
      <c r="Z282" s="330"/>
      <c r="AA282" s="330"/>
      <c r="AB282" s="330"/>
      <c r="AC282" s="330"/>
      <c r="AD282" s="330"/>
      <c r="AE282" s="330"/>
      <c r="AF282" s="330"/>
      <c r="AG282" s="330"/>
      <c r="AH282" s="330"/>
      <c r="AI282" s="330"/>
      <c r="AJ282" s="330"/>
      <c r="AK282" s="330"/>
      <c r="AL282" s="330"/>
      <c r="AM282" s="330"/>
      <c r="AN282" s="330"/>
      <c r="AO282" s="330"/>
      <c r="AP282" s="330"/>
      <c r="AQ282" s="330"/>
      <c r="AR282" s="330"/>
      <c r="AS282" s="330"/>
      <c r="AT282" s="330"/>
      <c r="AU282" s="330"/>
      <c r="AV282" s="330"/>
      <c r="AW282" s="330"/>
      <c r="AX282" s="330"/>
      <c r="AY282" s="330"/>
      <c r="AZ282" s="330"/>
      <c r="BA282" s="330"/>
      <c r="BB282" s="330"/>
      <c r="BC282" s="330"/>
      <c r="BD282" s="330"/>
      <c r="BE282" s="330"/>
      <c r="BF282" s="330"/>
      <c r="BG282" s="330"/>
      <c r="BH282" s="330"/>
      <c r="BI282" s="330"/>
      <c r="BJ282" s="330"/>
      <c r="BK282" s="330"/>
      <c r="BL282" s="330"/>
      <c r="BM282" s="330"/>
      <c r="BN282" s="330"/>
      <c r="BO282" s="330"/>
      <c r="BP282" s="330"/>
      <c r="BQ282" s="330"/>
      <c r="BR282" s="330">
        <f>'352-кисель ябл'!C19/1000*200</f>
        <v>3.4000000000000002E-2</v>
      </c>
      <c r="BS282" s="330"/>
      <c r="BT282" s="330"/>
      <c r="BU282" s="330"/>
      <c r="BV282" s="330"/>
      <c r="BW282" s="330"/>
      <c r="BX282" s="330"/>
      <c r="BY282" s="330"/>
      <c r="BZ282" s="330"/>
      <c r="CA282" s="330"/>
      <c r="CB282" s="330"/>
      <c r="CC282" s="330"/>
      <c r="CD282" s="330"/>
      <c r="CE282" s="330"/>
      <c r="CF282" s="330"/>
      <c r="CG282" s="330"/>
      <c r="CH282" s="330"/>
      <c r="CI282" s="330"/>
      <c r="CJ282" s="330"/>
      <c r="CK282" s="330"/>
      <c r="CL282" s="330"/>
      <c r="CM282" s="330"/>
      <c r="CN282" s="330"/>
      <c r="CO282" s="330"/>
      <c r="CP282" s="330"/>
      <c r="CQ282" s="330">
        <f>'352-кисель ябл'!C22/1000*200</f>
        <v>2.0000000000000001E-4</v>
      </c>
      <c r="CR282" s="330">
        <f>'352-кисель ябл'!C21/1000*200</f>
        <v>8.0000000000000002E-3</v>
      </c>
      <c r="CS282" s="330"/>
      <c r="CT282" s="330"/>
      <c r="CU282" s="330"/>
      <c r="CV282" s="330"/>
      <c r="CW282" s="330"/>
      <c r="CX282" s="330"/>
      <c r="CY282" s="330"/>
      <c r="CZ282" s="330">
        <f>'352-кисель ябл'!C20/1000*200</f>
        <v>0.02</v>
      </c>
      <c r="DA282" s="330"/>
      <c r="DB282" s="330"/>
      <c r="DC282" s="330"/>
      <c r="DD282" s="330"/>
      <c r="DE282" s="330"/>
      <c r="DF282" s="330"/>
      <c r="DG282" s="330"/>
      <c r="DH282" s="330"/>
      <c r="DI282" s="330"/>
      <c r="DJ282" s="330"/>
      <c r="DK282" s="330"/>
      <c r="DL282" s="330"/>
      <c r="DM282" s="330"/>
      <c r="DN282" s="330"/>
      <c r="DO282" s="330"/>
      <c r="DP282" s="330"/>
      <c r="DQ282" s="330"/>
      <c r="DR282" s="330"/>
      <c r="DS282" s="330"/>
      <c r="DT282" s="330"/>
      <c r="DU282" s="330"/>
      <c r="DV282" s="330"/>
      <c r="DW282" s="330"/>
      <c r="DX282" s="330"/>
      <c r="DY282" s="330"/>
      <c r="DZ282" s="330"/>
      <c r="EA282" s="330"/>
      <c r="EB282" s="330"/>
      <c r="EC282" s="330"/>
      <c r="ED282" s="330"/>
      <c r="EE282" s="330"/>
      <c r="EF282" s="330"/>
      <c r="EG282" s="330"/>
      <c r="EH282" s="330"/>
      <c r="EI282" s="330"/>
      <c r="EJ282" s="330"/>
      <c r="EK282" s="330"/>
      <c r="EL282" s="330"/>
      <c r="EM282" s="330"/>
      <c r="EN282" s="330"/>
      <c r="EO282" s="330"/>
      <c r="EP282" s="330"/>
      <c r="EQ282" s="330"/>
      <c r="ER282" s="330"/>
      <c r="ES282" s="330"/>
      <c r="ET282" s="330"/>
      <c r="EU282" s="330"/>
      <c r="EV282" s="330"/>
      <c r="EW282" s="330"/>
      <c r="EX282" s="330"/>
      <c r="EY282" s="1032">
        <f t="shared" si="20"/>
        <v>6.2199999999999998E-2</v>
      </c>
    </row>
    <row r="283" spans="1:166" ht="14.7" customHeight="1" x14ac:dyDescent="0.25">
      <c r="A283" s="421">
        <v>279</v>
      </c>
      <c r="B283" s="169" t="str">
        <f>'354-кисель ябл суш'!A9</f>
        <v>Кисель из яблок сушеных</v>
      </c>
      <c r="C283" s="419">
        <f>'354-кисель ябл суш'!C27</f>
        <v>200</v>
      </c>
      <c r="D283" s="1211">
        <f>1.16/1000*C283</f>
        <v>0.23</v>
      </c>
      <c r="E283" s="1211">
        <f>0.06/1000*C283</f>
        <v>0.01</v>
      </c>
      <c r="F283" s="1211">
        <f>164.1/1000*C283</f>
        <v>32.82</v>
      </c>
      <c r="G283" s="1212">
        <f>756/1000*C283</f>
        <v>151</v>
      </c>
      <c r="H283" s="419">
        <f>'354-кисель ябл суш'!J7</f>
        <v>354</v>
      </c>
      <c r="I283" s="1234">
        <f>'354-кисель ябл суш'!F29</f>
        <v>4.33</v>
      </c>
      <c r="J283" s="330"/>
      <c r="K283" s="330"/>
      <c r="L283" s="330"/>
      <c r="M283" s="330"/>
      <c r="N283" s="330"/>
      <c r="O283" s="330"/>
      <c r="P283" s="330"/>
      <c r="Q283" s="330"/>
      <c r="R283" s="330"/>
      <c r="S283" s="330"/>
      <c r="T283" s="330"/>
      <c r="U283" s="330"/>
      <c r="V283" s="330"/>
      <c r="W283" s="330"/>
      <c r="X283" s="330"/>
      <c r="Y283" s="330"/>
      <c r="Z283" s="330"/>
      <c r="AA283" s="330"/>
      <c r="AB283" s="330"/>
      <c r="AC283" s="330"/>
      <c r="AD283" s="330"/>
      <c r="AE283" s="330"/>
      <c r="AF283" s="330"/>
      <c r="AG283" s="330"/>
      <c r="AH283" s="330"/>
      <c r="AI283" s="330"/>
      <c r="AJ283" s="330"/>
      <c r="AK283" s="330"/>
      <c r="AL283" s="330"/>
      <c r="AM283" s="330"/>
      <c r="AN283" s="330"/>
      <c r="AO283" s="330"/>
      <c r="AP283" s="330"/>
      <c r="AQ283" s="330"/>
      <c r="AR283" s="330"/>
      <c r="AS283" s="330"/>
      <c r="AT283" s="330"/>
      <c r="AU283" s="330"/>
      <c r="AV283" s="330"/>
      <c r="AW283" s="330"/>
      <c r="AX283" s="330"/>
      <c r="AY283" s="330"/>
      <c r="AZ283" s="330"/>
      <c r="BA283" s="330"/>
      <c r="BB283" s="330"/>
      <c r="BC283" s="330"/>
      <c r="BD283" s="330"/>
      <c r="BE283" s="330"/>
      <c r="BF283" s="330"/>
      <c r="BG283" s="330"/>
      <c r="BH283" s="330"/>
      <c r="BI283" s="330"/>
      <c r="BJ283" s="330"/>
      <c r="BK283" s="330"/>
      <c r="BL283" s="330"/>
      <c r="BM283" s="330"/>
      <c r="BN283" s="330"/>
      <c r="BO283" s="330"/>
      <c r="BP283" s="330"/>
      <c r="BQ283" s="330"/>
      <c r="BR283" s="330"/>
      <c r="BS283" s="330"/>
      <c r="BT283" s="330"/>
      <c r="BU283" s="330"/>
      <c r="BV283" s="330"/>
      <c r="BW283" s="330"/>
      <c r="BX283" s="330"/>
      <c r="BY283" s="330"/>
      <c r="BZ283" s="330"/>
      <c r="CA283" s="330"/>
      <c r="CB283" s="330"/>
      <c r="CC283" s="330"/>
      <c r="CD283" s="330"/>
      <c r="CE283" s="330"/>
      <c r="CF283" s="330"/>
      <c r="CG283" s="330"/>
      <c r="CH283" s="330"/>
      <c r="CI283" s="330"/>
      <c r="CJ283" s="330"/>
      <c r="CK283" s="330"/>
      <c r="CL283" s="330"/>
      <c r="CM283" s="330"/>
      <c r="CN283" s="330"/>
      <c r="CO283" s="330"/>
      <c r="CP283" s="330"/>
      <c r="CQ283" s="330">
        <f>'354-кисель ябл суш'!C22/1000*200</f>
        <v>2.0000000000000001E-4</v>
      </c>
      <c r="CR283" s="330">
        <f>'354-кисель ябл суш'!C21/1000*200</f>
        <v>8.0000000000000002E-3</v>
      </c>
      <c r="CS283" s="330"/>
      <c r="CT283" s="330"/>
      <c r="CU283" s="330"/>
      <c r="CV283" s="330"/>
      <c r="CW283" s="330"/>
      <c r="CX283" s="330"/>
      <c r="CY283" s="330"/>
      <c r="CZ283" s="330">
        <f>'354-кисель ябл суш'!C20/1000*200</f>
        <v>2.4E-2</v>
      </c>
      <c r="DA283" s="330"/>
      <c r="DB283" s="330"/>
      <c r="DC283" s="330"/>
      <c r="DD283" s="330"/>
      <c r="DE283" s="330"/>
      <c r="DF283" s="330"/>
      <c r="DG283" s="330"/>
      <c r="DH283" s="330"/>
      <c r="DI283" s="330"/>
      <c r="DJ283" s="330"/>
      <c r="DK283" s="330"/>
      <c r="DL283" s="330"/>
      <c r="DM283" s="330"/>
      <c r="DN283" s="330"/>
      <c r="DO283" s="330"/>
      <c r="DP283" s="330"/>
      <c r="DQ283" s="330"/>
      <c r="DR283" s="330"/>
      <c r="DS283" s="330">
        <f>'354-кисель ябл суш'!C19/1000*200</f>
        <v>1.2E-2</v>
      </c>
      <c r="DT283" s="330"/>
      <c r="DU283" s="330"/>
      <c r="DV283" s="330"/>
      <c r="DW283" s="330"/>
      <c r="DX283" s="330"/>
      <c r="DY283" s="330"/>
      <c r="DZ283" s="330"/>
      <c r="EA283" s="330"/>
      <c r="EB283" s="330"/>
      <c r="EC283" s="330"/>
      <c r="ED283" s="330"/>
      <c r="EE283" s="330"/>
      <c r="EF283" s="330"/>
      <c r="EG283" s="330"/>
      <c r="EH283" s="330"/>
      <c r="EI283" s="330"/>
      <c r="EJ283" s="330"/>
      <c r="EK283" s="330"/>
      <c r="EL283" s="330"/>
      <c r="EM283" s="330"/>
      <c r="EN283" s="330"/>
      <c r="EO283" s="330"/>
      <c r="EP283" s="330"/>
      <c r="EQ283" s="330"/>
      <c r="ER283" s="330"/>
      <c r="ES283" s="330"/>
      <c r="ET283" s="330"/>
      <c r="EU283" s="330"/>
      <c r="EV283" s="330"/>
      <c r="EW283" s="330"/>
      <c r="EX283" s="330"/>
      <c r="EY283" s="1032">
        <f t="shared" si="20"/>
        <v>4.4200000000000003E-2</v>
      </c>
    </row>
    <row r="284" spans="1:166" ht="14.7" customHeight="1" x14ac:dyDescent="0.25">
      <c r="A284" s="421">
        <v>280</v>
      </c>
      <c r="B284" s="169" t="str">
        <f>'357-кисель шиповн'!A9</f>
        <v>Кисель из плодов шиповника (витаминный)</v>
      </c>
      <c r="C284" s="419">
        <f>'357-кисель шиповн'!C27</f>
        <v>200</v>
      </c>
      <c r="D284" s="1211">
        <f>1.2/1000*C284</f>
        <v>0.24</v>
      </c>
      <c r="E284" s="1211">
        <f>0.56/1000*C284</f>
        <v>0.11</v>
      </c>
      <c r="F284" s="1211">
        <f>156.83/1000*C284</f>
        <v>31.37</v>
      </c>
      <c r="G284" s="1212">
        <f>749/1000*C284</f>
        <v>150</v>
      </c>
      <c r="H284" s="419">
        <f>'357-кисель шиповн'!J7</f>
        <v>357</v>
      </c>
      <c r="I284" s="1234">
        <f>'357-кисель шиповн'!F29</f>
        <v>3.82</v>
      </c>
      <c r="J284" s="330"/>
      <c r="K284" s="330"/>
      <c r="L284" s="330"/>
      <c r="M284" s="330"/>
      <c r="N284" s="330"/>
      <c r="O284" s="330"/>
      <c r="P284" s="330"/>
      <c r="Q284" s="330"/>
      <c r="R284" s="330"/>
      <c r="S284" s="330"/>
      <c r="T284" s="330"/>
      <c r="U284" s="330"/>
      <c r="V284" s="330"/>
      <c r="W284" s="330"/>
      <c r="X284" s="330"/>
      <c r="Y284" s="330"/>
      <c r="Z284" s="330"/>
      <c r="AA284" s="330"/>
      <c r="AB284" s="330"/>
      <c r="AC284" s="330"/>
      <c r="AD284" s="330"/>
      <c r="AE284" s="330"/>
      <c r="AF284" s="330"/>
      <c r="AG284" s="330"/>
      <c r="AH284" s="330"/>
      <c r="AI284" s="330"/>
      <c r="AJ284" s="330"/>
      <c r="AK284" s="330"/>
      <c r="AL284" s="330"/>
      <c r="AM284" s="330"/>
      <c r="AN284" s="330"/>
      <c r="AO284" s="330"/>
      <c r="AP284" s="330"/>
      <c r="AQ284" s="330"/>
      <c r="AR284" s="330"/>
      <c r="AS284" s="330"/>
      <c r="AT284" s="330"/>
      <c r="AU284" s="330"/>
      <c r="AV284" s="330"/>
      <c r="AW284" s="330"/>
      <c r="AX284" s="330"/>
      <c r="AY284" s="330"/>
      <c r="AZ284" s="330"/>
      <c r="BA284" s="330"/>
      <c r="BB284" s="330"/>
      <c r="BC284" s="330"/>
      <c r="BD284" s="330"/>
      <c r="BE284" s="330"/>
      <c r="BF284" s="330"/>
      <c r="BG284" s="330"/>
      <c r="BH284" s="330"/>
      <c r="BI284" s="330"/>
      <c r="BJ284" s="330"/>
      <c r="BK284" s="330"/>
      <c r="BL284" s="330"/>
      <c r="BM284" s="330"/>
      <c r="BN284" s="330"/>
      <c r="BO284" s="330"/>
      <c r="BP284" s="330"/>
      <c r="BQ284" s="330"/>
      <c r="BR284" s="330"/>
      <c r="BS284" s="330"/>
      <c r="BT284" s="330"/>
      <c r="BU284" s="330"/>
      <c r="BV284" s="330"/>
      <c r="BW284" s="330"/>
      <c r="BX284" s="330"/>
      <c r="BY284" s="330"/>
      <c r="BZ284" s="330"/>
      <c r="CA284" s="330"/>
      <c r="CB284" s="330"/>
      <c r="CC284" s="330"/>
      <c r="CD284" s="330"/>
      <c r="CE284" s="330"/>
      <c r="CF284" s="330"/>
      <c r="CG284" s="330"/>
      <c r="CH284" s="330"/>
      <c r="CI284" s="330"/>
      <c r="CJ284" s="330"/>
      <c r="CK284" s="330"/>
      <c r="CL284" s="330"/>
      <c r="CM284" s="330"/>
      <c r="CN284" s="330"/>
      <c r="CO284" s="330"/>
      <c r="CP284" s="330"/>
      <c r="CQ284" s="330">
        <f>'357-кисель шиповн'!C22/1000*200</f>
        <v>2.9999999999999997E-4</v>
      </c>
      <c r="CR284" s="330">
        <f>'357-кисель шиповн'!C21/1000*200</f>
        <v>0.01</v>
      </c>
      <c r="CS284" s="330"/>
      <c r="CT284" s="330"/>
      <c r="CU284" s="330"/>
      <c r="CV284" s="330"/>
      <c r="CW284" s="330"/>
      <c r="CX284" s="330"/>
      <c r="CY284" s="330"/>
      <c r="CZ284" s="330">
        <f>'357-кисель шиповн'!C20/1000*200</f>
        <v>2.4E-2</v>
      </c>
      <c r="DA284" s="330"/>
      <c r="DB284" s="330"/>
      <c r="DC284" s="330"/>
      <c r="DD284" s="330"/>
      <c r="DE284" s="330"/>
      <c r="DF284" s="330"/>
      <c r="DG284" s="330"/>
      <c r="DH284" s="330">
        <f>'357-кисель шиповн'!C19/1000*200</f>
        <v>8.0000000000000002E-3</v>
      </c>
      <c r="DI284" s="330"/>
      <c r="DJ284" s="330"/>
      <c r="DK284" s="330"/>
      <c r="DL284" s="330"/>
      <c r="DM284" s="330"/>
      <c r="DN284" s="330"/>
      <c r="DO284" s="330"/>
      <c r="DP284" s="330"/>
      <c r="DQ284" s="330"/>
      <c r="DR284" s="330"/>
      <c r="DS284" s="330"/>
      <c r="DT284" s="330"/>
      <c r="DU284" s="330"/>
      <c r="DV284" s="330"/>
      <c r="DW284" s="330"/>
      <c r="DX284" s="330"/>
      <c r="DY284" s="330"/>
      <c r="DZ284" s="330"/>
      <c r="EA284" s="330"/>
      <c r="EB284" s="330"/>
      <c r="EC284" s="330"/>
      <c r="ED284" s="330"/>
      <c r="EE284" s="330"/>
      <c r="EF284" s="330"/>
      <c r="EG284" s="330"/>
      <c r="EH284" s="330"/>
      <c r="EI284" s="330"/>
      <c r="EJ284" s="330"/>
      <c r="EK284" s="330"/>
      <c r="EL284" s="330"/>
      <c r="EM284" s="330"/>
      <c r="EN284" s="330"/>
      <c r="EO284" s="330"/>
      <c r="EP284" s="330"/>
      <c r="EQ284" s="330"/>
      <c r="ER284" s="330"/>
      <c r="ES284" s="330"/>
      <c r="ET284" s="330"/>
      <c r="EU284" s="330"/>
      <c r="EV284" s="330"/>
      <c r="EW284" s="330"/>
      <c r="EX284" s="330"/>
      <c r="EY284" s="1032">
        <f t="shared" si="20"/>
        <v>4.2299999999999997E-2</v>
      </c>
    </row>
    <row r="285" spans="1:166" ht="14.7" customHeight="1" x14ac:dyDescent="0.25">
      <c r="A285" s="421">
        <v>281</v>
      </c>
      <c r="B285" s="169" t="str">
        <f>'375-чай заварка'!A9</f>
        <v>Чай-заварка</v>
      </c>
      <c r="C285" s="419">
        <f>'375-чай заварка'!C24</f>
        <v>1000</v>
      </c>
      <c r="D285" s="1211">
        <f>2/1000*C285</f>
        <v>2</v>
      </c>
      <c r="E285" s="1211">
        <f>0.51/1000*C285</f>
        <v>0.51</v>
      </c>
      <c r="F285" s="1211">
        <f>0.4/1000*C285</f>
        <v>0.4</v>
      </c>
      <c r="G285" s="1212">
        <f>14/1000*C285</f>
        <v>14</v>
      </c>
      <c r="H285" s="419">
        <f>'375-чай заварка'!J7</f>
        <v>375</v>
      </c>
      <c r="I285" s="1234">
        <f>'375-чай заварка'!F26</f>
        <v>9</v>
      </c>
      <c r="J285" s="330"/>
      <c r="K285" s="330"/>
      <c r="L285" s="330"/>
      <c r="M285" s="330"/>
      <c r="N285" s="330"/>
      <c r="O285" s="330"/>
      <c r="P285" s="330"/>
      <c r="Q285" s="330"/>
      <c r="R285" s="330"/>
      <c r="S285" s="330"/>
      <c r="T285" s="330"/>
      <c r="U285" s="330"/>
      <c r="V285" s="330"/>
      <c r="W285" s="330"/>
      <c r="X285" s="330"/>
      <c r="Y285" s="330"/>
      <c r="Z285" s="330"/>
      <c r="AA285" s="330"/>
      <c r="AB285" s="330"/>
      <c r="AC285" s="330"/>
      <c r="AD285" s="330"/>
      <c r="AE285" s="330"/>
      <c r="AF285" s="330"/>
      <c r="AG285" s="330"/>
      <c r="AH285" s="330"/>
      <c r="AI285" s="330"/>
      <c r="AJ285" s="330"/>
      <c r="AK285" s="330"/>
      <c r="AL285" s="330"/>
      <c r="AM285" s="330"/>
      <c r="AN285" s="330"/>
      <c r="AO285" s="330"/>
      <c r="AP285" s="330"/>
      <c r="AQ285" s="330"/>
      <c r="AR285" s="330"/>
      <c r="AS285" s="330"/>
      <c r="AT285" s="330"/>
      <c r="AU285" s="330"/>
      <c r="AV285" s="330"/>
      <c r="AW285" s="330"/>
      <c r="AX285" s="330"/>
      <c r="AY285" s="330"/>
      <c r="AZ285" s="330"/>
      <c r="BA285" s="330"/>
      <c r="BB285" s="330"/>
      <c r="BC285" s="330"/>
      <c r="BD285" s="330"/>
      <c r="BE285" s="330"/>
      <c r="BF285" s="330"/>
      <c r="BG285" s="330"/>
      <c r="BH285" s="330"/>
      <c r="BI285" s="330"/>
      <c r="BJ285" s="330"/>
      <c r="BK285" s="330"/>
      <c r="BL285" s="330"/>
      <c r="BM285" s="330"/>
      <c r="BN285" s="330"/>
      <c r="BO285" s="330"/>
      <c r="BP285" s="330"/>
      <c r="BQ285" s="330"/>
      <c r="BR285" s="330"/>
      <c r="BS285" s="330"/>
      <c r="BT285" s="330"/>
      <c r="BU285" s="330"/>
      <c r="BV285" s="330"/>
      <c r="BW285" s="330"/>
      <c r="BX285" s="330"/>
      <c r="BY285" s="330"/>
      <c r="BZ285" s="330"/>
      <c r="CA285" s="330"/>
      <c r="CB285" s="330"/>
      <c r="CC285" s="330"/>
      <c r="CD285" s="330"/>
      <c r="CE285" s="330"/>
      <c r="CF285" s="330"/>
      <c r="CG285" s="330"/>
      <c r="CH285" s="330"/>
      <c r="CI285" s="330"/>
      <c r="CJ285" s="330"/>
      <c r="CK285" s="330"/>
      <c r="CL285" s="330"/>
      <c r="CM285" s="330"/>
      <c r="CN285" s="330"/>
      <c r="CO285" s="330"/>
      <c r="CP285" s="330"/>
      <c r="CQ285" s="330"/>
      <c r="CR285" s="330"/>
      <c r="CS285" s="330"/>
      <c r="CT285" s="330"/>
      <c r="CU285" s="330"/>
      <c r="CV285" s="330"/>
      <c r="CW285" s="330"/>
      <c r="CX285" s="330"/>
      <c r="CY285" s="330"/>
      <c r="CZ285" s="330"/>
      <c r="DA285" s="330"/>
      <c r="DB285" s="330"/>
      <c r="DC285" s="330"/>
      <c r="DD285" s="330"/>
      <c r="DE285" s="330"/>
      <c r="DF285" s="330"/>
      <c r="DG285" s="330"/>
      <c r="DH285" s="330"/>
      <c r="DI285" s="330"/>
      <c r="DJ285" s="330"/>
      <c r="DK285" s="330"/>
      <c r="DL285" s="330"/>
      <c r="DM285" s="330"/>
      <c r="DN285" s="330"/>
      <c r="DO285" s="330"/>
      <c r="DP285" s="330"/>
      <c r="DQ285" s="330"/>
      <c r="DR285" s="330">
        <f>'375-чай заварка'!C19</f>
        <v>0.01</v>
      </c>
      <c r="DS285" s="330"/>
      <c r="DT285" s="330"/>
      <c r="DU285" s="330"/>
      <c r="DV285" s="330"/>
      <c r="DW285" s="330"/>
      <c r="DX285" s="330"/>
      <c r="DY285" s="330"/>
      <c r="DZ285" s="330"/>
      <c r="EA285" s="330"/>
      <c r="EB285" s="330"/>
      <c r="EC285" s="330"/>
      <c r="ED285" s="330"/>
      <c r="EE285" s="330"/>
      <c r="EF285" s="330"/>
      <c r="EG285" s="330"/>
      <c r="EH285" s="330"/>
      <c r="EI285" s="330"/>
      <c r="EJ285" s="330"/>
      <c r="EK285" s="330"/>
      <c r="EL285" s="330"/>
      <c r="EM285" s="330"/>
      <c r="EN285" s="330"/>
      <c r="EO285" s="330"/>
      <c r="EP285" s="330"/>
      <c r="EQ285" s="330"/>
      <c r="ER285" s="330"/>
      <c r="ES285" s="330"/>
      <c r="ET285" s="330"/>
      <c r="EU285" s="330"/>
      <c r="EV285" s="330"/>
      <c r="EW285" s="330"/>
      <c r="EX285" s="330"/>
      <c r="EY285" s="1032">
        <f t="shared" si="20"/>
        <v>0.01</v>
      </c>
    </row>
    <row r="286" spans="1:166" ht="14.7" customHeight="1" x14ac:dyDescent="0.25">
      <c r="A286" s="421">
        <v>282</v>
      </c>
      <c r="B286" s="169" t="str">
        <f>'376-чай сахар'!A9</f>
        <v>Чай с сахаром</v>
      </c>
      <c r="C286" s="419">
        <f>'376-чай сахар'!C25</f>
        <v>200</v>
      </c>
      <c r="D286" s="1211">
        <f>0.07/215*C286</f>
        <v>7.0000000000000007E-2</v>
      </c>
      <c r="E286" s="1211">
        <f>0.02/215*C286</f>
        <v>0.02</v>
      </c>
      <c r="F286" s="1211">
        <f>15/215*C286</f>
        <v>13.95</v>
      </c>
      <c r="G286" s="1212">
        <f>60/215*C286</f>
        <v>56</v>
      </c>
      <c r="H286" s="419">
        <f>'376-чай сахар'!J7</f>
        <v>376</v>
      </c>
      <c r="I286" s="1234">
        <f>'376-чай сахар'!F27</f>
        <v>1.59</v>
      </c>
      <c r="J286" s="330"/>
      <c r="K286" s="330"/>
      <c r="L286" s="330"/>
      <c r="M286" s="330"/>
      <c r="N286" s="330"/>
      <c r="O286" s="330"/>
      <c r="P286" s="330"/>
      <c r="Q286" s="330"/>
      <c r="R286" s="330"/>
      <c r="S286" s="330"/>
      <c r="T286" s="330"/>
      <c r="U286" s="330"/>
      <c r="V286" s="330"/>
      <c r="W286" s="330"/>
      <c r="X286" s="330"/>
      <c r="Y286" s="330"/>
      <c r="Z286" s="330"/>
      <c r="AA286" s="330"/>
      <c r="AB286" s="330"/>
      <c r="AC286" s="330"/>
      <c r="AD286" s="330"/>
      <c r="AE286" s="330"/>
      <c r="AF286" s="330"/>
      <c r="AG286" s="330"/>
      <c r="AH286" s="330"/>
      <c r="AI286" s="330"/>
      <c r="AJ286" s="330"/>
      <c r="AK286" s="330"/>
      <c r="AL286" s="330"/>
      <c r="AM286" s="330"/>
      <c r="AN286" s="330"/>
      <c r="AO286" s="330"/>
      <c r="AP286" s="330"/>
      <c r="AQ286" s="330"/>
      <c r="AR286" s="330"/>
      <c r="AS286" s="330"/>
      <c r="AT286" s="330"/>
      <c r="AU286" s="330"/>
      <c r="AV286" s="330"/>
      <c r="AW286" s="330"/>
      <c r="AX286" s="330"/>
      <c r="AY286" s="330"/>
      <c r="AZ286" s="330"/>
      <c r="BA286" s="330"/>
      <c r="BB286" s="330"/>
      <c r="BC286" s="330"/>
      <c r="BD286" s="330"/>
      <c r="BE286" s="330"/>
      <c r="BF286" s="330"/>
      <c r="BG286" s="330"/>
      <c r="BH286" s="330"/>
      <c r="BI286" s="330"/>
      <c r="BJ286" s="330"/>
      <c r="BK286" s="330"/>
      <c r="BL286" s="330"/>
      <c r="BM286" s="330"/>
      <c r="BN286" s="330"/>
      <c r="BO286" s="330"/>
      <c r="BP286" s="330"/>
      <c r="BQ286" s="330"/>
      <c r="BR286" s="330"/>
      <c r="BS286" s="330"/>
      <c r="BT286" s="330"/>
      <c r="BU286" s="330"/>
      <c r="BV286" s="330"/>
      <c r="BW286" s="330"/>
      <c r="BX286" s="330"/>
      <c r="BY286" s="330"/>
      <c r="BZ286" s="330"/>
      <c r="CA286" s="330"/>
      <c r="CB286" s="330"/>
      <c r="CC286" s="330"/>
      <c r="CD286" s="330"/>
      <c r="CE286" s="330"/>
      <c r="CF286" s="330"/>
      <c r="CG286" s="330"/>
      <c r="CH286" s="330"/>
      <c r="CI286" s="330"/>
      <c r="CJ286" s="330"/>
      <c r="CK286" s="330"/>
      <c r="CL286" s="330"/>
      <c r="CM286" s="330"/>
      <c r="CN286" s="330"/>
      <c r="CO286" s="330"/>
      <c r="CP286" s="330"/>
      <c r="CQ286" s="330"/>
      <c r="CR286" s="330"/>
      <c r="CS286" s="330"/>
      <c r="CT286" s="330"/>
      <c r="CU286" s="330"/>
      <c r="CV286" s="330"/>
      <c r="CW286" s="330"/>
      <c r="CX286" s="330"/>
      <c r="CY286" s="330"/>
      <c r="CZ286" s="330">
        <f>'376-чай сахар'!C20</f>
        <v>1.4999999999999999E-2</v>
      </c>
      <c r="DA286" s="330"/>
      <c r="DB286" s="330"/>
      <c r="DC286" s="330"/>
      <c r="DD286" s="330"/>
      <c r="DE286" s="330"/>
      <c r="DF286" s="330"/>
      <c r="DG286" s="330"/>
      <c r="DH286" s="330"/>
      <c r="DI286" s="330"/>
      <c r="DJ286" s="330"/>
      <c r="DK286" s="330"/>
      <c r="DL286" s="330"/>
      <c r="DM286" s="330"/>
      <c r="DN286" s="330"/>
      <c r="DO286" s="330"/>
      <c r="DP286" s="330"/>
      <c r="DQ286" s="330"/>
      <c r="DR286" s="330">
        <f>'375-чай заварка'!C19*'376-чай сахар'!C19</f>
        <v>5.0000000000000001E-4</v>
      </c>
      <c r="DS286" s="330"/>
      <c r="DT286" s="330"/>
      <c r="DU286" s="330"/>
      <c r="DV286" s="330"/>
      <c r="DW286" s="330"/>
      <c r="DX286" s="330"/>
      <c r="DY286" s="330"/>
      <c r="DZ286" s="330"/>
      <c r="EA286" s="330"/>
      <c r="EB286" s="330"/>
      <c r="EC286" s="330"/>
      <c r="ED286" s="330"/>
      <c r="EE286" s="330"/>
      <c r="EF286" s="330"/>
      <c r="EG286" s="330"/>
      <c r="EH286" s="330"/>
      <c r="EI286" s="330"/>
      <c r="EJ286" s="330"/>
      <c r="EK286" s="330"/>
      <c r="EL286" s="330"/>
      <c r="EM286" s="330"/>
      <c r="EN286" s="330"/>
      <c r="EO286" s="330"/>
      <c r="EP286" s="330"/>
      <c r="EQ286" s="330"/>
      <c r="ER286" s="330"/>
      <c r="ES286" s="330"/>
      <c r="ET286" s="330"/>
      <c r="EU286" s="330"/>
      <c r="EV286" s="330"/>
      <c r="EW286" s="330"/>
      <c r="EX286" s="330"/>
      <c r="EY286" s="1032">
        <f t="shared" si="20"/>
        <v>1.55E-2</v>
      </c>
    </row>
    <row r="287" spans="1:166" s="1170" customFormat="1" ht="14.7" customHeight="1" x14ac:dyDescent="0.25">
      <c r="A287" s="421">
        <v>283</v>
      </c>
      <c r="B287" s="417" t="str">
        <f>'376-чай с вареньем'!A9</f>
        <v>Чай с вареньем</v>
      </c>
      <c r="C287" s="419">
        <f>'376-чай с вареньем'!C25</f>
        <v>220</v>
      </c>
      <c r="D287" s="1211">
        <f>0.13/220*C287</f>
        <v>0.13</v>
      </c>
      <c r="E287" s="1211">
        <f>0.07/220*C287</f>
        <v>7.0000000000000007E-2</v>
      </c>
      <c r="F287" s="1211">
        <f>13.65/220*C287</f>
        <v>13.65</v>
      </c>
      <c r="G287" s="1212">
        <f>56/220*C287</f>
        <v>56</v>
      </c>
      <c r="H287" s="419">
        <f>'376-чай с вареньем'!J7</f>
        <v>376</v>
      </c>
      <c r="I287" s="1234">
        <f>'376-чай с вареньем'!F27</f>
        <v>8.4499999999999993</v>
      </c>
      <c r="J287" s="330"/>
      <c r="K287" s="330"/>
      <c r="L287" s="330"/>
      <c r="M287" s="330"/>
      <c r="N287" s="330"/>
      <c r="O287" s="330"/>
      <c r="P287" s="330"/>
      <c r="Q287" s="330"/>
      <c r="R287" s="330"/>
      <c r="S287" s="330"/>
      <c r="T287" s="330"/>
      <c r="U287" s="330"/>
      <c r="V287" s="330"/>
      <c r="W287" s="330"/>
      <c r="X287" s="330"/>
      <c r="Y287" s="330"/>
      <c r="Z287" s="330"/>
      <c r="AA287" s="330"/>
      <c r="AB287" s="330"/>
      <c r="AC287" s="330"/>
      <c r="AD287" s="330"/>
      <c r="AE287" s="330"/>
      <c r="AF287" s="330"/>
      <c r="AG287" s="330"/>
      <c r="AH287" s="330"/>
      <c r="AI287" s="330"/>
      <c r="AJ287" s="330"/>
      <c r="AK287" s="330"/>
      <c r="AL287" s="330"/>
      <c r="AM287" s="330"/>
      <c r="AN287" s="330"/>
      <c r="AO287" s="330"/>
      <c r="AP287" s="330"/>
      <c r="AQ287" s="330"/>
      <c r="AR287" s="330"/>
      <c r="AS287" s="330"/>
      <c r="AT287" s="330"/>
      <c r="AU287" s="330"/>
      <c r="AV287" s="330"/>
      <c r="AW287" s="330"/>
      <c r="AX287" s="330"/>
      <c r="AY287" s="330"/>
      <c r="AZ287" s="330"/>
      <c r="BA287" s="330"/>
      <c r="BB287" s="330"/>
      <c r="BC287" s="330"/>
      <c r="BD287" s="330"/>
      <c r="BE287" s="330"/>
      <c r="BF287" s="330"/>
      <c r="BG287" s="330"/>
      <c r="BH287" s="330"/>
      <c r="BI287" s="330"/>
      <c r="BJ287" s="330"/>
      <c r="BK287" s="330"/>
      <c r="BL287" s="330"/>
      <c r="BM287" s="330"/>
      <c r="BN287" s="330"/>
      <c r="BO287" s="330"/>
      <c r="BP287" s="330"/>
      <c r="BQ287" s="330"/>
      <c r="BR287" s="330"/>
      <c r="BS287" s="330"/>
      <c r="BT287" s="330"/>
      <c r="BU287" s="330"/>
      <c r="BV287" s="330"/>
      <c r="BW287" s="330"/>
      <c r="BX287" s="330"/>
      <c r="BY287" s="330"/>
      <c r="BZ287" s="330"/>
      <c r="CA287" s="330"/>
      <c r="CB287" s="330"/>
      <c r="CC287" s="330"/>
      <c r="CD287" s="330"/>
      <c r="CE287" s="330"/>
      <c r="CF287" s="330"/>
      <c r="CG287" s="330"/>
      <c r="CH287" s="330"/>
      <c r="CI287" s="330"/>
      <c r="CJ287" s="330"/>
      <c r="CK287" s="330"/>
      <c r="CL287" s="330"/>
      <c r="CM287" s="330"/>
      <c r="CN287" s="330"/>
      <c r="CO287" s="330"/>
      <c r="CP287" s="330"/>
      <c r="CQ287" s="330"/>
      <c r="CR287" s="330"/>
      <c r="CS287" s="330"/>
      <c r="CT287" s="330"/>
      <c r="CU287" s="330"/>
      <c r="CV287" s="330"/>
      <c r="CW287" s="330"/>
      <c r="CX287" s="330"/>
      <c r="CY287" s="330">
        <f>'376-чай с вареньем'!C20</f>
        <v>0.02</v>
      </c>
      <c r="CZ287" s="330"/>
      <c r="DA287" s="330"/>
      <c r="DB287" s="330"/>
      <c r="DC287" s="330"/>
      <c r="DD287" s="330"/>
      <c r="DE287" s="330"/>
      <c r="DF287" s="330"/>
      <c r="DG287" s="330"/>
      <c r="DH287" s="330"/>
      <c r="DI287" s="330"/>
      <c r="DJ287" s="330"/>
      <c r="DK287" s="330"/>
      <c r="DL287" s="330"/>
      <c r="DM287" s="330"/>
      <c r="DN287" s="330"/>
      <c r="DO287" s="330"/>
      <c r="DP287" s="330"/>
      <c r="DQ287" s="330"/>
      <c r="DR287" s="330">
        <f>'375-чай заварка'!C19*'376-чай с вареньем'!C19</f>
        <v>5.0000000000000001E-4</v>
      </c>
      <c r="DS287" s="330"/>
      <c r="DT287" s="330"/>
      <c r="DU287" s="330"/>
      <c r="DV287" s="330"/>
      <c r="DW287" s="330"/>
      <c r="DX287" s="330"/>
      <c r="DY287" s="330"/>
      <c r="DZ287" s="330"/>
      <c r="EA287" s="330"/>
      <c r="EB287" s="330"/>
      <c r="EC287" s="330"/>
      <c r="ED287" s="330"/>
      <c r="EE287" s="330"/>
      <c r="EF287" s="330"/>
      <c r="EG287" s="330"/>
      <c r="EH287" s="330"/>
      <c r="EI287" s="330"/>
      <c r="EJ287" s="330"/>
      <c r="EK287" s="330"/>
      <c r="EL287" s="330"/>
      <c r="EM287" s="330"/>
      <c r="EN287" s="330"/>
      <c r="EO287" s="330"/>
      <c r="EP287" s="330"/>
      <c r="EQ287" s="330"/>
      <c r="ER287" s="330"/>
      <c r="ES287" s="330"/>
      <c r="ET287" s="330"/>
      <c r="EU287" s="330"/>
      <c r="EV287" s="330"/>
      <c r="EW287" s="330"/>
      <c r="EX287" s="330"/>
      <c r="EY287" s="1032">
        <f t="shared" si="20"/>
        <v>2.0500000000000001E-2</v>
      </c>
      <c r="EZ287" s="616"/>
      <c r="FA287" s="616"/>
      <c r="FB287" s="616"/>
      <c r="FC287" s="616"/>
      <c r="FD287" s="616"/>
      <c r="FE287" s="616"/>
      <c r="FF287" s="616"/>
      <c r="FG287" s="616"/>
      <c r="FH287" s="616"/>
      <c r="FI287" s="616"/>
      <c r="FJ287" s="616"/>
    </row>
    <row r="288" spans="1:166" ht="14.7" customHeight="1" x14ac:dyDescent="0.25">
      <c r="A288" s="421">
        <v>284</v>
      </c>
      <c r="B288" s="169" t="str">
        <f>'377-чай с лимон'!A9</f>
        <v>Чай с лимоном</v>
      </c>
      <c r="C288" s="419">
        <f>'377-чай с лимон'!C26</f>
        <v>200</v>
      </c>
      <c r="D288" s="1211">
        <f>0.13/222*C288</f>
        <v>0.12</v>
      </c>
      <c r="E288" s="1211">
        <f>0.02/222*C288</f>
        <v>0.02</v>
      </c>
      <c r="F288" s="1211">
        <f>15.2/222*C288</f>
        <v>13.69</v>
      </c>
      <c r="G288" s="1212">
        <f>62/222*C288</f>
        <v>56</v>
      </c>
      <c r="H288" s="419">
        <f>'377-чай с лимон'!J7</f>
        <v>377</v>
      </c>
      <c r="I288" s="1234">
        <f>'377-чай с лимон'!F28</f>
        <v>3.03</v>
      </c>
      <c r="J288" s="330"/>
      <c r="K288" s="330"/>
      <c r="L288" s="330"/>
      <c r="M288" s="330"/>
      <c r="N288" s="330"/>
      <c r="O288" s="330"/>
      <c r="P288" s="330"/>
      <c r="Q288" s="330"/>
      <c r="R288" s="330"/>
      <c r="S288" s="330"/>
      <c r="T288" s="330"/>
      <c r="U288" s="330"/>
      <c r="V288" s="330"/>
      <c r="W288" s="330"/>
      <c r="X288" s="330"/>
      <c r="Y288" s="330"/>
      <c r="Z288" s="330"/>
      <c r="AA288" s="330"/>
      <c r="AB288" s="330"/>
      <c r="AC288" s="330"/>
      <c r="AD288" s="330"/>
      <c r="AE288" s="330"/>
      <c r="AF288" s="330"/>
      <c r="AG288" s="330"/>
      <c r="AH288" s="330"/>
      <c r="AI288" s="330"/>
      <c r="AJ288" s="330">
        <f>'377-чай с лимон'!C20</f>
        <v>8.0000000000000002E-3</v>
      </c>
      <c r="AK288" s="330"/>
      <c r="AL288" s="330"/>
      <c r="AM288" s="330"/>
      <c r="AN288" s="330"/>
      <c r="AO288" s="330"/>
      <c r="AP288" s="330"/>
      <c r="AQ288" s="330"/>
      <c r="AR288" s="330"/>
      <c r="AS288" s="330"/>
      <c r="AT288" s="330"/>
      <c r="AU288" s="330"/>
      <c r="AV288" s="330"/>
      <c r="AW288" s="330"/>
      <c r="AX288" s="330"/>
      <c r="AY288" s="330"/>
      <c r="AZ288" s="330"/>
      <c r="BA288" s="330"/>
      <c r="BB288" s="330"/>
      <c r="BC288" s="330"/>
      <c r="BD288" s="330"/>
      <c r="BE288" s="330"/>
      <c r="BF288" s="330"/>
      <c r="BG288" s="330"/>
      <c r="BH288" s="330"/>
      <c r="BI288" s="330"/>
      <c r="BJ288" s="330"/>
      <c r="BK288" s="330"/>
      <c r="BL288" s="330"/>
      <c r="BM288" s="330"/>
      <c r="BN288" s="330"/>
      <c r="BO288" s="330"/>
      <c r="BP288" s="330"/>
      <c r="BQ288" s="330"/>
      <c r="BR288" s="330"/>
      <c r="BS288" s="330"/>
      <c r="BT288" s="330"/>
      <c r="BU288" s="330"/>
      <c r="BV288" s="330"/>
      <c r="BW288" s="330"/>
      <c r="BX288" s="330"/>
      <c r="BY288" s="330"/>
      <c r="BZ288" s="330"/>
      <c r="CA288" s="330"/>
      <c r="CB288" s="330"/>
      <c r="CC288" s="330"/>
      <c r="CD288" s="330"/>
      <c r="CE288" s="330"/>
      <c r="CF288" s="330"/>
      <c r="CG288" s="330"/>
      <c r="CH288" s="330"/>
      <c r="CI288" s="330"/>
      <c r="CJ288" s="330"/>
      <c r="CK288" s="330"/>
      <c r="CL288" s="330"/>
      <c r="CM288" s="330"/>
      <c r="CN288" s="330"/>
      <c r="CO288" s="330"/>
      <c r="CP288" s="330"/>
      <c r="CQ288" s="330"/>
      <c r="CR288" s="330"/>
      <c r="CS288" s="330"/>
      <c r="CT288" s="330"/>
      <c r="CU288" s="330"/>
      <c r="CV288" s="330"/>
      <c r="CW288" s="330"/>
      <c r="CX288" s="330"/>
      <c r="CY288" s="330"/>
      <c r="CZ288" s="330">
        <f>'377-чай с лимон'!C21</f>
        <v>1.4999999999999999E-2</v>
      </c>
      <c r="DA288" s="330"/>
      <c r="DB288" s="330"/>
      <c r="DC288" s="330"/>
      <c r="DD288" s="330"/>
      <c r="DE288" s="330"/>
      <c r="DF288" s="330"/>
      <c r="DG288" s="330"/>
      <c r="DH288" s="330"/>
      <c r="DI288" s="330"/>
      <c r="DJ288" s="330"/>
      <c r="DK288" s="330"/>
      <c r="DL288" s="330"/>
      <c r="DM288" s="330"/>
      <c r="DN288" s="330"/>
      <c r="DO288" s="330"/>
      <c r="DP288" s="330"/>
      <c r="DQ288" s="330"/>
      <c r="DR288" s="330">
        <f>'375-чай заварка'!C19*'377-чай с лимон'!C19</f>
        <v>5.0000000000000001E-4</v>
      </c>
      <c r="DS288" s="330"/>
      <c r="DT288" s="330"/>
      <c r="DU288" s="330"/>
      <c r="DV288" s="330"/>
      <c r="DW288" s="330"/>
      <c r="DX288" s="330"/>
      <c r="DY288" s="330"/>
      <c r="DZ288" s="330"/>
      <c r="EA288" s="330"/>
      <c r="EB288" s="330"/>
      <c r="EC288" s="330"/>
      <c r="ED288" s="330"/>
      <c r="EE288" s="330"/>
      <c r="EF288" s="330"/>
      <c r="EG288" s="330"/>
      <c r="EH288" s="330"/>
      <c r="EI288" s="330"/>
      <c r="EJ288" s="330"/>
      <c r="EK288" s="330"/>
      <c r="EL288" s="330"/>
      <c r="EM288" s="330"/>
      <c r="EN288" s="330"/>
      <c r="EO288" s="330"/>
      <c r="EP288" s="330"/>
      <c r="EQ288" s="330"/>
      <c r="ER288" s="330"/>
      <c r="ES288" s="330"/>
      <c r="ET288" s="330"/>
      <c r="EU288" s="330"/>
      <c r="EV288" s="330"/>
      <c r="EW288" s="330"/>
      <c r="EX288" s="330"/>
      <c r="EY288" s="1032">
        <f t="shared" si="20"/>
        <v>2.35E-2</v>
      </c>
    </row>
    <row r="289" spans="1:166" ht="14.7" customHeight="1" x14ac:dyDescent="0.25">
      <c r="A289" s="421">
        <v>285</v>
      </c>
      <c r="B289" s="169" t="str">
        <f>'378-чай с молоком'!A9</f>
        <v>Чай с молоком</v>
      </c>
      <c r="C289" s="419">
        <f>'378-чай с молоком'!C26</f>
        <v>215</v>
      </c>
      <c r="D289" s="1211">
        <f>1.52/215*C289</f>
        <v>1.52</v>
      </c>
      <c r="E289" s="1211">
        <f>1.35/215*C289</f>
        <v>1.35</v>
      </c>
      <c r="F289" s="1211">
        <f>15.9/215*C289</f>
        <v>15.9</v>
      </c>
      <c r="G289" s="1212">
        <f>81/215*C289</f>
        <v>81</v>
      </c>
      <c r="H289" s="419">
        <f>'378-чай с молоком'!J7</f>
        <v>378</v>
      </c>
      <c r="I289" s="1234">
        <f>'378-чай с молоком'!F28</f>
        <v>5.67</v>
      </c>
      <c r="J289" s="330"/>
      <c r="K289" s="330"/>
      <c r="L289" s="330"/>
      <c r="M289" s="330"/>
      <c r="N289" s="330"/>
      <c r="O289" s="330"/>
      <c r="P289" s="330"/>
      <c r="Q289" s="330"/>
      <c r="R289" s="330"/>
      <c r="S289" s="330"/>
      <c r="T289" s="330"/>
      <c r="U289" s="330">
        <f>'378-чай с молоком'!C21</f>
        <v>5.0999999999999997E-2</v>
      </c>
      <c r="V289" s="330"/>
      <c r="W289" s="330"/>
      <c r="X289" s="330"/>
      <c r="Y289" s="330"/>
      <c r="Z289" s="330"/>
      <c r="AA289" s="330"/>
      <c r="AB289" s="330"/>
      <c r="AC289" s="330"/>
      <c r="AD289" s="330"/>
      <c r="AE289" s="330"/>
      <c r="AF289" s="330"/>
      <c r="AG289" s="330"/>
      <c r="AH289" s="330"/>
      <c r="AI289" s="330"/>
      <c r="AJ289" s="330"/>
      <c r="AK289" s="330"/>
      <c r="AL289" s="330"/>
      <c r="AM289" s="330"/>
      <c r="AN289" s="330"/>
      <c r="AO289" s="330"/>
      <c r="AP289" s="330"/>
      <c r="AQ289" s="330"/>
      <c r="AR289" s="330"/>
      <c r="AS289" s="330"/>
      <c r="AT289" s="330"/>
      <c r="AU289" s="330"/>
      <c r="AV289" s="330"/>
      <c r="AW289" s="330"/>
      <c r="AX289" s="330"/>
      <c r="AY289" s="330"/>
      <c r="AZ289" s="330"/>
      <c r="BA289" s="330"/>
      <c r="BB289" s="330"/>
      <c r="BC289" s="330"/>
      <c r="BD289" s="330"/>
      <c r="BE289" s="330"/>
      <c r="BF289" s="330"/>
      <c r="BG289" s="330"/>
      <c r="BH289" s="330"/>
      <c r="BI289" s="330"/>
      <c r="BJ289" s="330"/>
      <c r="BK289" s="330"/>
      <c r="BL289" s="330"/>
      <c r="BM289" s="330"/>
      <c r="BN289" s="330"/>
      <c r="BO289" s="330"/>
      <c r="BP289" s="330"/>
      <c r="BQ289" s="330"/>
      <c r="BR289" s="330"/>
      <c r="BS289" s="330"/>
      <c r="BT289" s="330"/>
      <c r="BU289" s="330"/>
      <c r="BV289" s="330"/>
      <c r="BW289" s="330"/>
      <c r="BX289" s="330"/>
      <c r="BY289" s="330"/>
      <c r="BZ289" s="330"/>
      <c r="CA289" s="330"/>
      <c r="CB289" s="330"/>
      <c r="CC289" s="330"/>
      <c r="CD289" s="330"/>
      <c r="CE289" s="330"/>
      <c r="CF289" s="330"/>
      <c r="CG289" s="330"/>
      <c r="CH289" s="330"/>
      <c r="CI289" s="330"/>
      <c r="CJ289" s="330"/>
      <c r="CK289" s="330"/>
      <c r="CL289" s="330"/>
      <c r="CM289" s="330"/>
      <c r="CN289" s="330"/>
      <c r="CO289" s="330"/>
      <c r="CP289" s="330"/>
      <c r="CQ289" s="330"/>
      <c r="CR289" s="330"/>
      <c r="CS289" s="330"/>
      <c r="CT289" s="330"/>
      <c r="CU289" s="330"/>
      <c r="CV289" s="330"/>
      <c r="CW289" s="330"/>
      <c r="CX289" s="330"/>
      <c r="CY289" s="330"/>
      <c r="CZ289" s="330">
        <f>'378-чай с молоком'!C20</f>
        <v>1.4999999999999999E-2</v>
      </c>
      <c r="DA289" s="330"/>
      <c r="DB289" s="330"/>
      <c r="DC289" s="330"/>
      <c r="DD289" s="330"/>
      <c r="DE289" s="330"/>
      <c r="DF289" s="330"/>
      <c r="DG289" s="330"/>
      <c r="DH289" s="330"/>
      <c r="DI289" s="330"/>
      <c r="DJ289" s="330"/>
      <c r="DK289" s="330"/>
      <c r="DL289" s="330"/>
      <c r="DM289" s="330"/>
      <c r="DN289" s="330"/>
      <c r="DO289" s="330"/>
      <c r="DP289" s="330"/>
      <c r="DQ289" s="330"/>
      <c r="DR289" s="330">
        <f>'375-чай заварка'!C19*'378-чай с молоком'!C19</f>
        <v>5.0000000000000001E-4</v>
      </c>
      <c r="DS289" s="330"/>
      <c r="DT289" s="330"/>
      <c r="DU289" s="330"/>
      <c r="DV289" s="330"/>
      <c r="DW289" s="330"/>
      <c r="DX289" s="330"/>
      <c r="DY289" s="330"/>
      <c r="DZ289" s="330"/>
      <c r="EA289" s="330"/>
      <c r="EB289" s="330"/>
      <c r="EC289" s="330"/>
      <c r="ED289" s="330"/>
      <c r="EE289" s="330"/>
      <c r="EF289" s="330"/>
      <c r="EG289" s="330"/>
      <c r="EH289" s="330"/>
      <c r="EI289" s="330"/>
      <c r="EJ289" s="330"/>
      <c r="EK289" s="330"/>
      <c r="EL289" s="330"/>
      <c r="EM289" s="330"/>
      <c r="EN289" s="330"/>
      <c r="EO289" s="330"/>
      <c r="EP289" s="330"/>
      <c r="EQ289" s="330"/>
      <c r="ER289" s="330"/>
      <c r="ES289" s="330"/>
      <c r="ET289" s="330"/>
      <c r="EU289" s="330"/>
      <c r="EV289" s="330"/>
      <c r="EW289" s="330"/>
      <c r="EX289" s="330"/>
      <c r="EY289" s="1032">
        <f t="shared" si="20"/>
        <v>6.6500000000000004E-2</v>
      </c>
    </row>
    <row r="290" spans="1:166" ht="14.7" customHeight="1" x14ac:dyDescent="0.25">
      <c r="A290" s="421">
        <v>286</v>
      </c>
      <c r="B290" s="169" t="str">
        <f>'379-кофейный напиток с молоком'!A9</f>
        <v>Кофейный напиток с молоком</v>
      </c>
      <c r="C290" s="419">
        <f>'379-кофейный напиток с молоком'!C26</f>
        <v>200</v>
      </c>
      <c r="D290" s="1211">
        <f>5.83/1000*C290</f>
        <v>1.17</v>
      </c>
      <c r="E290" s="1211">
        <f>13.39/1000*C290</f>
        <v>2.68</v>
      </c>
      <c r="F290" s="1211">
        <f>79.73/1000*C290</f>
        <v>15.95</v>
      </c>
      <c r="G290" s="1212">
        <f>503/1000*C290</f>
        <v>101</v>
      </c>
      <c r="H290" s="419">
        <f>'379-кофейный напиток с молоком'!J7</f>
        <v>379</v>
      </c>
      <c r="I290" s="1234">
        <f>'379-кофейный напиток с молоком'!F28</f>
        <v>11.7</v>
      </c>
      <c r="J290" s="330"/>
      <c r="K290" s="330"/>
      <c r="L290" s="330"/>
      <c r="M290" s="330"/>
      <c r="N290" s="330"/>
      <c r="O290" s="330"/>
      <c r="P290" s="330"/>
      <c r="Q290" s="330"/>
      <c r="R290" s="330"/>
      <c r="S290" s="330"/>
      <c r="T290" s="330"/>
      <c r="U290" s="330">
        <f>'379-кофейный напиток с молоком'!C22/1000*200</f>
        <v>0.1</v>
      </c>
      <c r="V290" s="330"/>
      <c r="W290" s="330"/>
      <c r="X290" s="330"/>
      <c r="Y290" s="330"/>
      <c r="Z290" s="330"/>
      <c r="AA290" s="330"/>
      <c r="AB290" s="330"/>
      <c r="AC290" s="330"/>
      <c r="AD290" s="330"/>
      <c r="AE290" s="330"/>
      <c r="AF290" s="330"/>
      <c r="AG290" s="330"/>
      <c r="AH290" s="330"/>
      <c r="AI290" s="330"/>
      <c r="AJ290" s="330"/>
      <c r="AK290" s="330"/>
      <c r="AL290" s="330"/>
      <c r="AM290" s="330"/>
      <c r="AN290" s="330"/>
      <c r="AO290" s="330"/>
      <c r="AP290" s="330"/>
      <c r="AQ290" s="330"/>
      <c r="AR290" s="330"/>
      <c r="AS290" s="330"/>
      <c r="AT290" s="330"/>
      <c r="AU290" s="330"/>
      <c r="AV290" s="330"/>
      <c r="AW290" s="330"/>
      <c r="AX290" s="330"/>
      <c r="AY290" s="330"/>
      <c r="AZ290" s="330"/>
      <c r="BA290" s="330"/>
      <c r="BB290" s="330"/>
      <c r="BC290" s="330"/>
      <c r="BD290" s="330"/>
      <c r="BE290" s="330"/>
      <c r="BF290" s="330"/>
      <c r="BG290" s="330"/>
      <c r="BH290" s="330"/>
      <c r="BI290" s="330"/>
      <c r="BJ290" s="330"/>
      <c r="BK290" s="330"/>
      <c r="BL290" s="330"/>
      <c r="BM290" s="330"/>
      <c r="BN290" s="330"/>
      <c r="BO290" s="330"/>
      <c r="BP290" s="330"/>
      <c r="BQ290" s="330"/>
      <c r="BR290" s="330"/>
      <c r="BS290" s="330"/>
      <c r="BT290" s="330"/>
      <c r="BU290" s="330"/>
      <c r="BV290" s="330"/>
      <c r="BW290" s="330"/>
      <c r="BX290" s="330"/>
      <c r="BY290" s="330"/>
      <c r="BZ290" s="330"/>
      <c r="CA290" s="330"/>
      <c r="CB290" s="330"/>
      <c r="CC290" s="330"/>
      <c r="CD290" s="330"/>
      <c r="CE290" s="330"/>
      <c r="CF290" s="330"/>
      <c r="CG290" s="330"/>
      <c r="CH290" s="330"/>
      <c r="CI290" s="330"/>
      <c r="CJ290" s="330"/>
      <c r="CK290" s="330"/>
      <c r="CL290" s="330"/>
      <c r="CM290" s="330"/>
      <c r="CN290" s="330"/>
      <c r="CO290" s="330">
        <f>'379-кофейный напиток с молоком'!C19/1000*200</f>
        <v>5.0000000000000001E-3</v>
      </c>
      <c r="CP290" s="330"/>
      <c r="CQ290" s="330"/>
      <c r="CR290" s="330"/>
      <c r="CS290" s="330"/>
      <c r="CT290" s="330"/>
      <c r="CU290" s="330"/>
      <c r="CV290" s="330"/>
      <c r="CW290" s="330"/>
      <c r="CX290" s="330"/>
      <c r="CY290" s="330"/>
      <c r="CZ290" s="330">
        <f>'379-кофейный напиток с молоком'!C21/1000*200</f>
        <v>0.02</v>
      </c>
      <c r="DA290" s="330"/>
      <c r="DB290" s="330"/>
      <c r="DC290" s="330"/>
      <c r="DD290" s="330"/>
      <c r="DE290" s="330"/>
      <c r="DF290" s="330"/>
      <c r="DG290" s="330"/>
      <c r="DH290" s="330"/>
      <c r="DI290" s="330"/>
      <c r="DJ290" s="330"/>
      <c r="DK290" s="330"/>
      <c r="DL290" s="330"/>
      <c r="DM290" s="330"/>
      <c r="DN290" s="330"/>
      <c r="DO290" s="330"/>
      <c r="DP290" s="330"/>
      <c r="DQ290" s="330"/>
      <c r="DR290" s="330"/>
      <c r="DS290" s="330"/>
      <c r="DT290" s="330"/>
      <c r="DU290" s="330"/>
      <c r="DV290" s="330"/>
      <c r="DW290" s="330"/>
      <c r="DX290" s="330"/>
      <c r="DY290" s="330"/>
      <c r="DZ290" s="330"/>
      <c r="EA290" s="330"/>
      <c r="EB290" s="330"/>
      <c r="EC290" s="330"/>
      <c r="ED290" s="330"/>
      <c r="EE290" s="330"/>
      <c r="EF290" s="330"/>
      <c r="EG290" s="330"/>
      <c r="EH290" s="330"/>
      <c r="EI290" s="330"/>
      <c r="EJ290" s="330"/>
      <c r="EK290" s="330"/>
      <c r="EL290" s="330"/>
      <c r="EM290" s="330"/>
      <c r="EN290" s="330"/>
      <c r="EO290" s="330"/>
      <c r="EP290" s="330"/>
      <c r="EQ290" s="330"/>
      <c r="ER290" s="330"/>
      <c r="ES290" s="330"/>
      <c r="ET290" s="330"/>
      <c r="EU290" s="330"/>
      <c r="EV290" s="330"/>
      <c r="EW290" s="330"/>
      <c r="EX290" s="330"/>
      <c r="EY290" s="1032">
        <f t="shared" si="20"/>
        <v>0.125</v>
      </c>
    </row>
    <row r="291" spans="1:166" ht="14.7" customHeight="1" x14ac:dyDescent="0.25">
      <c r="A291" s="421">
        <v>287</v>
      </c>
      <c r="B291" s="169" t="str">
        <f>'380-кофейный напиток со сгущ'!A9</f>
        <v>Кофейный напиток с молоком сгущенным</v>
      </c>
      <c r="C291" s="419">
        <f>'380-кофейный напиток со сгущ'!C25</f>
        <v>200</v>
      </c>
      <c r="D291" s="1211">
        <f>14.72/1000*C291</f>
        <v>2.94</v>
      </c>
      <c r="E291" s="1211">
        <f>9.94/1000*C291</f>
        <v>1.99</v>
      </c>
      <c r="F291" s="1211">
        <f>104.91/1000*C291</f>
        <v>20.98</v>
      </c>
      <c r="G291" s="1212">
        <f>567/1000*C291</f>
        <v>113</v>
      </c>
      <c r="H291" s="419">
        <f>'380-кофейный напиток со сгущ'!J7</f>
        <v>380</v>
      </c>
      <c r="I291" s="1234">
        <f>'380-кофейный напиток со сгущ'!F27</f>
        <v>12.18</v>
      </c>
      <c r="J291" s="330"/>
      <c r="K291" s="330"/>
      <c r="L291" s="330"/>
      <c r="M291" s="330"/>
      <c r="N291" s="330"/>
      <c r="O291" s="330"/>
      <c r="P291" s="330"/>
      <c r="Q291" s="330"/>
      <c r="R291" s="330"/>
      <c r="S291" s="330"/>
      <c r="T291" s="330"/>
      <c r="U291" s="330"/>
      <c r="V291" s="330"/>
      <c r="W291" s="330"/>
      <c r="X291" s="330"/>
      <c r="Y291" s="330"/>
      <c r="Z291" s="330">
        <f>'380-кофейный напиток со сгущ'!C20/5</f>
        <v>0.04</v>
      </c>
      <c r="AA291" s="330"/>
      <c r="AB291" s="330"/>
      <c r="AC291" s="330"/>
      <c r="AD291" s="330"/>
      <c r="AE291" s="330"/>
      <c r="AF291" s="330"/>
      <c r="AG291" s="330"/>
      <c r="AH291" s="330"/>
      <c r="AI291" s="330"/>
      <c r="AJ291" s="330"/>
      <c r="AK291" s="330"/>
      <c r="AL291" s="330"/>
      <c r="AM291" s="330"/>
      <c r="AN291" s="330"/>
      <c r="AO291" s="330"/>
      <c r="AP291" s="330"/>
      <c r="AQ291" s="330"/>
      <c r="AR291" s="330"/>
      <c r="AS291" s="330"/>
      <c r="AT291" s="330"/>
      <c r="AU291" s="330"/>
      <c r="AV291" s="330"/>
      <c r="AW291" s="330"/>
      <c r="AX291" s="330"/>
      <c r="AY291" s="330"/>
      <c r="AZ291" s="330"/>
      <c r="BA291" s="330"/>
      <c r="BB291" s="330"/>
      <c r="BC291" s="330"/>
      <c r="BD291" s="330"/>
      <c r="BE291" s="330"/>
      <c r="BF291" s="330"/>
      <c r="BG291" s="330"/>
      <c r="BH291" s="330"/>
      <c r="BI291" s="330"/>
      <c r="BJ291" s="330"/>
      <c r="BK291" s="330"/>
      <c r="BL291" s="330"/>
      <c r="BM291" s="330"/>
      <c r="BN291" s="330"/>
      <c r="BO291" s="330"/>
      <c r="BP291" s="330"/>
      <c r="BQ291" s="330"/>
      <c r="BR291" s="330"/>
      <c r="BS291" s="330"/>
      <c r="BT291" s="330"/>
      <c r="BU291" s="330"/>
      <c r="BV291" s="330"/>
      <c r="BW291" s="330"/>
      <c r="BX291" s="330"/>
      <c r="BY291" s="330"/>
      <c r="BZ291" s="330"/>
      <c r="CA291" s="330"/>
      <c r="CB291" s="330"/>
      <c r="CC291" s="330"/>
      <c r="CD291" s="330"/>
      <c r="CE291" s="330"/>
      <c r="CF291" s="330"/>
      <c r="CG291" s="330"/>
      <c r="CH291" s="330"/>
      <c r="CI291" s="330"/>
      <c r="CJ291" s="330"/>
      <c r="CK291" s="330"/>
      <c r="CL291" s="330"/>
      <c r="CM291" s="330"/>
      <c r="CN291" s="330"/>
      <c r="CO291" s="330">
        <f>'380-кофейный напиток со сгущ'!C19/5</f>
        <v>5.0000000000000001E-3</v>
      </c>
      <c r="CP291" s="330"/>
      <c r="CQ291" s="330"/>
      <c r="CR291" s="330"/>
      <c r="CS291" s="330"/>
      <c r="CT291" s="330"/>
      <c r="CU291" s="330"/>
      <c r="CV291" s="330"/>
      <c r="CW291" s="330"/>
      <c r="CX291" s="330"/>
      <c r="CY291" s="330"/>
      <c r="CZ291" s="330"/>
      <c r="DA291" s="330"/>
      <c r="DB291" s="330"/>
      <c r="DC291" s="330"/>
      <c r="DD291" s="330"/>
      <c r="DE291" s="330"/>
      <c r="DF291" s="330"/>
      <c r="DG291" s="330"/>
      <c r="DH291" s="330"/>
      <c r="DI291" s="330"/>
      <c r="DJ291" s="330"/>
      <c r="DK291" s="330"/>
      <c r="DL291" s="330"/>
      <c r="DM291" s="330"/>
      <c r="DN291" s="330"/>
      <c r="DO291" s="330"/>
      <c r="DP291" s="330"/>
      <c r="DQ291" s="330"/>
      <c r="DR291" s="330"/>
      <c r="DS291" s="330"/>
      <c r="DT291" s="330"/>
      <c r="DU291" s="330"/>
      <c r="DV291" s="330"/>
      <c r="DW291" s="330"/>
      <c r="DX291" s="330"/>
      <c r="DY291" s="330"/>
      <c r="DZ291" s="330"/>
      <c r="EA291" s="330"/>
      <c r="EB291" s="330"/>
      <c r="EC291" s="330"/>
      <c r="ED291" s="330"/>
      <c r="EE291" s="330"/>
      <c r="EF291" s="330"/>
      <c r="EG291" s="330"/>
      <c r="EH291" s="330"/>
      <c r="EI291" s="330"/>
      <c r="EJ291" s="330"/>
      <c r="EK291" s="330"/>
      <c r="EL291" s="330"/>
      <c r="EM291" s="330"/>
      <c r="EN291" s="330"/>
      <c r="EO291" s="330"/>
      <c r="EP291" s="330"/>
      <c r="EQ291" s="330"/>
      <c r="ER291" s="330"/>
      <c r="ES291" s="330"/>
      <c r="ET291" s="330"/>
      <c r="EU291" s="330"/>
      <c r="EV291" s="330"/>
      <c r="EW291" s="330"/>
      <c r="EX291" s="330"/>
      <c r="EY291" s="1032">
        <f t="shared" si="20"/>
        <v>4.4999999999999998E-2</v>
      </c>
    </row>
    <row r="292" spans="1:166" ht="14.7" customHeight="1" x14ac:dyDescent="0.25">
      <c r="A292" s="421">
        <v>288</v>
      </c>
      <c r="B292" s="169" t="str">
        <f>'382-какао с молоком'!A9</f>
        <v>Какао с молоком</v>
      </c>
      <c r="C292" s="419">
        <f>'382-какао с молоком'!C26</f>
        <v>200</v>
      </c>
      <c r="D292" s="1211">
        <f>20.39/1000*C292</f>
        <v>4.08</v>
      </c>
      <c r="E292" s="1211">
        <f>17.72/1000*C292</f>
        <v>3.54</v>
      </c>
      <c r="F292" s="1211">
        <f>87.89/1000*C292</f>
        <v>17.579999999999998</v>
      </c>
      <c r="G292" s="1212">
        <f>593/1000*C292</f>
        <v>119</v>
      </c>
      <c r="H292" s="419">
        <f>'382-какао с молоком'!J7</f>
        <v>382</v>
      </c>
      <c r="I292" s="1234">
        <f>'382-какао с молоком'!F28</f>
        <v>12.02</v>
      </c>
      <c r="J292" s="330"/>
      <c r="K292" s="330"/>
      <c r="L292" s="330"/>
      <c r="M292" s="330"/>
      <c r="N292" s="330"/>
      <c r="O292" s="330"/>
      <c r="P292" s="330"/>
      <c r="Q292" s="330"/>
      <c r="R292" s="330"/>
      <c r="S292" s="330"/>
      <c r="T292" s="330"/>
      <c r="U292" s="330">
        <f>'382-какао с молоком'!C20/1000*200</f>
        <v>0.1</v>
      </c>
      <c r="V292" s="330"/>
      <c r="W292" s="330"/>
      <c r="X292" s="330"/>
      <c r="Y292" s="330"/>
      <c r="Z292" s="330"/>
      <c r="AA292" s="330"/>
      <c r="AB292" s="330"/>
      <c r="AC292" s="330"/>
      <c r="AD292" s="330"/>
      <c r="AE292" s="330"/>
      <c r="AF292" s="330"/>
      <c r="AG292" s="330"/>
      <c r="AH292" s="330"/>
      <c r="AI292" s="330"/>
      <c r="AJ292" s="330"/>
      <c r="AK292" s="330"/>
      <c r="AL292" s="330"/>
      <c r="AM292" s="330"/>
      <c r="AN292" s="330"/>
      <c r="AO292" s="330"/>
      <c r="AP292" s="330"/>
      <c r="AQ292" s="330"/>
      <c r="AR292" s="330"/>
      <c r="AS292" s="330"/>
      <c r="AT292" s="330"/>
      <c r="AU292" s="330"/>
      <c r="AV292" s="330"/>
      <c r="AW292" s="330"/>
      <c r="AX292" s="330"/>
      <c r="AY292" s="330"/>
      <c r="AZ292" s="330"/>
      <c r="BA292" s="330"/>
      <c r="BB292" s="330"/>
      <c r="BC292" s="330"/>
      <c r="BD292" s="330"/>
      <c r="BE292" s="330"/>
      <c r="BF292" s="330"/>
      <c r="BG292" s="330"/>
      <c r="BH292" s="330"/>
      <c r="BI292" s="330"/>
      <c r="BJ292" s="330"/>
      <c r="BK292" s="330"/>
      <c r="BL292" s="330"/>
      <c r="BM292" s="330"/>
      <c r="BN292" s="330"/>
      <c r="BO292" s="330"/>
      <c r="BP292" s="330"/>
      <c r="BQ292" s="330"/>
      <c r="BR292" s="330"/>
      <c r="BS292" s="330"/>
      <c r="BT292" s="330"/>
      <c r="BU292" s="330"/>
      <c r="BV292" s="330"/>
      <c r="BW292" s="330"/>
      <c r="BX292" s="330"/>
      <c r="BY292" s="330"/>
      <c r="BZ292" s="330"/>
      <c r="CA292" s="330"/>
      <c r="CB292" s="330"/>
      <c r="CC292" s="330"/>
      <c r="CD292" s="330"/>
      <c r="CE292" s="330"/>
      <c r="CF292" s="330"/>
      <c r="CG292" s="330"/>
      <c r="CH292" s="330"/>
      <c r="CI292" s="330"/>
      <c r="CJ292" s="330"/>
      <c r="CK292" s="330"/>
      <c r="CL292" s="330"/>
      <c r="CM292" s="330"/>
      <c r="CN292" s="330">
        <f>'382-какао с молоком'!C19/1000*200</f>
        <v>4.0000000000000001E-3</v>
      </c>
      <c r="CO292" s="330"/>
      <c r="CP292" s="330"/>
      <c r="CQ292" s="330"/>
      <c r="CR292" s="330"/>
      <c r="CS292" s="330"/>
      <c r="CT292" s="330"/>
      <c r="CU292" s="330"/>
      <c r="CV292" s="330"/>
      <c r="CW292" s="330"/>
      <c r="CX292" s="330"/>
      <c r="CY292" s="330"/>
      <c r="CZ292" s="330">
        <f>'382-какао с молоком'!C22/1000*200</f>
        <v>0.02</v>
      </c>
      <c r="DA292" s="330"/>
      <c r="DB292" s="330"/>
      <c r="DC292" s="330"/>
      <c r="DD292" s="330"/>
      <c r="DE292" s="330"/>
      <c r="DF292" s="330"/>
      <c r="DG292" s="330"/>
      <c r="DH292" s="330"/>
      <c r="DI292" s="330"/>
      <c r="DJ292" s="330"/>
      <c r="DK292" s="330"/>
      <c r="DL292" s="330"/>
      <c r="DM292" s="330"/>
      <c r="DN292" s="330"/>
      <c r="DO292" s="330"/>
      <c r="DP292" s="330"/>
      <c r="DQ292" s="330"/>
      <c r="DR292" s="330"/>
      <c r="DS292" s="330"/>
      <c r="DT292" s="330"/>
      <c r="DU292" s="330"/>
      <c r="DV292" s="330"/>
      <c r="DW292" s="330"/>
      <c r="DX292" s="330"/>
      <c r="DY292" s="330"/>
      <c r="DZ292" s="330"/>
      <c r="EA292" s="330"/>
      <c r="EB292" s="330"/>
      <c r="EC292" s="330"/>
      <c r="ED292" s="330"/>
      <c r="EE292" s="330"/>
      <c r="EF292" s="330"/>
      <c r="EG292" s="330"/>
      <c r="EH292" s="330"/>
      <c r="EI292" s="330"/>
      <c r="EJ292" s="330"/>
      <c r="EK292" s="330"/>
      <c r="EL292" s="330"/>
      <c r="EM292" s="330"/>
      <c r="EN292" s="330"/>
      <c r="EO292" s="330"/>
      <c r="EP292" s="330"/>
      <c r="EQ292" s="330"/>
      <c r="ER292" s="330"/>
      <c r="ES292" s="330"/>
      <c r="ET292" s="330"/>
      <c r="EU292" s="330"/>
      <c r="EV292" s="330"/>
      <c r="EW292" s="330"/>
      <c r="EX292" s="330"/>
      <c r="EY292" s="1032">
        <f t="shared" si="20"/>
        <v>0.124</v>
      </c>
    </row>
    <row r="293" spans="1:166" ht="14.7" customHeight="1" x14ac:dyDescent="0.25">
      <c r="A293" s="421">
        <v>289</v>
      </c>
      <c r="B293" s="169" t="str">
        <f>'383-какао с сгущ'!A9</f>
        <v>Какао с молоком сгущенным</v>
      </c>
      <c r="C293" s="419">
        <f>'383-какао с сгущ'!C26</f>
        <v>200</v>
      </c>
      <c r="D293" s="1211">
        <f>18.33/1000*C293</f>
        <v>3.67</v>
      </c>
      <c r="E293" s="1211">
        <f>13/1000*C293</f>
        <v>2.6</v>
      </c>
      <c r="F293" s="1211">
        <f>125.43/1000*C293</f>
        <v>25.09</v>
      </c>
      <c r="G293" s="1212">
        <f>692/1000*C293</f>
        <v>138</v>
      </c>
      <c r="H293" s="419">
        <f>'383-какао с сгущ'!J7</f>
        <v>383</v>
      </c>
      <c r="I293" s="1234">
        <f>'383-какао с сгущ'!F28</f>
        <v>12.23</v>
      </c>
      <c r="J293" s="330"/>
      <c r="K293" s="330"/>
      <c r="L293" s="330"/>
      <c r="M293" s="330"/>
      <c r="N293" s="330"/>
      <c r="O293" s="330"/>
      <c r="P293" s="330"/>
      <c r="Q293" s="330"/>
      <c r="R293" s="330"/>
      <c r="S293" s="330"/>
      <c r="T293" s="330"/>
      <c r="U293" s="330"/>
      <c r="V293" s="330"/>
      <c r="W293" s="330"/>
      <c r="X293" s="330"/>
      <c r="Y293" s="330"/>
      <c r="Z293" s="330">
        <f>'383-какао с сгущ'!C20/1000*200</f>
        <v>3.7999999999999999E-2</v>
      </c>
      <c r="AA293" s="330"/>
      <c r="AB293" s="330"/>
      <c r="AC293" s="330"/>
      <c r="AD293" s="330"/>
      <c r="AE293" s="330"/>
      <c r="AF293" s="330"/>
      <c r="AG293" s="330"/>
      <c r="AH293" s="330"/>
      <c r="AI293" s="330"/>
      <c r="AJ293" s="330"/>
      <c r="AK293" s="330"/>
      <c r="AL293" s="330"/>
      <c r="AM293" s="330"/>
      <c r="AN293" s="330"/>
      <c r="AO293" s="330"/>
      <c r="AP293" s="330"/>
      <c r="AQ293" s="330"/>
      <c r="AR293" s="330"/>
      <c r="AS293" s="330"/>
      <c r="AT293" s="330"/>
      <c r="AU293" s="330"/>
      <c r="AV293" s="330"/>
      <c r="AW293" s="330"/>
      <c r="AX293" s="330"/>
      <c r="AY293" s="330"/>
      <c r="AZ293" s="330"/>
      <c r="BA293" s="330"/>
      <c r="BB293" s="330"/>
      <c r="BC293" s="330"/>
      <c r="BD293" s="330"/>
      <c r="BE293" s="330"/>
      <c r="BF293" s="330"/>
      <c r="BG293" s="330"/>
      <c r="BH293" s="330"/>
      <c r="BI293" s="330"/>
      <c r="BJ293" s="330"/>
      <c r="BK293" s="330"/>
      <c r="BL293" s="330"/>
      <c r="BM293" s="330"/>
      <c r="BN293" s="330"/>
      <c r="BO293" s="330"/>
      <c r="BP293" s="330"/>
      <c r="BQ293" s="330"/>
      <c r="BR293" s="330"/>
      <c r="BS293" s="330"/>
      <c r="BT293" s="330"/>
      <c r="BU293" s="330"/>
      <c r="BV293" s="330"/>
      <c r="BW293" s="330"/>
      <c r="BX293" s="330"/>
      <c r="BY293" s="330"/>
      <c r="BZ293" s="330"/>
      <c r="CA293" s="330"/>
      <c r="CB293" s="330"/>
      <c r="CC293" s="330"/>
      <c r="CD293" s="330"/>
      <c r="CE293" s="330"/>
      <c r="CF293" s="330"/>
      <c r="CG293" s="330"/>
      <c r="CH293" s="330"/>
      <c r="CI293" s="330"/>
      <c r="CJ293" s="330"/>
      <c r="CK293" s="330"/>
      <c r="CL293" s="330"/>
      <c r="CM293" s="330"/>
      <c r="CN293" s="330">
        <f>'383-какао с сгущ'!C19/1000*200</f>
        <v>4.0000000000000001E-3</v>
      </c>
      <c r="CO293" s="330"/>
      <c r="CP293" s="330"/>
      <c r="CQ293" s="330"/>
      <c r="CR293" s="330"/>
      <c r="CS293" s="330"/>
      <c r="CT293" s="330"/>
      <c r="CU293" s="330"/>
      <c r="CV293" s="330"/>
      <c r="CW293" s="330"/>
      <c r="CX293" s="330"/>
      <c r="CY293" s="330"/>
      <c r="CZ293" s="330">
        <f>'383-какао с сгущ'!C21/1000*200</f>
        <v>3.0000000000000001E-3</v>
      </c>
      <c r="DA293" s="330"/>
      <c r="DB293" s="330"/>
      <c r="DC293" s="330"/>
      <c r="DD293" s="330"/>
      <c r="DE293" s="330"/>
      <c r="DF293" s="330"/>
      <c r="DG293" s="330"/>
      <c r="DH293" s="330"/>
      <c r="DI293" s="330"/>
      <c r="DJ293" s="330"/>
      <c r="DK293" s="330"/>
      <c r="DL293" s="330"/>
      <c r="DM293" s="330"/>
      <c r="DN293" s="330"/>
      <c r="DO293" s="330"/>
      <c r="DP293" s="330"/>
      <c r="DQ293" s="330"/>
      <c r="DR293" s="330"/>
      <c r="DS293" s="330"/>
      <c r="DT293" s="330"/>
      <c r="DU293" s="330"/>
      <c r="DV293" s="330"/>
      <c r="DW293" s="330"/>
      <c r="DX293" s="330"/>
      <c r="DY293" s="330"/>
      <c r="DZ293" s="330"/>
      <c r="EA293" s="330"/>
      <c r="EB293" s="330"/>
      <c r="EC293" s="330"/>
      <c r="ED293" s="330"/>
      <c r="EE293" s="330"/>
      <c r="EF293" s="330"/>
      <c r="EG293" s="330"/>
      <c r="EH293" s="330"/>
      <c r="EI293" s="330"/>
      <c r="EJ293" s="330"/>
      <c r="EK293" s="330"/>
      <c r="EL293" s="330"/>
      <c r="EM293" s="330"/>
      <c r="EN293" s="330"/>
      <c r="EO293" s="330"/>
      <c r="EP293" s="330"/>
      <c r="EQ293" s="330"/>
      <c r="ER293" s="330"/>
      <c r="ES293" s="330"/>
      <c r="ET293" s="330"/>
      <c r="EU293" s="330"/>
      <c r="EV293" s="330"/>
      <c r="EW293" s="330"/>
      <c r="EX293" s="330"/>
      <c r="EY293" s="1032">
        <f t="shared" si="20"/>
        <v>4.4999999999999998E-2</v>
      </c>
    </row>
    <row r="294" spans="1:166" ht="14.7" customHeight="1" x14ac:dyDescent="0.25">
      <c r="A294" s="421">
        <v>290</v>
      </c>
      <c r="B294" s="169" t="str">
        <f>'385-молоко'!A9</f>
        <v>Молоко кипяченое</v>
      </c>
      <c r="C294" s="419">
        <f>'385-молоко'!C23</f>
        <v>200</v>
      </c>
      <c r="D294" s="1211">
        <f>5.8/200*C294</f>
        <v>5.8</v>
      </c>
      <c r="E294" s="1211">
        <f>5/200*C294</f>
        <v>5</v>
      </c>
      <c r="F294" s="1211">
        <f>9.6/200*C294</f>
        <v>9.6</v>
      </c>
      <c r="G294" s="1212">
        <f>107/200*C294</f>
        <v>107</v>
      </c>
      <c r="H294" s="419">
        <f>'385-молоко'!J7</f>
        <v>385</v>
      </c>
      <c r="I294" s="1234">
        <f>'385-молоко'!F25</f>
        <v>16.88</v>
      </c>
      <c r="J294" s="330"/>
      <c r="K294" s="330"/>
      <c r="L294" s="330"/>
      <c r="M294" s="330"/>
      <c r="N294" s="330"/>
      <c r="O294" s="330"/>
      <c r="P294" s="330"/>
      <c r="Q294" s="330"/>
      <c r="R294" s="330"/>
      <c r="S294" s="330"/>
      <c r="T294" s="330"/>
      <c r="U294" s="330">
        <f>'385-молоко'!C19</f>
        <v>0.21099999999999999</v>
      </c>
      <c r="V294" s="330"/>
      <c r="W294" s="330"/>
      <c r="X294" s="330"/>
      <c r="Y294" s="330"/>
      <c r="Z294" s="330"/>
      <c r="AA294" s="330"/>
      <c r="AB294" s="330"/>
      <c r="AC294" s="330"/>
      <c r="AD294" s="330"/>
      <c r="AE294" s="330"/>
      <c r="AF294" s="330"/>
      <c r="AG294" s="330"/>
      <c r="AH294" s="330"/>
      <c r="AI294" s="330"/>
      <c r="AJ294" s="330"/>
      <c r="AK294" s="330"/>
      <c r="AL294" s="330"/>
      <c r="AM294" s="330"/>
      <c r="AN294" s="330"/>
      <c r="AO294" s="330"/>
      <c r="AP294" s="330"/>
      <c r="AQ294" s="330"/>
      <c r="AR294" s="330"/>
      <c r="AS294" s="330"/>
      <c r="AT294" s="330"/>
      <c r="AU294" s="330"/>
      <c r="AV294" s="330"/>
      <c r="AW294" s="330"/>
      <c r="AX294" s="330"/>
      <c r="AY294" s="330"/>
      <c r="AZ294" s="330"/>
      <c r="BA294" s="330"/>
      <c r="BB294" s="330"/>
      <c r="BC294" s="330"/>
      <c r="BD294" s="330"/>
      <c r="BE294" s="330"/>
      <c r="BF294" s="330"/>
      <c r="BG294" s="330"/>
      <c r="BH294" s="330"/>
      <c r="BI294" s="330"/>
      <c r="BJ294" s="330"/>
      <c r="BK294" s="330"/>
      <c r="BL294" s="330"/>
      <c r="BM294" s="330"/>
      <c r="BN294" s="330"/>
      <c r="BO294" s="330"/>
      <c r="BP294" s="330"/>
      <c r="BQ294" s="330"/>
      <c r="BR294" s="330"/>
      <c r="BS294" s="330"/>
      <c r="BT294" s="330"/>
      <c r="BU294" s="330"/>
      <c r="BV294" s="330"/>
      <c r="BW294" s="330"/>
      <c r="BX294" s="330"/>
      <c r="BY294" s="330"/>
      <c r="BZ294" s="330"/>
      <c r="CA294" s="330"/>
      <c r="CB294" s="330"/>
      <c r="CC294" s="330"/>
      <c r="CD294" s="330"/>
      <c r="CE294" s="330"/>
      <c r="CF294" s="330"/>
      <c r="CG294" s="330"/>
      <c r="CH294" s="330"/>
      <c r="CI294" s="330"/>
      <c r="CJ294" s="330"/>
      <c r="CK294" s="330"/>
      <c r="CL294" s="330"/>
      <c r="CM294" s="330"/>
      <c r="CN294" s="330"/>
      <c r="CO294" s="330"/>
      <c r="CP294" s="330"/>
      <c r="CQ294" s="330"/>
      <c r="CR294" s="330"/>
      <c r="CS294" s="330"/>
      <c r="CT294" s="330"/>
      <c r="CU294" s="330"/>
      <c r="CV294" s="330"/>
      <c r="CW294" s="330"/>
      <c r="CX294" s="330"/>
      <c r="CY294" s="330"/>
      <c r="CZ294" s="330"/>
      <c r="DA294" s="330"/>
      <c r="DB294" s="330"/>
      <c r="DC294" s="330"/>
      <c r="DD294" s="330"/>
      <c r="DE294" s="330"/>
      <c r="DF294" s="330"/>
      <c r="DG294" s="330"/>
      <c r="DH294" s="330"/>
      <c r="DI294" s="330"/>
      <c r="DJ294" s="330"/>
      <c r="DK294" s="330"/>
      <c r="DL294" s="330"/>
      <c r="DM294" s="330"/>
      <c r="DN294" s="330"/>
      <c r="DO294" s="330"/>
      <c r="DP294" s="330"/>
      <c r="DQ294" s="330"/>
      <c r="DR294" s="330"/>
      <c r="DS294" s="330"/>
      <c r="DT294" s="330"/>
      <c r="DU294" s="330"/>
      <c r="DV294" s="330"/>
      <c r="DW294" s="330"/>
      <c r="DX294" s="330"/>
      <c r="DY294" s="330"/>
      <c r="DZ294" s="330"/>
      <c r="EA294" s="330"/>
      <c r="EB294" s="330"/>
      <c r="EC294" s="330"/>
      <c r="ED294" s="330"/>
      <c r="EE294" s="330"/>
      <c r="EF294" s="330"/>
      <c r="EG294" s="330"/>
      <c r="EH294" s="330"/>
      <c r="EI294" s="330"/>
      <c r="EJ294" s="330"/>
      <c r="EK294" s="330"/>
      <c r="EL294" s="330"/>
      <c r="EM294" s="330"/>
      <c r="EN294" s="330"/>
      <c r="EO294" s="330"/>
      <c r="EP294" s="330"/>
      <c r="EQ294" s="330"/>
      <c r="ER294" s="330"/>
      <c r="ES294" s="330"/>
      <c r="ET294" s="330"/>
      <c r="EU294" s="330"/>
      <c r="EV294" s="330"/>
      <c r="EW294" s="330"/>
      <c r="EX294" s="330"/>
      <c r="EY294" s="1032">
        <f t="shared" si="20"/>
        <v>0.21099999999999999</v>
      </c>
    </row>
    <row r="295" spans="1:166" ht="14.7" customHeight="1" x14ac:dyDescent="0.25">
      <c r="A295" s="421">
        <v>291</v>
      </c>
      <c r="B295" s="169" t="str">
        <f>'388-напиток из шипов'!A9</f>
        <v>Напиток из плодов шиповника</v>
      </c>
      <c r="C295" s="419">
        <f>'388-напиток из шипов'!C25</f>
        <v>200</v>
      </c>
      <c r="D295" s="1211">
        <f>3.39/1000*C295</f>
        <v>0.68</v>
      </c>
      <c r="E295" s="1211">
        <f>1.39/1000*C295</f>
        <v>0.28000000000000003</v>
      </c>
      <c r="F295" s="1211">
        <f>103.8/1000*C295</f>
        <v>20.76</v>
      </c>
      <c r="G295" s="1212">
        <f>441/1000*C295</f>
        <v>88</v>
      </c>
      <c r="H295" s="419">
        <f>'388-напиток из шипов'!J7</f>
        <v>388</v>
      </c>
      <c r="I295" s="1234">
        <f>'388-напиток из шипов'!F27</f>
        <v>3.52</v>
      </c>
      <c r="J295" s="330"/>
      <c r="K295" s="330"/>
      <c r="L295" s="330"/>
      <c r="M295" s="330"/>
      <c r="N295" s="330"/>
      <c r="O295" s="330"/>
      <c r="P295" s="330"/>
      <c r="Q295" s="330"/>
      <c r="R295" s="330"/>
      <c r="S295" s="330"/>
      <c r="T295" s="330"/>
      <c r="U295" s="330"/>
      <c r="V295" s="330"/>
      <c r="W295" s="330"/>
      <c r="X295" s="330"/>
      <c r="Y295" s="330"/>
      <c r="Z295" s="330"/>
      <c r="AA295" s="330"/>
      <c r="AB295" s="330"/>
      <c r="AC295" s="330"/>
      <c r="AD295" s="330"/>
      <c r="AE295" s="330"/>
      <c r="AF295" s="330"/>
      <c r="AG295" s="330"/>
      <c r="AH295" s="330"/>
      <c r="AI295" s="330"/>
      <c r="AJ295" s="330"/>
      <c r="AK295" s="330"/>
      <c r="AL295" s="330"/>
      <c r="AM295" s="330"/>
      <c r="AN295" s="330"/>
      <c r="AO295" s="330"/>
      <c r="AP295" s="330"/>
      <c r="AQ295" s="330"/>
      <c r="AR295" s="330"/>
      <c r="AS295" s="330"/>
      <c r="AT295" s="330"/>
      <c r="AU295" s="330"/>
      <c r="AV295" s="330"/>
      <c r="AW295" s="330"/>
      <c r="AX295" s="330"/>
      <c r="AY295" s="330"/>
      <c r="AZ295" s="330"/>
      <c r="BA295" s="330"/>
      <c r="BB295" s="330"/>
      <c r="BC295" s="330"/>
      <c r="BD295" s="330"/>
      <c r="BE295" s="330"/>
      <c r="BF295" s="330"/>
      <c r="BG295" s="330"/>
      <c r="BH295" s="330"/>
      <c r="BI295" s="330"/>
      <c r="BJ295" s="330"/>
      <c r="BK295" s="330"/>
      <c r="BL295" s="330"/>
      <c r="BM295" s="330"/>
      <c r="BN295" s="330"/>
      <c r="BO295" s="330"/>
      <c r="BP295" s="330"/>
      <c r="BQ295" s="330"/>
      <c r="BR295" s="330"/>
      <c r="BS295" s="330"/>
      <c r="BT295" s="330"/>
      <c r="BU295" s="330"/>
      <c r="BV295" s="330"/>
      <c r="BW295" s="330"/>
      <c r="BX295" s="330"/>
      <c r="BY295" s="330"/>
      <c r="BZ295" s="330"/>
      <c r="CA295" s="330"/>
      <c r="CB295" s="330"/>
      <c r="CC295" s="330"/>
      <c r="CD295" s="330"/>
      <c r="CE295" s="330"/>
      <c r="CF295" s="330"/>
      <c r="CG295" s="330"/>
      <c r="CH295" s="330"/>
      <c r="CI295" s="330"/>
      <c r="CJ295" s="330"/>
      <c r="CK295" s="330"/>
      <c r="CL295" s="330"/>
      <c r="CM295" s="330"/>
      <c r="CN295" s="330"/>
      <c r="CO295" s="330"/>
      <c r="CP295" s="330"/>
      <c r="CQ295" s="330"/>
      <c r="CR295" s="330"/>
      <c r="CS295" s="330"/>
      <c r="CT295" s="330"/>
      <c r="CU295" s="330"/>
      <c r="CV295" s="330"/>
      <c r="CW295" s="330"/>
      <c r="CX295" s="330"/>
      <c r="CY295" s="330"/>
      <c r="CZ295" s="330">
        <f>'388-напиток из шипов'!C20/1000*200</f>
        <v>0.02</v>
      </c>
      <c r="DA295" s="330"/>
      <c r="DB295" s="330"/>
      <c r="DC295" s="330"/>
      <c r="DD295" s="330"/>
      <c r="DE295" s="330"/>
      <c r="DF295" s="330"/>
      <c r="DG295" s="330"/>
      <c r="DH295" s="330">
        <f>'388-напиток из шипов'!C19/1000*200</f>
        <v>0.02</v>
      </c>
      <c r="DI295" s="330"/>
      <c r="DJ295" s="330"/>
      <c r="DK295" s="330"/>
      <c r="DL295" s="330"/>
      <c r="DM295" s="330"/>
      <c r="DN295" s="330"/>
      <c r="DO295" s="330"/>
      <c r="DP295" s="330"/>
      <c r="DQ295" s="330"/>
      <c r="DR295" s="330"/>
      <c r="DS295" s="330"/>
      <c r="DT295" s="330"/>
      <c r="DU295" s="330"/>
      <c r="DV295" s="330"/>
      <c r="DW295" s="330"/>
      <c r="DX295" s="330"/>
      <c r="DY295" s="330"/>
      <c r="DZ295" s="330"/>
      <c r="EA295" s="330"/>
      <c r="EB295" s="330"/>
      <c r="EC295" s="330"/>
      <c r="ED295" s="330"/>
      <c r="EE295" s="330"/>
      <c r="EF295" s="330"/>
      <c r="EG295" s="330"/>
      <c r="EH295" s="330"/>
      <c r="EI295" s="330"/>
      <c r="EJ295" s="330"/>
      <c r="EK295" s="330"/>
      <c r="EL295" s="330"/>
      <c r="EM295" s="330"/>
      <c r="EN295" s="330"/>
      <c r="EO295" s="330"/>
      <c r="EP295" s="330"/>
      <c r="EQ295" s="330"/>
      <c r="ER295" s="330"/>
      <c r="ES295" s="330"/>
      <c r="ET295" s="330"/>
      <c r="EU295" s="330"/>
      <c r="EV295" s="330"/>
      <c r="EW295" s="330"/>
      <c r="EX295" s="330"/>
      <c r="EY295" s="1032">
        <f t="shared" si="20"/>
        <v>0.04</v>
      </c>
    </row>
    <row r="296" spans="1:166" ht="14.7" customHeight="1" x14ac:dyDescent="0.25">
      <c r="A296" s="421">
        <v>292</v>
      </c>
      <c r="B296" s="169" t="str">
        <f>'393 тесто для вареников'!A9</f>
        <v>Тесто для вареников</v>
      </c>
      <c r="C296" s="419">
        <f>'393 тесто для вареников'!C27</f>
        <v>1000</v>
      </c>
      <c r="D296" s="1211">
        <f>80.4/1000*C296</f>
        <v>80.400000000000006</v>
      </c>
      <c r="E296" s="1211">
        <f>15.13/1000*C296</f>
        <v>15.13</v>
      </c>
      <c r="F296" s="1211">
        <f>476.45/1000*C296</f>
        <v>476.45</v>
      </c>
      <c r="G296" s="1212">
        <f>2364/1000*C296</f>
        <v>2364</v>
      </c>
      <c r="H296" s="419">
        <f>'393 тесто для вареников'!J7</f>
        <v>393</v>
      </c>
      <c r="I296" s="1234">
        <f>'393 тесто для вареников'!F29</f>
        <v>116.31</v>
      </c>
      <c r="J296" s="330"/>
      <c r="K296" s="330"/>
      <c r="L296" s="330"/>
      <c r="M296" s="330"/>
      <c r="N296" s="330"/>
      <c r="O296" s="330"/>
      <c r="P296" s="330"/>
      <c r="Q296" s="330"/>
      <c r="R296" s="330"/>
      <c r="S296" s="330"/>
      <c r="T296" s="330"/>
      <c r="U296" s="330"/>
      <c r="V296" s="330"/>
      <c r="W296" s="330"/>
      <c r="X296" s="330"/>
      <c r="Y296" s="330"/>
      <c r="Z296" s="330"/>
      <c r="AA296" s="330"/>
      <c r="AB296" s="330"/>
      <c r="AC296" s="330"/>
      <c r="AD296" s="330"/>
      <c r="AE296" s="330">
        <f>'393 тесто для вареников'!C20</f>
        <v>0.59799999999999998</v>
      </c>
      <c r="AF296" s="330"/>
      <c r="AG296" s="330"/>
      <c r="AH296" s="330"/>
      <c r="AI296" s="330"/>
      <c r="AJ296" s="330"/>
      <c r="AK296" s="330"/>
      <c r="AL296" s="330"/>
      <c r="AM296" s="330"/>
      <c r="AN296" s="330"/>
      <c r="AO296" s="330"/>
      <c r="AP296" s="330"/>
      <c r="AQ296" s="330"/>
      <c r="AR296" s="330"/>
      <c r="AS296" s="330"/>
      <c r="AT296" s="330"/>
      <c r="AU296" s="330"/>
      <c r="AV296" s="330"/>
      <c r="AW296" s="330"/>
      <c r="AX296" s="330"/>
      <c r="AY296" s="330"/>
      <c r="AZ296" s="330"/>
      <c r="BA296" s="330"/>
      <c r="BB296" s="330"/>
      <c r="BC296" s="330"/>
      <c r="BD296" s="330"/>
      <c r="BE296" s="330"/>
      <c r="BF296" s="330"/>
      <c r="BG296" s="330"/>
      <c r="BH296" s="330"/>
      <c r="BI296" s="330"/>
      <c r="BJ296" s="330"/>
      <c r="BK296" s="330"/>
      <c r="BL296" s="330"/>
      <c r="BM296" s="330"/>
      <c r="BN296" s="330"/>
      <c r="BO296" s="330"/>
      <c r="BP296" s="330"/>
      <c r="BQ296" s="330"/>
      <c r="BR296" s="330"/>
      <c r="BS296" s="330">
        <f>'393 тесто для вареников'!C19</f>
        <v>0.69499999999999995</v>
      </c>
      <c r="BT296" s="330"/>
      <c r="BU296" s="330"/>
      <c r="BV296" s="330"/>
      <c r="BW296" s="330"/>
      <c r="BX296" s="330"/>
      <c r="BY296" s="330"/>
      <c r="BZ296" s="330"/>
      <c r="CA296" s="330"/>
      <c r="CB296" s="330"/>
      <c r="CC296" s="330"/>
      <c r="CD296" s="330"/>
      <c r="CE296" s="330"/>
      <c r="CF296" s="330"/>
      <c r="CG296" s="330"/>
      <c r="CH296" s="330"/>
      <c r="CI296" s="330"/>
      <c r="CJ296" s="330"/>
      <c r="CK296" s="330"/>
      <c r="CL296" s="330"/>
      <c r="CM296" s="330"/>
      <c r="CN296" s="330"/>
      <c r="CO296" s="330"/>
      <c r="CP296" s="330"/>
      <c r="CQ296" s="330"/>
      <c r="CR296" s="330"/>
      <c r="CS296" s="330"/>
      <c r="CT296" s="330"/>
      <c r="CU296" s="330"/>
      <c r="CV296" s="330"/>
      <c r="CW296" s="330"/>
      <c r="CX296" s="330"/>
      <c r="CY296" s="330"/>
      <c r="CZ296" s="330"/>
      <c r="DA296" s="330"/>
      <c r="DB296" s="330"/>
      <c r="DC296" s="330">
        <f>'393 тесто для вареников'!C22</f>
        <v>1.2E-2</v>
      </c>
      <c r="DD296" s="330"/>
      <c r="DE296" s="330"/>
      <c r="DF296" s="330"/>
      <c r="DG296" s="330"/>
      <c r="DH296" s="330"/>
      <c r="DI296" s="330"/>
      <c r="DJ296" s="330"/>
      <c r="DK296" s="330"/>
      <c r="DL296" s="330"/>
      <c r="DM296" s="330"/>
      <c r="DN296" s="330"/>
      <c r="DO296" s="330"/>
      <c r="DP296" s="330"/>
      <c r="DQ296" s="330"/>
      <c r="DR296" s="330"/>
      <c r="DS296" s="330"/>
      <c r="DT296" s="330"/>
      <c r="DU296" s="330"/>
      <c r="DV296" s="330"/>
      <c r="DW296" s="330"/>
      <c r="DX296" s="330"/>
      <c r="DY296" s="330"/>
      <c r="DZ296" s="330"/>
      <c r="EA296" s="330"/>
      <c r="EB296" s="330"/>
      <c r="EC296" s="330"/>
      <c r="ED296" s="330"/>
      <c r="EE296" s="330"/>
      <c r="EF296" s="330"/>
      <c r="EG296" s="330"/>
      <c r="EH296" s="330"/>
      <c r="EI296" s="330"/>
      <c r="EJ296" s="330"/>
      <c r="EK296" s="330"/>
      <c r="EL296" s="330"/>
      <c r="EM296" s="330"/>
      <c r="EN296" s="330"/>
      <c r="EO296" s="330"/>
      <c r="EP296" s="330"/>
      <c r="EQ296" s="330"/>
      <c r="ER296" s="330"/>
      <c r="ES296" s="330"/>
      <c r="ET296" s="330"/>
      <c r="EU296" s="330"/>
      <c r="EV296" s="330"/>
      <c r="EW296" s="330"/>
      <c r="EX296" s="330"/>
      <c r="EY296" s="1032">
        <f t="shared" si="20"/>
        <v>1.3049999999999999</v>
      </c>
    </row>
    <row r="297" spans="1:166" ht="14.7" customHeight="1" x14ac:dyDescent="0.25">
      <c r="A297" s="421">
        <v>293</v>
      </c>
      <c r="B297" s="417" t="str">
        <f>'394 Вареники с творожным фаршем'!A9</f>
        <v>Вареники с творожным фаршем</v>
      </c>
      <c r="C297" s="419">
        <f>'394 Вареники с творожным фаршем'!C28</f>
        <v>185</v>
      </c>
      <c r="D297" s="1211">
        <f>21.59/185*C297</f>
        <v>21.59</v>
      </c>
      <c r="E297" s="1211">
        <f>12.41/185*C297</f>
        <v>12.41</v>
      </c>
      <c r="F297" s="1211">
        <f>42.43/185*C297</f>
        <v>42.43</v>
      </c>
      <c r="G297" s="1212">
        <f>368/185*C297</f>
        <v>368</v>
      </c>
      <c r="H297" s="419">
        <f>'394 Вареники с творожным фаршем'!J7</f>
        <v>394</v>
      </c>
      <c r="I297" s="1234">
        <f>'394 Вареники с творожным фаршем'!F30</f>
        <v>43.17</v>
      </c>
      <c r="J297" s="330"/>
      <c r="K297" s="330"/>
      <c r="L297" s="330"/>
      <c r="M297" s="330"/>
      <c r="N297" s="330"/>
      <c r="O297" s="330"/>
      <c r="P297" s="330"/>
      <c r="Q297" s="330"/>
      <c r="R297" s="330"/>
      <c r="S297" s="330"/>
      <c r="T297" s="330"/>
      <c r="U297" s="330"/>
      <c r="V297" s="330">
        <f>'394 Вареники с творожным фаршем'!C23</f>
        <v>5.0000000000000001E-3</v>
      </c>
      <c r="W297" s="330"/>
      <c r="X297" s="330">
        <f>'468-фарш творож'!C19/1000*92.7</f>
        <v>8.4820000000000007E-2</v>
      </c>
      <c r="Y297" s="330"/>
      <c r="Z297" s="330"/>
      <c r="AA297" s="330"/>
      <c r="AB297" s="330"/>
      <c r="AC297" s="330"/>
      <c r="AD297" s="330"/>
      <c r="AE297" s="330">
        <f>'393 тесто для вареников'!C20/1000*74+'468-фарш творож'!C20/1000*92.7</f>
        <v>4.8520000000000001E-2</v>
      </c>
      <c r="AF297" s="330"/>
      <c r="AG297" s="330"/>
      <c r="AH297" s="330"/>
      <c r="AI297" s="330"/>
      <c r="AJ297" s="330"/>
      <c r="AK297" s="330"/>
      <c r="AL297" s="330"/>
      <c r="AM297" s="330"/>
      <c r="AN297" s="330"/>
      <c r="AO297" s="330"/>
      <c r="AP297" s="330"/>
      <c r="AQ297" s="330"/>
      <c r="AR297" s="330"/>
      <c r="AS297" s="330"/>
      <c r="AT297" s="330"/>
      <c r="AU297" s="330"/>
      <c r="AV297" s="330"/>
      <c r="AW297" s="330"/>
      <c r="AX297" s="330"/>
      <c r="AY297" s="330"/>
      <c r="AZ297" s="330"/>
      <c r="BA297" s="330"/>
      <c r="BB297" s="330"/>
      <c r="BC297" s="330"/>
      <c r="BD297" s="330"/>
      <c r="BE297" s="330"/>
      <c r="BF297" s="330"/>
      <c r="BG297" s="330"/>
      <c r="BH297" s="330"/>
      <c r="BI297" s="330"/>
      <c r="BJ297" s="330"/>
      <c r="BK297" s="330"/>
      <c r="BL297" s="330"/>
      <c r="BM297" s="330"/>
      <c r="BN297" s="330"/>
      <c r="BO297" s="330"/>
      <c r="BP297" s="330"/>
      <c r="BQ297" s="330"/>
      <c r="BR297" s="330"/>
      <c r="BS297" s="330">
        <f>'393 тесто для вареников'!C19/1000*74+'468-фарш творож'!C22/1000*92.7</f>
        <v>5.5140000000000002E-2</v>
      </c>
      <c r="BT297" s="330"/>
      <c r="BU297" s="330"/>
      <c r="BV297" s="330"/>
      <c r="BW297" s="330"/>
      <c r="BX297" s="330"/>
      <c r="BY297" s="330"/>
      <c r="BZ297" s="330"/>
      <c r="CA297" s="330"/>
      <c r="CB297" s="330"/>
      <c r="CC297" s="330"/>
      <c r="CD297" s="330"/>
      <c r="CE297" s="330"/>
      <c r="CF297" s="330"/>
      <c r="CG297" s="330"/>
      <c r="CH297" s="330"/>
      <c r="CI297" s="330">
        <f>'468-фарш творож'!C23/1000*92.7</f>
        <v>4.0000000000000003E-5</v>
      </c>
      <c r="CJ297" s="330"/>
      <c r="CK297" s="330"/>
      <c r="CL297" s="330"/>
      <c r="CM297" s="330"/>
      <c r="CN297" s="330"/>
      <c r="CO297" s="330"/>
      <c r="CP297" s="330"/>
      <c r="CQ297" s="330"/>
      <c r="CR297" s="330"/>
      <c r="CS297" s="330"/>
      <c r="CT297" s="330"/>
      <c r="CU297" s="330"/>
      <c r="CV297" s="330"/>
      <c r="CW297" s="330"/>
      <c r="CX297" s="330"/>
      <c r="CY297" s="330"/>
      <c r="CZ297" s="330">
        <f>'468-фарш творож'!C21/1000*92.7</f>
        <v>4.64E-3</v>
      </c>
      <c r="DA297" s="330"/>
      <c r="DB297" s="330"/>
      <c r="DC297" s="330">
        <f>'393 тесто для вареников'!C22/1000*74</f>
        <v>8.8999999999999995E-4</v>
      </c>
      <c r="DD297" s="330"/>
      <c r="DE297" s="330"/>
      <c r="DF297" s="330"/>
      <c r="DG297" s="330"/>
      <c r="DH297" s="330"/>
      <c r="DI297" s="330"/>
      <c r="DJ297" s="330"/>
      <c r="DK297" s="330"/>
      <c r="DL297" s="330"/>
      <c r="DM297" s="330"/>
      <c r="DN297" s="330"/>
      <c r="DO297" s="330"/>
      <c r="DP297" s="330"/>
      <c r="DQ297" s="330"/>
      <c r="DR297" s="330"/>
      <c r="DS297" s="330"/>
      <c r="DT297" s="330"/>
      <c r="DU297" s="330"/>
      <c r="DV297" s="330"/>
      <c r="DW297" s="330"/>
      <c r="DX297" s="330"/>
      <c r="DY297" s="330"/>
      <c r="DZ297" s="330"/>
      <c r="EA297" s="330"/>
      <c r="EB297" s="330"/>
      <c r="EC297" s="330"/>
      <c r="ED297" s="330"/>
      <c r="EE297" s="330"/>
      <c r="EF297" s="330"/>
      <c r="EG297" s="330"/>
      <c r="EH297" s="330"/>
      <c r="EI297" s="330"/>
      <c r="EJ297" s="330"/>
      <c r="EK297" s="330"/>
      <c r="EL297" s="330"/>
      <c r="EM297" s="330"/>
      <c r="EN297" s="330"/>
      <c r="EO297" s="330"/>
      <c r="EP297" s="330"/>
      <c r="EQ297" s="330"/>
      <c r="ER297" s="330"/>
      <c r="ES297" s="330"/>
      <c r="ET297" s="330"/>
      <c r="EU297" s="330"/>
      <c r="EV297" s="330"/>
      <c r="EW297" s="330"/>
      <c r="EX297" s="330"/>
      <c r="EY297" s="1032">
        <f t="shared" si="20"/>
        <v>0.19905</v>
      </c>
    </row>
    <row r="298" spans="1:166" ht="14.7" customHeight="1" x14ac:dyDescent="0.25">
      <c r="A298" s="421">
        <v>294</v>
      </c>
      <c r="B298" s="417" t="str">
        <f>'396-Блины с маслом '!A9</f>
        <v>Блины с маслом сливочным</v>
      </c>
      <c r="C298" s="419">
        <f>'396-Блины с маслом '!C31</f>
        <v>160</v>
      </c>
      <c r="D298" s="1211">
        <f>11.02/160*C298</f>
        <v>11.02</v>
      </c>
      <c r="E298" s="1211">
        <f>15.43/160*C298</f>
        <v>15.43</v>
      </c>
      <c r="F298" s="1211">
        <f>57.81/160*C298</f>
        <v>57.81</v>
      </c>
      <c r="G298" s="1212">
        <f>414/160*C298</f>
        <v>414</v>
      </c>
      <c r="H298" s="419">
        <f>'396-Блины с маслом '!J7</f>
        <v>396</v>
      </c>
      <c r="I298" s="1234">
        <f>'396-Блины с маслом '!F33</f>
        <v>21.48</v>
      </c>
      <c r="J298" s="330"/>
      <c r="K298" s="330"/>
      <c r="L298" s="330"/>
      <c r="M298" s="330"/>
      <c r="N298" s="330"/>
      <c r="O298" s="330"/>
      <c r="P298" s="330"/>
      <c r="Q298" s="330"/>
      <c r="R298" s="330"/>
      <c r="S298" s="330"/>
      <c r="T298" s="330"/>
      <c r="U298" s="330">
        <f>'396-Блины с маслом '!C21</f>
        <v>0.11799999999999999</v>
      </c>
      <c r="V298" s="330">
        <f>'396-Блины с маслом '!C27</f>
        <v>0.01</v>
      </c>
      <c r="W298" s="330"/>
      <c r="X298" s="330"/>
      <c r="Y298" s="330"/>
      <c r="Z298" s="330"/>
      <c r="AA298" s="330"/>
      <c r="AB298" s="330"/>
      <c r="AC298" s="330"/>
      <c r="AD298" s="330"/>
      <c r="AE298" s="330"/>
      <c r="AF298" s="330"/>
      <c r="AG298" s="330"/>
      <c r="AH298" s="330"/>
      <c r="AI298" s="330"/>
      <c r="AJ298" s="330"/>
      <c r="AK298" s="330"/>
      <c r="AL298" s="330"/>
      <c r="AM298" s="330"/>
      <c r="AN298" s="330"/>
      <c r="AO298" s="330"/>
      <c r="AP298" s="330"/>
      <c r="AQ298" s="330"/>
      <c r="AR298" s="330"/>
      <c r="AS298" s="330"/>
      <c r="AT298" s="330"/>
      <c r="AU298" s="330"/>
      <c r="AV298" s="330"/>
      <c r="AW298" s="330"/>
      <c r="AX298" s="330"/>
      <c r="AY298" s="330"/>
      <c r="AZ298" s="330"/>
      <c r="BA298" s="330"/>
      <c r="BB298" s="330"/>
      <c r="BC298" s="330"/>
      <c r="BD298" s="330"/>
      <c r="BE298" s="330"/>
      <c r="BF298" s="330"/>
      <c r="BG298" s="330"/>
      <c r="BH298" s="330"/>
      <c r="BI298" s="330"/>
      <c r="BJ298" s="330"/>
      <c r="BK298" s="330"/>
      <c r="BL298" s="330"/>
      <c r="BM298" s="330"/>
      <c r="BN298" s="330"/>
      <c r="BO298" s="330"/>
      <c r="BP298" s="330"/>
      <c r="BQ298" s="330"/>
      <c r="BR298" s="330"/>
      <c r="BS298" s="330">
        <f>'396-Блины с маслом '!C19</f>
        <v>7.4999999999999997E-2</v>
      </c>
      <c r="BT298" s="330"/>
      <c r="BU298" s="330"/>
      <c r="BV298" s="330"/>
      <c r="BW298" s="330"/>
      <c r="BX298" s="330"/>
      <c r="BY298" s="330"/>
      <c r="BZ298" s="330"/>
      <c r="CA298" s="330"/>
      <c r="CB298" s="330"/>
      <c r="CC298" s="330"/>
      <c r="CD298" s="330"/>
      <c r="CE298" s="330"/>
      <c r="CF298" s="330">
        <f>'396-Блины с маслом '!C25</f>
        <v>5.0000000000000001E-3</v>
      </c>
      <c r="CG298" s="330"/>
      <c r="CH298" s="330"/>
      <c r="CI298" s="330"/>
      <c r="CJ298" s="330"/>
      <c r="CK298" s="330"/>
      <c r="CL298" s="330">
        <f>'396-Блины с маслом '!C22</f>
        <v>3.0000000000000001E-3</v>
      </c>
      <c r="CM298" s="330"/>
      <c r="CN298" s="330"/>
      <c r="CO298" s="330"/>
      <c r="CP298" s="330"/>
      <c r="CQ298" s="330"/>
      <c r="CR298" s="330"/>
      <c r="CS298" s="330"/>
      <c r="CT298" s="330"/>
      <c r="CU298" s="330"/>
      <c r="CV298" s="330"/>
      <c r="CW298" s="330"/>
      <c r="CX298" s="330"/>
      <c r="CY298" s="330"/>
      <c r="CZ298" s="330">
        <f>'396-Блины с маслом '!C20</f>
        <v>3.0000000000000001E-3</v>
      </c>
      <c r="DA298" s="330"/>
      <c r="DB298" s="330"/>
      <c r="DC298" s="330">
        <f>'396-Блины с маслом '!C23</f>
        <v>1.5E-3</v>
      </c>
      <c r="DD298" s="330"/>
      <c r="DE298" s="330"/>
      <c r="DF298" s="330"/>
      <c r="DG298" s="330"/>
      <c r="DH298" s="330"/>
      <c r="DI298" s="330"/>
      <c r="DJ298" s="330"/>
      <c r="DK298" s="330"/>
      <c r="DL298" s="330"/>
      <c r="DM298" s="330"/>
      <c r="DN298" s="330"/>
      <c r="DO298" s="330"/>
      <c r="DP298" s="330"/>
      <c r="DQ298" s="330"/>
      <c r="DR298" s="330"/>
      <c r="DS298" s="330"/>
      <c r="DT298" s="330"/>
      <c r="DU298" s="330"/>
      <c r="DV298" s="330"/>
      <c r="DW298" s="330"/>
      <c r="DX298" s="330"/>
      <c r="DY298" s="330"/>
      <c r="DZ298" s="330"/>
      <c r="EA298" s="330"/>
      <c r="EB298" s="330"/>
      <c r="EC298" s="330"/>
      <c r="ED298" s="330"/>
      <c r="EE298" s="330"/>
      <c r="EF298" s="330"/>
      <c r="EG298" s="330"/>
      <c r="EH298" s="330"/>
      <c r="EI298" s="330"/>
      <c r="EJ298" s="330"/>
      <c r="EK298" s="330"/>
      <c r="EL298" s="330"/>
      <c r="EM298" s="330"/>
      <c r="EN298" s="330"/>
      <c r="EO298" s="330"/>
      <c r="EP298" s="330"/>
      <c r="EQ298" s="330"/>
      <c r="ER298" s="330"/>
      <c r="ES298" s="330"/>
      <c r="ET298" s="330"/>
      <c r="EU298" s="330"/>
      <c r="EV298" s="330"/>
      <c r="EW298" s="330"/>
      <c r="EX298" s="330"/>
      <c r="EY298" s="1032">
        <f t="shared" si="20"/>
        <v>0.2155</v>
      </c>
    </row>
    <row r="299" spans="1:166" s="407" customFormat="1" ht="14.7" customHeight="1" x14ac:dyDescent="0.25">
      <c r="A299" s="421">
        <v>295</v>
      </c>
      <c r="B299" s="417" t="str">
        <f>'396-Блины  с повидлом'!A9</f>
        <v>Блины с повидлом яблочным</v>
      </c>
      <c r="C299" s="419">
        <f>'396-Блины  с повидлом'!C31</f>
        <v>170</v>
      </c>
      <c r="D299" s="1211">
        <f>11/170*C299</f>
        <v>11</v>
      </c>
      <c r="E299" s="1211">
        <f>8.18/170*C299</f>
        <v>8.18</v>
      </c>
      <c r="F299" s="1211">
        <f>70.68/170*C299</f>
        <v>70.680000000000007</v>
      </c>
      <c r="G299" s="1212">
        <f>400/170*C299</f>
        <v>400</v>
      </c>
      <c r="H299" s="419">
        <f>'396-Блины  с повидлом'!J7</f>
        <v>396</v>
      </c>
      <c r="I299" s="483">
        <f>'396-Блины  с повидлом'!F33</f>
        <v>17.18</v>
      </c>
      <c r="J299" s="330"/>
      <c r="K299" s="330"/>
      <c r="L299" s="330"/>
      <c r="M299" s="330"/>
      <c r="N299" s="330"/>
      <c r="O299" s="330"/>
      <c r="P299" s="330"/>
      <c r="Q299" s="330"/>
      <c r="R299" s="330"/>
      <c r="S299" s="330"/>
      <c r="T299" s="330"/>
      <c r="U299" s="330">
        <f>'396-Блины  с повидлом'!C21</f>
        <v>0.11799999999999999</v>
      </c>
      <c r="V299" s="330"/>
      <c r="W299" s="330"/>
      <c r="X299" s="330"/>
      <c r="Y299" s="330"/>
      <c r="Z299" s="330"/>
      <c r="AA299" s="330"/>
      <c r="AB299" s="330"/>
      <c r="AC299" s="330"/>
      <c r="AD299" s="330"/>
      <c r="AE299" s="330"/>
      <c r="AF299" s="330"/>
      <c r="AG299" s="330"/>
      <c r="AH299" s="330"/>
      <c r="AI299" s="330"/>
      <c r="AJ299" s="330"/>
      <c r="AK299" s="330"/>
      <c r="AL299" s="330"/>
      <c r="AM299" s="330"/>
      <c r="AN299" s="330"/>
      <c r="AO299" s="330"/>
      <c r="AP299" s="330"/>
      <c r="AQ299" s="330"/>
      <c r="AR299" s="330"/>
      <c r="AS299" s="330"/>
      <c r="AT299" s="330"/>
      <c r="AU299" s="330"/>
      <c r="AV299" s="330"/>
      <c r="AW299" s="330"/>
      <c r="AX299" s="330"/>
      <c r="AY299" s="330"/>
      <c r="AZ299" s="330"/>
      <c r="BA299" s="330"/>
      <c r="BB299" s="330"/>
      <c r="BC299" s="330"/>
      <c r="BD299" s="330"/>
      <c r="BE299" s="330"/>
      <c r="BF299" s="330"/>
      <c r="BG299" s="330"/>
      <c r="BH299" s="330"/>
      <c r="BI299" s="330"/>
      <c r="BJ299" s="330"/>
      <c r="BK299" s="330"/>
      <c r="BL299" s="330"/>
      <c r="BM299" s="330"/>
      <c r="BN299" s="330"/>
      <c r="BO299" s="330"/>
      <c r="BP299" s="330"/>
      <c r="BQ299" s="330"/>
      <c r="BR299" s="330"/>
      <c r="BS299" s="330">
        <f>'396-Блины  с повидлом'!C19</f>
        <v>7.4999999999999997E-2</v>
      </c>
      <c r="BT299" s="330"/>
      <c r="BU299" s="330"/>
      <c r="BV299" s="330"/>
      <c r="BW299" s="330"/>
      <c r="BX299" s="330"/>
      <c r="BY299" s="330"/>
      <c r="BZ299" s="330"/>
      <c r="CA299" s="330"/>
      <c r="CB299" s="330"/>
      <c r="CC299" s="330"/>
      <c r="CD299" s="330"/>
      <c r="CE299" s="330"/>
      <c r="CF299" s="330">
        <f>'396-Блины  с повидлом'!C25</f>
        <v>5.0000000000000001E-3</v>
      </c>
      <c r="CG299" s="330"/>
      <c r="CH299" s="330"/>
      <c r="CI299" s="330"/>
      <c r="CJ299" s="330"/>
      <c r="CK299" s="330"/>
      <c r="CL299" s="330">
        <f>'396-Блины  с повидлом'!C22</f>
        <v>3.0000000000000001E-3</v>
      </c>
      <c r="CM299" s="330"/>
      <c r="CN299" s="330"/>
      <c r="CO299" s="330"/>
      <c r="CP299" s="330"/>
      <c r="CQ299" s="330"/>
      <c r="CR299" s="330"/>
      <c r="CS299" s="330"/>
      <c r="CT299" s="330"/>
      <c r="CU299" s="330"/>
      <c r="CV299" s="330"/>
      <c r="CW299" s="330">
        <f>'396-Блины  с повидлом'!C27</f>
        <v>0.02</v>
      </c>
      <c r="CX299" s="330"/>
      <c r="CY299" s="330"/>
      <c r="CZ299" s="330">
        <f>'396-Блины  с повидлом'!C20</f>
        <v>3.0000000000000001E-3</v>
      </c>
      <c r="DA299" s="330"/>
      <c r="DB299" s="330"/>
      <c r="DC299" s="330">
        <f>'396-Блины  с повидлом'!C23</f>
        <v>1.5E-3</v>
      </c>
      <c r="DD299" s="330"/>
      <c r="DE299" s="330"/>
      <c r="DF299" s="330"/>
      <c r="DG299" s="330"/>
      <c r="DH299" s="330"/>
      <c r="DI299" s="330"/>
      <c r="DJ299" s="330"/>
      <c r="DK299" s="330"/>
      <c r="DL299" s="330"/>
      <c r="DM299" s="330"/>
      <c r="DN299" s="330"/>
      <c r="DO299" s="330"/>
      <c r="DP299" s="330"/>
      <c r="DQ299" s="330"/>
      <c r="DR299" s="330"/>
      <c r="DS299" s="330"/>
      <c r="DT299" s="330"/>
      <c r="DU299" s="330"/>
      <c r="DV299" s="330"/>
      <c r="DW299" s="330"/>
      <c r="DX299" s="330"/>
      <c r="DY299" s="330"/>
      <c r="DZ299" s="330"/>
      <c r="EA299" s="330"/>
      <c r="EB299" s="330"/>
      <c r="EC299" s="330"/>
      <c r="ED299" s="330"/>
      <c r="EE299" s="330"/>
      <c r="EF299" s="330"/>
      <c r="EG299" s="330"/>
      <c r="EH299" s="330"/>
      <c r="EI299" s="330"/>
      <c r="EJ299" s="330"/>
      <c r="EK299" s="330"/>
      <c r="EL299" s="330"/>
      <c r="EM299" s="330"/>
      <c r="EN299" s="330"/>
      <c r="EO299" s="330"/>
      <c r="EP299" s="330"/>
      <c r="EQ299" s="330"/>
      <c r="ER299" s="330"/>
      <c r="ES299" s="330"/>
      <c r="ET299" s="330"/>
      <c r="EU299" s="330"/>
      <c r="EV299" s="330"/>
      <c r="EW299" s="330"/>
      <c r="EX299" s="330"/>
      <c r="EY299" s="1032">
        <f t="shared" si="20"/>
        <v>0.22550000000000001</v>
      </c>
      <c r="EZ299" s="616"/>
      <c r="FA299" s="616"/>
      <c r="FB299" s="616"/>
      <c r="FC299" s="616"/>
      <c r="FD299" s="616"/>
      <c r="FE299" s="616"/>
      <c r="FF299" s="616"/>
      <c r="FG299" s="616"/>
      <c r="FH299" s="616"/>
      <c r="FI299" s="616"/>
      <c r="FJ299" s="616"/>
    </row>
    <row r="300" spans="1:166" s="407" customFormat="1" ht="14.7" customHeight="1" x14ac:dyDescent="0.25">
      <c r="A300" s="421">
        <v>296</v>
      </c>
      <c r="B300" s="417" t="str">
        <f>'396-Блины  с медом'!A9</f>
        <v>Блины с медом</v>
      </c>
      <c r="C300" s="419">
        <f>'396-Блины  с медом'!C31</f>
        <v>165</v>
      </c>
      <c r="D300" s="1211">
        <f>11.02/165*C300</f>
        <v>11.02</v>
      </c>
      <c r="E300" s="1211">
        <f>8.18/165*C300</f>
        <v>8.18</v>
      </c>
      <c r="F300" s="1211">
        <f>69.73/165*C300</f>
        <v>69.73</v>
      </c>
      <c r="G300" s="1212">
        <f>397/165*C300</f>
        <v>397</v>
      </c>
      <c r="H300" s="419">
        <f>'396-Блины  с медом'!J7</f>
        <v>396</v>
      </c>
      <c r="I300" s="483">
        <f>'396-Блины  с медом'!F33</f>
        <v>19.18</v>
      </c>
      <c r="J300" s="330"/>
      <c r="K300" s="330"/>
      <c r="L300" s="330"/>
      <c r="M300" s="330"/>
      <c r="N300" s="330"/>
      <c r="O300" s="330"/>
      <c r="P300" s="330"/>
      <c r="Q300" s="330"/>
      <c r="R300" s="330"/>
      <c r="S300" s="330"/>
      <c r="T300" s="330"/>
      <c r="U300" s="330">
        <f>'396-Блины  с медом'!C21</f>
        <v>0.11799999999999999</v>
      </c>
      <c r="V300" s="330"/>
      <c r="W300" s="330"/>
      <c r="X300" s="330"/>
      <c r="Y300" s="330"/>
      <c r="Z300" s="330"/>
      <c r="AA300" s="330"/>
      <c r="AB300" s="330"/>
      <c r="AC300" s="330"/>
      <c r="AD300" s="330">
        <f>'396-Блины  с медом'!C27</f>
        <v>1.4999999999999999E-2</v>
      </c>
      <c r="AE300" s="330"/>
      <c r="AF300" s="330"/>
      <c r="AG300" s="330"/>
      <c r="AH300" s="330"/>
      <c r="AI300" s="330"/>
      <c r="AJ300" s="330"/>
      <c r="AK300" s="330"/>
      <c r="AL300" s="330"/>
      <c r="AM300" s="330"/>
      <c r="AN300" s="330"/>
      <c r="AO300" s="330"/>
      <c r="AP300" s="330"/>
      <c r="AQ300" s="330"/>
      <c r="AR300" s="330"/>
      <c r="AS300" s="330"/>
      <c r="AT300" s="330"/>
      <c r="AU300" s="330"/>
      <c r="AV300" s="330"/>
      <c r="AW300" s="330"/>
      <c r="AX300" s="330"/>
      <c r="AY300" s="330"/>
      <c r="AZ300" s="330"/>
      <c r="BA300" s="330"/>
      <c r="BB300" s="330"/>
      <c r="BC300" s="330"/>
      <c r="BD300" s="330"/>
      <c r="BE300" s="330"/>
      <c r="BF300" s="330"/>
      <c r="BG300" s="330"/>
      <c r="BH300" s="330"/>
      <c r="BI300" s="330"/>
      <c r="BJ300" s="330"/>
      <c r="BK300" s="330"/>
      <c r="BL300" s="330"/>
      <c r="BM300" s="330"/>
      <c r="BN300" s="330"/>
      <c r="BO300" s="330"/>
      <c r="BP300" s="330"/>
      <c r="BQ300" s="330"/>
      <c r="BR300" s="330"/>
      <c r="BS300" s="330">
        <f>'396-Блины  с медом'!C19</f>
        <v>7.4999999999999997E-2</v>
      </c>
      <c r="BT300" s="330"/>
      <c r="BU300" s="330"/>
      <c r="BV300" s="330"/>
      <c r="BW300" s="330"/>
      <c r="BX300" s="330"/>
      <c r="BY300" s="330"/>
      <c r="BZ300" s="330"/>
      <c r="CA300" s="330"/>
      <c r="CB300" s="330"/>
      <c r="CC300" s="330"/>
      <c r="CD300" s="330"/>
      <c r="CE300" s="330"/>
      <c r="CF300" s="330">
        <f>'396-Блины  с медом'!C25</f>
        <v>5.0000000000000001E-3</v>
      </c>
      <c r="CG300" s="330"/>
      <c r="CH300" s="330"/>
      <c r="CI300" s="330"/>
      <c r="CJ300" s="330"/>
      <c r="CK300" s="330"/>
      <c r="CL300" s="330">
        <f>'396-Блины  с медом'!C22</f>
        <v>3.0000000000000001E-3</v>
      </c>
      <c r="CM300" s="330"/>
      <c r="CN300" s="330"/>
      <c r="CO300" s="330"/>
      <c r="CP300" s="330"/>
      <c r="CQ300" s="330"/>
      <c r="CR300" s="330"/>
      <c r="CS300" s="330"/>
      <c r="CT300" s="330"/>
      <c r="CU300" s="330"/>
      <c r="CV300" s="330"/>
      <c r="CW300" s="330"/>
      <c r="CX300" s="330"/>
      <c r="CY300" s="330"/>
      <c r="CZ300" s="330">
        <f>'396-Блины  с медом'!C20</f>
        <v>3.0000000000000001E-3</v>
      </c>
      <c r="DA300" s="330"/>
      <c r="DB300" s="330"/>
      <c r="DC300" s="330">
        <f>'396-Блины  с медом'!C23</f>
        <v>1.5E-3</v>
      </c>
      <c r="DD300" s="330"/>
      <c r="DE300" s="330"/>
      <c r="DF300" s="330"/>
      <c r="DG300" s="330"/>
      <c r="DH300" s="330"/>
      <c r="DI300" s="330"/>
      <c r="DJ300" s="330"/>
      <c r="DK300" s="330"/>
      <c r="DL300" s="330"/>
      <c r="DM300" s="330"/>
      <c r="DN300" s="330"/>
      <c r="DO300" s="330"/>
      <c r="DP300" s="330"/>
      <c r="DQ300" s="330"/>
      <c r="DR300" s="330"/>
      <c r="DS300" s="330"/>
      <c r="DT300" s="330"/>
      <c r="DU300" s="330"/>
      <c r="DV300" s="330"/>
      <c r="DW300" s="330"/>
      <c r="DX300" s="330"/>
      <c r="DY300" s="330"/>
      <c r="DZ300" s="330"/>
      <c r="EA300" s="330"/>
      <c r="EB300" s="330"/>
      <c r="EC300" s="330"/>
      <c r="ED300" s="330"/>
      <c r="EE300" s="330"/>
      <c r="EF300" s="330"/>
      <c r="EG300" s="330"/>
      <c r="EH300" s="330"/>
      <c r="EI300" s="330"/>
      <c r="EJ300" s="330"/>
      <c r="EK300" s="330"/>
      <c r="EL300" s="330"/>
      <c r="EM300" s="330"/>
      <c r="EN300" s="330"/>
      <c r="EO300" s="330"/>
      <c r="EP300" s="330"/>
      <c r="EQ300" s="330"/>
      <c r="ER300" s="330"/>
      <c r="ES300" s="330"/>
      <c r="ET300" s="330"/>
      <c r="EU300" s="330"/>
      <c r="EV300" s="330"/>
      <c r="EW300" s="330"/>
      <c r="EX300" s="330"/>
      <c r="EY300" s="1032">
        <f t="shared" si="20"/>
        <v>0.2205</v>
      </c>
      <c r="EZ300" s="616"/>
      <c r="FA300" s="616"/>
      <c r="FB300" s="616"/>
      <c r="FC300" s="616"/>
      <c r="FD300" s="616"/>
      <c r="FE300" s="616"/>
      <c r="FF300" s="616"/>
      <c r="FG300" s="616"/>
      <c r="FH300" s="616"/>
      <c r="FI300" s="616"/>
      <c r="FJ300" s="616"/>
    </row>
    <row r="301" spans="1:166" s="407" customFormat="1" ht="14.7" customHeight="1" x14ac:dyDescent="0.25">
      <c r="A301" s="421">
        <v>297</v>
      </c>
      <c r="B301" s="417" t="str">
        <f>'396-Блины  со сгущ.'!A9</f>
        <v>Блины с молоком сгущенным</v>
      </c>
      <c r="C301" s="419">
        <f>'396-Блины  со сгущ.'!C31</f>
        <v>170</v>
      </c>
      <c r="D301" s="1211">
        <f>12.34/170*C301</f>
        <v>12.34</v>
      </c>
      <c r="E301" s="1211">
        <f>9.18/170*C301</f>
        <v>9.18</v>
      </c>
      <c r="F301" s="1211">
        <f>68.72/170*C301</f>
        <v>68.72</v>
      </c>
      <c r="G301" s="1212">
        <f>407/170*C301</f>
        <v>407</v>
      </c>
      <c r="H301" s="419">
        <f>'396-Блины  со сгущ.'!J7</f>
        <v>396</v>
      </c>
      <c r="I301" s="483">
        <f>'396-Блины  со сгущ.'!F33</f>
        <v>19.38</v>
      </c>
      <c r="J301" s="330"/>
      <c r="K301" s="330"/>
      <c r="L301" s="330"/>
      <c r="M301" s="330"/>
      <c r="N301" s="330"/>
      <c r="O301" s="330"/>
      <c r="P301" s="330"/>
      <c r="Q301" s="330"/>
      <c r="R301" s="330"/>
      <c r="S301" s="330"/>
      <c r="T301" s="330"/>
      <c r="U301" s="330">
        <f>'396-Блины  со сгущ.'!C21</f>
        <v>0.11799999999999999</v>
      </c>
      <c r="V301" s="330"/>
      <c r="W301" s="330"/>
      <c r="X301" s="330"/>
      <c r="Y301" s="330"/>
      <c r="Z301" s="330">
        <f>'396-Блины  со сгущ.'!C27</f>
        <v>0.02</v>
      </c>
      <c r="AA301" s="330"/>
      <c r="AB301" s="330"/>
      <c r="AC301" s="330"/>
      <c r="AD301" s="330"/>
      <c r="AE301" s="330"/>
      <c r="AF301" s="330"/>
      <c r="AG301" s="330"/>
      <c r="AH301" s="330"/>
      <c r="AI301" s="330"/>
      <c r="AJ301" s="330"/>
      <c r="AK301" s="330"/>
      <c r="AL301" s="330"/>
      <c r="AM301" s="330"/>
      <c r="AN301" s="330"/>
      <c r="AO301" s="330"/>
      <c r="AP301" s="330"/>
      <c r="AQ301" s="330"/>
      <c r="AR301" s="330"/>
      <c r="AS301" s="330"/>
      <c r="AT301" s="330"/>
      <c r="AU301" s="330"/>
      <c r="AV301" s="330"/>
      <c r="AW301" s="330"/>
      <c r="AX301" s="330"/>
      <c r="AY301" s="330"/>
      <c r="AZ301" s="330"/>
      <c r="BA301" s="330"/>
      <c r="BB301" s="330"/>
      <c r="BC301" s="330"/>
      <c r="BD301" s="330"/>
      <c r="BE301" s="330"/>
      <c r="BF301" s="330"/>
      <c r="BG301" s="330"/>
      <c r="BH301" s="330"/>
      <c r="BI301" s="330"/>
      <c r="BJ301" s="330"/>
      <c r="BK301" s="330"/>
      <c r="BL301" s="330"/>
      <c r="BM301" s="330"/>
      <c r="BN301" s="330"/>
      <c r="BO301" s="330"/>
      <c r="BP301" s="330"/>
      <c r="BQ301" s="330"/>
      <c r="BR301" s="330"/>
      <c r="BS301" s="330">
        <f>'396-Блины  со сгущ.'!C19</f>
        <v>7.4999999999999997E-2</v>
      </c>
      <c r="BT301" s="330"/>
      <c r="BU301" s="330"/>
      <c r="BV301" s="330"/>
      <c r="BW301" s="330"/>
      <c r="BX301" s="330"/>
      <c r="BY301" s="330"/>
      <c r="BZ301" s="330"/>
      <c r="CA301" s="330"/>
      <c r="CB301" s="330"/>
      <c r="CC301" s="330"/>
      <c r="CD301" s="330"/>
      <c r="CE301" s="330"/>
      <c r="CF301" s="330">
        <f>'396-Блины  со сгущ.'!C25</f>
        <v>5.0000000000000001E-3</v>
      </c>
      <c r="CG301" s="330"/>
      <c r="CH301" s="330"/>
      <c r="CI301" s="330"/>
      <c r="CJ301" s="330"/>
      <c r="CK301" s="330"/>
      <c r="CL301" s="330">
        <f>'396-Блины  со сгущ.'!C22</f>
        <v>3.0000000000000001E-3</v>
      </c>
      <c r="CM301" s="330"/>
      <c r="CN301" s="330"/>
      <c r="CO301" s="330"/>
      <c r="CP301" s="330"/>
      <c r="CQ301" s="330"/>
      <c r="CR301" s="330"/>
      <c r="CS301" s="330"/>
      <c r="CT301" s="330"/>
      <c r="CU301" s="330"/>
      <c r="CV301" s="330"/>
      <c r="CW301" s="330"/>
      <c r="CX301" s="330"/>
      <c r="CY301" s="330"/>
      <c r="CZ301" s="330">
        <f>'396-Блины  со сгущ.'!C20</f>
        <v>3.0000000000000001E-3</v>
      </c>
      <c r="DA301" s="330"/>
      <c r="DB301" s="330"/>
      <c r="DC301" s="330">
        <f>'396-Блины  со сгущ.'!C23</f>
        <v>1.5E-3</v>
      </c>
      <c r="DD301" s="330"/>
      <c r="DE301" s="330"/>
      <c r="DF301" s="330"/>
      <c r="DG301" s="330"/>
      <c r="DH301" s="330"/>
      <c r="DI301" s="330"/>
      <c r="DJ301" s="330"/>
      <c r="DK301" s="330"/>
      <c r="DL301" s="330"/>
      <c r="DM301" s="330"/>
      <c r="DN301" s="330"/>
      <c r="DO301" s="330"/>
      <c r="DP301" s="330"/>
      <c r="DQ301" s="330"/>
      <c r="DR301" s="330"/>
      <c r="DS301" s="330"/>
      <c r="DT301" s="330"/>
      <c r="DU301" s="330"/>
      <c r="DV301" s="330"/>
      <c r="DW301" s="330"/>
      <c r="DX301" s="330"/>
      <c r="DY301" s="330"/>
      <c r="DZ301" s="330"/>
      <c r="EA301" s="330"/>
      <c r="EB301" s="330"/>
      <c r="EC301" s="330"/>
      <c r="ED301" s="330"/>
      <c r="EE301" s="330"/>
      <c r="EF301" s="330"/>
      <c r="EG301" s="330"/>
      <c r="EH301" s="330"/>
      <c r="EI301" s="330"/>
      <c r="EJ301" s="330"/>
      <c r="EK301" s="330"/>
      <c r="EL301" s="330"/>
      <c r="EM301" s="330"/>
      <c r="EN301" s="330"/>
      <c r="EO301" s="330"/>
      <c r="EP301" s="330"/>
      <c r="EQ301" s="330"/>
      <c r="ER301" s="330"/>
      <c r="ES301" s="330"/>
      <c r="ET301" s="330"/>
      <c r="EU301" s="330"/>
      <c r="EV301" s="330"/>
      <c r="EW301" s="330"/>
      <c r="EX301" s="330"/>
      <c r="EY301" s="1032">
        <f t="shared" si="20"/>
        <v>0.22550000000000001</v>
      </c>
      <c r="EZ301" s="616"/>
      <c r="FA301" s="616"/>
      <c r="FB301" s="616"/>
      <c r="FC301" s="616"/>
      <c r="FD301" s="616"/>
      <c r="FE301" s="616"/>
      <c r="FF301" s="616"/>
      <c r="FG301" s="616"/>
      <c r="FH301" s="616"/>
      <c r="FI301" s="616"/>
      <c r="FJ301" s="616"/>
    </row>
    <row r="302" spans="1:166" ht="14.7" customHeight="1" x14ac:dyDescent="0.25">
      <c r="A302" s="421">
        <v>298</v>
      </c>
      <c r="B302" s="417" t="str">
        <f>'400-тесто для оладий'!A9</f>
        <v>Тесто для оладий</v>
      </c>
      <c r="C302" s="419">
        <f>'400-тесто для оладий'!C29</f>
        <v>1000</v>
      </c>
      <c r="D302" s="1211">
        <f>69.76/1000*C302</f>
        <v>69.760000000000005</v>
      </c>
      <c r="E302" s="1211">
        <f>21.8/1000*C302</f>
        <v>21.8</v>
      </c>
      <c r="F302" s="1211">
        <f>370.9/1000*C302</f>
        <v>370.9</v>
      </c>
      <c r="G302" s="1212">
        <f>1959/1000*C302</f>
        <v>1959</v>
      </c>
      <c r="H302" s="419">
        <f>'400-тесто для оладий'!J7</f>
        <v>400</v>
      </c>
      <c r="I302" s="483">
        <f>'400-тесто для оладий'!F31</f>
        <v>48.6</v>
      </c>
      <c r="J302" s="330"/>
      <c r="K302" s="330"/>
      <c r="L302" s="330"/>
      <c r="M302" s="330"/>
      <c r="N302" s="330"/>
      <c r="O302" s="330"/>
      <c r="P302" s="330"/>
      <c r="Q302" s="330"/>
      <c r="R302" s="330"/>
      <c r="S302" s="330"/>
      <c r="T302" s="330"/>
      <c r="U302" s="330">
        <f>'400-тесто для оладий'!C21</f>
        <v>0.24</v>
      </c>
      <c r="V302" s="330"/>
      <c r="W302" s="330"/>
      <c r="X302" s="330"/>
      <c r="Y302" s="330"/>
      <c r="Z302" s="330"/>
      <c r="AA302" s="330"/>
      <c r="AB302" s="330"/>
      <c r="AC302" s="330"/>
      <c r="AD302" s="330"/>
      <c r="AE302" s="330">
        <f>'400-тесто для оладий'!C20</f>
        <v>2.76E-2</v>
      </c>
      <c r="AF302" s="330"/>
      <c r="AG302" s="330"/>
      <c r="AH302" s="330"/>
      <c r="AI302" s="330"/>
      <c r="AJ302" s="330"/>
      <c r="AK302" s="330"/>
      <c r="AL302" s="330"/>
      <c r="AM302" s="330"/>
      <c r="AN302" s="330"/>
      <c r="AO302" s="330"/>
      <c r="AP302" s="330"/>
      <c r="AQ302" s="330"/>
      <c r="AR302" s="330"/>
      <c r="AS302" s="330"/>
      <c r="AT302" s="330"/>
      <c r="AU302" s="330"/>
      <c r="AV302" s="330"/>
      <c r="AW302" s="330"/>
      <c r="AX302" s="330"/>
      <c r="AY302" s="330"/>
      <c r="AZ302" s="330"/>
      <c r="BA302" s="330"/>
      <c r="BB302" s="330"/>
      <c r="BC302" s="330"/>
      <c r="BD302" s="330"/>
      <c r="BE302" s="330"/>
      <c r="BF302" s="330"/>
      <c r="BG302" s="330"/>
      <c r="BH302" s="330"/>
      <c r="BI302" s="330"/>
      <c r="BJ302" s="330"/>
      <c r="BK302" s="330"/>
      <c r="BL302" s="330"/>
      <c r="BM302" s="330"/>
      <c r="BN302" s="330"/>
      <c r="BO302" s="330"/>
      <c r="BP302" s="330"/>
      <c r="BQ302" s="330"/>
      <c r="BR302" s="330"/>
      <c r="BS302" s="330">
        <f>'400-тесто для оладий'!C19</f>
        <v>0.48099999999999998</v>
      </c>
      <c r="BT302" s="330"/>
      <c r="BU302" s="330"/>
      <c r="BV302" s="330"/>
      <c r="BW302" s="330"/>
      <c r="BX302" s="330"/>
      <c r="BY302" s="330"/>
      <c r="BZ302" s="330"/>
      <c r="CA302" s="330"/>
      <c r="CB302" s="330"/>
      <c r="CC302" s="330"/>
      <c r="CD302" s="330"/>
      <c r="CE302" s="330"/>
      <c r="CF302" s="330"/>
      <c r="CG302" s="330"/>
      <c r="CH302" s="330"/>
      <c r="CI302" s="330"/>
      <c r="CJ302" s="330"/>
      <c r="CK302" s="330"/>
      <c r="CL302" s="330">
        <f>'400-тесто для оладий'!C23</f>
        <v>1.4E-2</v>
      </c>
      <c r="CM302" s="330"/>
      <c r="CN302" s="330"/>
      <c r="CO302" s="330"/>
      <c r="CP302" s="330"/>
      <c r="CQ302" s="330"/>
      <c r="CR302" s="330"/>
      <c r="CS302" s="330"/>
      <c r="CT302" s="330"/>
      <c r="CU302" s="330"/>
      <c r="CV302" s="330"/>
      <c r="CW302" s="330"/>
      <c r="CX302" s="330"/>
      <c r="CY302" s="330"/>
      <c r="CZ302" s="330">
        <f>'400-тесто для оладий'!C24</f>
        <v>1.7000000000000001E-2</v>
      </c>
      <c r="DA302" s="330"/>
      <c r="DB302" s="330"/>
      <c r="DC302" s="330">
        <f>'400-тесто для оладий'!C25</f>
        <v>8.9999999999999993E-3</v>
      </c>
      <c r="DD302" s="330"/>
      <c r="DE302" s="330"/>
      <c r="DF302" s="330"/>
      <c r="DG302" s="330"/>
      <c r="DH302" s="330"/>
      <c r="DI302" s="330"/>
      <c r="DJ302" s="330"/>
      <c r="DK302" s="330"/>
      <c r="DL302" s="330"/>
      <c r="DM302" s="330"/>
      <c r="DN302" s="330"/>
      <c r="DO302" s="330"/>
      <c r="DP302" s="330"/>
      <c r="DQ302" s="330"/>
      <c r="DR302" s="330"/>
      <c r="DS302" s="330"/>
      <c r="DT302" s="330"/>
      <c r="DU302" s="330"/>
      <c r="DV302" s="330"/>
      <c r="DW302" s="330"/>
      <c r="DX302" s="330"/>
      <c r="DY302" s="330"/>
      <c r="DZ302" s="330"/>
      <c r="EA302" s="330"/>
      <c r="EB302" s="330"/>
      <c r="EC302" s="330"/>
      <c r="ED302" s="330"/>
      <c r="EE302" s="330"/>
      <c r="EF302" s="330"/>
      <c r="EG302" s="330"/>
      <c r="EH302" s="330"/>
      <c r="EI302" s="330"/>
      <c r="EJ302" s="330"/>
      <c r="EK302" s="330"/>
      <c r="EL302" s="330"/>
      <c r="EM302" s="330"/>
      <c r="EN302" s="330"/>
      <c r="EO302" s="330"/>
      <c r="EP302" s="330"/>
      <c r="EQ302" s="330"/>
      <c r="ER302" s="330"/>
      <c r="ES302" s="330"/>
      <c r="ET302" s="330"/>
      <c r="EU302" s="330"/>
      <c r="EV302" s="330"/>
      <c r="EW302" s="330"/>
      <c r="EX302" s="330"/>
      <c r="EY302" s="1032">
        <f t="shared" si="20"/>
        <v>0.78859999999999997</v>
      </c>
    </row>
    <row r="303" spans="1:166" s="564" customFormat="1" ht="14.7" customHeight="1" x14ac:dyDescent="0.25">
      <c r="A303" s="421">
        <v>299</v>
      </c>
      <c r="B303" s="417" t="str">
        <f>'401-оладьи варенье'!A9</f>
        <v>Оладьи с вареньем абрикосовым</v>
      </c>
      <c r="C303" s="419">
        <f>'401-оладьи варенье'!C25</f>
        <v>165</v>
      </c>
      <c r="D303" s="1211">
        <f>11.59/165*C303</f>
        <v>11.59</v>
      </c>
      <c r="E303" s="1211">
        <f>11.53/165*C303</f>
        <v>11.53</v>
      </c>
      <c r="F303" s="1211">
        <f>71.84/165*C303</f>
        <v>71.84</v>
      </c>
      <c r="G303" s="1212">
        <f>437/165*C303</f>
        <v>437</v>
      </c>
      <c r="H303" s="419">
        <f>'401-оладьи варенье'!J7</f>
        <v>401</v>
      </c>
      <c r="I303" s="483">
        <f>'401-оладьи варенье'!F28</f>
        <v>15.63</v>
      </c>
      <c r="J303" s="330"/>
      <c r="K303" s="330"/>
      <c r="L303" s="330"/>
      <c r="M303" s="330"/>
      <c r="N303" s="330"/>
      <c r="O303" s="330"/>
      <c r="P303" s="330"/>
      <c r="Q303" s="330"/>
      <c r="R303" s="330"/>
      <c r="S303" s="330"/>
      <c r="T303" s="330"/>
      <c r="U303" s="333">
        <f>'400-тесто для оладий'!C21/'400-тесто для оладий'!C28*'401-оладьи варенье'!C19*1000</f>
        <v>4.224E-2</v>
      </c>
      <c r="V303" s="330"/>
      <c r="W303" s="330"/>
      <c r="X303" s="330"/>
      <c r="Y303" s="330"/>
      <c r="Z303" s="330"/>
      <c r="AA303" s="330"/>
      <c r="AB303" s="330"/>
      <c r="AC303" s="330"/>
      <c r="AD303" s="330"/>
      <c r="AE303" s="330">
        <f>'400-тесто для оладий'!C20/'400-тесто для оладий'!C28*'401-оладьи варенье'!C19*1000</f>
        <v>4.8599999999999997E-3</v>
      </c>
      <c r="AF303" s="330"/>
      <c r="AG303" s="330"/>
      <c r="AH303" s="330"/>
      <c r="AI303" s="330"/>
      <c r="AJ303" s="330"/>
      <c r="AK303" s="330"/>
      <c r="AL303" s="330"/>
      <c r="AM303" s="330"/>
      <c r="AN303" s="330"/>
      <c r="AO303" s="330"/>
      <c r="AP303" s="330"/>
      <c r="AQ303" s="330"/>
      <c r="AR303" s="330"/>
      <c r="AS303" s="330"/>
      <c r="AT303" s="330"/>
      <c r="AU303" s="330"/>
      <c r="AV303" s="330"/>
      <c r="AW303" s="330"/>
      <c r="AX303" s="330"/>
      <c r="AY303" s="330"/>
      <c r="AZ303" s="330"/>
      <c r="BA303" s="330"/>
      <c r="BB303" s="330"/>
      <c r="BC303" s="330"/>
      <c r="BD303" s="330"/>
      <c r="BE303" s="330"/>
      <c r="BF303" s="330"/>
      <c r="BG303" s="330"/>
      <c r="BH303" s="330"/>
      <c r="BI303" s="330"/>
      <c r="BJ303" s="330"/>
      <c r="BK303" s="330"/>
      <c r="BL303" s="330"/>
      <c r="BM303" s="330"/>
      <c r="BN303" s="330"/>
      <c r="BO303" s="330"/>
      <c r="BP303" s="330"/>
      <c r="BQ303" s="330"/>
      <c r="BR303" s="330"/>
      <c r="BS303" s="330">
        <f>'400-тесто для оладий'!C19/'400-тесто для оладий'!C28*'401-оладьи варенье'!C19*1000</f>
        <v>8.4659999999999999E-2</v>
      </c>
      <c r="BT303" s="330"/>
      <c r="BU303" s="330"/>
      <c r="BV303" s="330"/>
      <c r="BW303" s="330"/>
      <c r="BX303" s="330"/>
      <c r="BY303" s="330"/>
      <c r="BZ303" s="330"/>
      <c r="CA303" s="330"/>
      <c r="CB303" s="330"/>
      <c r="CC303" s="330"/>
      <c r="CD303" s="330"/>
      <c r="CE303" s="330"/>
      <c r="CF303" s="330">
        <f>'401-оладьи варенье'!C20</f>
        <v>8.9999999999999993E-3</v>
      </c>
      <c r="CG303" s="330"/>
      <c r="CH303" s="330"/>
      <c r="CI303" s="330"/>
      <c r="CJ303" s="330"/>
      <c r="CK303" s="330"/>
      <c r="CL303" s="330">
        <f>'400-тесто для оладий'!C23/'400-тесто для оладий'!C28*'401-оладьи варенье'!C19*1000</f>
        <v>2.4599999999999999E-3</v>
      </c>
      <c r="CM303" s="330"/>
      <c r="CN303" s="330"/>
      <c r="CO303" s="330"/>
      <c r="CP303" s="330"/>
      <c r="CQ303" s="330"/>
      <c r="CR303" s="330"/>
      <c r="CS303" s="330"/>
      <c r="CT303" s="330"/>
      <c r="CU303" s="330"/>
      <c r="CV303" s="330"/>
      <c r="CW303" s="330"/>
      <c r="CX303" s="330"/>
      <c r="CY303" s="330">
        <f>'401-оладьи варенье'!C22</f>
        <v>1.4999999999999999E-2</v>
      </c>
      <c r="CZ303" s="330">
        <f>'400-тесто для оладий'!C24/'400-тесто для оладий'!C28*'401-оладьи варенье'!C19*1000</f>
        <v>2.99E-3</v>
      </c>
      <c r="DA303" s="330"/>
      <c r="DB303" s="330"/>
      <c r="DC303" s="330">
        <f>'400-тесто для оладий'!C25/'400-тесто для оладий'!C28*'401-оладьи варенье'!C19*1000</f>
        <v>1.58E-3</v>
      </c>
      <c r="DD303" s="330"/>
      <c r="DE303" s="330"/>
      <c r="DF303" s="330"/>
      <c r="DG303" s="330"/>
      <c r="DH303" s="330"/>
      <c r="DI303" s="330"/>
      <c r="DJ303" s="330"/>
      <c r="DK303" s="330"/>
      <c r="DL303" s="330"/>
      <c r="DM303" s="330"/>
      <c r="DN303" s="330"/>
      <c r="DO303" s="330"/>
      <c r="DP303" s="330"/>
      <c r="DQ303" s="330"/>
      <c r="DR303" s="330"/>
      <c r="DS303" s="330"/>
      <c r="DT303" s="330"/>
      <c r="DU303" s="330"/>
      <c r="DV303" s="330"/>
      <c r="DW303" s="330"/>
      <c r="DX303" s="330"/>
      <c r="DY303" s="330"/>
      <c r="DZ303" s="330"/>
      <c r="EA303" s="330"/>
      <c r="EB303" s="330"/>
      <c r="EC303" s="330"/>
      <c r="ED303" s="330"/>
      <c r="EE303" s="330"/>
      <c r="EF303" s="330"/>
      <c r="EG303" s="330"/>
      <c r="EH303" s="330"/>
      <c r="EI303" s="330"/>
      <c r="EJ303" s="330"/>
      <c r="EK303" s="330"/>
      <c r="EL303" s="330"/>
      <c r="EM303" s="330"/>
      <c r="EN303" s="330"/>
      <c r="EO303" s="330"/>
      <c r="EP303" s="330"/>
      <c r="EQ303" s="330"/>
      <c r="ER303" s="330"/>
      <c r="ES303" s="330"/>
      <c r="ET303" s="330"/>
      <c r="EU303" s="330"/>
      <c r="EV303" s="330"/>
      <c r="EW303" s="330"/>
      <c r="EX303" s="330"/>
      <c r="EY303" s="1032">
        <f t="shared" si="20"/>
        <v>0.16278999999999999</v>
      </c>
      <c r="EZ303" s="616"/>
      <c r="FA303" s="616"/>
      <c r="FB303" s="616"/>
      <c r="FC303" s="616"/>
      <c r="FD303" s="616"/>
      <c r="FE303" s="616"/>
      <c r="FF303" s="616"/>
      <c r="FG303" s="616"/>
      <c r="FH303" s="616"/>
      <c r="FI303" s="616"/>
      <c r="FJ303" s="616"/>
    </row>
    <row r="304" spans="1:166" ht="14.7" customHeight="1" x14ac:dyDescent="0.25">
      <c r="A304" s="421">
        <v>300</v>
      </c>
      <c r="B304" s="169" t="str">
        <f>'404-оладьи с маслом'!A9</f>
        <v>Оладьи с творогом и маслом</v>
      </c>
      <c r="C304" s="419">
        <f>'404-оладьи с маслом'!C28</f>
        <v>160</v>
      </c>
      <c r="D304" s="1211">
        <f>14.13/165*C304</f>
        <v>13.7</v>
      </c>
      <c r="E304" s="1211">
        <f>12.97/165*C304</f>
        <v>12.58</v>
      </c>
      <c r="F304" s="1211">
        <f>64.27/165*C304</f>
        <v>62.32</v>
      </c>
      <c r="G304" s="1212">
        <f>430/165*C304</f>
        <v>417</v>
      </c>
      <c r="H304" s="419">
        <f>'404-оладьи с маслом'!J7</f>
        <v>404</v>
      </c>
      <c r="I304" s="483">
        <f>'404-оладьи с маслом'!F30</f>
        <v>23.9</v>
      </c>
      <c r="J304" s="330"/>
      <c r="K304" s="330"/>
      <c r="L304" s="330"/>
      <c r="M304" s="330"/>
      <c r="N304" s="330"/>
      <c r="O304" s="330"/>
      <c r="P304" s="330"/>
      <c r="Q304" s="330"/>
      <c r="R304" s="330"/>
      <c r="S304" s="330"/>
      <c r="T304" s="330"/>
      <c r="U304" s="333">
        <f>'400-тесто для оладий'!C21/'400-тесто для оладий'!C28*'404-оладьи с маслом'!C19*1000</f>
        <v>3.6240000000000001E-2</v>
      </c>
      <c r="V304" s="330">
        <f>'404-оладьи с маслом'!C24</f>
        <v>0.01</v>
      </c>
      <c r="W304" s="330"/>
      <c r="X304" s="330">
        <f>'404-оладьи с маслом'!C20</f>
        <v>2.53E-2</v>
      </c>
      <c r="Y304" s="330"/>
      <c r="Z304" s="330"/>
      <c r="AA304" s="330"/>
      <c r="AB304" s="330"/>
      <c r="AC304" s="330"/>
      <c r="AD304" s="330"/>
      <c r="AE304" s="330">
        <f>'400-тесто для оладий'!C20/'400-тесто для оладий'!C28*'404-оладьи с маслом'!C19*1000</f>
        <v>4.1700000000000001E-3</v>
      </c>
      <c r="AF304" s="330"/>
      <c r="AG304" s="330"/>
      <c r="AH304" s="330"/>
      <c r="AI304" s="330"/>
      <c r="AJ304" s="330"/>
      <c r="AK304" s="330"/>
      <c r="AL304" s="330"/>
      <c r="AM304" s="330"/>
      <c r="AN304" s="330"/>
      <c r="AO304" s="330"/>
      <c r="AP304" s="330"/>
      <c r="AQ304" s="330"/>
      <c r="AR304" s="330"/>
      <c r="AS304" s="330"/>
      <c r="AT304" s="330"/>
      <c r="AU304" s="330"/>
      <c r="AV304" s="330"/>
      <c r="AW304" s="330"/>
      <c r="AX304" s="330"/>
      <c r="AY304" s="330"/>
      <c r="AZ304" s="330"/>
      <c r="BA304" s="330"/>
      <c r="BB304" s="330"/>
      <c r="BC304" s="330"/>
      <c r="BD304" s="330"/>
      <c r="BE304" s="330"/>
      <c r="BF304" s="330"/>
      <c r="BG304" s="330"/>
      <c r="BH304" s="330"/>
      <c r="BI304" s="330"/>
      <c r="BJ304" s="330"/>
      <c r="BK304" s="330"/>
      <c r="BL304" s="330"/>
      <c r="BM304" s="330"/>
      <c r="BN304" s="330"/>
      <c r="BO304" s="330"/>
      <c r="BP304" s="330"/>
      <c r="BQ304" s="330"/>
      <c r="BR304" s="330"/>
      <c r="BS304" s="330">
        <f>'400-тесто для оладий'!C19/'400-тесто для оладий'!C28*'404-оладьи с маслом'!C19*1000</f>
        <v>7.263E-2</v>
      </c>
      <c r="BT304" s="330"/>
      <c r="BU304" s="330"/>
      <c r="BV304" s="330"/>
      <c r="BW304" s="330"/>
      <c r="BX304" s="330"/>
      <c r="BY304" s="330"/>
      <c r="BZ304" s="330"/>
      <c r="CA304" s="330"/>
      <c r="CB304" s="330"/>
      <c r="CC304" s="330"/>
      <c r="CD304" s="330"/>
      <c r="CE304" s="330"/>
      <c r="CF304" s="330">
        <f>'404-оладьи с маслом'!C22</f>
        <v>5.0000000000000001E-3</v>
      </c>
      <c r="CG304" s="330"/>
      <c r="CH304" s="330"/>
      <c r="CI304" s="330"/>
      <c r="CJ304" s="330"/>
      <c r="CK304" s="330"/>
      <c r="CL304" s="330">
        <f>'400-тесто для оладий'!C23/'400-тесто для оладий'!C28*'404-оладьи с маслом'!C19*1000</f>
        <v>2.1099999999999999E-3</v>
      </c>
      <c r="CM304" s="330"/>
      <c r="CN304" s="330"/>
      <c r="CO304" s="330"/>
      <c r="CP304" s="330"/>
      <c r="CQ304" s="330"/>
      <c r="CR304" s="330"/>
      <c r="CS304" s="330"/>
      <c r="CT304" s="330"/>
      <c r="CU304" s="330"/>
      <c r="CV304" s="330"/>
      <c r="CW304" s="330"/>
      <c r="CX304" s="330"/>
      <c r="CY304" s="330"/>
      <c r="CZ304" s="330">
        <f>'400-тесто для оладий'!C24/'400-тесто для оладий'!C28*'404-оладьи с маслом'!C19*1000</f>
        <v>2.5699999999999998E-3</v>
      </c>
      <c r="DA304" s="330"/>
      <c r="DB304" s="330"/>
      <c r="DC304" s="330">
        <f>'400-тесто для оладий'!C25/'400-тесто для оладий'!C28*'404-оладьи с маслом'!C19*1000</f>
        <v>1.3600000000000001E-3</v>
      </c>
      <c r="DD304" s="330"/>
      <c r="DE304" s="330"/>
      <c r="DF304" s="330"/>
      <c r="DG304" s="330"/>
      <c r="DH304" s="330"/>
      <c r="DI304" s="330"/>
      <c r="DJ304" s="330"/>
      <c r="DK304" s="330"/>
      <c r="DL304" s="330"/>
      <c r="DM304" s="330"/>
      <c r="DN304" s="330"/>
      <c r="DO304" s="330"/>
      <c r="DP304" s="330"/>
      <c r="DQ304" s="330"/>
      <c r="DR304" s="330"/>
      <c r="DS304" s="330"/>
      <c r="DT304" s="330"/>
      <c r="DU304" s="330"/>
      <c r="DV304" s="330"/>
      <c r="DW304" s="330"/>
      <c r="DX304" s="330"/>
      <c r="DY304" s="330"/>
      <c r="DZ304" s="330"/>
      <c r="EA304" s="330"/>
      <c r="EB304" s="330"/>
      <c r="EC304" s="330"/>
      <c r="ED304" s="330"/>
      <c r="EE304" s="330"/>
      <c r="EF304" s="330"/>
      <c r="EG304" s="330"/>
      <c r="EH304" s="330"/>
      <c r="EI304" s="330"/>
      <c r="EJ304" s="330"/>
      <c r="EK304" s="330"/>
      <c r="EL304" s="330"/>
      <c r="EM304" s="330"/>
      <c r="EN304" s="330"/>
      <c r="EO304" s="330"/>
      <c r="EP304" s="330"/>
      <c r="EQ304" s="330"/>
      <c r="ER304" s="330"/>
      <c r="ES304" s="330"/>
      <c r="ET304" s="330"/>
      <c r="EU304" s="330"/>
      <c r="EV304" s="330"/>
      <c r="EW304" s="330"/>
      <c r="EX304" s="330"/>
      <c r="EY304" s="1032">
        <f t="shared" si="20"/>
        <v>0.15937999999999999</v>
      </c>
    </row>
    <row r="305" spans="1:166" ht="14.7" customHeight="1" x14ac:dyDescent="0.25">
      <c r="A305" s="421">
        <v>301</v>
      </c>
      <c r="B305" s="169" t="str">
        <f>'405-тесто дрожжевое'!A9</f>
        <v>Тесто дрожжевое для пирожков печеных простых</v>
      </c>
      <c r="C305" s="419">
        <f>'405-тесто дрожжевое'!C29</f>
        <v>1000</v>
      </c>
      <c r="D305" s="1211">
        <f>69.57/1000*C305</f>
        <v>69.569999999999993</v>
      </c>
      <c r="E305" s="1211">
        <f>24.32/1000*C305</f>
        <v>24.32</v>
      </c>
      <c r="F305" s="1211">
        <f>479.32/1000*C305</f>
        <v>479.32</v>
      </c>
      <c r="G305" s="1212">
        <f>2414/1000*C305</f>
        <v>2414</v>
      </c>
      <c r="H305" s="419">
        <f>'405-тесто дрожжевое'!J7</f>
        <v>405</v>
      </c>
      <c r="I305" s="1234">
        <f>'405-тесто дрожжевое'!F31</f>
        <v>38.78</v>
      </c>
      <c r="J305" s="330"/>
      <c r="K305" s="330"/>
      <c r="L305" s="330"/>
      <c r="M305" s="330"/>
      <c r="N305" s="330"/>
      <c r="O305" s="330"/>
      <c r="P305" s="330"/>
      <c r="Q305" s="330"/>
      <c r="R305" s="330"/>
      <c r="S305" s="330"/>
      <c r="T305" s="330"/>
      <c r="U305" s="330"/>
      <c r="V305" s="330"/>
      <c r="W305" s="330"/>
      <c r="X305" s="330"/>
      <c r="Y305" s="330"/>
      <c r="Z305" s="330"/>
      <c r="AA305" s="330"/>
      <c r="AB305" s="330"/>
      <c r="AC305" s="330"/>
      <c r="AD305" s="330"/>
      <c r="AE305" s="330"/>
      <c r="AF305" s="330"/>
      <c r="AG305" s="330"/>
      <c r="AH305" s="330"/>
      <c r="AI305" s="330"/>
      <c r="AJ305" s="330"/>
      <c r="AK305" s="330"/>
      <c r="AL305" s="330"/>
      <c r="AM305" s="330"/>
      <c r="AN305" s="330"/>
      <c r="AO305" s="330"/>
      <c r="AP305" s="330"/>
      <c r="AQ305" s="330"/>
      <c r="AR305" s="330"/>
      <c r="AS305" s="330"/>
      <c r="AT305" s="330"/>
      <c r="AU305" s="330"/>
      <c r="AV305" s="330"/>
      <c r="AW305" s="330"/>
      <c r="AX305" s="330"/>
      <c r="AY305" s="330"/>
      <c r="AZ305" s="330"/>
      <c r="BA305" s="330"/>
      <c r="BB305" s="330"/>
      <c r="BC305" s="330"/>
      <c r="BD305" s="330"/>
      <c r="BE305" s="330"/>
      <c r="BF305" s="330"/>
      <c r="BG305" s="330"/>
      <c r="BH305" s="330"/>
      <c r="BI305" s="330"/>
      <c r="BJ305" s="330"/>
      <c r="BK305" s="330"/>
      <c r="BL305" s="330"/>
      <c r="BM305" s="330"/>
      <c r="BN305" s="330"/>
      <c r="BO305" s="330"/>
      <c r="BP305" s="330"/>
      <c r="BQ305" s="330"/>
      <c r="BR305" s="330"/>
      <c r="BS305" s="330">
        <f>'405-тесто дрожжевое'!C19</f>
        <v>0.63300000000000001</v>
      </c>
      <c r="BT305" s="330"/>
      <c r="BU305" s="330"/>
      <c r="BV305" s="330"/>
      <c r="BW305" s="330"/>
      <c r="BX305" s="330"/>
      <c r="BY305" s="330"/>
      <c r="BZ305" s="330"/>
      <c r="CA305" s="330"/>
      <c r="CB305" s="330"/>
      <c r="CC305" s="330"/>
      <c r="CD305" s="330"/>
      <c r="CE305" s="330">
        <f>'405-тесто дрожжевое'!C21</f>
        <v>1.9E-2</v>
      </c>
      <c r="CF305" s="330"/>
      <c r="CG305" s="330"/>
      <c r="CH305" s="330"/>
      <c r="CI305" s="330"/>
      <c r="CJ305" s="330"/>
      <c r="CK305" s="330"/>
      <c r="CL305" s="330">
        <f>'405-тесто дрожжевое'!C23</f>
        <v>1.9E-2</v>
      </c>
      <c r="CM305" s="330"/>
      <c r="CN305" s="330"/>
      <c r="CO305" s="330"/>
      <c r="CP305" s="330"/>
      <c r="CQ305" s="330"/>
      <c r="CR305" s="330"/>
      <c r="CS305" s="330"/>
      <c r="CT305" s="330"/>
      <c r="CU305" s="330"/>
      <c r="CV305" s="330"/>
      <c r="CW305" s="330"/>
      <c r="CX305" s="330"/>
      <c r="CY305" s="330"/>
      <c r="CZ305" s="330">
        <f>'405-тесто дрожжевое'!C20</f>
        <v>4.3999999999999997E-2</v>
      </c>
      <c r="DA305" s="330"/>
      <c r="DB305" s="330"/>
      <c r="DC305" s="330">
        <f>'405-тесто дрожжевое'!C22</f>
        <v>0.01</v>
      </c>
      <c r="DD305" s="330"/>
      <c r="DE305" s="330"/>
      <c r="DF305" s="330"/>
      <c r="DG305" s="330"/>
      <c r="DH305" s="330"/>
      <c r="DI305" s="330"/>
      <c r="DJ305" s="330"/>
      <c r="DK305" s="330"/>
      <c r="DL305" s="330"/>
      <c r="DM305" s="330"/>
      <c r="DN305" s="330"/>
      <c r="DO305" s="330"/>
      <c r="DP305" s="330"/>
      <c r="DQ305" s="330"/>
      <c r="DR305" s="330"/>
      <c r="DS305" s="330"/>
      <c r="DT305" s="330"/>
      <c r="DU305" s="330"/>
      <c r="DV305" s="330"/>
      <c r="DW305" s="330"/>
      <c r="DX305" s="330"/>
      <c r="DY305" s="330"/>
      <c r="DZ305" s="330"/>
      <c r="EA305" s="330"/>
      <c r="EB305" s="330"/>
      <c r="EC305" s="330"/>
      <c r="ED305" s="330"/>
      <c r="EE305" s="330"/>
      <c r="EF305" s="330"/>
      <c r="EG305" s="330"/>
      <c r="EH305" s="330"/>
      <c r="EI305" s="330"/>
      <c r="EJ305" s="330"/>
      <c r="EK305" s="330"/>
      <c r="EL305" s="330"/>
      <c r="EM305" s="330"/>
      <c r="EN305" s="330"/>
      <c r="EO305" s="330"/>
      <c r="EP305" s="330"/>
      <c r="EQ305" s="330"/>
      <c r="ER305" s="330"/>
      <c r="ES305" s="330"/>
      <c r="ET305" s="330"/>
      <c r="EU305" s="330"/>
      <c r="EV305" s="330"/>
      <c r="EW305" s="330"/>
      <c r="EX305" s="330"/>
      <c r="EY305" s="1032">
        <f t="shared" si="20"/>
        <v>0.72499999999999998</v>
      </c>
    </row>
    <row r="306" spans="1:166" ht="14.7" customHeight="1" x14ac:dyDescent="0.25">
      <c r="A306" s="421">
        <v>302</v>
      </c>
      <c r="B306" s="169" t="str">
        <f>'405-тесто сдобное'!A9</f>
        <v>Тесто дрожжевое для пирожков печеных сдобных</v>
      </c>
      <c r="C306" s="419">
        <f>'405-тесто сдобное'!C30</f>
        <v>1000</v>
      </c>
      <c r="D306" s="1211">
        <f>79.73/1000*C306</f>
        <v>79.73</v>
      </c>
      <c r="E306" s="1211">
        <f>73.46/1000*C306</f>
        <v>73.459999999999994</v>
      </c>
      <c r="F306" s="1211">
        <f>487.44/1000*C306</f>
        <v>487.44</v>
      </c>
      <c r="G306" s="1212">
        <f>2930/1000*C306</f>
        <v>2930</v>
      </c>
      <c r="H306" s="419">
        <f>'405-тесто сдобное'!J7</f>
        <v>405</v>
      </c>
      <c r="I306" s="1234">
        <f>'405-тесто сдобное'!F32</f>
        <v>63.28</v>
      </c>
      <c r="J306" s="330"/>
      <c r="K306" s="330"/>
      <c r="L306" s="330"/>
      <c r="M306" s="330"/>
      <c r="N306" s="330"/>
      <c r="O306" s="330"/>
      <c r="P306" s="330"/>
      <c r="Q306" s="330"/>
      <c r="R306" s="330"/>
      <c r="S306" s="330"/>
      <c r="T306" s="330"/>
      <c r="U306" s="330"/>
      <c r="V306" s="330"/>
      <c r="W306" s="330"/>
      <c r="X306" s="330"/>
      <c r="Y306" s="330"/>
      <c r="Z306" s="330"/>
      <c r="AA306" s="330"/>
      <c r="AB306" s="330"/>
      <c r="AC306" s="330"/>
      <c r="AD306" s="330"/>
      <c r="AE306" s="330"/>
      <c r="AF306" s="330"/>
      <c r="AG306" s="330"/>
      <c r="AH306" s="330"/>
      <c r="AI306" s="330"/>
      <c r="AJ306" s="330"/>
      <c r="AK306" s="330"/>
      <c r="AL306" s="330"/>
      <c r="AM306" s="330"/>
      <c r="AN306" s="330"/>
      <c r="AO306" s="330"/>
      <c r="AP306" s="330"/>
      <c r="AQ306" s="330"/>
      <c r="AR306" s="330"/>
      <c r="AS306" s="330"/>
      <c r="AT306" s="330"/>
      <c r="AU306" s="330"/>
      <c r="AV306" s="330"/>
      <c r="AW306" s="330"/>
      <c r="AX306" s="330"/>
      <c r="AY306" s="330"/>
      <c r="AZ306" s="330"/>
      <c r="BA306" s="330"/>
      <c r="BB306" s="330"/>
      <c r="BC306" s="330"/>
      <c r="BD306" s="330"/>
      <c r="BE306" s="330"/>
      <c r="BF306" s="330"/>
      <c r="BG306" s="330"/>
      <c r="BH306" s="330"/>
      <c r="BI306" s="330"/>
      <c r="BJ306" s="330"/>
      <c r="BK306" s="330"/>
      <c r="BL306" s="330"/>
      <c r="BM306" s="330"/>
      <c r="BN306" s="330"/>
      <c r="BO306" s="330"/>
      <c r="BP306" s="330"/>
      <c r="BQ306" s="330"/>
      <c r="BR306" s="330"/>
      <c r="BS306" s="330">
        <f>'405-тесто сдобное'!C19</f>
        <v>0.64</v>
      </c>
      <c r="BT306" s="330"/>
      <c r="BU306" s="330"/>
      <c r="BV306" s="330"/>
      <c r="BW306" s="330"/>
      <c r="BX306" s="330"/>
      <c r="BY306" s="330"/>
      <c r="BZ306" s="330"/>
      <c r="CA306" s="330"/>
      <c r="CB306" s="330"/>
      <c r="CC306" s="330"/>
      <c r="CD306" s="330"/>
      <c r="CE306" s="330">
        <f>'405-тесто сдобное'!C21</f>
        <v>6.9000000000000006E-2</v>
      </c>
      <c r="CF306" s="330"/>
      <c r="CG306" s="330"/>
      <c r="CH306" s="330"/>
      <c r="CI306" s="330"/>
      <c r="CJ306" s="330"/>
      <c r="CK306" s="330"/>
      <c r="CL306" s="330">
        <f>'405-тесто сдобное'!C24</f>
        <v>2.3E-2</v>
      </c>
      <c r="CM306" s="330"/>
      <c r="CN306" s="330"/>
      <c r="CO306" s="330"/>
      <c r="CP306" s="330"/>
      <c r="CQ306" s="330"/>
      <c r="CR306" s="330"/>
      <c r="CS306" s="330"/>
      <c r="CT306" s="330"/>
      <c r="CU306" s="330"/>
      <c r="CV306" s="330"/>
      <c r="CW306" s="330"/>
      <c r="CX306" s="330"/>
      <c r="CY306" s="330"/>
      <c r="CZ306" s="330">
        <f>'405-тесто сдобное'!C20</f>
        <v>4.5999999999999999E-2</v>
      </c>
      <c r="DA306" s="330"/>
      <c r="DB306" s="330"/>
      <c r="DC306" s="330">
        <f>'405-тесто сдобное'!C23</f>
        <v>8.0000000000000002E-3</v>
      </c>
      <c r="DD306" s="330"/>
      <c r="DE306" s="330"/>
      <c r="DF306" s="330"/>
      <c r="DG306" s="330"/>
      <c r="DH306" s="330"/>
      <c r="DI306" s="330"/>
      <c r="DJ306" s="330"/>
      <c r="DK306" s="330"/>
      <c r="DL306" s="330"/>
      <c r="DM306" s="330"/>
      <c r="DN306" s="330"/>
      <c r="DO306" s="330"/>
      <c r="DP306" s="330"/>
      <c r="DQ306" s="330"/>
      <c r="DR306" s="330"/>
      <c r="DS306" s="330"/>
      <c r="DT306" s="330"/>
      <c r="DU306" s="330"/>
      <c r="DV306" s="330"/>
      <c r="DW306" s="330"/>
      <c r="DX306" s="330">
        <f>'405-тесто сдобное'!C22</f>
        <v>6.9000000000000006E-2</v>
      </c>
      <c r="DY306" s="330"/>
      <c r="DZ306" s="330"/>
      <c r="EA306" s="330"/>
      <c r="EB306" s="330"/>
      <c r="EC306" s="330"/>
      <c r="ED306" s="330"/>
      <c r="EE306" s="330"/>
      <c r="EF306" s="330"/>
      <c r="EG306" s="330"/>
      <c r="EH306" s="330"/>
      <c r="EI306" s="330"/>
      <c r="EJ306" s="330"/>
      <c r="EK306" s="330"/>
      <c r="EL306" s="330"/>
      <c r="EM306" s="330"/>
      <c r="EN306" s="330"/>
      <c r="EO306" s="330"/>
      <c r="EP306" s="330"/>
      <c r="EQ306" s="330"/>
      <c r="ER306" s="330"/>
      <c r="ES306" s="330"/>
      <c r="ET306" s="330"/>
      <c r="EU306" s="330"/>
      <c r="EV306" s="330"/>
      <c r="EW306" s="330"/>
      <c r="EX306" s="330"/>
      <c r="EY306" s="1032">
        <f t="shared" si="20"/>
        <v>0.85499999999999998</v>
      </c>
    </row>
    <row r="307" spans="1:166" ht="14.7" customHeight="1" x14ac:dyDescent="0.25">
      <c r="A307" s="421">
        <v>303</v>
      </c>
      <c r="B307" s="169" t="str">
        <f>'405-тесто ватрушки'!A9</f>
        <v>Тесто дрожжевое для ватрушек, пирожков, кулебяк</v>
      </c>
      <c r="C307" s="419">
        <f>'405-тесто ватрушки'!C30</f>
        <v>1000</v>
      </c>
      <c r="D307" s="1211">
        <f>74.78/1000*C307</f>
        <v>74.78</v>
      </c>
      <c r="E307" s="1211">
        <f>40.64/1000*C307</f>
        <v>40.64</v>
      </c>
      <c r="F307" s="1211">
        <f>475.21/1000*C307</f>
        <v>475.21</v>
      </c>
      <c r="G307" s="1212">
        <f>2566/1000*C307</f>
        <v>2566</v>
      </c>
      <c r="H307" s="419">
        <f>'405-тесто ватрушки'!J7</f>
        <v>405</v>
      </c>
      <c r="I307" s="1234">
        <f>'405-тесто ватрушки'!F32</f>
        <v>46.41</v>
      </c>
      <c r="J307" s="330"/>
      <c r="K307" s="330"/>
      <c r="L307" s="330"/>
      <c r="M307" s="330"/>
      <c r="N307" s="330"/>
      <c r="O307" s="330"/>
      <c r="P307" s="330"/>
      <c r="Q307" s="330"/>
      <c r="R307" s="330"/>
      <c r="S307" s="330"/>
      <c r="T307" s="330"/>
      <c r="U307" s="330"/>
      <c r="V307" s="330"/>
      <c r="W307" s="330"/>
      <c r="X307" s="330"/>
      <c r="Y307" s="330"/>
      <c r="Z307" s="330"/>
      <c r="AA307" s="330"/>
      <c r="AB307" s="330"/>
      <c r="AC307" s="330"/>
      <c r="AD307" s="330"/>
      <c r="AE307" s="330"/>
      <c r="AF307" s="330"/>
      <c r="AG307" s="330"/>
      <c r="AH307" s="330"/>
      <c r="AI307" s="330"/>
      <c r="AJ307" s="330"/>
      <c r="AK307" s="330"/>
      <c r="AL307" s="330"/>
      <c r="AM307" s="330"/>
      <c r="AN307" s="330"/>
      <c r="AO307" s="330"/>
      <c r="AP307" s="330"/>
      <c r="AQ307" s="330"/>
      <c r="AR307" s="330"/>
      <c r="AS307" s="330"/>
      <c r="AT307" s="330"/>
      <c r="AU307" s="330"/>
      <c r="AV307" s="330"/>
      <c r="AW307" s="330"/>
      <c r="AX307" s="330"/>
      <c r="AY307" s="330"/>
      <c r="AZ307" s="330"/>
      <c r="BA307" s="330"/>
      <c r="BB307" s="330"/>
      <c r="BC307" s="330"/>
      <c r="BD307" s="330"/>
      <c r="BE307" s="330"/>
      <c r="BF307" s="330"/>
      <c r="BG307" s="330"/>
      <c r="BH307" s="330"/>
      <c r="BI307" s="330"/>
      <c r="BJ307" s="330"/>
      <c r="BK307" s="330"/>
      <c r="BL307" s="330"/>
      <c r="BM307" s="330"/>
      <c r="BN307" s="330"/>
      <c r="BO307" s="330"/>
      <c r="BP307" s="330"/>
      <c r="BQ307" s="330"/>
      <c r="BR307" s="330"/>
      <c r="BS307" s="330">
        <f>'405-тесто ватрушки'!C19</f>
        <v>0.64100000000000001</v>
      </c>
      <c r="BT307" s="330"/>
      <c r="BU307" s="330"/>
      <c r="BV307" s="330"/>
      <c r="BW307" s="330"/>
      <c r="BX307" s="330"/>
      <c r="BY307" s="330"/>
      <c r="BZ307" s="330"/>
      <c r="CA307" s="330"/>
      <c r="CB307" s="330"/>
      <c r="CC307" s="330"/>
      <c r="CD307" s="330"/>
      <c r="CE307" s="330">
        <f>'405-тесто ватрушки'!C21</f>
        <v>2.9000000000000001E-2</v>
      </c>
      <c r="CF307" s="330"/>
      <c r="CG307" s="330"/>
      <c r="CH307" s="330"/>
      <c r="CI307" s="330"/>
      <c r="CJ307" s="330"/>
      <c r="CK307" s="330"/>
      <c r="CL307" s="330">
        <f>'405-тесто ватрушки'!C24</f>
        <v>1.9E-2</v>
      </c>
      <c r="CM307" s="330"/>
      <c r="CN307" s="330"/>
      <c r="CO307" s="330"/>
      <c r="CP307" s="330"/>
      <c r="CQ307" s="330"/>
      <c r="CR307" s="330"/>
      <c r="CS307" s="330"/>
      <c r="CT307" s="330"/>
      <c r="CU307" s="330"/>
      <c r="CV307" s="330"/>
      <c r="CW307" s="330"/>
      <c r="CX307" s="330"/>
      <c r="CY307" s="330"/>
      <c r="CZ307" s="330">
        <f>'405-тесто ватрушки'!C20</f>
        <v>3.4000000000000002E-2</v>
      </c>
      <c r="DA307" s="330"/>
      <c r="DB307" s="330"/>
      <c r="DC307" s="330">
        <f>'405-тесто ватрушки'!C23</f>
        <v>0.01</v>
      </c>
      <c r="DD307" s="330"/>
      <c r="DE307" s="330"/>
      <c r="DF307" s="330"/>
      <c r="DG307" s="330"/>
      <c r="DH307" s="330"/>
      <c r="DI307" s="330"/>
      <c r="DJ307" s="330"/>
      <c r="DK307" s="330"/>
      <c r="DL307" s="330"/>
      <c r="DM307" s="330"/>
      <c r="DN307" s="330"/>
      <c r="DO307" s="330"/>
      <c r="DP307" s="330"/>
      <c r="DQ307" s="330"/>
      <c r="DR307" s="330"/>
      <c r="DS307" s="330"/>
      <c r="DT307" s="330"/>
      <c r="DU307" s="330"/>
      <c r="DV307" s="330"/>
      <c r="DW307" s="330"/>
      <c r="DX307" s="330">
        <f>'405-тесто ватрушки'!C22</f>
        <v>3.4000000000000002E-2</v>
      </c>
      <c r="DY307" s="330"/>
      <c r="DZ307" s="330"/>
      <c r="EA307" s="330"/>
      <c r="EB307" s="330"/>
      <c r="EC307" s="330"/>
      <c r="ED307" s="330"/>
      <c r="EE307" s="330"/>
      <c r="EF307" s="330"/>
      <c r="EG307" s="330"/>
      <c r="EH307" s="330"/>
      <c r="EI307" s="330"/>
      <c r="EJ307" s="330"/>
      <c r="EK307" s="330"/>
      <c r="EL307" s="330"/>
      <c r="EM307" s="330"/>
      <c r="EN307" s="330"/>
      <c r="EO307" s="330"/>
      <c r="EP307" s="330"/>
      <c r="EQ307" s="330"/>
      <c r="ER307" s="330"/>
      <c r="ES307" s="330"/>
      <c r="ET307" s="330"/>
      <c r="EU307" s="330"/>
      <c r="EV307" s="330"/>
      <c r="EW307" s="330"/>
      <c r="EX307" s="330"/>
      <c r="EY307" s="1032">
        <f t="shared" si="20"/>
        <v>0.76700000000000002</v>
      </c>
    </row>
    <row r="308" spans="1:166" ht="14.7" customHeight="1" x14ac:dyDescent="0.25">
      <c r="A308" s="421">
        <v>304</v>
      </c>
      <c r="B308" s="169" t="str">
        <f>'406-пирожки картоф'!A9</f>
        <v>Пирожки печеные с фаршем картофельным</v>
      </c>
      <c r="C308" s="419">
        <f>'406-пирожки картоф'!C27</f>
        <v>75</v>
      </c>
      <c r="D308" s="1211">
        <f>4.51/75*C308</f>
        <v>4.51</v>
      </c>
      <c r="E308" s="1211">
        <f>2.3/75*C308</f>
        <v>2.2999999999999998</v>
      </c>
      <c r="F308" s="1211">
        <f>30.41/75*C308</f>
        <v>30.41</v>
      </c>
      <c r="G308" s="1212">
        <f>160/75*C308</f>
        <v>160</v>
      </c>
      <c r="H308" s="419">
        <f>'406-пирожки картоф'!J7</f>
        <v>406</v>
      </c>
      <c r="I308" s="1234">
        <f>'406-пирожки картоф'!F29</f>
        <v>4.63</v>
      </c>
      <c r="J308" s="330"/>
      <c r="K308" s="330"/>
      <c r="L308" s="330"/>
      <c r="M308" s="330"/>
      <c r="N308" s="330"/>
      <c r="O308" s="330"/>
      <c r="P308" s="330">
        <f>'406-пирожки картоф'!C22/7.5*0.075</f>
        <v>2.5000000000000001E-4</v>
      </c>
      <c r="Q308" s="330"/>
      <c r="R308" s="330"/>
      <c r="S308" s="330"/>
      <c r="T308" s="330"/>
      <c r="U308" s="330"/>
      <c r="V308" s="330"/>
      <c r="W308" s="330"/>
      <c r="X308" s="330"/>
      <c r="Y308" s="330"/>
      <c r="Z308" s="330"/>
      <c r="AA308" s="330"/>
      <c r="AB308" s="330"/>
      <c r="AC308" s="330"/>
      <c r="AD308" s="330"/>
      <c r="AE308" s="330">
        <f>'406-пирожки картоф'!C23/100</f>
        <v>1.5E-3</v>
      </c>
      <c r="AF308" s="330"/>
      <c r="AG308" s="330"/>
      <c r="AH308" s="330">
        <f>'467-фарш картоф'!C19/1*2.5/7.5*0.075</f>
        <v>3.023E-2</v>
      </c>
      <c r="AI308" s="330"/>
      <c r="AJ308" s="330"/>
      <c r="AK308" s="330">
        <f>'467-фарш картоф'!C20/1*2.5/7.5*0.075</f>
        <v>7.7499999999999999E-3</v>
      </c>
      <c r="AL308" s="330"/>
      <c r="AM308" s="330"/>
      <c r="AN308" s="330"/>
      <c r="AO308" s="330"/>
      <c r="AP308" s="330"/>
      <c r="AQ308" s="330"/>
      <c r="AR308" s="330"/>
      <c r="AS308" s="330"/>
      <c r="AT308" s="330"/>
      <c r="AU308" s="330"/>
      <c r="AV308" s="330"/>
      <c r="AW308" s="330"/>
      <c r="AX308" s="330"/>
      <c r="AY308" s="330"/>
      <c r="AZ308" s="330"/>
      <c r="BA308" s="330"/>
      <c r="BB308" s="330"/>
      <c r="BC308" s="330"/>
      <c r="BD308" s="330"/>
      <c r="BE308" s="330"/>
      <c r="BF308" s="330"/>
      <c r="BG308" s="330"/>
      <c r="BH308" s="330"/>
      <c r="BI308" s="330"/>
      <c r="BJ308" s="330"/>
      <c r="BK308" s="330"/>
      <c r="BL308" s="330"/>
      <c r="BM308" s="330"/>
      <c r="BN308" s="330"/>
      <c r="BO308" s="330"/>
      <c r="BP308" s="330"/>
      <c r="BQ308" s="330"/>
      <c r="BR308" s="330"/>
      <c r="BS308" s="330">
        <f>'405-тесто дрожжевое'!C19/1*5.8/7.5*0.075+'406-пирожки картоф'!C20/7.5*0.075</f>
        <v>3.8449999999999998E-2</v>
      </c>
      <c r="BT308" s="330"/>
      <c r="BU308" s="330"/>
      <c r="BV308" s="330"/>
      <c r="BW308" s="330"/>
      <c r="BX308" s="330"/>
      <c r="BY308" s="330"/>
      <c r="BZ308" s="330"/>
      <c r="CA308" s="330"/>
      <c r="CB308" s="330"/>
      <c r="CC308" s="330"/>
      <c r="CD308" s="330"/>
      <c r="CE308" s="330">
        <f>'405-тесто дрожжевое'!C21/1*5.8/7.5*0.075</f>
        <v>1.1000000000000001E-3</v>
      </c>
      <c r="CF308" s="330">
        <f>'467-фарш картоф'!C21/1*2.5/7.5*0.075</f>
        <v>1E-3</v>
      </c>
      <c r="CG308" s="330"/>
      <c r="CH308" s="330"/>
      <c r="CI308" s="330"/>
      <c r="CJ308" s="330"/>
      <c r="CK308" s="330"/>
      <c r="CL308" s="330">
        <f>'405-тесто дрожжевое'!C23/1*5.8/7.5*0.075</f>
        <v>1.1000000000000001E-3</v>
      </c>
      <c r="CM308" s="330"/>
      <c r="CN308" s="330"/>
      <c r="CO308" s="330"/>
      <c r="CP308" s="330"/>
      <c r="CQ308" s="330"/>
      <c r="CR308" s="330"/>
      <c r="CS308" s="330"/>
      <c r="CT308" s="330"/>
      <c r="CU308" s="330"/>
      <c r="CV308" s="330"/>
      <c r="CW308" s="330"/>
      <c r="CX308" s="330"/>
      <c r="CY308" s="330"/>
      <c r="CZ308" s="330">
        <f>'405-тесто дрожжевое'!C20/1*5.8/7.5*0.075</f>
        <v>2.5500000000000002E-3</v>
      </c>
      <c r="DA308" s="330"/>
      <c r="DB308" s="330"/>
      <c r="DC308" s="330">
        <f>'405-тесто дрожжевое'!C22/1*5.8/7.5*0.075+'467-фарш картоф'!C23/1*2.5/7.5*0.075</f>
        <v>8.3000000000000001E-4</v>
      </c>
      <c r="DD308" s="330"/>
      <c r="DE308" s="330"/>
      <c r="DF308" s="330"/>
      <c r="DG308" s="330"/>
      <c r="DH308" s="330"/>
      <c r="DI308" s="330"/>
      <c r="DJ308" s="330"/>
      <c r="DK308" s="330"/>
      <c r="DL308" s="330"/>
      <c r="DM308" s="330"/>
      <c r="DN308" s="330"/>
      <c r="DO308" s="330"/>
      <c r="DP308" s="330"/>
      <c r="DQ308" s="330"/>
      <c r="DR308" s="330"/>
      <c r="DS308" s="330"/>
      <c r="DT308" s="330"/>
      <c r="DU308" s="330"/>
      <c r="DV308" s="330"/>
      <c r="DW308" s="330"/>
      <c r="DX308" s="330"/>
      <c r="DY308" s="330"/>
      <c r="DZ308" s="330"/>
      <c r="EA308" s="330"/>
      <c r="EB308" s="330"/>
      <c r="EC308" s="330"/>
      <c r="ED308" s="330"/>
      <c r="EE308" s="330"/>
      <c r="EF308" s="330"/>
      <c r="EG308" s="330"/>
      <c r="EH308" s="330"/>
      <c r="EI308" s="330"/>
      <c r="EJ308" s="330"/>
      <c r="EK308" s="330"/>
      <c r="EL308" s="330"/>
      <c r="EM308" s="330"/>
      <c r="EN308" s="330"/>
      <c r="EO308" s="330"/>
      <c r="EP308" s="330"/>
      <c r="EQ308" s="330"/>
      <c r="ER308" s="330"/>
      <c r="ES308" s="330"/>
      <c r="ET308" s="330"/>
      <c r="EU308" s="330"/>
      <c r="EV308" s="330"/>
      <c r="EW308" s="330"/>
      <c r="EX308" s="330"/>
      <c r="EY308" s="1032">
        <f t="shared" si="20"/>
        <v>8.4760000000000002E-2</v>
      </c>
    </row>
    <row r="309" spans="1:166" ht="14.7" customHeight="1" x14ac:dyDescent="0.25">
      <c r="A309" s="421">
        <v>305</v>
      </c>
      <c r="B309" s="169" t="str">
        <f>'406-пирожки капуст'!A9</f>
        <v>Пирожки печеные с фаршем из свежей капусты</v>
      </c>
      <c r="C309" s="419">
        <f>'406-пирожки капуст'!C27</f>
        <v>75</v>
      </c>
      <c r="D309" s="1211">
        <f>4.71/75*C309</f>
        <v>4.71</v>
      </c>
      <c r="E309" s="1211">
        <f>1.92/75*C309</f>
        <v>1.92</v>
      </c>
      <c r="F309" s="1211">
        <f>27.53/75*C309</f>
        <v>27.53</v>
      </c>
      <c r="G309" s="1212">
        <f>146/75*C309</f>
        <v>146</v>
      </c>
      <c r="H309" s="419">
        <f>'406-пирожки капуст'!J7</f>
        <v>406</v>
      </c>
      <c r="I309" s="1234">
        <f>'406-пирожки капуст'!F29</f>
        <v>5.3</v>
      </c>
      <c r="J309" s="330"/>
      <c r="K309" s="330"/>
      <c r="L309" s="330"/>
      <c r="M309" s="330"/>
      <c r="N309" s="330"/>
      <c r="O309" s="330"/>
      <c r="P309" s="330">
        <f>'406-пирожки капуст'!C22/7.5*0.075</f>
        <v>2.5000000000000001E-4</v>
      </c>
      <c r="Q309" s="330"/>
      <c r="R309" s="330"/>
      <c r="S309" s="330"/>
      <c r="T309" s="330"/>
      <c r="U309" s="330"/>
      <c r="V309" s="330"/>
      <c r="W309" s="330"/>
      <c r="X309" s="330"/>
      <c r="Y309" s="330"/>
      <c r="Z309" s="330"/>
      <c r="AA309" s="330"/>
      <c r="AB309" s="330"/>
      <c r="AC309" s="330"/>
      <c r="AD309" s="330"/>
      <c r="AE309" s="330">
        <f>'406-пирожки капуст'!C23/100</f>
        <v>1.5E-3</v>
      </c>
      <c r="AF309" s="330">
        <f>'461-фарш из капусты'!C19/1*2.5/7.5*0.075</f>
        <v>3.7499999999999999E-2</v>
      </c>
      <c r="AG309" s="330"/>
      <c r="AH309" s="330"/>
      <c r="AI309" s="330"/>
      <c r="AJ309" s="330"/>
      <c r="AK309" s="330">
        <f>'461-фарш из капусты'!C22/1*2.5/7.5*0.075</f>
        <v>5.9500000000000004E-3</v>
      </c>
      <c r="AL309" s="330"/>
      <c r="AM309" s="330"/>
      <c r="AN309" s="330"/>
      <c r="AO309" s="330"/>
      <c r="AP309" s="330"/>
      <c r="AQ309" s="330"/>
      <c r="AR309" s="330"/>
      <c r="AS309" s="330"/>
      <c r="AT309" s="330"/>
      <c r="AU309" s="330">
        <f>'461-фарш из капусты'!C25/1*2.5/7.5*0.075</f>
        <v>3.5E-4</v>
      </c>
      <c r="AV309" s="330"/>
      <c r="AW309" s="330"/>
      <c r="AX309" s="330"/>
      <c r="AY309" s="330"/>
      <c r="AZ309" s="330"/>
      <c r="BA309" s="330"/>
      <c r="BB309" s="330"/>
      <c r="BC309" s="330"/>
      <c r="BD309" s="330"/>
      <c r="BE309" s="330"/>
      <c r="BF309" s="330"/>
      <c r="BG309" s="330"/>
      <c r="BH309" s="330"/>
      <c r="BI309" s="330"/>
      <c r="BJ309" s="330"/>
      <c r="BK309" s="330"/>
      <c r="BL309" s="330"/>
      <c r="BM309" s="330"/>
      <c r="BN309" s="330"/>
      <c r="BO309" s="330"/>
      <c r="BP309" s="330"/>
      <c r="BQ309" s="330"/>
      <c r="BR309" s="330"/>
      <c r="BS309" s="330">
        <f>'406-пирожки капуст'!C20/7.5*0.075+'405-тесто дрожжевое'!C19/1*5.8/7.5*0.075</f>
        <v>3.8449999999999998E-2</v>
      </c>
      <c r="BT309" s="330"/>
      <c r="BU309" s="330"/>
      <c r="BV309" s="330"/>
      <c r="BW309" s="330"/>
      <c r="BX309" s="330"/>
      <c r="BY309" s="330"/>
      <c r="BZ309" s="330"/>
      <c r="CA309" s="330"/>
      <c r="CB309" s="330"/>
      <c r="CC309" s="330"/>
      <c r="CD309" s="330"/>
      <c r="CE309" s="330">
        <f>'405-тесто дрожжевое'!C21/1*5.8/7.5*0.075</f>
        <v>1.1000000000000001E-3</v>
      </c>
      <c r="CF309" s="330">
        <f>('461-фарш из капусты'!C20+'461-фарш из капусты'!C23)/1*2.5/7.5*0.075</f>
        <v>2.5000000000000001E-3</v>
      </c>
      <c r="CG309" s="330"/>
      <c r="CH309" s="330"/>
      <c r="CI309" s="330"/>
      <c r="CJ309" s="330"/>
      <c r="CK309" s="330"/>
      <c r="CL309" s="330">
        <f>'405-тесто дрожжевое'!C23/1*5.8/7.5*0.075</f>
        <v>1.1000000000000001E-3</v>
      </c>
      <c r="CM309" s="330"/>
      <c r="CN309" s="330"/>
      <c r="CO309" s="330"/>
      <c r="CP309" s="330"/>
      <c r="CQ309" s="330"/>
      <c r="CR309" s="330"/>
      <c r="CS309" s="330"/>
      <c r="CT309" s="330"/>
      <c r="CU309" s="330"/>
      <c r="CV309" s="330"/>
      <c r="CW309" s="330"/>
      <c r="CX309" s="330"/>
      <c r="CY309" s="330"/>
      <c r="CZ309" s="330">
        <f>'405-тесто дрожжевое'!C20/1*5.8/7.5*0.075</f>
        <v>2.5500000000000002E-3</v>
      </c>
      <c r="DA309" s="330"/>
      <c r="DB309" s="330"/>
      <c r="DC309" s="330">
        <f>'405-тесто дрожжевое'!C22/1*5.8/7.5*0.075+'461-фарш из капусты'!C26/1*2.5/7.5*0.075</f>
        <v>8.3000000000000001E-4</v>
      </c>
      <c r="DD309" s="330"/>
      <c r="DE309" s="330"/>
      <c r="DF309" s="330"/>
      <c r="DG309" s="330"/>
      <c r="DH309" s="330"/>
      <c r="DI309" s="330"/>
      <c r="DJ309" s="330"/>
      <c r="DK309" s="330"/>
      <c r="DL309" s="330"/>
      <c r="DM309" s="330"/>
      <c r="DN309" s="330"/>
      <c r="DO309" s="330"/>
      <c r="DP309" s="330"/>
      <c r="DQ309" s="330"/>
      <c r="DR309" s="330"/>
      <c r="DS309" s="330"/>
      <c r="DT309" s="330"/>
      <c r="DU309" s="330"/>
      <c r="DV309" s="330"/>
      <c r="DW309" s="330"/>
      <c r="DX309" s="330"/>
      <c r="DY309" s="330"/>
      <c r="DZ309" s="330"/>
      <c r="EA309" s="330"/>
      <c r="EB309" s="330"/>
      <c r="EC309" s="330"/>
      <c r="ED309" s="330"/>
      <c r="EE309" s="330"/>
      <c r="EF309" s="330"/>
      <c r="EG309" s="330"/>
      <c r="EH309" s="330"/>
      <c r="EI309" s="330"/>
      <c r="EJ309" s="330"/>
      <c r="EK309" s="330"/>
      <c r="EL309" s="330"/>
      <c r="EM309" s="330"/>
      <c r="EN309" s="330"/>
      <c r="EO309" s="330"/>
      <c r="EP309" s="330"/>
      <c r="EQ309" s="330"/>
      <c r="ER309" s="330"/>
      <c r="ES309" s="330"/>
      <c r="ET309" s="330"/>
      <c r="EU309" s="330"/>
      <c r="EV309" s="330"/>
      <c r="EW309" s="330"/>
      <c r="EX309" s="330"/>
      <c r="EY309" s="1032">
        <f t="shared" si="20"/>
        <v>9.2079999999999995E-2</v>
      </c>
    </row>
    <row r="310" spans="1:166" ht="14.7" customHeight="1" x14ac:dyDescent="0.25">
      <c r="A310" s="421">
        <v>306</v>
      </c>
      <c r="B310" s="169" t="str">
        <f>'406-пирожки мясные'!A9</f>
        <v>Пирожки печеные с фаршем мясным</v>
      </c>
      <c r="C310" s="419">
        <f>'406-пирожки мясные'!C27</f>
        <v>75</v>
      </c>
      <c r="D310" s="1211">
        <f>9.13/75*C310</f>
        <v>9.1300000000000008</v>
      </c>
      <c r="E310" s="1211">
        <f>3.82/75*C310</f>
        <v>3.82</v>
      </c>
      <c r="F310" s="1211">
        <f>27/75*C310</f>
        <v>27</v>
      </c>
      <c r="G310" s="1212">
        <f>179/75*C310</f>
        <v>179</v>
      </c>
      <c r="H310" s="419">
        <f>'406-пирожки мясные'!J7</f>
        <v>406</v>
      </c>
      <c r="I310" s="1234">
        <f>'406-пирожки мясные'!F29</f>
        <v>26.82</v>
      </c>
      <c r="J310" s="330">
        <f>'457-фарш мясной'!C19/1*2.5/7.5*0.075</f>
        <v>4.2729999999999997E-2</v>
      </c>
      <c r="K310" s="330"/>
      <c r="L310" s="330"/>
      <c r="M310" s="330"/>
      <c r="N310" s="330"/>
      <c r="O310" s="330"/>
      <c r="P310" s="330">
        <f>'406-пирожки мясные'!C22/7.5*0.075</f>
        <v>2.5000000000000001E-4</v>
      </c>
      <c r="Q310" s="330"/>
      <c r="R310" s="330"/>
      <c r="S310" s="330"/>
      <c r="T310" s="330"/>
      <c r="U310" s="330"/>
      <c r="V310" s="330"/>
      <c r="W310" s="330"/>
      <c r="X310" s="330"/>
      <c r="Y310" s="330"/>
      <c r="Z310" s="330"/>
      <c r="AA310" s="330"/>
      <c r="AB310" s="330"/>
      <c r="AC310" s="330"/>
      <c r="AD310" s="330"/>
      <c r="AE310" s="330">
        <f>'406-пирожки мясные'!C23/7.5*0.075</f>
        <v>1.5E-3</v>
      </c>
      <c r="AF310" s="330"/>
      <c r="AG310" s="330"/>
      <c r="AH310" s="330"/>
      <c r="AI310" s="330"/>
      <c r="AJ310" s="330"/>
      <c r="AK310" s="330">
        <f>'457-фарш мясной'!C21/1*2.5/7.5*0.075</f>
        <v>2.98E-3</v>
      </c>
      <c r="AL310" s="330"/>
      <c r="AM310" s="330"/>
      <c r="AN310" s="330"/>
      <c r="AO310" s="330"/>
      <c r="AP310" s="330"/>
      <c r="AQ310" s="330"/>
      <c r="AR310" s="330"/>
      <c r="AS310" s="330"/>
      <c r="AT310" s="330"/>
      <c r="AU310" s="330"/>
      <c r="AV310" s="330"/>
      <c r="AW310" s="330"/>
      <c r="AX310" s="330"/>
      <c r="AY310" s="330"/>
      <c r="AZ310" s="330"/>
      <c r="BA310" s="330"/>
      <c r="BB310" s="330"/>
      <c r="BC310" s="330"/>
      <c r="BD310" s="330"/>
      <c r="BE310" s="330"/>
      <c r="BF310" s="330"/>
      <c r="BG310" s="330"/>
      <c r="BH310" s="330"/>
      <c r="BI310" s="330"/>
      <c r="BJ310" s="330"/>
      <c r="BK310" s="330"/>
      <c r="BL310" s="330"/>
      <c r="BM310" s="330"/>
      <c r="BN310" s="330"/>
      <c r="BO310" s="330"/>
      <c r="BP310" s="330"/>
      <c r="BQ310" s="330"/>
      <c r="BR310" s="330"/>
      <c r="BS310" s="330">
        <f>'405-тесто дрожжевое'!C19/1*5.8/7.5*0.075+'406-пирожки мясные'!C20/7.5*0.075+'457-фарш мясной'!C23/1*2.5/7.5*0.075</f>
        <v>3.8699999999999998E-2</v>
      </c>
      <c r="BT310" s="330"/>
      <c r="BU310" s="330"/>
      <c r="BV310" s="330"/>
      <c r="BW310" s="330"/>
      <c r="BX310" s="330"/>
      <c r="BY310" s="330"/>
      <c r="BZ310" s="330"/>
      <c r="CA310" s="330"/>
      <c r="CB310" s="330"/>
      <c r="CC310" s="330"/>
      <c r="CD310" s="330"/>
      <c r="CE310" s="330">
        <f>'405-тесто дрожжевое'!C21/1*5.8/7.5*0.075</f>
        <v>1.1000000000000001E-3</v>
      </c>
      <c r="CF310" s="330">
        <f>'457-фарш мясной'!C20/1*2.5/7.5*0.075</f>
        <v>1E-3</v>
      </c>
      <c r="CG310" s="330"/>
      <c r="CH310" s="330"/>
      <c r="CI310" s="330"/>
      <c r="CJ310" s="330"/>
      <c r="CK310" s="330"/>
      <c r="CL310" s="330">
        <f>'405-тесто дрожжевое'!C23/1*5.8/7.5*0.075</f>
        <v>1.1000000000000001E-3</v>
      </c>
      <c r="CM310" s="330"/>
      <c r="CN310" s="330"/>
      <c r="CO310" s="330"/>
      <c r="CP310" s="330"/>
      <c r="CQ310" s="330"/>
      <c r="CR310" s="330"/>
      <c r="CS310" s="330"/>
      <c r="CT310" s="330"/>
      <c r="CU310" s="330"/>
      <c r="CV310" s="330"/>
      <c r="CW310" s="330"/>
      <c r="CX310" s="330"/>
      <c r="CY310" s="330"/>
      <c r="CZ310" s="330">
        <f>'405-тесто дрожжевое'!C20/1*5.8/7.5*0.075</f>
        <v>2.5500000000000002E-3</v>
      </c>
      <c r="DA310" s="330"/>
      <c r="DB310" s="330"/>
      <c r="DC310" s="330">
        <f>'405-тесто дрожжевое'!C22/1*5.8/7.5*0.075+'457-фарш мясной'!C24/1*2.5/7.5*0.075</f>
        <v>8.3000000000000001E-4</v>
      </c>
      <c r="DD310" s="330"/>
      <c r="DE310" s="330"/>
      <c r="DF310" s="330"/>
      <c r="DG310" s="330"/>
      <c r="DH310" s="330"/>
      <c r="DI310" s="330"/>
      <c r="DJ310" s="330"/>
      <c r="DK310" s="330"/>
      <c r="DL310" s="330"/>
      <c r="DM310" s="330"/>
      <c r="DN310" s="330"/>
      <c r="DO310" s="330"/>
      <c r="DP310" s="330"/>
      <c r="DQ310" s="330"/>
      <c r="DR310" s="330"/>
      <c r="DS310" s="330"/>
      <c r="DT310" s="330"/>
      <c r="DU310" s="330"/>
      <c r="DV310" s="330"/>
      <c r="DW310" s="330"/>
      <c r="DX310" s="330"/>
      <c r="DY310" s="330"/>
      <c r="DZ310" s="330"/>
      <c r="EA310" s="330"/>
      <c r="EB310" s="330"/>
      <c r="EC310" s="330"/>
      <c r="ED310" s="330"/>
      <c r="EE310" s="330"/>
      <c r="EF310" s="330"/>
      <c r="EG310" s="330"/>
      <c r="EH310" s="330"/>
      <c r="EI310" s="330"/>
      <c r="EJ310" s="330"/>
      <c r="EK310" s="330"/>
      <c r="EL310" s="330"/>
      <c r="EM310" s="330"/>
      <c r="EN310" s="330"/>
      <c r="EO310" s="330"/>
      <c r="EP310" s="330"/>
      <c r="EQ310" s="330"/>
      <c r="ER310" s="330"/>
      <c r="ES310" s="330"/>
      <c r="ET310" s="330"/>
      <c r="EU310" s="330"/>
      <c r="EV310" s="330"/>
      <c r="EW310" s="330"/>
      <c r="EX310" s="330"/>
      <c r="EY310" s="1032">
        <f t="shared" si="20"/>
        <v>9.2740000000000003E-2</v>
      </c>
    </row>
    <row r="311" spans="1:166" ht="14.7" customHeight="1" x14ac:dyDescent="0.25">
      <c r="A311" s="421">
        <v>307</v>
      </c>
      <c r="B311" s="169" t="str">
        <f>'410-ватрушка'!A9</f>
        <v>Ватрушки творожные</v>
      </c>
      <c r="C311" s="419">
        <f>'410-ватрушка'!C27</f>
        <v>75</v>
      </c>
      <c r="D311" s="1211">
        <f>9.22/75*C311</f>
        <v>9.2200000000000006</v>
      </c>
      <c r="E311" s="1211">
        <f>5.48/75*C311</f>
        <v>5.48</v>
      </c>
      <c r="F311" s="1211">
        <f>29.18/75*C311</f>
        <v>29.18</v>
      </c>
      <c r="G311" s="1212">
        <f>202/75*C311</f>
        <v>202</v>
      </c>
      <c r="H311" s="419">
        <f>'410-ватрушка'!J7</f>
        <v>410</v>
      </c>
      <c r="I311" s="1234">
        <f>'410-ватрушка'!F29</f>
        <v>13.08</v>
      </c>
      <c r="J311" s="330"/>
      <c r="K311" s="330"/>
      <c r="L311" s="330"/>
      <c r="M311" s="330"/>
      <c r="N311" s="330"/>
      <c r="O311" s="330"/>
      <c r="P311" s="330">
        <f>'410-ватрушка'!C23/7.5*0.075</f>
        <v>2.5000000000000001E-4</v>
      </c>
      <c r="Q311" s="330"/>
      <c r="R311" s="330"/>
      <c r="S311" s="330"/>
      <c r="T311" s="330"/>
      <c r="U311" s="330"/>
      <c r="V311" s="330"/>
      <c r="W311" s="330"/>
      <c r="X311" s="330">
        <f>'468-фарш творож'!C19/1*3/7.5*0.075</f>
        <v>2.7449999999999999E-2</v>
      </c>
      <c r="Y311" s="330"/>
      <c r="Z311" s="330"/>
      <c r="AA311" s="330"/>
      <c r="AB311" s="330"/>
      <c r="AC311" s="330"/>
      <c r="AD311" s="330"/>
      <c r="AE311" s="330">
        <f>'468-фарш творож'!C20/1*3/7.5*0.075</f>
        <v>1.3799999999999999E-3</v>
      </c>
      <c r="AF311" s="330"/>
      <c r="AG311" s="330"/>
      <c r="AH311" s="330"/>
      <c r="AI311" s="330"/>
      <c r="AJ311" s="330"/>
      <c r="AK311" s="330"/>
      <c r="AL311" s="330"/>
      <c r="AM311" s="330"/>
      <c r="AN311" s="330"/>
      <c r="AO311" s="330"/>
      <c r="AP311" s="330"/>
      <c r="AQ311" s="330"/>
      <c r="AR311" s="330"/>
      <c r="AS311" s="330"/>
      <c r="AT311" s="330"/>
      <c r="AU311" s="330"/>
      <c r="AV311" s="330"/>
      <c r="AW311" s="330"/>
      <c r="AX311" s="330"/>
      <c r="AY311" s="330"/>
      <c r="AZ311" s="330"/>
      <c r="BA311" s="330"/>
      <c r="BB311" s="330"/>
      <c r="BC311" s="330"/>
      <c r="BD311" s="330"/>
      <c r="BE311" s="330"/>
      <c r="BF311" s="330"/>
      <c r="BG311" s="330"/>
      <c r="BH311" s="330"/>
      <c r="BI311" s="330"/>
      <c r="BJ311" s="330"/>
      <c r="BK311" s="330"/>
      <c r="BL311" s="330"/>
      <c r="BM311" s="330"/>
      <c r="BN311" s="330"/>
      <c r="BO311" s="330"/>
      <c r="BP311" s="330"/>
      <c r="BQ311" s="330"/>
      <c r="BR311" s="330"/>
      <c r="BS311" s="330">
        <f>'405-тесто ватрушки'!C19/1*5.8/7.5*0.075+'410-ватрушка'!C20/7.5*0.075+'468-фарш творож'!C22/1*3/7.5*0.075</f>
        <v>4.0120000000000003E-2</v>
      </c>
      <c r="BT311" s="330"/>
      <c r="BU311" s="330"/>
      <c r="BV311" s="330"/>
      <c r="BW311" s="330"/>
      <c r="BX311" s="330"/>
      <c r="BY311" s="330"/>
      <c r="BZ311" s="330"/>
      <c r="CA311" s="330"/>
      <c r="CB311" s="330"/>
      <c r="CC311" s="330"/>
      <c r="CD311" s="330"/>
      <c r="CE311" s="330">
        <f>'405-тесто ватрушки'!C21/1*5.8/7.5*0.075</f>
        <v>1.6800000000000001E-3</v>
      </c>
      <c r="CF311" s="330"/>
      <c r="CG311" s="330"/>
      <c r="CH311" s="330"/>
      <c r="CI311" s="255">
        <f>'468-фарш творож'!C23/1*3/7.5*0.075</f>
        <v>1.2E-5</v>
      </c>
      <c r="CJ311" s="255"/>
      <c r="CK311" s="330"/>
      <c r="CL311" s="330">
        <f>'405-тесто ватрушки'!C24/1*5.8/7.5*0.075</f>
        <v>1.1000000000000001E-3</v>
      </c>
      <c r="CM311" s="330"/>
      <c r="CN311" s="330"/>
      <c r="CO311" s="330"/>
      <c r="CP311" s="330"/>
      <c r="CQ311" s="330"/>
      <c r="CR311" s="330"/>
      <c r="CS311" s="330"/>
      <c r="CT311" s="330"/>
      <c r="CU311" s="330"/>
      <c r="CV311" s="330"/>
      <c r="CW311" s="330"/>
      <c r="CX311" s="330"/>
      <c r="CY311" s="330"/>
      <c r="CZ311" s="330">
        <f>'405-тесто ватрушки'!C20/1*5.8/7.5*0.075+'468-фарш творож'!C21/1*3/7.5*0.075</f>
        <v>3.47E-3</v>
      </c>
      <c r="DA311" s="330"/>
      <c r="DB311" s="330"/>
      <c r="DC311" s="330">
        <f>'405-тесто ватрушки'!C23/1*5.8/7.5*0.075</f>
        <v>5.8E-4</v>
      </c>
      <c r="DD311" s="330"/>
      <c r="DE311" s="330"/>
      <c r="DF311" s="330"/>
      <c r="DG311" s="330"/>
      <c r="DH311" s="330"/>
      <c r="DI311" s="330"/>
      <c r="DJ311" s="330"/>
      <c r="DK311" s="330"/>
      <c r="DL311" s="330"/>
      <c r="DM311" s="330"/>
      <c r="DN311" s="330"/>
      <c r="DO311" s="330"/>
      <c r="DP311" s="330"/>
      <c r="DQ311" s="330"/>
      <c r="DR311" s="330"/>
      <c r="DS311" s="330"/>
      <c r="DT311" s="330"/>
      <c r="DU311" s="330"/>
      <c r="DV311" s="330"/>
      <c r="DW311" s="330"/>
      <c r="DX311" s="330">
        <f>'405-тесто ватрушки'!C22/1*5.8/7.5*0.075+'410-ватрушка'!C22/7.5*0.075</f>
        <v>3.47E-3</v>
      </c>
      <c r="DY311" s="330"/>
      <c r="DZ311" s="330"/>
      <c r="EA311" s="330"/>
      <c r="EB311" s="330"/>
      <c r="EC311" s="330"/>
      <c r="ED311" s="330"/>
      <c r="EE311" s="330"/>
      <c r="EF311" s="330"/>
      <c r="EG311" s="330"/>
      <c r="EH311" s="330"/>
      <c r="EI311" s="330"/>
      <c r="EJ311" s="330"/>
      <c r="EK311" s="330"/>
      <c r="EL311" s="330"/>
      <c r="EM311" s="330"/>
      <c r="EN311" s="330"/>
      <c r="EO311" s="330"/>
      <c r="EP311" s="330"/>
      <c r="EQ311" s="330"/>
      <c r="ER311" s="330"/>
      <c r="ES311" s="330"/>
      <c r="ET311" s="330"/>
      <c r="EU311" s="330"/>
      <c r="EV311" s="330"/>
      <c r="EW311" s="330"/>
      <c r="EX311" s="330"/>
      <c r="EY311" s="1032">
        <f t="shared" si="20"/>
        <v>7.9511999999999999E-2</v>
      </c>
    </row>
    <row r="312" spans="1:166" ht="14.7" customHeight="1" x14ac:dyDescent="0.25">
      <c r="A312" s="421">
        <v>308</v>
      </c>
      <c r="B312" s="169" t="str">
        <f>'426-булочка с повидл'!A9</f>
        <v>Булочка с повидлом обсыпная (масса 100 г)</v>
      </c>
      <c r="C312" s="419">
        <f>'426-булочка с повидл'!C32</f>
        <v>100</v>
      </c>
      <c r="D312" s="1211">
        <f>6.6/100*C312</f>
        <v>6.6</v>
      </c>
      <c r="E312" s="1211">
        <f>14.36/100*C312</f>
        <v>14.36</v>
      </c>
      <c r="F312" s="1211">
        <f>41.13/100*C312</f>
        <v>41.13</v>
      </c>
      <c r="G312" s="1212">
        <f>320/100*C312</f>
        <v>320</v>
      </c>
      <c r="H312" s="419">
        <f>'426-булочка с повидл'!J7</f>
        <v>426</v>
      </c>
      <c r="I312" s="1234">
        <f>'426-булочка с повидл'!F34</f>
        <v>8.36</v>
      </c>
      <c r="J312" s="330"/>
      <c r="K312" s="330"/>
      <c r="L312" s="330"/>
      <c r="M312" s="330"/>
      <c r="N312" s="330"/>
      <c r="O312" s="330"/>
      <c r="P312" s="330"/>
      <c r="Q312" s="330"/>
      <c r="R312" s="330"/>
      <c r="S312" s="330"/>
      <c r="T312" s="330"/>
      <c r="U312" s="330"/>
      <c r="V312" s="330"/>
      <c r="W312" s="330"/>
      <c r="X312" s="330"/>
      <c r="Y312" s="330"/>
      <c r="Z312" s="330"/>
      <c r="AA312" s="330"/>
      <c r="AB312" s="330"/>
      <c r="AC312" s="330"/>
      <c r="AD312" s="330"/>
      <c r="AE312" s="330"/>
      <c r="AF312" s="330"/>
      <c r="AG312" s="330"/>
      <c r="AH312" s="330"/>
      <c r="AI312" s="330"/>
      <c r="AJ312" s="330"/>
      <c r="AK312" s="330"/>
      <c r="AL312" s="330"/>
      <c r="AM312" s="330"/>
      <c r="AN312" s="330"/>
      <c r="AO312" s="330"/>
      <c r="AP312" s="330"/>
      <c r="AQ312" s="330"/>
      <c r="AR312" s="330"/>
      <c r="AS312" s="330"/>
      <c r="AT312" s="330"/>
      <c r="AU312" s="330"/>
      <c r="AV312" s="330"/>
      <c r="AW312" s="330"/>
      <c r="AX312" s="330"/>
      <c r="AY312" s="330"/>
      <c r="AZ312" s="330"/>
      <c r="BA312" s="330"/>
      <c r="BB312" s="330"/>
      <c r="BC312" s="330"/>
      <c r="BD312" s="330"/>
      <c r="BE312" s="330"/>
      <c r="BF312" s="330"/>
      <c r="BG312" s="330"/>
      <c r="BH312" s="330"/>
      <c r="BI312" s="330"/>
      <c r="BJ312" s="330"/>
      <c r="BK312" s="330"/>
      <c r="BL312" s="330"/>
      <c r="BM312" s="330"/>
      <c r="BN312" s="330"/>
      <c r="BO312" s="330"/>
      <c r="BP312" s="330"/>
      <c r="BQ312" s="330"/>
      <c r="BR312" s="330"/>
      <c r="BS312" s="330">
        <f>'426-булочка с повидл'!C19+'426-булочка с повидл'!C20</f>
        <v>6.3039999999999999E-2</v>
      </c>
      <c r="BT312" s="330"/>
      <c r="BU312" s="330"/>
      <c r="BV312" s="330"/>
      <c r="BW312" s="330"/>
      <c r="BX312" s="330"/>
      <c r="BY312" s="330"/>
      <c r="BZ312" s="330"/>
      <c r="CA312" s="330"/>
      <c r="CB312" s="330"/>
      <c r="CC312" s="330"/>
      <c r="CD312" s="330"/>
      <c r="CE312" s="330">
        <f>'426-булочка с повидл'!C22+'426-булочка с повидл'!C23</f>
        <v>1.702E-2</v>
      </c>
      <c r="CF312" s="330"/>
      <c r="CG312" s="330"/>
      <c r="CH312" s="330"/>
      <c r="CI312" s="330"/>
      <c r="CJ312" s="330"/>
      <c r="CK312" s="330"/>
      <c r="CL312" s="330">
        <f>'426-булочка с повидл'!C25</f>
        <v>1.5E-3</v>
      </c>
      <c r="CM312" s="330"/>
      <c r="CN312" s="330"/>
      <c r="CO312" s="330"/>
      <c r="CP312" s="330"/>
      <c r="CQ312" s="330"/>
      <c r="CR312" s="330"/>
      <c r="CS312" s="330"/>
      <c r="CT312" s="330"/>
      <c r="CU312" s="330"/>
      <c r="CV312" s="330"/>
      <c r="CW312" s="330">
        <f>'426-булочка с повидл'!C27</f>
        <v>8.0000000000000002E-3</v>
      </c>
      <c r="CX312" s="330"/>
      <c r="CY312" s="330"/>
      <c r="CZ312" s="330">
        <f>'426-булочка с повидл'!C21</f>
        <v>1.2E-2</v>
      </c>
      <c r="DA312" s="330"/>
      <c r="DB312" s="330"/>
      <c r="DC312" s="330">
        <f>'426-булочка с повидл'!C24</f>
        <v>5.9999999999999995E-4</v>
      </c>
      <c r="DD312" s="330"/>
      <c r="DE312" s="330"/>
      <c r="DF312" s="330"/>
      <c r="DG312" s="330"/>
      <c r="DH312" s="330"/>
      <c r="DI312" s="330"/>
      <c r="DJ312" s="330"/>
      <c r="DK312" s="330"/>
      <c r="DL312" s="330"/>
      <c r="DM312" s="330"/>
      <c r="DN312" s="330"/>
      <c r="DO312" s="330"/>
      <c r="DP312" s="330"/>
      <c r="DQ312" s="330"/>
      <c r="DR312" s="330"/>
      <c r="DS312" s="330"/>
      <c r="DT312" s="330"/>
      <c r="DU312" s="330"/>
      <c r="DV312" s="330"/>
      <c r="DW312" s="330"/>
      <c r="DX312" s="330"/>
      <c r="DY312" s="330"/>
      <c r="DZ312" s="330"/>
      <c r="EA312" s="330"/>
      <c r="EB312" s="330"/>
      <c r="EC312" s="330"/>
      <c r="ED312" s="330"/>
      <c r="EE312" s="330"/>
      <c r="EF312" s="330"/>
      <c r="EG312" s="330"/>
      <c r="EH312" s="330"/>
      <c r="EI312" s="330"/>
      <c r="EJ312" s="330"/>
      <c r="EK312" s="330"/>
      <c r="EL312" s="330"/>
      <c r="EM312" s="330"/>
      <c r="EN312" s="330"/>
      <c r="EO312" s="330"/>
      <c r="EP312" s="330"/>
      <c r="EQ312" s="330"/>
      <c r="ER312" s="330"/>
      <c r="ES312" s="330"/>
      <c r="ET312" s="330"/>
      <c r="EU312" s="330"/>
      <c r="EV312" s="330"/>
      <c r="EW312" s="330"/>
      <c r="EX312" s="330"/>
      <c r="EY312" s="1032">
        <f t="shared" si="20"/>
        <v>0.10216</v>
      </c>
    </row>
    <row r="313" spans="1:166" s="467" customFormat="1" ht="14.7" customHeight="1" x14ac:dyDescent="0.25">
      <c r="A313" s="421">
        <v>309</v>
      </c>
      <c r="B313" s="417" t="str">
        <f>'426-булочка с повидл (2)'!A9</f>
        <v>Булочка с повидлом обсыпная (масса 50 г)</v>
      </c>
      <c r="C313" s="419">
        <f>'426-булочка с повидл (2)'!C32</f>
        <v>50</v>
      </c>
      <c r="D313" s="1211">
        <f>6.6/100*C313</f>
        <v>3.3</v>
      </c>
      <c r="E313" s="1211">
        <f>14.36/100*C313</f>
        <v>7.18</v>
      </c>
      <c r="F313" s="1211">
        <f>41.13/100*C313</f>
        <v>20.57</v>
      </c>
      <c r="G313" s="1212">
        <f>320/100*C313</f>
        <v>160</v>
      </c>
      <c r="H313" s="419">
        <f>'426-булочка с повидл (2)'!J7</f>
        <v>426</v>
      </c>
      <c r="I313" s="483">
        <f>'426-булочка с повидл (2)'!F34</f>
        <v>4.2</v>
      </c>
      <c r="J313" s="330"/>
      <c r="K313" s="330"/>
      <c r="L313" s="330"/>
      <c r="M313" s="330"/>
      <c r="N313" s="330"/>
      <c r="O313" s="330"/>
      <c r="P313" s="330"/>
      <c r="Q313" s="330"/>
      <c r="R313" s="330"/>
      <c r="S313" s="330"/>
      <c r="T313" s="330"/>
      <c r="U313" s="330"/>
      <c r="V313" s="330"/>
      <c r="W313" s="330"/>
      <c r="X313" s="330"/>
      <c r="Y313" s="330"/>
      <c r="Z313" s="330"/>
      <c r="AA313" s="330"/>
      <c r="AB313" s="330"/>
      <c r="AC313" s="330"/>
      <c r="AD313" s="330"/>
      <c r="AE313" s="330"/>
      <c r="AF313" s="330"/>
      <c r="AG313" s="330"/>
      <c r="AH313" s="330"/>
      <c r="AI313" s="330"/>
      <c r="AJ313" s="330"/>
      <c r="AK313" s="330"/>
      <c r="AL313" s="330"/>
      <c r="AM313" s="330"/>
      <c r="AN313" s="330"/>
      <c r="AO313" s="330"/>
      <c r="AP313" s="330"/>
      <c r="AQ313" s="330"/>
      <c r="AR313" s="330"/>
      <c r="AS313" s="330"/>
      <c r="AT313" s="330"/>
      <c r="AU313" s="330"/>
      <c r="AV313" s="330"/>
      <c r="AW313" s="330"/>
      <c r="AX313" s="330"/>
      <c r="AY313" s="330"/>
      <c r="AZ313" s="330"/>
      <c r="BA313" s="330"/>
      <c r="BB313" s="330"/>
      <c r="BC313" s="330"/>
      <c r="BD313" s="330"/>
      <c r="BE313" s="330"/>
      <c r="BF313" s="330"/>
      <c r="BG313" s="330"/>
      <c r="BH313" s="330"/>
      <c r="BI313" s="330"/>
      <c r="BJ313" s="330"/>
      <c r="BK313" s="330"/>
      <c r="BL313" s="330"/>
      <c r="BM313" s="330"/>
      <c r="BN313" s="330"/>
      <c r="BO313" s="330"/>
      <c r="BP313" s="330"/>
      <c r="BQ313" s="330"/>
      <c r="BR313" s="330"/>
      <c r="BS313" s="330">
        <f>'426-булочка с повидл (2)'!C19+'426-булочка с повидл (2)'!C20</f>
        <v>3.1519999999999999E-2</v>
      </c>
      <c r="BT313" s="330"/>
      <c r="BU313" s="330"/>
      <c r="BV313" s="330"/>
      <c r="BW313" s="330"/>
      <c r="BX313" s="330"/>
      <c r="BY313" s="330"/>
      <c r="BZ313" s="330"/>
      <c r="CA313" s="330"/>
      <c r="CB313" s="330"/>
      <c r="CC313" s="330"/>
      <c r="CD313" s="330"/>
      <c r="CE313" s="330">
        <f>'426-булочка с повидл (2)'!C22+'426-булочка с повидл (2)'!C23</f>
        <v>8.5100000000000002E-3</v>
      </c>
      <c r="CF313" s="330"/>
      <c r="CG313" s="330"/>
      <c r="CH313" s="330"/>
      <c r="CI313" s="330"/>
      <c r="CJ313" s="330"/>
      <c r="CK313" s="330"/>
      <c r="CL313" s="330">
        <f>'426-булочка с повидл (2)'!C25</f>
        <v>7.5000000000000002E-4</v>
      </c>
      <c r="CM313" s="330"/>
      <c r="CN313" s="330"/>
      <c r="CO313" s="330"/>
      <c r="CP313" s="330"/>
      <c r="CQ313" s="330"/>
      <c r="CR313" s="330"/>
      <c r="CS313" s="330"/>
      <c r="CT313" s="330"/>
      <c r="CU313" s="330"/>
      <c r="CV313" s="330"/>
      <c r="CW313" s="330">
        <f>'426-булочка с повидл (2)'!C27</f>
        <v>4.0000000000000001E-3</v>
      </c>
      <c r="CX313" s="330"/>
      <c r="CY313" s="330"/>
      <c r="CZ313" s="330">
        <f>'426-булочка с повидл (2)'!C21</f>
        <v>6.0000000000000001E-3</v>
      </c>
      <c r="DA313" s="330"/>
      <c r="DB313" s="330"/>
      <c r="DC313" s="330">
        <f>'426-булочка с повидл (2)'!C24</f>
        <v>5.9999999999999995E-4</v>
      </c>
      <c r="DD313" s="330"/>
      <c r="DE313" s="330"/>
      <c r="DF313" s="330"/>
      <c r="DG313" s="330"/>
      <c r="DH313" s="330"/>
      <c r="DI313" s="330"/>
      <c r="DJ313" s="330"/>
      <c r="DK313" s="330"/>
      <c r="DL313" s="330"/>
      <c r="DM313" s="330"/>
      <c r="DN313" s="330"/>
      <c r="DO313" s="330"/>
      <c r="DP313" s="330"/>
      <c r="DQ313" s="330"/>
      <c r="DR313" s="330"/>
      <c r="DS313" s="330"/>
      <c r="DT313" s="330"/>
      <c r="DU313" s="330"/>
      <c r="DV313" s="330"/>
      <c r="DW313" s="330"/>
      <c r="DX313" s="330"/>
      <c r="DY313" s="330"/>
      <c r="DZ313" s="330"/>
      <c r="EA313" s="330"/>
      <c r="EB313" s="330"/>
      <c r="EC313" s="330"/>
      <c r="ED313" s="330"/>
      <c r="EE313" s="330"/>
      <c r="EF313" s="330"/>
      <c r="EG313" s="330"/>
      <c r="EH313" s="330"/>
      <c r="EI313" s="330"/>
      <c r="EJ313" s="330"/>
      <c r="EK313" s="330"/>
      <c r="EL313" s="330"/>
      <c r="EM313" s="330"/>
      <c r="EN313" s="330"/>
      <c r="EO313" s="330"/>
      <c r="EP313" s="330"/>
      <c r="EQ313" s="330"/>
      <c r="ER313" s="330"/>
      <c r="ES313" s="330"/>
      <c r="ET313" s="330"/>
      <c r="EU313" s="330"/>
      <c r="EV313" s="330"/>
      <c r="EW313" s="330"/>
      <c r="EX313" s="330"/>
      <c r="EY313" s="1032">
        <f t="shared" si="20"/>
        <v>5.1380000000000002E-2</v>
      </c>
      <c r="EZ313" s="616"/>
      <c r="FA313" s="616"/>
      <c r="FB313" s="616"/>
      <c r="FC313" s="616"/>
      <c r="FD313" s="616"/>
      <c r="FE313" s="616"/>
      <c r="FF313" s="616"/>
      <c r="FG313" s="616"/>
      <c r="FH313" s="616"/>
      <c r="FI313" s="616"/>
      <c r="FJ313" s="616"/>
    </row>
    <row r="314" spans="1:166" ht="14.7" customHeight="1" x14ac:dyDescent="0.25">
      <c r="A314" s="421">
        <v>310</v>
      </c>
      <c r="B314" s="169" t="str">
        <f>'428-булочка школьная 30г'!A9</f>
        <v>Булочка школьная 30 г</v>
      </c>
      <c r="C314" s="419">
        <f>'428-булочка школьная 30г'!C31</f>
        <v>30</v>
      </c>
      <c r="D314" s="1211">
        <f>5.01/60*C314</f>
        <v>2.5099999999999998</v>
      </c>
      <c r="E314" s="1211">
        <f>1.92/60*C314</f>
        <v>0.96</v>
      </c>
      <c r="F314" s="1211">
        <f>26.91/60*C314</f>
        <v>13.46</v>
      </c>
      <c r="G314" s="1212">
        <f>145/60*C314</f>
        <v>73</v>
      </c>
      <c r="H314" s="419">
        <f>'428-булочка школьная 30г'!J7</f>
        <v>428</v>
      </c>
      <c r="I314" s="1234">
        <f>'428-булочка школьная 30г'!F33</f>
        <v>1.26</v>
      </c>
      <c r="J314" s="330"/>
      <c r="K314" s="330"/>
      <c r="L314" s="330"/>
      <c r="M314" s="330"/>
      <c r="N314" s="330"/>
      <c r="O314" s="330"/>
      <c r="P314" s="330"/>
      <c r="Q314" s="330"/>
      <c r="R314" s="330"/>
      <c r="S314" s="330"/>
      <c r="T314" s="330"/>
      <c r="U314" s="330"/>
      <c r="V314" s="330"/>
      <c r="W314" s="330"/>
      <c r="X314" s="330"/>
      <c r="Y314" s="330"/>
      <c r="Z314" s="330"/>
      <c r="AA314" s="330"/>
      <c r="AB314" s="330"/>
      <c r="AC314" s="330"/>
      <c r="AD314" s="330"/>
      <c r="AE314" s="330"/>
      <c r="AF314" s="330"/>
      <c r="AG314" s="330"/>
      <c r="AH314" s="330"/>
      <c r="AI314" s="330"/>
      <c r="AJ314" s="330"/>
      <c r="AK314" s="330"/>
      <c r="AL314" s="330"/>
      <c r="AM314" s="330"/>
      <c r="AN314" s="330"/>
      <c r="AO314" s="330"/>
      <c r="AP314" s="330"/>
      <c r="AQ314" s="330"/>
      <c r="AR314" s="330"/>
      <c r="AS314" s="330"/>
      <c r="AT314" s="330"/>
      <c r="AU314" s="330"/>
      <c r="AV314" s="330"/>
      <c r="AW314" s="330"/>
      <c r="AX314" s="330"/>
      <c r="AY314" s="330"/>
      <c r="AZ314" s="330"/>
      <c r="BA314" s="330"/>
      <c r="BB314" s="330"/>
      <c r="BC314" s="330"/>
      <c r="BD314" s="330"/>
      <c r="BE314" s="330"/>
      <c r="BF314" s="330"/>
      <c r="BG314" s="330"/>
      <c r="BH314" s="330"/>
      <c r="BI314" s="330"/>
      <c r="BJ314" s="330"/>
      <c r="BK314" s="330"/>
      <c r="BL314" s="330"/>
      <c r="BM314" s="330"/>
      <c r="BN314" s="330"/>
      <c r="BO314" s="330"/>
      <c r="BP314" s="330"/>
      <c r="BQ314" s="330"/>
      <c r="BR314" s="330"/>
      <c r="BS314" s="330">
        <f>'428-булочка школьная 30г'!C19/'428-булочка школьная 30г'!C30*'428-булочка школьная 30г'!C31+'428-булочка школьная 30г'!C20/'428-булочка школьная 30г'!C30*'428-булочка школьная 30г'!C31</f>
        <v>2.4580000000000001E-2</v>
      </c>
      <c r="BT314" s="330"/>
      <c r="BU314" s="330"/>
      <c r="BV314" s="330"/>
      <c r="BW314" s="330"/>
      <c r="BX314" s="330"/>
      <c r="BY314" s="330"/>
      <c r="BZ314" s="330"/>
      <c r="CA314" s="330"/>
      <c r="CB314" s="330"/>
      <c r="CC314" s="330"/>
      <c r="CD314" s="330"/>
      <c r="CE314" s="330">
        <f>'428-булочка школьная 30г'!C22/'428-булочка школьная 30г'!C30*'428-булочка школьная 30г'!C31</f>
        <v>7.1000000000000002E-4</v>
      </c>
      <c r="CF314" s="330">
        <f>'428-булочка школьная 30г'!C23/'428-булочка школьная 30г'!C30*'428-булочка школьная 30г'!C31</f>
        <v>1.2E-4</v>
      </c>
      <c r="CG314" s="330"/>
      <c r="CH314" s="330"/>
      <c r="CI314" s="330"/>
      <c r="CJ314" s="330"/>
      <c r="CK314" s="330"/>
      <c r="CL314" s="330">
        <f>'428-булочка школьная 30г'!C24/'428-булочка школьная 30г'!C30*'428-булочка школьная 30г'!C31</f>
        <v>2.4000000000000001E-4</v>
      </c>
      <c r="CM314" s="330"/>
      <c r="CN314" s="330"/>
      <c r="CO314" s="330"/>
      <c r="CP314" s="330"/>
      <c r="CQ314" s="330"/>
      <c r="CR314" s="330"/>
      <c r="CS314" s="330"/>
      <c r="CT314" s="330"/>
      <c r="CU314" s="330"/>
      <c r="CV314" s="330"/>
      <c r="CW314" s="330"/>
      <c r="CX314" s="330"/>
      <c r="CY314" s="330"/>
      <c r="CZ314" s="330">
        <f>'428-булочка школьная 30г'!C21/'428-булочка школьная 30г'!C30*'428-булочка школьная 30г'!C31</f>
        <v>1.41E-3</v>
      </c>
      <c r="DA314" s="330"/>
      <c r="DB314" s="330"/>
      <c r="DC314" s="330">
        <f>'428-булочка школьная 30г'!C25/'428-булочка школьная 30г'!C30*'428-булочка школьная 30г'!C31</f>
        <v>3.6000000000000002E-4</v>
      </c>
      <c r="DD314" s="330"/>
      <c r="DE314" s="330"/>
      <c r="DF314" s="330"/>
      <c r="DG314" s="330"/>
      <c r="DH314" s="330"/>
      <c r="DI314" s="330"/>
      <c r="DJ314" s="330"/>
      <c r="DK314" s="330"/>
      <c r="DL314" s="330"/>
      <c r="DM314" s="330"/>
      <c r="DN314" s="330"/>
      <c r="DO314" s="330"/>
      <c r="DP314" s="330"/>
      <c r="DQ314" s="330"/>
      <c r="DR314" s="330"/>
      <c r="DS314" s="330"/>
      <c r="DT314" s="330"/>
      <c r="DU314" s="330"/>
      <c r="DV314" s="330"/>
      <c r="DW314" s="330"/>
      <c r="DX314" s="330"/>
      <c r="DY314" s="330"/>
      <c r="DZ314" s="330"/>
      <c r="EA314" s="330"/>
      <c r="EB314" s="330"/>
      <c r="EC314" s="330"/>
      <c r="ED314" s="330"/>
      <c r="EE314" s="330"/>
      <c r="EF314" s="330"/>
      <c r="EG314" s="330"/>
      <c r="EH314" s="330"/>
      <c r="EI314" s="330"/>
      <c r="EJ314" s="330"/>
      <c r="EK314" s="330"/>
      <c r="EL314" s="330"/>
      <c r="EM314" s="330"/>
      <c r="EN314" s="330"/>
      <c r="EO314" s="330"/>
      <c r="EP314" s="330"/>
      <c r="EQ314" s="330"/>
      <c r="ER314" s="330"/>
      <c r="ES314" s="330"/>
      <c r="ET314" s="330"/>
      <c r="EU314" s="330"/>
      <c r="EV314" s="330"/>
      <c r="EW314" s="330"/>
      <c r="EX314" s="330"/>
      <c r="EY314" s="1032">
        <f t="shared" si="20"/>
        <v>2.742E-2</v>
      </c>
    </row>
    <row r="315" spans="1:166" ht="14.7" customHeight="1" x14ac:dyDescent="0.25">
      <c r="A315" s="421">
        <v>311</v>
      </c>
      <c r="B315" s="417" t="str">
        <f>'428-булочка школьная 50г'!A9</f>
        <v>Булочка школьная 50 г</v>
      </c>
      <c r="C315" s="419">
        <f>'428-булочка школьная 50г'!C31</f>
        <v>50</v>
      </c>
      <c r="D315" s="1211">
        <f>5.01/60*C315</f>
        <v>4.18</v>
      </c>
      <c r="E315" s="1211">
        <f>1.92/60*C315</f>
        <v>1.6</v>
      </c>
      <c r="F315" s="1211">
        <f>26.91/60*C315</f>
        <v>22.43</v>
      </c>
      <c r="G315" s="1212">
        <f>145/60*C315</f>
        <v>121</v>
      </c>
      <c r="H315" s="419">
        <f>'428-булочка школьная 50г'!J7</f>
        <v>428</v>
      </c>
      <c r="I315" s="1234">
        <f>'428-булочка школьная 50г'!F33</f>
        <v>2.1</v>
      </c>
      <c r="J315" s="330"/>
      <c r="K315" s="330"/>
      <c r="L315" s="330"/>
      <c r="M315" s="330"/>
      <c r="N315" s="330"/>
      <c r="O315" s="330"/>
      <c r="P315" s="330"/>
      <c r="Q315" s="330"/>
      <c r="R315" s="330"/>
      <c r="S315" s="330"/>
      <c r="T315" s="330"/>
      <c r="U315" s="330"/>
      <c r="V315" s="330"/>
      <c r="W315" s="330"/>
      <c r="X315" s="330"/>
      <c r="Y315" s="330"/>
      <c r="Z315" s="330"/>
      <c r="AA315" s="330"/>
      <c r="AB315" s="330"/>
      <c r="AC315" s="330"/>
      <c r="AD315" s="330"/>
      <c r="AE315" s="330"/>
      <c r="AF315" s="330"/>
      <c r="AG315" s="330"/>
      <c r="AH315" s="330"/>
      <c r="AI315" s="330"/>
      <c r="AJ315" s="330"/>
      <c r="AK315" s="330"/>
      <c r="AL315" s="330"/>
      <c r="AM315" s="330"/>
      <c r="AN315" s="330"/>
      <c r="AO315" s="330"/>
      <c r="AP315" s="330"/>
      <c r="AQ315" s="330"/>
      <c r="AR315" s="330"/>
      <c r="AS315" s="330"/>
      <c r="AT315" s="330"/>
      <c r="AU315" s="330"/>
      <c r="AV315" s="330"/>
      <c r="AW315" s="330"/>
      <c r="AX315" s="330"/>
      <c r="AY315" s="330"/>
      <c r="AZ315" s="330"/>
      <c r="BA315" s="330"/>
      <c r="BB315" s="330"/>
      <c r="BC315" s="330"/>
      <c r="BD315" s="330"/>
      <c r="BE315" s="330"/>
      <c r="BF315" s="330"/>
      <c r="BG315" s="330"/>
      <c r="BH315" s="330"/>
      <c r="BI315" s="330"/>
      <c r="BJ315" s="330"/>
      <c r="BK315" s="330"/>
      <c r="BL315" s="330"/>
      <c r="BM315" s="330"/>
      <c r="BN315" s="330"/>
      <c r="BO315" s="330"/>
      <c r="BP315" s="330"/>
      <c r="BQ315" s="330"/>
      <c r="BR315" s="330"/>
      <c r="BS315" s="330">
        <f>'428-булочка школьная 50г'!C19/'428-булочка школьная 50г'!C30*'428-булочка школьная 50г'!C31+'428-булочка школьная 50г'!C20/'428-булочка школьная 50г'!C30*'428-булочка школьная 50г'!C31</f>
        <v>4.0969999999999999E-2</v>
      </c>
      <c r="BT315" s="330"/>
      <c r="BU315" s="330"/>
      <c r="BV315" s="330"/>
      <c r="BW315" s="330"/>
      <c r="BX315" s="330"/>
      <c r="BY315" s="330"/>
      <c r="BZ315" s="330"/>
      <c r="CA315" s="330"/>
      <c r="CB315" s="330"/>
      <c r="CC315" s="330"/>
      <c r="CD315" s="330"/>
      <c r="CE315" s="330">
        <f>'428-булочка школьная 50г'!C22/'428-булочка школьная 50г'!C30*'428-булочка школьная 50г'!C31</f>
        <v>1.1800000000000001E-3</v>
      </c>
      <c r="CF315" s="330">
        <f>'428-булочка школьная 50г'!C23/'428-булочка школьная 50г'!C30*'428-булочка школьная 50г'!C31</f>
        <v>2.0000000000000001E-4</v>
      </c>
      <c r="CG315" s="330"/>
      <c r="CH315" s="330"/>
      <c r="CI315" s="330"/>
      <c r="CJ315" s="330"/>
      <c r="CK315" s="330"/>
      <c r="CL315" s="330">
        <f>'428-булочка школьная 50г'!C24/'428-булочка школьная 50г'!C30*'428-булочка школьная 50г'!C31</f>
        <v>3.8999999999999999E-4</v>
      </c>
      <c r="CM315" s="330"/>
      <c r="CN315" s="330"/>
      <c r="CO315" s="330"/>
      <c r="CP315" s="330"/>
      <c r="CQ315" s="330"/>
      <c r="CR315" s="330"/>
      <c r="CS315" s="330"/>
      <c r="CT315" s="330"/>
      <c r="CU315" s="330"/>
      <c r="CV315" s="330"/>
      <c r="CW315" s="330"/>
      <c r="CX315" s="330"/>
      <c r="CY315" s="330"/>
      <c r="CZ315" s="330">
        <f>'428-булочка школьная 50г'!C21/'428-булочка школьная 50г'!C30*'428-булочка школьная 50г'!C31</f>
        <v>2.3400000000000001E-3</v>
      </c>
      <c r="DA315" s="330"/>
      <c r="DB315" s="330"/>
      <c r="DC315" s="330">
        <f>'428-булочка школьная 50г'!C25/'428-булочка школьная 50г'!C30*'428-булочка школьная 50г'!C31</f>
        <v>5.9000000000000003E-4</v>
      </c>
      <c r="DD315" s="330"/>
      <c r="DE315" s="330"/>
      <c r="DF315" s="330"/>
      <c r="DG315" s="330"/>
      <c r="DH315" s="330"/>
      <c r="DI315" s="330"/>
      <c r="DJ315" s="330"/>
      <c r="DK315" s="330"/>
      <c r="DL315" s="330"/>
      <c r="DM315" s="330"/>
      <c r="DN315" s="330"/>
      <c r="DO315" s="330"/>
      <c r="DP315" s="330"/>
      <c r="DQ315" s="330"/>
      <c r="DR315" s="330"/>
      <c r="DS315" s="330"/>
      <c r="DT315" s="330"/>
      <c r="DU315" s="330"/>
      <c r="DV315" s="330"/>
      <c r="DW315" s="330"/>
      <c r="DX315" s="330"/>
      <c r="DY315" s="330"/>
      <c r="DZ315" s="330"/>
      <c r="EA315" s="330"/>
      <c r="EB315" s="330"/>
      <c r="EC315" s="330"/>
      <c r="ED315" s="330"/>
      <c r="EE315" s="330"/>
      <c r="EF315" s="330"/>
      <c r="EG315" s="330"/>
      <c r="EH315" s="330"/>
      <c r="EI315" s="330"/>
      <c r="EJ315" s="330"/>
      <c r="EK315" s="330"/>
      <c r="EL315" s="330"/>
      <c r="EM315" s="330"/>
      <c r="EN315" s="330"/>
      <c r="EO315" s="330"/>
      <c r="EP315" s="330"/>
      <c r="EQ315" s="330"/>
      <c r="ER315" s="330"/>
      <c r="ES315" s="330"/>
      <c r="ET315" s="330"/>
      <c r="EU315" s="330"/>
      <c r="EV315" s="330"/>
      <c r="EW315" s="330"/>
      <c r="EX315" s="330"/>
      <c r="EY315" s="1032">
        <f t="shared" si="20"/>
        <v>4.5670000000000002E-2</v>
      </c>
    </row>
    <row r="316" spans="1:166" s="511" customFormat="1" ht="14.7" customHeight="1" x14ac:dyDescent="0.25">
      <c r="A316" s="421">
        <v>312</v>
      </c>
      <c r="B316" s="417" t="str">
        <f>'428-булочка школьная 100г'!A9</f>
        <v>Булочка школьная 100 г</v>
      </c>
      <c r="C316" s="419">
        <f>'428-булочка школьная 100г'!C31</f>
        <v>100</v>
      </c>
      <c r="D316" s="1211">
        <f>5.01/60*C316</f>
        <v>8.35</v>
      </c>
      <c r="E316" s="1211">
        <f>1.92/60*C316</f>
        <v>3.2</v>
      </c>
      <c r="F316" s="1211">
        <f>26.91/60*C316</f>
        <v>44.85</v>
      </c>
      <c r="G316" s="1212">
        <f>145/60*C316</f>
        <v>242</v>
      </c>
      <c r="H316" s="419">
        <f>'428-булочка школьная 100г'!J7</f>
        <v>428</v>
      </c>
      <c r="I316" s="483">
        <f>'428-булочка школьная 100г'!F33</f>
        <v>4.2</v>
      </c>
      <c r="J316" s="418"/>
      <c r="K316" s="418"/>
      <c r="L316" s="418"/>
      <c r="M316" s="418"/>
      <c r="N316" s="418"/>
      <c r="O316" s="418"/>
      <c r="P316" s="418"/>
      <c r="Q316" s="418"/>
      <c r="R316" s="418"/>
      <c r="S316" s="418"/>
      <c r="T316" s="418"/>
      <c r="U316" s="418"/>
      <c r="V316" s="418"/>
      <c r="W316" s="418"/>
      <c r="X316" s="418"/>
      <c r="Y316" s="418"/>
      <c r="Z316" s="418"/>
      <c r="AA316" s="418"/>
      <c r="AB316" s="418"/>
      <c r="AC316" s="418"/>
      <c r="AD316" s="418"/>
      <c r="AE316" s="418"/>
      <c r="AF316" s="418"/>
      <c r="AG316" s="418"/>
      <c r="AH316" s="418"/>
      <c r="AI316" s="418"/>
      <c r="AJ316" s="418"/>
      <c r="AK316" s="418"/>
      <c r="AL316" s="418"/>
      <c r="AM316" s="418"/>
      <c r="AN316" s="418"/>
      <c r="AO316" s="418"/>
      <c r="AP316" s="418"/>
      <c r="AQ316" s="418"/>
      <c r="AR316" s="418"/>
      <c r="AS316" s="418"/>
      <c r="AT316" s="418"/>
      <c r="AU316" s="418"/>
      <c r="AV316" s="418"/>
      <c r="AW316" s="418"/>
      <c r="AX316" s="418"/>
      <c r="AY316" s="418"/>
      <c r="AZ316" s="418"/>
      <c r="BA316" s="418"/>
      <c r="BB316" s="418"/>
      <c r="BC316" s="418"/>
      <c r="BD316" s="418"/>
      <c r="BE316" s="418"/>
      <c r="BF316" s="418"/>
      <c r="BG316" s="418"/>
      <c r="BH316" s="418"/>
      <c r="BI316" s="418"/>
      <c r="BJ316" s="418"/>
      <c r="BK316" s="418"/>
      <c r="BL316" s="418"/>
      <c r="BM316" s="418"/>
      <c r="BN316" s="418"/>
      <c r="BO316" s="418"/>
      <c r="BP316" s="418"/>
      <c r="BQ316" s="418"/>
      <c r="BR316" s="418"/>
      <c r="BS316" s="330">
        <f>'428-булочка школьная 100г'!C19/'428-булочка школьная 100г'!C30*'428-булочка школьная 100г'!C31+'428-булочка школьная 100г'!C20/'428-булочка школьная 100г'!C30*'428-булочка школьная 100г'!C31</f>
        <v>8.1930000000000003E-2</v>
      </c>
      <c r="BT316" s="418"/>
      <c r="BU316" s="418"/>
      <c r="BV316" s="418"/>
      <c r="BW316" s="418"/>
      <c r="BX316" s="418"/>
      <c r="BY316" s="418"/>
      <c r="BZ316" s="418"/>
      <c r="CA316" s="418"/>
      <c r="CB316" s="418"/>
      <c r="CC316" s="418"/>
      <c r="CD316" s="418"/>
      <c r="CE316" s="418">
        <f>'428-булочка школьная 100г'!C22/'428-булочка школьная 100г'!C30*'428-булочка школьная 100г'!C31</f>
        <v>2.3500000000000001E-3</v>
      </c>
      <c r="CF316" s="418">
        <f>'428-булочка школьная 100г'!C23/'428-булочка школьная 100г'!C30*'428-булочка школьная 100г'!C31</f>
        <v>4.0000000000000002E-4</v>
      </c>
      <c r="CG316" s="418"/>
      <c r="CH316" s="418"/>
      <c r="CI316" s="418"/>
      <c r="CJ316" s="418"/>
      <c r="CK316" s="418"/>
      <c r="CL316" s="482">
        <f>'428-булочка школьная 100г'!C24/'428-булочка школьная 100г'!C30*'428-булочка школьная 100г'!C31</f>
        <v>7.7999999999999999E-4</v>
      </c>
      <c r="CM316" s="418"/>
      <c r="CN316" s="418"/>
      <c r="CO316" s="418"/>
      <c r="CP316" s="418"/>
      <c r="CQ316" s="418"/>
      <c r="CR316" s="418"/>
      <c r="CS316" s="418"/>
      <c r="CT316" s="418"/>
      <c r="CU316" s="418"/>
      <c r="CV316" s="418"/>
      <c r="CW316" s="418"/>
      <c r="CX316" s="418"/>
      <c r="CY316" s="418"/>
      <c r="CZ316" s="482">
        <f>'428-булочка школьная 100г'!C21/'428-булочка школьная 100г'!C30*'428-булочка школьная 100г'!C31</f>
        <v>4.6800000000000001E-3</v>
      </c>
      <c r="DA316" s="418"/>
      <c r="DB316" s="418"/>
      <c r="DC316" s="482">
        <f>'428-булочка школьная 100г'!C25/'428-булочка школьная 100г'!C30*'428-булочка школьная 100г'!C31</f>
        <v>1.1800000000000001E-3</v>
      </c>
      <c r="DD316" s="418"/>
      <c r="DE316" s="418"/>
      <c r="DF316" s="418"/>
      <c r="DG316" s="418"/>
      <c r="DH316" s="418"/>
      <c r="DI316" s="418"/>
      <c r="DJ316" s="418"/>
      <c r="DK316" s="418"/>
      <c r="DL316" s="418"/>
      <c r="DM316" s="418"/>
      <c r="DN316" s="418"/>
      <c r="DO316" s="418"/>
      <c r="DP316" s="418"/>
      <c r="DQ316" s="418"/>
      <c r="DR316" s="418"/>
      <c r="DS316" s="418"/>
      <c r="DT316" s="418"/>
      <c r="DU316" s="418"/>
      <c r="DV316" s="418"/>
      <c r="DW316" s="418"/>
      <c r="DX316" s="418"/>
      <c r="DY316" s="418"/>
      <c r="DZ316" s="418"/>
      <c r="EA316" s="418"/>
      <c r="EB316" s="418"/>
      <c r="EC316" s="418"/>
      <c r="ED316" s="418"/>
      <c r="EE316" s="418"/>
      <c r="EF316" s="418"/>
      <c r="EG316" s="418"/>
      <c r="EH316" s="418"/>
      <c r="EI316" s="418"/>
      <c r="EJ316" s="418"/>
      <c r="EK316" s="418"/>
      <c r="EL316" s="330"/>
      <c r="EM316" s="330"/>
      <c r="EN316" s="330"/>
      <c r="EO316" s="330"/>
      <c r="EP316" s="330"/>
      <c r="EQ316" s="330"/>
      <c r="ER316" s="330"/>
      <c r="ES316" s="330"/>
      <c r="ET316" s="330"/>
      <c r="EU316" s="330"/>
      <c r="EV316" s="330"/>
      <c r="EW316" s="330"/>
      <c r="EX316" s="330"/>
      <c r="EY316" s="1032">
        <f t="shared" si="20"/>
        <v>9.1319999999999998E-2</v>
      </c>
      <c r="EZ316" s="616"/>
      <c r="FA316" s="616"/>
      <c r="FB316" s="616"/>
      <c r="FC316" s="616"/>
      <c r="FD316" s="616"/>
      <c r="FE316" s="616"/>
      <c r="FF316" s="616"/>
      <c r="FG316" s="616"/>
      <c r="FH316" s="616"/>
      <c r="FI316" s="616"/>
      <c r="FJ316" s="616"/>
    </row>
    <row r="317" spans="1:166" ht="14.7" customHeight="1" x14ac:dyDescent="0.25">
      <c r="A317" s="421">
        <v>313</v>
      </c>
      <c r="B317" s="417" t="str">
        <f>'429-булочка веснушка 50г'!A9</f>
        <v>Булочка "Веснушка" (масса 50 г)</v>
      </c>
      <c r="C317" s="419">
        <f>'429-булочка веснушка 50г'!C31</f>
        <v>50</v>
      </c>
      <c r="D317" s="1211">
        <f>3.9/50*C317</f>
        <v>3.9</v>
      </c>
      <c r="E317" s="1211">
        <f>3.06/50*C317</f>
        <v>3.06</v>
      </c>
      <c r="F317" s="1211">
        <f>23.9/50*C317</f>
        <v>23.9</v>
      </c>
      <c r="G317" s="1212">
        <f>139/50*C317</f>
        <v>139</v>
      </c>
      <c r="H317" s="419">
        <f>'429-булочка веснушка 50г'!J7</f>
        <v>429</v>
      </c>
      <c r="I317" s="1234">
        <f>'429-булочка веснушка 50г'!F33</f>
        <v>3.6</v>
      </c>
      <c r="J317" s="330"/>
      <c r="K317" s="330"/>
      <c r="L317" s="330"/>
      <c r="M317" s="330"/>
      <c r="N317" s="330"/>
      <c r="O317" s="330"/>
      <c r="P317" s="330"/>
      <c r="Q317" s="330"/>
      <c r="R317" s="330"/>
      <c r="S317" s="330"/>
      <c r="T317" s="330"/>
      <c r="U317" s="330"/>
      <c r="V317" s="330"/>
      <c r="W317" s="330"/>
      <c r="X317" s="330"/>
      <c r="Y317" s="330"/>
      <c r="Z317" s="330"/>
      <c r="AA317" s="330"/>
      <c r="AB317" s="330"/>
      <c r="AC317" s="330"/>
      <c r="AD317" s="330"/>
      <c r="AE317" s="330"/>
      <c r="AF317" s="330"/>
      <c r="AG317" s="330"/>
      <c r="AH317" s="330"/>
      <c r="AI317" s="330"/>
      <c r="AJ317" s="330"/>
      <c r="AK317" s="330"/>
      <c r="AL317" s="330"/>
      <c r="AM317" s="330"/>
      <c r="AN317" s="330"/>
      <c r="AO317" s="330"/>
      <c r="AP317" s="330"/>
      <c r="AQ317" s="330"/>
      <c r="AR317" s="330"/>
      <c r="AS317" s="330"/>
      <c r="AT317" s="330"/>
      <c r="AU317" s="330"/>
      <c r="AV317" s="330"/>
      <c r="AW317" s="330"/>
      <c r="AX317" s="330"/>
      <c r="AY317" s="330"/>
      <c r="AZ317" s="330"/>
      <c r="BA317" s="330"/>
      <c r="BB317" s="330"/>
      <c r="BC317" s="330"/>
      <c r="BD317" s="330"/>
      <c r="BE317" s="330"/>
      <c r="BF317" s="330"/>
      <c r="BG317" s="330"/>
      <c r="BH317" s="330"/>
      <c r="BI317" s="330"/>
      <c r="BJ317" s="330"/>
      <c r="BK317" s="330"/>
      <c r="BL317" s="330"/>
      <c r="BM317" s="330"/>
      <c r="BN317" s="330"/>
      <c r="BO317" s="330"/>
      <c r="BP317" s="330"/>
      <c r="BQ317" s="330"/>
      <c r="BR317" s="330"/>
      <c r="BS317" s="330">
        <f>'429-булочка веснушка 50г'!C19/'429-булочка веснушка 50г'!C30*'429-булочка веснушка 50г'!C31+'429-булочка веснушка 50г'!C20/'429-булочка веснушка 50г'!C30*'429-булочка веснушка 50г'!C31</f>
        <v>3.5709999999999999E-2</v>
      </c>
      <c r="BT317" s="330"/>
      <c r="BU317" s="330"/>
      <c r="BV317" s="330"/>
      <c r="BW317" s="330"/>
      <c r="BX317" s="330"/>
      <c r="BY317" s="330"/>
      <c r="BZ317" s="330"/>
      <c r="CA317" s="330"/>
      <c r="CB317" s="330"/>
      <c r="CC317" s="330"/>
      <c r="CD317" s="330"/>
      <c r="CE317" s="330">
        <f>'429-булочка веснушка 50г'!C24/'429-булочка веснушка 50г'!C30*'429-булочка веснушка 50г'!C31</f>
        <v>3.2100000000000002E-3</v>
      </c>
      <c r="CF317" s="330"/>
      <c r="CG317" s="330"/>
      <c r="CH317" s="330"/>
      <c r="CI317" s="330"/>
      <c r="CJ317" s="330"/>
      <c r="CK317" s="330"/>
      <c r="CL317" s="330">
        <f>'429-булочка веснушка 50г'!C21/'429-булочка веснушка 50г'!C30*'429-булочка веснушка 50г'!C31</f>
        <v>1.07E-3</v>
      </c>
      <c r="CM317" s="330">
        <f>'429-булочка веснушка 50г'!C26/'429-булочка веснушка 50г'!C30*'429-булочка веснушка 50г'!C31</f>
        <v>1.7899999999999999E-3</v>
      </c>
      <c r="CN317" s="330"/>
      <c r="CO317" s="330"/>
      <c r="CP317" s="330"/>
      <c r="CQ317" s="330"/>
      <c r="CR317" s="330"/>
      <c r="CS317" s="330"/>
      <c r="CT317" s="330"/>
      <c r="CU317" s="330"/>
      <c r="CV317" s="330"/>
      <c r="CW317" s="330"/>
      <c r="CX317" s="330"/>
      <c r="CY317" s="330"/>
      <c r="CZ317" s="330">
        <f>'429-булочка веснушка 50г'!C23/'429-булочка веснушка 50г'!C30*'429-булочка веснушка 50г'!C31</f>
        <v>3.5699999999999998E-3</v>
      </c>
      <c r="DA317" s="330"/>
      <c r="DB317" s="330"/>
      <c r="DC317" s="330">
        <f>'429-булочка веснушка 50г'!C22/'429-булочка веснушка 50г'!C30*'429-булочка веснушка 50г'!C31</f>
        <v>3.6000000000000002E-4</v>
      </c>
      <c r="DD317" s="330"/>
      <c r="DE317" s="330"/>
      <c r="DF317" s="330"/>
      <c r="DG317" s="330"/>
      <c r="DH317" s="330"/>
      <c r="DI317" s="330"/>
      <c r="DJ317" s="330"/>
      <c r="DK317" s="330"/>
      <c r="DL317" s="330"/>
      <c r="DM317" s="330"/>
      <c r="DN317" s="330"/>
      <c r="DO317" s="330"/>
      <c r="DP317" s="330"/>
      <c r="DQ317" s="330"/>
      <c r="DR317" s="330"/>
      <c r="DS317" s="330"/>
      <c r="DT317" s="330"/>
      <c r="DU317" s="330"/>
      <c r="DV317" s="330"/>
      <c r="DW317" s="330"/>
      <c r="DX317" s="330">
        <f>'429-булочка веснушка 50г'!C25/'429-булочка веснушка 50г'!C30*'429-булочка веснушка 50г'!C31</f>
        <v>1.07E-3</v>
      </c>
      <c r="DY317" s="330"/>
      <c r="DZ317" s="330"/>
      <c r="EA317" s="330"/>
      <c r="EB317" s="330"/>
      <c r="EC317" s="330"/>
      <c r="ED317" s="330"/>
      <c r="EE317" s="330"/>
      <c r="EF317" s="330"/>
      <c r="EG317" s="330"/>
      <c r="EH317" s="330"/>
      <c r="EI317" s="330"/>
      <c r="EJ317" s="330"/>
      <c r="EK317" s="330"/>
      <c r="EL317" s="330"/>
      <c r="EM317" s="330"/>
      <c r="EN317" s="330"/>
      <c r="EO317" s="330"/>
      <c r="EP317" s="330"/>
      <c r="EQ317" s="330"/>
      <c r="ER317" s="330"/>
      <c r="ES317" s="330"/>
      <c r="ET317" s="330"/>
      <c r="EU317" s="330"/>
      <c r="EV317" s="330"/>
      <c r="EW317" s="330"/>
      <c r="EX317" s="330"/>
      <c r="EY317" s="1032">
        <f t="shared" si="20"/>
        <v>4.6780000000000002E-2</v>
      </c>
    </row>
    <row r="318" spans="1:166" s="511" customFormat="1" ht="14.7" customHeight="1" x14ac:dyDescent="0.25">
      <c r="A318" s="421">
        <v>314</v>
      </c>
      <c r="B318" s="417" t="str">
        <f>'429-булочка веснушка 100г'!A9</f>
        <v>Булочка "Веснушка" (масса 100 г)</v>
      </c>
      <c r="C318" s="419">
        <f>'429-булочка веснушка 100г'!C31</f>
        <v>100</v>
      </c>
      <c r="D318" s="1211">
        <f>3.9/50*C318</f>
        <v>7.8</v>
      </c>
      <c r="E318" s="1211">
        <f>3.06/50*C318</f>
        <v>6.12</v>
      </c>
      <c r="F318" s="1211">
        <f>23.9/50*C318</f>
        <v>47.8</v>
      </c>
      <c r="G318" s="1212">
        <f>139/50*C318</f>
        <v>278</v>
      </c>
      <c r="H318" s="419">
        <f>'429-булочка веснушка 100г'!J7</f>
        <v>429</v>
      </c>
      <c r="I318" s="483">
        <f>'429-булочка веснушка 100г'!F33</f>
        <v>7.19</v>
      </c>
      <c r="J318" s="417"/>
      <c r="K318" s="417"/>
      <c r="L318" s="417"/>
      <c r="M318" s="417"/>
      <c r="N318" s="417"/>
      <c r="O318" s="417"/>
      <c r="P318" s="417"/>
      <c r="Q318" s="417"/>
      <c r="R318" s="417"/>
      <c r="S318" s="417"/>
      <c r="T318" s="417"/>
      <c r="U318" s="417"/>
      <c r="V318" s="417"/>
      <c r="W318" s="417"/>
      <c r="X318" s="417"/>
      <c r="Y318" s="417"/>
      <c r="Z318" s="417"/>
      <c r="AA318" s="417"/>
      <c r="AB318" s="417"/>
      <c r="AC318" s="417"/>
      <c r="AD318" s="417"/>
      <c r="AE318" s="417"/>
      <c r="AF318" s="417"/>
      <c r="AG318" s="417"/>
      <c r="AH318" s="417"/>
      <c r="AI318" s="417"/>
      <c r="AJ318" s="417"/>
      <c r="AK318" s="417"/>
      <c r="AL318" s="417"/>
      <c r="AM318" s="417"/>
      <c r="AN318" s="417"/>
      <c r="AO318" s="417"/>
      <c r="AP318" s="417"/>
      <c r="AQ318" s="417"/>
      <c r="AR318" s="417"/>
      <c r="AS318" s="417"/>
      <c r="AT318" s="417"/>
      <c r="AU318" s="417"/>
      <c r="AV318" s="417"/>
      <c r="AW318" s="417"/>
      <c r="AX318" s="417"/>
      <c r="AY318" s="417"/>
      <c r="AZ318" s="417"/>
      <c r="BA318" s="417"/>
      <c r="BB318" s="417"/>
      <c r="BC318" s="417"/>
      <c r="BD318" s="417"/>
      <c r="BE318" s="417"/>
      <c r="BF318" s="417"/>
      <c r="BG318" s="417"/>
      <c r="BH318" s="417"/>
      <c r="BI318" s="417"/>
      <c r="BJ318" s="417"/>
      <c r="BK318" s="417"/>
      <c r="BL318" s="417"/>
      <c r="BM318" s="417"/>
      <c r="BN318" s="417"/>
      <c r="BO318" s="417"/>
      <c r="BP318" s="417"/>
      <c r="BQ318" s="417"/>
      <c r="BR318" s="417"/>
      <c r="BS318" s="330">
        <f>'429-булочка веснушка 100г'!C19/'429-булочка веснушка 100г'!C30*'429-булочка веснушка 100г'!C31+'429-булочка веснушка 100г'!C20/'429-булочка веснушка 100г'!C30*'429-булочка веснушка 100г'!C31</f>
        <v>7.1419999999999997E-2</v>
      </c>
      <c r="BT318" s="417"/>
      <c r="BU318" s="417"/>
      <c r="BV318" s="417"/>
      <c r="BW318" s="417"/>
      <c r="BX318" s="417"/>
      <c r="BY318" s="417"/>
      <c r="BZ318" s="417"/>
      <c r="CA318" s="417"/>
      <c r="CB318" s="417"/>
      <c r="CC318" s="417"/>
      <c r="CD318" s="417"/>
      <c r="CE318" s="418">
        <f>'429-булочка веснушка 100г'!C24/'429-булочка веснушка 100г'!C30*'429-булочка веснушка 100г'!C31</f>
        <v>6.4200000000000004E-3</v>
      </c>
      <c r="CF318" s="417"/>
      <c r="CG318" s="417"/>
      <c r="CH318" s="417"/>
      <c r="CI318" s="417"/>
      <c r="CJ318" s="417"/>
      <c r="CK318" s="417"/>
      <c r="CL318" s="418">
        <f>'429-булочка веснушка 100г'!C21/'429-булочка веснушка 100г'!C30*'429-булочка веснушка 100г'!C31</f>
        <v>2.14E-3</v>
      </c>
      <c r="CM318" s="418">
        <f>'429-булочка веснушка 100г'!C26/'429-булочка веснушка 100г'!C30*'429-булочка веснушка 100г'!C31</f>
        <v>3.5799999999999998E-3</v>
      </c>
      <c r="CN318" s="417"/>
      <c r="CO318" s="417"/>
      <c r="CP318" s="417"/>
      <c r="CQ318" s="417"/>
      <c r="CR318" s="417"/>
      <c r="CS318" s="417"/>
      <c r="CT318" s="417"/>
      <c r="CU318" s="417"/>
      <c r="CV318" s="417"/>
      <c r="CW318" s="417"/>
      <c r="CX318" s="417"/>
      <c r="CY318" s="417"/>
      <c r="CZ318" s="418">
        <f>'429-булочка веснушка 100г'!C23/'429-булочка веснушка 100г'!C30*'429-булочка веснушка 100г'!C31</f>
        <v>7.1399999999999996E-3</v>
      </c>
      <c r="DA318" s="417"/>
      <c r="DB318" s="417"/>
      <c r="DC318" s="418">
        <f>'429-булочка веснушка 100г'!C22/'429-булочка веснушка 50г'!C30*'429-булочка веснушка 50г'!C31</f>
        <v>3.6000000000000002E-4</v>
      </c>
      <c r="DD318" s="417"/>
      <c r="DE318" s="417"/>
      <c r="DF318" s="417"/>
      <c r="DG318" s="417"/>
      <c r="DH318" s="417"/>
      <c r="DI318" s="417"/>
      <c r="DJ318" s="417"/>
      <c r="DK318" s="417"/>
      <c r="DL318" s="417"/>
      <c r="DM318" s="417"/>
      <c r="DN318" s="417"/>
      <c r="DO318" s="417"/>
      <c r="DP318" s="417"/>
      <c r="DQ318" s="417"/>
      <c r="DR318" s="417"/>
      <c r="DS318" s="417"/>
      <c r="DT318" s="417"/>
      <c r="DU318" s="417"/>
      <c r="DV318" s="417"/>
      <c r="DW318" s="417"/>
      <c r="DX318" s="418">
        <f>'429-булочка веснушка 100г'!C25/'429-булочка веснушка 100г'!C30*'429-булочка веснушка 100г'!C31</f>
        <v>2.14E-3</v>
      </c>
      <c r="DY318" s="330"/>
      <c r="DZ318" s="330"/>
      <c r="EA318" s="330"/>
      <c r="EB318" s="330"/>
      <c r="EC318" s="330"/>
      <c r="ED318" s="330"/>
      <c r="EE318" s="330"/>
      <c r="EF318" s="330"/>
      <c r="EG318" s="330"/>
      <c r="EH318" s="330"/>
      <c r="EI318" s="330"/>
      <c r="EJ318" s="330"/>
      <c r="EK318" s="330"/>
      <c r="EL318" s="330"/>
      <c r="EM318" s="330"/>
      <c r="EN318" s="330"/>
      <c r="EO318" s="330"/>
      <c r="EP318" s="330"/>
      <c r="EQ318" s="330"/>
      <c r="ER318" s="330"/>
      <c r="ES318" s="330"/>
      <c r="ET318" s="330"/>
      <c r="EU318" s="330"/>
      <c r="EV318" s="330"/>
      <c r="EW318" s="330"/>
      <c r="EX318" s="330"/>
      <c r="EY318" s="1032">
        <f t="shared" ref="EY318:EY370" si="22">SUM(J318:EX318)</f>
        <v>9.3200000000000005E-2</v>
      </c>
      <c r="EZ318" s="616"/>
      <c r="FA318" s="616"/>
      <c r="FB318" s="616"/>
      <c r="FC318" s="616"/>
      <c r="FD318" s="616"/>
      <c r="FE318" s="616"/>
      <c r="FF318" s="616"/>
      <c r="FG318" s="616"/>
      <c r="FH318" s="616"/>
      <c r="FI318" s="616"/>
      <c r="FJ318" s="616"/>
    </row>
    <row r="319" spans="1:166" s="1351" customFormat="1" ht="14.7" customHeight="1" x14ac:dyDescent="0.25">
      <c r="A319" s="421">
        <v>315</v>
      </c>
      <c r="B319" s="292" t="str">
        <f>'440-булочка творожная'!A9</f>
        <v>Булочка "Творожная" (масса 50 г)</v>
      </c>
      <c r="C319" s="419">
        <f>'440-булочка творожная'!C35</f>
        <v>50</v>
      </c>
      <c r="D319" s="1211">
        <f>6.54/50*C319</f>
        <v>6.54</v>
      </c>
      <c r="E319" s="1211">
        <f>3.03/50*C319</f>
        <v>3.03</v>
      </c>
      <c r="F319" s="1211">
        <f>19.34/50*C319</f>
        <v>19.34</v>
      </c>
      <c r="G319" s="1212">
        <f>131/50*C319</f>
        <v>131</v>
      </c>
      <c r="H319" s="419">
        <f>'440-булочка творожная'!J7</f>
        <v>440</v>
      </c>
      <c r="I319" s="1234">
        <f>'440-булочка творожная'!F37</f>
        <v>10.09</v>
      </c>
      <c r="J319" s="417"/>
      <c r="K319" s="417"/>
      <c r="L319" s="417"/>
      <c r="M319" s="417"/>
      <c r="N319" s="417"/>
      <c r="O319" s="417"/>
      <c r="P319" s="417"/>
      <c r="Q319" s="417"/>
      <c r="R319" s="417"/>
      <c r="S319" s="417"/>
      <c r="T319" s="417"/>
      <c r="U319" s="418">
        <f>'440-булочка творожная'!C24</f>
        <v>8.6E-3</v>
      </c>
      <c r="V319" s="417"/>
      <c r="W319" s="417"/>
      <c r="X319" s="418">
        <f>'440-булочка творожная'!C25</f>
        <v>1.3270000000000001E-2</v>
      </c>
      <c r="Y319" s="417"/>
      <c r="Z319" s="417"/>
      <c r="AA319" s="417"/>
      <c r="AB319" s="417"/>
      <c r="AC319" s="417"/>
      <c r="AD319" s="417"/>
      <c r="AE319" s="417"/>
      <c r="AF319" s="417"/>
      <c r="AG319" s="417"/>
      <c r="AH319" s="417"/>
      <c r="AI319" s="417"/>
      <c r="AJ319" s="417"/>
      <c r="AK319" s="417"/>
      <c r="AL319" s="417"/>
      <c r="AM319" s="417"/>
      <c r="AN319" s="417"/>
      <c r="AO319" s="417"/>
      <c r="AP319" s="417"/>
      <c r="AQ319" s="417"/>
      <c r="AR319" s="417"/>
      <c r="AS319" s="417"/>
      <c r="AT319" s="417"/>
      <c r="AU319" s="417"/>
      <c r="AV319" s="417"/>
      <c r="AW319" s="417"/>
      <c r="AX319" s="417"/>
      <c r="AY319" s="417"/>
      <c r="AZ319" s="417"/>
      <c r="BA319" s="417"/>
      <c r="BB319" s="417"/>
      <c r="BC319" s="417"/>
      <c r="BD319" s="417"/>
      <c r="BE319" s="417"/>
      <c r="BF319" s="417"/>
      <c r="BG319" s="417"/>
      <c r="BH319" s="417"/>
      <c r="BI319" s="417"/>
      <c r="BJ319" s="417"/>
      <c r="BK319" s="417"/>
      <c r="BL319" s="417"/>
      <c r="BM319" s="417"/>
      <c r="BN319" s="417"/>
      <c r="BO319" s="417"/>
      <c r="BP319" s="417"/>
      <c r="BQ319" s="417"/>
      <c r="BR319" s="417"/>
      <c r="BS319" s="330">
        <f>'440-булочка творожная'!C19+'440-булочка творожная'!C20</f>
        <v>3.09E-2</v>
      </c>
      <c r="BT319" s="417"/>
      <c r="BU319" s="417"/>
      <c r="BV319" s="417"/>
      <c r="BW319" s="417"/>
      <c r="BX319" s="417"/>
      <c r="BY319" s="417"/>
      <c r="BZ319" s="417"/>
      <c r="CA319" s="417"/>
      <c r="CB319" s="417"/>
      <c r="CC319" s="417"/>
      <c r="CD319" s="417"/>
      <c r="CE319" s="418">
        <f>'440-булочка творожная'!C22</f>
        <v>1E-3</v>
      </c>
      <c r="CF319" s="417"/>
      <c r="CG319" s="417"/>
      <c r="CH319" s="417"/>
      <c r="CI319" s="418">
        <f>'440-булочка творожная'!C28</f>
        <v>2.9999999999999997E-4</v>
      </c>
      <c r="CJ319" s="417"/>
      <c r="CK319" s="417"/>
      <c r="CL319" s="418">
        <f>'440-булочка творожная'!C26</f>
        <v>1.25E-3</v>
      </c>
      <c r="CM319" s="418"/>
      <c r="CN319" s="417"/>
      <c r="CO319" s="417"/>
      <c r="CP319" s="417"/>
      <c r="CQ319" s="417"/>
      <c r="CR319" s="417"/>
      <c r="CS319" s="417"/>
      <c r="CT319" s="417"/>
      <c r="CU319" s="417"/>
      <c r="CV319" s="417"/>
      <c r="CW319" s="417"/>
      <c r="CX319" s="417"/>
      <c r="CY319" s="417"/>
      <c r="CZ319" s="418">
        <f>'440-булочка творожная'!C21</f>
        <v>4.1999999999999997E-3</v>
      </c>
      <c r="DA319" s="417"/>
      <c r="DB319" s="417"/>
      <c r="DC319" s="418">
        <f>'440-булочка творожная'!C27</f>
        <v>3.0000000000000001E-3</v>
      </c>
      <c r="DD319" s="417"/>
      <c r="DE319" s="417"/>
      <c r="DF319" s="417"/>
      <c r="DG319" s="417"/>
      <c r="DH319" s="417"/>
      <c r="DI319" s="417"/>
      <c r="DJ319" s="417"/>
      <c r="DK319" s="417"/>
      <c r="DL319" s="417"/>
      <c r="DM319" s="417"/>
      <c r="DN319" s="417"/>
      <c r="DO319" s="417"/>
      <c r="DP319" s="417"/>
      <c r="DQ319" s="417"/>
      <c r="DR319" s="417"/>
      <c r="DS319" s="417"/>
      <c r="DT319" s="417"/>
      <c r="DU319" s="417"/>
      <c r="DV319" s="417"/>
      <c r="DW319" s="417"/>
      <c r="DX319" s="418">
        <f>'440-булочка творожная'!C23+'440-булочка творожная'!C29</f>
        <v>5.4999999999999997E-3</v>
      </c>
      <c r="DY319" s="330"/>
      <c r="DZ319" s="330"/>
      <c r="EA319" s="330"/>
      <c r="EB319" s="330"/>
      <c r="EC319" s="330"/>
      <c r="ED319" s="330"/>
      <c r="EE319" s="330"/>
      <c r="EF319" s="330"/>
      <c r="EG319" s="330"/>
      <c r="EH319" s="330"/>
      <c r="EI319" s="330"/>
      <c r="EJ319" s="330"/>
      <c r="EK319" s="330"/>
      <c r="EL319" s="330"/>
      <c r="EM319" s="330"/>
      <c r="EN319" s="330"/>
      <c r="EO319" s="330"/>
      <c r="EP319" s="330"/>
      <c r="EQ319" s="330"/>
      <c r="ER319" s="330"/>
      <c r="ES319" s="330"/>
      <c r="ET319" s="330"/>
      <c r="EU319" s="330"/>
      <c r="EV319" s="330"/>
      <c r="EW319" s="330"/>
      <c r="EX319" s="330"/>
      <c r="EY319" s="1032">
        <f t="shared" si="22"/>
        <v>6.8019999999999997E-2</v>
      </c>
      <c r="EZ319" s="616"/>
      <c r="FA319" s="616"/>
      <c r="FB319" s="616"/>
      <c r="FC319" s="616"/>
      <c r="FD319" s="616"/>
      <c r="FE319" s="616"/>
      <c r="FF319" s="616"/>
      <c r="FG319" s="616"/>
      <c r="FH319" s="616"/>
      <c r="FI319" s="616"/>
      <c r="FJ319" s="616"/>
    </row>
    <row r="320" spans="1:166" ht="14.7" customHeight="1" x14ac:dyDescent="0.25">
      <c r="A320" s="421">
        <v>316</v>
      </c>
      <c r="B320" s="169" t="str">
        <f>'446-кекс'!A9</f>
        <v>Кекс "Столичный" (масса 75 г)</v>
      </c>
      <c r="C320" s="419">
        <f>'446-кекс'!C32</f>
        <v>75</v>
      </c>
      <c r="D320" s="1211">
        <f>4.57/75*C320</f>
        <v>4.57</v>
      </c>
      <c r="E320" s="1211">
        <f>13.84/75*C320</f>
        <v>13.84</v>
      </c>
      <c r="F320" s="1211">
        <f>43.06/75*C320</f>
        <v>43.06</v>
      </c>
      <c r="G320" s="1212">
        <f>315/75*C320</f>
        <v>315</v>
      </c>
      <c r="H320" s="419">
        <f>'446-кекс'!J7</f>
        <v>446</v>
      </c>
      <c r="I320" s="1234">
        <f>'446-кекс'!F34</f>
        <v>24.79</v>
      </c>
      <c r="J320" s="330"/>
      <c r="K320" s="330"/>
      <c r="L320" s="330"/>
      <c r="M320" s="330"/>
      <c r="N320" s="330"/>
      <c r="O320" s="330"/>
      <c r="P320" s="330"/>
      <c r="Q320" s="330"/>
      <c r="R320" s="330"/>
      <c r="S320" s="330"/>
      <c r="T320" s="330"/>
      <c r="U320" s="330"/>
      <c r="V320" s="330">
        <f>'446-кекс'!C21/7500*75</f>
        <v>1.754E-2</v>
      </c>
      <c r="W320" s="330"/>
      <c r="X320" s="330"/>
      <c r="Y320" s="330"/>
      <c r="Z320" s="330"/>
      <c r="AA320" s="330"/>
      <c r="AB320" s="330"/>
      <c r="AC320" s="330"/>
      <c r="AD320" s="330"/>
      <c r="AE320" s="330"/>
      <c r="AF320" s="330"/>
      <c r="AG320" s="330"/>
      <c r="AH320" s="330"/>
      <c r="AI320" s="330"/>
      <c r="AJ320" s="330"/>
      <c r="AK320" s="330"/>
      <c r="AL320" s="330"/>
      <c r="AM320" s="330"/>
      <c r="AN320" s="330"/>
      <c r="AO320" s="330"/>
      <c r="AP320" s="330"/>
      <c r="AQ320" s="330"/>
      <c r="AR320" s="330"/>
      <c r="AS320" s="330"/>
      <c r="AT320" s="330"/>
      <c r="AU320" s="330"/>
      <c r="AV320" s="330"/>
      <c r="AW320" s="330"/>
      <c r="AX320" s="330"/>
      <c r="AY320" s="330"/>
      <c r="AZ320" s="330"/>
      <c r="BA320" s="330"/>
      <c r="BB320" s="330"/>
      <c r="BC320" s="330"/>
      <c r="BD320" s="330"/>
      <c r="BE320" s="330"/>
      <c r="BF320" s="330"/>
      <c r="BG320" s="330"/>
      <c r="BH320" s="330"/>
      <c r="BI320" s="330"/>
      <c r="BJ320" s="330"/>
      <c r="BK320" s="330"/>
      <c r="BL320" s="330"/>
      <c r="BM320" s="330"/>
      <c r="BN320" s="330"/>
      <c r="BO320" s="330"/>
      <c r="BP320" s="330"/>
      <c r="BQ320" s="330"/>
      <c r="BR320" s="330"/>
      <c r="BS320" s="330">
        <f>'446-кекс'!C19/7500*75</f>
        <v>2.3390000000000001E-2</v>
      </c>
      <c r="BT320" s="330"/>
      <c r="BU320" s="330"/>
      <c r="BV320" s="330"/>
      <c r="BW320" s="330"/>
      <c r="BX320" s="330"/>
      <c r="BY320" s="330"/>
      <c r="BZ320" s="330"/>
      <c r="CA320" s="330"/>
      <c r="CB320" s="330"/>
      <c r="CC320" s="330"/>
      <c r="CD320" s="330"/>
      <c r="CE320" s="330"/>
      <c r="CF320" s="330"/>
      <c r="CG320" s="330"/>
      <c r="CH320" s="330"/>
      <c r="CI320" s="330">
        <f>'446-кекс'!C26/7500*75</f>
        <v>6.9999999999999994E-5</v>
      </c>
      <c r="CJ320" s="330"/>
      <c r="CK320" s="330"/>
      <c r="CL320" s="330"/>
      <c r="CM320" s="330">
        <f>'446-кекс'!C24/7500*75</f>
        <v>1.754E-2</v>
      </c>
      <c r="CN320" s="330"/>
      <c r="CO320" s="330"/>
      <c r="CP320" s="330"/>
      <c r="CQ320" s="330"/>
      <c r="CR320" s="330"/>
      <c r="CS320" s="330"/>
      <c r="CT320" s="330"/>
      <c r="CU320" s="330"/>
      <c r="CV320" s="330"/>
      <c r="CW320" s="330"/>
      <c r="CX320" s="330"/>
      <c r="CY320" s="330"/>
      <c r="CZ320" s="330">
        <f>'446-кекс'!C20/7500*75</f>
        <v>1.755E-2</v>
      </c>
      <c r="DA320" s="330">
        <f>'446-кекс'!C25/7500*75</f>
        <v>8.1999999999999998E-4</v>
      </c>
      <c r="DB320" s="330"/>
      <c r="DC320" s="330">
        <f>'446-кекс'!C23/7500*75</f>
        <v>6.9999999999999994E-5</v>
      </c>
      <c r="DD320" s="330"/>
      <c r="DE320" s="330"/>
      <c r="DF320" s="330"/>
      <c r="DG320" s="330"/>
      <c r="DH320" s="330"/>
      <c r="DI320" s="330">
        <f>'446-кекс'!C27/7500*75</f>
        <v>6.9999999999999994E-5</v>
      </c>
      <c r="DJ320" s="330"/>
      <c r="DK320" s="330"/>
      <c r="DL320" s="330"/>
      <c r="DM320" s="330"/>
      <c r="DN320" s="330"/>
      <c r="DO320" s="330"/>
      <c r="DP320" s="330"/>
      <c r="DQ320" s="330"/>
      <c r="DR320" s="330"/>
      <c r="DS320" s="330"/>
      <c r="DT320" s="330"/>
      <c r="DU320" s="330"/>
      <c r="DV320" s="330"/>
      <c r="DW320" s="330"/>
      <c r="DX320" s="330">
        <f>'446-кекс'!C22/7500*75</f>
        <v>1.404E-2</v>
      </c>
      <c r="DY320" s="330"/>
      <c r="DZ320" s="330"/>
      <c r="EA320" s="330"/>
      <c r="EB320" s="330"/>
      <c r="EC320" s="330"/>
      <c r="ED320" s="330"/>
      <c r="EE320" s="330"/>
      <c r="EF320" s="330"/>
      <c r="EG320" s="330"/>
      <c r="EH320" s="330"/>
      <c r="EI320" s="330"/>
      <c r="EJ320" s="330"/>
      <c r="EK320" s="330"/>
      <c r="EL320" s="330"/>
      <c r="EM320" s="330"/>
      <c r="EN320" s="330"/>
      <c r="EO320" s="330"/>
      <c r="EP320" s="330"/>
      <c r="EQ320" s="330"/>
      <c r="ER320" s="330"/>
      <c r="ES320" s="330"/>
      <c r="ET320" s="330"/>
      <c r="EU320" s="330"/>
      <c r="EV320" s="330"/>
      <c r="EW320" s="330"/>
      <c r="EX320" s="330"/>
      <c r="EY320" s="1032">
        <f t="shared" si="22"/>
        <v>9.1090000000000004E-2</v>
      </c>
    </row>
    <row r="321" spans="1:166" s="497" customFormat="1" ht="14.7" customHeight="1" x14ac:dyDescent="0.25">
      <c r="A321" s="421">
        <v>317</v>
      </c>
      <c r="B321" s="417" t="str">
        <f>'456-корж'!A9</f>
        <v>Коржики молочные (масса 75 г)</v>
      </c>
      <c r="C321" s="419">
        <f>'456-корж'!C33</f>
        <v>75</v>
      </c>
      <c r="D321" s="1211">
        <f>4.89/75*C321</f>
        <v>4.8899999999999997</v>
      </c>
      <c r="E321" s="1211">
        <f>8.43/75*C321</f>
        <v>8.43</v>
      </c>
      <c r="F321" s="1211">
        <f>47.68/75*C321</f>
        <v>47.68</v>
      </c>
      <c r="G321" s="1212">
        <f>286/75*C321</f>
        <v>286</v>
      </c>
      <c r="H321" s="419">
        <f>'456-корж'!J7</f>
        <v>456</v>
      </c>
      <c r="I321" s="483">
        <f>'456-корж'!F35</f>
        <v>6.89</v>
      </c>
      <c r="J321" s="330"/>
      <c r="K321" s="330"/>
      <c r="L321" s="330"/>
      <c r="M321" s="330"/>
      <c r="N321" s="330"/>
      <c r="O321" s="330"/>
      <c r="P321" s="330"/>
      <c r="Q321" s="330"/>
      <c r="R321" s="330"/>
      <c r="S321" s="330"/>
      <c r="T321" s="330"/>
      <c r="U321" s="330">
        <f>'456-корж'!C25/'456-корж'!C34</f>
        <v>7.5500000000000003E-3</v>
      </c>
      <c r="V321" s="330"/>
      <c r="W321" s="330"/>
      <c r="X321" s="330"/>
      <c r="Y321" s="330"/>
      <c r="Z321" s="330"/>
      <c r="AA321" s="330"/>
      <c r="AB321" s="330"/>
      <c r="AC321" s="330"/>
      <c r="AD321" s="330"/>
      <c r="AE321" s="330"/>
      <c r="AF321" s="330"/>
      <c r="AG321" s="330"/>
      <c r="AH321" s="330"/>
      <c r="AI321" s="330"/>
      <c r="AJ321" s="330"/>
      <c r="AK321" s="330"/>
      <c r="AL321" s="330"/>
      <c r="AM321" s="330"/>
      <c r="AN321" s="330"/>
      <c r="AO321" s="330"/>
      <c r="AP321" s="330"/>
      <c r="AQ321" s="330"/>
      <c r="AR321" s="330"/>
      <c r="AS321" s="330"/>
      <c r="AT321" s="330"/>
      <c r="AU321" s="330"/>
      <c r="AV321" s="330"/>
      <c r="AW321" s="330"/>
      <c r="AX321" s="330"/>
      <c r="AY321" s="330"/>
      <c r="AZ321" s="330"/>
      <c r="BA321" s="330"/>
      <c r="BB321" s="330"/>
      <c r="BC321" s="330"/>
      <c r="BD321" s="330"/>
      <c r="BE321" s="330"/>
      <c r="BF321" s="330"/>
      <c r="BG321" s="330"/>
      <c r="BH321" s="330"/>
      <c r="BI321" s="330"/>
      <c r="BJ321" s="330"/>
      <c r="BK321" s="330"/>
      <c r="BL321" s="330"/>
      <c r="BM321" s="330"/>
      <c r="BN321" s="330"/>
      <c r="BO321" s="330"/>
      <c r="BP321" s="330"/>
      <c r="BQ321" s="330"/>
      <c r="BR321" s="330"/>
      <c r="BS321" s="330">
        <f>('456-корж'!C19+'456-корж'!C20)/'456-корж'!C34</f>
        <v>4.2299999999999997E-2</v>
      </c>
      <c r="BT321" s="330"/>
      <c r="BU321" s="330"/>
      <c r="BV321" s="330"/>
      <c r="BW321" s="330"/>
      <c r="BX321" s="330"/>
      <c r="BY321" s="330"/>
      <c r="BZ321" s="330"/>
      <c r="CA321" s="330"/>
      <c r="CB321" s="330"/>
      <c r="CC321" s="330"/>
      <c r="CD321" s="330"/>
      <c r="CE321" s="330">
        <f>'456-корж'!C22/'456-корж'!C34</f>
        <v>9.5999999999999992E-3</v>
      </c>
      <c r="CF321" s="330"/>
      <c r="CG321" s="330"/>
      <c r="CH321" s="330"/>
      <c r="CI321" s="333">
        <f>'456-корж'!C28/'456-корж'!C34</f>
        <v>2.0000000000000002E-5</v>
      </c>
      <c r="CJ321" s="330"/>
      <c r="CK321" s="333">
        <f>'456-корж'!C26/'456-корж'!C34</f>
        <v>1.9000000000000001E-4</v>
      </c>
      <c r="CL321" s="330"/>
      <c r="CM321" s="330"/>
      <c r="CN321" s="330"/>
      <c r="CO321" s="330"/>
      <c r="CP321" s="330"/>
      <c r="CQ321" s="330"/>
      <c r="CR321" s="330"/>
      <c r="CS321" s="330"/>
      <c r="CT321" s="330"/>
      <c r="CU321" s="330"/>
      <c r="CV321" s="330"/>
      <c r="CW321" s="330"/>
      <c r="CX321" s="330"/>
      <c r="CY321" s="330"/>
      <c r="CZ321" s="330">
        <f>'456-корж'!C21/'456-корж'!C34</f>
        <v>2.1149999999999999E-2</v>
      </c>
      <c r="DA321" s="330"/>
      <c r="DB321" s="330"/>
      <c r="DC321" s="330"/>
      <c r="DD321" s="330"/>
      <c r="DE321" s="330"/>
      <c r="DF321" s="330"/>
      <c r="DG321" s="330"/>
      <c r="DH321" s="330"/>
      <c r="DI321" s="330">
        <f>'456-корж'!C27/'456-корж'!C34</f>
        <v>3.8000000000000002E-4</v>
      </c>
      <c r="DJ321" s="330"/>
      <c r="DK321" s="330"/>
      <c r="DL321" s="330"/>
      <c r="DM321" s="330"/>
      <c r="DN321" s="330"/>
      <c r="DO321" s="330"/>
      <c r="DP321" s="330"/>
      <c r="DQ321" s="330"/>
      <c r="DR321" s="330"/>
      <c r="DS321" s="330"/>
      <c r="DT321" s="330"/>
      <c r="DU321" s="330"/>
      <c r="DV321" s="330"/>
      <c r="DW321" s="330"/>
      <c r="DX321" s="330">
        <f>('456-корж'!C23+'456-корж'!C24)/'456-корж'!C34</f>
        <v>2.1900000000000001E-3</v>
      </c>
      <c r="DY321" s="330"/>
      <c r="DZ321" s="330"/>
      <c r="EA321" s="330"/>
      <c r="EB321" s="330"/>
      <c r="EC321" s="330"/>
      <c r="ED321" s="330"/>
      <c r="EE321" s="330"/>
      <c r="EF321" s="330"/>
      <c r="EG321" s="330"/>
      <c r="EH321" s="330"/>
      <c r="EI321" s="330"/>
      <c r="EJ321" s="330"/>
      <c r="EK321" s="330"/>
      <c r="EL321" s="330"/>
      <c r="EM321" s="330"/>
      <c r="EN321" s="330"/>
      <c r="EO321" s="330"/>
      <c r="EP321" s="330"/>
      <c r="EQ321" s="330"/>
      <c r="ER321" s="330"/>
      <c r="ES321" s="330"/>
      <c r="ET321" s="330"/>
      <c r="EU321" s="330"/>
      <c r="EV321" s="330"/>
      <c r="EW321" s="330"/>
      <c r="EX321" s="330"/>
      <c r="EY321" s="1032">
        <f t="shared" si="22"/>
        <v>8.3379999999999996E-2</v>
      </c>
      <c r="EZ321" s="616"/>
      <c r="FA321" s="616"/>
      <c r="FB321" s="616"/>
      <c r="FC321" s="616"/>
      <c r="FD321" s="616"/>
      <c r="FE321" s="616"/>
      <c r="FF321" s="616"/>
      <c r="FG321" s="616"/>
      <c r="FH321" s="616"/>
      <c r="FI321" s="616"/>
      <c r="FJ321" s="616"/>
    </row>
    <row r="322" spans="1:166" ht="14.7" customHeight="1" x14ac:dyDescent="0.25">
      <c r="A322" s="421">
        <v>318</v>
      </c>
      <c r="B322" s="169" t="str">
        <f>'457-фарш мясной'!A9</f>
        <v>Фарш мясной с луком</v>
      </c>
      <c r="C322" s="419">
        <f>'457-фарш мясной'!C27</f>
        <v>1000</v>
      </c>
      <c r="D322" s="1211">
        <f>215.61/1000*C322</f>
        <v>215.61</v>
      </c>
      <c r="E322" s="1211">
        <f>105.51/1000*C322</f>
        <v>105.51</v>
      </c>
      <c r="F322" s="1211">
        <f>15.92/1000*C322</f>
        <v>15.92</v>
      </c>
      <c r="G322" s="1212">
        <f>1876/1000*C322</f>
        <v>1876</v>
      </c>
      <c r="H322" s="419">
        <f>'457-фарш мясной'!J7</f>
        <v>457</v>
      </c>
      <c r="I322" s="1234">
        <f>'457-фарш мясной'!F30</f>
        <v>968.39</v>
      </c>
      <c r="J322" s="330">
        <f>'457-фарш мясной'!C19</f>
        <v>1.7090000000000001</v>
      </c>
      <c r="K322" s="330"/>
      <c r="L322" s="330"/>
      <c r="M322" s="330"/>
      <c r="N322" s="330"/>
      <c r="O322" s="330"/>
      <c r="P322" s="330"/>
      <c r="Q322" s="330"/>
      <c r="R322" s="330"/>
      <c r="S322" s="330"/>
      <c r="T322" s="330"/>
      <c r="U322" s="330"/>
      <c r="V322" s="330"/>
      <c r="W322" s="330"/>
      <c r="X322" s="330"/>
      <c r="Y322" s="330"/>
      <c r="Z322" s="330"/>
      <c r="AA322" s="330"/>
      <c r="AB322" s="330"/>
      <c r="AC322" s="330"/>
      <c r="AD322" s="330"/>
      <c r="AE322" s="330"/>
      <c r="AF322" s="330"/>
      <c r="AG322" s="330"/>
      <c r="AH322" s="330"/>
      <c r="AI322" s="330"/>
      <c r="AJ322" s="330"/>
      <c r="AK322" s="330">
        <f>'457-фарш мясной'!C21</f>
        <v>0.11899999999999999</v>
      </c>
      <c r="AL322" s="330"/>
      <c r="AM322" s="330"/>
      <c r="AN322" s="330"/>
      <c r="AO322" s="330"/>
      <c r="AP322" s="330"/>
      <c r="AQ322" s="330"/>
      <c r="AR322" s="330"/>
      <c r="AS322" s="330"/>
      <c r="AT322" s="330"/>
      <c r="AU322" s="330"/>
      <c r="AV322" s="330"/>
      <c r="AW322" s="330"/>
      <c r="AX322" s="330"/>
      <c r="AY322" s="330"/>
      <c r="AZ322" s="330"/>
      <c r="BA322" s="330"/>
      <c r="BB322" s="330"/>
      <c r="BC322" s="330"/>
      <c r="BD322" s="330"/>
      <c r="BE322" s="330"/>
      <c r="BF322" s="330"/>
      <c r="BG322" s="330"/>
      <c r="BH322" s="330"/>
      <c r="BI322" s="330"/>
      <c r="BJ322" s="330"/>
      <c r="BK322" s="330"/>
      <c r="BL322" s="330"/>
      <c r="BM322" s="330"/>
      <c r="BN322" s="330"/>
      <c r="BO322" s="330"/>
      <c r="BP322" s="330"/>
      <c r="BQ322" s="330"/>
      <c r="BR322" s="330"/>
      <c r="BS322" s="330">
        <f>'457-фарш мясной'!C23</f>
        <v>0.01</v>
      </c>
      <c r="BT322" s="330"/>
      <c r="BU322" s="330"/>
      <c r="BV322" s="330"/>
      <c r="BW322" s="330"/>
      <c r="BX322" s="330"/>
      <c r="BY322" s="330"/>
      <c r="BZ322" s="330"/>
      <c r="CA322" s="330"/>
      <c r="CB322" s="330"/>
      <c r="CC322" s="330"/>
      <c r="CD322" s="330"/>
      <c r="CE322" s="330"/>
      <c r="CF322" s="330">
        <f>'457-фарш мясной'!C20</f>
        <v>0.04</v>
      </c>
      <c r="CG322" s="330"/>
      <c r="CH322" s="330"/>
      <c r="CI322" s="330"/>
      <c r="CJ322" s="330"/>
      <c r="CK322" s="330"/>
      <c r="CL322" s="330"/>
      <c r="CM322" s="330"/>
      <c r="CN322" s="330"/>
      <c r="CO322" s="330"/>
      <c r="CP322" s="330"/>
      <c r="CQ322" s="330"/>
      <c r="CR322" s="330"/>
      <c r="CS322" s="330"/>
      <c r="CT322" s="330"/>
      <c r="CU322" s="330"/>
      <c r="CV322" s="330"/>
      <c r="CW322" s="330"/>
      <c r="CX322" s="330"/>
      <c r="CY322" s="330"/>
      <c r="CZ322" s="330"/>
      <c r="DA322" s="330"/>
      <c r="DB322" s="330"/>
      <c r="DC322" s="330">
        <f>'457-фарш мясной'!C24</f>
        <v>0.01</v>
      </c>
      <c r="DD322" s="330"/>
      <c r="DE322" s="330"/>
      <c r="DF322" s="330"/>
      <c r="DG322" s="330"/>
      <c r="DH322" s="330"/>
      <c r="DI322" s="330"/>
      <c r="DJ322" s="330"/>
      <c r="DK322" s="330"/>
      <c r="DL322" s="330"/>
      <c r="DM322" s="330"/>
      <c r="DN322" s="330"/>
      <c r="DO322" s="330"/>
      <c r="DP322" s="330"/>
      <c r="DQ322" s="330"/>
      <c r="DR322" s="330"/>
      <c r="DS322" s="330"/>
      <c r="DT322" s="330"/>
      <c r="DU322" s="330"/>
      <c r="DV322" s="330"/>
      <c r="DW322" s="330"/>
      <c r="DX322" s="330"/>
      <c r="DY322" s="330"/>
      <c r="DZ322" s="330"/>
      <c r="EA322" s="330"/>
      <c r="EB322" s="330"/>
      <c r="EC322" s="330"/>
      <c r="ED322" s="330"/>
      <c r="EE322" s="330"/>
      <c r="EF322" s="330"/>
      <c r="EG322" s="330"/>
      <c r="EH322" s="330"/>
      <c r="EI322" s="330"/>
      <c r="EJ322" s="330"/>
      <c r="EK322" s="330"/>
      <c r="EL322" s="330"/>
      <c r="EM322" s="330"/>
      <c r="EN322" s="330"/>
      <c r="EO322" s="330"/>
      <c r="EP322" s="330"/>
      <c r="EQ322" s="330"/>
      <c r="ER322" s="330"/>
      <c r="ES322" s="330"/>
      <c r="ET322" s="330"/>
      <c r="EU322" s="330"/>
      <c r="EV322" s="330"/>
      <c r="EW322" s="330"/>
      <c r="EX322" s="330"/>
      <c r="EY322" s="1032">
        <f t="shared" si="22"/>
        <v>1.8879999999999999</v>
      </c>
    </row>
    <row r="323" spans="1:166" ht="14.7" customHeight="1" x14ac:dyDescent="0.25">
      <c r="A323" s="421">
        <v>319</v>
      </c>
      <c r="B323" s="169" t="str">
        <f>'461-фарш из капусты'!A9</f>
        <v>Фарш из свежей капусты с луком</v>
      </c>
      <c r="C323" s="419">
        <f>'461-фарш из капусты'!C29</f>
        <v>1000</v>
      </c>
      <c r="D323" s="1211">
        <f>21.07/1000*C323</f>
        <v>21.07</v>
      </c>
      <c r="E323" s="1211">
        <f>26.16/1000*C323</f>
        <v>26.16</v>
      </c>
      <c r="F323" s="1211">
        <f>65.61/1000*C323</f>
        <v>65.61</v>
      </c>
      <c r="G323" s="1212">
        <f>582/1000*C323</f>
        <v>582</v>
      </c>
      <c r="H323" s="419">
        <f>'461-фарш из капусты'!J7</f>
        <v>461</v>
      </c>
      <c r="I323" s="1234">
        <f>'461-фарш из капусты'!F32</f>
        <v>107.84</v>
      </c>
      <c r="J323" s="330"/>
      <c r="K323" s="330"/>
      <c r="L323" s="330"/>
      <c r="M323" s="330"/>
      <c r="N323" s="330"/>
      <c r="O323" s="330"/>
      <c r="P323" s="330"/>
      <c r="Q323" s="330"/>
      <c r="R323" s="330"/>
      <c r="S323" s="330"/>
      <c r="T323" s="330"/>
      <c r="U323" s="330"/>
      <c r="V323" s="330"/>
      <c r="W323" s="330"/>
      <c r="X323" s="330"/>
      <c r="Y323" s="330"/>
      <c r="Z323" s="330"/>
      <c r="AA323" s="330"/>
      <c r="AB323" s="330"/>
      <c r="AC323" s="330"/>
      <c r="AD323" s="330"/>
      <c r="AE323" s="330"/>
      <c r="AF323" s="330">
        <f>'461-фарш из капусты'!C19</f>
        <v>1.5</v>
      </c>
      <c r="AG323" s="330"/>
      <c r="AH323" s="330"/>
      <c r="AI323" s="330"/>
      <c r="AJ323" s="330"/>
      <c r="AK323" s="330">
        <f>'461-фарш из капусты'!C22</f>
        <v>0.23799999999999999</v>
      </c>
      <c r="AL323" s="330"/>
      <c r="AM323" s="330"/>
      <c r="AN323" s="330"/>
      <c r="AO323" s="330"/>
      <c r="AP323" s="330"/>
      <c r="AQ323" s="330"/>
      <c r="AR323" s="330"/>
      <c r="AS323" s="330"/>
      <c r="AT323" s="330"/>
      <c r="AU323" s="330">
        <f>'461-фарш из капусты'!C25</f>
        <v>1.4E-2</v>
      </c>
      <c r="AV323" s="330"/>
      <c r="AW323" s="330"/>
      <c r="AX323" s="330"/>
      <c r="AY323" s="330"/>
      <c r="AZ323" s="330"/>
      <c r="BA323" s="330"/>
      <c r="BB323" s="330"/>
      <c r="BC323" s="330"/>
      <c r="BD323" s="330"/>
      <c r="BE323" s="330"/>
      <c r="BF323" s="330"/>
      <c r="BG323" s="330"/>
      <c r="BH323" s="330"/>
      <c r="BI323" s="330"/>
      <c r="BJ323" s="330"/>
      <c r="BK323" s="330"/>
      <c r="BL323" s="330"/>
      <c r="BM323" s="330"/>
      <c r="BN323" s="330"/>
      <c r="BO323" s="330"/>
      <c r="BP323" s="330"/>
      <c r="BQ323" s="330"/>
      <c r="BR323" s="330"/>
      <c r="BS323" s="330"/>
      <c r="BT323" s="330"/>
      <c r="BU323" s="330"/>
      <c r="BV323" s="330"/>
      <c r="BW323" s="330"/>
      <c r="BX323" s="330"/>
      <c r="BY323" s="330"/>
      <c r="BZ323" s="330"/>
      <c r="CA323" s="330"/>
      <c r="CB323" s="330"/>
      <c r="CC323" s="330"/>
      <c r="CD323" s="330"/>
      <c r="CE323" s="330"/>
      <c r="CF323" s="330">
        <f>'461-фарш из капусты'!C23+'461-фарш из капусты'!C20</f>
        <v>0.1</v>
      </c>
      <c r="CG323" s="330"/>
      <c r="CH323" s="330"/>
      <c r="CI323" s="330"/>
      <c r="CJ323" s="330"/>
      <c r="CK323" s="330"/>
      <c r="CL323" s="330"/>
      <c r="CM323" s="330"/>
      <c r="CN323" s="330"/>
      <c r="CO323" s="330"/>
      <c r="CP323" s="330"/>
      <c r="CQ323" s="330"/>
      <c r="CR323" s="330"/>
      <c r="CS323" s="330"/>
      <c r="CT323" s="330"/>
      <c r="CU323" s="330"/>
      <c r="CV323" s="330"/>
      <c r="CW323" s="330"/>
      <c r="CX323" s="330"/>
      <c r="CY323" s="330"/>
      <c r="CZ323" s="330"/>
      <c r="DA323" s="330"/>
      <c r="DB323" s="330"/>
      <c r="DC323" s="330">
        <f>'461-фарш из капусты'!C26</f>
        <v>0.01</v>
      </c>
      <c r="DD323" s="330"/>
      <c r="DE323" s="330"/>
      <c r="DF323" s="330"/>
      <c r="DG323" s="330"/>
      <c r="DH323" s="330"/>
      <c r="DI323" s="330"/>
      <c r="DJ323" s="330"/>
      <c r="DK323" s="330"/>
      <c r="DL323" s="330"/>
      <c r="DM323" s="330"/>
      <c r="DN323" s="330"/>
      <c r="DO323" s="330"/>
      <c r="DP323" s="330"/>
      <c r="DQ323" s="330"/>
      <c r="DR323" s="330"/>
      <c r="DS323" s="330"/>
      <c r="DT323" s="330"/>
      <c r="DU323" s="330"/>
      <c r="DV323" s="330"/>
      <c r="DW323" s="330"/>
      <c r="DX323" s="330"/>
      <c r="DY323" s="330"/>
      <c r="DZ323" s="330"/>
      <c r="EA323" s="330"/>
      <c r="EB323" s="330"/>
      <c r="EC323" s="330"/>
      <c r="ED323" s="330"/>
      <c r="EE323" s="330"/>
      <c r="EF323" s="330"/>
      <c r="EG323" s="330"/>
      <c r="EH323" s="330"/>
      <c r="EI323" s="330"/>
      <c r="EJ323" s="330"/>
      <c r="EK323" s="330"/>
      <c r="EL323" s="330"/>
      <c r="EM323" s="330"/>
      <c r="EN323" s="330"/>
      <c r="EO323" s="330"/>
      <c r="EP323" s="330"/>
      <c r="EQ323" s="330"/>
      <c r="ER323" s="330"/>
      <c r="ES323" s="330"/>
      <c r="ET323" s="330"/>
      <c r="EU323" s="330"/>
      <c r="EV323" s="330"/>
      <c r="EW323" s="330"/>
      <c r="EX323" s="330"/>
      <c r="EY323" s="1032">
        <f t="shared" si="22"/>
        <v>1.8620000000000001</v>
      </c>
    </row>
    <row r="324" spans="1:166" ht="14.7" customHeight="1" x14ac:dyDescent="0.25">
      <c r="A324" s="421">
        <v>320</v>
      </c>
      <c r="B324" s="169" t="str">
        <f>'467-фарш картоф'!A9</f>
        <v>Фарш картофельный с луком</v>
      </c>
      <c r="C324" s="419">
        <f>'467-фарш картоф'!C26</f>
        <v>1000</v>
      </c>
      <c r="D324" s="1211">
        <f>21.03/1000*C324</f>
        <v>21.03</v>
      </c>
      <c r="E324" s="1211">
        <f>40.48/1000*C324</f>
        <v>40.479999999999997</v>
      </c>
      <c r="F324" s="1211">
        <f>164.11/1000*C324</f>
        <v>164.11</v>
      </c>
      <c r="G324" s="1212">
        <f>1105/1000*C324</f>
        <v>1105</v>
      </c>
      <c r="H324" s="419">
        <f>'467-фарш картоф'!J7</f>
        <v>467</v>
      </c>
      <c r="I324" s="1234">
        <f>'467-фарш картоф'!F29</f>
        <v>80.989999999999995</v>
      </c>
      <c r="J324" s="330"/>
      <c r="K324" s="330"/>
      <c r="L324" s="330"/>
      <c r="M324" s="330"/>
      <c r="N324" s="330"/>
      <c r="O324" s="330"/>
      <c r="P324" s="330"/>
      <c r="Q324" s="330"/>
      <c r="R324" s="330"/>
      <c r="S324" s="330"/>
      <c r="T324" s="330"/>
      <c r="U324" s="330"/>
      <c r="V324" s="330"/>
      <c r="W324" s="330"/>
      <c r="X324" s="330"/>
      <c r="Y324" s="330"/>
      <c r="Z324" s="330"/>
      <c r="AA324" s="330"/>
      <c r="AB324" s="330"/>
      <c r="AC324" s="330"/>
      <c r="AD324" s="330"/>
      <c r="AE324" s="330"/>
      <c r="AF324" s="330"/>
      <c r="AG324" s="330"/>
      <c r="AH324" s="330">
        <f>'467-фарш картоф'!C19</f>
        <v>1.2090000000000001</v>
      </c>
      <c r="AI324" s="330"/>
      <c r="AJ324" s="330"/>
      <c r="AK324" s="330">
        <f>'467-фарш картоф'!C20</f>
        <v>0.31</v>
      </c>
      <c r="AL324" s="330"/>
      <c r="AM324" s="330"/>
      <c r="AN324" s="330"/>
      <c r="AO324" s="330"/>
      <c r="AP324" s="330"/>
      <c r="AQ324" s="330"/>
      <c r="AR324" s="330"/>
      <c r="AS324" s="330"/>
      <c r="AT324" s="330"/>
      <c r="AU324" s="330"/>
      <c r="AV324" s="330"/>
      <c r="AW324" s="330"/>
      <c r="AX324" s="330"/>
      <c r="AY324" s="330"/>
      <c r="AZ324" s="330"/>
      <c r="BA324" s="330"/>
      <c r="BB324" s="330"/>
      <c r="BC324" s="330"/>
      <c r="BD324" s="330"/>
      <c r="BE324" s="330"/>
      <c r="BF324" s="330"/>
      <c r="BG324" s="330"/>
      <c r="BH324" s="330"/>
      <c r="BI324" s="330"/>
      <c r="BJ324" s="330"/>
      <c r="BK324" s="330"/>
      <c r="BL324" s="330"/>
      <c r="BM324" s="330"/>
      <c r="BN324" s="330"/>
      <c r="BO324" s="330"/>
      <c r="BP324" s="330"/>
      <c r="BQ324" s="330"/>
      <c r="BR324" s="330"/>
      <c r="BS324" s="330"/>
      <c r="BT324" s="330"/>
      <c r="BU324" s="330"/>
      <c r="BV324" s="330"/>
      <c r="BW324" s="330"/>
      <c r="BX324" s="330"/>
      <c r="BY324" s="330"/>
      <c r="BZ324" s="330"/>
      <c r="CA324" s="330"/>
      <c r="CB324" s="330"/>
      <c r="CC324" s="330"/>
      <c r="CD324" s="330"/>
      <c r="CE324" s="330"/>
      <c r="CF324" s="330">
        <f>'467-фарш картоф'!C21</f>
        <v>0.04</v>
      </c>
      <c r="CG324" s="330"/>
      <c r="CH324" s="330"/>
      <c r="CI324" s="330"/>
      <c r="CJ324" s="330"/>
      <c r="CK324" s="330"/>
      <c r="CL324" s="330"/>
      <c r="CM324" s="330"/>
      <c r="CN324" s="330"/>
      <c r="CO324" s="330"/>
      <c r="CP324" s="330"/>
      <c r="CQ324" s="330"/>
      <c r="CR324" s="330"/>
      <c r="CS324" s="330"/>
      <c r="CT324" s="330"/>
      <c r="CU324" s="330"/>
      <c r="CV324" s="330"/>
      <c r="CW324" s="330"/>
      <c r="CX324" s="330"/>
      <c r="CY324" s="330"/>
      <c r="CZ324" s="330"/>
      <c r="DA324" s="330"/>
      <c r="DB324" s="330"/>
      <c r="DC324" s="330">
        <f>'467-фарш картоф'!C23</f>
        <v>0.01</v>
      </c>
      <c r="DD324" s="330"/>
      <c r="DE324" s="330"/>
      <c r="DF324" s="330"/>
      <c r="DG324" s="330"/>
      <c r="DH324" s="330"/>
      <c r="DI324" s="330"/>
      <c r="DJ324" s="330"/>
      <c r="DK324" s="330"/>
      <c r="DL324" s="330"/>
      <c r="DM324" s="330"/>
      <c r="DN324" s="330"/>
      <c r="DO324" s="330"/>
      <c r="DP324" s="330"/>
      <c r="DQ324" s="330"/>
      <c r="DR324" s="330"/>
      <c r="DS324" s="330"/>
      <c r="DT324" s="330"/>
      <c r="DU324" s="330"/>
      <c r="DV324" s="330"/>
      <c r="DW324" s="330"/>
      <c r="DX324" s="330"/>
      <c r="DY324" s="330"/>
      <c r="DZ324" s="330"/>
      <c r="EA324" s="330"/>
      <c r="EB324" s="330"/>
      <c r="EC324" s="330"/>
      <c r="ED324" s="330"/>
      <c r="EE324" s="330"/>
      <c r="EF324" s="330"/>
      <c r="EG324" s="330"/>
      <c r="EH324" s="330"/>
      <c r="EI324" s="330"/>
      <c r="EJ324" s="330"/>
      <c r="EK324" s="330"/>
      <c r="EL324" s="330"/>
      <c r="EM324" s="330"/>
      <c r="EN324" s="330"/>
      <c r="EO324" s="330"/>
      <c r="EP324" s="330"/>
      <c r="EQ324" s="330"/>
      <c r="ER324" s="330"/>
      <c r="ES324" s="330"/>
      <c r="ET324" s="330"/>
      <c r="EU324" s="330"/>
      <c r="EV324" s="330"/>
      <c r="EW324" s="330"/>
      <c r="EX324" s="330"/>
      <c r="EY324" s="1032">
        <f t="shared" si="22"/>
        <v>1.569</v>
      </c>
    </row>
    <row r="325" spans="1:166" ht="14.7" customHeight="1" x14ac:dyDescent="0.25">
      <c r="A325" s="421">
        <v>321</v>
      </c>
      <c r="B325" s="169" t="str">
        <f>'468-фарш творож'!A9</f>
        <v>Фарш творожный (для ватрушек, пирожков и вареников)</v>
      </c>
      <c r="C325" s="419">
        <f>'468-фарш творож'!C26</f>
        <v>1000</v>
      </c>
      <c r="D325" s="1211">
        <f>170.68/1000*C325</f>
        <v>170.68</v>
      </c>
      <c r="E325" s="1211">
        <f>86.66/1000*C325</f>
        <v>86.66</v>
      </c>
      <c r="F325" s="1211">
        <f>102.66/1000*C325</f>
        <v>102.66</v>
      </c>
      <c r="G325" s="1212">
        <f>1873/1000*C325</f>
        <v>1873</v>
      </c>
      <c r="H325" s="419">
        <f>'468-фарш творож'!J7</f>
        <v>468</v>
      </c>
      <c r="I325" s="1234">
        <f>'468-фарш творож'!F29</f>
        <v>334.49</v>
      </c>
      <c r="J325" s="330"/>
      <c r="K325" s="330"/>
      <c r="L325" s="330"/>
      <c r="M325" s="330"/>
      <c r="N325" s="330"/>
      <c r="O325" s="330"/>
      <c r="P325" s="330"/>
      <c r="Q325" s="330"/>
      <c r="R325" s="330"/>
      <c r="S325" s="330"/>
      <c r="T325" s="330"/>
      <c r="U325" s="330"/>
      <c r="V325" s="330"/>
      <c r="W325" s="330"/>
      <c r="X325" s="330">
        <f>'468-фарш творож'!C19</f>
        <v>0.91500000000000004</v>
      </c>
      <c r="Y325" s="330"/>
      <c r="Z325" s="330"/>
      <c r="AA325" s="330"/>
      <c r="AB325" s="330"/>
      <c r="AC325" s="330"/>
      <c r="AD325" s="330"/>
      <c r="AE325" s="330">
        <f>'468-фарш творож'!C20</f>
        <v>4.5999999999999999E-2</v>
      </c>
      <c r="AF325" s="330"/>
      <c r="AG325" s="330"/>
      <c r="AH325" s="330"/>
      <c r="AI325" s="330"/>
      <c r="AJ325" s="330"/>
      <c r="AK325" s="330"/>
      <c r="AL325" s="330"/>
      <c r="AM325" s="330"/>
      <c r="AN325" s="330"/>
      <c r="AO325" s="330"/>
      <c r="AP325" s="330"/>
      <c r="AQ325" s="330"/>
      <c r="AR325" s="330"/>
      <c r="AS325" s="330"/>
      <c r="AT325" s="330"/>
      <c r="AU325" s="330"/>
      <c r="AV325" s="330"/>
      <c r="AW325" s="330"/>
      <c r="AX325" s="330"/>
      <c r="AY325" s="330"/>
      <c r="AZ325" s="330"/>
      <c r="BA325" s="330"/>
      <c r="BB325" s="330"/>
      <c r="BC325" s="330"/>
      <c r="BD325" s="330"/>
      <c r="BE325" s="330"/>
      <c r="BF325" s="330"/>
      <c r="BG325" s="330"/>
      <c r="BH325" s="330"/>
      <c r="BI325" s="330"/>
      <c r="BJ325" s="330"/>
      <c r="BK325" s="330"/>
      <c r="BL325" s="330"/>
      <c r="BM325" s="330"/>
      <c r="BN325" s="330"/>
      <c r="BO325" s="330"/>
      <c r="BP325" s="330"/>
      <c r="BQ325" s="330"/>
      <c r="BR325" s="330"/>
      <c r="BS325" s="330">
        <f>'468-фарш творож'!C22</f>
        <v>0.04</v>
      </c>
      <c r="BT325" s="330"/>
      <c r="BU325" s="330"/>
      <c r="BV325" s="330"/>
      <c r="BW325" s="330"/>
      <c r="BX325" s="330"/>
      <c r="BY325" s="330"/>
      <c r="BZ325" s="330"/>
      <c r="CA325" s="330"/>
      <c r="CB325" s="330"/>
      <c r="CC325" s="330"/>
      <c r="CD325" s="330"/>
      <c r="CE325" s="330"/>
      <c r="CF325" s="330"/>
      <c r="CG325" s="330"/>
      <c r="CH325" s="330"/>
      <c r="CI325" s="330">
        <f>'468-фарш творож'!C23</f>
        <v>4.0000000000000002E-4</v>
      </c>
      <c r="CJ325" s="330"/>
      <c r="CK325" s="330"/>
      <c r="CL325" s="330"/>
      <c r="CM325" s="330"/>
      <c r="CN325" s="330"/>
      <c r="CO325" s="330"/>
      <c r="CP325" s="330"/>
      <c r="CQ325" s="330"/>
      <c r="CR325" s="330"/>
      <c r="CS325" s="330"/>
      <c r="CT325" s="330"/>
      <c r="CU325" s="330"/>
      <c r="CV325" s="330"/>
      <c r="CW325" s="330"/>
      <c r="CX325" s="330"/>
      <c r="CY325" s="330"/>
      <c r="CZ325" s="330">
        <f>'468-фарш творож'!C21</f>
        <v>0.05</v>
      </c>
      <c r="DA325" s="330"/>
      <c r="DB325" s="330"/>
      <c r="DC325" s="330"/>
      <c r="DD325" s="330"/>
      <c r="DE325" s="330"/>
      <c r="DF325" s="330"/>
      <c r="DG325" s="330"/>
      <c r="DH325" s="330"/>
      <c r="DI325" s="330"/>
      <c r="DJ325" s="330"/>
      <c r="DK325" s="330"/>
      <c r="DL325" s="330"/>
      <c r="DM325" s="330"/>
      <c r="DN325" s="330"/>
      <c r="DO325" s="330"/>
      <c r="DP325" s="330"/>
      <c r="DQ325" s="330"/>
      <c r="DR325" s="330"/>
      <c r="DS325" s="330"/>
      <c r="DT325" s="330"/>
      <c r="DU325" s="330"/>
      <c r="DV325" s="330"/>
      <c r="DW325" s="330"/>
      <c r="DX325" s="330"/>
      <c r="DY325" s="330"/>
      <c r="DZ325" s="330"/>
      <c r="EA325" s="330"/>
      <c r="EB325" s="330"/>
      <c r="EC325" s="330"/>
      <c r="ED325" s="330"/>
      <c r="EE325" s="330"/>
      <c r="EF325" s="330"/>
      <c r="EG325" s="330"/>
      <c r="EH325" s="330"/>
      <c r="EI325" s="330"/>
      <c r="EJ325" s="330"/>
      <c r="EK325" s="330"/>
      <c r="EL325" s="330"/>
      <c r="EM325" s="330"/>
      <c r="EN325" s="330"/>
      <c r="EO325" s="330"/>
      <c r="EP325" s="330"/>
      <c r="EQ325" s="330"/>
      <c r="ER325" s="330"/>
      <c r="ES325" s="330"/>
      <c r="ET325" s="330"/>
      <c r="EU325" s="330"/>
      <c r="EV325" s="330"/>
      <c r="EW325" s="330"/>
      <c r="EX325" s="330"/>
      <c r="EY325" s="1032">
        <f t="shared" si="22"/>
        <v>1.0513999999999999</v>
      </c>
    </row>
    <row r="326" spans="1:166" s="851" customFormat="1" ht="14.7" customHeight="1" x14ac:dyDescent="0.25">
      <c r="A326" s="421">
        <v>322</v>
      </c>
      <c r="B326" s="417" t="str">
        <f>'каша дружба 54-16к-2020'!A9</f>
        <v>Каша молочная "Дружба"</v>
      </c>
      <c r="C326" s="419">
        <f>'каша дружба 54-16к-2020'!C29</f>
        <v>250</v>
      </c>
      <c r="D326" s="1211">
        <f>5.1/200*C326</f>
        <v>6.38</v>
      </c>
      <c r="E326" s="1211">
        <f>10.9/200*C326</f>
        <v>13.63</v>
      </c>
      <c r="F326" s="1211">
        <f>25/200*C326</f>
        <v>31.25</v>
      </c>
      <c r="G326" s="1212">
        <f>216.6/200*C326</f>
        <v>271</v>
      </c>
      <c r="H326" s="1327" t="str">
        <f>'каша дружба 54-16к-2020'!J7</f>
        <v>54-16к-2020</v>
      </c>
      <c r="I326" s="1234">
        <f>'каша дружба 54-16к-2020'!F31</f>
        <v>17.52</v>
      </c>
      <c r="J326" s="891"/>
      <c r="K326" s="891"/>
      <c r="L326" s="891"/>
      <c r="M326" s="891"/>
      <c r="N326" s="891"/>
      <c r="O326" s="891"/>
      <c r="P326" s="891"/>
      <c r="Q326" s="891"/>
      <c r="R326" s="891"/>
      <c r="S326" s="891"/>
      <c r="T326" s="330"/>
      <c r="U326" s="330">
        <f>'каша дружба 54-16к-2020'!C22</f>
        <v>0.128</v>
      </c>
      <c r="V326" s="330">
        <f>'каша дружба 54-16к-2020'!C21</f>
        <v>6.0000000000000001E-3</v>
      </c>
      <c r="W326" s="330"/>
      <c r="X326" s="330"/>
      <c r="Y326" s="330"/>
      <c r="Z326" s="330"/>
      <c r="AA326" s="330"/>
      <c r="AB326" s="330"/>
      <c r="AC326" s="330"/>
      <c r="AD326" s="330"/>
      <c r="AE326" s="330"/>
      <c r="AF326" s="330"/>
      <c r="AG326" s="330"/>
      <c r="AH326" s="330"/>
      <c r="AI326" s="330"/>
      <c r="AJ326" s="330"/>
      <c r="AK326" s="330"/>
      <c r="AL326" s="330"/>
      <c r="AM326" s="330"/>
      <c r="AN326" s="330"/>
      <c r="AO326" s="330"/>
      <c r="AP326" s="330"/>
      <c r="AQ326" s="330"/>
      <c r="AR326" s="330"/>
      <c r="AS326" s="330"/>
      <c r="AT326" s="330"/>
      <c r="AU326" s="330"/>
      <c r="AV326" s="330"/>
      <c r="AW326" s="330"/>
      <c r="AX326" s="330"/>
      <c r="AY326" s="330"/>
      <c r="AZ326" s="330"/>
      <c r="BA326" s="330"/>
      <c r="BB326" s="330"/>
      <c r="BC326" s="330"/>
      <c r="BD326" s="330"/>
      <c r="BE326" s="330"/>
      <c r="BF326" s="330"/>
      <c r="BG326" s="330"/>
      <c r="BH326" s="330"/>
      <c r="BI326" s="330"/>
      <c r="BJ326" s="330"/>
      <c r="BK326" s="330"/>
      <c r="BL326" s="330"/>
      <c r="BM326" s="330"/>
      <c r="BN326" s="330"/>
      <c r="BO326" s="330"/>
      <c r="BP326" s="330"/>
      <c r="BQ326" s="330"/>
      <c r="BR326" s="330"/>
      <c r="BS326" s="330"/>
      <c r="BT326" s="330"/>
      <c r="BU326" s="330"/>
      <c r="BV326" s="330"/>
      <c r="BW326" s="330"/>
      <c r="BX326" s="330"/>
      <c r="BY326" s="330"/>
      <c r="BZ326" s="330"/>
      <c r="CA326" s="330">
        <f>'каша дружба 54-16к-2020'!C20</f>
        <v>1.4E-2</v>
      </c>
      <c r="CB326" s="330">
        <f>'каша дружба 54-16к-2020'!C19</f>
        <v>1.9E-2</v>
      </c>
      <c r="CC326" s="330"/>
      <c r="CD326" s="330"/>
      <c r="CE326" s="330"/>
      <c r="CF326" s="330"/>
      <c r="CG326" s="330"/>
      <c r="CH326" s="330"/>
      <c r="CI326" s="330"/>
      <c r="CJ326" s="330"/>
      <c r="CK326" s="330"/>
      <c r="CL326" s="330"/>
      <c r="CM326" s="330"/>
      <c r="CN326" s="330"/>
      <c r="CO326" s="330"/>
      <c r="CP326" s="330"/>
      <c r="CQ326" s="330"/>
      <c r="CR326" s="330"/>
      <c r="CS326" s="330"/>
      <c r="CT326" s="330"/>
      <c r="CU326" s="330"/>
      <c r="CV326" s="330"/>
      <c r="CW326" s="330"/>
      <c r="CX326" s="330"/>
      <c r="CY326" s="330"/>
      <c r="CZ326" s="330">
        <f>'каша дружба 54-16к-2020'!C24</f>
        <v>4.0000000000000001E-3</v>
      </c>
      <c r="DA326" s="330"/>
      <c r="DB326" s="330"/>
      <c r="DC326" s="330">
        <f>'каша дружба 54-16к-2020'!C25</f>
        <v>1E-3</v>
      </c>
      <c r="DD326" s="330"/>
      <c r="DE326" s="330"/>
      <c r="DF326" s="330"/>
      <c r="DG326" s="330"/>
      <c r="DH326" s="330"/>
      <c r="DI326" s="330"/>
      <c r="DJ326" s="330"/>
      <c r="DK326" s="330"/>
      <c r="DL326" s="330"/>
      <c r="DM326" s="330"/>
      <c r="DN326" s="330"/>
      <c r="DO326" s="330"/>
      <c r="DP326" s="330"/>
      <c r="DQ326" s="330"/>
      <c r="DR326" s="330"/>
      <c r="DS326" s="330"/>
      <c r="DT326" s="330"/>
      <c r="DU326" s="330"/>
      <c r="DV326" s="330"/>
      <c r="DW326" s="330"/>
      <c r="DX326" s="330"/>
      <c r="DY326" s="330"/>
      <c r="DZ326" s="330"/>
      <c r="EA326" s="330"/>
      <c r="EB326" s="330"/>
      <c r="EC326" s="330"/>
      <c r="ED326" s="330"/>
      <c r="EE326" s="330"/>
      <c r="EF326" s="330"/>
      <c r="EG326" s="330"/>
      <c r="EH326" s="330"/>
      <c r="EI326" s="330"/>
      <c r="EJ326" s="330"/>
      <c r="EK326" s="330"/>
      <c r="EL326" s="330"/>
      <c r="EM326" s="330"/>
      <c r="EN326" s="330"/>
      <c r="EO326" s="330"/>
      <c r="EP326" s="330"/>
      <c r="EQ326" s="330"/>
      <c r="ER326" s="330"/>
      <c r="ES326" s="330"/>
      <c r="ET326" s="330"/>
      <c r="EU326" s="330"/>
      <c r="EV326" s="330"/>
      <c r="EW326" s="330"/>
      <c r="EX326" s="330"/>
      <c r="EY326" s="1032">
        <f t="shared" si="22"/>
        <v>0.17199999999999999</v>
      </c>
      <c r="EZ326" s="616"/>
      <c r="FA326" s="616"/>
      <c r="FB326" s="616"/>
      <c r="FC326" s="616"/>
      <c r="FD326" s="616"/>
      <c r="FE326" s="616"/>
      <c r="FF326" s="616"/>
      <c r="FG326" s="616"/>
      <c r="FH326" s="616"/>
      <c r="FI326" s="616"/>
      <c r="FJ326" s="616"/>
    </row>
    <row r="327" spans="1:166" s="905" customFormat="1" ht="14.7" customHeight="1" x14ac:dyDescent="0.25">
      <c r="A327" s="421">
        <v>323</v>
      </c>
      <c r="B327" s="417" t="str">
        <f>'54-11р-рыба тушен. минтай филе'!A9</f>
        <v>Рыба минтай (филе), тушенная в томате с овощами</v>
      </c>
      <c r="C327" s="419">
        <f>'54-11р-рыба тушен. минтай филе'!C34</f>
        <v>140</v>
      </c>
      <c r="D327" s="1211">
        <f>19.4/140*C327</f>
        <v>19.399999999999999</v>
      </c>
      <c r="E327" s="1211">
        <f>10/140*C327</f>
        <v>10</v>
      </c>
      <c r="F327" s="1211">
        <f>9/140*C327</f>
        <v>9</v>
      </c>
      <c r="G327" s="1212">
        <f>204/140*C327</f>
        <v>204</v>
      </c>
      <c r="H327" s="1328" t="str">
        <f>'54-11р-рыба тушен. минтай филе'!I7</f>
        <v>54-11р-2020</v>
      </c>
      <c r="I327" s="1234">
        <f>'54-11р-рыба тушен. минтай филе'!F36</f>
        <v>62.5</v>
      </c>
      <c r="J327" s="891"/>
      <c r="K327" s="891"/>
      <c r="L327" s="891"/>
      <c r="M327" s="891"/>
      <c r="N327" s="891"/>
      <c r="O327" s="891"/>
      <c r="P327" s="891"/>
      <c r="Q327" s="891"/>
      <c r="R327" s="891"/>
      <c r="S327" s="891">
        <f>'54-11р-рыба тушен. минтай филе'!C19</f>
        <v>0.15820000000000001</v>
      </c>
      <c r="T327" s="330"/>
      <c r="U327" s="330"/>
      <c r="V327" s="330"/>
      <c r="W327" s="330"/>
      <c r="X327" s="330"/>
      <c r="Y327" s="330"/>
      <c r="Z327" s="330"/>
      <c r="AA327" s="330"/>
      <c r="AB327" s="330"/>
      <c r="AC327" s="330"/>
      <c r="AD327" s="330"/>
      <c r="AE327" s="330"/>
      <c r="AF327" s="330"/>
      <c r="AG327" s="330"/>
      <c r="AH327" s="330"/>
      <c r="AI327" s="330"/>
      <c r="AJ327" s="330"/>
      <c r="AK327" s="330">
        <f>'54-11р-рыба тушен. минтай филе'!C23</f>
        <v>2.3800000000000002E-2</v>
      </c>
      <c r="AL327" s="330"/>
      <c r="AM327" s="330"/>
      <c r="AN327" s="330"/>
      <c r="AO327" s="330"/>
      <c r="AP327" s="330"/>
      <c r="AQ327" s="330">
        <f>'54-11р-рыба тушен. минтай филе'!C21</f>
        <v>4.48E-2</v>
      </c>
      <c r="AR327" s="330"/>
      <c r="AS327" s="330"/>
      <c r="AT327" s="330">
        <f>'54-11р-рыба тушен. минтай филе'!C22</f>
        <v>7.0000000000000001E-3</v>
      </c>
      <c r="AU327" s="330"/>
      <c r="AV327" s="330"/>
      <c r="AW327" s="330"/>
      <c r="AX327" s="330"/>
      <c r="AY327" s="330"/>
      <c r="AZ327" s="330"/>
      <c r="BA327" s="330"/>
      <c r="BB327" s="330"/>
      <c r="BC327" s="330"/>
      <c r="BD327" s="330"/>
      <c r="BE327" s="330"/>
      <c r="BF327" s="330"/>
      <c r="BG327" s="330"/>
      <c r="BH327" s="330"/>
      <c r="BI327" s="330"/>
      <c r="BJ327" s="330"/>
      <c r="BK327" s="330"/>
      <c r="BL327" s="330"/>
      <c r="BM327" s="330"/>
      <c r="BN327" s="330"/>
      <c r="BO327" s="330"/>
      <c r="BP327" s="330"/>
      <c r="BQ327" s="330"/>
      <c r="BR327" s="330"/>
      <c r="BS327" s="330"/>
      <c r="BT327" s="330"/>
      <c r="BU327" s="330"/>
      <c r="BV327" s="330"/>
      <c r="BW327" s="330"/>
      <c r="BX327" s="330"/>
      <c r="BY327" s="330"/>
      <c r="BZ327" s="330"/>
      <c r="CA327" s="330"/>
      <c r="CB327" s="330"/>
      <c r="CC327" s="330"/>
      <c r="CD327" s="330"/>
      <c r="CE327" s="330"/>
      <c r="CF327" s="330">
        <f>'54-11р-рыба тушен. минтай филе'!C25</f>
        <v>1.06E-2</v>
      </c>
      <c r="CG327" s="330"/>
      <c r="CH327" s="330"/>
      <c r="CI327" s="330"/>
      <c r="CJ327" s="330"/>
      <c r="CK327" s="330"/>
      <c r="CL327" s="330"/>
      <c r="CM327" s="330"/>
      <c r="CN327" s="330"/>
      <c r="CO327" s="330"/>
      <c r="CP327" s="330"/>
      <c r="CQ327" s="330"/>
      <c r="CR327" s="330"/>
      <c r="CS327" s="330"/>
      <c r="CT327" s="330"/>
      <c r="CU327" s="330"/>
      <c r="CV327" s="330"/>
      <c r="CW327" s="330"/>
      <c r="CX327" s="330"/>
      <c r="CY327" s="330"/>
      <c r="CZ327" s="330">
        <f>'54-11р-рыба тушен. минтай филе'!C26</f>
        <v>3.5999999999999999E-3</v>
      </c>
      <c r="DA327" s="330"/>
      <c r="DB327" s="330"/>
      <c r="DC327" s="330">
        <f>'54-11р-рыба тушен. минтай филе'!C27</f>
        <v>4.0000000000000002E-4</v>
      </c>
      <c r="DD327" s="330"/>
      <c r="DE327" s="330"/>
      <c r="DF327" s="330">
        <f>'54-11р-рыба тушен. минтай филе'!C24</f>
        <v>1.26E-2</v>
      </c>
      <c r="DG327" s="330"/>
      <c r="DH327" s="330"/>
      <c r="DI327" s="330"/>
      <c r="DJ327" s="330"/>
      <c r="DK327" s="330"/>
      <c r="DL327" s="330"/>
      <c r="DM327" s="330"/>
      <c r="DN327" s="330"/>
      <c r="DO327" s="330"/>
      <c r="DP327" s="330"/>
      <c r="DQ327" s="330"/>
      <c r="DR327" s="330"/>
      <c r="DS327" s="330"/>
      <c r="DT327" s="330"/>
      <c r="DU327" s="330"/>
      <c r="DV327" s="330"/>
      <c r="DW327" s="330"/>
      <c r="DX327" s="330"/>
      <c r="DY327" s="330"/>
      <c r="DZ327" s="330"/>
      <c r="EA327" s="330"/>
      <c r="EB327" s="330"/>
      <c r="EC327" s="330"/>
      <c r="ED327" s="330"/>
      <c r="EE327" s="330"/>
      <c r="EF327" s="330"/>
      <c r="EG327" s="330"/>
      <c r="EH327" s="330"/>
      <c r="EI327" s="330"/>
      <c r="EJ327" s="330"/>
      <c r="EK327" s="330"/>
      <c r="EL327" s="330"/>
      <c r="EM327" s="330"/>
      <c r="EN327" s="330"/>
      <c r="EO327" s="330"/>
      <c r="EP327" s="330"/>
      <c r="EQ327" s="330"/>
      <c r="ER327" s="330"/>
      <c r="ES327" s="330"/>
      <c r="ET327" s="330"/>
      <c r="EU327" s="330"/>
      <c r="EV327" s="330"/>
      <c r="EW327" s="330"/>
      <c r="EX327" s="330"/>
      <c r="EY327" s="1032">
        <f t="shared" si="22"/>
        <v>0.26100000000000001</v>
      </c>
      <c r="EZ327" s="616"/>
      <c r="FA327" s="616"/>
      <c r="FB327" s="616"/>
      <c r="FC327" s="616"/>
      <c r="FD327" s="616"/>
      <c r="FE327" s="616"/>
      <c r="FF327" s="616"/>
      <c r="FG327" s="616"/>
      <c r="FH327" s="616"/>
      <c r="FI327" s="616"/>
      <c r="FJ327" s="616"/>
    </row>
    <row r="328" spans="1:166" s="905" customFormat="1" ht="14.7" customHeight="1" x14ac:dyDescent="0.25">
      <c r="A328" s="421">
        <v>324</v>
      </c>
      <c r="B328" s="417" t="str">
        <f>'соус томатный 462'!A9</f>
        <v>Соус томатный с овощами</v>
      </c>
      <c r="C328" s="419">
        <f>'соус томатный 462'!C32</f>
        <v>30</v>
      </c>
      <c r="D328" s="684">
        <v>0.4</v>
      </c>
      <c r="E328" s="684">
        <v>1.2</v>
      </c>
      <c r="F328" s="684">
        <v>2.2000000000000002</v>
      </c>
      <c r="G328" s="437">
        <v>22</v>
      </c>
      <c r="H328" s="1329">
        <f>'соус томатный 462'!J7</f>
        <v>463</v>
      </c>
      <c r="I328" s="1234">
        <f>'соус томатный 462'!F34</f>
        <v>5.08</v>
      </c>
      <c r="J328" s="891"/>
      <c r="K328" s="891"/>
      <c r="L328" s="891"/>
      <c r="M328" s="891"/>
      <c r="N328" s="891"/>
      <c r="O328" s="891"/>
      <c r="P328" s="891"/>
      <c r="Q328" s="891"/>
      <c r="R328" s="891"/>
      <c r="S328" s="891"/>
      <c r="T328" s="330"/>
      <c r="U328" s="330"/>
      <c r="V328" s="330">
        <f>'соус томатный 462'!C20/'соус томатный 462'!C31*'соус томатный 462'!C32</f>
        <v>1.5E-3</v>
      </c>
      <c r="W328" s="330"/>
      <c r="X328" s="330"/>
      <c r="Y328" s="330"/>
      <c r="Z328" s="330"/>
      <c r="AA328" s="330"/>
      <c r="AB328" s="330"/>
      <c r="AC328" s="330"/>
      <c r="AD328" s="330"/>
      <c r="AE328" s="330"/>
      <c r="AF328" s="330"/>
      <c r="AG328" s="330"/>
      <c r="AH328" s="330"/>
      <c r="AI328" s="330"/>
      <c r="AJ328" s="330"/>
      <c r="AK328" s="330">
        <f>'соус томатный 462'!C23/'соус томатный 462'!C31*'соус томатный 462'!C32</f>
        <v>1.4400000000000001E-3</v>
      </c>
      <c r="AL328" s="330"/>
      <c r="AM328" s="330"/>
      <c r="AN328" s="330"/>
      <c r="AO328" s="330"/>
      <c r="AP328" s="330"/>
      <c r="AQ328" s="330">
        <f>'соус томатный 462'!C22/'соус томатный 462'!C31*'соус томатный 462'!C32</f>
        <v>1.5E-3</v>
      </c>
      <c r="AR328" s="330"/>
      <c r="AS328" s="330"/>
      <c r="AT328" s="330">
        <f>'соус томатный 462'!C24/'соус томатный 462'!C31*'соус томатный 462'!C32</f>
        <v>1.1999999999999999E-3</v>
      </c>
      <c r="AU328" s="330"/>
      <c r="AV328" s="330"/>
      <c r="AW328" s="330"/>
      <c r="AX328" s="330"/>
      <c r="AY328" s="330"/>
      <c r="AZ328" s="330"/>
      <c r="BA328" s="330"/>
      <c r="BB328" s="330"/>
      <c r="BC328" s="330"/>
      <c r="BD328" s="330"/>
      <c r="BE328" s="330"/>
      <c r="BF328" s="330"/>
      <c r="BG328" s="330"/>
      <c r="BH328" s="330"/>
      <c r="BI328" s="330"/>
      <c r="BJ328" s="330"/>
      <c r="BK328" s="330"/>
      <c r="BL328" s="330"/>
      <c r="BM328" s="330"/>
      <c r="BN328" s="330"/>
      <c r="BO328" s="330"/>
      <c r="BP328" s="330"/>
      <c r="BQ328" s="330"/>
      <c r="BR328" s="330"/>
      <c r="BS328" s="330">
        <f>'соус томатный 462'!C21/'соус томатный 462'!C31*'соус томатный 462'!C32</f>
        <v>7.5000000000000002E-4</v>
      </c>
      <c r="BT328" s="330"/>
      <c r="BU328" s="330"/>
      <c r="BV328" s="330"/>
      <c r="BW328" s="330"/>
      <c r="BX328" s="330"/>
      <c r="BY328" s="330"/>
      <c r="BZ328" s="330"/>
      <c r="CA328" s="330"/>
      <c r="CB328" s="330"/>
      <c r="CC328" s="330"/>
      <c r="CD328" s="330"/>
      <c r="CE328" s="330"/>
      <c r="CF328" s="330"/>
      <c r="CG328" s="330"/>
      <c r="CH328" s="330"/>
      <c r="CI328" s="330"/>
      <c r="CJ328" s="330"/>
      <c r="CK328" s="330"/>
      <c r="CL328" s="330"/>
      <c r="CM328" s="330"/>
      <c r="CN328" s="330"/>
      <c r="CO328" s="330"/>
      <c r="CP328" s="330"/>
      <c r="CQ328" s="330"/>
      <c r="CR328" s="330"/>
      <c r="CS328" s="255">
        <f>'соус томатный 462'!C28/'соус томатный 462'!C31*'соус томатный 462'!C32</f>
        <v>9.9999999999999995E-7</v>
      </c>
      <c r="CT328" s="330"/>
      <c r="CU328" s="330"/>
      <c r="CV328" s="330"/>
      <c r="CW328" s="330"/>
      <c r="CX328" s="330"/>
      <c r="CY328" s="330"/>
      <c r="CZ328" s="330">
        <f>'соус томатный 462'!C26/'соус томатный 462'!C31*'соус томатный 462'!C32</f>
        <v>2.9999999999999997E-4</v>
      </c>
      <c r="DA328" s="330"/>
      <c r="DB328" s="330"/>
      <c r="DC328" s="330">
        <f>'соус томатный 462'!C27/'соус томатный 462'!C31*'соус томатный 462'!C32</f>
        <v>2.4000000000000001E-4</v>
      </c>
      <c r="DD328" s="330"/>
      <c r="DE328" s="330"/>
      <c r="DF328" s="330">
        <f>'соус томатный 462'!C25/'соус томатный 462'!C31*'соус томатный 462'!C32</f>
        <v>1.4999999999999999E-2</v>
      </c>
      <c r="DG328" s="330"/>
      <c r="DH328" s="330"/>
      <c r="DI328" s="330"/>
      <c r="DJ328" s="330"/>
      <c r="DK328" s="330"/>
      <c r="DL328" s="330"/>
      <c r="DM328" s="330"/>
      <c r="DN328" s="330"/>
      <c r="DO328" s="330"/>
      <c r="DP328" s="330"/>
      <c r="DQ328" s="330"/>
      <c r="DR328" s="330"/>
      <c r="DS328" s="330"/>
      <c r="DT328" s="330"/>
      <c r="DU328" s="330"/>
      <c r="DV328" s="330"/>
      <c r="DW328" s="330"/>
      <c r="DX328" s="330"/>
      <c r="DY328" s="330"/>
      <c r="DZ328" s="330"/>
      <c r="EA328" s="330"/>
      <c r="EB328" s="330"/>
      <c r="EC328" s="330"/>
      <c r="ED328" s="330"/>
      <c r="EE328" s="330"/>
      <c r="EF328" s="330"/>
      <c r="EG328" s="330"/>
      <c r="EH328" s="330"/>
      <c r="EI328" s="330"/>
      <c r="EJ328" s="330"/>
      <c r="EK328" s="330"/>
      <c r="EL328" s="330"/>
      <c r="EM328" s="330"/>
      <c r="EN328" s="330"/>
      <c r="EO328" s="330"/>
      <c r="EP328" s="330"/>
      <c r="EQ328" s="330"/>
      <c r="ER328" s="330"/>
      <c r="ES328" s="330"/>
      <c r="ET328" s="330"/>
      <c r="EU328" s="330"/>
      <c r="EV328" s="330"/>
      <c r="EW328" s="330"/>
      <c r="EX328" s="330"/>
      <c r="EY328" s="1032">
        <f t="shared" si="22"/>
        <v>2.1930999999999999E-2</v>
      </c>
      <c r="EZ328" s="616"/>
      <c r="FA328" s="616"/>
      <c r="FB328" s="616"/>
      <c r="FC328" s="616"/>
      <c r="FD328" s="616"/>
      <c r="FE328" s="616"/>
      <c r="FF328" s="616"/>
      <c r="FG328" s="616"/>
      <c r="FH328" s="616"/>
      <c r="FI328" s="616"/>
      <c r="FJ328" s="616"/>
    </row>
    <row r="329" spans="1:166" ht="14.7" customHeight="1" x14ac:dyDescent="0.25">
      <c r="A329" s="421">
        <v>325</v>
      </c>
      <c r="B329" s="602" t="str">
        <f>цены!D157</f>
        <v>Хлеб пшеничный нарезной</v>
      </c>
      <c r="C329" s="419">
        <v>70</v>
      </c>
      <c r="D329" s="1211">
        <f>10.7/100*C329</f>
        <v>7.49</v>
      </c>
      <c r="E329" s="1211">
        <f>4.5/100*C329</f>
        <v>3.15</v>
      </c>
      <c r="F329" s="1211">
        <f>43.5/100*C329</f>
        <v>30.45</v>
      </c>
      <c r="G329" s="1212">
        <f>274/100*C329</f>
        <v>192</v>
      </c>
      <c r="H329" s="419" t="s">
        <v>1170</v>
      </c>
      <c r="I329" s="1234">
        <f>цены!F157/1000*C329</f>
        <v>4.55</v>
      </c>
      <c r="J329" s="334"/>
      <c r="K329" s="334"/>
      <c r="L329" s="334"/>
      <c r="M329" s="334"/>
      <c r="N329" s="334"/>
      <c r="O329" s="334"/>
      <c r="P329" s="334"/>
      <c r="Q329" s="334"/>
      <c r="R329" s="334"/>
      <c r="S329" s="334"/>
      <c r="T329" s="330"/>
      <c r="U329" s="330"/>
      <c r="V329" s="330"/>
      <c r="W329" s="330"/>
      <c r="X329" s="330"/>
      <c r="Y329" s="330"/>
      <c r="Z329" s="330"/>
      <c r="AA329" s="330"/>
      <c r="AB329" s="330"/>
      <c r="AC329" s="330"/>
      <c r="AD329" s="330"/>
      <c r="AE329" s="330"/>
      <c r="AF329" s="330"/>
      <c r="AG329" s="330"/>
      <c r="AH329" s="330"/>
      <c r="AI329" s="330"/>
      <c r="AJ329" s="330"/>
      <c r="AK329" s="330"/>
      <c r="AL329" s="330"/>
      <c r="AM329" s="330"/>
      <c r="AN329" s="330"/>
      <c r="AO329" s="330"/>
      <c r="AP329" s="330"/>
      <c r="AQ329" s="330"/>
      <c r="AR329" s="330"/>
      <c r="AS329" s="330"/>
      <c r="AT329" s="330"/>
      <c r="AU329" s="330"/>
      <c r="AV329" s="330"/>
      <c r="AW329" s="330"/>
      <c r="AX329" s="330"/>
      <c r="AY329" s="330"/>
      <c r="AZ329" s="330"/>
      <c r="BA329" s="330"/>
      <c r="BB329" s="330"/>
      <c r="BC329" s="330"/>
      <c r="BD329" s="330"/>
      <c r="BE329" s="330"/>
      <c r="BF329" s="330"/>
      <c r="BG329" s="330"/>
      <c r="BH329" s="330"/>
      <c r="BI329" s="330"/>
      <c r="BJ329" s="330"/>
      <c r="BK329" s="330"/>
      <c r="BL329" s="330"/>
      <c r="BM329" s="330"/>
      <c r="BN329" s="330"/>
      <c r="BO329" s="330"/>
      <c r="BP329" s="330"/>
      <c r="BQ329" s="330"/>
      <c r="BR329" s="330"/>
      <c r="BS329" s="330"/>
      <c r="BT329" s="330"/>
      <c r="BU329" s="330"/>
      <c r="BV329" s="330"/>
      <c r="BW329" s="330"/>
      <c r="BX329" s="330"/>
      <c r="BY329" s="330"/>
      <c r="BZ329" s="330"/>
      <c r="CA329" s="330"/>
      <c r="CB329" s="330"/>
      <c r="CC329" s="330"/>
      <c r="CD329" s="330"/>
      <c r="CE329" s="330"/>
      <c r="CF329" s="330"/>
      <c r="CG329" s="330"/>
      <c r="CH329" s="330"/>
      <c r="CI329" s="330"/>
      <c r="CJ329" s="330"/>
      <c r="CK329" s="330"/>
      <c r="CL329" s="330"/>
      <c r="CM329" s="330"/>
      <c r="CN329" s="330"/>
      <c r="CO329" s="330"/>
      <c r="CP329" s="330"/>
      <c r="CQ329" s="330"/>
      <c r="CR329" s="330"/>
      <c r="CS329" s="330"/>
      <c r="CT329" s="330"/>
      <c r="CU329" s="330"/>
      <c r="CV329" s="330"/>
      <c r="CW329" s="330"/>
      <c r="CX329" s="330"/>
      <c r="CY329" s="330"/>
      <c r="CZ329" s="330"/>
      <c r="DA329" s="330"/>
      <c r="DB329" s="330"/>
      <c r="DC329" s="330"/>
      <c r="DD329" s="330"/>
      <c r="DE329" s="330"/>
      <c r="DF329" s="330"/>
      <c r="DG329" s="330"/>
      <c r="DH329" s="330"/>
      <c r="DI329" s="330"/>
      <c r="DJ329" s="330"/>
      <c r="DK329" s="330"/>
      <c r="DL329" s="330"/>
      <c r="DM329" s="330"/>
      <c r="DN329" s="330"/>
      <c r="DO329" s="330"/>
      <c r="DP329" s="330"/>
      <c r="DQ329" s="330"/>
      <c r="DR329" s="330"/>
      <c r="DS329" s="330"/>
      <c r="DT329" s="330"/>
      <c r="DU329" s="330"/>
      <c r="DV329" s="330"/>
      <c r="DW329" s="330"/>
      <c r="DX329" s="330"/>
      <c r="DY329" s="330"/>
      <c r="DZ329" s="330"/>
      <c r="EA329" s="330"/>
      <c r="EB329" s="330"/>
      <c r="EC329" s="330"/>
      <c r="ED329" s="330"/>
      <c r="EE329" s="330"/>
      <c r="EF329" s="330"/>
      <c r="EG329" s="330"/>
      <c r="EH329" s="330"/>
      <c r="EI329" s="330"/>
      <c r="EJ329" s="330"/>
      <c r="EK329" s="330"/>
      <c r="EL329" s="330"/>
      <c r="EM329" s="330"/>
      <c r="EN329" s="330"/>
      <c r="EO329" s="330"/>
      <c r="EP329" s="330"/>
      <c r="EQ329" s="330"/>
      <c r="ER329" s="330"/>
      <c r="ES329" s="330"/>
      <c r="ET329" s="330"/>
      <c r="EU329" s="330"/>
      <c r="EV329" s="330">
        <f>C329/1000</f>
        <v>7.0000000000000007E-2</v>
      </c>
      <c r="EW329" s="330"/>
      <c r="EX329" s="330"/>
      <c r="EY329" s="1032">
        <f t="shared" si="22"/>
        <v>7.0000000000000007E-2</v>
      </c>
    </row>
    <row r="330" spans="1:166" ht="14.7" customHeight="1" x14ac:dyDescent="0.25">
      <c r="A330" s="421">
        <v>326</v>
      </c>
      <c r="B330" s="602" t="str">
        <f>цены!D157</f>
        <v>Хлеб пшеничный нарезной</v>
      </c>
      <c r="C330" s="419">
        <v>50</v>
      </c>
      <c r="D330" s="1211">
        <f>10.7/100*C330</f>
        <v>5.35</v>
      </c>
      <c r="E330" s="1211">
        <f>4.5/100*C330</f>
        <v>2.25</v>
      </c>
      <c r="F330" s="1211">
        <f>43.5/100*C330</f>
        <v>21.75</v>
      </c>
      <c r="G330" s="1212">
        <f>274/100*C330</f>
        <v>137</v>
      </c>
      <c r="H330" s="419" t="s">
        <v>1170</v>
      </c>
      <c r="I330" s="1234">
        <f>цены!F157/1000*C330</f>
        <v>3.25</v>
      </c>
      <c r="J330" s="330"/>
      <c r="K330" s="330"/>
      <c r="L330" s="330"/>
      <c r="M330" s="330"/>
      <c r="N330" s="330"/>
      <c r="O330" s="330"/>
      <c r="P330" s="330"/>
      <c r="Q330" s="330"/>
      <c r="R330" s="330"/>
      <c r="S330" s="330"/>
      <c r="T330" s="330"/>
      <c r="U330" s="330"/>
      <c r="V330" s="330"/>
      <c r="W330" s="330"/>
      <c r="X330" s="330"/>
      <c r="Y330" s="330"/>
      <c r="Z330" s="330"/>
      <c r="AA330" s="330"/>
      <c r="AB330" s="330"/>
      <c r="AC330" s="330"/>
      <c r="AD330" s="330"/>
      <c r="AE330" s="330"/>
      <c r="AF330" s="330"/>
      <c r="AG330" s="330"/>
      <c r="AH330" s="330"/>
      <c r="AI330" s="330"/>
      <c r="AJ330" s="330"/>
      <c r="AK330" s="330"/>
      <c r="AL330" s="330"/>
      <c r="AM330" s="330"/>
      <c r="AN330" s="330"/>
      <c r="AO330" s="330"/>
      <c r="AP330" s="330"/>
      <c r="AQ330" s="330"/>
      <c r="AR330" s="330"/>
      <c r="AS330" s="330"/>
      <c r="AT330" s="330"/>
      <c r="AU330" s="330"/>
      <c r="AV330" s="330"/>
      <c r="AW330" s="330"/>
      <c r="AX330" s="330"/>
      <c r="AY330" s="330"/>
      <c r="AZ330" s="330"/>
      <c r="BA330" s="330"/>
      <c r="BB330" s="330"/>
      <c r="BC330" s="330"/>
      <c r="BD330" s="330"/>
      <c r="BE330" s="330"/>
      <c r="BF330" s="330"/>
      <c r="BG330" s="330"/>
      <c r="BH330" s="330"/>
      <c r="BI330" s="330"/>
      <c r="BJ330" s="330"/>
      <c r="BK330" s="330"/>
      <c r="BL330" s="330"/>
      <c r="BM330" s="330"/>
      <c r="BN330" s="330"/>
      <c r="BO330" s="330"/>
      <c r="BP330" s="330"/>
      <c r="BQ330" s="330"/>
      <c r="BR330" s="330"/>
      <c r="BS330" s="330"/>
      <c r="BT330" s="330"/>
      <c r="BU330" s="330"/>
      <c r="BV330" s="330"/>
      <c r="BW330" s="330"/>
      <c r="BX330" s="330"/>
      <c r="BY330" s="330"/>
      <c r="BZ330" s="330"/>
      <c r="CA330" s="330"/>
      <c r="CB330" s="330"/>
      <c r="CC330" s="330"/>
      <c r="CD330" s="330"/>
      <c r="CE330" s="330"/>
      <c r="CF330" s="330"/>
      <c r="CG330" s="330"/>
      <c r="CH330" s="330"/>
      <c r="CI330" s="330"/>
      <c r="CJ330" s="330"/>
      <c r="CK330" s="330"/>
      <c r="CL330" s="330"/>
      <c r="CM330" s="330"/>
      <c r="CN330" s="330"/>
      <c r="CO330" s="330"/>
      <c r="CP330" s="330"/>
      <c r="CQ330" s="330"/>
      <c r="CR330" s="330"/>
      <c r="CS330" s="330"/>
      <c r="CT330" s="330"/>
      <c r="CU330" s="330"/>
      <c r="CV330" s="330"/>
      <c r="CW330" s="330"/>
      <c r="CX330" s="330"/>
      <c r="CY330" s="330"/>
      <c r="CZ330" s="330"/>
      <c r="DA330" s="330"/>
      <c r="DB330" s="330"/>
      <c r="DC330" s="330"/>
      <c r="DD330" s="330"/>
      <c r="DE330" s="330"/>
      <c r="DF330" s="330"/>
      <c r="DG330" s="330"/>
      <c r="DH330" s="330"/>
      <c r="DI330" s="330"/>
      <c r="DJ330" s="330"/>
      <c r="DK330" s="330"/>
      <c r="DL330" s="330"/>
      <c r="DM330" s="330"/>
      <c r="DN330" s="330"/>
      <c r="DO330" s="330"/>
      <c r="DP330" s="330"/>
      <c r="DQ330" s="330"/>
      <c r="DR330" s="330"/>
      <c r="DS330" s="330"/>
      <c r="DT330" s="330"/>
      <c r="DU330" s="330"/>
      <c r="DV330" s="330"/>
      <c r="DW330" s="330"/>
      <c r="DX330" s="330"/>
      <c r="DY330" s="330"/>
      <c r="DZ330" s="330"/>
      <c r="EA330" s="330"/>
      <c r="EB330" s="330"/>
      <c r="EC330" s="330"/>
      <c r="ED330" s="330"/>
      <c r="EE330" s="330"/>
      <c r="EF330" s="330"/>
      <c r="EG330" s="330"/>
      <c r="EH330" s="330"/>
      <c r="EI330" s="330"/>
      <c r="EJ330" s="330"/>
      <c r="EK330" s="330"/>
      <c r="EL330" s="330"/>
      <c r="EM330" s="330"/>
      <c r="EN330" s="330"/>
      <c r="EO330" s="330"/>
      <c r="EP330" s="330"/>
      <c r="EQ330" s="330"/>
      <c r="ER330" s="330"/>
      <c r="ES330" s="330"/>
      <c r="ET330" s="330"/>
      <c r="EU330" s="330"/>
      <c r="EV330" s="330">
        <f>C330/1000</f>
        <v>0.05</v>
      </c>
      <c r="EW330" s="330"/>
      <c r="EX330" s="330"/>
      <c r="EY330" s="1032">
        <f t="shared" si="22"/>
        <v>0.05</v>
      </c>
    </row>
    <row r="331" spans="1:166" ht="14.7" customHeight="1" x14ac:dyDescent="0.25">
      <c r="A331" s="421">
        <v>327</v>
      </c>
      <c r="B331" s="602" t="str">
        <f>цены!D157</f>
        <v>Хлеб пшеничный нарезной</v>
      </c>
      <c r="C331" s="419">
        <v>40</v>
      </c>
      <c r="D331" s="1211">
        <f>10.7/100*C331</f>
        <v>4.28</v>
      </c>
      <c r="E331" s="1211">
        <f>4.5/100*C331</f>
        <v>1.8</v>
      </c>
      <c r="F331" s="1211">
        <f>43.5/100*C331</f>
        <v>17.399999999999999</v>
      </c>
      <c r="G331" s="1212">
        <f>274/100*C331</f>
        <v>110</v>
      </c>
      <c r="H331" s="419" t="s">
        <v>1170</v>
      </c>
      <c r="I331" s="1234">
        <f>цены!F157/1000*C331</f>
        <v>2.6</v>
      </c>
      <c r="J331" s="330"/>
      <c r="K331" s="330"/>
      <c r="L331" s="330"/>
      <c r="M331" s="330"/>
      <c r="N331" s="330"/>
      <c r="O331" s="330"/>
      <c r="P331" s="330"/>
      <c r="Q331" s="330"/>
      <c r="R331" s="330"/>
      <c r="S331" s="330"/>
      <c r="T331" s="330"/>
      <c r="U331" s="330"/>
      <c r="V331" s="330"/>
      <c r="W331" s="330"/>
      <c r="X331" s="330"/>
      <c r="Y331" s="330"/>
      <c r="Z331" s="330"/>
      <c r="AA331" s="330"/>
      <c r="AB331" s="330"/>
      <c r="AC331" s="330"/>
      <c r="AD331" s="330"/>
      <c r="AE331" s="330"/>
      <c r="AF331" s="330"/>
      <c r="AG331" s="330"/>
      <c r="AH331" s="330"/>
      <c r="AI331" s="330"/>
      <c r="AJ331" s="330"/>
      <c r="AK331" s="330"/>
      <c r="AL331" s="330"/>
      <c r="AM331" s="330"/>
      <c r="AN331" s="330"/>
      <c r="AO331" s="330"/>
      <c r="AP331" s="330"/>
      <c r="AQ331" s="330"/>
      <c r="AR331" s="330"/>
      <c r="AS331" s="330"/>
      <c r="AT331" s="330"/>
      <c r="AU331" s="330"/>
      <c r="AV331" s="330"/>
      <c r="AW331" s="330"/>
      <c r="AX331" s="330"/>
      <c r="AY331" s="330"/>
      <c r="AZ331" s="330"/>
      <c r="BA331" s="330"/>
      <c r="BB331" s="330"/>
      <c r="BC331" s="330"/>
      <c r="BD331" s="330"/>
      <c r="BE331" s="330"/>
      <c r="BF331" s="330"/>
      <c r="BG331" s="330"/>
      <c r="BH331" s="330"/>
      <c r="BI331" s="330"/>
      <c r="BJ331" s="330"/>
      <c r="BK331" s="330"/>
      <c r="BL331" s="330"/>
      <c r="BM331" s="330"/>
      <c r="BN331" s="330"/>
      <c r="BO331" s="330"/>
      <c r="BP331" s="330"/>
      <c r="BQ331" s="330"/>
      <c r="BR331" s="330"/>
      <c r="BS331" s="330"/>
      <c r="BT331" s="330"/>
      <c r="BU331" s="330"/>
      <c r="BV331" s="330"/>
      <c r="BW331" s="330"/>
      <c r="BX331" s="330"/>
      <c r="BY331" s="330"/>
      <c r="BZ331" s="330"/>
      <c r="CA331" s="330"/>
      <c r="CB331" s="330"/>
      <c r="CC331" s="330"/>
      <c r="CD331" s="330"/>
      <c r="CE331" s="330"/>
      <c r="CF331" s="330"/>
      <c r="CG331" s="330"/>
      <c r="CH331" s="330"/>
      <c r="CI331" s="330"/>
      <c r="CJ331" s="330"/>
      <c r="CK331" s="330"/>
      <c r="CL331" s="330"/>
      <c r="CM331" s="330"/>
      <c r="CN331" s="330"/>
      <c r="CO331" s="330"/>
      <c r="CP331" s="330"/>
      <c r="CQ331" s="330"/>
      <c r="CR331" s="330"/>
      <c r="CS331" s="330"/>
      <c r="CT331" s="330"/>
      <c r="CU331" s="330"/>
      <c r="CV331" s="330"/>
      <c r="CW331" s="330"/>
      <c r="CX331" s="330"/>
      <c r="CY331" s="330"/>
      <c r="CZ331" s="330"/>
      <c r="DA331" s="330"/>
      <c r="DB331" s="330"/>
      <c r="DC331" s="330"/>
      <c r="DD331" s="330"/>
      <c r="DE331" s="330"/>
      <c r="DF331" s="330"/>
      <c r="DG331" s="330"/>
      <c r="DH331" s="330"/>
      <c r="DI331" s="330"/>
      <c r="DJ331" s="330"/>
      <c r="DK331" s="330"/>
      <c r="DL331" s="330"/>
      <c r="DM331" s="330"/>
      <c r="DN331" s="330"/>
      <c r="DO331" s="330"/>
      <c r="DP331" s="330"/>
      <c r="DQ331" s="330"/>
      <c r="DR331" s="330"/>
      <c r="DS331" s="330"/>
      <c r="DT331" s="330"/>
      <c r="DU331" s="330"/>
      <c r="DV331" s="330"/>
      <c r="DW331" s="330"/>
      <c r="DX331" s="330"/>
      <c r="DY331" s="330"/>
      <c r="DZ331" s="330"/>
      <c r="EA331" s="330"/>
      <c r="EB331" s="330"/>
      <c r="EC331" s="330"/>
      <c r="ED331" s="330"/>
      <c r="EE331" s="330"/>
      <c r="EF331" s="330"/>
      <c r="EG331" s="330"/>
      <c r="EH331" s="330"/>
      <c r="EI331" s="330"/>
      <c r="EJ331" s="330"/>
      <c r="EK331" s="330"/>
      <c r="EL331" s="330"/>
      <c r="EM331" s="330"/>
      <c r="EN331" s="330"/>
      <c r="EO331" s="330"/>
      <c r="EP331" s="330"/>
      <c r="EQ331" s="330"/>
      <c r="ER331" s="330"/>
      <c r="ES331" s="330"/>
      <c r="ET331" s="330"/>
      <c r="EU331" s="330"/>
      <c r="EV331" s="330">
        <f>C331/1000</f>
        <v>0.04</v>
      </c>
      <c r="EW331" s="330"/>
      <c r="EX331" s="330"/>
      <c r="EY331" s="1032">
        <f t="shared" si="22"/>
        <v>0.04</v>
      </c>
    </row>
    <row r="332" spans="1:166" ht="14.7" customHeight="1" x14ac:dyDescent="0.25">
      <c r="A332" s="421">
        <v>328</v>
      </c>
      <c r="B332" s="602" t="str">
        <f>цены!D157</f>
        <v>Хлеб пшеничный нарезной</v>
      </c>
      <c r="C332" s="419">
        <v>30</v>
      </c>
      <c r="D332" s="1211">
        <f>10.7/100*C332</f>
        <v>3.21</v>
      </c>
      <c r="E332" s="1211">
        <f>4.5/100*C332</f>
        <v>1.35</v>
      </c>
      <c r="F332" s="1211">
        <f>43.5/100*C332</f>
        <v>13.05</v>
      </c>
      <c r="G332" s="1212">
        <f>274/100*C332</f>
        <v>82</v>
      </c>
      <c r="H332" s="419" t="s">
        <v>1170</v>
      </c>
      <c r="I332" s="1234">
        <f>цены!F157/1000*C332</f>
        <v>1.95</v>
      </c>
      <c r="J332" s="330"/>
      <c r="K332" s="330"/>
      <c r="L332" s="330"/>
      <c r="M332" s="330"/>
      <c r="N332" s="330"/>
      <c r="O332" s="330"/>
      <c r="P332" s="330"/>
      <c r="Q332" s="330"/>
      <c r="R332" s="330"/>
      <c r="S332" s="330"/>
      <c r="T332" s="330"/>
      <c r="U332" s="330"/>
      <c r="V332" s="330"/>
      <c r="W332" s="330"/>
      <c r="X332" s="330"/>
      <c r="Y332" s="330"/>
      <c r="Z332" s="330"/>
      <c r="AA332" s="330"/>
      <c r="AB332" s="330"/>
      <c r="AC332" s="330"/>
      <c r="AD332" s="330"/>
      <c r="AE332" s="330"/>
      <c r="AF332" s="330"/>
      <c r="AG332" s="330"/>
      <c r="AH332" s="330"/>
      <c r="AI332" s="330"/>
      <c r="AJ332" s="330"/>
      <c r="AK332" s="330"/>
      <c r="AL332" s="330"/>
      <c r="AM332" s="330"/>
      <c r="AN332" s="330"/>
      <c r="AO332" s="330"/>
      <c r="AP332" s="330"/>
      <c r="AQ332" s="330"/>
      <c r="AR332" s="330"/>
      <c r="AS332" s="330"/>
      <c r="AT332" s="330"/>
      <c r="AU332" s="330"/>
      <c r="AV332" s="330"/>
      <c r="AW332" s="330"/>
      <c r="AX332" s="330"/>
      <c r="AY332" s="330"/>
      <c r="AZ332" s="330"/>
      <c r="BA332" s="330"/>
      <c r="BB332" s="330"/>
      <c r="BC332" s="330"/>
      <c r="BD332" s="330"/>
      <c r="BE332" s="330"/>
      <c r="BF332" s="330"/>
      <c r="BG332" s="330"/>
      <c r="BH332" s="330"/>
      <c r="BI332" s="330"/>
      <c r="BJ332" s="330"/>
      <c r="BK332" s="330"/>
      <c r="BL332" s="330"/>
      <c r="BM332" s="330"/>
      <c r="BN332" s="330"/>
      <c r="BO332" s="330"/>
      <c r="BP332" s="330"/>
      <c r="BQ332" s="330"/>
      <c r="BR332" s="330"/>
      <c r="BS332" s="330"/>
      <c r="BT332" s="330"/>
      <c r="BU332" s="330"/>
      <c r="BV332" s="330"/>
      <c r="BW332" s="330"/>
      <c r="BX332" s="330"/>
      <c r="BY332" s="330"/>
      <c r="BZ332" s="330"/>
      <c r="CA332" s="330"/>
      <c r="CB332" s="330"/>
      <c r="CC332" s="330"/>
      <c r="CD332" s="330"/>
      <c r="CE332" s="330"/>
      <c r="CF332" s="330"/>
      <c r="CG332" s="330"/>
      <c r="CH332" s="330"/>
      <c r="CI332" s="330"/>
      <c r="CJ332" s="330"/>
      <c r="CK332" s="330"/>
      <c r="CL332" s="330"/>
      <c r="CM332" s="330"/>
      <c r="CN332" s="330"/>
      <c r="CO332" s="330"/>
      <c r="CP332" s="330"/>
      <c r="CQ332" s="330"/>
      <c r="CR332" s="330"/>
      <c r="CS332" s="330"/>
      <c r="CT332" s="330"/>
      <c r="CU332" s="330"/>
      <c r="CV332" s="330"/>
      <c r="CW332" s="330"/>
      <c r="CX332" s="330"/>
      <c r="CY332" s="330"/>
      <c r="CZ332" s="330"/>
      <c r="DA332" s="330"/>
      <c r="DB332" s="330"/>
      <c r="DC332" s="330"/>
      <c r="DD332" s="330"/>
      <c r="DE332" s="330"/>
      <c r="DF332" s="330"/>
      <c r="DG332" s="330"/>
      <c r="DH332" s="330"/>
      <c r="DI332" s="330"/>
      <c r="DJ332" s="330"/>
      <c r="DK332" s="330"/>
      <c r="DL332" s="330"/>
      <c r="DM332" s="330"/>
      <c r="DN332" s="330"/>
      <c r="DO332" s="330"/>
      <c r="DP332" s="330"/>
      <c r="DQ332" s="330"/>
      <c r="DR332" s="330"/>
      <c r="DS332" s="330"/>
      <c r="DT332" s="330"/>
      <c r="DU332" s="330"/>
      <c r="DV332" s="330"/>
      <c r="DW332" s="330"/>
      <c r="DX332" s="330"/>
      <c r="DY332" s="330"/>
      <c r="DZ332" s="330"/>
      <c r="EA332" s="330"/>
      <c r="EB332" s="330"/>
      <c r="EC332" s="330"/>
      <c r="ED332" s="330"/>
      <c r="EE332" s="330"/>
      <c r="EF332" s="330"/>
      <c r="EG332" s="330"/>
      <c r="EH332" s="330"/>
      <c r="EI332" s="330"/>
      <c r="EJ332" s="330"/>
      <c r="EK332" s="330"/>
      <c r="EL332" s="330"/>
      <c r="EM332" s="330"/>
      <c r="EN332" s="330"/>
      <c r="EO332" s="330"/>
      <c r="EP332" s="330"/>
      <c r="EQ332" s="330"/>
      <c r="ER332" s="330"/>
      <c r="ES332" s="330"/>
      <c r="ET332" s="330"/>
      <c r="EU332" s="330"/>
      <c r="EV332" s="330">
        <f>C332/1000</f>
        <v>0.03</v>
      </c>
      <c r="EW332" s="330"/>
      <c r="EX332" s="330"/>
      <c r="EY332" s="1032">
        <f t="shared" si="22"/>
        <v>0.03</v>
      </c>
    </row>
    <row r="333" spans="1:166" s="699" customFormat="1" ht="14.7" customHeight="1" x14ac:dyDescent="0.25">
      <c r="A333" s="421">
        <v>329</v>
      </c>
      <c r="B333" s="602" t="str">
        <f>цены!D157</f>
        <v>Хлеб пшеничный нарезной</v>
      </c>
      <c r="C333" s="419">
        <v>20</v>
      </c>
      <c r="D333" s="1211">
        <f>10.7/100*C333</f>
        <v>2.14</v>
      </c>
      <c r="E333" s="1211">
        <f>4.5/100*C333</f>
        <v>0.9</v>
      </c>
      <c r="F333" s="1211">
        <f>43.5/100*C333</f>
        <v>8.6999999999999993</v>
      </c>
      <c r="G333" s="1212">
        <f>274/100*C333</f>
        <v>55</v>
      </c>
      <c r="H333" s="419" t="s">
        <v>1170</v>
      </c>
      <c r="I333" s="1234">
        <f>цены!F157/1000*C333</f>
        <v>1.3</v>
      </c>
      <c r="J333" s="330"/>
      <c r="K333" s="330"/>
      <c r="L333" s="330"/>
      <c r="M333" s="330"/>
      <c r="N333" s="330"/>
      <c r="O333" s="330"/>
      <c r="P333" s="330"/>
      <c r="Q333" s="330"/>
      <c r="R333" s="330"/>
      <c r="S333" s="330"/>
      <c r="T333" s="330"/>
      <c r="U333" s="330"/>
      <c r="V333" s="330"/>
      <c r="W333" s="330"/>
      <c r="X333" s="330"/>
      <c r="Y333" s="330"/>
      <c r="Z333" s="330"/>
      <c r="AA333" s="330"/>
      <c r="AB333" s="330"/>
      <c r="AC333" s="330"/>
      <c r="AD333" s="330"/>
      <c r="AE333" s="330"/>
      <c r="AF333" s="330"/>
      <c r="AG333" s="330"/>
      <c r="AH333" s="330"/>
      <c r="AI333" s="330"/>
      <c r="AJ333" s="330"/>
      <c r="AK333" s="330"/>
      <c r="AL333" s="330"/>
      <c r="AM333" s="330"/>
      <c r="AN333" s="330"/>
      <c r="AO333" s="330"/>
      <c r="AP333" s="330"/>
      <c r="AQ333" s="330"/>
      <c r="AR333" s="330"/>
      <c r="AS333" s="330"/>
      <c r="AT333" s="330"/>
      <c r="AU333" s="330"/>
      <c r="AV333" s="330"/>
      <c r="AW333" s="330"/>
      <c r="AX333" s="330"/>
      <c r="AY333" s="330"/>
      <c r="AZ333" s="330"/>
      <c r="BA333" s="330"/>
      <c r="BB333" s="330"/>
      <c r="BC333" s="330"/>
      <c r="BD333" s="330"/>
      <c r="BE333" s="330"/>
      <c r="BF333" s="330"/>
      <c r="BG333" s="330"/>
      <c r="BH333" s="330"/>
      <c r="BI333" s="330"/>
      <c r="BJ333" s="330"/>
      <c r="BK333" s="330"/>
      <c r="BL333" s="330"/>
      <c r="BM333" s="330"/>
      <c r="BN333" s="330"/>
      <c r="BO333" s="330"/>
      <c r="BP333" s="330"/>
      <c r="BQ333" s="330"/>
      <c r="BR333" s="330"/>
      <c r="BS333" s="330"/>
      <c r="BT333" s="330"/>
      <c r="BU333" s="330"/>
      <c r="BV333" s="330"/>
      <c r="BW333" s="330"/>
      <c r="BX333" s="330"/>
      <c r="BY333" s="330"/>
      <c r="BZ333" s="330"/>
      <c r="CA333" s="330"/>
      <c r="CB333" s="330"/>
      <c r="CC333" s="330"/>
      <c r="CD333" s="330"/>
      <c r="CE333" s="330"/>
      <c r="CF333" s="330"/>
      <c r="CG333" s="330"/>
      <c r="CH333" s="330"/>
      <c r="CI333" s="330"/>
      <c r="CJ333" s="330"/>
      <c r="CK333" s="330"/>
      <c r="CL333" s="330"/>
      <c r="CM333" s="330"/>
      <c r="CN333" s="330"/>
      <c r="CO333" s="330"/>
      <c r="CP333" s="330"/>
      <c r="CQ333" s="330"/>
      <c r="CR333" s="330"/>
      <c r="CS333" s="330"/>
      <c r="CT333" s="330"/>
      <c r="CU333" s="330"/>
      <c r="CV333" s="330"/>
      <c r="CW333" s="330"/>
      <c r="CX333" s="330"/>
      <c r="CY333" s="330"/>
      <c r="CZ333" s="330"/>
      <c r="DA333" s="330"/>
      <c r="DB333" s="330"/>
      <c r="DC333" s="330"/>
      <c r="DD333" s="330"/>
      <c r="DE333" s="330"/>
      <c r="DF333" s="330"/>
      <c r="DG333" s="330"/>
      <c r="DH333" s="330"/>
      <c r="DI333" s="330"/>
      <c r="DJ333" s="330"/>
      <c r="DK333" s="330"/>
      <c r="DL333" s="330"/>
      <c r="DM333" s="330"/>
      <c r="DN333" s="330"/>
      <c r="DO333" s="330"/>
      <c r="DP333" s="330"/>
      <c r="DQ333" s="330"/>
      <c r="DR333" s="330"/>
      <c r="DS333" s="330"/>
      <c r="DT333" s="330"/>
      <c r="DU333" s="330"/>
      <c r="DV333" s="330"/>
      <c r="DW333" s="330"/>
      <c r="DX333" s="330"/>
      <c r="DY333" s="330"/>
      <c r="DZ333" s="330"/>
      <c r="EA333" s="330"/>
      <c r="EB333" s="330"/>
      <c r="EC333" s="330"/>
      <c r="ED333" s="330"/>
      <c r="EE333" s="330"/>
      <c r="EF333" s="330"/>
      <c r="EG333" s="330"/>
      <c r="EH333" s="330"/>
      <c r="EI333" s="330"/>
      <c r="EJ333" s="330"/>
      <c r="EK333" s="330"/>
      <c r="EL333" s="330"/>
      <c r="EM333" s="330"/>
      <c r="EN333" s="330"/>
      <c r="EO333" s="330"/>
      <c r="EP333" s="330"/>
      <c r="EQ333" s="330"/>
      <c r="ER333" s="330"/>
      <c r="ES333" s="330"/>
      <c r="ET333" s="330"/>
      <c r="EU333" s="330"/>
      <c r="EV333" s="330">
        <f>C333/1000</f>
        <v>0.02</v>
      </c>
      <c r="EW333" s="330"/>
      <c r="EX333" s="330"/>
      <c r="EY333" s="1032">
        <f t="shared" si="22"/>
        <v>0.02</v>
      </c>
      <c r="EZ333" s="616"/>
      <c r="FA333" s="616"/>
      <c r="FB333" s="616"/>
      <c r="FC333" s="616"/>
      <c r="FD333" s="616"/>
      <c r="FE333" s="616"/>
      <c r="FF333" s="616"/>
      <c r="FG333" s="616"/>
      <c r="FH333" s="616"/>
      <c r="FI333" s="616"/>
      <c r="FJ333" s="616"/>
    </row>
    <row r="334" spans="1:166" ht="14.7" customHeight="1" x14ac:dyDescent="0.25">
      <c r="A334" s="421">
        <v>330</v>
      </c>
      <c r="B334" s="602" t="str">
        <f>цены!D158</f>
        <v>Хлеб пшенично-ржаной нарезной</v>
      </c>
      <c r="C334" s="419">
        <v>40</v>
      </c>
      <c r="D334" s="1211">
        <f>7.5/100*C334</f>
        <v>3</v>
      </c>
      <c r="E334" s="1211">
        <f>2/100*C334</f>
        <v>0.8</v>
      </c>
      <c r="F334" s="1211">
        <f>52/100*C334</f>
        <v>20.8</v>
      </c>
      <c r="G334" s="1212">
        <f>250/100*C334</f>
        <v>100</v>
      </c>
      <c r="H334" s="419" t="s">
        <v>1170</v>
      </c>
      <c r="I334" s="1234">
        <f>цены!F158/1000*C334</f>
        <v>2.6</v>
      </c>
      <c r="J334" s="330"/>
      <c r="K334" s="330"/>
      <c r="L334" s="330"/>
      <c r="M334" s="330"/>
      <c r="N334" s="330"/>
      <c r="O334" s="330"/>
      <c r="P334" s="330"/>
      <c r="Q334" s="330"/>
      <c r="R334" s="330"/>
      <c r="S334" s="330"/>
      <c r="T334" s="330"/>
      <c r="U334" s="330"/>
      <c r="V334" s="330"/>
      <c r="W334" s="330"/>
      <c r="X334" s="330"/>
      <c r="Y334" s="330"/>
      <c r="Z334" s="330"/>
      <c r="AA334" s="330"/>
      <c r="AB334" s="330"/>
      <c r="AC334" s="330"/>
      <c r="AD334" s="330"/>
      <c r="AE334" s="330"/>
      <c r="AF334" s="330"/>
      <c r="AG334" s="330"/>
      <c r="AH334" s="330"/>
      <c r="AI334" s="330"/>
      <c r="AJ334" s="330"/>
      <c r="AK334" s="330"/>
      <c r="AL334" s="330"/>
      <c r="AM334" s="330"/>
      <c r="AN334" s="330"/>
      <c r="AO334" s="330"/>
      <c r="AP334" s="330"/>
      <c r="AQ334" s="330"/>
      <c r="AR334" s="330"/>
      <c r="AS334" s="330"/>
      <c r="AT334" s="330"/>
      <c r="AU334" s="330"/>
      <c r="AV334" s="330"/>
      <c r="AW334" s="330"/>
      <c r="AX334" s="330"/>
      <c r="AY334" s="330"/>
      <c r="AZ334" s="330"/>
      <c r="BA334" s="330"/>
      <c r="BB334" s="330"/>
      <c r="BC334" s="330"/>
      <c r="BD334" s="330"/>
      <c r="BE334" s="330"/>
      <c r="BF334" s="330"/>
      <c r="BG334" s="330"/>
      <c r="BH334" s="330"/>
      <c r="BI334" s="330"/>
      <c r="BJ334" s="330"/>
      <c r="BK334" s="330"/>
      <c r="BL334" s="330"/>
      <c r="BM334" s="330"/>
      <c r="BN334" s="330"/>
      <c r="BO334" s="330"/>
      <c r="BP334" s="330"/>
      <c r="BQ334" s="330"/>
      <c r="BR334" s="330"/>
      <c r="BS334" s="330"/>
      <c r="BT334" s="330"/>
      <c r="BU334" s="330"/>
      <c r="BV334" s="330"/>
      <c r="BW334" s="330"/>
      <c r="BX334" s="330"/>
      <c r="BY334" s="330"/>
      <c r="BZ334" s="330"/>
      <c r="CA334" s="330"/>
      <c r="CB334" s="330"/>
      <c r="CC334" s="330"/>
      <c r="CD334" s="330"/>
      <c r="CE334" s="330"/>
      <c r="CF334" s="330"/>
      <c r="CG334" s="330"/>
      <c r="CH334" s="330"/>
      <c r="CI334" s="330"/>
      <c r="CJ334" s="330"/>
      <c r="CK334" s="330"/>
      <c r="CL334" s="330"/>
      <c r="CM334" s="330"/>
      <c r="CN334" s="330"/>
      <c r="CO334" s="330"/>
      <c r="CP334" s="330"/>
      <c r="CQ334" s="330"/>
      <c r="CR334" s="330"/>
      <c r="CS334" s="330"/>
      <c r="CT334" s="330"/>
      <c r="CU334" s="330"/>
      <c r="CV334" s="330"/>
      <c r="CW334" s="330"/>
      <c r="CX334" s="330"/>
      <c r="CY334" s="330"/>
      <c r="CZ334" s="330"/>
      <c r="DA334" s="330"/>
      <c r="DB334" s="330"/>
      <c r="DC334" s="330"/>
      <c r="DD334" s="330"/>
      <c r="DE334" s="330"/>
      <c r="DF334" s="330"/>
      <c r="DG334" s="330"/>
      <c r="DH334" s="330"/>
      <c r="DI334" s="330"/>
      <c r="DJ334" s="330"/>
      <c r="DK334" s="330"/>
      <c r="DL334" s="330"/>
      <c r="DM334" s="330"/>
      <c r="DN334" s="330"/>
      <c r="DO334" s="330"/>
      <c r="DP334" s="330"/>
      <c r="DQ334" s="330"/>
      <c r="DR334" s="330"/>
      <c r="DS334" s="330"/>
      <c r="DT334" s="330"/>
      <c r="DU334" s="330"/>
      <c r="DV334" s="330"/>
      <c r="DW334" s="330"/>
      <c r="DX334" s="330"/>
      <c r="DY334" s="330"/>
      <c r="DZ334" s="330"/>
      <c r="EA334" s="330"/>
      <c r="EB334" s="330"/>
      <c r="EC334" s="330"/>
      <c r="ED334" s="330"/>
      <c r="EE334" s="330"/>
      <c r="EF334" s="330"/>
      <c r="EG334" s="330"/>
      <c r="EH334" s="330"/>
      <c r="EI334" s="330"/>
      <c r="EJ334" s="330"/>
      <c r="EK334" s="330"/>
      <c r="EL334" s="330"/>
      <c r="EM334" s="330"/>
      <c r="EN334" s="330"/>
      <c r="EO334" s="330"/>
      <c r="EP334" s="330"/>
      <c r="EQ334" s="330"/>
      <c r="ER334" s="330"/>
      <c r="ES334" s="330"/>
      <c r="ET334" s="330"/>
      <c r="EU334" s="330"/>
      <c r="EV334" s="330"/>
      <c r="EW334" s="330">
        <f>C334/1000</f>
        <v>0.04</v>
      </c>
      <c r="EX334" s="330"/>
      <c r="EY334" s="1032">
        <f t="shared" si="22"/>
        <v>0.04</v>
      </c>
    </row>
    <row r="335" spans="1:166" s="699" customFormat="1" ht="14.7" customHeight="1" x14ac:dyDescent="0.25">
      <c r="A335" s="421">
        <v>331</v>
      </c>
      <c r="B335" s="602" t="str">
        <f>цены!D158</f>
        <v>Хлеб пшенично-ржаной нарезной</v>
      </c>
      <c r="C335" s="419">
        <v>30</v>
      </c>
      <c r="D335" s="1211">
        <f>7.5/100*C335</f>
        <v>2.25</v>
      </c>
      <c r="E335" s="1211">
        <f>2/100*C335</f>
        <v>0.6</v>
      </c>
      <c r="F335" s="1211">
        <f>52/100*C335</f>
        <v>15.6</v>
      </c>
      <c r="G335" s="1212">
        <f>250/100*C335</f>
        <v>75</v>
      </c>
      <c r="H335" s="419" t="s">
        <v>1170</v>
      </c>
      <c r="I335" s="1234">
        <f>цены!F158/1000*C335</f>
        <v>1.95</v>
      </c>
      <c r="J335" s="330"/>
      <c r="K335" s="330"/>
      <c r="L335" s="330"/>
      <c r="M335" s="330"/>
      <c r="N335" s="330"/>
      <c r="O335" s="330"/>
      <c r="P335" s="330"/>
      <c r="Q335" s="330"/>
      <c r="R335" s="330"/>
      <c r="S335" s="330"/>
      <c r="T335" s="330"/>
      <c r="U335" s="330"/>
      <c r="V335" s="330"/>
      <c r="W335" s="330"/>
      <c r="X335" s="330"/>
      <c r="Y335" s="330"/>
      <c r="Z335" s="330"/>
      <c r="AA335" s="330"/>
      <c r="AB335" s="330"/>
      <c r="AC335" s="330"/>
      <c r="AD335" s="330"/>
      <c r="AE335" s="330"/>
      <c r="AF335" s="330"/>
      <c r="AG335" s="330"/>
      <c r="AH335" s="330"/>
      <c r="AI335" s="330"/>
      <c r="AJ335" s="330"/>
      <c r="AK335" s="330"/>
      <c r="AL335" s="330"/>
      <c r="AM335" s="330"/>
      <c r="AN335" s="330"/>
      <c r="AO335" s="330"/>
      <c r="AP335" s="330"/>
      <c r="AQ335" s="330"/>
      <c r="AR335" s="330"/>
      <c r="AS335" s="330"/>
      <c r="AT335" s="330"/>
      <c r="AU335" s="330"/>
      <c r="AV335" s="330"/>
      <c r="AW335" s="330"/>
      <c r="AX335" s="330"/>
      <c r="AY335" s="330"/>
      <c r="AZ335" s="330"/>
      <c r="BA335" s="330"/>
      <c r="BB335" s="330"/>
      <c r="BC335" s="330"/>
      <c r="BD335" s="330"/>
      <c r="BE335" s="330"/>
      <c r="BF335" s="330"/>
      <c r="BG335" s="330"/>
      <c r="BH335" s="330"/>
      <c r="BI335" s="330"/>
      <c r="BJ335" s="330"/>
      <c r="BK335" s="330"/>
      <c r="BL335" s="330"/>
      <c r="BM335" s="330"/>
      <c r="BN335" s="330"/>
      <c r="BO335" s="330"/>
      <c r="BP335" s="330"/>
      <c r="BQ335" s="330"/>
      <c r="BR335" s="330"/>
      <c r="BS335" s="330"/>
      <c r="BT335" s="330"/>
      <c r="BU335" s="330"/>
      <c r="BV335" s="330"/>
      <c r="BW335" s="330"/>
      <c r="BX335" s="330"/>
      <c r="BY335" s="330"/>
      <c r="BZ335" s="330"/>
      <c r="CA335" s="330"/>
      <c r="CB335" s="330"/>
      <c r="CC335" s="330"/>
      <c r="CD335" s="330"/>
      <c r="CE335" s="330"/>
      <c r="CF335" s="330"/>
      <c r="CG335" s="330"/>
      <c r="CH335" s="330"/>
      <c r="CI335" s="330"/>
      <c r="CJ335" s="330"/>
      <c r="CK335" s="330"/>
      <c r="CL335" s="330"/>
      <c r="CM335" s="330"/>
      <c r="CN335" s="330"/>
      <c r="CO335" s="330"/>
      <c r="CP335" s="330"/>
      <c r="CQ335" s="330"/>
      <c r="CR335" s="330"/>
      <c r="CS335" s="330"/>
      <c r="CT335" s="330"/>
      <c r="CU335" s="330"/>
      <c r="CV335" s="330"/>
      <c r="CW335" s="330"/>
      <c r="CX335" s="330"/>
      <c r="CY335" s="330"/>
      <c r="CZ335" s="330"/>
      <c r="DA335" s="330"/>
      <c r="DB335" s="330"/>
      <c r="DC335" s="330"/>
      <c r="DD335" s="330"/>
      <c r="DE335" s="330"/>
      <c r="DF335" s="330"/>
      <c r="DG335" s="330"/>
      <c r="DH335" s="330"/>
      <c r="DI335" s="330"/>
      <c r="DJ335" s="330"/>
      <c r="DK335" s="330"/>
      <c r="DL335" s="330"/>
      <c r="DM335" s="330"/>
      <c r="DN335" s="330"/>
      <c r="DO335" s="330"/>
      <c r="DP335" s="330"/>
      <c r="DQ335" s="330"/>
      <c r="DR335" s="330"/>
      <c r="DS335" s="330"/>
      <c r="DT335" s="330"/>
      <c r="DU335" s="330"/>
      <c r="DV335" s="330"/>
      <c r="DW335" s="330"/>
      <c r="DX335" s="330"/>
      <c r="DY335" s="330"/>
      <c r="DZ335" s="330"/>
      <c r="EA335" s="330"/>
      <c r="EB335" s="330"/>
      <c r="EC335" s="330"/>
      <c r="ED335" s="330"/>
      <c r="EE335" s="330"/>
      <c r="EF335" s="330"/>
      <c r="EG335" s="330"/>
      <c r="EH335" s="330"/>
      <c r="EI335" s="330"/>
      <c r="EJ335" s="330"/>
      <c r="EK335" s="330"/>
      <c r="EL335" s="330"/>
      <c r="EM335" s="330"/>
      <c r="EN335" s="330"/>
      <c r="EO335" s="330"/>
      <c r="EP335" s="330"/>
      <c r="EQ335" s="330"/>
      <c r="ER335" s="330"/>
      <c r="ES335" s="330"/>
      <c r="ET335" s="330"/>
      <c r="EU335" s="330"/>
      <c r="EV335" s="330"/>
      <c r="EW335" s="330">
        <f>C335/1000</f>
        <v>0.03</v>
      </c>
      <c r="EX335" s="330"/>
      <c r="EY335" s="1032">
        <f t="shared" si="22"/>
        <v>0.03</v>
      </c>
      <c r="EZ335" s="616"/>
      <c r="FA335" s="616"/>
      <c r="FB335" s="616"/>
      <c r="FC335" s="616"/>
      <c r="FD335" s="616"/>
      <c r="FE335" s="616"/>
      <c r="FF335" s="616"/>
      <c r="FG335" s="616"/>
      <c r="FH335" s="616"/>
      <c r="FI335" s="616"/>
      <c r="FJ335" s="616"/>
    </row>
    <row r="336" spans="1:166" s="699" customFormat="1" ht="14.7" customHeight="1" x14ac:dyDescent="0.25">
      <c r="A336" s="421">
        <v>332</v>
      </c>
      <c r="B336" s="602" t="str">
        <f>цены!D158</f>
        <v>Хлеб пшенично-ржаной нарезной</v>
      </c>
      <c r="C336" s="419">
        <v>20</v>
      </c>
      <c r="D336" s="1211">
        <f>7.5/100*C336</f>
        <v>1.5</v>
      </c>
      <c r="E336" s="1211">
        <f>2/100*C336</f>
        <v>0.4</v>
      </c>
      <c r="F336" s="1211">
        <f>52/100*C336</f>
        <v>10.4</v>
      </c>
      <c r="G336" s="1212">
        <f>250/100*C336</f>
        <v>50</v>
      </c>
      <c r="H336" s="419" t="s">
        <v>1170</v>
      </c>
      <c r="I336" s="1234">
        <f>цены!F158/1000*C336</f>
        <v>1.3</v>
      </c>
      <c r="J336" s="330"/>
      <c r="K336" s="330"/>
      <c r="L336" s="330"/>
      <c r="M336" s="330"/>
      <c r="N336" s="330"/>
      <c r="O336" s="330"/>
      <c r="P336" s="330"/>
      <c r="Q336" s="330"/>
      <c r="R336" s="330"/>
      <c r="S336" s="330"/>
      <c r="T336" s="330"/>
      <c r="U336" s="330"/>
      <c r="V336" s="330"/>
      <c r="W336" s="330"/>
      <c r="X336" s="330"/>
      <c r="Y336" s="330"/>
      <c r="Z336" s="330"/>
      <c r="AA336" s="330"/>
      <c r="AB336" s="330"/>
      <c r="AC336" s="330"/>
      <c r="AD336" s="330"/>
      <c r="AE336" s="330"/>
      <c r="AF336" s="330"/>
      <c r="AG336" s="330"/>
      <c r="AH336" s="330"/>
      <c r="AI336" s="330"/>
      <c r="AJ336" s="330"/>
      <c r="AK336" s="330"/>
      <c r="AL336" s="330"/>
      <c r="AM336" s="330"/>
      <c r="AN336" s="330"/>
      <c r="AO336" s="330"/>
      <c r="AP336" s="330"/>
      <c r="AQ336" s="330"/>
      <c r="AR336" s="330"/>
      <c r="AS336" s="330"/>
      <c r="AT336" s="330"/>
      <c r="AU336" s="330"/>
      <c r="AV336" s="330"/>
      <c r="AW336" s="330"/>
      <c r="AX336" s="330"/>
      <c r="AY336" s="330"/>
      <c r="AZ336" s="330"/>
      <c r="BA336" s="330"/>
      <c r="BB336" s="330"/>
      <c r="BC336" s="330"/>
      <c r="BD336" s="330"/>
      <c r="BE336" s="330"/>
      <c r="BF336" s="330"/>
      <c r="BG336" s="330"/>
      <c r="BH336" s="330"/>
      <c r="BI336" s="330"/>
      <c r="BJ336" s="330"/>
      <c r="BK336" s="330"/>
      <c r="BL336" s="330"/>
      <c r="BM336" s="330"/>
      <c r="BN336" s="330"/>
      <c r="BO336" s="330"/>
      <c r="BP336" s="330"/>
      <c r="BQ336" s="330"/>
      <c r="BR336" s="330"/>
      <c r="BS336" s="330"/>
      <c r="BT336" s="330"/>
      <c r="BU336" s="330"/>
      <c r="BV336" s="330"/>
      <c r="BW336" s="330"/>
      <c r="BX336" s="330"/>
      <c r="BY336" s="330"/>
      <c r="BZ336" s="330"/>
      <c r="CA336" s="330"/>
      <c r="CB336" s="330"/>
      <c r="CC336" s="330"/>
      <c r="CD336" s="330"/>
      <c r="CE336" s="330"/>
      <c r="CF336" s="330"/>
      <c r="CG336" s="330"/>
      <c r="CH336" s="330"/>
      <c r="CI336" s="330"/>
      <c r="CJ336" s="330"/>
      <c r="CK336" s="330"/>
      <c r="CL336" s="330"/>
      <c r="CM336" s="330"/>
      <c r="CN336" s="330"/>
      <c r="CO336" s="330"/>
      <c r="CP336" s="330"/>
      <c r="CQ336" s="330"/>
      <c r="CR336" s="330"/>
      <c r="CS336" s="330"/>
      <c r="CT336" s="330"/>
      <c r="CU336" s="330"/>
      <c r="CV336" s="330"/>
      <c r="CW336" s="330"/>
      <c r="CX336" s="330"/>
      <c r="CY336" s="330"/>
      <c r="CZ336" s="330"/>
      <c r="DA336" s="330"/>
      <c r="DB336" s="330"/>
      <c r="DC336" s="330"/>
      <c r="DD336" s="330"/>
      <c r="DE336" s="330"/>
      <c r="DF336" s="330"/>
      <c r="DG336" s="330"/>
      <c r="DH336" s="330"/>
      <c r="DI336" s="330"/>
      <c r="DJ336" s="330"/>
      <c r="DK336" s="330"/>
      <c r="DL336" s="330"/>
      <c r="DM336" s="330"/>
      <c r="DN336" s="330"/>
      <c r="DO336" s="330"/>
      <c r="DP336" s="330"/>
      <c r="DQ336" s="330"/>
      <c r="DR336" s="330"/>
      <c r="DS336" s="330"/>
      <c r="DT336" s="330"/>
      <c r="DU336" s="330"/>
      <c r="DV336" s="330"/>
      <c r="DW336" s="330"/>
      <c r="DX336" s="330"/>
      <c r="DY336" s="330"/>
      <c r="DZ336" s="330"/>
      <c r="EA336" s="330"/>
      <c r="EB336" s="330"/>
      <c r="EC336" s="330"/>
      <c r="ED336" s="330"/>
      <c r="EE336" s="330"/>
      <c r="EF336" s="330"/>
      <c r="EG336" s="330"/>
      <c r="EH336" s="330"/>
      <c r="EI336" s="330"/>
      <c r="EJ336" s="330"/>
      <c r="EK336" s="330"/>
      <c r="EL336" s="330"/>
      <c r="EM336" s="330"/>
      <c r="EN336" s="330"/>
      <c r="EO336" s="330"/>
      <c r="EP336" s="330"/>
      <c r="EQ336" s="330"/>
      <c r="ER336" s="330"/>
      <c r="ES336" s="330"/>
      <c r="ET336" s="330"/>
      <c r="EU336" s="330"/>
      <c r="EV336" s="330"/>
      <c r="EW336" s="330">
        <f>C336/1000</f>
        <v>0.02</v>
      </c>
      <c r="EX336" s="330"/>
      <c r="EY336" s="1032">
        <f t="shared" si="22"/>
        <v>0.02</v>
      </c>
      <c r="EZ336" s="616"/>
      <c r="FA336" s="616"/>
      <c r="FB336" s="616"/>
      <c r="FC336" s="616"/>
      <c r="FD336" s="616"/>
      <c r="FE336" s="616"/>
      <c r="FF336" s="616"/>
      <c r="FG336" s="616"/>
      <c r="FH336" s="616"/>
      <c r="FI336" s="616"/>
      <c r="FJ336" s="616"/>
    </row>
    <row r="337" spans="1:166" s="926" customFormat="1" ht="14.7" customHeight="1" x14ac:dyDescent="0.25">
      <c r="A337" s="421">
        <v>333</v>
      </c>
      <c r="B337" s="602" t="str">
        <f>цены!D158</f>
        <v>Хлеб пшенично-ржаной нарезной</v>
      </c>
      <c r="C337" s="419">
        <v>10</v>
      </c>
      <c r="D337" s="1211">
        <f>7.5/100*C337</f>
        <v>0.75</v>
      </c>
      <c r="E337" s="1211">
        <f>2/100*C337</f>
        <v>0.2</v>
      </c>
      <c r="F337" s="1211">
        <f>52/100*C337</f>
        <v>5.2</v>
      </c>
      <c r="G337" s="1212">
        <f>250/100*C337</f>
        <v>25</v>
      </c>
      <c r="H337" s="419" t="s">
        <v>1170</v>
      </c>
      <c r="I337" s="1234">
        <f>цены!F158/1000*C337</f>
        <v>0.65</v>
      </c>
      <c r="J337" s="330"/>
      <c r="K337" s="330"/>
      <c r="L337" s="330"/>
      <c r="M337" s="330"/>
      <c r="N337" s="330"/>
      <c r="O337" s="330"/>
      <c r="P337" s="330"/>
      <c r="Q337" s="330"/>
      <c r="R337" s="330"/>
      <c r="S337" s="330"/>
      <c r="T337" s="330"/>
      <c r="U337" s="330"/>
      <c r="V337" s="330"/>
      <c r="W337" s="330"/>
      <c r="X337" s="330"/>
      <c r="Y337" s="330"/>
      <c r="Z337" s="330"/>
      <c r="AA337" s="330"/>
      <c r="AB337" s="330"/>
      <c r="AC337" s="330"/>
      <c r="AD337" s="330"/>
      <c r="AE337" s="330"/>
      <c r="AF337" s="330"/>
      <c r="AG337" s="330"/>
      <c r="AH337" s="330"/>
      <c r="AI337" s="330"/>
      <c r="AJ337" s="330"/>
      <c r="AK337" s="330"/>
      <c r="AL337" s="330"/>
      <c r="AM337" s="330"/>
      <c r="AN337" s="330"/>
      <c r="AO337" s="330"/>
      <c r="AP337" s="330"/>
      <c r="AQ337" s="330"/>
      <c r="AR337" s="330"/>
      <c r="AS337" s="330"/>
      <c r="AT337" s="330"/>
      <c r="AU337" s="330"/>
      <c r="AV337" s="330"/>
      <c r="AW337" s="330"/>
      <c r="AX337" s="330"/>
      <c r="AY337" s="330"/>
      <c r="AZ337" s="330"/>
      <c r="BA337" s="330"/>
      <c r="BB337" s="330"/>
      <c r="BC337" s="330"/>
      <c r="BD337" s="330"/>
      <c r="BE337" s="330"/>
      <c r="BF337" s="330"/>
      <c r="BG337" s="330"/>
      <c r="BH337" s="330"/>
      <c r="BI337" s="330"/>
      <c r="BJ337" s="330"/>
      <c r="BK337" s="330"/>
      <c r="BL337" s="330"/>
      <c r="BM337" s="330"/>
      <c r="BN337" s="330"/>
      <c r="BO337" s="330"/>
      <c r="BP337" s="330"/>
      <c r="BQ337" s="330"/>
      <c r="BR337" s="330"/>
      <c r="BS337" s="330"/>
      <c r="BT337" s="330"/>
      <c r="BU337" s="330"/>
      <c r="BV337" s="330"/>
      <c r="BW337" s="330"/>
      <c r="BX337" s="330"/>
      <c r="BY337" s="330"/>
      <c r="BZ337" s="330"/>
      <c r="CA337" s="330"/>
      <c r="CB337" s="330"/>
      <c r="CC337" s="330"/>
      <c r="CD337" s="330"/>
      <c r="CE337" s="330"/>
      <c r="CF337" s="330"/>
      <c r="CG337" s="330"/>
      <c r="CH337" s="330"/>
      <c r="CI337" s="330"/>
      <c r="CJ337" s="330"/>
      <c r="CK337" s="330"/>
      <c r="CL337" s="330"/>
      <c r="CM337" s="330"/>
      <c r="CN337" s="330"/>
      <c r="CO337" s="330"/>
      <c r="CP337" s="330"/>
      <c r="CQ337" s="330"/>
      <c r="CR337" s="330"/>
      <c r="CS337" s="330"/>
      <c r="CT337" s="330"/>
      <c r="CU337" s="330"/>
      <c r="CV337" s="330"/>
      <c r="CW337" s="330"/>
      <c r="CX337" s="330"/>
      <c r="CY337" s="330"/>
      <c r="CZ337" s="330"/>
      <c r="DA337" s="330"/>
      <c r="DB337" s="330"/>
      <c r="DC337" s="330"/>
      <c r="DD337" s="330"/>
      <c r="DE337" s="330"/>
      <c r="DF337" s="330"/>
      <c r="DG337" s="330"/>
      <c r="DH337" s="330"/>
      <c r="DI337" s="330"/>
      <c r="DJ337" s="330"/>
      <c r="DK337" s="330"/>
      <c r="DL337" s="330"/>
      <c r="DM337" s="330"/>
      <c r="DN337" s="330"/>
      <c r="DO337" s="330"/>
      <c r="DP337" s="330"/>
      <c r="DQ337" s="330"/>
      <c r="DR337" s="330"/>
      <c r="DS337" s="330"/>
      <c r="DT337" s="330"/>
      <c r="DU337" s="330"/>
      <c r="DV337" s="330"/>
      <c r="DW337" s="330"/>
      <c r="DX337" s="330"/>
      <c r="DY337" s="330"/>
      <c r="DZ337" s="330"/>
      <c r="EA337" s="330"/>
      <c r="EB337" s="330"/>
      <c r="EC337" s="330"/>
      <c r="ED337" s="330"/>
      <c r="EE337" s="330"/>
      <c r="EF337" s="330"/>
      <c r="EG337" s="330"/>
      <c r="EH337" s="330"/>
      <c r="EI337" s="330"/>
      <c r="EJ337" s="330"/>
      <c r="EK337" s="330"/>
      <c r="EL337" s="330"/>
      <c r="EM337" s="330"/>
      <c r="EN337" s="330"/>
      <c r="EO337" s="330"/>
      <c r="EP337" s="330"/>
      <c r="EQ337" s="330"/>
      <c r="ER337" s="330"/>
      <c r="ES337" s="330"/>
      <c r="ET337" s="330"/>
      <c r="EU337" s="330"/>
      <c r="EV337" s="330"/>
      <c r="EW337" s="330">
        <f>C337/1000</f>
        <v>0.01</v>
      </c>
      <c r="EX337" s="330"/>
      <c r="EY337" s="1032">
        <f t="shared" si="22"/>
        <v>0.01</v>
      </c>
      <c r="EZ337" s="616"/>
      <c r="FA337" s="616"/>
      <c r="FB337" s="616"/>
      <c r="FC337" s="616"/>
      <c r="FD337" s="616"/>
      <c r="FE337" s="616"/>
      <c r="FF337" s="616"/>
      <c r="FG337" s="616"/>
      <c r="FH337" s="616"/>
      <c r="FI337" s="616"/>
      <c r="FJ337" s="616"/>
    </row>
    <row r="338" spans="1:166" ht="14.7" customHeight="1" x14ac:dyDescent="0.25">
      <c r="A338" s="421">
        <v>334</v>
      </c>
      <c r="B338" s="602" t="str">
        <f>цены!D114</f>
        <v>Икра кабачковая</v>
      </c>
      <c r="C338" s="419">
        <v>30</v>
      </c>
      <c r="D338" s="1211">
        <f>1/100*C338</f>
        <v>0.3</v>
      </c>
      <c r="E338" s="1211">
        <f>7/100*C338</f>
        <v>2.1</v>
      </c>
      <c r="F338" s="1211">
        <f>6.8/100*C338</f>
        <v>2.04</v>
      </c>
      <c r="G338" s="1212">
        <f>94/100*C338</f>
        <v>28</v>
      </c>
      <c r="H338" s="419" t="s">
        <v>1170</v>
      </c>
      <c r="I338" s="1234">
        <f>цены!F114/1000*C338</f>
        <v>3.6</v>
      </c>
      <c r="J338" s="330"/>
      <c r="K338" s="330"/>
      <c r="L338" s="330"/>
      <c r="M338" s="330"/>
      <c r="N338" s="330"/>
      <c r="O338" s="330"/>
      <c r="P338" s="330"/>
      <c r="Q338" s="330"/>
      <c r="R338" s="330"/>
      <c r="S338" s="330"/>
      <c r="T338" s="330"/>
      <c r="U338" s="330"/>
      <c r="V338" s="330"/>
      <c r="W338" s="330"/>
      <c r="X338" s="330"/>
      <c r="Y338" s="330"/>
      <c r="Z338" s="330"/>
      <c r="AA338" s="330"/>
      <c r="AB338" s="330"/>
      <c r="AC338" s="330"/>
      <c r="AD338" s="330"/>
      <c r="AE338" s="330"/>
      <c r="AF338" s="330"/>
      <c r="AG338" s="330"/>
      <c r="AH338" s="330"/>
      <c r="AI338" s="330"/>
      <c r="AJ338" s="330"/>
      <c r="AK338" s="330"/>
      <c r="AL338" s="330"/>
      <c r="AM338" s="330"/>
      <c r="AN338" s="330"/>
      <c r="AO338" s="330"/>
      <c r="AP338" s="330"/>
      <c r="AQ338" s="330"/>
      <c r="AR338" s="330"/>
      <c r="AS338" s="330"/>
      <c r="AT338" s="330"/>
      <c r="AU338" s="330"/>
      <c r="AV338" s="330"/>
      <c r="AW338" s="330"/>
      <c r="AX338" s="330"/>
      <c r="AY338" s="330"/>
      <c r="AZ338" s="330"/>
      <c r="BA338" s="330"/>
      <c r="BB338" s="330"/>
      <c r="BC338" s="330"/>
      <c r="BD338" s="330"/>
      <c r="BE338" s="330"/>
      <c r="BF338" s="330"/>
      <c r="BG338" s="330"/>
      <c r="BH338" s="330"/>
      <c r="BI338" s="330"/>
      <c r="BJ338" s="330"/>
      <c r="BK338" s="330"/>
      <c r="BL338" s="330"/>
      <c r="BM338" s="330"/>
      <c r="BN338" s="330"/>
      <c r="BO338" s="330"/>
      <c r="BP338" s="330"/>
      <c r="BQ338" s="330"/>
      <c r="BR338" s="330"/>
      <c r="BS338" s="330"/>
      <c r="BT338" s="330"/>
      <c r="BU338" s="330"/>
      <c r="BV338" s="330"/>
      <c r="BW338" s="330"/>
      <c r="BX338" s="330"/>
      <c r="BY338" s="330"/>
      <c r="BZ338" s="330"/>
      <c r="CA338" s="330"/>
      <c r="CB338" s="330"/>
      <c r="CC338" s="330"/>
      <c r="CD338" s="330"/>
      <c r="CE338" s="330"/>
      <c r="CF338" s="330"/>
      <c r="CG338" s="330"/>
      <c r="CH338" s="330"/>
      <c r="CI338" s="330"/>
      <c r="CJ338" s="330"/>
      <c r="CK338" s="330"/>
      <c r="CL338" s="330"/>
      <c r="CM338" s="330"/>
      <c r="CN338" s="330"/>
      <c r="CO338" s="330"/>
      <c r="CP338" s="330"/>
      <c r="CQ338" s="330"/>
      <c r="CR338" s="330"/>
      <c r="CS338" s="330"/>
      <c r="CT338" s="330"/>
      <c r="CU338" s="330"/>
      <c r="CV338" s="330"/>
      <c r="CW338" s="330"/>
      <c r="CX338" s="330"/>
      <c r="CY338" s="330"/>
      <c r="CZ338" s="330"/>
      <c r="DA338" s="330"/>
      <c r="DB338" s="330"/>
      <c r="DC338" s="330"/>
      <c r="DD338" s="330"/>
      <c r="DE338" s="330"/>
      <c r="DF338" s="330"/>
      <c r="DG338" s="330">
        <f>C338/1000</f>
        <v>0.03</v>
      </c>
      <c r="DH338" s="330"/>
      <c r="DI338" s="330"/>
      <c r="DJ338" s="330"/>
      <c r="DK338" s="330"/>
      <c r="DL338" s="330"/>
      <c r="DM338" s="330"/>
      <c r="DN338" s="330"/>
      <c r="DO338" s="330"/>
      <c r="DP338" s="330"/>
      <c r="DQ338" s="330"/>
      <c r="DR338" s="330"/>
      <c r="DS338" s="330"/>
      <c r="DT338" s="330"/>
      <c r="DU338" s="330"/>
      <c r="DV338" s="330"/>
      <c r="DW338" s="330"/>
      <c r="DX338" s="330"/>
      <c r="DY338" s="330"/>
      <c r="DZ338" s="330"/>
      <c r="EA338" s="330"/>
      <c r="EB338" s="330"/>
      <c r="EC338" s="330"/>
      <c r="ED338" s="330"/>
      <c r="EE338" s="330"/>
      <c r="EF338" s="330"/>
      <c r="EG338" s="330"/>
      <c r="EH338" s="330"/>
      <c r="EI338" s="330"/>
      <c r="EJ338" s="330"/>
      <c r="EK338" s="330"/>
      <c r="EL338" s="330"/>
      <c r="EM338" s="330"/>
      <c r="EN338" s="330"/>
      <c r="EO338" s="330"/>
      <c r="EP338" s="330"/>
      <c r="EQ338" s="330"/>
      <c r="ER338" s="330"/>
      <c r="ES338" s="330"/>
      <c r="ET338" s="330"/>
      <c r="EU338" s="330"/>
      <c r="EV338" s="330"/>
      <c r="EW338" s="330"/>
      <c r="EX338" s="330"/>
      <c r="EY338" s="1032">
        <f t="shared" si="22"/>
        <v>0.03</v>
      </c>
    </row>
    <row r="339" spans="1:166" s="407" customFormat="1" ht="14.7" customHeight="1" x14ac:dyDescent="0.25">
      <c r="A339" s="421">
        <v>335</v>
      </c>
      <c r="B339" s="897" t="str">
        <f>цены!D26</f>
        <v>Кефир 2,5 % жирности</v>
      </c>
      <c r="C339" s="419">
        <v>100</v>
      </c>
      <c r="D339" s="1211">
        <f>2.9/100*C339</f>
        <v>2.9</v>
      </c>
      <c r="E339" s="1211">
        <f>2.5/100*C339</f>
        <v>2.5</v>
      </c>
      <c r="F339" s="1211">
        <f>4/100*C339</f>
        <v>4</v>
      </c>
      <c r="G339" s="1212">
        <f>53/100*C339</f>
        <v>53</v>
      </c>
      <c r="H339" s="419" t="s">
        <v>1170</v>
      </c>
      <c r="I339" s="1234">
        <f>цены!F26/1000*блюда!C339</f>
        <v>10.8</v>
      </c>
      <c r="J339" s="330"/>
      <c r="K339" s="330"/>
      <c r="L339" s="330"/>
      <c r="M339" s="330"/>
      <c r="N339" s="330"/>
      <c r="O339" s="330"/>
      <c r="P339" s="330"/>
      <c r="Q339" s="330"/>
      <c r="R339" s="330"/>
      <c r="S339" s="330"/>
      <c r="T339" s="330"/>
      <c r="U339" s="330"/>
      <c r="V339" s="330"/>
      <c r="W339" s="330"/>
      <c r="X339" s="330"/>
      <c r="Y339" s="330"/>
      <c r="Z339" s="330"/>
      <c r="AA339" s="330">
        <f>C339/1000</f>
        <v>0.1</v>
      </c>
      <c r="AB339" s="330"/>
      <c r="AC339" s="330"/>
      <c r="AD339" s="330"/>
      <c r="AE339" s="330"/>
      <c r="AF339" s="330"/>
      <c r="AG339" s="330"/>
      <c r="AH339" s="330"/>
      <c r="AI339" s="330"/>
      <c r="AJ339" s="330"/>
      <c r="AK339" s="330"/>
      <c r="AL339" s="330"/>
      <c r="AM339" s="330"/>
      <c r="AN339" s="330"/>
      <c r="AO339" s="330"/>
      <c r="AP339" s="330"/>
      <c r="AQ339" s="330"/>
      <c r="AR339" s="330"/>
      <c r="AS339" s="330"/>
      <c r="AT339" s="330"/>
      <c r="AU339" s="330"/>
      <c r="AV339" s="330"/>
      <c r="AW339" s="330"/>
      <c r="AX339" s="330"/>
      <c r="AY339" s="330"/>
      <c r="AZ339" s="330"/>
      <c r="BA339" s="330"/>
      <c r="BB339" s="330"/>
      <c r="BC339" s="330"/>
      <c r="BD339" s="330"/>
      <c r="BE339" s="330"/>
      <c r="BF339" s="330"/>
      <c r="BG339" s="330"/>
      <c r="BH339" s="330"/>
      <c r="BI339" s="330"/>
      <c r="BJ339" s="330"/>
      <c r="BK339" s="330"/>
      <c r="BL339" s="330"/>
      <c r="BM339" s="330"/>
      <c r="BN339" s="330"/>
      <c r="BO339" s="330"/>
      <c r="BP339" s="330"/>
      <c r="BQ339" s="330"/>
      <c r="BR339" s="330"/>
      <c r="BS339" s="330"/>
      <c r="BT339" s="330"/>
      <c r="BU339" s="330"/>
      <c r="BV339" s="330"/>
      <c r="BW339" s="330"/>
      <c r="BX339" s="330"/>
      <c r="BY339" s="330"/>
      <c r="BZ339" s="330"/>
      <c r="CA339" s="330"/>
      <c r="CB339" s="330"/>
      <c r="CC339" s="330"/>
      <c r="CD339" s="330"/>
      <c r="CE339" s="330"/>
      <c r="CF339" s="330"/>
      <c r="CG339" s="330"/>
      <c r="CH339" s="330"/>
      <c r="CI339" s="330"/>
      <c r="CJ339" s="330"/>
      <c r="CK339" s="330"/>
      <c r="CL339" s="330"/>
      <c r="CM339" s="330"/>
      <c r="CN339" s="330"/>
      <c r="CO339" s="330"/>
      <c r="CP339" s="330"/>
      <c r="CQ339" s="330"/>
      <c r="CR339" s="330"/>
      <c r="CS339" s="330"/>
      <c r="CT339" s="330"/>
      <c r="CU339" s="330"/>
      <c r="CV339" s="330"/>
      <c r="CW339" s="330"/>
      <c r="CX339" s="330"/>
      <c r="CY339" s="330"/>
      <c r="CZ339" s="330"/>
      <c r="DA339" s="330"/>
      <c r="DB339" s="330"/>
      <c r="DC339" s="330"/>
      <c r="DD339" s="330"/>
      <c r="DE339" s="330"/>
      <c r="DF339" s="330"/>
      <c r="DG339" s="330"/>
      <c r="DH339" s="330"/>
      <c r="DI339" s="330"/>
      <c r="DJ339" s="330"/>
      <c r="DK339" s="330"/>
      <c r="DL339" s="330"/>
      <c r="DM339" s="330"/>
      <c r="DN339" s="330"/>
      <c r="DO339" s="330"/>
      <c r="DP339" s="330"/>
      <c r="DQ339" s="330"/>
      <c r="DR339" s="330"/>
      <c r="DS339" s="330"/>
      <c r="DT339" s="330"/>
      <c r="DU339" s="330"/>
      <c r="DV339" s="330"/>
      <c r="DW339" s="330"/>
      <c r="DX339" s="330"/>
      <c r="DY339" s="330"/>
      <c r="DZ339" s="330"/>
      <c r="EA339" s="330"/>
      <c r="EB339" s="330"/>
      <c r="EC339" s="330"/>
      <c r="ED339" s="330"/>
      <c r="EE339" s="330"/>
      <c r="EF339" s="330"/>
      <c r="EG339" s="330"/>
      <c r="EH339" s="330"/>
      <c r="EI339" s="330"/>
      <c r="EJ339" s="330"/>
      <c r="EK339" s="330"/>
      <c r="EL339" s="330"/>
      <c r="EM339" s="330"/>
      <c r="EN339" s="330"/>
      <c r="EO339" s="330"/>
      <c r="EP339" s="330"/>
      <c r="EQ339" s="330"/>
      <c r="ER339" s="330"/>
      <c r="ES339" s="330"/>
      <c r="ET339" s="330"/>
      <c r="EU339" s="330"/>
      <c r="EV339" s="330"/>
      <c r="EW339" s="330"/>
      <c r="EX339" s="330"/>
      <c r="EY339" s="1032">
        <f t="shared" si="22"/>
        <v>0.1</v>
      </c>
      <c r="EZ339" s="616"/>
      <c r="FA339" s="616"/>
      <c r="FB339" s="616"/>
      <c r="FC339" s="616"/>
      <c r="FD339" s="616"/>
      <c r="FE339" s="616"/>
      <c r="FF339" s="616"/>
      <c r="FG339" s="616"/>
      <c r="FH339" s="616"/>
      <c r="FI339" s="616"/>
      <c r="FJ339" s="616"/>
    </row>
    <row r="340" spans="1:166" s="407" customFormat="1" ht="14.7" customHeight="1" x14ac:dyDescent="0.25">
      <c r="A340" s="421">
        <v>336</v>
      </c>
      <c r="B340" s="897" t="str">
        <f>цены!D27</f>
        <v>Йогурт питьевой 1,5% жирности</v>
      </c>
      <c r="C340" s="419">
        <v>100</v>
      </c>
      <c r="D340" s="1211">
        <f>3.1/100*C340</f>
        <v>3.1</v>
      </c>
      <c r="E340" s="1211">
        <f>1.5/100*C340</f>
        <v>1.5</v>
      </c>
      <c r="F340" s="1211">
        <f>14.5/100*C340</f>
        <v>14.5</v>
      </c>
      <c r="G340" s="1212">
        <f>84/100*C340</f>
        <v>84</v>
      </c>
      <c r="H340" s="419" t="s">
        <v>1170</v>
      </c>
      <c r="I340" s="1234">
        <f>цены!F27/1000*блюда!C340</f>
        <v>12.5</v>
      </c>
      <c r="J340" s="330"/>
      <c r="K340" s="330"/>
      <c r="L340" s="330"/>
      <c r="M340" s="330"/>
      <c r="N340" s="330"/>
      <c r="O340" s="330"/>
      <c r="P340" s="330"/>
      <c r="Q340" s="330"/>
      <c r="R340" s="330"/>
      <c r="S340" s="330"/>
      <c r="T340" s="330"/>
      <c r="U340" s="330"/>
      <c r="V340" s="330"/>
      <c r="W340" s="330"/>
      <c r="X340" s="330"/>
      <c r="Y340" s="330"/>
      <c r="Z340" s="330"/>
      <c r="AA340" s="330"/>
      <c r="AB340" s="330">
        <f>C340/1000</f>
        <v>0.1</v>
      </c>
      <c r="AC340" s="330"/>
      <c r="AD340" s="330"/>
      <c r="AE340" s="330"/>
      <c r="AF340" s="330"/>
      <c r="AG340" s="330"/>
      <c r="AH340" s="330"/>
      <c r="AI340" s="330"/>
      <c r="AJ340" s="330"/>
      <c r="AK340" s="330"/>
      <c r="AL340" s="330"/>
      <c r="AM340" s="330"/>
      <c r="AN340" s="330"/>
      <c r="AO340" s="330"/>
      <c r="AP340" s="330"/>
      <c r="AQ340" s="330"/>
      <c r="AR340" s="330"/>
      <c r="AS340" s="330"/>
      <c r="AT340" s="330"/>
      <c r="AU340" s="330"/>
      <c r="AV340" s="330"/>
      <c r="AW340" s="330"/>
      <c r="AX340" s="330"/>
      <c r="AY340" s="330"/>
      <c r="AZ340" s="330"/>
      <c r="BA340" s="330"/>
      <c r="BB340" s="330"/>
      <c r="BC340" s="330"/>
      <c r="BD340" s="330"/>
      <c r="BE340" s="330"/>
      <c r="BF340" s="330"/>
      <c r="BG340" s="330"/>
      <c r="BH340" s="330"/>
      <c r="BI340" s="330"/>
      <c r="BJ340" s="330"/>
      <c r="BK340" s="330"/>
      <c r="BL340" s="330"/>
      <c r="BM340" s="330"/>
      <c r="BN340" s="330"/>
      <c r="BO340" s="330"/>
      <c r="BP340" s="330"/>
      <c r="BQ340" s="330"/>
      <c r="BR340" s="330"/>
      <c r="BS340" s="330"/>
      <c r="BT340" s="330"/>
      <c r="BU340" s="330"/>
      <c r="BV340" s="330"/>
      <c r="BW340" s="330"/>
      <c r="BX340" s="330"/>
      <c r="BY340" s="330"/>
      <c r="BZ340" s="330"/>
      <c r="CA340" s="330"/>
      <c r="CB340" s="330"/>
      <c r="CC340" s="330"/>
      <c r="CD340" s="330"/>
      <c r="CE340" s="330"/>
      <c r="CF340" s="330"/>
      <c r="CG340" s="330"/>
      <c r="CH340" s="330"/>
      <c r="CI340" s="330"/>
      <c r="CJ340" s="330"/>
      <c r="CK340" s="330"/>
      <c r="CL340" s="330"/>
      <c r="CM340" s="330"/>
      <c r="CN340" s="330"/>
      <c r="CO340" s="330"/>
      <c r="CP340" s="330"/>
      <c r="CQ340" s="330"/>
      <c r="CR340" s="330"/>
      <c r="CS340" s="330"/>
      <c r="CT340" s="330"/>
      <c r="CU340" s="330"/>
      <c r="CV340" s="330"/>
      <c r="CW340" s="330"/>
      <c r="CX340" s="330"/>
      <c r="CY340" s="330"/>
      <c r="CZ340" s="330"/>
      <c r="DA340" s="330"/>
      <c r="DB340" s="330"/>
      <c r="DC340" s="330"/>
      <c r="DD340" s="330"/>
      <c r="DE340" s="330"/>
      <c r="DF340" s="330"/>
      <c r="DG340" s="330"/>
      <c r="DH340" s="330"/>
      <c r="DI340" s="330"/>
      <c r="DJ340" s="330"/>
      <c r="DK340" s="330"/>
      <c r="DL340" s="330"/>
      <c r="DM340" s="330"/>
      <c r="DN340" s="330"/>
      <c r="DO340" s="330"/>
      <c r="DP340" s="330"/>
      <c r="DQ340" s="330"/>
      <c r="DR340" s="330"/>
      <c r="DS340" s="330"/>
      <c r="DT340" s="330"/>
      <c r="DU340" s="330"/>
      <c r="DV340" s="330"/>
      <c r="DW340" s="330"/>
      <c r="DX340" s="330"/>
      <c r="DY340" s="330"/>
      <c r="DZ340" s="330"/>
      <c r="EA340" s="330"/>
      <c r="EB340" s="330"/>
      <c r="EC340" s="330"/>
      <c r="ED340" s="330"/>
      <c r="EE340" s="330"/>
      <c r="EF340" s="330"/>
      <c r="EG340" s="330"/>
      <c r="EH340" s="330"/>
      <c r="EI340" s="330"/>
      <c r="EJ340" s="330"/>
      <c r="EK340" s="330"/>
      <c r="EL340" s="330"/>
      <c r="EM340" s="330"/>
      <c r="EN340" s="330"/>
      <c r="EO340" s="330"/>
      <c r="EP340" s="330"/>
      <c r="EQ340" s="330"/>
      <c r="ER340" s="330"/>
      <c r="ES340" s="330"/>
      <c r="ET340" s="330"/>
      <c r="EU340" s="330"/>
      <c r="EV340" s="330"/>
      <c r="EW340" s="330"/>
      <c r="EX340" s="330"/>
      <c r="EY340" s="1032">
        <f t="shared" si="22"/>
        <v>0.1</v>
      </c>
      <c r="EZ340" s="616"/>
      <c r="FA340" s="616"/>
      <c r="FB340" s="616"/>
      <c r="FC340" s="616"/>
      <c r="FD340" s="616"/>
      <c r="FE340" s="616"/>
      <c r="FF340" s="616"/>
      <c r="FG340" s="616"/>
      <c r="FH340" s="616"/>
      <c r="FI340" s="616"/>
      <c r="FJ340" s="616"/>
    </row>
    <row r="341" spans="1:166" s="699" customFormat="1" ht="14.7" customHeight="1" x14ac:dyDescent="0.25">
      <c r="A341" s="421">
        <v>337</v>
      </c>
      <c r="B341" s="897" t="str">
        <f>цены!D28</f>
        <v xml:space="preserve">Йогурт  порционный </v>
      </c>
      <c r="C341" s="419">
        <v>110</v>
      </c>
      <c r="D341" s="1211">
        <f>2.7/100*C341</f>
        <v>2.97</v>
      </c>
      <c r="E341" s="1211">
        <f>2.6/100*C341</f>
        <v>2.86</v>
      </c>
      <c r="F341" s="1211">
        <f>15/100*C341</f>
        <v>16.5</v>
      </c>
      <c r="G341" s="1212">
        <f>71/100*C341</f>
        <v>78</v>
      </c>
      <c r="H341" s="419" t="s">
        <v>1170</v>
      </c>
      <c r="I341" s="1234">
        <f>цены!F28/1000*блюда!C341</f>
        <v>48.4</v>
      </c>
      <c r="J341" s="330"/>
      <c r="K341" s="330"/>
      <c r="L341" s="330"/>
      <c r="M341" s="330"/>
      <c r="N341" s="330"/>
      <c r="O341" s="330"/>
      <c r="P341" s="330"/>
      <c r="Q341" s="330"/>
      <c r="R341" s="330"/>
      <c r="S341" s="330"/>
      <c r="T341" s="330"/>
      <c r="U341" s="330"/>
      <c r="V341" s="330"/>
      <c r="W341" s="330"/>
      <c r="X341" s="330"/>
      <c r="Y341" s="330"/>
      <c r="Z341" s="330"/>
      <c r="AA341" s="330"/>
      <c r="AB341" s="330"/>
      <c r="AC341" s="330">
        <f>C341/1000</f>
        <v>0.11</v>
      </c>
      <c r="AD341" s="330"/>
      <c r="AE341" s="330"/>
      <c r="AF341" s="330"/>
      <c r="AG341" s="330"/>
      <c r="AH341" s="330"/>
      <c r="AI341" s="330"/>
      <c r="AJ341" s="330"/>
      <c r="AK341" s="330"/>
      <c r="AL341" s="330"/>
      <c r="AM341" s="330"/>
      <c r="AN341" s="330"/>
      <c r="AO341" s="330"/>
      <c r="AP341" s="330"/>
      <c r="AQ341" s="330"/>
      <c r="AR341" s="330"/>
      <c r="AS341" s="330"/>
      <c r="AT341" s="330"/>
      <c r="AU341" s="330"/>
      <c r="AV341" s="330"/>
      <c r="AW341" s="330"/>
      <c r="AX341" s="330"/>
      <c r="AY341" s="330"/>
      <c r="AZ341" s="330"/>
      <c r="BA341" s="330"/>
      <c r="BB341" s="330"/>
      <c r="BC341" s="330"/>
      <c r="BD341" s="330"/>
      <c r="BE341" s="330"/>
      <c r="BF341" s="330"/>
      <c r="BG341" s="330"/>
      <c r="BH341" s="330"/>
      <c r="BI341" s="330"/>
      <c r="BJ341" s="330"/>
      <c r="BK341" s="330"/>
      <c r="BL341" s="330"/>
      <c r="BM341" s="330"/>
      <c r="BN341" s="330"/>
      <c r="BO341" s="330"/>
      <c r="BP341" s="330"/>
      <c r="BQ341" s="330"/>
      <c r="BR341" s="330"/>
      <c r="BS341" s="330"/>
      <c r="BT341" s="330"/>
      <c r="BU341" s="330"/>
      <c r="BV341" s="330"/>
      <c r="BW341" s="330"/>
      <c r="BX341" s="330"/>
      <c r="BY341" s="330"/>
      <c r="BZ341" s="330"/>
      <c r="CA341" s="330"/>
      <c r="CB341" s="330"/>
      <c r="CC341" s="330"/>
      <c r="CD341" s="330"/>
      <c r="CE341" s="330"/>
      <c r="CF341" s="330"/>
      <c r="CG341" s="330"/>
      <c r="CH341" s="330"/>
      <c r="CI341" s="330"/>
      <c r="CJ341" s="330"/>
      <c r="CK341" s="330"/>
      <c r="CL341" s="330"/>
      <c r="CM341" s="330"/>
      <c r="CN341" s="330"/>
      <c r="CO341" s="330"/>
      <c r="CP341" s="330"/>
      <c r="CQ341" s="330"/>
      <c r="CR341" s="330"/>
      <c r="CS341" s="330"/>
      <c r="CT341" s="330"/>
      <c r="CU341" s="330"/>
      <c r="CV341" s="330"/>
      <c r="CW341" s="330"/>
      <c r="CX341" s="330"/>
      <c r="CY341" s="330"/>
      <c r="CZ341" s="330"/>
      <c r="DA341" s="330"/>
      <c r="DB341" s="330"/>
      <c r="DC341" s="330"/>
      <c r="DD341" s="330"/>
      <c r="DE341" s="330"/>
      <c r="DF341" s="330"/>
      <c r="DG341" s="330"/>
      <c r="DH341" s="330"/>
      <c r="DI341" s="330"/>
      <c r="DJ341" s="330"/>
      <c r="DK341" s="330"/>
      <c r="DL341" s="330"/>
      <c r="DM341" s="330"/>
      <c r="DN341" s="330"/>
      <c r="DO341" s="330"/>
      <c r="DP341" s="330"/>
      <c r="DQ341" s="330"/>
      <c r="DR341" s="330"/>
      <c r="DS341" s="330"/>
      <c r="DT341" s="330"/>
      <c r="DU341" s="330"/>
      <c r="DV341" s="330"/>
      <c r="DW341" s="330"/>
      <c r="DX341" s="330"/>
      <c r="DY341" s="330"/>
      <c r="DZ341" s="330"/>
      <c r="EA341" s="330"/>
      <c r="EB341" s="330"/>
      <c r="EC341" s="330"/>
      <c r="ED341" s="330"/>
      <c r="EE341" s="330"/>
      <c r="EF341" s="330"/>
      <c r="EG341" s="330"/>
      <c r="EH341" s="330"/>
      <c r="EI341" s="330"/>
      <c r="EJ341" s="330"/>
      <c r="EK341" s="330"/>
      <c r="EL341" s="330"/>
      <c r="EM341" s="330"/>
      <c r="EN341" s="330"/>
      <c r="EO341" s="330"/>
      <c r="EP341" s="330"/>
      <c r="EQ341" s="330"/>
      <c r="ER341" s="330"/>
      <c r="ES341" s="330"/>
      <c r="ET341" s="330"/>
      <c r="EU341" s="330"/>
      <c r="EV341" s="330"/>
      <c r="EW341" s="330"/>
      <c r="EX341" s="330"/>
      <c r="EY341" s="1032">
        <f t="shared" si="22"/>
        <v>0.11</v>
      </c>
      <c r="EZ341" s="616"/>
      <c r="FA341" s="616"/>
      <c r="FB341" s="616"/>
      <c r="FC341" s="616"/>
      <c r="FD341" s="616"/>
      <c r="FE341" s="616"/>
      <c r="FF341" s="616"/>
      <c r="FG341" s="616"/>
      <c r="FH341" s="616"/>
      <c r="FI341" s="616"/>
      <c r="FJ341" s="616"/>
    </row>
    <row r="342" spans="1:166" s="407" customFormat="1" ht="14.7" customHeight="1" x14ac:dyDescent="0.25">
      <c r="A342" s="421">
        <v>338</v>
      </c>
      <c r="B342" s="602" t="str">
        <f>цены!D134</f>
        <v>Мороженое пломбир Кореновское</v>
      </c>
      <c r="C342" s="419">
        <v>100</v>
      </c>
      <c r="D342" s="1211">
        <f>3.7/100*C342</f>
        <v>3.7</v>
      </c>
      <c r="E342" s="1211">
        <f>15/100*C342</f>
        <v>15</v>
      </c>
      <c r="F342" s="1211">
        <f>20.4/100*C342</f>
        <v>20.399999999999999</v>
      </c>
      <c r="G342" s="1212">
        <f>232/100*C342</f>
        <v>232</v>
      </c>
      <c r="H342" s="419" t="s">
        <v>1170</v>
      </c>
      <c r="I342" s="1234">
        <f>цены!F134/1000*блюда!C342</f>
        <v>75</v>
      </c>
      <c r="J342" s="330"/>
      <c r="K342" s="330"/>
      <c r="L342" s="330"/>
      <c r="M342" s="330"/>
      <c r="N342" s="330"/>
      <c r="O342" s="330"/>
      <c r="P342" s="330"/>
      <c r="Q342" s="330"/>
      <c r="R342" s="330"/>
      <c r="S342" s="330"/>
      <c r="T342" s="330"/>
      <c r="U342" s="330"/>
      <c r="V342" s="330"/>
      <c r="W342" s="330"/>
      <c r="X342" s="330"/>
      <c r="Y342" s="330"/>
      <c r="Z342" s="330"/>
      <c r="AA342" s="330"/>
      <c r="AB342" s="330"/>
      <c r="AC342" s="330"/>
      <c r="AD342" s="330"/>
      <c r="AE342" s="330"/>
      <c r="AF342" s="330"/>
      <c r="AG342" s="330"/>
      <c r="AH342" s="330"/>
      <c r="AI342" s="330"/>
      <c r="AJ342" s="330"/>
      <c r="AK342" s="330"/>
      <c r="AL342" s="330"/>
      <c r="AM342" s="330"/>
      <c r="AN342" s="330"/>
      <c r="AO342" s="330"/>
      <c r="AP342" s="330"/>
      <c r="AQ342" s="330"/>
      <c r="AR342" s="330"/>
      <c r="AS342" s="330"/>
      <c r="AT342" s="330"/>
      <c r="AU342" s="330"/>
      <c r="AV342" s="330"/>
      <c r="AW342" s="330"/>
      <c r="AX342" s="330"/>
      <c r="AY342" s="330"/>
      <c r="AZ342" s="330"/>
      <c r="BA342" s="330"/>
      <c r="BB342" s="330"/>
      <c r="BC342" s="330"/>
      <c r="BD342" s="330"/>
      <c r="BE342" s="330"/>
      <c r="BF342" s="330"/>
      <c r="BG342" s="330"/>
      <c r="BH342" s="330"/>
      <c r="BI342" s="330"/>
      <c r="BJ342" s="330"/>
      <c r="BK342" s="330"/>
      <c r="BL342" s="330"/>
      <c r="BM342" s="330"/>
      <c r="BN342" s="330"/>
      <c r="BO342" s="330"/>
      <c r="BP342" s="330"/>
      <c r="BQ342" s="330"/>
      <c r="BR342" s="330"/>
      <c r="BS342" s="330"/>
      <c r="BT342" s="330"/>
      <c r="BU342" s="330"/>
      <c r="BV342" s="330"/>
      <c r="BW342" s="330"/>
      <c r="BX342" s="330"/>
      <c r="BY342" s="330"/>
      <c r="BZ342" s="330"/>
      <c r="CA342" s="330"/>
      <c r="CB342" s="330"/>
      <c r="CC342" s="330"/>
      <c r="CD342" s="330"/>
      <c r="CE342" s="330"/>
      <c r="CF342" s="330"/>
      <c r="CG342" s="330"/>
      <c r="CH342" s="330"/>
      <c r="CI342" s="330"/>
      <c r="CJ342" s="330"/>
      <c r="CK342" s="330"/>
      <c r="CL342" s="330"/>
      <c r="CM342" s="330"/>
      <c r="CN342" s="330"/>
      <c r="CO342" s="330"/>
      <c r="CP342" s="330"/>
      <c r="CQ342" s="330"/>
      <c r="CR342" s="330"/>
      <c r="CS342" s="330"/>
      <c r="CT342" s="330"/>
      <c r="CU342" s="330"/>
      <c r="CV342" s="330"/>
      <c r="CW342" s="330"/>
      <c r="CX342" s="330"/>
      <c r="CY342" s="330"/>
      <c r="CZ342" s="330"/>
      <c r="DA342" s="330"/>
      <c r="DB342" s="330"/>
      <c r="DC342" s="330"/>
      <c r="DD342" s="330"/>
      <c r="DE342" s="330"/>
      <c r="DF342" s="330"/>
      <c r="DG342" s="330"/>
      <c r="DH342" s="330"/>
      <c r="DI342" s="330"/>
      <c r="DJ342" s="330"/>
      <c r="DK342" s="330"/>
      <c r="DL342" s="330"/>
      <c r="DM342" s="330"/>
      <c r="DN342" s="330"/>
      <c r="DO342" s="330"/>
      <c r="DP342" s="330"/>
      <c r="DQ342" s="330"/>
      <c r="DR342" s="330"/>
      <c r="DS342" s="330"/>
      <c r="DT342" s="330"/>
      <c r="DU342" s="330"/>
      <c r="DV342" s="330"/>
      <c r="DW342" s="330"/>
      <c r="DX342" s="330"/>
      <c r="DY342" s="330"/>
      <c r="DZ342" s="330"/>
      <c r="EA342" s="330">
        <f>C342/1000</f>
        <v>0.1</v>
      </c>
      <c r="EB342" s="330"/>
      <c r="EC342" s="330"/>
      <c r="ED342" s="330"/>
      <c r="EE342" s="330"/>
      <c r="EF342" s="330"/>
      <c r="EG342" s="330"/>
      <c r="EH342" s="330"/>
      <c r="EI342" s="330"/>
      <c r="EJ342" s="330"/>
      <c r="EK342" s="330"/>
      <c r="EL342" s="330"/>
      <c r="EM342" s="330"/>
      <c r="EN342" s="330"/>
      <c r="EO342" s="330"/>
      <c r="EP342" s="330"/>
      <c r="EQ342" s="330"/>
      <c r="ER342" s="330"/>
      <c r="ES342" s="330"/>
      <c r="ET342" s="330"/>
      <c r="EU342" s="330"/>
      <c r="EV342" s="330"/>
      <c r="EW342" s="330"/>
      <c r="EX342" s="330"/>
      <c r="EY342" s="1032">
        <f t="shared" si="22"/>
        <v>0.1</v>
      </c>
      <c r="EZ342" s="616"/>
      <c r="FA342" s="616"/>
      <c r="FB342" s="616"/>
      <c r="FC342" s="616"/>
      <c r="FD342" s="616"/>
      <c r="FE342" s="616"/>
      <c r="FF342" s="616"/>
      <c r="FG342" s="616"/>
      <c r="FH342" s="616"/>
      <c r="FI342" s="616"/>
      <c r="FJ342" s="616"/>
    </row>
    <row r="343" spans="1:166" s="407" customFormat="1" ht="14.7" customHeight="1" x14ac:dyDescent="0.25">
      <c r="A343" s="421">
        <v>339</v>
      </c>
      <c r="B343" s="602" t="str">
        <f>цены!D135</f>
        <v>Вода питьевая 19 л</v>
      </c>
      <c r="C343" s="419">
        <v>500</v>
      </c>
      <c r="D343" s="1211">
        <v>0</v>
      </c>
      <c r="E343" s="1211">
        <v>0</v>
      </c>
      <c r="F343" s="1211">
        <v>0</v>
      </c>
      <c r="G343" s="1212">
        <v>0</v>
      </c>
      <c r="H343" s="419" t="s">
        <v>1170</v>
      </c>
      <c r="I343" s="1234">
        <f>цены!F135/2</f>
        <v>2.9</v>
      </c>
      <c r="J343" s="330"/>
      <c r="K343" s="330"/>
      <c r="L343" s="330"/>
      <c r="M343" s="330"/>
      <c r="N343" s="330"/>
      <c r="O343" s="330"/>
      <c r="P343" s="330"/>
      <c r="Q343" s="330"/>
      <c r="R343" s="330"/>
      <c r="S343" s="330"/>
      <c r="T343" s="330"/>
      <c r="U343" s="330"/>
      <c r="V343" s="330"/>
      <c r="W343" s="330"/>
      <c r="X343" s="330"/>
      <c r="Y343" s="330"/>
      <c r="Z343" s="330"/>
      <c r="AA343" s="330"/>
      <c r="AB343" s="330"/>
      <c r="AC343" s="330"/>
      <c r="AD343" s="330"/>
      <c r="AE343" s="330"/>
      <c r="AF343" s="330"/>
      <c r="AG343" s="330"/>
      <c r="AH343" s="330"/>
      <c r="AI343" s="330"/>
      <c r="AJ343" s="330"/>
      <c r="AK343" s="330"/>
      <c r="AL343" s="330"/>
      <c r="AM343" s="330"/>
      <c r="AN343" s="330"/>
      <c r="AO343" s="330"/>
      <c r="AP343" s="330"/>
      <c r="AQ343" s="330"/>
      <c r="AR343" s="330"/>
      <c r="AS343" s="330"/>
      <c r="AT343" s="330"/>
      <c r="AU343" s="330"/>
      <c r="AV343" s="330"/>
      <c r="AW343" s="330"/>
      <c r="AX343" s="330"/>
      <c r="AY343" s="330"/>
      <c r="AZ343" s="330"/>
      <c r="BA343" s="330"/>
      <c r="BB343" s="330"/>
      <c r="BC343" s="330"/>
      <c r="BD343" s="330"/>
      <c r="BE343" s="330"/>
      <c r="BF343" s="330"/>
      <c r="BG343" s="330"/>
      <c r="BH343" s="330"/>
      <c r="BI343" s="330"/>
      <c r="BJ343" s="330"/>
      <c r="BK343" s="330"/>
      <c r="BL343" s="330"/>
      <c r="BM343" s="330"/>
      <c r="BN343" s="330"/>
      <c r="BO343" s="330"/>
      <c r="BP343" s="330"/>
      <c r="BQ343" s="330"/>
      <c r="BR343" s="330"/>
      <c r="BS343" s="330"/>
      <c r="BT343" s="330"/>
      <c r="BU343" s="330"/>
      <c r="BV343" s="330"/>
      <c r="BW343" s="330"/>
      <c r="BX343" s="330"/>
      <c r="BY343" s="330"/>
      <c r="BZ343" s="330"/>
      <c r="CA343" s="330"/>
      <c r="CB343" s="330"/>
      <c r="CC343" s="330"/>
      <c r="CD343" s="330"/>
      <c r="CE343" s="330"/>
      <c r="CF343" s="330"/>
      <c r="CG343" s="330"/>
      <c r="CH343" s="330"/>
      <c r="CI343" s="330"/>
      <c r="CJ343" s="330"/>
      <c r="CK343" s="330"/>
      <c r="CL343" s="330"/>
      <c r="CM343" s="330"/>
      <c r="CN343" s="330"/>
      <c r="CO343" s="330"/>
      <c r="CP343" s="330"/>
      <c r="CQ343" s="330"/>
      <c r="CR343" s="330"/>
      <c r="CS343" s="330"/>
      <c r="CT343" s="330"/>
      <c r="CU343" s="330"/>
      <c r="CV343" s="330"/>
      <c r="CW343" s="330"/>
      <c r="CX343" s="330"/>
      <c r="CY343" s="330"/>
      <c r="CZ343" s="330"/>
      <c r="DA343" s="330"/>
      <c r="DB343" s="330"/>
      <c r="DC343" s="330"/>
      <c r="DD343" s="330"/>
      <c r="DE343" s="330"/>
      <c r="DF343" s="330"/>
      <c r="DG343" s="330"/>
      <c r="DH343" s="330"/>
      <c r="DI343" s="330"/>
      <c r="DJ343" s="330"/>
      <c r="DK343" s="330"/>
      <c r="DL343" s="330"/>
      <c r="DM343" s="330"/>
      <c r="DN343" s="330"/>
      <c r="DO343" s="330"/>
      <c r="DP343" s="330"/>
      <c r="DQ343" s="330"/>
      <c r="DR343" s="330"/>
      <c r="DS343" s="330"/>
      <c r="DT343" s="330"/>
      <c r="DU343" s="330"/>
      <c r="DV343" s="330"/>
      <c r="DW343" s="330"/>
      <c r="DX343" s="330"/>
      <c r="DY343" s="330"/>
      <c r="DZ343" s="330"/>
      <c r="EA343" s="330"/>
      <c r="EB343" s="330">
        <f>C343/1000</f>
        <v>0.5</v>
      </c>
      <c r="EC343" s="330"/>
      <c r="ED343" s="330"/>
      <c r="EE343" s="330"/>
      <c r="EF343" s="330"/>
      <c r="EG343" s="330"/>
      <c r="EH343" s="330"/>
      <c r="EI343" s="330"/>
      <c r="EJ343" s="330"/>
      <c r="EK343" s="330"/>
      <c r="EL343" s="330"/>
      <c r="EM343" s="330"/>
      <c r="EN343" s="330"/>
      <c r="EO343" s="330"/>
      <c r="EP343" s="330"/>
      <c r="EQ343" s="330"/>
      <c r="ER343" s="330"/>
      <c r="ES343" s="330"/>
      <c r="ET343" s="330"/>
      <c r="EU343" s="330"/>
      <c r="EV343" s="330"/>
      <c r="EW343" s="330"/>
      <c r="EX343" s="330"/>
      <c r="EY343" s="1032">
        <f t="shared" si="22"/>
        <v>0.5</v>
      </c>
      <c r="EZ343" s="616"/>
      <c r="FA343" s="616"/>
      <c r="FB343" s="616"/>
      <c r="FC343" s="616"/>
      <c r="FD343" s="616"/>
      <c r="FE343" s="616"/>
      <c r="FF343" s="616"/>
      <c r="FG343" s="616"/>
      <c r="FH343" s="616"/>
      <c r="FI343" s="616"/>
      <c r="FJ343" s="616"/>
    </row>
    <row r="344" spans="1:166" s="407" customFormat="1" ht="14.7" customHeight="1" x14ac:dyDescent="0.25">
      <c r="A344" s="421">
        <v>340</v>
      </c>
      <c r="B344" s="602" t="str">
        <f>цены!D136</f>
        <v>Печенье сахарное "Юбилейное"</v>
      </c>
      <c r="C344" s="419">
        <v>30</v>
      </c>
      <c r="D344" s="1211">
        <f>7.5/100*C344</f>
        <v>2.25</v>
      </c>
      <c r="E344" s="1211">
        <f>9.8/100*C344</f>
        <v>2.94</v>
      </c>
      <c r="F344" s="1211">
        <f>74.4/100*C344</f>
        <v>22.32</v>
      </c>
      <c r="G344" s="1212">
        <f>417/100*C344</f>
        <v>125</v>
      </c>
      <c r="H344" s="419" t="s">
        <v>1170</v>
      </c>
      <c r="I344" s="1234">
        <f>цены!F136/1000*блюда!C344</f>
        <v>3.6</v>
      </c>
      <c r="J344" s="330"/>
      <c r="K344" s="330"/>
      <c r="L344" s="330"/>
      <c r="M344" s="330"/>
      <c r="N344" s="330"/>
      <c r="O344" s="330"/>
      <c r="P344" s="330"/>
      <c r="Q344" s="330"/>
      <c r="R344" s="330"/>
      <c r="S344" s="330"/>
      <c r="T344" s="330"/>
      <c r="U344" s="330"/>
      <c r="V344" s="330"/>
      <c r="W344" s="330"/>
      <c r="X344" s="330"/>
      <c r="Y344" s="330"/>
      <c r="Z344" s="330"/>
      <c r="AA344" s="330"/>
      <c r="AB344" s="330"/>
      <c r="AC344" s="330"/>
      <c r="AD344" s="330"/>
      <c r="AE344" s="330"/>
      <c r="AF344" s="330"/>
      <c r="AG344" s="330"/>
      <c r="AH344" s="330"/>
      <c r="AI344" s="330"/>
      <c r="AJ344" s="330"/>
      <c r="AK344" s="330"/>
      <c r="AL344" s="330"/>
      <c r="AM344" s="330"/>
      <c r="AN344" s="330"/>
      <c r="AO344" s="330"/>
      <c r="AP344" s="330"/>
      <c r="AQ344" s="330"/>
      <c r="AR344" s="330"/>
      <c r="AS344" s="330"/>
      <c r="AT344" s="330"/>
      <c r="AU344" s="330"/>
      <c r="AV344" s="330"/>
      <c r="AW344" s="330"/>
      <c r="AX344" s="330"/>
      <c r="AY344" s="330"/>
      <c r="AZ344" s="330"/>
      <c r="BA344" s="330"/>
      <c r="BB344" s="330"/>
      <c r="BC344" s="330"/>
      <c r="BD344" s="330"/>
      <c r="BE344" s="330"/>
      <c r="BF344" s="330"/>
      <c r="BG344" s="330"/>
      <c r="BH344" s="330"/>
      <c r="BI344" s="330"/>
      <c r="BJ344" s="330"/>
      <c r="BK344" s="330"/>
      <c r="BL344" s="330"/>
      <c r="BM344" s="330"/>
      <c r="BN344" s="330"/>
      <c r="BO344" s="330"/>
      <c r="BP344" s="330"/>
      <c r="BQ344" s="330"/>
      <c r="BR344" s="330"/>
      <c r="BS344" s="330"/>
      <c r="BT344" s="330"/>
      <c r="BU344" s="330"/>
      <c r="BV344" s="330"/>
      <c r="BW344" s="330"/>
      <c r="BX344" s="330"/>
      <c r="BY344" s="330"/>
      <c r="BZ344" s="330"/>
      <c r="CA344" s="330"/>
      <c r="CB344" s="330"/>
      <c r="CC344" s="330"/>
      <c r="CD344" s="330"/>
      <c r="CE344" s="330"/>
      <c r="CF344" s="330"/>
      <c r="CG344" s="330"/>
      <c r="CH344" s="330"/>
      <c r="CI344" s="330"/>
      <c r="CJ344" s="330"/>
      <c r="CK344" s="330"/>
      <c r="CL344" s="330"/>
      <c r="CM344" s="330"/>
      <c r="CN344" s="330"/>
      <c r="CO344" s="330"/>
      <c r="CP344" s="330"/>
      <c r="CQ344" s="330"/>
      <c r="CR344" s="330"/>
      <c r="CS344" s="330"/>
      <c r="CT344" s="330"/>
      <c r="CU344" s="330"/>
      <c r="CV344" s="330"/>
      <c r="CW344" s="330"/>
      <c r="CX344" s="330"/>
      <c r="CY344" s="330"/>
      <c r="CZ344" s="330"/>
      <c r="DA344" s="330"/>
      <c r="DB344" s="330"/>
      <c r="DC344" s="330"/>
      <c r="DD344" s="330"/>
      <c r="DE344" s="330"/>
      <c r="DF344" s="330"/>
      <c r="DG344" s="330"/>
      <c r="DH344" s="330"/>
      <c r="DI344" s="330"/>
      <c r="DJ344" s="330"/>
      <c r="DK344" s="330"/>
      <c r="DL344" s="330"/>
      <c r="DM344" s="330"/>
      <c r="DN344" s="330"/>
      <c r="DO344" s="330"/>
      <c r="DP344" s="330"/>
      <c r="DQ344" s="330"/>
      <c r="DR344" s="330"/>
      <c r="DS344" s="330"/>
      <c r="DT344" s="330"/>
      <c r="DU344" s="330"/>
      <c r="DV344" s="330"/>
      <c r="DW344" s="330"/>
      <c r="DX344" s="330"/>
      <c r="DY344" s="330"/>
      <c r="DZ344" s="330"/>
      <c r="EA344" s="330"/>
      <c r="EB344" s="330"/>
      <c r="EC344" s="330">
        <f>C344/1000</f>
        <v>0.03</v>
      </c>
      <c r="ED344" s="330"/>
      <c r="EE344" s="330"/>
      <c r="EF344" s="330"/>
      <c r="EG344" s="330"/>
      <c r="EH344" s="330"/>
      <c r="EI344" s="330"/>
      <c r="EJ344" s="330"/>
      <c r="EK344" s="330"/>
      <c r="EL344" s="330"/>
      <c r="EM344" s="330"/>
      <c r="EN344" s="330"/>
      <c r="EO344" s="330"/>
      <c r="EP344" s="330"/>
      <c r="EQ344" s="330"/>
      <c r="ER344" s="330"/>
      <c r="ES344" s="330"/>
      <c r="ET344" s="330"/>
      <c r="EU344" s="330"/>
      <c r="EV344" s="330"/>
      <c r="EW344" s="330"/>
      <c r="EX344" s="330"/>
      <c r="EY344" s="1032">
        <f t="shared" si="22"/>
        <v>0.03</v>
      </c>
      <c r="EZ344" s="616"/>
      <c r="FA344" s="616"/>
      <c r="FB344" s="616"/>
      <c r="FC344" s="616"/>
      <c r="FD344" s="616"/>
      <c r="FE344" s="616"/>
      <c r="FF344" s="616"/>
      <c r="FG344" s="616"/>
      <c r="FH344" s="616"/>
      <c r="FI344" s="616"/>
      <c r="FJ344" s="616"/>
    </row>
    <row r="345" spans="1:166" s="407" customFormat="1" ht="14.7" customHeight="1" x14ac:dyDescent="0.25">
      <c r="A345" s="421">
        <v>341</v>
      </c>
      <c r="B345" s="602" t="str">
        <f>цены!D141</f>
        <v>Зефир</v>
      </c>
      <c r="C345" s="419">
        <v>23</v>
      </c>
      <c r="D345" s="1211">
        <f>0.8/100*C345</f>
        <v>0.18</v>
      </c>
      <c r="E345" s="1211">
        <f>0.1/100*C345</f>
        <v>0.02</v>
      </c>
      <c r="F345" s="1211">
        <f>79.8/100*C345</f>
        <v>18.350000000000001</v>
      </c>
      <c r="G345" s="1212">
        <f>326/100*C345</f>
        <v>75</v>
      </c>
      <c r="H345" s="419" t="s">
        <v>1170</v>
      </c>
      <c r="I345" s="1234">
        <f>цены!F141/1000*блюда!C345</f>
        <v>2.99</v>
      </c>
      <c r="J345" s="330"/>
      <c r="K345" s="330"/>
      <c r="L345" s="330"/>
      <c r="M345" s="330"/>
      <c r="N345" s="330"/>
      <c r="O345" s="330"/>
      <c r="P345" s="330"/>
      <c r="Q345" s="330"/>
      <c r="R345" s="330"/>
      <c r="S345" s="330"/>
      <c r="T345" s="330"/>
      <c r="U345" s="330"/>
      <c r="V345" s="330"/>
      <c r="W345" s="330"/>
      <c r="X345" s="330"/>
      <c r="Y345" s="330"/>
      <c r="Z345" s="330"/>
      <c r="AA345" s="330"/>
      <c r="AB345" s="330"/>
      <c r="AC345" s="330"/>
      <c r="AD345" s="330"/>
      <c r="AE345" s="330"/>
      <c r="AF345" s="330"/>
      <c r="AG345" s="330"/>
      <c r="AH345" s="330"/>
      <c r="AI345" s="330"/>
      <c r="AJ345" s="330"/>
      <c r="AK345" s="330"/>
      <c r="AL345" s="330"/>
      <c r="AM345" s="330"/>
      <c r="AN345" s="330"/>
      <c r="AO345" s="330"/>
      <c r="AP345" s="330"/>
      <c r="AQ345" s="330"/>
      <c r="AR345" s="330"/>
      <c r="AS345" s="330"/>
      <c r="AT345" s="330"/>
      <c r="AU345" s="330"/>
      <c r="AV345" s="330"/>
      <c r="AW345" s="330"/>
      <c r="AX345" s="330"/>
      <c r="AY345" s="330"/>
      <c r="AZ345" s="330"/>
      <c r="BA345" s="330"/>
      <c r="BB345" s="330"/>
      <c r="BC345" s="330"/>
      <c r="BD345" s="330"/>
      <c r="BE345" s="330"/>
      <c r="BF345" s="330"/>
      <c r="BG345" s="330"/>
      <c r="BH345" s="330"/>
      <c r="BI345" s="330"/>
      <c r="BJ345" s="330"/>
      <c r="BK345" s="330"/>
      <c r="BL345" s="330"/>
      <c r="BM345" s="330"/>
      <c r="BN345" s="330"/>
      <c r="BO345" s="330"/>
      <c r="BP345" s="330"/>
      <c r="BQ345" s="330"/>
      <c r="BR345" s="330"/>
      <c r="BS345" s="330"/>
      <c r="BT345" s="330"/>
      <c r="BU345" s="330"/>
      <c r="BV345" s="330"/>
      <c r="BW345" s="330"/>
      <c r="BX345" s="330"/>
      <c r="BY345" s="330"/>
      <c r="BZ345" s="330"/>
      <c r="CA345" s="330"/>
      <c r="CB345" s="330"/>
      <c r="CC345" s="330"/>
      <c r="CD345" s="330"/>
      <c r="CE345" s="330"/>
      <c r="CF345" s="330"/>
      <c r="CG345" s="330"/>
      <c r="CH345" s="330"/>
      <c r="CI345" s="330"/>
      <c r="CJ345" s="330"/>
      <c r="CK345" s="330"/>
      <c r="CL345" s="330"/>
      <c r="CM345" s="330"/>
      <c r="CN345" s="330"/>
      <c r="CO345" s="330"/>
      <c r="CP345" s="330"/>
      <c r="CQ345" s="330"/>
      <c r="CR345" s="330"/>
      <c r="CS345" s="330"/>
      <c r="CT345" s="330"/>
      <c r="CU345" s="330"/>
      <c r="CV345" s="330"/>
      <c r="CW345" s="330"/>
      <c r="CX345" s="330"/>
      <c r="CY345" s="330"/>
      <c r="CZ345" s="330"/>
      <c r="DA345" s="330"/>
      <c r="DB345" s="330"/>
      <c r="DC345" s="330"/>
      <c r="DD345" s="330"/>
      <c r="DE345" s="330"/>
      <c r="DF345" s="330"/>
      <c r="DG345" s="330"/>
      <c r="DH345" s="330"/>
      <c r="DI345" s="330"/>
      <c r="DJ345" s="330"/>
      <c r="DK345" s="330"/>
      <c r="DL345" s="330"/>
      <c r="DM345" s="330"/>
      <c r="DN345" s="330"/>
      <c r="DO345" s="330"/>
      <c r="DP345" s="330"/>
      <c r="DQ345" s="330"/>
      <c r="DR345" s="330"/>
      <c r="DS345" s="330"/>
      <c r="DT345" s="330"/>
      <c r="DU345" s="330"/>
      <c r="DV345" s="330"/>
      <c r="DW345" s="330"/>
      <c r="DX345" s="330"/>
      <c r="DY345" s="330"/>
      <c r="DZ345" s="330"/>
      <c r="EA345" s="330"/>
      <c r="EB345" s="330"/>
      <c r="EC345" s="330"/>
      <c r="ED345" s="330"/>
      <c r="EE345" s="330"/>
      <c r="EF345" s="330"/>
      <c r="EG345" s="330"/>
      <c r="EH345" s="330">
        <f>C345/1000</f>
        <v>2.3E-2</v>
      </c>
      <c r="EI345" s="330"/>
      <c r="EJ345" s="330"/>
      <c r="EK345" s="330"/>
      <c r="EL345" s="330"/>
      <c r="EM345" s="330"/>
      <c r="EN345" s="330"/>
      <c r="EO345" s="330"/>
      <c r="EP345" s="330"/>
      <c r="EQ345" s="330"/>
      <c r="ER345" s="330"/>
      <c r="ES345" s="330"/>
      <c r="ET345" s="330"/>
      <c r="EU345" s="330"/>
      <c r="EV345" s="330"/>
      <c r="EW345" s="330"/>
      <c r="EX345" s="330"/>
      <c r="EY345" s="1032">
        <f t="shared" si="22"/>
        <v>2.3E-2</v>
      </c>
      <c r="EZ345" s="616"/>
      <c r="FA345" s="616"/>
      <c r="FB345" s="616"/>
      <c r="FC345" s="616"/>
      <c r="FD345" s="616"/>
      <c r="FE345" s="616"/>
      <c r="FF345" s="616"/>
      <c r="FG345" s="616"/>
      <c r="FH345" s="616"/>
      <c r="FI345" s="616"/>
      <c r="FJ345" s="616"/>
    </row>
    <row r="346" spans="1:166" s="407" customFormat="1" ht="14.7" customHeight="1" x14ac:dyDescent="0.25">
      <c r="A346" s="421">
        <v>342</v>
      </c>
      <c r="B346" s="602" t="str">
        <f>цены!D143</f>
        <v>Сок натуральный виноградный (в банках 3 л)</v>
      </c>
      <c r="C346" s="419">
        <v>200</v>
      </c>
      <c r="D346" s="1211">
        <v>0</v>
      </c>
      <c r="E346" s="1211">
        <v>0</v>
      </c>
      <c r="F346" s="1211">
        <f>5/100*C346</f>
        <v>10</v>
      </c>
      <c r="G346" s="1212">
        <f>20/100*C346</f>
        <v>40</v>
      </c>
      <c r="H346" s="419" t="s">
        <v>1170</v>
      </c>
      <c r="I346" s="1234">
        <f>цены!F143/1000*блюда!C346</f>
        <v>5.2</v>
      </c>
      <c r="J346" s="330"/>
      <c r="K346" s="330"/>
      <c r="L346" s="330"/>
      <c r="M346" s="330"/>
      <c r="N346" s="330"/>
      <c r="O346" s="330"/>
      <c r="P346" s="330"/>
      <c r="Q346" s="330"/>
      <c r="R346" s="330"/>
      <c r="S346" s="330"/>
      <c r="T346" s="330"/>
      <c r="U346" s="330"/>
      <c r="V346" s="330"/>
      <c r="W346" s="330"/>
      <c r="X346" s="330"/>
      <c r="Y346" s="330"/>
      <c r="Z346" s="330"/>
      <c r="AA346" s="330"/>
      <c r="AB346" s="330"/>
      <c r="AC346" s="330"/>
      <c r="AD346" s="330"/>
      <c r="AE346" s="330"/>
      <c r="AF346" s="330"/>
      <c r="AG346" s="330"/>
      <c r="AH346" s="330"/>
      <c r="AI346" s="330"/>
      <c r="AJ346" s="330"/>
      <c r="AK346" s="330"/>
      <c r="AL346" s="330"/>
      <c r="AM346" s="330"/>
      <c r="AN346" s="330"/>
      <c r="AO346" s="330"/>
      <c r="AP346" s="330"/>
      <c r="AQ346" s="330"/>
      <c r="AR346" s="330"/>
      <c r="AS346" s="330"/>
      <c r="AT346" s="330"/>
      <c r="AU346" s="330"/>
      <c r="AV346" s="330"/>
      <c r="AW346" s="330"/>
      <c r="AX346" s="330"/>
      <c r="AY346" s="330"/>
      <c r="AZ346" s="330"/>
      <c r="BA346" s="330"/>
      <c r="BB346" s="330"/>
      <c r="BC346" s="330"/>
      <c r="BD346" s="330"/>
      <c r="BE346" s="330"/>
      <c r="BF346" s="330"/>
      <c r="BG346" s="330"/>
      <c r="BH346" s="330"/>
      <c r="BI346" s="330"/>
      <c r="BJ346" s="330"/>
      <c r="BK346" s="330"/>
      <c r="BL346" s="330"/>
      <c r="BM346" s="330"/>
      <c r="BN346" s="330"/>
      <c r="BO346" s="330"/>
      <c r="BP346" s="330"/>
      <c r="BQ346" s="330"/>
      <c r="BR346" s="330"/>
      <c r="BS346" s="330"/>
      <c r="BT346" s="330"/>
      <c r="BU346" s="330"/>
      <c r="BV346" s="330"/>
      <c r="BW346" s="330"/>
      <c r="BX346" s="330"/>
      <c r="BY346" s="330"/>
      <c r="BZ346" s="330"/>
      <c r="CA346" s="330"/>
      <c r="CB346" s="330"/>
      <c r="CC346" s="330"/>
      <c r="CD346" s="330"/>
      <c r="CE346" s="330"/>
      <c r="CF346" s="330"/>
      <c r="CG346" s="330"/>
      <c r="CH346" s="330"/>
      <c r="CI346" s="330"/>
      <c r="CJ346" s="330"/>
      <c r="CK346" s="330"/>
      <c r="CL346" s="330"/>
      <c r="CM346" s="330"/>
      <c r="CN346" s="330"/>
      <c r="CO346" s="330"/>
      <c r="CP346" s="330"/>
      <c r="CQ346" s="330"/>
      <c r="CR346" s="330"/>
      <c r="CS346" s="330"/>
      <c r="CT346" s="330"/>
      <c r="CU346" s="330"/>
      <c r="CV346" s="330"/>
      <c r="CW346" s="330"/>
      <c r="CX346" s="330"/>
      <c r="CY346" s="330"/>
      <c r="CZ346" s="330"/>
      <c r="DA346" s="330"/>
      <c r="DB346" s="330"/>
      <c r="DC346" s="330"/>
      <c r="DD346" s="330"/>
      <c r="DE346" s="330"/>
      <c r="DF346" s="330"/>
      <c r="DG346" s="330"/>
      <c r="DH346" s="330"/>
      <c r="DI346" s="330"/>
      <c r="DJ346" s="330"/>
      <c r="DK346" s="330"/>
      <c r="DL346" s="330"/>
      <c r="DM346" s="330"/>
      <c r="DN346" s="330"/>
      <c r="DO346" s="330"/>
      <c r="DP346" s="330"/>
      <c r="DQ346" s="330"/>
      <c r="DR346" s="330"/>
      <c r="DS346" s="330"/>
      <c r="DT346" s="330"/>
      <c r="DU346" s="330"/>
      <c r="DV346" s="330"/>
      <c r="DW346" s="330"/>
      <c r="DX346" s="330"/>
      <c r="DY346" s="330"/>
      <c r="DZ346" s="330"/>
      <c r="EA346" s="330"/>
      <c r="EB346" s="330"/>
      <c r="EC346" s="330"/>
      <c r="ED346" s="330"/>
      <c r="EE346" s="330"/>
      <c r="EF346" s="330"/>
      <c r="EG346" s="330"/>
      <c r="EH346" s="330"/>
      <c r="EI346" s="330"/>
      <c r="EJ346" s="330">
        <f>C346/1000</f>
        <v>0.2</v>
      </c>
      <c r="EK346" s="330"/>
      <c r="EL346" s="330"/>
      <c r="EM346" s="330"/>
      <c r="EN346" s="330"/>
      <c r="EO346" s="330"/>
      <c r="EP346" s="330"/>
      <c r="EQ346" s="330"/>
      <c r="ER346" s="330"/>
      <c r="ES346" s="330"/>
      <c r="ET346" s="330"/>
      <c r="EU346" s="330"/>
      <c r="EV346" s="330"/>
      <c r="EW346" s="330"/>
      <c r="EX346" s="330"/>
      <c r="EY346" s="1032">
        <f t="shared" si="22"/>
        <v>0.2</v>
      </c>
      <c r="EZ346" s="616"/>
      <c r="FA346" s="616"/>
      <c r="FB346" s="616"/>
      <c r="FC346" s="616"/>
      <c r="FD346" s="616"/>
      <c r="FE346" s="616"/>
      <c r="FF346" s="616"/>
      <c r="FG346" s="616"/>
      <c r="FH346" s="616"/>
      <c r="FI346" s="616"/>
      <c r="FJ346" s="616"/>
    </row>
    <row r="347" spans="1:166" s="545" customFormat="1" ht="14.7" customHeight="1" x14ac:dyDescent="0.25">
      <c r="A347" s="421">
        <v>343</v>
      </c>
      <c r="B347" s="602" t="str">
        <f>цены!D122</f>
        <v>Курага</v>
      </c>
      <c r="C347" s="419">
        <v>30</v>
      </c>
      <c r="D347" s="1211">
        <f>5.2/100*C347</f>
        <v>1.56</v>
      </c>
      <c r="E347" s="1211">
        <f>0.3/100*C347</f>
        <v>0.09</v>
      </c>
      <c r="F347" s="1211">
        <f>51/100*C347</f>
        <v>15.3</v>
      </c>
      <c r="G347" s="1212">
        <f>232/100*C347</f>
        <v>70</v>
      </c>
      <c r="H347" s="419" t="s">
        <v>1170</v>
      </c>
      <c r="I347" s="1234">
        <f>цены!F122/1000*блюда!C347</f>
        <v>7.5</v>
      </c>
      <c r="J347" s="330"/>
      <c r="K347" s="330"/>
      <c r="L347" s="330"/>
      <c r="M347" s="330"/>
      <c r="N347" s="330"/>
      <c r="O347" s="330"/>
      <c r="P347" s="330"/>
      <c r="Q347" s="330"/>
      <c r="R347" s="330"/>
      <c r="S347" s="330"/>
      <c r="T347" s="330"/>
      <c r="U347" s="330"/>
      <c r="V347" s="330"/>
      <c r="W347" s="330"/>
      <c r="X347" s="330"/>
      <c r="Y347" s="330"/>
      <c r="Z347" s="330"/>
      <c r="AA347" s="330"/>
      <c r="AB347" s="330"/>
      <c r="AC347" s="330"/>
      <c r="AD347" s="330"/>
      <c r="AE347" s="330"/>
      <c r="AF347" s="330"/>
      <c r="AG347" s="330"/>
      <c r="AH347" s="330"/>
      <c r="AI347" s="330"/>
      <c r="AJ347" s="330"/>
      <c r="AK347" s="330"/>
      <c r="AL347" s="330"/>
      <c r="AM347" s="330"/>
      <c r="AN347" s="330"/>
      <c r="AO347" s="330"/>
      <c r="AP347" s="330"/>
      <c r="AQ347" s="330"/>
      <c r="AR347" s="330"/>
      <c r="AS347" s="330"/>
      <c r="AT347" s="330"/>
      <c r="AU347" s="330"/>
      <c r="AV347" s="330"/>
      <c r="AW347" s="330"/>
      <c r="AX347" s="330"/>
      <c r="AY347" s="330"/>
      <c r="AZ347" s="330"/>
      <c r="BA347" s="330"/>
      <c r="BB347" s="330"/>
      <c r="BC347" s="330"/>
      <c r="BD347" s="330"/>
      <c r="BE347" s="330"/>
      <c r="BF347" s="330"/>
      <c r="BG347" s="330"/>
      <c r="BH347" s="330"/>
      <c r="BI347" s="330"/>
      <c r="BJ347" s="330"/>
      <c r="BK347" s="330"/>
      <c r="BL347" s="330"/>
      <c r="BM347" s="330"/>
      <c r="BN347" s="330"/>
      <c r="BO347" s="330"/>
      <c r="BP347" s="330"/>
      <c r="BQ347" s="330"/>
      <c r="BR347" s="330"/>
      <c r="BS347" s="330"/>
      <c r="BT347" s="330"/>
      <c r="BU347" s="330"/>
      <c r="BV347" s="330"/>
      <c r="BW347" s="330"/>
      <c r="BX347" s="330"/>
      <c r="BY347" s="330"/>
      <c r="BZ347" s="330"/>
      <c r="CA347" s="330"/>
      <c r="CB347" s="330"/>
      <c r="CC347" s="330"/>
      <c r="CD347" s="330"/>
      <c r="CE347" s="330"/>
      <c r="CF347" s="330"/>
      <c r="CG347" s="330"/>
      <c r="CH347" s="330"/>
      <c r="CI347" s="330"/>
      <c r="CJ347" s="330"/>
      <c r="CK347" s="330"/>
      <c r="CL347" s="330"/>
      <c r="CM347" s="330"/>
      <c r="CN347" s="330"/>
      <c r="CO347" s="330"/>
      <c r="CP347" s="330"/>
      <c r="CQ347" s="330"/>
      <c r="CR347" s="330"/>
      <c r="CS347" s="330"/>
      <c r="CT347" s="330"/>
      <c r="CU347" s="330"/>
      <c r="CV347" s="330"/>
      <c r="CW347" s="330"/>
      <c r="CX347" s="330"/>
      <c r="CY347" s="330"/>
      <c r="CZ347" s="330"/>
      <c r="DA347" s="330"/>
      <c r="DB347" s="330"/>
      <c r="DC347" s="330"/>
      <c r="DD347" s="330"/>
      <c r="DE347" s="330"/>
      <c r="DF347" s="330"/>
      <c r="DG347" s="330"/>
      <c r="DH347" s="330"/>
      <c r="DI347" s="330"/>
      <c r="DJ347" s="330"/>
      <c r="DK347" s="330"/>
      <c r="DL347" s="330"/>
      <c r="DM347" s="330"/>
      <c r="DN347" s="330"/>
      <c r="DO347" s="330">
        <f>C347/1000</f>
        <v>0.03</v>
      </c>
      <c r="DP347" s="330"/>
      <c r="DQ347" s="330"/>
      <c r="DR347" s="330"/>
      <c r="DS347" s="330"/>
      <c r="DT347" s="330"/>
      <c r="DU347" s="330"/>
      <c r="DV347" s="330"/>
      <c r="DW347" s="330"/>
      <c r="DX347" s="330"/>
      <c r="DY347" s="330"/>
      <c r="DZ347" s="330"/>
      <c r="EA347" s="330"/>
      <c r="EB347" s="330"/>
      <c r="EC347" s="330"/>
      <c r="ED347" s="330"/>
      <c r="EE347" s="330"/>
      <c r="EF347" s="330"/>
      <c r="EG347" s="330"/>
      <c r="EH347" s="330"/>
      <c r="EI347" s="330"/>
      <c r="EJ347" s="330"/>
      <c r="EK347" s="330"/>
      <c r="EL347" s="330"/>
      <c r="EM347" s="330"/>
      <c r="EN347" s="330"/>
      <c r="EO347" s="330"/>
      <c r="EP347" s="330"/>
      <c r="EQ347" s="330"/>
      <c r="ER347" s="330"/>
      <c r="ES347" s="330"/>
      <c r="ET347" s="330"/>
      <c r="EU347" s="330"/>
      <c r="EV347" s="330"/>
      <c r="EW347" s="330"/>
      <c r="EX347" s="330"/>
      <c r="EY347" s="1032">
        <f t="shared" si="22"/>
        <v>0.03</v>
      </c>
      <c r="EZ347" s="616"/>
      <c r="FA347" s="616"/>
      <c r="FB347" s="616"/>
      <c r="FC347" s="616"/>
      <c r="FD347" s="616"/>
      <c r="FE347" s="616"/>
      <c r="FF347" s="616"/>
      <c r="FG347" s="616"/>
      <c r="FH347" s="616"/>
      <c r="FI347" s="616"/>
      <c r="FJ347" s="616"/>
    </row>
    <row r="348" spans="1:166" s="545" customFormat="1" ht="14.7" customHeight="1" x14ac:dyDescent="0.25">
      <c r="A348" s="421">
        <v>344</v>
      </c>
      <c r="B348" s="602" t="str">
        <f>цены!D123</f>
        <v>Финики</v>
      </c>
      <c r="C348" s="419">
        <v>30</v>
      </c>
      <c r="D348" s="1211">
        <f>2.5/100*C348</f>
        <v>0.75</v>
      </c>
      <c r="E348" s="1211">
        <f>0.5/100*C348</f>
        <v>0.15</v>
      </c>
      <c r="F348" s="1211">
        <f>69.2/100*C348</f>
        <v>20.76</v>
      </c>
      <c r="G348" s="1212">
        <f>292/100*C348</f>
        <v>88</v>
      </c>
      <c r="H348" s="419" t="s">
        <v>1170</v>
      </c>
      <c r="I348" s="1234">
        <f>цены!F123/1000*блюда!C348</f>
        <v>7.5</v>
      </c>
      <c r="J348" s="330"/>
      <c r="K348" s="330"/>
      <c r="L348" s="330"/>
      <c r="M348" s="330"/>
      <c r="N348" s="330"/>
      <c r="O348" s="330"/>
      <c r="P348" s="330"/>
      <c r="Q348" s="330"/>
      <c r="R348" s="330"/>
      <c r="S348" s="330"/>
      <c r="T348" s="330"/>
      <c r="U348" s="330"/>
      <c r="V348" s="330"/>
      <c r="W348" s="330"/>
      <c r="X348" s="330"/>
      <c r="Y348" s="330"/>
      <c r="Z348" s="330"/>
      <c r="AA348" s="330"/>
      <c r="AB348" s="330"/>
      <c r="AC348" s="330"/>
      <c r="AD348" s="330"/>
      <c r="AE348" s="330"/>
      <c r="AF348" s="330"/>
      <c r="AG348" s="330"/>
      <c r="AH348" s="330"/>
      <c r="AI348" s="330"/>
      <c r="AJ348" s="330"/>
      <c r="AK348" s="330"/>
      <c r="AL348" s="330"/>
      <c r="AM348" s="330"/>
      <c r="AN348" s="330"/>
      <c r="AO348" s="330"/>
      <c r="AP348" s="330"/>
      <c r="AQ348" s="330"/>
      <c r="AR348" s="330"/>
      <c r="AS348" s="330"/>
      <c r="AT348" s="330"/>
      <c r="AU348" s="330"/>
      <c r="AV348" s="330"/>
      <c r="AW348" s="330"/>
      <c r="AX348" s="330"/>
      <c r="AY348" s="330"/>
      <c r="AZ348" s="330"/>
      <c r="BA348" s="330"/>
      <c r="BB348" s="330"/>
      <c r="BC348" s="330"/>
      <c r="BD348" s="330"/>
      <c r="BE348" s="330"/>
      <c r="BF348" s="330"/>
      <c r="BG348" s="330"/>
      <c r="BH348" s="330"/>
      <c r="BI348" s="330"/>
      <c r="BJ348" s="330"/>
      <c r="BK348" s="330"/>
      <c r="BL348" s="330"/>
      <c r="BM348" s="330"/>
      <c r="BN348" s="330"/>
      <c r="BO348" s="330"/>
      <c r="BP348" s="330"/>
      <c r="BQ348" s="330"/>
      <c r="BR348" s="330"/>
      <c r="BS348" s="330"/>
      <c r="BT348" s="330"/>
      <c r="BU348" s="330"/>
      <c r="BV348" s="330"/>
      <c r="BW348" s="330"/>
      <c r="BX348" s="330"/>
      <c r="BY348" s="330"/>
      <c r="BZ348" s="330"/>
      <c r="CA348" s="330"/>
      <c r="CB348" s="330"/>
      <c r="CC348" s="330"/>
      <c r="CD348" s="330"/>
      <c r="CE348" s="330"/>
      <c r="CF348" s="330"/>
      <c r="CG348" s="330"/>
      <c r="CH348" s="330"/>
      <c r="CI348" s="330"/>
      <c r="CJ348" s="330"/>
      <c r="CK348" s="330"/>
      <c r="CL348" s="330"/>
      <c r="CM348" s="330"/>
      <c r="CN348" s="330"/>
      <c r="CO348" s="330"/>
      <c r="CP348" s="330"/>
      <c r="CQ348" s="330"/>
      <c r="CR348" s="330"/>
      <c r="CS348" s="330"/>
      <c r="CT348" s="330"/>
      <c r="CU348" s="330"/>
      <c r="CV348" s="330"/>
      <c r="CW348" s="330"/>
      <c r="CX348" s="330"/>
      <c r="CY348" s="330"/>
      <c r="CZ348" s="330"/>
      <c r="DA348" s="330"/>
      <c r="DB348" s="330"/>
      <c r="DC348" s="330"/>
      <c r="DD348" s="330"/>
      <c r="DE348" s="330"/>
      <c r="DF348" s="330"/>
      <c r="DG348" s="330"/>
      <c r="DH348" s="330"/>
      <c r="DI348" s="330"/>
      <c r="DJ348" s="330"/>
      <c r="DK348" s="330"/>
      <c r="DL348" s="330"/>
      <c r="DM348" s="330"/>
      <c r="DN348" s="330"/>
      <c r="DO348" s="330"/>
      <c r="DP348" s="330">
        <f>C348/1000</f>
        <v>0.03</v>
      </c>
      <c r="DQ348" s="330"/>
      <c r="DR348" s="330"/>
      <c r="DS348" s="330"/>
      <c r="DT348" s="330"/>
      <c r="DU348" s="330"/>
      <c r="DV348" s="330"/>
      <c r="DW348" s="330"/>
      <c r="DX348" s="330"/>
      <c r="DY348" s="330"/>
      <c r="DZ348" s="330"/>
      <c r="EA348" s="330"/>
      <c r="EB348" s="330"/>
      <c r="EC348" s="330"/>
      <c r="ED348" s="330"/>
      <c r="EE348" s="330"/>
      <c r="EF348" s="330"/>
      <c r="EG348" s="330"/>
      <c r="EH348" s="330"/>
      <c r="EI348" s="330"/>
      <c r="EJ348" s="330"/>
      <c r="EK348" s="330"/>
      <c r="EL348" s="330"/>
      <c r="EM348" s="330"/>
      <c r="EN348" s="330"/>
      <c r="EO348" s="330"/>
      <c r="EP348" s="330"/>
      <c r="EQ348" s="330"/>
      <c r="ER348" s="330"/>
      <c r="ES348" s="330"/>
      <c r="ET348" s="330"/>
      <c r="EU348" s="330"/>
      <c r="EV348" s="330"/>
      <c r="EW348" s="330"/>
      <c r="EX348" s="330"/>
      <c r="EY348" s="1032">
        <f t="shared" si="22"/>
        <v>0.03</v>
      </c>
      <c r="EZ348" s="616"/>
      <c r="FA348" s="616"/>
      <c r="FB348" s="616"/>
      <c r="FC348" s="616"/>
      <c r="FD348" s="616"/>
      <c r="FE348" s="616"/>
      <c r="FF348" s="616"/>
      <c r="FG348" s="616"/>
      <c r="FH348" s="616"/>
      <c r="FI348" s="616"/>
      <c r="FJ348" s="616"/>
    </row>
    <row r="349" spans="1:166" s="545" customFormat="1" ht="14.7" customHeight="1" x14ac:dyDescent="0.25">
      <c r="A349" s="421">
        <v>345</v>
      </c>
      <c r="B349" s="602" t="str">
        <f>цены!D124</f>
        <v>Орех грецкий</v>
      </c>
      <c r="C349" s="419">
        <v>20</v>
      </c>
      <c r="D349" s="1211">
        <f>16.2/100*C349</f>
        <v>3.24</v>
      </c>
      <c r="E349" s="1211">
        <f>60.8/100*C349</f>
        <v>12.16</v>
      </c>
      <c r="F349" s="1211">
        <f>11.1/100*C349</f>
        <v>2.2200000000000002</v>
      </c>
      <c r="G349" s="1212">
        <f>656/100*C349</f>
        <v>131</v>
      </c>
      <c r="H349" s="419" t="s">
        <v>1170</v>
      </c>
      <c r="I349" s="1234">
        <f>цены!F124/1000*блюда!C349</f>
        <v>5</v>
      </c>
      <c r="J349" s="330"/>
      <c r="K349" s="330"/>
      <c r="L349" s="330"/>
      <c r="M349" s="330"/>
      <c r="N349" s="330"/>
      <c r="O349" s="330"/>
      <c r="P349" s="330"/>
      <c r="Q349" s="330"/>
      <c r="R349" s="330"/>
      <c r="S349" s="330"/>
      <c r="T349" s="330"/>
      <c r="U349" s="330"/>
      <c r="V349" s="330"/>
      <c r="W349" s="330"/>
      <c r="X349" s="330"/>
      <c r="Y349" s="330"/>
      <c r="Z349" s="330"/>
      <c r="AA349" s="330"/>
      <c r="AB349" s="330"/>
      <c r="AC349" s="330"/>
      <c r="AD349" s="330"/>
      <c r="AE349" s="330"/>
      <c r="AF349" s="330"/>
      <c r="AG349" s="330"/>
      <c r="AH349" s="330"/>
      <c r="AI349" s="330"/>
      <c r="AJ349" s="330"/>
      <c r="AK349" s="330"/>
      <c r="AL349" s="330"/>
      <c r="AM349" s="330"/>
      <c r="AN349" s="330"/>
      <c r="AO349" s="330"/>
      <c r="AP349" s="330"/>
      <c r="AQ349" s="330"/>
      <c r="AR349" s="330"/>
      <c r="AS349" s="330"/>
      <c r="AT349" s="330"/>
      <c r="AU349" s="330"/>
      <c r="AV349" s="330"/>
      <c r="AW349" s="330"/>
      <c r="AX349" s="330"/>
      <c r="AY349" s="330"/>
      <c r="AZ349" s="330"/>
      <c r="BA349" s="330"/>
      <c r="BB349" s="330"/>
      <c r="BC349" s="330"/>
      <c r="BD349" s="330"/>
      <c r="BE349" s="330"/>
      <c r="BF349" s="330"/>
      <c r="BG349" s="330"/>
      <c r="BH349" s="330"/>
      <c r="BI349" s="330"/>
      <c r="BJ349" s="330"/>
      <c r="BK349" s="330"/>
      <c r="BL349" s="330"/>
      <c r="BM349" s="330"/>
      <c r="BN349" s="330"/>
      <c r="BO349" s="330"/>
      <c r="BP349" s="330"/>
      <c r="BQ349" s="330"/>
      <c r="BR349" s="330"/>
      <c r="BS349" s="330"/>
      <c r="BT349" s="330"/>
      <c r="BU349" s="330"/>
      <c r="BV349" s="330"/>
      <c r="BW349" s="330"/>
      <c r="BX349" s="330"/>
      <c r="BY349" s="330"/>
      <c r="BZ349" s="330"/>
      <c r="CA349" s="330"/>
      <c r="CB349" s="330"/>
      <c r="CC349" s="330"/>
      <c r="CD349" s="330"/>
      <c r="CE349" s="330"/>
      <c r="CF349" s="330"/>
      <c r="CG349" s="330"/>
      <c r="CH349" s="330"/>
      <c r="CI349" s="330"/>
      <c r="CJ349" s="330"/>
      <c r="CK349" s="330"/>
      <c r="CL349" s="330"/>
      <c r="CM349" s="330"/>
      <c r="CN349" s="330"/>
      <c r="CO349" s="330"/>
      <c r="CP349" s="330"/>
      <c r="CQ349" s="330"/>
      <c r="CR349" s="330"/>
      <c r="CS349" s="330"/>
      <c r="CT349" s="330"/>
      <c r="CU349" s="330"/>
      <c r="CV349" s="330"/>
      <c r="CW349" s="330"/>
      <c r="CX349" s="330"/>
      <c r="CY349" s="330"/>
      <c r="CZ349" s="330"/>
      <c r="DA349" s="330"/>
      <c r="DB349" s="330"/>
      <c r="DC349" s="330"/>
      <c r="DD349" s="330"/>
      <c r="DE349" s="330"/>
      <c r="DF349" s="330"/>
      <c r="DG349" s="330"/>
      <c r="DH349" s="330"/>
      <c r="DI349" s="330"/>
      <c r="DJ349" s="330"/>
      <c r="DK349" s="330"/>
      <c r="DL349" s="330"/>
      <c r="DM349" s="330"/>
      <c r="DN349" s="330"/>
      <c r="DO349" s="330"/>
      <c r="DP349" s="330"/>
      <c r="DQ349" s="330">
        <f>C349/1000</f>
        <v>0.02</v>
      </c>
      <c r="DR349" s="330"/>
      <c r="DS349" s="330"/>
      <c r="DT349" s="330"/>
      <c r="DU349" s="330"/>
      <c r="DV349" s="330"/>
      <c r="DW349" s="330"/>
      <c r="DX349" s="330"/>
      <c r="DY349" s="330"/>
      <c r="DZ349" s="330"/>
      <c r="EA349" s="330"/>
      <c r="EB349" s="330"/>
      <c r="EC349" s="330"/>
      <c r="ED349" s="330"/>
      <c r="EE349" s="330"/>
      <c r="EF349" s="330"/>
      <c r="EG349" s="330"/>
      <c r="EH349" s="330"/>
      <c r="EI349" s="330"/>
      <c r="EJ349" s="330"/>
      <c r="EK349" s="330"/>
      <c r="EL349" s="330"/>
      <c r="EM349" s="330"/>
      <c r="EN349" s="330"/>
      <c r="EO349" s="330"/>
      <c r="EP349" s="330"/>
      <c r="EQ349" s="330"/>
      <c r="ER349" s="330"/>
      <c r="ES349" s="330"/>
      <c r="ET349" s="330"/>
      <c r="EU349" s="330"/>
      <c r="EV349" s="330"/>
      <c r="EW349" s="330"/>
      <c r="EX349" s="330"/>
      <c r="EY349" s="1032">
        <f t="shared" si="22"/>
        <v>0.02</v>
      </c>
      <c r="EZ349" s="616"/>
      <c r="FA349" s="616"/>
      <c r="FB349" s="616"/>
      <c r="FC349" s="616"/>
      <c r="FD349" s="616"/>
      <c r="FE349" s="616"/>
      <c r="FF349" s="616"/>
      <c r="FG349" s="616"/>
      <c r="FH349" s="616"/>
      <c r="FI349" s="616"/>
      <c r="FJ349" s="616"/>
    </row>
    <row r="350" spans="1:166" s="545" customFormat="1" ht="14.7" customHeight="1" x14ac:dyDescent="0.25">
      <c r="A350" s="421">
        <v>346</v>
      </c>
      <c r="B350" s="602" t="str">
        <f>цены!D137</f>
        <v>Печенье овсяное</v>
      </c>
      <c r="C350" s="419">
        <v>30</v>
      </c>
      <c r="D350" s="1211">
        <f>6/100*C350</f>
        <v>1.8</v>
      </c>
      <c r="E350" s="1211">
        <f>25/100*C350</f>
        <v>7.5</v>
      </c>
      <c r="F350" s="1211">
        <f>58/100*C350</f>
        <v>17.399999999999999</v>
      </c>
      <c r="G350" s="1212">
        <f>490/100*C350</f>
        <v>147</v>
      </c>
      <c r="H350" s="419" t="s">
        <v>1170</v>
      </c>
      <c r="I350" s="1234">
        <f>цены!F137/1000*блюда!C350</f>
        <v>2.16</v>
      </c>
      <c r="J350" s="330"/>
      <c r="K350" s="330"/>
      <c r="L350" s="330"/>
      <c r="M350" s="330"/>
      <c r="N350" s="330"/>
      <c r="O350" s="330"/>
      <c r="P350" s="330"/>
      <c r="Q350" s="330"/>
      <c r="R350" s="330"/>
      <c r="S350" s="330"/>
      <c r="T350" s="330"/>
      <c r="U350" s="330"/>
      <c r="V350" s="330"/>
      <c r="W350" s="330"/>
      <c r="X350" s="330"/>
      <c r="Y350" s="330"/>
      <c r="Z350" s="330"/>
      <c r="AA350" s="330"/>
      <c r="AB350" s="330"/>
      <c r="AC350" s="330"/>
      <c r="AD350" s="330"/>
      <c r="AE350" s="330"/>
      <c r="AF350" s="330"/>
      <c r="AG350" s="330"/>
      <c r="AH350" s="330"/>
      <c r="AI350" s="330"/>
      <c r="AJ350" s="330"/>
      <c r="AK350" s="330"/>
      <c r="AL350" s="330"/>
      <c r="AM350" s="330"/>
      <c r="AN350" s="330"/>
      <c r="AO350" s="330"/>
      <c r="AP350" s="330"/>
      <c r="AQ350" s="330"/>
      <c r="AR350" s="330"/>
      <c r="AS350" s="330"/>
      <c r="AT350" s="330"/>
      <c r="AU350" s="330"/>
      <c r="AV350" s="330"/>
      <c r="AW350" s="330"/>
      <c r="AX350" s="330"/>
      <c r="AY350" s="330"/>
      <c r="AZ350" s="330"/>
      <c r="BA350" s="330"/>
      <c r="BB350" s="330"/>
      <c r="BC350" s="330"/>
      <c r="BD350" s="330"/>
      <c r="BE350" s="330"/>
      <c r="BF350" s="330"/>
      <c r="BG350" s="330"/>
      <c r="BH350" s="330"/>
      <c r="BI350" s="330"/>
      <c r="BJ350" s="330"/>
      <c r="BK350" s="330"/>
      <c r="BL350" s="330"/>
      <c r="BM350" s="330"/>
      <c r="BN350" s="330"/>
      <c r="BO350" s="330"/>
      <c r="BP350" s="330"/>
      <c r="BQ350" s="330"/>
      <c r="BR350" s="330"/>
      <c r="BS350" s="330"/>
      <c r="BT350" s="330"/>
      <c r="BU350" s="330"/>
      <c r="BV350" s="330"/>
      <c r="BW350" s="330"/>
      <c r="BX350" s="330"/>
      <c r="BY350" s="330"/>
      <c r="BZ350" s="330"/>
      <c r="CA350" s="330"/>
      <c r="CB350" s="330"/>
      <c r="CC350" s="330"/>
      <c r="CD350" s="330"/>
      <c r="CE350" s="330"/>
      <c r="CF350" s="330"/>
      <c r="CG350" s="330"/>
      <c r="CH350" s="330"/>
      <c r="CI350" s="330"/>
      <c r="CJ350" s="330"/>
      <c r="CK350" s="330"/>
      <c r="CL350" s="330"/>
      <c r="CM350" s="330"/>
      <c r="CN350" s="330"/>
      <c r="CO350" s="330"/>
      <c r="CP350" s="330"/>
      <c r="CQ350" s="330"/>
      <c r="CR350" s="330"/>
      <c r="CS350" s="330"/>
      <c r="CT350" s="330"/>
      <c r="CU350" s="330"/>
      <c r="CV350" s="330"/>
      <c r="CW350" s="330"/>
      <c r="CX350" s="330"/>
      <c r="CY350" s="330"/>
      <c r="CZ350" s="330"/>
      <c r="DA350" s="330"/>
      <c r="DB350" s="330"/>
      <c r="DC350" s="330"/>
      <c r="DD350" s="330"/>
      <c r="DE350" s="330"/>
      <c r="DF350" s="330"/>
      <c r="DG350" s="330"/>
      <c r="DH350" s="330"/>
      <c r="DI350" s="330"/>
      <c r="DJ350" s="330"/>
      <c r="DK350" s="330"/>
      <c r="DL350" s="330"/>
      <c r="DM350" s="330"/>
      <c r="DN350" s="330"/>
      <c r="DO350" s="330"/>
      <c r="DP350" s="330"/>
      <c r="DQ350" s="330"/>
      <c r="DR350" s="330"/>
      <c r="DS350" s="330"/>
      <c r="DT350" s="330"/>
      <c r="DU350" s="330"/>
      <c r="DV350" s="330"/>
      <c r="DW350" s="330"/>
      <c r="DX350" s="330"/>
      <c r="DY350" s="330"/>
      <c r="DZ350" s="330"/>
      <c r="EA350" s="330"/>
      <c r="EB350" s="330"/>
      <c r="EC350" s="330"/>
      <c r="ED350" s="330">
        <f>C350/1000</f>
        <v>0.03</v>
      </c>
      <c r="EE350" s="330"/>
      <c r="EF350" s="330"/>
      <c r="EG350" s="330"/>
      <c r="EH350" s="330"/>
      <c r="EI350" s="330"/>
      <c r="EJ350" s="330"/>
      <c r="EK350" s="330"/>
      <c r="EL350" s="330"/>
      <c r="EM350" s="330"/>
      <c r="EN350" s="330"/>
      <c r="EO350" s="330"/>
      <c r="EP350" s="330"/>
      <c r="EQ350" s="330"/>
      <c r="ER350" s="330"/>
      <c r="ES350" s="330"/>
      <c r="ET350" s="330"/>
      <c r="EU350" s="330"/>
      <c r="EV350" s="330"/>
      <c r="EW350" s="330"/>
      <c r="EX350" s="330"/>
      <c r="EY350" s="1032">
        <f t="shared" si="22"/>
        <v>0.03</v>
      </c>
      <c r="EZ350" s="616"/>
      <c r="FA350" s="616"/>
      <c r="FB350" s="616"/>
      <c r="FC350" s="616"/>
      <c r="FD350" s="616"/>
      <c r="FE350" s="616"/>
      <c r="FF350" s="616"/>
      <c r="FG350" s="616"/>
      <c r="FH350" s="616"/>
      <c r="FI350" s="616"/>
      <c r="FJ350" s="616"/>
    </row>
    <row r="351" spans="1:166" s="545" customFormat="1" ht="14.7" customHeight="1" x14ac:dyDescent="0.25">
      <c r="A351" s="421">
        <v>347</v>
      </c>
      <c r="B351" s="602" t="str">
        <f>цены!D138</f>
        <v>Пряники</v>
      </c>
      <c r="C351" s="419">
        <v>30</v>
      </c>
      <c r="D351" s="1211">
        <f>5.9/100*C351</f>
        <v>1.77</v>
      </c>
      <c r="E351" s="1211">
        <f>4.7/100*C351</f>
        <v>1.41</v>
      </c>
      <c r="F351" s="1211">
        <f>75/100*C351</f>
        <v>22.5</v>
      </c>
      <c r="G351" s="1212">
        <f>366/100*C351</f>
        <v>110</v>
      </c>
      <c r="H351" s="419" t="s">
        <v>1170</v>
      </c>
      <c r="I351" s="1234">
        <f>цены!F138/1000*блюда!C351</f>
        <v>3.6</v>
      </c>
      <c r="J351" s="330"/>
      <c r="K351" s="330"/>
      <c r="L351" s="330"/>
      <c r="M351" s="330"/>
      <c r="N351" s="330"/>
      <c r="O351" s="330"/>
      <c r="P351" s="330"/>
      <c r="Q351" s="330"/>
      <c r="R351" s="330"/>
      <c r="S351" s="330"/>
      <c r="T351" s="330"/>
      <c r="U351" s="330"/>
      <c r="V351" s="330"/>
      <c r="W351" s="330"/>
      <c r="X351" s="330"/>
      <c r="Y351" s="330"/>
      <c r="Z351" s="330"/>
      <c r="AA351" s="330"/>
      <c r="AB351" s="330"/>
      <c r="AC351" s="330"/>
      <c r="AD351" s="330"/>
      <c r="AE351" s="330"/>
      <c r="AF351" s="330"/>
      <c r="AG351" s="330"/>
      <c r="AH351" s="330"/>
      <c r="AI351" s="330"/>
      <c r="AJ351" s="330"/>
      <c r="AK351" s="330"/>
      <c r="AL351" s="330"/>
      <c r="AM351" s="330"/>
      <c r="AN351" s="330"/>
      <c r="AO351" s="330"/>
      <c r="AP351" s="330"/>
      <c r="AQ351" s="330"/>
      <c r="AR351" s="330"/>
      <c r="AS351" s="330"/>
      <c r="AT351" s="330"/>
      <c r="AU351" s="330"/>
      <c r="AV351" s="330"/>
      <c r="AW351" s="330"/>
      <c r="AX351" s="330"/>
      <c r="AY351" s="330"/>
      <c r="AZ351" s="330"/>
      <c r="BA351" s="330"/>
      <c r="BB351" s="330"/>
      <c r="BC351" s="330"/>
      <c r="BD351" s="330"/>
      <c r="BE351" s="330"/>
      <c r="BF351" s="330"/>
      <c r="BG351" s="330"/>
      <c r="BH351" s="330"/>
      <c r="BI351" s="330"/>
      <c r="BJ351" s="330"/>
      <c r="BK351" s="330"/>
      <c r="BL351" s="330"/>
      <c r="BM351" s="330"/>
      <c r="BN351" s="330"/>
      <c r="BO351" s="330"/>
      <c r="BP351" s="330"/>
      <c r="BQ351" s="330"/>
      <c r="BR351" s="330"/>
      <c r="BS351" s="330"/>
      <c r="BT351" s="330"/>
      <c r="BU351" s="330"/>
      <c r="BV351" s="330"/>
      <c r="BW351" s="330"/>
      <c r="BX351" s="330"/>
      <c r="BY351" s="330"/>
      <c r="BZ351" s="330"/>
      <c r="CA351" s="330"/>
      <c r="CB351" s="330"/>
      <c r="CC351" s="330"/>
      <c r="CD351" s="330"/>
      <c r="CE351" s="330"/>
      <c r="CF351" s="330"/>
      <c r="CG351" s="330"/>
      <c r="CH351" s="330"/>
      <c r="CI351" s="330"/>
      <c r="CJ351" s="330"/>
      <c r="CK351" s="330"/>
      <c r="CL351" s="330"/>
      <c r="CM351" s="330"/>
      <c r="CN351" s="330"/>
      <c r="CO351" s="330"/>
      <c r="CP351" s="330"/>
      <c r="CQ351" s="330"/>
      <c r="CR351" s="330"/>
      <c r="CS351" s="330"/>
      <c r="CT351" s="330"/>
      <c r="CU351" s="330"/>
      <c r="CV351" s="330"/>
      <c r="CW351" s="330"/>
      <c r="CX351" s="330"/>
      <c r="CY351" s="330"/>
      <c r="CZ351" s="330"/>
      <c r="DA351" s="330"/>
      <c r="DB351" s="330"/>
      <c r="DC351" s="330"/>
      <c r="DD351" s="330"/>
      <c r="DE351" s="330"/>
      <c r="DF351" s="330"/>
      <c r="DG351" s="330"/>
      <c r="DH351" s="330"/>
      <c r="DI351" s="330"/>
      <c r="DJ351" s="330"/>
      <c r="DK351" s="330"/>
      <c r="DL351" s="330"/>
      <c r="DM351" s="330"/>
      <c r="DN351" s="330"/>
      <c r="DO351" s="330"/>
      <c r="DP351" s="330"/>
      <c r="DQ351" s="330"/>
      <c r="DR351" s="330"/>
      <c r="DS351" s="330"/>
      <c r="DT351" s="330"/>
      <c r="DU351" s="330"/>
      <c r="DV351" s="330"/>
      <c r="DW351" s="330"/>
      <c r="DX351" s="330"/>
      <c r="DY351" s="330"/>
      <c r="DZ351" s="330"/>
      <c r="EA351" s="330"/>
      <c r="EB351" s="330"/>
      <c r="EC351" s="330"/>
      <c r="ED351" s="330"/>
      <c r="EE351" s="330">
        <f>C351/1000</f>
        <v>0.03</v>
      </c>
      <c r="EF351" s="330"/>
      <c r="EG351" s="330"/>
      <c r="EH351" s="330"/>
      <c r="EI351" s="330"/>
      <c r="EJ351" s="330"/>
      <c r="EK351" s="330"/>
      <c r="EL351" s="330"/>
      <c r="EM351" s="330"/>
      <c r="EN351" s="330"/>
      <c r="EO351" s="330"/>
      <c r="EP351" s="330"/>
      <c r="EQ351" s="330"/>
      <c r="ER351" s="330"/>
      <c r="ES351" s="330"/>
      <c r="ET351" s="330"/>
      <c r="EU351" s="330"/>
      <c r="EV351" s="330"/>
      <c r="EW351" s="330"/>
      <c r="EX351" s="330"/>
      <c r="EY351" s="1032">
        <f t="shared" si="22"/>
        <v>0.03</v>
      </c>
      <c r="EZ351" s="616"/>
      <c r="FA351" s="616"/>
      <c r="FB351" s="616"/>
      <c r="FC351" s="616"/>
      <c r="FD351" s="616"/>
      <c r="FE351" s="616"/>
      <c r="FF351" s="616"/>
      <c r="FG351" s="616"/>
      <c r="FH351" s="616"/>
      <c r="FI351" s="616"/>
      <c r="FJ351" s="616"/>
    </row>
    <row r="352" spans="1:166" s="545" customFormat="1" ht="14.7" customHeight="1" x14ac:dyDescent="0.25">
      <c r="A352" s="421">
        <v>348</v>
      </c>
      <c r="B352" s="602" t="str">
        <f>цены!D139</f>
        <v>Кексы</v>
      </c>
      <c r="C352" s="419">
        <v>100</v>
      </c>
      <c r="D352" s="1211">
        <f>6.2/100*C352</f>
        <v>6.2</v>
      </c>
      <c r="E352" s="1211">
        <f>13.6/100*C352</f>
        <v>13.6</v>
      </c>
      <c r="F352" s="1211">
        <f>34.4/100*C352</f>
        <v>34.4</v>
      </c>
      <c r="G352" s="1212">
        <f>276.2/100*C352</f>
        <v>276</v>
      </c>
      <c r="H352" s="419" t="s">
        <v>1170</v>
      </c>
      <c r="I352" s="1234">
        <f>цены!F139/1000*блюда!C352</f>
        <v>21.5</v>
      </c>
      <c r="J352" s="330"/>
      <c r="K352" s="330"/>
      <c r="L352" s="330"/>
      <c r="M352" s="330"/>
      <c r="N352" s="330"/>
      <c r="O352" s="330"/>
      <c r="P352" s="330"/>
      <c r="Q352" s="330"/>
      <c r="R352" s="330"/>
      <c r="S352" s="330"/>
      <c r="T352" s="330"/>
      <c r="U352" s="330"/>
      <c r="V352" s="330"/>
      <c r="W352" s="330"/>
      <c r="X352" s="330"/>
      <c r="Y352" s="330"/>
      <c r="Z352" s="330"/>
      <c r="AA352" s="330"/>
      <c r="AB352" s="330"/>
      <c r="AC352" s="330"/>
      <c r="AD352" s="330"/>
      <c r="AE352" s="330"/>
      <c r="AF352" s="330"/>
      <c r="AG352" s="330"/>
      <c r="AH352" s="330"/>
      <c r="AI352" s="330"/>
      <c r="AJ352" s="330"/>
      <c r="AK352" s="330"/>
      <c r="AL352" s="330"/>
      <c r="AM352" s="330"/>
      <c r="AN352" s="330"/>
      <c r="AO352" s="330"/>
      <c r="AP352" s="330"/>
      <c r="AQ352" s="330"/>
      <c r="AR352" s="330"/>
      <c r="AS352" s="330"/>
      <c r="AT352" s="330"/>
      <c r="AU352" s="330"/>
      <c r="AV352" s="330"/>
      <c r="AW352" s="330"/>
      <c r="AX352" s="330"/>
      <c r="AY352" s="330"/>
      <c r="AZ352" s="330"/>
      <c r="BA352" s="330"/>
      <c r="BB352" s="330"/>
      <c r="BC352" s="330"/>
      <c r="BD352" s="330"/>
      <c r="BE352" s="330"/>
      <c r="BF352" s="330"/>
      <c r="BG352" s="330"/>
      <c r="BH352" s="330"/>
      <c r="BI352" s="330"/>
      <c r="BJ352" s="330"/>
      <c r="BK352" s="330"/>
      <c r="BL352" s="330"/>
      <c r="BM352" s="330"/>
      <c r="BN352" s="330"/>
      <c r="BO352" s="330"/>
      <c r="BP352" s="330"/>
      <c r="BQ352" s="330"/>
      <c r="BR352" s="330"/>
      <c r="BS352" s="330"/>
      <c r="BT352" s="330"/>
      <c r="BU352" s="330"/>
      <c r="BV352" s="330"/>
      <c r="BW352" s="330"/>
      <c r="BX352" s="330"/>
      <c r="BY352" s="330"/>
      <c r="BZ352" s="330"/>
      <c r="CA352" s="330"/>
      <c r="CB352" s="330"/>
      <c r="CC352" s="330"/>
      <c r="CD352" s="330"/>
      <c r="CE352" s="330"/>
      <c r="CF352" s="330"/>
      <c r="CG352" s="330"/>
      <c r="CH352" s="330"/>
      <c r="CI352" s="330"/>
      <c r="CJ352" s="330"/>
      <c r="CK352" s="330"/>
      <c r="CL352" s="330"/>
      <c r="CM352" s="330"/>
      <c r="CN352" s="330"/>
      <c r="CO352" s="330"/>
      <c r="CP352" s="330"/>
      <c r="CQ352" s="330"/>
      <c r="CR352" s="330"/>
      <c r="CS352" s="330"/>
      <c r="CT352" s="330"/>
      <c r="CU352" s="330"/>
      <c r="CV352" s="330"/>
      <c r="CW352" s="330"/>
      <c r="CX352" s="330"/>
      <c r="CY352" s="330"/>
      <c r="CZ352" s="330"/>
      <c r="DA352" s="330"/>
      <c r="DB352" s="330"/>
      <c r="DC352" s="330"/>
      <c r="DD352" s="330"/>
      <c r="DE352" s="330"/>
      <c r="DF352" s="330"/>
      <c r="DG352" s="330"/>
      <c r="DH352" s="330"/>
      <c r="DI352" s="330"/>
      <c r="DJ352" s="330"/>
      <c r="DK352" s="330"/>
      <c r="DL352" s="330"/>
      <c r="DM352" s="330"/>
      <c r="DN352" s="330"/>
      <c r="DO352" s="330"/>
      <c r="DP352" s="330"/>
      <c r="DQ352" s="330"/>
      <c r="DR352" s="330"/>
      <c r="DS352" s="330"/>
      <c r="DT352" s="330"/>
      <c r="DU352" s="330"/>
      <c r="DV352" s="330"/>
      <c r="DW352" s="330"/>
      <c r="DX352" s="330"/>
      <c r="DY352" s="330"/>
      <c r="DZ352" s="330"/>
      <c r="EA352" s="330"/>
      <c r="EB352" s="330"/>
      <c r="EC352" s="330"/>
      <c r="ED352" s="330"/>
      <c r="EE352" s="330"/>
      <c r="EF352" s="330">
        <f>C352/1000</f>
        <v>0.1</v>
      </c>
      <c r="EG352" s="330"/>
      <c r="EH352" s="330"/>
      <c r="EI352" s="330"/>
      <c r="EJ352" s="330"/>
      <c r="EK352" s="330"/>
      <c r="EL352" s="330"/>
      <c r="EM352" s="330"/>
      <c r="EN352" s="330"/>
      <c r="EO352" s="330"/>
      <c r="EP352" s="330"/>
      <c r="EQ352" s="330"/>
      <c r="ER352" s="330"/>
      <c r="ES352" s="330"/>
      <c r="ET352" s="330"/>
      <c r="EU352" s="330"/>
      <c r="EV352" s="330"/>
      <c r="EW352" s="330"/>
      <c r="EX352" s="330"/>
      <c r="EY352" s="1032">
        <f t="shared" si="22"/>
        <v>0.1</v>
      </c>
      <c r="EZ352" s="616"/>
      <c r="FA352" s="616"/>
      <c r="FB352" s="616"/>
      <c r="FC352" s="616"/>
      <c r="FD352" s="616"/>
      <c r="FE352" s="616"/>
      <c r="FF352" s="616"/>
      <c r="FG352" s="616"/>
      <c r="FH352" s="616"/>
      <c r="FI352" s="616"/>
      <c r="FJ352" s="616"/>
    </row>
    <row r="353" spans="1:166" s="545" customFormat="1" ht="14.7" customHeight="1" x14ac:dyDescent="0.25">
      <c r="A353" s="421">
        <v>349</v>
      </c>
      <c r="B353" s="602" t="str">
        <f>цены!D140</f>
        <v>Вафли с пралиновыми начинками</v>
      </c>
      <c r="C353" s="419">
        <v>20</v>
      </c>
      <c r="D353" s="1211">
        <f>3.9/100*C353</f>
        <v>0.78</v>
      </c>
      <c r="E353" s="1211">
        <f>30.6/100*C353</f>
        <v>6.12</v>
      </c>
      <c r="F353" s="1211">
        <f>62.5/100*C353</f>
        <v>12.5</v>
      </c>
      <c r="G353" s="1212">
        <f>542/100*C353</f>
        <v>108</v>
      </c>
      <c r="H353" s="419" t="s">
        <v>1170</v>
      </c>
      <c r="I353" s="1234">
        <f>цены!F140/1000*блюда!C353</f>
        <v>2.7</v>
      </c>
      <c r="J353" s="330"/>
      <c r="K353" s="330"/>
      <c r="L353" s="330"/>
      <c r="M353" s="330"/>
      <c r="N353" s="330"/>
      <c r="O353" s="330"/>
      <c r="P353" s="330"/>
      <c r="Q353" s="330"/>
      <c r="R353" s="330"/>
      <c r="S353" s="330"/>
      <c r="T353" s="330"/>
      <c r="U353" s="330"/>
      <c r="V353" s="330"/>
      <c r="W353" s="330"/>
      <c r="X353" s="330"/>
      <c r="Y353" s="330"/>
      <c r="Z353" s="330"/>
      <c r="AA353" s="330"/>
      <c r="AB353" s="330"/>
      <c r="AC353" s="330"/>
      <c r="AD353" s="330"/>
      <c r="AE353" s="330"/>
      <c r="AF353" s="330"/>
      <c r="AG353" s="330"/>
      <c r="AH353" s="330"/>
      <c r="AI353" s="330"/>
      <c r="AJ353" s="330"/>
      <c r="AK353" s="330"/>
      <c r="AL353" s="330"/>
      <c r="AM353" s="330"/>
      <c r="AN353" s="330"/>
      <c r="AO353" s="330"/>
      <c r="AP353" s="330"/>
      <c r="AQ353" s="330"/>
      <c r="AR353" s="330"/>
      <c r="AS353" s="330"/>
      <c r="AT353" s="330"/>
      <c r="AU353" s="330"/>
      <c r="AV353" s="330"/>
      <c r="AW353" s="330"/>
      <c r="AX353" s="330"/>
      <c r="AY353" s="330"/>
      <c r="AZ353" s="330"/>
      <c r="BA353" s="330"/>
      <c r="BB353" s="330"/>
      <c r="BC353" s="330"/>
      <c r="BD353" s="330"/>
      <c r="BE353" s="330"/>
      <c r="BF353" s="330"/>
      <c r="BG353" s="330"/>
      <c r="BH353" s="330"/>
      <c r="BI353" s="330"/>
      <c r="BJ353" s="330"/>
      <c r="BK353" s="330"/>
      <c r="BL353" s="330"/>
      <c r="BM353" s="330"/>
      <c r="BN353" s="330"/>
      <c r="BO353" s="330"/>
      <c r="BP353" s="330"/>
      <c r="BQ353" s="330"/>
      <c r="BR353" s="330"/>
      <c r="BS353" s="330"/>
      <c r="BT353" s="330"/>
      <c r="BU353" s="330"/>
      <c r="BV353" s="330"/>
      <c r="BW353" s="330"/>
      <c r="BX353" s="330"/>
      <c r="BY353" s="330"/>
      <c r="BZ353" s="330"/>
      <c r="CA353" s="330"/>
      <c r="CB353" s="330"/>
      <c r="CC353" s="330"/>
      <c r="CD353" s="330"/>
      <c r="CE353" s="330"/>
      <c r="CF353" s="330"/>
      <c r="CG353" s="330"/>
      <c r="CH353" s="330"/>
      <c r="CI353" s="330"/>
      <c r="CJ353" s="330"/>
      <c r="CK353" s="330"/>
      <c r="CL353" s="330"/>
      <c r="CM353" s="330"/>
      <c r="CN353" s="330"/>
      <c r="CO353" s="330"/>
      <c r="CP353" s="330"/>
      <c r="CQ353" s="330"/>
      <c r="CR353" s="330"/>
      <c r="CS353" s="330"/>
      <c r="CT353" s="330"/>
      <c r="CU353" s="330"/>
      <c r="CV353" s="330"/>
      <c r="CW353" s="330"/>
      <c r="CX353" s="330"/>
      <c r="CY353" s="330"/>
      <c r="CZ353" s="330"/>
      <c r="DA353" s="330"/>
      <c r="DB353" s="330"/>
      <c r="DC353" s="330"/>
      <c r="DD353" s="330"/>
      <c r="DE353" s="330"/>
      <c r="DF353" s="330"/>
      <c r="DG353" s="330"/>
      <c r="DH353" s="330"/>
      <c r="DI353" s="330"/>
      <c r="DJ353" s="330"/>
      <c r="DK353" s="330"/>
      <c r="DL353" s="330"/>
      <c r="DM353" s="330"/>
      <c r="DN353" s="330"/>
      <c r="DO353" s="330"/>
      <c r="DP353" s="330"/>
      <c r="DQ353" s="330"/>
      <c r="DR353" s="330"/>
      <c r="DS353" s="330"/>
      <c r="DT353" s="330"/>
      <c r="DU353" s="330"/>
      <c r="DV353" s="330"/>
      <c r="DW353" s="330"/>
      <c r="DX353" s="330"/>
      <c r="DY353" s="330"/>
      <c r="DZ353" s="330"/>
      <c r="EA353" s="330"/>
      <c r="EB353" s="330"/>
      <c r="EC353" s="330"/>
      <c r="ED353" s="330"/>
      <c r="EE353" s="330"/>
      <c r="EF353" s="330"/>
      <c r="EG353" s="330">
        <f>C353/1000</f>
        <v>0.02</v>
      </c>
      <c r="EH353" s="330"/>
      <c r="EI353" s="330"/>
      <c r="EJ353" s="330"/>
      <c r="EK353" s="330"/>
      <c r="EL353" s="330"/>
      <c r="EM353" s="330"/>
      <c r="EN353" s="330"/>
      <c r="EO353" s="330"/>
      <c r="EP353" s="330"/>
      <c r="EQ353" s="330"/>
      <c r="ER353" s="330"/>
      <c r="ES353" s="330"/>
      <c r="ET353" s="330"/>
      <c r="EU353" s="330"/>
      <c r="EV353" s="330"/>
      <c r="EW353" s="330"/>
      <c r="EX353" s="330"/>
      <c r="EY353" s="1032">
        <f t="shared" si="22"/>
        <v>0.02</v>
      </c>
      <c r="EZ353" s="616"/>
      <c r="FA353" s="616"/>
      <c r="FB353" s="616"/>
      <c r="FC353" s="616"/>
      <c r="FD353" s="616"/>
      <c r="FE353" s="616"/>
      <c r="FF353" s="616"/>
      <c r="FG353" s="616"/>
      <c r="FH353" s="616"/>
      <c r="FI353" s="616"/>
      <c r="FJ353" s="616"/>
    </row>
    <row r="354" spans="1:166" s="545" customFormat="1" ht="14.7" customHeight="1" x14ac:dyDescent="0.25">
      <c r="A354" s="421">
        <v>350</v>
      </c>
      <c r="B354" s="898" t="str">
        <f>цены!D142</f>
        <v>Сок натуральный (виноградный, яблочный и др. в пакетах)</v>
      </c>
      <c r="C354" s="419">
        <v>200</v>
      </c>
      <c r="D354" s="1211">
        <v>0</v>
      </c>
      <c r="E354" s="1211">
        <v>0</v>
      </c>
      <c r="F354" s="1211">
        <f>11/100*C354</f>
        <v>22</v>
      </c>
      <c r="G354" s="1212">
        <f>45/100*C354</f>
        <v>90</v>
      </c>
      <c r="H354" s="419" t="s">
        <v>1170</v>
      </c>
      <c r="I354" s="1234">
        <f>цены!F142/1000*блюда!C354</f>
        <v>15</v>
      </c>
      <c r="J354" s="330"/>
      <c r="K354" s="330"/>
      <c r="L354" s="330"/>
      <c r="M354" s="330"/>
      <c r="N354" s="330"/>
      <c r="O354" s="330"/>
      <c r="P354" s="330"/>
      <c r="Q354" s="330"/>
      <c r="R354" s="330"/>
      <c r="S354" s="330"/>
      <c r="T354" s="330"/>
      <c r="U354" s="330"/>
      <c r="V354" s="330"/>
      <c r="W354" s="330"/>
      <c r="X354" s="330"/>
      <c r="Y354" s="330"/>
      <c r="Z354" s="330"/>
      <c r="AA354" s="330"/>
      <c r="AB354" s="330"/>
      <c r="AC354" s="330"/>
      <c r="AD354" s="330"/>
      <c r="AE354" s="330"/>
      <c r="AF354" s="330"/>
      <c r="AG354" s="330"/>
      <c r="AH354" s="330"/>
      <c r="AI354" s="330"/>
      <c r="AJ354" s="330"/>
      <c r="AK354" s="330"/>
      <c r="AL354" s="330"/>
      <c r="AM354" s="330"/>
      <c r="AN354" s="330"/>
      <c r="AO354" s="330"/>
      <c r="AP354" s="330"/>
      <c r="AQ354" s="330"/>
      <c r="AR354" s="330"/>
      <c r="AS354" s="330"/>
      <c r="AT354" s="330"/>
      <c r="AU354" s="330"/>
      <c r="AV354" s="330"/>
      <c r="AW354" s="330"/>
      <c r="AX354" s="330"/>
      <c r="AY354" s="330"/>
      <c r="AZ354" s="330"/>
      <c r="BA354" s="330"/>
      <c r="BB354" s="330"/>
      <c r="BC354" s="330"/>
      <c r="BD354" s="330"/>
      <c r="BE354" s="330"/>
      <c r="BF354" s="330"/>
      <c r="BG354" s="330"/>
      <c r="BH354" s="330"/>
      <c r="BI354" s="330"/>
      <c r="BJ354" s="330"/>
      <c r="BK354" s="330"/>
      <c r="BL354" s="330"/>
      <c r="BM354" s="330"/>
      <c r="BN354" s="330"/>
      <c r="BO354" s="330"/>
      <c r="BP354" s="330"/>
      <c r="BQ354" s="330"/>
      <c r="BR354" s="330"/>
      <c r="BS354" s="330"/>
      <c r="BT354" s="330"/>
      <c r="BU354" s="330"/>
      <c r="BV354" s="330"/>
      <c r="BW354" s="330"/>
      <c r="BX354" s="330"/>
      <c r="BY354" s="330"/>
      <c r="BZ354" s="330"/>
      <c r="CA354" s="330"/>
      <c r="CB354" s="330"/>
      <c r="CC354" s="330"/>
      <c r="CD354" s="330"/>
      <c r="CE354" s="330"/>
      <c r="CF354" s="330"/>
      <c r="CG354" s="330"/>
      <c r="CH354" s="330"/>
      <c r="CI354" s="330"/>
      <c r="CJ354" s="330"/>
      <c r="CK354" s="330"/>
      <c r="CL354" s="330"/>
      <c r="CM354" s="330"/>
      <c r="CN354" s="330"/>
      <c r="CO354" s="330"/>
      <c r="CP354" s="330"/>
      <c r="CQ354" s="330"/>
      <c r="CR354" s="330"/>
      <c r="CS354" s="330"/>
      <c r="CT354" s="330"/>
      <c r="CU354" s="330"/>
      <c r="CV354" s="330"/>
      <c r="CW354" s="330"/>
      <c r="CX354" s="330"/>
      <c r="CY354" s="330"/>
      <c r="CZ354" s="330"/>
      <c r="DA354" s="330"/>
      <c r="DB354" s="330"/>
      <c r="DC354" s="330"/>
      <c r="DD354" s="330"/>
      <c r="DE354" s="330"/>
      <c r="DF354" s="330"/>
      <c r="DG354" s="330"/>
      <c r="DH354" s="330"/>
      <c r="DI354" s="330"/>
      <c r="DJ354" s="330"/>
      <c r="DK354" s="330"/>
      <c r="DL354" s="330"/>
      <c r="DM354" s="330"/>
      <c r="DN354" s="330"/>
      <c r="DO354" s="330"/>
      <c r="DP354" s="330"/>
      <c r="DQ354" s="330"/>
      <c r="DR354" s="330"/>
      <c r="DS354" s="330"/>
      <c r="DT354" s="330"/>
      <c r="DU354" s="330"/>
      <c r="DV354" s="330"/>
      <c r="DW354" s="330"/>
      <c r="DX354" s="330"/>
      <c r="DY354" s="330"/>
      <c r="DZ354" s="330"/>
      <c r="EA354" s="330"/>
      <c r="EB354" s="330"/>
      <c r="EC354" s="330"/>
      <c r="ED354" s="330"/>
      <c r="EE354" s="330"/>
      <c r="EF354" s="330"/>
      <c r="EG354" s="330"/>
      <c r="EH354" s="330"/>
      <c r="EI354" s="330">
        <f>C354/1000</f>
        <v>0.2</v>
      </c>
      <c r="EJ354" s="330"/>
      <c r="EK354" s="330"/>
      <c r="EL354" s="330"/>
      <c r="EM354" s="330"/>
      <c r="EN354" s="330"/>
      <c r="EO354" s="330"/>
      <c r="EP354" s="330"/>
      <c r="EQ354" s="330"/>
      <c r="ER354" s="330"/>
      <c r="ES354" s="330"/>
      <c r="ET354" s="330"/>
      <c r="EU354" s="330"/>
      <c r="EV354" s="330"/>
      <c r="EW354" s="330"/>
      <c r="EX354" s="330"/>
      <c r="EY354" s="1032">
        <f t="shared" si="22"/>
        <v>0.2</v>
      </c>
      <c r="EZ354" s="616"/>
      <c r="FA354" s="616"/>
      <c r="FB354" s="616"/>
      <c r="FC354" s="616"/>
      <c r="FD354" s="616"/>
      <c r="FE354" s="616"/>
      <c r="FF354" s="616"/>
      <c r="FG354" s="616"/>
      <c r="FH354" s="616"/>
      <c r="FI354" s="616"/>
      <c r="FJ354" s="616"/>
    </row>
    <row r="355" spans="1:166" s="545" customFormat="1" ht="14.7" customHeight="1" x14ac:dyDescent="0.25">
      <c r="A355" s="421">
        <v>351</v>
      </c>
      <c r="B355" s="603" t="str">
        <f>цены!D147</f>
        <v>Конфеты сливочные ( Лёвушка)</v>
      </c>
      <c r="C355" s="419">
        <v>30</v>
      </c>
      <c r="D355" s="1211">
        <f>1.2/100*C355</f>
        <v>0.36</v>
      </c>
      <c r="E355" s="1211">
        <f>7.4/100*C355</f>
        <v>2.2200000000000002</v>
      </c>
      <c r="F355" s="1211">
        <f>73.5/100*C355</f>
        <v>22.05</v>
      </c>
      <c r="G355" s="1212">
        <f>368/100*C355</f>
        <v>110</v>
      </c>
      <c r="H355" s="419" t="s">
        <v>1170</v>
      </c>
      <c r="I355" s="1234">
        <f>цены!F147/1000*блюда!C355</f>
        <v>10.199999999999999</v>
      </c>
      <c r="J355" s="330"/>
      <c r="K355" s="330"/>
      <c r="L355" s="330"/>
      <c r="M355" s="330"/>
      <c r="N355" s="330"/>
      <c r="O355" s="330"/>
      <c r="P355" s="330"/>
      <c r="Q355" s="330"/>
      <c r="R355" s="330"/>
      <c r="S355" s="330"/>
      <c r="T355" s="330"/>
      <c r="U355" s="330"/>
      <c r="V355" s="330"/>
      <c r="W355" s="330"/>
      <c r="X355" s="330"/>
      <c r="Y355" s="330"/>
      <c r="Z355" s="330"/>
      <c r="AA355" s="330"/>
      <c r="AB355" s="330"/>
      <c r="AC355" s="330"/>
      <c r="AD355" s="330"/>
      <c r="AE355" s="330"/>
      <c r="AF355" s="330"/>
      <c r="AG355" s="330"/>
      <c r="AH355" s="330"/>
      <c r="AI355" s="330"/>
      <c r="AJ355" s="330"/>
      <c r="AK355" s="330"/>
      <c r="AL355" s="330"/>
      <c r="AM355" s="330"/>
      <c r="AN355" s="330"/>
      <c r="AO355" s="330"/>
      <c r="AP355" s="330"/>
      <c r="AQ355" s="330"/>
      <c r="AR355" s="330"/>
      <c r="AS355" s="330"/>
      <c r="AT355" s="330"/>
      <c r="AU355" s="330"/>
      <c r="AV355" s="330"/>
      <c r="AW355" s="330"/>
      <c r="AX355" s="330"/>
      <c r="AY355" s="330"/>
      <c r="AZ355" s="330"/>
      <c r="BA355" s="330"/>
      <c r="BB355" s="330"/>
      <c r="BC355" s="330"/>
      <c r="BD355" s="330"/>
      <c r="BE355" s="330"/>
      <c r="BF355" s="330"/>
      <c r="BG355" s="330"/>
      <c r="BH355" s="330"/>
      <c r="BI355" s="330"/>
      <c r="BJ355" s="330"/>
      <c r="BK355" s="330"/>
      <c r="BL355" s="330"/>
      <c r="BM355" s="330"/>
      <c r="BN355" s="330"/>
      <c r="BO355" s="330"/>
      <c r="BP355" s="330"/>
      <c r="BQ355" s="330"/>
      <c r="BR355" s="330"/>
      <c r="BS355" s="330"/>
      <c r="BT355" s="330"/>
      <c r="BU355" s="330"/>
      <c r="BV355" s="330"/>
      <c r="BW355" s="330"/>
      <c r="BX355" s="330"/>
      <c r="BY355" s="330"/>
      <c r="BZ355" s="330"/>
      <c r="CA355" s="330"/>
      <c r="CB355" s="330"/>
      <c r="CC355" s="330"/>
      <c r="CD355" s="330"/>
      <c r="CE355" s="330"/>
      <c r="CF355" s="330"/>
      <c r="CG355" s="330"/>
      <c r="CH355" s="330"/>
      <c r="CI355" s="330"/>
      <c r="CJ355" s="330"/>
      <c r="CK355" s="330"/>
      <c r="CL355" s="330"/>
      <c r="CM355" s="330"/>
      <c r="CN355" s="330"/>
      <c r="CO355" s="330"/>
      <c r="CP355" s="330"/>
      <c r="CQ355" s="330"/>
      <c r="CR355" s="330"/>
      <c r="CS355" s="330"/>
      <c r="CT355" s="330"/>
      <c r="CU355" s="330"/>
      <c r="CV355" s="330"/>
      <c r="CW355" s="330"/>
      <c r="CX355" s="330"/>
      <c r="CY355" s="330"/>
      <c r="CZ355" s="330"/>
      <c r="DA355" s="330"/>
      <c r="DB355" s="330"/>
      <c r="DC355" s="330"/>
      <c r="DD355" s="330"/>
      <c r="DE355" s="330"/>
      <c r="DF355" s="330"/>
      <c r="DG355" s="330"/>
      <c r="DH355" s="330"/>
      <c r="DI355" s="330"/>
      <c r="DJ355" s="330"/>
      <c r="DK355" s="330"/>
      <c r="DL355" s="330"/>
      <c r="DM355" s="330"/>
      <c r="DN355" s="330"/>
      <c r="DO355" s="330"/>
      <c r="DP355" s="330"/>
      <c r="DQ355" s="330"/>
      <c r="DR355" s="330"/>
      <c r="DS355" s="330"/>
      <c r="DT355" s="330"/>
      <c r="DU355" s="330"/>
      <c r="DV355" s="330"/>
      <c r="DW355" s="330"/>
      <c r="DX355" s="330"/>
      <c r="DY355" s="330"/>
      <c r="DZ355" s="330"/>
      <c r="EA355" s="330"/>
      <c r="EB355" s="330"/>
      <c r="EC355" s="330"/>
      <c r="ED355" s="330"/>
      <c r="EE355" s="330"/>
      <c r="EF355" s="330"/>
      <c r="EG355" s="330"/>
      <c r="EH355" s="330"/>
      <c r="EI355" s="330"/>
      <c r="EJ355" s="330"/>
      <c r="EK355" s="330"/>
      <c r="EL355" s="330"/>
      <c r="EM355" s="330"/>
      <c r="EN355" s="330">
        <f>C355/1000</f>
        <v>0.03</v>
      </c>
      <c r="EO355" s="330"/>
      <c r="EP355" s="330"/>
      <c r="EQ355" s="330"/>
      <c r="ER355" s="330"/>
      <c r="ES355" s="330"/>
      <c r="ET355" s="330"/>
      <c r="EU355" s="330"/>
      <c r="EV355" s="330"/>
      <c r="EW355" s="330"/>
      <c r="EX355" s="330"/>
      <c r="EY355" s="1032">
        <f t="shared" si="22"/>
        <v>0.03</v>
      </c>
      <c r="EZ355" s="616"/>
      <c r="FA355" s="616"/>
      <c r="FB355" s="616"/>
      <c r="FC355" s="616"/>
      <c r="FD355" s="616"/>
      <c r="FE355" s="616"/>
      <c r="FF355" s="616"/>
      <c r="FG355" s="616"/>
      <c r="FH355" s="616"/>
      <c r="FI355" s="616"/>
      <c r="FJ355" s="616"/>
    </row>
    <row r="356" spans="1:166" s="545" customFormat="1" ht="14.7" customHeight="1" x14ac:dyDescent="0.25">
      <c r="A356" s="421">
        <v>352</v>
      </c>
      <c r="B356" s="604" t="str">
        <f>цены!D148</f>
        <v>Конфеты, глазированные шоколадом (Степ, Марс)</v>
      </c>
      <c r="C356" s="419">
        <v>30</v>
      </c>
      <c r="D356" s="1211">
        <f>10.4/100*C356</f>
        <v>3.12</v>
      </c>
      <c r="E356" s="1211">
        <f>22/100*C356</f>
        <v>6.6</v>
      </c>
      <c r="F356" s="1211">
        <f>52.5/100*C356</f>
        <v>15.75</v>
      </c>
      <c r="G356" s="1212">
        <f>445/100*C356</f>
        <v>134</v>
      </c>
      <c r="H356" s="419" t="s">
        <v>1170</v>
      </c>
      <c r="I356" s="1234">
        <f>цены!F148/1000*блюда!C356</f>
        <v>18.899999999999999</v>
      </c>
      <c r="J356" s="330"/>
      <c r="K356" s="330"/>
      <c r="L356" s="330"/>
      <c r="M356" s="330"/>
      <c r="N356" s="330"/>
      <c r="O356" s="330"/>
      <c r="P356" s="330"/>
      <c r="Q356" s="330"/>
      <c r="R356" s="330"/>
      <c r="S356" s="330"/>
      <c r="T356" s="330"/>
      <c r="U356" s="330"/>
      <c r="V356" s="330"/>
      <c r="W356" s="330"/>
      <c r="X356" s="330"/>
      <c r="Y356" s="330"/>
      <c r="Z356" s="330"/>
      <c r="AA356" s="330"/>
      <c r="AB356" s="330"/>
      <c r="AC356" s="330"/>
      <c r="AD356" s="330"/>
      <c r="AE356" s="330"/>
      <c r="AF356" s="330"/>
      <c r="AG356" s="330"/>
      <c r="AH356" s="330"/>
      <c r="AI356" s="330"/>
      <c r="AJ356" s="330"/>
      <c r="AK356" s="330"/>
      <c r="AL356" s="330"/>
      <c r="AM356" s="330"/>
      <c r="AN356" s="330"/>
      <c r="AO356" s="330"/>
      <c r="AP356" s="330"/>
      <c r="AQ356" s="330"/>
      <c r="AR356" s="330"/>
      <c r="AS356" s="330"/>
      <c r="AT356" s="330"/>
      <c r="AU356" s="330"/>
      <c r="AV356" s="330"/>
      <c r="AW356" s="330"/>
      <c r="AX356" s="330"/>
      <c r="AY356" s="330"/>
      <c r="AZ356" s="330"/>
      <c r="BA356" s="330"/>
      <c r="BB356" s="330"/>
      <c r="BC356" s="330"/>
      <c r="BD356" s="330"/>
      <c r="BE356" s="330"/>
      <c r="BF356" s="330"/>
      <c r="BG356" s="330"/>
      <c r="BH356" s="330"/>
      <c r="BI356" s="330"/>
      <c r="BJ356" s="330"/>
      <c r="BK356" s="330"/>
      <c r="BL356" s="330"/>
      <c r="BM356" s="330"/>
      <c r="BN356" s="330"/>
      <c r="BO356" s="330"/>
      <c r="BP356" s="330"/>
      <c r="BQ356" s="330"/>
      <c r="BR356" s="330"/>
      <c r="BS356" s="330"/>
      <c r="BT356" s="330"/>
      <c r="BU356" s="330"/>
      <c r="BV356" s="330"/>
      <c r="BW356" s="330"/>
      <c r="BX356" s="330"/>
      <c r="BY356" s="330"/>
      <c r="BZ356" s="330"/>
      <c r="CA356" s="330"/>
      <c r="CB356" s="330"/>
      <c r="CC356" s="330"/>
      <c r="CD356" s="330"/>
      <c r="CE356" s="330"/>
      <c r="CF356" s="330"/>
      <c r="CG356" s="330"/>
      <c r="CH356" s="330"/>
      <c r="CI356" s="330"/>
      <c r="CJ356" s="330"/>
      <c r="CK356" s="330"/>
      <c r="CL356" s="330"/>
      <c r="CM356" s="330"/>
      <c r="CN356" s="330"/>
      <c r="CO356" s="330"/>
      <c r="CP356" s="330"/>
      <c r="CQ356" s="330"/>
      <c r="CR356" s="330"/>
      <c r="CS356" s="330"/>
      <c r="CT356" s="330"/>
      <c r="CU356" s="330"/>
      <c r="CV356" s="330"/>
      <c r="CW356" s="330"/>
      <c r="CX356" s="330"/>
      <c r="CY356" s="330"/>
      <c r="CZ356" s="330"/>
      <c r="DA356" s="330"/>
      <c r="DB356" s="330"/>
      <c r="DC356" s="330"/>
      <c r="DD356" s="330"/>
      <c r="DE356" s="330"/>
      <c r="DF356" s="330"/>
      <c r="DG356" s="330"/>
      <c r="DH356" s="330"/>
      <c r="DI356" s="330"/>
      <c r="DJ356" s="330"/>
      <c r="DK356" s="330"/>
      <c r="DL356" s="330"/>
      <c r="DM356" s="330"/>
      <c r="DN356" s="330"/>
      <c r="DO356" s="330"/>
      <c r="DP356" s="330"/>
      <c r="DQ356" s="330"/>
      <c r="DR356" s="330"/>
      <c r="DS356" s="330"/>
      <c r="DT356" s="330"/>
      <c r="DU356" s="330"/>
      <c r="DV356" s="330"/>
      <c r="DW356" s="330"/>
      <c r="DX356" s="330"/>
      <c r="DY356" s="330"/>
      <c r="DZ356" s="330"/>
      <c r="EA356" s="330"/>
      <c r="EB356" s="330"/>
      <c r="EC356" s="330"/>
      <c r="ED356" s="330"/>
      <c r="EE356" s="330"/>
      <c r="EF356" s="330"/>
      <c r="EG356" s="330"/>
      <c r="EH356" s="330"/>
      <c r="EI356" s="330"/>
      <c r="EJ356" s="330"/>
      <c r="EK356" s="330"/>
      <c r="EL356" s="330"/>
      <c r="EM356" s="330"/>
      <c r="EN356" s="330"/>
      <c r="EO356" s="330">
        <f>C356/1000</f>
        <v>0.03</v>
      </c>
      <c r="EP356" s="330"/>
      <c r="EQ356" s="330"/>
      <c r="ER356" s="330"/>
      <c r="ES356" s="330"/>
      <c r="ET356" s="330"/>
      <c r="EU356" s="330"/>
      <c r="EV356" s="330"/>
      <c r="EW356" s="330"/>
      <c r="EX356" s="330"/>
      <c r="EY356" s="1032">
        <f t="shared" si="22"/>
        <v>0.03</v>
      </c>
      <c r="EZ356" s="616"/>
      <c r="FA356" s="616"/>
      <c r="FB356" s="616"/>
      <c r="FC356" s="616"/>
      <c r="FD356" s="616"/>
      <c r="FE356" s="616"/>
      <c r="FF356" s="616"/>
      <c r="FG356" s="616"/>
      <c r="FH356" s="616"/>
      <c r="FI356" s="616"/>
      <c r="FJ356" s="616"/>
    </row>
    <row r="357" spans="1:166" s="545" customFormat="1" ht="14.7" customHeight="1" x14ac:dyDescent="0.25">
      <c r="A357" s="421">
        <v>353</v>
      </c>
      <c r="B357" s="604" t="str">
        <f>цены!D149</f>
        <v>Конфеты "Тортимилка" 1 шт. 17,5 гр</v>
      </c>
      <c r="C357" s="419">
        <v>35</v>
      </c>
      <c r="D357" s="1211">
        <f>4.4/100*C357</f>
        <v>1.54</v>
      </c>
      <c r="E357" s="1211">
        <f>18.2/100*C357</f>
        <v>6.37</v>
      </c>
      <c r="F357" s="1211">
        <f>68/100*C357</f>
        <v>23.8</v>
      </c>
      <c r="G357" s="1212">
        <f>453/100*C357</f>
        <v>159</v>
      </c>
      <c r="H357" s="419" t="s">
        <v>1170</v>
      </c>
      <c r="I357" s="1234">
        <f>цены!F149/1000*блюда!C357</f>
        <v>15.05</v>
      </c>
      <c r="J357" s="330"/>
      <c r="K357" s="330"/>
      <c r="L357" s="330"/>
      <c r="M357" s="330"/>
      <c r="N357" s="330"/>
      <c r="O357" s="330"/>
      <c r="P357" s="330"/>
      <c r="Q357" s="330"/>
      <c r="R357" s="330"/>
      <c r="S357" s="330"/>
      <c r="T357" s="330"/>
      <c r="U357" s="330"/>
      <c r="V357" s="330"/>
      <c r="W357" s="330"/>
      <c r="X357" s="330"/>
      <c r="Y357" s="330"/>
      <c r="Z357" s="330"/>
      <c r="AA357" s="330"/>
      <c r="AB357" s="330"/>
      <c r="AC357" s="330"/>
      <c r="AD357" s="330"/>
      <c r="AE357" s="330"/>
      <c r="AF357" s="330"/>
      <c r="AG357" s="330"/>
      <c r="AH357" s="330"/>
      <c r="AI357" s="330"/>
      <c r="AJ357" s="330"/>
      <c r="AK357" s="330"/>
      <c r="AL357" s="330"/>
      <c r="AM357" s="330"/>
      <c r="AN357" s="330"/>
      <c r="AO357" s="330"/>
      <c r="AP357" s="330"/>
      <c r="AQ357" s="330"/>
      <c r="AR357" s="330"/>
      <c r="AS357" s="330"/>
      <c r="AT357" s="330"/>
      <c r="AU357" s="330"/>
      <c r="AV357" s="330"/>
      <c r="AW357" s="330"/>
      <c r="AX357" s="330"/>
      <c r="AY357" s="330"/>
      <c r="AZ357" s="330"/>
      <c r="BA357" s="330"/>
      <c r="BB357" s="330"/>
      <c r="BC357" s="330"/>
      <c r="BD357" s="330"/>
      <c r="BE357" s="330"/>
      <c r="BF357" s="330"/>
      <c r="BG357" s="330"/>
      <c r="BH357" s="330"/>
      <c r="BI357" s="330"/>
      <c r="BJ357" s="330"/>
      <c r="BK357" s="330"/>
      <c r="BL357" s="330"/>
      <c r="BM357" s="330"/>
      <c r="BN357" s="330"/>
      <c r="BO357" s="330"/>
      <c r="BP357" s="330"/>
      <c r="BQ357" s="330"/>
      <c r="BR357" s="330"/>
      <c r="BS357" s="330"/>
      <c r="BT357" s="330"/>
      <c r="BU357" s="330"/>
      <c r="BV357" s="330"/>
      <c r="BW357" s="330"/>
      <c r="BX357" s="330"/>
      <c r="BY357" s="330"/>
      <c r="BZ357" s="330"/>
      <c r="CA357" s="330"/>
      <c r="CB357" s="330"/>
      <c r="CC357" s="330"/>
      <c r="CD357" s="330"/>
      <c r="CE357" s="330"/>
      <c r="CF357" s="330"/>
      <c r="CG357" s="330"/>
      <c r="CH357" s="330"/>
      <c r="CI357" s="330"/>
      <c r="CJ357" s="330"/>
      <c r="CK357" s="330"/>
      <c r="CL357" s="330"/>
      <c r="CM357" s="330"/>
      <c r="CN357" s="330"/>
      <c r="CO357" s="330"/>
      <c r="CP357" s="330"/>
      <c r="CQ357" s="330"/>
      <c r="CR357" s="330"/>
      <c r="CS357" s="330"/>
      <c r="CT357" s="330"/>
      <c r="CU357" s="330"/>
      <c r="CV357" s="330"/>
      <c r="CW357" s="330"/>
      <c r="CX357" s="330"/>
      <c r="CY357" s="330"/>
      <c r="CZ357" s="330"/>
      <c r="DA357" s="330"/>
      <c r="DB357" s="330"/>
      <c r="DC357" s="330"/>
      <c r="DD357" s="330"/>
      <c r="DE357" s="330"/>
      <c r="DF357" s="330"/>
      <c r="DG357" s="330"/>
      <c r="DH357" s="330"/>
      <c r="DI357" s="330"/>
      <c r="DJ357" s="330"/>
      <c r="DK357" s="330"/>
      <c r="DL357" s="330"/>
      <c r="DM357" s="330"/>
      <c r="DN357" s="330"/>
      <c r="DO357" s="330"/>
      <c r="DP357" s="330"/>
      <c r="DQ357" s="330"/>
      <c r="DR357" s="330"/>
      <c r="DS357" s="330"/>
      <c r="DT357" s="330"/>
      <c r="DU357" s="330"/>
      <c r="DV357" s="330"/>
      <c r="DW357" s="330"/>
      <c r="DX357" s="330"/>
      <c r="DY357" s="330"/>
      <c r="DZ357" s="330"/>
      <c r="EA357" s="330"/>
      <c r="EB357" s="330"/>
      <c r="EC357" s="330"/>
      <c r="ED357" s="330"/>
      <c r="EE357" s="330"/>
      <c r="EF357" s="330"/>
      <c r="EG357" s="330"/>
      <c r="EH357" s="330"/>
      <c r="EI357" s="330"/>
      <c r="EJ357" s="330"/>
      <c r="EK357" s="330"/>
      <c r="EL357" s="330"/>
      <c r="EM357" s="330"/>
      <c r="EN357" s="330"/>
      <c r="EO357" s="330"/>
      <c r="EP357" s="330">
        <f>C357/1000</f>
        <v>3.5000000000000003E-2</v>
      </c>
      <c r="EQ357" s="330"/>
      <c r="ER357" s="330"/>
      <c r="ES357" s="330"/>
      <c r="ET357" s="330"/>
      <c r="EU357" s="330"/>
      <c r="EV357" s="330"/>
      <c r="EW357" s="330"/>
      <c r="EX357" s="330"/>
      <c r="EY357" s="1032">
        <f t="shared" si="22"/>
        <v>3.5000000000000003E-2</v>
      </c>
      <c r="EZ357" s="616"/>
      <c r="FA357" s="616"/>
      <c r="FB357" s="616"/>
      <c r="FC357" s="616"/>
      <c r="FD357" s="616"/>
      <c r="FE357" s="616"/>
      <c r="FF357" s="616"/>
      <c r="FG357" s="616"/>
      <c r="FH357" s="616"/>
      <c r="FI357" s="616"/>
      <c r="FJ357" s="616"/>
    </row>
    <row r="358" spans="1:166" s="545" customFormat="1" ht="14.7" customHeight="1" x14ac:dyDescent="0.25">
      <c r="A358" s="421">
        <v>354</v>
      </c>
      <c r="B358" s="604" t="str">
        <f>цены!D150</f>
        <v>Конфеты желейные (мармелад)</v>
      </c>
      <c r="C358" s="419">
        <v>30</v>
      </c>
      <c r="D358" s="1211">
        <f>0.1/100*C358</f>
        <v>0.03</v>
      </c>
      <c r="E358" s="1211">
        <f>0.1/100*C358</f>
        <v>0.03</v>
      </c>
      <c r="F358" s="1211">
        <f>80.5/100*C358</f>
        <v>24.15</v>
      </c>
      <c r="G358" s="1212">
        <f>321/100*C358</f>
        <v>96</v>
      </c>
      <c r="H358" s="419" t="s">
        <v>1170</v>
      </c>
      <c r="I358" s="1234">
        <f>цены!F150/1000*блюда!C358</f>
        <v>8.25</v>
      </c>
      <c r="J358" s="330"/>
      <c r="K358" s="330"/>
      <c r="L358" s="330"/>
      <c r="M358" s="330"/>
      <c r="N358" s="330"/>
      <c r="O358" s="330"/>
      <c r="P358" s="330"/>
      <c r="Q358" s="330"/>
      <c r="R358" s="330"/>
      <c r="S358" s="330"/>
      <c r="T358" s="330"/>
      <c r="U358" s="330"/>
      <c r="V358" s="330"/>
      <c r="W358" s="330"/>
      <c r="X358" s="330"/>
      <c r="Y358" s="330"/>
      <c r="Z358" s="330"/>
      <c r="AA358" s="330"/>
      <c r="AB358" s="330"/>
      <c r="AC358" s="330"/>
      <c r="AD358" s="330"/>
      <c r="AE358" s="330"/>
      <c r="AF358" s="330"/>
      <c r="AG358" s="330"/>
      <c r="AH358" s="330"/>
      <c r="AI358" s="330"/>
      <c r="AJ358" s="330"/>
      <c r="AK358" s="330"/>
      <c r="AL358" s="330"/>
      <c r="AM358" s="330"/>
      <c r="AN358" s="330"/>
      <c r="AO358" s="330"/>
      <c r="AP358" s="330"/>
      <c r="AQ358" s="330"/>
      <c r="AR358" s="330"/>
      <c r="AS358" s="330"/>
      <c r="AT358" s="330"/>
      <c r="AU358" s="330"/>
      <c r="AV358" s="330"/>
      <c r="AW358" s="330"/>
      <c r="AX358" s="330"/>
      <c r="AY358" s="330"/>
      <c r="AZ358" s="330"/>
      <c r="BA358" s="330"/>
      <c r="BB358" s="330"/>
      <c r="BC358" s="330"/>
      <c r="BD358" s="330"/>
      <c r="BE358" s="330"/>
      <c r="BF358" s="330"/>
      <c r="BG358" s="330"/>
      <c r="BH358" s="330"/>
      <c r="BI358" s="330"/>
      <c r="BJ358" s="330"/>
      <c r="BK358" s="330"/>
      <c r="BL358" s="330"/>
      <c r="BM358" s="330"/>
      <c r="BN358" s="330"/>
      <c r="BO358" s="330"/>
      <c r="BP358" s="330"/>
      <c r="BQ358" s="330"/>
      <c r="BR358" s="330"/>
      <c r="BS358" s="330"/>
      <c r="BT358" s="330"/>
      <c r="BU358" s="330"/>
      <c r="BV358" s="330"/>
      <c r="BW358" s="330"/>
      <c r="BX358" s="330"/>
      <c r="BY358" s="330"/>
      <c r="BZ358" s="330"/>
      <c r="CA358" s="330"/>
      <c r="CB358" s="330"/>
      <c r="CC358" s="330"/>
      <c r="CD358" s="330"/>
      <c r="CE358" s="330"/>
      <c r="CF358" s="330"/>
      <c r="CG358" s="330"/>
      <c r="CH358" s="330"/>
      <c r="CI358" s="330"/>
      <c r="CJ358" s="330"/>
      <c r="CK358" s="330"/>
      <c r="CL358" s="330"/>
      <c r="CM358" s="330"/>
      <c r="CN358" s="330"/>
      <c r="CO358" s="330"/>
      <c r="CP358" s="330"/>
      <c r="CQ358" s="330"/>
      <c r="CR358" s="330"/>
      <c r="CS358" s="330"/>
      <c r="CT358" s="330"/>
      <c r="CU358" s="330"/>
      <c r="CV358" s="330"/>
      <c r="CW358" s="330"/>
      <c r="CX358" s="330"/>
      <c r="CY358" s="330"/>
      <c r="CZ358" s="330"/>
      <c r="DA358" s="330"/>
      <c r="DB358" s="330"/>
      <c r="DC358" s="330"/>
      <c r="DD358" s="330"/>
      <c r="DE358" s="330"/>
      <c r="DF358" s="330"/>
      <c r="DG358" s="330"/>
      <c r="DH358" s="330"/>
      <c r="DI358" s="330"/>
      <c r="DJ358" s="330"/>
      <c r="DK358" s="330"/>
      <c r="DL358" s="330"/>
      <c r="DM358" s="330"/>
      <c r="DN358" s="330"/>
      <c r="DO358" s="330"/>
      <c r="DP358" s="330"/>
      <c r="DQ358" s="330"/>
      <c r="DR358" s="330"/>
      <c r="DS358" s="330"/>
      <c r="DT358" s="330"/>
      <c r="DU358" s="330"/>
      <c r="DV358" s="330"/>
      <c r="DW358" s="330"/>
      <c r="DX358" s="330"/>
      <c r="DY358" s="330"/>
      <c r="DZ358" s="330"/>
      <c r="EA358" s="330"/>
      <c r="EB358" s="330"/>
      <c r="EC358" s="330"/>
      <c r="ED358" s="330"/>
      <c r="EE358" s="330"/>
      <c r="EF358" s="330"/>
      <c r="EG358" s="330"/>
      <c r="EH358" s="330"/>
      <c r="EI358" s="330"/>
      <c r="EJ358" s="330"/>
      <c r="EK358" s="330"/>
      <c r="EL358" s="330"/>
      <c r="EM358" s="330"/>
      <c r="EN358" s="330"/>
      <c r="EO358" s="330"/>
      <c r="EP358" s="330"/>
      <c r="EQ358" s="330">
        <f>C358/1000</f>
        <v>0.03</v>
      </c>
      <c r="ER358" s="330"/>
      <c r="ES358" s="330"/>
      <c r="ET358" s="330"/>
      <c r="EU358" s="330"/>
      <c r="EV358" s="330"/>
      <c r="EW358" s="330"/>
      <c r="EX358" s="330"/>
      <c r="EY358" s="1032">
        <f t="shared" si="22"/>
        <v>0.03</v>
      </c>
      <c r="EZ358" s="616"/>
      <c r="FA358" s="616"/>
      <c r="FB358" s="616"/>
      <c r="FC358" s="616"/>
      <c r="FD358" s="616"/>
      <c r="FE358" s="616"/>
      <c r="FF358" s="616"/>
      <c r="FG358" s="616"/>
      <c r="FH358" s="616"/>
      <c r="FI358" s="616"/>
      <c r="FJ358" s="616"/>
    </row>
    <row r="359" spans="1:166" s="545" customFormat="1" ht="14.7" customHeight="1" x14ac:dyDescent="0.25">
      <c r="A359" s="421">
        <v>355</v>
      </c>
      <c r="B359" s="604" t="str">
        <f>цены!D151</f>
        <v>Конфеты Батончик (Ротфронт)</v>
      </c>
      <c r="C359" s="419">
        <v>30</v>
      </c>
      <c r="D359" s="1211">
        <f>11/100*C359</f>
        <v>3.3</v>
      </c>
      <c r="E359" s="1211">
        <f>29/100*C359</f>
        <v>8.6999999999999993</v>
      </c>
      <c r="F359" s="1211">
        <f>53/100*C359</f>
        <v>15.9</v>
      </c>
      <c r="G359" s="1212">
        <f>520/100*C359</f>
        <v>156</v>
      </c>
      <c r="H359" s="419" t="s">
        <v>1170</v>
      </c>
      <c r="I359" s="1234">
        <f>цены!F151/1000*блюда!C359</f>
        <v>10.5</v>
      </c>
      <c r="J359" s="330"/>
      <c r="K359" s="330"/>
      <c r="L359" s="330"/>
      <c r="M359" s="330"/>
      <c r="N359" s="330"/>
      <c r="O359" s="330"/>
      <c r="P359" s="330"/>
      <c r="Q359" s="330"/>
      <c r="R359" s="330"/>
      <c r="S359" s="330"/>
      <c r="T359" s="330"/>
      <c r="U359" s="330"/>
      <c r="V359" s="330"/>
      <c r="W359" s="330"/>
      <c r="X359" s="330"/>
      <c r="Y359" s="330"/>
      <c r="Z359" s="330"/>
      <c r="AA359" s="330"/>
      <c r="AB359" s="330"/>
      <c r="AC359" s="330"/>
      <c r="AD359" s="330"/>
      <c r="AE359" s="330"/>
      <c r="AF359" s="330"/>
      <c r="AG359" s="330"/>
      <c r="AH359" s="330"/>
      <c r="AI359" s="330"/>
      <c r="AJ359" s="330"/>
      <c r="AK359" s="330"/>
      <c r="AL359" s="330"/>
      <c r="AM359" s="330"/>
      <c r="AN359" s="330"/>
      <c r="AO359" s="330"/>
      <c r="AP359" s="330"/>
      <c r="AQ359" s="330"/>
      <c r="AR359" s="330"/>
      <c r="AS359" s="330"/>
      <c r="AT359" s="330"/>
      <c r="AU359" s="330"/>
      <c r="AV359" s="330"/>
      <c r="AW359" s="330"/>
      <c r="AX359" s="330"/>
      <c r="AY359" s="330"/>
      <c r="AZ359" s="330"/>
      <c r="BA359" s="330"/>
      <c r="BB359" s="330"/>
      <c r="BC359" s="330"/>
      <c r="BD359" s="330"/>
      <c r="BE359" s="330"/>
      <c r="BF359" s="330"/>
      <c r="BG359" s="330"/>
      <c r="BH359" s="330"/>
      <c r="BI359" s="330"/>
      <c r="BJ359" s="330"/>
      <c r="BK359" s="330"/>
      <c r="BL359" s="330"/>
      <c r="BM359" s="330"/>
      <c r="BN359" s="330"/>
      <c r="BO359" s="330"/>
      <c r="BP359" s="330"/>
      <c r="BQ359" s="330"/>
      <c r="BR359" s="330"/>
      <c r="BS359" s="330"/>
      <c r="BT359" s="330"/>
      <c r="BU359" s="330"/>
      <c r="BV359" s="330"/>
      <c r="BW359" s="330"/>
      <c r="BX359" s="330"/>
      <c r="BY359" s="330"/>
      <c r="BZ359" s="330"/>
      <c r="CA359" s="330"/>
      <c r="CB359" s="330"/>
      <c r="CC359" s="330"/>
      <c r="CD359" s="330"/>
      <c r="CE359" s="330"/>
      <c r="CF359" s="330"/>
      <c r="CG359" s="330"/>
      <c r="CH359" s="330"/>
      <c r="CI359" s="330"/>
      <c r="CJ359" s="330"/>
      <c r="CK359" s="330"/>
      <c r="CL359" s="330"/>
      <c r="CM359" s="330"/>
      <c r="CN359" s="330"/>
      <c r="CO359" s="330"/>
      <c r="CP359" s="330"/>
      <c r="CQ359" s="330"/>
      <c r="CR359" s="330"/>
      <c r="CS359" s="330"/>
      <c r="CT359" s="330"/>
      <c r="CU359" s="330"/>
      <c r="CV359" s="330"/>
      <c r="CW359" s="330"/>
      <c r="CX359" s="330"/>
      <c r="CY359" s="330"/>
      <c r="CZ359" s="330"/>
      <c r="DA359" s="330"/>
      <c r="DB359" s="330"/>
      <c r="DC359" s="330"/>
      <c r="DD359" s="330"/>
      <c r="DE359" s="330"/>
      <c r="DF359" s="330"/>
      <c r="DG359" s="330"/>
      <c r="DH359" s="330"/>
      <c r="DI359" s="330"/>
      <c r="DJ359" s="330"/>
      <c r="DK359" s="330"/>
      <c r="DL359" s="330"/>
      <c r="DM359" s="330"/>
      <c r="DN359" s="330"/>
      <c r="DO359" s="330"/>
      <c r="DP359" s="330"/>
      <c r="DQ359" s="330"/>
      <c r="DR359" s="330"/>
      <c r="DS359" s="330"/>
      <c r="DT359" s="330"/>
      <c r="DU359" s="330"/>
      <c r="DV359" s="330"/>
      <c r="DW359" s="330"/>
      <c r="DX359" s="330"/>
      <c r="DY359" s="330"/>
      <c r="DZ359" s="330"/>
      <c r="EA359" s="330"/>
      <c r="EB359" s="330"/>
      <c r="EC359" s="330"/>
      <c r="ED359" s="330"/>
      <c r="EE359" s="330"/>
      <c r="EF359" s="330"/>
      <c r="EG359" s="330"/>
      <c r="EH359" s="330"/>
      <c r="EI359" s="330"/>
      <c r="EJ359" s="330"/>
      <c r="EK359" s="330"/>
      <c r="EL359" s="330"/>
      <c r="EM359" s="330"/>
      <c r="EN359" s="330"/>
      <c r="EO359" s="330"/>
      <c r="EP359" s="330"/>
      <c r="EQ359" s="330"/>
      <c r="ER359" s="330">
        <f>C359/1000</f>
        <v>0.03</v>
      </c>
      <c r="ES359" s="330"/>
      <c r="ET359" s="330"/>
      <c r="EU359" s="330"/>
      <c r="EV359" s="330"/>
      <c r="EW359" s="330"/>
      <c r="EX359" s="330"/>
      <c r="EY359" s="1032">
        <f t="shared" si="22"/>
        <v>0.03</v>
      </c>
      <c r="EZ359" s="616"/>
      <c r="FA359" s="616"/>
      <c r="FB359" s="616"/>
      <c r="FC359" s="616"/>
      <c r="FD359" s="616"/>
      <c r="FE359" s="616"/>
      <c r="FF359" s="616"/>
      <c r="FG359" s="616"/>
      <c r="FH359" s="616"/>
      <c r="FI359" s="616"/>
      <c r="FJ359" s="616"/>
    </row>
    <row r="360" spans="1:166" s="407" customFormat="1" ht="14.7" customHeight="1" x14ac:dyDescent="0.25">
      <c r="A360" s="421">
        <v>356</v>
      </c>
      <c r="B360" s="602" t="str">
        <f>цены!D144</f>
        <v>Конфеты, глазированные шоколадом (Морские)</v>
      </c>
      <c r="C360" s="419">
        <v>30</v>
      </c>
      <c r="D360" s="1211">
        <f>2.7/100*C360</f>
        <v>0.81</v>
      </c>
      <c r="E360" s="1211">
        <f>10.3/100*C360</f>
        <v>3.09</v>
      </c>
      <c r="F360" s="1211">
        <f>75.9/100*C360</f>
        <v>22.77</v>
      </c>
      <c r="G360" s="1212">
        <f>396/100*C360</f>
        <v>119</v>
      </c>
      <c r="H360" s="419" t="s">
        <v>1170</v>
      </c>
      <c r="I360" s="1234">
        <f>цены!F144/1000*блюда!C360</f>
        <v>11.55</v>
      </c>
      <c r="J360" s="330"/>
      <c r="K360" s="330"/>
      <c r="L360" s="330"/>
      <c r="M360" s="330"/>
      <c r="N360" s="330"/>
      <c r="O360" s="330"/>
      <c r="P360" s="330"/>
      <c r="Q360" s="330"/>
      <c r="R360" s="330"/>
      <c r="S360" s="330"/>
      <c r="T360" s="330"/>
      <c r="U360" s="330"/>
      <c r="V360" s="330"/>
      <c r="W360" s="330"/>
      <c r="X360" s="330"/>
      <c r="Y360" s="330"/>
      <c r="Z360" s="330"/>
      <c r="AA360" s="330"/>
      <c r="AB360" s="330"/>
      <c r="AC360" s="330"/>
      <c r="AD360" s="330"/>
      <c r="AE360" s="330"/>
      <c r="AF360" s="330"/>
      <c r="AG360" s="330"/>
      <c r="AH360" s="330"/>
      <c r="AI360" s="330"/>
      <c r="AJ360" s="330"/>
      <c r="AK360" s="330"/>
      <c r="AL360" s="330"/>
      <c r="AM360" s="330"/>
      <c r="AN360" s="330"/>
      <c r="AO360" s="330"/>
      <c r="AP360" s="330"/>
      <c r="AQ360" s="330"/>
      <c r="AR360" s="330"/>
      <c r="AS360" s="330"/>
      <c r="AT360" s="330"/>
      <c r="AU360" s="330"/>
      <c r="AV360" s="330"/>
      <c r="AW360" s="330"/>
      <c r="AX360" s="330"/>
      <c r="AY360" s="330"/>
      <c r="AZ360" s="330"/>
      <c r="BA360" s="330"/>
      <c r="BB360" s="330"/>
      <c r="BC360" s="330"/>
      <c r="BD360" s="330"/>
      <c r="BE360" s="330"/>
      <c r="BF360" s="330"/>
      <c r="BG360" s="330"/>
      <c r="BH360" s="330"/>
      <c r="BI360" s="330"/>
      <c r="BJ360" s="330"/>
      <c r="BK360" s="330"/>
      <c r="BL360" s="330"/>
      <c r="BM360" s="330"/>
      <c r="BN360" s="330"/>
      <c r="BO360" s="330"/>
      <c r="BP360" s="330"/>
      <c r="BQ360" s="330"/>
      <c r="BR360" s="330"/>
      <c r="BS360" s="330"/>
      <c r="BT360" s="330"/>
      <c r="BU360" s="330"/>
      <c r="BV360" s="330"/>
      <c r="BW360" s="330"/>
      <c r="BX360" s="330"/>
      <c r="BY360" s="330"/>
      <c r="BZ360" s="330"/>
      <c r="CA360" s="330"/>
      <c r="CB360" s="330"/>
      <c r="CC360" s="330"/>
      <c r="CD360" s="330"/>
      <c r="CE360" s="330"/>
      <c r="CF360" s="330"/>
      <c r="CG360" s="330"/>
      <c r="CH360" s="330"/>
      <c r="CI360" s="330"/>
      <c r="CJ360" s="330"/>
      <c r="CK360" s="330"/>
      <c r="CL360" s="330"/>
      <c r="CM360" s="330"/>
      <c r="CN360" s="330"/>
      <c r="CO360" s="330"/>
      <c r="CP360" s="330"/>
      <c r="CQ360" s="330"/>
      <c r="CR360" s="330"/>
      <c r="CS360" s="330"/>
      <c r="CT360" s="330"/>
      <c r="CU360" s="330"/>
      <c r="CV360" s="330"/>
      <c r="CW360" s="330"/>
      <c r="CX360" s="330"/>
      <c r="CY360" s="330"/>
      <c r="CZ360" s="330"/>
      <c r="DA360" s="330"/>
      <c r="DB360" s="330"/>
      <c r="DC360" s="330"/>
      <c r="DD360" s="330"/>
      <c r="DE360" s="330"/>
      <c r="DF360" s="330"/>
      <c r="DG360" s="330"/>
      <c r="DH360" s="330"/>
      <c r="DI360" s="330"/>
      <c r="DJ360" s="330"/>
      <c r="DK360" s="330"/>
      <c r="DL360" s="330"/>
      <c r="DM360" s="330"/>
      <c r="DN360" s="330"/>
      <c r="DO360" s="330"/>
      <c r="DP360" s="330"/>
      <c r="DQ360" s="330"/>
      <c r="DR360" s="330"/>
      <c r="DS360" s="330"/>
      <c r="DT360" s="330"/>
      <c r="DU360" s="330"/>
      <c r="DV360" s="330"/>
      <c r="DW360" s="330"/>
      <c r="DX360" s="330"/>
      <c r="DY360" s="330"/>
      <c r="DZ360" s="330"/>
      <c r="EA360" s="330"/>
      <c r="EB360" s="330"/>
      <c r="EC360" s="330"/>
      <c r="ED360" s="330"/>
      <c r="EE360" s="330"/>
      <c r="EF360" s="330"/>
      <c r="EG360" s="330"/>
      <c r="EH360" s="330"/>
      <c r="EI360" s="330"/>
      <c r="EJ360" s="330"/>
      <c r="EK360" s="330">
        <f>C360/1000</f>
        <v>0.03</v>
      </c>
      <c r="EL360" s="330"/>
      <c r="EM360" s="330"/>
      <c r="EN360" s="330"/>
      <c r="EO360" s="330"/>
      <c r="EP360" s="330"/>
      <c r="EQ360" s="330"/>
      <c r="ER360" s="330"/>
      <c r="ES360" s="330"/>
      <c r="ET360" s="330"/>
      <c r="EU360" s="330"/>
      <c r="EV360" s="330"/>
      <c r="EW360" s="330"/>
      <c r="EX360" s="330"/>
      <c r="EY360" s="1032">
        <f t="shared" si="22"/>
        <v>0.03</v>
      </c>
      <c r="EZ360" s="616"/>
      <c r="FA360" s="616"/>
      <c r="FB360" s="616"/>
      <c r="FC360" s="616"/>
      <c r="FD360" s="616"/>
      <c r="FE360" s="616"/>
      <c r="FF360" s="616"/>
      <c r="FG360" s="616"/>
      <c r="FH360" s="616"/>
      <c r="FI360" s="616"/>
      <c r="FJ360" s="616"/>
    </row>
    <row r="361" spans="1:166" s="462" customFormat="1" ht="14.7" customHeight="1" x14ac:dyDescent="0.25">
      <c r="A361" s="421">
        <v>357</v>
      </c>
      <c r="B361" s="602" t="str">
        <f>цены!D145</f>
        <v>Конфеты сливочные (Коровка)</v>
      </c>
      <c r="C361" s="419">
        <v>30</v>
      </c>
      <c r="D361" s="1211">
        <f>2.7/100*C361</f>
        <v>0.81</v>
      </c>
      <c r="E361" s="1211">
        <f>4.4/100*C361</f>
        <v>1.32</v>
      </c>
      <c r="F361" s="1211">
        <f>82.4/100*C361</f>
        <v>24.72</v>
      </c>
      <c r="G361" s="1212">
        <f>351/100*C361</f>
        <v>105</v>
      </c>
      <c r="H361" s="419" t="s">
        <v>1170</v>
      </c>
      <c r="I361" s="1234">
        <f>цены!F145/1000*блюда!C361</f>
        <v>6</v>
      </c>
      <c r="J361" s="330"/>
      <c r="K361" s="330"/>
      <c r="L361" s="330"/>
      <c r="M361" s="330"/>
      <c r="N361" s="330"/>
      <c r="O361" s="330"/>
      <c r="P361" s="330"/>
      <c r="Q361" s="330"/>
      <c r="R361" s="330"/>
      <c r="S361" s="330"/>
      <c r="T361" s="330"/>
      <c r="U361" s="330"/>
      <c r="V361" s="330"/>
      <c r="W361" s="330"/>
      <c r="X361" s="330"/>
      <c r="Y361" s="330"/>
      <c r="Z361" s="330"/>
      <c r="AA361" s="330"/>
      <c r="AB361" s="330"/>
      <c r="AC361" s="330"/>
      <c r="AD361" s="330"/>
      <c r="AE361" s="330"/>
      <c r="AF361" s="330"/>
      <c r="AG361" s="330"/>
      <c r="AH361" s="330"/>
      <c r="AI361" s="330"/>
      <c r="AJ361" s="330"/>
      <c r="AK361" s="330"/>
      <c r="AL361" s="330"/>
      <c r="AM361" s="330"/>
      <c r="AN361" s="330"/>
      <c r="AO361" s="330"/>
      <c r="AP361" s="330"/>
      <c r="AQ361" s="330"/>
      <c r="AR361" s="330"/>
      <c r="AS361" s="330"/>
      <c r="AT361" s="330"/>
      <c r="AU361" s="330"/>
      <c r="AV361" s="330"/>
      <c r="AW361" s="330"/>
      <c r="AX361" s="330"/>
      <c r="AY361" s="330"/>
      <c r="AZ361" s="330"/>
      <c r="BA361" s="330"/>
      <c r="BB361" s="330"/>
      <c r="BC361" s="330"/>
      <c r="BD361" s="330"/>
      <c r="BE361" s="330"/>
      <c r="BF361" s="330"/>
      <c r="BG361" s="330"/>
      <c r="BH361" s="330"/>
      <c r="BI361" s="330"/>
      <c r="BJ361" s="330"/>
      <c r="BK361" s="330"/>
      <c r="BL361" s="330"/>
      <c r="BM361" s="330"/>
      <c r="BN361" s="330"/>
      <c r="BO361" s="330"/>
      <c r="BP361" s="330"/>
      <c r="BQ361" s="330"/>
      <c r="BR361" s="330"/>
      <c r="BS361" s="330"/>
      <c r="BT361" s="330"/>
      <c r="BU361" s="330"/>
      <c r="BV361" s="330"/>
      <c r="BW361" s="330"/>
      <c r="BX361" s="330"/>
      <c r="BY361" s="330"/>
      <c r="BZ361" s="330"/>
      <c r="CA361" s="330"/>
      <c r="CB361" s="330"/>
      <c r="CC361" s="330"/>
      <c r="CD361" s="330"/>
      <c r="CE361" s="330"/>
      <c r="CF361" s="330"/>
      <c r="CG361" s="330"/>
      <c r="CH361" s="330"/>
      <c r="CI361" s="330"/>
      <c r="CJ361" s="330"/>
      <c r="CK361" s="330"/>
      <c r="CL361" s="330"/>
      <c r="CM361" s="330"/>
      <c r="CN361" s="330"/>
      <c r="CO361" s="330"/>
      <c r="CP361" s="330"/>
      <c r="CQ361" s="330"/>
      <c r="CR361" s="330"/>
      <c r="CS361" s="330"/>
      <c r="CT361" s="330"/>
      <c r="CU361" s="330"/>
      <c r="CV361" s="330"/>
      <c r="CW361" s="330"/>
      <c r="CX361" s="330"/>
      <c r="CY361" s="330"/>
      <c r="CZ361" s="330"/>
      <c r="DA361" s="330"/>
      <c r="DB361" s="330"/>
      <c r="DC361" s="330"/>
      <c r="DD361" s="330"/>
      <c r="DE361" s="330"/>
      <c r="DF361" s="330"/>
      <c r="DG361" s="330"/>
      <c r="DH361" s="330"/>
      <c r="DI361" s="330"/>
      <c r="DJ361" s="330"/>
      <c r="DK361" s="330"/>
      <c r="DL361" s="330"/>
      <c r="DM361" s="330"/>
      <c r="DN361" s="330"/>
      <c r="DO361" s="330"/>
      <c r="DP361" s="330"/>
      <c r="DQ361" s="330"/>
      <c r="DR361" s="330"/>
      <c r="DS361" s="330"/>
      <c r="DT361" s="330"/>
      <c r="DU361" s="330"/>
      <c r="DV361" s="330"/>
      <c r="DW361" s="330"/>
      <c r="DX361" s="330"/>
      <c r="DY361" s="330"/>
      <c r="DZ361" s="330"/>
      <c r="EA361" s="330"/>
      <c r="EB361" s="330"/>
      <c r="EC361" s="330"/>
      <c r="ED361" s="330"/>
      <c r="EE361" s="330"/>
      <c r="EF361" s="330"/>
      <c r="EG361" s="330"/>
      <c r="EH361" s="330"/>
      <c r="EI361" s="330"/>
      <c r="EJ361" s="330"/>
      <c r="EK361" s="330"/>
      <c r="EL361" s="330">
        <f>C361/1000</f>
        <v>0.03</v>
      </c>
      <c r="EM361" s="330"/>
      <c r="EN361" s="330"/>
      <c r="EO361" s="330"/>
      <c r="EP361" s="330"/>
      <c r="EQ361" s="330"/>
      <c r="ER361" s="330"/>
      <c r="ES361" s="330"/>
      <c r="ET361" s="330"/>
      <c r="EU361" s="330"/>
      <c r="EV361" s="330"/>
      <c r="EW361" s="330"/>
      <c r="EX361" s="330"/>
      <c r="EY361" s="1032">
        <f t="shared" si="22"/>
        <v>0.03</v>
      </c>
      <c r="EZ361" s="616"/>
      <c r="FA361" s="616"/>
      <c r="FB361" s="616"/>
      <c r="FC361" s="616"/>
      <c r="FD361" s="616"/>
      <c r="FE361" s="616"/>
      <c r="FF361" s="616"/>
      <c r="FG361" s="616"/>
      <c r="FH361" s="616"/>
      <c r="FI361" s="616"/>
      <c r="FJ361" s="616"/>
    </row>
    <row r="362" spans="1:166" s="462" customFormat="1" ht="14.7" customHeight="1" x14ac:dyDescent="0.25">
      <c r="A362" s="421">
        <v>358</v>
      </c>
      <c r="B362" s="602" t="str">
        <f>цены!D146</f>
        <v>Конфеты шоколадные ("Российские" (плитка)</v>
      </c>
      <c r="C362" s="419">
        <v>15</v>
      </c>
      <c r="D362" s="1211">
        <f>8.2/100*C362</f>
        <v>1.23</v>
      </c>
      <c r="E362" s="1211">
        <f>33.3/100*C362</f>
        <v>5</v>
      </c>
      <c r="F362" s="1211">
        <f>53.5/100*C362</f>
        <v>8.0299999999999994</v>
      </c>
      <c r="G362" s="1212">
        <f>538/100*C362</f>
        <v>81</v>
      </c>
      <c r="H362" s="419" t="s">
        <v>1170</v>
      </c>
      <c r="I362" s="1234">
        <f>цены!F146/1000*блюда!C362</f>
        <v>15</v>
      </c>
      <c r="J362" s="330"/>
      <c r="K362" s="330"/>
      <c r="L362" s="330"/>
      <c r="M362" s="330"/>
      <c r="N362" s="330"/>
      <c r="O362" s="330"/>
      <c r="P362" s="330"/>
      <c r="Q362" s="330"/>
      <c r="R362" s="330"/>
      <c r="S362" s="330"/>
      <c r="T362" s="330"/>
      <c r="U362" s="330"/>
      <c r="V362" s="330"/>
      <c r="W362" s="330"/>
      <c r="X362" s="330"/>
      <c r="Y362" s="330"/>
      <c r="Z362" s="330"/>
      <c r="AA362" s="330"/>
      <c r="AB362" s="330"/>
      <c r="AC362" s="330"/>
      <c r="AD362" s="330"/>
      <c r="AE362" s="330"/>
      <c r="AF362" s="330"/>
      <c r="AG362" s="330"/>
      <c r="AH362" s="330"/>
      <c r="AI362" s="330"/>
      <c r="AJ362" s="330"/>
      <c r="AK362" s="330"/>
      <c r="AL362" s="330"/>
      <c r="AM362" s="330"/>
      <c r="AN362" s="330"/>
      <c r="AO362" s="330"/>
      <c r="AP362" s="330"/>
      <c r="AQ362" s="330"/>
      <c r="AR362" s="330"/>
      <c r="AS362" s="330"/>
      <c r="AT362" s="330"/>
      <c r="AU362" s="330"/>
      <c r="AV362" s="330"/>
      <c r="AW362" s="330"/>
      <c r="AX362" s="330"/>
      <c r="AY362" s="330"/>
      <c r="AZ362" s="330"/>
      <c r="BA362" s="330"/>
      <c r="BB362" s="330"/>
      <c r="BC362" s="330"/>
      <c r="BD362" s="330"/>
      <c r="BE362" s="330"/>
      <c r="BF362" s="330"/>
      <c r="BG362" s="330"/>
      <c r="BH362" s="330"/>
      <c r="BI362" s="330"/>
      <c r="BJ362" s="330"/>
      <c r="BK362" s="330"/>
      <c r="BL362" s="330"/>
      <c r="BM362" s="330"/>
      <c r="BN362" s="330"/>
      <c r="BO362" s="330"/>
      <c r="BP362" s="330"/>
      <c r="BQ362" s="330"/>
      <c r="BR362" s="330"/>
      <c r="BS362" s="330"/>
      <c r="BT362" s="330"/>
      <c r="BU362" s="330"/>
      <c r="BV362" s="330"/>
      <c r="BW362" s="330"/>
      <c r="BX362" s="330"/>
      <c r="BY362" s="330"/>
      <c r="BZ362" s="330"/>
      <c r="CA362" s="330"/>
      <c r="CB362" s="330"/>
      <c r="CC362" s="330"/>
      <c r="CD362" s="330"/>
      <c r="CE362" s="330"/>
      <c r="CF362" s="330"/>
      <c r="CG362" s="330"/>
      <c r="CH362" s="330"/>
      <c r="CI362" s="330"/>
      <c r="CJ362" s="330"/>
      <c r="CK362" s="330"/>
      <c r="CL362" s="330"/>
      <c r="CM362" s="330"/>
      <c r="CN362" s="330"/>
      <c r="CO362" s="330"/>
      <c r="CP362" s="330"/>
      <c r="CQ362" s="330"/>
      <c r="CR362" s="330"/>
      <c r="CS362" s="330"/>
      <c r="CT362" s="330"/>
      <c r="CU362" s="330"/>
      <c r="CV362" s="330"/>
      <c r="CW362" s="330"/>
      <c r="CX362" s="330"/>
      <c r="CY362" s="330"/>
      <c r="CZ362" s="330"/>
      <c r="DA362" s="330"/>
      <c r="DB362" s="330"/>
      <c r="DC362" s="330"/>
      <c r="DD362" s="330"/>
      <c r="DE362" s="330"/>
      <c r="DF362" s="330"/>
      <c r="DG362" s="330"/>
      <c r="DH362" s="330"/>
      <c r="DI362" s="330"/>
      <c r="DJ362" s="330"/>
      <c r="DK362" s="330"/>
      <c r="DL362" s="330"/>
      <c r="DM362" s="330"/>
      <c r="DN362" s="330"/>
      <c r="DO362" s="330"/>
      <c r="DP362" s="330"/>
      <c r="DQ362" s="330"/>
      <c r="DR362" s="330"/>
      <c r="DS362" s="330"/>
      <c r="DT362" s="330"/>
      <c r="DU362" s="330"/>
      <c r="DV362" s="330"/>
      <c r="DW362" s="330"/>
      <c r="DX362" s="330"/>
      <c r="DY362" s="330"/>
      <c r="DZ362" s="330"/>
      <c r="EA362" s="330"/>
      <c r="EB362" s="330"/>
      <c r="EC362" s="330"/>
      <c r="ED362" s="330"/>
      <c r="EE362" s="330"/>
      <c r="EF362" s="330"/>
      <c r="EG362" s="330"/>
      <c r="EH362" s="330"/>
      <c r="EI362" s="330"/>
      <c r="EJ362" s="330"/>
      <c r="EK362" s="330"/>
      <c r="EL362" s="330"/>
      <c r="EM362" s="330">
        <f>C362/1000</f>
        <v>1.4999999999999999E-2</v>
      </c>
      <c r="EN362" s="330"/>
      <c r="EO362" s="330"/>
      <c r="EP362" s="330"/>
      <c r="EQ362" s="330"/>
      <c r="ER362" s="330"/>
      <c r="ES362" s="330"/>
      <c r="ET362" s="330"/>
      <c r="EU362" s="330"/>
      <c r="EV362" s="330"/>
      <c r="EW362" s="330"/>
      <c r="EX362" s="330"/>
      <c r="EY362" s="1032">
        <f t="shared" si="22"/>
        <v>1.4999999999999999E-2</v>
      </c>
      <c r="EZ362" s="616"/>
      <c r="FA362" s="616"/>
      <c r="FB362" s="616"/>
      <c r="FC362" s="616"/>
      <c r="FD362" s="616"/>
      <c r="FE362" s="616"/>
      <c r="FF362" s="616"/>
      <c r="FG362" s="616"/>
      <c r="FH362" s="616"/>
      <c r="FI362" s="616"/>
      <c r="FJ362" s="616"/>
    </row>
    <row r="363" spans="1:166" s="462" customFormat="1" ht="14.7" customHeight="1" x14ac:dyDescent="0.25">
      <c r="A363" s="421">
        <v>359</v>
      </c>
      <c r="B363" s="602" t="str">
        <f>цены!D152</f>
        <v>Конфеты ирис (Золотой ключик)</v>
      </c>
      <c r="C363" s="419">
        <v>30</v>
      </c>
      <c r="D363" s="1211">
        <f>3.5/100*C363</f>
        <v>1.05</v>
      </c>
      <c r="E363" s="1211">
        <f>12/100*C363</f>
        <v>3.6</v>
      </c>
      <c r="F363" s="1211">
        <f>77/100*C363</f>
        <v>23.1</v>
      </c>
      <c r="G363" s="1212">
        <f>430/100*C363</f>
        <v>129</v>
      </c>
      <c r="H363" s="419" t="s">
        <v>1170</v>
      </c>
      <c r="I363" s="1234">
        <f>цены!F152/1000*блюда!C363</f>
        <v>8.25</v>
      </c>
      <c r="J363" s="330"/>
      <c r="K363" s="330"/>
      <c r="L363" s="330"/>
      <c r="M363" s="330"/>
      <c r="N363" s="330"/>
      <c r="O363" s="330"/>
      <c r="P363" s="330"/>
      <c r="Q363" s="330"/>
      <c r="R363" s="330"/>
      <c r="S363" s="330"/>
      <c r="T363" s="330"/>
      <c r="U363" s="330"/>
      <c r="V363" s="330"/>
      <c r="W363" s="330"/>
      <c r="X363" s="330"/>
      <c r="Y363" s="330"/>
      <c r="Z363" s="330"/>
      <c r="AA363" s="330"/>
      <c r="AB363" s="330"/>
      <c r="AC363" s="330"/>
      <c r="AD363" s="330"/>
      <c r="AE363" s="330"/>
      <c r="AF363" s="330"/>
      <c r="AG363" s="330"/>
      <c r="AH363" s="330"/>
      <c r="AI363" s="330"/>
      <c r="AJ363" s="330"/>
      <c r="AK363" s="330"/>
      <c r="AL363" s="330"/>
      <c r="AM363" s="330"/>
      <c r="AN363" s="330"/>
      <c r="AO363" s="330"/>
      <c r="AP363" s="330"/>
      <c r="AQ363" s="330"/>
      <c r="AR363" s="330"/>
      <c r="AS363" s="330"/>
      <c r="AT363" s="330"/>
      <c r="AU363" s="330"/>
      <c r="AV363" s="330"/>
      <c r="AW363" s="330"/>
      <c r="AX363" s="330"/>
      <c r="AY363" s="330"/>
      <c r="AZ363" s="330"/>
      <c r="BA363" s="330"/>
      <c r="BB363" s="330"/>
      <c r="BC363" s="330"/>
      <c r="BD363" s="330"/>
      <c r="BE363" s="330"/>
      <c r="BF363" s="330"/>
      <c r="BG363" s="330"/>
      <c r="BH363" s="330"/>
      <c r="BI363" s="330"/>
      <c r="BJ363" s="330"/>
      <c r="BK363" s="330"/>
      <c r="BL363" s="330"/>
      <c r="BM363" s="330"/>
      <c r="BN363" s="330"/>
      <c r="BO363" s="330"/>
      <c r="BP363" s="330"/>
      <c r="BQ363" s="330"/>
      <c r="BR363" s="330"/>
      <c r="BS363" s="330"/>
      <c r="BT363" s="330"/>
      <c r="BU363" s="330"/>
      <c r="BV363" s="330"/>
      <c r="BW363" s="330"/>
      <c r="BX363" s="330"/>
      <c r="BY363" s="330"/>
      <c r="BZ363" s="330"/>
      <c r="CA363" s="330"/>
      <c r="CB363" s="330"/>
      <c r="CC363" s="330"/>
      <c r="CD363" s="330"/>
      <c r="CE363" s="330"/>
      <c r="CF363" s="330"/>
      <c r="CG363" s="330"/>
      <c r="CH363" s="330"/>
      <c r="CI363" s="330"/>
      <c r="CJ363" s="330"/>
      <c r="CK363" s="330"/>
      <c r="CL363" s="330"/>
      <c r="CM363" s="330"/>
      <c r="CN363" s="330"/>
      <c r="CO363" s="330"/>
      <c r="CP363" s="330"/>
      <c r="CQ363" s="330"/>
      <c r="CR363" s="330"/>
      <c r="CS363" s="330"/>
      <c r="CT363" s="330"/>
      <c r="CU363" s="330"/>
      <c r="CV363" s="330"/>
      <c r="CW363" s="330"/>
      <c r="CX363" s="330"/>
      <c r="CY363" s="330"/>
      <c r="CZ363" s="330"/>
      <c r="DA363" s="330"/>
      <c r="DB363" s="330"/>
      <c r="DC363" s="330"/>
      <c r="DD363" s="330"/>
      <c r="DE363" s="330"/>
      <c r="DF363" s="330"/>
      <c r="DG363" s="330"/>
      <c r="DH363" s="330"/>
      <c r="DI363" s="330"/>
      <c r="DJ363" s="330"/>
      <c r="DK363" s="330"/>
      <c r="DL363" s="330"/>
      <c r="DM363" s="330"/>
      <c r="DN363" s="330"/>
      <c r="DO363" s="330"/>
      <c r="DP363" s="330"/>
      <c r="DQ363" s="330"/>
      <c r="DR363" s="330"/>
      <c r="DS363" s="330"/>
      <c r="DT363" s="330"/>
      <c r="DU363" s="330"/>
      <c r="DV363" s="330"/>
      <c r="DW363" s="330"/>
      <c r="DX363" s="330"/>
      <c r="DY363" s="330"/>
      <c r="DZ363" s="330"/>
      <c r="EA363" s="330"/>
      <c r="EB363" s="330"/>
      <c r="EC363" s="330"/>
      <c r="ED363" s="330"/>
      <c r="EE363" s="330"/>
      <c r="EF363" s="330"/>
      <c r="EG363" s="330"/>
      <c r="EH363" s="330"/>
      <c r="EI363" s="330"/>
      <c r="EJ363" s="330"/>
      <c r="EK363" s="330"/>
      <c r="EL363" s="330"/>
      <c r="EM363" s="330"/>
      <c r="EN363" s="330"/>
      <c r="EO363" s="330"/>
      <c r="EP363" s="330"/>
      <c r="EQ363" s="330"/>
      <c r="ER363" s="330"/>
      <c r="ES363" s="330">
        <f>C363/1000</f>
        <v>0.03</v>
      </c>
      <c r="ET363" s="330"/>
      <c r="EU363" s="330"/>
      <c r="EV363" s="330"/>
      <c r="EW363" s="330"/>
      <c r="EX363" s="330"/>
      <c r="EY363" s="1032">
        <f t="shared" si="22"/>
        <v>0.03</v>
      </c>
      <c r="EZ363" s="616"/>
      <c r="FA363" s="616"/>
      <c r="FB363" s="616"/>
      <c r="FC363" s="616"/>
      <c r="FD363" s="616"/>
      <c r="FE363" s="616"/>
      <c r="FF363" s="616"/>
      <c r="FG363" s="616"/>
      <c r="FH363" s="616"/>
      <c r="FI363" s="616"/>
      <c r="FJ363" s="616"/>
    </row>
    <row r="364" spans="1:166" s="491" customFormat="1" ht="14.7" customHeight="1" x14ac:dyDescent="0.25">
      <c r="A364" s="421">
        <v>360</v>
      </c>
      <c r="B364" s="602" t="str">
        <f>цены!D101</f>
        <v>Огурцы консервированные</v>
      </c>
      <c r="C364" s="419">
        <v>60</v>
      </c>
      <c r="D364" s="1211">
        <f>0.8/100*C364</f>
        <v>0.48</v>
      </c>
      <c r="E364" s="1211">
        <f>0.1/100*C364</f>
        <v>0.06</v>
      </c>
      <c r="F364" s="1211">
        <f>0.595/100*C364</f>
        <v>0.36</v>
      </c>
      <c r="G364" s="1212">
        <f>13/100*C364</f>
        <v>8</v>
      </c>
      <c r="H364" s="419" t="s">
        <v>1170</v>
      </c>
      <c r="I364" s="1234">
        <f>цены!F101/1000*блюда!C364</f>
        <v>7.2</v>
      </c>
      <c r="J364" s="330"/>
      <c r="K364" s="330"/>
      <c r="L364" s="330"/>
      <c r="M364" s="330"/>
      <c r="N364" s="330"/>
      <c r="O364" s="330"/>
      <c r="P364" s="330"/>
      <c r="Q364" s="330"/>
      <c r="R364" s="330"/>
      <c r="S364" s="330"/>
      <c r="T364" s="330"/>
      <c r="U364" s="330"/>
      <c r="V364" s="330"/>
      <c r="W364" s="330"/>
      <c r="X364" s="330"/>
      <c r="Y364" s="330"/>
      <c r="Z364" s="330"/>
      <c r="AA364" s="330"/>
      <c r="AB364" s="330"/>
      <c r="AC364" s="330"/>
      <c r="AD364" s="330"/>
      <c r="AE364" s="330"/>
      <c r="AF364" s="330"/>
      <c r="AG364" s="330"/>
      <c r="AH364" s="330"/>
      <c r="AI364" s="330"/>
      <c r="AJ364" s="330"/>
      <c r="AK364" s="330"/>
      <c r="AL364" s="330"/>
      <c r="AM364" s="330"/>
      <c r="AN364" s="330"/>
      <c r="AO364" s="330"/>
      <c r="AP364" s="330"/>
      <c r="AQ364" s="330"/>
      <c r="AR364" s="330"/>
      <c r="AS364" s="330"/>
      <c r="AT364" s="330"/>
      <c r="AU364" s="330"/>
      <c r="AV364" s="330"/>
      <c r="AW364" s="330"/>
      <c r="AX364" s="330"/>
      <c r="AY364" s="330"/>
      <c r="AZ364" s="330"/>
      <c r="BA364" s="330"/>
      <c r="BB364" s="330"/>
      <c r="BC364" s="330"/>
      <c r="BD364" s="330"/>
      <c r="BE364" s="330"/>
      <c r="BF364" s="330"/>
      <c r="BG364" s="330"/>
      <c r="BH364" s="330"/>
      <c r="BI364" s="330"/>
      <c r="BJ364" s="330"/>
      <c r="BK364" s="330"/>
      <c r="BL364" s="330"/>
      <c r="BM364" s="330"/>
      <c r="BN364" s="330"/>
      <c r="BO364" s="330"/>
      <c r="BP364" s="330"/>
      <c r="BQ364" s="330"/>
      <c r="BR364" s="330"/>
      <c r="BS364" s="330"/>
      <c r="BT364" s="330"/>
      <c r="BU364" s="330"/>
      <c r="BV364" s="330"/>
      <c r="BW364" s="330"/>
      <c r="BX364" s="330"/>
      <c r="BY364" s="330"/>
      <c r="BZ364" s="330"/>
      <c r="CA364" s="330"/>
      <c r="CB364" s="330"/>
      <c r="CC364" s="330"/>
      <c r="CD364" s="330"/>
      <c r="CE364" s="330"/>
      <c r="CF364" s="330"/>
      <c r="CG364" s="330"/>
      <c r="CH364" s="330"/>
      <c r="CI364" s="330"/>
      <c r="CJ364" s="330"/>
      <c r="CK364" s="330"/>
      <c r="CL364" s="330"/>
      <c r="CM364" s="330"/>
      <c r="CN364" s="330"/>
      <c r="CO364" s="330"/>
      <c r="CP364" s="330"/>
      <c r="CQ364" s="330"/>
      <c r="CR364" s="330"/>
      <c r="CS364" s="330"/>
      <c r="CT364" s="330">
        <f>C364/1000</f>
        <v>0.06</v>
      </c>
      <c r="CU364" s="330"/>
      <c r="CV364" s="330"/>
      <c r="CW364" s="330"/>
      <c r="CX364" s="330"/>
      <c r="CY364" s="330"/>
      <c r="CZ364" s="330"/>
      <c r="DA364" s="330"/>
      <c r="DB364" s="330"/>
      <c r="DC364" s="330"/>
      <c r="DD364" s="330"/>
      <c r="DE364" s="330"/>
      <c r="DF364" s="330"/>
      <c r="DG364" s="330"/>
      <c r="DH364" s="330"/>
      <c r="DI364" s="330"/>
      <c r="DJ364" s="330"/>
      <c r="DK364" s="330"/>
      <c r="DL364" s="330"/>
      <c r="DM364" s="330"/>
      <c r="DN364" s="330"/>
      <c r="DO364" s="330"/>
      <c r="DP364" s="330"/>
      <c r="DQ364" s="330"/>
      <c r="DR364" s="330"/>
      <c r="DS364" s="330"/>
      <c r="DT364" s="330"/>
      <c r="DU364" s="330"/>
      <c r="DV364" s="330"/>
      <c r="DW364" s="330"/>
      <c r="DX364" s="330"/>
      <c r="DY364" s="330"/>
      <c r="DZ364" s="330"/>
      <c r="EA364" s="330"/>
      <c r="EB364" s="330"/>
      <c r="EC364" s="330"/>
      <c r="ED364" s="330"/>
      <c r="EE364" s="330"/>
      <c r="EF364" s="330"/>
      <c r="EG364" s="330"/>
      <c r="EH364" s="330"/>
      <c r="EI364" s="330"/>
      <c r="EJ364" s="330"/>
      <c r="EK364" s="330"/>
      <c r="EL364" s="330"/>
      <c r="EM364" s="330"/>
      <c r="EN364" s="330"/>
      <c r="EO364" s="330"/>
      <c r="EP364" s="330"/>
      <c r="EQ364" s="330"/>
      <c r="ER364" s="330"/>
      <c r="ES364" s="330"/>
      <c r="ET364" s="330"/>
      <c r="EU364" s="330"/>
      <c r="EV364" s="330"/>
      <c r="EW364" s="330"/>
      <c r="EX364" s="330"/>
      <c r="EY364" s="1032">
        <f t="shared" si="22"/>
        <v>0.06</v>
      </c>
      <c r="EZ364" s="616"/>
      <c r="FA364" s="616"/>
      <c r="FB364" s="616"/>
      <c r="FC364" s="616"/>
      <c r="FD364" s="616"/>
      <c r="FE364" s="616"/>
      <c r="FF364" s="616"/>
      <c r="FG364" s="616"/>
      <c r="FH364" s="616"/>
      <c r="FI364" s="616"/>
      <c r="FJ364" s="616"/>
    </row>
    <row r="365" spans="1:166" s="937" customFormat="1" ht="14.7" customHeight="1" x14ac:dyDescent="0.25">
      <c r="A365" s="421">
        <v>361</v>
      </c>
      <c r="B365" s="897" t="str">
        <f>цены!D24</f>
        <v>Сметана 20% жирности</v>
      </c>
      <c r="C365" s="419">
        <v>10</v>
      </c>
      <c r="D365" s="1211">
        <f>2.8/100*C365</f>
        <v>0.28000000000000003</v>
      </c>
      <c r="E365" s="1211">
        <f>20/100*C365</f>
        <v>2</v>
      </c>
      <c r="F365" s="1211">
        <f>3.2/100*C365</f>
        <v>0.32</v>
      </c>
      <c r="G365" s="1212">
        <f>206/100*C365</f>
        <v>21</v>
      </c>
      <c r="H365" s="419" t="s">
        <v>1170</v>
      </c>
      <c r="I365" s="1234">
        <f>цены!F24/1000*блюда!C365</f>
        <v>2.34</v>
      </c>
      <c r="J365" s="330"/>
      <c r="K365" s="330"/>
      <c r="L365" s="330"/>
      <c r="M365" s="330"/>
      <c r="N365" s="330"/>
      <c r="O365" s="330"/>
      <c r="P365" s="330"/>
      <c r="Q365" s="330"/>
      <c r="R365" s="330"/>
      <c r="S365" s="330"/>
      <c r="T365" s="330"/>
      <c r="U365" s="330"/>
      <c r="V365" s="330"/>
      <c r="W365" s="330"/>
      <c r="X365" s="330"/>
      <c r="Y365" s="330">
        <f>C365/1000</f>
        <v>0.01</v>
      </c>
      <c r="Z365" s="330"/>
      <c r="AA365" s="330"/>
      <c r="AB365" s="330"/>
      <c r="AC365" s="330"/>
      <c r="AD365" s="330"/>
      <c r="AE365" s="330"/>
      <c r="AF365" s="330"/>
      <c r="AG365" s="330"/>
      <c r="AH365" s="330"/>
      <c r="AI365" s="330"/>
      <c r="AJ365" s="330"/>
      <c r="AK365" s="330"/>
      <c r="AL365" s="330"/>
      <c r="AM365" s="330"/>
      <c r="AN365" s="330"/>
      <c r="AO365" s="330"/>
      <c r="AP365" s="330"/>
      <c r="AQ365" s="330"/>
      <c r="AR365" s="330"/>
      <c r="AS365" s="330"/>
      <c r="AT365" s="330"/>
      <c r="AU365" s="330"/>
      <c r="AV365" s="330"/>
      <c r="AW365" s="330"/>
      <c r="AX365" s="330"/>
      <c r="AY365" s="330"/>
      <c r="AZ365" s="330"/>
      <c r="BA365" s="330"/>
      <c r="BB365" s="330"/>
      <c r="BC365" s="330"/>
      <c r="BD365" s="330"/>
      <c r="BE365" s="330"/>
      <c r="BF365" s="330"/>
      <c r="BG365" s="330"/>
      <c r="BH365" s="330"/>
      <c r="BI365" s="330"/>
      <c r="BJ365" s="330"/>
      <c r="BK365" s="330"/>
      <c r="BL365" s="330"/>
      <c r="BM365" s="330"/>
      <c r="BN365" s="330"/>
      <c r="BO365" s="330"/>
      <c r="BP365" s="330"/>
      <c r="BQ365" s="330"/>
      <c r="BR365" s="330"/>
      <c r="BS365" s="330"/>
      <c r="BT365" s="330"/>
      <c r="BU365" s="330"/>
      <c r="BV365" s="330"/>
      <c r="BW365" s="330"/>
      <c r="BX365" s="330"/>
      <c r="BY365" s="330"/>
      <c r="BZ365" s="330"/>
      <c r="CA365" s="330"/>
      <c r="CB365" s="330"/>
      <c r="CC365" s="330"/>
      <c r="CD365" s="330"/>
      <c r="CE365" s="330"/>
      <c r="CF365" s="330"/>
      <c r="CG365" s="330"/>
      <c r="CH365" s="330"/>
      <c r="CI365" s="330"/>
      <c r="CJ365" s="330"/>
      <c r="CK365" s="330"/>
      <c r="CL365" s="330"/>
      <c r="CM365" s="330"/>
      <c r="CN365" s="330"/>
      <c r="CO365" s="330"/>
      <c r="CP365" s="330"/>
      <c r="CQ365" s="330"/>
      <c r="CR365" s="330"/>
      <c r="CS365" s="330"/>
      <c r="CT365" s="330"/>
      <c r="CU365" s="330"/>
      <c r="CV365" s="330"/>
      <c r="CW365" s="330"/>
      <c r="CX365" s="330"/>
      <c r="CY365" s="330"/>
      <c r="CZ365" s="330"/>
      <c r="DA365" s="330"/>
      <c r="DB365" s="330"/>
      <c r="DC365" s="330"/>
      <c r="DD365" s="330"/>
      <c r="DE365" s="330"/>
      <c r="DF365" s="330"/>
      <c r="DG365" s="330"/>
      <c r="DH365" s="330"/>
      <c r="DI365" s="330"/>
      <c r="DJ365" s="330"/>
      <c r="DK365" s="330"/>
      <c r="DL365" s="330"/>
      <c r="DM365" s="330"/>
      <c r="DN365" s="330"/>
      <c r="DO365" s="330"/>
      <c r="DP365" s="330"/>
      <c r="DQ365" s="330"/>
      <c r="DR365" s="330"/>
      <c r="DS365" s="330"/>
      <c r="DT365" s="330"/>
      <c r="DU365" s="330"/>
      <c r="DV365" s="330"/>
      <c r="DW365" s="330"/>
      <c r="DX365" s="330"/>
      <c r="DY365" s="330"/>
      <c r="DZ365" s="330"/>
      <c r="EA365" s="330"/>
      <c r="EB365" s="330"/>
      <c r="EC365" s="330"/>
      <c r="ED365" s="330"/>
      <c r="EE365" s="330"/>
      <c r="EF365" s="330"/>
      <c r="EG365" s="330"/>
      <c r="EH365" s="330"/>
      <c r="EI365" s="330"/>
      <c r="EJ365" s="330"/>
      <c r="EK365" s="330"/>
      <c r="EL365" s="330"/>
      <c r="EM365" s="330"/>
      <c r="EN365" s="330"/>
      <c r="EO365" s="330"/>
      <c r="EP365" s="330"/>
      <c r="EQ365" s="330"/>
      <c r="ER365" s="330"/>
      <c r="ES365" s="330"/>
      <c r="ET365" s="330"/>
      <c r="EU365" s="330"/>
      <c r="EV365" s="330"/>
      <c r="EW365" s="330"/>
      <c r="EX365" s="330"/>
      <c r="EY365" s="1032">
        <f t="shared" si="22"/>
        <v>0.01</v>
      </c>
      <c r="EZ365" s="616"/>
      <c r="FA365" s="616"/>
      <c r="FB365" s="616"/>
      <c r="FC365" s="616"/>
      <c r="FD365" s="616"/>
      <c r="FE365" s="616"/>
      <c r="FF365" s="616"/>
      <c r="FG365" s="616"/>
      <c r="FH365" s="616"/>
      <c r="FI365" s="616"/>
      <c r="FJ365" s="616"/>
    </row>
    <row r="366" spans="1:166" s="937" customFormat="1" ht="14.7" customHeight="1" x14ac:dyDescent="0.25">
      <c r="A366" s="421">
        <v>362</v>
      </c>
      <c r="B366" s="602" t="str">
        <f>цены!D128</f>
        <v>Зеленый горошек консервированный</v>
      </c>
      <c r="C366" s="419">
        <v>25</v>
      </c>
      <c r="D366" s="1211">
        <f>3/100*C366</f>
        <v>0.75</v>
      </c>
      <c r="E366" s="1211">
        <f>0.5/100*C366</f>
        <v>0.13</v>
      </c>
      <c r="F366" s="1211">
        <f>7.3/100*C366</f>
        <v>1.83</v>
      </c>
      <c r="G366" s="1212">
        <f>58/100*C366</f>
        <v>15</v>
      </c>
      <c r="H366" s="419" t="s">
        <v>1170</v>
      </c>
      <c r="I366" s="1234">
        <f>цены!F128/1000*блюда!C366</f>
        <v>3.15</v>
      </c>
      <c r="J366" s="330"/>
      <c r="K366" s="330"/>
      <c r="L366" s="330"/>
      <c r="M366" s="330"/>
      <c r="N366" s="330"/>
      <c r="O366" s="330"/>
      <c r="P366" s="330"/>
      <c r="Q366" s="330"/>
      <c r="R366" s="330"/>
      <c r="S366" s="330"/>
      <c r="T366" s="330"/>
      <c r="U366" s="330"/>
      <c r="V366" s="330"/>
      <c r="W366" s="330"/>
      <c r="X366" s="330"/>
      <c r="Y366" s="330"/>
      <c r="Z366" s="330"/>
      <c r="AA366" s="330"/>
      <c r="AB366" s="330"/>
      <c r="AC366" s="330"/>
      <c r="AD366" s="330"/>
      <c r="AE366" s="330"/>
      <c r="AF366" s="330"/>
      <c r="AG366" s="330"/>
      <c r="AH366" s="330"/>
      <c r="AI366" s="330"/>
      <c r="AJ366" s="330"/>
      <c r="AK366" s="330"/>
      <c r="AL366" s="330"/>
      <c r="AM366" s="330"/>
      <c r="AN366" s="330"/>
      <c r="AO366" s="330"/>
      <c r="AP366" s="330"/>
      <c r="AQ366" s="330"/>
      <c r="AR366" s="330"/>
      <c r="AS366" s="330"/>
      <c r="AT366" s="330"/>
      <c r="AU366" s="330"/>
      <c r="AV366" s="330"/>
      <c r="AW366" s="330"/>
      <c r="AX366" s="330"/>
      <c r="AY366" s="330"/>
      <c r="AZ366" s="330"/>
      <c r="BA366" s="330"/>
      <c r="BB366" s="330"/>
      <c r="BC366" s="330"/>
      <c r="BD366" s="330"/>
      <c r="BE366" s="330"/>
      <c r="BF366" s="330"/>
      <c r="BG366" s="330"/>
      <c r="BH366" s="330"/>
      <c r="BI366" s="330"/>
      <c r="BJ366" s="330"/>
      <c r="BK366" s="330"/>
      <c r="BL366" s="330"/>
      <c r="BM366" s="330"/>
      <c r="BN366" s="330"/>
      <c r="BO366" s="330"/>
      <c r="BP366" s="330"/>
      <c r="BQ366" s="330"/>
      <c r="BR366" s="330"/>
      <c r="BS366" s="330"/>
      <c r="BT366" s="330"/>
      <c r="BU366" s="330"/>
      <c r="BV366" s="330"/>
      <c r="BW366" s="330"/>
      <c r="BX366" s="330"/>
      <c r="BY366" s="330"/>
      <c r="BZ366" s="330"/>
      <c r="CA366" s="330"/>
      <c r="CB366" s="330"/>
      <c r="CC366" s="330"/>
      <c r="CD366" s="330"/>
      <c r="CE366" s="330"/>
      <c r="CF366" s="330"/>
      <c r="CG366" s="330"/>
      <c r="CH366" s="330"/>
      <c r="CI366" s="330"/>
      <c r="CJ366" s="330"/>
      <c r="CK366" s="330"/>
      <c r="CL366" s="330"/>
      <c r="CM366" s="330"/>
      <c r="CN366" s="330"/>
      <c r="CO366" s="330"/>
      <c r="CP366" s="330"/>
      <c r="CQ366" s="330"/>
      <c r="CR366" s="330"/>
      <c r="CS366" s="330"/>
      <c r="CT366" s="330"/>
      <c r="CU366" s="330"/>
      <c r="CV366" s="330"/>
      <c r="CW366" s="330"/>
      <c r="CX366" s="330"/>
      <c r="CY366" s="330"/>
      <c r="CZ366" s="330"/>
      <c r="DA366" s="330"/>
      <c r="DB366" s="330"/>
      <c r="DC366" s="330"/>
      <c r="DD366" s="330"/>
      <c r="DE366" s="330"/>
      <c r="DF366" s="330"/>
      <c r="DG366" s="330"/>
      <c r="DH366" s="330"/>
      <c r="DI366" s="330"/>
      <c r="DJ366" s="330"/>
      <c r="DK366" s="330"/>
      <c r="DL366" s="330"/>
      <c r="DM366" s="330"/>
      <c r="DN366" s="330"/>
      <c r="DO366" s="330"/>
      <c r="DP366" s="330"/>
      <c r="DQ366" s="330"/>
      <c r="DR366" s="330"/>
      <c r="DS366" s="330"/>
      <c r="DT366" s="330"/>
      <c r="DU366" s="330">
        <f>C366/1000</f>
        <v>2.5000000000000001E-2</v>
      </c>
      <c r="DV366" s="330"/>
      <c r="DW366" s="330"/>
      <c r="DX366" s="330"/>
      <c r="DY366" s="330"/>
      <c r="DZ366" s="330"/>
      <c r="EA366" s="330"/>
      <c r="EB366" s="330"/>
      <c r="EC366" s="330"/>
      <c r="ED366" s="330"/>
      <c r="EE366" s="330"/>
      <c r="EF366" s="330"/>
      <c r="EG366" s="330"/>
      <c r="EH366" s="330"/>
      <c r="EI366" s="330"/>
      <c r="EJ366" s="330"/>
      <c r="EK366" s="330"/>
      <c r="EL366" s="330"/>
      <c r="EM366" s="330"/>
      <c r="EN366" s="330"/>
      <c r="EO366" s="330"/>
      <c r="EP366" s="330"/>
      <c r="EQ366" s="330"/>
      <c r="ER366" s="330"/>
      <c r="ES366" s="330"/>
      <c r="ET366" s="330"/>
      <c r="EU366" s="330"/>
      <c r="EV366" s="330"/>
      <c r="EW366" s="330"/>
      <c r="EX366" s="330"/>
      <c r="EY366" s="1032">
        <f t="shared" si="22"/>
        <v>2.5000000000000001E-2</v>
      </c>
      <c r="EZ366" s="616"/>
      <c r="FA366" s="616"/>
      <c r="FB366" s="616"/>
      <c r="FC366" s="616"/>
      <c r="FD366" s="616"/>
      <c r="FE366" s="616"/>
      <c r="FF366" s="616"/>
      <c r="FG366" s="616"/>
      <c r="FH366" s="616"/>
      <c r="FI366" s="616"/>
      <c r="FJ366" s="616"/>
    </row>
    <row r="367" spans="1:166" s="1335" customFormat="1" ht="14.7" customHeight="1" x14ac:dyDescent="0.25">
      <c r="A367" s="421">
        <v>363</v>
      </c>
      <c r="B367" s="602" t="str">
        <f>цены!D130</f>
        <v>Кукуруза консервированная</v>
      </c>
      <c r="C367" s="419">
        <v>25</v>
      </c>
      <c r="D367" s="1211">
        <f>2.5/100*C367</f>
        <v>0.63</v>
      </c>
      <c r="E367" s="1211">
        <f>1.2/100*C367</f>
        <v>0.3</v>
      </c>
      <c r="F367" s="1211">
        <f>10.5/100*C367</f>
        <v>2.63</v>
      </c>
      <c r="G367" s="1212">
        <f>69/100*C367</f>
        <v>17</v>
      </c>
      <c r="H367" s="419" t="s">
        <v>1170</v>
      </c>
      <c r="I367" s="1234">
        <f>цены!F130/1000*блюда!C367</f>
        <v>3.58</v>
      </c>
      <c r="J367" s="330"/>
      <c r="K367" s="330"/>
      <c r="L367" s="330"/>
      <c r="M367" s="330"/>
      <c r="N367" s="330"/>
      <c r="O367" s="330"/>
      <c r="P367" s="330"/>
      <c r="Q367" s="330"/>
      <c r="R367" s="330"/>
      <c r="S367" s="330"/>
      <c r="T367" s="330"/>
      <c r="U367" s="330"/>
      <c r="V367" s="330"/>
      <c r="W367" s="330"/>
      <c r="X367" s="330"/>
      <c r="Y367" s="330"/>
      <c r="Z367" s="330"/>
      <c r="AA367" s="330"/>
      <c r="AB367" s="330"/>
      <c r="AC367" s="330"/>
      <c r="AD367" s="330"/>
      <c r="AE367" s="330"/>
      <c r="AF367" s="330"/>
      <c r="AG367" s="330"/>
      <c r="AH367" s="330"/>
      <c r="AI367" s="330"/>
      <c r="AJ367" s="330"/>
      <c r="AK367" s="330"/>
      <c r="AL367" s="330"/>
      <c r="AM367" s="330"/>
      <c r="AN367" s="330"/>
      <c r="AO367" s="330"/>
      <c r="AP367" s="330"/>
      <c r="AQ367" s="330"/>
      <c r="AR367" s="330"/>
      <c r="AS367" s="330"/>
      <c r="AT367" s="330"/>
      <c r="AU367" s="330"/>
      <c r="AV367" s="330"/>
      <c r="AW367" s="330"/>
      <c r="AX367" s="330"/>
      <c r="AY367" s="330"/>
      <c r="AZ367" s="330"/>
      <c r="BA367" s="330"/>
      <c r="BB367" s="330"/>
      <c r="BC367" s="330"/>
      <c r="BD367" s="330"/>
      <c r="BE367" s="330"/>
      <c r="BF367" s="330"/>
      <c r="BG367" s="330"/>
      <c r="BH367" s="330"/>
      <c r="BI367" s="330"/>
      <c r="BJ367" s="330"/>
      <c r="BK367" s="330"/>
      <c r="BL367" s="330"/>
      <c r="BM367" s="330"/>
      <c r="BN367" s="330"/>
      <c r="BO367" s="330"/>
      <c r="BP367" s="330"/>
      <c r="BQ367" s="330"/>
      <c r="BR367" s="330"/>
      <c r="BS367" s="330"/>
      <c r="BT367" s="330"/>
      <c r="BU367" s="330"/>
      <c r="BV367" s="330"/>
      <c r="BW367" s="330"/>
      <c r="BX367" s="330"/>
      <c r="BY367" s="330"/>
      <c r="BZ367" s="330"/>
      <c r="CA367" s="330"/>
      <c r="CB367" s="330"/>
      <c r="CC367" s="330"/>
      <c r="CD367" s="330"/>
      <c r="CE367" s="330"/>
      <c r="CF367" s="330"/>
      <c r="CG367" s="330"/>
      <c r="CH367" s="330"/>
      <c r="CI367" s="330"/>
      <c r="CJ367" s="330"/>
      <c r="CK367" s="330"/>
      <c r="CL367" s="330"/>
      <c r="CM367" s="330"/>
      <c r="CN367" s="330"/>
      <c r="CO367" s="330"/>
      <c r="CP367" s="330"/>
      <c r="CQ367" s="330"/>
      <c r="CR367" s="330"/>
      <c r="CS367" s="330"/>
      <c r="CT367" s="330"/>
      <c r="CU367" s="330"/>
      <c r="CV367" s="330"/>
      <c r="CW367" s="330"/>
      <c r="CX367" s="330"/>
      <c r="CY367" s="330"/>
      <c r="CZ367" s="330"/>
      <c r="DA367" s="330"/>
      <c r="DB367" s="330"/>
      <c r="DC367" s="330"/>
      <c r="DD367" s="330"/>
      <c r="DE367" s="330"/>
      <c r="DF367" s="330"/>
      <c r="DG367" s="330"/>
      <c r="DH367" s="330"/>
      <c r="DI367" s="330"/>
      <c r="DJ367" s="330"/>
      <c r="DK367" s="330"/>
      <c r="DL367" s="330"/>
      <c r="DM367" s="330"/>
      <c r="DN367" s="330"/>
      <c r="DO367" s="330"/>
      <c r="DP367" s="330"/>
      <c r="DQ367" s="330"/>
      <c r="DR367" s="330"/>
      <c r="DS367" s="330"/>
      <c r="DT367" s="330"/>
      <c r="DU367" s="330"/>
      <c r="DV367" s="330"/>
      <c r="DW367" s="330">
        <f>C367/1000</f>
        <v>2.5000000000000001E-2</v>
      </c>
      <c r="DX367" s="330"/>
      <c r="DY367" s="330"/>
      <c r="DZ367" s="330"/>
      <c r="EA367" s="330"/>
      <c r="EB367" s="330"/>
      <c r="EC367" s="330"/>
      <c r="ED367" s="330"/>
      <c r="EE367" s="330"/>
      <c r="EF367" s="330"/>
      <c r="EG367" s="330"/>
      <c r="EH367" s="330"/>
      <c r="EI367" s="330"/>
      <c r="EJ367" s="330"/>
      <c r="EK367" s="330"/>
      <c r="EL367" s="330"/>
      <c r="EM367" s="330"/>
      <c r="EN367" s="330"/>
      <c r="EO367" s="330"/>
      <c r="EP367" s="330"/>
      <c r="EQ367" s="330"/>
      <c r="ER367" s="330"/>
      <c r="ES367" s="330"/>
      <c r="ET367" s="330"/>
      <c r="EU367" s="330"/>
      <c r="EV367" s="330"/>
      <c r="EW367" s="330"/>
      <c r="EX367" s="330"/>
      <c r="EY367" s="1032">
        <f t="shared" si="22"/>
        <v>2.5000000000000001E-2</v>
      </c>
      <c r="EZ367" s="616"/>
      <c r="FA367" s="616"/>
      <c r="FB367" s="616"/>
      <c r="FC367" s="616"/>
      <c r="FD367" s="616"/>
      <c r="FE367" s="616"/>
      <c r="FF367" s="616"/>
      <c r="FG367" s="616"/>
      <c r="FH367" s="616"/>
      <c r="FI367" s="616"/>
      <c r="FJ367" s="616"/>
    </row>
    <row r="368" spans="1:166" s="1354" customFormat="1" ht="14.7" customHeight="1" x14ac:dyDescent="0.25">
      <c r="A368" s="421">
        <v>364</v>
      </c>
      <c r="B368" s="602" t="s">
        <v>1395</v>
      </c>
      <c r="C368" s="419">
        <v>60</v>
      </c>
      <c r="D368" s="1211">
        <f>1/100*C368</f>
        <v>0.6</v>
      </c>
      <c r="E368" s="1211">
        <f>0.2/100*C368</f>
        <v>0.12</v>
      </c>
      <c r="F368" s="1211">
        <f>5/100*C368</f>
        <v>3</v>
      </c>
      <c r="G368" s="1212">
        <f>22/100*C368</f>
        <v>13</v>
      </c>
      <c r="H368" s="419" t="s">
        <v>1170</v>
      </c>
      <c r="I368" s="1234">
        <f>цены!F41/1000*блюда!C368</f>
        <v>6.36</v>
      </c>
      <c r="J368" s="330"/>
      <c r="K368" s="330"/>
      <c r="L368" s="330"/>
      <c r="M368" s="330"/>
      <c r="N368" s="330"/>
      <c r="O368" s="330"/>
      <c r="P368" s="330"/>
      <c r="Q368" s="330"/>
      <c r="R368" s="330"/>
      <c r="S368" s="330"/>
      <c r="T368" s="330"/>
      <c r="U368" s="330"/>
      <c r="V368" s="330"/>
      <c r="W368" s="330"/>
      <c r="X368" s="330"/>
      <c r="Y368" s="330"/>
      <c r="Z368" s="330"/>
      <c r="AA368" s="330"/>
      <c r="AB368" s="330"/>
      <c r="AC368" s="330"/>
      <c r="AD368" s="330"/>
      <c r="AE368" s="330"/>
      <c r="AF368" s="330"/>
      <c r="AG368" s="330"/>
      <c r="AH368" s="330"/>
      <c r="AI368" s="330"/>
      <c r="AJ368" s="330"/>
      <c r="AK368" s="330"/>
      <c r="AL368" s="330"/>
      <c r="AM368" s="330"/>
      <c r="AN368" s="330">
        <f>C368/1000</f>
        <v>0.06</v>
      </c>
      <c r="AO368" s="330"/>
      <c r="AP368" s="330"/>
      <c r="AQ368" s="330"/>
      <c r="AR368" s="330"/>
      <c r="AS368" s="330"/>
      <c r="AT368" s="330"/>
      <c r="AU368" s="330"/>
      <c r="AV368" s="330"/>
      <c r="AW368" s="330"/>
      <c r="AX368" s="330"/>
      <c r="AY368" s="330"/>
      <c r="AZ368" s="330"/>
      <c r="BA368" s="330"/>
      <c r="BB368" s="330"/>
      <c r="BC368" s="330"/>
      <c r="BD368" s="330"/>
      <c r="BE368" s="330"/>
      <c r="BF368" s="330"/>
      <c r="BG368" s="330"/>
      <c r="BH368" s="330"/>
      <c r="BI368" s="330"/>
      <c r="BJ368" s="330"/>
      <c r="BK368" s="330"/>
      <c r="BL368" s="330"/>
      <c r="BM368" s="330"/>
      <c r="BN368" s="330"/>
      <c r="BO368" s="330"/>
      <c r="BP368" s="330"/>
      <c r="BQ368" s="330"/>
      <c r="BR368" s="330"/>
      <c r="BS368" s="330"/>
      <c r="BT368" s="330"/>
      <c r="BU368" s="330"/>
      <c r="BV368" s="330"/>
      <c r="BW368" s="330"/>
      <c r="BX368" s="330"/>
      <c r="BY368" s="330"/>
      <c r="BZ368" s="330"/>
      <c r="CA368" s="330"/>
      <c r="CB368" s="330"/>
      <c r="CC368" s="330"/>
      <c r="CD368" s="330"/>
      <c r="CE368" s="330"/>
      <c r="CF368" s="330"/>
      <c r="CG368" s="330"/>
      <c r="CH368" s="330"/>
      <c r="CI368" s="330"/>
      <c r="CJ368" s="330"/>
      <c r="CK368" s="330"/>
      <c r="CL368" s="330"/>
      <c r="CM368" s="330"/>
      <c r="CN368" s="330"/>
      <c r="CO368" s="330"/>
      <c r="CP368" s="330"/>
      <c r="CQ368" s="330"/>
      <c r="CR368" s="330"/>
      <c r="CS368" s="330"/>
      <c r="CT368" s="330"/>
      <c r="CU368" s="330"/>
      <c r="CV368" s="330"/>
      <c r="CW368" s="330"/>
      <c r="CX368" s="330"/>
      <c r="CY368" s="330"/>
      <c r="CZ368" s="330"/>
      <c r="DA368" s="330"/>
      <c r="DB368" s="330"/>
      <c r="DC368" s="330"/>
      <c r="DD368" s="330"/>
      <c r="DE368" s="330"/>
      <c r="DF368" s="330"/>
      <c r="DG368" s="330"/>
      <c r="DH368" s="330"/>
      <c r="DI368" s="330"/>
      <c r="DJ368" s="330"/>
      <c r="DK368" s="330"/>
      <c r="DL368" s="330"/>
      <c r="DM368" s="330"/>
      <c r="DN368" s="330"/>
      <c r="DO368" s="330"/>
      <c r="DP368" s="330"/>
      <c r="DQ368" s="330"/>
      <c r="DR368" s="330"/>
      <c r="DS368" s="330"/>
      <c r="DT368" s="330"/>
      <c r="DU368" s="330"/>
      <c r="DV368" s="330"/>
      <c r="DW368" s="330"/>
      <c r="DX368" s="330"/>
      <c r="DY368" s="330"/>
      <c r="DZ368" s="330"/>
      <c r="EA368" s="330"/>
      <c r="EB368" s="330"/>
      <c r="EC368" s="330"/>
      <c r="ED368" s="330"/>
      <c r="EE368" s="330"/>
      <c r="EF368" s="330"/>
      <c r="EG368" s="330"/>
      <c r="EH368" s="330"/>
      <c r="EI368" s="330"/>
      <c r="EJ368" s="330"/>
      <c r="EK368" s="330"/>
      <c r="EL368" s="330"/>
      <c r="EM368" s="330"/>
      <c r="EN368" s="330"/>
      <c r="EO368" s="330"/>
      <c r="EP368" s="330"/>
      <c r="EQ368" s="330"/>
      <c r="ER368" s="330"/>
      <c r="ES368" s="330"/>
      <c r="ET368" s="330"/>
      <c r="EU368" s="330"/>
      <c r="EV368" s="330"/>
      <c r="EW368" s="330"/>
      <c r="EX368" s="330"/>
      <c r="EY368" s="1032">
        <f t="shared" si="22"/>
        <v>0.06</v>
      </c>
      <c r="EZ368" s="616"/>
      <c r="FA368" s="616"/>
      <c r="FB368" s="616"/>
      <c r="FC368" s="616"/>
      <c r="FD368" s="616"/>
      <c r="FE368" s="616"/>
      <c r="FF368" s="616"/>
      <c r="FG368" s="616"/>
      <c r="FH368" s="616"/>
      <c r="FI368" s="616"/>
      <c r="FJ368" s="616"/>
    </row>
    <row r="369" spans="1:166" s="1354" customFormat="1" ht="14.7" customHeight="1" x14ac:dyDescent="0.25">
      <c r="A369" s="421">
        <v>365</v>
      </c>
      <c r="B369" s="602" t="s">
        <v>1396</v>
      </c>
      <c r="C369" s="419">
        <v>60</v>
      </c>
      <c r="D369" s="1211">
        <f>0.8/100*C369</f>
        <v>0.48</v>
      </c>
      <c r="E369" s="1211">
        <f>0.1/100*C369</f>
        <v>0.06</v>
      </c>
      <c r="F369" s="1211">
        <f>2.8/100*C369</f>
        <v>1.68</v>
      </c>
      <c r="G369" s="1212">
        <f>15/100*C369</f>
        <v>9</v>
      </c>
      <c r="H369" s="419" t="s">
        <v>1170</v>
      </c>
      <c r="I369" s="1234">
        <f>цены!F42/1000*блюда!C369</f>
        <v>3.6</v>
      </c>
      <c r="J369" s="330"/>
      <c r="K369" s="330"/>
      <c r="L369" s="330"/>
      <c r="M369" s="330"/>
      <c r="N369" s="330"/>
      <c r="O369" s="330"/>
      <c r="P369" s="330"/>
      <c r="Q369" s="330"/>
      <c r="R369" s="330"/>
      <c r="S369" s="330"/>
      <c r="T369" s="330"/>
      <c r="U369" s="330"/>
      <c r="V369" s="330"/>
      <c r="W369" s="330"/>
      <c r="X369" s="330"/>
      <c r="Y369" s="330"/>
      <c r="Z369" s="330"/>
      <c r="AA369" s="330"/>
      <c r="AB369" s="330"/>
      <c r="AC369" s="330"/>
      <c r="AD369" s="330"/>
      <c r="AE369" s="330"/>
      <c r="AF369" s="330"/>
      <c r="AG369" s="330"/>
      <c r="AH369" s="330"/>
      <c r="AI369" s="330"/>
      <c r="AJ369" s="330"/>
      <c r="AK369" s="330"/>
      <c r="AL369" s="330"/>
      <c r="AM369" s="330"/>
      <c r="AN369" s="330"/>
      <c r="AO369" s="330">
        <f>C369/1000</f>
        <v>0.06</v>
      </c>
      <c r="AP369" s="330"/>
      <c r="AQ369" s="330"/>
      <c r="AR369" s="330"/>
      <c r="AS369" s="330"/>
      <c r="AT369" s="330"/>
      <c r="AU369" s="330"/>
      <c r="AV369" s="330"/>
      <c r="AW369" s="330"/>
      <c r="AX369" s="330"/>
      <c r="AY369" s="330"/>
      <c r="AZ369" s="330"/>
      <c r="BA369" s="330"/>
      <c r="BB369" s="330"/>
      <c r="BC369" s="330"/>
      <c r="BD369" s="330"/>
      <c r="BE369" s="330"/>
      <c r="BF369" s="330"/>
      <c r="BG369" s="330"/>
      <c r="BH369" s="330"/>
      <c r="BI369" s="330"/>
      <c r="BJ369" s="330"/>
      <c r="BK369" s="330"/>
      <c r="BL369" s="330"/>
      <c r="BM369" s="330"/>
      <c r="BN369" s="330"/>
      <c r="BO369" s="330"/>
      <c r="BP369" s="330"/>
      <c r="BQ369" s="330"/>
      <c r="BR369" s="330"/>
      <c r="BS369" s="330"/>
      <c r="BT369" s="330"/>
      <c r="BU369" s="330"/>
      <c r="BV369" s="330"/>
      <c r="BW369" s="330"/>
      <c r="BX369" s="330"/>
      <c r="BY369" s="330"/>
      <c r="BZ369" s="330"/>
      <c r="CA369" s="330"/>
      <c r="CB369" s="330"/>
      <c r="CC369" s="330"/>
      <c r="CD369" s="330"/>
      <c r="CE369" s="330"/>
      <c r="CF369" s="330"/>
      <c r="CG369" s="330"/>
      <c r="CH369" s="330"/>
      <c r="CI369" s="330"/>
      <c r="CJ369" s="330"/>
      <c r="CK369" s="330"/>
      <c r="CL369" s="330"/>
      <c r="CM369" s="330"/>
      <c r="CN369" s="330"/>
      <c r="CO369" s="330"/>
      <c r="CP369" s="330"/>
      <c r="CQ369" s="330"/>
      <c r="CR369" s="330"/>
      <c r="CS369" s="330"/>
      <c r="CT369" s="330"/>
      <c r="CU369" s="330"/>
      <c r="CV369" s="330"/>
      <c r="CW369" s="330"/>
      <c r="CX369" s="330"/>
      <c r="CY369" s="330"/>
      <c r="CZ369" s="330"/>
      <c r="DA369" s="330"/>
      <c r="DB369" s="330"/>
      <c r="DC369" s="330"/>
      <c r="DD369" s="330"/>
      <c r="DE369" s="330"/>
      <c r="DF369" s="330"/>
      <c r="DG369" s="330"/>
      <c r="DH369" s="330"/>
      <c r="DI369" s="330"/>
      <c r="DJ369" s="330"/>
      <c r="DK369" s="330"/>
      <c r="DL369" s="330"/>
      <c r="DM369" s="330"/>
      <c r="DN369" s="330"/>
      <c r="DO369" s="330"/>
      <c r="DP369" s="330"/>
      <c r="DQ369" s="330"/>
      <c r="DR369" s="330"/>
      <c r="DS369" s="330"/>
      <c r="DT369" s="330"/>
      <c r="DU369" s="330"/>
      <c r="DV369" s="330"/>
      <c r="DW369" s="330"/>
      <c r="DX369" s="330"/>
      <c r="DY369" s="330"/>
      <c r="DZ369" s="330"/>
      <c r="EA369" s="330"/>
      <c r="EB369" s="330"/>
      <c r="EC369" s="330"/>
      <c r="ED369" s="330"/>
      <c r="EE369" s="330"/>
      <c r="EF369" s="330"/>
      <c r="EG369" s="330"/>
      <c r="EH369" s="330"/>
      <c r="EI369" s="330"/>
      <c r="EJ369" s="330"/>
      <c r="EK369" s="330"/>
      <c r="EL369" s="330"/>
      <c r="EM369" s="330"/>
      <c r="EN369" s="330"/>
      <c r="EO369" s="330"/>
      <c r="EP369" s="330"/>
      <c r="EQ369" s="330"/>
      <c r="ER369" s="330"/>
      <c r="ES369" s="330"/>
      <c r="ET369" s="330"/>
      <c r="EU369" s="330"/>
      <c r="EV369" s="330"/>
      <c r="EW369" s="330"/>
      <c r="EX369" s="330"/>
      <c r="EY369" s="1032">
        <f t="shared" si="22"/>
        <v>0.06</v>
      </c>
      <c r="EZ369" s="616"/>
      <c r="FA369" s="616"/>
      <c r="FB369" s="616"/>
      <c r="FC369" s="616"/>
      <c r="FD369" s="616"/>
      <c r="FE369" s="616"/>
      <c r="FF369" s="616"/>
      <c r="FG369" s="616"/>
      <c r="FH369" s="616"/>
      <c r="FI369" s="616"/>
      <c r="FJ369" s="616"/>
    </row>
    <row r="370" spans="1:166" s="1354" customFormat="1" ht="14.7" customHeight="1" x14ac:dyDescent="0.25">
      <c r="A370" s="421">
        <v>366</v>
      </c>
      <c r="B370" s="602" t="s">
        <v>229</v>
      </c>
      <c r="C370" s="419">
        <v>150</v>
      </c>
      <c r="D370" s="1211">
        <f>0.9/100*C370</f>
        <v>1.35</v>
      </c>
      <c r="E370" s="1211">
        <f>0.2/100*C370</f>
        <v>0.3</v>
      </c>
      <c r="F370" s="1211">
        <f>8.1/100*C370</f>
        <v>12.15</v>
      </c>
      <c r="G370" s="1212">
        <f>43/100*C370</f>
        <v>65</v>
      </c>
      <c r="H370" s="419" t="s">
        <v>1170</v>
      </c>
      <c r="I370" s="1234">
        <f>цены!F64/1000*блюда!C370</f>
        <v>18.600000000000001</v>
      </c>
      <c r="J370" s="330"/>
      <c r="K370" s="330"/>
      <c r="L370" s="330"/>
      <c r="M370" s="330"/>
      <c r="N370" s="330"/>
      <c r="O370" s="330"/>
      <c r="P370" s="330"/>
      <c r="Q370" s="330"/>
      <c r="R370" s="330"/>
      <c r="S370" s="330"/>
      <c r="T370" s="330"/>
      <c r="U370" s="330"/>
      <c r="V370" s="330"/>
      <c r="W370" s="330"/>
      <c r="X370" s="330"/>
      <c r="Y370" s="330"/>
      <c r="Z370" s="330"/>
      <c r="AA370" s="330"/>
      <c r="AB370" s="330"/>
      <c r="AC370" s="330"/>
      <c r="AD370" s="330"/>
      <c r="AE370" s="330"/>
      <c r="AF370" s="330"/>
      <c r="AG370" s="330"/>
      <c r="AH370" s="330"/>
      <c r="AI370" s="330"/>
      <c r="AJ370" s="330"/>
      <c r="AK370" s="330"/>
      <c r="AL370" s="330"/>
      <c r="AM370" s="330"/>
      <c r="AN370" s="330"/>
      <c r="AO370" s="330"/>
      <c r="AP370" s="330"/>
      <c r="AQ370" s="330"/>
      <c r="AR370" s="330"/>
      <c r="AS370" s="330"/>
      <c r="AT370" s="330"/>
      <c r="AU370" s="330"/>
      <c r="AV370" s="330"/>
      <c r="AW370" s="330"/>
      <c r="AX370" s="330"/>
      <c r="AY370" s="330"/>
      <c r="AZ370" s="330"/>
      <c r="BA370" s="330"/>
      <c r="BB370" s="330"/>
      <c r="BC370" s="330"/>
      <c r="BD370" s="330"/>
      <c r="BE370" s="330"/>
      <c r="BF370" s="330"/>
      <c r="BG370" s="330"/>
      <c r="BH370" s="330"/>
      <c r="BI370" s="330"/>
      <c r="BJ370" s="330"/>
      <c r="BK370" s="330">
        <f>C370/1000</f>
        <v>0.15</v>
      </c>
      <c r="BL370" s="330"/>
      <c r="BM370" s="330"/>
      <c r="BN370" s="330"/>
      <c r="BO370" s="330"/>
      <c r="BP370" s="330"/>
      <c r="BQ370" s="330"/>
      <c r="BR370" s="330"/>
      <c r="BS370" s="330"/>
      <c r="BT370" s="330"/>
      <c r="BU370" s="330"/>
      <c r="BV370" s="330"/>
      <c r="BW370" s="330"/>
      <c r="BX370" s="330"/>
      <c r="BY370" s="330"/>
      <c r="BZ370" s="330"/>
      <c r="CA370" s="330"/>
      <c r="CB370" s="330"/>
      <c r="CC370" s="330"/>
      <c r="CD370" s="330"/>
      <c r="CE370" s="330"/>
      <c r="CF370" s="330"/>
      <c r="CG370" s="330"/>
      <c r="CH370" s="330"/>
      <c r="CI370" s="330"/>
      <c r="CJ370" s="330"/>
      <c r="CK370" s="330"/>
      <c r="CL370" s="330"/>
      <c r="CM370" s="330"/>
      <c r="CN370" s="330"/>
      <c r="CO370" s="330"/>
      <c r="CP370" s="330"/>
      <c r="CQ370" s="330"/>
      <c r="CR370" s="330"/>
      <c r="CS370" s="330"/>
      <c r="CT370" s="330"/>
      <c r="CU370" s="330"/>
      <c r="CV370" s="330"/>
      <c r="CW370" s="330"/>
      <c r="CX370" s="330"/>
      <c r="CY370" s="330"/>
      <c r="CZ370" s="330"/>
      <c r="DA370" s="330"/>
      <c r="DB370" s="330"/>
      <c r="DC370" s="330"/>
      <c r="DD370" s="330"/>
      <c r="DE370" s="330"/>
      <c r="DF370" s="330"/>
      <c r="DG370" s="330"/>
      <c r="DH370" s="330"/>
      <c r="DI370" s="330"/>
      <c r="DJ370" s="330"/>
      <c r="DK370" s="330"/>
      <c r="DL370" s="330"/>
      <c r="DM370" s="330"/>
      <c r="DN370" s="330"/>
      <c r="DO370" s="330"/>
      <c r="DP370" s="330"/>
      <c r="DQ370" s="330"/>
      <c r="DR370" s="330"/>
      <c r="DS370" s="330"/>
      <c r="DT370" s="330"/>
      <c r="DU370" s="330"/>
      <c r="DV370" s="330"/>
      <c r="DW370" s="330"/>
      <c r="DX370" s="330"/>
      <c r="DY370" s="330"/>
      <c r="DZ370" s="330"/>
      <c r="EA370" s="330"/>
      <c r="EB370" s="330"/>
      <c r="EC370" s="330"/>
      <c r="ED370" s="330"/>
      <c r="EE370" s="330"/>
      <c r="EF370" s="330"/>
      <c r="EG370" s="330"/>
      <c r="EH370" s="330"/>
      <c r="EI370" s="330"/>
      <c r="EJ370" s="330"/>
      <c r="EK370" s="330"/>
      <c r="EL370" s="330"/>
      <c r="EM370" s="330"/>
      <c r="EN370" s="330"/>
      <c r="EO370" s="330"/>
      <c r="EP370" s="330"/>
      <c r="EQ370" s="330"/>
      <c r="ER370" s="330"/>
      <c r="ES370" s="330"/>
      <c r="ET370" s="330"/>
      <c r="EU370" s="330"/>
      <c r="EV370" s="330"/>
      <c r="EW370" s="330"/>
      <c r="EX370" s="330"/>
      <c r="EY370" s="1032">
        <f t="shared" si="22"/>
        <v>0.15</v>
      </c>
      <c r="EZ370" s="616"/>
      <c r="FA370" s="616"/>
      <c r="FB370" s="616"/>
      <c r="FC370" s="616"/>
      <c r="FD370" s="616"/>
      <c r="FE370" s="616"/>
      <c r="FF370" s="616"/>
      <c r="FG370" s="616"/>
      <c r="FH370" s="616"/>
      <c r="FI370" s="616"/>
      <c r="FJ370" s="616"/>
    </row>
    <row r="371" spans="1:166" ht="14.7" customHeight="1" x14ac:dyDescent="0.25">
      <c r="A371" s="384"/>
      <c r="B371" s="385" t="s">
        <v>423</v>
      </c>
      <c r="C371" s="678"/>
      <c r="D371" s="685"/>
      <c r="E371" s="685"/>
      <c r="F371" s="685"/>
      <c r="G371" s="386"/>
      <c r="H371" s="678"/>
      <c r="I371" s="1234">
        <f>SUM(I5:I364)</f>
        <v>9473.7900000000009</v>
      </c>
      <c r="J371" s="387">
        <f t="shared" ref="J371:AO371" si="23">SUM(J5:J366)</f>
        <v>4.9070200000000002</v>
      </c>
      <c r="K371" s="387">
        <f t="shared" si="23"/>
        <v>0.56899999999999995</v>
      </c>
      <c r="L371" s="387">
        <f t="shared" si="23"/>
        <v>1.198</v>
      </c>
      <c r="M371" s="387">
        <f t="shared" si="23"/>
        <v>0.24199999999999999</v>
      </c>
      <c r="N371" s="387">
        <f t="shared" si="23"/>
        <v>0.14499999999999999</v>
      </c>
      <c r="O371" s="387">
        <f t="shared" si="23"/>
        <v>6.8000000000000005E-2</v>
      </c>
      <c r="P371" s="387">
        <f t="shared" si="23"/>
        <v>3.4000000000000002E-2</v>
      </c>
      <c r="Q371" s="387">
        <f t="shared" si="23"/>
        <v>2.4629500000000002</v>
      </c>
      <c r="R371" s="387">
        <f t="shared" si="23"/>
        <v>7.3999999999999996E-2</v>
      </c>
      <c r="S371" s="387">
        <f t="shared" si="23"/>
        <v>0.23719999999999999</v>
      </c>
      <c r="T371" s="387">
        <f t="shared" si="23"/>
        <v>5.1999999999999998E-2</v>
      </c>
      <c r="U371" s="387">
        <f t="shared" si="23"/>
        <v>6.0410300000000001</v>
      </c>
      <c r="V371" s="387">
        <f t="shared" si="23"/>
        <v>0.88043000000000005</v>
      </c>
      <c r="W371" s="387">
        <f t="shared" si="23"/>
        <v>0.16769999999999999</v>
      </c>
      <c r="X371" s="387">
        <f t="shared" si="23"/>
        <v>1.5090399999999999</v>
      </c>
      <c r="Y371" s="387">
        <f t="shared" si="23"/>
        <v>1.7000999999999999</v>
      </c>
      <c r="Z371" s="387">
        <f t="shared" si="23"/>
        <v>0.308</v>
      </c>
      <c r="AA371" s="387">
        <f t="shared" si="23"/>
        <v>0.1</v>
      </c>
      <c r="AB371" s="387">
        <f t="shared" si="23"/>
        <v>0.1</v>
      </c>
      <c r="AC371" s="387">
        <f t="shared" si="23"/>
        <v>0.15</v>
      </c>
      <c r="AD371" s="387">
        <f t="shared" si="23"/>
        <v>1.4999999999999999E-2</v>
      </c>
      <c r="AE371" s="387">
        <f t="shared" si="23"/>
        <v>1.6786300000000001</v>
      </c>
      <c r="AF371" s="387">
        <f t="shared" si="23"/>
        <v>2.6853600000000002</v>
      </c>
      <c r="AG371" s="387">
        <f t="shared" si="23"/>
        <v>5.9159999999999997E-2</v>
      </c>
      <c r="AH371" s="387">
        <f t="shared" si="23"/>
        <v>6.1282500000000004</v>
      </c>
      <c r="AI371" s="387">
        <f t="shared" si="23"/>
        <v>0.2175</v>
      </c>
      <c r="AJ371" s="387">
        <f t="shared" si="23"/>
        <v>2.102E-2</v>
      </c>
      <c r="AK371" s="387">
        <f t="shared" si="23"/>
        <v>2.64907</v>
      </c>
      <c r="AL371" s="387">
        <f t="shared" si="23"/>
        <v>0.13808000000000001</v>
      </c>
      <c r="AM371" s="387">
        <f t="shared" si="23"/>
        <v>1E-3</v>
      </c>
      <c r="AN371" s="387">
        <f t="shared" si="23"/>
        <v>0.39304</v>
      </c>
      <c r="AO371" s="387">
        <f t="shared" si="23"/>
        <v>0.44409999999999999</v>
      </c>
      <c r="AP371" s="387">
        <f t="shared" ref="AP371:BU371" si="24">SUM(AP5:AP366)</f>
        <v>0.15981999999999999</v>
      </c>
      <c r="AQ371" s="387">
        <f t="shared" si="24"/>
        <v>1.1476299999999999</v>
      </c>
      <c r="AR371" s="387">
        <f t="shared" si="24"/>
        <v>2.5020000000000001E-2</v>
      </c>
      <c r="AS371" s="387">
        <f t="shared" si="24"/>
        <v>0.08</v>
      </c>
      <c r="AT371" s="387">
        <f t="shared" si="24"/>
        <v>6.4799999999999996E-2</v>
      </c>
      <c r="AU371" s="387">
        <f t="shared" si="24"/>
        <v>0.19028999999999999</v>
      </c>
      <c r="AV371" s="387">
        <f t="shared" si="24"/>
        <v>0.14474999999999999</v>
      </c>
      <c r="AW371" s="387">
        <f t="shared" si="24"/>
        <v>4.725E-2</v>
      </c>
      <c r="AX371" s="387">
        <f t="shared" si="24"/>
        <v>0.60250000000000004</v>
      </c>
      <c r="AY371" s="387">
        <f t="shared" si="24"/>
        <v>0</v>
      </c>
      <c r="AZ371" s="387">
        <f t="shared" si="24"/>
        <v>8.9999999999999993E-3</v>
      </c>
      <c r="BA371" s="387">
        <f t="shared" si="24"/>
        <v>3.15E-2</v>
      </c>
      <c r="BB371" s="387">
        <f t="shared" si="24"/>
        <v>2.2200000000000001E-2</v>
      </c>
      <c r="BC371" s="387">
        <f t="shared" si="24"/>
        <v>4.5780000000000001E-2</v>
      </c>
      <c r="BD371" s="387">
        <f t="shared" si="24"/>
        <v>0.105</v>
      </c>
      <c r="BE371" s="387">
        <f t="shared" si="24"/>
        <v>0.11799999999999999</v>
      </c>
      <c r="BF371" s="387">
        <f t="shared" si="24"/>
        <v>0.03</v>
      </c>
      <c r="BG371" s="387">
        <f t="shared" si="24"/>
        <v>4.2200000000000001E-2</v>
      </c>
      <c r="BH371" s="387">
        <f t="shared" si="24"/>
        <v>0.34699999999999998</v>
      </c>
      <c r="BI371" s="387">
        <f t="shared" si="24"/>
        <v>0.27800000000000002</v>
      </c>
      <c r="BJ371" s="387">
        <f t="shared" si="24"/>
        <v>0.26</v>
      </c>
      <c r="BK371" s="387">
        <f t="shared" si="24"/>
        <v>0.2286</v>
      </c>
      <c r="BL371" s="387">
        <f t="shared" si="24"/>
        <v>0.20760000000000001</v>
      </c>
      <c r="BM371" s="387">
        <f t="shared" si="24"/>
        <v>0.26</v>
      </c>
      <c r="BN371" s="387">
        <f t="shared" si="24"/>
        <v>0.25</v>
      </c>
      <c r="BO371" s="387">
        <f t="shared" si="24"/>
        <v>0.74560000000000004</v>
      </c>
      <c r="BP371" s="387">
        <f t="shared" si="24"/>
        <v>0.1</v>
      </c>
      <c r="BQ371" s="387">
        <f t="shared" si="24"/>
        <v>0.105</v>
      </c>
      <c r="BR371" s="387">
        <f t="shared" si="24"/>
        <v>0.77471999999999996</v>
      </c>
      <c r="BS371" s="387">
        <f t="shared" si="24"/>
        <v>6.2782799999999996</v>
      </c>
      <c r="BT371" s="387">
        <f t="shared" si="24"/>
        <v>0.38486999999999999</v>
      </c>
      <c r="BU371" s="387">
        <f t="shared" si="24"/>
        <v>0.20519999999999999</v>
      </c>
      <c r="BV371" s="387">
        <f t="shared" ref="BV371:DA371" si="25">SUM(BV5:BV366)</f>
        <v>0.248</v>
      </c>
      <c r="BW371" s="387">
        <f t="shared" si="25"/>
        <v>8.5000000000000006E-2</v>
      </c>
      <c r="BX371" s="387">
        <f t="shared" si="25"/>
        <v>6.9000000000000006E-2</v>
      </c>
      <c r="BY371" s="387">
        <f t="shared" si="25"/>
        <v>9.9000000000000005E-2</v>
      </c>
      <c r="BZ371" s="387">
        <f t="shared" si="25"/>
        <v>1.4999999999999999E-2</v>
      </c>
      <c r="CA371" s="387">
        <f t="shared" si="25"/>
        <v>0.37435000000000002</v>
      </c>
      <c r="CB371" s="387">
        <f t="shared" si="25"/>
        <v>0.69588000000000005</v>
      </c>
      <c r="CC371" s="387">
        <f t="shared" si="25"/>
        <v>2.5000000000000001E-2</v>
      </c>
      <c r="CD371" s="387">
        <f t="shared" si="25"/>
        <v>6.6000000000000003E-2</v>
      </c>
      <c r="CE371" s="387">
        <f t="shared" si="25"/>
        <v>0.1734</v>
      </c>
      <c r="CF371" s="387">
        <f t="shared" si="25"/>
        <v>0.90507000000000004</v>
      </c>
      <c r="CG371" s="387">
        <f t="shared" si="25"/>
        <v>0.67367999999999995</v>
      </c>
      <c r="CH371" s="387">
        <f t="shared" si="25"/>
        <v>0.01</v>
      </c>
      <c r="CI371" s="387">
        <f t="shared" si="25"/>
        <v>9.6000000000000002E-4</v>
      </c>
      <c r="CJ371" s="387">
        <f t="shared" si="25"/>
        <v>0</v>
      </c>
      <c r="CK371" s="387">
        <f t="shared" si="25"/>
        <v>6.8999999999999997E-4</v>
      </c>
      <c r="CL371" s="387">
        <f t="shared" si="25"/>
        <v>0.10457</v>
      </c>
      <c r="CM371" s="387">
        <f t="shared" si="25"/>
        <v>6.0409999999999998E-2</v>
      </c>
      <c r="CN371" s="387">
        <f t="shared" si="25"/>
        <v>8.0000000000000002E-3</v>
      </c>
      <c r="CO371" s="387">
        <f t="shared" si="25"/>
        <v>0.01</v>
      </c>
      <c r="CP371" s="387">
        <f t="shared" si="25"/>
        <v>0.01</v>
      </c>
      <c r="CQ371" s="387">
        <f t="shared" si="25"/>
        <v>1.8259999999999998E-2</v>
      </c>
      <c r="CR371" s="387">
        <f t="shared" si="25"/>
        <v>5.6000000000000001E-2</v>
      </c>
      <c r="CS371" s="387">
        <f t="shared" si="25"/>
        <v>5.1200000000000004E-3</v>
      </c>
      <c r="CT371" s="387">
        <f t="shared" si="25"/>
        <v>0.21299999999999999</v>
      </c>
      <c r="CU371" s="387">
        <f t="shared" si="25"/>
        <v>5.5E-2</v>
      </c>
      <c r="CV371" s="387">
        <f t="shared" si="25"/>
        <v>9.8949999999999996E-2</v>
      </c>
      <c r="CW371" s="387">
        <f t="shared" si="25"/>
        <v>3.2000000000000001E-2</v>
      </c>
      <c r="CX371" s="387">
        <f t="shared" si="25"/>
        <v>2.0199999999999999E-2</v>
      </c>
      <c r="CY371" s="387">
        <f t="shared" si="25"/>
        <v>3.5000000000000003E-2</v>
      </c>
      <c r="CZ371" s="387">
        <f t="shared" si="25"/>
        <v>3.1552799999999999</v>
      </c>
      <c r="DA371" s="387">
        <f t="shared" si="25"/>
        <v>8.1999999999999998E-4</v>
      </c>
      <c r="DB371" s="387">
        <f t="shared" ref="DB371:EG371" si="26">SUM(DB5:DB366)</f>
        <v>0</v>
      </c>
      <c r="DC371" s="387">
        <f t="shared" si="26"/>
        <v>0.59819</v>
      </c>
      <c r="DD371" s="387">
        <f t="shared" si="26"/>
        <v>0.10299999999999999</v>
      </c>
      <c r="DE371" s="387">
        <f t="shared" si="26"/>
        <v>0.02</v>
      </c>
      <c r="DF371" s="387">
        <f t="shared" si="26"/>
        <v>0.49809999999999999</v>
      </c>
      <c r="DG371" s="387">
        <f t="shared" si="26"/>
        <v>0.03</v>
      </c>
      <c r="DH371" s="387">
        <f t="shared" si="26"/>
        <v>2.8000000000000001E-2</v>
      </c>
      <c r="DI371" s="387">
        <f t="shared" si="26"/>
        <v>4.4999999999999999E-4</v>
      </c>
      <c r="DJ371" s="387">
        <f t="shared" si="26"/>
        <v>1E-3</v>
      </c>
      <c r="DK371" s="387">
        <f t="shared" si="26"/>
        <v>0</v>
      </c>
      <c r="DL371" s="387">
        <f t="shared" si="26"/>
        <v>2.0250000000000001E-2</v>
      </c>
      <c r="DM371" s="387">
        <f t="shared" si="26"/>
        <v>3.85E-2</v>
      </c>
      <c r="DN371" s="387">
        <f t="shared" si="26"/>
        <v>2.0250000000000001E-2</v>
      </c>
      <c r="DO371" s="387">
        <f t="shared" si="26"/>
        <v>0.16</v>
      </c>
      <c r="DP371" s="387">
        <f t="shared" si="26"/>
        <v>0.03</v>
      </c>
      <c r="DQ371" s="387">
        <f t="shared" si="26"/>
        <v>0.02</v>
      </c>
      <c r="DR371" s="387">
        <f t="shared" si="26"/>
        <v>1.2E-2</v>
      </c>
      <c r="DS371" s="387">
        <f t="shared" si="26"/>
        <v>1.2E-2</v>
      </c>
      <c r="DT371" s="387">
        <f t="shared" si="26"/>
        <v>0.26700000000000002</v>
      </c>
      <c r="DU371" s="387">
        <f t="shared" si="26"/>
        <v>8.7470000000000006E-2</v>
      </c>
      <c r="DV371" s="387">
        <f t="shared" si="26"/>
        <v>3.7499999999999999E-2</v>
      </c>
      <c r="DW371" s="387">
        <f t="shared" si="26"/>
        <v>4.9979999999999997E-2</v>
      </c>
      <c r="DX371" s="387">
        <f t="shared" si="26"/>
        <v>0.13141</v>
      </c>
      <c r="DY371" s="387">
        <f t="shared" si="26"/>
        <v>0</v>
      </c>
      <c r="DZ371" s="387">
        <f t="shared" si="26"/>
        <v>2.0000000000000002E-5</v>
      </c>
      <c r="EA371" s="387">
        <f t="shared" si="26"/>
        <v>0.1</v>
      </c>
      <c r="EB371" s="387">
        <f t="shared" si="26"/>
        <v>0.5</v>
      </c>
      <c r="EC371" s="387">
        <f t="shared" si="26"/>
        <v>0.03</v>
      </c>
      <c r="ED371" s="387">
        <f t="shared" si="26"/>
        <v>0.03</v>
      </c>
      <c r="EE371" s="387">
        <f t="shared" si="26"/>
        <v>0.03</v>
      </c>
      <c r="EF371" s="387">
        <f t="shared" si="26"/>
        <v>0.1</v>
      </c>
      <c r="EG371" s="387">
        <f t="shared" si="26"/>
        <v>0.02</v>
      </c>
      <c r="EH371" s="387">
        <f t="shared" ref="EH371:EY371" si="27">SUM(EH5:EH366)</f>
        <v>2.3E-2</v>
      </c>
      <c r="EI371" s="387">
        <f t="shared" si="27"/>
        <v>0.2</v>
      </c>
      <c r="EJ371" s="387">
        <f t="shared" si="27"/>
        <v>0.2</v>
      </c>
      <c r="EK371" s="387">
        <f t="shared" si="27"/>
        <v>0.03</v>
      </c>
      <c r="EL371" s="387">
        <f t="shared" si="27"/>
        <v>0.03</v>
      </c>
      <c r="EM371" s="387">
        <f t="shared" si="27"/>
        <v>1.4999999999999999E-2</v>
      </c>
      <c r="EN371" s="387">
        <f t="shared" si="27"/>
        <v>0.03</v>
      </c>
      <c r="EO371" s="387">
        <f t="shared" si="27"/>
        <v>0.03</v>
      </c>
      <c r="EP371" s="387">
        <f t="shared" si="27"/>
        <v>3.5000000000000003E-2</v>
      </c>
      <c r="EQ371" s="387">
        <f t="shared" si="27"/>
        <v>0.03</v>
      </c>
      <c r="ER371" s="387">
        <f t="shared" si="27"/>
        <v>0.03</v>
      </c>
      <c r="ES371" s="387">
        <f t="shared" si="27"/>
        <v>0.03</v>
      </c>
      <c r="ET371" s="387">
        <f t="shared" si="27"/>
        <v>0</v>
      </c>
      <c r="EU371" s="387">
        <f t="shared" si="27"/>
        <v>0</v>
      </c>
      <c r="EV371" s="387">
        <f t="shared" si="27"/>
        <v>0.39800000000000002</v>
      </c>
      <c r="EW371" s="387">
        <f t="shared" si="27"/>
        <v>0.1</v>
      </c>
      <c r="EX371" s="387">
        <f t="shared" si="27"/>
        <v>0.15</v>
      </c>
      <c r="EY371" s="387">
        <f t="shared" si="27"/>
        <v>60.089359999999999</v>
      </c>
    </row>
    <row r="372" spans="1:166" ht="14.7" customHeight="1" x14ac:dyDescent="0.25">
      <c r="A372" s="384"/>
      <c r="B372" s="385" t="s">
        <v>422</v>
      </c>
      <c r="C372" s="678"/>
      <c r="D372" s="685"/>
      <c r="E372" s="685"/>
      <c r="F372" s="685"/>
      <c r="G372" s="386"/>
      <c r="H372" s="678"/>
      <c r="I372" s="1234"/>
      <c r="J372" s="388">
        <f>цены!F7</f>
        <v>560</v>
      </c>
      <c r="K372" s="388">
        <f>цены!F8</f>
        <v>193</v>
      </c>
      <c r="L372" s="388">
        <f>цены!F9</f>
        <v>195</v>
      </c>
      <c r="M372" s="388">
        <f>цены!F10</f>
        <v>320</v>
      </c>
      <c r="N372" s="388">
        <f>цены!F11</f>
        <v>325</v>
      </c>
      <c r="O372" s="388">
        <f>цены!F12</f>
        <v>400</v>
      </c>
      <c r="P372" s="388">
        <f>цены!F13</f>
        <v>100</v>
      </c>
      <c r="Q372" s="388">
        <f>цены!F14</f>
        <v>178</v>
      </c>
      <c r="R372" s="388">
        <f>цены!F15</f>
        <v>400</v>
      </c>
      <c r="S372" s="388">
        <f>цены!F16</f>
        <v>332</v>
      </c>
      <c r="T372" s="388">
        <f>цены!F17</f>
        <v>180</v>
      </c>
      <c r="U372" s="388">
        <f>цены!F20</f>
        <v>80</v>
      </c>
      <c r="V372" s="388">
        <f>цены!F21</f>
        <v>710</v>
      </c>
      <c r="W372" s="388">
        <f>цены!F22</f>
        <v>719</v>
      </c>
      <c r="X372" s="388">
        <f>цены!F23</f>
        <v>350</v>
      </c>
      <c r="Y372" s="388">
        <f>цены!F24</f>
        <v>234</v>
      </c>
      <c r="Z372" s="388">
        <f>цены!F25</f>
        <v>250</v>
      </c>
      <c r="AA372" s="388">
        <f>цены!F26</f>
        <v>108</v>
      </c>
      <c r="AB372" s="388">
        <f>цены!F27</f>
        <v>125</v>
      </c>
      <c r="AC372" s="388">
        <f>цены!F28</f>
        <v>440</v>
      </c>
      <c r="AD372" s="388">
        <f>цены!F29</f>
        <v>320</v>
      </c>
      <c r="AE372" s="388">
        <f>цены!F30</f>
        <v>152.16999999999999</v>
      </c>
      <c r="AF372" s="388">
        <f>цены!F33</f>
        <v>53</v>
      </c>
      <c r="AG372" s="388">
        <f>цены!F34</f>
        <v>20</v>
      </c>
      <c r="AH372" s="388">
        <f>цены!F35</f>
        <v>50</v>
      </c>
      <c r="AI372" s="388">
        <f>цены!F36</f>
        <v>25</v>
      </c>
      <c r="AJ372" s="388">
        <f>цены!F37</f>
        <v>180</v>
      </c>
      <c r="AK372" s="388">
        <f>цены!F38</f>
        <v>50</v>
      </c>
      <c r="AL372" s="388">
        <f>цены!F39</f>
        <v>300</v>
      </c>
      <c r="AM372" s="388">
        <f>цены!F40</f>
        <v>200</v>
      </c>
      <c r="AN372" s="388">
        <f>цены!F41</f>
        <v>106</v>
      </c>
      <c r="AO372" s="388">
        <f>цены!F42</f>
        <v>60</v>
      </c>
      <c r="AP372" s="388">
        <f>цены!F43</f>
        <v>200</v>
      </c>
      <c r="AQ372" s="388">
        <f>цены!F44</f>
        <v>50</v>
      </c>
      <c r="AR372" s="388">
        <f>цены!F45</f>
        <v>35</v>
      </c>
      <c r="AS372" s="388">
        <f>цены!F46</f>
        <v>250</v>
      </c>
      <c r="AT372" s="388">
        <f>цены!F47</f>
        <v>300</v>
      </c>
      <c r="AU372" s="388">
        <f>цены!F48</f>
        <v>300</v>
      </c>
      <c r="AV372" s="388">
        <f>цены!F49</f>
        <v>260</v>
      </c>
      <c r="AW372" s="388">
        <f>цены!F50</f>
        <v>260</v>
      </c>
      <c r="AX372" s="388">
        <f>цены!F51</f>
        <v>30</v>
      </c>
      <c r="AY372" s="388">
        <f>цены!F52</f>
        <v>36</v>
      </c>
      <c r="AZ372" s="388">
        <f>цены!F53</f>
        <v>160</v>
      </c>
      <c r="BA372" s="388">
        <f>цены!F54</f>
        <v>60</v>
      </c>
      <c r="BB372" s="388">
        <f>цены!F55</f>
        <v>100</v>
      </c>
      <c r="BC372" s="388">
        <f>цены!F56</f>
        <v>50</v>
      </c>
      <c r="BD372" s="388">
        <f>цены!F57</f>
        <v>160</v>
      </c>
      <c r="BE372" s="388">
        <f>цены!F58</f>
        <v>160</v>
      </c>
      <c r="BF372" s="388">
        <f>цены!F59</f>
        <v>250</v>
      </c>
      <c r="BG372" s="388">
        <f>цены!F60</f>
        <v>250</v>
      </c>
      <c r="BH372" s="388">
        <f>цены!F61</f>
        <v>250</v>
      </c>
      <c r="BI372" s="388">
        <f>цены!F62</f>
        <v>25</v>
      </c>
      <c r="BJ372" s="388">
        <f>цены!F63</f>
        <v>25</v>
      </c>
      <c r="BK372" s="388">
        <f>цены!F64</f>
        <v>124</v>
      </c>
      <c r="BL372" s="388">
        <f>цены!F65</f>
        <v>120</v>
      </c>
      <c r="BM372" s="388">
        <f>цены!F66</f>
        <v>115</v>
      </c>
      <c r="BN372" s="388">
        <f>цены!F67</f>
        <v>240</v>
      </c>
      <c r="BO372" s="388">
        <f>цены!F68</f>
        <v>180</v>
      </c>
      <c r="BP372" s="388">
        <f>цены!F69</f>
        <v>180</v>
      </c>
      <c r="BQ372" s="388">
        <f>цены!F70</f>
        <v>250</v>
      </c>
      <c r="BR372" s="388">
        <f>цены!F71</f>
        <v>91</v>
      </c>
      <c r="BS372" s="388">
        <f>цены!F74</f>
        <v>36</v>
      </c>
      <c r="BT372" s="388">
        <f>цены!F75</f>
        <v>100</v>
      </c>
      <c r="BU372" s="388">
        <f>цены!F76</f>
        <v>40</v>
      </c>
      <c r="BV372" s="388">
        <f>цены!F77</f>
        <v>40</v>
      </c>
      <c r="BW372" s="388">
        <f>цены!F78</f>
        <v>35</v>
      </c>
      <c r="BX372" s="388">
        <f>цены!F79</f>
        <v>35</v>
      </c>
      <c r="BY372" s="388">
        <f>цены!F80</f>
        <v>35</v>
      </c>
      <c r="BZ372" s="388">
        <f>цены!F81</f>
        <v>36</v>
      </c>
      <c r="CA372" s="388">
        <f>цены!F82</f>
        <v>60</v>
      </c>
      <c r="CB372" s="388">
        <f>цены!F83</f>
        <v>98</v>
      </c>
      <c r="CC372" s="388">
        <f>цены!F84</f>
        <v>65</v>
      </c>
      <c r="CD372" s="388">
        <f>цены!F85</f>
        <v>150</v>
      </c>
      <c r="CE372" s="388">
        <f>цены!F86</f>
        <v>198</v>
      </c>
      <c r="CF372" s="388">
        <f>цены!F87</f>
        <v>120</v>
      </c>
      <c r="CG372" s="388">
        <f>цены!F88</f>
        <v>50</v>
      </c>
      <c r="CH372" s="388">
        <f>цены!F89</f>
        <v>50</v>
      </c>
      <c r="CI372" s="388">
        <f>цены!F90</f>
        <v>5000</v>
      </c>
      <c r="CJ372" s="388">
        <f>цены!F91</f>
        <v>100</v>
      </c>
      <c r="CK372" s="388">
        <f>цены!F92</f>
        <v>40</v>
      </c>
      <c r="CL372" s="388">
        <f>цены!F93</f>
        <v>455</v>
      </c>
      <c r="CM372" s="388">
        <f>цены!F94</f>
        <v>400</v>
      </c>
      <c r="CN372" s="388">
        <f>цены!F95</f>
        <v>625</v>
      </c>
      <c r="CO372" s="388">
        <f>цены!F96</f>
        <v>435</v>
      </c>
      <c r="CP372" s="388">
        <f>цены!F97</f>
        <v>150</v>
      </c>
      <c r="CQ372" s="388">
        <f>цены!F98</f>
        <v>290</v>
      </c>
      <c r="CR372" s="388">
        <f>цены!F99</f>
        <v>111</v>
      </c>
      <c r="CS372" s="388">
        <f>цены!F100</f>
        <v>1000</v>
      </c>
      <c r="CT372" s="388">
        <f>цены!F101</f>
        <v>120</v>
      </c>
      <c r="CU372" s="388">
        <f>цены!F102</f>
        <v>120</v>
      </c>
      <c r="CV372" s="388">
        <f>цены!F103</f>
        <v>112</v>
      </c>
      <c r="CW372" s="388">
        <f>цены!F104</f>
        <v>140</v>
      </c>
      <c r="CX372" s="388">
        <f>цены!F105</f>
        <v>160</v>
      </c>
      <c r="CY372" s="388">
        <f>цены!F106</f>
        <v>400</v>
      </c>
      <c r="CZ372" s="388">
        <f>цены!F107</f>
        <v>76</v>
      </c>
      <c r="DA372" s="388">
        <f>цены!F108</f>
        <v>140</v>
      </c>
      <c r="DB372" s="388">
        <f>цены!F109</f>
        <v>39</v>
      </c>
      <c r="DC372" s="388">
        <f>цены!F110</f>
        <v>24</v>
      </c>
      <c r="DD372" s="388">
        <f>цены!F111</f>
        <v>118</v>
      </c>
      <c r="DE372" s="388">
        <f>цены!F112</f>
        <v>130</v>
      </c>
      <c r="DF372" s="388">
        <f>цены!F113</f>
        <v>230</v>
      </c>
      <c r="DG372" s="388">
        <f>цены!F114</f>
        <v>120</v>
      </c>
      <c r="DH372" s="388">
        <f>цены!F115</f>
        <v>100</v>
      </c>
      <c r="DI372" s="388">
        <f>цены!F116</f>
        <v>2000</v>
      </c>
      <c r="DJ372" s="388">
        <f>цены!F117</f>
        <v>1210</v>
      </c>
      <c r="DK372" s="388">
        <f>цены!F118</f>
        <v>1420</v>
      </c>
      <c r="DL372" s="388">
        <f>цены!F119</f>
        <v>50</v>
      </c>
      <c r="DM372" s="388">
        <f>цены!F120</f>
        <v>180</v>
      </c>
      <c r="DN372" s="388">
        <f>цены!F121</f>
        <v>125</v>
      </c>
      <c r="DO372" s="388">
        <f>цены!F122</f>
        <v>250</v>
      </c>
      <c r="DP372" s="388">
        <f>цены!F123</f>
        <v>250</v>
      </c>
      <c r="DQ372" s="388">
        <f>цены!F124</f>
        <v>250</v>
      </c>
      <c r="DR372" s="388">
        <f>цены!F125</f>
        <v>900</v>
      </c>
      <c r="DS372" s="388">
        <f>цены!F126</f>
        <v>130</v>
      </c>
      <c r="DT372" s="388">
        <f>цены!F127</f>
        <v>181</v>
      </c>
      <c r="DU372" s="388">
        <f>цены!F128</f>
        <v>126</v>
      </c>
      <c r="DV372" s="388">
        <f>цены!F129</f>
        <v>147</v>
      </c>
      <c r="DW372" s="388">
        <f>цены!F130</f>
        <v>143</v>
      </c>
      <c r="DX372" s="388">
        <f>цены!F131</f>
        <v>180</v>
      </c>
      <c r="DY372" s="388">
        <f>цены!F132</f>
        <v>1420</v>
      </c>
      <c r="DZ372" s="388">
        <f>цены!F133</f>
        <v>1420</v>
      </c>
      <c r="EA372" s="388">
        <f>цены!F134</f>
        <v>750</v>
      </c>
      <c r="EB372" s="388">
        <f>цены!F135</f>
        <v>5.79</v>
      </c>
      <c r="EC372" s="388">
        <f>цены!F136</f>
        <v>120</v>
      </c>
      <c r="ED372" s="388">
        <f>цены!F137</f>
        <v>72</v>
      </c>
      <c r="EE372" s="388">
        <f>цены!F138</f>
        <v>120</v>
      </c>
      <c r="EF372" s="388">
        <f>цены!F139</f>
        <v>215</v>
      </c>
      <c r="EG372" s="388">
        <f>цены!F140</f>
        <v>135</v>
      </c>
      <c r="EH372" s="388">
        <f>цены!F141</f>
        <v>130</v>
      </c>
      <c r="EI372" s="388">
        <f>цены!F142</f>
        <v>75</v>
      </c>
      <c r="EJ372" s="388">
        <f>цены!F143</f>
        <v>26</v>
      </c>
      <c r="EK372" s="388">
        <f>цены!F144</f>
        <v>385</v>
      </c>
      <c r="EL372" s="388">
        <f>цены!F145</f>
        <v>200</v>
      </c>
      <c r="EM372" s="388">
        <f>цены!F146</f>
        <v>1000</v>
      </c>
      <c r="EN372" s="388">
        <f>цены!F147</f>
        <v>340</v>
      </c>
      <c r="EO372" s="388">
        <f>цены!F148</f>
        <v>630</v>
      </c>
      <c r="EP372" s="388">
        <f>цены!F149</f>
        <v>430</v>
      </c>
      <c r="EQ372" s="388">
        <f>цены!F150</f>
        <v>275</v>
      </c>
      <c r="ER372" s="388">
        <f>цены!F151</f>
        <v>350</v>
      </c>
      <c r="ES372" s="388">
        <f>цены!F152</f>
        <v>275</v>
      </c>
      <c r="ET372" s="388">
        <f>цены!F153</f>
        <v>0</v>
      </c>
      <c r="EU372" s="388">
        <f>цены!F154</f>
        <v>0</v>
      </c>
      <c r="EV372" s="388">
        <f>цены!F157</f>
        <v>65</v>
      </c>
      <c r="EW372" s="388">
        <f>цены!F158</f>
        <v>65</v>
      </c>
      <c r="EX372" s="388">
        <f>цены!F159</f>
        <v>69</v>
      </c>
      <c r="EY372" s="558">
        <f>SUM(J372:EX372)</f>
        <v>40123.96</v>
      </c>
    </row>
    <row r="373" spans="1:166" ht="14.7" customHeight="1" x14ac:dyDescent="0.25">
      <c r="A373" s="384"/>
      <c r="B373" s="385" t="s">
        <v>221</v>
      </c>
      <c r="C373" s="678"/>
      <c r="D373" s="686"/>
      <c r="E373" s="686"/>
      <c r="F373" s="686"/>
      <c r="G373" s="389"/>
      <c r="H373" s="678"/>
      <c r="I373" s="483"/>
      <c r="J373" s="388">
        <f>J371*J372</f>
        <v>2747.93</v>
      </c>
      <c r="K373" s="388">
        <f t="shared" ref="K373:CS373" si="28">K371*K372</f>
        <v>109.82</v>
      </c>
      <c r="L373" s="388">
        <f t="shared" si="28"/>
        <v>233.61</v>
      </c>
      <c r="M373" s="388">
        <f t="shared" si="28"/>
        <v>77.44</v>
      </c>
      <c r="N373" s="388">
        <f t="shared" si="28"/>
        <v>47.13</v>
      </c>
      <c r="O373" s="388">
        <f t="shared" si="28"/>
        <v>27.2</v>
      </c>
      <c r="P373" s="388">
        <f t="shared" si="28"/>
        <v>3.4</v>
      </c>
      <c r="Q373" s="388">
        <f t="shared" si="28"/>
        <v>438.41</v>
      </c>
      <c r="R373" s="388">
        <f t="shared" si="28"/>
        <v>29.6</v>
      </c>
      <c r="S373" s="388">
        <f t="shared" si="28"/>
        <v>78.75</v>
      </c>
      <c r="T373" s="388">
        <f t="shared" si="28"/>
        <v>9.36</v>
      </c>
      <c r="U373" s="388">
        <f t="shared" si="28"/>
        <v>483.28</v>
      </c>
      <c r="V373" s="388">
        <f t="shared" si="28"/>
        <v>625.11</v>
      </c>
      <c r="W373" s="388">
        <f t="shared" si="28"/>
        <v>120.58</v>
      </c>
      <c r="X373" s="388">
        <f t="shared" si="28"/>
        <v>528.16</v>
      </c>
      <c r="Y373" s="388">
        <f t="shared" si="28"/>
        <v>397.82</v>
      </c>
      <c r="Z373" s="388">
        <f t="shared" si="28"/>
        <v>77</v>
      </c>
      <c r="AA373" s="388">
        <f t="shared" si="28"/>
        <v>10.8</v>
      </c>
      <c r="AB373" s="388">
        <f t="shared" si="28"/>
        <v>12.5</v>
      </c>
      <c r="AC373" s="388">
        <f t="shared" si="28"/>
        <v>66</v>
      </c>
      <c r="AD373" s="388">
        <f t="shared" si="28"/>
        <v>4.8</v>
      </c>
      <c r="AE373" s="388">
        <f t="shared" si="28"/>
        <v>255.44</v>
      </c>
      <c r="AF373" s="388">
        <f t="shared" si="28"/>
        <v>142.32</v>
      </c>
      <c r="AG373" s="388">
        <f t="shared" si="28"/>
        <v>1.18</v>
      </c>
      <c r="AH373" s="388">
        <f t="shared" si="28"/>
        <v>306.41000000000003</v>
      </c>
      <c r="AI373" s="388">
        <f t="shared" si="28"/>
        <v>5.44</v>
      </c>
      <c r="AJ373" s="388">
        <f t="shared" si="28"/>
        <v>3.78</v>
      </c>
      <c r="AK373" s="388">
        <f t="shared" si="28"/>
        <v>132.44999999999999</v>
      </c>
      <c r="AL373" s="388">
        <f t="shared" si="28"/>
        <v>41.42</v>
      </c>
      <c r="AM373" s="388">
        <f t="shared" si="28"/>
        <v>0.2</v>
      </c>
      <c r="AN373" s="388">
        <f t="shared" si="28"/>
        <v>41.66</v>
      </c>
      <c r="AO373" s="388">
        <f t="shared" si="28"/>
        <v>26.65</v>
      </c>
      <c r="AP373" s="388">
        <f t="shared" si="28"/>
        <v>31.96</v>
      </c>
      <c r="AQ373" s="388">
        <f t="shared" si="28"/>
        <v>57.38</v>
      </c>
      <c r="AR373" s="388">
        <f t="shared" si="28"/>
        <v>0.88</v>
      </c>
      <c r="AS373" s="388">
        <f t="shared" si="28"/>
        <v>20</v>
      </c>
      <c r="AT373" s="388">
        <f t="shared" si="28"/>
        <v>19.440000000000001</v>
      </c>
      <c r="AU373" s="388">
        <f t="shared" si="28"/>
        <v>57.09</v>
      </c>
      <c r="AV373" s="388">
        <f t="shared" si="28"/>
        <v>37.64</v>
      </c>
      <c r="AW373" s="388">
        <f t="shared" si="28"/>
        <v>12.29</v>
      </c>
      <c r="AX373" s="388">
        <f t="shared" si="28"/>
        <v>18.079999999999998</v>
      </c>
      <c r="AY373" s="388">
        <f t="shared" si="28"/>
        <v>0</v>
      </c>
      <c r="AZ373" s="388">
        <f t="shared" si="28"/>
        <v>1.44</v>
      </c>
      <c r="BA373" s="388">
        <f t="shared" si="28"/>
        <v>1.89</v>
      </c>
      <c r="BB373" s="388">
        <f t="shared" si="28"/>
        <v>2.2200000000000002</v>
      </c>
      <c r="BC373" s="388">
        <f t="shared" si="28"/>
        <v>2.29</v>
      </c>
      <c r="BD373" s="388">
        <f t="shared" si="28"/>
        <v>16.8</v>
      </c>
      <c r="BE373" s="388">
        <f t="shared" si="28"/>
        <v>18.88</v>
      </c>
      <c r="BF373" s="388">
        <f t="shared" si="28"/>
        <v>7.5</v>
      </c>
      <c r="BG373" s="388">
        <f t="shared" si="28"/>
        <v>10.55</v>
      </c>
      <c r="BH373" s="388">
        <f t="shared" si="28"/>
        <v>86.75</v>
      </c>
      <c r="BI373" s="388">
        <f t="shared" si="28"/>
        <v>6.95</v>
      </c>
      <c r="BJ373" s="388">
        <f t="shared" si="28"/>
        <v>6.5</v>
      </c>
      <c r="BK373" s="388">
        <f t="shared" si="28"/>
        <v>28.35</v>
      </c>
      <c r="BL373" s="388">
        <f t="shared" si="28"/>
        <v>24.91</v>
      </c>
      <c r="BM373" s="388">
        <f t="shared" si="28"/>
        <v>29.9</v>
      </c>
      <c r="BN373" s="388">
        <f t="shared" si="28"/>
        <v>60</v>
      </c>
      <c r="BO373" s="388">
        <f t="shared" si="28"/>
        <v>134.21</v>
      </c>
      <c r="BP373" s="388">
        <f t="shared" si="28"/>
        <v>18</v>
      </c>
      <c r="BQ373" s="388">
        <f t="shared" si="28"/>
        <v>26.25</v>
      </c>
      <c r="BR373" s="388">
        <f t="shared" si="28"/>
        <v>70.5</v>
      </c>
      <c r="BS373" s="388">
        <f t="shared" si="28"/>
        <v>226.02</v>
      </c>
      <c r="BT373" s="388">
        <f t="shared" si="28"/>
        <v>38.49</v>
      </c>
      <c r="BU373" s="388">
        <f t="shared" si="28"/>
        <v>8.2100000000000009</v>
      </c>
      <c r="BV373" s="388">
        <f t="shared" si="28"/>
        <v>9.92</v>
      </c>
      <c r="BW373" s="388">
        <f t="shared" si="28"/>
        <v>2.98</v>
      </c>
      <c r="BX373" s="388">
        <f t="shared" si="28"/>
        <v>2.42</v>
      </c>
      <c r="BY373" s="388">
        <f t="shared" si="28"/>
        <v>3.47</v>
      </c>
      <c r="BZ373" s="388">
        <f>BZ371*BZ372</f>
        <v>0.54</v>
      </c>
      <c r="CA373" s="388">
        <f t="shared" si="28"/>
        <v>22.46</v>
      </c>
      <c r="CB373" s="388">
        <f t="shared" si="28"/>
        <v>68.2</v>
      </c>
      <c r="CC373" s="388">
        <f>CC371*CC372</f>
        <v>1.63</v>
      </c>
      <c r="CD373" s="388">
        <f t="shared" si="28"/>
        <v>9.9</v>
      </c>
      <c r="CE373" s="388">
        <f t="shared" si="28"/>
        <v>34.33</v>
      </c>
      <c r="CF373" s="388">
        <f t="shared" si="28"/>
        <v>108.61</v>
      </c>
      <c r="CG373" s="388">
        <f t="shared" si="28"/>
        <v>33.68</v>
      </c>
      <c r="CH373" s="388">
        <f>CH371*CH372</f>
        <v>0.5</v>
      </c>
      <c r="CI373" s="388">
        <f t="shared" si="28"/>
        <v>4.8</v>
      </c>
      <c r="CJ373" s="388">
        <f t="shared" si="28"/>
        <v>0</v>
      </c>
      <c r="CK373" s="388">
        <f t="shared" si="28"/>
        <v>0.03</v>
      </c>
      <c r="CL373" s="388">
        <f t="shared" si="28"/>
        <v>47.58</v>
      </c>
      <c r="CM373" s="388">
        <f t="shared" si="28"/>
        <v>24.16</v>
      </c>
      <c r="CN373" s="388">
        <f t="shared" si="28"/>
        <v>5</v>
      </c>
      <c r="CO373" s="388">
        <f t="shared" si="28"/>
        <v>4.3499999999999996</v>
      </c>
      <c r="CP373" s="388">
        <f t="shared" si="28"/>
        <v>1.5</v>
      </c>
      <c r="CQ373" s="388">
        <f t="shared" si="28"/>
        <v>5.3</v>
      </c>
      <c r="CR373" s="388">
        <f t="shared" si="28"/>
        <v>6.22</v>
      </c>
      <c r="CS373" s="388">
        <f t="shared" si="28"/>
        <v>5.12</v>
      </c>
      <c r="CT373" s="388">
        <f t="shared" ref="CT373:EY373" si="29">CT371*CT372</f>
        <v>25.56</v>
      </c>
      <c r="CU373" s="388">
        <f t="shared" si="29"/>
        <v>6.6</v>
      </c>
      <c r="CV373" s="388">
        <f t="shared" si="29"/>
        <v>11.08</v>
      </c>
      <c r="CW373" s="388">
        <f t="shared" si="29"/>
        <v>4.4800000000000004</v>
      </c>
      <c r="CX373" s="388">
        <f t="shared" si="29"/>
        <v>3.23</v>
      </c>
      <c r="CY373" s="388">
        <f t="shared" si="29"/>
        <v>14</v>
      </c>
      <c r="CZ373" s="388">
        <f t="shared" si="29"/>
        <v>239.8</v>
      </c>
      <c r="DA373" s="388">
        <f t="shared" si="29"/>
        <v>0.11</v>
      </c>
      <c r="DB373" s="388">
        <f t="shared" si="29"/>
        <v>0</v>
      </c>
      <c r="DC373" s="388">
        <f t="shared" si="29"/>
        <v>14.36</v>
      </c>
      <c r="DD373" s="388">
        <f t="shared" si="29"/>
        <v>12.15</v>
      </c>
      <c r="DE373" s="388">
        <f t="shared" si="29"/>
        <v>2.6</v>
      </c>
      <c r="DF373" s="388">
        <f t="shared" si="29"/>
        <v>114.56</v>
      </c>
      <c r="DG373" s="388">
        <f t="shared" si="29"/>
        <v>3.6</v>
      </c>
      <c r="DH373" s="388">
        <f t="shared" si="29"/>
        <v>2.8</v>
      </c>
      <c r="DI373" s="388">
        <f t="shared" si="29"/>
        <v>0.9</v>
      </c>
      <c r="DJ373" s="388">
        <f t="shared" si="29"/>
        <v>1.21</v>
      </c>
      <c r="DK373" s="388">
        <f t="shared" si="29"/>
        <v>0</v>
      </c>
      <c r="DL373" s="388">
        <f t="shared" si="29"/>
        <v>1.01</v>
      </c>
      <c r="DM373" s="388">
        <f t="shared" si="29"/>
        <v>6.93</v>
      </c>
      <c r="DN373" s="388">
        <f t="shared" si="29"/>
        <v>2.5299999999999998</v>
      </c>
      <c r="DO373" s="388">
        <f t="shared" si="29"/>
        <v>40</v>
      </c>
      <c r="DP373" s="388">
        <f t="shared" si="29"/>
        <v>7.5</v>
      </c>
      <c r="DQ373" s="388">
        <f t="shared" si="29"/>
        <v>5</v>
      </c>
      <c r="DR373" s="388">
        <f t="shared" si="29"/>
        <v>10.8</v>
      </c>
      <c r="DS373" s="388">
        <f t="shared" si="29"/>
        <v>1.56</v>
      </c>
      <c r="DT373" s="388">
        <f t="shared" si="29"/>
        <v>48.33</v>
      </c>
      <c r="DU373" s="388">
        <f t="shared" si="29"/>
        <v>11.02</v>
      </c>
      <c r="DV373" s="388">
        <f t="shared" si="29"/>
        <v>5.51</v>
      </c>
      <c r="DW373" s="388">
        <f t="shared" si="29"/>
        <v>7.15</v>
      </c>
      <c r="DX373" s="388">
        <f t="shared" si="29"/>
        <v>23.65</v>
      </c>
      <c r="DY373" s="388">
        <f t="shared" si="29"/>
        <v>0</v>
      </c>
      <c r="DZ373" s="388">
        <f t="shared" si="29"/>
        <v>0.03</v>
      </c>
      <c r="EA373" s="388">
        <f t="shared" si="29"/>
        <v>75</v>
      </c>
      <c r="EB373" s="388">
        <f t="shared" si="29"/>
        <v>2.9</v>
      </c>
      <c r="EC373" s="388">
        <f t="shared" si="29"/>
        <v>3.6</v>
      </c>
      <c r="ED373" s="388">
        <f t="shared" si="29"/>
        <v>2.16</v>
      </c>
      <c r="EE373" s="388">
        <f t="shared" si="29"/>
        <v>3.6</v>
      </c>
      <c r="EF373" s="388">
        <f t="shared" si="29"/>
        <v>21.5</v>
      </c>
      <c r="EG373" s="388">
        <f t="shared" si="29"/>
        <v>2.7</v>
      </c>
      <c r="EH373" s="388">
        <f t="shared" si="29"/>
        <v>2.99</v>
      </c>
      <c r="EI373" s="388">
        <f t="shared" si="29"/>
        <v>15</v>
      </c>
      <c r="EJ373" s="388">
        <f t="shared" si="29"/>
        <v>5.2</v>
      </c>
      <c r="EK373" s="388">
        <f t="shared" si="29"/>
        <v>11.55</v>
      </c>
      <c r="EL373" s="388">
        <f t="shared" si="29"/>
        <v>6</v>
      </c>
      <c r="EM373" s="388">
        <f t="shared" si="29"/>
        <v>15</v>
      </c>
      <c r="EN373" s="388">
        <f>EN371*EN372</f>
        <v>10.199999999999999</v>
      </c>
      <c r="EO373" s="388">
        <f>EO371*EO372</f>
        <v>18.899999999999999</v>
      </c>
      <c r="EP373" s="388">
        <f>EP371*EP372</f>
        <v>15.05</v>
      </c>
      <c r="EQ373" s="388">
        <f>EQ371*EQ372</f>
        <v>8.25</v>
      </c>
      <c r="ER373" s="388">
        <f>ER371*ER372</f>
        <v>10.5</v>
      </c>
      <c r="ES373" s="388">
        <f t="shared" si="29"/>
        <v>8.25</v>
      </c>
      <c r="ET373" s="388">
        <f>ET371*ET372</f>
        <v>0</v>
      </c>
      <c r="EU373" s="388">
        <f>EU371*EU372</f>
        <v>0</v>
      </c>
      <c r="EV373" s="388">
        <f t="shared" si="29"/>
        <v>25.87</v>
      </c>
      <c r="EW373" s="388">
        <f t="shared" si="29"/>
        <v>6.5</v>
      </c>
      <c r="EX373" s="388">
        <f t="shared" si="29"/>
        <v>10.35</v>
      </c>
      <c r="EY373" s="559">
        <f t="shared" si="29"/>
        <v>2411023.08</v>
      </c>
    </row>
    <row r="374" spans="1:166" ht="14.7" customHeight="1" x14ac:dyDescent="0.25">
      <c r="A374" s="309"/>
      <c r="B374" s="309" t="s">
        <v>555</v>
      </c>
      <c r="C374" s="679"/>
      <c r="D374" s="687"/>
      <c r="E374" s="687"/>
      <c r="F374" s="687"/>
      <c r="G374" s="378"/>
      <c r="H374" s="679"/>
      <c r="I374" s="483"/>
      <c r="J374" s="307"/>
      <c r="K374" s="307"/>
      <c r="L374" s="307"/>
      <c r="M374" s="307"/>
      <c r="N374" s="307"/>
      <c r="O374" s="307"/>
      <c r="P374" s="307"/>
      <c r="Q374" s="307"/>
      <c r="R374" s="307"/>
      <c r="S374" s="307"/>
      <c r="T374" s="307"/>
      <c r="U374" s="307"/>
      <c r="V374" s="307"/>
      <c r="W374" s="307"/>
      <c r="X374" s="307"/>
      <c r="Y374" s="307"/>
      <c r="Z374" s="307"/>
      <c r="AA374" s="307"/>
      <c r="AB374" s="307"/>
      <c r="AC374" s="307"/>
      <c r="AD374" s="307"/>
      <c r="AE374" s="307"/>
      <c r="AF374" s="307"/>
      <c r="AG374" s="307"/>
      <c r="AH374" s="307"/>
      <c r="AI374" s="307"/>
      <c r="AJ374" s="307"/>
      <c r="AK374" s="307"/>
      <c r="AL374" s="307"/>
      <c r="AM374" s="307"/>
      <c r="AN374" s="307"/>
      <c r="AO374" s="307"/>
      <c r="AP374" s="307"/>
      <c r="AQ374" s="307"/>
      <c r="AR374" s="307"/>
      <c r="AS374" s="307"/>
      <c r="AT374" s="307"/>
      <c r="AU374" s="307"/>
      <c r="AV374" s="307"/>
      <c r="AW374" s="307"/>
      <c r="AX374" s="307"/>
      <c r="AY374" s="307"/>
      <c r="AZ374" s="307"/>
      <c r="BA374" s="307"/>
      <c r="BB374" s="307"/>
      <c r="BC374" s="307"/>
      <c r="BD374" s="307"/>
      <c r="BE374" s="307"/>
      <c r="BF374" s="307"/>
      <c r="BG374" s="307"/>
      <c r="BH374" s="307"/>
      <c r="BI374" s="307"/>
      <c r="BJ374" s="307"/>
      <c r="BK374" s="307"/>
      <c r="BL374" s="307"/>
      <c r="BM374" s="307"/>
      <c r="BN374" s="307"/>
      <c r="BO374" s="307"/>
      <c r="BP374" s="307"/>
      <c r="BQ374" s="307"/>
      <c r="BR374" s="307"/>
      <c r="BS374" s="307"/>
      <c r="BT374" s="307"/>
      <c r="BU374" s="307"/>
      <c r="BV374" s="307"/>
      <c r="BW374" s="307"/>
      <c r="BX374" s="307"/>
      <c r="BY374" s="307"/>
      <c r="BZ374" s="307"/>
      <c r="CA374" s="307"/>
      <c r="CB374" s="307"/>
      <c r="CC374" s="307"/>
      <c r="CD374" s="307"/>
      <c r="CE374" s="307"/>
      <c r="CF374" s="307"/>
      <c r="CG374" s="307"/>
      <c r="CH374" s="307"/>
      <c r="CI374" s="307"/>
      <c r="CJ374" s="307"/>
      <c r="CK374" s="307"/>
      <c r="CL374" s="307"/>
      <c r="CM374" s="307"/>
      <c r="CN374" s="307"/>
      <c r="CO374" s="307"/>
      <c r="CP374" s="307"/>
      <c r="CQ374" s="307"/>
      <c r="CR374" s="307"/>
      <c r="CS374" s="307"/>
      <c r="CT374" s="307"/>
      <c r="CU374" s="307"/>
      <c r="CV374" s="307"/>
      <c r="CW374" s="307"/>
      <c r="CX374" s="307"/>
      <c r="CY374" s="307"/>
      <c r="CZ374" s="307"/>
      <c r="DA374" s="307"/>
      <c r="DB374" s="307"/>
      <c r="DC374" s="307"/>
      <c r="DD374" s="307"/>
      <c r="DE374" s="307"/>
      <c r="DF374" s="307"/>
      <c r="DG374" s="307"/>
      <c r="DH374" s="307"/>
      <c r="DI374" s="307"/>
      <c r="DJ374" s="307"/>
      <c r="DK374" s="307"/>
      <c r="DL374" s="307"/>
      <c r="DM374" s="307"/>
      <c r="DN374" s="307"/>
      <c r="DO374" s="307"/>
      <c r="DP374" s="307"/>
      <c r="DQ374" s="307"/>
      <c r="DR374" s="307"/>
      <c r="DS374" s="307"/>
      <c r="DT374" s="307"/>
      <c r="DU374" s="307"/>
      <c r="DV374" s="307"/>
      <c r="DW374" s="307"/>
      <c r="DX374" s="307"/>
      <c r="DY374" s="307"/>
      <c r="DZ374" s="307"/>
      <c r="EA374" s="307"/>
      <c r="EB374" s="307"/>
      <c r="EC374" s="307"/>
      <c r="ED374" s="307"/>
      <c r="EE374" s="307"/>
      <c r="EF374" s="307"/>
      <c r="EG374" s="307"/>
      <c r="EH374" s="307"/>
      <c r="EI374" s="307"/>
      <c r="EJ374" s="307"/>
      <c r="EK374" s="307"/>
      <c r="EL374" s="307"/>
      <c r="EM374" s="307"/>
      <c r="EN374" s="307"/>
      <c r="EO374" s="307"/>
      <c r="EP374" s="307"/>
      <c r="EQ374" s="307"/>
      <c r="ER374" s="307"/>
      <c r="ES374" s="307"/>
      <c r="ET374" s="307"/>
      <c r="EU374" s="307"/>
      <c r="EV374" s="307"/>
      <c r="EW374" s="307"/>
      <c r="EX374" s="307"/>
      <c r="EY374" s="308"/>
    </row>
    <row r="375" spans="1:166" ht="14.7" customHeight="1" x14ac:dyDescent="0.25">
      <c r="A375" s="310">
        <v>1</v>
      </c>
      <c r="B375" s="311" t="str">
        <f t="shared" ref="B375:B438" si="30">B5</f>
        <v>Бутерброды с маслом сливочным</v>
      </c>
      <c r="C375" s="483">
        <f>EY375</f>
        <v>9.17</v>
      </c>
      <c r="D375" s="888"/>
      <c r="E375" s="888"/>
      <c r="F375" s="888"/>
      <c r="G375" s="889"/>
      <c r="H375" s="680">
        <f t="shared" ref="H375:H438" si="31">H5</f>
        <v>1</v>
      </c>
      <c r="I375" s="1209">
        <f t="shared" ref="I375:I438" si="32">I5-EY375</f>
        <v>0</v>
      </c>
      <c r="J375" s="151">
        <f t="shared" ref="J375:AO375" si="33">J5*J$372</f>
        <v>0</v>
      </c>
      <c r="K375" s="424">
        <f t="shared" si="33"/>
        <v>0</v>
      </c>
      <c r="L375" s="424">
        <f t="shared" si="33"/>
        <v>0</v>
      </c>
      <c r="M375" s="424">
        <f t="shared" si="33"/>
        <v>0</v>
      </c>
      <c r="N375" s="424">
        <f t="shared" si="33"/>
        <v>0</v>
      </c>
      <c r="O375" s="424">
        <f t="shared" si="33"/>
        <v>0</v>
      </c>
      <c r="P375" s="424">
        <f t="shared" si="33"/>
        <v>0</v>
      </c>
      <c r="Q375" s="424">
        <f t="shared" si="33"/>
        <v>0</v>
      </c>
      <c r="R375" s="424">
        <f t="shared" si="33"/>
        <v>0</v>
      </c>
      <c r="S375" s="424">
        <f t="shared" si="33"/>
        <v>0</v>
      </c>
      <c r="T375" s="424">
        <f t="shared" si="33"/>
        <v>0</v>
      </c>
      <c r="U375" s="424">
        <f t="shared" si="33"/>
        <v>0</v>
      </c>
      <c r="V375" s="424">
        <f t="shared" si="33"/>
        <v>7.1</v>
      </c>
      <c r="W375" s="424">
        <f t="shared" si="33"/>
        <v>0</v>
      </c>
      <c r="X375" s="424">
        <f t="shared" si="33"/>
        <v>0</v>
      </c>
      <c r="Y375" s="424">
        <f t="shared" si="33"/>
        <v>0</v>
      </c>
      <c r="Z375" s="424">
        <f t="shared" si="33"/>
        <v>0</v>
      </c>
      <c r="AA375" s="424">
        <f t="shared" si="33"/>
        <v>0</v>
      </c>
      <c r="AB375" s="424">
        <f t="shared" si="33"/>
        <v>0</v>
      </c>
      <c r="AC375" s="424">
        <f t="shared" si="33"/>
        <v>0</v>
      </c>
      <c r="AD375" s="424">
        <f t="shared" si="33"/>
        <v>0</v>
      </c>
      <c r="AE375" s="424">
        <f t="shared" si="33"/>
        <v>0</v>
      </c>
      <c r="AF375" s="424">
        <f t="shared" si="33"/>
        <v>0</v>
      </c>
      <c r="AG375" s="424">
        <f t="shared" si="33"/>
        <v>0</v>
      </c>
      <c r="AH375" s="424">
        <f t="shared" si="33"/>
        <v>0</v>
      </c>
      <c r="AI375" s="424">
        <f t="shared" si="33"/>
        <v>0</v>
      </c>
      <c r="AJ375" s="424">
        <f t="shared" si="33"/>
        <v>0</v>
      </c>
      <c r="AK375" s="424">
        <f t="shared" si="33"/>
        <v>0</v>
      </c>
      <c r="AL375" s="424">
        <f t="shared" si="33"/>
        <v>0</v>
      </c>
      <c r="AM375" s="424">
        <f t="shared" si="33"/>
        <v>0</v>
      </c>
      <c r="AN375" s="424">
        <f t="shared" si="33"/>
        <v>0</v>
      </c>
      <c r="AO375" s="424">
        <f t="shared" si="33"/>
        <v>0</v>
      </c>
      <c r="AP375" s="424">
        <f t="shared" ref="AP375:BU375" si="34">AP5*AP$372</f>
        <v>0</v>
      </c>
      <c r="AQ375" s="424">
        <f t="shared" si="34"/>
        <v>0</v>
      </c>
      <c r="AR375" s="424">
        <f t="shared" si="34"/>
        <v>0</v>
      </c>
      <c r="AS375" s="424">
        <f t="shared" si="34"/>
        <v>0</v>
      </c>
      <c r="AT375" s="424">
        <f t="shared" si="34"/>
        <v>0</v>
      </c>
      <c r="AU375" s="424">
        <f t="shared" si="34"/>
        <v>0</v>
      </c>
      <c r="AV375" s="424">
        <f t="shared" si="34"/>
        <v>0</v>
      </c>
      <c r="AW375" s="424">
        <f t="shared" si="34"/>
        <v>0</v>
      </c>
      <c r="AX375" s="424">
        <f t="shared" si="34"/>
        <v>0</v>
      </c>
      <c r="AY375" s="424">
        <f t="shared" si="34"/>
        <v>0</v>
      </c>
      <c r="AZ375" s="424">
        <f t="shared" si="34"/>
        <v>0</v>
      </c>
      <c r="BA375" s="424">
        <f t="shared" si="34"/>
        <v>0</v>
      </c>
      <c r="BB375" s="424">
        <f t="shared" si="34"/>
        <v>0</v>
      </c>
      <c r="BC375" s="424">
        <f t="shared" si="34"/>
        <v>0</v>
      </c>
      <c r="BD375" s="424">
        <f t="shared" si="34"/>
        <v>0</v>
      </c>
      <c r="BE375" s="424">
        <f t="shared" si="34"/>
        <v>0</v>
      </c>
      <c r="BF375" s="424">
        <f t="shared" si="34"/>
        <v>0</v>
      </c>
      <c r="BG375" s="424">
        <f t="shared" si="34"/>
        <v>0</v>
      </c>
      <c r="BH375" s="424">
        <f t="shared" si="34"/>
        <v>0</v>
      </c>
      <c r="BI375" s="424">
        <f t="shared" si="34"/>
        <v>0</v>
      </c>
      <c r="BJ375" s="424">
        <f t="shared" si="34"/>
        <v>0</v>
      </c>
      <c r="BK375" s="424">
        <f t="shared" si="34"/>
        <v>0</v>
      </c>
      <c r="BL375" s="424">
        <f t="shared" si="34"/>
        <v>0</v>
      </c>
      <c r="BM375" s="424">
        <f t="shared" si="34"/>
        <v>0</v>
      </c>
      <c r="BN375" s="424">
        <f t="shared" si="34"/>
        <v>0</v>
      </c>
      <c r="BO375" s="424">
        <f t="shared" si="34"/>
        <v>0</v>
      </c>
      <c r="BP375" s="424">
        <f t="shared" si="34"/>
        <v>0</v>
      </c>
      <c r="BQ375" s="424">
        <f t="shared" si="34"/>
        <v>0</v>
      </c>
      <c r="BR375" s="424">
        <f t="shared" si="34"/>
        <v>0</v>
      </c>
      <c r="BS375" s="424">
        <f t="shared" si="34"/>
        <v>0</v>
      </c>
      <c r="BT375" s="424">
        <f t="shared" si="34"/>
        <v>0</v>
      </c>
      <c r="BU375" s="424">
        <f t="shared" si="34"/>
        <v>0</v>
      </c>
      <c r="BV375" s="424">
        <f t="shared" ref="BV375:DA375" si="35">BV5*BV$372</f>
        <v>0</v>
      </c>
      <c r="BW375" s="424">
        <f t="shared" si="35"/>
        <v>0</v>
      </c>
      <c r="BX375" s="424">
        <f t="shared" si="35"/>
        <v>0</v>
      </c>
      <c r="BY375" s="424">
        <f t="shared" si="35"/>
        <v>0</v>
      </c>
      <c r="BZ375" s="424">
        <f t="shared" si="35"/>
        <v>0</v>
      </c>
      <c r="CA375" s="424">
        <f t="shared" si="35"/>
        <v>0</v>
      </c>
      <c r="CB375" s="424">
        <f t="shared" si="35"/>
        <v>0</v>
      </c>
      <c r="CC375" s="424">
        <f t="shared" si="35"/>
        <v>0</v>
      </c>
      <c r="CD375" s="424">
        <f t="shared" si="35"/>
        <v>0</v>
      </c>
      <c r="CE375" s="424">
        <f t="shared" si="35"/>
        <v>0</v>
      </c>
      <c r="CF375" s="424">
        <f t="shared" si="35"/>
        <v>0</v>
      </c>
      <c r="CG375" s="424">
        <f t="shared" si="35"/>
        <v>0</v>
      </c>
      <c r="CH375" s="424">
        <f t="shared" si="35"/>
        <v>0</v>
      </c>
      <c r="CI375" s="424">
        <f t="shared" si="35"/>
        <v>0</v>
      </c>
      <c r="CJ375" s="424">
        <f t="shared" si="35"/>
        <v>0</v>
      </c>
      <c r="CK375" s="424">
        <f t="shared" si="35"/>
        <v>0</v>
      </c>
      <c r="CL375" s="424">
        <f t="shared" si="35"/>
        <v>0</v>
      </c>
      <c r="CM375" s="424">
        <f t="shared" si="35"/>
        <v>0</v>
      </c>
      <c r="CN375" s="424">
        <f t="shared" si="35"/>
        <v>0</v>
      </c>
      <c r="CO375" s="424">
        <f t="shared" si="35"/>
        <v>0</v>
      </c>
      <c r="CP375" s="424">
        <f t="shared" si="35"/>
        <v>0</v>
      </c>
      <c r="CQ375" s="424">
        <f t="shared" si="35"/>
        <v>0</v>
      </c>
      <c r="CR375" s="424">
        <f t="shared" si="35"/>
        <v>0</v>
      </c>
      <c r="CS375" s="424">
        <f t="shared" si="35"/>
        <v>0</v>
      </c>
      <c r="CT375" s="424">
        <f t="shared" si="35"/>
        <v>0</v>
      </c>
      <c r="CU375" s="424">
        <f t="shared" si="35"/>
        <v>0</v>
      </c>
      <c r="CV375" s="424">
        <f t="shared" si="35"/>
        <v>0</v>
      </c>
      <c r="CW375" s="424">
        <f t="shared" si="35"/>
        <v>0</v>
      </c>
      <c r="CX375" s="424">
        <f t="shared" si="35"/>
        <v>0</v>
      </c>
      <c r="CY375" s="424">
        <f t="shared" si="35"/>
        <v>0</v>
      </c>
      <c r="CZ375" s="424">
        <f t="shared" si="35"/>
        <v>0</v>
      </c>
      <c r="DA375" s="424">
        <f t="shared" si="35"/>
        <v>0</v>
      </c>
      <c r="DB375" s="424">
        <f t="shared" ref="DB375:EG375" si="36">DB5*DB$372</f>
        <v>0</v>
      </c>
      <c r="DC375" s="424">
        <f t="shared" si="36"/>
        <v>0</v>
      </c>
      <c r="DD375" s="424">
        <f t="shared" si="36"/>
        <v>0</v>
      </c>
      <c r="DE375" s="424">
        <f t="shared" si="36"/>
        <v>0</v>
      </c>
      <c r="DF375" s="424">
        <f t="shared" si="36"/>
        <v>0</v>
      </c>
      <c r="DG375" s="424">
        <f t="shared" si="36"/>
        <v>0</v>
      </c>
      <c r="DH375" s="424">
        <f t="shared" si="36"/>
        <v>0</v>
      </c>
      <c r="DI375" s="424">
        <f t="shared" si="36"/>
        <v>0</v>
      </c>
      <c r="DJ375" s="424">
        <f t="shared" si="36"/>
        <v>0</v>
      </c>
      <c r="DK375" s="424">
        <f t="shared" si="36"/>
        <v>0</v>
      </c>
      <c r="DL375" s="424">
        <f t="shared" si="36"/>
        <v>0</v>
      </c>
      <c r="DM375" s="424">
        <f t="shared" si="36"/>
        <v>0</v>
      </c>
      <c r="DN375" s="424">
        <f t="shared" si="36"/>
        <v>0</v>
      </c>
      <c r="DO375" s="424">
        <f t="shared" si="36"/>
        <v>0</v>
      </c>
      <c r="DP375" s="424">
        <f t="shared" si="36"/>
        <v>0</v>
      </c>
      <c r="DQ375" s="424">
        <f t="shared" si="36"/>
        <v>0</v>
      </c>
      <c r="DR375" s="424">
        <f t="shared" si="36"/>
        <v>0</v>
      </c>
      <c r="DS375" s="424">
        <f t="shared" si="36"/>
        <v>0</v>
      </c>
      <c r="DT375" s="424">
        <f t="shared" si="36"/>
        <v>0</v>
      </c>
      <c r="DU375" s="424">
        <f t="shared" si="36"/>
        <v>0</v>
      </c>
      <c r="DV375" s="424">
        <f t="shared" si="36"/>
        <v>0</v>
      </c>
      <c r="DW375" s="424">
        <f t="shared" si="36"/>
        <v>0</v>
      </c>
      <c r="DX375" s="424">
        <f t="shared" si="36"/>
        <v>0</v>
      </c>
      <c r="DY375" s="424">
        <f t="shared" si="36"/>
        <v>0</v>
      </c>
      <c r="DZ375" s="424">
        <f t="shared" si="36"/>
        <v>0</v>
      </c>
      <c r="EA375" s="424">
        <f t="shared" si="36"/>
        <v>0</v>
      </c>
      <c r="EB375" s="424">
        <f t="shared" si="36"/>
        <v>0</v>
      </c>
      <c r="EC375" s="424">
        <f t="shared" si="36"/>
        <v>0</v>
      </c>
      <c r="ED375" s="424">
        <f t="shared" si="36"/>
        <v>0</v>
      </c>
      <c r="EE375" s="424">
        <f t="shared" si="36"/>
        <v>0</v>
      </c>
      <c r="EF375" s="424">
        <f t="shared" si="36"/>
        <v>0</v>
      </c>
      <c r="EG375" s="424">
        <f t="shared" si="36"/>
        <v>0</v>
      </c>
      <c r="EH375" s="424">
        <f t="shared" ref="EH375:EX375" si="37">EH5*EH$372</f>
        <v>0</v>
      </c>
      <c r="EI375" s="424">
        <f t="shared" si="37"/>
        <v>0</v>
      </c>
      <c r="EJ375" s="424">
        <f t="shared" si="37"/>
        <v>0</v>
      </c>
      <c r="EK375" s="424">
        <f t="shared" si="37"/>
        <v>0</v>
      </c>
      <c r="EL375" s="424">
        <f t="shared" si="37"/>
        <v>0</v>
      </c>
      <c r="EM375" s="424">
        <f t="shared" si="37"/>
        <v>0</v>
      </c>
      <c r="EN375" s="424">
        <f t="shared" si="37"/>
        <v>0</v>
      </c>
      <c r="EO375" s="424">
        <f t="shared" si="37"/>
        <v>0</v>
      </c>
      <c r="EP375" s="424">
        <f t="shared" si="37"/>
        <v>0</v>
      </c>
      <c r="EQ375" s="424">
        <f t="shared" si="37"/>
        <v>0</v>
      </c>
      <c r="ER375" s="424">
        <f t="shared" si="37"/>
        <v>0</v>
      </c>
      <c r="ES375" s="424">
        <f t="shared" si="37"/>
        <v>0</v>
      </c>
      <c r="ET375" s="424">
        <f t="shared" si="37"/>
        <v>0</v>
      </c>
      <c r="EU375" s="424">
        <f t="shared" si="37"/>
        <v>0</v>
      </c>
      <c r="EV375" s="424">
        <f t="shared" si="37"/>
        <v>0</v>
      </c>
      <c r="EW375" s="424">
        <f t="shared" si="37"/>
        <v>0</v>
      </c>
      <c r="EX375" s="424">
        <f t="shared" si="37"/>
        <v>2.0699999999999998</v>
      </c>
      <c r="EY375" s="376">
        <f>SUM(J375:EX375)</f>
        <v>9.17</v>
      </c>
    </row>
    <row r="376" spans="1:166" ht="14.7" customHeight="1" x14ac:dyDescent="0.25">
      <c r="A376" s="310">
        <v>2</v>
      </c>
      <c r="B376" s="311" t="str">
        <f t="shared" si="30"/>
        <v>Бутерброды с джемом абрикосовым и маслом</v>
      </c>
      <c r="C376" s="483">
        <f t="shared" ref="C376:C439" si="38">EY376</f>
        <v>12.4</v>
      </c>
      <c r="D376" s="888"/>
      <c r="E376" s="888"/>
      <c r="F376" s="888"/>
      <c r="G376" s="889"/>
      <c r="H376" s="680">
        <f t="shared" si="31"/>
        <v>2</v>
      </c>
      <c r="I376" s="1209">
        <f t="shared" si="32"/>
        <v>0</v>
      </c>
      <c r="J376" s="424">
        <f t="shared" ref="J376:AO376" si="39">J6*J$372</f>
        <v>0</v>
      </c>
      <c r="K376" s="424">
        <f t="shared" si="39"/>
        <v>0</v>
      </c>
      <c r="L376" s="424">
        <f t="shared" si="39"/>
        <v>0</v>
      </c>
      <c r="M376" s="424">
        <f t="shared" si="39"/>
        <v>0</v>
      </c>
      <c r="N376" s="424">
        <f t="shared" si="39"/>
        <v>0</v>
      </c>
      <c r="O376" s="424">
        <f t="shared" si="39"/>
        <v>0</v>
      </c>
      <c r="P376" s="424">
        <f t="shared" si="39"/>
        <v>0</v>
      </c>
      <c r="Q376" s="424">
        <f t="shared" si="39"/>
        <v>0</v>
      </c>
      <c r="R376" s="424">
        <f t="shared" si="39"/>
        <v>0</v>
      </c>
      <c r="S376" s="424">
        <f t="shared" si="39"/>
        <v>0</v>
      </c>
      <c r="T376" s="424">
        <f t="shared" si="39"/>
        <v>0</v>
      </c>
      <c r="U376" s="424">
        <f t="shared" si="39"/>
        <v>0</v>
      </c>
      <c r="V376" s="424">
        <f t="shared" si="39"/>
        <v>7.1</v>
      </c>
      <c r="W376" s="424">
        <f t="shared" si="39"/>
        <v>0</v>
      </c>
      <c r="X376" s="424">
        <f t="shared" si="39"/>
        <v>0</v>
      </c>
      <c r="Y376" s="424">
        <f t="shared" si="39"/>
        <v>0</v>
      </c>
      <c r="Z376" s="424">
        <f t="shared" si="39"/>
        <v>0</v>
      </c>
      <c r="AA376" s="424">
        <f t="shared" si="39"/>
        <v>0</v>
      </c>
      <c r="AB376" s="424">
        <f t="shared" si="39"/>
        <v>0</v>
      </c>
      <c r="AC376" s="424">
        <f t="shared" si="39"/>
        <v>0</v>
      </c>
      <c r="AD376" s="424">
        <f t="shared" si="39"/>
        <v>0</v>
      </c>
      <c r="AE376" s="424">
        <f t="shared" si="39"/>
        <v>0</v>
      </c>
      <c r="AF376" s="424">
        <f t="shared" si="39"/>
        <v>0</v>
      </c>
      <c r="AG376" s="424">
        <f t="shared" si="39"/>
        <v>0</v>
      </c>
      <c r="AH376" s="424">
        <f t="shared" si="39"/>
        <v>0</v>
      </c>
      <c r="AI376" s="424">
        <f t="shared" si="39"/>
        <v>0</v>
      </c>
      <c r="AJ376" s="424">
        <f t="shared" si="39"/>
        <v>0</v>
      </c>
      <c r="AK376" s="424">
        <f t="shared" si="39"/>
        <v>0</v>
      </c>
      <c r="AL376" s="424">
        <f t="shared" si="39"/>
        <v>0</v>
      </c>
      <c r="AM376" s="424">
        <f t="shared" si="39"/>
        <v>0</v>
      </c>
      <c r="AN376" s="424">
        <f t="shared" si="39"/>
        <v>0</v>
      </c>
      <c r="AO376" s="424">
        <f t="shared" si="39"/>
        <v>0</v>
      </c>
      <c r="AP376" s="424">
        <f t="shared" ref="AP376:BU376" si="40">AP6*AP$372</f>
        <v>0</v>
      </c>
      <c r="AQ376" s="424">
        <f t="shared" si="40"/>
        <v>0</v>
      </c>
      <c r="AR376" s="424">
        <f t="shared" si="40"/>
        <v>0</v>
      </c>
      <c r="AS376" s="424">
        <f t="shared" si="40"/>
        <v>0</v>
      </c>
      <c r="AT376" s="424">
        <f t="shared" si="40"/>
        <v>0</v>
      </c>
      <c r="AU376" s="424">
        <f t="shared" si="40"/>
        <v>0</v>
      </c>
      <c r="AV376" s="424">
        <f t="shared" si="40"/>
        <v>0</v>
      </c>
      <c r="AW376" s="424">
        <f t="shared" si="40"/>
        <v>0</v>
      </c>
      <c r="AX376" s="424">
        <f t="shared" si="40"/>
        <v>0</v>
      </c>
      <c r="AY376" s="424">
        <f t="shared" si="40"/>
        <v>0</v>
      </c>
      <c r="AZ376" s="424">
        <f t="shared" si="40"/>
        <v>0</v>
      </c>
      <c r="BA376" s="424">
        <f t="shared" si="40"/>
        <v>0</v>
      </c>
      <c r="BB376" s="424">
        <f t="shared" si="40"/>
        <v>0</v>
      </c>
      <c r="BC376" s="424">
        <f t="shared" si="40"/>
        <v>0</v>
      </c>
      <c r="BD376" s="424">
        <f t="shared" si="40"/>
        <v>0</v>
      </c>
      <c r="BE376" s="424">
        <f t="shared" si="40"/>
        <v>0</v>
      </c>
      <c r="BF376" s="424">
        <f t="shared" si="40"/>
        <v>0</v>
      </c>
      <c r="BG376" s="424">
        <f t="shared" si="40"/>
        <v>0</v>
      </c>
      <c r="BH376" s="424">
        <f t="shared" si="40"/>
        <v>0</v>
      </c>
      <c r="BI376" s="424">
        <f t="shared" si="40"/>
        <v>0</v>
      </c>
      <c r="BJ376" s="424">
        <f t="shared" si="40"/>
        <v>0</v>
      </c>
      <c r="BK376" s="424">
        <f t="shared" si="40"/>
        <v>0</v>
      </c>
      <c r="BL376" s="424">
        <f t="shared" si="40"/>
        <v>0</v>
      </c>
      <c r="BM376" s="424">
        <f t="shared" si="40"/>
        <v>0</v>
      </c>
      <c r="BN376" s="424">
        <f t="shared" si="40"/>
        <v>0</v>
      </c>
      <c r="BO376" s="424">
        <f t="shared" si="40"/>
        <v>0</v>
      </c>
      <c r="BP376" s="424">
        <f t="shared" si="40"/>
        <v>0</v>
      </c>
      <c r="BQ376" s="424">
        <f t="shared" si="40"/>
        <v>0</v>
      </c>
      <c r="BR376" s="424">
        <f t="shared" si="40"/>
        <v>0</v>
      </c>
      <c r="BS376" s="424">
        <f t="shared" si="40"/>
        <v>0</v>
      </c>
      <c r="BT376" s="424">
        <f t="shared" si="40"/>
        <v>0</v>
      </c>
      <c r="BU376" s="424">
        <f t="shared" si="40"/>
        <v>0</v>
      </c>
      <c r="BV376" s="424">
        <f t="shared" ref="BV376:DA376" si="41">BV6*BV$372</f>
        <v>0</v>
      </c>
      <c r="BW376" s="424">
        <f t="shared" si="41"/>
        <v>0</v>
      </c>
      <c r="BX376" s="424">
        <f t="shared" si="41"/>
        <v>0</v>
      </c>
      <c r="BY376" s="424">
        <f t="shared" si="41"/>
        <v>0</v>
      </c>
      <c r="BZ376" s="424">
        <f t="shared" si="41"/>
        <v>0</v>
      </c>
      <c r="CA376" s="424">
        <f t="shared" si="41"/>
        <v>0</v>
      </c>
      <c r="CB376" s="424">
        <f t="shared" si="41"/>
        <v>0</v>
      </c>
      <c r="CC376" s="424">
        <f t="shared" si="41"/>
        <v>0</v>
      </c>
      <c r="CD376" s="424">
        <f t="shared" si="41"/>
        <v>0</v>
      </c>
      <c r="CE376" s="424">
        <f t="shared" si="41"/>
        <v>0</v>
      </c>
      <c r="CF376" s="424">
        <f t="shared" si="41"/>
        <v>0</v>
      </c>
      <c r="CG376" s="424">
        <f t="shared" si="41"/>
        <v>0</v>
      </c>
      <c r="CH376" s="424">
        <f t="shared" si="41"/>
        <v>0</v>
      </c>
      <c r="CI376" s="424">
        <f t="shared" si="41"/>
        <v>0</v>
      </c>
      <c r="CJ376" s="424">
        <f t="shared" si="41"/>
        <v>0</v>
      </c>
      <c r="CK376" s="424">
        <f t="shared" si="41"/>
        <v>0</v>
      </c>
      <c r="CL376" s="424">
        <f t="shared" si="41"/>
        <v>0</v>
      </c>
      <c r="CM376" s="424">
        <f t="shared" si="41"/>
        <v>0</v>
      </c>
      <c r="CN376" s="424">
        <f t="shared" si="41"/>
        <v>0</v>
      </c>
      <c r="CO376" s="424">
        <f t="shared" si="41"/>
        <v>0</v>
      </c>
      <c r="CP376" s="424">
        <f t="shared" si="41"/>
        <v>0</v>
      </c>
      <c r="CQ376" s="424">
        <f t="shared" si="41"/>
        <v>0</v>
      </c>
      <c r="CR376" s="424">
        <f t="shared" si="41"/>
        <v>0</v>
      </c>
      <c r="CS376" s="424">
        <f t="shared" si="41"/>
        <v>0</v>
      </c>
      <c r="CT376" s="424">
        <f t="shared" si="41"/>
        <v>0</v>
      </c>
      <c r="CU376" s="424">
        <f t="shared" si="41"/>
        <v>0</v>
      </c>
      <c r="CV376" s="424">
        <f t="shared" si="41"/>
        <v>0</v>
      </c>
      <c r="CW376" s="424">
        <f t="shared" si="41"/>
        <v>0</v>
      </c>
      <c r="CX376" s="424">
        <f t="shared" si="41"/>
        <v>3.23</v>
      </c>
      <c r="CY376" s="424">
        <f t="shared" si="41"/>
        <v>0</v>
      </c>
      <c r="CZ376" s="424">
        <f t="shared" si="41"/>
        <v>0</v>
      </c>
      <c r="DA376" s="424">
        <f t="shared" si="41"/>
        <v>0</v>
      </c>
      <c r="DB376" s="424">
        <f t="shared" ref="DB376:EG376" si="42">DB6*DB$372</f>
        <v>0</v>
      </c>
      <c r="DC376" s="424">
        <f t="shared" si="42"/>
        <v>0</v>
      </c>
      <c r="DD376" s="424">
        <f t="shared" si="42"/>
        <v>0</v>
      </c>
      <c r="DE376" s="424">
        <f t="shared" si="42"/>
        <v>0</v>
      </c>
      <c r="DF376" s="424">
        <f t="shared" si="42"/>
        <v>0</v>
      </c>
      <c r="DG376" s="424">
        <f t="shared" si="42"/>
        <v>0</v>
      </c>
      <c r="DH376" s="424">
        <f t="shared" si="42"/>
        <v>0</v>
      </c>
      <c r="DI376" s="424">
        <f t="shared" si="42"/>
        <v>0</v>
      </c>
      <c r="DJ376" s="424">
        <f t="shared" si="42"/>
        <v>0</v>
      </c>
      <c r="DK376" s="424">
        <f t="shared" si="42"/>
        <v>0</v>
      </c>
      <c r="DL376" s="424">
        <f t="shared" si="42"/>
        <v>0</v>
      </c>
      <c r="DM376" s="424">
        <f t="shared" si="42"/>
        <v>0</v>
      </c>
      <c r="DN376" s="424">
        <f t="shared" si="42"/>
        <v>0</v>
      </c>
      <c r="DO376" s="424">
        <f t="shared" si="42"/>
        <v>0</v>
      </c>
      <c r="DP376" s="424">
        <f t="shared" si="42"/>
        <v>0</v>
      </c>
      <c r="DQ376" s="424">
        <f t="shared" si="42"/>
        <v>0</v>
      </c>
      <c r="DR376" s="424">
        <f t="shared" si="42"/>
        <v>0</v>
      </c>
      <c r="DS376" s="424">
        <f t="shared" si="42"/>
        <v>0</v>
      </c>
      <c r="DT376" s="424">
        <f t="shared" si="42"/>
        <v>0</v>
      </c>
      <c r="DU376" s="424">
        <f t="shared" si="42"/>
        <v>0</v>
      </c>
      <c r="DV376" s="424">
        <f t="shared" si="42"/>
        <v>0</v>
      </c>
      <c r="DW376" s="424">
        <f t="shared" si="42"/>
        <v>0</v>
      </c>
      <c r="DX376" s="424">
        <f t="shared" si="42"/>
        <v>0</v>
      </c>
      <c r="DY376" s="424">
        <f t="shared" si="42"/>
        <v>0</v>
      </c>
      <c r="DZ376" s="424">
        <f t="shared" si="42"/>
        <v>0</v>
      </c>
      <c r="EA376" s="424">
        <f t="shared" si="42"/>
        <v>0</v>
      </c>
      <c r="EB376" s="424">
        <f t="shared" si="42"/>
        <v>0</v>
      </c>
      <c r="EC376" s="424">
        <f t="shared" si="42"/>
        <v>0</v>
      </c>
      <c r="ED376" s="424">
        <f t="shared" si="42"/>
        <v>0</v>
      </c>
      <c r="EE376" s="424">
        <f t="shared" si="42"/>
        <v>0</v>
      </c>
      <c r="EF376" s="424">
        <f t="shared" si="42"/>
        <v>0</v>
      </c>
      <c r="EG376" s="424">
        <f t="shared" si="42"/>
        <v>0</v>
      </c>
      <c r="EH376" s="424">
        <f t="shared" ref="EH376:EX376" si="43">EH6*EH$372</f>
        <v>0</v>
      </c>
      <c r="EI376" s="424">
        <f t="shared" si="43"/>
        <v>0</v>
      </c>
      <c r="EJ376" s="424">
        <f t="shared" si="43"/>
        <v>0</v>
      </c>
      <c r="EK376" s="424">
        <f t="shared" si="43"/>
        <v>0</v>
      </c>
      <c r="EL376" s="424">
        <f t="shared" si="43"/>
        <v>0</v>
      </c>
      <c r="EM376" s="424">
        <f t="shared" si="43"/>
        <v>0</v>
      </c>
      <c r="EN376" s="424">
        <f t="shared" si="43"/>
        <v>0</v>
      </c>
      <c r="EO376" s="424">
        <f t="shared" si="43"/>
        <v>0</v>
      </c>
      <c r="EP376" s="424">
        <f t="shared" si="43"/>
        <v>0</v>
      </c>
      <c r="EQ376" s="424">
        <f t="shared" si="43"/>
        <v>0</v>
      </c>
      <c r="ER376" s="424">
        <f t="shared" si="43"/>
        <v>0</v>
      </c>
      <c r="ES376" s="424">
        <f t="shared" si="43"/>
        <v>0</v>
      </c>
      <c r="ET376" s="424">
        <f t="shared" si="43"/>
        <v>0</v>
      </c>
      <c r="EU376" s="424">
        <f t="shared" si="43"/>
        <v>0</v>
      </c>
      <c r="EV376" s="424">
        <f t="shared" si="43"/>
        <v>0</v>
      </c>
      <c r="EW376" s="424">
        <f t="shared" si="43"/>
        <v>0</v>
      </c>
      <c r="EX376" s="424">
        <f t="shared" si="43"/>
        <v>2.0699999999999998</v>
      </c>
      <c r="EY376" s="425">
        <f>SUM(J376:EX376)</f>
        <v>12.4</v>
      </c>
    </row>
    <row r="377" spans="1:166" ht="14.7" customHeight="1" x14ac:dyDescent="0.25">
      <c r="A377" s="310">
        <v>3</v>
      </c>
      <c r="B377" s="311" t="str">
        <f t="shared" si="30"/>
        <v>Бутерброды с сыром российским и маслом</v>
      </c>
      <c r="C377" s="483">
        <f t="shared" si="38"/>
        <v>17.12</v>
      </c>
      <c r="D377" s="888"/>
      <c r="E377" s="888"/>
      <c r="F377" s="888"/>
      <c r="G377" s="889"/>
      <c r="H377" s="680">
        <f t="shared" si="31"/>
        <v>3</v>
      </c>
      <c r="I377" s="1209">
        <f t="shared" si="32"/>
        <v>0</v>
      </c>
      <c r="J377" s="424">
        <f t="shared" ref="J377:AO377" si="44">J7*J$372</f>
        <v>0</v>
      </c>
      <c r="K377" s="424">
        <f t="shared" si="44"/>
        <v>0</v>
      </c>
      <c r="L377" s="424">
        <f t="shared" si="44"/>
        <v>0</v>
      </c>
      <c r="M377" s="424">
        <f t="shared" si="44"/>
        <v>0</v>
      </c>
      <c r="N377" s="424">
        <f t="shared" si="44"/>
        <v>0</v>
      </c>
      <c r="O377" s="424">
        <f t="shared" si="44"/>
        <v>0</v>
      </c>
      <c r="P377" s="424">
        <f t="shared" si="44"/>
        <v>0</v>
      </c>
      <c r="Q377" s="424">
        <f t="shared" si="44"/>
        <v>0</v>
      </c>
      <c r="R377" s="424">
        <f t="shared" si="44"/>
        <v>0</v>
      </c>
      <c r="S377" s="424">
        <f t="shared" si="44"/>
        <v>0</v>
      </c>
      <c r="T377" s="424">
        <f t="shared" si="44"/>
        <v>0</v>
      </c>
      <c r="U377" s="424">
        <f t="shared" si="44"/>
        <v>0</v>
      </c>
      <c r="V377" s="424">
        <f t="shared" si="44"/>
        <v>3.55</v>
      </c>
      <c r="W377" s="424">
        <f t="shared" si="44"/>
        <v>11.5</v>
      </c>
      <c r="X377" s="424">
        <f t="shared" si="44"/>
        <v>0</v>
      </c>
      <c r="Y377" s="424">
        <f t="shared" si="44"/>
        <v>0</v>
      </c>
      <c r="Z377" s="424">
        <f t="shared" si="44"/>
        <v>0</v>
      </c>
      <c r="AA377" s="424">
        <f t="shared" si="44"/>
        <v>0</v>
      </c>
      <c r="AB377" s="424">
        <f t="shared" si="44"/>
        <v>0</v>
      </c>
      <c r="AC377" s="424">
        <f t="shared" si="44"/>
        <v>0</v>
      </c>
      <c r="AD377" s="424">
        <f t="shared" si="44"/>
        <v>0</v>
      </c>
      <c r="AE377" s="424">
        <f t="shared" si="44"/>
        <v>0</v>
      </c>
      <c r="AF377" s="424">
        <f t="shared" si="44"/>
        <v>0</v>
      </c>
      <c r="AG377" s="424">
        <f t="shared" si="44"/>
        <v>0</v>
      </c>
      <c r="AH377" s="424">
        <f t="shared" si="44"/>
        <v>0</v>
      </c>
      <c r="AI377" s="424">
        <f t="shared" si="44"/>
        <v>0</v>
      </c>
      <c r="AJ377" s="424">
        <f t="shared" si="44"/>
        <v>0</v>
      </c>
      <c r="AK377" s="424">
        <f t="shared" si="44"/>
        <v>0</v>
      </c>
      <c r="AL377" s="424">
        <f t="shared" si="44"/>
        <v>0</v>
      </c>
      <c r="AM377" s="424">
        <f t="shared" si="44"/>
        <v>0</v>
      </c>
      <c r="AN377" s="424">
        <f t="shared" si="44"/>
        <v>0</v>
      </c>
      <c r="AO377" s="424">
        <f t="shared" si="44"/>
        <v>0</v>
      </c>
      <c r="AP377" s="424">
        <f t="shared" ref="AP377:BU377" si="45">AP7*AP$372</f>
        <v>0</v>
      </c>
      <c r="AQ377" s="424">
        <f t="shared" si="45"/>
        <v>0</v>
      </c>
      <c r="AR377" s="424">
        <f t="shared" si="45"/>
        <v>0</v>
      </c>
      <c r="AS377" s="424">
        <f t="shared" si="45"/>
        <v>0</v>
      </c>
      <c r="AT377" s="424">
        <f t="shared" si="45"/>
        <v>0</v>
      </c>
      <c r="AU377" s="424">
        <f t="shared" si="45"/>
        <v>0</v>
      </c>
      <c r="AV377" s="424">
        <f t="shared" si="45"/>
        <v>0</v>
      </c>
      <c r="AW377" s="424">
        <f t="shared" si="45"/>
        <v>0</v>
      </c>
      <c r="AX377" s="424">
        <f t="shared" si="45"/>
        <v>0</v>
      </c>
      <c r="AY377" s="424">
        <f t="shared" si="45"/>
        <v>0</v>
      </c>
      <c r="AZ377" s="424">
        <f t="shared" si="45"/>
        <v>0</v>
      </c>
      <c r="BA377" s="424">
        <f t="shared" si="45"/>
        <v>0</v>
      </c>
      <c r="BB377" s="424">
        <f t="shared" si="45"/>
        <v>0</v>
      </c>
      <c r="BC377" s="424">
        <f t="shared" si="45"/>
        <v>0</v>
      </c>
      <c r="BD377" s="424">
        <f t="shared" si="45"/>
        <v>0</v>
      </c>
      <c r="BE377" s="424">
        <f t="shared" si="45"/>
        <v>0</v>
      </c>
      <c r="BF377" s="424">
        <f t="shared" si="45"/>
        <v>0</v>
      </c>
      <c r="BG377" s="424">
        <f t="shared" si="45"/>
        <v>0</v>
      </c>
      <c r="BH377" s="424">
        <f t="shared" si="45"/>
        <v>0</v>
      </c>
      <c r="BI377" s="424">
        <f t="shared" si="45"/>
        <v>0</v>
      </c>
      <c r="BJ377" s="424">
        <f t="shared" si="45"/>
        <v>0</v>
      </c>
      <c r="BK377" s="424">
        <f t="shared" si="45"/>
        <v>0</v>
      </c>
      <c r="BL377" s="424">
        <f t="shared" si="45"/>
        <v>0</v>
      </c>
      <c r="BM377" s="424">
        <f t="shared" si="45"/>
        <v>0</v>
      </c>
      <c r="BN377" s="424">
        <f t="shared" si="45"/>
        <v>0</v>
      </c>
      <c r="BO377" s="424">
        <f t="shared" si="45"/>
        <v>0</v>
      </c>
      <c r="BP377" s="424">
        <f t="shared" si="45"/>
        <v>0</v>
      </c>
      <c r="BQ377" s="424">
        <f t="shared" si="45"/>
        <v>0</v>
      </c>
      <c r="BR377" s="424">
        <f t="shared" si="45"/>
        <v>0</v>
      </c>
      <c r="BS377" s="424">
        <f t="shared" si="45"/>
        <v>0</v>
      </c>
      <c r="BT377" s="424">
        <f t="shared" si="45"/>
        <v>0</v>
      </c>
      <c r="BU377" s="424">
        <f t="shared" si="45"/>
        <v>0</v>
      </c>
      <c r="BV377" s="424">
        <f t="shared" ref="BV377:DA377" si="46">BV7*BV$372</f>
        <v>0</v>
      </c>
      <c r="BW377" s="424">
        <f t="shared" si="46"/>
        <v>0</v>
      </c>
      <c r="BX377" s="424">
        <f t="shared" si="46"/>
        <v>0</v>
      </c>
      <c r="BY377" s="424">
        <f t="shared" si="46"/>
        <v>0</v>
      </c>
      <c r="BZ377" s="424">
        <f t="shared" si="46"/>
        <v>0</v>
      </c>
      <c r="CA377" s="424">
        <f t="shared" si="46"/>
        <v>0</v>
      </c>
      <c r="CB377" s="424">
        <f t="shared" si="46"/>
        <v>0</v>
      </c>
      <c r="CC377" s="424">
        <f t="shared" si="46"/>
        <v>0</v>
      </c>
      <c r="CD377" s="424">
        <f t="shared" si="46"/>
        <v>0</v>
      </c>
      <c r="CE377" s="424">
        <f t="shared" si="46"/>
        <v>0</v>
      </c>
      <c r="CF377" s="424">
        <f t="shared" si="46"/>
        <v>0</v>
      </c>
      <c r="CG377" s="424">
        <f t="shared" si="46"/>
        <v>0</v>
      </c>
      <c r="CH377" s="424">
        <f t="shared" si="46"/>
        <v>0</v>
      </c>
      <c r="CI377" s="424">
        <f t="shared" si="46"/>
        <v>0</v>
      </c>
      <c r="CJ377" s="424">
        <f t="shared" si="46"/>
        <v>0</v>
      </c>
      <c r="CK377" s="424">
        <f t="shared" si="46"/>
        <v>0</v>
      </c>
      <c r="CL377" s="424">
        <f t="shared" si="46"/>
        <v>0</v>
      </c>
      <c r="CM377" s="424">
        <f t="shared" si="46"/>
        <v>0</v>
      </c>
      <c r="CN377" s="424">
        <f t="shared" si="46"/>
        <v>0</v>
      </c>
      <c r="CO377" s="424">
        <f t="shared" si="46"/>
        <v>0</v>
      </c>
      <c r="CP377" s="424">
        <f t="shared" si="46"/>
        <v>0</v>
      </c>
      <c r="CQ377" s="424">
        <f t="shared" si="46"/>
        <v>0</v>
      </c>
      <c r="CR377" s="424">
        <f t="shared" si="46"/>
        <v>0</v>
      </c>
      <c r="CS377" s="424">
        <f t="shared" si="46"/>
        <v>0</v>
      </c>
      <c r="CT377" s="424">
        <f t="shared" si="46"/>
        <v>0</v>
      </c>
      <c r="CU377" s="424">
        <f t="shared" si="46"/>
        <v>0</v>
      </c>
      <c r="CV377" s="424">
        <f t="shared" si="46"/>
        <v>0</v>
      </c>
      <c r="CW377" s="424">
        <f t="shared" si="46"/>
        <v>0</v>
      </c>
      <c r="CX377" s="424">
        <f t="shared" si="46"/>
        <v>0</v>
      </c>
      <c r="CY377" s="424">
        <f t="shared" si="46"/>
        <v>0</v>
      </c>
      <c r="CZ377" s="424">
        <f t="shared" si="46"/>
        <v>0</v>
      </c>
      <c r="DA377" s="424">
        <f t="shared" si="46"/>
        <v>0</v>
      </c>
      <c r="DB377" s="424">
        <f t="shared" ref="DB377:EG377" si="47">DB7*DB$372</f>
        <v>0</v>
      </c>
      <c r="DC377" s="424">
        <f t="shared" si="47"/>
        <v>0</v>
      </c>
      <c r="DD377" s="424">
        <f t="shared" si="47"/>
        <v>0</v>
      </c>
      <c r="DE377" s="424">
        <f t="shared" si="47"/>
        <v>0</v>
      </c>
      <c r="DF377" s="424">
        <f t="shared" si="47"/>
        <v>0</v>
      </c>
      <c r="DG377" s="424">
        <f t="shared" si="47"/>
        <v>0</v>
      </c>
      <c r="DH377" s="424">
        <f t="shared" si="47"/>
        <v>0</v>
      </c>
      <c r="DI377" s="424">
        <f t="shared" si="47"/>
        <v>0</v>
      </c>
      <c r="DJ377" s="424">
        <f t="shared" si="47"/>
        <v>0</v>
      </c>
      <c r="DK377" s="424">
        <f t="shared" si="47"/>
        <v>0</v>
      </c>
      <c r="DL377" s="424">
        <f t="shared" si="47"/>
        <v>0</v>
      </c>
      <c r="DM377" s="424">
        <f t="shared" si="47"/>
        <v>0</v>
      </c>
      <c r="DN377" s="424">
        <f t="shared" si="47"/>
        <v>0</v>
      </c>
      <c r="DO377" s="424">
        <f t="shared" si="47"/>
        <v>0</v>
      </c>
      <c r="DP377" s="424">
        <f t="shared" si="47"/>
        <v>0</v>
      </c>
      <c r="DQ377" s="424">
        <f t="shared" si="47"/>
        <v>0</v>
      </c>
      <c r="DR377" s="424">
        <f t="shared" si="47"/>
        <v>0</v>
      </c>
      <c r="DS377" s="424">
        <f t="shared" si="47"/>
        <v>0</v>
      </c>
      <c r="DT377" s="424">
        <f t="shared" si="47"/>
        <v>0</v>
      </c>
      <c r="DU377" s="424">
        <f t="shared" si="47"/>
        <v>0</v>
      </c>
      <c r="DV377" s="424">
        <f t="shared" si="47"/>
        <v>0</v>
      </c>
      <c r="DW377" s="424">
        <f t="shared" si="47"/>
        <v>0</v>
      </c>
      <c r="DX377" s="424">
        <f t="shared" si="47"/>
        <v>0</v>
      </c>
      <c r="DY377" s="424">
        <f t="shared" si="47"/>
        <v>0</v>
      </c>
      <c r="DZ377" s="424">
        <f t="shared" si="47"/>
        <v>0</v>
      </c>
      <c r="EA377" s="424">
        <f t="shared" si="47"/>
        <v>0</v>
      </c>
      <c r="EB377" s="424">
        <f t="shared" si="47"/>
        <v>0</v>
      </c>
      <c r="EC377" s="424">
        <f t="shared" si="47"/>
        <v>0</v>
      </c>
      <c r="ED377" s="424">
        <f t="shared" si="47"/>
        <v>0</v>
      </c>
      <c r="EE377" s="424">
        <f t="shared" si="47"/>
        <v>0</v>
      </c>
      <c r="EF377" s="424">
        <f t="shared" si="47"/>
        <v>0</v>
      </c>
      <c r="EG377" s="424">
        <f t="shared" si="47"/>
        <v>0</v>
      </c>
      <c r="EH377" s="424">
        <f t="shared" ref="EH377:EX377" si="48">EH7*EH$372</f>
        <v>0</v>
      </c>
      <c r="EI377" s="424">
        <f t="shared" si="48"/>
        <v>0</v>
      </c>
      <c r="EJ377" s="424">
        <f t="shared" si="48"/>
        <v>0</v>
      </c>
      <c r="EK377" s="424">
        <f t="shared" si="48"/>
        <v>0</v>
      </c>
      <c r="EL377" s="424">
        <f t="shared" si="48"/>
        <v>0</v>
      </c>
      <c r="EM377" s="424">
        <f t="shared" si="48"/>
        <v>0</v>
      </c>
      <c r="EN377" s="424">
        <f t="shared" si="48"/>
        <v>0</v>
      </c>
      <c r="EO377" s="424">
        <f t="shared" si="48"/>
        <v>0</v>
      </c>
      <c r="EP377" s="424">
        <f t="shared" si="48"/>
        <v>0</v>
      </c>
      <c r="EQ377" s="424">
        <f t="shared" si="48"/>
        <v>0</v>
      </c>
      <c r="ER377" s="424">
        <f t="shared" si="48"/>
        <v>0</v>
      </c>
      <c r="ES377" s="424">
        <f t="shared" si="48"/>
        <v>0</v>
      </c>
      <c r="ET377" s="424">
        <f t="shared" si="48"/>
        <v>0</v>
      </c>
      <c r="EU377" s="424">
        <f t="shared" si="48"/>
        <v>0</v>
      </c>
      <c r="EV377" s="424">
        <f t="shared" si="48"/>
        <v>0</v>
      </c>
      <c r="EW377" s="424">
        <f t="shared" si="48"/>
        <v>0</v>
      </c>
      <c r="EX377" s="424">
        <f t="shared" si="48"/>
        <v>2.0699999999999998</v>
      </c>
      <c r="EY377" s="425">
        <f t="shared" ref="EY377:EY440" si="49">SUM(J377:EX377)</f>
        <v>17.12</v>
      </c>
    </row>
    <row r="378" spans="1:166" ht="14.7" customHeight="1" x14ac:dyDescent="0.25">
      <c r="A378" s="310">
        <v>4</v>
      </c>
      <c r="B378" s="311" t="str">
        <f t="shared" si="30"/>
        <v>Бутерброды с колбасой</v>
      </c>
      <c r="C378" s="483">
        <f t="shared" si="38"/>
        <v>10.47</v>
      </c>
      <c r="D378" s="888"/>
      <c r="E378" s="888"/>
      <c r="F378" s="888"/>
      <c r="G378" s="889"/>
      <c r="H378" s="680">
        <f t="shared" si="31"/>
        <v>6</v>
      </c>
      <c r="I378" s="1209">
        <f t="shared" si="32"/>
        <v>0</v>
      </c>
      <c r="J378" s="424">
        <f t="shared" ref="J378:AO378" si="50">J8*J$372</f>
        <v>0</v>
      </c>
      <c r="K378" s="424">
        <f t="shared" si="50"/>
        <v>0</v>
      </c>
      <c r="L378" s="424">
        <f t="shared" si="50"/>
        <v>0</v>
      </c>
      <c r="M378" s="424">
        <f t="shared" si="50"/>
        <v>0</v>
      </c>
      <c r="N378" s="424">
        <f t="shared" si="50"/>
        <v>0</v>
      </c>
      <c r="O378" s="424">
        <f t="shared" si="50"/>
        <v>8.4</v>
      </c>
      <c r="P378" s="424">
        <f t="shared" si="50"/>
        <v>0</v>
      </c>
      <c r="Q378" s="424">
        <f t="shared" si="50"/>
        <v>0</v>
      </c>
      <c r="R378" s="424">
        <f t="shared" si="50"/>
        <v>0</v>
      </c>
      <c r="S378" s="424">
        <f t="shared" si="50"/>
        <v>0</v>
      </c>
      <c r="T378" s="424">
        <f t="shared" si="50"/>
        <v>0</v>
      </c>
      <c r="U378" s="424">
        <f t="shared" si="50"/>
        <v>0</v>
      </c>
      <c r="V378" s="424">
        <f t="shared" si="50"/>
        <v>0</v>
      </c>
      <c r="W378" s="424">
        <f t="shared" si="50"/>
        <v>0</v>
      </c>
      <c r="X378" s="424">
        <f t="shared" si="50"/>
        <v>0</v>
      </c>
      <c r="Y378" s="424">
        <f t="shared" si="50"/>
        <v>0</v>
      </c>
      <c r="Z378" s="424">
        <f t="shared" si="50"/>
        <v>0</v>
      </c>
      <c r="AA378" s="424">
        <f t="shared" si="50"/>
        <v>0</v>
      </c>
      <c r="AB378" s="424">
        <f t="shared" si="50"/>
        <v>0</v>
      </c>
      <c r="AC378" s="424">
        <f t="shared" si="50"/>
        <v>0</v>
      </c>
      <c r="AD378" s="424">
        <f t="shared" si="50"/>
        <v>0</v>
      </c>
      <c r="AE378" s="424">
        <f t="shared" si="50"/>
        <v>0</v>
      </c>
      <c r="AF378" s="424">
        <f t="shared" si="50"/>
        <v>0</v>
      </c>
      <c r="AG378" s="424">
        <f t="shared" si="50"/>
        <v>0</v>
      </c>
      <c r="AH378" s="424">
        <f t="shared" si="50"/>
        <v>0</v>
      </c>
      <c r="AI378" s="424">
        <f t="shared" si="50"/>
        <v>0</v>
      </c>
      <c r="AJ378" s="424">
        <f t="shared" si="50"/>
        <v>0</v>
      </c>
      <c r="AK378" s="424">
        <f t="shared" si="50"/>
        <v>0</v>
      </c>
      <c r="AL378" s="424">
        <f t="shared" si="50"/>
        <v>0</v>
      </c>
      <c r="AM378" s="424">
        <f t="shared" si="50"/>
        <v>0</v>
      </c>
      <c r="AN378" s="424">
        <f t="shared" si="50"/>
        <v>0</v>
      </c>
      <c r="AO378" s="424">
        <f t="shared" si="50"/>
        <v>0</v>
      </c>
      <c r="AP378" s="424">
        <f t="shared" ref="AP378:BU378" si="51">AP8*AP$372</f>
        <v>0</v>
      </c>
      <c r="AQ378" s="424">
        <f t="shared" si="51"/>
        <v>0</v>
      </c>
      <c r="AR378" s="424">
        <f t="shared" si="51"/>
        <v>0</v>
      </c>
      <c r="AS378" s="424">
        <f t="shared" si="51"/>
        <v>0</v>
      </c>
      <c r="AT378" s="424">
        <f t="shared" si="51"/>
        <v>0</v>
      </c>
      <c r="AU378" s="424">
        <f t="shared" si="51"/>
        <v>0</v>
      </c>
      <c r="AV378" s="424">
        <f t="shared" si="51"/>
        <v>0</v>
      </c>
      <c r="AW378" s="424">
        <f t="shared" si="51"/>
        <v>0</v>
      </c>
      <c r="AX378" s="424">
        <f t="shared" si="51"/>
        <v>0</v>
      </c>
      <c r="AY378" s="424">
        <f t="shared" si="51"/>
        <v>0</v>
      </c>
      <c r="AZ378" s="424">
        <f t="shared" si="51"/>
        <v>0</v>
      </c>
      <c r="BA378" s="424">
        <f t="shared" si="51"/>
        <v>0</v>
      </c>
      <c r="BB378" s="424">
        <f t="shared" si="51"/>
        <v>0</v>
      </c>
      <c r="BC378" s="424">
        <f t="shared" si="51"/>
        <v>0</v>
      </c>
      <c r="BD378" s="424">
        <f t="shared" si="51"/>
        <v>0</v>
      </c>
      <c r="BE378" s="424">
        <f t="shared" si="51"/>
        <v>0</v>
      </c>
      <c r="BF378" s="424">
        <f t="shared" si="51"/>
        <v>0</v>
      </c>
      <c r="BG378" s="424">
        <f t="shared" si="51"/>
        <v>0</v>
      </c>
      <c r="BH378" s="424">
        <f t="shared" si="51"/>
        <v>0</v>
      </c>
      <c r="BI378" s="424">
        <f t="shared" si="51"/>
        <v>0</v>
      </c>
      <c r="BJ378" s="424">
        <f t="shared" si="51"/>
        <v>0</v>
      </c>
      <c r="BK378" s="424">
        <f t="shared" si="51"/>
        <v>0</v>
      </c>
      <c r="BL378" s="424">
        <f t="shared" si="51"/>
        <v>0</v>
      </c>
      <c r="BM378" s="424">
        <f t="shared" si="51"/>
        <v>0</v>
      </c>
      <c r="BN378" s="424">
        <f t="shared" si="51"/>
        <v>0</v>
      </c>
      <c r="BO378" s="424">
        <f t="shared" si="51"/>
        <v>0</v>
      </c>
      <c r="BP378" s="424">
        <f t="shared" si="51"/>
        <v>0</v>
      </c>
      <c r="BQ378" s="424">
        <f t="shared" si="51"/>
        <v>0</v>
      </c>
      <c r="BR378" s="424">
        <f t="shared" si="51"/>
        <v>0</v>
      </c>
      <c r="BS378" s="424">
        <f t="shared" si="51"/>
        <v>0</v>
      </c>
      <c r="BT378" s="424">
        <f t="shared" si="51"/>
        <v>0</v>
      </c>
      <c r="BU378" s="424">
        <f t="shared" si="51"/>
        <v>0</v>
      </c>
      <c r="BV378" s="424">
        <f t="shared" ref="BV378:DA378" si="52">BV8*BV$372</f>
        <v>0</v>
      </c>
      <c r="BW378" s="424">
        <f t="shared" si="52"/>
        <v>0</v>
      </c>
      <c r="BX378" s="424">
        <f t="shared" si="52"/>
        <v>0</v>
      </c>
      <c r="BY378" s="424">
        <f t="shared" si="52"/>
        <v>0</v>
      </c>
      <c r="BZ378" s="424">
        <f t="shared" si="52"/>
        <v>0</v>
      </c>
      <c r="CA378" s="424">
        <f t="shared" si="52"/>
        <v>0</v>
      </c>
      <c r="CB378" s="424">
        <f t="shared" si="52"/>
        <v>0</v>
      </c>
      <c r="CC378" s="424">
        <f t="shared" si="52"/>
        <v>0</v>
      </c>
      <c r="CD378" s="424">
        <f t="shared" si="52"/>
        <v>0</v>
      </c>
      <c r="CE378" s="424">
        <f t="shared" si="52"/>
        <v>0</v>
      </c>
      <c r="CF378" s="424">
        <f t="shared" si="52"/>
        <v>0</v>
      </c>
      <c r="CG378" s="424">
        <f t="shared" si="52"/>
        <v>0</v>
      </c>
      <c r="CH378" s="424">
        <f t="shared" si="52"/>
        <v>0</v>
      </c>
      <c r="CI378" s="424">
        <f t="shared" si="52"/>
        <v>0</v>
      </c>
      <c r="CJ378" s="424">
        <f t="shared" si="52"/>
        <v>0</v>
      </c>
      <c r="CK378" s="424">
        <f t="shared" si="52"/>
        <v>0</v>
      </c>
      <c r="CL378" s="424">
        <f t="shared" si="52"/>
        <v>0</v>
      </c>
      <c r="CM378" s="424">
        <f t="shared" si="52"/>
        <v>0</v>
      </c>
      <c r="CN378" s="424">
        <f t="shared" si="52"/>
        <v>0</v>
      </c>
      <c r="CO378" s="424">
        <f t="shared" si="52"/>
        <v>0</v>
      </c>
      <c r="CP378" s="424">
        <f t="shared" si="52"/>
        <v>0</v>
      </c>
      <c r="CQ378" s="424">
        <f t="shared" si="52"/>
        <v>0</v>
      </c>
      <c r="CR378" s="424">
        <f t="shared" si="52"/>
        <v>0</v>
      </c>
      <c r="CS378" s="424">
        <f t="shared" si="52"/>
        <v>0</v>
      </c>
      <c r="CT378" s="424">
        <f t="shared" si="52"/>
        <v>0</v>
      </c>
      <c r="CU378" s="424">
        <f t="shared" si="52"/>
        <v>0</v>
      </c>
      <c r="CV378" s="424">
        <f t="shared" si="52"/>
        <v>0</v>
      </c>
      <c r="CW378" s="424">
        <f t="shared" si="52"/>
        <v>0</v>
      </c>
      <c r="CX378" s="424">
        <f t="shared" si="52"/>
        <v>0</v>
      </c>
      <c r="CY378" s="424">
        <f t="shared" si="52"/>
        <v>0</v>
      </c>
      <c r="CZ378" s="424">
        <f t="shared" si="52"/>
        <v>0</v>
      </c>
      <c r="DA378" s="424">
        <f t="shared" si="52"/>
        <v>0</v>
      </c>
      <c r="DB378" s="424">
        <f t="shared" ref="DB378:EG378" si="53">DB8*DB$372</f>
        <v>0</v>
      </c>
      <c r="DC378" s="424">
        <f t="shared" si="53"/>
        <v>0</v>
      </c>
      <c r="DD378" s="424">
        <f t="shared" si="53"/>
        <v>0</v>
      </c>
      <c r="DE378" s="424">
        <f t="shared" si="53"/>
        <v>0</v>
      </c>
      <c r="DF378" s="424">
        <f t="shared" si="53"/>
        <v>0</v>
      </c>
      <c r="DG378" s="424">
        <f t="shared" si="53"/>
        <v>0</v>
      </c>
      <c r="DH378" s="424">
        <f t="shared" si="53"/>
        <v>0</v>
      </c>
      <c r="DI378" s="424">
        <f t="shared" si="53"/>
        <v>0</v>
      </c>
      <c r="DJ378" s="424">
        <f t="shared" si="53"/>
        <v>0</v>
      </c>
      <c r="DK378" s="424">
        <f t="shared" si="53"/>
        <v>0</v>
      </c>
      <c r="DL378" s="424">
        <f t="shared" si="53"/>
        <v>0</v>
      </c>
      <c r="DM378" s="424">
        <f t="shared" si="53"/>
        <v>0</v>
      </c>
      <c r="DN378" s="424">
        <f t="shared" si="53"/>
        <v>0</v>
      </c>
      <c r="DO378" s="424">
        <f t="shared" si="53"/>
        <v>0</v>
      </c>
      <c r="DP378" s="424">
        <f t="shared" si="53"/>
        <v>0</v>
      </c>
      <c r="DQ378" s="424">
        <f t="shared" si="53"/>
        <v>0</v>
      </c>
      <c r="DR378" s="424">
        <f t="shared" si="53"/>
        <v>0</v>
      </c>
      <c r="DS378" s="424">
        <f t="shared" si="53"/>
        <v>0</v>
      </c>
      <c r="DT378" s="424">
        <f t="shared" si="53"/>
        <v>0</v>
      </c>
      <c r="DU378" s="424">
        <f t="shared" si="53"/>
        <v>0</v>
      </c>
      <c r="DV378" s="424">
        <f t="shared" si="53"/>
        <v>0</v>
      </c>
      <c r="DW378" s="424">
        <f t="shared" si="53"/>
        <v>0</v>
      </c>
      <c r="DX378" s="424">
        <f t="shared" si="53"/>
        <v>0</v>
      </c>
      <c r="DY378" s="424">
        <f t="shared" si="53"/>
        <v>0</v>
      </c>
      <c r="DZ378" s="424">
        <f t="shared" si="53"/>
        <v>0</v>
      </c>
      <c r="EA378" s="424">
        <f t="shared" si="53"/>
        <v>0</v>
      </c>
      <c r="EB378" s="424">
        <f t="shared" si="53"/>
        <v>0</v>
      </c>
      <c r="EC378" s="424">
        <f t="shared" si="53"/>
        <v>0</v>
      </c>
      <c r="ED378" s="424">
        <f t="shared" si="53"/>
        <v>0</v>
      </c>
      <c r="EE378" s="424">
        <f t="shared" si="53"/>
        <v>0</v>
      </c>
      <c r="EF378" s="424">
        <f t="shared" si="53"/>
        <v>0</v>
      </c>
      <c r="EG378" s="424">
        <f t="shared" si="53"/>
        <v>0</v>
      </c>
      <c r="EH378" s="424">
        <f t="shared" ref="EH378:EX378" si="54">EH8*EH$372</f>
        <v>0</v>
      </c>
      <c r="EI378" s="424">
        <f t="shared" si="54"/>
        <v>0</v>
      </c>
      <c r="EJ378" s="424">
        <f t="shared" si="54"/>
        <v>0</v>
      </c>
      <c r="EK378" s="424">
        <f t="shared" si="54"/>
        <v>0</v>
      </c>
      <c r="EL378" s="424">
        <f t="shared" si="54"/>
        <v>0</v>
      </c>
      <c r="EM378" s="424">
        <f t="shared" si="54"/>
        <v>0</v>
      </c>
      <c r="EN378" s="424">
        <f t="shared" si="54"/>
        <v>0</v>
      </c>
      <c r="EO378" s="424">
        <f t="shared" si="54"/>
        <v>0</v>
      </c>
      <c r="EP378" s="424">
        <f t="shared" si="54"/>
        <v>0</v>
      </c>
      <c r="EQ378" s="424">
        <f t="shared" si="54"/>
        <v>0</v>
      </c>
      <c r="ER378" s="424">
        <f t="shared" si="54"/>
        <v>0</v>
      </c>
      <c r="ES378" s="424">
        <f t="shared" si="54"/>
        <v>0</v>
      </c>
      <c r="ET378" s="424">
        <f t="shared" si="54"/>
        <v>0</v>
      </c>
      <c r="EU378" s="424">
        <f t="shared" si="54"/>
        <v>0</v>
      </c>
      <c r="EV378" s="424">
        <f t="shared" si="54"/>
        <v>0</v>
      </c>
      <c r="EW378" s="424">
        <f t="shared" si="54"/>
        <v>0</v>
      </c>
      <c r="EX378" s="424">
        <f t="shared" si="54"/>
        <v>2.0699999999999998</v>
      </c>
      <c r="EY378" s="425">
        <f t="shared" si="49"/>
        <v>10.47</v>
      </c>
    </row>
    <row r="379" spans="1:166" ht="14.7" customHeight="1" x14ac:dyDescent="0.25">
      <c r="A379" s="310">
        <v>5</v>
      </c>
      <c r="B379" s="311" t="str">
        <f t="shared" si="30"/>
        <v>Бутерброды горячие с сыром российским</v>
      </c>
      <c r="C379" s="483">
        <f t="shared" si="38"/>
        <v>17.829999999999998</v>
      </c>
      <c r="D379" s="888"/>
      <c r="E379" s="888"/>
      <c r="F379" s="888"/>
      <c r="G379" s="889"/>
      <c r="H379" s="680">
        <f t="shared" si="31"/>
        <v>7</v>
      </c>
      <c r="I379" s="1209">
        <f t="shared" si="32"/>
        <v>0</v>
      </c>
      <c r="J379" s="424">
        <f t="shared" ref="J379:AO379" si="55">J9*J$372</f>
        <v>0</v>
      </c>
      <c r="K379" s="424">
        <f t="shared" si="55"/>
        <v>0</v>
      </c>
      <c r="L379" s="424">
        <f t="shared" si="55"/>
        <v>0</v>
      </c>
      <c r="M379" s="424">
        <f t="shared" si="55"/>
        <v>0</v>
      </c>
      <c r="N379" s="424">
        <f t="shared" si="55"/>
        <v>0</v>
      </c>
      <c r="O379" s="424">
        <f t="shared" si="55"/>
        <v>0</v>
      </c>
      <c r="P379" s="424">
        <f t="shared" si="55"/>
        <v>0</v>
      </c>
      <c r="Q379" s="424">
        <f t="shared" si="55"/>
        <v>0</v>
      </c>
      <c r="R379" s="424">
        <f t="shared" si="55"/>
        <v>0</v>
      </c>
      <c r="S379" s="424">
        <f t="shared" si="55"/>
        <v>0</v>
      </c>
      <c r="T379" s="424">
        <f t="shared" si="55"/>
        <v>0</v>
      </c>
      <c r="U379" s="424">
        <f t="shared" si="55"/>
        <v>0</v>
      </c>
      <c r="V379" s="424">
        <f t="shared" si="55"/>
        <v>4.26</v>
      </c>
      <c r="W379" s="424">
        <f t="shared" si="55"/>
        <v>11.5</v>
      </c>
      <c r="X379" s="424">
        <f t="shared" si="55"/>
        <v>0</v>
      </c>
      <c r="Y379" s="424">
        <f t="shared" si="55"/>
        <v>0</v>
      </c>
      <c r="Z379" s="424">
        <f t="shared" si="55"/>
        <v>0</v>
      </c>
      <c r="AA379" s="424">
        <f t="shared" si="55"/>
        <v>0</v>
      </c>
      <c r="AB379" s="424">
        <f t="shared" si="55"/>
        <v>0</v>
      </c>
      <c r="AC379" s="424">
        <f t="shared" si="55"/>
        <v>0</v>
      </c>
      <c r="AD379" s="424">
        <f t="shared" si="55"/>
        <v>0</v>
      </c>
      <c r="AE379" s="424">
        <f t="shared" si="55"/>
        <v>0</v>
      </c>
      <c r="AF379" s="424">
        <f t="shared" si="55"/>
        <v>0</v>
      </c>
      <c r="AG379" s="424">
        <f t="shared" si="55"/>
        <v>0</v>
      </c>
      <c r="AH379" s="424">
        <f t="shared" si="55"/>
        <v>0</v>
      </c>
      <c r="AI379" s="424">
        <f t="shared" si="55"/>
        <v>0</v>
      </c>
      <c r="AJ379" s="424">
        <f t="shared" si="55"/>
        <v>0</v>
      </c>
      <c r="AK379" s="424">
        <f t="shared" si="55"/>
        <v>0</v>
      </c>
      <c r="AL379" s="424">
        <f t="shared" si="55"/>
        <v>0</v>
      </c>
      <c r="AM379" s="424">
        <f t="shared" si="55"/>
        <v>0</v>
      </c>
      <c r="AN379" s="424">
        <f t="shared" si="55"/>
        <v>0</v>
      </c>
      <c r="AO379" s="424">
        <f t="shared" si="55"/>
        <v>0</v>
      </c>
      <c r="AP379" s="424">
        <f t="shared" ref="AP379:BU379" si="56">AP9*AP$372</f>
        <v>0</v>
      </c>
      <c r="AQ379" s="424">
        <f t="shared" si="56"/>
        <v>0</v>
      </c>
      <c r="AR379" s="424">
        <f t="shared" si="56"/>
        <v>0</v>
      </c>
      <c r="AS379" s="424">
        <f t="shared" si="56"/>
        <v>0</v>
      </c>
      <c r="AT379" s="424">
        <f t="shared" si="56"/>
        <v>0</v>
      </c>
      <c r="AU379" s="424">
        <f t="shared" si="56"/>
        <v>0</v>
      </c>
      <c r="AV379" s="424">
        <f t="shared" si="56"/>
        <v>0</v>
      </c>
      <c r="AW379" s="424">
        <f t="shared" si="56"/>
        <v>0</v>
      </c>
      <c r="AX379" s="424">
        <f t="shared" si="56"/>
        <v>0</v>
      </c>
      <c r="AY379" s="424">
        <f t="shared" si="56"/>
        <v>0</v>
      </c>
      <c r="AZ379" s="424">
        <f t="shared" si="56"/>
        <v>0</v>
      </c>
      <c r="BA379" s="424">
        <f t="shared" si="56"/>
        <v>0</v>
      </c>
      <c r="BB379" s="424">
        <f t="shared" si="56"/>
        <v>0</v>
      </c>
      <c r="BC379" s="424">
        <f t="shared" si="56"/>
        <v>0</v>
      </c>
      <c r="BD379" s="424">
        <f t="shared" si="56"/>
        <v>0</v>
      </c>
      <c r="BE379" s="424">
        <f t="shared" si="56"/>
        <v>0</v>
      </c>
      <c r="BF379" s="424">
        <f t="shared" si="56"/>
        <v>0</v>
      </c>
      <c r="BG379" s="424">
        <f t="shared" si="56"/>
        <v>0</v>
      </c>
      <c r="BH379" s="424">
        <f t="shared" si="56"/>
        <v>0</v>
      </c>
      <c r="BI379" s="424">
        <f t="shared" si="56"/>
        <v>0</v>
      </c>
      <c r="BJ379" s="424">
        <f t="shared" si="56"/>
        <v>0</v>
      </c>
      <c r="BK379" s="424">
        <f t="shared" si="56"/>
        <v>0</v>
      </c>
      <c r="BL379" s="424">
        <f t="shared" si="56"/>
        <v>0</v>
      </c>
      <c r="BM379" s="424">
        <f t="shared" si="56"/>
        <v>0</v>
      </c>
      <c r="BN379" s="424">
        <f t="shared" si="56"/>
        <v>0</v>
      </c>
      <c r="BO379" s="424">
        <f t="shared" si="56"/>
        <v>0</v>
      </c>
      <c r="BP379" s="424">
        <f t="shared" si="56"/>
        <v>0</v>
      </c>
      <c r="BQ379" s="424">
        <f t="shared" si="56"/>
        <v>0</v>
      </c>
      <c r="BR379" s="424">
        <f t="shared" si="56"/>
        <v>0</v>
      </c>
      <c r="BS379" s="424">
        <f t="shared" si="56"/>
        <v>0</v>
      </c>
      <c r="BT379" s="424">
        <f t="shared" si="56"/>
        <v>0</v>
      </c>
      <c r="BU379" s="424">
        <f t="shared" si="56"/>
        <v>0</v>
      </c>
      <c r="BV379" s="424">
        <f t="shared" ref="BV379:DA379" si="57">BV9*BV$372</f>
        <v>0</v>
      </c>
      <c r="BW379" s="424">
        <f t="shared" si="57"/>
        <v>0</v>
      </c>
      <c r="BX379" s="424">
        <f t="shared" si="57"/>
        <v>0</v>
      </c>
      <c r="BY379" s="424">
        <f t="shared" si="57"/>
        <v>0</v>
      </c>
      <c r="BZ379" s="424">
        <f t="shared" si="57"/>
        <v>0</v>
      </c>
      <c r="CA379" s="424">
        <f t="shared" si="57"/>
        <v>0</v>
      </c>
      <c r="CB379" s="424">
        <f t="shared" si="57"/>
        <v>0</v>
      </c>
      <c r="CC379" s="424">
        <f t="shared" si="57"/>
        <v>0</v>
      </c>
      <c r="CD379" s="424">
        <f t="shared" si="57"/>
        <v>0</v>
      </c>
      <c r="CE379" s="424">
        <f t="shared" si="57"/>
        <v>0</v>
      </c>
      <c r="CF379" s="424">
        <f t="shared" si="57"/>
        <v>0</v>
      </c>
      <c r="CG379" s="424">
        <f t="shared" si="57"/>
        <v>0</v>
      </c>
      <c r="CH379" s="424">
        <f t="shared" si="57"/>
        <v>0</v>
      </c>
      <c r="CI379" s="424">
        <f t="shared" si="57"/>
        <v>0</v>
      </c>
      <c r="CJ379" s="424">
        <f t="shared" si="57"/>
        <v>0</v>
      </c>
      <c r="CK379" s="424">
        <f t="shared" si="57"/>
        <v>0</v>
      </c>
      <c r="CL379" s="424">
        <f t="shared" si="57"/>
        <v>0</v>
      </c>
      <c r="CM379" s="424">
        <f t="shared" si="57"/>
        <v>0</v>
      </c>
      <c r="CN379" s="424">
        <f t="shared" si="57"/>
        <v>0</v>
      </c>
      <c r="CO379" s="424">
        <f t="shared" si="57"/>
        <v>0</v>
      </c>
      <c r="CP379" s="424">
        <f t="shared" si="57"/>
        <v>0</v>
      </c>
      <c r="CQ379" s="424">
        <f t="shared" si="57"/>
        <v>0</v>
      </c>
      <c r="CR379" s="424">
        <f t="shared" si="57"/>
        <v>0</v>
      </c>
      <c r="CS379" s="424">
        <f t="shared" si="57"/>
        <v>0</v>
      </c>
      <c r="CT379" s="424">
        <f t="shared" si="57"/>
        <v>0</v>
      </c>
      <c r="CU379" s="424">
        <f t="shared" si="57"/>
        <v>0</v>
      </c>
      <c r="CV379" s="424">
        <f t="shared" si="57"/>
        <v>0</v>
      </c>
      <c r="CW379" s="424">
        <f t="shared" si="57"/>
        <v>0</v>
      </c>
      <c r="CX379" s="424">
        <f t="shared" si="57"/>
        <v>0</v>
      </c>
      <c r="CY379" s="424">
        <f t="shared" si="57"/>
        <v>0</v>
      </c>
      <c r="CZ379" s="424">
        <f t="shared" si="57"/>
        <v>0</v>
      </c>
      <c r="DA379" s="424">
        <f t="shared" si="57"/>
        <v>0</v>
      </c>
      <c r="DB379" s="424">
        <f t="shared" ref="DB379:EG379" si="58">DB9*DB$372</f>
        <v>0</v>
      </c>
      <c r="DC379" s="424">
        <f t="shared" si="58"/>
        <v>0</v>
      </c>
      <c r="DD379" s="424">
        <f t="shared" si="58"/>
        <v>0</v>
      </c>
      <c r="DE379" s="424">
        <f t="shared" si="58"/>
        <v>0</v>
      </c>
      <c r="DF379" s="424">
        <f t="shared" si="58"/>
        <v>0</v>
      </c>
      <c r="DG379" s="424">
        <f t="shared" si="58"/>
        <v>0</v>
      </c>
      <c r="DH379" s="424">
        <f t="shared" si="58"/>
        <v>0</v>
      </c>
      <c r="DI379" s="424">
        <f t="shared" si="58"/>
        <v>0</v>
      </c>
      <c r="DJ379" s="424">
        <f t="shared" si="58"/>
        <v>0</v>
      </c>
      <c r="DK379" s="424">
        <f t="shared" si="58"/>
        <v>0</v>
      </c>
      <c r="DL379" s="424">
        <f t="shared" si="58"/>
        <v>0</v>
      </c>
      <c r="DM379" s="424">
        <f t="shared" si="58"/>
        <v>0</v>
      </c>
      <c r="DN379" s="424">
        <f t="shared" si="58"/>
        <v>0</v>
      </c>
      <c r="DO379" s="424">
        <f t="shared" si="58"/>
        <v>0</v>
      </c>
      <c r="DP379" s="424">
        <f t="shared" si="58"/>
        <v>0</v>
      </c>
      <c r="DQ379" s="424">
        <f t="shared" si="58"/>
        <v>0</v>
      </c>
      <c r="DR379" s="424">
        <f t="shared" si="58"/>
        <v>0</v>
      </c>
      <c r="DS379" s="424">
        <f t="shared" si="58"/>
        <v>0</v>
      </c>
      <c r="DT379" s="424">
        <f t="shared" si="58"/>
        <v>0</v>
      </c>
      <c r="DU379" s="424">
        <f t="shared" si="58"/>
        <v>0</v>
      </c>
      <c r="DV379" s="424">
        <f t="shared" si="58"/>
        <v>0</v>
      </c>
      <c r="DW379" s="424">
        <f t="shared" si="58"/>
        <v>0</v>
      </c>
      <c r="DX379" s="424">
        <f t="shared" si="58"/>
        <v>0</v>
      </c>
      <c r="DY379" s="424">
        <f t="shared" si="58"/>
        <v>0</v>
      </c>
      <c r="DZ379" s="424">
        <f t="shared" si="58"/>
        <v>0</v>
      </c>
      <c r="EA379" s="424">
        <f t="shared" si="58"/>
        <v>0</v>
      </c>
      <c r="EB379" s="424">
        <f t="shared" si="58"/>
        <v>0</v>
      </c>
      <c r="EC379" s="424">
        <f t="shared" si="58"/>
        <v>0</v>
      </c>
      <c r="ED379" s="424">
        <f t="shared" si="58"/>
        <v>0</v>
      </c>
      <c r="EE379" s="424">
        <f t="shared" si="58"/>
        <v>0</v>
      </c>
      <c r="EF379" s="424">
        <f t="shared" si="58"/>
        <v>0</v>
      </c>
      <c r="EG379" s="424">
        <f t="shared" si="58"/>
        <v>0</v>
      </c>
      <c r="EH379" s="424">
        <f t="shared" ref="EH379:EX379" si="59">EH9*EH$372</f>
        <v>0</v>
      </c>
      <c r="EI379" s="424">
        <f t="shared" si="59"/>
        <v>0</v>
      </c>
      <c r="EJ379" s="424">
        <f t="shared" si="59"/>
        <v>0</v>
      </c>
      <c r="EK379" s="424">
        <f t="shared" si="59"/>
        <v>0</v>
      </c>
      <c r="EL379" s="424">
        <f t="shared" si="59"/>
        <v>0</v>
      </c>
      <c r="EM379" s="424">
        <f t="shared" si="59"/>
        <v>0</v>
      </c>
      <c r="EN379" s="424">
        <f t="shared" si="59"/>
        <v>0</v>
      </c>
      <c r="EO379" s="424">
        <f t="shared" si="59"/>
        <v>0</v>
      </c>
      <c r="EP379" s="424">
        <f t="shared" si="59"/>
        <v>0</v>
      </c>
      <c r="EQ379" s="424">
        <f t="shared" si="59"/>
        <v>0</v>
      </c>
      <c r="ER379" s="424">
        <f t="shared" si="59"/>
        <v>0</v>
      </c>
      <c r="ES379" s="424">
        <f t="shared" si="59"/>
        <v>0</v>
      </c>
      <c r="ET379" s="424">
        <f t="shared" si="59"/>
        <v>0</v>
      </c>
      <c r="EU379" s="424">
        <f t="shared" si="59"/>
        <v>0</v>
      </c>
      <c r="EV379" s="424">
        <f t="shared" si="59"/>
        <v>0</v>
      </c>
      <c r="EW379" s="424">
        <f t="shared" si="59"/>
        <v>0</v>
      </c>
      <c r="EX379" s="424">
        <f t="shared" si="59"/>
        <v>2.0699999999999998</v>
      </c>
      <c r="EY379" s="425">
        <f t="shared" si="49"/>
        <v>17.829999999999998</v>
      </c>
    </row>
    <row r="380" spans="1:166" ht="14.7" customHeight="1" x14ac:dyDescent="0.25">
      <c r="A380" s="310">
        <v>6</v>
      </c>
      <c r="B380" s="311" t="str">
        <f t="shared" si="30"/>
        <v>Бутерброды горячие с колбасой</v>
      </c>
      <c r="C380" s="483">
        <f t="shared" si="38"/>
        <v>16.920000000000002</v>
      </c>
      <c r="D380" s="888"/>
      <c r="E380" s="888"/>
      <c r="F380" s="888"/>
      <c r="G380" s="889"/>
      <c r="H380" s="680">
        <f t="shared" si="31"/>
        <v>8</v>
      </c>
      <c r="I380" s="1209">
        <f t="shared" si="32"/>
        <v>0</v>
      </c>
      <c r="J380" s="424">
        <f t="shared" ref="J380:AO380" si="60">J10*J$372</f>
        <v>0</v>
      </c>
      <c r="K380" s="424">
        <f t="shared" si="60"/>
        <v>0</v>
      </c>
      <c r="L380" s="424">
        <f t="shared" si="60"/>
        <v>0</v>
      </c>
      <c r="M380" s="424">
        <f t="shared" si="60"/>
        <v>0</v>
      </c>
      <c r="N380" s="424">
        <f t="shared" si="60"/>
        <v>0</v>
      </c>
      <c r="O380" s="424">
        <f t="shared" si="60"/>
        <v>6.4</v>
      </c>
      <c r="P380" s="424">
        <f t="shared" si="60"/>
        <v>0</v>
      </c>
      <c r="Q380" s="424">
        <f t="shared" si="60"/>
        <v>0</v>
      </c>
      <c r="R380" s="424">
        <f t="shared" si="60"/>
        <v>0</v>
      </c>
      <c r="S380" s="424">
        <f t="shared" si="60"/>
        <v>0</v>
      </c>
      <c r="T380" s="424">
        <f t="shared" si="60"/>
        <v>0</v>
      </c>
      <c r="U380" s="424">
        <f t="shared" si="60"/>
        <v>0</v>
      </c>
      <c r="V380" s="424">
        <f t="shared" si="60"/>
        <v>0</v>
      </c>
      <c r="W380" s="424">
        <f t="shared" si="60"/>
        <v>7.55</v>
      </c>
      <c r="X380" s="424">
        <f t="shared" si="60"/>
        <v>0</v>
      </c>
      <c r="Y380" s="424">
        <f t="shared" si="60"/>
        <v>0</v>
      </c>
      <c r="Z380" s="424">
        <f t="shared" si="60"/>
        <v>0</v>
      </c>
      <c r="AA380" s="424">
        <f t="shared" si="60"/>
        <v>0</v>
      </c>
      <c r="AB380" s="424">
        <f t="shared" si="60"/>
        <v>0</v>
      </c>
      <c r="AC380" s="424">
        <f t="shared" si="60"/>
        <v>0</v>
      </c>
      <c r="AD380" s="424">
        <f t="shared" si="60"/>
        <v>0</v>
      </c>
      <c r="AE380" s="424">
        <f t="shared" si="60"/>
        <v>0</v>
      </c>
      <c r="AF380" s="424">
        <f t="shared" si="60"/>
        <v>0</v>
      </c>
      <c r="AG380" s="424">
        <f t="shared" si="60"/>
        <v>0</v>
      </c>
      <c r="AH380" s="424">
        <f t="shared" si="60"/>
        <v>0</v>
      </c>
      <c r="AI380" s="424">
        <f t="shared" si="60"/>
        <v>0</v>
      </c>
      <c r="AJ380" s="424">
        <f t="shared" si="60"/>
        <v>0</v>
      </c>
      <c r="AK380" s="424">
        <f t="shared" si="60"/>
        <v>0</v>
      </c>
      <c r="AL380" s="424">
        <f t="shared" si="60"/>
        <v>0</v>
      </c>
      <c r="AM380" s="424">
        <f t="shared" si="60"/>
        <v>0</v>
      </c>
      <c r="AN380" s="424">
        <f t="shared" si="60"/>
        <v>0</v>
      </c>
      <c r="AO380" s="424">
        <f t="shared" si="60"/>
        <v>1.02</v>
      </c>
      <c r="AP380" s="424">
        <f t="shared" ref="AP380:BU380" si="61">AP10*AP$372</f>
        <v>0</v>
      </c>
      <c r="AQ380" s="424">
        <f t="shared" si="61"/>
        <v>0</v>
      </c>
      <c r="AR380" s="424">
        <f t="shared" si="61"/>
        <v>0</v>
      </c>
      <c r="AS380" s="424">
        <f t="shared" si="61"/>
        <v>0</v>
      </c>
      <c r="AT380" s="424">
        <f t="shared" si="61"/>
        <v>0</v>
      </c>
      <c r="AU380" s="424">
        <f t="shared" si="61"/>
        <v>0</v>
      </c>
      <c r="AV380" s="424">
        <f t="shared" si="61"/>
        <v>0</v>
      </c>
      <c r="AW380" s="424">
        <f t="shared" si="61"/>
        <v>0</v>
      </c>
      <c r="AX380" s="424">
        <f t="shared" si="61"/>
        <v>0</v>
      </c>
      <c r="AY380" s="424">
        <f t="shared" si="61"/>
        <v>0</v>
      </c>
      <c r="AZ380" s="424">
        <f t="shared" si="61"/>
        <v>0</v>
      </c>
      <c r="BA380" s="424">
        <f t="shared" si="61"/>
        <v>0</v>
      </c>
      <c r="BB380" s="424">
        <f t="shared" si="61"/>
        <v>0</v>
      </c>
      <c r="BC380" s="424">
        <f t="shared" si="61"/>
        <v>0</v>
      </c>
      <c r="BD380" s="424">
        <f t="shared" si="61"/>
        <v>0</v>
      </c>
      <c r="BE380" s="424">
        <f t="shared" si="61"/>
        <v>0</v>
      </c>
      <c r="BF380" s="424">
        <f t="shared" si="61"/>
        <v>0</v>
      </c>
      <c r="BG380" s="424">
        <f t="shared" si="61"/>
        <v>0</v>
      </c>
      <c r="BH380" s="424">
        <f t="shared" si="61"/>
        <v>0</v>
      </c>
      <c r="BI380" s="424">
        <f t="shared" si="61"/>
        <v>0</v>
      </c>
      <c r="BJ380" s="424">
        <f t="shared" si="61"/>
        <v>0</v>
      </c>
      <c r="BK380" s="424">
        <f t="shared" si="61"/>
        <v>0</v>
      </c>
      <c r="BL380" s="424">
        <f t="shared" si="61"/>
        <v>0</v>
      </c>
      <c r="BM380" s="424">
        <f t="shared" si="61"/>
        <v>0</v>
      </c>
      <c r="BN380" s="424">
        <f t="shared" si="61"/>
        <v>0</v>
      </c>
      <c r="BO380" s="424">
        <f t="shared" si="61"/>
        <v>0</v>
      </c>
      <c r="BP380" s="424">
        <f t="shared" si="61"/>
        <v>0</v>
      </c>
      <c r="BQ380" s="424">
        <f t="shared" si="61"/>
        <v>0</v>
      </c>
      <c r="BR380" s="424">
        <f t="shared" si="61"/>
        <v>0</v>
      </c>
      <c r="BS380" s="424">
        <f t="shared" si="61"/>
        <v>0</v>
      </c>
      <c r="BT380" s="424">
        <f t="shared" si="61"/>
        <v>0</v>
      </c>
      <c r="BU380" s="424">
        <f t="shared" si="61"/>
        <v>0</v>
      </c>
      <c r="BV380" s="424">
        <f t="shared" ref="BV380:DA380" si="62">BV10*BV$372</f>
        <v>0</v>
      </c>
      <c r="BW380" s="424">
        <f t="shared" si="62"/>
        <v>0</v>
      </c>
      <c r="BX380" s="424">
        <f t="shared" si="62"/>
        <v>0</v>
      </c>
      <c r="BY380" s="424">
        <f t="shared" si="62"/>
        <v>0</v>
      </c>
      <c r="BZ380" s="424">
        <f t="shared" si="62"/>
        <v>0</v>
      </c>
      <c r="CA380" s="424">
        <f t="shared" si="62"/>
        <v>0</v>
      </c>
      <c r="CB380" s="424">
        <f t="shared" si="62"/>
        <v>0</v>
      </c>
      <c r="CC380" s="424">
        <f t="shared" si="62"/>
        <v>0</v>
      </c>
      <c r="CD380" s="424">
        <f t="shared" si="62"/>
        <v>0</v>
      </c>
      <c r="CE380" s="424">
        <f t="shared" si="62"/>
        <v>0</v>
      </c>
      <c r="CF380" s="424">
        <f t="shared" si="62"/>
        <v>0</v>
      </c>
      <c r="CG380" s="424">
        <f t="shared" si="62"/>
        <v>0</v>
      </c>
      <c r="CH380" s="424">
        <f t="shared" si="62"/>
        <v>0</v>
      </c>
      <c r="CI380" s="424">
        <f t="shared" si="62"/>
        <v>0</v>
      </c>
      <c r="CJ380" s="424">
        <f t="shared" si="62"/>
        <v>0</v>
      </c>
      <c r="CK380" s="424">
        <f t="shared" si="62"/>
        <v>0</v>
      </c>
      <c r="CL380" s="424">
        <f t="shared" si="62"/>
        <v>0</v>
      </c>
      <c r="CM380" s="424">
        <f t="shared" si="62"/>
        <v>0</v>
      </c>
      <c r="CN380" s="424">
        <f t="shared" si="62"/>
        <v>0</v>
      </c>
      <c r="CO380" s="424">
        <f t="shared" si="62"/>
        <v>0</v>
      </c>
      <c r="CP380" s="424">
        <f t="shared" si="62"/>
        <v>0</v>
      </c>
      <c r="CQ380" s="424">
        <f t="shared" si="62"/>
        <v>0</v>
      </c>
      <c r="CR380" s="424">
        <f t="shared" si="62"/>
        <v>0</v>
      </c>
      <c r="CS380" s="424">
        <f t="shared" si="62"/>
        <v>0</v>
      </c>
      <c r="CT380" s="424">
        <f t="shared" si="62"/>
        <v>0</v>
      </c>
      <c r="CU380" s="424">
        <f t="shared" si="62"/>
        <v>0</v>
      </c>
      <c r="CV380" s="424">
        <f t="shared" si="62"/>
        <v>0</v>
      </c>
      <c r="CW380" s="424">
        <f t="shared" si="62"/>
        <v>0</v>
      </c>
      <c r="CX380" s="424">
        <f t="shared" si="62"/>
        <v>0</v>
      </c>
      <c r="CY380" s="424">
        <f t="shared" si="62"/>
        <v>0</v>
      </c>
      <c r="CZ380" s="424">
        <f t="shared" si="62"/>
        <v>0</v>
      </c>
      <c r="DA380" s="424">
        <f t="shared" si="62"/>
        <v>0</v>
      </c>
      <c r="DB380" s="424">
        <f t="shared" ref="DB380:EG380" si="63">DB10*DB$372</f>
        <v>0</v>
      </c>
      <c r="DC380" s="424">
        <f t="shared" si="63"/>
        <v>0</v>
      </c>
      <c r="DD380" s="424">
        <f t="shared" si="63"/>
        <v>0</v>
      </c>
      <c r="DE380" s="424">
        <f t="shared" si="63"/>
        <v>0</v>
      </c>
      <c r="DF380" s="424">
        <f t="shared" si="63"/>
        <v>0</v>
      </c>
      <c r="DG380" s="424">
        <f t="shared" si="63"/>
        <v>0</v>
      </c>
      <c r="DH380" s="424">
        <f t="shared" si="63"/>
        <v>0</v>
      </c>
      <c r="DI380" s="424">
        <f t="shared" si="63"/>
        <v>0</v>
      </c>
      <c r="DJ380" s="424">
        <f t="shared" si="63"/>
        <v>0</v>
      </c>
      <c r="DK380" s="424">
        <f t="shared" si="63"/>
        <v>0</v>
      </c>
      <c r="DL380" s="424">
        <f t="shared" si="63"/>
        <v>0</v>
      </c>
      <c r="DM380" s="424">
        <f t="shared" si="63"/>
        <v>0</v>
      </c>
      <c r="DN380" s="424">
        <f t="shared" si="63"/>
        <v>0</v>
      </c>
      <c r="DO380" s="424">
        <f t="shared" si="63"/>
        <v>0</v>
      </c>
      <c r="DP380" s="424">
        <f t="shared" si="63"/>
        <v>0</v>
      </c>
      <c r="DQ380" s="424">
        <f t="shared" si="63"/>
        <v>0</v>
      </c>
      <c r="DR380" s="424">
        <f t="shared" si="63"/>
        <v>0</v>
      </c>
      <c r="DS380" s="424">
        <f t="shared" si="63"/>
        <v>0</v>
      </c>
      <c r="DT380" s="424">
        <f t="shared" si="63"/>
        <v>0</v>
      </c>
      <c r="DU380" s="424">
        <f t="shared" si="63"/>
        <v>0</v>
      </c>
      <c r="DV380" s="424">
        <f t="shared" si="63"/>
        <v>0</v>
      </c>
      <c r="DW380" s="424">
        <f t="shared" si="63"/>
        <v>0</v>
      </c>
      <c r="DX380" s="424">
        <f t="shared" si="63"/>
        <v>0</v>
      </c>
      <c r="DY380" s="424">
        <f t="shared" si="63"/>
        <v>0</v>
      </c>
      <c r="DZ380" s="424">
        <f t="shared" si="63"/>
        <v>0</v>
      </c>
      <c r="EA380" s="424">
        <f t="shared" si="63"/>
        <v>0</v>
      </c>
      <c r="EB380" s="424">
        <f t="shared" si="63"/>
        <v>0</v>
      </c>
      <c r="EC380" s="424">
        <f t="shared" si="63"/>
        <v>0</v>
      </c>
      <c r="ED380" s="424">
        <f t="shared" si="63"/>
        <v>0</v>
      </c>
      <c r="EE380" s="424">
        <f t="shared" si="63"/>
        <v>0</v>
      </c>
      <c r="EF380" s="424">
        <f t="shared" si="63"/>
        <v>0</v>
      </c>
      <c r="EG380" s="424">
        <f t="shared" si="63"/>
        <v>0</v>
      </c>
      <c r="EH380" s="424">
        <f t="shared" ref="EH380:EX380" si="64">EH10*EH$372</f>
        <v>0</v>
      </c>
      <c r="EI380" s="424">
        <f t="shared" si="64"/>
        <v>0</v>
      </c>
      <c r="EJ380" s="424">
        <f t="shared" si="64"/>
        <v>0</v>
      </c>
      <c r="EK380" s="424">
        <f t="shared" si="64"/>
        <v>0</v>
      </c>
      <c r="EL380" s="424">
        <f t="shared" si="64"/>
        <v>0</v>
      </c>
      <c r="EM380" s="424">
        <f t="shared" si="64"/>
        <v>0</v>
      </c>
      <c r="EN380" s="424">
        <f t="shared" si="64"/>
        <v>0</v>
      </c>
      <c r="EO380" s="424">
        <f t="shared" si="64"/>
        <v>0</v>
      </c>
      <c r="EP380" s="424">
        <f t="shared" si="64"/>
        <v>0</v>
      </c>
      <c r="EQ380" s="424">
        <f t="shared" si="64"/>
        <v>0</v>
      </c>
      <c r="ER380" s="424">
        <f t="shared" si="64"/>
        <v>0</v>
      </c>
      <c r="ES380" s="424">
        <f t="shared" si="64"/>
        <v>0</v>
      </c>
      <c r="ET380" s="424">
        <f t="shared" si="64"/>
        <v>0</v>
      </c>
      <c r="EU380" s="424">
        <f t="shared" si="64"/>
        <v>0</v>
      </c>
      <c r="EV380" s="424">
        <f t="shared" si="64"/>
        <v>1.95</v>
      </c>
      <c r="EW380" s="424">
        <f t="shared" si="64"/>
        <v>0</v>
      </c>
      <c r="EX380" s="424">
        <f t="shared" si="64"/>
        <v>0</v>
      </c>
      <c r="EY380" s="425">
        <f t="shared" si="49"/>
        <v>16.920000000000002</v>
      </c>
    </row>
    <row r="381" spans="1:166" ht="14.7" customHeight="1" x14ac:dyDescent="0.25">
      <c r="A381" s="310">
        <v>7</v>
      </c>
      <c r="B381" s="311" t="str">
        <f t="shared" si="30"/>
        <v>Гамбургер с сосиской молочной</v>
      </c>
      <c r="C381" s="483">
        <f t="shared" si="38"/>
        <v>13.65</v>
      </c>
      <c r="D381" s="888"/>
      <c r="E381" s="888"/>
      <c r="F381" s="888"/>
      <c r="G381" s="889"/>
      <c r="H381" s="680">
        <f t="shared" si="31"/>
        <v>11</v>
      </c>
      <c r="I381" s="1209">
        <f t="shared" si="32"/>
        <v>0</v>
      </c>
      <c r="J381" s="424">
        <f t="shared" ref="J381:AO381" si="65">J11*J$372</f>
        <v>0</v>
      </c>
      <c r="K381" s="424">
        <f t="shared" si="65"/>
        <v>0</v>
      </c>
      <c r="L381" s="424">
        <f t="shared" si="65"/>
        <v>0</v>
      </c>
      <c r="M381" s="424">
        <f t="shared" si="65"/>
        <v>0</v>
      </c>
      <c r="N381" s="424">
        <f t="shared" si="65"/>
        <v>10.08</v>
      </c>
      <c r="O381" s="424">
        <f t="shared" si="65"/>
        <v>0</v>
      </c>
      <c r="P381" s="424">
        <f t="shared" si="65"/>
        <v>0</v>
      </c>
      <c r="Q381" s="424">
        <f t="shared" si="65"/>
        <v>0</v>
      </c>
      <c r="R381" s="424">
        <f t="shared" si="65"/>
        <v>0</v>
      </c>
      <c r="S381" s="424">
        <f t="shared" si="65"/>
        <v>0</v>
      </c>
      <c r="T381" s="424">
        <f t="shared" si="65"/>
        <v>0</v>
      </c>
      <c r="U381" s="424">
        <f t="shared" si="65"/>
        <v>0</v>
      </c>
      <c r="V381" s="424">
        <f t="shared" si="65"/>
        <v>0</v>
      </c>
      <c r="W381" s="424">
        <f t="shared" si="65"/>
        <v>0</v>
      </c>
      <c r="X381" s="424">
        <f t="shared" si="65"/>
        <v>0</v>
      </c>
      <c r="Y381" s="424">
        <f t="shared" si="65"/>
        <v>0</v>
      </c>
      <c r="Z381" s="424">
        <f t="shared" si="65"/>
        <v>0</v>
      </c>
      <c r="AA381" s="424">
        <f t="shared" si="65"/>
        <v>0</v>
      </c>
      <c r="AB381" s="424">
        <f t="shared" si="65"/>
        <v>0</v>
      </c>
      <c r="AC381" s="424">
        <f t="shared" si="65"/>
        <v>0</v>
      </c>
      <c r="AD381" s="424">
        <f t="shared" si="65"/>
        <v>0</v>
      </c>
      <c r="AE381" s="424">
        <f t="shared" si="65"/>
        <v>0</v>
      </c>
      <c r="AF381" s="424">
        <f t="shared" si="65"/>
        <v>0</v>
      </c>
      <c r="AG381" s="424">
        <f t="shared" si="65"/>
        <v>0</v>
      </c>
      <c r="AH381" s="424">
        <f t="shared" si="65"/>
        <v>0</v>
      </c>
      <c r="AI381" s="424">
        <f t="shared" si="65"/>
        <v>0</v>
      </c>
      <c r="AJ381" s="424">
        <f t="shared" si="65"/>
        <v>0</v>
      </c>
      <c r="AK381" s="424">
        <f t="shared" si="65"/>
        <v>0</v>
      </c>
      <c r="AL381" s="424">
        <f t="shared" si="65"/>
        <v>0</v>
      </c>
      <c r="AM381" s="424">
        <f t="shared" si="65"/>
        <v>0</v>
      </c>
      <c r="AN381" s="424">
        <f t="shared" si="65"/>
        <v>0</v>
      </c>
      <c r="AO381" s="424">
        <f t="shared" si="65"/>
        <v>0</v>
      </c>
      <c r="AP381" s="424">
        <f t="shared" ref="AP381:BU381" si="66">AP11*AP$372</f>
        <v>0</v>
      </c>
      <c r="AQ381" s="424">
        <f t="shared" si="66"/>
        <v>0</v>
      </c>
      <c r="AR381" s="424">
        <f t="shared" si="66"/>
        <v>0</v>
      </c>
      <c r="AS381" s="424">
        <f t="shared" si="66"/>
        <v>0</v>
      </c>
      <c r="AT381" s="424">
        <f t="shared" si="66"/>
        <v>0</v>
      </c>
      <c r="AU381" s="424">
        <f t="shared" si="66"/>
        <v>0</v>
      </c>
      <c r="AV381" s="424">
        <f t="shared" si="66"/>
        <v>0</v>
      </c>
      <c r="AW381" s="424">
        <f t="shared" si="66"/>
        <v>0</v>
      </c>
      <c r="AX381" s="424">
        <f t="shared" si="66"/>
        <v>0</v>
      </c>
      <c r="AY381" s="424">
        <f t="shared" si="66"/>
        <v>0</v>
      </c>
      <c r="AZ381" s="424">
        <f t="shared" si="66"/>
        <v>0</v>
      </c>
      <c r="BA381" s="424">
        <f t="shared" si="66"/>
        <v>0</v>
      </c>
      <c r="BB381" s="424">
        <f t="shared" si="66"/>
        <v>0</v>
      </c>
      <c r="BC381" s="424">
        <f t="shared" si="66"/>
        <v>0</v>
      </c>
      <c r="BD381" s="424">
        <f t="shared" si="66"/>
        <v>0</v>
      </c>
      <c r="BE381" s="424">
        <f t="shared" si="66"/>
        <v>0</v>
      </c>
      <c r="BF381" s="424">
        <f t="shared" si="66"/>
        <v>0</v>
      </c>
      <c r="BG381" s="424">
        <f t="shared" si="66"/>
        <v>0</v>
      </c>
      <c r="BH381" s="424">
        <f t="shared" si="66"/>
        <v>0</v>
      </c>
      <c r="BI381" s="424">
        <f t="shared" si="66"/>
        <v>0</v>
      </c>
      <c r="BJ381" s="424">
        <f t="shared" si="66"/>
        <v>0</v>
      </c>
      <c r="BK381" s="424">
        <f t="shared" si="66"/>
        <v>0</v>
      </c>
      <c r="BL381" s="424">
        <f t="shared" si="66"/>
        <v>0</v>
      </c>
      <c r="BM381" s="424">
        <f t="shared" si="66"/>
        <v>0</v>
      </c>
      <c r="BN381" s="424">
        <f t="shared" si="66"/>
        <v>0</v>
      </c>
      <c r="BO381" s="424">
        <f t="shared" si="66"/>
        <v>0</v>
      </c>
      <c r="BP381" s="424">
        <f t="shared" si="66"/>
        <v>0</v>
      </c>
      <c r="BQ381" s="424">
        <f t="shared" si="66"/>
        <v>0</v>
      </c>
      <c r="BR381" s="424">
        <f t="shared" si="66"/>
        <v>0</v>
      </c>
      <c r="BS381" s="424">
        <f t="shared" si="66"/>
        <v>0.88</v>
      </c>
      <c r="BT381" s="424">
        <f t="shared" si="66"/>
        <v>0</v>
      </c>
      <c r="BU381" s="424">
        <f t="shared" si="66"/>
        <v>0</v>
      </c>
      <c r="BV381" s="424">
        <f t="shared" ref="BV381:DA381" si="67">BV11*BV$372</f>
        <v>0</v>
      </c>
      <c r="BW381" s="424">
        <f t="shared" si="67"/>
        <v>0</v>
      </c>
      <c r="BX381" s="424">
        <f t="shared" si="67"/>
        <v>0</v>
      </c>
      <c r="BY381" s="424">
        <f t="shared" si="67"/>
        <v>0</v>
      </c>
      <c r="BZ381" s="424">
        <f t="shared" si="67"/>
        <v>0</v>
      </c>
      <c r="CA381" s="424">
        <f t="shared" si="67"/>
        <v>0</v>
      </c>
      <c r="CB381" s="424">
        <f t="shared" si="67"/>
        <v>0</v>
      </c>
      <c r="CC381" s="424">
        <f t="shared" si="67"/>
        <v>0</v>
      </c>
      <c r="CD381" s="424">
        <f t="shared" si="67"/>
        <v>0</v>
      </c>
      <c r="CE381" s="424">
        <f t="shared" si="67"/>
        <v>0.14000000000000001</v>
      </c>
      <c r="CF381" s="424">
        <f t="shared" si="67"/>
        <v>0.01</v>
      </c>
      <c r="CG381" s="424">
        <f t="shared" si="67"/>
        <v>0</v>
      </c>
      <c r="CH381" s="424">
        <f t="shared" si="67"/>
        <v>0</v>
      </c>
      <c r="CI381" s="424">
        <f t="shared" si="67"/>
        <v>0</v>
      </c>
      <c r="CJ381" s="424">
        <f t="shared" si="67"/>
        <v>0</v>
      </c>
      <c r="CK381" s="424">
        <f t="shared" si="67"/>
        <v>0</v>
      </c>
      <c r="CL381" s="424">
        <f t="shared" si="67"/>
        <v>0.11</v>
      </c>
      <c r="CM381" s="424">
        <f t="shared" si="67"/>
        <v>0</v>
      </c>
      <c r="CN381" s="424">
        <f t="shared" si="67"/>
        <v>0</v>
      </c>
      <c r="CO381" s="424">
        <f t="shared" si="67"/>
        <v>0</v>
      </c>
      <c r="CP381" s="424">
        <f t="shared" si="67"/>
        <v>0.75</v>
      </c>
      <c r="CQ381" s="424">
        <f t="shared" si="67"/>
        <v>0</v>
      </c>
      <c r="CR381" s="424">
        <f t="shared" si="67"/>
        <v>0</v>
      </c>
      <c r="CS381" s="424">
        <f t="shared" si="67"/>
        <v>0</v>
      </c>
      <c r="CT381" s="424">
        <f t="shared" si="67"/>
        <v>1.56</v>
      </c>
      <c r="CU381" s="424">
        <f t="shared" si="67"/>
        <v>0</v>
      </c>
      <c r="CV381" s="424">
        <f t="shared" si="67"/>
        <v>0</v>
      </c>
      <c r="CW381" s="424">
        <f t="shared" si="67"/>
        <v>0</v>
      </c>
      <c r="CX381" s="424">
        <f t="shared" si="67"/>
        <v>0</v>
      </c>
      <c r="CY381" s="424">
        <f t="shared" si="67"/>
        <v>0</v>
      </c>
      <c r="CZ381" s="424">
        <f t="shared" si="67"/>
        <v>0.11</v>
      </c>
      <c r="DA381" s="424">
        <f t="shared" si="67"/>
        <v>0</v>
      </c>
      <c r="DB381" s="424">
        <f t="shared" ref="DB381:EG381" si="68">DB11*DB$372</f>
        <v>0</v>
      </c>
      <c r="DC381" s="424">
        <f t="shared" si="68"/>
        <v>0.01</v>
      </c>
      <c r="DD381" s="424">
        <f t="shared" si="68"/>
        <v>0</v>
      </c>
      <c r="DE381" s="424">
        <f t="shared" si="68"/>
        <v>0</v>
      </c>
      <c r="DF381" s="424">
        <f t="shared" si="68"/>
        <v>0</v>
      </c>
      <c r="DG381" s="424">
        <f t="shared" si="68"/>
        <v>0</v>
      </c>
      <c r="DH381" s="424">
        <f t="shared" si="68"/>
        <v>0</v>
      </c>
      <c r="DI381" s="424">
        <f t="shared" si="68"/>
        <v>0</v>
      </c>
      <c r="DJ381" s="424">
        <f t="shared" si="68"/>
        <v>0</v>
      </c>
      <c r="DK381" s="424">
        <f t="shared" si="68"/>
        <v>0</v>
      </c>
      <c r="DL381" s="424">
        <f t="shared" si="68"/>
        <v>0</v>
      </c>
      <c r="DM381" s="424">
        <f t="shared" si="68"/>
        <v>0</v>
      </c>
      <c r="DN381" s="424">
        <f t="shared" si="68"/>
        <v>0</v>
      </c>
      <c r="DO381" s="424">
        <f t="shared" si="68"/>
        <v>0</v>
      </c>
      <c r="DP381" s="424">
        <f t="shared" si="68"/>
        <v>0</v>
      </c>
      <c r="DQ381" s="424">
        <f t="shared" si="68"/>
        <v>0</v>
      </c>
      <c r="DR381" s="424">
        <f t="shared" si="68"/>
        <v>0</v>
      </c>
      <c r="DS381" s="424">
        <f t="shared" si="68"/>
        <v>0</v>
      </c>
      <c r="DT381" s="424">
        <f t="shared" si="68"/>
        <v>0</v>
      </c>
      <c r="DU381" s="424">
        <f t="shared" si="68"/>
        <v>0</v>
      </c>
      <c r="DV381" s="424">
        <f t="shared" si="68"/>
        <v>0</v>
      </c>
      <c r="DW381" s="424">
        <f t="shared" si="68"/>
        <v>0</v>
      </c>
      <c r="DX381" s="424">
        <f t="shared" si="68"/>
        <v>0</v>
      </c>
      <c r="DY381" s="424">
        <f t="shared" si="68"/>
        <v>0</v>
      </c>
      <c r="DZ381" s="424">
        <f t="shared" si="68"/>
        <v>0</v>
      </c>
      <c r="EA381" s="424">
        <f t="shared" si="68"/>
        <v>0</v>
      </c>
      <c r="EB381" s="424">
        <f t="shared" si="68"/>
        <v>0</v>
      </c>
      <c r="EC381" s="424">
        <f t="shared" si="68"/>
        <v>0</v>
      </c>
      <c r="ED381" s="424">
        <f t="shared" si="68"/>
        <v>0</v>
      </c>
      <c r="EE381" s="424">
        <f t="shared" si="68"/>
        <v>0</v>
      </c>
      <c r="EF381" s="424">
        <f t="shared" si="68"/>
        <v>0</v>
      </c>
      <c r="EG381" s="424">
        <f t="shared" si="68"/>
        <v>0</v>
      </c>
      <c r="EH381" s="424">
        <f t="shared" ref="EH381:EX381" si="69">EH11*EH$372</f>
        <v>0</v>
      </c>
      <c r="EI381" s="424">
        <f t="shared" si="69"/>
        <v>0</v>
      </c>
      <c r="EJ381" s="424">
        <f t="shared" si="69"/>
        <v>0</v>
      </c>
      <c r="EK381" s="424">
        <f t="shared" si="69"/>
        <v>0</v>
      </c>
      <c r="EL381" s="424">
        <f t="shared" si="69"/>
        <v>0</v>
      </c>
      <c r="EM381" s="424">
        <f t="shared" si="69"/>
        <v>0</v>
      </c>
      <c r="EN381" s="424">
        <f t="shared" si="69"/>
        <v>0</v>
      </c>
      <c r="EO381" s="424">
        <f t="shared" si="69"/>
        <v>0</v>
      </c>
      <c r="EP381" s="424">
        <f t="shared" si="69"/>
        <v>0</v>
      </c>
      <c r="EQ381" s="424">
        <f t="shared" si="69"/>
        <v>0</v>
      </c>
      <c r="ER381" s="424">
        <f t="shared" si="69"/>
        <v>0</v>
      </c>
      <c r="ES381" s="424">
        <f t="shared" si="69"/>
        <v>0</v>
      </c>
      <c r="ET381" s="424">
        <f t="shared" si="69"/>
        <v>0</v>
      </c>
      <c r="EU381" s="424">
        <f t="shared" si="69"/>
        <v>0</v>
      </c>
      <c r="EV381" s="424">
        <f t="shared" si="69"/>
        <v>0</v>
      </c>
      <c r="EW381" s="424">
        <f t="shared" si="69"/>
        <v>0</v>
      </c>
      <c r="EX381" s="424">
        <f t="shared" si="69"/>
        <v>0</v>
      </c>
      <c r="EY381" s="425">
        <f t="shared" si="49"/>
        <v>13.65</v>
      </c>
    </row>
    <row r="382" spans="1:166" ht="14.7" customHeight="1" x14ac:dyDescent="0.25">
      <c r="A382" s="310">
        <v>8</v>
      </c>
      <c r="B382" s="311" t="str">
        <f t="shared" si="30"/>
        <v>Чизбургер</v>
      </c>
      <c r="C382" s="483">
        <f t="shared" si="38"/>
        <v>12.48</v>
      </c>
      <c r="D382" s="888"/>
      <c r="E382" s="888"/>
      <c r="F382" s="888"/>
      <c r="G382" s="889"/>
      <c r="H382" s="680">
        <f t="shared" si="31"/>
        <v>13</v>
      </c>
      <c r="I382" s="1209">
        <f t="shared" si="32"/>
        <v>0</v>
      </c>
      <c r="J382" s="424">
        <f t="shared" ref="J382:AO382" si="70">J12*J$372</f>
        <v>0</v>
      </c>
      <c r="K382" s="424">
        <f t="shared" si="70"/>
        <v>0</v>
      </c>
      <c r="L382" s="424">
        <f t="shared" si="70"/>
        <v>0</v>
      </c>
      <c r="M382" s="424">
        <f t="shared" si="70"/>
        <v>0</v>
      </c>
      <c r="N382" s="424">
        <f t="shared" si="70"/>
        <v>0</v>
      </c>
      <c r="O382" s="424">
        <f t="shared" si="70"/>
        <v>0</v>
      </c>
      <c r="P382" s="424">
        <f t="shared" si="70"/>
        <v>0</v>
      </c>
      <c r="Q382" s="424">
        <f t="shared" si="70"/>
        <v>0</v>
      </c>
      <c r="R382" s="424">
        <f t="shared" si="70"/>
        <v>0</v>
      </c>
      <c r="S382" s="424">
        <f t="shared" si="70"/>
        <v>0</v>
      </c>
      <c r="T382" s="424">
        <f t="shared" si="70"/>
        <v>0</v>
      </c>
      <c r="U382" s="424">
        <f t="shared" si="70"/>
        <v>0</v>
      </c>
      <c r="V382" s="424">
        <f t="shared" si="70"/>
        <v>0</v>
      </c>
      <c r="W382" s="424">
        <f t="shared" si="70"/>
        <v>7.41</v>
      </c>
      <c r="X382" s="424">
        <f t="shared" si="70"/>
        <v>0</v>
      </c>
      <c r="Y382" s="424">
        <f t="shared" si="70"/>
        <v>0</v>
      </c>
      <c r="Z382" s="424">
        <f t="shared" si="70"/>
        <v>0</v>
      </c>
      <c r="AA382" s="424">
        <f t="shared" si="70"/>
        <v>0</v>
      </c>
      <c r="AB382" s="424">
        <f t="shared" si="70"/>
        <v>0</v>
      </c>
      <c r="AC382" s="424">
        <f t="shared" si="70"/>
        <v>0</v>
      </c>
      <c r="AD382" s="424">
        <f t="shared" si="70"/>
        <v>0</v>
      </c>
      <c r="AE382" s="424">
        <f t="shared" si="70"/>
        <v>0.7</v>
      </c>
      <c r="AF382" s="424">
        <f t="shared" si="70"/>
        <v>0</v>
      </c>
      <c r="AG382" s="424">
        <f t="shared" si="70"/>
        <v>0</v>
      </c>
      <c r="AH382" s="424">
        <f t="shared" si="70"/>
        <v>0</v>
      </c>
      <c r="AI382" s="424">
        <f t="shared" si="70"/>
        <v>0</v>
      </c>
      <c r="AJ382" s="424">
        <f t="shared" si="70"/>
        <v>0</v>
      </c>
      <c r="AK382" s="424">
        <f t="shared" si="70"/>
        <v>0</v>
      </c>
      <c r="AL382" s="424">
        <f t="shared" si="70"/>
        <v>0</v>
      </c>
      <c r="AM382" s="424">
        <f t="shared" si="70"/>
        <v>0</v>
      </c>
      <c r="AN382" s="424">
        <f t="shared" si="70"/>
        <v>0</v>
      </c>
      <c r="AO382" s="424">
        <f t="shared" si="70"/>
        <v>0</v>
      </c>
      <c r="AP382" s="424">
        <f t="shared" ref="AP382:BU382" si="71">AP12*AP$372</f>
        <v>0.8</v>
      </c>
      <c r="AQ382" s="424">
        <f t="shared" si="71"/>
        <v>0</v>
      </c>
      <c r="AR382" s="424">
        <f t="shared" si="71"/>
        <v>0</v>
      </c>
      <c r="AS382" s="424">
        <f t="shared" si="71"/>
        <v>0</v>
      </c>
      <c r="AT382" s="424">
        <f t="shared" si="71"/>
        <v>0</v>
      </c>
      <c r="AU382" s="424">
        <f t="shared" si="71"/>
        <v>0</v>
      </c>
      <c r="AV382" s="424">
        <f t="shared" si="71"/>
        <v>0</v>
      </c>
      <c r="AW382" s="424">
        <f t="shared" si="71"/>
        <v>0</v>
      </c>
      <c r="AX382" s="424">
        <f t="shared" si="71"/>
        <v>0</v>
      </c>
      <c r="AY382" s="424">
        <f t="shared" si="71"/>
        <v>0</v>
      </c>
      <c r="AZ382" s="424">
        <f t="shared" si="71"/>
        <v>0</v>
      </c>
      <c r="BA382" s="424">
        <f t="shared" si="71"/>
        <v>0</v>
      </c>
      <c r="BB382" s="424">
        <f t="shared" si="71"/>
        <v>0</v>
      </c>
      <c r="BC382" s="424">
        <f t="shared" si="71"/>
        <v>0</v>
      </c>
      <c r="BD382" s="424">
        <f t="shared" si="71"/>
        <v>0</v>
      </c>
      <c r="BE382" s="424">
        <f t="shared" si="71"/>
        <v>0</v>
      </c>
      <c r="BF382" s="424">
        <f t="shared" si="71"/>
        <v>0</v>
      </c>
      <c r="BG382" s="424">
        <f t="shared" si="71"/>
        <v>0</v>
      </c>
      <c r="BH382" s="424">
        <f t="shared" si="71"/>
        <v>0</v>
      </c>
      <c r="BI382" s="424">
        <f t="shared" si="71"/>
        <v>0</v>
      </c>
      <c r="BJ382" s="424">
        <f t="shared" si="71"/>
        <v>0</v>
      </c>
      <c r="BK382" s="424">
        <f t="shared" si="71"/>
        <v>0</v>
      </c>
      <c r="BL382" s="424">
        <f t="shared" si="71"/>
        <v>0</v>
      </c>
      <c r="BM382" s="424">
        <f t="shared" si="71"/>
        <v>0</v>
      </c>
      <c r="BN382" s="424">
        <f t="shared" si="71"/>
        <v>0</v>
      </c>
      <c r="BO382" s="424">
        <f t="shared" si="71"/>
        <v>0</v>
      </c>
      <c r="BP382" s="424">
        <f t="shared" si="71"/>
        <v>0</v>
      </c>
      <c r="BQ382" s="424">
        <f t="shared" si="71"/>
        <v>0</v>
      </c>
      <c r="BR382" s="424">
        <f t="shared" si="71"/>
        <v>0</v>
      </c>
      <c r="BS382" s="424">
        <f t="shared" si="71"/>
        <v>0.88</v>
      </c>
      <c r="BT382" s="424">
        <f t="shared" si="71"/>
        <v>0</v>
      </c>
      <c r="BU382" s="424">
        <f t="shared" si="71"/>
        <v>0</v>
      </c>
      <c r="BV382" s="424">
        <f t="shared" ref="BV382:DA382" si="72">BV12*BV$372</f>
        <v>0</v>
      </c>
      <c r="BW382" s="424">
        <f t="shared" si="72"/>
        <v>0</v>
      </c>
      <c r="BX382" s="424">
        <f t="shared" si="72"/>
        <v>0</v>
      </c>
      <c r="BY382" s="424">
        <f t="shared" si="72"/>
        <v>0</v>
      </c>
      <c r="BZ382" s="424">
        <f t="shared" si="72"/>
        <v>0</v>
      </c>
      <c r="CA382" s="424">
        <f t="shared" si="72"/>
        <v>0</v>
      </c>
      <c r="CB382" s="424">
        <f t="shared" si="72"/>
        <v>0</v>
      </c>
      <c r="CC382" s="424">
        <f t="shared" si="72"/>
        <v>0</v>
      </c>
      <c r="CD382" s="424">
        <f t="shared" si="72"/>
        <v>0</v>
      </c>
      <c r="CE382" s="424">
        <f t="shared" si="72"/>
        <v>0.14000000000000001</v>
      </c>
      <c r="CF382" s="424">
        <f t="shared" si="72"/>
        <v>0.01</v>
      </c>
      <c r="CG382" s="424">
        <f t="shared" si="72"/>
        <v>0</v>
      </c>
      <c r="CH382" s="424">
        <f t="shared" si="72"/>
        <v>0</v>
      </c>
      <c r="CI382" s="424">
        <f t="shared" si="72"/>
        <v>0</v>
      </c>
      <c r="CJ382" s="424">
        <f t="shared" si="72"/>
        <v>0</v>
      </c>
      <c r="CK382" s="424">
        <f t="shared" si="72"/>
        <v>0</v>
      </c>
      <c r="CL382" s="424">
        <f t="shared" si="72"/>
        <v>0.11</v>
      </c>
      <c r="CM382" s="424">
        <f t="shared" si="72"/>
        <v>0</v>
      </c>
      <c r="CN382" s="424">
        <f t="shared" si="72"/>
        <v>0</v>
      </c>
      <c r="CO382" s="424">
        <f t="shared" si="72"/>
        <v>0</v>
      </c>
      <c r="CP382" s="424">
        <f t="shared" si="72"/>
        <v>0.75</v>
      </c>
      <c r="CQ382" s="424">
        <f t="shared" si="72"/>
        <v>0</v>
      </c>
      <c r="CR382" s="424">
        <f t="shared" si="72"/>
        <v>0</v>
      </c>
      <c r="CS382" s="424">
        <f t="shared" si="72"/>
        <v>0</v>
      </c>
      <c r="CT382" s="424">
        <f t="shared" si="72"/>
        <v>1.56</v>
      </c>
      <c r="CU382" s="424">
        <f t="shared" si="72"/>
        <v>0</v>
      </c>
      <c r="CV382" s="424">
        <f t="shared" si="72"/>
        <v>0</v>
      </c>
      <c r="CW382" s="424">
        <f t="shared" si="72"/>
        <v>0</v>
      </c>
      <c r="CX382" s="424">
        <f t="shared" si="72"/>
        <v>0</v>
      </c>
      <c r="CY382" s="424">
        <f t="shared" si="72"/>
        <v>0</v>
      </c>
      <c r="CZ382" s="424">
        <f t="shared" si="72"/>
        <v>0.11</v>
      </c>
      <c r="DA382" s="424">
        <f t="shared" si="72"/>
        <v>0</v>
      </c>
      <c r="DB382" s="424">
        <f t="shared" ref="DB382:EG382" si="73">DB12*DB$372</f>
        <v>0</v>
      </c>
      <c r="DC382" s="424">
        <f t="shared" si="73"/>
        <v>0.01</v>
      </c>
      <c r="DD382" s="424">
        <f t="shared" si="73"/>
        <v>0</v>
      </c>
      <c r="DE382" s="424">
        <f t="shared" si="73"/>
        <v>0</v>
      </c>
      <c r="DF382" s="424">
        <f t="shared" si="73"/>
        <v>0</v>
      </c>
      <c r="DG382" s="424">
        <f t="shared" si="73"/>
        <v>0</v>
      </c>
      <c r="DH382" s="424">
        <f t="shared" si="73"/>
        <v>0</v>
      </c>
      <c r="DI382" s="424">
        <f t="shared" si="73"/>
        <v>0</v>
      </c>
      <c r="DJ382" s="424">
        <f t="shared" si="73"/>
        <v>0</v>
      </c>
      <c r="DK382" s="424">
        <f t="shared" si="73"/>
        <v>0</v>
      </c>
      <c r="DL382" s="424">
        <f t="shared" si="73"/>
        <v>0</v>
      </c>
      <c r="DM382" s="424">
        <f t="shared" si="73"/>
        <v>0</v>
      </c>
      <c r="DN382" s="424">
        <f t="shared" si="73"/>
        <v>0</v>
      </c>
      <c r="DO382" s="424">
        <f t="shared" si="73"/>
        <v>0</v>
      </c>
      <c r="DP382" s="424">
        <f t="shared" si="73"/>
        <v>0</v>
      </c>
      <c r="DQ382" s="424">
        <f t="shared" si="73"/>
        <v>0</v>
      </c>
      <c r="DR382" s="424">
        <f t="shared" si="73"/>
        <v>0</v>
      </c>
      <c r="DS382" s="424">
        <f t="shared" si="73"/>
        <v>0</v>
      </c>
      <c r="DT382" s="424">
        <f t="shared" si="73"/>
        <v>0</v>
      </c>
      <c r="DU382" s="424">
        <f t="shared" si="73"/>
        <v>0</v>
      </c>
      <c r="DV382" s="424">
        <f t="shared" si="73"/>
        <v>0</v>
      </c>
      <c r="DW382" s="424">
        <f t="shared" si="73"/>
        <v>0</v>
      </c>
      <c r="DX382" s="424">
        <f t="shared" si="73"/>
        <v>0</v>
      </c>
      <c r="DY382" s="424">
        <f t="shared" si="73"/>
        <v>0</v>
      </c>
      <c r="DZ382" s="424">
        <f t="shared" si="73"/>
        <v>0</v>
      </c>
      <c r="EA382" s="424">
        <f t="shared" si="73"/>
        <v>0</v>
      </c>
      <c r="EB382" s="424">
        <f t="shared" si="73"/>
        <v>0</v>
      </c>
      <c r="EC382" s="424">
        <f t="shared" si="73"/>
        <v>0</v>
      </c>
      <c r="ED382" s="424">
        <f t="shared" si="73"/>
        <v>0</v>
      </c>
      <c r="EE382" s="424">
        <f t="shared" si="73"/>
        <v>0</v>
      </c>
      <c r="EF382" s="424">
        <f t="shared" si="73"/>
        <v>0</v>
      </c>
      <c r="EG382" s="424">
        <f t="shared" si="73"/>
        <v>0</v>
      </c>
      <c r="EH382" s="424">
        <f t="shared" ref="EH382:EX382" si="74">EH12*EH$372</f>
        <v>0</v>
      </c>
      <c r="EI382" s="424">
        <f t="shared" si="74"/>
        <v>0</v>
      </c>
      <c r="EJ382" s="424">
        <f t="shared" si="74"/>
        <v>0</v>
      </c>
      <c r="EK382" s="424">
        <f t="shared" si="74"/>
        <v>0</v>
      </c>
      <c r="EL382" s="424">
        <f t="shared" si="74"/>
        <v>0</v>
      </c>
      <c r="EM382" s="424">
        <f t="shared" si="74"/>
        <v>0</v>
      </c>
      <c r="EN382" s="424">
        <f t="shared" si="74"/>
        <v>0</v>
      </c>
      <c r="EO382" s="424">
        <f t="shared" si="74"/>
        <v>0</v>
      </c>
      <c r="EP382" s="424">
        <f t="shared" si="74"/>
        <v>0</v>
      </c>
      <c r="EQ382" s="424">
        <f t="shared" si="74"/>
        <v>0</v>
      </c>
      <c r="ER382" s="424">
        <f t="shared" si="74"/>
        <v>0</v>
      </c>
      <c r="ES382" s="424">
        <f t="shared" si="74"/>
        <v>0</v>
      </c>
      <c r="ET382" s="424">
        <f t="shared" si="74"/>
        <v>0</v>
      </c>
      <c r="EU382" s="424">
        <f t="shared" si="74"/>
        <v>0</v>
      </c>
      <c r="EV382" s="424">
        <f t="shared" si="74"/>
        <v>0</v>
      </c>
      <c r="EW382" s="424">
        <f t="shared" si="74"/>
        <v>0</v>
      </c>
      <c r="EX382" s="424">
        <f t="shared" si="74"/>
        <v>0</v>
      </c>
      <c r="EY382" s="425">
        <f t="shared" si="49"/>
        <v>12.48</v>
      </c>
    </row>
    <row r="383" spans="1:166" ht="14.7" customHeight="1" x14ac:dyDescent="0.25">
      <c r="A383" s="310">
        <v>9</v>
      </c>
      <c r="B383" s="311" t="str">
        <f t="shared" si="30"/>
        <v>Масло сливочное (порциями)</v>
      </c>
      <c r="C383" s="483">
        <f t="shared" si="38"/>
        <v>7.1</v>
      </c>
      <c r="D383" s="888"/>
      <c r="E383" s="888"/>
      <c r="F383" s="888"/>
      <c r="G383" s="889"/>
      <c r="H383" s="680">
        <f t="shared" si="31"/>
        <v>14</v>
      </c>
      <c r="I383" s="1209">
        <f t="shared" si="32"/>
        <v>0</v>
      </c>
      <c r="J383" s="424">
        <f t="shared" ref="J383:AO383" si="75">J13*J$372</f>
        <v>0</v>
      </c>
      <c r="K383" s="424">
        <f t="shared" si="75"/>
        <v>0</v>
      </c>
      <c r="L383" s="424">
        <f t="shared" si="75"/>
        <v>0</v>
      </c>
      <c r="M383" s="424">
        <f t="shared" si="75"/>
        <v>0</v>
      </c>
      <c r="N383" s="424">
        <f t="shared" si="75"/>
        <v>0</v>
      </c>
      <c r="O383" s="424">
        <f t="shared" si="75"/>
        <v>0</v>
      </c>
      <c r="P383" s="424">
        <f t="shared" si="75"/>
        <v>0</v>
      </c>
      <c r="Q383" s="424">
        <f t="shared" si="75"/>
        <v>0</v>
      </c>
      <c r="R383" s="424">
        <f t="shared" si="75"/>
        <v>0</v>
      </c>
      <c r="S383" s="424">
        <f t="shared" si="75"/>
        <v>0</v>
      </c>
      <c r="T383" s="424">
        <f t="shared" si="75"/>
        <v>0</v>
      </c>
      <c r="U383" s="424">
        <f t="shared" si="75"/>
        <v>0</v>
      </c>
      <c r="V383" s="424">
        <f t="shared" si="75"/>
        <v>7.1</v>
      </c>
      <c r="W383" s="424">
        <f t="shared" si="75"/>
        <v>0</v>
      </c>
      <c r="X383" s="424">
        <f t="shared" si="75"/>
        <v>0</v>
      </c>
      <c r="Y383" s="424">
        <f t="shared" si="75"/>
        <v>0</v>
      </c>
      <c r="Z383" s="424">
        <f t="shared" si="75"/>
        <v>0</v>
      </c>
      <c r="AA383" s="424">
        <f t="shared" si="75"/>
        <v>0</v>
      </c>
      <c r="AB383" s="424">
        <f t="shared" si="75"/>
        <v>0</v>
      </c>
      <c r="AC383" s="424">
        <f t="shared" si="75"/>
        <v>0</v>
      </c>
      <c r="AD383" s="424">
        <f t="shared" si="75"/>
        <v>0</v>
      </c>
      <c r="AE383" s="424">
        <f t="shared" si="75"/>
        <v>0</v>
      </c>
      <c r="AF383" s="424">
        <f t="shared" si="75"/>
        <v>0</v>
      </c>
      <c r="AG383" s="424">
        <f t="shared" si="75"/>
        <v>0</v>
      </c>
      <c r="AH383" s="424">
        <f t="shared" si="75"/>
        <v>0</v>
      </c>
      <c r="AI383" s="424">
        <f t="shared" si="75"/>
        <v>0</v>
      </c>
      <c r="AJ383" s="424">
        <f t="shared" si="75"/>
        <v>0</v>
      </c>
      <c r="AK383" s="424">
        <f t="shared" si="75"/>
        <v>0</v>
      </c>
      <c r="AL383" s="424">
        <f t="shared" si="75"/>
        <v>0</v>
      </c>
      <c r="AM383" s="424">
        <f t="shared" si="75"/>
        <v>0</v>
      </c>
      <c r="AN383" s="424">
        <f t="shared" si="75"/>
        <v>0</v>
      </c>
      <c r="AO383" s="424">
        <f t="shared" si="75"/>
        <v>0</v>
      </c>
      <c r="AP383" s="424">
        <f t="shared" ref="AP383:BU383" si="76">AP13*AP$372</f>
        <v>0</v>
      </c>
      <c r="AQ383" s="424">
        <f t="shared" si="76"/>
        <v>0</v>
      </c>
      <c r="AR383" s="424">
        <f t="shared" si="76"/>
        <v>0</v>
      </c>
      <c r="AS383" s="424">
        <f t="shared" si="76"/>
        <v>0</v>
      </c>
      <c r="AT383" s="424">
        <f t="shared" si="76"/>
        <v>0</v>
      </c>
      <c r="AU383" s="424">
        <f t="shared" si="76"/>
        <v>0</v>
      </c>
      <c r="AV383" s="424">
        <f t="shared" si="76"/>
        <v>0</v>
      </c>
      <c r="AW383" s="424">
        <f t="shared" si="76"/>
        <v>0</v>
      </c>
      <c r="AX383" s="424">
        <f t="shared" si="76"/>
        <v>0</v>
      </c>
      <c r="AY383" s="424">
        <f t="shared" si="76"/>
        <v>0</v>
      </c>
      <c r="AZ383" s="424">
        <f t="shared" si="76"/>
        <v>0</v>
      </c>
      <c r="BA383" s="424">
        <f t="shared" si="76"/>
        <v>0</v>
      </c>
      <c r="BB383" s="424">
        <f t="shared" si="76"/>
        <v>0</v>
      </c>
      <c r="BC383" s="424">
        <f t="shared" si="76"/>
        <v>0</v>
      </c>
      <c r="BD383" s="424">
        <f t="shared" si="76"/>
        <v>0</v>
      </c>
      <c r="BE383" s="424">
        <f t="shared" si="76"/>
        <v>0</v>
      </c>
      <c r="BF383" s="424">
        <f t="shared" si="76"/>
        <v>0</v>
      </c>
      <c r="BG383" s="424">
        <f t="shared" si="76"/>
        <v>0</v>
      </c>
      <c r="BH383" s="424">
        <f t="shared" si="76"/>
        <v>0</v>
      </c>
      <c r="BI383" s="424">
        <f t="shared" si="76"/>
        <v>0</v>
      </c>
      <c r="BJ383" s="424">
        <f t="shared" si="76"/>
        <v>0</v>
      </c>
      <c r="BK383" s="424">
        <f t="shared" si="76"/>
        <v>0</v>
      </c>
      <c r="BL383" s="424">
        <f t="shared" si="76"/>
        <v>0</v>
      </c>
      <c r="BM383" s="424">
        <f t="shared" si="76"/>
        <v>0</v>
      </c>
      <c r="BN383" s="424">
        <f t="shared" si="76"/>
        <v>0</v>
      </c>
      <c r="BO383" s="424">
        <f t="shared" si="76"/>
        <v>0</v>
      </c>
      <c r="BP383" s="424">
        <f t="shared" si="76"/>
        <v>0</v>
      </c>
      <c r="BQ383" s="424">
        <f t="shared" si="76"/>
        <v>0</v>
      </c>
      <c r="BR383" s="424">
        <f t="shared" si="76"/>
        <v>0</v>
      </c>
      <c r="BS383" s="424">
        <f t="shared" si="76"/>
        <v>0</v>
      </c>
      <c r="BT383" s="424">
        <f t="shared" si="76"/>
        <v>0</v>
      </c>
      <c r="BU383" s="424">
        <f t="shared" si="76"/>
        <v>0</v>
      </c>
      <c r="BV383" s="424">
        <f t="shared" ref="BV383:DA383" si="77">BV13*BV$372</f>
        <v>0</v>
      </c>
      <c r="BW383" s="424">
        <f t="shared" si="77"/>
        <v>0</v>
      </c>
      <c r="BX383" s="424">
        <f t="shared" si="77"/>
        <v>0</v>
      </c>
      <c r="BY383" s="424">
        <f t="shared" si="77"/>
        <v>0</v>
      </c>
      <c r="BZ383" s="424">
        <f t="shared" si="77"/>
        <v>0</v>
      </c>
      <c r="CA383" s="424">
        <f t="shared" si="77"/>
        <v>0</v>
      </c>
      <c r="CB383" s="424">
        <f t="shared" si="77"/>
        <v>0</v>
      </c>
      <c r="CC383" s="424">
        <f t="shared" si="77"/>
        <v>0</v>
      </c>
      <c r="CD383" s="424">
        <f t="shared" si="77"/>
        <v>0</v>
      </c>
      <c r="CE383" s="424">
        <f t="shared" si="77"/>
        <v>0</v>
      </c>
      <c r="CF383" s="424">
        <f t="shared" si="77"/>
        <v>0</v>
      </c>
      <c r="CG383" s="424">
        <f t="shared" si="77"/>
        <v>0</v>
      </c>
      <c r="CH383" s="424">
        <f t="shared" si="77"/>
        <v>0</v>
      </c>
      <c r="CI383" s="424">
        <f t="shared" si="77"/>
        <v>0</v>
      </c>
      <c r="CJ383" s="424">
        <f t="shared" si="77"/>
        <v>0</v>
      </c>
      <c r="CK383" s="424">
        <f t="shared" si="77"/>
        <v>0</v>
      </c>
      <c r="CL383" s="424">
        <f t="shared" si="77"/>
        <v>0</v>
      </c>
      <c r="CM383" s="424">
        <f t="shared" si="77"/>
        <v>0</v>
      </c>
      <c r="CN383" s="424">
        <f t="shared" si="77"/>
        <v>0</v>
      </c>
      <c r="CO383" s="424">
        <f t="shared" si="77"/>
        <v>0</v>
      </c>
      <c r="CP383" s="424">
        <f t="shared" si="77"/>
        <v>0</v>
      </c>
      <c r="CQ383" s="424">
        <f t="shared" si="77"/>
        <v>0</v>
      </c>
      <c r="CR383" s="424">
        <f t="shared" si="77"/>
        <v>0</v>
      </c>
      <c r="CS383" s="424">
        <f t="shared" si="77"/>
        <v>0</v>
      </c>
      <c r="CT383" s="424">
        <f t="shared" si="77"/>
        <v>0</v>
      </c>
      <c r="CU383" s="424">
        <f t="shared" si="77"/>
        <v>0</v>
      </c>
      <c r="CV383" s="424">
        <f t="shared" si="77"/>
        <v>0</v>
      </c>
      <c r="CW383" s="424">
        <f t="shared" si="77"/>
        <v>0</v>
      </c>
      <c r="CX383" s="424">
        <f t="shared" si="77"/>
        <v>0</v>
      </c>
      <c r="CY383" s="424">
        <f t="shared" si="77"/>
        <v>0</v>
      </c>
      <c r="CZ383" s="424">
        <f t="shared" si="77"/>
        <v>0</v>
      </c>
      <c r="DA383" s="424">
        <f t="shared" si="77"/>
        <v>0</v>
      </c>
      <c r="DB383" s="424">
        <f t="shared" ref="DB383:EG383" si="78">DB13*DB$372</f>
        <v>0</v>
      </c>
      <c r="DC383" s="424">
        <f t="shared" si="78"/>
        <v>0</v>
      </c>
      <c r="DD383" s="424">
        <f t="shared" si="78"/>
        <v>0</v>
      </c>
      <c r="DE383" s="424">
        <f t="shared" si="78"/>
        <v>0</v>
      </c>
      <c r="DF383" s="424">
        <f t="shared" si="78"/>
        <v>0</v>
      </c>
      <c r="DG383" s="424">
        <f t="shared" si="78"/>
        <v>0</v>
      </c>
      <c r="DH383" s="424">
        <f t="shared" si="78"/>
        <v>0</v>
      </c>
      <c r="DI383" s="424">
        <f t="shared" si="78"/>
        <v>0</v>
      </c>
      <c r="DJ383" s="424">
        <f t="shared" si="78"/>
        <v>0</v>
      </c>
      <c r="DK383" s="424">
        <f t="shared" si="78"/>
        <v>0</v>
      </c>
      <c r="DL383" s="424">
        <f t="shared" si="78"/>
        <v>0</v>
      </c>
      <c r="DM383" s="424">
        <f t="shared" si="78"/>
        <v>0</v>
      </c>
      <c r="DN383" s="424">
        <f t="shared" si="78"/>
        <v>0</v>
      </c>
      <c r="DO383" s="424">
        <f t="shared" si="78"/>
        <v>0</v>
      </c>
      <c r="DP383" s="424">
        <f t="shared" si="78"/>
        <v>0</v>
      </c>
      <c r="DQ383" s="424">
        <f t="shared" si="78"/>
        <v>0</v>
      </c>
      <c r="DR383" s="424">
        <f t="shared" si="78"/>
        <v>0</v>
      </c>
      <c r="DS383" s="424">
        <f t="shared" si="78"/>
        <v>0</v>
      </c>
      <c r="DT383" s="424">
        <f t="shared" si="78"/>
        <v>0</v>
      </c>
      <c r="DU383" s="424">
        <f t="shared" si="78"/>
        <v>0</v>
      </c>
      <c r="DV383" s="424">
        <f t="shared" si="78"/>
        <v>0</v>
      </c>
      <c r="DW383" s="424">
        <f t="shared" si="78"/>
        <v>0</v>
      </c>
      <c r="DX383" s="424">
        <f t="shared" si="78"/>
        <v>0</v>
      </c>
      <c r="DY383" s="424">
        <f t="shared" si="78"/>
        <v>0</v>
      </c>
      <c r="DZ383" s="424">
        <f t="shared" si="78"/>
        <v>0</v>
      </c>
      <c r="EA383" s="424">
        <f t="shared" si="78"/>
        <v>0</v>
      </c>
      <c r="EB383" s="424">
        <f t="shared" si="78"/>
        <v>0</v>
      </c>
      <c r="EC383" s="424">
        <f t="shared" si="78"/>
        <v>0</v>
      </c>
      <c r="ED383" s="424">
        <f t="shared" si="78"/>
        <v>0</v>
      </c>
      <c r="EE383" s="424">
        <f t="shared" si="78"/>
        <v>0</v>
      </c>
      <c r="EF383" s="424">
        <f t="shared" si="78"/>
        <v>0</v>
      </c>
      <c r="EG383" s="424">
        <f t="shared" si="78"/>
        <v>0</v>
      </c>
      <c r="EH383" s="424">
        <f t="shared" ref="EH383:EX383" si="79">EH13*EH$372</f>
        <v>0</v>
      </c>
      <c r="EI383" s="424">
        <f t="shared" si="79"/>
        <v>0</v>
      </c>
      <c r="EJ383" s="424">
        <f t="shared" si="79"/>
        <v>0</v>
      </c>
      <c r="EK383" s="424">
        <f t="shared" si="79"/>
        <v>0</v>
      </c>
      <c r="EL383" s="424">
        <f t="shared" si="79"/>
        <v>0</v>
      </c>
      <c r="EM383" s="424">
        <f t="shared" si="79"/>
        <v>0</v>
      </c>
      <c r="EN383" s="424">
        <f t="shared" si="79"/>
        <v>0</v>
      </c>
      <c r="EO383" s="424">
        <f t="shared" si="79"/>
        <v>0</v>
      </c>
      <c r="EP383" s="424">
        <f t="shared" si="79"/>
        <v>0</v>
      </c>
      <c r="EQ383" s="424">
        <f t="shared" si="79"/>
        <v>0</v>
      </c>
      <c r="ER383" s="424">
        <f t="shared" si="79"/>
        <v>0</v>
      </c>
      <c r="ES383" s="424">
        <f t="shared" si="79"/>
        <v>0</v>
      </c>
      <c r="ET383" s="424">
        <f t="shared" si="79"/>
        <v>0</v>
      </c>
      <c r="EU383" s="424">
        <f t="shared" si="79"/>
        <v>0</v>
      </c>
      <c r="EV383" s="424">
        <f t="shared" si="79"/>
        <v>0</v>
      </c>
      <c r="EW383" s="424">
        <f t="shared" si="79"/>
        <v>0</v>
      </c>
      <c r="EX383" s="424">
        <f t="shared" si="79"/>
        <v>0</v>
      </c>
      <c r="EY383" s="425">
        <f t="shared" si="49"/>
        <v>7.1</v>
      </c>
    </row>
    <row r="384" spans="1:166" ht="14.7" customHeight="1" x14ac:dyDescent="0.25">
      <c r="A384" s="310">
        <v>10</v>
      </c>
      <c r="B384" s="311" t="str">
        <f t="shared" si="30"/>
        <v xml:space="preserve">Сыр российский (порциями) </v>
      </c>
      <c r="C384" s="483">
        <f t="shared" si="38"/>
        <v>23.01</v>
      </c>
      <c r="D384" s="888"/>
      <c r="E384" s="888"/>
      <c r="F384" s="888"/>
      <c r="G384" s="889"/>
      <c r="H384" s="680">
        <f t="shared" si="31"/>
        <v>15</v>
      </c>
      <c r="I384" s="1209">
        <f t="shared" si="32"/>
        <v>0</v>
      </c>
      <c r="J384" s="424">
        <f t="shared" ref="J384:AO384" si="80">J14*J$372</f>
        <v>0</v>
      </c>
      <c r="K384" s="424">
        <f t="shared" si="80"/>
        <v>0</v>
      </c>
      <c r="L384" s="424">
        <f t="shared" si="80"/>
        <v>0</v>
      </c>
      <c r="M384" s="424">
        <f t="shared" si="80"/>
        <v>0</v>
      </c>
      <c r="N384" s="424">
        <f t="shared" si="80"/>
        <v>0</v>
      </c>
      <c r="O384" s="424">
        <f t="shared" si="80"/>
        <v>0</v>
      </c>
      <c r="P384" s="424">
        <f t="shared" si="80"/>
        <v>0</v>
      </c>
      <c r="Q384" s="424">
        <f t="shared" si="80"/>
        <v>0</v>
      </c>
      <c r="R384" s="424">
        <f t="shared" si="80"/>
        <v>0</v>
      </c>
      <c r="S384" s="424">
        <f t="shared" si="80"/>
        <v>0</v>
      </c>
      <c r="T384" s="424">
        <f t="shared" si="80"/>
        <v>0</v>
      </c>
      <c r="U384" s="424">
        <f t="shared" si="80"/>
        <v>0</v>
      </c>
      <c r="V384" s="424">
        <f t="shared" si="80"/>
        <v>0</v>
      </c>
      <c r="W384" s="424">
        <f t="shared" si="80"/>
        <v>23.01</v>
      </c>
      <c r="X384" s="424">
        <f t="shared" si="80"/>
        <v>0</v>
      </c>
      <c r="Y384" s="424">
        <f t="shared" si="80"/>
        <v>0</v>
      </c>
      <c r="Z384" s="424">
        <f t="shared" si="80"/>
        <v>0</v>
      </c>
      <c r="AA384" s="424">
        <f t="shared" si="80"/>
        <v>0</v>
      </c>
      <c r="AB384" s="424">
        <f t="shared" si="80"/>
        <v>0</v>
      </c>
      <c r="AC384" s="424">
        <f t="shared" si="80"/>
        <v>0</v>
      </c>
      <c r="AD384" s="424">
        <f t="shared" si="80"/>
        <v>0</v>
      </c>
      <c r="AE384" s="424">
        <f t="shared" si="80"/>
        <v>0</v>
      </c>
      <c r="AF384" s="424">
        <f t="shared" si="80"/>
        <v>0</v>
      </c>
      <c r="AG384" s="424">
        <f t="shared" si="80"/>
        <v>0</v>
      </c>
      <c r="AH384" s="424">
        <f t="shared" si="80"/>
        <v>0</v>
      </c>
      <c r="AI384" s="424">
        <f t="shared" si="80"/>
        <v>0</v>
      </c>
      <c r="AJ384" s="424">
        <f t="shared" si="80"/>
        <v>0</v>
      </c>
      <c r="AK384" s="424">
        <f t="shared" si="80"/>
        <v>0</v>
      </c>
      <c r="AL384" s="424">
        <f t="shared" si="80"/>
        <v>0</v>
      </c>
      <c r="AM384" s="424">
        <f t="shared" si="80"/>
        <v>0</v>
      </c>
      <c r="AN384" s="424">
        <f t="shared" si="80"/>
        <v>0</v>
      </c>
      <c r="AO384" s="424">
        <f t="shared" si="80"/>
        <v>0</v>
      </c>
      <c r="AP384" s="424">
        <f t="shared" ref="AP384:BU384" si="81">AP14*AP$372</f>
        <v>0</v>
      </c>
      <c r="AQ384" s="424">
        <f t="shared" si="81"/>
        <v>0</v>
      </c>
      <c r="AR384" s="424">
        <f t="shared" si="81"/>
        <v>0</v>
      </c>
      <c r="AS384" s="424">
        <f t="shared" si="81"/>
        <v>0</v>
      </c>
      <c r="AT384" s="424">
        <f t="shared" si="81"/>
        <v>0</v>
      </c>
      <c r="AU384" s="424">
        <f t="shared" si="81"/>
        <v>0</v>
      </c>
      <c r="AV384" s="424">
        <f t="shared" si="81"/>
        <v>0</v>
      </c>
      <c r="AW384" s="424">
        <f t="shared" si="81"/>
        <v>0</v>
      </c>
      <c r="AX384" s="424">
        <f t="shared" si="81"/>
        <v>0</v>
      </c>
      <c r="AY384" s="424">
        <f t="shared" si="81"/>
        <v>0</v>
      </c>
      <c r="AZ384" s="424">
        <f t="shared" si="81"/>
        <v>0</v>
      </c>
      <c r="BA384" s="424">
        <f t="shared" si="81"/>
        <v>0</v>
      </c>
      <c r="BB384" s="424">
        <f t="shared" si="81"/>
        <v>0</v>
      </c>
      <c r="BC384" s="424">
        <f t="shared" si="81"/>
        <v>0</v>
      </c>
      <c r="BD384" s="424">
        <f t="shared" si="81"/>
        <v>0</v>
      </c>
      <c r="BE384" s="424">
        <f t="shared" si="81"/>
        <v>0</v>
      </c>
      <c r="BF384" s="424">
        <f t="shared" si="81"/>
        <v>0</v>
      </c>
      <c r="BG384" s="424">
        <f t="shared" si="81"/>
        <v>0</v>
      </c>
      <c r="BH384" s="424">
        <f t="shared" si="81"/>
        <v>0</v>
      </c>
      <c r="BI384" s="424">
        <f t="shared" si="81"/>
        <v>0</v>
      </c>
      <c r="BJ384" s="424">
        <f t="shared" si="81"/>
        <v>0</v>
      </c>
      <c r="BK384" s="424">
        <f t="shared" si="81"/>
        <v>0</v>
      </c>
      <c r="BL384" s="424">
        <f t="shared" si="81"/>
        <v>0</v>
      </c>
      <c r="BM384" s="424">
        <f t="shared" si="81"/>
        <v>0</v>
      </c>
      <c r="BN384" s="424">
        <f t="shared" si="81"/>
        <v>0</v>
      </c>
      <c r="BO384" s="424">
        <f t="shared" si="81"/>
        <v>0</v>
      </c>
      <c r="BP384" s="424">
        <f t="shared" si="81"/>
        <v>0</v>
      </c>
      <c r="BQ384" s="424">
        <f t="shared" si="81"/>
        <v>0</v>
      </c>
      <c r="BR384" s="424">
        <f t="shared" si="81"/>
        <v>0</v>
      </c>
      <c r="BS384" s="424">
        <f t="shared" si="81"/>
        <v>0</v>
      </c>
      <c r="BT384" s="424">
        <f t="shared" si="81"/>
        <v>0</v>
      </c>
      <c r="BU384" s="424">
        <f t="shared" si="81"/>
        <v>0</v>
      </c>
      <c r="BV384" s="424">
        <f t="shared" ref="BV384:DA384" si="82">BV14*BV$372</f>
        <v>0</v>
      </c>
      <c r="BW384" s="424">
        <f t="shared" si="82"/>
        <v>0</v>
      </c>
      <c r="BX384" s="424">
        <f t="shared" si="82"/>
        <v>0</v>
      </c>
      <c r="BY384" s="424">
        <f t="shared" si="82"/>
        <v>0</v>
      </c>
      <c r="BZ384" s="424">
        <f t="shared" si="82"/>
        <v>0</v>
      </c>
      <c r="CA384" s="424">
        <f t="shared" si="82"/>
        <v>0</v>
      </c>
      <c r="CB384" s="424">
        <f t="shared" si="82"/>
        <v>0</v>
      </c>
      <c r="CC384" s="424">
        <f t="shared" si="82"/>
        <v>0</v>
      </c>
      <c r="CD384" s="424">
        <f t="shared" si="82"/>
        <v>0</v>
      </c>
      <c r="CE384" s="424">
        <f t="shared" si="82"/>
        <v>0</v>
      </c>
      <c r="CF384" s="424">
        <f t="shared" si="82"/>
        <v>0</v>
      </c>
      <c r="CG384" s="424">
        <f t="shared" si="82"/>
        <v>0</v>
      </c>
      <c r="CH384" s="424">
        <f t="shared" si="82"/>
        <v>0</v>
      </c>
      <c r="CI384" s="424">
        <f t="shared" si="82"/>
        <v>0</v>
      </c>
      <c r="CJ384" s="424">
        <f t="shared" si="82"/>
        <v>0</v>
      </c>
      <c r="CK384" s="424">
        <f t="shared" si="82"/>
        <v>0</v>
      </c>
      <c r="CL384" s="424">
        <f t="shared" si="82"/>
        <v>0</v>
      </c>
      <c r="CM384" s="424">
        <f t="shared" si="82"/>
        <v>0</v>
      </c>
      <c r="CN384" s="424">
        <f t="shared" si="82"/>
        <v>0</v>
      </c>
      <c r="CO384" s="424">
        <f t="shared" si="82"/>
        <v>0</v>
      </c>
      <c r="CP384" s="424">
        <f t="shared" si="82"/>
        <v>0</v>
      </c>
      <c r="CQ384" s="424">
        <f t="shared" si="82"/>
        <v>0</v>
      </c>
      <c r="CR384" s="424">
        <f t="shared" si="82"/>
        <v>0</v>
      </c>
      <c r="CS384" s="424">
        <f t="shared" si="82"/>
        <v>0</v>
      </c>
      <c r="CT384" s="424">
        <f t="shared" si="82"/>
        <v>0</v>
      </c>
      <c r="CU384" s="424">
        <f t="shared" si="82"/>
        <v>0</v>
      </c>
      <c r="CV384" s="424">
        <f t="shared" si="82"/>
        <v>0</v>
      </c>
      <c r="CW384" s="424">
        <f t="shared" si="82"/>
        <v>0</v>
      </c>
      <c r="CX384" s="424">
        <f t="shared" si="82"/>
        <v>0</v>
      </c>
      <c r="CY384" s="424">
        <f t="shared" si="82"/>
        <v>0</v>
      </c>
      <c r="CZ384" s="424">
        <f t="shared" si="82"/>
        <v>0</v>
      </c>
      <c r="DA384" s="424">
        <f t="shared" si="82"/>
        <v>0</v>
      </c>
      <c r="DB384" s="424">
        <f t="shared" ref="DB384:EG384" si="83">DB14*DB$372</f>
        <v>0</v>
      </c>
      <c r="DC384" s="424">
        <f t="shared" si="83"/>
        <v>0</v>
      </c>
      <c r="DD384" s="424">
        <f t="shared" si="83"/>
        <v>0</v>
      </c>
      <c r="DE384" s="424">
        <f t="shared" si="83"/>
        <v>0</v>
      </c>
      <c r="DF384" s="424">
        <f t="shared" si="83"/>
        <v>0</v>
      </c>
      <c r="DG384" s="424">
        <f t="shared" si="83"/>
        <v>0</v>
      </c>
      <c r="DH384" s="424">
        <f t="shared" si="83"/>
        <v>0</v>
      </c>
      <c r="DI384" s="424">
        <f t="shared" si="83"/>
        <v>0</v>
      </c>
      <c r="DJ384" s="424">
        <f t="shared" si="83"/>
        <v>0</v>
      </c>
      <c r="DK384" s="424">
        <f t="shared" si="83"/>
        <v>0</v>
      </c>
      <c r="DL384" s="424">
        <f t="shared" si="83"/>
        <v>0</v>
      </c>
      <c r="DM384" s="424">
        <f t="shared" si="83"/>
        <v>0</v>
      </c>
      <c r="DN384" s="424">
        <f t="shared" si="83"/>
        <v>0</v>
      </c>
      <c r="DO384" s="424">
        <f t="shared" si="83"/>
        <v>0</v>
      </c>
      <c r="DP384" s="424">
        <f t="shared" si="83"/>
        <v>0</v>
      </c>
      <c r="DQ384" s="424">
        <f t="shared" si="83"/>
        <v>0</v>
      </c>
      <c r="DR384" s="424">
        <f t="shared" si="83"/>
        <v>0</v>
      </c>
      <c r="DS384" s="424">
        <f t="shared" si="83"/>
        <v>0</v>
      </c>
      <c r="DT384" s="424">
        <f t="shared" si="83"/>
        <v>0</v>
      </c>
      <c r="DU384" s="424">
        <f t="shared" si="83"/>
        <v>0</v>
      </c>
      <c r="DV384" s="424">
        <f t="shared" si="83"/>
        <v>0</v>
      </c>
      <c r="DW384" s="424">
        <f t="shared" si="83"/>
        <v>0</v>
      </c>
      <c r="DX384" s="424">
        <f t="shared" si="83"/>
        <v>0</v>
      </c>
      <c r="DY384" s="424">
        <f t="shared" si="83"/>
        <v>0</v>
      </c>
      <c r="DZ384" s="424">
        <f t="shared" si="83"/>
        <v>0</v>
      </c>
      <c r="EA384" s="424">
        <f t="shared" si="83"/>
        <v>0</v>
      </c>
      <c r="EB384" s="424">
        <f t="shared" si="83"/>
        <v>0</v>
      </c>
      <c r="EC384" s="424">
        <f t="shared" si="83"/>
        <v>0</v>
      </c>
      <c r="ED384" s="424">
        <f t="shared" si="83"/>
        <v>0</v>
      </c>
      <c r="EE384" s="424">
        <f t="shared" si="83"/>
        <v>0</v>
      </c>
      <c r="EF384" s="424">
        <f t="shared" si="83"/>
        <v>0</v>
      </c>
      <c r="EG384" s="424">
        <f t="shared" si="83"/>
        <v>0</v>
      </c>
      <c r="EH384" s="424">
        <f t="shared" ref="EH384:EX384" si="84">EH14*EH$372</f>
        <v>0</v>
      </c>
      <c r="EI384" s="424">
        <f t="shared" si="84"/>
        <v>0</v>
      </c>
      <c r="EJ384" s="424">
        <f t="shared" si="84"/>
        <v>0</v>
      </c>
      <c r="EK384" s="424">
        <f t="shared" si="84"/>
        <v>0</v>
      </c>
      <c r="EL384" s="424">
        <f t="shared" si="84"/>
        <v>0</v>
      </c>
      <c r="EM384" s="424">
        <f t="shared" si="84"/>
        <v>0</v>
      </c>
      <c r="EN384" s="424">
        <f t="shared" si="84"/>
        <v>0</v>
      </c>
      <c r="EO384" s="424">
        <f t="shared" si="84"/>
        <v>0</v>
      </c>
      <c r="EP384" s="424">
        <f t="shared" si="84"/>
        <v>0</v>
      </c>
      <c r="EQ384" s="424">
        <f t="shared" si="84"/>
        <v>0</v>
      </c>
      <c r="ER384" s="424">
        <f t="shared" si="84"/>
        <v>0</v>
      </c>
      <c r="ES384" s="424">
        <f t="shared" si="84"/>
        <v>0</v>
      </c>
      <c r="ET384" s="424">
        <f t="shared" si="84"/>
        <v>0</v>
      </c>
      <c r="EU384" s="424">
        <f t="shared" si="84"/>
        <v>0</v>
      </c>
      <c r="EV384" s="424">
        <f t="shared" si="84"/>
        <v>0</v>
      </c>
      <c r="EW384" s="424">
        <f t="shared" si="84"/>
        <v>0</v>
      </c>
      <c r="EX384" s="424">
        <f t="shared" si="84"/>
        <v>0</v>
      </c>
      <c r="EY384" s="425">
        <f t="shared" si="49"/>
        <v>23.01</v>
      </c>
    </row>
    <row r="385" spans="1:166" s="699" customFormat="1" ht="14.7" customHeight="1" x14ac:dyDescent="0.25">
      <c r="A385" s="310">
        <v>11</v>
      </c>
      <c r="B385" s="311" t="str">
        <f t="shared" si="30"/>
        <v xml:space="preserve">Сыр российский (порциями) </v>
      </c>
      <c r="C385" s="483">
        <f t="shared" si="38"/>
        <v>11.5</v>
      </c>
      <c r="D385" s="888"/>
      <c r="E385" s="888"/>
      <c r="F385" s="888"/>
      <c r="G385" s="889"/>
      <c r="H385" s="680">
        <f t="shared" si="31"/>
        <v>15</v>
      </c>
      <c r="I385" s="1209">
        <f t="shared" si="32"/>
        <v>0</v>
      </c>
      <c r="J385" s="424">
        <f t="shared" ref="J385:AO385" si="85">J15*J$372</f>
        <v>0</v>
      </c>
      <c r="K385" s="424">
        <f t="shared" si="85"/>
        <v>0</v>
      </c>
      <c r="L385" s="424">
        <f t="shared" si="85"/>
        <v>0</v>
      </c>
      <c r="M385" s="424">
        <f t="shared" si="85"/>
        <v>0</v>
      </c>
      <c r="N385" s="424">
        <f t="shared" si="85"/>
        <v>0</v>
      </c>
      <c r="O385" s="424">
        <f t="shared" si="85"/>
        <v>0</v>
      </c>
      <c r="P385" s="424">
        <f t="shared" si="85"/>
        <v>0</v>
      </c>
      <c r="Q385" s="424">
        <f t="shared" si="85"/>
        <v>0</v>
      </c>
      <c r="R385" s="424">
        <f t="shared" si="85"/>
        <v>0</v>
      </c>
      <c r="S385" s="424">
        <f t="shared" si="85"/>
        <v>0</v>
      </c>
      <c r="T385" s="424">
        <f t="shared" si="85"/>
        <v>0</v>
      </c>
      <c r="U385" s="424">
        <f t="shared" si="85"/>
        <v>0</v>
      </c>
      <c r="V385" s="424">
        <f t="shared" si="85"/>
        <v>0</v>
      </c>
      <c r="W385" s="424">
        <f t="shared" si="85"/>
        <v>11.5</v>
      </c>
      <c r="X385" s="424">
        <f t="shared" si="85"/>
        <v>0</v>
      </c>
      <c r="Y385" s="424">
        <f t="shared" si="85"/>
        <v>0</v>
      </c>
      <c r="Z385" s="424">
        <f t="shared" si="85"/>
        <v>0</v>
      </c>
      <c r="AA385" s="424">
        <f t="shared" si="85"/>
        <v>0</v>
      </c>
      <c r="AB385" s="424">
        <f t="shared" si="85"/>
        <v>0</v>
      </c>
      <c r="AC385" s="424">
        <f t="shared" si="85"/>
        <v>0</v>
      </c>
      <c r="AD385" s="424">
        <f t="shared" si="85"/>
        <v>0</v>
      </c>
      <c r="AE385" s="424">
        <f t="shared" si="85"/>
        <v>0</v>
      </c>
      <c r="AF385" s="424">
        <f t="shared" si="85"/>
        <v>0</v>
      </c>
      <c r="AG385" s="424">
        <f t="shared" si="85"/>
        <v>0</v>
      </c>
      <c r="AH385" s="424">
        <f t="shared" si="85"/>
        <v>0</v>
      </c>
      <c r="AI385" s="424">
        <f t="shared" si="85"/>
        <v>0</v>
      </c>
      <c r="AJ385" s="424">
        <f t="shared" si="85"/>
        <v>0</v>
      </c>
      <c r="AK385" s="424">
        <f t="shared" si="85"/>
        <v>0</v>
      </c>
      <c r="AL385" s="424">
        <f t="shared" si="85"/>
        <v>0</v>
      </c>
      <c r="AM385" s="424">
        <f t="shared" si="85"/>
        <v>0</v>
      </c>
      <c r="AN385" s="424">
        <f t="shared" si="85"/>
        <v>0</v>
      </c>
      <c r="AO385" s="424">
        <f t="shared" si="85"/>
        <v>0</v>
      </c>
      <c r="AP385" s="424">
        <f t="shared" ref="AP385:BU385" si="86">AP15*AP$372</f>
        <v>0</v>
      </c>
      <c r="AQ385" s="424">
        <f t="shared" si="86"/>
        <v>0</v>
      </c>
      <c r="AR385" s="424">
        <f t="shared" si="86"/>
        <v>0</v>
      </c>
      <c r="AS385" s="424">
        <f t="shared" si="86"/>
        <v>0</v>
      </c>
      <c r="AT385" s="424">
        <f t="shared" si="86"/>
        <v>0</v>
      </c>
      <c r="AU385" s="424">
        <f t="shared" si="86"/>
        <v>0</v>
      </c>
      <c r="AV385" s="424">
        <f t="shared" si="86"/>
        <v>0</v>
      </c>
      <c r="AW385" s="424">
        <f t="shared" si="86"/>
        <v>0</v>
      </c>
      <c r="AX385" s="424">
        <f t="shared" si="86"/>
        <v>0</v>
      </c>
      <c r="AY385" s="424">
        <f t="shared" si="86"/>
        <v>0</v>
      </c>
      <c r="AZ385" s="424">
        <f t="shared" si="86"/>
        <v>0</v>
      </c>
      <c r="BA385" s="424">
        <f t="shared" si="86"/>
        <v>0</v>
      </c>
      <c r="BB385" s="424">
        <f t="shared" si="86"/>
        <v>0</v>
      </c>
      <c r="BC385" s="424">
        <f t="shared" si="86"/>
        <v>0</v>
      </c>
      <c r="BD385" s="424">
        <f t="shared" si="86"/>
        <v>0</v>
      </c>
      <c r="BE385" s="424">
        <f t="shared" si="86"/>
        <v>0</v>
      </c>
      <c r="BF385" s="424">
        <f t="shared" si="86"/>
        <v>0</v>
      </c>
      <c r="BG385" s="424">
        <f t="shared" si="86"/>
        <v>0</v>
      </c>
      <c r="BH385" s="424">
        <f t="shared" si="86"/>
        <v>0</v>
      </c>
      <c r="BI385" s="424">
        <f t="shared" si="86"/>
        <v>0</v>
      </c>
      <c r="BJ385" s="424">
        <f t="shared" si="86"/>
        <v>0</v>
      </c>
      <c r="BK385" s="424">
        <f t="shared" si="86"/>
        <v>0</v>
      </c>
      <c r="BL385" s="424">
        <f t="shared" si="86"/>
        <v>0</v>
      </c>
      <c r="BM385" s="424">
        <f t="shared" si="86"/>
        <v>0</v>
      </c>
      <c r="BN385" s="424">
        <f t="shared" si="86"/>
        <v>0</v>
      </c>
      <c r="BO385" s="424">
        <f t="shared" si="86"/>
        <v>0</v>
      </c>
      <c r="BP385" s="424">
        <f t="shared" si="86"/>
        <v>0</v>
      </c>
      <c r="BQ385" s="424">
        <f t="shared" si="86"/>
        <v>0</v>
      </c>
      <c r="BR385" s="424">
        <f t="shared" si="86"/>
        <v>0</v>
      </c>
      <c r="BS385" s="424">
        <f t="shared" si="86"/>
        <v>0</v>
      </c>
      <c r="BT385" s="424">
        <f t="shared" si="86"/>
        <v>0</v>
      </c>
      <c r="BU385" s="424">
        <f t="shared" si="86"/>
        <v>0</v>
      </c>
      <c r="BV385" s="424">
        <f t="shared" ref="BV385:DA385" si="87">BV15*BV$372</f>
        <v>0</v>
      </c>
      <c r="BW385" s="424">
        <f t="shared" si="87"/>
        <v>0</v>
      </c>
      <c r="BX385" s="424">
        <f t="shared" si="87"/>
        <v>0</v>
      </c>
      <c r="BY385" s="424">
        <f t="shared" si="87"/>
        <v>0</v>
      </c>
      <c r="BZ385" s="424">
        <f t="shared" si="87"/>
        <v>0</v>
      </c>
      <c r="CA385" s="424">
        <f t="shared" si="87"/>
        <v>0</v>
      </c>
      <c r="CB385" s="424">
        <f t="shared" si="87"/>
        <v>0</v>
      </c>
      <c r="CC385" s="424">
        <f t="shared" si="87"/>
        <v>0</v>
      </c>
      <c r="CD385" s="424">
        <f t="shared" si="87"/>
        <v>0</v>
      </c>
      <c r="CE385" s="424">
        <f t="shared" si="87"/>
        <v>0</v>
      </c>
      <c r="CF385" s="424">
        <f t="shared" si="87"/>
        <v>0</v>
      </c>
      <c r="CG385" s="424">
        <f t="shared" si="87"/>
        <v>0</v>
      </c>
      <c r="CH385" s="424">
        <f t="shared" si="87"/>
        <v>0</v>
      </c>
      <c r="CI385" s="424">
        <f t="shared" si="87"/>
        <v>0</v>
      </c>
      <c r="CJ385" s="424">
        <f t="shared" si="87"/>
        <v>0</v>
      </c>
      <c r="CK385" s="424">
        <f t="shared" si="87"/>
        <v>0</v>
      </c>
      <c r="CL385" s="424">
        <f t="shared" si="87"/>
        <v>0</v>
      </c>
      <c r="CM385" s="424">
        <f t="shared" si="87"/>
        <v>0</v>
      </c>
      <c r="CN385" s="424">
        <f t="shared" si="87"/>
        <v>0</v>
      </c>
      <c r="CO385" s="424">
        <f t="shared" si="87"/>
        <v>0</v>
      </c>
      <c r="CP385" s="424">
        <f t="shared" si="87"/>
        <v>0</v>
      </c>
      <c r="CQ385" s="424">
        <f t="shared" si="87"/>
        <v>0</v>
      </c>
      <c r="CR385" s="424">
        <f t="shared" si="87"/>
        <v>0</v>
      </c>
      <c r="CS385" s="424">
        <f t="shared" si="87"/>
        <v>0</v>
      </c>
      <c r="CT385" s="424">
        <f t="shared" si="87"/>
        <v>0</v>
      </c>
      <c r="CU385" s="424">
        <f t="shared" si="87"/>
        <v>0</v>
      </c>
      <c r="CV385" s="424">
        <f t="shared" si="87"/>
        <v>0</v>
      </c>
      <c r="CW385" s="424">
        <f t="shared" si="87"/>
        <v>0</v>
      </c>
      <c r="CX385" s="424">
        <f t="shared" si="87"/>
        <v>0</v>
      </c>
      <c r="CY385" s="424">
        <f t="shared" si="87"/>
        <v>0</v>
      </c>
      <c r="CZ385" s="424">
        <f t="shared" si="87"/>
        <v>0</v>
      </c>
      <c r="DA385" s="424">
        <f t="shared" si="87"/>
        <v>0</v>
      </c>
      <c r="DB385" s="424">
        <f t="shared" ref="DB385:EG385" si="88">DB15*DB$372</f>
        <v>0</v>
      </c>
      <c r="DC385" s="424">
        <f t="shared" si="88"/>
        <v>0</v>
      </c>
      <c r="DD385" s="424">
        <f t="shared" si="88"/>
        <v>0</v>
      </c>
      <c r="DE385" s="424">
        <f t="shared" si="88"/>
        <v>0</v>
      </c>
      <c r="DF385" s="424">
        <f t="shared" si="88"/>
        <v>0</v>
      </c>
      <c r="DG385" s="424">
        <f t="shared" si="88"/>
        <v>0</v>
      </c>
      <c r="DH385" s="424">
        <f t="shared" si="88"/>
        <v>0</v>
      </c>
      <c r="DI385" s="424">
        <f t="shared" si="88"/>
        <v>0</v>
      </c>
      <c r="DJ385" s="424">
        <f t="shared" si="88"/>
        <v>0</v>
      </c>
      <c r="DK385" s="424">
        <f t="shared" si="88"/>
        <v>0</v>
      </c>
      <c r="DL385" s="424">
        <f t="shared" si="88"/>
        <v>0</v>
      </c>
      <c r="DM385" s="424">
        <f t="shared" si="88"/>
        <v>0</v>
      </c>
      <c r="DN385" s="424">
        <f t="shared" si="88"/>
        <v>0</v>
      </c>
      <c r="DO385" s="424">
        <f t="shared" si="88"/>
        <v>0</v>
      </c>
      <c r="DP385" s="424">
        <f t="shared" si="88"/>
        <v>0</v>
      </c>
      <c r="DQ385" s="424">
        <f t="shared" si="88"/>
        <v>0</v>
      </c>
      <c r="DR385" s="424">
        <f t="shared" si="88"/>
        <v>0</v>
      </c>
      <c r="DS385" s="424">
        <f t="shared" si="88"/>
        <v>0</v>
      </c>
      <c r="DT385" s="424">
        <f t="shared" si="88"/>
        <v>0</v>
      </c>
      <c r="DU385" s="424">
        <f t="shared" si="88"/>
        <v>0</v>
      </c>
      <c r="DV385" s="424">
        <f t="shared" si="88"/>
        <v>0</v>
      </c>
      <c r="DW385" s="424">
        <f t="shared" si="88"/>
        <v>0</v>
      </c>
      <c r="DX385" s="424">
        <f t="shared" si="88"/>
        <v>0</v>
      </c>
      <c r="DY385" s="424">
        <f t="shared" si="88"/>
        <v>0</v>
      </c>
      <c r="DZ385" s="424">
        <f t="shared" si="88"/>
        <v>0</v>
      </c>
      <c r="EA385" s="424">
        <f t="shared" si="88"/>
        <v>0</v>
      </c>
      <c r="EB385" s="424">
        <f t="shared" si="88"/>
        <v>0</v>
      </c>
      <c r="EC385" s="424">
        <f t="shared" si="88"/>
        <v>0</v>
      </c>
      <c r="ED385" s="424">
        <f t="shared" si="88"/>
        <v>0</v>
      </c>
      <c r="EE385" s="424">
        <f t="shared" si="88"/>
        <v>0</v>
      </c>
      <c r="EF385" s="424">
        <f t="shared" si="88"/>
        <v>0</v>
      </c>
      <c r="EG385" s="424">
        <f t="shared" si="88"/>
        <v>0</v>
      </c>
      <c r="EH385" s="424">
        <f t="shared" ref="EH385:EX385" si="89">EH15*EH$372</f>
        <v>0</v>
      </c>
      <c r="EI385" s="424">
        <f t="shared" si="89"/>
        <v>0</v>
      </c>
      <c r="EJ385" s="424">
        <f t="shared" si="89"/>
        <v>0</v>
      </c>
      <c r="EK385" s="424">
        <f t="shared" si="89"/>
        <v>0</v>
      </c>
      <c r="EL385" s="424">
        <f t="shared" si="89"/>
        <v>0</v>
      </c>
      <c r="EM385" s="424">
        <f t="shared" si="89"/>
        <v>0</v>
      </c>
      <c r="EN385" s="424">
        <f t="shared" si="89"/>
        <v>0</v>
      </c>
      <c r="EO385" s="424">
        <f t="shared" si="89"/>
        <v>0</v>
      </c>
      <c r="EP385" s="424">
        <f t="shared" si="89"/>
        <v>0</v>
      </c>
      <c r="EQ385" s="424">
        <f t="shared" si="89"/>
        <v>0</v>
      </c>
      <c r="ER385" s="424">
        <f t="shared" si="89"/>
        <v>0</v>
      </c>
      <c r="ES385" s="424">
        <f t="shared" si="89"/>
        <v>0</v>
      </c>
      <c r="ET385" s="424">
        <f t="shared" si="89"/>
        <v>0</v>
      </c>
      <c r="EU385" s="424">
        <f t="shared" si="89"/>
        <v>0</v>
      </c>
      <c r="EV385" s="424">
        <f t="shared" si="89"/>
        <v>0</v>
      </c>
      <c r="EW385" s="424">
        <f t="shared" si="89"/>
        <v>0</v>
      </c>
      <c r="EX385" s="424">
        <f t="shared" si="89"/>
        <v>0</v>
      </c>
      <c r="EY385" s="425">
        <f t="shared" si="49"/>
        <v>11.5</v>
      </c>
      <c r="EZ385" s="616"/>
      <c r="FA385" s="616"/>
      <c r="FB385" s="616"/>
      <c r="FC385" s="616"/>
      <c r="FD385" s="616"/>
      <c r="FE385" s="616"/>
      <c r="FF385" s="616"/>
      <c r="FG385" s="616"/>
      <c r="FH385" s="616"/>
      <c r="FI385" s="616"/>
      <c r="FJ385" s="616"/>
    </row>
    <row r="386" spans="1:166" s="407" customFormat="1" ht="14.7" customHeight="1" x14ac:dyDescent="0.25">
      <c r="A386" s="310">
        <v>12</v>
      </c>
      <c r="B386" s="311" t="str">
        <f t="shared" si="30"/>
        <v xml:space="preserve">Сыр российский (порциями) </v>
      </c>
      <c r="C386" s="483">
        <f t="shared" si="38"/>
        <v>15.1</v>
      </c>
      <c r="D386" s="888"/>
      <c r="E386" s="888"/>
      <c r="F386" s="888"/>
      <c r="G386" s="889"/>
      <c r="H386" s="680">
        <f t="shared" si="31"/>
        <v>15</v>
      </c>
      <c r="I386" s="1209">
        <f t="shared" si="32"/>
        <v>0</v>
      </c>
      <c r="J386" s="424">
        <f t="shared" ref="J386:AO386" si="90">J16*J$372</f>
        <v>0</v>
      </c>
      <c r="K386" s="424">
        <f t="shared" si="90"/>
        <v>0</v>
      </c>
      <c r="L386" s="424">
        <f t="shared" si="90"/>
        <v>0</v>
      </c>
      <c r="M386" s="424">
        <f t="shared" si="90"/>
        <v>0</v>
      </c>
      <c r="N386" s="424">
        <f t="shared" si="90"/>
        <v>0</v>
      </c>
      <c r="O386" s="424">
        <f t="shared" si="90"/>
        <v>0</v>
      </c>
      <c r="P386" s="424">
        <f t="shared" si="90"/>
        <v>0</v>
      </c>
      <c r="Q386" s="424">
        <f t="shared" si="90"/>
        <v>0</v>
      </c>
      <c r="R386" s="424">
        <f t="shared" si="90"/>
        <v>0</v>
      </c>
      <c r="S386" s="424">
        <f t="shared" si="90"/>
        <v>0</v>
      </c>
      <c r="T386" s="424">
        <f t="shared" si="90"/>
        <v>0</v>
      </c>
      <c r="U386" s="424">
        <f t="shared" si="90"/>
        <v>0</v>
      </c>
      <c r="V386" s="424">
        <f t="shared" si="90"/>
        <v>0</v>
      </c>
      <c r="W386" s="424">
        <f t="shared" si="90"/>
        <v>15.1</v>
      </c>
      <c r="X386" s="424">
        <f t="shared" si="90"/>
        <v>0</v>
      </c>
      <c r="Y386" s="424">
        <f t="shared" si="90"/>
        <v>0</v>
      </c>
      <c r="Z386" s="424">
        <f t="shared" si="90"/>
        <v>0</v>
      </c>
      <c r="AA386" s="424">
        <f t="shared" si="90"/>
        <v>0</v>
      </c>
      <c r="AB386" s="424">
        <f t="shared" si="90"/>
        <v>0</v>
      </c>
      <c r="AC386" s="424">
        <f t="shared" si="90"/>
        <v>0</v>
      </c>
      <c r="AD386" s="424">
        <f t="shared" si="90"/>
        <v>0</v>
      </c>
      <c r="AE386" s="424">
        <f t="shared" si="90"/>
        <v>0</v>
      </c>
      <c r="AF386" s="424">
        <f t="shared" si="90"/>
        <v>0</v>
      </c>
      <c r="AG386" s="424">
        <f t="shared" si="90"/>
        <v>0</v>
      </c>
      <c r="AH386" s="424">
        <f t="shared" si="90"/>
        <v>0</v>
      </c>
      <c r="AI386" s="424">
        <f t="shared" si="90"/>
        <v>0</v>
      </c>
      <c r="AJ386" s="424">
        <f t="shared" si="90"/>
        <v>0</v>
      </c>
      <c r="AK386" s="424">
        <f t="shared" si="90"/>
        <v>0</v>
      </c>
      <c r="AL386" s="424">
        <f t="shared" si="90"/>
        <v>0</v>
      </c>
      <c r="AM386" s="424">
        <f t="shared" si="90"/>
        <v>0</v>
      </c>
      <c r="AN386" s="424">
        <f t="shared" si="90"/>
        <v>0</v>
      </c>
      <c r="AO386" s="424">
        <f t="shared" si="90"/>
        <v>0</v>
      </c>
      <c r="AP386" s="424">
        <f t="shared" ref="AP386:BU386" si="91">AP16*AP$372</f>
        <v>0</v>
      </c>
      <c r="AQ386" s="424">
        <f t="shared" si="91"/>
        <v>0</v>
      </c>
      <c r="AR386" s="424">
        <f t="shared" si="91"/>
        <v>0</v>
      </c>
      <c r="AS386" s="424">
        <f t="shared" si="91"/>
        <v>0</v>
      </c>
      <c r="AT386" s="424">
        <f t="shared" si="91"/>
        <v>0</v>
      </c>
      <c r="AU386" s="424">
        <f t="shared" si="91"/>
        <v>0</v>
      </c>
      <c r="AV386" s="424">
        <f t="shared" si="91"/>
        <v>0</v>
      </c>
      <c r="AW386" s="424">
        <f t="shared" si="91"/>
        <v>0</v>
      </c>
      <c r="AX386" s="424">
        <f t="shared" si="91"/>
        <v>0</v>
      </c>
      <c r="AY386" s="424">
        <f t="shared" si="91"/>
        <v>0</v>
      </c>
      <c r="AZ386" s="424">
        <f t="shared" si="91"/>
        <v>0</v>
      </c>
      <c r="BA386" s="424">
        <f t="shared" si="91"/>
        <v>0</v>
      </c>
      <c r="BB386" s="424">
        <f t="shared" si="91"/>
        <v>0</v>
      </c>
      <c r="BC386" s="424">
        <f t="shared" si="91"/>
        <v>0</v>
      </c>
      <c r="BD386" s="424">
        <f t="shared" si="91"/>
        <v>0</v>
      </c>
      <c r="BE386" s="424">
        <f t="shared" si="91"/>
        <v>0</v>
      </c>
      <c r="BF386" s="424">
        <f t="shared" si="91"/>
        <v>0</v>
      </c>
      <c r="BG386" s="424">
        <f t="shared" si="91"/>
        <v>0</v>
      </c>
      <c r="BH386" s="424">
        <f t="shared" si="91"/>
        <v>0</v>
      </c>
      <c r="BI386" s="424">
        <f t="shared" si="91"/>
        <v>0</v>
      </c>
      <c r="BJ386" s="424">
        <f t="shared" si="91"/>
        <v>0</v>
      </c>
      <c r="BK386" s="424">
        <f t="shared" si="91"/>
        <v>0</v>
      </c>
      <c r="BL386" s="424">
        <f t="shared" si="91"/>
        <v>0</v>
      </c>
      <c r="BM386" s="424">
        <f t="shared" si="91"/>
        <v>0</v>
      </c>
      <c r="BN386" s="424">
        <f t="shared" si="91"/>
        <v>0</v>
      </c>
      <c r="BO386" s="424">
        <f t="shared" si="91"/>
        <v>0</v>
      </c>
      <c r="BP386" s="424">
        <f t="shared" si="91"/>
        <v>0</v>
      </c>
      <c r="BQ386" s="424">
        <f t="shared" si="91"/>
        <v>0</v>
      </c>
      <c r="BR386" s="424">
        <f t="shared" si="91"/>
        <v>0</v>
      </c>
      <c r="BS386" s="424">
        <f t="shared" si="91"/>
        <v>0</v>
      </c>
      <c r="BT386" s="424">
        <f t="shared" si="91"/>
        <v>0</v>
      </c>
      <c r="BU386" s="424">
        <f t="shared" si="91"/>
        <v>0</v>
      </c>
      <c r="BV386" s="424">
        <f t="shared" ref="BV386:DA386" si="92">BV16*BV$372</f>
        <v>0</v>
      </c>
      <c r="BW386" s="424">
        <f t="shared" si="92"/>
        <v>0</v>
      </c>
      <c r="BX386" s="424">
        <f t="shared" si="92"/>
        <v>0</v>
      </c>
      <c r="BY386" s="424">
        <f t="shared" si="92"/>
        <v>0</v>
      </c>
      <c r="BZ386" s="424">
        <f t="shared" si="92"/>
        <v>0</v>
      </c>
      <c r="CA386" s="424">
        <f t="shared" si="92"/>
        <v>0</v>
      </c>
      <c r="CB386" s="424">
        <f t="shared" si="92"/>
        <v>0</v>
      </c>
      <c r="CC386" s="424">
        <f t="shared" si="92"/>
        <v>0</v>
      </c>
      <c r="CD386" s="424">
        <f t="shared" si="92"/>
        <v>0</v>
      </c>
      <c r="CE386" s="424">
        <f t="shared" si="92"/>
        <v>0</v>
      </c>
      <c r="CF386" s="424">
        <f t="shared" si="92"/>
        <v>0</v>
      </c>
      <c r="CG386" s="424">
        <f t="shared" si="92"/>
        <v>0</v>
      </c>
      <c r="CH386" s="424">
        <f t="shared" si="92"/>
        <v>0</v>
      </c>
      <c r="CI386" s="424">
        <f t="shared" si="92"/>
        <v>0</v>
      </c>
      <c r="CJ386" s="424">
        <f t="shared" si="92"/>
        <v>0</v>
      </c>
      <c r="CK386" s="424">
        <f t="shared" si="92"/>
        <v>0</v>
      </c>
      <c r="CL386" s="424">
        <f t="shared" si="92"/>
        <v>0</v>
      </c>
      <c r="CM386" s="424">
        <f t="shared" si="92"/>
        <v>0</v>
      </c>
      <c r="CN386" s="424">
        <f t="shared" si="92"/>
        <v>0</v>
      </c>
      <c r="CO386" s="424">
        <f t="shared" si="92"/>
        <v>0</v>
      </c>
      <c r="CP386" s="424">
        <f t="shared" si="92"/>
        <v>0</v>
      </c>
      <c r="CQ386" s="424">
        <f t="shared" si="92"/>
        <v>0</v>
      </c>
      <c r="CR386" s="424">
        <f t="shared" si="92"/>
        <v>0</v>
      </c>
      <c r="CS386" s="424">
        <f t="shared" si="92"/>
        <v>0</v>
      </c>
      <c r="CT386" s="424">
        <f t="shared" si="92"/>
        <v>0</v>
      </c>
      <c r="CU386" s="424">
        <f t="shared" si="92"/>
        <v>0</v>
      </c>
      <c r="CV386" s="424">
        <f t="shared" si="92"/>
        <v>0</v>
      </c>
      <c r="CW386" s="424">
        <f t="shared" si="92"/>
        <v>0</v>
      </c>
      <c r="CX386" s="424">
        <f t="shared" si="92"/>
        <v>0</v>
      </c>
      <c r="CY386" s="424">
        <f t="shared" si="92"/>
        <v>0</v>
      </c>
      <c r="CZ386" s="424">
        <f t="shared" si="92"/>
        <v>0</v>
      </c>
      <c r="DA386" s="424">
        <f t="shared" si="92"/>
        <v>0</v>
      </c>
      <c r="DB386" s="424">
        <f t="shared" ref="DB386:EG386" si="93">DB16*DB$372</f>
        <v>0</v>
      </c>
      <c r="DC386" s="424">
        <f t="shared" si="93"/>
        <v>0</v>
      </c>
      <c r="DD386" s="424">
        <f t="shared" si="93"/>
        <v>0</v>
      </c>
      <c r="DE386" s="424">
        <f t="shared" si="93"/>
        <v>0</v>
      </c>
      <c r="DF386" s="424">
        <f t="shared" si="93"/>
        <v>0</v>
      </c>
      <c r="DG386" s="424">
        <f t="shared" si="93"/>
        <v>0</v>
      </c>
      <c r="DH386" s="424">
        <f t="shared" si="93"/>
        <v>0</v>
      </c>
      <c r="DI386" s="424">
        <f t="shared" si="93"/>
        <v>0</v>
      </c>
      <c r="DJ386" s="424">
        <f t="shared" si="93"/>
        <v>0</v>
      </c>
      <c r="DK386" s="424">
        <f t="shared" si="93"/>
        <v>0</v>
      </c>
      <c r="DL386" s="424">
        <f t="shared" si="93"/>
        <v>0</v>
      </c>
      <c r="DM386" s="424">
        <f t="shared" si="93"/>
        <v>0</v>
      </c>
      <c r="DN386" s="424">
        <f t="shared" si="93"/>
        <v>0</v>
      </c>
      <c r="DO386" s="424">
        <f t="shared" si="93"/>
        <v>0</v>
      </c>
      <c r="DP386" s="424">
        <f t="shared" si="93"/>
        <v>0</v>
      </c>
      <c r="DQ386" s="424">
        <f t="shared" si="93"/>
        <v>0</v>
      </c>
      <c r="DR386" s="424">
        <f t="shared" si="93"/>
        <v>0</v>
      </c>
      <c r="DS386" s="424">
        <f t="shared" si="93"/>
        <v>0</v>
      </c>
      <c r="DT386" s="424">
        <f t="shared" si="93"/>
        <v>0</v>
      </c>
      <c r="DU386" s="424">
        <f t="shared" si="93"/>
        <v>0</v>
      </c>
      <c r="DV386" s="424">
        <f t="shared" si="93"/>
        <v>0</v>
      </c>
      <c r="DW386" s="424">
        <f t="shared" si="93"/>
        <v>0</v>
      </c>
      <c r="DX386" s="424">
        <f t="shared" si="93"/>
        <v>0</v>
      </c>
      <c r="DY386" s="424">
        <f t="shared" si="93"/>
        <v>0</v>
      </c>
      <c r="DZ386" s="424">
        <f t="shared" si="93"/>
        <v>0</v>
      </c>
      <c r="EA386" s="424">
        <f t="shared" si="93"/>
        <v>0</v>
      </c>
      <c r="EB386" s="424">
        <f t="shared" si="93"/>
        <v>0</v>
      </c>
      <c r="EC386" s="424">
        <f t="shared" si="93"/>
        <v>0</v>
      </c>
      <c r="ED386" s="424">
        <f t="shared" si="93"/>
        <v>0</v>
      </c>
      <c r="EE386" s="424">
        <f t="shared" si="93"/>
        <v>0</v>
      </c>
      <c r="EF386" s="424">
        <f t="shared" si="93"/>
        <v>0</v>
      </c>
      <c r="EG386" s="424">
        <f t="shared" si="93"/>
        <v>0</v>
      </c>
      <c r="EH386" s="424">
        <f t="shared" ref="EH386:EX386" si="94">EH16*EH$372</f>
        <v>0</v>
      </c>
      <c r="EI386" s="424">
        <f t="shared" si="94"/>
        <v>0</v>
      </c>
      <c r="EJ386" s="424">
        <f t="shared" si="94"/>
        <v>0</v>
      </c>
      <c r="EK386" s="424">
        <f t="shared" si="94"/>
        <v>0</v>
      </c>
      <c r="EL386" s="424">
        <f t="shared" si="94"/>
        <v>0</v>
      </c>
      <c r="EM386" s="424">
        <f t="shared" si="94"/>
        <v>0</v>
      </c>
      <c r="EN386" s="424">
        <f t="shared" si="94"/>
        <v>0</v>
      </c>
      <c r="EO386" s="424">
        <f t="shared" si="94"/>
        <v>0</v>
      </c>
      <c r="EP386" s="424">
        <f t="shared" si="94"/>
        <v>0</v>
      </c>
      <c r="EQ386" s="424">
        <f t="shared" si="94"/>
        <v>0</v>
      </c>
      <c r="ER386" s="424">
        <f t="shared" si="94"/>
        <v>0</v>
      </c>
      <c r="ES386" s="424">
        <f t="shared" si="94"/>
        <v>0</v>
      </c>
      <c r="ET386" s="424">
        <f t="shared" si="94"/>
        <v>0</v>
      </c>
      <c r="EU386" s="424">
        <f t="shared" si="94"/>
        <v>0</v>
      </c>
      <c r="EV386" s="424">
        <f t="shared" si="94"/>
        <v>0</v>
      </c>
      <c r="EW386" s="424">
        <f t="shared" si="94"/>
        <v>0</v>
      </c>
      <c r="EX386" s="424">
        <f t="shared" si="94"/>
        <v>0</v>
      </c>
      <c r="EY386" s="425">
        <f t="shared" si="49"/>
        <v>15.1</v>
      </c>
      <c r="EZ386" s="616"/>
      <c r="FA386" s="616"/>
      <c r="FB386" s="616"/>
      <c r="FC386" s="616"/>
      <c r="FD386" s="616"/>
      <c r="FE386" s="616"/>
      <c r="FF386" s="616"/>
      <c r="FG386" s="616"/>
      <c r="FH386" s="616"/>
      <c r="FI386" s="616"/>
      <c r="FJ386" s="616"/>
    </row>
    <row r="387" spans="1:166" ht="14.7" customHeight="1" x14ac:dyDescent="0.25">
      <c r="A387" s="310">
        <v>13</v>
      </c>
      <c r="B387" s="311" t="str">
        <f t="shared" si="30"/>
        <v>Колбаса полукопченая (порциями)</v>
      </c>
      <c r="C387" s="483">
        <f t="shared" si="38"/>
        <v>12.4</v>
      </c>
      <c r="D387" s="888"/>
      <c r="E387" s="888"/>
      <c r="F387" s="888"/>
      <c r="G387" s="889"/>
      <c r="H387" s="680">
        <f t="shared" si="31"/>
        <v>16</v>
      </c>
      <c r="I387" s="1209">
        <f t="shared" si="32"/>
        <v>0</v>
      </c>
      <c r="J387" s="424">
        <f t="shared" ref="J387:AO387" si="95">J17*J$372</f>
        <v>0</v>
      </c>
      <c r="K387" s="424">
        <f t="shared" si="95"/>
        <v>0</v>
      </c>
      <c r="L387" s="424">
        <f t="shared" si="95"/>
        <v>0</v>
      </c>
      <c r="M387" s="424">
        <f t="shared" si="95"/>
        <v>0</v>
      </c>
      <c r="N387" s="424">
        <f t="shared" si="95"/>
        <v>0</v>
      </c>
      <c r="O387" s="424">
        <f t="shared" si="95"/>
        <v>12.4</v>
      </c>
      <c r="P387" s="424">
        <f t="shared" si="95"/>
        <v>0</v>
      </c>
      <c r="Q387" s="424">
        <f t="shared" si="95"/>
        <v>0</v>
      </c>
      <c r="R387" s="424">
        <f t="shared" si="95"/>
        <v>0</v>
      </c>
      <c r="S387" s="424">
        <f t="shared" si="95"/>
        <v>0</v>
      </c>
      <c r="T387" s="424">
        <f t="shared" si="95"/>
        <v>0</v>
      </c>
      <c r="U387" s="424">
        <f t="shared" si="95"/>
        <v>0</v>
      </c>
      <c r="V387" s="424">
        <f t="shared" si="95"/>
        <v>0</v>
      </c>
      <c r="W387" s="424">
        <f t="shared" si="95"/>
        <v>0</v>
      </c>
      <c r="X387" s="424">
        <f t="shared" si="95"/>
        <v>0</v>
      </c>
      <c r="Y387" s="424">
        <f t="shared" si="95"/>
        <v>0</v>
      </c>
      <c r="Z387" s="424">
        <f t="shared" si="95"/>
        <v>0</v>
      </c>
      <c r="AA387" s="424">
        <f t="shared" si="95"/>
        <v>0</v>
      </c>
      <c r="AB387" s="424">
        <f t="shared" si="95"/>
        <v>0</v>
      </c>
      <c r="AC387" s="424">
        <f t="shared" si="95"/>
        <v>0</v>
      </c>
      <c r="AD387" s="424">
        <f t="shared" si="95"/>
        <v>0</v>
      </c>
      <c r="AE387" s="424">
        <f t="shared" si="95"/>
        <v>0</v>
      </c>
      <c r="AF387" s="424">
        <f t="shared" si="95"/>
        <v>0</v>
      </c>
      <c r="AG387" s="424">
        <f t="shared" si="95"/>
        <v>0</v>
      </c>
      <c r="AH387" s="424">
        <f t="shared" si="95"/>
        <v>0</v>
      </c>
      <c r="AI387" s="424">
        <f t="shared" si="95"/>
        <v>0</v>
      </c>
      <c r="AJ387" s="424">
        <f t="shared" si="95"/>
        <v>0</v>
      </c>
      <c r="AK387" s="424">
        <f t="shared" si="95"/>
        <v>0</v>
      </c>
      <c r="AL387" s="424">
        <f t="shared" si="95"/>
        <v>0</v>
      </c>
      <c r="AM387" s="424">
        <f t="shared" si="95"/>
        <v>0</v>
      </c>
      <c r="AN387" s="424">
        <f t="shared" si="95"/>
        <v>0</v>
      </c>
      <c r="AO387" s="424">
        <f t="shared" si="95"/>
        <v>0</v>
      </c>
      <c r="AP387" s="424">
        <f t="shared" ref="AP387:BU387" si="96">AP17*AP$372</f>
        <v>0</v>
      </c>
      <c r="AQ387" s="424">
        <f t="shared" si="96"/>
        <v>0</v>
      </c>
      <c r="AR387" s="424">
        <f t="shared" si="96"/>
        <v>0</v>
      </c>
      <c r="AS387" s="424">
        <f t="shared" si="96"/>
        <v>0</v>
      </c>
      <c r="AT387" s="424">
        <f t="shared" si="96"/>
        <v>0</v>
      </c>
      <c r="AU387" s="424">
        <f t="shared" si="96"/>
        <v>0</v>
      </c>
      <c r="AV387" s="424">
        <f t="shared" si="96"/>
        <v>0</v>
      </c>
      <c r="AW387" s="424">
        <f t="shared" si="96"/>
        <v>0</v>
      </c>
      <c r="AX387" s="424">
        <f t="shared" si="96"/>
        <v>0</v>
      </c>
      <c r="AY387" s="424">
        <f t="shared" si="96"/>
        <v>0</v>
      </c>
      <c r="AZ387" s="424">
        <f t="shared" si="96"/>
        <v>0</v>
      </c>
      <c r="BA387" s="424">
        <f t="shared" si="96"/>
        <v>0</v>
      </c>
      <c r="BB387" s="424">
        <f t="shared" si="96"/>
        <v>0</v>
      </c>
      <c r="BC387" s="424">
        <f t="shared" si="96"/>
        <v>0</v>
      </c>
      <c r="BD387" s="424">
        <f t="shared" si="96"/>
        <v>0</v>
      </c>
      <c r="BE387" s="424">
        <f t="shared" si="96"/>
        <v>0</v>
      </c>
      <c r="BF387" s="424">
        <f t="shared" si="96"/>
        <v>0</v>
      </c>
      <c r="BG387" s="424">
        <f t="shared" si="96"/>
        <v>0</v>
      </c>
      <c r="BH387" s="424">
        <f t="shared" si="96"/>
        <v>0</v>
      </c>
      <c r="BI387" s="424">
        <f t="shared" si="96"/>
        <v>0</v>
      </c>
      <c r="BJ387" s="424">
        <f t="shared" si="96"/>
        <v>0</v>
      </c>
      <c r="BK387" s="424">
        <f t="shared" si="96"/>
        <v>0</v>
      </c>
      <c r="BL387" s="424">
        <f t="shared" si="96"/>
        <v>0</v>
      </c>
      <c r="BM387" s="424">
        <f t="shared" si="96"/>
        <v>0</v>
      </c>
      <c r="BN387" s="424">
        <f t="shared" si="96"/>
        <v>0</v>
      </c>
      <c r="BO387" s="424">
        <f t="shared" si="96"/>
        <v>0</v>
      </c>
      <c r="BP387" s="424">
        <f t="shared" si="96"/>
        <v>0</v>
      </c>
      <c r="BQ387" s="424">
        <f t="shared" si="96"/>
        <v>0</v>
      </c>
      <c r="BR387" s="424">
        <f t="shared" si="96"/>
        <v>0</v>
      </c>
      <c r="BS387" s="424">
        <f t="shared" si="96"/>
        <v>0</v>
      </c>
      <c r="BT387" s="424">
        <f t="shared" si="96"/>
        <v>0</v>
      </c>
      <c r="BU387" s="424">
        <f t="shared" si="96"/>
        <v>0</v>
      </c>
      <c r="BV387" s="424">
        <f t="shared" ref="BV387:DA387" si="97">BV17*BV$372</f>
        <v>0</v>
      </c>
      <c r="BW387" s="424">
        <f t="shared" si="97"/>
        <v>0</v>
      </c>
      <c r="BX387" s="424">
        <f t="shared" si="97"/>
        <v>0</v>
      </c>
      <c r="BY387" s="424">
        <f t="shared" si="97"/>
        <v>0</v>
      </c>
      <c r="BZ387" s="424">
        <f t="shared" si="97"/>
        <v>0</v>
      </c>
      <c r="CA387" s="424">
        <f t="shared" si="97"/>
        <v>0</v>
      </c>
      <c r="CB387" s="424">
        <f t="shared" si="97"/>
        <v>0</v>
      </c>
      <c r="CC387" s="424">
        <f t="shared" si="97"/>
        <v>0</v>
      </c>
      <c r="CD387" s="424">
        <f t="shared" si="97"/>
        <v>0</v>
      </c>
      <c r="CE387" s="424">
        <f t="shared" si="97"/>
        <v>0</v>
      </c>
      <c r="CF387" s="424">
        <f t="shared" si="97"/>
        <v>0</v>
      </c>
      <c r="CG387" s="424">
        <f t="shared" si="97"/>
        <v>0</v>
      </c>
      <c r="CH387" s="424">
        <f t="shared" si="97"/>
        <v>0</v>
      </c>
      <c r="CI387" s="424">
        <f t="shared" si="97"/>
        <v>0</v>
      </c>
      <c r="CJ387" s="424">
        <f t="shared" si="97"/>
        <v>0</v>
      </c>
      <c r="CK387" s="424">
        <f t="shared" si="97"/>
        <v>0</v>
      </c>
      <c r="CL387" s="424">
        <f t="shared" si="97"/>
        <v>0</v>
      </c>
      <c r="CM387" s="424">
        <f t="shared" si="97"/>
        <v>0</v>
      </c>
      <c r="CN387" s="424">
        <f t="shared" si="97"/>
        <v>0</v>
      </c>
      <c r="CO387" s="424">
        <f t="shared" si="97"/>
        <v>0</v>
      </c>
      <c r="CP387" s="424">
        <f t="shared" si="97"/>
        <v>0</v>
      </c>
      <c r="CQ387" s="424">
        <f t="shared" si="97"/>
        <v>0</v>
      </c>
      <c r="CR387" s="424">
        <f t="shared" si="97"/>
        <v>0</v>
      </c>
      <c r="CS387" s="424">
        <f t="shared" si="97"/>
        <v>0</v>
      </c>
      <c r="CT387" s="424">
        <f t="shared" si="97"/>
        <v>0</v>
      </c>
      <c r="CU387" s="424">
        <f t="shared" si="97"/>
        <v>0</v>
      </c>
      <c r="CV387" s="424">
        <f t="shared" si="97"/>
        <v>0</v>
      </c>
      <c r="CW387" s="424">
        <f t="shared" si="97"/>
        <v>0</v>
      </c>
      <c r="CX387" s="424">
        <f t="shared" si="97"/>
        <v>0</v>
      </c>
      <c r="CY387" s="424">
        <f t="shared" si="97"/>
        <v>0</v>
      </c>
      <c r="CZ387" s="424">
        <f t="shared" si="97"/>
        <v>0</v>
      </c>
      <c r="DA387" s="424">
        <f t="shared" si="97"/>
        <v>0</v>
      </c>
      <c r="DB387" s="424">
        <f t="shared" ref="DB387:EG387" si="98">DB17*DB$372</f>
        <v>0</v>
      </c>
      <c r="DC387" s="424">
        <f t="shared" si="98"/>
        <v>0</v>
      </c>
      <c r="DD387" s="424">
        <f t="shared" si="98"/>
        <v>0</v>
      </c>
      <c r="DE387" s="424">
        <f t="shared" si="98"/>
        <v>0</v>
      </c>
      <c r="DF387" s="424">
        <f t="shared" si="98"/>
        <v>0</v>
      </c>
      <c r="DG387" s="424">
        <f t="shared" si="98"/>
        <v>0</v>
      </c>
      <c r="DH387" s="424">
        <f t="shared" si="98"/>
        <v>0</v>
      </c>
      <c r="DI387" s="424">
        <f t="shared" si="98"/>
        <v>0</v>
      </c>
      <c r="DJ387" s="424">
        <f t="shared" si="98"/>
        <v>0</v>
      </c>
      <c r="DK387" s="424">
        <f t="shared" si="98"/>
        <v>0</v>
      </c>
      <c r="DL387" s="424">
        <f t="shared" si="98"/>
        <v>0</v>
      </c>
      <c r="DM387" s="424">
        <f t="shared" si="98"/>
        <v>0</v>
      </c>
      <c r="DN387" s="424">
        <f t="shared" si="98"/>
        <v>0</v>
      </c>
      <c r="DO387" s="424">
        <f t="shared" si="98"/>
        <v>0</v>
      </c>
      <c r="DP387" s="424">
        <f t="shared" si="98"/>
        <v>0</v>
      </c>
      <c r="DQ387" s="424">
        <f t="shared" si="98"/>
        <v>0</v>
      </c>
      <c r="DR387" s="424">
        <f t="shared" si="98"/>
        <v>0</v>
      </c>
      <c r="DS387" s="424">
        <f t="shared" si="98"/>
        <v>0</v>
      </c>
      <c r="DT387" s="424">
        <f t="shared" si="98"/>
        <v>0</v>
      </c>
      <c r="DU387" s="424">
        <f t="shared" si="98"/>
        <v>0</v>
      </c>
      <c r="DV387" s="424">
        <f t="shared" si="98"/>
        <v>0</v>
      </c>
      <c r="DW387" s="424">
        <f t="shared" si="98"/>
        <v>0</v>
      </c>
      <c r="DX387" s="424">
        <f t="shared" si="98"/>
        <v>0</v>
      </c>
      <c r="DY387" s="424">
        <f t="shared" si="98"/>
        <v>0</v>
      </c>
      <c r="DZ387" s="424">
        <f t="shared" si="98"/>
        <v>0</v>
      </c>
      <c r="EA387" s="424">
        <f t="shared" si="98"/>
        <v>0</v>
      </c>
      <c r="EB387" s="424">
        <f t="shared" si="98"/>
        <v>0</v>
      </c>
      <c r="EC387" s="424">
        <f t="shared" si="98"/>
        <v>0</v>
      </c>
      <c r="ED387" s="424">
        <f t="shared" si="98"/>
        <v>0</v>
      </c>
      <c r="EE387" s="424">
        <f t="shared" si="98"/>
        <v>0</v>
      </c>
      <c r="EF387" s="424">
        <f t="shared" si="98"/>
        <v>0</v>
      </c>
      <c r="EG387" s="424">
        <f t="shared" si="98"/>
        <v>0</v>
      </c>
      <c r="EH387" s="424">
        <f t="shared" ref="EH387:EX387" si="99">EH17*EH$372</f>
        <v>0</v>
      </c>
      <c r="EI387" s="424">
        <f t="shared" si="99"/>
        <v>0</v>
      </c>
      <c r="EJ387" s="424">
        <f t="shared" si="99"/>
        <v>0</v>
      </c>
      <c r="EK387" s="424">
        <f t="shared" si="99"/>
        <v>0</v>
      </c>
      <c r="EL387" s="424">
        <f t="shared" si="99"/>
        <v>0</v>
      </c>
      <c r="EM387" s="424">
        <f t="shared" si="99"/>
        <v>0</v>
      </c>
      <c r="EN387" s="424">
        <f t="shared" si="99"/>
        <v>0</v>
      </c>
      <c r="EO387" s="424">
        <f t="shared" si="99"/>
        <v>0</v>
      </c>
      <c r="EP387" s="424">
        <f t="shared" si="99"/>
        <v>0</v>
      </c>
      <c r="EQ387" s="424">
        <f t="shared" si="99"/>
        <v>0</v>
      </c>
      <c r="ER387" s="424">
        <f t="shared" si="99"/>
        <v>0</v>
      </c>
      <c r="ES387" s="424">
        <f t="shared" si="99"/>
        <v>0</v>
      </c>
      <c r="ET387" s="424">
        <f t="shared" si="99"/>
        <v>0</v>
      </c>
      <c r="EU387" s="424">
        <f t="shared" si="99"/>
        <v>0</v>
      </c>
      <c r="EV387" s="424">
        <f t="shared" si="99"/>
        <v>0</v>
      </c>
      <c r="EW387" s="424">
        <f t="shared" si="99"/>
        <v>0</v>
      </c>
      <c r="EX387" s="424">
        <f t="shared" si="99"/>
        <v>0</v>
      </c>
      <c r="EY387" s="425">
        <f t="shared" si="49"/>
        <v>12.4</v>
      </c>
    </row>
    <row r="388" spans="1:166" ht="14.7" customHeight="1" x14ac:dyDescent="0.25">
      <c r="A388" s="310">
        <v>14</v>
      </c>
      <c r="B388" s="311" t="str">
        <f t="shared" si="30"/>
        <v>Салат зеленый</v>
      </c>
      <c r="C388" s="483">
        <f t="shared" si="38"/>
        <v>16.309999999999999</v>
      </c>
      <c r="D388" s="888"/>
      <c r="E388" s="888"/>
      <c r="F388" s="888"/>
      <c r="G388" s="889"/>
      <c r="H388" s="680">
        <f t="shared" si="31"/>
        <v>17</v>
      </c>
      <c r="I388" s="1209">
        <f t="shared" si="32"/>
        <v>0</v>
      </c>
      <c r="J388" s="424">
        <f t="shared" ref="J388:AO388" si="100">J18*J$372</f>
        <v>0</v>
      </c>
      <c r="K388" s="424">
        <f t="shared" si="100"/>
        <v>0</v>
      </c>
      <c r="L388" s="424">
        <f t="shared" si="100"/>
        <v>0</v>
      </c>
      <c r="M388" s="424">
        <f t="shared" si="100"/>
        <v>0</v>
      </c>
      <c r="N388" s="424">
        <f t="shared" si="100"/>
        <v>0</v>
      </c>
      <c r="O388" s="424">
        <f t="shared" si="100"/>
        <v>0</v>
      </c>
      <c r="P388" s="424">
        <f t="shared" si="100"/>
        <v>0</v>
      </c>
      <c r="Q388" s="424">
        <f t="shared" si="100"/>
        <v>0</v>
      </c>
      <c r="R388" s="424">
        <f t="shared" si="100"/>
        <v>0</v>
      </c>
      <c r="S388" s="424">
        <f t="shared" si="100"/>
        <v>0</v>
      </c>
      <c r="T388" s="424">
        <f t="shared" si="100"/>
        <v>0</v>
      </c>
      <c r="U388" s="424">
        <f t="shared" si="100"/>
        <v>0</v>
      </c>
      <c r="V388" s="424">
        <f t="shared" si="100"/>
        <v>0</v>
      </c>
      <c r="W388" s="424">
        <f t="shared" si="100"/>
        <v>0</v>
      </c>
      <c r="X388" s="424">
        <f t="shared" si="100"/>
        <v>0</v>
      </c>
      <c r="Y388" s="424">
        <f t="shared" si="100"/>
        <v>0</v>
      </c>
      <c r="Z388" s="424">
        <f t="shared" si="100"/>
        <v>0</v>
      </c>
      <c r="AA388" s="424">
        <f t="shared" si="100"/>
        <v>0</v>
      </c>
      <c r="AB388" s="424">
        <f t="shared" si="100"/>
        <v>0</v>
      </c>
      <c r="AC388" s="424">
        <f t="shared" si="100"/>
        <v>0</v>
      </c>
      <c r="AD388" s="424">
        <f t="shared" si="100"/>
        <v>0</v>
      </c>
      <c r="AE388" s="424">
        <f t="shared" si="100"/>
        <v>0</v>
      </c>
      <c r="AF388" s="424">
        <f t="shared" si="100"/>
        <v>0</v>
      </c>
      <c r="AG388" s="424">
        <f t="shared" si="100"/>
        <v>0</v>
      </c>
      <c r="AH388" s="424">
        <f t="shared" si="100"/>
        <v>0</v>
      </c>
      <c r="AI388" s="424">
        <f t="shared" si="100"/>
        <v>0</v>
      </c>
      <c r="AJ388" s="424">
        <f t="shared" si="100"/>
        <v>0</v>
      </c>
      <c r="AK388" s="424">
        <f t="shared" si="100"/>
        <v>0</v>
      </c>
      <c r="AL388" s="424">
        <f t="shared" si="100"/>
        <v>0</v>
      </c>
      <c r="AM388" s="424">
        <f t="shared" si="100"/>
        <v>0</v>
      </c>
      <c r="AN388" s="424">
        <f t="shared" si="100"/>
        <v>0</v>
      </c>
      <c r="AO388" s="424">
        <f t="shared" si="100"/>
        <v>0</v>
      </c>
      <c r="AP388" s="424">
        <f t="shared" ref="AP388:BU388" si="101">AP18*AP$372</f>
        <v>15.83</v>
      </c>
      <c r="AQ388" s="424">
        <f t="shared" si="101"/>
        <v>0</v>
      </c>
      <c r="AR388" s="424">
        <f t="shared" si="101"/>
        <v>0</v>
      </c>
      <c r="AS388" s="424">
        <f t="shared" si="101"/>
        <v>0</v>
      </c>
      <c r="AT388" s="424">
        <f t="shared" si="101"/>
        <v>0</v>
      </c>
      <c r="AU388" s="424">
        <f t="shared" si="101"/>
        <v>0</v>
      </c>
      <c r="AV388" s="424">
        <f t="shared" si="101"/>
        <v>0</v>
      </c>
      <c r="AW388" s="424">
        <f t="shared" si="101"/>
        <v>0</v>
      </c>
      <c r="AX388" s="424">
        <f t="shared" si="101"/>
        <v>0</v>
      </c>
      <c r="AY388" s="424">
        <f t="shared" si="101"/>
        <v>0</v>
      </c>
      <c r="AZ388" s="424">
        <f t="shared" si="101"/>
        <v>0</v>
      </c>
      <c r="BA388" s="424">
        <f t="shared" si="101"/>
        <v>0</v>
      </c>
      <c r="BB388" s="424">
        <f t="shared" si="101"/>
        <v>0</v>
      </c>
      <c r="BC388" s="424">
        <f t="shared" si="101"/>
        <v>0</v>
      </c>
      <c r="BD388" s="424">
        <f t="shared" si="101"/>
        <v>0</v>
      </c>
      <c r="BE388" s="424">
        <f t="shared" si="101"/>
        <v>0</v>
      </c>
      <c r="BF388" s="424">
        <f t="shared" si="101"/>
        <v>0</v>
      </c>
      <c r="BG388" s="424">
        <f t="shared" si="101"/>
        <v>0</v>
      </c>
      <c r="BH388" s="424">
        <f t="shared" si="101"/>
        <v>0</v>
      </c>
      <c r="BI388" s="424">
        <f t="shared" si="101"/>
        <v>0</v>
      </c>
      <c r="BJ388" s="424">
        <f t="shared" si="101"/>
        <v>0</v>
      </c>
      <c r="BK388" s="424">
        <f t="shared" si="101"/>
        <v>0</v>
      </c>
      <c r="BL388" s="424">
        <f t="shared" si="101"/>
        <v>0</v>
      </c>
      <c r="BM388" s="424">
        <f t="shared" si="101"/>
        <v>0</v>
      </c>
      <c r="BN388" s="424">
        <f t="shared" si="101"/>
        <v>0</v>
      </c>
      <c r="BO388" s="424">
        <f t="shared" si="101"/>
        <v>0</v>
      </c>
      <c r="BP388" s="424">
        <f t="shared" si="101"/>
        <v>0</v>
      </c>
      <c r="BQ388" s="424">
        <f t="shared" si="101"/>
        <v>0</v>
      </c>
      <c r="BR388" s="424">
        <f t="shared" si="101"/>
        <v>0</v>
      </c>
      <c r="BS388" s="424">
        <f t="shared" si="101"/>
        <v>0</v>
      </c>
      <c r="BT388" s="424">
        <f t="shared" si="101"/>
        <v>0</v>
      </c>
      <c r="BU388" s="424">
        <f t="shared" si="101"/>
        <v>0</v>
      </c>
      <c r="BV388" s="424">
        <f t="shared" ref="BV388:DA388" si="102">BV18*BV$372</f>
        <v>0</v>
      </c>
      <c r="BW388" s="424">
        <f t="shared" si="102"/>
        <v>0</v>
      </c>
      <c r="BX388" s="424">
        <f t="shared" si="102"/>
        <v>0</v>
      </c>
      <c r="BY388" s="424">
        <f t="shared" si="102"/>
        <v>0</v>
      </c>
      <c r="BZ388" s="424">
        <f t="shared" si="102"/>
        <v>0</v>
      </c>
      <c r="CA388" s="424">
        <f t="shared" si="102"/>
        <v>0</v>
      </c>
      <c r="CB388" s="424">
        <f t="shared" si="102"/>
        <v>0</v>
      </c>
      <c r="CC388" s="424">
        <f t="shared" si="102"/>
        <v>0</v>
      </c>
      <c r="CD388" s="424">
        <f t="shared" si="102"/>
        <v>0</v>
      </c>
      <c r="CE388" s="424">
        <f t="shared" si="102"/>
        <v>0</v>
      </c>
      <c r="CF388" s="424">
        <f t="shared" si="102"/>
        <v>0.43</v>
      </c>
      <c r="CG388" s="424">
        <f t="shared" si="102"/>
        <v>0</v>
      </c>
      <c r="CH388" s="424">
        <f t="shared" si="102"/>
        <v>0</v>
      </c>
      <c r="CI388" s="424">
        <f t="shared" si="102"/>
        <v>0</v>
      </c>
      <c r="CJ388" s="424">
        <f t="shared" si="102"/>
        <v>0</v>
      </c>
      <c r="CK388" s="424">
        <f t="shared" si="102"/>
        <v>0</v>
      </c>
      <c r="CL388" s="424">
        <f t="shared" si="102"/>
        <v>0</v>
      </c>
      <c r="CM388" s="424">
        <f t="shared" si="102"/>
        <v>0</v>
      </c>
      <c r="CN388" s="424">
        <f t="shared" si="102"/>
        <v>0</v>
      </c>
      <c r="CO388" s="424">
        <f t="shared" si="102"/>
        <v>0</v>
      </c>
      <c r="CP388" s="424">
        <f t="shared" si="102"/>
        <v>0</v>
      </c>
      <c r="CQ388" s="424">
        <f t="shared" si="102"/>
        <v>0</v>
      </c>
      <c r="CR388" s="424">
        <f t="shared" si="102"/>
        <v>0</v>
      </c>
      <c r="CS388" s="424">
        <f t="shared" si="102"/>
        <v>0</v>
      </c>
      <c r="CT388" s="424">
        <f t="shared" si="102"/>
        <v>0</v>
      </c>
      <c r="CU388" s="424">
        <f t="shared" si="102"/>
        <v>0</v>
      </c>
      <c r="CV388" s="424">
        <f t="shared" si="102"/>
        <v>0</v>
      </c>
      <c r="CW388" s="424">
        <f t="shared" si="102"/>
        <v>0</v>
      </c>
      <c r="CX388" s="424">
        <f t="shared" si="102"/>
        <v>0</v>
      </c>
      <c r="CY388" s="424">
        <f t="shared" si="102"/>
        <v>0</v>
      </c>
      <c r="CZ388" s="424">
        <f t="shared" si="102"/>
        <v>0</v>
      </c>
      <c r="DA388" s="424">
        <f t="shared" si="102"/>
        <v>0</v>
      </c>
      <c r="DB388" s="424">
        <f t="shared" ref="DB388:EG388" si="103">DB18*DB$372</f>
        <v>0</v>
      </c>
      <c r="DC388" s="424">
        <f t="shared" si="103"/>
        <v>0.05</v>
      </c>
      <c r="DD388" s="424">
        <f t="shared" si="103"/>
        <v>0</v>
      </c>
      <c r="DE388" s="424">
        <f t="shared" si="103"/>
        <v>0</v>
      </c>
      <c r="DF388" s="424">
        <f t="shared" si="103"/>
        <v>0</v>
      </c>
      <c r="DG388" s="424">
        <f t="shared" si="103"/>
        <v>0</v>
      </c>
      <c r="DH388" s="424">
        <f t="shared" si="103"/>
        <v>0</v>
      </c>
      <c r="DI388" s="424">
        <f t="shared" si="103"/>
        <v>0</v>
      </c>
      <c r="DJ388" s="424">
        <f t="shared" si="103"/>
        <v>0</v>
      </c>
      <c r="DK388" s="424">
        <f t="shared" si="103"/>
        <v>0</v>
      </c>
      <c r="DL388" s="424">
        <f t="shared" si="103"/>
        <v>0</v>
      </c>
      <c r="DM388" s="424">
        <f t="shared" si="103"/>
        <v>0</v>
      </c>
      <c r="DN388" s="424">
        <f t="shared" si="103"/>
        <v>0</v>
      </c>
      <c r="DO388" s="424">
        <f t="shared" si="103"/>
        <v>0</v>
      </c>
      <c r="DP388" s="424">
        <f t="shared" si="103"/>
        <v>0</v>
      </c>
      <c r="DQ388" s="424">
        <f t="shared" si="103"/>
        <v>0</v>
      </c>
      <c r="DR388" s="424">
        <f t="shared" si="103"/>
        <v>0</v>
      </c>
      <c r="DS388" s="424">
        <f t="shared" si="103"/>
        <v>0</v>
      </c>
      <c r="DT388" s="424">
        <f t="shared" si="103"/>
        <v>0</v>
      </c>
      <c r="DU388" s="424">
        <f t="shared" si="103"/>
        <v>0</v>
      </c>
      <c r="DV388" s="424">
        <f t="shared" si="103"/>
        <v>0</v>
      </c>
      <c r="DW388" s="424">
        <f t="shared" si="103"/>
        <v>0</v>
      </c>
      <c r="DX388" s="424">
        <f t="shared" si="103"/>
        <v>0</v>
      </c>
      <c r="DY388" s="424">
        <f t="shared" si="103"/>
        <v>0</v>
      </c>
      <c r="DZ388" s="424">
        <f t="shared" si="103"/>
        <v>0</v>
      </c>
      <c r="EA388" s="424">
        <f t="shared" si="103"/>
        <v>0</v>
      </c>
      <c r="EB388" s="424">
        <f t="shared" si="103"/>
        <v>0</v>
      </c>
      <c r="EC388" s="424">
        <f t="shared" si="103"/>
        <v>0</v>
      </c>
      <c r="ED388" s="424">
        <f t="shared" si="103"/>
        <v>0</v>
      </c>
      <c r="EE388" s="424">
        <f t="shared" si="103"/>
        <v>0</v>
      </c>
      <c r="EF388" s="424">
        <f t="shared" si="103"/>
        <v>0</v>
      </c>
      <c r="EG388" s="424">
        <f t="shared" si="103"/>
        <v>0</v>
      </c>
      <c r="EH388" s="424">
        <f t="shared" ref="EH388:EX388" si="104">EH18*EH$372</f>
        <v>0</v>
      </c>
      <c r="EI388" s="424">
        <f t="shared" si="104"/>
        <v>0</v>
      </c>
      <c r="EJ388" s="424">
        <f t="shared" si="104"/>
        <v>0</v>
      </c>
      <c r="EK388" s="424">
        <f t="shared" si="104"/>
        <v>0</v>
      </c>
      <c r="EL388" s="424">
        <f t="shared" si="104"/>
        <v>0</v>
      </c>
      <c r="EM388" s="424">
        <f t="shared" si="104"/>
        <v>0</v>
      </c>
      <c r="EN388" s="424">
        <f t="shared" si="104"/>
        <v>0</v>
      </c>
      <c r="EO388" s="424">
        <f t="shared" si="104"/>
        <v>0</v>
      </c>
      <c r="EP388" s="424">
        <f t="shared" si="104"/>
        <v>0</v>
      </c>
      <c r="EQ388" s="424">
        <f t="shared" si="104"/>
        <v>0</v>
      </c>
      <c r="ER388" s="424">
        <f t="shared" si="104"/>
        <v>0</v>
      </c>
      <c r="ES388" s="424">
        <f t="shared" si="104"/>
        <v>0</v>
      </c>
      <c r="ET388" s="424">
        <f t="shared" si="104"/>
        <v>0</v>
      </c>
      <c r="EU388" s="424">
        <f t="shared" si="104"/>
        <v>0</v>
      </c>
      <c r="EV388" s="424">
        <f t="shared" si="104"/>
        <v>0</v>
      </c>
      <c r="EW388" s="424">
        <f t="shared" si="104"/>
        <v>0</v>
      </c>
      <c r="EX388" s="424">
        <f t="shared" si="104"/>
        <v>0</v>
      </c>
      <c r="EY388" s="425">
        <f t="shared" si="49"/>
        <v>16.309999999999999</v>
      </c>
    </row>
    <row r="389" spans="1:166" ht="14.7" customHeight="1" x14ac:dyDescent="0.25">
      <c r="A389" s="310">
        <v>15</v>
      </c>
      <c r="B389" s="311" t="str">
        <f t="shared" si="30"/>
        <v>Салат зеленый с огурцами</v>
      </c>
      <c r="C389" s="483">
        <f t="shared" si="38"/>
        <v>9.74</v>
      </c>
      <c r="D389" s="888"/>
      <c r="E389" s="888"/>
      <c r="F389" s="888"/>
      <c r="G389" s="889"/>
      <c r="H389" s="680">
        <f t="shared" si="31"/>
        <v>18</v>
      </c>
      <c r="I389" s="1209">
        <f t="shared" si="32"/>
        <v>0</v>
      </c>
      <c r="J389" s="424">
        <f t="shared" ref="J389:AO389" si="105">J19*J$372</f>
        <v>0</v>
      </c>
      <c r="K389" s="424">
        <f t="shared" si="105"/>
        <v>0</v>
      </c>
      <c r="L389" s="424">
        <f t="shared" si="105"/>
        <v>0</v>
      </c>
      <c r="M389" s="424">
        <f t="shared" si="105"/>
        <v>0</v>
      </c>
      <c r="N389" s="424">
        <f t="shared" si="105"/>
        <v>0</v>
      </c>
      <c r="O389" s="424">
        <f t="shared" si="105"/>
        <v>0</v>
      </c>
      <c r="P389" s="424">
        <f t="shared" si="105"/>
        <v>0</v>
      </c>
      <c r="Q389" s="424">
        <f t="shared" si="105"/>
        <v>0</v>
      </c>
      <c r="R389" s="424">
        <f t="shared" si="105"/>
        <v>0</v>
      </c>
      <c r="S389" s="424">
        <f t="shared" si="105"/>
        <v>0</v>
      </c>
      <c r="T389" s="424">
        <f t="shared" si="105"/>
        <v>0</v>
      </c>
      <c r="U389" s="424">
        <f t="shared" si="105"/>
        <v>0</v>
      </c>
      <c r="V389" s="424">
        <f t="shared" si="105"/>
        <v>0</v>
      </c>
      <c r="W389" s="424">
        <f t="shared" si="105"/>
        <v>0</v>
      </c>
      <c r="X389" s="424">
        <f t="shared" si="105"/>
        <v>0</v>
      </c>
      <c r="Y389" s="424">
        <f t="shared" si="105"/>
        <v>0</v>
      </c>
      <c r="Z389" s="424">
        <f t="shared" si="105"/>
        <v>0</v>
      </c>
      <c r="AA389" s="424">
        <f t="shared" si="105"/>
        <v>0</v>
      </c>
      <c r="AB389" s="424">
        <f t="shared" si="105"/>
        <v>0</v>
      </c>
      <c r="AC389" s="424">
        <f t="shared" si="105"/>
        <v>0</v>
      </c>
      <c r="AD389" s="424">
        <f t="shared" si="105"/>
        <v>0</v>
      </c>
      <c r="AE389" s="424">
        <f t="shared" si="105"/>
        <v>0</v>
      </c>
      <c r="AF389" s="424">
        <f t="shared" si="105"/>
        <v>0</v>
      </c>
      <c r="AG389" s="424">
        <f t="shared" si="105"/>
        <v>0</v>
      </c>
      <c r="AH389" s="424">
        <f t="shared" si="105"/>
        <v>0</v>
      </c>
      <c r="AI389" s="424">
        <f t="shared" si="105"/>
        <v>0</v>
      </c>
      <c r="AJ389" s="424">
        <f t="shared" si="105"/>
        <v>0</v>
      </c>
      <c r="AK389" s="424">
        <f t="shared" si="105"/>
        <v>0</v>
      </c>
      <c r="AL389" s="424">
        <f t="shared" si="105"/>
        <v>0</v>
      </c>
      <c r="AM389" s="424">
        <f t="shared" si="105"/>
        <v>0</v>
      </c>
      <c r="AN389" s="424">
        <f t="shared" si="105"/>
        <v>0</v>
      </c>
      <c r="AO389" s="424">
        <f t="shared" si="105"/>
        <v>2.4300000000000002</v>
      </c>
      <c r="AP389" s="424">
        <f t="shared" ref="AP389:BU389" si="106">AP19*AP$372</f>
        <v>6.83</v>
      </c>
      <c r="AQ389" s="424">
        <f t="shared" si="106"/>
        <v>0</v>
      </c>
      <c r="AR389" s="424">
        <f t="shared" si="106"/>
        <v>0</v>
      </c>
      <c r="AS389" s="424">
        <f t="shared" si="106"/>
        <v>0</v>
      </c>
      <c r="AT389" s="424">
        <f t="shared" si="106"/>
        <v>0</v>
      </c>
      <c r="AU389" s="424">
        <f t="shared" si="106"/>
        <v>0</v>
      </c>
      <c r="AV389" s="424">
        <f t="shared" si="106"/>
        <v>0</v>
      </c>
      <c r="AW389" s="424">
        <f t="shared" si="106"/>
        <v>0</v>
      </c>
      <c r="AX389" s="424">
        <f t="shared" si="106"/>
        <v>0</v>
      </c>
      <c r="AY389" s="424">
        <f t="shared" si="106"/>
        <v>0</v>
      </c>
      <c r="AZ389" s="424">
        <f t="shared" si="106"/>
        <v>0</v>
      </c>
      <c r="BA389" s="424">
        <f t="shared" si="106"/>
        <v>0</v>
      </c>
      <c r="BB389" s="424">
        <f t="shared" si="106"/>
        <v>0</v>
      </c>
      <c r="BC389" s="424">
        <f t="shared" si="106"/>
        <v>0</v>
      </c>
      <c r="BD389" s="424">
        <f t="shared" si="106"/>
        <v>0</v>
      </c>
      <c r="BE389" s="424">
        <f t="shared" si="106"/>
        <v>0</v>
      </c>
      <c r="BF389" s="424">
        <f t="shared" si="106"/>
        <v>0</v>
      </c>
      <c r="BG389" s="424">
        <f t="shared" si="106"/>
        <v>0</v>
      </c>
      <c r="BH389" s="424">
        <f t="shared" si="106"/>
        <v>0</v>
      </c>
      <c r="BI389" s="424">
        <f t="shared" si="106"/>
        <v>0</v>
      </c>
      <c r="BJ389" s="424">
        <f t="shared" si="106"/>
        <v>0</v>
      </c>
      <c r="BK389" s="424">
        <f t="shared" si="106"/>
        <v>0</v>
      </c>
      <c r="BL389" s="424">
        <f t="shared" si="106"/>
        <v>0</v>
      </c>
      <c r="BM389" s="424">
        <f t="shared" si="106"/>
        <v>0</v>
      </c>
      <c r="BN389" s="424">
        <f t="shared" si="106"/>
        <v>0</v>
      </c>
      <c r="BO389" s="424">
        <f t="shared" si="106"/>
        <v>0</v>
      </c>
      <c r="BP389" s="424">
        <f t="shared" si="106"/>
        <v>0</v>
      </c>
      <c r="BQ389" s="424">
        <f t="shared" si="106"/>
        <v>0</v>
      </c>
      <c r="BR389" s="424">
        <f t="shared" si="106"/>
        <v>0</v>
      </c>
      <c r="BS389" s="424">
        <f t="shared" si="106"/>
        <v>0</v>
      </c>
      <c r="BT389" s="424">
        <f t="shared" si="106"/>
        <v>0</v>
      </c>
      <c r="BU389" s="424">
        <f t="shared" si="106"/>
        <v>0</v>
      </c>
      <c r="BV389" s="424">
        <f t="shared" ref="BV389:DA389" si="107">BV19*BV$372</f>
        <v>0</v>
      </c>
      <c r="BW389" s="424">
        <f t="shared" si="107"/>
        <v>0</v>
      </c>
      <c r="BX389" s="424">
        <f t="shared" si="107"/>
        <v>0</v>
      </c>
      <c r="BY389" s="424">
        <f t="shared" si="107"/>
        <v>0</v>
      </c>
      <c r="BZ389" s="424">
        <f t="shared" si="107"/>
        <v>0</v>
      </c>
      <c r="CA389" s="424">
        <f t="shared" si="107"/>
        <v>0</v>
      </c>
      <c r="CB389" s="424">
        <f t="shared" si="107"/>
        <v>0</v>
      </c>
      <c r="CC389" s="424">
        <f t="shared" si="107"/>
        <v>0</v>
      </c>
      <c r="CD389" s="424">
        <f t="shared" si="107"/>
        <v>0</v>
      </c>
      <c r="CE389" s="424">
        <f t="shared" si="107"/>
        <v>0</v>
      </c>
      <c r="CF389" s="424">
        <f t="shared" si="107"/>
        <v>0.43</v>
      </c>
      <c r="CG389" s="424">
        <f t="shared" si="107"/>
        <v>0</v>
      </c>
      <c r="CH389" s="424">
        <f t="shared" si="107"/>
        <v>0</v>
      </c>
      <c r="CI389" s="424">
        <f t="shared" si="107"/>
        <v>0</v>
      </c>
      <c r="CJ389" s="424">
        <f t="shared" si="107"/>
        <v>0</v>
      </c>
      <c r="CK389" s="424">
        <f t="shared" si="107"/>
        <v>0</v>
      </c>
      <c r="CL389" s="424">
        <f t="shared" si="107"/>
        <v>0</v>
      </c>
      <c r="CM389" s="424">
        <f t="shared" si="107"/>
        <v>0</v>
      </c>
      <c r="CN389" s="424">
        <f t="shared" si="107"/>
        <v>0</v>
      </c>
      <c r="CO389" s="424">
        <f t="shared" si="107"/>
        <v>0</v>
      </c>
      <c r="CP389" s="424">
        <f t="shared" si="107"/>
        <v>0</v>
      </c>
      <c r="CQ389" s="424">
        <f t="shared" si="107"/>
        <v>0</v>
      </c>
      <c r="CR389" s="424">
        <f t="shared" si="107"/>
        <v>0</v>
      </c>
      <c r="CS389" s="424">
        <f t="shared" si="107"/>
        <v>0</v>
      </c>
      <c r="CT389" s="424">
        <f t="shared" si="107"/>
        <v>0</v>
      </c>
      <c r="CU389" s="424">
        <f t="shared" si="107"/>
        <v>0</v>
      </c>
      <c r="CV389" s="424">
        <f t="shared" si="107"/>
        <v>0</v>
      </c>
      <c r="CW389" s="424">
        <f t="shared" si="107"/>
        <v>0</v>
      </c>
      <c r="CX389" s="424">
        <f t="shared" si="107"/>
        <v>0</v>
      </c>
      <c r="CY389" s="424">
        <f t="shared" si="107"/>
        <v>0</v>
      </c>
      <c r="CZ389" s="424">
        <f t="shared" si="107"/>
        <v>0</v>
      </c>
      <c r="DA389" s="424">
        <f t="shared" si="107"/>
        <v>0</v>
      </c>
      <c r="DB389" s="424">
        <f t="shared" ref="DB389:EG389" si="108">DB19*DB$372</f>
        <v>0</v>
      </c>
      <c r="DC389" s="424">
        <f t="shared" si="108"/>
        <v>0.05</v>
      </c>
      <c r="DD389" s="424">
        <f t="shared" si="108"/>
        <v>0</v>
      </c>
      <c r="DE389" s="424">
        <f t="shared" si="108"/>
        <v>0</v>
      </c>
      <c r="DF389" s="424">
        <f t="shared" si="108"/>
        <v>0</v>
      </c>
      <c r="DG389" s="424">
        <f t="shared" si="108"/>
        <v>0</v>
      </c>
      <c r="DH389" s="424">
        <f t="shared" si="108"/>
        <v>0</v>
      </c>
      <c r="DI389" s="424">
        <f t="shared" si="108"/>
        <v>0</v>
      </c>
      <c r="DJ389" s="424">
        <f t="shared" si="108"/>
        <v>0</v>
      </c>
      <c r="DK389" s="424">
        <f t="shared" si="108"/>
        <v>0</v>
      </c>
      <c r="DL389" s="424">
        <f t="shared" si="108"/>
        <v>0</v>
      </c>
      <c r="DM389" s="424">
        <f t="shared" si="108"/>
        <v>0</v>
      </c>
      <c r="DN389" s="424">
        <f t="shared" si="108"/>
        <v>0</v>
      </c>
      <c r="DO389" s="424">
        <f t="shared" si="108"/>
        <v>0</v>
      </c>
      <c r="DP389" s="424">
        <f t="shared" si="108"/>
        <v>0</v>
      </c>
      <c r="DQ389" s="424">
        <f t="shared" si="108"/>
        <v>0</v>
      </c>
      <c r="DR389" s="424">
        <f t="shared" si="108"/>
        <v>0</v>
      </c>
      <c r="DS389" s="424">
        <f t="shared" si="108"/>
        <v>0</v>
      </c>
      <c r="DT389" s="424">
        <f t="shared" si="108"/>
        <v>0</v>
      </c>
      <c r="DU389" s="424">
        <f t="shared" si="108"/>
        <v>0</v>
      </c>
      <c r="DV389" s="424">
        <f t="shared" si="108"/>
        <v>0</v>
      </c>
      <c r="DW389" s="424">
        <f t="shared" si="108"/>
        <v>0</v>
      </c>
      <c r="DX389" s="424">
        <f t="shared" si="108"/>
        <v>0</v>
      </c>
      <c r="DY389" s="424">
        <f t="shared" si="108"/>
        <v>0</v>
      </c>
      <c r="DZ389" s="424">
        <f t="shared" si="108"/>
        <v>0</v>
      </c>
      <c r="EA389" s="424">
        <f t="shared" si="108"/>
        <v>0</v>
      </c>
      <c r="EB389" s="424">
        <f t="shared" si="108"/>
        <v>0</v>
      </c>
      <c r="EC389" s="424">
        <f t="shared" si="108"/>
        <v>0</v>
      </c>
      <c r="ED389" s="424">
        <f t="shared" si="108"/>
        <v>0</v>
      </c>
      <c r="EE389" s="424">
        <f t="shared" si="108"/>
        <v>0</v>
      </c>
      <c r="EF389" s="424">
        <f t="shared" si="108"/>
        <v>0</v>
      </c>
      <c r="EG389" s="424">
        <f t="shared" si="108"/>
        <v>0</v>
      </c>
      <c r="EH389" s="424">
        <f t="shared" ref="EH389:EX389" si="109">EH19*EH$372</f>
        <v>0</v>
      </c>
      <c r="EI389" s="424">
        <f t="shared" si="109"/>
        <v>0</v>
      </c>
      <c r="EJ389" s="424">
        <f t="shared" si="109"/>
        <v>0</v>
      </c>
      <c r="EK389" s="424">
        <f t="shared" si="109"/>
        <v>0</v>
      </c>
      <c r="EL389" s="424">
        <f t="shared" si="109"/>
        <v>0</v>
      </c>
      <c r="EM389" s="424">
        <f t="shared" si="109"/>
        <v>0</v>
      </c>
      <c r="EN389" s="424">
        <f t="shared" si="109"/>
        <v>0</v>
      </c>
      <c r="EO389" s="424">
        <f t="shared" si="109"/>
        <v>0</v>
      </c>
      <c r="EP389" s="424">
        <f t="shared" si="109"/>
        <v>0</v>
      </c>
      <c r="EQ389" s="424">
        <f t="shared" si="109"/>
        <v>0</v>
      </c>
      <c r="ER389" s="424">
        <f t="shared" si="109"/>
        <v>0</v>
      </c>
      <c r="ES389" s="424">
        <f t="shared" si="109"/>
        <v>0</v>
      </c>
      <c r="ET389" s="424">
        <f t="shared" si="109"/>
        <v>0</v>
      </c>
      <c r="EU389" s="424">
        <f t="shared" si="109"/>
        <v>0</v>
      </c>
      <c r="EV389" s="424">
        <f t="shared" si="109"/>
        <v>0</v>
      </c>
      <c r="EW389" s="424">
        <f t="shared" si="109"/>
        <v>0</v>
      </c>
      <c r="EX389" s="424">
        <f t="shared" si="109"/>
        <v>0</v>
      </c>
      <c r="EY389" s="425">
        <f t="shared" si="49"/>
        <v>9.74</v>
      </c>
    </row>
    <row r="390" spans="1:166" ht="14.7" customHeight="1" x14ac:dyDescent="0.25">
      <c r="A390" s="310">
        <v>16</v>
      </c>
      <c r="B390" s="311" t="str">
        <f t="shared" si="30"/>
        <v>Салат зеленый с огурцами и помидорами</v>
      </c>
      <c r="C390" s="483">
        <f t="shared" si="38"/>
        <v>9.27</v>
      </c>
      <c r="D390" s="888"/>
      <c r="E390" s="888"/>
      <c r="F390" s="888"/>
      <c r="G390" s="889"/>
      <c r="H390" s="680">
        <f t="shared" si="31"/>
        <v>19</v>
      </c>
      <c r="I390" s="1209">
        <f t="shared" si="32"/>
        <v>0</v>
      </c>
      <c r="J390" s="424">
        <f t="shared" ref="J390:AO390" si="110">J20*J$372</f>
        <v>0</v>
      </c>
      <c r="K390" s="424">
        <f t="shared" si="110"/>
        <v>0</v>
      </c>
      <c r="L390" s="424">
        <f t="shared" si="110"/>
        <v>0</v>
      </c>
      <c r="M390" s="424">
        <f t="shared" si="110"/>
        <v>0</v>
      </c>
      <c r="N390" s="424">
        <f t="shared" si="110"/>
        <v>0</v>
      </c>
      <c r="O390" s="424">
        <f t="shared" si="110"/>
        <v>0</v>
      </c>
      <c r="P390" s="424">
        <f t="shared" si="110"/>
        <v>0</v>
      </c>
      <c r="Q390" s="424">
        <f t="shared" si="110"/>
        <v>0</v>
      </c>
      <c r="R390" s="424">
        <f t="shared" si="110"/>
        <v>0</v>
      </c>
      <c r="S390" s="424">
        <f t="shared" si="110"/>
        <v>0</v>
      </c>
      <c r="T390" s="424">
        <f t="shared" si="110"/>
        <v>0</v>
      </c>
      <c r="U390" s="424">
        <f t="shared" si="110"/>
        <v>0</v>
      </c>
      <c r="V390" s="424">
        <f t="shared" si="110"/>
        <v>0</v>
      </c>
      <c r="W390" s="424">
        <f t="shared" si="110"/>
        <v>0</v>
      </c>
      <c r="X390" s="424">
        <f t="shared" si="110"/>
        <v>0</v>
      </c>
      <c r="Y390" s="424">
        <f t="shared" si="110"/>
        <v>0</v>
      </c>
      <c r="Z390" s="424">
        <f t="shared" si="110"/>
        <v>0</v>
      </c>
      <c r="AA390" s="424">
        <f t="shared" si="110"/>
        <v>0</v>
      </c>
      <c r="AB390" s="424">
        <f t="shared" si="110"/>
        <v>0</v>
      </c>
      <c r="AC390" s="424">
        <f t="shared" si="110"/>
        <v>0</v>
      </c>
      <c r="AD390" s="424">
        <f t="shared" si="110"/>
        <v>0</v>
      </c>
      <c r="AE390" s="424">
        <f t="shared" si="110"/>
        <v>0</v>
      </c>
      <c r="AF390" s="424">
        <f t="shared" si="110"/>
        <v>0</v>
      </c>
      <c r="AG390" s="424">
        <f t="shared" si="110"/>
        <v>0</v>
      </c>
      <c r="AH390" s="424">
        <f t="shared" si="110"/>
        <v>0</v>
      </c>
      <c r="AI390" s="424">
        <f t="shared" si="110"/>
        <v>0</v>
      </c>
      <c r="AJ390" s="424">
        <f t="shared" si="110"/>
        <v>0</v>
      </c>
      <c r="AK390" s="424">
        <f t="shared" si="110"/>
        <v>0</v>
      </c>
      <c r="AL390" s="424">
        <f t="shared" si="110"/>
        <v>0</v>
      </c>
      <c r="AM390" s="424">
        <f t="shared" si="110"/>
        <v>0</v>
      </c>
      <c r="AN390" s="424">
        <f t="shared" si="110"/>
        <v>2.17</v>
      </c>
      <c r="AO390" s="424">
        <f t="shared" si="110"/>
        <v>1.62</v>
      </c>
      <c r="AP390" s="424">
        <f t="shared" ref="AP390:BU390" si="111">AP20*AP$372</f>
        <v>5</v>
      </c>
      <c r="AQ390" s="424">
        <f t="shared" si="111"/>
        <v>0</v>
      </c>
      <c r="AR390" s="424">
        <f t="shared" si="111"/>
        <v>0</v>
      </c>
      <c r="AS390" s="424">
        <f t="shared" si="111"/>
        <v>0</v>
      </c>
      <c r="AT390" s="424">
        <f t="shared" si="111"/>
        <v>0</v>
      </c>
      <c r="AU390" s="424">
        <f t="shared" si="111"/>
        <v>0</v>
      </c>
      <c r="AV390" s="424">
        <f t="shared" si="111"/>
        <v>0</v>
      </c>
      <c r="AW390" s="424">
        <f t="shared" si="111"/>
        <v>0</v>
      </c>
      <c r="AX390" s="424">
        <f t="shared" si="111"/>
        <v>0</v>
      </c>
      <c r="AY390" s="424">
        <f t="shared" si="111"/>
        <v>0</v>
      </c>
      <c r="AZ390" s="424">
        <f t="shared" si="111"/>
        <v>0</v>
      </c>
      <c r="BA390" s="424">
        <f t="shared" si="111"/>
        <v>0</v>
      </c>
      <c r="BB390" s="424">
        <f t="shared" si="111"/>
        <v>0</v>
      </c>
      <c r="BC390" s="424">
        <f t="shared" si="111"/>
        <v>0</v>
      </c>
      <c r="BD390" s="424">
        <f t="shared" si="111"/>
        <v>0</v>
      </c>
      <c r="BE390" s="424">
        <f t="shared" si="111"/>
        <v>0</v>
      </c>
      <c r="BF390" s="424">
        <f t="shared" si="111"/>
        <v>0</v>
      </c>
      <c r="BG390" s="424">
        <f t="shared" si="111"/>
        <v>0</v>
      </c>
      <c r="BH390" s="424">
        <f t="shared" si="111"/>
        <v>0</v>
      </c>
      <c r="BI390" s="424">
        <f t="shared" si="111"/>
        <v>0</v>
      </c>
      <c r="BJ390" s="424">
        <f t="shared" si="111"/>
        <v>0</v>
      </c>
      <c r="BK390" s="424">
        <f t="shared" si="111"/>
        <v>0</v>
      </c>
      <c r="BL390" s="424">
        <f t="shared" si="111"/>
        <v>0</v>
      </c>
      <c r="BM390" s="424">
        <f t="shared" si="111"/>
        <v>0</v>
      </c>
      <c r="BN390" s="424">
        <f t="shared" si="111"/>
        <v>0</v>
      </c>
      <c r="BO390" s="424">
        <f t="shared" si="111"/>
        <v>0</v>
      </c>
      <c r="BP390" s="424">
        <f t="shared" si="111"/>
        <v>0</v>
      </c>
      <c r="BQ390" s="424">
        <f t="shared" si="111"/>
        <v>0</v>
      </c>
      <c r="BR390" s="424">
        <f t="shared" si="111"/>
        <v>0</v>
      </c>
      <c r="BS390" s="424">
        <f t="shared" si="111"/>
        <v>0</v>
      </c>
      <c r="BT390" s="424">
        <f t="shared" si="111"/>
        <v>0</v>
      </c>
      <c r="BU390" s="424">
        <f t="shared" si="111"/>
        <v>0</v>
      </c>
      <c r="BV390" s="424">
        <f t="shared" ref="BV390:DA390" si="112">BV20*BV$372</f>
        <v>0</v>
      </c>
      <c r="BW390" s="424">
        <f t="shared" si="112"/>
        <v>0</v>
      </c>
      <c r="BX390" s="424">
        <f t="shared" si="112"/>
        <v>0</v>
      </c>
      <c r="BY390" s="424">
        <f t="shared" si="112"/>
        <v>0</v>
      </c>
      <c r="BZ390" s="424">
        <f t="shared" si="112"/>
        <v>0</v>
      </c>
      <c r="CA390" s="424">
        <f t="shared" si="112"/>
        <v>0</v>
      </c>
      <c r="CB390" s="424">
        <f t="shared" si="112"/>
        <v>0</v>
      </c>
      <c r="CC390" s="424">
        <f t="shared" si="112"/>
        <v>0</v>
      </c>
      <c r="CD390" s="424">
        <f t="shared" si="112"/>
        <v>0</v>
      </c>
      <c r="CE390" s="424">
        <f t="shared" si="112"/>
        <v>0</v>
      </c>
      <c r="CF390" s="424">
        <f t="shared" si="112"/>
        <v>0.43</v>
      </c>
      <c r="CG390" s="424">
        <f t="shared" si="112"/>
        <v>0</v>
      </c>
      <c r="CH390" s="424">
        <f t="shared" si="112"/>
        <v>0</v>
      </c>
      <c r="CI390" s="424">
        <f t="shared" si="112"/>
        <v>0</v>
      </c>
      <c r="CJ390" s="424">
        <f t="shared" si="112"/>
        <v>0</v>
      </c>
      <c r="CK390" s="424">
        <f t="shared" si="112"/>
        <v>0</v>
      </c>
      <c r="CL390" s="424">
        <f t="shared" si="112"/>
        <v>0</v>
      </c>
      <c r="CM390" s="424">
        <f t="shared" si="112"/>
        <v>0</v>
      </c>
      <c r="CN390" s="424">
        <f t="shared" si="112"/>
        <v>0</v>
      </c>
      <c r="CO390" s="424">
        <f t="shared" si="112"/>
        <v>0</v>
      </c>
      <c r="CP390" s="424">
        <f t="shared" si="112"/>
        <v>0</v>
      </c>
      <c r="CQ390" s="424">
        <f t="shared" si="112"/>
        <v>0</v>
      </c>
      <c r="CR390" s="424">
        <f t="shared" si="112"/>
        <v>0</v>
      </c>
      <c r="CS390" s="424">
        <f t="shared" si="112"/>
        <v>0</v>
      </c>
      <c r="CT390" s="424">
        <f t="shared" si="112"/>
        <v>0</v>
      </c>
      <c r="CU390" s="424">
        <f t="shared" si="112"/>
        <v>0</v>
      </c>
      <c r="CV390" s="424">
        <f t="shared" si="112"/>
        <v>0</v>
      </c>
      <c r="CW390" s="424">
        <f t="shared" si="112"/>
        <v>0</v>
      </c>
      <c r="CX390" s="424">
        <f t="shared" si="112"/>
        <v>0</v>
      </c>
      <c r="CY390" s="424">
        <f t="shared" si="112"/>
        <v>0</v>
      </c>
      <c r="CZ390" s="424">
        <f t="shared" si="112"/>
        <v>0</v>
      </c>
      <c r="DA390" s="424">
        <f t="shared" si="112"/>
        <v>0</v>
      </c>
      <c r="DB390" s="424">
        <f t="shared" ref="DB390:EG390" si="113">DB20*DB$372</f>
        <v>0</v>
      </c>
      <c r="DC390" s="424">
        <f t="shared" si="113"/>
        <v>0.05</v>
      </c>
      <c r="DD390" s="424">
        <f t="shared" si="113"/>
        <v>0</v>
      </c>
      <c r="DE390" s="424">
        <f t="shared" si="113"/>
        <v>0</v>
      </c>
      <c r="DF390" s="424">
        <f t="shared" si="113"/>
        <v>0</v>
      </c>
      <c r="DG390" s="424">
        <f t="shared" si="113"/>
        <v>0</v>
      </c>
      <c r="DH390" s="424">
        <f t="shared" si="113"/>
        <v>0</v>
      </c>
      <c r="DI390" s="424">
        <f t="shared" si="113"/>
        <v>0</v>
      </c>
      <c r="DJ390" s="424">
        <f t="shared" si="113"/>
        <v>0</v>
      </c>
      <c r="DK390" s="424">
        <f t="shared" si="113"/>
        <v>0</v>
      </c>
      <c r="DL390" s="424">
        <f t="shared" si="113"/>
        <v>0</v>
      </c>
      <c r="DM390" s="424">
        <f t="shared" si="113"/>
        <v>0</v>
      </c>
      <c r="DN390" s="424">
        <f t="shared" si="113"/>
        <v>0</v>
      </c>
      <c r="DO390" s="424">
        <f t="shared" si="113"/>
        <v>0</v>
      </c>
      <c r="DP390" s="424">
        <f t="shared" si="113"/>
        <v>0</v>
      </c>
      <c r="DQ390" s="424">
        <f t="shared" si="113"/>
        <v>0</v>
      </c>
      <c r="DR390" s="424">
        <f t="shared" si="113"/>
        <v>0</v>
      </c>
      <c r="DS390" s="424">
        <f t="shared" si="113"/>
        <v>0</v>
      </c>
      <c r="DT390" s="424">
        <f t="shared" si="113"/>
        <v>0</v>
      </c>
      <c r="DU390" s="424">
        <f t="shared" si="113"/>
        <v>0</v>
      </c>
      <c r="DV390" s="424">
        <f t="shared" si="113"/>
        <v>0</v>
      </c>
      <c r="DW390" s="424">
        <f t="shared" si="113"/>
        <v>0</v>
      </c>
      <c r="DX390" s="424">
        <f t="shared" si="113"/>
        <v>0</v>
      </c>
      <c r="DY390" s="424">
        <f t="shared" si="113"/>
        <v>0</v>
      </c>
      <c r="DZ390" s="424">
        <f t="shared" si="113"/>
        <v>0</v>
      </c>
      <c r="EA390" s="424">
        <f t="shared" si="113"/>
        <v>0</v>
      </c>
      <c r="EB390" s="424">
        <f t="shared" si="113"/>
        <v>0</v>
      </c>
      <c r="EC390" s="424">
        <f t="shared" si="113"/>
        <v>0</v>
      </c>
      <c r="ED390" s="424">
        <f t="shared" si="113"/>
        <v>0</v>
      </c>
      <c r="EE390" s="424">
        <f t="shared" si="113"/>
        <v>0</v>
      </c>
      <c r="EF390" s="424">
        <f t="shared" si="113"/>
        <v>0</v>
      </c>
      <c r="EG390" s="424">
        <f t="shared" si="113"/>
        <v>0</v>
      </c>
      <c r="EH390" s="424">
        <f t="shared" ref="EH390:EX390" si="114">EH20*EH$372</f>
        <v>0</v>
      </c>
      <c r="EI390" s="424">
        <f t="shared" si="114"/>
        <v>0</v>
      </c>
      <c r="EJ390" s="424">
        <f t="shared" si="114"/>
        <v>0</v>
      </c>
      <c r="EK390" s="424">
        <f t="shared" si="114"/>
        <v>0</v>
      </c>
      <c r="EL390" s="424">
        <f t="shared" si="114"/>
        <v>0</v>
      </c>
      <c r="EM390" s="424">
        <f t="shared" si="114"/>
        <v>0</v>
      </c>
      <c r="EN390" s="424">
        <f t="shared" si="114"/>
        <v>0</v>
      </c>
      <c r="EO390" s="424">
        <f t="shared" si="114"/>
        <v>0</v>
      </c>
      <c r="EP390" s="424">
        <f t="shared" si="114"/>
        <v>0</v>
      </c>
      <c r="EQ390" s="424">
        <f t="shared" si="114"/>
        <v>0</v>
      </c>
      <c r="ER390" s="424">
        <f t="shared" si="114"/>
        <v>0</v>
      </c>
      <c r="ES390" s="424">
        <f t="shared" si="114"/>
        <v>0</v>
      </c>
      <c r="ET390" s="424">
        <f t="shared" si="114"/>
        <v>0</v>
      </c>
      <c r="EU390" s="424">
        <f t="shared" si="114"/>
        <v>0</v>
      </c>
      <c r="EV390" s="424">
        <f t="shared" si="114"/>
        <v>0</v>
      </c>
      <c r="EW390" s="424">
        <f t="shared" si="114"/>
        <v>0</v>
      </c>
      <c r="EX390" s="424">
        <f t="shared" si="114"/>
        <v>0</v>
      </c>
      <c r="EY390" s="425">
        <f t="shared" si="49"/>
        <v>9.27</v>
      </c>
    </row>
    <row r="391" spans="1:166" ht="14.7" customHeight="1" x14ac:dyDescent="0.25">
      <c r="A391" s="310">
        <v>17</v>
      </c>
      <c r="B391" s="311" t="str">
        <f t="shared" si="30"/>
        <v>Салат из свежих огурцов</v>
      </c>
      <c r="C391" s="483">
        <f t="shared" si="38"/>
        <v>4.76</v>
      </c>
      <c r="D391" s="888"/>
      <c r="E391" s="888"/>
      <c r="F391" s="888"/>
      <c r="G391" s="889"/>
      <c r="H391" s="680">
        <f t="shared" si="31"/>
        <v>20</v>
      </c>
      <c r="I391" s="1209">
        <f t="shared" si="32"/>
        <v>0</v>
      </c>
      <c r="J391" s="424">
        <f t="shared" ref="J391:AO391" si="115">J21*J$372</f>
        <v>0</v>
      </c>
      <c r="K391" s="424">
        <f t="shared" si="115"/>
        <v>0</v>
      </c>
      <c r="L391" s="424">
        <f t="shared" si="115"/>
        <v>0</v>
      </c>
      <c r="M391" s="424">
        <f t="shared" si="115"/>
        <v>0</v>
      </c>
      <c r="N391" s="424">
        <f t="shared" si="115"/>
        <v>0</v>
      </c>
      <c r="O391" s="424">
        <f t="shared" si="115"/>
        <v>0</v>
      </c>
      <c r="P391" s="424">
        <f t="shared" si="115"/>
        <v>0</v>
      </c>
      <c r="Q391" s="424">
        <f t="shared" si="115"/>
        <v>0</v>
      </c>
      <c r="R391" s="424">
        <f t="shared" si="115"/>
        <v>0</v>
      </c>
      <c r="S391" s="424">
        <f t="shared" si="115"/>
        <v>0</v>
      </c>
      <c r="T391" s="424">
        <f t="shared" si="115"/>
        <v>0</v>
      </c>
      <c r="U391" s="424">
        <f t="shared" si="115"/>
        <v>0</v>
      </c>
      <c r="V391" s="424">
        <f t="shared" si="115"/>
        <v>0</v>
      </c>
      <c r="W391" s="424">
        <f t="shared" si="115"/>
        <v>0</v>
      </c>
      <c r="X391" s="424">
        <f t="shared" si="115"/>
        <v>0</v>
      </c>
      <c r="Y391" s="424">
        <f t="shared" si="115"/>
        <v>0</v>
      </c>
      <c r="Z391" s="424">
        <f t="shared" si="115"/>
        <v>0</v>
      </c>
      <c r="AA391" s="424">
        <f t="shared" si="115"/>
        <v>0</v>
      </c>
      <c r="AB391" s="424">
        <f t="shared" si="115"/>
        <v>0</v>
      </c>
      <c r="AC391" s="424">
        <f t="shared" si="115"/>
        <v>0</v>
      </c>
      <c r="AD391" s="424">
        <f t="shared" si="115"/>
        <v>0</v>
      </c>
      <c r="AE391" s="424">
        <f t="shared" si="115"/>
        <v>0</v>
      </c>
      <c r="AF391" s="424">
        <f t="shared" si="115"/>
        <v>0</v>
      </c>
      <c r="AG391" s="424">
        <f t="shared" si="115"/>
        <v>0</v>
      </c>
      <c r="AH391" s="424">
        <f t="shared" si="115"/>
        <v>0</v>
      </c>
      <c r="AI391" s="424">
        <f t="shared" si="115"/>
        <v>0</v>
      </c>
      <c r="AJ391" s="424">
        <f t="shared" si="115"/>
        <v>0</v>
      </c>
      <c r="AK391" s="424">
        <f t="shared" si="115"/>
        <v>0</v>
      </c>
      <c r="AL391" s="424">
        <f t="shared" si="115"/>
        <v>0</v>
      </c>
      <c r="AM391" s="424">
        <f t="shared" si="115"/>
        <v>0</v>
      </c>
      <c r="AN391" s="424">
        <f t="shared" si="115"/>
        <v>0</v>
      </c>
      <c r="AO391" s="424">
        <f t="shared" si="115"/>
        <v>4.28</v>
      </c>
      <c r="AP391" s="424">
        <f t="shared" ref="AP391:BU391" si="116">AP21*AP$372</f>
        <v>0</v>
      </c>
      <c r="AQ391" s="424">
        <f t="shared" si="116"/>
        <v>0</v>
      </c>
      <c r="AR391" s="424">
        <f t="shared" si="116"/>
        <v>0</v>
      </c>
      <c r="AS391" s="424">
        <f t="shared" si="116"/>
        <v>0</v>
      </c>
      <c r="AT391" s="424">
        <f t="shared" si="116"/>
        <v>0</v>
      </c>
      <c r="AU391" s="424">
        <f t="shared" si="116"/>
        <v>0</v>
      </c>
      <c r="AV391" s="424">
        <f t="shared" si="116"/>
        <v>0</v>
      </c>
      <c r="AW391" s="424">
        <f t="shared" si="116"/>
        <v>0</v>
      </c>
      <c r="AX391" s="424">
        <f t="shared" si="116"/>
        <v>0</v>
      </c>
      <c r="AY391" s="424">
        <f t="shared" si="116"/>
        <v>0</v>
      </c>
      <c r="AZ391" s="424">
        <f t="shared" si="116"/>
        <v>0</v>
      </c>
      <c r="BA391" s="424">
        <f t="shared" si="116"/>
        <v>0</v>
      </c>
      <c r="BB391" s="424">
        <f t="shared" si="116"/>
        <v>0</v>
      </c>
      <c r="BC391" s="424">
        <f t="shared" si="116"/>
        <v>0</v>
      </c>
      <c r="BD391" s="424">
        <f t="shared" si="116"/>
        <v>0</v>
      </c>
      <c r="BE391" s="424">
        <f t="shared" si="116"/>
        <v>0</v>
      </c>
      <c r="BF391" s="424">
        <f t="shared" si="116"/>
        <v>0</v>
      </c>
      <c r="BG391" s="424">
        <f t="shared" si="116"/>
        <v>0</v>
      </c>
      <c r="BH391" s="424">
        <f t="shared" si="116"/>
        <v>0</v>
      </c>
      <c r="BI391" s="424">
        <f t="shared" si="116"/>
        <v>0</v>
      </c>
      <c r="BJ391" s="424">
        <f t="shared" si="116"/>
        <v>0</v>
      </c>
      <c r="BK391" s="424">
        <f t="shared" si="116"/>
        <v>0</v>
      </c>
      <c r="BL391" s="424">
        <f t="shared" si="116"/>
        <v>0</v>
      </c>
      <c r="BM391" s="424">
        <f t="shared" si="116"/>
        <v>0</v>
      </c>
      <c r="BN391" s="424">
        <f t="shared" si="116"/>
        <v>0</v>
      </c>
      <c r="BO391" s="424">
        <f t="shared" si="116"/>
        <v>0</v>
      </c>
      <c r="BP391" s="424">
        <f t="shared" si="116"/>
        <v>0</v>
      </c>
      <c r="BQ391" s="424">
        <f t="shared" si="116"/>
        <v>0</v>
      </c>
      <c r="BR391" s="424">
        <f t="shared" si="116"/>
        <v>0</v>
      </c>
      <c r="BS391" s="424">
        <f t="shared" si="116"/>
        <v>0</v>
      </c>
      <c r="BT391" s="424">
        <f t="shared" si="116"/>
        <v>0</v>
      </c>
      <c r="BU391" s="424">
        <f t="shared" si="116"/>
        <v>0</v>
      </c>
      <c r="BV391" s="424">
        <f t="shared" ref="BV391:DA391" si="117">BV21*BV$372</f>
        <v>0</v>
      </c>
      <c r="BW391" s="424">
        <f t="shared" si="117"/>
        <v>0</v>
      </c>
      <c r="BX391" s="424">
        <f t="shared" si="117"/>
        <v>0</v>
      </c>
      <c r="BY391" s="424">
        <f t="shared" si="117"/>
        <v>0</v>
      </c>
      <c r="BZ391" s="424">
        <f t="shared" si="117"/>
        <v>0</v>
      </c>
      <c r="CA391" s="424">
        <f t="shared" si="117"/>
        <v>0</v>
      </c>
      <c r="CB391" s="424">
        <f t="shared" si="117"/>
        <v>0</v>
      </c>
      <c r="CC391" s="424">
        <f t="shared" si="117"/>
        <v>0</v>
      </c>
      <c r="CD391" s="424">
        <f t="shared" si="117"/>
        <v>0</v>
      </c>
      <c r="CE391" s="424">
        <f t="shared" si="117"/>
        <v>0</v>
      </c>
      <c r="CF391" s="424">
        <f t="shared" si="117"/>
        <v>0.43</v>
      </c>
      <c r="CG391" s="424">
        <f t="shared" si="117"/>
        <v>0</v>
      </c>
      <c r="CH391" s="424">
        <f t="shared" si="117"/>
        <v>0</v>
      </c>
      <c r="CI391" s="424">
        <f t="shared" si="117"/>
        <v>0</v>
      </c>
      <c r="CJ391" s="424">
        <f t="shared" si="117"/>
        <v>0</v>
      </c>
      <c r="CK391" s="424">
        <f t="shared" si="117"/>
        <v>0</v>
      </c>
      <c r="CL391" s="424">
        <f t="shared" si="117"/>
        <v>0</v>
      </c>
      <c r="CM391" s="424">
        <f t="shared" si="117"/>
        <v>0</v>
      </c>
      <c r="CN391" s="424">
        <f t="shared" si="117"/>
        <v>0</v>
      </c>
      <c r="CO391" s="424">
        <f t="shared" si="117"/>
        <v>0</v>
      </c>
      <c r="CP391" s="424">
        <f t="shared" si="117"/>
        <v>0</v>
      </c>
      <c r="CQ391" s="424">
        <f t="shared" si="117"/>
        <v>0</v>
      </c>
      <c r="CR391" s="424">
        <f t="shared" si="117"/>
        <v>0</v>
      </c>
      <c r="CS391" s="424">
        <f t="shared" si="117"/>
        <v>0</v>
      </c>
      <c r="CT391" s="424">
        <f t="shared" si="117"/>
        <v>0</v>
      </c>
      <c r="CU391" s="424">
        <f t="shared" si="117"/>
        <v>0</v>
      </c>
      <c r="CV391" s="424">
        <f t="shared" si="117"/>
        <v>0</v>
      </c>
      <c r="CW391" s="424">
        <f t="shared" si="117"/>
        <v>0</v>
      </c>
      <c r="CX391" s="424">
        <f t="shared" si="117"/>
        <v>0</v>
      </c>
      <c r="CY391" s="424">
        <f t="shared" si="117"/>
        <v>0</v>
      </c>
      <c r="CZ391" s="424">
        <f t="shared" si="117"/>
        <v>0</v>
      </c>
      <c r="DA391" s="424">
        <f t="shared" si="117"/>
        <v>0</v>
      </c>
      <c r="DB391" s="424">
        <f t="shared" ref="DB391:EG391" si="118">DB21*DB$372</f>
        <v>0</v>
      </c>
      <c r="DC391" s="424">
        <f t="shared" si="118"/>
        <v>0.05</v>
      </c>
      <c r="DD391" s="424">
        <f t="shared" si="118"/>
        <v>0</v>
      </c>
      <c r="DE391" s="424">
        <f t="shared" si="118"/>
        <v>0</v>
      </c>
      <c r="DF391" s="424">
        <f t="shared" si="118"/>
        <v>0</v>
      </c>
      <c r="DG391" s="424">
        <f t="shared" si="118"/>
        <v>0</v>
      </c>
      <c r="DH391" s="424">
        <f t="shared" si="118"/>
        <v>0</v>
      </c>
      <c r="DI391" s="424">
        <f t="shared" si="118"/>
        <v>0</v>
      </c>
      <c r="DJ391" s="424">
        <f t="shared" si="118"/>
        <v>0</v>
      </c>
      <c r="DK391" s="424">
        <f t="shared" si="118"/>
        <v>0</v>
      </c>
      <c r="DL391" s="424">
        <f t="shared" si="118"/>
        <v>0</v>
      </c>
      <c r="DM391" s="424">
        <f t="shared" si="118"/>
        <v>0</v>
      </c>
      <c r="DN391" s="424">
        <f t="shared" si="118"/>
        <v>0</v>
      </c>
      <c r="DO391" s="424">
        <f t="shared" si="118"/>
        <v>0</v>
      </c>
      <c r="DP391" s="424">
        <f t="shared" si="118"/>
        <v>0</v>
      </c>
      <c r="DQ391" s="424">
        <f t="shared" si="118"/>
        <v>0</v>
      </c>
      <c r="DR391" s="424">
        <f t="shared" si="118"/>
        <v>0</v>
      </c>
      <c r="DS391" s="424">
        <f t="shared" si="118"/>
        <v>0</v>
      </c>
      <c r="DT391" s="424">
        <f t="shared" si="118"/>
        <v>0</v>
      </c>
      <c r="DU391" s="424">
        <f t="shared" si="118"/>
        <v>0</v>
      </c>
      <c r="DV391" s="424">
        <f t="shared" si="118"/>
        <v>0</v>
      </c>
      <c r="DW391" s="424">
        <f t="shared" si="118"/>
        <v>0</v>
      </c>
      <c r="DX391" s="424">
        <f t="shared" si="118"/>
        <v>0</v>
      </c>
      <c r="DY391" s="424">
        <f t="shared" si="118"/>
        <v>0</v>
      </c>
      <c r="DZ391" s="424">
        <f t="shared" si="118"/>
        <v>0</v>
      </c>
      <c r="EA391" s="424">
        <f t="shared" si="118"/>
        <v>0</v>
      </c>
      <c r="EB391" s="424">
        <f t="shared" si="118"/>
        <v>0</v>
      </c>
      <c r="EC391" s="424">
        <f t="shared" si="118"/>
        <v>0</v>
      </c>
      <c r="ED391" s="424">
        <f t="shared" si="118"/>
        <v>0</v>
      </c>
      <c r="EE391" s="424">
        <f t="shared" si="118"/>
        <v>0</v>
      </c>
      <c r="EF391" s="424">
        <f t="shared" si="118"/>
        <v>0</v>
      </c>
      <c r="EG391" s="424">
        <f t="shared" si="118"/>
        <v>0</v>
      </c>
      <c r="EH391" s="424">
        <f t="shared" ref="EH391:EX391" si="119">EH21*EH$372</f>
        <v>0</v>
      </c>
      <c r="EI391" s="424">
        <f t="shared" si="119"/>
        <v>0</v>
      </c>
      <c r="EJ391" s="424">
        <f t="shared" si="119"/>
        <v>0</v>
      </c>
      <c r="EK391" s="424">
        <f t="shared" si="119"/>
        <v>0</v>
      </c>
      <c r="EL391" s="424">
        <f t="shared" si="119"/>
        <v>0</v>
      </c>
      <c r="EM391" s="424">
        <f t="shared" si="119"/>
        <v>0</v>
      </c>
      <c r="EN391" s="424">
        <f t="shared" si="119"/>
        <v>0</v>
      </c>
      <c r="EO391" s="424">
        <f t="shared" si="119"/>
        <v>0</v>
      </c>
      <c r="EP391" s="424">
        <f t="shared" si="119"/>
        <v>0</v>
      </c>
      <c r="EQ391" s="424">
        <f t="shared" si="119"/>
        <v>0</v>
      </c>
      <c r="ER391" s="424">
        <f t="shared" si="119"/>
        <v>0</v>
      </c>
      <c r="ES391" s="424">
        <f t="shared" si="119"/>
        <v>0</v>
      </c>
      <c r="ET391" s="424">
        <f t="shared" si="119"/>
        <v>0</v>
      </c>
      <c r="EU391" s="424">
        <f t="shared" si="119"/>
        <v>0</v>
      </c>
      <c r="EV391" s="424">
        <f t="shared" si="119"/>
        <v>0</v>
      </c>
      <c r="EW391" s="424">
        <f t="shared" si="119"/>
        <v>0</v>
      </c>
      <c r="EX391" s="424">
        <f t="shared" si="119"/>
        <v>0</v>
      </c>
      <c r="EY391" s="425">
        <f t="shared" si="49"/>
        <v>4.76</v>
      </c>
    </row>
    <row r="392" spans="1:166" ht="14.7" customHeight="1" x14ac:dyDescent="0.25">
      <c r="A392" s="310">
        <v>18</v>
      </c>
      <c r="B392" s="311" t="str">
        <f t="shared" si="30"/>
        <v>Салат из свежих помидоров с луком зеленым</v>
      </c>
      <c r="C392" s="483">
        <f t="shared" si="38"/>
        <v>11.05</v>
      </c>
      <c r="D392" s="888"/>
      <c r="E392" s="888"/>
      <c r="F392" s="888"/>
      <c r="G392" s="889"/>
      <c r="H392" s="680">
        <f t="shared" si="31"/>
        <v>23</v>
      </c>
      <c r="I392" s="1209">
        <f t="shared" si="32"/>
        <v>0</v>
      </c>
      <c r="J392" s="424">
        <f t="shared" ref="J392:AO392" si="120">J22*J$372</f>
        <v>0</v>
      </c>
      <c r="K392" s="424">
        <f t="shared" si="120"/>
        <v>0</v>
      </c>
      <c r="L392" s="424">
        <f t="shared" si="120"/>
        <v>0</v>
      </c>
      <c r="M392" s="424">
        <f t="shared" si="120"/>
        <v>0</v>
      </c>
      <c r="N392" s="424">
        <f t="shared" si="120"/>
        <v>0</v>
      </c>
      <c r="O392" s="424">
        <f t="shared" si="120"/>
        <v>0</v>
      </c>
      <c r="P392" s="424">
        <f t="shared" si="120"/>
        <v>0</v>
      </c>
      <c r="Q392" s="424">
        <f t="shared" si="120"/>
        <v>0</v>
      </c>
      <c r="R392" s="424">
        <f t="shared" si="120"/>
        <v>0</v>
      </c>
      <c r="S392" s="424">
        <f t="shared" si="120"/>
        <v>0</v>
      </c>
      <c r="T392" s="424">
        <f t="shared" si="120"/>
        <v>0</v>
      </c>
      <c r="U392" s="424">
        <f t="shared" si="120"/>
        <v>0</v>
      </c>
      <c r="V392" s="424">
        <f t="shared" si="120"/>
        <v>0</v>
      </c>
      <c r="W392" s="424">
        <f t="shared" si="120"/>
        <v>0</v>
      </c>
      <c r="X392" s="424">
        <f t="shared" si="120"/>
        <v>0</v>
      </c>
      <c r="Y392" s="424">
        <f t="shared" si="120"/>
        <v>0</v>
      </c>
      <c r="Z392" s="424">
        <f t="shared" si="120"/>
        <v>0</v>
      </c>
      <c r="AA392" s="424">
        <f t="shared" si="120"/>
        <v>0</v>
      </c>
      <c r="AB392" s="424">
        <f t="shared" si="120"/>
        <v>0</v>
      </c>
      <c r="AC392" s="424">
        <f t="shared" si="120"/>
        <v>0</v>
      </c>
      <c r="AD392" s="424">
        <f t="shared" si="120"/>
        <v>0</v>
      </c>
      <c r="AE392" s="424">
        <f t="shared" si="120"/>
        <v>0</v>
      </c>
      <c r="AF392" s="424">
        <f t="shared" si="120"/>
        <v>0</v>
      </c>
      <c r="AG392" s="424">
        <f t="shared" si="120"/>
        <v>0</v>
      </c>
      <c r="AH392" s="424">
        <f t="shared" si="120"/>
        <v>0</v>
      </c>
      <c r="AI392" s="424">
        <f t="shared" si="120"/>
        <v>0</v>
      </c>
      <c r="AJ392" s="424">
        <f t="shared" si="120"/>
        <v>0</v>
      </c>
      <c r="AK392" s="424">
        <f t="shared" si="120"/>
        <v>0</v>
      </c>
      <c r="AL392" s="424">
        <f t="shared" si="120"/>
        <v>5.18</v>
      </c>
      <c r="AM392" s="424">
        <f t="shared" si="120"/>
        <v>0</v>
      </c>
      <c r="AN392" s="424">
        <f t="shared" si="120"/>
        <v>5.39</v>
      </c>
      <c r="AO392" s="424">
        <f t="shared" si="120"/>
        <v>0</v>
      </c>
      <c r="AP392" s="424">
        <f t="shared" ref="AP392:BU392" si="121">AP22*AP$372</f>
        <v>0</v>
      </c>
      <c r="AQ392" s="424">
        <f t="shared" si="121"/>
        <v>0</v>
      </c>
      <c r="AR392" s="424">
        <f t="shared" si="121"/>
        <v>0</v>
      </c>
      <c r="AS392" s="424">
        <f t="shared" si="121"/>
        <v>0</v>
      </c>
      <c r="AT392" s="424">
        <f t="shared" si="121"/>
        <v>0</v>
      </c>
      <c r="AU392" s="424">
        <f t="shared" si="121"/>
        <v>0</v>
      </c>
      <c r="AV392" s="424">
        <f t="shared" si="121"/>
        <v>0</v>
      </c>
      <c r="AW392" s="424">
        <f t="shared" si="121"/>
        <v>0</v>
      </c>
      <c r="AX392" s="424">
        <f t="shared" si="121"/>
        <v>0</v>
      </c>
      <c r="AY392" s="424">
        <f t="shared" si="121"/>
        <v>0</v>
      </c>
      <c r="AZ392" s="424">
        <f t="shared" si="121"/>
        <v>0</v>
      </c>
      <c r="BA392" s="424">
        <f t="shared" si="121"/>
        <v>0</v>
      </c>
      <c r="BB392" s="424">
        <f t="shared" si="121"/>
        <v>0</v>
      </c>
      <c r="BC392" s="424">
        <f t="shared" si="121"/>
        <v>0</v>
      </c>
      <c r="BD392" s="424">
        <f t="shared" si="121"/>
        <v>0</v>
      </c>
      <c r="BE392" s="424">
        <f t="shared" si="121"/>
        <v>0</v>
      </c>
      <c r="BF392" s="424">
        <f t="shared" si="121"/>
        <v>0</v>
      </c>
      <c r="BG392" s="424">
        <f t="shared" si="121"/>
        <v>0</v>
      </c>
      <c r="BH392" s="424">
        <f t="shared" si="121"/>
        <v>0</v>
      </c>
      <c r="BI392" s="424">
        <f t="shared" si="121"/>
        <v>0</v>
      </c>
      <c r="BJ392" s="424">
        <f t="shared" si="121"/>
        <v>0</v>
      </c>
      <c r="BK392" s="424">
        <f t="shared" si="121"/>
        <v>0</v>
      </c>
      <c r="BL392" s="424">
        <f t="shared" si="121"/>
        <v>0</v>
      </c>
      <c r="BM392" s="424">
        <f t="shared" si="121"/>
        <v>0</v>
      </c>
      <c r="BN392" s="424">
        <f t="shared" si="121"/>
        <v>0</v>
      </c>
      <c r="BO392" s="424">
        <f t="shared" si="121"/>
        <v>0</v>
      </c>
      <c r="BP392" s="424">
        <f t="shared" si="121"/>
        <v>0</v>
      </c>
      <c r="BQ392" s="424">
        <f t="shared" si="121"/>
        <v>0</v>
      </c>
      <c r="BR392" s="424">
        <f t="shared" si="121"/>
        <v>0</v>
      </c>
      <c r="BS392" s="424">
        <f t="shared" si="121"/>
        <v>0</v>
      </c>
      <c r="BT392" s="424">
        <f t="shared" si="121"/>
        <v>0</v>
      </c>
      <c r="BU392" s="424">
        <f t="shared" si="121"/>
        <v>0</v>
      </c>
      <c r="BV392" s="424">
        <f t="shared" ref="BV392:DA392" si="122">BV22*BV$372</f>
        <v>0</v>
      </c>
      <c r="BW392" s="424">
        <f t="shared" si="122"/>
        <v>0</v>
      </c>
      <c r="BX392" s="424">
        <f t="shared" si="122"/>
        <v>0</v>
      </c>
      <c r="BY392" s="424">
        <f t="shared" si="122"/>
        <v>0</v>
      </c>
      <c r="BZ392" s="424">
        <f t="shared" si="122"/>
        <v>0</v>
      </c>
      <c r="CA392" s="424">
        <f t="shared" si="122"/>
        <v>0</v>
      </c>
      <c r="CB392" s="424">
        <f t="shared" si="122"/>
        <v>0</v>
      </c>
      <c r="CC392" s="424">
        <f t="shared" si="122"/>
        <v>0</v>
      </c>
      <c r="CD392" s="424">
        <f t="shared" si="122"/>
        <v>0</v>
      </c>
      <c r="CE392" s="424">
        <f t="shared" si="122"/>
        <v>0</v>
      </c>
      <c r="CF392" s="424">
        <f t="shared" si="122"/>
        <v>0.43</v>
      </c>
      <c r="CG392" s="424">
        <f t="shared" si="122"/>
        <v>0</v>
      </c>
      <c r="CH392" s="424">
        <f t="shared" si="122"/>
        <v>0</v>
      </c>
      <c r="CI392" s="424">
        <f t="shared" si="122"/>
        <v>0</v>
      </c>
      <c r="CJ392" s="424">
        <f t="shared" si="122"/>
        <v>0</v>
      </c>
      <c r="CK392" s="424">
        <f t="shared" si="122"/>
        <v>0</v>
      </c>
      <c r="CL392" s="424">
        <f t="shared" si="122"/>
        <v>0</v>
      </c>
      <c r="CM392" s="424">
        <f t="shared" si="122"/>
        <v>0</v>
      </c>
      <c r="CN392" s="424">
        <f t="shared" si="122"/>
        <v>0</v>
      </c>
      <c r="CO392" s="424">
        <f t="shared" si="122"/>
        <v>0</v>
      </c>
      <c r="CP392" s="424">
        <f t="shared" si="122"/>
        <v>0</v>
      </c>
      <c r="CQ392" s="424">
        <f t="shared" si="122"/>
        <v>0</v>
      </c>
      <c r="CR392" s="424">
        <f t="shared" si="122"/>
        <v>0</v>
      </c>
      <c r="CS392" s="424">
        <f t="shared" si="122"/>
        <v>0</v>
      </c>
      <c r="CT392" s="424">
        <f t="shared" si="122"/>
        <v>0</v>
      </c>
      <c r="CU392" s="424">
        <f t="shared" si="122"/>
        <v>0</v>
      </c>
      <c r="CV392" s="424">
        <f t="shared" si="122"/>
        <v>0</v>
      </c>
      <c r="CW392" s="424">
        <f t="shared" si="122"/>
        <v>0</v>
      </c>
      <c r="CX392" s="424">
        <f t="shared" si="122"/>
        <v>0</v>
      </c>
      <c r="CY392" s="424">
        <f t="shared" si="122"/>
        <v>0</v>
      </c>
      <c r="CZ392" s="424">
        <f t="shared" si="122"/>
        <v>0</v>
      </c>
      <c r="DA392" s="424">
        <f t="shared" si="122"/>
        <v>0</v>
      </c>
      <c r="DB392" s="424">
        <f t="shared" ref="DB392:EG392" si="123">DB22*DB$372</f>
        <v>0</v>
      </c>
      <c r="DC392" s="424">
        <f t="shared" si="123"/>
        <v>0.05</v>
      </c>
      <c r="DD392" s="424">
        <f t="shared" si="123"/>
        <v>0</v>
      </c>
      <c r="DE392" s="424">
        <f t="shared" si="123"/>
        <v>0</v>
      </c>
      <c r="DF392" s="424">
        <f t="shared" si="123"/>
        <v>0</v>
      </c>
      <c r="DG392" s="424">
        <f t="shared" si="123"/>
        <v>0</v>
      </c>
      <c r="DH392" s="424">
        <f t="shared" si="123"/>
        <v>0</v>
      </c>
      <c r="DI392" s="424">
        <f t="shared" si="123"/>
        <v>0</v>
      </c>
      <c r="DJ392" s="424">
        <f t="shared" si="123"/>
        <v>0</v>
      </c>
      <c r="DK392" s="424">
        <f t="shared" si="123"/>
        <v>0</v>
      </c>
      <c r="DL392" s="424">
        <f t="shared" si="123"/>
        <v>0</v>
      </c>
      <c r="DM392" s="424">
        <f t="shared" si="123"/>
        <v>0</v>
      </c>
      <c r="DN392" s="424">
        <f t="shared" si="123"/>
        <v>0</v>
      </c>
      <c r="DO392" s="424">
        <f t="shared" si="123"/>
        <v>0</v>
      </c>
      <c r="DP392" s="424">
        <f t="shared" si="123"/>
        <v>0</v>
      </c>
      <c r="DQ392" s="424">
        <f t="shared" si="123"/>
        <v>0</v>
      </c>
      <c r="DR392" s="424">
        <f t="shared" si="123"/>
        <v>0</v>
      </c>
      <c r="DS392" s="424">
        <f t="shared" si="123"/>
        <v>0</v>
      </c>
      <c r="DT392" s="424">
        <f t="shared" si="123"/>
        <v>0</v>
      </c>
      <c r="DU392" s="424">
        <f t="shared" si="123"/>
        <v>0</v>
      </c>
      <c r="DV392" s="424">
        <f t="shared" si="123"/>
        <v>0</v>
      </c>
      <c r="DW392" s="424">
        <f t="shared" si="123"/>
        <v>0</v>
      </c>
      <c r="DX392" s="424">
        <f t="shared" si="123"/>
        <v>0</v>
      </c>
      <c r="DY392" s="424">
        <f t="shared" si="123"/>
        <v>0</v>
      </c>
      <c r="DZ392" s="424">
        <f t="shared" si="123"/>
        <v>0</v>
      </c>
      <c r="EA392" s="424">
        <f t="shared" si="123"/>
        <v>0</v>
      </c>
      <c r="EB392" s="424">
        <f t="shared" si="123"/>
        <v>0</v>
      </c>
      <c r="EC392" s="424">
        <f t="shared" si="123"/>
        <v>0</v>
      </c>
      <c r="ED392" s="424">
        <f t="shared" si="123"/>
        <v>0</v>
      </c>
      <c r="EE392" s="424">
        <f t="shared" si="123"/>
        <v>0</v>
      </c>
      <c r="EF392" s="424">
        <f t="shared" si="123"/>
        <v>0</v>
      </c>
      <c r="EG392" s="424">
        <f t="shared" si="123"/>
        <v>0</v>
      </c>
      <c r="EH392" s="424">
        <f t="shared" ref="EH392:EX392" si="124">EH22*EH$372</f>
        <v>0</v>
      </c>
      <c r="EI392" s="424">
        <f t="shared" si="124"/>
        <v>0</v>
      </c>
      <c r="EJ392" s="424">
        <f t="shared" si="124"/>
        <v>0</v>
      </c>
      <c r="EK392" s="424">
        <f t="shared" si="124"/>
        <v>0</v>
      </c>
      <c r="EL392" s="424">
        <f t="shared" si="124"/>
        <v>0</v>
      </c>
      <c r="EM392" s="424">
        <f t="shared" si="124"/>
        <v>0</v>
      </c>
      <c r="EN392" s="424">
        <f t="shared" si="124"/>
        <v>0</v>
      </c>
      <c r="EO392" s="424">
        <f t="shared" si="124"/>
        <v>0</v>
      </c>
      <c r="EP392" s="424">
        <f t="shared" si="124"/>
        <v>0</v>
      </c>
      <c r="EQ392" s="424">
        <f t="shared" si="124"/>
        <v>0</v>
      </c>
      <c r="ER392" s="424">
        <f t="shared" si="124"/>
        <v>0</v>
      </c>
      <c r="ES392" s="424">
        <f t="shared" si="124"/>
        <v>0</v>
      </c>
      <c r="ET392" s="424">
        <f t="shared" si="124"/>
        <v>0</v>
      </c>
      <c r="EU392" s="424">
        <f t="shared" si="124"/>
        <v>0</v>
      </c>
      <c r="EV392" s="424">
        <f t="shared" si="124"/>
        <v>0</v>
      </c>
      <c r="EW392" s="424">
        <f t="shared" si="124"/>
        <v>0</v>
      </c>
      <c r="EX392" s="424">
        <f t="shared" si="124"/>
        <v>0</v>
      </c>
      <c r="EY392" s="425">
        <f t="shared" si="49"/>
        <v>11.05</v>
      </c>
    </row>
    <row r="393" spans="1:166" ht="14.7" customHeight="1" x14ac:dyDescent="0.25">
      <c r="A393" s="310">
        <v>19</v>
      </c>
      <c r="B393" s="311" t="str">
        <f t="shared" si="30"/>
        <v>Салат из свежих помидоров с луком репчатым</v>
      </c>
      <c r="C393" s="483">
        <f t="shared" si="38"/>
        <v>6.69</v>
      </c>
      <c r="D393" s="888"/>
      <c r="E393" s="888"/>
      <c r="F393" s="888"/>
      <c r="G393" s="889"/>
      <c r="H393" s="680">
        <f t="shared" si="31"/>
        <v>23</v>
      </c>
      <c r="I393" s="1209">
        <f t="shared" si="32"/>
        <v>0</v>
      </c>
      <c r="J393" s="424">
        <f t="shared" ref="J393:AO393" si="125">J23*J$372</f>
        <v>0</v>
      </c>
      <c r="K393" s="424">
        <f t="shared" si="125"/>
        <v>0</v>
      </c>
      <c r="L393" s="424">
        <f t="shared" si="125"/>
        <v>0</v>
      </c>
      <c r="M393" s="424">
        <f t="shared" si="125"/>
        <v>0</v>
      </c>
      <c r="N393" s="424">
        <f t="shared" si="125"/>
        <v>0</v>
      </c>
      <c r="O393" s="424">
        <f t="shared" si="125"/>
        <v>0</v>
      </c>
      <c r="P393" s="424">
        <f t="shared" si="125"/>
        <v>0</v>
      </c>
      <c r="Q393" s="424">
        <f t="shared" si="125"/>
        <v>0</v>
      </c>
      <c r="R393" s="424">
        <f t="shared" si="125"/>
        <v>0</v>
      </c>
      <c r="S393" s="424">
        <f t="shared" si="125"/>
        <v>0</v>
      </c>
      <c r="T393" s="424">
        <f t="shared" si="125"/>
        <v>0</v>
      </c>
      <c r="U393" s="424">
        <f t="shared" si="125"/>
        <v>0</v>
      </c>
      <c r="V393" s="424">
        <f t="shared" si="125"/>
        <v>0</v>
      </c>
      <c r="W393" s="424">
        <f t="shared" si="125"/>
        <v>0</v>
      </c>
      <c r="X393" s="424">
        <f t="shared" si="125"/>
        <v>0</v>
      </c>
      <c r="Y393" s="424">
        <f t="shared" si="125"/>
        <v>0</v>
      </c>
      <c r="Z393" s="424">
        <f t="shared" si="125"/>
        <v>0</v>
      </c>
      <c r="AA393" s="424">
        <f t="shared" si="125"/>
        <v>0</v>
      </c>
      <c r="AB393" s="424">
        <f t="shared" si="125"/>
        <v>0</v>
      </c>
      <c r="AC393" s="424">
        <f t="shared" si="125"/>
        <v>0</v>
      </c>
      <c r="AD393" s="424">
        <f t="shared" si="125"/>
        <v>0</v>
      </c>
      <c r="AE393" s="424">
        <f t="shared" si="125"/>
        <v>0</v>
      </c>
      <c r="AF393" s="424">
        <f t="shared" si="125"/>
        <v>0</v>
      </c>
      <c r="AG393" s="424">
        <f t="shared" si="125"/>
        <v>0</v>
      </c>
      <c r="AH393" s="424">
        <f t="shared" si="125"/>
        <v>0</v>
      </c>
      <c r="AI393" s="424">
        <f t="shared" si="125"/>
        <v>0</v>
      </c>
      <c r="AJ393" s="424">
        <f t="shared" si="125"/>
        <v>0</v>
      </c>
      <c r="AK393" s="424">
        <f t="shared" si="125"/>
        <v>0.82</v>
      </c>
      <c r="AL393" s="424">
        <f t="shared" si="125"/>
        <v>0</v>
      </c>
      <c r="AM393" s="424">
        <f t="shared" si="125"/>
        <v>0</v>
      </c>
      <c r="AN393" s="424">
        <f t="shared" si="125"/>
        <v>5.39</v>
      </c>
      <c r="AO393" s="424">
        <f t="shared" si="125"/>
        <v>0</v>
      </c>
      <c r="AP393" s="424">
        <f t="shared" ref="AP393:BU393" si="126">AP23*AP$372</f>
        <v>0</v>
      </c>
      <c r="AQ393" s="424">
        <f t="shared" si="126"/>
        <v>0</v>
      </c>
      <c r="AR393" s="424">
        <f t="shared" si="126"/>
        <v>0</v>
      </c>
      <c r="AS393" s="424">
        <f t="shared" si="126"/>
        <v>0</v>
      </c>
      <c r="AT393" s="424">
        <f t="shared" si="126"/>
        <v>0</v>
      </c>
      <c r="AU393" s="424">
        <f t="shared" si="126"/>
        <v>0</v>
      </c>
      <c r="AV393" s="424">
        <f t="shared" si="126"/>
        <v>0</v>
      </c>
      <c r="AW393" s="424">
        <f t="shared" si="126"/>
        <v>0</v>
      </c>
      <c r="AX393" s="424">
        <f t="shared" si="126"/>
        <v>0</v>
      </c>
      <c r="AY393" s="424">
        <f t="shared" si="126"/>
        <v>0</v>
      </c>
      <c r="AZ393" s="424">
        <f t="shared" si="126"/>
        <v>0</v>
      </c>
      <c r="BA393" s="424">
        <f t="shared" si="126"/>
        <v>0</v>
      </c>
      <c r="BB393" s="424">
        <f t="shared" si="126"/>
        <v>0</v>
      </c>
      <c r="BC393" s="424">
        <f t="shared" si="126"/>
        <v>0</v>
      </c>
      <c r="BD393" s="424">
        <f t="shared" si="126"/>
        <v>0</v>
      </c>
      <c r="BE393" s="424">
        <f t="shared" si="126"/>
        <v>0</v>
      </c>
      <c r="BF393" s="424">
        <f t="shared" si="126"/>
        <v>0</v>
      </c>
      <c r="BG393" s="424">
        <f t="shared" si="126"/>
        <v>0</v>
      </c>
      <c r="BH393" s="424">
        <f t="shared" si="126"/>
        <v>0</v>
      </c>
      <c r="BI393" s="424">
        <f t="shared" si="126"/>
        <v>0</v>
      </c>
      <c r="BJ393" s="424">
        <f t="shared" si="126"/>
        <v>0</v>
      </c>
      <c r="BK393" s="424">
        <f t="shared" si="126"/>
        <v>0</v>
      </c>
      <c r="BL393" s="424">
        <f t="shared" si="126"/>
        <v>0</v>
      </c>
      <c r="BM393" s="424">
        <f t="shared" si="126"/>
        <v>0</v>
      </c>
      <c r="BN393" s="424">
        <f t="shared" si="126"/>
        <v>0</v>
      </c>
      <c r="BO393" s="424">
        <f t="shared" si="126"/>
        <v>0</v>
      </c>
      <c r="BP393" s="424">
        <f t="shared" si="126"/>
        <v>0</v>
      </c>
      <c r="BQ393" s="424">
        <f t="shared" si="126"/>
        <v>0</v>
      </c>
      <c r="BR393" s="424">
        <f t="shared" si="126"/>
        <v>0</v>
      </c>
      <c r="BS393" s="424">
        <f t="shared" si="126"/>
        <v>0</v>
      </c>
      <c r="BT393" s="424">
        <f t="shared" si="126"/>
        <v>0</v>
      </c>
      <c r="BU393" s="424">
        <f t="shared" si="126"/>
        <v>0</v>
      </c>
      <c r="BV393" s="424">
        <f t="shared" ref="BV393:DA393" si="127">BV23*BV$372</f>
        <v>0</v>
      </c>
      <c r="BW393" s="424">
        <f t="shared" si="127"/>
        <v>0</v>
      </c>
      <c r="BX393" s="424">
        <f t="shared" si="127"/>
        <v>0</v>
      </c>
      <c r="BY393" s="424">
        <f t="shared" si="127"/>
        <v>0</v>
      </c>
      <c r="BZ393" s="424">
        <f t="shared" si="127"/>
        <v>0</v>
      </c>
      <c r="CA393" s="424">
        <f t="shared" si="127"/>
        <v>0</v>
      </c>
      <c r="CB393" s="424">
        <f t="shared" si="127"/>
        <v>0</v>
      </c>
      <c r="CC393" s="424">
        <f t="shared" si="127"/>
        <v>0</v>
      </c>
      <c r="CD393" s="424">
        <f t="shared" si="127"/>
        <v>0</v>
      </c>
      <c r="CE393" s="424">
        <f t="shared" si="127"/>
        <v>0</v>
      </c>
      <c r="CF393" s="424">
        <f t="shared" si="127"/>
        <v>0.43</v>
      </c>
      <c r="CG393" s="424">
        <f t="shared" si="127"/>
        <v>0</v>
      </c>
      <c r="CH393" s="424">
        <f t="shared" si="127"/>
        <v>0</v>
      </c>
      <c r="CI393" s="424">
        <f t="shared" si="127"/>
        <v>0</v>
      </c>
      <c r="CJ393" s="424">
        <f t="shared" si="127"/>
        <v>0</v>
      </c>
      <c r="CK393" s="424">
        <f t="shared" si="127"/>
        <v>0</v>
      </c>
      <c r="CL393" s="424">
        <f t="shared" si="127"/>
        <v>0</v>
      </c>
      <c r="CM393" s="424">
        <f t="shared" si="127"/>
        <v>0</v>
      </c>
      <c r="CN393" s="424">
        <f t="shared" si="127"/>
        <v>0</v>
      </c>
      <c r="CO393" s="424">
        <f t="shared" si="127"/>
        <v>0</v>
      </c>
      <c r="CP393" s="424">
        <f t="shared" si="127"/>
        <v>0</v>
      </c>
      <c r="CQ393" s="424">
        <f t="shared" si="127"/>
        <v>0</v>
      </c>
      <c r="CR393" s="424">
        <f t="shared" si="127"/>
        <v>0</v>
      </c>
      <c r="CS393" s="424">
        <f t="shared" si="127"/>
        <v>0</v>
      </c>
      <c r="CT393" s="424">
        <f t="shared" si="127"/>
        <v>0</v>
      </c>
      <c r="CU393" s="424">
        <f t="shared" si="127"/>
        <v>0</v>
      </c>
      <c r="CV393" s="424">
        <f t="shared" si="127"/>
        <v>0</v>
      </c>
      <c r="CW393" s="424">
        <f t="shared" si="127"/>
        <v>0</v>
      </c>
      <c r="CX393" s="424">
        <f t="shared" si="127"/>
        <v>0</v>
      </c>
      <c r="CY393" s="424">
        <f t="shared" si="127"/>
        <v>0</v>
      </c>
      <c r="CZ393" s="424">
        <f t="shared" si="127"/>
        <v>0</v>
      </c>
      <c r="DA393" s="424">
        <f t="shared" si="127"/>
        <v>0</v>
      </c>
      <c r="DB393" s="424">
        <f t="shared" ref="DB393:EG393" si="128">DB23*DB$372</f>
        <v>0</v>
      </c>
      <c r="DC393" s="424">
        <f t="shared" si="128"/>
        <v>0.05</v>
      </c>
      <c r="DD393" s="424">
        <f t="shared" si="128"/>
        <v>0</v>
      </c>
      <c r="DE393" s="424">
        <f t="shared" si="128"/>
        <v>0</v>
      </c>
      <c r="DF393" s="424">
        <f t="shared" si="128"/>
        <v>0</v>
      </c>
      <c r="DG393" s="424">
        <f t="shared" si="128"/>
        <v>0</v>
      </c>
      <c r="DH393" s="424">
        <f t="shared" si="128"/>
        <v>0</v>
      </c>
      <c r="DI393" s="424">
        <f t="shared" si="128"/>
        <v>0</v>
      </c>
      <c r="DJ393" s="424">
        <f t="shared" si="128"/>
        <v>0</v>
      </c>
      <c r="DK393" s="424">
        <f t="shared" si="128"/>
        <v>0</v>
      </c>
      <c r="DL393" s="424">
        <f t="shared" si="128"/>
        <v>0</v>
      </c>
      <c r="DM393" s="424">
        <f t="shared" si="128"/>
        <v>0</v>
      </c>
      <c r="DN393" s="424">
        <f t="shared" si="128"/>
        <v>0</v>
      </c>
      <c r="DO393" s="424">
        <f t="shared" si="128"/>
        <v>0</v>
      </c>
      <c r="DP393" s="424">
        <f t="shared" si="128"/>
        <v>0</v>
      </c>
      <c r="DQ393" s="424">
        <f t="shared" si="128"/>
        <v>0</v>
      </c>
      <c r="DR393" s="424">
        <f t="shared" si="128"/>
        <v>0</v>
      </c>
      <c r="DS393" s="424">
        <f t="shared" si="128"/>
        <v>0</v>
      </c>
      <c r="DT393" s="424">
        <f t="shared" si="128"/>
        <v>0</v>
      </c>
      <c r="DU393" s="424">
        <f t="shared" si="128"/>
        <v>0</v>
      </c>
      <c r="DV393" s="424">
        <f t="shared" si="128"/>
        <v>0</v>
      </c>
      <c r="DW393" s="424">
        <f t="shared" si="128"/>
        <v>0</v>
      </c>
      <c r="DX393" s="424">
        <f t="shared" si="128"/>
        <v>0</v>
      </c>
      <c r="DY393" s="424">
        <f t="shared" si="128"/>
        <v>0</v>
      </c>
      <c r="DZ393" s="424">
        <f t="shared" si="128"/>
        <v>0</v>
      </c>
      <c r="EA393" s="424">
        <f t="shared" si="128"/>
        <v>0</v>
      </c>
      <c r="EB393" s="424">
        <f t="shared" si="128"/>
        <v>0</v>
      </c>
      <c r="EC393" s="424">
        <f t="shared" si="128"/>
        <v>0</v>
      </c>
      <c r="ED393" s="424">
        <f t="shared" si="128"/>
        <v>0</v>
      </c>
      <c r="EE393" s="424">
        <f t="shared" si="128"/>
        <v>0</v>
      </c>
      <c r="EF393" s="424">
        <f t="shared" si="128"/>
        <v>0</v>
      </c>
      <c r="EG393" s="424">
        <f t="shared" si="128"/>
        <v>0</v>
      </c>
      <c r="EH393" s="424">
        <f t="shared" ref="EH393:EX393" si="129">EH23*EH$372</f>
        <v>0</v>
      </c>
      <c r="EI393" s="424">
        <f t="shared" si="129"/>
        <v>0</v>
      </c>
      <c r="EJ393" s="424">
        <f t="shared" si="129"/>
        <v>0</v>
      </c>
      <c r="EK393" s="424">
        <f t="shared" si="129"/>
        <v>0</v>
      </c>
      <c r="EL393" s="424">
        <f t="shared" si="129"/>
        <v>0</v>
      </c>
      <c r="EM393" s="424">
        <f t="shared" si="129"/>
        <v>0</v>
      </c>
      <c r="EN393" s="424">
        <f t="shared" si="129"/>
        <v>0</v>
      </c>
      <c r="EO393" s="424">
        <f t="shared" si="129"/>
        <v>0</v>
      </c>
      <c r="EP393" s="424">
        <f t="shared" si="129"/>
        <v>0</v>
      </c>
      <c r="EQ393" s="424">
        <f t="shared" si="129"/>
        <v>0</v>
      </c>
      <c r="ER393" s="424">
        <f t="shared" si="129"/>
        <v>0</v>
      </c>
      <c r="ES393" s="424">
        <f t="shared" si="129"/>
        <v>0</v>
      </c>
      <c r="ET393" s="424">
        <f t="shared" si="129"/>
        <v>0</v>
      </c>
      <c r="EU393" s="424">
        <f t="shared" si="129"/>
        <v>0</v>
      </c>
      <c r="EV393" s="424">
        <f t="shared" si="129"/>
        <v>0</v>
      </c>
      <c r="EW393" s="424">
        <f t="shared" si="129"/>
        <v>0</v>
      </c>
      <c r="EX393" s="424">
        <f t="shared" si="129"/>
        <v>0</v>
      </c>
      <c r="EY393" s="425">
        <f t="shared" si="49"/>
        <v>6.69</v>
      </c>
    </row>
    <row r="394" spans="1:166" ht="14.7" customHeight="1" x14ac:dyDescent="0.25">
      <c r="A394" s="310">
        <v>20</v>
      </c>
      <c r="B394" s="311" t="str">
        <f t="shared" si="30"/>
        <v>Салат из свежих помидоров и огурцов с луком зеленым</v>
      </c>
      <c r="C394" s="483">
        <f t="shared" si="38"/>
        <v>8.35</v>
      </c>
      <c r="D394" s="888"/>
      <c r="E394" s="888"/>
      <c r="F394" s="888"/>
      <c r="G394" s="889"/>
      <c r="H394" s="680">
        <f t="shared" si="31"/>
        <v>24</v>
      </c>
      <c r="I394" s="1209">
        <f t="shared" si="32"/>
        <v>0</v>
      </c>
      <c r="J394" s="424">
        <f t="shared" ref="J394:AO394" si="130">J24*J$372</f>
        <v>0</v>
      </c>
      <c r="K394" s="424">
        <f t="shared" si="130"/>
        <v>0</v>
      </c>
      <c r="L394" s="424">
        <f t="shared" si="130"/>
        <v>0</v>
      </c>
      <c r="M394" s="424">
        <f t="shared" si="130"/>
        <v>0</v>
      </c>
      <c r="N394" s="424">
        <f t="shared" si="130"/>
        <v>0</v>
      </c>
      <c r="O394" s="424">
        <f t="shared" si="130"/>
        <v>0</v>
      </c>
      <c r="P394" s="424">
        <f t="shared" si="130"/>
        <v>0</v>
      </c>
      <c r="Q394" s="424">
        <f t="shared" si="130"/>
        <v>0</v>
      </c>
      <c r="R394" s="424">
        <f t="shared" si="130"/>
        <v>0</v>
      </c>
      <c r="S394" s="424">
        <f t="shared" si="130"/>
        <v>0</v>
      </c>
      <c r="T394" s="424">
        <f t="shared" si="130"/>
        <v>0</v>
      </c>
      <c r="U394" s="424">
        <f t="shared" si="130"/>
        <v>0</v>
      </c>
      <c r="V394" s="424">
        <f t="shared" si="130"/>
        <v>0</v>
      </c>
      <c r="W394" s="424">
        <f t="shared" si="130"/>
        <v>0</v>
      </c>
      <c r="X394" s="424">
        <f t="shared" si="130"/>
        <v>0</v>
      </c>
      <c r="Y394" s="424">
        <f t="shared" si="130"/>
        <v>0</v>
      </c>
      <c r="Z394" s="424">
        <f t="shared" si="130"/>
        <v>0</v>
      </c>
      <c r="AA394" s="424">
        <f t="shared" si="130"/>
        <v>0</v>
      </c>
      <c r="AB394" s="424">
        <f t="shared" si="130"/>
        <v>0</v>
      </c>
      <c r="AC394" s="424">
        <f t="shared" si="130"/>
        <v>0</v>
      </c>
      <c r="AD394" s="424">
        <f t="shared" si="130"/>
        <v>0</v>
      </c>
      <c r="AE394" s="424">
        <f t="shared" si="130"/>
        <v>0</v>
      </c>
      <c r="AF394" s="424">
        <f t="shared" si="130"/>
        <v>0</v>
      </c>
      <c r="AG394" s="424">
        <f t="shared" si="130"/>
        <v>0</v>
      </c>
      <c r="AH394" s="424">
        <f t="shared" si="130"/>
        <v>0</v>
      </c>
      <c r="AI394" s="424">
        <f t="shared" si="130"/>
        <v>0</v>
      </c>
      <c r="AJ394" s="424">
        <f t="shared" si="130"/>
        <v>0</v>
      </c>
      <c r="AK394" s="424">
        <f t="shared" si="130"/>
        <v>0</v>
      </c>
      <c r="AL394" s="424">
        <f t="shared" si="130"/>
        <v>2.7</v>
      </c>
      <c r="AM394" s="424">
        <f t="shared" si="130"/>
        <v>0</v>
      </c>
      <c r="AN394" s="424">
        <f t="shared" si="130"/>
        <v>3.59</v>
      </c>
      <c r="AO394" s="424">
        <f t="shared" si="130"/>
        <v>1.58</v>
      </c>
      <c r="AP394" s="424">
        <f t="shared" ref="AP394:BU394" si="131">AP24*AP$372</f>
        <v>0</v>
      </c>
      <c r="AQ394" s="424">
        <f t="shared" si="131"/>
        <v>0</v>
      </c>
      <c r="AR394" s="424">
        <f t="shared" si="131"/>
        <v>0</v>
      </c>
      <c r="AS394" s="424">
        <f t="shared" si="131"/>
        <v>0</v>
      </c>
      <c r="AT394" s="424">
        <f t="shared" si="131"/>
        <v>0</v>
      </c>
      <c r="AU394" s="424">
        <f t="shared" si="131"/>
        <v>0</v>
      </c>
      <c r="AV394" s="424">
        <f t="shared" si="131"/>
        <v>0</v>
      </c>
      <c r="AW394" s="424">
        <f t="shared" si="131"/>
        <v>0</v>
      </c>
      <c r="AX394" s="424">
        <f t="shared" si="131"/>
        <v>0</v>
      </c>
      <c r="AY394" s="424">
        <f t="shared" si="131"/>
        <v>0</v>
      </c>
      <c r="AZ394" s="424">
        <f t="shared" si="131"/>
        <v>0</v>
      </c>
      <c r="BA394" s="424">
        <f t="shared" si="131"/>
        <v>0</v>
      </c>
      <c r="BB394" s="424">
        <f t="shared" si="131"/>
        <v>0</v>
      </c>
      <c r="BC394" s="424">
        <f t="shared" si="131"/>
        <v>0</v>
      </c>
      <c r="BD394" s="424">
        <f t="shared" si="131"/>
        <v>0</v>
      </c>
      <c r="BE394" s="424">
        <f t="shared" si="131"/>
        <v>0</v>
      </c>
      <c r="BF394" s="424">
        <f t="shared" si="131"/>
        <v>0</v>
      </c>
      <c r="BG394" s="424">
        <f t="shared" si="131"/>
        <v>0</v>
      </c>
      <c r="BH394" s="424">
        <f t="shared" si="131"/>
        <v>0</v>
      </c>
      <c r="BI394" s="424">
        <f t="shared" si="131"/>
        <v>0</v>
      </c>
      <c r="BJ394" s="424">
        <f t="shared" si="131"/>
        <v>0</v>
      </c>
      <c r="BK394" s="424">
        <f t="shared" si="131"/>
        <v>0</v>
      </c>
      <c r="BL394" s="424">
        <f t="shared" si="131"/>
        <v>0</v>
      </c>
      <c r="BM394" s="424">
        <f t="shared" si="131"/>
        <v>0</v>
      </c>
      <c r="BN394" s="424">
        <f t="shared" si="131"/>
        <v>0</v>
      </c>
      <c r="BO394" s="424">
        <f t="shared" si="131"/>
        <v>0</v>
      </c>
      <c r="BP394" s="424">
        <f t="shared" si="131"/>
        <v>0</v>
      </c>
      <c r="BQ394" s="424">
        <f t="shared" si="131"/>
        <v>0</v>
      </c>
      <c r="BR394" s="424">
        <f t="shared" si="131"/>
        <v>0</v>
      </c>
      <c r="BS394" s="424">
        <f t="shared" si="131"/>
        <v>0</v>
      </c>
      <c r="BT394" s="424">
        <f t="shared" si="131"/>
        <v>0</v>
      </c>
      <c r="BU394" s="424">
        <f t="shared" si="131"/>
        <v>0</v>
      </c>
      <c r="BV394" s="424">
        <f t="shared" ref="BV394:DA394" si="132">BV24*BV$372</f>
        <v>0</v>
      </c>
      <c r="BW394" s="424">
        <f t="shared" si="132"/>
        <v>0</v>
      </c>
      <c r="BX394" s="424">
        <f t="shared" si="132"/>
        <v>0</v>
      </c>
      <c r="BY394" s="424">
        <f t="shared" si="132"/>
        <v>0</v>
      </c>
      <c r="BZ394" s="424">
        <f t="shared" si="132"/>
        <v>0</v>
      </c>
      <c r="CA394" s="424">
        <f t="shared" si="132"/>
        <v>0</v>
      </c>
      <c r="CB394" s="424">
        <f t="shared" si="132"/>
        <v>0</v>
      </c>
      <c r="CC394" s="424">
        <f t="shared" si="132"/>
        <v>0</v>
      </c>
      <c r="CD394" s="424">
        <f t="shared" si="132"/>
        <v>0</v>
      </c>
      <c r="CE394" s="424">
        <f t="shared" si="132"/>
        <v>0</v>
      </c>
      <c r="CF394" s="424">
        <f t="shared" si="132"/>
        <v>0.43</v>
      </c>
      <c r="CG394" s="424">
        <f t="shared" si="132"/>
        <v>0</v>
      </c>
      <c r="CH394" s="424">
        <f t="shared" si="132"/>
        <v>0</v>
      </c>
      <c r="CI394" s="424">
        <f t="shared" si="132"/>
        <v>0</v>
      </c>
      <c r="CJ394" s="424">
        <f t="shared" si="132"/>
        <v>0</v>
      </c>
      <c r="CK394" s="424">
        <f t="shared" si="132"/>
        <v>0</v>
      </c>
      <c r="CL394" s="424">
        <f t="shared" si="132"/>
        <v>0</v>
      </c>
      <c r="CM394" s="424">
        <f t="shared" si="132"/>
        <v>0</v>
      </c>
      <c r="CN394" s="424">
        <f t="shared" si="132"/>
        <v>0</v>
      </c>
      <c r="CO394" s="424">
        <f t="shared" si="132"/>
        <v>0</v>
      </c>
      <c r="CP394" s="424">
        <f t="shared" si="132"/>
        <v>0</v>
      </c>
      <c r="CQ394" s="424">
        <f t="shared" si="132"/>
        <v>0</v>
      </c>
      <c r="CR394" s="424">
        <f t="shared" si="132"/>
        <v>0</v>
      </c>
      <c r="CS394" s="424">
        <f t="shared" si="132"/>
        <v>0</v>
      </c>
      <c r="CT394" s="424">
        <f t="shared" si="132"/>
        <v>0</v>
      </c>
      <c r="CU394" s="424">
        <f t="shared" si="132"/>
        <v>0</v>
      </c>
      <c r="CV394" s="424">
        <f t="shared" si="132"/>
        <v>0</v>
      </c>
      <c r="CW394" s="424">
        <f t="shared" si="132"/>
        <v>0</v>
      </c>
      <c r="CX394" s="424">
        <f t="shared" si="132"/>
        <v>0</v>
      </c>
      <c r="CY394" s="424">
        <f t="shared" si="132"/>
        <v>0</v>
      </c>
      <c r="CZ394" s="424">
        <f t="shared" si="132"/>
        <v>0</v>
      </c>
      <c r="DA394" s="424">
        <f t="shared" si="132"/>
        <v>0</v>
      </c>
      <c r="DB394" s="424">
        <f t="shared" ref="DB394:EG394" si="133">DB24*DB$372</f>
        <v>0</v>
      </c>
      <c r="DC394" s="424">
        <f t="shared" si="133"/>
        <v>0.05</v>
      </c>
      <c r="DD394" s="424">
        <f t="shared" si="133"/>
        <v>0</v>
      </c>
      <c r="DE394" s="424">
        <f t="shared" si="133"/>
        <v>0</v>
      </c>
      <c r="DF394" s="424">
        <f t="shared" si="133"/>
        <v>0</v>
      </c>
      <c r="DG394" s="424">
        <f t="shared" si="133"/>
        <v>0</v>
      </c>
      <c r="DH394" s="424">
        <f t="shared" si="133"/>
        <v>0</v>
      </c>
      <c r="DI394" s="424">
        <f t="shared" si="133"/>
        <v>0</v>
      </c>
      <c r="DJ394" s="424">
        <f t="shared" si="133"/>
        <v>0</v>
      </c>
      <c r="DK394" s="424">
        <f t="shared" si="133"/>
        <v>0</v>
      </c>
      <c r="DL394" s="424">
        <f t="shared" si="133"/>
        <v>0</v>
      </c>
      <c r="DM394" s="424">
        <f t="shared" si="133"/>
        <v>0</v>
      </c>
      <c r="DN394" s="424">
        <f t="shared" si="133"/>
        <v>0</v>
      </c>
      <c r="DO394" s="424">
        <f t="shared" si="133"/>
        <v>0</v>
      </c>
      <c r="DP394" s="424">
        <f t="shared" si="133"/>
        <v>0</v>
      </c>
      <c r="DQ394" s="424">
        <f t="shared" si="133"/>
        <v>0</v>
      </c>
      <c r="DR394" s="424">
        <f t="shared" si="133"/>
        <v>0</v>
      </c>
      <c r="DS394" s="424">
        <f t="shared" si="133"/>
        <v>0</v>
      </c>
      <c r="DT394" s="424">
        <f t="shared" si="133"/>
        <v>0</v>
      </c>
      <c r="DU394" s="424">
        <f t="shared" si="133"/>
        <v>0</v>
      </c>
      <c r="DV394" s="424">
        <f t="shared" si="133"/>
        <v>0</v>
      </c>
      <c r="DW394" s="424">
        <f t="shared" si="133"/>
        <v>0</v>
      </c>
      <c r="DX394" s="424">
        <f t="shared" si="133"/>
        <v>0</v>
      </c>
      <c r="DY394" s="424">
        <f t="shared" si="133"/>
        <v>0</v>
      </c>
      <c r="DZ394" s="424">
        <f t="shared" si="133"/>
        <v>0</v>
      </c>
      <c r="EA394" s="424">
        <f t="shared" si="133"/>
        <v>0</v>
      </c>
      <c r="EB394" s="424">
        <f t="shared" si="133"/>
        <v>0</v>
      </c>
      <c r="EC394" s="424">
        <f t="shared" si="133"/>
        <v>0</v>
      </c>
      <c r="ED394" s="424">
        <f t="shared" si="133"/>
        <v>0</v>
      </c>
      <c r="EE394" s="424">
        <f t="shared" si="133"/>
        <v>0</v>
      </c>
      <c r="EF394" s="424">
        <f t="shared" si="133"/>
        <v>0</v>
      </c>
      <c r="EG394" s="424">
        <f t="shared" si="133"/>
        <v>0</v>
      </c>
      <c r="EH394" s="424">
        <f t="shared" ref="EH394:EX394" si="134">EH24*EH$372</f>
        <v>0</v>
      </c>
      <c r="EI394" s="424">
        <f t="shared" si="134"/>
        <v>0</v>
      </c>
      <c r="EJ394" s="424">
        <f t="shared" si="134"/>
        <v>0</v>
      </c>
      <c r="EK394" s="424">
        <f t="shared" si="134"/>
        <v>0</v>
      </c>
      <c r="EL394" s="424">
        <f t="shared" si="134"/>
        <v>0</v>
      </c>
      <c r="EM394" s="424">
        <f t="shared" si="134"/>
        <v>0</v>
      </c>
      <c r="EN394" s="424">
        <f t="shared" si="134"/>
        <v>0</v>
      </c>
      <c r="EO394" s="424">
        <f t="shared" si="134"/>
        <v>0</v>
      </c>
      <c r="EP394" s="424">
        <f t="shared" si="134"/>
        <v>0</v>
      </c>
      <c r="EQ394" s="424">
        <f t="shared" si="134"/>
        <v>0</v>
      </c>
      <c r="ER394" s="424">
        <f t="shared" si="134"/>
        <v>0</v>
      </c>
      <c r="ES394" s="424">
        <f t="shared" si="134"/>
        <v>0</v>
      </c>
      <c r="ET394" s="424">
        <f t="shared" si="134"/>
        <v>0</v>
      </c>
      <c r="EU394" s="424">
        <f t="shared" si="134"/>
        <v>0</v>
      </c>
      <c r="EV394" s="424">
        <f t="shared" si="134"/>
        <v>0</v>
      </c>
      <c r="EW394" s="424">
        <f t="shared" si="134"/>
        <v>0</v>
      </c>
      <c r="EX394" s="424">
        <f t="shared" si="134"/>
        <v>0</v>
      </c>
      <c r="EY394" s="425">
        <f t="shared" si="49"/>
        <v>8.35</v>
      </c>
    </row>
    <row r="395" spans="1:166" ht="14.7" customHeight="1" x14ac:dyDescent="0.25">
      <c r="A395" s="310">
        <v>21</v>
      </c>
      <c r="B395" s="311" t="str">
        <f t="shared" si="30"/>
        <v>Салат из свежих помидоров и огурцов с луком репчатым</v>
      </c>
      <c r="C395" s="483">
        <f t="shared" si="38"/>
        <v>6.08</v>
      </c>
      <c r="D395" s="888"/>
      <c r="E395" s="888"/>
      <c r="F395" s="888"/>
      <c r="G395" s="889"/>
      <c r="H395" s="680">
        <f t="shared" si="31"/>
        <v>24</v>
      </c>
      <c r="I395" s="1209">
        <f t="shared" si="32"/>
        <v>0</v>
      </c>
      <c r="J395" s="424">
        <f t="shared" ref="J395:AO395" si="135">J25*J$372</f>
        <v>0</v>
      </c>
      <c r="K395" s="424">
        <f t="shared" si="135"/>
        <v>0</v>
      </c>
      <c r="L395" s="424">
        <f t="shared" si="135"/>
        <v>0</v>
      </c>
      <c r="M395" s="424">
        <f t="shared" si="135"/>
        <v>0</v>
      </c>
      <c r="N395" s="424">
        <f t="shared" si="135"/>
        <v>0</v>
      </c>
      <c r="O395" s="424">
        <f t="shared" si="135"/>
        <v>0</v>
      </c>
      <c r="P395" s="424">
        <f t="shared" si="135"/>
        <v>0</v>
      </c>
      <c r="Q395" s="424">
        <f t="shared" si="135"/>
        <v>0</v>
      </c>
      <c r="R395" s="424">
        <f t="shared" si="135"/>
        <v>0</v>
      </c>
      <c r="S395" s="424">
        <f t="shared" si="135"/>
        <v>0</v>
      </c>
      <c r="T395" s="424">
        <f t="shared" si="135"/>
        <v>0</v>
      </c>
      <c r="U395" s="424">
        <f t="shared" si="135"/>
        <v>0</v>
      </c>
      <c r="V395" s="424">
        <f t="shared" si="135"/>
        <v>0</v>
      </c>
      <c r="W395" s="424">
        <f t="shared" si="135"/>
        <v>0</v>
      </c>
      <c r="X395" s="424">
        <f t="shared" si="135"/>
        <v>0</v>
      </c>
      <c r="Y395" s="424">
        <f t="shared" si="135"/>
        <v>0</v>
      </c>
      <c r="Z395" s="424">
        <f t="shared" si="135"/>
        <v>0</v>
      </c>
      <c r="AA395" s="424">
        <f t="shared" si="135"/>
        <v>0</v>
      </c>
      <c r="AB395" s="424">
        <f t="shared" si="135"/>
        <v>0</v>
      </c>
      <c r="AC395" s="424">
        <f t="shared" si="135"/>
        <v>0</v>
      </c>
      <c r="AD395" s="424">
        <f t="shared" si="135"/>
        <v>0</v>
      </c>
      <c r="AE395" s="424">
        <f t="shared" si="135"/>
        <v>0</v>
      </c>
      <c r="AF395" s="424">
        <f t="shared" si="135"/>
        <v>0</v>
      </c>
      <c r="AG395" s="424">
        <f t="shared" si="135"/>
        <v>0</v>
      </c>
      <c r="AH395" s="424">
        <f t="shared" si="135"/>
        <v>0</v>
      </c>
      <c r="AI395" s="424">
        <f t="shared" si="135"/>
        <v>0</v>
      </c>
      <c r="AJ395" s="424">
        <f t="shared" si="135"/>
        <v>0</v>
      </c>
      <c r="AK395" s="424">
        <f t="shared" si="135"/>
        <v>0.43</v>
      </c>
      <c r="AL395" s="424">
        <f t="shared" si="135"/>
        <v>0</v>
      </c>
      <c r="AM395" s="424">
        <f t="shared" si="135"/>
        <v>0</v>
      </c>
      <c r="AN395" s="424">
        <f t="shared" si="135"/>
        <v>3.59</v>
      </c>
      <c r="AO395" s="424">
        <f t="shared" si="135"/>
        <v>1.58</v>
      </c>
      <c r="AP395" s="424">
        <f t="shared" ref="AP395:BU395" si="136">AP25*AP$372</f>
        <v>0</v>
      </c>
      <c r="AQ395" s="424">
        <f t="shared" si="136"/>
        <v>0</v>
      </c>
      <c r="AR395" s="424">
        <f t="shared" si="136"/>
        <v>0</v>
      </c>
      <c r="AS395" s="424">
        <f t="shared" si="136"/>
        <v>0</v>
      </c>
      <c r="AT395" s="424">
        <f t="shared" si="136"/>
        <v>0</v>
      </c>
      <c r="AU395" s="424">
        <f t="shared" si="136"/>
        <v>0</v>
      </c>
      <c r="AV395" s="424">
        <f t="shared" si="136"/>
        <v>0</v>
      </c>
      <c r="AW395" s="424">
        <f t="shared" si="136"/>
        <v>0</v>
      </c>
      <c r="AX395" s="424">
        <f t="shared" si="136"/>
        <v>0</v>
      </c>
      <c r="AY395" s="424">
        <f t="shared" si="136"/>
        <v>0</v>
      </c>
      <c r="AZ395" s="424">
        <f t="shared" si="136"/>
        <v>0</v>
      </c>
      <c r="BA395" s="424">
        <f t="shared" si="136"/>
        <v>0</v>
      </c>
      <c r="BB395" s="424">
        <f t="shared" si="136"/>
        <v>0</v>
      </c>
      <c r="BC395" s="424">
        <f t="shared" si="136"/>
        <v>0</v>
      </c>
      <c r="BD395" s="424">
        <f t="shared" si="136"/>
        <v>0</v>
      </c>
      <c r="BE395" s="424">
        <f t="shared" si="136"/>
        <v>0</v>
      </c>
      <c r="BF395" s="424">
        <f t="shared" si="136"/>
        <v>0</v>
      </c>
      <c r="BG395" s="424">
        <f t="shared" si="136"/>
        <v>0</v>
      </c>
      <c r="BH395" s="424">
        <f t="shared" si="136"/>
        <v>0</v>
      </c>
      <c r="BI395" s="424">
        <f t="shared" si="136"/>
        <v>0</v>
      </c>
      <c r="BJ395" s="424">
        <f t="shared" si="136"/>
        <v>0</v>
      </c>
      <c r="BK395" s="424">
        <f t="shared" si="136"/>
        <v>0</v>
      </c>
      <c r="BL395" s="424">
        <f t="shared" si="136"/>
        <v>0</v>
      </c>
      <c r="BM395" s="424">
        <f t="shared" si="136"/>
        <v>0</v>
      </c>
      <c r="BN395" s="424">
        <f t="shared" si="136"/>
        <v>0</v>
      </c>
      <c r="BO395" s="424">
        <f t="shared" si="136"/>
        <v>0</v>
      </c>
      <c r="BP395" s="424">
        <f t="shared" si="136"/>
        <v>0</v>
      </c>
      <c r="BQ395" s="424">
        <f t="shared" si="136"/>
        <v>0</v>
      </c>
      <c r="BR395" s="424">
        <f t="shared" si="136"/>
        <v>0</v>
      </c>
      <c r="BS395" s="424">
        <f t="shared" si="136"/>
        <v>0</v>
      </c>
      <c r="BT395" s="424">
        <f t="shared" si="136"/>
        <v>0</v>
      </c>
      <c r="BU395" s="424">
        <f t="shared" si="136"/>
        <v>0</v>
      </c>
      <c r="BV395" s="424">
        <f t="shared" ref="BV395:DA395" si="137">BV25*BV$372</f>
        <v>0</v>
      </c>
      <c r="BW395" s="424">
        <f t="shared" si="137"/>
        <v>0</v>
      </c>
      <c r="BX395" s="424">
        <f t="shared" si="137"/>
        <v>0</v>
      </c>
      <c r="BY395" s="424">
        <f t="shared" si="137"/>
        <v>0</v>
      </c>
      <c r="BZ395" s="424">
        <f t="shared" si="137"/>
        <v>0</v>
      </c>
      <c r="CA395" s="424">
        <f t="shared" si="137"/>
        <v>0</v>
      </c>
      <c r="CB395" s="424">
        <f t="shared" si="137"/>
        <v>0</v>
      </c>
      <c r="CC395" s="424">
        <f t="shared" si="137"/>
        <v>0</v>
      </c>
      <c r="CD395" s="424">
        <f t="shared" si="137"/>
        <v>0</v>
      </c>
      <c r="CE395" s="424">
        <f t="shared" si="137"/>
        <v>0</v>
      </c>
      <c r="CF395" s="424">
        <f t="shared" si="137"/>
        <v>0.43</v>
      </c>
      <c r="CG395" s="424">
        <f t="shared" si="137"/>
        <v>0</v>
      </c>
      <c r="CH395" s="424">
        <f t="shared" si="137"/>
        <v>0</v>
      </c>
      <c r="CI395" s="424">
        <f t="shared" si="137"/>
        <v>0</v>
      </c>
      <c r="CJ395" s="424">
        <f t="shared" si="137"/>
        <v>0</v>
      </c>
      <c r="CK395" s="424">
        <f t="shared" si="137"/>
        <v>0</v>
      </c>
      <c r="CL395" s="424">
        <f t="shared" si="137"/>
        <v>0</v>
      </c>
      <c r="CM395" s="424">
        <f t="shared" si="137"/>
        <v>0</v>
      </c>
      <c r="CN395" s="424">
        <f t="shared" si="137"/>
        <v>0</v>
      </c>
      <c r="CO395" s="424">
        <f t="shared" si="137"/>
        <v>0</v>
      </c>
      <c r="CP395" s="424">
        <f t="shared" si="137"/>
        <v>0</v>
      </c>
      <c r="CQ395" s="424">
        <f t="shared" si="137"/>
        <v>0</v>
      </c>
      <c r="CR395" s="424">
        <f t="shared" si="137"/>
        <v>0</v>
      </c>
      <c r="CS395" s="424">
        <f t="shared" si="137"/>
        <v>0</v>
      </c>
      <c r="CT395" s="424">
        <f t="shared" si="137"/>
        <v>0</v>
      </c>
      <c r="CU395" s="424">
        <f t="shared" si="137"/>
        <v>0</v>
      </c>
      <c r="CV395" s="424">
        <f t="shared" si="137"/>
        <v>0</v>
      </c>
      <c r="CW395" s="424">
        <f t="shared" si="137"/>
        <v>0</v>
      </c>
      <c r="CX395" s="424">
        <f t="shared" si="137"/>
        <v>0</v>
      </c>
      <c r="CY395" s="424">
        <f t="shared" si="137"/>
        <v>0</v>
      </c>
      <c r="CZ395" s="424">
        <f t="shared" si="137"/>
        <v>0</v>
      </c>
      <c r="DA395" s="424">
        <f t="shared" si="137"/>
        <v>0</v>
      </c>
      <c r="DB395" s="424">
        <f t="shared" ref="DB395:EG395" si="138">DB25*DB$372</f>
        <v>0</v>
      </c>
      <c r="DC395" s="424">
        <f t="shared" si="138"/>
        <v>0.05</v>
      </c>
      <c r="DD395" s="424">
        <f t="shared" si="138"/>
        <v>0</v>
      </c>
      <c r="DE395" s="424">
        <f t="shared" si="138"/>
        <v>0</v>
      </c>
      <c r="DF395" s="424">
        <f t="shared" si="138"/>
        <v>0</v>
      </c>
      <c r="DG395" s="424">
        <f t="shared" si="138"/>
        <v>0</v>
      </c>
      <c r="DH395" s="424">
        <f t="shared" si="138"/>
        <v>0</v>
      </c>
      <c r="DI395" s="424">
        <f t="shared" si="138"/>
        <v>0</v>
      </c>
      <c r="DJ395" s="424">
        <f t="shared" si="138"/>
        <v>0</v>
      </c>
      <c r="DK395" s="424">
        <f t="shared" si="138"/>
        <v>0</v>
      </c>
      <c r="DL395" s="424">
        <f t="shared" si="138"/>
        <v>0</v>
      </c>
      <c r="DM395" s="424">
        <f t="shared" si="138"/>
        <v>0</v>
      </c>
      <c r="DN395" s="424">
        <f t="shared" si="138"/>
        <v>0</v>
      </c>
      <c r="DO395" s="424">
        <f t="shared" si="138"/>
        <v>0</v>
      </c>
      <c r="DP395" s="424">
        <f t="shared" si="138"/>
        <v>0</v>
      </c>
      <c r="DQ395" s="424">
        <f t="shared" si="138"/>
        <v>0</v>
      </c>
      <c r="DR395" s="424">
        <f t="shared" si="138"/>
        <v>0</v>
      </c>
      <c r="DS395" s="424">
        <f t="shared" si="138"/>
        <v>0</v>
      </c>
      <c r="DT395" s="424">
        <f t="shared" si="138"/>
        <v>0</v>
      </c>
      <c r="DU395" s="424">
        <f t="shared" si="138"/>
        <v>0</v>
      </c>
      <c r="DV395" s="424">
        <f t="shared" si="138"/>
        <v>0</v>
      </c>
      <c r="DW395" s="424">
        <f t="shared" si="138"/>
        <v>0</v>
      </c>
      <c r="DX395" s="424">
        <f t="shared" si="138"/>
        <v>0</v>
      </c>
      <c r="DY395" s="424">
        <f t="shared" si="138"/>
        <v>0</v>
      </c>
      <c r="DZ395" s="424">
        <f t="shared" si="138"/>
        <v>0</v>
      </c>
      <c r="EA395" s="424">
        <f t="shared" si="138"/>
        <v>0</v>
      </c>
      <c r="EB395" s="424">
        <f t="shared" si="138"/>
        <v>0</v>
      </c>
      <c r="EC395" s="424">
        <f t="shared" si="138"/>
        <v>0</v>
      </c>
      <c r="ED395" s="424">
        <f t="shared" si="138"/>
        <v>0</v>
      </c>
      <c r="EE395" s="424">
        <f t="shared" si="138"/>
        <v>0</v>
      </c>
      <c r="EF395" s="424">
        <f t="shared" si="138"/>
        <v>0</v>
      </c>
      <c r="EG395" s="424">
        <f t="shared" si="138"/>
        <v>0</v>
      </c>
      <c r="EH395" s="424">
        <f t="shared" ref="EH395:EX395" si="139">EH25*EH$372</f>
        <v>0</v>
      </c>
      <c r="EI395" s="424">
        <f t="shared" si="139"/>
        <v>0</v>
      </c>
      <c r="EJ395" s="424">
        <f t="shared" si="139"/>
        <v>0</v>
      </c>
      <c r="EK395" s="424">
        <f t="shared" si="139"/>
        <v>0</v>
      </c>
      <c r="EL395" s="424">
        <f t="shared" si="139"/>
        <v>0</v>
      </c>
      <c r="EM395" s="424">
        <f t="shared" si="139"/>
        <v>0</v>
      </c>
      <c r="EN395" s="424">
        <f t="shared" si="139"/>
        <v>0</v>
      </c>
      <c r="EO395" s="424">
        <f t="shared" si="139"/>
        <v>0</v>
      </c>
      <c r="EP395" s="424">
        <f t="shared" si="139"/>
        <v>0</v>
      </c>
      <c r="EQ395" s="424">
        <f t="shared" si="139"/>
        <v>0</v>
      </c>
      <c r="ER395" s="424">
        <f t="shared" si="139"/>
        <v>0</v>
      </c>
      <c r="ES395" s="424">
        <f t="shared" si="139"/>
        <v>0</v>
      </c>
      <c r="ET395" s="424">
        <f t="shared" si="139"/>
        <v>0</v>
      </c>
      <c r="EU395" s="424">
        <f t="shared" si="139"/>
        <v>0</v>
      </c>
      <c r="EV395" s="424">
        <f t="shared" si="139"/>
        <v>0</v>
      </c>
      <c r="EW395" s="424">
        <f t="shared" si="139"/>
        <v>0</v>
      </c>
      <c r="EX395" s="424">
        <f t="shared" si="139"/>
        <v>0</v>
      </c>
      <c r="EY395" s="425">
        <f t="shared" si="49"/>
        <v>6.08</v>
      </c>
    </row>
    <row r="396" spans="1:166" ht="14.7" customHeight="1" x14ac:dyDescent="0.25">
      <c r="A396" s="310">
        <v>22</v>
      </c>
      <c r="B396" s="311" t="str">
        <f t="shared" si="30"/>
        <v>Салат "Весна"</v>
      </c>
      <c r="C396" s="483">
        <f t="shared" si="38"/>
        <v>9.92</v>
      </c>
      <c r="D396" s="888"/>
      <c r="E396" s="888"/>
      <c r="F396" s="888"/>
      <c r="G396" s="889"/>
      <c r="H396" s="680">
        <f t="shared" si="31"/>
        <v>28</v>
      </c>
      <c r="I396" s="1209">
        <f t="shared" si="32"/>
        <v>-0.01</v>
      </c>
      <c r="J396" s="424">
        <f t="shared" ref="J396:AO396" si="140">J26*J$372</f>
        <v>0</v>
      </c>
      <c r="K396" s="424">
        <f t="shared" si="140"/>
        <v>0</v>
      </c>
      <c r="L396" s="424">
        <f t="shared" si="140"/>
        <v>0</v>
      </c>
      <c r="M396" s="424">
        <f t="shared" si="140"/>
        <v>0</v>
      </c>
      <c r="N396" s="424">
        <f t="shared" si="140"/>
        <v>0</v>
      </c>
      <c r="O396" s="424">
        <f t="shared" si="140"/>
        <v>0</v>
      </c>
      <c r="P396" s="424">
        <f t="shared" si="140"/>
        <v>0</v>
      </c>
      <c r="Q396" s="424">
        <f t="shared" si="140"/>
        <v>0</v>
      </c>
      <c r="R396" s="424">
        <f t="shared" si="140"/>
        <v>0</v>
      </c>
      <c r="S396" s="424">
        <f t="shared" si="140"/>
        <v>0</v>
      </c>
      <c r="T396" s="424">
        <f t="shared" si="140"/>
        <v>0</v>
      </c>
      <c r="U396" s="424">
        <f t="shared" si="140"/>
        <v>0</v>
      </c>
      <c r="V396" s="424">
        <f t="shared" si="140"/>
        <v>0</v>
      </c>
      <c r="W396" s="424">
        <f t="shared" si="140"/>
        <v>0</v>
      </c>
      <c r="X396" s="424">
        <f t="shared" si="140"/>
        <v>0</v>
      </c>
      <c r="Y396" s="424">
        <f t="shared" si="140"/>
        <v>0</v>
      </c>
      <c r="Z396" s="424">
        <f t="shared" si="140"/>
        <v>0</v>
      </c>
      <c r="AA396" s="424">
        <f t="shared" si="140"/>
        <v>0</v>
      </c>
      <c r="AB396" s="424">
        <f t="shared" si="140"/>
        <v>0</v>
      </c>
      <c r="AC396" s="424">
        <f t="shared" si="140"/>
        <v>0</v>
      </c>
      <c r="AD396" s="424">
        <f t="shared" si="140"/>
        <v>0</v>
      </c>
      <c r="AE396" s="424">
        <f t="shared" si="140"/>
        <v>0.63</v>
      </c>
      <c r="AF396" s="424">
        <f t="shared" si="140"/>
        <v>0</v>
      </c>
      <c r="AG396" s="424">
        <f t="shared" si="140"/>
        <v>0</v>
      </c>
      <c r="AH396" s="424">
        <f t="shared" si="140"/>
        <v>0</v>
      </c>
      <c r="AI396" s="424">
        <f t="shared" si="140"/>
        <v>0</v>
      </c>
      <c r="AJ396" s="424">
        <f t="shared" si="140"/>
        <v>0</v>
      </c>
      <c r="AK396" s="424">
        <f t="shared" si="140"/>
        <v>0</v>
      </c>
      <c r="AL396" s="424">
        <f t="shared" si="140"/>
        <v>3.15</v>
      </c>
      <c r="AM396" s="424">
        <f t="shared" si="140"/>
        <v>0</v>
      </c>
      <c r="AN396" s="424">
        <f t="shared" si="140"/>
        <v>0</v>
      </c>
      <c r="AO396" s="424">
        <f t="shared" si="140"/>
        <v>1.58</v>
      </c>
      <c r="AP396" s="424">
        <f t="shared" ref="AP396:BU396" si="141">AP26*AP$372</f>
        <v>3.5</v>
      </c>
      <c r="AQ396" s="424">
        <f t="shared" si="141"/>
        <v>0</v>
      </c>
      <c r="AR396" s="424">
        <f t="shared" si="141"/>
        <v>0</v>
      </c>
      <c r="AS396" s="424">
        <f t="shared" si="141"/>
        <v>0</v>
      </c>
      <c r="AT396" s="424">
        <f t="shared" si="141"/>
        <v>0</v>
      </c>
      <c r="AU396" s="424">
        <f t="shared" si="141"/>
        <v>0</v>
      </c>
      <c r="AV396" s="424">
        <f t="shared" si="141"/>
        <v>0</v>
      </c>
      <c r="AW396" s="424">
        <f t="shared" si="141"/>
        <v>0</v>
      </c>
      <c r="AX396" s="424">
        <f t="shared" si="141"/>
        <v>0</v>
      </c>
      <c r="AY396" s="424">
        <f t="shared" si="141"/>
        <v>0</v>
      </c>
      <c r="AZ396" s="424">
        <f t="shared" si="141"/>
        <v>0</v>
      </c>
      <c r="BA396" s="424">
        <f t="shared" si="141"/>
        <v>0</v>
      </c>
      <c r="BB396" s="424">
        <f t="shared" si="141"/>
        <v>0</v>
      </c>
      <c r="BC396" s="424">
        <f t="shared" si="141"/>
        <v>0.65</v>
      </c>
      <c r="BD396" s="424">
        <f t="shared" si="141"/>
        <v>0</v>
      </c>
      <c r="BE396" s="424">
        <f t="shared" si="141"/>
        <v>0</v>
      </c>
      <c r="BF396" s="424">
        <f t="shared" si="141"/>
        <v>0</v>
      </c>
      <c r="BG396" s="424">
        <f t="shared" si="141"/>
        <v>0</v>
      </c>
      <c r="BH396" s="424">
        <f t="shared" si="141"/>
        <v>0</v>
      </c>
      <c r="BI396" s="424">
        <f t="shared" si="141"/>
        <v>0</v>
      </c>
      <c r="BJ396" s="424">
        <f t="shared" si="141"/>
        <v>0</v>
      </c>
      <c r="BK396" s="424">
        <f t="shared" si="141"/>
        <v>0</v>
      </c>
      <c r="BL396" s="424">
        <f t="shared" si="141"/>
        <v>0</v>
      </c>
      <c r="BM396" s="424">
        <f t="shared" si="141"/>
        <v>0</v>
      </c>
      <c r="BN396" s="424">
        <f t="shared" si="141"/>
        <v>0</v>
      </c>
      <c r="BO396" s="424">
        <f t="shared" si="141"/>
        <v>0</v>
      </c>
      <c r="BP396" s="424">
        <f t="shared" si="141"/>
        <v>0</v>
      </c>
      <c r="BQ396" s="424">
        <f t="shared" si="141"/>
        <v>0</v>
      </c>
      <c r="BR396" s="424">
        <f t="shared" si="141"/>
        <v>0</v>
      </c>
      <c r="BS396" s="424">
        <f t="shared" si="141"/>
        <v>0</v>
      </c>
      <c r="BT396" s="424">
        <f t="shared" si="141"/>
        <v>0</v>
      </c>
      <c r="BU396" s="424">
        <f t="shared" si="141"/>
        <v>0</v>
      </c>
      <c r="BV396" s="424">
        <f t="shared" ref="BV396:DA396" si="142">BV26*BV$372</f>
        <v>0</v>
      </c>
      <c r="BW396" s="424">
        <f t="shared" si="142"/>
        <v>0</v>
      </c>
      <c r="BX396" s="424">
        <f t="shared" si="142"/>
        <v>0</v>
      </c>
      <c r="BY396" s="424">
        <f t="shared" si="142"/>
        <v>0</v>
      </c>
      <c r="BZ396" s="424">
        <f t="shared" si="142"/>
        <v>0</v>
      </c>
      <c r="CA396" s="424">
        <f t="shared" si="142"/>
        <v>0</v>
      </c>
      <c r="CB396" s="424">
        <f t="shared" si="142"/>
        <v>0</v>
      </c>
      <c r="CC396" s="424">
        <f t="shared" si="142"/>
        <v>0</v>
      </c>
      <c r="CD396" s="424">
        <f t="shared" si="142"/>
        <v>0</v>
      </c>
      <c r="CE396" s="424">
        <f t="shared" si="142"/>
        <v>0</v>
      </c>
      <c r="CF396" s="424">
        <f t="shared" si="142"/>
        <v>0.36</v>
      </c>
      <c r="CG396" s="424">
        <f t="shared" si="142"/>
        <v>0</v>
      </c>
      <c r="CH396" s="424">
        <f t="shared" si="142"/>
        <v>0</v>
      </c>
      <c r="CI396" s="424">
        <f t="shared" si="142"/>
        <v>0</v>
      </c>
      <c r="CJ396" s="424">
        <f t="shared" si="142"/>
        <v>0</v>
      </c>
      <c r="CK396" s="424">
        <f t="shared" si="142"/>
        <v>0</v>
      </c>
      <c r="CL396" s="424">
        <f t="shared" si="142"/>
        <v>0</v>
      </c>
      <c r="CM396" s="424">
        <f t="shared" si="142"/>
        <v>0</v>
      </c>
      <c r="CN396" s="424">
        <f t="shared" si="142"/>
        <v>0</v>
      </c>
      <c r="CO396" s="424">
        <f t="shared" si="142"/>
        <v>0</v>
      </c>
      <c r="CP396" s="424">
        <f t="shared" si="142"/>
        <v>0</v>
      </c>
      <c r="CQ396" s="424">
        <f t="shared" si="142"/>
        <v>0</v>
      </c>
      <c r="CR396" s="424">
        <f t="shared" si="142"/>
        <v>0</v>
      </c>
      <c r="CS396" s="424">
        <f t="shared" si="142"/>
        <v>0</v>
      </c>
      <c r="CT396" s="424">
        <f t="shared" si="142"/>
        <v>0</v>
      </c>
      <c r="CU396" s="424">
        <f t="shared" si="142"/>
        <v>0</v>
      </c>
      <c r="CV396" s="424">
        <f t="shared" si="142"/>
        <v>0</v>
      </c>
      <c r="CW396" s="424">
        <f t="shared" si="142"/>
        <v>0</v>
      </c>
      <c r="CX396" s="424">
        <f t="shared" si="142"/>
        <v>0</v>
      </c>
      <c r="CY396" s="424">
        <f t="shared" si="142"/>
        <v>0</v>
      </c>
      <c r="CZ396" s="424">
        <f t="shared" si="142"/>
        <v>0</v>
      </c>
      <c r="DA396" s="424">
        <f t="shared" si="142"/>
        <v>0</v>
      </c>
      <c r="DB396" s="424">
        <f t="shared" ref="DB396:EG396" si="143">DB26*DB$372</f>
        <v>0</v>
      </c>
      <c r="DC396" s="424">
        <f t="shared" si="143"/>
        <v>0.05</v>
      </c>
      <c r="DD396" s="424">
        <f t="shared" si="143"/>
        <v>0</v>
      </c>
      <c r="DE396" s="424">
        <f t="shared" si="143"/>
        <v>0</v>
      </c>
      <c r="DF396" s="424">
        <f t="shared" si="143"/>
        <v>0</v>
      </c>
      <c r="DG396" s="424">
        <f t="shared" si="143"/>
        <v>0</v>
      </c>
      <c r="DH396" s="424">
        <f t="shared" si="143"/>
        <v>0</v>
      </c>
      <c r="DI396" s="424">
        <f t="shared" si="143"/>
        <v>0</v>
      </c>
      <c r="DJ396" s="424">
        <f t="shared" si="143"/>
        <v>0</v>
      </c>
      <c r="DK396" s="424">
        <f t="shared" si="143"/>
        <v>0</v>
      </c>
      <c r="DL396" s="424">
        <f t="shared" si="143"/>
        <v>0</v>
      </c>
      <c r="DM396" s="424">
        <f t="shared" si="143"/>
        <v>0</v>
      </c>
      <c r="DN396" s="424">
        <f t="shared" si="143"/>
        <v>0</v>
      </c>
      <c r="DO396" s="424">
        <f t="shared" si="143"/>
        <v>0</v>
      </c>
      <c r="DP396" s="424">
        <f t="shared" si="143"/>
        <v>0</v>
      </c>
      <c r="DQ396" s="424">
        <f t="shared" si="143"/>
        <v>0</v>
      </c>
      <c r="DR396" s="424">
        <f t="shared" si="143"/>
        <v>0</v>
      </c>
      <c r="DS396" s="424">
        <f t="shared" si="143"/>
        <v>0</v>
      </c>
      <c r="DT396" s="424">
        <f t="shared" si="143"/>
        <v>0</v>
      </c>
      <c r="DU396" s="424">
        <f t="shared" si="143"/>
        <v>0</v>
      </c>
      <c r="DV396" s="424">
        <f t="shared" si="143"/>
        <v>0</v>
      </c>
      <c r="DW396" s="424">
        <f t="shared" si="143"/>
        <v>0</v>
      </c>
      <c r="DX396" s="424">
        <f t="shared" si="143"/>
        <v>0</v>
      </c>
      <c r="DY396" s="424">
        <f t="shared" si="143"/>
        <v>0</v>
      </c>
      <c r="DZ396" s="424">
        <f t="shared" si="143"/>
        <v>0</v>
      </c>
      <c r="EA396" s="424">
        <f t="shared" si="143"/>
        <v>0</v>
      </c>
      <c r="EB396" s="424">
        <f t="shared" si="143"/>
        <v>0</v>
      </c>
      <c r="EC396" s="424">
        <f t="shared" si="143"/>
        <v>0</v>
      </c>
      <c r="ED396" s="424">
        <f t="shared" si="143"/>
        <v>0</v>
      </c>
      <c r="EE396" s="424">
        <f t="shared" si="143"/>
        <v>0</v>
      </c>
      <c r="EF396" s="424">
        <f t="shared" si="143"/>
        <v>0</v>
      </c>
      <c r="EG396" s="424">
        <f t="shared" si="143"/>
        <v>0</v>
      </c>
      <c r="EH396" s="424">
        <f t="shared" ref="EH396:EX396" si="144">EH26*EH$372</f>
        <v>0</v>
      </c>
      <c r="EI396" s="424">
        <f t="shared" si="144"/>
        <v>0</v>
      </c>
      <c r="EJ396" s="424">
        <f t="shared" si="144"/>
        <v>0</v>
      </c>
      <c r="EK396" s="424">
        <f t="shared" si="144"/>
        <v>0</v>
      </c>
      <c r="EL396" s="424">
        <f t="shared" si="144"/>
        <v>0</v>
      </c>
      <c r="EM396" s="424">
        <f t="shared" si="144"/>
        <v>0</v>
      </c>
      <c r="EN396" s="424">
        <f t="shared" si="144"/>
        <v>0</v>
      </c>
      <c r="EO396" s="424">
        <f t="shared" si="144"/>
        <v>0</v>
      </c>
      <c r="EP396" s="424">
        <f t="shared" si="144"/>
        <v>0</v>
      </c>
      <c r="EQ396" s="424">
        <f t="shared" si="144"/>
        <v>0</v>
      </c>
      <c r="ER396" s="424">
        <f t="shared" si="144"/>
        <v>0</v>
      </c>
      <c r="ES396" s="424">
        <f t="shared" si="144"/>
        <v>0</v>
      </c>
      <c r="ET396" s="424">
        <f t="shared" si="144"/>
        <v>0</v>
      </c>
      <c r="EU396" s="424">
        <f t="shared" si="144"/>
        <v>0</v>
      </c>
      <c r="EV396" s="424">
        <f t="shared" si="144"/>
        <v>0</v>
      </c>
      <c r="EW396" s="424">
        <f t="shared" si="144"/>
        <v>0</v>
      </c>
      <c r="EX396" s="424">
        <f t="shared" si="144"/>
        <v>0</v>
      </c>
      <c r="EY396" s="425">
        <f t="shared" si="49"/>
        <v>9.92</v>
      </c>
    </row>
    <row r="397" spans="1:166" ht="14.7" customHeight="1" x14ac:dyDescent="0.25">
      <c r="A397" s="310">
        <v>23</v>
      </c>
      <c r="B397" s="311" t="str">
        <f t="shared" si="30"/>
        <v>Салат из сырых овощей</v>
      </c>
      <c r="C397" s="483">
        <f t="shared" si="38"/>
        <v>4.96</v>
      </c>
      <c r="D397" s="888"/>
      <c r="E397" s="888"/>
      <c r="F397" s="888"/>
      <c r="G397" s="889"/>
      <c r="H397" s="680">
        <f t="shared" si="31"/>
        <v>29</v>
      </c>
      <c r="I397" s="1209">
        <f t="shared" si="32"/>
        <v>0</v>
      </c>
      <c r="J397" s="424">
        <f t="shared" ref="J397:AO397" si="145">J27*J$372</f>
        <v>0</v>
      </c>
      <c r="K397" s="424">
        <f t="shared" si="145"/>
        <v>0</v>
      </c>
      <c r="L397" s="424">
        <f t="shared" si="145"/>
        <v>0</v>
      </c>
      <c r="M397" s="424">
        <f t="shared" si="145"/>
        <v>0</v>
      </c>
      <c r="N397" s="424">
        <f t="shared" si="145"/>
        <v>0</v>
      </c>
      <c r="O397" s="424">
        <f t="shared" si="145"/>
        <v>0</v>
      </c>
      <c r="P397" s="424">
        <f t="shared" si="145"/>
        <v>0</v>
      </c>
      <c r="Q397" s="424">
        <f t="shared" si="145"/>
        <v>0</v>
      </c>
      <c r="R397" s="424">
        <f t="shared" si="145"/>
        <v>0</v>
      </c>
      <c r="S397" s="424">
        <f t="shared" si="145"/>
        <v>0</v>
      </c>
      <c r="T397" s="424">
        <f t="shared" si="145"/>
        <v>0</v>
      </c>
      <c r="U397" s="424">
        <f t="shared" si="145"/>
        <v>0</v>
      </c>
      <c r="V397" s="424">
        <f t="shared" si="145"/>
        <v>0</v>
      </c>
      <c r="W397" s="424">
        <f t="shared" si="145"/>
        <v>0</v>
      </c>
      <c r="X397" s="424">
        <f t="shared" si="145"/>
        <v>0</v>
      </c>
      <c r="Y397" s="424">
        <f t="shared" si="145"/>
        <v>0</v>
      </c>
      <c r="Z397" s="424">
        <f t="shared" si="145"/>
        <v>0</v>
      </c>
      <c r="AA397" s="424">
        <f t="shared" si="145"/>
        <v>0</v>
      </c>
      <c r="AB397" s="424">
        <f t="shared" si="145"/>
        <v>0</v>
      </c>
      <c r="AC397" s="424">
        <f t="shared" si="145"/>
        <v>0</v>
      </c>
      <c r="AD397" s="424">
        <f t="shared" si="145"/>
        <v>0</v>
      </c>
      <c r="AE397" s="424">
        <f t="shared" si="145"/>
        <v>0</v>
      </c>
      <c r="AF397" s="424">
        <f t="shared" si="145"/>
        <v>0.76</v>
      </c>
      <c r="AG397" s="424">
        <f t="shared" si="145"/>
        <v>0</v>
      </c>
      <c r="AH397" s="424">
        <f t="shared" si="145"/>
        <v>0</v>
      </c>
      <c r="AI397" s="424">
        <f t="shared" si="145"/>
        <v>0</v>
      </c>
      <c r="AJ397" s="424">
        <f t="shared" si="145"/>
        <v>0</v>
      </c>
      <c r="AK397" s="424">
        <f t="shared" si="145"/>
        <v>0</v>
      </c>
      <c r="AL397" s="424">
        <f t="shared" si="145"/>
        <v>0</v>
      </c>
      <c r="AM397" s="424">
        <f t="shared" si="145"/>
        <v>0</v>
      </c>
      <c r="AN397" s="424">
        <f t="shared" si="145"/>
        <v>1.87</v>
      </c>
      <c r="AO397" s="424">
        <f t="shared" si="145"/>
        <v>1.25</v>
      </c>
      <c r="AP397" s="424">
        <f t="shared" ref="AP397:BU397" si="146">AP27*AP$372</f>
        <v>0</v>
      </c>
      <c r="AQ397" s="424">
        <f t="shared" si="146"/>
        <v>0.6</v>
      </c>
      <c r="AR397" s="424">
        <f t="shared" si="146"/>
        <v>0</v>
      </c>
      <c r="AS397" s="424">
        <f t="shared" si="146"/>
        <v>0</v>
      </c>
      <c r="AT397" s="424">
        <f t="shared" si="146"/>
        <v>0</v>
      </c>
      <c r="AU397" s="424">
        <f t="shared" si="146"/>
        <v>0</v>
      </c>
      <c r="AV397" s="424">
        <f t="shared" si="146"/>
        <v>0</v>
      </c>
      <c r="AW397" s="424">
        <f t="shared" si="146"/>
        <v>0</v>
      </c>
      <c r="AX397" s="424">
        <f t="shared" si="146"/>
        <v>0</v>
      </c>
      <c r="AY397" s="424">
        <f t="shared" si="146"/>
        <v>0</v>
      </c>
      <c r="AZ397" s="424">
        <f t="shared" si="146"/>
        <v>0</v>
      </c>
      <c r="BA397" s="424">
        <f t="shared" si="146"/>
        <v>0</v>
      </c>
      <c r="BB397" s="424">
        <f t="shared" si="146"/>
        <v>0</v>
      </c>
      <c r="BC397" s="424">
        <f t="shared" si="146"/>
        <v>0</v>
      </c>
      <c r="BD397" s="424">
        <f t="shared" si="146"/>
        <v>0</v>
      </c>
      <c r="BE397" s="424">
        <f t="shared" si="146"/>
        <v>0</v>
      </c>
      <c r="BF397" s="424">
        <f t="shared" si="146"/>
        <v>0</v>
      </c>
      <c r="BG397" s="424">
        <f t="shared" si="146"/>
        <v>0</v>
      </c>
      <c r="BH397" s="424">
        <f t="shared" si="146"/>
        <v>0</v>
      </c>
      <c r="BI397" s="424">
        <f t="shared" si="146"/>
        <v>0</v>
      </c>
      <c r="BJ397" s="424">
        <f t="shared" si="146"/>
        <v>0</v>
      </c>
      <c r="BK397" s="424">
        <f t="shared" si="146"/>
        <v>0</v>
      </c>
      <c r="BL397" s="424">
        <f t="shared" si="146"/>
        <v>0</v>
      </c>
      <c r="BM397" s="424">
        <f t="shared" si="146"/>
        <v>0</v>
      </c>
      <c r="BN397" s="424">
        <f t="shared" si="146"/>
        <v>0</v>
      </c>
      <c r="BO397" s="424">
        <f t="shared" si="146"/>
        <v>0</v>
      </c>
      <c r="BP397" s="424">
        <f t="shared" si="146"/>
        <v>0</v>
      </c>
      <c r="BQ397" s="424">
        <f t="shared" si="146"/>
        <v>0</v>
      </c>
      <c r="BR397" s="424">
        <f t="shared" si="146"/>
        <v>0</v>
      </c>
      <c r="BS397" s="424">
        <f t="shared" si="146"/>
        <v>0</v>
      </c>
      <c r="BT397" s="424">
        <f t="shared" si="146"/>
        <v>0</v>
      </c>
      <c r="BU397" s="424">
        <f t="shared" si="146"/>
        <v>0</v>
      </c>
      <c r="BV397" s="424">
        <f t="shared" ref="BV397:DA397" si="147">BV27*BV$372</f>
        <v>0</v>
      </c>
      <c r="BW397" s="424">
        <f t="shared" si="147"/>
        <v>0</v>
      </c>
      <c r="BX397" s="424">
        <f t="shared" si="147"/>
        <v>0</v>
      </c>
      <c r="BY397" s="424">
        <f t="shared" si="147"/>
        <v>0</v>
      </c>
      <c r="BZ397" s="424">
        <f t="shared" si="147"/>
        <v>0</v>
      </c>
      <c r="CA397" s="424">
        <f t="shared" si="147"/>
        <v>0</v>
      </c>
      <c r="CB397" s="424">
        <f t="shared" si="147"/>
        <v>0</v>
      </c>
      <c r="CC397" s="424">
        <f t="shared" si="147"/>
        <v>0</v>
      </c>
      <c r="CD397" s="424">
        <f t="shared" si="147"/>
        <v>0</v>
      </c>
      <c r="CE397" s="424">
        <f t="shared" si="147"/>
        <v>0</v>
      </c>
      <c r="CF397" s="424">
        <f t="shared" si="147"/>
        <v>0.43</v>
      </c>
      <c r="CG397" s="424">
        <f t="shared" si="147"/>
        <v>0</v>
      </c>
      <c r="CH397" s="424">
        <f t="shared" si="147"/>
        <v>0</v>
      </c>
      <c r="CI397" s="424">
        <f t="shared" si="147"/>
        <v>0</v>
      </c>
      <c r="CJ397" s="424">
        <f t="shared" si="147"/>
        <v>0</v>
      </c>
      <c r="CK397" s="424">
        <f t="shared" si="147"/>
        <v>0</v>
      </c>
      <c r="CL397" s="424">
        <f t="shared" si="147"/>
        <v>0</v>
      </c>
      <c r="CM397" s="424">
        <f t="shared" si="147"/>
        <v>0</v>
      </c>
      <c r="CN397" s="424">
        <f t="shared" si="147"/>
        <v>0</v>
      </c>
      <c r="CO397" s="424">
        <f t="shared" si="147"/>
        <v>0</v>
      </c>
      <c r="CP397" s="424">
        <f t="shared" si="147"/>
        <v>0</v>
      </c>
      <c r="CQ397" s="424">
        <f t="shared" si="147"/>
        <v>0</v>
      </c>
      <c r="CR397" s="424">
        <f t="shared" si="147"/>
        <v>0</v>
      </c>
      <c r="CS397" s="424">
        <f t="shared" si="147"/>
        <v>0</v>
      </c>
      <c r="CT397" s="424">
        <f t="shared" si="147"/>
        <v>0</v>
      </c>
      <c r="CU397" s="424">
        <f t="shared" si="147"/>
        <v>0</v>
      </c>
      <c r="CV397" s="424">
        <f t="shared" si="147"/>
        <v>0</v>
      </c>
      <c r="CW397" s="424">
        <f t="shared" si="147"/>
        <v>0</v>
      </c>
      <c r="CX397" s="424">
        <f t="shared" si="147"/>
        <v>0</v>
      </c>
      <c r="CY397" s="424">
        <f t="shared" si="147"/>
        <v>0</v>
      </c>
      <c r="CZ397" s="424">
        <f t="shared" si="147"/>
        <v>0</v>
      </c>
      <c r="DA397" s="424">
        <f t="shared" si="147"/>
        <v>0</v>
      </c>
      <c r="DB397" s="424">
        <f t="shared" ref="DB397:EG397" si="148">DB27*DB$372</f>
        <v>0</v>
      </c>
      <c r="DC397" s="424">
        <f t="shared" si="148"/>
        <v>0.05</v>
      </c>
      <c r="DD397" s="424">
        <f t="shared" si="148"/>
        <v>0</v>
      </c>
      <c r="DE397" s="424">
        <f t="shared" si="148"/>
        <v>0</v>
      </c>
      <c r="DF397" s="424">
        <f t="shared" si="148"/>
        <v>0</v>
      </c>
      <c r="DG397" s="424">
        <f t="shared" si="148"/>
        <v>0</v>
      </c>
      <c r="DH397" s="424">
        <f t="shared" si="148"/>
        <v>0</v>
      </c>
      <c r="DI397" s="424">
        <f t="shared" si="148"/>
        <v>0</v>
      </c>
      <c r="DJ397" s="424">
        <f t="shared" si="148"/>
        <v>0</v>
      </c>
      <c r="DK397" s="424">
        <f t="shared" si="148"/>
        <v>0</v>
      </c>
      <c r="DL397" s="424">
        <f t="shared" si="148"/>
        <v>0</v>
      </c>
      <c r="DM397" s="424">
        <f t="shared" si="148"/>
        <v>0</v>
      </c>
      <c r="DN397" s="424">
        <f t="shared" si="148"/>
        <v>0</v>
      </c>
      <c r="DO397" s="424">
        <f t="shared" si="148"/>
        <v>0</v>
      </c>
      <c r="DP397" s="424">
        <f t="shared" si="148"/>
        <v>0</v>
      </c>
      <c r="DQ397" s="424">
        <f t="shared" si="148"/>
        <v>0</v>
      </c>
      <c r="DR397" s="424">
        <f t="shared" si="148"/>
        <v>0</v>
      </c>
      <c r="DS397" s="424">
        <f t="shared" si="148"/>
        <v>0</v>
      </c>
      <c r="DT397" s="424">
        <f t="shared" si="148"/>
        <v>0</v>
      </c>
      <c r="DU397" s="424">
        <f t="shared" si="148"/>
        <v>0</v>
      </c>
      <c r="DV397" s="424">
        <f t="shared" si="148"/>
        <v>0</v>
      </c>
      <c r="DW397" s="424">
        <f t="shared" si="148"/>
        <v>0</v>
      </c>
      <c r="DX397" s="424">
        <f t="shared" si="148"/>
        <v>0</v>
      </c>
      <c r="DY397" s="424">
        <f t="shared" si="148"/>
        <v>0</v>
      </c>
      <c r="DZ397" s="424">
        <f t="shared" si="148"/>
        <v>0</v>
      </c>
      <c r="EA397" s="424">
        <f t="shared" si="148"/>
        <v>0</v>
      </c>
      <c r="EB397" s="424">
        <f t="shared" si="148"/>
        <v>0</v>
      </c>
      <c r="EC397" s="424">
        <f t="shared" si="148"/>
        <v>0</v>
      </c>
      <c r="ED397" s="424">
        <f t="shared" si="148"/>
        <v>0</v>
      </c>
      <c r="EE397" s="424">
        <f t="shared" si="148"/>
        <v>0</v>
      </c>
      <c r="EF397" s="424">
        <f t="shared" si="148"/>
        <v>0</v>
      </c>
      <c r="EG397" s="424">
        <f t="shared" si="148"/>
        <v>0</v>
      </c>
      <c r="EH397" s="424">
        <f t="shared" ref="EH397:EX397" si="149">EH27*EH$372</f>
        <v>0</v>
      </c>
      <c r="EI397" s="424">
        <f t="shared" si="149"/>
        <v>0</v>
      </c>
      <c r="EJ397" s="424">
        <f t="shared" si="149"/>
        <v>0</v>
      </c>
      <c r="EK397" s="424">
        <f t="shared" si="149"/>
        <v>0</v>
      </c>
      <c r="EL397" s="424">
        <f t="shared" si="149"/>
        <v>0</v>
      </c>
      <c r="EM397" s="424">
        <f t="shared" si="149"/>
        <v>0</v>
      </c>
      <c r="EN397" s="424">
        <f t="shared" si="149"/>
        <v>0</v>
      </c>
      <c r="EO397" s="424">
        <f t="shared" si="149"/>
        <v>0</v>
      </c>
      <c r="EP397" s="424">
        <f t="shared" si="149"/>
        <v>0</v>
      </c>
      <c r="EQ397" s="424">
        <f t="shared" si="149"/>
        <v>0</v>
      </c>
      <c r="ER397" s="424">
        <f t="shared" si="149"/>
        <v>0</v>
      </c>
      <c r="ES397" s="424">
        <f t="shared" si="149"/>
        <v>0</v>
      </c>
      <c r="ET397" s="424">
        <f t="shared" si="149"/>
        <v>0</v>
      </c>
      <c r="EU397" s="424">
        <f t="shared" si="149"/>
        <v>0</v>
      </c>
      <c r="EV397" s="424">
        <f t="shared" si="149"/>
        <v>0</v>
      </c>
      <c r="EW397" s="424">
        <f t="shared" si="149"/>
        <v>0</v>
      </c>
      <c r="EX397" s="424">
        <f t="shared" si="149"/>
        <v>0</v>
      </c>
      <c r="EY397" s="425">
        <f t="shared" si="49"/>
        <v>4.96</v>
      </c>
    </row>
    <row r="398" spans="1:166" ht="14.7" customHeight="1" x14ac:dyDescent="0.25">
      <c r="A398" s="310">
        <v>24</v>
      </c>
      <c r="B398" s="311" t="str">
        <f t="shared" si="30"/>
        <v>Салат из редиса с огурцами и яйцом</v>
      </c>
      <c r="C398" s="483">
        <f t="shared" si="38"/>
        <v>4.75</v>
      </c>
      <c r="D398" s="888"/>
      <c r="E398" s="888"/>
      <c r="F398" s="888"/>
      <c r="G398" s="889"/>
      <c r="H398" s="680">
        <f t="shared" si="31"/>
        <v>31</v>
      </c>
      <c r="I398" s="1209">
        <f t="shared" si="32"/>
        <v>0</v>
      </c>
      <c r="J398" s="424">
        <f t="shared" ref="J398:AO398" si="150">J28*J$372</f>
        <v>0</v>
      </c>
      <c r="K398" s="424">
        <f t="shared" si="150"/>
        <v>0</v>
      </c>
      <c r="L398" s="424">
        <f t="shared" si="150"/>
        <v>0</v>
      </c>
      <c r="M398" s="424">
        <f t="shared" si="150"/>
        <v>0</v>
      </c>
      <c r="N398" s="424">
        <f t="shared" si="150"/>
        <v>0</v>
      </c>
      <c r="O398" s="424">
        <f t="shared" si="150"/>
        <v>0</v>
      </c>
      <c r="P398" s="424">
        <f t="shared" si="150"/>
        <v>0</v>
      </c>
      <c r="Q398" s="424">
        <f t="shared" si="150"/>
        <v>0</v>
      </c>
      <c r="R398" s="424">
        <f t="shared" si="150"/>
        <v>0</v>
      </c>
      <c r="S398" s="424">
        <f t="shared" si="150"/>
        <v>0</v>
      </c>
      <c r="T398" s="424">
        <f t="shared" si="150"/>
        <v>0</v>
      </c>
      <c r="U398" s="424">
        <f t="shared" si="150"/>
        <v>0</v>
      </c>
      <c r="V398" s="424">
        <f t="shared" si="150"/>
        <v>0</v>
      </c>
      <c r="W398" s="424">
        <f t="shared" si="150"/>
        <v>0</v>
      </c>
      <c r="X398" s="424">
        <f t="shared" si="150"/>
        <v>0</v>
      </c>
      <c r="Y398" s="424">
        <f t="shared" si="150"/>
        <v>0</v>
      </c>
      <c r="Z398" s="424">
        <f t="shared" si="150"/>
        <v>0</v>
      </c>
      <c r="AA398" s="424">
        <f t="shared" si="150"/>
        <v>0</v>
      </c>
      <c r="AB398" s="424">
        <f t="shared" si="150"/>
        <v>0</v>
      </c>
      <c r="AC398" s="424">
        <f t="shared" si="150"/>
        <v>0</v>
      </c>
      <c r="AD398" s="424">
        <f t="shared" si="150"/>
        <v>0</v>
      </c>
      <c r="AE398" s="424">
        <f t="shared" si="150"/>
        <v>1.26</v>
      </c>
      <c r="AF398" s="424">
        <f t="shared" si="150"/>
        <v>0</v>
      </c>
      <c r="AG398" s="424">
        <f t="shared" si="150"/>
        <v>0</v>
      </c>
      <c r="AH398" s="424">
        <f t="shared" si="150"/>
        <v>0</v>
      </c>
      <c r="AI398" s="424">
        <f t="shared" si="150"/>
        <v>0</v>
      </c>
      <c r="AJ398" s="424">
        <f t="shared" si="150"/>
        <v>0</v>
      </c>
      <c r="AK398" s="424">
        <f t="shared" si="150"/>
        <v>0</v>
      </c>
      <c r="AL398" s="424">
        <f t="shared" si="150"/>
        <v>0</v>
      </c>
      <c r="AM398" s="424">
        <f t="shared" si="150"/>
        <v>0</v>
      </c>
      <c r="AN398" s="424">
        <f t="shared" si="150"/>
        <v>0</v>
      </c>
      <c r="AO398" s="424">
        <f t="shared" si="150"/>
        <v>1.44</v>
      </c>
      <c r="AP398" s="424">
        <f t="shared" ref="AP398:BU398" si="151">AP28*AP$372</f>
        <v>0</v>
      </c>
      <c r="AQ398" s="424">
        <f t="shared" si="151"/>
        <v>0</v>
      </c>
      <c r="AR398" s="424">
        <f t="shared" si="151"/>
        <v>0</v>
      </c>
      <c r="AS398" s="424">
        <f t="shared" si="151"/>
        <v>0</v>
      </c>
      <c r="AT398" s="424">
        <f t="shared" si="151"/>
        <v>0</v>
      </c>
      <c r="AU398" s="424">
        <f t="shared" si="151"/>
        <v>0</v>
      </c>
      <c r="AV398" s="424">
        <f t="shared" si="151"/>
        <v>0</v>
      </c>
      <c r="AW398" s="424">
        <f t="shared" si="151"/>
        <v>0</v>
      </c>
      <c r="AX398" s="424">
        <f t="shared" si="151"/>
        <v>0</v>
      </c>
      <c r="AY398" s="424">
        <f t="shared" si="151"/>
        <v>0</v>
      </c>
      <c r="AZ398" s="424">
        <f t="shared" si="151"/>
        <v>0</v>
      </c>
      <c r="BA398" s="424">
        <f t="shared" si="151"/>
        <v>0</v>
      </c>
      <c r="BB398" s="424">
        <f t="shared" si="151"/>
        <v>0</v>
      </c>
      <c r="BC398" s="424">
        <f t="shared" si="151"/>
        <v>1.64</v>
      </c>
      <c r="BD398" s="424">
        <f t="shared" si="151"/>
        <v>0</v>
      </c>
      <c r="BE398" s="424">
        <f t="shared" si="151"/>
        <v>0</v>
      </c>
      <c r="BF398" s="424">
        <f t="shared" si="151"/>
        <v>0</v>
      </c>
      <c r="BG398" s="424">
        <f t="shared" si="151"/>
        <v>0</v>
      </c>
      <c r="BH398" s="424">
        <f t="shared" si="151"/>
        <v>0</v>
      </c>
      <c r="BI398" s="424">
        <f t="shared" si="151"/>
        <v>0</v>
      </c>
      <c r="BJ398" s="424">
        <f t="shared" si="151"/>
        <v>0</v>
      </c>
      <c r="BK398" s="424">
        <f t="shared" si="151"/>
        <v>0</v>
      </c>
      <c r="BL398" s="424">
        <f t="shared" si="151"/>
        <v>0</v>
      </c>
      <c r="BM398" s="424">
        <f t="shared" si="151"/>
        <v>0</v>
      </c>
      <c r="BN398" s="424">
        <f t="shared" si="151"/>
        <v>0</v>
      </c>
      <c r="BO398" s="424">
        <f t="shared" si="151"/>
        <v>0</v>
      </c>
      <c r="BP398" s="424">
        <f t="shared" si="151"/>
        <v>0</v>
      </c>
      <c r="BQ398" s="424">
        <f t="shared" si="151"/>
        <v>0</v>
      </c>
      <c r="BR398" s="424">
        <f t="shared" si="151"/>
        <v>0</v>
      </c>
      <c r="BS398" s="424">
        <f t="shared" si="151"/>
        <v>0</v>
      </c>
      <c r="BT398" s="424">
        <f t="shared" si="151"/>
        <v>0</v>
      </c>
      <c r="BU398" s="424">
        <f t="shared" si="151"/>
        <v>0</v>
      </c>
      <c r="BV398" s="424">
        <f t="shared" ref="BV398:DA398" si="152">BV28*BV$372</f>
        <v>0</v>
      </c>
      <c r="BW398" s="424">
        <f t="shared" si="152"/>
        <v>0</v>
      </c>
      <c r="BX398" s="424">
        <f t="shared" si="152"/>
        <v>0</v>
      </c>
      <c r="BY398" s="424">
        <f t="shared" si="152"/>
        <v>0</v>
      </c>
      <c r="BZ398" s="424">
        <f t="shared" si="152"/>
        <v>0</v>
      </c>
      <c r="CA398" s="424">
        <f t="shared" si="152"/>
        <v>0</v>
      </c>
      <c r="CB398" s="424">
        <f t="shared" si="152"/>
        <v>0</v>
      </c>
      <c r="CC398" s="424">
        <f t="shared" si="152"/>
        <v>0</v>
      </c>
      <c r="CD398" s="424">
        <f t="shared" si="152"/>
        <v>0</v>
      </c>
      <c r="CE398" s="424">
        <f t="shared" si="152"/>
        <v>0</v>
      </c>
      <c r="CF398" s="424">
        <f t="shared" si="152"/>
        <v>0.36</v>
      </c>
      <c r="CG398" s="424">
        <f t="shared" si="152"/>
        <v>0</v>
      </c>
      <c r="CH398" s="424">
        <f t="shared" si="152"/>
        <v>0</v>
      </c>
      <c r="CI398" s="424">
        <f t="shared" si="152"/>
        <v>0</v>
      </c>
      <c r="CJ398" s="424">
        <f t="shared" si="152"/>
        <v>0</v>
      </c>
      <c r="CK398" s="424">
        <f t="shared" si="152"/>
        <v>0</v>
      </c>
      <c r="CL398" s="424">
        <f t="shared" si="152"/>
        <v>0</v>
      </c>
      <c r="CM398" s="424">
        <f t="shared" si="152"/>
        <v>0</v>
      </c>
      <c r="CN398" s="424">
        <f t="shared" si="152"/>
        <v>0</v>
      </c>
      <c r="CO398" s="424">
        <f t="shared" si="152"/>
        <v>0</v>
      </c>
      <c r="CP398" s="424">
        <f t="shared" si="152"/>
        <v>0</v>
      </c>
      <c r="CQ398" s="424">
        <f t="shared" si="152"/>
        <v>0</v>
      </c>
      <c r="CR398" s="424">
        <f t="shared" si="152"/>
        <v>0</v>
      </c>
      <c r="CS398" s="424">
        <f t="shared" si="152"/>
        <v>0</v>
      </c>
      <c r="CT398" s="424">
        <f t="shared" si="152"/>
        <v>0</v>
      </c>
      <c r="CU398" s="424">
        <f t="shared" si="152"/>
        <v>0</v>
      </c>
      <c r="CV398" s="424">
        <f t="shared" si="152"/>
        <v>0</v>
      </c>
      <c r="CW398" s="424">
        <f t="shared" si="152"/>
        <v>0</v>
      </c>
      <c r="CX398" s="424">
        <f t="shared" si="152"/>
        <v>0</v>
      </c>
      <c r="CY398" s="424">
        <f t="shared" si="152"/>
        <v>0</v>
      </c>
      <c r="CZ398" s="424">
        <f t="shared" si="152"/>
        <v>0</v>
      </c>
      <c r="DA398" s="424">
        <f t="shared" si="152"/>
        <v>0</v>
      </c>
      <c r="DB398" s="424">
        <f t="shared" ref="DB398:EG398" si="153">DB28*DB$372</f>
        <v>0</v>
      </c>
      <c r="DC398" s="424">
        <f t="shared" si="153"/>
        <v>0.05</v>
      </c>
      <c r="DD398" s="424">
        <f t="shared" si="153"/>
        <v>0</v>
      </c>
      <c r="DE398" s="424">
        <f t="shared" si="153"/>
        <v>0</v>
      </c>
      <c r="DF398" s="424">
        <f t="shared" si="153"/>
        <v>0</v>
      </c>
      <c r="DG398" s="424">
        <f t="shared" si="153"/>
        <v>0</v>
      </c>
      <c r="DH398" s="424">
        <f t="shared" si="153"/>
        <v>0</v>
      </c>
      <c r="DI398" s="424">
        <f t="shared" si="153"/>
        <v>0</v>
      </c>
      <c r="DJ398" s="424">
        <f t="shared" si="153"/>
        <v>0</v>
      </c>
      <c r="DK398" s="424">
        <f t="shared" si="153"/>
        <v>0</v>
      </c>
      <c r="DL398" s="424">
        <f t="shared" si="153"/>
        <v>0</v>
      </c>
      <c r="DM398" s="424">
        <f t="shared" si="153"/>
        <v>0</v>
      </c>
      <c r="DN398" s="424">
        <f t="shared" si="153"/>
        <v>0</v>
      </c>
      <c r="DO398" s="424">
        <f t="shared" si="153"/>
        <v>0</v>
      </c>
      <c r="DP398" s="424">
        <f t="shared" si="153"/>
        <v>0</v>
      </c>
      <c r="DQ398" s="424">
        <f t="shared" si="153"/>
        <v>0</v>
      </c>
      <c r="DR398" s="424">
        <f t="shared" si="153"/>
        <v>0</v>
      </c>
      <c r="DS398" s="424">
        <f t="shared" si="153"/>
        <v>0</v>
      </c>
      <c r="DT398" s="424">
        <f t="shared" si="153"/>
        <v>0</v>
      </c>
      <c r="DU398" s="424">
        <f t="shared" si="153"/>
        <v>0</v>
      </c>
      <c r="DV398" s="424">
        <f t="shared" si="153"/>
        <v>0</v>
      </c>
      <c r="DW398" s="424">
        <f t="shared" si="153"/>
        <v>0</v>
      </c>
      <c r="DX398" s="424">
        <f t="shared" si="153"/>
        <v>0</v>
      </c>
      <c r="DY398" s="424">
        <f t="shared" si="153"/>
        <v>0</v>
      </c>
      <c r="DZ398" s="424">
        <f t="shared" si="153"/>
        <v>0</v>
      </c>
      <c r="EA398" s="424">
        <f t="shared" si="153"/>
        <v>0</v>
      </c>
      <c r="EB398" s="424">
        <f t="shared" si="153"/>
        <v>0</v>
      </c>
      <c r="EC398" s="424">
        <f t="shared" si="153"/>
        <v>0</v>
      </c>
      <c r="ED398" s="424">
        <f t="shared" si="153"/>
        <v>0</v>
      </c>
      <c r="EE398" s="424">
        <f t="shared" si="153"/>
        <v>0</v>
      </c>
      <c r="EF398" s="424">
        <f t="shared" si="153"/>
        <v>0</v>
      </c>
      <c r="EG398" s="424">
        <f t="shared" si="153"/>
        <v>0</v>
      </c>
      <c r="EH398" s="424">
        <f t="shared" ref="EH398:EX398" si="154">EH28*EH$372</f>
        <v>0</v>
      </c>
      <c r="EI398" s="424">
        <f t="shared" si="154"/>
        <v>0</v>
      </c>
      <c r="EJ398" s="424">
        <f t="shared" si="154"/>
        <v>0</v>
      </c>
      <c r="EK398" s="424">
        <f t="shared" si="154"/>
        <v>0</v>
      </c>
      <c r="EL398" s="424">
        <f t="shared" si="154"/>
        <v>0</v>
      </c>
      <c r="EM398" s="424">
        <f t="shared" si="154"/>
        <v>0</v>
      </c>
      <c r="EN398" s="424">
        <f t="shared" si="154"/>
        <v>0</v>
      </c>
      <c r="EO398" s="424">
        <f t="shared" si="154"/>
        <v>0</v>
      </c>
      <c r="EP398" s="424">
        <f t="shared" si="154"/>
        <v>0</v>
      </c>
      <c r="EQ398" s="424">
        <f t="shared" si="154"/>
        <v>0</v>
      </c>
      <c r="ER398" s="424">
        <f t="shared" si="154"/>
        <v>0</v>
      </c>
      <c r="ES398" s="424">
        <f t="shared" si="154"/>
        <v>0</v>
      </c>
      <c r="ET398" s="424">
        <f t="shared" si="154"/>
        <v>0</v>
      </c>
      <c r="EU398" s="424">
        <f t="shared" si="154"/>
        <v>0</v>
      </c>
      <c r="EV398" s="424">
        <f t="shared" si="154"/>
        <v>0</v>
      </c>
      <c r="EW398" s="424">
        <f t="shared" si="154"/>
        <v>0</v>
      </c>
      <c r="EX398" s="424">
        <f t="shared" si="154"/>
        <v>0</v>
      </c>
      <c r="EY398" s="425">
        <f t="shared" si="49"/>
        <v>4.75</v>
      </c>
    </row>
    <row r="399" spans="1:166" ht="14.7" customHeight="1" x14ac:dyDescent="0.25">
      <c r="A399" s="310">
        <v>25</v>
      </c>
      <c r="B399" s="311" t="str">
        <f t="shared" si="30"/>
        <v>Салат "Летний"</v>
      </c>
      <c r="C399" s="483">
        <f t="shared" si="38"/>
        <v>7</v>
      </c>
      <c r="D399" s="888"/>
      <c r="E399" s="888"/>
      <c r="F399" s="888"/>
      <c r="G399" s="889"/>
      <c r="H399" s="680">
        <f t="shared" si="31"/>
        <v>34</v>
      </c>
      <c r="I399" s="1209">
        <f t="shared" si="32"/>
        <v>0.01</v>
      </c>
      <c r="J399" s="424">
        <f t="shared" ref="J399:AO399" si="155">J29*J$372</f>
        <v>0</v>
      </c>
      <c r="K399" s="424">
        <f t="shared" si="155"/>
        <v>0</v>
      </c>
      <c r="L399" s="424">
        <f t="shared" si="155"/>
        <v>0</v>
      </c>
      <c r="M399" s="424">
        <f t="shared" si="155"/>
        <v>0</v>
      </c>
      <c r="N399" s="424">
        <f t="shared" si="155"/>
        <v>0</v>
      </c>
      <c r="O399" s="424">
        <f t="shared" si="155"/>
        <v>0</v>
      </c>
      <c r="P399" s="424">
        <f t="shared" si="155"/>
        <v>0</v>
      </c>
      <c r="Q399" s="424">
        <f t="shared" si="155"/>
        <v>0</v>
      </c>
      <c r="R399" s="424">
        <f t="shared" si="155"/>
        <v>0</v>
      </c>
      <c r="S399" s="424">
        <f t="shared" si="155"/>
        <v>0</v>
      </c>
      <c r="T399" s="424">
        <f t="shared" si="155"/>
        <v>0</v>
      </c>
      <c r="U399" s="424">
        <f t="shared" si="155"/>
        <v>0</v>
      </c>
      <c r="V399" s="424">
        <f t="shared" si="155"/>
        <v>0</v>
      </c>
      <c r="W399" s="424">
        <f t="shared" si="155"/>
        <v>0</v>
      </c>
      <c r="X399" s="424">
        <f t="shared" si="155"/>
        <v>0</v>
      </c>
      <c r="Y399" s="424">
        <f t="shared" si="155"/>
        <v>0</v>
      </c>
      <c r="Z399" s="424">
        <f t="shared" si="155"/>
        <v>0</v>
      </c>
      <c r="AA399" s="424">
        <f t="shared" si="155"/>
        <v>0</v>
      </c>
      <c r="AB399" s="424">
        <f t="shared" si="155"/>
        <v>0</v>
      </c>
      <c r="AC399" s="424">
        <f t="shared" si="155"/>
        <v>0</v>
      </c>
      <c r="AD399" s="424">
        <f t="shared" si="155"/>
        <v>0</v>
      </c>
      <c r="AE399" s="424">
        <f t="shared" si="155"/>
        <v>1.05</v>
      </c>
      <c r="AF399" s="424">
        <f t="shared" si="155"/>
        <v>0</v>
      </c>
      <c r="AG399" s="424">
        <f t="shared" si="155"/>
        <v>0</v>
      </c>
      <c r="AH399" s="424">
        <f t="shared" si="155"/>
        <v>0</v>
      </c>
      <c r="AI399" s="424">
        <f t="shared" si="155"/>
        <v>0.6</v>
      </c>
      <c r="AJ399" s="424">
        <f t="shared" si="155"/>
        <v>0</v>
      </c>
      <c r="AK399" s="424">
        <f t="shared" si="155"/>
        <v>0</v>
      </c>
      <c r="AL399" s="424">
        <f t="shared" si="155"/>
        <v>2.25</v>
      </c>
      <c r="AM399" s="424">
        <f t="shared" si="155"/>
        <v>0</v>
      </c>
      <c r="AN399" s="424">
        <f t="shared" si="155"/>
        <v>1.49</v>
      </c>
      <c r="AO399" s="424">
        <f t="shared" si="155"/>
        <v>1.1299999999999999</v>
      </c>
      <c r="AP399" s="424">
        <f t="shared" ref="AP399:BU399" si="156">AP29*AP$372</f>
        <v>0</v>
      </c>
      <c r="AQ399" s="424">
        <f t="shared" si="156"/>
        <v>0</v>
      </c>
      <c r="AR399" s="424">
        <f t="shared" si="156"/>
        <v>0</v>
      </c>
      <c r="AS399" s="424">
        <f t="shared" si="156"/>
        <v>0</v>
      </c>
      <c r="AT399" s="424">
        <f t="shared" si="156"/>
        <v>0</v>
      </c>
      <c r="AU399" s="424">
        <f t="shared" si="156"/>
        <v>0</v>
      </c>
      <c r="AV399" s="424">
        <f t="shared" si="156"/>
        <v>0</v>
      </c>
      <c r="AW399" s="424">
        <f t="shared" si="156"/>
        <v>0</v>
      </c>
      <c r="AX399" s="424">
        <f t="shared" si="156"/>
        <v>0</v>
      </c>
      <c r="AY399" s="424">
        <f t="shared" si="156"/>
        <v>0</v>
      </c>
      <c r="AZ399" s="424">
        <f t="shared" si="156"/>
        <v>0</v>
      </c>
      <c r="BA399" s="424">
        <f t="shared" si="156"/>
        <v>0</v>
      </c>
      <c r="BB399" s="424">
        <f t="shared" si="156"/>
        <v>0</v>
      </c>
      <c r="BC399" s="424">
        <f t="shared" si="156"/>
        <v>0</v>
      </c>
      <c r="BD399" s="424">
        <f t="shared" si="156"/>
        <v>0</v>
      </c>
      <c r="BE399" s="424">
        <f t="shared" si="156"/>
        <v>0</v>
      </c>
      <c r="BF399" s="424">
        <f t="shared" si="156"/>
        <v>0</v>
      </c>
      <c r="BG399" s="424">
        <f t="shared" si="156"/>
        <v>0</v>
      </c>
      <c r="BH399" s="424">
        <f t="shared" si="156"/>
        <v>0</v>
      </c>
      <c r="BI399" s="424">
        <f t="shared" si="156"/>
        <v>0</v>
      </c>
      <c r="BJ399" s="424">
        <f t="shared" si="156"/>
        <v>0</v>
      </c>
      <c r="BK399" s="424">
        <f t="shared" si="156"/>
        <v>0</v>
      </c>
      <c r="BL399" s="424">
        <f t="shared" si="156"/>
        <v>0</v>
      </c>
      <c r="BM399" s="424">
        <f t="shared" si="156"/>
        <v>0</v>
      </c>
      <c r="BN399" s="424">
        <f t="shared" si="156"/>
        <v>0</v>
      </c>
      <c r="BO399" s="424">
        <f t="shared" si="156"/>
        <v>0</v>
      </c>
      <c r="BP399" s="424">
        <f t="shared" si="156"/>
        <v>0</v>
      </c>
      <c r="BQ399" s="424">
        <f t="shared" si="156"/>
        <v>0</v>
      </c>
      <c r="BR399" s="424">
        <f t="shared" si="156"/>
        <v>0</v>
      </c>
      <c r="BS399" s="424">
        <f t="shared" si="156"/>
        <v>0</v>
      </c>
      <c r="BT399" s="424">
        <f t="shared" si="156"/>
        <v>0</v>
      </c>
      <c r="BU399" s="424">
        <f t="shared" si="156"/>
        <v>0</v>
      </c>
      <c r="BV399" s="424">
        <f t="shared" ref="BV399:DA399" si="157">BV29*BV$372</f>
        <v>0</v>
      </c>
      <c r="BW399" s="424">
        <f t="shared" si="157"/>
        <v>0</v>
      </c>
      <c r="BX399" s="424">
        <f t="shared" si="157"/>
        <v>0</v>
      </c>
      <c r="BY399" s="424">
        <f t="shared" si="157"/>
        <v>0</v>
      </c>
      <c r="BZ399" s="424">
        <f t="shared" si="157"/>
        <v>0</v>
      </c>
      <c r="CA399" s="424">
        <f t="shared" si="157"/>
        <v>0</v>
      </c>
      <c r="CB399" s="424">
        <f t="shared" si="157"/>
        <v>0</v>
      </c>
      <c r="CC399" s="424">
        <f t="shared" si="157"/>
        <v>0</v>
      </c>
      <c r="CD399" s="424">
        <f t="shared" si="157"/>
        <v>0</v>
      </c>
      <c r="CE399" s="424">
        <f t="shared" si="157"/>
        <v>0</v>
      </c>
      <c r="CF399" s="424">
        <f t="shared" si="157"/>
        <v>0.43</v>
      </c>
      <c r="CG399" s="424">
        <f t="shared" si="157"/>
        <v>0</v>
      </c>
      <c r="CH399" s="424">
        <f t="shared" si="157"/>
        <v>0</v>
      </c>
      <c r="CI399" s="424">
        <f t="shared" si="157"/>
        <v>0</v>
      </c>
      <c r="CJ399" s="424">
        <f t="shared" si="157"/>
        <v>0</v>
      </c>
      <c r="CK399" s="424">
        <f t="shared" si="157"/>
        <v>0</v>
      </c>
      <c r="CL399" s="424">
        <f t="shared" si="157"/>
        <v>0</v>
      </c>
      <c r="CM399" s="424">
        <f t="shared" si="157"/>
        <v>0</v>
      </c>
      <c r="CN399" s="424">
        <f t="shared" si="157"/>
        <v>0</v>
      </c>
      <c r="CO399" s="424">
        <f t="shared" si="157"/>
        <v>0</v>
      </c>
      <c r="CP399" s="424">
        <f t="shared" si="157"/>
        <v>0</v>
      </c>
      <c r="CQ399" s="424">
        <f t="shared" si="157"/>
        <v>0</v>
      </c>
      <c r="CR399" s="424">
        <f t="shared" si="157"/>
        <v>0</v>
      </c>
      <c r="CS399" s="424">
        <f t="shared" si="157"/>
        <v>0</v>
      </c>
      <c r="CT399" s="424">
        <f t="shared" si="157"/>
        <v>0</v>
      </c>
      <c r="CU399" s="424">
        <f t="shared" si="157"/>
        <v>0</v>
      </c>
      <c r="CV399" s="424">
        <f t="shared" si="157"/>
        <v>0</v>
      </c>
      <c r="CW399" s="424">
        <f t="shared" si="157"/>
        <v>0</v>
      </c>
      <c r="CX399" s="424">
        <f t="shared" si="157"/>
        <v>0</v>
      </c>
      <c r="CY399" s="424">
        <f t="shared" si="157"/>
        <v>0</v>
      </c>
      <c r="CZ399" s="424">
        <f t="shared" si="157"/>
        <v>0</v>
      </c>
      <c r="DA399" s="424">
        <f t="shared" si="157"/>
        <v>0</v>
      </c>
      <c r="DB399" s="424">
        <f t="shared" ref="DB399:EG399" si="158">DB29*DB$372</f>
        <v>0</v>
      </c>
      <c r="DC399" s="424">
        <f t="shared" si="158"/>
        <v>0.05</v>
      </c>
      <c r="DD399" s="424">
        <f t="shared" si="158"/>
        <v>0</v>
      </c>
      <c r="DE399" s="424">
        <f t="shared" si="158"/>
        <v>0</v>
      </c>
      <c r="DF399" s="424">
        <f t="shared" si="158"/>
        <v>0</v>
      </c>
      <c r="DG399" s="424">
        <f t="shared" si="158"/>
        <v>0</v>
      </c>
      <c r="DH399" s="424">
        <f t="shared" si="158"/>
        <v>0</v>
      </c>
      <c r="DI399" s="424">
        <f t="shared" si="158"/>
        <v>0</v>
      </c>
      <c r="DJ399" s="424">
        <f t="shared" si="158"/>
        <v>0</v>
      </c>
      <c r="DK399" s="424">
        <f t="shared" si="158"/>
        <v>0</v>
      </c>
      <c r="DL399" s="424">
        <f t="shared" si="158"/>
        <v>0</v>
      </c>
      <c r="DM399" s="424">
        <f t="shared" si="158"/>
        <v>0</v>
      </c>
      <c r="DN399" s="424">
        <f t="shared" si="158"/>
        <v>0</v>
      </c>
      <c r="DO399" s="424">
        <f t="shared" si="158"/>
        <v>0</v>
      </c>
      <c r="DP399" s="424">
        <f t="shared" si="158"/>
        <v>0</v>
      </c>
      <c r="DQ399" s="424">
        <f t="shared" si="158"/>
        <v>0</v>
      </c>
      <c r="DR399" s="424">
        <f t="shared" si="158"/>
        <v>0</v>
      </c>
      <c r="DS399" s="424">
        <f t="shared" si="158"/>
        <v>0</v>
      </c>
      <c r="DT399" s="424">
        <f t="shared" si="158"/>
        <v>0</v>
      </c>
      <c r="DU399" s="424">
        <f t="shared" si="158"/>
        <v>0</v>
      </c>
      <c r="DV399" s="424">
        <f t="shared" si="158"/>
        <v>0</v>
      </c>
      <c r="DW399" s="424">
        <f t="shared" si="158"/>
        <v>0</v>
      </c>
      <c r="DX399" s="424">
        <f t="shared" si="158"/>
        <v>0</v>
      </c>
      <c r="DY399" s="424">
        <f t="shared" si="158"/>
        <v>0</v>
      </c>
      <c r="DZ399" s="424">
        <f t="shared" si="158"/>
        <v>0</v>
      </c>
      <c r="EA399" s="424">
        <f t="shared" si="158"/>
        <v>0</v>
      </c>
      <c r="EB399" s="424">
        <f t="shared" si="158"/>
        <v>0</v>
      </c>
      <c r="EC399" s="424">
        <f t="shared" si="158"/>
        <v>0</v>
      </c>
      <c r="ED399" s="424">
        <f t="shared" si="158"/>
        <v>0</v>
      </c>
      <c r="EE399" s="424">
        <f t="shared" si="158"/>
        <v>0</v>
      </c>
      <c r="EF399" s="424">
        <f t="shared" si="158"/>
        <v>0</v>
      </c>
      <c r="EG399" s="424">
        <f t="shared" si="158"/>
        <v>0</v>
      </c>
      <c r="EH399" s="424">
        <f t="shared" ref="EH399:EX399" si="159">EH29*EH$372</f>
        <v>0</v>
      </c>
      <c r="EI399" s="424">
        <f t="shared" si="159"/>
        <v>0</v>
      </c>
      <c r="EJ399" s="424">
        <f t="shared" si="159"/>
        <v>0</v>
      </c>
      <c r="EK399" s="424">
        <f t="shared" si="159"/>
        <v>0</v>
      </c>
      <c r="EL399" s="424">
        <f t="shared" si="159"/>
        <v>0</v>
      </c>
      <c r="EM399" s="424">
        <f t="shared" si="159"/>
        <v>0</v>
      </c>
      <c r="EN399" s="424">
        <f t="shared" si="159"/>
        <v>0</v>
      </c>
      <c r="EO399" s="424">
        <f t="shared" si="159"/>
        <v>0</v>
      </c>
      <c r="EP399" s="424">
        <f t="shared" si="159"/>
        <v>0</v>
      </c>
      <c r="EQ399" s="424">
        <f t="shared" si="159"/>
        <v>0</v>
      </c>
      <c r="ER399" s="424">
        <f t="shared" si="159"/>
        <v>0</v>
      </c>
      <c r="ES399" s="424">
        <f t="shared" si="159"/>
        <v>0</v>
      </c>
      <c r="ET399" s="424">
        <f t="shared" si="159"/>
        <v>0</v>
      </c>
      <c r="EU399" s="424">
        <f t="shared" si="159"/>
        <v>0</v>
      </c>
      <c r="EV399" s="424">
        <f t="shared" si="159"/>
        <v>0</v>
      </c>
      <c r="EW399" s="424">
        <f t="shared" si="159"/>
        <v>0</v>
      </c>
      <c r="EX399" s="424">
        <f t="shared" si="159"/>
        <v>0</v>
      </c>
      <c r="EY399" s="425">
        <f t="shared" si="49"/>
        <v>7</v>
      </c>
    </row>
    <row r="400" spans="1:166" ht="14.7" customHeight="1" x14ac:dyDescent="0.25">
      <c r="A400" s="310">
        <v>26</v>
      </c>
      <c r="B400" s="311" t="str">
        <f t="shared" si="30"/>
        <v>Салат картофельный с кукурузой и морковью</v>
      </c>
      <c r="C400" s="483">
        <f t="shared" si="38"/>
        <v>6.93</v>
      </c>
      <c r="D400" s="888"/>
      <c r="E400" s="888"/>
      <c r="F400" s="888"/>
      <c r="G400" s="889"/>
      <c r="H400" s="680">
        <f t="shared" si="31"/>
        <v>39</v>
      </c>
      <c r="I400" s="1209">
        <f t="shared" si="32"/>
        <v>0</v>
      </c>
      <c r="J400" s="424">
        <f t="shared" ref="J400:AO400" si="160">J30*J$372</f>
        <v>0</v>
      </c>
      <c r="K400" s="424">
        <f t="shared" si="160"/>
        <v>0</v>
      </c>
      <c r="L400" s="424">
        <f t="shared" si="160"/>
        <v>0</v>
      </c>
      <c r="M400" s="424">
        <f t="shared" si="160"/>
        <v>0</v>
      </c>
      <c r="N400" s="424">
        <f t="shared" si="160"/>
        <v>0</v>
      </c>
      <c r="O400" s="424">
        <f t="shared" si="160"/>
        <v>0</v>
      </c>
      <c r="P400" s="424">
        <f t="shared" si="160"/>
        <v>0</v>
      </c>
      <c r="Q400" s="424">
        <f t="shared" si="160"/>
        <v>0</v>
      </c>
      <c r="R400" s="424">
        <f t="shared" si="160"/>
        <v>0</v>
      </c>
      <c r="S400" s="424">
        <f t="shared" si="160"/>
        <v>0</v>
      </c>
      <c r="T400" s="424">
        <f t="shared" si="160"/>
        <v>0</v>
      </c>
      <c r="U400" s="424">
        <f t="shared" si="160"/>
        <v>0</v>
      </c>
      <c r="V400" s="424">
        <f t="shared" si="160"/>
        <v>0</v>
      </c>
      <c r="W400" s="424">
        <f t="shared" si="160"/>
        <v>0</v>
      </c>
      <c r="X400" s="424">
        <f t="shared" si="160"/>
        <v>0</v>
      </c>
      <c r="Y400" s="424">
        <f t="shared" si="160"/>
        <v>0</v>
      </c>
      <c r="Z400" s="424">
        <f t="shared" si="160"/>
        <v>0</v>
      </c>
      <c r="AA400" s="424">
        <f t="shared" si="160"/>
        <v>0</v>
      </c>
      <c r="AB400" s="424">
        <f t="shared" si="160"/>
        <v>0</v>
      </c>
      <c r="AC400" s="424">
        <f t="shared" si="160"/>
        <v>0</v>
      </c>
      <c r="AD400" s="424">
        <f t="shared" si="160"/>
        <v>0</v>
      </c>
      <c r="AE400" s="424">
        <f t="shared" si="160"/>
        <v>0</v>
      </c>
      <c r="AF400" s="424">
        <f t="shared" si="160"/>
        <v>0</v>
      </c>
      <c r="AG400" s="424">
        <f t="shared" si="160"/>
        <v>0</v>
      </c>
      <c r="AH400" s="424">
        <f t="shared" si="160"/>
        <v>1.04</v>
      </c>
      <c r="AI400" s="424">
        <f t="shared" si="160"/>
        <v>0</v>
      </c>
      <c r="AJ400" s="424">
        <f t="shared" si="160"/>
        <v>0</v>
      </c>
      <c r="AK400" s="424">
        <f t="shared" si="160"/>
        <v>0</v>
      </c>
      <c r="AL400" s="424">
        <f t="shared" si="160"/>
        <v>0</v>
      </c>
      <c r="AM400" s="424">
        <f t="shared" si="160"/>
        <v>0</v>
      </c>
      <c r="AN400" s="424">
        <f t="shared" si="160"/>
        <v>0</v>
      </c>
      <c r="AO400" s="424">
        <f t="shared" si="160"/>
        <v>0.9</v>
      </c>
      <c r="AP400" s="424">
        <f t="shared" ref="AP400:BU400" si="161">AP30*AP$372</f>
        <v>0</v>
      </c>
      <c r="AQ400" s="424">
        <f t="shared" si="161"/>
        <v>0.94</v>
      </c>
      <c r="AR400" s="424">
        <f t="shared" si="161"/>
        <v>0</v>
      </c>
      <c r="AS400" s="424">
        <f t="shared" si="161"/>
        <v>0</v>
      </c>
      <c r="AT400" s="424">
        <f t="shared" si="161"/>
        <v>0</v>
      </c>
      <c r="AU400" s="424">
        <f t="shared" si="161"/>
        <v>0</v>
      </c>
      <c r="AV400" s="424">
        <f t="shared" si="161"/>
        <v>0</v>
      </c>
      <c r="AW400" s="424">
        <f t="shared" si="161"/>
        <v>0</v>
      </c>
      <c r="AX400" s="424">
        <f t="shared" si="161"/>
        <v>0</v>
      </c>
      <c r="AY400" s="424">
        <f t="shared" si="161"/>
        <v>0</v>
      </c>
      <c r="AZ400" s="424">
        <f t="shared" si="161"/>
        <v>0</v>
      </c>
      <c r="BA400" s="424">
        <f t="shared" si="161"/>
        <v>0</v>
      </c>
      <c r="BB400" s="424">
        <f t="shared" si="161"/>
        <v>0</v>
      </c>
      <c r="BC400" s="424">
        <f t="shared" si="161"/>
        <v>0</v>
      </c>
      <c r="BD400" s="424">
        <f t="shared" si="161"/>
        <v>0</v>
      </c>
      <c r="BE400" s="424">
        <f t="shared" si="161"/>
        <v>0</v>
      </c>
      <c r="BF400" s="424">
        <f t="shared" si="161"/>
        <v>0</v>
      </c>
      <c r="BG400" s="424">
        <f t="shared" si="161"/>
        <v>0</v>
      </c>
      <c r="BH400" s="424">
        <f t="shared" si="161"/>
        <v>0</v>
      </c>
      <c r="BI400" s="424">
        <f t="shared" si="161"/>
        <v>0</v>
      </c>
      <c r="BJ400" s="424">
        <f t="shared" si="161"/>
        <v>0</v>
      </c>
      <c r="BK400" s="424">
        <f t="shared" si="161"/>
        <v>0</v>
      </c>
      <c r="BL400" s="424">
        <f t="shared" si="161"/>
        <v>0</v>
      </c>
      <c r="BM400" s="424">
        <f t="shared" si="161"/>
        <v>0</v>
      </c>
      <c r="BN400" s="424">
        <f t="shared" si="161"/>
        <v>0</v>
      </c>
      <c r="BO400" s="424">
        <f t="shared" si="161"/>
        <v>0</v>
      </c>
      <c r="BP400" s="424">
        <f t="shared" si="161"/>
        <v>0</v>
      </c>
      <c r="BQ400" s="424">
        <f t="shared" si="161"/>
        <v>0</v>
      </c>
      <c r="BR400" s="424">
        <f t="shared" si="161"/>
        <v>0</v>
      </c>
      <c r="BS400" s="424">
        <f t="shared" si="161"/>
        <v>0</v>
      </c>
      <c r="BT400" s="424">
        <f t="shared" si="161"/>
        <v>0</v>
      </c>
      <c r="BU400" s="424">
        <f t="shared" si="161"/>
        <v>0</v>
      </c>
      <c r="BV400" s="424">
        <f t="shared" ref="BV400:DA400" si="162">BV30*BV$372</f>
        <v>0</v>
      </c>
      <c r="BW400" s="424">
        <f t="shared" si="162"/>
        <v>0</v>
      </c>
      <c r="BX400" s="424">
        <f t="shared" si="162"/>
        <v>0</v>
      </c>
      <c r="BY400" s="424">
        <f t="shared" si="162"/>
        <v>0</v>
      </c>
      <c r="BZ400" s="424">
        <f t="shared" si="162"/>
        <v>0</v>
      </c>
      <c r="CA400" s="424">
        <f t="shared" si="162"/>
        <v>0</v>
      </c>
      <c r="CB400" s="424">
        <f t="shared" si="162"/>
        <v>0</v>
      </c>
      <c r="CC400" s="424">
        <f t="shared" si="162"/>
        <v>0</v>
      </c>
      <c r="CD400" s="424">
        <f t="shared" si="162"/>
        <v>0</v>
      </c>
      <c r="CE400" s="424">
        <f t="shared" si="162"/>
        <v>0</v>
      </c>
      <c r="CF400" s="424">
        <f t="shared" si="162"/>
        <v>0.43</v>
      </c>
      <c r="CG400" s="424">
        <f t="shared" si="162"/>
        <v>0</v>
      </c>
      <c r="CH400" s="424">
        <f t="shared" si="162"/>
        <v>0</v>
      </c>
      <c r="CI400" s="424">
        <f t="shared" si="162"/>
        <v>0</v>
      </c>
      <c r="CJ400" s="424">
        <f t="shared" si="162"/>
        <v>0</v>
      </c>
      <c r="CK400" s="424">
        <f t="shared" si="162"/>
        <v>0</v>
      </c>
      <c r="CL400" s="424">
        <f t="shared" si="162"/>
        <v>0</v>
      </c>
      <c r="CM400" s="424">
        <f t="shared" si="162"/>
        <v>0</v>
      </c>
      <c r="CN400" s="424">
        <f t="shared" si="162"/>
        <v>0</v>
      </c>
      <c r="CO400" s="424">
        <f t="shared" si="162"/>
        <v>0</v>
      </c>
      <c r="CP400" s="424">
        <f t="shared" si="162"/>
        <v>0</v>
      </c>
      <c r="CQ400" s="424">
        <f t="shared" si="162"/>
        <v>0</v>
      </c>
      <c r="CR400" s="424">
        <f t="shared" si="162"/>
        <v>0</v>
      </c>
      <c r="CS400" s="424">
        <f t="shared" si="162"/>
        <v>0</v>
      </c>
      <c r="CT400" s="424">
        <f t="shared" si="162"/>
        <v>0</v>
      </c>
      <c r="CU400" s="424">
        <f t="shared" si="162"/>
        <v>0</v>
      </c>
      <c r="CV400" s="424">
        <f t="shared" si="162"/>
        <v>0</v>
      </c>
      <c r="CW400" s="424">
        <f t="shared" si="162"/>
        <v>0</v>
      </c>
      <c r="CX400" s="424">
        <f t="shared" si="162"/>
        <v>0</v>
      </c>
      <c r="CY400" s="424">
        <f t="shared" si="162"/>
        <v>0</v>
      </c>
      <c r="CZ400" s="424">
        <f t="shared" si="162"/>
        <v>0</v>
      </c>
      <c r="DA400" s="424">
        <f t="shared" si="162"/>
        <v>0</v>
      </c>
      <c r="DB400" s="424">
        <f t="shared" ref="DB400:EG400" si="163">DB30*DB$372</f>
        <v>0</v>
      </c>
      <c r="DC400" s="424">
        <f t="shared" si="163"/>
        <v>0.05</v>
      </c>
      <c r="DD400" s="424">
        <f t="shared" si="163"/>
        <v>0</v>
      </c>
      <c r="DE400" s="424">
        <f t="shared" si="163"/>
        <v>0</v>
      </c>
      <c r="DF400" s="424">
        <f t="shared" si="163"/>
        <v>0</v>
      </c>
      <c r="DG400" s="424">
        <f t="shared" si="163"/>
        <v>0</v>
      </c>
      <c r="DH400" s="424">
        <f t="shared" si="163"/>
        <v>0</v>
      </c>
      <c r="DI400" s="424">
        <f t="shared" si="163"/>
        <v>0</v>
      </c>
      <c r="DJ400" s="424">
        <f t="shared" si="163"/>
        <v>0</v>
      </c>
      <c r="DK400" s="424">
        <f t="shared" si="163"/>
        <v>0</v>
      </c>
      <c r="DL400" s="424">
        <f t="shared" si="163"/>
        <v>0</v>
      </c>
      <c r="DM400" s="424">
        <f t="shared" si="163"/>
        <v>0</v>
      </c>
      <c r="DN400" s="424">
        <f t="shared" si="163"/>
        <v>0</v>
      </c>
      <c r="DO400" s="424">
        <f t="shared" si="163"/>
        <v>0</v>
      </c>
      <c r="DP400" s="424">
        <f t="shared" si="163"/>
        <v>0</v>
      </c>
      <c r="DQ400" s="424">
        <f t="shared" si="163"/>
        <v>0</v>
      </c>
      <c r="DR400" s="424">
        <f t="shared" si="163"/>
        <v>0</v>
      </c>
      <c r="DS400" s="424">
        <f t="shared" si="163"/>
        <v>0</v>
      </c>
      <c r="DT400" s="424">
        <f t="shared" si="163"/>
        <v>0</v>
      </c>
      <c r="DU400" s="424">
        <f t="shared" si="163"/>
        <v>0</v>
      </c>
      <c r="DV400" s="424">
        <f t="shared" si="163"/>
        <v>0</v>
      </c>
      <c r="DW400" s="424">
        <f t="shared" si="163"/>
        <v>3.57</v>
      </c>
      <c r="DX400" s="424">
        <f t="shared" si="163"/>
        <v>0</v>
      </c>
      <c r="DY400" s="424">
        <f t="shared" si="163"/>
        <v>0</v>
      </c>
      <c r="DZ400" s="424">
        <f t="shared" si="163"/>
        <v>0</v>
      </c>
      <c r="EA400" s="424">
        <f t="shared" si="163"/>
        <v>0</v>
      </c>
      <c r="EB400" s="424">
        <f t="shared" si="163"/>
        <v>0</v>
      </c>
      <c r="EC400" s="424">
        <f t="shared" si="163"/>
        <v>0</v>
      </c>
      <c r="ED400" s="424">
        <f t="shared" si="163"/>
        <v>0</v>
      </c>
      <c r="EE400" s="424">
        <f t="shared" si="163"/>
        <v>0</v>
      </c>
      <c r="EF400" s="424">
        <f t="shared" si="163"/>
        <v>0</v>
      </c>
      <c r="EG400" s="424">
        <f t="shared" si="163"/>
        <v>0</v>
      </c>
      <c r="EH400" s="424">
        <f t="shared" ref="EH400:EX400" si="164">EH30*EH$372</f>
        <v>0</v>
      </c>
      <c r="EI400" s="424">
        <f t="shared" si="164"/>
        <v>0</v>
      </c>
      <c r="EJ400" s="424">
        <f t="shared" si="164"/>
        <v>0</v>
      </c>
      <c r="EK400" s="424">
        <f t="shared" si="164"/>
        <v>0</v>
      </c>
      <c r="EL400" s="424">
        <f t="shared" si="164"/>
        <v>0</v>
      </c>
      <c r="EM400" s="424">
        <f t="shared" si="164"/>
        <v>0</v>
      </c>
      <c r="EN400" s="424">
        <f t="shared" si="164"/>
        <v>0</v>
      </c>
      <c r="EO400" s="424">
        <f t="shared" si="164"/>
        <v>0</v>
      </c>
      <c r="EP400" s="424">
        <f t="shared" si="164"/>
        <v>0</v>
      </c>
      <c r="EQ400" s="424">
        <f t="shared" si="164"/>
        <v>0</v>
      </c>
      <c r="ER400" s="424">
        <f t="shared" si="164"/>
        <v>0</v>
      </c>
      <c r="ES400" s="424">
        <f t="shared" si="164"/>
        <v>0</v>
      </c>
      <c r="ET400" s="424">
        <f t="shared" si="164"/>
        <v>0</v>
      </c>
      <c r="EU400" s="424">
        <f t="shared" si="164"/>
        <v>0</v>
      </c>
      <c r="EV400" s="424">
        <f t="shared" si="164"/>
        <v>0</v>
      </c>
      <c r="EW400" s="424">
        <f t="shared" si="164"/>
        <v>0</v>
      </c>
      <c r="EX400" s="424">
        <f t="shared" si="164"/>
        <v>0</v>
      </c>
      <c r="EY400" s="425">
        <f t="shared" si="49"/>
        <v>6.93</v>
      </c>
    </row>
    <row r="401" spans="1:166" ht="14.7" customHeight="1" x14ac:dyDescent="0.25">
      <c r="A401" s="310">
        <v>27</v>
      </c>
      <c r="B401" s="311" t="str">
        <f t="shared" si="30"/>
        <v>Салат картофельный с морковью и зеленым горошком</v>
      </c>
      <c r="C401" s="483">
        <f t="shared" si="38"/>
        <v>6.12</v>
      </c>
      <c r="D401" s="888"/>
      <c r="E401" s="888"/>
      <c r="F401" s="888"/>
      <c r="G401" s="889"/>
      <c r="H401" s="680">
        <f t="shared" si="31"/>
        <v>40</v>
      </c>
      <c r="I401" s="1209">
        <f t="shared" si="32"/>
        <v>0</v>
      </c>
      <c r="J401" s="424">
        <f t="shared" ref="J401:AO401" si="165">J31*J$372</f>
        <v>0</v>
      </c>
      <c r="K401" s="424">
        <f t="shared" si="165"/>
        <v>0</v>
      </c>
      <c r="L401" s="424">
        <f t="shared" si="165"/>
        <v>0</v>
      </c>
      <c r="M401" s="424">
        <f t="shared" si="165"/>
        <v>0</v>
      </c>
      <c r="N401" s="424">
        <f t="shared" si="165"/>
        <v>0</v>
      </c>
      <c r="O401" s="424">
        <f t="shared" si="165"/>
        <v>0</v>
      </c>
      <c r="P401" s="424">
        <f t="shared" si="165"/>
        <v>0</v>
      </c>
      <c r="Q401" s="424">
        <f t="shared" si="165"/>
        <v>0</v>
      </c>
      <c r="R401" s="424">
        <f t="shared" si="165"/>
        <v>0</v>
      </c>
      <c r="S401" s="424">
        <f t="shared" si="165"/>
        <v>0</v>
      </c>
      <c r="T401" s="424">
        <f t="shared" si="165"/>
        <v>0</v>
      </c>
      <c r="U401" s="424">
        <f t="shared" si="165"/>
        <v>0</v>
      </c>
      <c r="V401" s="424">
        <f t="shared" si="165"/>
        <v>0</v>
      </c>
      <c r="W401" s="424">
        <f t="shared" si="165"/>
        <v>0</v>
      </c>
      <c r="X401" s="424">
        <f t="shared" si="165"/>
        <v>0</v>
      </c>
      <c r="Y401" s="424">
        <f t="shared" si="165"/>
        <v>0</v>
      </c>
      <c r="Z401" s="424">
        <f t="shared" si="165"/>
        <v>0</v>
      </c>
      <c r="AA401" s="424">
        <f t="shared" si="165"/>
        <v>0</v>
      </c>
      <c r="AB401" s="424">
        <f t="shared" si="165"/>
        <v>0</v>
      </c>
      <c r="AC401" s="424">
        <f t="shared" si="165"/>
        <v>0</v>
      </c>
      <c r="AD401" s="424">
        <f t="shared" si="165"/>
        <v>0</v>
      </c>
      <c r="AE401" s="424">
        <f t="shared" si="165"/>
        <v>0.84</v>
      </c>
      <c r="AF401" s="424">
        <f t="shared" si="165"/>
        <v>0</v>
      </c>
      <c r="AG401" s="424">
        <f t="shared" si="165"/>
        <v>0</v>
      </c>
      <c r="AH401" s="424">
        <f t="shared" si="165"/>
        <v>1.88</v>
      </c>
      <c r="AI401" s="424">
        <f t="shared" si="165"/>
        <v>0</v>
      </c>
      <c r="AJ401" s="424">
        <f t="shared" si="165"/>
        <v>0</v>
      </c>
      <c r="AK401" s="424">
        <f t="shared" si="165"/>
        <v>0</v>
      </c>
      <c r="AL401" s="424">
        <f t="shared" si="165"/>
        <v>0</v>
      </c>
      <c r="AM401" s="424">
        <f t="shared" si="165"/>
        <v>0</v>
      </c>
      <c r="AN401" s="424">
        <f t="shared" si="165"/>
        <v>0</v>
      </c>
      <c r="AO401" s="424">
        <f t="shared" si="165"/>
        <v>0</v>
      </c>
      <c r="AP401" s="424">
        <f t="shared" ref="AP401:BU401" si="166">AP31*AP$372</f>
        <v>0</v>
      </c>
      <c r="AQ401" s="424">
        <f t="shared" si="166"/>
        <v>0.94</v>
      </c>
      <c r="AR401" s="424">
        <f t="shared" si="166"/>
        <v>0</v>
      </c>
      <c r="AS401" s="424">
        <f t="shared" si="166"/>
        <v>0</v>
      </c>
      <c r="AT401" s="424">
        <f t="shared" si="166"/>
        <v>0</v>
      </c>
      <c r="AU401" s="424">
        <f t="shared" si="166"/>
        <v>0</v>
      </c>
      <c r="AV401" s="424">
        <f t="shared" si="166"/>
        <v>0</v>
      </c>
      <c r="AW401" s="424">
        <f t="shared" si="166"/>
        <v>0</v>
      </c>
      <c r="AX401" s="424">
        <f t="shared" si="166"/>
        <v>0</v>
      </c>
      <c r="AY401" s="424">
        <f t="shared" si="166"/>
        <v>0</v>
      </c>
      <c r="AZ401" s="424">
        <f t="shared" si="166"/>
        <v>0</v>
      </c>
      <c r="BA401" s="424">
        <f t="shared" si="166"/>
        <v>0</v>
      </c>
      <c r="BB401" s="424">
        <f t="shared" si="166"/>
        <v>0</v>
      </c>
      <c r="BC401" s="424">
        <f t="shared" si="166"/>
        <v>0</v>
      </c>
      <c r="BD401" s="424">
        <f t="shared" si="166"/>
        <v>0</v>
      </c>
      <c r="BE401" s="424">
        <f t="shared" si="166"/>
        <v>0</v>
      </c>
      <c r="BF401" s="424">
        <f t="shared" si="166"/>
        <v>0</v>
      </c>
      <c r="BG401" s="424">
        <f t="shared" si="166"/>
        <v>0</v>
      </c>
      <c r="BH401" s="424">
        <f t="shared" si="166"/>
        <v>0</v>
      </c>
      <c r="BI401" s="424">
        <f t="shared" si="166"/>
        <v>0</v>
      </c>
      <c r="BJ401" s="424">
        <f t="shared" si="166"/>
        <v>0</v>
      </c>
      <c r="BK401" s="424">
        <f t="shared" si="166"/>
        <v>0</v>
      </c>
      <c r="BL401" s="424">
        <f t="shared" si="166"/>
        <v>0</v>
      </c>
      <c r="BM401" s="424">
        <f t="shared" si="166"/>
        <v>0</v>
      </c>
      <c r="BN401" s="424">
        <f t="shared" si="166"/>
        <v>0</v>
      </c>
      <c r="BO401" s="424">
        <f t="shared" si="166"/>
        <v>0</v>
      </c>
      <c r="BP401" s="424">
        <f t="shared" si="166"/>
        <v>0</v>
      </c>
      <c r="BQ401" s="424">
        <f t="shared" si="166"/>
        <v>0</v>
      </c>
      <c r="BR401" s="424">
        <f t="shared" si="166"/>
        <v>0</v>
      </c>
      <c r="BS401" s="424">
        <f t="shared" si="166"/>
        <v>0</v>
      </c>
      <c r="BT401" s="424">
        <f t="shared" si="166"/>
        <v>0</v>
      </c>
      <c r="BU401" s="424">
        <f t="shared" si="166"/>
        <v>0</v>
      </c>
      <c r="BV401" s="424">
        <f t="shared" ref="BV401:DA401" si="167">BV31*BV$372</f>
        <v>0</v>
      </c>
      <c r="BW401" s="424">
        <f t="shared" si="167"/>
        <v>0</v>
      </c>
      <c r="BX401" s="424">
        <f t="shared" si="167"/>
        <v>0</v>
      </c>
      <c r="BY401" s="424">
        <f t="shared" si="167"/>
        <v>0</v>
      </c>
      <c r="BZ401" s="424">
        <f t="shared" si="167"/>
        <v>0</v>
      </c>
      <c r="CA401" s="424">
        <f t="shared" si="167"/>
        <v>0</v>
      </c>
      <c r="CB401" s="424">
        <f t="shared" si="167"/>
        <v>0</v>
      </c>
      <c r="CC401" s="424">
        <f t="shared" si="167"/>
        <v>0</v>
      </c>
      <c r="CD401" s="424">
        <f t="shared" si="167"/>
        <v>0</v>
      </c>
      <c r="CE401" s="424">
        <f t="shared" si="167"/>
        <v>0</v>
      </c>
      <c r="CF401" s="424">
        <f t="shared" si="167"/>
        <v>0.43</v>
      </c>
      <c r="CG401" s="424">
        <f t="shared" si="167"/>
        <v>0</v>
      </c>
      <c r="CH401" s="424">
        <f t="shared" si="167"/>
        <v>0</v>
      </c>
      <c r="CI401" s="424">
        <f t="shared" si="167"/>
        <v>0</v>
      </c>
      <c r="CJ401" s="424">
        <f t="shared" si="167"/>
        <v>0</v>
      </c>
      <c r="CK401" s="424">
        <f t="shared" si="167"/>
        <v>0</v>
      </c>
      <c r="CL401" s="424">
        <f t="shared" si="167"/>
        <v>0</v>
      </c>
      <c r="CM401" s="424">
        <f t="shared" si="167"/>
        <v>0</v>
      </c>
      <c r="CN401" s="424">
        <f t="shared" si="167"/>
        <v>0</v>
      </c>
      <c r="CO401" s="424">
        <f t="shared" si="167"/>
        <v>0</v>
      </c>
      <c r="CP401" s="424">
        <f t="shared" si="167"/>
        <v>0</v>
      </c>
      <c r="CQ401" s="424">
        <f t="shared" si="167"/>
        <v>0</v>
      </c>
      <c r="CR401" s="424">
        <f t="shared" si="167"/>
        <v>0</v>
      </c>
      <c r="CS401" s="424">
        <f t="shared" si="167"/>
        <v>0</v>
      </c>
      <c r="CT401" s="424">
        <f t="shared" si="167"/>
        <v>0</v>
      </c>
      <c r="CU401" s="424">
        <f t="shared" si="167"/>
        <v>0</v>
      </c>
      <c r="CV401" s="424">
        <f t="shared" si="167"/>
        <v>0</v>
      </c>
      <c r="CW401" s="424">
        <f t="shared" si="167"/>
        <v>0</v>
      </c>
      <c r="CX401" s="424">
        <f t="shared" si="167"/>
        <v>0</v>
      </c>
      <c r="CY401" s="424">
        <f t="shared" si="167"/>
        <v>0</v>
      </c>
      <c r="CZ401" s="424">
        <f t="shared" si="167"/>
        <v>0</v>
      </c>
      <c r="DA401" s="424">
        <f t="shared" si="167"/>
        <v>0</v>
      </c>
      <c r="DB401" s="424">
        <f t="shared" ref="DB401:EG401" si="168">DB31*DB$372</f>
        <v>0</v>
      </c>
      <c r="DC401" s="424">
        <f t="shared" si="168"/>
        <v>0.05</v>
      </c>
      <c r="DD401" s="424">
        <f t="shared" si="168"/>
        <v>0</v>
      </c>
      <c r="DE401" s="424">
        <f t="shared" si="168"/>
        <v>0</v>
      </c>
      <c r="DF401" s="424">
        <f t="shared" si="168"/>
        <v>0</v>
      </c>
      <c r="DG401" s="424">
        <f t="shared" si="168"/>
        <v>0</v>
      </c>
      <c r="DH401" s="424">
        <f t="shared" si="168"/>
        <v>0</v>
      </c>
      <c r="DI401" s="424">
        <f t="shared" si="168"/>
        <v>0</v>
      </c>
      <c r="DJ401" s="424">
        <f t="shared" si="168"/>
        <v>0</v>
      </c>
      <c r="DK401" s="424">
        <f t="shared" si="168"/>
        <v>0</v>
      </c>
      <c r="DL401" s="424">
        <f t="shared" si="168"/>
        <v>0</v>
      </c>
      <c r="DM401" s="424">
        <f t="shared" si="168"/>
        <v>0</v>
      </c>
      <c r="DN401" s="424">
        <f t="shared" si="168"/>
        <v>0</v>
      </c>
      <c r="DO401" s="424">
        <f t="shared" si="168"/>
        <v>0</v>
      </c>
      <c r="DP401" s="424">
        <f t="shared" si="168"/>
        <v>0</v>
      </c>
      <c r="DQ401" s="424">
        <f t="shared" si="168"/>
        <v>0</v>
      </c>
      <c r="DR401" s="424">
        <f t="shared" si="168"/>
        <v>0</v>
      </c>
      <c r="DS401" s="424">
        <f t="shared" si="168"/>
        <v>0</v>
      </c>
      <c r="DT401" s="424">
        <f t="shared" si="168"/>
        <v>0</v>
      </c>
      <c r="DU401" s="424">
        <f t="shared" si="168"/>
        <v>1.98</v>
      </c>
      <c r="DV401" s="424">
        <f t="shared" si="168"/>
        <v>0</v>
      </c>
      <c r="DW401" s="424">
        <f t="shared" si="168"/>
        <v>0</v>
      </c>
      <c r="DX401" s="424">
        <f t="shared" si="168"/>
        <v>0</v>
      </c>
      <c r="DY401" s="424">
        <f t="shared" si="168"/>
        <v>0</v>
      </c>
      <c r="DZ401" s="424">
        <f t="shared" si="168"/>
        <v>0</v>
      </c>
      <c r="EA401" s="424">
        <f t="shared" si="168"/>
        <v>0</v>
      </c>
      <c r="EB401" s="424">
        <f t="shared" si="168"/>
        <v>0</v>
      </c>
      <c r="EC401" s="424">
        <f t="shared" si="168"/>
        <v>0</v>
      </c>
      <c r="ED401" s="424">
        <f t="shared" si="168"/>
        <v>0</v>
      </c>
      <c r="EE401" s="424">
        <f t="shared" si="168"/>
        <v>0</v>
      </c>
      <c r="EF401" s="424">
        <f t="shared" si="168"/>
        <v>0</v>
      </c>
      <c r="EG401" s="424">
        <f t="shared" si="168"/>
        <v>0</v>
      </c>
      <c r="EH401" s="424">
        <f t="shared" ref="EH401:EX401" si="169">EH31*EH$372</f>
        <v>0</v>
      </c>
      <c r="EI401" s="424">
        <f t="shared" si="169"/>
        <v>0</v>
      </c>
      <c r="EJ401" s="424">
        <f t="shared" si="169"/>
        <v>0</v>
      </c>
      <c r="EK401" s="424">
        <f t="shared" si="169"/>
        <v>0</v>
      </c>
      <c r="EL401" s="424">
        <f t="shared" si="169"/>
        <v>0</v>
      </c>
      <c r="EM401" s="424">
        <f t="shared" si="169"/>
        <v>0</v>
      </c>
      <c r="EN401" s="424">
        <f t="shared" si="169"/>
        <v>0</v>
      </c>
      <c r="EO401" s="424">
        <f t="shared" si="169"/>
        <v>0</v>
      </c>
      <c r="EP401" s="424">
        <f t="shared" si="169"/>
        <v>0</v>
      </c>
      <c r="EQ401" s="424">
        <f t="shared" si="169"/>
        <v>0</v>
      </c>
      <c r="ER401" s="424">
        <f t="shared" si="169"/>
        <v>0</v>
      </c>
      <c r="ES401" s="424">
        <f t="shared" si="169"/>
        <v>0</v>
      </c>
      <c r="ET401" s="424">
        <f t="shared" si="169"/>
        <v>0</v>
      </c>
      <c r="EU401" s="424">
        <f t="shared" si="169"/>
        <v>0</v>
      </c>
      <c r="EV401" s="424">
        <f t="shared" si="169"/>
        <v>0</v>
      </c>
      <c r="EW401" s="424">
        <f t="shared" si="169"/>
        <v>0</v>
      </c>
      <c r="EX401" s="424">
        <f t="shared" si="169"/>
        <v>0</v>
      </c>
      <c r="EY401" s="425">
        <f t="shared" si="49"/>
        <v>6.12</v>
      </c>
    </row>
    <row r="402" spans="1:166" ht="14.7" customHeight="1" x14ac:dyDescent="0.25">
      <c r="A402" s="310">
        <v>28</v>
      </c>
      <c r="B402" s="311" t="str">
        <f t="shared" si="30"/>
        <v>Салат картофельный с капустой свежей и кукурузой</v>
      </c>
      <c r="C402" s="483">
        <f t="shared" si="38"/>
        <v>6.91</v>
      </c>
      <c r="D402" s="888"/>
      <c r="E402" s="888"/>
      <c r="F402" s="888"/>
      <c r="G402" s="889"/>
      <c r="H402" s="680">
        <f t="shared" si="31"/>
        <v>41</v>
      </c>
      <c r="I402" s="1209">
        <f t="shared" si="32"/>
        <v>0</v>
      </c>
      <c r="J402" s="424">
        <f t="shared" ref="J402:AO402" si="170">J32*J$372</f>
        <v>0</v>
      </c>
      <c r="K402" s="424">
        <f t="shared" si="170"/>
        <v>0</v>
      </c>
      <c r="L402" s="424">
        <f t="shared" si="170"/>
        <v>0</v>
      </c>
      <c r="M402" s="424">
        <f t="shared" si="170"/>
        <v>0</v>
      </c>
      <c r="N402" s="424">
        <f t="shared" si="170"/>
        <v>0</v>
      </c>
      <c r="O402" s="424">
        <f t="shared" si="170"/>
        <v>0</v>
      </c>
      <c r="P402" s="424">
        <f t="shared" si="170"/>
        <v>0</v>
      </c>
      <c r="Q402" s="424">
        <f t="shared" si="170"/>
        <v>0</v>
      </c>
      <c r="R402" s="424">
        <f t="shared" si="170"/>
        <v>0</v>
      </c>
      <c r="S402" s="424">
        <f t="shared" si="170"/>
        <v>0</v>
      </c>
      <c r="T402" s="424">
        <f t="shared" si="170"/>
        <v>0</v>
      </c>
      <c r="U402" s="424">
        <f t="shared" si="170"/>
        <v>0</v>
      </c>
      <c r="V402" s="424">
        <f t="shared" si="170"/>
        <v>0</v>
      </c>
      <c r="W402" s="424">
        <f t="shared" si="170"/>
        <v>0</v>
      </c>
      <c r="X402" s="424">
        <f t="shared" si="170"/>
        <v>0</v>
      </c>
      <c r="Y402" s="424">
        <f t="shared" si="170"/>
        <v>0</v>
      </c>
      <c r="Z402" s="424">
        <f t="shared" si="170"/>
        <v>0</v>
      </c>
      <c r="AA402" s="424">
        <f t="shared" si="170"/>
        <v>0</v>
      </c>
      <c r="AB402" s="424">
        <f t="shared" si="170"/>
        <v>0</v>
      </c>
      <c r="AC402" s="424">
        <f t="shared" si="170"/>
        <v>0</v>
      </c>
      <c r="AD402" s="424">
        <f t="shared" si="170"/>
        <v>0</v>
      </c>
      <c r="AE402" s="424">
        <f t="shared" si="170"/>
        <v>0</v>
      </c>
      <c r="AF402" s="424">
        <f t="shared" si="170"/>
        <v>1.39</v>
      </c>
      <c r="AG402" s="424">
        <f t="shared" si="170"/>
        <v>0</v>
      </c>
      <c r="AH402" s="424">
        <f t="shared" si="170"/>
        <v>1.46</v>
      </c>
      <c r="AI402" s="424">
        <f t="shared" si="170"/>
        <v>0</v>
      </c>
      <c r="AJ402" s="424">
        <f t="shared" si="170"/>
        <v>0</v>
      </c>
      <c r="AK402" s="424">
        <f t="shared" si="170"/>
        <v>0</v>
      </c>
      <c r="AL402" s="424">
        <f t="shared" si="170"/>
        <v>0</v>
      </c>
      <c r="AM402" s="424">
        <f t="shared" si="170"/>
        <v>0</v>
      </c>
      <c r="AN402" s="424">
        <f t="shared" si="170"/>
        <v>0</v>
      </c>
      <c r="AO402" s="424">
        <f t="shared" si="170"/>
        <v>0</v>
      </c>
      <c r="AP402" s="424">
        <f t="shared" ref="AP402:BU402" si="171">AP32*AP$372</f>
        <v>0</v>
      </c>
      <c r="AQ402" s="424">
        <f t="shared" si="171"/>
        <v>0</v>
      </c>
      <c r="AR402" s="424">
        <f t="shared" si="171"/>
        <v>0</v>
      </c>
      <c r="AS402" s="424">
        <f t="shared" si="171"/>
        <v>0</v>
      </c>
      <c r="AT402" s="424">
        <f t="shared" si="171"/>
        <v>0</v>
      </c>
      <c r="AU402" s="424">
        <f t="shared" si="171"/>
        <v>0</v>
      </c>
      <c r="AV402" s="424">
        <f t="shared" si="171"/>
        <v>0</v>
      </c>
      <c r="AW402" s="424">
        <f t="shared" si="171"/>
        <v>0</v>
      </c>
      <c r="AX402" s="424">
        <f t="shared" si="171"/>
        <v>0</v>
      </c>
      <c r="AY402" s="424">
        <f t="shared" si="171"/>
        <v>0</v>
      </c>
      <c r="AZ402" s="424">
        <f t="shared" si="171"/>
        <v>0</v>
      </c>
      <c r="BA402" s="424">
        <f t="shared" si="171"/>
        <v>0</v>
      </c>
      <c r="BB402" s="424">
        <f t="shared" si="171"/>
        <v>0</v>
      </c>
      <c r="BC402" s="424">
        <f t="shared" si="171"/>
        <v>0</v>
      </c>
      <c r="BD402" s="424">
        <f t="shared" si="171"/>
        <v>0</v>
      </c>
      <c r="BE402" s="424">
        <f t="shared" si="171"/>
        <v>0</v>
      </c>
      <c r="BF402" s="424">
        <f t="shared" si="171"/>
        <v>0</v>
      </c>
      <c r="BG402" s="424">
        <f t="shared" si="171"/>
        <v>0</v>
      </c>
      <c r="BH402" s="424">
        <f t="shared" si="171"/>
        <v>0</v>
      </c>
      <c r="BI402" s="424">
        <f t="shared" si="171"/>
        <v>0</v>
      </c>
      <c r="BJ402" s="424">
        <f t="shared" si="171"/>
        <v>0</v>
      </c>
      <c r="BK402" s="424">
        <f t="shared" si="171"/>
        <v>0</v>
      </c>
      <c r="BL402" s="424">
        <f t="shared" si="171"/>
        <v>0</v>
      </c>
      <c r="BM402" s="424">
        <f t="shared" si="171"/>
        <v>0</v>
      </c>
      <c r="BN402" s="424">
        <f t="shared" si="171"/>
        <v>0</v>
      </c>
      <c r="BO402" s="424">
        <f t="shared" si="171"/>
        <v>0</v>
      </c>
      <c r="BP402" s="424">
        <f t="shared" si="171"/>
        <v>0</v>
      </c>
      <c r="BQ402" s="424">
        <f t="shared" si="171"/>
        <v>0</v>
      </c>
      <c r="BR402" s="424">
        <f t="shared" si="171"/>
        <v>0</v>
      </c>
      <c r="BS402" s="424">
        <f t="shared" si="171"/>
        <v>0</v>
      </c>
      <c r="BT402" s="424">
        <f t="shared" si="171"/>
        <v>0</v>
      </c>
      <c r="BU402" s="424">
        <f t="shared" si="171"/>
        <v>0</v>
      </c>
      <c r="BV402" s="424">
        <f t="shared" ref="BV402:DA402" si="172">BV32*BV$372</f>
        <v>0</v>
      </c>
      <c r="BW402" s="424">
        <f t="shared" si="172"/>
        <v>0</v>
      </c>
      <c r="BX402" s="424">
        <f t="shared" si="172"/>
        <v>0</v>
      </c>
      <c r="BY402" s="424">
        <f t="shared" si="172"/>
        <v>0</v>
      </c>
      <c r="BZ402" s="424">
        <f t="shared" si="172"/>
        <v>0</v>
      </c>
      <c r="CA402" s="424">
        <f t="shared" si="172"/>
        <v>0</v>
      </c>
      <c r="CB402" s="424">
        <f t="shared" si="172"/>
        <v>0</v>
      </c>
      <c r="CC402" s="424">
        <f t="shared" si="172"/>
        <v>0</v>
      </c>
      <c r="CD402" s="424">
        <f t="shared" si="172"/>
        <v>0</v>
      </c>
      <c r="CE402" s="424">
        <f t="shared" si="172"/>
        <v>0</v>
      </c>
      <c r="CF402" s="424">
        <f t="shared" si="172"/>
        <v>0.43</v>
      </c>
      <c r="CG402" s="424">
        <f t="shared" si="172"/>
        <v>0</v>
      </c>
      <c r="CH402" s="424">
        <f t="shared" si="172"/>
        <v>0</v>
      </c>
      <c r="CI402" s="424">
        <f t="shared" si="172"/>
        <v>0</v>
      </c>
      <c r="CJ402" s="424">
        <f t="shared" si="172"/>
        <v>0</v>
      </c>
      <c r="CK402" s="424">
        <f t="shared" si="172"/>
        <v>0</v>
      </c>
      <c r="CL402" s="424">
        <f t="shared" si="172"/>
        <v>0</v>
      </c>
      <c r="CM402" s="424">
        <f t="shared" si="172"/>
        <v>0</v>
      </c>
      <c r="CN402" s="424">
        <f t="shared" si="172"/>
        <v>0</v>
      </c>
      <c r="CO402" s="424">
        <f t="shared" si="172"/>
        <v>0</v>
      </c>
      <c r="CP402" s="424">
        <f t="shared" si="172"/>
        <v>0</v>
      </c>
      <c r="CQ402" s="424">
        <f t="shared" si="172"/>
        <v>0</v>
      </c>
      <c r="CR402" s="424">
        <f t="shared" si="172"/>
        <v>0</v>
      </c>
      <c r="CS402" s="424">
        <f t="shared" si="172"/>
        <v>0</v>
      </c>
      <c r="CT402" s="424">
        <f t="shared" si="172"/>
        <v>0</v>
      </c>
      <c r="CU402" s="424">
        <f t="shared" si="172"/>
        <v>0</v>
      </c>
      <c r="CV402" s="424">
        <f t="shared" si="172"/>
        <v>0</v>
      </c>
      <c r="CW402" s="424">
        <f t="shared" si="172"/>
        <v>0</v>
      </c>
      <c r="CX402" s="424">
        <f t="shared" si="172"/>
        <v>0</v>
      </c>
      <c r="CY402" s="424">
        <f t="shared" si="172"/>
        <v>0</v>
      </c>
      <c r="CZ402" s="424">
        <f t="shared" si="172"/>
        <v>0</v>
      </c>
      <c r="DA402" s="424">
        <f t="shared" si="172"/>
        <v>0</v>
      </c>
      <c r="DB402" s="424">
        <f t="shared" ref="DB402:EG402" si="173">DB32*DB$372</f>
        <v>0</v>
      </c>
      <c r="DC402" s="424">
        <f t="shared" si="173"/>
        <v>0.05</v>
      </c>
      <c r="DD402" s="424">
        <f t="shared" si="173"/>
        <v>0</v>
      </c>
      <c r="DE402" s="424">
        <f t="shared" si="173"/>
        <v>0</v>
      </c>
      <c r="DF402" s="424">
        <f t="shared" si="173"/>
        <v>0</v>
      </c>
      <c r="DG402" s="424">
        <f t="shared" si="173"/>
        <v>0</v>
      </c>
      <c r="DH402" s="424">
        <f t="shared" si="173"/>
        <v>0</v>
      </c>
      <c r="DI402" s="424">
        <f t="shared" si="173"/>
        <v>0</v>
      </c>
      <c r="DJ402" s="424">
        <f t="shared" si="173"/>
        <v>0</v>
      </c>
      <c r="DK402" s="424">
        <f t="shared" si="173"/>
        <v>0</v>
      </c>
      <c r="DL402" s="424">
        <f t="shared" si="173"/>
        <v>0</v>
      </c>
      <c r="DM402" s="424">
        <f t="shared" si="173"/>
        <v>0</v>
      </c>
      <c r="DN402" s="424">
        <f t="shared" si="173"/>
        <v>0</v>
      </c>
      <c r="DO402" s="424">
        <f t="shared" si="173"/>
        <v>0</v>
      </c>
      <c r="DP402" s="424">
        <f t="shared" si="173"/>
        <v>0</v>
      </c>
      <c r="DQ402" s="424">
        <f t="shared" si="173"/>
        <v>0</v>
      </c>
      <c r="DR402" s="424">
        <f t="shared" si="173"/>
        <v>0</v>
      </c>
      <c r="DS402" s="424">
        <f t="shared" si="173"/>
        <v>0</v>
      </c>
      <c r="DT402" s="424">
        <f t="shared" si="173"/>
        <v>0</v>
      </c>
      <c r="DU402" s="424">
        <f t="shared" si="173"/>
        <v>0</v>
      </c>
      <c r="DV402" s="424">
        <f t="shared" si="173"/>
        <v>0</v>
      </c>
      <c r="DW402" s="424">
        <f t="shared" si="173"/>
        <v>3.58</v>
      </c>
      <c r="DX402" s="424">
        <f t="shared" si="173"/>
        <v>0</v>
      </c>
      <c r="DY402" s="424">
        <f t="shared" si="173"/>
        <v>0</v>
      </c>
      <c r="DZ402" s="424">
        <f t="shared" si="173"/>
        <v>0</v>
      </c>
      <c r="EA402" s="424">
        <f t="shared" si="173"/>
        <v>0</v>
      </c>
      <c r="EB402" s="424">
        <f t="shared" si="173"/>
        <v>0</v>
      </c>
      <c r="EC402" s="424">
        <f t="shared" si="173"/>
        <v>0</v>
      </c>
      <c r="ED402" s="424">
        <f t="shared" si="173"/>
        <v>0</v>
      </c>
      <c r="EE402" s="424">
        <f t="shared" si="173"/>
        <v>0</v>
      </c>
      <c r="EF402" s="424">
        <f t="shared" si="173"/>
        <v>0</v>
      </c>
      <c r="EG402" s="424">
        <f t="shared" si="173"/>
        <v>0</v>
      </c>
      <c r="EH402" s="424">
        <f t="shared" ref="EH402:EX402" si="174">EH32*EH$372</f>
        <v>0</v>
      </c>
      <c r="EI402" s="424">
        <f t="shared" si="174"/>
        <v>0</v>
      </c>
      <c r="EJ402" s="424">
        <f t="shared" si="174"/>
        <v>0</v>
      </c>
      <c r="EK402" s="424">
        <f t="shared" si="174"/>
        <v>0</v>
      </c>
      <c r="EL402" s="424">
        <f t="shared" si="174"/>
        <v>0</v>
      </c>
      <c r="EM402" s="424">
        <f t="shared" si="174"/>
        <v>0</v>
      </c>
      <c r="EN402" s="424">
        <f t="shared" si="174"/>
        <v>0</v>
      </c>
      <c r="EO402" s="424">
        <f t="shared" si="174"/>
        <v>0</v>
      </c>
      <c r="EP402" s="424">
        <f t="shared" si="174"/>
        <v>0</v>
      </c>
      <c r="EQ402" s="424">
        <f t="shared" si="174"/>
        <v>0</v>
      </c>
      <c r="ER402" s="424">
        <f t="shared" si="174"/>
        <v>0</v>
      </c>
      <c r="ES402" s="424">
        <f t="shared" si="174"/>
        <v>0</v>
      </c>
      <c r="ET402" s="424">
        <f t="shared" si="174"/>
        <v>0</v>
      </c>
      <c r="EU402" s="424">
        <f t="shared" si="174"/>
        <v>0</v>
      </c>
      <c r="EV402" s="424">
        <f t="shared" si="174"/>
        <v>0</v>
      </c>
      <c r="EW402" s="424">
        <f t="shared" si="174"/>
        <v>0</v>
      </c>
      <c r="EX402" s="424">
        <f t="shared" si="174"/>
        <v>0</v>
      </c>
      <c r="EY402" s="425">
        <f t="shared" si="49"/>
        <v>6.91</v>
      </c>
    </row>
    <row r="403" spans="1:166" ht="14.7" customHeight="1" x14ac:dyDescent="0.25">
      <c r="A403" s="310">
        <v>29</v>
      </c>
      <c r="B403" s="311" t="str">
        <f t="shared" si="30"/>
        <v>Салат из овощей</v>
      </c>
      <c r="C403" s="483">
        <f t="shared" si="38"/>
        <v>6.13</v>
      </c>
      <c r="D403" s="888"/>
      <c r="E403" s="888"/>
      <c r="F403" s="888"/>
      <c r="G403" s="889"/>
      <c r="H403" s="680">
        <f t="shared" si="31"/>
        <v>43</v>
      </c>
      <c r="I403" s="1209">
        <f t="shared" si="32"/>
        <v>0</v>
      </c>
      <c r="J403" s="424">
        <f t="shared" ref="J403:AO403" si="175">J33*J$372</f>
        <v>0</v>
      </c>
      <c r="K403" s="424">
        <f t="shared" si="175"/>
        <v>0</v>
      </c>
      <c r="L403" s="424">
        <f t="shared" si="175"/>
        <v>0</v>
      </c>
      <c r="M403" s="424">
        <f t="shared" si="175"/>
        <v>0</v>
      </c>
      <c r="N403" s="424">
        <f t="shared" si="175"/>
        <v>0</v>
      </c>
      <c r="O403" s="424">
        <f t="shared" si="175"/>
        <v>0</v>
      </c>
      <c r="P403" s="424">
        <f t="shared" si="175"/>
        <v>0</v>
      </c>
      <c r="Q403" s="424">
        <f t="shared" si="175"/>
        <v>0</v>
      </c>
      <c r="R403" s="424">
        <f t="shared" si="175"/>
        <v>0</v>
      </c>
      <c r="S403" s="424">
        <f t="shared" si="175"/>
        <v>0</v>
      </c>
      <c r="T403" s="424">
        <f t="shared" si="175"/>
        <v>0</v>
      </c>
      <c r="U403" s="424">
        <f t="shared" si="175"/>
        <v>0</v>
      </c>
      <c r="V403" s="424">
        <f t="shared" si="175"/>
        <v>0</v>
      </c>
      <c r="W403" s="424">
        <f t="shared" si="175"/>
        <v>0</v>
      </c>
      <c r="X403" s="424">
        <f t="shared" si="175"/>
        <v>0</v>
      </c>
      <c r="Y403" s="424">
        <f t="shared" si="175"/>
        <v>0</v>
      </c>
      <c r="Z403" s="424">
        <f t="shared" si="175"/>
        <v>0</v>
      </c>
      <c r="AA403" s="424">
        <f t="shared" si="175"/>
        <v>0</v>
      </c>
      <c r="AB403" s="424">
        <f t="shared" si="175"/>
        <v>0</v>
      </c>
      <c r="AC403" s="424">
        <f t="shared" si="175"/>
        <v>0</v>
      </c>
      <c r="AD403" s="424">
        <f t="shared" si="175"/>
        <v>0</v>
      </c>
      <c r="AE403" s="424">
        <f t="shared" si="175"/>
        <v>1.26</v>
      </c>
      <c r="AF403" s="424">
        <f t="shared" si="175"/>
        <v>1.63</v>
      </c>
      <c r="AG403" s="424">
        <f t="shared" si="175"/>
        <v>0</v>
      </c>
      <c r="AH403" s="424">
        <f t="shared" si="175"/>
        <v>0</v>
      </c>
      <c r="AI403" s="424">
        <f t="shared" si="175"/>
        <v>0</v>
      </c>
      <c r="AJ403" s="424">
        <f t="shared" si="175"/>
        <v>0</v>
      </c>
      <c r="AK403" s="424">
        <f t="shared" si="175"/>
        <v>0</v>
      </c>
      <c r="AL403" s="424">
        <f t="shared" si="175"/>
        <v>0</v>
      </c>
      <c r="AM403" s="424">
        <f t="shared" si="175"/>
        <v>0</v>
      </c>
      <c r="AN403" s="424">
        <f t="shared" si="175"/>
        <v>1.72</v>
      </c>
      <c r="AO403" s="424">
        <f t="shared" si="175"/>
        <v>1.04</v>
      </c>
      <c r="AP403" s="424">
        <f t="shared" ref="AP403:BU403" si="176">AP33*AP$372</f>
        <v>0</v>
      </c>
      <c r="AQ403" s="424">
        <f t="shared" si="176"/>
        <v>0</v>
      </c>
      <c r="AR403" s="424">
        <f t="shared" si="176"/>
        <v>0</v>
      </c>
      <c r="AS403" s="424">
        <f t="shared" si="176"/>
        <v>0</v>
      </c>
      <c r="AT403" s="424">
        <f t="shared" si="176"/>
        <v>0</v>
      </c>
      <c r="AU403" s="424">
        <f t="shared" si="176"/>
        <v>0</v>
      </c>
      <c r="AV403" s="424">
        <f t="shared" si="176"/>
        <v>0</v>
      </c>
      <c r="AW403" s="424">
        <f t="shared" si="176"/>
        <v>0</v>
      </c>
      <c r="AX403" s="424">
        <f t="shared" si="176"/>
        <v>0</v>
      </c>
      <c r="AY403" s="424">
        <f t="shared" si="176"/>
        <v>0</v>
      </c>
      <c r="AZ403" s="424">
        <f t="shared" si="176"/>
        <v>0</v>
      </c>
      <c r="BA403" s="424">
        <f t="shared" si="176"/>
        <v>0</v>
      </c>
      <c r="BB403" s="424">
        <f t="shared" si="176"/>
        <v>0</v>
      </c>
      <c r="BC403" s="424">
        <f t="shared" si="176"/>
        <v>0</v>
      </c>
      <c r="BD403" s="424">
        <f t="shared" si="176"/>
        <v>0</v>
      </c>
      <c r="BE403" s="424">
        <f t="shared" si="176"/>
        <v>0</v>
      </c>
      <c r="BF403" s="424">
        <f t="shared" si="176"/>
        <v>0</v>
      </c>
      <c r="BG403" s="424">
        <f t="shared" si="176"/>
        <v>0</v>
      </c>
      <c r="BH403" s="424">
        <f t="shared" si="176"/>
        <v>0</v>
      </c>
      <c r="BI403" s="424">
        <f t="shared" si="176"/>
        <v>0</v>
      </c>
      <c r="BJ403" s="424">
        <f t="shared" si="176"/>
        <v>0</v>
      </c>
      <c r="BK403" s="424">
        <f t="shared" si="176"/>
        <v>0</v>
      </c>
      <c r="BL403" s="424">
        <f t="shared" si="176"/>
        <v>0</v>
      </c>
      <c r="BM403" s="424">
        <f t="shared" si="176"/>
        <v>0</v>
      </c>
      <c r="BN403" s="424">
        <f t="shared" si="176"/>
        <v>0</v>
      </c>
      <c r="BO403" s="424">
        <f t="shared" si="176"/>
        <v>0</v>
      </c>
      <c r="BP403" s="424">
        <f t="shared" si="176"/>
        <v>0</v>
      </c>
      <c r="BQ403" s="424">
        <f t="shared" si="176"/>
        <v>0</v>
      </c>
      <c r="BR403" s="424">
        <f t="shared" si="176"/>
        <v>0</v>
      </c>
      <c r="BS403" s="424">
        <f t="shared" si="176"/>
        <v>0</v>
      </c>
      <c r="BT403" s="424">
        <f t="shared" si="176"/>
        <v>0</v>
      </c>
      <c r="BU403" s="424">
        <f t="shared" si="176"/>
        <v>0</v>
      </c>
      <c r="BV403" s="424">
        <f t="shared" ref="BV403:DA403" si="177">BV33*BV$372</f>
        <v>0</v>
      </c>
      <c r="BW403" s="424">
        <f t="shared" si="177"/>
        <v>0</v>
      </c>
      <c r="BX403" s="424">
        <f t="shared" si="177"/>
        <v>0</v>
      </c>
      <c r="BY403" s="424">
        <f t="shared" si="177"/>
        <v>0</v>
      </c>
      <c r="BZ403" s="424">
        <f t="shared" si="177"/>
        <v>0</v>
      </c>
      <c r="CA403" s="424">
        <f t="shared" si="177"/>
        <v>0</v>
      </c>
      <c r="CB403" s="424">
        <f t="shared" si="177"/>
        <v>0</v>
      </c>
      <c r="CC403" s="424">
        <f t="shared" si="177"/>
        <v>0</v>
      </c>
      <c r="CD403" s="424">
        <f t="shared" si="177"/>
        <v>0</v>
      </c>
      <c r="CE403" s="424">
        <f t="shared" si="177"/>
        <v>0</v>
      </c>
      <c r="CF403" s="424">
        <f t="shared" si="177"/>
        <v>0.43</v>
      </c>
      <c r="CG403" s="424">
        <f t="shared" si="177"/>
        <v>0</v>
      </c>
      <c r="CH403" s="424">
        <f t="shared" si="177"/>
        <v>0</v>
      </c>
      <c r="CI403" s="424">
        <f t="shared" si="177"/>
        <v>0</v>
      </c>
      <c r="CJ403" s="424">
        <f t="shared" si="177"/>
        <v>0</v>
      </c>
      <c r="CK403" s="424">
        <f t="shared" si="177"/>
        <v>0</v>
      </c>
      <c r="CL403" s="424">
        <f t="shared" si="177"/>
        <v>0</v>
      </c>
      <c r="CM403" s="424">
        <f t="shared" si="177"/>
        <v>0</v>
      </c>
      <c r="CN403" s="424">
        <f t="shared" si="177"/>
        <v>0</v>
      </c>
      <c r="CO403" s="424">
        <f t="shared" si="177"/>
        <v>0</v>
      </c>
      <c r="CP403" s="424">
        <f t="shared" si="177"/>
        <v>0</v>
      </c>
      <c r="CQ403" s="424">
        <f t="shared" si="177"/>
        <v>0</v>
      </c>
      <c r="CR403" s="424">
        <f t="shared" si="177"/>
        <v>0</v>
      </c>
      <c r="CS403" s="424">
        <f t="shared" si="177"/>
        <v>0</v>
      </c>
      <c r="CT403" s="424">
        <f t="shared" si="177"/>
        <v>0</v>
      </c>
      <c r="CU403" s="424">
        <f t="shared" si="177"/>
        <v>0</v>
      </c>
      <c r="CV403" s="424">
        <f t="shared" si="177"/>
        <v>0</v>
      </c>
      <c r="CW403" s="424">
        <f t="shared" si="177"/>
        <v>0</v>
      </c>
      <c r="CX403" s="424">
        <f t="shared" si="177"/>
        <v>0</v>
      </c>
      <c r="CY403" s="424">
        <f t="shared" si="177"/>
        <v>0</v>
      </c>
      <c r="CZ403" s="424">
        <f t="shared" si="177"/>
        <v>0</v>
      </c>
      <c r="DA403" s="424">
        <f t="shared" si="177"/>
        <v>0</v>
      </c>
      <c r="DB403" s="424">
        <f t="shared" ref="DB403:EG403" si="178">DB33*DB$372</f>
        <v>0</v>
      </c>
      <c r="DC403" s="424">
        <f t="shared" si="178"/>
        <v>0.05</v>
      </c>
      <c r="DD403" s="424">
        <f t="shared" si="178"/>
        <v>0</v>
      </c>
      <c r="DE403" s="424">
        <f t="shared" si="178"/>
        <v>0</v>
      </c>
      <c r="DF403" s="424">
        <f t="shared" si="178"/>
        <v>0</v>
      </c>
      <c r="DG403" s="424">
        <f t="shared" si="178"/>
        <v>0</v>
      </c>
      <c r="DH403" s="424">
        <f t="shared" si="178"/>
        <v>0</v>
      </c>
      <c r="DI403" s="424">
        <f t="shared" si="178"/>
        <v>0</v>
      </c>
      <c r="DJ403" s="424">
        <f t="shared" si="178"/>
        <v>0</v>
      </c>
      <c r="DK403" s="424">
        <f t="shared" si="178"/>
        <v>0</v>
      </c>
      <c r="DL403" s="424">
        <f t="shared" si="178"/>
        <v>0</v>
      </c>
      <c r="DM403" s="424">
        <f t="shared" si="178"/>
        <v>0</v>
      </c>
      <c r="DN403" s="424">
        <f t="shared" si="178"/>
        <v>0</v>
      </c>
      <c r="DO403" s="424">
        <f t="shared" si="178"/>
        <v>0</v>
      </c>
      <c r="DP403" s="424">
        <f t="shared" si="178"/>
        <v>0</v>
      </c>
      <c r="DQ403" s="424">
        <f t="shared" si="178"/>
        <v>0</v>
      </c>
      <c r="DR403" s="424">
        <f t="shared" si="178"/>
        <v>0</v>
      </c>
      <c r="DS403" s="424">
        <f t="shared" si="178"/>
        <v>0</v>
      </c>
      <c r="DT403" s="424">
        <f t="shared" si="178"/>
        <v>0</v>
      </c>
      <c r="DU403" s="424">
        <f t="shared" si="178"/>
        <v>0</v>
      </c>
      <c r="DV403" s="424">
        <f t="shared" si="178"/>
        <v>0</v>
      </c>
      <c r="DW403" s="424">
        <f t="shared" si="178"/>
        <v>0</v>
      </c>
      <c r="DX403" s="424">
        <f t="shared" si="178"/>
        <v>0</v>
      </c>
      <c r="DY403" s="424">
        <f t="shared" si="178"/>
        <v>0</v>
      </c>
      <c r="DZ403" s="424">
        <f t="shared" si="178"/>
        <v>0</v>
      </c>
      <c r="EA403" s="424">
        <f t="shared" si="178"/>
        <v>0</v>
      </c>
      <c r="EB403" s="424">
        <f t="shared" si="178"/>
        <v>0</v>
      </c>
      <c r="EC403" s="424">
        <f t="shared" si="178"/>
        <v>0</v>
      </c>
      <c r="ED403" s="424">
        <f t="shared" si="178"/>
        <v>0</v>
      </c>
      <c r="EE403" s="424">
        <f t="shared" si="178"/>
        <v>0</v>
      </c>
      <c r="EF403" s="424">
        <f t="shared" si="178"/>
        <v>0</v>
      </c>
      <c r="EG403" s="424">
        <f t="shared" si="178"/>
        <v>0</v>
      </c>
      <c r="EH403" s="424">
        <f t="shared" ref="EH403:EX403" si="179">EH33*EH$372</f>
        <v>0</v>
      </c>
      <c r="EI403" s="424">
        <f t="shared" si="179"/>
        <v>0</v>
      </c>
      <c r="EJ403" s="424">
        <f t="shared" si="179"/>
        <v>0</v>
      </c>
      <c r="EK403" s="424">
        <f t="shared" si="179"/>
        <v>0</v>
      </c>
      <c r="EL403" s="424">
        <f t="shared" si="179"/>
        <v>0</v>
      </c>
      <c r="EM403" s="424">
        <f t="shared" si="179"/>
        <v>0</v>
      </c>
      <c r="EN403" s="424">
        <f t="shared" si="179"/>
        <v>0</v>
      </c>
      <c r="EO403" s="424">
        <f t="shared" si="179"/>
        <v>0</v>
      </c>
      <c r="EP403" s="424">
        <f t="shared" si="179"/>
        <v>0</v>
      </c>
      <c r="EQ403" s="424">
        <f t="shared" si="179"/>
        <v>0</v>
      </c>
      <c r="ER403" s="424">
        <f t="shared" si="179"/>
        <v>0</v>
      </c>
      <c r="ES403" s="424">
        <f t="shared" si="179"/>
        <v>0</v>
      </c>
      <c r="ET403" s="424">
        <f t="shared" si="179"/>
        <v>0</v>
      </c>
      <c r="EU403" s="424">
        <f t="shared" si="179"/>
        <v>0</v>
      </c>
      <c r="EV403" s="424">
        <f t="shared" si="179"/>
        <v>0</v>
      </c>
      <c r="EW403" s="424">
        <f t="shared" si="179"/>
        <v>0</v>
      </c>
      <c r="EX403" s="424">
        <f t="shared" si="179"/>
        <v>0</v>
      </c>
      <c r="EY403" s="425">
        <f t="shared" si="49"/>
        <v>6.13</v>
      </c>
    </row>
    <row r="404" spans="1:166" ht="14.7" customHeight="1" x14ac:dyDescent="0.25">
      <c r="A404" s="310">
        <v>30</v>
      </c>
      <c r="B404" s="311" t="str">
        <f t="shared" si="30"/>
        <v>Салат из белокачанной капусты с морковью</v>
      </c>
      <c r="C404" s="483">
        <f t="shared" si="38"/>
        <v>5.05</v>
      </c>
      <c r="D404" s="888"/>
      <c r="E404" s="888"/>
      <c r="F404" s="888"/>
      <c r="G404" s="889"/>
      <c r="H404" s="680">
        <f t="shared" si="31"/>
        <v>45</v>
      </c>
      <c r="I404" s="1209">
        <f t="shared" si="32"/>
        <v>-0.01</v>
      </c>
      <c r="J404" s="424">
        <f t="shared" ref="J404:AO404" si="180">J34*J$372</f>
        <v>0</v>
      </c>
      <c r="K404" s="424">
        <f t="shared" si="180"/>
        <v>0</v>
      </c>
      <c r="L404" s="424">
        <f t="shared" si="180"/>
        <v>0</v>
      </c>
      <c r="M404" s="424">
        <f t="shared" si="180"/>
        <v>0</v>
      </c>
      <c r="N404" s="424">
        <f t="shared" si="180"/>
        <v>0</v>
      </c>
      <c r="O404" s="424">
        <f t="shared" si="180"/>
        <v>0</v>
      </c>
      <c r="P404" s="424">
        <f t="shared" si="180"/>
        <v>0</v>
      </c>
      <c r="Q404" s="424">
        <f t="shared" si="180"/>
        <v>0</v>
      </c>
      <c r="R404" s="424">
        <f t="shared" si="180"/>
        <v>0</v>
      </c>
      <c r="S404" s="424">
        <f t="shared" si="180"/>
        <v>0</v>
      </c>
      <c r="T404" s="424">
        <f t="shared" si="180"/>
        <v>0</v>
      </c>
      <c r="U404" s="424">
        <f t="shared" si="180"/>
        <v>0</v>
      </c>
      <c r="V404" s="424">
        <f t="shared" si="180"/>
        <v>0</v>
      </c>
      <c r="W404" s="424">
        <f t="shared" si="180"/>
        <v>0</v>
      </c>
      <c r="X404" s="424">
        <f t="shared" si="180"/>
        <v>0</v>
      </c>
      <c r="Y404" s="424">
        <f t="shared" si="180"/>
        <v>0</v>
      </c>
      <c r="Z404" s="424">
        <f t="shared" si="180"/>
        <v>0</v>
      </c>
      <c r="AA404" s="424">
        <f t="shared" si="180"/>
        <v>0</v>
      </c>
      <c r="AB404" s="424">
        <f t="shared" si="180"/>
        <v>0</v>
      </c>
      <c r="AC404" s="424">
        <f t="shared" si="180"/>
        <v>0</v>
      </c>
      <c r="AD404" s="424">
        <f t="shared" si="180"/>
        <v>0</v>
      </c>
      <c r="AE404" s="424">
        <f t="shared" si="180"/>
        <v>0</v>
      </c>
      <c r="AF404" s="424">
        <f t="shared" si="180"/>
        <v>3.14</v>
      </c>
      <c r="AG404" s="424">
        <f t="shared" si="180"/>
        <v>0</v>
      </c>
      <c r="AH404" s="424">
        <f t="shared" si="180"/>
        <v>0</v>
      </c>
      <c r="AI404" s="424">
        <f t="shared" si="180"/>
        <v>0</v>
      </c>
      <c r="AJ404" s="424">
        <f t="shared" si="180"/>
        <v>0</v>
      </c>
      <c r="AK404" s="424">
        <f t="shared" si="180"/>
        <v>0</v>
      </c>
      <c r="AL404" s="424">
        <f t="shared" si="180"/>
        <v>0</v>
      </c>
      <c r="AM404" s="424">
        <f t="shared" si="180"/>
        <v>0</v>
      </c>
      <c r="AN404" s="424">
        <f t="shared" si="180"/>
        <v>0</v>
      </c>
      <c r="AO404" s="424">
        <f t="shared" si="180"/>
        <v>0</v>
      </c>
      <c r="AP404" s="424">
        <f t="shared" ref="AP404:BU404" si="181">AP34*AP$372</f>
        <v>0</v>
      </c>
      <c r="AQ404" s="424">
        <f t="shared" si="181"/>
        <v>1.25</v>
      </c>
      <c r="AR404" s="424">
        <f t="shared" si="181"/>
        <v>0</v>
      </c>
      <c r="AS404" s="424">
        <f t="shared" si="181"/>
        <v>0</v>
      </c>
      <c r="AT404" s="424">
        <f t="shared" si="181"/>
        <v>0</v>
      </c>
      <c r="AU404" s="424">
        <f t="shared" si="181"/>
        <v>0</v>
      </c>
      <c r="AV404" s="424">
        <f t="shared" si="181"/>
        <v>0</v>
      </c>
      <c r="AW404" s="424">
        <f t="shared" si="181"/>
        <v>0</v>
      </c>
      <c r="AX404" s="424">
        <f t="shared" si="181"/>
        <v>0</v>
      </c>
      <c r="AY404" s="424">
        <f t="shared" si="181"/>
        <v>0</v>
      </c>
      <c r="AZ404" s="424">
        <f t="shared" si="181"/>
        <v>0</v>
      </c>
      <c r="BA404" s="424">
        <f t="shared" si="181"/>
        <v>0</v>
      </c>
      <c r="BB404" s="424">
        <f t="shared" si="181"/>
        <v>0</v>
      </c>
      <c r="BC404" s="424">
        <f t="shared" si="181"/>
        <v>0</v>
      </c>
      <c r="BD404" s="424">
        <f t="shared" si="181"/>
        <v>0</v>
      </c>
      <c r="BE404" s="424">
        <f t="shared" si="181"/>
        <v>0</v>
      </c>
      <c r="BF404" s="424">
        <f t="shared" si="181"/>
        <v>0</v>
      </c>
      <c r="BG404" s="424">
        <f t="shared" si="181"/>
        <v>0</v>
      </c>
      <c r="BH404" s="424">
        <f t="shared" si="181"/>
        <v>0</v>
      </c>
      <c r="BI404" s="424">
        <f t="shared" si="181"/>
        <v>0</v>
      </c>
      <c r="BJ404" s="424">
        <f t="shared" si="181"/>
        <v>0</v>
      </c>
      <c r="BK404" s="424">
        <f t="shared" si="181"/>
        <v>0</v>
      </c>
      <c r="BL404" s="424">
        <f t="shared" si="181"/>
        <v>0</v>
      </c>
      <c r="BM404" s="424">
        <f t="shared" si="181"/>
        <v>0</v>
      </c>
      <c r="BN404" s="424">
        <f t="shared" si="181"/>
        <v>0</v>
      </c>
      <c r="BO404" s="424">
        <f t="shared" si="181"/>
        <v>0</v>
      </c>
      <c r="BP404" s="424">
        <f t="shared" si="181"/>
        <v>0</v>
      </c>
      <c r="BQ404" s="424">
        <f t="shared" si="181"/>
        <v>0</v>
      </c>
      <c r="BR404" s="424">
        <f t="shared" si="181"/>
        <v>0</v>
      </c>
      <c r="BS404" s="424">
        <f t="shared" si="181"/>
        <v>0</v>
      </c>
      <c r="BT404" s="424">
        <f t="shared" si="181"/>
        <v>0</v>
      </c>
      <c r="BU404" s="424">
        <f t="shared" si="181"/>
        <v>0</v>
      </c>
      <c r="BV404" s="424">
        <f t="shared" ref="BV404:DA404" si="182">BV34*BV$372</f>
        <v>0</v>
      </c>
      <c r="BW404" s="424">
        <f t="shared" si="182"/>
        <v>0</v>
      </c>
      <c r="BX404" s="424">
        <f t="shared" si="182"/>
        <v>0</v>
      </c>
      <c r="BY404" s="424">
        <f t="shared" si="182"/>
        <v>0</v>
      </c>
      <c r="BZ404" s="424">
        <f t="shared" si="182"/>
        <v>0</v>
      </c>
      <c r="CA404" s="424">
        <f t="shared" si="182"/>
        <v>0</v>
      </c>
      <c r="CB404" s="424">
        <f t="shared" si="182"/>
        <v>0</v>
      </c>
      <c r="CC404" s="424">
        <f t="shared" si="182"/>
        <v>0</v>
      </c>
      <c r="CD404" s="424">
        <f t="shared" si="182"/>
        <v>0</v>
      </c>
      <c r="CE404" s="424">
        <f t="shared" si="182"/>
        <v>0</v>
      </c>
      <c r="CF404" s="424">
        <f t="shared" si="182"/>
        <v>0.36</v>
      </c>
      <c r="CG404" s="424">
        <f t="shared" si="182"/>
        <v>0</v>
      </c>
      <c r="CH404" s="424">
        <f t="shared" si="182"/>
        <v>0</v>
      </c>
      <c r="CI404" s="424">
        <f t="shared" si="182"/>
        <v>0</v>
      </c>
      <c r="CJ404" s="424">
        <f t="shared" si="182"/>
        <v>0</v>
      </c>
      <c r="CK404" s="424">
        <f t="shared" si="182"/>
        <v>0</v>
      </c>
      <c r="CL404" s="424">
        <f t="shared" si="182"/>
        <v>0</v>
      </c>
      <c r="CM404" s="424">
        <f t="shared" si="182"/>
        <v>0</v>
      </c>
      <c r="CN404" s="424">
        <f t="shared" si="182"/>
        <v>0</v>
      </c>
      <c r="CO404" s="424">
        <f t="shared" si="182"/>
        <v>0</v>
      </c>
      <c r="CP404" s="424">
        <f t="shared" si="182"/>
        <v>0</v>
      </c>
      <c r="CQ404" s="424">
        <f t="shared" si="182"/>
        <v>0.05</v>
      </c>
      <c r="CR404" s="424">
        <f t="shared" si="182"/>
        <v>0</v>
      </c>
      <c r="CS404" s="424">
        <f t="shared" si="182"/>
        <v>0</v>
      </c>
      <c r="CT404" s="424">
        <f t="shared" si="182"/>
        <v>0</v>
      </c>
      <c r="CU404" s="424">
        <f t="shared" si="182"/>
        <v>0</v>
      </c>
      <c r="CV404" s="424">
        <f t="shared" si="182"/>
        <v>0</v>
      </c>
      <c r="CW404" s="424">
        <f t="shared" si="182"/>
        <v>0</v>
      </c>
      <c r="CX404" s="424">
        <f t="shared" si="182"/>
        <v>0</v>
      </c>
      <c r="CY404" s="424">
        <f t="shared" si="182"/>
        <v>0</v>
      </c>
      <c r="CZ404" s="424">
        <f t="shared" si="182"/>
        <v>0.23</v>
      </c>
      <c r="DA404" s="424">
        <f t="shared" si="182"/>
        <v>0</v>
      </c>
      <c r="DB404" s="424">
        <f t="shared" ref="DB404:EG404" si="183">DB34*DB$372</f>
        <v>0</v>
      </c>
      <c r="DC404" s="424">
        <f t="shared" si="183"/>
        <v>0.02</v>
      </c>
      <c r="DD404" s="424">
        <f t="shared" si="183"/>
        <v>0</v>
      </c>
      <c r="DE404" s="424">
        <f t="shared" si="183"/>
        <v>0</v>
      </c>
      <c r="DF404" s="424">
        <f t="shared" si="183"/>
        <v>0</v>
      </c>
      <c r="DG404" s="424">
        <f t="shared" si="183"/>
        <v>0</v>
      </c>
      <c r="DH404" s="424">
        <f t="shared" si="183"/>
        <v>0</v>
      </c>
      <c r="DI404" s="424">
        <f t="shared" si="183"/>
        <v>0</v>
      </c>
      <c r="DJ404" s="424">
        <f t="shared" si="183"/>
        <v>0</v>
      </c>
      <c r="DK404" s="424">
        <f t="shared" si="183"/>
        <v>0</v>
      </c>
      <c r="DL404" s="424">
        <f t="shared" si="183"/>
        <v>0</v>
      </c>
      <c r="DM404" s="424">
        <f t="shared" si="183"/>
        <v>0</v>
      </c>
      <c r="DN404" s="424">
        <f t="shared" si="183"/>
        <v>0</v>
      </c>
      <c r="DO404" s="424">
        <f t="shared" si="183"/>
        <v>0</v>
      </c>
      <c r="DP404" s="424">
        <f t="shared" si="183"/>
        <v>0</v>
      </c>
      <c r="DQ404" s="424">
        <f t="shared" si="183"/>
        <v>0</v>
      </c>
      <c r="DR404" s="424">
        <f t="shared" si="183"/>
        <v>0</v>
      </c>
      <c r="DS404" s="424">
        <f t="shared" si="183"/>
        <v>0</v>
      </c>
      <c r="DT404" s="424">
        <f t="shared" si="183"/>
        <v>0</v>
      </c>
      <c r="DU404" s="424">
        <f t="shared" si="183"/>
        <v>0</v>
      </c>
      <c r="DV404" s="424">
        <f t="shared" si="183"/>
        <v>0</v>
      </c>
      <c r="DW404" s="424">
        <f t="shared" si="183"/>
        <v>0</v>
      </c>
      <c r="DX404" s="424">
        <f t="shared" si="183"/>
        <v>0</v>
      </c>
      <c r="DY404" s="424">
        <f t="shared" si="183"/>
        <v>0</v>
      </c>
      <c r="DZ404" s="424">
        <f t="shared" si="183"/>
        <v>0</v>
      </c>
      <c r="EA404" s="424">
        <f t="shared" si="183"/>
        <v>0</v>
      </c>
      <c r="EB404" s="424">
        <f t="shared" si="183"/>
        <v>0</v>
      </c>
      <c r="EC404" s="424">
        <f t="shared" si="183"/>
        <v>0</v>
      </c>
      <c r="ED404" s="424">
        <f t="shared" si="183"/>
        <v>0</v>
      </c>
      <c r="EE404" s="424">
        <f t="shared" si="183"/>
        <v>0</v>
      </c>
      <c r="EF404" s="424">
        <f t="shared" si="183"/>
        <v>0</v>
      </c>
      <c r="EG404" s="424">
        <f t="shared" si="183"/>
        <v>0</v>
      </c>
      <c r="EH404" s="424">
        <f t="shared" ref="EH404:EX404" si="184">EH34*EH$372</f>
        <v>0</v>
      </c>
      <c r="EI404" s="424">
        <f t="shared" si="184"/>
        <v>0</v>
      </c>
      <c r="EJ404" s="424">
        <f t="shared" si="184"/>
        <v>0</v>
      </c>
      <c r="EK404" s="424">
        <f t="shared" si="184"/>
        <v>0</v>
      </c>
      <c r="EL404" s="424">
        <f t="shared" si="184"/>
        <v>0</v>
      </c>
      <c r="EM404" s="424">
        <f t="shared" si="184"/>
        <v>0</v>
      </c>
      <c r="EN404" s="424">
        <f t="shared" si="184"/>
        <v>0</v>
      </c>
      <c r="EO404" s="424">
        <f t="shared" si="184"/>
        <v>0</v>
      </c>
      <c r="EP404" s="424">
        <f t="shared" si="184"/>
        <v>0</v>
      </c>
      <c r="EQ404" s="424">
        <f t="shared" si="184"/>
        <v>0</v>
      </c>
      <c r="ER404" s="424">
        <f t="shared" si="184"/>
        <v>0</v>
      </c>
      <c r="ES404" s="424">
        <f t="shared" si="184"/>
        <v>0</v>
      </c>
      <c r="ET404" s="424">
        <f t="shared" si="184"/>
        <v>0</v>
      </c>
      <c r="EU404" s="424">
        <f t="shared" si="184"/>
        <v>0</v>
      </c>
      <c r="EV404" s="424">
        <f t="shared" si="184"/>
        <v>0</v>
      </c>
      <c r="EW404" s="424">
        <f t="shared" si="184"/>
        <v>0</v>
      </c>
      <c r="EX404" s="424">
        <f t="shared" si="184"/>
        <v>0</v>
      </c>
      <c r="EY404" s="425">
        <f t="shared" si="49"/>
        <v>5.05</v>
      </c>
    </row>
    <row r="405" spans="1:166" s="564" customFormat="1" ht="14.7" customHeight="1" x14ac:dyDescent="0.25">
      <c r="A405" s="310">
        <v>31</v>
      </c>
      <c r="B405" s="311" t="str">
        <f t="shared" si="30"/>
        <v>Салат из белокачанной капусты с морковью (молодой)</v>
      </c>
      <c r="C405" s="483">
        <f t="shared" si="38"/>
        <v>2.72</v>
      </c>
      <c r="D405" s="888"/>
      <c r="E405" s="888"/>
      <c r="F405" s="888"/>
      <c r="G405" s="889"/>
      <c r="H405" s="680">
        <f t="shared" si="31"/>
        <v>45</v>
      </c>
      <c r="I405" s="1209">
        <f t="shared" si="32"/>
        <v>0</v>
      </c>
      <c r="J405" s="424">
        <f t="shared" ref="J405:AO405" si="185">J35*J$372</f>
        <v>0</v>
      </c>
      <c r="K405" s="424">
        <f t="shared" si="185"/>
        <v>0</v>
      </c>
      <c r="L405" s="424">
        <f t="shared" si="185"/>
        <v>0</v>
      </c>
      <c r="M405" s="424">
        <f t="shared" si="185"/>
        <v>0</v>
      </c>
      <c r="N405" s="424">
        <f t="shared" si="185"/>
        <v>0</v>
      </c>
      <c r="O405" s="424">
        <f t="shared" si="185"/>
        <v>0</v>
      </c>
      <c r="P405" s="424">
        <f t="shared" si="185"/>
        <v>0</v>
      </c>
      <c r="Q405" s="424">
        <f t="shared" si="185"/>
        <v>0</v>
      </c>
      <c r="R405" s="424">
        <f t="shared" si="185"/>
        <v>0</v>
      </c>
      <c r="S405" s="424">
        <f t="shared" si="185"/>
        <v>0</v>
      </c>
      <c r="T405" s="424">
        <f t="shared" si="185"/>
        <v>0</v>
      </c>
      <c r="U405" s="424">
        <f t="shared" si="185"/>
        <v>0</v>
      </c>
      <c r="V405" s="424">
        <f t="shared" si="185"/>
        <v>0</v>
      </c>
      <c r="W405" s="424">
        <f t="shared" si="185"/>
        <v>0</v>
      </c>
      <c r="X405" s="424">
        <f t="shared" si="185"/>
        <v>0</v>
      </c>
      <c r="Y405" s="424">
        <f t="shared" si="185"/>
        <v>0</v>
      </c>
      <c r="Z405" s="424">
        <f t="shared" si="185"/>
        <v>0</v>
      </c>
      <c r="AA405" s="424">
        <f t="shared" si="185"/>
        <v>0</v>
      </c>
      <c r="AB405" s="424">
        <f t="shared" si="185"/>
        <v>0</v>
      </c>
      <c r="AC405" s="424">
        <f t="shared" si="185"/>
        <v>0</v>
      </c>
      <c r="AD405" s="424">
        <f t="shared" si="185"/>
        <v>0</v>
      </c>
      <c r="AE405" s="424">
        <f t="shared" si="185"/>
        <v>0</v>
      </c>
      <c r="AF405" s="424">
        <f t="shared" si="185"/>
        <v>0</v>
      </c>
      <c r="AG405" s="424">
        <f t="shared" si="185"/>
        <v>1.18</v>
      </c>
      <c r="AH405" s="424">
        <f t="shared" si="185"/>
        <v>0</v>
      </c>
      <c r="AI405" s="424">
        <f t="shared" si="185"/>
        <v>0</v>
      </c>
      <c r="AJ405" s="424">
        <f t="shared" si="185"/>
        <v>0</v>
      </c>
      <c r="AK405" s="424">
        <f t="shared" si="185"/>
        <v>0</v>
      </c>
      <c r="AL405" s="424">
        <f t="shared" si="185"/>
        <v>0</v>
      </c>
      <c r="AM405" s="424">
        <f t="shared" si="185"/>
        <v>0</v>
      </c>
      <c r="AN405" s="424">
        <f t="shared" si="185"/>
        <v>0</v>
      </c>
      <c r="AO405" s="424">
        <f t="shared" si="185"/>
        <v>0</v>
      </c>
      <c r="AP405" s="424">
        <f t="shared" ref="AP405:BU405" si="186">AP35*AP$372</f>
        <v>0</v>
      </c>
      <c r="AQ405" s="424">
        <f t="shared" si="186"/>
        <v>0</v>
      </c>
      <c r="AR405" s="424">
        <f t="shared" si="186"/>
        <v>0.88</v>
      </c>
      <c r="AS405" s="424">
        <f t="shared" si="186"/>
        <v>0</v>
      </c>
      <c r="AT405" s="424">
        <f t="shared" si="186"/>
        <v>0</v>
      </c>
      <c r="AU405" s="424">
        <f t="shared" si="186"/>
        <v>0</v>
      </c>
      <c r="AV405" s="424">
        <f t="shared" si="186"/>
        <v>0</v>
      </c>
      <c r="AW405" s="424">
        <f t="shared" si="186"/>
        <v>0</v>
      </c>
      <c r="AX405" s="424">
        <f t="shared" si="186"/>
        <v>0</v>
      </c>
      <c r="AY405" s="424">
        <f t="shared" si="186"/>
        <v>0</v>
      </c>
      <c r="AZ405" s="424">
        <f t="shared" si="186"/>
        <v>0</v>
      </c>
      <c r="BA405" s="424">
        <f t="shared" si="186"/>
        <v>0</v>
      </c>
      <c r="BB405" s="424">
        <f t="shared" si="186"/>
        <v>0</v>
      </c>
      <c r="BC405" s="424">
        <f t="shared" si="186"/>
        <v>0</v>
      </c>
      <c r="BD405" s="424">
        <f t="shared" si="186"/>
        <v>0</v>
      </c>
      <c r="BE405" s="424">
        <f t="shared" si="186"/>
        <v>0</v>
      </c>
      <c r="BF405" s="424">
        <f t="shared" si="186"/>
        <v>0</v>
      </c>
      <c r="BG405" s="424">
        <f t="shared" si="186"/>
        <v>0</v>
      </c>
      <c r="BH405" s="424">
        <f t="shared" si="186"/>
        <v>0</v>
      </c>
      <c r="BI405" s="424">
        <f t="shared" si="186"/>
        <v>0</v>
      </c>
      <c r="BJ405" s="424">
        <f t="shared" si="186"/>
        <v>0</v>
      </c>
      <c r="BK405" s="424">
        <f t="shared" si="186"/>
        <v>0</v>
      </c>
      <c r="BL405" s="424">
        <f t="shared" si="186"/>
        <v>0</v>
      </c>
      <c r="BM405" s="424">
        <f t="shared" si="186"/>
        <v>0</v>
      </c>
      <c r="BN405" s="424">
        <f t="shared" si="186"/>
        <v>0</v>
      </c>
      <c r="BO405" s="424">
        <f t="shared" si="186"/>
        <v>0</v>
      </c>
      <c r="BP405" s="424">
        <f t="shared" si="186"/>
        <v>0</v>
      </c>
      <c r="BQ405" s="424">
        <f t="shared" si="186"/>
        <v>0</v>
      </c>
      <c r="BR405" s="424">
        <f t="shared" si="186"/>
        <v>0</v>
      </c>
      <c r="BS405" s="424">
        <f t="shared" si="186"/>
        <v>0</v>
      </c>
      <c r="BT405" s="424">
        <f t="shared" si="186"/>
        <v>0</v>
      </c>
      <c r="BU405" s="424">
        <f t="shared" si="186"/>
        <v>0</v>
      </c>
      <c r="BV405" s="424">
        <f t="shared" ref="BV405:DA405" si="187">BV35*BV$372</f>
        <v>0</v>
      </c>
      <c r="BW405" s="424">
        <f t="shared" si="187"/>
        <v>0</v>
      </c>
      <c r="BX405" s="424">
        <f t="shared" si="187"/>
        <v>0</v>
      </c>
      <c r="BY405" s="424">
        <f t="shared" si="187"/>
        <v>0</v>
      </c>
      <c r="BZ405" s="424">
        <f t="shared" si="187"/>
        <v>0</v>
      </c>
      <c r="CA405" s="424">
        <f t="shared" si="187"/>
        <v>0</v>
      </c>
      <c r="CB405" s="424">
        <f t="shared" si="187"/>
        <v>0</v>
      </c>
      <c r="CC405" s="424">
        <f t="shared" si="187"/>
        <v>0</v>
      </c>
      <c r="CD405" s="424">
        <f t="shared" si="187"/>
        <v>0</v>
      </c>
      <c r="CE405" s="424">
        <f t="shared" si="187"/>
        <v>0</v>
      </c>
      <c r="CF405" s="424">
        <f t="shared" si="187"/>
        <v>0.36</v>
      </c>
      <c r="CG405" s="424">
        <f t="shared" si="187"/>
        <v>0</v>
      </c>
      <c r="CH405" s="424">
        <f t="shared" si="187"/>
        <v>0</v>
      </c>
      <c r="CI405" s="424">
        <f t="shared" si="187"/>
        <v>0</v>
      </c>
      <c r="CJ405" s="424">
        <f t="shared" si="187"/>
        <v>0</v>
      </c>
      <c r="CK405" s="424">
        <f t="shared" si="187"/>
        <v>0</v>
      </c>
      <c r="CL405" s="424">
        <f t="shared" si="187"/>
        <v>0</v>
      </c>
      <c r="CM405" s="424">
        <f t="shared" si="187"/>
        <v>0</v>
      </c>
      <c r="CN405" s="424">
        <f t="shared" si="187"/>
        <v>0</v>
      </c>
      <c r="CO405" s="424">
        <f t="shared" si="187"/>
        <v>0</v>
      </c>
      <c r="CP405" s="424">
        <f t="shared" si="187"/>
        <v>0</v>
      </c>
      <c r="CQ405" s="424">
        <f t="shared" si="187"/>
        <v>0.05</v>
      </c>
      <c r="CR405" s="424">
        <f t="shared" si="187"/>
        <v>0</v>
      </c>
      <c r="CS405" s="424">
        <f t="shared" si="187"/>
        <v>0</v>
      </c>
      <c r="CT405" s="424">
        <f t="shared" si="187"/>
        <v>0</v>
      </c>
      <c r="CU405" s="424">
        <f t="shared" si="187"/>
        <v>0</v>
      </c>
      <c r="CV405" s="424">
        <f t="shared" si="187"/>
        <v>0</v>
      </c>
      <c r="CW405" s="424">
        <f t="shared" si="187"/>
        <v>0</v>
      </c>
      <c r="CX405" s="424">
        <f t="shared" si="187"/>
        <v>0</v>
      </c>
      <c r="CY405" s="424">
        <f t="shared" si="187"/>
        <v>0</v>
      </c>
      <c r="CZ405" s="424">
        <f t="shared" si="187"/>
        <v>0.23</v>
      </c>
      <c r="DA405" s="424">
        <f t="shared" si="187"/>
        <v>0</v>
      </c>
      <c r="DB405" s="424">
        <f t="shared" ref="DB405:EG405" si="188">DB35*DB$372</f>
        <v>0</v>
      </c>
      <c r="DC405" s="424">
        <f t="shared" si="188"/>
        <v>0.02</v>
      </c>
      <c r="DD405" s="424">
        <f t="shared" si="188"/>
        <v>0</v>
      </c>
      <c r="DE405" s="424">
        <f t="shared" si="188"/>
        <v>0</v>
      </c>
      <c r="DF405" s="424">
        <f t="shared" si="188"/>
        <v>0</v>
      </c>
      <c r="DG405" s="424">
        <f t="shared" si="188"/>
        <v>0</v>
      </c>
      <c r="DH405" s="424">
        <f t="shared" si="188"/>
        <v>0</v>
      </c>
      <c r="DI405" s="424">
        <f t="shared" si="188"/>
        <v>0</v>
      </c>
      <c r="DJ405" s="424">
        <f t="shared" si="188"/>
        <v>0</v>
      </c>
      <c r="DK405" s="424">
        <f t="shared" si="188"/>
        <v>0</v>
      </c>
      <c r="DL405" s="424">
        <f t="shared" si="188"/>
        <v>0</v>
      </c>
      <c r="DM405" s="424">
        <f t="shared" si="188"/>
        <v>0</v>
      </c>
      <c r="DN405" s="424">
        <f t="shared" si="188"/>
        <v>0</v>
      </c>
      <c r="DO405" s="424">
        <f t="shared" si="188"/>
        <v>0</v>
      </c>
      <c r="DP405" s="424">
        <f t="shared" si="188"/>
        <v>0</v>
      </c>
      <c r="DQ405" s="424">
        <f t="shared" si="188"/>
        <v>0</v>
      </c>
      <c r="DR405" s="424">
        <f t="shared" si="188"/>
        <v>0</v>
      </c>
      <c r="DS405" s="424">
        <f t="shared" si="188"/>
        <v>0</v>
      </c>
      <c r="DT405" s="424">
        <f t="shared" si="188"/>
        <v>0</v>
      </c>
      <c r="DU405" s="424">
        <f t="shared" si="188"/>
        <v>0</v>
      </c>
      <c r="DV405" s="424">
        <f t="shared" si="188"/>
        <v>0</v>
      </c>
      <c r="DW405" s="424">
        <f t="shared" si="188"/>
        <v>0</v>
      </c>
      <c r="DX405" s="424">
        <f t="shared" si="188"/>
        <v>0</v>
      </c>
      <c r="DY405" s="424">
        <f t="shared" si="188"/>
        <v>0</v>
      </c>
      <c r="DZ405" s="424">
        <f t="shared" si="188"/>
        <v>0</v>
      </c>
      <c r="EA405" s="424">
        <f t="shared" si="188"/>
        <v>0</v>
      </c>
      <c r="EB405" s="424">
        <f t="shared" si="188"/>
        <v>0</v>
      </c>
      <c r="EC405" s="424">
        <f t="shared" si="188"/>
        <v>0</v>
      </c>
      <c r="ED405" s="424">
        <f t="shared" si="188"/>
        <v>0</v>
      </c>
      <c r="EE405" s="424">
        <f t="shared" si="188"/>
        <v>0</v>
      </c>
      <c r="EF405" s="424">
        <f t="shared" si="188"/>
        <v>0</v>
      </c>
      <c r="EG405" s="424">
        <f t="shared" si="188"/>
        <v>0</v>
      </c>
      <c r="EH405" s="424">
        <f t="shared" ref="EH405:EX405" si="189">EH35*EH$372</f>
        <v>0</v>
      </c>
      <c r="EI405" s="424">
        <f t="shared" si="189"/>
        <v>0</v>
      </c>
      <c r="EJ405" s="424">
        <f t="shared" si="189"/>
        <v>0</v>
      </c>
      <c r="EK405" s="424">
        <f t="shared" si="189"/>
        <v>0</v>
      </c>
      <c r="EL405" s="424">
        <f t="shared" si="189"/>
        <v>0</v>
      </c>
      <c r="EM405" s="424">
        <f t="shared" si="189"/>
        <v>0</v>
      </c>
      <c r="EN405" s="424">
        <f t="shared" si="189"/>
        <v>0</v>
      </c>
      <c r="EO405" s="424">
        <f t="shared" si="189"/>
        <v>0</v>
      </c>
      <c r="EP405" s="424">
        <f t="shared" si="189"/>
        <v>0</v>
      </c>
      <c r="EQ405" s="424">
        <f t="shared" si="189"/>
        <v>0</v>
      </c>
      <c r="ER405" s="424">
        <f t="shared" si="189"/>
        <v>0</v>
      </c>
      <c r="ES405" s="424">
        <f t="shared" si="189"/>
        <v>0</v>
      </c>
      <c r="ET405" s="424">
        <f t="shared" si="189"/>
        <v>0</v>
      </c>
      <c r="EU405" s="424">
        <f t="shared" si="189"/>
        <v>0</v>
      </c>
      <c r="EV405" s="424">
        <f t="shared" si="189"/>
        <v>0</v>
      </c>
      <c r="EW405" s="424">
        <f t="shared" si="189"/>
        <v>0</v>
      </c>
      <c r="EX405" s="424">
        <f t="shared" si="189"/>
        <v>0</v>
      </c>
      <c r="EY405" s="425">
        <f t="shared" si="49"/>
        <v>2.72</v>
      </c>
      <c r="EZ405" s="616"/>
      <c r="FA405" s="616"/>
      <c r="FB405" s="616"/>
      <c r="FC405" s="616"/>
      <c r="FD405" s="616"/>
      <c r="FE405" s="616"/>
      <c r="FF405" s="616"/>
      <c r="FG405" s="616"/>
      <c r="FH405" s="616"/>
      <c r="FI405" s="616"/>
      <c r="FJ405" s="616"/>
    </row>
    <row r="406" spans="1:166" ht="14.7" customHeight="1" x14ac:dyDescent="0.25">
      <c r="A406" s="310">
        <v>32</v>
      </c>
      <c r="B406" s="311" t="str">
        <f t="shared" si="30"/>
        <v>Салат витаминный ( 1 вариант)</v>
      </c>
      <c r="C406" s="483">
        <f t="shared" si="38"/>
        <v>6.35</v>
      </c>
      <c r="D406" s="888"/>
      <c r="E406" s="888"/>
      <c r="F406" s="888"/>
      <c r="G406" s="889"/>
      <c r="H406" s="680">
        <f t="shared" si="31"/>
        <v>48</v>
      </c>
      <c r="I406" s="1209">
        <f t="shared" si="32"/>
        <v>0</v>
      </c>
      <c r="J406" s="424">
        <f t="shared" ref="J406:AO406" si="190">J36*J$372</f>
        <v>0</v>
      </c>
      <c r="K406" s="424">
        <f t="shared" si="190"/>
        <v>0</v>
      </c>
      <c r="L406" s="424">
        <f t="shared" si="190"/>
        <v>0</v>
      </c>
      <c r="M406" s="424">
        <f t="shared" si="190"/>
        <v>0</v>
      </c>
      <c r="N406" s="424">
        <f t="shared" si="190"/>
        <v>0</v>
      </c>
      <c r="O406" s="424">
        <f t="shared" si="190"/>
        <v>0</v>
      </c>
      <c r="P406" s="424">
        <f t="shared" si="190"/>
        <v>0</v>
      </c>
      <c r="Q406" s="424">
        <f t="shared" si="190"/>
        <v>0</v>
      </c>
      <c r="R406" s="424">
        <f t="shared" si="190"/>
        <v>0</v>
      </c>
      <c r="S406" s="424">
        <f t="shared" si="190"/>
        <v>0</v>
      </c>
      <c r="T406" s="424">
        <f t="shared" si="190"/>
        <v>0</v>
      </c>
      <c r="U406" s="424">
        <f t="shared" si="190"/>
        <v>0</v>
      </c>
      <c r="V406" s="424">
        <f t="shared" si="190"/>
        <v>0</v>
      </c>
      <c r="W406" s="424">
        <f t="shared" si="190"/>
        <v>0</v>
      </c>
      <c r="X406" s="424">
        <f t="shared" si="190"/>
        <v>0</v>
      </c>
      <c r="Y406" s="424">
        <f t="shared" si="190"/>
        <v>0</v>
      </c>
      <c r="Z406" s="424">
        <f t="shared" si="190"/>
        <v>0</v>
      </c>
      <c r="AA406" s="424">
        <f t="shared" si="190"/>
        <v>0</v>
      </c>
      <c r="AB406" s="424">
        <f t="shared" si="190"/>
        <v>0</v>
      </c>
      <c r="AC406" s="424">
        <f t="shared" si="190"/>
        <v>0</v>
      </c>
      <c r="AD406" s="424">
        <f t="shared" si="190"/>
        <v>0</v>
      </c>
      <c r="AE406" s="424">
        <f t="shared" si="190"/>
        <v>0</v>
      </c>
      <c r="AF406" s="424">
        <f t="shared" si="190"/>
        <v>0</v>
      </c>
      <c r="AG406" s="424">
        <f t="shared" si="190"/>
        <v>0</v>
      </c>
      <c r="AH406" s="424">
        <f t="shared" si="190"/>
        <v>0</v>
      </c>
      <c r="AI406" s="424">
        <f t="shared" si="190"/>
        <v>0</v>
      </c>
      <c r="AJ406" s="424">
        <f t="shared" si="190"/>
        <v>0.26</v>
      </c>
      <c r="AK406" s="424">
        <f t="shared" si="190"/>
        <v>0</v>
      </c>
      <c r="AL406" s="424">
        <f t="shared" si="190"/>
        <v>0</v>
      </c>
      <c r="AM406" s="424">
        <f t="shared" si="190"/>
        <v>0</v>
      </c>
      <c r="AN406" s="424">
        <f t="shared" si="190"/>
        <v>1.87</v>
      </c>
      <c r="AO406" s="424">
        <f t="shared" si="190"/>
        <v>1.1200000000000001</v>
      </c>
      <c r="AP406" s="424">
        <f t="shared" ref="AP406:BU406" si="191">AP36*AP$372</f>
        <v>0</v>
      </c>
      <c r="AQ406" s="424">
        <f t="shared" si="191"/>
        <v>0.75</v>
      </c>
      <c r="AR406" s="424">
        <f t="shared" si="191"/>
        <v>0</v>
      </c>
      <c r="AS406" s="424">
        <f t="shared" si="191"/>
        <v>0</v>
      </c>
      <c r="AT406" s="424">
        <f t="shared" si="191"/>
        <v>0</v>
      </c>
      <c r="AU406" s="424">
        <f t="shared" si="191"/>
        <v>0</v>
      </c>
      <c r="AV406" s="424">
        <f t="shared" si="191"/>
        <v>0</v>
      </c>
      <c r="AW406" s="424">
        <f t="shared" si="191"/>
        <v>0</v>
      </c>
      <c r="AX406" s="424">
        <f t="shared" si="191"/>
        <v>0</v>
      </c>
      <c r="AY406" s="424">
        <f t="shared" si="191"/>
        <v>0</v>
      </c>
      <c r="AZ406" s="424">
        <f t="shared" si="191"/>
        <v>0</v>
      </c>
      <c r="BA406" s="424">
        <f t="shared" si="191"/>
        <v>0</v>
      </c>
      <c r="BB406" s="424">
        <f t="shared" si="191"/>
        <v>0</v>
      </c>
      <c r="BC406" s="424">
        <f t="shared" si="191"/>
        <v>0</v>
      </c>
      <c r="BD406" s="424">
        <f t="shared" si="191"/>
        <v>0</v>
      </c>
      <c r="BE406" s="424">
        <f t="shared" si="191"/>
        <v>0</v>
      </c>
      <c r="BF406" s="424">
        <f t="shared" si="191"/>
        <v>0</v>
      </c>
      <c r="BG406" s="424">
        <f t="shared" si="191"/>
        <v>0</v>
      </c>
      <c r="BH406" s="424">
        <f t="shared" si="191"/>
        <v>0</v>
      </c>
      <c r="BI406" s="424">
        <f t="shared" si="191"/>
        <v>0</v>
      </c>
      <c r="BJ406" s="424">
        <f t="shared" si="191"/>
        <v>0</v>
      </c>
      <c r="BK406" s="424">
        <f t="shared" si="191"/>
        <v>0</v>
      </c>
      <c r="BL406" s="424">
        <f t="shared" si="191"/>
        <v>0</v>
      </c>
      <c r="BM406" s="424">
        <f t="shared" si="191"/>
        <v>0</v>
      </c>
      <c r="BN406" s="424">
        <f t="shared" si="191"/>
        <v>0</v>
      </c>
      <c r="BO406" s="424">
        <f t="shared" si="191"/>
        <v>0</v>
      </c>
      <c r="BP406" s="424">
        <f t="shared" si="191"/>
        <v>0</v>
      </c>
      <c r="BQ406" s="424">
        <f t="shared" si="191"/>
        <v>0</v>
      </c>
      <c r="BR406" s="424">
        <f t="shared" si="191"/>
        <v>1.87</v>
      </c>
      <c r="BS406" s="424">
        <f t="shared" si="191"/>
        <v>0</v>
      </c>
      <c r="BT406" s="424">
        <f t="shared" si="191"/>
        <v>0</v>
      </c>
      <c r="BU406" s="424">
        <f t="shared" si="191"/>
        <v>0</v>
      </c>
      <c r="BV406" s="424">
        <f t="shared" ref="BV406:DA406" si="192">BV36*BV$372</f>
        <v>0</v>
      </c>
      <c r="BW406" s="424">
        <f t="shared" si="192"/>
        <v>0</v>
      </c>
      <c r="BX406" s="424">
        <f t="shared" si="192"/>
        <v>0</v>
      </c>
      <c r="BY406" s="424">
        <f t="shared" si="192"/>
        <v>0</v>
      </c>
      <c r="BZ406" s="424">
        <f t="shared" si="192"/>
        <v>0</v>
      </c>
      <c r="CA406" s="424">
        <f t="shared" si="192"/>
        <v>0</v>
      </c>
      <c r="CB406" s="424">
        <f t="shared" si="192"/>
        <v>0</v>
      </c>
      <c r="CC406" s="424">
        <f t="shared" si="192"/>
        <v>0</v>
      </c>
      <c r="CD406" s="424">
        <f t="shared" si="192"/>
        <v>0</v>
      </c>
      <c r="CE406" s="424">
        <f t="shared" si="192"/>
        <v>0</v>
      </c>
      <c r="CF406" s="424">
        <f t="shared" si="192"/>
        <v>0.43</v>
      </c>
      <c r="CG406" s="424">
        <f t="shared" si="192"/>
        <v>0</v>
      </c>
      <c r="CH406" s="424">
        <f t="shared" si="192"/>
        <v>0</v>
      </c>
      <c r="CI406" s="424">
        <f t="shared" si="192"/>
        <v>0</v>
      </c>
      <c r="CJ406" s="424">
        <f t="shared" si="192"/>
        <v>0</v>
      </c>
      <c r="CK406" s="424">
        <f t="shared" si="192"/>
        <v>0</v>
      </c>
      <c r="CL406" s="424">
        <f t="shared" si="192"/>
        <v>0</v>
      </c>
      <c r="CM406" s="424">
        <f t="shared" si="192"/>
        <v>0</v>
      </c>
      <c r="CN406" s="424">
        <f t="shared" si="192"/>
        <v>0</v>
      </c>
      <c r="CO406" s="424">
        <f t="shared" si="192"/>
        <v>0</v>
      </c>
      <c r="CP406" s="424">
        <f t="shared" si="192"/>
        <v>0</v>
      </c>
      <c r="CQ406" s="424">
        <f t="shared" si="192"/>
        <v>0</v>
      </c>
      <c r="CR406" s="424">
        <f t="shared" si="192"/>
        <v>0</v>
      </c>
      <c r="CS406" s="424">
        <f t="shared" si="192"/>
        <v>0</v>
      </c>
      <c r="CT406" s="424">
        <f t="shared" si="192"/>
        <v>0</v>
      </c>
      <c r="CU406" s="424">
        <f t="shared" si="192"/>
        <v>0</v>
      </c>
      <c r="CV406" s="424">
        <f t="shared" si="192"/>
        <v>0</v>
      </c>
      <c r="CW406" s="424">
        <f t="shared" si="192"/>
        <v>0</v>
      </c>
      <c r="CX406" s="424">
        <f t="shared" si="192"/>
        <v>0</v>
      </c>
      <c r="CY406" s="424">
        <f t="shared" si="192"/>
        <v>0</v>
      </c>
      <c r="CZ406" s="424">
        <f t="shared" si="192"/>
        <v>0</v>
      </c>
      <c r="DA406" s="424">
        <f t="shared" si="192"/>
        <v>0</v>
      </c>
      <c r="DB406" s="424">
        <f t="shared" ref="DB406:EG406" si="193">DB36*DB$372</f>
        <v>0</v>
      </c>
      <c r="DC406" s="424">
        <f t="shared" si="193"/>
        <v>0.05</v>
      </c>
      <c r="DD406" s="424">
        <f t="shared" si="193"/>
        <v>0</v>
      </c>
      <c r="DE406" s="424">
        <f t="shared" si="193"/>
        <v>0</v>
      </c>
      <c r="DF406" s="424">
        <f t="shared" si="193"/>
        <v>0</v>
      </c>
      <c r="DG406" s="424">
        <f t="shared" si="193"/>
        <v>0</v>
      </c>
      <c r="DH406" s="424">
        <f t="shared" si="193"/>
        <v>0</v>
      </c>
      <c r="DI406" s="424">
        <f t="shared" si="193"/>
        <v>0</v>
      </c>
      <c r="DJ406" s="424">
        <f t="shared" si="193"/>
        <v>0</v>
      </c>
      <c r="DK406" s="424">
        <f t="shared" si="193"/>
        <v>0</v>
      </c>
      <c r="DL406" s="424">
        <f t="shared" si="193"/>
        <v>0</v>
      </c>
      <c r="DM406" s="424">
        <f t="shared" si="193"/>
        <v>0</v>
      </c>
      <c r="DN406" s="424">
        <f t="shared" si="193"/>
        <v>0</v>
      </c>
      <c r="DO406" s="424">
        <f t="shared" si="193"/>
        <v>0</v>
      </c>
      <c r="DP406" s="424">
        <f t="shared" si="193"/>
        <v>0</v>
      </c>
      <c r="DQ406" s="424">
        <f t="shared" si="193"/>
        <v>0</v>
      </c>
      <c r="DR406" s="424">
        <f t="shared" si="193"/>
        <v>0</v>
      </c>
      <c r="DS406" s="424">
        <f t="shared" si="193"/>
        <v>0</v>
      </c>
      <c r="DT406" s="424">
        <f t="shared" si="193"/>
        <v>0</v>
      </c>
      <c r="DU406" s="424">
        <f t="shared" si="193"/>
        <v>0</v>
      </c>
      <c r="DV406" s="424">
        <f t="shared" si="193"/>
        <v>0</v>
      </c>
      <c r="DW406" s="424">
        <f t="shared" si="193"/>
        <v>0</v>
      </c>
      <c r="DX406" s="424">
        <f t="shared" si="193"/>
        <v>0</v>
      </c>
      <c r="DY406" s="424">
        <f t="shared" si="193"/>
        <v>0</v>
      </c>
      <c r="DZ406" s="424">
        <f t="shared" si="193"/>
        <v>0</v>
      </c>
      <c r="EA406" s="424">
        <f t="shared" si="193"/>
        <v>0</v>
      </c>
      <c r="EB406" s="424">
        <f t="shared" si="193"/>
        <v>0</v>
      </c>
      <c r="EC406" s="424">
        <f t="shared" si="193"/>
        <v>0</v>
      </c>
      <c r="ED406" s="424">
        <f t="shared" si="193"/>
        <v>0</v>
      </c>
      <c r="EE406" s="424">
        <f t="shared" si="193"/>
        <v>0</v>
      </c>
      <c r="EF406" s="424">
        <f t="shared" si="193"/>
        <v>0</v>
      </c>
      <c r="EG406" s="424">
        <f t="shared" si="193"/>
        <v>0</v>
      </c>
      <c r="EH406" s="424">
        <f t="shared" ref="EH406:EX406" si="194">EH36*EH$372</f>
        <v>0</v>
      </c>
      <c r="EI406" s="424">
        <f t="shared" si="194"/>
        <v>0</v>
      </c>
      <c r="EJ406" s="424">
        <f t="shared" si="194"/>
        <v>0</v>
      </c>
      <c r="EK406" s="424">
        <f t="shared" si="194"/>
        <v>0</v>
      </c>
      <c r="EL406" s="424">
        <f t="shared" si="194"/>
        <v>0</v>
      </c>
      <c r="EM406" s="424">
        <f t="shared" si="194"/>
        <v>0</v>
      </c>
      <c r="EN406" s="424">
        <f t="shared" si="194"/>
        <v>0</v>
      </c>
      <c r="EO406" s="424">
        <f t="shared" si="194"/>
        <v>0</v>
      </c>
      <c r="EP406" s="424">
        <f t="shared" si="194"/>
        <v>0</v>
      </c>
      <c r="EQ406" s="424">
        <f t="shared" si="194"/>
        <v>0</v>
      </c>
      <c r="ER406" s="424">
        <f t="shared" si="194"/>
        <v>0</v>
      </c>
      <c r="ES406" s="424">
        <f t="shared" si="194"/>
        <v>0</v>
      </c>
      <c r="ET406" s="424">
        <f t="shared" si="194"/>
        <v>0</v>
      </c>
      <c r="EU406" s="424">
        <f t="shared" si="194"/>
        <v>0</v>
      </c>
      <c r="EV406" s="424">
        <f t="shared" si="194"/>
        <v>0</v>
      </c>
      <c r="EW406" s="424">
        <f t="shared" si="194"/>
        <v>0</v>
      </c>
      <c r="EX406" s="424">
        <f t="shared" si="194"/>
        <v>0</v>
      </c>
      <c r="EY406" s="425">
        <f t="shared" si="49"/>
        <v>6.35</v>
      </c>
    </row>
    <row r="407" spans="1:166" ht="14.7" customHeight="1" x14ac:dyDescent="0.25">
      <c r="A407" s="310">
        <v>33</v>
      </c>
      <c r="B407" s="311" t="str">
        <f t="shared" si="30"/>
        <v>Салат из свеклы отварной</v>
      </c>
      <c r="C407" s="483">
        <f t="shared" si="38"/>
        <v>2.66</v>
      </c>
      <c r="D407" s="888"/>
      <c r="E407" s="888"/>
      <c r="F407" s="888"/>
      <c r="G407" s="889"/>
      <c r="H407" s="680">
        <f t="shared" si="31"/>
        <v>52</v>
      </c>
      <c r="I407" s="1209">
        <f t="shared" si="32"/>
        <v>0</v>
      </c>
      <c r="J407" s="424">
        <f t="shared" ref="J407:AO407" si="195">J37*J$372</f>
        <v>0</v>
      </c>
      <c r="K407" s="424">
        <f t="shared" si="195"/>
        <v>0</v>
      </c>
      <c r="L407" s="424">
        <f t="shared" si="195"/>
        <v>0</v>
      </c>
      <c r="M407" s="424">
        <f t="shared" si="195"/>
        <v>0</v>
      </c>
      <c r="N407" s="424">
        <f t="shared" si="195"/>
        <v>0</v>
      </c>
      <c r="O407" s="424">
        <f t="shared" si="195"/>
        <v>0</v>
      </c>
      <c r="P407" s="424">
        <f t="shared" si="195"/>
        <v>0</v>
      </c>
      <c r="Q407" s="424">
        <f t="shared" si="195"/>
        <v>0</v>
      </c>
      <c r="R407" s="424">
        <f t="shared" si="195"/>
        <v>0</v>
      </c>
      <c r="S407" s="424">
        <f t="shared" si="195"/>
        <v>0</v>
      </c>
      <c r="T407" s="424">
        <f t="shared" si="195"/>
        <v>0</v>
      </c>
      <c r="U407" s="424">
        <f t="shared" si="195"/>
        <v>0</v>
      </c>
      <c r="V407" s="424">
        <f t="shared" si="195"/>
        <v>0</v>
      </c>
      <c r="W407" s="424">
        <f t="shared" si="195"/>
        <v>0</v>
      </c>
      <c r="X407" s="424">
        <f t="shared" si="195"/>
        <v>0</v>
      </c>
      <c r="Y407" s="424">
        <f t="shared" si="195"/>
        <v>0</v>
      </c>
      <c r="Z407" s="424">
        <f t="shared" si="195"/>
        <v>0</v>
      </c>
      <c r="AA407" s="424">
        <f t="shared" si="195"/>
        <v>0</v>
      </c>
      <c r="AB407" s="424">
        <f t="shared" si="195"/>
        <v>0</v>
      </c>
      <c r="AC407" s="424">
        <f t="shared" si="195"/>
        <v>0</v>
      </c>
      <c r="AD407" s="424">
        <f t="shared" si="195"/>
        <v>0</v>
      </c>
      <c r="AE407" s="424">
        <f t="shared" si="195"/>
        <v>0</v>
      </c>
      <c r="AF407" s="424">
        <f t="shared" si="195"/>
        <v>0</v>
      </c>
      <c r="AG407" s="424">
        <f t="shared" si="195"/>
        <v>0</v>
      </c>
      <c r="AH407" s="424">
        <f t="shared" si="195"/>
        <v>0</v>
      </c>
      <c r="AI407" s="424">
        <f t="shared" si="195"/>
        <v>0</v>
      </c>
      <c r="AJ407" s="424">
        <f t="shared" si="195"/>
        <v>0</v>
      </c>
      <c r="AK407" s="424">
        <f t="shared" si="195"/>
        <v>0</v>
      </c>
      <c r="AL407" s="424">
        <f t="shared" si="195"/>
        <v>0</v>
      </c>
      <c r="AM407" s="424">
        <f t="shared" si="195"/>
        <v>0</v>
      </c>
      <c r="AN407" s="424">
        <f t="shared" si="195"/>
        <v>0</v>
      </c>
      <c r="AO407" s="424">
        <f t="shared" si="195"/>
        <v>0</v>
      </c>
      <c r="AP407" s="424">
        <f t="shared" ref="AP407:BU407" si="196">AP37*AP$372</f>
        <v>0</v>
      </c>
      <c r="AQ407" s="424">
        <f t="shared" si="196"/>
        <v>0</v>
      </c>
      <c r="AR407" s="424">
        <f t="shared" si="196"/>
        <v>0</v>
      </c>
      <c r="AS407" s="424">
        <f t="shared" si="196"/>
        <v>0</v>
      </c>
      <c r="AT407" s="424">
        <f t="shared" si="196"/>
        <v>0</v>
      </c>
      <c r="AU407" s="424">
        <f t="shared" si="196"/>
        <v>0</v>
      </c>
      <c r="AV407" s="424">
        <f t="shared" si="196"/>
        <v>0</v>
      </c>
      <c r="AW407" s="424">
        <f t="shared" si="196"/>
        <v>0</v>
      </c>
      <c r="AX407" s="424">
        <f t="shared" si="196"/>
        <v>2.1800000000000002</v>
      </c>
      <c r="AY407" s="424">
        <f t="shared" si="196"/>
        <v>0</v>
      </c>
      <c r="AZ407" s="424">
        <f t="shared" si="196"/>
        <v>0</v>
      </c>
      <c r="BA407" s="424">
        <f t="shared" si="196"/>
        <v>0</v>
      </c>
      <c r="BB407" s="424">
        <f t="shared" si="196"/>
        <v>0</v>
      </c>
      <c r="BC407" s="424">
        <f t="shared" si="196"/>
        <v>0</v>
      </c>
      <c r="BD407" s="424">
        <f t="shared" si="196"/>
        <v>0</v>
      </c>
      <c r="BE407" s="424">
        <f t="shared" si="196"/>
        <v>0</v>
      </c>
      <c r="BF407" s="424">
        <f t="shared" si="196"/>
        <v>0</v>
      </c>
      <c r="BG407" s="424">
        <f t="shared" si="196"/>
        <v>0</v>
      </c>
      <c r="BH407" s="424">
        <f t="shared" si="196"/>
        <v>0</v>
      </c>
      <c r="BI407" s="424">
        <f t="shared" si="196"/>
        <v>0</v>
      </c>
      <c r="BJ407" s="424">
        <f t="shared" si="196"/>
        <v>0</v>
      </c>
      <c r="BK407" s="424">
        <f t="shared" si="196"/>
        <v>0</v>
      </c>
      <c r="BL407" s="424">
        <f t="shared" si="196"/>
        <v>0</v>
      </c>
      <c r="BM407" s="424">
        <f t="shared" si="196"/>
        <v>0</v>
      </c>
      <c r="BN407" s="424">
        <f t="shared" si="196"/>
        <v>0</v>
      </c>
      <c r="BO407" s="424">
        <f t="shared" si="196"/>
        <v>0</v>
      </c>
      <c r="BP407" s="424">
        <f t="shared" si="196"/>
        <v>0</v>
      </c>
      <c r="BQ407" s="424">
        <f t="shared" si="196"/>
        <v>0</v>
      </c>
      <c r="BR407" s="424">
        <f t="shared" si="196"/>
        <v>0</v>
      </c>
      <c r="BS407" s="424">
        <f t="shared" si="196"/>
        <v>0</v>
      </c>
      <c r="BT407" s="424">
        <f t="shared" si="196"/>
        <v>0</v>
      </c>
      <c r="BU407" s="424">
        <f t="shared" si="196"/>
        <v>0</v>
      </c>
      <c r="BV407" s="424">
        <f t="shared" ref="BV407:DA407" si="197">BV37*BV$372</f>
        <v>0</v>
      </c>
      <c r="BW407" s="424">
        <f t="shared" si="197"/>
        <v>0</v>
      </c>
      <c r="BX407" s="424">
        <f t="shared" si="197"/>
        <v>0</v>
      </c>
      <c r="BY407" s="424">
        <f t="shared" si="197"/>
        <v>0</v>
      </c>
      <c r="BZ407" s="424">
        <f t="shared" si="197"/>
        <v>0</v>
      </c>
      <c r="CA407" s="424">
        <f t="shared" si="197"/>
        <v>0</v>
      </c>
      <c r="CB407" s="424">
        <f t="shared" si="197"/>
        <v>0</v>
      </c>
      <c r="CC407" s="424">
        <f t="shared" si="197"/>
        <v>0</v>
      </c>
      <c r="CD407" s="424">
        <f t="shared" si="197"/>
        <v>0</v>
      </c>
      <c r="CE407" s="424">
        <f t="shared" si="197"/>
        <v>0</v>
      </c>
      <c r="CF407" s="424">
        <f t="shared" si="197"/>
        <v>0.43</v>
      </c>
      <c r="CG407" s="424">
        <f t="shared" si="197"/>
        <v>0</v>
      </c>
      <c r="CH407" s="424">
        <f t="shared" si="197"/>
        <v>0</v>
      </c>
      <c r="CI407" s="424">
        <f t="shared" si="197"/>
        <v>0</v>
      </c>
      <c r="CJ407" s="424">
        <f t="shared" si="197"/>
        <v>0</v>
      </c>
      <c r="CK407" s="424">
        <f t="shared" si="197"/>
        <v>0</v>
      </c>
      <c r="CL407" s="424">
        <f t="shared" si="197"/>
        <v>0</v>
      </c>
      <c r="CM407" s="424">
        <f t="shared" si="197"/>
        <v>0</v>
      </c>
      <c r="CN407" s="424">
        <f t="shared" si="197"/>
        <v>0</v>
      </c>
      <c r="CO407" s="424">
        <f t="shared" si="197"/>
        <v>0</v>
      </c>
      <c r="CP407" s="424">
        <f t="shared" si="197"/>
        <v>0</v>
      </c>
      <c r="CQ407" s="424">
        <f t="shared" si="197"/>
        <v>0</v>
      </c>
      <c r="CR407" s="424">
        <f t="shared" si="197"/>
        <v>0</v>
      </c>
      <c r="CS407" s="424">
        <f t="shared" si="197"/>
        <v>0</v>
      </c>
      <c r="CT407" s="424">
        <f t="shared" si="197"/>
        <v>0</v>
      </c>
      <c r="CU407" s="424">
        <f t="shared" si="197"/>
        <v>0</v>
      </c>
      <c r="CV407" s="424">
        <f t="shared" si="197"/>
        <v>0</v>
      </c>
      <c r="CW407" s="424">
        <f t="shared" si="197"/>
        <v>0</v>
      </c>
      <c r="CX407" s="424">
        <f t="shared" si="197"/>
        <v>0</v>
      </c>
      <c r="CY407" s="424">
        <f t="shared" si="197"/>
        <v>0</v>
      </c>
      <c r="CZ407" s="424">
        <f t="shared" si="197"/>
        <v>0</v>
      </c>
      <c r="DA407" s="424">
        <f t="shared" si="197"/>
        <v>0</v>
      </c>
      <c r="DB407" s="424">
        <f t="shared" ref="DB407:EG407" si="198">DB37*DB$372</f>
        <v>0</v>
      </c>
      <c r="DC407" s="424">
        <f t="shared" si="198"/>
        <v>0.05</v>
      </c>
      <c r="DD407" s="424">
        <f t="shared" si="198"/>
        <v>0</v>
      </c>
      <c r="DE407" s="424">
        <f t="shared" si="198"/>
        <v>0</v>
      </c>
      <c r="DF407" s="424">
        <f t="shared" si="198"/>
        <v>0</v>
      </c>
      <c r="DG407" s="424">
        <f t="shared" si="198"/>
        <v>0</v>
      </c>
      <c r="DH407" s="424">
        <f t="shared" si="198"/>
        <v>0</v>
      </c>
      <c r="DI407" s="424">
        <f t="shared" si="198"/>
        <v>0</v>
      </c>
      <c r="DJ407" s="424">
        <f t="shared" si="198"/>
        <v>0</v>
      </c>
      <c r="DK407" s="424">
        <f t="shared" si="198"/>
        <v>0</v>
      </c>
      <c r="DL407" s="424">
        <f t="shared" si="198"/>
        <v>0</v>
      </c>
      <c r="DM407" s="424">
        <f t="shared" si="198"/>
        <v>0</v>
      </c>
      <c r="DN407" s="424">
        <f t="shared" si="198"/>
        <v>0</v>
      </c>
      <c r="DO407" s="424">
        <f t="shared" si="198"/>
        <v>0</v>
      </c>
      <c r="DP407" s="424">
        <f t="shared" si="198"/>
        <v>0</v>
      </c>
      <c r="DQ407" s="424">
        <f t="shared" si="198"/>
        <v>0</v>
      </c>
      <c r="DR407" s="424">
        <f t="shared" si="198"/>
        <v>0</v>
      </c>
      <c r="DS407" s="424">
        <f t="shared" si="198"/>
        <v>0</v>
      </c>
      <c r="DT407" s="424">
        <f t="shared" si="198"/>
        <v>0</v>
      </c>
      <c r="DU407" s="424">
        <f t="shared" si="198"/>
        <v>0</v>
      </c>
      <c r="DV407" s="424">
        <f t="shared" si="198"/>
        <v>0</v>
      </c>
      <c r="DW407" s="424">
        <f t="shared" si="198"/>
        <v>0</v>
      </c>
      <c r="DX407" s="424">
        <f t="shared" si="198"/>
        <v>0</v>
      </c>
      <c r="DY407" s="424">
        <f t="shared" si="198"/>
        <v>0</v>
      </c>
      <c r="DZ407" s="424">
        <f t="shared" si="198"/>
        <v>0</v>
      </c>
      <c r="EA407" s="424">
        <f t="shared" si="198"/>
        <v>0</v>
      </c>
      <c r="EB407" s="424">
        <f t="shared" si="198"/>
        <v>0</v>
      </c>
      <c r="EC407" s="424">
        <f t="shared" si="198"/>
        <v>0</v>
      </c>
      <c r="ED407" s="424">
        <f t="shared" si="198"/>
        <v>0</v>
      </c>
      <c r="EE407" s="424">
        <f t="shared" si="198"/>
        <v>0</v>
      </c>
      <c r="EF407" s="424">
        <f t="shared" si="198"/>
        <v>0</v>
      </c>
      <c r="EG407" s="424">
        <f t="shared" si="198"/>
        <v>0</v>
      </c>
      <c r="EH407" s="424">
        <f t="shared" ref="EH407:EX407" si="199">EH37*EH$372</f>
        <v>0</v>
      </c>
      <c r="EI407" s="424">
        <f t="shared" si="199"/>
        <v>0</v>
      </c>
      <c r="EJ407" s="424">
        <f t="shared" si="199"/>
        <v>0</v>
      </c>
      <c r="EK407" s="424">
        <f t="shared" si="199"/>
        <v>0</v>
      </c>
      <c r="EL407" s="424">
        <f t="shared" si="199"/>
        <v>0</v>
      </c>
      <c r="EM407" s="424">
        <f t="shared" si="199"/>
        <v>0</v>
      </c>
      <c r="EN407" s="424">
        <f t="shared" si="199"/>
        <v>0</v>
      </c>
      <c r="EO407" s="424">
        <f t="shared" si="199"/>
        <v>0</v>
      </c>
      <c r="EP407" s="424">
        <f t="shared" si="199"/>
        <v>0</v>
      </c>
      <c r="EQ407" s="424">
        <f t="shared" si="199"/>
        <v>0</v>
      </c>
      <c r="ER407" s="424">
        <f t="shared" si="199"/>
        <v>0</v>
      </c>
      <c r="ES407" s="424">
        <f t="shared" si="199"/>
        <v>0</v>
      </c>
      <c r="ET407" s="424">
        <f t="shared" si="199"/>
        <v>0</v>
      </c>
      <c r="EU407" s="424">
        <f t="shared" si="199"/>
        <v>0</v>
      </c>
      <c r="EV407" s="424">
        <f t="shared" si="199"/>
        <v>0</v>
      </c>
      <c r="EW407" s="424">
        <f t="shared" si="199"/>
        <v>0</v>
      </c>
      <c r="EX407" s="424">
        <f t="shared" si="199"/>
        <v>0</v>
      </c>
      <c r="EY407" s="425">
        <f t="shared" si="49"/>
        <v>2.66</v>
      </c>
    </row>
    <row r="408" spans="1:166" s="699" customFormat="1" ht="14.7" customHeight="1" x14ac:dyDescent="0.25">
      <c r="A408" s="310">
        <v>34</v>
      </c>
      <c r="B408" s="311" t="str">
        <f t="shared" si="30"/>
        <v>Салат из свеклы с зеленым горошком</v>
      </c>
      <c r="C408" s="483">
        <f t="shared" si="38"/>
        <v>6.12</v>
      </c>
      <c r="D408" s="888"/>
      <c r="E408" s="888"/>
      <c r="F408" s="888"/>
      <c r="G408" s="889"/>
      <c r="H408" s="680">
        <f t="shared" si="31"/>
        <v>53</v>
      </c>
      <c r="I408" s="1209">
        <f t="shared" si="32"/>
        <v>0</v>
      </c>
      <c r="J408" s="424">
        <f t="shared" ref="J408:AO408" si="200">J38*J$372</f>
        <v>0</v>
      </c>
      <c r="K408" s="424">
        <f t="shared" si="200"/>
        <v>0</v>
      </c>
      <c r="L408" s="424">
        <f t="shared" si="200"/>
        <v>0</v>
      </c>
      <c r="M408" s="424">
        <f t="shared" si="200"/>
        <v>0</v>
      </c>
      <c r="N408" s="424">
        <f t="shared" si="200"/>
        <v>0</v>
      </c>
      <c r="O408" s="424">
        <f t="shared" si="200"/>
        <v>0</v>
      </c>
      <c r="P408" s="424">
        <f t="shared" si="200"/>
        <v>0</v>
      </c>
      <c r="Q408" s="424">
        <f t="shared" si="200"/>
        <v>0</v>
      </c>
      <c r="R408" s="424">
        <f t="shared" si="200"/>
        <v>0</v>
      </c>
      <c r="S408" s="424">
        <f t="shared" si="200"/>
        <v>0</v>
      </c>
      <c r="T408" s="424">
        <f t="shared" si="200"/>
        <v>0</v>
      </c>
      <c r="U408" s="424">
        <f t="shared" si="200"/>
        <v>0</v>
      </c>
      <c r="V408" s="424">
        <f t="shared" si="200"/>
        <v>0</v>
      </c>
      <c r="W408" s="424">
        <f t="shared" si="200"/>
        <v>0</v>
      </c>
      <c r="X408" s="424">
        <f t="shared" si="200"/>
        <v>0</v>
      </c>
      <c r="Y408" s="424">
        <f t="shared" si="200"/>
        <v>0</v>
      </c>
      <c r="Z408" s="424">
        <f t="shared" si="200"/>
        <v>0</v>
      </c>
      <c r="AA408" s="424">
        <f t="shared" si="200"/>
        <v>0</v>
      </c>
      <c r="AB408" s="424">
        <f t="shared" si="200"/>
        <v>0</v>
      </c>
      <c r="AC408" s="424">
        <f t="shared" si="200"/>
        <v>0</v>
      </c>
      <c r="AD408" s="424">
        <f t="shared" si="200"/>
        <v>0</v>
      </c>
      <c r="AE408" s="424">
        <f t="shared" si="200"/>
        <v>0</v>
      </c>
      <c r="AF408" s="424">
        <f t="shared" si="200"/>
        <v>0</v>
      </c>
      <c r="AG408" s="424">
        <f t="shared" si="200"/>
        <v>0</v>
      </c>
      <c r="AH408" s="424">
        <f t="shared" si="200"/>
        <v>0</v>
      </c>
      <c r="AI408" s="424">
        <f t="shared" si="200"/>
        <v>0</v>
      </c>
      <c r="AJ408" s="424">
        <f t="shared" si="200"/>
        <v>0</v>
      </c>
      <c r="AK408" s="424">
        <f t="shared" si="200"/>
        <v>0.18</v>
      </c>
      <c r="AL408" s="424">
        <f t="shared" si="200"/>
        <v>0</v>
      </c>
      <c r="AM408" s="424">
        <f t="shared" si="200"/>
        <v>0</v>
      </c>
      <c r="AN408" s="424">
        <f t="shared" si="200"/>
        <v>0</v>
      </c>
      <c r="AO408" s="424">
        <f t="shared" si="200"/>
        <v>0</v>
      </c>
      <c r="AP408" s="424">
        <f t="shared" ref="AP408:BU408" si="201">AP38*AP$372</f>
        <v>0</v>
      </c>
      <c r="AQ408" s="424">
        <f t="shared" si="201"/>
        <v>0</v>
      </c>
      <c r="AR408" s="424">
        <f t="shared" si="201"/>
        <v>0</v>
      </c>
      <c r="AS408" s="424">
        <f t="shared" si="201"/>
        <v>0</v>
      </c>
      <c r="AT408" s="424">
        <f t="shared" si="201"/>
        <v>0</v>
      </c>
      <c r="AU408" s="424">
        <f t="shared" si="201"/>
        <v>0</v>
      </c>
      <c r="AV408" s="424">
        <f t="shared" si="201"/>
        <v>0</v>
      </c>
      <c r="AW408" s="424">
        <f t="shared" si="201"/>
        <v>0</v>
      </c>
      <c r="AX408" s="424">
        <f t="shared" si="201"/>
        <v>1.1499999999999999</v>
      </c>
      <c r="AY408" s="424">
        <f t="shared" si="201"/>
        <v>0</v>
      </c>
      <c r="AZ408" s="424">
        <f t="shared" si="201"/>
        <v>0</v>
      </c>
      <c r="BA408" s="424">
        <f t="shared" si="201"/>
        <v>0</v>
      </c>
      <c r="BB408" s="424">
        <f t="shared" si="201"/>
        <v>0</v>
      </c>
      <c r="BC408" s="424">
        <f t="shared" si="201"/>
        <v>0</v>
      </c>
      <c r="BD408" s="424">
        <f t="shared" si="201"/>
        <v>0</v>
      </c>
      <c r="BE408" s="424">
        <f t="shared" si="201"/>
        <v>0</v>
      </c>
      <c r="BF408" s="424">
        <f t="shared" si="201"/>
        <v>0</v>
      </c>
      <c r="BG408" s="424">
        <f t="shared" si="201"/>
        <v>0</v>
      </c>
      <c r="BH408" s="424">
        <f t="shared" si="201"/>
        <v>0</v>
      </c>
      <c r="BI408" s="424">
        <f t="shared" si="201"/>
        <v>0</v>
      </c>
      <c r="BJ408" s="424">
        <f t="shared" si="201"/>
        <v>0</v>
      </c>
      <c r="BK408" s="424">
        <f t="shared" si="201"/>
        <v>0</v>
      </c>
      <c r="BL408" s="424">
        <f t="shared" si="201"/>
        <v>0</v>
      </c>
      <c r="BM408" s="424">
        <f t="shared" si="201"/>
        <v>0</v>
      </c>
      <c r="BN408" s="424">
        <f t="shared" si="201"/>
        <v>0</v>
      </c>
      <c r="BO408" s="424">
        <f t="shared" si="201"/>
        <v>0</v>
      </c>
      <c r="BP408" s="424">
        <f t="shared" si="201"/>
        <v>0</v>
      </c>
      <c r="BQ408" s="424">
        <f t="shared" si="201"/>
        <v>0</v>
      </c>
      <c r="BR408" s="424">
        <f t="shared" si="201"/>
        <v>1.4</v>
      </c>
      <c r="BS408" s="424">
        <f t="shared" si="201"/>
        <v>0</v>
      </c>
      <c r="BT408" s="424">
        <f t="shared" si="201"/>
        <v>0</v>
      </c>
      <c r="BU408" s="424">
        <f t="shared" si="201"/>
        <v>0</v>
      </c>
      <c r="BV408" s="424">
        <f t="shared" ref="BV408:DA408" si="202">BV38*BV$372</f>
        <v>0</v>
      </c>
      <c r="BW408" s="424">
        <f t="shared" si="202"/>
        <v>0</v>
      </c>
      <c r="BX408" s="424">
        <f t="shared" si="202"/>
        <v>0</v>
      </c>
      <c r="BY408" s="424">
        <f t="shared" si="202"/>
        <v>0</v>
      </c>
      <c r="BZ408" s="424">
        <f t="shared" si="202"/>
        <v>0</v>
      </c>
      <c r="CA408" s="424">
        <f t="shared" si="202"/>
        <v>0</v>
      </c>
      <c r="CB408" s="424">
        <f t="shared" si="202"/>
        <v>0</v>
      </c>
      <c r="CC408" s="424">
        <f t="shared" si="202"/>
        <v>0</v>
      </c>
      <c r="CD408" s="424">
        <f t="shared" si="202"/>
        <v>0</v>
      </c>
      <c r="CE408" s="424">
        <f t="shared" si="202"/>
        <v>0</v>
      </c>
      <c r="CF408" s="424">
        <f t="shared" si="202"/>
        <v>0.43</v>
      </c>
      <c r="CG408" s="424">
        <f t="shared" si="202"/>
        <v>0</v>
      </c>
      <c r="CH408" s="424">
        <f t="shared" si="202"/>
        <v>0</v>
      </c>
      <c r="CI408" s="424">
        <f t="shared" si="202"/>
        <v>0</v>
      </c>
      <c r="CJ408" s="424">
        <f t="shared" si="202"/>
        <v>0</v>
      </c>
      <c r="CK408" s="424">
        <f t="shared" si="202"/>
        <v>0</v>
      </c>
      <c r="CL408" s="424">
        <f t="shared" si="202"/>
        <v>0</v>
      </c>
      <c r="CM408" s="424">
        <f t="shared" si="202"/>
        <v>0</v>
      </c>
      <c r="CN408" s="424">
        <f t="shared" si="202"/>
        <v>0</v>
      </c>
      <c r="CO408" s="424">
        <f t="shared" si="202"/>
        <v>0</v>
      </c>
      <c r="CP408" s="424">
        <f t="shared" si="202"/>
        <v>0</v>
      </c>
      <c r="CQ408" s="424">
        <f t="shared" si="202"/>
        <v>0</v>
      </c>
      <c r="CR408" s="424">
        <f t="shared" si="202"/>
        <v>0</v>
      </c>
      <c r="CS408" s="424">
        <f t="shared" si="202"/>
        <v>0</v>
      </c>
      <c r="CT408" s="424">
        <f t="shared" si="202"/>
        <v>0</v>
      </c>
      <c r="CU408" s="424">
        <f t="shared" si="202"/>
        <v>0</v>
      </c>
      <c r="CV408" s="424">
        <f t="shared" si="202"/>
        <v>0</v>
      </c>
      <c r="CW408" s="424">
        <f t="shared" si="202"/>
        <v>0</v>
      </c>
      <c r="CX408" s="424">
        <f t="shared" si="202"/>
        <v>0</v>
      </c>
      <c r="CY408" s="424">
        <f t="shared" si="202"/>
        <v>0</v>
      </c>
      <c r="CZ408" s="424">
        <f t="shared" si="202"/>
        <v>0</v>
      </c>
      <c r="DA408" s="424">
        <f t="shared" si="202"/>
        <v>0</v>
      </c>
      <c r="DB408" s="424">
        <f t="shared" ref="DB408:EG408" si="203">DB38*DB$372</f>
        <v>0</v>
      </c>
      <c r="DC408" s="424">
        <f t="shared" si="203"/>
        <v>0.05</v>
      </c>
      <c r="DD408" s="424">
        <f t="shared" si="203"/>
        <v>0</v>
      </c>
      <c r="DE408" s="424">
        <f t="shared" si="203"/>
        <v>0</v>
      </c>
      <c r="DF408" s="424">
        <f t="shared" si="203"/>
        <v>0</v>
      </c>
      <c r="DG408" s="424">
        <f t="shared" si="203"/>
        <v>0</v>
      </c>
      <c r="DH408" s="424">
        <f t="shared" si="203"/>
        <v>0</v>
      </c>
      <c r="DI408" s="424">
        <f t="shared" si="203"/>
        <v>0</v>
      </c>
      <c r="DJ408" s="424">
        <f t="shared" si="203"/>
        <v>0</v>
      </c>
      <c r="DK408" s="424">
        <f t="shared" si="203"/>
        <v>0</v>
      </c>
      <c r="DL408" s="424">
        <f t="shared" si="203"/>
        <v>0</v>
      </c>
      <c r="DM408" s="424">
        <f t="shared" si="203"/>
        <v>0</v>
      </c>
      <c r="DN408" s="424">
        <f t="shared" si="203"/>
        <v>0</v>
      </c>
      <c r="DO408" s="424">
        <f t="shared" si="203"/>
        <v>0</v>
      </c>
      <c r="DP408" s="424">
        <f t="shared" si="203"/>
        <v>0</v>
      </c>
      <c r="DQ408" s="424">
        <f t="shared" si="203"/>
        <v>0</v>
      </c>
      <c r="DR408" s="424">
        <f t="shared" si="203"/>
        <v>0</v>
      </c>
      <c r="DS408" s="424">
        <f t="shared" si="203"/>
        <v>0</v>
      </c>
      <c r="DT408" s="424">
        <f t="shared" si="203"/>
        <v>0</v>
      </c>
      <c r="DU408" s="424">
        <f t="shared" si="203"/>
        <v>2.91</v>
      </c>
      <c r="DV408" s="424">
        <f t="shared" si="203"/>
        <v>0</v>
      </c>
      <c r="DW408" s="424">
        <f t="shared" si="203"/>
        <v>0</v>
      </c>
      <c r="DX408" s="424">
        <f t="shared" si="203"/>
        <v>0</v>
      </c>
      <c r="DY408" s="424">
        <f t="shared" si="203"/>
        <v>0</v>
      </c>
      <c r="DZ408" s="424">
        <f t="shared" si="203"/>
        <v>0</v>
      </c>
      <c r="EA408" s="424">
        <f t="shared" si="203"/>
        <v>0</v>
      </c>
      <c r="EB408" s="424">
        <f t="shared" si="203"/>
        <v>0</v>
      </c>
      <c r="EC408" s="424">
        <f t="shared" si="203"/>
        <v>0</v>
      </c>
      <c r="ED408" s="424">
        <f t="shared" si="203"/>
        <v>0</v>
      </c>
      <c r="EE408" s="424">
        <f t="shared" si="203"/>
        <v>0</v>
      </c>
      <c r="EF408" s="424">
        <f t="shared" si="203"/>
        <v>0</v>
      </c>
      <c r="EG408" s="424">
        <f t="shared" si="203"/>
        <v>0</v>
      </c>
      <c r="EH408" s="424">
        <f t="shared" ref="EH408:EX408" si="204">EH38*EH$372</f>
        <v>0</v>
      </c>
      <c r="EI408" s="424">
        <f t="shared" si="204"/>
        <v>0</v>
      </c>
      <c r="EJ408" s="424">
        <f t="shared" si="204"/>
        <v>0</v>
      </c>
      <c r="EK408" s="424">
        <f t="shared" si="204"/>
        <v>0</v>
      </c>
      <c r="EL408" s="424">
        <f t="shared" si="204"/>
        <v>0</v>
      </c>
      <c r="EM408" s="424">
        <f t="shared" si="204"/>
        <v>0</v>
      </c>
      <c r="EN408" s="424">
        <f t="shared" si="204"/>
        <v>0</v>
      </c>
      <c r="EO408" s="424">
        <f t="shared" si="204"/>
        <v>0</v>
      </c>
      <c r="EP408" s="424">
        <f t="shared" si="204"/>
        <v>0</v>
      </c>
      <c r="EQ408" s="424">
        <f t="shared" si="204"/>
        <v>0</v>
      </c>
      <c r="ER408" s="424">
        <f t="shared" si="204"/>
        <v>0</v>
      </c>
      <c r="ES408" s="424">
        <f t="shared" si="204"/>
        <v>0</v>
      </c>
      <c r="ET408" s="424">
        <f t="shared" si="204"/>
        <v>0</v>
      </c>
      <c r="EU408" s="424">
        <f t="shared" si="204"/>
        <v>0</v>
      </c>
      <c r="EV408" s="424">
        <f t="shared" si="204"/>
        <v>0</v>
      </c>
      <c r="EW408" s="424">
        <f t="shared" si="204"/>
        <v>0</v>
      </c>
      <c r="EX408" s="424">
        <f t="shared" si="204"/>
        <v>0</v>
      </c>
      <c r="EY408" s="425">
        <f t="shared" si="49"/>
        <v>6.12</v>
      </c>
      <c r="EZ408" s="616"/>
      <c r="FA408" s="616"/>
      <c r="FB408" s="616"/>
      <c r="FC408" s="616"/>
      <c r="FD408" s="616"/>
      <c r="FE408" s="616"/>
      <c r="FF408" s="616"/>
      <c r="FG408" s="616"/>
      <c r="FH408" s="616"/>
      <c r="FI408" s="616"/>
      <c r="FJ408" s="616"/>
    </row>
    <row r="409" spans="1:166" s="699" customFormat="1" ht="14.7" customHeight="1" x14ac:dyDescent="0.25">
      <c r="A409" s="310">
        <v>35</v>
      </c>
      <c r="B409" s="311" t="str">
        <f t="shared" si="30"/>
        <v>Салат из свеклы с яблоками</v>
      </c>
      <c r="C409" s="483">
        <f t="shared" si="38"/>
        <v>4.0599999999999996</v>
      </c>
      <c r="D409" s="888"/>
      <c r="E409" s="888"/>
      <c r="F409" s="888"/>
      <c r="G409" s="889"/>
      <c r="H409" s="680">
        <f t="shared" si="31"/>
        <v>54</v>
      </c>
      <c r="I409" s="1209">
        <f t="shared" si="32"/>
        <v>0</v>
      </c>
      <c r="J409" s="424">
        <f t="shared" ref="J409:AO409" si="205">J39*J$372</f>
        <v>0</v>
      </c>
      <c r="K409" s="424">
        <f t="shared" si="205"/>
        <v>0</v>
      </c>
      <c r="L409" s="424">
        <f t="shared" si="205"/>
        <v>0</v>
      </c>
      <c r="M409" s="424">
        <f t="shared" si="205"/>
        <v>0</v>
      </c>
      <c r="N409" s="424">
        <f t="shared" si="205"/>
        <v>0</v>
      </c>
      <c r="O409" s="424">
        <f t="shared" si="205"/>
        <v>0</v>
      </c>
      <c r="P409" s="424">
        <f t="shared" si="205"/>
        <v>0</v>
      </c>
      <c r="Q409" s="424">
        <f t="shared" si="205"/>
        <v>0</v>
      </c>
      <c r="R409" s="424">
        <f t="shared" si="205"/>
        <v>0</v>
      </c>
      <c r="S409" s="424">
        <f t="shared" si="205"/>
        <v>0</v>
      </c>
      <c r="T409" s="424">
        <f t="shared" si="205"/>
        <v>0</v>
      </c>
      <c r="U409" s="424">
        <f t="shared" si="205"/>
        <v>0</v>
      </c>
      <c r="V409" s="424">
        <f t="shared" si="205"/>
        <v>0</v>
      </c>
      <c r="W409" s="424">
        <f t="shared" si="205"/>
        <v>0</v>
      </c>
      <c r="X409" s="424">
        <f t="shared" si="205"/>
        <v>0</v>
      </c>
      <c r="Y409" s="424">
        <f t="shared" si="205"/>
        <v>0</v>
      </c>
      <c r="Z409" s="424">
        <f t="shared" si="205"/>
        <v>0</v>
      </c>
      <c r="AA409" s="424">
        <f t="shared" si="205"/>
        <v>0</v>
      </c>
      <c r="AB409" s="424">
        <f t="shared" si="205"/>
        <v>0</v>
      </c>
      <c r="AC409" s="424">
        <f t="shared" si="205"/>
        <v>0</v>
      </c>
      <c r="AD409" s="424">
        <f t="shared" si="205"/>
        <v>0</v>
      </c>
      <c r="AE409" s="424">
        <f t="shared" si="205"/>
        <v>0</v>
      </c>
      <c r="AF409" s="424">
        <f t="shared" si="205"/>
        <v>0</v>
      </c>
      <c r="AG409" s="424">
        <f t="shared" si="205"/>
        <v>0</v>
      </c>
      <c r="AH409" s="424">
        <f t="shared" si="205"/>
        <v>0</v>
      </c>
      <c r="AI409" s="424">
        <f t="shared" si="205"/>
        <v>0</v>
      </c>
      <c r="AJ409" s="424">
        <f t="shared" si="205"/>
        <v>0</v>
      </c>
      <c r="AK409" s="424">
        <f t="shared" si="205"/>
        <v>0</v>
      </c>
      <c r="AL409" s="424">
        <f t="shared" si="205"/>
        <v>0</v>
      </c>
      <c r="AM409" s="424">
        <f t="shared" si="205"/>
        <v>0</v>
      </c>
      <c r="AN409" s="424">
        <f t="shared" si="205"/>
        <v>0</v>
      </c>
      <c r="AO409" s="424">
        <f t="shared" si="205"/>
        <v>0</v>
      </c>
      <c r="AP409" s="424">
        <f t="shared" ref="AP409:BU409" si="206">AP39*AP$372</f>
        <v>0</v>
      </c>
      <c r="AQ409" s="424">
        <f t="shared" si="206"/>
        <v>0</v>
      </c>
      <c r="AR409" s="424">
        <f t="shared" si="206"/>
        <v>0</v>
      </c>
      <c r="AS409" s="424">
        <f t="shared" si="206"/>
        <v>0</v>
      </c>
      <c r="AT409" s="424">
        <f t="shared" si="206"/>
        <v>0</v>
      </c>
      <c r="AU409" s="424">
        <f t="shared" si="206"/>
        <v>0</v>
      </c>
      <c r="AV409" s="424">
        <f t="shared" si="206"/>
        <v>0</v>
      </c>
      <c r="AW409" s="424">
        <f t="shared" si="206"/>
        <v>0</v>
      </c>
      <c r="AX409" s="424">
        <f t="shared" si="206"/>
        <v>1.54</v>
      </c>
      <c r="AY409" s="424">
        <f t="shared" si="206"/>
        <v>0</v>
      </c>
      <c r="AZ409" s="424">
        <f t="shared" si="206"/>
        <v>0</v>
      </c>
      <c r="BA409" s="424">
        <f t="shared" si="206"/>
        <v>0</v>
      </c>
      <c r="BB409" s="424">
        <f t="shared" si="206"/>
        <v>0</v>
      </c>
      <c r="BC409" s="424">
        <f t="shared" si="206"/>
        <v>0</v>
      </c>
      <c r="BD409" s="424">
        <f t="shared" si="206"/>
        <v>0</v>
      </c>
      <c r="BE409" s="424">
        <f t="shared" si="206"/>
        <v>0</v>
      </c>
      <c r="BF409" s="424">
        <f t="shared" si="206"/>
        <v>0</v>
      </c>
      <c r="BG409" s="424">
        <f t="shared" si="206"/>
        <v>0</v>
      </c>
      <c r="BH409" s="424">
        <f t="shared" si="206"/>
        <v>0</v>
      </c>
      <c r="BI409" s="424">
        <f t="shared" si="206"/>
        <v>0</v>
      </c>
      <c r="BJ409" s="424">
        <f t="shared" si="206"/>
        <v>0</v>
      </c>
      <c r="BK409" s="424">
        <f t="shared" si="206"/>
        <v>0</v>
      </c>
      <c r="BL409" s="424">
        <f t="shared" si="206"/>
        <v>0</v>
      </c>
      <c r="BM409" s="424">
        <f t="shared" si="206"/>
        <v>0</v>
      </c>
      <c r="BN409" s="424">
        <f t="shared" si="206"/>
        <v>0</v>
      </c>
      <c r="BO409" s="424">
        <f t="shared" si="206"/>
        <v>0</v>
      </c>
      <c r="BP409" s="424">
        <f t="shared" si="206"/>
        <v>0</v>
      </c>
      <c r="BQ409" s="424">
        <f t="shared" si="206"/>
        <v>0</v>
      </c>
      <c r="BR409" s="424">
        <f t="shared" si="206"/>
        <v>1.95</v>
      </c>
      <c r="BS409" s="424">
        <f t="shared" si="206"/>
        <v>0</v>
      </c>
      <c r="BT409" s="424">
        <f t="shared" si="206"/>
        <v>0</v>
      </c>
      <c r="BU409" s="424">
        <f t="shared" si="206"/>
        <v>0</v>
      </c>
      <c r="BV409" s="424">
        <f t="shared" ref="BV409:DA409" si="207">BV39*BV$372</f>
        <v>0</v>
      </c>
      <c r="BW409" s="424">
        <f t="shared" si="207"/>
        <v>0</v>
      </c>
      <c r="BX409" s="424">
        <f t="shared" si="207"/>
        <v>0</v>
      </c>
      <c r="BY409" s="424">
        <f t="shared" si="207"/>
        <v>0</v>
      </c>
      <c r="BZ409" s="424">
        <f t="shared" si="207"/>
        <v>0</v>
      </c>
      <c r="CA409" s="424">
        <f t="shared" si="207"/>
        <v>0</v>
      </c>
      <c r="CB409" s="424">
        <f t="shared" si="207"/>
        <v>0</v>
      </c>
      <c r="CC409" s="424">
        <f t="shared" si="207"/>
        <v>0</v>
      </c>
      <c r="CD409" s="424">
        <f t="shared" si="207"/>
        <v>0</v>
      </c>
      <c r="CE409" s="424">
        <f t="shared" si="207"/>
        <v>0</v>
      </c>
      <c r="CF409" s="424">
        <f t="shared" si="207"/>
        <v>0.43</v>
      </c>
      <c r="CG409" s="424">
        <f t="shared" si="207"/>
        <v>0</v>
      </c>
      <c r="CH409" s="424">
        <f t="shared" si="207"/>
        <v>0</v>
      </c>
      <c r="CI409" s="424">
        <f t="shared" si="207"/>
        <v>0</v>
      </c>
      <c r="CJ409" s="424">
        <f t="shared" si="207"/>
        <v>0</v>
      </c>
      <c r="CK409" s="424">
        <f t="shared" si="207"/>
        <v>0</v>
      </c>
      <c r="CL409" s="424">
        <f t="shared" si="207"/>
        <v>0</v>
      </c>
      <c r="CM409" s="424">
        <f t="shared" si="207"/>
        <v>0</v>
      </c>
      <c r="CN409" s="424">
        <f t="shared" si="207"/>
        <v>0</v>
      </c>
      <c r="CO409" s="424">
        <f t="shared" si="207"/>
        <v>0</v>
      </c>
      <c r="CP409" s="424">
        <f t="shared" si="207"/>
        <v>0</v>
      </c>
      <c r="CQ409" s="424">
        <f t="shared" si="207"/>
        <v>0</v>
      </c>
      <c r="CR409" s="424">
        <f t="shared" si="207"/>
        <v>0</v>
      </c>
      <c r="CS409" s="424">
        <f t="shared" si="207"/>
        <v>0</v>
      </c>
      <c r="CT409" s="424">
        <f t="shared" si="207"/>
        <v>0</v>
      </c>
      <c r="CU409" s="424">
        <f t="shared" si="207"/>
        <v>0</v>
      </c>
      <c r="CV409" s="424">
        <f t="shared" si="207"/>
        <v>0</v>
      </c>
      <c r="CW409" s="424">
        <f t="shared" si="207"/>
        <v>0</v>
      </c>
      <c r="CX409" s="424">
        <f t="shared" si="207"/>
        <v>0</v>
      </c>
      <c r="CY409" s="424">
        <f t="shared" si="207"/>
        <v>0</v>
      </c>
      <c r="CZ409" s="424">
        <f t="shared" si="207"/>
        <v>0.14000000000000001</v>
      </c>
      <c r="DA409" s="424">
        <f t="shared" si="207"/>
        <v>0</v>
      </c>
      <c r="DB409" s="424">
        <f t="shared" ref="DB409:EG409" si="208">DB39*DB$372</f>
        <v>0</v>
      </c>
      <c r="DC409" s="424">
        <f t="shared" si="208"/>
        <v>0</v>
      </c>
      <c r="DD409" s="424">
        <f t="shared" si="208"/>
        <v>0</v>
      </c>
      <c r="DE409" s="424">
        <f t="shared" si="208"/>
        <v>0</v>
      </c>
      <c r="DF409" s="424">
        <f t="shared" si="208"/>
        <v>0</v>
      </c>
      <c r="DG409" s="424">
        <f t="shared" si="208"/>
        <v>0</v>
      </c>
      <c r="DH409" s="424">
        <f t="shared" si="208"/>
        <v>0</v>
      </c>
      <c r="DI409" s="424">
        <f t="shared" si="208"/>
        <v>0</v>
      </c>
      <c r="DJ409" s="424">
        <f t="shared" si="208"/>
        <v>0</v>
      </c>
      <c r="DK409" s="424">
        <f t="shared" si="208"/>
        <v>0</v>
      </c>
      <c r="DL409" s="424">
        <f t="shared" si="208"/>
        <v>0</v>
      </c>
      <c r="DM409" s="424">
        <f t="shared" si="208"/>
        <v>0</v>
      </c>
      <c r="DN409" s="424">
        <f t="shared" si="208"/>
        <v>0</v>
      </c>
      <c r="DO409" s="424">
        <f t="shared" si="208"/>
        <v>0</v>
      </c>
      <c r="DP409" s="424">
        <f t="shared" si="208"/>
        <v>0</v>
      </c>
      <c r="DQ409" s="424">
        <f t="shared" si="208"/>
        <v>0</v>
      </c>
      <c r="DR409" s="424">
        <f t="shared" si="208"/>
        <v>0</v>
      </c>
      <c r="DS409" s="424">
        <f t="shared" si="208"/>
        <v>0</v>
      </c>
      <c r="DT409" s="424">
        <f t="shared" si="208"/>
        <v>0</v>
      </c>
      <c r="DU409" s="424">
        <f t="shared" si="208"/>
        <v>0</v>
      </c>
      <c r="DV409" s="424">
        <f t="shared" si="208"/>
        <v>0</v>
      </c>
      <c r="DW409" s="424">
        <f t="shared" si="208"/>
        <v>0</v>
      </c>
      <c r="DX409" s="424">
        <f t="shared" si="208"/>
        <v>0</v>
      </c>
      <c r="DY409" s="424">
        <f t="shared" si="208"/>
        <v>0</v>
      </c>
      <c r="DZ409" s="424">
        <f t="shared" si="208"/>
        <v>0</v>
      </c>
      <c r="EA409" s="424">
        <f t="shared" si="208"/>
        <v>0</v>
      </c>
      <c r="EB409" s="424">
        <f t="shared" si="208"/>
        <v>0</v>
      </c>
      <c r="EC409" s="424">
        <f t="shared" si="208"/>
        <v>0</v>
      </c>
      <c r="ED409" s="424">
        <f t="shared" si="208"/>
        <v>0</v>
      </c>
      <c r="EE409" s="424">
        <f t="shared" si="208"/>
        <v>0</v>
      </c>
      <c r="EF409" s="424">
        <f t="shared" si="208"/>
        <v>0</v>
      </c>
      <c r="EG409" s="424">
        <f t="shared" si="208"/>
        <v>0</v>
      </c>
      <c r="EH409" s="424">
        <f t="shared" ref="EH409:EX409" si="209">EH39*EH$372</f>
        <v>0</v>
      </c>
      <c r="EI409" s="424">
        <f t="shared" si="209"/>
        <v>0</v>
      </c>
      <c r="EJ409" s="424">
        <f t="shared" si="209"/>
        <v>0</v>
      </c>
      <c r="EK409" s="424">
        <f t="shared" si="209"/>
        <v>0</v>
      </c>
      <c r="EL409" s="424">
        <f t="shared" si="209"/>
        <v>0</v>
      </c>
      <c r="EM409" s="424">
        <f t="shared" si="209"/>
        <v>0</v>
      </c>
      <c r="EN409" s="424">
        <f t="shared" si="209"/>
        <v>0</v>
      </c>
      <c r="EO409" s="424">
        <f t="shared" si="209"/>
        <v>0</v>
      </c>
      <c r="EP409" s="424">
        <f t="shared" si="209"/>
        <v>0</v>
      </c>
      <c r="EQ409" s="424">
        <f t="shared" si="209"/>
        <v>0</v>
      </c>
      <c r="ER409" s="424">
        <f t="shared" si="209"/>
        <v>0</v>
      </c>
      <c r="ES409" s="424">
        <f t="shared" si="209"/>
        <v>0</v>
      </c>
      <c r="ET409" s="424">
        <f t="shared" si="209"/>
        <v>0</v>
      </c>
      <c r="EU409" s="424">
        <f t="shared" si="209"/>
        <v>0</v>
      </c>
      <c r="EV409" s="424">
        <f t="shared" si="209"/>
        <v>0</v>
      </c>
      <c r="EW409" s="424">
        <f t="shared" si="209"/>
        <v>0</v>
      </c>
      <c r="EX409" s="424">
        <f t="shared" si="209"/>
        <v>0</v>
      </c>
      <c r="EY409" s="425">
        <f t="shared" si="49"/>
        <v>4.0599999999999996</v>
      </c>
      <c r="EZ409" s="616"/>
      <c r="FA409" s="616"/>
      <c r="FB409" s="616"/>
      <c r="FC409" s="616"/>
      <c r="FD409" s="616"/>
      <c r="FE409" s="616"/>
      <c r="FF409" s="616"/>
      <c r="FG409" s="616"/>
      <c r="FH409" s="616"/>
      <c r="FI409" s="616"/>
      <c r="FJ409" s="616"/>
    </row>
    <row r="410" spans="1:166" s="699" customFormat="1" ht="14.7" customHeight="1" x14ac:dyDescent="0.25">
      <c r="A410" s="310">
        <v>36</v>
      </c>
      <c r="B410" s="311" t="str">
        <f t="shared" si="30"/>
        <v>Салат овощной с яблоками</v>
      </c>
      <c r="C410" s="483">
        <f t="shared" si="38"/>
        <v>6.1</v>
      </c>
      <c r="D410" s="888"/>
      <c r="E410" s="888"/>
      <c r="F410" s="888"/>
      <c r="G410" s="889"/>
      <c r="H410" s="680">
        <f t="shared" si="31"/>
        <v>56</v>
      </c>
      <c r="I410" s="1209">
        <f t="shared" si="32"/>
        <v>0</v>
      </c>
      <c r="J410" s="424">
        <f t="shared" ref="J410:AO410" si="210">J40*J$372</f>
        <v>0</v>
      </c>
      <c r="K410" s="424">
        <f t="shared" si="210"/>
        <v>0</v>
      </c>
      <c r="L410" s="424">
        <f t="shared" si="210"/>
        <v>0</v>
      </c>
      <c r="M410" s="424">
        <f t="shared" si="210"/>
        <v>0</v>
      </c>
      <c r="N410" s="424">
        <f t="shared" si="210"/>
        <v>0</v>
      </c>
      <c r="O410" s="424">
        <f t="shared" si="210"/>
        <v>0</v>
      </c>
      <c r="P410" s="424">
        <f t="shared" si="210"/>
        <v>0</v>
      </c>
      <c r="Q410" s="424">
        <f t="shared" si="210"/>
        <v>0</v>
      </c>
      <c r="R410" s="424">
        <f t="shared" si="210"/>
        <v>0</v>
      </c>
      <c r="S410" s="424">
        <f t="shared" si="210"/>
        <v>0</v>
      </c>
      <c r="T410" s="424">
        <f t="shared" si="210"/>
        <v>0</v>
      </c>
      <c r="U410" s="424">
        <f t="shared" si="210"/>
        <v>0</v>
      </c>
      <c r="V410" s="424">
        <f t="shared" si="210"/>
        <v>0</v>
      </c>
      <c r="W410" s="424">
        <f t="shared" si="210"/>
        <v>0</v>
      </c>
      <c r="X410" s="424">
        <f t="shared" si="210"/>
        <v>0</v>
      </c>
      <c r="Y410" s="424">
        <f t="shared" si="210"/>
        <v>0</v>
      </c>
      <c r="Z410" s="424">
        <f t="shared" si="210"/>
        <v>0</v>
      </c>
      <c r="AA410" s="424">
        <f t="shared" si="210"/>
        <v>0</v>
      </c>
      <c r="AB410" s="424">
        <f t="shared" si="210"/>
        <v>0</v>
      </c>
      <c r="AC410" s="424">
        <f t="shared" si="210"/>
        <v>0</v>
      </c>
      <c r="AD410" s="424">
        <f t="shared" si="210"/>
        <v>0</v>
      </c>
      <c r="AE410" s="424">
        <f t="shared" si="210"/>
        <v>0</v>
      </c>
      <c r="AF410" s="424">
        <f t="shared" si="210"/>
        <v>1.19</v>
      </c>
      <c r="AG410" s="424">
        <f t="shared" si="210"/>
        <v>0</v>
      </c>
      <c r="AH410" s="424">
        <f t="shared" si="210"/>
        <v>0</v>
      </c>
      <c r="AI410" s="424">
        <f t="shared" si="210"/>
        <v>0</v>
      </c>
      <c r="AJ410" s="424">
        <f t="shared" si="210"/>
        <v>2.08</v>
      </c>
      <c r="AK410" s="424">
        <f t="shared" si="210"/>
        <v>0</v>
      </c>
      <c r="AL410" s="424">
        <f t="shared" si="210"/>
        <v>0</v>
      </c>
      <c r="AM410" s="424">
        <f t="shared" si="210"/>
        <v>0</v>
      </c>
      <c r="AN410" s="424">
        <f t="shared" si="210"/>
        <v>0</v>
      </c>
      <c r="AO410" s="424">
        <f t="shared" si="210"/>
        <v>0</v>
      </c>
      <c r="AP410" s="424">
        <f t="shared" ref="AP410:BU410" si="211">AP40*AP$372</f>
        <v>0</v>
      </c>
      <c r="AQ410" s="424">
        <f t="shared" si="211"/>
        <v>0.49</v>
      </c>
      <c r="AR410" s="424">
        <f t="shared" si="211"/>
        <v>0</v>
      </c>
      <c r="AS410" s="424">
        <f t="shared" si="211"/>
        <v>0</v>
      </c>
      <c r="AT410" s="424">
        <f t="shared" si="211"/>
        <v>0</v>
      </c>
      <c r="AU410" s="424">
        <f t="shared" si="211"/>
        <v>0</v>
      </c>
      <c r="AV410" s="424">
        <f t="shared" si="211"/>
        <v>0</v>
      </c>
      <c r="AW410" s="424">
        <f t="shared" si="211"/>
        <v>0</v>
      </c>
      <c r="AX410" s="424">
        <f t="shared" si="211"/>
        <v>0.39</v>
      </c>
      <c r="AY410" s="424">
        <f t="shared" si="211"/>
        <v>0</v>
      </c>
      <c r="AZ410" s="424">
        <f t="shared" si="211"/>
        <v>0</v>
      </c>
      <c r="BA410" s="424">
        <f t="shared" si="211"/>
        <v>0</v>
      </c>
      <c r="BB410" s="424">
        <f t="shared" si="211"/>
        <v>0</v>
      </c>
      <c r="BC410" s="424">
        <f t="shared" si="211"/>
        <v>0</v>
      </c>
      <c r="BD410" s="424">
        <f t="shared" si="211"/>
        <v>0</v>
      </c>
      <c r="BE410" s="424">
        <f t="shared" si="211"/>
        <v>0</v>
      </c>
      <c r="BF410" s="424">
        <f t="shared" si="211"/>
        <v>0</v>
      </c>
      <c r="BG410" s="424">
        <f t="shared" si="211"/>
        <v>0</v>
      </c>
      <c r="BH410" s="424">
        <f t="shared" si="211"/>
        <v>0</v>
      </c>
      <c r="BI410" s="424">
        <f t="shared" si="211"/>
        <v>0</v>
      </c>
      <c r="BJ410" s="424">
        <f t="shared" si="211"/>
        <v>0</v>
      </c>
      <c r="BK410" s="424">
        <f t="shared" si="211"/>
        <v>0</v>
      </c>
      <c r="BL410" s="424">
        <f t="shared" si="211"/>
        <v>0</v>
      </c>
      <c r="BM410" s="424">
        <f t="shared" si="211"/>
        <v>0</v>
      </c>
      <c r="BN410" s="424">
        <f t="shared" si="211"/>
        <v>0</v>
      </c>
      <c r="BO410" s="424">
        <f t="shared" si="211"/>
        <v>0</v>
      </c>
      <c r="BP410" s="424">
        <f t="shared" si="211"/>
        <v>0</v>
      </c>
      <c r="BQ410" s="424">
        <f t="shared" si="211"/>
        <v>0</v>
      </c>
      <c r="BR410" s="424">
        <f t="shared" si="211"/>
        <v>1.95</v>
      </c>
      <c r="BS410" s="424">
        <f t="shared" si="211"/>
        <v>0</v>
      </c>
      <c r="BT410" s="424">
        <f t="shared" si="211"/>
        <v>0</v>
      </c>
      <c r="BU410" s="424">
        <f t="shared" si="211"/>
        <v>0</v>
      </c>
      <c r="BV410" s="424">
        <f t="shared" ref="BV410:DA410" si="212">BV40*BV$372</f>
        <v>0</v>
      </c>
      <c r="BW410" s="424">
        <f t="shared" si="212"/>
        <v>0</v>
      </c>
      <c r="BX410" s="424">
        <f t="shared" si="212"/>
        <v>0</v>
      </c>
      <c r="BY410" s="424">
        <f t="shared" si="212"/>
        <v>0</v>
      </c>
      <c r="BZ410" s="424">
        <f t="shared" si="212"/>
        <v>0</v>
      </c>
      <c r="CA410" s="424">
        <f t="shared" si="212"/>
        <v>0</v>
      </c>
      <c r="CB410" s="424">
        <f t="shared" si="212"/>
        <v>0</v>
      </c>
      <c r="CC410" s="424">
        <f t="shared" si="212"/>
        <v>0</v>
      </c>
      <c r="CD410" s="424">
        <f t="shared" si="212"/>
        <v>0</v>
      </c>
      <c r="CE410" s="424">
        <f t="shared" si="212"/>
        <v>0</v>
      </c>
      <c r="CF410" s="424">
        <f t="shared" si="212"/>
        <v>0</v>
      </c>
      <c r="CG410" s="424">
        <f t="shared" si="212"/>
        <v>0</v>
      </c>
      <c r="CH410" s="424">
        <f t="shared" si="212"/>
        <v>0</v>
      </c>
      <c r="CI410" s="424">
        <f t="shared" si="212"/>
        <v>0</v>
      </c>
      <c r="CJ410" s="424">
        <f t="shared" si="212"/>
        <v>0</v>
      </c>
      <c r="CK410" s="424">
        <f t="shared" si="212"/>
        <v>0</v>
      </c>
      <c r="CL410" s="424">
        <f t="shared" si="212"/>
        <v>0</v>
      </c>
      <c r="CM410" s="424">
        <f t="shared" si="212"/>
        <v>0</v>
      </c>
      <c r="CN410" s="424">
        <f t="shared" si="212"/>
        <v>0</v>
      </c>
      <c r="CO410" s="424">
        <f t="shared" si="212"/>
        <v>0</v>
      </c>
      <c r="CP410" s="424">
        <f t="shared" si="212"/>
        <v>0</v>
      </c>
      <c r="CQ410" s="424">
        <f t="shared" si="212"/>
        <v>0</v>
      </c>
      <c r="CR410" s="424">
        <f t="shared" si="212"/>
        <v>0</v>
      </c>
      <c r="CS410" s="424">
        <f t="shared" si="212"/>
        <v>0</v>
      </c>
      <c r="CT410" s="424">
        <f t="shared" si="212"/>
        <v>0</v>
      </c>
      <c r="CU410" s="424">
        <f t="shared" si="212"/>
        <v>0</v>
      </c>
      <c r="CV410" s="424">
        <f t="shared" si="212"/>
        <v>0</v>
      </c>
      <c r="CW410" s="424">
        <f t="shared" si="212"/>
        <v>0</v>
      </c>
      <c r="CX410" s="424">
        <f t="shared" si="212"/>
        <v>0</v>
      </c>
      <c r="CY410" s="424">
        <f t="shared" si="212"/>
        <v>0</v>
      </c>
      <c r="CZ410" s="424">
        <f t="shared" si="212"/>
        <v>0</v>
      </c>
      <c r="DA410" s="424">
        <f t="shared" si="212"/>
        <v>0</v>
      </c>
      <c r="DB410" s="424">
        <f t="shared" ref="DB410:EG410" si="213">DB40*DB$372</f>
        <v>0</v>
      </c>
      <c r="DC410" s="424">
        <f t="shared" si="213"/>
        <v>0</v>
      </c>
      <c r="DD410" s="424">
        <f t="shared" si="213"/>
        <v>0</v>
      </c>
      <c r="DE410" s="424">
        <f t="shared" si="213"/>
        <v>0</v>
      </c>
      <c r="DF410" s="424">
        <f t="shared" si="213"/>
        <v>0</v>
      </c>
      <c r="DG410" s="424">
        <f t="shared" si="213"/>
        <v>0</v>
      </c>
      <c r="DH410" s="424">
        <f t="shared" si="213"/>
        <v>0</v>
      </c>
      <c r="DI410" s="424">
        <f t="shared" si="213"/>
        <v>0</v>
      </c>
      <c r="DJ410" s="424">
        <f t="shared" si="213"/>
        <v>0</v>
      </c>
      <c r="DK410" s="424">
        <f t="shared" si="213"/>
        <v>0</v>
      </c>
      <c r="DL410" s="424">
        <f t="shared" si="213"/>
        <v>0</v>
      </c>
      <c r="DM410" s="424">
        <f t="shared" si="213"/>
        <v>0</v>
      </c>
      <c r="DN410" s="424">
        <f t="shared" si="213"/>
        <v>0</v>
      </c>
      <c r="DO410" s="424">
        <f t="shared" si="213"/>
        <v>0</v>
      </c>
      <c r="DP410" s="424">
        <f t="shared" si="213"/>
        <v>0</v>
      </c>
      <c r="DQ410" s="424">
        <f t="shared" si="213"/>
        <v>0</v>
      </c>
      <c r="DR410" s="424">
        <f t="shared" si="213"/>
        <v>0</v>
      </c>
      <c r="DS410" s="424">
        <f t="shared" si="213"/>
        <v>0</v>
      </c>
      <c r="DT410" s="424">
        <f t="shared" si="213"/>
        <v>0</v>
      </c>
      <c r="DU410" s="424">
        <f t="shared" si="213"/>
        <v>0</v>
      </c>
      <c r="DV410" s="424">
        <f t="shared" si="213"/>
        <v>0</v>
      </c>
      <c r="DW410" s="424">
        <f t="shared" si="213"/>
        <v>0</v>
      </c>
      <c r="DX410" s="424">
        <f t="shared" si="213"/>
        <v>0</v>
      </c>
      <c r="DY410" s="424">
        <f t="shared" si="213"/>
        <v>0</v>
      </c>
      <c r="DZ410" s="424">
        <f t="shared" si="213"/>
        <v>0</v>
      </c>
      <c r="EA410" s="424">
        <f t="shared" si="213"/>
        <v>0</v>
      </c>
      <c r="EB410" s="424">
        <f t="shared" si="213"/>
        <v>0</v>
      </c>
      <c r="EC410" s="424">
        <f t="shared" si="213"/>
        <v>0</v>
      </c>
      <c r="ED410" s="424">
        <f t="shared" si="213"/>
        <v>0</v>
      </c>
      <c r="EE410" s="424">
        <f t="shared" si="213"/>
        <v>0</v>
      </c>
      <c r="EF410" s="424">
        <f t="shared" si="213"/>
        <v>0</v>
      </c>
      <c r="EG410" s="424">
        <f t="shared" si="213"/>
        <v>0</v>
      </c>
      <c r="EH410" s="424">
        <f t="shared" ref="EH410:EX410" si="214">EH40*EH$372</f>
        <v>0</v>
      </c>
      <c r="EI410" s="424">
        <f t="shared" si="214"/>
        <v>0</v>
      </c>
      <c r="EJ410" s="424">
        <f t="shared" si="214"/>
        <v>0</v>
      </c>
      <c r="EK410" s="424">
        <f t="shared" si="214"/>
        <v>0</v>
      </c>
      <c r="EL410" s="424">
        <f t="shared" si="214"/>
        <v>0</v>
      </c>
      <c r="EM410" s="424">
        <f t="shared" si="214"/>
        <v>0</v>
      </c>
      <c r="EN410" s="424">
        <f t="shared" si="214"/>
        <v>0</v>
      </c>
      <c r="EO410" s="424">
        <f t="shared" si="214"/>
        <v>0</v>
      </c>
      <c r="EP410" s="424">
        <f t="shared" si="214"/>
        <v>0</v>
      </c>
      <c r="EQ410" s="424">
        <f t="shared" si="214"/>
        <v>0</v>
      </c>
      <c r="ER410" s="424">
        <f t="shared" si="214"/>
        <v>0</v>
      </c>
      <c r="ES410" s="424">
        <f t="shared" si="214"/>
        <v>0</v>
      </c>
      <c r="ET410" s="424">
        <f t="shared" si="214"/>
        <v>0</v>
      </c>
      <c r="EU410" s="424">
        <f t="shared" si="214"/>
        <v>0</v>
      </c>
      <c r="EV410" s="424">
        <f t="shared" si="214"/>
        <v>0</v>
      </c>
      <c r="EW410" s="424">
        <f t="shared" si="214"/>
        <v>0</v>
      </c>
      <c r="EX410" s="424">
        <f t="shared" si="214"/>
        <v>0</v>
      </c>
      <c r="EY410" s="425">
        <f t="shared" si="49"/>
        <v>6.1</v>
      </c>
      <c r="EZ410" s="616"/>
      <c r="FA410" s="616"/>
      <c r="FB410" s="616"/>
      <c r="FC410" s="616"/>
      <c r="FD410" s="616"/>
      <c r="FE410" s="616"/>
      <c r="FF410" s="616"/>
      <c r="FG410" s="616"/>
      <c r="FH410" s="616"/>
      <c r="FI410" s="616"/>
      <c r="FJ410" s="616"/>
    </row>
    <row r="411" spans="1:166" ht="14.7" customHeight="1" x14ac:dyDescent="0.25">
      <c r="A411" s="310">
        <v>37</v>
      </c>
      <c r="B411" s="311" t="str">
        <f t="shared" si="30"/>
        <v>Салат из моркови с сахаром</v>
      </c>
      <c r="C411" s="483">
        <f t="shared" si="38"/>
        <v>3.83</v>
      </c>
      <c r="D411" s="888"/>
      <c r="E411" s="888"/>
      <c r="F411" s="888"/>
      <c r="G411" s="889"/>
      <c r="H411" s="680">
        <f t="shared" si="31"/>
        <v>62</v>
      </c>
      <c r="I411" s="1209">
        <f t="shared" si="32"/>
        <v>0</v>
      </c>
      <c r="J411" s="424">
        <f t="shared" ref="J411:AO411" si="215">J41*J$372</f>
        <v>0</v>
      </c>
      <c r="K411" s="424">
        <f t="shared" si="215"/>
        <v>0</v>
      </c>
      <c r="L411" s="424">
        <f t="shared" si="215"/>
        <v>0</v>
      </c>
      <c r="M411" s="424">
        <f t="shared" si="215"/>
        <v>0</v>
      </c>
      <c r="N411" s="424">
        <f t="shared" si="215"/>
        <v>0</v>
      </c>
      <c r="O411" s="424">
        <f t="shared" si="215"/>
        <v>0</v>
      </c>
      <c r="P411" s="424">
        <f t="shared" si="215"/>
        <v>0</v>
      </c>
      <c r="Q411" s="424">
        <f t="shared" si="215"/>
        <v>0</v>
      </c>
      <c r="R411" s="424">
        <f t="shared" si="215"/>
        <v>0</v>
      </c>
      <c r="S411" s="424">
        <f t="shared" si="215"/>
        <v>0</v>
      </c>
      <c r="T411" s="424">
        <f t="shared" si="215"/>
        <v>0</v>
      </c>
      <c r="U411" s="424">
        <f t="shared" si="215"/>
        <v>0</v>
      </c>
      <c r="V411" s="424">
        <f t="shared" si="215"/>
        <v>0</v>
      </c>
      <c r="W411" s="424">
        <f t="shared" si="215"/>
        <v>0</v>
      </c>
      <c r="X411" s="424">
        <f t="shared" si="215"/>
        <v>0</v>
      </c>
      <c r="Y411" s="424">
        <f t="shared" si="215"/>
        <v>0</v>
      </c>
      <c r="Z411" s="424">
        <f t="shared" si="215"/>
        <v>0</v>
      </c>
      <c r="AA411" s="424">
        <f t="shared" si="215"/>
        <v>0</v>
      </c>
      <c r="AB411" s="424">
        <f t="shared" si="215"/>
        <v>0</v>
      </c>
      <c r="AC411" s="424">
        <f t="shared" si="215"/>
        <v>0</v>
      </c>
      <c r="AD411" s="424">
        <f t="shared" si="215"/>
        <v>0</v>
      </c>
      <c r="AE411" s="424">
        <f t="shared" si="215"/>
        <v>0</v>
      </c>
      <c r="AF411" s="424">
        <f t="shared" si="215"/>
        <v>0</v>
      </c>
      <c r="AG411" s="424">
        <f t="shared" si="215"/>
        <v>0</v>
      </c>
      <c r="AH411" s="424">
        <f t="shared" si="215"/>
        <v>0</v>
      </c>
      <c r="AI411" s="424">
        <f t="shared" si="215"/>
        <v>0</v>
      </c>
      <c r="AJ411" s="424">
        <f t="shared" si="215"/>
        <v>0</v>
      </c>
      <c r="AK411" s="424">
        <f t="shared" si="215"/>
        <v>0</v>
      </c>
      <c r="AL411" s="424">
        <f t="shared" si="215"/>
        <v>0</v>
      </c>
      <c r="AM411" s="424">
        <f t="shared" si="215"/>
        <v>0</v>
      </c>
      <c r="AN411" s="424">
        <f t="shared" si="215"/>
        <v>0</v>
      </c>
      <c r="AO411" s="424">
        <f t="shared" si="215"/>
        <v>0</v>
      </c>
      <c r="AP411" s="424">
        <f t="shared" ref="AP411:BU411" si="216">AP41*AP$372</f>
        <v>0</v>
      </c>
      <c r="AQ411" s="424">
        <f t="shared" si="216"/>
        <v>3.6</v>
      </c>
      <c r="AR411" s="424">
        <f t="shared" si="216"/>
        <v>0</v>
      </c>
      <c r="AS411" s="424">
        <f t="shared" si="216"/>
        <v>0</v>
      </c>
      <c r="AT411" s="424">
        <f t="shared" si="216"/>
        <v>0</v>
      </c>
      <c r="AU411" s="424">
        <f t="shared" si="216"/>
        <v>0</v>
      </c>
      <c r="AV411" s="424">
        <f t="shared" si="216"/>
        <v>0</v>
      </c>
      <c r="AW411" s="424">
        <f t="shared" si="216"/>
        <v>0</v>
      </c>
      <c r="AX411" s="424">
        <f t="shared" si="216"/>
        <v>0</v>
      </c>
      <c r="AY411" s="424">
        <f t="shared" si="216"/>
        <v>0</v>
      </c>
      <c r="AZ411" s="424">
        <f t="shared" si="216"/>
        <v>0</v>
      </c>
      <c r="BA411" s="424">
        <f t="shared" si="216"/>
        <v>0</v>
      </c>
      <c r="BB411" s="424">
        <f t="shared" si="216"/>
        <v>0</v>
      </c>
      <c r="BC411" s="424">
        <f t="shared" si="216"/>
        <v>0</v>
      </c>
      <c r="BD411" s="424">
        <f t="shared" si="216"/>
        <v>0</v>
      </c>
      <c r="BE411" s="424">
        <f t="shared" si="216"/>
        <v>0</v>
      </c>
      <c r="BF411" s="424">
        <f t="shared" si="216"/>
        <v>0</v>
      </c>
      <c r="BG411" s="424">
        <f t="shared" si="216"/>
        <v>0</v>
      </c>
      <c r="BH411" s="424">
        <f t="shared" si="216"/>
        <v>0</v>
      </c>
      <c r="BI411" s="424">
        <f t="shared" si="216"/>
        <v>0</v>
      </c>
      <c r="BJ411" s="424">
        <f t="shared" si="216"/>
        <v>0</v>
      </c>
      <c r="BK411" s="424">
        <f t="shared" si="216"/>
        <v>0</v>
      </c>
      <c r="BL411" s="424">
        <f t="shared" si="216"/>
        <v>0</v>
      </c>
      <c r="BM411" s="424">
        <f t="shared" si="216"/>
        <v>0</v>
      </c>
      <c r="BN411" s="424">
        <f t="shared" si="216"/>
        <v>0</v>
      </c>
      <c r="BO411" s="424">
        <f t="shared" si="216"/>
        <v>0</v>
      </c>
      <c r="BP411" s="424">
        <f t="shared" si="216"/>
        <v>0</v>
      </c>
      <c r="BQ411" s="424">
        <f t="shared" si="216"/>
        <v>0</v>
      </c>
      <c r="BR411" s="424">
        <f t="shared" si="216"/>
        <v>0</v>
      </c>
      <c r="BS411" s="424">
        <f t="shared" si="216"/>
        <v>0</v>
      </c>
      <c r="BT411" s="424">
        <f t="shared" si="216"/>
        <v>0</v>
      </c>
      <c r="BU411" s="424">
        <f t="shared" si="216"/>
        <v>0</v>
      </c>
      <c r="BV411" s="424">
        <f t="shared" ref="BV411:DA411" si="217">BV41*BV$372</f>
        <v>0</v>
      </c>
      <c r="BW411" s="424">
        <f t="shared" si="217"/>
        <v>0</v>
      </c>
      <c r="BX411" s="424">
        <f t="shared" si="217"/>
        <v>0</v>
      </c>
      <c r="BY411" s="424">
        <f t="shared" si="217"/>
        <v>0</v>
      </c>
      <c r="BZ411" s="424">
        <f t="shared" si="217"/>
        <v>0</v>
      </c>
      <c r="CA411" s="424">
        <f t="shared" si="217"/>
        <v>0</v>
      </c>
      <c r="CB411" s="424">
        <f t="shared" si="217"/>
        <v>0</v>
      </c>
      <c r="CC411" s="424">
        <f t="shared" si="217"/>
        <v>0</v>
      </c>
      <c r="CD411" s="424">
        <f t="shared" si="217"/>
        <v>0</v>
      </c>
      <c r="CE411" s="424">
        <f t="shared" si="217"/>
        <v>0</v>
      </c>
      <c r="CF411" s="424">
        <f t="shared" si="217"/>
        <v>0</v>
      </c>
      <c r="CG411" s="424">
        <f t="shared" si="217"/>
        <v>0</v>
      </c>
      <c r="CH411" s="424">
        <f t="shared" si="217"/>
        <v>0</v>
      </c>
      <c r="CI411" s="424">
        <f t="shared" si="217"/>
        <v>0</v>
      </c>
      <c r="CJ411" s="424">
        <f t="shared" si="217"/>
        <v>0</v>
      </c>
      <c r="CK411" s="424">
        <f t="shared" si="217"/>
        <v>0</v>
      </c>
      <c r="CL411" s="424">
        <f t="shared" si="217"/>
        <v>0</v>
      </c>
      <c r="CM411" s="424">
        <f t="shared" si="217"/>
        <v>0</v>
      </c>
      <c r="CN411" s="424">
        <f t="shared" si="217"/>
        <v>0</v>
      </c>
      <c r="CO411" s="424">
        <f t="shared" si="217"/>
        <v>0</v>
      </c>
      <c r="CP411" s="424">
        <f t="shared" si="217"/>
        <v>0</v>
      </c>
      <c r="CQ411" s="424">
        <f t="shared" si="217"/>
        <v>0</v>
      </c>
      <c r="CR411" s="424">
        <f t="shared" si="217"/>
        <v>0</v>
      </c>
      <c r="CS411" s="424">
        <f t="shared" si="217"/>
        <v>0</v>
      </c>
      <c r="CT411" s="424">
        <f t="shared" si="217"/>
        <v>0</v>
      </c>
      <c r="CU411" s="424">
        <f t="shared" si="217"/>
        <v>0</v>
      </c>
      <c r="CV411" s="424">
        <f t="shared" si="217"/>
        <v>0</v>
      </c>
      <c r="CW411" s="424">
        <f t="shared" si="217"/>
        <v>0</v>
      </c>
      <c r="CX411" s="424">
        <f t="shared" si="217"/>
        <v>0</v>
      </c>
      <c r="CY411" s="424">
        <f t="shared" si="217"/>
        <v>0</v>
      </c>
      <c r="CZ411" s="424">
        <f t="shared" si="217"/>
        <v>0.23</v>
      </c>
      <c r="DA411" s="424">
        <f t="shared" si="217"/>
        <v>0</v>
      </c>
      <c r="DB411" s="424">
        <f t="shared" ref="DB411:EG411" si="218">DB41*DB$372</f>
        <v>0</v>
      </c>
      <c r="DC411" s="424">
        <f t="shared" si="218"/>
        <v>0</v>
      </c>
      <c r="DD411" s="424">
        <f t="shared" si="218"/>
        <v>0</v>
      </c>
      <c r="DE411" s="424">
        <f t="shared" si="218"/>
        <v>0</v>
      </c>
      <c r="DF411" s="424">
        <f t="shared" si="218"/>
        <v>0</v>
      </c>
      <c r="DG411" s="424">
        <f t="shared" si="218"/>
        <v>0</v>
      </c>
      <c r="DH411" s="424">
        <f t="shared" si="218"/>
        <v>0</v>
      </c>
      <c r="DI411" s="424">
        <f t="shared" si="218"/>
        <v>0</v>
      </c>
      <c r="DJ411" s="424">
        <f t="shared" si="218"/>
        <v>0</v>
      </c>
      <c r="DK411" s="424">
        <f t="shared" si="218"/>
        <v>0</v>
      </c>
      <c r="DL411" s="424">
        <f t="shared" si="218"/>
        <v>0</v>
      </c>
      <c r="DM411" s="424">
        <f t="shared" si="218"/>
        <v>0</v>
      </c>
      <c r="DN411" s="424">
        <f t="shared" si="218"/>
        <v>0</v>
      </c>
      <c r="DO411" s="424">
        <f t="shared" si="218"/>
        <v>0</v>
      </c>
      <c r="DP411" s="424">
        <f t="shared" si="218"/>
        <v>0</v>
      </c>
      <c r="DQ411" s="424">
        <f t="shared" si="218"/>
        <v>0</v>
      </c>
      <c r="DR411" s="424">
        <f t="shared" si="218"/>
        <v>0</v>
      </c>
      <c r="DS411" s="424">
        <f t="shared" si="218"/>
        <v>0</v>
      </c>
      <c r="DT411" s="424">
        <f t="shared" si="218"/>
        <v>0</v>
      </c>
      <c r="DU411" s="424">
        <f t="shared" si="218"/>
        <v>0</v>
      </c>
      <c r="DV411" s="424">
        <f t="shared" si="218"/>
        <v>0</v>
      </c>
      <c r="DW411" s="424">
        <f t="shared" si="218"/>
        <v>0</v>
      </c>
      <c r="DX411" s="424">
        <f t="shared" si="218"/>
        <v>0</v>
      </c>
      <c r="DY411" s="424">
        <f t="shared" si="218"/>
        <v>0</v>
      </c>
      <c r="DZ411" s="424">
        <f t="shared" si="218"/>
        <v>0</v>
      </c>
      <c r="EA411" s="424">
        <f t="shared" si="218"/>
        <v>0</v>
      </c>
      <c r="EB411" s="424">
        <f t="shared" si="218"/>
        <v>0</v>
      </c>
      <c r="EC411" s="424">
        <f t="shared" si="218"/>
        <v>0</v>
      </c>
      <c r="ED411" s="424">
        <f t="shared" si="218"/>
        <v>0</v>
      </c>
      <c r="EE411" s="424">
        <f t="shared" si="218"/>
        <v>0</v>
      </c>
      <c r="EF411" s="424">
        <f t="shared" si="218"/>
        <v>0</v>
      </c>
      <c r="EG411" s="424">
        <f t="shared" si="218"/>
        <v>0</v>
      </c>
      <c r="EH411" s="424">
        <f t="shared" ref="EH411:EX411" si="219">EH41*EH$372</f>
        <v>0</v>
      </c>
      <c r="EI411" s="424">
        <f t="shared" si="219"/>
        <v>0</v>
      </c>
      <c r="EJ411" s="424">
        <f t="shared" si="219"/>
        <v>0</v>
      </c>
      <c r="EK411" s="424">
        <f t="shared" si="219"/>
        <v>0</v>
      </c>
      <c r="EL411" s="424">
        <f t="shared" si="219"/>
        <v>0</v>
      </c>
      <c r="EM411" s="424">
        <f t="shared" si="219"/>
        <v>0</v>
      </c>
      <c r="EN411" s="424">
        <f t="shared" si="219"/>
        <v>0</v>
      </c>
      <c r="EO411" s="424">
        <f t="shared" si="219"/>
        <v>0</v>
      </c>
      <c r="EP411" s="424">
        <f t="shared" si="219"/>
        <v>0</v>
      </c>
      <c r="EQ411" s="424">
        <f t="shared" si="219"/>
        <v>0</v>
      </c>
      <c r="ER411" s="424">
        <f t="shared" si="219"/>
        <v>0</v>
      </c>
      <c r="ES411" s="424">
        <f t="shared" si="219"/>
        <v>0</v>
      </c>
      <c r="ET411" s="424">
        <f t="shared" si="219"/>
        <v>0</v>
      </c>
      <c r="EU411" s="424">
        <f t="shared" si="219"/>
        <v>0</v>
      </c>
      <c r="EV411" s="424">
        <f t="shared" si="219"/>
        <v>0</v>
      </c>
      <c r="EW411" s="424">
        <f t="shared" si="219"/>
        <v>0</v>
      </c>
      <c r="EX411" s="424">
        <f t="shared" si="219"/>
        <v>0</v>
      </c>
      <c r="EY411" s="425">
        <f t="shared" si="49"/>
        <v>3.83</v>
      </c>
    </row>
    <row r="412" spans="1:166" s="699" customFormat="1" ht="14.7" customHeight="1" x14ac:dyDescent="0.25">
      <c r="A412" s="310">
        <v>38</v>
      </c>
      <c r="B412" s="311" t="str">
        <f t="shared" si="30"/>
        <v>Салат из моркови и яблок с яйцом</v>
      </c>
      <c r="C412" s="483">
        <f t="shared" si="38"/>
        <v>6.28</v>
      </c>
      <c r="D412" s="888"/>
      <c r="E412" s="888"/>
      <c r="F412" s="888"/>
      <c r="G412" s="889"/>
      <c r="H412" s="680">
        <f t="shared" si="31"/>
        <v>65</v>
      </c>
      <c r="I412" s="1209">
        <f t="shared" si="32"/>
        <v>0</v>
      </c>
      <c r="J412" s="424">
        <f t="shared" ref="J412:AO412" si="220">J42*J$372</f>
        <v>0</v>
      </c>
      <c r="K412" s="424">
        <f t="shared" si="220"/>
        <v>0</v>
      </c>
      <c r="L412" s="424">
        <f t="shared" si="220"/>
        <v>0</v>
      </c>
      <c r="M412" s="424">
        <f t="shared" si="220"/>
        <v>0</v>
      </c>
      <c r="N412" s="424">
        <f t="shared" si="220"/>
        <v>0</v>
      </c>
      <c r="O412" s="424">
        <f t="shared" si="220"/>
        <v>0</v>
      </c>
      <c r="P412" s="424">
        <f t="shared" si="220"/>
        <v>0</v>
      </c>
      <c r="Q412" s="424">
        <f t="shared" si="220"/>
        <v>0</v>
      </c>
      <c r="R412" s="424">
        <f t="shared" si="220"/>
        <v>0</v>
      </c>
      <c r="S412" s="424">
        <f t="shared" si="220"/>
        <v>0</v>
      </c>
      <c r="T412" s="424">
        <f t="shared" si="220"/>
        <v>0</v>
      </c>
      <c r="U412" s="424">
        <f t="shared" si="220"/>
        <v>0</v>
      </c>
      <c r="V412" s="424">
        <f t="shared" si="220"/>
        <v>0</v>
      </c>
      <c r="W412" s="424">
        <f t="shared" si="220"/>
        <v>0</v>
      </c>
      <c r="X412" s="424">
        <f t="shared" si="220"/>
        <v>0</v>
      </c>
      <c r="Y412" s="424">
        <f t="shared" si="220"/>
        <v>0</v>
      </c>
      <c r="Z412" s="424">
        <f t="shared" si="220"/>
        <v>0</v>
      </c>
      <c r="AA412" s="424">
        <f t="shared" si="220"/>
        <v>0</v>
      </c>
      <c r="AB412" s="424">
        <f t="shared" si="220"/>
        <v>0</v>
      </c>
      <c r="AC412" s="424">
        <f t="shared" si="220"/>
        <v>0</v>
      </c>
      <c r="AD412" s="424">
        <f t="shared" si="220"/>
        <v>0</v>
      </c>
      <c r="AE412" s="424">
        <f t="shared" si="220"/>
        <v>0.84</v>
      </c>
      <c r="AF412" s="424">
        <f t="shared" si="220"/>
        <v>0</v>
      </c>
      <c r="AG412" s="424">
        <f t="shared" si="220"/>
        <v>0</v>
      </c>
      <c r="AH412" s="424">
        <f t="shared" si="220"/>
        <v>0</v>
      </c>
      <c r="AI412" s="424">
        <f t="shared" si="220"/>
        <v>0</v>
      </c>
      <c r="AJ412" s="424">
        <f t="shared" si="220"/>
        <v>0</v>
      </c>
      <c r="AK412" s="424">
        <f t="shared" si="220"/>
        <v>0</v>
      </c>
      <c r="AL412" s="424">
        <f t="shared" si="220"/>
        <v>0</v>
      </c>
      <c r="AM412" s="424">
        <f t="shared" si="220"/>
        <v>0</v>
      </c>
      <c r="AN412" s="424">
        <f t="shared" si="220"/>
        <v>0</v>
      </c>
      <c r="AO412" s="424">
        <f t="shared" si="220"/>
        <v>0</v>
      </c>
      <c r="AP412" s="424">
        <f t="shared" ref="AP412:BU412" si="221">AP42*AP$372</f>
        <v>0</v>
      </c>
      <c r="AQ412" s="424">
        <f t="shared" si="221"/>
        <v>1.65</v>
      </c>
      <c r="AR412" s="424">
        <f t="shared" si="221"/>
        <v>0</v>
      </c>
      <c r="AS412" s="424">
        <f t="shared" si="221"/>
        <v>0</v>
      </c>
      <c r="AT412" s="424">
        <f t="shared" si="221"/>
        <v>0</v>
      </c>
      <c r="AU412" s="424">
        <f t="shared" si="221"/>
        <v>0</v>
      </c>
      <c r="AV412" s="424">
        <f t="shared" si="221"/>
        <v>0</v>
      </c>
      <c r="AW412" s="424">
        <f t="shared" si="221"/>
        <v>0</v>
      </c>
      <c r="AX412" s="424">
        <f t="shared" si="221"/>
        <v>0</v>
      </c>
      <c r="AY412" s="424">
        <f t="shared" si="221"/>
        <v>0</v>
      </c>
      <c r="AZ412" s="424">
        <f t="shared" si="221"/>
        <v>0</v>
      </c>
      <c r="BA412" s="424">
        <f t="shared" si="221"/>
        <v>0</v>
      </c>
      <c r="BB412" s="424">
        <f t="shared" si="221"/>
        <v>0</v>
      </c>
      <c r="BC412" s="424">
        <f t="shared" si="221"/>
        <v>0</v>
      </c>
      <c r="BD412" s="424">
        <f t="shared" si="221"/>
        <v>0</v>
      </c>
      <c r="BE412" s="424">
        <f t="shared" si="221"/>
        <v>0</v>
      </c>
      <c r="BF412" s="424">
        <f t="shared" si="221"/>
        <v>0</v>
      </c>
      <c r="BG412" s="424">
        <f t="shared" si="221"/>
        <v>0</v>
      </c>
      <c r="BH412" s="424">
        <f t="shared" si="221"/>
        <v>0</v>
      </c>
      <c r="BI412" s="424">
        <f t="shared" si="221"/>
        <v>0</v>
      </c>
      <c r="BJ412" s="424">
        <f t="shared" si="221"/>
        <v>0</v>
      </c>
      <c r="BK412" s="424">
        <f t="shared" si="221"/>
        <v>0</v>
      </c>
      <c r="BL412" s="424">
        <f t="shared" si="221"/>
        <v>0</v>
      </c>
      <c r="BM412" s="424">
        <f t="shared" si="221"/>
        <v>0</v>
      </c>
      <c r="BN412" s="424">
        <f t="shared" si="221"/>
        <v>0</v>
      </c>
      <c r="BO412" s="424">
        <f t="shared" si="221"/>
        <v>0</v>
      </c>
      <c r="BP412" s="424">
        <f t="shared" si="221"/>
        <v>0</v>
      </c>
      <c r="BQ412" s="424">
        <f t="shared" si="221"/>
        <v>0</v>
      </c>
      <c r="BR412" s="424">
        <f t="shared" si="221"/>
        <v>3.43</v>
      </c>
      <c r="BS412" s="424">
        <f t="shared" si="221"/>
        <v>0</v>
      </c>
      <c r="BT412" s="424">
        <f t="shared" si="221"/>
        <v>0</v>
      </c>
      <c r="BU412" s="424">
        <f t="shared" si="221"/>
        <v>0</v>
      </c>
      <c r="BV412" s="424">
        <f t="shared" ref="BV412:DA412" si="222">BV42*BV$372</f>
        <v>0</v>
      </c>
      <c r="BW412" s="424">
        <f t="shared" si="222"/>
        <v>0</v>
      </c>
      <c r="BX412" s="424">
        <f t="shared" si="222"/>
        <v>0</v>
      </c>
      <c r="BY412" s="424">
        <f t="shared" si="222"/>
        <v>0</v>
      </c>
      <c r="BZ412" s="424">
        <f t="shared" si="222"/>
        <v>0</v>
      </c>
      <c r="CA412" s="424">
        <f t="shared" si="222"/>
        <v>0</v>
      </c>
      <c r="CB412" s="424">
        <f t="shared" si="222"/>
        <v>0</v>
      </c>
      <c r="CC412" s="424">
        <f t="shared" si="222"/>
        <v>0</v>
      </c>
      <c r="CD412" s="424">
        <f t="shared" si="222"/>
        <v>0</v>
      </c>
      <c r="CE412" s="424">
        <f t="shared" si="222"/>
        <v>0</v>
      </c>
      <c r="CF412" s="424">
        <f t="shared" si="222"/>
        <v>0.36</v>
      </c>
      <c r="CG412" s="424">
        <f t="shared" si="222"/>
        <v>0</v>
      </c>
      <c r="CH412" s="424">
        <f t="shared" si="222"/>
        <v>0</v>
      </c>
      <c r="CI412" s="424">
        <f t="shared" si="222"/>
        <v>0</v>
      </c>
      <c r="CJ412" s="424">
        <f t="shared" si="222"/>
        <v>0</v>
      </c>
      <c r="CK412" s="424">
        <f t="shared" si="222"/>
        <v>0</v>
      </c>
      <c r="CL412" s="424">
        <f t="shared" si="222"/>
        <v>0</v>
      </c>
      <c r="CM412" s="424">
        <f t="shared" si="222"/>
        <v>0</v>
      </c>
      <c r="CN412" s="424">
        <f t="shared" si="222"/>
        <v>0</v>
      </c>
      <c r="CO412" s="424">
        <f t="shared" si="222"/>
        <v>0</v>
      </c>
      <c r="CP412" s="424">
        <f t="shared" si="222"/>
        <v>0</v>
      </c>
      <c r="CQ412" s="424">
        <f t="shared" si="222"/>
        <v>0</v>
      </c>
      <c r="CR412" s="424">
        <f t="shared" si="222"/>
        <v>0</v>
      </c>
      <c r="CS412" s="424">
        <f t="shared" si="222"/>
        <v>0</v>
      </c>
      <c r="CT412" s="424">
        <f t="shared" si="222"/>
        <v>0</v>
      </c>
      <c r="CU412" s="424">
        <f t="shared" si="222"/>
        <v>0</v>
      </c>
      <c r="CV412" s="424">
        <f t="shared" si="222"/>
        <v>0</v>
      </c>
      <c r="CW412" s="424">
        <f t="shared" si="222"/>
        <v>0</v>
      </c>
      <c r="CX412" s="424">
        <f t="shared" si="222"/>
        <v>0</v>
      </c>
      <c r="CY412" s="424">
        <f t="shared" si="222"/>
        <v>0</v>
      </c>
      <c r="CZ412" s="424">
        <f t="shared" si="222"/>
        <v>0</v>
      </c>
      <c r="DA412" s="424">
        <f t="shared" si="222"/>
        <v>0</v>
      </c>
      <c r="DB412" s="424">
        <f t="shared" ref="DB412:EG412" si="223">DB42*DB$372</f>
        <v>0</v>
      </c>
      <c r="DC412" s="424">
        <f t="shared" si="223"/>
        <v>0</v>
      </c>
      <c r="DD412" s="424">
        <f t="shared" si="223"/>
        <v>0</v>
      </c>
      <c r="DE412" s="424">
        <f t="shared" si="223"/>
        <v>0</v>
      </c>
      <c r="DF412" s="424">
        <f t="shared" si="223"/>
        <v>0</v>
      </c>
      <c r="DG412" s="424">
        <f t="shared" si="223"/>
        <v>0</v>
      </c>
      <c r="DH412" s="424">
        <f t="shared" si="223"/>
        <v>0</v>
      </c>
      <c r="DI412" s="424">
        <f t="shared" si="223"/>
        <v>0</v>
      </c>
      <c r="DJ412" s="424">
        <f t="shared" si="223"/>
        <v>0</v>
      </c>
      <c r="DK412" s="424">
        <f t="shared" si="223"/>
        <v>0</v>
      </c>
      <c r="DL412" s="424">
        <f t="shared" si="223"/>
        <v>0</v>
      </c>
      <c r="DM412" s="424">
        <f t="shared" si="223"/>
        <v>0</v>
      </c>
      <c r="DN412" s="424">
        <f t="shared" si="223"/>
        <v>0</v>
      </c>
      <c r="DO412" s="424">
        <f t="shared" si="223"/>
        <v>0</v>
      </c>
      <c r="DP412" s="424">
        <f t="shared" si="223"/>
        <v>0</v>
      </c>
      <c r="DQ412" s="424">
        <f t="shared" si="223"/>
        <v>0</v>
      </c>
      <c r="DR412" s="424">
        <f t="shared" si="223"/>
        <v>0</v>
      </c>
      <c r="DS412" s="424">
        <f t="shared" si="223"/>
        <v>0</v>
      </c>
      <c r="DT412" s="424">
        <f t="shared" si="223"/>
        <v>0</v>
      </c>
      <c r="DU412" s="424">
        <f t="shared" si="223"/>
        <v>0</v>
      </c>
      <c r="DV412" s="424">
        <f t="shared" si="223"/>
        <v>0</v>
      </c>
      <c r="DW412" s="424">
        <f t="shared" si="223"/>
        <v>0</v>
      </c>
      <c r="DX412" s="424">
        <f t="shared" si="223"/>
        <v>0</v>
      </c>
      <c r="DY412" s="424">
        <f t="shared" si="223"/>
        <v>0</v>
      </c>
      <c r="DZ412" s="424">
        <f t="shared" si="223"/>
        <v>0</v>
      </c>
      <c r="EA412" s="424">
        <f t="shared" si="223"/>
        <v>0</v>
      </c>
      <c r="EB412" s="424">
        <f t="shared" si="223"/>
        <v>0</v>
      </c>
      <c r="EC412" s="424">
        <f t="shared" si="223"/>
        <v>0</v>
      </c>
      <c r="ED412" s="424">
        <f t="shared" si="223"/>
        <v>0</v>
      </c>
      <c r="EE412" s="424">
        <f t="shared" si="223"/>
        <v>0</v>
      </c>
      <c r="EF412" s="424">
        <f t="shared" si="223"/>
        <v>0</v>
      </c>
      <c r="EG412" s="424">
        <f t="shared" si="223"/>
        <v>0</v>
      </c>
      <c r="EH412" s="424">
        <f t="shared" ref="EH412:EX412" si="224">EH42*EH$372</f>
        <v>0</v>
      </c>
      <c r="EI412" s="424">
        <f t="shared" si="224"/>
        <v>0</v>
      </c>
      <c r="EJ412" s="424">
        <f t="shared" si="224"/>
        <v>0</v>
      </c>
      <c r="EK412" s="424">
        <f t="shared" si="224"/>
        <v>0</v>
      </c>
      <c r="EL412" s="424">
        <f t="shared" si="224"/>
        <v>0</v>
      </c>
      <c r="EM412" s="424">
        <f t="shared" si="224"/>
        <v>0</v>
      </c>
      <c r="EN412" s="424">
        <f t="shared" si="224"/>
        <v>0</v>
      </c>
      <c r="EO412" s="424">
        <f t="shared" si="224"/>
        <v>0</v>
      </c>
      <c r="EP412" s="424">
        <f t="shared" si="224"/>
        <v>0</v>
      </c>
      <c r="EQ412" s="424">
        <f t="shared" si="224"/>
        <v>0</v>
      </c>
      <c r="ER412" s="424">
        <f t="shared" si="224"/>
        <v>0</v>
      </c>
      <c r="ES412" s="424">
        <f t="shared" si="224"/>
        <v>0</v>
      </c>
      <c r="ET412" s="424">
        <f t="shared" si="224"/>
        <v>0</v>
      </c>
      <c r="EU412" s="424">
        <f t="shared" si="224"/>
        <v>0</v>
      </c>
      <c r="EV412" s="424">
        <f t="shared" si="224"/>
        <v>0</v>
      </c>
      <c r="EW412" s="424">
        <f t="shared" si="224"/>
        <v>0</v>
      </c>
      <c r="EX412" s="424">
        <f t="shared" si="224"/>
        <v>0</v>
      </c>
      <c r="EY412" s="425">
        <f t="shared" si="49"/>
        <v>6.28</v>
      </c>
      <c r="EZ412" s="616"/>
      <c r="FA412" s="616"/>
      <c r="FB412" s="616"/>
      <c r="FC412" s="616"/>
      <c r="FD412" s="616"/>
      <c r="FE412" s="616"/>
      <c r="FF412" s="616"/>
      <c r="FG412" s="616"/>
      <c r="FH412" s="616"/>
      <c r="FI412" s="616"/>
      <c r="FJ412" s="616"/>
    </row>
    <row r="413" spans="1:166" ht="14.7" customHeight="1" x14ac:dyDescent="0.25">
      <c r="A413" s="310">
        <v>39</v>
      </c>
      <c r="B413" s="311" t="str">
        <f t="shared" si="30"/>
        <v>Винегрет овощной (с горошком) с луком зеленым</v>
      </c>
      <c r="C413" s="483">
        <f t="shared" si="38"/>
        <v>10.01</v>
      </c>
      <c r="D413" s="888"/>
      <c r="E413" s="888"/>
      <c r="F413" s="888"/>
      <c r="G413" s="889"/>
      <c r="H413" s="680">
        <f t="shared" si="31"/>
        <v>67</v>
      </c>
      <c r="I413" s="1209">
        <f t="shared" si="32"/>
        <v>-0.01</v>
      </c>
      <c r="J413" s="424">
        <f t="shared" ref="J413:AO413" si="225">J43*J$372</f>
        <v>0</v>
      </c>
      <c r="K413" s="424">
        <f t="shared" si="225"/>
        <v>0</v>
      </c>
      <c r="L413" s="424">
        <f t="shared" si="225"/>
        <v>0</v>
      </c>
      <c r="M413" s="424">
        <f t="shared" si="225"/>
        <v>0</v>
      </c>
      <c r="N413" s="424">
        <f t="shared" si="225"/>
        <v>0</v>
      </c>
      <c r="O413" s="424">
        <f t="shared" si="225"/>
        <v>0</v>
      </c>
      <c r="P413" s="424">
        <f t="shared" si="225"/>
        <v>0</v>
      </c>
      <c r="Q413" s="424">
        <f t="shared" si="225"/>
        <v>0</v>
      </c>
      <c r="R413" s="424">
        <f t="shared" si="225"/>
        <v>0</v>
      </c>
      <c r="S413" s="424">
        <f t="shared" si="225"/>
        <v>0</v>
      </c>
      <c r="T413" s="424">
        <f t="shared" si="225"/>
        <v>0</v>
      </c>
      <c r="U413" s="424">
        <f t="shared" si="225"/>
        <v>0</v>
      </c>
      <c r="V413" s="424">
        <f t="shared" si="225"/>
        <v>0</v>
      </c>
      <c r="W413" s="424">
        <f t="shared" si="225"/>
        <v>0</v>
      </c>
      <c r="X413" s="424">
        <f t="shared" si="225"/>
        <v>0</v>
      </c>
      <c r="Y413" s="424">
        <f t="shared" si="225"/>
        <v>0</v>
      </c>
      <c r="Z413" s="424">
        <f t="shared" si="225"/>
        <v>0</v>
      </c>
      <c r="AA413" s="424">
        <f t="shared" si="225"/>
        <v>0</v>
      </c>
      <c r="AB413" s="424">
        <f t="shared" si="225"/>
        <v>0</v>
      </c>
      <c r="AC413" s="424">
        <f t="shared" si="225"/>
        <v>0</v>
      </c>
      <c r="AD413" s="424">
        <f t="shared" si="225"/>
        <v>0</v>
      </c>
      <c r="AE413" s="424">
        <f t="shared" si="225"/>
        <v>0</v>
      </c>
      <c r="AF413" s="424">
        <f t="shared" si="225"/>
        <v>0</v>
      </c>
      <c r="AG413" s="424">
        <f t="shared" si="225"/>
        <v>0</v>
      </c>
      <c r="AH413" s="424">
        <f t="shared" si="225"/>
        <v>1.1100000000000001</v>
      </c>
      <c r="AI413" s="424">
        <f t="shared" si="225"/>
        <v>0</v>
      </c>
      <c r="AJ413" s="424">
        <f t="shared" si="225"/>
        <v>0</v>
      </c>
      <c r="AK413" s="424">
        <f t="shared" si="225"/>
        <v>0</v>
      </c>
      <c r="AL413" s="424">
        <f t="shared" si="225"/>
        <v>4.32</v>
      </c>
      <c r="AM413" s="424">
        <f t="shared" si="225"/>
        <v>0</v>
      </c>
      <c r="AN413" s="424">
        <f t="shared" si="225"/>
        <v>0</v>
      </c>
      <c r="AO413" s="424">
        <f t="shared" si="225"/>
        <v>0</v>
      </c>
      <c r="AP413" s="424">
        <f t="shared" ref="AP413:BU413" si="226">AP43*AP$372</f>
        <v>0</v>
      </c>
      <c r="AQ413" s="424">
        <f t="shared" si="226"/>
        <v>0.48</v>
      </c>
      <c r="AR413" s="424">
        <f t="shared" si="226"/>
        <v>0</v>
      </c>
      <c r="AS413" s="424">
        <f t="shared" si="226"/>
        <v>0</v>
      </c>
      <c r="AT413" s="424">
        <f t="shared" si="226"/>
        <v>0</v>
      </c>
      <c r="AU413" s="424">
        <f t="shared" si="226"/>
        <v>0</v>
      </c>
      <c r="AV413" s="424">
        <f t="shared" si="226"/>
        <v>0</v>
      </c>
      <c r="AW413" s="424">
        <f t="shared" si="226"/>
        <v>0</v>
      </c>
      <c r="AX413" s="424">
        <f t="shared" si="226"/>
        <v>0.44</v>
      </c>
      <c r="AY413" s="424">
        <f t="shared" si="226"/>
        <v>0</v>
      </c>
      <c r="AZ413" s="424">
        <f t="shared" si="226"/>
        <v>0</v>
      </c>
      <c r="BA413" s="424">
        <f t="shared" si="226"/>
        <v>0</v>
      </c>
      <c r="BB413" s="424">
        <f t="shared" si="226"/>
        <v>0</v>
      </c>
      <c r="BC413" s="424">
        <f t="shared" si="226"/>
        <v>0</v>
      </c>
      <c r="BD413" s="424">
        <f t="shared" si="226"/>
        <v>0</v>
      </c>
      <c r="BE413" s="424">
        <f t="shared" si="226"/>
        <v>0</v>
      </c>
      <c r="BF413" s="424">
        <f t="shared" si="226"/>
        <v>0</v>
      </c>
      <c r="BG413" s="424">
        <f t="shared" si="226"/>
        <v>0</v>
      </c>
      <c r="BH413" s="424">
        <f t="shared" si="226"/>
        <v>0</v>
      </c>
      <c r="BI413" s="424">
        <f t="shared" si="226"/>
        <v>0</v>
      </c>
      <c r="BJ413" s="424">
        <f t="shared" si="226"/>
        <v>0</v>
      </c>
      <c r="BK413" s="424">
        <f t="shared" si="226"/>
        <v>0</v>
      </c>
      <c r="BL413" s="424">
        <f t="shared" si="226"/>
        <v>0</v>
      </c>
      <c r="BM413" s="424">
        <f t="shared" si="226"/>
        <v>0</v>
      </c>
      <c r="BN413" s="424">
        <f t="shared" si="226"/>
        <v>0</v>
      </c>
      <c r="BO413" s="424">
        <f t="shared" si="226"/>
        <v>0</v>
      </c>
      <c r="BP413" s="424">
        <f t="shared" si="226"/>
        <v>0</v>
      </c>
      <c r="BQ413" s="424">
        <f t="shared" si="226"/>
        <v>0</v>
      </c>
      <c r="BR413" s="424">
        <f t="shared" si="226"/>
        <v>0</v>
      </c>
      <c r="BS413" s="424">
        <f t="shared" si="226"/>
        <v>0</v>
      </c>
      <c r="BT413" s="424">
        <f t="shared" si="226"/>
        <v>0</v>
      </c>
      <c r="BU413" s="424">
        <f t="shared" si="226"/>
        <v>0</v>
      </c>
      <c r="BV413" s="424">
        <f t="shared" ref="BV413:DA413" si="227">BV43*BV$372</f>
        <v>0</v>
      </c>
      <c r="BW413" s="424">
        <f t="shared" si="227"/>
        <v>0</v>
      </c>
      <c r="BX413" s="424">
        <f t="shared" si="227"/>
        <v>0</v>
      </c>
      <c r="BY413" s="424">
        <f t="shared" si="227"/>
        <v>0</v>
      </c>
      <c r="BZ413" s="424">
        <f t="shared" si="227"/>
        <v>0</v>
      </c>
      <c r="CA413" s="424">
        <f t="shared" si="227"/>
        <v>0</v>
      </c>
      <c r="CB413" s="424">
        <f t="shared" si="227"/>
        <v>0</v>
      </c>
      <c r="CC413" s="424">
        <f t="shared" si="227"/>
        <v>0</v>
      </c>
      <c r="CD413" s="424">
        <f t="shared" si="227"/>
        <v>0</v>
      </c>
      <c r="CE413" s="424">
        <f t="shared" si="227"/>
        <v>0</v>
      </c>
      <c r="CF413" s="424">
        <f t="shared" si="227"/>
        <v>0.92</v>
      </c>
      <c r="CG413" s="424">
        <f t="shared" si="227"/>
        <v>0</v>
      </c>
      <c r="CH413" s="424">
        <f t="shared" si="227"/>
        <v>0</v>
      </c>
      <c r="CI413" s="424">
        <f t="shared" si="227"/>
        <v>0</v>
      </c>
      <c r="CJ413" s="424">
        <f t="shared" si="227"/>
        <v>0</v>
      </c>
      <c r="CK413" s="424">
        <f t="shared" si="227"/>
        <v>0</v>
      </c>
      <c r="CL413" s="424">
        <f t="shared" si="227"/>
        <v>0</v>
      </c>
      <c r="CM413" s="424">
        <f t="shared" si="227"/>
        <v>0</v>
      </c>
      <c r="CN413" s="424">
        <f t="shared" si="227"/>
        <v>0</v>
      </c>
      <c r="CO413" s="424">
        <f t="shared" si="227"/>
        <v>0</v>
      </c>
      <c r="CP413" s="424">
        <f t="shared" si="227"/>
        <v>0</v>
      </c>
      <c r="CQ413" s="424">
        <f t="shared" si="227"/>
        <v>0</v>
      </c>
      <c r="CR413" s="424">
        <f t="shared" si="227"/>
        <v>0</v>
      </c>
      <c r="CS413" s="424">
        <f t="shared" si="227"/>
        <v>0</v>
      </c>
      <c r="CT413" s="424">
        <f t="shared" si="227"/>
        <v>1.73</v>
      </c>
      <c r="CU413" s="424">
        <f t="shared" si="227"/>
        <v>0</v>
      </c>
      <c r="CV413" s="424">
        <f t="shared" si="227"/>
        <v>0</v>
      </c>
      <c r="CW413" s="424">
        <f t="shared" si="227"/>
        <v>0</v>
      </c>
      <c r="CX413" s="424">
        <f t="shared" si="227"/>
        <v>0</v>
      </c>
      <c r="CY413" s="424">
        <f t="shared" si="227"/>
        <v>0</v>
      </c>
      <c r="CZ413" s="424">
        <f t="shared" si="227"/>
        <v>0</v>
      </c>
      <c r="DA413" s="424">
        <f t="shared" si="227"/>
        <v>0</v>
      </c>
      <c r="DB413" s="424">
        <f t="shared" ref="DB413:EG413" si="228">DB43*DB$372</f>
        <v>0</v>
      </c>
      <c r="DC413" s="424">
        <f t="shared" si="228"/>
        <v>0.05</v>
      </c>
      <c r="DD413" s="424">
        <f t="shared" si="228"/>
        <v>0</v>
      </c>
      <c r="DE413" s="424">
        <f t="shared" si="228"/>
        <v>0</v>
      </c>
      <c r="DF413" s="424">
        <f t="shared" si="228"/>
        <v>0</v>
      </c>
      <c r="DG413" s="424">
        <f t="shared" si="228"/>
        <v>0</v>
      </c>
      <c r="DH413" s="424">
        <f t="shared" si="228"/>
        <v>0</v>
      </c>
      <c r="DI413" s="424">
        <f t="shared" si="228"/>
        <v>0</v>
      </c>
      <c r="DJ413" s="424">
        <f t="shared" si="228"/>
        <v>0</v>
      </c>
      <c r="DK413" s="424">
        <f t="shared" si="228"/>
        <v>0</v>
      </c>
      <c r="DL413" s="424">
        <f t="shared" si="228"/>
        <v>0</v>
      </c>
      <c r="DM413" s="424">
        <f t="shared" si="228"/>
        <v>0</v>
      </c>
      <c r="DN413" s="424">
        <f t="shared" si="228"/>
        <v>0</v>
      </c>
      <c r="DO413" s="424">
        <f t="shared" si="228"/>
        <v>0</v>
      </c>
      <c r="DP413" s="424">
        <f t="shared" si="228"/>
        <v>0</v>
      </c>
      <c r="DQ413" s="424">
        <f t="shared" si="228"/>
        <v>0</v>
      </c>
      <c r="DR413" s="424">
        <f t="shared" si="228"/>
        <v>0</v>
      </c>
      <c r="DS413" s="424">
        <f t="shared" si="228"/>
        <v>0</v>
      </c>
      <c r="DT413" s="424">
        <f t="shared" si="228"/>
        <v>0</v>
      </c>
      <c r="DU413" s="424">
        <f t="shared" si="228"/>
        <v>0.96</v>
      </c>
      <c r="DV413" s="424">
        <f t="shared" si="228"/>
        <v>0</v>
      </c>
      <c r="DW413" s="424">
        <f t="shared" si="228"/>
        <v>0</v>
      </c>
      <c r="DX413" s="424">
        <f t="shared" si="228"/>
        <v>0</v>
      </c>
      <c r="DY413" s="424">
        <f t="shared" si="228"/>
        <v>0</v>
      </c>
      <c r="DZ413" s="424">
        <f t="shared" si="228"/>
        <v>0</v>
      </c>
      <c r="EA413" s="424">
        <f t="shared" si="228"/>
        <v>0</v>
      </c>
      <c r="EB413" s="424">
        <f t="shared" si="228"/>
        <v>0</v>
      </c>
      <c r="EC413" s="424">
        <f t="shared" si="228"/>
        <v>0</v>
      </c>
      <c r="ED413" s="424">
        <f t="shared" si="228"/>
        <v>0</v>
      </c>
      <c r="EE413" s="424">
        <f t="shared" si="228"/>
        <v>0</v>
      </c>
      <c r="EF413" s="424">
        <f t="shared" si="228"/>
        <v>0</v>
      </c>
      <c r="EG413" s="424">
        <f t="shared" si="228"/>
        <v>0</v>
      </c>
      <c r="EH413" s="424">
        <f t="shared" ref="EH413:EX413" si="229">EH43*EH$372</f>
        <v>0</v>
      </c>
      <c r="EI413" s="424">
        <f t="shared" si="229"/>
        <v>0</v>
      </c>
      <c r="EJ413" s="424">
        <f t="shared" si="229"/>
        <v>0</v>
      </c>
      <c r="EK413" s="424">
        <f t="shared" si="229"/>
        <v>0</v>
      </c>
      <c r="EL413" s="424">
        <f t="shared" si="229"/>
        <v>0</v>
      </c>
      <c r="EM413" s="424">
        <f t="shared" si="229"/>
        <v>0</v>
      </c>
      <c r="EN413" s="424">
        <f t="shared" si="229"/>
        <v>0</v>
      </c>
      <c r="EO413" s="424">
        <f t="shared" si="229"/>
        <v>0</v>
      </c>
      <c r="EP413" s="424">
        <f t="shared" si="229"/>
        <v>0</v>
      </c>
      <c r="EQ413" s="424">
        <f t="shared" si="229"/>
        <v>0</v>
      </c>
      <c r="ER413" s="424">
        <f t="shared" si="229"/>
        <v>0</v>
      </c>
      <c r="ES413" s="424">
        <f t="shared" si="229"/>
        <v>0</v>
      </c>
      <c r="ET413" s="424">
        <f t="shared" si="229"/>
        <v>0</v>
      </c>
      <c r="EU413" s="424">
        <f t="shared" si="229"/>
        <v>0</v>
      </c>
      <c r="EV413" s="424">
        <f t="shared" si="229"/>
        <v>0</v>
      </c>
      <c r="EW413" s="424">
        <f t="shared" si="229"/>
        <v>0</v>
      </c>
      <c r="EX413" s="424">
        <f t="shared" si="229"/>
        <v>0</v>
      </c>
      <c r="EY413" s="425">
        <f t="shared" si="49"/>
        <v>10.01</v>
      </c>
    </row>
    <row r="414" spans="1:166" ht="14.7" customHeight="1" x14ac:dyDescent="0.25">
      <c r="A414" s="310">
        <v>40</v>
      </c>
      <c r="B414" s="311" t="str">
        <f t="shared" si="30"/>
        <v>Винегрет овощной (с капустой) с луком зеленым</v>
      </c>
      <c r="C414" s="483">
        <f t="shared" si="38"/>
        <v>10.65</v>
      </c>
      <c r="D414" s="888"/>
      <c r="E414" s="888"/>
      <c r="F414" s="888"/>
      <c r="G414" s="889"/>
      <c r="H414" s="680">
        <f t="shared" si="31"/>
        <v>67</v>
      </c>
      <c r="I414" s="1209">
        <f t="shared" si="32"/>
        <v>0</v>
      </c>
      <c r="J414" s="424">
        <f t="shared" ref="J414:AO414" si="230">J44*J$372</f>
        <v>0</v>
      </c>
      <c r="K414" s="424">
        <f t="shared" si="230"/>
        <v>0</v>
      </c>
      <c r="L414" s="424">
        <f t="shared" si="230"/>
        <v>0</v>
      </c>
      <c r="M414" s="424">
        <f t="shared" si="230"/>
        <v>0</v>
      </c>
      <c r="N414" s="424">
        <f t="shared" si="230"/>
        <v>0</v>
      </c>
      <c r="O414" s="424">
        <f t="shared" si="230"/>
        <v>0</v>
      </c>
      <c r="P414" s="424">
        <f t="shared" si="230"/>
        <v>0</v>
      </c>
      <c r="Q414" s="424">
        <f t="shared" si="230"/>
        <v>0</v>
      </c>
      <c r="R414" s="424">
        <f t="shared" si="230"/>
        <v>0</v>
      </c>
      <c r="S414" s="424">
        <f t="shared" si="230"/>
        <v>0</v>
      </c>
      <c r="T414" s="424">
        <f t="shared" si="230"/>
        <v>0</v>
      </c>
      <c r="U414" s="424">
        <f t="shared" si="230"/>
        <v>0</v>
      </c>
      <c r="V414" s="424">
        <f t="shared" si="230"/>
        <v>0</v>
      </c>
      <c r="W414" s="424">
        <f t="shared" si="230"/>
        <v>0</v>
      </c>
      <c r="X414" s="424">
        <f t="shared" si="230"/>
        <v>0</v>
      </c>
      <c r="Y414" s="424">
        <f t="shared" si="230"/>
        <v>0</v>
      </c>
      <c r="Z414" s="424">
        <f t="shared" si="230"/>
        <v>0</v>
      </c>
      <c r="AA414" s="424">
        <f t="shared" si="230"/>
        <v>0</v>
      </c>
      <c r="AB414" s="424">
        <f t="shared" si="230"/>
        <v>0</v>
      </c>
      <c r="AC414" s="424">
        <f t="shared" si="230"/>
        <v>0</v>
      </c>
      <c r="AD414" s="424">
        <f t="shared" si="230"/>
        <v>0</v>
      </c>
      <c r="AE414" s="424">
        <f t="shared" si="230"/>
        <v>0</v>
      </c>
      <c r="AF414" s="424">
        <f t="shared" si="230"/>
        <v>0</v>
      </c>
      <c r="AG414" s="424">
        <f t="shared" si="230"/>
        <v>0</v>
      </c>
      <c r="AH414" s="424">
        <f t="shared" si="230"/>
        <v>1.08</v>
      </c>
      <c r="AI414" s="424">
        <f t="shared" si="230"/>
        <v>0</v>
      </c>
      <c r="AJ414" s="424">
        <f t="shared" si="230"/>
        <v>0</v>
      </c>
      <c r="AK414" s="424">
        <f t="shared" si="230"/>
        <v>0</v>
      </c>
      <c r="AL414" s="424">
        <f t="shared" si="230"/>
        <v>4.2300000000000004</v>
      </c>
      <c r="AM414" s="424">
        <f t="shared" si="230"/>
        <v>0</v>
      </c>
      <c r="AN414" s="424">
        <f t="shared" si="230"/>
        <v>0</v>
      </c>
      <c r="AO414" s="424">
        <f t="shared" si="230"/>
        <v>0</v>
      </c>
      <c r="AP414" s="424">
        <f t="shared" ref="AP414:BU414" si="231">AP44*AP$372</f>
        <v>0</v>
      </c>
      <c r="AQ414" s="424">
        <f t="shared" si="231"/>
        <v>0.47</v>
      </c>
      <c r="AR414" s="424">
        <f t="shared" si="231"/>
        <v>0</v>
      </c>
      <c r="AS414" s="424">
        <f t="shared" si="231"/>
        <v>0</v>
      </c>
      <c r="AT414" s="424">
        <f t="shared" si="231"/>
        <v>0</v>
      </c>
      <c r="AU414" s="424">
        <f t="shared" si="231"/>
        <v>0</v>
      </c>
      <c r="AV414" s="424">
        <f t="shared" si="231"/>
        <v>0</v>
      </c>
      <c r="AW414" s="424">
        <f t="shared" si="231"/>
        <v>0</v>
      </c>
      <c r="AX414" s="424">
        <f t="shared" si="231"/>
        <v>0.43</v>
      </c>
      <c r="AY414" s="424">
        <f t="shared" si="231"/>
        <v>0</v>
      </c>
      <c r="AZ414" s="424">
        <f t="shared" si="231"/>
        <v>0</v>
      </c>
      <c r="BA414" s="424">
        <f t="shared" si="231"/>
        <v>0</v>
      </c>
      <c r="BB414" s="424">
        <f t="shared" si="231"/>
        <v>0</v>
      </c>
      <c r="BC414" s="424">
        <f t="shared" si="231"/>
        <v>0</v>
      </c>
      <c r="BD414" s="424">
        <f t="shared" si="231"/>
        <v>0</v>
      </c>
      <c r="BE414" s="424">
        <f t="shared" si="231"/>
        <v>0</v>
      </c>
      <c r="BF414" s="424">
        <f t="shared" si="231"/>
        <v>0</v>
      </c>
      <c r="BG414" s="424">
        <f t="shared" si="231"/>
        <v>0</v>
      </c>
      <c r="BH414" s="424">
        <f t="shared" si="231"/>
        <v>0</v>
      </c>
      <c r="BI414" s="424">
        <f t="shared" si="231"/>
        <v>0</v>
      </c>
      <c r="BJ414" s="424">
        <f t="shared" si="231"/>
        <v>0</v>
      </c>
      <c r="BK414" s="424">
        <f t="shared" si="231"/>
        <v>0</v>
      </c>
      <c r="BL414" s="424">
        <f t="shared" si="231"/>
        <v>0</v>
      </c>
      <c r="BM414" s="424">
        <f t="shared" si="231"/>
        <v>0</v>
      </c>
      <c r="BN414" s="424">
        <f t="shared" si="231"/>
        <v>0</v>
      </c>
      <c r="BO414" s="424">
        <f t="shared" si="231"/>
        <v>0</v>
      </c>
      <c r="BP414" s="424">
        <f t="shared" si="231"/>
        <v>0</v>
      </c>
      <c r="BQ414" s="424">
        <f t="shared" si="231"/>
        <v>0</v>
      </c>
      <c r="BR414" s="424">
        <f t="shared" si="231"/>
        <v>0</v>
      </c>
      <c r="BS414" s="424">
        <f t="shared" si="231"/>
        <v>0</v>
      </c>
      <c r="BT414" s="424">
        <f t="shared" si="231"/>
        <v>0</v>
      </c>
      <c r="BU414" s="424">
        <f t="shared" si="231"/>
        <v>0</v>
      </c>
      <c r="BV414" s="424">
        <f t="shared" ref="BV414:DA414" si="232">BV44*BV$372</f>
        <v>0</v>
      </c>
      <c r="BW414" s="424">
        <f t="shared" si="232"/>
        <v>0</v>
      </c>
      <c r="BX414" s="424">
        <f t="shared" si="232"/>
        <v>0</v>
      </c>
      <c r="BY414" s="424">
        <f t="shared" si="232"/>
        <v>0</v>
      </c>
      <c r="BZ414" s="424">
        <f t="shared" si="232"/>
        <v>0</v>
      </c>
      <c r="CA414" s="424">
        <f t="shared" si="232"/>
        <v>0</v>
      </c>
      <c r="CB414" s="424">
        <f t="shared" si="232"/>
        <v>0</v>
      </c>
      <c r="CC414" s="424">
        <f t="shared" si="232"/>
        <v>0</v>
      </c>
      <c r="CD414" s="424">
        <f t="shared" si="232"/>
        <v>0</v>
      </c>
      <c r="CE414" s="424">
        <f t="shared" si="232"/>
        <v>0</v>
      </c>
      <c r="CF414" s="424">
        <f t="shared" si="232"/>
        <v>0.9</v>
      </c>
      <c r="CG414" s="424">
        <f t="shared" si="232"/>
        <v>0</v>
      </c>
      <c r="CH414" s="424">
        <f t="shared" si="232"/>
        <v>0</v>
      </c>
      <c r="CI414" s="424">
        <f t="shared" si="232"/>
        <v>0</v>
      </c>
      <c r="CJ414" s="424">
        <f t="shared" si="232"/>
        <v>0</v>
      </c>
      <c r="CK414" s="424">
        <f t="shared" si="232"/>
        <v>0</v>
      </c>
      <c r="CL414" s="424">
        <f t="shared" si="232"/>
        <v>0</v>
      </c>
      <c r="CM414" s="424">
        <f t="shared" si="232"/>
        <v>0</v>
      </c>
      <c r="CN414" s="424">
        <f t="shared" si="232"/>
        <v>0</v>
      </c>
      <c r="CO414" s="424">
        <f t="shared" si="232"/>
        <v>0</v>
      </c>
      <c r="CP414" s="424">
        <f t="shared" si="232"/>
        <v>0</v>
      </c>
      <c r="CQ414" s="424">
        <f t="shared" si="232"/>
        <v>0</v>
      </c>
      <c r="CR414" s="424">
        <f t="shared" si="232"/>
        <v>0</v>
      </c>
      <c r="CS414" s="424">
        <f t="shared" si="232"/>
        <v>0</v>
      </c>
      <c r="CT414" s="424">
        <f t="shared" si="232"/>
        <v>1.69</v>
      </c>
      <c r="CU414" s="424">
        <f t="shared" si="232"/>
        <v>0</v>
      </c>
      <c r="CV414" s="424">
        <f t="shared" si="232"/>
        <v>1.8</v>
      </c>
      <c r="CW414" s="424">
        <f t="shared" si="232"/>
        <v>0</v>
      </c>
      <c r="CX414" s="424">
        <f t="shared" si="232"/>
        <v>0</v>
      </c>
      <c r="CY414" s="424">
        <f t="shared" si="232"/>
        <v>0</v>
      </c>
      <c r="CZ414" s="424">
        <f t="shared" si="232"/>
        <v>0</v>
      </c>
      <c r="DA414" s="424">
        <f t="shared" si="232"/>
        <v>0</v>
      </c>
      <c r="DB414" s="424">
        <f t="shared" ref="DB414:EG414" si="233">DB44*DB$372</f>
        <v>0</v>
      </c>
      <c r="DC414" s="424">
        <f t="shared" si="233"/>
        <v>0.05</v>
      </c>
      <c r="DD414" s="424">
        <f t="shared" si="233"/>
        <v>0</v>
      </c>
      <c r="DE414" s="424">
        <f t="shared" si="233"/>
        <v>0</v>
      </c>
      <c r="DF414" s="424">
        <f t="shared" si="233"/>
        <v>0</v>
      </c>
      <c r="DG414" s="424">
        <f t="shared" si="233"/>
        <v>0</v>
      </c>
      <c r="DH414" s="424">
        <f t="shared" si="233"/>
        <v>0</v>
      </c>
      <c r="DI414" s="424">
        <f t="shared" si="233"/>
        <v>0</v>
      </c>
      <c r="DJ414" s="424">
        <f t="shared" si="233"/>
        <v>0</v>
      </c>
      <c r="DK414" s="424">
        <f t="shared" si="233"/>
        <v>0</v>
      </c>
      <c r="DL414" s="424">
        <f t="shared" si="233"/>
        <v>0</v>
      </c>
      <c r="DM414" s="424">
        <f t="shared" si="233"/>
        <v>0</v>
      </c>
      <c r="DN414" s="424">
        <f t="shared" si="233"/>
        <v>0</v>
      </c>
      <c r="DO414" s="424">
        <f t="shared" si="233"/>
        <v>0</v>
      </c>
      <c r="DP414" s="424">
        <f t="shared" si="233"/>
        <v>0</v>
      </c>
      <c r="DQ414" s="424">
        <f t="shared" si="233"/>
        <v>0</v>
      </c>
      <c r="DR414" s="424">
        <f t="shared" si="233"/>
        <v>0</v>
      </c>
      <c r="DS414" s="424">
        <f t="shared" si="233"/>
        <v>0</v>
      </c>
      <c r="DT414" s="424">
        <f t="shared" si="233"/>
        <v>0</v>
      </c>
      <c r="DU414" s="424">
        <f t="shared" si="233"/>
        <v>0</v>
      </c>
      <c r="DV414" s="424">
        <f t="shared" si="233"/>
        <v>0</v>
      </c>
      <c r="DW414" s="424">
        <f t="shared" si="233"/>
        <v>0</v>
      </c>
      <c r="DX414" s="424">
        <f t="shared" si="233"/>
        <v>0</v>
      </c>
      <c r="DY414" s="424">
        <f t="shared" si="233"/>
        <v>0</v>
      </c>
      <c r="DZ414" s="424">
        <f t="shared" si="233"/>
        <v>0</v>
      </c>
      <c r="EA414" s="424">
        <f t="shared" si="233"/>
        <v>0</v>
      </c>
      <c r="EB414" s="424">
        <f t="shared" si="233"/>
        <v>0</v>
      </c>
      <c r="EC414" s="424">
        <f t="shared" si="233"/>
        <v>0</v>
      </c>
      <c r="ED414" s="424">
        <f t="shared" si="233"/>
        <v>0</v>
      </c>
      <c r="EE414" s="424">
        <f t="shared" si="233"/>
        <v>0</v>
      </c>
      <c r="EF414" s="424">
        <f t="shared" si="233"/>
        <v>0</v>
      </c>
      <c r="EG414" s="424">
        <f t="shared" si="233"/>
        <v>0</v>
      </c>
      <c r="EH414" s="424">
        <f t="shared" ref="EH414:EX414" si="234">EH44*EH$372</f>
        <v>0</v>
      </c>
      <c r="EI414" s="424">
        <f t="shared" si="234"/>
        <v>0</v>
      </c>
      <c r="EJ414" s="424">
        <f t="shared" si="234"/>
        <v>0</v>
      </c>
      <c r="EK414" s="424">
        <f t="shared" si="234"/>
        <v>0</v>
      </c>
      <c r="EL414" s="424">
        <f t="shared" si="234"/>
        <v>0</v>
      </c>
      <c r="EM414" s="424">
        <f t="shared" si="234"/>
        <v>0</v>
      </c>
      <c r="EN414" s="424">
        <f t="shared" si="234"/>
        <v>0</v>
      </c>
      <c r="EO414" s="424">
        <f t="shared" si="234"/>
        <v>0</v>
      </c>
      <c r="EP414" s="424">
        <f t="shared" si="234"/>
        <v>0</v>
      </c>
      <c r="EQ414" s="424">
        <f t="shared" si="234"/>
        <v>0</v>
      </c>
      <c r="ER414" s="424">
        <f t="shared" si="234"/>
        <v>0</v>
      </c>
      <c r="ES414" s="424">
        <f t="shared" si="234"/>
        <v>0</v>
      </c>
      <c r="ET414" s="424">
        <f t="shared" si="234"/>
        <v>0</v>
      </c>
      <c r="EU414" s="424">
        <f t="shared" si="234"/>
        <v>0</v>
      </c>
      <c r="EV414" s="424">
        <f t="shared" si="234"/>
        <v>0</v>
      </c>
      <c r="EW414" s="424">
        <f t="shared" si="234"/>
        <v>0</v>
      </c>
      <c r="EX414" s="424">
        <f t="shared" si="234"/>
        <v>0</v>
      </c>
      <c r="EY414" s="425">
        <f t="shared" si="49"/>
        <v>10.65</v>
      </c>
    </row>
    <row r="415" spans="1:166" ht="14.7" customHeight="1" x14ac:dyDescent="0.25">
      <c r="A415" s="310">
        <v>41</v>
      </c>
      <c r="B415" s="311" t="str">
        <f t="shared" si="30"/>
        <v>Винегрет овощной с фасолью</v>
      </c>
      <c r="C415" s="483">
        <f t="shared" si="38"/>
        <v>13.08</v>
      </c>
      <c r="D415" s="888"/>
      <c r="E415" s="888"/>
      <c r="F415" s="888"/>
      <c r="G415" s="889"/>
      <c r="H415" s="680">
        <f t="shared" si="31"/>
        <v>68</v>
      </c>
      <c r="I415" s="1209">
        <f t="shared" si="32"/>
        <v>0</v>
      </c>
      <c r="J415" s="424">
        <f t="shared" ref="J415:AO415" si="235">J45*J$372</f>
        <v>0</v>
      </c>
      <c r="K415" s="424">
        <f t="shared" si="235"/>
        <v>0</v>
      </c>
      <c r="L415" s="424">
        <f t="shared" si="235"/>
        <v>0</v>
      </c>
      <c r="M415" s="424">
        <f t="shared" si="235"/>
        <v>0</v>
      </c>
      <c r="N415" s="424">
        <f t="shared" si="235"/>
        <v>0</v>
      </c>
      <c r="O415" s="424">
        <f t="shared" si="235"/>
        <v>0</v>
      </c>
      <c r="P415" s="424">
        <f t="shared" si="235"/>
        <v>0</v>
      </c>
      <c r="Q415" s="424">
        <f t="shared" si="235"/>
        <v>0</v>
      </c>
      <c r="R415" s="424">
        <f t="shared" si="235"/>
        <v>0</v>
      </c>
      <c r="S415" s="424">
        <f t="shared" si="235"/>
        <v>0</v>
      </c>
      <c r="T415" s="424">
        <f t="shared" si="235"/>
        <v>0</v>
      </c>
      <c r="U415" s="424">
        <f t="shared" si="235"/>
        <v>0</v>
      </c>
      <c r="V415" s="424">
        <f t="shared" si="235"/>
        <v>0</v>
      </c>
      <c r="W415" s="424">
        <f t="shared" si="235"/>
        <v>0</v>
      </c>
      <c r="X415" s="424">
        <f t="shared" si="235"/>
        <v>0</v>
      </c>
      <c r="Y415" s="424">
        <f t="shared" si="235"/>
        <v>0</v>
      </c>
      <c r="Z415" s="424">
        <f t="shared" si="235"/>
        <v>0</v>
      </c>
      <c r="AA415" s="424">
        <f t="shared" si="235"/>
        <v>0</v>
      </c>
      <c r="AB415" s="424">
        <f t="shared" si="235"/>
        <v>0</v>
      </c>
      <c r="AC415" s="424">
        <f t="shared" si="235"/>
        <v>0</v>
      </c>
      <c r="AD415" s="424">
        <f t="shared" si="235"/>
        <v>0</v>
      </c>
      <c r="AE415" s="424">
        <f t="shared" si="235"/>
        <v>0</v>
      </c>
      <c r="AF415" s="424">
        <f t="shared" si="235"/>
        <v>0</v>
      </c>
      <c r="AG415" s="424">
        <f t="shared" si="235"/>
        <v>0</v>
      </c>
      <c r="AH415" s="424">
        <f t="shared" si="235"/>
        <v>0.77</v>
      </c>
      <c r="AI415" s="424">
        <f t="shared" si="235"/>
        <v>0</v>
      </c>
      <c r="AJ415" s="424">
        <f t="shared" si="235"/>
        <v>0</v>
      </c>
      <c r="AK415" s="424">
        <f t="shared" si="235"/>
        <v>0</v>
      </c>
      <c r="AL415" s="424">
        <f t="shared" si="235"/>
        <v>3</v>
      </c>
      <c r="AM415" s="424">
        <f t="shared" si="235"/>
        <v>0</v>
      </c>
      <c r="AN415" s="424">
        <f t="shared" si="235"/>
        <v>0</v>
      </c>
      <c r="AO415" s="424">
        <f t="shared" si="235"/>
        <v>0</v>
      </c>
      <c r="AP415" s="424">
        <f t="shared" ref="AP415:BU415" si="236">AP45*AP$372</f>
        <v>0</v>
      </c>
      <c r="AQ415" s="424">
        <f t="shared" si="236"/>
        <v>0.34</v>
      </c>
      <c r="AR415" s="424">
        <f t="shared" si="236"/>
        <v>0</v>
      </c>
      <c r="AS415" s="424">
        <f t="shared" si="236"/>
        <v>0</v>
      </c>
      <c r="AT415" s="424">
        <f t="shared" si="236"/>
        <v>0</v>
      </c>
      <c r="AU415" s="424">
        <f t="shared" si="236"/>
        <v>0</v>
      </c>
      <c r="AV415" s="424">
        <f t="shared" si="236"/>
        <v>0</v>
      </c>
      <c r="AW415" s="424">
        <f t="shared" si="236"/>
        <v>0</v>
      </c>
      <c r="AX415" s="424">
        <f t="shared" si="236"/>
        <v>0.31</v>
      </c>
      <c r="AY415" s="424">
        <f t="shared" si="236"/>
        <v>0</v>
      </c>
      <c r="AZ415" s="424">
        <f t="shared" si="236"/>
        <v>0</v>
      </c>
      <c r="BA415" s="424">
        <f t="shared" si="236"/>
        <v>0</v>
      </c>
      <c r="BB415" s="424">
        <f t="shared" si="236"/>
        <v>0</v>
      </c>
      <c r="BC415" s="424">
        <f t="shared" si="236"/>
        <v>0</v>
      </c>
      <c r="BD415" s="424">
        <f t="shared" si="236"/>
        <v>0</v>
      </c>
      <c r="BE415" s="424">
        <f t="shared" si="236"/>
        <v>0</v>
      </c>
      <c r="BF415" s="424">
        <f t="shared" si="236"/>
        <v>0</v>
      </c>
      <c r="BG415" s="424">
        <f t="shared" si="236"/>
        <v>0</v>
      </c>
      <c r="BH415" s="424">
        <f t="shared" si="236"/>
        <v>0</v>
      </c>
      <c r="BI415" s="424">
        <f t="shared" si="236"/>
        <v>0</v>
      </c>
      <c r="BJ415" s="424">
        <f t="shared" si="236"/>
        <v>0</v>
      </c>
      <c r="BK415" s="424">
        <f t="shared" si="236"/>
        <v>0</v>
      </c>
      <c r="BL415" s="424">
        <f t="shared" si="236"/>
        <v>0</v>
      </c>
      <c r="BM415" s="424">
        <f t="shared" si="236"/>
        <v>0</v>
      </c>
      <c r="BN415" s="424">
        <f t="shared" si="236"/>
        <v>0</v>
      </c>
      <c r="BO415" s="424">
        <f t="shared" si="236"/>
        <v>0</v>
      </c>
      <c r="BP415" s="424">
        <f t="shared" si="236"/>
        <v>0</v>
      </c>
      <c r="BQ415" s="424">
        <f t="shared" si="236"/>
        <v>0</v>
      </c>
      <c r="BR415" s="424">
        <f t="shared" si="236"/>
        <v>0</v>
      </c>
      <c r="BS415" s="424">
        <f t="shared" si="236"/>
        <v>0</v>
      </c>
      <c r="BT415" s="424">
        <f t="shared" si="236"/>
        <v>0</v>
      </c>
      <c r="BU415" s="424">
        <f t="shared" si="236"/>
        <v>0</v>
      </c>
      <c r="BV415" s="424">
        <f t="shared" ref="BV415:DA415" si="237">BV45*BV$372</f>
        <v>0</v>
      </c>
      <c r="BW415" s="424">
        <f t="shared" si="237"/>
        <v>0</v>
      </c>
      <c r="BX415" s="424">
        <f t="shared" si="237"/>
        <v>0</v>
      </c>
      <c r="BY415" s="424">
        <f t="shared" si="237"/>
        <v>0</v>
      </c>
      <c r="BZ415" s="424">
        <f t="shared" si="237"/>
        <v>0</v>
      </c>
      <c r="CA415" s="424">
        <f t="shared" si="237"/>
        <v>0</v>
      </c>
      <c r="CB415" s="424">
        <f t="shared" si="237"/>
        <v>0</v>
      </c>
      <c r="CC415" s="424">
        <f t="shared" si="237"/>
        <v>0</v>
      </c>
      <c r="CD415" s="424">
        <f t="shared" si="237"/>
        <v>0</v>
      </c>
      <c r="CE415" s="424">
        <f t="shared" si="237"/>
        <v>0</v>
      </c>
      <c r="CF415" s="424">
        <f t="shared" si="237"/>
        <v>0.64</v>
      </c>
      <c r="CG415" s="424">
        <f t="shared" si="237"/>
        <v>0</v>
      </c>
      <c r="CH415" s="424">
        <f t="shared" si="237"/>
        <v>0</v>
      </c>
      <c r="CI415" s="424">
        <f t="shared" si="237"/>
        <v>0</v>
      </c>
      <c r="CJ415" s="424">
        <f t="shared" si="237"/>
        <v>0</v>
      </c>
      <c r="CK415" s="424">
        <f t="shared" si="237"/>
        <v>0</v>
      </c>
      <c r="CL415" s="424">
        <f t="shared" si="237"/>
        <v>0</v>
      </c>
      <c r="CM415" s="424">
        <f t="shared" si="237"/>
        <v>0</v>
      </c>
      <c r="CN415" s="424">
        <f t="shared" si="237"/>
        <v>0</v>
      </c>
      <c r="CO415" s="424">
        <f t="shared" si="237"/>
        <v>0</v>
      </c>
      <c r="CP415" s="424">
        <f t="shared" si="237"/>
        <v>0</v>
      </c>
      <c r="CQ415" s="424">
        <f t="shared" si="237"/>
        <v>0</v>
      </c>
      <c r="CR415" s="424">
        <f t="shared" si="237"/>
        <v>0</v>
      </c>
      <c r="CS415" s="424">
        <f t="shared" si="237"/>
        <v>0</v>
      </c>
      <c r="CT415" s="424">
        <f t="shared" si="237"/>
        <v>1.2</v>
      </c>
      <c r="CU415" s="424">
        <f t="shared" si="237"/>
        <v>0</v>
      </c>
      <c r="CV415" s="424">
        <f t="shared" si="237"/>
        <v>1.28</v>
      </c>
      <c r="CW415" s="424">
        <f t="shared" si="237"/>
        <v>0</v>
      </c>
      <c r="CX415" s="424">
        <f t="shared" si="237"/>
        <v>0</v>
      </c>
      <c r="CY415" s="424">
        <f t="shared" si="237"/>
        <v>0</v>
      </c>
      <c r="CZ415" s="424">
        <f t="shared" si="237"/>
        <v>0</v>
      </c>
      <c r="DA415" s="424">
        <f t="shared" si="237"/>
        <v>0</v>
      </c>
      <c r="DB415" s="424">
        <f t="shared" ref="DB415:EG415" si="238">DB45*DB$372</f>
        <v>0</v>
      </c>
      <c r="DC415" s="424">
        <f t="shared" si="238"/>
        <v>0.03</v>
      </c>
      <c r="DD415" s="424">
        <f t="shared" si="238"/>
        <v>0</v>
      </c>
      <c r="DE415" s="424">
        <f t="shared" si="238"/>
        <v>0</v>
      </c>
      <c r="DF415" s="424">
        <f t="shared" si="238"/>
        <v>0</v>
      </c>
      <c r="DG415" s="424">
        <f t="shared" si="238"/>
        <v>0</v>
      </c>
      <c r="DH415" s="424">
        <f t="shared" si="238"/>
        <v>0</v>
      </c>
      <c r="DI415" s="424">
        <f t="shared" si="238"/>
        <v>0</v>
      </c>
      <c r="DJ415" s="424">
        <f t="shared" si="238"/>
        <v>0</v>
      </c>
      <c r="DK415" s="424">
        <f t="shared" si="238"/>
        <v>0</v>
      </c>
      <c r="DL415" s="424">
        <f t="shared" si="238"/>
        <v>0</v>
      </c>
      <c r="DM415" s="424">
        <f t="shared" si="238"/>
        <v>0</v>
      </c>
      <c r="DN415" s="424">
        <f t="shared" si="238"/>
        <v>0</v>
      </c>
      <c r="DO415" s="424">
        <f t="shared" si="238"/>
        <v>0</v>
      </c>
      <c r="DP415" s="424">
        <f t="shared" si="238"/>
        <v>0</v>
      </c>
      <c r="DQ415" s="424">
        <f t="shared" si="238"/>
        <v>0</v>
      </c>
      <c r="DR415" s="424">
        <f t="shared" si="238"/>
        <v>0</v>
      </c>
      <c r="DS415" s="424">
        <f t="shared" si="238"/>
        <v>0</v>
      </c>
      <c r="DT415" s="424">
        <f t="shared" si="238"/>
        <v>0</v>
      </c>
      <c r="DU415" s="424">
        <f t="shared" si="238"/>
        <v>0</v>
      </c>
      <c r="DV415" s="424">
        <f t="shared" si="238"/>
        <v>5.51</v>
      </c>
      <c r="DW415" s="424">
        <f t="shared" si="238"/>
        <v>0</v>
      </c>
      <c r="DX415" s="424">
        <f t="shared" si="238"/>
        <v>0</v>
      </c>
      <c r="DY415" s="424">
        <f t="shared" si="238"/>
        <v>0</v>
      </c>
      <c r="DZ415" s="424">
        <f t="shared" si="238"/>
        <v>0</v>
      </c>
      <c r="EA415" s="424">
        <f t="shared" si="238"/>
        <v>0</v>
      </c>
      <c r="EB415" s="424">
        <f t="shared" si="238"/>
        <v>0</v>
      </c>
      <c r="EC415" s="424">
        <f t="shared" si="238"/>
        <v>0</v>
      </c>
      <c r="ED415" s="424">
        <f t="shared" si="238"/>
        <v>0</v>
      </c>
      <c r="EE415" s="424">
        <f t="shared" si="238"/>
        <v>0</v>
      </c>
      <c r="EF415" s="424">
        <f t="shared" si="238"/>
        <v>0</v>
      </c>
      <c r="EG415" s="424">
        <f t="shared" si="238"/>
        <v>0</v>
      </c>
      <c r="EH415" s="424">
        <f t="shared" ref="EH415:EX415" si="239">EH45*EH$372</f>
        <v>0</v>
      </c>
      <c r="EI415" s="424">
        <f t="shared" si="239"/>
        <v>0</v>
      </c>
      <c r="EJ415" s="424">
        <f t="shared" si="239"/>
        <v>0</v>
      </c>
      <c r="EK415" s="424">
        <f t="shared" si="239"/>
        <v>0</v>
      </c>
      <c r="EL415" s="424">
        <f t="shared" si="239"/>
        <v>0</v>
      </c>
      <c r="EM415" s="424">
        <f t="shared" si="239"/>
        <v>0</v>
      </c>
      <c r="EN415" s="424">
        <f t="shared" si="239"/>
        <v>0</v>
      </c>
      <c r="EO415" s="424">
        <f t="shared" si="239"/>
        <v>0</v>
      </c>
      <c r="EP415" s="424">
        <f t="shared" si="239"/>
        <v>0</v>
      </c>
      <c r="EQ415" s="424">
        <f t="shared" si="239"/>
        <v>0</v>
      </c>
      <c r="ER415" s="424">
        <f t="shared" si="239"/>
        <v>0</v>
      </c>
      <c r="ES415" s="424">
        <f t="shared" si="239"/>
        <v>0</v>
      </c>
      <c r="ET415" s="424">
        <f t="shared" si="239"/>
        <v>0</v>
      </c>
      <c r="EU415" s="424">
        <f t="shared" si="239"/>
        <v>0</v>
      </c>
      <c r="EV415" s="424">
        <f t="shared" si="239"/>
        <v>0</v>
      </c>
      <c r="EW415" s="424">
        <f t="shared" si="239"/>
        <v>0</v>
      </c>
      <c r="EX415" s="424">
        <f t="shared" si="239"/>
        <v>0</v>
      </c>
      <c r="EY415" s="425">
        <f t="shared" si="49"/>
        <v>13.08</v>
      </c>
    </row>
    <row r="416" spans="1:166" ht="14.7" customHeight="1" x14ac:dyDescent="0.25">
      <c r="A416" s="310">
        <v>42</v>
      </c>
      <c r="B416" s="311" t="str">
        <f t="shared" si="30"/>
        <v>Овощи натуральные соленые (помидоры)</v>
      </c>
      <c r="C416" s="483">
        <f t="shared" si="38"/>
        <v>6.6</v>
      </c>
      <c r="D416" s="888"/>
      <c r="E416" s="888"/>
      <c r="F416" s="888"/>
      <c r="G416" s="889"/>
      <c r="H416" s="680">
        <f t="shared" si="31"/>
        <v>70</v>
      </c>
      <c r="I416" s="1209">
        <f t="shared" si="32"/>
        <v>0</v>
      </c>
      <c r="J416" s="424">
        <f t="shared" ref="J416:AO416" si="240">J46*J$372</f>
        <v>0</v>
      </c>
      <c r="K416" s="424">
        <f t="shared" si="240"/>
        <v>0</v>
      </c>
      <c r="L416" s="424">
        <f t="shared" si="240"/>
        <v>0</v>
      </c>
      <c r="M416" s="424">
        <f t="shared" si="240"/>
        <v>0</v>
      </c>
      <c r="N416" s="424">
        <f t="shared" si="240"/>
        <v>0</v>
      </c>
      <c r="O416" s="424">
        <f t="shared" si="240"/>
        <v>0</v>
      </c>
      <c r="P416" s="424">
        <f t="shared" si="240"/>
        <v>0</v>
      </c>
      <c r="Q416" s="424">
        <f t="shared" si="240"/>
        <v>0</v>
      </c>
      <c r="R416" s="424">
        <f t="shared" si="240"/>
        <v>0</v>
      </c>
      <c r="S416" s="424">
        <f t="shared" si="240"/>
        <v>0</v>
      </c>
      <c r="T416" s="424">
        <f t="shared" si="240"/>
        <v>0</v>
      </c>
      <c r="U416" s="424">
        <f t="shared" si="240"/>
        <v>0</v>
      </c>
      <c r="V416" s="424">
        <f t="shared" si="240"/>
        <v>0</v>
      </c>
      <c r="W416" s="424">
        <f t="shared" si="240"/>
        <v>0</v>
      </c>
      <c r="X416" s="424">
        <f t="shared" si="240"/>
        <v>0</v>
      </c>
      <c r="Y416" s="424">
        <f t="shared" si="240"/>
        <v>0</v>
      </c>
      <c r="Z416" s="424">
        <f t="shared" si="240"/>
        <v>0</v>
      </c>
      <c r="AA416" s="424">
        <f t="shared" si="240"/>
        <v>0</v>
      </c>
      <c r="AB416" s="424">
        <f t="shared" si="240"/>
        <v>0</v>
      </c>
      <c r="AC416" s="424">
        <f t="shared" si="240"/>
        <v>0</v>
      </c>
      <c r="AD416" s="424">
        <f t="shared" si="240"/>
        <v>0</v>
      </c>
      <c r="AE416" s="424">
        <f t="shared" si="240"/>
        <v>0</v>
      </c>
      <c r="AF416" s="424">
        <f t="shared" si="240"/>
        <v>0</v>
      </c>
      <c r="AG416" s="424">
        <f t="shared" si="240"/>
        <v>0</v>
      </c>
      <c r="AH416" s="424">
        <f t="shared" si="240"/>
        <v>0</v>
      </c>
      <c r="AI416" s="424">
        <f t="shared" si="240"/>
        <v>0</v>
      </c>
      <c r="AJ416" s="424">
        <f t="shared" si="240"/>
        <v>0</v>
      </c>
      <c r="AK416" s="424">
        <f t="shared" si="240"/>
        <v>0</v>
      </c>
      <c r="AL416" s="424">
        <f t="shared" si="240"/>
        <v>0</v>
      </c>
      <c r="AM416" s="424">
        <f t="shared" si="240"/>
        <v>0</v>
      </c>
      <c r="AN416" s="424">
        <f t="shared" si="240"/>
        <v>0</v>
      </c>
      <c r="AO416" s="424">
        <f t="shared" si="240"/>
        <v>0</v>
      </c>
      <c r="AP416" s="424">
        <f t="shared" ref="AP416:BU416" si="241">AP46*AP$372</f>
        <v>0</v>
      </c>
      <c r="AQ416" s="424">
        <f t="shared" si="241"/>
        <v>0</v>
      </c>
      <c r="AR416" s="424">
        <f t="shared" si="241"/>
        <v>0</v>
      </c>
      <c r="AS416" s="424">
        <f t="shared" si="241"/>
        <v>0</v>
      </c>
      <c r="AT416" s="424">
        <f t="shared" si="241"/>
        <v>0</v>
      </c>
      <c r="AU416" s="424">
        <f t="shared" si="241"/>
        <v>0</v>
      </c>
      <c r="AV416" s="424">
        <f t="shared" si="241"/>
        <v>0</v>
      </c>
      <c r="AW416" s="424">
        <f t="shared" si="241"/>
        <v>0</v>
      </c>
      <c r="AX416" s="424">
        <f t="shared" si="241"/>
        <v>0</v>
      </c>
      <c r="AY416" s="424">
        <f t="shared" si="241"/>
        <v>0</v>
      </c>
      <c r="AZ416" s="424">
        <f t="shared" si="241"/>
        <v>0</v>
      </c>
      <c r="BA416" s="424">
        <f t="shared" si="241"/>
        <v>0</v>
      </c>
      <c r="BB416" s="424">
        <f t="shared" si="241"/>
        <v>0</v>
      </c>
      <c r="BC416" s="424">
        <f t="shared" si="241"/>
        <v>0</v>
      </c>
      <c r="BD416" s="424">
        <f t="shared" si="241"/>
        <v>0</v>
      </c>
      <c r="BE416" s="424">
        <f t="shared" si="241"/>
        <v>0</v>
      </c>
      <c r="BF416" s="424">
        <f t="shared" si="241"/>
        <v>0</v>
      </c>
      <c r="BG416" s="424">
        <f t="shared" si="241"/>
        <v>0</v>
      </c>
      <c r="BH416" s="424">
        <f t="shared" si="241"/>
        <v>0</v>
      </c>
      <c r="BI416" s="424">
        <f t="shared" si="241"/>
        <v>0</v>
      </c>
      <c r="BJ416" s="424">
        <f t="shared" si="241"/>
        <v>0</v>
      </c>
      <c r="BK416" s="424">
        <f t="shared" si="241"/>
        <v>0</v>
      </c>
      <c r="BL416" s="424">
        <f t="shared" si="241"/>
        <v>0</v>
      </c>
      <c r="BM416" s="424">
        <f t="shared" si="241"/>
        <v>0</v>
      </c>
      <c r="BN416" s="424">
        <f t="shared" si="241"/>
        <v>0</v>
      </c>
      <c r="BO416" s="424">
        <f t="shared" si="241"/>
        <v>0</v>
      </c>
      <c r="BP416" s="424">
        <f t="shared" si="241"/>
        <v>0</v>
      </c>
      <c r="BQ416" s="424">
        <f t="shared" si="241"/>
        <v>0</v>
      </c>
      <c r="BR416" s="424">
        <f t="shared" si="241"/>
        <v>0</v>
      </c>
      <c r="BS416" s="424">
        <f t="shared" si="241"/>
        <v>0</v>
      </c>
      <c r="BT416" s="424">
        <f t="shared" si="241"/>
        <v>0</v>
      </c>
      <c r="BU416" s="424">
        <f t="shared" si="241"/>
        <v>0</v>
      </c>
      <c r="BV416" s="424">
        <f t="shared" ref="BV416:DA416" si="242">BV46*BV$372</f>
        <v>0</v>
      </c>
      <c r="BW416" s="424">
        <f t="shared" si="242"/>
        <v>0</v>
      </c>
      <c r="BX416" s="424">
        <f t="shared" si="242"/>
        <v>0</v>
      </c>
      <c r="BY416" s="424">
        <f t="shared" si="242"/>
        <v>0</v>
      </c>
      <c r="BZ416" s="424">
        <f t="shared" si="242"/>
        <v>0</v>
      </c>
      <c r="CA416" s="424">
        <f t="shared" si="242"/>
        <v>0</v>
      </c>
      <c r="CB416" s="424">
        <f t="shared" si="242"/>
        <v>0</v>
      </c>
      <c r="CC416" s="424">
        <f t="shared" si="242"/>
        <v>0</v>
      </c>
      <c r="CD416" s="424">
        <f t="shared" si="242"/>
        <v>0</v>
      </c>
      <c r="CE416" s="424">
        <f t="shared" si="242"/>
        <v>0</v>
      </c>
      <c r="CF416" s="424">
        <f t="shared" si="242"/>
        <v>0</v>
      </c>
      <c r="CG416" s="424">
        <f t="shared" si="242"/>
        <v>0</v>
      </c>
      <c r="CH416" s="424">
        <f t="shared" si="242"/>
        <v>0</v>
      </c>
      <c r="CI416" s="424">
        <f t="shared" si="242"/>
        <v>0</v>
      </c>
      <c r="CJ416" s="424">
        <f t="shared" si="242"/>
        <v>0</v>
      </c>
      <c r="CK416" s="424">
        <f t="shared" si="242"/>
        <v>0</v>
      </c>
      <c r="CL416" s="424">
        <f t="shared" si="242"/>
        <v>0</v>
      </c>
      <c r="CM416" s="424">
        <f t="shared" si="242"/>
        <v>0</v>
      </c>
      <c r="CN416" s="424">
        <f t="shared" si="242"/>
        <v>0</v>
      </c>
      <c r="CO416" s="424">
        <f t="shared" si="242"/>
        <v>0</v>
      </c>
      <c r="CP416" s="424">
        <f t="shared" si="242"/>
        <v>0</v>
      </c>
      <c r="CQ416" s="424">
        <f t="shared" si="242"/>
        <v>0</v>
      </c>
      <c r="CR416" s="424">
        <f t="shared" si="242"/>
        <v>0</v>
      </c>
      <c r="CS416" s="424">
        <f t="shared" si="242"/>
        <v>0</v>
      </c>
      <c r="CT416" s="424">
        <f t="shared" si="242"/>
        <v>0</v>
      </c>
      <c r="CU416" s="424">
        <f t="shared" si="242"/>
        <v>6.6</v>
      </c>
      <c r="CV416" s="424">
        <f t="shared" si="242"/>
        <v>0</v>
      </c>
      <c r="CW416" s="424">
        <f t="shared" si="242"/>
        <v>0</v>
      </c>
      <c r="CX416" s="424">
        <f t="shared" si="242"/>
        <v>0</v>
      </c>
      <c r="CY416" s="424">
        <f t="shared" si="242"/>
        <v>0</v>
      </c>
      <c r="CZ416" s="424">
        <f t="shared" si="242"/>
        <v>0</v>
      </c>
      <c r="DA416" s="424">
        <f t="shared" si="242"/>
        <v>0</v>
      </c>
      <c r="DB416" s="424">
        <f t="shared" ref="DB416:EG416" si="243">DB46*DB$372</f>
        <v>0</v>
      </c>
      <c r="DC416" s="424">
        <f t="shared" si="243"/>
        <v>0</v>
      </c>
      <c r="DD416" s="424">
        <f t="shared" si="243"/>
        <v>0</v>
      </c>
      <c r="DE416" s="424">
        <f t="shared" si="243"/>
        <v>0</v>
      </c>
      <c r="DF416" s="424">
        <f t="shared" si="243"/>
        <v>0</v>
      </c>
      <c r="DG416" s="424">
        <f t="shared" si="243"/>
        <v>0</v>
      </c>
      <c r="DH416" s="424">
        <f t="shared" si="243"/>
        <v>0</v>
      </c>
      <c r="DI416" s="424">
        <f t="shared" si="243"/>
        <v>0</v>
      </c>
      <c r="DJ416" s="424">
        <f t="shared" si="243"/>
        <v>0</v>
      </c>
      <c r="DK416" s="424">
        <f t="shared" si="243"/>
        <v>0</v>
      </c>
      <c r="DL416" s="424">
        <f t="shared" si="243"/>
        <v>0</v>
      </c>
      <c r="DM416" s="424">
        <f t="shared" si="243"/>
        <v>0</v>
      </c>
      <c r="DN416" s="424">
        <f t="shared" si="243"/>
        <v>0</v>
      </c>
      <c r="DO416" s="424">
        <f t="shared" si="243"/>
        <v>0</v>
      </c>
      <c r="DP416" s="424">
        <f t="shared" si="243"/>
        <v>0</v>
      </c>
      <c r="DQ416" s="424">
        <f t="shared" si="243"/>
        <v>0</v>
      </c>
      <c r="DR416" s="424">
        <f t="shared" si="243"/>
        <v>0</v>
      </c>
      <c r="DS416" s="424">
        <f t="shared" si="243"/>
        <v>0</v>
      </c>
      <c r="DT416" s="424">
        <f t="shared" si="243"/>
        <v>0</v>
      </c>
      <c r="DU416" s="424">
        <f t="shared" si="243"/>
        <v>0</v>
      </c>
      <c r="DV416" s="424">
        <f t="shared" si="243"/>
        <v>0</v>
      </c>
      <c r="DW416" s="424">
        <f t="shared" si="243"/>
        <v>0</v>
      </c>
      <c r="DX416" s="424">
        <f t="shared" si="243"/>
        <v>0</v>
      </c>
      <c r="DY416" s="424">
        <f t="shared" si="243"/>
        <v>0</v>
      </c>
      <c r="DZ416" s="424">
        <f t="shared" si="243"/>
        <v>0</v>
      </c>
      <c r="EA416" s="424">
        <f t="shared" si="243"/>
        <v>0</v>
      </c>
      <c r="EB416" s="424">
        <f t="shared" si="243"/>
        <v>0</v>
      </c>
      <c r="EC416" s="424">
        <f t="shared" si="243"/>
        <v>0</v>
      </c>
      <c r="ED416" s="424">
        <f t="shared" si="243"/>
        <v>0</v>
      </c>
      <c r="EE416" s="424">
        <f t="shared" si="243"/>
        <v>0</v>
      </c>
      <c r="EF416" s="424">
        <f t="shared" si="243"/>
        <v>0</v>
      </c>
      <c r="EG416" s="424">
        <f t="shared" si="243"/>
        <v>0</v>
      </c>
      <c r="EH416" s="424">
        <f t="shared" ref="EH416:EX416" si="244">EH46*EH$372</f>
        <v>0</v>
      </c>
      <c r="EI416" s="424">
        <f t="shared" si="244"/>
        <v>0</v>
      </c>
      <c r="EJ416" s="424">
        <f t="shared" si="244"/>
        <v>0</v>
      </c>
      <c r="EK416" s="424">
        <f t="shared" si="244"/>
        <v>0</v>
      </c>
      <c r="EL416" s="424">
        <f t="shared" si="244"/>
        <v>0</v>
      </c>
      <c r="EM416" s="424">
        <f t="shared" si="244"/>
        <v>0</v>
      </c>
      <c r="EN416" s="424">
        <f t="shared" si="244"/>
        <v>0</v>
      </c>
      <c r="EO416" s="424">
        <f t="shared" si="244"/>
        <v>0</v>
      </c>
      <c r="EP416" s="424">
        <f t="shared" si="244"/>
        <v>0</v>
      </c>
      <c r="EQ416" s="424">
        <f t="shared" si="244"/>
        <v>0</v>
      </c>
      <c r="ER416" s="424">
        <f t="shared" si="244"/>
        <v>0</v>
      </c>
      <c r="ES416" s="424">
        <f t="shared" si="244"/>
        <v>0</v>
      </c>
      <c r="ET416" s="424">
        <f t="shared" si="244"/>
        <v>0</v>
      </c>
      <c r="EU416" s="424">
        <f t="shared" si="244"/>
        <v>0</v>
      </c>
      <c r="EV416" s="424">
        <f t="shared" si="244"/>
        <v>0</v>
      </c>
      <c r="EW416" s="424">
        <f t="shared" si="244"/>
        <v>0</v>
      </c>
      <c r="EX416" s="424">
        <f t="shared" si="244"/>
        <v>0</v>
      </c>
      <c r="EY416" s="425">
        <f t="shared" si="49"/>
        <v>6.6</v>
      </c>
    </row>
    <row r="417" spans="1:166" ht="14.7" customHeight="1" x14ac:dyDescent="0.25">
      <c r="A417" s="310">
        <v>43</v>
      </c>
      <c r="B417" s="311" t="str">
        <f t="shared" si="30"/>
        <v>Овощи натуральные соленые (огурцы)</v>
      </c>
      <c r="C417" s="483">
        <f t="shared" si="38"/>
        <v>6.6</v>
      </c>
      <c r="D417" s="888"/>
      <c r="E417" s="888"/>
      <c r="F417" s="888"/>
      <c r="G417" s="889"/>
      <c r="H417" s="680">
        <f t="shared" si="31"/>
        <v>70</v>
      </c>
      <c r="I417" s="1209">
        <f t="shared" si="32"/>
        <v>0</v>
      </c>
      <c r="J417" s="424">
        <f t="shared" ref="J417:AO417" si="245">J47*J$372</f>
        <v>0</v>
      </c>
      <c r="K417" s="424">
        <f t="shared" si="245"/>
        <v>0</v>
      </c>
      <c r="L417" s="424">
        <f t="shared" si="245"/>
        <v>0</v>
      </c>
      <c r="M417" s="424">
        <f t="shared" si="245"/>
        <v>0</v>
      </c>
      <c r="N417" s="424">
        <f t="shared" si="245"/>
        <v>0</v>
      </c>
      <c r="O417" s="424">
        <f t="shared" si="245"/>
        <v>0</v>
      </c>
      <c r="P417" s="424">
        <f t="shared" si="245"/>
        <v>0</v>
      </c>
      <c r="Q417" s="424">
        <f t="shared" si="245"/>
        <v>0</v>
      </c>
      <c r="R417" s="424">
        <f t="shared" si="245"/>
        <v>0</v>
      </c>
      <c r="S417" s="424">
        <f t="shared" si="245"/>
        <v>0</v>
      </c>
      <c r="T417" s="424">
        <f t="shared" si="245"/>
        <v>0</v>
      </c>
      <c r="U417" s="424">
        <f t="shared" si="245"/>
        <v>0</v>
      </c>
      <c r="V417" s="424">
        <f t="shared" si="245"/>
        <v>0</v>
      </c>
      <c r="W417" s="424">
        <f t="shared" si="245"/>
        <v>0</v>
      </c>
      <c r="X417" s="424">
        <f t="shared" si="245"/>
        <v>0</v>
      </c>
      <c r="Y417" s="424">
        <f t="shared" si="245"/>
        <v>0</v>
      </c>
      <c r="Z417" s="424">
        <f t="shared" si="245"/>
        <v>0</v>
      </c>
      <c r="AA417" s="424">
        <f t="shared" si="245"/>
        <v>0</v>
      </c>
      <c r="AB417" s="424">
        <f t="shared" si="245"/>
        <v>0</v>
      </c>
      <c r="AC417" s="424">
        <f t="shared" si="245"/>
        <v>0</v>
      </c>
      <c r="AD417" s="424">
        <f t="shared" si="245"/>
        <v>0</v>
      </c>
      <c r="AE417" s="424">
        <f t="shared" si="245"/>
        <v>0</v>
      </c>
      <c r="AF417" s="424">
        <f t="shared" si="245"/>
        <v>0</v>
      </c>
      <c r="AG417" s="424">
        <f t="shared" si="245"/>
        <v>0</v>
      </c>
      <c r="AH417" s="424">
        <f t="shared" si="245"/>
        <v>0</v>
      </c>
      <c r="AI417" s="424">
        <f t="shared" si="245"/>
        <v>0</v>
      </c>
      <c r="AJ417" s="424">
        <f t="shared" si="245"/>
        <v>0</v>
      </c>
      <c r="AK417" s="424">
        <f t="shared" si="245"/>
        <v>0</v>
      </c>
      <c r="AL417" s="424">
        <f t="shared" si="245"/>
        <v>0</v>
      </c>
      <c r="AM417" s="424">
        <f t="shared" si="245"/>
        <v>0</v>
      </c>
      <c r="AN417" s="424">
        <f t="shared" si="245"/>
        <v>0</v>
      </c>
      <c r="AO417" s="424">
        <f t="shared" si="245"/>
        <v>0</v>
      </c>
      <c r="AP417" s="424">
        <f t="shared" ref="AP417:BU417" si="246">AP47*AP$372</f>
        <v>0</v>
      </c>
      <c r="AQ417" s="424">
        <f t="shared" si="246"/>
        <v>0</v>
      </c>
      <c r="AR417" s="424">
        <f t="shared" si="246"/>
        <v>0</v>
      </c>
      <c r="AS417" s="424">
        <f t="shared" si="246"/>
        <v>0</v>
      </c>
      <c r="AT417" s="424">
        <f t="shared" si="246"/>
        <v>0</v>
      </c>
      <c r="AU417" s="424">
        <f t="shared" si="246"/>
        <v>0</v>
      </c>
      <c r="AV417" s="424">
        <f t="shared" si="246"/>
        <v>0</v>
      </c>
      <c r="AW417" s="424">
        <f t="shared" si="246"/>
        <v>0</v>
      </c>
      <c r="AX417" s="424">
        <f t="shared" si="246"/>
        <v>0</v>
      </c>
      <c r="AY417" s="424">
        <f t="shared" si="246"/>
        <v>0</v>
      </c>
      <c r="AZ417" s="424">
        <f t="shared" si="246"/>
        <v>0</v>
      </c>
      <c r="BA417" s="424">
        <f t="shared" si="246"/>
        <v>0</v>
      </c>
      <c r="BB417" s="424">
        <f t="shared" si="246"/>
        <v>0</v>
      </c>
      <c r="BC417" s="424">
        <f t="shared" si="246"/>
        <v>0</v>
      </c>
      <c r="BD417" s="424">
        <f t="shared" si="246"/>
        <v>0</v>
      </c>
      <c r="BE417" s="424">
        <f t="shared" si="246"/>
        <v>0</v>
      </c>
      <c r="BF417" s="424">
        <f t="shared" si="246"/>
        <v>0</v>
      </c>
      <c r="BG417" s="424">
        <f t="shared" si="246"/>
        <v>0</v>
      </c>
      <c r="BH417" s="424">
        <f t="shared" si="246"/>
        <v>0</v>
      </c>
      <c r="BI417" s="424">
        <f t="shared" si="246"/>
        <v>0</v>
      </c>
      <c r="BJ417" s="424">
        <f t="shared" si="246"/>
        <v>0</v>
      </c>
      <c r="BK417" s="424">
        <f t="shared" si="246"/>
        <v>0</v>
      </c>
      <c r="BL417" s="424">
        <f t="shared" si="246"/>
        <v>0</v>
      </c>
      <c r="BM417" s="424">
        <f t="shared" si="246"/>
        <v>0</v>
      </c>
      <c r="BN417" s="424">
        <f t="shared" si="246"/>
        <v>0</v>
      </c>
      <c r="BO417" s="424">
        <f t="shared" si="246"/>
        <v>0</v>
      </c>
      <c r="BP417" s="424">
        <f t="shared" si="246"/>
        <v>0</v>
      </c>
      <c r="BQ417" s="424">
        <f t="shared" si="246"/>
        <v>0</v>
      </c>
      <c r="BR417" s="424">
        <f t="shared" si="246"/>
        <v>0</v>
      </c>
      <c r="BS417" s="424">
        <f t="shared" si="246"/>
        <v>0</v>
      </c>
      <c r="BT417" s="424">
        <f t="shared" si="246"/>
        <v>0</v>
      </c>
      <c r="BU417" s="424">
        <f t="shared" si="246"/>
        <v>0</v>
      </c>
      <c r="BV417" s="424">
        <f t="shared" ref="BV417:DA417" si="247">BV47*BV$372</f>
        <v>0</v>
      </c>
      <c r="BW417" s="424">
        <f t="shared" si="247"/>
        <v>0</v>
      </c>
      <c r="BX417" s="424">
        <f t="shared" si="247"/>
        <v>0</v>
      </c>
      <c r="BY417" s="424">
        <f t="shared" si="247"/>
        <v>0</v>
      </c>
      <c r="BZ417" s="424">
        <f t="shared" si="247"/>
        <v>0</v>
      </c>
      <c r="CA417" s="424">
        <f t="shared" si="247"/>
        <v>0</v>
      </c>
      <c r="CB417" s="424">
        <f t="shared" si="247"/>
        <v>0</v>
      </c>
      <c r="CC417" s="424">
        <f t="shared" si="247"/>
        <v>0</v>
      </c>
      <c r="CD417" s="424">
        <f t="shared" si="247"/>
        <v>0</v>
      </c>
      <c r="CE417" s="424">
        <f t="shared" si="247"/>
        <v>0</v>
      </c>
      <c r="CF417" s="424">
        <f t="shared" si="247"/>
        <v>0</v>
      </c>
      <c r="CG417" s="424">
        <f t="shared" si="247"/>
        <v>0</v>
      </c>
      <c r="CH417" s="424">
        <f t="shared" si="247"/>
        <v>0</v>
      </c>
      <c r="CI417" s="424">
        <f t="shared" si="247"/>
        <v>0</v>
      </c>
      <c r="CJ417" s="424">
        <f t="shared" si="247"/>
        <v>0</v>
      </c>
      <c r="CK417" s="424">
        <f t="shared" si="247"/>
        <v>0</v>
      </c>
      <c r="CL417" s="424">
        <f t="shared" si="247"/>
        <v>0</v>
      </c>
      <c r="CM417" s="424">
        <f t="shared" si="247"/>
        <v>0</v>
      </c>
      <c r="CN417" s="424">
        <f t="shared" si="247"/>
        <v>0</v>
      </c>
      <c r="CO417" s="424">
        <f t="shared" si="247"/>
        <v>0</v>
      </c>
      <c r="CP417" s="424">
        <f t="shared" si="247"/>
        <v>0</v>
      </c>
      <c r="CQ417" s="424">
        <f t="shared" si="247"/>
        <v>0</v>
      </c>
      <c r="CR417" s="424">
        <f t="shared" si="247"/>
        <v>0</v>
      </c>
      <c r="CS417" s="424">
        <f t="shared" si="247"/>
        <v>0</v>
      </c>
      <c r="CT417" s="424">
        <f t="shared" si="247"/>
        <v>6.6</v>
      </c>
      <c r="CU417" s="424">
        <f t="shared" si="247"/>
        <v>0</v>
      </c>
      <c r="CV417" s="424">
        <f t="shared" si="247"/>
        <v>0</v>
      </c>
      <c r="CW417" s="424">
        <f t="shared" si="247"/>
        <v>0</v>
      </c>
      <c r="CX417" s="424">
        <f t="shared" si="247"/>
        <v>0</v>
      </c>
      <c r="CY417" s="424">
        <f t="shared" si="247"/>
        <v>0</v>
      </c>
      <c r="CZ417" s="424">
        <f t="shared" si="247"/>
        <v>0</v>
      </c>
      <c r="DA417" s="424">
        <f t="shared" si="247"/>
        <v>0</v>
      </c>
      <c r="DB417" s="424">
        <f t="shared" ref="DB417:EG417" si="248">DB47*DB$372</f>
        <v>0</v>
      </c>
      <c r="DC417" s="424">
        <f t="shared" si="248"/>
        <v>0</v>
      </c>
      <c r="DD417" s="424">
        <f t="shared" si="248"/>
        <v>0</v>
      </c>
      <c r="DE417" s="424">
        <f t="shared" si="248"/>
        <v>0</v>
      </c>
      <c r="DF417" s="424">
        <f t="shared" si="248"/>
        <v>0</v>
      </c>
      <c r="DG417" s="424">
        <f t="shared" si="248"/>
        <v>0</v>
      </c>
      <c r="DH417" s="424">
        <f t="shared" si="248"/>
        <v>0</v>
      </c>
      <c r="DI417" s="424">
        <f t="shared" si="248"/>
        <v>0</v>
      </c>
      <c r="DJ417" s="424">
        <f t="shared" si="248"/>
        <v>0</v>
      </c>
      <c r="DK417" s="424">
        <f t="shared" si="248"/>
        <v>0</v>
      </c>
      <c r="DL417" s="424">
        <f t="shared" si="248"/>
        <v>0</v>
      </c>
      <c r="DM417" s="424">
        <f t="shared" si="248"/>
        <v>0</v>
      </c>
      <c r="DN417" s="424">
        <f t="shared" si="248"/>
        <v>0</v>
      </c>
      <c r="DO417" s="424">
        <f t="shared" si="248"/>
        <v>0</v>
      </c>
      <c r="DP417" s="424">
        <f t="shared" si="248"/>
        <v>0</v>
      </c>
      <c r="DQ417" s="424">
        <f t="shared" si="248"/>
        <v>0</v>
      </c>
      <c r="DR417" s="424">
        <f t="shared" si="248"/>
        <v>0</v>
      </c>
      <c r="DS417" s="424">
        <f t="shared" si="248"/>
        <v>0</v>
      </c>
      <c r="DT417" s="424">
        <f t="shared" si="248"/>
        <v>0</v>
      </c>
      <c r="DU417" s="424">
        <f t="shared" si="248"/>
        <v>0</v>
      </c>
      <c r="DV417" s="424">
        <f t="shared" si="248"/>
        <v>0</v>
      </c>
      <c r="DW417" s="424">
        <f t="shared" si="248"/>
        <v>0</v>
      </c>
      <c r="DX417" s="424">
        <f t="shared" si="248"/>
        <v>0</v>
      </c>
      <c r="DY417" s="424">
        <f t="shared" si="248"/>
        <v>0</v>
      </c>
      <c r="DZ417" s="424">
        <f t="shared" si="248"/>
        <v>0</v>
      </c>
      <c r="EA417" s="424">
        <f t="shared" si="248"/>
        <v>0</v>
      </c>
      <c r="EB417" s="424">
        <f t="shared" si="248"/>
        <v>0</v>
      </c>
      <c r="EC417" s="424">
        <f t="shared" si="248"/>
        <v>0</v>
      </c>
      <c r="ED417" s="424">
        <f t="shared" si="248"/>
        <v>0</v>
      </c>
      <c r="EE417" s="424">
        <f t="shared" si="248"/>
        <v>0</v>
      </c>
      <c r="EF417" s="424">
        <f t="shared" si="248"/>
        <v>0</v>
      </c>
      <c r="EG417" s="424">
        <f t="shared" si="248"/>
        <v>0</v>
      </c>
      <c r="EH417" s="424">
        <f t="shared" ref="EH417:EX417" si="249">EH47*EH$372</f>
        <v>0</v>
      </c>
      <c r="EI417" s="424">
        <f t="shared" si="249"/>
        <v>0</v>
      </c>
      <c r="EJ417" s="424">
        <f t="shared" si="249"/>
        <v>0</v>
      </c>
      <c r="EK417" s="424">
        <f t="shared" si="249"/>
        <v>0</v>
      </c>
      <c r="EL417" s="424">
        <f t="shared" si="249"/>
        <v>0</v>
      </c>
      <c r="EM417" s="424">
        <f t="shared" si="249"/>
        <v>0</v>
      </c>
      <c r="EN417" s="424">
        <f t="shared" si="249"/>
        <v>0</v>
      </c>
      <c r="EO417" s="424">
        <f t="shared" si="249"/>
        <v>0</v>
      </c>
      <c r="EP417" s="424">
        <f t="shared" si="249"/>
        <v>0</v>
      </c>
      <c r="EQ417" s="424">
        <f t="shared" si="249"/>
        <v>0</v>
      </c>
      <c r="ER417" s="424">
        <f t="shared" si="249"/>
        <v>0</v>
      </c>
      <c r="ES417" s="424">
        <f t="shared" si="249"/>
        <v>0</v>
      </c>
      <c r="ET417" s="424">
        <f t="shared" si="249"/>
        <v>0</v>
      </c>
      <c r="EU417" s="424">
        <f t="shared" si="249"/>
        <v>0</v>
      </c>
      <c r="EV417" s="424">
        <f t="shared" si="249"/>
        <v>0</v>
      </c>
      <c r="EW417" s="424">
        <f t="shared" si="249"/>
        <v>0</v>
      </c>
      <c r="EX417" s="424">
        <f t="shared" si="249"/>
        <v>0</v>
      </c>
      <c r="EY417" s="425">
        <f t="shared" si="49"/>
        <v>6.6</v>
      </c>
    </row>
    <row r="418" spans="1:166" ht="14.7" customHeight="1" x14ac:dyDescent="0.25">
      <c r="A418" s="310">
        <v>44</v>
      </c>
      <c r="B418" s="311" t="str">
        <f t="shared" si="30"/>
        <v>Овощи натуральные свежие (помидоры)</v>
      </c>
      <c r="C418" s="483">
        <f t="shared" si="38"/>
        <v>7.53</v>
      </c>
      <c r="D418" s="888"/>
      <c r="E418" s="888"/>
      <c r="F418" s="888"/>
      <c r="G418" s="889"/>
      <c r="H418" s="680">
        <f t="shared" si="31"/>
        <v>71</v>
      </c>
      <c r="I418" s="1209">
        <f t="shared" si="32"/>
        <v>0</v>
      </c>
      <c r="J418" s="424">
        <f t="shared" ref="J418:AO418" si="250">J48*J$372</f>
        <v>0</v>
      </c>
      <c r="K418" s="424">
        <f t="shared" si="250"/>
        <v>0</v>
      </c>
      <c r="L418" s="424">
        <f t="shared" si="250"/>
        <v>0</v>
      </c>
      <c r="M418" s="424">
        <f t="shared" si="250"/>
        <v>0</v>
      </c>
      <c r="N418" s="424">
        <f t="shared" si="250"/>
        <v>0</v>
      </c>
      <c r="O418" s="424">
        <f t="shared" si="250"/>
        <v>0</v>
      </c>
      <c r="P418" s="424">
        <f t="shared" si="250"/>
        <v>0</v>
      </c>
      <c r="Q418" s="424">
        <f t="shared" si="250"/>
        <v>0</v>
      </c>
      <c r="R418" s="424">
        <f t="shared" si="250"/>
        <v>0</v>
      </c>
      <c r="S418" s="424">
        <f t="shared" si="250"/>
        <v>0</v>
      </c>
      <c r="T418" s="424">
        <f t="shared" si="250"/>
        <v>0</v>
      </c>
      <c r="U418" s="424">
        <f t="shared" si="250"/>
        <v>0</v>
      </c>
      <c r="V418" s="424">
        <f t="shared" si="250"/>
        <v>0</v>
      </c>
      <c r="W418" s="424">
        <f t="shared" si="250"/>
        <v>0</v>
      </c>
      <c r="X418" s="424">
        <f t="shared" si="250"/>
        <v>0</v>
      </c>
      <c r="Y418" s="424">
        <f t="shared" si="250"/>
        <v>0</v>
      </c>
      <c r="Z418" s="424">
        <f t="shared" si="250"/>
        <v>0</v>
      </c>
      <c r="AA418" s="424">
        <f t="shared" si="250"/>
        <v>0</v>
      </c>
      <c r="AB418" s="424">
        <f t="shared" si="250"/>
        <v>0</v>
      </c>
      <c r="AC418" s="424">
        <f t="shared" si="250"/>
        <v>0</v>
      </c>
      <c r="AD418" s="424">
        <f t="shared" si="250"/>
        <v>0</v>
      </c>
      <c r="AE418" s="424">
        <f t="shared" si="250"/>
        <v>0</v>
      </c>
      <c r="AF418" s="424">
        <f t="shared" si="250"/>
        <v>0</v>
      </c>
      <c r="AG418" s="424">
        <f t="shared" si="250"/>
        <v>0</v>
      </c>
      <c r="AH418" s="424">
        <f t="shared" si="250"/>
        <v>0</v>
      </c>
      <c r="AI418" s="424">
        <f t="shared" si="250"/>
        <v>0</v>
      </c>
      <c r="AJ418" s="424">
        <f t="shared" si="250"/>
        <v>0</v>
      </c>
      <c r="AK418" s="424">
        <f t="shared" si="250"/>
        <v>0</v>
      </c>
      <c r="AL418" s="424">
        <f t="shared" si="250"/>
        <v>0</v>
      </c>
      <c r="AM418" s="424">
        <f t="shared" si="250"/>
        <v>0</v>
      </c>
      <c r="AN418" s="424">
        <f t="shared" si="250"/>
        <v>7.53</v>
      </c>
      <c r="AO418" s="424">
        <f t="shared" si="250"/>
        <v>0</v>
      </c>
      <c r="AP418" s="424">
        <f t="shared" ref="AP418:BU418" si="251">AP48*AP$372</f>
        <v>0</v>
      </c>
      <c r="AQ418" s="424">
        <f t="shared" si="251"/>
        <v>0</v>
      </c>
      <c r="AR418" s="424">
        <f t="shared" si="251"/>
        <v>0</v>
      </c>
      <c r="AS418" s="424">
        <f t="shared" si="251"/>
        <v>0</v>
      </c>
      <c r="AT418" s="424">
        <f t="shared" si="251"/>
        <v>0</v>
      </c>
      <c r="AU418" s="424">
        <f t="shared" si="251"/>
        <v>0</v>
      </c>
      <c r="AV418" s="424">
        <f t="shared" si="251"/>
        <v>0</v>
      </c>
      <c r="AW418" s="424">
        <f t="shared" si="251"/>
        <v>0</v>
      </c>
      <c r="AX418" s="424">
        <f t="shared" si="251"/>
        <v>0</v>
      </c>
      <c r="AY418" s="424">
        <f t="shared" si="251"/>
        <v>0</v>
      </c>
      <c r="AZ418" s="424">
        <f t="shared" si="251"/>
        <v>0</v>
      </c>
      <c r="BA418" s="424">
        <f t="shared" si="251"/>
        <v>0</v>
      </c>
      <c r="BB418" s="424">
        <f t="shared" si="251"/>
        <v>0</v>
      </c>
      <c r="BC418" s="424">
        <f t="shared" si="251"/>
        <v>0</v>
      </c>
      <c r="BD418" s="424">
        <f t="shared" si="251"/>
        <v>0</v>
      </c>
      <c r="BE418" s="424">
        <f t="shared" si="251"/>
        <v>0</v>
      </c>
      <c r="BF418" s="424">
        <f t="shared" si="251"/>
        <v>0</v>
      </c>
      <c r="BG418" s="424">
        <f t="shared" si="251"/>
        <v>0</v>
      </c>
      <c r="BH418" s="424">
        <f t="shared" si="251"/>
        <v>0</v>
      </c>
      <c r="BI418" s="424">
        <f t="shared" si="251"/>
        <v>0</v>
      </c>
      <c r="BJ418" s="424">
        <f t="shared" si="251"/>
        <v>0</v>
      </c>
      <c r="BK418" s="424">
        <f t="shared" si="251"/>
        <v>0</v>
      </c>
      <c r="BL418" s="424">
        <f t="shared" si="251"/>
        <v>0</v>
      </c>
      <c r="BM418" s="424">
        <f t="shared" si="251"/>
        <v>0</v>
      </c>
      <c r="BN418" s="424">
        <f t="shared" si="251"/>
        <v>0</v>
      </c>
      <c r="BO418" s="424">
        <f t="shared" si="251"/>
        <v>0</v>
      </c>
      <c r="BP418" s="424">
        <f t="shared" si="251"/>
        <v>0</v>
      </c>
      <c r="BQ418" s="424">
        <f t="shared" si="251"/>
        <v>0</v>
      </c>
      <c r="BR418" s="424">
        <f t="shared" si="251"/>
        <v>0</v>
      </c>
      <c r="BS418" s="424">
        <f t="shared" si="251"/>
        <v>0</v>
      </c>
      <c r="BT418" s="424">
        <f t="shared" si="251"/>
        <v>0</v>
      </c>
      <c r="BU418" s="424">
        <f t="shared" si="251"/>
        <v>0</v>
      </c>
      <c r="BV418" s="424">
        <f t="shared" ref="BV418:DA418" si="252">BV48*BV$372</f>
        <v>0</v>
      </c>
      <c r="BW418" s="424">
        <f t="shared" si="252"/>
        <v>0</v>
      </c>
      <c r="BX418" s="424">
        <f t="shared" si="252"/>
        <v>0</v>
      </c>
      <c r="BY418" s="424">
        <f t="shared" si="252"/>
        <v>0</v>
      </c>
      <c r="BZ418" s="424">
        <f t="shared" si="252"/>
        <v>0</v>
      </c>
      <c r="CA418" s="424">
        <f t="shared" si="252"/>
        <v>0</v>
      </c>
      <c r="CB418" s="424">
        <f t="shared" si="252"/>
        <v>0</v>
      </c>
      <c r="CC418" s="424">
        <f t="shared" si="252"/>
        <v>0</v>
      </c>
      <c r="CD418" s="424">
        <f t="shared" si="252"/>
        <v>0</v>
      </c>
      <c r="CE418" s="424">
        <f t="shared" si="252"/>
        <v>0</v>
      </c>
      <c r="CF418" s="424">
        <f t="shared" si="252"/>
        <v>0</v>
      </c>
      <c r="CG418" s="424">
        <f t="shared" si="252"/>
        <v>0</v>
      </c>
      <c r="CH418" s="424">
        <f t="shared" si="252"/>
        <v>0</v>
      </c>
      <c r="CI418" s="424">
        <f t="shared" si="252"/>
        <v>0</v>
      </c>
      <c r="CJ418" s="424">
        <f t="shared" si="252"/>
        <v>0</v>
      </c>
      <c r="CK418" s="424">
        <f t="shared" si="252"/>
        <v>0</v>
      </c>
      <c r="CL418" s="424">
        <f t="shared" si="252"/>
        <v>0</v>
      </c>
      <c r="CM418" s="424">
        <f t="shared" si="252"/>
        <v>0</v>
      </c>
      <c r="CN418" s="424">
        <f t="shared" si="252"/>
        <v>0</v>
      </c>
      <c r="CO418" s="424">
        <f t="shared" si="252"/>
        <v>0</v>
      </c>
      <c r="CP418" s="424">
        <f t="shared" si="252"/>
        <v>0</v>
      </c>
      <c r="CQ418" s="424">
        <f t="shared" si="252"/>
        <v>0</v>
      </c>
      <c r="CR418" s="424">
        <f t="shared" si="252"/>
        <v>0</v>
      </c>
      <c r="CS418" s="424">
        <f t="shared" si="252"/>
        <v>0</v>
      </c>
      <c r="CT418" s="424">
        <f t="shared" si="252"/>
        <v>0</v>
      </c>
      <c r="CU418" s="424">
        <f t="shared" si="252"/>
        <v>0</v>
      </c>
      <c r="CV418" s="424">
        <f t="shared" si="252"/>
        <v>0</v>
      </c>
      <c r="CW418" s="424">
        <f t="shared" si="252"/>
        <v>0</v>
      </c>
      <c r="CX418" s="424">
        <f t="shared" si="252"/>
        <v>0</v>
      </c>
      <c r="CY418" s="424">
        <f t="shared" si="252"/>
        <v>0</v>
      </c>
      <c r="CZ418" s="424">
        <f t="shared" si="252"/>
        <v>0</v>
      </c>
      <c r="DA418" s="424">
        <f t="shared" si="252"/>
        <v>0</v>
      </c>
      <c r="DB418" s="424">
        <f t="shared" ref="DB418:EG418" si="253">DB48*DB$372</f>
        <v>0</v>
      </c>
      <c r="DC418" s="424">
        <f t="shared" si="253"/>
        <v>0</v>
      </c>
      <c r="DD418" s="424">
        <f t="shared" si="253"/>
        <v>0</v>
      </c>
      <c r="DE418" s="424">
        <f t="shared" si="253"/>
        <v>0</v>
      </c>
      <c r="DF418" s="424">
        <f t="shared" si="253"/>
        <v>0</v>
      </c>
      <c r="DG418" s="424">
        <f t="shared" si="253"/>
        <v>0</v>
      </c>
      <c r="DH418" s="424">
        <f t="shared" si="253"/>
        <v>0</v>
      </c>
      <c r="DI418" s="424">
        <f t="shared" si="253"/>
        <v>0</v>
      </c>
      <c r="DJ418" s="424">
        <f t="shared" si="253"/>
        <v>0</v>
      </c>
      <c r="DK418" s="424">
        <f t="shared" si="253"/>
        <v>0</v>
      </c>
      <c r="DL418" s="424">
        <f t="shared" si="253"/>
        <v>0</v>
      </c>
      <c r="DM418" s="424">
        <f t="shared" si="253"/>
        <v>0</v>
      </c>
      <c r="DN418" s="424">
        <f t="shared" si="253"/>
        <v>0</v>
      </c>
      <c r="DO418" s="424">
        <f t="shared" si="253"/>
        <v>0</v>
      </c>
      <c r="DP418" s="424">
        <f t="shared" si="253"/>
        <v>0</v>
      </c>
      <c r="DQ418" s="424">
        <f t="shared" si="253"/>
        <v>0</v>
      </c>
      <c r="DR418" s="424">
        <f t="shared" si="253"/>
        <v>0</v>
      </c>
      <c r="DS418" s="424">
        <f t="shared" si="253"/>
        <v>0</v>
      </c>
      <c r="DT418" s="424">
        <f t="shared" si="253"/>
        <v>0</v>
      </c>
      <c r="DU418" s="424">
        <f t="shared" si="253"/>
        <v>0</v>
      </c>
      <c r="DV418" s="424">
        <f t="shared" si="253"/>
        <v>0</v>
      </c>
      <c r="DW418" s="424">
        <f t="shared" si="253"/>
        <v>0</v>
      </c>
      <c r="DX418" s="424">
        <f t="shared" si="253"/>
        <v>0</v>
      </c>
      <c r="DY418" s="424">
        <f t="shared" si="253"/>
        <v>0</v>
      </c>
      <c r="DZ418" s="424">
        <f t="shared" si="253"/>
        <v>0</v>
      </c>
      <c r="EA418" s="424">
        <f t="shared" si="253"/>
        <v>0</v>
      </c>
      <c r="EB418" s="424">
        <f t="shared" si="253"/>
        <v>0</v>
      </c>
      <c r="EC418" s="424">
        <f t="shared" si="253"/>
        <v>0</v>
      </c>
      <c r="ED418" s="424">
        <f t="shared" si="253"/>
        <v>0</v>
      </c>
      <c r="EE418" s="424">
        <f t="shared" si="253"/>
        <v>0</v>
      </c>
      <c r="EF418" s="424">
        <f t="shared" si="253"/>
        <v>0</v>
      </c>
      <c r="EG418" s="424">
        <f t="shared" si="253"/>
        <v>0</v>
      </c>
      <c r="EH418" s="424">
        <f t="shared" ref="EH418:EX418" si="254">EH48*EH$372</f>
        <v>0</v>
      </c>
      <c r="EI418" s="424">
        <f t="shared" si="254"/>
        <v>0</v>
      </c>
      <c r="EJ418" s="424">
        <f t="shared" si="254"/>
        <v>0</v>
      </c>
      <c r="EK418" s="424">
        <f t="shared" si="254"/>
        <v>0</v>
      </c>
      <c r="EL418" s="424">
        <f t="shared" si="254"/>
        <v>0</v>
      </c>
      <c r="EM418" s="424">
        <f t="shared" si="254"/>
        <v>0</v>
      </c>
      <c r="EN418" s="424">
        <f t="shared" si="254"/>
        <v>0</v>
      </c>
      <c r="EO418" s="424">
        <f t="shared" si="254"/>
        <v>0</v>
      </c>
      <c r="EP418" s="424">
        <f t="shared" si="254"/>
        <v>0</v>
      </c>
      <c r="EQ418" s="424">
        <f t="shared" si="254"/>
        <v>0</v>
      </c>
      <c r="ER418" s="424">
        <f t="shared" si="254"/>
        <v>0</v>
      </c>
      <c r="ES418" s="424">
        <f t="shared" si="254"/>
        <v>0</v>
      </c>
      <c r="ET418" s="424">
        <f t="shared" si="254"/>
        <v>0</v>
      </c>
      <c r="EU418" s="424">
        <f t="shared" si="254"/>
        <v>0</v>
      </c>
      <c r="EV418" s="424">
        <f t="shared" si="254"/>
        <v>0</v>
      </c>
      <c r="EW418" s="424">
        <f t="shared" si="254"/>
        <v>0</v>
      </c>
      <c r="EX418" s="424">
        <f t="shared" si="254"/>
        <v>0</v>
      </c>
      <c r="EY418" s="425">
        <f t="shared" si="49"/>
        <v>7.53</v>
      </c>
    </row>
    <row r="419" spans="1:166" ht="14.7" customHeight="1" x14ac:dyDescent="0.25">
      <c r="A419" s="310">
        <v>45</v>
      </c>
      <c r="B419" s="311" t="str">
        <f t="shared" si="30"/>
        <v>Овощи натуральные свежие (огурцы)</v>
      </c>
      <c r="C419" s="483">
        <f t="shared" si="38"/>
        <v>3.79</v>
      </c>
      <c r="D419" s="888"/>
      <c r="E419" s="888"/>
      <c r="F419" s="888"/>
      <c r="G419" s="889"/>
      <c r="H419" s="680">
        <f t="shared" si="31"/>
        <v>71</v>
      </c>
      <c r="I419" s="1209">
        <f t="shared" si="32"/>
        <v>0</v>
      </c>
      <c r="J419" s="424">
        <f t="shared" ref="J419:AO419" si="255">J49*J$372</f>
        <v>0</v>
      </c>
      <c r="K419" s="424">
        <f t="shared" si="255"/>
        <v>0</v>
      </c>
      <c r="L419" s="424">
        <f t="shared" si="255"/>
        <v>0</v>
      </c>
      <c r="M419" s="424">
        <f t="shared" si="255"/>
        <v>0</v>
      </c>
      <c r="N419" s="424">
        <f t="shared" si="255"/>
        <v>0</v>
      </c>
      <c r="O419" s="424">
        <f t="shared" si="255"/>
        <v>0</v>
      </c>
      <c r="P419" s="424">
        <f t="shared" si="255"/>
        <v>0</v>
      </c>
      <c r="Q419" s="424">
        <f t="shared" si="255"/>
        <v>0</v>
      </c>
      <c r="R419" s="424">
        <f t="shared" si="255"/>
        <v>0</v>
      </c>
      <c r="S419" s="424">
        <f t="shared" si="255"/>
        <v>0</v>
      </c>
      <c r="T419" s="424">
        <f t="shared" si="255"/>
        <v>0</v>
      </c>
      <c r="U419" s="424">
        <f t="shared" si="255"/>
        <v>0</v>
      </c>
      <c r="V419" s="424">
        <f t="shared" si="255"/>
        <v>0</v>
      </c>
      <c r="W419" s="424">
        <f t="shared" si="255"/>
        <v>0</v>
      </c>
      <c r="X419" s="424">
        <f t="shared" si="255"/>
        <v>0</v>
      </c>
      <c r="Y419" s="424">
        <f t="shared" si="255"/>
        <v>0</v>
      </c>
      <c r="Z419" s="424">
        <f t="shared" si="255"/>
        <v>0</v>
      </c>
      <c r="AA419" s="424">
        <f t="shared" si="255"/>
        <v>0</v>
      </c>
      <c r="AB419" s="424">
        <f t="shared" si="255"/>
        <v>0</v>
      </c>
      <c r="AC419" s="424">
        <f t="shared" si="255"/>
        <v>0</v>
      </c>
      <c r="AD419" s="424">
        <f t="shared" si="255"/>
        <v>0</v>
      </c>
      <c r="AE419" s="424">
        <f t="shared" si="255"/>
        <v>0</v>
      </c>
      <c r="AF419" s="424">
        <f t="shared" si="255"/>
        <v>0</v>
      </c>
      <c r="AG419" s="424">
        <f t="shared" si="255"/>
        <v>0</v>
      </c>
      <c r="AH419" s="424">
        <f t="shared" si="255"/>
        <v>0</v>
      </c>
      <c r="AI419" s="424">
        <f t="shared" si="255"/>
        <v>0</v>
      </c>
      <c r="AJ419" s="424">
        <f t="shared" si="255"/>
        <v>0</v>
      </c>
      <c r="AK419" s="424">
        <f t="shared" si="255"/>
        <v>0</v>
      </c>
      <c r="AL419" s="424">
        <f t="shared" si="255"/>
        <v>0</v>
      </c>
      <c r="AM419" s="424">
        <f t="shared" si="255"/>
        <v>0</v>
      </c>
      <c r="AN419" s="424">
        <f t="shared" si="255"/>
        <v>0</v>
      </c>
      <c r="AO419" s="424">
        <f t="shared" si="255"/>
        <v>3.79</v>
      </c>
      <c r="AP419" s="424">
        <f t="shared" ref="AP419:BU419" si="256">AP49*AP$372</f>
        <v>0</v>
      </c>
      <c r="AQ419" s="424">
        <f t="shared" si="256"/>
        <v>0</v>
      </c>
      <c r="AR419" s="424">
        <f t="shared" si="256"/>
        <v>0</v>
      </c>
      <c r="AS419" s="424">
        <f t="shared" si="256"/>
        <v>0</v>
      </c>
      <c r="AT419" s="424">
        <f t="shared" si="256"/>
        <v>0</v>
      </c>
      <c r="AU419" s="424">
        <f t="shared" si="256"/>
        <v>0</v>
      </c>
      <c r="AV419" s="424">
        <f t="shared" si="256"/>
        <v>0</v>
      </c>
      <c r="AW419" s="424">
        <f t="shared" si="256"/>
        <v>0</v>
      </c>
      <c r="AX419" s="424">
        <f t="shared" si="256"/>
        <v>0</v>
      </c>
      <c r="AY419" s="424">
        <f t="shared" si="256"/>
        <v>0</v>
      </c>
      <c r="AZ419" s="424">
        <f t="shared" si="256"/>
        <v>0</v>
      </c>
      <c r="BA419" s="424">
        <f t="shared" si="256"/>
        <v>0</v>
      </c>
      <c r="BB419" s="424">
        <f t="shared" si="256"/>
        <v>0</v>
      </c>
      <c r="BC419" s="424">
        <f t="shared" si="256"/>
        <v>0</v>
      </c>
      <c r="BD419" s="424">
        <f t="shared" si="256"/>
        <v>0</v>
      </c>
      <c r="BE419" s="424">
        <f t="shared" si="256"/>
        <v>0</v>
      </c>
      <c r="BF419" s="424">
        <f t="shared" si="256"/>
        <v>0</v>
      </c>
      <c r="BG419" s="424">
        <f t="shared" si="256"/>
        <v>0</v>
      </c>
      <c r="BH419" s="424">
        <f t="shared" si="256"/>
        <v>0</v>
      </c>
      <c r="BI419" s="424">
        <f t="shared" si="256"/>
        <v>0</v>
      </c>
      <c r="BJ419" s="424">
        <f t="shared" si="256"/>
        <v>0</v>
      </c>
      <c r="BK419" s="424">
        <f t="shared" si="256"/>
        <v>0</v>
      </c>
      <c r="BL419" s="424">
        <f t="shared" si="256"/>
        <v>0</v>
      </c>
      <c r="BM419" s="424">
        <f t="shared" si="256"/>
        <v>0</v>
      </c>
      <c r="BN419" s="424">
        <f t="shared" si="256"/>
        <v>0</v>
      </c>
      <c r="BO419" s="424">
        <f t="shared" si="256"/>
        <v>0</v>
      </c>
      <c r="BP419" s="424">
        <f t="shared" si="256"/>
        <v>0</v>
      </c>
      <c r="BQ419" s="424">
        <f t="shared" si="256"/>
        <v>0</v>
      </c>
      <c r="BR419" s="424">
        <f t="shared" si="256"/>
        <v>0</v>
      </c>
      <c r="BS419" s="424">
        <f t="shared" si="256"/>
        <v>0</v>
      </c>
      <c r="BT419" s="424">
        <f t="shared" si="256"/>
        <v>0</v>
      </c>
      <c r="BU419" s="424">
        <f t="shared" si="256"/>
        <v>0</v>
      </c>
      <c r="BV419" s="424">
        <f t="shared" ref="BV419:DA419" si="257">BV49*BV$372</f>
        <v>0</v>
      </c>
      <c r="BW419" s="424">
        <f t="shared" si="257"/>
        <v>0</v>
      </c>
      <c r="BX419" s="424">
        <f t="shared" si="257"/>
        <v>0</v>
      </c>
      <c r="BY419" s="424">
        <f t="shared" si="257"/>
        <v>0</v>
      </c>
      <c r="BZ419" s="424">
        <f t="shared" si="257"/>
        <v>0</v>
      </c>
      <c r="CA419" s="424">
        <f t="shared" si="257"/>
        <v>0</v>
      </c>
      <c r="CB419" s="424">
        <f t="shared" si="257"/>
        <v>0</v>
      </c>
      <c r="CC419" s="424">
        <f t="shared" si="257"/>
        <v>0</v>
      </c>
      <c r="CD419" s="424">
        <f t="shared" si="257"/>
        <v>0</v>
      </c>
      <c r="CE419" s="424">
        <f t="shared" si="257"/>
        <v>0</v>
      </c>
      <c r="CF419" s="424">
        <f t="shared" si="257"/>
        <v>0</v>
      </c>
      <c r="CG419" s="424">
        <f t="shared" si="257"/>
        <v>0</v>
      </c>
      <c r="CH419" s="424">
        <f t="shared" si="257"/>
        <v>0</v>
      </c>
      <c r="CI419" s="424">
        <f t="shared" si="257"/>
        <v>0</v>
      </c>
      <c r="CJ419" s="424">
        <f t="shared" si="257"/>
        <v>0</v>
      </c>
      <c r="CK419" s="424">
        <f t="shared" si="257"/>
        <v>0</v>
      </c>
      <c r="CL419" s="424">
        <f t="shared" si="257"/>
        <v>0</v>
      </c>
      <c r="CM419" s="424">
        <f t="shared" si="257"/>
        <v>0</v>
      </c>
      <c r="CN419" s="424">
        <f t="shared" si="257"/>
        <v>0</v>
      </c>
      <c r="CO419" s="424">
        <f t="shared" si="257"/>
        <v>0</v>
      </c>
      <c r="CP419" s="424">
        <f t="shared" si="257"/>
        <v>0</v>
      </c>
      <c r="CQ419" s="424">
        <f t="shared" si="257"/>
        <v>0</v>
      </c>
      <c r="CR419" s="424">
        <f t="shared" si="257"/>
        <v>0</v>
      </c>
      <c r="CS419" s="424">
        <f t="shared" si="257"/>
        <v>0</v>
      </c>
      <c r="CT419" s="424">
        <f t="shared" si="257"/>
        <v>0</v>
      </c>
      <c r="CU419" s="424">
        <f t="shared" si="257"/>
        <v>0</v>
      </c>
      <c r="CV419" s="424">
        <f t="shared" si="257"/>
        <v>0</v>
      </c>
      <c r="CW419" s="424">
        <f t="shared" si="257"/>
        <v>0</v>
      </c>
      <c r="CX419" s="424">
        <f t="shared" si="257"/>
        <v>0</v>
      </c>
      <c r="CY419" s="424">
        <f t="shared" si="257"/>
        <v>0</v>
      </c>
      <c r="CZ419" s="424">
        <f t="shared" si="257"/>
        <v>0</v>
      </c>
      <c r="DA419" s="424">
        <f t="shared" si="257"/>
        <v>0</v>
      </c>
      <c r="DB419" s="424">
        <f t="shared" ref="DB419:EG419" si="258">DB49*DB$372</f>
        <v>0</v>
      </c>
      <c r="DC419" s="424">
        <f t="shared" si="258"/>
        <v>0</v>
      </c>
      <c r="DD419" s="424">
        <f t="shared" si="258"/>
        <v>0</v>
      </c>
      <c r="DE419" s="424">
        <f t="shared" si="258"/>
        <v>0</v>
      </c>
      <c r="DF419" s="424">
        <f t="shared" si="258"/>
        <v>0</v>
      </c>
      <c r="DG419" s="424">
        <f t="shared" si="258"/>
        <v>0</v>
      </c>
      <c r="DH419" s="424">
        <f t="shared" si="258"/>
        <v>0</v>
      </c>
      <c r="DI419" s="424">
        <f t="shared" si="258"/>
        <v>0</v>
      </c>
      <c r="DJ419" s="424">
        <f t="shared" si="258"/>
        <v>0</v>
      </c>
      <c r="DK419" s="424">
        <f t="shared" si="258"/>
        <v>0</v>
      </c>
      <c r="DL419" s="424">
        <f t="shared" si="258"/>
        <v>0</v>
      </c>
      <c r="DM419" s="424">
        <f t="shared" si="258"/>
        <v>0</v>
      </c>
      <c r="DN419" s="424">
        <f t="shared" si="258"/>
        <v>0</v>
      </c>
      <c r="DO419" s="424">
        <f t="shared" si="258"/>
        <v>0</v>
      </c>
      <c r="DP419" s="424">
        <f t="shared" si="258"/>
        <v>0</v>
      </c>
      <c r="DQ419" s="424">
        <f t="shared" si="258"/>
        <v>0</v>
      </c>
      <c r="DR419" s="424">
        <f t="shared" si="258"/>
        <v>0</v>
      </c>
      <c r="DS419" s="424">
        <f t="shared" si="258"/>
        <v>0</v>
      </c>
      <c r="DT419" s="424">
        <f t="shared" si="258"/>
        <v>0</v>
      </c>
      <c r="DU419" s="424">
        <f t="shared" si="258"/>
        <v>0</v>
      </c>
      <c r="DV419" s="424">
        <f t="shared" si="258"/>
        <v>0</v>
      </c>
      <c r="DW419" s="424">
        <f t="shared" si="258"/>
        <v>0</v>
      </c>
      <c r="DX419" s="424">
        <f t="shared" si="258"/>
        <v>0</v>
      </c>
      <c r="DY419" s="424">
        <f t="shared" si="258"/>
        <v>0</v>
      </c>
      <c r="DZ419" s="424">
        <f t="shared" si="258"/>
        <v>0</v>
      </c>
      <c r="EA419" s="424">
        <f t="shared" si="258"/>
        <v>0</v>
      </c>
      <c r="EB419" s="424">
        <f t="shared" si="258"/>
        <v>0</v>
      </c>
      <c r="EC419" s="424">
        <f t="shared" si="258"/>
        <v>0</v>
      </c>
      <c r="ED419" s="424">
        <f t="shared" si="258"/>
        <v>0</v>
      </c>
      <c r="EE419" s="424">
        <f t="shared" si="258"/>
        <v>0</v>
      </c>
      <c r="EF419" s="424">
        <f t="shared" si="258"/>
        <v>0</v>
      </c>
      <c r="EG419" s="424">
        <f t="shared" si="258"/>
        <v>0</v>
      </c>
      <c r="EH419" s="424">
        <f t="shared" ref="EH419:EX419" si="259">EH49*EH$372</f>
        <v>0</v>
      </c>
      <c r="EI419" s="424">
        <f t="shared" si="259"/>
        <v>0</v>
      </c>
      <c r="EJ419" s="424">
        <f t="shared" si="259"/>
        <v>0</v>
      </c>
      <c r="EK419" s="424">
        <f t="shared" si="259"/>
        <v>0</v>
      </c>
      <c r="EL419" s="424">
        <f t="shared" si="259"/>
        <v>0</v>
      </c>
      <c r="EM419" s="424">
        <f t="shared" si="259"/>
        <v>0</v>
      </c>
      <c r="EN419" s="424">
        <f t="shared" si="259"/>
        <v>0</v>
      </c>
      <c r="EO419" s="424">
        <f t="shared" si="259"/>
        <v>0</v>
      </c>
      <c r="EP419" s="424">
        <f t="shared" si="259"/>
        <v>0</v>
      </c>
      <c r="EQ419" s="424">
        <f t="shared" si="259"/>
        <v>0</v>
      </c>
      <c r="ER419" s="424">
        <f t="shared" si="259"/>
        <v>0</v>
      </c>
      <c r="ES419" s="424">
        <f t="shared" si="259"/>
        <v>0</v>
      </c>
      <c r="ET419" s="424">
        <f t="shared" si="259"/>
        <v>0</v>
      </c>
      <c r="EU419" s="424">
        <f t="shared" si="259"/>
        <v>0</v>
      </c>
      <c r="EV419" s="424">
        <f t="shared" si="259"/>
        <v>0</v>
      </c>
      <c r="EW419" s="424">
        <f t="shared" si="259"/>
        <v>0</v>
      </c>
      <c r="EX419" s="424">
        <f t="shared" si="259"/>
        <v>0</v>
      </c>
      <c r="EY419" s="425">
        <f t="shared" si="49"/>
        <v>3.79</v>
      </c>
    </row>
    <row r="420" spans="1:166" ht="14.7" customHeight="1" x14ac:dyDescent="0.25">
      <c r="A420" s="310">
        <v>46</v>
      </c>
      <c r="B420" s="311" t="str">
        <f t="shared" si="30"/>
        <v>Огурцы, помидоры в нарезке</v>
      </c>
      <c r="C420" s="483">
        <f t="shared" si="38"/>
        <v>5.66</v>
      </c>
      <c r="D420" s="888"/>
      <c r="E420" s="888"/>
      <c r="F420" s="888"/>
      <c r="G420" s="889"/>
      <c r="H420" s="680">
        <f t="shared" si="31"/>
        <v>71</v>
      </c>
      <c r="I420" s="1209">
        <f t="shared" si="32"/>
        <v>0</v>
      </c>
      <c r="J420" s="424">
        <f t="shared" ref="J420:AO420" si="260">J50*J$372</f>
        <v>0</v>
      </c>
      <c r="K420" s="424">
        <f t="shared" si="260"/>
        <v>0</v>
      </c>
      <c r="L420" s="424">
        <f t="shared" si="260"/>
        <v>0</v>
      </c>
      <c r="M420" s="424">
        <f t="shared" si="260"/>
        <v>0</v>
      </c>
      <c r="N420" s="424">
        <f t="shared" si="260"/>
        <v>0</v>
      </c>
      <c r="O420" s="424">
        <f t="shared" si="260"/>
        <v>0</v>
      </c>
      <c r="P420" s="424">
        <f t="shared" si="260"/>
        <v>0</v>
      </c>
      <c r="Q420" s="424">
        <f t="shared" si="260"/>
        <v>0</v>
      </c>
      <c r="R420" s="424">
        <f t="shared" si="260"/>
        <v>0</v>
      </c>
      <c r="S420" s="424">
        <f t="shared" si="260"/>
        <v>0</v>
      </c>
      <c r="T420" s="424">
        <f t="shared" si="260"/>
        <v>0</v>
      </c>
      <c r="U420" s="424">
        <f t="shared" si="260"/>
        <v>0</v>
      </c>
      <c r="V420" s="424">
        <f t="shared" si="260"/>
        <v>0</v>
      </c>
      <c r="W420" s="424">
        <f t="shared" si="260"/>
        <v>0</v>
      </c>
      <c r="X420" s="424">
        <f t="shared" si="260"/>
        <v>0</v>
      </c>
      <c r="Y420" s="424">
        <f t="shared" si="260"/>
        <v>0</v>
      </c>
      <c r="Z420" s="424">
        <f t="shared" si="260"/>
        <v>0</v>
      </c>
      <c r="AA420" s="424">
        <f t="shared" si="260"/>
        <v>0</v>
      </c>
      <c r="AB420" s="424">
        <f t="shared" si="260"/>
        <v>0</v>
      </c>
      <c r="AC420" s="424">
        <f t="shared" si="260"/>
        <v>0</v>
      </c>
      <c r="AD420" s="424">
        <f t="shared" si="260"/>
        <v>0</v>
      </c>
      <c r="AE420" s="424">
        <f t="shared" si="260"/>
        <v>0</v>
      </c>
      <c r="AF420" s="424">
        <f t="shared" si="260"/>
        <v>0</v>
      </c>
      <c r="AG420" s="424">
        <f t="shared" si="260"/>
        <v>0</v>
      </c>
      <c r="AH420" s="424">
        <f t="shared" si="260"/>
        <v>0</v>
      </c>
      <c r="AI420" s="424">
        <f t="shared" si="260"/>
        <v>0</v>
      </c>
      <c r="AJ420" s="424">
        <f t="shared" si="260"/>
        <v>0</v>
      </c>
      <c r="AK420" s="424">
        <f t="shared" si="260"/>
        <v>0</v>
      </c>
      <c r="AL420" s="424">
        <f t="shared" si="260"/>
        <v>0</v>
      </c>
      <c r="AM420" s="424">
        <f t="shared" si="260"/>
        <v>0</v>
      </c>
      <c r="AN420" s="424">
        <f t="shared" si="260"/>
        <v>3.76</v>
      </c>
      <c r="AO420" s="424">
        <f t="shared" si="260"/>
        <v>1.9</v>
      </c>
      <c r="AP420" s="424">
        <f t="shared" ref="AP420:BU420" si="261">AP50*AP$372</f>
        <v>0</v>
      </c>
      <c r="AQ420" s="424">
        <f t="shared" si="261"/>
        <v>0</v>
      </c>
      <c r="AR420" s="424">
        <f t="shared" si="261"/>
        <v>0</v>
      </c>
      <c r="AS420" s="424">
        <f t="shared" si="261"/>
        <v>0</v>
      </c>
      <c r="AT420" s="424">
        <f t="shared" si="261"/>
        <v>0</v>
      </c>
      <c r="AU420" s="424">
        <f t="shared" si="261"/>
        <v>0</v>
      </c>
      <c r="AV420" s="424">
        <f t="shared" si="261"/>
        <v>0</v>
      </c>
      <c r="AW420" s="424">
        <f t="shared" si="261"/>
        <v>0</v>
      </c>
      <c r="AX420" s="424">
        <f t="shared" si="261"/>
        <v>0</v>
      </c>
      <c r="AY420" s="424">
        <f t="shared" si="261"/>
        <v>0</v>
      </c>
      <c r="AZ420" s="424">
        <f t="shared" si="261"/>
        <v>0</v>
      </c>
      <c r="BA420" s="424">
        <f t="shared" si="261"/>
        <v>0</v>
      </c>
      <c r="BB420" s="424">
        <f t="shared" si="261"/>
        <v>0</v>
      </c>
      <c r="BC420" s="424">
        <f t="shared" si="261"/>
        <v>0</v>
      </c>
      <c r="BD420" s="424">
        <f t="shared" si="261"/>
        <v>0</v>
      </c>
      <c r="BE420" s="424">
        <f t="shared" si="261"/>
        <v>0</v>
      </c>
      <c r="BF420" s="424">
        <f t="shared" si="261"/>
        <v>0</v>
      </c>
      <c r="BG420" s="424">
        <f t="shared" si="261"/>
        <v>0</v>
      </c>
      <c r="BH420" s="424">
        <f t="shared" si="261"/>
        <v>0</v>
      </c>
      <c r="BI420" s="424">
        <f t="shared" si="261"/>
        <v>0</v>
      </c>
      <c r="BJ420" s="424">
        <f t="shared" si="261"/>
        <v>0</v>
      </c>
      <c r="BK420" s="424">
        <f t="shared" si="261"/>
        <v>0</v>
      </c>
      <c r="BL420" s="424">
        <f t="shared" si="261"/>
        <v>0</v>
      </c>
      <c r="BM420" s="424">
        <f t="shared" si="261"/>
        <v>0</v>
      </c>
      <c r="BN420" s="424">
        <f t="shared" si="261"/>
        <v>0</v>
      </c>
      <c r="BO420" s="424">
        <f t="shared" si="261"/>
        <v>0</v>
      </c>
      <c r="BP420" s="424">
        <f t="shared" si="261"/>
        <v>0</v>
      </c>
      <c r="BQ420" s="424">
        <f t="shared" si="261"/>
        <v>0</v>
      </c>
      <c r="BR420" s="424">
        <f t="shared" si="261"/>
        <v>0</v>
      </c>
      <c r="BS420" s="424">
        <f t="shared" si="261"/>
        <v>0</v>
      </c>
      <c r="BT420" s="424">
        <f t="shared" si="261"/>
        <v>0</v>
      </c>
      <c r="BU420" s="424">
        <f t="shared" si="261"/>
        <v>0</v>
      </c>
      <c r="BV420" s="424">
        <f t="shared" ref="BV420:DA420" si="262">BV50*BV$372</f>
        <v>0</v>
      </c>
      <c r="BW420" s="424">
        <f t="shared" si="262"/>
        <v>0</v>
      </c>
      <c r="BX420" s="424">
        <f t="shared" si="262"/>
        <v>0</v>
      </c>
      <c r="BY420" s="424">
        <f t="shared" si="262"/>
        <v>0</v>
      </c>
      <c r="BZ420" s="424">
        <f t="shared" si="262"/>
        <v>0</v>
      </c>
      <c r="CA420" s="424">
        <f t="shared" si="262"/>
        <v>0</v>
      </c>
      <c r="CB420" s="424">
        <f t="shared" si="262"/>
        <v>0</v>
      </c>
      <c r="CC420" s="424">
        <f t="shared" si="262"/>
        <v>0</v>
      </c>
      <c r="CD420" s="424">
        <f t="shared" si="262"/>
        <v>0</v>
      </c>
      <c r="CE420" s="424">
        <f t="shared" si="262"/>
        <v>0</v>
      </c>
      <c r="CF420" s="424">
        <f t="shared" si="262"/>
        <v>0</v>
      </c>
      <c r="CG420" s="424">
        <f t="shared" si="262"/>
        <v>0</v>
      </c>
      <c r="CH420" s="424">
        <f t="shared" si="262"/>
        <v>0</v>
      </c>
      <c r="CI420" s="424">
        <f t="shared" si="262"/>
        <v>0</v>
      </c>
      <c r="CJ420" s="424">
        <f t="shared" si="262"/>
        <v>0</v>
      </c>
      <c r="CK420" s="424">
        <f t="shared" si="262"/>
        <v>0</v>
      </c>
      <c r="CL420" s="424">
        <f t="shared" si="262"/>
        <v>0</v>
      </c>
      <c r="CM420" s="424">
        <f t="shared" si="262"/>
        <v>0</v>
      </c>
      <c r="CN420" s="424">
        <f t="shared" si="262"/>
        <v>0</v>
      </c>
      <c r="CO420" s="424">
        <f t="shared" si="262"/>
        <v>0</v>
      </c>
      <c r="CP420" s="424">
        <f t="shared" si="262"/>
        <v>0</v>
      </c>
      <c r="CQ420" s="424">
        <f t="shared" si="262"/>
        <v>0</v>
      </c>
      <c r="CR420" s="424">
        <f t="shared" si="262"/>
        <v>0</v>
      </c>
      <c r="CS420" s="424">
        <f t="shared" si="262"/>
        <v>0</v>
      </c>
      <c r="CT420" s="424">
        <f t="shared" si="262"/>
        <v>0</v>
      </c>
      <c r="CU420" s="424">
        <f t="shared" si="262"/>
        <v>0</v>
      </c>
      <c r="CV420" s="424">
        <f t="shared" si="262"/>
        <v>0</v>
      </c>
      <c r="CW420" s="424">
        <f t="shared" si="262"/>
        <v>0</v>
      </c>
      <c r="CX420" s="424">
        <f t="shared" si="262"/>
        <v>0</v>
      </c>
      <c r="CY420" s="424">
        <f t="shared" si="262"/>
        <v>0</v>
      </c>
      <c r="CZ420" s="424">
        <f t="shared" si="262"/>
        <v>0</v>
      </c>
      <c r="DA420" s="424">
        <f t="shared" si="262"/>
        <v>0</v>
      </c>
      <c r="DB420" s="424">
        <f t="shared" ref="DB420:EG420" si="263">DB50*DB$372</f>
        <v>0</v>
      </c>
      <c r="DC420" s="424">
        <f t="shared" si="263"/>
        <v>0</v>
      </c>
      <c r="DD420" s="424">
        <f t="shared" si="263"/>
        <v>0</v>
      </c>
      <c r="DE420" s="424">
        <f t="shared" si="263"/>
        <v>0</v>
      </c>
      <c r="DF420" s="424">
        <f t="shared" si="263"/>
        <v>0</v>
      </c>
      <c r="DG420" s="424">
        <f t="shared" si="263"/>
        <v>0</v>
      </c>
      <c r="DH420" s="424">
        <f t="shared" si="263"/>
        <v>0</v>
      </c>
      <c r="DI420" s="424">
        <f t="shared" si="263"/>
        <v>0</v>
      </c>
      <c r="DJ420" s="424">
        <f t="shared" si="263"/>
        <v>0</v>
      </c>
      <c r="DK420" s="424">
        <f t="shared" si="263"/>
        <v>0</v>
      </c>
      <c r="DL420" s="424">
        <f t="shared" si="263"/>
        <v>0</v>
      </c>
      <c r="DM420" s="424">
        <f t="shared" si="263"/>
        <v>0</v>
      </c>
      <c r="DN420" s="424">
        <f t="shared" si="263"/>
        <v>0</v>
      </c>
      <c r="DO420" s="424">
        <f t="shared" si="263"/>
        <v>0</v>
      </c>
      <c r="DP420" s="424">
        <f t="shared" si="263"/>
        <v>0</v>
      </c>
      <c r="DQ420" s="424">
        <f t="shared" si="263"/>
        <v>0</v>
      </c>
      <c r="DR420" s="424">
        <f t="shared" si="263"/>
        <v>0</v>
      </c>
      <c r="DS420" s="424">
        <f t="shared" si="263"/>
        <v>0</v>
      </c>
      <c r="DT420" s="424">
        <f t="shared" si="263"/>
        <v>0</v>
      </c>
      <c r="DU420" s="424">
        <f t="shared" si="263"/>
        <v>0</v>
      </c>
      <c r="DV420" s="424">
        <f t="shared" si="263"/>
        <v>0</v>
      </c>
      <c r="DW420" s="424">
        <f t="shared" si="263"/>
        <v>0</v>
      </c>
      <c r="DX420" s="424">
        <f t="shared" si="263"/>
        <v>0</v>
      </c>
      <c r="DY420" s="424">
        <f t="shared" si="263"/>
        <v>0</v>
      </c>
      <c r="DZ420" s="424">
        <f t="shared" si="263"/>
        <v>0</v>
      </c>
      <c r="EA420" s="424">
        <f t="shared" si="263"/>
        <v>0</v>
      </c>
      <c r="EB420" s="424">
        <f t="shared" si="263"/>
        <v>0</v>
      </c>
      <c r="EC420" s="424">
        <f t="shared" si="263"/>
        <v>0</v>
      </c>
      <c r="ED420" s="424">
        <f t="shared" si="263"/>
        <v>0</v>
      </c>
      <c r="EE420" s="424">
        <f t="shared" si="263"/>
        <v>0</v>
      </c>
      <c r="EF420" s="424">
        <f t="shared" si="263"/>
        <v>0</v>
      </c>
      <c r="EG420" s="424">
        <f t="shared" si="263"/>
        <v>0</v>
      </c>
      <c r="EH420" s="424">
        <f t="shared" ref="EH420:EX420" si="264">EH50*EH$372</f>
        <v>0</v>
      </c>
      <c r="EI420" s="424">
        <f t="shared" si="264"/>
        <v>0</v>
      </c>
      <c r="EJ420" s="424">
        <f t="shared" si="264"/>
        <v>0</v>
      </c>
      <c r="EK420" s="424">
        <f t="shared" si="264"/>
        <v>0</v>
      </c>
      <c r="EL420" s="424">
        <f t="shared" si="264"/>
        <v>0</v>
      </c>
      <c r="EM420" s="424">
        <f t="shared" si="264"/>
        <v>0</v>
      </c>
      <c r="EN420" s="424">
        <f t="shared" si="264"/>
        <v>0</v>
      </c>
      <c r="EO420" s="424">
        <f t="shared" si="264"/>
        <v>0</v>
      </c>
      <c r="EP420" s="424">
        <f t="shared" si="264"/>
        <v>0</v>
      </c>
      <c r="EQ420" s="424">
        <f t="shared" si="264"/>
        <v>0</v>
      </c>
      <c r="ER420" s="424">
        <f t="shared" si="264"/>
        <v>0</v>
      </c>
      <c r="ES420" s="424">
        <f t="shared" si="264"/>
        <v>0</v>
      </c>
      <c r="ET420" s="424">
        <f t="shared" si="264"/>
        <v>0</v>
      </c>
      <c r="EU420" s="424">
        <f t="shared" si="264"/>
        <v>0</v>
      </c>
      <c r="EV420" s="424">
        <f t="shared" si="264"/>
        <v>0</v>
      </c>
      <c r="EW420" s="424">
        <f t="shared" si="264"/>
        <v>0</v>
      </c>
      <c r="EX420" s="424">
        <f t="shared" si="264"/>
        <v>0</v>
      </c>
      <c r="EY420" s="425">
        <f t="shared" si="49"/>
        <v>5.66</v>
      </c>
    </row>
    <row r="421" spans="1:166" ht="14.7" customHeight="1" x14ac:dyDescent="0.25">
      <c r="A421" s="310">
        <v>47</v>
      </c>
      <c r="B421" s="311" t="str">
        <f t="shared" si="30"/>
        <v>Сельдь с картофелем</v>
      </c>
      <c r="C421" s="483">
        <f t="shared" si="38"/>
        <v>14.94</v>
      </c>
      <c r="D421" s="888"/>
      <c r="E421" s="888"/>
      <c r="F421" s="888"/>
      <c r="G421" s="889"/>
      <c r="H421" s="680">
        <f t="shared" si="31"/>
        <v>77</v>
      </c>
      <c r="I421" s="1209">
        <f t="shared" si="32"/>
        <v>0</v>
      </c>
      <c r="J421" s="424">
        <f t="shared" ref="J421:AO421" si="265">J51*J$372</f>
        <v>0</v>
      </c>
      <c r="K421" s="424">
        <f t="shared" si="265"/>
        <v>0</v>
      </c>
      <c r="L421" s="424">
        <f t="shared" si="265"/>
        <v>0</v>
      </c>
      <c r="M421" s="424">
        <f t="shared" si="265"/>
        <v>0</v>
      </c>
      <c r="N421" s="424">
        <f t="shared" si="265"/>
        <v>0</v>
      </c>
      <c r="O421" s="424">
        <f t="shared" si="265"/>
        <v>0</v>
      </c>
      <c r="P421" s="424">
        <f t="shared" si="265"/>
        <v>0</v>
      </c>
      <c r="Q421" s="424">
        <f t="shared" si="265"/>
        <v>0</v>
      </c>
      <c r="R421" s="424">
        <f t="shared" si="265"/>
        <v>0</v>
      </c>
      <c r="S421" s="424">
        <f t="shared" si="265"/>
        <v>0</v>
      </c>
      <c r="T421" s="424">
        <f t="shared" si="265"/>
        <v>9.36</v>
      </c>
      <c r="U421" s="424">
        <f t="shared" si="265"/>
        <v>0</v>
      </c>
      <c r="V421" s="424">
        <f t="shared" si="265"/>
        <v>0</v>
      </c>
      <c r="W421" s="424">
        <f t="shared" si="265"/>
        <v>0</v>
      </c>
      <c r="X421" s="424">
        <f t="shared" si="265"/>
        <v>0</v>
      </c>
      <c r="Y421" s="424">
        <f t="shared" si="265"/>
        <v>0</v>
      </c>
      <c r="Z421" s="424">
        <f t="shared" si="265"/>
        <v>0</v>
      </c>
      <c r="AA421" s="424">
        <f t="shared" si="265"/>
        <v>0</v>
      </c>
      <c r="AB421" s="424">
        <f t="shared" si="265"/>
        <v>0</v>
      </c>
      <c r="AC421" s="424">
        <f t="shared" si="265"/>
        <v>0</v>
      </c>
      <c r="AD421" s="424">
        <f t="shared" si="265"/>
        <v>0</v>
      </c>
      <c r="AE421" s="424">
        <f t="shared" si="265"/>
        <v>0</v>
      </c>
      <c r="AF421" s="424">
        <f t="shared" si="265"/>
        <v>0</v>
      </c>
      <c r="AG421" s="424">
        <f t="shared" si="265"/>
        <v>0</v>
      </c>
      <c r="AH421" s="424">
        <f t="shared" si="265"/>
        <v>4.8600000000000003</v>
      </c>
      <c r="AI421" s="424">
        <f t="shared" si="265"/>
        <v>0</v>
      </c>
      <c r="AJ421" s="424">
        <f t="shared" si="265"/>
        <v>0</v>
      </c>
      <c r="AK421" s="424">
        <f t="shared" si="265"/>
        <v>0</v>
      </c>
      <c r="AL421" s="424">
        <f t="shared" si="265"/>
        <v>0</v>
      </c>
      <c r="AM421" s="424">
        <f t="shared" si="265"/>
        <v>0</v>
      </c>
      <c r="AN421" s="424">
        <f t="shared" si="265"/>
        <v>0</v>
      </c>
      <c r="AO421" s="424">
        <f t="shared" si="265"/>
        <v>0</v>
      </c>
      <c r="AP421" s="424">
        <f t="shared" ref="AP421:BU421" si="266">AP51*AP$372</f>
        <v>0</v>
      </c>
      <c r="AQ421" s="424">
        <f t="shared" si="266"/>
        <v>0</v>
      </c>
      <c r="AR421" s="424">
        <f t="shared" si="266"/>
        <v>0</v>
      </c>
      <c r="AS421" s="424">
        <f t="shared" si="266"/>
        <v>0</v>
      </c>
      <c r="AT421" s="424">
        <f t="shared" si="266"/>
        <v>0</v>
      </c>
      <c r="AU421" s="424">
        <f t="shared" si="266"/>
        <v>0</v>
      </c>
      <c r="AV421" s="424">
        <f t="shared" si="266"/>
        <v>0</v>
      </c>
      <c r="AW421" s="424">
        <f t="shared" si="266"/>
        <v>0</v>
      </c>
      <c r="AX421" s="424">
        <f t="shared" si="266"/>
        <v>0</v>
      </c>
      <c r="AY421" s="424">
        <f t="shared" si="266"/>
        <v>0</v>
      </c>
      <c r="AZ421" s="424">
        <f t="shared" si="266"/>
        <v>0</v>
      </c>
      <c r="BA421" s="424">
        <f t="shared" si="266"/>
        <v>0</v>
      </c>
      <c r="BB421" s="424">
        <f t="shared" si="266"/>
        <v>0</v>
      </c>
      <c r="BC421" s="424">
        <f t="shared" si="266"/>
        <v>0</v>
      </c>
      <c r="BD421" s="424">
        <f t="shared" si="266"/>
        <v>0</v>
      </c>
      <c r="BE421" s="424">
        <f t="shared" si="266"/>
        <v>0</v>
      </c>
      <c r="BF421" s="424">
        <f t="shared" si="266"/>
        <v>0</v>
      </c>
      <c r="BG421" s="424">
        <f t="shared" si="266"/>
        <v>0</v>
      </c>
      <c r="BH421" s="424">
        <f t="shared" si="266"/>
        <v>0</v>
      </c>
      <c r="BI421" s="424">
        <f t="shared" si="266"/>
        <v>0</v>
      </c>
      <c r="BJ421" s="424">
        <f t="shared" si="266"/>
        <v>0</v>
      </c>
      <c r="BK421" s="424">
        <f t="shared" si="266"/>
        <v>0</v>
      </c>
      <c r="BL421" s="424">
        <f t="shared" si="266"/>
        <v>0</v>
      </c>
      <c r="BM421" s="424">
        <f t="shared" si="266"/>
        <v>0</v>
      </c>
      <c r="BN421" s="424">
        <f t="shared" si="266"/>
        <v>0</v>
      </c>
      <c r="BO421" s="424">
        <f t="shared" si="266"/>
        <v>0</v>
      </c>
      <c r="BP421" s="424">
        <f t="shared" si="266"/>
        <v>0</v>
      </c>
      <c r="BQ421" s="424">
        <f t="shared" si="266"/>
        <v>0</v>
      </c>
      <c r="BR421" s="424">
        <f t="shared" si="266"/>
        <v>0</v>
      </c>
      <c r="BS421" s="424">
        <f t="shared" si="266"/>
        <v>0</v>
      </c>
      <c r="BT421" s="424">
        <f t="shared" si="266"/>
        <v>0</v>
      </c>
      <c r="BU421" s="424">
        <f t="shared" si="266"/>
        <v>0</v>
      </c>
      <c r="BV421" s="424">
        <f t="shared" ref="BV421:DA421" si="267">BV51*BV$372</f>
        <v>0</v>
      </c>
      <c r="BW421" s="424">
        <f t="shared" si="267"/>
        <v>0</v>
      </c>
      <c r="BX421" s="424">
        <f t="shared" si="267"/>
        <v>0</v>
      </c>
      <c r="BY421" s="424">
        <f t="shared" si="267"/>
        <v>0</v>
      </c>
      <c r="BZ421" s="424">
        <f t="shared" si="267"/>
        <v>0</v>
      </c>
      <c r="CA421" s="424">
        <f t="shared" si="267"/>
        <v>0</v>
      </c>
      <c r="CB421" s="424">
        <f t="shared" si="267"/>
        <v>0</v>
      </c>
      <c r="CC421" s="424">
        <f t="shared" si="267"/>
        <v>0</v>
      </c>
      <c r="CD421" s="424">
        <f t="shared" si="267"/>
        <v>0</v>
      </c>
      <c r="CE421" s="424">
        <f t="shared" si="267"/>
        <v>0</v>
      </c>
      <c r="CF421" s="424">
        <f t="shared" si="267"/>
        <v>0.72</v>
      </c>
      <c r="CG421" s="424">
        <f t="shared" si="267"/>
        <v>0</v>
      </c>
      <c r="CH421" s="424">
        <f t="shared" si="267"/>
        <v>0</v>
      </c>
      <c r="CI421" s="424">
        <f t="shared" si="267"/>
        <v>0</v>
      </c>
      <c r="CJ421" s="424">
        <f t="shared" si="267"/>
        <v>0</v>
      </c>
      <c r="CK421" s="424">
        <f t="shared" si="267"/>
        <v>0</v>
      </c>
      <c r="CL421" s="424">
        <f t="shared" si="267"/>
        <v>0</v>
      </c>
      <c r="CM421" s="424">
        <f t="shared" si="267"/>
        <v>0</v>
      </c>
      <c r="CN421" s="424">
        <f t="shared" si="267"/>
        <v>0</v>
      </c>
      <c r="CO421" s="424">
        <f t="shared" si="267"/>
        <v>0</v>
      </c>
      <c r="CP421" s="424">
        <f t="shared" si="267"/>
        <v>0</v>
      </c>
      <c r="CQ421" s="424">
        <f t="shared" si="267"/>
        <v>0</v>
      </c>
      <c r="CR421" s="424">
        <f t="shared" si="267"/>
        <v>0</v>
      </c>
      <c r="CS421" s="424">
        <f t="shared" si="267"/>
        <v>0</v>
      </c>
      <c r="CT421" s="424">
        <f t="shared" si="267"/>
        <v>0</v>
      </c>
      <c r="CU421" s="424">
        <f t="shared" si="267"/>
        <v>0</v>
      </c>
      <c r="CV421" s="424">
        <f t="shared" si="267"/>
        <v>0</v>
      </c>
      <c r="CW421" s="424">
        <f t="shared" si="267"/>
        <v>0</v>
      </c>
      <c r="CX421" s="424">
        <f t="shared" si="267"/>
        <v>0</v>
      </c>
      <c r="CY421" s="424">
        <f t="shared" si="267"/>
        <v>0</v>
      </c>
      <c r="CZ421" s="424">
        <f t="shared" si="267"/>
        <v>0</v>
      </c>
      <c r="DA421" s="424">
        <f t="shared" si="267"/>
        <v>0</v>
      </c>
      <c r="DB421" s="424">
        <f t="shared" ref="DB421:EG421" si="268">DB51*DB$372</f>
        <v>0</v>
      </c>
      <c r="DC421" s="424">
        <f t="shared" si="268"/>
        <v>0</v>
      </c>
      <c r="DD421" s="424">
        <f t="shared" si="268"/>
        <v>0</v>
      </c>
      <c r="DE421" s="424">
        <f t="shared" si="268"/>
        <v>0</v>
      </c>
      <c r="DF421" s="424">
        <f t="shared" si="268"/>
        <v>0</v>
      </c>
      <c r="DG421" s="424">
        <f t="shared" si="268"/>
        <v>0</v>
      </c>
      <c r="DH421" s="424">
        <f t="shared" si="268"/>
        <v>0</v>
      </c>
      <c r="DI421" s="424">
        <f t="shared" si="268"/>
        <v>0</v>
      </c>
      <c r="DJ421" s="424">
        <f t="shared" si="268"/>
        <v>0</v>
      </c>
      <c r="DK421" s="424">
        <f t="shared" si="268"/>
        <v>0</v>
      </c>
      <c r="DL421" s="424">
        <f t="shared" si="268"/>
        <v>0</v>
      </c>
      <c r="DM421" s="424">
        <f t="shared" si="268"/>
        <v>0</v>
      </c>
      <c r="DN421" s="424">
        <f t="shared" si="268"/>
        <v>0</v>
      </c>
      <c r="DO421" s="424">
        <f t="shared" si="268"/>
        <v>0</v>
      </c>
      <c r="DP421" s="424">
        <f t="shared" si="268"/>
        <v>0</v>
      </c>
      <c r="DQ421" s="424">
        <f t="shared" si="268"/>
        <v>0</v>
      </c>
      <c r="DR421" s="424">
        <f t="shared" si="268"/>
        <v>0</v>
      </c>
      <c r="DS421" s="424">
        <f t="shared" si="268"/>
        <v>0</v>
      </c>
      <c r="DT421" s="424">
        <f t="shared" si="268"/>
        <v>0</v>
      </c>
      <c r="DU421" s="424">
        <f t="shared" si="268"/>
        <v>0</v>
      </c>
      <c r="DV421" s="424">
        <f t="shared" si="268"/>
        <v>0</v>
      </c>
      <c r="DW421" s="424">
        <f t="shared" si="268"/>
        <v>0</v>
      </c>
      <c r="DX421" s="424">
        <f t="shared" si="268"/>
        <v>0</v>
      </c>
      <c r="DY421" s="424">
        <f t="shared" si="268"/>
        <v>0</v>
      </c>
      <c r="DZ421" s="424">
        <f t="shared" si="268"/>
        <v>0</v>
      </c>
      <c r="EA421" s="424">
        <f t="shared" si="268"/>
        <v>0</v>
      </c>
      <c r="EB421" s="424">
        <f t="shared" si="268"/>
        <v>0</v>
      </c>
      <c r="EC421" s="424">
        <f t="shared" si="268"/>
        <v>0</v>
      </c>
      <c r="ED421" s="424">
        <f t="shared" si="268"/>
        <v>0</v>
      </c>
      <c r="EE421" s="424">
        <f t="shared" si="268"/>
        <v>0</v>
      </c>
      <c r="EF421" s="424">
        <f t="shared" si="268"/>
        <v>0</v>
      </c>
      <c r="EG421" s="424">
        <f t="shared" si="268"/>
        <v>0</v>
      </c>
      <c r="EH421" s="424">
        <f t="shared" ref="EH421:EX421" si="269">EH51*EH$372</f>
        <v>0</v>
      </c>
      <c r="EI421" s="424">
        <f t="shared" si="269"/>
        <v>0</v>
      </c>
      <c r="EJ421" s="424">
        <f t="shared" si="269"/>
        <v>0</v>
      </c>
      <c r="EK421" s="424">
        <f t="shared" si="269"/>
        <v>0</v>
      </c>
      <c r="EL421" s="424">
        <f t="shared" si="269"/>
        <v>0</v>
      </c>
      <c r="EM421" s="424">
        <f t="shared" si="269"/>
        <v>0</v>
      </c>
      <c r="EN421" s="424">
        <f t="shared" si="269"/>
        <v>0</v>
      </c>
      <c r="EO421" s="424">
        <f t="shared" si="269"/>
        <v>0</v>
      </c>
      <c r="EP421" s="424">
        <f t="shared" si="269"/>
        <v>0</v>
      </c>
      <c r="EQ421" s="424">
        <f t="shared" si="269"/>
        <v>0</v>
      </c>
      <c r="ER421" s="424">
        <f t="shared" si="269"/>
        <v>0</v>
      </c>
      <c r="ES421" s="424">
        <f t="shared" si="269"/>
        <v>0</v>
      </c>
      <c r="ET421" s="424">
        <f t="shared" si="269"/>
        <v>0</v>
      </c>
      <c r="EU421" s="424">
        <f t="shared" si="269"/>
        <v>0</v>
      </c>
      <c r="EV421" s="424">
        <f t="shared" si="269"/>
        <v>0</v>
      </c>
      <c r="EW421" s="424">
        <f t="shared" si="269"/>
        <v>0</v>
      </c>
      <c r="EX421" s="424">
        <f t="shared" si="269"/>
        <v>0</v>
      </c>
      <c r="EY421" s="425">
        <f t="shared" si="49"/>
        <v>14.94</v>
      </c>
    </row>
    <row r="422" spans="1:166" ht="14.7" customHeight="1" x14ac:dyDescent="0.25">
      <c r="A422" s="310">
        <v>48</v>
      </c>
      <c r="B422" s="311" t="str">
        <f t="shared" si="30"/>
        <v>Борщ с капустой и картофелем, со сметаной</v>
      </c>
      <c r="C422" s="483">
        <f t="shared" si="38"/>
        <v>10.82</v>
      </c>
      <c r="D422" s="888"/>
      <c r="E422" s="888"/>
      <c r="F422" s="888"/>
      <c r="G422" s="889"/>
      <c r="H422" s="680">
        <f t="shared" si="31"/>
        <v>82</v>
      </c>
      <c r="I422" s="1209">
        <f t="shared" si="32"/>
        <v>-0.02</v>
      </c>
      <c r="J422" s="424">
        <f t="shared" ref="J422:AO422" si="270">J52*J$372</f>
        <v>0</v>
      </c>
      <c r="K422" s="424">
        <f t="shared" si="270"/>
        <v>0</v>
      </c>
      <c r="L422" s="424">
        <f t="shared" si="270"/>
        <v>0</v>
      </c>
      <c r="M422" s="424">
        <f t="shared" si="270"/>
        <v>0</v>
      </c>
      <c r="N422" s="424">
        <f t="shared" si="270"/>
        <v>0</v>
      </c>
      <c r="O422" s="424">
        <f t="shared" si="270"/>
        <v>0</v>
      </c>
      <c r="P422" s="424">
        <f t="shared" si="270"/>
        <v>0</v>
      </c>
      <c r="Q422" s="424">
        <f t="shared" si="270"/>
        <v>0</v>
      </c>
      <c r="R422" s="424">
        <f t="shared" si="270"/>
        <v>0</v>
      </c>
      <c r="S422" s="424">
        <f t="shared" si="270"/>
        <v>0</v>
      </c>
      <c r="T422" s="424">
        <f t="shared" si="270"/>
        <v>0</v>
      </c>
      <c r="U422" s="424">
        <f t="shared" si="270"/>
        <v>0</v>
      </c>
      <c r="V422" s="424">
        <f t="shared" si="270"/>
        <v>0</v>
      </c>
      <c r="W422" s="424">
        <f t="shared" si="270"/>
        <v>0</v>
      </c>
      <c r="X422" s="424">
        <f t="shared" si="270"/>
        <v>0</v>
      </c>
      <c r="Y422" s="424">
        <f t="shared" si="270"/>
        <v>1.17</v>
      </c>
      <c r="Z422" s="424">
        <f t="shared" si="270"/>
        <v>0</v>
      </c>
      <c r="AA422" s="424">
        <f t="shared" si="270"/>
        <v>0</v>
      </c>
      <c r="AB422" s="424">
        <f t="shared" si="270"/>
        <v>0</v>
      </c>
      <c r="AC422" s="424">
        <f t="shared" si="270"/>
        <v>0</v>
      </c>
      <c r="AD422" s="424">
        <f t="shared" si="270"/>
        <v>0</v>
      </c>
      <c r="AE422" s="424">
        <f t="shared" si="270"/>
        <v>0</v>
      </c>
      <c r="AF422" s="424">
        <f t="shared" si="270"/>
        <v>1.33</v>
      </c>
      <c r="AG422" s="424">
        <f t="shared" si="270"/>
        <v>0</v>
      </c>
      <c r="AH422" s="424">
        <f t="shared" si="270"/>
        <v>1.34</v>
      </c>
      <c r="AI422" s="424">
        <f t="shared" si="270"/>
        <v>0</v>
      </c>
      <c r="AJ422" s="424">
        <f t="shared" si="270"/>
        <v>0</v>
      </c>
      <c r="AK422" s="424">
        <f t="shared" si="270"/>
        <v>0.6</v>
      </c>
      <c r="AL422" s="424">
        <f t="shared" si="270"/>
        <v>0</v>
      </c>
      <c r="AM422" s="424">
        <f t="shared" si="270"/>
        <v>0</v>
      </c>
      <c r="AN422" s="424">
        <f t="shared" si="270"/>
        <v>0</v>
      </c>
      <c r="AO422" s="424">
        <f t="shared" si="270"/>
        <v>0</v>
      </c>
      <c r="AP422" s="424">
        <f t="shared" ref="AP422:BU422" si="271">AP52*AP$372</f>
        <v>0</v>
      </c>
      <c r="AQ422" s="424">
        <f t="shared" si="271"/>
        <v>0.63</v>
      </c>
      <c r="AR422" s="424">
        <f t="shared" si="271"/>
        <v>0</v>
      </c>
      <c r="AS422" s="424">
        <f t="shared" si="271"/>
        <v>0</v>
      </c>
      <c r="AT422" s="424">
        <f t="shared" si="271"/>
        <v>0.98</v>
      </c>
      <c r="AU422" s="424">
        <f t="shared" si="271"/>
        <v>0.6</v>
      </c>
      <c r="AV422" s="424">
        <f t="shared" si="271"/>
        <v>0</v>
      </c>
      <c r="AW422" s="424">
        <f t="shared" si="271"/>
        <v>0</v>
      </c>
      <c r="AX422" s="424">
        <f t="shared" si="271"/>
        <v>1.5</v>
      </c>
      <c r="AY422" s="424">
        <f t="shared" si="271"/>
        <v>0</v>
      </c>
      <c r="AZ422" s="424">
        <f t="shared" si="271"/>
        <v>0</v>
      </c>
      <c r="BA422" s="424">
        <f t="shared" si="271"/>
        <v>0</v>
      </c>
      <c r="BB422" s="424">
        <f t="shared" si="271"/>
        <v>0</v>
      </c>
      <c r="BC422" s="424">
        <f t="shared" si="271"/>
        <v>0</v>
      </c>
      <c r="BD422" s="424">
        <f t="shared" si="271"/>
        <v>0</v>
      </c>
      <c r="BE422" s="424">
        <f t="shared" si="271"/>
        <v>0</v>
      </c>
      <c r="BF422" s="424">
        <f t="shared" si="271"/>
        <v>0</v>
      </c>
      <c r="BG422" s="424">
        <f t="shared" si="271"/>
        <v>0</v>
      </c>
      <c r="BH422" s="424">
        <f t="shared" si="271"/>
        <v>0</v>
      </c>
      <c r="BI422" s="424">
        <f t="shared" si="271"/>
        <v>0</v>
      </c>
      <c r="BJ422" s="424">
        <f t="shared" si="271"/>
        <v>0</v>
      </c>
      <c r="BK422" s="424">
        <f t="shared" si="271"/>
        <v>0</v>
      </c>
      <c r="BL422" s="424">
        <f t="shared" si="271"/>
        <v>0</v>
      </c>
      <c r="BM422" s="424">
        <f t="shared" si="271"/>
        <v>0</v>
      </c>
      <c r="BN422" s="424">
        <f t="shared" si="271"/>
        <v>0</v>
      </c>
      <c r="BO422" s="424">
        <f t="shared" si="271"/>
        <v>0</v>
      </c>
      <c r="BP422" s="424">
        <f t="shared" si="271"/>
        <v>0</v>
      </c>
      <c r="BQ422" s="424">
        <f t="shared" si="271"/>
        <v>0</v>
      </c>
      <c r="BR422" s="424">
        <f t="shared" si="271"/>
        <v>0</v>
      </c>
      <c r="BS422" s="424">
        <f t="shared" si="271"/>
        <v>0.09</v>
      </c>
      <c r="BT422" s="424">
        <f t="shared" si="271"/>
        <v>0</v>
      </c>
      <c r="BU422" s="424">
        <f t="shared" si="271"/>
        <v>0</v>
      </c>
      <c r="BV422" s="424">
        <f t="shared" ref="BV422:DA422" si="272">BV52*BV$372</f>
        <v>0</v>
      </c>
      <c r="BW422" s="424">
        <f t="shared" si="272"/>
        <v>0</v>
      </c>
      <c r="BX422" s="424">
        <f t="shared" si="272"/>
        <v>0</v>
      </c>
      <c r="BY422" s="424">
        <f t="shared" si="272"/>
        <v>0</v>
      </c>
      <c r="BZ422" s="424">
        <f t="shared" si="272"/>
        <v>0</v>
      </c>
      <c r="CA422" s="424">
        <f t="shared" si="272"/>
        <v>0</v>
      </c>
      <c r="CB422" s="424">
        <f t="shared" si="272"/>
        <v>0</v>
      </c>
      <c r="CC422" s="424">
        <f t="shared" si="272"/>
        <v>0</v>
      </c>
      <c r="CD422" s="424">
        <f t="shared" si="272"/>
        <v>0</v>
      </c>
      <c r="CE422" s="424">
        <f t="shared" si="272"/>
        <v>0</v>
      </c>
      <c r="CF422" s="424">
        <f t="shared" si="272"/>
        <v>0.6</v>
      </c>
      <c r="CG422" s="424">
        <f t="shared" si="272"/>
        <v>0</v>
      </c>
      <c r="CH422" s="424">
        <f t="shared" si="272"/>
        <v>0</v>
      </c>
      <c r="CI422" s="424">
        <f t="shared" si="272"/>
        <v>0</v>
      </c>
      <c r="CJ422" s="424">
        <f t="shared" si="272"/>
        <v>0</v>
      </c>
      <c r="CK422" s="424">
        <f t="shared" si="272"/>
        <v>0</v>
      </c>
      <c r="CL422" s="424">
        <f t="shared" si="272"/>
        <v>0</v>
      </c>
      <c r="CM422" s="424">
        <f t="shared" si="272"/>
        <v>0</v>
      </c>
      <c r="CN422" s="424">
        <f t="shared" si="272"/>
        <v>0</v>
      </c>
      <c r="CO422" s="424">
        <f t="shared" si="272"/>
        <v>0</v>
      </c>
      <c r="CP422" s="424">
        <f t="shared" si="272"/>
        <v>0</v>
      </c>
      <c r="CQ422" s="424">
        <f t="shared" si="272"/>
        <v>0</v>
      </c>
      <c r="CR422" s="424">
        <f t="shared" si="272"/>
        <v>0</v>
      </c>
      <c r="CS422" s="424">
        <f t="shared" si="272"/>
        <v>0</v>
      </c>
      <c r="CT422" s="424">
        <f t="shared" si="272"/>
        <v>0</v>
      </c>
      <c r="CU422" s="424">
        <f t="shared" si="272"/>
        <v>0</v>
      </c>
      <c r="CV422" s="424">
        <f t="shared" si="272"/>
        <v>0</v>
      </c>
      <c r="CW422" s="424">
        <f t="shared" si="272"/>
        <v>0</v>
      </c>
      <c r="CX422" s="424">
        <f t="shared" si="272"/>
        <v>0</v>
      </c>
      <c r="CY422" s="424">
        <f t="shared" si="272"/>
        <v>0</v>
      </c>
      <c r="CZ422" s="424">
        <f t="shared" si="272"/>
        <v>0.19</v>
      </c>
      <c r="DA422" s="424">
        <f t="shared" si="272"/>
        <v>0</v>
      </c>
      <c r="DB422" s="424">
        <f t="shared" ref="DB422:EG422" si="273">DB52*DB$372</f>
        <v>0</v>
      </c>
      <c r="DC422" s="424">
        <f t="shared" si="273"/>
        <v>0.06</v>
      </c>
      <c r="DD422" s="424">
        <f t="shared" si="273"/>
        <v>0</v>
      </c>
      <c r="DE422" s="424">
        <f t="shared" si="273"/>
        <v>0</v>
      </c>
      <c r="DF422" s="424">
        <f t="shared" si="273"/>
        <v>1.73</v>
      </c>
      <c r="DG422" s="424">
        <f t="shared" si="273"/>
        <v>0</v>
      </c>
      <c r="DH422" s="424">
        <f t="shared" si="273"/>
        <v>0</v>
      </c>
      <c r="DI422" s="424">
        <f t="shared" si="273"/>
        <v>0</v>
      </c>
      <c r="DJ422" s="424">
        <f t="shared" si="273"/>
        <v>0</v>
      </c>
      <c r="DK422" s="424">
        <f t="shared" si="273"/>
        <v>0</v>
      </c>
      <c r="DL422" s="424">
        <f t="shared" si="273"/>
        <v>0</v>
      </c>
      <c r="DM422" s="424">
        <f t="shared" si="273"/>
        <v>0</v>
      </c>
      <c r="DN422" s="424">
        <f t="shared" si="273"/>
        <v>0</v>
      </c>
      <c r="DO422" s="424">
        <f t="shared" si="273"/>
        <v>0</v>
      </c>
      <c r="DP422" s="424">
        <f t="shared" si="273"/>
        <v>0</v>
      </c>
      <c r="DQ422" s="424">
        <f t="shared" si="273"/>
        <v>0</v>
      </c>
      <c r="DR422" s="424">
        <f t="shared" si="273"/>
        <v>0</v>
      </c>
      <c r="DS422" s="424">
        <f t="shared" si="273"/>
        <v>0</v>
      </c>
      <c r="DT422" s="424">
        <f t="shared" si="273"/>
        <v>0</v>
      </c>
      <c r="DU422" s="424">
        <f t="shared" si="273"/>
        <v>0</v>
      </c>
      <c r="DV422" s="424">
        <f t="shared" si="273"/>
        <v>0</v>
      </c>
      <c r="DW422" s="424">
        <f t="shared" si="273"/>
        <v>0</v>
      </c>
      <c r="DX422" s="424">
        <f t="shared" si="273"/>
        <v>0</v>
      </c>
      <c r="DY422" s="424">
        <f t="shared" si="273"/>
        <v>0</v>
      </c>
      <c r="DZ422" s="424">
        <f t="shared" si="273"/>
        <v>0</v>
      </c>
      <c r="EA422" s="424">
        <f t="shared" si="273"/>
        <v>0</v>
      </c>
      <c r="EB422" s="424">
        <f t="shared" si="273"/>
        <v>0</v>
      </c>
      <c r="EC422" s="424">
        <f t="shared" si="273"/>
        <v>0</v>
      </c>
      <c r="ED422" s="424">
        <f t="shared" si="273"/>
        <v>0</v>
      </c>
      <c r="EE422" s="424">
        <f t="shared" si="273"/>
        <v>0</v>
      </c>
      <c r="EF422" s="424">
        <f t="shared" si="273"/>
        <v>0</v>
      </c>
      <c r="EG422" s="424">
        <f t="shared" si="273"/>
        <v>0</v>
      </c>
      <c r="EH422" s="424">
        <f t="shared" ref="EH422:EX422" si="274">EH52*EH$372</f>
        <v>0</v>
      </c>
      <c r="EI422" s="424">
        <f t="shared" si="274"/>
        <v>0</v>
      </c>
      <c r="EJ422" s="424">
        <f t="shared" si="274"/>
        <v>0</v>
      </c>
      <c r="EK422" s="424">
        <f t="shared" si="274"/>
        <v>0</v>
      </c>
      <c r="EL422" s="424">
        <f t="shared" si="274"/>
        <v>0</v>
      </c>
      <c r="EM422" s="424">
        <f t="shared" si="274"/>
        <v>0</v>
      </c>
      <c r="EN422" s="424">
        <f t="shared" si="274"/>
        <v>0</v>
      </c>
      <c r="EO422" s="424">
        <f t="shared" si="274"/>
        <v>0</v>
      </c>
      <c r="EP422" s="424">
        <f t="shared" si="274"/>
        <v>0</v>
      </c>
      <c r="EQ422" s="424">
        <f t="shared" si="274"/>
        <v>0</v>
      </c>
      <c r="ER422" s="424">
        <f t="shared" si="274"/>
        <v>0</v>
      </c>
      <c r="ES422" s="424">
        <f t="shared" si="274"/>
        <v>0</v>
      </c>
      <c r="ET422" s="424">
        <f t="shared" si="274"/>
        <v>0</v>
      </c>
      <c r="EU422" s="424">
        <f t="shared" si="274"/>
        <v>0</v>
      </c>
      <c r="EV422" s="424">
        <f t="shared" si="274"/>
        <v>0</v>
      </c>
      <c r="EW422" s="424">
        <f t="shared" si="274"/>
        <v>0</v>
      </c>
      <c r="EX422" s="424">
        <f t="shared" si="274"/>
        <v>0</v>
      </c>
      <c r="EY422" s="425">
        <f t="shared" si="49"/>
        <v>10.82</v>
      </c>
    </row>
    <row r="423" spans="1:166" s="570" customFormat="1" ht="14.7" customHeight="1" x14ac:dyDescent="0.25">
      <c r="A423" s="310">
        <v>49</v>
      </c>
      <c r="B423" s="311" t="str">
        <f t="shared" si="30"/>
        <v>Борщ с картофелем</v>
      </c>
      <c r="C423" s="483">
        <f t="shared" si="38"/>
        <v>11.7</v>
      </c>
      <c r="D423" s="888"/>
      <c r="E423" s="888"/>
      <c r="F423" s="888"/>
      <c r="G423" s="889"/>
      <c r="H423" s="680">
        <f t="shared" si="31"/>
        <v>83</v>
      </c>
      <c r="I423" s="1209">
        <f t="shared" si="32"/>
        <v>-0.01</v>
      </c>
      <c r="J423" s="424">
        <f t="shared" ref="J423:AO423" si="275">J53*J$372</f>
        <v>0</v>
      </c>
      <c r="K423" s="424">
        <f t="shared" si="275"/>
        <v>0</v>
      </c>
      <c r="L423" s="424">
        <f t="shared" si="275"/>
        <v>0</v>
      </c>
      <c r="M423" s="424">
        <f t="shared" si="275"/>
        <v>0</v>
      </c>
      <c r="N423" s="424">
        <f t="shared" si="275"/>
        <v>0</v>
      </c>
      <c r="O423" s="424">
        <f t="shared" si="275"/>
        <v>0</v>
      </c>
      <c r="P423" s="424">
        <f t="shared" si="275"/>
        <v>0</v>
      </c>
      <c r="Q423" s="424">
        <f t="shared" si="275"/>
        <v>0</v>
      </c>
      <c r="R423" s="424">
        <f t="shared" si="275"/>
        <v>0</v>
      </c>
      <c r="S423" s="424">
        <f t="shared" si="275"/>
        <v>0</v>
      </c>
      <c r="T423" s="424">
        <f t="shared" si="275"/>
        <v>0</v>
      </c>
      <c r="U423" s="424">
        <f t="shared" si="275"/>
        <v>0</v>
      </c>
      <c r="V423" s="424">
        <f t="shared" si="275"/>
        <v>0</v>
      </c>
      <c r="W423" s="424">
        <f t="shared" si="275"/>
        <v>0</v>
      </c>
      <c r="X423" s="424">
        <f t="shared" si="275"/>
        <v>0</v>
      </c>
      <c r="Y423" s="424">
        <f t="shared" si="275"/>
        <v>1.17</v>
      </c>
      <c r="Z423" s="424">
        <f t="shared" si="275"/>
        <v>0</v>
      </c>
      <c r="AA423" s="424">
        <f t="shared" si="275"/>
        <v>0</v>
      </c>
      <c r="AB423" s="424">
        <f t="shared" si="275"/>
        <v>0</v>
      </c>
      <c r="AC423" s="424">
        <f t="shared" si="275"/>
        <v>0</v>
      </c>
      <c r="AD423" s="424">
        <f t="shared" si="275"/>
        <v>0</v>
      </c>
      <c r="AE423" s="424">
        <f t="shared" si="275"/>
        <v>0</v>
      </c>
      <c r="AF423" s="424">
        <f t="shared" si="275"/>
        <v>0</v>
      </c>
      <c r="AG423" s="424">
        <f t="shared" si="275"/>
        <v>0</v>
      </c>
      <c r="AH423" s="424">
        <f t="shared" si="275"/>
        <v>3.34</v>
      </c>
      <c r="AI423" s="424">
        <f t="shared" si="275"/>
        <v>0</v>
      </c>
      <c r="AJ423" s="424">
        <f t="shared" si="275"/>
        <v>0</v>
      </c>
      <c r="AK423" s="424">
        <f t="shared" si="275"/>
        <v>0.6</v>
      </c>
      <c r="AL423" s="424">
        <f t="shared" si="275"/>
        <v>0</v>
      </c>
      <c r="AM423" s="424">
        <f t="shared" si="275"/>
        <v>0</v>
      </c>
      <c r="AN423" s="424">
        <f t="shared" si="275"/>
        <v>0</v>
      </c>
      <c r="AO423" s="424">
        <f t="shared" si="275"/>
        <v>0</v>
      </c>
      <c r="AP423" s="424">
        <f t="shared" ref="AP423:BU423" si="276">AP53*AP$372</f>
        <v>0</v>
      </c>
      <c r="AQ423" s="424">
        <f t="shared" si="276"/>
        <v>0.63</v>
      </c>
      <c r="AR423" s="424">
        <f t="shared" si="276"/>
        <v>0</v>
      </c>
      <c r="AS423" s="424">
        <f t="shared" si="276"/>
        <v>0</v>
      </c>
      <c r="AT423" s="424">
        <f t="shared" si="276"/>
        <v>0.98</v>
      </c>
      <c r="AU423" s="424">
        <f t="shared" si="276"/>
        <v>0.6</v>
      </c>
      <c r="AV423" s="424">
        <f t="shared" si="276"/>
        <v>0</v>
      </c>
      <c r="AW423" s="424">
        <f t="shared" si="276"/>
        <v>0</v>
      </c>
      <c r="AX423" s="424">
        <f t="shared" si="276"/>
        <v>1.54</v>
      </c>
      <c r="AY423" s="424">
        <f t="shared" si="276"/>
        <v>0</v>
      </c>
      <c r="AZ423" s="424">
        <f t="shared" si="276"/>
        <v>0</v>
      </c>
      <c r="BA423" s="424">
        <f t="shared" si="276"/>
        <v>0</v>
      </c>
      <c r="BB423" s="424">
        <f t="shared" si="276"/>
        <v>0</v>
      </c>
      <c r="BC423" s="424">
        <f t="shared" si="276"/>
        <v>0</v>
      </c>
      <c r="BD423" s="424">
        <f t="shared" si="276"/>
        <v>0</v>
      </c>
      <c r="BE423" s="424">
        <f t="shared" si="276"/>
        <v>0</v>
      </c>
      <c r="BF423" s="424">
        <f t="shared" si="276"/>
        <v>0</v>
      </c>
      <c r="BG423" s="424">
        <f t="shared" si="276"/>
        <v>0</v>
      </c>
      <c r="BH423" s="424">
        <f t="shared" si="276"/>
        <v>0</v>
      </c>
      <c r="BI423" s="424">
        <f t="shared" si="276"/>
        <v>0</v>
      </c>
      <c r="BJ423" s="424">
        <f t="shared" si="276"/>
        <v>0</v>
      </c>
      <c r="BK423" s="424">
        <f t="shared" si="276"/>
        <v>0</v>
      </c>
      <c r="BL423" s="424">
        <f t="shared" si="276"/>
        <v>0</v>
      </c>
      <c r="BM423" s="424">
        <f t="shared" si="276"/>
        <v>0</v>
      </c>
      <c r="BN423" s="424">
        <f t="shared" si="276"/>
        <v>0</v>
      </c>
      <c r="BO423" s="424">
        <f t="shared" si="276"/>
        <v>0</v>
      </c>
      <c r="BP423" s="424">
        <f t="shared" si="276"/>
        <v>0</v>
      </c>
      <c r="BQ423" s="424">
        <f t="shared" si="276"/>
        <v>0</v>
      </c>
      <c r="BR423" s="424">
        <f t="shared" si="276"/>
        <v>0</v>
      </c>
      <c r="BS423" s="424">
        <f t="shared" si="276"/>
        <v>0.09</v>
      </c>
      <c r="BT423" s="424">
        <f t="shared" si="276"/>
        <v>0</v>
      </c>
      <c r="BU423" s="424">
        <f t="shared" si="276"/>
        <v>0</v>
      </c>
      <c r="BV423" s="424">
        <f t="shared" ref="BV423:DA423" si="277">BV53*BV$372</f>
        <v>0</v>
      </c>
      <c r="BW423" s="424">
        <f t="shared" si="277"/>
        <v>0</v>
      </c>
      <c r="BX423" s="424">
        <f t="shared" si="277"/>
        <v>0</v>
      </c>
      <c r="BY423" s="424">
        <f t="shared" si="277"/>
        <v>0</v>
      </c>
      <c r="BZ423" s="424">
        <f t="shared" si="277"/>
        <v>0</v>
      </c>
      <c r="CA423" s="424">
        <f t="shared" si="277"/>
        <v>0</v>
      </c>
      <c r="CB423" s="424">
        <f t="shared" si="277"/>
        <v>0</v>
      </c>
      <c r="CC423" s="424">
        <f t="shared" si="277"/>
        <v>0</v>
      </c>
      <c r="CD423" s="424">
        <f t="shared" si="277"/>
        <v>0</v>
      </c>
      <c r="CE423" s="424">
        <f t="shared" si="277"/>
        <v>0</v>
      </c>
      <c r="CF423" s="424">
        <f t="shared" si="277"/>
        <v>0.6</v>
      </c>
      <c r="CG423" s="424">
        <f t="shared" si="277"/>
        <v>0</v>
      </c>
      <c r="CH423" s="424">
        <f t="shared" si="277"/>
        <v>0</v>
      </c>
      <c r="CI423" s="424">
        <f t="shared" si="277"/>
        <v>0</v>
      </c>
      <c r="CJ423" s="424">
        <f t="shared" si="277"/>
        <v>0</v>
      </c>
      <c r="CK423" s="424">
        <f t="shared" si="277"/>
        <v>0</v>
      </c>
      <c r="CL423" s="424">
        <f t="shared" si="277"/>
        <v>0</v>
      </c>
      <c r="CM423" s="424">
        <f t="shared" si="277"/>
        <v>0</v>
      </c>
      <c r="CN423" s="424">
        <f t="shared" si="277"/>
        <v>0</v>
      </c>
      <c r="CO423" s="424">
        <f t="shared" si="277"/>
        <v>0</v>
      </c>
      <c r="CP423" s="424">
        <f t="shared" si="277"/>
        <v>0</v>
      </c>
      <c r="CQ423" s="424">
        <f t="shared" si="277"/>
        <v>0</v>
      </c>
      <c r="CR423" s="424">
        <f t="shared" si="277"/>
        <v>0</v>
      </c>
      <c r="CS423" s="424">
        <f t="shared" si="277"/>
        <v>0.25</v>
      </c>
      <c r="CT423" s="424">
        <f t="shared" si="277"/>
        <v>0</v>
      </c>
      <c r="CU423" s="424">
        <f t="shared" si="277"/>
        <v>0</v>
      </c>
      <c r="CV423" s="424">
        <f t="shared" si="277"/>
        <v>0</v>
      </c>
      <c r="CW423" s="424">
        <f t="shared" si="277"/>
        <v>0</v>
      </c>
      <c r="CX423" s="424">
        <f t="shared" si="277"/>
        <v>0</v>
      </c>
      <c r="CY423" s="424">
        <f t="shared" si="277"/>
        <v>0</v>
      </c>
      <c r="CZ423" s="424">
        <f t="shared" si="277"/>
        <v>0.11</v>
      </c>
      <c r="DA423" s="424">
        <f t="shared" si="277"/>
        <v>0</v>
      </c>
      <c r="DB423" s="424">
        <f t="shared" ref="DB423:EG423" si="278">DB53*DB$372</f>
        <v>0</v>
      </c>
      <c r="DC423" s="424">
        <f t="shared" si="278"/>
        <v>0.06</v>
      </c>
      <c r="DD423" s="424">
        <f t="shared" si="278"/>
        <v>0</v>
      </c>
      <c r="DE423" s="424">
        <f t="shared" si="278"/>
        <v>0</v>
      </c>
      <c r="DF423" s="424">
        <f t="shared" si="278"/>
        <v>1.73</v>
      </c>
      <c r="DG423" s="424">
        <f t="shared" si="278"/>
        <v>0</v>
      </c>
      <c r="DH423" s="424">
        <f t="shared" si="278"/>
        <v>0</v>
      </c>
      <c r="DI423" s="424">
        <f t="shared" si="278"/>
        <v>0</v>
      </c>
      <c r="DJ423" s="424">
        <f t="shared" si="278"/>
        <v>0</v>
      </c>
      <c r="DK423" s="424">
        <f t="shared" si="278"/>
        <v>0</v>
      </c>
      <c r="DL423" s="424">
        <f t="shared" si="278"/>
        <v>0</v>
      </c>
      <c r="DM423" s="424">
        <f t="shared" si="278"/>
        <v>0</v>
      </c>
      <c r="DN423" s="424">
        <f t="shared" si="278"/>
        <v>0</v>
      </c>
      <c r="DO423" s="424">
        <f t="shared" si="278"/>
        <v>0</v>
      </c>
      <c r="DP423" s="424">
        <f t="shared" si="278"/>
        <v>0</v>
      </c>
      <c r="DQ423" s="424">
        <f t="shared" si="278"/>
        <v>0</v>
      </c>
      <c r="DR423" s="424">
        <f t="shared" si="278"/>
        <v>0</v>
      </c>
      <c r="DS423" s="424">
        <f t="shared" si="278"/>
        <v>0</v>
      </c>
      <c r="DT423" s="424">
        <f t="shared" si="278"/>
        <v>0</v>
      </c>
      <c r="DU423" s="424">
        <f t="shared" si="278"/>
        <v>0</v>
      </c>
      <c r="DV423" s="424">
        <f t="shared" si="278"/>
        <v>0</v>
      </c>
      <c r="DW423" s="424">
        <f t="shared" si="278"/>
        <v>0</v>
      </c>
      <c r="DX423" s="424">
        <f t="shared" si="278"/>
        <v>0</v>
      </c>
      <c r="DY423" s="424">
        <f t="shared" si="278"/>
        <v>0</v>
      </c>
      <c r="DZ423" s="424">
        <f t="shared" si="278"/>
        <v>0</v>
      </c>
      <c r="EA423" s="424">
        <f t="shared" si="278"/>
        <v>0</v>
      </c>
      <c r="EB423" s="424">
        <f t="shared" si="278"/>
        <v>0</v>
      </c>
      <c r="EC423" s="424">
        <f t="shared" si="278"/>
        <v>0</v>
      </c>
      <c r="ED423" s="424">
        <f t="shared" si="278"/>
        <v>0</v>
      </c>
      <c r="EE423" s="424">
        <f t="shared" si="278"/>
        <v>0</v>
      </c>
      <c r="EF423" s="424">
        <f t="shared" si="278"/>
        <v>0</v>
      </c>
      <c r="EG423" s="424">
        <f t="shared" si="278"/>
        <v>0</v>
      </c>
      <c r="EH423" s="424">
        <f t="shared" ref="EH423:EX423" si="279">EH53*EH$372</f>
        <v>0</v>
      </c>
      <c r="EI423" s="424">
        <f t="shared" si="279"/>
        <v>0</v>
      </c>
      <c r="EJ423" s="424">
        <f t="shared" si="279"/>
        <v>0</v>
      </c>
      <c r="EK423" s="424">
        <f t="shared" si="279"/>
        <v>0</v>
      </c>
      <c r="EL423" s="424">
        <f t="shared" si="279"/>
        <v>0</v>
      </c>
      <c r="EM423" s="424">
        <f t="shared" si="279"/>
        <v>0</v>
      </c>
      <c r="EN423" s="424">
        <f t="shared" si="279"/>
        <v>0</v>
      </c>
      <c r="EO423" s="424">
        <f t="shared" si="279"/>
        <v>0</v>
      </c>
      <c r="EP423" s="424">
        <f t="shared" si="279"/>
        <v>0</v>
      </c>
      <c r="EQ423" s="424">
        <f t="shared" si="279"/>
        <v>0</v>
      </c>
      <c r="ER423" s="424">
        <f t="shared" si="279"/>
        <v>0</v>
      </c>
      <c r="ES423" s="424">
        <f t="shared" si="279"/>
        <v>0</v>
      </c>
      <c r="ET423" s="424">
        <f t="shared" si="279"/>
        <v>0</v>
      </c>
      <c r="EU423" s="424">
        <f t="shared" si="279"/>
        <v>0</v>
      </c>
      <c r="EV423" s="424">
        <f t="shared" si="279"/>
        <v>0</v>
      </c>
      <c r="EW423" s="424">
        <f t="shared" si="279"/>
        <v>0</v>
      </c>
      <c r="EX423" s="424">
        <f t="shared" si="279"/>
        <v>0</v>
      </c>
      <c r="EY423" s="425">
        <f t="shared" si="49"/>
        <v>11.7</v>
      </c>
      <c r="EZ423" s="616"/>
      <c r="FA423" s="616"/>
      <c r="FB423" s="616"/>
      <c r="FC423" s="616"/>
      <c r="FD423" s="616"/>
      <c r="FE423" s="616"/>
      <c r="FF423" s="616"/>
      <c r="FG423" s="616"/>
      <c r="FH423" s="616"/>
      <c r="FI423" s="616"/>
      <c r="FJ423" s="616"/>
    </row>
    <row r="424" spans="1:166" ht="14.7" customHeight="1" x14ac:dyDescent="0.25">
      <c r="A424" s="310">
        <v>50</v>
      </c>
      <c r="B424" s="311" t="str">
        <f t="shared" si="30"/>
        <v>Борщ с фасолью и картофелем</v>
      </c>
      <c r="C424" s="483">
        <f t="shared" si="38"/>
        <v>11.73</v>
      </c>
      <c r="D424" s="888"/>
      <c r="E424" s="888"/>
      <c r="F424" s="888"/>
      <c r="G424" s="889"/>
      <c r="H424" s="680">
        <f t="shared" si="31"/>
        <v>84</v>
      </c>
      <c r="I424" s="1209">
        <f t="shared" si="32"/>
        <v>-0.01</v>
      </c>
      <c r="J424" s="424">
        <f t="shared" ref="J424:AO424" si="280">J54*J$372</f>
        <v>0</v>
      </c>
      <c r="K424" s="424">
        <f t="shared" si="280"/>
        <v>0</v>
      </c>
      <c r="L424" s="424">
        <f t="shared" si="280"/>
        <v>0</v>
      </c>
      <c r="M424" s="424">
        <f t="shared" si="280"/>
        <v>0</v>
      </c>
      <c r="N424" s="424">
        <f t="shared" si="280"/>
        <v>0</v>
      </c>
      <c r="O424" s="424">
        <f t="shared" si="280"/>
        <v>0</v>
      </c>
      <c r="P424" s="424">
        <f t="shared" si="280"/>
        <v>0</v>
      </c>
      <c r="Q424" s="424">
        <f t="shared" si="280"/>
        <v>0</v>
      </c>
      <c r="R424" s="424">
        <f t="shared" si="280"/>
        <v>0</v>
      </c>
      <c r="S424" s="424">
        <f t="shared" si="280"/>
        <v>0</v>
      </c>
      <c r="T424" s="424">
        <f t="shared" si="280"/>
        <v>0</v>
      </c>
      <c r="U424" s="424">
        <f t="shared" si="280"/>
        <v>0</v>
      </c>
      <c r="V424" s="424">
        <f t="shared" si="280"/>
        <v>0</v>
      </c>
      <c r="W424" s="424">
        <f t="shared" si="280"/>
        <v>0</v>
      </c>
      <c r="X424" s="424">
        <f t="shared" si="280"/>
        <v>0</v>
      </c>
      <c r="Y424" s="424">
        <f t="shared" si="280"/>
        <v>1.17</v>
      </c>
      <c r="Z424" s="424">
        <f t="shared" si="280"/>
        <v>0</v>
      </c>
      <c r="AA424" s="424">
        <f t="shared" si="280"/>
        <v>0</v>
      </c>
      <c r="AB424" s="424">
        <f t="shared" si="280"/>
        <v>0</v>
      </c>
      <c r="AC424" s="424">
        <f t="shared" si="280"/>
        <v>0</v>
      </c>
      <c r="AD424" s="424">
        <f t="shared" si="280"/>
        <v>0</v>
      </c>
      <c r="AE424" s="424">
        <f t="shared" si="280"/>
        <v>0</v>
      </c>
      <c r="AF424" s="424">
        <f t="shared" si="280"/>
        <v>0</v>
      </c>
      <c r="AG424" s="424">
        <f t="shared" si="280"/>
        <v>0</v>
      </c>
      <c r="AH424" s="424">
        <f t="shared" si="280"/>
        <v>1.66</v>
      </c>
      <c r="AI424" s="424">
        <f t="shared" si="280"/>
        <v>0</v>
      </c>
      <c r="AJ424" s="424">
        <f t="shared" si="280"/>
        <v>0</v>
      </c>
      <c r="AK424" s="424">
        <f t="shared" si="280"/>
        <v>0.6</v>
      </c>
      <c r="AL424" s="424">
        <f t="shared" si="280"/>
        <v>0</v>
      </c>
      <c r="AM424" s="424">
        <f t="shared" si="280"/>
        <v>0.2</v>
      </c>
      <c r="AN424" s="424">
        <f t="shared" si="280"/>
        <v>0</v>
      </c>
      <c r="AO424" s="424">
        <f t="shared" si="280"/>
        <v>0</v>
      </c>
      <c r="AP424" s="424">
        <f t="shared" ref="AP424:BU424" si="281">AP54*AP$372</f>
        <v>0</v>
      </c>
      <c r="AQ424" s="424">
        <f t="shared" si="281"/>
        <v>0.63</v>
      </c>
      <c r="AR424" s="424">
        <f t="shared" si="281"/>
        <v>0</v>
      </c>
      <c r="AS424" s="424">
        <f t="shared" si="281"/>
        <v>0</v>
      </c>
      <c r="AT424" s="424">
        <f t="shared" si="281"/>
        <v>0.98</v>
      </c>
      <c r="AU424" s="424">
        <f t="shared" si="281"/>
        <v>0.6</v>
      </c>
      <c r="AV424" s="424">
        <f t="shared" si="281"/>
        <v>0</v>
      </c>
      <c r="AW424" s="424">
        <f t="shared" si="281"/>
        <v>0</v>
      </c>
      <c r="AX424" s="424">
        <f t="shared" si="281"/>
        <v>1.5</v>
      </c>
      <c r="AY424" s="424">
        <f t="shared" si="281"/>
        <v>0</v>
      </c>
      <c r="AZ424" s="424">
        <f t="shared" si="281"/>
        <v>0</v>
      </c>
      <c r="BA424" s="424">
        <f t="shared" si="281"/>
        <v>0</v>
      </c>
      <c r="BB424" s="424">
        <f t="shared" si="281"/>
        <v>0</v>
      </c>
      <c r="BC424" s="424">
        <f t="shared" si="281"/>
        <v>0</v>
      </c>
      <c r="BD424" s="424">
        <f t="shared" si="281"/>
        <v>0</v>
      </c>
      <c r="BE424" s="424">
        <f t="shared" si="281"/>
        <v>0</v>
      </c>
      <c r="BF424" s="424">
        <f t="shared" si="281"/>
        <v>0</v>
      </c>
      <c r="BG424" s="424">
        <f t="shared" si="281"/>
        <v>0</v>
      </c>
      <c r="BH424" s="424">
        <f t="shared" si="281"/>
        <v>0</v>
      </c>
      <c r="BI424" s="424">
        <f t="shared" si="281"/>
        <v>0</v>
      </c>
      <c r="BJ424" s="424">
        <f t="shared" si="281"/>
        <v>0</v>
      </c>
      <c r="BK424" s="424">
        <f t="shared" si="281"/>
        <v>0</v>
      </c>
      <c r="BL424" s="424">
        <f t="shared" si="281"/>
        <v>0</v>
      </c>
      <c r="BM424" s="424">
        <f t="shared" si="281"/>
        <v>0</v>
      </c>
      <c r="BN424" s="424">
        <f t="shared" si="281"/>
        <v>0</v>
      </c>
      <c r="BO424" s="424">
        <f t="shared" si="281"/>
        <v>0</v>
      </c>
      <c r="BP424" s="424">
        <f t="shared" si="281"/>
        <v>0</v>
      </c>
      <c r="BQ424" s="424">
        <f t="shared" si="281"/>
        <v>0</v>
      </c>
      <c r="BR424" s="424">
        <f t="shared" si="281"/>
        <v>0</v>
      </c>
      <c r="BS424" s="424">
        <f t="shared" si="281"/>
        <v>0.09</v>
      </c>
      <c r="BT424" s="424">
        <f t="shared" si="281"/>
        <v>0</v>
      </c>
      <c r="BU424" s="424">
        <f t="shared" si="281"/>
        <v>0</v>
      </c>
      <c r="BV424" s="424">
        <f t="shared" ref="BV424:DA424" si="282">BV54*BV$372</f>
        <v>0</v>
      </c>
      <c r="BW424" s="424">
        <f t="shared" si="282"/>
        <v>0</v>
      </c>
      <c r="BX424" s="424">
        <f t="shared" si="282"/>
        <v>0</v>
      </c>
      <c r="BY424" s="424">
        <f t="shared" si="282"/>
        <v>0</v>
      </c>
      <c r="BZ424" s="424">
        <f t="shared" si="282"/>
        <v>0</v>
      </c>
      <c r="CA424" s="424">
        <f t="shared" si="282"/>
        <v>0</v>
      </c>
      <c r="CB424" s="424">
        <f t="shared" si="282"/>
        <v>0</v>
      </c>
      <c r="CC424" s="424">
        <f t="shared" si="282"/>
        <v>0</v>
      </c>
      <c r="CD424" s="424">
        <f t="shared" si="282"/>
        <v>0</v>
      </c>
      <c r="CE424" s="424">
        <f t="shared" si="282"/>
        <v>0</v>
      </c>
      <c r="CF424" s="424">
        <f t="shared" si="282"/>
        <v>0.6</v>
      </c>
      <c r="CG424" s="424">
        <f t="shared" si="282"/>
        <v>0</v>
      </c>
      <c r="CH424" s="424">
        <f t="shared" si="282"/>
        <v>0</v>
      </c>
      <c r="CI424" s="424">
        <f t="shared" si="282"/>
        <v>0</v>
      </c>
      <c r="CJ424" s="424">
        <f t="shared" si="282"/>
        <v>0</v>
      </c>
      <c r="CK424" s="424">
        <f t="shared" si="282"/>
        <v>0</v>
      </c>
      <c r="CL424" s="424">
        <f t="shared" si="282"/>
        <v>0</v>
      </c>
      <c r="CM424" s="424">
        <f t="shared" si="282"/>
        <v>0</v>
      </c>
      <c r="CN424" s="424">
        <f t="shared" si="282"/>
        <v>0</v>
      </c>
      <c r="CO424" s="424">
        <f t="shared" si="282"/>
        <v>0</v>
      </c>
      <c r="CP424" s="424">
        <f t="shared" si="282"/>
        <v>0</v>
      </c>
      <c r="CQ424" s="424">
        <f t="shared" si="282"/>
        <v>0</v>
      </c>
      <c r="CR424" s="424">
        <f t="shared" si="282"/>
        <v>0</v>
      </c>
      <c r="CS424" s="424">
        <f t="shared" si="282"/>
        <v>0</v>
      </c>
      <c r="CT424" s="424">
        <f t="shared" si="282"/>
        <v>0</v>
      </c>
      <c r="CU424" s="424">
        <f t="shared" si="282"/>
        <v>0</v>
      </c>
      <c r="CV424" s="424">
        <f t="shared" si="282"/>
        <v>0</v>
      </c>
      <c r="CW424" s="424">
        <f t="shared" si="282"/>
        <v>0</v>
      </c>
      <c r="CX424" s="424">
        <f t="shared" si="282"/>
        <v>0</v>
      </c>
      <c r="CY424" s="424">
        <f t="shared" si="282"/>
        <v>0</v>
      </c>
      <c r="CZ424" s="424">
        <f t="shared" si="282"/>
        <v>0.11</v>
      </c>
      <c r="DA424" s="424">
        <f t="shared" si="282"/>
        <v>0</v>
      </c>
      <c r="DB424" s="424">
        <f t="shared" ref="DB424:EG424" si="283">DB54*DB$372</f>
        <v>0</v>
      </c>
      <c r="DC424" s="424">
        <f t="shared" si="283"/>
        <v>0.06</v>
      </c>
      <c r="DD424" s="424">
        <f t="shared" si="283"/>
        <v>0</v>
      </c>
      <c r="DE424" s="424">
        <f t="shared" si="283"/>
        <v>0</v>
      </c>
      <c r="DF424" s="424">
        <f t="shared" si="283"/>
        <v>1.73</v>
      </c>
      <c r="DG424" s="424">
        <f t="shared" si="283"/>
        <v>0</v>
      </c>
      <c r="DH424" s="424">
        <f t="shared" si="283"/>
        <v>0</v>
      </c>
      <c r="DI424" s="424">
        <f t="shared" si="283"/>
        <v>0</v>
      </c>
      <c r="DJ424" s="424">
        <f t="shared" si="283"/>
        <v>0</v>
      </c>
      <c r="DK424" s="424">
        <f t="shared" si="283"/>
        <v>0</v>
      </c>
      <c r="DL424" s="424">
        <f t="shared" si="283"/>
        <v>0</v>
      </c>
      <c r="DM424" s="424">
        <f t="shared" si="283"/>
        <v>1.8</v>
      </c>
      <c r="DN424" s="424">
        <f t="shared" si="283"/>
        <v>0</v>
      </c>
      <c r="DO424" s="424">
        <f t="shared" si="283"/>
        <v>0</v>
      </c>
      <c r="DP424" s="424">
        <f t="shared" si="283"/>
        <v>0</v>
      </c>
      <c r="DQ424" s="424">
        <f t="shared" si="283"/>
        <v>0</v>
      </c>
      <c r="DR424" s="424">
        <f t="shared" si="283"/>
        <v>0</v>
      </c>
      <c r="DS424" s="424">
        <f t="shared" si="283"/>
        <v>0</v>
      </c>
      <c r="DT424" s="424">
        <f t="shared" si="283"/>
        <v>0</v>
      </c>
      <c r="DU424" s="424">
        <f t="shared" si="283"/>
        <v>0</v>
      </c>
      <c r="DV424" s="424">
        <f t="shared" si="283"/>
        <v>0</v>
      </c>
      <c r="DW424" s="424">
        <f t="shared" si="283"/>
        <v>0</v>
      </c>
      <c r="DX424" s="424">
        <f t="shared" si="283"/>
        <v>0</v>
      </c>
      <c r="DY424" s="424">
        <f t="shared" si="283"/>
        <v>0</v>
      </c>
      <c r="DZ424" s="424">
        <f t="shared" si="283"/>
        <v>0</v>
      </c>
      <c r="EA424" s="424">
        <f t="shared" si="283"/>
        <v>0</v>
      </c>
      <c r="EB424" s="424">
        <f t="shared" si="283"/>
        <v>0</v>
      </c>
      <c r="EC424" s="424">
        <f t="shared" si="283"/>
        <v>0</v>
      </c>
      <c r="ED424" s="424">
        <f t="shared" si="283"/>
        <v>0</v>
      </c>
      <c r="EE424" s="424">
        <f t="shared" si="283"/>
        <v>0</v>
      </c>
      <c r="EF424" s="424">
        <f t="shared" si="283"/>
        <v>0</v>
      </c>
      <c r="EG424" s="424">
        <f t="shared" si="283"/>
        <v>0</v>
      </c>
      <c r="EH424" s="424">
        <f t="shared" ref="EH424:EX424" si="284">EH54*EH$372</f>
        <v>0</v>
      </c>
      <c r="EI424" s="424">
        <f t="shared" si="284"/>
        <v>0</v>
      </c>
      <c r="EJ424" s="424">
        <f t="shared" si="284"/>
        <v>0</v>
      </c>
      <c r="EK424" s="424">
        <f t="shared" si="284"/>
        <v>0</v>
      </c>
      <c r="EL424" s="424">
        <f t="shared" si="284"/>
        <v>0</v>
      </c>
      <c r="EM424" s="424">
        <f t="shared" si="284"/>
        <v>0</v>
      </c>
      <c r="EN424" s="424">
        <f t="shared" si="284"/>
        <v>0</v>
      </c>
      <c r="EO424" s="424">
        <f t="shared" si="284"/>
        <v>0</v>
      </c>
      <c r="EP424" s="424">
        <f t="shared" si="284"/>
        <v>0</v>
      </c>
      <c r="EQ424" s="424">
        <f t="shared" si="284"/>
        <v>0</v>
      </c>
      <c r="ER424" s="424">
        <f t="shared" si="284"/>
        <v>0</v>
      </c>
      <c r="ES424" s="424">
        <f t="shared" si="284"/>
        <v>0</v>
      </c>
      <c r="ET424" s="424">
        <f t="shared" si="284"/>
        <v>0</v>
      </c>
      <c r="EU424" s="424">
        <f t="shared" si="284"/>
        <v>0</v>
      </c>
      <c r="EV424" s="424">
        <f t="shared" si="284"/>
        <v>0</v>
      </c>
      <c r="EW424" s="424">
        <f t="shared" si="284"/>
        <v>0</v>
      </c>
      <c r="EX424" s="424">
        <f t="shared" si="284"/>
        <v>0</v>
      </c>
      <c r="EY424" s="425">
        <f t="shared" si="49"/>
        <v>11.73</v>
      </c>
    </row>
    <row r="425" spans="1:166" ht="14.7" customHeight="1" x14ac:dyDescent="0.25">
      <c r="A425" s="310">
        <v>51</v>
      </c>
      <c r="B425" s="311" t="str">
        <f t="shared" si="30"/>
        <v>Борщ зеленый</v>
      </c>
      <c r="C425" s="483">
        <f t="shared" si="38"/>
        <v>35.03</v>
      </c>
      <c r="D425" s="888"/>
      <c r="E425" s="888"/>
      <c r="F425" s="888"/>
      <c r="G425" s="889"/>
      <c r="H425" s="680">
        <f t="shared" si="31"/>
        <v>85</v>
      </c>
      <c r="I425" s="1209">
        <f t="shared" si="32"/>
        <v>0.01</v>
      </c>
      <c r="J425" s="424">
        <f t="shared" ref="J425:AO425" si="285">J55*J$372</f>
        <v>0</v>
      </c>
      <c r="K425" s="424">
        <f t="shared" si="285"/>
        <v>0</v>
      </c>
      <c r="L425" s="424">
        <f t="shared" si="285"/>
        <v>0</v>
      </c>
      <c r="M425" s="424">
        <f t="shared" si="285"/>
        <v>0</v>
      </c>
      <c r="N425" s="424">
        <f t="shared" si="285"/>
        <v>0</v>
      </c>
      <c r="O425" s="424">
        <f t="shared" si="285"/>
        <v>0</v>
      </c>
      <c r="P425" s="424">
        <f t="shared" si="285"/>
        <v>0</v>
      </c>
      <c r="Q425" s="424">
        <f t="shared" si="285"/>
        <v>0</v>
      </c>
      <c r="R425" s="424">
        <f t="shared" si="285"/>
        <v>0</v>
      </c>
      <c r="S425" s="424">
        <f t="shared" si="285"/>
        <v>0</v>
      </c>
      <c r="T425" s="424">
        <f t="shared" si="285"/>
        <v>0</v>
      </c>
      <c r="U425" s="424">
        <f t="shared" si="285"/>
        <v>0</v>
      </c>
      <c r="V425" s="424">
        <f t="shared" si="285"/>
        <v>0</v>
      </c>
      <c r="W425" s="424">
        <f t="shared" si="285"/>
        <v>0</v>
      </c>
      <c r="X425" s="424">
        <f t="shared" si="285"/>
        <v>0</v>
      </c>
      <c r="Y425" s="424">
        <f t="shared" si="285"/>
        <v>1.17</v>
      </c>
      <c r="Z425" s="424">
        <f t="shared" si="285"/>
        <v>0</v>
      </c>
      <c r="AA425" s="424">
        <f t="shared" si="285"/>
        <v>0</v>
      </c>
      <c r="AB425" s="424">
        <f t="shared" si="285"/>
        <v>0</v>
      </c>
      <c r="AC425" s="424">
        <f t="shared" si="285"/>
        <v>0</v>
      </c>
      <c r="AD425" s="424">
        <f t="shared" si="285"/>
        <v>0</v>
      </c>
      <c r="AE425" s="424">
        <f t="shared" si="285"/>
        <v>0.87</v>
      </c>
      <c r="AF425" s="424">
        <f t="shared" si="285"/>
        <v>0</v>
      </c>
      <c r="AG425" s="424">
        <f t="shared" si="285"/>
        <v>0</v>
      </c>
      <c r="AH425" s="424">
        <f t="shared" si="285"/>
        <v>3.34</v>
      </c>
      <c r="AI425" s="424">
        <f t="shared" si="285"/>
        <v>0</v>
      </c>
      <c r="AJ425" s="424">
        <f t="shared" si="285"/>
        <v>0</v>
      </c>
      <c r="AK425" s="424">
        <f t="shared" si="285"/>
        <v>0</v>
      </c>
      <c r="AL425" s="424">
        <f t="shared" si="285"/>
        <v>2.85</v>
      </c>
      <c r="AM425" s="424">
        <f t="shared" si="285"/>
        <v>0</v>
      </c>
      <c r="AN425" s="424">
        <f t="shared" si="285"/>
        <v>0</v>
      </c>
      <c r="AO425" s="424">
        <f t="shared" si="285"/>
        <v>0</v>
      </c>
      <c r="AP425" s="424">
        <f t="shared" ref="AP425:BU425" si="286">AP55*AP$372</f>
        <v>0</v>
      </c>
      <c r="AQ425" s="424">
        <f t="shared" si="286"/>
        <v>0</v>
      </c>
      <c r="AR425" s="424">
        <f t="shared" si="286"/>
        <v>0</v>
      </c>
      <c r="AS425" s="424">
        <f t="shared" si="286"/>
        <v>0</v>
      </c>
      <c r="AT425" s="424">
        <f t="shared" si="286"/>
        <v>0</v>
      </c>
      <c r="AU425" s="424">
        <f t="shared" si="286"/>
        <v>0.6</v>
      </c>
      <c r="AV425" s="424">
        <f t="shared" si="286"/>
        <v>11.96</v>
      </c>
      <c r="AW425" s="424">
        <f t="shared" si="286"/>
        <v>12.29</v>
      </c>
      <c r="AX425" s="424">
        <f t="shared" si="286"/>
        <v>1.1299999999999999</v>
      </c>
      <c r="AY425" s="424">
        <f t="shared" si="286"/>
        <v>0</v>
      </c>
      <c r="AZ425" s="424">
        <f t="shared" si="286"/>
        <v>0</v>
      </c>
      <c r="BA425" s="424">
        <f t="shared" si="286"/>
        <v>0</v>
      </c>
      <c r="BB425" s="424">
        <f t="shared" si="286"/>
        <v>0</v>
      </c>
      <c r="BC425" s="424">
        <f t="shared" si="286"/>
        <v>0</v>
      </c>
      <c r="BD425" s="424">
        <f t="shared" si="286"/>
        <v>0</v>
      </c>
      <c r="BE425" s="424">
        <f t="shared" si="286"/>
        <v>0</v>
      </c>
      <c r="BF425" s="424">
        <f t="shared" si="286"/>
        <v>0</v>
      </c>
      <c r="BG425" s="424">
        <f t="shared" si="286"/>
        <v>0</v>
      </c>
      <c r="BH425" s="424">
        <f t="shared" si="286"/>
        <v>0</v>
      </c>
      <c r="BI425" s="424">
        <f t="shared" si="286"/>
        <v>0</v>
      </c>
      <c r="BJ425" s="424">
        <f t="shared" si="286"/>
        <v>0</v>
      </c>
      <c r="BK425" s="424">
        <f t="shared" si="286"/>
        <v>0</v>
      </c>
      <c r="BL425" s="424">
        <f t="shared" si="286"/>
        <v>0</v>
      </c>
      <c r="BM425" s="424">
        <f t="shared" si="286"/>
        <v>0</v>
      </c>
      <c r="BN425" s="424">
        <f t="shared" si="286"/>
        <v>0</v>
      </c>
      <c r="BO425" s="424">
        <f t="shared" si="286"/>
        <v>0</v>
      </c>
      <c r="BP425" s="424">
        <f t="shared" si="286"/>
        <v>0</v>
      </c>
      <c r="BQ425" s="424">
        <f t="shared" si="286"/>
        <v>0</v>
      </c>
      <c r="BR425" s="424">
        <f t="shared" si="286"/>
        <v>0</v>
      </c>
      <c r="BS425" s="424">
        <f t="shared" si="286"/>
        <v>0.05</v>
      </c>
      <c r="BT425" s="424">
        <f t="shared" si="286"/>
        <v>0</v>
      </c>
      <c r="BU425" s="424">
        <f t="shared" si="286"/>
        <v>0</v>
      </c>
      <c r="BV425" s="424">
        <f t="shared" ref="BV425:DA425" si="287">BV55*BV$372</f>
        <v>0</v>
      </c>
      <c r="BW425" s="424">
        <f t="shared" si="287"/>
        <v>0</v>
      </c>
      <c r="BX425" s="424">
        <f t="shared" si="287"/>
        <v>0</v>
      </c>
      <c r="BY425" s="424">
        <f t="shared" si="287"/>
        <v>0</v>
      </c>
      <c r="BZ425" s="424">
        <f t="shared" si="287"/>
        <v>0</v>
      </c>
      <c r="CA425" s="424">
        <f t="shared" si="287"/>
        <v>0</v>
      </c>
      <c r="CB425" s="424">
        <f t="shared" si="287"/>
        <v>0</v>
      </c>
      <c r="CC425" s="424">
        <f t="shared" si="287"/>
        <v>0</v>
      </c>
      <c r="CD425" s="424">
        <f t="shared" si="287"/>
        <v>0</v>
      </c>
      <c r="CE425" s="424">
        <f t="shared" si="287"/>
        <v>0</v>
      </c>
      <c r="CF425" s="424">
        <f t="shared" si="287"/>
        <v>0.6</v>
      </c>
      <c r="CG425" s="424">
        <f t="shared" si="287"/>
        <v>0</v>
      </c>
      <c r="CH425" s="424">
        <f t="shared" si="287"/>
        <v>0</v>
      </c>
      <c r="CI425" s="424">
        <f t="shared" si="287"/>
        <v>0</v>
      </c>
      <c r="CJ425" s="424">
        <f t="shared" si="287"/>
        <v>0</v>
      </c>
      <c r="CK425" s="424">
        <f t="shared" si="287"/>
        <v>0</v>
      </c>
      <c r="CL425" s="424">
        <f t="shared" si="287"/>
        <v>0</v>
      </c>
      <c r="CM425" s="424">
        <f t="shared" si="287"/>
        <v>0</v>
      </c>
      <c r="CN425" s="424">
        <f t="shared" si="287"/>
        <v>0</v>
      </c>
      <c r="CO425" s="424">
        <f t="shared" si="287"/>
        <v>0</v>
      </c>
      <c r="CP425" s="424">
        <f t="shared" si="287"/>
        <v>0</v>
      </c>
      <c r="CQ425" s="424">
        <f t="shared" si="287"/>
        <v>0</v>
      </c>
      <c r="CR425" s="424">
        <f t="shared" si="287"/>
        <v>0</v>
      </c>
      <c r="CS425" s="424">
        <f t="shared" si="287"/>
        <v>0</v>
      </c>
      <c r="CT425" s="424">
        <f t="shared" si="287"/>
        <v>0</v>
      </c>
      <c r="CU425" s="424">
        <f t="shared" si="287"/>
        <v>0</v>
      </c>
      <c r="CV425" s="424">
        <f t="shared" si="287"/>
        <v>0</v>
      </c>
      <c r="CW425" s="424">
        <f t="shared" si="287"/>
        <v>0</v>
      </c>
      <c r="CX425" s="424">
        <f t="shared" si="287"/>
        <v>0</v>
      </c>
      <c r="CY425" s="424">
        <f t="shared" si="287"/>
        <v>0</v>
      </c>
      <c r="CZ425" s="424">
        <f t="shared" si="287"/>
        <v>0.11</v>
      </c>
      <c r="DA425" s="424">
        <f t="shared" si="287"/>
        <v>0</v>
      </c>
      <c r="DB425" s="424">
        <f t="shared" ref="DB425:EG425" si="288">DB55*DB$372</f>
        <v>0</v>
      </c>
      <c r="DC425" s="424">
        <f t="shared" si="288"/>
        <v>0.06</v>
      </c>
      <c r="DD425" s="424">
        <f t="shared" si="288"/>
        <v>0</v>
      </c>
      <c r="DE425" s="424">
        <f t="shared" si="288"/>
        <v>0</v>
      </c>
      <c r="DF425" s="424">
        <f t="shared" si="288"/>
        <v>0</v>
      </c>
      <c r="DG425" s="424">
        <f t="shared" si="288"/>
        <v>0</v>
      </c>
      <c r="DH425" s="424">
        <f t="shared" si="288"/>
        <v>0</v>
      </c>
      <c r="DI425" s="424">
        <f t="shared" si="288"/>
        <v>0</v>
      </c>
      <c r="DJ425" s="424">
        <f t="shared" si="288"/>
        <v>0</v>
      </c>
      <c r="DK425" s="424">
        <f t="shared" si="288"/>
        <v>0</v>
      </c>
      <c r="DL425" s="424">
        <f t="shared" si="288"/>
        <v>0</v>
      </c>
      <c r="DM425" s="424">
        <f t="shared" si="288"/>
        <v>0</v>
      </c>
      <c r="DN425" s="424">
        <f t="shared" si="288"/>
        <v>0</v>
      </c>
      <c r="DO425" s="424">
        <f t="shared" si="288"/>
        <v>0</v>
      </c>
      <c r="DP425" s="424">
        <f t="shared" si="288"/>
        <v>0</v>
      </c>
      <c r="DQ425" s="424">
        <f t="shared" si="288"/>
        <v>0</v>
      </c>
      <c r="DR425" s="424">
        <f t="shared" si="288"/>
        <v>0</v>
      </c>
      <c r="DS425" s="424">
        <f t="shared" si="288"/>
        <v>0</v>
      </c>
      <c r="DT425" s="424">
        <f t="shared" si="288"/>
        <v>0</v>
      </c>
      <c r="DU425" s="424">
        <f t="shared" si="288"/>
        <v>0</v>
      </c>
      <c r="DV425" s="424">
        <f t="shared" si="288"/>
        <v>0</v>
      </c>
      <c r="DW425" s="424">
        <f t="shared" si="288"/>
        <v>0</v>
      </c>
      <c r="DX425" s="424">
        <f t="shared" si="288"/>
        <v>0</v>
      </c>
      <c r="DY425" s="424">
        <f t="shared" si="288"/>
        <v>0</v>
      </c>
      <c r="DZ425" s="424">
        <f t="shared" si="288"/>
        <v>0</v>
      </c>
      <c r="EA425" s="424">
        <f t="shared" si="288"/>
        <v>0</v>
      </c>
      <c r="EB425" s="424">
        <f t="shared" si="288"/>
        <v>0</v>
      </c>
      <c r="EC425" s="424">
        <f t="shared" si="288"/>
        <v>0</v>
      </c>
      <c r="ED425" s="424">
        <f t="shared" si="288"/>
        <v>0</v>
      </c>
      <c r="EE425" s="424">
        <f t="shared" si="288"/>
        <v>0</v>
      </c>
      <c r="EF425" s="424">
        <f t="shared" si="288"/>
        <v>0</v>
      </c>
      <c r="EG425" s="424">
        <f t="shared" si="288"/>
        <v>0</v>
      </c>
      <c r="EH425" s="424">
        <f t="shared" ref="EH425:EX425" si="289">EH55*EH$372</f>
        <v>0</v>
      </c>
      <c r="EI425" s="424">
        <f t="shared" si="289"/>
        <v>0</v>
      </c>
      <c r="EJ425" s="424">
        <f t="shared" si="289"/>
        <v>0</v>
      </c>
      <c r="EK425" s="424">
        <f t="shared" si="289"/>
        <v>0</v>
      </c>
      <c r="EL425" s="424">
        <f t="shared" si="289"/>
        <v>0</v>
      </c>
      <c r="EM425" s="424">
        <f t="shared" si="289"/>
        <v>0</v>
      </c>
      <c r="EN425" s="424">
        <f t="shared" si="289"/>
        <v>0</v>
      </c>
      <c r="EO425" s="424">
        <f t="shared" si="289"/>
        <v>0</v>
      </c>
      <c r="EP425" s="424">
        <f t="shared" si="289"/>
        <v>0</v>
      </c>
      <c r="EQ425" s="424">
        <f t="shared" si="289"/>
        <v>0</v>
      </c>
      <c r="ER425" s="424">
        <f t="shared" si="289"/>
        <v>0</v>
      </c>
      <c r="ES425" s="424">
        <f t="shared" si="289"/>
        <v>0</v>
      </c>
      <c r="ET425" s="424">
        <f t="shared" si="289"/>
        <v>0</v>
      </c>
      <c r="EU425" s="424">
        <f t="shared" si="289"/>
        <v>0</v>
      </c>
      <c r="EV425" s="424">
        <f t="shared" si="289"/>
        <v>0</v>
      </c>
      <c r="EW425" s="424">
        <f t="shared" si="289"/>
        <v>0</v>
      </c>
      <c r="EX425" s="424">
        <f t="shared" si="289"/>
        <v>0</v>
      </c>
      <c r="EY425" s="425">
        <f t="shared" si="49"/>
        <v>35.03</v>
      </c>
    </row>
    <row r="426" spans="1:166" s="699" customFormat="1" ht="14.7" customHeight="1" x14ac:dyDescent="0.25">
      <c r="A426" s="310">
        <v>52</v>
      </c>
      <c r="B426" s="311" t="str">
        <f t="shared" si="30"/>
        <v>Свекольник со сметаной и яйцом</v>
      </c>
      <c r="C426" s="483">
        <f t="shared" si="38"/>
        <v>10.02</v>
      </c>
      <c r="D426" s="888"/>
      <c r="E426" s="888"/>
      <c r="F426" s="888"/>
      <c r="G426" s="889"/>
      <c r="H426" s="680">
        <f t="shared" si="31"/>
        <v>0</v>
      </c>
      <c r="I426" s="1209">
        <f t="shared" si="32"/>
        <v>0</v>
      </c>
      <c r="J426" s="424">
        <f t="shared" ref="J426:AO426" si="290">J56*J$372</f>
        <v>0</v>
      </c>
      <c r="K426" s="424">
        <f t="shared" si="290"/>
        <v>0</v>
      </c>
      <c r="L426" s="424">
        <f t="shared" si="290"/>
        <v>0</v>
      </c>
      <c r="M426" s="424">
        <f t="shared" si="290"/>
        <v>0</v>
      </c>
      <c r="N426" s="424">
        <f t="shared" si="290"/>
        <v>0</v>
      </c>
      <c r="O426" s="424">
        <f t="shared" si="290"/>
        <v>0</v>
      </c>
      <c r="P426" s="424">
        <f t="shared" si="290"/>
        <v>0</v>
      </c>
      <c r="Q426" s="424">
        <f t="shared" si="290"/>
        <v>0</v>
      </c>
      <c r="R426" s="424">
        <f t="shared" si="290"/>
        <v>0</v>
      </c>
      <c r="S426" s="424">
        <f t="shared" si="290"/>
        <v>0</v>
      </c>
      <c r="T426" s="424">
        <f t="shared" si="290"/>
        <v>0</v>
      </c>
      <c r="U426" s="424">
        <f t="shared" si="290"/>
        <v>0</v>
      </c>
      <c r="V426" s="424">
        <f t="shared" si="290"/>
        <v>1.42</v>
      </c>
      <c r="W426" s="424">
        <f t="shared" si="290"/>
        <v>0</v>
      </c>
      <c r="X426" s="424">
        <f t="shared" si="290"/>
        <v>0</v>
      </c>
      <c r="Y426" s="424">
        <f t="shared" si="290"/>
        <v>1.17</v>
      </c>
      <c r="Z426" s="424">
        <f t="shared" si="290"/>
        <v>0</v>
      </c>
      <c r="AA426" s="424">
        <f t="shared" si="290"/>
        <v>0</v>
      </c>
      <c r="AB426" s="424">
        <f t="shared" si="290"/>
        <v>0</v>
      </c>
      <c r="AC426" s="424">
        <f t="shared" si="290"/>
        <v>0</v>
      </c>
      <c r="AD426" s="424">
        <f t="shared" si="290"/>
        <v>0</v>
      </c>
      <c r="AE426" s="424">
        <f t="shared" si="290"/>
        <v>1.37</v>
      </c>
      <c r="AF426" s="424">
        <f t="shared" si="290"/>
        <v>0</v>
      </c>
      <c r="AG426" s="424">
        <f t="shared" si="290"/>
        <v>0</v>
      </c>
      <c r="AH426" s="424">
        <f t="shared" si="290"/>
        <v>2</v>
      </c>
      <c r="AI426" s="424">
        <f t="shared" si="290"/>
        <v>0</v>
      </c>
      <c r="AJ426" s="424">
        <f t="shared" si="290"/>
        <v>0</v>
      </c>
      <c r="AK426" s="424">
        <f t="shared" si="290"/>
        <v>0.5</v>
      </c>
      <c r="AL426" s="424">
        <f t="shared" si="290"/>
        <v>0</v>
      </c>
      <c r="AM426" s="424">
        <f t="shared" si="290"/>
        <v>0</v>
      </c>
      <c r="AN426" s="424">
        <f t="shared" si="290"/>
        <v>0</v>
      </c>
      <c r="AO426" s="424">
        <f t="shared" si="290"/>
        <v>0</v>
      </c>
      <c r="AP426" s="424">
        <f t="shared" ref="AP426:BU426" si="291">AP56*AP$372</f>
        <v>0</v>
      </c>
      <c r="AQ426" s="424">
        <f t="shared" si="291"/>
        <v>0.5</v>
      </c>
      <c r="AR426" s="424">
        <f t="shared" si="291"/>
        <v>0</v>
      </c>
      <c r="AS426" s="424">
        <f t="shared" si="291"/>
        <v>0</v>
      </c>
      <c r="AT426" s="424">
        <f t="shared" si="291"/>
        <v>0</v>
      </c>
      <c r="AU426" s="424">
        <f t="shared" si="291"/>
        <v>0.6</v>
      </c>
      <c r="AV426" s="424">
        <f t="shared" si="291"/>
        <v>0</v>
      </c>
      <c r="AW426" s="424">
        <f t="shared" si="291"/>
        <v>0</v>
      </c>
      <c r="AX426" s="424">
        <f t="shared" si="291"/>
        <v>1.95</v>
      </c>
      <c r="AY426" s="424">
        <f t="shared" si="291"/>
        <v>0</v>
      </c>
      <c r="AZ426" s="424">
        <f t="shared" si="291"/>
        <v>0</v>
      </c>
      <c r="BA426" s="424">
        <f t="shared" si="291"/>
        <v>0</v>
      </c>
      <c r="BB426" s="424">
        <f t="shared" si="291"/>
        <v>0</v>
      </c>
      <c r="BC426" s="424">
        <f t="shared" si="291"/>
        <v>0</v>
      </c>
      <c r="BD426" s="424">
        <f t="shared" si="291"/>
        <v>0</v>
      </c>
      <c r="BE426" s="424">
        <f t="shared" si="291"/>
        <v>0</v>
      </c>
      <c r="BF426" s="424">
        <f t="shared" si="291"/>
        <v>0</v>
      </c>
      <c r="BG426" s="424">
        <f t="shared" si="291"/>
        <v>0</v>
      </c>
      <c r="BH426" s="424">
        <f t="shared" si="291"/>
        <v>0</v>
      </c>
      <c r="BI426" s="424">
        <f t="shared" si="291"/>
        <v>0</v>
      </c>
      <c r="BJ426" s="424">
        <f t="shared" si="291"/>
        <v>0</v>
      </c>
      <c r="BK426" s="424">
        <f t="shared" si="291"/>
        <v>0</v>
      </c>
      <c r="BL426" s="424">
        <f t="shared" si="291"/>
        <v>0</v>
      </c>
      <c r="BM426" s="424">
        <f t="shared" si="291"/>
        <v>0</v>
      </c>
      <c r="BN426" s="424">
        <f t="shared" si="291"/>
        <v>0</v>
      </c>
      <c r="BO426" s="424">
        <f t="shared" si="291"/>
        <v>0</v>
      </c>
      <c r="BP426" s="424">
        <f t="shared" si="291"/>
        <v>0</v>
      </c>
      <c r="BQ426" s="424">
        <f t="shared" si="291"/>
        <v>0</v>
      </c>
      <c r="BR426" s="424">
        <f t="shared" si="291"/>
        <v>0</v>
      </c>
      <c r="BS426" s="424">
        <f t="shared" si="291"/>
        <v>0</v>
      </c>
      <c r="BT426" s="424">
        <f t="shared" si="291"/>
        <v>0</v>
      </c>
      <c r="BU426" s="424">
        <f t="shared" si="291"/>
        <v>0</v>
      </c>
      <c r="BV426" s="424">
        <f t="shared" ref="BV426:DA426" si="292">BV56*BV$372</f>
        <v>0</v>
      </c>
      <c r="BW426" s="424">
        <f t="shared" si="292"/>
        <v>0</v>
      </c>
      <c r="BX426" s="424">
        <f t="shared" si="292"/>
        <v>0</v>
      </c>
      <c r="BY426" s="424">
        <f t="shared" si="292"/>
        <v>0</v>
      </c>
      <c r="BZ426" s="424">
        <f t="shared" si="292"/>
        <v>0</v>
      </c>
      <c r="CA426" s="424">
        <f t="shared" si="292"/>
        <v>0</v>
      </c>
      <c r="CB426" s="424">
        <f t="shared" si="292"/>
        <v>0</v>
      </c>
      <c r="CC426" s="424">
        <f t="shared" si="292"/>
        <v>0</v>
      </c>
      <c r="CD426" s="424">
        <f t="shared" si="292"/>
        <v>0</v>
      </c>
      <c r="CE426" s="424">
        <f t="shared" si="292"/>
        <v>0</v>
      </c>
      <c r="CF426" s="424">
        <f t="shared" si="292"/>
        <v>0</v>
      </c>
      <c r="CG426" s="424">
        <f t="shared" si="292"/>
        <v>0</v>
      </c>
      <c r="CH426" s="424">
        <f t="shared" si="292"/>
        <v>0</v>
      </c>
      <c r="CI426" s="424">
        <f t="shared" si="292"/>
        <v>0</v>
      </c>
      <c r="CJ426" s="424">
        <f t="shared" si="292"/>
        <v>0</v>
      </c>
      <c r="CK426" s="424">
        <f t="shared" si="292"/>
        <v>0</v>
      </c>
      <c r="CL426" s="424">
        <f t="shared" si="292"/>
        <v>0</v>
      </c>
      <c r="CM426" s="424">
        <f t="shared" si="292"/>
        <v>0</v>
      </c>
      <c r="CN426" s="424">
        <f t="shared" si="292"/>
        <v>0</v>
      </c>
      <c r="CO426" s="424">
        <f t="shared" si="292"/>
        <v>0</v>
      </c>
      <c r="CP426" s="424">
        <f t="shared" si="292"/>
        <v>0</v>
      </c>
      <c r="CQ426" s="424">
        <f t="shared" si="292"/>
        <v>0</v>
      </c>
      <c r="CR426" s="424">
        <f t="shared" si="292"/>
        <v>0</v>
      </c>
      <c r="CS426" s="424">
        <f t="shared" si="292"/>
        <v>0</v>
      </c>
      <c r="CT426" s="424">
        <f t="shared" si="292"/>
        <v>0</v>
      </c>
      <c r="CU426" s="424">
        <f t="shared" si="292"/>
        <v>0</v>
      </c>
      <c r="CV426" s="424">
        <f t="shared" si="292"/>
        <v>0</v>
      </c>
      <c r="CW426" s="424">
        <f t="shared" si="292"/>
        <v>0</v>
      </c>
      <c r="CX426" s="424">
        <f t="shared" si="292"/>
        <v>0</v>
      </c>
      <c r="CY426" s="424">
        <f t="shared" si="292"/>
        <v>0</v>
      </c>
      <c r="CZ426" s="424">
        <f t="shared" si="292"/>
        <v>0</v>
      </c>
      <c r="DA426" s="424">
        <f t="shared" si="292"/>
        <v>0</v>
      </c>
      <c r="DB426" s="424">
        <f t="shared" ref="DB426:EG426" si="293">DB56*DB$372</f>
        <v>0</v>
      </c>
      <c r="DC426" s="424">
        <f t="shared" si="293"/>
        <v>0.05</v>
      </c>
      <c r="DD426" s="424">
        <f t="shared" si="293"/>
        <v>0</v>
      </c>
      <c r="DE426" s="424">
        <f t="shared" si="293"/>
        <v>0</v>
      </c>
      <c r="DF426" s="424">
        <f t="shared" si="293"/>
        <v>0.46</v>
      </c>
      <c r="DG426" s="424">
        <f t="shared" si="293"/>
        <v>0</v>
      </c>
      <c r="DH426" s="424">
        <f t="shared" si="293"/>
        <v>0</v>
      </c>
      <c r="DI426" s="424">
        <f t="shared" si="293"/>
        <v>0</v>
      </c>
      <c r="DJ426" s="424">
        <f t="shared" si="293"/>
        <v>0</v>
      </c>
      <c r="DK426" s="424">
        <f t="shared" si="293"/>
        <v>0</v>
      </c>
      <c r="DL426" s="424">
        <f t="shared" si="293"/>
        <v>0</v>
      </c>
      <c r="DM426" s="424">
        <f t="shared" si="293"/>
        <v>0</v>
      </c>
      <c r="DN426" s="424">
        <f t="shared" si="293"/>
        <v>0</v>
      </c>
      <c r="DO426" s="424">
        <f t="shared" si="293"/>
        <v>0</v>
      </c>
      <c r="DP426" s="424">
        <f t="shared" si="293"/>
        <v>0</v>
      </c>
      <c r="DQ426" s="424">
        <f t="shared" si="293"/>
        <v>0</v>
      </c>
      <c r="DR426" s="424">
        <f t="shared" si="293"/>
        <v>0</v>
      </c>
      <c r="DS426" s="424">
        <f t="shared" si="293"/>
        <v>0</v>
      </c>
      <c r="DT426" s="424">
        <f t="shared" si="293"/>
        <v>0</v>
      </c>
      <c r="DU426" s="424">
        <f t="shared" si="293"/>
        <v>0</v>
      </c>
      <c r="DV426" s="424">
        <f t="shared" si="293"/>
        <v>0</v>
      </c>
      <c r="DW426" s="424">
        <f t="shared" si="293"/>
        <v>0</v>
      </c>
      <c r="DX426" s="424">
        <f t="shared" si="293"/>
        <v>0</v>
      </c>
      <c r="DY426" s="424">
        <f t="shared" si="293"/>
        <v>0</v>
      </c>
      <c r="DZ426" s="424">
        <f t="shared" si="293"/>
        <v>0</v>
      </c>
      <c r="EA426" s="424">
        <f t="shared" si="293"/>
        <v>0</v>
      </c>
      <c r="EB426" s="424">
        <f t="shared" si="293"/>
        <v>0</v>
      </c>
      <c r="EC426" s="424">
        <f t="shared" si="293"/>
        <v>0</v>
      </c>
      <c r="ED426" s="424">
        <f t="shared" si="293"/>
        <v>0</v>
      </c>
      <c r="EE426" s="424">
        <f t="shared" si="293"/>
        <v>0</v>
      </c>
      <c r="EF426" s="424">
        <f t="shared" si="293"/>
        <v>0</v>
      </c>
      <c r="EG426" s="424">
        <f t="shared" si="293"/>
        <v>0</v>
      </c>
      <c r="EH426" s="424">
        <f t="shared" ref="EH426:EX426" si="294">EH56*EH$372</f>
        <v>0</v>
      </c>
      <c r="EI426" s="424">
        <f t="shared" si="294"/>
        <v>0</v>
      </c>
      <c r="EJ426" s="424">
        <f t="shared" si="294"/>
        <v>0</v>
      </c>
      <c r="EK426" s="424">
        <f t="shared" si="294"/>
        <v>0</v>
      </c>
      <c r="EL426" s="424">
        <f t="shared" si="294"/>
        <v>0</v>
      </c>
      <c r="EM426" s="424">
        <f t="shared" si="294"/>
        <v>0</v>
      </c>
      <c r="EN426" s="424">
        <f t="shared" si="294"/>
        <v>0</v>
      </c>
      <c r="EO426" s="424">
        <f t="shared" si="294"/>
        <v>0</v>
      </c>
      <c r="EP426" s="424">
        <f t="shared" si="294"/>
        <v>0</v>
      </c>
      <c r="EQ426" s="424">
        <f t="shared" si="294"/>
        <v>0</v>
      </c>
      <c r="ER426" s="424">
        <f t="shared" si="294"/>
        <v>0</v>
      </c>
      <c r="ES426" s="424">
        <f t="shared" si="294"/>
        <v>0</v>
      </c>
      <c r="ET426" s="424">
        <f t="shared" si="294"/>
        <v>0</v>
      </c>
      <c r="EU426" s="424">
        <f t="shared" si="294"/>
        <v>0</v>
      </c>
      <c r="EV426" s="424">
        <f t="shared" si="294"/>
        <v>0</v>
      </c>
      <c r="EW426" s="424">
        <f t="shared" si="294"/>
        <v>0</v>
      </c>
      <c r="EX426" s="424">
        <f t="shared" si="294"/>
        <v>0</v>
      </c>
      <c r="EY426" s="425">
        <f t="shared" si="49"/>
        <v>10.02</v>
      </c>
      <c r="EZ426" s="616"/>
      <c r="FA426" s="616"/>
      <c r="FB426" s="616"/>
      <c r="FC426" s="616"/>
      <c r="FD426" s="616"/>
      <c r="FE426" s="616"/>
      <c r="FF426" s="616"/>
      <c r="FG426" s="616"/>
      <c r="FH426" s="616"/>
      <c r="FI426" s="616"/>
      <c r="FJ426" s="616"/>
    </row>
    <row r="427" spans="1:166" s="570" customFormat="1" ht="14.7" customHeight="1" x14ac:dyDescent="0.25">
      <c r="A427" s="310">
        <v>53</v>
      </c>
      <c r="B427" s="311" t="str">
        <f t="shared" si="30"/>
        <v>Щи из свежей капусты</v>
      </c>
      <c r="C427" s="483">
        <f t="shared" si="38"/>
        <v>9.7200000000000006</v>
      </c>
      <c r="D427" s="888"/>
      <c r="E427" s="888"/>
      <c r="F427" s="888"/>
      <c r="G427" s="889"/>
      <c r="H427" s="680">
        <f t="shared" si="31"/>
        <v>87</v>
      </c>
      <c r="I427" s="1209">
        <f t="shared" si="32"/>
        <v>-0.02</v>
      </c>
      <c r="J427" s="424">
        <f t="shared" ref="J427:AO427" si="295">J57*J$372</f>
        <v>0</v>
      </c>
      <c r="K427" s="424">
        <f t="shared" si="295"/>
        <v>0</v>
      </c>
      <c r="L427" s="424">
        <f t="shared" si="295"/>
        <v>0</v>
      </c>
      <c r="M427" s="424">
        <f t="shared" si="295"/>
        <v>0</v>
      </c>
      <c r="N427" s="424">
        <f t="shared" si="295"/>
        <v>0</v>
      </c>
      <c r="O427" s="424">
        <f t="shared" si="295"/>
        <v>0</v>
      </c>
      <c r="P427" s="424">
        <f t="shared" si="295"/>
        <v>0</v>
      </c>
      <c r="Q427" s="424">
        <f t="shared" si="295"/>
        <v>0</v>
      </c>
      <c r="R427" s="424">
        <f t="shared" si="295"/>
        <v>0</v>
      </c>
      <c r="S427" s="424">
        <f t="shared" si="295"/>
        <v>0</v>
      </c>
      <c r="T427" s="424">
        <f t="shared" si="295"/>
        <v>0</v>
      </c>
      <c r="U427" s="424">
        <f t="shared" si="295"/>
        <v>0</v>
      </c>
      <c r="V427" s="424">
        <f t="shared" si="295"/>
        <v>0</v>
      </c>
      <c r="W427" s="424">
        <f t="shared" si="295"/>
        <v>0</v>
      </c>
      <c r="X427" s="424">
        <f t="shared" si="295"/>
        <v>0</v>
      </c>
      <c r="Y427" s="424">
        <f t="shared" si="295"/>
        <v>1.17</v>
      </c>
      <c r="Z427" s="424">
        <f t="shared" si="295"/>
        <v>0</v>
      </c>
      <c r="AA427" s="424">
        <f t="shared" si="295"/>
        <v>0</v>
      </c>
      <c r="AB427" s="424">
        <f t="shared" si="295"/>
        <v>0</v>
      </c>
      <c r="AC427" s="424">
        <f t="shared" si="295"/>
        <v>0</v>
      </c>
      <c r="AD427" s="424">
        <f t="shared" si="295"/>
        <v>0</v>
      </c>
      <c r="AE427" s="424">
        <f t="shared" si="295"/>
        <v>0</v>
      </c>
      <c r="AF427" s="424">
        <f t="shared" si="295"/>
        <v>4.6399999999999997</v>
      </c>
      <c r="AG427" s="424">
        <f t="shared" si="295"/>
        <v>0</v>
      </c>
      <c r="AH427" s="424">
        <f t="shared" si="295"/>
        <v>0</v>
      </c>
      <c r="AI427" s="424">
        <f t="shared" si="295"/>
        <v>0</v>
      </c>
      <c r="AJ427" s="424">
        <f t="shared" si="295"/>
        <v>0</v>
      </c>
      <c r="AK427" s="424">
        <f t="shared" si="295"/>
        <v>0.6</v>
      </c>
      <c r="AL427" s="424">
        <f t="shared" si="295"/>
        <v>0</v>
      </c>
      <c r="AM427" s="424">
        <f t="shared" si="295"/>
        <v>0</v>
      </c>
      <c r="AN427" s="424">
        <f t="shared" si="295"/>
        <v>0</v>
      </c>
      <c r="AO427" s="424">
        <f t="shared" si="295"/>
        <v>0</v>
      </c>
      <c r="AP427" s="424">
        <f t="shared" ref="AP427:BU427" si="296">AP57*AP$372</f>
        <v>0</v>
      </c>
      <c r="AQ427" s="424">
        <f t="shared" si="296"/>
        <v>0.63</v>
      </c>
      <c r="AR427" s="424">
        <f t="shared" si="296"/>
        <v>0</v>
      </c>
      <c r="AS427" s="424">
        <f t="shared" si="296"/>
        <v>0</v>
      </c>
      <c r="AT427" s="424">
        <f t="shared" si="296"/>
        <v>0.98</v>
      </c>
      <c r="AU427" s="424">
        <f t="shared" si="296"/>
        <v>0.6</v>
      </c>
      <c r="AV427" s="424">
        <f t="shared" si="296"/>
        <v>0</v>
      </c>
      <c r="AW427" s="424">
        <f t="shared" si="296"/>
        <v>0</v>
      </c>
      <c r="AX427" s="424">
        <f t="shared" si="296"/>
        <v>0</v>
      </c>
      <c r="AY427" s="424">
        <f t="shared" si="296"/>
        <v>0</v>
      </c>
      <c r="AZ427" s="424">
        <f t="shared" si="296"/>
        <v>0</v>
      </c>
      <c r="BA427" s="424">
        <f t="shared" si="296"/>
        <v>0</v>
      </c>
      <c r="BB427" s="424">
        <f t="shared" si="296"/>
        <v>0</v>
      </c>
      <c r="BC427" s="424">
        <f t="shared" si="296"/>
        <v>0</v>
      </c>
      <c r="BD427" s="424">
        <f t="shared" si="296"/>
        <v>0</v>
      </c>
      <c r="BE427" s="424">
        <f t="shared" si="296"/>
        <v>0</v>
      </c>
      <c r="BF427" s="424">
        <f t="shared" si="296"/>
        <v>0</v>
      </c>
      <c r="BG427" s="424">
        <f t="shared" si="296"/>
        <v>0</v>
      </c>
      <c r="BH427" s="424">
        <f t="shared" si="296"/>
        <v>0</v>
      </c>
      <c r="BI427" s="424">
        <f t="shared" si="296"/>
        <v>0</v>
      </c>
      <c r="BJ427" s="424">
        <f t="shared" si="296"/>
        <v>0</v>
      </c>
      <c r="BK427" s="424">
        <f t="shared" si="296"/>
        <v>0</v>
      </c>
      <c r="BL427" s="424">
        <f t="shared" si="296"/>
        <v>0</v>
      </c>
      <c r="BM427" s="424">
        <f t="shared" si="296"/>
        <v>0</v>
      </c>
      <c r="BN427" s="424">
        <f t="shared" si="296"/>
        <v>0</v>
      </c>
      <c r="BO427" s="424">
        <f t="shared" si="296"/>
        <v>0</v>
      </c>
      <c r="BP427" s="424">
        <f t="shared" si="296"/>
        <v>0</v>
      </c>
      <c r="BQ427" s="424">
        <f t="shared" si="296"/>
        <v>0</v>
      </c>
      <c r="BR427" s="424">
        <f t="shared" si="296"/>
        <v>0</v>
      </c>
      <c r="BS427" s="424">
        <f t="shared" si="296"/>
        <v>0.09</v>
      </c>
      <c r="BT427" s="424">
        <f t="shared" si="296"/>
        <v>0</v>
      </c>
      <c r="BU427" s="424">
        <f t="shared" si="296"/>
        <v>0</v>
      </c>
      <c r="BV427" s="424">
        <f t="shared" ref="BV427:DA427" si="297">BV57*BV$372</f>
        <v>0</v>
      </c>
      <c r="BW427" s="424">
        <f t="shared" si="297"/>
        <v>0</v>
      </c>
      <c r="BX427" s="424">
        <f t="shared" si="297"/>
        <v>0</v>
      </c>
      <c r="BY427" s="424">
        <f t="shared" si="297"/>
        <v>0</v>
      </c>
      <c r="BZ427" s="424">
        <f t="shared" si="297"/>
        <v>0</v>
      </c>
      <c r="CA427" s="424">
        <f t="shared" si="297"/>
        <v>0</v>
      </c>
      <c r="CB427" s="424">
        <f t="shared" si="297"/>
        <v>0</v>
      </c>
      <c r="CC427" s="424">
        <f t="shared" si="297"/>
        <v>0</v>
      </c>
      <c r="CD427" s="424">
        <f t="shared" si="297"/>
        <v>0</v>
      </c>
      <c r="CE427" s="424">
        <f t="shared" si="297"/>
        <v>0</v>
      </c>
      <c r="CF427" s="424">
        <f t="shared" si="297"/>
        <v>0.6</v>
      </c>
      <c r="CG427" s="424">
        <f t="shared" si="297"/>
        <v>0</v>
      </c>
      <c r="CH427" s="424">
        <f t="shared" si="297"/>
        <v>0</v>
      </c>
      <c r="CI427" s="424">
        <f t="shared" si="297"/>
        <v>0</v>
      </c>
      <c r="CJ427" s="424">
        <f t="shared" si="297"/>
        <v>0</v>
      </c>
      <c r="CK427" s="424">
        <f t="shared" si="297"/>
        <v>0</v>
      </c>
      <c r="CL427" s="424">
        <f t="shared" si="297"/>
        <v>0</v>
      </c>
      <c r="CM427" s="424">
        <f t="shared" si="297"/>
        <v>0</v>
      </c>
      <c r="CN427" s="424">
        <f t="shared" si="297"/>
        <v>0</v>
      </c>
      <c r="CO427" s="424">
        <f t="shared" si="297"/>
        <v>0</v>
      </c>
      <c r="CP427" s="424">
        <f t="shared" si="297"/>
        <v>0</v>
      </c>
      <c r="CQ427" s="424">
        <f t="shared" si="297"/>
        <v>0</v>
      </c>
      <c r="CR427" s="424">
        <f t="shared" si="297"/>
        <v>0</v>
      </c>
      <c r="CS427" s="424">
        <f t="shared" si="297"/>
        <v>0</v>
      </c>
      <c r="CT427" s="424">
        <f t="shared" si="297"/>
        <v>0</v>
      </c>
      <c r="CU427" s="424">
        <f t="shared" si="297"/>
        <v>0</v>
      </c>
      <c r="CV427" s="424">
        <f t="shared" si="297"/>
        <v>0</v>
      </c>
      <c r="CW427" s="424">
        <f t="shared" si="297"/>
        <v>0</v>
      </c>
      <c r="CX427" s="424">
        <f t="shared" si="297"/>
        <v>0</v>
      </c>
      <c r="CY427" s="424">
        <f t="shared" si="297"/>
        <v>0</v>
      </c>
      <c r="CZ427" s="424">
        <f t="shared" si="297"/>
        <v>0</v>
      </c>
      <c r="DA427" s="424">
        <f t="shared" si="297"/>
        <v>0</v>
      </c>
      <c r="DB427" s="424">
        <f t="shared" ref="DB427:EG427" si="298">DB57*DB$372</f>
        <v>0</v>
      </c>
      <c r="DC427" s="424">
        <f t="shared" si="298"/>
        <v>0.06</v>
      </c>
      <c r="DD427" s="424">
        <f t="shared" si="298"/>
        <v>0</v>
      </c>
      <c r="DE427" s="424">
        <f t="shared" si="298"/>
        <v>0</v>
      </c>
      <c r="DF427" s="424">
        <f t="shared" si="298"/>
        <v>0.35</v>
      </c>
      <c r="DG427" s="424">
        <f t="shared" si="298"/>
        <v>0</v>
      </c>
      <c r="DH427" s="424">
        <f t="shared" si="298"/>
        <v>0</v>
      </c>
      <c r="DI427" s="424">
        <f t="shared" si="298"/>
        <v>0</v>
      </c>
      <c r="DJ427" s="424">
        <f t="shared" si="298"/>
        <v>0</v>
      </c>
      <c r="DK427" s="424">
        <f t="shared" si="298"/>
        <v>0</v>
      </c>
      <c r="DL427" s="424">
        <f t="shared" si="298"/>
        <v>0</v>
      </c>
      <c r="DM427" s="424">
        <f t="shared" si="298"/>
        <v>0</v>
      </c>
      <c r="DN427" s="424">
        <f t="shared" si="298"/>
        <v>0</v>
      </c>
      <c r="DO427" s="424">
        <f t="shared" si="298"/>
        <v>0</v>
      </c>
      <c r="DP427" s="424">
        <f t="shared" si="298"/>
        <v>0</v>
      </c>
      <c r="DQ427" s="424">
        <f t="shared" si="298"/>
        <v>0</v>
      </c>
      <c r="DR427" s="424">
        <f t="shared" si="298"/>
        <v>0</v>
      </c>
      <c r="DS427" s="424">
        <f t="shared" si="298"/>
        <v>0</v>
      </c>
      <c r="DT427" s="424">
        <f t="shared" si="298"/>
        <v>0</v>
      </c>
      <c r="DU427" s="424">
        <f t="shared" si="298"/>
        <v>0</v>
      </c>
      <c r="DV427" s="424">
        <f t="shared" si="298"/>
        <v>0</v>
      </c>
      <c r="DW427" s="424">
        <f t="shared" si="298"/>
        <v>0</v>
      </c>
      <c r="DX427" s="424">
        <f t="shared" si="298"/>
        <v>0</v>
      </c>
      <c r="DY427" s="424">
        <f t="shared" si="298"/>
        <v>0</v>
      </c>
      <c r="DZ427" s="424">
        <f t="shared" si="298"/>
        <v>0</v>
      </c>
      <c r="EA427" s="424">
        <f t="shared" si="298"/>
        <v>0</v>
      </c>
      <c r="EB427" s="424">
        <f t="shared" si="298"/>
        <v>0</v>
      </c>
      <c r="EC427" s="424">
        <f t="shared" si="298"/>
        <v>0</v>
      </c>
      <c r="ED427" s="424">
        <f t="shared" si="298"/>
        <v>0</v>
      </c>
      <c r="EE427" s="424">
        <f t="shared" si="298"/>
        <v>0</v>
      </c>
      <c r="EF427" s="424">
        <f t="shared" si="298"/>
        <v>0</v>
      </c>
      <c r="EG427" s="424">
        <f t="shared" si="298"/>
        <v>0</v>
      </c>
      <c r="EH427" s="424">
        <f t="shared" ref="EH427:EX427" si="299">EH57*EH$372</f>
        <v>0</v>
      </c>
      <c r="EI427" s="424">
        <f t="shared" si="299"/>
        <v>0</v>
      </c>
      <c r="EJ427" s="424">
        <f t="shared" si="299"/>
        <v>0</v>
      </c>
      <c r="EK427" s="424">
        <f t="shared" si="299"/>
        <v>0</v>
      </c>
      <c r="EL427" s="424">
        <f t="shared" si="299"/>
        <v>0</v>
      </c>
      <c r="EM427" s="424">
        <f t="shared" si="299"/>
        <v>0</v>
      </c>
      <c r="EN427" s="424">
        <f t="shared" si="299"/>
        <v>0</v>
      </c>
      <c r="EO427" s="424">
        <f t="shared" si="299"/>
        <v>0</v>
      </c>
      <c r="EP427" s="424">
        <f t="shared" si="299"/>
        <v>0</v>
      </c>
      <c r="EQ427" s="424">
        <f t="shared" si="299"/>
        <v>0</v>
      </c>
      <c r="ER427" s="424">
        <f t="shared" si="299"/>
        <v>0</v>
      </c>
      <c r="ES427" s="424">
        <f t="shared" si="299"/>
        <v>0</v>
      </c>
      <c r="ET427" s="424">
        <f t="shared" si="299"/>
        <v>0</v>
      </c>
      <c r="EU427" s="424">
        <f t="shared" si="299"/>
        <v>0</v>
      </c>
      <c r="EV427" s="424">
        <f t="shared" si="299"/>
        <v>0</v>
      </c>
      <c r="EW427" s="424">
        <f t="shared" si="299"/>
        <v>0</v>
      </c>
      <c r="EX427" s="424">
        <f t="shared" si="299"/>
        <v>0</v>
      </c>
      <c r="EY427" s="425">
        <f t="shared" si="49"/>
        <v>9.7200000000000006</v>
      </c>
      <c r="EZ427" s="616"/>
      <c r="FA427" s="616"/>
      <c r="FB427" s="616"/>
      <c r="FC427" s="616"/>
      <c r="FD427" s="616"/>
      <c r="FE427" s="616"/>
      <c r="FF427" s="616"/>
      <c r="FG427" s="616"/>
      <c r="FH427" s="616"/>
      <c r="FI427" s="616"/>
      <c r="FJ427" s="616"/>
    </row>
    <row r="428" spans="1:166" s="570" customFormat="1" ht="14.7" customHeight="1" x14ac:dyDescent="0.25">
      <c r="A428" s="310">
        <v>54</v>
      </c>
      <c r="B428" s="311" t="str">
        <f t="shared" si="30"/>
        <v>Щи из свежей капусты и картофеля</v>
      </c>
      <c r="C428" s="483">
        <f t="shared" si="38"/>
        <v>10.53</v>
      </c>
      <c r="D428" s="888"/>
      <c r="E428" s="888"/>
      <c r="F428" s="888"/>
      <c r="G428" s="889"/>
      <c r="H428" s="680">
        <f t="shared" si="31"/>
        <v>88</v>
      </c>
      <c r="I428" s="1209">
        <f t="shared" si="32"/>
        <v>-0.01</v>
      </c>
      <c r="J428" s="424">
        <f t="shared" ref="J428:AO428" si="300">J58*J$372</f>
        <v>0</v>
      </c>
      <c r="K428" s="424">
        <f t="shared" si="300"/>
        <v>0</v>
      </c>
      <c r="L428" s="424">
        <f t="shared" si="300"/>
        <v>0</v>
      </c>
      <c r="M428" s="424">
        <f t="shared" si="300"/>
        <v>0</v>
      </c>
      <c r="N428" s="424">
        <f t="shared" si="300"/>
        <v>0</v>
      </c>
      <c r="O428" s="424">
        <f t="shared" si="300"/>
        <v>0</v>
      </c>
      <c r="P428" s="424">
        <f t="shared" si="300"/>
        <v>0</v>
      </c>
      <c r="Q428" s="424">
        <f t="shared" si="300"/>
        <v>0</v>
      </c>
      <c r="R428" s="424">
        <f t="shared" si="300"/>
        <v>0</v>
      </c>
      <c r="S428" s="424">
        <f t="shared" si="300"/>
        <v>0</v>
      </c>
      <c r="T428" s="424">
        <f t="shared" si="300"/>
        <v>0</v>
      </c>
      <c r="U428" s="424">
        <f t="shared" si="300"/>
        <v>0</v>
      </c>
      <c r="V428" s="424">
        <f t="shared" si="300"/>
        <v>0</v>
      </c>
      <c r="W428" s="424">
        <f t="shared" si="300"/>
        <v>0</v>
      </c>
      <c r="X428" s="424">
        <f t="shared" si="300"/>
        <v>0</v>
      </c>
      <c r="Y428" s="424">
        <f t="shared" si="300"/>
        <v>1.17</v>
      </c>
      <c r="Z428" s="424">
        <f t="shared" si="300"/>
        <v>0</v>
      </c>
      <c r="AA428" s="424">
        <f t="shared" si="300"/>
        <v>0</v>
      </c>
      <c r="AB428" s="424">
        <f t="shared" si="300"/>
        <v>0</v>
      </c>
      <c r="AC428" s="424">
        <f t="shared" si="300"/>
        <v>0</v>
      </c>
      <c r="AD428" s="424">
        <f t="shared" si="300"/>
        <v>0</v>
      </c>
      <c r="AE428" s="424">
        <f t="shared" si="300"/>
        <v>0</v>
      </c>
      <c r="AF428" s="424">
        <f t="shared" si="300"/>
        <v>3.31</v>
      </c>
      <c r="AG428" s="424">
        <f t="shared" si="300"/>
        <v>0</v>
      </c>
      <c r="AH428" s="424">
        <f t="shared" si="300"/>
        <v>2</v>
      </c>
      <c r="AI428" s="424">
        <f t="shared" si="300"/>
        <v>0</v>
      </c>
      <c r="AJ428" s="424">
        <f t="shared" si="300"/>
        <v>0</v>
      </c>
      <c r="AK428" s="424">
        <f t="shared" si="300"/>
        <v>0.6</v>
      </c>
      <c r="AL428" s="424">
        <f t="shared" si="300"/>
        <v>0</v>
      </c>
      <c r="AM428" s="424">
        <f t="shared" si="300"/>
        <v>0</v>
      </c>
      <c r="AN428" s="424">
        <f t="shared" si="300"/>
        <v>0</v>
      </c>
      <c r="AO428" s="424">
        <f t="shared" si="300"/>
        <v>0</v>
      </c>
      <c r="AP428" s="424">
        <f t="shared" ref="AP428:BU428" si="301">AP58*AP$372</f>
        <v>0</v>
      </c>
      <c r="AQ428" s="424">
        <f t="shared" si="301"/>
        <v>0.63</v>
      </c>
      <c r="AR428" s="424">
        <f t="shared" si="301"/>
        <v>0</v>
      </c>
      <c r="AS428" s="424">
        <f t="shared" si="301"/>
        <v>0</v>
      </c>
      <c r="AT428" s="424">
        <f t="shared" si="301"/>
        <v>0.98</v>
      </c>
      <c r="AU428" s="424">
        <f t="shared" si="301"/>
        <v>0.6</v>
      </c>
      <c r="AV428" s="424">
        <f t="shared" si="301"/>
        <v>0</v>
      </c>
      <c r="AW428" s="424">
        <f t="shared" si="301"/>
        <v>0</v>
      </c>
      <c r="AX428" s="424">
        <f t="shared" si="301"/>
        <v>0</v>
      </c>
      <c r="AY428" s="424">
        <f t="shared" si="301"/>
        <v>0</v>
      </c>
      <c r="AZ428" s="424">
        <f t="shared" si="301"/>
        <v>0</v>
      </c>
      <c r="BA428" s="424">
        <f t="shared" si="301"/>
        <v>0</v>
      </c>
      <c r="BB428" s="424">
        <f t="shared" si="301"/>
        <v>0</v>
      </c>
      <c r="BC428" s="424">
        <f t="shared" si="301"/>
        <v>0</v>
      </c>
      <c r="BD428" s="424">
        <f t="shared" si="301"/>
        <v>0</v>
      </c>
      <c r="BE428" s="424">
        <f t="shared" si="301"/>
        <v>0</v>
      </c>
      <c r="BF428" s="424">
        <f t="shared" si="301"/>
        <v>0</v>
      </c>
      <c r="BG428" s="424">
        <f t="shared" si="301"/>
        <v>0</v>
      </c>
      <c r="BH428" s="424">
        <f t="shared" si="301"/>
        <v>0</v>
      </c>
      <c r="BI428" s="424">
        <f t="shared" si="301"/>
        <v>0</v>
      </c>
      <c r="BJ428" s="424">
        <f t="shared" si="301"/>
        <v>0</v>
      </c>
      <c r="BK428" s="424">
        <f t="shared" si="301"/>
        <v>0</v>
      </c>
      <c r="BL428" s="424">
        <f t="shared" si="301"/>
        <v>0</v>
      </c>
      <c r="BM428" s="424">
        <f t="shared" si="301"/>
        <v>0</v>
      </c>
      <c r="BN428" s="424">
        <f t="shared" si="301"/>
        <v>0</v>
      </c>
      <c r="BO428" s="424">
        <f t="shared" si="301"/>
        <v>0</v>
      </c>
      <c r="BP428" s="424">
        <f t="shared" si="301"/>
        <v>0</v>
      </c>
      <c r="BQ428" s="424">
        <f t="shared" si="301"/>
        <v>0</v>
      </c>
      <c r="BR428" s="424">
        <f t="shared" si="301"/>
        <v>0</v>
      </c>
      <c r="BS428" s="424">
        <f t="shared" si="301"/>
        <v>0</v>
      </c>
      <c r="BT428" s="424">
        <f t="shared" si="301"/>
        <v>0</v>
      </c>
      <c r="BU428" s="424">
        <f t="shared" si="301"/>
        <v>0</v>
      </c>
      <c r="BV428" s="424">
        <f t="shared" ref="BV428:DA428" si="302">BV58*BV$372</f>
        <v>0</v>
      </c>
      <c r="BW428" s="424">
        <f t="shared" si="302"/>
        <v>0</v>
      </c>
      <c r="BX428" s="424">
        <f t="shared" si="302"/>
        <v>0</v>
      </c>
      <c r="BY428" s="424">
        <f t="shared" si="302"/>
        <v>0</v>
      </c>
      <c r="BZ428" s="424">
        <f t="shared" si="302"/>
        <v>0</v>
      </c>
      <c r="CA428" s="424">
        <f t="shared" si="302"/>
        <v>0</v>
      </c>
      <c r="CB428" s="424">
        <f t="shared" si="302"/>
        <v>0</v>
      </c>
      <c r="CC428" s="424">
        <f t="shared" si="302"/>
        <v>0</v>
      </c>
      <c r="CD428" s="424">
        <f t="shared" si="302"/>
        <v>0</v>
      </c>
      <c r="CE428" s="424">
        <f t="shared" si="302"/>
        <v>0</v>
      </c>
      <c r="CF428" s="424">
        <f t="shared" si="302"/>
        <v>0.6</v>
      </c>
      <c r="CG428" s="424">
        <f t="shared" si="302"/>
        <v>0</v>
      </c>
      <c r="CH428" s="424">
        <f t="shared" si="302"/>
        <v>0</v>
      </c>
      <c r="CI428" s="424">
        <f t="shared" si="302"/>
        <v>0</v>
      </c>
      <c r="CJ428" s="424">
        <f t="shared" si="302"/>
        <v>0</v>
      </c>
      <c r="CK428" s="424">
        <f t="shared" si="302"/>
        <v>0</v>
      </c>
      <c r="CL428" s="424">
        <f t="shared" si="302"/>
        <v>0</v>
      </c>
      <c r="CM428" s="424">
        <f t="shared" si="302"/>
        <v>0</v>
      </c>
      <c r="CN428" s="424">
        <f t="shared" si="302"/>
        <v>0</v>
      </c>
      <c r="CO428" s="424">
        <f t="shared" si="302"/>
        <v>0</v>
      </c>
      <c r="CP428" s="424">
        <f t="shared" si="302"/>
        <v>0</v>
      </c>
      <c r="CQ428" s="424">
        <f t="shared" si="302"/>
        <v>0</v>
      </c>
      <c r="CR428" s="424">
        <f t="shared" si="302"/>
        <v>0</v>
      </c>
      <c r="CS428" s="424">
        <f t="shared" si="302"/>
        <v>0</v>
      </c>
      <c r="CT428" s="424">
        <f t="shared" si="302"/>
        <v>0</v>
      </c>
      <c r="CU428" s="424">
        <f t="shared" si="302"/>
        <v>0</v>
      </c>
      <c r="CV428" s="424">
        <f t="shared" si="302"/>
        <v>0</v>
      </c>
      <c r="CW428" s="424">
        <f t="shared" si="302"/>
        <v>0</v>
      </c>
      <c r="CX428" s="424">
        <f t="shared" si="302"/>
        <v>0</v>
      </c>
      <c r="CY428" s="424">
        <f t="shared" si="302"/>
        <v>0</v>
      </c>
      <c r="CZ428" s="424">
        <f t="shared" si="302"/>
        <v>0</v>
      </c>
      <c r="DA428" s="424">
        <f t="shared" si="302"/>
        <v>0</v>
      </c>
      <c r="DB428" s="424">
        <f t="shared" ref="DB428:EG428" si="303">DB58*DB$372</f>
        <v>0</v>
      </c>
      <c r="DC428" s="424">
        <f t="shared" si="303"/>
        <v>0.06</v>
      </c>
      <c r="DD428" s="424">
        <f t="shared" si="303"/>
        <v>0</v>
      </c>
      <c r="DE428" s="424">
        <f t="shared" si="303"/>
        <v>0</v>
      </c>
      <c r="DF428" s="424">
        <f t="shared" si="303"/>
        <v>0.57999999999999996</v>
      </c>
      <c r="DG428" s="424">
        <f t="shared" si="303"/>
        <v>0</v>
      </c>
      <c r="DH428" s="424">
        <f t="shared" si="303"/>
        <v>0</v>
      </c>
      <c r="DI428" s="424">
        <f t="shared" si="303"/>
        <v>0</v>
      </c>
      <c r="DJ428" s="424">
        <f t="shared" si="303"/>
        <v>0</v>
      </c>
      <c r="DK428" s="424">
        <f t="shared" si="303"/>
        <v>0</v>
      </c>
      <c r="DL428" s="424">
        <f t="shared" si="303"/>
        <v>0</v>
      </c>
      <c r="DM428" s="424">
        <f t="shared" si="303"/>
        <v>0</v>
      </c>
      <c r="DN428" s="424">
        <f t="shared" si="303"/>
        <v>0</v>
      </c>
      <c r="DO428" s="424">
        <f t="shared" si="303"/>
        <v>0</v>
      </c>
      <c r="DP428" s="424">
        <f t="shared" si="303"/>
        <v>0</v>
      </c>
      <c r="DQ428" s="424">
        <f t="shared" si="303"/>
        <v>0</v>
      </c>
      <c r="DR428" s="424">
        <f t="shared" si="303"/>
        <v>0</v>
      </c>
      <c r="DS428" s="424">
        <f t="shared" si="303"/>
        <v>0</v>
      </c>
      <c r="DT428" s="424">
        <f t="shared" si="303"/>
        <v>0</v>
      </c>
      <c r="DU428" s="424">
        <f t="shared" si="303"/>
        <v>0</v>
      </c>
      <c r="DV428" s="424">
        <f t="shared" si="303"/>
        <v>0</v>
      </c>
      <c r="DW428" s="424">
        <f t="shared" si="303"/>
        <v>0</v>
      </c>
      <c r="DX428" s="424">
        <f t="shared" si="303"/>
        <v>0</v>
      </c>
      <c r="DY428" s="424">
        <f t="shared" si="303"/>
        <v>0</v>
      </c>
      <c r="DZ428" s="424">
        <f t="shared" si="303"/>
        <v>0</v>
      </c>
      <c r="EA428" s="424">
        <f t="shared" si="303"/>
        <v>0</v>
      </c>
      <c r="EB428" s="424">
        <f t="shared" si="303"/>
        <v>0</v>
      </c>
      <c r="EC428" s="424">
        <f t="shared" si="303"/>
        <v>0</v>
      </c>
      <c r="ED428" s="424">
        <f t="shared" si="303"/>
        <v>0</v>
      </c>
      <c r="EE428" s="424">
        <f t="shared" si="303"/>
        <v>0</v>
      </c>
      <c r="EF428" s="424">
        <f t="shared" si="303"/>
        <v>0</v>
      </c>
      <c r="EG428" s="424">
        <f t="shared" si="303"/>
        <v>0</v>
      </c>
      <c r="EH428" s="424">
        <f t="shared" ref="EH428:EX428" si="304">EH58*EH$372</f>
        <v>0</v>
      </c>
      <c r="EI428" s="424">
        <f t="shared" si="304"/>
        <v>0</v>
      </c>
      <c r="EJ428" s="424">
        <f t="shared" si="304"/>
        <v>0</v>
      </c>
      <c r="EK428" s="424">
        <f t="shared" si="304"/>
        <v>0</v>
      </c>
      <c r="EL428" s="424">
        <f t="shared" si="304"/>
        <v>0</v>
      </c>
      <c r="EM428" s="424">
        <f t="shared" si="304"/>
        <v>0</v>
      </c>
      <c r="EN428" s="424">
        <f t="shared" si="304"/>
        <v>0</v>
      </c>
      <c r="EO428" s="424">
        <f t="shared" si="304"/>
        <v>0</v>
      </c>
      <c r="EP428" s="424">
        <f t="shared" si="304"/>
        <v>0</v>
      </c>
      <c r="EQ428" s="424">
        <f t="shared" si="304"/>
        <v>0</v>
      </c>
      <c r="ER428" s="424">
        <f t="shared" si="304"/>
        <v>0</v>
      </c>
      <c r="ES428" s="424">
        <f t="shared" si="304"/>
        <v>0</v>
      </c>
      <c r="ET428" s="424">
        <f t="shared" si="304"/>
        <v>0</v>
      </c>
      <c r="EU428" s="424">
        <f t="shared" si="304"/>
        <v>0</v>
      </c>
      <c r="EV428" s="424">
        <f t="shared" si="304"/>
        <v>0</v>
      </c>
      <c r="EW428" s="424">
        <f t="shared" si="304"/>
        <v>0</v>
      </c>
      <c r="EX428" s="424">
        <f t="shared" si="304"/>
        <v>0</v>
      </c>
      <c r="EY428" s="425">
        <f t="shared" si="49"/>
        <v>10.53</v>
      </c>
      <c r="EZ428" s="616"/>
      <c r="FA428" s="616"/>
      <c r="FB428" s="616"/>
      <c r="FC428" s="616"/>
      <c r="FD428" s="616"/>
      <c r="FE428" s="616"/>
      <c r="FF428" s="616"/>
      <c r="FG428" s="616"/>
      <c r="FH428" s="616"/>
      <c r="FI428" s="616"/>
      <c r="FJ428" s="616"/>
    </row>
    <row r="429" spans="1:166" s="570" customFormat="1" ht="14.7" customHeight="1" x14ac:dyDescent="0.25">
      <c r="A429" s="310">
        <v>55</v>
      </c>
      <c r="B429" s="311" t="str">
        <f t="shared" si="30"/>
        <v>Щи зелёные</v>
      </c>
      <c r="C429" s="483">
        <f t="shared" si="38"/>
        <v>31.53</v>
      </c>
      <c r="D429" s="888"/>
      <c r="E429" s="888"/>
      <c r="F429" s="888"/>
      <c r="G429" s="889"/>
      <c r="H429" s="680">
        <f t="shared" si="31"/>
        <v>89</v>
      </c>
      <c r="I429" s="1209">
        <f t="shared" si="32"/>
        <v>0</v>
      </c>
      <c r="J429" s="424">
        <f t="shared" ref="J429:AO429" si="305">J59*J$372</f>
        <v>0</v>
      </c>
      <c r="K429" s="424">
        <f t="shared" si="305"/>
        <v>0</v>
      </c>
      <c r="L429" s="424">
        <f t="shared" si="305"/>
        <v>0</v>
      </c>
      <c r="M429" s="424">
        <f t="shared" si="305"/>
        <v>0</v>
      </c>
      <c r="N429" s="424">
        <f t="shared" si="305"/>
        <v>0</v>
      </c>
      <c r="O429" s="424">
        <f t="shared" si="305"/>
        <v>0</v>
      </c>
      <c r="P429" s="424">
        <f t="shared" si="305"/>
        <v>0</v>
      </c>
      <c r="Q429" s="424">
        <f t="shared" si="305"/>
        <v>0</v>
      </c>
      <c r="R429" s="424">
        <f t="shared" si="305"/>
        <v>0</v>
      </c>
      <c r="S429" s="424">
        <f t="shared" si="305"/>
        <v>0</v>
      </c>
      <c r="T429" s="424">
        <f t="shared" si="305"/>
        <v>0</v>
      </c>
      <c r="U429" s="424">
        <f t="shared" si="305"/>
        <v>0</v>
      </c>
      <c r="V429" s="424">
        <f t="shared" si="305"/>
        <v>0</v>
      </c>
      <c r="W429" s="424">
        <f t="shared" si="305"/>
        <v>0</v>
      </c>
      <c r="X429" s="424">
        <f t="shared" si="305"/>
        <v>0</v>
      </c>
      <c r="Y429" s="424">
        <f t="shared" si="305"/>
        <v>1.17</v>
      </c>
      <c r="Z429" s="424">
        <f t="shared" si="305"/>
        <v>0</v>
      </c>
      <c r="AA429" s="424">
        <f t="shared" si="305"/>
        <v>0</v>
      </c>
      <c r="AB429" s="424">
        <f t="shared" si="305"/>
        <v>0</v>
      </c>
      <c r="AC429" s="424">
        <f t="shared" si="305"/>
        <v>0</v>
      </c>
      <c r="AD429" s="424">
        <f t="shared" si="305"/>
        <v>0</v>
      </c>
      <c r="AE429" s="424">
        <f t="shared" si="305"/>
        <v>0.87</v>
      </c>
      <c r="AF429" s="424">
        <f t="shared" si="305"/>
        <v>0</v>
      </c>
      <c r="AG429" s="424">
        <f t="shared" si="305"/>
        <v>0</v>
      </c>
      <c r="AH429" s="424">
        <f t="shared" si="305"/>
        <v>1.65</v>
      </c>
      <c r="AI429" s="424">
        <f t="shared" si="305"/>
        <v>0</v>
      </c>
      <c r="AJ429" s="424">
        <f t="shared" si="305"/>
        <v>0</v>
      </c>
      <c r="AK429" s="424">
        <f t="shared" si="305"/>
        <v>0.6</v>
      </c>
      <c r="AL429" s="424">
        <f t="shared" si="305"/>
        <v>0</v>
      </c>
      <c r="AM429" s="424">
        <f t="shared" si="305"/>
        <v>0</v>
      </c>
      <c r="AN429" s="424">
        <f t="shared" si="305"/>
        <v>0</v>
      </c>
      <c r="AO429" s="424">
        <f t="shared" si="305"/>
        <v>0</v>
      </c>
      <c r="AP429" s="424">
        <f t="shared" ref="AP429:BU429" si="306">AP59*AP$372</f>
        <v>0</v>
      </c>
      <c r="AQ429" s="424">
        <f t="shared" si="306"/>
        <v>0</v>
      </c>
      <c r="AR429" s="424">
        <f t="shared" si="306"/>
        <v>0</v>
      </c>
      <c r="AS429" s="424">
        <f t="shared" si="306"/>
        <v>0</v>
      </c>
      <c r="AT429" s="424">
        <f t="shared" si="306"/>
        <v>0</v>
      </c>
      <c r="AU429" s="424">
        <f t="shared" si="306"/>
        <v>0.6</v>
      </c>
      <c r="AV429" s="424">
        <f t="shared" si="306"/>
        <v>25.68</v>
      </c>
      <c r="AW429" s="424">
        <f t="shared" si="306"/>
        <v>0</v>
      </c>
      <c r="AX429" s="424">
        <f t="shared" si="306"/>
        <v>0</v>
      </c>
      <c r="AY429" s="424">
        <f t="shared" si="306"/>
        <v>0</v>
      </c>
      <c r="AZ429" s="424">
        <f t="shared" si="306"/>
        <v>0</v>
      </c>
      <c r="BA429" s="424">
        <f t="shared" si="306"/>
        <v>0</v>
      </c>
      <c r="BB429" s="424">
        <f t="shared" si="306"/>
        <v>0</v>
      </c>
      <c r="BC429" s="424">
        <f t="shared" si="306"/>
        <v>0</v>
      </c>
      <c r="BD429" s="424">
        <f t="shared" si="306"/>
        <v>0</v>
      </c>
      <c r="BE429" s="424">
        <f t="shared" si="306"/>
        <v>0</v>
      </c>
      <c r="BF429" s="424">
        <f t="shared" si="306"/>
        <v>0</v>
      </c>
      <c r="BG429" s="424">
        <f t="shared" si="306"/>
        <v>0</v>
      </c>
      <c r="BH429" s="424">
        <f t="shared" si="306"/>
        <v>0</v>
      </c>
      <c r="BI429" s="424">
        <f t="shared" si="306"/>
        <v>0</v>
      </c>
      <c r="BJ429" s="424">
        <f t="shared" si="306"/>
        <v>0</v>
      </c>
      <c r="BK429" s="424">
        <f t="shared" si="306"/>
        <v>0</v>
      </c>
      <c r="BL429" s="424">
        <f t="shared" si="306"/>
        <v>0</v>
      </c>
      <c r="BM429" s="424">
        <f t="shared" si="306"/>
        <v>0</v>
      </c>
      <c r="BN429" s="424">
        <f t="shared" si="306"/>
        <v>0</v>
      </c>
      <c r="BO429" s="424">
        <f t="shared" si="306"/>
        <v>0</v>
      </c>
      <c r="BP429" s="424">
        <f t="shared" si="306"/>
        <v>0</v>
      </c>
      <c r="BQ429" s="424">
        <f t="shared" si="306"/>
        <v>0</v>
      </c>
      <c r="BR429" s="424">
        <f t="shared" si="306"/>
        <v>0</v>
      </c>
      <c r="BS429" s="424">
        <f t="shared" si="306"/>
        <v>0.18</v>
      </c>
      <c r="BT429" s="424">
        <f t="shared" si="306"/>
        <v>0</v>
      </c>
      <c r="BU429" s="424">
        <f t="shared" si="306"/>
        <v>0</v>
      </c>
      <c r="BV429" s="424">
        <f t="shared" ref="BV429:DA429" si="307">BV59*BV$372</f>
        <v>0</v>
      </c>
      <c r="BW429" s="424">
        <f t="shared" si="307"/>
        <v>0</v>
      </c>
      <c r="BX429" s="424">
        <f t="shared" si="307"/>
        <v>0</v>
      </c>
      <c r="BY429" s="424">
        <f t="shared" si="307"/>
        <v>0</v>
      </c>
      <c r="BZ429" s="424">
        <f t="shared" si="307"/>
        <v>0</v>
      </c>
      <c r="CA429" s="424">
        <f t="shared" si="307"/>
        <v>0</v>
      </c>
      <c r="CB429" s="424">
        <f t="shared" si="307"/>
        <v>0</v>
      </c>
      <c r="CC429" s="424">
        <f t="shared" si="307"/>
        <v>0</v>
      </c>
      <c r="CD429" s="424">
        <f t="shared" si="307"/>
        <v>0</v>
      </c>
      <c r="CE429" s="424">
        <f t="shared" si="307"/>
        <v>0</v>
      </c>
      <c r="CF429" s="424">
        <f t="shared" si="307"/>
        <v>0.72</v>
      </c>
      <c r="CG429" s="424">
        <f t="shared" si="307"/>
        <v>0</v>
      </c>
      <c r="CH429" s="424">
        <f t="shared" si="307"/>
        <v>0</v>
      </c>
      <c r="CI429" s="424">
        <f t="shared" si="307"/>
        <v>0</v>
      </c>
      <c r="CJ429" s="424">
        <f t="shared" si="307"/>
        <v>0</v>
      </c>
      <c r="CK429" s="424">
        <f t="shared" si="307"/>
        <v>0</v>
      </c>
      <c r="CL429" s="424">
        <f t="shared" si="307"/>
        <v>0</v>
      </c>
      <c r="CM429" s="424">
        <f t="shared" si="307"/>
        <v>0</v>
      </c>
      <c r="CN429" s="424">
        <f t="shared" si="307"/>
        <v>0</v>
      </c>
      <c r="CO429" s="424">
        <f t="shared" si="307"/>
        <v>0</v>
      </c>
      <c r="CP429" s="424">
        <f t="shared" si="307"/>
        <v>0</v>
      </c>
      <c r="CQ429" s="424">
        <f t="shared" si="307"/>
        <v>0</v>
      </c>
      <c r="CR429" s="424">
        <f t="shared" si="307"/>
        <v>0</v>
      </c>
      <c r="CS429" s="424">
        <f t="shared" si="307"/>
        <v>0</v>
      </c>
      <c r="CT429" s="424">
        <f t="shared" si="307"/>
        <v>0</v>
      </c>
      <c r="CU429" s="424">
        <f t="shared" si="307"/>
        <v>0</v>
      </c>
      <c r="CV429" s="424">
        <f t="shared" si="307"/>
        <v>0</v>
      </c>
      <c r="CW429" s="424">
        <f t="shared" si="307"/>
        <v>0</v>
      </c>
      <c r="CX429" s="424">
        <f t="shared" si="307"/>
        <v>0</v>
      </c>
      <c r="CY429" s="424">
        <f t="shared" si="307"/>
        <v>0</v>
      </c>
      <c r="CZ429" s="424">
        <f t="shared" si="307"/>
        <v>0</v>
      </c>
      <c r="DA429" s="424">
        <f t="shared" si="307"/>
        <v>0</v>
      </c>
      <c r="DB429" s="424">
        <f t="shared" ref="DB429:EG429" si="308">DB59*DB$372</f>
        <v>0</v>
      </c>
      <c r="DC429" s="424">
        <f t="shared" si="308"/>
        <v>0.06</v>
      </c>
      <c r="DD429" s="424">
        <f t="shared" si="308"/>
        <v>0</v>
      </c>
      <c r="DE429" s="424">
        <f t="shared" si="308"/>
        <v>0</v>
      </c>
      <c r="DF429" s="424">
        <f t="shared" si="308"/>
        <v>0</v>
      </c>
      <c r="DG429" s="424">
        <f t="shared" si="308"/>
        <v>0</v>
      </c>
      <c r="DH429" s="424">
        <f t="shared" si="308"/>
        <v>0</v>
      </c>
      <c r="DI429" s="424">
        <f t="shared" si="308"/>
        <v>0</v>
      </c>
      <c r="DJ429" s="424">
        <f t="shared" si="308"/>
        <v>0</v>
      </c>
      <c r="DK429" s="424">
        <f t="shared" si="308"/>
        <v>0</v>
      </c>
      <c r="DL429" s="424">
        <f t="shared" si="308"/>
        <v>0</v>
      </c>
      <c r="DM429" s="424">
        <f t="shared" si="308"/>
        <v>0</v>
      </c>
      <c r="DN429" s="424">
        <f t="shared" si="308"/>
        <v>0</v>
      </c>
      <c r="DO429" s="424">
        <f t="shared" si="308"/>
        <v>0</v>
      </c>
      <c r="DP429" s="424">
        <f t="shared" si="308"/>
        <v>0</v>
      </c>
      <c r="DQ429" s="424">
        <f t="shared" si="308"/>
        <v>0</v>
      </c>
      <c r="DR429" s="424">
        <f t="shared" si="308"/>
        <v>0</v>
      </c>
      <c r="DS429" s="424">
        <f t="shared" si="308"/>
        <v>0</v>
      </c>
      <c r="DT429" s="424">
        <f t="shared" si="308"/>
        <v>0</v>
      </c>
      <c r="DU429" s="424">
        <f t="shared" si="308"/>
        <v>0</v>
      </c>
      <c r="DV429" s="424">
        <f t="shared" si="308"/>
        <v>0</v>
      </c>
      <c r="DW429" s="424">
        <f t="shared" si="308"/>
        <v>0</v>
      </c>
      <c r="DX429" s="424">
        <f t="shared" si="308"/>
        <v>0</v>
      </c>
      <c r="DY429" s="424">
        <f t="shared" si="308"/>
        <v>0</v>
      </c>
      <c r="DZ429" s="424">
        <f t="shared" si="308"/>
        <v>0</v>
      </c>
      <c r="EA429" s="424">
        <f t="shared" si="308"/>
        <v>0</v>
      </c>
      <c r="EB429" s="424">
        <f t="shared" si="308"/>
        <v>0</v>
      </c>
      <c r="EC429" s="424">
        <f t="shared" si="308"/>
        <v>0</v>
      </c>
      <c r="ED429" s="424">
        <f t="shared" si="308"/>
        <v>0</v>
      </c>
      <c r="EE429" s="424">
        <f t="shared" si="308"/>
        <v>0</v>
      </c>
      <c r="EF429" s="424">
        <f t="shared" si="308"/>
        <v>0</v>
      </c>
      <c r="EG429" s="424">
        <f t="shared" si="308"/>
        <v>0</v>
      </c>
      <c r="EH429" s="424">
        <f t="shared" ref="EH429:EX429" si="309">EH59*EH$372</f>
        <v>0</v>
      </c>
      <c r="EI429" s="424">
        <f t="shared" si="309"/>
        <v>0</v>
      </c>
      <c r="EJ429" s="424">
        <f t="shared" si="309"/>
        <v>0</v>
      </c>
      <c r="EK429" s="424">
        <f t="shared" si="309"/>
        <v>0</v>
      </c>
      <c r="EL429" s="424">
        <f t="shared" si="309"/>
        <v>0</v>
      </c>
      <c r="EM429" s="424">
        <f t="shared" si="309"/>
        <v>0</v>
      </c>
      <c r="EN429" s="424">
        <f t="shared" si="309"/>
        <v>0</v>
      </c>
      <c r="EO429" s="424">
        <f t="shared" si="309"/>
        <v>0</v>
      </c>
      <c r="EP429" s="424">
        <f t="shared" si="309"/>
        <v>0</v>
      </c>
      <c r="EQ429" s="424">
        <f t="shared" si="309"/>
        <v>0</v>
      </c>
      <c r="ER429" s="424">
        <f t="shared" si="309"/>
        <v>0</v>
      </c>
      <c r="ES429" s="424">
        <f t="shared" si="309"/>
        <v>0</v>
      </c>
      <c r="ET429" s="424">
        <f t="shared" si="309"/>
        <v>0</v>
      </c>
      <c r="EU429" s="424">
        <f t="shared" si="309"/>
        <v>0</v>
      </c>
      <c r="EV429" s="424">
        <f t="shared" si="309"/>
        <v>0</v>
      </c>
      <c r="EW429" s="424">
        <f t="shared" si="309"/>
        <v>0</v>
      </c>
      <c r="EX429" s="424">
        <f t="shared" si="309"/>
        <v>0</v>
      </c>
      <c r="EY429" s="425">
        <f t="shared" si="49"/>
        <v>31.53</v>
      </c>
      <c r="EZ429" s="616"/>
      <c r="FA429" s="616"/>
      <c r="FB429" s="616"/>
      <c r="FC429" s="616"/>
      <c r="FD429" s="616"/>
      <c r="FE429" s="616"/>
      <c r="FF429" s="616"/>
      <c r="FG429" s="616"/>
      <c r="FH429" s="616"/>
      <c r="FI429" s="616"/>
      <c r="FJ429" s="616"/>
    </row>
    <row r="430" spans="1:166" s="605" customFormat="1" ht="14.7" customHeight="1" x14ac:dyDescent="0.25">
      <c r="A430" s="310">
        <v>56</v>
      </c>
      <c r="B430" s="311" t="str">
        <f t="shared" si="30"/>
        <v>Щи из квашеной капусты с картофелем</v>
      </c>
      <c r="C430" s="483">
        <f t="shared" si="38"/>
        <v>13.91</v>
      </c>
      <c r="D430" s="888"/>
      <c r="E430" s="888"/>
      <c r="F430" s="888"/>
      <c r="G430" s="889"/>
      <c r="H430" s="680">
        <f t="shared" si="31"/>
        <v>92</v>
      </c>
      <c r="I430" s="1209">
        <f t="shared" si="32"/>
        <v>-0.01</v>
      </c>
      <c r="J430" s="424">
        <f t="shared" ref="J430:AO430" si="310">J60*J$372</f>
        <v>0</v>
      </c>
      <c r="K430" s="424">
        <f t="shared" si="310"/>
        <v>0</v>
      </c>
      <c r="L430" s="424">
        <f t="shared" si="310"/>
        <v>0</v>
      </c>
      <c r="M430" s="424">
        <f t="shared" si="310"/>
        <v>0</v>
      </c>
      <c r="N430" s="424">
        <f t="shared" si="310"/>
        <v>0</v>
      </c>
      <c r="O430" s="424">
        <f t="shared" si="310"/>
        <v>0</v>
      </c>
      <c r="P430" s="424">
        <f t="shared" si="310"/>
        <v>0</v>
      </c>
      <c r="Q430" s="424">
        <f t="shared" si="310"/>
        <v>0</v>
      </c>
      <c r="R430" s="424">
        <f t="shared" si="310"/>
        <v>0</v>
      </c>
      <c r="S430" s="424">
        <f t="shared" si="310"/>
        <v>0</v>
      </c>
      <c r="T430" s="424">
        <f t="shared" si="310"/>
        <v>0</v>
      </c>
      <c r="U430" s="424">
        <f t="shared" si="310"/>
        <v>0</v>
      </c>
      <c r="V430" s="424">
        <f t="shared" si="310"/>
        <v>0</v>
      </c>
      <c r="W430" s="424">
        <f t="shared" si="310"/>
        <v>0</v>
      </c>
      <c r="X430" s="424">
        <f t="shared" si="310"/>
        <v>0</v>
      </c>
      <c r="Y430" s="424">
        <f t="shared" si="310"/>
        <v>1.17</v>
      </c>
      <c r="Z430" s="424">
        <f t="shared" si="310"/>
        <v>0</v>
      </c>
      <c r="AA430" s="424">
        <f t="shared" si="310"/>
        <v>0</v>
      </c>
      <c r="AB430" s="424">
        <f t="shared" si="310"/>
        <v>0</v>
      </c>
      <c r="AC430" s="424">
        <f t="shared" si="310"/>
        <v>0</v>
      </c>
      <c r="AD430" s="424">
        <f t="shared" si="310"/>
        <v>0</v>
      </c>
      <c r="AE430" s="424">
        <f t="shared" si="310"/>
        <v>0</v>
      </c>
      <c r="AF430" s="424">
        <f t="shared" si="310"/>
        <v>0</v>
      </c>
      <c r="AG430" s="424">
        <f t="shared" si="310"/>
        <v>0</v>
      </c>
      <c r="AH430" s="424">
        <f t="shared" si="310"/>
        <v>1.66</v>
      </c>
      <c r="AI430" s="424">
        <f t="shared" si="310"/>
        <v>0</v>
      </c>
      <c r="AJ430" s="424">
        <f t="shared" si="310"/>
        <v>0</v>
      </c>
      <c r="AK430" s="424">
        <f t="shared" si="310"/>
        <v>0.6</v>
      </c>
      <c r="AL430" s="424">
        <f t="shared" si="310"/>
        <v>0</v>
      </c>
      <c r="AM430" s="424">
        <f t="shared" si="310"/>
        <v>0</v>
      </c>
      <c r="AN430" s="424">
        <f t="shared" si="310"/>
        <v>0</v>
      </c>
      <c r="AO430" s="424">
        <f t="shared" si="310"/>
        <v>0</v>
      </c>
      <c r="AP430" s="424">
        <f t="shared" ref="AP430:BU430" si="311">AP60*AP$372</f>
        <v>0</v>
      </c>
      <c r="AQ430" s="424">
        <f t="shared" si="311"/>
        <v>0.63</v>
      </c>
      <c r="AR430" s="424">
        <f t="shared" si="311"/>
        <v>0</v>
      </c>
      <c r="AS430" s="424">
        <f t="shared" si="311"/>
        <v>0</v>
      </c>
      <c r="AT430" s="424">
        <f t="shared" si="311"/>
        <v>0</v>
      </c>
      <c r="AU430" s="424">
        <f t="shared" si="311"/>
        <v>0.6</v>
      </c>
      <c r="AV430" s="424">
        <f t="shared" si="311"/>
        <v>0</v>
      </c>
      <c r="AW430" s="424">
        <f t="shared" si="311"/>
        <v>0</v>
      </c>
      <c r="AX430" s="424">
        <f t="shared" si="311"/>
        <v>0</v>
      </c>
      <c r="AY430" s="424">
        <f t="shared" si="311"/>
        <v>0</v>
      </c>
      <c r="AZ430" s="424">
        <f t="shared" si="311"/>
        <v>0</v>
      </c>
      <c r="BA430" s="424">
        <f t="shared" si="311"/>
        <v>0</v>
      </c>
      <c r="BB430" s="424">
        <f t="shared" si="311"/>
        <v>0</v>
      </c>
      <c r="BC430" s="424">
        <f t="shared" si="311"/>
        <v>0</v>
      </c>
      <c r="BD430" s="424">
        <f t="shared" si="311"/>
        <v>0</v>
      </c>
      <c r="BE430" s="424">
        <f t="shared" si="311"/>
        <v>0</v>
      </c>
      <c r="BF430" s="424">
        <f t="shared" si="311"/>
        <v>0</v>
      </c>
      <c r="BG430" s="424">
        <f t="shared" si="311"/>
        <v>0</v>
      </c>
      <c r="BH430" s="424">
        <f t="shared" si="311"/>
        <v>0</v>
      </c>
      <c r="BI430" s="424">
        <f t="shared" si="311"/>
        <v>0</v>
      </c>
      <c r="BJ430" s="424">
        <f t="shared" si="311"/>
        <v>0</v>
      </c>
      <c r="BK430" s="424">
        <f t="shared" si="311"/>
        <v>0</v>
      </c>
      <c r="BL430" s="424">
        <f t="shared" si="311"/>
        <v>0</v>
      </c>
      <c r="BM430" s="424">
        <f t="shared" si="311"/>
        <v>0</v>
      </c>
      <c r="BN430" s="424">
        <f t="shared" si="311"/>
        <v>0</v>
      </c>
      <c r="BO430" s="424">
        <f t="shared" si="311"/>
        <v>0</v>
      </c>
      <c r="BP430" s="424">
        <f t="shared" si="311"/>
        <v>0</v>
      </c>
      <c r="BQ430" s="424">
        <f t="shared" si="311"/>
        <v>0</v>
      </c>
      <c r="BR430" s="424">
        <f t="shared" si="311"/>
        <v>0</v>
      </c>
      <c r="BS430" s="424">
        <f t="shared" si="311"/>
        <v>0</v>
      </c>
      <c r="BT430" s="424">
        <f t="shared" si="311"/>
        <v>0</v>
      </c>
      <c r="BU430" s="424">
        <f t="shared" si="311"/>
        <v>0</v>
      </c>
      <c r="BV430" s="424">
        <f t="shared" ref="BV430:DA430" si="312">BV60*BV$372</f>
        <v>0</v>
      </c>
      <c r="BW430" s="424">
        <f t="shared" si="312"/>
        <v>0</v>
      </c>
      <c r="BX430" s="424">
        <f t="shared" si="312"/>
        <v>0</v>
      </c>
      <c r="BY430" s="424">
        <f t="shared" si="312"/>
        <v>0</v>
      </c>
      <c r="BZ430" s="424">
        <f t="shared" si="312"/>
        <v>0</v>
      </c>
      <c r="CA430" s="424">
        <f t="shared" si="312"/>
        <v>0</v>
      </c>
      <c r="CB430" s="424">
        <f t="shared" si="312"/>
        <v>0</v>
      </c>
      <c r="CC430" s="424">
        <f t="shared" si="312"/>
        <v>0</v>
      </c>
      <c r="CD430" s="424">
        <f t="shared" si="312"/>
        <v>0</v>
      </c>
      <c r="CE430" s="424">
        <f t="shared" si="312"/>
        <v>0</v>
      </c>
      <c r="CF430" s="424">
        <f t="shared" si="312"/>
        <v>0.6</v>
      </c>
      <c r="CG430" s="424">
        <f t="shared" si="312"/>
        <v>0</v>
      </c>
      <c r="CH430" s="424">
        <f t="shared" si="312"/>
        <v>0</v>
      </c>
      <c r="CI430" s="424">
        <f t="shared" si="312"/>
        <v>0</v>
      </c>
      <c r="CJ430" s="424">
        <f t="shared" si="312"/>
        <v>0</v>
      </c>
      <c r="CK430" s="424">
        <f t="shared" si="312"/>
        <v>0</v>
      </c>
      <c r="CL430" s="424">
        <f t="shared" si="312"/>
        <v>0</v>
      </c>
      <c r="CM430" s="424">
        <f t="shared" si="312"/>
        <v>0</v>
      </c>
      <c r="CN430" s="424">
        <f t="shared" si="312"/>
        <v>0</v>
      </c>
      <c r="CO430" s="424">
        <f t="shared" si="312"/>
        <v>0</v>
      </c>
      <c r="CP430" s="424">
        <f t="shared" si="312"/>
        <v>0</v>
      </c>
      <c r="CQ430" s="424">
        <f t="shared" si="312"/>
        <v>0</v>
      </c>
      <c r="CR430" s="424">
        <f t="shared" si="312"/>
        <v>0</v>
      </c>
      <c r="CS430" s="424">
        <f t="shared" si="312"/>
        <v>0</v>
      </c>
      <c r="CT430" s="424">
        <f t="shared" si="312"/>
        <v>0</v>
      </c>
      <c r="CU430" s="424">
        <f t="shared" si="312"/>
        <v>0</v>
      </c>
      <c r="CV430" s="424">
        <f t="shared" si="312"/>
        <v>8.01</v>
      </c>
      <c r="CW430" s="424">
        <f t="shared" si="312"/>
        <v>0</v>
      </c>
      <c r="CX430" s="424">
        <f t="shared" si="312"/>
        <v>0</v>
      </c>
      <c r="CY430" s="424">
        <f t="shared" si="312"/>
        <v>0</v>
      </c>
      <c r="CZ430" s="424">
        <f t="shared" si="312"/>
        <v>0</v>
      </c>
      <c r="DA430" s="424">
        <f t="shared" si="312"/>
        <v>0</v>
      </c>
      <c r="DB430" s="424">
        <f t="shared" ref="DB430:EG430" si="313">DB60*DB$372</f>
        <v>0</v>
      </c>
      <c r="DC430" s="424">
        <f t="shared" si="313"/>
        <v>0.06</v>
      </c>
      <c r="DD430" s="424">
        <f t="shared" si="313"/>
        <v>0</v>
      </c>
      <c r="DE430" s="424">
        <f t="shared" si="313"/>
        <v>0</v>
      </c>
      <c r="DF430" s="424">
        <f t="shared" si="313"/>
        <v>0.57999999999999996</v>
      </c>
      <c r="DG430" s="424">
        <f t="shared" si="313"/>
        <v>0</v>
      </c>
      <c r="DH430" s="424">
        <f t="shared" si="313"/>
        <v>0</v>
      </c>
      <c r="DI430" s="424">
        <f t="shared" si="313"/>
        <v>0</v>
      </c>
      <c r="DJ430" s="424">
        <f t="shared" si="313"/>
        <v>0</v>
      </c>
      <c r="DK430" s="424">
        <f t="shared" si="313"/>
        <v>0</v>
      </c>
      <c r="DL430" s="424">
        <f t="shared" si="313"/>
        <v>0</v>
      </c>
      <c r="DM430" s="424">
        <f t="shared" si="313"/>
        <v>0</v>
      </c>
      <c r="DN430" s="424">
        <f t="shared" si="313"/>
        <v>0</v>
      </c>
      <c r="DO430" s="424">
        <f t="shared" si="313"/>
        <v>0</v>
      </c>
      <c r="DP430" s="424">
        <f t="shared" si="313"/>
        <v>0</v>
      </c>
      <c r="DQ430" s="424">
        <f t="shared" si="313"/>
        <v>0</v>
      </c>
      <c r="DR430" s="424">
        <f t="shared" si="313"/>
        <v>0</v>
      </c>
      <c r="DS430" s="424">
        <f t="shared" si="313"/>
        <v>0</v>
      </c>
      <c r="DT430" s="424">
        <f t="shared" si="313"/>
        <v>0</v>
      </c>
      <c r="DU430" s="424">
        <f t="shared" si="313"/>
        <v>0</v>
      </c>
      <c r="DV430" s="424">
        <f t="shared" si="313"/>
        <v>0</v>
      </c>
      <c r="DW430" s="424">
        <f t="shared" si="313"/>
        <v>0</v>
      </c>
      <c r="DX430" s="424">
        <f t="shared" si="313"/>
        <v>0</v>
      </c>
      <c r="DY430" s="424">
        <f t="shared" si="313"/>
        <v>0</v>
      </c>
      <c r="DZ430" s="424">
        <f t="shared" si="313"/>
        <v>0</v>
      </c>
      <c r="EA430" s="424">
        <f t="shared" si="313"/>
        <v>0</v>
      </c>
      <c r="EB430" s="424">
        <f t="shared" si="313"/>
        <v>0</v>
      </c>
      <c r="EC430" s="424">
        <f t="shared" si="313"/>
        <v>0</v>
      </c>
      <c r="ED430" s="424">
        <f t="shared" si="313"/>
        <v>0</v>
      </c>
      <c r="EE430" s="424">
        <f t="shared" si="313"/>
        <v>0</v>
      </c>
      <c r="EF430" s="424">
        <f t="shared" si="313"/>
        <v>0</v>
      </c>
      <c r="EG430" s="424">
        <f t="shared" si="313"/>
        <v>0</v>
      </c>
      <c r="EH430" s="424">
        <f t="shared" ref="EH430:EX430" si="314">EH60*EH$372</f>
        <v>0</v>
      </c>
      <c r="EI430" s="424">
        <f t="shared" si="314"/>
        <v>0</v>
      </c>
      <c r="EJ430" s="424">
        <f t="shared" si="314"/>
        <v>0</v>
      </c>
      <c r="EK430" s="424">
        <f t="shared" si="314"/>
        <v>0</v>
      </c>
      <c r="EL430" s="424">
        <f t="shared" si="314"/>
        <v>0</v>
      </c>
      <c r="EM430" s="424">
        <f t="shared" si="314"/>
        <v>0</v>
      </c>
      <c r="EN430" s="424">
        <f t="shared" si="314"/>
        <v>0</v>
      </c>
      <c r="EO430" s="424">
        <f t="shared" si="314"/>
        <v>0</v>
      </c>
      <c r="EP430" s="424">
        <f t="shared" si="314"/>
        <v>0</v>
      </c>
      <c r="EQ430" s="424">
        <f t="shared" si="314"/>
        <v>0</v>
      </c>
      <c r="ER430" s="424">
        <f t="shared" si="314"/>
        <v>0</v>
      </c>
      <c r="ES430" s="424">
        <f t="shared" si="314"/>
        <v>0</v>
      </c>
      <c r="ET430" s="424">
        <f t="shared" si="314"/>
        <v>0</v>
      </c>
      <c r="EU430" s="424">
        <f t="shared" si="314"/>
        <v>0</v>
      </c>
      <c r="EV430" s="424">
        <f t="shared" si="314"/>
        <v>0</v>
      </c>
      <c r="EW430" s="424">
        <f t="shared" si="314"/>
        <v>0</v>
      </c>
      <c r="EX430" s="424">
        <f t="shared" si="314"/>
        <v>0</v>
      </c>
      <c r="EY430" s="425">
        <f t="shared" si="49"/>
        <v>13.91</v>
      </c>
      <c r="EZ430" s="616"/>
      <c r="FA430" s="616"/>
      <c r="FB430" s="616"/>
      <c r="FC430" s="616"/>
      <c r="FD430" s="616"/>
      <c r="FE430" s="616"/>
      <c r="FF430" s="616"/>
      <c r="FG430" s="616"/>
      <c r="FH430" s="616"/>
      <c r="FI430" s="616"/>
      <c r="FJ430" s="616"/>
    </row>
    <row r="431" spans="1:166" s="699" customFormat="1" ht="14.7" customHeight="1" x14ac:dyDescent="0.25">
      <c r="A431" s="310">
        <v>57</v>
      </c>
      <c r="B431" s="311" t="str">
        <f t="shared" si="30"/>
        <v>Рассольник</v>
      </c>
      <c r="C431" s="483">
        <f t="shared" si="38"/>
        <v>9.3800000000000008</v>
      </c>
      <c r="D431" s="888"/>
      <c r="E431" s="888"/>
      <c r="F431" s="888"/>
      <c r="G431" s="889"/>
      <c r="H431" s="680">
        <f t="shared" si="31"/>
        <v>94</v>
      </c>
      <c r="I431" s="1209">
        <f t="shared" si="32"/>
        <v>0</v>
      </c>
      <c r="J431" s="424">
        <f t="shared" ref="J431:AO431" si="315">J61*J$372</f>
        <v>0</v>
      </c>
      <c r="K431" s="424">
        <f t="shared" si="315"/>
        <v>0</v>
      </c>
      <c r="L431" s="424">
        <f t="shared" si="315"/>
        <v>0</v>
      </c>
      <c r="M431" s="424">
        <f t="shared" si="315"/>
        <v>0</v>
      </c>
      <c r="N431" s="424">
        <f t="shared" si="315"/>
        <v>0</v>
      </c>
      <c r="O431" s="424">
        <f t="shared" si="315"/>
        <v>0</v>
      </c>
      <c r="P431" s="424">
        <f t="shared" si="315"/>
        <v>0</v>
      </c>
      <c r="Q431" s="424">
        <f t="shared" si="315"/>
        <v>0</v>
      </c>
      <c r="R431" s="424">
        <f t="shared" si="315"/>
        <v>0</v>
      </c>
      <c r="S431" s="424">
        <f t="shared" si="315"/>
        <v>0</v>
      </c>
      <c r="T431" s="424">
        <f t="shared" si="315"/>
        <v>0</v>
      </c>
      <c r="U431" s="424">
        <f t="shared" si="315"/>
        <v>0</v>
      </c>
      <c r="V431" s="424">
        <f t="shared" si="315"/>
        <v>0</v>
      </c>
      <c r="W431" s="424">
        <f t="shared" si="315"/>
        <v>0</v>
      </c>
      <c r="X431" s="424">
        <f t="shared" si="315"/>
        <v>0</v>
      </c>
      <c r="Y431" s="424">
        <f t="shared" si="315"/>
        <v>1.17</v>
      </c>
      <c r="Z431" s="424">
        <f t="shared" si="315"/>
        <v>0</v>
      </c>
      <c r="AA431" s="424">
        <f t="shared" si="315"/>
        <v>0</v>
      </c>
      <c r="AB431" s="424">
        <f t="shared" si="315"/>
        <v>0</v>
      </c>
      <c r="AC431" s="424">
        <f t="shared" si="315"/>
        <v>0</v>
      </c>
      <c r="AD431" s="424">
        <f t="shared" si="315"/>
        <v>0</v>
      </c>
      <c r="AE431" s="424">
        <f t="shared" si="315"/>
        <v>0</v>
      </c>
      <c r="AF431" s="424">
        <f t="shared" si="315"/>
        <v>0</v>
      </c>
      <c r="AG431" s="424">
        <f t="shared" si="315"/>
        <v>0</v>
      </c>
      <c r="AH431" s="424">
        <f t="shared" si="315"/>
        <v>5</v>
      </c>
      <c r="AI431" s="424">
        <f t="shared" si="315"/>
        <v>0</v>
      </c>
      <c r="AJ431" s="424">
        <f t="shared" si="315"/>
        <v>0</v>
      </c>
      <c r="AK431" s="424">
        <f t="shared" si="315"/>
        <v>0.6</v>
      </c>
      <c r="AL431" s="424">
        <f t="shared" si="315"/>
        <v>0</v>
      </c>
      <c r="AM431" s="424">
        <f t="shared" si="315"/>
        <v>0</v>
      </c>
      <c r="AN431" s="424">
        <f t="shared" si="315"/>
        <v>0</v>
      </c>
      <c r="AO431" s="424">
        <f t="shared" si="315"/>
        <v>0</v>
      </c>
      <c r="AP431" s="424">
        <f t="shared" ref="AP431:BU431" si="316">AP61*AP$372</f>
        <v>0</v>
      </c>
      <c r="AQ431" s="424">
        <f t="shared" si="316"/>
        <v>0</v>
      </c>
      <c r="AR431" s="424">
        <f t="shared" si="316"/>
        <v>0</v>
      </c>
      <c r="AS431" s="424">
        <f t="shared" si="316"/>
        <v>0</v>
      </c>
      <c r="AT431" s="424">
        <f t="shared" si="316"/>
        <v>0</v>
      </c>
      <c r="AU431" s="424">
        <f t="shared" si="316"/>
        <v>0</v>
      </c>
      <c r="AV431" s="424">
        <f t="shared" si="316"/>
        <v>0</v>
      </c>
      <c r="AW431" s="424">
        <f t="shared" si="316"/>
        <v>0</v>
      </c>
      <c r="AX431" s="424">
        <f t="shared" si="316"/>
        <v>0</v>
      </c>
      <c r="AY431" s="424">
        <f t="shared" si="316"/>
        <v>0</v>
      </c>
      <c r="AZ431" s="424">
        <f t="shared" si="316"/>
        <v>0</v>
      </c>
      <c r="BA431" s="424">
        <f t="shared" si="316"/>
        <v>0</v>
      </c>
      <c r="BB431" s="424">
        <f t="shared" si="316"/>
        <v>0</v>
      </c>
      <c r="BC431" s="424">
        <f t="shared" si="316"/>
        <v>0</v>
      </c>
      <c r="BD431" s="424">
        <f t="shared" si="316"/>
        <v>0</v>
      </c>
      <c r="BE431" s="424">
        <f t="shared" si="316"/>
        <v>0</v>
      </c>
      <c r="BF431" s="424">
        <f t="shared" si="316"/>
        <v>0</v>
      </c>
      <c r="BG431" s="424">
        <f t="shared" si="316"/>
        <v>0</v>
      </c>
      <c r="BH431" s="424">
        <f t="shared" si="316"/>
        <v>0</v>
      </c>
      <c r="BI431" s="424">
        <f t="shared" si="316"/>
        <v>0</v>
      </c>
      <c r="BJ431" s="424">
        <f t="shared" si="316"/>
        <v>0</v>
      </c>
      <c r="BK431" s="424">
        <f t="shared" si="316"/>
        <v>0</v>
      </c>
      <c r="BL431" s="424">
        <f t="shared" si="316"/>
        <v>0</v>
      </c>
      <c r="BM431" s="424">
        <f t="shared" si="316"/>
        <v>0</v>
      </c>
      <c r="BN431" s="424">
        <f t="shared" si="316"/>
        <v>0</v>
      </c>
      <c r="BO431" s="424">
        <f t="shared" si="316"/>
        <v>0</v>
      </c>
      <c r="BP431" s="424">
        <f t="shared" si="316"/>
        <v>0</v>
      </c>
      <c r="BQ431" s="424">
        <f t="shared" si="316"/>
        <v>0</v>
      </c>
      <c r="BR431" s="424">
        <f t="shared" si="316"/>
        <v>0</v>
      </c>
      <c r="BS431" s="424">
        <f t="shared" si="316"/>
        <v>0</v>
      </c>
      <c r="BT431" s="424">
        <f t="shared" si="316"/>
        <v>0</v>
      </c>
      <c r="BU431" s="424">
        <f t="shared" si="316"/>
        <v>0</v>
      </c>
      <c r="BV431" s="424">
        <f t="shared" ref="BV431:DA431" si="317">BV61*BV$372</f>
        <v>0</v>
      </c>
      <c r="BW431" s="424">
        <f t="shared" si="317"/>
        <v>0</v>
      </c>
      <c r="BX431" s="424">
        <f t="shared" si="317"/>
        <v>0</v>
      </c>
      <c r="BY431" s="424">
        <f t="shared" si="317"/>
        <v>0</v>
      </c>
      <c r="BZ431" s="424">
        <f t="shared" si="317"/>
        <v>0</v>
      </c>
      <c r="CA431" s="424">
        <f t="shared" si="317"/>
        <v>0</v>
      </c>
      <c r="CB431" s="424">
        <f t="shared" si="317"/>
        <v>0</v>
      </c>
      <c r="CC431" s="424">
        <f t="shared" si="317"/>
        <v>0</v>
      </c>
      <c r="CD431" s="424">
        <f t="shared" si="317"/>
        <v>0</v>
      </c>
      <c r="CE431" s="424">
        <f t="shared" si="317"/>
        <v>0</v>
      </c>
      <c r="CF431" s="424">
        <f t="shared" si="317"/>
        <v>0.6</v>
      </c>
      <c r="CG431" s="424">
        <f t="shared" si="317"/>
        <v>0</v>
      </c>
      <c r="CH431" s="424">
        <f t="shared" si="317"/>
        <v>0</v>
      </c>
      <c r="CI431" s="424">
        <f t="shared" si="317"/>
        <v>0</v>
      </c>
      <c r="CJ431" s="424">
        <f t="shared" si="317"/>
        <v>0</v>
      </c>
      <c r="CK431" s="424">
        <f t="shared" si="317"/>
        <v>0</v>
      </c>
      <c r="CL431" s="424">
        <f t="shared" si="317"/>
        <v>0</v>
      </c>
      <c r="CM431" s="424">
        <f t="shared" si="317"/>
        <v>0</v>
      </c>
      <c r="CN431" s="424">
        <f t="shared" si="317"/>
        <v>0</v>
      </c>
      <c r="CO431" s="424">
        <f t="shared" si="317"/>
        <v>0</v>
      </c>
      <c r="CP431" s="424">
        <f t="shared" si="317"/>
        <v>0</v>
      </c>
      <c r="CQ431" s="424">
        <f t="shared" si="317"/>
        <v>0</v>
      </c>
      <c r="CR431" s="424">
        <f t="shared" si="317"/>
        <v>0</v>
      </c>
      <c r="CS431" s="424">
        <f t="shared" si="317"/>
        <v>0</v>
      </c>
      <c r="CT431" s="424">
        <f t="shared" si="317"/>
        <v>2.0099999999999998</v>
      </c>
      <c r="CU431" s="424">
        <f t="shared" si="317"/>
        <v>0</v>
      </c>
      <c r="CV431" s="424">
        <f t="shared" si="317"/>
        <v>0</v>
      </c>
      <c r="CW431" s="424">
        <f t="shared" si="317"/>
        <v>0</v>
      </c>
      <c r="CX431" s="424">
        <f t="shared" si="317"/>
        <v>0</v>
      </c>
      <c r="CY431" s="424">
        <f t="shared" si="317"/>
        <v>0</v>
      </c>
      <c r="CZ431" s="424">
        <f t="shared" si="317"/>
        <v>0</v>
      </c>
      <c r="DA431" s="424">
        <f t="shared" si="317"/>
        <v>0</v>
      </c>
      <c r="DB431" s="424">
        <f t="shared" ref="DB431:EG431" si="318">DB61*DB$372</f>
        <v>0</v>
      </c>
      <c r="DC431" s="424">
        <f t="shared" si="318"/>
        <v>0</v>
      </c>
      <c r="DD431" s="424">
        <f t="shared" si="318"/>
        <v>0</v>
      </c>
      <c r="DE431" s="424">
        <f t="shared" si="318"/>
        <v>0</v>
      </c>
      <c r="DF431" s="424">
        <f t="shared" si="318"/>
        <v>0</v>
      </c>
      <c r="DG431" s="424">
        <f t="shared" si="318"/>
        <v>0</v>
      </c>
      <c r="DH431" s="424">
        <f t="shared" si="318"/>
        <v>0</v>
      </c>
      <c r="DI431" s="424">
        <f t="shared" si="318"/>
        <v>0</v>
      </c>
      <c r="DJ431" s="424">
        <f t="shared" si="318"/>
        <v>0</v>
      </c>
      <c r="DK431" s="424">
        <f t="shared" si="318"/>
        <v>0</v>
      </c>
      <c r="DL431" s="424">
        <f t="shared" si="318"/>
        <v>0</v>
      </c>
      <c r="DM431" s="424">
        <f t="shared" si="318"/>
        <v>0</v>
      </c>
      <c r="DN431" s="424">
        <f t="shared" si="318"/>
        <v>0</v>
      </c>
      <c r="DO431" s="424">
        <f t="shared" si="318"/>
        <v>0</v>
      </c>
      <c r="DP431" s="424">
        <f t="shared" si="318"/>
        <v>0</v>
      </c>
      <c r="DQ431" s="424">
        <f t="shared" si="318"/>
        <v>0</v>
      </c>
      <c r="DR431" s="424">
        <f t="shared" si="318"/>
        <v>0</v>
      </c>
      <c r="DS431" s="424">
        <f t="shared" si="318"/>
        <v>0</v>
      </c>
      <c r="DT431" s="424">
        <f t="shared" si="318"/>
        <v>0</v>
      </c>
      <c r="DU431" s="424">
        <f t="shared" si="318"/>
        <v>0</v>
      </c>
      <c r="DV431" s="424">
        <f t="shared" si="318"/>
        <v>0</v>
      </c>
      <c r="DW431" s="424">
        <f t="shared" si="318"/>
        <v>0</v>
      </c>
      <c r="DX431" s="424">
        <f t="shared" si="318"/>
        <v>0</v>
      </c>
      <c r="DY431" s="424">
        <f t="shared" si="318"/>
        <v>0</v>
      </c>
      <c r="DZ431" s="424">
        <f t="shared" si="318"/>
        <v>0</v>
      </c>
      <c r="EA431" s="424">
        <f t="shared" si="318"/>
        <v>0</v>
      </c>
      <c r="EB431" s="424">
        <f t="shared" si="318"/>
        <v>0</v>
      </c>
      <c r="EC431" s="424">
        <f t="shared" si="318"/>
        <v>0</v>
      </c>
      <c r="ED431" s="424">
        <f t="shared" si="318"/>
        <v>0</v>
      </c>
      <c r="EE431" s="424">
        <f t="shared" si="318"/>
        <v>0</v>
      </c>
      <c r="EF431" s="424">
        <f t="shared" si="318"/>
        <v>0</v>
      </c>
      <c r="EG431" s="424">
        <f t="shared" si="318"/>
        <v>0</v>
      </c>
      <c r="EH431" s="424">
        <f t="shared" ref="EH431:EX431" si="319">EH61*EH$372</f>
        <v>0</v>
      </c>
      <c r="EI431" s="424">
        <f t="shared" si="319"/>
        <v>0</v>
      </c>
      <c r="EJ431" s="424">
        <f t="shared" si="319"/>
        <v>0</v>
      </c>
      <c r="EK431" s="424">
        <f t="shared" si="319"/>
        <v>0</v>
      </c>
      <c r="EL431" s="424">
        <f t="shared" si="319"/>
        <v>0</v>
      </c>
      <c r="EM431" s="424">
        <f t="shared" si="319"/>
        <v>0</v>
      </c>
      <c r="EN431" s="424">
        <f t="shared" si="319"/>
        <v>0</v>
      </c>
      <c r="EO431" s="424">
        <f t="shared" si="319"/>
        <v>0</v>
      </c>
      <c r="EP431" s="424">
        <f t="shared" si="319"/>
        <v>0</v>
      </c>
      <c r="EQ431" s="424">
        <f t="shared" si="319"/>
        <v>0</v>
      </c>
      <c r="ER431" s="424">
        <f t="shared" si="319"/>
        <v>0</v>
      </c>
      <c r="ES431" s="424">
        <f t="shared" si="319"/>
        <v>0</v>
      </c>
      <c r="ET431" s="424">
        <f t="shared" si="319"/>
        <v>0</v>
      </c>
      <c r="EU431" s="424">
        <f t="shared" si="319"/>
        <v>0</v>
      </c>
      <c r="EV431" s="424">
        <f t="shared" si="319"/>
        <v>0</v>
      </c>
      <c r="EW431" s="424">
        <f t="shared" si="319"/>
        <v>0</v>
      </c>
      <c r="EX431" s="424">
        <f t="shared" si="319"/>
        <v>0</v>
      </c>
      <c r="EY431" s="425">
        <f t="shared" si="49"/>
        <v>9.3800000000000008</v>
      </c>
      <c r="EZ431" s="616"/>
      <c r="FA431" s="616"/>
      <c r="FB431" s="616"/>
      <c r="FC431" s="616"/>
      <c r="FD431" s="616"/>
      <c r="FE431" s="616"/>
      <c r="FF431" s="616"/>
      <c r="FG431" s="616"/>
      <c r="FH431" s="616"/>
      <c r="FI431" s="616"/>
      <c r="FJ431" s="616"/>
    </row>
    <row r="432" spans="1:166" s="699" customFormat="1" ht="14.7" customHeight="1" x14ac:dyDescent="0.25">
      <c r="A432" s="310">
        <v>58</v>
      </c>
      <c r="B432" s="311" t="str">
        <f t="shared" si="30"/>
        <v>Рассольник ленинградский</v>
      </c>
      <c r="C432" s="483">
        <f t="shared" si="38"/>
        <v>10.199999999999999</v>
      </c>
      <c r="D432" s="888"/>
      <c r="E432" s="888"/>
      <c r="F432" s="888"/>
      <c r="G432" s="889"/>
      <c r="H432" s="680">
        <f t="shared" si="31"/>
        <v>96</v>
      </c>
      <c r="I432" s="1209">
        <f t="shared" si="32"/>
        <v>0</v>
      </c>
      <c r="J432" s="424">
        <f t="shared" ref="J432:AO432" si="320">J62*J$372</f>
        <v>0</v>
      </c>
      <c r="K432" s="424">
        <f t="shared" si="320"/>
        <v>0</v>
      </c>
      <c r="L432" s="424">
        <f t="shared" si="320"/>
        <v>0</v>
      </c>
      <c r="M432" s="424">
        <f t="shared" si="320"/>
        <v>0</v>
      </c>
      <c r="N432" s="424">
        <f t="shared" si="320"/>
        <v>0</v>
      </c>
      <c r="O432" s="424">
        <f t="shared" si="320"/>
        <v>0</v>
      </c>
      <c r="P432" s="424">
        <f t="shared" si="320"/>
        <v>0</v>
      </c>
      <c r="Q432" s="424">
        <f t="shared" si="320"/>
        <v>0</v>
      </c>
      <c r="R432" s="424">
        <f t="shared" si="320"/>
        <v>0</v>
      </c>
      <c r="S432" s="424">
        <f t="shared" si="320"/>
        <v>0</v>
      </c>
      <c r="T432" s="424">
        <f t="shared" si="320"/>
        <v>0</v>
      </c>
      <c r="U432" s="424">
        <f t="shared" si="320"/>
        <v>0</v>
      </c>
      <c r="V432" s="424">
        <f t="shared" si="320"/>
        <v>0</v>
      </c>
      <c r="W432" s="424">
        <f t="shared" si="320"/>
        <v>0</v>
      </c>
      <c r="X432" s="424">
        <f t="shared" si="320"/>
        <v>0</v>
      </c>
      <c r="Y432" s="424">
        <f t="shared" si="320"/>
        <v>1.17</v>
      </c>
      <c r="Z432" s="424">
        <f t="shared" si="320"/>
        <v>0</v>
      </c>
      <c r="AA432" s="424">
        <f t="shared" si="320"/>
        <v>0</v>
      </c>
      <c r="AB432" s="424">
        <f t="shared" si="320"/>
        <v>0</v>
      </c>
      <c r="AC432" s="424">
        <f t="shared" si="320"/>
        <v>0</v>
      </c>
      <c r="AD432" s="424">
        <f t="shared" si="320"/>
        <v>0</v>
      </c>
      <c r="AE432" s="424">
        <f t="shared" si="320"/>
        <v>0</v>
      </c>
      <c r="AF432" s="424">
        <f t="shared" si="320"/>
        <v>0</v>
      </c>
      <c r="AG432" s="424">
        <f t="shared" si="320"/>
        <v>0</v>
      </c>
      <c r="AH432" s="424">
        <f t="shared" si="320"/>
        <v>5</v>
      </c>
      <c r="AI432" s="424">
        <f t="shared" si="320"/>
        <v>0</v>
      </c>
      <c r="AJ432" s="424">
        <f t="shared" si="320"/>
        <v>0</v>
      </c>
      <c r="AK432" s="424">
        <f t="shared" si="320"/>
        <v>0.3</v>
      </c>
      <c r="AL432" s="424">
        <f t="shared" si="320"/>
        <v>0</v>
      </c>
      <c r="AM432" s="424">
        <f t="shared" si="320"/>
        <v>0</v>
      </c>
      <c r="AN432" s="424">
        <f t="shared" si="320"/>
        <v>0</v>
      </c>
      <c r="AO432" s="424">
        <f t="shared" si="320"/>
        <v>0</v>
      </c>
      <c r="AP432" s="424">
        <f t="shared" ref="AP432:BU432" si="321">AP62*AP$372</f>
        <v>0</v>
      </c>
      <c r="AQ432" s="424">
        <f t="shared" si="321"/>
        <v>0.63</v>
      </c>
      <c r="AR432" s="424">
        <f t="shared" si="321"/>
        <v>0</v>
      </c>
      <c r="AS432" s="424">
        <f t="shared" si="321"/>
        <v>0</v>
      </c>
      <c r="AT432" s="424">
        <f t="shared" si="321"/>
        <v>0</v>
      </c>
      <c r="AU432" s="424">
        <f t="shared" si="321"/>
        <v>0</v>
      </c>
      <c r="AV432" s="424">
        <f t="shared" si="321"/>
        <v>0</v>
      </c>
      <c r="AW432" s="424">
        <f t="shared" si="321"/>
        <v>0</v>
      </c>
      <c r="AX432" s="424">
        <f t="shared" si="321"/>
        <v>0</v>
      </c>
      <c r="AY432" s="424">
        <f t="shared" si="321"/>
        <v>0</v>
      </c>
      <c r="AZ432" s="424">
        <f t="shared" si="321"/>
        <v>0</v>
      </c>
      <c r="BA432" s="424">
        <f t="shared" si="321"/>
        <v>0</v>
      </c>
      <c r="BB432" s="424">
        <f t="shared" si="321"/>
        <v>0</v>
      </c>
      <c r="BC432" s="424">
        <f t="shared" si="321"/>
        <v>0</v>
      </c>
      <c r="BD432" s="424">
        <f t="shared" si="321"/>
        <v>0</v>
      </c>
      <c r="BE432" s="424">
        <f t="shared" si="321"/>
        <v>0</v>
      </c>
      <c r="BF432" s="424">
        <f t="shared" si="321"/>
        <v>0</v>
      </c>
      <c r="BG432" s="424">
        <f t="shared" si="321"/>
        <v>0</v>
      </c>
      <c r="BH432" s="424">
        <f t="shared" si="321"/>
        <v>0</v>
      </c>
      <c r="BI432" s="424">
        <f t="shared" si="321"/>
        <v>0</v>
      </c>
      <c r="BJ432" s="424">
        <f t="shared" si="321"/>
        <v>0</v>
      </c>
      <c r="BK432" s="424">
        <f t="shared" si="321"/>
        <v>0</v>
      </c>
      <c r="BL432" s="424">
        <f t="shared" si="321"/>
        <v>0</v>
      </c>
      <c r="BM432" s="424">
        <f t="shared" si="321"/>
        <v>0</v>
      </c>
      <c r="BN432" s="424">
        <f t="shared" si="321"/>
        <v>0</v>
      </c>
      <c r="BO432" s="424">
        <f t="shared" si="321"/>
        <v>0</v>
      </c>
      <c r="BP432" s="424">
        <f t="shared" si="321"/>
        <v>0</v>
      </c>
      <c r="BQ432" s="424">
        <f t="shared" si="321"/>
        <v>0</v>
      </c>
      <c r="BR432" s="424">
        <f t="shared" si="321"/>
        <v>0</v>
      </c>
      <c r="BS432" s="424">
        <f t="shared" si="321"/>
        <v>0</v>
      </c>
      <c r="BT432" s="424">
        <f t="shared" si="321"/>
        <v>0</v>
      </c>
      <c r="BU432" s="424">
        <f t="shared" si="321"/>
        <v>0</v>
      </c>
      <c r="BV432" s="424">
        <f t="shared" ref="BV432:DA432" si="322">BV62*BV$372</f>
        <v>0</v>
      </c>
      <c r="BW432" s="424">
        <f t="shared" si="322"/>
        <v>0</v>
      </c>
      <c r="BX432" s="424">
        <f t="shared" si="322"/>
        <v>0</v>
      </c>
      <c r="BY432" s="424">
        <f t="shared" si="322"/>
        <v>0</v>
      </c>
      <c r="BZ432" s="424">
        <f t="shared" si="322"/>
        <v>0</v>
      </c>
      <c r="CA432" s="424">
        <f t="shared" si="322"/>
        <v>0</v>
      </c>
      <c r="CB432" s="424">
        <f t="shared" si="322"/>
        <v>0.49</v>
      </c>
      <c r="CC432" s="424">
        <f t="shared" si="322"/>
        <v>0</v>
      </c>
      <c r="CD432" s="424">
        <f t="shared" si="322"/>
        <v>0</v>
      </c>
      <c r="CE432" s="424">
        <f t="shared" si="322"/>
        <v>0</v>
      </c>
      <c r="CF432" s="424">
        <f t="shared" si="322"/>
        <v>0.6</v>
      </c>
      <c r="CG432" s="424">
        <f t="shared" si="322"/>
        <v>0</v>
      </c>
      <c r="CH432" s="424">
        <f t="shared" si="322"/>
        <v>0</v>
      </c>
      <c r="CI432" s="424">
        <f t="shared" si="322"/>
        <v>0</v>
      </c>
      <c r="CJ432" s="424">
        <f t="shared" si="322"/>
        <v>0</v>
      </c>
      <c r="CK432" s="424">
        <f t="shared" si="322"/>
        <v>0</v>
      </c>
      <c r="CL432" s="424">
        <f t="shared" si="322"/>
        <v>0</v>
      </c>
      <c r="CM432" s="424">
        <f t="shared" si="322"/>
        <v>0</v>
      </c>
      <c r="CN432" s="424">
        <f t="shared" si="322"/>
        <v>0</v>
      </c>
      <c r="CO432" s="424">
        <f t="shared" si="322"/>
        <v>0</v>
      </c>
      <c r="CP432" s="424">
        <f t="shared" si="322"/>
        <v>0</v>
      </c>
      <c r="CQ432" s="424">
        <f t="shared" si="322"/>
        <v>0</v>
      </c>
      <c r="CR432" s="424">
        <f t="shared" si="322"/>
        <v>0</v>
      </c>
      <c r="CS432" s="424">
        <f t="shared" si="322"/>
        <v>0</v>
      </c>
      <c r="CT432" s="424">
        <f t="shared" si="322"/>
        <v>2.0099999999999998</v>
      </c>
      <c r="CU432" s="424">
        <f t="shared" si="322"/>
        <v>0</v>
      </c>
      <c r="CV432" s="424">
        <f t="shared" si="322"/>
        <v>0</v>
      </c>
      <c r="CW432" s="424">
        <f t="shared" si="322"/>
        <v>0</v>
      </c>
      <c r="CX432" s="424">
        <f t="shared" si="322"/>
        <v>0</v>
      </c>
      <c r="CY432" s="424">
        <f t="shared" si="322"/>
        <v>0</v>
      </c>
      <c r="CZ432" s="424">
        <f t="shared" si="322"/>
        <v>0</v>
      </c>
      <c r="DA432" s="424">
        <f t="shared" si="322"/>
        <v>0</v>
      </c>
      <c r="DB432" s="424">
        <f t="shared" ref="DB432:EG432" si="323">DB62*DB$372</f>
        <v>0</v>
      </c>
      <c r="DC432" s="424">
        <f t="shared" si="323"/>
        <v>0</v>
      </c>
      <c r="DD432" s="424">
        <f t="shared" si="323"/>
        <v>0</v>
      </c>
      <c r="DE432" s="424">
        <f t="shared" si="323"/>
        <v>0</v>
      </c>
      <c r="DF432" s="424">
        <f t="shared" si="323"/>
        <v>0</v>
      </c>
      <c r="DG432" s="424">
        <f t="shared" si="323"/>
        <v>0</v>
      </c>
      <c r="DH432" s="424">
        <f t="shared" si="323"/>
        <v>0</v>
      </c>
      <c r="DI432" s="424">
        <f t="shared" si="323"/>
        <v>0</v>
      </c>
      <c r="DJ432" s="424">
        <f t="shared" si="323"/>
        <v>0</v>
      </c>
      <c r="DK432" s="424">
        <f t="shared" si="323"/>
        <v>0</v>
      </c>
      <c r="DL432" s="424">
        <f t="shared" si="323"/>
        <v>0</v>
      </c>
      <c r="DM432" s="424">
        <f t="shared" si="323"/>
        <v>0</v>
      </c>
      <c r="DN432" s="424">
        <f t="shared" si="323"/>
        <v>0</v>
      </c>
      <c r="DO432" s="424">
        <f t="shared" si="323"/>
        <v>0</v>
      </c>
      <c r="DP432" s="424">
        <f t="shared" si="323"/>
        <v>0</v>
      </c>
      <c r="DQ432" s="424">
        <f t="shared" si="323"/>
        <v>0</v>
      </c>
      <c r="DR432" s="424">
        <f t="shared" si="323"/>
        <v>0</v>
      </c>
      <c r="DS432" s="424">
        <f t="shared" si="323"/>
        <v>0</v>
      </c>
      <c r="DT432" s="424">
        <f t="shared" si="323"/>
        <v>0</v>
      </c>
      <c r="DU432" s="424">
        <f t="shared" si="323"/>
        <v>0</v>
      </c>
      <c r="DV432" s="424">
        <f t="shared" si="323"/>
        <v>0</v>
      </c>
      <c r="DW432" s="424">
        <f t="shared" si="323"/>
        <v>0</v>
      </c>
      <c r="DX432" s="424">
        <f t="shared" si="323"/>
        <v>0</v>
      </c>
      <c r="DY432" s="424">
        <f t="shared" si="323"/>
        <v>0</v>
      </c>
      <c r="DZ432" s="424">
        <f t="shared" si="323"/>
        <v>0</v>
      </c>
      <c r="EA432" s="424">
        <f t="shared" si="323"/>
        <v>0</v>
      </c>
      <c r="EB432" s="424">
        <f t="shared" si="323"/>
        <v>0</v>
      </c>
      <c r="EC432" s="424">
        <f t="shared" si="323"/>
        <v>0</v>
      </c>
      <c r="ED432" s="424">
        <f t="shared" si="323"/>
        <v>0</v>
      </c>
      <c r="EE432" s="424">
        <f t="shared" si="323"/>
        <v>0</v>
      </c>
      <c r="EF432" s="424">
        <f t="shared" si="323"/>
        <v>0</v>
      </c>
      <c r="EG432" s="424">
        <f t="shared" si="323"/>
        <v>0</v>
      </c>
      <c r="EH432" s="424">
        <f t="shared" ref="EH432:EX432" si="324">EH62*EH$372</f>
        <v>0</v>
      </c>
      <c r="EI432" s="424">
        <f t="shared" si="324"/>
        <v>0</v>
      </c>
      <c r="EJ432" s="424">
        <f t="shared" si="324"/>
        <v>0</v>
      </c>
      <c r="EK432" s="424">
        <f t="shared" si="324"/>
        <v>0</v>
      </c>
      <c r="EL432" s="424">
        <f t="shared" si="324"/>
        <v>0</v>
      </c>
      <c r="EM432" s="424">
        <f t="shared" si="324"/>
        <v>0</v>
      </c>
      <c r="EN432" s="424">
        <f t="shared" si="324"/>
        <v>0</v>
      </c>
      <c r="EO432" s="424">
        <f t="shared" si="324"/>
        <v>0</v>
      </c>
      <c r="EP432" s="424">
        <f t="shared" si="324"/>
        <v>0</v>
      </c>
      <c r="EQ432" s="424">
        <f t="shared" si="324"/>
        <v>0</v>
      </c>
      <c r="ER432" s="424">
        <f t="shared" si="324"/>
        <v>0</v>
      </c>
      <c r="ES432" s="424">
        <f t="shared" si="324"/>
        <v>0</v>
      </c>
      <c r="ET432" s="424">
        <f t="shared" si="324"/>
        <v>0</v>
      </c>
      <c r="EU432" s="424">
        <f t="shared" si="324"/>
        <v>0</v>
      </c>
      <c r="EV432" s="424">
        <f t="shared" si="324"/>
        <v>0</v>
      </c>
      <c r="EW432" s="424">
        <f t="shared" si="324"/>
        <v>0</v>
      </c>
      <c r="EX432" s="424">
        <f t="shared" si="324"/>
        <v>0</v>
      </c>
      <c r="EY432" s="425">
        <f t="shared" si="49"/>
        <v>10.199999999999999</v>
      </c>
      <c r="EZ432" s="616"/>
      <c r="FA432" s="616"/>
      <c r="FB432" s="616"/>
      <c r="FC432" s="616"/>
      <c r="FD432" s="616"/>
      <c r="FE432" s="616"/>
      <c r="FF432" s="616"/>
      <c r="FG432" s="616"/>
      <c r="FH432" s="616"/>
      <c r="FI432" s="616"/>
      <c r="FJ432" s="616"/>
    </row>
    <row r="433" spans="1:166" ht="14.7" customHeight="1" x14ac:dyDescent="0.25">
      <c r="A433" s="310">
        <v>59</v>
      </c>
      <c r="B433" s="311" t="str">
        <f t="shared" si="30"/>
        <v>Суп картофельный</v>
      </c>
      <c r="C433" s="483">
        <f t="shared" si="38"/>
        <v>10.87</v>
      </c>
      <c r="D433" s="888"/>
      <c r="E433" s="888"/>
      <c r="F433" s="888"/>
      <c r="G433" s="889"/>
      <c r="H433" s="680">
        <f t="shared" si="31"/>
        <v>97</v>
      </c>
      <c r="I433" s="1209">
        <f t="shared" si="32"/>
        <v>0</v>
      </c>
      <c r="J433" s="424">
        <f t="shared" ref="J433:AO433" si="325">J63*J$372</f>
        <v>0</v>
      </c>
      <c r="K433" s="424">
        <f t="shared" si="325"/>
        <v>0</v>
      </c>
      <c r="L433" s="424">
        <f t="shared" si="325"/>
        <v>0</v>
      </c>
      <c r="M433" s="424">
        <f t="shared" si="325"/>
        <v>0</v>
      </c>
      <c r="N433" s="424">
        <f t="shared" si="325"/>
        <v>0</v>
      </c>
      <c r="O433" s="424">
        <f t="shared" si="325"/>
        <v>0</v>
      </c>
      <c r="P433" s="424">
        <f t="shared" si="325"/>
        <v>0</v>
      </c>
      <c r="Q433" s="424">
        <f t="shared" si="325"/>
        <v>0</v>
      </c>
      <c r="R433" s="424">
        <f t="shared" si="325"/>
        <v>0</v>
      </c>
      <c r="S433" s="424">
        <f t="shared" si="325"/>
        <v>0</v>
      </c>
      <c r="T433" s="424">
        <f t="shared" si="325"/>
        <v>0</v>
      </c>
      <c r="U433" s="424">
        <f t="shared" si="325"/>
        <v>0</v>
      </c>
      <c r="V433" s="424">
        <f t="shared" si="325"/>
        <v>0</v>
      </c>
      <c r="W433" s="424">
        <f t="shared" si="325"/>
        <v>0</v>
      </c>
      <c r="X433" s="424">
        <f t="shared" si="325"/>
        <v>0</v>
      </c>
      <c r="Y433" s="424">
        <f t="shared" si="325"/>
        <v>1.17</v>
      </c>
      <c r="Z433" s="424">
        <f t="shared" si="325"/>
        <v>0</v>
      </c>
      <c r="AA433" s="424">
        <f t="shared" si="325"/>
        <v>0</v>
      </c>
      <c r="AB433" s="424">
        <f t="shared" si="325"/>
        <v>0</v>
      </c>
      <c r="AC433" s="424">
        <f t="shared" si="325"/>
        <v>0</v>
      </c>
      <c r="AD433" s="424">
        <f t="shared" si="325"/>
        <v>0</v>
      </c>
      <c r="AE433" s="424">
        <f t="shared" si="325"/>
        <v>0</v>
      </c>
      <c r="AF433" s="424">
        <f t="shared" si="325"/>
        <v>0</v>
      </c>
      <c r="AG433" s="424">
        <f t="shared" si="325"/>
        <v>0</v>
      </c>
      <c r="AH433" s="424">
        <f t="shared" si="325"/>
        <v>7.5</v>
      </c>
      <c r="AI433" s="424">
        <f t="shared" si="325"/>
        <v>0</v>
      </c>
      <c r="AJ433" s="424">
        <f t="shared" si="325"/>
        <v>0</v>
      </c>
      <c r="AK433" s="424">
        <f t="shared" si="325"/>
        <v>0.6</v>
      </c>
      <c r="AL433" s="424">
        <f t="shared" si="325"/>
        <v>0</v>
      </c>
      <c r="AM433" s="424">
        <f t="shared" si="325"/>
        <v>0</v>
      </c>
      <c r="AN433" s="424">
        <f t="shared" si="325"/>
        <v>0</v>
      </c>
      <c r="AO433" s="424">
        <f t="shared" si="325"/>
        <v>0</v>
      </c>
      <c r="AP433" s="424">
        <f t="shared" ref="AP433:BU433" si="326">AP63*AP$372</f>
        <v>0</v>
      </c>
      <c r="AQ433" s="424">
        <f t="shared" si="326"/>
        <v>0.63</v>
      </c>
      <c r="AR433" s="424">
        <f t="shared" si="326"/>
        <v>0</v>
      </c>
      <c r="AS433" s="424">
        <f t="shared" si="326"/>
        <v>0</v>
      </c>
      <c r="AT433" s="424">
        <f t="shared" si="326"/>
        <v>0</v>
      </c>
      <c r="AU433" s="424">
        <f t="shared" si="326"/>
        <v>0.6</v>
      </c>
      <c r="AV433" s="424">
        <f t="shared" si="326"/>
        <v>0</v>
      </c>
      <c r="AW433" s="424">
        <f t="shared" si="326"/>
        <v>0</v>
      </c>
      <c r="AX433" s="424">
        <f t="shared" si="326"/>
        <v>0</v>
      </c>
      <c r="AY433" s="424">
        <f t="shared" si="326"/>
        <v>0</v>
      </c>
      <c r="AZ433" s="424">
        <f t="shared" si="326"/>
        <v>0</v>
      </c>
      <c r="BA433" s="424">
        <f t="shared" si="326"/>
        <v>0</v>
      </c>
      <c r="BB433" s="424">
        <f t="shared" si="326"/>
        <v>0</v>
      </c>
      <c r="BC433" s="424">
        <f t="shared" si="326"/>
        <v>0</v>
      </c>
      <c r="BD433" s="424">
        <f t="shared" si="326"/>
        <v>0</v>
      </c>
      <c r="BE433" s="424">
        <f t="shared" si="326"/>
        <v>0</v>
      </c>
      <c r="BF433" s="424">
        <f t="shared" si="326"/>
        <v>0</v>
      </c>
      <c r="BG433" s="424">
        <f t="shared" si="326"/>
        <v>0</v>
      </c>
      <c r="BH433" s="424">
        <f t="shared" si="326"/>
        <v>0</v>
      </c>
      <c r="BI433" s="424">
        <f t="shared" si="326"/>
        <v>0</v>
      </c>
      <c r="BJ433" s="424">
        <f t="shared" si="326"/>
        <v>0</v>
      </c>
      <c r="BK433" s="424">
        <f t="shared" si="326"/>
        <v>0</v>
      </c>
      <c r="BL433" s="424">
        <f t="shared" si="326"/>
        <v>0</v>
      </c>
      <c r="BM433" s="424">
        <f t="shared" si="326"/>
        <v>0</v>
      </c>
      <c r="BN433" s="424">
        <f t="shared" si="326"/>
        <v>0</v>
      </c>
      <c r="BO433" s="424">
        <f t="shared" si="326"/>
        <v>0</v>
      </c>
      <c r="BP433" s="424">
        <f t="shared" si="326"/>
        <v>0</v>
      </c>
      <c r="BQ433" s="424">
        <f t="shared" si="326"/>
        <v>0</v>
      </c>
      <c r="BR433" s="424">
        <f t="shared" si="326"/>
        <v>0</v>
      </c>
      <c r="BS433" s="424">
        <f t="shared" si="326"/>
        <v>0</v>
      </c>
      <c r="BT433" s="424">
        <f t="shared" si="326"/>
        <v>0</v>
      </c>
      <c r="BU433" s="424">
        <f t="shared" si="326"/>
        <v>0</v>
      </c>
      <c r="BV433" s="424">
        <f t="shared" ref="BV433:DA433" si="327">BV63*BV$372</f>
        <v>0</v>
      </c>
      <c r="BW433" s="424">
        <f t="shared" si="327"/>
        <v>0</v>
      </c>
      <c r="BX433" s="424">
        <f t="shared" si="327"/>
        <v>0</v>
      </c>
      <c r="BY433" s="424">
        <f t="shared" si="327"/>
        <v>0</v>
      </c>
      <c r="BZ433" s="424">
        <f t="shared" si="327"/>
        <v>0</v>
      </c>
      <c r="CA433" s="424">
        <f t="shared" si="327"/>
        <v>0</v>
      </c>
      <c r="CB433" s="424">
        <f t="shared" si="327"/>
        <v>0</v>
      </c>
      <c r="CC433" s="424">
        <f t="shared" si="327"/>
        <v>0</v>
      </c>
      <c r="CD433" s="424">
        <f t="shared" si="327"/>
        <v>0</v>
      </c>
      <c r="CE433" s="424">
        <f t="shared" si="327"/>
        <v>0</v>
      </c>
      <c r="CF433" s="424">
        <f t="shared" si="327"/>
        <v>0.3</v>
      </c>
      <c r="CG433" s="424">
        <f t="shared" si="327"/>
        <v>0</v>
      </c>
      <c r="CH433" s="424">
        <f t="shared" si="327"/>
        <v>0</v>
      </c>
      <c r="CI433" s="424">
        <f t="shared" si="327"/>
        <v>0</v>
      </c>
      <c r="CJ433" s="424">
        <f t="shared" si="327"/>
        <v>0</v>
      </c>
      <c r="CK433" s="424">
        <f t="shared" si="327"/>
        <v>0</v>
      </c>
      <c r="CL433" s="424">
        <f t="shared" si="327"/>
        <v>0</v>
      </c>
      <c r="CM433" s="424">
        <f t="shared" si="327"/>
        <v>0</v>
      </c>
      <c r="CN433" s="424">
        <f t="shared" si="327"/>
        <v>0</v>
      </c>
      <c r="CO433" s="424">
        <f t="shared" si="327"/>
        <v>0</v>
      </c>
      <c r="CP433" s="424">
        <f t="shared" si="327"/>
        <v>0</v>
      </c>
      <c r="CQ433" s="424">
        <f t="shared" si="327"/>
        <v>0</v>
      </c>
      <c r="CR433" s="424">
        <f t="shared" si="327"/>
        <v>0</v>
      </c>
      <c r="CS433" s="424">
        <f t="shared" si="327"/>
        <v>0.01</v>
      </c>
      <c r="CT433" s="424">
        <f t="shared" si="327"/>
        <v>0</v>
      </c>
      <c r="CU433" s="424">
        <f t="shared" si="327"/>
        <v>0</v>
      </c>
      <c r="CV433" s="424">
        <f t="shared" si="327"/>
        <v>0</v>
      </c>
      <c r="CW433" s="424">
        <f t="shared" si="327"/>
        <v>0</v>
      </c>
      <c r="CX433" s="424">
        <f t="shared" si="327"/>
        <v>0</v>
      </c>
      <c r="CY433" s="424">
        <f t="shared" si="327"/>
        <v>0</v>
      </c>
      <c r="CZ433" s="424">
        <f t="shared" si="327"/>
        <v>0</v>
      </c>
      <c r="DA433" s="424">
        <f t="shared" si="327"/>
        <v>0</v>
      </c>
      <c r="DB433" s="424">
        <f t="shared" ref="DB433:EG433" si="328">DB63*DB$372</f>
        <v>0</v>
      </c>
      <c r="DC433" s="424">
        <f t="shared" si="328"/>
        <v>0.06</v>
      </c>
      <c r="DD433" s="424">
        <f t="shared" si="328"/>
        <v>0</v>
      </c>
      <c r="DE433" s="424">
        <f t="shared" si="328"/>
        <v>0</v>
      </c>
      <c r="DF433" s="424">
        <f t="shared" si="328"/>
        <v>0</v>
      </c>
      <c r="DG433" s="424">
        <f t="shared" si="328"/>
        <v>0</v>
      </c>
      <c r="DH433" s="424">
        <f t="shared" si="328"/>
        <v>0</v>
      </c>
      <c r="DI433" s="424">
        <f t="shared" si="328"/>
        <v>0</v>
      </c>
      <c r="DJ433" s="424">
        <f t="shared" si="328"/>
        <v>0</v>
      </c>
      <c r="DK433" s="424">
        <f t="shared" si="328"/>
        <v>0</v>
      </c>
      <c r="DL433" s="424">
        <f t="shared" si="328"/>
        <v>0</v>
      </c>
      <c r="DM433" s="424">
        <f t="shared" si="328"/>
        <v>0</v>
      </c>
      <c r="DN433" s="424">
        <f t="shared" si="328"/>
        <v>0</v>
      </c>
      <c r="DO433" s="424">
        <f t="shared" si="328"/>
        <v>0</v>
      </c>
      <c r="DP433" s="424">
        <f t="shared" si="328"/>
        <v>0</v>
      </c>
      <c r="DQ433" s="424">
        <f t="shared" si="328"/>
        <v>0</v>
      </c>
      <c r="DR433" s="424">
        <f t="shared" si="328"/>
        <v>0</v>
      </c>
      <c r="DS433" s="424">
        <f t="shared" si="328"/>
        <v>0</v>
      </c>
      <c r="DT433" s="424">
        <f t="shared" si="328"/>
        <v>0</v>
      </c>
      <c r="DU433" s="424">
        <f t="shared" si="328"/>
        <v>0</v>
      </c>
      <c r="DV433" s="424">
        <f t="shared" si="328"/>
        <v>0</v>
      </c>
      <c r="DW433" s="424">
        <f t="shared" si="328"/>
        <v>0</v>
      </c>
      <c r="DX433" s="424">
        <f t="shared" si="328"/>
        <v>0</v>
      </c>
      <c r="DY433" s="424">
        <f t="shared" si="328"/>
        <v>0</v>
      </c>
      <c r="DZ433" s="424">
        <f t="shared" si="328"/>
        <v>0</v>
      </c>
      <c r="EA433" s="424">
        <f t="shared" si="328"/>
        <v>0</v>
      </c>
      <c r="EB433" s="424">
        <f t="shared" si="328"/>
        <v>0</v>
      </c>
      <c r="EC433" s="424">
        <f t="shared" si="328"/>
        <v>0</v>
      </c>
      <c r="ED433" s="424">
        <f t="shared" si="328"/>
        <v>0</v>
      </c>
      <c r="EE433" s="424">
        <f t="shared" si="328"/>
        <v>0</v>
      </c>
      <c r="EF433" s="424">
        <f t="shared" si="328"/>
        <v>0</v>
      </c>
      <c r="EG433" s="424">
        <f t="shared" si="328"/>
        <v>0</v>
      </c>
      <c r="EH433" s="424">
        <f t="shared" ref="EH433:EX433" si="329">EH63*EH$372</f>
        <v>0</v>
      </c>
      <c r="EI433" s="424">
        <f t="shared" si="329"/>
        <v>0</v>
      </c>
      <c r="EJ433" s="424">
        <f t="shared" si="329"/>
        <v>0</v>
      </c>
      <c r="EK433" s="424">
        <f t="shared" si="329"/>
        <v>0</v>
      </c>
      <c r="EL433" s="424">
        <f t="shared" si="329"/>
        <v>0</v>
      </c>
      <c r="EM433" s="424">
        <f t="shared" si="329"/>
        <v>0</v>
      </c>
      <c r="EN433" s="424">
        <f t="shared" si="329"/>
        <v>0</v>
      </c>
      <c r="EO433" s="424">
        <f t="shared" si="329"/>
        <v>0</v>
      </c>
      <c r="EP433" s="424">
        <f t="shared" si="329"/>
        <v>0</v>
      </c>
      <c r="EQ433" s="424">
        <f t="shared" si="329"/>
        <v>0</v>
      </c>
      <c r="ER433" s="424">
        <f t="shared" si="329"/>
        <v>0</v>
      </c>
      <c r="ES433" s="424">
        <f t="shared" si="329"/>
        <v>0</v>
      </c>
      <c r="ET433" s="424">
        <f t="shared" si="329"/>
        <v>0</v>
      </c>
      <c r="EU433" s="424">
        <f t="shared" si="329"/>
        <v>0</v>
      </c>
      <c r="EV433" s="424">
        <f t="shared" si="329"/>
        <v>0</v>
      </c>
      <c r="EW433" s="424">
        <f t="shared" si="329"/>
        <v>0</v>
      </c>
      <c r="EX433" s="424">
        <f t="shared" si="329"/>
        <v>0</v>
      </c>
      <c r="EY433" s="425">
        <f t="shared" si="49"/>
        <v>10.87</v>
      </c>
    </row>
    <row r="434" spans="1:166" s="605" customFormat="1" ht="14.7" customHeight="1" x14ac:dyDescent="0.25">
      <c r="A434" s="310">
        <v>60</v>
      </c>
      <c r="B434" s="311" t="str">
        <f t="shared" si="30"/>
        <v>Суп крестьянский с рисом</v>
      </c>
      <c r="C434" s="483">
        <f t="shared" si="38"/>
        <v>8.3000000000000007</v>
      </c>
      <c r="D434" s="888"/>
      <c r="E434" s="888"/>
      <c r="F434" s="888"/>
      <c r="G434" s="889"/>
      <c r="H434" s="680">
        <f t="shared" si="31"/>
        <v>98</v>
      </c>
      <c r="I434" s="1209">
        <f t="shared" si="32"/>
        <v>0</v>
      </c>
      <c r="J434" s="424">
        <f t="shared" ref="J434:AO434" si="330">J64*J$372</f>
        <v>0</v>
      </c>
      <c r="K434" s="424">
        <f t="shared" si="330"/>
        <v>0</v>
      </c>
      <c r="L434" s="424">
        <f t="shared" si="330"/>
        <v>0</v>
      </c>
      <c r="M434" s="424">
        <f t="shared" si="330"/>
        <v>0</v>
      </c>
      <c r="N434" s="424">
        <f t="shared" si="330"/>
        <v>0</v>
      </c>
      <c r="O434" s="424">
        <f t="shared" si="330"/>
        <v>0</v>
      </c>
      <c r="P434" s="424">
        <f t="shared" si="330"/>
        <v>0</v>
      </c>
      <c r="Q434" s="424">
        <f t="shared" si="330"/>
        <v>0</v>
      </c>
      <c r="R434" s="424">
        <f t="shared" si="330"/>
        <v>0</v>
      </c>
      <c r="S434" s="424">
        <f t="shared" si="330"/>
        <v>0</v>
      </c>
      <c r="T434" s="424">
        <f t="shared" si="330"/>
        <v>0</v>
      </c>
      <c r="U434" s="424">
        <f t="shared" si="330"/>
        <v>0</v>
      </c>
      <c r="V434" s="424">
        <f t="shared" si="330"/>
        <v>0</v>
      </c>
      <c r="W434" s="424">
        <f t="shared" si="330"/>
        <v>0</v>
      </c>
      <c r="X434" s="424">
        <f t="shared" si="330"/>
        <v>0</v>
      </c>
      <c r="Y434" s="424">
        <f t="shared" si="330"/>
        <v>1.17</v>
      </c>
      <c r="Z434" s="424">
        <f t="shared" si="330"/>
        <v>0</v>
      </c>
      <c r="AA434" s="424">
        <f t="shared" si="330"/>
        <v>0</v>
      </c>
      <c r="AB434" s="424">
        <f t="shared" si="330"/>
        <v>0</v>
      </c>
      <c r="AC434" s="424">
        <f t="shared" si="330"/>
        <v>0</v>
      </c>
      <c r="AD434" s="424">
        <f t="shared" si="330"/>
        <v>0</v>
      </c>
      <c r="AE434" s="424">
        <f t="shared" si="330"/>
        <v>0</v>
      </c>
      <c r="AF434" s="424">
        <f t="shared" si="330"/>
        <v>1.99</v>
      </c>
      <c r="AG434" s="424">
        <f t="shared" si="330"/>
        <v>0</v>
      </c>
      <c r="AH434" s="424">
        <f t="shared" si="330"/>
        <v>1.66</v>
      </c>
      <c r="AI434" s="424">
        <f t="shared" si="330"/>
        <v>0</v>
      </c>
      <c r="AJ434" s="424">
        <f t="shared" si="330"/>
        <v>0</v>
      </c>
      <c r="AK434" s="424">
        <f t="shared" si="330"/>
        <v>0.6</v>
      </c>
      <c r="AL434" s="424">
        <f t="shared" si="330"/>
        <v>0</v>
      </c>
      <c r="AM434" s="424">
        <f t="shared" si="330"/>
        <v>0</v>
      </c>
      <c r="AN434" s="424">
        <f t="shared" si="330"/>
        <v>0</v>
      </c>
      <c r="AO434" s="424">
        <f t="shared" si="330"/>
        <v>0</v>
      </c>
      <c r="AP434" s="424">
        <f t="shared" ref="AP434:BU434" si="331">AP64*AP$372</f>
        <v>0</v>
      </c>
      <c r="AQ434" s="424">
        <f t="shared" si="331"/>
        <v>0.63</v>
      </c>
      <c r="AR434" s="424">
        <f t="shared" si="331"/>
        <v>0</v>
      </c>
      <c r="AS434" s="424">
        <f t="shared" si="331"/>
        <v>0</v>
      </c>
      <c r="AT434" s="424">
        <f t="shared" si="331"/>
        <v>0</v>
      </c>
      <c r="AU434" s="424">
        <f t="shared" si="331"/>
        <v>0.6</v>
      </c>
      <c r="AV434" s="424">
        <f t="shared" si="331"/>
        <v>0</v>
      </c>
      <c r="AW434" s="424">
        <f t="shared" si="331"/>
        <v>0</v>
      </c>
      <c r="AX434" s="424">
        <f t="shared" si="331"/>
        <v>0</v>
      </c>
      <c r="AY434" s="424">
        <f t="shared" si="331"/>
        <v>0</v>
      </c>
      <c r="AZ434" s="424">
        <f t="shared" si="331"/>
        <v>0</v>
      </c>
      <c r="BA434" s="424">
        <f t="shared" si="331"/>
        <v>0</v>
      </c>
      <c r="BB434" s="424">
        <f t="shared" si="331"/>
        <v>0</v>
      </c>
      <c r="BC434" s="424">
        <f t="shared" si="331"/>
        <v>0</v>
      </c>
      <c r="BD434" s="424">
        <f t="shared" si="331"/>
        <v>0</v>
      </c>
      <c r="BE434" s="424">
        <f t="shared" si="331"/>
        <v>0</v>
      </c>
      <c r="BF434" s="424">
        <f t="shared" si="331"/>
        <v>0</v>
      </c>
      <c r="BG434" s="424">
        <f t="shared" si="331"/>
        <v>0</v>
      </c>
      <c r="BH434" s="424">
        <f t="shared" si="331"/>
        <v>0</v>
      </c>
      <c r="BI434" s="424">
        <f t="shared" si="331"/>
        <v>0</v>
      </c>
      <c r="BJ434" s="424">
        <f t="shared" si="331"/>
        <v>0</v>
      </c>
      <c r="BK434" s="424">
        <f t="shared" si="331"/>
        <v>0</v>
      </c>
      <c r="BL434" s="424">
        <f t="shared" si="331"/>
        <v>0</v>
      </c>
      <c r="BM434" s="424">
        <f t="shared" si="331"/>
        <v>0</v>
      </c>
      <c r="BN434" s="424">
        <f t="shared" si="331"/>
        <v>0</v>
      </c>
      <c r="BO434" s="424">
        <f t="shared" si="331"/>
        <v>0</v>
      </c>
      <c r="BP434" s="424">
        <f t="shared" si="331"/>
        <v>0</v>
      </c>
      <c r="BQ434" s="424">
        <f t="shared" si="331"/>
        <v>0</v>
      </c>
      <c r="BR434" s="424">
        <f t="shared" si="331"/>
        <v>0</v>
      </c>
      <c r="BS434" s="424">
        <f t="shared" si="331"/>
        <v>0</v>
      </c>
      <c r="BT434" s="424">
        <f t="shared" si="331"/>
        <v>0</v>
      </c>
      <c r="BU434" s="424">
        <f t="shared" si="331"/>
        <v>0</v>
      </c>
      <c r="BV434" s="424">
        <f t="shared" ref="BV434:DA434" si="332">BV64*BV$372</f>
        <v>0</v>
      </c>
      <c r="BW434" s="424">
        <f t="shared" si="332"/>
        <v>0</v>
      </c>
      <c r="BX434" s="424">
        <f t="shared" si="332"/>
        <v>0</v>
      </c>
      <c r="BY434" s="424">
        <f t="shared" si="332"/>
        <v>0</v>
      </c>
      <c r="BZ434" s="424">
        <f t="shared" si="332"/>
        <v>0</v>
      </c>
      <c r="CA434" s="424">
        <f t="shared" si="332"/>
        <v>0</v>
      </c>
      <c r="CB434" s="424">
        <f t="shared" si="332"/>
        <v>0.98</v>
      </c>
      <c r="CC434" s="424">
        <f t="shared" si="332"/>
        <v>0</v>
      </c>
      <c r="CD434" s="424">
        <f t="shared" si="332"/>
        <v>0</v>
      </c>
      <c r="CE434" s="424">
        <f t="shared" si="332"/>
        <v>0</v>
      </c>
      <c r="CF434" s="424">
        <f t="shared" si="332"/>
        <v>0.6</v>
      </c>
      <c r="CG434" s="424">
        <f t="shared" si="332"/>
        <v>0</v>
      </c>
      <c r="CH434" s="424">
        <f t="shared" si="332"/>
        <v>0</v>
      </c>
      <c r="CI434" s="424">
        <f t="shared" si="332"/>
        <v>0</v>
      </c>
      <c r="CJ434" s="424">
        <f t="shared" si="332"/>
        <v>0</v>
      </c>
      <c r="CK434" s="424">
        <f t="shared" si="332"/>
        <v>0</v>
      </c>
      <c r="CL434" s="424">
        <f t="shared" si="332"/>
        <v>0</v>
      </c>
      <c r="CM434" s="424">
        <f t="shared" si="332"/>
        <v>0</v>
      </c>
      <c r="CN434" s="424">
        <f t="shared" si="332"/>
        <v>0</v>
      </c>
      <c r="CO434" s="424">
        <f t="shared" si="332"/>
        <v>0</v>
      </c>
      <c r="CP434" s="424">
        <f t="shared" si="332"/>
        <v>0</v>
      </c>
      <c r="CQ434" s="424">
        <f t="shared" si="332"/>
        <v>0</v>
      </c>
      <c r="CR434" s="424">
        <f t="shared" si="332"/>
        <v>0</v>
      </c>
      <c r="CS434" s="424">
        <f t="shared" si="332"/>
        <v>0.01</v>
      </c>
      <c r="CT434" s="424">
        <f t="shared" si="332"/>
        <v>0</v>
      </c>
      <c r="CU434" s="424">
        <f t="shared" si="332"/>
        <v>0</v>
      </c>
      <c r="CV434" s="424">
        <f t="shared" si="332"/>
        <v>0</v>
      </c>
      <c r="CW434" s="424">
        <f t="shared" si="332"/>
        <v>0</v>
      </c>
      <c r="CX434" s="424">
        <f t="shared" si="332"/>
        <v>0</v>
      </c>
      <c r="CY434" s="424">
        <f t="shared" si="332"/>
        <v>0</v>
      </c>
      <c r="CZ434" s="424">
        <f t="shared" si="332"/>
        <v>0</v>
      </c>
      <c r="DA434" s="424">
        <f t="shared" si="332"/>
        <v>0</v>
      </c>
      <c r="DB434" s="424">
        <f t="shared" ref="DB434:EG434" si="333">DB64*DB$372</f>
        <v>0</v>
      </c>
      <c r="DC434" s="424">
        <f t="shared" si="333"/>
        <v>0.06</v>
      </c>
      <c r="DD434" s="424">
        <f t="shared" si="333"/>
        <v>0</v>
      </c>
      <c r="DE434" s="424">
        <f t="shared" si="333"/>
        <v>0</v>
      </c>
      <c r="DF434" s="424">
        <f t="shared" si="333"/>
        <v>0</v>
      </c>
      <c r="DG434" s="424">
        <f t="shared" si="333"/>
        <v>0</v>
      </c>
      <c r="DH434" s="424">
        <f t="shared" si="333"/>
        <v>0</v>
      </c>
      <c r="DI434" s="424">
        <f t="shared" si="333"/>
        <v>0</v>
      </c>
      <c r="DJ434" s="424">
        <f t="shared" si="333"/>
        <v>0</v>
      </c>
      <c r="DK434" s="424">
        <f t="shared" si="333"/>
        <v>0</v>
      </c>
      <c r="DL434" s="424">
        <f t="shared" si="333"/>
        <v>0</v>
      </c>
      <c r="DM434" s="424">
        <f t="shared" si="333"/>
        <v>0</v>
      </c>
      <c r="DN434" s="424">
        <f t="shared" si="333"/>
        <v>0</v>
      </c>
      <c r="DO434" s="424">
        <f t="shared" si="333"/>
        <v>0</v>
      </c>
      <c r="DP434" s="424">
        <f t="shared" si="333"/>
        <v>0</v>
      </c>
      <c r="DQ434" s="424">
        <f t="shared" si="333"/>
        <v>0</v>
      </c>
      <c r="DR434" s="424">
        <f t="shared" si="333"/>
        <v>0</v>
      </c>
      <c r="DS434" s="424">
        <f t="shared" si="333"/>
        <v>0</v>
      </c>
      <c r="DT434" s="424">
        <f t="shared" si="333"/>
        <v>0</v>
      </c>
      <c r="DU434" s="424">
        <f t="shared" si="333"/>
        <v>0</v>
      </c>
      <c r="DV434" s="424">
        <f t="shared" si="333"/>
        <v>0</v>
      </c>
      <c r="DW434" s="424">
        <f t="shared" si="333"/>
        <v>0</v>
      </c>
      <c r="DX434" s="424">
        <f t="shared" si="333"/>
        <v>0</v>
      </c>
      <c r="DY434" s="424">
        <f t="shared" si="333"/>
        <v>0</v>
      </c>
      <c r="DZ434" s="424">
        <f t="shared" si="333"/>
        <v>0</v>
      </c>
      <c r="EA434" s="424">
        <f t="shared" si="333"/>
        <v>0</v>
      </c>
      <c r="EB434" s="424">
        <f t="shared" si="333"/>
        <v>0</v>
      </c>
      <c r="EC434" s="424">
        <f t="shared" si="333"/>
        <v>0</v>
      </c>
      <c r="ED434" s="424">
        <f t="shared" si="333"/>
        <v>0</v>
      </c>
      <c r="EE434" s="424">
        <f t="shared" si="333"/>
        <v>0</v>
      </c>
      <c r="EF434" s="424">
        <f t="shared" si="333"/>
        <v>0</v>
      </c>
      <c r="EG434" s="424">
        <f t="shared" si="333"/>
        <v>0</v>
      </c>
      <c r="EH434" s="424">
        <f t="shared" ref="EH434:EX434" si="334">EH64*EH$372</f>
        <v>0</v>
      </c>
      <c r="EI434" s="424">
        <f t="shared" si="334"/>
        <v>0</v>
      </c>
      <c r="EJ434" s="424">
        <f t="shared" si="334"/>
        <v>0</v>
      </c>
      <c r="EK434" s="424">
        <f t="shared" si="334"/>
        <v>0</v>
      </c>
      <c r="EL434" s="424">
        <f t="shared" si="334"/>
        <v>0</v>
      </c>
      <c r="EM434" s="424">
        <f t="shared" si="334"/>
        <v>0</v>
      </c>
      <c r="EN434" s="424">
        <f t="shared" si="334"/>
        <v>0</v>
      </c>
      <c r="EO434" s="424">
        <f t="shared" si="334"/>
        <v>0</v>
      </c>
      <c r="EP434" s="424">
        <f t="shared" si="334"/>
        <v>0</v>
      </c>
      <c r="EQ434" s="424">
        <f t="shared" si="334"/>
        <v>0</v>
      </c>
      <c r="ER434" s="424">
        <f t="shared" si="334"/>
        <v>0</v>
      </c>
      <c r="ES434" s="424">
        <f t="shared" si="334"/>
        <v>0</v>
      </c>
      <c r="ET434" s="424">
        <f t="shared" si="334"/>
        <v>0</v>
      </c>
      <c r="EU434" s="424">
        <f t="shared" si="334"/>
        <v>0</v>
      </c>
      <c r="EV434" s="424">
        <f t="shared" si="334"/>
        <v>0</v>
      </c>
      <c r="EW434" s="424">
        <f t="shared" si="334"/>
        <v>0</v>
      </c>
      <c r="EX434" s="424">
        <f t="shared" si="334"/>
        <v>0</v>
      </c>
      <c r="EY434" s="425">
        <f t="shared" si="49"/>
        <v>8.3000000000000007</v>
      </c>
      <c r="EZ434" s="616"/>
      <c r="FA434" s="616"/>
      <c r="FB434" s="616"/>
      <c r="FC434" s="616"/>
      <c r="FD434" s="616"/>
      <c r="FE434" s="616"/>
      <c r="FF434" s="616"/>
      <c r="FG434" s="616"/>
      <c r="FH434" s="616"/>
      <c r="FI434" s="616"/>
      <c r="FJ434" s="616"/>
    </row>
    <row r="435" spans="1:166" s="605" customFormat="1" ht="14.7" customHeight="1" x14ac:dyDescent="0.25">
      <c r="A435" s="310">
        <v>61</v>
      </c>
      <c r="B435" s="311" t="str">
        <f t="shared" si="30"/>
        <v>Суп крестьянский с крупой овсяной</v>
      </c>
      <c r="C435" s="483">
        <f t="shared" si="38"/>
        <v>7.67</v>
      </c>
      <c r="D435" s="888"/>
      <c r="E435" s="888"/>
      <c r="F435" s="888"/>
      <c r="G435" s="889"/>
      <c r="H435" s="680">
        <f t="shared" si="31"/>
        <v>98</v>
      </c>
      <c r="I435" s="1209">
        <f t="shared" si="32"/>
        <v>0</v>
      </c>
      <c r="J435" s="424">
        <f t="shared" ref="J435:AO435" si="335">J65*J$372</f>
        <v>0</v>
      </c>
      <c r="K435" s="424">
        <f t="shared" si="335"/>
        <v>0</v>
      </c>
      <c r="L435" s="424">
        <f t="shared" si="335"/>
        <v>0</v>
      </c>
      <c r="M435" s="424">
        <f t="shared" si="335"/>
        <v>0</v>
      </c>
      <c r="N435" s="424">
        <f t="shared" si="335"/>
        <v>0</v>
      </c>
      <c r="O435" s="424">
        <f t="shared" si="335"/>
        <v>0</v>
      </c>
      <c r="P435" s="424">
        <f t="shared" si="335"/>
        <v>0</v>
      </c>
      <c r="Q435" s="424">
        <f t="shared" si="335"/>
        <v>0</v>
      </c>
      <c r="R435" s="424">
        <f t="shared" si="335"/>
        <v>0</v>
      </c>
      <c r="S435" s="424">
        <f t="shared" si="335"/>
        <v>0</v>
      </c>
      <c r="T435" s="424">
        <f t="shared" si="335"/>
        <v>0</v>
      </c>
      <c r="U435" s="424">
        <f t="shared" si="335"/>
        <v>0</v>
      </c>
      <c r="V435" s="424">
        <f t="shared" si="335"/>
        <v>0</v>
      </c>
      <c r="W435" s="424">
        <f t="shared" si="335"/>
        <v>0</v>
      </c>
      <c r="X435" s="424">
        <f t="shared" si="335"/>
        <v>0</v>
      </c>
      <c r="Y435" s="424">
        <f t="shared" si="335"/>
        <v>1.17</v>
      </c>
      <c r="Z435" s="424">
        <f t="shared" si="335"/>
        <v>0</v>
      </c>
      <c r="AA435" s="424">
        <f t="shared" si="335"/>
        <v>0</v>
      </c>
      <c r="AB435" s="424">
        <f t="shared" si="335"/>
        <v>0</v>
      </c>
      <c r="AC435" s="424">
        <f t="shared" si="335"/>
        <v>0</v>
      </c>
      <c r="AD435" s="424">
        <f t="shared" si="335"/>
        <v>0</v>
      </c>
      <c r="AE435" s="424">
        <f t="shared" si="335"/>
        <v>0</v>
      </c>
      <c r="AF435" s="424">
        <f t="shared" si="335"/>
        <v>1.99</v>
      </c>
      <c r="AG435" s="424">
        <f t="shared" si="335"/>
        <v>0</v>
      </c>
      <c r="AH435" s="424">
        <f t="shared" si="335"/>
        <v>1.66</v>
      </c>
      <c r="AI435" s="424">
        <f t="shared" si="335"/>
        <v>0</v>
      </c>
      <c r="AJ435" s="424">
        <f t="shared" si="335"/>
        <v>0</v>
      </c>
      <c r="AK435" s="424">
        <f t="shared" si="335"/>
        <v>0.6</v>
      </c>
      <c r="AL435" s="424">
        <f t="shared" si="335"/>
        <v>0</v>
      </c>
      <c r="AM435" s="424">
        <f t="shared" si="335"/>
        <v>0</v>
      </c>
      <c r="AN435" s="424">
        <f t="shared" si="335"/>
        <v>0</v>
      </c>
      <c r="AO435" s="424">
        <f t="shared" si="335"/>
        <v>0</v>
      </c>
      <c r="AP435" s="424">
        <f t="shared" ref="AP435:BU435" si="336">AP65*AP$372</f>
        <v>0</v>
      </c>
      <c r="AQ435" s="424">
        <f t="shared" si="336"/>
        <v>0.63</v>
      </c>
      <c r="AR435" s="424">
        <f t="shared" si="336"/>
        <v>0</v>
      </c>
      <c r="AS435" s="424">
        <f t="shared" si="336"/>
        <v>0</v>
      </c>
      <c r="AT435" s="424">
        <f t="shared" si="336"/>
        <v>0</v>
      </c>
      <c r="AU435" s="424">
        <f t="shared" si="336"/>
        <v>0.6</v>
      </c>
      <c r="AV435" s="424">
        <f t="shared" si="336"/>
        <v>0</v>
      </c>
      <c r="AW435" s="424">
        <f t="shared" si="336"/>
        <v>0</v>
      </c>
      <c r="AX435" s="424">
        <f t="shared" si="336"/>
        <v>0</v>
      </c>
      <c r="AY435" s="424">
        <f t="shared" si="336"/>
        <v>0</v>
      </c>
      <c r="AZ435" s="424">
        <f t="shared" si="336"/>
        <v>0</v>
      </c>
      <c r="BA435" s="424">
        <f t="shared" si="336"/>
        <v>0</v>
      </c>
      <c r="BB435" s="424">
        <f t="shared" si="336"/>
        <v>0</v>
      </c>
      <c r="BC435" s="424">
        <f t="shared" si="336"/>
        <v>0</v>
      </c>
      <c r="BD435" s="424">
        <f t="shared" si="336"/>
        <v>0</v>
      </c>
      <c r="BE435" s="424">
        <f t="shared" si="336"/>
        <v>0</v>
      </c>
      <c r="BF435" s="424">
        <f t="shared" si="336"/>
        <v>0</v>
      </c>
      <c r="BG435" s="424">
        <f t="shared" si="336"/>
        <v>0</v>
      </c>
      <c r="BH435" s="424">
        <f t="shared" si="336"/>
        <v>0</v>
      </c>
      <c r="BI435" s="424">
        <f t="shared" si="336"/>
        <v>0</v>
      </c>
      <c r="BJ435" s="424">
        <f t="shared" si="336"/>
        <v>0</v>
      </c>
      <c r="BK435" s="424">
        <f t="shared" si="336"/>
        <v>0</v>
      </c>
      <c r="BL435" s="424">
        <f t="shared" si="336"/>
        <v>0</v>
      </c>
      <c r="BM435" s="424">
        <f t="shared" si="336"/>
        <v>0</v>
      </c>
      <c r="BN435" s="424">
        <f t="shared" si="336"/>
        <v>0</v>
      </c>
      <c r="BO435" s="424">
        <f t="shared" si="336"/>
        <v>0</v>
      </c>
      <c r="BP435" s="424">
        <f t="shared" si="336"/>
        <v>0</v>
      </c>
      <c r="BQ435" s="424">
        <f t="shared" si="336"/>
        <v>0</v>
      </c>
      <c r="BR435" s="424">
        <f t="shared" si="336"/>
        <v>0</v>
      </c>
      <c r="BS435" s="424">
        <f t="shared" si="336"/>
        <v>0</v>
      </c>
      <c r="BT435" s="424">
        <f t="shared" si="336"/>
        <v>0</v>
      </c>
      <c r="BU435" s="424">
        <f t="shared" si="336"/>
        <v>0</v>
      </c>
      <c r="BV435" s="424">
        <f t="shared" ref="BV435:DA435" si="337">BV65*BV$372</f>
        <v>0</v>
      </c>
      <c r="BW435" s="424">
        <f t="shared" si="337"/>
        <v>0.35</v>
      </c>
      <c r="BX435" s="424">
        <f t="shared" si="337"/>
        <v>0</v>
      </c>
      <c r="BY435" s="424">
        <f t="shared" si="337"/>
        <v>0</v>
      </c>
      <c r="BZ435" s="424">
        <f t="shared" si="337"/>
        <v>0</v>
      </c>
      <c r="CA435" s="424">
        <f t="shared" si="337"/>
        <v>0</v>
      </c>
      <c r="CB435" s="424">
        <f t="shared" si="337"/>
        <v>0</v>
      </c>
      <c r="CC435" s="424">
        <f t="shared" si="337"/>
        <v>0</v>
      </c>
      <c r="CD435" s="424">
        <f t="shared" si="337"/>
        <v>0</v>
      </c>
      <c r="CE435" s="424">
        <f t="shared" si="337"/>
        <v>0</v>
      </c>
      <c r="CF435" s="424">
        <f t="shared" si="337"/>
        <v>0.6</v>
      </c>
      <c r="CG435" s="424">
        <f t="shared" si="337"/>
        <v>0</v>
      </c>
      <c r="CH435" s="424">
        <f t="shared" si="337"/>
        <v>0</v>
      </c>
      <c r="CI435" s="424">
        <f t="shared" si="337"/>
        <v>0</v>
      </c>
      <c r="CJ435" s="424">
        <f t="shared" si="337"/>
        <v>0</v>
      </c>
      <c r="CK435" s="424">
        <f t="shared" si="337"/>
        <v>0</v>
      </c>
      <c r="CL435" s="424">
        <f t="shared" si="337"/>
        <v>0</v>
      </c>
      <c r="CM435" s="424">
        <f t="shared" si="337"/>
        <v>0</v>
      </c>
      <c r="CN435" s="424">
        <f t="shared" si="337"/>
        <v>0</v>
      </c>
      <c r="CO435" s="424">
        <f t="shared" si="337"/>
        <v>0</v>
      </c>
      <c r="CP435" s="424">
        <f t="shared" si="337"/>
        <v>0</v>
      </c>
      <c r="CQ435" s="424">
        <f t="shared" si="337"/>
        <v>0</v>
      </c>
      <c r="CR435" s="424">
        <f t="shared" si="337"/>
        <v>0</v>
      </c>
      <c r="CS435" s="424">
        <f t="shared" si="337"/>
        <v>0.01</v>
      </c>
      <c r="CT435" s="424">
        <f t="shared" si="337"/>
        <v>0</v>
      </c>
      <c r="CU435" s="424">
        <f t="shared" si="337"/>
        <v>0</v>
      </c>
      <c r="CV435" s="424">
        <f t="shared" si="337"/>
        <v>0</v>
      </c>
      <c r="CW435" s="424">
        <f t="shared" si="337"/>
        <v>0</v>
      </c>
      <c r="CX435" s="424">
        <f t="shared" si="337"/>
        <v>0</v>
      </c>
      <c r="CY435" s="424">
        <f t="shared" si="337"/>
        <v>0</v>
      </c>
      <c r="CZ435" s="424">
        <f t="shared" si="337"/>
        <v>0</v>
      </c>
      <c r="DA435" s="424">
        <f t="shared" si="337"/>
        <v>0</v>
      </c>
      <c r="DB435" s="424">
        <f t="shared" ref="DB435:EG435" si="338">DB65*DB$372</f>
        <v>0</v>
      </c>
      <c r="DC435" s="424">
        <f t="shared" si="338"/>
        <v>0.06</v>
      </c>
      <c r="DD435" s="424">
        <f t="shared" si="338"/>
        <v>0</v>
      </c>
      <c r="DE435" s="424">
        <f t="shared" si="338"/>
        <v>0</v>
      </c>
      <c r="DF435" s="424">
        <f t="shared" si="338"/>
        <v>0</v>
      </c>
      <c r="DG435" s="424">
        <f t="shared" si="338"/>
        <v>0</v>
      </c>
      <c r="DH435" s="424">
        <f t="shared" si="338"/>
        <v>0</v>
      </c>
      <c r="DI435" s="424">
        <f t="shared" si="338"/>
        <v>0</v>
      </c>
      <c r="DJ435" s="424">
        <f t="shared" si="338"/>
        <v>0</v>
      </c>
      <c r="DK435" s="424">
        <f t="shared" si="338"/>
        <v>0</v>
      </c>
      <c r="DL435" s="424">
        <f t="shared" si="338"/>
        <v>0</v>
      </c>
      <c r="DM435" s="424">
        <f t="shared" si="338"/>
        <v>0</v>
      </c>
      <c r="DN435" s="424">
        <f t="shared" si="338"/>
        <v>0</v>
      </c>
      <c r="DO435" s="424">
        <f t="shared" si="338"/>
        <v>0</v>
      </c>
      <c r="DP435" s="424">
        <f t="shared" si="338"/>
        <v>0</v>
      </c>
      <c r="DQ435" s="424">
        <f t="shared" si="338"/>
        <v>0</v>
      </c>
      <c r="DR435" s="424">
        <f t="shared" si="338"/>
        <v>0</v>
      </c>
      <c r="DS435" s="424">
        <f t="shared" si="338"/>
        <v>0</v>
      </c>
      <c r="DT435" s="424">
        <f t="shared" si="338"/>
        <v>0</v>
      </c>
      <c r="DU435" s="424">
        <f t="shared" si="338"/>
        <v>0</v>
      </c>
      <c r="DV435" s="424">
        <f t="shared" si="338"/>
        <v>0</v>
      </c>
      <c r="DW435" s="424">
        <f t="shared" si="338"/>
        <v>0</v>
      </c>
      <c r="DX435" s="424">
        <f t="shared" si="338"/>
        <v>0</v>
      </c>
      <c r="DY435" s="424">
        <f t="shared" si="338"/>
        <v>0</v>
      </c>
      <c r="DZ435" s="424">
        <f t="shared" si="338"/>
        <v>0</v>
      </c>
      <c r="EA435" s="424">
        <f t="shared" si="338"/>
        <v>0</v>
      </c>
      <c r="EB435" s="424">
        <f t="shared" si="338"/>
        <v>0</v>
      </c>
      <c r="EC435" s="424">
        <f t="shared" si="338"/>
        <v>0</v>
      </c>
      <c r="ED435" s="424">
        <f t="shared" si="338"/>
        <v>0</v>
      </c>
      <c r="EE435" s="424">
        <f t="shared" si="338"/>
        <v>0</v>
      </c>
      <c r="EF435" s="424">
        <f t="shared" si="338"/>
        <v>0</v>
      </c>
      <c r="EG435" s="424">
        <f t="shared" si="338"/>
        <v>0</v>
      </c>
      <c r="EH435" s="424">
        <f t="shared" ref="EH435:EX435" si="339">EH65*EH$372</f>
        <v>0</v>
      </c>
      <c r="EI435" s="424">
        <f t="shared" si="339"/>
        <v>0</v>
      </c>
      <c r="EJ435" s="424">
        <f t="shared" si="339"/>
        <v>0</v>
      </c>
      <c r="EK435" s="424">
        <f t="shared" si="339"/>
        <v>0</v>
      </c>
      <c r="EL435" s="424">
        <f t="shared" si="339"/>
        <v>0</v>
      </c>
      <c r="EM435" s="424">
        <f t="shared" si="339"/>
        <v>0</v>
      </c>
      <c r="EN435" s="424">
        <f t="shared" si="339"/>
        <v>0</v>
      </c>
      <c r="EO435" s="424">
        <f t="shared" si="339"/>
        <v>0</v>
      </c>
      <c r="EP435" s="424">
        <f t="shared" si="339"/>
        <v>0</v>
      </c>
      <c r="EQ435" s="424">
        <f t="shared" si="339"/>
        <v>0</v>
      </c>
      <c r="ER435" s="424">
        <f t="shared" si="339"/>
        <v>0</v>
      </c>
      <c r="ES435" s="424">
        <f t="shared" si="339"/>
        <v>0</v>
      </c>
      <c r="ET435" s="424">
        <f t="shared" si="339"/>
        <v>0</v>
      </c>
      <c r="EU435" s="424">
        <f t="shared" si="339"/>
        <v>0</v>
      </c>
      <c r="EV435" s="424">
        <f t="shared" si="339"/>
        <v>0</v>
      </c>
      <c r="EW435" s="424">
        <f t="shared" si="339"/>
        <v>0</v>
      </c>
      <c r="EX435" s="424">
        <f t="shared" si="339"/>
        <v>0</v>
      </c>
      <c r="EY435" s="425">
        <f t="shared" si="49"/>
        <v>7.67</v>
      </c>
      <c r="EZ435" s="616"/>
      <c r="FA435" s="616"/>
      <c r="FB435" s="616"/>
      <c r="FC435" s="616"/>
      <c r="FD435" s="616"/>
      <c r="FE435" s="616"/>
      <c r="FF435" s="616"/>
      <c r="FG435" s="616"/>
      <c r="FH435" s="616"/>
      <c r="FI435" s="616"/>
      <c r="FJ435" s="616"/>
    </row>
    <row r="436" spans="1:166" s="605" customFormat="1" ht="14.7" customHeight="1" x14ac:dyDescent="0.25">
      <c r="A436" s="310">
        <v>62</v>
      </c>
      <c r="B436" s="311" t="str">
        <f t="shared" si="30"/>
        <v>Суп крестьянский с крупой перловой</v>
      </c>
      <c r="C436" s="483">
        <f t="shared" si="38"/>
        <v>7.72</v>
      </c>
      <c r="D436" s="888"/>
      <c r="E436" s="888"/>
      <c r="F436" s="888"/>
      <c r="G436" s="889"/>
      <c r="H436" s="680">
        <f t="shared" si="31"/>
        <v>98</v>
      </c>
      <c r="I436" s="1209">
        <f t="shared" si="32"/>
        <v>0</v>
      </c>
      <c r="J436" s="424">
        <f t="shared" ref="J436:AO436" si="340">J66*J$372</f>
        <v>0</v>
      </c>
      <c r="K436" s="424">
        <f t="shared" si="340"/>
        <v>0</v>
      </c>
      <c r="L436" s="424">
        <f t="shared" si="340"/>
        <v>0</v>
      </c>
      <c r="M436" s="424">
        <f t="shared" si="340"/>
        <v>0</v>
      </c>
      <c r="N436" s="424">
        <f t="shared" si="340"/>
        <v>0</v>
      </c>
      <c r="O436" s="424">
        <f t="shared" si="340"/>
        <v>0</v>
      </c>
      <c r="P436" s="424">
        <f t="shared" si="340"/>
        <v>0</v>
      </c>
      <c r="Q436" s="424">
        <f t="shared" si="340"/>
        <v>0</v>
      </c>
      <c r="R436" s="424">
        <f t="shared" si="340"/>
        <v>0</v>
      </c>
      <c r="S436" s="424">
        <f t="shared" si="340"/>
        <v>0</v>
      </c>
      <c r="T436" s="424">
        <f t="shared" si="340"/>
        <v>0</v>
      </c>
      <c r="U436" s="424">
        <f t="shared" si="340"/>
        <v>0</v>
      </c>
      <c r="V436" s="424">
        <f t="shared" si="340"/>
        <v>0</v>
      </c>
      <c r="W436" s="424">
        <f t="shared" si="340"/>
        <v>0</v>
      </c>
      <c r="X436" s="424">
        <f t="shared" si="340"/>
        <v>0</v>
      </c>
      <c r="Y436" s="424">
        <f t="shared" si="340"/>
        <v>1.17</v>
      </c>
      <c r="Z436" s="424">
        <f t="shared" si="340"/>
        <v>0</v>
      </c>
      <c r="AA436" s="424">
        <f t="shared" si="340"/>
        <v>0</v>
      </c>
      <c r="AB436" s="424">
        <f t="shared" si="340"/>
        <v>0</v>
      </c>
      <c r="AC436" s="424">
        <f t="shared" si="340"/>
        <v>0</v>
      </c>
      <c r="AD436" s="424">
        <f t="shared" si="340"/>
        <v>0</v>
      </c>
      <c r="AE436" s="424">
        <f t="shared" si="340"/>
        <v>0</v>
      </c>
      <c r="AF436" s="424">
        <f t="shared" si="340"/>
        <v>1.99</v>
      </c>
      <c r="AG436" s="424">
        <f t="shared" si="340"/>
        <v>0</v>
      </c>
      <c r="AH436" s="424">
        <f t="shared" si="340"/>
        <v>1.66</v>
      </c>
      <c r="AI436" s="424">
        <f t="shared" si="340"/>
        <v>0</v>
      </c>
      <c r="AJ436" s="424">
        <f t="shared" si="340"/>
        <v>0</v>
      </c>
      <c r="AK436" s="424">
        <f t="shared" si="340"/>
        <v>0.6</v>
      </c>
      <c r="AL436" s="424">
        <f t="shared" si="340"/>
        <v>0</v>
      </c>
      <c r="AM436" s="424">
        <f t="shared" si="340"/>
        <v>0</v>
      </c>
      <c r="AN436" s="424">
        <f t="shared" si="340"/>
        <v>0</v>
      </c>
      <c r="AO436" s="424">
        <f t="shared" si="340"/>
        <v>0</v>
      </c>
      <c r="AP436" s="424">
        <f t="shared" ref="AP436:BU436" si="341">AP66*AP$372</f>
        <v>0</v>
      </c>
      <c r="AQ436" s="424">
        <f t="shared" si="341"/>
        <v>0.63</v>
      </c>
      <c r="AR436" s="424">
        <f t="shared" si="341"/>
        <v>0</v>
      </c>
      <c r="AS436" s="424">
        <f t="shared" si="341"/>
        <v>0</v>
      </c>
      <c r="AT436" s="424">
        <f t="shared" si="341"/>
        <v>0</v>
      </c>
      <c r="AU436" s="424">
        <f t="shared" si="341"/>
        <v>0.6</v>
      </c>
      <c r="AV436" s="424">
        <f t="shared" si="341"/>
        <v>0</v>
      </c>
      <c r="AW436" s="424">
        <f t="shared" si="341"/>
        <v>0</v>
      </c>
      <c r="AX436" s="424">
        <f t="shared" si="341"/>
        <v>0</v>
      </c>
      <c r="AY436" s="424">
        <f t="shared" si="341"/>
        <v>0</v>
      </c>
      <c r="AZ436" s="424">
        <f t="shared" si="341"/>
        <v>0</v>
      </c>
      <c r="BA436" s="424">
        <f t="shared" si="341"/>
        <v>0</v>
      </c>
      <c r="BB436" s="424">
        <f t="shared" si="341"/>
        <v>0</v>
      </c>
      <c r="BC436" s="424">
        <f t="shared" si="341"/>
        <v>0</v>
      </c>
      <c r="BD436" s="424">
        <f t="shared" si="341"/>
        <v>0</v>
      </c>
      <c r="BE436" s="424">
        <f t="shared" si="341"/>
        <v>0</v>
      </c>
      <c r="BF436" s="424">
        <f t="shared" si="341"/>
        <v>0</v>
      </c>
      <c r="BG436" s="424">
        <f t="shared" si="341"/>
        <v>0</v>
      </c>
      <c r="BH436" s="424">
        <f t="shared" si="341"/>
        <v>0</v>
      </c>
      <c r="BI436" s="424">
        <f t="shared" si="341"/>
        <v>0</v>
      </c>
      <c r="BJ436" s="424">
        <f t="shared" si="341"/>
        <v>0</v>
      </c>
      <c r="BK436" s="424">
        <f t="shared" si="341"/>
        <v>0</v>
      </c>
      <c r="BL436" s="424">
        <f t="shared" si="341"/>
        <v>0</v>
      </c>
      <c r="BM436" s="424">
        <f t="shared" si="341"/>
        <v>0</v>
      </c>
      <c r="BN436" s="424">
        <f t="shared" si="341"/>
        <v>0</v>
      </c>
      <c r="BO436" s="424">
        <f t="shared" si="341"/>
        <v>0</v>
      </c>
      <c r="BP436" s="424">
        <f t="shared" si="341"/>
        <v>0</v>
      </c>
      <c r="BQ436" s="424">
        <f t="shared" si="341"/>
        <v>0</v>
      </c>
      <c r="BR436" s="424">
        <f t="shared" si="341"/>
        <v>0</v>
      </c>
      <c r="BS436" s="424">
        <f t="shared" si="341"/>
        <v>0</v>
      </c>
      <c r="BT436" s="424">
        <f t="shared" si="341"/>
        <v>0</v>
      </c>
      <c r="BU436" s="424">
        <f t="shared" si="341"/>
        <v>0</v>
      </c>
      <c r="BV436" s="424">
        <f t="shared" ref="BV436:DA436" si="342">BV66*BV$372</f>
        <v>0.4</v>
      </c>
      <c r="BW436" s="424">
        <f t="shared" si="342"/>
        <v>0</v>
      </c>
      <c r="BX436" s="424">
        <f t="shared" si="342"/>
        <v>0</v>
      </c>
      <c r="BY436" s="424">
        <f t="shared" si="342"/>
        <v>0</v>
      </c>
      <c r="BZ436" s="424">
        <f t="shared" si="342"/>
        <v>0</v>
      </c>
      <c r="CA436" s="424">
        <f t="shared" si="342"/>
        <v>0</v>
      </c>
      <c r="CB436" s="424">
        <f t="shared" si="342"/>
        <v>0</v>
      </c>
      <c r="CC436" s="424">
        <f t="shared" si="342"/>
        <v>0</v>
      </c>
      <c r="CD436" s="424">
        <f t="shared" si="342"/>
        <v>0</v>
      </c>
      <c r="CE436" s="424">
        <f t="shared" si="342"/>
        <v>0</v>
      </c>
      <c r="CF436" s="424">
        <f t="shared" si="342"/>
        <v>0.6</v>
      </c>
      <c r="CG436" s="424">
        <f t="shared" si="342"/>
        <v>0</v>
      </c>
      <c r="CH436" s="424">
        <f t="shared" si="342"/>
        <v>0</v>
      </c>
      <c r="CI436" s="424">
        <f t="shared" si="342"/>
        <v>0</v>
      </c>
      <c r="CJ436" s="424">
        <f t="shared" si="342"/>
        <v>0</v>
      </c>
      <c r="CK436" s="424">
        <f t="shared" si="342"/>
        <v>0</v>
      </c>
      <c r="CL436" s="424">
        <f t="shared" si="342"/>
        <v>0</v>
      </c>
      <c r="CM436" s="424">
        <f t="shared" si="342"/>
        <v>0</v>
      </c>
      <c r="CN436" s="424">
        <f t="shared" si="342"/>
        <v>0</v>
      </c>
      <c r="CO436" s="424">
        <f t="shared" si="342"/>
        <v>0</v>
      </c>
      <c r="CP436" s="424">
        <f t="shared" si="342"/>
        <v>0</v>
      </c>
      <c r="CQ436" s="424">
        <f t="shared" si="342"/>
        <v>0</v>
      </c>
      <c r="CR436" s="424">
        <f t="shared" si="342"/>
        <v>0</v>
      </c>
      <c r="CS436" s="424">
        <f t="shared" si="342"/>
        <v>0.01</v>
      </c>
      <c r="CT436" s="424">
        <f t="shared" si="342"/>
        <v>0</v>
      </c>
      <c r="CU436" s="424">
        <f t="shared" si="342"/>
        <v>0</v>
      </c>
      <c r="CV436" s="424">
        <f t="shared" si="342"/>
        <v>0</v>
      </c>
      <c r="CW436" s="424">
        <f t="shared" si="342"/>
        <v>0</v>
      </c>
      <c r="CX436" s="424">
        <f t="shared" si="342"/>
        <v>0</v>
      </c>
      <c r="CY436" s="424">
        <f t="shared" si="342"/>
        <v>0</v>
      </c>
      <c r="CZ436" s="424">
        <f t="shared" si="342"/>
        <v>0</v>
      </c>
      <c r="DA436" s="424">
        <f t="shared" si="342"/>
        <v>0</v>
      </c>
      <c r="DB436" s="424">
        <f t="shared" ref="DB436:EG436" si="343">DB66*DB$372</f>
        <v>0</v>
      </c>
      <c r="DC436" s="424">
        <f t="shared" si="343"/>
        <v>0.06</v>
      </c>
      <c r="DD436" s="424">
        <f t="shared" si="343"/>
        <v>0</v>
      </c>
      <c r="DE436" s="424">
        <f t="shared" si="343"/>
        <v>0</v>
      </c>
      <c r="DF436" s="424">
        <f t="shared" si="343"/>
        <v>0</v>
      </c>
      <c r="DG436" s="424">
        <f t="shared" si="343"/>
        <v>0</v>
      </c>
      <c r="DH436" s="424">
        <f t="shared" si="343"/>
        <v>0</v>
      </c>
      <c r="DI436" s="424">
        <f t="shared" si="343"/>
        <v>0</v>
      </c>
      <c r="DJ436" s="424">
        <f t="shared" si="343"/>
        <v>0</v>
      </c>
      <c r="DK436" s="424">
        <f t="shared" si="343"/>
        <v>0</v>
      </c>
      <c r="DL436" s="424">
        <f t="shared" si="343"/>
        <v>0</v>
      </c>
      <c r="DM436" s="424">
        <f t="shared" si="343"/>
        <v>0</v>
      </c>
      <c r="DN436" s="424">
        <f t="shared" si="343"/>
        <v>0</v>
      </c>
      <c r="DO436" s="424">
        <f t="shared" si="343"/>
        <v>0</v>
      </c>
      <c r="DP436" s="424">
        <f t="shared" si="343"/>
        <v>0</v>
      </c>
      <c r="DQ436" s="424">
        <f t="shared" si="343"/>
        <v>0</v>
      </c>
      <c r="DR436" s="424">
        <f t="shared" si="343"/>
        <v>0</v>
      </c>
      <c r="DS436" s="424">
        <f t="shared" si="343"/>
        <v>0</v>
      </c>
      <c r="DT436" s="424">
        <f t="shared" si="343"/>
        <v>0</v>
      </c>
      <c r="DU436" s="424">
        <f t="shared" si="343"/>
        <v>0</v>
      </c>
      <c r="DV436" s="424">
        <f t="shared" si="343"/>
        <v>0</v>
      </c>
      <c r="DW436" s="424">
        <f t="shared" si="343"/>
        <v>0</v>
      </c>
      <c r="DX436" s="424">
        <f t="shared" si="343"/>
        <v>0</v>
      </c>
      <c r="DY436" s="424">
        <f t="shared" si="343"/>
        <v>0</v>
      </c>
      <c r="DZ436" s="424">
        <f t="shared" si="343"/>
        <v>0</v>
      </c>
      <c r="EA436" s="424">
        <f t="shared" si="343"/>
        <v>0</v>
      </c>
      <c r="EB436" s="424">
        <f t="shared" si="343"/>
        <v>0</v>
      </c>
      <c r="EC436" s="424">
        <f t="shared" si="343"/>
        <v>0</v>
      </c>
      <c r="ED436" s="424">
        <f t="shared" si="343"/>
        <v>0</v>
      </c>
      <c r="EE436" s="424">
        <f t="shared" si="343"/>
        <v>0</v>
      </c>
      <c r="EF436" s="424">
        <f t="shared" si="343"/>
        <v>0</v>
      </c>
      <c r="EG436" s="424">
        <f t="shared" si="343"/>
        <v>0</v>
      </c>
      <c r="EH436" s="424">
        <f t="shared" ref="EH436:EX436" si="344">EH66*EH$372</f>
        <v>0</v>
      </c>
      <c r="EI436" s="424">
        <f t="shared" si="344"/>
        <v>0</v>
      </c>
      <c r="EJ436" s="424">
        <f t="shared" si="344"/>
        <v>0</v>
      </c>
      <c r="EK436" s="424">
        <f t="shared" si="344"/>
        <v>0</v>
      </c>
      <c r="EL436" s="424">
        <f t="shared" si="344"/>
        <v>0</v>
      </c>
      <c r="EM436" s="424">
        <f t="shared" si="344"/>
        <v>0</v>
      </c>
      <c r="EN436" s="424">
        <f t="shared" si="344"/>
        <v>0</v>
      </c>
      <c r="EO436" s="424">
        <f t="shared" si="344"/>
        <v>0</v>
      </c>
      <c r="EP436" s="424">
        <f t="shared" si="344"/>
        <v>0</v>
      </c>
      <c r="EQ436" s="424">
        <f t="shared" si="344"/>
        <v>0</v>
      </c>
      <c r="ER436" s="424">
        <f t="shared" si="344"/>
        <v>0</v>
      </c>
      <c r="ES436" s="424">
        <f t="shared" si="344"/>
        <v>0</v>
      </c>
      <c r="ET436" s="424">
        <f t="shared" si="344"/>
        <v>0</v>
      </c>
      <c r="EU436" s="424">
        <f t="shared" si="344"/>
        <v>0</v>
      </c>
      <c r="EV436" s="424">
        <f t="shared" si="344"/>
        <v>0</v>
      </c>
      <c r="EW436" s="424">
        <f t="shared" si="344"/>
        <v>0</v>
      </c>
      <c r="EX436" s="424">
        <f t="shared" si="344"/>
        <v>0</v>
      </c>
      <c r="EY436" s="425">
        <f t="shared" si="49"/>
        <v>7.72</v>
      </c>
      <c r="EZ436" s="616"/>
      <c r="FA436" s="616"/>
      <c r="FB436" s="616"/>
      <c r="FC436" s="616"/>
      <c r="FD436" s="616"/>
      <c r="FE436" s="616"/>
      <c r="FF436" s="616"/>
      <c r="FG436" s="616"/>
      <c r="FH436" s="616"/>
      <c r="FI436" s="616"/>
      <c r="FJ436" s="616"/>
    </row>
    <row r="437" spans="1:166" s="605" customFormat="1" ht="14.7" customHeight="1" x14ac:dyDescent="0.25">
      <c r="A437" s="310">
        <v>63</v>
      </c>
      <c r="B437" s="311" t="str">
        <f t="shared" si="30"/>
        <v>Суп крестьянский с крупой пшеничной</v>
      </c>
      <c r="C437" s="483">
        <f t="shared" si="38"/>
        <v>7.67</v>
      </c>
      <c r="D437" s="888"/>
      <c r="E437" s="888"/>
      <c r="F437" s="888"/>
      <c r="G437" s="889"/>
      <c r="H437" s="680">
        <f t="shared" si="31"/>
        <v>98</v>
      </c>
      <c r="I437" s="1209">
        <f t="shared" si="32"/>
        <v>0</v>
      </c>
      <c r="J437" s="424">
        <f t="shared" ref="J437:AO437" si="345">J67*J$372</f>
        <v>0</v>
      </c>
      <c r="K437" s="424">
        <f t="shared" si="345"/>
        <v>0</v>
      </c>
      <c r="L437" s="424">
        <f t="shared" si="345"/>
        <v>0</v>
      </c>
      <c r="M437" s="424">
        <f t="shared" si="345"/>
        <v>0</v>
      </c>
      <c r="N437" s="424">
        <f t="shared" si="345"/>
        <v>0</v>
      </c>
      <c r="O437" s="424">
        <f t="shared" si="345"/>
        <v>0</v>
      </c>
      <c r="P437" s="424">
        <f t="shared" si="345"/>
        <v>0</v>
      </c>
      <c r="Q437" s="424">
        <f t="shared" si="345"/>
        <v>0</v>
      </c>
      <c r="R437" s="424">
        <f t="shared" si="345"/>
        <v>0</v>
      </c>
      <c r="S437" s="424">
        <f t="shared" si="345"/>
        <v>0</v>
      </c>
      <c r="T437" s="424">
        <f t="shared" si="345"/>
        <v>0</v>
      </c>
      <c r="U437" s="424">
        <f t="shared" si="345"/>
        <v>0</v>
      </c>
      <c r="V437" s="424">
        <f t="shared" si="345"/>
        <v>0</v>
      </c>
      <c r="W437" s="424">
        <f t="shared" si="345"/>
        <v>0</v>
      </c>
      <c r="X437" s="424">
        <f t="shared" si="345"/>
        <v>0</v>
      </c>
      <c r="Y437" s="424">
        <f t="shared" si="345"/>
        <v>1.17</v>
      </c>
      <c r="Z437" s="424">
        <f t="shared" si="345"/>
        <v>0</v>
      </c>
      <c r="AA437" s="424">
        <f t="shared" si="345"/>
        <v>0</v>
      </c>
      <c r="AB437" s="424">
        <f t="shared" si="345"/>
        <v>0</v>
      </c>
      <c r="AC437" s="424">
        <f t="shared" si="345"/>
        <v>0</v>
      </c>
      <c r="AD437" s="424">
        <f t="shared" si="345"/>
        <v>0</v>
      </c>
      <c r="AE437" s="424">
        <f t="shared" si="345"/>
        <v>0</v>
      </c>
      <c r="AF437" s="424">
        <f t="shared" si="345"/>
        <v>1.99</v>
      </c>
      <c r="AG437" s="424">
        <f t="shared" si="345"/>
        <v>0</v>
      </c>
      <c r="AH437" s="424">
        <f t="shared" si="345"/>
        <v>1.66</v>
      </c>
      <c r="AI437" s="424">
        <f t="shared" si="345"/>
        <v>0</v>
      </c>
      <c r="AJ437" s="424">
        <f t="shared" si="345"/>
        <v>0</v>
      </c>
      <c r="AK437" s="424">
        <f t="shared" si="345"/>
        <v>0.6</v>
      </c>
      <c r="AL437" s="424">
        <f t="shared" si="345"/>
        <v>0</v>
      </c>
      <c r="AM437" s="424">
        <f t="shared" si="345"/>
        <v>0</v>
      </c>
      <c r="AN437" s="424">
        <f t="shared" si="345"/>
        <v>0</v>
      </c>
      <c r="AO437" s="424">
        <f t="shared" si="345"/>
        <v>0</v>
      </c>
      <c r="AP437" s="424">
        <f t="shared" ref="AP437:BU437" si="346">AP67*AP$372</f>
        <v>0</v>
      </c>
      <c r="AQ437" s="424">
        <f t="shared" si="346"/>
        <v>0.63</v>
      </c>
      <c r="AR437" s="424">
        <f t="shared" si="346"/>
        <v>0</v>
      </c>
      <c r="AS437" s="424">
        <f t="shared" si="346"/>
        <v>0</v>
      </c>
      <c r="AT437" s="424">
        <f t="shared" si="346"/>
        <v>0</v>
      </c>
      <c r="AU437" s="424">
        <f t="shared" si="346"/>
        <v>0.6</v>
      </c>
      <c r="AV437" s="424">
        <f t="shared" si="346"/>
        <v>0</v>
      </c>
      <c r="AW437" s="424">
        <f t="shared" si="346"/>
        <v>0</v>
      </c>
      <c r="AX437" s="424">
        <f t="shared" si="346"/>
        <v>0</v>
      </c>
      <c r="AY437" s="424">
        <f t="shared" si="346"/>
        <v>0</v>
      </c>
      <c r="AZ437" s="424">
        <f t="shared" si="346"/>
        <v>0</v>
      </c>
      <c r="BA437" s="424">
        <f t="shared" si="346"/>
        <v>0</v>
      </c>
      <c r="BB437" s="424">
        <f t="shared" si="346"/>
        <v>0</v>
      </c>
      <c r="BC437" s="424">
        <f t="shared" si="346"/>
        <v>0</v>
      </c>
      <c r="BD437" s="424">
        <f t="shared" si="346"/>
        <v>0</v>
      </c>
      <c r="BE437" s="424">
        <f t="shared" si="346"/>
        <v>0</v>
      </c>
      <c r="BF437" s="424">
        <f t="shared" si="346"/>
        <v>0</v>
      </c>
      <c r="BG437" s="424">
        <f t="shared" si="346"/>
        <v>0</v>
      </c>
      <c r="BH437" s="424">
        <f t="shared" si="346"/>
        <v>0</v>
      </c>
      <c r="BI437" s="424">
        <f t="shared" si="346"/>
        <v>0</v>
      </c>
      <c r="BJ437" s="424">
        <f t="shared" si="346"/>
        <v>0</v>
      </c>
      <c r="BK437" s="424">
        <f t="shared" si="346"/>
        <v>0</v>
      </c>
      <c r="BL437" s="424">
        <f t="shared" si="346"/>
        <v>0</v>
      </c>
      <c r="BM437" s="424">
        <f t="shared" si="346"/>
        <v>0</v>
      </c>
      <c r="BN437" s="424">
        <f t="shared" si="346"/>
        <v>0</v>
      </c>
      <c r="BO437" s="424">
        <f t="shared" si="346"/>
        <v>0</v>
      </c>
      <c r="BP437" s="424">
        <f t="shared" si="346"/>
        <v>0</v>
      </c>
      <c r="BQ437" s="424">
        <f t="shared" si="346"/>
        <v>0</v>
      </c>
      <c r="BR437" s="424">
        <f t="shared" si="346"/>
        <v>0</v>
      </c>
      <c r="BS437" s="424">
        <f t="shared" si="346"/>
        <v>0</v>
      </c>
      <c r="BT437" s="424">
        <f t="shared" si="346"/>
        <v>0</v>
      </c>
      <c r="BU437" s="424">
        <f t="shared" si="346"/>
        <v>0</v>
      </c>
      <c r="BV437" s="424">
        <f t="shared" ref="BV437:DA437" si="347">BV67*BV$372</f>
        <v>0</v>
      </c>
      <c r="BW437" s="424">
        <f t="shared" si="347"/>
        <v>0</v>
      </c>
      <c r="BX437" s="424">
        <f t="shared" si="347"/>
        <v>0</v>
      </c>
      <c r="BY437" s="424">
        <f t="shared" si="347"/>
        <v>0.35</v>
      </c>
      <c r="BZ437" s="424">
        <f t="shared" si="347"/>
        <v>0</v>
      </c>
      <c r="CA437" s="424">
        <f t="shared" si="347"/>
        <v>0</v>
      </c>
      <c r="CB437" s="424">
        <f t="shared" si="347"/>
        <v>0</v>
      </c>
      <c r="CC437" s="424">
        <f t="shared" si="347"/>
        <v>0</v>
      </c>
      <c r="CD437" s="424">
        <f t="shared" si="347"/>
        <v>0</v>
      </c>
      <c r="CE437" s="424">
        <f t="shared" si="347"/>
        <v>0</v>
      </c>
      <c r="CF437" s="424">
        <f t="shared" si="347"/>
        <v>0.6</v>
      </c>
      <c r="CG437" s="424">
        <f t="shared" si="347"/>
        <v>0</v>
      </c>
      <c r="CH437" s="424">
        <f t="shared" si="347"/>
        <v>0</v>
      </c>
      <c r="CI437" s="424">
        <f t="shared" si="347"/>
        <v>0</v>
      </c>
      <c r="CJ437" s="424">
        <f t="shared" si="347"/>
        <v>0</v>
      </c>
      <c r="CK437" s="424">
        <f t="shared" si="347"/>
        <v>0</v>
      </c>
      <c r="CL437" s="424">
        <f t="shared" si="347"/>
        <v>0</v>
      </c>
      <c r="CM437" s="424">
        <f t="shared" si="347"/>
        <v>0</v>
      </c>
      <c r="CN437" s="424">
        <f t="shared" si="347"/>
        <v>0</v>
      </c>
      <c r="CO437" s="424">
        <f t="shared" si="347"/>
        <v>0</v>
      </c>
      <c r="CP437" s="424">
        <f t="shared" si="347"/>
        <v>0</v>
      </c>
      <c r="CQ437" s="424">
        <f t="shared" si="347"/>
        <v>0</v>
      </c>
      <c r="CR437" s="424">
        <f t="shared" si="347"/>
        <v>0</v>
      </c>
      <c r="CS437" s="424">
        <f t="shared" si="347"/>
        <v>0.01</v>
      </c>
      <c r="CT437" s="424">
        <f t="shared" si="347"/>
        <v>0</v>
      </c>
      <c r="CU437" s="424">
        <f t="shared" si="347"/>
        <v>0</v>
      </c>
      <c r="CV437" s="424">
        <f t="shared" si="347"/>
        <v>0</v>
      </c>
      <c r="CW437" s="424">
        <f t="shared" si="347"/>
        <v>0</v>
      </c>
      <c r="CX437" s="424">
        <f t="shared" si="347"/>
        <v>0</v>
      </c>
      <c r="CY437" s="424">
        <f t="shared" si="347"/>
        <v>0</v>
      </c>
      <c r="CZ437" s="424">
        <f t="shared" si="347"/>
        <v>0</v>
      </c>
      <c r="DA437" s="424">
        <f t="shared" si="347"/>
        <v>0</v>
      </c>
      <c r="DB437" s="424">
        <f t="shared" ref="DB437:EG437" si="348">DB67*DB$372</f>
        <v>0</v>
      </c>
      <c r="DC437" s="424">
        <f t="shared" si="348"/>
        <v>0.06</v>
      </c>
      <c r="DD437" s="424">
        <f t="shared" si="348"/>
        <v>0</v>
      </c>
      <c r="DE437" s="424">
        <f t="shared" si="348"/>
        <v>0</v>
      </c>
      <c r="DF437" s="424">
        <f t="shared" si="348"/>
        <v>0</v>
      </c>
      <c r="DG437" s="424">
        <f t="shared" si="348"/>
        <v>0</v>
      </c>
      <c r="DH437" s="424">
        <f t="shared" si="348"/>
        <v>0</v>
      </c>
      <c r="DI437" s="424">
        <f t="shared" si="348"/>
        <v>0</v>
      </c>
      <c r="DJ437" s="424">
        <f t="shared" si="348"/>
        <v>0</v>
      </c>
      <c r="DK437" s="424">
        <f t="shared" si="348"/>
        <v>0</v>
      </c>
      <c r="DL437" s="424">
        <f t="shared" si="348"/>
        <v>0</v>
      </c>
      <c r="DM437" s="424">
        <f t="shared" si="348"/>
        <v>0</v>
      </c>
      <c r="DN437" s="424">
        <f t="shared" si="348"/>
        <v>0</v>
      </c>
      <c r="DO437" s="424">
        <f t="shared" si="348"/>
        <v>0</v>
      </c>
      <c r="DP437" s="424">
        <f t="shared" si="348"/>
        <v>0</v>
      </c>
      <c r="DQ437" s="424">
        <f t="shared" si="348"/>
        <v>0</v>
      </c>
      <c r="DR437" s="424">
        <f t="shared" si="348"/>
        <v>0</v>
      </c>
      <c r="DS437" s="424">
        <f t="shared" si="348"/>
        <v>0</v>
      </c>
      <c r="DT437" s="424">
        <f t="shared" si="348"/>
        <v>0</v>
      </c>
      <c r="DU437" s="424">
        <f t="shared" si="348"/>
        <v>0</v>
      </c>
      <c r="DV437" s="424">
        <f t="shared" si="348"/>
        <v>0</v>
      </c>
      <c r="DW437" s="424">
        <f t="shared" si="348"/>
        <v>0</v>
      </c>
      <c r="DX437" s="424">
        <f t="shared" si="348"/>
        <v>0</v>
      </c>
      <c r="DY437" s="424">
        <f t="shared" si="348"/>
        <v>0</v>
      </c>
      <c r="DZ437" s="424">
        <f t="shared" si="348"/>
        <v>0</v>
      </c>
      <c r="EA437" s="424">
        <f t="shared" si="348"/>
        <v>0</v>
      </c>
      <c r="EB437" s="424">
        <f t="shared" si="348"/>
        <v>0</v>
      </c>
      <c r="EC437" s="424">
        <f t="shared" si="348"/>
        <v>0</v>
      </c>
      <c r="ED437" s="424">
        <f t="shared" si="348"/>
        <v>0</v>
      </c>
      <c r="EE437" s="424">
        <f t="shared" si="348"/>
        <v>0</v>
      </c>
      <c r="EF437" s="424">
        <f t="shared" si="348"/>
        <v>0</v>
      </c>
      <c r="EG437" s="424">
        <f t="shared" si="348"/>
        <v>0</v>
      </c>
      <c r="EH437" s="424">
        <f t="shared" ref="EH437:EX437" si="349">EH67*EH$372</f>
        <v>0</v>
      </c>
      <c r="EI437" s="424">
        <f t="shared" si="349"/>
        <v>0</v>
      </c>
      <c r="EJ437" s="424">
        <f t="shared" si="349"/>
        <v>0</v>
      </c>
      <c r="EK437" s="424">
        <f t="shared" si="349"/>
        <v>0</v>
      </c>
      <c r="EL437" s="424">
        <f t="shared" si="349"/>
        <v>0</v>
      </c>
      <c r="EM437" s="424">
        <f t="shared" si="349"/>
        <v>0</v>
      </c>
      <c r="EN437" s="424">
        <f t="shared" si="349"/>
        <v>0</v>
      </c>
      <c r="EO437" s="424">
        <f t="shared" si="349"/>
        <v>0</v>
      </c>
      <c r="EP437" s="424">
        <f t="shared" si="349"/>
        <v>0</v>
      </c>
      <c r="EQ437" s="424">
        <f t="shared" si="349"/>
        <v>0</v>
      </c>
      <c r="ER437" s="424">
        <f t="shared" si="349"/>
        <v>0</v>
      </c>
      <c r="ES437" s="424">
        <f t="shared" si="349"/>
        <v>0</v>
      </c>
      <c r="ET437" s="424">
        <f t="shared" si="349"/>
        <v>0</v>
      </c>
      <c r="EU437" s="424">
        <f t="shared" si="349"/>
        <v>0</v>
      </c>
      <c r="EV437" s="424">
        <f t="shared" si="349"/>
        <v>0</v>
      </c>
      <c r="EW437" s="424">
        <f t="shared" si="349"/>
        <v>0</v>
      </c>
      <c r="EX437" s="424">
        <f t="shared" si="349"/>
        <v>0</v>
      </c>
      <c r="EY437" s="425">
        <f t="shared" si="49"/>
        <v>7.67</v>
      </c>
      <c r="EZ437" s="616"/>
      <c r="FA437" s="616"/>
      <c r="FB437" s="616"/>
      <c r="FC437" s="616"/>
      <c r="FD437" s="616"/>
      <c r="FE437" s="616"/>
      <c r="FF437" s="616"/>
      <c r="FG437" s="616"/>
      <c r="FH437" s="616"/>
      <c r="FI437" s="616"/>
      <c r="FJ437" s="616"/>
    </row>
    <row r="438" spans="1:166" s="605" customFormat="1" ht="14.7" customHeight="1" x14ac:dyDescent="0.25">
      <c r="A438" s="310">
        <v>64</v>
      </c>
      <c r="B438" s="311" t="str">
        <f t="shared" si="30"/>
        <v>Суп крестьянский с пшеном</v>
      </c>
      <c r="C438" s="483">
        <f t="shared" si="38"/>
        <v>7.62</v>
      </c>
      <c r="D438" s="888"/>
      <c r="E438" s="888"/>
      <c r="F438" s="888"/>
      <c r="G438" s="889"/>
      <c r="H438" s="680">
        <f t="shared" si="31"/>
        <v>98</v>
      </c>
      <c r="I438" s="1209">
        <f t="shared" si="32"/>
        <v>0</v>
      </c>
      <c r="J438" s="424">
        <f t="shared" ref="J438:AO438" si="350">J68*J$372</f>
        <v>0</v>
      </c>
      <c r="K438" s="424">
        <f t="shared" si="350"/>
        <v>0</v>
      </c>
      <c r="L438" s="424">
        <f t="shared" si="350"/>
        <v>0</v>
      </c>
      <c r="M438" s="424">
        <f t="shared" si="350"/>
        <v>0</v>
      </c>
      <c r="N438" s="424">
        <f t="shared" si="350"/>
        <v>0</v>
      </c>
      <c r="O438" s="424">
        <f t="shared" si="350"/>
        <v>0</v>
      </c>
      <c r="P438" s="424">
        <f t="shared" si="350"/>
        <v>0</v>
      </c>
      <c r="Q438" s="424">
        <f t="shared" si="350"/>
        <v>0</v>
      </c>
      <c r="R438" s="424">
        <f t="shared" si="350"/>
        <v>0</v>
      </c>
      <c r="S438" s="424">
        <f t="shared" si="350"/>
        <v>0</v>
      </c>
      <c r="T438" s="424">
        <f t="shared" si="350"/>
        <v>0</v>
      </c>
      <c r="U438" s="424">
        <f t="shared" si="350"/>
        <v>0</v>
      </c>
      <c r="V438" s="424">
        <f t="shared" si="350"/>
        <v>0</v>
      </c>
      <c r="W438" s="424">
        <f t="shared" si="350"/>
        <v>0</v>
      </c>
      <c r="X438" s="424">
        <f t="shared" si="350"/>
        <v>0</v>
      </c>
      <c r="Y438" s="424">
        <f t="shared" si="350"/>
        <v>1.17</v>
      </c>
      <c r="Z438" s="424">
        <f t="shared" si="350"/>
        <v>0</v>
      </c>
      <c r="AA438" s="424">
        <f t="shared" si="350"/>
        <v>0</v>
      </c>
      <c r="AB438" s="424">
        <f t="shared" si="350"/>
        <v>0</v>
      </c>
      <c r="AC438" s="424">
        <f t="shared" si="350"/>
        <v>0</v>
      </c>
      <c r="AD438" s="424">
        <f t="shared" si="350"/>
        <v>0</v>
      </c>
      <c r="AE438" s="424">
        <f t="shared" si="350"/>
        <v>0</v>
      </c>
      <c r="AF438" s="424">
        <f t="shared" si="350"/>
        <v>1.99</v>
      </c>
      <c r="AG438" s="424">
        <f t="shared" si="350"/>
        <v>0</v>
      </c>
      <c r="AH438" s="424">
        <f t="shared" si="350"/>
        <v>1.66</v>
      </c>
      <c r="AI438" s="424">
        <f t="shared" si="350"/>
        <v>0</v>
      </c>
      <c r="AJ438" s="424">
        <f t="shared" si="350"/>
        <v>0</v>
      </c>
      <c r="AK438" s="424">
        <f t="shared" si="350"/>
        <v>0.6</v>
      </c>
      <c r="AL438" s="424">
        <f t="shared" si="350"/>
        <v>0</v>
      </c>
      <c r="AM438" s="424">
        <f t="shared" si="350"/>
        <v>0</v>
      </c>
      <c r="AN438" s="424">
        <f t="shared" si="350"/>
        <v>0</v>
      </c>
      <c r="AO438" s="424">
        <f t="shared" si="350"/>
        <v>0</v>
      </c>
      <c r="AP438" s="424">
        <f t="shared" ref="AP438:BU438" si="351">AP68*AP$372</f>
        <v>0</v>
      </c>
      <c r="AQ438" s="424">
        <f t="shared" si="351"/>
        <v>0.63</v>
      </c>
      <c r="AR438" s="424">
        <f t="shared" si="351"/>
        <v>0</v>
      </c>
      <c r="AS438" s="424">
        <f t="shared" si="351"/>
        <v>0</v>
      </c>
      <c r="AT438" s="424">
        <f t="shared" si="351"/>
        <v>0</v>
      </c>
      <c r="AU438" s="424">
        <f t="shared" si="351"/>
        <v>0.6</v>
      </c>
      <c r="AV438" s="424">
        <f t="shared" si="351"/>
        <v>0</v>
      </c>
      <c r="AW438" s="424">
        <f t="shared" si="351"/>
        <v>0</v>
      </c>
      <c r="AX438" s="424">
        <f t="shared" si="351"/>
        <v>0</v>
      </c>
      <c r="AY438" s="424">
        <f t="shared" si="351"/>
        <v>0</v>
      </c>
      <c r="AZ438" s="424">
        <f t="shared" si="351"/>
        <v>0</v>
      </c>
      <c r="BA438" s="424">
        <f t="shared" si="351"/>
        <v>0</v>
      </c>
      <c r="BB438" s="424">
        <f t="shared" si="351"/>
        <v>0</v>
      </c>
      <c r="BC438" s="424">
        <f t="shared" si="351"/>
        <v>0</v>
      </c>
      <c r="BD438" s="424">
        <f t="shared" si="351"/>
        <v>0</v>
      </c>
      <c r="BE438" s="424">
        <f t="shared" si="351"/>
        <v>0</v>
      </c>
      <c r="BF438" s="424">
        <f t="shared" si="351"/>
        <v>0</v>
      </c>
      <c r="BG438" s="424">
        <f t="shared" si="351"/>
        <v>0</v>
      </c>
      <c r="BH438" s="424">
        <f t="shared" si="351"/>
        <v>0</v>
      </c>
      <c r="BI438" s="424">
        <f t="shared" si="351"/>
        <v>0</v>
      </c>
      <c r="BJ438" s="424">
        <f t="shared" si="351"/>
        <v>0</v>
      </c>
      <c r="BK438" s="424">
        <f t="shared" si="351"/>
        <v>0</v>
      </c>
      <c r="BL438" s="424">
        <f t="shared" si="351"/>
        <v>0</v>
      </c>
      <c r="BM438" s="424">
        <f t="shared" si="351"/>
        <v>0</v>
      </c>
      <c r="BN438" s="424">
        <f t="shared" si="351"/>
        <v>0</v>
      </c>
      <c r="BO438" s="424">
        <f t="shared" si="351"/>
        <v>0</v>
      </c>
      <c r="BP438" s="424">
        <f t="shared" si="351"/>
        <v>0</v>
      </c>
      <c r="BQ438" s="424">
        <f t="shared" si="351"/>
        <v>0</v>
      </c>
      <c r="BR438" s="424">
        <f t="shared" si="351"/>
        <v>0</v>
      </c>
      <c r="BS438" s="424">
        <f t="shared" si="351"/>
        <v>0</v>
      </c>
      <c r="BT438" s="424">
        <f t="shared" si="351"/>
        <v>0</v>
      </c>
      <c r="BU438" s="424">
        <f t="shared" si="351"/>
        <v>0</v>
      </c>
      <c r="BV438" s="424">
        <f t="shared" ref="BV438:DA438" si="352">BV68*BV$372</f>
        <v>0</v>
      </c>
      <c r="BW438" s="424">
        <f t="shared" si="352"/>
        <v>0</v>
      </c>
      <c r="BX438" s="424">
        <f t="shared" si="352"/>
        <v>0</v>
      </c>
      <c r="BY438" s="424">
        <f t="shared" si="352"/>
        <v>0</v>
      </c>
      <c r="BZ438" s="424">
        <f t="shared" si="352"/>
        <v>0</v>
      </c>
      <c r="CA438" s="424">
        <f t="shared" si="352"/>
        <v>0.3</v>
      </c>
      <c r="CB438" s="424">
        <f t="shared" si="352"/>
        <v>0</v>
      </c>
      <c r="CC438" s="424">
        <f t="shared" si="352"/>
        <v>0</v>
      </c>
      <c r="CD438" s="424">
        <f t="shared" si="352"/>
        <v>0</v>
      </c>
      <c r="CE438" s="424">
        <f t="shared" si="352"/>
        <v>0</v>
      </c>
      <c r="CF438" s="424">
        <f t="shared" si="352"/>
        <v>0.6</v>
      </c>
      <c r="CG438" s="424">
        <f t="shared" si="352"/>
        <v>0</v>
      </c>
      <c r="CH438" s="424">
        <f t="shared" si="352"/>
        <v>0</v>
      </c>
      <c r="CI438" s="424">
        <f t="shared" si="352"/>
        <v>0</v>
      </c>
      <c r="CJ438" s="424">
        <f t="shared" si="352"/>
        <v>0</v>
      </c>
      <c r="CK438" s="424">
        <f t="shared" si="352"/>
        <v>0</v>
      </c>
      <c r="CL438" s="424">
        <f t="shared" si="352"/>
        <v>0</v>
      </c>
      <c r="CM438" s="424">
        <f t="shared" si="352"/>
        <v>0</v>
      </c>
      <c r="CN438" s="424">
        <f t="shared" si="352"/>
        <v>0</v>
      </c>
      <c r="CO438" s="424">
        <f t="shared" si="352"/>
        <v>0</v>
      </c>
      <c r="CP438" s="424">
        <f t="shared" si="352"/>
        <v>0</v>
      </c>
      <c r="CQ438" s="424">
        <f t="shared" si="352"/>
        <v>0</v>
      </c>
      <c r="CR438" s="424">
        <f t="shared" si="352"/>
        <v>0</v>
      </c>
      <c r="CS438" s="424">
        <f t="shared" si="352"/>
        <v>0.01</v>
      </c>
      <c r="CT438" s="424">
        <f t="shared" si="352"/>
        <v>0</v>
      </c>
      <c r="CU438" s="424">
        <f t="shared" si="352"/>
        <v>0</v>
      </c>
      <c r="CV438" s="424">
        <f t="shared" si="352"/>
        <v>0</v>
      </c>
      <c r="CW438" s="424">
        <f t="shared" si="352"/>
        <v>0</v>
      </c>
      <c r="CX438" s="424">
        <f t="shared" si="352"/>
        <v>0</v>
      </c>
      <c r="CY438" s="424">
        <f t="shared" si="352"/>
        <v>0</v>
      </c>
      <c r="CZ438" s="424">
        <f t="shared" si="352"/>
        <v>0</v>
      </c>
      <c r="DA438" s="424">
        <f t="shared" si="352"/>
        <v>0</v>
      </c>
      <c r="DB438" s="424">
        <f t="shared" ref="DB438:EG438" si="353">DB68*DB$372</f>
        <v>0</v>
      </c>
      <c r="DC438" s="424">
        <f t="shared" si="353"/>
        <v>0.06</v>
      </c>
      <c r="DD438" s="424">
        <f t="shared" si="353"/>
        <v>0</v>
      </c>
      <c r="DE438" s="424">
        <f t="shared" si="353"/>
        <v>0</v>
      </c>
      <c r="DF438" s="424">
        <f t="shared" si="353"/>
        <v>0</v>
      </c>
      <c r="DG438" s="424">
        <f t="shared" si="353"/>
        <v>0</v>
      </c>
      <c r="DH438" s="424">
        <f t="shared" si="353"/>
        <v>0</v>
      </c>
      <c r="DI438" s="424">
        <f t="shared" si="353"/>
        <v>0</v>
      </c>
      <c r="DJ438" s="424">
        <f t="shared" si="353"/>
        <v>0</v>
      </c>
      <c r="DK438" s="424">
        <f t="shared" si="353"/>
        <v>0</v>
      </c>
      <c r="DL438" s="424">
        <f t="shared" si="353"/>
        <v>0</v>
      </c>
      <c r="DM438" s="424">
        <f t="shared" si="353"/>
        <v>0</v>
      </c>
      <c r="DN438" s="424">
        <f t="shared" si="353"/>
        <v>0</v>
      </c>
      <c r="DO438" s="424">
        <f t="shared" si="353"/>
        <v>0</v>
      </c>
      <c r="DP438" s="424">
        <f t="shared" si="353"/>
        <v>0</v>
      </c>
      <c r="DQ438" s="424">
        <f t="shared" si="353"/>
        <v>0</v>
      </c>
      <c r="DR438" s="424">
        <f t="shared" si="353"/>
        <v>0</v>
      </c>
      <c r="DS438" s="424">
        <f t="shared" si="353"/>
        <v>0</v>
      </c>
      <c r="DT438" s="424">
        <f t="shared" si="353"/>
        <v>0</v>
      </c>
      <c r="DU438" s="424">
        <f t="shared" si="353"/>
        <v>0</v>
      </c>
      <c r="DV438" s="424">
        <f t="shared" si="353"/>
        <v>0</v>
      </c>
      <c r="DW438" s="424">
        <f t="shared" si="353"/>
        <v>0</v>
      </c>
      <c r="DX438" s="424">
        <f t="shared" si="353"/>
        <v>0</v>
      </c>
      <c r="DY438" s="424">
        <f t="shared" si="353"/>
        <v>0</v>
      </c>
      <c r="DZ438" s="424">
        <f t="shared" si="353"/>
        <v>0</v>
      </c>
      <c r="EA438" s="424">
        <f t="shared" si="353"/>
        <v>0</v>
      </c>
      <c r="EB438" s="424">
        <f t="shared" si="353"/>
        <v>0</v>
      </c>
      <c r="EC438" s="424">
        <f t="shared" si="353"/>
        <v>0</v>
      </c>
      <c r="ED438" s="424">
        <f t="shared" si="353"/>
        <v>0</v>
      </c>
      <c r="EE438" s="424">
        <f t="shared" si="353"/>
        <v>0</v>
      </c>
      <c r="EF438" s="424">
        <f t="shared" si="353"/>
        <v>0</v>
      </c>
      <c r="EG438" s="424">
        <f t="shared" si="353"/>
        <v>0</v>
      </c>
      <c r="EH438" s="424">
        <f t="shared" ref="EH438:EX438" si="354">EH68*EH$372</f>
        <v>0</v>
      </c>
      <c r="EI438" s="424">
        <f t="shared" si="354"/>
        <v>0</v>
      </c>
      <c r="EJ438" s="424">
        <f t="shared" si="354"/>
        <v>0</v>
      </c>
      <c r="EK438" s="424">
        <f t="shared" si="354"/>
        <v>0</v>
      </c>
      <c r="EL438" s="424">
        <f t="shared" si="354"/>
        <v>0</v>
      </c>
      <c r="EM438" s="424">
        <f t="shared" si="354"/>
        <v>0</v>
      </c>
      <c r="EN438" s="424">
        <f t="shared" si="354"/>
        <v>0</v>
      </c>
      <c r="EO438" s="424">
        <f t="shared" si="354"/>
        <v>0</v>
      </c>
      <c r="EP438" s="424">
        <f t="shared" si="354"/>
        <v>0</v>
      </c>
      <c r="EQ438" s="424">
        <f t="shared" si="354"/>
        <v>0</v>
      </c>
      <c r="ER438" s="424">
        <f t="shared" si="354"/>
        <v>0</v>
      </c>
      <c r="ES438" s="424">
        <f t="shared" si="354"/>
        <v>0</v>
      </c>
      <c r="ET438" s="424">
        <f t="shared" si="354"/>
        <v>0</v>
      </c>
      <c r="EU438" s="424">
        <f t="shared" si="354"/>
        <v>0</v>
      </c>
      <c r="EV438" s="424">
        <f t="shared" si="354"/>
        <v>0</v>
      </c>
      <c r="EW438" s="424">
        <f t="shared" si="354"/>
        <v>0</v>
      </c>
      <c r="EX438" s="424">
        <f t="shared" si="354"/>
        <v>0</v>
      </c>
      <c r="EY438" s="425">
        <f t="shared" si="49"/>
        <v>7.62</v>
      </c>
      <c r="EZ438" s="616"/>
      <c r="FA438" s="616"/>
      <c r="FB438" s="616"/>
      <c r="FC438" s="616"/>
      <c r="FD438" s="616"/>
      <c r="FE438" s="616"/>
      <c r="FF438" s="616"/>
      <c r="FG438" s="616"/>
      <c r="FH438" s="616"/>
      <c r="FI438" s="616"/>
      <c r="FJ438" s="616"/>
    </row>
    <row r="439" spans="1:166" s="605" customFormat="1" ht="14.7" customHeight="1" x14ac:dyDescent="0.25">
      <c r="A439" s="310">
        <v>65</v>
      </c>
      <c r="B439" s="311" t="str">
        <f t="shared" ref="B439:B502" si="355">B69</f>
        <v>Суп крестьянский с хлопьями  овсяными "Геркулес"</v>
      </c>
      <c r="C439" s="483">
        <f t="shared" si="38"/>
        <v>7.65</v>
      </c>
      <c r="D439" s="888"/>
      <c r="E439" s="888"/>
      <c r="F439" s="888"/>
      <c r="G439" s="889"/>
      <c r="H439" s="680">
        <f t="shared" ref="H439:H502" si="356">H69</f>
        <v>98</v>
      </c>
      <c r="I439" s="1209">
        <f t="shared" ref="I439:I502" si="357">I69-EY439</f>
        <v>-0.01</v>
      </c>
      <c r="J439" s="424">
        <f t="shared" ref="J439:AO439" si="358">J69*J$372</f>
        <v>0</v>
      </c>
      <c r="K439" s="424">
        <f t="shared" si="358"/>
        <v>0</v>
      </c>
      <c r="L439" s="424">
        <f t="shared" si="358"/>
        <v>0</v>
      </c>
      <c r="M439" s="424">
        <f t="shared" si="358"/>
        <v>0</v>
      </c>
      <c r="N439" s="424">
        <f t="shared" si="358"/>
        <v>0</v>
      </c>
      <c r="O439" s="424">
        <f t="shared" si="358"/>
        <v>0</v>
      </c>
      <c r="P439" s="424">
        <f t="shared" si="358"/>
        <v>0</v>
      </c>
      <c r="Q439" s="424">
        <f t="shared" si="358"/>
        <v>0</v>
      </c>
      <c r="R439" s="424">
        <f t="shared" si="358"/>
        <v>0</v>
      </c>
      <c r="S439" s="424">
        <f t="shared" si="358"/>
        <v>0</v>
      </c>
      <c r="T439" s="424">
        <f t="shared" si="358"/>
        <v>0</v>
      </c>
      <c r="U439" s="424">
        <f t="shared" si="358"/>
        <v>0</v>
      </c>
      <c r="V439" s="424">
        <f t="shared" si="358"/>
        <v>0</v>
      </c>
      <c r="W439" s="424">
        <f t="shared" si="358"/>
        <v>0</v>
      </c>
      <c r="X439" s="424">
        <f t="shared" si="358"/>
        <v>0</v>
      </c>
      <c r="Y439" s="424">
        <f t="shared" si="358"/>
        <v>1.17</v>
      </c>
      <c r="Z439" s="424">
        <f t="shared" si="358"/>
        <v>0</v>
      </c>
      <c r="AA439" s="424">
        <f t="shared" si="358"/>
        <v>0</v>
      </c>
      <c r="AB439" s="424">
        <f t="shared" si="358"/>
        <v>0</v>
      </c>
      <c r="AC439" s="424">
        <f t="shared" si="358"/>
        <v>0</v>
      </c>
      <c r="AD439" s="424">
        <f t="shared" si="358"/>
        <v>0</v>
      </c>
      <c r="AE439" s="424">
        <f t="shared" si="358"/>
        <v>0</v>
      </c>
      <c r="AF439" s="424">
        <f t="shared" si="358"/>
        <v>1.99</v>
      </c>
      <c r="AG439" s="424">
        <f t="shared" si="358"/>
        <v>0</v>
      </c>
      <c r="AH439" s="424">
        <f t="shared" si="358"/>
        <v>1.66</v>
      </c>
      <c r="AI439" s="424">
        <f t="shared" si="358"/>
        <v>0</v>
      </c>
      <c r="AJ439" s="424">
        <f t="shared" si="358"/>
        <v>0</v>
      </c>
      <c r="AK439" s="424">
        <f t="shared" si="358"/>
        <v>0.6</v>
      </c>
      <c r="AL439" s="424">
        <f t="shared" si="358"/>
        <v>0</v>
      </c>
      <c r="AM439" s="424">
        <f t="shared" si="358"/>
        <v>0</v>
      </c>
      <c r="AN439" s="424">
        <f t="shared" si="358"/>
        <v>0</v>
      </c>
      <c r="AO439" s="424">
        <f t="shared" si="358"/>
        <v>0</v>
      </c>
      <c r="AP439" s="424">
        <f t="shared" ref="AP439:BU439" si="359">AP69*AP$372</f>
        <v>0</v>
      </c>
      <c r="AQ439" s="424">
        <f t="shared" si="359"/>
        <v>0.63</v>
      </c>
      <c r="AR439" s="424">
        <f t="shared" si="359"/>
        <v>0</v>
      </c>
      <c r="AS439" s="424">
        <f t="shared" si="359"/>
        <v>0</v>
      </c>
      <c r="AT439" s="424">
        <f t="shared" si="359"/>
        <v>0</v>
      </c>
      <c r="AU439" s="424">
        <f t="shared" si="359"/>
        <v>0.6</v>
      </c>
      <c r="AV439" s="424">
        <f t="shared" si="359"/>
        <v>0</v>
      </c>
      <c r="AW439" s="424">
        <f t="shared" si="359"/>
        <v>0</v>
      </c>
      <c r="AX439" s="424">
        <f t="shared" si="359"/>
        <v>0</v>
      </c>
      <c r="AY439" s="424">
        <f t="shared" si="359"/>
        <v>0</v>
      </c>
      <c r="AZ439" s="424">
        <f t="shared" si="359"/>
        <v>0</v>
      </c>
      <c r="BA439" s="424">
        <f t="shared" si="359"/>
        <v>0</v>
      </c>
      <c r="BB439" s="424">
        <f t="shared" si="359"/>
        <v>0</v>
      </c>
      <c r="BC439" s="424">
        <f t="shared" si="359"/>
        <v>0</v>
      </c>
      <c r="BD439" s="424">
        <f t="shared" si="359"/>
        <v>0</v>
      </c>
      <c r="BE439" s="424">
        <f t="shared" si="359"/>
        <v>0</v>
      </c>
      <c r="BF439" s="424">
        <f t="shared" si="359"/>
        <v>0</v>
      </c>
      <c r="BG439" s="424">
        <f t="shared" si="359"/>
        <v>0</v>
      </c>
      <c r="BH439" s="424">
        <f t="shared" si="359"/>
        <v>0</v>
      </c>
      <c r="BI439" s="424">
        <f t="shared" si="359"/>
        <v>0</v>
      </c>
      <c r="BJ439" s="424">
        <f t="shared" si="359"/>
        <v>0</v>
      </c>
      <c r="BK439" s="424">
        <f t="shared" si="359"/>
        <v>0</v>
      </c>
      <c r="BL439" s="424">
        <f t="shared" si="359"/>
        <v>0</v>
      </c>
      <c r="BM439" s="424">
        <f t="shared" si="359"/>
        <v>0</v>
      </c>
      <c r="BN439" s="424">
        <f t="shared" si="359"/>
        <v>0</v>
      </c>
      <c r="BO439" s="424">
        <f t="shared" si="359"/>
        <v>0</v>
      </c>
      <c r="BP439" s="424">
        <f t="shared" si="359"/>
        <v>0</v>
      </c>
      <c r="BQ439" s="424">
        <f t="shared" si="359"/>
        <v>0</v>
      </c>
      <c r="BR439" s="424">
        <f t="shared" si="359"/>
        <v>0</v>
      </c>
      <c r="BS439" s="424">
        <f t="shared" si="359"/>
        <v>0</v>
      </c>
      <c r="BT439" s="424">
        <f t="shared" si="359"/>
        <v>0</v>
      </c>
      <c r="BU439" s="424">
        <f t="shared" si="359"/>
        <v>0</v>
      </c>
      <c r="BV439" s="424">
        <f t="shared" ref="BV439:DA439" si="360">BV69*BV$372</f>
        <v>0</v>
      </c>
      <c r="BW439" s="424">
        <f t="shared" si="360"/>
        <v>0</v>
      </c>
      <c r="BX439" s="424">
        <f t="shared" si="360"/>
        <v>0</v>
      </c>
      <c r="BY439" s="424">
        <f t="shared" si="360"/>
        <v>0</v>
      </c>
      <c r="BZ439" s="424">
        <f t="shared" si="360"/>
        <v>0</v>
      </c>
      <c r="CA439" s="424">
        <f t="shared" si="360"/>
        <v>0</v>
      </c>
      <c r="CB439" s="424">
        <f t="shared" si="360"/>
        <v>0</v>
      </c>
      <c r="CC439" s="424">
        <f t="shared" si="360"/>
        <v>0.33</v>
      </c>
      <c r="CD439" s="424">
        <f t="shared" si="360"/>
        <v>0</v>
      </c>
      <c r="CE439" s="424">
        <f t="shared" si="360"/>
        <v>0</v>
      </c>
      <c r="CF439" s="424">
        <f t="shared" si="360"/>
        <v>0.6</v>
      </c>
      <c r="CG439" s="424">
        <f t="shared" si="360"/>
        <v>0</v>
      </c>
      <c r="CH439" s="424">
        <f t="shared" si="360"/>
        <v>0</v>
      </c>
      <c r="CI439" s="424">
        <f t="shared" si="360"/>
        <v>0</v>
      </c>
      <c r="CJ439" s="424">
        <f t="shared" si="360"/>
        <v>0</v>
      </c>
      <c r="CK439" s="424">
        <f t="shared" si="360"/>
        <v>0</v>
      </c>
      <c r="CL439" s="424">
        <f t="shared" si="360"/>
        <v>0</v>
      </c>
      <c r="CM439" s="424">
        <f t="shared" si="360"/>
        <v>0</v>
      </c>
      <c r="CN439" s="424">
        <f t="shared" si="360"/>
        <v>0</v>
      </c>
      <c r="CO439" s="424">
        <f t="shared" si="360"/>
        <v>0</v>
      </c>
      <c r="CP439" s="424">
        <f t="shared" si="360"/>
        <v>0</v>
      </c>
      <c r="CQ439" s="424">
        <f t="shared" si="360"/>
        <v>0</v>
      </c>
      <c r="CR439" s="424">
        <f t="shared" si="360"/>
        <v>0</v>
      </c>
      <c r="CS439" s="424">
        <f t="shared" si="360"/>
        <v>0.01</v>
      </c>
      <c r="CT439" s="424">
        <f t="shared" si="360"/>
        <v>0</v>
      </c>
      <c r="CU439" s="424">
        <f t="shared" si="360"/>
        <v>0</v>
      </c>
      <c r="CV439" s="424">
        <f t="shared" si="360"/>
        <v>0</v>
      </c>
      <c r="CW439" s="424">
        <f t="shared" si="360"/>
        <v>0</v>
      </c>
      <c r="CX439" s="424">
        <f t="shared" si="360"/>
        <v>0</v>
      </c>
      <c r="CY439" s="424">
        <f t="shared" si="360"/>
        <v>0</v>
      </c>
      <c r="CZ439" s="424">
        <f t="shared" si="360"/>
        <v>0</v>
      </c>
      <c r="DA439" s="424">
        <f t="shared" si="360"/>
        <v>0</v>
      </c>
      <c r="DB439" s="424">
        <f t="shared" ref="DB439:EG439" si="361">DB69*DB$372</f>
        <v>0</v>
      </c>
      <c r="DC439" s="424">
        <f t="shared" si="361"/>
        <v>0.06</v>
      </c>
      <c r="DD439" s="424">
        <f t="shared" si="361"/>
        <v>0</v>
      </c>
      <c r="DE439" s="424">
        <f t="shared" si="361"/>
        <v>0</v>
      </c>
      <c r="DF439" s="424">
        <f t="shared" si="361"/>
        <v>0</v>
      </c>
      <c r="DG439" s="424">
        <f t="shared" si="361"/>
        <v>0</v>
      </c>
      <c r="DH439" s="424">
        <f t="shared" si="361"/>
        <v>0</v>
      </c>
      <c r="DI439" s="424">
        <f t="shared" si="361"/>
        <v>0</v>
      </c>
      <c r="DJ439" s="424">
        <f t="shared" si="361"/>
        <v>0</v>
      </c>
      <c r="DK439" s="424">
        <f t="shared" si="361"/>
        <v>0</v>
      </c>
      <c r="DL439" s="424">
        <f t="shared" si="361"/>
        <v>0</v>
      </c>
      <c r="DM439" s="424">
        <f t="shared" si="361"/>
        <v>0</v>
      </c>
      <c r="DN439" s="424">
        <f t="shared" si="361"/>
        <v>0</v>
      </c>
      <c r="DO439" s="424">
        <f t="shared" si="361"/>
        <v>0</v>
      </c>
      <c r="DP439" s="424">
        <f t="shared" si="361"/>
        <v>0</v>
      </c>
      <c r="DQ439" s="424">
        <f t="shared" si="361"/>
        <v>0</v>
      </c>
      <c r="DR439" s="424">
        <f t="shared" si="361"/>
        <v>0</v>
      </c>
      <c r="DS439" s="424">
        <f t="shared" si="361"/>
        <v>0</v>
      </c>
      <c r="DT439" s="424">
        <f t="shared" si="361"/>
        <v>0</v>
      </c>
      <c r="DU439" s="424">
        <f t="shared" si="361"/>
        <v>0</v>
      </c>
      <c r="DV439" s="424">
        <f t="shared" si="361"/>
        <v>0</v>
      </c>
      <c r="DW439" s="424">
        <f t="shared" si="361"/>
        <v>0</v>
      </c>
      <c r="DX439" s="424">
        <f t="shared" si="361"/>
        <v>0</v>
      </c>
      <c r="DY439" s="424">
        <f t="shared" si="361"/>
        <v>0</v>
      </c>
      <c r="DZ439" s="424">
        <f t="shared" si="361"/>
        <v>0</v>
      </c>
      <c r="EA439" s="424">
        <f t="shared" si="361"/>
        <v>0</v>
      </c>
      <c r="EB439" s="424">
        <f t="shared" si="361"/>
        <v>0</v>
      </c>
      <c r="EC439" s="424">
        <f t="shared" si="361"/>
        <v>0</v>
      </c>
      <c r="ED439" s="424">
        <f t="shared" si="361"/>
        <v>0</v>
      </c>
      <c r="EE439" s="424">
        <f t="shared" si="361"/>
        <v>0</v>
      </c>
      <c r="EF439" s="424">
        <f t="shared" si="361"/>
        <v>0</v>
      </c>
      <c r="EG439" s="424">
        <f t="shared" si="361"/>
        <v>0</v>
      </c>
      <c r="EH439" s="424">
        <f t="shared" ref="EH439:EX439" si="362">EH69*EH$372</f>
        <v>0</v>
      </c>
      <c r="EI439" s="424">
        <f t="shared" si="362"/>
        <v>0</v>
      </c>
      <c r="EJ439" s="424">
        <f t="shared" si="362"/>
        <v>0</v>
      </c>
      <c r="EK439" s="424">
        <f t="shared" si="362"/>
        <v>0</v>
      </c>
      <c r="EL439" s="424">
        <f t="shared" si="362"/>
        <v>0</v>
      </c>
      <c r="EM439" s="424">
        <f t="shared" si="362"/>
        <v>0</v>
      </c>
      <c r="EN439" s="424">
        <f t="shared" si="362"/>
        <v>0</v>
      </c>
      <c r="EO439" s="424">
        <f t="shared" si="362"/>
        <v>0</v>
      </c>
      <c r="EP439" s="424">
        <f t="shared" si="362"/>
        <v>0</v>
      </c>
      <c r="EQ439" s="424">
        <f t="shared" si="362"/>
        <v>0</v>
      </c>
      <c r="ER439" s="424">
        <f t="shared" si="362"/>
        <v>0</v>
      </c>
      <c r="ES439" s="424">
        <f t="shared" si="362"/>
        <v>0</v>
      </c>
      <c r="ET439" s="424">
        <f t="shared" si="362"/>
        <v>0</v>
      </c>
      <c r="EU439" s="424">
        <f t="shared" si="362"/>
        <v>0</v>
      </c>
      <c r="EV439" s="424">
        <f t="shared" si="362"/>
        <v>0</v>
      </c>
      <c r="EW439" s="424">
        <f t="shared" si="362"/>
        <v>0</v>
      </c>
      <c r="EX439" s="424">
        <f t="shared" si="362"/>
        <v>0</v>
      </c>
      <c r="EY439" s="425">
        <f t="shared" si="49"/>
        <v>7.65</v>
      </c>
      <c r="EZ439" s="616"/>
      <c r="FA439" s="616"/>
      <c r="FB439" s="616"/>
      <c r="FC439" s="616"/>
      <c r="FD439" s="616"/>
      <c r="FE439" s="616"/>
      <c r="FF439" s="616"/>
      <c r="FG439" s="616"/>
      <c r="FH439" s="616"/>
      <c r="FI439" s="616"/>
      <c r="FJ439" s="616"/>
    </row>
    <row r="440" spans="1:166" s="605" customFormat="1" ht="14.7" customHeight="1" x14ac:dyDescent="0.25">
      <c r="A440" s="310">
        <v>66</v>
      </c>
      <c r="B440" s="311" t="str">
        <f t="shared" si="355"/>
        <v>Суп из овощей</v>
      </c>
      <c r="C440" s="483">
        <f t="shared" ref="C440:C503" si="363">EY440</f>
        <v>9.83</v>
      </c>
      <c r="D440" s="888"/>
      <c r="E440" s="888"/>
      <c r="F440" s="888"/>
      <c r="G440" s="889"/>
      <c r="H440" s="680">
        <f t="shared" si="356"/>
        <v>99</v>
      </c>
      <c r="I440" s="1209">
        <f t="shared" si="357"/>
        <v>-0.02</v>
      </c>
      <c r="J440" s="424">
        <f t="shared" ref="J440:AO440" si="364">J70*J$372</f>
        <v>0</v>
      </c>
      <c r="K440" s="424">
        <f t="shared" si="364"/>
        <v>0</v>
      </c>
      <c r="L440" s="424">
        <f t="shared" si="364"/>
        <v>0</v>
      </c>
      <c r="M440" s="424">
        <f t="shared" si="364"/>
        <v>0</v>
      </c>
      <c r="N440" s="424">
        <f t="shared" si="364"/>
        <v>0</v>
      </c>
      <c r="O440" s="424">
        <f t="shared" si="364"/>
        <v>0</v>
      </c>
      <c r="P440" s="424">
        <f t="shared" si="364"/>
        <v>0</v>
      </c>
      <c r="Q440" s="424">
        <f t="shared" si="364"/>
        <v>0</v>
      </c>
      <c r="R440" s="424">
        <f t="shared" si="364"/>
        <v>0</v>
      </c>
      <c r="S440" s="424">
        <f t="shared" si="364"/>
        <v>0</v>
      </c>
      <c r="T440" s="424">
        <f t="shared" si="364"/>
        <v>0</v>
      </c>
      <c r="U440" s="424">
        <f t="shared" si="364"/>
        <v>0</v>
      </c>
      <c r="V440" s="424">
        <f t="shared" si="364"/>
        <v>0</v>
      </c>
      <c r="W440" s="424">
        <f t="shared" si="364"/>
        <v>0</v>
      </c>
      <c r="X440" s="424">
        <f t="shared" si="364"/>
        <v>0</v>
      </c>
      <c r="Y440" s="424">
        <f t="shared" si="364"/>
        <v>1.17</v>
      </c>
      <c r="Z440" s="424">
        <f t="shared" si="364"/>
        <v>0</v>
      </c>
      <c r="AA440" s="424">
        <f t="shared" si="364"/>
        <v>0</v>
      </c>
      <c r="AB440" s="424">
        <f t="shared" si="364"/>
        <v>0</v>
      </c>
      <c r="AC440" s="424">
        <f t="shared" si="364"/>
        <v>0</v>
      </c>
      <c r="AD440" s="424">
        <f t="shared" si="364"/>
        <v>0</v>
      </c>
      <c r="AE440" s="424">
        <f t="shared" si="364"/>
        <v>0</v>
      </c>
      <c r="AF440" s="424">
        <f t="shared" si="364"/>
        <v>1.33</v>
      </c>
      <c r="AG440" s="424">
        <f t="shared" si="364"/>
        <v>0</v>
      </c>
      <c r="AH440" s="424">
        <f t="shared" si="364"/>
        <v>3.34</v>
      </c>
      <c r="AI440" s="424">
        <f t="shared" si="364"/>
        <v>0</v>
      </c>
      <c r="AJ440" s="424">
        <f t="shared" si="364"/>
        <v>0</v>
      </c>
      <c r="AK440" s="424">
        <f t="shared" si="364"/>
        <v>0.6</v>
      </c>
      <c r="AL440" s="424">
        <f t="shared" si="364"/>
        <v>0</v>
      </c>
      <c r="AM440" s="424">
        <f t="shared" si="364"/>
        <v>0</v>
      </c>
      <c r="AN440" s="424">
        <f t="shared" si="364"/>
        <v>0</v>
      </c>
      <c r="AO440" s="424">
        <f t="shared" si="364"/>
        <v>0</v>
      </c>
      <c r="AP440" s="424">
        <f t="shared" ref="AP440:BU440" si="365">AP70*AP$372</f>
        <v>0</v>
      </c>
      <c r="AQ440" s="424">
        <f t="shared" si="365"/>
        <v>0.63</v>
      </c>
      <c r="AR440" s="424">
        <f t="shared" si="365"/>
        <v>0</v>
      </c>
      <c r="AS440" s="424">
        <f t="shared" si="365"/>
        <v>0</v>
      </c>
      <c r="AT440" s="424">
        <f t="shared" si="365"/>
        <v>0</v>
      </c>
      <c r="AU440" s="424">
        <f t="shared" si="365"/>
        <v>0.6</v>
      </c>
      <c r="AV440" s="424">
        <f t="shared" si="365"/>
        <v>0</v>
      </c>
      <c r="AW440" s="424">
        <f t="shared" si="365"/>
        <v>0</v>
      </c>
      <c r="AX440" s="424">
        <f t="shared" si="365"/>
        <v>0</v>
      </c>
      <c r="AY440" s="424">
        <f t="shared" si="365"/>
        <v>0</v>
      </c>
      <c r="AZ440" s="424">
        <f t="shared" si="365"/>
        <v>0</v>
      </c>
      <c r="BA440" s="424">
        <f t="shared" si="365"/>
        <v>0</v>
      </c>
      <c r="BB440" s="424">
        <f t="shared" si="365"/>
        <v>0</v>
      </c>
      <c r="BC440" s="424">
        <f t="shared" si="365"/>
        <v>0</v>
      </c>
      <c r="BD440" s="424">
        <f t="shared" si="365"/>
        <v>0</v>
      </c>
      <c r="BE440" s="424">
        <f t="shared" si="365"/>
        <v>0</v>
      </c>
      <c r="BF440" s="424">
        <f t="shared" si="365"/>
        <v>0</v>
      </c>
      <c r="BG440" s="424">
        <f t="shared" si="365"/>
        <v>0</v>
      </c>
      <c r="BH440" s="424">
        <f t="shared" si="365"/>
        <v>0</v>
      </c>
      <c r="BI440" s="424">
        <f t="shared" si="365"/>
        <v>0</v>
      </c>
      <c r="BJ440" s="424">
        <f t="shared" si="365"/>
        <v>0</v>
      </c>
      <c r="BK440" s="424">
        <f t="shared" si="365"/>
        <v>0</v>
      </c>
      <c r="BL440" s="424">
        <f t="shared" si="365"/>
        <v>0</v>
      </c>
      <c r="BM440" s="424">
        <f t="shared" si="365"/>
        <v>0</v>
      </c>
      <c r="BN440" s="424">
        <f t="shared" si="365"/>
        <v>0</v>
      </c>
      <c r="BO440" s="424">
        <f t="shared" si="365"/>
        <v>0</v>
      </c>
      <c r="BP440" s="424">
        <f t="shared" si="365"/>
        <v>0</v>
      </c>
      <c r="BQ440" s="424">
        <f t="shared" si="365"/>
        <v>0</v>
      </c>
      <c r="BR440" s="424">
        <f t="shared" si="365"/>
        <v>0</v>
      </c>
      <c r="BS440" s="424">
        <f t="shared" si="365"/>
        <v>0</v>
      </c>
      <c r="BT440" s="424">
        <f t="shared" si="365"/>
        <v>0</v>
      </c>
      <c r="BU440" s="424">
        <f t="shared" si="365"/>
        <v>0</v>
      </c>
      <c r="BV440" s="424">
        <f t="shared" ref="BV440:DA440" si="366">BV70*BV$372</f>
        <v>0</v>
      </c>
      <c r="BW440" s="424">
        <f t="shared" si="366"/>
        <v>0</v>
      </c>
      <c r="BX440" s="424">
        <f t="shared" si="366"/>
        <v>0</v>
      </c>
      <c r="BY440" s="424">
        <f t="shared" si="366"/>
        <v>0</v>
      </c>
      <c r="BZ440" s="424">
        <f t="shared" si="366"/>
        <v>0</v>
      </c>
      <c r="CA440" s="424">
        <f t="shared" si="366"/>
        <v>0</v>
      </c>
      <c r="CB440" s="424">
        <f t="shared" si="366"/>
        <v>0</v>
      </c>
      <c r="CC440" s="424">
        <f t="shared" si="366"/>
        <v>0</v>
      </c>
      <c r="CD440" s="424">
        <f t="shared" si="366"/>
        <v>0</v>
      </c>
      <c r="CE440" s="424">
        <f t="shared" si="366"/>
        <v>0</v>
      </c>
      <c r="CF440" s="424">
        <f t="shared" si="366"/>
        <v>0.6</v>
      </c>
      <c r="CG440" s="424">
        <f t="shared" si="366"/>
        <v>0</v>
      </c>
      <c r="CH440" s="424">
        <f t="shared" si="366"/>
        <v>0</v>
      </c>
      <c r="CI440" s="424">
        <f t="shared" si="366"/>
        <v>0</v>
      </c>
      <c r="CJ440" s="424">
        <f t="shared" si="366"/>
        <v>0</v>
      </c>
      <c r="CK440" s="424">
        <f t="shared" si="366"/>
        <v>0</v>
      </c>
      <c r="CL440" s="424">
        <f t="shared" si="366"/>
        <v>0</v>
      </c>
      <c r="CM440" s="424">
        <f t="shared" si="366"/>
        <v>0</v>
      </c>
      <c r="CN440" s="424">
        <f t="shared" si="366"/>
        <v>0</v>
      </c>
      <c r="CO440" s="424">
        <f t="shared" si="366"/>
        <v>0</v>
      </c>
      <c r="CP440" s="424">
        <f t="shared" si="366"/>
        <v>0</v>
      </c>
      <c r="CQ440" s="424">
        <f t="shared" si="366"/>
        <v>0</v>
      </c>
      <c r="CR440" s="424">
        <f t="shared" si="366"/>
        <v>0</v>
      </c>
      <c r="CS440" s="424">
        <f t="shared" si="366"/>
        <v>0.01</v>
      </c>
      <c r="CT440" s="424">
        <f t="shared" si="366"/>
        <v>0</v>
      </c>
      <c r="CU440" s="424">
        <f t="shared" si="366"/>
        <v>0</v>
      </c>
      <c r="CV440" s="424">
        <f t="shared" si="366"/>
        <v>0</v>
      </c>
      <c r="CW440" s="424">
        <f t="shared" si="366"/>
        <v>0</v>
      </c>
      <c r="CX440" s="424">
        <f t="shared" si="366"/>
        <v>0</v>
      </c>
      <c r="CY440" s="424">
        <f t="shared" si="366"/>
        <v>0</v>
      </c>
      <c r="CZ440" s="424">
        <f t="shared" si="366"/>
        <v>0</v>
      </c>
      <c r="DA440" s="424">
        <f t="shared" si="366"/>
        <v>0</v>
      </c>
      <c r="DB440" s="424">
        <f t="shared" ref="DB440:EG440" si="367">DB70*DB$372</f>
        <v>0</v>
      </c>
      <c r="DC440" s="424">
        <f t="shared" si="367"/>
        <v>0.06</v>
      </c>
      <c r="DD440" s="424">
        <f t="shared" si="367"/>
        <v>0</v>
      </c>
      <c r="DE440" s="424">
        <f t="shared" si="367"/>
        <v>0</v>
      </c>
      <c r="DF440" s="424">
        <f t="shared" si="367"/>
        <v>0</v>
      </c>
      <c r="DG440" s="424">
        <f t="shared" si="367"/>
        <v>0</v>
      </c>
      <c r="DH440" s="424">
        <f t="shared" si="367"/>
        <v>0</v>
      </c>
      <c r="DI440" s="424">
        <f t="shared" si="367"/>
        <v>0</v>
      </c>
      <c r="DJ440" s="424">
        <f t="shared" si="367"/>
        <v>0</v>
      </c>
      <c r="DK440" s="424">
        <f t="shared" si="367"/>
        <v>0</v>
      </c>
      <c r="DL440" s="424">
        <f t="shared" si="367"/>
        <v>0</v>
      </c>
      <c r="DM440" s="424">
        <f t="shared" si="367"/>
        <v>1.49</v>
      </c>
      <c r="DN440" s="424">
        <f t="shared" si="367"/>
        <v>0</v>
      </c>
      <c r="DO440" s="424">
        <f t="shared" si="367"/>
        <v>0</v>
      </c>
      <c r="DP440" s="424">
        <f t="shared" si="367"/>
        <v>0</v>
      </c>
      <c r="DQ440" s="424">
        <f t="shared" si="367"/>
        <v>0</v>
      </c>
      <c r="DR440" s="424">
        <f t="shared" si="367"/>
        <v>0</v>
      </c>
      <c r="DS440" s="424">
        <f t="shared" si="367"/>
        <v>0</v>
      </c>
      <c r="DT440" s="424">
        <f t="shared" si="367"/>
        <v>0</v>
      </c>
      <c r="DU440" s="424">
        <f t="shared" si="367"/>
        <v>0</v>
      </c>
      <c r="DV440" s="424">
        <f t="shared" si="367"/>
        <v>0</v>
      </c>
      <c r="DW440" s="424">
        <f t="shared" si="367"/>
        <v>0</v>
      </c>
      <c r="DX440" s="424">
        <f t="shared" si="367"/>
        <v>0</v>
      </c>
      <c r="DY440" s="424">
        <f t="shared" si="367"/>
        <v>0</v>
      </c>
      <c r="DZ440" s="424">
        <f t="shared" si="367"/>
        <v>0</v>
      </c>
      <c r="EA440" s="424">
        <f t="shared" si="367"/>
        <v>0</v>
      </c>
      <c r="EB440" s="424">
        <f t="shared" si="367"/>
        <v>0</v>
      </c>
      <c r="EC440" s="424">
        <f t="shared" si="367"/>
        <v>0</v>
      </c>
      <c r="ED440" s="424">
        <f t="shared" si="367"/>
        <v>0</v>
      </c>
      <c r="EE440" s="424">
        <f t="shared" si="367"/>
        <v>0</v>
      </c>
      <c r="EF440" s="424">
        <f t="shared" si="367"/>
        <v>0</v>
      </c>
      <c r="EG440" s="424">
        <f t="shared" si="367"/>
        <v>0</v>
      </c>
      <c r="EH440" s="424">
        <f t="shared" ref="EH440:EX440" si="368">EH70*EH$372</f>
        <v>0</v>
      </c>
      <c r="EI440" s="424">
        <f t="shared" si="368"/>
        <v>0</v>
      </c>
      <c r="EJ440" s="424">
        <f t="shared" si="368"/>
        <v>0</v>
      </c>
      <c r="EK440" s="424">
        <f t="shared" si="368"/>
        <v>0</v>
      </c>
      <c r="EL440" s="424">
        <f t="shared" si="368"/>
        <v>0</v>
      </c>
      <c r="EM440" s="424">
        <f t="shared" si="368"/>
        <v>0</v>
      </c>
      <c r="EN440" s="424">
        <f t="shared" si="368"/>
        <v>0</v>
      </c>
      <c r="EO440" s="424">
        <f t="shared" si="368"/>
        <v>0</v>
      </c>
      <c r="EP440" s="424">
        <f t="shared" si="368"/>
        <v>0</v>
      </c>
      <c r="EQ440" s="424">
        <f t="shared" si="368"/>
        <v>0</v>
      </c>
      <c r="ER440" s="424">
        <f t="shared" si="368"/>
        <v>0</v>
      </c>
      <c r="ES440" s="424">
        <f t="shared" si="368"/>
        <v>0</v>
      </c>
      <c r="ET440" s="424">
        <f t="shared" si="368"/>
        <v>0</v>
      </c>
      <c r="EU440" s="424">
        <f t="shared" si="368"/>
        <v>0</v>
      </c>
      <c r="EV440" s="424">
        <f t="shared" si="368"/>
        <v>0</v>
      </c>
      <c r="EW440" s="424">
        <f t="shared" si="368"/>
        <v>0</v>
      </c>
      <c r="EX440" s="424">
        <f t="shared" si="368"/>
        <v>0</v>
      </c>
      <c r="EY440" s="425">
        <f t="shared" si="49"/>
        <v>9.83</v>
      </c>
      <c r="EZ440" s="616"/>
      <c r="FA440" s="616"/>
      <c r="FB440" s="616"/>
      <c r="FC440" s="616"/>
      <c r="FD440" s="616"/>
      <c r="FE440" s="616"/>
      <c r="FF440" s="616"/>
      <c r="FG440" s="616"/>
      <c r="FH440" s="616"/>
      <c r="FI440" s="616"/>
      <c r="FJ440" s="616"/>
    </row>
    <row r="441" spans="1:166" s="605" customFormat="1" ht="14.7" customHeight="1" x14ac:dyDescent="0.25">
      <c r="A441" s="310">
        <v>67</v>
      </c>
      <c r="B441" s="311" t="str">
        <f t="shared" si="355"/>
        <v>Суп картофельный с крупой перловой</v>
      </c>
      <c r="C441" s="483">
        <f t="shared" si="363"/>
        <v>8.77</v>
      </c>
      <c r="D441" s="888"/>
      <c r="E441" s="888"/>
      <c r="F441" s="888"/>
      <c r="G441" s="889"/>
      <c r="H441" s="680">
        <f t="shared" si="356"/>
        <v>101</v>
      </c>
      <c r="I441" s="1209">
        <f t="shared" si="357"/>
        <v>0</v>
      </c>
      <c r="J441" s="424">
        <f t="shared" ref="J441:AO441" si="369">J71*J$372</f>
        <v>0</v>
      </c>
      <c r="K441" s="424">
        <f t="shared" si="369"/>
        <v>0</v>
      </c>
      <c r="L441" s="424">
        <f t="shared" si="369"/>
        <v>0</v>
      </c>
      <c r="M441" s="424">
        <f t="shared" si="369"/>
        <v>0</v>
      </c>
      <c r="N441" s="424">
        <f t="shared" si="369"/>
        <v>0</v>
      </c>
      <c r="O441" s="424">
        <f t="shared" si="369"/>
        <v>0</v>
      </c>
      <c r="P441" s="424">
        <f t="shared" si="369"/>
        <v>0</v>
      </c>
      <c r="Q441" s="424">
        <f t="shared" si="369"/>
        <v>0</v>
      </c>
      <c r="R441" s="424">
        <f t="shared" si="369"/>
        <v>0</v>
      </c>
      <c r="S441" s="424">
        <f t="shared" si="369"/>
        <v>0</v>
      </c>
      <c r="T441" s="424">
        <f t="shared" si="369"/>
        <v>0</v>
      </c>
      <c r="U441" s="424">
        <f t="shared" si="369"/>
        <v>0</v>
      </c>
      <c r="V441" s="424">
        <f t="shared" si="369"/>
        <v>0</v>
      </c>
      <c r="W441" s="424">
        <f t="shared" si="369"/>
        <v>0</v>
      </c>
      <c r="X441" s="424">
        <f t="shared" si="369"/>
        <v>0</v>
      </c>
      <c r="Y441" s="424">
        <f t="shared" si="369"/>
        <v>1.17</v>
      </c>
      <c r="Z441" s="424">
        <f t="shared" si="369"/>
        <v>0</v>
      </c>
      <c r="AA441" s="424">
        <f t="shared" si="369"/>
        <v>0</v>
      </c>
      <c r="AB441" s="424">
        <f t="shared" si="369"/>
        <v>0</v>
      </c>
      <c r="AC441" s="424">
        <f t="shared" si="369"/>
        <v>0</v>
      </c>
      <c r="AD441" s="424">
        <f t="shared" si="369"/>
        <v>0</v>
      </c>
      <c r="AE441" s="424">
        <f t="shared" si="369"/>
        <v>0</v>
      </c>
      <c r="AF441" s="424">
        <f t="shared" si="369"/>
        <v>0</v>
      </c>
      <c r="AG441" s="424">
        <f t="shared" si="369"/>
        <v>0</v>
      </c>
      <c r="AH441" s="424">
        <f t="shared" si="369"/>
        <v>5</v>
      </c>
      <c r="AI441" s="424">
        <f t="shared" si="369"/>
        <v>0</v>
      </c>
      <c r="AJ441" s="424">
        <f t="shared" si="369"/>
        <v>0</v>
      </c>
      <c r="AK441" s="424">
        <f t="shared" si="369"/>
        <v>0.6</v>
      </c>
      <c r="AL441" s="424">
        <f t="shared" si="369"/>
        <v>0</v>
      </c>
      <c r="AM441" s="424">
        <f t="shared" si="369"/>
        <v>0</v>
      </c>
      <c r="AN441" s="424">
        <f t="shared" si="369"/>
        <v>0</v>
      </c>
      <c r="AO441" s="424">
        <f t="shared" si="369"/>
        <v>0</v>
      </c>
      <c r="AP441" s="424">
        <f t="shared" ref="AP441:BU441" si="370">AP71*AP$372</f>
        <v>0</v>
      </c>
      <c r="AQ441" s="424">
        <f t="shared" si="370"/>
        <v>0.63</v>
      </c>
      <c r="AR441" s="424">
        <f t="shared" si="370"/>
        <v>0</v>
      </c>
      <c r="AS441" s="424">
        <f t="shared" si="370"/>
        <v>0</v>
      </c>
      <c r="AT441" s="424">
        <f t="shared" si="370"/>
        <v>0</v>
      </c>
      <c r="AU441" s="424">
        <f t="shared" si="370"/>
        <v>0.6</v>
      </c>
      <c r="AV441" s="424">
        <f t="shared" si="370"/>
        <v>0</v>
      </c>
      <c r="AW441" s="424">
        <f t="shared" si="370"/>
        <v>0</v>
      </c>
      <c r="AX441" s="424">
        <f t="shared" si="370"/>
        <v>0</v>
      </c>
      <c r="AY441" s="424">
        <f t="shared" si="370"/>
        <v>0</v>
      </c>
      <c r="AZ441" s="424">
        <f t="shared" si="370"/>
        <v>0</v>
      </c>
      <c r="BA441" s="424">
        <f t="shared" si="370"/>
        <v>0</v>
      </c>
      <c r="BB441" s="424">
        <f t="shared" si="370"/>
        <v>0</v>
      </c>
      <c r="BC441" s="424">
        <f t="shared" si="370"/>
        <v>0</v>
      </c>
      <c r="BD441" s="424">
        <f t="shared" si="370"/>
        <v>0</v>
      </c>
      <c r="BE441" s="424">
        <f t="shared" si="370"/>
        <v>0</v>
      </c>
      <c r="BF441" s="424">
        <f t="shared" si="370"/>
        <v>0</v>
      </c>
      <c r="BG441" s="424">
        <f t="shared" si="370"/>
        <v>0</v>
      </c>
      <c r="BH441" s="424">
        <f t="shared" si="370"/>
        <v>0</v>
      </c>
      <c r="BI441" s="424">
        <f t="shared" si="370"/>
        <v>0</v>
      </c>
      <c r="BJ441" s="424">
        <f t="shared" si="370"/>
        <v>0</v>
      </c>
      <c r="BK441" s="424">
        <f t="shared" si="370"/>
        <v>0</v>
      </c>
      <c r="BL441" s="424">
        <f t="shared" si="370"/>
        <v>0</v>
      </c>
      <c r="BM441" s="424">
        <f t="shared" si="370"/>
        <v>0</v>
      </c>
      <c r="BN441" s="424">
        <f t="shared" si="370"/>
        <v>0</v>
      </c>
      <c r="BO441" s="424">
        <f t="shared" si="370"/>
        <v>0</v>
      </c>
      <c r="BP441" s="424">
        <f t="shared" si="370"/>
        <v>0</v>
      </c>
      <c r="BQ441" s="424">
        <f t="shared" si="370"/>
        <v>0</v>
      </c>
      <c r="BR441" s="424">
        <f t="shared" si="370"/>
        <v>0</v>
      </c>
      <c r="BS441" s="424">
        <f t="shared" si="370"/>
        <v>0</v>
      </c>
      <c r="BT441" s="424">
        <f t="shared" si="370"/>
        <v>0</v>
      </c>
      <c r="BU441" s="424">
        <f t="shared" si="370"/>
        <v>0</v>
      </c>
      <c r="BV441" s="424">
        <f t="shared" ref="BV441:DA441" si="371">BV71*BV$372</f>
        <v>0.4</v>
      </c>
      <c r="BW441" s="424">
        <f t="shared" si="371"/>
        <v>0</v>
      </c>
      <c r="BX441" s="424">
        <f t="shared" si="371"/>
        <v>0</v>
      </c>
      <c r="BY441" s="424">
        <f t="shared" si="371"/>
        <v>0</v>
      </c>
      <c r="BZ441" s="424">
        <f t="shared" si="371"/>
        <v>0</v>
      </c>
      <c r="CA441" s="424">
        <f t="shared" si="371"/>
        <v>0</v>
      </c>
      <c r="CB441" s="424">
        <f t="shared" si="371"/>
        <v>0</v>
      </c>
      <c r="CC441" s="424">
        <f t="shared" si="371"/>
        <v>0</v>
      </c>
      <c r="CD441" s="424">
        <f t="shared" si="371"/>
        <v>0</v>
      </c>
      <c r="CE441" s="424">
        <f t="shared" si="371"/>
        <v>0</v>
      </c>
      <c r="CF441" s="424">
        <f t="shared" si="371"/>
        <v>0.3</v>
      </c>
      <c r="CG441" s="424">
        <f t="shared" si="371"/>
        <v>0</v>
      </c>
      <c r="CH441" s="424">
        <f t="shared" si="371"/>
        <v>0</v>
      </c>
      <c r="CI441" s="424">
        <f t="shared" si="371"/>
        <v>0</v>
      </c>
      <c r="CJ441" s="424">
        <f t="shared" si="371"/>
        <v>0</v>
      </c>
      <c r="CK441" s="424">
        <f t="shared" si="371"/>
        <v>0</v>
      </c>
      <c r="CL441" s="424">
        <f t="shared" si="371"/>
        <v>0</v>
      </c>
      <c r="CM441" s="424">
        <f t="shared" si="371"/>
        <v>0</v>
      </c>
      <c r="CN441" s="424">
        <f t="shared" si="371"/>
        <v>0</v>
      </c>
      <c r="CO441" s="424">
        <f t="shared" si="371"/>
        <v>0</v>
      </c>
      <c r="CP441" s="424">
        <f t="shared" si="371"/>
        <v>0</v>
      </c>
      <c r="CQ441" s="424">
        <f t="shared" si="371"/>
        <v>0</v>
      </c>
      <c r="CR441" s="424">
        <f t="shared" si="371"/>
        <v>0</v>
      </c>
      <c r="CS441" s="424">
        <f t="shared" si="371"/>
        <v>0.01</v>
      </c>
      <c r="CT441" s="424">
        <f t="shared" si="371"/>
        <v>0</v>
      </c>
      <c r="CU441" s="424">
        <f t="shared" si="371"/>
        <v>0</v>
      </c>
      <c r="CV441" s="424">
        <f t="shared" si="371"/>
        <v>0</v>
      </c>
      <c r="CW441" s="424">
        <f t="shared" si="371"/>
        <v>0</v>
      </c>
      <c r="CX441" s="424">
        <f t="shared" si="371"/>
        <v>0</v>
      </c>
      <c r="CY441" s="424">
        <f t="shared" si="371"/>
        <v>0</v>
      </c>
      <c r="CZ441" s="424">
        <f t="shared" si="371"/>
        <v>0</v>
      </c>
      <c r="DA441" s="424">
        <f t="shared" si="371"/>
        <v>0</v>
      </c>
      <c r="DB441" s="424">
        <f t="shared" ref="DB441:EG441" si="372">DB71*DB$372</f>
        <v>0</v>
      </c>
      <c r="DC441" s="424">
        <f t="shared" si="372"/>
        <v>0.06</v>
      </c>
      <c r="DD441" s="424">
        <f t="shared" si="372"/>
        <v>0</v>
      </c>
      <c r="DE441" s="424">
        <f t="shared" si="372"/>
        <v>0</v>
      </c>
      <c r="DF441" s="424">
        <f t="shared" si="372"/>
        <v>0</v>
      </c>
      <c r="DG441" s="424">
        <f t="shared" si="372"/>
        <v>0</v>
      </c>
      <c r="DH441" s="424">
        <f t="shared" si="372"/>
        <v>0</v>
      </c>
      <c r="DI441" s="424">
        <f t="shared" si="372"/>
        <v>0</v>
      </c>
      <c r="DJ441" s="424">
        <f t="shared" si="372"/>
        <v>0</v>
      </c>
      <c r="DK441" s="424">
        <f t="shared" si="372"/>
        <v>0</v>
      </c>
      <c r="DL441" s="424">
        <f t="shared" si="372"/>
        <v>0</v>
      </c>
      <c r="DM441" s="424">
        <f t="shared" si="372"/>
        <v>0</v>
      </c>
      <c r="DN441" s="424">
        <f t="shared" si="372"/>
        <v>0</v>
      </c>
      <c r="DO441" s="424">
        <f t="shared" si="372"/>
        <v>0</v>
      </c>
      <c r="DP441" s="424">
        <f t="shared" si="372"/>
        <v>0</v>
      </c>
      <c r="DQ441" s="424">
        <f t="shared" si="372"/>
        <v>0</v>
      </c>
      <c r="DR441" s="424">
        <f t="shared" si="372"/>
        <v>0</v>
      </c>
      <c r="DS441" s="424">
        <f t="shared" si="372"/>
        <v>0</v>
      </c>
      <c r="DT441" s="424">
        <f t="shared" si="372"/>
        <v>0</v>
      </c>
      <c r="DU441" s="424">
        <f t="shared" si="372"/>
        <v>0</v>
      </c>
      <c r="DV441" s="424">
        <f t="shared" si="372"/>
        <v>0</v>
      </c>
      <c r="DW441" s="424">
        <f t="shared" si="372"/>
        <v>0</v>
      </c>
      <c r="DX441" s="424">
        <f t="shared" si="372"/>
        <v>0</v>
      </c>
      <c r="DY441" s="424">
        <f t="shared" si="372"/>
        <v>0</v>
      </c>
      <c r="DZ441" s="424">
        <f t="shared" si="372"/>
        <v>0</v>
      </c>
      <c r="EA441" s="424">
        <f t="shared" si="372"/>
        <v>0</v>
      </c>
      <c r="EB441" s="424">
        <f t="shared" si="372"/>
        <v>0</v>
      </c>
      <c r="EC441" s="424">
        <f t="shared" si="372"/>
        <v>0</v>
      </c>
      <c r="ED441" s="424">
        <f t="shared" si="372"/>
        <v>0</v>
      </c>
      <c r="EE441" s="424">
        <f t="shared" si="372"/>
        <v>0</v>
      </c>
      <c r="EF441" s="424">
        <f t="shared" si="372"/>
        <v>0</v>
      </c>
      <c r="EG441" s="424">
        <f t="shared" si="372"/>
        <v>0</v>
      </c>
      <c r="EH441" s="424">
        <f t="shared" ref="EH441:EX441" si="373">EH71*EH$372</f>
        <v>0</v>
      </c>
      <c r="EI441" s="424">
        <f t="shared" si="373"/>
        <v>0</v>
      </c>
      <c r="EJ441" s="424">
        <f t="shared" si="373"/>
        <v>0</v>
      </c>
      <c r="EK441" s="424">
        <f t="shared" si="373"/>
        <v>0</v>
      </c>
      <c r="EL441" s="424">
        <f t="shared" si="373"/>
        <v>0</v>
      </c>
      <c r="EM441" s="424">
        <f t="shared" si="373"/>
        <v>0</v>
      </c>
      <c r="EN441" s="424">
        <f t="shared" si="373"/>
        <v>0</v>
      </c>
      <c r="EO441" s="424">
        <f t="shared" si="373"/>
        <v>0</v>
      </c>
      <c r="EP441" s="424">
        <f t="shared" si="373"/>
        <v>0</v>
      </c>
      <c r="EQ441" s="424">
        <f t="shared" si="373"/>
        <v>0</v>
      </c>
      <c r="ER441" s="424">
        <f t="shared" si="373"/>
        <v>0</v>
      </c>
      <c r="ES441" s="424">
        <f t="shared" si="373"/>
        <v>0</v>
      </c>
      <c r="ET441" s="424">
        <f t="shared" si="373"/>
        <v>0</v>
      </c>
      <c r="EU441" s="424">
        <f t="shared" si="373"/>
        <v>0</v>
      </c>
      <c r="EV441" s="424">
        <f t="shared" si="373"/>
        <v>0</v>
      </c>
      <c r="EW441" s="424">
        <f t="shared" si="373"/>
        <v>0</v>
      </c>
      <c r="EX441" s="424">
        <f t="shared" si="373"/>
        <v>0</v>
      </c>
      <c r="EY441" s="425">
        <f t="shared" ref="EY441:EY504" si="374">SUM(J441:EX441)</f>
        <v>8.77</v>
      </c>
      <c r="EZ441" s="616"/>
      <c r="FA441" s="616"/>
      <c r="FB441" s="616"/>
      <c r="FC441" s="616"/>
      <c r="FD441" s="616"/>
      <c r="FE441" s="616"/>
      <c r="FF441" s="616"/>
      <c r="FG441" s="616"/>
      <c r="FH441" s="616"/>
      <c r="FI441" s="616"/>
      <c r="FJ441" s="616"/>
    </row>
    <row r="442" spans="1:166" s="605" customFormat="1" ht="14.7" customHeight="1" x14ac:dyDescent="0.25">
      <c r="A442" s="310">
        <v>68</v>
      </c>
      <c r="B442" s="311" t="str">
        <f t="shared" si="355"/>
        <v>Суп картофельный с пшеном</v>
      </c>
      <c r="C442" s="483">
        <f t="shared" si="363"/>
        <v>8.67</v>
      </c>
      <c r="D442" s="888"/>
      <c r="E442" s="888"/>
      <c r="F442" s="888"/>
      <c r="G442" s="889"/>
      <c r="H442" s="680">
        <f t="shared" si="356"/>
        <v>101</v>
      </c>
      <c r="I442" s="1209">
        <f t="shared" si="357"/>
        <v>0</v>
      </c>
      <c r="J442" s="424">
        <f t="shared" ref="J442:AO442" si="375">J72*J$372</f>
        <v>0</v>
      </c>
      <c r="K442" s="424">
        <f t="shared" si="375"/>
        <v>0</v>
      </c>
      <c r="L442" s="424">
        <f t="shared" si="375"/>
        <v>0</v>
      </c>
      <c r="M442" s="424">
        <f t="shared" si="375"/>
        <v>0</v>
      </c>
      <c r="N442" s="424">
        <f t="shared" si="375"/>
        <v>0</v>
      </c>
      <c r="O442" s="424">
        <f t="shared" si="375"/>
        <v>0</v>
      </c>
      <c r="P442" s="424">
        <f t="shared" si="375"/>
        <v>0</v>
      </c>
      <c r="Q442" s="424">
        <f t="shared" si="375"/>
        <v>0</v>
      </c>
      <c r="R442" s="424">
        <f t="shared" si="375"/>
        <v>0</v>
      </c>
      <c r="S442" s="424">
        <f t="shared" si="375"/>
        <v>0</v>
      </c>
      <c r="T442" s="424">
        <f t="shared" si="375"/>
        <v>0</v>
      </c>
      <c r="U442" s="424">
        <f t="shared" si="375"/>
        <v>0</v>
      </c>
      <c r="V442" s="424">
        <f t="shared" si="375"/>
        <v>0</v>
      </c>
      <c r="W442" s="424">
        <f t="shared" si="375"/>
        <v>0</v>
      </c>
      <c r="X442" s="424">
        <f t="shared" si="375"/>
        <v>0</v>
      </c>
      <c r="Y442" s="424">
        <f t="shared" si="375"/>
        <v>1.17</v>
      </c>
      <c r="Z442" s="424">
        <f t="shared" si="375"/>
        <v>0</v>
      </c>
      <c r="AA442" s="424">
        <f t="shared" si="375"/>
        <v>0</v>
      </c>
      <c r="AB442" s="424">
        <f t="shared" si="375"/>
        <v>0</v>
      </c>
      <c r="AC442" s="424">
        <f t="shared" si="375"/>
        <v>0</v>
      </c>
      <c r="AD442" s="424">
        <f t="shared" si="375"/>
        <v>0</v>
      </c>
      <c r="AE442" s="424">
        <f t="shared" si="375"/>
        <v>0</v>
      </c>
      <c r="AF442" s="424">
        <f t="shared" si="375"/>
        <v>0</v>
      </c>
      <c r="AG442" s="424">
        <f t="shared" si="375"/>
        <v>0</v>
      </c>
      <c r="AH442" s="424">
        <f t="shared" si="375"/>
        <v>5</v>
      </c>
      <c r="AI442" s="424">
        <f t="shared" si="375"/>
        <v>0</v>
      </c>
      <c r="AJ442" s="424">
        <f t="shared" si="375"/>
        <v>0</v>
      </c>
      <c r="AK442" s="424">
        <f t="shared" si="375"/>
        <v>0.6</v>
      </c>
      <c r="AL442" s="424">
        <f t="shared" si="375"/>
        <v>0</v>
      </c>
      <c r="AM442" s="424">
        <f t="shared" si="375"/>
        <v>0</v>
      </c>
      <c r="AN442" s="424">
        <f t="shared" si="375"/>
        <v>0</v>
      </c>
      <c r="AO442" s="424">
        <f t="shared" si="375"/>
        <v>0</v>
      </c>
      <c r="AP442" s="424">
        <f t="shared" ref="AP442:BU442" si="376">AP72*AP$372</f>
        <v>0</v>
      </c>
      <c r="AQ442" s="424">
        <f t="shared" si="376"/>
        <v>0.63</v>
      </c>
      <c r="AR442" s="424">
        <f t="shared" si="376"/>
        <v>0</v>
      </c>
      <c r="AS442" s="424">
        <f t="shared" si="376"/>
        <v>0</v>
      </c>
      <c r="AT442" s="424">
        <f t="shared" si="376"/>
        <v>0</v>
      </c>
      <c r="AU442" s="424">
        <f t="shared" si="376"/>
        <v>0.6</v>
      </c>
      <c r="AV442" s="424">
        <f t="shared" si="376"/>
        <v>0</v>
      </c>
      <c r="AW442" s="424">
        <f t="shared" si="376"/>
        <v>0</v>
      </c>
      <c r="AX442" s="424">
        <f t="shared" si="376"/>
        <v>0</v>
      </c>
      <c r="AY442" s="424">
        <f t="shared" si="376"/>
        <v>0</v>
      </c>
      <c r="AZ442" s="424">
        <f t="shared" si="376"/>
        <v>0</v>
      </c>
      <c r="BA442" s="424">
        <f t="shared" si="376"/>
        <v>0</v>
      </c>
      <c r="BB442" s="424">
        <f t="shared" si="376"/>
        <v>0</v>
      </c>
      <c r="BC442" s="424">
        <f t="shared" si="376"/>
        <v>0</v>
      </c>
      <c r="BD442" s="424">
        <f t="shared" si="376"/>
        <v>0</v>
      </c>
      <c r="BE442" s="424">
        <f t="shared" si="376"/>
        <v>0</v>
      </c>
      <c r="BF442" s="424">
        <f t="shared" si="376"/>
        <v>0</v>
      </c>
      <c r="BG442" s="424">
        <f t="shared" si="376"/>
        <v>0</v>
      </c>
      <c r="BH442" s="424">
        <f t="shared" si="376"/>
        <v>0</v>
      </c>
      <c r="BI442" s="424">
        <f t="shared" si="376"/>
        <v>0</v>
      </c>
      <c r="BJ442" s="424">
        <f t="shared" si="376"/>
        <v>0</v>
      </c>
      <c r="BK442" s="424">
        <f t="shared" si="376"/>
        <v>0</v>
      </c>
      <c r="BL442" s="424">
        <f t="shared" si="376"/>
        <v>0</v>
      </c>
      <c r="BM442" s="424">
        <f t="shared" si="376"/>
        <v>0</v>
      </c>
      <c r="BN442" s="424">
        <f t="shared" si="376"/>
        <v>0</v>
      </c>
      <c r="BO442" s="424">
        <f t="shared" si="376"/>
        <v>0</v>
      </c>
      <c r="BP442" s="424">
        <f t="shared" si="376"/>
        <v>0</v>
      </c>
      <c r="BQ442" s="424">
        <f t="shared" si="376"/>
        <v>0</v>
      </c>
      <c r="BR442" s="424">
        <f t="shared" si="376"/>
        <v>0</v>
      </c>
      <c r="BS442" s="424">
        <f t="shared" si="376"/>
        <v>0</v>
      </c>
      <c r="BT442" s="424">
        <f t="shared" si="376"/>
        <v>0</v>
      </c>
      <c r="BU442" s="424">
        <f t="shared" si="376"/>
        <v>0</v>
      </c>
      <c r="BV442" s="424">
        <f t="shared" ref="BV442:DA442" si="377">BV72*BV$372</f>
        <v>0</v>
      </c>
      <c r="BW442" s="424">
        <f t="shared" si="377"/>
        <v>0</v>
      </c>
      <c r="BX442" s="424">
        <f t="shared" si="377"/>
        <v>0</v>
      </c>
      <c r="BY442" s="424">
        <f t="shared" si="377"/>
        <v>0</v>
      </c>
      <c r="BZ442" s="424">
        <f t="shared" si="377"/>
        <v>0</v>
      </c>
      <c r="CA442" s="424">
        <f t="shared" si="377"/>
        <v>0.3</v>
      </c>
      <c r="CB442" s="424">
        <f t="shared" si="377"/>
        <v>0</v>
      </c>
      <c r="CC442" s="424">
        <f t="shared" si="377"/>
        <v>0</v>
      </c>
      <c r="CD442" s="424">
        <f t="shared" si="377"/>
        <v>0</v>
      </c>
      <c r="CE442" s="424">
        <f t="shared" si="377"/>
        <v>0</v>
      </c>
      <c r="CF442" s="424">
        <f t="shared" si="377"/>
        <v>0.3</v>
      </c>
      <c r="CG442" s="424">
        <f t="shared" si="377"/>
        <v>0</v>
      </c>
      <c r="CH442" s="424">
        <f t="shared" si="377"/>
        <v>0</v>
      </c>
      <c r="CI442" s="424">
        <f t="shared" si="377"/>
        <v>0</v>
      </c>
      <c r="CJ442" s="424">
        <f t="shared" si="377"/>
        <v>0</v>
      </c>
      <c r="CK442" s="424">
        <f t="shared" si="377"/>
        <v>0</v>
      </c>
      <c r="CL442" s="424">
        <f t="shared" si="377"/>
        <v>0</v>
      </c>
      <c r="CM442" s="424">
        <f t="shared" si="377"/>
        <v>0</v>
      </c>
      <c r="CN442" s="424">
        <f t="shared" si="377"/>
        <v>0</v>
      </c>
      <c r="CO442" s="424">
        <f t="shared" si="377"/>
        <v>0</v>
      </c>
      <c r="CP442" s="424">
        <f t="shared" si="377"/>
        <v>0</v>
      </c>
      <c r="CQ442" s="424">
        <f t="shared" si="377"/>
        <v>0</v>
      </c>
      <c r="CR442" s="424">
        <f t="shared" si="377"/>
        <v>0</v>
      </c>
      <c r="CS442" s="424">
        <f t="shared" si="377"/>
        <v>0.01</v>
      </c>
      <c r="CT442" s="424">
        <f t="shared" si="377"/>
        <v>0</v>
      </c>
      <c r="CU442" s="424">
        <f t="shared" si="377"/>
        <v>0</v>
      </c>
      <c r="CV442" s="424">
        <f t="shared" si="377"/>
        <v>0</v>
      </c>
      <c r="CW442" s="424">
        <f t="shared" si="377"/>
        <v>0</v>
      </c>
      <c r="CX442" s="424">
        <f t="shared" si="377"/>
        <v>0</v>
      </c>
      <c r="CY442" s="424">
        <f t="shared" si="377"/>
        <v>0</v>
      </c>
      <c r="CZ442" s="424">
        <f t="shared" si="377"/>
        <v>0</v>
      </c>
      <c r="DA442" s="424">
        <f t="shared" si="377"/>
        <v>0</v>
      </c>
      <c r="DB442" s="424">
        <f t="shared" ref="DB442:EG442" si="378">DB72*DB$372</f>
        <v>0</v>
      </c>
      <c r="DC442" s="424">
        <f t="shared" si="378"/>
        <v>0.06</v>
      </c>
      <c r="DD442" s="424">
        <f t="shared" si="378"/>
        <v>0</v>
      </c>
      <c r="DE442" s="424">
        <f t="shared" si="378"/>
        <v>0</v>
      </c>
      <c r="DF442" s="424">
        <f t="shared" si="378"/>
        <v>0</v>
      </c>
      <c r="DG442" s="424">
        <f t="shared" si="378"/>
        <v>0</v>
      </c>
      <c r="DH442" s="424">
        <f t="shared" si="378"/>
        <v>0</v>
      </c>
      <c r="DI442" s="424">
        <f t="shared" si="378"/>
        <v>0</v>
      </c>
      <c r="DJ442" s="424">
        <f t="shared" si="378"/>
        <v>0</v>
      </c>
      <c r="DK442" s="424">
        <f t="shared" si="378"/>
        <v>0</v>
      </c>
      <c r="DL442" s="424">
        <f t="shared" si="378"/>
        <v>0</v>
      </c>
      <c r="DM442" s="424">
        <f t="shared" si="378"/>
        <v>0</v>
      </c>
      <c r="DN442" s="424">
        <f t="shared" si="378"/>
        <v>0</v>
      </c>
      <c r="DO442" s="424">
        <f t="shared" si="378"/>
        <v>0</v>
      </c>
      <c r="DP442" s="424">
        <f t="shared" si="378"/>
        <v>0</v>
      </c>
      <c r="DQ442" s="424">
        <f t="shared" si="378"/>
        <v>0</v>
      </c>
      <c r="DR442" s="424">
        <f t="shared" si="378"/>
        <v>0</v>
      </c>
      <c r="DS442" s="424">
        <f t="shared" si="378"/>
        <v>0</v>
      </c>
      <c r="DT442" s="424">
        <f t="shared" si="378"/>
        <v>0</v>
      </c>
      <c r="DU442" s="424">
        <f t="shared" si="378"/>
        <v>0</v>
      </c>
      <c r="DV442" s="424">
        <f t="shared" si="378"/>
        <v>0</v>
      </c>
      <c r="DW442" s="424">
        <f t="shared" si="378"/>
        <v>0</v>
      </c>
      <c r="DX442" s="424">
        <f t="shared" si="378"/>
        <v>0</v>
      </c>
      <c r="DY442" s="424">
        <f t="shared" si="378"/>
        <v>0</v>
      </c>
      <c r="DZ442" s="424">
        <f t="shared" si="378"/>
        <v>0</v>
      </c>
      <c r="EA442" s="424">
        <f t="shared" si="378"/>
        <v>0</v>
      </c>
      <c r="EB442" s="424">
        <f t="shared" si="378"/>
        <v>0</v>
      </c>
      <c r="EC442" s="424">
        <f t="shared" si="378"/>
        <v>0</v>
      </c>
      <c r="ED442" s="424">
        <f t="shared" si="378"/>
        <v>0</v>
      </c>
      <c r="EE442" s="424">
        <f t="shared" si="378"/>
        <v>0</v>
      </c>
      <c r="EF442" s="424">
        <f t="shared" si="378"/>
        <v>0</v>
      </c>
      <c r="EG442" s="424">
        <f t="shared" si="378"/>
        <v>0</v>
      </c>
      <c r="EH442" s="424">
        <f t="shared" ref="EH442:EX442" si="379">EH72*EH$372</f>
        <v>0</v>
      </c>
      <c r="EI442" s="424">
        <f t="shared" si="379"/>
        <v>0</v>
      </c>
      <c r="EJ442" s="424">
        <f t="shared" si="379"/>
        <v>0</v>
      </c>
      <c r="EK442" s="424">
        <f t="shared" si="379"/>
        <v>0</v>
      </c>
      <c r="EL442" s="424">
        <f t="shared" si="379"/>
        <v>0</v>
      </c>
      <c r="EM442" s="424">
        <f t="shared" si="379"/>
        <v>0</v>
      </c>
      <c r="EN442" s="424">
        <f t="shared" si="379"/>
        <v>0</v>
      </c>
      <c r="EO442" s="424">
        <f t="shared" si="379"/>
        <v>0</v>
      </c>
      <c r="EP442" s="424">
        <f t="shared" si="379"/>
        <v>0</v>
      </c>
      <c r="EQ442" s="424">
        <f t="shared" si="379"/>
        <v>0</v>
      </c>
      <c r="ER442" s="424">
        <f t="shared" si="379"/>
        <v>0</v>
      </c>
      <c r="ES442" s="424">
        <f t="shared" si="379"/>
        <v>0</v>
      </c>
      <c r="ET442" s="424">
        <f t="shared" si="379"/>
        <v>0</v>
      </c>
      <c r="EU442" s="424">
        <f t="shared" si="379"/>
        <v>0</v>
      </c>
      <c r="EV442" s="424">
        <f t="shared" si="379"/>
        <v>0</v>
      </c>
      <c r="EW442" s="424">
        <f t="shared" si="379"/>
        <v>0</v>
      </c>
      <c r="EX442" s="424">
        <f t="shared" si="379"/>
        <v>0</v>
      </c>
      <c r="EY442" s="425">
        <f t="shared" si="374"/>
        <v>8.67</v>
      </c>
      <c r="EZ442" s="616"/>
      <c r="FA442" s="616"/>
      <c r="FB442" s="616"/>
      <c r="FC442" s="616"/>
      <c r="FD442" s="616"/>
      <c r="FE442" s="616"/>
      <c r="FF442" s="616"/>
      <c r="FG442" s="616"/>
      <c r="FH442" s="616"/>
      <c r="FI442" s="616"/>
      <c r="FJ442" s="616"/>
    </row>
    <row r="443" spans="1:166" s="605" customFormat="1" ht="14.7" customHeight="1" x14ac:dyDescent="0.25">
      <c r="A443" s="310">
        <v>69</v>
      </c>
      <c r="B443" s="311" t="str">
        <f t="shared" si="355"/>
        <v>Суп картофельный с рисом</v>
      </c>
      <c r="C443" s="483">
        <f t="shared" si="363"/>
        <v>8.86</v>
      </c>
      <c r="D443" s="888"/>
      <c r="E443" s="888"/>
      <c r="F443" s="888"/>
      <c r="G443" s="889"/>
      <c r="H443" s="680">
        <f t="shared" si="356"/>
        <v>101</v>
      </c>
      <c r="I443" s="1209">
        <f t="shared" si="357"/>
        <v>0</v>
      </c>
      <c r="J443" s="424">
        <f t="shared" ref="J443:AO443" si="380">J73*J$372</f>
        <v>0</v>
      </c>
      <c r="K443" s="424">
        <f t="shared" si="380"/>
        <v>0</v>
      </c>
      <c r="L443" s="424">
        <f t="shared" si="380"/>
        <v>0</v>
      </c>
      <c r="M443" s="424">
        <f t="shared" si="380"/>
        <v>0</v>
      </c>
      <c r="N443" s="424">
        <f t="shared" si="380"/>
        <v>0</v>
      </c>
      <c r="O443" s="424">
        <f t="shared" si="380"/>
        <v>0</v>
      </c>
      <c r="P443" s="424">
        <f t="shared" si="380"/>
        <v>0</v>
      </c>
      <c r="Q443" s="424">
        <f t="shared" si="380"/>
        <v>0</v>
      </c>
      <c r="R443" s="424">
        <f t="shared" si="380"/>
        <v>0</v>
      </c>
      <c r="S443" s="424">
        <f t="shared" si="380"/>
        <v>0</v>
      </c>
      <c r="T443" s="424">
        <f t="shared" si="380"/>
        <v>0</v>
      </c>
      <c r="U443" s="424">
        <f t="shared" si="380"/>
        <v>0</v>
      </c>
      <c r="V443" s="424">
        <f t="shared" si="380"/>
        <v>0</v>
      </c>
      <c r="W443" s="424">
        <f t="shared" si="380"/>
        <v>0</v>
      </c>
      <c r="X443" s="424">
        <f t="shared" si="380"/>
        <v>0</v>
      </c>
      <c r="Y443" s="424">
        <f t="shared" si="380"/>
        <v>1.17</v>
      </c>
      <c r="Z443" s="424">
        <f t="shared" si="380"/>
        <v>0</v>
      </c>
      <c r="AA443" s="424">
        <f t="shared" si="380"/>
        <v>0</v>
      </c>
      <c r="AB443" s="424">
        <f t="shared" si="380"/>
        <v>0</v>
      </c>
      <c r="AC443" s="424">
        <f t="shared" si="380"/>
        <v>0</v>
      </c>
      <c r="AD443" s="424">
        <f t="shared" si="380"/>
        <v>0</v>
      </c>
      <c r="AE443" s="424">
        <f t="shared" si="380"/>
        <v>0</v>
      </c>
      <c r="AF443" s="424">
        <f t="shared" si="380"/>
        <v>0</v>
      </c>
      <c r="AG443" s="424">
        <f t="shared" si="380"/>
        <v>0</v>
      </c>
      <c r="AH443" s="424">
        <f t="shared" si="380"/>
        <v>5</v>
      </c>
      <c r="AI443" s="424">
        <f t="shared" si="380"/>
        <v>0</v>
      </c>
      <c r="AJ443" s="424">
        <f t="shared" si="380"/>
        <v>0</v>
      </c>
      <c r="AK443" s="424">
        <f t="shared" si="380"/>
        <v>0.6</v>
      </c>
      <c r="AL443" s="424">
        <f t="shared" si="380"/>
        <v>0</v>
      </c>
      <c r="AM443" s="424">
        <f t="shared" si="380"/>
        <v>0</v>
      </c>
      <c r="AN443" s="424">
        <f t="shared" si="380"/>
        <v>0</v>
      </c>
      <c r="AO443" s="424">
        <f t="shared" si="380"/>
        <v>0</v>
      </c>
      <c r="AP443" s="424">
        <f t="shared" ref="AP443:BU443" si="381">AP73*AP$372</f>
        <v>0</v>
      </c>
      <c r="AQ443" s="424">
        <f t="shared" si="381"/>
        <v>0.63</v>
      </c>
      <c r="AR443" s="424">
        <f t="shared" si="381"/>
        <v>0</v>
      </c>
      <c r="AS443" s="424">
        <f t="shared" si="381"/>
        <v>0</v>
      </c>
      <c r="AT443" s="424">
        <f t="shared" si="381"/>
        <v>0</v>
      </c>
      <c r="AU443" s="424">
        <f t="shared" si="381"/>
        <v>0.6</v>
      </c>
      <c r="AV443" s="424">
        <f t="shared" si="381"/>
        <v>0</v>
      </c>
      <c r="AW443" s="424">
        <f t="shared" si="381"/>
        <v>0</v>
      </c>
      <c r="AX443" s="424">
        <f t="shared" si="381"/>
        <v>0</v>
      </c>
      <c r="AY443" s="424">
        <f t="shared" si="381"/>
        <v>0</v>
      </c>
      <c r="AZ443" s="424">
        <f t="shared" si="381"/>
        <v>0</v>
      </c>
      <c r="BA443" s="424">
        <f t="shared" si="381"/>
        <v>0</v>
      </c>
      <c r="BB443" s="424">
        <f t="shared" si="381"/>
        <v>0</v>
      </c>
      <c r="BC443" s="424">
        <f t="shared" si="381"/>
        <v>0</v>
      </c>
      <c r="BD443" s="424">
        <f t="shared" si="381"/>
        <v>0</v>
      </c>
      <c r="BE443" s="424">
        <f t="shared" si="381"/>
        <v>0</v>
      </c>
      <c r="BF443" s="424">
        <f t="shared" si="381"/>
        <v>0</v>
      </c>
      <c r="BG443" s="424">
        <f t="shared" si="381"/>
        <v>0</v>
      </c>
      <c r="BH443" s="424">
        <f t="shared" si="381"/>
        <v>0</v>
      </c>
      <c r="BI443" s="424">
        <f t="shared" si="381"/>
        <v>0</v>
      </c>
      <c r="BJ443" s="424">
        <f t="shared" si="381"/>
        <v>0</v>
      </c>
      <c r="BK443" s="424">
        <f t="shared" si="381"/>
        <v>0</v>
      </c>
      <c r="BL443" s="424">
        <f t="shared" si="381"/>
        <v>0</v>
      </c>
      <c r="BM443" s="424">
        <f t="shared" si="381"/>
        <v>0</v>
      </c>
      <c r="BN443" s="424">
        <f t="shared" si="381"/>
        <v>0</v>
      </c>
      <c r="BO443" s="424">
        <f t="shared" si="381"/>
        <v>0</v>
      </c>
      <c r="BP443" s="424">
        <f t="shared" si="381"/>
        <v>0</v>
      </c>
      <c r="BQ443" s="424">
        <f t="shared" si="381"/>
        <v>0</v>
      </c>
      <c r="BR443" s="424">
        <f t="shared" si="381"/>
        <v>0</v>
      </c>
      <c r="BS443" s="424">
        <f t="shared" si="381"/>
        <v>0</v>
      </c>
      <c r="BT443" s="424">
        <f t="shared" si="381"/>
        <v>0</v>
      </c>
      <c r="BU443" s="424">
        <f t="shared" si="381"/>
        <v>0</v>
      </c>
      <c r="BV443" s="424">
        <f t="shared" ref="BV443:DA443" si="382">BV73*BV$372</f>
        <v>0</v>
      </c>
      <c r="BW443" s="424">
        <f t="shared" si="382"/>
        <v>0</v>
      </c>
      <c r="BX443" s="424">
        <f t="shared" si="382"/>
        <v>0</v>
      </c>
      <c r="BY443" s="424">
        <f t="shared" si="382"/>
        <v>0</v>
      </c>
      <c r="BZ443" s="424">
        <f t="shared" si="382"/>
        <v>0</v>
      </c>
      <c r="CA443" s="424">
        <f t="shared" si="382"/>
        <v>0</v>
      </c>
      <c r="CB443" s="424">
        <f t="shared" si="382"/>
        <v>0.49</v>
      </c>
      <c r="CC443" s="424">
        <f t="shared" si="382"/>
        <v>0</v>
      </c>
      <c r="CD443" s="424">
        <f t="shared" si="382"/>
        <v>0</v>
      </c>
      <c r="CE443" s="424">
        <f t="shared" si="382"/>
        <v>0</v>
      </c>
      <c r="CF443" s="424">
        <f t="shared" si="382"/>
        <v>0.3</v>
      </c>
      <c r="CG443" s="424">
        <f t="shared" si="382"/>
        <v>0</v>
      </c>
      <c r="CH443" s="424">
        <f t="shared" si="382"/>
        <v>0</v>
      </c>
      <c r="CI443" s="424">
        <f t="shared" si="382"/>
        <v>0</v>
      </c>
      <c r="CJ443" s="424">
        <f t="shared" si="382"/>
        <v>0</v>
      </c>
      <c r="CK443" s="424">
        <f t="shared" si="382"/>
        <v>0</v>
      </c>
      <c r="CL443" s="424">
        <f t="shared" si="382"/>
        <v>0</v>
      </c>
      <c r="CM443" s="424">
        <f t="shared" si="382"/>
        <v>0</v>
      </c>
      <c r="CN443" s="424">
        <f t="shared" si="382"/>
        <v>0</v>
      </c>
      <c r="CO443" s="424">
        <f t="shared" si="382"/>
        <v>0</v>
      </c>
      <c r="CP443" s="424">
        <f t="shared" si="382"/>
        <v>0</v>
      </c>
      <c r="CQ443" s="424">
        <f t="shared" si="382"/>
        <v>0</v>
      </c>
      <c r="CR443" s="424">
        <f t="shared" si="382"/>
        <v>0</v>
      </c>
      <c r="CS443" s="424">
        <f t="shared" si="382"/>
        <v>0.01</v>
      </c>
      <c r="CT443" s="424">
        <f t="shared" si="382"/>
        <v>0</v>
      </c>
      <c r="CU443" s="424">
        <f t="shared" si="382"/>
        <v>0</v>
      </c>
      <c r="CV443" s="424">
        <f t="shared" si="382"/>
        <v>0</v>
      </c>
      <c r="CW443" s="424">
        <f t="shared" si="382"/>
        <v>0</v>
      </c>
      <c r="CX443" s="424">
        <f t="shared" si="382"/>
        <v>0</v>
      </c>
      <c r="CY443" s="424">
        <f t="shared" si="382"/>
        <v>0</v>
      </c>
      <c r="CZ443" s="424">
        <f t="shared" si="382"/>
        <v>0</v>
      </c>
      <c r="DA443" s="424">
        <f t="shared" si="382"/>
        <v>0</v>
      </c>
      <c r="DB443" s="424">
        <f t="shared" ref="DB443:EG443" si="383">DB73*DB$372</f>
        <v>0</v>
      </c>
      <c r="DC443" s="424">
        <f t="shared" si="383"/>
        <v>0.06</v>
      </c>
      <c r="DD443" s="424">
        <f t="shared" si="383"/>
        <v>0</v>
      </c>
      <c r="DE443" s="424">
        <f t="shared" si="383"/>
        <v>0</v>
      </c>
      <c r="DF443" s="424">
        <f t="shared" si="383"/>
        <v>0</v>
      </c>
      <c r="DG443" s="424">
        <f t="shared" si="383"/>
        <v>0</v>
      </c>
      <c r="DH443" s="424">
        <f t="shared" si="383"/>
        <v>0</v>
      </c>
      <c r="DI443" s="424">
        <f t="shared" si="383"/>
        <v>0</v>
      </c>
      <c r="DJ443" s="424">
        <f t="shared" si="383"/>
        <v>0</v>
      </c>
      <c r="DK443" s="424">
        <f t="shared" si="383"/>
        <v>0</v>
      </c>
      <c r="DL443" s="424">
        <f t="shared" si="383"/>
        <v>0</v>
      </c>
      <c r="DM443" s="424">
        <f t="shared" si="383"/>
        <v>0</v>
      </c>
      <c r="DN443" s="424">
        <f t="shared" si="383"/>
        <v>0</v>
      </c>
      <c r="DO443" s="424">
        <f t="shared" si="383"/>
        <v>0</v>
      </c>
      <c r="DP443" s="424">
        <f t="shared" si="383"/>
        <v>0</v>
      </c>
      <c r="DQ443" s="424">
        <f t="shared" si="383"/>
        <v>0</v>
      </c>
      <c r="DR443" s="424">
        <f t="shared" si="383"/>
        <v>0</v>
      </c>
      <c r="DS443" s="424">
        <f t="shared" si="383"/>
        <v>0</v>
      </c>
      <c r="DT443" s="424">
        <f t="shared" si="383"/>
        <v>0</v>
      </c>
      <c r="DU443" s="424">
        <f t="shared" si="383"/>
        <v>0</v>
      </c>
      <c r="DV443" s="424">
        <f t="shared" si="383"/>
        <v>0</v>
      </c>
      <c r="DW443" s="424">
        <f t="shared" si="383"/>
        <v>0</v>
      </c>
      <c r="DX443" s="424">
        <f t="shared" si="383"/>
        <v>0</v>
      </c>
      <c r="DY443" s="424">
        <f t="shared" si="383"/>
        <v>0</v>
      </c>
      <c r="DZ443" s="424">
        <f t="shared" si="383"/>
        <v>0</v>
      </c>
      <c r="EA443" s="424">
        <f t="shared" si="383"/>
        <v>0</v>
      </c>
      <c r="EB443" s="424">
        <f t="shared" si="383"/>
        <v>0</v>
      </c>
      <c r="EC443" s="424">
        <f t="shared" si="383"/>
        <v>0</v>
      </c>
      <c r="ED443" s="424">
        <f t="shared" si="383"/>
        <v>0</v>
      </c>
      <c r="EE443" s="424">
        <f t="shared" si="383"/>
        <v>0</v>
      </c>
      <c r="EF443" s="424">
        <f t="shared" si="383"/>
        <v>0</v>
      </c>
      <c r="EG443" s="424">
        <f t="shared" si="383"/>
        <v>0</v>
      </c>
      <c r="EH443" s="424">
        <f t="shared" ref="EH443:EX443" si="384">EH73*EH$372</f>
        <v>0</v>
      </c>
      <c r="EI443" s="424">
        <f t="shared" si="384"/>
        <v>0</v>
      </c>
      <c r="EJ443" s="424">
        <f t="shared" si="384"/>
        <v>0</v>
      </c>
      <c r="EK443" s="424">
        <f t="shared" si="384"/>
        <v>0</v>
      </c>
      <c r="EL443" s="424">
        <f t="shared" si="384"/>
        <v>0</v>
      </c>
      <c r="EM443" s="424">
        <f t="shared" si="384"/>
        <v>0</v>
      </c>
      <c r="EN443" s="424">
        <f t="shared" si="384"/>
        <v>0</v>
      </c>
      <c r="EO443" s="424">
        <f t="shared" si="384"/>
        <v>0</v>
      </c>
      <c r="EP443" s="424">
        <f t="shared" si="384"/>
        <v>0</v>
      </c>
      <c r="EQ443" s="424">
        <f t="shared" si="384"/>
        <v>0</v>
      </c>
      <c r="ER443" s="424">
        <f t="shared" si="384"/>
        <v>0</v>
      </c>
      <c r="ES443" s="424">
        <f t="shared" si="384"/>
        <v>0</v>
      </c>
      <c r="ET443" s="424">
        <f t="shared" si="384"/>
        <v>0</v>
      </c>
      <c r="EU443" s="424">
        <f t="shared" si="384"/>
        <v>0</v>
      </c>
      <c r="EV443" s="424">
        <f t="shared" si="384"/>
        <v>0</v>
      </c>
      <c r="EW443" s="424">
        <f t="shared" si="384"/>
        <v>0</v>
      </c>
      <c r="EX443" s="424">
        <f t="shared" si="384"/>
        <v>0</v>
      </c>
      <c r="EY443" s="425">
        <f t="shared" si="374"/>
        <v>8.86</v>
      </c>
      <c r="EZ443" s="616"/>
      <c r="FA443" s="616"/>
      <c r="FB443" s="616"/>
      <c r="FC443" s="616"/>
      <c r="FD443" s="616"/>
      <c r="FE443" s="616"/>
      <c r="FF443" s="616"/>
      <c r="FG443" s="616"/>
      <c r="FH443" s="616"/>
      <c r="FI443" s="616"/>
      <c r="FJ443" s="616"/>
    </row>
    <row r="444" spans="1:166" s="605" customFormat="1" ht="14.7" customHeight="1" x14ac:dyDescent="0.25">
      <c r="A444" s="310">
        <v>70</v>
      </c>
      <c r="B444" s="311" t="str">
        <f t="shared" si="355"/>
        <v>Суп картофельный с крупой овсяной</v>
      </c>
      <c r="C444" s="483">
        <f t="shared" si="363"/>
        <v>8.7200000000000006</v>
      </c>
      <c r="D444" s="888"/>
      <c r="E444" s="888"/>
      <c r="F444" s="888"/>
      <c r="G444" s="889"/>
      <c r="H444" s="680">
        <f t="shared" si="356"/>
        <v>101</v>
      </c>
      <c r="I444" s="1209">
        <f t="shared" si="357"/>
        <v>0</v>
      </c>
      <c r="J444" s="424">
        <f t="shared" ref="J444:AO444" si="385">J74*J$372</f>
        <v>0</v>
      </c>
      <c r="K444" s="424">
        <f t="shared" si="385"/>
        <v>0</v>
      </c>
      <c r="L444" s="424">
        <f t="shared" si="385"/>
        <v>0</v>
      </c>
      <c r="M444" s="424">
        <f t="shared" si="385"/>
        <v>0</v>
      </c>
      <c r="N444" s="424">
        <f t="shared" si="385"/>
        <v>0</v>
      </c>
      <c r="O444" s="424">
        <f t="shared" si="385"/>
        <v>0</v>
      </c>
      <c r="P444" s="424">
        <f t="shared" si="385"/>
        <v>0</v>
      </c>
      <c r="Q444" s="424">
        <f t="shared" si="385"/>
        <v>0</v>
      </c>
      <c r="R444" s="424">
        <f t="shared" si="385"/>
        <v>0</v>
      </c>
      <c r="S444" s="424">
        <f t="shared" si="385"/>
        <v>0</v>
      </c>
      <c r="T444" s="424">
        <f t="shared" si="385"/>
        <v>0</v>
      </c>
      <c r="U444" s="424">
        <f t="shared" si="385"/>
        <v>0</v>
      </c>
      <c r="V444" s="424">
        <f t="shared" si="385"/>
        <v>0</v>
      </c>
      <c r="W444" s="424">
        <f t="shared" si="385"/>
        <v>0</v>
      </c>
      <c r="X444" s="424">
        <f t="shared" si="385"/>
        <v>0</v>
      </c>
      <c r="Y444" s="424">
        <f t="shared" si="385"/>
        <v>1.17</v>
      </c>
      <c r="Z444" s="424">
        <f t="shared" si="385"/>
        <v>0</v>
      </c>
      <c r="AA444" s="424">
        <f t="shared" si="385"/>
        <v>0</v>
      </c>
      <c r="AB444" s="424">
        <f t="shared" si="385"/>
        <v>0</v>
      </c>
      <c r="AC444" s="424">
        <f t="shared" si="385"/>
        <v>0</v>
      </c>
      <c r="AD444" s="424">
        <f t="shared" si="385"/>
        <v>0</v>
      </c>
      <c r="AE444" s="424">
        <f t="shared" si="385"/>
        <v>0</v>
      </c>
      <c r="AF444" s="424">
        <f t="shared" si="385"/>
        <v>0</v>
      </c>
      <c r="AG444" s="424">
        <f t="shared" si="385"/>
        <v>0</v>
      </c>
      <c r="AH444" s="424">
        <f t="shared" si="385"/>
        <v>5</v>
      </c>
      <c r="AI444" s="424">
        <f t="shared" si="385"/>
        <v>0</v>
      </c>
      <c r="AJ444" s="424">
        <f t="shared" si="385"/>
        <v>0</v>
      </c>
      <c r="AK444" s="424">
        <f t="shared" si="385"/>
        <v>0.6</v>
      </c>
      <c r="AL444" s="424">
        <f t="shared" si="385"/>
        <v>0</v>
      </c>
      <c r="AM444" s="424">
        <f t="shared" si="385"/>
        <v>0</v>
      </c>
      <c r="AN444" s="424">
        <f t="shared" si="385"/>
        <v>0</v>
      </c>
      <c r="AO444" s="424">
        <f t="shared" si="385"/>
        <v>0</v>
      </c>
      <c r="AP444" s="424">
        <f t="shared" ref="AP444:BU444" si="386">AP74*AP$372</f>
        <v>0</v>
      </c>
      <c r="AQ444" s="424">
        <f t="shared" si="386"/>
        <v>0.63</v>
      </c>
      <c r="AR444" s="424">
        <f t="shared" si="386"/>
        <v>0</v>
      </c>
      <c r="AS444" s="424">
        <f t="shared" si="386"/>
        <v>0</v>
      </c>
      <c r="AT444" s="424">
        <f t="shared" si="386"/>
        <v>0</v>
      </c>
      <c r="AU444" s="424">
        <f t="shared" si="386"/>
        <v>0.6</v>
      </c>
      <c r="AV444" s="424">
        <f t="shared" si="386"/>
        <v>0</v>
      </c>
      <c r="AW444" s="424">
        <f t="shared" si="386"/>
        <v>0</v>
      </c>
      <c r="AX444" s="424">
        <f t="shared" si="386"/>
        <v>0</v>
      </c>
      <c r="AY444" s="424">
        <f t="shared" si="386"/>
        <v>0</v>
      </c>
      <c r="AZ444" s="424">
        <f t="shared" si="386"/>
        <v>0</v>
      </c>
      <c r="BA444" s="424">
        <f t="shared" si="386"/>
        <v>0</v>
      </c>
      <c r="BB444" s="424">
        <f t="shared" si="386"/>
        <v>0</v>
      </c>
      <c r="BC444" s="424">
        <f t="shared" si="386"/>
        <v>0</v>
      </c>
      <c r="BD444" s="424">
        <f t="shared" si="386"/>
        <v>0</v>
      </c>
      <c r="BE444" s="424">
        <f t="shared" si="386"/>
        <v>0</v>
      </c>
      <c r="BF444" s="424">
        <f t="shared" si="386"/>
        <v>0</v>
      </c>
      <c r="BG444" s="424">
        <f t="shared" si="386"/>
        <v>0</v>
      </c>
      <c r="BH444" s="424">
        <f t="shared" si="386"/>
        <v>0</v>
      </c>
      <c r="BI444" s="424">
        <f t="shared" si="386"/>
        <v>0</v>
      </c>
      <c r="BJ444" s="424">
        <f t="shared" si="386"/>
        <v>0</v>
      </c>
      <c r="BK444" s="424">
        <f t="shared" si="386"/>
        <v>0</v>
      </c>
      <c r="BL444" s="424">
        <f t="shared" si="386"/>
        <v>0</v>
      </c>
      <c r="BM444" s="424">
        <f t="shared" si="386"/>
        <v>0</v>
      </c>
      <c r="BN444" s="424">
        <f t="shared" si="386"/>
        <v>0</v>
      </c>
      <c r="BO444" s="424">
        <f t="shared" si="386"/>
        <v>0</v>
      </c>
      <c r="BP444" s="424">
        <f t="shared" si="386"/>
        <v>0</v>
      </c>
      <c r="BQ444" s="424">
        <f t="shared" si="386"/>
        <v>0</v>
      </c>
      <c r="BR444" s="424">
        <f t="shared" si="386"/>
        <v>0</v>
      </c>
      <c r="BS444" s="424">
        <f t="shared" si="386"/>
        <v>0</v>
      </c>
      <c r="BT444" s="424">
        <f t="shared" si="386"/>
        <v>0</v>
      </c>
      <c r="BU444" s="424">
        <f t="shared" si="386"/>
        <v>0</v>
      </c>
      <c r="BV444" s="424">
        <f t="shared" ref="BV444:DA444" si="387">BV74*BV$372</f>
        <v>0</v>
      </c>
      <c r="BW444" s="424">
        <f t="shared" si="387"/>
        <v>0.35</v>
      </c>
      <c r="BX444" s="424">
        <f t="shared" si="387"/>
        <v>0</v>
      </c>
      <c r="BY444" s="424">
        <f t="shared" si="387"/>
        <v>0</v>
      </c>
      <c r="BZ444" s="424">
        <f t="shared" si="387"/>
        <v>0</v>
      </c>
      <c r="CA444" s="424">
        <f t="shared" si="387"/>
        <v>0</v>
      </c>
      <c r="CB444" s="424">
        <f t="shared" si="387"/>
        <v>0</v>
      </c>
      <c r="CC444" s="424">
        <f t="shared" si="387"/>
        <v>0</v>
      </c>
      <c r="CD444" s="424">
        <f t="shared" si="387"/>
        <v>0</v>
      </c>
      <c r="CE444" s="424">
        <f t="shared" si="387"/>
        <v>0</v>
      </c>
      <c r="CF444" s="424">
        <f t="shared" si="387"/>
        <v>0.3</v>
      </c>
      <c r="CG444" s="424">
        <f t="shared" si="387"/>
        <v>0</v>
      </c>
      <c r="CH444" s="424">
        <f t="shared" si="387"/>
        <v>0</v>
      </c>
      <c r="CI444" s="424">
        <f t="shared" si="387"/>
        <v>0</v>
      </c>
      <c r="CJ444" s="424">
        <f t="shared" si="387"/>
        <v>0</v>
      </c>
      <c r="CK444" s="424">
        <f t="shared" si="387"/>
        <v>0</v>
      </c>
      <c r="CL444" s="424">
        <f t="shared" si="387"/>
        <v>0</v>
      </c>
      <c r="CM444" s="424">
        <f t="shared" si="387"/>
        <v>0</v>
      </c>
      <c r="CN444" s="424">
        <f t="shared" si="387"/>
        <v>0</v>
      </c>
      <c r="CO444" s="424">
        <f t="shared" si="387"/>
        <v>0</v>
      </c>
      <c r="CP444" s="424">
        <f t="shared" si="387"/>
        <v>0</v>
      </c>
      <c r="CQ444" s="424">
        <f t="shared" si="387"/>
        <v>0</v>
      </c>
      <c r="CR444" s="424">
        <f t="shared" si="387"/>
        <v>0</v>
      </c>
      <c r="CS444" s="424">
        <f t="shared" si="387"/>
        <v>0.01</v>
      </c>
      <c r="CT444" s="424">
        <f t="shared" si="387"/>
        <v>0</v>
      </c>
      <c r="CU444" s="424">
        <f t="shared" si="387"/>
        <v>0</v>
      </c>
      <c r="CV444" s="424">
        <f t="shared" si="387"/>
        <v>0</v>
      </c>
      <c r="CW444" s="424">
        <f t="shared" si="387"/>
        <v>0</v>
      </c>
      <c r="CX444" s="424">
        <f t="shared" si="387"/>
        <v>0</v>
      </c>
      <c r="CY444" s="424">
        <f t="shared" si="387"/>
        <v>0</v>
      </c>
      <c r="CZ444" s="424">
        <f t="shared" si="387"/>
        <v>0</v>
      </c>
      <c r="DA444" s="424">
        <f t="shared" si="387"/>
        <v>0</v>
      </c>
      <c r="DB444" s="424">
        <f t="shared" ref="DB444:EG444" si="388">DB74*DB$372</f>
        <v>0</v>
      </c>
      <c r="DC444" s="424">
        <f t="shared" si="388"/>
        <v>0.06</v>
      </c>
      <c r="DD444" s="424">
        <f t="shared" si="388"/>
        <v>0</v>
      </c>
      <c r="DE444" s="424">
        <f t="shared" si="388"/>
        <v>0</v>
      </c>
      <c r="DF444" s="424">
        <f t="shared" si="388"/>
        <v>0</v>
      </c>
      <c r="DG444" s="424">
        <f t="shared" si="388"/>
        <v>0</v>
      </c>
      <c r="DH444" s="424">
        <f t="shared" si="388"/>
        <v>0</v>
      </c>
      <c r="DI444" s="424">
        <f t="shared" si="388"/>
        <v>0</v>
      </c>
      <c r="DJ444" s="424">
        <f t="shared" si="388"/>
        <v>0</v>
      </c>
      <c r="DK444" s="424">
        <f t="shared" si="388"/>
        <v>0</v>
      </c>
      <c r="DL444" s="424">
        <f t="shared" si="388"/>
        <v>0</v>
      </c>
      <c r="DM444" s="424">
        <f t="shared" si="388"/>
        <v>0</v>
      </c>
      <c r="DN444" s="424">
        <f t="shared" si="388"/>
        <v>0</v>
      </c>
      <c r="DO444" s="424">
        <f t="shared" si="388"/>
        <v>0</v>
      </c>
      <c r="DP444" s="424">
        <f t="shared" si="388"/>
        <v>0</v>
      </c>
      <c r="DQ444" s="424">
        <f t="shared" si="388"/>
        <v>0</v>
      </c>
      <c r="DR444" s="424">
        <f t="shared" si="388"/>
        <v>0</v>
      </c>
      <c r="DS444" s="424">
        <f t="shared" si="388"/>
        <v>0</v>
      </c>
      <c r="DT444" s="424">
        <f t="shared" si="388"/>
        <v>0</v>
      </c>
      <c r="DU444" s="424">
        <f t="shared" si="388"/>
        <v>0</v>
      </c>
      <c r="DV444" s="424">
        <f t="shared" si="388"/>
        <v>0</v>
      </c>
      <c r="DW444" s="424">
        <f t="shared" si="388"/>
        <v>0</v>
      </c>
      <c r="DX444" s="424">
        <f t="shared" si="388"/>
        <v>0</v>
      </c>
      <c r="DY444" s="424">
        <f t="shared" si="388"/>
        <v>0</v>
      </c>
      <c r="DZ444" s="424">
        <f t="shared" si="388"/>
        <v>0</v>
      </c>
      <c r="EA444" s="424">
        <f t="shared" si="388"/>
        <v>0</v>
      </c>
      <c r="EB444" s="424">
        <f t="shared" si="388"/>
        <v>0</v>
      </c>
      <c r="EC444" s="424">
        <f t="shared" si="388"/>
        <v>0</v>
      </c>
      <c r="ED444" s="424">
        <f t="shared" si="388"/>
        <v>0</v>
      </c>
      <c r="EE444" s="424">
        <f t="shared" si="388"/>
        <v>0</v>
      </c>
      <c r="EF444" s="424">
        <f t="shared" si="388"/>
        <v>0</v>
      </c>
      <c r="EG444" s="424">
        <f t="shared" si="388"/>
        <v>0</v>
      </c>
      <c r="EH444" s="424">
        <f t="shared" ref="EH444:EX444" si="389">EH74*EH$372</f>
        <v>0</v>
      </c>
      <c r="EI444" s="424">
        <f t="shared" si="389"/>
        <v>0</v>
      </c>
      <c r="EJ444" s="424">
        <f t="shared" si="389"/>
        <v>0</v>
      </c>
      <c r="EK444" s="424">
        <f t="shared" si="389"/>
        <v>0</v>
      </c>
      <c r="EL444" s="424">
        <f t="shared" si="389"/>
        <v>0</v>
      </c>
      <c r="EM444" s="424">
        <f t="shared" si="389"/>
        <v>0</v>
      </c>
      <c r="EN444" s="424">
        <f t="shared" si="389"/>
        <v>0</v>
      </c>
      <c r="EO444" s="424">
        <f t="shared" si="389"/>
        <v>0</v>
      </c>
      <c r="EP444" s="424">
        <f t="shared" si="389"/>
        <v>0</v>
      </c>
      <c r="EQ444" s="424">
        <f t="shared" si="389"/>
        <v>0</v>
      </c>
      <c r="ER444" s="424">
        <f t="shared" si="389"/>
        <v>0</v>
      </c>
      <c r="ES444" s="424">
        <f t="shared" si="389"/>
        <v>0</v>
      </c>
      <c r="ET444" s="424">
        <f t="shared" si="389"/>
        <v>0</v>
      </c>
      <c r="EU444" s="424">
        <f t="shared" si="389"/>
        <v>0</v>
      </c>
      <c r="EV444" s="424">
        <f t="shared" si="389"/>
        <v>0</v>
      </c>
      <c r="EW444" s="424">
        <f t="shared" si="389"/>
        <v>0</v>
      </c>
      <c r="EX444" s="424">
        <f t="shared" si="389"/>
        <v>0</v>
      </c>
      <c r="EY444" s="425">
        <f t="shared" si="374"/>
        <v>8.7200000000000006</v>
      </c>
      <c r="EZ444" s="616"/>
      <c r="FA444" s="616"/>
      <c r="FB444" s="616"/>
      <c r="FC444" s="616"/>
      <c r="FD444" s="616"/>
      <c r="FE444" s="616"/>
      <c r="FF444" s="616"/>
      <c r="FG444" s="616"/>
      <c r="FH444" s="616"/>
      <c r="FI444" s="616"/>
      <c r="FJ444" s="616"/>
    </row>
    <row r="445" spans="1:166" s="605" customFormat="1" ht="14.7" customHeight="1" x14ac:dyDescent="0.25">
      <c r="A445" s="310">
        <v>71</v>
      </c>
      <c r="B445" s="311" t="str">
        <f t="shared" si="355"/>
        <v>Суп картофельный с крупой пшеничной</v>
      </c>
      <c r="C445" s="483">
        <f t="shared" si="363"/>
        <v>8.7200000000000006</v>
      </c>
      <c r="D445" s="888"/>
      <c r="E445" s="888"/>
      <c r="F445" s="888"/>
      <c r="G445" s="889"/>
      <c r="H445" s="680">
        <f t="shared" si="356"/>
        <v>101</v>
      </c>
      <c r="I445" s="1209">
        <f t="shared" si="357"/>
        <v>0</v>
      </c>
      <c r="J445" s="424">
        <f t="shared" ref="J445:AO445" si="390">J75*J$372</f>
        <v>0</v>
      </c>
      <c r="K445" s="424">
        <f t="shared" si="390"/>
        <v>0</v>
      </c>
      <c r="L445" s="424">
        <f t="shared" si="390"/>
        <v>0</v>
      </c>
      <c r="M445" s="424">
        <f t="shared" si="390"/>
        <v>0</v>
      </c>
      <c r="N445" s="424">
        <f t="shared" si="390"/>
        <v>0</v>
      </c>
      <c r="O445" s="424">
        <f t="shared" si="390"/>
        <v>0</v>
      </c>
      <c r="P445" s="424">
        <f t="shared" si="390"/>
        <v>0</v>
      </c>
      <c r="Q445" s="424">
        <f t="shared" si="390"/>
        <v>0</v>
      </c>
      <c r="R445" s="424">
        <f t="shared" si="390"/>
        <v>0</v>
      </c>
      <c r="S445" s="424">
        <f t="shared" si="390"/>
        <v>0</v>
      </c>
      <c r="T445" s="424">
        <f t="shared" si="390"/>
        <v>0</v>
      </c>
      <c r="U445" s="424">
        <f t="shared" si="390"/>
        <v>0</v>
      </c>
      <c r="V445" s="424">
        <f t="shared" si="390"/>
        <v>0</v>
      </c>
      <c r="W445" s="424">
        <f t="shared" si="390"/>
        <v>0</v>
      </c>
      <c r="X445" s="424">
        <f t="shared" si="390"/>
        <v>0</v>
      </c>
      <c r="Y445" s="424">
        <f t="shared" si="390"/>
        <v>1.17</v>
      </c>
      <c r="Z445" s="424">
        <f t="shared" si="390"/>
        <v>0</v>
      </c>
      <c r="AA445" s="424">
        <f t="shared" si="390"/>
        <v>0</v>
      </c>
      <c r="AB445" s="424">
        <f t="shared" si="390"/>
        <v>0</v>
      </c>
      <c r="AC445" s="424">
        <f t="shared" si="390"/>
        <v>0</v>
      </c>
      <c r="AD445" s="424">
        <f t="shared" si="390"/>
        <v>0</v>
      </c>
      <c r="AE445" s="424">
        <f t="shared" si="390"/>
        <v>0</v>
      </c>
      <c r="AF445" s="424">
        <f t="shared" si="390"/>
        <v>0</v>
      </c>
      <c r="AG445" s="424">
        <f t="shared" si="390"/>
        <v>0</v>
      </c>
      <c r="AH445" s="424">
        <f t="shared" si="390"/>
        <v>5</v>
      </c>
      <c r="AI445" s="424">
        <f t="shared" si="390"/>
        <v>0</v>
      </c>
      <c r="AJ445" s="424">
        <f t="shared" si="390"/>
        <v>0</v>
      </c>
      <c r="AK445" s="424">
        <f t="shared" si="390"/>
        <v>0.6</v>
      </c>
      <c r="AL445" s="424">
        <f t="shared" si="390"/>
        <v>0</v>
      </c>
      <c r="AM445" s="424">
        <f t="shared" si="390"/>
        <v>0</v>
      </c>
      <c r="AN445" s="424">
        <f t="shared" si="390"/>
        <v>0</v>
      </c>
      <c r="AO445" s="424">
        <f t="shared" si="390"/>
        <v>0</v>
      </c>
      <c r="AP445" s="424">
        <f t="shared" ref="AP445:BU445" si="391">AP75*AP$372</f>
        <v>0</v>
      </c>
      <c r="AQ445" s="424">
        <f t="shared" si="391"/>
        <v>0.63</v>
      </c>
      <c r="AR445" s="424">
        <f t="shared" si="391"/>
        <v>0</v>
      </c>
      <c r="AS445" s="424">
        <f t="shared" si="391"/>
        <v>0</v>
      </c>
      <c r="AT445" s="424">
        <f t="shared" si="391"/>
        <v>0</v>
      </c>
      <c r="AU445" s="424">
        <f t="shared" si="391"/>
        <v>0.6</v>
      </c>
      <c r="AV445" s="424">
        <f t="shared" si="391"/>
        <v>0</v>
      </c>
      <c r="AW445" s="424">
        <f t="shared" si="391"/>
        <v>0</v>
      </c>
      <c r="AX445" s="424">
        <f t="shared" si="391"/>
        <v>0</v>
      </c>
      <c r="AY445" s="424">
        <f t="shared" si="391"/>
        <v>0</v>
      </c>
      <c r="AZ445" s="424">
        <f t="shared" si="391"/>
        <v>0</v>
      </c>
      <c r="BA445" s="424">
        <f t="shared" si="391"/>
        <v>0</v>
      </c>
      <c r="BB445" s="424">
        <f t="shared" si="391"/>
        <v>0</v>
      </c>
      <c r="BC445" s="424">
        <f t="shared" si="391"/>
        <v>0</v>
      </c>
      <c r="BD445" s="424">
        <f t="shared" si="391"/>
        <v>0</v>
      </c>
      <c r="BE445" s="424">
        <f t="shared" si="391"/>
        <v>0</v>
      </c>
      <c r="BF445" s="424">
        <f t="shared" si="391"/>
        <v>0</v>
      </c>
      <c r="BG445" s="424">
        <f t="shared" si="391"/>
        <v>0</v>
      </c>
      <c r="BH445" s="424">
        <f t="shared" si="391"/>
        <v>0</v>
      </c>
      <c r="BI445" s="424">
        <f t="shared" si="391"/>
        <v>0</v>
      </c>
      <c r="BJ445" s="424">
        <f t="shared" si="391"/>
        <v>0</v>
      </c>
      <c r="BK445" s="424">
        <f t="shared" si="391"/>
        <v>0</v>
      </c>
      <c r="BL445" s="424">
        <f t="shared" si="391"/>
        <v>0</v>
      </c>
      <c r="BM445" s="424">
        <f t="shared" si="391"/>
        <v>0</v>
      </c>
      <c r="BN445" s="424">
        <f t="shared" si="391"/>
        <v>0</v>
      </c>
      <c r="BO445" s="424">
        <f t="shared" si="391"/>
        <v>0</v>
      </c>
      <c r="BP445" s="424">
        <f t="shared" si="391"/>
        <v>0</v>
      </c>
      <c r="BQ445" s="424">
        <f t="shared" si="391"/>
        <v>0</v>
      </c>
      <c r="BR445" s="424">
        <f t="shared" si="391"/>
        <v>0</v>
      </c>
      <c r="BS445" s="424">
        <f t="shared" si="391"/>
        <v>0</v>
      </c>
      <c r="BT445" s="424">
        <f t="shared" si="391"/>
        <v>0</v>
      </c>
      <c r="BU445" s="424">
        <f t="shared" si="391"/>
        <v>0</v>
      </c>
      <c r="BV445" s="424">
        <f t="shared" ref="BV445:DA445" si="392">BV75*BV$372</f>
        <v>0</v>
      </c>
      <c r="BW445" s="424">
        <f t="shared" si="392"/>
        <v>0</v>
      </c>
      <c r="BX445" s="424">
        <f t="shared" si="392"/>
        <v>0</v>
      </c>
      <c r="BY445" s="424">
        <f t="shared" si="392"/>
        <v>0.35</v>
      </c>
      <c r="BZ445" s="424">
        <f t="shared" si="392"/>
        <v>0</v>
      </c>
      <c r="CA445" s="424">
        <f t="shared" si="392"/>
        <v>0</v>
      </c>
      <c r="CB445" s="424">
        <f t="shared" si="392"/>
        <v>0</v>
      </c>
      <c r="CC445" s="424">
        <f t="shared" si="392"/>
        <v>0</v>
      </c>
      <c r="CD445" s="424">
        <f t="shared" si="392"/>
        <v>0</v>
      </c>
      <c r="CE445" s="424">
        <f t="shared" si="392"/>
        <v>0</v>
      </c>
      <c r="CF445" s="424">
        <f t="shared" si="392"/>
        <v>0.3</v>
      </c>
      <c r="CG445" s="424">
        <f t="shared" si="392"/>
        <v>0</v>
      </c>
      <c r="CH445" s="424">
        <f t="shared" si="392"/>
        <v>0</v>
      </c>
      <c r="CI445" s="424">
        <f t="shared" si="392"/>
        <v>0</v>
      </c>
      <c r="CJ445" s="424">
        <f t="shared" si="392"/>
        <v>0</v>
      </c>
      <c r="CK445" s="424">
        <f t="shared" si="392"/>
        <v>0</v>
      </c>
      <c r="CL445" s="424">
        <f t="shared" si="392"/>
        <v>0</v>
      </c>
      <c r="CM445" s="424">
        <f t="shared" si="392"/>
        <v>0</v>
      </c>
      <c r="CN445" s="424">
        <f t="shared" si="392"/>
        <v>0</v>
      </c>
      <c r="CO445" s="424">
        <f t="shared" si="392"/>
        <v>0</v>
      </c>
      <c r="CP445" s="424">
        <f t="shared" si="392"/>
        <v>0</v>
      </c>
      <c r="CQ445" s="424">
        <f t="shared" si="392"/>
        <v>0</v>
      </c>
      <c r="CR445" s="424">
        <f t="shared" si="392"/>
        <v>0</v>
      </c>
      <c r="CS445" s="424">
        <f t="shared" si="392"/>
        <v>0.01</v>
      </c>
      <c r="CT445" s="424">
        <f t="shared" si="392"/>
        <v>0</v>
      </c>
      <c r="CU445" s="424">
        <f t="shared" si="392"/>
        <v>0</v>
      </c>
      <c r="CV445" s="424">
        <f t="shared" si="392"/>
        <v>0</v>
      </c>
      <c r="CW445" s="424">
        <f t="shared" si="392"/>
        <v>0</v>
      </c>
      <c r="CX445" s="424">
        <f t="shared" si="392"/>
        <v>0</v>
      </c>
      <c r="CY445" s="424">
        <f t="shared" si="392"/>
        <v>0</v>
      </c>
      <c r="CZ445" s="424">
        <f t="shared" si="392"/>
        <v>0</v>
      </c>
      <c r="DA445" s="424">
        <f t="shared" si="392"/>
        <v>0</v>
      </c>
      <c r="DB445" s="424">
        <f t="shared" ref="DB445:EG445" si="393">DB75*DB$372</f>
        <v>0</v>
      </c>
      <c r="DC445" s="424">
        <f t="shared" si="393"/>
        <v>0.06</v>
      </c>
      <c r="DD445" s="424">
        <f t="shared" si="393"/>
        <v>0</v>
      </c>
      <c r="DE445" s="424">
        <f t="shared" si="393"/>
        <v>0</v>
      </c>
      <c r="DF445" s="424">
        <f t="shared" si="393"/>
        <v>0</v>
      </c>
      <c r="DG445" s="424">
        <f t="shared" si="393"/>
        <v>0</v>
      </c>
      <c r="DH445" s="424">
        <f t="shared" si="393"/>
        <v>0</v>
      </c>
      <c r="DI445" s="424">
        <f t="shared" si="393"/>
        <v>0</v>
      </c>
      <c r="DJ445" s="424">
        <f t="shared" si="393"/>
        <v>0</v>
      </c>
      <c r="DK445" s="424">
        <f t="shared" si="393"/>
        <v>0</v>
      </c>
      <c r="DL445" s="424">
        <f t="shared" si="393"/>
        <v>0</v>
      </c>
      <c r="DM445" s="424">
        <f t="shared" si="393"/>
        <v>0</v>
      </c>
      <c r="DN445" s="424">
        <f t="shared" si="393"/>
        <v>0</v>
      </c>
      <c r="DO445" s="424">
        <f t="shared" si="393"/>
        <v>0</v>
      </c>
      <c r="DP445" s="424">
        <f t="shared" si="393"/>
        <v>0</v>
      </c>
      <c r="DQ445" s="424">
        <f t="shared" si="393"/>
        <v>0</v>
      </c>
      <c r="DR445" s="424">
        <f t="shared" si="393"/>
        <v>0</v>
      </c>
      <c r="DS445" s="424">
        <f t="shared" si="393"/>
        <v>0</v>
      </c>
      <c r="DT445" s="424">
        <f t="shared" si="393"/>
        <v>0</v>
      </c>
      <c r="DU445" s="424">
        <f t="shared" si="393"/>
        <v>0</v>
      </c>
      <c r="DV445" s="424">
        <f t="shared" si="393"/>
        <v>0</v>
      </c>
      <c r="DW445" s="424">
        <f t="shared" si="393"/>
        <v>0</v>
      </c>
      <c r="DX445" s="424">
        <f t="shared" si="393"/>
        <v>0</v>
      </c>
      <c r="DY445" s="424">
        <f t="shared" si="393"/>
        <v>0</v>
      </c>
      <c r="DZ445" s="424">
        <f t="shared" si="393"/>
        <v>0</v>
      </c>
      <c r="EA445" s="424">
        <f t="shared" si="393"/>
        <v>0</v>
      </c>
      <c r="EB445" s="424">
        <f t="shared" si="393"/>
        <v>0</v>
      </c>
      <c r="EC445" s="424">
        <f t="shared" si="393"/>
        <v>0</v>
      </c>
      <c r="ED445" s="424">
        <f t="shared" si="393"/>
        <v>0</v>
      </c>
      <c r="EE445" s="424">
        <f t="shared" si="393"/>
        <v>0</v>
      </c>
      <c r="EF445" s="424">
        <f t="shared" si="393"/>
        <v>0</v>
      </c>
      <c r="EG445" s="424">
        <f t="shared" si="393"/>
        <v>0</v>
      </c>
      <c r="EH445" s="424">
        <f t="shared" ref="EH445:EX445" si="394">EH75*EH$372</f>
        <v>0</v>
      </c>
      <c r="EI445" s="424">
        <f t="shared" si="394"/>
        <v>0</v>
      </c>
      <c r="EJ445" s="424">
        <f t="shared" si="394"/>
        <v>0</v>
      </c>
      <c r="EK445" s="424">
        <f t="shared" si="394"/>
        <v>0</v>
      </c>
      <c r="EL445" s="424">
        <f t="shared" si="394"/>
        <v>0</v>
      </c>
      <c r="EM445" s="424">
        <f t="shared" si="394"/>
        <v>0</v>
      </c>
      <c r="EN445" s="424">
        <f t="shared" si="394"/>
        <v>0</v>
      </c>
      <c r="EO445" s="424">
        <f t="shared" si="394"/>
        <v>0</v>
      </c>
      <c r="EP445" s="424">
        <f t="shared" si="394"/>
        <v>0</v>
      </c>
      <c r="EQ445" s="424">
        <f t="shared" si="394"/>
        <v>0</v>
      </c>
      <c r="ER445" s="424">
        <f t="shared" si="394"/>
        <v>0</v>
      </c>
      <c r="ES445" s="424">
        <f t="shared" si="394"/>
        <v>0</v>
      </c>
      <c r="ET445" s="424">
        <f t="shared" si="394"/>
        <v>0</v>
      </c>
      <c r="EU445" s="424">
        <f t="shared" si="394"/>
        <v>0</v>
      </c>
      <c r="EV445" s="424">
        <f t="shared" si="394"/>
        <v>0</v>
      </c>
      <c r="EW445" s="424">
        <f t="shared" si="394"/>
        <v>0</v>
      </c>
      <c r="EX445" s="424">
        <f t="shared" si="394"/>
        <v>0</v>
      </c>
      <c r="EY445" s="425">
        <f t="shared" si="374"/>
        <v>8.7200000000000006</v>
      </c>
      <c r="EZ445" s="616"/>
      <c r="FA445" s="616"/>
      <c r="FB445" s="616"/>
      <c r="FC445" s="616"/>
      <c r="FD445" s="616"/>
      <c r="FE445" s="616"/>
      <c r="FF445" s="616"/>
      <c r="FG445" s="616"/>
      <c r="FH445" s="616"/>
      <c r="FI445" s="616"/>
      <c r="FJ445" s="616"/>
    </row>
    <row r="446" spans="1:166" s="605" customFormat="1" ht="14.7" customHeight="1" x14ac:dyDescent="0.25">
      <c r="A446" s="310">
        <v>72</v>
      </c>
      <c r="B446" s="311" t="str">
        <f t="shared" si="355"/>
        <v>Суп картофельный с хлопьями овсяными "Геркулес"</v>
      </c>
      <c r="C446" s="483">
        <f t="shared" si="363"/>
        <v>8.6999999999999993</v>
      </c>
      <c r="D446" s="888"/>
      <c r="E446" s="888"/>
      <c r="F446" s="888"/>
      <c r="G446" s="889"/>
      <c r="H446" s="680">
        <f t="shared" si="356"/>
        <v>101</v>
      </c>
      <c r="I446" s="1209">
        <f t="shared" si="357"/>
        <v>-0.01</v>
      </c>
      <c r="J446" s="424">
        <f t="shared" ref="J446:AO446" si="395">J76*J$372</f>
        <v>0</v>
      </c>
      <c r="K446" s="424">
        <f t="shared" si="395"/>
        <v>0</v>
      </c>
      <c r="L446" s="424">
        <f t="shared" si="395"/>
        <v>0</v>
      </c>
      <c r="M446" s="424">
        <f t="shared" si="395"/>
        <v>0</v>
      </c>
      <c r="N446" s="424">
        <f t="shared" si="395"/>
        <v>0</v>
      </c>
      <c r="O446" s="424">
        <f t="shared" si="395"/>
        <v>0</v>
      </c>
      <c r="P446" s="424">
        <f t="shared" si="395"/>
        <v>0</v>
      </c>
      <c r="Q446" s="424">
        <f t="shared" si="395"/>
        <v>0</v>
      </c>
      <c r="R446" s="424">
        <f t="shared" si="395"/>
        <v>0</v>
      </c>
      <c r="S446" s="424">
        <f t="shared" si="395"/>
        <v>0</v>
      </c>
      <c r="T446" s="424">
        <f t="shared" si="395"/>
        <v>0</v>
      </c>
      <c r="U446" s="424">
        <f t="shared" si="395"/>
        <v>0</v>
      </c>
      <c r="V446" s="424">
        <f t="shared" si="395"/>
        <v>0</v>
      </c>
      <c r="W446" s="424">
        <f t="shared" si="395"/>
        <v>0</v>
      </c>
      <c r="X446" s="424">
        <f t="shared" si="395"/>
        <v>0</v>
      </c>
      <c r="Y446" s="424">
        <f t="shared" si="395"/>
        <v>1.17</v>
      </c>
      <c r="Z446" s="424">
        <f t="shared" si="395"/>
        <v>0</v>
      </c>
      <c r="AA446" s="424">
        <f t="shared" si="395"/>
        <v>0</v>
      </c>
      <c r="AB446" s="424">
        <f t="shared" si="395"/>
        <v>0</v>
      </c>
      <c r="AC446" s="424">
        <f t="shared" si="395"/>
        <v>0</v>
      </c>
      <c r="AD446" s="424">
        <f t="shared" si="395"/>
        <v>0</v>
      </c>
      <c r="AE446" s="424">
        <f t="shared" si="395"/>
        <v>0</v>
      </c>
      <c r="AF446" s="424">
        <f t="shared" si="395"/>
        <v>0</v>
      </c>
      <c r="AG446" s="424">
        <f t="shared" si="395"/>
        <v>0</v>
      </c>
      <c r="AH446" s="424">
        <f t="shared" si="395"/>
        <v>5</v>
      </c>
      <c r="AI446" s="424">
        <f t="shared" si="395"/>
        <v>0</v>
      </c>
      <c r="AJ446" s="424">
        <f t="shared" si="395"/>
        <v>0</v>
      </c>
      <c r="AK446" s="424">
        <f t="shared" si="395"/>
        <v>0.6</v>
      </c>
      <c r="AL446" s="424">
        <f t="shared" si="395"/>
        <v>0</v>
      </c>
      <c r="AM446" s="424">
        <f t="shared" si="395"/>
        <v>0</v>
      </c>
      <c r="AN446" s="424">
        <f t="shared" si="395"/>
        <v>0</v>
      </c>
      <c r="AO446" s="424">
        <f t="shared" si="395"/>
        <v>0</v>
      </c>
      <c r="AP446" s="424">
        <f t="shared" ref="AP446:BU446" si="396">AP76*AP$372</f>
        <v>0</v>
      </c>
      <c r="AQ446" s="424">
        <f t="shared" si="396"/>
        <v>0.63</v>
      </c>
      <c r="AR446" s="424">
        <f t="shared" si="396"/>
        <v>0</v>
      </c>
      <c r="AS446" s="424">
        <f t="shared" si="396"/>
        <v>0</v>
      </c>
      <c r="AT446" s="424">
        <f t="shared" si="396"/>
        <v>0</v>
      </c>
      <c r="AU446" s="424">
        <f t="shared" si="396"/>
        <v>0.6</v>
      </c>
      <c r="AV446" s="424">
        <f t="shared" si="396"/>
        <v>0</v>
      </c>
      <c r="AW446" s="424">
        <f t="shared" si="396"/>
        <v>0</v>
      </c>
      <c r="AX446" s="424">
        <f t="shared" si="396"/>
        <v>0</v>
      </c>
      <c r="AY446" s="424">
        <f t="shared" si="396"/>
        <v>0</v>
      </c>
      <c r="AZ446" s="424">
        <f t="shared" si="396"/>
        <v>0</v>
      </c>
      <c r="BA446" s="424">
        <f t="shared" si="396"/>
        <v>0</v>
      </c>
      <c r="BB446" s="424">
        <f t="shared" si="396"/>
        <v>0</v>
      </c>
      <c r="BC446" s="424">
        <f t="shared" si="396"/>
        <v>0</v>
      </c>
      <c r="BD446" s="424">
        <f t="shared" si="396"/>
        <v>0</v>
      </c>
      <c r="BE446" s="424">
        <f t="shared" si="396"/>
        <v>0</v>
      </c>
      <c r="BF446" s="424">
        <f t="shared" si="396"/>
        <v>0</v>
      </c>
      <c r="BG446" s="424">
        <f t="shared" si="396"/>
        <v>0</v>
      </c>
      <c r="BH446" s="424">
        <f t="shared" si="396"/>
        <v>0</v>
      </c>
      <c r="BI446" s="424">
        <f t="shared" si="396"/>
        <v>0</v>
      </c>
      <c r="BJ446" s="424">
        <f t="shared" si="396"/>
        <v>0</v>
      </c>
      <c r="BK446" s="424">
        <f t="shared" si="396"/>
        <v>0</v>
      </c>
      <c r="BL446" s="424">
        <f t="shared" si="396"/>
        <v>0</v>
      </c>
      <c r="BM446" s="424">
        <f t="shared" si="396"/>
        <v>0</v>
      </c>
      <c r="BN446" s="424">
        <f t="shared" si="396"/>
        <v>0</v>
      </c>
      <c r="BO446" s="424">
        <f t="shared" si="396"/>
        <v>0</v>
      </c>
      <c r="BP446" s="424">
        <f t="shared" si="396"/>
        <v>0</v>
      </c>
      <c r="BQ446" s="424">
        <f t="shared" si="396"/>
        <v>0</v>
      </c>
      <c r="BR446" s="424">
        <f t="shared" si="396"/>
        <v>0</v>
      </c>
      <c r="BS446" s="424">
        <f t="shared" si="396"/>
        <v>0</v>
      </c>
      <c r="BT446" s="424">
        <f t="shared" si="396"/>
        <v>0</v>
      </c>
      <c r="BU446" s="424">
        <f t="shared" si="396"/>
        <v>0</v>
      </c>
      <c r="BV446" s="424">
        <f t="shared" ref="BV446:DA446" si="397">BV76*BV$372</f>
        <v>0</v>
      </c>
      <c r="BW446" s="424">
        <f t="shared" si="397"/>
        <v>0</v>
      </c>
      <c r="BX446" s="424">
        <f t="shared" si="397"/>
        <v>0</v>
      </c>
      <c r="BY446" s="424">
        <f t="shared" si="397"/>
        <v>0</v>
      </c>
      <c r="BZ446" s="424">
        <f t="shared" si="397"/>
        <v>0</v>
      </c>
      <c r="CA446" s="424">
        <f t="shared" si="397"/>
        <v>0</v>
      </c>
      <c r="CB446" s="424">
        <f t="shared" si="397"/>
        <v>0</v>
      </c>
      <c r="CC446" s="424">
        <f t="shared" si="397"/>
        <v>0.33</v>
      </c>
      <c r="CD446" s="424">
        <f t="shared" si="397"/>
        <v>0</v>
      </c>
      <c r="CE446" s="424">
        <f t="shared" si="397"/>
        <v>0</v>
      </c>
      <c r="CF446" s="424">
        <f t="shared" si="397"/>
        <v>0.3</v>
      </c>
      <c r="CG446" s="424">
        <f t="shared" si="397"/>
        <v>0</v>
      </c>
      <c r="CH446" s="424">
        <f t="shared" si="397"/>
        <v>0</v>
      </c>
      <c r="CI446" s="424">
        <f t="shared" si="397"/>
        <v>0</v>
      </c>
      <c r="CJ446" s="424">
        <f t="shared" si="397"/>
        <v>0</v>
      </c>
      <c r="CK446" s="424">
        <f t="shared" si="397"/>
        <v>0</v>
      </c>
      <c r="CL446" s="424">
        <f t="shared" si="397"/>
        <v>0</v>
      </c>
      <c r="CM446" s="424">
        <f t="shared" si="397"/>
        <v>0</v>
      </c>
      <c r="CN446" s="424">
        <f t="shared" si="397"/>
        <v>0</v>
      </c>
      <c r="CO446" s="424">
        <f t="shared" si="397"/>
        <v>0</v>
      </c>
      <c r="CP446" s="424">
        <f t="shared" si="397"/>
        <v>0</v>
      </c>
      <c r="CQ446" s="424">
        <f t="shared" si="397"/>
        <v>0</v>
      </c>
      <c r="CR446" s="424">
        <f t="shared" si="397"/>
        <v>0</v>
      </c>
      <c r="CS446" s="424">
        <f t="shared" si="397"/>
        <v>0.01</v>
      </c>
      <c r="CT446" s="424">
        <f t="shared" si="397"/>
        <v>0</v>
      </c>
      <c r="CU446" s="424">
        <f t="shared" si="397"/>
        <v>0</v>
      </c>
      <c r="CV446" s="424">
        <f t="shared" si="397"/>
        <v>0</v>
      </c>
      <c r="CW446" s="424">
        <f t="shared" si="397"/>
        <v>0</v>
      </c>
      <c r="CX446" s="424">
        <f t="shared" si="397"/>
        <v>0</v>
      </c>
      <c r="CY446" s="424">
        <f t="shared" si="397"/>
        <v>0</v>
      </c>
      <c r="CZ446" s="424">
        <f t="shared" si="397"/>
        <v>0</v>
      </c>
      <c r="DA446" s="424">
        <f t="shared" si="397"/>
        <v>0</v>
      </c>
      <c r="DB446" s="424">
        <f t="shared" ref="DB446:EG446" si="398">DB76*DB$372</f>
        <v>0</v>
      </c>
      <c r="DC446" s="424">
        <f t="shared" si="398"/>
        <v>0.06</v>
      </c>
      <c r="DD446" s="424">
        <f t="shared" si="398"/>
        <v>0</v>
      </c>
      <c r="DE446" s="424">
        <f t="shared" si="398"/>
        <v>0</v>
      </c>
      <c r="DF446" s="424">
        <f t="shared" si="398"/>
        <v>0</v>
      </c>
      <c r="DG446" s="424">
        <f t="shared" si="398"/>
        <v>0</v>
      </c>
      <c r="DH446" s="424">
        <f t="shared" si="398"/>
        <v>0</v>
      </c>
      <c r="DI446" s="424">
        <f t="shared" si="398"/>
        <v>0</v>
      </c>
      <c r="DJ446" s="424">
        <f t="shared" si="398"/>
        <v>0</v>
      </c>
      <c r="DK446" s="424">
        <f t="shared" si="398"/>
        <v>0</v>
      </c>
      <c r="DL446" s="424">
        <f t="shared" si="398"/>
        <v>0</v>
      </c>
      <c r="DM446" s="424">
        <f t="shared" si="398"/>
        <v>0</v>
      </c>
      <c r="DN446" s="424">
        <f t="shared" si="398"/>
        <v>0</v>
      </c>
      <c r="DO446" s="424">
        <f t="shared" si="398"/>
        <v>0</v>
      </c>
      <c r="DP446" s="424">
        <f t="shared" si="398"/>
        <v>0</v>
      </c>
      <c r="DQ446" s="424">
        <f t="shared" si="398"/>
        <v>0</v>
      </c>
      <c r="DR446" s="424">
        <f t="shared" si="398"/>
        <v>0</v>
      </c>
      <c r="DS446" s="424">
        <f t="shared" si="398"/>
        <v>0</v>
      </c>
      <c r="DT446" s="424">
        <f t="shared" si="398"/>
        <v>0</v>
      </c>
      <c r="DU446" s="424">
        <f t="shared" si="398"/>
        <v>0</v>
      </c>
      <c r="DV446" s="424">
        <f t="shared" si="398"/>
        <v>0</v>
      </c>
      <c r="DW446" s="424">
        <f t="shared" si="398"/>
        <v>0</v>
      </c>
      <c r="DX446" s="424">
        <f t="shared" si="398"/>
        <v>0</v>
      </c>
      <c r="DY446" s="424">
        <f t="shared" si="398"/>
        <v>0</v>
      </c>
      <c r="DZ446" s="424">
        <f t="shared" si="398"/>
        <v>0</v>
      </c>
      <c r="EA446" s="424">
        <f t="shared" si="398"/>
        <v>0</v>
      </c>
      <c r="EB446" s="424">
        <f t="shared" si="398"/>
        <v>0</v>
      </c>
      <c r="EC446" s="424">
        <f t="shared" si="398"/>
        <v>0</v>
      </c>
      <c r="ED446" s="424">
        <f t="shared" si="398"/>
        <v>0</v>
      </c>
      <c r="EE446" s="424">
        <f t="shared" si="398"/>
        <v>0</v>
      </c>
      <c r="EF446" s="424">
        <f t="shared" si="398"/>
        <v>0</v>
      </c>
      <c r="EG446" s="424">
        <f t="shared" si="398"/>
        <v>0</v>
      </c>
      <c r="EH446" s="424">
        <f t="shared" ref="EH446:EX446" si="399">EH76*EH$372</f>
        <v>0</v>
      </c>
      <c r="EI446" s="424">
        <f t="shared" si="399"/>
        <v>0</v>
      </c>
      <c r="EJ446" s="424">
        <f t="shared" si="399"/>
        <v>0</v>
      </c>
      <c r="EK446" s="424">
        <f t="shared" si="399"/>
        <v>0</v>
      </c>
      <c r="EL446" s="424">
        <f t="shared" si="399"/>
        <v>0</v>
      </c>
      <c r="EM446" s="424">
        <f t="shared" si="399"/>
        <v>0</v>
      </c>
      <c r="EN446" s="424">
        <f t="shared" si="399"/>
        <v>0</v>
      </c>
      <c r="EO446" s="424">
        <f t="shared" si="399"/>
        <v>0</v>
      </c>
      <c r="EP446" s="424">
        <f t="shared" si="399"/>
        <v>0</v>
      </c>
      <c r="EQ446" s="424">
        <f t="shared" si="399"/>
        <v>0</v>
      </c>
      <c r="ER446" s="424">
        <f t="shared" si="399"/>
        <v>0</v>
      </c>
      <c r="ES446" s="424">
        <f t="shared" si="399"/>
        <v>0</v>
      </c>
      <c r="ET446" s="424">
        <f t="shared" si="399"/>
        <v>0</v>
      </c>
      <c r="EU446" s="424">
        <f t="shared" si="399"/>
        <v>0</v>
      </c>
      <c r="EV446" s="424">
        <f t="shared" si="399"/>
        <v>0</v>
      </c>
      <c r="EW446" s="424">
        <f t="shared" si="399"/>
        <v>0</v>
      </c>
      <c r="EX446" s="424">
        <f t="shared" si="399"/>
        <v>0</v>
      </c>
      <c r="EY446" s="425">
        <f t="shared" si="374"/>
        <v>8.6999999999999993</v>
      </c>
      <c r="EZ446" s="616"/>
      <c r="FA446" s="616"/>
      <c r="FB446" s="616"/>
      <c r="FC446" s="616"/>
      <c r="FD446" s="616"/>
      <c r="FE446" s="616"/>
      <c r="FF446" s="616"/>
      <c r="FG446" s="616"/>
      <c r="FH446" s="616"/>
      <c r="FI446" s="616"/>
      <c r="FJ446" s="616"/>
    </row>
    <row r="447" spans="1:166" s="605" customFormat="1" ht="14.7" customHeight="1" x14ac:dyDescent="0.25">
      <c r="A447" s="310">
        <v>73</v>
      </c>
      <c r="B447" s="311" t="str">
        <f t="shared" si="355"/>
        <v>Суп картофельный с горохом</v>
      </c>
      <c r="C447" s="483">
        <f t="shared" si="363"/>
        <v>9.01</v>
      </c>
      <c r="D447" s="888"/>
      <c r="E447" s="888"/>
      <c r="F447" s="888"/>
      <c r="G447" s="889"/>
      <c r="H447" s="680">
        <f t="shared" si="356"/>
        <v>102</v>
      </c>
      <c r="I447" s="1209">
        <f t="shared" si="357"/>
        <v>-0.02</v>
      </c>
      <c r="J447" s="424">
        <f t="shared" ref="J447:AO447" si="400">J77*J$372</f>
        <v>0</v>
      </c>
      <c r="K447" s="424">
        <f t="shared" si="400"/>
        <v>0</v>
      </c>
      <c r="L447" s="424">
        <f t="shared" si="400"/>
        <v>0</v>
      </c>
      <c r="M447" s="424">
        <f t="shared" si="400"/>
        <v>0</v>
      </c>
      <c r="N447" s="424">
        <f t="shared" si="400"/>
        <v>0</v>
      </c>
      <c r="O447" s="424">
        <f t="shared" si="400"/>
        <v>0</v>
      </c>
      <c r="P447" s="424">
        <f t="shared" si="400"/>
        <v>0</v>
      </c>
      <c r="Q447" s="424">
        <f t="shared" si="400"/>
        <v>0</v>
      </c>
      <c r="R447" s="424">
        <f t="shared" si="400"/>
        <v>0</v>
      </c>
      <c r="S447" s="424">
        <f t="shared" si="400"/>
        <v>0</v>
      </c>
      <c r="T447" s="424">
        <f t="shared" si="400"/>
        <v>0</v>
      </c>
      <c r="U447" s="424">
        <f t="shared" si="400"/>
        <v>0</v>
      </c>
      <c r="V447" s="424">
        <f t="shared" si="400"/>
        <v>0</v>
      </c>
      <c r="W447" s="424">
        <f t="shared" si="400"/>
        <v>0</v>
      </c>
      <c r="X447" s="424">
        <f t="shared" si="400"/>
        <v>0</v>
      </c>
      <c r="Y447" s="424">
        <f t="shared" si="400"/>
        <v>1.17</v>
      </c>
      <c r="Z447" s="424">
        <f t="shared" si="400"/>
        <v>0</v>
      </c>
      <c r="AA447" s="424">
        <f t="shared" si="400"/>
        <v>0</v>
      </c>
      <c r="AB447" s="424">
        <f t="shared" si="400"/>
        <v>0</v>
      </c>
      <c r="AC447" s="424">
        <f t="shared" si="400"/>
        <v>0</v>
      </c>
      <c r="AD447" s="424">
        <f t="shared" si="400"/>
        <v>0</v>
      </c>
      <c r="AE447" s="424">
        <f t="shared" si="400"/>
        <v>0</v>
      </c>
      <c r="AF447" s="424">
        <f t="shared" si="400"/>
        <v>0</v>
      </c>
      <c r="AG447" s="424">
        <f t="shared" si="400"/>
        <v>0</v>
      </c>
      <c r="AH447" s="424">
        <f t="shared" si="400"/>
        <v>3.34</v>
      </c>
      <c r="AI447" s="424">
        <f t="shared" si="400"/>
        <v>0</v>
      </c>
      <c r="AJ447" s="424">
        <f t="shared" si="400"/>
        <v>0</v>
      </c>
      <c r="AK447" s="424">
        <f t="shared" si="400"/>
        <v>0.6</v>
      </c>
      <c r="AL447" s="424">
        <f t="shared" si="400"/>
        <v>0</v>
      </c>
      <c r="AM447" s="424">
        <f t="shared" si="400"/>
        <v>0</v>
      </c>
      <c r="AN447" s="424">
        <f t="shared" si="400"/>
        <v>0</v>
      </c>
      <c r="AO447" s="424">
        <f t="shared" si="400"/>
        <v>0</v>
      </c>
      <c r="AP447" s="424">
        <f t="shared" ref="AP447:BU447" si="401">AP77*AP$372</f>
        <v>0</v>
      </c>
      <c r="AQ447" s="424">
        <f t="shared" si="401"/>
        <v>0.63</v>
      </c>
      <c r="AR447" s="424">
        <f t="shared" si="401"/>
        <v>0</v>
      </c>
      <c r="AS447" s="424">
        <f t="shared" si="401"/>
        <v>0</v>
      </c>
      <c r="AT447" s="424">
        <f t="shared" si="401"/>
        <v>0.98</v>
      </c>
      <c r="AU447" s="424">
        <f t="shared" si="401"/>
        <v>0.45</v>
      </c>
      <c r="AV447" s="424">
        <f t="shared" si="401"/>
        <v>0</v>
      </c>
      <c r="AW447" s="424">
        <f t="shared" si="401"/>
        <v>0</v>
      </c>
      <c r="AX447" s="424">
        <f t="shared" si="401"/>
        <v>0</v>
      </c>
      <c r="AY447" s="424">
        <f t="shared" si="401"/>
        <v>0</v>
      </c>
      <c r="AZ447" s="424">
        <f t="shared" si="401"/>
        <v>0</v>
      </c>
      <c r="BA447" s="424">
        <f t="shared" si="401"/>
        <v>0</v>
      </c>
      <c r="BB447" s="424">
        <f t="shared" si="401"/>
        <v>0</v>
      </c>
      <c r="BC447" s="424">
        <f t="shared" si="401"/>
        <v>0</v>
      </c>
      <c r="BD447" s="424">
        <f t="shared" si="401"/>
        <v>0</v>
      </c>
      <c r="BE447" s="424">
        <f t="shared" si="401"/>
        <v>0</v>
      </c>
      <c r="BF447" s="424">
        <f t="shared" si="401"/>
        <v>0</v>
      </c>
      <c r="BG447" s="424">
        <f t="shared" si="401"/>
        <v>0</v>
      </c>
      <c r="BH447" s="424">
        <f t="shared" si="401"/>
        <v>0</v>
      </c>
      <c r="BI447" s="424">
        <f t="shared" si="401"/>
        <v>0</v>
      </c>
      <c r="BJ447" s="424">
        <f t="shared" si="401"/>
        <v>0</v>
      </c>
      <c r="BK447" s="424">
        <f t="shared" si="401"/>
        <v>0</v>
      </c>
      <c r="BL447" s="424">
        <f t="shared" si="401"/>
        <v>0</v>
      </c>
      <c r="BM447" s="424">
        <f t="shared" si="401"/>
        <v>0</v>
      </c>
      <c r="BN447" s="424">
        <f t="shared" si="401"/>
        <v>0</v>
      </c>
      <c r="BO447" s="424">
        <f t="shared" si="401"/>
        <v>0</v>
      </c>
      <c r="BP447" s="424">
        <f t="shared" si="401"/>
        <v>0</v>
      </c>
      <c r="BQ447" s="424">
        <f t="shared" si="401"/>
        <v>0</v>
      </c>
      <c r="BR447" s="424">
        <f t="shared" si="401"/>
        <v>0</v>
      </c>
      <c r="BS447" s="424">
        <f t="shared" si="401"/>
        <v>0</v>
      </c>
      <c r="BT447" s="424">
        <f t="shared" si="401"/>
        <v>0</v>
      </c>
      <c r="BU447" s="424">
        <f t="shared" si="401"/>
        <v>0</v>
      </c>
      <c r="BV447" s="424">
        <f t="shared" ref="BV447:DA447" si="402">BV77*BV$372</f>
        <v>0</v>
      </c>
      <c r="BW447" s="424">
        <f t="shared" si="402"/>
        <v>0</v>
      </c>
      <c r="BX447" s="424">
        <f t="shared" si="402"/>
        <v>0</v>
      </c>
      <c r="BY447" s="424">
        <f t="shared" si="402"/>
        <v>0</v>
      </c>
      <c r="BZ447" s="424">
        <f t="shared" si="402"/>
        <v>0</v>
      </c>
      <c r="CA447" s="424">
        <f t="shared" si="402"/>
        <v>0</v>
      </c>
      <c r="CB447" s="424">
        <f t="shared" si="402"/>
        <v>0</v>
      </c>
      <c r="CC447" s="424">
        <f t="shared" si="402"/>
        <v>0</v>
      </c>
      <c r="CD447" s="424">
        <f t="shared" si="402"/>
        <v>0</v>
      </c>
      <c r="CE447" s="424">
        <f t="shared" si="402"/>
        <v>0</v>
      </c>
      <c r="CF447" s="424">
        <f t="shared" si="402"/>
        <v>0.6</v>
      </c>
      <c r="CG447" s="424">
        <f t="shared" si="402"/>
        <v>0</v>
      </c>
      <c r="CH447" s="424">
        <f t="shared" si="402"/>
        <v>0</v>
      </c>
      <c r="CI447" s="424">
        <f t="shared" si="402"/>
        <v>0</v>
      </c>
      <c r="CJ447" s="424">
        <f t="shared" si="402"/>
        <v>0</v>
      </c>
      <c r="CK447" s="424">
        <f t="shared" si="402"/>
        <v>0</v>
      </c>
      <c r="CL447" s="424">
        <f t="shared" si="402"/>
        <v>0</v>
      </c>
      <c r="CM447" s="424">
        <f t="shared" si="402"/>
        <v>0</v>
      </c>
      <c r="CN447" s="424">
        <f t="shared" si="402"/>
        <v>0</v>
      </c>
      <c r="CO447" s="424">
        <f t="shared" si="402"/>
        <v>0</v>
      </c>
      <c r="CP447" s="424">
        <f t="shared" si="402"/>
        <v>0</v>
      </c>
      <c r="CQ447" s="424">
        <f t="shared" si="402"/>
        <v>0</v>
      </c>
      <c r="CR447" s="424">
        <f t="shared" si="402"/>
        <v>0</v>
      </c>
      <c r="CS447" s="424">
        <f t="shared" si="402"/>
        <v>0.18</v>
      </c>
      <c r="CT447" s="424">
        <f t="shared" si="402"/>
        <v>0</v>
      </c>
      <c r="CU447" s="424">
        <f t="shared" si="402"/>
        <v>0</v>
      </c>
      <c r="CV447" s="424">
        <f t="shared" si="402"/>
        <v>0</v>
      </c>
      <c r="CW447" s="424">
        <f t="shared" si="402"/>
        <v>0</v>
      </c>
      <c r="CX447" s="424">
        <f t="shared" si="402"/>
        <v>0</v>
      </c>
      <c r="CY447" s="424">
        <f t="shared" si="402"/>
        <v>0</v>
      </c>
      <c r="CZ447" s="424">
        <f t="shared" si="402"/>
        <v>0</v>
      </c>
      <c r="DA447" s="424">
        <f t="shared" si="402"/>
        <v>0</v>
      </c>
      <c r="DB447" s="424">
        <f t="shared" ref="DB447:EG447" si="403">DB77*DB$372</f>
        <v>0</v>
      </c>
      <c r="DC447" s="424">
        <f t="shared" si="403"/>
        <v>0.05</v>
      </c>
      <c r="DD447" s="424">
        <f t="shared" si="403"/>
        <v>0</v>
      </c>
      <c r="DE447" s="424">
        <f t="shared" si="403"/>
        <v>0</v>
      </c>
      <c r="DF447" s="424">
        <f t="shared" si="403"/>
        <v>0</v>
      </c>
      <c r="DG447" s="424">
        <f t="shared" si="403"/>
        <v>0</v>
      </c>
      <c r="DH447" s="424">
        <f t="shared" si="403"/>
        <v>0</v>
      </c>
      <c r="DI447" s="424">
        <f t="shared" si="403"/>
        <v>0</v>
      </c>
      <c r="DJ447" s="424">
        <f t="shared" si="403"/>
        <v>0</v>
      </c>
      <c r="DK447" s="424">
        <f t="shared" si="403"/>
        <v>0</v>
      </c>
      <c r="DL447" s="424">
        <f t="shared" si="403"/>
        <v>1.01</v>
      </c>
      <c r="DM447" s="424">
        <f t="shared" si="403"/>
        <v>0</v>
      </c>
      <c r="DN447" s="424">
        <f t="shared" si="403"/>
        <v>0</v>
      </c>
      <c r="DO447" s="424">
        <f t="shared" si="403"/>
        <v>0</v>
      </c>
      <c r="DP447" s="424">
        <f t="shared" si="403"/>
        <v>0</v>
      </c>
      <c r="DQ447" s="424">
        <f t="shared" si="403"/>
        <v>0</v>
      </c>
      <c r="DR447" s="424">
        <f t="shared" si="403"/>
        <v>0</v>
      </c>
      <c r="DS447" s="424">
        <f t="shared" si="403"/>
        <v>0</v>
      </c>
      <c r="DT447" s="424">
        <f t="shared" si="403"/>
        <v>0</v>
      </c>
      <c r="DU447" s="424">
        <f t="shared" si="403"/>
        <v>0</v>
      </c>
      <c r="DV447" s="424">
        <f t="shared" si="403"/>
        <v>0</v>
      </c>
      <c r="DW447" s="424">
        <f t="shared" si="403"/>
        <v>0</v>
      </c>
      <c r="DX447" s="424">
        <f t="shared" si="403"/>
        <v>0</v>
      </c>
      <c r="DY447" s="424">
        <f t="shared" si="403"/>
        <v>0</v>
      </c>
      <c r="DZ447" s="424">
        <f t="shared" si="403"/>
        <v>0</v>
      </c>
      <c r="EA447" s="424">
        <f t="shared" si="403"/>
        <v>0</v>
      </c>
      <c r="EB447" s="424">
        <f t="shared" si="403"/>
        <v>0</v>
      </c>
      <c r="EC447" s="424">
        <f t="shared" si="403"/>
        <v>0</v>
      </c>
      <c r="ED447" s="424">
        <f t="shared" si="403"/>
        <v>0</v>
      </c>
      <c r="EE447" s="424">
        <f t="shared" si="403"/>
        <v>0</v>
      </c>
      <c r="EF447" s="424">
        <f t="shared" si="403"/>
        <v>0</v>
      </c>
      <c r="EG447" s="424">
        <f t="shared" si="403"/>
        <v>0</v>
      </c>
      <c r="EH447" s="424">
        <f t="shared" ref="EH447:EX447" si="404">EH77*EH$372</f>
        <v>0</v>
      </c>
      <c r="EI447" s="424">
        <f t="shared" si="404"/>
        <v>0</v>
      </c>
      <c r="EJ447" s="424">
        <f t="shared" si="404"/>
        <v>0</v>
      </c>
      <c r="EK447" s="424">
        <f t="shared" si="404"/>
        <v>0</v>
      </c>
      <c r="EL447" s="424">
        <f t="shared" si="404"/>
        <v>0</v>
      </c>
      <c r="EM447" s="424">
        <f t="shared" si="404"/>
        <v>0</v>
      </c>
      <c r="EN447" s="424">
        <f t="shared" si="404"/>
        <v>0</v>
      </c>
      <c r="EO447" s="424">
        <f t="shared" si="404"/>
        <v>0</v>
      </c>
      <c r="EP447" s="424">
        <f t="shared" si="404"/>
        <v>0</v>
      </c>
      <c r="EQ447" s="424">
        <f t="shared" si="404"/>
        <v>0</v>
      </c>
      <c r="ER447" s="424">
        <f t="shared" si="404"/>
        <v>0</v>
      </c>
      <c r="ES447" s="424">
        <f t="shared" si="404"/>
        <v>0</v>
      </c>
      <c r="ET447" s="424">
        <f t="shared" si="404"/>
        <v>0</v>
      </c>
      <c r="EU447" s="424">
        <f t="shared" si="404"/>
        <v>0</v>
      </c>
      <c r="EV447" s="424">
        <f t="shared" si="404"/>
        <v>0</v>
      </c>
      <c r="EW447" s="424">
        <f t="shared" si="404"/>
        <v>0</v>
      </c>
      <c r="EX447" s="424">
        <f t="shared" si="404"/>
        <v>0</v>
      </c>
      <c r="EY447" s="425">
        <f t="shared" si="374"/>
        <v>9.01</v>
      </c>
      <c r="EZ447" s="616"/>
      <c r="FA447" s="616"/>
      <c r="FB447" s="616"/>
      <c r="FC447" s="616"/>
      <c r="FD447" s="616"/>
      <c r="FE447" s="616"/>
      <c r="FF447" s="616"/>
      <c r="FG447" s="616"/>
      <c r="FH447" s="616"/>
      <c r="FI447" s="616"/>
      <c r="FJ447" s="616"/>
    </row>
    <row r="448" spans="1:166" s="605" customFormat="1" ht="14.7" customHeight="1" x14ac:dyDescent="0.25">
      <c r="A448" s="310">
        <v>74</v>
      </c>
      <c r="B448" s="311" t="str">
        <f t="shared" si="355"/>
        <v>Суп картофельный с фасолью</v>
      </c>
      <c r="C448" s="483">
        <f t="shared" si="363"/>
        <v>11.35</v>
      </c>
      <c r="D448" s="888"/>
      <c r="E448" s="888"/>
      <c r="F448" s="888"/>
      <c r="G448" s="889"/>
      <c r="H448" s="680">
        <f t="shared" si="356"/>
        <v>102</v>
      </c>
      <c r="I448" s="1209">
        <f t="shared" si="357"/>
        <v>-0.02</v>
      </c>
      <c r="J448" s="424">
        <f t="shared" ref="J448:AO448" si="405">J78*J$372</f>
        <v>0</v>
      </c>
      <c r="K448" s="424">
        <f t="shared" si="405"/>
        <v>0</v>
      </c>
      <c r="L448" s="424">
        <f t="shared" si="405"/>
        <v>0</v>
      </c>
      <c r="M448" s="424">
        <f t="shared" si="405"/>
        <v>0</v>
      </c>
      <c r="N448" s="424">
        <f t="shared" si="405"/>
        <v>0</v>
      </c>
      <c r="O448" s="424">
        <f t="shared" si="405"/>
        <v>0</v>
      </c>
      <c r="P448" s="424">
        <f t="shared" si="405"/>
        <v>0</v>
      </c>
      <c r="Q448" s="424">
        <f t="shared" si="405"/>
        <v>0</v>
      </c>
      <c r="R448" s="424">
        <f t="shared" si="405"/>
        <v>0</v>
      </c>
      <c r="S448" s="424">
        <f t="shared" si="405"/>
        <v>0</v>
      </c>
      <c r="T448" s="424">
        <f t="shared" si="405"/>
        <v>0</v>
      </c>
      <c r="U448" s="424">
        <f t="shared" si="405"/>
        <v>0</v>
      </c>
      <c r="V448" s="424">
        <f t="shared" si="405"/>
        <v>0</v>
      </c>
      <c r="W448" s="424">
        <f t="shared" si="405"/>
        <v>0</v>
      </c>
      <c r="X448" s="424">
        <f t="shared" si="405"/>
        <v>0</v>
      </c>
      <c r="Y448" s="424">
        <f t="shared" si="405"/>
        <v>1.17</v>
      </c>
      <c r="Z448" s="424">
        <f t="shared" si="405"/>
        <v>0</v>
      </c>
      <c r="AA448" s="424">
        <f t="shared" si="405"/>
        <v>0</v>
      </c>
      <c r="AB448" s="424">
        <f t="shared" si="405"/>
        <v>0</v>
      </c>
      <c r="AC448" s="424">
        <f t="shared" si="405"/>
        <v>0</v>
      </c>
      <c r="AD448" s="424">
        <f t="shared" si="405"/>
        <v>0</v>
      </c>
      <c r="AE448" s="424">
        <f t="shared" si="405"/>
        <v>0</v>
      </c>
      <c r="AF448" s="424">
        <f t="shared" si="405"/>
        <v>0</v>
      </c>
      <c r="AG448" s="424">
        <f t="shared" si="405"/>
        <v>0</v>
      </c>
      <c r="AH448" s="424">
        <f t="shared" si="405"/>
        <v>3.34</v>
      </c>
      <c r="AI448" s="424">
        <f t="shared" si="405"/>
        <v>0</v>
      </c>
      <c r="AJ448" s="424">
        <f t="shared" si="405"/>
        <v>0</v>
      </c>
      <c r="AK448" s="424">
        <f t="shared" si="405"/>
        <v>0.6</v>
      </c>
      <c r="AL448" s="424">
        <f t="shared" si="405"/>
        <v>0</v>
      </c>
      <c r="AM448" s="424">
        <f t="shared" si="405"/>
        <v>0</v>
      </c>
      <c r="AN448" s="424">
        <f t="shared" si="405"/>
        <v>0</v>
      </c>
      <c r="AO448" s="424">
        <f t="shared" si="405"/>
        <v>0</v>
      </c>
      <c r="AP448" s="424">
        <f t="shared" ref="AP448:BU448" si="406">AP78*AP$372</f>
        <v>0</v>
      </c>
      <c r="AQ448" s="424">
        <f t="shared" si="406"/>
        <v>0.63</v>
      </c>
      <c r="AR448" s="424">
        <f t="shared" si="406"/>
        <v>0</v>
      </c>
      <c r="AS448" s="424">
        <f t="shared" si="406"/>
        <v>0</v>
      </c>
      <c r="AT448" s="424">
        <f t="shared" si="406"/>
        <v>0.98</v>
      </c>
      <c r="AU448" s="424">
        <f t="shared" si="406"/>
        <v>0.15</v>
      </c>
      <c r="AV448" s="424">
        <f t="shared" si="406"/>
        <v>0</v>
      </c>
      <c r="AW448" s="424">
        <f t="shared" si="406"/>
        <v>0</v>
      </c>
      <c r="AX448" s="424">
        <f t="shared" si="406"/>
        <v>0</v>
      </c>
      <c r="AY448" s="424">
        <f t="shared" si="406"/>
        <v>0</v>
      </c>
      <c r="AZ448" s="424">
        <f t="shared" si="406"/>
        <v>0</v>
      </c>
      <c r="BA448" s="424">
        <f t="shared" si="406"/>
        <v>0</v>
      </c>
      <c r="BB448" s="424">
        <f t="shared" si="406"/>
        <v>0</v>
      </c>
      <c r="BC448" s="424">
        <f t="shared" si="406"/>
        <v>0</v>
      </c>
      <c r="BD448" s="424">
        <f t="shared" si="406"/>
        <v>0</v>
      </c>
      <c r="BE448" s="424">
        <f t="shared" si="406"/>
        <v>0</v>
      </c>
      <c r="BF448" s="424">
        <f t="shared" si="406"/>
        <v>0</v>
      </c>
      <c r="BG448" s="424">
        <f t="shared" si="406"/>
        <v>0</v>
      </c>
      <c r="BH448" s="424">
        <f t="shared" si="406"/>
        <v>0</v>
      </c>
      <c r="BI448" s="424">
        <f t="shared" si="406"/>
        <v>0</v>
      </c>
      <c r="BJ448" s="424">
        <f t="shared" si="406"/>
        <v>0</v>
      </c>
      <c r="BK448" s="424">
        <f t="shared" si="406"/>
        <v>0</v>
      </c>
      <c r="BL448" s="424">
        <f t="shared" si="406"/>
        <v>0</v>
      </c>
      <c r="BM448" s="424">
        <f t="shared" si="406"/>
        <v>0</v>
      </c>
      <c r="BN448" s="424">
        <f t="shared" si="406"/>
        <v>0</v>
      </c>
      <c r="BO448" s="424">
        <f t="shared" si="406"/>
        <v>0</v>
      </c>
      <c r="BP448" s="424">
        <f t="shared" si="406"/>
        <v>0</v>
      </c>
      <c r="BQ448" s="424">
        <f t="shared" si="406"/>
        <v>0</v>
      </c>
      <c r="BR448" s="424">
        <f t="shared" si="406"/>
        <v>0</v>
      </c>
      <c r="BS448" s="424">
        <f t="shared" si="406"/>
        <v>0</v>
      </c>
      <c r="BT448" s="424">
        <f t="shared" si="406"/>
        <v>0</v>
      </c>
      <c r="BU448" s="424">
        <f t="shared" si="406"/>
        <v>0</v>
      </c>
      <c r="BV448" s="424">
        <f t="shared" ref="BV448:DA448" si="407">BV78*BV$372</f>
        <v>0</v>
      </c>
      <c r="BW448" s="424">
        <f t="shared" si="407"/>
        <v>0</v>
      </c>
      <c r="BX448" s="424">
        <f t="shared" si="407"/>
        <v>0</v>
      </c>
      <c r="BY448" s="424">
        <f t="shared" si="407"/>
        <v>0</v>
      </c>
      <c r="BZ448" s="424">
        <f t="shared" si="407"/>
        <v>0</v>
      </c>
      <c r="CA448" s="424">
        <f t="shared" si="407"/>
        <v>0</v>
      </c>
      <c r="CB448" s="424">
        <f t="shared" si="407"/>
        <v>0</v>
      </c>
      <c r="CC448" s="424">
        <f t="shared" si="407"/>
        <v>0</v>
      </c>
      <c r="CD448" s="424">
        <f t="shared" si="407"/>
        <v>0</v>
      </c>
      <c r="CE448" s="424">
        <f t="shared" si="407"/>
        <v>0</v>
      </c>
      <c r="CF448" s="424">
        <f t="shared" si="407"/>
        <v>0.6</v>
      </c>
      <c r="CG448" s="424">
        <f t="shared" si="407"/>
        <v>0</v>
      </c>
      <c r="CH448" s="424">
        <f t="shared" si="407"/>
        <v>0</v>
      </c>
      <c r="CI448" s="424">
        <f t="shared" si="407"/>
        <v>0</v>
      </c>
      <c r="CJ448" s="424">
        <f t="shared" si="407"/>
        <v>0</v>
      </c>
      <c r="CK448" s="424">
        <f t="shared" si="407"/>
        <v>0</v>
      </c>
      <c r="CL448" s="424">
        <f t="shared" si="407"/>
        <v>0</v>
      </c>
      <c r="CM448" s="424">
        <f t="shared" si="407"/>
        <v>0</v>
      </c>
      <c r="CN448" s="424">
        <f t="shared" si="407"/>
        <v>0</v>
      </c>
      <c r="CO448" s="424">
        <f t="shared" si="407"/>
        <v>0</v>
      </c>
      <c r="CP448" s="424">
        <f t="shared" si="407"/>
        <v>0</v>
      </c>
      <c r="CQ448" s="424">
        <f t="shared" si="407"/>
        <v>0</v>
      </c>
      <c r="CR448" s="424">
        <f t="shared" si="407"/>
        <v>0</v>
      </c>
      <c r="CS448" s="424">
        <f t="shared" si="407"/>
        <v>0.18</v>
      </c>
      <c r="CT448" s="424">
        <f t="shared" si="407"/>
        <v>0</v>
      </c>
      <c r="CU448" s="424">
        <f t="shared" si="407"/>
        <v>0</v>
      </c>
      <c r="CV448" s="424">
        <f t="shared" si="407"/>
        <v>0</v>
      </c>
      <c r="CW448" s="424">
        <f t="shared" si="407"/>
        <v>0</v>
      </c>
      <c r="CX448" s="424">
        <f t="shared" si="407"/>
        <v>0</v>
      </c>
      <c r="CY448" s="424">
        <f t="shared" si="407"/>
        <v>0</v>
      </c>
      <c r="CZ448" s="424">
        <f t="shared" si="407"/>
        <v>0</v>
      </c>
      <c r="DA448" s="424">
        <f t="shared" si="407"/>
        <v>0</v>
      </c>
      <c r="DB448" s="424">
        <f t="shared" ref="DB448:EG448" si="408">DB78*DB$372</f>
        <v>0</v>
      </c>
      <c r="DC448" s="424">
        <f t="shared" si="408"/>
        <v>0.05</v>
      </c>
      <c r="DD448" s="424">
        <f t="shared" si="408"/>
        <v>0</v>
      </c>
      <c r="DE448" s="424">
        <f t="shared" si="408"/>
        <v>0</v>
      </c>
      <c r="DF448" s="424">
        <f t="shared" si="408"/>
        <v>0</v>
      </c>
      <c r="DG448" s="424">
        <f t="shared" si="408"/>
        <v>0</v>
      </c>
      <c r="DH448" s="424">
        <f t="shared" si="408"/>
        <v>0</v>
      </c>
      <c r="DI448" s="424">
        <f t="shared" si="408"/>
        <v>0</v>
      </c>
      <c r="DJ448" s="424">
        <f t="shared" si="408"/>
        <v>0</v>
      </c>
      <c r="DK448" s="424">
        <f t="shared" si="408"/>
        <v>0</v>
      </c>
      <c r="DL448" s="424">
        <f t="shared" si="408"/>
        <v>0</v>
      </c>
      <c r="DM448" s="424">
        <f t="shared" si="408"/>
        <v>3.65</v>
      </c>
      <c r="DN448" s="424">
        <f t="shared" si="408"/>
        <v>0</v>
      </c>
      <c r="DO448" s="424">
        <f t="shared" si="408"/>
        <v>0</v>
      </c>
      <c r="DP448" s="424">
        <f t="shared" si="408"/>
        <v>0</v>
      </c>
      <c r="DQ448" s="424">
        <f t="shared" si="408"/>
        <v>0</v>
      </c>
      <c r="DR448" s="424">
        <f t="shared" si="408"/>
        <v>0</v>
      </c>
      <c r="DS448" s="424">
        <f t="shared" si="408"/>
        <v>0</v>
      </c>
      <c r="DT448" s="424">
        <f t="shared" si="408"/>
        <v>0</v>
      </c>
      <c r="DU448" s="424">
        <f t="shared" si="408"/>
        <v>0</v>
      </c>
      <c r="DV448" s="424">
        <f t="shared" si="408"/>
        <v>0</v>
      </c>
      <c r="DW448" s="424">
        <f t="shared" si="408"/>
        <v>0</v>
      </c>
      <c r="DX448" s="424">
        <f t="shared" si="408"/>
        <v>0</v>
      </c>
      <c r="DY448" s="424">
        <f t="shared" si="408"/>
        <v>0</v>
      </c>
      <c r="DZ448" s="424">
        <f t="shared" si="408"/>
        <v>0</v>
      </c>
      <c r="EA448" s="424">
        <f t="shared" si="408"/>
        <v>0</v>
      </c>
      <c r="EB448" s="424">
        <f t="shared" si="408"/>
        <v>0</v>
      </c>
      <c r="EC448" s="424">
        <f t="shared" si="408"/>
        <v>0</v>
      </c>
      <c r="ED448" s="424">
        <f t="shared" si="408"/>
        <v>0</v>
      </c>
      <c r="EE448" s="424">
        <f t="shared" si="408"/>
        <v>0</v>
      </c>
      <c r="EF448" s="424">
        <f t="shared" si="408"/>
        <v>0</v>
      </c>
      <c r="EG448" s="424">
        <f t="shared" si="408"/>
        <v>0</v>
      </c>
      <c r="EH448" s="424">
        <f t="shared" ref="EH448:EX448" si="409">EH78*EH$372</f>
        <v>0</v>
      </c>
      <c r="EI448" s="424">
        <f t="shared" si="409"/>
        <v>0</v>
      </c>
      <c r="EJ448" s="424">
        <f t="shared" si="409"/>
        <v>0</v>
      </c>
      <c r="EK448" s="424">
        <f t="shared" si="409"/>
        <v>0</v>
      </c>
      <c r="EL448" s="424">
        <f t="shared" si="409"/>
        <v>0</v>
      </c>
      <c r="EM448" s="424">
        <f t="shared" si="409"/>
        <v>0</v>
      </c>
      <c r="EN448" s="424">
        <f t="shared" si="409"/>
        <v>0</v>
      </c>
      <c r="EO448" s="424">
        <f t="shared" si="409"/>
        <v>0</v>
      </c>
      <c r="EP448" s="424">
        <f t="shared" si="409"/>
        <v>0</v>
      </c>
      <c r="EQ448" s="424">
        <f t="shared" si="409"/>
        <v>0</v>
      </c>
      <c r="ER448" s="424">
        <f t="shared" si="409"/>
        <v>0</v>
      </c>
      <c r="ES448" s="424">
        <f t="shared" si="409"/>
        <v>0</v>
      </c>
      <c r="ET448" s="424">
        <f t="shared" si="409"/>
        <v>0</v>
      </c>
      <c r="EU448" s="424">
        <f t="shared" si="409"/>
        <v>0</v>
      </c>
      <c r="EV448" s="424">
        <f t="shared" si="409"/>
        <v>0</v>
      </c>
      <c r="EW448" s="424">
        <f t="shared" si="409"/>
        <v>0</v>
      </c>
      <c r="EX448" s="424">
        <f t="shared" si="409"/>
        <v>0</v>
      </c>
      <c r="EY448" s="425">
        <f t="shared" si="374"/>
        <v>11.35</v>
      </c>
      <c r="EZ448" s="616"/>
      <c r="FA448" s="616"/>
      <c r="FB448" s="616"/>
      <c r="FC448" s="616"/>
      <c r="FD448" s="616"/>
      <c r="FE448" s="616"/>
      <c r="FF448" s="616"/>
      <c r="FG448" s="616"/>
      <c r="FH448" s="616"/>
      <c r="FI448" s="616"/>
      <c r="FJ448" s="616"/>
    </row>
    <row r="449" spans="1:166" s="605" customFormat="1" ht="14.7" customHeight="1" x14ac:dyDescent="0.25">
      <c r="A449" s="310">
        <v>75</v>
      </c>
      <c r="B449" s="311" t="str">
        <f t="shared" si="355"/>
        <v>Суп картофельный с чечевицей</v>
      </c>
      <c r="C449" s="483">
        <f t="shared" si="363"/>
        <v>10.52</v>
      </c>
      <c r="D449" s="888"/>
      <c r="E449" s="888"/>
      <c r="F449" s="888"/>
      <c r="G449" s="889"/>
      <c r="H449" s="680">
        <f t="shared" si="356"/>
        <v>102</v>
      </c>
      <c r="I449" s="1209">
        <f t="shared" si="357"/>
        <v>-0.01</v>
      </c>
      <c r="J449" s="424">
        <f t="shared" ref="J449:AO449" si="410">J79*J$372</f>
        <v>0</v>
      </c>
      <c r="K449" s="424">
        <f t="shared" si="410"/>
        <v>0</v>
      </c>
      <c r="L449" s="424">
        <f t="shared" si="410"/>
        <v>0</v>
      </c>
      <c r="M449" s="424">
        <f t="shared" si="410"/>
        <v>0</v>
      </c>
      <c r="N449" s="424">
        <f t="shared" si="410"/>
        <v>0</v>
      </c>
      <c r="O449" s="424">
        <f t="shared" si="410"/>
        <v>0</v>
      </c>
      <c r="P449" s="424">
        <f t="shared" si="410"/>
        <v>0</v>
      </c>
      <c r="Q449" s="424">
        <f t="shared" si="410"/>
        <v>0</v>
      </c>
      <c r="R449" s="424">
        <f t="shared" si="410"/>
        <v>0</v>
      </c>
      <c r="S449" s="424">
        <f t="shared" si="410"/>
        <v>0</v>
      </c>
      <c r="T449" s="424">
        <f t="shared" si="410"/>
        <v>0</v>
      </c>
      <c r="U449" s="424">
        <f t="shared" si="410"/>
        <v>0</v>
      </c>
      <c r="V449" s="424">
        <f t="shared" si="410"/>
        <v>0</v>
      </c>
      <c r="W449" s="424">
        <f t="shared" si="410"/>
        <v>0</v>
      </c>
      <c r="X449" s="424">
        <f t="shared" si="410"/>
        <v>0</v>
      </c>
      <c r="Y449" s="424">
        <f t="shared" si="410"/>
        <v>1.17</v>
      </c>
      <c r="Z449" s="424">
        <f t="shared" si="410"/>
        <v>0</v>
      </c>
      <c r="AA449" s="424">
        <f t="shared" si="410"/>
        <v>0</v>
      </c>
      <c r="AB449" s="424">
        <f t="shared" si="410"/>
        <v>0</v>
      </c>
      <c r="AC449" s="424">
        <f t="shared" si="410"/>
        <v>0</v>
      </c>
      <c r="AD449" s="424">
        <f t="shared" si="410"/>
        <v>0</v>
      </c>
      <c r="AE449" s="424">
        <f t="shared" si="410"/>
        <v>0</v>
      </c>
      <c r="AF449" s="424">
        <f t="shared" si="410"/>
        <v>0</v>
      </c>
      <c r="AG449" s="424">
        <f t="shared" si="410"/>
        <v>0</v>
      </c>
      <c r="AH449" s="424">
        <f t="shared" si="410"/>
        <v>3.34</v>
      </c>
      <c r="AI449" s="424">
        <f t="shared" si="410"/>
        <v>0</v>
      </c>
      <c r="AJ449" s="424">
        <f t="shared" si="410"/>
        <v>0</v>
      </c>
      <c r="AK449" s="424">
        <f t="shared" si="410"/>
        <v>0.6</v>
      </c>
      <c r="AL449" s="424">
        <f t="shared" si="410"/>
        <v>0</v>
      </c>
      <c r="AM449" s="424">
        <f t="shared" si="410"/>
        <v>0</v>
      </c>
      <c r="AN449" s="424">
        <f t="shared" si="410"/>
        <v>0</v>
      </c>
      <c r="AO449" s="424">
        <f t="shared" si="410"/>
        <v>0</v>
      </c>
      <c r="AP449" s="424">
        <f t="shared" ref="AP449:BU449" si="411">AP79*AP$372</f>
        <v>0</v>
      </c>
      <c r="AQ449" s="424">
        <f t="shared" si="411"/>
        <v>0.63</v>
      </c>
      <c r="AR449" s="424">
        <f t="shared" si="411"/>
        <v>0</v>
      </c>
      <c r="AS449" s="424">
        <f t="shared" si="411"/>
        <v>0</v>
      </c>
      <c r="AT449" s="424">
        <f t="shared" si="411"/>
        <v>0.98</v>
      </c>
      <c r="AU449" s="424">
        <f t="shared" si="411"/>
        <v>0.6</v>
      </c>
      <c r="AV449" s="424">
        <f t="shared" si="411"/>
        <v>0</v>
      </c>
      <c r="AW449" s="424">
        <f t="shared" si="411"/>
        <v>0</v>
      </c>
      <c r="AX449" s="424">
        <f t="shared" si="411"/>
        <v>0</v>
      </c>
      <c r="AY449" s="424">
        <f t="shared" si="411"/>
        <v>0</v>
      </c>
      <c r="AZ449" s="424">
        <f t="shared" si="411"/>
        <v>0</v>
      </c>
      <c r="BA449" s="424">
        <f t="shared" si="411"/>
        <v>0</v>
      </c>
      <c r="BB449" s="424">
        <f t="shared" si="411"/>
        <v>0</v>
      </c>
      <c r="BC449" s="424">
        <f t="shared" si="411"/>
        <v>0</v>
      </c>
      <c r="BD449" s="424">
        <f t="shared" si="411"/>
        <v>0</v>
      </c>
      <c r="BE449" s="424">
        <f t="shared" si="411"/>
        <v>0</v>
      </c>
      <c r="BF449" s="424">
        <f t="shared" si="411"/>
        <v>0</v>
      </c>
      <c r="BG449" s="424">
        <f t="shared" si="411"/>
        <v>0</v>
      </c>
      <c r="BH449" s="424">
        <f t="shared" si="411"/>
        <v>0</v>
      </c>
      <c r="BI449" s="424">
        <f t="shared" si="411"/>
        <v>0</v>
      </c>
      <c r="BJ449" s="424">
        <f t="shared" si="411"/>
        <v>0</v>
      </c>
      <c r="BK449" s="424">
        <f t="shared" si="411"/>
        <v>0</v>
      </c>
      <c r="BL449" s="424">
        <f t="shared" si="411"/>
        <v>0</v>
      </c>
      <c r="BM449" s="424">
        <f t="shared" si="411"/>
        <v>0</v>
      </c>
      <c r="BN449" s="424">
        <f t="shared" si="411"/>
        <v>0</v>
      </c>
      <c r="BO449" s="424">
        <f t="shared" si="411"/>
        <v>0</v>
      </c>
      <c r="BP449" s="424">
        <f t="shared" si="411"/>
        <v>0</v>
      </c>
      <c r="BQ449" s="424">
        <f t="shared" si="411"/>
        <v>0</v>
      </c>
      <c r="BR449" s="424">
        <f t="shared" si="411"/>
        <v>0</v>
      </c>
      <c r="BS449" s="424">
        <f t="shared" si="411"/>
        <v>0</v>
      </c>
      <c r="BT449" s="424">
        <f t="shared" si="411"/>
        <v>0</v>
      </c>
      <c r="BU449" s="424">
        <f t="shared" si="411"/>
        <v>0</v>
      </c>
      <c r="BV449" s="424">
        <f t="shared" ref="BV449:DA449" si="412">BV79*BV$372</f>
        <v>0</v>
      </c>
      <c r="BW449" s="424">
        <f t="shared" si="412"/>
        <v>0</v>
      </c>
      <c r="BX449" s="424">
        <f t="shared" si="412"/>
        <v>0</v>
      </c>
      <c r="BY449" s="424">
        <f t="shared" si="412"/>
        <v>0</v>
      </c>
      <c r="BZ449" s="424">
        <f t="shared" si="412"/>
        <v>0</v>
      </c>
      <c r="CA449" s="424">
        <f t="shared" si="412"/>
        <v>0</v>
      </c>
      <c r="CB449" s="424">
        <f t="shared" si="412"/>
        <v>0</v>
      </c>
      <c r="CC449" s="424">
        <f t="shared" si="412"/>
        <v>0</v>
      </c>
      <c r="CD449" s="424">
        <f t="shared" si="412"/>
        <v>0</v>
      </c>
      <c r="CE449" s="424">
        <f t="shared" si="412"/>
        <v>0</v>
      </c>
      <c r="CF449" s="424">
        <f t="shared" si="412"/>
        <v>0.6</v>
      </c>
      <c r="CG449" s="424">
        <f t="shared" si="412"/>
        <v>0</v>
      </c>
      <c r="CH449" s="424">
        <f t="shared" si="412"/>
        <v>0</v>
      </c>
      <c r="CI449" s="424">
        <f t="shared" si="412"/>
        <v>0</v>
      </c>
      <c r="CJ449" s="424">
        <f t="shared" si="412"/>
        <v>0</v>
      </c>
      <c r="CK449" s="424">
        <f t="shared" si="412"/>
        <v>0</v>
      </c>
      <c r="CL449" s="424">
        <f t="shared" si="412"/>
        <v>0</v>
      </c>
      <c r="CM449" s="424">
        <f t="shared" si="412"/>
        <v>0</v>
      </c>
      <c r="CN449" s="424">
        <f t="shared" si="412"/>
        <v>0</v>
      </c>
      <c r="CO449" s="424">
        <f t="shared" si="412"/>
        <v>0</v>
      </c>
      <c r="CP449" s="424">
        <f t="shared" si="412"/>
        <v>0</v>
      </c>
      <c r="CQ449" s="424">
        <f t="shared" si="412"/>
        <v>0</v>
      </c>
      <c r="CR449" s="424">
        <f t="shared" si="412"/>
        <v>0</v>
      </c>
      <c r="CS449" s="424">
        <f t="shared" si="412"/>
        <v>0.01</v>
      </c>
      <c r="CT449" s="424">
        <f t="shared" si="412"/>
        <v>0</v>
      </c>
      <c r="CU449" s="424">
        <f t="shared" si="412"/>
        <v>0</v>
      </c>
      <c r="CV449" s="424">
        <f t="shared" si="412"/>
        <v>0</v>
      </c>
      <c r="CW449" s="424">
        <f t="shared" si="412"/>
        <v>0</v>
      </c>
      <c r="CX449" s="424">
        <f t="shared" si="412"/>
        <v>0</v>
      </c>
      <c r="CY449" s="424">
        <f t="shared" si="412"/>
        <v>0</v>
      </c>
      <c r="CZ449" s="424">
        <f t="shared" si="412"/>
        <v>0</v>
      </c>
      <c r="DA449" s="424">
        <f t="shared" si="412"/>
        <v>0</v>
      </c>
      <c r="DB449" s="424">
        <f t="shared" ref="DB449:EG449" si="413">DB79*DB$372</f>
        <v>0</v>
      </c>
      <c r="DC449" s="424">
        <f t="shared" si="413"/>
        <v>0.06</v>
      </c>
      <c r="DD449" s="424">
        <f t="shared" si="413"/>
        <v>0</v>
      </c>
      <c r="DE449" s="424">
        <f t="shared" si="413"/>
        <v>0</v>
      </c>
      <c r="DF449" s="424">
        <f t="shared" si="413"/>
        <v>0</v>
      </c>
      <c r="DG449" s="424">
        <f t="shared" si="413"/>
        <v>0</v>
      </c>
      <c r="DH449" s="424">
        <f t="shared" si="413"/>
        <v>0</v>
      </c>
      <c r="DI449" s="424">
        <f t="shared" si="413"/>
        <v>0</v>
      </c>
      <c r="DJ449" s="424">
        <f t="shared" si="413"/>
        <v>0</v>
      </c>
      <c r="DK449" s="424">
        <f t="shared" si="413"/>
        <v>0</v>
      </c>
      <c r="DL449" s="424">
        <f t="shared" si="413"/>
        <v>0</v>
      </c>
      <c r="DM449" s="424">
        <f t="shared" si="413"/>
        <v>0</v>
      </c>
      <c r="DN449" s="424">
        <f t="shared" si="413"/>
        <v>2.5299999999999998</v>
      </c>
      <c r="DO449" s="424">
        <f t="shared" si="413"/>
        <v>0</v>
      </c>
      <c r="DP449" s="424">
        <f t="shared" si="413"/>
        <v>0</v>
      </c>
      <c r="DQ449" s="424">
        <f t="shared" si="413"/>
        <v>0</v>
      </c>
      <c r="DR449" s="424">
        <f t="shared" si="413"/>
        <v>0</v>
      </c>
      <c r="DS449" s="424">
        <f t="shared" si="413"/>
        <v>0</v>
      </c>
      <c r="DT449" s="424">
        <f t="shared" si="413"/>
        <v>0</v>
      </c>
      <c r="DU449" s="424">
        <f t="shared" si="413"/>
        <v>0</v>
      </c>
      <c r="DV449" s="424">
        <f t="shared" si="413"/>
        <v>0</v>
      </c>
      <c r="DW449" s="424">
        <f t="shared" si="413"/>
        <v>0</v>
      </c>
      <c r="DX449" s="424">
        <f t="shared" si="413"/>
        <v>0</v>
      </c>
      <c r="DY449" s="424">
        <f t="shared" si="413"/>
        <v>0</v>
      </c>
      <c r="DZ449" s="424">
        <f t="shared" si="413"/>
        <v>0</v>
      </c>
      <c r="EA449" s="424">
        <f t="shared" si="413"/>
        <v>0</v>
      </c>
      <c r="EB449" s="424">
        <f t="shared" si="413"/>
        <v>0</v>
      </c>
      <c r="EC449" s="424">
        <f t="shared" si="413"/>
        <v>0</v>
      </c>
      <c r="ED449" s="424">
        <f t="shared" si="413"/>
        <v>0</v>
      </c>
      <c r="EE449" s="424">
        <f t="shared" si="413"/>
        <v>0</v>
      </c>
      <c r="EF449" s="424">
        <f t="shared" si="413"/>
        <v>0</v>
      </c>
      <c r="EG449" s="424">
        <f t="shared" si="413"/>
        <v>0</v>
      </c>
      <c r="EH449" s="424">
        <f t="shared" ref="EH449:EX449" si="414">EH79*EH$372</f>
        <v>0</v>
      </c>
      <c r="EI449" s="424">
        <f t="shared" si="414"/>
        <v>0</v>
      </c>
      <c r="EJ449" s="424">
        <f t="shared" si="414"/>
        <v>0</v>
      </c>
      <c r="EK449" s="424">
        <f t="shared" si="414"/>
        <v>0</v>
      </c>
      <c r="EL449" s="424">
        <f t="shared" si="414"/>
        <v>0</v>
      </c>
      <c r="EM449" s="424">
        <f t="shared" si="414"/>
        <v>0</v>
      </c>
      <c r="EN449" s="424">
        <f t="shared" si="414"/>
        <v>0</v>
      </c>
      <c r="EO449" s="424">
        <f t="shared" si="414"/>
        <v>0</v>
      </c>
      <c r="EP449" s="424">
        <f t="shared" si="414"/>
        <v>0</v>
      </c>
      <c r="EQ449" s="424">
        <f t="shared" si="414"/>
        <v>0</v>
      </c>
      <c r="ER449" s="424">
        <f t="shared" si="414"/>
        <v>0</v>
      </c>
      <c r="ES449" s="424">
        <f t="shared" si="414"/>
        <v>0</v>
      </c>
      <c r="ET449" s="424">
        <f t="shared" si="414"/>
        <v>0</v>
      </c>
      <c r="EU449" s="424">
        <f t="shared" si="414"/>
        <v>0</v>
      </c>
      <c r="EV449" s="424">
        <f t="shared" si="414"/>
        <v>0</v>
      </c>
      <c r="EW449" s="424">
        <f t="shared" si="414"/>
        <v>0</v>
      </c>
      <c r="EX449" s="424">
        <f t="shared" si="414"/>
        <v>0</v>
      </c>
      <c r="EY449" s="425">
        <f t="shared" si="374"/>
        <v>10.52</v>
      </c>
      <c r="EZ449" s="616"/>
      <c r="FA449" s="616"/>
      <c r="FB449" s="616"/>
      <c r="FC449" s="616"/>
      <c r="FD449" s="616"/>
      <c r="FE449" s="616"/>
      <c r="FF449" s="616"/>
      <c r="FG449" s="616"/>
      <c r="FH449" s="616"/>
      <c r="FI449" s="616"/>
      <c r="FJ449" s="616"/>
    </row>
    <row r="450" spans="1:166" s="605" customFormat="1" ht="14.7" customHeight="1" x14ac:dyDescent="0.25">
      <c r="A450" s="310">
        <v>76</v>
      </c>
      <c r="B450" s="311" t="str">
        <f t="shared" si="355"/>
        <v>Суп картофельный с вермишелью</v>
      </c>
      <c r="C450" s="483">
        <f t="shared" si="363"/>
        <v>7.7</v>
      </c>
      <c r="D450" s="888"/>
      <c r="E450" s="888"/>
      <c r="F450" s="888"/>
      <c r="G450" s="889"/>
      <c r="H450" s="680">
        <f t="shared" si="356"/>
        <v>103</v>
      </c>
      <c r="I450" s="1209">
        <f t="shared" si="357"/>
        <v>0</v>
      </c>
      <c r="J450" s="424">
        <f t="shared" ref="J450:AO450" si="415">J80*J$372</f>
        <v>0</v>
      </c>
      <c r="K450" s="424">
        <f t="shared" si="415"/>
        <v>0</v>
      </c>
      <c r="L450" s="424">
        <f t="shared" si="415"/>
        <v>0</v>
      </c>
      <c r="M450" s="424">
        <f t="shared" si="415"/>
        <v>0</v>
      </c>
      <c r="N450" s="424">
        <f t="shared" si="415"/>
        <v>0</v>
      </c>
      <c r="O450" s="424">
        <f t="shared" si="415"/>
        <v>0</v>
      </c>
      <c r="P450" s="424">
        <f t="shared" si="415"/>
        <v>0</v>
      </c>
      <c r="Q450" s="424">
        <f t="shared" si="415"/>
        <v>0</v>
      </c>
      <c r="R450" s="424">
        <f t="shared" si="415"/>
        <v>0</v>
      </c>
      <c r="S450" s="424">
        <f t="shared" si="415"/>
        <v>0</v>
      </c>
      <c r="T450" s="424">
        <f t="shared" si="415"/>
        <v>0</v>
      </c>
      <c r="U450" s="424">
        <f t="shared" si="415"/>
        <v>0</v>
      </c>
      <c r="V450" s="424">
        <f t="shared" si="415"/>
        <v>0</v>
      </c>
      <c r="W450" s="424">
        <f t="shared" si="415"/>
        <v>0</v>
      </c>
      <c r="X450" s="424">
        <f t="shared" si="415"/>
        <v>0</v>
      </c>
      <c r="Y450" s="424">
        <f t="shared" si="415"/>
        <v>0</v>
      </c>
      <c r="Z450" s="424">
        <f t="shared" si="415"/>
        <v>0</v>
      </c>
      <c r="AA450" s="424">
        <f t="shared" si="415"/>
        <v>0</v>
      </c>
      <c r="AB450" s="424">
        <f t="shared" si="415"/>
        <v>0</v>
      </c>
      <c r="AC450" s="424">
        <f t="shared" si="415"/>
        <v>0</v>
      </c>
      <c r="AD450" s="424">
        <f t="shared" si="415"/>
        <v>0</v>
      </c>
      <c r="AE450" s="424">
        <f t="shared" si="415"/>
        <v>0</v>
      </c>
      <c r="AF450" s="424">
        <f t="shared" si="415"/>
        <v>0</v>
      </c>
      <c r="AG450" s="424">
        <f t="shared" si="415"/>
        <v>0</v>
      </c>
      <c r="AH450" s="424">
        <f t="shared" si="415"/>
        <v>5</v>
      </c>
      <c r="AI450" s="424">
        <f t="shared" si="415"/>
        <v>0</v>
      </c>
      <c r="AJ450" s="424">
        <f t="shared" si="415"/>
        <v>0</v>
      </c>
      <c r="AK450" s="424">
        <f t="shared" si="415"/>
        <v>0.6</v>
      </c>
      <c r="AL450" s="424">
        <f t="shared" si="415"/>
        <v>0</v>
      </c>
      <c r="AM450" s="424">
        <f t="shared" si="415"/>
        <v>0</v>
      </c>
      <c r="AN450" s="424">
        <f t="shared" si="415"/>
        <v>0</v>
      </c>
      <c r="AO450" s="424">
        <f t="shared" si="415"/>
        <v>0</v>
      </c>
      <c r="AP450" s="424">
        <f t="shared" ref="AP450:BU450" si="416">AP80*AP$372</f>
        <v>0</v>
      </c>
      <c r="AQ450" s="424">
        <f t="shared" si="416"/>
        <v>0.63</v>
      </c>
      <c r="AR450" s="424">
        <f t="shared" si="416"/>
        <v>0</v>
      </c>
      <c r="AS450" s="424">
        <f t="shared" si="416"/>
        <v>0</v>
      </c>
      <c r="AT450" s="424">
        <f t="shared" si="416"/>
        <v>0</v>
      </c>
      <c r="AU450" s="424">
        <f t="shared" si="416"/>
        <v>0.6</v>
      </c>
      <c r="AV450" s="424">
        <f t="shared" si="416"/>
        <v>0</v>
      </c>
      <c r="AW450" s="424">
        <f t="shared" si="416"/>
        <v>0</v>
      </c>
      <c r="AX450" s="424">
        <f t="shared" si="416"/>
        <v>0</v>
      </c>
      <c r="AY450" s="424">
        <f t="shared" si="416"/>
        <v>0</v>
      </c>
      <c r="AZ450" s="424">
        <f t="shared" si="416"/>
        <v>0</v>
      </c>
      <c r="BA450" s="424">
        <f t="shared" si="416"/>
        <v>0</v>
      </c>
      <c r="BB450" s="424">
        <f t="shared" si="416"/>
        <v>0</v>
      </c>
      <c r="BC450" s="424">
        <f t="shared" si="416"/>
        <v>0</v>
      </c>
      <c r="BD450" s="424">
        <f t="shared" si="416"/>
        <v>0</v>
      </c>
      <c r="BE450" s="424">
        <f t="shared" si="416"/>
        <v>0</v>
      </c>
      <c r="BF450" s="424">
        <f t="shared" si="416"/>
        <v>0</v>
      </c>
      <c r="BG450" s="424">
        <f t="shared" si="416"/>
        <v>0</v>
      </c>
      <c r="BH450" s="424">
        <f t="shared" si="416"/>
        <v>0</v>
      </c>
      <c r="BI450" s="424">
        <f t="shared" si="416"/>
        <v>0</v>
      </c>
      <c r="BJ450" s="424">
        <f t="shared" si="416"/>
        <v>0</v>
      </c>
      <c r="BK450" s="424">
        <f t="shared" si="416"/>
        <v>0</v>
      </c>
      <c r="BL450" s="424">
        <f t="shared" si="416"/>
        <v>0</v>
      </c>
      <c r="BM450" s="424">
        <f t="shared" si="416"/>
        <v>0</v>
      </c>
      <c r="BN450" s="424">
        <f t="shared" si="416"/>
        <v>0</v>
      </c>
      <c r="BO450" s="424">
        <f t="shared" si="416"/>
        <v>0</v>
      </c>
      <c r="BP450" s="424">
        <f t="shared" si="416"/>
        <v>0</v>
      </c>
      <c r="BQ450" s="424">
        <f t="shared" si="416"/>
        <v>0</v>
      </c>
      <c r="BR450" s="424">
        <f t="shared" si="416"/>
        <v>0</v>
      </c>
      <c r="BS450" s="424">
        <f t="shared" si="416"/>
        <v>0</v>
      </c>
      <c r="BT450" s="424">
        <f t="shared" si="416"/>
        <v>0</v>
      </c>
      <c r="BU450" s="424">
        <f t="shared" si="416"/>
        <v>0</v>
      </c>
      <c r="BV450" s="424">
        <f t="shared" ref="BV450:DA450" si="417">BV80*BV$372</f>
        <v>0</v>
      </c>
      <c r="BW450" s="424">
        <f t="shared" si="417"/>
        <v>0</v>
      </c>
      <c r="BX450" s="424">
        <f t="shared" si="417"/>
        <v>0</v>
      </c>
      <c r="BY450" s="424">
        <f t="shared" si="417"/>
        <v>0</v>
      </c>
      <c r="BZ450" s="424">
        <f t="shared" si="417"/>
        <v>0</v>
      </c>
      <c r="CA450" s="424">
        <f t="shared" si="417"/>
        <v>0</v>
      </c>
      <c r="CB450" s="424">
        <f t="shared" si="417"/>
        <v>0</v>
      </c>
      <c r="CC450" s="424">
        <f t="shared" si="417"/>
        <v>0</v>
      </c>
      <c r="CD450" s="424">
        <f t="shared" si="417"/>
        <v>0</v>
      </c>
      <c r="CE450" s="424">
        <f t="shared" si="417"/>
        <v>0</v>
      </c>
      <c r="CF450" s="424">
        <f t="shared" si="417"/>
        <v>0.3</v>
      </c>
      <c r="CG450" s="424">
        <f t="shared" si="417"/>
        <v>0</v>
      </c>
      <c r="CH450" s="424">
        <f t="shared" si="417"/>
        <v>0.5</v>
      </c>
      <c r="CI450" s="424">
        <f t="shared" si="417"/>
        <v>0</v>
      </c>
      <c r="CJ450" s="424">
        <f t="shared" si="417"/>
        <v>0</v>
      </c>
      <c r="CK450" s="424">
        <f t="shared" si="417"/>
        <v>0</v>
      </c>
      <c r="CL450" s="424">
        <f t="shared" si="417"/>
        <v>0</v>
      </c>
      <c r="CM450" s="424">
        <f t="shared" si="417"/>
        <v>0</v>
      </c>
      <c r="CN450" s="424">
        <f t="shared" si="417"/>
        <v>0</v>
      </c>
      <c r="CO450" s="424">
        <f t="shared" si="417"/>
        <v>0</v>
      </c>
      <c r="CP450" s="424">
        <f t="shared" si="417"/>
        <v>0</v>
      </c>
      <c r="CQ450" s="424">
        <f t="shared" si="417"/>
        <v>0</v>
      </c>
      <c r="CR450" s="424">
        <f t="shared" si="417"/>
        <v>0</v>
      </c>
      <c r="CS450" s="424">
        <f t="shared" si="417"/>
        <v>0.01</v>
      </c>
      <c r="CT450" s="424">
        <f t="shared" si="417"/>
        <v>0</v>
      </c>
      <c r="CU450" s="424">
        <f t="shared" si="417"/>
        <v>0</v>
      </c>
      <c r="CV450" s="424">
        <f t="shared" si="417"/>
        <v>0</v>
      </c>
      <c r="CW450" s="424">
        <f t="shared" si="417"/>
        <v>0</v>
      </c>
      <c r="CX450" s="424">
        <f t="shared" si="417"/>
        <v>0</v>
      </c>
      <c r="CY450" s="424">
        <f t="shared" si="417"/>
        <v>0</v>
      </c>
      <c r="CZ450" s="424">
        <f t="shared" si="417"/>
        <v>0</v>
      </c>
      <c r="DA450" s="424">
        <f t="shared" si="417"/>
        <v>0</v>
      </c>
      <c r="DB450" s="424">
        <f t="shared" ref="DB450:EG450" si="418">DB80*DB$372</f>
        <v>0</v>
      </c>
      <c r="DC450" s="424">
        <f t="shared" si="418"/>
        <v>0.06</v>
      </c>
      <c r="DD450" s="424">
        <f t="shared" si="418"/>
        <v>0</v>
      </c>
      <c r="DE450" s="424">
        <f t="shared" si="418"/>
        <v>0</v>
      </c>
      <c r="DF450" s="424">
        <f t="shared" si="418"/>
        <v>0</v>
      </c>
      <c r="DG450" s="424">
        <f t="shared" si="418"/>
        <v>0</v>
      </c>
      <c r="DH450" s="424">
        <f t="shared" si="418"/>
        <v>0</v>
      </c>
      <c r="DI450" s="424">
        <f t="shared" si="418"/>
        <v>0</v>
      </c>
      <c r="DJ450" s="424">
        <f t="shared" si="418"/>
        <v>0</v>
      </c>
      <c r="DK450" s="424">
        <f t="shared" si="418"/>
        <v>0</v>
      </c>
      <c r="DL450" s="424">
        <f t="shared" si="418"/>
        <v>0</v>
      </c>
      <c r="DM450" s="424">
        <f t="shared" si="418"/>
        <v>0</v>
      </c>
      <c r="DN450" s="424">
        <f t="shared" si="418"/>
        <v>0</v>
      </c>
      <c r="DO450" s="424">
        <f t="shared" si="418"/>
        <v>0</v>
      </c>
      <c r="DP450" s="424">
        <f t="shared" si="418"/>
        <v>0</v>
      </c>
      <c r="DQ450" s="424">
        <f t="shared" si="418"/>
        <v>0</v>
      </c>
      <c r="DR450" s="424">
        <f t="shared" si="418"/>
        <v>0</v>
      </c>
      <c r="DS450" s="424">
        <f t="shared" si="418"/>
        <v>0</v>
      </c>
      <c r="DT450" s="424">
        <f t="shared" si="418"/>
        <v>0</v>
      </c>
      <c r="DU450" s="424">
        <f t="shared" si="418"/>
        <v>0</v>
      </c>
      <c r="DV450" s="424">
        <f t="shared" si="418"/>
        <v>0</v>
      </c>
      <c r="DW450" s="424">
        <f t="shared" si="418"/>
        <v>0</v>
      </c>
      <c r="DX450" s="424">
        <f t="shared" si="418"/>
        <v>0</v>
      </c>
      <c r="DY450" s="424">
        <f t="shared" si="418"/>
        <v>0</v>
      </c>
      <c r="DZ450" s="424">
        <f t="shared" si="418"/>
        <v>0</v>
      </c>
      <c r="EA450" s="424">
        <f t="shared" si="418"/>
        <v>0</v>
      </c>
      <c r="EB450" s="424">
        <f t="shared" si="418"/>
        <v>0</v>
      </c>
      <c r="EC450" s="424">
        <f t="shared" si="418"/>
        <v>0</v>
      </c>
      <c r="ED450" s="424">
        <f t="shared" si="418"/>
        <v>0</v>
      </c>
      <c r="EE450" s="424">
        <f t="shared" si="418"/>
        <v>0</v>
      </c>
      <c r="EF450" s="424">
        <f t="shared" si="418"/>
        <v>0</v>
      </c>
      <c r="EG450" s="424">
        <f t="shared" si="418"/>
        <v>0</v>
      </c>
      <c r="EH450" s="424">
        <f t="shared" ref="EH450:EX450" si="419">EH80*EH$372</f>
        <v>0</v>
      </c>
      <c r="EI450" s="424">
        <f t="shared" si="419"/>
        <v>0</v>
      </c>
      <c r="EJ450" s="424">
        <f t="shared" si="419"/>
        <v>0</v>
      </c>
      <c r="EK450" s="424">
        <f t="shared" si="419"/>
        <v>0</v>
      </c>
      <c r="EL450" s="424">
        <f t="shared" si="419"/>
        <v>0</v>
      </c>
      <c r="EM450" s="424">
        <f t="shared" si="419"/>
        <v>0</v>
      </c>
      <c r="EN450" s="424">
        <f t="shared" si="419"/>
        <v>0</v>
      </c>
      <c r="EO450" s="424">
        <f t="shared" si="419"/>
        <v>0</v>
      </c>
      <c r="EP450" s="424">
        <f t="shared" si="419"/>
        <v>0</v>
      </c>
      <c r="EQ450" s="424">
        <f t="shared" si="419"/>
        <v>0</v>
      </c>
      <c r="ER450" s="424">
        <f t="shared" si="419"/>
        <v>0</v>
      </c>
      <c r="ES450" s="424">
        <f t="shared" si="419"/>
        <v>0</v>
      </c>
      <c r="ET450" s="424">
        <f t="shared" si="419"/>
        <v>0</v>
      </c>
      <c r="EU450" s="424">
        <f t="shared" si="419"/>
        <v>0</v>
      </c>
      <c r="EV450" s="424">
        <f t="shared" si="419"/>
        <v>0</v>
      </c>
      <c r="EW450" s="424">
        <f t="shared" si="419"/>
        <v>0</v>
      </c>
      <c r="EX450" s="424">
        <f t="shared" si="419"/>
        <v>0</v>
      </c>
      <c r="EY450" s="425">
        <f t="shared" si="374"/>
        <v>7.7</v>
      </c>
      <c r="EZ450" s="616"/>
      <c r="FA450" s="616"/>
      <c r="FB450" s="616"/>
      <c r="FC450" s="616"/>
      <c r="FD450" s="616"/>
      <c r="FE450" s="616"/>
      <c r="FF450" s="616"/>
      <c r="FG450" s="616"/>
      <c r="FH450" s="616"/>
      <c r="FI450" s="616"/>
      <c r="FJ450" s="616"/>
    </row>
    <row r="451" spans="1:166" s="605" customFormat="1" ht="14.7" customHeight="1" x14ac:dyDescent="0.25">
      <c r="A451" s="310">
        <v>77</v>
      </c>
      <c r="B451" s="311" t="str">
        <f t="shared" si="355"/>
        <v>Суп картофельный с мясными фрикадельками</v>
      </c>
      <c r="C451" s="483">
        <f t="shared" si="363"/>
        <v>66.040000000000006</v>
      </c>
      <c r="D451" s="888"/>
      <c r="E451" s="888"/>
      <c r="F451" s="888"/>
      <c r="G451" s="889"/>
      <c r="H451" s="680">
        <f t="shared" si="356"/>
        <v>104</v>
      </c>
      <c r="I451" s="1209">
        <f t="shared" si="357"/>
        <v>0.01</v>
      </c>
      <c r="J451" s="424">
        <f t="shared" ref="J451:AO451" si="420">J81*J$372</f>
        <v>54.21</v>
      </c>
      <c r="K451" s="424">
        <f t="shared" si="420"/>
        <v>0</v>
      </c>
      <c r="L451" s="424">
        <f t="shared" si="420"/>
        <v>0</v>
      </c>
      <c r="M451" s="424">
        <f t="shared" si="420"/>
        <v>0</v>
      </c>
      <c r="N451" s="424">
        <f t="shared" si="420"/>
        <v>0</v>
      </c>
      <c r="O451" s="424">
        <f t="shared" si="420"/>
        <v>0</v>
      </c>
      <c r="P451" s="424">
        <f t="shared" si="420"/>
        <v>0</v>
      </c>
      <c r="Q451" s="424">
        <f t="shared" si="420"/>
        <v>0</v>
      </c>
      <c r="R451" s="424">
        <f t="shared" si="420"/>
        <v>0</v>
      </c>
      <c r="S451" s="424">
        <f t="shared" si="420"/>
        <v>0</v>
      </c>
      <c r="T451" s="424">
        <f t="shared" si="420"/>
        <v>0</v>
      </c>
      <c r="U451" s="424">
        <f t="shared" si="420"/>
        <v>0</v>
      </c>
      <c r="V451" s="424">
        <f t="shared" si="420"/>
        <v>0</v>
      </c>
      <c r="W451" s="424">
        <f t="shared" si="420"/>
        <v>0</v>
      </c>
      <c r="X451" s="424">
        <f t="shared" si="420"/>
        <v>0</v>
      </c>
      <c r="Y451" s="424">
        <f t="shared" si="420"/>
        <v>1.17</v>
      </c>
      <c r="Z451" s="424">
        <f t="shared" si="420"/>
        <v>0</v>
      </c>
      <c r="AA451" s="424">
        <f t="shared" si="420"/>
        <v>0</v>
      </c>
      <c r="AB451" s="424">
        <f t="shared" si="420"/>
        <v>0</v>
      </c>
      <c r="AC451" s="424">
        <f t="shared" si="420"/>
        <v>0</v>
      </c>
      <c r="AD451" s="424">
        <f t="shared" si="420"/>
        <v>0</v>
      </c>
      <c r="AE451" s="424">
        <f t="shared" si="420"/>
        <v>0.87</v>
      </c>
      <c r="AF451" s="424">
        <f t="shared" si="420"/>
        <v>0</v>
      </c>
      <c r="AG451" s="424">
        <f t="shared" si="420"/>
        <v>0</v>
      </c>
      <c r="AH451" s="424">
        <f t="shared" si="420"/>
        <v>6.66</v>
      </c>
      <c r="AI451" s="424">
        <f t="shared" si="420"/>
        <v>0</v>
      </c>
      <c r="AJ451" s="424">
        <f t="shared" si="420"/>
        <v>0</v>
      </c>
      <c r="AK451" s="424">
        <f t="shared" si="420"/>
        <v>0.97</v>
      </c>
      <c r="AL451" s="424">
        <f t="shared" si="420"/>
        <v>0</v>
      </c>
      <c r="AM451" s="424">
        <f t="shared" si="420"/>
        <v>0</v>
      </c>
      <c r="AN451" s="424">
        <f t="shared" si="420"/>
        <v>0</v>
      </c>
      <c r="AO451" s="424">
        <f t="shared" si="420"/>
        <v>0</v>
      </c>
      <c r="AP451" s="424">
        <f t="shared" ref="AP451:BU451" si="421">AP81*AP$372</f>
        <v>0</v>
      </c>
      <c r="AQ451" s="424">
        <f t="shared" si="421"/>
        <v>0.63</v>
      </c>
      <c r="AR451" s="424">
        <f t="shared" si="421"/>
        <v>0</v>
      </c>
      <c r="AS451" s="424">
        <f t="shared" si="421"/>
        <v>0</v>
      </c>
      <c r="AT451" s="424">
        <f t="shared" si="421"/>
        <v>0</v>
      </c>
      <c r="AU451" s="424">
        <f t="shared" si="421"/>
        <v>0.6</v>
      </c>
      <c r="AV451" s="424">
        <f t="shared" si="421"/>
        <v>0</v>
      </c>
      <c r="AW451" s="424">
        <f t="shared" si="421"/>
        <v>0</v>
      </c>
      <c r="AX451" s="424">
        <f t="shared" si="421"/>
        <v>0</v>
      </c>
      <c r="AY451" s="424">
        <f t="shared" si="421"/>
        <v>0</v>
      </c>
      <c r="AZ451" s="424">
        <f t="shared" si="421"/>
        <v>0</v>
      </c>
      <c r="BA451" s="424">
        <f t="shared" si="421"/>
        <v>0</v>
      </c>
      <c r="BB451" s="424">
        <f t="shared" si="421"/>
        <v>0</v>
      </c>
      <c r="BC451" s="424">
        <f t="shared" si="421"/>
        <v>0</v>
      </c>
      <c r="BD451" s="424">
        <f t="shared" si="421"/>
        <v>0</v>
      </c>
      <c r="BE451" s="424">
        <f t="shared" si="421"/>
        <v>0</v>
      </c>
      <c r="BF451" s="424">
        <f t="shared" si="421"/>
        <v>0</v>
      </c>
      <c r="BG451" s="424">
        <f t="shared" si="421"/>
        <v>0</v>
      </c>
      <c r="BH451" s="424">
        <f t="shared" si="421"/>
        <v>0</v>
      </c>
      <c r="BI451" s="424">
        <f t="shared" si="421"/>
        <v>0</v>
      </c>
      <c r="BJ451" s="424">
        <f t="shared" si="421"/>
        <v>0</v>
      </c>
      <c r="BK451" s="424">
        <f t="shared" si="421"/>
        <v>0</v>
      </c>
      <c r="BL451" s="424">
        <f t="shared" si="421"/>
        <v>0</v>
      </c>
      <c r="BM451" s="424">
        <f t="shared" si="421"/>
        <v>0</v>
      </c>
      <c r="BN451" s="424">
        <f t="shared" si="421"/>
        <v>0</v>
      </c>
      <c r="BO451" s="424">
        <f t="shared" si="421"/>
        <v>0</v>
      </c>
      <c r="BP451" s="424">
        <f t="shared" si="421"/>
        <v>0</v>
      </c>
      <c r="BQ451" s="424">
        <f t="shared" si="421"/>
        <v>0</v>
      </c>
      <c r="BR451" s="424">
        <f t="shared" si="421"/>
        <v>0</v>
      </c>
      <c r="BS451" s="424">
        <f t="shared" si="421"/>
        <v>0</v>
      </c>
      <c r="BT451" s="424">
        <f t="shared" si="421"/>
        <v>0</v>
      </c>
      <c r="BU451" s="424">
        <f t="shared" si="421"/>
        <v>0</v>
      </c>
      <c r="BV451" s="424">
        <f t="shared" ref="BV451:DA451" si="422">BV81*BV$372</f>
        <v>0</v>
      </c>
      <c r="BW451" s="424">
        <f t="shared" si="422"/>
        <v>0</v>
      </c>
      <c r="BX451" s="424">
        <f t="shared" si="422"/>
        <v>0</v>
      </c>
      <c r="BY451" s="424">
        <f t="shared" si="422"/>
        <v>0</v>
      </c>
      <c r="BZ451" s="424">
        <f t="shared" si="422"/>
        <v>0</v>
      </c>
      <c r="CA451" s="424">
        <f t="shared" si="422"/>
        <v>0</v>
      </c>
      <c r="CB451" s="424">
        <f t="shared" si="422"/>
        <v>0</v>
      </c>
      <c r="CC451" s="424">
        <f t="shared" si="422"/>
        <v>0</v>
      </c>
      <c r="CD451" s="424">
        <f t="shared" si="422"/>
        <v>0</v>
      </c>
      <c r="CE451" s="424">
        <f t="shared" si="422"/>
        <v>0</v>
      </c>
      <c r="CF451" s="424">
        <f t="shared" si="422"/>
        <v>0.3</v>
      </c>
      <c r="CG451" s="424">
        <f t="shared" si="422"/>
        <v>0</v>
      </c>
      <c r="CH451" s="424">
        <f t="shared" si="422"/>
        <v>0</v>
      </c>
      <c r="CI451" s="424">
        <f t="shared" si="422"/>
        <v>0</v>
      </c>
      <c r="CJ451" s="424">
        <f t="shared" si="422"/>
        <v>0</v>
      </c>
      <c r="CK451" s="424">
        <f t="shared" si="422"/>
        <v>0</v>
      </c>
      <c r="CL451" s="424">
        <f t="shared" si="422"/>
        <v>0</v>
      </c>
      <c r="CM451" s="424">
        <f t="shared" si="422"/>
        <v>0</v>
      </c>
      <c r="CN451" s="424">
        <f t="shared" si="422"/>
        <v>0</v>
      </c>
      <c r="CO451" s="424">
        <f t="shared" si="422"/>
        <v>0</v>
      </c>
      <c r="CP451" s="424">
        <f t="shared" si="422"/>
        <v>0</v>
      </c>
      <c r="CQ451" s="424">
        <f t="shared" si="422"/>
        <v>0</v>
      </c>
      <c r="CR451" s="424">
        <f t="shared" si="422"/>
        <v>0</v>
      </c>
      <c r="CS451" s="424">
        <f t="shared" si="422"/>
        <v>0.01</v>
      </c>
      <c r="CT451" s="424">
        <f t="shared" si="422"/>
        <v>0</v>
      </c>
      <c r="CU451" s="424">
        <f t="shared" si="422"/>
        <v>0</v>
      </c>
      <c r="CV451" s="424">
        <f t="shared" si="422"/>
        <v>0</v>
      </c>
      <c r="CW451" s="424">
        <f t="shared" si="422"/>
        <v>0</v>
      </c>
      <c r="CX451" s="424">
        <f t="shared" si="422"/>
        <v>0</v>
      </c>
      <c r="CY451" s="424">
        <f t="shared" si="422"/>
        <v>0</v>
      </c>
      <c r="CZ451" s="424">
        <f t="shared" si="422"/>
        <v>0</v>
      </c>
      <c r="DA451" s="424">
        <f t="shared" si="422"/>
        <v>0</v>
      </c>
      <c r="DB451" s="424">
        <f t="shared" ref="DB451:EG451" si="423">DB81*DB$372</f>
        <v>0</v>
      </c>
      <c r="DC451" s="424">
        <f t="shared" si="423"/>
        <v>0.04</v>
      </c>
      <c r="DD451" s="424">
        <f t="shared" si="423"/>
        <v>0</v>
      </c>
      <c r="DE451" s="424">
        <f t="shared" si="423"/>
        <v>0</v>
      </c>
      <c r="DF451" s="424">
        <f t="shared" si="423"/>
        <v>0.57999999999999996</v>
      </c>
      <c r="DG451" s="424">
        <f t="shared" si="423"/>
        <v>0</v>
      </c>
      <c r="DH451" s="424">
        <f t="shared" si="423"/>
        <v>0</v>
      </c>
      <c r="DI451" s="424">
        <f t="shared" si="423"/>
        <v>0</v>
      </c>
      <c r="DJ451" s="424">
        <f t="shared" si="423"/>
        <v>0</v>
      </c>
      <c r="DK451" s="424">
        <f t="shared" si="423"/>
        <v>0</v>
      </c>
      <c r="DL451" s="424">
        <f t="shared" si="423"/>
        <v>0</v>
      </c>
      <c r="DM451" s="424">
        <f t="shared" si="423"/>
        <v>0</v>
      </c>
      <c r="DN451" s="424">
        <f t="shared" si="423"/>
        <v>0</v>
      </c>
      <c r="DO451" s="424">
        <f t="shared" si="423"/>
        <v>0</v>
      </c>
      <c r="DP451" s="424">
        <f t="shared" si="423"/>
        <v>0</v>
      </c>
      <c r="DQ451" s="424">
        <f t="shared" si="423"/>
        <v>0</v>
      </c>
      <c r="DR451" s="424">
        <f t="shared" si="423"/>
        <v>0</v>
      </c>
      <c r="DS451" s="424">
        <f t="shared" si="423"/>
        <v>0</v>
      </c>
      <c r="DT451" s="424">
        <f t="shared" si="423"/>
        <v>0</v>
      </c>
      <c r="DU451" s="424">
        <f t="shared" si="423"/>
        <v>0</v>
      </c>
      <c r="DV451" s="424">
        <f t="shared" si="423"/>
        <v>0</v>
      </c>
      <c r="DW451" s="424">
        <f t="shared" si="423"/>
        <v>0</v>
      </c>
      <c r="DX451" s="424">
        <f t="shared" si="423"/>
        <v>0</v>
      </c>
      <c r="DY451" s="424">
        <f t="shared" si="423"/>
        <v>0</v>
      </c>
      <c r="DZ451" s="424">
        <f t="shared" si="423"/>
        <v>0</v>
      </c>
      <c r="EA451" s="424">
        <f t="shared" si="423"/>
        <v>0</v>
      </c>
      <c r="EB451" s="424">
        <f t="shared" si="423"/>
        <v>0</v>
      </c>
      <c r="EC451" s="424">
        <f t="shared" si="423"/>
        <v>0</v>
      </c>
      <c r="ED451" s="424">
        <f t="shared" si="423"/>
        <v>0</v>
      </c>
      <c r="EE451" s="424">
        <f t="shared" si="423"/>
        <v>0</v>
      </c>
      <c r="EF451" s="424">
        <f t="shared" si="423"/>
        <v>0</v>
      </c>
      <c r="EG451" s="424">
        <f t="shared" si="423"/>
        <v>0</v>
      </c>
      <c r="EH451" s="424">
        <f t="shared" ref="EH451:EX451" si="424">EH81*EH$372</f>
        <v>0</v>
      </c>
      <c r="EI451" s="424">
        <f t="shared" si="424"/>
        <v>0</v>
      </c>
      <c r="EJ451" s="424">
        <f t="shared" si="424"/>
        <v>0</v>
      </c>
      <c r="EK451" s="424">
        <f t="shared" si="424"/>
        <v>0</v>
      </c>
      <c r="EL451" s="424">
        <f t="shared" si="424"/>
        <v>0</v>
      </c>
      <c r="EM451" s="424">
        <f t="shared" si="424"/>
        <v>0</v>
      </c>
      <c r="EN451" s="424">
        <f t="shared" si="424"/>
        <v>0</v>
      </c>
      <c r="EO451" s="424">
        <f t="shared" si="424"/>
        <v>0</v>
      </c>
      <c r="EP451" s="424">
        <f t="shared" si="424"/>
        <v>0</v>
      </c>
      <c r="EQ451" s="424">
        <f t="shared" si="424"/>
        <v>0</v>
      </c>
      <c r="ER451" s="424">
        <f t="shared" si="424"/>
        <v>0</v>
      </c>
      <c r="ES451" s="424">
        <f t="shared" si="424"/>
        <v>0</v>
      </c>
      <c r="ET451" s="424">
        <f t="shared" si="424"/>
        <v>0</v>
      </c>
      <c r="EU451" s="424">
        <f t="shared" si="424"/>
        <v>0</v>
      </c>
      <c r="EV451" s="424">
        <f t="shared" si="424"/>
        <v>0</v>
      </c>
      <c r="EW451" s="424">
        <f t="shared" si="424"/>
        <v>0</v>
      </c>
      <c r="EX451" s="424">
        <f t="shared" si="424"/>
        <v>0</v>
      </c>
      <c r="EY451" s="425">
        <f t="shared" si="374"/>
        <v>66.040000000000006</v>
      </c>
      <c r="EZ451" s="616"/>
      <c r="FA451" s="616"/>
      <c r="FB451" s="616"/>
      <c r="FC451" s="616"/>
      <c r="FD451" s="616"/>
      <c r="FE451" s="616"/>
      <c r="FF451" s="616"/>
      <c r="FG451" s="616"/>
      <c r="FH451" s="616"/>
      <c r="FI451" s="616"/>
      <c r="FJ451" s="616"/>
    </row>
    <row r="452" spans="1:166" s="605" customFormat="1" ht="14.7" customHeight="1" x14ac:dyDescent="0.25">
      <c r="A452" s="310">
        <v>78</v>
      </c>
      <c r="B452" s="311" t="str">
        <f t="shared" si="355"/>
        <v>Фрикадельки мясные</v>
      </c>
      <c r="C452" s="483">
        <f t="shared" si="363"/>
        <v>17.75</v>
      </c>
      <c r="D452" s="888"/>
      <c r="E452" s="888"/>
      <c r="F452" s="888"/>
      <c r="G452" s="889"/>
      <c r="H452" s="680">
        <f t="shared" si="356"/>
        <v>105</v>
      </c>
      <c r="I452" s="1209">
        <f t="shared" si="357"/>
        <v>0</v>
      </c>
      <c r="J452" s="424">
        <f t="shared" ref="J452:AO452" si="425">J82*J$372</f>
        <v>17.350000000000001</v>
      </c>
      <c r="K452" s="424">
        <f t="shared" si="425"/>
        <v>0</v>
      </c>
      <c r="L452" s="424">
        <f t="shared" si="425"/>
        <v>0</v>
      </c>
      <c r="M452" s="424">
        <f t="shared" si="425"/>
        <v>0</v>
      </c>
      <c r="N452" s="424">
        <f t="shared" si="425"/>
        <v>0</v>
      </c>
      <c r="O452" s="424">
        <f t="shared" si="425"/>
        <v>0</v>
      </c>
      <c r="P452" s="424">
        <f t="shared" si="425"/>
        <v>0</v>
      </c>
      <c r="Q452" s="424">
        <f t="shared" si="425"/>
        <v>0</v>
      </c>
      <c r="R452" s="424">
        <f t="shared" si="425"/>
        <v>0</v>
      </c>
      <c r="S452" s="424">
        <f t="shared" si="425"/>
        <v>0</v>
      </c>
      <c r="T452" s="424">
        <f t="shared" si="425"/>
        <v>0</v>
      </c>
      <c r="U452" s="424">
        <f t="shared" si="425"/>
        <v>0</v>
      </c>
      <c r="V452" s="424">
        <f t="shared" si="425"/>
        <v>0</v>
      </c>
      <c r="W452" s="424">
        <f t="shared" si="425"/>
        <v>0</v>
      </c>
      <c r="X452" s="424">
        <f t="shared" si="425"/>
        <v>0</v>
      </c>
      <c r="Y452" s="424">
        <f t="shared" si="425"/>
        <v>0</v>
      </c>
      <c r="Z452" s="424">
        <f t="shared" si="425"/>
        <v>0</v>
      </c>
      <c r="AA452" s="424">
        <f t="shared" si="425"/>
        <v>0</v>
      </c>
      <c r="AB452" s="424">
        <f t="shared" si="425"/>
        <v>0</v>
      </c>
      <c r="AC452" s="424">
        <f t="shared" si="425"/>
        <v>0</v>
      </c>
      <c r="AD452" s="424">
        <f t="shared" si="425"/>
        <v>0</v>
      </c>
      <c r="AE452" s="424">
        <f t="shared" si="425"/>
        <v>0.28000000000000003</v>
      </c>
      <c r="AF452" s="424">
        <f t="shared" si="425"/>
        <v>0</v>
      </c>
      <c r="AG452" s="424">
        <f t="shared" si="425"/>
        <v>0</v>
      </c>
      <c r="AH452" s="424">
        <f t="shared" si="425"/>
        <v>0</v>
      </c>
      <c r="AI452" s="424">
        <f t="shared" si="425"/>
        <v>0</v>
      </c>
      <c r="AJ452" s="424">
        <f t="shared" si="425"/>
        <v>0</v>
      </c>
      <c r="AK452" s="424">
        <f t="shared" si="425"/>
        <v>0.12</v>
      </c>
      <c r="AL452" s="424">
        <f t="shared" si="425"/>
        <v>0</v>
      </c>
      <c r="AM452" s="424">
        <f t="shared" si="425"/>
        <v>0</v>
      </c>
      <c r="AN452" s="424">
        <f t="shared" si="425"/>
        <v>0</v>
      </c>
      <c r="AO452" s="424">
        <f t="shared" si="425"/>
        <v>0</v>
      </c>
      <c r="AP452" s="424">
        <f t="shared" ref="AP452:BU452" si="426">AP82*AP$372</f>
        <v>0</v>
      </c>
      <c r="AQ452" s="424">
        <f t="shared" si="426"/>
        <v>0</v>
      </c>
      <c r="AR452" s="424">
        <f t="shared" si="426"/>
        <v>0</v>
      </c>
      <c r="AS452" s="424">
        <f t="shared" si="426"/>
        <v>0</v>
      </c>
      <c r="AT452" s="424">
        <f t="shared" si="426"/>
        <v>0</v>
      </c>
      <c r="AU452" s="424">
        <f t="shared" si="426"/>
        <v>0</v>
      </c>
      <c r="AV452" s="424">
        <f t="shared" si="426"/>
        <v>0</v>
      </c>
      <c r="AW452" s="424">
        <f t="shared" si="426"/>
        <v>0</v>
      </c>
      <c r="AX452" s="424">
        <f t="shared" si="426"/>
        <v>0</v>
      </c>
      <c r="AY452" s="424">
        <f t="shared" si="426"/>
        <v>0</v>
      </c>
      <c r="AZ452" s="424">
        <f t="shared" si="426"/>
        <v>0</v>
      </c>
      <c r="BA452" s="424">
        <f t="shared" si="426"/>
        <v>0</v>
      </c>
      <c r="BB452" s="424">
        <f t="shared" si="426"/>
        <v>0</v>
      </c>
      <c r="BC452" s="424">
        <f t="shared" si="426"/>
        <v>0</v>
      </c>
      <c r="BD452" s="424">
        <f t="shared" si="426"/>
        <v>0</v>
      </c>
      <c r="BE452" s="424">
        <f t="shared" si="426"/>
        <v>0</v>
      </c>
      <c r="BF452" s="424">
        <f t="shared" si="426"/>
        <v>0</v>
      </c>
      <c r="BG452" s="424">
        <f t="shared" si="426"/>
        <v>0</v>
      </c>
      <c r="BH452" s="424">
        <f t="shared" si="426"/>
        <v>0</v>
      </c>
      <c r="BI452" s="424">
        <f t="shared" si="426"/>
        <v>0</v>
      </c>
      <c r="BJ452" s="424">
        <f t="shared" si="426"/>
        <v>0</v>
      </c>
      <c r="BK452" s="424">
        <f t="shared" si="426"/>
        <v>0</v>
      </c>
      <c r="BL452" s="424">
        <f t="shared" si="426"/>
        <v>0</v>
      </c>
      <c r="BM452" s="424">
        <f t="shared" si="426"/>
        <v>0</v>
      </c>
      <c r="BN452" s="424">
        <f t="shared" si="426"/>
        <v>0</v>
      </c>
      <c r="BO452" s="424">
        <f t="shared" si="426"/>
        <v>0</v>
      </c>
      <c r="BP452" s="424">
        <f t="shared" si="426"/>
        <v>0</v>
      </c>
      <c r="BQ452" s="424">
        <f t="shared" si="426"/>
        <v>0</v>
      </c>
      <c r="BR452" s="424">
        <f t="shared" si="426"/>
        <v>0</v>
      </c>
      <c r="BS452" s="424">
        <f t="shared" si="426"/>
        <v>0</v>
      </c>
      <c r="BT452" s="424">
        <f t="shared" si="426"/>
        <v>0</v>
      </c>
      <c r="BU452" s="424">
        <f t="shared" si="426"/>
        <v>0</v>
      </c>
      <c r="BV452" s="424">
        <f t="shared" ref="BV452:DA452" si="427">BV82*BV$372</f>
        <v>0</v>
      </c>
      <c r="BW452" s="424">
        <f t="shared" si="427"/>
        <v>0</v>
      </c>
      <c r="BX452" s="424">
        <f t="shared" si="427"/>
        <v>0</v>
      </c>
      <c r="BY452" s="424">
        <f t="shared" si="427"/>
        <v>0</v>
      </c>
      <c r="BZ452" s="424">
        <f t="shared" si="427"/>
        <v>0</v>
      </c>
      <c r="CA452" s="424">
        <f t="shared" si="427"/>
        <v>0</v>
      </c>
      <c r="CB452" s="424">
        <f t="shared" si="427"/>
        <v>0</v>
      </c>
      <c r="CC452" s="424">
        <f t="shared" si="427"/>
        <v>0</v>
      </c>
      <c r="CD452" s="424">
        <f t="shared" si="427"/>
        <v>0</v>
      </c>
      <c r="CE452" s="424">
        <f t="shared" si="427"/>
        <v>0</v>
      </c>
      <c r="CF452" s="424">
        <f t="shared" si="427"/>
        <v>0</v>
      </c>
      <c r="CG452" s="424">
        <f t="shared" si="427"/>
        <v>0</v>
      </c>
      <c r="CH452" s="424">
        <f t="shared" si="427"/>
        <v>0</v>
      </c>
      <c r="CI452" s="424">
        <f t="shared" si="427"/>
        <v>0</v>
      </c>
      <c r="CJ452" s="424">
        <f t="shared" si="427"/>
        <v>0</v>
      </c>
      <c r="CK452" s="424">
        <f t="shared" si="427"/>
        <v>0</v>
      </c>
      <c r="CL452" s="424">
        <f t="shared" si="427"/>
        <v>0</v>
      </c>
      <c r="CM452" s="424">
        <f t="shared" si="427"/>
        <v>0</v>
      </c>
      <c r="CN452" s="424">
        <f t="shared" si="427"/>
        <v>0</v>
      </c>
      <c r="CO452" s="424">
        <f t="shared" si="427"/>
        <v>0</v>
      </c>
      <c r="CP452" s="424">
        <f t="shared" si="427"/>
        <v>0</v>
      </c>
      <c r="CQ452" s="424">
        <f t="shared" si="427"/>
        <v>0</v>
      </c>
      <c r="CR452" s="424">
        <f t="shared" si="427"/>
        <v>0</v>
      </c>
      <c r="CS452" s="424">
        <f t="shared" si="427"/>
        <v>0</v>
      </c>
      <c r="CT452" s="424">
        <f t="shared" si="427"/>
        <v>0</v>
      </c>
      <c r="CU452" s="424">
        <f t="shared" si="427"/>
        <v>0</v>
      </c>
      <c r="CV452" s="424">
        <f t="shared" si="427"/>
        <v>0</v>
      </c>
      <c r="CW452" s="424">
        <f t="shared" si="427"/>
        <v>0</v>
      </c>
      <c r="CX452" s="424">
        <f t="shared" si="427"/>
        <v>0</v>
      </c>
      <c r="CY452" s="424">
        <f t="shared" si="427"/>
        <v>0</v>
      </c>
      <c r="CZ452" s="424">
        <f t="shared" si="427"/>
        <v>0</v>
      </c>
      <c r="DA452" s="424">
        <f t="shared" si="427"/>
        <v>0</v>
      </c>
      <c r="DB452" s="424">
        <f t="shared" ref="DB452:EG452" si="428">DB82*DB$372</f>
        <v>0</v>
      </c>
      <c r="DC452" s="424">
        <f t="shared" si="428"/>
        <v>0</v>
      </c>
      <c r="DD452" s="424">
        <f t="shared" si="428"/>
        <v>0</v>
      </c>
      <c r="DE452" s="424">
        <f t="shared" si="428"/>
        <v>0</v>
      </c>
      <c r="DF452" s="424">
        <f t="shared" si="428"/>
        <v>0</v>
      </c>
      <c r="DG452" s="424">
        <f t="shared" si="428"/>
        <v>0</v>
      </c>
      <c r="DH452" s="424">
        <f t="shared" si="428"/>
        <v>0</v>
      </c>
      <c r="DI452" s="424">
        <f t="shared" si="428"/>
        <v>0</v>
      </c>
      <c r="DJ452" s="424">
        <f t="shared" si="428"/>
        <v>0</v>
      </c>
      <c r="DK452" s="424">
        <f t="shared" si="428"/>
        <v>0</v>
      </c>
      <c r="DL452" s="424">
        <f t="shared" si="428"/>
        <v>0</v>
      </c>
      <c r="DM452" s="424">
        <f t="shared" si="428"/>
        <v>0</v>
      </c>
      <c r="DN452" s="424">
        <f t="shared" si="428"/>
        <v>0</v>
      </c>
      <c r="DO452" s="424">
        <f t="shared" si="428"/>
        <v>0</v>
      </c>
      <c r="DP452" s="424">
        <f t="shared" si="428"/>
        <v>0</v>
      </c>
      <c r="DQ452" s="424">
        <f t="shared" si="428"/>
        <v>0</v>
      </c>
      <c r="DR452" s="424">
        <f t="shared" si="428"/>
        <v>0</v>
      </c>
      <c r="DS452" s="424">
        <f t="shared" si="428"/>
        <v>0</v>
      </c>
      <c r="DT452" s="424">
        <f t="shared" si="428"/>
        <v>0</v>
      </c>
      <c r="DU452" s="424">
        <f t="shared" si="428"/>
        <v>0</v>
      </c>
      <c r="DV452" s="424">
        <f t="shared" si="428"/>
        <v>0</v>
      </c>
      <c r="DW452" s="424">
        <f t="shared" si="428"/>
        <v>0</v>
      </c>
      <c r="DX452" s="424">
        <f t="shared" si="428"/>
        <v>0</v>
      </c>
      <c r="DY452" s="424">
        <f t="shared" si="428"/>
        <v>0</v>
      </c>
      <c r="DZ452" s="424">
        <f t="shared" si="428"/>
        <v>0</v>
      </c>
      <c r="EA452" s="424">
        <f t="shared" si="428"/>
        <v>0</v>
      </c>
      <c r="EB452" s="424">
        <f t="shared" si="428"/>
        <v>0</v>
      </c>
      <c r="EC452" s="424">
        <f t="shared" si="428"/>
        <v>0</v>
      </c>
      <c r="ED452" s="424">
        <f t="shared" si="428"/>
        <v>0</v>
      </c>
      <c r="EE452" s="424">
        <f t="shared" si="428"/>
        <v>0</v>
      </c>
      <c r="EF452" s="424">
        <f t="shared" si="428"/>
        <v>0</v>
      </c>
      <c r="EG452" s="424">
        <f t="shared" si="428"/>
        <v>0</v>
      </c>
      <c r="EH452" s="424">
        <f t="shared" ref="EH452:EX452" si="429">EH82*EH$372</f>
        <v>0</v>
      </c>
      <c r="EI452" s="424">
        <f t="shared" si="429"/>
        <v>0</v>
      </c>
      <c r="EJ452" s="424">
        <f t="shared" si="429"/>
        <v>0</v>
      </c>
      <c r="EK452" s="424">
        <f t="shared" si="429"/>
        <v>0</v>
      </c>
      <c r="EL452" s="424">
        <f t="shared" si="429"/>
        <v>0</v>
      </c>
      <c r="EM452" s="424">
        <f t="shared" si="429"/>
        <v>0</v>
      </c>
      <c r="EN452" s="424">
        <f t="shared" si="429"/>
        <v>0</v>
      </c>
      <c r="EO452" s="424">
        <f t="shared" si="429"/>
        <v>0</v>
      </c>
      <c r="EP452" s="424">
        <f t="shared" si="429"/>
        <v>0</v>
      </c>
      <c r="EQ452" s="424">
        <f t="shared" si="429"/>
        <v>0</v>
      </c>
      <c r="ER452" s="424">
        <f t="shared" si="429"/>
        <v>0</v>
      </c>
      <c r="ES452" s="424">
        <f t="shared" si="429"/>
        <v>0</v>
      </c>
      <c r="ET452" s="424">
        <f t="shared" si="429"/>
        <v>0</v>
      </c>
      <c r="EU452" s="424">
        <f t="shared" si="429"/>
        <v>0</v>
      </c>
      <c r="EV452" s="424">
        <f t="shared" si="429"/>
        <v>0</v>
      </c>
      <c r="EW452" s="424">
        <f t="shared" si="429"/>
        <v>0</v>
      </c>
      <c r="EX452" s="424">
        <f t="shared" si="429"/>
        <v>0</v>
      </c>
      <c r="EY452" s="425">
        <f t="shared" si="374"/>
        <v>17.75</v>
      </c>
      <c r="EZ452" s="616"/>
      <c r="FA452" s="616"/>
      <c r="FB452" s="616"/>
      <c r="FC452" s="616"/>
      <c r="FD452" s="616"/>
      <c r="FE452" s="616"/>
      <c r="FF452" s="616"/>
      <c r="FG452" s="616"/>
      <c r="FH452" s="616"/>
      <c r="FI452" s="616"/>
      <c r="FJ452" s="616"/>
    </row>
    <row r="453" spans="1:166" s="605" customFormat="1" ht="14.7" customHeight="1" x14ac:dyDescent="0.25">
      <c r="A453" s="310">
        <v>79</v>
      </c>
      <c r="B453" s="311" t="str">
        <f t="shared" si="355"/>
        <v>Суп картофельный с рыбными фрикадельками</v>
      </c>
      <c r="C453" s="483">
        <f t="shared" si="363"/>
        <v>32.799999999999997</v>
      </c>
      <c r="D453" s="888"/>
      <c r="E453" s="888"/>
      <c r="F453" s="888"/>
      <c r="G453" s="889"/>
      <c r="H453" s="680">
        <f t="shared" si="356"/>
        <v>106</v>
      </c>
      <c r="I453" s="1209">
        <f t="shared" si="357"/>
        <v>-0.01</v>
      </c>
      <c r="J453" s="424">
        <f t="shared" ref="J453:AO453" si="430">J83*J$372</f>
        <v>0</v>
      </c>
      <c r="K453" s="424">
        <f t="shared" si="430"/>
        <v>0</v>
      </c>
      <c r="L453" s="424">
        <f t="shared" si="430"/>
        <v>0</v>
      </c>
      <c r="M453" s="424">
        <f t="shared" si="430"/>
        <v>0</v>
      </c>
      <c r="N453" s="424">
        <f t="shared" si="430"/>
        <v>0</v>
      </c>
      <c r="O453" s="424">
        <f t="shared" si="430"/>
        <v>0</v>
      </c>
      <c r="P453" s="424">
        <f t="shared" si="430"/>
        <v>0</v>
      </c>
      <c r="Q453" s="424">
        <f t="shared" si="430"/>
        <v>20.92</v>
      </c>
      <c r="R453" s="424">
        <f t="shared" si="430"/>
        <v>0</v>
      </c>
      <c r="S453" s="424">
        <f t="shared" si="430"/>
        <v>0</v>
      </c>
      <c r="T453" s="424">
        <f t="shared" si="430"/>
        <v>0</v>
      </c>
      <c r="U453" s="424">
        <f t="shared" si="430"/>
        <v>0</v>
      </c>
      <c r="V453" s="424">
        <f t="shared" si="430"/>
        <v>0</v>
      </c>
      <c r="W453" s="424">
        <f t="shared" si="430"/>
        <v>0</v>
      </c>
      <c r="X453" s="424">
        <f t="shared" si="430"/>
        <v>0</v>
      </c>
      <c r="Y453" s="424">
        <f t="shared" si="430"/>
        <v>1.17</v>
      </c>
      <c r="Z453" s="424">
        <f t="shared" si="430"/>
        <v>0</v>
      </c>
      <c r="AA453" s="424">
        <f t="shared" si="430"/>
        <v>0</v>
      </c>
      <c r="AB453" s="424">
        <f t="shared" si="430"/>
        <v>0</v>
      </c>
      <c r="AC453" s="424">
        <f t="shared" si="430"/>
        <v>0</v>
      </c>
      <c r="AD453" s="424">
        <f t="shared" si="430"/>
        <v>0</v>
      </c>
      <c r="AE453" s="424">
        <f t="shared" si="430"/>
        <v>0.55000000000000004</v>
      </c>
      <c r="AF453" s="424">
        <f t="shared" si="430"/>
        <v>0</v>
      </c>
      <c r="AG453" s="424">
        <f t="shared" si="430"/>
        <v>0</v>
      </c>
      <c r="AH453" s="424">
        <f t="shared" si="430"/>
        <v>6.66</v>
      </c>
      <c r="AI453" s="424">
        <f t="shared" si="430"/>
        <v>0</v>
      </c>
      <c r="AJ453" s="424">
        <f t="shared" si="430"/>
        <v>0</v>
      </c>
      <c r="AK453" s="424">
        <f t="shared" si="430"/>
        <v>1.34</v>
      </c>
      <c r="AL453" s="424">
        <f t="shared" si="430"/>
        <v>0</v>
      </c>
      <c r="AM453" s="424">
        <f t="shared" si="430"/>
        <v>0</v>
      </c>
      <c r="AN453" s="424">
        <f t="shared" si="430"/>
        <v>0</v>
      </c>
      <c r="AO453" s="424">
        <f t="shared" si="430"/>
        <v>0</v>
      </c>
      <c r="AP453" s="424">
        <f t="shared" ref="AP453:BU453" si="431">AP83*AP$372</f>
        <v>0</v>
      </c>
      <c r="AQ453" s="424">
        <f t="shared" si="431"/>
        <v>0.63</v>
      </c>
      <c r="AR453" s="424">
        <f t="shared" si="431"/>
        <v>0</v>
      </c>
      <c r="AS453" s="424">
        <f t="shared" si="431"/>
        <v>0</v>
      </c>
      <c r="AT453" s="424">
        <f t="shared" si="431"/>
        <v>0</v>
      </c>
      <c r="AU453" s="424">
        <f t="shared" si="431"/>
        <v>0.6</v>
      </c>
      <c r="AV453" s="424">
        <f t="shared" si="431"/>
        <v>0</v>
      </c>
      <c r="AW453" s="424">
        <f t="shared" si="431"/>
        <v>0</v>
      </c>
      <c r="AX453" s="424">
        <f t="shared" si="431"/>
        <v>0</v>
      </c>
      <c r="AY453" s="424">
        <f t="shared" si="431"/>
        <v>0</v>
      </c>
      <c r="AZ453" s="424">
        <f t="shared" si="431"/>
        <v>0</v>
      </c>
      <c r="BA453" s="424">
        <f t="shared" si="431"/>
        <v>0</v>
      </c>
      <c r="BB453" s="424">
        <f t="shared" si="431"/>
        <v>0</v>
      </c>
      <c r="BC453" s="424">
        <f t="shared" si="431"/>
        <v>0</v>
      </c>
      <c r="BD453" s="424">
        <f t="shared" si="431"/>
        <v>0</v>
      </c>
      <c r="BE453" s="424">
        <f t="shared" si="431"/>
        <v>0</v>
      </c>
      <c r="BF453" s="424">
        <f t="shared" si="431"/>
        <v>0</v>
      </c>
      <c r="BG453" s="424">
        <f t="shared" si="431"/>
        <v>0</v>
      </c>
      <c r="BH453" s="424">
        <f t="shared" si="431"/>
        <v>0</v>
      </c>
      <c r="BI453" s="424">
        <f t="shared" si="431"/>
        <v>0</v>
      </c>
      <c r="BJ453" s="424">
        <f t="shared" si="431"/>
        <v>0</v>
      </c>
      <c r="BK453" s="424">
        <f t="shared" si="431"/>
        <v>0</v>
      </c>
      <c r="BL453" s="424">
        <f t="shared" si="431"/>
        <v>0</v>
      </c>
      <c r="BM453" s="424">
        <f t="shared" si="431"/>
        <v>0</v>
      </c>
      <c r="BN453" s="424">
        <f t="shared" si="431"/>
        <v>0</v>
      </c>
      <c r="BO453" s="424">
        <f t="shared" si="431"/>
        <v>0</v>
      </c>
      <c r="BP453" s="424">
        <f t="shared" si="431"/>
        <v>0</v>
      </c>
      <c r="BQ453" s="424">
        <f t="shared" si="431"/>
        <v>0</v>
      </c>
      <c r="BR453" s="424">
        <f t="shared" si="431"/>
        <v>0</v>
      </c>
      <c r="BS453" s="424">
        <f t="shared" si="431"/>
        <v>0</v>
      </c>
      <c r="BT453" s="424">
        <f t="shared" si="431"/>
        <v>0</v>
      </c>
      <c r="BU453" s="424">
        <f t="shared" si="431"/>
        <v>0</v>
      </c>
      <c r="BV453" s="424">
        <f t="shared" ref="BV453:DA453" si="432">BV83*BV$372</f>
        <v>0</v>
      </c>
      <c r="BW453" s="424">
        <f t="shared" si="432"/>
        <v>0</v>
      </c>
      <c r="BX453" s="424">
        <f t="shared" si="432"/>
        <v>0</v>
      </c>
      <c r="BY453" s="424">
        <f t="shared" si="432"/>
        <v>0</v>
      </c>
      <c r="BZ453" s="424">
        <f t="shared" si="432"/>
        <v>0</v>
      </c>
      <c r="CA453" s="424">
        <f t="shared" si="432"/>
        <v>0</v>
      </c>
      <c r="CB453" s="424">
        <f t="shared" si="432"/>
        <v>0</v>
      </c>
      <c r="CC453" s="424">
        <f t="shared" si="432"/>
        <v>0</v>
      </c>
      <c r="CD453" s="424">
        <f t="shared" si="432"/>
        <v>0</v>
      </c>
      <c r="CE453" s="424">
        <f t="shared" si="432"/>
        <v>0</v>
      </c>
      <c r="CF453" s="424">
        <f t="shared" si="432"/>
        <v>0.3</v>
      </c>
      <c r="CG453" s="424">
        <f t="shared" si="432"/>
        <v>0</v>
      </c>
      <c r="CH453" s="424">
        <f t="shared" si="432"/>
        <v>0</v>
      </c>
      <c r="CI453" s="424">
        <f t="shared" si="432"/>
        <v>0</v>
      </c>
      <c r="CJ453" s="424">
        <f t="shared" si="432"/>
        <v>0</v>
      </c>
      <c r="CK453" s="424">
        <f t="shared" si="432"/>
        <v>0</v>
      </c>
      <c r="CL453" s="424">
        <f t="shared" si="432"/>
        <v>0</v>
      </c>
      <c r="CM453" s="424">
        <f t="shared" si="432"/>
        <v>0</v>
      </c>
      <c r="CN453" s="424">
        <f t="shared" si="432"/>
        <v>0</v>
      </c>
      <c r="CO453" s="424">
        <f t="shared" si="432"/>
        <v>0</v>
      </c>
      <c r="CP453" s="424">
        <f t="shared" si="432"/>
        <v>0</v>
      </c>
      <c r="CQ453" s="424">
        <f t="shared" si="432"/>
        <v>0</v>
      </c>
      <c r="CR453" s="424">
        <f t="shared" si="432"/>
        <v>0</v>
      </c>
      <c r="CS453" s="424">
        <f t="shared" si="432"/>
        <v>0.01</v>
      </c>
      <c r="CT453" s="424">
        <f t="shared" si="432"/>
        <v>0</v>
      </c>
      <c r="CU453" s="424">
        <f t="shared" si="432"/>
        <v>0</v>
      </c>
      <c r="CV453" s="424">
        <f t="shared" si="432"/>
        <v>0</v>
      </c>
      <c r="CW453" s="424">
        <f t="shared" si="432"/>
        <v>0</v>
      </c>
      <c r="CX453" s="424">
        <f t="shared" si="432"/>
        <v>0</v>
      </c>
      <c r="CY453" s="424">
        <f t="shared" si="432"/>
        <v>0</v>
      </c>
      <c r="CZ453" s="424">
        <f t="shared" si="432"/>
        <v>0</v>
      </c>
      <c r="DA453" s="424">
        <f t="shared" si="432"/>
        <v>0</v>
      </c>
      <c r="DB453" s="424">
        <f t="shared" ref="DB453:EG453" si="433">DB83*DB$372</f>
        <v>0</v>
      </c>
      <c r="DC453" s="424">
        <f t="shared" si="433"/>
        <v>0.04</v>
      </c>
      <c r="DD453" s="424">
        <f t="shared" si="433"/>
        <v>0</v>
      </c>
      <c r="DE453" s="424">
        <f t="shared" si="433"/>
        <v>0</v>
      </c>
      <c r="DF453" s="424">
        <f t="shared" si="433"/>
        <v>0.57999999999999996</v>
      </c>
      <c r="DG453" s="424">
        <f t="shared" si="433"/>
        <v>0</v>
      </c>
      <c r="DH453" s="424">
        <f t="shared" si="433"/>
        <v>0</v>
      </c>
      <c r="DI453" s="424">
        <f t="shared" si="433"/>
        <v>0</v>
      </c>
      <c r="DJ453" s="424">
        <f t="shared" si="433"/>
        <v>0</v>
      </c>
      <c r="DK453" s="424">
        <f t="shared" si="433"/>
        <v>0</v>
      </c>
      <c r="DL453" s="424">
        <f t="shared" si="433"/>
        <v>0</v>
      </c>
      <c r="DM453" s="424">
        <f t="shared" si="433"/>
        <v>0</v>
      </c>
      <c r="DN453" s="424">
        <f t="shared" si="433"/>
        <v>0</v>
      </c>
      <c r="DO453" s="424">
        <f t="shared" si="433"/>
        <v>0</v>
      </c>
      <c r="DP453" s="424">
        <f t="shared" si="433"/>
        <v>0</v>
      </c>
      <c r="DQ453" s="424">
        <f t="shared" si="433"/>
        <v>0</v>
      </c>
      <c r="DR453" s="424">
        <f t="shared" si="433"/>
        <v>0</v>
      </c>
      <c r="DS453" s="424">
        <f t="shared" si="433"/>
        <v>0</v>
      </c>
      <c r="DT453" s="424">
        <f t="shared" si="433"/>
        <v>0</v>
      </c>
      <c r="DU453" s="424">
        <f t="shared" si="433"/>
        <v>0</v>
      </c>
      <c r="DV453" s="424">
        <f t="shared" si="433"/>
        <v>0</v>
      </c>
      <c r="DW453" s="424">
        <f t="shared" si="433"/>
        <v>0</v>
      </c>
      <c r="DX453" s="424">
        <f t="shared" si="433"/>
        <v>0</v>
      </c>
      <c r="DY453" s="424">
        <f t="shared" si="433"/>
        <v>0</v>
      </c>
      <c r="DZ453" s="424">
        <f t="shared" si="433"/>
        <v>0</v>
      </c>
      <c r="EA453" s="424">
        <f t="shared" si="433"/>
        <v>0</v>
      </c>
      <c r="EB453" s="424">
        <f t="shared" si="433"/>
        <v>0</v>
      </c>
      <c r="EC453" s="424">
        <f t="shared" si="433"/>
        <v>0</v>
      </c>
      <c r="ED453" s="424">
        <f t="shared" si="433"/>
        <v>0</v>
      </c>
      <c r="EE453" s="424">
        <f t="shared" si="433"/>
        <v>0</v>
      </c>
      <c r="EF453" s="424">
        <f t="shared" si="433"/>
        <v>0</v>
      </c>
      <c r="EG453" s="424">
        <f t="shared" si="433"/>
        <v>0</v>
      </c>
      <c r="EH453" s="424">
        <f t="shared" ref="EH453:EX453" si="434">EH83*EH$372</f>
        <v>0</v>
      </c>
      <c r="EI453" s="424">
        <f t="shared" si="434"/>
        <v>0</v>
      </c>
      <c r="EJ453" s="424">
        <f t="shared" si="434"/>
        <v>0</v>
      </c>
      <c r="EK453" s="424">
        <f t="shared" si="434"/>
        <v>0</v>
      </c>
      <c r="EL453" s="424">
        <f t="shared" si="434"/>
        <v>0</v>
      </c>
      <c r="EM453" s="424">
        <f t="shared" si="434"/>
        <v>0</v>
      </c>
      <c r="EN453" s="424">
        <f t="shared" si="434"/>
        <v>0</v>
      </c>
      <c r="EO453" s="424">
        <f t="shared" si="434"/>
        <v>0</v>
      </c>
      <c r="EP453" s="424">
        <f t="shared" si="434"/>
        <v>0</v>
      </c>
      <c r="EQ453" s="424">
        <f t="shared" si="434"/>
        <v>0</v>
      </c>
      <c r="ER453" s="424">
        <f t="shared" si="434"/>
        <v>0</v>
      </c>
      <c r="ES453" s="424">
        <f t="shared" si="434"/>
        <v>0</v>
      </c>
      <c r="ET453" s="424">
        <f t="shared" si="434"/>
        <v>0</v>
      </c>
      <c r="EU453" s="424">
        <f t="shared" si="434"/>
        <v>0</v>
      </c>
      <c r="EV453" s="424">
        <f t="shared" si="434"/>
        <v>0</v>
      </c>
      <c r="EW453" s="424">
        <f t="shared" si="434"/>
        <v>0</v>
      </c>
      <c r="EX453" s="424">
        <f t="shared" si="434"/>
        <v>0</v>
      </c>
      <c r="EY453" s="425">
        <f t="shared" si="374"/>
        <v>32.799999999999997</v>
      </c>
      <c r="EZ453" s="616"/>
      <c r="FA453" s="616"/>
      <c r="FB453" s="616"/>
      <c r="FC453" s="616"/>
      <c r="FD453" s="616"/>
      <c r="FE453" s="616"/>
      <c r="FF453" s="616"/>
      <c r="FG453" s="616"/>
      <c r="FH453" s="616"/>
      <c r="FI453" s="616"/>
      <c r="FJ453" s="616"/>
    </row>
    <row r="454" spans="1:166" s="605" customFormat="1" ht="14.7" customHeight="1" x14ac:dyDescent="0.25">
      <c r="A454" s="310">
        <v>80</v>
      </c>
      <c r="B454" s="311" t="str">
        <f t="shared" si="355"/>
        <v>Фрикадельки мясные</v>
      </c>
      <c r="C454" s="483">
        <f t="shared" si="363"/>
        <v>355.29</v>
      </c>
      <c r="D454" s="888"/>
      <c r="E454" s="888"/>
      <c r="F454" s="888"/>
      <c r="G454" s="889"/>
      <c r="H454" s="680">
        <f t="shared" si="356"/>
        <v>107</v>
      </c>
      <c r="I454" s="1209">
        <f t="shared" si="357"/>
        <v>0</v>
      </c>
      <c r="J454" s="424">
        <f t="shared" ref="J454:AO454" si="435">J84*J$372</f>
        <v>0</v>
      </c>
      <c r="K454" s="424">
        <f t="shared" si="435"/>
        <v>0</v>
      </c>
      <c r="L454" s="424">
        <f t="shared" si="435"/>
        <v>0</v>
      </c>
      <c r="M454" s="424">
        <f t="shared" si="435"/>
        <v>0</v>
      </c>
      <c r="N454" s="424">
        <f t="shared" si="435"/>
        <v>0</v>
      </c>
      <c r="O454" s="424">
        <f t="shared" si="435"/>
        <v>0</v>
      </c>
      <c r="P454" s="424">
        <f t="shared" si="435"/>
        <v>0</v>
      </c>
      <c r="Q454" s="424">
        <f t="shared" si="435"/>
        <v>334.64</v>
      </c>
      <c r="R454" s="424">
        <f t="shared" si="435"/>
        <v>0</v>
      </c>
      <c r="S454" s="424">
        <f t="shared" si="435"/>
        <v>0</v>
      </c>
      <c r="T454" s="424">
        <f t="shared" si="435"/>
        <v>0</v>
      </c>
      <c r="U454" s="424">
        <f t="shared" si="435"/>
        <v>0</v>
      </c>
      <c r="V454" s="424">
        <f t="shared" si="435"/>
        <v>0</v>
      </c>
      <c r="W454" s="424">
        <f t="shared" si="435"/>
        <v>0</v>
      </c>
      <c r="X454" s="424">
        <f t="shared" si="435"/>
        <v>0</v>
      </c>
      <c r="Y454" s="424">
        <f t="shared" si="435"/>
        <v>0</v>
      </c>
      <c r="Z454" s="424">
        <f t="shared" si="435"/>
        <v>0</v>
      </c>
      <c r="AA454" s="424">
        <f t="shared" si="435"/>
        <v>0</v>
      </c>
      <c r="AB454" s="424">
        <f t="shared" si="435"/>
        <v>0</v>
      </c>
      <c r="AC454" s="424">
        <f t="shared" si="435"/>
        <v>0</v>
      </c>
      <c r="AD454" s="424">
        <f t="shared" si="435"/>
        <v>0</v>
      </c>
      <c r="AE454" s="424">
        <f t="shared" si="435"/>
        <v>8.75</v>
      </c>
      <c r="AF454" s="424">
        <f t="shared" si="435"/>
        <v>0</v>
      </c>
      <c r="AG454" s="424">
        <f t="shared" si="435"/>
        <v>0</v>
      </c>
      <c r="AH454" s="424">
        <f t="shared" si="435"/>
        <v>0</v>
      </c>
      <c r="AI454" s="424">
        <f t="shared" si="435"/>
        <v>0</v>
      </c>
      <c r="AJ454" s="424">
        <f t="shared" si="435"/>
        <v>0</v>
      </c>
      <c r="AK454" s="424">
        <f t="shared" si="435"/>
        <v>11.9</v>
      </c>
      <c r="AL454" s="424">
        <f t="shared" si="435"/>
        <v>0</v>
      </c>
      <c r="AM454" s="424">
        <f t="shared" si="435"/>
        <v>0</v>
      </c>
      <c r="AN454" s="424">
        <f t="shared" si="435"/>
        <v>0</v>
      </c>
      <c r="AO454" s="424">
        <f t="shared" si="435"/>
        <v>0</v>
      </c>
      <c r="AP454" s="424">
        <f t="shared" ref="AP454:BU454" si="436">AP84*AP$372</f>
        <v>0</v>
      </c>
      <c r="AQ454" s="424">
        <f t="shared" si="436"/>
        <v>0</v>
      </c>
      <c r="AR454" s="424">
        <f t="shared" si="436"/>
        <v>0</v>
      </c>
      <c r="AS454" s="424">
        <f t="shared" si="436"/>
        <v>0</v>
      </c>
      <c r="AT454" s="424">
        <f t="shared" si="436"/>
        <v>0</v>
      </c>
      <c r="AU454" s="424">
        <f t="shared" si="436"/>
        <v>0</v>
      </c>
      <c r="AV454" s="424">
        <f t="shared" si="436"/>
        <v>0</v>
      </c>
      <c r="AW454" s="424">
        <f t="shared" si="436"/>
        <v>0</v>
      </c>
      <c r="AX454" s="424">
        <f t="shared" si="436"/>
        <v>0</v>
      </c>
      <c r="AY454" s="424">
        <f t="shared" si="436"/>
        <v>0</v>
      </c>
      <c r="AZ454" s="424">
        <f t="shared" si="436"/>
        <v>0</v>
      </c>
      <c r="BA454" s="424">
        <f t="shared" si="436"/>
        <v>0</v>
      </c>
      <c r="BB454" s="424">
        <f t="shared" si="436"/>
        <v>0</v>
      </c>
      <c r="BC454" s="424">
        <f t="shared" si="436"/>
        <v>0</v>
      </c>
      <c r="BD454" s="424">
        <f t="shared" si="436"/>
        <v>0</v>
      </c>
      <c r="BE454" s="424">
        <f t="shared" si="436"/>
        <v>0</v>
      </c>
      <c r="BF454" s="424">
        <f t="shared" si="436"/>
        <v>0</v>
      </c>
      <c r="BG454" s="424">
        <f t="shared" si="436"/>
        <v>0</v>
      </c>
      <c r="BH454" s="424">
        <f t="shared" si="436"/>
        <v>0</v>
      </c>
      <c r="BI454" s="424">
        <f t="shared" si="436"/>
        <v>0</v>
      </c>
      <c r="BJ454" s="424">
        <f t="shared" si="436"/>
        <v>0</v>
      </c>
      <c r="BK454" s="424">
        <f t="shared" si="436"/>
        <v>0</v>
      </c>
      <c r="BL454" s="424">
        <f t="shared" si="436"/>
        <v>0</v>
      </c>
      <c r="BM454" s="424">
        <f t="shared" si="436"/>
        <v>0</v>
      </c>
      <c r="BN454" s="424">
        <f t="shared" si="436"/>
        <v>0</v>
      </c>
      <c r="BO454" s="424">
        <f t="shared" si="436"/>
        <v>0</v>
      </c>
      <c r="BP454" s="424">
        <f t="shared" si="436"/>
        <v>0</v>
      </c>
      <c r="BQ454" s="424">
        <f t="shared" si="436"/>
        <v>0</v>
      </c>
      <c r="BR454" s="424">
        <f t="shared" si="436"/>
        <v>0</v>
      </c>
      <c r="BS454" s="424">
        <f t="shared" si="436"/>
        <v>0</v>
      </c>
      <c r="BT454" s="424">
        <f t="shared" si="436"/>
        <v>0</v>
      </c>
      <c r="BU454" s="424">
        <f t="shared" si="436"/>
        <v>0</v>
      </c>
      <c r="BV454" s="424">
        <f t="shared" ref="BV454:DA454" si="437">BV84*BV$372</f>
        <v>0</v>
      </c>
      <c r="BW454" s="424">
        <f t="shared" si="437"/>
        <v>0</v>
      </c>
      <c r="BX454" s="424">
        <f t="shared" si="437"/>
        <v>0</v>
      </c>
      <c r="BY454" s="424">
        <f t="shared" si="437"/>
        <v>0</v>
      </c>
      <c r="BZ454" s="424">
        <f t="shared" si="437"/>
        <v>0</v>
      </c>
      <c r="CA454" s="424">
        <f t="shared" si="437"/>
        <v>0</v>
      </c>
      <c r="CB454" s="424">
        <f t="shared" si="437"/>
        <v>0</v>
      </c>
      <c r="CC454" s="424">
        <f t="shared" si="437"/>
        <v>0</v>
      </c>
      <c r="CD454" s="424">
        <f t="shared" si="437"/>
        <v>0</v>
      </c>
      <c r="CE454" s="424">
        <f t="shared" si="437"/>
        <v>0</v>
      </c>
      <c r="CF454" s="424">
        <f t="shared" si="437"/>
        <v>0</v>
      </c>
      <c r="CG454" s="424">
        <f t="shared" si="437"/>
        <v>0</v>
      </c>
      <c r="CH454" s="424">
        <f t="shared" si="437"/>
        <v>0</v>
      </c>
      <c r="CI454" s="424">
        <f t="shared" si="437"/>
        <v>0</v>
      </c>
      <c r="CJ454" s="424">
        <f t="shared" si="437"/>
        <v>0</v>
      </c>
      <c r="CK454" s="424">
        <f t="shared" si="437"/>
        <v>0</v>
      </c>
      <c r="CL454" s="424">
        <f t="shared" si="437"/>
        <v>0</v>
      </c>
      <c r="CM454" s="424">
        <f t="shared" si="437"/>
        <v>0</v>
      </c>
      <c r="CN454" s="424">
        <f t="shared" si="437"/>
        <v>0</v>
      </c>
      <c r="CO454" s="424">
        <f t="shared" si="437"/>
        <v>0</v>
      </c>
      <c r="CP454" s="424">
        <f t="shared" si="437"/>
        <v>0</v>
      </c>
      <c r="CQ454" s="424">
        <f t="shared" si="437"/>
        <v>0</v>
      </c>
      <c r="CR454" s="424">
        <f t="shared" si="437"/>
        <v>0</v>
      </c>
      <c r="CS454" s="424">
        <f t="shared" si="437"/>
        <v>0</v>
      </c>
      <c r="CT454" s="424">
        <f t="shared" si="437"/>
        <v>0</v>
      </c>
      <c r="CU454" s="424">
        <f t="shared" si="437"/>
        <v>0</v>
      </c>
      <c r="CV454" s="424">
        <f t="shared" si="437"/>
        <v>0</v>
      </c>
      <c r="CW454" s="424">
        <f t="shared" si="437"/>
        <v>0</v>
      </c>
      <c r="CX454" s="424">
        <f t="shared" si="437"/>
        <v>0</v>
      </c>
      <c r="CY454" s="424">
        <f t="shared" si="437"/>
        <v>0</v>
      </c>
      <c r="CZ454" s="424">
        <f t="shared" si="437"/>
        <v>0</v>
      </c>
      <c r="DA454" s="424">
        <f t="shared" si="437"/>
        <v>0</v>
      </c>
      <c r="DB454" s="424">
        <f t="shared" ref="DB454:EG454" si="438">DB84*DB$372</f>
        <v>0</v>
      </c>
      <c r="DC454" s="424">
        <f t="shared" si="438"/>
        <v>0</v>
      </c>
      <c r="DD454" s="424">
        <f t="shared" si="438"/>
        <v>0</v>
      </c>
      <c r="DE454" s="424">
        <f t="shared" si="438"/>
        <v>0</v>
      </c>
      <c r="DF454" s="424">
        <f t="shared" si="438"/>
        <v>0</v>
      </c>
      <c r="DG454" s="424">
        <f t="shared" si="438"/>
        <v>0</v>
      </c>
      <c r="DH454" s="424">
        <f t="shared" si="438"/>
        <v>0</v>
      </c>
      <c r="DI454" s="424">
        <f t="shared" si="438"/>
        <v>0</v>
      </c>
      <c r="DJ454" s="424">
        <f t="shared" si="438"/>
        <v>0</v>
      </c>
      <c r="DK454" s="424">
        <f t="shared" si="438"/>
        <v>0</v>
      </c>
      <c r="DL454" s="424">
        <f t="shared" si="438"/>
        <v>0</v>
      </c>
      <c r="DM454" s="424">
        <f t="shared" si="438"/>
        <v>0</v>
      </c>
      <c r="DN454" s="424">
        <f t="shared" si="438"/>
        <v>0</v>
      </c>
      <c r="DO454" s="424">
        <f t="shared" si="438"/>
        <v>0</v>
      </c>
      <c r="DP454" s="424">
        <f t="shared" si="438"/>
        <v>0</v>
      </c>
      <c r="DQ454" s="424">
        <f t="shared" si="438"/>
        <v>0</v>
      </c>
      <c r="DR454" s="424">
        <f t="shared" si="438"/>
        <v>0</v>
      </c>
      <c r="DS454" s="424">
        <f t="shared" si="438"/>
        <v>0</v>
      </c>
      <c r="DT454" s="424">
        <f t="shared" si="438"/>
        <v>0</v>
      </c>
      <c r="DU454" s="424">
        <f t="shared" si="438"/>
        <v>0</v>
      </c>
      <c r="DV454" s="424">
        <f t="shared" si="438"/>
        <v>0</v>
      </c>
      <c r="DW454" s="424">
        <f t="shared" si="438"/>
        <v>0</v>
      </c>
      <c r="DX454" s="424">
        <f t="shared" si="438"/>
        <v>0</v>
      </c>
      <c r="DY454" s="424">
        <f t="shared" si="438"/>
        <v>0</v>
      </c>
      <c r="DZ454" s="424">
        <f t="shared" si="438"/>
        <v>0</v>
      </c>
      <c r="EA454" s="424">
        <f t="shared" si="438"/>
        <v>0</v>
      </c>
      <c r="EB454" s="424">
        <f t="shared" si="438"/>
        <v>0</v>
      </c>
      <c r="EC454" s="424">
        <f t="shared" si="438"/>
        <v>0</v>
      </c>
      <c r="ED454" s="424">
        <f t="shared" si="438"/>
        <v>0</v>
      </c>
      <c r="EE454" s="424">
        <f t="shared" si="438"/>
        <v>0</v>
      </c>
      <c r="EF454" s="424">
        <f t="shared" si="438"/>
        <v>0</v>
      </c>
      <c r="EG454" s="424">
        <f t="shared" si="438"/>
        <v>0</v>
      </c>
      <c r="EH454" s="424">
        <f t="shared" ref="EH454:EX454" si="439">EH84*EH$372</f>
        <v>0</v>
      </c>
      <c r="EI454" s="424">
        <f t="shared" si="439"/>
        <v>0</v>
      </c>
      <c r="EJ454" s="424">
        <f t="shared" si="439"/>
        <v>0</v>
      </c>
      <c r="EK454" s="424">
        <f t="shared" si="439"/>
        <v>0</v>
      </c>
      <c r="EL454" s="424">
        <f t="shared" si="439"/>
        <v>0</v>
      </c>
      <c r="EM454" s="424">
        <f t="shared" si="439"/>
        <v>0</v>
      </c>
      <c r="EN454" s="424">
        <f t="shared" si="439"/>
        <v>0</v>
      </c>
      <c r="EO454" s="424">
        <f t="shared" si="439"/>
        <v>0</v>
      </c>
      <c r="EP454" s="424">
        <f t="shared" si="439"/>
        <v>0</v>
      </c>
      <c r="EQ454" s="424">
        <f t="shared" si="439"/>
        <v>0</v>
      </c>
      <c r="ER454" s="424">
        <f t="shared" si="439"/>
        <v>0</v>
      </c>
      <c r="ES454" s="424">
        <f t="shared" si="439"/>
        <v>0</v>
      </c>
      <c r="ET454" s="424">
        <f t="shared" si="439"/>
        <v>0</v>
      </c>
      <c r="EU454" s="424">
        <f t="shared" si="439"/>
        <v>0</v>
      </c>
      <c r="EV454" s="424">
        <f t="shared" si="439"/>
        <v>0</v>
      </c>
      <c r="EW454" s="424">
        <f t="shared" si="439"/>
        <v>0</v>
      </c>
      <c r="EX454" s="424">
        <f t="shared" si="439"/>
        <v>0</v>
      </c>
      <c r="EY454" s="425">
        <f t="shared" si="374"/>
        <v>355.29</v>
      </c>
      <c r="EZ454" s="616"/>
      <c r="FA454" s="616"/>
      <c r="FB454" s="616"/>
      <c r="FC454" s="616"/>
      <c r="FD454" s="616"/>
      <c r="FE454" s="616"/>
      <c r="FF454" s="616"/>
      <c r="FG454" s="616"/>
      <c r="FH454" s="616"/>
      <c r="FI454" s="616"/>
      <c r="FJ454" s="616"/>
    </row>
    <row r="455" spans="1:166" s="605" customFormat="1" ht="14.7" customHeight="1" x14ac:dyDescent="0.25">
      <c r="A455" s="310">
        <v>81</v>
      </c>
      <c r="B455" s="311" t="str">
        <f t="shared" si="355"/>
        <v>Суп картофельный с клёцками</v>
      </c>
      <c r="C455" s="483">
        <f t="shared" si="363"/>
        <v>12.56</v>
      </c>
      <c r="D455" s="888"/>
      <c r="E455" s="888"/>
      <c r="F455" s="888"/>
      <c r="G455" s="889"/>
      <c r="H455" s="680">
        <f t="shared" si="356"/>
        <v>108</v>
      </c>
      <c r="I455" s="1209">
        <f t="shared" si="357"/>
        <v>-0.01</v>
      </c>
      <c r="J455" s="424">
        <f t="shared" ref="J455:AO455" si="440">J85*J$372</f>
        <v>0</v>
      </c>
      <c r="K455" s="424">
        <f t="shared" si="440"/>
        <v>0</v>
      </c>
      <c r="L455" s="424">
        <f t="shared" si="440"/>
        <v>0</v>
      </c>
      <c r="M455" s="424">
        <f t="shared" si="440"/>
        <v>0</v>
      </c>
      <c r="N455" s="424">
        <f t="shared" si="440"/>
        <v>0</v>
      </c>
      <c r="O455" s="424">
        <f t="shared" si="440"/>
        <v>0</v>
      </c>
      <c r="P455" s="424">
        <f t="shared" si="440"/>
        <v>0</v>
      </c>
      <c r="Q455" s="424">
        <f t="shared" si="440"/>
        <v>0</v>
      </c>
      <c r="R455" s="424">
        <f t="shared" si="440"/>
        <v>0</v>
      </c>
      <c r="S455" s="424">
        <f t="shared" si="440"/>
        <v>0</v>
      </c>
      <c r="T455" s="424">
        <f t="shared" si="440"/>
        <v>0</v>
      </c>
      <c r="U455" s="424">
        <f t="shared" si="440"/>
        <v>2.5099999999999998</v>
      </c>
      <c r="V455" s="424">
        <f t="shared" si="440"/>
        <v>1.62</v>
      </c>
      <c r="W455" s="424">
        <f t="shared" si="440"/>
        <v>0</v>
      </c>
      <c r="X455" s="424">
        <f t="shared" si="440"/>
        <v>0</v>
      </c>
      <c r="Y455" s="424">
        <f t="shared" si="440"/>
        <v>1.17</v>
      </c>
      <c r="Z455" s="424">
        <f t="shared" si="440"/>
        <v>0</v>
      </c>
      <c r="AA455" s="424">
        <f t="shared" si="440"/>
        <v>0</v>
      </c>
      <c r="AB455" s="424">
        <f t="shared" si="440"/>
        <v>0</v>
      </c>
      <c r="AC455" s="424">
        <f t="shared" si="440"/>
        <v>0</v>
      </c>
      <c r="AD455" s="424">
        <f t="shared" si="440"/>
        <v>0</v>
      </c>
      <c r="AE455" s="424">
        <f t="shared" si="440"/>
        <v>1</v>
      </c>
      <c r="AF455" s="424">
        <f t="shared" si="440"/>
        <v>0</v>
      </c>
      <c r="AG455" s="424">
        <f t="shared" si="440"/>
        <v>0</v>
      </c>
      <c r="AH455" s="424">
        <f t="shared" si="440"/>
        <v>3.34</v>
      </c>
      <c r="AI455" s="424">
        <f t="shared" si="440"/>
        <v>0</v>
      </c>
      <c r="AJ455" s="424">
        <f t="shared" si="440"/>
        <v>0</v>
      </c>
      <c r="AK455" s="424">
        <f t="shared" si="440"/>
        <v>0.6</v>
      </c>
      <c r="AL455" s="424">
        <f t="shared" si="440"/>
        <v>0</v>
      </c>
      <c r="AM455" s="424">
        <f t="shared" si="440"/>
        <v>0</v>
      </c>
      <c r="AN455" s="424">
        <f t="shared" si="440"/>
        <v>0</v>
      </c>
      <c r="AO455" s="424">
        <f t="shared" si="440"/>
        <v>0</v>
      </c>
      <c r="AP455" s="424">
        <f t="shared" ref="AP455:BU455" si="441">AP85*AP$372</f>
        <v>0</v>
      </c>
      <c r="AQ455" s="424">
        <f t="shared" si="441"/>
        <v>0.63</v>
      </c>
      <c r="AR455" s="424">
        <f t="shared" si="441"/>
        <v>0</v>
      </c>
      <c r="AS455" s="424">
        <f t="shared" si="441"/>
        <v>0</v>
      </c>
      <c r="AT455" s="424">
        <f t="shared" si="441"/>
        <v>0</v>
      </c>
      <c r="AU455" s="424">
        <f t="shared" si="441"/>
        <v>0.6</v>
      </c>
      <c r="AV455" s="424">
        <f t="shared" si="441"/>
        <v>0</v>
      </c>
      <c r="AW455" s="424">
        <f t="shared" si="441"/>
        <v>0</v>
      </c>
      <c r="AX455" s="424">
        <f t="shared" si="441"/>
        <v>0</v>
      </c>
      <c r="AY455" s="424">
        <f t="shared" si="441"/>
        <v>0</v>
      </c>
      <c r="AZ455" s="424">
        <f t="shared" si="441"/>
        <v>0</v>
      </c>
      <c r="BA455" s="424">
        <f t="shared" si="441"/>
        <v>0</v>
      </c>
      <c r="BB455" s="424">
        <f t="shared" si="441"/>
        <v>0</v>
      </c>
      <c r="BC455" s="424">
        <f t="shared" si="441"/>
        <v>0</v>
      </c>
      <c r="BD455" s="424">
        <f t="shared" si="441"/>
        <v>0</v>
      </c>
      <c r="BE455" s="424">
        <f t="shared" si="441"/>
        <v>0</v>
      </c>
      <c r="BF455" s="424">
        <f t="shared" si="441"/>
        <v>0</v>
      </c>
      <c r="BG455" s="424">
        <f t="shared" si="441"/>
        <v>0</v>
      </c>
      <c r="BH455" s="424">
        <f t="shared" si="441"/>
        <v>0</v>
      </c>
      <c r="BI455" s="424">
        <f t="shared" si="441"/>
        <v>0</v>
      </c>
      <c r="BJ455" s="424">
        <f t="shared" si="441"/>
        <v>0</v>
      </c>
      <c r="BK455" s="424">
        <f t="shared" si="441"/>
        <v>0</v>
      </c>
      <c r="BL455" s="424">
        <f t="shared" si="441"/>
        <v>0</v>
      </c>
      <c r="BM455" s="424">
        <f t="shared" si="441"/>
        <v>0</v>
      </c>
      <c r="BN455" s="424">
        <f t="shared" si="441"/>
        <v>0</v>
      </c>
      <c r="BO455" s="424">
        <f t="shared" si="441"/>
        <v>0</v>
      </c>
      <c r="BP455" s="424">
        <f t="shared" si="441"/>
        <v>0</v>
      </c>
      <c r="BQ455" s="424">
        <f t="shared" si="441"/>
        <v>0</v>
      </c>
      <c r="BR455" s="424">
        <f t="shared" si="441"/>
        <v>0</v>
      </c>
      <c r="BS455" s="424">
        <f t="shared" si="441"/>
        <v>0.72</v>
      </c>
      <c r="BT455" s="424">
        <f t="shared" si="441"/>
        <v>0</v>
      </c>
      <c r="BU455" s="424">
        <f t="shared" si="441"/>
        <v>0</v>
      </c>
      <c r="BV455" s="424">
        <f t="shared" ref="BV455:DA455" si="442">BV85*BV$372</f>
        <v>0</v>
      </c>
      <c r="BW455" s="424">
        <f t="shared" si="442"/>
        <v>0</v>
      </c>
      <c r="BX455" s="424">
        <f t="shared" si="442"/>
        <v>0</v>
      </c>
      <c r="BY455" s="424">
        <f t="shared" si="442"/>
        <v>0</v>
      </c>
      <c r="BZ455" s="424">
        <f t="shared" si="442"/>
        <v>0</v>
      </c>
      <c r="CA455" s="424">
        <f t="shared" si="442"/>
        <v>0</v>
      </c>
      <c r="CB455" s="424">
        <f t="shared" si="442"/>
        <v>0</v>
      </c>
      <c r="CC455" s="424">
        <f t="shared" si="442"/>
        <v>0</v>
      </c>
      <c r="CD455" s="424">
        <f t="shared" si="442"/>
        <v>0</v>
      </c>
      <c r="CE455" s="424">
        <f t="shared" si="442"/>
        <v>0</v>
      </c>
      <c r="CF455" s="424">
        <f t="shared" si="442"/>
        <v>0.3</v>
      </c>
      <c r="CG455" s="424">
        <f t="shared" si="442"/>
        <v>0</v>
      </c>
      <c r="CH455" s="424">
        <f t="shared" si="442"/>
        <v>0</v>
      </c>
      <c r="CI455" s="424">
        <f t="shared" si="442"/>
        <v>0</v>
      </c>
      <c r="CJ455" s="424">
        <f t="shared" si="442"/>
        <v>0</v>
      </c>
      <c r="CK455" s="424">
        <f t="shared" si="442"/>
        <v>0</v>
      </c>
      <c r="CL455" s="424">
        <f t="shared" si="442"/>
        <v>0</v>
      </c>
      <c r="CM455" s="424">
        <f t="shared" si="442"/>
        <v>0</v>
      </c>
      <c r="CN455" s="424">
        <f t="shared" si="442"/>
        <v>0</v>
      </c>
      <c r="CO455" s="424">
        <f t="shared" si="442"/>
        <v>0</v>
      </c>
      <c r="CP455" s="424">
        <f t="shared" si="442"/>
        <v>0</v>
      </c>
      <c r="CQ455" s="424">
        <f t="shared" si="442"/>
        <v>0</v>
      </c>
      <c r="CR455" s="424">
        <f t="shared" si="442"/>
        <v>0</v>
      </c>
      <c r="CS455" s="424">
        <f t="shared" si="442"/>
        <v>0.01</v>
      </c>
      <c r="CT455" s="424">
        <f t="shared" si="442"/>
        <v>0</v>
      </c>
      <c r="CU455" s="424">
        <f t="shared" si="442"/>
        <v>0</v>
      </c>
      <c r="CV455" s="424">
        <f t="shared" si="442"/>
        <v>0</v>
      </c>
      <c r="CW455" s="424">
        <f t="shared" si="442"/>
        <v>0</v>
      </c>
      <c r="CX455" s="424">
        <f t="shared" si="442"/>
        <v>0</v>
      </c>
      <c r="CY455" s="424">
        <f t="shared" si="442"/>
        <v>0</v>
      </c>
      <c r="CZ455" s="424">
        <f t="shared" si="442"/>
        <v>0</v>
      </c>
      <c r="DA455" s="424">
        <f t="shared" si="442"/>
        <v>0</v>
      </c>
      <c r="DB455" s="424">
        <f t="shared" ref="DB455:EG455" si="443">DB85*DB$372</f>
        <v>0</v>
      </c>
      <c r="DC455" s="424">
        <f t="shared" si="443"/>
        <v>0.06</v>
      </c>
      <c r="DD455" s="424">
        <f t="shared" si="443"/>
        <v>0</v>
      </c>
      <c r="DE455" s="424">
        <f t="shared" si="443"/>
        <v>0</v>
      </c>
      <c r="DF455" s="424">
        <f t="shared" si="443"/>
        <v>0</v>
      </c>
      <c r="DG455" s="424">
        <f t="shared" si="443"/>
        <v>0</v>
      </c>
      <c r="DH455" s="424">
        <f t="shared" si="443"/>
        <v>0</v>
      </c>
      <c r="DI455" s="424">
        <f t="shared" si="443"/>
        <v>0</v>
      </c>
      <c r="DJ455" s="424">
        <f t="shared" si="443"/>
        <v>0</v>
      </c>
      <c r="DK455" s="424">
        <f t="shared" si="443"/>
        <v>0</v>
      </c>
      <c r="DL455" s="424">
        <f t="shared" si="443"/>
        <v>0</v>
      </c>
      <c r="DM455" s="424">
        <f t="shared" si="443"/>
        <v>0</v>
      </c>
      <c r="DN455" s="424">
        <f t="shared" si="443"/>
        <v>0</v>
      </c>
      <c r="DO455" s="424">
        <f t="shared" si="443"/>
        <v>0</v>
      </c>
      <c r="DP455" s="424">
        <f t="shared" si="443"/>
        <v>0</v>
      </c>
      <c r="DQ455" s="424">
        <f t="shared" si="443"/>
        <v>0</v>
      </c>
      <c r="DR455" s="424">
        <f t="shared" si="443"/>
        <v>0</v>
      </c>
      <c r="DS455" s="424">
        <f t="shared" si="443"/>
        <v>0</v>
      </c>
      <c r="DT455" s="424">
        <f t="shared" si="443"/>
        <v>0</v>
      </c>
      <c r="DU455" s="424">
        <f t="shared" si="443"/>
        <v>0</v>
      </c>
      <c r="DV455" s="424">
        <f t="shared" si="443"/>
        <v>0</v>
      </c>
      <c r="DW455" s="424">
        <f t="shared" si="443"/>
        <v>0</v>
      </c>
      <c r="DX455" s="424">
        <f t="shared" si="443"/>
        <v>0</v>
      </c>
      <c r="DY455" s="424">
        <f t="shared" si="443"/>
        <v>0</v>
      </c>
      <c r="DZ455" s="424">
        <f t="shared" si="443"/>
        <v>0</v>
      </c>
      <c r="EA455" s="424">
        <f t="shared" si="443"/>
        <v>0</v>
      </c>
      <c r="EB455" s="424">
        <f t="shared" si="443"/>
        <v>0</v>
      </c>
      <c r="EC455" s="424">
        <f t="shared" si="443"/>
        <v>0</v>
      </c>
      <c r="ED455" s="424">
        <f t="shared" si="443"/>
        <v>0</v>
      </c>
      <c r="EE455" s="424">
        <f t="shared" si="443"/>
        <v>0</v>
      </c>
      <c r="EF455" s="424">
        <f t="shared" si="443"/>
        <v>0</v>
      </c>
      <c r="EG455" s="424">
        <f t="shared" si="443"/>
        <v>0</v>
      </c>
      <c r="EH455" s="424">
        <f t="shared" ref="EH455:EX455" si="444">EH85*EH$372</f>
        <v>0</v>
      </c>
      <c r="EI455" s="424">
        <f t="shared" si="444"/>
        <v>0</v>
      </c>
      <c r="EJ455" s="424">
        <f t="shared" si="444"/>
        <v>0</v>
      </c>
      <c r="EK455" s="424">
        <f t="shared" si="444"/>
        <v>0</v>
      </c>
      <c r="EL455" s="424">
        <f t="shared" si="444"/>
        <v>0</v>
      </c>
      <c r="EM455" s="424">
        <f t="shared" si="444"/>
        <v>0</v>
      </c>
      <c r="EN455" s="424">
        <f t="shared" si="444"/>
        <v>0</v>
      </c>
      <c r="EO455" s="424">
        <f t="shared" si="444"/>
        <v>0</v>
      </c>
      <c r="EP455" s="424">
        <f t="shared" si="444"/>
        <v>0</v>
      </c>
      <c r="EQ455" s="424">
        <f t="shared" si="444"/>
        <v>0</v>
      </c>
      <c r="ER455" s="424">
        <f t="shared" si="444"/>
        <v>0</v>
      </c>
      <c r="ES455" s="424">
        <f t="shared" si="444"/>
        <v>0</v>
      </c>
      <c r="ET455" s="424">
        <f t="shared" si="444"/>
        <v>0</v>
      </c>
      <c r="EU455" s="424">
        <f t="shared" si="444"/>
        <v>0</v>
      </c>
      <c r="EV455" s="424">
        <f t="shared" si="444"/>
        <v>0</v>
      </c>
      <c r="EW455" s="424">
        <f t="shared" si="444"/>
        <v>0</v>
      </c>
      <c r="EX455" s="424">
        <f t="shared" si="444"/>
        <v>0</v>
      </c>
      <c r="EY455" s="425">
        <f t="shared" si="374"/>
        <v>12.56</v>
      </c>
      <c r="EZ455" s="616"/>
      <c r="FA455" s="616"/>
      <c r="FB455" s="616"/>
      <c r="FC455" s="616"/>
      <c r="FD455" s="616"/>
      <c r="FE455" s="616"/>
      <c r="FF455" s="616"/>
      <c r="FG455" s="616"/>
      <c r="FH455" s="616"/>
      <c r="FI455" s="616"/>
      <c r="FJ455" s="616"/>
    </row>
    <row r="456" spans="1:166" ht="14.7" customHeight="1" x14ac:dyDescent="0.25">
      <c r="A456" s="310">
        <v>82</v>
      </c>
      <c r="B456" s="311" t="str">
        <f t="shared" si="355"/>
        <v>Клёцки</v>
      </c>
      <c r="C456" s="483">
        <f t="shared" si="363"/>
        <v>90.2</v>
      </c>
      <c r="D456" s="888"/>
      <c r="E456" s="888"/>
      <c r="F456" s="888"/>
      <c r="G456" s="889"/>
      <c r="H456" s="680">
        <f t="shared" si="356"/>
        <v>109</v>
      </c>
      <c r="I456" s="1209">
        <f t="shared" si="357"/>
        <v>0</v>
      </c>
      <c r="J456" s="424">
        <f t="shared" ref="J456:AO456" si="445">J86*J$372</f>
        <v>0</v>
      </c>
      <c r="K456" s="424">
        <f t="shared" si="445"/>
        <v>0</v>
      </c>
      <c r="L456" s="424">
        <f t="shared" si="445"/>
        <v>0</v>
      </c>
      <c r="M456" s="424">
        <f t="shared" si="445"/>
        <v>0</v>
      </c>
      <c r="N456" s="424">
        <f t="shared" si="445"/>
        <v>0</v>
      </c>
      <c r="O456" s="424">
        <f t="shared" si="445"/>
        <v>0</v>
      </c>
      <c r="P456" s="424">
        <f t="shared" si="445"/>
        <v>0</v>
      </c>
      <c r="Q456" s="424">
        <f t="shared" si="445"/>
        <v>0</v>
      </c>
      <c r="R456" s="424">
        <f t="shared" si="445"/>
        <v>0</v>
      </c>
      <c r="S456" s="424">
        <f t="shared" si="445"/>
        <v>0</v>
      </c>
      <c r="T456" s="424">
        <f t="shared" si="445"/>
        <v>0</v>
      </c>
      <c r="U456" s="424">
        <f t="shared" si="445"/>
        <v>38.64</v>
      </c>
      <c r="V456" s="424">
        <f t="shared" si="445"/>
        <v>24.85</v>
      </c>
      <c r="W456" s="424">
        <f t="shared" si="445"/>
        <v>0</v>
      </c>
      <c r="X456" s="424">
        <f t="shared" si="445"/>
        <v>0</v>
      </c>
      <c r="Y456" s="424">
        <f t="shared" si="445"/>
        <v>0</v>
      </c>
      <c r="Z456" s="424">
        <f t="shared" si="445"/>
        <v>0</v>
      </c>
      <c r="AA456" s="424">
        <f t="shared" si="445"/>
        <v>0</v>
      </c>
      <c r="AB456" s="424">
        <f t="shared" si="445"/>
        <v>0</v>
      </c>
      <c r="AC456" s="424">
        <f t="shared" si="445"/>
        <v>0</v>
      </c>
      <c r="AD456" s="424">
        <f t="shared" si="445"/>
        <v>0</v>
      </c>
      <c r="AE456" s="424">
        <f t="shared" si="445"/>
        <v>15.4</v>
      </c>
      <c r="AF456" s="424">
        <f t="shared" si="445"/>
        <v>0</v>
      </c>
      <c r="AG456" s="424">
        <f t="shared" si="445"/>
        <v>0</v>
      </c>
      <c r="AH456" s="424">
        <f t="shared" si="445"/>
        <v>0</v>
      </c>
      <c r="AI456" s="424">
        <f t="shared" si="445"/>
        <v>0</v>
      </c>
      <c r="AJ456" s="424">
        <f t="shared" si="445"/>
        <v>0</v>
      </c>
      <c r="AK456" s="424">
        <f t="shared" si="445"/>
        <v>0</v>
      </c>
      <c r="AL456" s="424">
        <f t="shared" si="445"/>
        <v>0</v>
      </c>
      <c r="AM456" s="424">
        <f t="shared" si="445"/>
        <v>0</v>
      </c>
      <c r="AN456" s="424">
        <f t="shared" si="445"/>
        <v>0</v>
      </c>
      <c r="AO456" s="424">
        <f t="shared" si="445"/>
        <v>0</v>
      </c>
      <c r="AP456" s="424">
        <f t="shared" ref="AP456:BU456" si="446">AP86*AP$372</f>
        <v>0</v>
      </c>
      <c r="AQ456" s="424">
        <f t="shared" si="446"/>
        <v>0</v>
      </c>
      <c r="AR456" s="424">
        <f t="shared" si="446"/>
        <v>0</v>
      </c>
      <c r="AS456" s="424">
        <f t="shared" si="446"/>
        <v>0</v>
      </c>
      <c r="AT456" s="424">
        <f t="shared" si="446"/>
        <v>0</v>
      </c>
      <c r="AU456" s="424">
        <f t="shared" si="446"/>
        <v>0</v>
      </c>
      <c r="AV456" s="424">
        <f t="shared" si="446"/>
        <v>0</v>
      </c>
      <c r="AW456" s="424">
        <f t="shared" si="446"/>
        <v>0</v>
      </c>
      <c r="AX456" s="424">
        <f t="shared" si="446"/>
        <v>0</v>
      </c>
      <c r="AY456" s="424">
        <f t="shared" si="446"/>
        <v>0</v>
      </c>
      <c r="AZ456" s="424">
        <f t="shared" si="446"/>
        <v>0</v>
      </c>
      <c r="BA456" s="424">
        <f t="shared" si="446"/>
        <v>0</v>
      </c>
      <c r="BB456" s="424">
        <f t="shared" si="446"/>
        <v>0</v>
      </c>
      <c r="BC456" s="424">
        <f t="shared" si="446"/>
        <v>0</v>
      </c>
      <c r="BD456" s="424">
        <f t="shared" si="446"/>
        <v>0</v>
      </c>
      <c r="BE456" s="424">
        <f t="shared" si="446"/>
        <v>0</v>
      </c>
      <c r="BF456" s="424">
        <f t="shared" si="446"/>
        <v>0</v>
      </c>
      <c r="BG456" s="424">
        <f t="shared" si="446"/>
        <v>0</v>
      </c>
      <c r="BH456" s="424">
        <f t="shared" si="446"/>
        <v>0</v>
      </c>
      <c r="BI456" s="424">
        <f t="shared" si="446"/>
        <v>0</v>
      </c>
      <c r="BJ456" s="424">
        <f t="shared" si="446"/>
        <v>0</v>
      </c>
      <c r="BK456" s="424">
        <f t="shared" si="446"/>
        <v>0</v>
      </c>
      <c r="BL456" s="424">
        <f t="shared" si="446"/>
        <v>0</v>
      </c>
      <c r="BM456" s="424">
        <f t="shared" si="446"/>
        <v>0</v>
      </c>
      <c r="BN456" s="424">
        <f t="shared" si="446"/>
        <v>0</v>
      </c>
      <c r="BO456" s="424">
        <f t="shared" si="446"/>
        <v>0</v>
      </c>
      <c r="BP456" s="424">
        <f t="shared" si="446"/>
        <v>0</v>
      </c>
      <c r="BQ456" s="424">
        <f t="shared" si="446"/>
        <v>0</v>
      </c>
      <c r="BR456" s="424">
        <f t="shared" si="446"/>
        <v>0</v>
      </c>
      <c r="BS456" s="424">
        <f t="shared" si="446"/>
        <v>11.09</v>
      </c>
      <c r="BT456" s="424">
        <f t="shared" si="446"/>
        <v>0</v>
      </c>
      <c r="BU456" s="424">
        <f t="shared" si="446"/>
        <v>0</v>
      </c>
      <c r="BV456" s="424">
        <f t="shared" ref="BV456:DA456" si="447">BV86*BV$372</f>
        <v>0</v>
      </c>
      <c r="BW456" s="424">
        <f t="shared" si="447"/>
        <v>0</v>
      </c>
      <c r="BX456" s="424">
        <f t="shared" si="447"/>
        <v>0</v>
      </c>
      <c r="BY456" s="424">
        <f t="shared" si="447"/>
        <v>0</v>
      </c>
      <c r="BZ456" s="424">
        <f t="shared" si="447"/>
        <v>0</v>
      </c>
      <c r="CA456" s="424">
        <f t="shared" si="447"/>
        <v>0</v>
      </c>
      <c r="CB456" s="424">
        <f t="shared" si="447"/>
        <v>0</v>
      </c>
      <c r="CC456" s="424">
        <f t="shared" si="447"/>
        <v>0</v>
      </c>
      <c r="CD456" s="424">
        <f t="shared" si="447"/>
        <v>0</v>
      </c>
      <c r="CE456" s="424">
        <f t="shared" si="447"/>
        <v>0</v>
      </c>
      <c r="CF456" s="424">
        <f t="shared" si="447"/>
        <v>0</v>
      </c>
      <c r="CG456" s="424">
        <f t="shared" si="447"/>
        <v>0</v>
      </c>
      <c r="CH456" s="424">
        <f t="shared" si="447"/>
        <v>0</v>
      </c>
      <c r="CI456" s="424">
        <f t="shared" si="447"/>
        <v>0</v>
      </c>
      <c r="CJ456" s="424">
        <f t="shared" si="447"/>
        <v>0</v>
      </c>
      <c r="CK456" s="424">
        <f t="shared" si="447"/>
        <v>0</v>
      </c>
      <c r="CL456" s="424">
        <f t="shared" si="447"/>
        <v>0</v>
      </c>
      <c r="CM456" s="424">
        <f t="shared" si="447"/>
        <v>0</v>
      </c>
      <c r="CN456" s="424">
        <f t="shared" si="447"/>
        <v>0</v>
      </c>
      <c r="CO456" s="424">
        <f t="shared" si="447"/>
        <v>0</v>
      </c>
      <c r="CP456" s="424">
        <f t="shared" si="447"/>
        <v>0</v>
      </c>
      <c r="CQ456" s="424">
        <f t="shared" si="447"/>
        <v>0</v>
      </c>
      <c r="CR456" s="424">
        <f t="shared" si="447"/>
        <v>0</v>
      </c>
      <c r="CS456" s="424">
        <f t="shared" si="447"/>
        <v>0</v>
      </c>
      <c r="CT456" s="424">
        <f t="shared" si="447"/>
        <v>0</v>
      </c>
      <c r="CU456" s="424">
        <f t="shared" si="447"/>
        <v>0</v>
      </c>
      <c r="CV456" s="424">
        <f t="shared" si="447"/>
        <v>0</v>
      </c>
      <c r="CW456" s="424">
        <f t="shared" si="447"/>
        <v>0</v>
      </c>
      <c r="CX456" s="424">
        <f t="shared" si="447"/>
        <v>0</v>
      </c>
      <c r="CY456" s="424">
        <f t="shared" si="447"/>
        <v>0</v>
      </c>
      <c r="CZ456" s="424">
        <f t="shared" si="447"/>
        <v>0</v>
      </c>
      <c r="DA456" s="424">
        <f t="shared" si="447"/>
        <v>0</v>
      </c>
      <c r="DB456" s="424">
        <f t="shared" ref="DB456:EG456" si="448">DB86*DB$372</f>
        <v>0</v>
      </c>
      <c r="DC456" s="424">
        <f t="shared" si="448"/>
        <v>0.22</v>
      </c>
      <c r="DD456" s="424">
        <f t="shared" si="448"/>
        <v>0</v>
      </c>
      <c r="DE456" s="424">
        <f t="shared" si="448"/>
        <v>0</v>
      </c>
      <c r="DF456" s="424">
        <f t="shared" si="448"/>
        <v>0</v>
      </c>
      <c r="DG456" s="424">
        <f t="shared" si="448"/>
        <v>0</v>
      </c>
      <c r="DH456" s="424">
        <f t="shared" si="448"/>
        <v>0</v>
      </c>
      <c r="DI456" s="424">
        <f t="shared" si="448"/>
        <v>0</v>
      </c>
      <c r="DJ456" s="424">
        <f t="shared" si="448"/>
        <v>0</v>
      </c>
      <c r="DK456" s="424">
        <f t="shared" si="448"/>
        <v>0</v>
      </c>
      <c r="DL456" s="424">
        <f t="shared" si="448"/>
        <v>0</v>
      </c>
      <c r="DM456" s="424">
        <f t="shared" si="448"/>
        <v>0</v>
      </c>
      <c r="DN456" s="424">
        <f t="shared" si="448"/>
        <v>0</v>
      </c>
      <c r="DO456" s="424">
        <f t="shared" si="448"/>
        <v>0</v>
      </c>
      <c r="DP456" s="424">
        <f t="shared" si="448"/>
        <v>0</v>
      </c>
      <c r="DQ456" s="424">
        <f t="shared" si="448"/>
        <v>0</v>
      </c>
      <c r="DR456" s="424">
        <f t="shared" si="448"/>
        <v>0</v>
      </c>
      <c r="DS456" s="424">
        <f t="shared" si="448"/>
        <v>0</v>
      </c>
      <c r="DT456" s="424">
        <f t="shared" si="448"/>
        <v>0</v>
      </c>
      <c r="DU456" s="424">
        <f t="shared" si="448"/>
        <v>0</v>
      </c>
      <c r="DV456" s="424">
        <f t="shared" si="448"/>
        <v>0</v>
      </c>
      <c r="DW456" s="424">
        <f t="shared" si="448"/>
        <v>0</v>
      </c>
      <c r="DX456" s="424">
        <f t="shared" si="448"/>
        <v>0</v>
      </c>
      <c r="DY456" s="424">
        <f t="shared" si="448"/>
        <v>0</v>
      </c>
      <c r="DZ456" s="424">
        <f t="shared" si="448"/>
        <v>0</v>
      </c>
      <c r="EA456" s="424">
        <f t="shared" si="448"/>
        <v>0</v>
      </c>
      <c r="EB456" s="424">
        <f t="shared" si="448"/>
        <v>0</v>
      </c>
      <c r="EC456" s="424">
        <f t="shared" si="448"/>
        <v>0</v>
      </c>
      <c r="ED456" s="424">
        <f t="shared" si="448"/>
        <v>0</v>
      </c>
      <c r="EE456" s="424">
        <f t="shared" si="448"/>
        <v>0</v>
      </c>
      <c r="EF456" s="424">
        <f t="shared" si="448"/>
        <v>0</v>
      </c>
      <c r="EG456" s="424">
        <f t="shared" si="448"/>
        <v>0</v>
      </c>
      <c r="EH456" s="424">
        <f t="shared" ref="EH456:EX456" si="449">EH86*EH$372</f>
        <v>0</v>
      </c>
      <c r="EI456" s="424">
        <f t="shared" si="449"/>
        <v>0</v>
      </c>
      <c r="EJ456" s="424">
        <f t="shared" si="449"/>
        <v>0</v>
      </c>
      <c r="EK456" s="424">
        <f t="shared" si="449"/>
        <v>0</v>
      </c>
      <c r="EL456" s="424">
        <f t="shared" si="449"/>
        <v>0</v>
      </c>
      <c r="EM456" s="424">
        <f t="shared" si="449"/>
        <v>0</v>
      </c>
      <c r="EN456" s="424">
        <f t="shared" si="449"/>
        <v>0</v>
      </c>
      <c r="EO456" s="424">
        <f t="shared" si="449"/>
        <v>0</v>
      </c>
      <c r="EP456" s="424">
        <f t="shared" si="449"/>
        <v>0</v>
      </c>
      <c r="EQ456" s="424">
        <f t="shared" si="449"/>
        <v>0</v>
      </c>
      <c r="ER456" s="424">
        <f t="shared" si="449"/>
        <v>0</v>
      </c>
      <c r="ES456" s="424">
        <f t="shared" si="449"/>
        <v>0</v>
      </c>
      <c r="ET456" s="424">
        <f t="shared" si="449"/>
        <v>0</v>
      </c>
      <c r="EU456" s="424">
        <f t="shared" si="449"/>
        <v>0</v>
      </c>
      <c r="EV456" s="424">
        <f t="shared" si="449"/>
        <v>0</v>
      </c>
      <c r="EW456" s="424">
        <f t="shared" si="449"/>
        <v>0</v>
      </c>
      <c r="EX456" s="424">
        <f t="shared" si="449"/>
        <v>0</v>
      </c>
      <c r="EY456" s="425">
        <f t="shared" si="374"/>
        <v>90.2</v>
      </c>
    </row>
    <row r="457" spans="1:166" ht="14.7" customHeight="1" x14ac:dyDescent="0.25">
      <c r="A457" s="310">
        <v>83</v>
      </c>
      <c r="B457" s="311" t="str">
        <f t="shared" si="355"/>
        <v>Суп с макаронными изделиями на бульоне из птицы</v>
      </c>
      <c r="C457" s="483">
        <f t="shared" si="363"/>
        <v>5.0199999999999996</v>
      </c>
      <c r="D457" s="888"/>
      <c r="E457" s="888"/>
      <c r="F457" s="888"/>
      <c r="G457" s="889"/>
      <c r="H457" s="680">
        <f t="shared" si="356"/>
        <v>111</v>
      </c>
      <c r="I457" s="1209">
        <f t="shared" si="357"/>
        <v>-0.01</v>
      </c>
      <c r="J457" s="424">
        <f t="shared" ref="J457:AO457" si="450">J87*J$372</f>
        <v>0</v>
      </c>
      <c r="K457" s="424">
        <f t="shared" si="450"/>
        <v>0</v>
      </c>
      <c r="L457" s="424">
        <f t="shared" si="450"/>
        <v>0</v>
      </c>
      <c r="M457" s="424">
        <f t="shared" si="450"/>
        <v>0</v>
      </c>
      <c r="N457" s="424">
        <f t="shared" si="450"/>
        <v>0</v>
      </c>
      <c r="O457" s="424">
        <f t="shared" si="450"/>
        <v>0</v>
      </c>
      <c r="P457" s="424">
        <f t="shared" si="450"/>
        <v>0</v>
      </c>
      <c r="Q457" s="424">
        <f t="shared" si="450"/>
        <v>0</v>
      </c>
      <c r="R457" s="424">
        <f t="shared" si="450"/>
        <v>0</v>
      </c>
      <c r="S457" s="424">
        <f t="shared" si="450"/>
        <v>0</v>
      </c>
      <c r="T457" s="424">
        <f t="shared" si="450"/>
        <v>0</v>
      </c>
      <c r="U457" s="424">
        <f t="shared" si="450"/>
        <v>0</v>
      </c>
      <c r="V457" s="424">
        <f t="shared" si="450"/>
        <v>0</v>
      </c>
      <c r="W457" s="424">
        <f t="shared" si="450"/>
        <v>0</v>
      </c>
      <c r="X457" s="424">
        <f t="shared" si="450"/>
        <v>0</v>
      </c>
      <c r="Y457" s="424">
        <f t="shared" si="450"/>
        <v>1.17</v>
      </c>
      <c r="Z457" s="424">
        <f t="shared" si="450"/>
        <v>0</v>
      </c>
      <c r="AA457" s="424">
        <f t="shared" si="450"/>
        <v>0</v>
      </c>
      <c r="AB457" s="424">
        <f t="shared" si="450"/>
        <v>0</v>
      </c>
      <c r="AC457" s="424">
        <f t="shared" si="450"/>
        <v>0</v>
      </c>
      <c r="AD457" s="424">
        <f t="shared" si="450"/>
        <v>0</v>
      </c>
      <c r="AE457" s="424">
        <f t="shared" si="450"/>
        <v>0</v>
      </c>
      <c r="AF457" s="424">
        <f t="shared" si="450"/>
        <v>0</v>
      </c>
      <c r="AG457" s="424">
        <f t="shared" si="450"/>
        <v>0</v>
      </c>
      <c r="AH457" s="424">
        <f t="shared" si="450"/>
        <v>0</v>
      </c>
      <c r="AI457" s="424">
        <f t="shared" si="450"/>
        <v>0</v>
      </c>
      <c r="AJ457" s="424">
        <f t="shared" si="450"/>
        <v>0</v>
      </c>
      <c r="AK457" s="424">
        <f t="shared" si="450"/>
        <v>0.6</v>
      </c>
      <c r="AL457" s="424">
        <f t="shared" si="450"/>
        <v>0</v>
      </c>
      <c r="AM457" s="424">
        <f t="shared" si="450"/>
        <v>0</v>
      </c>
      <c r="AN457" s="424">
        <f t="shared" si="450"/>
        <v>0</v>
      </c>
      <c r="AO457" s="424">
        <f t="shared" si="450"/>
        <v>0</v>
      </c>
      <c r="AP457" s="424">
        <f t="shared" ref="AP457:BU457" si="451">AP87*AP$372</f>
        <v>0</v>
      </c>
      <c r="AQ457" s="424">
        <f t="shared" si="451"/>
        <v>0.63</v>
      </c>
      <c r="AR457" s="424">
        <f t="shared" si="451"/>
        <v>0</v>
      </c>
      <c r="AS457" s="424">
        <f t="shared" si="451"/>
        <v>0</v>
      </c>
      <c r="AT457" s="424">
        <f t="shared" si="451"/>
        <v>0</v>
      </c>
      <c r="AU457" s="424">
        <f t="shared" si="451"/>
        <v>0.6</v>
      </c>
      <c r="AV457" s="424">
        <f t="shared" si="451"/>
        <v>0</v>
      </c>
      <c r="AW457" s="424">
        <f t="shared" si="451"/>
        <v>0</v>
      </c>
      <c r="AX457" s="424">
        <f t="shared" si="451"/>
        <v>0</v>
      </c>
      <c r="AY457" s="424">
        <f t="shared" si="451"/>
        <v>0</v>
      </c>
      <c r="AZ457" s="424">
        <f t="shared" si="451"/>
        <v>0</v>
      </c>
      <c r="BA457" s="424">
        <f t="shared" si="451"/>
        <v>0</v>
      </c>
      <c r="BB457" s="424">
        <f t="shared" si="451"/>
        <v>0</v>
      </c>
      <c r="BC457" s="424">
        <f t="shared" si="451"/>
        <v>0</v>
      </c>
      <c r="BD457" s="424">
        <f t="shared" si="451"/>
        <v>0</v>
      </c>
      <c r="BE457" s="424">
        <f t="shared" si="451"/>
        <v>0</v>
      </c>
      <c r="BF457" s="424">
        <f t="shared" si="451"/>
        <v>0</v>
      </c>
      <c r="BG457" s="424">
        <f t="shared" si="451"/>
        <v>0</v>
      </c>
      <c r="BH457" s="424">
        <f t="shared" si="451"/>
        <v>0</v>
      </c>
      <c r="BI457" s="424">
        <f t="shared" si="451"/>
        <v>0</v>
      </c>
      <c r="BJ457" s="424">
        <f t="shared" si="451"/>
        <v>0</v>
      </c>
      <c r="BK457" s="424">
        <f t="shared" si="451"/>
        <v>0</v>
      </c>
      <c r="BL457" s="424">
        <f t="shared" si="451"/>
        <v>0</v>
      </c>
      <c r="BM457" s="424">
        <f t="shared" si="451"/>
        <v>0</v>
      </c>
      <c r="BN457" s="424">
        <f t="shared" si="451"/>
        <v>0</v>
      </c>
      <c r="BO457" s="424">
        <f t="shared" si="451"/>
        <v>0</v>
      </c>
      <c r="BP457" s="424">
        <f t="shared" si="451"/>
        <v>0</v>
      </c>
      <c r="BQ457" s="424">
        <f t="shared" si="451"/>
        <v>0</v>
      </c>
      <c r="BR457" s="424">
        <f t="shared" si="451"/>
        <v>0</v>
      </c>
      <c r="BS457" s="424">
        <f t="shared" si="451"/>
        <v>0</v>
      </c>
      <c r="BT457" s="424">
        <f t="shared" si="451"/>
        <v>0</v>
      </c>
      <c r="BU457" s="424">
        <f t="shared" si="451"/>
        <v>0</v>
      </c>
      <c r="BV457" s="424">
        <f t="shared" ref="BV457:DA457" si="452">BV87*BV$372</f>
        <v>0</v>
      </c>
      <c r="BW457" s="424">
        <f t="shared" si="452"/>
        <v>0</v>
      </c>
      <c r="BX457" s="424">
        <f t="shared" si="452"/>
        <v>0</v>
      </c>
      <c r="BY457" s="424">
        <f t="shared" si="452"/>
        <v>0</v>
      </c>
      <c r="BZ457" s="424">
        <f t="shared" si="452"/>
        <v>0</v>
      </c>
      <c r="CA457" s="424">
        <f t="shared" si="452"/>
        <v>0</v>
      </c>
      <c r="CB457" s="424">
        <f t="shared" si="452"/>
        <v>0</v>
      </c>
      <c r="CC457" s="424">
        <f t="shared" si="452"/>
        <v>0</v>
      </c>
      <c r="CD457" s="424">
        <f t="shared" si="452"/>
        <v>0</v>
      </c>
      <c r="CE457" s="424">
        <f t="shared" si="452"/>
        <v>0</v>
      </c>
      <c r="CF457" s="424">
        <f t="shared" si="452"/>
        <v>0.6</v>
      </c>
      <c r="CG457" s="424">
        <f t="shared" si="452"/>
        <v>1</v>
      </c>
      <c r="CH457" s="424">
        <f t="shared" si="452"/>
        <v>0</v>
      </c>
      <c r="CI457" s="424">
        <f t="shared" si="452"/>
        <v>0</v>
      </c>
      <c r="CJ457" s="424">
        <f t="shared" si="452"/>
        <v>0</v>
      </c>
      <c r="CK457" s="424">
        <f t="shared" si="452"/>
        <v>0</v>
      </c>
      <c r="CL457" s="424">
        <f t="shared" si="452"/>
        <v>0</v>
      </c>
      <c r="CM457" s="424">
        <f t="shared" si="452"/>
        <v>0</v>
      </c>
      <c r="CN457" s="424">
        <f t="shared" si="452"/>
        <v>0</v>
      </c>
      <c r="CO457" s="424">
        <f t="shared" si="452"/>
        <v>0</v>
      </c>
      <c r="CP457" s="424">
        <f t="shared" si="452"/>
        <v>0</v>
      </c>
      <c r="CQ457" s="424">
        <f t="shared" si="452"/>
        <v>0</v>
      </c>
      <c r="CR457" s="424">
        <f t="shared" si="452"/>
        <v>0</v>
      </c>
      <c r="CS457" s="424">
        <f t="shared" si="452"/>
        <v>0.01</v>
      </c>
      <c r="CT457" s="424">
        <f t="shared" si="452"/>
        <v>0</v>
      </c>
      <c r="CU457" s="424">
        <f t="shared" si="452"/>
        <v>0</v>
      </c>
      <c r="CV457" s="424">
        <f t="shared" si="452"/>
        <v>0</v>
      </c>
      <c r="CW457" s="424">
        <f t="shared" si="452"/>
        <v>0</v>
      </c>
      <c r="CX457" s="424">
        <f t="shared" si="452"/>
        <v>0</v>
      </c>
      <c r="CY457" s="424">
        <f t="shared" si="452"/>
        <v>0</v>
      </c>
      <c r="CZ457" s="424">
        <f t="shared" si="452"/>
        <v>0</v>
      </c>
      <c r="DA457" s="424">
        <f t="shared" si="452"/>
        <v>0</v>
      </c>
      <c r="DB457" s="424">
        <f t="shared" ref="DB457:EG457" si="453">DB87*DB$372</f>
        <v>0</v>
      </c>
      <c r="DC457" s="424">
        <f t="shared" si="453"/>
        <v>0.06</v>
      </c>
      <c r="DD457" s="424">
        <f t="shared" si="453"/>
        <v>0</v>
      </c>
      <c r="DE457" s="424">
        <f t="shared" si="453"/>
        <v>0</v>
      </c>
      <c r="DF457" s="424">
        <f t="shared" si="453"/>
        <v>0.35</v>
      </c>
      <c r="DG457" s="424">
        <f t="shared" si="453"/>
        <v>0</v>
      </c>
      <c r="DH457" s="424">
        <f t="shared" si="453"/>
        <v>0</v>
      </c>
      <c r="DI457" s="424">
        <f t="shared" si="453"/>
        <v>0</v>
      </c>
      <c r="DJ457" s="424">
        <f t="shared" si="453"/>
        <v>0</v>
      </c>
      <c r="DK457" s="424">
        <f t="shared" si="453"/>
        <v>0</v>
      </c>
      <c r="DL457" s="424">
        <f t="shared" si="453"/>
        <v>0</v>
      </c>
      <c r="DM457" s="424">
        <f t="shared" si="453"/>
        <v>0</v>
      </c>
      <c r="DN457" s="424">
        <f t="shared" si="453"/>
        <v>0</v>
      </c>
      <c r="DO457" s="424">
        <f t="shared" si="453"/>
        <v>0</v>
      </c>
      <c r="DP457" s="424">
        <f t="shared" si="453"/>
        <v>0</v>
      </c>
      <c r="DQ457" s="424">
        <f t="shared" si="453"/>
        <v>0</v>
      </c>
      <c r="DR457" s="424">
        <f t="shared" si="453"/>
        <v>0</v>
      </c>
      <c r="DS457" s="424">
        <f t="shared" si="453"/>
        <v>0</v>
      </c>
      <c r="DT457" s="424">
        <f t="shared" si="453"/>
        <v>0</v>
      </c>
      <c r="DU457" s="424">
        <f t="shared" si="453"/>
        <v>0</v>
      </c>
      <c r="DV457" s="424">
        <f t="shared" si="453"/>
        <v>0</v>
      </c>
      <c r="DW457" s="424">
        <f t="shared" si="453"/>
        <v>0</v>
      </c>
      <c r="DX457" s="424">
        <f t="shared" si="453"/>
        <v>0</v>
      </c>
      <c r="DY457" s="424">
        <f t="shared" si="453"/>
        <v>0</v>
      </c>
      <c r="DZ457" s="424">
        <f t="shared" si="453"/>
        <v>0</v>
      </c>
      <c r="EA457" s="424">
        <f t="shared" si="453"/>
        <v>0</v>
      </c>
      <c r="EB457" s="424">
        <f t="shared" si="453"/>
        <v>0</v>
      </c>
      <c r="EC457" s="424">
        <f t="shared" si="453"/>
        <v>0</v>
      </c>
      <c r="ED457" s="424">
        <f t="shared" si="453"/>
        <v>0</v>
      </c>
      <c r="EE457" s="424">
        <f t="shared" si="453"/>
        <v>0</v>
      </c>
      <c r="EF457" s="424">
        <f t="shared" si="453"/>
        <v>0</v>
      </c>
      <c r="EG457" s="424">
        <f t="shared" si="453"/>
        <v>0</v>
      </c>
      <c r="EH457" s="424">
        <f t="shared" ref="EH457:EX457" si="454">EH87*EH$372</f>
        <v>0</v>
      </c>
      <c r="EI457" s="424">
        <f t="shared" si="454"/>
        <v>0</v>
      </c>
      <c r="EJ457" s="424">
        <f t="shared" si="454"/>
        <v>0</v>
      </c>
      <c r="EK457" s="424">
        <f t="shared" si="454"/>
        <v>0</v>
      </c>
      <c r="EL457" s="424">
        <f t="shared" si="454"/>
        <v>0</v>
      </c>
      <c r="EM457" s="424">
        <f t="shared" si="454"/>
        <v>0</v>
      </c>
      <c r="EN457" s="424">
        <f t="shared" si="454"/>
        <v>0</v>
      </c>
      <c r="EO457" s="424">
        <f t="shared" si="454"/>
        <v>0</v>
      </c>
      <c r="EP457" s="424">
        <f t="shared" si="454"/>
        <v>0</v>
      </c>
      <c r="EQ457" s="424">
        <f t="shared" si="454"/>
        <v>0</v>
      </c>
      <c r="ER457" s="424">
        <f t="shared" si="454"/>
        <v>0</v>
      </c>
      <c r="ES457" s="424">
        <f t="shared" si="454"/>
        <v>0</v>
      </c>
      <c r="ET457" s="424">
        <f t="shared" si="454"/>
        <v>0</v>
      </c>
      <c r="EU457" s="424">
        <f t="shared" si="454"/>
        <v>0</v>
      </c>
      <c r="EV457" s="424">
        <f t="shared" si="454"/>
        <v>0</v>
      </c>
      <c r="EW457" s="424">
        <f t="shared" si="454"/>
        <v>0</v>
      </c>
      <c r="EX457" s="424">
        <f t="shared" si="454"/>
        <v>0</v>
      </c>
      <c r="EY457" s="425">
        <f t="shared" si="374"/>
        <v>5.0199999999999996</v>
      </c>
    </row>
    <row r="458" spans="1:166" ht="14.7" customHeight="1" x14ac:dyDescent="0.25">
      <c r="A458" s="310">
        <v>84</v>
      </c>
      <c r="B458" s="311" t="str">
        <f t="shared" si="355"/>
        <v>Суп-лапша домашняя</v>
      </c>
      <c r="C458" s="483">
        <f t="shared" si="363"/>
        <v>4.51</v>
      </c>
      <c r="D458" s="888"/>
      <c r="E458" s="888"/>
      <c r="F458" s="888"/>
      <c r="G458" s="889"/>
      <c r="H458" s="680">
        <f t="shared" si="356"/>
        <v>113</v>
      </c>
      <c r="I458" s="1209">
        <f t="shared" si="357"/>
        <v>0.01</v>
      </c>
      <c r="J458" s="424">
        <f t="shared" ref="J458:AO458" si="455">J88*J$372</f>
        <v>0</v>
      </c>
      <c r="K458" s="424">
        <f t="shared" si="455"/>
        <v>0</v>
      </c>
      <c r="L458" s="424">
        <f t="shared" si="455"/>
        <v>0</v>
      </c>
      <c r="M458" s="424">
        <f t="shared" si="455"/>
        <v>0</v>
      </c>
      <c r="N458" s="424">
        <f t="shared" si="455"/>
        <v>0</v>
      </c>
      <c r="O458" s="424">
        <f t="shared" si="455"/>
        <v>0</v>
      </c>
      <c r="P458" s="424">
        <f t="shared" si="455"/>
        <v>0</v>
      </c>
      <c r="Q458" s="424">
        <f t="shared" si="455"/>
        <v>0</v>
      </c>
      <c r="R458" s="424">
        <f t="shared" si="455"/>
        <v>0</v>
      </c>
      <c r="S458" s="424">
        <f t="shared" si="455"/>
        <v>0</v>
      </c>
      <c r="T458" s="424">
        <f t="shared" si="455"/>
        <v>0</v>
      </c>
      <c r="U458" s="424">
        <f t="shared" si="455"/>
        <v>0</v>
      </c>
      <c r="V458" s="424">
        <f t="shared" si="455"/>
        <v>0</v>
      </c>
      <c r="W458" s="424">
        <f t="shared" si="455"/>
        <v>0</v>
      </c>
      <c r="X458" s="424">
        <f t="shared" si="455"/>
        <v>0</v>
      </c>
      <c r="Y458" s="424">
        <f t="shared" si="455"/>
        <v>1.17</v>
      </c>
      <c r="Z458" s="424">
        <f t="shared" si="455"/>
        <v>0</v>
      </c>
      <c r="AA458" s="424">
        <f t="shared" si="455"/>
        <v>0</v>
      </c>
      <c r="AB458" s="424">
        <f t="shared" si="455"/>
        <v>0</v>
      </c>
      <c r="AC458" s="424">
        <f t="shared" si="455"/>
        <v>0</v>
      </c>
      <c r="AD458" s="424">
        <f t="shared" si="455"/>
        <v>0</v>
      </c>
      <c r="AE458" s="424">
        <f t="shared" si="455"/>
        <v>0.87</v>
      </c>
      <c r="AF458" s="424">
        <f t="shared" si="455"/>
        <v>0</v>
      </c>
      <c r="AG458" s="424">
        <f t="shared" si="455"/>
        <v>0</v>
      </c>
      <c r="AH458" s="424">
        <f t="shared" si="455"/>
        <v>0</v>
      </c>
      <c r="AI458" s="424">
        <f t="shared" si="455"/>
        <v>0</v>
      </c>
      <c r="AJ458" s="424">
        <f t="shared" si="455"/>
        <v>0</v>
      </c>
      <c r="AK458" s="424">
        <f t="shared" si="455"/>
        <v>0.6</v>
      </c>
      <c r="AL458" s="424">
        <f t="shared" si="455"/>
        <v>0</v>
      </c>
      <c r="AM458" s="424">
        <f t="shared" si="455"/>
        <v>0</v>
      </c>
      <c r="AN458" s="424">
        <f t="shared" si="455"/>
        <v>0</v>
      </c>
      <c r="AO458" s="424">
        <f t="shared" si="455"/>
        <v>0</v>
      </c>
      <c r="AP458" s="424">
        <f t="shared" ref="AP458:BU458" si="456">AP88*AP$372</f>
        <v>0</v>
      </c>
      <c r="AQ458" s="424">
        <f t="shared" si="456"/>
        <v>0</v>
      </c>
      <c r="AR458" s="424">
        <f t="shared" si="456"/>
        <v>0</v>
      </c>
      <c r="AS458" s="424">
        <f t="shared" si="456"/>
        <v>0</v>
      </c>
      <c r="AT458" s="424">
        <f t="shared" si="456"/>
        <v>0</v>
      </c>
      <c r="AU458" s="424">
        <f t="shared" si="456"/>
        <v>0.6</v>
      </c>
      <c r="AV458" s="424">
        <f t="shared" si="456"/>
        <v>0</v>
      </c>
      <c r="AW458" s="424">
        <f t="shared" si="456"/>
        <v>0</v>
      </c>
      <c r="AX458" s="424">
        <f t="shared" si="456"/>
        <v>0</v>
      </c>
      <c r="AY458" s="424">
        <f t="shared" si="456"/>
        <v>0</v>
      </c>
      <c r="AZ458" s="424">
        <f t="shared" si="456"/>
        <v>0</v>
      </c>
      <c r="BA458" s="424">
        <f t="shared" si="456"/>
        <v>0</v>
      </c>
      <c r="BB458" s="424">
        <f t="shared" si="456"/>
        <v>0</v>
      </c>
      <c r="BC458" s="424">
        <f t="shared" si="456"/>
        <v>0</v>
      </c>
      <c r="BD458" s="424">
        <f t="shared" si="456"/>
        <v>0</v>
      </c>
      <c r="BE458" s="424">
        <f t="shared" si="456"/>
        <v>0</v>
      </c>
      <c r="BF458" s="424">
        <f t="shared" si="456"/>
        <v>0</v>
      </c>
      <c r="BG458" s="424">
        <f t="shared" si="456"/>
        <v>0</v>
      </c>
      <c r="BH458" s="424">
        <f t="shared" si="456"/>
        <v>0</v>
      </c>
      <c r="BI458" s="424">
        <f t="shared" si="456"/>
        <v>0</v>
      </c>
      <c r="BJ458" s="424">
        <f t="shared" si="456"/>
        <v>0</v>
      </c>
      <c r="BK458" s="424">
        <f t="shared" si="456"/>
        <v>0</v>
      </c>
      <c r="BL458" s="424">
        <f t="shared" si="456"/>
        <v>0</v>
      </c>
      <c r="BM458" s="424">
        <f t="shared" si="456"/>
        <v>0</v>
      </c>
      <c r="BN458" s="424">
        <f t="shared" si="456"/>
        <v>0</v>
      </c>
      <c r="BO458" s="424">
        <f t="shared" si="456"/>
        <v>0</v>
      </c>
      <c r="BP458" s="424">
        <f t="shared" si="456"/>
        <v>0</v>
      </c>
      <c r="BQ458" s="424">
        <f t="shared" si="456"/>
        <v>0</v>
      </c>
      <c r="BR458" s="424">
        <f t="shared" si="456"/>
        <v>0</v>
      </c>
      <c r="BS458" s="424">
        <f t="shared" si="456"/>
        <v>0.67</v>
      </c>
      <c r="BT458" s="424">
        <f t="shared" si="456"/>
        <v>0</v>
      </c>
      <c r="BU458" s="424">
        <f t="shared" si="456"/>
        <v>0</v>
      </c>
      <c r="BV458" s="424">
        <f t="shared" ref="BV458:DA458" si="457">BV88*BV$372</f>
        <v>0</v>
      </c>
      <c r="BW458" s="424">
        <f t="shared" si="457"/>
        <v>0</v>
      </c>
      <c r="BX458" s="424">
        <f t="shared" si="457"/>
        <v>0</v>
      </c>
      <c r="BY458" s="424">
        <f t="shared" si="457"/>
        <v>0</v>
      </c>
      <c r="BZ458" s="424">
        <f t="shared" si="457"/>
        <v>0</v>
      </c>
      <c r="CA458" s="424">
        <f t="shared" si="457"/>
        <v>0</v>
      </c>
      <c r="CB458" s="424">
        <f t="shared" si="457"/>
        <v>0</v>
      </c>
      <c r="CC458" s="424">
        <f t="shared" si="457"/>
        <v>0</v>
      </c>
      <c r="CD458" s="424">
        <f t="shared" si="457"/>
        <v>0</v>
      </c>
      <c r="CE458" s="424">
        <f t="shared" si="457"/>
        <v>0</v>
      </c>
      <c r="CF458" s="424">
        <f t="shared" si="457"/>
        <v>0.6</v>
      </c>
      <c r="CG458" s="424">
        <f t="shared" si="457"/>
        <v>0</v>
      </c>
      <c r="CH458" s="424">
        <f t="shared" si="457"/>
        <v>0</v>
      </c>
      <c r="CI458" s="424">
        <f t="shared" si="457"/>
        <v>0</v>
      </c>
      <c r="CJ458" s="424">
        <f t="shared" si="457"/>
        <v>0</v>
      </c>
      <c r="CK458" s="424">
        <f t="shared" si="457"/>
        <v>0</v>
      </c>
      <c r="CL458" s="424">
        <f t="shared" si="457"/>
        <v>0</v>
      </c>
      <c r="CM458" s="424">
        <f t="shared" si="457"/>
        <v>0</v>
      </c>
      <c r="CN458" s="424">
        <f t="shared" si="457"/>
        <v>0</v>
      </c>
      <c r="CO458" s="424">
        <f t="shared" si="457"/>
        <v>0</v>
      </c>
      <c r="CP458" s="424">
        <f t="shared" si="457"/>
        <v>0</v>
      </c>
      <c r="CQ458" s="424">
        <f t="shared" si="457"/>
        <v>0</v>
      </c>
      <c r="CR458" s="424">
        <f t="shared" si="457"/>
        <v>0</v>
      </c>
      <c r="CS458" s="424">
        <f t="shared" si="457"/>
        <v>0</v>
      </c>
      <c r="CT458" s="424">
        <f t="shared" si="457"/>
        <v>0</v>
      </c>
      <c r="CU458" s="424">
        <f t="shared" si="457"/>
        <v>0</v>
      </c>
      <c r="CV458" s="424">
        <f t="shared" si="457"/>
        <v>0</v>
      </c>
      <c r="CW458" s="424">
        <f t="shared" si="457"/>
        <v>0</v>
      </c>
      <c r="CX458" s="424">
        <f t="shared" si="457"/>
        <v>0</v>
      </c>
      <c r="CY458" s="424">
        <f t="shared" si="457"/>
        <v>0</v>
      </c>
      <c r="CZ458" s="424">
        <f t="shared" si="457"/>
        <v>0</v>
      </c>
      <c r="DA458" s="424">
        <f t="shared" si="457"/>
        <v>0</v>
      </c>
      <c r="DB458" s="424">
        <f t="shared" ref="DB458:EG458" si="458">DB88*DB$372</f>
        <v>0</v>
      </c>
      <c r="DC458" s="424">
        <f t="shared" si="458"/>
        <v>0</v>
      </c>
      <c r="DD458" s="424">
        <f t="shared" si="458"/>
        <v>0</v>
      </c>
      <c r="DE458" s="424">
        <f t="shared" si="458"/>
        <v>0</v>
      </c>
      <c r="DF458" s="424">
        <f t="shared" si="458"/>
        <v>0</v>
      </c>
      <c r="DG458" s="424">
        <f t="shared" si="458"/>
        <v>0</v>
      </c>
      <c r="DH458" s="424">
        <f t="shared" si="458"/>
        <v>0</v>
      </c>
      <c r="DI458" s="424">
        <f t="shared" si="458"/>
        <v>0</v>
      </c>
      <c r="DJ458" s="424">
        <f t="shared" si="458"/>
        <v>0</v>
      </c>
      <c r="DK458" s="424">
        <f t="shared" si="458"/>
        <v>0</v>
      </c>
      <c r="DL458" s="424">
        <f t="shared" si="458"/>
        <v>0</v>
      </c>
      <c r="DM458" s="424">
        <f t="shared" si="458"/>
        <v>0</v>
      </c>
      <c r="DN458" s="424">
        <f t="shared" si="458"/>
        <v>0</v>
      </c>
      <c r="DO458" s="424">
        <f t="shared" si="458"/>
        <v>0</v>
      </c>
      <c r="DP458" s="424">
        <f t="shared" si="458"/>
        <v>0</v>
      </c>
      <c r="DQ458" s="424">
        <f t="shared" si="458"/>
        <v>0</v>
      </c>
      <c r="DR458" s="424">
        <f t="shared" si="458"/>
        <v>0</v>
      </c>
      <c r="DS458" s="424">
        <f t="shared" si="458"/>
        <v>0</v>
      </c>
      <c r="DT458" s="424">
        <f t="shared" si="458"/>
        <v>0</v>
      </c>
      <c r="DU458" s="424">
        <f t="shared" si="458"/>
        <v>0</v>
      </c>
      <c r="DV458" s="424">
        <f t="shared" si="458"/>
        <v>0</v>
      </c>
      <c r="DW458" s="424">
        <f t="shared" si="458"/>
        <v>0</v>
      </c>
      <c r="DX458" s="424">
        <f t="shared" si="458"/>
        <v>0</v>
      </c>
      <c r="DY458" s="424">
        <f t="shared" si="458"/>
        <v>0</v>
      </c>
      <c r="DZ458" s="424">
        <f t="shared" si="458"/>
        <v>0</v>
      </c>
      <c r="EA458" s="424">
        <f t="shared" si="458"/>
        <v>0</v>
      </c>
      <c r="EB458" s="424">
        <f t="shared" si="458"/>
        <v>0</v>
      </c>
      <c r="EC458" s="424">
        <f t="shared" si="458"/>
        <v>0</v>
      </c>
      <c r="ED458" s="424">
        <f t="shared" si="458"/>
        <v>0</v>
      </c>
      <c r="EE458" s="424">
        <f t="shared" si="458"/>
        <v>0</v>
      </c>
      <c r="EF458" s="424">
        <f t="shared" si="458"/>
        <v>0</v>
      </c>
      <c r="EG458" s="424">
        <f t="shared" si="458"/>
        <v>0</v>
      </c>
      <c r="EH458" s="424">
        <f t="shared" ref="EH458:EX458" si="459">EH88*EH$372</f>
        <v>0</v>
      </c>
      <c r="EI458" s="424">
        <f t="shared" si="459"/>
        <v>0</v>
      </c>
      <c r="EJ458" s="424">
        <f t="shared" si="459"/>
        <v>0</v>
      </c>
      <c r="EK458" s="424">
        <f t="shared" si="459"/>
        <v>0</v>
      </c>
      <c r="EL458" s="424">
        <f t="shared" si="459"/>
        <v>0</v>
      </c>
      <c r="EM458" s="424">
        <f t="shared" si="459"/>
        <v>0</v>
      </c>
      <c r="EN458" s="424">
        <f t="shared" si="459"/>
        <v>0</v>
      </c>
      <c r="EO458" s="424">
        <f t="shared" si="459"/>
        <v>0</v>
      </c>
      <c r="EP458" s="424">
        <f t="shared" si="459"/>
        <v>0</v>
      </c>
      <c r="EQ458" s="424">
        <f t="shared" si="459"/>
        <v>0</v>
      </c>
      <c r="ER458" s="424">
        <f t="shared" si="459"/>
        <v>0</v>
      </c>
      <c r="ES458" s="424">
        <f t="shared" si="459"/>
        <v>0</v>
      </c>
      <c r="ET458" s="424">
        <f t="shared" si="459"/>
        <v>0</v>
      </c>
      <c r="EU458" s="424">
        <f t="shared" si="459"/>
        <v>0</v>
      </c>
      <c r="EV458" s="424">
        <f t="shared" si="459"/>
        <v>0</v>
      </c>
      <c r="EW458" s="424">
        <f t="shared" si="459"/>
        <v>0</v>
      </c>
      <c r="EX458" s="424">
        <f t="shared" si="459"/>
        <v>0</v>
      </c>
      <c r="EY458" s="425">
        <f t="shared" si="374"/>
        <v>4.51</v>
      </c>
    </row>
    <row r="459" spans="1:166" ht="14.7" customHeight="1" x14ac:dyDescent="0.25">
      <c r="A459" s="310">
        <v>85</v>
      </c>
      <c r="B459" s="311" t="str">
        <f t="shared" si="355"/>
        <v>Лапша домашняя</v>
      </c>
      <c r="C459" s="483">
        <f t="shared" si="363"/>
        <v>77.55</v>
      </c>
      <c r="D459" s="888"/>
      <c r="E459" s="888"/>
      <c r="F459" s="888"/>
      <c r="G459" s="889"/>
      <c r="H459" s="680">
        <f t="shared" si="356"/>
        <v>114</v>
      </c>
      <c r="I459" s="1209">
        <f t="shared" si="357"/>
        <v>0</v>
      </c>
      <c r="J459" s="424">
        <f t="shared" ref="J459:AO459" si="460">J89*J$372</f>
        <v>0</v>
      </c>
      <c r="K459" s="424">
        <f t="shared" si="460"/>
        <v>0</v>
      </c>
      <c r="L459" s="424">
        <f t="shared" si="460"/>
        <v>0</v>
      </c>
      <c r="M459" s="424">
        <f t="shared" si="460"/>
        <v>0</v>
      </c>
      <c r="N459" s="424">
        <f t="shared" si="460"/>
        <v>0</v>
      </c>
      <c r="O459" s="424">
        <f t="shared" si="460"/>
        <v>0</v>
      </c>
      <c r="P459" s="424">
        <f t="shared" si="460"/>
        <v>0</v>
      </c>
      <c r="Q459" s="424">
        <f t="shared" si="460"/>
        <v>0</v>
      </c>
      <c r="R459" s="424">
        <f t="shared" si="460"/>
        <v>0</v>
      </c>
      <c r="S459" s="424">
        <f t="shared" si="460"/>
        <v>0</v>
      </c>
      <c r="T459" s="424">
        <f t="shared" si="460"/>
        <v>0</v>
      </c>
      <c r="U459" s="424">
        <f t="shared" si="460"/>
        <v>0</v>
      </c>
      <c r="V459" s="424">
        <f t="shared" si="460"/>
        <v>0</v>
      </c>
      <c r="W459" s="424">
        <f t="shared" si="460"/>
        <v>0</v>
      </c>
      <c r="X459" s="424">
        <f t="shared" si="460"/>
        <v>0</v>
      </c>
      <c r="Y459" s="424">
        <f t="shared" si="460"/>
        <v>0</v>
      </c>
      <c r="Z459" s="424">
        <f t="shared" si="460"/>
        <v>0</v>
      </c>
      <c r="AA459" s="424">
        <f t="shared" si="460"/>
        <v>0</v>
      </c>
      <c r="AB459" s="424">
        <f t="shared" si="460"/>
        <v>0</v>
      </c>
      <c r="AC459" s="424">
        <f t="shared" si="460"/>
        <v>0</v>
      </c>
      <c r="AD459" s="424">
        <f t="shared" si="460"/>
        <v>0</v>
      </c>
      <c r="AE459" s="424">
        <f t="shared" si="460"/>
        <v>43.75</v>
      </c>
      <c r="AF459" s="424">
        <f t="shared" si="460"/>
        <v>0</v>
      </c>
      <c r="AG459" s="424">
        <f t="shared" si="460"/>
        <v>0</v>
      </c>
      <c r="AH459" s="424">
        <f t="shared" si="460"/>
        <v>0</v>
      </c>
      <c r="AI459" s="424">
        <f t="shared" si="460"/>
        <v>0</v>
      </c>
      <c r="AJ459" s="424">
        <f t="shared" si="460"/>
        <v>0</v>
      </c>
      <c r="AK459" s="424">
        <f t="shared" si="460"/>
        <v>0</v>
      </c>
      <c r="AL459" s="424">
        <f t="shared" si="460"/>
        <v>0</v>
      </c>
      <c r="AM459" s="424">
        <f t="shared" si="460"/>
        <v>0</v>
      </c>
      <c r="AN459" s="424">
        <f t="shared" si="460"/>
        <v>0</v>
      </c>
      <c r="AO459" s="424">
        <f t="shared" si="460"/>
        <v>0</v>
      </c>
      <c r="AP459" s="424">
        <f t="shared" ref="AP459:BU459" si="461">AP89*AP$372</f>
        <v>0</v>
      </c>
      <c r="AQ459" s="424">
        <f t="shared" si="461"/>
        <v>0</v>
      </c>
      <c r="AR459" s="424">
        <f t="shared" si="461"/>
        <v>0</v>
      </c>
      <c r="AS459" s="424">
        <f t="shared" si="461"/>
        <v>0</v>
      </c>
      <c r="AT459" s="424">
        <f t="shared" si="461"/>
        <v>0</v>
      </c>
      <c r="AU459" s="424">
        <f t="shared" si="461"/>
        <v>0</v>
      </c>
      <c r="AV459" s="424">
        <f t="shared" si="461"/>
        <v>0</v>
      </c>
      <c r="AW459" s="424">
        <f t="shared" si="461"/>
        <v>0</v>
      </c>
      <c r="AX459" s="424">
        <f t="shared" si="461"/>
        <v>0</v>
      </c>
      <c r="AY459" s="424">
        <f t="shared" si="461"/>
        <v>0</v>
      </c>
      <c r="AZ459" s="424">
        <f t="shared" si="461"/>
        <v>0</v>
      </c>
      <c r="BA459" s="424">
        <f t="shared" si="461"/>
        <v>0</v>
      </c>
      <c r="BB459" s="424">
        <f t="shared" si="461"/>
        <v>0</v>
      </c>
      <c r="BC459" s="424">
        <f t="shared" si="461"/>
        <v>0</v>
      </c>
      <c r="BD459" s="424">
        <f t="shared" si="461"/>
        <v>0</v>
      </c>
      <c r="BE459" s="424">
        <f t="shared" si="461"/>
        <v>0</v>
      </c>
      <c r="BF459" s="424">
        <f t="shared" si="461"/>
        <v>0</v>
      </c>
      <c r="BG459" s="424">
        <f t="shared" si="461"/>
        <v>0</v>
      </c>
      <c r="BH459" s="424">
        <f t="shared" si="461"/>
        <v>0</v>
      </c>
      <c r="BI459" s="424">
        <f t="shared" si="461"/>
        <v>0</v>
      </c>
      <c r="BJ459" s="424">
        <f t="shared" si="461"/>
        <v>0</v>
      </c>
      <c r="BK459" s="424">
        <f t="shared" si="461"/>
        <v>0</v>
      </c>
      <c r="BL459" s="424">
        <f t="shared" si="461"/>
        <v>0</v>
      </c>
      <c r="BM459" s="424">
        <f t="shared" si="461"/>
        <v>0</v>
      </c>
      <c r="BN459" s="424">
        <f t="shared" si="461"/>
        <v>0</v>
      </c>
      <c r="BO459" s="424">
        <f t="shared" si="461"/>
        <v>0</v>
      </c>
      <c r="BP459" s="424">
        <f t="shared" si="461"/>
        <v>0</v>
      </c>
      <c r="BQ459" s="424">
        <f t="shared" si="461"/>
        <v>0</v>
      </c>
      <c r="BR459" s="424">
        <f t="shared" si="461"/>
        <v>0</v>
      </c>
      <c r="BS459" s="424">
        <f t="shared" si="461"/>
        <v>33.659999999999997</v>
      </c>
      <c r="BT459" s="424">
        <f t="shared" si="461"/>
        <v>0</v>
      </c>
      <c r="BU459" s="424">
        <f t="shared" si="461"/>
        <v>0</v>
      </c>
      <c r="BV459" s="424">
        <f t="shared" ref="BV459:DA459" si="462">BV89*BV$372</f>
        <v>0</v>
      </c>
      <c r="BW459" s="424">
        <f t="shared" si="462"/>
        <v>0</v>
      </c>
      <c r="BX459" s="424">
        <f t="shared" si="462"/>
        <v>0</v>
      </c>
      <c r="BY459" s="424">
        <f t="shared" si="462"/>
        <v>0</v>
      </c>
      <c r="BZ459" s="424">
        <f t="shared" si="462"/>
        <v>0</v>
      </c>
      <c r="CA459" s="424">
        <f t="shared" si="462"/>
        <v>0</v>
      </c>
      <c r="CB459" s="424">
        <f t="shared" si="462"/>
        <v>0</v>
      </c>
      <c r="CC459" s="424">
        <f t="shared" si="462"/>
        <v>0</v>
      </c>
      <c r="CD459" s="424">
        <f t="shared" si="462"/>
        <v>0</v>
      </c>
      <c r="CE459" s="424">
        <f t="shared" si="462"/>
        <v>0</v>
      </c>
      <c r="CF459" s="424">
        <f t="shared" si="462"/>
        <v>0</v>
      </c>
      <c r="CG459" s="424">
        <f t="shared" si="462"/>
        <v>0</v>
      </c>
      <c r="CH459" s="424">
        <f t="shared" si="462"/>
        <v>0</v>
      </c>
      <c r="CI459" s="424">
        <f t="shared" si="462"/>
        <v>0</v>
      </c>
      <c r="CJ459" s="424">
        <f t="shared" si="462"/>
        <v>0</v>
      </c>
      <c r="CK459" s="424">
        <f t="shared" si="462"/>
        <v>0</v>
      </c>
      <c r="CL459" s="424">
        <f t="shared" si="462"/>
        <v>0</v>
      </c>
      <c r="CM459" s="424">
        <f t="shared" si="462"/>
        <v>0</v>
      </c>
      <c r="CN459" s="424">
        <f t="shared" si="462"/>
        <v>0</v>
      </c>
      <c r="CO459" s="424">
        <f t="shared" si="462"/>
        <v>0</v>
      </c>
      <c r="CP459" s="424">
        <f t="shared" si="462"/>
        <v>0</v>
      </c>
      <c r="CQ459" s="424">
        <f t="shared" si="462"/>
        <v>0</v>
      </c>
      <c r="CR459" s="424">
        <f t="shared" si="462"/>
        <v>0</v>
      </c>
      <c r="CS459" s="424">
        <f t="shared" si="462"/>
        <v>0</v>
      </c>
      <c r="CT459" s="424">
        <f t="shared" si="462"/>
        <v>0</v>
      </c>
      <c r="CU459" s="424">
        <f t="shared" si="462"/>
        <v>0</v>
      </c>
      <c r="CV459" s="424">
        <f t="shared" si="462"/>
        <v>0</v>
      </c>
      <c r="CW459" s="424">
        <f t="shared" si="462"/>
        <v>0</v>
      </c>
      <c r="CX459" s="424">
        <f t="shared" si="462"/>
        <v>0</v>
      </c>
      <c r="CY459" s="424">
        <f t="shared" si="462"/>
        <v>0</v>
      </c>
      <c r="CZ459" s="424">
        <f t="shared" si="462"/>
        <v>0</v>
      </c>
      <c r="DA459" s="424">
        <f t="shared" si="462"/>
        <v>0</v>
      </c>
      <c r="DB459" s="424">
        <f t="shared" ref="DB459:EG459" si="463">DB89*DB$372</f>
        <v>0</v>
      </c>
      <c r="DC459" s="424">
        <f t="shared" si="463"/>
        <v>0.14000000000000001</v>
      </c>
      <c r="DD459" s="424">
        <f t="shared" si="463"/>
        <v>0</v>
      </c>
      <c r="DE459" s="424">
        <f t="shared" si="463"/>
        <v>0</v>
      </c>
      <c r="DF459" s="424">
        <f t="shared" si="463"/>
        <v>0</v>
      </c>
      <c r="DG459" s="424">
        <f t="shared" si="463"/>
        <v>0</v>
      </c>
      <c r="DH459" s="424">
        <f t="shared" si="463"/>
        <v>0</v>
      </c>
      <c r="DI459" s="424">
        <f t="shared" si="463"/>
        <v>0</v>
      </c>
      <c r="DJ459" s="424">
        <f t="shared" si="463"/>
        <v>0</v>
      </c>
      <c r="DK459" s="424">
        <f t="shared" si="463"/>
        <v>0</v>
      </c>
      <c r="DL459" s="424">
        <f t="shared" si="463"/>
        <v>0</v>
      </c>
      <c r="DM459" s="424">
        <f t="shared" si="463"/>
        <v>0</v>
      </c>
      <c r="DN459" s="424">
        <f t="shared" si="463"/>
        <v>0</v>
      </c>
      <c r="DO459" s="424">
        <f t="shared" si="463"/>
        <v>0</v>
      </c>
      <c r="DP459" s="424">
        <f t="shared" si="463"/>
        <v>0</v>
      </c>
      <c r="DQ459" s="424">
        <f t="shared" si="463"/>
        <v>0</v>
      </c>
      <c r="DR459" s="424">
        <f t="shared" si="463"/>
        <v>0</v>
      </c>
      <c r="DS459" s="424">
        <f t="shared" si="463"/>
        <v>0</v>
      </c>
      <c r="DT459" s="424">
        <f t="shared" si="463"/>
        <v>0</v>
      </c>
      <c r="DU459" s="424">
        <f t="shared" si="463"/>
        <v>0</v>
      </c>
      <c r="DV459" s="424">
        <f t="shared" si="463"/>
        <v>0</v>
      </c>
      <c r="DW459" s="424">
        <f t="shared" si="463"/>
        <v>0</v>
      </c>
      <c r="DX459" s="424">
        <f t="shared" si="463"/>
        <v>0</v>
      </c>
      <c r="DY459" s="424">
        <f t="shared" si="463"/>
        <v>0</v>
      </c>
      <c r="DZ459" s="424">
        <f t="shared" si="463"/>
        <v>0</v>
      </c>
      <c r="EA459" s="424">
        <f t="shared" si="463"/>
        <v>0</v>
      </c>
      <c r="EB459" s="424">
        <f t="shared" si="463"/>
        <v>0</v>
      </c>
      <c r="EC459" s="424">
        <f t="shared" si="463"/>
        <v>0</v>
      </c>
      <c r="ED459" s="424">
        <f t="shared" si="463"/>
        <v>0</v>
      </c>
      <c r="EE459" s="424">
        <f t="shared" si="463"/>
        <v>0</v>
      </c>
      <c r="EF459" s="424">
        <f t="shared" si="463"/>
        <v>0</v>
      </c>
      <c r="EG459" s="424">
        <f t="shared" si="463"/>
        <v>0</v>
      </c>
      <c r="EH459" s="424">
        <f t="shared" ref="EH459:EX459" si="464">EH89*EH$372</f>
        <v>0</v>
      </c>
      <c r="EI459" s="424">
        <f t="shared" si="464"/>
        <v>0</v>
      </c>
      <c r="EJ459" s="424">
        <f t="shared" si="464"/>
        <v>0</v>
      </c>
      <c r="EK459" s="424">
        <f t="shared" si="464"/>
        <v>0</v>
      </c>
      <c r="EL459" s="424">
        <f t="shared" si="464"/>
        <v>0</v>
      </c>
      <c r="EM459" s="424">
        <f t="shared" si="464"/>
        <v>0</v>
      </c>
      <c r="EN459" s="424">
        <f t="shared" si="464"/>
        <v>0</v>
      </c>
      <c r="EO459" s="424">
        <f t="shared" si="464"/>
        <v>0</v>
      </c>
      <c r="EP459" s="424">
        <f t="shared" si="464"/>
        <v>0</v>
      </c>
      <c r="EQ459" s="424">
        <f t="shared" si="464"/>
        <v>0</v>
      </c>
      <c r="ER459" s="424">
        <f t="shared" si="464"/>
        <v>0</v>
      </c>
      <c r="ES459" s="424">
        <f t="shared" si="464"/>
        <v>0</v>
      </c>
      <c r="ET459" s="424">
        <f t="shared" si="464"/>
        <v>0</v>
      </c>
      <c r="EU459" s="424">
        <f t="shared" si="464"/>
        <v>0</v>
      </c>
      <c r="EV459" s="424">
        <f t="shared" si="464"/>
        <v>0</v>
      </c>
      <c r="EW459" s="424">
        <f t="shared" si="464"/>
        <v>0</v>
      </c>
      <c r="EX459" s="424">
        <f t="shared" si="464"/>
        <v>0</v>
      </c>
      <c r="EY459" s="425">
        <f t="shared" si="374"/>
        <v>77.55</v>
      </c>
    </row>
    <row r="460" spans="1:166" ht="14.7" customHeight="1" x14ac:dyDescent="0.25">
      <c r="A460" s="310">
        <v>86</v>
      </c>
      <c r="B460" s="311" t="str">
        <f t="shared" si="355"/>
        <v>Суп с рисом</v>
      </c>
      <c r="C460" s="483">
        <f t="shared" si="363"/>
        <v>5.63</v>
      </c>
      <c r="D460" s="888"/>
      <c r="E460" s="888"/>
      <c r="F460" s="888"/>
      <c r="G460" s="889"/>
      <c r="H460" s="680">
        <f t="shared" si="356"/>
        <v>115</v>
      </c>
      <c r="I460" s="1209">
        <f t="shared" si="357"/>
        <v>0</v>
      </c>
      <c r="J460" s="424">
        <f t="shared" ref="J460:AO460" si="465">J90*J$372</f>
        <v>0</v>
      </c>
      <c r="K460" s="424">
        <f t="shared" si="465"/>
        <v>0</v>
      </c>
      <c r="L460" s="424">
        <f t="shared" si="465"/>
        <v>0</v>
      </c>
      <c r="M460" s="424">
        <f t="shared" si="465"/>
        <v>0</v>
      </c>
      <c r="N460" s="424">
        <f t="shared" si="465"/>
        <v>0</v>
      </c>
      <c r="O460" s="424">
        <f t="shared" si="465"/>
        <v>0</v>
      </c>
      <c r="P460" s="424">
        <f t="shared" si="465"/>
        <v>0</v>
      </c>
      <c r="Q460" s="424">
        <f t="shared" si="465"/>
        <v>0</v>
      </c>
      <c r="R460" s="424">
        <f t="shared" si="465"/>
        <v>0</v>
      </c>
      <c r="S460" s="424">
        <f t="shared" si="465"/>
        <v>0</v>
      </c>
      <c r="T460" s="424">
        <f t="shared" si="465"/>
        <v>0</v>
      </c>
      <c r="U460" s="424">
        <f t="shared" si="465"/>
        <v>0</v>
      </c>
      <c r="V460" s="424">
        <f t="shared" si="465"/>
        <v>0</v>
      </c>
      <c r="W460" s="424">
        <f t="shared" si="465"/>
        <v>0</v>
      </c>
      <c r="X460" s="424">
        <f t="shared" si="465"/>
        <v>0</v>
      </c>
      <c r="Y460" s="424">
        <f t="shared" si="465"/>
        <v>1.17</v>
      </c>
      <c r="Z460" s="424">
        <f t="shared" si="465"/>
        <v>0</v>
      </c>
      <c r="AA460" s="424">
        <f t="shared" si="465"/>
        <v>0</v>
      </c>
      <c r="AB460" s="424">
        <f t="shared" si="465"/>
        <v>0</v>
      </c>
      <c r="AC460" s="424">
        <f t="shared" si="465"/>
        <v>0</v>
      </c>
      <c r="AD460" s="424">
        <f t="shared" si="465"/>
        <v>0</v>
      </c>
      <c r="AE460" s="424">
        <f t="shared" si="465"/>
        <v>0</v>
      </c>
      <c r="AF460" s="424">
        <f t="shared" si="465"/>
        <v>0</v>
      </c>
      <c r="AG460" s="424">
        <f t="shared" si="465"/>
        <v>0</v>
      </c>
      <c r="AH460" s="424">
        <f t="shared" si="465"/>
        <v>0</v>
      </c>
      <c r="AI460" s="424">
        <f t="shared" si="465"/>
        <v>0</v>
      </c>
      <c r="AJ460" s="424">
        <f t="shared" si="465"/>
        <v>0</v>
      </c>
      <c r="AK460" s="424">
        <f t="shared" si="465"/>
        <v>0.6</v>
      </c>
      <c r="AL460" s="424">
        <f t="shared" si="465"/>
        <v>0</v>
      </c>
      <c r="AM460" s="424">
        <f t="shared" si="465"/>
        <v>0</v>
      </c>
      <c r="AN460" s="424">
        <f t="shared" si="465"/>
        <v>0</v>
      </c>
      <c r="AO460" s="424">
        <f t="shared" si="465"/>
        <v>0</v>
      </c>
      <c r="AP460" s="424">
        <f t="shared" ref="AP460:BU460" si="466">AP90*AP$372</f>
        <v>0</v>
      </c>
      <c r="AQ460" s="424">
        <f t="shared" si="466"/>
        <v>0.63</v>
      </c>
      <c r="AR460" s="424">
        <f t="shared" si="466"/>
        <v>0</v>
      </c>
      <c r="AS460" s="424">
        <f t="shared" si="466"/>
        <v>0</v>
      </c>
      <c r="AT460" s="424">
        <f t="shared" si="466"/>
        <v>0</v>
      </c>
      <c r="AU460" s="424">
        <f t="shared" si="466"/>
        <v>0.6</v>
      </c>
      <c r="AV460" s="424">
        <f t="shared" si="466"/>
        <v>0</v>
      </c>
      <c r="AW460" s="424">
        <f t="shared" si="466"/>
        <v>0</v>
      </c>
      <c r="AX460" s="424">
        <f t="shared" si="466"/>
        <v>0</v>
      </c>
      <c r="AY460" s="424">
        <f t="shared" si="466"/>
        <v>0</v>
      </c>
      <c r="AZ460" s="424">
        <f t="shared" si="466"/>
        <v>0</v>
      </c>
      <c r="BA460" s="424">
        <f t="shared" si="466"/>
        <v>0</v>
      </c>
      <c r="BB460" s="424">
        <f t="shared" si="466"/>
        <v>0</v>
      </c>
      <c r="BC460" s="424">
        <f t="shared" si="466"/>
        <v>0</v>
      </c>
      <c r="BD460" s="424">
        <f t="shared" si="466"/>
        <v>0</v>
      </c>
      <c r="BE460" s="424">
        <f t="shared" si="466"/>
        <v>0</v>
      </c>
      <c r="BF460" s="424">
        <f t="shared" si="466"/>
        <v>0</v>
      </c>
      <c r="BG460" s="424">
        <f t="shared" si="466"/>
        <v>0</v>
      </c>
      <c r="BH460" s="424">
        <f t="shared" si="466"/>
        <v>0</v>
      </c>
      <c r="BI460" s="424">
        <f t="shared" si="466"/>
        <v>0</v>
      </c>
      <c r="BJ460" s="424">
        <f t="shared" si="466"/>
        <v>0</v>
      </c>
      <c r="BK460" s="424">
        <f t="shared" si="466"/>
        <v>0</v>
      </c>
      <c r="BL460" s="424">
        <f t="shared" si="466"/>
        <v>0</v>
      </c>
      <c r="BM460" s="424">
        <f t="shared" si="466"/>
        <v>0</v>
      </c>
      <c r="BN460" s="424">
        <f t="shared" si="466"/>
        <v>0</v>
      </c>
      <c r="BO460" s="424">
        <f t="shared" si="466"/>
        <v>0</v>
      </c>
      <c r="BP460" s="424">
        <f t="shared" si="466"/>
        <v>0</v>
      </c>
      <c r="BQ460" s="424">
        <f t="shared" si="466"/>
        <v>0</v>
      </c>
      <c r="BR460" s="424">
        <f t="shared" si="466"/>
        <v>0</v>
      </c>
      <c r="BS460" s="424">
        <f t="shared" si="466"/>
        <v>0</v>
      </c>
      <c r="BT460" s="424">
        <f t="shared" si="466"/>
        <v>0</v>
      </c>
      <c r="BU460" s="424">
        <f t="shared" si="466"/>
        <v>0</v>
      </c>
      <c r="BV460" s="424">
        <f t="shared" ref="BV460:DA460" si="467">BV90*BV$372</f>
        <v>0</v>
      </c>
      <c r="BW460" s="424">
        <f t="shared" si="467"/>
        <v>0</v>
      </c>
      <c r="BX460" s="424">
        <f t="shared" si="467"/>
        <v>0</v>
      </c>
      <c r="BY460" s="424">
        <f t="shared" si="467"/>
        <v>0</v>
      </c>
      <c r="BZ460" s="424">
        <f t="shared" si="467"/>
        <v>0</v>
      </c>
      <c r="CA460" s="424">
        <f t="shared" si="467"/>
        <v>0</v>
      </c>
      <c r="CB460" s="424">
        <f t="shared" si="467"/>
        <v>1.96</v>
      </c>
      <c r="CC460" s="424">
        <f t="shared" si="467"/>
        <v>0</v>
      </c>
      <c r="CD460" s="424">
        <f t="shared" si="467"/>
        <v>0</v>
      </c>
      <c r="CE460" s="424">
        <f t="shared" si="467"/>
        <v>0</v>
      </c>
      <c r="CF460" s="424">
        <f t="shared" si="467"/>
        <v>0.6</v>
      </c>
      <c r="CG460" s="424">
        <f t="shared" si="467"/>
        <v>0</v>
      </c>
      <c r="CH460" s="424">
        <f t="shared" si="467"/>
        <v>0</v>
      </c>
      <c r="CI460" s="424">
        <f t="shared" si="467"/>
        <v>0</v>
      </c>
      <c r="CJ460" s="424">
        <f t="shared" si="467"/>
        <v>0</v>
      </c>
      <c r="CK460" s="424">
        <f t="shared" si="467"/>
        <v>0</v>
      </c>
      <c r="CL460" s="424">
        <f t="shared" si="467"/>
        <v>0</v>
      </c>
      <c r="CM460" s="424">
        <f t="shared" si="467"/>
        <v>0</v>
      </c>
      <c r="CN460" s="424">
        <f t="shared" si="467"/>
        <v>0</v>
      </c>
      <c r="CO460" s="424">
        <f t="shared" si="467"/>
        <v>0</v>
      </c>
      <c r="CP460" s="424">
        <f t="shared" si="467"/>
        <v>0</v>
      </c>
      <c r="CQ460" s="424">
        <f t="shared" si="467"/>
        <v>0</v>
      </c>
      <c r="CR460" s="424">
        <f t="shared" si="467"/>
        <v>0</v>
      </c>
      <c r="CS460" s="424">
        <f t="shared" si="467"/>
        <v>0.01</v>
      </c>
      <c r="CT460" s="424">
        <f t="shared" si="467"/>
        <v>0</v>
      </c>
      <c r="CU460" s="424">
        <f t="shared" si="467"/>
        <v>0</v>
      </c>
      <c r="CV460" s="424">
        <f t="shared" si="467"/>
        <v>0</v>
      </c>
      <c r="CW460" s="424">
        <f t="shared" si="467"/>
        <v>0</v>
      </c>
      <c r="CX460" s="424">
        <f t="shared" si="467"/>
        <v>0</v>
      </c>
      <c r="CY460" s="424">
        <f t="shared" si="467"/>
        <v>0</v>
      </c>
      <c r="CZ460" s="424">
        <f t="shared" si="467"/>
        <v>0</v>
      </c>
      <c r="DA460" s="424">
        <f t="shared" si="467"/>
        <v>0</v>
      </c>
      <c r="DB460" s="424">
        <f t="shared" ref="DB460:EG460" si="468">DB90*DB$372</f>
        <v>0</v>
      </c>
      <c r="DC460" s="424">
        <f t="shared" si="468"/>
        <v>0.06</v>
      </c>
      <c r="DD460" s="424">
        <f t="shared" si="468"/>
        <v>0</v>
      </c>
      <c r="DE460" s="424">
        <f t="shared" si="468"/>
        <v>0</v>
      </c>
      <c r="DF460" s="424">
        <f t="shared" si="468"/>
        <v>0</v>
      </c>
      <c r="DG460" s="424">
        <f t="shared" si="468"/>
        <v>0</v>
      </c>
      <c r="DH460" s="424">
        <f t="shared" si="468"/>
        <v>0</v>
      </c>
      <c r="DI460" s="424">
        <f t="shared" si="468"/>
        <v>0</v>
      </c>
      <c r="DJ460" s="424">
        <f t="shared" si="468"/>
        <v>0</v>
      </c>
      <c r="DK460" s="424">
        <f t="shared" si="468"/>
        <v>0</v>
      </c>
      <c r="DL460" s="424">
        <f t="shared" si="468"/>
        <v>0</v>
      </c>
      <c r="DM460" s="424">
        <f t="shared" si="468"/>
        <v>0</v>
      </c>
      <c r="DN460" s="424">
        <f t="shared" si="468"/>
        <v>0</v>
      </c>
      <c r="DO460" s="424">
        <f t="shared" si="468"/>
        <v>0</v>
      </c>
      <c r="DP460" s="424">
        <f t="shared" si="468"/>
        <v>0</v>
      </c>
      <c r="DQ460" s="424">
        <f t="shared" si="468"/>
        <v>0</v>
      </c>
      <c r="DR460" s="424">
        <f t="shared" si="468"/>
        <v>0</v>
      </c>
      <c r="DS460" s="424">
        <f t="shared" si="468"/>
        <v>0</v>
      </c>
      <c r="DT460" s="424">
        <f t="shared" si="468"/>
        <v>0</v>
      </c>
      <c r="DU460" s="424">
        <f t="shared" si="468"/>
        <v>0</v>
      </c>
      <c r="DV460" s="424">
        <f t="shared" si="468"/>
        <v>0</v>
      </c>
      <c r="DW460" s="424">
        <f t="shared" si="468"/>
        <v>0</v>
      </c>
      <c r="DX460" s="424">
        <f t="shared" si="468"/>
        <v>0</v>
      </c>
      <c r="DY460" s="424">
        <f t="shared" si="468"/>
        <v>0</v>
      </c>
      <c r="DZ460" s="424">
        <f t="shared" si="468"/>
        <v>0</v>
      </c>
      <c r="EA460" s="424">
        <f t="shared" si="468"/>
        <v>0</v>
      </c>
      <c r="EB460" s="424">
        <f t="shared" si="468"/>
        <v>0</v>
      </c>
      <c r="EC460" s="424">
        <f t="shared" si="468"/>
        <v>0</v>
      </c>
      <c r="ED460" s="424">
        <f t="shared" si="468"/>
        <v>0</v>
      </c>
      <c r="EE460" s="424">
        <f t="shared" si="468"/>
        <v>0</v>
      </c>
      <c r="EF460" s="424">
        <f t="shared" si="468"/>
        <v>0</v>
      </c>
      <c r="EG460" s="424">
        <f t="shared" si="468"/>
        <v>0</v>
      </c>
      <c r="EH460" s="424">
        <f t="shared" ref="EH460:EX460" si="469">EH90*EH$372</f>
        <v>0</v>
      </c>
      <c r="EI460" s="424">
        <f t="shared" si="469"/>
        <v>0</v>
      </c>
      <c r="EJ460" s="424">
        <f t="shared" si="469"/>
        <v>0</v>
      </c>
      <c r="EK460" s="424">
        <f t="shared" si="469"/>
        <v>0</v>
      </c>
      <c r="EL460" s="424">
        <f t="shared" si="469"/>
        <v>0</v>
      </c>
      <c r="EM460" s="424">
        <f t="shared" si="469"/>
        <v>0</v>
      </c>
      <c r="EN460" s="424">
        <f t="shared" si="469"/>
        <v>0</v>
      </c>
      <c r="EO460" s="424">
        <f t="shared" si="469"/>
        <v>0</v>
      </c>
      <c r="EP460" s="424">
        <f t="shared" si="469"/>
        <v>0</v>
      </c>
      <c r="EQ460" s="424">
        <f t="shared" si="469"/>
        <v>0</v>
      </c>
      <c r="ER460" s="424">
        <f t="shared" si="469"/>
        <v>0</v>
      </c>
      <c r="ES460" s="424">
        <f t="shared" si="469"/>
        <v>0</v>
      </c>
      <c r="ET460" s="424">
        <f t="shared" si="469"/>
        <v>0</v>
      </c>
      <c r="EU460" s="424">
        <f t="shared" si="469"/>
        <v>0</v>
      </c>
      <c r="EV460" s="424">
        <f t="shared" si="469"/>
        <v>0</v>
      </c>
      <c r="EW460" s="424">
        <f t="shared" si="469"/>
        <v>0</v>
      </c>
      <c r="EX460" s="424">
        <f t="shared" si="469"/>
        <v>0</v>
      </c>
      <c r="EY460" s="425">
        <f t="shared" si="374"/>
        <v>5.63</v>
      </c>
    </row>
    <row r="461" spans="1:166" ht="14.7" customHeight="1" x14ac:dyDescent="0.25">
      <c r="A461" s="310">
        <v>87</v>
      </c>
      <c r="B461" s="311" t="str">
        <f t="shared" si="355"/>
        <v>Суп с крупой перловой</v>
      </c>
      <c r="C461" s="483">
        <f t="shared" si="363"/>
        <v>4.47</v>
      </c>
      <c r="D461" s="888"/>
      <c r="E461" s="888"/>
      <c r="F461" s="888"/>
      <c r="G461" s="889"/>
      <c r="H461" s="680">
        <f t="shared" si="356"/>
        <v>115</v>
      </c>
      <c r="I461" s="1209">
        <f t="shared" si="357"/>
        <v>0</v>
      </c>
      <c r="J461" s="424">
        <f t="shared" ref="J461:AO461" si="470">J91*J$372</f>
        <v>0</v>
      </c>
      <c r="K461" s="424">
        <f t="shared" si="470"/>
        <v>0</v>
      </c>
      <c r="L461" s="424">
        <f t="shared" si="470"/>
        <v>0</v>
      </c>
      <c r="M461" s="424">
        <f t="shared" si="470"/>
        <v>0</v>
      </c>
      <c r="N461" s="424">
        <f t="shared" si="470"/>
        <v>0</v>
      </c>
      <c r="O461" s="424">
        <f t="shared" si="470"/>
        <v>0</v>
      </c>
      <c r="P461" s="424">
        <f t="shared" si="470"/>
        <v>0</v>
      </c>
      <c r="Q461" s="424">
        <f t="shared" si="470"/>
        <v>0</v>
      </c>
      <c r="R461" s="424">
        <f t="shared" si="470"/>
        <v>0</v>
      </c>
      <c r="S461" s="424">
        <f t="shared" si="470"/>
        <v>0</v>
      </c>
      <c r="T461" s="424">
        <f t="shared" si="470"/>
        <v>0</v>
      </c>
      <c r="U461" s="424">
        <f t="shared" si="470"/>
        <v>0</v>
      </c>
      <c r="V461" s="424">
        <f t="shared" si="470"/>
        <v>0</v>
      </c>
      <c r="W461" s="424">
        <f t="shared" si="470"/>
        <v>0</v>
      </c>
      <c r="X461" s="424">
        <f t="shared" si="470"/>
        <v>0</v>
      </c>
      <c r="Y461" s="424">
        <f t="shared" si="470"/>
        <v>1.17</v>
      </c>
      <c r="Z461" s="424">
        <f t="shared" si="470"/>
        <v>0</v>
      </c>
      <c r="AA461" s="424">
        <f t="shared" si="470"/>
        <v>0</v>
      </c>
      <c r="AB461" s="424">
        <f t="shared" si="470"/>
        <v>0</v>
      </c>
      <c r="AC461" s="424">
        <f t="shared" si="470"/>
        <v>0</v>
      </c>
      <c r="AD461" s="424">
        <f t="shared" si="470"/>
        <v>0</v>
      </c>
      <c r="AE461" s="424">
        <f t="shared" si="470"/>
        <v>0</v>
      </c>
      <c r="AF461" s="424">
        <f t="shared" si="470"/>
        <v>0</v>
      </c>
      <c r="AG461" s="424">
        <f t="shared" si="470"/>
        <v>0</v>
      </c>
      <c r="AH461" s="424">
        <f t="shared" si="470"/>
        <v>0</v>
      </c>
      <c r="AI461" s="424">
        <f t="shared" si="470"/>
        <v>0</v>
      </c>
      <c r="AJ461" s="424">
        <f t="shared" si="470"/>
        <v>0</v>
      </c>
      <c r="AK461" s="424">
        <f t="shared" si="470"/>
        <v>0.6</v>
      </c>
      <c r="AL461" s="424">
        <f t="shared" si="470"/>
        <v>0</v>
      </c>
      <c r="AM461" s="424">
        <f t="shared" si="470"/>
        <v>0</v>
      </c>
      <c r="AN461" s="424">
        <f t="shared" si="470"/>
        <v>0</v>
      </c>
      <c r="AO461" s="424">
        <f t="shared" si="470"/>
        <v>0</v>
      </c>
      <c r="AP461" s="424">
        <f t="shared" ref="AP461:BU461" si="471">AP91*AP$372</f>
        <v>0</v>
      </c>
      <c r="AQ461" s="424">
        <f t="shared" si="471"/>
        <v>0.63</v>
      </c>
      <c r="AR461" s="424">
        <f t="shared" si="471"/>
        <v>0</v>
      </c>
      <c r="AS461" s="424">
        <f t="shared" si="471"/>
        <v>0</v>
      </c>
      <c r="AT461" s="424">
        <f t="shared" si="471"/>
        <v>0</v>
      </c>
      <c r="AU461" s="424">
        <f t="shared" si="471"/>
        <v>0.6</v>
      </c>
      <c r="AV461" s="424">
        <f t="shared" si="471"/>
        <v>0</v>
      </c>
      <c r="AW461" s="424">
        <f t="shared" si="471"/>
        <v>0</v>
      </c>
      <c r="AX461" s="424">
        <f t="shared" si="471"/>
        <v>0</v>
      </c>
      <c r="AY461" s="424">
        <f t="shared" si="471"/>
        <v>0</v>
      </c>
      <c r="AZ461" s="424">
        <f t="shared" si="471"/>
        <v>0</v>
      </c>
      <c r="BA461" s="424">
        <f t="shared" si="471"/>
        <v>0</v>
      </c>
      <c r="BB461" s="424">
        <f t="shared" si="471"/>
        <v>0</v>
      </c>
      <c r="BC461" s="424">
        <f t="shared" si="471"/>
        <v>0</v>
      </c>
      <c r="BD461" s="424">
        <f t="shared" si="471"/>
        <v>0</v>
      </c>
      <c r="BE461" s="424">
        <f t="shared" si="471"/>
        <v>0</v>
      </c>
      <c r="BF461" s="424">
        <f t="shared" si="471"/>
        <v>0</v>
      </c>
      <c r="BG461" s="424">
        <f t="shared" si="471"/>
        <v>0</v>
      </c>
      <c r="BH461" s="424">
        <f t="shared" si="471"/>
        <v>0</v>
      </c>
      <c r="BI461" s="424">
        <f t="shared" si="471"/>
        <v>0</v>
      </c>
      <c r="BJ461" s="424">
        <f t="shared" si="471"/>
        <v>0</v>
      </c>
      <c r="BK461" s="424">
        <f t="shared" si="471"/>
        <v>0</v>
      </c>
      <c r="BL461" s="424">
        <f t="shared" si="471"/>
        <v>0</v>
      </c>
      <c r="BM461" s="424">
        <f t="shared" si="471"/>
        <v>0</v>
      </c>
      <c r="BN461" s="424">
        <f t="shared" si="471"/>
        <v>0</v>
      </c>
      <c r="BO461" s="424">
        <f t="shared" si="471"/>
        <v>0</v>
      </c>
      <c r="BP461" s="424">
        <f t="shared" si="471"/>
        <v>0</v>
      </c>
      <c r="BQ461" s="424">
        <f t="shared" si="471"/>
        <v>0</v>
      </c>
      <c r="BR461" s="424">
        <f t="shared" si="471"/>
        <v>0</v>
      </c>
      <c r="BS461" s="424">
        <f t="shared" si="471"/>
        <v>0</v>
      </c>
      <c r="BT461" s="424">
        <f t="shared" si="471"/>
        <v>0</v>
      </c>
      <c r="BU461" s="424">
        <f t="shared" si="471"/>
        <v>0</v>
      </c>
      <c r="BV461" s="424">
        <f t="shared" ref="BV461:DA461" si="472">BV91*BV$372</f>
        <v>0.8</v>
      </c>
      <c r="BW461" s="424">
        <f t="shared" si="472"/>
        <v>0</v>
      </c>
      <c r="BX461" s="424">
        <f t="shared" si="472"/>
        <v>0</v>
      </c>
      <c r="BY461" s="424">
        <f t="shared" si="472"/>
        <v>0</v>
      </c>
      <c r="BZ461" s="424">
        <f t="shared" si="472"/>
        <v>0</v>
      </c>
      <c r="CA461" s="424">
        <f t="shared" si="472"/>
        <v>0</v>
      </c>
      <c r="CB461" s="424">
        <f t="shared" si="472"/>
        <v>0</v>
      </c>
      <c r="CC461" s="424">
        <f t="shared" si="472"/>
        <v>0</v>
      </c>
      <c r="CD461" s="424">
        <f t="shared" si="472"/>
        <v>0</v>
      </c>
      <c r="CE461" s="424">
        <f t="shared" si="472"/>
        <v>0</v>
      </c>
      <c r="CF461" s="424">
        <f t="shared" si="472"/>
        <v>0.6</v>
      </c>
      <c r="CG461" s="424">
        <f t="shared" si="472"/>
        <v>0</v>
      </c>
      <c r="CH461" s="424">
        <f t="shared" si="472"/>
        <v>0</v>
      </c>
      <c r="CI461" s="424">
        <f t="shared" si="472"/>
        <v>0</v>
      </c>
      <c r="CJ461" s="424">
        <f t="shared" si="472"/>
        <v>0</v>
      </c>
      <c r="CK461" s="424">
        <f t="shared" si="472"/>
        <v>0</v>
      </c>
      <c r="CL461" s="424">
        <f t="shared" si="472"/>
        <v>0</v>
      </c>
      <c r="CM461" s="424">
        <f t="shared" si="472"/>
        <v>0</v>
      </c>
      <c r="CN461" s="424">
        <f t="shared" si="472"/>
        <v>0</v>
      </c>
      <c r="CO461" s="424">
        <f t="shared" si="472"/>
        <v>0</v>
      </c>
      <c r="CP461" s="424">
        <f t="shared" si="472"/>
        <v>0</v>
      </c>
      <c r="CQ461" s="424">
        <f t="shared" si="472"/>
        <v>0</v>
      </c>
      <c r="CR461" s="424">
        <f t="shared" si="472"/>
        <v>0</v>
      </c>
      <c r="CS461" s="424">
        <f t="shared" si="472"/>
        <v>0.01</v>
      </c>
      <c r="CT461" s="424">
        <f t="shared" si="472"/>
        <v>0</v>
      </c>
      <c r="CU461" s="424">
        <f t="shared" si="472"/>
        <v>0</v>
      </c>
      <c r="CV461" s="424">
        <f t="shared" si="472"/>
        <v>0</v>
      </c>
      <c r="CW461" s="424">
        <f t="shared" si="472"/>
        <v>0</v>
      </c>
      <c r="CX461" s="424">
        <f t="shared" si="472"/>
        <v>0</v>
      </c>
      <c r="CY461" s="424">
        <f t="shared" si="472"/>
        <v>0</v>
      </c>
      <c r="CZ461" s="424">
        <f t="shared" si="472"/>
        <v>0</v>
      </c>
      <c r="DA461" s="424">
        <f t="shared" si="472"/>
        <v>0</v>
      </c>
      <c r="DB461" s="424">
        <f t="shared" ref="DB461:EG461" si="473">DB91*DB$372</f>
        <v>0</v>
      </c>
      <c r="DC461" s="424">
        <f t="shared" si="473"/>
        <v>0.06</v>
      </c>
      <c r="DD461" s="424">
        <f t="shared" si="473"/>
        <v>0</v>
      </c>
      <c r="DE461" s="424">
        <f t="shared" si="473"/>
        <v>0</v>
      </c>
      <c r="DF461" s="424">
        <f t="shared" si="473"/>
        <v>0</v>
      </c>
      <c r="DG461" s="424">
        <f t="shared" si="473"/>
        <v>0</v>
      </c>
      <c r="DH461" s="424">
        <f t="shared" si="473"/>
        <v>0</v>
      </c>
      <c r="DI461" s="424">
        <f t="shared" si="473"/>
        <v>0</v>
      </c>
      <c r="DJ461" s="424">
        <f t="shared" si="473"/>
        <v>0</v>
      </c>
      <c r="DK461" s="424">
        <f t="shared" si="473"/>
        <v>0</v>
      </c>
      <c r="DL461" s="424">
        <f t="shared" si="473"/>
        <v>0</v>
      </c>
      <c r="DM461" s="424">
        <f t="shared" si="473"/>
        <v>0</v>
      </c>
      <c r="DN461" s="424">
        <f t="shared" si="473"/>
        <v>0</v>
      </c>
      <c r="DO461" s="424">
        <f t="shared" si="473"/>
        <v>0</v>
      </c>
      <c r="DP461" s="424">
        <f t="shared" si="473"/>
        <v>0</v>
      </c>
      <c r="DQ461" s="424">
        <f t="shared" si="473"/>
        <v>0</v>
      </c>
      <c r="DR461" s="424">
        <f t="shared" si="473"/>
        <v>0</v>
      </c>
      <c r="DS461" s="424">
        <f t="shared" si="473"/>
        <v>0</v>
      </c>
      <c r="DT461" s="424">
        <f t="shared" si="473"/>
        <v>0</v>
      </c>
      <c r="DU461" s="424">
        <f t="shared" si="473"/>
        <v>0</v>
      </c>
      <c r="DV461" s="424">
        <f t="shared" si="473"/>
        <v>0</v>
      </c>
      <c r="DW461" s="424">
        <f t="shared" si="473"/>
        <v>0</v>
      </c>
      <c r="DX461" s="424">
        <f t="shared" si="473"/>
        <v>0</v>
      </c>
      <c r="DY461" s="424">
        <f t="shared" si="473"/>
        <v>0</v>
      </c>
      <c r="DZ461" s="424">
        <f t="shared" si="473"/>
        <v>0</v>
      </c>
      <c r="EA461" s="424">
        <f t="shared" si="473"/>
        <v>0</v>
      </c>
      <c r="EB461" s="424">
        <f t="shared" si="473"/>
        <v>0</v>
      </c>
      <c r="EC461" s="424">
        <f t="shared" si="473"/>
        <v>0</v>
      </c>
      <c r="ED461" s="424">
        <f t="shared" si="473"/>
        <v>0</v>
      </c>
      <c r="EE461" s="424">
        <f t="shared" si="473"/>
        <v>0</v>
      </c>
      <c r="EF461" s="424">
        <f t="shared" si="473"/>
        <v>0</v>
      </c>
      <c r="EG461" s="424">
        <f t="shared" si="473"/>
        <v>0</v>
      </c>
      <c r="EH461" s="424">
        <f t="shared" ref="EH461:EX461" si="474">EH91*EH$372</f>
        <v>0</v>
      </c>
      <c r="EI461" s="424">
        <f t="shared" si="474"/>
        <v>0</v>
      </c>
      <c r="EJ461" s="424">
        <f t="shared" si="474"/>
        <v>0</v>
      </c>
      <c r="EK461" s="424">
        <f t="shared" si="474"/>
        <v>0</v>
      </c>
      <c r="EL461" s="424">
        <f t="shared" si="474"/>
        <v>0</v>
      </c>
      <c r="EM461" s="424">
        <f t="shared" si="474"/>
        <v>0</v>
      </c>
      <c r="EN461" s="424">
        <f t="shared" si="474"/>
        <v>0</v>
      </c>
      <c r="EO461" s="424">
        <f t="shared" si="474"/>
        <v>0</v>
      </c>
      <c r="EP461" s="424">
        <f t="shared" si="474"/>
        <v>0</v>
      </c>
      <c r="EQ461" s="424">
        <f t="shared" si="474"/>
        <v>0</v>
      </c>
      <c r="ER461" s="424">
        <f t="shared" si="474"/>
        <v>0</v>
      </c>
      <c r="ES461" s="424">
        <f t="shared" si="474"/>
        <v>0</v>
      </c>
      <c r="ET461" s="424">
        <f t="shared" si="474"/>
        <v>0</v>
      </c>
      <c r="EU461" s="424">
        <f t="shared" si="474"/>
        <v>0</v>
      </c>
      <c r="EV461" s="424">
        <f t="shared" si="474"/>
        <v>0</v>
      </c>
      <c r="EW461" s="424">
        <f t="shared" si="474"/>
        <v>0</v>
      </c>
      <c r="EX461" s="424">
        <f t="shared" si="474"/>
        <v>0</v>
      </c>
      <c r="EY461" s="425">
        <f t="shared" si="374"/>
        <v>4.47</v>
      </c>
    </row>
    <row r="462" spans="1:166" ht="14.7" customHeight="1" x14ac:dyDescent="0.25">
      <c r="A462" s="310">
        <v>88</v>
      </c>
      <c r="B462" s="311" t="str">
        <f t="shared" si="355"/>
        <v>Суп с крупой овсяной</v>
      </c>
      <c r="C462" s="483">
        <f t="shared" si="363"/>
        <v>4.55</v>
      </c>
      <c r="D462" s="888"/>
      <c r="E462" s="888"/>
      <c r="F462" s="888"/>
      <c r="G462" s="889"/>
      <c r="H462" s="680">
        <f t="shared" si="356"/>
        <v>115</v>
      </c>
      <c r="I462" s="1209">
        <f t="shared" si="357"/>
        <v>-0.01</v>
      </c>
      <c r="J462" s="424">
        <f t="shared" ref="J462:AO462" si="475">J92*J$372</f>
        <v>0</v>
      </c>
      <c r="K462" s="424">
        <f t="shared" si="475"/>
        <v>0</v>
      </c>
      <c r="L462" s="424">
        <f t="shared" si="475"/>
        <v>0</v>
      </c>
      <c r="M462" s="424">
        <f t="shared" si="475"/>
        <v>0</v>
      </c>
      <c r="N462" s="424">
        <f t="shared" si="475"/>
        <v>0</v>
      </c>
      <c r="O462" s="424">
        <f t="shared" si="475"/>
        <v>0</v>
      </c>
      <c r="P462" s="424">
        <f t="shared" si="475"/>
        <v>0</v>
      </c>
      <c r="Q462" s="424">
        <f t="shared" si="475"/>
        <v>0</v>
      </c>
      <c r="R462" s="424">
        <f t="shared" si="475"/>
        <v>0</v>
      </c>
      <c r="S462" s="424">
        <f t="shared" si="475"/>
        <v>0</v>
      </c>
      <c r="T462" s="424">
        <f t="shared" si="475"/>
        <v>0</v>
      </c>
      <c r="U462" s="424">
        <f t="shared" si="475"/>
        <v>0</v>
      </c>
      <c r="V462" s="424">
        <f t="shared" si="475"/>
        <v>0</v>
      </c>
      <c r="W462" s="424">
        <f t="shared" si="475"/>
        <v>0</v>
      </c>
      <c r="X462" s="424">
        <f t="shared" si="475"/>
        <v>0</v>
      </c>
      <c r="Y462" s="424">
        <f t="shared" si="475"/>
        <v>1.17</v>
      </c>
      <c r="Z462" s="424">
        <f t="shared" si="475"/>
        <v>0</v>
      </c>
      <c r="AA462" s="424">
        <f t="shared" si="475"/>
        <v>0</v>
      </c>
      <c r="AB462" s="424">
        <f t="shared" si="475"/>
        <v>0</v>
      </c>
      <c r="AC462" s="424">
        <f t="shared" si="475"/>
        <v>0</v>
      </c>
      <c r="AD462" s="424">
        <f t="shared" si="475"/>
        <v>0</v>
      </c>
      <c r="AE462" s="424">
        <f t="shared" si="475"/>
        <v>0</v>
      </c>
      <c r="AF462" s="424">
        <f t="shared" si="475"/>
        <v>0</v>
      </c>
      <c r="AG462" s="424">
        <f t="shared" si="475"/>
        <v>0</v>
      </c>
      <c r="AH462" s="424">
        <f t="shared" si="475"/>
        <v>0</v>
      </c>
      <c r="AI462" s="424">
        <f t="shared" si="475"/>
        <v>0</v>
      </c>
      <c r="AJ462" s="424">
        <f t="shared" si="475"/>
        <v>0</v>
      </c>
      <c r="AK462" s="424">
        <f t="shared" si="475"/>
        <v>0.6</v>
      </c>
      <c r="AL462" s="424">
        <f t="shared" si="475"/>
        <v>0</v>
      </c>
      <c r="AM462" s="424">
        <f t="shared" si="475"/>
        <v>0</v>
      </c>
      <c r="AN462" s="424">
        <f t="shared" si="475"/>
        <v>0</v>
      </c>
      <c r="AO462" s="424">
        <f t="shared" si="475"/>
        <v>0</v>
      </c>
      <c r="AP462" s="424">
        <f t="shared" ref="AP462:BU462" si="476">AP92*AP$372</f>
        <v>0</v>
      </c>
      <c r="AQ462" s="424">
        <f t="shared" si="476"/>
        <v>0.63</v>
      </c>
      <c r="AR462" s="424">
        <f t="shared" si="476"/>
        <v>0</v>
      </c>
      <c r="AS462" s="424">
        <f t="shared" si="476"/>
        <v>0</v>
      </c>
      <c r="AT462" s="424">
        <f t="shared" si="476"/>
        <v>0</v>
      </c>
      <c r="AU462" s="424">
        <f t="shared" si="476"/>
        <v>0.6</v>
      </c>
      <c r="AV462" s="424">
        <f t="shared" si="476"/>
        <v>0</v>
      </c>
      <c r="AW462" s="424">
        <f t="shared" si="476"/>
        <v>0</v>
      </c>
      <c r="AX462" s="424">
        <f t="shared" si="476"/>
        <v>0</v>
      </c>
      <c r="AY462" s="424">
        <f t="shared" si="476"/>
        <v>0</v>
      </c>
      <c r="AZ462" s="424">
        <f t="shared" si="476"/>
        <v>0</v>
      </c>
      <c r="BA462" s="424">
        <f t="shared" si="476"/>
        <v>0</v>
      </c>
      <c r="BB462" s="424">
        <f t="shared" si="476"/>
        <v>0</v>
      </c>
      <c r="BC462" s="424">
        <f t="shared" si="476"/>
        <v>0</v>
      </c>
      <c r="BD462" s="424">
        <f t="shared" si="476"/>
        <v>0</v>
      </c>
      <c r="BE462" s="424">
        <f t="shared" si="476"/>
        <v>0</v>
      </c>
      <c r="BF462" s="424">
        <f t="shared" si="476"/>
        <v>0</v>
      </c>
      <c r="BG462" s="424">
        <f t="shared" si="476"/>
        <v>0</v>
      </c>
      <c r="BH462" s="424">
        <f t="shared" si="476"/>
        <v>0</v>
      </c>
      <c r="BI462" s="424">
        <f t="shared" si="476"/>
        <v>0</v>
      </c>
      <c r="BJ462" s="424">
        <f t="shared" si="476"/>
        <v>0</v>
      </c>
      <c r="BK462" s="424">
        <f t="shared" si="476"/>
        <v>0</v>
      </c>
      <c r="BL462" s="424">
        <f t="shared" si="476"/>
        <v>0</v>
      </c>
      <c r="BM462" s="424">
        <f t="shared" si="476"/>
        <v>0</v>
      </c>
      <c r="BN462" s="424">
        <f t="shared" si="476"/>
        <v>0</v>
      </c>
      <c r="BO462" s="424">
        <f t="shared" si="476"/>
        <v>0</v>
      </c>
      <c r="BP462" s="424">
        <f t="shared" si="476"/>
        <v>0</v>
      </c>
      <c r="BQ462" s="424">
        <f t="shared" si="476"/>
        <v>0</v>
      </c>
      <c r="BR462" s="424">
        <f t="shared" si="476"/>
        <v>0</v>
      </c>
      <c r="BS462" s="424">
        <f t="shared" si="476"/>
        <v>0</v>
      </c>
      <c r="BT462" s="424">
        <f t="shared" si="476"/>
        <v>0</v>
      </c>
      <c r="BU462" s="424">
        <f t="shared" si="476"/>
        <v>0</v>
      </c>
      <c r="BV462" s="424">
        <f t="shared" ref="BV462:DA462" si="477">BV92*BV$372</f>
        <v>0</v>
      </c>
      <c r="BW462" s="424">
        <f t="shared" si="477"/>
        <v>0.88</v>
      </c>
      <c r="BX462" s="424">
        <f t="shared" si="477"/>
        <v>0</v>
      </c>
      <c r="BY462" s="424">
        <f t="shared" si="477"/>
        <v>0</v>
      </c>
      <c r="BZ462" s="424">
        <f t="shared" si="477"/>
        <v>0</v>
      </c>
      <c r="CA462" s="424">
        <f t="shared" si="477"/>
        <v>0</v>
      </c>
      <c r="CB462" s="424">
        <f t="shared" si="477"/>
        <v>0</v>
      </c>
      <c r="CC462" s="424">
        <f t="shared" si="477"/>
        <v>0</v>
      </c>
      <c r="CD462" s="424">
        <f t="shared" si="477"/>
        <v>0</v>
      </c>
      <c r="CE462" s="424">
        <f t="shared" si="477"/>
        <v>0</v>
      </c>
      <c r="CF462" s="424">
        <f t="shared" si="477"/>
        <v>0.6</v>
      </c>
      <c r="CG462" s="424">
        <f t="shared" si="477"/>
        <v>0</v>
      </c>
      <c r="CH462" s="424">
        <f t="shared" si="477"/>
        <v>0</v>
      </c>
      <c r="CI462" s="424">
        <f t="shared" si="477"/>
        <v>0</v>
      </c>
      <c r="CJ462" s="424">
        <f t="shared" si="477"/>
        <v>0</v>
      </c>
      <c r="CK462" s="424">
        <f t="shared" si="477"/>
        <v>0</v>
      </c>
      <c r="CL462" s="424">
        <f t="shared" si="477"/>
        <v>0</v>
      </c>
      <c r="CM462" s="424">
        <f t="shared" si="477"/>
        <v>0</v>
      </c>
      <c r="CN462" s="424">
        <f t="shared" si="477"/>
        <v>0</v>
      </c>
      <c r="CO462" s="424">
        <f t="shared" si="477"/>
        <v>0</v>
      </c>
      <c r="CP462" s="424">
        <f t="shared" si="477"/>
        <v>0</v>
      </c>
      <c r="CQ462" s="424">
        <f t="shared" si="477"/>
        <v>0</v>
      </c>
      <c r="CR462" s="424">
        <f t="shared" si="477"/>
        <v>0</v>
      </c>
      <c r="CS462" s="424">
        <f t="shared" si="477"/>
        <v>0.01</v>
      </c>
      <c r="CT462" s="424">
        <f t="shared" si="477"/>
        <v>0</v>
      </c>
      <c r="CU462" s="424">
        <f t="shared" si="477"/>
        <v>0</v>
      </c>
      <c r="CV462" s="424">
        <f t="shared" si="477"/>
        <v>0</v>
      </c>
      <c r="CW462" s="424">
        <f t="shared" si="477"/>
        <v>0</v>
      </c>
      <c r="CX462" s="424">
        <f t="shared" si="477"/>
        <v>0</v>
      </c>
      <c r="CY462" s="424">
        <f t="shared" si="477"/>
        <v>0</v>
      </c>
      <c r="CZ462" s="424">
        <f t="shared" si="477"/>
        <v>0</v>
      </c>
      <c r="DA462" s="424">
        <f t="shared" si="477"/>
        <v>0</v>
      </c>
      <c r="DB462" s="424">
        <f t="shared" ref="DB462:EG462" si="478">DB92*DB$372</f>
        <v>0</v>
      </c>
      <c r="DC462" s="424">
        <f t="shared" si="478"/>
        <v>0.06</v>
      </c>
      <c r="DD462" s="424">
        <f t="shared" si="478"/>
        <v>0</v>
      </c>
      <c r="DE462" s="424">
        <f t="shared" si="478"/>
        <v>0</v>
      </c>
      <c r="DF462" s="424">
        <f t="shared" si="478"/>
        <v>0</v>
      </c>
      <c r="DG462" s="424">
        <f t="shared" si="478"/>
        <v>0</v>
      </c>
      <c r="DH462" s="424">
        <f t="shared" si="478"/>
        <v>0</v>
      </c>
      <c r="DI462" s="424">
        <f t="shared" si="478"/>
        <v>0</v>
      </c>
      <c r="DJ462" s="424">
        <f t="shared" si="478"/>
        <v>0</v>
      </c>
      <c r="DK462" s="424">
        <f t="shared" si="478"/>
        <v>0</v>
      </c>
      <c r="DL462" s="424">
        <f t="shared" si="478"/>
        <v>0</v>
      </c>
      <c r="DM462" s="424">
        <f t="shared" si="478"/>
        <v>0</v>
      </c>
      <c r="DN462" s="424">
        <f t="shared" si="478"/>
        <v>0</v>
      </c>
      <c r="DO462" s="424">
        <f t="shared" si="478"/>
        <v>0</v>
      </c>
      <c r="DP462" s="424">
        <f t="shared" si="478"/>
        <v>0</v>
      </c>
      <c r="DQ462" s="424">
        <f t="shared" si="478"/>
        <v>0</v>
      </c>
      <c r="DR462" s="424">
        <f t="shared" si="478"/>
        <v>0</v>
      </c>
      <c r="DS462" s="424">
        <f t="shared" si="478"/>
        <v>0</v>
      </c>
      <c r="DT462" s="424">
        <f t="shared" si="478"/>
        <v>0</v>
      </c>
      <c r="DU462" s="424">
        <f t="shared" si="478"/>
        <v>0</v>
      </c>
      <c r="DV462" s="424">
        <f t="shared" si="478"/>
        <v>0</v>
      </c>
      <c r="DW462" s="424">
        <f t="shared" si="478"/>
        <v>0</v>
      </c>
      <c r="DX462" s="424">
        <f t="shared" si="478"/>
        <v>0</v>
      </c>
      <c r="DY462" s="424">
        <f t="shared" si="478"/>
        <v>0</v>
      </c>
      <c r="DZ462" s="424">
        <f t="shared" si="478"/>
        <v>0</v>
      </c>
      <c r="EA462" s="424">
        <f t="shared" si="478"/>
        <v>0</v>
      </c>
      <c r="EB462" s="424">
        <f t="shared" si="478"/>
        <v>0</v>
      </c>
      <c r="EC462" s="424">
        <f t="shared" si="478"/>
        <v>0</v>
      </c>
      <c r="ED462" s="424">
        <f t="shared" si="478"/>
        <v>0</v>
      </c>
      <c r="EE462" s="424">
        <f t="shared" si="478"/>
        <v>0</v>
      </c>
      <c r="EF462" s="424">
        <f t="shared" si="478"/>
        <v>0</v>
      </c>
      <c r="EG462" s="424">
        <f t="shared" si="478"/>
        <v>0</v>
      </c>
      <c r="EH462" s="424">
        <f t="shared" ref="EH462:EX462" si="479">EH92*EH$372</f>
        <v>0</v>
      </c>
      <c r="EI462" s="424">
        <f t="shared" si="479"/>
        <v>0</v>
      </c>
      <c r="EJ462" s="424">
        <f t="shared" si="479"/>
        <v>0</v>
      </c>
      <c r="EK462" s="424">
        <f t="shared" si="479"/>
        <v>0</v>
      </c>
      <c r="EL462" s="424">
        <f t="shared" si="479"/>
        <v>0</v>
      </c>
      <c r="EM462" s="424">
        <f t="shared" si="479"/>
        <v>0</v>
      </c>
      <c r="EN462" s="424">
        <f t="shared" si="479"/>
        <v>0</v>
      </c>
      <c r="EO462" s="424">
        <f t="shared" si="479"/>
        <v>0</v>
      </c>
      <c r="EP462" s="424">
        <f t="shared" si="479"/>
        <v>0</v>
      </c>
      <c r="EQ462" s="424">
        <f t="shared" si="479"/>
        <v>0</v>
      </c>
      <c r="ER462" s="424">
        <f t="shared" si="479"/>
        <v>0</v>
      </c>
      <c r="ES462" s="424">
        <f t="shared" si="479"/>
        <v>0</v>
      </c>
      <c r="ET462" s="424">
        <f t="shared" si="479"/>
        <v>0</v>
      </c>
      <c r="EU462" s="424">
        <f t="shared" si="479"/>
        <v>0</v>
      </c>
      <c r="EV462" s="424">
        <f t="shared" si="479"/>
        <v>0</v>
      </c>
      <c r="EW462" s="424">
        <f t="shared" si="479"/>
        <v>0</v>
      </c>
      <c r="EX462" s="424">
        <f t="shared" si="479"/>
        <v>0</v>
      </c>
      <c r="EY462" s="425">
        <f t="shared" si="374"/>
        <v>4.55</v>
      </c>
    </row>
    <row r="463" spans="1:166" ht="14.7" customHeight="1" x14ac:dyDescent="0.25">
      <c r="A463" s="310">
        <v>89</v>
      </c>
      <c r="B463" s="311" t="str">
        <f t="shared" si="355"/>
        <v>Суп с крупой ячневой</v>
      </c>
      <c r="C463" s="483">
        <f t="shared" si="363"/>
        <v>4.55</v>
      </c>
      <c r="D463" s="888"/>
      <c r="E463" s="888"/>
      <c r="F463" s="888"/>
      <c r="G463" s="889"/>
      <c r="H463" s="680">
        <f t="shared" si="356"/>
        <v>115</v>
      </c>
      <c r="I463" s="1209">
        <f t="shared" si="357"/>
        <v>-0.01</v>
      </c>
      <c r="J463" s="424">
        <f t="shared" ref="J463:AO463" si="480">J93*J$372</f>
        <v>0</v>
      </c>
      <c r="K463" s="424">
        <f t="shared" si="480"/>
        <v>0</v>
      </c>
      <c r="L463" s="424">
        <f t="shared" si="480"/>
        <v>0</v>
      </c>
      <c r="M463" s="424">
        <f t="shared" si="480"/>
        <v>0</v>
      </c>
      <c r="N463" s="424">
        <f t="shared" si="480"/>
        <v>0</v>
      </c>
      <c r="O463" s="424">
        <f t="shared" si="480"/>
        <v>0</v>
      </c>
      <c r="P463" s="424">
        <f t="shared" si="480"/>
        <v>0</v>
      </c>
      <c r="Q463" s="424">
        <f t="shared" si="480"/>
        <v>0</v>
      </c>
      <c r="R463" s="424">
        <f t="shared" si="480"/>
        <v>0</v>
      </c>
      <c r="S463" s="424">
        <f t="shared" si="480"/>
        <v>0</v>
      </c>
      <c r="T463" s="424">
        <f t="shared" si="480"/>
        <v>0</v>
      </c>
      <c r="U463" s="424">
        <f t="shared" si="480"/>
        <v>0</v>
      </c>
      <c r="V463" s="424">
        <f t="shared" si="480"/>
        <v>0</v>
      </c>
      <c r="W463" s="424">
        <f t="shared" si="480"/>
        <v>0</v>
      </c>
      <c r="X463" s="424">
        <f t="shared" si="480"/>
        <v>0</v>
      </c>
      <c r="Y463" s="424">
        <f t="shared" si="480"/>
        <v>1.17</v>
      </c>
      <c r="Z463" s="424">
        <f t="shared" si="480"/>
        <v>0</v>
      </c>
      <c r="AA463" s="424">
        <f t="shared" si="480"/>
        <v>0</v>
      </c>
      <c r="AB463" s="424">
        <f t="shared" si="480"/>
        <v>0</v>
      </c>
      <c r="AC463" s="424">
        <f t="shared" si="480"/>
        <v>0</v>
      </c>
      <c r="AD463" s="424">
        <f t="shared" si="480"/>
        <v>0</v>
      </c>
      <c r="AE463" s="424">
        <f t="shared" si="480"/>
        <v>0</v>
      </c>
      <c r="AF463" s="424">
        <f t="shared" si="480"/>
        <v>0</v>
      </c>
      <c r="AG463" s="424">
        <f t="shared" si="480"/>
        <v>0</v>
      </c>
      <c r="AH463" s="424">
        <f t="shared" si="480"/>
        <v>0</v>
      </c>
      <c r="AI463" s="424">
        <f t="shared" si="480"/>
        <v>0</v>
      </c>
      <c r="AJ463" s="424">
        <f t="shared" si="480"/>
        <v>0</v>
      </c>
      <c r="AK463" s="424">
        <f t="shared" si="480"/>
        <v>0.6</v>
      </c>
      <c r="AL463" s="424">
        <f t="shared" si="480"/>
        <v>0</v>
      </c>
      <c r="AM463" s="424">
        <f t="shared" si="480"/>
        <v>0</v>
      </c>
      <c r="AN463" s="424">
        <f t="shared" si="480"/>
        <v>0</v>
      </c>
      <c r="AO463" s="424">
        <f t="shared" si="480"/>
        <v>0</v>
      </c>
      <c r="AP463" s="424">
        <f t="shared" ref="AP463:BU463" si="481">AP93*AP$372</f>
        <v>0</v>
      </c>
      <c r="AQ463" s="424">
        <f t="shared" si="481"/>
        <v>0.63</v>
      </c>
      <c r="AR463" s="424">
        <f t="shared" si="481"/>
        <v>0</v>
      </c>
      <c r="AS463" s="424">
        <f t="shared" si="481"/>
        <v>0</v>
      </c>
      <c r="AT463" s="424">
        <f t="shared" si="481"/>
        <v>0</v>
      </c>
      <c r="AU463" s="424">
        <f t="shared" si="481"/>
        <v>0.6</v>
      </c>
      <c r="AV463" s="424">
        <f t="shared" si="481"/>
        <v>0</v>
      </c>
      <c r="AW463" s="424">
        <f t="shared" si="481"/>
        <v>0</v>
      </c>
      <c r="AX463" s="424">
        <f t="shared" si="481"/>
        <v>0</v>
      </c>
      <c r="AY463" s="424">
        <f t="shared" si="481"/>
        <v>0</v>
      </c>
      <c r="AZ463" s="424">
        <f t="shared" si="481"/>
        <v>0</v>
      </c>
      <c r="BA463" s="424">
        <f t="shared" si="481"/>
        <v>0</v>
      </c>
      <c r="BB463" s="424">
        <f t="shared" si="481"/>
        <v>0</v>
      </c>
      <c r="BC463" s="424">
        <f t="shared" si="481"/>
        <v>0</v>
      </c>
      <c r="BD463" s="424">
        <f t="shared" si="481"/>
        <v>0</v>
      </c>
      <c r="BE463" s="424">
        <f t="shared" si="481"/>
        <v>0</v>
      </c>
      <c r="BF463" s="424">
        <f t="shared" si="481"/>
        <v>0</v>
      </c>
      <c r="BG463" s="424">
        <f t="shared" si="481"/>
        <v>0</v>
      </c>
      <c r="BH463" s="424">
        <f t="shared" si="481"/>
        <v>0</v>
      </c>
      <c r="BI463" s="424">
        <f t="shared" si="481"/>
        <v>0</v>
      </c>
      <c r="BJ463" s="424">
        <f t="shared" si="481"/>
        <v>0</v>
      </c>
      <c r="BK463" s="424">
        <f t="shared" si="481"/>
        <v>0</v>
      </c>
      <c r="BL463" s="424">
        <f t="shared" si="481"/>
        <v>0</v>
      </c>
      <c r="BM463" s="424">
        <f t="shared" si="481"/>
        <v>0</v>
      </c>
      <c r="BN463" s="424">
        <f t="shared" si="481"/>
        <v>0</v>
      </c>
      <c r="BO463" s="424">
        <f t="shared" si="481"/>
        <v>0</v>
      </c>
      <c r="BP463" s="424">
        <f t="shared" si="481"/>
        <v>0</v>
      </c>
      <c r="BQ463" s="424">
        <f t="shared" si="481"/>
        <v>0</v>
      </c>
      <c r="BR463" s="424">
        <f t="shared" si="481"/>
        <v>0</v>
      </c>
      <c r="BS463" s="424">
        <f t="shared" si="481"/>
        <v>0</v>
      </c>
      <c r="BT463" s="424">
        <f t="shared" si="481"/>
        <v>0</v>
      </c>
      <c r="BU463" s="424">
        <f t="shared" si="481"/>
        <v>0</v>
      </c>
      <c r="BV463" s="424">
        <f t="shared" ref="BV463:DA463" si="482">BV93*BV$372</f>
        <v>0</v>
      </c>
      <c r="BW463" s="424">
        <f t="shared" si="482"/>
        <v>0</v>
      </c>
      <c r="BX463" s="424">
        <f t="shared" si="482"/>
        <v>0.88</v>
      </c>
      <c r="BY463" s="424">
        <f t="shared" si="482"/>
        <v>0</v>
      </c>
      <c r="BZ463" s="424">
        <f t="shared" si="482"/>
        <v>0</v>
      </c>
      <c r="CA463" s="424">
        <f t="shared" si="482"/>
        <v>0</v>
      </c>
      <c r="CB463" s="424">
        <f t="shared" si="482"/>
        <v>0</v>
      </c>
      <c r="CC463" s="424">
        <f t="shared" si="482"/>
        <v>0</v>
      </c>
      <c r="CD463" s="424">
        <f t="shared" si="482"/>
        <v>0</v>
      </c>
      <c r="CE463" s="424">
        <f t="shared" si="482"/>
        <v>0</v>
      </c>
      <c r="CF463" s="424">
        <f t="shared" si="482"/>
        <v>0.6</v>
      </c>
      <c r="CG463" s="424">
        <f t="shared" si="482"/>
        <v>0</v>
      </c>
      <c r="CH463" s="424">
        <f t="shared" si="482"/>
        <v>0</v>
      </c>
      <c r="CI463" s="424">
        <f t="shared" si="482"/>
        <v>0</v>
      </c>
      <c r="CJ463" s="424">
        <f t="shared" si="482"/>
        <v>0</v>
      </c>
      <c r="CK463" s="424">
        <f t="shared" si="482"/>
        <v>0</v>
      </c>
      <c r="CL463" s="424">
        <f t="shared" si="482"/>
        <v>0</v>
      </c>
      <c r="CM463" s="424">
        <f t="shared" si="482"/>
        <v>0</v>
      </c>
      <c r="CN463" s="424">
        <f t="shared" si="482"/>
        <v>0</v>
      </c>
      <c r="CO463" s="424">
        <f t="shared" si="482"/>
        <v>0</v>
      </c>
      <c r="CP463" s="424">
        <f t="shared" si="482"/>
        <v>0</v>
      </c>
      <c r="CQ463" s="424">
        <f t="shared" si="482"/>
        <v>0</v>
      </c>
      <c r="CR463" s="424">
        <f t="shared" si="482"/>
        <v>0</v>
      </c>
      <c r="CS463" s="424">
        <f t="shared" si="482"/>
        <v>0.01</v>
      </c>
      <c r="CT463" s="424">
        <f t="shared" si="482"/>
        <v>0</v>
      </c>
      <c r="CU463" s="424">
        <f t="shared" si="482"/>
        <v>0</v>
      </c>
      <c r="CV463" s="424">
        <f t="shared" si="482"/>
        <v>0</v>
      </c>
      <c r="CW463" s="424">
        <f t="shared" si="482"/>
        <v>0</v>
      </c>
      <c r="CX463" s="424">
        <f t="shared" si="482"/>
        <v>0</v>
      </c>
      <c r="CY463" s="424">
        <f t="shared" si="482"/>
        <v>0</v>
      </c>
      <c r="CZ463" s="424">
        <f t="shared" si="482"/>
        <v>0</v>
      </c>
      <c r="DA463" s="424">
        <f t="shared" si="482"/>
        <v>0</v>
      </c>
      <c r="DB463" s="424">
        <f t="shared" ref="DB463:EG463" si="483">DB93*DB$372</f>
        <v>0</v>
      </c>
      <c r="DC463" s="424">
        <f t="shared" si="483"/>
        <v>0.06</v>
      </c>
      <c r="DD463" s="424">
        <f t="shared" si="483"/>
        <v>0</v>
      </c>
      <c r="DE463" s="424">
        <f t="shared" si="483"/>
        <v>0</v>
      </c>
      <c r="DF463" s="424">
        <f t="shared" si="483"/>
        <v>0</v>
      </c>
      <c r="DG463" s="424">
        <f t="shared" si="483"/>
        <v>0</v>
      </c>
      <c r="DH463" s="424">
        <f t="shared" si="483"/>
        <v>0</v>
      </c>
      <c r="DI463" s="424">
        <f t="shared" si="483"/>
        <v>0</v>
      </c>
      <c r="DJ463" s="424">
        <f t="shared" si="483"/>
        <v>0</v>
      </c>
      <c r="DK463" s="424">
        <f t="shared" si="483"/>
        <v>0</v>
      </c>
      <c r="DL463" s="424">
        <f t="shared" si="483"/>
        <v>0</v>
      </c>
      <c r="DM463" s="424">
        <f t="shared" si="483"/>
        <v>0</v>
      </c>
      <c r="DN463" s="424">
        <f t="shared" si="483"/>
        <v>0</v>
      </c>
      <c r="DO463" s="424">
        <f t="shared" si="483"/>
        <v>0</v>
      </c>
      <c r="DP463" s="424">
        <f t="shared" si="483"/>
        <v>0</v>
      </c>
      <c r="DQ463" s="424">
        <f t="shared" si="483"/>
        <v>0</v>
      </c>
      <c r="DR463" s="424">
        <f t="shared" si="483"/>
        <v>0</v>
      </c>
      <c r="DS463" s="424">
        <f t="shared" si="483"/>
        <v>0</v>
      </c>
      <c r="DT463" s="424">
        <f t="shared" si="483"/>
        <v>0</v>
      </c>
      <c r="DU463" s="424">
        <f t="shared" si="483"/>
        <v>0</v>
      </c>
      <c r="DV463" s="424">
        <f t="shared" si="483"/>
        <v>0</v>
      </c>
      <c r="DW463" s="424">
        <f t="shared" si="483"/>
        <v>0</v>
      </c>
      <c r="DX463" s="424">
        <f t="shared" si="483"/>
        <v>0</v>
      </c>
      <c r="DY463" s="424">
        <f t="shared" si="483"/>
        <v>0</v>
      </c>
      <c r="DZ463" s="424">
        <f t="shared" si="483"/>
        <v>0</v>
      </c>
      <c r="EA463" s="424">
        <f t="shared" si="483"/>
        <v>0</v>
      </c>
      <c r="EB463" s="424">
        <f t="shared" si="483"/>
        <v>0</v>
      </c>
      <c r="EC463" s="424">
        <f t="shared" si="483"/>
        <v>0</v>
      </c>
      <c r="ED463" s="424">
        <f t="shared" si="483"/>
        <v>0</v>
      </c>
      <c r="EE463" s="424">
        <f t="shared" si="483"/>
        <v>0</v>
      </c>
      <c r="EF463" s="424">
        <f t="shared" si="483"/>
        <v>0</v>
      </c>
      <c r="EG463" s="424">
        <f t="shared" si="483"/>
        <v>0</v>
      </c>
      <c r="EH463" s="424">
        <f t="shared" ref="EH463:EX463" si="484">EH93*EH$372</f>
        <v>0</v>
      </c>
      <c r="EI463" s="424">
        <f t="shared" si="484"/>
        <v>0</v>
      </c>
      <c r="EJ463" s="424">
        <f t="shared" si="484"/>
        <v>0</v>
      </c>
      <c r="EK463" s="424">
        <f t="shared" si="484"/>
        <v>0</v>
      </c>
      <c r="EL463" s="424">
        <f t="shared" si="484"/>
        <v>0</v>
      </c>
      <c r="EM463" s="424">
        <f t="shared" si="484"/>
        <v>0</v>
      </c>
      <c r="EN463" s="424">
        <f t="shared" si="484"/>
        <v>0</v>
      </c>
      <c r="EO463" s="424">
        <f t="shared" si="484"/>
        <v>0</v>
      </c>
      <c r="EP463" s="424">
        <f t="shared" si="484"/>
        <v>0</v>
      </c>
      <c r="EQ463" s="424">
        <f t="shared" si="484"/>
        <v>0</v>
      </c>
      <c r="ER463" s="424">
        <f t="shared" si="484"/>
        <v>0</v>
      </c>
      <c r="ES463" s="424">
        <f t="shared" si="484"/>
        <v>0</v>
      </c>
      <c r="ET463" s="424">
        <f t="shared" si="484"/>
        <v>0</v>
      </c>
      <c r="EU463" s="424">
        <f t="shared" si="484"/>
        <v>0</v>
      </c>
      <c r="EV463" s="424">
        <f t="shared" si="484"/>
        <v>0</v>
      </c>
      <c r="EW463" s="424">
        <f t="shared" si="484"/>
        <v>0</v>
      </c>
      <c r="EX463" s="424">
        <f t="shared" si="484"/>
        <v>0</v>
      </c>
      <c r="EY463" s="425">
        <f t="shared" si="374"/>
        <v>4.55</v>
      </c>
    </row>
    <row r="464" spans="1:166" ht="14.7" customHeight="1" x14ac:dyDescent="0.25">
      <c r="A464" s="310">
        <v>90</v>
      </c>
      <c r="B464" s="311" t="str">
        <f t="shared" si="355"/>
        <v>Суп с крупой пшеничной</v>
      </c>
      <c r="C464" s="483">
        <f t="shared" si="363"/>
        <v>4.55</v>
      </c>
      <c r="D464" s="888"/>
      <c r="E464" s="888"/>
      <c r="F464" s="888"/>
      <c r="G464" s="889"/>
      <c r="H464" s="680">
        <f t="shared" si="356"/>
        <v>115</v>
      </c>
      <c r="I464" s="1209">
        <f t="shared" si="357"/>
        <v>-0.01</v>
      </c>
      <c r="J464" s="424">
        <f t="shared" ref="J464:AO464" si="485">J94*J$372</f>
        <v>0</v>
      </c>
      <c r="K464" s="424">
        <f t="shared" si="485"/>
        <v>0</v>
      </c>
      <c r="L464" s="424">
        <f t="shared" si="485"/>
        <v>0</v>
      </c>
      <c r="M464" s="424">
        <f t="shared" si="485"/>
        <v>0</v>
      </c>
      <c r="N464" s="424">
        <f t="shared" si="485"/>
        <v>0</v>
      </c>
      <c r="O464" s="424">
        <f t="shared" si="485"/>
        <v>0</v>
      </c>
      <c r="P464" s="424">
        <f t="shared" si="485"/>
        <v>0</v>
      </c>
      <c r="Q464" s="424">
        <f t="shared" si="485"/>
        <v>0</v>
      </c>
      <c r="R464" s="424">
        <f t="shared" si="485"/>
        <v>0</v>
      </c>
      <c r="S464" s="424">
        <f t="shared" si="485"/>
        <v>0</v>
      </c>
      <c r="T464" s="424">
        <f t="shared" si="485"/>
        <v>0</v>
      </c>
      <c r="U464" s="424">
        <f t="shared" si="485"/>
        <v>0</v>
      </c>
      <c r="V464" s="424">
        <f t="shared" si="485"/>
        <v>0</v>
      </c>
      <c r="W464" s="424">
        <f t="shared" si="485"/>
        <v>0</v>
      </c>
      <c r="X464" s="424">
        <f t="shared" si="485"/>
        <v>0</v>
      </c>
      <c r="Y464" s="424">
        <f t="shared" si="485"/>
        <v>1.17</v>
      </c>
      <c r="Z464" s="424">
        <f t="shared" si="485"/>
        <v>0</v>
      </c>
      <c r="AA464" s="424">
        <f t="shared" si="485"/>
        <v>0</v>
      </c>
      <c r="AB464" s="424">
        <f t="shared" si="485"/>
        <v>0</v>
      </c>
      <c r="AC464" s="424">
        <f t="shared" si="485"/>
        <v>0</v>
      </c>
      <c r="AD464" s="424">
        <f t="shared" si="485"/>
        <v>0</v>
      </c>
      <c r="AE464" s="424">
        <f t="shared" si="485"/>
        <v>0</v>
      </c>
      <c r="AF464" s="424">
        <f t="shared" si="485"/>
        <v>0</v>
      </c>
      <c r="AG464" s="424">
        <f t="shared" si="485"/>
        <v>0</v>
      </c>
      <c r="AH464" s="424">
        <f t="shared" si="485"/>
        <v>0</v>
      </c>
      <c r="AI464" s="424">
        <f t="shared" si="485"/>
        <v>0</v>
      </c>
      <c r="AJ464" s="424">
        <f t="shared" si="485"/>
        <v>0</v>
      </c>
      <c r="AK464" s="424">
        <f t="shared" si="485"/>
        <v>0.6</v>
      </c>
      <c r="AL464" s="424">
        <f t="shared" si="485"/>
        <v>0</v>
      </c>
      <c r="AM464" s="424">
        <f t="shared" si="485"/>
        <v>0</v>
      </c>
      <c r="AN464" s="424">
        <f t="shared" si="485"/>
        <v>0</v>
      </c>
      <c r="AO464" s="424">
        <f t="shared" si="485"/>
        <v>0</v>
      </c>
      <c r="AP464" s="424">
        <f t="shared" ref="AP464:BU464" si="486">AP94*AP$372</f>
        <v>0</v>
      </c>
      <c r="AQ464" s="424">
        <f t="shared" si="486"/>
        <v>0.63</v>
      </c>
      <c r="AR464" s="424">
        <f t="shared" si="486"/>
        <v>0</v>
      </c>
      <c r="AS464" s="424">
        <f t="shared" si="486"/>
        <v>0</v>
      </c>
      <c r="AT464" s="424">
        <f t="shared" si="486"/>
        <v>0</v>
      </c>
      <c r="AU464" s="424">
        <f t="shared" si="486"/>
        <v>0.6</v>
      </c>
      <c r="AV464" s="424">
        <f t="shared" si="486"/>
        <v>0</v>
      </c>
      <c r="AW464" s="424">
        <f t="shared" si="486"/>
        <v>0</v>
      </c>
      <c r="AX464" s="424">
        <f t="shared" si="486"/>
        <v>0</v>
      </c>
      <c r="AY464" s="424">
        <f t="shared" si="486"/>
        <v>0</v>
      </c>
      <c r="AZ464" s="424">
        <f t="shared" si="486"/>
        <v>0</v>
      </c>
      <c r="BA464" s="424">
        <f t="shared" si="486"/>
        <v>0</v>
      </c>
      <c r="BB464" s="424">
        <f t="shared" si="486"/>
        <v>0</v>
      </c>
      <c r="BC464" s="424">
        <f t="shared" si="486"/>
        <v>0</v>
      </c>
      <c r="BD464" s="424">
        <f t="shared" si="486"/>
        <v>0</v>
      </c>
      <c r="BE464" s="424">
        <f t="shared" si="486"/>
        <v>0</v>
      </c>
      <c r="BF464" s="424">
        <f t="shared" si="486"/>
        <v>0</v>
      </c>
      <c r="BG464" s="424">
        <f t="shared" si="486"/>
        <v>0</v>
      </c>
      <c r="BH464" s="424">
        <f t="shared" si="486"/>
        <v>0</v>
      </c>
      <c r="BI464" s="424">
        <f t="shared" si="486"/>
        <v>0</v>
      </c>
      <c r="BJ464" s="424">
        <f t="shared" si="486"/>
        <v>0</v>
      </c>
      <c r="BK464" s="424">
        <f t="shared" si="486"/>
        <v>0</v>
      </c>
      <c r="BL464" s="424">
        <f t="shared" si="486"/>
        <v>0</v>
      </c>
      <c r="BM464" s="424">
        <f t="shared" si="486"/>
        <v>0</v>
      </c>
      <c r="BN464" s="424">
        <f t="shared" si="486"/>
        <v>0</v>
      </c>
      <c r="BO464" s="424">
        <f t="shared" si="486"/>
        <v>0</v>
      </c>
      <c r="BP464" s="424">
        <f t="shared" si="486"/>
        <v>0</v>
      </c>
      <c r="BQ464" s="424">
        <f t="shared" si="486"/>
        <v>0</v>
      </c>
      <c r="BR464" s="424">
        <f t="shared" si="486"/>
        <v>0</v>
      </c>
      <c r="BS464" s="424">
        <f t="shared" si="486"/>
        <v>0</v>
      </c>
      <c r="BT464" s="424">
        <f t="shared" si="486"/>
        <v>0</v>
      </c>
      <c r="BU464" s="424">
        <f t="shared" si="486"/>
        <v>0</v>
      </c>
      <c r="BV464" s="424">
        <f t="shared" ref="BV464:DA464" si="487">BV94*BV$372</f>
        <v>0</v>
      </c>
      <c r="BW464" s="424">
        <f t="shared" si="487"/>
        <v>0</v>
      </c>
      <c r="BX464" s="424">
        <f t="shared" si="487"/>
        <v>0</v>
      </c>
      <c r="BY464" s="424">
        <f t="shared" si="487"/>
        <v>0.88</v>
      </c>
      <c r="BZ464" s="424">
        <f t="shared" si="487"/>
        <v>0</v>
      </c>
      <c r="CA464" s="424">
        <f t="shared" si="487"/>
        <v>0</v>
      </c>
      <c r="CB464" s="424">
        <f t="shared" si="487"/>
        <v>0</v>
      </c>
      <c r="CC464" s="424">
        <f t="shared" si="487"/>
        <v>0</v>
      </c>
      <c r="CD464" s="424">
        <f t="shared" si="487"/>
        <v>0</v>
      </c>
      <c r="CE464" s="424">
        <f t="shared" si="487"/>
        <v>0</v>
      </c>
      <c r="CF464" s="424">
        <f t="shared" si="487"/>
        <v>0.6</v>
      </c>
      <c r="CG464" s="424">
        <f t="shared" si="487"/>
        <v>0</v>
      </c>
      <c r="CH464" s="424">
        <f t="shared" si="487"/>
        <v>0</v>
      </c>
      <c r="CI464" s="424">
        <f t="shared" si="487"/>
        <v>0</v>
      </c>
      <c r="CJ464" s="424">
        <f t="shared" si="487"/>
        <v>0</v>
      </c>
      <c r="CK464" s="424">
        <f t="shared" si="487"/>
        <v>0</v>
      </c>
      <c r="CL464" s="424">
        <f t="shared" si="487"/>
        <v>0</v>
      </c>
      <c r="CM464" s="424">
        <f t="shared" si="487"/>
        <v>0</v>
      </c>
      <c r="CN464" s="424">
        <f t="shared" si="487"/>
        <v>0</v>
      </c>
      <c r="CO464" s="424">
        <f t="shared" si="487"/>
        <v>0</v>
      </c>
      <c r="CP464" s="424">
        <f t="shared" si="487"/>
        <v>0</v>
      </c>
      <c r="CQ464" s="424">
        <f t="shared" si="487"/>
        <v>0</v>
      </c>
      <c r="CR464" s="424">
        <f t="shared" si="487"/>
        <v>0</v>
      </c>
      <c r="CS464" s="424">
        <f t="shared" si="487"/>
        <v>0.01</v>
      </c>
      <c r="CT464" s="424">
        <f t="shared" si="487"/>
        <v>0</v>
      </c>
      <c r="CU464" s="424">
        <f t="shared" si="487"/>
        <v>0</v>
      </c>
      <c r="CV464" s="424">
        <f t="shared" si="487"/>
        <v>0</v>
      </c>
      <c r="CW464" s="424">
        <f t="shared" si="487"/>
        <v>0</v>
      </c>
      <c r="CX464" s="424">
        <f t="shared" si="487"/>
        <v>0</v>
      </c>
      <c r="CY464" s="424">
        <f t="shared" si="487"/>
        <v>0</v>
      </c>
      <c r="CZ464" s="424">
        <f t="shared" si="487"/>
        <v>0</v>
      </c>
      <c r="DA464" s="424">
        <f t="shared" si="487"/>
        <v>0</v>
      </c>
      <c r="DB464" s="424">
        <f t="shared" ref="DB464:EG464" si="488">DB94*DB$372</f>
        <v>0</v>
      </c>
      <c r="DC464" s="424">
        <f t="shared" si="488"/>
        <v>0.06</v>
      </c>
      <c r="DD464" s="424">
        <f t="shared" si="488"/>
        <v>0</v>
      </c>
      <c r="DE464" s="424">
        <f t="shared" si="488"/>
        <v>0</v>
      </c>
      <c r="DF464" s="424">
        <f t="shared" si="488"/>
        <v>0</v>
      </c>
      <c r="DG464" s="424">
        <f t="shared" si="488"/>
        <v>0</v>
      </c>
      <c r="DH464" s="424">
        <f t="shared" si="488"/>
        <v>0</v>
      </c>
      <c r="DI464" s="424">
        <f t="shared" si="488"/>
        <v>0</v>
      </c>
      <c r="DJ464" s="424">
        <f t="shared" si="488"/>
        <v>0</v>
      </c>
      <c r="DK464" s="424">
        <f t="shared" si="488"/>
        <v>0</v>
      </c>
      <c r="DL464" s="424">
        <f t="shared" si="488"/>
        <v>0</v>
      </c>
      <c r="DM464" s="424">
        <f t="shared" si="488"/>
        <v>0</v>
      </c>
      <c r="DN464" s="424">
        <f t="shared" si="488"/>
        <v>0</v>
      </c>
      <c r="DO464" s="424">
        <f t="shared" si="488"/>
        <v>0</v>
      </c>
      <c r="DP464" s="424">
        <f t="shared" si="488"/>
        <v>0</v>
      </c>
      <c r="DQ464" s="424">
        <f t="shared" si="488"/>
        <v>0</v>
      </c>
      <c r="DR464" s="424">
        <f t="shared" si="488"/>
        <v>0</v>
      </c>
      <c r="DS464" s="424">
        <f t="shared" si="488"/>
        <v>0</v>
      </c>
      <c r="DT464" s="424">
        <f t="shared" si="488"/>
        <v>0</v>
      </c>
      <c r="DU464" s="424">
        <f t="shared" si="488"/>
        <v>0</v>
      </c>
      <c r="DV464" s="424">
        <f t="shared" si="488"/>
        <v>0</v>
      </c>
      <c r="DW464" s="424">
        <f t="shared" si="488"/>
        <v>0</v>
      </c>
      <c r="DX464" s="424">
        <f t="shared" si="488"/>
        <v>0</v>
      </c>
      <c r="DY464" s="424">
        <f t="shared" si="488"/>
        <v>0</v>
      </c>
      <c r="DZ464" s="424">
        <f t="shared" si="488"/>
        <v>0</v>
      </c>
      <c r="EA464" s="424">
        <f t="shared" si="488"/>
        <v>0</v>
      </c>
      <c r="EB464" s="424">
        <f t="shared" si="488"/>
        <v>0</v>
      </c>
      <c r="EC464" s="424">
        <f t="shared" si="488"/>
        <v>0</v>
      </c>
      <c r="ED464" s="424">
        <f t="shared" si="488"/>
        <v>0</v>
      </c>
      <c r="EE464" s="424">
        <f t="shared" si="488"/>
        <v>0</v>
      </c>
      <c r="EF464" s="424">
        <f t="shared" si="488"/>
        <v>0</v>
      </c>
      <c r="EG464" s="424">
        <f t="shared" si="488"/>
        <v>0</v>
      </c>
      <c r="EH464" s="424">
        <f t="shared" ref="EH464:EX464" si="489">EH94*EH$372</f>
        <v>0</v>
      </c>
      <c r="EI464" s="424">
        <f t="shared" si="489"/>
        <v>0</v>
      </c>
      <c r="EJ464" s="424">
        <f t="shared" si="489"/>
        <v>0</v>
      </c>
      <c r="EK464" s="424">
        <f t="shared" si="489"/>
        <v>0</v>
      </c>
      <c r="EL464" s="424">
        <f t="shared" si="489"/>
        <v>0</v>
      </c>
      <c r="EM464" s="424">
        <f t="shared" si="489"/>
        <v>0</v>
      </c>
      <c r="EN464" s="424">
        <f t="shared" si="489"/>
        <v>0</v>
      </c>
      <c r="EO464" s="424">
        <f t="shared" si="489"/>
        <v>0</v>
      </c>
      <c r="EP464" s="424">
        <f t="shared" si="489"/>
        <v>0</v>
      </c>
      <c r="EQ464" s="424">
        <f t="shared" si="489"/>
        <v>0</v>
      </c>
      <c r="ER464" s="424">
        <f t="shared" si="489"/>
        <v>0</v>
      </c>
      <c r="ES464" s="424">
        <f t="shared" si="489"/>
        <v>0</v>
      </c>
      <c r="ET464" s="424">
        <f t="shared" si="489"/>
        <v>0</v>
      </c>
      <c r="EU464" s="424">
        <f t="shared" si="489"/>
        <v>0</v>
      </c>
      <c r="EV464" s="424">
        <f t="shared" si="489"/>
        <v>0</v>
      </c>
      <c r="EW464" s="424">
        <f t="shared" si="489"/>
        <v>0</v>
      </c>
      <c r="EX464" s="424">
        <f t="shared" si="489"/>
        <v>0</v>
      </c>
      <c r="EY464" s="425">
        <f t="shared" si="374"/>
        <v>4.55</v>
      </c>
    </row>
    <row r="465" spans="1:166" ht="14.7" customHeight="1" x14ac:dyDescent="0.25">
      <c r="A465" s="310">
        <v>91</v>
      </c>
      <c r="B465" s="311" t="str">
        <f t="shared" si="355"/>
        <v>Суп с пшеном</v>
      </c>
      <c r="C465" s="483">
        <f t="shared" si="363"/>
        <v>5.17</v>
      </c>
      <c r="D465" s="888"/>
      <c r="E465" s="888"/>
      <c r="F465" s="888"/>
      <c r="G465" s="889"/>
      <c r="H465" s="680">
        <f t="shared" si="356"/>
        <v>115</v>
      </c>
      <c r="I465" s="1209">
        <f t="shared" si="357"/>
        <v>0</v>
      </c>
      <c r="J465" s="424">
        <f t="shared" ref="J465:AO465" si="490">J95*J$372</f>
        <v>0</v>
      </c>
      <c r="K465" s="424">
        <f t="shared" si="490"/>
        <v>0</v>
      </c>
      <c r="L465" s="424">
        <f t="shared" si="490"/>
        <v>0</v>
      </c>
      <c r="M465" s="424">
        <f t="shared" si="490"/>
        <v>0</v>
      </c>
      <c r="N465" s="424">
        <f t="shared" si="490"/>
        <v>0</v>
      </c>
      <c r="O465" s="424">
        <f t="shared" si="490"/>
        <v>0</v>
      </c>
      <c r="P465" s="424">
        <f t="shared" si="490"/>
        <v>0</v>
      </c>
      <c r="Q465" s="424">
        <f t="shared" si="490"/>
        <v>0</v>
      </c>
      <c r="R465" s="424">
        <f t="shared" si="490"/>
        <v>0</v>
      </c>
      <c r="S465" s="424">
        <f t="shared" si="490"/>
        <v>0</v>
      </c>
      <c r="T465" s="424">
        <f t="shared" si="490"/>
        <v>0</v>
      </c>
      <c r="U465" s="424">
        <f t="shared" si="490"/>
        <v>0</v>
      </c>
      <c r="V465" s="424">
        <f t="shared" si="490"/>
        <v>0</v>
      </c>
      <c r="W465" s="424">
        <f t="shared" si="490"/>
        <v>0</v>
      </c>
      <c r="X465" s="424">
        <f t="shared" si="490"/>
        <v>0</v>
      </c>
      <c r="Y465" s="424">
        <f t="shared" si="490"/>
        <v>1.17</v>
      </c>
      <c r="Z465" s="424">
        <f t="shared" si="490"/>
        <v>0</v>
      </c>
      <c r="AA465" s="424">
        <f t="shared" si="490"/>
        <v>0</v>
      </c>
      <c r="AB465" s="424">
        <f t="shared" si="490"/>
        <v>0</v>
      </c>
      <c r="AC465" s="424">
        <f t="shared" si="490"/>
        <v>0</v>
      </c>
      <c r="AD465" s="424">
        <f t="shared" si="490"/>
        <v>0</v>
      </c>
      <c r="AE465" s="424">
        <f t="shared" si="490"/>
        <v>0</v>
      </c>
      <c r="AF465" s="424">
        <f t="shared" si="490"/>
        <v>0</v>
      </c>
      <c r="AG465" s="424">
        <f t="shared" si="490"/>
        <v>0</v>
      </c>
      <c r="AH465" s="424">
        <f t="shared" si="490"/>
        <v>0</v>
      </c>
      <c r="AI465" s="424">
        <f t="shared" si="490"/>
        <v>0</v>
      </c>
      <c r="AJ465" s="424">
        <f t="shared" si="490"/>
        <v>0</v>
      </c>
      <c r="AK465" s="424">
        <f t="shared" si="490"/>
        <v>0.6</v>
      </c>
      <c r="AL465" s="424">
        <f t="shared" si="490"/>
        <v>0</v>
      </c>
      <c r="AM465" s="424">
        <f t="shared" si="490"/>
        <v>0</v>
      </c>
      <c r="AN465" s="424">
        <f t="shared" si="490"/>
        <v>0</v>
      </c>
      <c r="AO465" s="424">
        <f t="shared" si="490"/>
        <v>0</v>
      </c>
      <c r="AP465" s="424">
        <f t="shared" ref="AP465:BU465" si="491">AP95*AP$372</f>
        <v>0</v>
      </c>
      <c r="AQ465" s="424">
        <f t="shared" si="491"/>
        <v>0.63</v>
      </c>
      <c r="AR465" s="424">
        <f t="shared" si="491"/>
        <v>0</v>
      </c>
      <c r="AS465" s="424">
        <f t="shared" si="491"/>
        <v>0</v>
      </c>
      <c r="AT465" s="424">
        <f t="shared" si="491"/>
        <v>0</v>
      </c>
      <c r="AU465" s="424">
        <f t="shared" si="491"/>
        <v>0.6</v>
      </c>
      <c r="AV465" s="424">
        <f t="shared" si="491"/>
        <v>0</v>
      </c>
      <c r="AW465" s="424">
        <f t="shared" si="491"/>
        <v>0</v>
      </c>
      <c r="AX465" s="424">
        <f t="shared" si="491"/>
        <v>0</v>
      </c>
      <c r="AY465" s="424">
        <f t="shared" si="491"/>
        <v>0</v>
      </c>
      <c r="AZ465" s="424">
        <f t="shared" si="491"/>
        <v>0</v>
      </c>
      <c r="BA465" s="424">
        <f t="shared" si="491"/>
        <v>0</v>
      </c>
      <c r="BB465" s="424">
        <f t="shared" si="491"/>
        <v>0</v>
      </c>
      <c r="BC465" s="424">
        <f t="shared" si="491"/>
        <v>0</v>
      </c>
      <c r="BD465" s="424">
        <f t="shared" si="491"/>
        <v>0</v>
      </c>
      <c r="BE465" s="424">
        <f t="shared" si="491"/>
        <v>0</v>
      </c>
      <c r="BF465" s="424">
        <f t="shared" si="491"/>
        <v>0</v>
      </c>
      <c r="BG465" s="424">
        <f t="shared" si="491"/>
        <v>0</v>
      </c>
      <c r="BH465" s="424">
        <f t="shared" si="491"/>
        <v>0</v>
      </c>
      <c r="BI465" s="424">
        <f t="shared" si="491"/>
        <v>0</v>
      </c>
      <c r="BJ465" s="424">
        <f t="shared" si="491"/>
        <v>0</v>
      </c>
      <c r="BK465" s="424">
        <f t="shared" si="491"/>
        <v>0</v>
      </c>
      <c r="BL465" s="424">
        <f t="shared" si="491"/>
        <v>0</v>
      </c>
      <c r="BM465" s="424">
        <f t="shared" si="491"/>
        <v>0</v>
      </c>
      <c r="BN465" s="424">
        <f t="shared" si="491"/>
        <v>0</v>
      </c>
      <c r="BO465" s="424">
        <f t="shared" si="491"/>
        <v>0</v>
      </c>
      <c r="BP465" s="424">
        <f t="shared" si="491"/>
        <v>0</v>
      </c>
      <c r="BQ465" s="424">
        <f t="shared" si="491"/>
        <v>0</v>
      </c>
      <c r="BR465" s="424">
        <f t="shared" si="491"/>
        <v>0</v>
      </c>
      <c r="BS465" s="424">
        <f t="shared" si="491"/>
        <v>0</v>
      </c>
      <c r="BT465" s="424">
        <f t="shared" si="491"/>
        <v>0</v>
      </c>
      <c r="BU465" s="424">
        <f t="shared" si="491"/>
        <v>0</v>
      </c>
      <c r="BV465" s="424">
        <f t="shared" ref="BV465:DA465" si="492">BV95*BV$372</f>
        <v>0</v>
      </c>
      <c r="BW465" s="424">
        <f t="shared" si="492"/>
        <v>0</v>
      </c>
      <c r="BX465" s="424">
        <f t="shared" si="492"/>
        <v>0</v>
      </c>
      <c r="BY465" s="424">
        <f t="shared" si="492"/>
        <v>0</v>
      </c>
      <c r="BZ465" s="424">
        <f t="shared" si="492"/>
        <v>0</v>
      </c>
      <c r="CA465" s="424">
        <f t="shared" si="492"/>
        <v>1.5</v>
      </c>
      <c r="CB465" s="424">
        <f t="shared" si="492"/>
        <v>0</v>
      </c>
      <c r="CC465" s="424">
        <f t="shared" si="492"/>
        <v>0</v>
      </c>
      <c r="CD465" s="424">
        <f t="shared" si="492"/>
        <v>0</v>
      </c>
      <c r="CE465" s="424">
        <f t="shared" si="492"/>
        <v>0</v>
      </c>
      <c r="CF465" s="424">
        <f t="shared" si="492"/>
        <v>0.6</v>
      </c>
      <c r="CG465" s="424">
        <f t="shared" si="492"/>
        <v>0</v>
      </c>
      <c r="CH465" s="424">
        <f t="shared" si="492"/>
        <v>0</v>
      </c>
      <c r="CI465" s="424">
        <f t="shared" si="492"/>
        <v>0</v>
      </c>
      <c r="CJ465" s="424">
        <f t="shared" si="492"/>
        <v>0</v>
      </c>
      <c r="CK465" s="424">
        <f t="shared" si="492"/>
        <v>0</v>
      </c>
      <c r="CL465" s="424">
        <f t="shared" si="492"/>
        <v>0</v>
      </c>
      <c r="CM465" s="424">
        <f t="shared" si="492"/>
        <v>0</v>
      </c>
      <c r="CN465" s="424">
        <f t="shared" si="492"/>
        <v>0</v>
      </c>
      <c r="CO465" s="424">
        <f t="shared" si="492"/>
        <v>0</v>
      </c>
      <c r="CP465" s="424">
        <f t="shared" si="492"/>
        <v>0</v>
      </c>
      <c r="CQ465" s="424">
        <f t="shared" si="492"/>
        <v>0</v>
      </c>
      <c r="CR465" s="424">
        <f t="shared" si="492"/>
        <v>0</v>
      </c>
      <c r="CS465" s="424">
        <f t="shared" si="492"/>
        <v>0.01</v>
      </c>
      <c r="CT465" s="424">
        <f t="shared" si="492"/>
        <v>0</v>
      </c>
      <c r="CU465" s="424">
        <f t="shared" si="492"/>
        <v>0</v>
      </c>
      <c r="CV465" s="424">
        <f t="shared" si="492"/>
        <v>0</v>
      </c>
      <c r="CW465" s="424">
        <f t="shared" si="492"/>
        <v>0</v>
      </c>
      <c r="CX465" s="424">
        <f t="shared" si="492"/>
        <v>0</v>
      </c>
      <c r="CY465" s="424">
        <f t="shared" si="492"/>
        <v>0</v>
      </c>
      <c r="CZ465" s="424">
        <f t="shared" si="492"/>
        <v>0</v>
      </c>
      <c r="DA465" s="424">
        <f t="shared" si="492"/>
        <v>0</v>
      </c>
      <c r="DB465" s="424">
        <f t="shared" ref="DB465:EG465" si="493">DB95*DB$372</f>
        <v>0</v>
      </c>
      <c r="DC465" s="424">
        <f t="shared" si="493"/>
        <v>0.06</v>
      </c>
      <c r="DD465" s="424">
        <f t="shared" si="493"/>
        <v>0</v>
      </c>
      <c r="DE465" s="424">
        <f t="shared" si="493"/>
        <v>0</v>
      </c>
      <c r="DF465" s="424">
        <f t="shared" si="493"/>
        <v>0</v>
      </c>
      <c r="DG465" s="424">
        <f t="shared" si="493"/>
        <v>0</v>
      </c>
      <c r="DH465" s="424">
        <f t="shared" si="493"/>
        <v>0</v>
      </c>
      <c r="DI465" s="424">
        <f t="shared" si="493"/>
        <v>0</v>
      </c>
      <c r="DJ465" s="424">
        <f t="shared" si="493"/>
        <v>0</v>
      </c>
      <c r="DK465" s="424">
        <f t="shared" si="493"/>
        <v>0</v>
      </c>
      <c r="DL465" s="424">
        <f t="shared" si="493"/>
        <v>0</v>
      </c>
      <c r="DM465" s="424">
        <f t="shared" si="493"/>
        <v>0</v>
      </c>
      <c r="DN465" s="424">
        <f t="shared" si="493"/>
        <v>0</v>
      </c>
      <c r="DO465" s="424">
        <f t="shared" si="493"/>
        <v>0</v>
      </c>
      <c r="DP465" s="424">
        <f t="shared" si="493"/>
        <v>0</v>
      </c>
      <c r="DQ465" s="424">
        <f t="shared" si="493"/>
        <v>0</v>
      </c>
      <c r="DR465" s="424">
        <f t="shared" si="493"/>
        <v>0</v>
      </c>
      <c r="DS465" s="424">
        <f t="shared" si="493"/>
        <v>0</v>
      </c>
      <c r="DT465" s="424">
        <f t="shared" si="493"/>
        <v>0</v>
      </c>
      <c r="DU465" s="424">
        <f t="shared" si="493"/>
        <v>0</v>
      </c>
      <c r="DV465" s="424">
        <f t="shared" si="493"/>
        <v>0</v>
      </c>
      <c r="DW465" s="424">
        <f t="shared" si="493"/>
        <v>0</v>
      </c>
      <c r="DX465" s="424">
        <f t="shared" si="493"/>
        <v>0</v>
      </c>
      <c r="DY465" s="424">
        <f t="shared" si="493"/>
        <v>0</v>
      </c>
      <c r="DZ465" s="424">
        <f t="shared" si="493"/>
        <v>0</v>
      </c>
      <c r="EA465" s="424">
        <f t="shared" si="493"/>
        <v>0</v>
      </c>
      <c r="EB465" s="424">
        <f t="shared" si="493"/>
        <v>0</v>
      </c>
      <c r="EC465" s="424">
        <f t="shared" si="493"/>
        <v>0</v>
      </c>
      <c r="ED465" s="424">
        <f t="shared" si="493"/>
        <v>0</v>
      </c>
      <c r="EE465" s="424">
        <f t="shared" si="493"/>
        <v>0</v>
      </c>
      <c r="EF465" s="424">
        <f t="shared" si="493"/>
        <v>0</v>
      </c>
      <c r="EG465" s="424">
        <f t="shared" si="493"/>
        <v>0</v>
      </c>
      <c r="EH465" s="424">
        <f t="shared" ref="EH465:EX465" si="494">EH95*EH$372</f>
        <v>0</v>
      </c>
      <c r="EI465" s="424">
        <f t="shared" si="494"/>
        <v>0</v>
      </c>
      <c r="EJ465" s="424">
        <f t="shared" si="494"/>
        <v>0</v>
      </c>
      <c r="EK465" s="424">
        <f t="shared" si="494"/>
        <v>0</v>
      </c>
      <c r="EL465" s="424">
        <f t="shared" si="494"/>
        <v>0</v>
      </c>
      <c r="EM465" s="424">
        <f t="shared" si="494"/>
        <v>0</v>
      </c>
      <c r="EN465" s="424">
        <f t="shared" si="494"/>
        <v>0</v>
      </c>
      <c r="EO465" s="424">
        <f t="shared" si="494"/>
        <v>0</v>
      </c>
      <c r="EP465" s="424">
        <f t="shared" si="494"/>
        <v>0</v>
      </c>
      <c r="EQ465" s="424">
        <f t="shared" si="494"/>
        <v>0</v>
      </c>
      <c r="ER465" s="424">
        <f t="shared" si="494"/>
        <v>0</v>
      </c>
      <c r="ES465" s="424">
        <f t="shared" si="494"/>
        <v>0</v>
      </c>
      <c r="ET465" s="424">
        <f t="shared" si="494"/>
        <v>0</v>
      </c>
      <c r="EU465" s="424">
        <f t="shared" si="494"/>
        <v>0</v>
      </c>
      <c r="EV465" s="424">
        <f t="shared" si="494"/>
        <v>0</v>
      </c>
      <c r="EW465" s="424">
        <f t="shared" si="494"/>
        <v>0</v>
      </c>
      <c r="EX465" s="424">
        <f t="shared" si="494"/>
        <v>0</v>
      </c>
      <c r="EY465" s="425">
        <f t="shared" si="374"/>
        <v>5.17</v>
      </c>
    </row>
    <row r="466" spans="1:166" ht="14.7" customHeight="1" x14ac:dyDescent="0.25">
      <c r="A466" s="310">
        <v>92</v>
      </c>
      <c r="B466" s="311" t="str">
        <f t="shared" si="355"/>
        <v>Суп молочный с макаронными изделиями</v>
      </c>
      <c r="C466" s="483">
        <f t="shared" si="363"/>
        <v>12.53</v>
      </c>
      <c r="D466" s="888"/>
      <c r="E466" s="888"/>
      <c r="F466" s="888"/>
      <c r="G466" s="889"/>
      <c r="H466" s="680">
        <f t="shared" si="356"/>
        <v>120</v>
      </c>
      <c r="I466" s="1209">
        <f t="shared" si="357"/>
        <v>0.01</v>
      </c>
      <c r="J466" s="424">
        <f t="shared" ref="J466:AO466" si="495">J96*J$372</f>
        <v>0</v>
      </c>
      <c r="K466" s="424">
        <f t="shared" si="495"/>
        <v>0</v>
      </c>
      <c r="L466" s="424">
        <f t="shared" si="495"/>
        <v>0</v>
      </c>
      <c r="M466" s="424">
        <f t="shared" si="495"/>
        <v>0</v>
      </c>
      <c r="N466" s="424">
        <f t="shared" si="495"/>
        <v>0</v>
      </c>
      <c r="O466" s="424">
        <f t="shared" si="495"/>
        <v>0</v>
      </c>
      <c r="P466" s="424">
        <f t="shared" si="495"/>
        <v>0</v>
      </c>
      <c r="Q466" s="424">
        <f t="shared" si="495"/>
        <v>0</v>
      </c>
      <c r="R466" s="424">
        <f t="shared" si="495"/>
        <v>0</v>
      </c>
      <c r="S466" s="424">
        <f t="shared" si="495"/>
        <v>0</v>
      </c>
      <c r="T466" s="424">
        <f t="shared" si="495"/>
        <v>0</v>
      </c>
      <c r="U466" s="424">
        <f t="shared" si="495"/>
        <v>10</v>
      </c>
      <c r="V466" s="424">
        <f t="shared" si="495"/>
        <v>1.42</v>
      </c>
      <c r="W466" s="424">
        <f t="shared" si="495"/>
        <v>0</v>
      </c>
      <c r="X466" s="424">
        <f t="shared" si="495"/>
        <v>0</v>
      </c>
      <c r="Y466" s="424">
        <f t="shared" si="495"/>
        <v>0</v>
      </c>
      <c r="Z466" s="424">
        <f t="shared" si="495"/>
        <v>0</v>
      </c>
      <c r="AA466" s="424">
        <f t="shared" si="495"/>
        <v>0</v>
      </c>
      <c r="AB466" s="424">
        <f t="shared" si="495"/>
        <v>0</v>
      </c>
      <c r="AC466" s="424">
        <f t="shared" si="495"/>
        <v>0</v>
      </c>
      <c r="AD466" s="424">
        <f t="shared" si="495"/>
        <v>0</v>
      </c>
      <c r="AE466" s="424">
        <f t="shared" si="495"/>
        <v>0</v>
      </c>
      <c r="AF466" s="424">
        <f t="shared" si="495"/>
        <v>0</v>
      </c>
      <c r="AG466" s="424">
        <f t="shared" si="495"/>
        <v>0</v>
      </c>
      <c r="AH466" s="424">
        <f t="shared" si="495"/>
        <v>0</v>
      </c>
      <c r="AI466" s="424">
        <f t="shared" si="495"/>
        <v>0</v>
      </c>
      <c r="AJ466" s="424">
        <f t="shared" si="495"/>
        <v>0</v>
      </c>
      <c r="AK466" s="424">
        <f t="shared" si="495"/>
        <v>0</v>
      </c>
      <c r="AL466" s="424">
        <f t="shared" si="495"/>
        <v>0</v>
      </c>
      <c r="AM466" s="424">
        <f t="shared" si="495"/>
        <v>0</v>
      </c>
      <c r="AN466" s="424">
        <f t="shared" si="495"/>
        <v>0</v>
      </c>
      <c r="AO466" s="424">
        <f t="shared" si="495"/>
        <v>0</v>
      </c>
      <c r="AP466" s="424">
        <f t="shared" ref="AP466:BU466" si="496">AP96*AP$372</f>
        <v>0</v>
      </c>
      <c r="AQ466" s="424">
        <f t="shared" si="496"/>
        <v>0</v>
      </c>
      <c r="AR466" s="424">
        <f t="shared" si="496"/>
        <v>0</v>
      </c>
      <c r="AS466" s="424">
        <f t="shared" si="496"/>
        <v>0</v>
      </c>
      <c r="AT466" s="424">
        <f t="shared" si="496"/>
        <v>0</v>
      </c>
      <c r="AU466" s="424">
        <f t="shared" si="496"/>
        <v>0</v>
      </c>
      <c r="AV466" s="424">
        <f t="shared" si="496"/>
        <v>0</v>
      </c>
      <c r="AW466" s="424">
        <f t="shared" si="496"/>
        <v>0</v>
      </c>
      <c r="AX466" s="424">
        <f t="shared" si="496"/>
        <v>0</v>
      </c>
      <c r="AY466" s="424">
        <f t="shared" si="496"/>
        <v>0</v>
      </c>
      <c r="AZ466" s="424">
        <f t="shared" si="496"/>
        <v>0</v>
      </c>
      <c r="BA466" s="424">
        <f t="shared" si="496"/>
        <v>0</v>
      </c>
      <c r="BB466" s="424">
        <f t="shared" si="496"/>
        <v>0</v>
      </c>
      <c r="BC466" s="424">
        <f t="shared" si="496"/>
        <v>0</v>
      </c>
      <c r="BD466" s="424">
        <f t="shared" si="496"/>
        <v>0</v>
      </c>
      <c r="BE466" s="424">
        <f t="shared" si="496"/>
        <v>0</v>
      </c>
      <c r="BF466" s="424">
        <f t="shared" si="496"/>
        <v>0</v>
      </c>
      <c r="BG466" s="424">
        <f t="shared" si="496"/>
        <v>0</v>
      </c>
      <c r="BH466" s="424">
        <f t="shared" si="496"/>
        <v>0</v>
      </c>
      <c r="BI466" s="424">
        <f t="shared" si="496"/>
        <v>0</v>
      </c>
      <c r="BJ466" s="424">
        <f t="shared" si="496"/>
        <v>0</v>
      </c>
      <c r="BK466" s="424">
        <f t="shared" si="496"/>
        <v>0</v>
      </c>
      <c r="BL466" s="424">
        <f t="shared" si="496"/>
        <v>0</v>
      </c>
      <c r="BM466" s="424">
        <f t="shared" si="496"/>
        <v>0</v>
      </c>
      <c r="BN466" s="424">
        <f t="shared" si="496"/>
        <v>0</v>
      </c>
      <c r="BO466" s="424">
        <f t="shared" si="496"/>
        <v>0</v>
      </c>
      <c r="BP466" s="424">
        <f t="shared" si="496"/>
        <v>0</v>
      </c>
      <c r="BQ466" s="424">
        <f t="shared" si="496"/>
        <v>0</v>
      </c>
      <c r="BR466" s="424">
        <f t="shared" si="496"/>
        <v>0</v>
      </c>
      <c r="BS466" s="424">
        <f t="shared" si="496"/>
        <v>0</v>
      </c>
      <c r="BT466" s="424">
        <f t="shared" si="496"/>
        <v>0</v>
      </c>
      <c r="BU466" s="424">
        <f t="shared" si="496"/>
        <v>0</v>
      </c>
      <c r="BV466" s="424">
        <f t="shared" ref="BV466:DA466" si="497">BV96*BV$372</f>
        <v>0</v>
      </c>
      <c r="BW466" s="424">
        <f t="shared" si="497"/>
        <v>0</v>
      </c>
      <c r="BX466" s="424">
        <f t="shared" si="497"/>
        <v>0</v>
      </c>
      <c r="BY466" s="424">
        <f t="shared" si="497"/>
        <v>0</v>
      </c>
      <c r="BZ466" s="424">
        <f t="shared" si="497"/>
        <v>0</v>
      </c>
      <c r="CA466" s="424">
        <f t="shared" si="497"/>
        <v>0</v>
      </c>
      <c r="CB466" s="424">
        <f t="shared" si="497"/>
        <v>0</v>
      </c>
      <c r="CC466" s="424">
        <f t="shared" si="497"/>
        <v>0</v>
      </c>
      <c r="CD466" s="424">
        <f t="shared" si="497"/>
        <v>0</v>
      </c>
      <c r="CE466" s="424">
        <f t="shared" si="497"/>
        <v>0</v>
      </c>
      <c r="CF466" s="424">
        <f t="shared" si="497"/>
        <v>0</v>
      </c>
      <c r="CG466" s="424">
        <f t="shared" si="497"/>
        <v>1</v>
      </c>
      <c r="CH466" s="424">
        <f t="shared" si="497"/>
        <v>0</v>
      </c>
      <c r="CI466" s="424">
        <f t="shared" si="497"/>
        <v>0</v>
      </c>
      <c r="CJ466" s="424">
        <f t="shared" si="497"/>
        <v>0</v>
      </c>
      <c r="CK466" s="424">
        <f t="shared" si="497"/>
        <v>0</v>
      </c>
      <c r="CL466" s="424">
        <f t="shared" si="497"/>
        <v>0</v>
      </c>
      <c r="CM466" s="424">
        <f t="shared" si="497"/>
        <v>0</v>
      </c>
      <c r="CN466" s="424">
        <f t="shared" si="497"/>
        <v>0</v>
      </c>
      <c r="CO466" s="424">
        <f t="shared" si="497"/>
        <v>0</v>
      </c>
      <c r="CP466" s="424">
        <f t="shared" si="497"/>
        <v>0</v>
      </c>
      <c r="CQ466" s="424">
        <f t="shared" si="497"/>
        <v>0</v>
      </c>
      <c r="CR466" s="424">
        <f t="shared" si="497"/>
        <v>0</v>
      </c>
      <c r="CS466" s="424">
        <f t="shared" si="497"/>
        <v>0</v>
      </c>
      <c r="CT466" s="424">
        <f t="shared" si="497"/>
        <v>0</v>
      </c>
      <c r="CU466" s="424">
        <f t="shared" si="497"/>
        <v>0</v>
      </c>
      <c r="CV466" s="424">
        <f t="shared" si="497"/>
        <v>0</v>
      </c>
      <c r="CW466" s="424">
        <f t="shared" si="497"/>
        <v>0</v>
      </c>
      <c r="CX466" s="424">
        <f t="shared" si="497"/>
        <v>0</v>
      </c>
      <c r="CY466" s="424">
        <f t="shared" si="497"/>
        <v>0</v>
      </c>
      <c r="CZ466" s="424">
        <f t="shared" si="497"/>
        <v>0.11</v>
      </c>
      <c r="DA466" s="424">
        <f t="shared" si="497"/>
        <v>0</v>
      </c>
      <c r="DB466" s="424">
        <f t="shared" ref="DB466:EG466" si="498">DB96*DB$372</f>
        <v>0</v>
      </c>
      <c r="DC466" s="424">
        <f t="shared" si="498"/>
        <v>0</v>
      </c>
      <c r="DD466" s="424">
        <f t="shared" si="498"/>
        <v>0</v>
      </c>
      <c r="DE466" s="424">
        <f t="shared" si="498"/>
        <v>0</v>
      </c>
      <c r="DF466" s="424">
        <f t="shared" si="498"/>
        <v>0</v>
      </c>
      <c r="DG466" s="424">
        <f t="shared" si="498"/>
        <v>0</v>
      </c>
      <c r="DH466" s="424">
        <f t="shared" si="498"/>
        <v>0</v>
      </c>
      <c r="DI466" s="424">
        <f t="shared" si="498"/>
        <v>0</v>
      </c>
      <c r="DJ466" s="424">
        <f t="shared" si="498"/>
        <v>0</v>
      </c>
      <c r="DK466" s="424">
        <f t="shared" si="498"/>
        <v>0</v>
      </c>
      <c r="DL466" s="424">
        <f t="shared" si="498"/>
        <v>0</v>
      </c>
      <c r="DM466" s="424">
        <f t="shared" si="498"/>
        <v>0</v>
      </c>
      <c r="DN466" s="424">
        <f t="shared" si="498"/>
        <v>0</v>
      </c>
      <c r="DO466" s="424">
        <f t="shared" si="498"/>
        <v>0</v>
      </c>
      <c r="DP466" s="424">
        <f t="shared" si="498"/>
        <v>0</v>
      </c>
      <c r="DQ466" s="424">
        <f t="shared" si="498"/>
        <v>0</v>
      </c>
      <c r="DR466" s="424">
        <f t="shared" si="498"/>
        <v>0</v>
      </c>
      <c r="DS466" s="424">
        <f t="shared" si="498"/>
        <v>0</v>
      </c>
      <c r="DT466" s="424">
        <f t="shared" si="498"/>
        <v>0</v>
      </c>
      <c r="DU466" s="424">
        <f t="shared" si="498"/>
        <v>0</v>
      </c>
      <c r="DV466" s="424">
        <f t="shared" si="498"/>
        <v>0</v>
      </c>
      <c r="DW466" s="424">
        <f t="shared" si="498"/>
        <v>0</v>
      </c>
      <c r="DX466" s="424">
        <f t="shared" si="498"/>
        <v>0</v>
      </c>
      <c r="DY466" s="424">
        <f t="shared" si="498"/>
        <v>0</v>
      </c>
      <c r="DZ466" s="424">
        <f t="shared" si="498"/>
        <v>0</v>
      </c>
      <c r="EA466" s="424">
        <f t="shared" si="498"/>
        <v>0</v>
      </c>
      <c r="EB466" s="424">
        <f t="shared" si="498"/>
        <v>0</v>
      </c>
      <c r="EC466" s="424">
        <f t="shared" si="498"/>
        <v>0</v>
      </c>
      <c r="ED466" s="424">
        <f t="shared" si="498"/>
        <v>0</v>
      </c>
      <c r="EE466" s="424">
        <f t="shared" si="498"/>
        <v>0</v>
      </c>
      <c r="EF466" s="424">
        <f t="shared" si="498"/>
        <v>0</v>
      </c>
      <c r="EG466" s="424">
        <f t="shared" si="498"/>
        <v>0</v>
      </c>
      <c r="EH466" s="424">
        <f t="shared" ref="EH466:EX466" si="499">EH96*EH$372</f>
        <v>0</v>
      </c>
      <c r="EI466" s="424">
        <f t="shared" si="499"/>
        <v>0</v>
      </c>
      <c r="EJ466" s="424">
        <f t="shared" si="499"/>
        <v>0</v>
      </c>
      <c r="EK466" s="424">
        <f t="shared" si="499"/>
        <v>0</v>
      </c>
      <c r="EL466" s="424">
        <f t="shared" si="499"/>
        <v>0</v>
      </c>
      <c r="EM466" s="424">
        <f t="shared" si="499"/>
        <v>0</v>
      </c>
      <c r="EN466" s="424">
        <f t="shared" si="499"/>
        <v>0</v>
      </c>
      <c r="EO466" s="424">
        <f t="shared" si="499"/>
        <v>0</v>
      </c>
      <c r="EP466" s="424">
        <f t="shared" si="499"/>
        <v>0</v>
      </c>
      <c r="EQ466" s="424">
        <f t="shared" si="499"/>
        <v>0</v>
      </c>
      <c r="ER466" s="424">
        <f t="shared" si="499"/>
        <v>0</v>
      </c>
      <c r="ES466" s="424">
        <f t="shared" si="499"/>
        <v>0</v>
      </c>
      <c r="ET466" s="424">
        <f t="shared" si="499"/>
        <v>0</v>
      </c>
      <c r="EU466" s="424">
        <f t="shared" si="499"/>
        <v>0</v>
      </c>
      <c r="EV466" s="424">
        <f t="shared" si="499"/>
        <v>0</v>
      </c>
      <c r="EW466" s="424">
        <f t="shared" si="499"/>
        <v>0</v>
      </c>
      <c r="EX466" s="424">
        <f t="shared" si="499"/>
        <v>0</v>
      </c>
      <c r="EY466" s="425">
        <f t="shared" si="374"/>
        <v>12.53</v>
      </c>
    </row>
    <row r="467" spans="1:166" ht="14.7" customHeight="1" x14ac:dyDescent="0.25">
      <c r="A467" s="310">
        <v>93</v>
      </c>
      <c r="B467" s="311" t="str">
        <f t="shared" si="355"/>
        <v>Суп молочный с рисом</v>
      </c>
      <c r="C467" s="483">
        <f t="shared" si="363"/>
        <v>13.08</v>
      </c>
      <c r="D467" s="888"/>
      <c r="E467" s="888"/>
      <c r="F467" s="888"/>
      <c r="G467" s="889"/>
      <c r="H467" s="680">
        <f t="shared" si="356"/>
        <v>121</v>
      </c>
      <c r="I467" s="1209">
        <f t="shared" si="357"/>
        <v>0</v>
      </c>
      <c r="J467" s="424">
        <f t="shared" ref="J467:AO467" si="500">J97*J$372</f>
        <v>0</v>
      </c>
      <c r="K467" s="424">
        <f t="shared" si="500"/>
        <v>0</v>
      </c>
      <c r="L467" s="424">
        <f t="shared" si="500"/>
        <v>0</v>
      </c>
      <c r="M467" s="424">
        <f t="shared" si="500"/>
        <v>0</v>
      </c>
      <c r="N467" s="424">
        <f t="shared" si="500"/>
        <v>0</v>
      </c>
      <c r="O467" s="424">
        <f t="shared" si="500"/>
        <v>0</v>
      </c>
      <c r="P467" s="424">
        <f t="shared" si="500"/>
        <v>0</v>
      </c>
      <c r="Q467" s="424">
        <f t="shared" si="500"/>
        <v>0</v>
      </c>
      <c r="R467" s="424">
        <f t="shared" si="500"/>
        <v>0</v>
      </c>
      <c r="S467" s="424">
        <f t="shared" si="500"/>
        <v>0</v>
      </c>
      <c r="T467" s="424">
        <f t="shared" si="500"/>
        <v>0</v>
      </c>
      <c r="U467" s="424">
        <f t="shared" si="500"/>
        <v>10</v>
      </c>
      <c r="V467" s="424">
        <f t="shared" si="500"/>
        <v>1.42</v>
      </c>
      <c r="W467" s="424">
        <f t="shared" si="500"/>
        <v>0</v>
      </c>
      <c r="X467" s="424">
        <f t="shared" si="500"/>
        <v>0</v>
      </c>
      <c r="Y467" s="424">
        <f t="shared" si="500"/>
        <v>0</v>
      </c>
      <c r="Z467" s="424">
        <f t="shared" si="500"/>
        <v>0</v>
      </c>
      <c r="AA467" s="424">
        <f t="shared" si="500"/>
        <v>0</v>
      </c>
      <c r="AB467" s="424">
        <f t="shared" si="500"/>
        <v>0</v>
      </c>
      <c r="AC467" s="424">
        <f t="shared" si="500"/>
        <v>0</v>
      </c>
      <c r="AD467" s="424">
        <f t="shared" si="500"/>
        <v>0</v>
      </c>
      <c r="AE467" s="424">
        <f t="shared" si="500"/>
        <v>0</v>
      </c>
      <c r="AF467" s="424">
        <f t="shared" si="500"/>
        <v>0</v>
      </c>
      <c r="AG467" s="424">
        <f t="shared" si="500"/>
        <v>0</v>
      </c>
      <c r="AH467" s="424">
        <f t="shared" si="500"/>
        <v>0</v>
      </c>
      <c r="AI467" s="424">
        <f t="shared" si="500"/>
        <v>0</v>
      </c>
      <c r="AJ467" s="424">
        <f t="shared" si="500"/>
        <v>0</v>
      </c>
      <c r="AK467" s="424">
        <f t="shared" si="500"/>
        <v>0</v>
      </c>
      <c r="AL467" s="424">
        <f t="shared" si="500"/>
        <v>0</v>
      </c>
      <c r="AM467" s="424">
        <f t="shared" si="500"/>
        <v>0</v>
      </c>
      <c r="AN467" s="424">
        <f t="shared" si="500"/>
        <v>0</v>
      </c>
      <c r="AO467" s="424">
        <f t="shared" si="500"/>
        <v>0</v>
      </c>
      <c r="AP467" s="424">
        <f t="shared" ref="AP467:BU467" si="501">AP97*AP$372</f>
        <v>0</v>
      </c>
      <c r="AQ467" s="424">
        <f t="shared" si="501"/>
        <v>0</v>
      </c>
      <c r="AR467" s="424">
        <f t="shared" si="501"/>
        <v>0</v>
      </c>
      <c r="AS467" s="424">
        <f t="shared" si="501"/>
        <v>0</v>
      </c>
      <c r="AT467" s="424">
        <f t="shared" si="501"/>
        <v>0</v>
      </c>
      <c r="AU467" s="424">
        <f t="shared" si="501"/>
        <v>0</v>
      </c>
      <c r="AV467" s="424">
        <f t="shared" si="501"/>
        <v>0</v>
      </c>
      <c r="AW467" s="424">
        <f t="shared" si="501"/>
        <v>0</v>
      </c>
      <c r="AX467" s="424">
        <f t="shared" si="501"/>
        <v>0</v>
      </c>
      <c r="AY467" s="424">
        <f t="shared" si="501"/>
        <v>0</v>
      </c>
      <c r="AZ467" s="424">
        <f t="shared" si="501"/>
        <v>0</v>
      </c>
      <c r="BA467" s="424">
        <f t="shared" si="501"/>
        <v>0</v>
      </c>
      <c r="BB467" s="424">
        <f t="shared" si="501"/>
        <v>0</v>
      </c>
      <c r="BC467" s="424">
        <f t="shared" si="501"/>
        <v>0</v>
      </c>
      <c r="BD467" s="424">
        <f t="shared" si="501"/>
        <v>0</v>
      </c>
      <c r="BE467" s="424">
        <f t="shared" si="501"/>
        <v>0</v>
      </c>
      <c r="BF467" s="424">
        <f t="shared" si="501"/>
        <v>0</v>
      </c>
      <c r="BG467" s="424">
        <f t="shared" si="501"/>
        <v>0</v>
      </c>
      <c r="BH467" s="424">
        <f t="shared" si="501"/>
        <v>0</v>
      </c>
      <c r="BI467" s="424">
        <f t="shared" si="501"/>
        <v>0</v>
      </c>
      <c r="BJ467" s="424">
        <f t="shared" si="501"/>
        <v>0</v>
      </c>
      <c r="BK467" s="424">
        <f t="shared" si="501"/>
        <v>0</v>
      </c>
      <c r="BL467" s="424">
        <f t="shared" si="501"/>
        <v>0</v>
      </c>
      <c r="BM467" s="424">
        <f t="shared" si="501"/>
        <v>0</v>
      </c>
      <c r="BN467" s="424">
        <f t="shared" si="501"/>
        <v>0</v>
      </c>
      <c r="BO467" s="424">
        <f t="shared" si="501"/>
        <v>0</v>
      </c>
      <c r="BP467" s="424">
        <f t="shared" si="501"/>
        <v>0</v>
      </c>
      <c r="BQ467" s="424">
        <f t="shared" si="501"/>
        <v>0</v>
      </c>
      <c r="BR467" s="424">
        <f t="shared" si="501"/>
        <v>0</v>
      </c>
      <c r="BS467" s="424">
        <f t="shared" si="501"/>
        <v>0</v>
      </c>
      <c r="BT467" s="424">
        <f t="shared" si="501"/>
        <v>0</v>
      </c>
      <c r="BU467" s="424">
        <f t="shared" si="501"/>
        <v>0</v>
      </c>
      <c r="BV467" s="424">
        <f t="shared" ref="BV467:DA467" si="502">BV97*BV$372</f>
        <v>0</v>
      </c>
      <c r="BW467" s="424">
        <f t="shared" si="502"/>
        <v>0</v>
      </c>
      <c r="BX467" s="424">
        <f t="shared" si="502"/>
        <v>0</v>
      </c>
      <c r="BY467" s="424">
        <f t="shared" si="502"/>
        <v>0</v>
      </c>
      <c r="BZ467" s="424">
        <f t="shared" si="502"/>
        <v>0</v>
      </c>
      <c r="CA467" s="424">
        <f t="shared" si="502"/>
        <v>0</v>
      </c>
      <c r="CB467" s="424">
        <f t="shared" si="502"/>
        <v>1.47</v>
      </c>
      <c r="CC467" s="424">
        <f t="shared" si="502"/>
        <v>0</v>
      </c>
      <c r="CD467" s="424">
        <f t="shared" si="502"/>
        <v>0</v>
      </c>
      <c r="CE467" s="424">
        <f t="shared" si="502"/>
        <v>0</v>
      </c>
      <c r="CF467" s="424">
        <f t="shared" si="502"/>
        <v>0</v>
      </c>
      <c r="CG467" s="424">
        <f t="shared" si="502"/>
        <v>0</v>
      </c>
      <c r="CH467" s="424">
        <f t="shared" si="502"/>
        <v>0</v>
      </c>
      <c r="CI467" s="424">
        <f t="shared" si="502"/>
        <v>0</v>
      </c>
      <c r="CJ467" s="424">
        <f t="shared" si="502"/>
        <v>0</v>
      </c>
      <c r="CK467" s="424">
        <f t="shared" si="502"/>
        <v>0</v>
      </c>
      <c r="CL467" s="424">
        <f t="shared" si="502"/>
        <v>0</v>
      </c>
      <c r="CM467" s="424">
        <f t="shared" si="502"/>
        <v>0</v>
      </c>
      <c r="CN467" s="424">
        <f t="shared" si="502"/>
        <v>0</v>
      </c>
      <c r="CO467" s="424">
        <f t="shared" si="502"/>
        <v>0</v>
      </c>
      <c r="CP467" s="424">
        <f t="shared" si="502"/>
        <v>0</v>
      </c>
      <c r="CQ467" s="424">
        <f t="shared" si="502"/>
        <v>0</v>
      </c>
      <c r="CR467" s="424">
        <f t="shared" si="502"/>
        <v>0</v>
      </c>
      <c r="CS467" s="424">
        <f t="shared" si="502"/>
        <v>0</v>
      </c>
      <c r="CT467" s="424">
        <f t="shared" si="502"/>
        <v>0</v>
      </c>
      <c r="CU467" s="424">
        <f t="shared" si="502"/>
        <v>0</v>
      </c>
      <c r="CV467" s="424">
        <f t="shared" si="502"/>
        <v>0</v>
      </c>
      <c r="CW467" s="424">
        <f t="shared" si="502"/>
        <v>0</v>
      </c>
      <c r="CX467" s="424">
        <f t="shared" si="502"/>
        <v>0</v>
      </c>
      <c r="CY467" s="424">
        <f t="shared" si="502"/>
        <v>0</v>
      </c>
      <c r="CZ467" s="424">
        <f t="shared" si="502"/>
        <v>0.19</v>
      </c>
      <c r="DA467" s="424">
        <f t="shared" si="502"/>
        <v>0</v>
      </c>
      <c r="DB467" s="424">
        <f t="shared" ref="DB467:EG467" si="503">DB97*DB$372</f>
        <v>0</v>
      </c>
      <c r="DC467" s="424">
        <f t="shared" si="503"/>
        <v>0</v>
      </c>
      <c r="DD467" s="424">
        <f t="shared" si="503"/>
        <v>0</v>
      </c>
      <c r="DE467" s="424">
        <f t="shared" si="503"/>
        <v>0</v>
      </c>
      <c r="DF467" s="424">
        <f t="shared" si="503"/>
        <v>0</v>
      </c>
      <c r="DG467" s="424">
        <f t="shared" si="503"/>
        <v>0</v>
      </c>
      <c r="DH467" s="424">
        <f t="shared" si="503"/>
        <v>0</v>
      </c>
      <c r="DI467" s="424">
        <f t="shared" si="503"/>
        <v>0</v>
      </c>
      <c r="DJ467" s="424">
        <f t="shared" si="503"/>
        <v>0</v>
      </c>
      <c r="DK467" s="424">
        <f t="shared" si="503"/>
        <v>0</v>
      </c>
      <c r="DL467" s="424">
        <f t="shared" si="503"/>
        <v>0</v>
      </c>
      <c r="DM467" s="424">
        <f t="shared" si="503"/>
        <v>0</v>
      </c>
      <c r="DN467" s="424">
        <f t="shared" si="503"/>
        <v>0</v>
      </c>
      <c r="DO467" s="424">
        <f t="shared" si="503"/>
        <v>0</v>
      </c>
      <c r="DP467" s="424">
        <f t="shared" si="503"/>
        <v>0</v>
      </c>
      <c r="DQ467" s="424">
        <f t="shared" si="503"/>
        <v>0</v>
      </c>
      <c r="DR467" s="424">
        <f t="shared" si="503"/>
        <v>0</v>
      </c>
      <c r="DS467" s="424">
        <f t="shared" si="503"/>
        <v>0</v>
      </c>
      <c r="DT467" s="424">
        <f t="shared" si="503"/>
        <v>0</v>
      </c>
      <c r="DU467" s="424">
        <f t="shared" si="503"/>
        <v>0</v>
      </c>
      <c r="DV467" s="424">
        <f t="shared" si="503"/>
        <v>0</v>
      </c>
      <c r="DW467" s="424">
        <f t="shared" si="503"/>
        <v>0</v>
      </c>
      <c r="DX467" s="424">
        <f t="shared" si="503"/>
        <v>0</v>
      </c>
      <c r="DY467" s="424">
        <f t="shared" si="503"/>
        <v>0</v>
      </c>
      <c r="DZ467" s="424">
        <f t="shared" si="503"/>
        <v>0</v>
      </c>
      <c r="EA467" s="424">
        <f t="shared" si="503"/>
        <v>0</v>
      </c>
      <c r="EB467" s="424">
        <f t="shared" si="503"/>
        <v>0</v>
      </c>
      <c r="EC467" s="424">
        <f t="shared" si="503"/>
        <v>0</v>
      </c>
      <c r="ED467" s="424">
        <f t="shared" si="503"/>
        <v>0</v>
      </c>
      <c r="EE467" s="424">
        <f t="shared" si="503"/>
        <v>0</v>
      </c>
      <c r="EF467" s="424">
        <f t="shared" si="503"/>
        <v>0</v>
      </c>
      <c r="EG467" s="424">
        <f t="shared" si="503"/>
        <v>0</v>
      </c>
      <c r="EH467" s="424">
        <f t="shared" ref="EH467:EX467" si="504">EH97*EH$372</f>
        <v>0</v>
      </c>
      <c r="EI467" s="424">
        <f t="shared" si="504"/>
        <v>0</v>
      </c>
      <c r="EJ467" s="424">
        <f t="shared" si="504"/>
        <v>0</v>
      </c>
      <c r="EK467" s="424">
        <f t="shared" si="504"/>
        <v>0</v>
      </c>
      <c r="EL467" s="424">
        <f t="shared" si="504"/>
        <v>0</v>
      </c>
      <c r="EM467" s="424">
        <f t="shared" si="504"/>
        <v>0</v>
      </c>
      <c r="EN467" s="424">
        <f t="shared" si="504"/>
        <v>0</v>
      </c>
      <c r="EO467" s="424">
        <f t="shared" si="504"/>
        <v>0</v>
      </c>
      <c r="EP467" s="424">
        <f t="shared" si="504"/>
        <v>0</v>
      </c>
      <c r="EQ467" s="424">
        <f t="shared" si="504"/>
        <v>0</v>
      </c>
      <c r="ER467" s="424">
        <f t="shared" si="504"/>
        <v>0</v>
      </c>
      <c r="ES467" s="424">
        <f t="shared" si="504"/>
        <v>0</v>
      </c>
      <c r="ET467" s="424">
        <f t="shared" si="504"/>
        <v>0</v>
      </c>
      <c r="EU467" s="424">
        <f t="shared" si="504"/>
        <v>0</v>
      </c>
      <c r="EV467" s="424">
        <f t="shared" si="504"/>
        <v>0</v>
      </c>
      <c r="EW467" s="424">
        <f t="shared" si="504"/>
        <v>0</v>
      </c>
      <c r="EX467" s="424">
        <f t="shared" si="504"/>
        <v>0</v>
      </c>
      <c r="EY467" s="425">
        <f t="shared" si="374"/>
        <v>13.08</v>
      </c>
    </row>
    <row r="468" spans="1:166" ht="14.7" customHeight="1" x14ac:dyDescent="0.25">
      <c r="A468" s="310">
        <v>94</v>
      </c>
      <c r="B468" s="311" t="str">
        <f t="shared" si="355"/>
        <v>Суп молочный с крупой гречневой</v>
      </c>
      <c r="C468" s="483">
        <f t="shared" si="363"/>
        <v>13.61</v>
      </c>
      <c r="D468" s="888"/>
      <c r="E468" s="888"/>
      <c r="F468" s="888"/>
      <c r="G468" s="889"/>
      <c r="H468" s="680">
        <f t="shared" si="356"/>
        <v>121</v>
      </c>
      <c r="I468" s="1209">
        <f t="shared" si="357"/>
        <v>0</v>
      </c>
      <c r="J468" s="424">
        <f t="shared" ref="J468:AO468" si="505">J98*J$372</f>
        <v>0</v>
      </c>
      <c r="K468" s="424">
        <f t="shared" si="505"/>
        <v>0</v>
      </c>
      <c r="L468" s="424">
        <f t="shared" si="505"/>
        <v>0</v>
      </c>
      <c r="M468" s="424">
        <f t="shared" si="505"/>
        <v>0</v>
      </c>
      <c r="N468" s="424">
        <f t="shared" si="505"/>
        <v>0</v>
      </c>
      <c r="O468" s="424">
        <f t="shared" si="505"/>
        <v>0</v>
      </c>
      <c r="P468" s="424">
        <f t="shared" si="505"/>
        <v>0</v>
      </c>
      <c r="Q468" s="424">
        <f t="shared" si="505"/>
        <v>0</v>
      </c>
      <c r="R468" s="424">
        <f t="shared" si="505"/>
        <v>0</v>
      </c>
      <c r="S468" s="424">
        <f t="shared" si="505"/>
        <v>0</v>
      </c>
      <c r="T468" s="424">
        <f t="shared" si="505"/>
        <v>0</v>
      </c>
      <c r="U468" s="424">
        <f t="shared" si="505"/>
        <v>10</v>
      </c>
      <c r="V468" s="424">
        <f t="shared" si="505"/>
        <v>1.42</v>
      </c>
      <c r="W468" s="424">
        <f t="shared" si="505"/>
        <v>0</v>
      </c>
      <c r="X468" s="424">
        <f t="shared" si="505"/>
        <v>0</v>
      </c>
      <c r="Y468" s="424">
        <f t="shared" si="505"/>
        <v>0</v>
      </c>
      <c r="Z468" s="424">
        <f t="shared" si="505"/>
        <v>0</v>
      </c>
      <c r="AA468" s="424">
        <f t="shared" si="505"/>
        <v>0</v>
      </c>
      <c r="AB468" s="424">
        <f t="shared" si="505"/>
        <v>0</v>
      </c>
      <c r="AC468" s="424">
        <f t="shared" si="505"/>
        <v>0</v>
      </c>
      <c r="AD468" s="424">
        <f t="shared" si="505"/>
        <v>0</v>
      </c>
      <c r="AE468" s="424">
        <f t="shared" si="505"/>
        <v>0</v>
      </c>
      <c r="AF468" s="424">
        <f t="shared" si="505"/>
        <v>0</v>
      </c>
      <c r="AG468" s="424">
        <f t="shared" si="505"/>
        <v>0</v>
      </c>
      <c r="AH468" s="424">
        <f t="shared" si="505"/>
        <v>0</v>
      </c>
      <c r="AI468" s="424">
        <f t="shared" si="505"/>
        <v>0</v>
      </c>
      <c r="AJ468" s="424">
        <f t="shared" si="505"/>
        <v>0</v>
      </c>
      <c r="AK468" s="424">
        <f t="shared" si="505"/>
        <v>0</v>
      </c>
      <c r="AL468" s="424">
        <f t="shared" si="505"/>
        <v>0</v>
      </c>
      <c r="AM468" s="424">
        <f t="shared" si="505"/>
        <v>0</v>
      </c>
      <c r="AN468" s="424">
        <f t="shared" si="505"/>
        <v>0</v>
      </c>
      <c r="AO468" s="424">
        <f t="shared" si="505"/>
        <v>0</v>
      </c>
      <c r="AP468" s="424">
        <f t="shared" ref="AP468:BU468" si="506">AP98*AP$372</f>
        <v>0</v>
      </c>
      <c r="AQ468" s="424">
        <f t="shared" si="506"/>
        <v>0</v>
      </c>
      <c r="AR468" s="424">
        <f t="shared" si="506"/>
        <v>0</v>
      </c>
      <c r="AS468" s="424">
        <f t="shared" si="506"/>
        <v>0</v>
      </c>
      <c r="AT468" s="424">
        <f t="shared" si="506"/>
        <v>0</v>
      </c>
      <c r="AU468" s="424">
        <f t="shared" si="506"/>
        <v>0</v>
      </c>
      <c r="AV468" s="424">
        <f t="shared" si="506"/>
        <v>0</v>
      </c>
      <c r="AW468" s="424">
        <f t="shared" si="506"/>
        <v>0</v>
      </c>
      <c r="AX468" s="424">
        <f t="shared" si="506"/>
        <v>0</v>
      </c>
      <c r="AY468" s="424">
        <f t="shared" si="506"/>
        <v>0</v>
      </c>
      <c r="AZ468" s="424">
        <f t="shared" si="506"/>
        <v>0</v>
      </c>
      <c r="BA468" s="424">
        <f t="shared" si="506"/>
        <v>0</v>
      </c>
      <c r="BB468" s="424">
        <f t="shared" si="506"/>
        <v>0</v>
      </c>
      <c r="BC468" s="424">
        <f t="shared" si="506"/>
        <v>0</v>
      </c>
      <c r="BD468" s="424">
        <f t="shared" si="506"/>
        <v>0</v>
      </c>
      <c r="BE468" s="424">
        <f t="shared" si="506"/>
        <v>0</v>
      </c>
      <c r="BF468" s="424">
        <f t="shared" si="506"/>
        <v>0</v>
      </c>
      <c r="BG468" s="424">
        <f t="shared" si="506"/>
        <v>0</v>
      </c>
      <c r="BH468" s="424">
        <f t="shared" si="506"/>
        <v>0</v>
      </c>
      <c r="BI468" s="424">
        <f t="shared" si="506"/>
        <v>0</v>
      </c>
      <c r="BJ468" s="424">
        <f t="shared" si="506"/>
        <v>0</v>
      </c>
      <c r="BK468" s="424">
        <f t="shared" si="506"/>
        <v>0</v>
      </c>
      <c r="BL468" s="424">
        <f t="shared" si="506"/>
        <v>0</v>
      </c>
      <c r="BM468" s="424">
        <f t="shared" si="506"/>
        <v>0</v>
      </c>
      <c r="BN468" s="424">
        <f t="shared" si="506"/>
        <v>0</v>
      </c>
      <c r="BO468" s="424">
        <f t="shared" si="506"/>
        <v>0</v>
      </c>
      <c r="BP468" s="424">
        <f t="shared" si="506"/>
        <v>0</v>
      </c>
      <c r="BQ468" s="424">
        <f t="shared" si="506"/>
        <v>0</v>
      </c>
      <c r="BR468" s="424">
        <f t="shared" si="506"/>
        <v>0</v>
      </c>
      <c r="BS468" s="424">
        <f t="shared" si="506"/>
        <v>0</v>
      </c>
      <c r="BT468" s="424">
        <f t="shared" si="506"/>
        <v>2</v>
      </c>
      <c r="BU468" s="424">
        <f t="shared" si="506"/>
        <v>0</v>
      </c>
      <c r="BV468" s="424">
        <f t="shared" ref="BV468:DA468" si="507">BV98*BV$372</f>
        <v>0</v>
      </c>
      <c r="BW468" s="424">
        <f t="shared" si="507"/>
        <v>0</v>
      </c>
      <c r="BX468" s="424">
        <f t="shared" si="507"/>
        <v>0</v>
      </c>
      <c r="BY468" s="424">
        <f t="shared" si="507"/>
        <v>0</v>
      </c>
      <c r="BZ468" s="424">
        <f t="shared" si="507"/>
        <v>0</v>
      </c>
      <c r="CA468" s="424">
        <f t="shared" si="507"/>
        <v>0</v>
      </c>
      <c r="CB468" s="424">
        <f t="shared" si="507"/>
        <v>0</v>
      </c>
      <c r="CC468" s="424">
        <f t="shared" si="507"/>
        <v>0</v>
      </c>
      <c r="CD468" s="424">
        <f t="shared" si="507"/>
        <v>0</v>
      </c>
      <c r="CE468" s="424">
        <f t="shared" si="507"/>
        <v>0</v>
      </c>
      <c r="CF468" s="424">
        <f t="shared" si="507"/>
        <v>0</v>
      </c>
      <c r="CG468" s="424">
        <f t="shared" si="507"/>
        <v>0</v>
      </c>
      <c r="CH468" s="424">
        <f t="shared" si="507"/>
        <v>0</v>
      </c>
      <c r="CI468" s="424">
        <f t="shared" si="507"/>
        <v>0</v>
      </c>
      <c r="CJ468" s="424">
        <f t="shared" si="507"/>
        <v>0</v>
      </c>
      <c r="CK468" s="424">
        <f t="shared" si="507"/>
        <v>0</v>
      </c>
      <c r="CL468" s="424">
        <f t="shared" si="507"/>
        <v>0</v>
      </c>
      <c r="CM468" s="424">
        <f t="shared" si="507"/>
        <v>0</v>
      </c>
      <c r="CN468" s="424">
        <f t="shared" si="507"/>
        <v>0</v>
      </c>
      <c r="CO468" s="424">
        <f t="shared" si="507"/>
        <v>0</v>
      </c>
      <c r="CP468" s="424">
        <f t="shared" si="507"/>
        <v>0</v>
      </c>
      <c r="CQ468" s="424">
        <f t="shared" si="507"/>
        <v>0</v>
      </c>
      <c r="CR468" s="424">
        <f t="shared" si="507"/>
        <v>0</v>
      </c>
      <c r="CS468" s="424">
        <f t="shared" si="507"/>
        <v>0</v>
      </c>
      <c r="CT468" s="424">
        <f t="shared" si="507"/>
        <v>0</v>
      </c>
      <c r="CU468" s="424">
        <f t="shared" si="507"/>
        <v>0</v>
      </c>
      <c r="CV468" s="424">
        <f t="shared" si="507"/>
        <v>0</v>
      </c>
      <c r="CW468" s="424">
        <f t="shared" si="507"/>
        <v>0</v>
      </c>
      <c r="CX468" s="424">
        <f t="shared" si="507"/>
        <v>0</v>
      </c>
      <c r="CY468" s="424">
        <f t="shared" si="507"/>
        <v>0</v>
      </c>
      <c r="CZ468" s="424">
        <f t="shared" si="507"/>
        <v>0.19</v>
      </c>
      <c r="DA468" s="424">
        <f t="shared" si="507"/>
        <v>0</v>
      </c>
      <c r="DB468" s="424">
        <f t="shared" ref="DB468:EG468" si="508">DB98*DB$372</f>
        <v>0</v>
      </c>
      <c r="DC468" s="424">
        <f t="shared" si="508"/>
        <v>0</v>
      </c>
      <c r="DD468" s="424">
        <f t="shared" si="508"/>
        <v>0</v>
      </c>
      <c r="DE468" s="424">
        <f t="shared" si="508"/>
        <v>0</v>
      </c>
      <c r="DF468" s="424">
        <f t="shared" si="508"/>
        <v>0</v>
      </c>
      <c r="DG468" s="424">
        <f t="shared" si="508"/>
        <v>0</v>
      </c>
      <c r="DH468" s="424">
        <f t="shared" si="508"/>
        <v>0</v>
      </c>
      <c r="DI468" s="424">
        <f t="shared" si="508"/>
        <v>0</v>
      </c>
      <c r="DJ468" s="424">
        <f t="shared" si="508"/>
        <v>0</v>
      </c>
      <c r="DK468" s="424">
        <f t="shared" si="508"/>
        <v>0</v>
      </c>
      <c r="DL468" s="424">
        <f t="shared" si="508"/>
        <v>0</v>
      </c>
      <c r="DM468" s="424">
        <f t="shared" si="508"/>
        <v>0</v>
      </c>
      <c r="DN468" s="424">
        <f t="shared" si="508"/>
        <v>0</v>
      </c>
      <c r="DO468" s="424">
        <f t="shared" si="508"/>
        <v>0</v>
      </c>
      <c r="DP468" s="424">
        <f t="shared" si="508"/>
        <v>0</v>
      </c>
      <c r="DQ468" s="424">
        <f t="shared" si="508"/>
        <v>0</v>
      </c>
      <c r="DR468" s="424">
        <f t="shared" si="508"/>
        <v>0</v>
      </c>
      <c r="DS468" s="424">
        <f t="shared" si="508"/>
        <v>0</v>
      </c>
      <c r="DT468" s="424">
        <f t="shared" si="508"/>
        <v>0</v>
      </c>
      <c r="DU468" s="424">
        <f t="shared" si="508"/>
        <v>0</v>
      </c>
      <c r="DV468" s="424">
        <f t="shared" si="508"/>
        <v>0</v>
      </c>
      <c r="DW468" s="424">
        <f t="shared" si="508"/>
        <v>0</v>
      </c>
      <c r="DX468" s="424">
        <f t="shared" si="508"/>
        <v>0</v>
      </c>
      <c r="DY468" s="424">
        <f t="shared" si="508"/>
        <v>0</v>
      </c>
      <c r="DZ468" s="424">
        <f t="shared" si="508"/>
        <v>0</v>
      </c>
      <c r="EA468" s="424">
        <f t="shared" si="508"/>
        <v>0</v>
      </c>
      <c r="EB468" s="424">
        <f t="shared" si="508"/>
        <v>0</v>
      </c>
      <c r="EC468" s="424">
        <f t="shared" si="508"/>
        <v>0</v>
      </c>
      <c r="ED468" s="424">
        <f t="shared" si="508"/>
        <v>0</v>
      </c>
      <c r="EE468" s="424">
        <f t="shared" si="508"/>
        <v>0</v>
      </c>
      <c r="EF468" s="424">
        <f t="shared" si="508"/>
        <v>0</v>
      </c>
      <c r="EG468" s="424">
        <f t="shared" si="508"/>
        <v>0</v>
      </c>
      <c r="EH468" s="424">
        <f t="shared" ref="EH468:EX468" si="509">EH98*EH$372</f>
        <v>0</v>
      </c>
      <c r="EI468" s="424">
        <f t="shared" si="509"/>
        <v>0</v>
      </c>
      <c r="EJ468" s="424">
        <f t="shared" si="509"/>
        <v>0</v>
      </c>
      <c r="EK468" s="424">
        <f t="shared" si="509"/>
        <v>0</v>
      </c>
      <c r="EL468" s="424">
        <f t="shared" si="509"/>
        <v>0</v>
      </c>
      <c r="EM468" s="424">
        <f t="shared" si="509"/>
        <v>0</v>
      </c>
      <c r="EN468" s="424">
        <f t="shared" si="509"/>
        <v>0</v>
      </c>
      <c r="EO468" s="424">
        <f t="shared" si="509"/>
        <v>0</v>
      </c>
      <c r="EP468" s="424">
        <f t="shared" si="509"/>
        <v>0</v>
      </c>
      <c r="EQ468" s="424">
        <f t="shared" si="509"/>
        <v>0</v>
      </c>
      <c r="ER468" s="424">
        <f t="shared" si="509"/>
        <v>0</v>
      </c>
      <c r="ES468" s="424">
        <f t="shared" si="509"/>
        <v>0</v>
      </c>
      <c r="ET468" s="424">
        <f t="shared" si="509"/>
        <v>0</v>
      </c>
      <c r="EU468" s="424">
        <f t="shared" si="509"/>
        <v>0</v>
      </c>
      <c r="EV468" s="424">
        <f t="shared" si="509"/>
        <v>0</v>
      </c>
      <c r="EW468" s="424">
        <f t="shared" si="509"/>
        <v>0</v>
      </c>
      <c r="EX468" s="424">
        <f t="shared" si="509"/>
        <v>0</v>
      </c>
      <c r="EY468" s="425">
        <f t="shared" si="374"/>
        <v>13.61</v>
      </c>
    </row>
    <row r="469" spans="1:166" ht="14.7" customHeight="1" x14ac:dyDescent="0.25">
      <c r="A469" s="310">
        <v>95</v>
      </c>
      <c r="B469" s="311" t="str">
        <f t="shared" si="355"/>
        <v>Суп молочный с крупой перловой</v>
      </c>
      <c r="C469" s="483">
        <f t="shared" si="363"/>
        <v>12.41</v>
      </c>
      <c r="D469" s="888"/>
      <c r="E469" s="888"/>
      <c r="F469" s="888"/>
      <c r="G469" s="889"/>
      <c r="H469" s="680">
        <f t="shared" si="356"/>
        <v>121</v>
      </c>
      <c r="I469" s="1209">
        <f t="shared" si="357"/>
        <v>0</v>
      </c>
      <c r="J469" s="424">
        <f t="shared" ref="J469:AO469" si="510">J99*J$372</f>
        <v>0</v>
      </c>
      <c r="K469" s="424">
        <f t="shared" si="510"/>
        <v>0</v>
      </c>
      <c r="L469" s="424">
        <f t="shared" si="510"/>
        <v>0</v>
      </c>
      <c r="M469" s="424">
        <f t="shared" si="510"/>
        <v>0</v>
      </c>
      <c r="N469" s="424">
        <f t="shared" si="510"/>
        <v>0</v>
      </c>
      <c r="O469" s="424">
        <f t="shared" si="510"/>
        <v>0</v>
      </c>
      <c r="P469" s="424">
        <f t="shared" si="510"/>
        <v>0</v>
      </c>
      <c r="Q469" s="424">
        <f t="shared" si="510"/>
        <v>0</v>
      </c>
      <c r="R469" s="424">
        <f t="shared" si="510"/>
        <v>0</v>
      </c>
      <c r="S469" s="424">
        <f t="shared" si="510"/>
        <v>0</v>
      </c>
      <c r="T469" s="424">
        <f t="shared" si="510"/>
        <v>0</v>
      </c>
      <c r="U469" s="424">
        <f t="shared" si="510"/>
        <v>10</v>
      </c>
      <c r="V469" s="424">
        <f t="shared" si="510"/>
        <v>1.42</v>
      </c>
      <c r="W469" s="424">
        <f t="shared" si="510"/>
        <v>0</v>
      </c>
      <c r="X469" s="424">
        <f t="shared" si="510"/>
        <v>0</v>
      </c>
      <c r="Y469" s="424">
        <f t="shared" si="510"/>
        <v>0</v>
      </c>
      <c r="Z469" s="424">
        <f t="shared" si="510"/>
        <v>0</v>
      </c>
      <c r="AA469" s="424">
        <f t="shared" si="510"/>
        <v>0</v>
      </c>
      <c r="AB469" s="424">
        <f t="shared" si="510"/>
        <v>0</v>
      </c>
      <c r="AC469" s="424">
        <f t="shared" si="510"/>
        <v>0</v>
      </c>
      <c r="AD469" s="424">
        <f t="shared" si="510"/>
        <v>0</v>
      </c>
      <c r="AE469" s="424">
        <f t="shared" si="510"/>
        <v>0</v>
      </c>
      <c r="AF469" s="424">
        <f t="shared" si="510"/>
        <v>0</v>
      </c>
      <c r="AG469" s="424">
        <f t="shared" si="510"/>
        <v>0</v>
      </c>
      <c r="AH469" s="424">
        <f t="shared" si="510"/>
        <v>0</v>
      </c>
      <c r="AI469" s="424">
        <f t="shared" si="510"/>
        <v>0</v>
      </c>
      <c r="AJ469" s="424">
        <f t="shared" si="510"/>
        <v>0</v>
      </c>
      <c r="AK469" s="424">
        <f t="shared" si="510"/>
        <v>0</v>
      </c>
      <c r="AL469" s="424">
        <f t="shared" si="510"/>
        <v>0</v>
      </c>
      <c r="AM469" s="424">
        <f t="shared" si="510"/>
        <v>0</v>
      </c>
      <c r="AN469" s="424">
        <f t="shared" si="510"/>
        <v>0</v>
      </c>
      <c r="AO469" s="424">
        <f t="shared" si="510"/>
        <v>0</v>
      </c>
      <c r="AP469" s="424">
        <f t="shared" ref="AP469:BU469" si="511">AP99*AP$372</f>
        <v>0</v>
      </c>
      <c r="AQ469" s="424">
        <f t="shared" si="511"/>
        <v>0</v>
      </c>
      <c r="AR469" s="424">
        <f t="shared" si="511"/>
        <v>0</v>
      </c>
      <c r="AS469" s="424">
        <f t="shared" si="511"/>
        <v>0</v>
      </c>
      <c r="AT469" s="424">
        <f t="shared" si="511"/>
        <v>0</v>
      </c>
      <c r="AU469" s="424">
        <f t="shared" si="511"/>
        <v>0</v>
      </c>
      <c r="AV469" s="424">
        <f t="shared" si="511"/>
        <v>0</v>
      </c>
      <c r="AW469" s="424">
        <f t="shared" si="511"/>
        <v>0</v>
      </c>
      <c r="AX469" s="424">
        <f t="shared" si="511"/>
        <v>0</v>
      </c>
      <c r="AY469" s="424">
        <f t="shared" si="511"/>
        <v>0</v>
      </c>
      <c r="AZ469" s="424">
        <f t="shared" si="511"/>
        <v>0</v>
      </c>
      <c r="BA469" s="424">
        <f t="shared" si="511"/>
        <v>0</v>
      </c>
      <c r="BB469" s="424">
        <f t="shared" si="511"/>
        <v>0</v>
      </c>
      <c r="BC469" s="424">
        <f t="shared" si="511"/>
        <v>0</v>
      </c>
      <c r="BD469" s="424">
        <f t="shared" si="511"/>
        <v>0</v>
      </c>
      <c r="BE469" s="424">
        <f t="shared" si="511"/>
        <v>0</v>
      </c>
      <c r="BF469" s="424">
        <f t="shared" si="511"/>
        <v>0</v>
      </c>
      <c r="BG469" s="424">
        <f t="shared" si="511"/>
        <v>0</v>
      </c>
      <c r="BH469" s="424">
        <f t="shared" si="511"/>
        <v>0</v>
      </c>
      <c r="BI469" s="424">
        <f t="shared" si="511"/>
        <v>0</v>
      </c>
      <c r="BJ469" s="424">
        <f t="shared" si="511"/>
        <v>0</v>
      </c>
      <c r="BK469" s="424">
        <f t="shared" si="511"/>
        <v>0</v>
      </c>
      <c r="BL469" s="424">
        <f t="shared" si="511"/>
        <v>0</v>
      </c>
      <c r="BM469" s="424">
        <f t="shared" si="511"/>
        <v>0</v>
      </c>
      <c r="BN469" s="424">
        <f t="shared" si="511"/>
        <v>0</v>
      </c>
      <c r="BO469" s="424">
        <f t="shared" si="511"/>
        <v>0</v>
      </c>
      <c r="BP469" s="424">
        <f t="shared" si="511"/>
        <v>0</v>
      </c>
      <c r="BQ469" s="424">
        <f t="shared" si="511"/>
        <v>0</v>
      </c>
      <c r="BR469" s="424">
        <f t="shared" si="511"/>
        <v>0</v>
      </c>
      <c r="BS469" s="424">
        <f t="shared" si="511"/>
        <v>0</v>
      </c>
      <c r="BT469" s="424">
        <f t="shared" si="511"/>
        <v>0</v>
      </c>
      <c r="BU469" s="424">
        <f t="shared" si="511"/>
        <v>0</v>
      </c>
      <c r="BV469" s="424">
        <f t="shared" ref="BV469:DA469" si="512">BV99*BV$372</f>
        <v>0.8</v>
      </c>
      <c r="BW469" s="424">
        <f t="shared" si="512"/>
        <v>0</v>
      </c>
      <c r="BX469" s="424">
        <f t="shared" si="512"/>
        <v>0</v>
      </c>
      <c r="BY469" s="424">
        <f t="shared" si="512"/>
        <v>0</v>
      </c>
      <c r="BZ469" s="424">
        <f t="shared" si="512"/>
        <v>0</v>
      </c>
      <c r="CA469" s="424">
        <f t="shared" si="512"/>
        <v>0</v>
      </c>
      <c r="CB469" s="424">
        <f t="shared" si="512"/>
        <v>0</v>
      </c>
      <c r="CC469" s="424">
        <f t="shared" si="512"/>
        <v>0</v>
      </c>
      <c r="CD469" s="424">
        <f t="shared" si="512"/>
        <v>0</v>
      </c>
      <c r="CE469" s="424">
        <f t="shared" si="512"/>
        <v>0</v>
      </c>
      <c r="CF469" s="424">
        <f t="shared" si="512"/>
        <v>0</v>
      </c>
      <c r="CG469" s="424">
        <f t="shared" si="512"/>
        <v>0</v>
      </c>
      <c r="CH469" s="424">
        <f t="shared" si="512"/>
        <v>0</v>
      </c>
      <c r="CI469" s="424">
        <f t="shared" si="512"/>
        <v>0</v>
      </c>
      <c r="CJ469" s="424">
        <f t="shared" si="512"/>
        <v>0</v>
      </c>
      <c r="CK469" s="424">
        <f t="shared" si="512"/>
        <v>0</v>
      </c>
      <c r="CL469" s="424">
        <f t="shared" si="512"/>
        <v>0</v>
      </c>
      <c r="CM469" s="424">
        <f t="shared" si="512"/>
        <v>0</v>
      </c>
      <c r="CN469" s="424">
        <f t="shared" si="512"/>
        <v>0</v>
      </c>
      <c r="CO469" s="424">
        <f t="shared" si="512"/>
        <v>0</v>
      </c>
      <c r="CP469" s="424">
        <f t="shared" si="512"/>
        <v>0</v>
      </c>
      <c r="CQ469" s="424">
        <f t="shared" si="512"/>
        <v>0</v>
      </c>
      <c r="CR469" s="424">
        <f t="shared" si="512"/>
        <v>0</v>
      </c>
      <c r="CS469" s="424">
        <f t="shared" si="512"/>
        <v>0</v>
      </c>
      <c r="CT469" s="424">
        <f t="shared" si="512"/>
        <v>0</v>
      </c>
      <c r="CU469" s="424">
        <f t="shared" si="512"/>
        <v>0</v>
      </c>
      <c r="CV469" s="424">
        <f t="shared" si="512"/>
        <v>0</v>
      </c>
      <c r="CW469" s="424">
        <f t="shared" si="512"/>
        <v>0</v>
      </c>
      <c r="CX469" s="424">
        <f t="shared" si="512"/>
        <v>0</v>
      </c>
      <c r="CY469" s="424">
        <f t="shared" si="512"/>
        <v>0</v>
      </c>
      <c r="CZ469" s="424">
        <f t="shared" si="512"/>
        <v>0.19</v>
      </c>
      <c r="DA469" s="424">
        <f t="shared" si="512"/>
        <v>0</v>
      </c>
      <c r="DB469" s="424">
        <f t="shared" ref="DB469:EG469" si="513">DB99*DB$372</f>
        <v>0</v>
      </c>
      <c r="DC469" s="424">
        <f t="shared" si="513"/>
        <v>0</v>
      </c>
      <c r="DD469" s="424">
        <f t="shared" si="513"/>
        <v>0</v>
      </c>
      <c r="DE469" s="424">
        <f t="shared" si="513"/>
        <v>0</v>
      </c>
      <c r="DF469" s="424">
        <f t="shared" si="513"/>
        <v>0</v>
      </c>
      <c r="DG469" s="424">
        <f t="shared" si="513"/>
        <v>0</v>
      </c>
      <c r="DH469" s="424">
        <f t="shared" si="513"/>
        <v>0</v>
      </c>
      <c r="DI469" s="424">
        <f t="shared" si="513"/>
        <v>0</v>
      </c>
      <c r="DJ469" s="424">
        <f t="shared" si="513"/>
        <v>0</v>
      </c>
      <c r="DK469" s="424">
        <f t="shared" si="513"/>
        <v>0</v>
      </c>
      <c r="DL469" s="424">
        <f t="shared" si="513"/>
        <v>0</v>
      </c>
      <c r="DM469" s="424">
        <f t="shared" si="513"/>
        <v>0</v>
      </c>
      <c r="DN469" s="424">
        <f t="shared" si="513"/>
        <v>0</v>
      </c>
      <c r="DO469" s="424">
        <f t="shared" si="513"/>
        <v>0</v>
      </c>
      <c r="DP469" s="424">
        <f t="shared" si="513"/>
        <v>0</v>
      </c>
      <c r="DQ469" s="424">
        <f t="shared" si="513"/>
        <v>0</v>
      </c>
      <c r="DR469" s="424">
        <f t="shared" si="513"/>
        <v>0</v>
      </c>
      <c r="DS469" s="424">
        <f t="shared" si="513"/>
        <v>0</v>
      </c>
      <c r="DT469" s="424">
        <f t="shared" si="513"/>
        <v>0</v>
      </c>
      <c r="DU469" s="424">
        <f t="shared" si="513"/>
        <v>0</v>
      </c>
      <c r="DV469" s="424">
        <f t="shared" si="513"/>
        <v>0</v>
      </c>
      <c r="DW469" s="424">
        <f t="shared" si="513"/>
        <v>0</v>
      </c>
      <c r="DX469" s="424">
        <f t="shared" si="513"/>
        <v>0</v>
      </c>
      <c r="DY469" s="424">
        <f t="shared" si="513"/>
        <v>0</v>
      </c>
      <c r="DZ469" s="424">
        <f t="shared" si="513"/>
        <v>0</v>
      </c>
      <c r="EA469" s="424">
        <f t="shared" si="513"/>
        <v>0</v>
      </c>
      <c r="EB469" s="424">
        <f t="shared" si="513"/>
        <v>0</v>
      </c>
      <c r="EC469" s="424">
        <f t="shared" si="513"/>
        <v>0</v>
      </c>
      <c r="ED469" s="424">
        <f t="shared" si="513"/>
        <v>0</v>
      </c>
      <c r="EE469" s="424">
        <f t="shared" si="513"/>
        <v>0</v>
      </c>
      <c r="EF469" s="424">
        <f t="shared" si="513"/>
        <v>0</v>
      </c>
      <c r="EG469" s="424">
        <f t="shared" si="513"/>
        <v>0</v>
      </c>
      <c r="EH469" s="424">
        <f t="shared" ref="EH469:EX469" si="514">EH99*EH$372</f>
        <v>0</v>
      </c>
      <c r="EI469" s="424">
        <f t="shared" si="514"/>
        <v>0</v>
      </c>
      <c r="EJ469" s="424">
        <f t="shared" si="514"/>
        <v>0</v>
      </c>
      <c r="EK469" s="424">
        <f t="shared" si="514"/>
        <v>0</v>
      </c>
      <c r="EL469" s="424">
        <f t="shared" si="514"/>
        <v>0</v>
      </c>
      <c r="EM469" s="424">
        <f t="shared" si="514"/>
        <v>0</v>
      </c>
      <c r="EN469" s="424">
        <f t="shared" si="514"/>
        <v>0</v>
      </c>
      <c r="EO469" s="424">
        <f t="shared" si="514"/>
        <v>0</v>
      </c>
      <c r="EP469" s="424">
        <f t="shared" si="514"/>
        <v>0</v>
      </c>
      <c r="EQ469" s="424">
        <f t="shared" si="514"/>
        <v>0</v>
      </c>
      <c r="ER469" s="424">
        <f t="shared" si="514"/>
        <v>0</v>
      </c>
      <c r="ES469" s="424">
        <f t="shared" si="514"/>
        <v>0</v>
      </c>
      <c r="ET469" s="424">
        <f t="shared" si="514"/>
        <v>0</v>
      </c>
      <c r="EU469" s="424">
        <f t="shared" si="514"/>
        <v>0</v>
      </c>
      <c r="EV469" s="424">
        <f t="shared" si="514"/>
        <v>0</v>
      </c>
      <c r="EW469" s="424">
        <f t="shared" si="514"/>
        <v>0</v>
      </c>
      <c r="EX469" s="424">
        <f t="shared" si="514"/>
        <v>0</v>
      </c>
      <c r="EY469" s="425">
        <f t="shared" si="374"/>
        <v>12.41</v>
      </c>
    </row>
    <row r="470" spans="1:166" ht="14.7" customHeight="1" x14ac:dyDescent="0.25">
      <c r="A470" s="310">
        <v>96</v>
      </c>
      <c r="B470" s="311" t="str">
        <f t="shared" si="355"/>
        <v>Суп молочный с крупой кукурузной</v>
      </c>
      <c r="C470" s="483">
        <f t="shared" si="363"/>
        <v>12.15</v>
      </c>
      <c r="D470" s="888"/>
      <c r="E470" s="888"/>
      <c r="F470" s="888"/>
      <c r="G470" s="889"/>
      <c r="H470" s="680">
        <f t="shared" si="356"/>
        <v>121</v>
      </c>
      <c r="I470" s="1209">
        <f t="shared" si="357"/>
        <v>0</v>
      </c>
      <c r="J470" s="424">
        <f t="shared" ref="J470:AO470" si="515">J100*J$372</f>
        <v>0</v>
      </c>
      <c r="K470" s="424">
        <f t="shared" si="515"/>
        <v>0</v>
      </c>
      <c r="L470" s="424">
        <f t="shared" si="515"/>
        <v>0</v>
      </c>
      <c r="M470" s="424">
        <f t="shared" si="515"/>
        <v>0</v>
      </c>
      <c r="N470" s="424">
        <f t="shared" si="515"/>
        <v>0</v>
      </c>
      <c r="O470" s="424">
        <f t="shared" si="515"/>
        <v>0</v>
      </c>
      <c r="P470" s="424">
        <f t="shared" si="515"/>
        <v>0</v>
      </c>
      <c r="Q470" s="424">
        <f t="shared" si="515"/>
        <v>0</v>
      </c>
      <c r="R470" s="424">
        <f t="shared" si="515"/>
        <v>0</v>
      </c>
      <c r="S470" s="424">
        <f t="shared" si="515"/>
        <v>0</v>
      </c>
      <c r="T470" s="424">
        <f t="shared" si="515"/>
        <v>0</v>
      </c>
      <c r="U470" s="424">
        <f t="shared" si="515"/>
        <v>10</v>
      </c>
      <c r="V470" s="424">
        <f t="shared" si="515"/>
        <v>1.42</v>
      </c>
      <c r="W470" s="424">
        <f t="shared" si="515"/>
        <v>0</v>
      </c>
      <c r="X470" s="424">
        <f t="shared" si="515"/>
        <v>0</v>
      </c>
      <c r="Y470" s="424">
        <f t="shared" si="515"/>
        <v>0</v>
      </c>
      <c r="Z470" s="424">
        <f t="shared" si="515"/>
        <v>0</v>
      </c>
      <c r="AA470" s="424">
        <f t="shared" si="515"/>
        <v>0</v>
      </c>
      <c r="AB470" s="424">
        <f t="shared" si="515"/>
        <v>0</v>
      </c>
      <c r="AC470" s="424">
        <f t="shared" si="515"/>
        <v>0</v>
      </c>
      <c r="AD470" s="424">
        <f t="shared" si="515"/>
        <v>0</v>
      </c>
      <c r="AE470" s="424">
        <f t="shared" si="515"/>
        <v>0</v>
      </c>
      <c r="AF470" s="424">
        <f t="shared" si="515"/>
        <v>0</v>
      </c>
      <c r="AG470" s="424">
        <f t="shared" si="515"/>
        <v>0</v>
      </c>
      <c r="AH470" s="424">
        <f t="shared" si="515"/>
        <v>0</v>
      </c>
      <c r="AI470" s="424">
        <f t="shared" si="515"/>
        <v>0</v>
      </c>
      <c r="AJ470" s="424">
        <f t="shared" si="515"/>
        <v>0</v>
      </c>
      <c r="AK470" s="424">
        <f t="shared" si="515"/>
        <v>0</v>
      </c>
      <c r="AL470" s="424">
        <f t="shared" si="515"/>
        <v>0</v>
      </c>
      <c r="AM470" s="424">
        <f t="shared" si="515"/>
        <v>0</v>
      </c>
      <c r="AN470" s="424">
        <f t="shared" si="515"/>
        <v>0</v>
      </c>
      <c r="AO470" s="424">
        <f t="shared" si="515"/>
        <v>0</v>
      </c>
      <c r="AP470" s="424">
        <f t="shared" ref="AP470:BU470" si="516">AP100*AP$372</f>
        <v>0</v>
      </c>
      <c r="AQ470" s="424">
        <f t="shared" si="516"/>
        <v>0</v>
      </c>
      <c r="AR470" s="424">
        <f t="shared" si="516"/>
        <v>0</v>
      </c>
      <c r="AS470" s="424">
        <f t="shared" si="516"/>
        <v>0</v>
      </c>
      <c r="AT470" s="424">
        <f t="shared" si="516"/>
        <v>0</v>
      </c>
      <c r="AU470" s="424">
        <f t="shared" si="516"/>
        <v>0</v>
      </c>
      <c r="AV470" s="424">
        <f t="shared" si="516"/>
        <v>0</v>
      </c>
      <c r="AW470" s="424">
        <f t="shared" si="516"/>
        <v>0</v>
      </c>
      <c r="AX470" s="424">
        <f t="shared" si="516"/>
        <v>0</v>
      </c>
      <c r="AY470" s="424">
        <f t="shared" si="516"/>
        <v>0</v>
      </c>
      <c r="AZ470" s="424">
        <f t="shared" si="516"/>
        <v>0</v>
      </c>
      <c r="BA470" s="424">
        <f t="shared" si="516"/>
        <v>0</v>
      </c>
      <c r="BB470" s="424">
        <f t="shared" si="516"/>
        <v>0</v>
      </c>
      <c r="BC470" s="424">
        <f t="shared" si="516"/>
        <v>0</v>
      </c>
      <c r="BD470" s="424">
        <f t="shared" si="516"/>
        <v>0</v>
      </c>
      <c r="BE470" s="424">
        <f t="shared" si="516"/>
        <v>0</v>
      </c>
      <c r="BF470" s="424">
        <f t="shared" si="516"/>
        <v>0</v>
      </c>
      <c r="BG470" s="424">
        <f t="shared" si="516"/>
        <v>0</v>
      </c>
      <c r="BH470" s="424">
        <f t="shared" si="516"/>
        <v>0</v>
      </c>
      <c r="BI470" s="424">
        <f t="shared" si="516"/>
        <v>0</v>
      </c>
      <c r="BJ470" s="424">
        <f t="shared" si="516"/>
        <v>0</v>
      </c>
      <c r="BK470" s="424">
        <f t="shared" si="516"/>
        <v>0</v>
      </c>
      <c r="BL470" s="424">
        <f t="shared" si="516"/>
        <v>0</v>
      </c>
      <c r="BM470" s="424">
        <f t="shared" si="516"/>
        <v>0</v>
      </c>
      <c r="BN470" s="424">
        <f t="shared" si="516"/>
        <v>0</v>
      </c>
      <c r="BO470" s="424">
        <f t="shared" si="516"/>
        <v>0</v>
      </c>
      <c r="BP470" s="424">
        <f t="shared" si="516"/>
        <v>0</v>
      </c>
      <c r="BQ470" s="424">
        <f t="shared" si="516"/>
        <v>0</v>
      </c>
      <c r="BR470" s="424">
        <f t="shared" si="516"/>
        <v>0</v>
      </c>
      <c r="BS470" s="424">
        <f t="shared" si="516"/>
        <v>0</v>
      </c>
      <c r="BT470" s="424">
        <f t="shared" si="516"/>
        <v>0</v>
      </c>
      <c r="BU470" s="424">
        <f t="shared" si="516"/>
        <v>0</v>
      </c>
      <c r="BV470" s="424">
        <f t="shared" ref="BV470:DA470" si="517">BV100*BV$372</f>
        <v>0</v>
      </c>
      <c r="BW470" s="424">
        <f t="shared" si="517"/>
        <v>0</v>
      </c>
      <c r="BX470" s="424">
        <f t="shared" si="517"/>
        <v>0</v>
      </c>
      <c r="BY470" s="424">
        <f t="shared" si="517"/>
        <v>0</v>
      </c>
      <c r="BZ470" s="424">
        <f t="shared" si="517"/>
        <v>0.54</v>
      </c>
      <c r="CA470" s="424">
        <f t="shared" si="517"/>
        <v>0</v>
      </c>
      <c r="CB470" s="424">
        <f t="shared" si="517"/>
        <v>0</v>
      </c>
      <c r="CC470" s="424">
        <f t="shared" si="517"/>
        <v>0</v>
      </c>
      <c r="CD470" s="424">
        <f t="shared" si="517"/>
        <v>0</v>
      </c>
      <c r="CE470" s="424">
        <f t="shared" si="517"/>
        <v>0</v>
      </c>
      <c r="CF470" s="424">
        <f t="shared" si="517"/>
        <v>0</v>
      </c>
      <c r="CG470" s="424">
        <f t="shared" si="517"/>
        <v>0</v>
      </c>
      <c r="CH470" s="424">
        <f t="shared" si="517"/>
        <v>0</v>
      </c>
      <c r="CI470" s="424">
        <f t="shared" si="517"/>
        <v>0</v>
      </c>
      <c r="CJ470" s="424">
        <f t="shared" si="517"/>
        <v>0</v>
      </c>
      <c r="CK470" s="424">
        <f t="shared" si="517"/>
        <v>0</v>
      </c>
      <c r="CL470" s="424">
        <f t="shared" si="517"/>
        <v>0</v>
      </c>
      <c r="CM470" s="424">
        <f t="shared" si="517"/>
        <v>0</v>
      </c>
      <c r="CN470" s="424">
        <f t="shared" si="517"/>
        <v>0</v>
      </c>
      <c r="CO470" s="424">
        <f t="shared" si="517"/>
        <v>0</v>
      </c>
      <c r="CP470" s="424">
        <f t="shared" si="517"/>
        <v>0</v>
      </c>
      <c r="CQ470" s="424">
        <f t="shared" si="517"/>
        <v>0</v>
      </c>
      <c r="CR470" s="424">
        <f t="shared" si="517"/>
        <v>0</v>
      </c>
      <c r="CS470" s="424">
        <f t="shared" si="517"/>
        <v>0</v>
      </c>
      <c r="CT470" s="424">
        <f t="shared" si="517"/>
        <v>0</v>
      </c>
      <c r="CU470" s="424">
        <f t="shared" si="517"/>
        <v>0</v>
      </c>
      <c r="CV470" s="424">
        <f t="shared" si="517"/>
        <v>0</v>
      </c>
      <c r="CW470" s="424">
        <f t="shared" si="517"/>
        <v>0</v>
      </c>
      <c r="CX470" s="424">
        <f t="shared" si="517"/>
        <v>0</v>
      </c>
      <c r="CY470" s="424">
        <f t="shared" si="517"/>
        <v>0</v>
      </c>
      <c r="CZ470" s="424">
        <f t="shared" si="517"/>
        <v>0.19</v>
      </c>
      <c r="DA470" s="424">
        <f t="shared" si="517"/>
        <v>0</v>
      </c>
      <c r="DB470" s="424">
        <f t="shared" ref="DB470:EG470" si="518">DB100*DB$372</f>
        <v>0</v>
      </c>
      <c r="DC470" s="424">
        <f t="shared" si="518"/>
        <v>0</v>
      </c>
      <c r="DD470" s="424">
        <f t="shared" si="518"/>
        <v>0</v>
      </c>
      <c r="DE470" s="424">
        <f t="shared" si="518"/>
        <v>0</v>
      </c>
      <c r="DF470" s="424">
        <f t="shared" si="518"/>
        <v>0</v>
      </c>
      <c r="DG470" s="424">
        <f t="shared" si="518"/>
        <v>0</v>
      </c>
      <c r="DH470" s="424">
        <f t="shared" si="518"/>
        <v>0</v>
      </c>
      <c r="DI470" s="424">
        <f t="shared" si="518"/>
        <v>0</v>
      </c>
      <c r="DJ470" s="424">
        <f t="shared" si="518"/>
        <v>0</v>
      </c>
      <c r="DK470" s="424">
        <f t="shared" si="518"/>
        <v>0</v>
      </c>
      <c r="DL470" s="424">
        <f t="shared" si="518"/>
        <v>0</v>
      </c>
      <c r="DM470" s="424">
        <f t="shared" si="518"/>
        <v>0</v>
      </c>
      <c r="DN470" s="424">
        <f t="shared" si="518"/>
        <v>0</v>
      </c>
      <c r="DO470" s="424">
        <f t="shared" si="518"/>
        <v>0</v>
      </c>
      <c r="DP470" s="424">
        <f t="shared" si="518"/>
        <v>0</v>
      </c>
      <c r="DQ470" s="424">
        <f t="shared" si="518"/>
        <v>0</v>
      </c>
      <c r="DR470" s="424">
        <f t="shared" si="518"/>
        <v>0</v>
      </c>
      <c r="DS470" s="424">
        <f t="shared" si="518"/>
        <v>0</v>
      </c>
      <c r="DT470" s="424">
        <f t="shared" si="518"/>
        <v>0</v>
      </c>
      <c r="DU470" s="424">
        <f t="shared" si="518"/>
        <v>0</v>
      </c>
      <c r="DV470" s="424">
        <f t="shared" si="518"/>
        <v>0</v>
      </c>
      <c r="DW470" s="424">
        <f t="shared" si="518"/>
        <v>0</v>
      </c>
      <c r="DX470" s="424">
        <f t="shared" si="518"/>
        <v>0</v>
      </c>
      <c r="DY470" s="424">
        <f t="shared" si="518"/>
        <v>0</v>
      </c>
      <c r="DZ470" s="424">
        <f t="shared" si="518"/>
        <v>0</v>
      </c>
      <c r="EA470" s="424">
        <f t="shared" si="518"/>
        <v>0</v>
      </c>
      <c r="EB470" s="424">
        <f t="shared" si="518"/>
        <v>0</v>
      </c>
      <c r="EC470" s="424">
        <f t="shared" si="518"/>
        <v>0</v>
      </c>
      <c r="ED470" s="424">
        <f t="shared" si="518"/>
        <v>0</v>
      </c>
      <c r="EE470" s="424">
        <f t="shared" si="518"/>
        <v>0</v>
      </c>
      <c r="EF470" s="424">
        <f t="shared" si="518"/>
        <v>0</v>
      </c>
      <c r="EG470" s="424">
        <f t="shared" si="518"/>
        <v>0</v>
      </c>
      <c r="EH470" s="424">
        <f t="shared" ref="EH470:EX470" si="519">EH100*EH$372</f>
        <v>0</v>
      </c>
      <c r="EI470" s="424">
        <f t="shared" si="519"/>
        <v>0</v>
      </c>
      <c r="EJ470" s="424">
        <f t="shared" si="519"/>
        <v>0</v>
      </c>
      <c r="EK470" s="424">
        <f t="shared" si="519"/>
        <v>0</v>
      </c>
      <c r="EL470" s="424">
        <f t="shared" si="519"/>
        <v>0</v>
      </c>
      <c r="EM470" s="424">
        <f t="shared" si="519"/>
        <v>0</v>
      </c>
      <c r="EN470" s="424">
        <f t="shared" si="519"/>
        <v>0</v>
      </c>
      <c r="EO470" s="424">
        <f t="shared" si="519"/>
        <v>0</v>
      </c>
      <c r="EP470" s="424">
        <f t="shared" si="519"/>
        <v>0</v>
      </c>
      <c r="EQ470" s="424">
        <f t="shared" si="519"/>
        <v>0</v>
      </c>
      <c r="ER470" s="424">
        <f t="shared" si="519"/>
        <v>0</v>
      </c>
      <c r="ES470" s="424">
        <f t="shared" si="519"/>
        <v>0</v>
      </c>
      <c r="ET470" s="424">
        <f t="shared" si="519"/>
        <v>0</v>
      </c>
      <c r="EU470" s="424">
        <f t="shared" si="519"/>
        <v>0</v>
      </c>
      <c r="EV470" s="424">
        <f t="shared" si="519"/>
        <v>0</v>
      </c>
      <c r="EW470" s="424">
        <f t="shared" si="519"/>
        <v>0</v>
      </c>
      <c r="EX470" s="424">
        <f t="shared" si="519"/>
        <v>0</v>
      </c>
      <c r="EY470" s="425">
        <f t="shared" si="374"/>
        <v>12.15</v>
      </c>
    </row>
    <row r="471" spans="1:166" ht="14.7" customHeight="1" x14ac:dyDescent="0.25">
      <c r="A471" s="310">
        <v>97</v>
      </c>
      <c r="B471" s="311" t="str">
        <f t="shared" si="355"/>
        <v>Суп молочный с хлопьями овсяными "Геркулес"</v>
      </c>
      <c r="C471" s="483">
        <f t="shared" si="363"/>
        <v>12.59</v>
      </c>
      <c r="D471" s="888"/>
      <c r="E471" s="888"/>
      <c r="F471" s="888"/>
      <c r="G471" s="889"/>
      <c r="H471" s="680">
        <f t="shared" si="356"/>
        <v>121</v>
      </c>
      <c r="I471" s="1209">
        <f t="shared" si="357"/>
        <v>0</v>
      </c>
      <c r="J471" s="424">
        <f t="shared" ref="J471:AO471" si="520">J101*J$372</f>
        <v>0</v>
      </c>
      <c r="K471" s="424">
        <f t="shared" si="520"/>
        <v>0</v>
      </c>
      <c r="L471" s="424">
        <f t="shared" si="520"/>
        <v>0</v>
      </c>
      <c r="M471" s="424">
        <f t="shared" si="520"/>
        <v>0</v>
      </c>
      <c r="N471" s="424">
        <f t="shared" si="520"/>
        <v>0</v>
      </c>
      <c r="O471" s="424">
        <f t="shared" si="520"/>
        <v>0</v>
      </c>
      <c r="P471" s="424">
        <f t="shared" si="520"/>
        <v>0</v>
      </c>
      <c r="Q471" s="424">
        <f t="shared" si="520"/>
        <v>0</v>
      </c>
      <c r="R471" s="424">
        <f t="shared" si="520"/>
        <v>0</v>
      </c>
      <c r="S471" s="424">
        <f t="shared" si="520"/>
        <v>0</v>
      </c>
      <c r="T471" s="424">
        <f t="shared" si="520"/>
        <v>0</v>
      </c>
      <c r="U471" s="424">
        <f t="shared" si="520"/>
        <v>10</v>
      </c>
      <c r="V471" s="424">
        <f t="shared" si="520"/>
        <v>1.42</v>
      </c>
      <c r="W471" s="424">
        <f t="shared" si="520"/>
        <v>0</v>
      </c>
      <c r="X471" s="424">
        <f t="shared" si="520"/>
        <v>0</v>
      </c>
      <c r="Y471" s="424">
        <f t="shared" si="520"/>
        <v>0</v>
      </c>
      <c r="Z471" s="424">
        <f t="shared" si="520"/>
        <v>0</v>
      </c>
      <c r="AA471" s="424">
        <f t="shared" si="520"/>
        <v>0</v>
      </c>
      <c r="AB471" s="424">
        <f t="shared" si="520"/>
        <v>0</v>
      </c>
      <c r="AC471" s="424">
        <f t="shared" si="520"/>
        <v>0</v>
      </c>
      <c r="AD471" s="424">
        <f t="shared" si="520"/>
        <v>0</v>
      </c>
      <c r="AE471" s="424">
        <f t="shared" si="520"/>
        <v>0</v>
      </c>
      <c r="AF471" s="424">
        <f t="shared" si="520"/>
        <v>0</v>
      </c>
      <c r="AG471" s="424">
        <f t="shared" si="520"/>
        <v>0</v>
      </c>
      <c r="AH471" s="424">
        <f t="shared" si="520"/>
        <v>0</v>
      </c>
      <c r="AI471" s="424">
        <f t="shared" si="520"/>
        <v>0</v>
      </c>
      <c r="AJ471" s="424">
        <f t="shared" si="520"/>
        <v>0</v>
      </c>
      <c r="AK471" s="424">
        <f t="shared" si="520"/>
        <v>0</v>
      </c>
      <c r="AL471" s="424">
        <f t="shared" si="520"/>
        <v>0</v>
      </c>
      <c r="AM471" s="424">
        <f t="shared" si="520"/>
        <v>0</v>
      </c>
      <c r="AN471" s="424">
        <f t="shared" si="520"/>
        <v>0</v>
      </c>
      <c r="AO471" s="424">
        <f t="shared" si="520"/>
        <v>0</v>
      </c>
      <c r="AP471" s="424">
        <f t="shared" ref="AP471:BU471" si="521">AP101*AP$372</f>
        <v>0</v>
      </c>
      <c r="AQ471" s="424">
        <f t="shared" si="521"/>
        <v>0</v>
      </c>
      <c r="AR471" s="424">
        <f t="shared" si="521"/>
        <v>0</v>
      </c>
      <c r="AS471" s="424">
        <f t="shared" si="521"/>
        <v>0</v>
      </c>
      <c r="AT471" s="424">
        <f t="shared" si="521"/>
        <v>0</v>
      </c>
      <c r="AU471" s="424">
        <f t="shared" si="521"/>
        <v>0</v>
      </c>
      <c r="AV471" s="424">
        <f t="shared" si="521"/>
        <v>0</v>
      </c>
      <c r="AW471" s="424">
        <f t="shared" si="521"/>
        <v>0</v>
      </c>
      <c r="AX471" s="424">
        <f t="shared" si="521"/>
        <v>0</v>
      </c>
      <c r="AY471" s="424">
        <f t="shared" si="521"/>
        <v>0</v>
      </c>
      <c r="AZ471" s="424">
        <f t="shared" si="521"/>
        <v>0</v>
      </c>
      <c r="BA471" s="424">
        <f t="shared" si="521"/>
        <v>0</v>
      </c>
      <c r="BB471" s="424">
        <f t="shared" si="521"/>
        <v>0</v>
      </c>
      <c r="BC471" s="424">
        <f t="shared" si="521"/>
        <v>0</v>
      </c>
      <c r="BD471" s="424">
        <f t="shared" si="521"/>
        <v>0</v>
      </c>
      <c r="BE471" s="424">
        <f t="shared" si="521"/>
        <v>0</v>
      </c>
      <c r="BF471" s="424">
        <f t="shared" si="521"/>
        <v>0</v>
      </c>
      <c r="BG471" s="424">
        <f t="shared" si="521"/>
        <v>0</v>
      </c>
      <c r="BH471" s="424">
        <f t="shared" si="521"/>
        <v>0</v>
      </c>
      <c r="BI471" s="424">
        <f t="shared" si="521"/>
        <v>0</v>
      </c>
      <c r="BJ471" s="424">
        <f t="shared" si="521"/>
        <v>0</v>
      </c>
      <c r="BK471" s="424">
        <f t="shared" si="521"/>
        <v>0</v>
      </c>
      <c r="BL471" s="424">
        <f t="shared" si="521"/>
        <v>0</v>
      </c>
      <c r="BM471" s="424">
        <f t="shared" si="521"/>
        <v>0</v>
      </c>
      <c r="BN471" s="424">
        <f t="shared" si="521"/>
        <v>0</v>
      </c>
      <c r="BO471" s="424">
        <f t="shared" si="521"/>
        <v>0</v>
      </c>
      <c r="BP471" s="424">
        <f t="shared" si="521"/>
        <v>0</v>
      </c>
      <c r="BQ471" s="424">
        <f t="shared" si="521"/>
        <v>0</v>
      </c>
      <c r="BR471" s="424">
        <f t="shared" si="521"/>
        <v>0</v>
      </c>
      <c r="BS471" s="424">
        <f t="shared" si="521"/>
        <v>0</v>
      </c>
      <c r="BT471" s="424">
        <f t="shared" si="521"/>
        <v>0</v>
      </c>
      <c r="BU471" s="424">
        <f t="shared" si="521"/>
        <v>0</v>
      </c>
      <c r="BV471" s="424">
        <f t="shared" ref="BV471:DA471" si="522">BV101*BV$372</f>
        <v>0</v>
      </c>
      <c r="BW471" s="424">
        <f t="shared" si="522"/>
        <v>0</v>
      </c>
      <c r="BX471" s="424">
        <f t="shared" si="522"/>
        <v>0</v>
      </c>
      <c r="BY471" s="424">
        <f t="shared" si="522"/>
        <v>0</v>
      </c>
      <c r="BZ471" s="424">
        <f t="shared" si="522"/>
        <v>0</v>
      </c>
      <c r="CA471" s="424">
        <f t="shared" si="522"/>
        <v>0</v>
      </c>
      <c r="CB471" s="424">
        <f t="shared" si="522"/>
        <v>0</v>
      </c>
      <c r="CC471" s="424">
        <f t="shared" si="522"/>
        <v>0.98</v>
      </c>
      <c r="CD471" s="424">
        <f t="shared" si="522"/>
        <v>0</v>
      </c>
      <c r="CE471" s="424">
        <f t="shared" si="522"/>
        <v>0</v>
      </c>
      <c r="CF471" s="424">
        <f t="shared" si="522"/>
        <v>0</v>
      </c>
      <c r="CG471" s="424">
        <f t="shared" si="522"/>
        <v>0</v>
      </c>
      <c r="CH471" s="424">
        <f t="shared" si="522"/>
        <v>0</v>
      </c>
      <c r="CI471" s="424">
        <f t="shared" si="522"/>
        <v>0</v>
      </c>
      <c r="CJ471" s="424">
        <f t="shared" si="522"/>
        <v>0</v>
      </c>
      <c r="CK471" s="424">
        <f t="shared" si="522"/>
        <v>0</v>
      </c>
      <c r="CL471" s="424">
        <f t="shared" si="522"/>
        <v>0</v>
      </c>
      <c r="CM471" s="424">
        <f t="shared" si="522"/>
        <v>0</v>
      </c>
      <c r="CN471" s="424">
        <f t="shared" si="522"/>
        <v>0</v>
      </c>
      <c r="CO471" s="424">
        <f t="shared" si="522"/>
        <v>0</v>
      </c>
      <c r="CP471" s="424">
        <f t="shared" si="522"/>
        <v>0</v>
      </c>
      <c r="CQ471" s="424">
        <f t="shared" si="522"/>
        <v>0</v>
      </c>
      <c r="CR471" s="424">
        <f t="shared" si="522"/>
        <v>0</v>
      </c>
      <c r="CS471" s="424">
        <f t="shared" si="522"/>
        <v>0</v>
      </c>
      <c r="CT471" s="424">
        <f t="shared" si="522"/>
        <v>0</v>
      </c>
      <c r="CU471" s="424">
        <f t="shared" si="522"/>
        <v>0</v>
      </c>
      <c r="CV471" s="424">
        <f t="shared" si="522"/>
        <v>0</v>
      </c>
      <c r="CW471" s="424">
        <f t="shared" si="522"/>
        <v>0</v>
      </c>
      <c r="CX471" s="424">
        <f t="shared" si="522"/>
        <v>0</v>
      </c>
      <c r="CY471" s="424">
        <f t="shared" si="522"/>
        <v>0</v>
      </c>
      <c r="CZ471" s="424">
        <f t="shared" si="522"/>
        <v>0.19</v>
      </c>
      <c r="DA471" s="424">
        <f t="shared" si="522"/>
        <v>0</v>
      </c>
      <c r="DB471" s="424">
        <f t="shared" ref="DB471:EG471" si="523">DB101*DB$372</f>
        <v>0</v>
      </c>
      <c r="DC471" s="424">
        <f t="shared" si="523"/>
        <v>0</v>
      </c>
      <c r="DD471" s="424">
        <f t="shared" si="523"/>
        <v>0</v>
      </c>
      <c r="DE471" s="424">
        <f t="shared" si="523"/>
        <v>0</v>
      </c>
      <c r="DF471" s="424">
        <f t="shared" si="523"/>
        <v>0</v>
      </c>
      <c r="DG471" s="424">
        <f t="shared" si="523"/>
        <v>0</v>
      </c>
      <c r="DH471" s="424">
        <f t="shared" si="523"/>
        <v>0</v>
      </c>
      <c r="DI471" s="424">
        <f t="shared" si="523"/>
        <v>0</v>
      </c>
      <c r="DJ471" s="424">
        <f t="shared" si="523"/>
        <v>0</v>
      </c>
      <c r="DK471" s="424">
        <f t="shared" si="523"/>
        <v>0</v>
      </c>
      <c r="DL471" s="424">
        <f t="shared" si="523"/>
        <v>0</v>
      </c>
      <c r="DM471" s="424">
        <f t="shared" si="523"/>
        <v>0</v>
      </c>
      <c r="DN471" s="424">
        <f t="shared" si="523"/>
        <v>0</v>
      </c>
      <c r="DO471" s="424">
        <f t="shared" si="523"/>
        <v>0</v>
      </c>
      <c r="DP471" s="424">
        <f t="shared" si="523"/>
        <v>0</v>
      </c>
      <c r="DQ471" s="424">
        <f t="shared" si="523"/>
        <v>0</v>
      </c>
      <c r="DR471" s="424">
        <f t="shared" si="523"/>
        <v>0</v>
      </c>
      <c r="DS471" s="424">
        <f t="shared" si="523"/>
        <v>0</v>
      </c>
      <c r="DT471" s="424">
        <f t="shared" si="523"/>
        <v>0</v>
      </c>
      <c r="DU471" s="424">
        <f t="shared" si="523"/>
        <v>0</v>
      </c>
      <c r="DV471" s="424">
        <f t="shared" si="523"/>
        <v>0</v>
      </c>
      <c r="DW471" s="424">
        <f t="shared" si="523"/>
        <v>0</v>
      </c>
      <c r="DX471" s="424">
        <f t="shared" si="523"/>
        <v>0</v>
      </c>
      <c r="DY471" s="424">
        <f t="shared" si="523"/>
        <v>0</v>
      </c>
      <c r="DZ471" s="424">
        <f t="shared" si="523"/>
        <v>0</v>
      </c>
      <c r="EA471" s="424">
        <f t="shared" si="523"/>
        <v>0</v>
      </c>
      <c r="EB471" s="424">
        <f t="shared" si="523"/>
        <v>0</v>
      </c>
      <c r="EC471" s="424">
        <f t="shared" si="523"/>
        <v>0</v>
      </c>
      <c r="ED471" s="424">
        <f t="shared" si="523"/>
        <v>0</v>
      </c>
      <c r="EE471" s="424">
        <f t="shared" si="523"/>
        <v>0</v>
      </c>
      <c r="EF471" s="424">
        <f t="shared" si="523"/>
        <v>0</v>
      </c>
      <c r="EG471" s="424">
        <f t="shared" si="523"/>
        <v>0</v>
      </c>
      <c r="EH471" s="424">
        <f t="shared" ref="EH471:EX471" si="524">EH101*EH$372</f>
        <v>0</v>
      </c>
      <c r="EI471" s="424">
        <f t="shared" si="524"/>
        <v>0</v>
      </c>
      <c r="EJ471" s="424">
        <f t="shared" si="524"/>
        <v>0</v>
      </c>
      <c r="EK471" s="424">
        <f t="shared" si="524"/>
        <v>0</v>
      </c>
      <c r="EL471" s="424">
        <f t="shared" si="524"/>
        <v>0</v>
      </c>
      <c r="EM471" s="424">
        <f t="shared" si="524"/>
        <v>0</v>
      </c>
      <c r="EN471" s="424">
        <f t="shared" si="524"/>
        <v>0</v>
      </c>
      <c r="EO471" s="424">
        <f t="shared" si="524"/>
        <v>0</v>
      </c>
      <c r="EP471" s="424">
        <f t="shared" si="524"/>
        <v>0</v>
      </c>
      <c r="EQ471" s="424">
        <f t="shared" si="524"/>
        <v>0</v>
      </c>
      <c r="ER471" s="424">
        <f t="shared" si="524"/>
        <v>0</v>
      </c>
      <c r="ES471" s="424">
        <f t="shared" si="524"/>
        <v>0</v>
      </c>
      <c r="ET471" s="424">
        <f t="shared" si="524"/>
        <v>0</v>
      </c>
      <c r="EU471" s="424">
        <f t="shared" si="524"/>
        <v>0</v>
      </c>
      <c r="EV471" s="424">
        <f t="shared" si="524"/>
        <v>0</v>
      </c>
      <c r="EW471" s="424">
        <f t="shared" si="524"/>
        <v>0</v>
      </c>
      <c r="EX471" s="424">
        <f t="shared" si="524"/>
        <v>0</v>
      </c>
      <c r="EY471" s="425">
        <f t="shared" si="374"/>
        <v>12.59</v>
      </c>
    </row>
    <row r="472" spans="1:166" ht="14.7" customHeight="1" x14ac:dyDescent="0.25">
      <c r="A472" s="310">
        <v>98</v>
      </c>
      <c r="B472" s="311" t="str">
        <f t="shared" si="355"/>
        <v>Суп молочный с крупой манной</v>
      </c>
      <c r="C472" s="483">
        <f t="shared" si="363"/>
        <v>12.21</v>
      </c>
      <c r="D472" s="888"/>
      <c r="E472" s="888"/>
      <c r="F472" s="888"/>
      <c r="G472" s="889"/>
      <c r="H472" s="680">
        <f t="shared" si="356"/>
        <v>121</v>
      </c>
      <c r="I472" s="1209">
        <f t="shared" si="357"/>
        <v>0</v>
      </c>
      <c r="J472" s="424">
        <f t="shared" ref="J472:AO472" si="525">J102*J$372</f>
        <v>0</v>
      </c>
      <c r="K472" s="424">
        <f t="shared" si="525"/>
        <v>0</v>
      </c>
      <c r="L472" s="424">
        <f t="shared" si="525"/>
        <v>0</v>
      </c>
      <c r="M472" s="424">
        <f t="shared" si="525"/>
        <v>0</v>
      </c>
      <c r="N472" s="424">
        <f t="shared" si="525"/>
        <v>0</v>
      </c>
      <c r="O472" s="424">
        <f t="shared" si="525"/>
        <v>0</v>
      </c>
      <c r="P472" s="424">
        <f t="shared" si="525"/>
        <v>0</v>
      </c>
      <c r="Q472" s="424">
        <f t="shared" si="525"/>
        <v>0</v>
      </c>
      <c r="R472" s="424">
        <f t="shared" si="525"/>
        <v>0</v>
      </c>
      <c r="S472" s="424">
        <f t="shared" si="525"/>
        <v>0</v>
      </c>
      <c r="T472" s="424">
        <f t="shared" si="525"/>
        <v>0</v>
      </c>
      <c r="U472" s="424">
        <f t="shared" si="525"/>
        <v>10</v>
      </c>
      <c r="V472" s="424">
        <f t="shared" si="525"/>
        <v>1.42</v>
      </c>
      <c r="W472" s="424">
        <f t="shared" si="525"/>
        <v>0</v>
      </c>
      <c r="X472" s="424">
        <f t="shared" si="525"/>
        <v>0</v>
      </c>
      <c r="Y472" s="424">
        <f t="shared" si="525"/>
        <v>0</v>
      </c>
      <c r="Z472" s="424">
        <f t="shared" si="525"/>
        <v>0</v>
      </c>
      <c r="AA472" s="424">
        <f t="shared" si="525"/>
        <v>0</v>
      </c>
      <c r="AB472" s="424">
        <f t="shared" si="525"/>
        <v>0</v>
      </c>
      <c r="AC472" s="424">
        <f t="shared" si="525"/>
        <v>0</v>
      </c>
      <c r="AD472" s="424">
        <f t="shared" si="525"/>
        <v>0</v>
      </c>
      <c r="AE472" s="424">
        <f t="shared" si="525"/>
        <v>0</v>
      </c>
      <c r="AF472" s="424">
        <f t="shared" si="525"/>
        <v>0</v>
      </c>
      <c r="AG472" s="424">
        <f t="shared" si="525"/>
        <v>0</v>
      </c>
      <c r="AH472" s="424">
        <f t="shared" si="525"/>
        <v>0</v>
      </c>
      <c r="AI472" s="424">
        <f t="shared" si="525"/>
        <v>0</v>
      </c>
      <c r="AJ472" s="424">
        <f t="shared" si="525"/>
        <v>0</v>
      </c>
      <c r="AK472" s="424">
        <f t="shared" si="525"/>
        <v>0</v>
      </c>
      <c r="AL472" s="424">
        <f t="shared" si="525"/>
        <v>0</v>
      </c>
      <c r="AM472" s="424">
        <f t="shared" si="525"/>
        <v>0</v>
      </c>
      <c r="AN472" s="424">
        <f t="shared" si="525"/>
        <v>0</v>
      </c>
      <c r="AO472" s="424">
        <f t="shared" si="525"/>
        <v>0</v>
      </c>
      <c r="AP472" s="424">
        <f t="shared" ref="AP472:BU472" si="526">AP102*AP$372</f>
        <v>0</v>
      </c>
      <c r="AQ472" s="424">
        <f t="shared" si="526"/>
        <v>0</v>
      </c>
      <c r="AR472" s="424">
        <f t="shared" si="526"/>
        <v>0</v>
      </c>
      <c r="AS472" s="424">
        <f t="shared" si="526"/>
        <v>0</v>
      </c>
      <c r="AT472" s="424">
        <f t="shared" si="526"/>
        <v>0</v>
      </c>
      <c r="AU472" s="424">
        <f t="shared" si="526"/>
        <v>0</v>
      </c>
      <c r="AV472" s="424">
        <f t="shared" si="526"/>
        <v>0</v>
      </c>
      <c r="AW472" s="424">
        <f t="shared" si="526"/>
        <v>0</v>
      </c>
      <c r="AX472" s="424">
        <f t="shared" si="526"/>
        <v>0</v>
      </c>
      <c r="AY472" s="424">
        <f t="shared" si="526"/>
        <v>0</v>
      </c>
      <c r="AZ472" s="424">
        <f t="shared" si="526"/>
        <v>0</v>
      </c>
      <c r="BA472" s="424">
        <f t="shared" si="526"/>
        <v>0</v>
      </c>
      <c r="BB472" s="424">
        <f t="shared" si="526"/>
        <v>0</v>
      </c>
      <c r="BC472" s="424">
        <f t="shared" si="526"/>
        <v>0</v>
      </c>
      <c r="BD472" s="424">
        <f t="shared" si="526"/>
        <v>0</v>
      </c>
      <c r="BE472" s="424">
        <f t="shared" si="526"/>
        <v>0</v>
      </c>
      <c r="BF472" s="424">
        <f t="shared" si="526"/>
        <v>0</v>
      </c>
      <c r="BG472" s="424">
        <f t="shared" si="526"/>
        <v>0</v>
      </c>
      <c r="BH472" s="424">
        <f t="shared" si="526"/>
        <v>0</v>
      </c>
      <c r="BI472" s="424">
        <f t="shared" si="526"/>
        <v>0</v>
      </c>
      <c r="BJ472" s="424">
        <f t="shared" si="526"/>
        <v>0</v>
      </c>
      <c r="BK472" s="424">
        <f t="shared" si="526"/>
        <v>0</v>
      </c>
      <c r="BL472" s="424">
        <f t="shared" si="526"/>
        <v>0</v>
      </c>
      <c r="BM472" s="424">
        <f t="shared" si="526"/>
        <v>0</v>
      </c>
      <c r="BN472" s="424">
        <f t="shared" si="526"/>
        <v>0</v>
      </c>
      <c r="BO472" s="424">
        <f t="shared" si="526"/>
        <v>0</v>
      </c>
      <c r="BP472" s="424">
        <f t="shared" si="526"/>
        <v>0</v>
      </c>
      <c r="BQ472" s="424">
        <f t="shared" si="526"/>
        <v>0</v>
      </c>
      <c r="BR472" s="424">
        <f t="shared" si="526"/>
        <v>0</v>
      </c>
      <c r="BS472" s="424">
        <f t="shared" si="526"/>
        <v>0</v>
      </c>
      <c r="BT472" s="424">
        <f t="shared" si="526"/>
        <v>0</v>
      </c>
      <c r="BU472" s="424">
        <f t="shared" si="526"/>
        <v>0.6</v>
      </c>
      <c r="BV472" s="424">
        <f t="shared" ref="BV472:DA472" si="527">BV102*BV$372</f>
        <v>0</v>
      </c>
      <c r="BW472" s="424">
        <f t="shared" si="527"/>
        <v>0</v>
      </c>
      <c r="BX472" s="424">
        <f t="shared" si="527"/>
        <v>0</v>
      </c>
      <c r="BY472" s="424">
        <f t="shared" si="527"/>
        <v>0</v>
      </c>
      <c r="BZ472" s="424">
        <f t="shared" si="527"/>
        <v>0</v>
      </c>
      <c r="CA472" s="424">
        <f t="shared" si="527"/>
        <v>0</v>
      </c>
      <c r="CB472" s="424">
        <f t="shared" si="527"/>
        <v>0</v>
      </c>
      <c r="CC472" s="424">
        <f t="shared" si="527"/>
        <v>0</v>
      </c>
      <c r="CD472" s="424">
        <f t="shared" si="527"/>
        <v>0</v>
      </c>
      <c r="CE472" s="424">
        <f t="shared" si="527"/>
        <v>0</v>
      </c>
      <c r="CF472" s="424">
        <f t="shared" si="527"/>
        <v>0</v>
      </c>
      <c r="CG472" s="424">
        <f t="shared" si="527"/>
        <v>0</v>
      </c>
      <c r="CH472" s="424">
        <f t="shared" si="527"/>
        <v>0</v>
      </c>
      <c r="CI472" s="424">
        <f t="shared" si="527"/>
        <v>0</v>
      </c>
      <c r="CJ472" s="424">
        <f t="shared" si="527"/>
        <v>0</v>
      </c>
      <c r="CK472" s="424">
        <f t="shared" si="527"/>
        <v>0</v>
      </c>
      <c r="CL472" s="424">
        <f t="shared" si="527"/>
        <v>0</v>
      </c>
      <c r="CM472" s="424">
        <f t="shared" si="527"/>
        <v>0</v>
      </c>
      <c r="CN472" s="424">
        <f t="shared" si="527"/>
        <v>0</v>
      </c>
      <c r="CO472" s="424">
        <f t="shared" si="527"/>
        <v>0</v>
      </c>
      <c r="CP472" s="424">
        <f t="shared" si="527"/>
        <v>0</v>
      </c>
      <c r="CQ472" s="424">
        <f t="shared" si="527"/>
        <v>0</v>
      </c>
      <c r="CR472" s="424">
        <f t="shared" si="527"/>
        <v>0</v>
      </c>
      <c r="CS472" s="424">
        <f t="shared" si="527"/>
        <v>0</v>
      </c>
      <c r="CT472" s="424">
        <f t="shared" si="527"/>
        <v>0</v>
      </c>
      <c r="CU472" s="424">
        <f t="shared" si="527"/>
        <v>0</v>
      </c>
      <c r="CV472" s="424">
        <f t="shared" si="527"/>
        <v>0</v>
      </c>
      <c r="CW472" s="424">
        <f t="shared" si="527"/>
        <v>0</v>
      </c>
      <c r="CX472" s="424">
        <f t="shared" si="527"/>
        <v>0</v>
      </c>
      <c r="CY472" s="424">
        <f t="shared" si="527"/>
        <v>0</v>
      </c>
      <c r="CZ472" s="424">
        <f t="shared" si="527"/>
        <v>0.19</v>
      </c>
      <c r="DA472" s="424">
        <f t="shared" si="527"/>
        <v>0</v>
      </c>
      <c r="DB472" s="424">
        <f t="shared" ref="DB472:EG472" si="528">DB102*DB$372</f>
        <v>0</v>
      </c>
      <c r="DC472" s="424">
        <f t="shared" si="528"/>
        <v>0</v>
      </c>
      <c r="DD472" s="424">
        <f t="shared" si="528"/>
        <v>0</v>
      </c>
      <c r="DE472" s="424">
        <f t="shared" si="528"/>
        <v>0</v>
      </c>
      <c r="DF472" s="424">
        <f t="shared" si="528"/>
        <v>0</v>
      </c>
      <c r="DG472" s="424">
        <f t="shared" si="528"/>
        <v>0</v>
      </c>
      <c r="DH472" s="424">
        <f t="shared" si="528"/>
        <v>0</v>
      </c>
      <c r="DI472" s="424">
        <f t="shared" si="528"/>
        <v>0</v>
      </c>
      <c r="DJ472" s="424">
        <f t="shared" si="528"/>
        <v>0</v>
      </c>
      <c r="DK472" s="424">
        <f t="shared" si="528"/>
        <v>0</v>
      </c>
      <c r="DL472" s="424">
        <f t="shared" si="528"/>
        <v>0</v>
      </c>
      <c r="DM472" s="424">
        <f t="shared" si="528"/>
        <v>0</v>
      </c>
      <c r="DN472" s="424">
        <f t="shared" si="528"/>
        <v>0</v>
      </c>
      <c r="DO472" s="424">
        <f t="shared" si="528"/>
        <v>0</v>
      </c>
      <c r="DP472" s="424">
        <f t="shared" si="528"/>
        <v>0</v>
      </c>
      <c r="DQ472" s="424">
        <f t="shared" si="528"/>
        <v>0</v>
      </c>
      <c r="DR472" s="424">
        <f t="shared" si="528"/>
        <v>0</v>
      </c>
      <c r="DS472" s="424">
        <f t="shared" si="528"/>
        <v>0</v>
      </c>
      <c r="DT472" s="424">
        <f t="shared" si="528"/>
        <v>0</v>
      </c>
      <c r="DU472" s="424">
        <f t="shared" si="528"/>
        <v>0</v>
      </c>
      <c r="DV472" s="424">
        <f t="shared" si="528"/>
        <v>0</v>
      </c>
      <c r="DW472" s="424">
        <f t="shared" si="528"/>
        <v>0</v>
      </c>
      <c r="DX472" s="424">
        <f t="shared" si="528"/>
        <v>0</v>
      </c>
      <c r="DY472" s="424">
        <f t="shared" si="528"/>
        <v>0</v>
      </c>
      <c r="DZ472" s="424">
        <f t="shared" si="528"/>
        <v>0</v>
      </c>
      <c r="EA472" s="424">
        <f t="shared" si="528"/>
        <v>0</v>
      </c>
      <c r="EB472" s="424">
        <f t="shared" si="528"/>
        <v>0</v>
      </c>
      <c r="EC472" s="424">
        <f t="shared" si="528"/>
        <v>0</v>
      </c>
      <c r="ED472" s="424">
        <f t="shared" si="528"/>
        <v>0</v>
      </c>
      <c r="EE472" s="424">
        <f t="shared" si="528"/>
        <v>0</v>
      </c>
      <c r="EF472" s="424">
        <f t="shared" si="528"/>
        <v>0</v>
      </c>
      <c r="EG472" s="424">
        <f t="shared" si="528"/>
        <v>0</v>
      </c>
      <c r="EH472" s="424">
        <f t="shared" ref="EH472:EX472" si="529">EH102*EH$372</f>
        <v>0</v>
      </c>
      <c r="EI472" s="424">
        <f t="shared" si="529"/>
        <v>0</v>
      </c>
      <c r="EJ472" s="424">
        <f t="shared" si="529"/>
        <v>0</v>
      </c>
      <c r="EK472" s="424">
        <f t="shared" si="529"/>
        <v>0</v>
      </c>
      <c r="EL472" s="424">
        <f t="shared" si="529"/>
        <v>0</v>
      </c>
      <c r="EM472" s="424">
        <f t="shared" si="529"/>
        <v>0</v>
      </c>
      <c r="EN472" s="424">
        <f t="shared" si="529"/>
        <v>0</v>
      </c>
      <c r="EO472" s="424">
        <f t="shared" si="529"/>
        <v>0</v>
      </c>
      <c r="EP472" s="424">
        <f t="shared" si="529"/>
        <v>0</v>
      </c>
      <c r="EQ472" s="424">
        <f t="shared" si="529"/>
        <v>0</v>
      </c>
      <c r="ER472" s="424">
        <f t="shared" si="529"/>
        <v>0</v>
      </c>
      <c r="ES472" s="424">
        <f t="shared" si="529"/>
        <v>0</v>
      </c>
      <c r="ET472" s="424">
        <f t="shared" si="529"/>
        <v>0</v>
      </c>
      <c r="EU472" s="424">
        <f t="shared" si="529"/>
        <v>0</v>
      </c>
      <c r="EV472" s="424">
        <f t="shared" si="529"/>
        <v>0</v>
      </c>
      <c r="EW472" s="424">
        <f t="shared" si="529"/>
        <v>0</v>
      </c>
      <c r="EX472" s="424">
        <f t="shared" si="529"/>
        <v>0</v>
      </c>
      <c r="EY472" s="425">
        <f t="shared" si="374"/>
        <v>12.21</v>
      </c>
    </row>
    <row r="473" spans="1:166" ht="14.7" customHeight="1" x14ac:dyDescent="0.25">
      <c r="A473" s="310">
        <v>99</v>
      </c>
      <c r="B473" s="311" t="str">
        <f t="shared" si="355"/>
        <v>Суп молочный с пшеном</v>
      </c>
      <c r="C473" s="483">
        <f t="shared" si="363"/>
        <v>12.81</v>
      </c>
      <c r="D473" s="888"/>
      <c r="E473" s="888"/>
      <c r="F473" s="888"/>
      <c r="G473" s="889"/>
      <c r="H473" s="680">
        <f t="shared" si="356"/>
        <v>121</v>
      </c>
      <c r="I473" s="1209">
        <f t="shared" si="357"/>
        <v>0</v>
      </c>
      <c r="J473" s="424">
        <f t="shared" ref="J473:AO473" si="530">J103*J$372</f>
        <v>0</v>
      </c>
      <c r="K473" s="424">
        <f t="shared" si="530"/>
        <v>0</v>
      </c>
      <c r="L473" s="424">
        <f t="shared" si="530"/>
        <v>0</v>
      </c>
      <c r="M473" s="424">
        <f t="shared" si="530"/>
        <v>0</v>
      </c>
      <c r="N473" s="424">
        <f t="shared" si="530"/>
        <v>0</v>
      </c>
      <c r="O473" s="424">
        <f t="shared" si="530"/>
        <v>0</v>
      </c>
      <c r="P473" s="424">
        <f t="shared" si="530"/>
        <v>0</v>
      </c>
      <c r="Q473" s="424">
        <f t="shared" si="530"/>
        <v>0</v>
      </c>
      <c r="R473" s="424">
        <f t="shared" si="530"/>
        <v>0</v>
      </c>
      <c r="S473" s="424">
        <f t="shared" si="530"/>
        <v>0</v>
      </c>
      <c r="T473" s="424">
        <f t="shared" si="530"/>
        <v>0</v>
      </c>
      <c r="U473" s="424">
        <f t="shared" si="530"/>
        <v>10</v>
      </c>
      <c r="V473" s="424">
        <f t="shared" si="530"/>
        <v>1.42</v>
      </c>
      <c r="W473" s="424">
        <f t="shared" si="530"/>
        <v>0</v>
      </c>
      <c r="X473" s="424">
        <f t="shared" si="530"/>
        <v>0</v>
      </c>
      <c r="Y473" s="424">
        <f t="shared" si="530"/>
        <v>0</v>
      </c>
      <c r="Z473" s="424">
        <f t="shared" si="530"/>
        <v>0</v>
      </c>
      <c r="AA473" s="424">
        <f t="shared" si="530"/>
        <v>0</v>
      </c>
      <c r="AB473" s="424">
        <f t="shared" si="530"/>
        <v>0</v>
      </c>
      <c r="AC473" s="424">
        <f t="shared" si="530"/>
        <v>0</v>
      </c>
      <c r="AD473" s="424">
        <f t="shared" si="530"/>
        <v>0</v>
      </c>
      <c r="AE473" s="424">
        <f t="shared" si="530"/>
        <v>0</v>
      </c>
      <c r="AF473" s="424">
        <f t="shared" si="530"/>
        <v>0</v>
      </c>
      <c r="AG473" s="424">
        <f t="shared" si="530"/>
        <v>0</v>
      </c>
      <c r="AH473" s="424">
        <f t="shared" si="530"/>
        <v>0</v>
      </c>
      <c r="AI473" s="424">
        <f t="shared" si="530"/>
        <v>0</v>
      </c>
      <c r="AJ473" s="424">
        <f t="shared" si="530"/>
        <v>0</v>
      </c>
      <c r="AK473" s="424">
        <f t="shared" si="530"/>
        <v>0</v>
      </c>
      <c r="AL473" s="424">
        <f t="shared" si="530"/>
        <v>0</v>
      </c>
      <c r="AM473" s="424">
        <f t="shared" si="530"/>
        <v>0</v>
      </c>
      <c r="AN473" s="424">
        <f t="shared" si="530"/>
        <v>0</v>
      </c>
      <c r="AO473" s="424">
        <f t="shared" si="530"/>
        <v>0</v>
      </c>
      <c r="AP473" s="424">
        <f t="shared" ref="AP473:BU473" si="531">AP103*AP$372</f>
        <v>0</v>
      </c>
      <c r="AQ473" s="424">
        <f t="shared" si="531"/>
        <v>0</v>
      </c>
      <c r="AR473" s="424">
        <f t="shared" si="531"/>
        <v>0</v>
      </c>
      <c r="AS473" s="424">
        <f t="shared" si="531"/>
        <v>0</v>
      </c>
      <c r="AT473" s="424">
        <f t="shared" si="531"/>
        <v>0</v>
      </c>
      <c r="AU473" s="424">
        <f t="shared" si="531"/>
        <v>0</v>
      </c>
      <c r="AV473" s="424">
        <f t="shared" si="531"/>
        <v>0</v>
      </c>
      <c r="AW473" s="424">
        <f t="shared" si="531"/>
        <v>0</v>
      </c>
      <c r="AX473" s="424">
        <f t="shared" si="531"/>
        <v>0</v>
      </c>
      <c r="AY473" s="424">
        <f t="shared" si="531"/>
        <v>0</v>
      </c>
      <c r="AZ473" s="424">
        <f t="shared" si="531"/>
        <v>0</v>
      </c>
      <c r="BA473" s="424">
        <f t="shared" si="531"/>
        <v>0</v>
      </c>
      <c r="BB473" s="424">
        <f t="shared" si="531"/>
        <v>0</v>
      </c>
      <c r="BC473" s="424">
        <f t="shared" si="531"/>
        <v>0</v>
      </c>
      <c r="BD473" s="424">
        <f t="shared" si="531"/>
        <v>0</v>
      </c>
      <c r="BE473" s="424">
        <f t="shared" si="531"/>
        <v>0</v>
      </c>
      <c r="BF473" s="424">
        <f t="shared" si="531"/>
        <v>0</v>
      </c>
      <c r="BG473" s="424">
        <f t="shared" si="531"/>
        <v>0</v>
      </c>
      <c r="BH473" s="424">
        <f t="shared" si="531"/>
        <v>0</v>
      </c>
      <c r="BI473" s="424">
        <f t="shared" si="531"/>
        <v>0</v>
      </c>
      <c r="BJ473" s="424">
        <f t="shared" si="531"/>
        <v>0</v>
      </c>
      <c r="BK473" s="424">
        <f t="shared" si="531"/>
        <v>0</v>
      </c>
      <c r="BL473" s="424">
        <f t="shared" si="531"/>
        <v>0</v>
      </c>
      <c r="BM473" s="424">
        <f t="shared" si="531"/>
        <v>0</v>
      </c>
      <c r="BN473" s="424">
        <f t="shared" si="531"/>
        <v>0</v>
      </c>
      <c r="BO473" s="424">
        <f t="shared" si="531"/>
        <v>0</v>
      </c>
      <c r="BP473" s="424">
        <f t="shared" si="531"/>
        <v>0</v>
      </c>
      <c r="BQ473" s="424">
        <f t="shared" si="531"/>
        <v>0</v>
      </c>
      <c r="BR473" s="424">
        <f t="shared" si="531"/>
        <v>0</v>
      </c>
      <c r="BS473" s="424">
        <f t="shared" si="531"/>
        <v>0</v>
      </c>
      <c r="BT473" s="424">
        <f t="shared" si="531"/>
        <v>0</v>
      </c>
      <c r="BU473" s="424">
        <f t="shared" si="531"/>
        <v>0</v>
      </c>
      <c r="BV473" s="424">
        <f t="shared" ref="BV473:DA473" si="532">BV103*BV$372</f>
        <v>0</v>
      </c>
      <c r="BW473" s="424">
        <f t="shared" si="532"/>
        <v>0</v>
      </c>
      <c r="BX473" s="424">
        <f t="shared" si="532"/>
        <v>0</v>
      </c>
      <c r="BY473" s="424">
        <f t="shared" si="532"/>
        <v>0</v>
      </c>
      <c r="BZ473" s="424">
        <f t="shared" si="532"/>
        <v>0</v>
      </c>
      <c r="CA473" s="424">
        <f t="shared" si="532"/>
        <v>1.2</v>
      </c>
      <c r="CB473" s="424">
        <f t="shared" si="532"/>
        <v>0</v>
      </c>
      <c r="CC473" s="424">
        <f t="shared" si="532"/>
        <v>0</v>
      </c>
      <c r="CD473" s="424">
        <f t="shared" si="532"/>
        <v>0</v>
      </c>
      <c r="CE473" s="424">
        <f t="shared" si="532"/>
        <v>0</v>
      </c>
      <c r="CF473" s="424">
        <f t="shared" si="532"/>
        <v>0</v>
      </c>
      <c r="CG473" s="424">
        <f t="shared" si="532"/>
        <v>0</v>
      </c>
      <c r="CH473" s="424">
        <f t="shared" si="532"/>
        <v>0</v>
      </c>
      <c r="CI473" s="424">
        <f t="shared" si="532"/>
        <v>0</v>
      </c>
      <c r="CJ473" s="424">
        <f t="shared" si="532"/>
        <v>0</v>
      </c>
      <c r="CK473" s="424">
        <f t="shared" si="532"/>
        <v>0</v>
      </c>
      <c r="CL473" s="424">
        <f t="shared" si="532"/>
        <v>0</v>
      </c>
      <c r="CM473" s="424">
        <f t="shared" si="532"/>
        <v>0</v>
      </c>
      <c r="CN473" s="424">
        <f t="shared" si="532"/>
        <v>0</v>
      </c>
      <c r="CO473" s="424">
        <f t="shared" si="532"/>
        <v>0</v>
      </c>
      <c r="CP473" s="424">
        <f t="shared" si="532"/>
        <v>0</v>
      </c>
      <c r="CQ473" s="424">
        <f t="shared" si="532"/>
        <v>0</v>
      </c>
      <c r="CR473" s="424">
        <f t="shared" si="532"/>
        <v>0</v>
      </c>
      <c r="CS473" s="424">
        <f t="shared" si="532"/>
        <v>0</v>
      </c>
      <c r="CT473" s="424">
        <f t="shared" si="532"/>
        <v>0</v>
      </c>
      <c r="CU473" s="424">
        <f t="shared" si="532"/>
        <v>0</v>
      </c>
      <c r="CV473" s="424">
        <f t="shared" si="532"/>
        <v>0</v>
      </c>
      <c r="CW473" s="424">
        <f t="shared" si="532"/>
        <v>0</v>
      </c>
      <c r="CX473" s="424">
        <f t="shared" si="532"/>
        <v>0</v>
      </c>
      <c r="CY473" s="424">
        <f t="shared" si="532"/>
        <v>0</v>
      </c>
      <c r="CZ473" s="424">
        <f t="shared" si="532"/>
        <v>0.19</v>
      </c>
      <c r="DA473" s="424">
        <f t="shared" si="532"/>
        <v>0</v>
      </c>
      <c r="DB473" s="424">
        <f t="shared" ref="DB473:EG473" si="533">DB103*DB$372</f>
        <v>0</v>
      </c>
      <c r="DC473" s="424">
        <f t="shared" si="533"/>
        <v>0</v>
      </c>
      <c r="DD473" s="424">
        <f t="shared" si="533"/>
        <v>0</v>
      </c>
      <c r="DE473" s="424">
        <f t="shared" si="533"/>
        <v>0</v>
      </c>
      <c r="DF473" s="424">
        <f t="shared" si="533"/>
        <v>0</v>
      </c>
      <c r="DG473" s="424">
        <f t="shared" si="533"/>
        <v>0</v>
      </c>
      <c r="DH473" s="424">
        <f t="shared" si="533"/>
        <v>0</v>
      </c>
      <c r="DI473" s="424">
        <f t="shared" si="533"/>
        <v>0</v>
      </c>
      <c r="DJ473" s="424">
        <f t="shared" si="533"/>
        <v>0</v>
      </c>
      <c r="DK473" s="424">
        <f t="shared" si="533"/>
        <v>0</v>
      </c>
      <c r="DL473" s="424">
        <f t="shared" si="533"/>
        <v>0</v>
      </c>
      <c r="DM473" s="424">
        <f t="shared" si="533"/>
        <v>0</v>
      </c>
      <c r="DN473" s="424">
        <f t="shared" si="533"/>
        <v>0</v>
      </c>
      <c r="DO473" s="424">
        <f t="shared" si="533"/>
        <v>0</v>
      </c>
      <c r="DP473" s="424">
        <f t="shared" si="533"/>
        <v>0</v>
      </c>
      <c r="DQ473" s="424">
        <f t="shared" si="533"/>
        <v>0</v>
      </c>
      <c r="DR473" s="424">
        <f t="shared" si="533"/>
        <v>0</v>
      </c>
      <c r="DS473" s="424">
        <f t="shared" si="533"/>
        <v>0</v>
      </c>
      <c r="DT473" s="424">
        <f t="shared" si="533"/>
        <v>0</v>
      </c>
      <c r="DU473" s="424">
        <f t="shared" si="533"/>
        <v>0</v>
      </c>
      <c r="DV473" s="424">
        <f t="shared" si="533"/>
        <v>0</v>
      </c>
      <c r="DW473" s="424">
        <f t="shared" si="533"/>
        <v>0</v>
      </c>
      <c r="DX473" s="424">
        <f t="shared" si="533"/>
        <v>0</v>
      </c>
      <c r="DY473" s="424">
        <f t="shared" si="533"/>
        <v>0</v>
      </c>
      <c r="DZ473" s="424">
        <f t="shared" si="533"/>
        <v>0</v>
      </c>
      <c r="EA473" s="424">
        <f t="shared" si="533"/>
        <v>0</v>
      </c>
      <c r="EB473" s="424">
        <f t="shared" si="533"/>
        <v>0</v>
      </c>
      <c r="EC473" s="424">
        <f t="shared" si="533"/>
        <v>0</v>
      </c>
      <c r="ED473" s="424">
        <f t="shared" si="533"/>
        <v>0</v>
      </c>
      <c r="EE473" s="424">
        <f t="shared" si="533"/>
        <v>0</v>
      </c>
      <c r="EF473" s="424">
        <f t="shared" si="533"/>
        <v>0</v>
      </c>
      <c r="EG473" s="424">
        <f t="shared" si="533"/>
        <v>0</v>
      </c>
      <c r="EH473" s="424">
        <f t="shared" ref="EH473:EX473" si="534">EH103*EH$372</f>
        <v>0</v>
      </c>
      <c r="EI473" s="424">
        <f t="shared" si="534"/>
        <v>0</v>
      </c>
      <c r="EJ473" s="424">
        <f t="shared" si="534"/>
        <v>0</v>
      </c>
      <c r="EK473" s="424">
        <f t="shared" si="534"/>
        <v>0</v>
      </c>
      <c r="EL473" s="424">
        <f t="shared" si="534"/>
        <v>0</v>
      </c>
      <c r="EM473" s="424">
        <f t="shared" si="534"/>
        <v>0</v>
      </c>
      <c r="EN473" s="424">
        <f t="shared" si="534"/>
        <v>0</v>
      </c>
      <c r="EO473" s="424">
        <f t="shared" si="534"/>
        <v>0</v>
      </c>
      <c r="EP473" s="424">
        <f t="shared" si="534"/>
        <v>0</v>
      </c>
      <c r="EQ473" s="424">
        <f t="shared" si="534"/>
        <v>0</v>
      </c>
      <c r="ER473" s="424">
        <f t="shared" si="534"/>
        <v>0</v>
      </c>
      <c r="ES473" s="424">
        <f t="shared" si="534"/>
        <v>0</v>
      </c>
      <c r="ET473" s="424">
        <f t="shared" si="534"/>
        <v>0</v>
      </c>
      <c r="EU473" s="424">
        <f t="shared" si="534"/>
        <v>0</v>
      </c>
      <c r="EV473" s="424">
        <f t="shared" si="534"/>
        <v>0</v>
      </c>
      <c r="EW473" s="424">
        <f t="shared" si="534"/>
        <v>0</v>
      </c>
      <c r="EX473" s="424">
        <f t="shared" si="534"/>
        <v>0</v>
      </c>
      <c r="EY473" s="425">
        <f t="shared" si="374"/>
        <v>12.81</v>
      </c>
    </row>
    <row r="474" spans="1:166" ht="14.7" customHeight="1" x14ac:dyDescent="0.25">
      <c r="A474" s="310">
        <v>100</v>
      </c>
      <c r="B474" s="311" t="str">
        <f t="shared" si="355"/>
        <v>Картофель отварной в сметанном соусе</v>
      </c>
      <c r="C474" s="483">
        <f t="shared" si="363"/>
        <v>9.36</v>
      </c>
      <c r="D474" s="888"/>
      <c r="E474" s="888"/>
      <c r="F474" s="888"/>
      <c r="G474" s="889"/>
      <c r="H474" s="680">
        <f t="shared" si="356"/>
        <v>125</v>
      </c>
      <c r="I474" s="1209">
        <f t="shared" si="357"/>
        <v>0</v>
      </c>
      <c r="J474" s="424">
        <f t="shared" ref="J474:AO474" si="535">J104*J$372</f>
        <v>0</v>
      </c>
      <c r="K474" s="424">
        <f t="shared" si="535"/>
        <v>0</v>
      </c>
      <c r="L474" s="424">
        <f t="shared" si="535"/>
        <v>0</v>
      </c>
      <c r="M474" s="424">
        <f t="shared" si="535"/>
        <v>0</v>
      </c>
      <c r="N474" s="424">
        <f t="shared" si="535"/>
        <v>0</v>
      </c>
      <c r="O474" s="424">
        <f t="shared" si="535"/>
        <v>0</v>
      </c>
      <c r="P474" s="424">
        <f t="shared" si="535"/>
        <v>0</v>
      </c>
      <c r="Q474" s="424">
        <f t="shared" si="535"/>
        <v>0</v>
      </c>
      <c r="R474" s="424">
        <f t="shared" si="535"/>
        <v>0</v>
      </c>
      <c r="S474" s="424">
        <f t="shared" si="535"/>
        <v>0</v>
      </c>
      <c r="T474" s="424">
        <f t="shared" si="535"/>
        <v>0</v>
      </c>
      <c r="U474" s="424">
        <f t="shared" si="535"/>
        <v>0</v>
      </c>
      <c r="V474" s="424">
        <f t="shared" si="535"/>
        <v>0</v>
      </c>
      <c r="W474" s="424">
        <f t="shared" si="535"/>
        <v>0</v>
      </c>
      <c r="X474" s="424">
        <f t="shared" si="535"/>
        <v>0</v>
      </c>
      <c r="Y474" s="424">
        <f t="shared" si="535"/>
        <v>1.76</v>
      </c>
      <c r="Z474" s="424">
        <f t="shared" si="535"/>
        <v>0</v>
      </c>
      <c r="AA474" s="424">
        <f t="shared" si="535"/>
        <v>0</v>
      </c>
      <c r="AB474" s="424">
        <f t="shared" si="535"/>
        <v>0</v>
      </c>
      <c r="AC474" s="424">
        <f t="shared" si="535"/>
        <v>0</v>
      </c>
      <c r="AD474" s="424">
        <f t="shared" si="535"/>
        <v>0</v>
      </c>
      <c r="AE474" s="424">
        <f t="shared" si="535"/>
        <v>0</v>
      </c>
      <c r="AF474" s="424">
        <f t="shared" si="535"/>
        <v>0</v>
      </c>
      <c r="AG474" s="424">
        <f t="shared" si="535"/>
        <v>0</v>
      </c>
      <c r="AH474" s="424">
        <f t="shared" si="535"/>
        <v>6.9</v>
      </c>
      <c r="AI474" s="424">
        <f t="shared" si="535"/>
        <v>0</v>
      </c>
      <c r="AJ474" s="424">
        <f t="shared" si="535"/>
        <v>0</v>
      </c>
      <c r="AK474" s="424">
        <f t="shared" si="535"/>
        <v>0</v>
      </c>
      <c r="AL474" s="424">
        <f t="shared" si="535"/>
        <v>0</v>
      </c>
      <c r="AM474" s="424">
        <f t="shared" si="535"/>
        <v>0</v>
      </c>
      <c r="AN474" s="424">
        <f t="shared" si="535"/>
        <v>0</v>
      </c>
      <c r="AO474" s="424">
        <f t="shared" si="535"/>
        <v>0</v>
      </c>
      <c r="AP474" s="424">
        <f t="shared" ref="AP474:BU474" si="536">AP104*AP$372</f>
        <v>0</v>
      </c>
      <c r="AQ474" s="424">
        <f t="shared" si="536"/>
        <v>0</v>
      </c>
      <c r="AR474" s="424">
        <f t="shared" si="536"/>
        <v>0</v>
      </c>
      <c r="AS474" s="424">
        <f t="shared" si="536"/>
        <v>0</v>
      </c>
      <c r="AT474" s="424">
        <f t="shared" si="536"/>
        <v>0</v>
      </c>
      <c r="AU474" s="424">
        <f t="shared" si="536"/>
        <v>0.6</v>
      </c>
      <c r="AV474" s="424">
        <f t="shared" si="536"/>
        <v>0</v>
      </c>
      <c r="AW474" s="424">
        <f t="shared" si="536"/>
        <v>0</v>
      </c>
      <c r="AX474" s="424">
        <f t="shared" si="536"/>
        <v>0</v>
      </c>
      <c r="AY474" s="424">
        <f t="shared" si="536"/>
        <v>0</v>
      </c>
      <c r="AZ474" s="424">
        <f t="shared" si="536"/>
        <v>0</v>
      </c>
      <c r="BA474" s="424">
        <f t="shared" si="536"/>
        <v>0</v>
      </c>
      <c r="BB474" s="424">
        <f t="shared" si="536"/>
        <v>0</v>
      </c>
      <c r="BC474" s="424">
        <f t="shared" si="536"/>
        <v>0</v>
      </c>
      <c r="BD474" s="424">
        <f t="shared" si="536"/>
        <v>0</v>
      </c>
      <c r="BE474" s="424">
        <f t="shared" si="536"/>
        <v>0</v>
      </c>
      <c r="BF474" s="424">
        <f t="shared" si="536"/>
        <v>0</v>
      </c>
      <c r="BG474" s="424">
        <f t="shared" si="536"/>
        <v>0</v>
      </c>
      <c r="BH474" s="424">
        <f t="shared" si="536"/>
        <v>0</v>
      </c>
      <c r="BI474" s="424">
        <f t="shared" si="536"/>
        <v>0</v>
      </c>
      <c r="BJ474" s="424">
        <f t="shared" si="536"/>
        <v>0</v>
      </c>
      <c r="BK474" s="424">
        <f t="shared" si="536"/>
        <v>0</v>
      </c>
      <c r="BL474" s="424">
        <f t="shared" si="536"/>
        <v>0</v>
      </c>
      <c r="BM474" s="424">
        <f t="shared" si="536"/>
        <v>0</v>
      </c>
      <c r="BN474" s="424">
        <f t="shared" si="536"/>
        <v>0</v>
      </c>
      <c r="BO474" s="424">
        <f t="shared" si="536"/>
        <v>0</v>
      </c>
      <c r="BP474" s="424">
        <f t="shared" si="536"/>
        <v>0</v>
      </c>
      <c r="BQ474" s="424">
        <f t="shared" si="536"/>
        <v>0</v>
      </c>
      <c r="BR474" s="424">
        <f t="shared" si="536"/>
        <v>0</v>
      </c>
      <c r="BS474" s="424">
        <f t="shared" si="536"/>
        <v>0.08</v>
      </c>
      <c r="BT474" s="424">
        <f t="shared" si="536"/>
        <v>0</v>
      </c>
      <c r="BU474" s="424">
        <f t="shared" si="536"/>
        <v>0</v>
      </c>
      <c r="BV474" s="424">
        <f t="shared" ref="BV474:DA474" si="537">BV104*BV$372</f>
        <v>0</v>
      </c>
      <c r="BW474" s="424">
        <f t="shared" si="537"/>
        <v>0</v>
      </c>
      <c r="BX474" s="424">
        <f t="shared" si="537"/>
        <v>0</v>
      </c>
      <c r="BY474" s="424">
        <f t="shared" si="537"/>
        <v>0</v>
      </c>
      <c r="BZ474" s="424">
        <f t="shared" si="537"/>
        <v>0</v>
      </c>
      <c r="CA474" s="424">
        <f t="shared" si="537"/>
        <v>0</v>
      </c>
      <c r="CB474" s="424">
        <f t="shared" si="537"/>
        <v>0</v>
      </c>
      <c r="CC474" s="424">
        <f t="shared" si="537"/>
        <v>0</v>
      </c>
      <c r="CD474" s="424">
        <f t="shared" si="537"/>
        <v>0</v>
      </c>
      <c r="CE474" s="424">
        <f t="shared" si="537"/>
        <v>0</v>
      </c>
      <c r="CF474" s="424">
        <f t="shared" si="537"/>
        <v>0</v>
      </c>
      <c r="CG474" s="424">
        <f t="shared" si="537"/>
        <v>0</v>
      </c>
      <c r="CH474" s="424">
        <f t="shared" si="537"/>
        <v>0</v>
      </c>
      <c r="CI474" s="424">
        <f t="shared" si="537"/>
        <v>0</v>
      </c>
      <c r="CJ474" s="424">
        <f t="shared" si="537"/>
        <v>0</v>
      </c>
      <c r="CK474" s="424">
        <f t="shared" si="537"/>
        <v>0</v>
      </c>
      <c r="CL474" s="424">
        <f t="shared" si="537"/>
        <v>0</v>
      </c>
      <c r="CM474" s="424">
        <f t="shared" si="537"/>
        <v>0</v>
      </c>
      <c r="CN474" s="424">
        <f t="shared" si="537"/>
        <v>0</v>
      </c>
      <c r="CO474" s="424">
        <f t="shared" si="537"/>
        <v>0</v>
      </c>
      <c r="CP474" s="424">
        <f t="shared" si="537"/>
        <v>0</v>
      </c>
      <c r="CQ474" s="424">
        <f t="shared" si="537"/>
        <v>0</v>
      </c>
      <c r="CR474" s="424">
        <f t="shared" si="537"/>
        <v>0</v>
      </c>
      <c r="CS474" s="424">
        <f t="shared" si="537"/>
        <v>0</v>
      </c>
      <c r="CT474" s="424">
        <f t="shared" si="537"/>
        <v>0</v>
      </c>
      <c r="CU474" s="424">
        <f t="shared" si="537"/>
        <v>0</v>
      </c>
      <c r="CV474" s="424">
        <f t="shared" si="537"/>
        <v>0</v>
      </c>
      <c r="CW474" s="424">
        <f t="shared" si="537"/>
        <v>0</v>
      </c>
      <c r="CX474" s="424">
        <f t="shared" si="537"/>
        <v>0</v>
      </c>
      <c r="CY474" s="424">
        <f t="shared" si="537"/>
        <v>0</v>
      </c>
      <c r="CZ474" s="424">
        <f t="shared" si="537"/>
        <v>0</v>
      </c>
      <c r="DA474" s="424">
        <f t="shared" si="537"/>
        <v>0</v>
      </c>
      <c r="DB474" s="424">
        <f t="shared" ref="DB474:EG474" si="538">DB104*DB$372</f>
        <v>0</v>
      </c>
      <c r="DC474" s="424">
        <f t="shared" si="538"/>
        <v>0.02</v>
      </c>
      <c r="DD474" s="424">
        <f t="shared" si="538"/>
        <v>0</v>
      </c>
      <c r="DE474" s="424">
        <f t="shared" si="538"/>
        <v>0</v>
      </c>
      <c r="DF474" s="424">
        <f t="shared" si="538"/>
        <v>0</v>
      </c>
      <c r="DG474" s="424">
        <f t="shared" si="538"/>
        <v>0</v>
      </c>
      <c r="DH474" s="424">
        <f t="shared" si="538"/>
        <v>0</v>
      </c>
      <c r="DI474" s="424">
        <f t="shared" si="538"/>
        <v>0</v>
      </c>
      <c r="DJ474" s="424">
        <f t="shared" si="538"/>
        <v>0</v>
      </c>
      <c r="DK474" s="424">
        <f t="shared" si="538"/>
        <v>0</v>
      </c>
      <c r="DL474" s="424">
        <f t="shared" si="538"/>
        <v>0</v>
      </c>
      <c r="DM474" s="424">
        <f t="shared" si="538"/>
        <v>0</v>
      </c>
      <c r="DN474" s="424">
        <f t="shared" si="538"/>
        <v>0</v>
      </c>
      <c r="DO474" s="424">
        <f t="shared" si="538"/>
        <v>0</v>
      </c>
      <c r="DP474" s="424">
        <f t="shared" si="538"/>
        <v>0</v>
      </c>
      <c r="DQ474" s="424">
        <f t="shared" si="538"/>
        <v>0</v>
      </c>
      <c r="DR474" s="424">
        <f t="shared" si="538"/>
        <v>0</v>
      </c>
      <c r="DS474" s="424">
        <f t="shared" si="538"/>
        <v>0</v>
      </c>
      <c r="DT474" s="424">
        <f t="shared" si="538"/>
        <v>0</v>
      </c>
      <c r="DU474" s="424">
        <f t="shared" si="538"/>
        <v>0</v>
      </c>
      <c r="DV474" s="424">
        <f t="shared" si="538"/>
        <v>0</v>
      </c>
      <c r="DW474" s="424">
        <f t="shared" si="538"/>
        <v>0</v>
      </c>
      <c r="DX474" s="424">
        <f t="shared" si="538"/>
        <v>0</v>
      </c>
      <c r="DY474" s="424">
        <f t="shared" si="538"/>
        <v>0</v>
      </c>
      <c r="DZ474" s="424">
        <f t="shared" si="538"/>
        <v>0</v>
      </c>
      <c r="EA474" s="424">
        <f t="shared" si="538"/>
        <v>0</v>
      </c>
      <c r="EB474" s="424">
        <f t="shared" si="538"/>
        <v>0</v>
      </c>
      <c r="EC474" s="424">
        <f t="shared" si="538"/>
        <v>0</v>
      </c>
      <c r="ED474" s="424">
        <f t="shared" si="538"/>
        <v>0</v>
      </c>
      <c r="EE474" s="424">
        <f t="shared" si="538"/>
        <v>0</v>
      </c>
      <c r="EF474" s="424">
        <f t="shared" si="538"/>
        <v>0</v>
      </c>
      <c r="EG474" s="424">
        <f t="shared" si="538"/>
        <v>0</v>
      </c>
      <c r="EH474" s="424">
        <f t="shared" ref="EH474:EX474" si="539">EH104*EH$372</f>
        <v>0</v>
      </c>
      <c r="EI474" s="424">
        <f t="shared" si="539"/>
        <v>0</v>
      </c>
      <c r="EJ474" s="424">
        <f t="shared" si="539"/>
        <v>0</v>
      </c>
      <c r="EK474" s="424">
        <f t="shared" si="539"/>
        <v>0</v>
      </c>
      <c r="EL474" s="424">
        <f t="shared" si="539"/>
        <v>0</v>
      </c>
      <c r="EM474" s="424">
        <f t="shared" si="539"/>
        <v>0</v>
      </c>
      <c r="EN474" s="424">
        <f t="shared" si="539"/>
        <v>0</v>
      </c>
      <c r="EO474" s="424">
        <f t="shared" si="539"/>
        <v>0</v>
      </c>
      <c r="EP474" s="424">
        <f t="shared" si="539"/>
        <v>0</v>
      </c>
      <c r="EQ474" s="424">
        <f t="shared" si="539"/>
        <v>0</v>
      </c>
      <c r="ER474" s="424">
        <f t="shared" si="539"/>
        <v>0</v>
      </c>
      <c r="ES474" s="424">
        <f t="shared" si="539"/>
        <v>0</v>
      </c>
      <c r="ET474" s="424">
        <f t="shared" si="539"/>
        <v>0</v>
      </c>
      <c r="EU474" s="424">
        <f t="shared" si="539"/>
        <v>0</v>
      </c>
      <c r="EV474" s="424">
        <f t="shared" si="539"/>
        <v>0</v>
      </c>
      <c r="EW474" s="424">
        <f t="shared" si="539"/>
        <v>0</v>
      </c>
      <c r="EX474" s="424">
        <f t="shared" si="539"/>
        <v>0</v>
      </c>
      <c r="EY474" s="425">
        <f t="shared" si="374"/>
        <v>9.36</v>
      </c>
    </row>
    <row r="475" spans="1:166" ht="14.7" customHeight="1" x14ac:dyDescent="0.25">
      <c r="A475" s="310">
        <v>101</v>
      </c>
      <c r="B475" s="311" t="str">
        <f t="shared" si="355"/>
        <v>Картофель отварной с луком</v>
      </c>
      <c r="C475" s="483">
        <f t="shared" si="363"/>
        <v>9.92</v>
      </c>
      <c r="D475" s="888"/>
      <c r="E475" s="888"/>
      <c r="F475" s="888"/>
      <c r="G475" s="889"/>
      <c r="H475" s="680">
        <f t="shared" si="356"/>
        <v>126</v>
      </c>
      <c r="I475" s="1209">
        <f t="shared" si="357"/>
        <v>0</v>
      </c>
      <c r="J475" s="424">
        <f t="shared" ref="J475:AO475" si="540">J105*J$372</f>
        <v>0</v>
      </c>
      <c r="K475" s="424">
        <f t="shared" si="540"/>
        <v>0</v>
      </c>
      <c r="L475" s="424">
        <f t="shared" si="540"/>
        <v>0</v>
      </c>
      <c r="M475" s="424">
        <f t="shared" si="540"/>
        <v>0</v>
      </c>
      <c r="N475" s="424">
        <f t="shared" si="540"/>
        <v>0</v>
      </c>
      <c r="O475" s="424">
        <f t="shared" si="540"/>
        <v>0</v>
      </c>
      <c r="P475" s="424">
        <f t="shared" si="540"/>
        <v>0</v>
      </c>
      <c r="Q475" s="424">
        <f t="shared" si="540"/>
        <v>0</v>
      </c>
      <c r="R475" s="424">
        <f t="shared" si="540"/>
        <v>0</v>
      </c>
      <c r="S475" s="424">
        <f t="shared" si="540"/>
        <v>0</v>
      </c>
      <c r="T475" s="424">
        <f t="shared" si="540"/>
        <v>0</v>
      </c>
      <c r="U475" s="424">
        <f t="shared" si="540"/>
        <v>0</v>
      </c>
      <c r="V475" s="424">
        <f t="shared" si="540"/>
        <v>0</v>
      </c>
      <c r="W475" s="424">
        <f t="shared" si="540"/>
        <v>0</v>
      </c>
      <c r="X475" s="424">
        <f t="shared" si="540"/>
        <v>0</v>
      </c>
      <c r="Y475" s="424">
        <f t="shared" si="540"/>
        <v>0</v>
      </c>
      <c r="Z475" s="424">
        <f t="shared" si="540"/>
        <v>0</v>
      </c>
      <c r="AA475" s="424">
        <f t="shared" si="540"/>
        <v>0</v>
      </c>
      <c r="AB475" s="424">
        <f t="shared" si="540"/>
        <v>0</v>
      </c>
      <c r="AC475" s="424">
        <f t="shared" si="540"/>
        <v>0</v>
      </c>
      <c r="AD475" s="424">
        <f t="shared" si="540"/>
        <v>0</v>
      </c>
      <c r="AE475" s="424">
        <f t="shared" si="540"/>
        <v>0</v>
      </c>
      <c r="AF475" s="424">
        <f t="shared" si="540"/>
        <v>0</v>
      </c>
      <c r="AG475" s="424">
        <f t="shared" si="540"/>
        <v>0</v>
      </c>
      <c r="AH475" s="424">
        <f t="shared" si="540"/>
        <v>6.9</v>
      </c>
      <c r="AI475" s="424">
        <f t="shared" si="540"/>
        <v>0</v>
      </c>
      <c r="AJ475" s="424">
        <f t="shared" si="540"/>
        <v>0</v>
      </c>
      <c r="AK475" s="424">
        <f t="shared" si="540"/>
        <v>1.8</v>
      </c>
      <c r="AL475" s="424">
        <f t="shared" si="540"/>
        <v>0</v>
      </c>
      <c r="AM475" s="424">
        <f t="shared" si="540"/>
        <v>0</v>
      </c>
      <c r="AN475" s="424">
        <f t="shared" si="540"/>
        <v>0</v>
      </c>
      <c r="AO475" s="424">
        <f t="shared" si="540"/>
        <v>0</v>
      </c>
      <c r="AP475" s="424">
        <f t="shared" ref="AP475:BU475" si="541">AP105*AP$372</f>
        <v>0</v>
      </c>
      <c r="AQ475" s="424">
        <f t="shared" si="541"/>
        <v>0</v>
      </c>
      <c r="AR475" s="424">
        <f t="shared" si="541"/>
        <v>0</v>
      </c>
      <c r="AS475" s="424">
        <f t="shared" si="541"/>
        <v>0</v>
      </c>
      <c r="AT475" s="424">
        <f t="shared" si="541"/>
        <v>0</v>
      </c>
      <c r="AU475" s="424">
        <f t="shared" si="541"/>
        <v>0.6</v>
      </c>
      <c r="AV475" s="424">
        <f t="shared" si="541"/>
        <v>0</v>
      </c>
      <c r="AW475" s="424">
        <f t="shared" si="541"/>
        <v>0</v>
      </c>
      <c r="AX475" s="424">
        <f t="shared" si="541"/>
        <v>0</v>
      </c>
      <c r="AY475" s="424">
        <f t="shared" si="541"/>
        <v>0</v>
      </c>
      <c r="AZ475" s="424">
        <f t="shared" si="541"/>
        <v>0</v>
      </c>
      <c r="BA475" s="424">
        <f t="shared" si="541"/>
        <v>0</v>
      </c>
      <c r="BB475" s="424">
        <f t="shared" si="541"/>
        <v>0</v>
      </c>
      <c r="BC475" s="424">
        <f t="shared" si="541"/>
        <v>0</v>
      </c>
      <c r="BD475" s="424">
        <f t="shared" si="541"/>
        <v>0</v>
      </c>
      <c r="BE475" s="424">
        <f t="shared" si="541"/>
        <v>0</v>
      </c>
      <c r="BF475" s="424">
        <f t="shared" si="541"/>
        <v>0</v>
      </c>
      <c r="BG475" s="424">
        <f t="shared" si="541"/>
        <v>0</v>
      </c>
      <c r="BH475" s="424">
        <f t="shared" si="541"/>
        <v>0</v>
      </c>
      <c r="BI475" s="424">
        <f t="shared" si="541"/>
        <v>0</v>
      </c>
      <c r="BJ475" s="424">
        <f t="shared" si="541"/>
        <v>0</v>
      </c>
      <c r="BK475" s="424">
        <f t="shared" si="541"/>
        <v>0</v>
      </c>
      <c r="BL475" s="424">
        <f t="shared" si="541"/>
        <v>0</v>
      </c>
      <c r="BM475" s="424">
        <f t="shared" si="541"/>
        <v>0</v>
      </c>
      <c r="BN475" s="424">
        <f t="shared" si="541"/>
        <v>0</v>
      </c>
      <c r="BO475" s="424">
        <f t="shared" si="541"/>
        <v>0</v>
      </c>
      <c r="BP475" s="424">
        <f t="shared" si="541"/>
        <v>0</v>
      </c>
      <c r="BQ475" s="424">
        <f t="shared" si="541"/>
        <v>0</v>
      </c>
      <c r="BR475" s="424">
        <f t="shared" si="541"/>
        <v>0</v>
      </c>
      <c r="BS475" s="424">
        <f t="shared" si="541"/>
        <v>0</v>
      </c>
      <c r="BT475" s="424">
        <f t="shared" si="541"/>
        <v>0</v>
      </c>
      <c r="BU475" s="424">
        <f t="shared" si="541"/>
        <v>0</v>
      </c>
      <c r="BV475" s="424">
        <f t="shared" ref="BV475:DA475" si="542">BV105*BV$372</f>
        <v>0</v>
      </c>
      <c r="BW475" s="424">
        <f t="shared" si="542"/>
        <v>0</v>
      </c>
      <c r="BX475" s="424">
        <f t="shared" si="542"/>
        <v>0</v>
      </c>
      <c r="BY475" s="424">
        <f t="shared" si="542"/>
        <v>0</v>
      </c>
      <c r="BZ475" s="424">
        <f t="shared" si="542"/>
        <v>0</v>
      </c>
      <c r="CA475" s="424">
        <f t="shared" si="542"/>
        <v>0</v>
      </c>
      <c r="CB475" s="424">
        <f t="shared" si="542"/>
        <v>0</v>
      </c>
      <c r="CC475" s="424">
        <f t="shared" si="542"/>
        <v>0</v>
      </c>
      <c r="CD475" s="424">
        <f t="shared" si="542"/>
        <v>0</v>
      </c>
      <c r="CE475" s="424">
        <f t="shared" si="542"/>
        <v>0</v>
      </c>
      <c r="CF475" s="424">
        <f t="shared" si="542"/>
        <v>0.6</v>
      </c>
      <c r="CG475" s="424">
        <f t="shared" si="542"/>
        <v>0</v>
      </c>
      <c r="CH475" s="424">
        <f t="shared" si="542"/>
        <v>0</v>
      </c>
      <c r="CI475" s="424">
        <f t="shared" si="542"/>
        <v>0</v>
      </c>
      <c r="CJ475" s="424">
        <f t="shared" si="542"/>
        <v>0</v>
      </c>
      <c r="CK475" s="424">
        <f t="shared" si="542"/>
        <v>0</v>
      </c>
      <c r="CL475" s="424">
        <f t="shared" si="542"/>
        <v>0</v>
      </c>
      <c r="CM475" s="424">
        <f t="shared" si="542"/>
        <v>0</v>
      </c>
      <c r="CN475" s="424">
        <f t="shared" si="542"/>
        <v>0</v>
      </c>
      <c r="CO475" s="424">
        <f t="shared" si="542"/>
        <v>0</v>
      </c>
      <c r="CP475" s="424">
        <f t="shared" si="542"/>
        <v>0</v>
      </c>
      <c r="CQ475" s="424">
        <f t="shared" si="542"/>
        <v>0</v>
      </c>
      <c r="CR475" s="424">
        <f t="shared" si="542"/>
        <v>0</v>
      </c>
      <c r="CS475" s="424">
        <f t="shared" si="542"/>
        <v>0</v>
      </c>
      <c r="CT475" s="424">
        <f t="shared" si="542"/>
        <v>0</v>
      </c>
      <c r="CU475" s="424">
        <f t="shared" si="542"/>
        <v>0</v>
      </c>
      <c r="CV475" s="424">
        <f t="shared" si="542"/>
        <v>0</v>
      </c>
      <c r="CW475" s="424">
        <f t="shared" si="542"/>
        <v>0</v>
      </c>
      <c r="CX475" s="424">
        <f t="shared" si="542"/>
        <v>0</v>
      </c>
      <c r="CY475" s="424">
        <f t="shared" si="542"/>
        <v>0</v>
      </c>
      <c r="CZ475" s="424">
        <f t="shared" si="542"/>
        <v>0</v>
      </c>
      <c r="DA475" s="424">
        <f t="shared" si="542"/>
        <v>0</v>
      </c>
      <c r="DB475" s="424">
        <f t="shared" ref="DB475:EG475" si="543">DB105*DB$372</f>
        <v>0</v>
      </c>
      <c r="DC475" s="424">
        <f t="shared" si="543"/>
        <v>0.02</v>
      </c>
      <c r="DD475" s="424">
        <f t="shared" si="543"/>
        <v>0</v>
      </c>
      <c r="DE475" s="424">
        <f t="shared" si="543"/>
        <v>0</v>
      </c>
      <c r="DF475" s="424">
        <f t="shared" si="543"/>
        <v>0</v>
      </c>
      <c r="DG475" s="424">
        <f t="shared" si="543"/>
        <v>0</v>
      </c>
      <c r="DH475" s="424">
        <f t="shared" si="543"/>
        <v>0</v>
      </c>
      <c r="DI475" s="424">
        <f t="shared" si="543"/>
        <v>0</v>
      </c>
      <c r="DJ475" s="424">
        <f t="shared" si="543"/>
        <v>0</v>
      </c>
      <c r="DK475" s="424">
        <f t="shared" si="543"/>
        <v>0</v>
      </c>
      <c r="DL475" s="424">
        <f t="shared" si="543"/>
        <v>0</v>
      </c>
      <c r="DM475" s="424">
        <f t="shared" si="543"/>
        <v>0</v>
      </c>
      <c r="DN475" s="424">
        <f t="shared" si="543"/>
        <v>0</v>
      </c>
      <c r="DO475" s="424">
        <f t="shared" si="543"/>
        <v>0</v>
      </c>
      <c r="DP475" s="424">
        <f t="shared" si="543"/>
        <v>0</v>
      </c>
      <c r="DQ475" s="424">
        <f t="shared" si="543"/>
        <v>0</v>
      </c>
      <c r="DR475" s="424">
        <f t="shared" si="543"/>
        <v>0</v>
      </c>
      <c r="DS475" s="424">
        <f t="shared" si="543"/>
        <v>0</v>
      </c>
      <c r="DT475" s="424">
        <f t="shared" si="543"/>
        <v>0</v>
      </c>
      <c r="DU475" s="424">
        <f t="shared" si="543"/>
        <v>0</v>
      </c>
      <c r="DV475" s="424">
        <f t="shared" si="543"/>
        <v>0</v>
      </c>
      <c r="DW475" s="424">
        <f t="shared" si="543"/>
        <v>0</v>
      </c>
      <c r="DX475" s="424">
        <f t="shared" si="543"/>
        <v>0</v>
      </c>
      <c r="DY475" s="424">
        <f t="shared" si="543"/>
        <v>0</v>
      </c>
      <c r="DZ475" s="424">
        <f t="shared" si="543"/>
        <v>0</v>
      </c>
      <c r="EA475" s="424">
        <f t="shared" si="543"/>
        <v>0</v>
      </c>
      <c r="EB475" s="424">
        <f t="shared" si="543"/>
        <v>0</v>
      </c>
      <c r="EC475" s="424">
        <f t="shared" si="543"/>
        <v>0</v>
      </c>
      <c r="ED475" s="424">
        <f t="shared" si="543"/>
        <v>0</v>
      </c>
      <c r="EE475" s="424">
        <f t="shared" si="543"/>
        <v>0</v>
      </c>
      <c r="EF475" s="424">
        <f t="shared" si="543"/>
        <v>0</v>
      </c>
      <c r="EG475" s="424">
        <f t="shared" si="543"/>
        <v>0</v>
      </c>
      <c r="EH475" s="424">
        <f t="shared" ref="EH475:EX475" si="544">EH105*EH$372</f>
        <v>0</v>
      </c>
      <c r="EI475" s="424">
        <f t="shared" si="544"/>
        <v>0</v>
      </c>
      <c r="EJ475" s="424">
        <f t="shared" si="544"/>
        <v>0</v>
      </c>
      <c r="EK475" s="424">
        <f t="shared" si="544"/>
        <v>0</v>
      </c>
      <c r="EL475" s="424">
        <f t="shared" si="544"/>
        <v>0</v>
      </c>
      <c r="EM475" s="424">
        <f t="shared" si="544"/>
        <v>0</v>
      </c>
      <c r="EN475" s="424">
        <f t="shared" si="544"/>
        <v>0</v>
      </c>
      <c r="EO475" s="424">
        <f t="shared" si="544"/>
        <v>0</v>
      </c>
      <c r="EP475" s="424">
        <f t="shared" si="544"/>
        <v>0</v>
      </c>
      <c r="EQ475" s="424">
        <f t="shared" si="544"/>
        <v>0</v>
      </c>
      <c r="ER475" s="424">
        <f t="shared" si="544"/>
        <v>0</v>
      </c>
      <c r="ES475" s="424">
        <f t="shared" si="544"/>
        <v>0</v>
      </c>
      <c r="ET475" s="424">
        <f t="shared" si="544"/>
        <v>0</v>
      </c>
      <c r="EU475" s="424">
        <f t="shared" si="544"/>
        <v>0</v>
      </c>
      <c r="EV475" s="424">
        <f t="shared" si="544"/>
        <v>0</v>
      </c>
      <c r="EW475" s="424">
        <f t="shared" si="544"/>
        <v>0</v>
      </c>
      <c r="EX475" s="424">
        <f t="shared" si="544"/>
        <v>0</v>
      </c>
      <c r="EY475" s="425">
        <f t="shared" si="374"/>
        <v>9.92</v>
      </c>
    </row>
    <row r="476" spans="1:166" ht="14.7" customHeight="1" x14ac:dyDescent="0.25">
      <c r="A476" s="310">
        <v>102</v>
      </c>
      <c r="B476" s="311" t="str">
        <f t="shared" si="355"/>
        <v>Картофель в молоке</v>
      </c>
      <c r="C476" s="483">
        <f t="shared" si="363"/>
        <v>10.55</v>
      </c>
      <c r="D476" s="888"/>
      <c r="E476" s="888"/>
      <c r="F476" s="888"/>
      <c r="G476" s="889"/>
      <c r="H476" s="680">
        <f t="shared" si="356"/>
        <v>127</v>
      </c>
      <c r="I476" s="1209">
        <f t="shared" si="357"/>
        <v>0</v>
      </c>
      <c r="J476" s="424">
        <f t="shared" ref="J476:AO476" si="545">J106*J$372</f>
        <v>0</v>
      </c>
      <c r="K476" s="424">
        <f t="shared" si="545"/>
        <v>0</v>
      </c>
      <c r="L476" s="424">
        <f t="shared" si="545"/>
        <v>0</v>
      </c>
      <c r="M476" s="424">
        <f t="shared" si="545"/>
        <v>0</v>
      </c>
      <c r="N476" s="424">
        <f t="shared" si="545"/>
        <v>0</v>
      </c>
      <c r="O476" s="424">
        <f t="shared" si="545"/>
        <v>0</v>
      </c>
      <c r="P476" s="424">
        <f t="shared" si="545"/>
        <v>0</v>
      </c>
      <c r="Q476" s="424">
        <f t="shared" si="545"/>
        <v>0</v>
      </c>
      <c r="R476" s="424">
        <f t="shared" si="545"/>
        <v>0</v>
      </c>
      <c r="S476" s="424">
        <f t="shared" si="545"/>
        <v>0</v>
      </c>
      <c r="T476" s="424">
        <f t="shared" si="545"/>
        <v>0</v>
      </c>
      <c r="U476" s="424">
        <f t="shared" si="545"/>
        <v>2.4</v>
      </c>
      <c r="V476" s="424">
        <f t="shared" si="545"/>
        <v>2.84</v>
      </c>
      <c r="W476" s="424">
        <f t="shared" si="545"/>
        <v>0</v>
      </c>
      <c r="X476" s="424">
        <f t="shared" si="545"/>
        <v>0</v>
      </c>
      <c r="Y476" s="424">
        <f t="shared" si="545"/>
        <v>0</v>
      </c>
      <c r="Z476" s="424">
        <f t="shared" si="545"/>
        <v>0</v>
      </c>
      <c r="AA476" s="424">
        <f t="shared" si="545"/>
        <v>0</v>
      </c>
      <c r="AB476" s="424">
        <f t="shared" si="545"/>
        <v>0</v>
      </c>
      <c r="AC476" s="424">
        <f t="shared" si="545"/>
        <v>0</v>
      </c>
      <c r="AD476" s="424">
        <f t="shared" si="545"/>
        <v>0</v>
      </c>
      <c r="AE476" s="424">
        <f t="shared" si="545"/>
        <v>0</v>
      </c>
      <c r="AF476" s="424">
        <f t="shared" si="545"/>
        <v>0</v>
      </c>
      <c r="AG476" s="424">
        <f t="shared" si="545"/>
        <v>0</v>
      </c>
      <c r="AH476" s="424">
        <f t="shared" si="545"/>
        <v>4.7</v>
      </c>
      <c r="AI476" s="424">
        <f t="shared" si="545"/>
        <v>0</v>
      </c>
      <c r="AJ476" s="424">
        <f t="shared" si="545"/>
        <v>0</v>
      </c>
      <c r="AK476" s="424">
        <f t="shared" si="545"/>
        <v>0</v>
      </c>
      <c r="AL476" s="424">
        <f t="shared" si="545"/>
        <v>0</v>
      </c>
      <c r="AM476" s="424">
        <f t="shared" si="545"/>
        <v>0</v>
      </c>
      <c r="AN476" s="424">
        <f t="shared" si="545"/>
        <v>0</v>
      </c>
      <c r="AO476" s="424">
        <f t="shared" si="545"/>
        <v>0</v>
      </c>
      <c r="AP476" s="424">
        <f t="shared" ref="AP476:BU476" si="546">AP106*AP$372</f>
        <v>0</v>
      </c>
      <c r="AQ476" s="424">
        <f t="shared" si="546"/>
        <v>0</v>
      </c>
      <c r="AR476" s="424">
        <f t="shared" si="546"/>
        <v>0</v>
      </c>
      <c r="AS476" s="424">
        <f t="shared" si="546"/>
        <v>0</v>
      </c>
      <c r="AT476" s="424">
        <f t="shared" si="546"/>
        <v>0</v>
      </c>
      <c r="AU476" s="424">
        <f t="shared" si="546"/>
        <v>0.6</v>
      </c>
      <c r="AV476" s="424">
        <f t="shared" si="546"/>
        <v>0</v>
      </c>
      <c r="AW476" s="424">
        <f t="shared" si="546"/>
        <v>0</v>
      </c>
      <c r="AX476" s="424">
        <f t="shared" si="546"/>
        <v>0</v>
      </c>
      <c r="AY476" s="424">
        <f t="shared" si="546"/>
        <v>0</v>
      </c>
      <c r="AZ476" s="424">
        <f t="shared" si="546"/>
        <v>0</v>
      </c>
      <c r="BA476" s="424">
        <f t="shared" si="546"/>
        <v>0</v>
      </c>
      <c r="BB476" s="424">
        <f t="shared" si="546"/>
        <v>0</v>
      </c>
      <c r="BC476" s="424">
        <f t="shared" si="546"/>
        <v>0</v>
      </c>
      <c r="BD476" s="424">
        <f t="shared" si="546"/>
        <v>0</v>
      </c>
      <c r="BE476" s="424">
        <f t="shared" si="546"/>
        <v>0</v>
      </c>
      <c r="BF476" s="424">
        <f t="shared" si="546"/>
        <v>0</v>
      </c>
      <c r="BG476" s="424">
        <f t="shared" si="546"/>
        <v>0</v>
      </c>
      <c r="BH476" s="424">
        <f t="shared" si="546"/>
        <v>0</v>
      </c>
      <c r="BI476" s="424">
        <f t="shared" si="546"/>
        <v>0</v>
      </c>
      <c r="BJ476" s="424">
        <f t="shared" si="546"/>
        <v>0</v>
      </c>
      <c r="BK476" s="424">
        <f t="shared" si="546"/>
        <v>0</v>
      </c>
      <c r="BL476" s="424">
        <f t="shared" si="546"/>
        <v>0</v>
      </c>
      <c r="BM476" s="424">
        <f t="shared" si="546"/>
        <v>0</v>
      </c>
      <c r="BN476" s="424">
        <f t="shared" si="546"/>
        <v>0</v>
      </c>
      <c r="BO476" s="424">
        <f t="shared" si="546"/>
        <v>0</v>
      </c>
      <c r="BP476" s="424">
        <f t="shared" si="546"/>
        <v>0</v>
      </c>
      <c r="BQ476" s="424">
        <f t="shared" si="546"/>
        <v>0</v>
      </c>
      <c r="BR476" s="424">
        <f t="shared" si="546"/>
        <v>0</v>
      </c>
      <c r="BS476" s="424">
        <f t="shared" si="546"/>
        <v>0</v>
      </c>
      <c r="BT476" s="424">
        <f t="shared" si="546"/>
        <v>0</v>
      </c>
      <c r="BU476" s="424">
        <f t="shared" si="546"/>
        <v>0</v>
      </c>
      <c r="BV476" s="424">
        <f t="shared" ref="BV476:DA476" si="547">BV106*BV$372</f>
        <v>0</v>
      </c>
      <c r="BW476" s="424">
        <f t="shared" si="547"/>
        <v>0</v>
      </c>
      <c r="BX476" s="424">
        <f t="shared" si="547"/>
        <v>0</v>
      </c>
      <c r="BY476" s="424">
        <f t="shared" si="547"/>
        <v>0</v>
      </c>
      <c r="BZ476" s="424">
        <f t="shared" si="547"/>
        <v>0</v>
      </c>
      <c r="CA476" s="424">
        <f t="shared" si="547"/>
        <v>0</v>
      </c>
      <c r="CB476" s="424">
        <f t="shared" si="547"/>
        <v>0</v>
      </c>
      <c r="CC476" s="424">
        <f t="shared" si="547"/>
        <v>0</v>
      </c>
      <c r="CD476" s="424">
        <f t="shared" si="547"/>
        <v>0</v>
      </c>
      <c r="CE476" s="424">
        <f t="shared" si="547"/>
        <v>0</v>
      </c>
      <c r="CF476" s="424">
        <f t="shared" si="547"/>
        <v>0</v>
      </c>
      <c r="CG476" s="424">
        <f t="shared" si="547"/>
        <v>0</v>
      </c>
      <c r="CH476" s="424">
        <f t="shared" si="547"/>
        <v>0</v>
      </c>
      <c r="CI476" s="424">
        <f t="shared" si="547"/>
        <v>0</v>
      </c>
      <c r="CJ476" s="424">
        <f t="shared" si="547"/>
        <v>0</v>
      </c>
      <c r="CK476" s="424">
        <f t="shared" si="547"/>
        <v>0</v>
      </c>
      <c r="CL476" s="424">
        <f t="shared" si="547"/>
        <v>0</v>
      </c>
      <c r="CM476" s="424">
        <f t="shared" si="547"/>
        <v>0</v>
      </c>
      <c r="CN476" s="424">
        <f t="shared" si="547"/>
        <v>0</v>
      </c>
      <c r="CO476" s="424">
        <f t="shared" si="547"/>
        <v>0</v>
      </c>
      <c r="CP476" s="424">
        <f t="shared" si="547"/>
        <v>0</v>
      </c>
      <c r="CQ476" s="424">
        <f t="shared" si="547"/>
        <v>0</v>
      </c>
      <c r="CR476" s="424">
        <f t="shared" si="547"/>
        <v>0</v>
      </c>
      <c r="CS476" s="424">
        <f t="shared" si="547"/>
        <v>0</v>
      </c>
      <c r="CT476" s="424">
        <f t="shared" si="547"/>
        <v>0</v>
      </c>
      <c r="CU476" s="424">
        <f t="shared" si="547"/>
        <v>0</v>
      </c>
      <c r="CV476" s="424">
        <f t="shared" si="547"/>
        <v>0</v>
      </c>
      <c r="CW476" s="424">
        <f t="shared" si="547"/>
        <v>0</v>
      </c>
      <c r="CX476" s="424">
        <f t="shared" si="547"/>
        <v>0</v>
      </c>
      <c r="CY476" s="424">
        <f t="shared" si="547"/>
        <v>0</v>
      </c>
      <c r="CZ476" s="424">
        <f t="shared" si="547"/>
        <v>0</v>
      </c>
      <c r="DA476" s="424">
        <f t="shared" si="547"/>
        <v>0</v>
      </c>
      <c r="DB476" s="424">
        <f t="shared" ref="DB476:EG476" si="548">DB106*DB$372</f>
        <v>0</v>
      </c>
      <c r="DC476" s="424">
        <f t="shared" si="548"/>
        <v>0.01</v>
      </c>
      <c r="DD476" s="424">
        <f t="shared" si="548"/>
        <v>0</v>
      </c>
      <c r="DE476" s="424">
        <f t="shared" si="548"/>
        <v>0</v>
      </c>
      <c r="DF476" s="424">
        <f t="shared" si="548"/>
        <v>0</v>
      </c>
      <c r="DG476" s="424">
        <f t="shared" si="548"/>
        <v>0</v>
      </c>
      <c r="DH476" s="424">
        <f t="shared" si="548"/>
        <v>0</v>
      </c>
      <c r="DI476" s="424">
        <f t="shared" si="548"/>
        <v>0</v>
      </c>
      <c r="DJ476" s="424">
        <f t="shared" si="548"/>
        <v>0</v>
      </c>
      <c r="DK476" s="424">
        <f t="shared" si="548"/>
        <v>0</v>
      </c>
      <c r="DL476" s="424">
        <f t="shared" si="548"/>
        <v>0</v>
      </c>
      <c r="DM476" s="424">
        <f t="shared" si="548"/>
        <v>0</v>
      </c>
      <c r="DN476" s="424">
        <f t="shared" si="548"/>
        <v>0</v>
      </c>
      <c r="DO476" s="424">
        <f t="shared" si="548"/>
        <v>0</v>
      </c>
      <c r="DP476" s="424">
        <f t="shared" si="548"/>
        <v>0</v>
      </c>
      <c r="DQ476" s="424">
        <f t="shared" si="548"/>
        <v>0</v>
      </c>
      <c r="DR476" s="424">
        <f t="shared" si="548"/>
        <v>0</v>
      </c>
      <c r="DS476" s="424">
        <f t="shared" si="548"/>
        <v>0</v>
      </c>
      <c r="DT476" s="424">
        <f t="shared" si="548"/>
        <v>0</v>
      </c>
      <c r="DU476" s="424">
        <f t="shared" si="548"/>
        <v>0</v>
      </c>
      <c r="DV476" s="424">
        <f t="shared" si="548"/>
        <v>0</v>
      </c>
      <c r="DW476" s="424">
        <f t="shared" si="548"/>
        <v>0</v>
      </c>
      <c r="DX476" s="424">
        <f t="shared" si="548"/>
        <v>0</v>
      </c>
      <c r="DY476" s="424">
        <f t="shared" si="548"/>
        <v>0</v>
      </c>
      <c r="DZ476" s="424">
        <f t="shared" si="548"/>
        <v>0</v>
      </c>
      <c r="EA476" s="424">
        <f t="shared" si="548"/>
        <v>0</v>
      </c>
      <c r="EB476" s="424">
        <f t="shared" si="548"/>
        <v>0</v>
      </c>
      <c r="EC476" s="424">
        <f t="shared" si="548"/>
        <v>0</v>
      </c>
      <c r="ED476" s="424">
        <f t="shared" si="548"/>
        <v>0</v>
      </c>
      <c r="EE476" s="424">
        <f t="shared" si="548"/>
        <v>0</v>
      </c>
      <c r="EF476" s="424">
        <f t="shared" si="548"/>
        <v>0</v>
      </c>
      <c r="EG476" s="424">
        <f t="shared" si="548"/>
        <v>0</v>
      </c>
      <c r="EH476" s="424">
        <f t="shared" ref="EH476:EX476" si="549">EH106*EH$372</f>
        <v>0</v>
      </c>
      <c r="EI476" s="424">
        <f t="shared" si="549"/>
        <v>0</v>
      </c>
      <c r="EJ476" s="424">
        <f t="shared" si="549"/>
        <v>0</v>
      </c>
      <c r="EK476" s="424">
        <f t="shared" si="549"/>
        <v>0</v>
      </c>
      <c r="EL476" s="424">
        <f t="shared" si="549"/>
        <v>0</v>
      </c>
      <c r="EM476" s="424">
        <f t="shared" si="549"/>
        <v>0</v>
      </c>
      <c r="EN476" s="424">
        <f t="shared" si="549"/>
        <v>0</v>
      </c>
      <c r="EO476" s="424">
        <f t="shared" si="549"/>
        <v>0</v>
      </c>
      <c r="EP476" s="424">
        <f t="shared" si="549"/>
        <v>0</v>
      </c>
      <c r="EQ476" s="424">
        <f t="shared" si="549"/>
        <v>0</v>
      </c>
      <c r="ER476" s="424">
        <f t="shared" si="549"/>
        <v>0</v>
      </c>
      <c r="ES476" s="424">
        <f t="shared" si="549"/>
        <v>0</v>
      </c>
      <c r="ET476" s="424">
        <f t="shared" si="549"/>
        <v>0</v>
      </c>
      <c r="EU476" s="424">
        <f t="shared" si="549"/>
        <v>0</v>
      </c>
      <c r="EV476" s="424">
        <f t="shared" si="549"/>
        <v>0</v>
      </c>
      <c r="EW476" s="424">
        <f t="shared" si="549"/>
        <v>0</v>
      </c>
      <c r="EX476" s="424">
        <f t="shared" si="549"/>
        <v>0</v>
      </c>
      <c r="EY476" s="425">
        <f t="shared" si="374"/>
        <v>10.55</v>
      </c>
    </row>
    <row r="477" spans="1:166" ht="14.7" customHeight="1" x14ac:dyDescent="0.25">
      <c r="A477" s="310">
        <v>103</v>
      </c>
      <c r="B477" s="311" t="str">
        <f t="shared" si="355"/>
        <v>Картофельное пюре с луком пассерованным</v>
      </c>
      <c r="C477" s="483">
        <f t="shared" si="363"/>
        <v>11.67</v>
      </c>
      <c r="D477" s="888"/>
      <c r="E477" s="888"/>
      <c r="F477" s="888"/>
      <c r="G477" s="889"/>
      <c r="H477" s="680">
        <f t="shared" si="356"/>
        <v>128</v>
      </c>
      <c r="I477" s="1209">
        <f t="shared" si="357"/>
        <v>0</v>
      </c>
      <c r="J477" s="424">
        <f t="shared" ref="J477:AO477" si="550">J107*J$372</f>
        <v>0</v>
      </c>
      <c r="K477" s="424">
        <f t="shared" si="550"/>
        <v>0</v>
      </c>
      <c r="L477" s="424">
        <f t="shared" si="550"/>
        <v>0</v>
      </c>
      <c r="M477" s="424">
        <f t="shared" si="550"/>
        <v>0</v>
      </c>
      <c r="N477" s="424">
        <f t="shared" si="550"/>
        <v>0</v>
      </c>
      <c r="O477" s="424">
        <f t="shared" si="550"/>
        <v>0</v>
      </c>
      <c r="P477" s="424">
        <f t="shared" si="550"/>
        <v>0</v>
      </c>
      <c r="Q477" s="424">
        <f t="shared" si="550"/>
        <v>0</v>
      </c>
      <c r="R477" s="424">
        <f t="shared" si="550"/>
        <v>0</v>
      </c>
      <c r="S477" s="424">
        <f t="shared" si="550"/>
        <v>0</v>
      </c>
      <c r="T477" s="424">
        <f t="shared" si="550"/>
        <v>0</v>
      </c>
      <c r="U477" s="424">
        <f t="shared" si="550"/>
        <v>1.28</v>
      </c>
      <c r="V477" s="424">
        <f t="shared" si="550"/>
        <v>2.13</v>
      </c>
      <c r="W477" s="424">
        <f t="shared" si="550"/>
        <v>0</v>
      </c>
      <c r="X477" s="424">
        <f t="shared" si="550"/>
        <v>0</v>
      </c>
      <c r="Y477" s="424">
        <f t="shared" si="550"/>
        <v>0</v>
      </c>
      <c r="Z477" s="424">
        <f t="shared" si="550"/>
        <v>0</v>
      </c>
      <c r="AA477" s="424">
        <f t="shared" si="550"/>
        <v>0</v>
      </c>
      <c r="AB477" s="424">
        <f t="shared" si="550"/>
        <v>0</v>
      </c>
      <c r="AC477" s="424">
        <f t="shared" si="550"/>
        <v>0</v>
      </c>
      <c r="AD477" s="424">
        <f t="shared" si="550"/>
        <v>0</v>
      </c>
      <c r="AE477" s="424">
        <f t="shared" si="550"/>
        <v>0</v>
      </c>
      <c r="AF477" s="424">
        <f t="shared" si="550"/>
        <v>0</v>
      </c>
      <c r="AG477" s="424">
        <f t="shared" si="550"/>
        <v>0</v>
      </c>
      <c r="AH477" s="424">
        <f t="shared" si="550"/>
        <v>5.85</v>
      </c>
      <c r="AI477" s="424">
        <f t="shared" si="550"/>
        <v>0</v>
      </c>
      <c r="AJ477" s="424">
        <f t="shared" si="550"/>
        <v>0</v>
      </c>
      <c r="AK477" s="424">
        <f t="shared" si="550"/>
        <v>1.2</v>
      </c>
      <c r="AL477" s="424">
        <f t="shared" si="550"/>
        <v>0</v>
      </c>
      <c r="AM477" s="424">
        <f t="shared" si="550"/>
        <v>0</v>
      </c>
      <c r="AN477" s="424">
        <f t="shared" si="550"/>
        <v>0</v>
      </c>
      <c r="AO477" s="424">
        <f t="shared" si="550"/>
        <v>0</v>
      </c>
      <c r="AP477" s="424">
        <f t="shared" ref="AP477:BU477" si="551">AP107*AP$372</f>
        <v>0</v>
      </c>
      <c r="AQ477" s="424">
        <f t="shared" si="551"/>
        <v>0</v>
      </c>
      <c r="AR477" s="424">
        <f t="shared" si="551"/>
        <v>0</v>
      </c>
      <c r="AS477" s="424">
        <f t="shared" si="551"/>
        <v>0</v>
      </c>
      <c r="AT477" s="424">
        <f t="shared" si="551"/>
        <v>0</v>
      </c>
      <c r="AU477" s="424">
        <f t="shared" si="551"/>
        <v>0.6</v>
      </c>
      <c r="AV477" s="424">
        <f t="shared" si="551"/>
        <v>0</v>
      </c>
      <c r="AW477" s="424">
        <f t="shared" si="551"/>
        <v>0</v>
      </c>
      <c r="AX477" s="424">
        <f t="shared" si="551"/>
        <v>0</v>
      </c>
      <c r="AY477" s="424">
        <f t="shared" si="551"/>
        <v>0</v>
      </c>
      <c r="AZ477" s="424">
        <f t="shared" si="551"/>
        <v>0</v>
      </c>
      <c r="BA477" s="424">
        <f t="shared" si="551"/>
        <v>0</v>
      </c>
      <c r="BB477" s="424">
        <f t="shared" si="551"/>
        <v>0</v>
      </c>
      <c r="BC477" s="424">
        <f t="shared" si="551"/>
        <v>0</v>
      </c>
      <c r="BD477" s="424">
        <f t="shared" si="551"/>
        <v>0</v>
      </c>
      <c r="BE477" s="424">
        <f t="shared" si="551"/>
        <v>0</v>
      </c>
      <c r="BF477" s="424">
        <f t="shared" si="551"/>
        <v>0</v>
      </c>
      <c r="BG477" s="424">
        <f t="shared" si="551"/>
        <v>0</v>
      </c>
      <c r="BH477" s="424">
        <f t="shared" si="551"/>
        <v>0</v>
      </c>
      <c r="BI477" s="424">
        <f t="shared" si="551"/>
        <v>0</v>
      </c>
      <c r="BJ477" s="424">
        <f t="shared" si="551"/>
        <v>0</v>
      </c>
      <c r="BK477" s="424">
        <f t="shared" si="551"/>
        <v>0</v>
      </c>
      <c r="BL477" s="424">
        <f t="shared" si="551"/>
        <v>0</v>
      </c>
      <c r="BM477" s="424">
        <f t="shared" si="551"/>
        <v>0</v>
      </c>
      <c r="BN477" s="424">
        <f t="shared" si="551"/>
        <v>0</v>
      </c>
      <c r="BO477" s="424">
        <f t="shared" si="551"/>
        <v>0</v>
      </c>
      <c r="BP477" s="424">
        <f t="shared" si="551"/>
        <v>0</v>
      </c>
      <c r="BQ477" s="424">
        <f t="shared" si="551"/>
        <v>0</v>
      </c>
      <c r="BR477" s="424">
        <f t="shared" si="551"/>
        <v>0</v>
      </c>
      <c r="BS477" s="424">
        <f t="shared" si="551"/>
        <v>0</v>
      </c>
      <c r="BT477" s="424">
        <f t="shared" si="551"/>
        <v>0</v>
      </c>
      <c r="BU477" s="424">
        <f t="shared" si="551"/>
        <v>0</v>
      </c>
      <c r="BV477" s="424">
        <f t="shared" ref="BV477:DA477" si="552">BV107*BV$372</f>
        <v>0</v>
      </c>
      <c r="BW477" s="424">
        <f t="shared" si="552"/>
        <v>0</v>
      </c>
      <c r="BX477" s="424">
        <f t="shared" si="552"/>
        <v>0</v>
      </c>
      <c r="BY477" s="424">
        <f t="shared" si="552"/>
        <v>0</v>
      </c>
      <c r="BZ477" s="424">
        <f t="shared" si="552"/>
        <v>0</v>
      </c>
      <c r="CA477" s="424">
        <f t="shared" si="552"/>
        <v>0</v>
      </c>
      <c r="CB477" s="424">
        <f t="shared" si="552"/>
        <v>0</v>
      </c>
      <c r="CC477" s="424">
        <f t="shared" si="552"/>
        <v>0</v>
      </c>
      <c r="CD477" s="424">
        <f t="shared" si="552"/>
        <v>0</v>
      </c>
      <c r="CE477" s="424">
        <f t="shared" si="552"/>
        <v>0</v>
      </c>
      <c r="CF477" s="424">
        <f t="shared" si="552"/>
        <v>0.6</v>
      </c>
      <c r="CG477" s="424">
        <f t="shared" si="552"/>
        <v>0</v>
      </c>
      <c r="CH477" s="424">
        <f t="shared" si="552"/>
        <v>0</v>
      </c>
      <c r="CI477" s="424">
        <f t="shared" si="552"/>
        <v>0</v>
      </c>
      <c r="CJ477" s="424">
        <f t="shared" si="552"/>
        <v>0</v>
      </c>
      <c r="CK477" s="424">
        <f t="shared" si="552"/>
        <v>0</v>
      </c>
      <c r="CL477" s="424">
        <f t="shared" si="552"/>
        <v>0</v>
      </c>
      <c r="CM477" s="424">
        <f t="shared" si="552"/>
        <v>0</v>
      </c>
      <c r="CN477" s="424">
        <f t="shared" si="552"/>
        <v>0</v>
      </c>
      <c r="CO477" s="424">
        <f t="shared" si="552"/>
        <v>0</v>
      </c>
      <c r="CP477" s="424">
        <f t="shared" si="552"/>
        <v>0</v>
      </c>
      <c r="CQ477" s="424">
        <f t="shared" si="552"/>
        <v>0</v>
      </c>
      <c r="CR477" s="424">
        <f t="shared" si="552"/>
        <v>0</v>
      </c>
      <c r="CS477" s="424">
        <f t="shared" si="552"/>
        <v>0</v>
      </c>
      <c r="CT477" s="424">
        <f t="shared" si="552"/>
        <v>0</v>
      </c>
      <c r="CU477" s="424">
        <f t="shared" si="552"/>
        <v>0</v>
      </c>
      <c r="CV477" s="424">
        <f t="shared" si="552"/>
        <v>0</v>
      </c>
      <c r="CW477" s="424">
        <f t="shared" si="552"/>
        <v>0</v>
      </c>
      <c r="CX477" s="424">
        <f t="shared" si="552"/>
        <v>0</v>
      </c>
      <c r="CY477" s="424">
        <f t="shared" si="552"/>
        <v>0</v>
      </c>
      <c r="CZ477" s="424">
        <f t="shared" si="552"/>
        <v>0</v>
      </c>
      <c r="DA477" s="424">
        <f t="shared" si="552"/>
        <v>0</v>
      </c>
      <c r="DB477" s="424">
        <f t="shared" ref="DB477:EG477" si="553">DB107*DB$372</f>
        <v>0</v>
      </c>
      <c r="DC477" s="424">
        <f t="shared" si="553"/>
        <v>0.01</v>
      </c>
      <c r="DD477" s="424">
        <f t="shared" si="553"/>
        <v>0</v>
      </c>
      <c r="DE477" s="424">
        <f t="shared" si="553"/>
        <v>0</v>
      </c>
      <c r="DF477" s="424">
        <f t="shared" si="553"/>
        <v>0</v>
      </c>
      <c r="DG477" s="424">
        <f t="shared" si="553"/>
        <v>0</v>
      </c>
      <c r="DH477" s="424">
        <f t="shared" si="553"/>
        <v>0</v>
      </c>
      <c r="DI477" s="424">
        <f t="shared" si="553"/>
        <v>0</v>
      </c>
      <c r="DJ477" s="424">
        <f t="shared" si="553"/>
        <v>0</v>
      </c>
      <c r="DK477" s="424">
        <f t="shared" si="553"/>
        <v>0</v>
      </c>
      <c r="DL477" s="424">
        <f t="shared" si="553"/>
        <v>0</v>
      </c>
      <c r="DM477" s="424">
        <f t="shared" si="553"/>
        <v>0</v>
      </c>
      <c r="DN477" s="424">
        <f t="shared" si="553"/>
        <v>0</v>
      </c>
      <c r="DO477" s="424">
        <f t="shared" si="553"/>
        <v>0</v>
      </c>
      <c r="DP477" s="424">
        <f t="shared" si="553"/>
        <v>0</v>
      </c>
      <c r="DQ477" s="424">
        <f t="shared" si="553"/>
        <v>0</v>
      </c>
      <c r="DR477" s="424">
        <f t="shared" si="553"/>
        <v>0</v>
      </c>
      <c r="DS477" s="424">
        <f t="shared" si="553"/>
        <v>0</v>
      </c>
      <c r="DT477" s="424">
        <f t="shared" si="553"/>
        <v>0</v>
      </c>
      <c r="DU477" s="424">
        <f t="shared" si="553"/>
        <v>0</v>
      </c>
      <c r="DV477" s="424">
        <f t="shared" si="553"/>
        <v>0</v>
      </c>
      <c r="DW477" s="424">
        <f t="shared" si="553"/>
        <v>0</v>
      </c>
      <c r="DX477" s="424">
        <f t="shared" si="553"/>
        <v>0</v>
      </c>
      <c r="DY477" s="424">
        <f t="shared" si="553"/>
        <v>0</v>
      </c>
      <c r="DZ477" s="424">
        <f t="shared" si="553"/>
        <v>0</v>
      </c>
      <c r="EA477" s="424">
        <f t="shared" si="553"/>
        <v>0</v>
      </c>
      <c r="EB477" s="424">
        <f t="shared" si="553"/>
        <v>0</v>
      </c>
      <c r="EC477" s="424">
        <f t="shared" si="553"/>
        <v>0</v>
      </c>
      <c r="ED477" s="424">
        <f t="shared" si="553"/>
        <v>0</v>
      </c>
      <c r="EE477" s="424">
        <f t="shared" si="553"/>
        <v>0</v>
      </c>
      <c r="EF477" s="424">
        <f t="shared" si="553"/>
        <v>0</v>
      </c>
      <c r="EG477" s="424">
        <f t="shared" si="553"/>
        <v>0</v>
      </c>
      <c r="EH477" s="424">
        <f t="shared" ref="EH477:EX477" si="554">EH107*EH$372</f>
        <v>0</v>
      </c>
      <c r="EI477" s="424">
        <f t="shared" si="554"/>
        <v>0</v>
      </c>
      <c r="EJ477" s="424">
        <f t="shared" si="554"/>
        <v>0</v>
      </c>
      <c r="EK477" s="424">
        <f t="shared" si="554"/>
        <v>0</v>
      </c>
      <c r="EL477" s="424">
        <f t="shared" si="554"/>
        <v>0</v>
      </c>
      <c r="EM477" s="424">
        <f t="shared" si="554"/>
        <v>0</v>
      </c>
      <c r="EN477" s="424">
        <f t="shared" si="554"/>
        <v>0</v>
      </c>
      <c r="EO477" s="424">
        <f t="shared" si="554"/>
        <v>0</v>
      </c>
      <c r="EP477" s="424">
        <f t="shared" si="554"/>
        <v>0</v>
      </c>
      <c r="EQ477" s="424">
        <f t="shared" si="554"/>
        <v>0</v>
      </c>
      <c r="ER477" s="424">
        <f t="shared" si="554"/>
        <v>0</v>
      </c>
      <c r="ES477" s="424">
        <f t="shared" si="554"/>
        <v>0</v>
      </c>
      <c r="ET477" s="424">
        <f t="shared" si="554"/>
        <v>0</v>
      </c>
      <c r="EU477" s="424">
        <f t="shared" si="554"/>
        <v>0</v>
      </c>
      <c r="EV477" s="424">
        <f t="shared" si="554"/>
        <v>0</v>
      </c>
      <c r="EW477" s="424">
        <f t="shared" si="554"/>
        <v>0</v>
      </c>
      <c r="EX477" s="424">
        <f t="shared" si="554"/>
        <v>0</v>
      </c>
      <c r="EY477" s="425">
        <f t="shared" si="374"/>
        <v>11.67</v>
      </c>
    </row>
    <row r="478" spans="1:166" ht="14.7" customHeight="1" x14ac:dyDescent="0.25">
      <c r="A478" s="310">
        <v>104</v>
      </c>
      <c r="B478" s="311" t="str">
        <f t="shared" si="355"/>
        <v>Капуста тушеная</v>
      </c>
      <c r="C478" s="483">
        <f t="shared" si="363"/>
        <v>17.309999999999999</v>
      </c>
      <c r="D478" s="888"/>
      <c r="E478" s="888"/>
      <c r="F478" s="888"/>
      <c r="G478" s="889"/>
      <c r="H478" s="680">
        <f t="shared" si="356"/>
        <v>139</v>
      </c>
      <c r="I478" s="1209">
        <f t="shared" si="357"/>
        <v>0</v>
      </c>
      <c r="J478" s="424">
        <f t="shared" ref="J478:AO478" si="555">J108*J$372</f>
        <v>0</v>
      </c>
      <c r="K478" s="424">
        <f t="shared" si="555"/>
        <v>0</v>
      </c>
      <c r="L478" s="424">
        <f t="shared" si="555"/>
        <v>0</v>
      </c>
      <c r="M478" s="424">
        <f t="shared" si="555"/>
        <v>0</v>
      </c>
      <c r="N478" s="424">
        <f t="shared" si="555"/>
        <v>0</v>
      </c>
      <c r="O478" s="424">
        <f t="shared" si="555"/>
        <v>0</v>
      </c>
      <c r="P478" s="424">
        <f t="shared" si="555"/>
        <v>0</v>
      </c>
      <c r="Q478" s="424">
        <f t="shared" si="555"/>
        <v>0</v>
      </c>
      <c r="R478" s="424">
        <f t="shared" si="555"/>
        <v>0</v>
      </c>
      <c r="S478" s="424">
        <f t="shared" si="555"/>
        <v>0</v>
      </c>
      <c r="T478" s="424">
        <f t="shared" si="555"/>
        <v>0</v>
      </c>
      <c r="U478" s="424">
        <f t="shared" si="555"/>
        <v>0</v>
      </c>
      <c r="V478" s="424">
        <f t="shared" si="555"/>
        <v>0</v>
      </c>
      <c r="W478" s="424">
        <f t="shared" si="555"/>
        <v>0</v>
      </c>
      <c r="X478" s="424">
        <f t="shared" si="555"/>
        <v>0</v>
      </c>
      <c r="Y478" s="424">
        <f t="shared" si="555"/>
        <v>0</v>
      </c>
      <c r="Z478" s="424">
        <f t="shared" si="555"/>
        <v>0</v>
      </c>
      <c r="AA478" s="424">
        <f t="shared" si="555"/>
        <v>0</v>
      </c>
      <c r="AB478" s="424">
        <f t="shared" si="555"/>
        <v>0</v>
      </c>
      <c r="AC478" s="424">
        <f t="shared" si="555"/>
        <v>0</v>
      </c>
      <c r="AD478" s="424">
        <f t="shared" si="555"/>
        <v>0</v>
      </c>
      <c r="AE478" s="424">
        <f t="shared" si="555"/>
        <v>0</v>
      </c>
      <c r="AF478" s="424">
        <f t="shared" si="555"/>
        <v>11.29</v>
      </c>
      <c r="AG478" s="424">
        <f t="shared" si="555"/>
        <v>0</v>
      </c>
      <c r="AH478" s="424">
        <f t="shared" si="555"/>
        <v>0</v>
      </c>
      <c r="AI478" s="424">
        <f t="shared" si="555"/>
        <v>0</v>
      </c>
      <c r="AJ478" s="424">
        <f t="shared" si="555"/>
        <v>0</v>
      </c>
      <c r="AK478" s="424">
        <f t="shared" si="555"/>
        <v>0.38</v>
      </c>
      <c r="AL478" s="424">
        <f t="shared" si="555"/>
        <v>0</v>
      </c>
      <c r="AM478" s="424">
        <f t="shared" si="555"/>
        <v>0</v>
      </c>
      <c r="AN478" s="424">
        <f t="shared" si="555"/>
        <v>0</v>
      </c>
      <c r="AO478" s="424">
        <f t="shared" si="555"/>
        <v>0</v>
      </c>
      <c r="AP478" s="424">
        <f t="shared" ref="AP478:BU478" si="556">AP108*AP$372</f>
        <v>0</v>
      </c>
      <c r="AQ478" s="424">
        <f t="shared" si="556"/>
        <v>0.23</v>
      </c>
      <c r="AR478" s="424">
        <f t="shared" si="556"/>
        <v>0</v>
      </c>
      <c r="AS478" s="424">
        <f t="shared" si="556"/>
        <v>0</v>
      </c>
      <c r="AT478" s="424">
        <f t="shared" si="556"/>
        <v>0</v>
      </c>
      <c r="AU478" s="424">
        <f t="shared" si="556"/>
        <v>0.9</v>
      </c>
      <c r="AV478" s="424">
        <f t="shared" si="556"/>
        <v>0</v>
      </c>
      <c r="AW478" s="424">
        <f t="shared" si="556"/>
        <v>0</v>
      </c>
      <c r="AX478" s="424">
        <f t="shared" si="556"/>
        <v>0</v>
      </c>
      <c r="AY478" s="424">
        <f t="shared" si="556"/>
        <v>0</v>
      </c>
      <c r="AZ478" s="424">
        <f t="shared" si="556"/>
        <v>0</v>
      </c>
      <c r="BA478" s="424">
        <f t="shared" si="556"/>
        <v>0</v>
      </c>
      <c r="BB478" s="424">
        <f t="shared" si="556"/>
        <v>0</v>
      </c>
      <c r="BC478" s="424">
        <f t="shared" si="556"/>
        <v>0</v>
      </c>
      <c r="BD478" s="424">
        <f t="shared" si="556"/>
        <v>0</v>
      </c>
      <c r="BE478" s="424">
        <f t="shared" si="556"/>
        <v>0</v>
      </c>
      <c r="BF478" s="424">
        <f t="shared" si="556"/>
        <v>0</v>
      </c>
      <c r="BG478" s="424">
        <f t="shared" si="556"/>
        <v>0</v>
      </c>
      <c r="BH478" s="424">
        <f t="shared" si="556"/>
        <v>0</v>
      </c>
      <c r="BI478" s="424">
        <f t="shared" si="556"/>
        <v>0</v>
      </c>
      <c r="BJ478" s="424">
        <f t="shared" si="556"/>
        <v>0</v>
      </c>
      <c r="BK478" s="424">
        <f t="shared" si="556"/>
        <v>0</v>
      </c>
      <c r="BL478" s="424">
        <f t="shared" si="556"/>
        <v>0</v>
      </c>
      <c r="BM478" s="424">
        <f t="shared" si="556"/>
        <v>0</v>
      </c>
      <c r="BN478" s="424">
        <f t="shared" si="556"/>
        <v>0</v>
      </c>
      <c r="BO478" s="424">
        <f t="shared" si="556"/>
        <v>0</v>
      </c>
      <c r="BP478" s="424">
        <f t="shared" si="556"/>
        <v>0</v>
      </c>
      <c r="BQ478" s="424">
        <f t="shared" si="556"/>
        <v>0</v>
      </c>
      <c r="BR478" s="424">
        <f t="shared" si="556"/>
        <v>0</v>
      </c>
      <c r="BS478" s="424">
        <f t="shared" si="556"/>
        <v>0.05</v>
      </c>
      <c r="BT478" s="424">
        <f t="shared" si="556"/>
        <v>0</v>
      </c>
      <c r="BU478" s="424">
        <f t="shared" si="556"/>
        <v>0</v>
      </c>
      <c r="BV478" s="424">
        <f t="shared" ref="BV478:DA478" si="557">BV108*BV$372</f>
        <v>0</v>
      </c>
      <c r="BW478" s="424">
        <f t="shared" si="557"/>
        <v>0</v>
      </c>
      <c r="BX478" s="424">
        <f t="shared" si="557"/>
        <v>0</v>
      </c>
      <c r="BY478" s="424">
        <f t="shared" si="557"/>
        <v>0</v>
      </c>
      <c r="BZ478" s="424">
        <f t="shared" si="557"/>
        <v>0</v>
      </c>
      <c r="CA478" s="424">
        <f t="shared" si="557"/>
        <v>0</v>
      </c>
      <c r="CB478" s="424">
        <f t="shared" si="557"/>
        <v>0</v>
      </c>
      <c r="CC478" s="424">
        <f t="shared" si="557"/>
        <v>0</v>
      </c>
      <c r="CD478" s="424">
        <f t="shared" si="557"/>
        <v>0</v>
      </c>
      <c r="CE478" s="424">
        <f t="shared" si="557"/>
        <v>0</v>
      </c>
      <c r="CF478" s="424">
        <f t="shared" si="557"/>
        <v>0.72</v>
      </c>
      <c r="CG478" s="424">
        <f t="shared" si="557"/>
        <v>0</v>
      </c>
      <c r="CH478" s="424">
        <f t="shared" si="557"/>
        <v>0</v>
      </c>
      <c r="CI478" s="424">
        <f t="shared" si="557"/>
        <v>0</v>
      </c>
      <c r="CJ478" s="424">
        <f t="shared" si="557"/>
        <v>0</v>
      </c>
      <c r="CK478" s="424">
        <f t="shared" si="557"/>
        <v>0</v>
      </c>
      <c r="CL478" s="424">
        <f t="shared" si="557"/>
        <v>0</v>
      </c>
      <c r="CM478" s="424">
        <f t="shared" si="557"/>
        <v>0</v>
      </c>
      <c r="CN478" s="424">
        <f t="shared" si="557"/>
        <v>0</v>
      </c>
      <c r="CO478" s="424">
        <f t="shared" si="557"/>
        <v>0</v>
      </c>
      <c r="CP478" s="424">
        <f t="shared" si="557"/>
        <v>0</v>
      </c>
      <c r="CQ478" s="424">
        <f t="shared" si="557"/>
        <v>1.31</v>
      </c>
      <c r="CR478" s="424">
        <f t="shared" si="557"/>
        <v>0</v>
      </c>
      <c r="CS478" s="424">
        <f t="shared" si="557"/>
        <v>0.01</v>
      </c>
      <c r="CT478" s="424">
        <f t="shared" si="557"/>
        <v>0</v>
      </c>
      <c r="CU478" s="424">
        <f t="shared" si="557"/>
        <v>0</v>
      </c>
      <c r="CV478" s="424">
        <f t="shared" si="557"/>
        <v>0</v>
      </c>
      <c r="CW478" s="424">
        <f t="shared" si="557"/>
        <v>0</v>
      </c>
      <c r="CX478" s="424">
        <f t="shared" si="557"/>
        <v>0</v>
      </c>
      <c r="CY478" s="424">
        <f t="shared" si="557"/>
        <v>0</v>
      </c>
      <c r="CZ478" s="424">
        <f t="shared" si="557"/>
        <v>0.34</v>
      </c>
      <c r="DA478" s="424">
        <f t="shared" si="557"/>
        <v>0</v>
      </c>
      <c r="DB478" s="424">
        <f t="shared" ref="DB478:EG478" si="558">DB108*DB$372</f>
        <v>0</v>
      </c>
      <c r="DC478" s="424">
        <f t="shared" si="558"/>
        <v>0.01</v>
      </c>
      <c r="DD478" s="424">
        <f t="shared" si="558"/>
        <v>0</v>
      </c>
      <c r="DE478" s="424">
        <f t="shared" si="558"/>
        <v>0</v>
      </c>
      <c r="DF478" s="424">
        <f t="shared" si="558"/>
        <v>2.0699999999999998</v>
      </c>
      <c r="DG478" s="424">
        <f t="shared" si="558"/>
        <v>0</v>
      </c>
      <c r="DH478" s="424">
        <f t="shared" si="558"/>
        <v>0</v>
      </c>
      <c r="DI478" s="424">
        <f t="shared" si="558"/>
        <v>0</v>
      </c>
      <c r="DJ478" s="424">
        <f t="shared" si="558"/>
        <v>0</v>
      </c>
      <c r="DK478" s="424">
        <f t="shared" si="558"/>
        <v>0</v>
      </c>
      <c r="DL478" s="424">
        <f t="shared" si="558"/>
        <v>0</v>
      </c>
      <c r="DM478" s="424">
        <f t="shared" si="558"/>
        <v>0</v>
      </c>
      <c r="DN478" s="424">
        <f t="shared" si="558"/>
        <v>0</v>
      </c>
      <c r="DO478" s="424">
        <f t="shared" si="558"/>
        <v>0</v>
      </c>
      <c r="DP478" s="424">
        <f t="shared" si="558"/>
        <v>0</v>
      </c>
      <c r="DQ478" s="424">
        <f t="shared" si="558"/>
        <v>0</v>
      </c>
      <c r="DR478" s="424">
        <f t="shared" si="558"/>
        <v>0</v>
      </c>
      <c r="DS478" s="424">
        <f t="shared" si="558"/>
        <v>0</v>
      </c>
      <c r="DT478" s="424">
        <f t="shared" si="558"/>
        <v>0</v>
      </c>
      <c r="DU478" s="424">
        <f t="shared" si="558"/>
        <v>0</v>
      </c>
      <c r="DV478" s="424">
        <f t="shared" si="558"/>
        <v>0</v>
      </c>
      <c r="DW478" s="424">
        <f t="shared" si="558"/>
        <v>0</v>
      </c>
      <c r="DX478" s="424">
        <f t="shared" si="558"/>
        <v>0</v>
      </c>
      <c r="DY478" s="424">
        <f t="shared" si="558"/>
        <v>0</v>
      </c>
      <c r="DZ478" s="424">
        <f t="shared" si="558"/>
        <v>0</v>
      </c>
      <c r="EA478" s="424">
        <f t="shared" si="558"/>
        <v>0</v>
      </c>
      <c r="EB478" s="424">
        <f t="shared" si="558"/>
        <v>0</v>
      </c>
      <c r="EC478" s="424">
        <f t="shared" si="558"/>
        <v>0</v>
      </c>
      <c r="ED478" s="424">
        <f t="shared" si="558"/>
        <v>0</v>
      </c>
      <c r="EE478" s="424">
        <f t="shared" si="558"/>
        <v>0</v>
      </c>
      <c r="EF478" s="424">
        <f t="shared" si="558"/>
        <v>0</v>
      </c>
      <c r="EG478" s="424">
        <f t="shared" si="558"/>
        <v>0</v>
      </c>
      <c r="EH478" s="424">
        <f t="shared" ref="EH478:EX478" si="559">EH108*EH$372</f>
        <v>0</v>
      </c>
      <c r="EI478" s="424">
        <f t="shared" si="559"/>
        <v>0</v>
      </c>
      <c r="EJ478" s="424">
        <f t="shared" si="559"/>
        <v>0</v>
      </c>
      <c r="EK478" s="424">
        <f t="shared" si="559"/>
        <v>0</v>
      </c>
      <c r="EL478" s="424">
        <f t="shared" si="559"/>
        <v>0</v>
      </c>
      <c r="EM478" s="424">
        <f t="shared" si="559"/>
        <v>0</v>
      </c>
      <c r="EN478" s="424">
        <f t="shared" si="559"/>
        <v>0</v>
      </c>
      <c r="EO478" s="424">
        <f t="shared" si="559"/>
        <v>0</v>
      </c>
      <c r="EP478" s="424">
        <f t="shared" si="559"/>
        <v>0</v>
      </c>
      <c r="EQ478" s="424">
        <f t="shared" si="559"/>
        <v>0</v>
      </c>
      <c r="ER478" s="424">
        <f t="shared" si="559"/>
        <v>0</v>
      </c>
      <c r="ES478" s="424">
        <f t="shared" si="559"/>
        <v>0</v>
      </c>
      <c r="ET478" s="424">
        <f t="shared" si="559"/>
        <v>0</v>
      </c>
      <c r="EU478" s="424">
        <f t="shared" si="559"/>
        <v>0</v>
      </c>
      <c r="EV478" s="424">
        <f t="shared" si="559"/>
        <v>0</v>
      </c>
      <c r="EW478" s="424">
        <f t="shared" si="559"/>
        <v>0</v>
      </c>
      <c r="EX478" s="424">
        <f t="shared" si="559"/>
        <v>0</v>
      </c>
      <c r="EY478" s="425">
        <f t="shared" si="374"/>
        <v>17.309999999999999</v>
      </c>
    </row>
    <row r="479" spans="1:166" s="474" customFormat="1" ht="14.7" customHeight="1" x14ac:dyDescent="0.25">
      <c r="A479" s="310">
        <v>105</v>
      </c>
      <c r="B479" s="311" t="str">
        <f t="shared" si="355"/>
        <v>Свекла, тушенная в сметанном соусе</v>
      </c>
      <c r="C479" s="483">
        <f t="shared" si="363"/>
        <v>8.25</v>
      </c>
      <c r="D479" s="888"/>
      <c r="E479" s="888"/>
      <c r="F479" s="888"/>
      <c r="G479" s="889"/>
      <c r="H479" s="680">
        <f t="shared" si="356"/>
        <v>140</v>
      </c>
      <c r="I479" s="1209">
        <f t="shared" si="357"/>
        <v>0.01</v>
      </c>
      <c r="J479" s="424">
        <f t="shared" ref="J479:AO479" si="560">J109*J$372</f>
        <v>0</v>
      </c>
      <c r="K479" s="424">
        <f t="shared" si="560"/>
        <v>0</v>
      </c>
      <c r="L479" s="424">
        <f t="shared" si="560"/>
        <v>0</v>
      </c>
      <c r="M479" s="424">
        <f t="shared" si="560"/>
        <v>0</v>
      </c>
      <c r="N479" s="424">
        <f t="shared" si="560"/>
        <v>0</v>
      </c>
      <c r="O479" s="424">
        <f t="shared" si="560"/>
        <v>0</v>
      </c>
      <c r="P479" s="424">
        <f t="shared" si="560"/>
        <v>0</v>
      </c>
      <c r="Q479" s="424">
        <f t="shared" si="560"/>
        <v>0</v>
      </c>
      <c r="R479" s="424">
        <f t="shared" si="560"/>
        <v>0</v>
      </c>
      <c r="S479" s="424">
        <f t="shared" si="560"/>
        <v>0</v>
      </c>
      <c r="T479" s="424">
        <f t="shared" si="560"/>
        <v>0</v>
      </c>
      <c r="U479" s="424">
        <f t="shared" si="560"/>
        <v>0</v>
      </c>
      <c r="V479" s="424">
        <f t="shared" si="560"/>
        <v>0</v>
      </c>
      <c r="W479" s="424">
        <f t="shared" si="560"/>
        <v>0</v>
      </c>
      <c r="X479" s="424">
        <f t="shared" si="560"/>
        <v>0</v>
      </c>
      <c r="Y479" s="424">
        <f t="shared" si="560"/>
        <v>1.46</v>
      </c>
      <c r="Z479" s="424">
        <f t="shared" si="560"/>
        <v>0</v>
      </c>
      <c r="AA479" s="424">
        <f t="shared" si="560"/>
        <v>0</v>
      </c>
      <c r="AB479" s="424">
        <f t="shared" si="560"/>
        <v>0</v>
      </c>
      <c r="AC479" s="424">
        <f t="shared" si="560"/>
        <v>0</v>
      </c>
      <c r="AD479" s="424">
        <f t="shared" si="560"/>
        <v>0</v>
      </c>
      <c r="AE479" s="424">
        <f t="shared" si="560"/>
        <v>0</v>
      </c>
      <c r="AF479" s="424">
        <f t="shared" si="560"/>
        <v>0</v>
      </c>
      <c r="AG479" s="424">
        <f t="shared" si="560"/>
        <v>0</v>
      </c>
      <c r="AH479" s="424">
        <f t="shared" si="560"/>
        <v>0</v>
      </c>
      <c r="AI479" s="424">
        <f t="shared" si="560"/>
        <v>0</v>
      </c>
      <c r="AJ479" s="424">
        <f t="shared" si="560"/>
        <v>0</v>
      </c>
      <c r="AK479" s="424">
        <f t="shared" si="560"/>
        <v>1.5</v>
      </c>
      <c r="AL479" s="424">
        <f t="shared" si="560"/>
        <v>0</v>
      </c>
      <c r="AM479" s="424">
        <f t="shared" si="560"/>
        <v>0</v>
      </c>
      <c r="AN479" s="424">
        <f t="shared" si="560"/>
        <v>0</v>
      </c>
      <c r="AO479" s="424">
        <f t="shared" si="560"/>
        <v>0</v>
      </c>
      <c r="AP479" s="424">
        <f t="shared" ref="AP479:BU479" si="561">AP109*AP$372</f>
        <v>0</v>
      </c>
      <c r="AQ479" s="424">
        <f t="shared" si="561"/>
        <v>0</v>
      </c>
      <c r="AR479" s="424">
        <f t="shared" si="561"/>
        <v>0</v>
      </c>
      <c r="AS479" s="424">
        <f t="shared" si="561"/>
        <v>0</v>
      </c>
      <c r="AT479" s="424">
        <f t="shared" si="561"/>
        <v>0</v>
      </c>
      <c r="AU479" s="424">
        <f t="shared" si="561"/>
        <v>0.6</v>
      </c>
      <c r="AV479" s="424">
        <f t="shared" si="561"/>
        <v>0</v>
      </c>
      <c r="AW479" s="424">
        <f t="shared" si="561"/>
        <v>0</v>
      </c>
      <c r="AX479" s="424">
        <f t="shared" si="561"/>
        <v>4.0199999999999996</v>
      </c>
      <c r="AY479" s="424">
        <f t="shared" si="561"/>
        <v>0</v>
      </c>
      <c r="AZ479" s="424">
        <f t="shared" si="561"/>
        <v>0</v>
      </c>
      <c r="BA479" s="424">
        <f t="shared" si="561"/>
        <v>0</v>
      </c>
      <c r="BB479" s="424">
        <f t="shared" si="561"/>
        <v>0</v>
      </c>
      <c r="BC479" s="424">
        <f t="shared" si="561"/>
        <v>0</v>
      </c>
      <c r="BD479" s="424">
        <f t="shared" si="561"/>
        <v>0</v>
      </c>
      <c r="BE479" s="424">
        <f t="shared" si="561"/>
        <v>0</v>
      </c>
      <c r="BF479" s="424">
        <f t="shared" si="561"/>
        <v>0</v>
      </c>
      <c r="BG479" s="424">
        <f t="shared" si="561"/>
        <v>0</v>
      </c>
      <c r="BH479" s="424">
        <f t="shared" si="561"/>
        <v>0</v>
      </c>
      <c r="BI479" s="424">
        <f t="shared" si="561"/>
        <v>0</v>
      </c>
      <c r="BJ479" s="424">
        <f t="shared" si="561"/>
        <v>0</v>
      </c>
      <c r="BK479" s="424">
        <f t="shared" si="561"/>
        <v>0</v>
      </c>
      <c r="BL479" s="424">
        <f t="shared" si="561"/>
        <v>0</v>
      </c>
      <c r="BM479" s="424">
        <f t="shared" si="561"/>
        <v>0</v>
      </c>
      <c r="BN479" s="424">
        <f t="shared" si="561"/>
        <v>0</v>
      </c>
      <c r="BO479" s="424">
        <f t="shared" si="561"/>
        <v>0</v>
      </c>
      <c r="BP479" s="424">
        <f t="shared" si="561"/>
        <v>0</v>
      </c>
      <c r="BQ479" s="424">
        <f t="shared" si="561"/>
        <v>0</v>
      </c>
      <c r="BR479" s="424">
        <f t="shared" si="561"/>
        <v>0</v>
      </c>
      <c r="BS479" s="424">
        <f t="shared" si="561"/>
        <v>7.0000000000000007E-2</v>
      </c>
      <c r="BT479" s="424">
        <f t="shared" si="561"/>
        <v>0</v>
      </c>
      <c r="BU479" s="424">
        <f t="shared" si="561"/>
        <v>0</v>
      </c>
      <c r="BV479" s="424">
        <f t="shared" ref="BV479:DA479" si="562">BV109*BV$372</f>
        <v>0</v>
      </c>
      <c r="BW479" s="424">
        <f t="shared" si="562"/>
        <v>0</v>
      </c>
      <c r="BX479" s="424">
        <f t="shared" si="562"/>
        <v>0</v>
      </c>
      <c r="BY479" s="424">
        <f t="shared" si="562"/>
        <v>0</v>
      </c>
      <c r="BZ479" s="424">
        <f t="shared" si="562"/>
        <v>0</v>
      </c>
      <c r="CA479" s="424">
        <f t="shared" si="562"/>
        <v>0</v>
      </c>
      <c r="CB479" s="424">
        <f t="shared" si="562"/>
        <v>0</v>
      </c>
      <c r="CC479" s="424">
        <f t="shared" si="562"/>
        <v>0</v>
      </c>
      <c r="CD479" s="424">
        <f t="shared" si="562"/>
        <v>0</v>
      </c>
      <c r="CE479" s="424">
        <f t="shared" si="562"/>
        <v>0</v>
      </c>
      <c r="CF479" s="424">
        <f t="shared" si="562"/>
        <v>0.6</v>
      </c>
      <c r="CG479" s="424">
        <f t="shared" si="562"/>
        <v>0</v>
      </c>
      <c r="CH479" s="424">
        <f t="shared" si="562"/>
        <v>0</v>
      </c>
      <c r="CI479" s="424">
        <f t="shared" si="562"/>
        <v>0</v>
      </c>
      <c r="CJ479" s="424">
        <f t="shared" si="562"/>
        <v>0</v>
      </c>
      <c r="CK479" s="424">
        <f t="shared" si="562"/>
        <v>0</v>
      </c>
      <c r="CL479" s="424">
        <f t="shared" si="562"/>
        <v>0</v>
      </c>
      <c r="CM479" s="424">
        <f t="shared" si="562"/>
        <v>0</v>
      </c>
      <c r="CN479" s="424">
        <f t="shared" si="562"/>
        <v>0</v>
      </c>
      <c r="CO479" s="424">
        <f t="shared" si="562"/>
        <v>0</v>
      </c>
      <c r="CP479" s="424">
        <f t="shared" si="562"/>
        <v>0</v>
      </c>
      <c r="CQ479" s="424">
        <f t="shared" si="562"/>
        <v>0</v>
      </c>
      <c r="CR479" s="424">
        <f t="shared" si="562"/>
        <v>0</v>
      </c>
      <c r="CS479" s="424">
        <f t="shared" si="562"/>
        <v>0</v>
      </c>
      <c r="CT479" s="424">
        <f t="shared" si="562"/>
        <v>0</v>
      </c>
      <c r="CU479" s="424">
        <f t="shared" si="562"/>
        <v>0</v>
      </c>
      <c r="CV479" s="424">
        <f t="shared" si="562"/>
        <v>0</v>
      </c>
      <c r="CW479" s="424">
        <f t="shared" si="562"/>
        <v>0</v>
      </c>
      <c r="CX479" s="424">
        <f t="shared" si="562"/>
        <v>0</v>
      </c>
      <c r="CY479" s="424">
        <f t="shared" si="562"/>
        <v>0</v>
      </c>
      <c r="CZ479" s="424">
        <f t="shared" si="562"/>
        <v>0</v>
      </c>
      <c r="DA479" s="424">
        <f t="shared" si="562"/>
        <v>0</v>
      </c>
      <c r="DB479" s="424">
        <f t="shared" ref="DB479:EG479" si="563">DB109*DB$372</f>
        <v>0</v>
      </c>
      <c r="DC479" s="424">
        <f t="shared" si="563"/>
        <v>0</v>
      </c>
      <c r="DD479" s="424">
        <f t="shared" si="563"/>
        <v>0</v>
      </c>
      <c r="DE479" s="424">
        <f t="shared" si="563"/>
        <v>0</v>
      </c>
      <c r="DF479" s="424">
        <f t="shared" si="563"/>
        <v>0</v>
      </c>
      <c r="DG479" s="424">
        <f t="shared" si="563"/>
        <v>0</v>
      </c>
      <c r="DH479" s="424">
        <f t="shared" si="563"/>
        <v>0</v>
      </c>
      <c r="DI479" s="424">
        <f t="shared" si="563"/>
        <v>0</v>
      </c>
      <c r="DJ479" s="424">
        <f t="shared" si="563"/>
        <v>0</v>
      </c>
      <c r="DK479" s="424">
        <f t="shared" si="563"/>
        <v>0</v>
      </c>
      <c r="DL479" s="424">
        <f t="shared" si="563"/>
        <v>0</v>
      </c>
      <c r="DM479" s="424">
        <f t="shared" si="563"/>
        <v>0</v>
      </c>
      <c r="DN479" s="424">
        <f t="shared" si="563"/>
        <v>0</v>
      </c>
      <c r="DO479" s="424">
        <f t="shared" si="563"/>
        <v>0</v>
      </c>
      <c r="DP479" s="424">
        <f t="shared" si="563"/>
        <v>0</v>
      </c>
      <c r="DQ479" s="424">
        <f t="shared" si="563"/>
        <v>0</v>
      </c>
      <c r="DR479" s="424">
        <f t="shared" si="563"/>
        <v>0</v>
      </c>
      <c r="DS479" s="424">
        <f t="shared" si="563"/>
        <v>0</v>
      </c>
      <c r="DT479" s="424">
        <f t="shared" si="563"/>
        <v>0</v>
      </c>
      <c r="DU479" s="424">
        <f t="shared" si="563"/>
        <v>0</v>
      </c>
      <c r="DV479" s="424">
        <f t="shared" si="563"/>
        <v>0</v>
      </c>
      <c r="DW479" s="424">
        <f t="shared" si="563"/>
        <v>0</v>
      </c>
      <c r="DX479" s="424">
        <f t="shared" si="563"/>
        <v>0</v>
      </c>
      <c r="DY479" s="424">
        <f t="shared" si="563"/>
        <v>0</v>
      </c>
      <c r="DZ479" s="424">
        <f t="shared" si="563"/>
        <v>0</v>
      </c>
      <c r="EA479" s="424">
        <f t="shared" si="563"/>
        <v>0</v>
      </c>
      <c r="EB479" s="424">
        <f t="shared" si="563"/>
        <v>0</v>
      </c>
      <c r="EC479" s="424">
        <f t="shared" si="563"/>
        <v>0</v>
      </c>
      <c r="ED479" s="424">
        <f t="shared" si="563"/>
        <v>0</v>
      </c>
      <c r="EE479" s="424">
        <f t="shared" si="563"/>
        <v>0</v>
      </c>
      <c r="EF479" s="424">
        <f t="shared" si="563"/>
        <v>0</v>
      </c>
      <c r="EG479" s="424">
        <f t="shared" si="563"/>
        <v>0</v>
      </c>
      <c r="EH479" s="424">
        <f t="shared" ref="EH479:EX479" si="564">EH109*EH$372</f>
        <v>0</v>
      </c>
      <c r="EI479" s="424">
        <f t="shared" si="564"/>
        <v>0</v>
      </c>
      <c r="EJ479" s="424">
        <f t="shared" si="564"/>
        <v>0</v>
      </c>
      <c r="EK479" s="424">
        <f t="shared" si="564"/>
        <v>0</v>
      </c>
      <c r="EL479" s="424">
        <f t="shared" si="564"/>
        <v>0</v>
      </c>
      <c r="EM479" s="424">
        <f t="shared" si="564"/>
        <v>0</v>
      </c>
      <c r="EN479" s="424">
        <f t="shared" si="564"/>
        <v>0</v>
      </c>
      <c r="EO479" s="424">
        <f t="shared" si="564"/>
        <v>0</v>
      </c>
      <c r="EP479" s="424">
        <f t="shared" si="564"/>
        <v>0</v>
      </c>
      <c r="EQ479" s="424">
        <f t="shared" si="564"/>
        <v>0</v>
      </c>
      <c r="ER479" s="424">
        <f t="shared" si="564"/>
        <v>0</v>
      </c>
      <c r="ES479" s="424">
        <f t="shared" si="564"/>
        <v>0</v>
      </c>
      <c r="ET479" s="424">
        <f t="shared" si="564"/>
        <v>0</v>
      </c>
      <c r="EU479" s="424">
        <f t="shared" si="564"/>
        <v>0</v>
      </c>
      <c r="EV479" s="424">
        <f t="shared" si="564"/>
        <v>0</v>
      </c>
      <c r="EW479" s="424">
        <f t="shared" si="564"/>
        <v>0</v>
      </c>
      <c r="EX479" s="424">
        <f t="shared" si="564"/>
        <v>0</v>
      </c>
      <c r="EY479" s="425">
        <f t="shared" si="374"/>
        <v>8.25</v>
      </c>
      <c r="EZ479" s="616"/>
      <c r="FA479" s="616"/>
      <c r="FB479" s="616"/>
      <c r="FC479" s="616"/>
      <c r="FD479" s="616"/>
      <c r="FE479" s="616"/>
      <c r="FF479" s="616"/>
      <c r="FG479" s="616"/>
      <c r="FH479" s="616"/>
      <c r="FI479" s="616"/>
      <c r="FJ479" s="616"/>
    </row>
    <row r="480" spans="1:166" ht="14.7" customHeight="1" x14ac:dyDescent="0.25">
      <c r="A480" s="310">
        <v>106</v>
      </c>
      <c r="B480" s="311" t="str">
        <f t="shared" si="355"/>
        <v>Картофель и овощи, тушенные в сметанном соусе</v>
      </c>
      <c r="C480" s="483">
        <f t="shared" si="363"/>
        <v>10.74</v>
      </c>
      <c r="D480" s="888"/>
      <c r="E480" s="888"/>
      <c r="F480" s="888"/>
      <c r="G480" s="889"/>
      <c r="H480" s="680">
        <f t="shared" si="356"/>
        <v>142</v>
      </c>
      <c r="I480" s="1209">
        <f t="shared" si="357"/>
        <v>0</v>
      </c>
      <c r="J480" s="424">
        <f t="shared" ref="J480:AO480" si="565">J110*J$372</f>
        <v>0</v>
      </c>
      <c r="K480" s="424">
        <f t="shared" si="565"/>
        <v>0</v>
      </c>
      <c r="L480" s="424">
        <f t="shared" si="565"/>
        <v>0</v>
      </c>
      <c r="M480" s="424">
        <f t="shared" si="565"/>
        <v>0</v>
      </c>
      <c r="N480" s="424">
        <f t="shared" si="565"/>
        <v>0</v>
      </c>
      <c r="O480" s="424">
        <f t="shared" si="565"/>
        <v>0</v>
      </c>
      <c r="P480" s="424">
        <f t="shared" si="565"/>
        <v>0</v>
      </c>
      <c r="Q480" s="424">
        <f t="shared" si="565"/>
        <v>0</v>
      </c>
      <c r="R480" s="424">
        <f t="shared" si="565"/>
        <v>0</v>
      </c>
      <c r="S480" s="424">
        <f t="shared" si="565"/>
        <v>0</v>
      </c>
      <c r="T480" s="424">
        <f t="shared" si="565"/>
        <v>0</v>
      </c>
      <c r="U480" s="424">
        <f t="shared" si="565"/>
        <v>0</v>
      </c>
      <c r="V480" s="424">
        <f t="shared" si="565"/>
        <v>0</v>
      </c>
      <c r="W480" s="424">
        <f t="shared" si="565"/>
        <v>0</v>
      </c>
      <c r="X480" s="424">
        <f t="shared" si="565"/>
        <v>0</v>
      </c>
      <c r="Y480" s="424">
        <f t="shared" si="565"/>
        <v>1.46</v>
      </c>
      <c r="Z480" s="424">
        <f t="shared" si="565"/>
        <v>0</v>
      </c>
      <c r="AA480" s="424">
        <f t="shared" si="565"/>
        <v>0</v>
      </c>
      <c r="AB480" s="424">
        <f t="shared" si="565"/>
        <v>0</v>
      </c>
      <c r="AC480" s="424">
        <f t="shared" si="565"/>
        <v>0</v>
      </c>
      <c r="AD480" s="424">
        <f t="shared" si="565"/>
        <v>0</v>
      </c>
      <c r="AE480" s="424">
        <f t="shared" si="565"/>
        <v>0</v>
      </c>
      <c r="AF480" s="424">
        <f t="shared" si="565"/>
        <v>0</v>
      </c>
      <c r="AG480" s="424">
        <f t="shared" si="565"/>
        <v>0</v>
      </c>
      <c r="AH480" s="424">
        <f t="shared" si="565"/>
        <v>7.7</v>
      </c>
      <c r="AI480" s="424">
        <f t="shared" si="565"/>
        <v>0</v>
      </c>
      <c r="AJ480" s="424">
        <f t="shared" si="565"/>
        <v>0</v>
      </c>
      <c r="AK480" s="424">
        <f t="shared" si="565"/>
        <v>0.3</v>
      </c>
      <c r="AL480" s="424">
        <f t="shared" si="565"/>
        <v>0</v>
      </c>
      <c r="AM480" s="424">
        <f t="shared" si="565"/>
        <v>0</v>
      </c>
      <c r="AN480" s="424">
        <f t="shared" si="565"/>
        <v>0</v>
      </c>
      <c r="AO480" s="424">
        <f t="shared" si="565"/>
        <v>0</v>
      </c>
      <c r="AP480" s="424">
        <f t="shared" ref="AP480:BU480" si="566">AP110*AP$372</f>
        <v>0</v>
      </c>
      <c r="AQ480" s="424">
        <f t="shared" si="566"/>
        <v>0.35</v>
      </c>
      <c r="AR480" s="424">
        <f t="shared" si="566"/>
        <v>0</v>
      </c>
      <c r="AS480" s="424">
        <f t="shared" si="566"/>
        <v>0</v>
      </c>
      <c r="AT480" s="424">
        <f t="shared" si="566"/>
        <v>0</v>
      </c>
      <c r="AU480" s="424">
        <f t="shared" si="566"/>
        <v>0</v>
      </c>
      <c r="AV480" s="424">
        <f t="shared" si="566"/>
        <v>0</v>
      </c>
      <c r="AW480" s="424">
        <f t="shared" si="566"/>
        <v>0</v>
      </c>
      <c r="AX480" s="424">
        <f t="shared" si="566"/>
        <v>0</v>
      </c>
      <c r="AY480" s="424">
        <f t="shared" si="566"/>
        <v>0</v>
      </c>
      <c r="AZ480" s="424">
        <f t="shared" si="566"/>
        <v>0</v>
      </c>
      <c r="BA480" s="424">
        <f t="shared" si="566"/>
        <v>0</v>
      </c>
      <c r="BB480" s="424">
        <f t="shared" si="566"/>
        <v>0</v>
      </c>
      <c r="BC480" s="424">
        <f t="shared" si="566"/>
        <v>0</v>
      </c>
      <c r="BD480" s="424">
        <f t="shared" si="566"/>
        <v>0</v>
      </c>
      <c r="BE480" s="424">
        <f t="shared" si="566"/>
        <v>0</v>
      </c>
      <c r="BF480" s="424">
        <f t="shared" si="566"/>
        <v>0</v>
      </c>
      <c r="BG480" s="424">
        <f t="shared" si="566"/>
        <v>0</v>
      </c>
      <c r="BH480" s="424">
        <f t="shared" si="566"/>
        <v>0</v>
      </c>
      <c r="BI480" s="424">
        <f t="shared" si="566"/>
        <v>0</v>
      </c>
      <c r="BJ480" s="424">
        <f t="shared" si="566"/>
        <v>0</v>
      </c>
      <c r="BK480" s="424">
        <f t="shared" si="566"/>
        <v>0</v>
      </c>
      <c r="BL480" s="424">
        <f t="shared" si="566"/>
        <v>0</v>
      </c>
      <c r="BM480" s="424">
        <f t="shared" si="566"/>
        <v>0</v>
      </c>
      <c r="BN480" s="424">
        <f t="shared" si="566"/>
        <v>0</v>
      </c>
      <c r="BO480" s="424">
        <f t="shared" si="566"/>
        <v>0</v>
      </c>
      <c r="BP480" s="424">
        <f t="shared" si="566"/>
        <v>0</v>
      </c>
      <c r="BQ480" s="424">
        <f t="shared" si="566"/>
        <v>0</v>
      </c>
      <c r="BR480" s="424">
        <f t="shared" si="566"/>
        <v>0</v>
      </c>
      <c r="BS480" s="424">
        <f t="shared" si="566"/>
        <v>7.0000000000000007E-2</v>
      </c>
      <c r="BT480" s="424">
        <f t="shared" si="566"/>
        <v>0</v>
      </c>
      <c r="BU480" s="424">
        <f t="shared" si="566"/>
        <v>0</v>
      </c>
      <c r="BV480" s="424">
        <f t="shared" ref="BV480:DA480" si="567">BV110*BV$372</f>
        <v>0</v>
      </c>
      <c r="BW480" s="424">
        <f t="shared" si="567"/>
        <v>0</v>
      </c>
      <c r="BX480" s="424">
        <f t="shared" si="567"/>
        <v>0</v>
      </c>
      <c r="BY480" s="424">
        <f t="shared" si="567"/>
        <v>0</v>
      </c>
      <c r="BZ480" s="424">
        <f t="shared" si="567"/>
        <v>0</v>
      </c>
      <c r="CA480" s="424">
        <f t="shared" si="567"/>
        <v>0</v>
      </c>
      <c r="CB480" s="424">
        <f t="shared" si="567"/>
        <v>0</v>
      </c>
      <c r="CC480" s="424">
        <f t="shared" si="567"/>
        <v>0</v>
      </c>
      <c r="CD480" s="424">
        <f t="shared" si="567"/>
        <v>0</v>
      </c>
      <c r="CE480" s="424">
        <f t="shared" si="567"/>
        <v>0</v>
      </c>
      <c r="CF480" s="424">
        <f t="shared" si="567"/>
        <v>0.84</v>
      </c>
      <c r="CG480" s="424">
        <f t="shared" si="567"/>
        <v>0</v>
      </c>
      <c r="CH480" s="424">
        <f t="shared" si="567"/>
        <v>0</v>
      </c>
      <c r="CI480" s="424">
        <f t="shared" si="567"/>
        <v>0</v>
      </c>
      <c r="CJ480" s="424">
        <f t="shared" si="567"/>
        <v>0</v>
      </c>
      <c r="CK480" s="424">
        <f t="shared" si="567"/>
        <v>0</v>
      </c>
      <c r="CL480" s="424">
        <f t="shared" si="567"/>
        <v>0</v>
      </c>
      <c r="CM480" s="424">
        <f t="shared" si="567"/>
        <v>0</v>
      </c>
      <c r="CN480" s="424">
        <f t="shared" si="567"/>
        <v>0</v>
      </c>
      <c r="CO480" s="424">
        <f t="shared" si="567"/>
        <v>0</v>
      </c>
      <c r="CP480" s="424">
        <f t="shared" si="567"/>
        <v>0</v>
      </c>
      <c r="CQ480" s="424">
        <f t="shared" si="567"/>
        <v>0</v>
      </c>
      <c r="CR480" s="424">
        <f t="shared" si="567"/>
        <v>0</v>
      </c>
      <c r="CS480" s="424">
        <f t="shared" si="567"/>
        <v>0.01</v>
      </c>
      <c r="CT480" s="424">
        <f t="shared" si="567"/>
        <v>0</v>
      </c>
      <c r="CU480" s="424">
        <f t="shared" si="567"/>
        <v>0</v>
      </c>
      <c r="CV480" s="424">
        <f t="shared" si="567"/>
        <v>0</v>
      </c>
      <c r="CW480" s="424">
        <f t="shared" si="567"/>
        <v>0</v>
      </c>
      <c r="CX480" s="424">
        <f t="shared" si="567"/>
        <v>0</v>
      </c>
      <c r="CY480" s="424">
        <f t="shared" si="567"/>
        <v>0</v>
      </c>
      <c r="CZ480" s="424">
        <f t="shared" si="567"/>
        <v>0</v>
      </c>
      <c r="DA480" s="424">
        <f t="shared" si="567"/>
        <v>0</v>
      </c>
      <c r="DB480" s="424">
        <f t="shared" ref="DB480:EG480" si="568">DB110*DB$372</f>
        <v>0</v>
      </c>
      <c r="DC480" s="424">
        <f t="shared" si="568"/>
        <v>0.01</v>
      </c>
      <c r="DD480" s="424">
        <f t="shared" si="568"/>
        <v>0</v>
      </c>
      <c r="DE480" s="424">
        <f t="shared" si="568"/>
        <v>0</v>
      </c>
      <c r="DF480" s="424">
        <f t="shared" si="568"/>
        <v>0</v>
      </c>
      <c r="DG480" s="424">
        <f t="shared" si="568"/>
        <v>0</v>
      </c>
      <c r="DH480" s="424">
        <f t="shared" si="568"/>
        <v>0</v>
      </c>
      <c r="DI480" s="424">
        <f t="shared" si="568"/>
        <v>0</v>
      </c>
      <c r="DJ480" s="424">
        <f t="shared" si="568"/>
        <v>0</v>
      </c>
      <c r="DK480" s="424">
        <f t="shared" si="568"/>
        <v>0</v>
      </c>
      <c r="DL480" s="424">
        <f t="shared" si="568"/>
        <v>0</v>
      </c>
      <c r="DM480" s="424">
        <f t="shared" si="568"/>
        <v>0</v>
      </c>
      <c r="DN480" s="424">
        <f t="shared" si="568"/>
        <v>0</v>
      </c>
      <c r="DO480" s="424">
        <f t="shared" si="568"/>
        <v>0</v>
      </c>
      <c r="DP480" s="424">
        <f t="shared" si="568"/>
        <v>0</v>
      </c>
      <c r="DQ480" s="424">
        <f t="shared" si="568"/>
        <v>0</v>
      </c>
      <c r="DR480" s="424">
        <f t="shared" si="568"/>
        <v>0</v>
      </c>
      <c r="DS480" s="424">
        <f t="shared" si="568"/>
        <v>0</v>
      </c>
      <c r="DT480" s="424">
        <f t="shared" si="568"/>
        <v>0</v>
      </c>
      <c r="DU480" s="424">
        <f t="shared" si="568"/>
        <v>0</v>
      </c>
      <c r="DV480" s="424">
        <f t="shared" si="568"/>
        <v>0</v>
      </c>
      <c r="DW480" s="424">
        <f t="shared" si="568"/>
        <v>0</v>
      </c>
      <c r="DX480" s="424">
        <f t="shared" si="568"/>
        <v>0</v>
      </c>
      <c r="DY480" s="424">
        <f t="shared" si="568"/>
        <v>0</v>
      </c>
      <c r="DZ480" s="424">
        <f t="shared" si="568"/>
        <v>0</v>
      </c>
      <c r="EA480" s="424">
        <f t="shared" si="568"/>
        <v>0</v>
      </c>
      <c r="EB480" s="424">
        <f t="shared" si="568"/>
        <v>0</v>
      </c>
      <c r="EC480" s="424">
        <f t="shared" si="568"/>
        <v>0</v>
      </c>
      <c r="ED480" s="424">
        <f t="shared" si="568"/>
        <v>0</v>
      </c>
      <c r="EE480" s="424">
        <f t="shared" si="568"/>
        <v>0</v>
      </c>
      <c r="EF480" s="424">
        <f t="shared" si="568"/>
        <v>0</v>
      </c>
      <c r="EG480" s="424">
        <f t="shared" si="568"/>
        <v>0</v>
      </c>
      <c r="EH480" s="424">
        <f t="shared" ref="EH480:EX480" si="569">EH110*EH$372</f>
        <v>0</v>
      </c>
      <c r="EI480" s="424">
        <f t="shared" si="569"/>
        <v>0</v>
      </c>
      <c r="EJ480" s="424">
        <f t="shared" si="569"/>
        <v>0</v>
      </c>
      <c r="EK480" s="424">
        <f t="shared" si="569"/>
        <v>0</v>
      </c>
      <c r="EL480" s="424">
        <f t="shared" si="569"/>
        <v>0</v>
      </c>
      <c r="EM480" s="424">
        <f t="shared" si="569"/>
        <v>0</v>
      </c>
      <c r="EN480" s="424">
        <f t="shared" si="569"/>
        <v>0</v>
      </c>
      <c r="EO480" s="424">
        <f t="shared" si="569"/>
        <v>0</v>
      </c>
      <c r="EP480" s="424">
        <f t="shared" si="569"/>
        <v>0</v>
      </c>
      <c r="EQ480" s="424">
        <f t="shared" si="569"/>
        <v>0</v>
      </c>
      <c r="ER480" s="424">
        <f t="shared" si="569"/>
        <v>0</v>
      </c>
      <c r="ES480" s="424">
        <f t="shared" si="569"/>
        <v>0</v>
      </c>
      <c r="ET480" s="424">
        <f t="shared" si="569"/>
        <v>0</v>
      </c>
      <c r="EU480" s="424">
        <f t="shared" si="569"/>
        <v>0</v>
      </c>
      <c r="EV480" s="424">
        <f t="shared" si="569"/>
        <v>0</v>
      </c>
      <c r="EW480" s="424">
        <f t="shared" si="569"/>
        <v>0</v>
      </c>
      <c r="EX480" s="424">
        <f t="shared" si="569"/>
        <v>0</v>
      </c>
      <c r="EY480" s="425">
        <f t="shared" si="374"/>
        <v>10.74</v>
      </c>
    </row>
    <row r="481" spans="1:166" s="474" customFormat="1" ht="14.7" customHeight="1" x14ac:dyDescent="0.25">
      <c r="A481" s="310">
        <v>107</v>
      </c>
      <c r="B481" s="311" t="str">
        <f t="shared" si="355"/>
        <v>Рагу из овощей</v>
      </c>
      <c r="C481" s="483">
        <f t="shared" si="363"/>
        <v>19.170000000000002</v>
      </c>
      <c r="D481" s="888"/>
      <c r="E481" s="888"/>
      <c r="F481" s="888"/>
      <c r="G481" s="889"/>
      <c r="H481" s="680">
        <f t="shared" si="356"/>
        <v>143</v>
      </c>
      <c r="I481" s="1209">
        <f t="shared" si="357"/>
        <v>0.01</v>
      </c>
      <c r="J481" s="424">
        <f t="shared" ref="J481:AO481" si="570">J111*J$372</f>
        <v>0</v>
      </c>
      <c r="K481" s="424">
        <f t="shared" si="570"/>
        <v>0</v>
      </c>
      <c r="L481" s="424">
        <f t="shared" si="570"/>
        <v>0</v>
      </c>
      <c r="M481" s="424">
        <f t="shared" si="570"/>
        <v>0</v>
      </c>
      <c r="N481" s="424">
        <f t="shared" si="570"/>
        <v>0</v>
      </c>
      <c r="O481" s="424">
        <f t="shared" si="570"/>
        <v>0</v>
      </c>
      <c r="P481" s="424">
        <f t="shared" si="570"/>
        <v>0</v>
      </c>
      <c r="Q481" s="424">
        <f t="shared" si="570"/>
        <v>0</v>
      </c>
      <c r="R481" s="424">
        <f t="shared" si="570"/>
        <v>0</v>
      </c>
      <c r="S481" s="424">
        <f t="shared" si="570"/>
        <v>0</v>
      </c>
      <c r="T481" s="424">
        <f t="shared" si="570"/>
        <v>0</v>
      </c>
      <c r="U481" s="424">
        <f t="shared" si="570"/>
        <v>0</v>
      </c>
      <c r="V481" s="424">
        <f t="shared" si="570"/>
        <v>5.68</v>
      </c>
      <c r="W481" s="424">
        <f t="shared" si="570"/>
        <v>0</v>
      </c>
      <c r="X481" s="424">
        <f t="shared" si="570"/>
        <v>0</v>
      </c>
      <c r="Y481" s="424">
        <f t="shared" si="570"/>
        <v>2.63</v>
      </c>
      <c r="Z481" s="424">
        <f t="shared" si="570"/>
        <v>0</v>
      </c>
      <c r="AA481" s="424">
        <f t="shared" si="570"/>
        <v>0</v>
      </c>
      <c r="AB481" s="424">
        <f t="shared" si="570"/>
        <v>0</v>
      </c>
      <c r="AC481" s="424">
        <f t="shared" si="570"/>
        <v>0</v>
      </c>
      <c r="AD481" s="424">
        <f t="shared" si="570"/>
        <v>0</v>
      </c>
      <c r="AE481" s="424">
        <f t="shared" si="570"/>
        <v>0</v>
      </c>
      <c r="AF481" s="424">
        <f t="shared" si="570"/>
        <v>1.99</v>
      </c>
      <c r="AG481" s="424">
        <f t="shared" si="570"/>
        <v>0</v>
      </c>
      <c r="AH481" s="424">
        <f t="shared" si="570"/>
        <v>3.23</v>
      </c>
      <c r="AI481" s="424">
        <f t="shared" si="570"/>
        <v>0</v>
      </c>
      <c r="AJ481" s="424">
        <f t="shared" si="570"/>
        <v>0</v>
      </c>
      <c r="AK481" s="424">
        <f t="shared" si="570"/>
        <v>0.75</v>
      </c>
      <c r="AL481" s="424">
        <f t="shared" si="570"/>
        <v>0</v>
      </c>
      <c r="AM481" s="424">
        <f t="shared" si="570"/>
        <v>0</v>
      </c>
      <c r="AN481" s="424">
        <f t="shared" si="570"/>
        <v>0</v>
      </c>
      <c r="AO481" s="424">
        <f t="shared" si="570"/>
        <v>0</v>
      </c>
      <c r="AP481" s="424">
        <f t="shared" ref="AP481:BU481" si="571">AP111*AP$372</f>
        <v>0</v>
      </c>
      <c r="AQ481" s="424">
        <f t="shared" si="571"/>
        <v>1.5</v>
      </c>
      <c r="AR481" s="424">
        <f t="shared" si="571"/>
        <v>0</v>
      </c>
      <c r="AS481" s="424">
        <f t="shared" si="571"/>
        <v>0</v>
      </c>
      <c r="AT481" s="424">
        <f t="shared" si="571"/>
        <v>0</v>
      </c>
      <c r="AU481" s="424">
        <f t="shared" si="571"/>
        <v>0.6</v>
      </c>
      <c r="AV481" s="424">
        <f t="shared" si="571"/>
        <v>0</v>
      </c>
      <c r="AW481" s="424">
        <f t="shared" si="571"/>
        <v>0</v>
      </c>
      <c r="AX481" s="424">
        <f t="shared" si="571"/>
        <v>0</v>
      </c>
      <c r="AY481" s="424">
        <f t="shared" si="571"/>
        <v>0</v>
      </c>
      <c r="AZ481" s="424">
        <f t="shared" si="571"/>
        <v>0</v>
      </c>
      <c r="BA481" s="424">
        <f t="shared" si="571"/>
        <v>1.89</v>
      </c>
      <c r="BB481" s="424">
        <f t="shared" si="571"/>
        <v>0</v>
      </c>
      <c r="BC481" s="424">
        <f t="shared" si="571"/>
        <v>0</v>
      </c>
      <c r="BD481" s="424">
        <f t="shared" si="571"/>
        <v>0</v>
      </c>
      <c r="BE481" s="424">
        <f t="shared" si="571"/>
        <v>0</v>
      </c>
      <c r="BF481" s="424">
        <f t="shared" si="571"/>
        <v>0</v>
      </c>
      <c r="BG481" s="424">
        <f t="shared" si="571"/>
        <v>0</v>
      </c>
      <c r="BH481" s="424">
        <f t="shared" si="571"/>
        <v>0</v>
      </c>
      <c r="BI481" s="424">
        <f t="shared" si="571"/>
        <v>0</v>
      </c>
      <c r="BJ481" s="424">
        <f t="shared" si="571"/>
        <v>0</v>
      </c>
      <c r="BK481" s="424">
        <f t="shared" si="571"/>
        <v>0</v>
      </c>
      <c r="BL481" s="424">
        <f t="shared" si="571"/>
        <v>0</v>
      </c>
      <c r="BM481" s="424">
        <f t="shared" si="571"/>
        <v>0</v>
      </c>
      <c r="BN481" s="424">
        <f t="shared" si="571"/>
        <v>0</v>
      </c>
      <c r="BO481" s="424">
        <f t="shared" si="571"/>
        <v>0</v>
      </c>
      <c r="BP481" s="424">
        <f t="shared" si="571"/>
        <v>0</v>
      </c>
      <c r="BQ481" s="424">
        <f t="shared" si="571"/>
        <v>0</v>
      </c>
      <c r="BR481" s="424">
        <f t="shared" si="571"/>
        <v>0</v>
      </c>
      <c r="BS481" s="424">
        <f t="shared" si="571"/>
        <v>0.12</v>
      </c>
      <c r="BT481" s="424">
        <f t="shared" si="571"/>
        <v>0</v>
      </c>
      <c r="BU481" s="424">
        <f t="shared" si="571"/>
        <v>0</v>
      </c>
      <c r="BV481" s="424">
        <f t="shared" ref="BV481:DA481" si="572">BV111*BV$372</f>
        <v>0</v>
      </c>
      <c r="BW481" s="424">
        <f t="shared" si="572"/>
        <v>0</v>
      </c>
      <c r="BX481" s="424">
        <f t="shared" si="572"/>
        <v>0</v>
      </c>
      <c r="BY481" s="424">
        <f t="shared" si="572"/>
        <v>0</v>
      </c>
      <c r="BZ481" s="424">
        <f t="shared" si="572"/>
        <v>0</v>
      </c>
      <c r="CA481" s="424">
        <f t="shared" si="572"/>
        <v>0</v>
      </c>
      <c r="CB481" s="424">
        <f t="shared" si="572"/>
        <v>0</v>
      </c>
      <c r="CC481" s="424">
        <f t="shared" si="572"/>
        <v>0</v>
      </c>
      <c r="CD481" s="424">
        <f t="shared" si="572"/>
        <v>0</v>
      </c>
      <c r="CE481" s="424">
        <f t="shared" si="572"/>
        <v>0</v>
      </c>
      <c r="CF481" s="424">
        <f t="shared" si="572"/>
        <v>0.72</v>
      </c>
      <c r="CG481" s="424">
        <f t="shared" si="572"/>
        <v>0</v>
      </c>
      <c r="CH481" s="424">
        <f t="shared" si="572"/>
        <v>0</v>
      </c>
      <c r="CI481" s="424">
        <f t="shared" si="572"/>
        <v>0</v>
      </c>
      <c r="CJ481" s="424">
        <f t="shared" si="572"/>
        <v>0</v>
      </c>
      <c r="CK481" s="424">
        <f t="shared" si="572"/>
        <v>0</v>
      </c>
      <c r="CL481" s="424">
        <f t="shared" si="572"/>
        <v>0</v>
      </c>
      <c r="CM481" s="424">
        <f t="shared" si="572"/>
        <v>0</v>
      </c>
      <c r="CN481" s="424">
        <f t="shared" si="572"/>
        <v>0</v>
      </c>
      <c r="CO481" s="424">
        <f t="shared" si="572"/>
        <v>0</v>
      </c>
      <c r="CP481" s="424">
        <f t="shared" si="572"/>
        <v>0</v>
      </c>
      <c r="CQ481" s="424">
        <f t="shared" si="572"/>
        <v>0</v>
      </c>
      <c r="CR481" s="424">
        <f t="shared" si="572"/>
        <v>0</v>
      </c>
      <c r="CS481" s="424">
        <f t="shared" si="572"/>
        <v>0.02</v>
      </c>
      <c r="CT481" s="424">
        <f t="shared" si="572"/>
        <v>0</v>
      </c>
      <c r="CU481" s="424">
        <f t="shared" si="572"/>
        <v>0</v>
      </c>
      <c r="CV481" s="424">
        <f t="shared" si="572"/>
        <v>0</v>
      </c>
      <c r="CW481" s="424">
        <f t="shared" si="572"/>
        <v>0</v>
      </c>
      <c r="CX481" s="424">
        <f t="shared" si="572"/>
        <v>0</v>
      </c>
      <c r="CY481" s="424">
        <f t="shared" si="572"/>
        <v>0</v>
      </c>
      <c r="CZ481" s="424">
        <f t="shared" si="572"/>
        <v>0</v>
      </c>
      <c r="DA481" s="424">
        <f t="shared" si="572"/>
        <v>0</v>
      </c>
      <c r="DB481" s="424">
        <f t="shared" ref="DB481:EG481" si="573">DB111*DB$372</f>
        <v>0</v>
      </c>
      <c r="DC481" s="424">
        <f t="shared" si="573"/>
        <v>0.04</v>
      </c>
      <c r="DD481" s="424">
        <f t="shared" si="573"/>
        <v>0</v>
      </c>
      <c r="DE481" s="424">
        <f t="shared" si="573"/>
        <v>0</v>
      </c>
      <c r="DF481" s="424">
        <f t="shared" si="573"/>
        <v>0</v>
      </c>
      <c r="DG481" s="424">
        <f t="shared" si="573"/>
        <v>0</v>
      </c>
      <c r="DH481" s="424">
        <f t="shared" si="573"/>
        <v>0</v>
      </c>
      <c r="DI481" s="424">
        <f t="shared" si="573"/>
        <v>0</v>
      </c>
      <c r="DJ481" s="424">
        <f t="shared" si="573"/>
        <v>0</v>
      </c>
      <c r="DK481" s="424">
        <f t="shared" si="573"/>
        <v>0</v>
      </c>
      <c r="DL481" s="424">
        <f t="shared" si="573"/>
        <v>0</v>
      </c>
      <c r="DM481" s="424">
        <f t="shared" si="573"/>
        <v>0</v>
      </c>
      <c r="DN481" s="424">
        <f t="shared" si="573"/>
        <v>0</v>
      </c>
      <c r="DO481" s="424">
        <f t="shared" si="573"/>
        <v>0</v>
      </c>
      <c r="DP481" s="424">
        <f t="shared" si="573"/>
        <v>0</v>
      </c>
      <c r="DQ481" s="424">
        <f t="shared" si="573"/>
        <v>0</v>
      </c>
      <c r="DR481" s="424">
        <f t="shared" si="573"/>
        <v>0</v>
      </c>
      <c r="DS481" s="424">
        <f t="shared" si="573"/>
        <v>0</v>
      </c>
      <c r="DT481" s="424">
        <f t="shared" si="573"/>
        <v>0</v>
      </c>
      <c r="DU481" s="424">
        <f t="shared" si="573"/>
        <v>0</v>
      </c>
      <c r="DV481" s="424">
        <f t="shared" si="573"/>
        <v>0</v>
      </c>
      <c r="DW481" s="424">
        <f t="shared" si="573"/>
        <v>0</v>
      </c>
      <c r="DX481" s="424">
        <f t="shared" si="573"/>
        <v>0</v>
      </c>
      <c r="DY481" s="424">
        <f t="shared" si="573"/>
        <v>0</v>
      </c>
      <c r="DZ481" s="424">
        <f t="shared" si="573"/>
        <v>0</v>
      </c>
      <c r="EA481" s="424">
        <f t="shared" si="573"/>
        <v>0</v>
      </c>
      <c r="EB481" s="424">
        <f t="shared" si="573"/>
        <v>0</v>
      </c>
      <c r="EC481" s="424">
        <f t="shared" si="573"/>
        <v>0</v>
      </c>
      <c r="ED481" s="424">
        <f t="shared" si="573"/>
        <v>0</v>
      </c>
      <c r="EE481" s="424">
        <f t="shared" si="573"/>
        <v>0</v>
      </c>
      <c r="EF481" s="424">
        <f t="shared" si="573"/>
        <v>0</v>
      </c>
      <c r="EG481" s="424">
        <f t="shared" si="573"/>
        <v>0</v>
      </c>
      <c r="EH481" s="424">
        <f t="shared" ref="EH481:EX481" si="574">EH111*EH$372</f>
        <v>0</v>
      </c>
      <c r="EI481" s="424">
        <f t="shared" si="574"/>
        <v>0</v>
      </c>
      <c r="EJ481" s="424">
        <f t="shared" si="574"/>
        <v>0</v>
      </c>
      <c r="EK481" s="424">
        <f t="shared" si="574"/>
        <v>0</v>
      </c>
      <c r="EL481" s="424">
        <f t="shared" si="574"/>
        <v>0</v>
      </c>
      <c r="EM481" s="424">
        <f t="shared" si="574"/>
        <v>0</v>
      </c>
      <c r="EN481" s="424">
        <f t="shared" si="574"/>
        <v>0</v>
      </c>
      <c r="EO481" s="424">
        <f t="shared" si="574"/>
        <v>0</v>
      </c>
      <c r="EP481" s="424">
        <f t="shared" si="574"/>
        <v>0</v>
      </c>
      <c r="EQ481" s="424">
        <f t="shared" si="574"/>
        <v>0</v>
      </c>
      <c r="ER481" s="424">
        <f t="shared" si="574"/>
        <v>0</v>
      </c>
      <c r="ES481" s="424">
        <f t="shared" si="574"/>
        <v>0</v>
      </c>
      <c r="ET481" s="424">
        <f t="shared" si="574"/>
        <v>0</v>
      </c>
      <c r="EU481" s="424">
        <f t="shared" si="574"/>
        <v>0</v>
      </c>
      <c r="EV481" s="424">
        <f t="shared" si="574"/>
        <v>0</v>
      </c>
      <c r="EW481" s="424">
        <f t="shared" si="574"/>
        <v>0</v>
      </c>
      <c r="EX481" s="424">
        <f t="shared" si="574"/>
        <v>0</v>
      </c>
      <c r="EY481" s="425">
        <f t="shared" si="374"/>
        <v>19.170000000000002</v>
      </c>
      <c r="EZ481" s="616"/>
      <c r="FA481" s="616"/>
      <c r="FB481" s="616"/>
      <c r="FC481" s="616"/>
      <c r="FD481" s="616"/>
      <c r="FE481" s="616"/>
      <c r="FF481" s="616"/>
      <c r="FG481" s="616"/>
      <c r="FH481" s="616"/>
      <c r="FI481" s="616"/>
      <c r="FJ481" s="616"/>
    </row>
    <row r="482" spans="1:166" ht="14.7" customHeight="1" x14ac:dyDescent="0.25">
      <c r="A482" s="310">
        <v>108</v>
      </c>
      <c r="B482" s="311" t="str">
        <f t="shared" si="355"/>
        <v xml:space="preserve">Картофель, тушенный с луком и томатом в сметанном соусе </v>
      </c>
      <c r="C482" s="483">
        <f t="shared" si="363"/>
        <v>8.99</v>
      </c>
      <c r="D482" s="888"/>
      <c r="E482" s="888"/>
      <c r="F482" s="888"/>
      <c r="G482" s="889"/>
      <c r="H482" s="680">
        <f t="shared" si="356"/>
        <v>145</v>
      </c>
      <c r="I482" s="1209">
        <f t="shared" si="357"/>
        <v>0</v>
      </c>
      <c r="J482" s="424">
        <f t="shared" ref="J482:AO482" si="575">J112*J$372</f>
        <v>0</v>
      </c>
      <c r="K482" s="424">
        <f t="shared" si="575"/>
        <v>0</v>
      </c>
      <c r="L482" s="424">
        <f t="shared" si="575"/>
        <v>0</v>
      </c>
      <c r="M482" s="424">
        <f t="shared" si="575"/>
        <v>0</v>
      </c>
      <c r="N482" s="424">
        <f t="shared" si="575"/>
        <v>0</v>
      </c>
      <c r="O482" s="424">
        <f t="shared" si="575"/>
        <v>0</v>
      </c>
      <c r="P482" s="424">
        <f t="shared" si="575"/>
        <v>0</v>
      </c>
      <c r="Q482" s="424">
        <f t="shared" si="575"/>
        <v>0</v>
      </c>
      <c r="R482" s="424">
        <f t="shared" si="575"/>
        <v>0</v>
      </c>
      <c r="S482" s="424">
        <f t="shared" si="575"/>
        <v>0</v>
      </c>
      <c r="T482" s="424">
        <f t="shared" si="575"/>
        <v>0</v>
      </c>
      <c r="U482" s="424">
        <f t="shared" si="575"/>
        <v>0</v>
      </c>
      <c r="V482" s="424">
        <f t="shared" si="575"/>
        <v>0</v>
      </c>
      <c r="W482" s="424">
        <f t="shared" si="575"/>
        <v>0</v>
      </c>
      <c r="X482" s="424">
        <f t="shared" si="575"/>
        <v>0</v>
      </c>
      <c r="Y482" s="424">
        <f t="shared" si="575"/>
        <v>1.46</v>
      </c>
      <c r="Z482" s="424">
        <f t="shared" si="575"/>
        <v>0</v>
      </c>
      <c r="AA482" s="424">
        <f t="shared" si="575"/>
        <v>0</v>
      </c>
      <c r="AB482" s="424">
        <f t="shared" si="575"/>
        <v>0</v>
      </c>
      <c r="AC482" s="424">
        <f t="shared" si="575"/>
        <v>0</v>
      </c>
      <c r="AD482" s="424">
        <f t="shared" si="575"/>
        <v>0</v>
      </c>
      <c r="AE482" s="424">
        <f t="shared" si="575"/>
        <v>0</v>
      </c>
      <c r="AF482" s="424">
        <f t="shared" si="575"/>
        <v>0</v>
      </c>
      <c r="AG482" s="424">
        <f t="shared" si="575"/>
        <v>0</v>
      </c>
      <c r="AH482" s="424">
        <f t="shared" si="575"/>
        <v>4.95</v>
      </c>
      <c r="AI482" s="424">
        <f t="shared" si="575"/>
        <v>0</v>
      </c>
      <c r="AJ482" s="424">
        <f t="shared" si="575"/>
        <v>0</v>
      </c>
      <c r="AK482" s="424">
        <f t="shared" si="575"/>
        <v>1.2</v>
      </c>
      <c r="AL482" s="424">
        <f t="shared" si="575"/>
        <v>0</v>
      </c>
      <c r="AM482" s="424">
        <f t="shared" si="575"/>
        <v>0</v>
      </c>
      <c r="AN482" s="424">
        <f t="shared" si="575"/>
        <v>0</v>
      </c>
      <c r="AO482" s="424">
        <f t="shared" si="575"/>
        <v>0</v>
      </c>
      <c r="AP482" s="424">
        <f t="shared" ref="AP482:BU482" si="576">AP112*AP$372</f>
        <v>0</v>
      </c>
      <c r="AQ482" s="424">
        <f t="shared" si="576"/>
        <v>0</v>
      </c>
      <c r="AR482" s="424">
        <f t="shared" si="576"/>
        <v>0</v>
      </c>
      <c r="AS482" s="424">
        <f t="shared" si="576"/>
        <v>0</v>
      </c>
      <c r="AT482" s="424">
        <f t="shared" si="576"/>
        <v>0</v>
      </c>
      <c r="AU482" s="424">
        <f t="shared" si="576"/>
        <v>0</v>
      </c>
      <c r="AV482" s="424">
        <f t="shared" si="576"/>
        <v>0</v>
      </c>
      <c r="AW482" s="424">
        <f t="shared" si="576"/>
        <v>0</v>
      </c>
      <c r="AX482" s="424">
        <f t="shared" si="576"/>
        <v>0</v>
      </c>
      <c r="AY482" s="424">
        <f t="shared" si="576"/>
        <v>0</v>
      </c>
      <c r="AZ482" s="424">
        <f t="shared" si="576"/>
        <v>0</v>
      </c>
      <c r="BA482" s="424">
        <f t="shared" si="576"/>
        <v>0</v>
      </c>
      <c r="BB482" s="424">
        <f t="shared" si="576"/>
        <v>0</v>
      </c>
      <c r="BC482" s="424">
        <f t="shared" si="576"/>
        <v>0</v>
      </c>
      <c r="BD482" s="424">
        <f t="shared" si="576"/>
        <v>0</v>
      </c>
      <c r="BE482" s="424">
        <f t="shared" si="576"/>
        <v>0</v>
      </c>
      <c r="BF482" s="424">
        <f t="shared" si="576"/>
        <v>0</v>
      </c>
      <c r="BG482" s="424">
        <f t="shared" si="576"/>
        <v>0</v>
      </c>
      <c r="BH482" s="424">
        <f t="shared" si="576"/>
        <v>0</v>
      </c>
      <c r="BI482" s="424">
        <f t="shared" si="576"/>
        <v>0</v>
      </c>
      <c r="BJ482" s="424">
        <f t="shared" si="576"/>
        <v>0</v>
      </c>
      <c r="BK482" s="424">
        <f t="shared" si="576"/>
        <v>0</v>
      </c>
      <c r="BL482" s="424">
        <f t="shared" si="576"/>
        <v>0</v>
      </c>
      <c r="BM482" s="424">
        <f t="shared" si="576"/>
        <v>0</v>
      </c>
      <c r="BN482" s="424">
        <f t="shared" si="576"/>
        <v>0</v>
      </c>
      <c r="BO482" s="424">
        <f t="shared" si="576"/>
        <v>0</v>
      </c>
      <c r="BP482" s="424">
        <f t="shared" si="576"/>
        <v>0</v>
      </c>
      <c r="BQ482" s="424">
        <f t="shared" si="576"/>
        <v>0</v>
      </c>
      <c r="BR482" s="424">
        <f t="shared" si="576"/>
        <v>0</v>
      </c>
      <c r="BS482" s="424">
        <f t="shared" si="576"/>
        <v>7.0000000000000007E-2</v>
      </c>
      <c r="BT482" s="424">
        <f t="shared" si="576"/>
        <v>0</v>
      </c>
      <c r="BU482" s="424">
        <f t="shared" si="576"/>
        <v>0</v>
      </c>
      <c r="BV482" s="424">
        <f t="shared" ref="BV482:DA482" si="577">BV112*BV$372</f>
        <v>0</v>
      </c>
      <c r="BW482" s="424">
        <f t="shared" si="577"/>
        <v>0</v>
      </c>
      <c r="BX482" s="424">
        <f t="shared" si="577"/>
        <v>0</v>
      </c>
      <c r="BY482" s="424">
        <f t="shared" si="577"/>
        <v>0</v>
      </c>
      <c r="BZ482" s="424">
        <f t="shared" si="577"/>
        <v>0</v>
      </c>
      <c r="CA482" s="424">
        <f t="shared" si="577"/>
        <v>0</v>
      </c>
      <c r="CB482" s="424">
        <f t="shared" si="577"/>
        <v>0</v>
      </c>
      <c r="CC482" s="424">
        <f t="shared" si="577"/>
        <v>0</v>
      </c>
      <c r="CD482" s="424">
        <f t="shared" si="577"/>
        <v>0</v>
      </c>
      <c r="CE482" s="424">
        <f t="shared" si="577"/>
        <v>0</v>
      </c>
      <c r="CF482" s="424">
        <f t="shared" si="577"/>
        <v>0.72</v>
      </c>
      <c r="CG482" s="424">
        <f t="shared" si="577"/>
        <v>0</v>
      </c>
      <c r="CH482" s="424">
        <f t="shared" si="577"/>
        <v>0</v>
      </c>
      <c r="CI482" s="424">
        <f t="shared" si="577"/>
        <v>0</v>
      </c>
      <c r="CJ482" s="424">
        <f t="shared" si="577"/>
        <v>0</v>
      </c>
      <c r="CK482" s="424">
        <f t="shared" si="577"/>
        <v>0</v>
      </c>
      <c r="CL482" s="424">
        <f t="shared" si="577"/>
        <v>0</v>
      </c>
      <c r="CM482" s="424">
        <f t="shared" si="577"/>
        <v>0</v>
      </c>
      <c r="CN482" s="424">
        <f t="shared" si="577"/>
        <v>0</v>
      </c>
      <c r="CO482" s="424">
        <f t="shared" si="577"/>
        <v>0</v>
      </c>
      <c r="CP482" s="424">
        <f t="shared" si="577"/>
        <v>0</v>
      </c>
      <c r="CQ482" s="424">
        <f t="shared" si="577"/>
        <v>0</v>
      </c>
      <c r="CR482" s="424">
        <f t="shared" si="577"/>
        <v>0</v>
      </c>
      <c r="CS482" s="424">
        <f t="shared" si="577"/>
        <v>0.01</v>
      </c>
      <c r="CT482" s="424">
        <f t="shared" si="577"/>
        <v>0</v>
      </c>
      <c r="CU482" s="424">
        <f t="shared" si="577"/>
        <v>0</v>
      </c>
      <c r="CV482" s="424">
        <f t="shared" si="577"/>
        <v>0</v>
      </c>
      <c r="CW482" s="424">
        <f t="shared" si="577"/>
        <v>0</v>
      </c>
      <c r="CX482" s="424">
        <f t="shared" si="577"/>
        <v>0</v>
      </c>
      <c r="CY482" s="424">
        <f t="shared" si="577"/>
        <v>0</v>
      </c>
      <c r="CZ482" s="424">
        <f t="shared" si="577"/>
        <v>0</v>
      </c>
      <c r="DA482" s="424">
        <f t="shared" si="577"/>
        <v>0</v>
      </c>
      <c r="DB482" s="424">
        <f t="shared" ref="DB482:EG482" si="578">DB112*DB$372</f>
        <v>0</v>
      </c>
      <c r="DC482" s="424">
        <f t="shared" si="578"/>
        <v>0</v>
      </c>
      <c r="DD482" s="424">
        <f t="shared" si="578"/>
        <v>0</v>
      </c>
      <c r="DE482" s="424">
        <f t="shared" si="578"/>
        <v>0</v>
      </c>
      <c r="DF482" s="424">
        <f t="shared" si="578"/>
        <v>0.57999999999999996</v>
      </c>
      <c r="DG482" s="424">
        <f t="shared" si="578"/>
        <v>0</v>
      </c>
      <c r="DH482" s="424">
        <f t="shared" si="578"/>
        <v>0</v>
      </c>
      <c r="DI482" s="424">
        <f t="shared" si="578"/>
        <v>0</v>
      </c>
      <c r="DJ482" s="424">
        <f t="shared" si="578"/>
        <v>0</v>
      </c>
      <c r="DK482" s="424">
        <f t="shared" si="578"/>
        <v>0</v>
      </c>
      <c r="DL482" s="424">
        <f t="shared" si="578"/>
        <v>0</v>
      </c>
      <c r="DM482" s="424">
        <f t="shared" si="578"/>
        <v>0</v>
      </c>
      <c r="DN482" s="424">
        <f t="shared" si="578"/>
        <v>0</v>
      </c>
      <c r="DO482" s="424">
        <f t="shared" si="578"/>
        <v>0</v>
      </c>
      <c r="DP482" s="424">
        <f t="shared" si="578"/>
        <v>0</v>
      </c>
      <c r="DQ482" s="424">
        <f t="shared" si="578"/>
        <v>0</v>
      </c>
      <c r="DR482" s="424">
        <f t="shared" si="578"/>
        <v>0</v>
      </c>
      <c r="DS482" s="424">
        <f t="shared" si="578"/>
        <v>0</v>
      </c>
      <c r="DT482" s="424">
        <f t="shared" si="578"/>
        <v>0</v>
      </c>
      <c r="DU482" s="424">
        <f t="shared" si="578"/>
        <v>0</v>
      </c>
      <c r="DV482" s="424">
        <f t="shared" si="578"/>
        <v>0</v>
      </c>
      <c r="DW482" s="424">
        <f t="shared" si="578"/>
        <v>0</v>
      </c>
      <c r="DX482" s="424">
        <f t="shared" si="578"/>
        <v>0</v>
      </c>
      <c r="DY482" s="424">
        <f t="shared" si="578"/>
        <v>0</v>
      </c>
      <c r="DZ482" s="424">
        <f t="shared" si="578"/>
        <v>0</v>
      </c>
      <c r="EA482" s="424">
        <f t="shared" si="578"/>
        <v>0</v>
      </c>
      <c r="EB482" s="424">
        <f t="shared" si="578"/>
        <v>0</v>
      </c>
      <c r="EC482" s="424">
        <f t="shared" si="578"/>
        <v>0</v>
      </c>
      <c r="ED482" s="424">
        <f t="shared" si="578"/>
        <v>0</v>
      </c>
      <c r="EE482" s="424">
        <f t="shared" si="578"/>
        <v>0</v>
      </c>
      <c r="EF482" s="424">
        <f t="shared" si="578"/>
        <v>0</v>
      </c>
      <c r="EG482" s="424">
        <f t="shared" si="578"/>
        <v>0</v>
      </c>
      <c r="EH482" s="424">
        <f t="shared" ref="EH482:EX482" si="579">EH112*EH$372</f>
        <v>0</v>
      </c>
      <c r="EI482" s="424">
        <f t="shared" si="579"/>
        <v>0</v>
      </c>
      <c r="EJ482" s="424">
        <f t="shared" si="579"/>
        <v>0</v>
      </c>
      <c r="EK482" s="424">
        <f t="shared" si="579"/>
        <v>0</v>
      </c>
      <c r="EL482" s="424">
        <f t="shared" si="579"/>
        <v>0</v>
      </c>
      <c r="EM482" s="424">
        <f t="shared" si="579"/>
        <v>0</v>
      </c>
      <c r="EN482" s="424">
        <f t="shared" si="579"/>
        <v>0</v>
      </c>
      <c r="EO482" s="424">
        <f t="shared" si="579"/>
        <v>0</v>
      </c>
      <c r="EP482" s="424">
        <f t="shared" si="579"/>
        <v>0</v>
      </c>
      <c r="EQ482" s="424">
        <f t="shared" si="579"/>
        <v>0</v>
      </c>
      <c r="ER482" s="424">
        <f t="shared" si="579"/>
        <v>0</v>
      </c>
      <c r="ES482" s="424">
        <f t="shared" si="579"/>
        <v>0</v>
      </c>
      <c r="ET482" s="424">
        <f t="shared" si="579"/>
        <v>0</v>
      </c>
      <c r="EU482" s="424">
        <f t="shared" si="579"/>
        <v>0</v>
      </c>
      <c r="EV482" s="424">
        <f t="shared" si="579"/>
        <v>0</v>
      </c>
      <c r="EW482" s="424">
        <f t="shared" si="579"/>
        <v>0</v>
      </c>
      <c r="EX482" s="424">
        <f t="shared" si="579"/>
        <v>0</v>
      </c>
      <c r="EY482" s="425">
        <f t="shared" si="374"/>
        <v>8.99</v>
      </c>
    </row>
    <row r="483" spans="1:166" s="474" customFormat="1" ht="14.7" customHeight="1" x14ac:dyDescent="0.25">
      <c r="A483" s="310">
        <v>109</v>
      </c>
      <c r="B483" s="311" t="str">
        <f t="shared" si="355"/>
        <v>Картофель, жаренный брусочками, дольками и.т.д.</v>
      </c>
      <c r="C483" s="483">
        <f t="shared" si="363"/>
        <v>11.45</v>
      </c>
      <c r="D483" s="888"/>
      <c r="E483" s="888"/>
      <c r="F483" s="888"/>
      <c r="G483" s="889"/>
      <c r="H483" s="680">
        <f t="shared" si="356"/>
        <v>147</v>
      </c>
      <c r="I483" s="1209">
        <f t="shared" si="357"/>
        <v>0</v>
      </c>
      <c r="J483" s="424">
        <f t="shared" ref="J483:AO483" si="580">J113*J$372</f>
        <v>0</v>
      </c>
      <c r="K483" s="424">
        <f t="shared" si="580"/>
        <v>0</v>
      </c>
      <c r="L483" s="424">
        <f t="shared" si="580"/>
        <v>0</v>
      </c>
      <c r="M483" s="424">
        <f t="shared" si="580"/>
        <v>0</v>
      </c>
      <c r="N483" s="424">
        <f t="shared" si="580"/>
        <v>0</v>
      </c>
      <c r="O483" s="424">
        <f t="shared" si="580"/>
        <v>0</v>
      </c>
      <c r="P483" s="424">
        <f t="shared" si="580"/>
        <v>0</v>
      </c>
      <c r="Q483" s="424">
        <f t="shared" si="580"/>
        <v>0</v>
      </c>
      <c r="R483" s="424">
        <f t="shared" si="580"/>
        <v>0</v>
      </c>
      <c r="S483" s="424">
        <f t="shared" si="580"/>
        <v>0</v>
      </c>
      <c r="T483" s="424">
        <f t="shared" si="580"/>
        <v>0</v>
      </c>
      <c r="U483" s="424">
        <f t="shared" si="580"/>
        <v>0</v>
      </c>
      <c r="V483" s="424">
        <f t="shared" si="580"/>
        <v>0</v>
      </c>
      <c r="W483" s="424">
        <f t="shared" si="580"/>
        <v>0</v>
      </c>
      <c r="X483" s="424">
        <f t="shared" si="580"/>
        <v>0</v>
      </c>
      <c r="Y483" s="424">
        <f t="shared" si="580"/>
        <v>0</v>
      </c>
      <c r="Z483" s="424">
        <f t="shared" si="580"/>
        <v>0</v>
      </c>
      <c r="AA483" s="424">
        <f t="shared" si="580"/>
        <v>0</v>
      </c>
      <c r="AB483" s="424">
        <f t="shared" si="580"/>
        <v>0</v>
      </c>
      <c r="AC483" s="424">
        <f t="shared" si="580"/>
        <v>0</v>
      </c>
      <c r="AD483" s="424">
        <f t="shared" si="580"/>
        <v>0</v>
      </c>
      <c r="AE483" s="424">
        <f t="shared" si="580"/>
        <v>0</v>
      </c>
      <c r="AF483" s="424">
        <f t="shared" si="580"/>
        <v>0</v>
      </c>
      <c r="AG483" s="424">
        <f t="shared" si="580"/>
        <v>0</v>
      </c>
      <c r="AH483" s="424">
        <f t="shared" si="580"/>
        <v>9.65</v>
      </c>
      <c r="AI483" s="424">
        <f t="shared" si="580"/>
        <v>0</v>
      </c>
      <c r="AJ483" s="424">
        <f t="shared" si="580"/>
        <v>0</v>
      </c>
      <c r="AK483" s="424">
        <f t="shared" si="580"/>
        <v>0</v>
      </c>
      <c r="AL483" s="424">
        <f t="shared" si="580"/>
        <v>0</v>
      </c>
      <c r="AM483" s="424">
        <f t="shared" si="580"/>
        <v>0</v>
      </c>
      <c r="AN483" s="424">
        <f t="shared" si="580"/>
        <v>0</v>
      </c>
      <c r="AO483" s="424">
        <f t="shared" si="580"/>
        <v>0</v>
      </c>
      <c r="AP483" s="424">
        <f t="shared" ref="AP483:BU483" si="581">AP113*AP$372</f>
        <v>0</v>
      </c>
      <c r="AQ483" s="424">
        <f t="shared" si="581"/>
        <v>0</v>
      </c>
      <c r="AR483" s="424">
        <f t="shared" si="581"/>
        <v>0</v>
      </c>
      <c r="AS483" s="424">
        <f t="shared" si="581"/>
        <v>0</v>
      </c>
      <c r="AT483" s="424">
        <f t="shared" si="581"/>
        <v>0</v>
      </c>
      <c r="AU483" s="424">
        <f t="shared" si="581"/>
        <v>0.6</v>
      </c>
      <c r="AV483" s="424">
        <f t="shared" si="581"/>
        <v>0</v>
      </c>
      <c r="AW483" s="424">
        <f t="shared" si="581"/>
        <v>0</v>
      </c>
      <c r="AX483" s="424">
        <f t="shared" si="581"/>
        <v>0</v>
      </c>
      <c r="AY483" s="424">
        <f t="shared" si="581"/>
        <v>0</v>
      </c>
      <c r="AZ483" s="424">
        <f t="shared" si="581"/>
        <v>0</v>
      </c>
      <c r="BA483" s="424">
        <f t="shared" si="581"/>
        <v>0</v>
      </c>
      <c r="BB483" s="424">
        <f t="shared" si="581"/>
        <v>0</v>
      </c>
      <c r="BC483" s="424">
        <f t="shared" si="581"/>
        <v>0</v>
      </c>
      <c r="BD483" s="424">
        <f t="shared" si="581"/>
        <v>0</v>
      </c>
      <c r="BE483" s="424">
        <f t="shared" si="581"/>
        <v>0</v>
      </c>
      <c r="BF483" s="424">
        <f t="shared" si="581"/>
        <v>0</v>
      </c>
      <c r="BG483" s="424">
        <f t="shared" si="581"/>
        <v>0</v>
      </c>
      <c r="BH483" s="424">
        <f t="shared" si="581"/>
        <v>0</v>
      </c>
      <c r="BI483" s="424">
        <f t="shared" si="581"/>
        <v>0</v>
      </c>
      <c r="BJ483" s="424">
        <f t="shared" si="581"/>
        <v>0</v>
      </c>
      <c r="BK483" s="424">
        <f t="shared" si="581"/>
        <v>0</v>
      </c>
      <c r="BL483" s="424">
        <f t="shared" si="581"/>
        <v>0</v>
      </c>
      <c r="BM483" s="424">
        <f t="shared" si="581"/>
        <v>0</v>
      </c>
      <c r="BN483" s="424">
        <f t="shared" si="581"/>
        <v>0</v>
      </c>
      <c r="BO483" s="424">
        <f t="shared" si="581"/>
        <v>0</v>
      </c>
      <c r="BP483" s="424">
        <f t="shared" si="581"/>
        <v>0</v>
      </c>
      <c r="BQ483" s="424">
        <f t="shared" si="581"/>
        <v>0</v>
      </c>
      <c r="BR483" s="424">
        <f t="shared" si="581"/>
        <v>0</v>
      </c>
      <c r="BS483" s="424">
        <f t="shared" si="581"/>
        <v>0</v>
      </c>
      <c r="BT483" s="424">
        <f t="shared" si="581"/>
        <v>0</v>
      </c>
      <c r="BU483" s="424">
        <f t="shared" si="581"/>
        <v>0</v>
      </c>
      <c r="BV483" s="424">
        <f t="shared" ref="BV483:DA483" si="582">BV113*BV$372</f>
        <v>0</v>
      </c>
      <c r="BW483" s="424">
        <f t="shared" si="582"/>
        <v>0</v>
      </c>
      <c r="BX483" s="424">
        <f t="shared" si="582"/>
        <v>0</v>
      </c>
      <c r="BY483" s="424">
        <f t="shared" si="582"/>
        <v>0</v>
      </c>
      <c r="BZ483" s="424">
        <f t="shared" si="582"/>
        <v>0</v>
      </c>
      <c r="CA483" s="424">
        <f t="shared" si="582"/>
        <v>0</v>
      </c>
      <c r="CB483" s="424">
        <f t="shared" si="582"/>
        <v>0</v>
      </c>
      <c r="CC483" s="424">
        <f t="shared" si="582"/>
        <v>0</v>
      </c>
      <c r="CD483" s="424">
        <f t="shared" si="582"/>
        <v>0</v>
      </c>
      <c r="CE483" s="424">
        <f t="shared" si="582"/>
        <v>0</v>
      </c>
      <c r="CF483" s="424">
        <f t="shared" si="582"/>
        <v>1.2</v>
      </c>
      <c r="CG483" s="424">
        <f t="shared" si="582"/>
        <v>0</v>
      </c>
      <c r="CH483" s="424">
        <f t="shared" si="582"/>
        <v>0</v>
      </c>
      <c r="CI483" s="424">
        <f t="shared" si="582"/>
        <v>0</v>
      </c>
      <c r="CJ483" s="424">
        <f t="shared" si="582"/>
        <v>0</v>
      </c>
      <c r="CK483" s="424">
        <f t="shared" si="582"/>
        <v>0</v>
      </c>
      <c r="CL483" s="424">
        <f t="shared" si="582"/>
        <v>0</v>
      </c>
      <c r="CM483" s="424">
        <f t="shared" si="582"/>
        <v>0</v>
      </c>
      <c r="CN483" s="424">
        <f t="shared" si="582"/>
        <v>0</v>
      </c>
      <c r="CO483" s="424">
        <f t="shared" si="582"/>
        <v>0</v>
      </c>
      <c r="CP483" s="424">
        <f t="shared" si="582"/>
        <v>0</v>
      </c>
      <c r="CQ483" s="424">
        <f t="shared" si="582"/>
        <v>0</v>
      </c>
      <c r="CR483" s="424">
        <f t="shared" si="582"/>
        <v>0</v>
      </c>
      <c r="CS483" s="424">
        <f t="shared" si="582"/>
        <v>0</v>
      </c>
      <c r="CT483" s="424">
        <f t="shared" si="582"/>
        <v>0</v>
      </c>
      <c r="CU483" s="424">
        <f t="shared" si="582"/>
        <v>0</v>
      </c>
      <c r="CV483" s="424">
        <f t="shared" si="582"/>
        <v>0</v>
      </c>
      <c r="CW483" s="424">
        <f t="shared" si="582"/>
        <v>0</v>
      </c>
      <c r="CX483" s="424">
        <f t="shared" si="582"/>
        <v>0</v>
      </c>
      <c r="CY483" s="424">
        <f t="shared" si="582"/>
        <v>0</v>
      </c>
      <c r="CZ483" s="424">
        <f t="shared" si="582"/>
        <v>0</v>
      </c>
      <c r="DA483" s="424">
        <f t="shared" si="582"/>
        <v>0</v>
      </c>
      <c r="DB483" s="424">
        <f t="shared" ref="DB483:EG483" si="583">DB113*DB$372</f>
        <v>0</v>
      </c>
      <c r="DC483" s="424">
        <f t="shared" si="583"/>
        <v>0</v>
      </c>
      <c r="DD483" s="424">
        <f t="shared" si="583"/>
        <v>0</v>
      </c>
      <c r="DE483" s="424">
        <f t="shared" si="583"/>
        <v>0</v>
      </c>
      <c r="DF483" s="424">
        <f t="shared" si="583"/>
        <v>0</v>
      </c>
      <c r="DG483" s="424">
        <f t="shared" si="583"/>
        <v>0</v>
      </c>
      <c r="DH483" s="424">
        <f t="shared" si="583"/>
        <v>0</v>
      </c>
      <c r="DI483" s="424">
        <f t="shared" si="583"/>
        <v>0</v>
      </c>
      <c r="DJ483" s="424">
        <f t="shared" si="583"/>
        <v>0</v>
      </c>
      <c r="DK483" s="424">
        <f t="shared" si="583"/>
        <v>0</v>
      </c>
      <c r="DL483" s="424">
        <f t="shared" si="583"/>
        <v>0</v>
      </c>
      <c r="DM483" s="424">
        <f t="shared" si="583"/>
        <v>0</v>
      </c>
      <c r="DN483" s="424">
        <f t="shared" si="583"/>
        <v>0</v>
      </c>
      <c r="DO483" s="424">
        <f t="shared" si="583"/>
        <v>0</v>
      </c>
      <c r="DP483" s="424">
        <f t="shared" si="583"/>
        <v>0</v>
      </c>
      <c r="DQ483" s="424">
        <f t="shared" si="583"/>
        <v>0</v>
      </c>
      <c r="DR483" s="424">
        <f t="shared" si="583"/>
        <v>0</v>
      </c>
      <c r="DS483" s="424">
        <f t="shared" si="583"/>
        <v>0</v>
      </c>
      <c r="DT483" s="424">
        <f t="shared" si="583"/>
        <v>0</v>
      </c>
      <c r="DU483" s="424">
        <f t="shared" si="583"/>
        <v>0</v>
      </c>
      <c r="DV483" s="424">
        <f t="shared" si="583"/>
        <v>0</v>
      </c>
      <c r="DW483" s="424">
        <f t="shared" si="583"/>
        <v>0</v>
      </c>
      <c r="DX483" s="424">
        <f t="shared" si="583"/>
        <v>0</v>
      </c>
      <c r="DY483" s="424">
        <f t="shared" si="583"/>
        <v>0</v>
      </c>
      <c r="DZ483" s="424">
        <f t="shared" si="583"/>
        <v>0</v>
      </c>
      <c r="EA483" s="424">
        <f t="shared" si="583"/>
        <v>0</v>
      </c>
      <c r="EB483" s="424">
        <f t="shared" si="583"/>
        <v>0</v>
      </c>
      <c r="EC483" s="424">
        <f t="shared" si="583"/>
        <v>0</v>
      </c>
      <c r="ED483" s="424">
        <f t="shared" si="583"/>
        <v>0</v>
      </c>
      <c r="EE483" s="424">
        <f t="shared" si="583"/>
        <v>0</v>
      </c>
      <c r="EF483" s="424">
        <f t="shared" si="583"/>
        <v>0</v>
      </c>
      <c r="EG483" s="424">
        <f t="shared" si="583"/>
        <v>0</v>
      </c>
      <c r="EH483" s="424">
        <f t="shared" ref="EH483:EX483" si="584">EH113*EH$372</f>
        <v>0</v>
      </c>
      <c r="EI483" s="424">
        <f t="shared" si="584"/>
        <v>0</v>
      </c>
      <c r="EJ483" s="424">
        <f t="shared" si="584"/>
        <v>0</v>
      </c>
      <c r="EK483" s="424">
        <f t="shared" si="584"/>
        <v>0</v>
      </c>
      <c r="EL483" s="424">
        <f t="shared" si="584"/>
        <v>0</v>
      </c>
      <c r="EM483" s="424">
        <f t="shared" si="584"/>
        <v>0</v>
      </c>
      <c r="EN483" s="424">
        <f t="shared" si="584"/>
        <v>0</v>
      </c>
      <c r="EO483" s="424">
        <f t="shared" si="584"/>
        <v>0</v>
      </c>
      <c r="EP483" s="424">
        <f t="shared" si="584"/>
        <v>0</v>
      </c>
      <c r="EQ483" s="424">
        <f t="shared" si="584"/>
        <v>0</v>
      </c>
      <c r="ER483" s="424">
        <f t="shared" si="584"/>
        <v>0</v>
      </c>
      <c r="ES483" s="424">
        <f t="shared" si="584"/>
        <v>0</v>
      </c>
      <c r="ET483" s="424">
        <f t="shared" si="584"/>
        <v>0</v>
      </c>
      <c r="EU483" s="424">
        <f t="shared" si="584"/>
        <v>0</v>
      </c>
      <c r="EV483" s="424">
        <f t="shared" si="584"/>
        <v>0</v>
      </c>
      <c r="EW483" s="424">
        <f t="shared" si="584"/>
        <v>0</v>
      </c>
      <c r="EX483" s="424">
        <f t="shared" si="584"/>
        <v>0</v>
      </c>
      <c r="EY483" s="425">
        <f t="shared" si="374"/>
        <v>11.45</v>
      </c>
      <c r="EZ483" s="616"/>
      <c r="FA483" s="616"/>
      <c r="FB483" s="616"/>
      <c r="FC483" s="616"/>
      <c r="FD483" s="616"/>
      <c r="FE483" s="616"/>
      <c r="FF483" s="616"/>
      <c r="FG483" s="616"/>
      <c r="FH483" s="616"/>
      <c r="FI483" s="616"/>
      <c r="FJ483" s="616"/>
    </row>
    <row r="484" spans="1:166" ht="14.7" customHeight="1" x14ac:dyDescent="0.25">
      <c r="A484" s="310">
        <v>110</v>
      </c>
      <c r="B484" s="311" t="str">
        <f t="shared" si="355"/>
        <v>Голубцы овощные с соусом сметанным и томатом</v>
      </c>
      <c r="C484" s="483">
        <f t="shared" si="363"/>
        <v>12.63</v>
      </c>
      <c r="D484" s="888"/>
      <c r="E484" s="888"/>
      <c r="F484" s="888"/>
      <c r="G484" s="889"/>
      <c r="H484" s="680">
        <f t="shared" si="356"/>
        <v>167</v>
      </c>
      <c r="I484" s="1209">
        <f t="shared" si="357"/>
        <v>-0.01</v>
      </c>
      <c r="J484" s="424">
        <f t="shared" ref="J484:AO484" si="585">J114*J$372</f>
        <v>0</v>
      </c>
      <c r="K484" s="424">
        <f t="shared" si="585"/>
        <v>0</v>
      </c>
      <c r="L484" s="424">
        <f t="shared" si="585"/>
        <v>0</v>
      </c>
      <c r="M484" s="424">
        <f t="shared" si="585"/>
        <v>0</v>
      </c>
      <c r="N484" s="424">
        <f t="shared" si="585"/>
        <v>0</v>
      </c>
      <c r="O484" s="424">
        <f t="shared" si="585"/>
        <v>0</v>
      </c>
      <c r="P484" s="424">
        <f t="shared" si="585"/>
        <v>0</v>
      </c>
      <c r="Q484" s="424">
        <f t="shared" si="585"/>
        <v>0</v>
      </c>
      <c r="R484" s="424">
        <f t="shared" si="585"/>
        <v>0</v>
      </c>
      <c r="S484" s="424">
        <f t="shared" si="585"/>
        <v>0</v>
      </c>
      <c r="T484" s="424">
        <f t="shared" si="585"/>
        <v>0</v>
      </c>
      <c r="U484" s="424">
        <f t="shared" si="585"/>
        <v>0</v>
      </c>
      <c r="V484" s="424">
        <f t="shared" si="585"/>
        <v>0</v>
      </c>
      <c r="W484" s="424">
        <f t="shared" si="585"/>
        <v>0</v>
      </c>
      <c r="X484" s="424">
        <f t="shared" si="585"/>
        <v>0</v>
      </c>
      <c r="Y484" s="424">
        <f t="shared" si="585"/>
        <v>2.93</v>
      </c>
      <c r="Z484" s="424">
        <f t="shared" si="585"/>
        <v>0</v>
      </c>
      <c r="AA484" s="424">
        <f t="shared" si="585"/>
        <v>0</v>
      </c>
      <c r="AB484" s="424">
        <f t="shared" si="585"/>
        <v>0</v>
      </c>
      <c r="AC484" s="424">
        <f t="shared" si="585"/>
        <v>0</v>
      </c>
      <c r="AD484" s="424">
        <f t="shared" si="585"/>
        <v>0</v>
      </c>
      <c r="AE484" s="424">
        <f t="shared" si="585"/>
        <v>0</v>
      </c>
      <c r="AF484" s="424">
        <f t="shared" si="585"/>
        <v>5.04</v>
      </c>
      <c r="AG484" s="424">
        <f t="shared" si="585"/>
        <v>0</v>
      </c>
      <c r="AH484" s="424">
        <f t="shared" si="585"/>
        <v>0</v>
      </c>
      <c r="AI484" s="424">
        <f t="shared" si="585"/>
        <v>0</v>
      </c>
      <c r="AJ484" s="424">
        <f t="shared" si="585"/>
        <v>0</v>
      </c>
      <c r="AK484" s="424">
        <f t="shared" si="585"/>
        <v>0.9</v>
      </c>
      <c r="AL484" s="424">
        <f t="shared" si="585"/>
        <v>0</v>
      </c>
      <c r="AM484" s="424">
        <f t="shared" si="585"/>
        <v>0</v>
      </c>
      <c r="AN484" s="424">
        <f t="shared" si="585"/>
        <v>0</v>
      </c>
      <c r="AO484" s="424">
        <f t="shared" si="585"/>
        <v>0</v>
      </c>
      <c r="AP484" s="424">
        <f t="shared" ref="AP484:BU484" si="586">AP114*AP$372</f>
        <v>0</v>
      </c>
      <c r="AQ484" s="424">
        <f t="shared" si="586"/>
        <v>0.7</v>
      </c>
      <c r="AR484" s="424">
        <f t="shared" si="586"/>
        <v>0</v>
      </c>
      <c r="AS484" s="424">
        <f t="shared" si="586"/>
        <v>0</v>
      </c>
      <c r="AT484" s="424">
        <f t="shared" si="586"/>
        <v>0</v>
      </c>
      <c r="AU484" s="424">
        <f t="shared" si="586"/>
        <v>0.45</v>
      </c>
      <c r="AV484" s="424">
        <f t="shared" si="586"/>
        <v>0</v>
      </c>
      <c r="AW484" s="424">
        <f t="shared" si="586"/>
        <v>0</v>
      </c>
      <c r="AX484" s="424">
        <f t="shared" si="586"/>
        <v>0</v>
      </c>
      <c r="AY484" s="424">
        <f t="shared" si="586"/>
        <v>0</v>
      </c>
      <c r="AZ484" s="424">
        <f t="shared" si="586"/>
        <v>0</v>
      </c>
      <c r="BA484" s="424">
        <f t="shared" si="586"/>
        <v>0</v>
      </c>
      <c r="BB484" s="424">
        <f t="shared" si="586"/>
        <v>0</v>
      </c>
      <c r="BC484" s="424">
        <f t="shared" si="586"/>
        <v>0</v>
      </c>
      <c r="BD484" s="424">
        <f t="shared" si="586"/>
        <v>0</v>
      </c>
      <c r="BE484" s="424">
        <f t="shared" si="586"/>
        <v>0</v>
      </c>
      <c r="BF484" s="424">
        <f t="shared" si="586"/>
        <v>0</v>
      </c>
      <c r="BG484" s="424">
        <f t="shared" si="586"/>
        <v>0</v>
      </c>
      <c r="BH484" s="424">
        <f t="shared" si="586"/>
        <v>0</v>
      </c>
      <c r="BI484" s="424">
        <f t="shared" si="586"/>
        <v>0</v>
      </c>
      <c r="BJ484" s="424">
        <f t="shared" si="586"/>
        <v>0</v>
      </c>
      <c r="BK484" s="424">
        <f t="shared" si="586"/>
        <v>0</v>
      </c>
      <c r="BL484" s="424">
        <f t="shared" si="586"/>
        <v>0</v>
      </c>
      <c r="BM484" s="424">
        <f t="shared" si="586"/>
        <v>0</v>
      </c>
      <c r="BN484" s="424">
        <f t="shared" si="586"/>
        <v>0</v>
      </c>
      <c r="BO484" s="424">
        <f t="shared" si="586"/>
        <v>0</v>
      </c>
      <c r="BP484" s="424">
        <f t="shared" si="586"/>
        <v>0</v>
      </c>
      <c r="BQ484" s="424">
        <f t="shared" si="586"/>
        <v>0</v>
      </c>
      <c r="BR484" s="424">
        <f t="shared" si="586"/>
        <v>0</v>
      </c>
      <c r="BS484" s="424">
        <f t="shared" si="586"/>
        <v>0.14000000000000001</v>
      </c>
      <c r="BT484" s="424">
        <f t="shared" si="586"/>
        <v>0</v>
      </c>
      <c r="BU484" s="424">
        <f t="shared" si="586"/>
        <v>0</v>
      </c>
      <c r="BV484" s="424">
        <f t="shared" ref="BV484:DA484" si="587">BV114*BV$372</f>
        <v>0</v>
      </c>
      <c r="BW484" s="424">
        <f t="shared" si="587"/>
        <v>0</v>
      </c>
      <c r="BX484" s="424">
        <f t="shared" si="587"/>
        <v>0</v>
      </c>
      <c r="BY484" s="424">
        <f t="shared" si="587"/>
        <v>0</v>
      </c>
      <c r="BZ484" s="424">
        <f t="shared" si="587"/>
        <v>0</v>
      </c>
      <c r="CA484" s="424">
        <f t="shared" si="587"/>
        <v>0</v>
      </c>
      <c r="CB484" s="424">
        <f t="shared" si="587"/>
        <v>0.59</v>
      </c>
      <c r="CC484" s="424">
        <f t="shared" si="587"/>
        <v>0</v>
      </c>
      <c r="CD484" s="424">
        <f t="shared" si="587"/>
        <v>0</v>
      </c>
      <c r="CE484" s="424">
        <f t="shared" si="587"/>
        <v>0</v>
      </c>
      <c r="CF484" s="424">
        <f t="shared" si="587"/>
        <v>0.72</v>
      </c>
      <c r="CG484" s="424">
        <f t="shared" si="587"/>
        <v>0</v>
      </c>
      <c r="CH484" s="424">
        <f t="shared" si="587"/>
        <v>0</v>
      </c>
      <c r="CI484" s="424">
        <f t="shared" si="587"/>
        <v>0</v>
      </c>
      <c r="CJ484" s="424">
        <f t="shared" si="587"/>
        <v>0</v>
      </c>
      <c r="CK484" s="424">
        <f t="shared" si="587"/>
        <v>0</v>
      </c>
      <c r="CL484" s="424">
        <f t="shared" si="587"/>
        <v>0</v>
      </c>
      <c r="CM484" s="424">
        <f t="shared" si="587"/>
        <v>0</v>
      </c>
      <c r="CN484" s="424">
        <f t="shared" si="587"/>
        <v>0</v>
      </c>
      <c r="CO484" s="424">
        <f t="shared" si="587"/>
        <v>0</v>
      </c>
      <c r="CP484" s="424">
        <f t="shared" si="587"/>
        <v>0</v>
      </c>
      <c r="CQ484" s="424">
        <f t="shared" si="587"/>
        <v>0</v>
      </c>
      <c r="CR484" s="424">
        <f t="shared" si="587"/>
        <v>0</v>
      </c>
      <c r="CS484" s="424">
        <f t="shared" si="587"/>
        <v>0</v>
      </c>
      <c r="CT484" s="424">
        <f t="shared" si="587"/>
        <v>0</v>
      </c>
      <c r="CU484" s="424">
        <f t="shared" si="587"/>
        <v>0</v>
      </c>
      <c r="CV484" s="424">
        <f t="shared" si="587"/>
        <v>0</v>
      </c>
      <c r="CW484" s="424">
        <f t="shared" si="587"/>
        <v>0</v>
      </c>
      <c r="CX484" s="424">
        <f t="shared" si="587"/>
        <v>0</v>
      </c>
      <c r="CY484" s="424">
        <f t="shared" si="587"/>
        <v>0</v>
      </c>
      <c r="CZ484" s="424">
        <f t="shared" si="587"/>
        <v>0</v>
      </c>
      <c r="DA484" s="424">
        <f t="shared" si="587"/>
        <v>0</v>
      </c>
      <c r="DB484" s="424">
        <f t="shared" ref="DB484:EG484" si="588">DB114*DB$372</f>
        <v>0</v>
      </c>
      <c r="DC484" s="424">
        <f t="shared" si="588"/>
        <v>0.01</v>
      </c>
      <c r="DD484" s="424">
        <f t="shared" si="588"/>
        <v>0</v>
      </c>
      <c r="DE484" s="424">
        <f t="shared" si="588"/>
        <v>0</v>
      </c>
      <c r="DF484" s="424">
        <f t="shared" si="588"/>
        <v>1.1499999999999999</v>
      </c>
      <c r="DG484" s="424">
        <f t="shared" si="588"/>
        <v>0</v>
      </c>
      <c r="DH484" s="424">
        <f t="shared" si="588"/>
        <v>0</v>
      </c>
      <c r="DI484" s="424">
        <f t="shared" si="588"/>
        <v>0</v>
      </c>
      <c r="DJ484" s="424">
        <f t="shared" si="588"/>
        <v>0</v>
      </c>
      <c r="DK484" s="424">
        <f t="shared" si="588"/>
        <v>0</v>
      </c>
      <c r="DL484" s="424">
        <f t="shared" si="588"/>
        <v>0</v>
      </c>
      <c r="DM484" s="424">
        <f t="shared" si="588"/>
        <v>0</v>
      </c>
      <c r="DN484" s="424">
        <f t="shared" si="588"/>
        <v>0</v>
      </c>
      <c r="DO484" s="424">
        <f t="shared" si="588"/>
        <v>0</v>
      </c>
      <c r="DP484" s="424">
        <f t="shared" si="588"/>
        <v>0</v>
      </c>
      <c r="DQ484" s="424">
        <f t="shared" si="588"/>
        <v>0</v>
      </c>
      <c r="DR484" s="424">
        <f t="shared" si="588"/>
        <v>0</v>
      </c>
      <c r="DS484" s="424">
        <f t="shared" si="588"/>
        <v>0</v>
      </c>
      <c r="DT484" s="424">
        <f t="shared" si="588"/>
        <v>0</v>
      </c>
      <c r="DU484" s="424">
        <f t="shared" si="588"/>
        <v>0</v>
      </c>
      <c r="DV484" s="424">
        <f t="shared" si="588"/>
        <v>0</v>
      </c>
      <c r="DW484" s="424">
        <f t="shared" si="588"/>
        <v>0</v>
      </c>
      <c r="DX484" s="424">
        <f t="shared" si="588"/>
        <v>0</v>
      </c>
      <c r="DY484" s="424">
        <f t="shared" si="588"/>
        <v>0</v>
      </c>
      <c r="DZ484" s="424">
        <f t="shared" si="588"/>
        <v>0</v>
      </c>
      <c r="EA484" s="424">
        <f t="shared" si="588"/>
        <v>0</v>
      </c>
      <c r="EB484" s="424">
        <f t="shared" si="588"/>
        <v>0</v>
      </c>
      <c r="EC484" s="424">
        <f t="shared" si="588"/>
        <v>0</v>
      </c>
      <c r="ED484" s="424">
        <f t="shared" si="588"/>
        <v>0</v>
      </c>
      <c r="EE484" s="424">
        <f t="shared" si="588"/>
        <v>0</v>
      </c>
      <c r="EF484" s="424">
        <f t="shared" si="588"/>
        <v>0</v>
      </c>
      <c r="EG484" s="424">
        <f t="shared" si="588"/>
        <v>0</v>
      </c>
      <c r="EH484" s="424">
        <f t="shared" ref="EH484:EX484" si="589">EH114*EH$372</f>
        <v>0</v>
      </c>
      <c r="EI484" s="424">
        <f t="shared" si="589"/>
        <v>0</v>
      </c>
      <c r="EJ484" s="424">
        <f t="shared" si="589"/>
        <v>0</v>
      </c>
      <c r="EK484" s="424">
        <f t="shared" si="589"/>
        <v>0</v>
      </c>
      <c r="EL484" s="424">
        <f t="shared" si="589"/>
        <v>0</v>
      </c>
      <c r="EM484" s="424">
        <f t="shared" si="589"/>
        <v>0</v>
      </c>
      <c r="EN484" s="424">
        <f t="shared" si="589"/>
        <v>0</v>
      </c>
      <c r="EO484" s="424">
        <f t="shared" si="589"/>
        <v>0</v>
      </c>
      <c r="EP484" s="424">
        <f t="shared" si="589"/>
        <v>0</v>
      </c>
      <c r="EQ484" s="424">
        <f t="shared" si="589"/>
        <v>0</v>
      </c>
      <c r="ER484" s="424">
        <f t="shared" si="589"/>
        <v>0</v>
      </c>
      <c r="ES484" s="424">
        <f t="shared" si="589"/>
        <v>0</v>
      </c>
      <c r="ET484" s="424">
        <f t="shared" si="589"/>
        <v>0</v>
      </c>
      <c r="EU484" s="424">
        <f t="shared" si="589"/>
        <v>0</v>
      </c>
      <c r="EV484" s="424">
        <f t="shared" si="589"/>
        <v>0</v>
      </c>
      <c r="EW484" s="424">
        <f t="shared" si="589"/>
        <v>0</v>
      </c>
      <c r="EX484" s="424">
        <f t="shared" si="589"/>
        <v>0</v>
      </c>
      <c r="EY484" s="425">
        <f t="shared" si="374"/>
        <v>12.63</v>
      </c>
    </row>
    <row r="485" spans="1:166" s="474" customFormat="1" ht="28.95" customHeight="1" x14ac:dyDescent="0.25">
      <c r="A485" s="310">
        <v>111</v>
      </c>
      <c r="B485" s="311" t="str">
        <f t="shared" si="355"/>
        <v>Перец, фаршированный овощами и рисомс соусом сметанныи и томатом</v>
      </c>
      <c r="C485" s="483">
        <f t="shared" si="363"/>
        <v>28.08</v>
      </c>
      <c r="D485" s="888"/>
      <c r="E485" s="888"/>
      <c r="F485" s="888"/>
      <c r="G485" s="889"/>
      <c r="H485" s="680">
        <f t="shared" si="356"/>
        <v>168</v>
      </c>
      <c r="I485" s="1209">
        <f t="shared" si="357"/>
        <v>0</v>
      </c>
      <c r="J485" s="424">
        <f t="shared" ref="J485:AO485" si="590">J115*J$372</f>
        <v>0</v>
      </c>
      <c r="K485" s="424">
        <f t="shared" si="590"/>
        <v>0</v>
      </c>
      <c r="L485" s="424">
        <f t="shared" si="590"/>
        <v>0</v>
      </c>
      <c r="M485" s="424">
        <f t="shared" si="590"/>
        <v>0</v>
      </c>
      <c r="N485" s="424">
        <f t="shared" si="590"/>
        <v>0</v>
      </c>
      <c r="O485" s="424">
        <f t="shared" si="590"/>
        <v>0</v>
      </c>
      <c r="P485" s="424">
        <f t="shared" si="590"/>
        <v>0</v>
      </c>
      <c r="Q485" s="424">
        <f t="shared" si="590"/>
        <v>0</v>
      </c>
      <c r="R485" s="424">
        <f t="shared" si="590"/>
        <v>0</v>
      </c>
      <c r="S485" s="424">
        <f t="shared" si="590"/>
        <v>0</v>
      </c>
      <c r="T485" s="424">
        <f t="shared" si="590"/>
        <v>0</v>
      </c>
      <c r="U485" s="424">
        <f t="shared" si="590"/>
        <v>0</v>
      </c>
      <c r="V485" s="424">
        <f t="shared" si="590"/>
        <v>0</v>
      </c>
      <c r="W485" s="424">
        <f t="shared" si="590"/>
        <v>0</v>
      </c>
      <c r="X485" s="424">
        <f t="shared" si="590"/>
        <v>0</v>
      </c>
      <c r="Y485" s="424">
        <f t="shared" si="590"/>
        <v>2.34</v>
      </c>
      <c r="Z485" s="424">
        <f t="shared" si="590"/>
        <v>0</v>
      </c>
      <c r="AA485" s="424">
        <f t="shared" si="590"/>
        <v>0</v>
      </c>
      <c r="AB485" s="424">
        <f t="shared" si="590"/>
        <v>0</v>
      </c>
      <c r="AC485" s="424">
        <f t="shared" si="590"/>
        <v>0</v>
      </c>
      <c r="AD485" s="424">
        <f t="shared" si="590"/>
        <v>0</v>
      </c>
      <c r="AE485" s="424">
        <f t="shared" si="590"/>
        <v>0</v>
      </c>
      <c r="AF485" s="424">
        <f t="shared" si="590"/>
        <v>0</v>
      </c>
      <c r="AG485" s="424">
        <f t="shared" si="590"/>
        <v>0</v>
      </c>
      <c r="AH485" s="424">
        <f t="shared" si="590"/>
        <v>0</v>
      </c>
      <c r="AI485" s="424">
        <f t="shared" si="590"/>
        <v>0</v>
      </c>
      <c r="AJ485" s="424">
        <f t="shared" si="590"/>
        <v>0</v>
      </c>
      <c r="AK485" s="424">
        <f t="shared" si="590"/>
        <v>0.6</v>
      </c>
      <c r="AL485" s="424">
        <f t="shared" si="590"/>
        <v>0</v>
      </c>
      <c r="AM485" s="424">
        <f t="shared" si="590"/>
        <v>0</v>
      </c>
      <c r="AN485" s="424">
        <f t="shared" si="590"/>
        <v>2.0099999999999998</v>
      </c>
      <c r="AO485" s="424">
        <f t="shared" si="590"/>
        <v>0</v>
      </c>
      <c r="AP485" s="424">
        <f t="shared" ref="AP485:BU485" si="591">AP115*AP$372</f>
        <v>0</v>
      </c>
      <c r="AQ485" s="424">
        <f t="shared" si="591"/>
        <v>0.9</v>
      </c>
      <c r="AR485" s="424">
        <f t="shared" si="591"/>
        <v>0</v>
      </c>
      <c r="AS485" s="424">
        <f t="shared" si="591"/>
        <v>20</v>
      </c>
      <c r="AT485" s="424">
        <f t="shared" si="591"/>
        <v>0</v>
      </c>
      <c r="AU485" s="424">
        <f t="shared" si="591"/>
        <v>0</v>
      </c>
      <c r="AV485" s="424">
        <f t="shared" si="591"/>
        <v>0</v>
      </c>
      <c r="AW485" s="424">
        <f t="shared" si="591"/>
        <v>0</v>
      </c>
      <c r="AX485" s="424">
        <f t="shared" si="591"/>
        <v>0</v>
      </c>
      <c r="AY485" s="424">
        <f t="shared" si="591"/>
        <v>0</v>
      </c>
      <c r="AZ485" s="424">
        <f t="shared" si="591"/>
        <v>0</v>
      </c>
      <c r="BA485" s="424">
        <f t="shared" si="591"/>
        <v>0</v>
      </c>
      <c r="BB485" s="424">
        <f t="shared" si="591"/>
        <v>0</v>
      </c>
      <c r="BC485" s="424">
        <f t="shared" si="591"/>
        <v>0</v>
      </c>
      <c r="BD485" s="424">
        <f t="shared" si="591"/>
        <v>0</v>
      </c>
      <c r="BE485" s="424">
        <f t="shared" si="591"/>
        <v>0</v>
      </c>
      <c r="BF485" s="424">
        <f t="shared" si="591"/>
        <v>0</v>
      </c>
      <c r="BG485" s="424">
        <f t="shared" si="591"/>
        <v>0</v>
      </c>
      <c r="BH485" s="424">
        <f t="shared" si="591"/>
        <v>0</v>
      </c>
      <c r="BI485" s="424">
        <f t="shared" si="591"/>
        <v>0</v>
      </c>
      <c r="BJ485" s="424">
        <f t="shared" si="591"/>
        <v>0</v>
      </c>
      <c r="BK485" s="424">
        <f t="shared" si="591"/>
        <v>0</v>
      </c>
      <c r="BL485" s="424">
        <f t="shared" si="591"/>
        <v>0</v>
      </c>
      <c r="BM485" s="424">
        <f t="shared" si="591"/>
        <v>0</v>
      </c>
      <c r="BN485" s="424">
        <f t="shared" si="591"/>
        <v>0</v>
      </c>
      <c r="BO485" s="424">
        <f t="shared" si="591"/>
        <v>0</v>
      </c>
      <c r="BP485" s="424">
        <f t="shared" si="591"/>
        <v>0</v>
      </c>
      <c r="BQ485" s="424">
        <f t="shared" si="591"/>
        <v>0</v>
      </c>
      <c r="BR485" s="424">
        <f t="shared" si="591"/>
        <v>0</v>
      </c>
      <c r="BS485" s="424">
        <f t="shared" si="591"/>
        <v>0.11</v>
      </c>
      <c r="BT485" s="424">
        <f t="shared" si="591"/>
        <v>0</v>
      </c>
      <c r="BU485" s="424">
        <f t="shared" si="591"/>
        <v>0</v>
      </c>
      <c r="BV485" s="424">
        <f t="shared" ref="BV485:DA485" si="592">BV115*BV$372</f>
        <v>0</v>
      </c>
      <c r="BW485" s="424">
        <f t="shared" si="592"/>
        <v>0</v>
      </c>
      <c r="BX485" s="424">
        <f t="shared" si="592"/>
        <v>0</v>
      </c>
      <c r="BY485" s="424">
        <f t="shared" si="592"/>
        <v>0</v>
      </c>
      <c r="BZ485" s="424">
        <f t="shared" si="592"/>
        <v>0</v>
      </c>
      <c r="CA485" s="424">
        <f t="shared" si="592"/>
        <v>0</v>
      </c>
      <c r="CB485" s="424">
        <f t="shared" si="592"/>
        <v>0.59</v>
      </c>
      <c r="CC485" s="424">
        <f t="shared" si="592"/>
        <v>0</v>
      </c>
      <c r="CD485" s="424">
        <f t="shared" si="592"/>
        <v>0</v>
      </c>
      <c r="CE485" s="424">
        <f t="shared" si="592"/>
        <v>0</v>
      </c>
      <c r="CF485" s="424">
        <f t="shared" si="592"/>
        <v>0.6</v>
      </c>
      <c r="CG485" s="424">
        <f t="shared" si="592"/>
        <v>0</v>
      </c>
      <c r="CH485" s="424">
        <f t="shared" si="592"/>
        <v>0</v>
      </c>
      <c r="CI485" s="424">
        <f t="shared" si="592"/>
        <v>0</v>
      </c>
      <c r="CJ485" s="424">
        <f t="shared" si="592"/>
        <v>0</v>
      </c>
      <c r="CK485" s="424">
        <f t="shared" si="592"/>
        <v>0</v>
      </c>
      <c r="CL485" s="424">
        <f t="shared" si="592"/>
        <v>0</v>
      </c>
      <c r="CM485" s="424">
        <f t="shared" si="592"/>
        <v>0</v>
      </c>
      <c r="CN485" s="424">
        <f t="shared" si="592"/>
        <v>0</v>
      </c>
      <c r="CO485" s="424">
        <f t="shared" si="592"/>
        <v>0</v>
      </c>
      <c r="CP485" s="424">
        <f t="shared" si="592"/>
        <v>0</v>
      </c>
      <c r="CQ485" s="424">
        <f t="shared" si="592"/>
        <v>0</v>
      </c>
      <c r="CR485" s="424">
        <f t="shared" si="592"/>
        <v>0</v>
      </c>
      <c r="CS485" s="424">
        <f t="shared" si="592"/>
        <v>0</v>
      </c>
      <c r="CT485" s="424">
        <f t="shared" si="592"/>
        <v>0</v>
      </c>
      <c r="CU485" s="424">
        <f t="shared" si="592"/>
        <v>0</v>
      </c>
      <c r="CV485" s="424">
        <f t="shared" si="592"/>
        <v>0</v>
      </c>
      <c r="CW485" s="424">
        <f t="shared" si="592"/>
        <v>0</v>
      </c>
      <c r="CX485" s="424">
        <f t="shared" si="592"/>
        <v>0</v>
      </c>
      <c r="CY485" s="424">
        <f t="shared" si="592"/>
        <v>0</v>
      </c>
      <c r="CZ485" s="424">
        <f t="shared" si="592"/>
        <v>0</v>
      </c>
      <c r="DA485" s="424">
        <f t="shared" si="592"/>
        <v>0</v>
      </c>
      <c r="DB485" s="424">
        <f t="shared" ref="DB485:EG485" si="593">DB115*DB$372</f>
        <v>0</v>
      </c>
      <c r="DC485" s="424">
        <f t="shared" si="593"/>
        <v>0.01</v>
      </c>
      <c r="DD485" s="424">
        <f t="shared" si="593"/>
        <v>0</v>
      </c>
      <c r="DE485" s="424">
        <f t="shared" si="593"/>
        <v>0</v>
      </c>
      <c r="DF485" s="424">
        <f t="shared" si="593"/>
        <v>0.92</v>
      </c>
      <c r="DG485" s="424">
        <f t="shared" si="593"/>
        <v>0</v>
      </c>
      <c r="DH485" s="424">
        <f t="shared" si="593"/>
        <v>0</v>
      </c>
      <c r="DI485" s="424">
        <f t="shared" si="593"/>
        <v>0</v>
      </c>
      <c r="DJ485" s="424">
        <f t="shared" si="593"/>
        <v>0</v>
      </c>
      <c r="DK485" s="424">
        <f t="shared" si="593"/>
        <v>0</v>
      </c>
      <c r="DL485" s="424">
        <f t="shared" si="593"/>
        <v>0</v>
      </c>
      <c r="DM485" s="424">
        <f t="shared" si="593"/>
        <v>0</v>
      </c>
      <c r="DN485" s="424">
        <f t="shared" si="593"/>
        <v>0</v>
      </c>
      <c r="DO485" s="424">
        <f t="shared" si="593"/>
        <v>0</v>
      </c>
      <c r="DP485" s="424">
        <f t="shared" si="593"/>
        <v>0</v>
      </c>
      <c r="DQ485" s="424">
        <f t="shared" si="593"/>
        <v>0</v>
      </c>
      <c r="DR485" s="424">
        <f t="shared" si="593"/>
        <v>0</v>
      </c>
      <c r="DS485" s="424">
        <f t="shared" si="593"/>
        <v>0</v>
      </c>
      <c r="DT485" s="424">
        <f t="shared" si="593"/>
        <v>0</v>
      </c>
      <c r="DU485" s="424">
        <f t="shared" si="593"/>
        <v>0</v>
      </c>
      <c r="DV485" s="424">
        <f t="shared" si="593"/>
        <v>0</v>
      </c>
      <c r="DW485" s="424">
        <f t="shared" si="593"/>
        <v>0</v>
      </c>
      <c r="DX485" s="424">
        <f t="shared" si="593"/>
        <v>0</v>
      </c>
      <c r="DY485" s="424">
        <f t="shared" si="593"/>
        <v>0</v>
      </c>
      <c r="DZ485" s="424">
        <f t="shared" si="593"/>
        <v>0</v>
      </c>
      <c r="EA485" s="424">
        <f t="shared" si="593"/>
        <v>0</v>
      </c>
      <c r="EB485" s="424">
        <f t="shared" si="593"/>
        <v>0</v>
      </c>
      <c r="EC485" s="424">
        <f t="shared" si="593"/>
        <v>0</v>
      </c>
      <c r="ED485" s="424">
        <f t="shared" si="593"/>
        <v>0</v>
      </c>
      <c r="EE485" s="424">
        <f t="shared" si="593"/>
        <v>0</v>
      </c>
      <c r="EF485" s="424">
        <f t="shared" si="593"/>
        <v>0</v>
      </c>
      <c r="EG485" s="424">
        <f t="shared" si="593"/>
        <v>0</v>
      </c>
      <c r="EH485" s="424">
        <f t="shared" ref="EH485:EX485" si="594">EH115*EH$372</f>
        <v>0</v>
      </c>
      <c r="EI485" s="424">
        <f t="shared" si="594"/>
        <v>0</v>
      </c>
      <c r="EJ485" s="424">
        <f t="shared" si="594"/>
        <v>0</v>
      </c>
      <c r="EK485" s="424">
        <f t="shared" si="594"/>
        <v>0</v>
      </c>
      <c r="EL485" s="424">
        <f t="shared" si="594"/>
        <v>0</v>
      </c>
      <c r="EM485" s="424">
        <f t="shared" si="594"/>
        <v>0</v>
      </c>
      <c r="EN485" s="424">
        <f t="shared" si="594"/>
        <v>0</v>
      </c>
      <c r="EO485" s="424">
        <f t="shared" si="594"/>
        <v>0</v>
      </c>
      <c r="EP485" s="424">
        <f t="shared" si="594"/>
        <v>0</v>
      </c>
      <c r="EQ485" s="424">
        <f t="shared" si="594"/>
        <v>0</v>
      </c>
      <c r="ER485" s="424">
        <f t="shared" si="594"/>
        <v>0</v>
      </c>
      <c r="ES485" s="424">
        <f t="shared" si="594"/>
        <v>0</v>
      </c>
      <c r="ET485" s="424">
        <f t="shared" si="594"/>
        <v>0</v>
      </c>
      <c r="EU485" s="424">
        <f t="shared" si="594"/>
        <v>0</v>
      </c>
      <c r="EV485" s="424">
        <f t="shared" si="594"/>
        <v>0</v>
      </c>
      <c r="EW485" s="424">
        <f t="shared" si="594"/>
        <v>0</v>
      </c>
      <c r="EX485" s="424">
        <f t="shared" si="594"/>
        <v>0</v>
      </c>
      <c r="EY485" s="425">
        <f t="shared" si="374"/>
        <v>28.08</v>
      </c>
      <c r="EZ485" s="616"/>
      <c r="FA485" s="616"/>
      <c r="FB485" s="616"/>
      <c r="FC485" s="616"/>
      <c r="FD485" s="616"/>
      <c r="FE485" s="616"/>
      <c r="FF485" s="616"/>
      <c r="FG485" s="616"/>
      <c r="FH485" s="616"/>
      <c r="FI485" s="616"/>
      <c r="FJ485" s="616"/>
    </row>
    <row r="486" spans="1:166" ht="14.7" customHeight="1" x14ac:dyDescent="0.25">
      <c r="A486" s="310">
        <v>112</v>
      </c>
      <c r="B486" s="311" t="str">
        <f t="shared" si="355"/>
        <v xml:space="preserve">Каша рассыпчатая гречневая с маслом </v>
      </c>
      <c r="C486" s="483">
        <f t="shared" si="363"/>
        <v>14.28</v>
      </c>
      <c r="D486" s="888"/>
      <c r="E486" s="888"/>
      <c r="F486" s="888"/>
      <c r="G486" s="889"/>
      <c r="H486" s="680">
        <f t="shared" si="356"/>
        <v>171</v>
      </c>
      <c r="I486" s="1209">
        <f t="shared" si="357"/>
        <v>0</v>
      </c>
      <c r="J486" s="424">
        <f t="shared" ref="J486:AO486" si="595">J116*J$372</f>
        <v>0</v>
      </c>
      <c r="K486" s="424">
        <f t="shared" si="595"/>
        <v>0</v>
      </c>
      <c r="L486" s="424">
        <f t="shared" si="595"/>
        <v>0</v>
      </c>
      <c r="M486" s="424">
        <f t="shared" si="595"/>
        <v>0</v>
      </c>
      <c r="N486" s="424">
        <f t="shared" si="595"/>
        <v>0</v>
      </c>
      <c r="O486" s="424">
        <f t="shared" si="595"/>
        <v>0</v>
      </c>
      <c r="P486" s="424">
        <f t="shared" si="595"/>
        <v>0</v>
      </c>
      <c r="Q486" s="424">
        <f t="shared" si="595"/>
        <v>0</v>
      </c>
      <c r="R486" s="424">
        <f t="shared" si="595"/>
        <v>0</v>
      </c>
      <c r="S486" s="424">
        <f t="shared" si="595"/>
        <v>0</v>
      </c>
      <c r="T486" s="424">
        <f t="shared" si="595"/>
        <v>0</v>
      </c>
      <c r="U486" s="424">
        <f t="shared" si="595"/>
        <v>0</v>
      </c>
      <c r="V486" s="424">
        <f t="shared" si="595"/>
        <v>7.1</v>
      </c>
      <c r="W486" s="424">
        <f t="shared" si="595"/>
        <v>0</v>
      </c>
      <c r="X486" s="424">
        <f t="shared" si="595"/>
        <v>0</v>
      </c>
      <c r="Y486" s="424">
        <f t="shared" si="595"/>
        <v>0</v>
      </c>
      <c r="Z486" s="424">
        <f t="shared" si="595"/>
        <v>0</v>
      </c>
      <c r="AA486" s="424">
        <f t="shared" si="595"/>
        <v>0</v>
      </c>
      <c r="AB486" s="424">
        <f t="shared" si="595"/>
        <v>0</v>
      </c>
      <c r="AC486" s="424">
        <f t="shared" si="595"/>
        <v>0</v>
      </c>
      <c r="AD486" s="424">
        <f t="shared" si="595"/>
        <v>0</v>
      </c>
      <c r="AE486" s="424">
        <f t="shared" si="595"/>
        <v>0</v>
      </c>
      <c r="AF486" s="424">
        <f t="shared" si="595"/>
        <v>0</v>
      </c>
      <c r="AG486" s="424">
        <f t="shared" si="595"/>
        <v>0</v>
      </c>
      <c r="AH486" s="424">
        <f t="shared" si="595"/>
        <v>0</v>
      </c>
      <c r="AI486" s="424">
        <f t="shared" si="595"/>
        <v>0</v>
      </c>
      <c r="AJ486" s="424">
        <f t="shared" si="595"/>
        <v>0</v>
      </c>
      <c r="AK486" s="424">
        <f t="shared" si="595"/>
        <v>0</v>
      </c>
      <c r="AL486" s="424">
        <f t="shared" si="595"/>
        <v>0</v>
      </c>
      <c r="AM486" s="424">
        <f t="shared" si="595"/>
        <v>0</v>
      </c>
      <c r="AN486" s="424">
        <f t="shared" si="595"/>
        <v>0</v>
      </c>
      <c r="AO486" s="424">
        <f t="shared" si="595"/>
        <v>0</v>
      </c>
      <c r="AP486" s="424">
        <f t="shared" ref="AP486:BU486" si="596">AP116*AP$372</f>
        <v>0</v>
      </c>
      <c r="AQ486" s="424">
        <f t="shared" si="596"/>
        <v>0</v>
      </c>
      <c r="AR486" s="424">
        <f t="shared" si="596"/>
        <v>0</v>
      </c>
      <c r="AS486" s="424">
        <f t="shared" si="596"/>
        <v>0</v>
      </c>
      <c r="AT486" s="424">
        <f t="shared" si="596"/>
        <v>0</v>
      </c>
      <c r="AU486" s="424">
        <f t="shared" si="596"/>
        <v>0</v>
      </c>
      <c r="AV486" s="424">
        <f t="shared" si="596"/>
        <v>0</v>
      </c>
      <c r="AW486" s="424">
        <f t="shared" si="596"/>
        <v>0</v>
      </c>
      <c r="AX486" s="424">
        <f t="shared" si="596"/>
        <v>0</v>
      </c>
      <c r="AY486" s="424">
        <f t="shared" si="596"/>
        <v>0</v>
      </c>
      <c r="AZ486" s="424">
        <f t="shared" si="596"/>
        <v>0</v>
      </c>
      <c r="BA486" s="424">
        <f t="shared" si="596"/>
        <v>0</v>
      </c>
      <c r="BB486" s="424">
        <f t="shared" si="596"/>
        <v>0</v>
      </c>
      <c r="BC486" s="424">
        <f t="shared" si="596"/>
        <v>0</v>
      </c>
      <c r="BD486" s="424">
        <f t="shared" si="596"/>
        <v>0</v>
      </c>
      <c r="BE486" s="424">
        <f t="shared" si="596"/>
        <v>0</v>
      </c>
      <c r="BF486" s="424">
        <f t="shared" si="596"/>
        <v>0</v>
      </c>
      <c r="BG486" s="424">
        <f t="shared" si="596"/>
        <v>0</v>
      </c>
      <c r="BH486" s="424">
        <f t="shared" si="596"/>
        <v>0</v>
      </c>
      <c r="BI486" s="424">
        <f t="shared" si="596"/>
        <v>0</v>
      </c>
      <c r="BJ486" s="424">
        <f t="shared" si="596"/>
        <v>0</v>
      </c>
      <c r="BK486" s="424">
        <f t="shared" si="596"/>
        <v>0</v>
      </c>
      <c r="BL486" s="424">
        <f t="shared" si="596"/>
        <v>0</v>
      </c>
      <c r="BM486" s="424">
        <f t="shared" si="596"/>
        <v>0</v>
      </c>
      <c r="BN486" s="424">
        <f t="shared" si="596"/>
        <v>0</v>
      </c>
      <c r="BO486" s="424">
        <f t="shared" si="596"/>
        <v>0</v>
      </c>
      <c r="BP486" s="424">
        <f t="shared" si="596"/>
        <v>0</v>
      </c>
      <c r="BQ486" s="424">
        <f t="shared" si="596"/>
        <v>0</v>
      </c>
      <c r="BR486" s="424">
        <f t="shared" si="596"/>
        <v>0</v>
      </c>
      <c r="BS486" s="424">
        <f t="shared" si="596"/>
        <v>0</v>
      </c>
      <c r="BT486" s="424">
        <f t="shared" si="596"/>
        <v>7.1</v>
      </c>
      <c r="BU486" s="424">
        <f t="shared" si="596"/>
        <v>0</v>
      </c>
      <c r="BV486" s="424">
        <f t="shared" ref="BV486:DA486" si="597">BV116*BV$372</f>
        <v>0</v>
      </c>
      <c r="BW486" s="424">
        <f t="shared" si="597"/>
        <v>0</v>
      </c>
      <c r="BX486" s="424">
        <f t="shared" si="597"/>
        <v>0</v>
      </c>
      <c r="BY486" s="424">
        <f t="shared" si="597"/>
        <v>0</v>
      </c>
      <c r="BZ486" s="424">
        <f t="shared" si="597"/>
        <v>0</v>
      </c>
      <c r="CA486" s="424">
        <f t="shared" si="597"/>
        <v>0</v>
      </c>
      <c r="CB486" s="424">
        <f t="shared" si="597"/>
        <v>0</v>
      </c>
      <c r="CC486" s="424">
        <f t="shared" si="597"/>
        <v>0</v>
      </c>
      <c r="CD486" s="424">
        <f t="shared" si="597"/>
        <v>0</v>
      </c>
      <c r="CE486" s="424">
        <f t="shared" si="597"/>
        <v>0</v>
      </c>
      <c r="CF486" s="424">
        <f t="shared" si="597"/>
        <v>0</v>
      </c>
      <c r="CG486" s="424">
        <f t="shared" si="597"/>
        <v>0</v>
      </c>
      <c r="CH486" s="424">
        <f t="shared" si="597"/>
        <v>0</v>
      </c>
      <c r="CI486" s="424">
        <f t="shared" si="597"/>
        <v>0</v>
      </c>
      <c r="CJ486" s="424">
        <f t="shared" si="597"/>
        <v>0</v>
      </c>
      <c r="CK486" s="424">
        <f t="shared" si="597"/>
        <v>0</v>
      </c>
      <c r="CL486" s="424">
        <f t="shared" si="597"/>
        <v>0</v>
      </c>
      <c r="CM486" s="424">
        <f t="shared" si="597"/>
        <v>0</v>
      </c>
      <c r="CN486" s="424">
        <f t="shared" si="597"/>
        <v>0</v>
      </c>
      <c r="CO486" s="424">
        <f t="shared" si="597"/>
        <v>0</v>
      </c>
      <c r="CP486" s="424">
        <f t="shared" si="597"/>
        <v>0</v>
      </c>
      <c r="CQ486" s="424">
        <f t="shared" si="597"/>
        <v>0</v>
      </c>
      <c r="CR486" s="424">
        <f t="shared" si="597"/>
        <v>0</v>
      </c>
      <c r="CS486" s="424">
        <f t="shared" si="597"/>
        <v>0</v>
      </c>
      <c r="CT486" s="424">
        <f t="shared" si="597"/>
        <v>0</v>
      </c>
      <c r="CU486" s="424">
        <f t="shared" si="597"/>
        <v>0</v>
      </c>
      <c r="CV486" s="424">
        <f t="shared" si="597"/>
        <v>0</v>
      </c>
      <c r="CW486" s="424">
        <f t="shared" si="597"/>
        <v>0</v>
      </c>
      <c r="CX486" s="424">
        <f t="shared" si="597"/>
        <v>0</v>
      </c>
      <c r="CY486" s="424">
        <f t="shared" si="597"/>
        <v>0</v>
      </c>
      <c r="CZ486" s="424">
        <f t="shared" si="597"/>
        <v>0</v>
      </c>
      <c r="DA486" s="424">
        <f t="shared" si="597"/>
        <v>0</v>
      </c>
      <c r="DB486" s="424">
        <f t="shared" ref="DB486:EG486" si="598">DB116*DB$372</f>
        <v>0</v>
      </c>
      <c r="DC486" s="424">
        <f t="shared" si="598"/>
        <v>0.08</v>
      </c>
      <c r="DD486" s="424">
        <f t="shared" si="598"/>
        <v>0</v>
      </c>
      <c r="DE486" s="424">
        <f t="shared" si="598"/>
        <v>0</v>
      </c>
      <c r="DF486" s="424">
        <f t="shared" si="598"/>
        <v>0</v>
      </c>
      <c r="DG486" s="424">
        <f t="shared" si="598"/>
        <v>0</v>
      </c>
      <c r="DH486" s="424">
        <f t="shared" si="598"/>
        <v>0</v>
      </c>
      <c r="DI486" s="424">
        <f t="shared" si="598"/>
        <v>0</v>
      </c>
      <c r="DJ486" s="424">
        <f t="shared" si="598"/>
        <v>0</v>
      </c>
      <c r="DK486" s="424">
        <f t="shared" si="598"/>
        <v>0</v>
      </c>
      <c r="DL486" s="424">
        <f t="shared" si="598"/>
        <v>0</v>
      </c>
      <c r="DM486" s="424">
        <f t="shared" si="598"/>
        <v>0</v>
      </c>
      <c r="DN486" s="424">
        <f t="shared" si="598"/>
        <v>0</v>
      </c>
      <c r="DO486" s="424">
        <f t="shared" si="598"/>
        <v>0</v>
      </c>
      <c r="DP486" s="424">
        <f t="shared" si="598"/>
        <v>0</v>
      </c>
      <c r="DQ486" s="424">
        <f t="shared" si="598"/>
        <v>0</v>
      </c>
      <c r="DR486" s="424">
        <f t="shared" si="598"/>
        <v>0</v>
      </c>
      <c r="DS486" s="424">
        <f t="shared" si="598"/>
        <v>0</v>
      </c>
      <c r="DT486" s="424">
        <f t="shared" si="598"/>
        <v>0</v>
      </c>
      <c r="DU486" s="424">
        <f t="shared" si="598"/>
        <v>0</v>
      </c>
      <c r="DV486" s="424">
        <f t="shared" si="598"/>
        <v>0</v>
      </c>
      <c r="DW486" s="424">
        <f t="shared" si="598"/>
        <v>0</v>
      </c>
      <c r="DX486" s="424">
        <f t="shared" si="598"/>
        <v>0</v>
      </c>
      <c r="DY486" s="424">
        <f t="shared" si="598"/>
        <v>0</v>
      </c>
      <c r="DZ486" s="424">
        <f t="shared" si="598"/>
        <v>0</v>
      </c>
      <c r="EA486" s="424">
        <f t="shared" si="598"/>
        <v>0</v>
      </c>
      <c r="EB486" s="424">
        <f t="shared" si="598"/>
        <v>0</v>
      </c>
      <c r="EC486" s="424">
        <f t="shared" si="598"/>
        <v>0</v>
      </c>
      <c r="ED486" s="424">
        <f t="shared" si="598"/>
        <v>0</v>
      </c>
      <c r="EE486" s="424">
        <f t="shared" si="598"/>
        <v>0</v>
      </c>
      <c r="EF486" s="424">
        <f t="shared" si="598"/>
        <v>0</v>
      </c>
      <c r="EG486" s="424">
        <f t="shared" si="598"/>
        <v>0</v>
      </c>
      <c r="EH486" s="424">
        <f t="shared" ref="EH486:EX486" si="599">EH116*EH$372</f>
        <v>0</v>
      </c>
      <c r="EI486" s="424">
        <f t="shared" si="599"/>
        <v>0</v>
      </c>
      <c r="EJ486" s="424">
        <f t="shared" si="599"/>
        <v>0</v>
      </c>
      <c r="EK486" s="424">
        <f t="shared" si="599"/>
        <v>0</v>
      </c>
      <c r="EL486" s="424">
        <f t="shared" si="599"/>
        <v>0</v>
      </c>
      <c r="EM486" s="424">
        <f t="shared" si="599"/>
        <v>0</v>
      </c>
      <c r="EN486" s="424">
        <f t="shared" si="599"/>
        <v>0</v>
      </c>
      <c r="EO486" s="424">
        <f t="shared" si="599"/>
        <v>0</v>
      </c>
      <c r="EP486" s="424">
        <f t="shared" si="599"/>
        <v>0</v>
      </c>
      <c r="EQ486" s="424">
        <f t="shared" si="599"/>
        <v>0</v>
      </c>
      <c r="ER486" s="424">
        <f t="shared" si="599"/>
        <v>0</v>
      </c>
      <c r="ES486" s="424">
        <f t="shared" si="599"/>
        <v>0</v>
      </c>
      <c r="ET486" s="424">
        <f t="shared" si="599"/>
        <v>0</v>
      </c>
      <c r="EU486" s="424">
        <f t="shared" si="599"/>
        <v>0</v>
      </c>
      <c r="EV486" s="424">
        <f t="shared" si="599"/>
        <v>0</v>
      </c>
      <c r="EW486" s="424">
        <f t="shared" si="599"/>
        <v>0</v>
      </c>
      <c r="EX486" s="424">
        <f t="shared" si="599"/>
        <v>0</v>
      </c>
      <c r="EY486" s="425">
        <f t="shared" si="374"/>
        <v>14.28</v>
      </c>
    </row>
    <row r="487" spans="1:166" ht="14.7" customHeight="1" x14ac:dyDescent="0.25">
      <c r="A487" s="310">
        <v>113</v>
      </c>
      <c r="B487" s="311" t="str">
        <f t="shared" si="355"/>
        <v>Каша рассыпчатая гречневая с маслом и сахаром</v>
      </c>
      <c r="C487" s="483">
        <f t="shared" si="363"/>
        <v>15.04</v>
      </c>
      <c r="D487" s="888"/>
      <c r="E487" s="888"/>
      <c r="F487" s="888"/>
      <c r="G487" s="889"/>
      <c r="H487" s="680">
        <f t="shared" si="356"/>
        <v>171</v>
      </c>
      <c r="I487" s="1209">
        <f t="shared" si="357"/>
        <v>0</v>
      </c>
      <c r="J487" s="424">
        <f t="shared" ref="J487:AO487" si="600">J117*J$372</f>
        <v>0</v>
      </c>
      <c r="K487" s="424">
        <f t="shared" si="600"/>
        <v>0</v>
      </c>
      <c r="L487" s="424">
        <f t="shared" si="600"/>
        <v>0</v>
      </c>
      <c r="M487" s="424">
        <f t="shared" si="600"/>
        <v>0</v>
      </c>
      <c r="N487" s="424">
        <f t="shared" si="600"/>
        <v>0</v>
      </c>
      <c r="O487" s="424">
        <f t="shared" si="600"/>
        <v>0</v>
      </c>
      <c r="P487" s="424">
        <f t="shared" si="600"/>
        <v>0</v>
      </c>
      <c r="Q487" s="424">
        <f t="shared" si="600"/>
        <v>0</v>
      </c>
      <c r="R487" s="424">
        <f t="shared" si="600"/>
        <v>0</v>
      </c>
      <c r="S487" s="424">
        <f t="shared" si="600"/>
        <v>0</v>
      </c>
      <c r="T487" s="424">
        <f t="shared" si="600"/>
        <v>0</v>
      </c>
      <c r="U487" s="424">
        <f t="shared" si="600"/>
        <v>0</v>
      </c>
      <c r="V487" s="424">
        <f t="shared" si="600"/>
        <v>7.1</v>
      </c>
      <c r="W487" s="424">
        <f t="shared" si="600"/>
        <v>0</v>
      </c>
      <c r="X487" s="424">
        <f t="shared" si="600"/>
        <v>0</v>
      </c>
      <c r="Y487" s="424">
        <f t="shared" si="600"/>
        <v>0</v>
      </c>
      <c r="Z487" s="424">
        <f t="shared" si="600"/>
        <v>0</v>
      </c>
      <c r="AA487" s="424">
        <f t="shared" si="600"/>
        <v>0</v>
      </c>
      <c r="AB487" s="424">
        <f t="shared" si="600"/>
        <v>0</v>
      </c>
      <c r="AC487" s="424">
        <f t="shared" si="600"/>
        <v>0</v>
      </c>
      <c r="AD487" s="424">
        <f t="shared" si="600"/>
        <v>0</v>
      </c>
      <c r="AE487" s="424">
        <f t="shared" si="600"/>
        <v>0</v>
      </c>
      <c r="AF487" s="424">
        <f t="shared" si="600"/>
        <v>0</v>
      </c>
      <c r="AG487" s="424">
        <f t="shared" si="600"/>
        <v>0</v>
      </c>
      <c r="AH487" s="424">
        <f t="shared" si="600"/>
        <v>0</v>
      </c>
      <c r="AI487" s="424">
        <f t="shared" si="600"/>
        <v>0</v>
      </c>
      <c r="AJ487" s="424">
        <f t="shared" si="600"/>
        <v>0</v>
      </c>
      <c r="AK487" s="424">
        <f t="shared" si="600"/>
        <v>0</v>
      </c>
      <c r="AL487" s="424">
        <f t="shared" si="600"/>
        <v>0</v>
      </c>
      <c r="AM487" s="424">
        <f t="shared" si="600"/>
        <v>0</v>
      </c>
      <c r="AN487" s="424">
        <f t="shared" si="600"/>
        <v>0</v>
      </c>
      <c r="AO487" s="424">
        <f t="shared" si="600"/>
        <v>0</v>
      </c>
      <c r="AP487" s="424">
        <f t="shared" ref="AP487:BU487" si="601">AP117*AP$372</f>
        <v>0</v>
      </c>
      <c r="AQ487" s="424">
        <f t="shared" si="601"/>
        <v>0</v>
      </c>
      <c r="AR487" s="424">
        <f t="shared" si="601"/>
        <v>0</v>
      </c>
      <c r="AS487" s="424">
        <f t="shared" si="601"/>
        <v>0</v>
      </c>
      <c r="AT487" s="424">
        <f t="shared" si="601"/>
        <v>0</v>
      </c>
      <c r="AU487" s="424">
        <f t="shared" si="601"/>
        <v>0</v>
      </c>
      <c r="AV487" s="424">
        <f t="shared" si="601"/>
        <v>0</v>
      </c>
      <c r="AW487" s="424">
        <f t="shared" si="601"/>
        <v>0</v>
      </c>
      <c r="AX487" s="424">
        <f t="shared" si="601"/>
        <v>0</v>
      </c>
      <c r="AY487" s="424">
        <f t="shared" si="601"/>
        <v>0</v>
      </c>
      <c r="AZ487" s="424">
        <f t="shared" si="601"/>
        <v>0</v>
      </c>
      <c r="BA487" s="424">
        <f t="shared" si="601"/>
        <v>0</v>
      </c>
      <c r="BB487" s="424">
        <f t="shared" si="601"/>
        <v>0</v>
      </c>
      <c r="BC487" s="424">
        <f t="shared" si="601"/>
        <v>0</v>
      </c>
      <c r="BD487" s="424">
        <f t="shared" si="601"/>
        <v>0</v>
      </c>
      <c r="BE487" s="424">
        <f t="shared" si="601"/>
        <v>0</v>
      </c>
      <c r="BF487" s="424">
        <f t="shared" si="601"/>
        <v>0</v>
      </c>
      <c r="BG487" s="424">
        <f t="shared" si="601"/>
        <v>0</v>
      </c>
      <c r="BH487" s="424">
        <f t="shared" si="601"/>
        <v>0</v>
      </c>
      <c r="BI487" s="424">
        <f t="shared" si="601"/>
        <v>0</v>
      </c>
      <c r="BJ487" s="424">
        <f t="shared" si="601"/>
        <v>0</v>
      </c>
      <c r="BK487" s="424">
        <f t="shared" si="601"/>
        <v>0</v>
      </c>
      <c r="BL487" s="424">
        <f t="shared" si="601"/>
        <v>0</v>
      </c>
      <c r="BM487" s="424">
        <f t="shared" si="601"/>
        <v>0</v>
      </c>
      <c r="BN487" s="424">
        <f t="shared" si="601"/>
        <v>0</v>
      </c>
      <c r="BO487" s="424">
        <f t="shared" si="601"/>
        <v>0</v>
      </c>
      <c r="BP487" s="424">
        <f t="shared" si="601"/>
        <v>0</v>
      </c>
      <c r="BQ487" s="424">
        <f t="shared" si="601"/>
        <v>0</v>
      </c>
      <c r="BR487" s="424">
        <f t="shared" si="601"/>
        <v>0</v>
      </c>
      <c r="BS487" s="424">
        <f t="shared" si="601"/>
        <v>0</v>
      </c>
      <c r="BT487" s="424">
        <f t="shared" si="601"/>
        <v>7.1</v>
      </c>
      <c r="BU487" s="424">
        <f t="shared" si="601"/>
        <v>0</v>
      </c>
      <c r="BV487" s="424">
        <f t="shared" ref="BV487:DA487" si="602">BV117*BV$372</f>
        <v>0</v>
      </c>
      <c r="BW487" s="424">
        <f t="shared" si="602"/>
        <v>0</v>
      </c>
      <c r="BX487" s="424">
        <f t="shared" si="602"/>
        <v>0</v>
      </c>
      <c r="BY487" s="424">
        <f t="shared" si="602"/>
        <v>0</v>
      </c>
      <c r="BZ487" s="424">
        <f t="shared" si="602"/>
        <v>0</v>
      </c>
      <c r="CA487" s="424">
        <f t="shared" si="602"/>
        <v>0</v>
      </c>
      <c r="CB487" s="424">
        <f t="shared" si="602"/>
        <v>0</v>
      </c>
      <c r="CC487" s="424">
        <f t="shared" si="602"/>
        <v>0</v>
      </c>
      <c r="CD487" s="424">
        <f t="shared" si="602"/>
        <v>0</v>
      </c>
      <c r="CE487" s="424">
        <f t="shared" si="602"/>
        <v>0</v>
      </c>
      <c r="CF487" s="424">
        <f t="shared" si="602"/>
        <v>0</v>
      </c>
      <c r="CG487" s="424">
        <f t="shared" si="602"/>
        <v>0</v>
      </c>
      <c r="CH487" s="424">
        <f t="shared" si="602"/>
        <v>0</v>
      </c>
      <c r="CI487" s="424">
        <f t="shared" si="602"/>
        <v>0</v>
      </c>
      <c r="CJ487" s="424">
        <f t="shared" si="602"/>
        <v>0</v>
      </c>
      <c r="CK487" s="424">
        <f t="shared" si="602"/>
        <v>0</v>
      </c>
      <c r="CL487" s="424">
        <f t="shared" si="602"/>
        <v>0</v>
      </c>
      <c r="CM487" s="424">
        <f t="shared" si="602"/>
        <v>0</v>
      </c>
      <c r="CN487" s="424">
        <f t="shared" si="602"/>
        <v>0</v>
      </c>
      <c r="CO487" s="424">
        <f t="shared" si="602"/>
        <v>0</v>
      </c>
      <c r="CP487" s="424">
        <f t="shared" si="602"/>
        <v>0</v>
      </c>
      <c r="CQ487" s="424">
        <f t="shared" si="602"/>
        <v>0</v>
      </c>
      <c r="CR487" s="424">
        <f t="shared" si="602"/>
        <v>0</v>
      </c>
      <c r="CS487" s="424">
        <f t="shared" si="602"/>
        <v>0</v>
      </c>
      <c r="CT487" s="424">
        <f t="shared" si="602"/>
        <v>0</v>
      </c>
      <c r="CU487" s="424">
        <f t="shared" si="602"/>
        <v>0</v>
      </c>
      <c r="CV487" s="424">
        <f t="shared" si="602"/>
        <v>0</v>
      </c>
      <c r="CW487" s="424">
        <f t="shared" si="602"/>
        <v>0</v>
      </c>
      <c r="CX487" s="424">
        <f t="shared" si="602"/>
        <v>0</v>
      </c>
      <c r="CY487" s="424">
        <f t="shared" si="602"/>
        <v>0</v>
      </c>
      <c r="CZ487" s="424">
        <f t="shared" si="602"/>
        <v>0.76</v>
      </c>
      <c r="DA487" s="424">
        <f t="shared" si="602"/>
        <v>0</v>
      </c>
      <c r="DB487" s="424">
        <f t="shared" ref="DB487:EG487" si="603">DB117*DB$372</f>
        <v>0</v>
      </c>
      <c r="DC487" s="424">
        <f t="shared" si="603"/>
        <v>0.08</v>
      </c>
      <c r="DD487" s="424">
        <f t="shared" si="603"/>
        <v>0</v>
      </c>
      <c r="DE487" s="424">
        <f t="shared" si="603"/>
        <v>0</v>
      </c>
      <c r="DF487" s="424">
        <f t="shared" si="603"/>
        <v>0</v>
      </c>
      <c r="DG487" s="424">
        <f t="shared" si="603"/>
        <v>0</v>
      </c>
      <c r="DH487" s="424">
        <f t="shared" si="603"/>
        <v>0</v>
      </c>
      <c r="DI487" s="424">
        <f t="shared" si="603"/>
        <v>0</v>
      </c>
      <c r="DJ487" s="424">
        <f t="shared" si="603"/>
        <v>0</v>
      </c>
      <c r="DK487" s="424">
        <f t="shared" si="603"/>
        <v>0</v>
      </c>
      <c r="DL487" s="424">
        <f t="shared" si="603"/>
        <v>0</v>
      </c>
      <c r="DM487" s="424">
        <f t="shared" si="603"/>
        <v>0</v>
      </c>
      <c r="DN487" s="424">
        <f t="shared" si="603"/>
        <v>0</v>
      </c>
      <c r="DO487" s="424">
        <f t="shared" si="603"/>
        <v>0</v>
      </c>
      <c r="DP487" s="424">
        <f t="shared" si="603"/>
        <v>0</v>
      </c>
      <c r="DQ487" s="424">
        <f t="shared" si="603"/>
        <v>0</v>
      </c>
      <c r="DR487" s="424">
        <f t="shared" si="603"/>
        <v>0</v>
      </c>
      <c r="DS487" s="424">
        <f t="shared" si="603"/>
        <v>0</v>
      </c>
      <c r="DT487" s="424">
        <f t="shared" si="603"/>
        <v>0</v>
      </c>
      <c r="DU487" s="424">
        <f t="shared" si="603"/>
        <v>0</v>
      </c>
      <c r="DV487" s="424">
        <f t="shared" si="603"/>
        <v>0</v>
      </c>
      <c r="DW487" s="424">
        <f t="shared" si="603"/>
        <v>0</v>
      </c>
      <c r="DX487" s="424">
        <f t="shared" si="603"/>
        <v>0</v>
      </c>
      <c r="DY487" s="424">
        <f t="shared" si="603"/>
        <v>0</v>
      </c>
      <c r="DZ487" s="424">
        <f t="shared" si="603"/>
        <v>0</v>
      </c>
      <c r="EA487" s="424">
        <f t="shared" si="603"/>
        <v>0</v>
      </c>
      <c r="EB487" s="424">
        <f t="shared" si="603"/>
        <v>0</v>
      </c>
      <c r="EC487" s="424">
        <f t="shared" si="603"/>
        <v>0</v>
      </c>
      <c r="ED487" s="424">
        <f t="shared" si="603"/>
        <v>0</v>
      </c>
      <c r="EE487" s="424">
        <f t="shared" si="603"/>
        <v>0</v>
      </c>
      <c r="EF487" s="424">
        <f t="shared" si="603"/>
        <v>0</v>
      </c>
      <c r="EG487" s="424">
        <f t="shared" si="603"/>
        <v>0</v>
      </c>
      <c r="EH487" s="424">
        <f t="shared" ref="EH487:EX487" si="604">EH117*EH$372</f>
        <v>0</v>
      </c>
      <c r="EI487" s="424">
        <f t="shared" si="604"/>
        <v>0</v>
      </c>
      <c r="EJ487" s="424">
        <f t="shared" si="604"/>
        <v>0</v>
      </c>
      <c r="EK487" s="424">
        <f t="shared" si="604"/>
        <v>0</v>
      </c>
      <c r="EL487" s="424">
        <f t="shared" si="604"/>
        <v>0</v>
      </c>
      <c r="EM487" s="424">
        <f t="shared" si="604"/>
        <v>0</v>
      </c>
      <c r="EN487" s="424">
        <f t="shared" si="604"/>
        <v>0</v>
      </c>
      <c r="EO487" s="424">
        <f t="shared" si="604"/>
        <v>0</v>
      </c>
      <c r="EP487" s="424">
        <f t="shared" si="604"/>
        <v>0</v>
      </c>
      <c r="EQ487" s="424">
        <f t="shared" si="604"/>
        <v>0</v>
      </c>
      <c r="ER487" s="424">
        <f t="shared" si="604"/>
        <v>0</v>
      </c>
      <c r="ES487" s="424">
        <f t="shared" si="604"/>
        <v>0</v>
      </c>
      <c r="ET487" s="424">
        <f t="shared" si="604"/>
        <v>0</v>
      </c>
      <c r="EU487" s="424">
        <f t="shared" si="604"/>
        <v>0</v>
      </c>
      <c r="EV487" s="424">
        <f t="shared" si="604"/>
        <v>0</v>
      </c>
      <c r="EW487" s="424">
        <f t="shared" si="604"/>
        <v>0</v>
      </c>
      <c r="EX487" s="424">
        <f t="shared" si="604"/>
        <v>0</v>
      </c>
      <c r="EY487" s="425">
        <f t="shared" si="374"/>
        <v>15.04</v>
      </c>
    </row>
    <row r="488" spans="1:166" ht="14.7" customHeight="1" x14ac:dyDescent="0.25">
      <c r="A488" s="310">
        <v>114</v>
      </c>
      <c r="B488" s="311" t="str">
        <f t="shared" si="355"/>
        <v>Каша рассыпчатая рисовая маслом</v>
      </c>
      <c r="C488" s="483">
        <f t="shared" si="363"/>
        <v>12.49</v>
      </c>
      <c r="D488" s="888"/>
      <c r="E488" s="888"/>
      <c r="F488" s="888"/>
      <c r="G488" s="889"/>
      <c r="H488" s="680">
        <f t="shared" si="356"/>
        <v>171</v>
      </c>
      <c r="I488" s="1209">
        <f t="shared" si="357"/>
        <v>0</v>
      </c>
      <c r="J488" s="424">
        <f t="shared" ref="J488:AO488" si="605">J118*J$372</f>
        <v>0</v>
      </c>
      <c r="K488" s="424">
        <f t="shared" si="605"/>
        <v>0</v>
      </c>
      <c r="L488" s="424">
        <f t="shared" si="605"/>
        <v>0</v>
      </c>
      <c r="M488" s="424">
        <f t="shared" si="605"/>
        <v>0</v>
      </c>
      <c r="N488" s="424">
        <f t="shared" si="605"/>
        <v>0</v>
      </c>
      <c r="O488" s="424">
        <f t="shared" si="605"/>
        <v>0</v>
      </c>
      <c r="P488" s="424">
        <f t="shared" si="605"/>
        <v>0</v>
      </c>
      <c r="Q488" s="424">
        <f t="shared" si="605"/>
        <v>0</v>
      </c>
      <c r="R488" s="424">
        <f t="shared" si="605"/>
        <v>0</v>
      </c>
      <c r="S488" s="424">
        <f t="shared" si="605"/>
        <v>0</v>
      </c>
      <c r="T488" s="424">
        <f t="shared" si="605"/>
        <v>0</v>
      </c>
      <c r="U488" s="424">
        <f t="shared" si="605"/>
        <v>0</v>
      </c>
      <c r="V488" s="424">
        <f t="shared" si="605"/>
        <v>7.1</v>
      </c>
      <c r="W488" s="424">
        <f t="shared" si="605"/>
        <v>0</v>
      </c>
      <c r="X488" s="424">
        <f t="shared" si="605"/>
        <v>0</v>
      </c>
      <c r="Y488" s="424">
        <f t="shared" si="605"/>
        <v>0</v>
      </c>
      <c r="Z488" s="424">
        <f t="shared" si="605"/>
        <v>0</v>
      </c>
      <c r="AA488" s="424">
        <f t="shared" si="605"/>
        <v>0</v>
      </c>
      <c r="AB488" s="424">
        <f t="shared" si="605"/>
        <v>0</v>
      </c>
      <c r="AC488" s="424">
        <f t="shared" si="605"/>
        <v>0</v>
      </c>
      <c r="AD488" s="424">
        <f t="shared" si="605"/>
        <v>0</v>
      </c>
      <c r="AE488" s="424">
        <f t="shared" si="605"/>
        <v>0</v>
      </c>
      <c r="AF488" s="424">
        <f t="shared" si="605"/>
        <v>0</v>
      </c>
      <c r="AG488" s="424">
        <f t="shared" si="605"/>
        <v>0</v>
      </c>
      <c r="AH488" s="424">
        <f t="shared" si="605"/>
        <v>0</v>
      </c>
      <c r="AI488" s="424">
        <f t="shared" si="605"/>
        <v>0</v>
      </c>
      <c r="AJ488" s="424">
        <f t="shared" si="605"/>
        <v>0</v>
      </c>
      <c r="AK488" s="424">
        <f t="shared" si="605"/>
        <v>0</v>
      </c>
      <c r="AL488" s="424">
        <f t="shared" si="605"/>
        <v>0</v>
      </c>
      <c r="AM488" s="424">
        <f t="shared" si="605"/>
        <v>0</v>
      </c>
      <c r="AN488" s="424">
        <f t="shared" si="605"/>
        <v>0</v>
      </c>
      <c r="AO488" s="424">
        <f t="shared" si="605"/>
        <v>0</v>
      </c>
      <c r="AP488" s="424">
        <f t="shared" ref="AP488:BU488" si="606">AP118*AP$372</f>
        <v>0</v>
      </c>
      <c r="AQ488" s="424">
        <f t="shared" si="606"/>
        <v>0</v>
      </c>
      <c r="AR488" s="424">
        <f t="shared" si="606"/>
        <v>0</v>
      </c>
      <c r="AS488" s="424">
        <f t="shared" si="606"/>
        <v>0</v>
      </c>
      <c r="AT488" s="424">
        <f t="shared" si="606"/>
        <v>0</v>
      </c>
      <c r="AU488" s="424">
        <f t="shared" si="606"/>
        <v>0</v>
      </c>
      <c r="AV488" s="424">
        <f t="shared" si="606"/>
        <v>0</v>
      </c>
      <c r="AW488" s="424">
        <f t="shared" si="606"/>
        <v>0</v>
      </c>
      <c r="AX488" s="424">
        <f t="shared" si="606"/>
        <v>0</v>
      </c>
      <c r="AY488" s="424">
        <f t="shared" si="606"/>
        <v>0</v>
      </c>
      <c r="AZ488" s="424">
        <f t="shared" si="606"/>
        <v>0</v>
      </c>
      <c r="BA488" s="424">
        <f t="shared" si="606"/>
        <v>0</v>
      </c>
      <c r="BB488" s="424">
        <f t="shared" si="606"/>
        <v>0</v>
      </c>
      <c r="BC488" s="424">
        <f t="shared" si="606"/>
        <v>0</v>
      </c>
      <c r="BD488" s="424">
        <f t="shared" si="606"/>
        <v>0</v>
      </c>
      <c r="BE488" s="424">
        <f t="shared" si="606"/>
        <v>0</v>
      </c>
      <c r="BF488" s="424">
        <f t="shared" si="606"/>
        <v>0</v>
      </c>
      <c r="BG488" s="424">
        <f t="shared" si="606"/>
        <v>0</v>
      </c>
      <c r="BH488" s="424">
        <f t="shared" si="606"/>
        <v>0</v>
      </c>
      <c r="BI488" s="424">
        <f t="shared" si="606"/>
        <v>0</v>
      </c>
      <c r="BJ488" s="424">
        <f t="shared" si="606"/>
        <v>0</v>
      </c>
      <c r="BK488" s="424">
        <f t="shared" si="606"/>
        <v>0</v>
      </c>
      <c r="BL488" s="424">
        <f t="shared" si="606"/>
        <v>0</v>
      </c>
      <c r="BM488" s="424">
        <f t="shared" si="606"/>
        <v>0</v>
      </c>
      <c r="BN488" s="424">
        <f t="shared" si="606"/>
        <v>0</v>
      </c>
      <c r="BO488" s="424">
        <f t="shared" si="606"/>
        <v>0</v>
      </c>
      <c r="BP488" s="424">
        <f t="shared" si="606"/>
        <v>0</v>
      </c>
      <c r="BQ488" s="424">
        <f t="shared" si="606"/>
        <v>0</v>
      </c>
      <c r="BR488" s="424">
        <f t="shared" si="606"/>
        <v>0</v>
      </c>
      <c r="BS488" s="424">
        <f t="shared" si="606"/>
        <v>0</v>
      </c>
      <c r="BT488" s="424">
        <f t="shared" si="606"/>
        <v>0</v>
      </c>
      <c r="BU488" s="424">
        <f t="shared" si="606"/>
        <v>0</v>
      </c>
      <c r="BV488" s="424">
        <f t="shared" ref="BV488:DA488" si="607">BV118*BV$372</f>
        <v>0</v>
      </c>
      <c r="BW488" s="424">
        <f t="shared" si="607"/>
        <v>0</v>
      </c>
      <c r="BX488" s="424">
        <f t="shared" si="607"/>
        <v>0</v>
      </c>
      <c r="BY488" s="424">
        <f t="shared" si="607"/>
        <v>0</v>
      </c>
      <c r="BZ488" s="424">
        <f t="shared" si="607"/>
        <v>0</v>
      </c>
      <c r="CA488" s="424">
        <f t="shared" si="607"/>
        <v>0</v>
      </c>
      <c r="CB488" s="424">
        <f t="shared" si="607"/>
        <v>5.29</v>
      </c>
      <c r="CC488" s="424">
        <f t="shared" si="607"/>
        <v>0</v>
      </c>
      <c r="CD488" s="424">
        <f t="shared" si="607"/>
        <v>0</v>
      </c>
      <c r="CE488" s="424">
        <f t="shared" si="607"/>
        <v>0</v>
      </c>
      <c r="CF488" s="424">
        <f t="shared" si="607"/>
        <v>0</v>
      </c>
      <c r="CG488" s="424">
        <f t="shared" si="607"/>
        <v>0</v>
      </c>
      <c r="CH488" s="424">
        <f t="shared" si="607"/>
        <v>0</v>
      </c>
      <c r="CI488" s="424">
        <f t="shared" si="607"/>
        <v>0</v>
      </c>
      <c r="CJ488" s="424">
        <f t="shared" si="607"/>
        <v>0</v>
      </c>
      <c r="CK488" s="424">
        <f t="shared" si="607"/>
        <v>0</v>
      </c>
      <c r="CL488" s="424">
        <f t="shared" si="607"/>
        <v>0</v>
      </c>
      <c r="CM488" s="424">
        <f t="shared" si="607"/>
        <v>0</v>
      </c>
      <c r="CN488" s="424">
        <f t="shared" si="607"/>
        <v>0</v>
      </c>
      <c r="CO488" s="424">
        <f t="shared" si="607"/>
        <v>0</v>
      </c>
      <c r="CP488" s="424">
        <f t="shared" si="607"/>
        <v>0</v>
      </c>
      <c r="CQ488" s="424">
        <f t="shared" si="607"/>
        <v>0</v>
      </c>
      <c r="CR488" s="424">
        <f t="shared" si="607"/>
        <v>0</v>
      </c>
      <c r="CS488" s="424">
        <f t="shared" si="607"/>
        <v>0</v>
      </c>
      <c r="CT488" s="424">
        <f t="shared" si="607"/>
        <v>0</v>
      </c>
      <c r="CU488" s="424">
        <f t="shared" si="607"/>
        <v>0</v>
      </c>
      <c r="CV488" s="424">
        <f t="shared" si="607"/>
        <v>0</v>
      </c>
      <c r="CW488" s="424">
        <f t="shared" si="607"/>
        <v>0</v>
      </c>
      <c r="CX488" s="424">
        <f t="shared" si="607"/>
        <v>0</v>
      </c>
      <c r="CY488" s="424">
        <f t="shared" si="607"/>
        <v>0</v>
      </c>
      <c r="CZ488" s="424">
        <f t="shared" si="607"/>
        <v>0</v>
      </c>
      <c r="DA488" s="424">
        <f t="shared" si="607"/>
        <v>0</v>
      </c>
      <c r="DB488" s="424">
        <f t="shared" ref="DB488:EG488" si="608">DB118*DB$372</f>
        <v>0</v>
      </c>
      <c r="DC488" s="424">
        <f t="shared" si="608"/>
        <v>0.1</v>
      </c>
      <c r="DD488" s="424">
        <f t="shared" si="608"/>
        <v>0</v>
      </c>
      <c r="DE488" s="424">
        <f t="shared" si="608"/>
        <v>0</v>
      </c>
      <c r="DF488" s="424">
        <f t="shared" si="608"/>
        <v>0</v>
      </c>
      <c r="DG488" s="424">
        <f t="shared" si="608"/>
        <v>0</v>
      </c>
      <c r="DH488" s="424">
        <f t="shared" si="608"/>
        <v>0</v>
      </c>
      <c r="DI488" s="424">
        <f t="shared" si="608"/>
        <v>0</v>
      </c>
      <c r="DJ488" s="424">
        <f t="shared" si="608"/>
        <v>0</v>
      </c>
      <c r="DK488" s="424">
        <f t="shared" si="608"/>
        <v>0</v>
      </c>
      <c r="DL488" s="424">
        <f t="shared" si="608"/>
        <v>0</v>
      </c>
      <c r="DM488" s="424">
        <f t="shared" si="608"/>
        <v>0</v>
      </c>
      <c r="DN488" s="424">
        <f t="shared" si="608"/>
        <v>0</v>
      </c>
      <c r="DO488" s="424">
        <f t="shared" si="608"/>
        <v>0</v>
      </c>
      <c r="DP488" s="424">
        <f t="shared" si="608"/>
        <v>0</v>
      </c>
      <c r="DQ488" s="424">
        <f t="shared" si="608"/>
        <v>0</v>
      </c>
      <c r="DR488" s="424">
        <f t="shared" si="608"/>
        <v>0</v>
      </c>
      <c r="DS488" s="424">
        <f t="shared" si="608"/>
        <v>0</v>
      </c>
      <c r="DT488" s="424">
        <f t="shared" si="608"/>
        <v>0</v>
      </c>
      <c r="DU488" s="424">
        <f t="shared" si="608"/>
        <v>0</v>
      </c>
      <c r="DV488" s="424">
        <f t="shared" si="608"/>
        <v>0</v>
      </c>
      <c r="DW488" s="424">
        <f t="shared" si="608"/>
        <v>0</v>
      </c>
      <c r="DX488" s="424">
        <f t="shared" si="608"/>
        <v>0</v>
      </c>
      <c r="DY488" s="424">
        <f t="shared" si="608"/>
        <v>0</v>
      </c>
      <c r="DZ488" s="424">
        <f t="shared" si="608"/>
        <v>0</v>
      </c>
      <c r="EA488" s="424">
        <f t="shared" si="608"/>
        <v>0</v>
      </c>
      <c r="EB488" s="424">
        <f t="shared" si="608"/>
        <v>0</v>
      </c>
      <c r="EC488" s="424">
        <f t="shared" si="608"/>
        <v>0</v>
      </c>
      <c r="ED488" s="424">
        <f t="shared" si="608"/>
        <v>0</v>
      </c>
      <c r="EE488" s="424">
        <f t="shared" si="608"/>
        <v>0</v>
      </c>
      <c r="EF488" s="424">
        <f t="shared" si="608"/>
        <v>0</v>
      </c>
      <c r="EG488" s="424">
        <f t="shared" si="608"/>
        <v>0</v>
      </c>
      <c r="EH488" s="424">
        <f t="shared" ref="EH488:EX488" si="609">EH118*EH$372</f>
        <v>0</v>
      </c>
      <c r="EI488" s="424">
        <f t="shared" si="609"/>
        <v>0</v>
      </c>
      <c r="EJ488" s="424">
        <f t="shared" si="609"/>
        <v>0</v>
      </c>
      <c r="EK488" s="424">
        <f t="shared" si="609"/>
        <v>0</v>
      </c>
      <c r="EL488" s="424">
        <f t="shared" si="609"/>
        <v>0</v>
      </c>
      <c r="EM488" s="424">
        <f t="shared" si="609"/>
        <v>0</v>
      </c>
      <c r="EN488" s="424">
        <f t="shared" si="609"/>
        <v>0</v>
      </c>
      <c r="EO488" s="424">
        <f t="shared" si="609"/>
        <v>0</v>
      </c>
      <c r="EP488" s="424">
        <f t="shared" si="609"/>
        <v>0</v>
      </c>
      <c r="EQ488" s="424">
        <f t="shared" si="609"/>
        <v>0</v>
      </c>
      <c r="ER488" s="424">
        <f t="shared" si="609"/>
        <v>0</v>
      </c>
      <c r="ES488" s="424">
        <f t="shared" si="609"/>
        <v>0</v>
      </c>
      <c r="ET488" s="424">
        <f t="shared" si="609"/>
        <v>0</v>
      </c>
      <c r="EU488" s="424">
        <f t="shared" si="609"/>
        <v>0</v>
      </c>
      <c r="EV488" s="424">
        <f t="shared" si="609"/>
        <v>0</v>
      </c>
      <c r="EW488" s="424">
        <f t="shared" si="609"/>
        <v>0</v>
      </c>
      <c r="EX488" s="424">
        <f t="shared" si="609"/>
        <v>0</v>
      </c>
      <c r="EY488" s="425">
        <f t="shared" si="374"/>
        <v>12.49</v>
      </c>
    </row>
    <row r="489" spans="1:166" ht="14.7" customHeight="1" x14ac:dyDescent="0.25">
      <c r="A489" s="310">
        <v>115</v>
      </c>
      <c r="B489" s="311" t="str">
        <f t="shared" si="355"/>
        <v>Каша рассыпчатая рисовая маслом и сахаром</v>
      </c>
      <c r="C489" s="483">
        <f t="shared" si="363"/>
        <v>13.25</v>
      </c>
      <c r="D489" s="888"/>
      <c r="E489" s="888"/>
      <c r="F489" s="888"/>
      <c r="G489" s="889"/>
      <c r="H489" s="680">
        <f t="shared" si="356"/>
        <v>171</v>
      </c>
      <c r="I489" s="1209">
        <f t="shared" si="357"/>
        <v>0</v>
      </c>
      <c r="J489" s="424">
        <f t="shared" ref="J489:AO489" si="610">J119*J$372</f>
        <v>0</v>
      </c>
      <c r="K489" s="424">
        <f t="shared" si="610"/>
        <v>0</v>
      </c>
      <c r="L489" s="424">
        <f t="shared" si="610"/>
        <v>0</v>
      </c>
      <c r="M489" s="424">
        <f t="shared" si="610"/>
        <v>0</v>
      </c>
      <c r="N489" s="424">
        <f t="shared" si="610"/>
        <v>0</v>
      </c>
      <c r="O489" s="424">
        <f t="shared" si="610"/>
        <v>0</v>
      </c>
      <c r="P489" s="424">
        <f t="shared" si="610"/>
        <v>0</v>
      </c>
      <c r="Q489" s="424">
        <f t="shared" si="610"/>
        <v>0</v>
      </c>
      <c r="R489" s="424">
        <f t="shared" si="610"/>
        <v>0</v>
      </c>
      <c r="S489" s="424">
        <f t="shared" si="610"/>
        <v>0</v>
      </c>
      <c r="T489" s="424">
        <f t="shared" si="610"/>
        <v>0</v>
      </c>
      <c r="U489" s="424">
        <f t="shared" si="610"/>
        <v>0</v>
      </c>
      <c r="V489" s="424">
        <f t="shared" si="610"/>
        <v>7.1</v>
      </c>
      <c r="W489" s="424">
        <f t="shared" si="610"/>
        <v>0</v>
      </c>
      <c r="X489" s="424">
        <f t="shared" si="610"/>
        <v>0</v>
      </c>
      <c r="Y489" s="424">
        <f t="shared" si="610"/>
        <v>0</v>
      </c>
      <c r="Z489" s="424">
        <f t="shared" si="610"/>
        <v>0</v>
      </c>
      <c r="AA489" s="424">
        <f t="shared" si="610"/>
        <v>0</v>
      </c>
      <c r="AB489" s="424">
        <f t="shared" si="610"/>
        <v>0</v>
      </c>
      <c r="AC489" s="424">
        <f t="shared" si="610"/>
        <v>0</v>
      </c>
      <c r="AD489" s="424">
        <f t="shared" si="610"/>
        <v>0</v>
      </c>
      <c r="AE489" s="424">
        <f t="shared" si="610"/>
        <v>0</v>
      </c>
      <c r="AF489" s="424">
        <f t="shared" si="610"/>
        <v>0</v>
      </c>
      <c r="AG489" s="424">
        <f t="shared" si="610"/>
        <v>0</v>
      </c>
      <c r="AH489" s="424">
        <f t="shared" si="610"/>
        <v>0</v>
      </c>
      <c r="AI489" s="424">
        <f t="shared" si="610"/>
        <v>0</v>
      </c>
      <c r="AJ489" s="424">
        <f t="shared" si="610"/>
        <v>0</v>
      </c>
      <c r="AK489" s="424">
        <f t="shared" si="610"/>
        <v>0</v>
      </c>
      <c r="AL489" s="424">
        <f t="shared" si="610"/>
        <v>0</v>
      </c>
      <c r="AM489" s="424">
        <f t="shared" si="610"/>
        <v>0</v>
      </c>
      <c r="AN489" s="424">
        <f t="shared" si="610"/>
        <v>0</v>
      </c>
      <c r="AO489" s="424">
        <f t="shared" si="610"/>
        <v>0</v>
      </c>
      <c r="AP489" s="424">
        <f t="shared" ref="AP489:BU489" si="611">AP119*AP$372</f>
        <v>0</v>
      </c>
      <c r="AQ489" s="424">
        <f t="shared" si="611"/>
        <v>0</v>
      </c>
      <c r="AR489" s="424">
        <f t="shared" si="611"/>
        <v>0</v>
      </c>
      <c r="AS489" s="424">
        <f t="shared" si="611"/>
        <v>0</v>
      </c>
      <c r="AT489" s="424">
        <f t="shared" si="611"/>
        <v>0</v>
      </c>
      <c r="AU489" s="424">
        <f t="shared" si="611"/>
        <v>0</v>
      </c>
      <c r="AV489" s="424">
        <f t="shared" si="611"/>
        <v>0</v>
      </c>
      <c r="AW489" s="424">
        <f t="shared" si="611"/>
        <v>0</v>
      </c>
      <c r="AX489" s="424">
        <f t="shared" si="611"/>
        <v>0</v>
      </c>
      <c r="AY489" s="424">
        <f t="shared" si="611"/>
        <v>0</v>
      </c>
      <c r="AZ489" s="424">
        <f t="shared" si="611"/>
        <v>0</v>
      </c>
      <c r="BA489" s="424">
        <f t="shared" si="611"/>
        <v>0</v>
      </c>
      <c r="BB489" s="424">
        <f t="shared" si="611"/>
        <v>0</v>
      </c>
      <c r="BC489" s="424">
        <f t="shared" si="611"/>
        <v>0</v>
      </c>
      <c r="BD489" s="424">
        <f t="shared" si="611"/>
        <v>0</v>
      </c>
      <c r="BE489" s="424">
        <f t="shared" si="611"/>
        <v>0</v>
      </c>
      <c r="BF489" s="424">
        <f t="shared" si="611"/>
        <v>0</v>
      </c>
      <c r="BG489" s="424">
        <f t="shared" si="611"/>
        <v>0</v>
      </c>
      <c r="BH489" s="424">
        <f t="shared" si="611"/>
        <v>0</v>
      </c>
      <c r="BI489" s="424">
        <f t="shared" si="611"/>
        <v>0</v>
      </c>
      <c r="BJ489" s="424">
        <f t="shared" si="611"/>
        <v>0</v>
      </c>
      <c r="BK489" s="424">
        <f t="shared" si="611"/>
        <v>0</v>
      </c>
      <c r="BL489" s="424">
        <f t="shared" si="611"/>
        <v>0</v>
      </c>
      <c r="BM489" s="424">
        <f t="shared" si="611"/>
        <v>0</v>
      </c>
      <c r="BN489" s="424">
        <f t="shared" si="611"/>
        <v>0</v>
      </c>
      <c r="BO489" s="424">
        <f t="shared" si="611"/>
        <v>0</v>
      </c>
      <c r="BP489" s="424">
        <f t="shared" si="611"/>
        <v>0</v>
      </c>
      <c r="BQ489" s="424">
        <f t="shared" si="611"/>
        <v>0</v>
      </c>
      <c r="BR489" s="424">
        <f t="shared" si="611"/>
        <v>0</v>
      </c>
      <c r="BS489" s="424">
        <f t="shared" si="611"/>
        <v>0</v>
      </c>
      <c r="BT489" s="424">
        <f t="shared" si="611"/>
        <v>0</v>
      </c>
      <c r="BU489" s="424">
        <f t="shared" si="611"/>
        <v>0</v>
      </c>
      <c r="BV489" s="424">
        <f t="shared" ref="BV489:DA489" si="612">BV119*BV$372</f>
        <v>0</v>
      </c>
      <c r="BW489" s="424">
        <f t="shared" si="612"/>
        <v>0</v>
      </c>
      <c r="BX489" s="424">
        <f t="shared" si="612"/>
        <v>0</v>
      </c>
      <c r="BY489" s="424">
        <f t="shared" si="612"/>
        <v>0</v>
      </c>
      <c r="BZ489" s="424">
        <f t="shared" si="612"/>
        <v>0</v>
      </c>
      <c r="CA489" s="424">
        <f t="shared" si="612"/>
        <v>0</v>
      </c>
      <c r="CB489" s="424">
        <f t="shared" si="612"/>
        <v>5.29</v>
      </c>
      <c r="CC489" s="424">
        <f t="shared" si="612"/>
        <v>0</v>
      </c>
      <c r="CD489" s="424">
        <f t="shared" si="612"/>
        <v>0</v>
      </c>
      <c r="CE489" s="424">
        <f t="shared" si="612"/>
        <v>0</v>
      </c>
      <c r="CF489" s="424">
        <f t="shared" si="612"/>
        <v>0</v>
      </c>
      <c r="CG489" s="424">
        <f t="shared" si="612"/>
        <v>0</v>
      </c>
      <c r="CH489" s="424">
        <f t="shared" si="612"/>
        <v>0</v>
      </c>
      <c r="CI489" s="424">
        <f t="shared" si="612"/>
        <v>0</v>
      </c>
      <c r="CJ489" s="424">
        <f t="shared" si="612"/>
        <v>0</v>
      </c>
      <c r="CK489" s="424">
        <f t="shared" si="612"/>
        <v>0</v>
      </c>
      <c r="CL489" s="424">
        <f t="shared" si="612"/>
        <v>0</v>
      </c>
      <c r="CM489" s="424">
        <f t="shared" si="612"/>
        <v>0</v>
      </c>
      <c r="CN489" s="424">
        <f t="shared" si="612"/>
        <v>0</v>
      </c>
      <c r="CO489" s="424">
        <f t="shared" si="612"/>
        <v>0</v>
      </c>
      <c r="CP489" s="424">
        <f t="shared" si="612"/>
        <v>0</v>
      </c>
      <c r="CQ489" s="424">
        <f t="shared" si="612"/>
        <v>0</v>
      </c>
      <c r="CR489" s="424">
        <f t="shared" si="612"/>
        <v>0</v>
      </c>
      <c r="CS489" s="424">
        <f t="shared" si="612"/>
        <v>0</v>
      </c>
      <c r="CT489" s="424">
        <f t="shared" si="612"/>
        <v>0</v>
      </c>
      <c r="CU489" s="424">
        <f t="shared" si="612"/>
        <v>0</v>
      </c>
      <c r="CV489" s="424">
        <f t="shared" si="612"/>
        <v>0</v>
      </c>
      <c r="CW489" s="424">
        <f t="shared" si="612"/>
        <v>0</v>
      </c>
      <c r="CX489" s="424">
        <f t="shared" si="612"/>
        <v>0</v>
      </c>
      <c r="CY489" s="424">
        <f t="shared" si="612"/>
        <v>0</v>
      </c>
      <c r="CZ489" s="424">
        <f t="shared" si="612"/>
        <v>0.76</v>
      </c>
      <c r="DA489" s="424">
        <f t="shared" si="612"/>
        <v>0</v>
      </c>
      <c r="DB489" s="424">
        <f t="shared" ref="DB489:EG489" si="613">DB119*DB$372</f>
        <v>0</v>
      </c>
      <c r="DC489" s="424">
        <f t="shared" si="613"/>
        <v>0.1</v>
      </c>
      <c r="DD489" s="424">
        <f t="shared" si="613"/>
        <v>0</v>
      </c>
      <c r="DE489" s="424">
        <f t="shared" si="613"/>
        <v>0</v>
      </c>
      <c r="DF489" s="424">
        <f t="shared" si="613"/>
        <v>0</v>
      </c>
      <c r="DG489" s="424">
        <f t="shared" si="613"/>
        <v>0</v>
      </c>
      <c r="DH489" s="424">
        <f t="shared" si="613"/>
        <v>0</v>
      </c>
      <c r="DI489" s="424">
        <f t="shared" si="613"/>
        <v>0</v>
      </c>
      <c r="DJ489" s="424">
        <f t="shared" si="613"/>
        <v>0</v>
      </c>
      <c r="DK489" s="424">
        <f t="shared" si="613"/>
        <v>0</v>
      </c>
      <c r="DL489" s="424">
        <f t="shared" si="613"/>
        <v>0</v>
      </c>
      <c r="DM489" s="424">
        <f t="shared" si="613"/>
        <v>0</v>
      </c>
      <c r="DN489" s="424">
        <f t="shared" si="613"/>
        <v>0</v>
      </c>
      <c r="DO489" s="424">
        <f t="shared" si="613"/>
        <v>0</v>
      </c>
      <c r="DP489" s="424">
        <f t="shared" si="613"/>
        <v>0</v>
      </c>
      <c r="DQ489" s="424">
        <f t="shared" si="613"/>
        <v>0</v>
      </c>
      <c r="DR489" s="424">
        <f t="shared" si="613"/>
        <v>0</v>
      </c>
      <c r="DS489" s="424">
        <f t="shared" si="613"/>
        <v>0</v>
      </c>
      <c r="DT489" s="424">
        <f t="shared" si="613"/>
        <v>0</v>
      </c>
      <c r="DU489" s="424">
        <f t="shared" si="613"/>
        <v>0</v>
      </c>
      <c r="DV489" s="424">
        <f t="shared" si="613"/>
        <v>0</v>
      </c>
      <c r="DW489" s="424">
        <f t="shared" si="613"/>
        <v>0</v>
      </c>
      <c r="DX489" s="424">
        <f t="shared" si="613"/>
        <v>0</v>
      </c>
      <c r="DY489" s="424">
        <f t="shared" si="613"/>
        <v>0</v>
      </c>
      <c r="DZ489" s="424">
        <f t="shared" si="613"/>
        <v>0</v>
      </c>
      <c r="EA489" s="424">
        <f t="shared" si="613"/>
        <v>0</v>
      </c>
      <c r="EB489" s="424">
        <f t="shared" si="613"/>
        <v>0</v>
      </c>
      <c r="EC489" s="424">
        <f t="shared" si="613"/>
        <v>0</v>
      </c>
      <c r="ED489" s="424">
        <f t="shared" si="613"/>
        <v>0</v>
      </c>
      <c r="EE489" s="424">
        <f t="shared" si="613"/>
        <v>0</v>
      </c>
      <c r="EF489" s="424">
        <f t="shared" si="613"/>
        <v>0</v>
      </c>
      <c r="EG489" s="424">
        <f t="shared" si="613"/>
        <v>0</v>
      </c>
      <c r="EH489" s="424">
        <f t="shared" ref="EH489:EX489" si="614">EH119*EH$372</f>
        <v>0</v>
      </c>
      <c r="EI489" s="424">
        <f t="shared" si="614"/>
        <v>0</v>
      </c>
      <c r="EJ489" s="424">
        <f t="shared" si="614"/>
        <v>0</v>
      </c>
      <c r="EK489" s="424">
        <f t="shared" si="614"/>
        <v>0</v>
      </c>
      <c r="EL489" s="424">
        <f t="shared" si="614"/>
        <v>0</v>
      </c>
      <c r="EM489" s="424">
        <f t="shared" si="614"/>
        <v>0</v>
      </c>
      <c r="EN489" s="424">
        <f t="shared" si="614"/>
        <v>0</v>
      </c>
      <c r="EO489" s="424">
        <f t="shared" si="614"/>
        <v>0</v>
      </c>
      <c r="EP489" s="424">
        <f t="shared" si="614"/>
        <v>0</v>
      </c>
      <c r="EQ489" s="424">
        <f t="shared" si="614"/>
        <v>0</v>
      </c>
      <c r="ER489" s="424">
        <f t="shared" si="614"/>
        <v>0</v>
      </c>
      <c r="ES489" s="424">
        <f t="shared" si="614"/>
        <v>0</v>
      </c>
      <c r="ET489" s="424">
        <f t="shared" si="614"/>
        <v>0</v>
      </c>
      <c r="EU489" s="424">
        <f t="shared" si="614"/>
        <v>0</v>
      </c>
      <c r="EV489" s="424">
        <f t="shared" si="614"/>
        <v>0</v>
      </c>
      <c r="EW489" s="424">
        <f t="shared" si="614"/>
        <v>0</v>
      </c>
      <c r="EX489" s="424">
        <f t="shared" si="614"/>
        <v>0</v>
      </c>
      <c r="EY489" s="425">
        <f t="shared" si="374"/>
        <v>13.25</v>
      </c>
    </row>
    <row r="490" spans="1:166" ht="14.7" customHeight="1" x14ac:dyDescent="0.25">
      <c r="A490" s="310">
        <v>116</v>
      </c>
      <c r="B490" s="311" t="str">
        <f t="shared" si="355"/>
        <v>Каша рассыпчатая перловая с маслом</v>
      </c>
      <c r="C490" s="483">
        <f t="shared" si="363"/>
        <v>9.2100000000000009</v>
      </c>
      <c r="D490" s="888"/>
      <c r="E490" s="888"/>
      <c r="F490" s="888"/>
      <c r="G490" s="889"/>
      <c r="H490" s="680">
        <f t="shared" si="356"/>
        <v>171</v>
      </c>
      <c r="I490" s="1209">
        <f t="shared" si="357"/>
        <v>0</v>
      </c>
      <c r="J490" s="424">
        <f t="shared" ref="J490:AO490" si="615">J120*J$372</f>
        <v>0</v>
      </c>
      <c r="K490" s="424">
        <f t="shared" si="615"/>
        <v>0</v>
      </c>
      <c r="L490" s="424">
        <f t="shared" si="615"/>
        <v>0</v>
      </c>
      <c r="M490" s="424">
        <f t="shared" si="615"/>
        <v>0</v>
      </c>
      <c r="N490" s="424">
        <f t="shared" si="615"/>
        <v>0</v>
      </c>
      <c r="O490" s="424">
        <f t="shared" si="615"/>
        <v>0</v>
      </c>
      <c r="P490" s="424">
        <f t="shared" si="615"/>
        <v>0</v>
      </c>
      <c r="Q490" s="424">
        <f t="shared" si="615"/>
        <v>0</v>
      </c>
      <c r="R490" s="424">
        <f t="shared" si="615"/>
        <v>0</v>
      </c>
      <c r="S490" s="424">
        <f t="shared" si="615"/>
        <v>0</v>
      </c>
      <c r="T490" s="424">
        <f t="shared" si="615"/>
        <v>0</v>
      </c>
      <c r="U490" s="424">
        <f t="shared" si="615"/>
        <v>0</v>
      </c>
      <c r="V490" s="424">
        <f t="shared" si="615"/>
        <v>7.1</v>
      </c>
      <c r="W490" s="424">
        <f t="shared" si="615"/>
        <v>0</v>
      </c>
      <c r="X490" s="424">
        <f t="shared" si="615"/>
        <v>0</v>
      </c>
      <c r="Y490" s="424">
        <f t="shared" si="615"/>
        <v>0</v>
      </c>
      <c r="Z490" s="424">
        <f t="shared" si="615"/>
        <v>0</v>
      </c>
      <c r="AA490" s="424">
        <f t="shared" si="615"/>
        <v>0</v>
      </c>
      <c r="AB490" s="424">
        <f t="shared" si="615"/>
        <v>0</v>
      </c>
      <c r="AC490" s="424">
        <f t="shared" si="615"/>
        <v>0</v>
      </c>
      <c r="AD490" s="424">
        <f t="shared" si="615"/>
        <v>0</v>
      </c>
      <c r="AE490" s="424">
        <f t="shared" si="615"/>
        <v>0</v>
      </c>
      <c r="AF490" s="424">
        <f t="shared" si="615"/>
        <v>0</v>
      </c>
      <c r="AG490" s="424">
        <f t="shared" si="615"/>
        <v>0</v>
      </c>
      <c r="AH490" s="424">
        <f t="shared" si="615"/>
        <v>0</v>
      </c>
      <c r="AI490" s="424">
        <f t="shared" si="615"/>
        <v>0</v>
      </c>
      <c r="AJ490" s="424">
        <f t="shared" si="615"/>
        <v>0</v>
      </c>
      <c r="AK490" s="424">
        <f t="shared" si="615"/>
        <v>0</v>
      </c>
      <c r="AL490" s="424">
        <f t="shared" si="615"/>
        <v>0</v>
      </c>
      <c r="AM490" s="424">
        <f t="shared" si="615"/>
        <v>0</v>
      </c>
      <c r="AN490" s="424">
        <f t="shared" si="615"/>
        <v>0</v>
      </c>
      <c r="AO490" s="424">
        <f t="shared" si="615"/>
        <v>0</v>
      </c>
      <c r="AP490" s="424">
        <f t="shared" ref="AP490:BU490" si="616">AP120*AP$372</f>
        <v>0</v>
      </c>
      <c r="AQ490" s="424">
        <f t="shared" si="616"/>
        <v>0</v>
      </c>
      <c r="AR490" s="424">
        <f t="shared" si="616"/>
        <v>0</v>
      </c>
      <c r="AS490" s="424">
        <f t="shared" si="616"/>
        <v>0</v>
      </c>
      <c r="AT490" s="424">
        <f t="shared" si="616"/>
        <v>0</v>
      </c>
      <c r="AU490" s="424">
        <f t="shared" si="616"/>
        <v>0</v>
      </c>
      <c r="AV490" s="424">
        <f t="shared" si="616"/>
        <v>0</v>
      </c>
      <c r="AW490" s="424">
        <f t="shared" si="616"/>
        <v>0</v>
      </c>
      <c r="AX490" s="424">
        <f t="shared" si="616"/>
        <v>0</v>
      </c>
      <c r="AY490" s="424">
        <f t="shared" si="616"/>
        <v>0</v>
      </c>
      <c r="AZ490" s="424">
        <f t="shared" si="616"/>
        <v>0</v>
      </c>
      <c r="BA490" s="424">
        <f t="shared" si="616"/>
        <v>0</v>
      </c>
      <c r="BB490" s="424">
        <f t="shared" si="616"/>
        <v>0</v>
      </c>
      <c r="BC490" s="424">
        <f t="shared" si="616"/>
        <v>0</v>
      </c>
      <c r="BD490" s="424">
        <f t="shared" si="616"/>
        <v>0</v>
      </c>
      <c r="BE490" s="424">
        <f t="shared" si="616"/>
        <v>0</v>
      </c>
      <c r="BF490" s="424">
        <f t="shared" si="616"/>
        <v>0</v>
      </c>
      <c r="BG490" s="424">
        <f t="shared" si="616"/>
        <v>0</v>
      </c>
      <c r="BH490" s="424">
        <f t="shared" si="616"/>
        <v>0</v>
      </c>
      <c r="BI490" s="424">
        <f t="shared" si="616"/>
        <v>0</v>
      </c>
      <c r="BJ490" s="424">
        <f t="shared" si="616"/>
        <v>0</v>
      </c>
      <c r="BK490" s="424">
        <f t="shared" si="616"/>
        <v>0</v>
      </c>
      <c r="BL490" s="424">
        <f t="shared" si="616"/>
        <v>0</v>
      </c>
      <c r="BM490" s="424">
        <f t="shared" si="616"/>
        <v>0</v>
      </c>
      <c r="BN490" s="424">
        <f t="shared" si="616"/>
        <v>0</v>
      </c>
      <c r="BO490" s="424">
        <f t="shared" si="616"/>
        <v>0</v>
      </c>
      <c r="BP490" s="424">
        <f t="shared" si="616"/>
        <v>0</v>
      </c>
      <c r="BQ490" s="424">
        <f t="shared" si="616"/>
        <v>0</v>
      </c>
      <c r="BR490" s="424">
        <f t="shared" si="616"/>
        <v>0</v>
      </c>
      <c r="BS490" s="424">
        <f t="shared" si="616"/>
        <v>0</v>
      </c>
      <c r="BT490" s="424">
        <f t="shared" si="616"/>
        <v>0</v>
      </c>
      <c r="BU490" s="424">
        <f t="shared" si="616"/>
        <v>0</v>
      </c>
      <c r="BV490" s="424">
        <f t="shared" ref="BV490:DA490" si="617">BV120*BV$372</f>
        <v>2</v>
      </c>
      <c r="BW490" s="424">
        <f t="shared" si="617"/>
        <v>0</v>
      </c>
      <c r="BX490" s="424">
        <f t="shared" si="617"/>
        <v>0</v>
      </c>
      <c r="BY490" s="424">
        <f t="shared" si="617"/>
        <v>0</v>
      </c>
      <c r="BZ490" s="424">
        <f t="shared" si="617"/>
        <v>0</v>
      </c>
      <c r="CA490" s="424">
        <f t="shared" si="617"/>
        <v>0</v>
      </c>
      <c r="CB490" s="424">
        <f t="shared" si="617"/>
        <v>0</v>
      </c>
      <c r="CC490" s="424">
        <f t="shared" si="617"/>
        <v>0</v>
      </c>
      <c r="CD490" s="424">
        <f t="shared" si="617"/>
        <v>0</v>
      </c>
      <c r="CE490" s="424">
        <f t="shared" si="617"/>
        <v>0</v>
      </c>
      <c r="CF490" s="424">
        <f t="shared" si="617"/>
        <v>0</v>
      </c>
      <c r="CG490" s="424">
        <f t="shared" si="617"/>
        <v>0</v>
      </c>
      <c r="CH490" s="424">
        <f t="shared" si="617"/>
        <v>0</v>
      </c>
      <c r="CI490" s="424">
        <f t="shared" si="617"/>
        <v>0</v>
      </c>
      <c r="CJ490" s="424">
        <f t="shared" si="617"/>
        <v>0</v>
      </c>
      <c r="CK490" s="424">
        <f t="shared" si="617"/>
        <v>0</v>
      </c>
      <c r="CL490" s="424">
        <f t="shared" si="617"/>
        <v>0</v>
      </c>
      <c r="CM490" s="424">
        <f t="shared" si="617"/>
        <v>0</v>
      </c>
      <c r="CN490" s="424">
        <f t="shared" si="617"/>
        <v>0</v>
      </c>
      <c r="CO490" s="424">
        <f t="shared" si="617"/>
        <v>0</v>
      </c>
      <c r="CP490" s="424">
        <f t="shared" si="617"/>
        <v>0</v>
      </c>
      <c r="CQ490" s="424">
        <f t="shared" si="617"/>
        <v>0</v>
      </c>
      <c r="CR490" s="424">
        <f t="shared" si="617"/>
        <v>0</v>
      </c>
      <c r="CS490" s="424">
        <f t="shared" si="617"/>
        <v>0</v>
      </c>
      <c r="CT490" s="424">
        <f t="shared" si="617"/>
        <v>0</v>
      </c>
      <c r="CU490" s="424">
        <f t="shared" si="617"/>
        <v>0</v>
      </c>
      <c r="CV490" s="424">
        <f t="shared" si="617"/>
        <v>0</v>
      </c>
      <c r="CW490" s="424">
        <f t="shared" si="617"/>
        <v>0</v>
      </c>
      <c r="CX490" s="424">
        <f t="shared" si="617"/>
        <v>0</v>
      </c>
      <c r="CY490" s="424">
        <f t="shared" si="617"/>
        <v>0</v>
      </c>
      <c r="CZ490" s="424">
        <f t="shared" si="617"/>
        <v>0</v>
      </c>
      <c r="DA490" s="424">
        <f t="shared" si="617"/>
        <v>0</v>
      </c>
      <c r="DB490" s="424">
        <f t="shared" ref="DB490:EG490" si="618">DB120*DB$372</f>
        <v>0</v>
      </c>
      <c r="DC490" s="424">
        <f t="shared" si="618"/>
        <v>0.11</v>
      </c>
      <c r="DD490" s="424">
        <f t="shared" si="618"/>
        <v>0</v>
      </c>
      <c r="DE490" s="424">
        <f t="shared" si="618"/>
        <v>0</v>
      </c>
      <c r="DF490" s="424">
        <f t="shared" si="618"/>
        <v>0</v>
      </c>
      <c r="DG490" s="424">
        <f t="shared" si="618"/>
        <v>0</v>
      </c>
      <c r="DH490" s="424">
        <f t="shared" si="618"/>
        <v>0</v>
      </c>
      <c r="DI490" s="424">
        <f t="shared" si="618"/>
        <v>0</v>
      </c>
      <c r="DJ490" s="424">
        <f t="shared" si="618"/>
        <v>0</v>
      </c>
      <c r="DK490" s="424">
        <f t="shared" si="618"/>
        <v>0</v>
      </c>
      <c r="DL490" s="424">
        <f t="shared" si="618"/>
        <v>0</v>
      </c>
      <c r="DM490" s="424">
        <f t="shared" si="618"/>
        <v>0</v>
      </c>
      <c r="DN490" s="424">
        <f t="shared" si="618"/>
        <v>0</v>
      </c>
      <c r="DO490" s="424">
        <f t="shared" si="618"/>
        <v>0</v>
      </c>
      <c r="DP490" s="424">
        <f t="shared" si="618"/>
        <v>0</v>
      </c>
      <c r="DQ490" s="424">
        <f t="shared" si="618"/>
        <v>0</v>
      </c>
      <c r="DR490" s="424">
        <f t="shared" si="618"/>
        <v>0</v>
      </c>
      <c r="DS490" s="424">
        <f t="shared" si="618"/>
        <v>0</v>
      </c>
      <c r="DT490" s="424">
        <f t="shared" si="618"/>
        <v>0</v>
      </c>
      <c r="DU490" s="424">
        <f t="shared" si="618"/>
        <v>0</v>
      </c>
      <c r="DV490" s="424">
        <f t="shared" si="618"/>
        <v>0</v>
      </c>
      <c r="DW490" s="424">
        <f t="shared" si="618"/>
        <v>0</v>
      </c>
      <c r="DX490" s="424">
        <f t="shared" si="618"/>
        <v>0</v>
      </c>
      <c r="DY490" s="424">
        <f t="shared" si="618"/>
        <v>0</v>
      </c>
      <c r="DZ490" s="424">
        <f t="shared" si="618"/>
        <v>0</v>
      </c>
      <c r="EA490" s="424">
        <f t="shared" si="618"/>
        <v>0</v>
      </c>
      <c r="EB490" s="424">
        <f t="shared" si="618"/>
        <v>0</v>
      </c>
      <c r="EC490" s="424">
        <f t="shared" si="618"/>
        <v>0</v>
      </c>
      <c r="ED490" s="424">
        <f t="shared" si="618"/>
        <v>0</v>
      </c>
      <c r="EE490" s="424">
        <f t="shared" si="618"/>
        <v>0</v>
      </c>
      <c r="EF490" s="424">
        <f t="shared" si="618"/>
        <v>0</v>
      </c>
      <c r="EG490" s="424">
        <f t="shared" si="618"/>
        <v>0</v>
      </c>
      <c r="EH490" s="424">
        <f t="shared" ref="EH490:EX490" si="619">EH120*EH$372</f>
        <v>0</v>
      </c>
      <c r="EI490" s="424">
        <f t="shared" si="619"/>
        <v>0</v>
      </c>
      <c r="EJ490" s="424">
        <f t="shared" si="619"/>
        <v>0</v>
      </c>
      <c r="EK490" s="424">
        <f t="shared" si="619"/>
        <v>0</v>
      </c>
      <c r="EL490" s="424">
        <f t="shared" si="619"/>
        <v>0</v>
      </c>
      <c r="EM490" s="424">
        <f t="shared" si="619"/>
        <v>0</v>
      </c>
      <c r="EN490" s="424">
        <f t="shared" si="619"/>
        <v>0</v>
      </c>
      <c r="EO490" s="424">
        <f t="shared" si="619"/>
        <v>0</v>
      </c>
      <c r="EP490" s="424">
        <f t="shared" si="619"/>
        <v>0</v>
      </c>
      <c r="EQ490" s="424">
        <f t="shared" si="619"/>
        <v>0</v>
      </c>
      <c r="ER490" s="424">
        <f t="shared" si="619"/>
        <v>0</v>
      </c>
      <c r="ES490" s="424">
        <f t="shared" si="619"/>
        <v>0</v>
      </c>
      <c r="ET490" s="424">
        <f t="shared" si="619"/>
        <v>0</v>
      </c>
      <c r="EU490" s="424">
        <f t="shared" si="619"/>
        <v>0</v>
      </c>
      <c r="EV490" s="424">
        <f t="shared" si="619"/>
        <v>0</v>
      </c>
      <c r="EW490" s="424">
        <f t="shared" si="619"/>
        <v>0</v>
      </c>
      <c r="EX490" s="424">
        <f t="shared" si="619"/>
        <v>0</v>
      </c>
      <c r="EY490" s="425">
        <f t="shared" si="374"/>
        <v>9.2100000000000009</v>
      </c>
    </row>
    <row r="491" spans="1:166" ht="14.7" customHeight="1" x14ac:dyDescent="0.25">
      <c r="A491" s="310">
        <v>117</v>
      </c>
      <c r="B491" s="311" t="str">
        <f t="shared" si="355"/>
        <v>Каша рассыпчатая перловая с маслом и сахаром</v>
      </c>
      <c r="C491" s="483">
        <f t="shared" si="363"/>
        <v>9.9700000000000006</v>
      </c>
      <c r="D491" s="888"/>
      <c r="E491" s="888"/>
      <c r="F491" s="888"/>
      <c r="G491" s="889"/>
      <c r="H491" s="680">
        <f t="shared" si="356"/>
        <v>171</v>
      </c>
      <c r="I491" s="1209">
        <f t="shared" si="357"/>
        <v>0</v>
      </c>
      <c r="J491" s="424">
        <f t="shared" ref="J491:AO491" si="620">J121*J$372</f>
        <v>0</v>
      </c>
      <c r="K491" s="424">
        <f t="shared" si="620"/>
        <v>0</v>
      </c>
      <c r="L491" s="424">
        <f t="shared" si="620"/>
        <v>0</v>
      </c>
      <c r="M491" s="424">
        <f t="shared" si="620"/>
        <v>0</v>
      </c>
      <c r="N491" s="424">
        <f t="shared" si="620"/>
        <v>0</v>
      </c>
      <c r="O491" s="424">
        <f t="shared" si="620"/>
        <v>0</v>
      </c>
      <c r="P491" s="424">
        <f t="shared" si="620"/>
        <v>0</v>
      </c>
      <c r="Q491" s="424">
        <f t="shared" si="620"/>
        <v>0</v>
      </c>
      <c r="R491" s="424">
        <f t="shared" si="620"/>
        <v>0</v>
      </c>
      <c r="S491" s="424">
        <f t="shared" si="620"/>
        <v>0</v>
      </c>
      <c r="T491" s="424">
        <f t="shared" si="620"/>
        <v>0</v>
      </c>
      <c r="U491" s="424">
        <f t="shared" si="620"/>
        <v>0</v>
      </c>
      <c r="V491" s="424">
        <f t="shared" si="620"/>
        <v>7.1</v>
      </c>
      <c r="W491" s="424">
        <f t="shared" si="620"/>
        <v>0</v>
      </c>
      <c r="X491" s="424">
        <f t="shared" si="620"/>
        <v>0</v>
      </c>
      <c r="Y491" s="424">
        <f t="shared" si="620"/>
        <v>0</v>
      </c>
      <c r="Z491" s="424">
        <f t="shared" si="620"/>
        <v>0</v>
      </c>
      <c r="AA491" s="424">
        <f t="shared" si="620"/>
        <v>0</v>
      </c>
      <c r="AB491" s="424">
        <f t="shared" si="620"/>
        <v>0</v>
      </c>
      <c r="AC491" s="424">
        <f t="shared" si="620"/>
        <v>0</v>
      </c>
      <c r="AD491" s="424">
        <f t="shared" si="620"/>
        <v>0</v>
      </c>
      <c r="AE491" s="424">
        <f t="shared" si="620"/>
        <v>0</v>
      </c>
      <c r="AF491" s="424">
        <f t="shared" si="620"/>
        <v>0</v>
      </c>
      <c r="AG491" s="424">
        <f t="shared" si="620"/>
        <v>0</v>
      </c>
      <c r="AH491" s="424">
        <f t="shared" si="620"/>
        <v>0</v>
      </c>
      <c r="AI491" s="424">
        <f t="shared" si="620"/>
        <v>0</v>
      </c>
      <c r="AJ491" s="424">
        <f t="shared" si="620"/>
        <v>0</v>
      </c>
      <c r="AK491" s="424">
        <f t="shared" si="620"/>
        <v>0</v>
      </c>
      <c r="AL491" s="424">
        <f t="shared" si="620"/>
        <v>0</v>
      </c>
      <c r="AM491" s="424">
        <f t="shared" si="620"/>
        <v>0</v>
      </c>
      <c r="AN491" s="424">
        <f t="shared" si="620"/>
        <v>0</v>
      </c>
      <c r="AO491" s="424">
        <f t="shared" si="620"/>
        <v>0</v>
      </c>
      <c r="AP491" s="424">
        <f t="shared" ref="AP491:BU491" si="621">AP121*AP$372</f>
        <v>0</v>
      </c>
      <c r="AQ491" s="424">
        <f t="shared" si="621"/>
        <v>0</v>
      </c>
      <c r="AR491" s="424">
        <f t="shared" si="621"/>
        <v>0</v>
      </c>
      <c r="AS491" s="424">
        <f t="shared" si="621"/>
        <v>0</v>
      </c>
      <c r="AT491" s="424">
        <f t="shared" si="621"/>
        <v>0</v>
      </c>
      <c r="AU491" s="424">
        <f t="shared" si="621"/>
        <v>0</v>
      </c>
      <c r="AV491" s="424">
        <f t="shared" si="621"/>
        <v>0</v>
      </c>
      <c r="AW491" s="424">
        <f t="shared" si="621"/>
        <v>0</v>
      </c>
      <c r="AX491" s="424">
        <f t="shared" si="621"/>
        <v>0</v>
      </c>
      <c r="AY491" s="424">
        <f t="shared" si="621"/>
        <v>0</v>
      </c>
      <c r="AZ491" s="424">
        <f t="shared" si="621"/>
        <v>0</v>
      </c>
      <c r="BA491" s="424">
        <f t="shared" si="621"/>
        <v>0</v>
      </c>
      <c r="BB491" s="424">
        <f t="shared" si="621"/>
        <v>0</v>
      </c>
      <c r="BC491" s="424">
        <f t="shared" si="621"/>
        <v>0</v>
      </c>
      <c r="BD491" s="424">
        <f t="shared" si="621"/>
        <v>0</v>
      </c>
      <c r="BE491" s="424">
        <f t="shared" si="621"/>
        <v>0</v>
      </c>
      <c r="BF491" s="424">
        <f t="shared" si="621"/>
        <v>0</v>
      </c>
      <c r="BG491" s="424">
        <f t="shared" si="621"/>
        <v>0</v>
      </c>
      <c r="BH491" s="424">
        <f t="shared" si="621"/>
        <v>0</v>
      </c>
      <c r="BI491" s="424">
        <f t="shared" si="621"/>
        <v>0</v>
      </c>
      <c r="BJ491" s="424">
        <f t="shared" si="621"/>
        <v>0</v>
      </c>
      <c r="BK491" s="424">
        <f t="shared" si="621"/>
        <v>0</v>
      </c>
      <c r="BL491" s="424">
        <f t="shared" si="621"/>
        <v>0</v>
      </c>
      <c r="BM491" s="424">
        <f t="shared" si="621"/>
        <v>0</v>
      </c>
      <c r="BN491" s="424">
        <f t="shared" si="621"/>
        <v>0</v>
      </c>
      <c r="BO491" s="424">
        <f t="shared" si="621"/>
        <v>0</v>
      </c>
      <c r="BP491" s="424">
        <f t="shared" si="621"/>
        <v>0</v>
      </c>
      <c r="BQ491" s="424">
        <f t="shared" si="621"/>
        <v>0</v>
      </c>
      <c r="BR491" s="424">
        <f t="shared" si="621"/>
        <v>0</v>
      </c>
      <c r="BS491" s="424">
        <f t="shared" si="621"/>
        <v>0</v>
      </c>
      <c r="BT491" s="424">
        <f t="shared" si="621"/>
        <v>0</v>
      </c>
      <c r="BU491" s="424">
        <f t="shared" si="621"/>
        <v>0</v>
      </c>
      <c r="BV491" s="424">
        <f t="shared" ref="BV491:DA491" si="622">BV121*BV$372</f>
        <v>2</v>
      </c>
      <c r="BW491" s="424">
        <f t="shared" si="622"/>
        <v>0</v>
      </c>
      <c r="BX491" s="424">
        <f t="shared" si="622"/>
        <v>0</v>
      </c>
      <c r="BY491" s="424">
        <f t="shared" si="622"/>
        <v>0</v>
      </c>
      <c r="BZ491" s="424">
        <f t="shared" si="622"/>
        <v>0</v>
      </c>
      <c r="CA491" s="424">
        <f t="shared" si="622"/>
        <v>0</v>
      </c>
      <c r="CB491" s="424">
        <f t="shared" si="622"/>
        <v>0</v>
      </c>
      <c r="CC491" s="424">
        <f t="shared" si="622"/>
        <v>0</v>
      </c>
      <c r="CD491" s="424">
        <f t="shared" si="622"/>
        <v>0</v>
      </c>
      <c r="CE491" s="424">
        <f t="shared" si="622"/>
        <v>0</v>
      </c>
      <c r="CF491" s="424">
        <f t="shared" si="622"/>
        <v>0</v>
      </c>
      <c r="CG491" s="424">
        <f t="shared" si="622"/>
        <v>0</v>
      </c>
      <c r="CH491" s="424">
        <f t="shared" si="622"/>
        <v>0</v>
      </c>
      <c r="CI491" s="424">
        <f t="shared" si="622"/>
        <v>0</v>
      </c>
      <c r="CJ491" s="424">
        <f t="shared" si="622"/>
        <v>0</v>
      </c>
      <c r="CK491" s="424">
        <f t="shared" si="622"/>
        <v>0</v>
      </c>
      <c r="CL491" s="424">
        <f t="shared" si="622"/>
        <v>0</v>
      </c>
      <c r="CM491" s="424">
        <f t="shared" si="622"/>
        <v>0</v>
      </c>
      <c r="CN491" s="424">
        <f t="shared" si="622"/>
        <v>0</v>
      </c>
      <c r="CO491" s="424">
        <f t="shared" si="622"/>
        <v>0</v>
      </c>
      <c r="CP491" s="424">
        <f t="shared" si="622"/>
        <v>0</v>
      </c>
      <c r="CQ491" s="424">
        <f t="shared" si="622"/>
        <v>0</v>
      </c>
      <c r="CR491" s="424">
        <f t="shared" si="622"/>
        <v>0</v>
      </c>
      <c r="CS491" s="424">
        <f t="shared" si="622"/>
        <v>0</v>
      </c>
      <c r="CT491" s="424">
        <f t="shared" si="622"/>
        <v>0</v>
      </c>
      <c r="CU491" s="424">
        <f t="shared" si="622"/>
        <v>0</v>
      </c>
      <c r="CV491" s="424">
        <f t="shared" si="622"/>
        <v>0</v>
      </c>
      <c r="CW491" s="424">
        <f t="shared" si="622"/>
        <v>0</v>
      </c>
      <c r="CX491" s="424">
        <f t="shared" si="622"/>
        <v>0</v>
      </c>
      <c r="CY491" s="424">
        <f t="shared" si="622"/>
        <v>0</v>
      </c>
      <c r="CZ491" s="424">
        <f t="shared" si="622"/>
        <v>0.76</v>
      </c>
      <c r="DA491" s="424">
        <f t="shared" si="622"/>
        <v>0</v>
      </c>
      <c r="DB491" s="424">
        <f t="shared" ref="DB491:EG491" si="623">DB121*DB$372</f>
        <v>0</v>
      </c>
      <c r="DC491" s="424">
        <f t="shared" si="623"/>
        <v>0.11</v>
      </c>
      <c r="DD491" s="424">
        <f t="shared" si="623"/>
        <v>0</v>
      </c>
      <c r="DE491" s="424">
        <f t="shared" si="623"/>
        <v>0</v>
      </c>
      <c r="DF491" s="424">
        <f t="shared" si="623"/>
        <v>0</v>
      </c>
      <c r="DG491" s="424">
        <f t="shared" si="623"/>
        <v>0</v>
      </c>
      <c r="DH491" s="424">
        <f t="shared" si="623"/>
        <v>0</v>
      </c>
      <c r="DI491" s="424">
        <f t="shared" si="623"/>
        <v>0</v>
      </c>
      <c r="DJ491" s="424">
        <f t="shared" si="623"/>
        <v>0</v>
      </c>
      <c r="DK491" s="424">
        <f t="shared" si="623"/>
        <v>0</v>
      </c>
      <c r="DL491" s="424">
        <f t="shared" si="623"/>
        <v>0</v>
      </c>
      <c r="DM491" s="424">
        <f t="shared" si="623"/>
        <v>0</v>
      </c>
      <c r="DN491" s="424">
        <f t="shared" si="623"/>
        <v>0</v>
      </c>
      <c r="DO491" s="424">
        <f t="shared" si="623"/>
        <v>0</v>
      </c>
      <c r="DP491" s="424">
        <f t="shared" si="623"/>
        <v>0</v>
      </c>
      <c r="DQ491" s="424">
        <f t="shared" si="623"/>
        <v>0</v>
      </c>
      <c r="DR491" s="424">
        <f t="shared" si="623"/>
        <v>0</v>
      </c>
      <c r="DS491" s="424">
        <f t="shared" si="623"/>
        <v>0</v>
      </c>
      <c r="DT491" s="424">
        <f t="shared" si="623"/>
        <v>0</v>
      </c>
      <c r="DU491" s="424">
        <f t="shared" si="623"/>
        <v>0</v>
      </c>
      <c r="DV491" s="424">
        <f t="shared" si="623"/>
        <v>0</v>
      </c>
      <c r="DW491" s="424">
        <f t="shared" si="623"/>
        <v>0</v>
      </c>
      <c r="DX491" s="424">
        <f t="shared" si="623"/>
        <v>0</v>
      </c>
      <c r="DY491" s="424">
        <f t="shared" si="623"/>
        <v>0</v>
      </c>
      <c r="DZ491" s="424">
        <f t="shared" si="623"/>
        <v>0</v>
      </c>
      <c r="EA491" s="424">
        <f t="shared" si="623"/>
        <v>0</v>
      </c>
      <c r="EB491" s="424">
        <f t="shared" si="623"/>
        <v>0</v>
      </c>
      <c r="EC491" s="424">
        <f t="shared" si="623"/>
        <v>0</v>
      </c>
      <c r="ED491" s="424">
        <f t="shared" si="623"/>
        <v>0</v>
      </c>
      <c r="EE491" s="424">
        <f t="shared" si="623"/>
        <v>0</v>
      </c>
      <c r="EF491" s="424">
        <f t="shared" si="623"/>
        <v>0</v>
      </c>
      <c r="EG491" s="424">
        <f t="shared" si="623"/>
        <v>0</v>
      </c>
      <c r="EH491" s="424">
        <f t="shared" ref="EH491:EX491" si="624">EH121*EH$372</f>
        <v>0</v>
      </c>
      <c r="EI491" s="424">
        <f t="shared" si="624"/>
        <v>0</v>
      </c>
      <c r="EJ491" s="424">
        <f t="shared" si="624"/>
        <v>0</v>
      </c>
      <c r="EK491" s="424">
        <f t="shared" si="624"/>
        <v>0</v>
      </c>
      <c r="EL491" s="424">
        <f t="shared" si="624"/>
        <v>0</v>
      </c>
      <c r="EM491" s="424">
        <f t="shared" si="624"/>
        <v>0</v>
      </c>
      <c r="EN491" s="424">
        <f t="shared" si="624"/>
        <v>0</v>
      </c>
      <c r="EO491" s="424">
        <f t="shared" si="624"/>
        <v>0</v>
      </c>
      <c r="EP491" s="424">
        <f t="shared" si="624"/>
        <v>0</v>
      </c>
      <c r="EQ491" s="424">
        <f t="shared" si="624"/>
        <v>0</v>
      </c>
      <c r="ER491" s="424">
        <f t="shared" si="624"/>
        <v>0</v>
      </c>
      <c r="ES491" s="424">
        <f t="shared" si="624"/>
        <v>0</v>
      </c>
      <c r="ET491" s="424">
        <f t="shared" si="624"/>
        <v>0</v>
      </c>
      <c r="EU491" s="424">
        <f t="shared" si="624"/>
        <v>0</v>
      </c>
      <c r="EV491" s="424">
        <f t="shared" si="624"/>
        <v>0</v>
      </c>
      <c r="EW491" s="424">
        <f t="shared" si="624"/>
        <v>0</v>
      </c>
      <c r="EX491" s="424">
        <f t="shared" si="624"/>
        <v>0</v>
      </c>
      <c r="EY491" s="425">
        <f t="shared" si="374"/>
        <v>9.9700000000000006</v>
      </c>
    </row>
    <row r="492" spans="1:166" s="564" customFormat="1" ht="14.7" customHeight="1" x14ac:dyDescent="0.25">
      <c r="A492" s="310">
        <v>118</v>
      </c>
      <c r="B492" s="311" t="str">
        <f t="shared" si="355"/>
        <v>Каша рассыпчатая пшенная с маслом</v>
      </c>
      <c r="C492" s="483">
        <f t="shared" si="363"/>
        <v>10.79</v>
      </c>
      <c r="D492" s="888"/>
      <c r="E492" s="888"/>
      <c r="F492" s="888"/>
      <c r="G492" s="889"/>
      <c r="H492" s="680">
        <f t="shared" si="356"/>
        <v>171</v>
      </c>
      <c r="I492" s="1209">
        <f t="shared" si="357"/>
        <v>0</v>
      </c>
      <c r="J492" s="424">
        <f t="shared" ref="J492:AO492" si="625">J122*J$372</f>
        <v>0</v>
      </c>
      <c r="K492" s="424">
        <f t="shared" si="625"/>
        <v>0</v>
      </c>
      <c r="L492" s="424">
        <f t="shared" si="625"/>
        <v>0</v>
      </c>
      <c r="M492" s="424">
        <f t="shared" si="625"/>
        <v>0</v>
      </c>
      <c r="N492" s="424">
        <f t="shared" si="625"/>
        <v>0</v>
      </c>
      <c r="O492" s="424">
        <f t="shared" si="625"/>
        <v>0</v>
      </c>
      <c r="P492" s="424">
        <f t="shared" si="625"/>
        <v>0</v>
      </c>
      <c r="Q492" s="424">
        <f t="shared" si="625"/>
        <v>0</v>
      </c>
      <c r="R492" s="424">
        <f t="shared" si="625"/>
        <v>0</v>
      </c>
      <c r="S492" s="424">
        <f t="shared" si="625"/>
        <v>0</v>
      </c>
      <c r="T492" s="424">
        <f t="shared" si="625"/>
        <v>0</v>
      </c>
      <c r="U492" s="424">
        <f t="shared" si="625"/>
        <v>0</v>
      </c>
      <c r="V492" s="424">
        <f t="shared" si="625"/>
        <v>7.1</v>
      </c>
      <c r="W492" s="424">
        <f t="shared" si="625"/>
        <v>0</v>
      </c>
      <c r="X492" s="424">
        <f t="shared" si="625"/>
        <v>0</v>
      </c>
      <c r="Y492" s="424">
        <f t="shared" si="625"/>
        <v>0</v>
      </c>
      <c r="Z492" s="424">
        <f t="shared" si="625"/>
        <v>0</v>
      </c>
      <c r="AA492" s="424">
        <f t="shared" si="625"/>
        <v>0</v>
      </c>
      <c r="AB492" s="424">
        <f t="shared" si="625"/>
        <v>0</v>
      </c>
      <c r="AC492" s="424">
        <f t="shared" si="625"/>
        <v>0</v>
      </c>
      <c r="AD492" s="424">
        <f t="shared" si="625"/>
        <v>0</v>
      </c>
      <c r="AE492" s="424">
        <f t="shared" si="625"/>
        <v>0</v>
      </c>
      <c r="AF492" s="424">
        <f t="shared" si="625"/>
        <v>0</v>
      </c>
      <c r="AG492" s="424">
        <f t="shared" si="625"/>
        <v>0</v>
      </c>
      <c r="AH492" s="424">
        <f t="shared" si="625"/>
        <v>0</v>
      </c>
      <c r="AI492" s="424">
        <f t="shared" si="625"/>
        <v>0</v>
      </c>
      <c r="AJ492" s="424">
        <f t="shared" si="625"/>
        <v>0</v>
      </c>
      <c r="AK492" s="424">
        <f t="shared" si="625"/>
        <v>0</v>
      </c>
      <c r="AL492" s="424">
        <f t="shared" si="625"/>
        <v>0</v>
      </c>
      <c r="AM492" s="424">
        <f t="shared" si="625"/>
        <v>0</v>
      </c>
      <c r="AN492" s="424">
        <f t="shared" si="625"/>
        <v>0</v>
      </c>
      <c r="AO492" s="424">
        <f t="shared" si="625"/>
        <v>0</v>
      </c>
      <c r="AP492" s="424">
        <f t="shared" ref="AP492:BU492" si="626">AP122*AP$372</f>
        <v>0</v>
      </c>
      <c r="AQ492" s="424">
        <f t="shared" si="626"/>
        <v>0</v>
      </c>
      <c r="AR492" s="424">
        <f t="shared" si="626"/>
        <v>0</v>
      </c>
      <c r="AS492" s="424">
        <f t="shared" si="626"/>
        <v>0</v>
      </c>
      <c r="AT492" s="424">
        <f t="shared" si="626"/>
        <v>0</v>
      </c>
      <c r="AU492" s="424">
        <f t="shared" si="626"/>
        <v>0</v>
      </c>
      <c r="AV492" s="424">
        <f t="shared" si="626"/>
        <v>0</v>
      </c>
      <c r="AW492" s="424">
        <f t="shared" si="626"/>
        <v>0</v>
      </c>
      <c r="AX492" s="424">
        <f t="shared" si="626"/>
        <v>0</v>
      </c>
      <c r="AY492" s="424">
        <f t="shared" si="626"/>
        <v>0</v>
      </c>
      <c r="AZ492" s="424">
        <f t="shared" si="626"/>
        <v>0</v>
      </c>
      <c r="BA492" s="424">
        <f t="shared" si="626"/>
        <v>0</v>
      </c>
      <c r="BB492" s="424">
        <f t="shared" si="626"/>
        <v>0</v>
      </c>
      <c r="BC492" s="424">
        <f t="shared" si="626"/>
        <v>0</v>
      </c>
      <c r="BD492" s="424">
        <f t="shared" si="626"/>
        <v>0</v>
      </c>
      <c r="BE492" s="424">
        <f t="shared" si="626"/>
        <v>0</v>
      </c>
      <c r="BF492" s="424">
        <f t="shared" si="626"/>
        <v>0</v>
      </c>
      <c r="BG492" s="424">
        <f t="shared" si="626"/>
        <v>0</v>
      </c>
      <c r="BH492" s="424">
        <f t="shared" si="626"/>
        <v>0</v>
      </c>
      <c r="BI492" s="424">
        <f t="shared" si="626"/>
        <v>0</v>
      </c>
      <c r="BJ492" s="424">
        <f t="shared" si="626"/>
        <v>0</v>
      </c>
      <c r="BK492" s="424">
        <f t="shared" si="626"/>
        <v>0</v>
      </c>
      <c r="BL492" s="424">
        <f t="shared" si="626"/>
        <v>0</v>
      </c>
      <c r="BM492" s="424">
        <f t="shared" si="626"/>
        <v>0</v>
      </c>
      <c r="BN492" s="424">
        <f t="shared" si="626"/>
        <v>0</v>
      </c>
      <c r="BO492" s="424">
        <f t="shared" si="626"/>
        <v>0</v>
      </c>
      <c r="BP492" s="424">
        <f t="shared" si="626"/>
        <v>0</v>
      </c>
      <c r="BQ492" s="424">
        <f t="shared" si="626"/>
        <v>0</v>
      </c>
      <c r="BR492" s="424">
        <f t="shared" si="626"/>
        <v>0</v>
      </c>
      <c r="BS492" s="424">
        <f t="shared" si="626"/>
        <v>0</v>
      </c>
      <c r="BT492" s="424">
        <f t="shared" si="626"/>
        <v>0</v>
      </c>
      <c r="BU492" s="424">
        <f t="shared" si="626"/>
        <v>0</v>
      </c>
      <c r="BV492" s="424">
        <f t="shared" ref="BV492:DA492" si="627">BV122*BV$372</f>
        <v>0</v>
      </c>
      <c r="BW492" s="424">
        <f t="shared" si="627"/>
        <v>0</v>
      </c>
      <c r="BX492" s="424">
        <f t="shared" si="627"/>
        <v>0</v>
      </c>
      <c r="BY492" s="424">
        <f t="shared" si="627"/>
        <v>0</v>
      </c>
      <c r="BZ492" s="424">
        <f t="shared" si="627"/>
        <v>0</v>
      </c>
      <c r="CA492" s="424">
        <f t="shared" si="627"/>
        <v>3.6</v>
      </c>
      <c r="CB492" s="424">
        <f t="shared" si="627"/>
        <v>0</v>
      </c>
      <c r="CC492" s="424">
        <f t="shared" si="627"/>
        <v>0</v>
      </c>
      <c r="CD492" s="424">
        <f t="shared" si="627"/>
        <v>0</v>
      </c>
      <c r="CE492" s="424">
        <f t="shared" si="627"/>
        <v>0</v>
      </c>
      <c r="CF492" s="424">
        <f t="shared" si="627"/>
        <v>0</v>
      </c>
      <c r="CG492" s="424">
        <f t="shared" si="627"/>
        <v>0</v>
      </c>
      <c r="CH492" s="424">
        <f t="shared" si="627"/>
        <v>0</v>
      </c>
      <c r="CI492" s="424">
        <f t="shared" si="627"/>
        <v>0</v>
      </c>
      <c r="CJ492" s="424">
        <f t="shared" si="627"/>
        <v>0</v>
      </c>
      <c r="CK492" s="424">
        <f t="shared" si="627"/>
        <v>0</v>
      </c>
      <c r="CL492" s="424">
        <f t="shared" si="627"/>
        <v>0</v>
      </c>
      <c r="CM492" s="424">
        <f t="shared" si="627"/>
        <v>0</v>
      </c>
      <c r="CN492" s="424">
        <f t="shared" si="627"/>
        <v>0</v>
      </c>
      <c r="CO492" s="424">
        <f t="shared" si="627"/>
        <v>0</v>
      </c>
      <c r="CP492" s="424">
        <f t="shared" si="627"/>
        <v>0</v>
      </c>
      <c r="CQ492" s="424">
        <f t="shared" si="627"/>
        <v>0</v>
      </c>
      <c r="CR492" s="424">
        <f t="shared" si="627"/>
        <v>0</v>
      </c>
      <c r="CS492" s="424">
        <f t="shared" si="627"/>
        <v>0</v>
      </c>
      <c r="CT492" s="424">
        <f t="shared" si="627"/>
        <v>0</v>
      </c>
      <c r="CU492" s="424">
        <f t="shared" si="627"/>
        <v>0</v>
      </c>
      <c r="CV492" s="424">
        <f t="shared" si="627"/>
        <v>0</v>
      </c>
      <c r="CW492" s="424">
        <f t="shared" si="627"/>
        <v>0</v>
      </c>
      <c r="CX492" s="424">
        <f t="shared" si="627"/>
        <v>0</v>
      </c>
      <c r="CY492" s="424">
        <f t="shared" si="627"/>
        <v>0</v>
      </c>
      <c r="CZ492" s="424">
        <f t="shared" si="627"/>
        <v>0</v>
      </c>
      <c r="DA492" s="424">
        <f t="shared" si="627"/>
        <v>0</v>
      </c>
      <c r="DB492" s="424">
        <f t="shared" ref="DB492:EG492" si="628">DB122*DB$372</f>
        <v>0</v>
      </c>
      <c r="DC492" s="424">
        <f t="shared" si="628"/>
        <v>0.09</v>
      </c>
      <c r="DD492" s="424">
        <f t="shared" si="628"/>
        <v>0</v>
      </c>
      <c r="DE492" s="424">
        <f t="shared" si="628"/>
        <v>0</v>
      </c>
      <c r="DF492" s="424">
        <f t="shared" si="628"/>
        <v>0</v>
      </c>
      <c r="DG492" s="424">
        <f t="shared" si="628"/>
        <v>0</v>
      </c>
      <c r="DH492" s="424">
        <f t="shared" si="628"/>
        <v>0</v>
      </c>
      <c r="DI492" s="424">
        <f t="shared" si="628"/>
        <v>0</v>
      </c>
      <c r="DJ492" s="424">
        <f t="shared" si="628"/>
        <v>0</v>
      </c>
      <c r="DK492" s="424">
        <f t="shared" si="628"/>
        <v>0</v>
      </c>
      <c r="DL492" s="424">
        <f t="shared" si="628"/>
        <v>0</v>
      </c>
      <c r="DM492" s="424">
        <f t="shared" si="628"/>
        <v>0</v>
      </c>
      <c r="DN492" s="424">
        <f t="shared" si="628"/>
        <v>0</v>
      </c>
      <c r="DO492" s="424">
        <f t="shared" si="628"/>
        <v>0</v>
      </c>
      <c r="DP492" s="424">
        <f t="shared" si="628"/>
        <v>0</v>
      </c>
      <c r="DQ492" s="424">
        <f t="shared" si="628"/>
        <v>0</v>
      </c>
      <c r="DR492" s="424">
        <f t="shared" si="628"/>
        <v>0</v>
      </c>
      <c r="DS492" s="424">
        <f t="shared" si="628"/>
        <v>0</v>
      </c>
      <c r="DT492" s="424">
        <f t="shared" si="628"/>
        <v>0</v>
      </c>
      <c r="DU492" s="424">
        <f t="shared" si="628"/>
        <v>0</v>
      </c>
      <c r="DV492" s="424">
        <f t="shared" si="628"/>
        <v>0</v>
      </c>
      <c r="DW492" s="424">
        <f t="shared" si="628"/>
        <v>0</v>
      </c>
      <c r="DX492" s="424">
        <f t="shared" si="628"/>
        <v>0</v>
      </c>
      <c r="DY492" s="424">
        <f t="shared" si="628"/>
        <v>0</v>
      </c>
      <c r="DZ492" s="424">
        <f t="shared" si="628"/>
        <v>0</v>
      </c>
      <c r="EA492" s="424">
        <f t="shared" si="628"/>
        <v>0</v>
      </c>
      <c r="EB492" s="424">
        <f t="shared" si="628"/>
        <v>0</v>
      </c>
      <c r="EC492" s="424">
        <f t="shared" si="628"/>
        <v>0</v>
      </c>
      <c r="ED492" s="424">
        <f t="shared" si="628"/>
        <v>0</v>
      </c>
      <c r="EE492" s="424">
        <f t="shared" si="628"/>
        <v>0</v>
      </c>
      <c r="EF492" s="424">
        <f t="shared" si="628"/>
        <v>0</v>
      </c>
      <c r="EG492" s="424">
        <f t="shared" si="628"/>
        <v>0</v>
      </c>
      <c r="EH492" s="424">
        <f t="shared" ref="EH492:EX492" si="629">EH122*EH$372</f>
        <v>0</v>
      </c>
      <c r="EI492" s="424">
        <f t="shared" si="629"/>
        <v>0</v>
      </c>
      <c r="EJ492" s="424">
        <f t="shared" si="629"/>
        <v>0</v>
      </c>
      <c r="EK492" s="424">
        <f t="shared" si="629"/>
        <v>0</v>
      </c>
      <c r="EL492" s="424">
        <f t="shared" si="629"/>
        <v>0</v>
      </c>
      <c r="EM492" s="424">
        <f t="shared" si="629"/>
        <v>0</v>
      </c>
      <c r="EN492" s="424">
        <f t="shared" si="629"/>
        <v>0</v>
      </c>
      <c r="EO492" s="424">
        <f t="shared" si="629"/>
        <v>0</v>
      </c>
      <c r="EP492" s="424">
        <f t="shared" si="629"/>
        <v>0</v>
      </c>
      <c r="EQ492" s="424">
        <f t="shared" si="629"/>
        <v>0</v>
      </c>
      <c r="ER492" s="424">
        <f t="shared" si="629"/>
        <v>0</v>
      </c>
      <c r="ES492" s="424">
        <f t="shared" si="629"/>
        <v>0</v>
      </c>
      <c r="ET492" s="424">
        <f t="shared" si="629"/>
        <v>0</v>
      </c>
      <c r="EU492" s="424">
        <f t="shared" si="629"/>
        <v>0</v>
      </c>
      <c r="EV492" s="424">
        <f t="shared" si="629"/>
        <v>0</v>
      </c>
      <c r="EW492" s="424">
        <f t="shared" si="629"/>
        <v>0</v>
      </c>
      <c r="EX492" s="424">
        <f t="shared" si="629"/>
        <v>0</v>
      </c>
      <c r="EY492" s="425">
        <f t="shared" si="374"/>
        <v>10.79</v>
      </c>
      <c r="EZ492" s="616"/>
      <c r="FA492" s="616"/>
      <c r="FB492" s="616"/>
      <c r="FC492" s="616"/>
      <c r="FD492" s="616"/>
      <c r="FE492" s="616"/>
      <c r="FF492" s="616"/>
      <c r="FG492" s="616"/>
      <c r="FH492" s="616"/>
      <c r="FI492" s="616"/>
      <c r="FJ492" s="616"/>
    </row>
    <row r="493" spans="1:166" ht="14.7" customHeight="1" x14ac:dyDescent="0.25">
      <c r="A493" s="310">
        <v>119</v>
      </c>
      <c r="B493" s="311" t="str">
        <f t="shared" si="355"/>
        <v>Каша рассыпчатая пшенная с маслом и сахаром</v>
      </c>
      <c r="C493" s="483">
        <f t="shared" si="363"/>
        <v>11.55</v>
      </c>
      <c r="D493" s="888"/>
      <c r="E493" s="888"/>
      <c r="F493" s="888"/>
      <c r="G493" s="889"/>
      <c r="H493" s="680">
        <f t="shared" si="356"/>
        <v>171</v>
      </c>
      <c r="I493" s="1209">
        <f t="shared" si="357"/>
        <v>0</v>
      </c>
      <c r="J493" s="424">
        <f t="shared" ref="J493:AO493" si="630">J123*J$372</f>
        <v>0</v>
      </c>
      <c r="K493" s="424">
        <f t="shared" si="630"/>
        <v>0</v>
      </c>
      <c r="L493" s="424">
        <f t="shared" si="630"/>
        <v>0</v>
      </c>
      <c r="M493" s="424">
        <f t="shared" si="630"/>
        <v>0</v>
      </c>
      <c r="N493" s="424">
        <f t="shared" si="630"/>
        <v>0</v>
      </c>
      <c r="O493" s="424">
        <f t="shared" si="630"/>
        <v>0</v>
      </c>
      <c r="P493" s="424">
        <f t="shared" si="630"/>
        <v>0</v>
      </c>
      <c r="Q493" s="424">
        <f t="shared" si="630"/>
        <v>0</v>
      </c>
      <c r="R493" s="424">
        <f t="shared" si="630"/>
        <v>0</v>
      </c>
      <c r="S493" s="424">
        <f t="shared" si="630"/>
        <v>0</v>
      </c>
      <c r="T493" s="424">
        <f t="shared" si="630"/>
        <v>0</v>
      </c>
      <c r="U493" s="424">
        <f t="shared" si="630"/>
        <v>0</v>
      </c>
      <c r="V493" s="424">
        <f t="shared" si="630"/>
        <v>7.1</v>
      </c>
      <c r="W493" s="424">
        <f t="shared" si="630"/>
        <v>0</v>
      </c>
      <c r="X493" s="424">
        <f t="shared" si="630"/>
        <v>0</v>
      </c>
      <c r="Y493" s="424">
        <f t="shared" si="630"/>
        <v>0</v>
      </c>
      <c r="Z493" s="424">
        <f t="shared" si="630"/>
        <v>0</v>
      </c>
      <c r="AA493" s="424">
        <f t="shared" si="630"/>
        <v>0</v>
      </c>
      <c r="AB493" s="424">
        <f t="shared" si="630"/>
        <v>0</v>
      </c>
      <c r="AC493" s="424">
        <f t="shared" si="630"/>
        <v>0</v>
      </c>
      <c r="AD493" s="424">
        <f t="shared" si="630"/>
        <v>0</v>
      </c>
      <c r="AE493" s="424">
        <f t="shared" si="630"/>
        <v>0</v>
      </c>
      <c r="AF493" s="424">
        <f t="shared" si="630"/>
        <v>0</v>
      </c>
      <c r="AG493" s="424">
        <f t="shared" si="630"/>
        <v>0</v>
      </c>
      <c r="AH493" s="424">
        <f t="shared" si="630"/>
        <v>0</v>
      </c>
      <c r="AI493" s="424">
        <f t="shared" si="630"/>
        <v>0</v>
      </c>
      <c r="AJ493" s="424">
        <f t="shared" si="630"/>
        <v>0</v>
      </c>
      <c r="AK493" s="424">
        <f t="shared" si="630"/>
        <v>0</v>
      </c>
      <c r="AL493" s="424">
        <f t="shared" si="630"/>
        <v>0</v>
      </c>
      <c r="AM493" s="424">
        <f t="shared" si="630"/>
        <v>0</v>
      </c>
      <c r="AN493" s="424">
        <f t="shared" si="630"/>
        <v>0</v>
      </c>
      <c r="AO493" s="424">
        <f t="shared" si="630"/>
        <v>0</v>
      </c>
      <c r="AP493" s="424">
        <f t="shared" ref="AP493:BU493" si="631">AP123*AP$372</f>
        <v>0</v>
      </c>
      <c r="AQ493" s="424">
        <f t="shared" si="631"/>
        <v>0</v>
      </c>
      <c r="AR493" s="424">
        <f t="shared" si="631"/>
        <v>0</v>
      </c>
      <c r="AS493" s="424">
        <f t="shared" si="631"/>
        <v>0</v>
      </c>
      <c r="AT493" s="424">
        <f t="shared" si="631"/>
        <v>0</v>
      </c>
      <c r="AU493" s="424">
        <f t="shared" si="631"/>
        <v>0</v>
      </c>
      <c r="AV493" s="424">
        <f t="shared" si="631"/>
        <v>0</v>
      </c>
      <c r="AW493" s="424">
        <f t="shared" si="631"/>
        <v>0</v>
      </c>
      <c r="AX493" s="424">
        <f t="shared" si="631"/>
        <v>0</v>
      </c>
      <c r="AY493" s="424">
        <f t="shared" si="631"/>
        <v>0</v>
      </c>
      <c r="AZ493" s="424">
        <f t="shared" si="631"/>
        <v>0</v>
      </c>
      <c r="BA493" s="424">
        <f t="shared" si="631"/>
        <v>0</v>
      </c>
      <c r="BB493" s="424">
        <f t="shared" si="631"/>
        <v>0</v>
      </c>
      <c r="BC493" s="424">
        <f t="shared" si="631"/>
        <v>0</v>
      </c>
      <c r="BD493" s="424">
        <f t="shared" si="631"/>
        <v>0</v>
      </c>
      <c r="BE493" s="424">
        <f t="shared" si="631"/>
        <v>0</v>
      </c>
      <c r="BF493" s="424">
        <f t="shared" si="631"/>
        <v>0</v>
      </c>
      <c r="BG493" s="424">
        <f t="shared" si="631"/>
        <v>0</v>
      </c>
      <c r="BH493" s="424">
        <f t="shared" si="631"/>
        <v>0</v>
      </c>
      <c r="BI493" s="424">
        <f t="shared" si="631"/>
        <v>0</v>
      </c>
      <c r="BJ493" s="424">
        <f t="shared" si="631"/>
        <v>0</v>
      </c>
      <c r="BK493" s="424">
        <f t="shared" si="631"/>
        <v>0</v>
      </c>
      <c r="BL493" s="424">
        <f t="shared" si="631"/>
        <v>0</v>
      </c>
      <c r="BM493" s="424">
        <f t="shared" si="631"/>
        <v>0</v>
      </c>
      <c r="BN493" s="424">
        <f t="shared" si="631"/>
        <v>0</v>
      </c>
      <c r="BO493" s="424">
        <f t="shared" si="631"/>
        <v>0</v>
      </c>
      <c r="BP493" s="424">
        <f t="shared" si="631"/>
        <v>0</v>
      </c>
      <c r="BQ493" s="424">
        <f t="shared" si="631"/>
        <v>0</v>
      </c>
      <c r="BR493" s="424">
        <f t="shared" si="631"/>
        <v>0</v>
      </c>
      <c r="BS493" s="424">
        <f t="shared" si="631"/>
        <v>0</v>
      </c>
      <c r="BT493" s="424">
        <f t="shared" si="631"/>
        <v>0</v>
      </c>
      <c r="BU493" s="424">
        <f t="shared" si="631"/>
        <v>0</v>
      </c>
      <c r="BV493" s="424">
        <f t="shared" ref="BV493:DA493" si="632">BV123*BV$372</f>
        <v>0</v>
      </c>
      <c r="BW493" s="424">
        <f t="shared" si="632"/>
        <v>0</v>
      </c>
      <c r="BX493" s="424">
        <f t="shared" si="632"/>
        <v>0</v>
      </c>
      <c r="BY493" s="424">
        <f t="shared" si="632"/>
        <v>0</v>
      </c>
      <c r="BZ493" s="424">
        <f t="shared" si="632"/>
        <v>0</v>
      </c>
      <c r="CA493" s="424">
        <f t="shared" si="632"/>
        <v>3.6</v>
      </c>
      <c r="CB493" s="424">
        <f t="shared" si="632"/>
        <v>0</v>
      </c>
      <c r="CC493" s="424">
        <f t="shared" si="632"/>
        <v>0</v>
      </c>
      <c r="CD493" s="424">
        <f t="shared" si="632"/>
        <v>0</v>
      </c>
      <c r="CE493" s="424">
        <f t="shared" si="632"/>
        <v>0</v>
      </c>
      <c r="CF493" s="424">
        <f t="shared" si="632"/>
        <v>0</v>
      </c>
      <c r="CG493" s="424">
        <f t="shared" si="632"/>
        <v>0</v>
      </c>
      <c r="CH493" s="424">
        <f t="shared" si="632"/>
        <v>0</v>
      </c>
      <c r="CI493" s="424">
        <f t="shared" si="632"/>
        <v>0</v>
      </c>
      <c r="CJ493" s="424">
        <f t="shared" si="632"/>
        <v>0</v>
      </c>
      <c r="CK493" s="424">
        <f t="shared" si="632"/>
        <v>0</v>
      </c>
      <c r="CL493" s="424">
        <f t="shared" si="632"/>
        <v>0</v>
      </c>
      <c r="CM493" s="424">
        <f t="shared" si="632"/>
        <v>0</v>
      </c>
      <c r="CN493" s="424">
        <f t="shared" si="632"/>
        <v>0</v>
      </c>
      <c r="CO493" s="424">
        <f t="shared" si="632"/>
        <v>0</v>
      </c>
      <c r="CP493" s="424">
        <f t="shared" si="632"/>
        <v>0</v>
      </c>
      <c r="CQ493" s="424">
        <f t="shared" si="632"/>
        <v>0</v>
      </c>
      <c r="CR493" s="424">
        <f t="shared" si="632"/>
        <v>0</v>
      </c>
      <c r="CS493" s="424">
        <f t="shared" si="632"/>
        <v>0</v>
      </c>
      <c r="CT493" s="424">
        <f t="shared" si="632"/>
        <v>0</v>
      </c>
      <c r="CU493" s="424">
        <f t="shared" si="632"/>
        <v>0</v>
      </c>
      <c r="CV493" s="424">
        <f t="shared" si="632"/>
        <v>0</v>
      </c>
      <c r="CW493" s="424">
        <f t="shared" si="632"/>
        <v>0</v>
      </c>
      <c r="CX493" s="424">
        <f t="shared" si="632"/>
        <v>0</v>
      </c>
      <c r="CY493" s="424">
        <f t="shared" si="632"/>
        <v>0</v>
      </c>
      <c r="CZ493" s="424">
        <f t="shared" si="632"/>
        <v>0.76</v>
      </c>
      <c r="DA493" s="424">
        <f t="shared" si="632"/>
        <v>0</v>
      </c>
      <c r="DB493" s="424">
        <f t="shared" ref="DB493:EG493" si="633">DB123*DB$372</f>
        <v>0</v>
      </c>
      <c r="DC493" s="424">
        <f t="shared" si="633"/>
        <v>0.09</v>
      </c>
      <c r="DD493" s="424">
        <f t="shared" si="633"/>
        <v>0</v>
      </c>
      <c r="DE493" s="424">
        <f t="shared" si="633"/>
        <v>0</v>
      </c>
      <c r="DF493" s="424">
        <f t="shared" si="633"/>
        <v>0</v>
      </c>
      <c r="DG493" s="424">
        <f t="shared" si="633"/>
        <v>0</v>
      </c>
      <c r="DH493" s="424">
        <f t="shared" si="633"/>
        <v>0</v>
      </c>
      <c r="DI493" s="424">
        <f t="shared" si="633"/>
        <v>0</v>
      </c>
      <c r="DJ493" s="424">
        <f t="shared" si="633"/>
        <v>0</v>
      </c>
      <c r="DK493" s="424">
        <f t="shared" si="633"/>
        <v>0</v>
      </c>
      <c r="DL493" s="424">
        <f t="shared" si="633"/>
        <v>0</v>
      </c>
      <c r="DM493" s="424">
        <f t="shared" si="633"/>
        <v>0</v>
      </c>
      <c r="DN493" s="424">
        <f t="shared" si="633"/>
        <v>0</v>
      </c>
      <c r="DO493" s="424">
        <f t="shared" si="633"/>
        <v>0</v>
      </c>
      <c r="DP493" s="424">
        <f t="shared" si="633"/>
        <v>0</v>
      </c>
      <c r="DQ493" s="424">
        <f t="shared" si="633"/>
        <v>0</v>
      </c>
      <c r="DR493" s="424">
        <f t="shared" si="633"/>
        <v>0</v>
      </c>
      <c r="DS493" s="424">
        <f t="shared" si="633"/>
        <v>0</v>
      </c>
      <c r="DT493" s="424">
        <f t="shared" si="633"/>
        <v>0</v>
      </c>
      <c r="DU493" s="424">
        <f t="shared" si="633"/>
        <v>0</v>
      </c>
      <c r="DV493" s="424">
        <f t="shared" si="633"/>
        <v>0</v>
      </c>
      <c r="DW493" s="424">
        <f t="shared" si="633"/>
        <v>0</v>
      </c>
      <c r="DX493" s="424">
        <f t="shared" si="633"/>
        <v>0</v>
      </c>
      <c r="DY493" s="424">
        <f t="shared" si="633"/>
        <v>0</v>
      </c>
      <c r="DZ493" s="424">
        <f t="shared" si="633"/>
        <v>0</v>
      </c>
      <c r="EA493" s="424">
        <f t="shared" si="633"/>
        <v>0</v>
      </c>
      <c r="EB493" s="424">
        <f t="shared" si="633"/>
        <v>0</v>
      </c>
      <c r="EC493" s="424">
        <f t="shared" si="633"/>
        <v>0</v>
      </c>
      <c r="ED493" s="424">
        <f t="shared" si="633"/>
        <v>0</v>
      </c>
      <c r="EE493" s="424">
        <f t="shared" si="633"/>
        <v>0</v>
      </c>
      <c r="EF493" s="424">
        <f t="shared" si="633"/>
        <v>0</v>
      </c>
      <c r="EG493" s="424">
        <f t="shared" si="633"/>
        <v>0</v>
      </c>
      <c r="EH493" s="424">
        <f t="shared" ref="EH493:EX493" si="634">EH123*EH$372</f>
        <v>0</v>
      </c>
      <c r="EI493" s="424">
        <f t="shared" si="634"/>
        <v>0</v>
      </c>
      <c r="EJ493" s="424">
        <f t="shared" si="634"/>
        <v>0</v>
      </c>
      <c r="EK493" s="424">
        <f t="shared" si="634"/>
        <v>0</v>
      </c>
      <c r="EL493" s="424">
        <f t="shared" si="634"/>
        <v>0</v>
      </c>
      <c r="EM493" s="424">
        <f t="shared" si="634"/>
        <v>0</v>
      </c>
      <c r="EN493" s="424">
        <f t="shared" si="634"/>
        <v>0</v>
      </c>
      <c r="EO493" s="424">
        <f t="shared" si="634"/>
        <v>0</v>
      </c>
      <c r="EP493" s="424">
        <f t="shared" si="634"/>
        <v>0</v>
      </c>
      <c r="EQ493" s="424">
        <f t="shared" si="634"/>
        <v>0</v>
      </c>
      <c r="ER493" s="424">
        <f t="shared" si="634"/>
        <v>0</v>
      </c>
      <c r="ES493" s="424">
        <f t="shared" si="634"/>
        <v>0</v>
      </c>
      <c r="ET493" s="424">
        <f t="shared" si="634"/>
        <v>0</v>
      </c>
      <c r="EU493" s="424">
        <f t="shared" si="634"/>
        <v>0</v>
      </c>
      <c r="EV493" s="424">
        <f t="shared" si="634"/>
        <v>0</v>
      </c>
      <c r="EW493" s="424">
        <f t="shared" si="634"/>
        <v>0</v>
      </c>
      <c r="EX493" s="424">
        <f t="shared" si="634"/>
        <v>0</v>
      </c>
      <c r="EY493" s="425">
        <f t="shared" si="374"/>
        <v>11.55</v>
      </c>
    </row>
    <row r="494" spans="1:166" ht="14.7" customHeight="1" x14ac:dyDescent="0.25">
      <c r="A494" s="310">
        <v>120</v>
      </c>
      <c r="B494" s="311" t="str">
        <f t="shared" si="355"/>
        <v>Каша вязкая молочная из крупы гречневой с маслом и сахаром</v>
      </c>
      <c r="C494" s="483">
        <f t="shared" si="363"/>
        <v>21.33</v>
      </c>
      <c r="D494" s="888"/>
      <c r="E494" s="888"/>
      <c r="F494" s="888"/>
      <c r="G494" s="889"/>
      <c r="H494" s="680">
        <f t="shared" si="356"/>
        <v>173</v>
      </c>
      <c r="I494" s="1209">
        <f t="shared" si="357"/>
        <v>0</v>
      </c>
      <c r="J494" s="424">
        <f t="shared" ref="J494:AO494" si="635">J124*J$372</f>
        <v>0</v>
      </c>
      <c r="K494" s="424">
        <f t="shared" si="635"/>
        <v>0</v>
      </c>
      <c r="L494" s="424">
        <f t="shared" si="635"/>
        <v>0</v>
      </c>
      <c r="M494" s="424">
        <f t="shared" si="635"/>
        <v>0</v>
      </c>
      <c r="N494" s="424">
        <f t="shared" si="635"/>
        <v>0</v>
      </c>
      <c r="O494" s="424">
        <f t="shared" si="635"/>
        <v>0</v>
      </c>
      <c r="P494" s="424">
        <f t="shared" si="635"/>
        <v>0</v>
      </c>
      <c r="Q494" s="424">
        <f t="shared" si="635"/>
        <v>0</v>
      </c>
      <c r="R494" s="424">
        <f t="shared" si="635"/>
        <v>0</v>
      </c>
      <c r="S494" s="424">
        <f t="shared" si="635"/>
        <v>0</v>
      </c>
      <c r="T494" s="424">
        <f t="shared" si="635"/>
        <v>0</v>
      </c>
      <c r="U494" s="424">
        <f t="shared" si="635"/>
        <v>8</v>
      </c>
      <c r="V494" s="424">
        <f t="shared" si="635"/>
        <v>7.1</v>
      </c>
      <c r="W494" s="424">
        <f t="shared" si="635"/>
        <v>0</v>
      </c>
      <c r="X494" s="424">
        <f t="shared" si="635"/>
        <v>0</v>
      </c>
      <c r="Y494" s="424">
        <f t="shared" si="635"/>
        <v>0</v>
      </c>
      <c r="Z494" s="424">
        <f t="shared" si="635"/>
        <v>0</v>
      </c>
      <c r="AA494" s="424">
        <f t="shared" si="635"/>
        <v>0</v>
      </c>
      <c r="AB494" s="424">
        <f t="shared" si="635"/>
        <v>0</v>
      </c>
      <c r="AC494" s="424">
        <f t="shared" si="635"/>
        <v>0</v>
      </c>
      <c r="AD494" s="424">
        <f t="shared" si="635"/>
        <v>0</v>
      </c>
      <c r="AE494" s="424">
        <f t="shared" si="635"/>
        <v>0</v>
      </c>
      <c r="AF494" s="424">
        <f t="shared" si="635"/>
        <v>0</v>
      </c>
      <c r="AG494" s="424">
        <f t="shared" si="635"/>
        <v>0</v>
      </c>
      <c r="AH494" s="424">
        <f t="shared" si="635"/>
        <v>0</v>
      </c>
      <c r="AI494" s="424">
        <f t="shared" si="635"/>
        <v>0</v>
      </c>
      <c r="AJ494" s="424">
        <f t="shared" si="635"/>
        <v>0</v>
      </c>
      <c r="AK494" s="424">
        <f t="shared" si="635"/>
        <v>0</v>
      </c>
      <c r="AL494" s="424">
        <f t="shared" si="635"/>
        <v>0</v>
      </c>
      <c r="AM494" s="424">
        <f t="shared" si="635"/>
        <v>0</v>
      </c>
      <c r="AN494" s="424">
        <f t="shared" si="635"/>
        <v>0</v>
      </c>
      <c r="AO494" s="424">
        <f t="shared" si="635"/>
        <v>0</v>
      </c>
      <c r="AP494" s="424">
        <f t="shared" ref="AP494:BU494" si="636">AP124*AP$372</f>
        <v>0</v>
      </c>
      <c r="AQ494" s="424">
        <f t="shared" si="636"/>
        <v>0</v>
      </c>
      <c r="AR494" s="424">
        <f t="shared" si="636"/>
        <v>0</v>
      </c>
      <c r="AS494" s="424">
        <f t="shared" si="636"/>
        <v>0</v>
      </c>
      <c r="AT494" s="424">
        <f t="shared" si="636"/>
        <v>0</v>
      </c>
      <c r="AU494" s="424">
        <f t="shared" si="636"/>
        <v>0</v>
      </c>
      <c r="AV494" s="424">
        <f t="shared" si="636"/>
        <v>0</v>
      </c>
      <c r="AW494" s="424">
        <f t="shared" si="636"/>
        <v>0</v>
      </c>
      <c r="AX494" s="424">
        <f t="shared" si="636"/>
        <v>0</v>
      </c>
      <c r="AY494" s="424">
        <f t="shared" si="636"/>
        <v>0</v>
      </c>
      <c r="AZ494" s="424">
        <f t="shared" si="636"/>
        <v>0</v>
      </c>
      <c r="BA494" s="424">
        <f t="shared" si="636"/>
        <v>0</v>
      </c>
      <c r="BB494" s="424">
        <f t="shared" si="636"/>
        <v>0</v>
      </c>
      <c r="BC494" s="424">
        <f t="shared" si="636"/>
        <v>0</v>
      </c>
      <c r="BD494" s="424">
        <f t="shared" si="636"/>
        <v>0</v>
      </c>
      <c r="BE494" s="424">
        <f t="shared" si="636"/>
        <v>0</v>
      </c>
      <c r="BF494" s="424">
        <f t="shared" si="636"/>
        <v>0</v>
      </c>
      <c r="BG494" s="424">
        <f t="shared" si="636"/>
        <v>0</v>
      </c>
      <c r="BH494" s="424">
        <f t="shared" si="636"/>
        <v>0</v>
      </c>
      <c r="BI494" s="424">
        <f t="shared" si="636"/>
        <v>0</v>
      </c>
      <c r="BJ494" s="424">
        <f t="shared" si="636"/>
        <v>0</v>
      </c>
      <c r="BK494" s="424">
        <f t="shared" si="636"/>
        <v>0</v>
      </c>
      <c r="BL494" s="424">
        <f t="shared" si="636"/>
        <v>0</v>
      </c>
      <c r="BM494" s="424">
        <f t="shared" si="636"/>
        <v>0</v>
      </c>
      <c r="BN494" s="424">
        <f t="shared" si="636"/>
        <v>0</v>
      </c>
      <c r="BO494" s="424">
        <f t="shared" si="636"/>
        <v>0</v>
      </c>
      <c r="BP494" s="424">
        <f t="shared" si="636"/>
        <v>0</v>
      </c>
      <c r="BQ494" s="424">
        <f t="shared" si="636"/>
        <v>0</v>
      </c>
      <c r="BR494" s="424">
        <f t="shared" si="636"/>
        <v>0</v>
      </c>
      <c r="BS494" s="424">
        <f t="shared" si="636"/>
        <v>0</v>
      </c>
      <c r="BT494" s="424">
        <f t="shared" si="636"/>
        <v>5</v>
      </c>
      <c r="BU494" s="424">
        <f t="shared" si="636"/>
        <v>0</v>
      </c>
      <c r="BV494" s="424">
        <f t="shared" ref="BV494:DA494" si="637">BV124*BV$372</f>
        <v>0</v>
      </c>
      <c r="BW494" s="424">
        <f t="shared" si="637"/>
        <v>0</v>
      </c>
      <c r="BX494" s="424">
        <f t="shared" si="637"/>
        <v>0</v>
      </c>
      <c r="BY494" s="424">
        <f t="shared" si="637"/>
        <v>0</v>
      </c>
      <c r="BZ494" s="424">
        <f t="shared" si="637"/>
        <v>0</v>
      </c>
      <c r="CA494" s="424">
        <f t="shared" si="637"/>
        <v>0</v>
      </c>
      <c r="CB494" s="424">
        <f t="shared" si="637"/>
        <v>0</v>
      </c>
      <c r="CC494" s="424">
        <f t="shared" si="637"/>
        <v>0</v>
      </c>
      <c r="CD494" s="424">
        <f t="shared" si="637"/>
        <v>0</v>
      </c>
      <c r="CE494" s="424">
        <f t="shared" si="637"/>
        <v>0</v>
      </c>
      <c r="CF494" s="424">
        <f t="shared" si="637"/>
        <v>0</v>
      </c>
      <c r="CG494" s="424">
        <f t="shared" si="637"/>
        <v>0</v>
      </c>
      <c r="CH494" s="424">
        <f t="shared" si="637"/>
        <v>0</v>
      </c>
      <c r="CI494" s="424">
        <f t="shared" si="637"/>
        <v>0</v>
      </c>
      <c r="CJ494" s="424">
        <f t="shared" si="637"/>
        <v>0</v>
      </c>
      <c r="CK494" s="424">
        <f t="shared" si="637"/>
        <v>0</v>
      </c>
      <c r="CL494" s="424">
        <f t="shared" si="637"/>
        <v>0</v>
      </c>
      <c r="CM494" s="424">
        <f t="shared" si="637"/>
        <v>0</v>
      </c>
      <c r="CN494" s="424">
        <f t="shared" si="637"/>
        <v>0</v>
      </c>
      <c r="CO494" s="424">
        <f t="shared" si="637"/>
        <v>0</v>
      </c>
      <c r="CP494" s="424">
        <f t="shared" si="637"/>
        <v>0</v>
      </c>
      <c r="CQ494" s="424">
        <f t="shared" si="637"/>
        <v>0</v>
      </c>
      <c r="CR494" s="424">
        <f t="shared" si="637"/>
        <v>0</v>
      </c>
      <c r="CS494" s="424">
        <f t="shared" si="637"/>
        <v>0</v>
      </c>
      <c r="CT494" s="424">
        <f t="shared" si="637"/>
        <v>0</v>
      </c>
      <c r="CU494" s="424">
        <f t="shared" si="637"/>
        <v>0</v>
      </c>
      <c r="CV494" s="424">
        <f t="shared" si="637"/>
        <v>0</v>
      </c>
      <c r="CW494" s="424">
        <f t="shared" si="637"/>
        <v>0</v>
      </c>
      <c r="CX494" s="424">
        <f t="shared" si="637"/>
        <v>0</v>
      </c>
      <c r="CY494" s="424">
        <f t="shared" si="637"/>
        <v>0</v>
      </c>
      <c r="CZ494" s="424">
        <f t="shared" si="637"/>
        <v>1.22</v>
      </c>
      <c r="DA494" s="424">
        <f t="shared" si="637"/>
        <v>0</v>
      </c>
      <c r="DB494" s="424">
        <f t="shared" ref="DB494:EG494" si="638">DB124*DB$372</f>
        <v>0</v>
      </c>
      <c r="DC494" s="424">
        <f t="shared" si="638"/>
        <v>0.01</v>
      </c>
      <c r="DD494" s="424">
        <f t="shared" si="638"/>
        <v>0</v>
      </c>
      <c r="DE494" s="424">
        <f t="shared" si="638"/>
        <v>0</v>
      </c>
      <c r="DF494" s="424">
        <f t="shared" si="638"/>
        <v>0</v>
      </c>
      <c r="DG494" s="424">
        <f t="shared" si="638"/>
        <v>0</v>
      </c>
      <c r="DH494" s="424">
        <f t="shared" si="638"/>
        <v>0</v>
      </c>
      <c r="DI494" s="424">
        <f t="shared" si="638"/>
        <v>0</v>
      </c>
      <c r="DJ494" s="424">
        <f t="shared" si="638"/>
        <v>0</v>
      </c>
      <c r="DK494" s="424">
        <f t="shared" si="638"/>
        <v>0</v>
      </c>
      <c r="DL494" s="424">
        <f t="shared" si="638"/>
        <v>0</v>
      </c>
      <c r="DM494" s="424">
        <f t="shared" si="638"/>
        <v>0</v>
      </c>
      <c r="DN494" s="424">
        <f t="shared" si="638"/>
        <v>0</v>
      </c>
      <c r="DO494" s="424">
        <f t="shared" si="638"/>
        <v>0</v>
      </c>
      <c r="DP494" s="424">
        <f t="shared" si="638"/>
        <v>0</v>
      </c>
      <c r="DQ494" s="424">
        <f t="shared" si="638"/>
        <v>0</v>
      </c>
      <c r="DR494" s="424">
        <f t="shared" si="638"/>
        <v>0</v>
      </c>
      <c r="DS494" s="424">
        <f t="shared" si="638"/>
        <v>0</v>
      </c>
      <c r="DT494" s="424">
        <f t="shared" si="638"/>
        <v>0</v>
      </c>
      <c r="DU494" s="424">
        <f t="shared" si="638"/>
        <v>0</v>
      </c>
      <c r="DV494" s="424">
        <f t="shared" si="638"/>
        <v>0</v>
      </c>
      <c r="DW494" s="424">
        <f t="shared" si="638"/>
        <v>0</v>
      </c>
      <c r="DX494" s="424">
        <f t="shared" si="638"/>
        <v>0</v>
      </c>
      <c r="DY494" s="424">
        <f t="shared" si="638"/>
        <v>0</v>
      </c>
      <c r="DZ494" s="424">
        <f t="shared" si="638"/>
        <v>0</v>
      </c>
      <c r="EA494" s="424">
        <f t="shared" si="638"/>
        <v>0</v>
      </c>
      <c r="EB494" s="424">
        <f t="shared" si="638"/>
        <v>0</v>
      </c>
      <c r="EC494" s="424">
        <f t="shared" si="638"/>
        <v>0</v>
      </c>
      <c r="ED494" s="424">
        <f t="shared" si="638"/>
        <v>0</v>
      </c>
      <c r="EE494" s="424">
        <f t="shared" si="638"/>
        <v>0</v>
      </c>
      <c r="EF494" s="424">
        <f t="shared" si="638"/>
        <v>0</v>
      </c>
      <c r="EG494" s="424">
        <f t="shared" si="638"/>
        <v>0</v>
      </c>
      <c r="EH494" s="424">
        <f t="shared" ref="EH494:EX494" si="639">EH124*EH$372</f>
        <v>0</v>
      </c>
      <c r="EI494" s="424">
        <f t="shared" si="639"/>
        <v>0</v>
      </c>
      <c r="EJ494" s="424">
        <f t="shared" si="639"/>
        <v>0</v>
      </c>
      <c r="EK494" s="424">
        <f t="shared" si="639"/>
        <v>0</v>
      </c>
      <c r="EL494" s="424">
        <f t="shared" si="639"/>
        <v>0</v>
      </c>
      <c r="EM494" s="424">
        <f t="shared" si="639"/>
        <v>0</v>
      </c>
      <c r="EN494" s="424">
        <f t="shared" si="639"/>
        <v>0</v>
      </c>
      <c r="EO494" s="424">
        <f t="shared" si="639"/>
        <v>0</v>
      </c>
      <c r="EP494" s="424">
        <f t="shared" si="639"/>
        <v>0</v>
      </c>
      <c r="EQ494" s="424">
        <f t="shared" si="639"/>
        <v>0</v>
      </c>
      <c r="ER494" s="424">
        <f t="shared" si="639"/>
        <v>0</v>
      </c>
      <c r="ES494" s="424">
        <f t="shared" si="639"/>
        <v>0</v>
      </c>
      <c r="ET494" s="424">
        <f t="shared" si="639"/>
        <v>0</v>
      </c>
      <c r="EU494" s="424">
        <f t="shared" si="639"/>
        <v>0</v>
      </c>
      <c r="EV494" s="424">
        <f t="shared" si="639"/>
        <v>0</v>
      </c>
      <c r="EW494" s="424">
        <f t="shared" si="639"/>
        <v>0</v>
      </c>
      <c r="EX494" s="424">
        <f t="shared" si="639"/>
        <v>0</v>
      </c>
      <c r="EY494" s="425">
        <f t="shared" si="374"/>
        <v>21.33</v>
      </c>
    </row>
    <row r="495" spans="1:166" ht="14.7" customHeight="1" x14ac:dyDescent="0.25">
      <c r="A495" s="310">
        <v>121</v>
      </c>
      <c r="B495" s="311" t="str">
        <f t="shared" si="355"/>
        <v>Каша вязкая молочная из крупы пшенной с маслом и сахаром</v>
      </c>
      <c r="C495" s="483">
        <f t="shared" si="363"/>
        <v>19.329999999999998</v>
      </c>
      <c r="D495" s="888"/>
      <c r="E495" s="888"/>
      <c r="F495" s="888"/>
      <c r="G495" s="889"/>
      <c r="H495" s="680">
        <f t="shared" si="356"/>
        <v>173</v>
      </c>
      <c r="I495" s="1209">
        <f t="shared" si="357"/>
        <v>0</v>
      </c>
      <c r="J495" s="424">
        <f t="shared" ref="J495:AO495" si="640">J125*J$372</f>
        <v>0</v>
      </c>
      <c r="K495" s="424">
        <f t="shared" si="640"/>
        <v>0</v>
      </c>
      <c r="L495" s="424">
        <f t="shared" si="640"/>
        <v>0</v>
      </c>
      <c r="M495" s="424">
        <f t="shared" si="640"/>
        <v>0</v>
      </c>
      <c r="N495" s="424">
        <f t="shared" si="640"/>
        <v>0</v>
      </c>
      <c r="O495" s="424">
        <f t="shared" si="640"/>
        <v>0</v>
      </c>
      <c r="P495" s="424">
        <f t="shared" si="640"/>
        <v>0</v>
      </c>
      <c r="Q495" s="424">
        <f t="shared" si="640"/>
        <v>0</v>
      </c>
      <c r="R495" s="424">
        <f t="shared" si="640"/>
        <v>0</v>
      </c>
      <c r="S495" s="424">
        <f t="shared" si="640"/>
        <v>0</v>
      </c>
      <c r="T495" s="424">
        <f t="shared" si="640"/>
        <v>0</v>
      </c>
      <c r="U495" s="424">
        <f t="shared" si="640"/>
        <v>8</v>
      </c>
      <c r="V495" s="424">
        <f t="shared" si="640"/>
        <v>7.1</v>
      </c>
      <c r="W495" s="424">
        <f t="shared" si="640"/>
        <v>0</v>
      </c>
      <c r="X495" s="424">
        <f t="shared" si="640"/>
        <v>0</v>
      </c>
      <c r="Y495" s="424">
        <f t="shared" si="640"/>
        <v>0</v>
      </c>
      <c r="Z495" s="424">
        <f t="shared" si="640"/>
        <v>0</v>
      </c>
      <c r="AA495" s="424">
        <f t="shared" si="640"/>
        <v>0</v>
      </c>
      <c r="AB495" s="424">
        <f t="shared" si="640"/>
        <v>0</v>
      </c>
      <c r="AC495" s="424">
        <f t="shared" si="640"/>
        <v>0</v>
      </c>
      <c r="AD495" s="424">
        <f t="shared" si="640"/>
        <v>0</v>
      </c>
      <c r="AE495" s="424">
        <f t="shared" si="640"/>
        <v>0</v>
      </c>
      <c r="AF495" s="424">
        <f t="shared" si="640"/>
        <v>0</v>
      </c>
      <c r="AG495" s="424">
        <f t="shared" si="640"/>
        <v>0</v>
      </c>
      <c r="AH495" s="424">
        <f t="shared" si="640"/>
        <v>0</v>
      </c>
      <c r="AI495" s="424">
        <f t="shared" si="640"/>
        <v>0</v>
      </c>
      <c r="AJ495" s="424">
        <f t="shared" si="640"/>
        <v>0</v>
      </c>
      <c r="AK495" s="424">
        <f t="shared" si="640"/>
        <v>0</v>
      </c>
      <c r="AL495" s="424">
        <f t="shared" si="640"/>
        <v>0</v>
      </c>
      <c r="AM495" s="424">
        <f t="shared" si="640"/>
        <v>0</v>
      </c>
      <c r="AN495" s="424">
        <f t="shared" si="640"/>
        <v>0</v>
      </c>
      <c r="AO495" s="424">
        <f t="shared" si="640"/>
        <v>0</v>
      </c>
      <c r="AP495" s="424">
        <f t="shared" ref="AP495:BU495" si="641">AP125*AP$372</f>
        <v>0</v>
      </c>
      <c r="AQ495" s="424">
        <f t="shared" si="641"/>
        <v>0</v>
      </c>
      <c r="AR495" s="424">
        <f t="shared" si="641"/>
        <v>0</v>
      </c>
      <c r="AS495" s="424">
        <f t="shared" si="641"/>
        <v>0</v>
      </c>
      <c r="AT495" s="424">
        <f t="shared" si="641"/>
        <v>0</v>
      </c>
      <c r="AU495" s="424">
        <f t="shared" si="641"/>
        <v>0</v>
      </c>
      <c r="AV495" s="424">
        <f t="shared" si="641"/>
        <v>0</v>
      </c>
      <c r="AW495" s="424">
        <f t="shared" si="641"/>
        <v>0</v>
      </c>
      <c r="AX495" s="424">
        <f t="shared" si="641"/>
        <v>0</v>
      </c>
      <c r="AY495" s="424">
        <f t="shared" si="641"/>
        <v>0</v>
      </c>
      <c r="AZ495" s="424">
        <f t="shared" si="641"/>
        <v>0</v>
      </c>
      <c r="BA495" s="424">
        <f t="shared" si="641"/>
        <v>0</v>
      </c>
      <c r="BB495" s="424">
        <f t="shared" si="641"/>
        <v>0</v>
      </c>
      <c r="BC495" s="424">
        <f t="shared" si="641"/>
        <v>0</v>
      </c>
      <c r="BD495" s="424">
        <f t="shared" si="641"/>
        <v>0</v>
      </c>
      <c r="BE495" s="424">
        <f t="shared" si="641"/>
        <v>0</v>
      </c>
      <c r="BF495" s="424">
        <f t="shared" si="641"/>
        <v>0</v>
      </c>
      <c r="BG495" s="424">
        <f t="shared" si="641"/>
        <v>0</v>
      </c>
      <c r="BH495" s="424">
        <f t="shared" si="641"/>
        <v>0</v>
      </c>
      <c r="BI495" s="424">
        <f t="shared" si="641"/>
        <v>0</v>
      </c>
      <c r="BJ495" s="424">
        <f t="shared" si="641"/>
        <v>0</v>
      </c>
      <c r="BK495" s="424">
        <f t="shared" si="641"/>
        <v>0</v>
      </c>
      <c r="BL495" s="424">
        <f t="shared" si="641"/>
        <v>0</v>
      </c>
      <c r="BM495" s="424">
        <f t="shared" si="641"/>
        <v>0</v>
      </c>
      <c r="BN495" s="424">
        <f t="shared" si="641"/>
        <v>0</v>
      </c>
      <c r="BO495" s="424">
        <f t="shared" si="641"/>
        <v>0</v>
      </c>
      <c r="BP495" s="424">
        <f t="shared" si="641"/>
        <v>0</v>
      </c>
      <c r="BQ495" s="424">
        <f t="shared" si="641"/>
        <v>0</v>
      </c>
      <c r="BR495" s="424">
        <f t="shared" si="641"/>
        <v>0</v>
      </c>
      <c r="BS495" s="424">
        <f t="shared" si="641"/>
        <v>0</v>
      </c>
      <c r="BT495" s="424">
        <f t="shared" si="641"/>
        <v>0</v>
      </c>
      <c r="BU495" s="424">
        <f t="shared" si="641"/>
        <v>0</v>
      </c>
      <c r="BV495" s="424">
        <f t="shared" ref="BV495:DA495" si="642">BV125*BV$372</f>
        <v>0</v>
      </c>
      <c r="BW495" s="424">
        <f t="shared" si="642"/>
        <v>0</v>
      </c>
      <c r="BX495" s="424">
        <f t="shared" si="642"/>
        <v>0</v>
      </c>
      <c r="BY495" s="424">
        <f t="shared" si="642"/>
        <v>0</v>
      </c>
      <c r="BZ495" s="424">
        <f t="shared" si="642"/>
        <v>0</v>
      </c>
      <c r="CA495" s="424">
        <f t="shared" si="642"/>
        <v>3</v>
      </c>
      <c r="CB495" s="424">
        <f t="shared" si="642"/>
        <v>0</v>
      </c>
      <c r="CC495" s="424">
        <f t="shared" si="642"/>
        <v>0</v>
      </c>
      <c r="CD495" s="424">
        <f t="shared" si="642"/>
        <v>0</v>
      </c>
      <c r="CE495" s="424">
        <f t="shared" si="642"/>
        <v>0</v>
      </c>
      <c r="CF495" s="424">
        <f t="shared" si="642"/>
        <v>0</v>
      </c>
      <c r="CG495" s="424">
        <f t="shared" si="642"/>
        <v>0</v>
      </c>
      <c r="CH495" s="424">
        <f t="shared" si="642"/>
        <v>0</v>
      </c>
      <c r="CI495" s="424">
        <f t="shared" si="642"/>
        <v>0</v>
      </c>
      <c r="CJ495" s="424">
        <f t="shared" si="642"/>
        <v>0</v>
      </c>
      <c r="CK495" s="424">
        <f t="shared" si="642"/>
        <v>0</v>
      </c>
      <c r="CL495" s="424">
        <f t="shared" si="642"/>
        <v>0</v>
      </c>
      <c r="CM495" s="424">
        <f t="shared" si="642"/>
        <v>0</v>
      </c>
      <c r="CN495" s="424">
        <f t="shared" si="642"/>
        <v>0</v>
      </c>
      <c r="CO495" s="424">
        <f t="shared" si="642"/>
        <v>0</v>
      </c>
      <c r="CP495" s="424">
        <f t="shared" si="642"/>
        <v>0</v>
      </c>
      <c r="CQ495" s="424">
        <f t="shared" si="642"/>
        <v>0</v>
      </c>
      <c r="CR495" s="424">
        <f t="shared" si="642"/>
        <v>0</v>
      </c>
      <c r="CS495" s="424">
        <f t="shared" si="642"/>
        <v>0</v>
      </c>
      <c r="CT495" s="424">
        <f t="shared" si="642"/>
        <v>0</v>
      </c>
      <c r="CU495" s="424">
        <f t="shared" si="642"/>
        <v>0</v>
      </c>
      <c r="CV495" s="424">
        <f t="shared" si="642"/>
        <v>0</v>
      </c>
      <c r="CW495" s="424">
        <f t="shared" si="642"/>
        <v>0</v>
      </c>
      <c r="CX495" s="424">
        <f t="shared" si="642"/>
        <v>0</v>
      </c>
      <c r="CY495" s="424">
        <f t="shared" si="642"/>
        <v>0</v>
      </c>
      <c r="CZ495" s="424">
        <f t="shared" si="642"/>
        <v>1.22</v>
      </c>
      <c r="DA495" s="424">
        <f t="shared" si="642"/>
        <v>0</v>
      </c>
      <c r="DB495" s="424">
        <f t="shared" ref="DB495:EG495" si="643">DB125*DB$372</f>
        <v>0</v>
      </c>
      <c r="DC495" s="424">
        <f t="shared" si="643"/>
        <v>0.01</v>
      </c>
      <c r="DD495" s="424">
        <f t="shared" si="643"/>
        <v>0</v>
      </c>
      <c r="DE495" s="424">
        <f t="shared" si="643"/>
        <v>0</v>
      </c>
      <c r="DF495" s="424">
        <f t="shared" si="643"/>
        <v>0</v>
      </c>
      <c r="DG495" s="424">
        <f t="shared" si="643"/>
        <v>0</v>
      </c>
      <c r="DH495" s="424">
        <f t="shared" si="643"/>
        <v>0</v>
      </c>
      <c r="DI495" s="424">
        <f t="shared" si="643"/>
        <v>0</v>
      </c>
      <c r="DJ495" s="424">
        <f t="shared" si="643"/>
        <v>0</v>
      </c>
      <c r="DK495" s="424">
        <f t="shared" si="643"/>
        <v>0</v>
      </c>
      <c r="DL495" s="424">
        <f t="shared" si="643"/>
        <v>0</v>
      </c>
      <c r="DM495" s="424">
        <f t="shared" si="643"/>
        <v>0</v>
      </c>
      <c r="DN495" s="424">
        <f t="shared" si="643"/>
        <v>0</v>
      </c>
      <c r="DO495" s="424">
        <f t="shared" si="643"/>
        <v>0</v>
      </c>
      <c r="DP495" s="424">
        <f t="shared" si="643"/>
        <v>0</v>
      </c>
      <c r="DQ495" s="424">
        <f t="shared" si="643"/>
        <v>0</v>
      </c>
      <c r="DR495" s="424">
        <f t="shared" si="643"/>
        <v>0</v>
      </c>
      <c r="DS495" s="424">
        <f t="shared" si="643"/>
        <v>0</v>
      </c>
      <c r="DT495" s="424">
        <f t="shared" si="643"/>
        <v>0</v>
      </c>
      <c r="DU495" s="424">
        <f t="shared" si="643"/>
        <v>0</v>
      </c>
      <c r="DV495" s="424">
        <f t="shared" si="643"/>
        <v>0</v>
      </c>
      <c r="DW495" s="424">
        <f t="shared" si="643"/>
        <v>0</v>
      </c>
      <c r="DX495" s="424">
        <f t="shared" si="643"/>
        <v>0</v>
      </c>
      <c r="DY495" s="424">
        <f t="shared" si="643"/>
        <v>0</v>
      </c>
      <c r="DZ495" s="424">
        <f t="shared" si="643"/>
        <v>0</v>
      </c>
      <c r="EA495" s="424">
        <f t="shared" si="643"/>
        <v>0</v>
      </c>
      <c r="EB495" s="424">
        <f t="shared" si="643"/>
        <v>0</v>
      </c>
      <c r="EC495" s="424">
        <f t="shared" si="643"/>
        <v>0</v>
      </c>
      <c r="ED495" s="424">
        <f t="shared" si="643"/>
        <v>0</v>
      </c>
      <c r="EE495" s="424">
        <f t="shared" si="643"/>
        <v>0</v>
      </c>
      <c r="EF495" s="424">
        <f t="shared" si="643"/>
        <v>0</v>
      </c>
      <c r="EG495" s="424">
        <f t="shared" si="643"/>
        <v>0</v>
      </c>
      <c r="EH495" s="424">
        <f t="shared" ref="EH495:EX495" si="644">EH125*EH$372</f>
        <v>0</v>
      </c>
      <c r="EI495" s="424">
        <f t="shared" si="644"/>
        <v>0</v>
      </c>
      <c r="EJ495" s="424">
        <f t="shared" si="644"/>
        <v>0</v>
      </c>
      <c r="EK495" s="424">
        <f t="shared" si="644"/>
        <v>0</v>
      </c>
      <c r="EL495" s="424">
        <f t="shared" si="644"/>
        <v>0</v>
      </c>
      <c r="EM495" s="424">
        <f t="shared" si="644"/>
        <v>0</v>
      </c>
      <c r="EN495" s="424">
        <f t="shared" si="644"/>
        <v>0</v>
      </c>
      <c r="EO495" s="424">
        <f t="shared" si="644"/>
        <v>0</v>
      </c>
      <c r="EP495" s="424">
        <f t="shared" si="644"/>
        <v>0</v>
      </c>
      <c r="EQ495" s="424">
        <f t="shared" si="644"/>
        <v>0</v>
      </c>
      <c r="ER495" s="424">
        <f t="shared" si="644"/>
        <v>0</v>
      </c>
      <c r="ES495" s="424">
        <f t="shared" si="644"/>
        <v>0</v>
      </c>
      <c r="ET495" s="424">
        <f t="shared" si="644"/>
        <v>0</v>
      </c>
      <c r="EU495" s="424">
        <f t="shared" si="644"/>
        <v>0</v>
      </c>
      <c r="EV495" s="424">
        <f t="shared" si="644"/>
        <v>0</v>
      </c>
      <c r="EW495" s="424">
        <f t="shared" si="644"/>
        <v>0</v>
      </c>
      <c r="EX495" s="424">
        <f t="shared" si="644"/>
        <v>0</v>
      </c>
      <c r="EY495" s="425">
        <f t="shared" si="374"/>
        <v>19.329999999999998</v>
      </c>
    </row>
    <row r="496" spans="1:166" s="699" customFormat="1" ht="14.7" customHeight="1" x14ac:dyDescent="0.25">
      <c r="A496" s="310">
        <v>122</v>
      </c>
      <c r="B496" s="311" t="str">
        <f t="shared" si="355"/>
        <v>Каша вязкая овсяная "Ясно солнышко"</v>
      </c>
      <c r="C496" s="483">
        <f t="shared" si="363"/>
        <v>18.13</v>
      </c>
      <c r="D496" s="888"/>
      <c r="E496" s="888"/>
      <c r="F496" s="888"/>
      <c r="G496" s="889"/>
      <c r="H496" s="680">
        <f t="shared" si="356"/>
        <v>173</v>
      </c>
      <c r="I496" s="1209">
        <f t="shared" si="357"/>
        <v>0</v>
      </c>
      <c r="J496" s="424">
        <f t="shared" ref="J496:AO496" si="645">J126*J$372</f>
        <v>0</v>
      </c>
      <c r="K496" s="424">
        <f t="shared" si="645"/>
        <v>0</v>
      </c>
      <c r="L496" s="424">
        <f t="shared" si="645"/>
        <v>0</v>
      </c>
      <c r="M496" s="424">
        <f t="shared" si="645"/>
        <v>0</v>
      </c>
      <c r="N496" s="424">
        <f t="shared" si="645"/>
        <v>0</v>
      </c>
      <c r="O496" s="424">
        <f t="shared" si="645"/>
        <v>0</v>
      </c>
      <c r="P496" s="424">
        <f t="shared" si="645"/>
        <v>0</v>
      </c>
      <c r="Q496" s="424">
        <f t="shared" si="645"/>
        <v>0</v>
      </c>
      <c r="R496" s="424">
        <f t="shared" si="645"/>
        <v>0</v>
      </c>
      <c r="S496" s="424">
        <f t="shared" si="645"/>
        <v>0</v>
      </c>
      <c r="T496" s="424">
        <f t="shared" si="645"/>
        <v>0</v>
      </c>
      <c r="U496" s="424">
        <f t="shared" si="645"/>
        <v>4.29</v>
      </c>
      <c r="V496" s="424">
        <f t="shared" si="645"/>
        <v>3.55</v>
      </c>
      <c r="W496" s="424">
        <f t="shared" si="645"/>
        <v>0</v>
      </c>
      <c r="X496" s="424">
        <f t="shared" si="645"/>
        <v>0</v>
      </c>
      <c r="Y496" s="424">
        <f t="shared" si="645"/>
        <v>0</v>
      </c>
      <c r="Z496" s="424">
        <f t="shared" si="645"/>
        <v>0</v>
      </c>
      <c r="AA496" s="424">
        <f t="shared" si="645"/>
        <v>0</v>
      </c>
      <c r="AB496" s="424">
        <f t="shared" si="645"/>
        <v>0</v>
      </c>
      <c r="AC496" s="424">
        <f t="shared" si="645"/>
        <v>0</v>
      </c>
      <c r="AD496" s="424">
        <f t="shared" si="645"/>
        <v>0</v>
      </c>
      <c r="AE496" s="424">
        <f t="shared" si="645"/>
        <v>0</v>
      </c>
      <c r="AF496" s="424">
        <f t="shared" si="645"/>
        <v>0</v>
      </c>
      <c r="AG496" s="424">
        <f t="shared" si="645"/>
        <v>0</v>
      </c>
      <c r="AH496" s="424">
        <f t="shared" si="645"/>
        <v>0</v>
      </c>
      <c r="AI496" s="424">
        <f t="shared" si="645"/>
        <v>0</v>
      </c>
      <c r="AJ496" s="424">
        <f t="shared" si="645"/>
        <v>0</v>
      </c>
      <c r="AK496" s="424">
        <f t="shared" si="645"/>
        <v>0</v>
      </c>
      <c r="AL496" s="424">
        <f t="shared" si="645"/>
        <v>0</v>
      </c>
      <c r="AM496" s="424">
        <f t="shared" si="645"/>
        <v>0</v>
      </c>
      <c r="AN496" s="424">
        <f t="shared" si="645"/>
        <v>0</v>
      </c>
      <c r="AO496" s="424">
        <f t="shared" si="645"/>
        <v>0</v>
      </c>
      <c r="AP496" s="424">
        <f t="shared" ref="AP496:BU496" si="646">AP126*AP$372</f>
        <v>0</v>
      </c>
      <c r="AQ496" s="424">
        <f t="shared" si="646"/>
        <v>0</v>
      </c>
      <c r="AR496" s="424">
        <f t="shared" si="646"/>
        <v>0</v>
      </c>
      <c r="AS496" s="424">
        <f t="shared" si="646"/>
        <v>0</v>
      </c>
      <c r="AT496" s="424">
        <f t="shared" si="646"/>
        <v>0</v>
      </c>
      <c r="AU496" s="424">
        <f t="shared" si="646"/>
        <v>0</v>
      </c>
      <c r="AV496" s="424">
        <f t="shared" si="646"/>
        <v>0</v>
      </c>
      <c r="AW496" s="424">
        <f t="shared" si="646"/>
        <v>0</v>
      </c>
      <c r="AX496" s="424">
        <f t="shared" si="646"/>
        <v>0</v>
      </c>
      <c r="AY496" s="424">
        <f t="shared" si="646"/>
        <v>0</v>
      </c>
      <c r="AZ496" s="424">
        <f t="shared" si="646"/>
        <v>0</v>
      </c>
      <c r="BA496" s="424">
        <f t="shared" si="646"/>
        <v>0</v>
      </c>
      <c r="BB496" s="424">
        <f t="shared" si="646"/>
        <v>0</v>
      </c>
      <c r="BC496" s="424">
        <f t="shared" si="646"/>
        <v>0</v>
      </c>
      <c r="BD496" s="424">
        <f t="shared" si="646"/>
        <v>0</v>
      </c>
      <c r="BE496" s="424">
        <f t="shared" si="646"/>
        <v>0</v>
      </c>
      <c r="BF496" s="424">
        <f t="shared" si="646"/>
        <v>0</v>
      </c>
      <c r="BG496" s="424">
        <f t="shared" si="646"/>
        <v>0</v>
      </c>
      <c r="BH496" s="424">
        <f t="shared" si="646"/>
        <v>0</v>
      </c>
      <c r="BI496" s="424">
        <f t="shared" si="646"/>
        <v>0</v>
      </c>
      <c r="BJ496" s="424">
        <f t="shared" si="646"/>
        <v>0</v>
      </c>
      <c r="BK496" s="424">
        <f t="shared" si="646"/>
        <v>0</v>
      </c>
      <c r="BL496" s="424">
        <f t="shared" si="646"/>
        <v>0</v>
      </c>
      <c r="BM496" s="424">
        <f t="shared" si="646"/>
        <v>0</v>
      </c>
      <c r="BN496" s="424">
        <f t="shared" si="646"/>
        <v>0</v>
      </c>
      <c r="BO496" s="424">
        <f t="shared" si="646"/>
        <v>0</v>
      </c>
      <c r="BP496" s="424">
        <f t="shared" si="646"/>
        <v>0</v>
      </c>
      <c r="BQ496" s="424">
        <f t="shared" si="646"/>
        <v>0</v>
      </c>
      <c r="BR496" s="424">
        <f t="shared" si="646"/>
        <v>0</v>
      </c>
      <c r="BS496" s="424">
        <f t="shared" si="646"/>
        <v>0</v>
      </c>
      <c r="BT496" s="424">
        <f t="shared" si="646"/>
        <v>0</v>
      </c>
      <c r="BU496" s="424">
        <f t="shared" si="646"/>
        <v>0</v>
      </c>
      <c r="BV496" s="424">
        <f t="shared" ref="BV496:DA496" si="647">BV126*BV$372</f>
        <v>0</v>
      </c>
      <c r="BW496" s="424">
        <f t="shared" si="647"/>
        <v>0</v>
      </c>
      <c r="BX496" s="424">
        <f t="shared" si="647"/>
        <v>0</v>
      </c>
      <c r="BY496" s="424">
        <f t="shared" si="647"/>
        <v>0</v>
      </c>
      <c r="BZ496" s="424">
        <f t="shared" si="647"/>
        <v>0</v>
      </c>
      <c r="CA496" s="424">
        <f t="shared" si="647"/>
        <v>0</v>
      </c>
      <c r="CB496" s="424">
        <f t="shared" si="647"/>
        <v>0</v>
      </c>
      <c r="CC496" s="424">
        <f t="shared" si="647"/>
        <v>0</v>
      </c>
      <c r="CD496" s="424">
        <f t="shared" si="647"/>
        <v>9.9</v>
      </c>
      <c r="CE496" s="424">
        <f t="shared" si="647"/>
        <v>0</v>
      </c>
      <c r="CF496" s="424">
        <f t="shared" si="647"/>
        <v>0</v>
      </c>
      <c r="CG496" s="424">
        <f t="shared" si="647"/>
        <v>0</v>
      </c>
      <c r="CH496" s="424">
        <f t="shared" si="647"/>
        <v>0</v>
      </c>
      <c r="CI496" s="424">
        <f t="shared" si="647"/>
        <v>0</v>
      </c>
      <c r="CJ496" s="424">
        <f t="shared" si="647"/>
        <v>0</v>
      </c>
      <c r="CK496" s="424">
        <f t="shared" si="647"/>
        <v>0</v>
      </c>
      <c r="CL496" s="424">
        <f t="shared" si="647"/>
        <v>0</v>
      </c>
      <c r="CM496" s="424">
        <f t="shared" si="647"/>
        <v>0</v>
      </c>
      <c r="CN496" s="424">
        <f t="shared" si="647"/>
        <v>0</v>
      </c>
      <c r="CO496" s="424">
        <f t="shared" si="647"/>
        <v>0</v>
      </c>
      <c r="CP496" s="424">
        <f t="shared" si="647"/>
        <v>0</v>
      </c>
      <c r="CQ496" s="424">
        <f t="shared" si="647"/>
        <v>0</v>
      </c>
      <c r="CR496" s="424">
        <f t="shared" si="647"/>
        <v>0</v>
      </c>
      <c r="CS496" s="424">
        <f t="shared" si="647"/>
        <v>0</v>
      </c>
      <c r="CT496" s="424">
        <f t="shared" si="647"/>
        <v>0</v>
      </c>
      <c r="CU496" s="424">
        <f t="shared" si="647"/>
        <v>0</v>
      </c>
      <c r="CV496" s="424">
        <f t="shared" si="647"/>
        <v>0</v>
      </c>
      <c r="CW496" s="424">
        <f t="shared" si="647"/>
        <v>0</v>
      </c>
      <c r="CX496" s="424">
        <f t="shared" si="647"/>
        <v>0</v>
      </c>
      <c r="CY496" s="424">
        <f t="shared" si="647"/>
        <v>0</v>
      </c>
      <c r="CZ496" s="424">
        <f t="shared" si="647"/>
        <v>0.38</v>
      </c>
      <c r="DA496" s="424">
        <f t="shared" si="647"/>
        <v>0</v>
      </c>
      <c r="DB496" s="424">
        <f t="shared" ref="DB496:EG496" si="648">DB126*DB$372</f>
        <v>0</v>
      </c>
      <c r="DC496" s="424">
        <f t="shared" si="648"/>
        <v>0.01</v>
      </c>
      <c r="DD496" s="424">
        <f t="shared" si="648"/>
        <v>0</v>
      </c>
      <c r="DE496" s="424">
        <f t="shared" si="648"/>
        <v>0</v>
      </c>
      <c r="DF496" s="424">
        <f t="shared" si="648"/>
        <v>0</v>
      </c>
      <c r="DG496" s="424">
        <f t="shared" si="648"/>
        <v>0</v>
      </c>
      <c r="DH496" s="424">
        <f t="shared" si="648"/>
        <v>0</v>
      </c>
      <c r="DI496" s="424">
        <f t="shared" si="648"/>
        <v>0</v>
      </c>
      <c r="DJ496" s="424">
        <f t="shared" si="648"/>
        <v>0</v>
      </c>
      <c r="DK496" s="424">
        <f t="shared" si="648"/>
        <v>0</v>
      </c>
      <c r="DL496" s="424">
        <f t="shared" si="648"/>
        <v>0</v>
      </c>
      <c r="DM496" s="424">
        <f t="shared" si="648"/>
        <v>0</v>
      </c>
      <c r="DN496" s="424">
        <f t="shared" si="648"/>
        <v>0</v>
      </c>
      <c r="DO496" s="424">
        <f t="shared" si="648"/>
        <v>0</v>
      </c>
      <c r="DP496" s="424">
        <f t="shared" si="648"/>
        <v>0</v>
      </c>
      <c r="DQ496" s="424">
        <f t="shared" si="648"/>
        <v>0</v>
      </c>
      <c r="DR496" s="424">
        <f t="shared" si="648"/>
        <v>0</v>
      </c>
      <c r="DS496" s="424">
        <f t="shared" si="648"/>
        <v>0</v>
      </c>
      <c r="DT496" s="424">
        <f t="shared" si="648"/>
        <v>0</v>
      </c>
      <c r="DU496" s="424">
        <f t="shared" si="648"/>
        <v>0</v>
      </c>
      <c r="DV496" s="424">
        <f t="shared" si="648"/>
        <v>0</v>
      </c>
      <c r="DW496" s="424">
        <f t="shared" si="648"/>
        <v>0</v>
      </c>
      <c r="DX496" s="424">
        <f t="shared" si="648"/>
        <v>0</v>
      </c>
      <c r="DY496" s="424">
        <f t="shared" si="648"/>
        <v>0</v>
      </c>
      <c r="DZ496" s="424">
        <f t="shared" si="648"/>
        <v>0</v>
      </c>
      <c r="EA496" s="424">
        <f t="shared" si="648"/>
        <v>0</v>
      </c>
      <c r="EB496" s="424">
        <f t="shared" si="648"/>
        <v>0</v>
      </c>
      <c r="EC496" s="424">
        <f t="shared" si="648"/>
        <v>0</v>
      </c>
      <c r="ED496" s="424">
        <f t="shared" si="648"/>
        <v>0</v>
      </c>
      <c r="EE496" s="424">
        <f t="shared" si="648"/>
        <v>0</v>
      </c>
      <c r="EF496" s="424">
        <f t="shared" si="648"/>
        <v>0</v>
      </c>
      <c r="EG496" s="424">
        <f t="shared" si="648"/>
        <v>0</v>
      </c>
      <c r="EH496" s="424">
        <f t="shared" ref="EH496:EX496" si="649">EH126*EH$372</f>
        <v>0</v>
      </c>
      <c r="EI496" s="424">
        <f t="shared" si="649"/>
        <v>0</v>
      </c>
      <c r="EJ496" s="424">
        <f t="shared" si="649"/>
        <v>0</v>
      </c>
      <c r="EK496" s="424">
        <f t="shared" si="649"/>
        <v>0</v>
      </c>
      <c r="EL496" s="424">
        <f t="shared" si="649"/>
        <v>0</v>
      </c>
      <c r="EM496" s="424">
        <f t="shared" si="649"/>
        <v>0</v>
      </c>
      <c r="EN496" s="424">
        <f t="shared" si="649"/>
        <v>0</v>
      </c>
      <c r="EO496" s="424">
        <f t="shared" si="649"/>
        <v>0</v>
      </c>
      <c r="EP496" s="424">
        <f t="shared" si="649"/>
        <v>0</v>
      </c>
      <c r="EQ496" s="424">
        <f t="shared" si="649"/>
        <v>0</v>
      </c>
      <c r="ER496" s="424">
        <f t="shared" si="649"/>
        <v>0</v>
      </c>
      <c r="ES496" s="424">
        <f t="shared" si="649"/>
        <v>0</v>
      </c>
      <c r="ET496" s="424">
        <f t="shared" si="649"/>
        <v>0</v>
      </c>
      <c r="EU496" s="424">
        <f t="shared" si="649"/>
        <v>0</v>
      </c>
      <c r="EV496" s="424">
        <f t="shared" si="649"/>
        <v>0</v>
      </c>
      <c r="EW496" s="424">
        <f t="shared" si="649"/>
        <v>0</v>
      </c>
      <c r="EX496" s="424">
        <f t="shared" si="649"/>
        <v>0</v>
      </c>
      <c r="EY496" s="425">
        <f t="shared" si="374"/>
        <v>18.13</v>
      </c>
      <c r="EZ496" s="616"/>
      <c r="FA496" s="616"/>
      <c r="FB496" s="616"/>
      <c r="FC496" s="616"/>
      <c r="FD496" s="616"/>
      <c r="FE496" s="616"/>
      <c r="FF496" s="616"/>
      <c r="FG496" s="616"/>
      <c r="FH496" s="616"/>
      <c r="FI496" s="616"/>
      <c r="FJ496" s="616"/>
    </row>
    <row r="497" spans="1:166" s="407" customFormat="1" ht="14.7" customHeight="1" x14ac:dyDescent="0.25">
      <c r="A497" s="310">
        <v>123</v>
      </c>
      <c r="B497" s="311" t="str">
        <f t="shared" si="355"/>
        <v>Каша вязкая молочная из риса с маслом и сахаром</v>
      </c>
      <c r="C497" s="483">
        <f t="shared" si="363"/>
        <v>20.64</v>
      </c>
      <c r="D497" s="888"/>
      <c r="E497" s="888"/>
      <c r="F497" s="888"/>
      <c r="G497" s="889"/>
      <c r="H497" s="680">
        <f t="shared" si="356"/>
        <v>174</v>
      </c>
      <c r="I497" s="1209">
        <f t="shared" si="357"/>
        <v>0</v>
      </c>
      <c r="J497" s="424">
        <f t="shared" ref="J497:AO497" si="650">J127*J$372</f>
        <v>0</v>
      </c>
      <c r="K497" s="424">
        <f t="shared" si="650"/>
        <v>0</v>
      </c>
      <c r="L497" s="424">
        <f t="shared" si="650"/>
        <v>0</v>
      </c>
      <c r="M497" s="424">
        <f t="shared" si="650"/>
        <v>0</v>
      </c>
      <c r="N497" s="424">
        <f t="shared" si="650"/>
        <v>0</v>
      </c>
      <c r="O497" s="424">
        <f t="shared" si="650"/>
        <v>0</v>
      </c>
      <c r="P497" s="424">
        <f t="shared" si="650"/>
        <v>0</v>
      </c>
      <c r="Q497" s="424">
        <f t="shared" si="650"/>
        <v>0</v>
      </c>
      <c r="R497" s="424">
        <f t="shared" si="650"/>
        <v>0</v>
      </c>
      <c r="S497" s="424">
        <f t="shared" si="650"/>
        <v>0</v>
      </c>
      <c r="T497" s="424">
        <f t="shared" si="650"/>
        <v>0</v>
      </c>
      <c r="U497" s="424">
        <f t="shared" si="650"/>
        <v>8</v>
      </c>
      <c r="V497" s="424">
        <f t="shared" si="650"/>
        <v>7.1</v>
      </c>
      <c r="W497" s="424">
        <f t="shared" si="650"/>
        <v>0</v>
      </c>
      <c r="X497" s="424">
        <f t="shared" si="650"/>
        <v>0</v>
      </c>
      <c r="Y497" s="424">
        <f t="shared" si="650"/>
        <v>0</v>
      </c>
      <c r="Z497" s="424">
        <f t="shared" si="650"/>
        <v>0</v>
      </c>
      <c r="AA497" s="424">
        <f t="shared" si="650"/>
        <v>0</v>
      </c>
      <c r="AB497" s="424">
        <f t="shared" si="650"/>
        <v>0</v>
      </c>
      <c r="AC497" s="424">
        <f t="shared" si="650"/>
        <v>0</v>
      </c>
      <c r="AD497" s="424">
        <f t="shared" si="650"/>
        <v>0</v>
      </c>
      <c r="AE497" s="424">
        <f t="shared" si="650"/>
        <v>0</v>
      </c>
      <c r="AF497" s="424">
        <f t="shared" si="650"/>
        <v>0</v>
      </c>
      <c r="AG497" s="424">
        <f t="shared" si="650"/>
        <v>0</v>
      </c>
      <c r="AH497" s="424">
        <f t="shared" si="650"/>
        <v>0</v>
      </c>
      <c r="AI497" s="424">
        <f t="shared" si="650"/>
        <v>0</v>
      </c>
      <c r="AJ497" s="424">
        <f t="shared" si="650"/>
        <v>0</v>
      </c>
      <c r="AK497" s="424">
        <f t="shared" si="650"/>
        <v>0</v>
      </c>
      <c r="AL497" s="424">
        <f t="shared" si="650"/>
        <v>0</v>
      </c>
      <c r="AM497" s="424">
        <f t="shared" si="650"/>
        <v>0</v>
      </c>
      <c r="AN497" s="424">
        <f t="shared" si="650"/>
        <v>0</v>
      </c>
      <c r="AO497" s="424">
        <f t="shared" si="650"/>
        <v>0</v>
      </c>
      <c r="AP497" s="424">
        <f t="shared" ref="AP497:BU497" si="651">AP127*AP$372</f>
        <v>0</v>
      </c>
      <c r="AQ497" s="424">
        <f t="shared" si="651"/>
        <v>0</v>
      </c>
      <c r="AR497" s="424">
        <f t="shared" si="651"/>
        <v>0</v>
      </c>
      <c r="AS497" s="424">
        <f t="shared" si="651"/>
        <v>0</v>
      </c>
      <c r="AT497" s="424">
        <f t="shared" si="651"/>
        <v>0</v>
      </c>
      <c r="AU497" s="424">
        <f t="shared" si="651"/>
        <v>0</v>
      </c>
      <c r="AV497" s="424">
        <f t="shared" si="651"/>
        <v>0</v>
      </c>
      <c r="AW497" s="424">
        <f t="shared" si="651"/>
        <v>0</v>
      </c>
      <c r="AX497" s="424">
        <f t="shared" si="651"/>
        <v>0</v>
      </c>
      <c r="AY497" s="424">
        <f t="shared" si="651"/>
        <v>0</v>
      </c>
      <c r="AZ497" s="424">
        <f t="shared" si="651"/>
        <v>0</v>
      </c>
      <c r="BA497" s="424">
        <f t="shared" si="651"/>
        <v>0</v>
      </c>
      <c r="BB497" s="424">
        <f t="shared" si="651"/>
        <v>0</v>
      </c>
      <c r="BC497" s="424">
        <f t="shared" si="651"/>
        <v>0</v>
      </c>
      <c r="BD497" s="424">
        <f t="shared" si="651"/>
        <v>0</v>
      </c>
      <c r="BE497" s="424">
        <f t="shared" si="651"/>
        <v>0</v>
      </c>
      <c r="BF497" s="424">
        <f t="shared" si="651"/>
        <v>0</v>
      </c>
      <c r="BG497" s="424">
        <f t="shared" si="651"/>
        <v>0</v>
      </c>
      <c r="BH497" s="424">
        <f t="shared" si="651"/>
        <v>0</v>
      </c>
      <c r="BI497" s="424">
        <f t="shared" si="651"/>
        <v>0</v>
      </c>
      <c r="BJ497" s="424">
        <f t="shared" si="651"/>
        <v>0</v>
      </c>
      <c r="BK497" s="424">
        <f t="shared" si="651"/>
        <v>0</v>
      </c>
      <c r="BL497" s="424">
        <f t="shared" si="651"/>
        <v>0</v>
      </c>
      <c r="BM497" s="424">
        <f t="shared" si="651"/>
        <v>0</v>
      </c>
      <c r="BN497" s="424">
        <f t="shared" si="651"/>
        <v>0</v>
      </c>
      <c r="BO497" s="424">
        <f t="shared" si="651"/>
        <v>0</v>
      </c>
      <c r="BP497" s="424">
        <f t="shared" si="651"/>
        <v>0</v>
      </c>
      <c r="BQ497" s="424">
        <f t="shared" si="651"/>
        <v>0</v>
      </c>
      <c r="BR497" s="424">
        <f t="shared" si="651"/>
        <v>0</v>
      </c>
      <c r="BS497" s="424">
        <f t="shared" si="651"/>
        <v>0</v>
      </c>
      <c r="BT497" s="424">
        <f t="shared" si="651"/>
        <v>0</v>
      </c>
      <c r="BU497" s="424">
        <f t="shared" si="651"/>
        <v>0</v>
      </c>
      <c r="BV497" s="424">
        <f t="shared" ref="BV497:DA497" si="652">BV127*BV$372</f>
        <v>0</v>
      </c>
      <c r="BW497" s="424">
        <f t="shared" si="652"/>
        <v>0</v>
      </c>
      <c r="BX497" s="424">
        <f t="shared" si="652"/>
        <v>0</v>
      </c>
      <c r="BY497" s="424">
        <f t="shared" si="652"/>
        <v>0</v>
      </c>
      <c r="BZ497" s="424">
        <f t="shared" si="652"/>
        <v>0</v>
      </c>
      <c r="CA497" s="424">
        <f t="shared" si="652"/>
        <v>0</v>
      </c>
      <c r="CB497" s="424">
        <f t="shared" si="652"/>
        <v>4.3099999999999996</v>
      </c>
      <c r="CC497" s="424">
        <f t="shared" si="652"/>
        <v>0</v>
      </c>
      <c r="CD497" s="424">
        <f t="shared" si="652"/>
        <v>0</v>
      </c>
      <c r="CE497" s="424">
        <f t="shared" si="652"/>
        <v>0</v>
      </c>
      <c r="CF497" s="424">
        <f t="shared" si="652"/>
        <v>0</v>
      </c>
      <c r="CG497" s="424">
        <f t="shared" si="652"/>
        <v>0</v>
      </c>
      <c r="CH497" s="424">
        <f t="shared" si="652"/>
        <v>0</v>
      </c>
      <c r="CI497" s="424">
        <f t="shared" si="652"/>
        <v>0</v>
      </c>
      <c r="CJ497" s="424">
        <f t="shared" si="652"/>
        <v>0</v>
      </c>
      <c r="CK497" s="424">
        <f t="shared" si="652"/>
        <v>0</v>
      </c>
      <c r="CL497" s="424">
        <f t="shared" si="652"/>
        <v>0</v>
      </c>
      <c r="CM497" s="424">
        <f t="shared" si="652"/>
        <v>0</v>
      </c>
      <c r="CN497" s="424">
        <f t="shared" si="652"/>
        <v>0</v>
      </c>
      <c r="CO497" s="424">
        <f t="shared" si="652"/>
        <v>0</v>
      </c>
      <c r="CP497" s="424">
        <f t="shared" si="652"/>
        <v>0</v>
      </c>
      <c r="CQ497" s="424">
        <f t="shared" si="652"/>
        <v>0</v>
      </c>
      <c r="CR497" s="424">
        <f t="shared" si="652"/>
        <v>0</v>
      </c>
      <c r="CS497" s="424">
        <f t="shared" si="652"/>
        <v>0</v>
      </c>
      <c r="CT497" s="424">
        <f t="shared" si="652"/>
        <v>0</v>
      </c>
      <c r="CU497" s="424">
        <f t="shared" si="652"/>
        <v>0</v>
      </c>
      <c r="CV497" s="424">
        <f t="shared" si="652"/>
        <v>0</v>
      </c>
      <c r="CW497" s="424">
        <f t="shared" si="652"/>
        <v>0</v>
      </c>
      <c r="CX497" s="424">
        <f t="shared" si="652"/>
        <v>0</v>
      </c>
      <c r="CY497" s="424">
        <f t="shared" si="652"/>
        <v>0</v>
      </c>
      <c r="CZ497" s="424">
        <f t="shared" si="652"/>
        <v>1.22</v>
      </c>
      <c r="DA497" s="424">
        <f t="shared" si="652"/>
        <v>0</v>
      </c>
      <c r="DB497" s="424">
        <f t="shared" ref="DB497:EG497" si="653">DB127*DB$372</f>
        <v>0</v>
      </c>
      <c r="DC497" s="424">
        <f t="shared" si="653"/>
        <v>0.01</v>
      </c>
      <c r="DD497" s="424">
        <f t="shared" si="653"/>
        <v>0</v>
      </c>
      <c r="DE497" s="424">
        <f t="shared" si="653"/>
        <v>0</v>
      </c>
      <c r="DF497" s="424">
        <f t="shared" si="653"/>
        <v>0</v>
      </c>
      <c r="DG497" s="424">
        <f t="shared" si="653"/>
        <v>0</v>
      </c>
      <c r="DH497" s="424">
        <f t="shared" si="653"/>
        <v>0</v>
      </c>
      <c r="DI497" s="424">
        <f t="shared" si="653"/>
        <v>0</v>
      </c>
      <c r="DJ497" s="424">
        <f t="shared" si="653"/>
        <v>0</v>
      </c>
      <c r="DK497" s="424">
        <f t="shared" si="653"/>
        <v>0</v>
      </c>
      <c r="DL497" s="424">
        <f t="shared" si="653"/>
        <v>0</v>
      </c>
      <c r="DM497" s="424">
        <f t="shared" si="653"/>
        <v>0</v>
      </c>
      <c r="DN497" s="424">
        <f t="shared" si="653"/>
        <v>0</v>
      </c>
      <c r="DO497" s="424">
        <f t="shared" si="653"/>
        <v>0</v>
      </c>
      <c r="DP497" s="424">
        <f t="shared" si="653"/>
        <v>0</v>
      </c>
      <c r="DQ497" s="424">
        <f t="shared" si="653"/>
        <v>0</v>
      </c>
      <c r="DR497" s="424">
        <f t="shared" si="653"/>
        <v>0</v>
      </c>
      <c r="DS497" s="424">
        <f t="shared" si="653"/>
        <v>0</v>
      </c>
      <c r="DT497" s="424">
        <f t="shared" si="653"/>
        <v>0</v>
      </c>
      <c r="DU497" s="424">
        <f t="shared" si="653"/>
        <v>0</v>
      </c>
      <c r="DV497" s="424">
        <f t="shared" si="653"/>
        <v>0</v>
      </c>
      <c r="DW497" s="424">
        <f t="shared" si="653"/>
        <v>0</v>
      </c>
      <c r="DX497" s="424">
        <f t="shared" si="653"/>
        <v>0</v>
      </c>
      <c r="DY497" s="424">
        <f t="shared" si="653"/>
        <v>0</v>
      </c>
      <c r="DZ497" s="424">
        <f t="shared" si="653"/>
        <v>0</v>
      </c>
      <c r="EA497" s="424">
        <f t="shared" si="653"/>
        <v>0</v>
      </c>
      <c r="EB497" s="424">
        <f t="shared" si="653"/>
        <v>0</v>
      </c>
      <c r="EC497" s="424">
        <f t="shared" si="653"/>
        <v>0</v>
      </c>
      <c r="ED497" s="424">
        <f t="shared" si="653"/>
        <v>0</v>
      </c>
      <c r="EE497" s="424">
        <f t="shared" si="653"/>
        <v>0</v>
      </c>
      <c r="EF497" s="424">
        <f t="shared" si="653"/>
        <v>0</v>
      </c>
      <c r="EG497" s="424">
        <f t="shared" si="653"/>
        <v>0</v>
      </c>
      <c r="EH497" s="424">
        <f t="shared" ref="EH497:EX497" si="654">EH127*EH$372</f>
        <v>0</v>
      </c>
      <c r="EI497" s="424">
        <f t="shared" si="654"/>
        <v>0</v>
      </c>
      <c r="EJ497" s="424">
        <f t="shared" si="654"/>
        <v>0</v>
      </c>
      <c r="EK497" s="424">
        <f t="shared" si="654"/>
        <v>0</v>
      </c>
      <c r="EL497" s="424">
        <f t="shared" si="654"/>
        <v>0</v>
      </c>
      <c r="EM497" s="424">
        <f t="shared" si="654"/>
        <v>0</v>
      </c>
      <c r="EN497" s="424">
        <f t="shared" si="654"/>
        <v>0</v>
      </c>
      <c r="EO497" s="424">
        <f t="shared" si="654"/>
        <v>0</v>
      </c>
      <c r="EP497" s="424">
        <f t="shared" si="654"/>
        <v>0</v>
      </c>
      <c r="EQ497" s="424">
        <f t="shared" si="654"/>
        <v>0</v>
      </c>
      <c r="ER497" s="424">
        <f t="shared" si="654"/>
        <v>0</v>
      </c>
      <c r="ES497" s="424">
        <f t="shared" si="654"/>
        <v>0</v>
      </c>
      <c r="ET497" s="424">
        <f t="shared" si="654"/>
        <v>0</v>
      </c>
      <c r="EU497" s="424">
        <f t="shared" si="654"/>
        <v>0</v>
      </c>
      <c r="EV497" s="424">
        <f t="shared" si="654"/>
        <v>0</v>
      </c>
      <c r="EW497" s="424">
        <f t="shared" si="654"/>
        <v>0</v>
      </c>
      <c r="EX497" s="424">
        <f t="shared" si="654"/>
        <v>0</v>
      </c>
      <c r="EY497" s="425">
        <f t="shared" si="374"/>
        <v>20.64</v>
      </c>
      <c r="EZ497" s="616"/>
      <c r="FA497" s="616"/>
      <c r="FB497" s="616"/>
      <c r="FC497" s="616"/>
      <c r="FD497" s="616"/>
      <c r="FE497" s="616"/>
      <c r="FF497" s="616"/>
      <c r="FG497" s="616"/>
      <c r="FH497" s="616"/>
      <c r="FI497" s="616"/>
      <c r="FJ497" s="616"/>
    </row>
    <row r="498" spans="1:166" s="407" customFormat="1" ht="14.7" customHeight="1" x14ac:dyDescent="0.25">
      <c r="A498" s="310">
        <v>124</v>
      </c>
      <c r="B498" s="311" t="str">
        <f t="shared" si="355"/>
        <v>Каша вязкая молочная из крупы перловой с маслом и сахаром</v>
      </c>
      <c r="C498" s="483">
        <f t="shared" si="363"/>
        <v>18.09</v>
      </c>
      <c r="D498" s="888"/>
      <c r="E498" s="888"/>
      <c r="F498" s="888"/>
      <c r="G498" s="889"/>
      <c r="H498" s="680">
        <f t="shared" si="356"/>
        <v>174</v>
      </c>
      <c r="I498" s="1209">
        <f t="shared" si="357"/>
        <v>0</v>
      </c>
      <c r="J498" s="424">
        <f t="shared" ref="J498:AO498" si="655">J128*J$372</f>
        <v>0</v>
      </c>
      <c r="K498" s="424">
        <f t="shared" si="655"/>
        <v>0</v>
      </c>
      <c r="L498" s="424">
        <f t="shared" si="655"/>
        <v>0</v>
      </c>
      <c r="M498" s="424">
        <f t="shared" si="655"/>
        <v>0</v>
      </c>
      <c r="N498" s="424">
        <f t="shared" si="655"/>
        <v>0</v>
      </c>
      <c r="O498" s="424">
        <f t="shared" si="655"/>
        <v>0</v>
      </c>
      <c r="P498" s="424">
        <f t="shared" si="655"/>
        <v>0</v>
      </c>
      <c r="Q498" s="424">
        <f t="shared" si="655"/>
        <v>0</v>
      </c>
      <c r="R498" s="424">
        <f t="shared" si="655"/>
        <v>0</v>
      </c>
      <c r="S498" s="424">
        <f t="shared" si="655"/>
        <v>0</v>
      </c>
      <c r="T498" s="424">
        <f t="shared" si="655"/>
        <v>0</v>
      </c>
      <c r="U498" s="424">
        <f t="shared" si="655"/>
        <v>8</v>
      </c>
      <c r="V498" s="424">
        <f t="shared" si="655"/>
        <v>7.1</v>
      </c>
      <c r="W498" s="424">
        <f t="shared" si="655"/>
        <v>0</v>
      </c>
      <c r="X498" s="424">
        <f t="shared" si="655"/>
        <v>0</v>
      </c>
      <c r="Y498" s="424">
        <f t="shared" si="655"/>
        <v>0</v>
      </c>
      <c r="Z498" s="424">
        <f t="shared" si="655"/>
        <v>0</v>
      </c>
      <c r="AA498" s="424">
        <f t="shared" si="655"/>
        <v>0</v>
      </c>
      <c r="AB498" s="424">
        <f t="shared" si="655"/>
        <v>0</v>
      </c>
      <c r="AC498" s="424">
        <f t="shared" si="655"/>
        <v>0</v>
      </c>
      <c r="AD498" s="424">
        <f t="shared" si="655"/>
        <v>0</v>
      </c>
      <c r="AE498" s="424">
        <f t="shared" si="655"/>
        <v>0</v>
      </c>
      <c r="AF498" s="424">
        <f t="shared" si="655"/>
        <v>0</v>
      </c>
      <c r="AG498" s="424">
        <f t="shared" si="655"/>
        <v>0</v>
      </c>
      <c r="AH498" s="424">
        <f t="shared" si="655"/>
        <v>0</v>
      </c>
      <c r="AI498" s="424">
        <f t="shared" si="655"/>
        <v>0</v>
      </c>
      <c r="AJ498" s="424">
        <f t="shared" si="655"/>
        <v>0</v>
      </c>
      <c r="AK498" s="424">
        <f t="shared" si="655"/>
        <v>0</v>
      </c>
      <c r="AL498" s="424">
        <f t="shared" si="655"/>
        <v>0</v>
      </c>
      <c r="AM498" s="424">
        <f t="shared" si="655"/>
        <v>0</v>
      </c>
      <c r="AN498" s="424">
        <f t="shared" si="655"/>
        <v>0</v>
      </c>
      <c r="AO498" s="424">
        <f t="shared" si="655"/>
        <v>0</v>
      </c>
      <c r="AP498" s="424">
        <f t="shared" ref="AP498:BU498" si="656">AP128*AP$372</f>
        <v>0</v>
      </c>
      <c r="AQ498" s="424">
        <f t="shared" si="656"/>
        <v>0</v>
      </c>
      <c r="AR498" s="424">
        <f t="shared" si="656"/>
        <v>0</v>
      </c>
      <c r="AS498" s="424">
        <f t="shared" si="656"/>
        <v>0</v>
      </c>
      <c r="AT498" s="424">
        <f t="shared" si="656"/>
        <v>0</v>
      </c>
      <c r="AU498" s="424">
        <f t="shared" si="656"/>
        <v>0</v>
      </c>
      <c r="AV498" s="424">
        <f t="shared" si="656"/>
        <v>0</v>
      </c>
      <c r="AW498" s="424">
        <f t="shared" si="656"/>
        <v>0</v>
      </c>
      <c r="AX498" s="424">
        <f t="shared" si="656"/>
        <v>0</v>
      </c>
      <c r="AY498" s="424">
        <f t="shared" si="656"/>
        <v>0</v>
      </c>
      <c r="AZ498" s="424">
        <f t="shared" si="656"/>
        <v>0</v>
      </c>
      <c r="BA498" s="424">
        <f t="shared" si="656"/>
        <v>0</v>
      </c>
      <c r="BB498" s="424">
        <f t="shared" si="656"/>
        <v>0</v>
      </c>
      <c r="BC498" s="424">
        <f t="shared" si="656"/>
        <v>0</v>
      </c>
      <c r="BD498" s="424">
        <f t="shared" si="656"/>
        <v>0</v>
      </c>
      <c r="BE498" s="424">
        <f t="shared" si="656"/>
        <v>0</v>
      </c>
      <c r="BF498" s="424">
        <f t="shared" si="656"/>
        <v>0</v>
      </c>
      <c r="BG498" s="424">
        <f t="shared" si="656"/>
        <v>0</v>
      </c>
      <c r="BH498" s="424">
        <f t="shared" si="656"/>
        <v>0</v>
      </c>
      <c r="BI498" s="424">
        <f t="shared" si="656"/>
        <v>0</v>
      </c>
      <c r="BJ498" s="424">
        <f t="shared" si="656"/>
        <v>0</v>
      </c>
      <c r="BK498" s="424">
        <f t="shared" si="656"/>
        <v>0</v>
      </c>
      <c r="BL498" s="424">
        <f t="shared" si="656"/>
        <v>0</v>
      </c>
      <c r="BM498" s="424">
        <f t="shared" si="656"/>
        <v>0</v>
      </c>
      <c r="BN498" s="424">
        <f t="shared" si="656"/>
        <v>0</v>
      </c>
      <c r="BO498" s="424">
        <f t="shared" si="656"/>
        <v>0</v>
      </c>
      <c r="BP498" s="424">
        <f t="shared" si="656"/>
        <v>0</v>
      </c>
      <c r="BQ498" s="424">
        <f t="shared" si="656"/>
        <v>0</v>
      </c>
      <c r="BR498" s="424">
        <f t="shared" si="656"/>
        <v>0</v>
      </c>
      <c r="BS498" s="424">
        <f t="shared" si="656"/>
        <v>0</v>
      </c>
      <c r="BT498" s="424">
        <f t="shared" si="656"/>
        <v>0</v>
      </c>
      <c r="BU498" s="424">
        <f t="shared" si="656"/>
        <v>0</v>
      </c>
      <c r="BV498" s="424">
        <f t="shared" ref="BV498:DA498" si="657">BV128*BV$372</f>
        <v>1.76</v>
      </c>
      <c r="BW498" s="424">
        <f t="shared" si="657"/>
        <v>0</v>
      </c>
      <c r="BX498" s="424">
        <f t="shared" si="657"/>
        <v>0</v>
      </c>
      <c r="BY498" s="424">
        <f t="shared" si="657"/>
        <v>0</v>
      </c>
      <c r="BZ498" s="424">
        <f t="shared" si="657"/>
        <v>0</v>
      </c>
      <c r="CA498" s="424">
        <f t="shared" si="657"/>
        <v>0</v>
      </c>
      <c r="CB498" s="424">
        <f t="shared" si="657"/>
        <v>0</v>
      </c>
      <c r="CC498" s="424">
        <f t="shared" si="657"/>
        <v>0</v>
      </c>
      <c r="CD498" s="424">
        <f t="shared" si="657"/>
        <v>0</v>
      </c>
      <c r="CE498" s="424">
        <f t="shared" si="657"/>
        <v>0</v>
      </c>
      <c r="CF498" s="424">
        <f t="shared" si="657"/>
        <v>0</v>
      </c>
      <c r="CG498" s="424">
        <f t="shared" si="657"/>
        <v>0</v>
      </c>
      <c r="CH498" s="424">
        <f t="shared" si="657"/>
        <v>0</v>
      </c>
      <c r="CI498" s="424">
        <f t="shared" si="657"/>
        <v>0</v>
      </c>
      <c r="CJ498" s="424">
        <f t="shared" si="657"/>
        <v>0</v>
      </c>
      <c r="CK498" s="424">
        <f t="shared" si="657"/>
        <v>0</v>
      </c>
      <c r="CL498" s="424">
        <f t="shared" si="657"/>
        <v>0</v>
      </c>
      <c r="CM498" s="424">
        <f t="shared" si="657"/>
        <v>0</v>
      </c>
      <c r="CN498" s="424">
        <f t="shared" si="657"/>
        <v>0</v>
      </c>
      <c r="CO498" s="424">
        <f t="shared" si="657"/>
        <v>0</v>
      </c>
      <c r="CP498" s="424">
        <f t="shared" si="657"/>
        <v>0</v>
      </c>
      <c r="CQ498" s="424">
        <f t="shared" si="657"/>
        <v>0</v>
      </c>
      <c r="CR498" s="424">
        <f t="shared" si="657"/>
        <v>0</v>
      </c>
      <c r="CS498" s="424">
        <f t="shared" si="657"/>
        <v>0</v>
      </c>
      <c r="CT498" s="424">
        <f t="shared" si="657"/>
        <v>0</v>
      </c>
      <c r="CU498" s="424">
        <f t="shared" si="657"/>
        <v>0</v>
      </c>
      <c r="CV498" s="424">
        <f t="shared" si="657"/>
        <v>0</v>
      </c>
      <c r="CW498" s="424">
        <f t="shared" si="657"/>
        <v>0</v>
      </c>
      <c r="CX498" s="424">
        <f t="shared" si="657"/>
        <v>0</v>
      </c>
      <c r="CY498" s="424">
        <f t="shared" si="657"/>
        <v>0</v>
      </c>
      <c r="CZ498" s="424">
        <f t="shared" si="657"/>
        <v>1.22</v>
      </c>
      <c r="DA498" s="424">
        <f t="shared" si="657"/>
        <v>0</v>
      </c>
      <c r="DB498" s="424">
        <f t="shared" ref="DB498:EG498" si="658">DB128*DB$372</f>
        <v>0</v>
      </c>
      <c r="DC498" s="424">
        <f t="shared" si="658"/>
        <v>0.01</v>
      </c>
      <c r="DD498" s="424">
        <f t="shared" si="658"/>
        <v>0</v>
      </c>
      <c r="DE498" s="424">
        <f t="shared" si="658"/>
        <v>0</v>
      </c>
      <c r="DF498" s="424">
        <f t="shared" si="658"/>
        <v>0</v>
      </c>
      <c r="DG498" s="424">
        <f t="shared" si="658"/>
        <v>0</v>
      </c>
      <c r="DH498" s="424">
        <f t="shared" si="658"/>
        <v>0</v>
      </c>
      <c r="DI498" s="424">
        <f t="shared" si="658"/>
        <v>0</v>
      </c>
      <c r="DJ498" s="424">
        <f t="shared" si="658"/>
        <v>0</v>
      </c>
      <c r="DK498" s="424">
        <f t="shared" si="658"/>
        <v>0</v>
      </c>
      <c r="DL498" s="424">
        <f t="shared" si="658"/>
        <v>0</v>
      </c>
      <c r="DM498" s="424">
        <f t="shared" si="658"/>
        <v>0</v>
      </c>
      <c r="DN498" s="424">
        <f t="shared" si="658"/>
        <v>0</v>
      </c>
      <c r="DO498" s="424">
        <f t="shared" si="658"/>
        <v>0</v>
      </c>
      <c r="DP498" s="424">
        <f t="shared" si="658"/>
        <v>0</v>
      </c>
      <c r="DQ498" s="424">
        <f t="shared" si="658"/>
        <v>0</v>
      </c>
      <c r="DR498" s="424">
        <f t="shared" si="658"/>
        <v>0</v>
      </c>
      <c r="DS498" s="424">
        <f t="shared" si="658"/>
        <v>0</v>
      </c>
      <c r="DT498" s="424">
        <f t="shared" si="658"/>
        <v>0</v>
      </c>
      <c r="DU498" s="424">
        <f t="shared" si="658"/>
        <v>0</v>
      </c>
      <c r="DV498" s="424">
        <f t="shared" si="658"/>
        <v>0</v>
      </c>
      <c r="DW498" s="424">
        <f t="shared" si="658"/>
        <v>0</v>
      </c>
      <c r="DX498" s="424">
        <f t="shared" si="658"/>
        <v>0</v>
      </c>
      <c r="DY498" s="424">
        <f t="shared" si="658"/>
        <v>0</v>
      </c>
      <c r="DZ498" s="424">
        <f t="shared" si="658"/>
        <v>0</v>
      </c>
      <c r="EA498" s="424">
        <f t="shared" si="658"/>
        <v>0</v>
      </c>
      <c r="EB498" s="424">
        <f t="shared" si="658"/>
        <v>0</v>
      </c>
      <c r="EC498" s="424">
        <f t="shared" si="658"/>
        <v>0</v>
      </c>
      <c r="ED498" s="424">
        <f t="shared" si="658"/>
        <v>0</v>
      </c>
      <c r="EE498" s="424">
        <f t="shared" si="658"/>
        <v>0</v>
      </c>
      <c r="EF498" s="424">
        <f t="shared" si="658"/>
        <v>0</v>
      </c>
      <c r="EG498" s="424">
        <f t="shared" si="658"/>
        <v>0</v>
      </c>
      <c r="EH498" s="424">
        <f t="shared" ref="EH498:EX498" si="659">EH128*EH$372</f>
        <v>0</v>
      </c>
      <c r="EI498" s="424">
        <f t="shared" si="659"/>
        <v>0</v>
      </c>
      <c r="EJ498" s="424">
        <f t="shared" si="659"/>
        <v>0</v>
      </c>
      <c r="EK498" s="424">
        <f t="shared" si="659"/>
        <v>0</v>
      </c>
      <c r="EL498" s="424">
        <f t="shared" si="659"/>
        <v>0</v>
      </c>
      <c r="EM498" s="424">
        <f t="shared" si="659"/>
        <v>0</v>
      </c>
      <c r="EN498" s="424">
        <f t="shared" si="659"/>
        <v>0</v>
      </c>
      <c r="EO498" s="424">
        <f t="shared" si="659"/>
        <v>0</v>
      </c>
      <c r="EP498" s="424">
        <f t="shared" si="659"/>
        <v>0</v>
      </c>
      <c r="EQ498" s="424">
        <f t="shared" si="659"/>
        <v>0</v>
      </c>
      <c r="ER498" s="424">
        <f t="shared" si="659"/>
        <v>0</v>
      </c>
      <c r="ES498" s="424">
        <f t="shared" si="659"/>
        <v>0</v>
      </c>
      <c r="ET498" s="424">
        <f t="shared" si="659"/>
        <v>0</v>
      </c>
      <c r="EU498" s="424">
        <f t="shared" si="659"/>
        <v>0</v>
      </c>
      <c r="EV498" s="424">
        <f t="shared" si="659"/>
        <v>0</v>
      </c>
      <c r="EW498" s="424">
        <f t="shared" si="659"/>
        <v>0</v>
      </c>
      <c r="EX498" s="424">
        <f t="shared" si="659"/>
        <v>0</v>
      </c>
      <c r="EY498" s="425">
        <f t="shared" si="374"/>
        <v>18.09</v>
      </c>
      <c r="EZ498" s="616"/>
      <c r="FA498" s="616"/>
      <c r="FB498" s="616"/>
      <c r="FC498" s="616"/>
      <c r="FD498" s="616"/>
      <c r="FE498" s="616"/>
      <c r="FF498" s="616"/>
      <c r="FG498" s="616"/>
      <c r="FH498" s="616"/>
      <c r="FI498" s="616"/>
      <c r="FJ498" s="616"/>
    </row>
    <row r="499" spans="1:166" ht="14.7" customHeight="1" x14ac:dyDescent="0.25">
      <c r="A499" s="310">
        <v>125</v>
      </c>
      <c r="B499" s="311" t="str">
        <f t="shared" si="355"/>
        <v>Каша пшенная с изюмом</v>
      </c>
      <c r="C499" s="483">
        <f t="shared" si="363"/>
        <v>22.28</v>
      </c>
      <c r="D499" s="888"/>
      <c r="E499" s="888"/>
      <c r="F499" s="888"/>
      <c r="G499" s="889"/>
      <c r="H499" s="680">
        <f t="shared" si="356"/>
        <v>177</v>
      </c>
      <c r="I499" s="1209">
        <f t="shared" si="357"/>
        <v>0</v>
      </c>
      <c r="J499" s="424">
        <f t="shared" ref="J499:AO499" si="660">J129*J$372</f>
        <v>0</v>
      </c>
      <c r="K499" s="424">
        <f t="shared" si="660"/>
        <v>0</v>
      </c>
      <c r="L499" s="424">
        <f t="shared" si="660"/>
        <v>0</v>
      </c>
      <c r="M499" s="424">
        <f t="shared" si="660"/>
        <v>0</v>
      </c>
      <c r="N499" s="424">
        <f t="shared" si="660"/>
        <v>0</v>
      </c>
      <c r="O499" s="424">
        <f t="shared" si="660"/>
        <v>0</v>
      </c>
      <c r="P499" s="424">
        <f t="shared" si="660"/>
        <v>0</v>
      </c>
      <c r="Q499" s="424">
        <f t="shared" si="660"/>
        <v>0</v>
      </c>
      <c r="R499" s="424">
        <f t="shared" si="660"/>
        <v>0</v>
      </c>
      <c r="S499" s="424">
        <f t="shared" si="660"/>
        <v>0</v>
      </c>
      <c r="T499" s="424">
        <f t="shared" si="660"/>
        <v>0</v>
      </c>
      <c r="U499" s="424">
        <f t="shared" si="660"/>
        <v>8</v>
      </c>
      <c r="V499" s="424">
        <f t="shared" si="660"/>
        <v>7.1</v>
      </c>
      <c r="W499" s="424">
        <f t="shared" si="660"/>
        <v>0</v>
      </c>
      <c r="X499" s="424">
        <f t="shared" si="660"/>
        <v>0</v>
      </c>
      <c r="Y499" s="424">
        <f t="shared" si="660"/>
        <v>0</v>
      </c>
      <c r="Z499" s="424">
        <f t="shared" si="660"/>
        <v>0</v>
      </c>
      <c r="AA499" s="424">
        <f t="shared" si="660"/>
        <v>0</v>
      </c>
      <c r="AB499" s="424">
        <f t="shared" si="660"/>
        <v>0</v>
      </c>
      <c r="AC499" s="424">
        <f t="shared" si="660"/>
        <v>0</v>
      </c>
      <c r="AD499" s="424">
        <f t="shared" si="660"/>
        <v>0</v>
      </c>
      <c r="AE499" s="424">
        <f t="shared" si="660"/>
        <v>0</v>
      </c>
      <c r="AF499" s="424">
        <f t="shared" si="660"/>
        <v>0</v>
      </c>
      <c r="AG499" s="424">
        <f t="shared" si="660"/>
        <v>0</v>
      </c>
      <c r="AH499" s="424">
        <f t="shared" si="660"/>
        <v>0</v>
      </c>
      <c r="AI499" s="424">
        <f t="shared" si="660"/>
        <v>0</v>
      </c>
      <c r="AJ499" s="424">
        <f t="shared" si="660"/>
        <v>0</v>
      </c>
      <c r="AK499" s="424">
        <f t="shared" si="660"/>
        <v>0</v>
      </c>
      <c r="AL499" s="424">
        <f t="shared" si="660"/>
        <v>0</v>
      </c>
      <c r="AM499" s="424">
        <f t="shared" si="660"/>
        <v>0</v>
      </c>
      <c r="AN499" s="424">
        <f t="shared" si="660"/>
        <v>0</v>
      </c>
      <c r="AO499" s="424">
        <f t="shared" si="660"/>
        <v>0</v>
      </c>
      <c r="AP499" s="424">
        <f t="shared" ref="AP499:BU499" si="661">AP129*AP$372</f>
        <v>0</v>
      </c>
      <c r="AQ499" s="424">
        <f t="shared" si="661"/>
        <v>0</v>
      </c>
      <c r="AR499" s="424">
        <f t="shared" si="661"/>
        <v>0</v>
      </c>
      <c r="AS499" s="424">
        <f t="shared" si="661"/>
        <v>0</v>
      </c>
      <c r="AT499" s="424">
        <f t="shared" si="661"/>
        <v>0</v>
      </c>
      <c r="AU499" s="424">
        <f t="shared" si="661"/>
        <v>0</v>
      </c>
      <c r="AV499" s="424">
        <f t="shared" si="661"/>
        <v>0</v>
      </c>
      <c r="AW499" s="424">
        <f t="shared" si="661"/>
        <v>0</v>
      </c>
      <c r="AX499" s="424">
        <f t="shared" si="661"/>
        <v>0</v>
      </c>
      <c r="AY499" s="424">
        <f t="shared" si="661"/>
        <v>0</v>
      </c>
      <c r="AZ499" s="424">
        <f t="shared" si="661"/>
        <v>0</v>
      </c>
      <c r="BA499" s="424">
        <f t="shared" si="661"/>
        <v>0</v>
      </c>
      <c r="BB499" s="424">
        <f t="shared" si="661"/>
        <v>0</v>
      </c>
      <c r="BC499" s="424">
        <f t="shared" si="661"/>
        <v>0</v>
      </c>
      <c r="BD499" s="424">
        <f t="shared" si="661"/>
        <v>0</v>
      </c>
      <c r="BE499" s="424">
        <f t="shared" si="661"/>
        <v>0</v>
      </c>
      <c r="BF499" s="424">
        <f t="shared" si="661"/>
        <v>0</v>
      </c>
      <c r="BG499" s="424">
        <f t="shared" si="661"/>
        <v>0</v>
      </c>
      <c r="BH499" s="424">
        <f t="shared" si="661"/>
        <v>0</v>
      </c>
      <c r="BI499" s="424">
        <f t="shared" si="661"/>
        <v>0</v>
      </c>
      <c r="BJ499" s="424">
        <f t="shared" si="661"/>
        <v>0</v>
      </c>
      <c r="BK499" s="424">
        <f t="shared" si="661"/>
        <v>0</v>
      </c>
      <c r="BL499" s="424">
        <f t="shared" si="661"/>
        <v>0</v>
      </c>
      <c r="BM499" s="424">
        <f t="shared" si="661"/>
        <v>0</v>
      </c>
      <c r="BN499" s="424">
        <f t="shared" si="661"/>
        <v>0</v>
      </c>
      <c r="BO499" s="424">
        <f t="shared" si="661"/>
        <v>0</v>
      </c>
      <c r="BP499" s="424">
        <f t="shared" si="661"/>
        <v>0</v>
      </c>
      <c r="BQ499" s="424">
        <f t="shared" si="661"/>
        <v>0</v>
      </c>
      <c r="BR499" s="424">
        <f t="shared" si="661"/>
        <v>0</v>
      </c>
      <c r="BS499" s="424">
        <f t="shared" si="661"/>
        <v>0</v>
      </c>
      <c r="BT499" s="424">
        <f t="shared" si="661"/>
        <v>0</v>
      </c>
      <c r="BU499" s="424">
        <f t="shared" si="661"/>
        <v>0</v>
      </c>
      <c r="BV499" s="424">
        <f t="shared" ref="BV499:DA499" si="662">BV129*BV$372</f>
        <v>0</v>
      </c>
      <c r="BW499" s="424">
        <f t="shared" si="662"/>
        <v>0</v>
      </c>
      <c r="BX499" s="424">
        <f t="shared" si="662"/>
        <v>0</v>
      </c>
      <c r="BY499" s="424">
        <f t="shared" si="662"/>
        <v>0</v>
      </c>
      <c r="BZ499" s="424">
        <f t="shared" si="662"/>
        <v>0</v>
      </c>
      <c r="CA499" s="424">
        <f t="shared" si="662"/>
        <v>2.64</v>
      </c>
      <c r="CB499" s="424">
        <f t="shared" si="662"/>
        <v>0</v>
      </c>
      <c r="CC499" s="424">
        <f t="shared" si="662"/>
        <v>0</v>
      </c>
      <c r="CD499" s="424">
        <f t="shared" si="662"/>
        <v>0</v>
      </c>
      <c r="CE499" s="424">
        <f t="shared" si="662"/>
        <v>0</v>
      </c>
      <c r="CF499" s="424">
        <f t="shared" si="662"/>
        <v>0</v>
      </c>
      <c r="CG499" s="424">
        <f t="shared" si="662"/>
        <v>0</v>
      </c>
      <c r="CH499" s="424">
        <f t="shared" si="662"/>
        <v>0</v>
      </c>
      <c r="CI499" s="424">
        <f t="shared" si="662"/>
        <v>0</v>
      </c>
      <c r="CJ499" s="424">
        <f t="shared" si="662"/>
        <v>0</v>
      </c>
      <c r="CK499" s="424">
        <f t="shared" si="662"/>
        <v>0</v>
      </c>
      <c r="CL499" s="424">
        <f t="shared" si="662"/>
        <v>0</v>
      </c>
      <c r="CM499" s="424">
        <f t="shared" si="662"/>
        <v>4.08</v>
      </c>
      <c r="CN499" s="424">
        <f t="shared" si="662"/>
        <v>0</v>
      </c>
      <c r="CO499" s="424">
        <f t="shared" si="662"/>
        <v>0</v>
      </c>
      <c r="CP499" s="424">
        <f t="shared" si="662"/>
        <v>0</v>
      </c>
      <c r="CQ499" s="424">
        <f t="shared" si="662"/>
        <v>0</v>
      </c>
      <c r="CR499" s="424">
        <f t="shared" si="662"/>
        <v>0</v>
      </c>
      <c r="CS499" s="424">
        <f t="shared" si="662"/>
        <v>0</v>
      </c>
      <c r="CT499" s="424">
        <f t="shared" si="662"/>
        <v>0</v>
      </c>
      <c r="CU499" s="424">
        <f t="shared" si="662"/>
        <v>0</v>
      </c>
      <c r="CV499" s="424">
        <f t="shared" si="662"/>
        <v>0</v>
      </c>
      <c r="CW499" s="424">
        <f t="shared" si="662"/>
        <v>0</v>
      </c>
      <c r="CX499" s="424">
        <f t="shared" si="662"/>
        <v>0</v>
      </c>
      <c r="CY499" s="424">
        <f t="shared" si="662"/>
        <v>0</v>
      </c>
      <c r="CZ499" s="424">
        <f t="shared" si="662"/>
        <v>0.46</v>
      </c>
      <c r="DA499" s="424">
        <f t="shared" si="662"/>
        <v>0</v>
      </c>
      <c r="DB499" s="424">
        <f t="shared" ref="DB499:EG499" si="663">DB129*DB$372</f>
        <v>0</v>
      </c>
      <c r="DC499" s="424">
        <f t="shared" si="663"/>
        <v>0</v>
      </c>
      <c r="DD499" s="424">
        <f t="shared" si="663"/>
        <v>0</v>
      </c>
      <c r="DE499" s="424">
        <f t="shared" si="663"/>
        <v>0</v>
      </c>
      <c r="DF499" s="424">
        <f t="shared" si="663"/>
        <v>0</v>
      </c>
      <c r="DG499" s="424">
        <f t="shared" si="663"/>
        <v>0</v>
      </c>
      <c r="DH499" s="424">
        <f t="shared" si="663"/>
        <v>0</v>
      </c>
      <c r="DI499" s="424">
        <f t="shared" si="663"/>
        <v>0</v>
      </c>
      <c r="DJ499" s="424">
        <f t="shared" si="663"/>
        <v>0</v>
      </c>
      <c r="DK499" s="424">
        <f t="shared" si="663"/>
        <v>0</v>
      </c>
      <c r="DL499" s="424">
        <f t="shared" si="663"/>
        <v>0</v>
      </c>
      <c r="DM499" s="424">
        <f t="shared" si="663"/>
        <v>0</v>
      </c>
      <c r="DN499" s="424">
        <f t="shared" si="663"/>
        <v>0</v>
      </c>
      <c r="DO499" s="424">
        <f t="shared" si="663"/>
        <v>0</v>
      </c>
      <c r="DP499" s="424">
        <f t="shared" si="663"/>
        <v>0</v>
      </c>
      <c r="DQ499" s="424">
        <f t="shared" si="663"/>
        <v>0</v>
      </c>
      <c r="DR499" s="424">
        <f t="shared" si="663"/>
        <v>0</v>
      </c>
      <c r="DS499" s="424">
        <f t="shared" si="663"/>
        <v>0</v>
      </c>
      <c r="DT499" s="424">
        <f t="shared" si="663"/>
        <v>0</v>
      </c>
      <c r="DU499" s="424">
        <f t="shared" si="663"/>
        <v>0</v>
      </c>
      <c r="DV499" s="424">
        <f t="shared" si="663"/>
        <v>0</v>
      </c>
      <c r="DW499" s="424">
        <f t="shared" si="663"/>
        <v>0</v>
      </c>
      <c r="DX499" s="424">
        <f t="shared" si="663"/>
        <v>0</v>
      </c>
      <c r="DY499" s="424">
        <f t="shared" si="663"/>
        <v>0</v>
      </c>
      <c r="DZ499" s="424">
        <f t="shared" si="663"/>
        <v>0</v>
      </c>
      <c r="EA499" s="424">
        <f t="shared" si="663"/>
        <v>0</v>
      </c>
      <c r="EB499" s="424">
        <f t="shared" si="663"/>
        <v>0</v>
      </c>
      <c r="EC499" s="424">
        <f t="shared" si="663"/>
        <v>0</v>
      </c>
      <c r="ED499" s="424">
        <f t="shared" si="663"/>
        <v>0</v>
      </c>
      <c r="EE499" s="424">
        <f t="shared" si="663"/>
        <v>0</v>
      </c>
      <c r="EF499" s="424">
        <f t="shared" si="663"/>
        <v>0</v>
      </c>
      <c r="EG499" s="424">
        <f t="shared" si="663"/>
        <v>0</v>
      </c>
      <c r="EH499" s="424">
        <f t="shared" ref="EH499:EX499" si="664">EH129*EH$372</f>
        <v>0</v>
      </c>
      <c r="EI499" s="424">
        <f t="shared" si="664"/>
        <v>0</v>
      </c>
      <c r="EJ499" s="424">
        <f t="shared" si="664"/>
        <v>0</v>
      </c>
      <c r="EK499" s="424">
        <f t="shared" si="664"/>
        <v>0</v>
      </c>
      <c r="EL499" s="424">
        <f t="shared" si="664"/>
        <v>0</v>
      </c>
      <c r="EM499" s="424">
        <f t="shared" si="664"/>
        <v>0</v>
      </c>
      <c r="EN499" s="424">
        <f t="shared" si="664"/>
        <v>0</v>
      </c>
      <c r="EO499" s="424">
        <f t="shared" si="664"/>
        <v>0</v>
      </c>
      <c r="EP499" s="424">
        <f t="shared" si="664"/>
        <v>0</v>
      </c>
      <c r="EQ499" s="424">
        <f t="shared" si="664"/>
        <v>0</v>
      </c>
      <c r="ER499" s="424">
        <f t="shared" si="664"/>
        <v>0</v>
      </c>
      <c r="ES499" s="424">
        <f t="shared" si="664"/>
        <v>0</v>
      </c>
      <c r="ET499" s="424">
        <f t="shared" si="664"/>
        <v>0</v>
      </c>
      <c r="EU499" s="424">
        <f t="shared" si="664"/>
        <v>0</v>
      </c>
      <c r="EV499" s="424">
        <f t="shared" si="664"/>
        <v>0</v>
      </c>
      <c r="EW499" s="424">
        <f t="shared" si="664"/>
        <v>0</v>
      </c>
      <c r="EX499" s="424">
        <f t="shared" si="664"/>
        <v>0</v>
      </c>
      <c r="EY499" s="425">
        <f t="shared" si="374"/>
        <v>22.28</v>
      </c>
    </row>
    <row r="500" spans="1:166" s="407" customFormat="1" ht="14.7" customHeight="1" x14ac:dyDescent="0.25">
      <c r="A500" s="310">
        <v>126</v>
      </c>
      <c r="B500" s="311" t="str">
        <f t="shared" si="355"/>
        <v>Каша жидкая молочная из манной крупы с маслом и сахаром</v>
      </c>
      <c r="C500" s="483">
        <f t="shared" si="363"/>
        <v>17.559999999999999</v>
      </c>
      <c r="D500" s="888"/>
      <c r="E500" s="888"/>
      <c r="F500" s="888"/>
      <c r="G500" s="889"/>
      <c r="H500" s="680">
        <f t="shared" si="356"/>
        <v>181</v>
      </c>
      <c r="I500" s="1209">
        <f t="shared" si="357"/>
        <v>0</v>
      </c>
      <c r="J500" s="424">
        <f t="shared" ref="J500:AO500" si="665">J130*J$372</f>
        <v>0</v>
      </c>
      <c r="K500" s="424">
        <f t="shared" si="665"/>
        <v>0</v>
      </c>
      <c r="L500" s="424">
        <f t="shared" si="665"/>
        <v>0</v>
      </c>
      <c r="M500" s="424">
        <f t="shared" si="665"/>
        <v>0</v>
      </c>
      <c r="N500" s="424">
        <f t="shared" si="665"/>
        <v>0</v>
      </c>
      <c r="O500" s="424">
        <f t="shared" si="665"/>
        <v>0</v>
      </c>
      <c r="P500" s="424">
        <f t="shared" si="665"/>
        <v>0</v>
      </c>
      <c r="Q500" s="424">
        <f t="shared" si="665"/>
        <v>0</v>
      </c>
      <c r="R500" s="424">
        <f t="shared" si="665"/>
        <v>0</v>
      </c>
      <c r="S500" s="424">
        <f t="shared" si="665"/>
        <v>0</v>
      </c>
      <c r="T500" s="424">
        <f t="shared" si="665"/>
        <v>0</v>
      </c>
      <c r="U500" s="424">
        <f t="shared" si="665"/>
        <v>8</v>
      </c>
      <c r="V500" s="424">
        <f t="shared" si="665"/>
        <v>7.1</v>
      </c>
      <c r="W500" s="424">
        <f t="shared" si="665"/>
        <v>0</v>
      </c>
      <c r="X500" s="424">
        <f t="shared" si="665"/>
        <v>0</v>
      </c>
      <c r="Y500" s="424">
        <f t="shared" si="665"/>
        <v>0</v>
      </c>
      <c r="Z500" s="424">
        <f t="shared" si="665"/>
        <v>0</v>
      </c>
      <c r="AA500" s="424">
        <f t="shared" si="665"/>
        <v>0</v>
      </c>
      <c r="AB500" s="424">
        <f t="shared" si="665"/>
        <v>0</v>
      </c>
      <c r="AC500" s="424">
        <f t="shared" si="665"/>
        <v>0</v>
      </c>
      <c r="AD500" s="424">
        <f t="shared" si="665"/>
        <v>0</v>
      </c>
      <c r="AE500" s="424">
        <f t="shared" si="665"/>
        <v>0</v>
      </c>
      <c r="AF500" s="424">
        <f t="shared" si="665"/>
        <v>0</v>
      </c>
      <c r="AG500" s="424">
        <f t="shared" si="665"/>
        <v>0</v>
      </c>
      <c r="AH500" s="424">
        <f t="shared" si="665"/>
        <v>0</v>
      </c>
      <c r="AI500" s="424">
        <f t="shared" si="665"/>
        <v>0</v>
      </c>
      <c r="AJ500" s="424">
        <f t="shared" si="665"/>
        <v>0</v>
      </c>
      <c r="AK500" s="424">
        <f t="shared" si="665"/>
        <v>0</v>
      </c>
      <c r="AL500" s="424">
        <f t="shared" si="665"/>
        <v>0</v>
      </c>
      <c r="AM500" s="424">
        <f t="shared" si="665"/>
        <v>0</v>
      </c>
      <c r="AN500" s="424">
        <f t="shared" si="665"/>
        <v>0</v>
      </c>
      <c r="AO500" s="424">
        <f t="shared" si="665"/>
        <v>0</v>
      </c>
      <c r="AP500" s="424">
        <f t="shared" ref="AP500:BU500" si="666">AP130*AP$372</f>
        <v>0</v>
      </c>
      <c r="AQ500" s="424">
        <f t="shared" si="666"/>
        <v>0</v>
      </c>
      <c r="AR500" s="424">
        <f t="shared" si="666"/>
        <v>0</v>
      </c>
      <c r="AS500" s="424">
        <f t="shared" si="666"/>
        <v>0</v>
      </c>
      <c r="AT500" s="424">
        <f t="shared" si="666"/>
        <v>0</v>
      </c>
      <c r="AU500" s="424">
        <f t="shared" si="666"/>
        <v>0</v>
      </c>
      <c r="AV500" s="424">
        <f t="shared" si="666"/>
        <v>0</v>
      </c>
      <c r="AW500" s="424">
        <f t="shared" si="666"/>
        <v>0</v>
      </c>
      <c r="AX500" s="424">
        <f t="shared" si="666"/>
        <v>0</v>
      </c>
      <c r="AY500" s="424">
        <f t="shared" si="666"/>
        <v>0</v>
      </c>
      <c r="AZ500" s="424">
        <f t="shared" si="666"/>
        <v>0</v>
      </c>
      <c r="BA500" s="424">
        <f t="shared" si="666"/>
        <v>0</v>
      </c>
      <c r="BB500" s="424">
        <f t="shared" si="666"/>
        <v>0</v>
      </c>
      <c r="BC500" s="424">
        <f t="shared" si="666"/>
        <v>0</v>
      </c>
      <c r="BD500" s="424">
        <f t="shared" si="666"/>
        <v>0</v>
      </c>
      <c r="BE500" s="424">
        <f t="shared" si="666"/>
        <v>0</v>
      </c>
      <c r="BF500" s="424">
        <f t="shared" si="666"/>
        <v>0</v>
      </c>
      <c r="BG500" s="424">
        <f t="shared" si="666"/>
        <v>0</v>
      </c>
      <c r="BH500" s="424">
        <f t="shared" si="666"/>
        <v>0</v>
      </c>
      <c r="BI500" s="424">
        <f t="shared" si="666"/>
        <v>0</v>
      </c>
      <c r="BJ500" s="424">
        <f t="shared" si="666"/>
        <v>0</v>
      </c>
      <c r="BK500" s="424">
        <f t="shared" si="666"/>
        <v>0</v>
      </c>
      <c r="BL500" s="424">
        <f t="shared" si="666"/>
        <v>0</v>
      </c>
      <c r="BM500" s="424">
        <f t="shared" si="666"/>
        <v>0</v>
      </c>
      <c r="BN500" s="424">
        <f t="shared" si="666"/>
        <v>0</v>
      </c>
      <c r="BO500" s="424">
        <f t="shared" si="666"/>
        <v>0</v>
      </c>
      <c r="BP500" s="424">
        <f t="shared" si="666"/>
        <v>0</v>
      </c>
      <c r="BQ500" s="424">
        <f t="shared" si="666"/>
        <v>0</v>
      </c>
      <c r="BR500" s="424">
        <f t="shared" si="666"/>
        <v>0</v>
      </c>
      <c r="BS500" s="424">
        <f t="shared" si="666"/>
        <v>0</v>
      </c>
      <c r="BT500" s="424">
        <f t="shared" si="666"/>
        <v>0</v>
      </c>
      <c r="BU500" s="424">
        <f t="shared" si="666"/>
        <v>1.24</v>
      </c>
      <c r="BV500" s="424">
        <f t="shared" ref="BV500:DA500" si="667">BV130*BV$372</f>
        <v>0</v>
      </c>
      <c r="BW500" s="424">
        <f t="shared" si="667"/>
        <v>0</v>
      </c>
      <c r="BX500" s="424">
        <f t="shared" si="667"/>
        <v>0</v>
      </c>
      <c r="BY500" s="424">
        <f t="shared" si="667"/>
        <v>0</v>
      </c>
      <c r="BZ500" s="424">
        <f t="shared" si="667"/>
        <v>0</v>
      </c>
      <c r="CA500" s="424">
        <f t="shared" si="667"/>
        <v>0</v>
      </c>
      <c r="CB500" s="424">
        <f t="shared" si="667"/>
        <v>0</v>
      </c>
      <c r="CC500" s="424">
        <f t="shared" si="667"/>
        <v>0</v>
      </c>
      <c r="CD500" s="424">
        <f t="shared" si="667"/>
        <v>0</v>
      </c>
      <c r="CE500" s="424">
        <f t="shared" si="667"/>
        <v>0</v>
      </c>
      <c r="CF500" s="424">
        <f t="shared" si="667"/>
        <v>0</v>
      </c>
      <c r="CG500" s="424">
        <f t="shared" si="667"/>
        <v>0</v>
      </c>
      <c r="CH500" s="424">
        <f t="shared" si="667"/>
        <v>0</v>
      </c>
      <c r="CI500" s="424">
        <f t="shared" si="667"/>
        <v>0</v>
      </c>
      <c r="CJ500" s="424">
        <f t="shared" si="667"/>
        <v>0</v>
      </c>
      <c r="CK500" s="424">
        <f t="shared" si="667"/>
        <v>0</v>
      </c>
      <c r="CL500" s="424">
        <f t="shared" si="667"/>
        <v>0</v>
      </c>
      <c r="CM500" s="424">
        <f t="shared" si="667"/>
        <v>0</v>
      </c>
      <c r="CN500" s="424">
        <f t="shared" si="667"/>
        <v>0</v>
      </c>
      <c r="CO500" s="424">
        <f t="shared" si="667"/>
        <v>0</v>
      </c>
      <c r="CP500" s="424">
        <f t="shared" si="667"/>
        <v>0</v>
      </c>
      <c r="CQ500" s="424">
        <f t="shared" si="667"/>
        <v>0</v>
      </c>
      <c r="CR500" s="424">
        <f t="shared" si="667"/>
        <v>0</v>
      </c>
      <c r="CS500" s="424">
        <f t="shared" si="667"/>
        <v>0</v>
      </c>
      <c r="CT500" s="424">
        <f t="shared" si="667"/>
        <v>0</v>
      </c>
      <c r="CU500" s="424">
        <f t="shared" si="667"/>
        <v>0</v>
      </c>
      <c r="CV500" s="424">
        <f t="shared" si="667"/>
        <v>0</v>
      </c>
      <c r="CW500" s="424">
        <f t="shared" si="667"/>
        <v>0</v>
      </c>
      <c r="CX500" s="424">
        <f t="shared" si="667"/>
        <v>0</v>
      </c>
      <c r="CY500" s="424">
        <f t="shared" si="667"/>
        <v>0</v>
      </c>
      <c r="CZ500" s="424">
        <f t="shared" si="667"/>
        <v>1.22</v>
      </c>
      <c r="DA500" s="424">
        <f t="shared" si="667"/>
        <v>0</v>
      </c>
      <c r="DB500" s="424">
        <f t="shared" ref="DB500:EG500" si="668">DB130*DB$372</f>
        <v>0</v>
      </c>
      <c r="DC500" s="424">
        <f t="shared" si="668"/>
        <v>0</v>
      </c>
      <c r="DD500" s="424">
        <f t="shared" si="668"/>
        <v>0</v>
      </c>
      <c r="DE500" s="424">
        <f t="shared" si="668"/>
        <v>0</v>
      </c>
      <c r="DF500" s="424">
        <f t="shared" si="668"/>
        <v>0</v>
      </c>
      <c r="DG500" s="424">
        <f t="shared" si="668"/>
        <v>0</v>
      </c>
      <c r="DH500" s="424">
        <f t="shared" si="668"/>
        <v>0</v>
      </c>
      <c r="DI500" s="424">
        <f t="shared" si="668"/>
        <v>0</v>
      </c>
      <c r="DJ500" s="424">
        <f t="shared" si="668"/>
        <v>0</v>
      </c>
      <c r="DK500" s="424">
        <f t="shared" si="668"/>
        <v>0</v>
      </c>
      <c r="DL500" s="424">
        <f t="shared" si="668"/>
        <v>0</v>
      </c>
      <c r="DM500" s="424">
        <f t="shared" si="668"/>
        <v>0</v>
      </c>
      <c r="DN500" s="424">
        <f t="shared" si="668"/>
        <v>0</v>
      </c>
      <c r="DO500" s="424">
        <f t="shared" si="668"/>
        <v>0</v>
      </c>
      <c r="DP500" s="424">
        <f t="shared" si="668"/>
        <v>0</v>
      </c>
      <c r="DQ500" s="424">
        <f t="shared" si="668"/>
        <v>0</v>
      </c>
      <c r="DR500" s="424">
        <f t="shared" si="668"/>
        <v>0</v>
      </c>
      <c r="DS500" s="424">
        <f t="shared" si="668"/>
        <v>0</v>
      </c>
      <c r="DT500" s="424">
        <f t="shared" si="668"/>
        <v>0</v>
      </c>
      <c r="DU500" s="424">
        <f t="shared" si="668"/>
        <v>0</v>
      </c>
      <c r="DV500" s="424">
        <f t="shared" si="668"/>
        <v>0</v>
      </c>
      <c r="DW500" s="424">
        <f t="shared" si="668"/>
        <v>0</v>
      </c>
      <c r="DX500" s="424">
        <f t="shared" si="668"/>
        <v>0</v>
      </c>
      <c r="DY500" s="424">
        <f t="shared" si="668"/>
        <v>0</v>
      </c>
      <c r="DZ500" s="424">
        <f t="shared" si="668"/>
        <v>0</v>
      </c>
      <c r="EA500" s="424">
        <f t="shared" si="668"/>
        <v>0</v>
      </c>
      <c r="EB500" s="424">
        <f t="shared" si="668"/>
        <v>0</v>
      </c>
      <c r="EC500" s="424">
        <f t="shared" si="668"/>
        <v>0</v>
      </c>
      <c r="ED500" s="424">
        <f t="shared" si="668"/>
        <v>0</v>
      </c>
      <c r="EE500" s="424">
        <f t="shared" si="668"/>
        <v>0</v>
      </c>
      <c r="EF500" s="424">
        <f t="shared" si="668"/>
        <v>0</v>
      </c>
      <c r="EG500" s="424">
        <f t="shared" si="668"/>
        <v>0</v>
      </c>
      <c r="EH500" s="424">
        <f t="shared" ref="EH500:EX500" si="669">EH130*EH$372</f>
        <v>0</v>
      </c>
      <c r="EI500" s="424">
        <f t="shared" si="669"/>
        <v>0</v>
      </c>
      <c r="EJ500" s="424">
        <f t="shared" si="669"/>
        <v>0</v>
      </c>
      <c r="EK500" s="424">
        <f t="shared" si="669"/>
        <v>0</v>
      </c>
      <c r="EL500" s="424">
        <f t="shared" si="669"/>
        <v>0</v>
      </c>
      <c r="EM500" s="424">
        <f t="shared" si="669"/>
        <v>0</v>
      </c>
      <c r="EN500" s="424">
        <f t="shared" si="669"/>
        <v>0</v>
      </c>
      <c r="EO500" s="424">
        <f t="shared" si="669"/>
        <v>0</v>
      </c>
      <c r="EP500" s="424">
        <f t="shared" si="669"/>
        <v>0</v>
      </c>
      <c r="EQ500" s="424">
        <f t="shared" si="669"/>
        <v>0</v>
      </c>
      <c r="ER500" s="424">
        <f t="shared" si="669"/>
        <v>0</v>
      </c>
      <c r="ES500" s="424">
        <f t="shared" si="669"/>
        <v>0</v>
      </c>
      <c r="ET500" s="424">
        <f t="shared" si="669"/>
        <v>0</v>
      </c>
      <c r="EU500" s="424">
        <f t="shared" si="669"/>
        <v>0</v>
      </c>
      <c r="EV500" s="424">
        <f t="shared" si="669"/>
        <v>0</v>
      </c>
      <c r="EW500" s="424">
        <f t="shared" si="669"/>
        <v>0</v>
      </c>
      <c r="EX500" s="424">
        <f t="shared" si="669"/>
        <v>0</v>
      </c>
      <c r="EY500" s="425">
        <f t="shared" si="374"/>
        <v>17.559999999999999</v>
      </c>
      <c r="EZ500" s="616"/>
      <c r="FA500" s="616"/>
      <c r="FB500" s="616"/>
      <c r="FC500" s="616"/>
      <c r="FD500" s="616"/>
      <c r="FE500" s="616"/>
      <c r="FF500" s="616"/>
      <c r="FG500" s="616"/>
      <c r="FH500" s="616"/>
      <c r="FI500" s="616"/>
      <c r="FJ500" s="616"/>
    </row>
    <row r="501" spans="1:166" s="407" customFormat="1" ht="14.7" customHeight="1" x14ac:dyDescent="0.25">
      <c r="A501" s="310">
        <v>127</v>
      </c>
      <c r="B501" s="311" t="str">
        <f t="shared" si="355"/>
        <v>Каша жидкая молочная из крупы пшенной с маслом и сахаром</v>
      </c>
      <c r="C501" s="483">
        <f t="shared" si="363"/>
        <v>18.72</v>
      </c>
      <c r="D501" s="888"/>
      <c r="E501" s="888"/>
      <c r="F501" s="888"/>
      <c r="G501" s="889"/>
      <c r="H501" s="680">
        <f t="shared" si="356"/>
        <v>182</v>
      </c>
      <c r="I501" s="1209">
        <f t="shared" si="357"/>
        <v>0</v>
      </c>
      <c r="J501" s="424">
        <f t="shared" ref="J501:AO501" si="670">J131*J$372</f>
        <v>0</v>
      </c>
      <c r="K501" s="424">
        <f t="shared" si="670"/>
        <v>0</v>
      </c>
      <c r="L501" s="424">
        <f t="shared" si="670"/>
        <v>0</v>
      </c>
      <c r="M501" s="424">
        <f t="shared" si="670"/>
        <v>0</v>
      </c>
      <c r="N501" s="424">
        <f t="shared" si="670"/>
        <v>0</v>
      </c>
      <c r="O501" s="424">
        <f t="shared" si="670"/>
        <v>0</v>
      </c>
      <c r="P501" s="424">
        <f t="shared" si="670"/>
        <v>0</v>
      </c>
      <c r="Q501" s="424">
        <f t="shared" si="670"/>
        <v>0</v>
      </c>
      <c r="R501" s="424">
        <f t="shared" si="670"/>
        <v>0</v>
      </c>
      <c r="S501" s="424">
        <f t="shared" si="670"/>
        <v>0</v>
      </c>
      <c r="T501" s="424">
        <f t="shared" si="670"/>
        <v>0</v>
      </c>
      <c r="U501" s="424">
        <f t="shared" si="670"/>
        <v>8</v>
      </c>
      <c r="V501" s="424">
        <f t="shared" si="670"/>
        <v>7.1</v>
      </c>
      <c r="W501" s="424">
        <f t="shared" si="670"/>
        <v>0</v>
      </c>
      <c r="X501" s="424">
        <f t="shared" si="670"/>
        <v>0</v>
      </c>
      <c r="Y501" s="424">
        <f t="shared" si="670"/>
        <v>0</v>
      </c>
      <c r="Z501" s="424">
        <f t="shared" si="670"/>
        <v>0</v>
      </c>
      <c r="AA501" s="424">
        <f t="shared" si="670"/>
        <v>0</v>
      </c>
      <c r="AB501" s="424">
        <f t="shared" si="670"/>
        <v>0</v>
      </c>
      <c r="AC501" s="424">
        <f t="shared" si="670"/>
        <v>0</v>
      </c>
      <c r="AD501" s="424">
        <f t="shared" si="670"/>
        <v>0</v>
      </c>
      <c r="AE501" s="424">
        <f t="shared" si="670"/>
        <v>0</v>
      </c>
      <c r="AF501" s="424">
        <f t="shared" si="670"/>
        <v>0</v>
      </c>
      <c r="AG501" s="424">
        <f t="shared" si="670"/>
        <v>0</v>
      </c>
      <c r="AH501" s="424">
        <f t="shared" si="670"/>
        <v>0</v>
      </c>
      <c r="AI501" s="424">
        <f t="shared" si="670"/>
        <v>0</v>
      </c>
      <c r="AJ501" s="424">
        <f t="shared" si="670"/>
        <v>0</v>
      </c>
      <c r="AK501" s="424">
        <f t="shared" si="670"/>
        <v>0</v>
      </c>
      <c r="AL501" s="424">
        <f t="shared" si="670"/>
        <v>0</v>
      </c>
      <c r="AM501" s="424">
        <f t="shared" si="670"/>
        <v>0</v>
      </c>
      <c r="AN501" s="424">
        <f t="shared" si="670"/>
        <v>0</v>
      </c>
      <c r="AO501" s="424">
        <f t="shared" si="670"/>
        <v>0</v>
      </c>
      <c r="AP501" s="424">
        <f t="shared" ref="AP501:BU501" si="671">AP131*AP$372</f>
        <v>0</v>
      </c>
      <c r="AQ501" s="424">
        <f t="shared" si="671"/>
        <v>0</v>
      </c>
      <c r="AR501" s="424">
        <f t="shared" si="671"/>
        <v>0</v>
      </c>
      <c r="AS501" s="424">
        <f t="shared" si="671"/>
        <v>0</v>
      </c>
      <c r="AT501" s="424">
        <f t="shared" si="671"/>
        <v>0</v>
      </c>
      <c r="AU501" s="424">
        <f t="shared" si="671"/>
        <v>0</v>
      </c>
      <c r="AV501" s="424">
        <f t="shared" si="671"/>
        <v>0</v>
      </c>
      <c r="AW501" s="424">
        <f t="shared" si="671"/>
        <v>0</v>
      </c>
      <c r="AX501" s="424">
        <f t="shared" si="671"/>
        <v>0</v>
      </c>
      <c r="AY501" s="424">
        <f t="shared" si="671"/>
        <v>0</v>
      </c>
      <c r="AZ501" s="424">
        <f t="shared" si="671"/>
        <v>0</v>
      </c>
      <c r="BA501" s="424">
        <f t="shared" si="671"/>
        <v>0</v>
      </c>
      <c r="BB501" s="424">
        <f t="shared" si="671"/>
        <v>0</v>
      </c>
      <c r="BC501" s="424">
        <f t="shared" si="671"/>
        <v>0</v>
      </c>
      <c r="BD501" s="424">
        <f t="shared" si="671"/>
        <v>0</v>
      </c>
      <c r="BE501" s="424">
        <f t="shared" si="671"/>
        <v>0</v>
      </c>
      <c r="BF501" s="424">
        <f t="shared" si="671"/>
        <v>0</v>
      </c>
      <c r="BG501" s="424">
        <f t="shared" si="671"/>
        <v>0</v>
      </c>
      <c r="BH501" s="424">
        <f t="shared" si="671"/>
        <v>0</v>
      </c>
      <c r="BI501" s="424">
        <f t="shared" si="671"/>
        <v>0</v>
      </c>
      <c r="BJ501" s="424">
        <f t="shared" si="671"/>
        <v>0</v>
      </c>
      <c r="BK501" s="424">
        <f t="shared" si="671"/>
        <v>0</v>
      </c>
      <c r="BL501" s="424">
        <f t="shared" si="671"/>
        <v>0</v>
      </c>
      <c r="BM501" s="424">
        <f t="shared" si="671"/>
        <v>0</v>
      </c>
      <c r="BN501" s="424">
        <f t="shared" si="671"/>
        <v>0</v>
      </c>
      <c r="BO501" s="424">
        <f t="shared" si="671"/>
        <v>0</v>
      </c>
      <c r="BP501" s="424">
        <f t="shared" si="671"/>
        <v>0</v>
      </c>
      <c r="BQ501" s="424">
        <f t="shared" si="671"/>
        <v>0</v>
      </c>
      <c r="BR501" s="424">
        <f t="shared" si="671"/>
        <v>0</v>
      </c>
      <c r="BS501" s="424">
        <f t="shared" si="671"/>
        <v>0</v>
      </c>
      <c r="BT501" s="424">
        <f t="shared" si="671"/>
        <v>0</v>
      </c>
      <c r="BU501" s="424">
        <f t="shared" si="671"/>
        <v>0</v>
      </c>
      <c r="BV501" s="424">
        <f t="shared" ref="BV501:DA501" si="672">BV131*BV$372</f>
        <v>0</v>
      </c>
      <c r="BW501" s="424">
        <f t="shared" si="672"/>
        <v>0</v>
      </c>
      <c r="BX501" s="424">
        <f t="shared" si="672"/>
        <v>0</v>
      </c>
      <c r="BY501" s="424">
        <f t="shared" si="672"/>
        <v>0</v>
      </c>
      <c r="BZ501" s="424">
        <f t="shared" si="672"/>
        <v>0</v>
      </c>
      <c r="CA501" s="424">
        <f t="shared" si="672"/>
        <v>2.4</v>
      </c>
      <c r="CB501" s="424">
        <f t="shared" si="672"/>
        <v>0</v>
      </c>
      <c r="CC501" s="424">
        <f t="shared" si="672"/>
        <v>0</v>
      </c>
      <c r="CD501" s="424">
        <f t="shared" si="672"/>
        <v>0</v>
      </c>
      <c r="CE501" s="424">
        <f t="shared" si="672"/>
        <v>0</v>
      </c>
      <c r="CF501" s="424">
        <f t="shared" si="672"/>
        <v>0</v>
      </c>
      <c r="CG501" s="424">
        <f t="shared" si="672"/>
        <v>0</v>
      </c>
      <c r="CH501" s="424">
        <f t="shared" si="672"/>
        <v>0</v>
      </c>
      <c r="CI501" s="424">
        <f t="shared" si="672"/>
        <v>0</v>
      </c>
      <c r="CJ501" s="424">
        <f t="shared" si="672"/>
        <v>0</v>
      </c>
      <c r="CK501" s="424">
        <f t="shared" si="672"/>
        <v>0</v>
      </c>
      <c r="CL501" s="424">
        <f t="shared" si="672"/>
        <v>0</v>
      </c>
      <c r="CM501" s="424">
        <f t="shared" si="672"/>
        <v>0</v>
      </c>
      <c r="CN501" s="424">
        <f t="shared" si="672"/>
        <v>0</v>
      </c>
      <c r="CO501" s="424">
        <f t="shared" si="672"/>
        <v>0</v>
      </c>
      <c r="CP501" s="424">
        <f t="shared" si="672"/>
        <v>0</v>
      </c>
      <c r="CQ501" s="424">
        <f t="shared" si="672"/>
        <v>0</v>
      </c>
      <c r="CR501" s="424">
        <f t="shared" si="672"/>
        <v>0</v>
      </c>
      <c r="CS501" s="424">
        <f t="shared" si="672"/>
        <v>0</v>
      </c>
      <c r="CT501" s="424">
        <f t="shared" si="672"/>
        <v>0</v>
      </c>
      <c r="CU501" s="424">
        <f t="shared" si="672"/>
        <v>0</v>
      </c>
      <c r="CV501" s="424">
        <f t="shared" si="672"/>
        <v>0</v>
      </c>
      <c r="CW501" s="424">
        <f t="shared" si="672"/>
        <v>0</v>
      </c>
      <c r="CX501" s="424">
        <f t="shared" si="672"/>
        <v>0</v>
      </c>
      <c r="CY501" s="424">
        <f t="shared" si="672"/>
        <v>0</v>
      </c>
      <c r="CZ501" s="424">
        <f t="shared" si="672"/>
        <v>1.22</v>
      </c>
      <c r="DA501" s="424">
        <f t="shared" si="672"/>
        <v>0</v>
      </c>
      <c r="DB501" s="424">
        <f t="shared" ref="DB501:EG501" si="673">DB131*DB$372</f>
        <v>0</v>
      </c>
      <c r="DC501" s="424">
        <f t="shared" si="673"/>
        <v>0</v>
      </c>
      <c r="DD501" s="424">
        <f t="shared" si="673"/>
        <v>0</v>
      </c>
      <c r="DE501" s="424">
        <f t="shared" si="673"/>
        <v>0</v>
      </c>
      <c r="DF501" s="424">
        <f t="shared" si="673"/>
        <v>0</v>
      </c>
      <c r="DG501" s="424">
        <f t="shared" si="673"/>
        <v>0</v>
      </c>
      <c r="DH501" s="424">
        <f t="shared" si="673"/>
        <v>0</v>
      </c>
      <c r="DI501" s="424">
        <f t="shared" si="673"/>
        <v>0</v>
      </c>
      <c r="DJ501" s="424">
        <f t="shared" si="673"/>
        <v>0</v>
      </c>
      <c r="DK501" s="424">
        <f t="shared" si="673"/>
        <v>0</v>
      </c>
      <c r="DL501" s="424">
        <f t="shared" si="673"/>
        <v>0</v>
      </c>
      <c r="DM501" s="424">
        <f t="shared" si="673"/>
        <v>0</v>
      </c>
      <c r="DN501" s="424">
        <f t="shared" si="673"/>
        <v>0</v>
      </c>
      <c r="DO501" s="424">
        <f t="shared" si="673"/>
        <v>0</v>
      </c>
      <c r="DP501" s="424">
        <f t="shared" si="673"/>
        <v>0</v>
      </c>
      <c r="DQ501" s="424">
        <f t="shared" si="673"/>
        <v>0</v>
      </c>
      <c r="DR501" s="424">
        <f t="shared" si="673"/>
        <v>0</v>
      </c>
      <c r="DS501" s="424">
        <f t="shared" si="673"/>
        <v>0</v>
      </c>
      <c r="DT501" s="424">
        <f t="shared" si="673"/>
        <v>0</v>
      </c>
      <c r="DU501" s="424">
        <f t="shared" si="673"/>
        <v>0</v>
      </c>
      <c r="DV501" s="424">
        <f t="shared" si="673"/>
        <v>0</v>
      </c>
      <c r="DW501" s="424">
        <f t="shared" si="673"/>
        <v>0</v>
      </c>
      <c r="DX501" s="424">
        <f t="shared" si="673"/>
        <v>0</v>
      </c>
      <c r="DY501" s="424">
        <f t="shared" si="673"/>
        <v>0</v>
      </c>
      <c r="DZ501" s="424">
        <f t="shared" si="673"/>
        <v>0</v>
      </c>
      <c r="EA501" s="424">
        <f t="shared" si="673"/>
        <v>0</v>
      </c>
      <c r="EB501" s="424">
        <f t="shared" si="673"/>
        <v>0</v>
      </c>
      <c r="EC501" s="424">
        <f t="shared" si="673"/>
        <v>0</v>
      </c>
      <c r="ED501" s="424">
        <f t="shared" si="673"/>
        <v>0</v>
      </c>
      <c r="EE501" s="424">
        <f t="shared" si="673"/>
        <v>0</v>
      </c>
      <c r="EF501" s="424">
        <f t="shared" si="673"/>
        <v>0</v>
      </c>
      <c r="EG501" s="424">
        <f t="shared" si="673"/>
        <v>0</v>
      </c>
      <c r="EH501" s="424">
        <f t="shared" ref="EH501:EX501" si="674">EH131*EH$372</f>
        <v>0</v>
      </c>
      <c r="EI501" s="424">
        <f t="shared" si="674"/>
        <v>0</v>
      </c>
      <c r="EJ501" s="424">
        <f t="shared" si="674"/>
        <v>0</v>
      </c>
      <c r="EK501" s="424">
        <f t="shared" si="674"/>
        <v>0</v>
      </c>
      <c r="EL501" s="424">
        <f t="shared" si="674"/>
        <v>0</v>
      </c>
      <c r="EM501" s="424">
        <f t="shared" si="674"/>
        <v>0</v>
      </c>
      <c r="EN501" s="424">
        <f t="shared" si="674"/>
        <v>0</v>
      </c>
      <c r="EO501" s="424">
        <f t="shared" si="674"/>
        <v>0</v>
      </c>
      <c r="EP501" s="424">
        <f t="shared" si="674"/>
        <v>0</v>
      </c>
      <c r="EQ501" s="424">
        <f t="shared" si="674"/>
        <v>0</v>
      </c>
      <c r="ER501" s="424">
        <f t="shared" si="674"/>
        <v>0</v>
      </c>
      <c r="ES501" s="424">
        <f t="shared" si="674"/>
        <v>0</v>
      </c>
      <c r="ET501" s="424">
        <f t="shared" si="674"/>
        <v>0</v>
      </c>
      <c r="EU501" s="424">
        <f t="shared" si="674"/>
        <v>0</v>
      </c>
      <c r="EV501" s="424">
        <f t="shared" si="674"/>
        <v>0</v>
      </c>
      <c r="EW501" s="424">
        <f t="shared" si="674"/>
        <v>0</v>
      </c>
      <c r="EX501" s="424">
        <f t="shared" si="674"/>
        <v>0</v>
      </c>
      <c r="EY501" s="425">
        <f t="shared" si="374"/>
        <v>18.72</v>
      </c>
      <c r="EZ501" s="616"/>
      <c r="FA501" s="616"/>
      <c r="FB501" s="616"/>
      <c r="FC501" s="616"/>
      <c r="FD501" s="616"/>
      <c r="FE501" s="616"/>
      <c r="FF501" s="616"/>
      <c r="FG501" s="616"/>
      <c r="FH501" s="616"/>
      <c r="FI501" s="616"/>
      <c r="FJ501" s="616"/>
    </row>
    <row r="502" spans="1:166" s="407" customFormat="1" ht="14.7" customHeight="1" x14ac:dyDescent="0.25">
      <c r="A502" s="310">
        <v>128</v>
      </c>
      <c r="B502" s="311" t="str">
        <f t="shared" si="355"/>
        <v>Каша жидкая молочная из крупы рисовой с маслом и сахаром</v>
      </c>
      <c r="C502" s="483">
        <f t="shared" si="363"/>
        <v>19.36</v>
      </c>
      <c r="D502" s="888"/>
      <c r="E502" s="888"/>
      <c r="F502" s="888"/>
      <c r="G502" s="889"/>
      <c r="H502" s="680">
        <f t="shared" si="356"/>
        <v>182</v>
      </c>
      <c r="I502" s="1209">
        <f t="shared" si="357"/>
        <v>0</v>
      </c>
      <c r="J502" s="424">
        <f t="shared" ref="J502:AO502" si="675">J132*J$372</f>
        <v>0</v>
      </c>
      <c r="K502" s="424">
        <f t="shared" si="675"/>
        <v>0</v>
      </c>
      <c r="L502" s="424">
        <f t="shared" si="675"/>
        <v>0</v>
      </c>
      <c r="M502" s="424">
        <f t="shared" si="675"/>
        <v>0</v>
      </c>
      <c r="N502" s="424">
        <f t="shared" si="675"/>
        <v>0</v>
      </c>
      <c r="O502" s="424">
        <f t="shared" si="675"/>
        <v>0</v>
      </c>
      <c r="P502" s="424">
        <f t="shared" si="675"/>
        <v>0</v>
      </c>
      <c r="Q502" s="424">
        <f t="shared" si="675"/>
        <v>0</v>
      </c>
      <c r="R502" s="424">
        <f t="shared" si="675"/>
        <v>0</v>
      </c>
      <c r="S502" s="424">
        <f t="shared" si="675"/>
        <v>0</v>
      </c>
      <c r="T502" s="424">
        <f t="shared" si="675"/>
        <v>0</v>
      </c>
      <c r="U502" s="424">
        <f t="shared" si="675"/>
        <v>8</v>
      </c>
      <c r="V502" s="424">
        <f t="shared" si="675"/>
        <v>7.1</v>
      </c>
      <c r="W502" s="424">
        <f t="shared" si="675"/>
        <v>0</v>
      </c>
      <c r="X502" s="424">
        <f t="shared" si="675"/>
        <v>0</v>
      </c>
      <c r="Y502" s="424">
        <f t="shared" si="675"/>
        <v>0</v>
      </c>
      <c r="Z502" s="424">
        <f t="shared" si="675"/>
        <v>0</v>
      </c>
      <c r="AA502" s="424">
        <f t="shared" si="675"/>
        <v>0</v>
      </c>
      <c r="AB502" s="424">
        <f t="shared" si="675"/>
        <v>0</v>
      </c>
      <c r="AC502" s="424">
        <f t="shared" si="675"/>
        <v>0</v>
      </c>
      <c r="AD502" s="424">
        <f t="shared" si="675"/>
        <v>0</v>
      </c>
      <c r="AE502" s="424">
        <f t="shared" si="675"/>
        <v>0</v>
      </c>
      <c r="AF502" s="424">
        <f t="shared" si="675"/>
        <v>0</v>
      </c>
      <c r="AG502" s="424">
        <f t="shared" si="675"/>
        <v>0</v>
      </c>
      <c r="AH502" s="424">
        <f t="shared" si="675"/>
        <v>0</v>
      </c>
      <c r="AI502" s="424">
        <f t="shared" si="675"/>
        <v>0</v>
      </c>
      <c r="AJ502" s="424">
        <f t="shared" si="675"/>
        <v>0</v>
      </c>
      <c r="AK502" s="424">
        <f t="shared" si="675"/>
        <v>0</v>
      </c>
      <c r="AL502" s="424">
        <f t="shared" si="675"/>
        <v>0</v>
      </c>
      <c r="AM502" s="424">
        <f t="shared" si="675"/>
        <v>0</v>
      </c>
      <c r="AN502" s="424">
        <f t="shared" si="675"/>
        <v>0</v>
      </c>
      <c r="AO502" s="424">
        <f t="shared" si="675"/>
        <v>0</v>
      </c>
      <c r="AP502" s="424">
        <f t="shared" ref="AP502:BU502" si="676">AP132*AP$372</f>
        <v>0</v>
      </c>
      <c r="AQ502" s="424">
        <f t="shared" si="676"/>
        <v>0</v>
      </c>
      <c r="AR502" s="424">
        <f t="shared" si="676"/>
        <v>0</v>
      </c>
      <c r="AS502" s="424">
        <f t="shared" si="676"/>
        <v>0</v>
      </c>
      <c r="AT502" s="424">
        <f t="shared" si="676"/>
        <v>0</v>
      </c>
      <c r="AU502" s="424">
        <f t="shared" si="676"/>
        <v>0</v>
      </c>
      <c r="AV502" s="424">
        <f t="shared" si="676"/>
        <v>0</v>
      </c>
      <c r="AW502" s="424">
        <f t="shared" si="676"/>
        <v>0</v>
      </c>
      <c r="AX502" s="424">
        <f t="shared" si="676"/>
        <v>0</v>
      </c>
      <c r="AY502" s="424">
        <f t="shared" si="676"/>
        <v>0</v>
      </c>
      <c r="AZ502" s="424">
        <f t="shared" si="676"/>
        <v>0</v>
      </c>
      <c r="BA502" s="424">
        <f t="shared" si="676"/>
        <v>0</v>
      </c>
      <c r="BB502" s="424">
        <f t="shared" si="676"/>
        <v>0</v>
      </c>
      <c r="BC502" s="424">
        <f t="shared" si="676"/>
        <v>0</v>
      </c>
      <c r="BD502" s="424">
        <f t="shared" si="676"/>
        <v>0</v>
      </c>
      <c r="BE502" s="424">
        <f t="shared" si="676"/>
        <v>0</v>
      </c>
      <c r="BF502" s="424">
        <f t="shared" si="676"/>
        <v>0</v>
      </c>
      <c r="BG502" s="424">
        <f t="shared" si="676"/>
        <v>0</v>
      </c>
      <c r="BH502" s="424">
        <f t="shared" si="676"/>
        <v>0</v>
      </c>
      <c r="BI502" s="424">
        <f t="shared" si="676"/>
        <v>0</v>
      </c>
      <c r="BJ502" s="424">
        <f t="shared" si="676"/>
        <v>0</v>
      </c>
      <c r="BK502" s="424">
        <f t="shared" si="676"/>
        <v>0</v>
      </c>
      <c r="BL502" s="424">
        <f t="shared" si="676"/>
        <v>0</v>
      </c>
      <c r="BM502" s="424">
        <f t="shared" si="676"/>
        <v>0</v>
      </c>
      <c r="BN502" s="424">
        <f t="shared" si="676"/>
        <v>0</v>
      </c>
      <c r="BO502" s="424">
        <f t="shared" si="676"/>
        <v>0</v>
      </c>
      <c r="BP502" s="424">
        <f t="shared" si="676"/>
        <v>0</v>
      </c>
      <c r="BQ502" s="424">
        <f t="shared" si="676"/>
        <v>0</v>
      </c>
      <c r="BR502" s="424">
        <f t="shared" si="676"/>
        <v>0</v>
      </c>
      <c r="BS502" s="424">
        <f t="shared" si="676"/>
        <v>0</v>
      </c>
      <c r="BT502" s="424">
        <f t="shared" si="676"/>
        <v>0</v>
      </c>
      <c r="BU502" s="424">
        <f t="shared" si="676"/>
        <v>0</v>
      </c>
      <c r="BV502" s="424">
        <f t="shared" ref="BV502:DA502" si="677">BV132*BV$372</f>
        <v>0</v>
      </c>
      <c r="BW502" s="424">
        <f t="shared" si="677"/>
        <v>0</v>
      </c>
      <c r="BX502" s="424">
        <f t="shared" si="677"/>
        <v>0</v>
      </c>
      <c r="BY502" s="424">
        <f t="shared" si="677"/>
        <v>0</v>
      </c>
      <c r="BZ502" s="424">
        <f t="shared" si="677"/>
        <v>0</v>
      </c>
      <c r="CA502" s="424">
        <f t="shared" si="677"/>
        <v>0</v>
      </c>
      <c r="CB502" s="424">
        <f t="shared" si="677"/>
        <v>3.04</v>
      </c>
      <c r="CC502" s="424">
        <f t="shared" si="677"/>
        <v>0</v>
      </c>
      <c r="CD502" s="424">
        <f t="shared" si="677"/>
        <v>0</v>
      </c>
      <c r="CE502" s="424">
        <f t="shared" si="677"/>
        <v>0</v>
      </c>
      <c r="CF502" s="424">
        <f t="shared" si="677"/>
        <v>0</v>
      </c>
      <c r="CG502" s="424">
        <f t="shared" si="677"/>
        <v>0</v>
      </c>
      <c r="CH502" s="424">
        <f t="shared" si="677"/>
        <v>0</v>
      </c>
      <c r="CI502" s="424">
        <f t="shared" si="677"/>
        <v>0</v>
      </c>
      <c r="CJ502" s="424">
        <f t="shared" si="677"/>
        <v>0</v>
      </c>
      <c r="CK502" s="424">
        <f t="shared" si="677"/>
        <v>0</v>
      </c>
      <c r="CL502" s="424">
        <f t="shared" si="677"/>
        <v>0</v>
      </c>
      <c r="CM502" s="424">
        <f t="shared" si="677"/>
        <v>0</v>
      </c>
      <c r="CN502" s="424">
        <f t="shared" si="677"/>
        <v>0</v>
      </c>
      <c r="CO502" s="424">
        <f t="shared" si="677"/>
        <v>0</v>
      </c>
      <c r="CP502" s="424">
        <f t="shared" si="677"/>
        <v>0</v>
      </c>
      <c r="CQ502" s="424">
        <f t="shared" si="677"/>
        <v>0</v>
      </c>
      <c r="CR502" s="424">
        <f t="shared" si="677"/>
        <v>0</v>
      </c>
      <c r="CS502" s="424">
        <f t="shared" si="677"/>
        <v>0</v>
      </c>
      <c r="CT502" s="424">
        <f t="shared" si="677"/>
        <v>0</v>
      </c>
      <c r="CU502" s="424">
        <f t="shared" si="677"/>
        <v>0</v>
      </c>
      <c r="CV502" s="424">
        <f t="shared" si="677"/>
        <v>0</v>
      </c>
      <c r="CW502" s="424">
        <f t="shared" si="677"/>
        <v>0</v>
      </c>
      <c r="CX502" s="424">
        <f t="shared" si="677"/>
        <v>0</v>
      </c>
      <c r="CY502" s="424">
        <f t="shared" si="677"/>
        <v>0</v>
      </c>
      <c r="CZ502" s="424">
        <f t="shared" si="677"/>
        <v>1.22</v>
      </c>
      <c r="DA502" s="424">
        <f t="shared" si="677"/>
        <v>0</v>
      </c>
      <c r="DB502" s="424">
        <f t="shared" ref="DB502:EG502" si="678">DB132*DB$372</f>
        <v>0</v>
      </c>
      <c r="DC502" s="424">
        <f t="shared" si="678"/>
        <v>0</v>
      </c>
      <c r="DD502" s="424">
        <f t="shared" si="678"/>
        <v>0</v>
      </c>
      <c r="DE502" s="424">
        <f t="shared" si="678"/>
        <v>0</v>
      </c>
      <c r="DF502" s="424">
        <f t="shared" si="678"/>
        <v>0</v>
      </c>
      <c r="DG502" s="424">
        <f t="shared" si="678"/>
        <v>0</v>
      </c>
      <c r="DH502" s="424">
        <f t="shared" si="678"/>
        <v>0</v>
      </c>
      <c r="DI502" s="424">
        <f t="shared" si="678"/>
        <v>0</v>
      </c>
      <c r="DJ502" s="424">
        <f t="shared" si="678"/>
        <v>0</v>
      </c>
      <c r="DK502" s="424">
        <f t="shared" si="678"/>
        <v>0</v>
      </c>
      <c r="DL502" s="424">
        <f t="shared" si="678"/>
        <v>0</v>
      </c>
      <c r="DM502" s="424">
        <f t="shared" si="678"/>
        <v>0</v>
      </c>
      <c r="DN502" s="424">
        <f t="shared" si="678"/>
        <v>0</v>
      </c>
      <c r="DO502" s="424">
        <f t="shared" si="678"/>
        <v>0</v>
      </c>
      <c r="DP502" s="424">
        <f t="shared" si="678"/>
        <v>0</v>
      </c>
      <c r="DQ502" s="424">
        <f t="shared" si="678"/>
        <v>0</v>
      </c>
      <c r="DR502" s="424">
        <f t="shared" si="678"/>
        <v>0</v>
      </c>
      <c r="DS502" s="424">
        <f t="shared" si="678"/>
        <v>0</v>
      </c>
      <c r="DT502" s="424">
        <f t="shared" si="678"/>
        <v>0</v>
      </c>
      <c r="DU502" s="424">
        <f t="shared" si="678"/>
        <v>0</v>
      </c>
      <c r="DV502" s="424">
        <f t="shared" si="678"/>
        <v>0</v>
      </c>
      <c r="DW502" s="424">
        <f t="shared" si="678"/>
        <v>0</v>
      </c>
      <c r="DX502" s="424">
        <f t="shared" si="678"/>
        <v>0</v>
      </c>
      <c r="DY502" s="424">
        <f t="shared" si="678"/>
        <v>0</v>
      </c>
      <c r="DZ502" s="424">
        <f t="shared" si="678"/>
        <v>0</v>
      </c>
      <c r="EA502" s="424">
        <f t="shared" si="678"/>
        <v>0</v>
      </c>
      <c r="EB502" s="424">
        <f t="shared" si="678"/>
        <v>0</v>
      </c>
      <c r="EC502" s="424">
        <f t="shared" si="678"/>
        <v>0</v>
      </c>
      <c r="ED502" s="424">
        <f t="shared" si="678"/>
        <v>0</v>
      </c>
      <c r="EE502" s="424">
        <f t="shared" si="678"/>
        <v>0</v>
      </c>
      <c r="EF502" s="424">
        <f t="shared" si="678"/>
        <v>0</v>
      </c>
      <c r="EG502" s="424">
        <f t="shared" si="678"/>
        <v>0</v>
      </c>
      <c r="EH502" s="424">
        <f t="shared" ref="EH502:EX502" si="679">EH132*EH$372</f>
        <v>0</v>
      </c>
      <c r="EI502" s="424">
        <f t="shared" si="679"/>
        <v>0</v>
      </c>
      <c r="EJ502" s="424">
        <f t="shared" si="679"/>
        <v>0</v>
      </c>
      <c r="EK502" s="424">
        <f t="shared" si="679"/>
        <v>0</v>
      </c>
      <c r="EL502" s="424">
        <f t="shared" si="679"/>
        <v>0</v>
      </c>
      <c r="EM502" s="424">
        <f t="shared" si="679"/>
        <v>0</v>
      </c>
      <c r="EN502" s="424">
        <f t="shared" si="679"/>
        <v>0</v>
      </c>
      <c r="EO502" s="424">
        <f t="shared" si="679"/>
        <v>0</v>
      </c>
      <c r="EP502" s="424">
        <f t="shared" si="679"/>
        <v>0</v>
      </c>
      <c r="EQ502" s="424">
        <f t="shared" si="679"/>
        <v>0</v>
      </c>
      <c r="ER502" s="424">
        <f t="shared" si="679"/>
        <v>0</v>
      </c>
      <c r="ES502" s="424">
        <f t="shared" si="679"/>
        <v>0</v>
      </c>
      <c r="ET502" s="424">
        <f t="shared" si="679"/>
        <v>0</v>
      </c>
      <c r="EU502" s="424">
        <f t="shared" si="679"/>
        <v>0</v>
      </c>
      <c r="EV502" s="424">
        <f t="shared" si="679"/>
        <v>0</v>
      </c>
      <c r="EW502" s="424">
        <f t="shared" si="679"/>
        <v>0</v>
      </c>
      <c r="EX502" s="424">
        <f t="shared" si="679"/>
        <v>0</v>
      </c>
      <c r="EY502" s="425">
        <f t="shared" si="374"/>
        <v>19.36</v>
      </c>
      <c r="EZ502" s="616"/>
      <c r="FA502" s="616"/>
      <c r="FB502" s="616"/>
      <c r="FC502" s="616"/>
      <c r="FD502" s="616"/>
      <c r="FE502" s="616"/>
      <c r="FF502" s="616"/>
      <c r="FG502" s="616"/>
      <c r="FH502" s="616"/>
      <c r="FI502" s="616"/>
      <c r="FJ502" s="616"/>
    </row>
    <row r="503" spans="1:166" s="407" customFormat="1" ht="14.7" customHeight="1" x14ac:dyDescent="0.25">
      <c r="A503" s="310">
        <v>129</v>
      </c>
      <c r="B503" s="311" t="str">
        <f t="shared" ref="B503:B566" si="680">B133</f>
        <v>Каша жидкая молочная из крупы перловой с маслом и сахаром</v>
      </c>
      <c r="C503" s="483">
        <f t="shared" si="363"/>
        <v>18.079999999999998</v>
      </c>
      <c r="D503" s="888"/>
      <c r="E503" s="888"/>
      <c r="F503" s="888"/>
      <c r="G503" s="889"/>
      <c r="H503" s="680">
        <f t="shared" ref="H503:H566" si="681">H133</f>
        <v>182</v>
      </c>
      <c r="I503" s="1209">
        <f t="shared" ref="I503:I566" si="682">I133-EY503</f>
        <v>0</v>
      </c>
      <c r="J503" s="424">
        <f t="shared" ref="J503:AO503" si="683">J133*J$372</f>
        <v>0</v>
      </c>
      <c r="K503" s="424">
        <f t="shared" si="683"/>
        <v>0</v>
      </c>
      <c r="L503" s="424">
        <f t="shared" si="683"/>
        <v>0</v>
      </c>
      <c r="M503" s="424">
        <f t="shared" si="683"/>
        <v>0</v>
      </c>
      <c r="N503" s="424">
        <f t="shared" si="683"/>
        <v>0</v>
      </c>
      <c r="O503" s="424">
        <f t="shared" si="683"/>
        <v>0</v>
      </c>
      <c r="P503" s="424">
        <f t="shared" si="683"/>
        <v>0</v>
      </c>
      <c r="Q503" s="424">
        <f t="shared" si="683"/>
        <v>0</v>
      </c>
      <c r="R503" s="424">
        <f t="shared" si="683"/>
        <v>0</v>
      </c>
      <c r="S503" s="424">
        <f t="shared" si="683"/>
        <v>0</v>
      </c>
      <c r="T503" s="424">
        <f t="shared" si="683"/>
        <v>0</v>
      </c>
      <c r="U503" s="424">
        <f t="shared" si="683"/>
        <v>8</v>
      </c>
      <c r="V503" s="424">
        <f t="shared" si="683"/>
        <v>7.1</v>
      </c>
      <c r="W503" s="424">
        <f t="shared" si="683"/>
        <v>0</v>
      </c>
      <c r="X503" s="424">
        <f t="shared" si="683"/>
        <v>0</v>
      </c>
      <c r="Y503" s="424">
        <f t="shared" si="683"/>
        <v>0</v>
      </c>
      <c r="Z503" s="424">
        <f t="shared" si="683"/>
        <v>0</v>
      </c>
      <c r="AA503" s="424">
        <f t="shared" si="683"/>
        <v>0</v>
      </c>
      <c r="AB503" s="424">
        <f t="shared" si="683"/>
        <v>0</v>
      </c>
      <c r="AC503" s="424">
        <f t="shared" si="683"/>
        <v>0</v>
      </c>
      <c r="AD503" s="424">
        <f t="shared" si="683"/>
        <v>0</v>
      </c>
      <c r="AE503" s="424">
        <f t="shared" si="683"/>
        <v>0</v>
      </c>
      <c r="AF503" s="424">
        <f t="shared" si="683"/>
        <v>0</v>
      </c>
      <c r="AG503" s="424">
        <f t="shared" si="683"/>
        <v>0</v>
      </c>
      <c r="AH503" s="424">
        <f t="shared" si="683"/>
        <v>0</v>
      </c>
      <c r="AI503" s="424">
        <f t="shared" si="683"/>
        <v>0</v>
      </c>
      <c r="AJ503" s="424">
        <f t="shared" si="683"/>
        <v>0</v>
      </c>
      <c r="AK503" s="424">
        <f t="shared" si="683"/>
        <v>0</v>
      </c>
      <c r="AL503" s="424">
        <f t="shared" si="683"/>
        <v>0</v>
      </c>
      <c r="AM503" s="424">
        <f t="shared" si="683"/>
        <v>0</v>
      </c>
      <c r="AN503" s="424">
        <f t="shared" si="683"/>
        <v>0</v>
      </c>
      <c r="AO503" s="424">
        <f t="shared" si="683"/>
        <v>0</v>
      </c>
      <c r="AP503" s="424">
        <f t="shared" ref="AP503:BU503" si="684">AP133*AP$372</f>
        <v>0</v>
      </c>
      <c r="AQ503" s="424">
        <f t="shared" si="684"/>
        <v>0</v>
      </c>
      <c r="AR503" s="424">
        <f t="shared" si="684"/>
        <v>0</v>
      </c>
      <c r="AS503" s="424">
        <f t="shared" si="684"/>
        <v>0</v>
      </c>
      <c r="AT503" s="424">
        <f t="shared" si="684"/>
        <v>0</v>
      </c>
      <c r="AU503" s="424">
        <f t="shared" si="684"/>
        <v>0</v>
      </c>
      <c r="AV503" s="424">
        <f t="shared" si="684"/>
        <v>0</v>
      </c>
      <c r="AW503" s="424">
        <f t="shared" si="684"/>
        <v>0</v>
      </c>
      <c r="AX503" s="424">
        <f t="shared" si="684"/>
        <v>0</v>
      </c>
      <c r="AY503" s="424">
        <f t="shared" si="684"/>
        <v>0</v>
      </c>
      <c r="AZ503" s="424">
        <f t="shared" si="684"/>
        <v>0</v>
      </c>
      <c r="BA503" s="424">
        <f t="shared" si="684"/>
        <v>0</v>
      </c>
      <c r="BB503" s="424">
        <f t="shared" si="684"/>
        <v>0</v>
      </c>
      <c r="BC503" s="424">
        <f t="shared" si="684"/>
        <v>0</v>
      </c>
      <c r="BD503" s="424">
        <f t="shared" si="684"/>
        <v>0</v>
      </c>
      <c r="BE503" s="424">
        <f t="shared" si="684"/>
        <v>0</v>
      </c>
      <c r="BF503" s="424">
        <f t="shared" si="684"/>
        <v>0</v>
      </c>
      <c r="BG503" s="424">
        <f t="shared" si="684"/>
        <v>0</v>
      </c>
      <c r="BH503" s="424">
        <f t="shared" si="684"/>
        <v>0</v>
      </c>
      <c r="BI503" s="424">
        <f t="shared" si="684"/>
        <v>0</v>
      </c>
      <c r="BJ503" s="424">
        <f t="shared" si="684"/>
        <v>0</v>
      </c>
      <c r="BK503" s="424">
        <f t="shared" si="684"/>
        <v>0</v>
      </c>
      <c r="BL503" s="424">
        <f t="shared" si="684"/>
        <v>0</v>
      </c>
      <c r="BM503" s="424">
        <f t="shared" si="684"/>
        <v>0</v>
      </c>
      <c r="BN503" s="424">
        <f t="shared" si="684"/>
        <v>0</v>
      </c>
      <c r="BO503" s="424">
        <f t="shared" si="684"/>
        <v>0</v>
      </c>
      <c r="BP503" s="424">
        <f t="shared" si="684"/>
        <v>0</v>
      </c>
      <c r="BQ503" s="424">
        <f t="shared" si="684"/>
        <v>0</v>
      </c>
      <c r="BR503" s="424">
        <f t="shared" si="684"/>
        <v>0</v>
      </c>
      <c r="BS503" s="424">
        <f t="shared" si="684"/>
        <v>0</v>
      </c>
      <c r="BT503" s="424">
        <f t="shared" si="684"/>
        <v>0</v>
      </c>
      <c r="BU503" s="424">
        <f t="shared" si="684"/>
        <v>0</v>
      </c>
      <c r="BV503" s="424">
        <f t="shared" ref="BV503:DA503" si="685">BV133*BV$372</f>
        <v>1.76</v>
      </c>
      <c r="BW503" s="424">
        <f t="shared" si="685"/>
        <v>0</v>
      </c>
      <c r="BX503" s="424">
        <f t="shared" si="685"/>
        <v>0</v>
      </c>
      <c r="BY503" s="424">
        <f t="shared" si="685"/>
        <v>0</v>
      </c>
      <c r="BZ503" s="424">
        <f t="shared" si="685"/>
        <v>0</v>
      </c>
      <c r="CA503" s="424">
        <f t="shared" si="685"/>
        <v>0</v>
      </c>
      <c r="CB503" s="424">
        <f t="shared" si="685"/>
        <v>0</v>
      </c>
      <c r="CC503" s="424">
        <f t="shared" si="685"/>
        <v>0</v>
      </c>
      <c r="CD503" s="424">
        <f t="shared" si="685"/>
        <v>0</v>
      </c>
      <c r="CE503" s="424">
        <f t="shared" si="685"/>
        <v>0</v>
      </c>
      <c r="CF503" s="424">
        <f t="shared" si="685"/>
        <v>0</v>
      </c>
      <c r="CG503" s="424">
        <f t="shared" si="685"/>
        <v>0</v>
      </c>
      <c r="CH503" s="424">
        <f t="shared" si="685"/>
        <v>0</v>
      </c>
      <c r="CI503" s="424">
        <f t="shared" si="685"/>
        <v>0</v>
      </c>
      <c r="CJ503" s="424">
        <f t="shared" si="685"/>
        <v>0</v>
      </c>
      <c r="CK503" s="424">
        <f t="shared" si="685"/>
        <v>0</v>
      </c>
      <c r="CL503" s="424">
        <f t="shared" si="685"/>
        <v>0</v>
      </c>
      <c r="CM503" s="424">
        <f t="shared" si="685"/>
        <v>0</v>
      </c>
      <c r="CN503" s="424">
        <f t="shared" si="685"/>
        <v>0</v>
      </c>
      <c r="CO503" s="424">
        <f t="shared" si="685"/>
        <v>0</v>
      </c>
      <c r="CP503" s="424">
        <f t="shared" si="685"/>
        <v>0</v>
      </c>
      <c r="CQ503" s="424">
        <f t="shared" si="685"/>
        <v>0</v>
      </c>
      <c r="CR503" s="424">
        <f t="shared" si="685"/>
        <v>0</v>
      </c>
      <c r="CS503" s="424">
        <f t="shared" si="685"/>
        <v>0</v>
      </c>
      <c r="CT503" s="424">
        <f t="shared" si="685"/>
        <v>0</v>
      </c>
      <c r="CU503" s="424">
        <f t="shared" si="685"/>
        <v>0</v>
      </c>
      <c r="CV503" s="424">
        <f t="shared" si="685"/>
        <v>0</v>
      </c>
      <c r="CW503" s="424">
        <f t="shared" si="685"/>
        <v>0</v>
      </c>
      <c r="CX503" s="424">
        <f t="shared" si="685"/>
        <v>0</v>
      </c>
      <c r="CY503" s="424">
        <f t="shared" si="685"/>
        <v>0</v>
      </c>
      <c r="CZ503" s="424">
        <f t="shared" si="685"/>
        <v>1.22</v>
      </c>
      <c r="DA503" s="424">
        <f t="shared" si="685"/>
        <v>0</v>
      </c>
      <c r="DB503" s="424">
        <f t="shared" ref="DB503:EG503" si="686">DB133*DB$372</f>
        <v>0</v>
      </c>
      <c r="DC503" s="424">
        <f t="shared" si="686"/>
        <v>0</v>
      </c>
      <c r="DD503" s="424">
        <f t="shared" si="686"/>
        <v>0</v>
      </c>
      <c r="DE503" s="424">
        <f t="shared" si="686"/>
        <v>0</v>
      </c>
      <c r="DF503" s="424">
        <f t="shared" si="686"/>
        <v>0</v>
      </c>
      <c r="DG503" s="424">
        <f t="shared" si="686"/>
        <v>0</v>
      </c>
      <c r="DH503" s="424">
        <f t="shared" si="686"/>
        <v>0</v>
      </c>
      <c r="DI503" s="424">
        <f t="shared" si="686"/>
        <v>0</v>
      </c>
      <c r="DJ503" s="424">
        <f t="shared" si="686"/>
        <v>0</v>
      </c>
      <c r="DK503" s="424">
        <f t="shared" si="686"/>
        <v>0</v>
      </c>
      <c r="DL503" s="424">
        <f t="shared" si="686"/>
        <v>0</v>
      </c>
      <c r="DM503" s="424">
        <f t="shared" si="686"/>
        <v>0</v>
      </c>
      <c r="DN503" s="424">
        <f t="shared" si="686"/>
        <v>0</v>
      </c>
      <c r="DO503" s="424">
        <f t="shared" si="686"/>
        <v>0</v>
      </c>
      <c r="DP503" s="424">
        <f t="shared" si="686"/>
        <v>0</v>
      </c>
      <c r="DQ503" s="424">
        <f t="shared" si="686"/>
        <v>0</v>
      </c>
      <c r="DR503" s="424">
        <f t="shared" si="686"/>
        <v>0</v>
      </c>
      <c r="DS503" s="424">
        <f t="shared" si="686"/>
        <v>0</v>
      </c>
      <c r="DT503" s="424">
        <f t="shared" si="686"/>
        <v>0</v>
      </c>
      <c r="DU503" s="424">
        <f t="shared" si="686"/>
        <v>0</v>
      </c>
      <c r="DV503" s="424">
        <f t="shared" si="686"/>
        <v>0</v>
      </c>
      <c r="DW503" s="424">
        <f t="shared" si="686"/>
        <v>0</v>
      </c>
      <c r="DX503" s="424">
        <f t="shared" si="686"/>
        <v>0</v>
      </c>
      <c r="DY503" s="424">
        <f t="shared" si="686"/>
        <v>0</v>
      </c>
      <c r="DZ503" s="424">
        <f t="shared" si="686"/>
        <v>0</v>
      </c>
      <c r="EA503" s="424">
        <f t="shared" si="686"/>
        <v>0</v>
      </c>
      <c r="EB503" s="424">
        <f t="shared" si="686"/>
        <v>0</v>
      </c>
      <c r="EC503" s="424">
        <f t="shared" si="686"/>
        <v>0</v>
      </c>
      <c r="ED503" s="424">
        <f t="shared" si="686"/>
        <v>0</v>
      </c>
      <c r="EE503" s="424">
        <f t="shared" si="686"/>
        <v>0</v>
      </c>
      <c r="EF503" s="424">
        <f t="shared" si="686"/>
        <v>0</v>
      </c>
      <c r="EG503" s="424">
        <f t="shared" si="686"/>
        <v>0</v>
      </c>
      <c r="EH503" s="424">
        <f t="shared" ref="EH503:EX503" si="687">EH133*EH$372</f>
        <v>0</v>
      </c>
      <c r="EI503" s="424">
        <f t="shared" si="687"/>
        <v>0</v>
      </c>
      <c r="EJ503" s="424">
        <f t="shared" si="687"/>
        <v>0</v>
      </c>
      <c r="EK503" s="424">
        <f t="shared" si="687"/>
        <v>0</v>
      </c>
      <c r="EL503" s="424">
        <f t="shared" si="687"/>
        <v>0</v>
      </c>
      <c r="EM503" s="424">
        <f t="shared" si="687"/>
        <v>0</v>
      </c>
      <c r="EN503" s="424">
        <f t="shared" si="687"/>
        <v>0</v>
      </c>
      <c r="EO503" s="424">
        <f t="shared" si="687"/>
        <v>0</v>
      </c>
      <c r="EP503" s="424">
        <f t="shared" si="687"/>
        <v>0</v>
      </c>
      <c r="EQ503" s="424">
        <f t="shared" si="687"/>
        <v>0</v>
      </c>
      <c r="ER503" s="424">
        <f t="shared" si="687"/>
        <v>0</v>
      </c>
      <c r="ES503" s="424">
        <f t="shared" si="687"/>
        <v>0</v>
      </c>
      <c r="ET503" s="424">
        <f t="shared" si="687"/>
        <v>0</v>
      </c>
      <c r="EU503" s="424">
        <f t="shared" si="687"/>
        <v>0</v>
      </c>
      <c r="EV503" s="424">
        <f t="shared" si="687"/>
        <v>0</v>
      </c>
      <c r="EW503" s="424">
        <f t="shared" si="687"/>
        <v>0</v>
      </c>
      <c r="EX503" s="424">
        <f t="shared" si="687"/>
        <v>0</v>
      </c>
      <c r="EY503" s="425">
        <f t="shared" si="374"/>
        <v>18.079999999999998</v>
      </c>
      <c r="EZ503" s="616"/>
      <c r="FA503" s="616"/>
      <c r="FB503" s="616"/>
      <c r="FC503" s="616"/>
      <c r="FD503" s="616"/>
      <c r="FE503" s="616"/>
      <c r="FF503" s="616"/>
      <c r="FG503" s="616"/>
      <c r="FH503" s="616"/>
      <c r="FI503" s="616"/>
      <c r="FJ503" s="616"/>
    </row>
    <row r="504" spans="1:166" ht="14.7" customHeight="1" x14ac:dyDescent="0.25">
      <c r="A504" s="310">
        <v>130</v>
      </c>
      <c r="B504" s="311" t="str">
        <f t="shared" si="680"/>
        <v>Каша жидкая молочная из крупы овсяной с маслом и сахаром</v>
      </c>
      <c r="C504" s="483">
        <f t="shared" ref="C504:C568" si="688">EY504</f>
        <v>17.72</v>
      </c>
      <c r="D504" s="888"/>
      <c r="E504" s="888"/>
      <c r="F504" s="888"/>
      <c r="G504" s="889"/>
      <c r="H504" s="680">
        <f t="shared" si="681"/>
        <v>182</v>
      </c>
      <c r="I504" s="1209">
        <f t="shared" si="682"/>
        <v>0</v>
      </c>
      <c r="J504" s="424">
        <f t="shared" ref="J504:AO504" si="689">J134*J$372</f>
        <v>0</v>
      </c>
      <c r="K504" s="424">
        <f t="shared" si="689"/>
        <v>0</v>
      </c>
      <c r="L504" s="424">
        <f t="shared" si="689"/>
        <v>0</v>
      </c>
      <c r="M504" s="424">
        <f t="shared" si="689"/>
        <v>0</v>
      </c>
      <c r="N504" s="424">
        <f t="shared" si="689"/>
        <v>0</v>
      </c>
      <c r="O504" s="424">
        <f t="shared" si="689"/>
        <v>0</v>
      </c>
      <c r="P504" s="424">
        <f t="shared" si="689"/>
        <v>0</v>
      </c>
      <c r="Q504" s="424">
        <f t="shared" si="689"/>
        <v>0</v>
      </c>
      <c r="R504" s="424">
        <f t="shared" si="689"/>
        <v>0</v>
      </c>
      <c r="S504" s="424">
        <f t="shared" si="689"/>
        <v>0</v>
      </c>
      <c r="T504" s="424">
        <f t="shared" si="689"/>
        <v>0</v>
      </c>
      <c r="U504" s="424">
        <f t="shared" si="689"/>
        <v>8</v>
      </c>
      <c r="V504" s="424">
        <f t="shared" si="689"/>
        <v>7.1</v>
      </c>
      <c r="W504" s="424">
        <f t="shared" si="689"/>
        <v>0</v>
      </c>
      <c r="X504" s="424">
        <f t="shared" si="689"/>
        <v>0</v>
      </c>
      <c r="Y504" s="424">
        <f t="shared" si="689"/>
        <v>0</v>
      </c>
      <c r="Z504" s="424">
        <f t="shared" si="689"/>
        <v>0</v>
      </c>
      <c r="AA504" s="424">
        <f t="shared" si="689"/>
        <v>0</v>
      </c>
      <c r="AB504" s="424">
        <f t="shared" si="689"/>
        <v>0</v>
      </c>
      <c r="AC504" s="424">
        <f t="shared" si="689"/>
        <v>0</v>
      </c>
      <c r="AD504" s="424">
        <f t="shared" si="689"/>
        <v>0</v>
      </c>
      <c r="AE504" s="424">
        <f t="shared" si="689"/>
        <v>0</v>
      </c>
      <c r="AF504" s="424">
        <f t="shared" si="689"/>
        <v>0</v>
      </c>
      <c r="AG504" s="424">
        <f t="shared" si="689"/>
        <v>0</v>
      </c>
      <c r="AH504" s="424">
        <f t="shared" si="689"/>
        <v>0</v>
      </c>
      <c r="AI504" s="424">
        <f t="shared" si="689"/>
        <v>0</v>
      </c>
      <c r="AJ504" s="424">
        <f t="shared" si="689"/>
        <v>0</v>
      </c>
      <c r="AK504" s="424">
        <f t="shared" si="689"/>
        <v>0</v>
      </c>
      <c r="AL504" s="424">
        <f t="shared" si="689"/>
        <v>0</v>
      </c>
      <c r="AM504" s="424">
        <f t="shared" si="689"/>
        <v>0</v>
      </c>
      <c r="AN504" s="424">
        <f t="shared" si="689"/>
        <v>0</v>
      </c>
      <c r="AO504" s="424">
        <f t="shared" si="689"/>
        <v>0</v>
      </c>
      <c r="AP504" s="424">
        <f t="shared" ref="AP504:BU504" si="690">AP134*AP$372</f>
        <v>0</v>
      </c>
      <c r="AQ504" s="424">
        <f t="shared" si="690"/>
        <v>0</v>
      </c>
      <c r="AR504" s="424">
        <f t="shared" si="690"/>
        <v>0</v>
      </c>
      <c r="AS504" s="424">
        <f t="shared" si="690"/>
        <v>0</v>
      </c>
      <c r="AT504" s="424">
        <f t="shared" si="690"/>
        <v>0</v>
      </c>
      <c r="AU504" s="424">
        <f t="shared" si="690"/>
        <v>0</v>
      </c>
      <c r="AV504" s="424">
        <f t="shared" si="690"/>
        <v>0</v>
      </c>
      <c r="AW504" s="424">
        <f t="shared" si="690"/>
        <v>0</v>
      </c>
      <c r="AX504" s="424">
        <f t="shared" si="690"/>
        <v>0</v>
      </c>
      <c r="AY504" s="424">
        <f t="shared" si="690"/>
        <v>0</v>
      </c>
      <c r="AZ504" s="424">
        <f t="shared" si="690"/>
        <v>0</v>
      </c>
      <c r="BA504" s="424">
        <f t="shared" si="690"/>
        <v>0</v>
      </c>
      <c r="BB504" s="424">
        <f t="shared" si="690"/>
        <v>0</v>
      </c>
      <c r="BC504" s="424">
        <f t="shared" si="690"/>
        <v>0</v>
      </c>
      <c r="BD504" s="424">
        <f t="shared" si="690"/>
        <v>0</v>
      </c>
      <c r="BE504" s="424">
        <f t="shared" si="690"/>
        <v>0</v>
      </c>
      <c r="BF504" s="424">
        <f t="shared" si="690"/>
        <v>0</v>
      </c>
      <c r="BG504" s="424">
        <f t="shared" si="690"/>
        <v>0</v>
      </c>
      <c r="BH504" s="424">
        <f t="shared" si="690"/>
        <v>0</v>
      </c>
      <c r="BI504" s="424">
        <f t="shared" si="690"/>
        <v>0</v>
      </c>
      <c r="BJ504" s="424">
        <f t="shared" si="690"/>
        <v>0</v>
      </c>
      <c r="BK504" s="424">
        <f t="shared" si="690"/>
        <v>0</v>
      </c>
      <c r="BL504" s="424">
        <f t="shared" si="690"/>
        <v>0</v>
      </c>
      <c r="BM504" s="424">
        <f t="shared" si="690"/>
        <v>0</v>
      </c>
      <c r="BN504" s="424">
        <f t="shared" si="690"/>
        <v>0</v>
      </c>
      <c r="BO504" s="424">
        <f t="shared" si="690"/>
        <v>0</v>
      </c>
      <c r="BP504" s="424">
        <f t="shared" si="690"/>
        <v>0</v>
      </c>
      <c r="BQ504" s="424">
        <f t="shared" si="690"/>
        <v>0</v>
      </c>
      <c r="BR504" s="424">
        <f t="shared" si="690"/>
        <v>0</v>
      </c>
      <c r="BS504" s="424">
        <f t="shared" si="690"/>
        <v>0</v>
      </c>
      <c r="BT504" s="424">
        <f t="shared" si="690"/>
        <v>0</v>
      </c>
      <c r="BU504" s="424">
        <f t="shared" si="690"/>
        <v>0</v>
      </c>
      <c r="BV504" s="424">
        <f t="shared" ref="BV504:DA504" si="691">BV134*BV$372</f>
        <v>0</v>
      </c>
      <c r="BW504" s="424">
        <f t="shared" si="691"/>
        <v>1.4</v>
      </c>
      <c r="BX504" s="424">
        <f t="shared" si="691"/>
        <v>0</v>
      </c>
      <c r="BY504" s="424">
        <f t="shared" si="691"/>
        <v>0</v>
      </c>
      <c r="BZ504" s="424">
        <f t="shared" si="691"/>
        <v>0</v>
      </c>
      <c r="CA504" s="424">
        <f t="shared" si="691"/>
        <v>0</v>
      </c>
      <c r="CB504" s="424">
        <f t="shared" si="691"/>
        <v>0</v>
      </c>
      <c r="CC504" s="424">
        <f t="shared" si="691"/>
        <v>0</v>
      </c>
      <c r="CD504" s="424">
        <f t="shared" si="691"/>
        <v>0</v>
      </c>
      <c r="CE504" s="424">
        <f t="shared" si="691"/>
        <v>0</v>
      </c>
      <c r="CF504" s="424">
        <f t="shared" si="691"/>
        <v>0</v>
      </c>
      <c r="CG504" s="424">
        <f t="shared" si="691"/>
        <v>0</v>
      </c>
      <c r="CH504" s="424">
        <f t="shared" si="691"/>
        <v>0</v>
      </c>
      <c r="CI504" s="424">
        <f t="shared" si="691"/>
        <v>0</v>
      </c>
      <c r="CJ504" s="424">
        <f t="shared" si="691"/>
        <v>0</v>
      </c>
      <c r="CK504" s="424">
        <f t="shared" si="691"/>
        <v>0</v>
      </c>
      <c r="CL504" s="424">
        <f t="shared" si="691"/>
        <v>0</v>
      </c>
      <c r="CM504" s="424">
        <f t="shared" si="691"/>
        <v>0</v>
      </c>
      <c r="CN504" s="424">
        <f t="shared" si="691"/>
        <v>0</v>
      </c>
      <c r="CO504" s="424">
        <f t="shared" si="691"/>
        <v>0</v>
      </c>
      <c r="CP504" s="424">
        <f t="shared" si="691"/>
        <v>0</v>
      </c>
      <c r="CQ504" s="424">
        <f t="shared" si="691"/>
        <v>0</v>
      </c>
      <c r="CR504" s="424">
        <f t="shared" si="691"/>
        <v>0</v>
      </c>
      <c r="CS504" s="424">
        <f t="shared" si="691"/>
        <v>0</v>
      </c>
      <c r="CT504" s="424">
        <f t="shared" si="691"/>
        <v>0</v>
      </c>
      <c r="CU504" s="424">
        <f t="shared" si="691"/>
        <v>0</v>
      </c>
      <c r="CV504" s="424">
        <f t="shared" si="691"/>
        <v>0</v>
      </c>
      <c r="CW504" s="424">
        <f t="shared" si="691"/>
        <v>0</v>
      </c>
      <c r="CX504" s="424">
        <f t="shared" si="691"/>
        <v>0</v>
      </c>
      <c r="CY504" s="424">
        <f t="shared" si="691"/>
        <v>0</v>
      </c>
      <c r="CZ504" s="424">
        <f t="shared" si="691"/>
        <v>1.22</v>
      </c>
      <c r="DA504" s="424">
        <f t="shared" si="691"/>
        <v>0</v>
      </c>
      <c r="DB504" s="424">
        <f t="shared" ref="DB504:EG504" si="692">DB134*DB$372</f>
        <v>0</v>
      </c>
      <c r="DC504" s="424">
        <f t="shared" si="692"/>
        <v>0</v>
      </c>
      <c r="DD504" s="424">
        <f t="shared" si="692"/>
        <v>0</v>
      </c>
      <c r="DE504" s="424">
        <f t="shared" si="692"/>
        <v>0</v>
      </c>
      <c r="DF504" s="424">
        <f t="shared" si="692"/>
        <v>0</v>
      </c>
      <c r="DG504" s="424">
        <f t="shared" si="692"/>
        <v>0</v>
      </c>
      <c r="DH504" s="424">
        <f t="shared" si="692"/>
        <v>0</v>
      </c>
      <c r="DI504" s="424">
        <f t="shared" si="692"/>
        <v>0</v>
      </c>
      <c r="DJ504" s="424">
        <f t="shared" si="692"/>
        <v>0</v>
      </c>
      <c r="DK504" s="424">
        <f t="shared" si="692"/>
        <v>0</v>
      </c>
      <c r="DL504" s="424">
        <f t="shared" si="692"/>
        <v>0</v>
      </c>
      <c r="DM504" s="424">
        <f t="shared" si="692"/>
        <v>0</v>
      </c>
      <c r="DN504" s="424">
        <f t="shared" si="692"/>
        <v>0</v>
      </c>
      <c r="DO504" s="424">
        <f t="shared" si="692"/>
        <v>0</v>
      </c>
      <c r="DP504" s="424">
        <f t="shared" si="692"/>
        <v>0</v>
      </c>
      <c r="DQ504" s="424">
        <f t="shared" si="692"/>
        <v>0</v>
      </c>
      <c r="DR504" s="424">
        <f t="shared" si="692"/>
        <v>0</v>
      </c>
      <c r="DS504" s="424">
        <f t="shared" si="692"/>
        <v>0</v>
      </c>
      <c r="DT504" s="424">
        <f t="shared" si="692"/>
        <v>0</v>
      </c>
      <c r="DU504" s="424">
        <f t="shared" si="692"/>
        <v>0</v>
      </c>
      <c r="DV504" s="424">
        <f t="shared" si="692"/>
        <v>0</v>
      </c>
      <c r="DW504" s="424">
        <f t="shared" si="692"/>
        <v>0</v>
      </c>
      <c r="DX504" s="424">
        <f t="shared" si="692"/>
        <v>0</v>
      </c>
      <c r="DY504" s="424">
        <f t="shared" si="692"/>
        <v>0</v>
      </c>
      <c r="DZ504" s="424">
        <f t="shared" si="692"/>
        <v>0</v>
      </c>
      <c r="EA504" s="424">
        <f t="shared" si="692"/>
        <v>0</v>
      </c>
      <c r="EB504" s="424">
        <f t="shared" si="692"/>
        <v>0</v>
      </c>
      <c r="EC504" s="424">
        <f t="shared" si="692"/>
        <v>0</v>
      </c>
      <c r="ED504" s="424">
        <f t="shared" si="692"/>
        <v>0</v>
      </c>
      <c r="EE504" s="424">
        <f t="shared" si="692"/>
        <v>0</v>
      </c>
      <c r="EF504" s="424">
        <f t="shared" si="692"/>
        <v>0</v>
      </c>
      <c r="EG504" s="424">
        <f t="shared" si="692"/>
        <v>0</v>
      </c>
      <c r="EH504" s="424">
        <f t="shared" ref="EH504:EX504" si="693">EH134*EH$372</f>
        <v>0</v>
      </c>
      <c r="EI504" s="424">
        <f t="shared" si="693"/>
        <v>0</v>
      </c>
      <c r="EJ504" s="424">
        <f t="shared" si="693"/>
        <v>0</v>
      </c>
      <c r="EK504" s="424">
        <f t="shared" si="693"/>
        <v>0</v>
      </c>
      <c r="EL504" s="424">
        <f t="shared" si="693"/>
        <v>0</v>
      </c>
      <c r="EM504" s="424">
        <f t="shared" si="693"/>
        <v>0</v>
      </c>
      <c r="EN504" s="424">
        <f t="shared" si="693"/>
        <v>0</v>
      </c>
      <c r="EO504" s="424">
        <f t="shared" si="693"/>
        <v>0</v>
      </c>
      <c r="EP504" s="424">
        <f t="shared" si="693"/>
        <v>0</v>
      </c>
      <c r="EQ504" s="424">
        <f t="shared" si="693"/>
        <v>0</v>
      </c>
      <c r="ER504" s="424">
        <f t="shared" si="693"/>
        <v>0</v>
      </c>
      <c r="ES504" s="424">
        <f t="shared" si="693"/>
        <v>0</v>
      </c>
      <c r="ET504" s="424">
        <f t="shared" si="693"/>
        <v>0</v>
      </c>
      <c r="EU504" s="424">
        <f t="shared" si="693"/>
        <v>0</v>
      </c>
      <c r="EV504" s="424">
        <f t="shared" si="693"/>
        <v>0</v>
      </c>
      <c r="EW504" s="424">
        <f t="shared" si="693"/>
        <v>0</v>
      </c>
      <c r="EX504" s="424">
        <f t="shared" si="693"/>
        <v>0</v>
      </c>
      <c r="EY504" s="425">
        <f t="shared" si="374"/>
        <v>17.72</v>
      </c>
    </row>
    <row r="505" spans="1:166" ht="14.7" customHeight="1" x14ac:dyDescent="0.25">
      <c r="A505" s="310">
        <v>131</v>
      </c>
      <c r="B505" s="311" t="str">
        <f t="shared" si="680"/>
        <v>Каша жидкая молочная из крупы ячневой с маслом и сахаром</v>
      </c>
      <c r="C505" s="483">
        <f t="shared" si="688"/>
        <v>17.86</v>
      </c>
      <c r="D505" s="888"/>
      <c r="E505" s="888"/>
      <c r="F505" s="888"/>
      <c r="G505" s="889"/>
      <c r="H505" s="680">
        <f t="shared" si="681"/>
        <v>182</v>
      </c>
      <c r="I505" s="1209">
        <f t="shared" si="682"/>
        <v>0</v>
      </c>
      <c r="J505" s="424">
        <f t="shared" ref="J505:AO505" si="694">J135*J$372</f>
        <v>0</v>
      </c>
      <c r="K505" s="424">
        <f t="shared" si="694"/>
        <v>0</v>
      </c>
      <c r="L505" s="424">
        <f t="shared" si="694"/>
        <v>0</v>
      </c>
      <c r="M505" s="424">
        <f t="shared" si="694"/>
        <v>0</v>
      </c>
      <c r="N505" s="424">
        <f t="shared" si="694"/>
        <v>0</v>
      </c>
      <c r="O505" s="424">
        <f t="shared" si="694"/>
        <v>0</v>
      </c>
      <c r="P505" s="424">
        <f t="shared" si="694"/>
        <v>0</v>
      </c>
      <c r="Q505" s="424">
        <f t="shared" si="694"/>
        <v>0</v>
      </c>
      <c r="R505" s="424">
        <f t="shared" si="694"/>
        <v>0</v>
      </c>
      <c r="S505" s="424">
        <f t="shared" si="694"/>
        <v>0</v>
      </c>
      <c r="T505" s="424">
        <f t="shared" si="694"/>
        <v>0</v>
      </c>
      <c r="U505" s="424">
        <f t="shared" si="694"/>
        <v>8</v>
      </c>
      <c r="V505" s="424">
        <f t="shared" si="694"/>
        <v>7.1</v>
      </c>
      <c r="W505" s="424">
        <f t="shared" si="694"/>
        <v>0</v>
      </c>
      <c r="X505" s="424">
        <f t="shared" si="694"/>
        <v>0</v>
      </c>
      <c r="Y505" s="424">
        <f t="shared" si="694"/>
        <v>0</v>
      </c>
      <c r="Z505" s="424">
        <f t="shared" si="694"/>
        <v>0</v>
      </c>
      <c r="AA505" s="424">
        <f t="shared" si="694"/>
        <v>0</v>
      </c>
      <c r="AB505" s="424">
        <f t="shared" si="694"/>
        <v>0</v>
      </c>
      <c r="AC505" s="424">
        <f t="shared" si="694"/>
        <v>0</v>
      </c>
      <c r="AD505" s="424">
        <f t="shared" si="694"/>
        <v>0</v>
      </c>
      <c r="AE505" s="424">
        <f t="shared" si="694"/>
        <v>0</v>
      </c>
      <c r="AF505" s="424">
        <f t="shared" si="694"/>
        <v>0</v>
      </c>
      <c r="AG505" s="424">
        <f t="shared" si="694"/>
        <v>0</v>
      </c>
      <c r="AH505" s="424">
        <f t="shared" si="694"/>
        <v>0</v>
      </c>
      <c r="AI505" s="424">
        <f t="shared" si="694"/>
        <v>0</v>
      </c>
      <c r="AJ505" s="424">
        <f t="shared" si="694"/>
        <v>0</v>
      </c>
      <c r="AK505" s="424">
        <f t="shared" si="694"/>
        <v>0</v>
      </c>
      <c r="AL505" s="424">
        <f t="shared" si="694"/>
        <v>0</v>
      </c>
      <c r="AM505" s="424">
        <f t="shared" si="694"/>
        <v>0</v>
      </c>
      <c r="AN505" s="424">
        <f t="shared" si="694"/>
        <v>0</v>
      </c>
      <c r="AO505" s="424">
        <f t="shared" si="694"/>
        <v>0</v>
      </c>
      <c r="AP505" s="424">
        <f t="shared" ref="AP505:BU505" si="695">AP135*AP$372</f>
        <v>0</v>
      </c>
      <c r="AQ505" s="424">
        <f t="shared" si="695"/>
        <v>0</v>
      </c>
      <c r="AR505" s="424">
        <f t="shared" si="695"/>
        <v>0</v>
      </c>
      <c r="AS505" s="424">
        <f t="shared" si="695"/>
        <v>0</v>
      </c>
      <c r="AT505" s="424">
        <f t="shared" si="695"/>
        <v>0</v>
      </c>
      <c r="AU505" s="424">
        <f t="shared" si="695"/>
        <v>0</v>
      </c>
      <c r="AV505" s="424">
        <f t="shared" si="695"/>
        <v>0</v>
      </c>
      <c r="AW505" s="424">
        <f t="shared" si="695"/>
        <v>0</v>
      </c>
      <c r="AX505" s="424">
        <f t="shared" si="695"/>
        <v>0</v>
      </c>
      <c r="AY505" s="424">
        <f t="shared" si="695"/>
        <v>0</v>
      </c>
      <c r="AZ505" s="424">
        <f t="shared" si="695"/>
        <v>0</v>
      </c>
      <c r="BA505" s="424">
        <f t="shared" si="695"/>
        <v>0</v>
      </c>
      <c r="BB505" s="424">
        <f t="shared" si="695"/>
        <v>0</v>
      </c>
      <c r="BC505" s="424">
        <f t="shared" si="695"/>
        <v>0</v>
      </c>
      <c r="BD505" s="424">
        <f t="shared" si="695"/>
        <v>0</v>
      </c>
      <c r="BE505" s="424">
        <f t="shared" si="695"/>
        <v>0</v>
      </c>
      <c r="BF505" s="424">
        <f t="shared" si="695"/>
        <v>0</v>
      </c>
      <c r="BG505" s="424">
        <f t="shared" si="695"/>
        <v>0</v>
      </c>
      <c r="BH505" s="424">
        <f t="shared" si="695"/>
        <v>0</v>
      </c>
      <c r="BI505" s="424">
        <f t="shared" si="695"/>
        <v>0</v>
      </c>
      <c r="BJ505" s="424">
        <f t="shared" si="695"/>
        <v>0</v>
      </c>
      <c r="BK505" s="424">
        <f t="shared" si="695"/>
        <v>0</v>
      </c>
      <c r="BL505" s="424">
        <f t="shared" si="695"/>
        <v>0</v>
      </c>
      <c r="BM505" s="424">
        <f t="shared" si="695"/>
        <v>0</v>
      </c>
      <c r="BN505" s="424">
        <f t="shared" si="695"/>
        <v>0</v>
      </c>
      <c r="BO505" s="424">
        <f t="shared" si="695"/>
        <v>0</v>
      </c>
      <c r="BP505" s="424">
        <f t="shared" si="695"/>
        <v>0</v>
      </c>
      <c r="BQ505" s="424">
        <f t="shared" si="695"/>
        <v>0</v>
      </c>
      <c r="BR505" s="424">
        <f t="shared" si="695"/>
        <v>0</v>
      </c>
      <c r="BS505" s="424">
        <f t="shared" si="695"/>
        <v>0</v>
      </c>
      <c r="BT505" s="424">
        <f t="shared" si="695"/>
        <v>0</v>
      </c>
      <c r="BU505" s="424">
        <f t="shared" si="695"/>
        <v>0</v>
      </c>
      <c r="BV505" s="424">
        <f t="shared" ref="BV505:DA505" si="696">BV135*BV$372</f>
        <v>0</v>
      </c>
      <c r="BW505" s="424">
        <f t="shared" si="696"/>
        <v>0</v>
      </c>
      <c r="BX505" s="424">
        <f t="shared" si="696"/>
        <v>1.54</v>
      </c>
      <c r="BY505" s="424">
        <f t="shared" si="696"/>
        <v>0</v>
      </c>
      <c r="BZ505" s="424">
        <f t="shared" si="696"/>
        <v>0</v>
      </c>
      <c r="CA505" s="424">
        <f t="shared" si="696"/>
        <v>0</v>
      </c>
      <c r="CB505" s="424">
        <f t="shared" si="696"/>
        <v>0</v>
      </c>
      <c r="CC505" s="424">
        <f t="shared" si="696"/>
        <v>0</v>
      </c>
      <c r="CD505" s="424">
        <f t="shared" si="696"/>
        <v>0</v>
      </c>
      <c r="CE505" s="424">
        <f t="shared" si="696"/>
        <v>0</v>
      </c>
      <c r="CF505" s="424">
        <f t="shared" si="696"/>
        <v>0</v>
      </c>
      <c r="CG505" s="424">
        <f t="shared" si="696"/>
        <v>0</v>
      </c>
      <c r="CH505" s="424">
        <f t="shared" si="696"/>
        <v>0</v>
      </c>
      <c r="CI505" s="424">
        <f t="shared" si="696"/>
        <v>0</v>
      </c>
      <c r="CJ505" s="424">
        <f t="shared" si="696"/>
        <v>0</v>
      </c>
      <c r="CK505" s="424">
        <f t="shared" si="696"/>
        <v>0</v>
      </c>
      <c r="CL505" s="424">
        <f t="shared" si="696"/>
        <v>0</v>
      </c>
      <c r="CM505" s="424">
        <f t="shared" si="696"/>
        <v>0</v>
      </c>
      <c r="CN505" s="424">
        <f t="shared" si="696"/>
        <v>0</v>
      </c>
      <c r="CO505" s="424">
        <f t="shared" si="696"/>
        <v>0</v>
      </c>
      <c r="CP505" s="424">
        <f t="shared" si="696"/>
        <v>0</v>
      </c>
      <c r="CQ505" s="424">
        <f t="shared" si="696"/>
        <v>0</v>
      </c>
      <c r="CR505" s="424">
        <f t="shared" si="696"/>
        <v>0</v>
      </c>
      <c r="CS505" s="424">
        <f t="shared" si="696"/>
        <v>0</v>
      </c>
      <c r="CT505" s="424">
        <f t="shared" si="696"/>
        <v>0</v>
      </c>
      <c r="CU505" s="424">
        <f t="shared" si="696"/>
        <v>0</v>
      </c>
      <c r="CV505" s="424">
        <f t="shared" si="696"/>
        <v>0</v>
      </c>
      <c r="CW505" s="424">
        <f t="shared" si="696"/>
        <v>0</v>
      </c>
      <c r="CX505" s="424">
        <f t="shared" si="696"/>
        <v>0</v>
      </c>
      <c r="CY505" s="424">
        <f t="shared" si="696"/>
        <v>0</v>
      </c>
      <c r="CZ505" s="424">
        <f t="shared" si="696"/>
        <v>1.22</v>
      </c>
      <c r="DA505" s="424">
        <f t="shared" si="696"/>
        <v>0</v>
      </c>
      <c r="DB505" s="424">
        <f t="shared" ref="DB505:EG505" si="697">DB135*DB$372</f>
        <v>0</v>
      </c>
      <c r="DC505" s="424">
        <f t="shared" si="697"/>
        <v>0</v>
      </c>
      <c r="DD505" s="424">
        <f t="shared" si="697"/>
        <v>0</v>
      </c>
      <c r="DE505" s="424">
        <f t="shared" si="697"/>
        <v>0</v>
      </c>
      <c r="DF505" s="424">
        <f t="shared" si="697"/>
        <v>0</v>
      </c>
      <c r="DG505" s="424">
        <f t="shared" si="697"/>
        <v>0</v>
      </c>
      <c r="DH505" s="424">
        <f t="shared" si="697"/>
        <v>0</v>
      </c>
      <c r="DI505" s="424">
        <f t="shared" si="697"/>
        <v>0</v>
      </c>
      <c r="DJ505" s="424">
        <f t="shared" si="697"/>
        <v>0</v>
      </c>
      <c r="DK505" s="424">
        <f t="shared" si="697"/>
        <v>0</v>
      </c>
      <c r="DL505" s="424">
        <f t="shared" si="697"/>
        <v>0</v>
      </c>
      <c r="DM505" s="424">
        <f t="shared" si="697"/>
        <v>0</v>
      </c>
      <c r="DN505" s="424">
        <f t="shared" si="697"/>
        <v>0</v>
      </c>
      <c r="DO505" s="424">
        <f t="shared" si="697"/>
        <v>0</v>
      </c>
      <c r="DP505" s="424">
        <f t="shared" si="697"/>
        <v>0</v>
      </c>
      <c r="DQ505" s="424">
        <f t="shared" si="697"/>
        <v>0</v>
      </c>
      <c r="DR505" s="424">
        <f t="shared" si="697"/>
        <v>0</v>
      </c>
      <c r="DS505" s="424">
        <f t="shared" si="697"/>
        <v>0</v>
      </c>
      <c r="DT505" s="424">
        <f t="shared" si="697"/>
        <v>0</v>
      </c>
      <c r="DU505" s="424">
        <f t="shared" si="697"/>
        <v>0</v>
      </c>
      <c r="DV505" s="424">
        <f t="shared" si="697"/>
        <v>0</v>
      </c>
      <c r="DW505" s="424">
        <f t="shared" si="697"/>
        <v>0</v>
      </c>
      <c r="DX505" s="424">
        <f t="shared" si="697"/>
        <v>0</v>
      </c>
      <c r="DY505" s="424">
        <f t="shared" si="697"/>
        <v>0</v>
      </c>
      <c r="DZ505" s="424">
        <f t="shared" si="697"/>
        <v>0</v>
      </c>
      <c r="EA505" s="424">
        <f t="shared" si="697"/>
        <v>0</v>
      </c>
      <c r="EB505" s="424">
        <f t="shared" si="697"/>
        <v>0</v>
      </c>
      <c r="EC505" s="424">
        <f t="shared" si="697"/>
        <v>0</v>
      </c>
      <c r="ED505" s="424">
        <f t="shared" si="697"/>
        <v>0</v>
      </c>
      <c r="EE505" s="424">
        <f t="shared" si="697"/>
        <v>0</v>
      </c>
      <c r="EF505" s="424">
        <f t="shared" si="697"/>
        <v>0</v>
      </c>
      <c r="EG505" s="424">
        <f t="shared" si="697"/>
        <v>0</v>
      </c>
      <c r="EH505" s="424">
        <f t="shared" ref="EH505:EX505" si="698">EH135*EH$372</f>
        <v>0</v>
      </c>
      <c r="EI505" s="424">
        <f t="shared" si="698"/>
        <v>0</v>
      </c>
      <c r="EJ505" s="424">
        <f t="shared" si="698"/>
        <v>0</v>
      </c>
      <c r="EK505" s="424">
        <f t="shared" si="698"/>
        <v>0</v>
      </c>
      <c r="EL505" s="424">
        <f t="shared" si="698"/>
        <v>0</v>
      </c>
      <c r="EM505" s="424">
        <f t="shared" si="698"/>
        <v>0</v>
      </c>
      <c r="EN505" s="424">
        <f t="shared" si="698"/>
        <v>0</v>
      </c>
      <c r="EO505" s="424">
        <f t="shared" si="698"/>
        <v>0</v>
      </c>
      <c r="EP505" s="424">
        <f t="shared" si="698"/>
        <v>0</v>
      </c>
      <c r="EQ505" s="424">
        <f t="shared" si="698"/>
        <v>0</v>
      </c>
      <c r="ER505" s="424">
        <f t="shared" si="698"/>
        <v>0</v>
      </c>
      <c r="ES505" s="424">
        <f t="shared" si="698"/>
        <v>0</v>
      </c>
      <c r="ET505" s="424">
        <f t="shared" si="698"/>
        <v>0</v>
      </c>
      <c r="EU505" s="424">
        <f t="shared" si="698"/>
        <v>0</v>
      </c>
      <c r="EV505" s="424">
        <f t="shared" si="698"/>
        <v>0</v>
      </c>
      <c r="EW505" s="424">
        <f t="shared" si="698"/>
        <v>0</v>
      </c>
      <c r="EX505" s="424">
        <f t="shared" si="698"/>
        <v>0</v>
      </c>
      <c r="EY505" s="425">
        <f t="shared" ref="EY505:EY576" si="699">SUM(J505:EX505)</f>
        <v>17.86</v>
      </c>
    </row>
    <row r="506" spans="1:166" ht="14.7" customHeight="1" x14ac:dyDescent="0.25">
      <c r="A506" s="310">
        <v>132</v>
      </c>
      <c r="B506" s="311" t="str">
        <f t="shared" si="680"/>
        <v>Каша жидкая молочная из гречневой крупы с маслом и сахаром</v>
      </c>
      <c r="C506" s="483">
        <f t="shared" si="688"/>
        <v>23.56</v>
      </c>
      <c r="D506" s="888"/>
      <c r="E506" s="888"/>
      <c r="F506" s="888"/>
      <c r="G506" s="889"/>
      <c r="H506" s="680">
        <f t="shared" si="681"/>
        <v>183</v>
      </c>
      <c r="I506" s="1209">
        <f t="shared" si="682"/>
        <v>0</v>
      </c>
      <c r="J506" s="424">
        <f t="shared" ref="J506:AO506" si="700">J136*J$372</f>
        <v>0</v>
      </c>
      <c r="K506" s="424">
        <f t="shared" si="700"/>
        <v>0</v>
      </c>
      <c r="L506" s="424">
        <f t="shared" si="700"/>
        <v>0</v>
      </c>
      <c r="M506" s="424">
        <f t="shared" si="700"/>
        <v>0</v>
      </c>
      <c r="N506" s="424">
        <f t="shared" si="700"/>
        <v>0</v>
      </c>
      <c r="O506" s="424">
        <f t="shared" si="700"/>
        <v>0</v>
      </c>
      <c r="P506" s="424">
        <f t="shared" si="700"/>
        <v>0</v>
      </c>
      <c r="Q506" s="424">
        <f t="shared" si="700"/>
        <v>0</v>
      </c>
      <c r="R506" s="424">
        <f t="shared" si="700"/>
        <v>0</v>
      </c>
      <c r="S506" s="424">
        <f t="shared" si="700"/>
        <v>0</v>
      </c>
      <c r="T506" s="424">
        <f t="shared" si="700"/>
        <v>0</v>
      </c>
      <c r="U506" s="424">
        <f t="shared" si="700"/>
        <v>11.2</v>
      </c>
      <c r="V506" s="424">
        <f t="shared" si="700"/>
        <v>7.1</v>
      </c>
      <c r="W506" s="424">
        <f t="shared" si="700"/>
        <v>0</v>
      </c>
      <c r="X506" s="424">
        <f t="shared" si="700"/>
        <v>0</v>
      </c>
      <c r="Y506" s="424">
        <f t="shared" si="700"/>
        <v>0</v>
      </c>
      <c r="Z506" s="424">
        <f t="shared" si="700"/>
        <v>0</v>
      </c>
      <c r="AA506" s="424">
        <f t="shared" si="700"/>
        <v>0</v>
      </c>
      <c r="AB506" s="424">
        <f t="shared" si="700"/>
        <v>0</v>
      </c>
      <c r="AC506" s="424">
        <f t="shared" si="700"/>
        <v>0</v>
      </c>
      <c r="AD506" s="424">
        <f t="shared" si="700"/>
        <v>0</v>
      </c>
      <c r="AE506" s="424">
        <f t="shared" si="700"/>
        <v>0</v>
      </c>
      <c r="AF506" s="424">
        <f t="shared" si="700"/>
        <v>0</v>
      </c>
      <c r="AG506" s="424">
        <f t="shared" si="700"/>
        <v>0</v>
      </c>
      <c r="AH506" s="424">
        <f t="shared" si="700"/>
        <v>0</v>
      </c>
      <c r="AI506" s="424">
        <f t="shared" si="700"/>
        <v>0</v>
      </c>
      <c r="AJ506" s="424">
        <f t="shared" si="700"/>
        <v>0</v>
      </c>
      <c r="AK506" s="424">
        <f t="shared" si="700"/>
        <v>0</v>
      </c>
      <c r="AL506" s="424">
        <f t="shared" si="700"/>
        <v>0</v>
      </c>
      <c r="AM506" s="424">
        <f t="shared" si="700"/>
        <v>0</v>
      </c>
      <c r="AN506" s="424">
        <f t="shared" si="700"/>
        <v>0</v>
      </c>
      <c r="AO506" s="424">
        <f t="shared" si="700"/>
        <v>0</v>
      </c>
      <c r="AP506" s="424">
        <f t="shared" ref="AP506:BU506" si="701">AP136*AP$372</f>
        <v>0</v>
      </c>
      <c r="AQ506" s="424">
        <f t="shared" si="701"/>
        <v>0</v>
      </c>
      <c r="AR506" s="424">
        <f t="shared" si="701"/>
        <v>0</v>
      </c>
      <c r="AS506" s="424">
        <f t="shared" si="701"/>
        <v>0</v>
      </c>
      <c r="AT506" s="424">
        <f t="shared" si="701"/>
        <v>0</v>
      </c>
      <c r="AU506" s="424">
        <f t="shared" si="701"/>
        <v>0</v>
      </c>
      <c r="AV506" s="424">
        <f t="shared" si="701"/>
        <v>0</v>
      </c>
      <c r="AW506" s="424">
        <f t="shared" si="701"/>
        <v>0</v>
      </c>
      <c r="AX506" s="424">
        <f t="shared" si="701"/>
        <v>0</v>
      </c>
      <c r="AY506" s="424">
        <f t="shared" si="701"/>
        <v>0</v>
      </c>
      <c r="AZ506" s="424">
        <f t="shared" si="701"/>
        <v>0</v>
      </c>
      <c r="BA506" s="424">
        <f t="shared" si="701"/>
        <v>0</v>
      </c>
      <c r="BB506" s="424">
        <f t="shared" si="701"/>
        <v>0</v>
      </c>
      <c r="BC506" s="424">
        <f t="shared" si="701"/>
        <v>0</v>
      </c>
      <c r="BD506" s="424">
        <f t="shared" si="701"/>
        <v>0</v>
      </c>
      <c r="BE506" s="424">
        <f t="shared" si="701"/>
        <v>0</v>
      </c>
      <c r="BF506" s="424">
        <f t="shared" si="701"/>
        <v>0</v>
      </c>
      <c r="BG506" s="424">
        <f t="shared" si="701"/>
        <v>0</v>
      </c>
      <c r="BH506" s="424">
        <f t="shared" si="701"/>
        <v>0</v>
      </c>
      <c r="BI506" s="424">
        <f t="shared" si="701"/>
        <v>0</v>
      </c>
      <c r="BJ506" s="424">
        <f t="shared" si="701"/>
        <v>0</v>
      </c>
      <c r="BK506" s="424">
        <f t="shared" si="701"/>
        <v>0</v>
      </c>
      <c r="BL506" s="424">
        <f t="shared" si="701"/>
        <v>0</v>
      </c>
      <c r="BM506" s="424">
        <f t="shared" si="701"/>
        <v>0</v>
      </c>
      <c r="BN506" s="424">
        <f t="shared" si="701"/>
        <v>0</v>
      </c>
      <c r="BO506" s="424">
        <f t="shared" si="701"/>
        <v>0</v>
      </c>
      <c r="BP506" s="424">
        <f t="shared" si="701"/>
        <v>0</v>
      </c>
      <c r="BQ506" s="424">
        <f t="shared" si="701"/>
        <v>0</v>
      </c>
      <c r="BR506" s="424">
        <f t="shared" si="701"/>
        <v>0</v>
      </c>
      <c r="BS506" s="424">
        <f t="shared" si="701"/>
        <v>0</v>
      </c>
      <c r="BT506" s="424">
        <f t="shared" si="701"/>
        <v>4</v>
      </c>
      <c r="BU506" s="424">
        <f t="shared" si="701"/>
        <v>0</v>
      </c>
      <c r="BV506" s="424">
        <f t="shared" ref="BV506:DA506" si="702">BV136*BV$372</f>
        <v>0</v>
      </c>
      <c r="BW506" s="424">
        <f t="shared" si="702"/>
        <v>0</v>
      </c>
      <c r="BX506" s="424">
        <f t="shared" si="702"/>
        <v>0</v>
      </c>
      <c r="BY506" s="424">
        <f t="shared" si="702"/>
        <v>0</v>
      </c>
      <c r="BZ506" s="424">
        <f t="shared" si="702"/>
        <v>0</v>
      </c>
      <c r="CA506" s="424">
        <f t="shared" si="702"/>
        <v>0</v>
      </c>
      <c r="CB506" s="424">
        <f t="shared" si="702"/>
        <v>0</v>
      </c>
      <c r="CC506" s="424">
        <f t="shared" si="702"/>
        <v>0</v>
      </c>
      <c r="CD506" s="424">
        <f t="shared" si="702"/>
        <v>0</v>
      </c>
      <c r="CE506" s="424">
        <f t="shared" si="702"/>
        <v>0</v>
      </c>
      <c r="CF506" s="424">
        <f t="shared" si="702"/>
        <v>0</v>
      </c>
      <c r="CG506" s="424">
        <f t="shared" si="702"/>
        <v>0</v>
      </c>
      <c r="CH506" s="424">
        <f t="shared" si="702"/>
        <v>0</v>
      </c>
      <c r="CI506" s="424">
        <f t="shared" si="702"/>
        <v>0</v>
      </c>
      <c r="CJ506" s="424">
        <f t="shared" si="702"/>
        <v>0</v>
      </c>
      <c r="CK506" s="424">
        <f t="shared" si="702"/>
        <v>0</v>
      </c>
      <c r="CL506" s="424">
        <f t="shared" si="702"/>
        <v>0</v>
      </c>
      <c r="CM506" s="424">
        <f t="shared" si="702"/>
        <v>0</v>
      </c>
      <c r="CN506" s="424">
        <f t="shared" si="702"/>
        <v>0</v>
      </c>
      <c r="CO506" s="424">
        <f t="shared" si="702"/>
        <v>0</v>
      </c>
      <c r="CP506" s="424">
        <f t="shared" si="702"/>
        <v>0</v>
      </c>
      <c r="CQ506" s="424">
        <f t="shared" si="702"/>
        <v>0</v>
      </c>
      <c r="CR506" s="424">
        <f t="shared" si="702"/>
        <v>0</v>
      </c>
      <c r="CS506" s="424">
        <f t="shared" si="702"/>
        <v>0</v>
      </c>
      <c r="CT506" s="424">
        <f t="shared" si="702"/>
        <v>0</v>
      </c>
      <c r="CU506" s="424">
        <f t="shared" si="702"/>
        <v>0</v>
      </c>
      <c r="CV506" s="424">
        <f t="shared" si="702"/>
        <v>0</v>
      </c>
      <c r="CW506" s="424">
        <f t="shared" si="702"/>
        <v>0</v>
      </c>
      <c r="CX506" s="424">
        <f t="shared" si="702"/>
        <v>0</v>
      </c>
      <c r="CY506" s="424">
        <f t="shared" si="702"/>
        <v>0</v>
      </c>
      <c r="CZ506" s="424">
        <f t="shared" si="702"/>
        <v>1.22</v>
      </c>
      <c r="DA506" s="424">
        <f t="shared" si="702"/>
        <v>0</v>
      </c>
      <c r="DB506" s="424">
        <f t="shared" ref="DB506:EG506" si="703">DB136*DB$372</f>
        <v>0</v>
      </c>
      <c r="DC506" s="424">
        <f t="shared" si="703"/>
        <v>0.04</v>
      </c>
      <c r="DD506" s="424">
        <f t="shared" si="703"/>
        <v>0</v>
      </c>
      <c r="DE506" s="424">
        <f t="shared" si="703"/>
        <v>0</v>
      </c>
      <c r="DF506" s="424">
        <f t="shared" si="703"/>
        <v>0</v>
      </c>
      <c r="DG506" s="424">
        <f t="shared" si="703"/>
        <v>0</v>
      </c>
      <c r="DH506" s="424">
        <f t="shared" si="703"/>
        <v>0</v>
      </c>
      <c r="DI506" s="424">
        <f t="shared" si="703"/>
        <v>0</v>
      </c>
      <c r="DJ506" s="424">
        <f t="shared" si="703"/>
        <v>0</v>
      </c>
      <c r="DK506" s="424">
        <f t="shared" si="703"/>
        <v>0</v>
      </c>
      <c r="DL506" s="424">
        <f t="shared" si="703"/>
        <v>0</v>
      </c>
      <c r="DM506" s="424">
        <f t="shared" si="703"/>
        <v>0</v>
      </c>
      <c r="DN506" s="424">
        <f t="shared" si="703"/>
        <v>0</v>
      </c>
      <c r="DO506" s="424">
        <f t="shared" si="703"/>
        <v>0</v>
      </c>
      <c r="DP506" s="424">
        <f t="shared" si="703"/>
        <v>0</v>
      </c>
      <c r="DQ506" s="424">
        <f t="shared" si="703"/>
        <v>0</v>
      </c>
      <c r="DR506" s="424">
        <f t="shared" si="703"/>
        <v>0</v>
      </c>
      <c r="DS506" s="424">
        <f t="shared" si="703"/>
        <v>0</v>
      </c>
      <c r="DT506" s="424">
        <f t="shared" si="703"/>
        <v>0</v>
      </c>
      <c r="DU506" s="424">
        <f t="shared" si="703"/>
        <v>0</v>
      </c>
      <c r="DV506" s="424">
        <f t="shared" si="703"/>
        <v>0</v>
      </c>
      <c r="DW506" s="424">
        <f t="shared" si="703"/>
        <v>0</v>
      </c>
      <c r="DX506" s="424">
        <f t="shared" si="703"/>
        <v>0</v>
      </c>
      <c r="DY506" s="424">
        <f t="shared" si="703"/>
        <v>0</v>
      </c>
      <c r="DZ506" s="424">
        <f t="shared" si="703"/>
        <v>0</v>
      </c>
      <c r="EA506" s="424">
        <f t="shared" si="703"/>
        <v>0</v>
      </c>
      <c r="EB506" s="424">
        <f t="shared" si="703"/>
        <v>0</v>
      </c>
      <c r="EC506" s="424">
        <f t="shared" si="703"/>
        <v>0</v>
      </c>
      <c r="ED506" s="424">
        <f t="shared" si="703"/>
        <v>0</v>
      </c>
      <c r="EE506" s="424">
        <f t="shared" si="703"/>
        <v>0</v>
      </c>
      <c r="EF506" s="424">
        <f t="shared" si="703"/>
        <v>0</v>
      </c>
      <c r="EG506" s="424">
        <f t="shared" si="703"/>
        <v>0</v>
      </c>
      <c r="EH506" s="424">
        <f t="shared" ref="EH506:EX506" si="704">EH136*EH$372</f>
        <v>0</v>
      </c>
      <c r="EI506" s="424">
        <f t="shared" si="704"/>
        <v>0</v>
      </c>
      <c r="EJ506" s="424">
        <f t="shared" si="704"/>
        <v>0</v>
      </c>
      <c r="EK506" s="424">
        <f t="shared" si="704"/>
        <v>0</v>
      </c>
      <c r="EL506" s="424">
        <f t="shared" si="704"/>
        <v>0</v>
      </c>
      <c r="EM506" s="424">
        <f t="shared" si="704"/>
        <v>0</v>
      </c>
      <c r="EN506" s="424">
        <f t="shared" si="704"/>
        <v>0</v>
      </c>
      <c r="EO506" s="424">
        <f t="shared" si="704"/>
        <v>0</v>
      </c>
      <c r="EP506" s="424">
        <f t="shared" si="704"/>
        <v>0</v>
      </c>
      <c r="EQ506" s="424">
        <f t="shared" si="704"/>
        <v>0</v>
      </c>
      <c r="ER506" s="424">
        <f t="shared" si="704"/>
        <v>0</v>
      </c>
      <c r="ES506" s="424">
        <f t="shared" si="704"/>
        <v>0</v>
      </c>
      <c r="ET506" s="424">
        <f t="shared" si="704"/>
        <v>0</v>
      </c>
      <c r="EU506" s="424">
        <f t="shared" si="704"/>
        <v>0</v>
      </c>
      <c r="EV506" s="424">
        <f t="shared" si="704"/>
        <v>0</v>
      </c>
      <c r="EW506" s="424">
        <f t="shared" si="704"/>
        <v>0</v>
      </c>
      <c r="EX506" s="424">
        <f t="shared" si="704"/>
        <v>0</v>
      </c>
      <c r="EY506" s="425">
        <f t="shared" si="699"/>
        <v>23.56</v>
      </c>
    </row>
    <row r="507" spans="1:166" s="628" customFormat="1" ht="14.7" customHeight="1" x14ac:dyDescent="0.25">
      <c r="A507" s="310">
        <v>133</v>
      </c>
      <c r="B507" s="311" t="str">
        <f t="shared" si="680"/>
        <v>Крупеник из гречневой крупы с маслом</v>
      </c>
      <c r="C507" s="483">
        <f t="shared" si="688"/>
        <v>18.940000000000001</v>
      </c>
      <c r="D507" s="888"/>
      <c r="E507" s="888"/>
      <c r="F507" s="888"/>
      <c r="G507" s="889"/>
      <c r="H507" s="680">
        <f t="shared" si="681"/>
        <v>184</v>
      </c>
      <c r="I507" s="1209">
        <f t="shared" si="682"/>
        <v>0</v>
      </c>
      <c r="J507" s="424">
        <f t="shared" ref="J507:AO507" si="705">J137*J$372</f>
        <v>0</v>
      </c>
      <c r="K507" s="424">
        <f t="shared" si="705"/>
        <v>0</v>
      </c>
      <c r="L507" s="424">
        <f t="shared" si="705"/>
        <v>0</v>
      </c>
      <c r="M507" s="424">
        <f t="shared" si="705"/>
        <v>0</v>
      </c>
      <c r="N507" s="424">
        <f t="shared" si="705"/>
        <v>0</v>
      </c>
      <c r="O507" s="424">
        <f t="shared" si="705"/>
        <v>0</v>
      </c>
      <c r="P507" s="424">
        <f t="shared" si="705"/>
        <v>0</v>
      </c>
      <c r="Q507" s="424">
        <f t="shared" si="705"/>
        <v>0</v>
      </c>
      <c r="R507" s="424">
        <f t="shared" si="705"/>
        <v>0</v>
      </c>
      <c r="S507" s="424">
        <f t="shared" si="705"/>
        <v>0</v>
      </c>
      <c r="T507" s="424">
        <f t="shared" si="705"/>
        <v>0</v>
      </c>
      <c r="U507" s="424">
        <f t="shared" si="705"/>
        <v>0</v>
      </c>
      <c r="V507" s="424">
        <f t="shared" si="705"/>
        <v>3.55</v>
      </c>
      <c r="W507" s="424">
        <f t="shared" si="705"/>
        <v>0</v>
      </c>
      <c r="X507" s="424">
        <f t="shared" si="705"/>
        <v>10.64</v>
      </c>
      <c r="Y507" s="424">
        <f t="shared" si="705"/>
        <v>0.47</v>
      </c>
      <c r="Z507" s="424">
        <f t="shared" si="705"/>
        <v>0</v>
      </c>
      <c r="AA507" s="424">
        <f t="shared" si="705"/>
        <v>0</v>
      </c>
      <c r="AB507" s="424">
        <f t="shared" si="705"/>
        <v>0</v>
      </c>
      <c r="AC507" s="424">
        <f t="shared" si="705"/>
        <v>0</v>
      </c>
      <c r="AD507" s="424">
        <f t="shared" si="705"/>
        <v>0</v>
      </c>
      <c r="AE507" s="424">
        <f t="shared" si="705"/>
        <v>0.3</v>
      </c>
      <c r="AF507" s="424">
        <f t="shared" si="705"/>
        <v>0</v>
      </c>
      <c r="AG507" s="424">
        <f t="shared" si="705"/>
        <v>0</v>
      </c>
      <c r="AH507" s="424">
        <f t="shared" si="705"/>
        <v>0</v>
      </c>
      <c r="AI507" s="424">
        <f t="shared" si="705"/>
        <v>0</v>
      </c>
      <c r="AJ507" s="424">
        <f t="shared" si="705"/>
        <v>0</v>
      </c>
      <c r="AK507" s="424">
        <f t="shared" si="705"/>
        <v>0</v>
      </c>
      <c r="AL507" s="424">
        <f t="shared" si="705"/>
        <v>0</v>
      </c>
      <c r="AM507" s="424">
        <f t="shared" si="705"/>
        <v>0</v>
      </c>
      <c r="AN507" s="424">
        <f t="shared" si="705"/>
        <v>0</v>
      </c>
      <c r="AO507" s="424">
        <f t="shared" si="705"/>
        <v>0</v>
      </c>
      <c r="AP507" s="424">
        <f t="shared" ref="AP507:BU507" si="706">AP137*AP$372</f>
        <v>0</v>
      </c>
      <c r="AQ507" s="424">
        <f t="shared" si="706"/>
        <v>0</v>
      </c>
      <c r="AR507" s="424">
        <f t="shared" si="706"/>
        <v>0</v>
      </c>
      <c r="AS507" s="424">
        <f t="shared" si="706"/>
        <v>0</v>
      </c>
      <c r="AT507" s="424">
        <f t="shared" si="706"/>
        <v>0</v>
      </c>
      <c r="AU507" s="424">
        <f t="shared" si="706"/>
        <v>0</v>
      </c>
      <c r="AV507" s="424">
        <f t="shared" si="706"/>
        <v>0</v>
      </c>
      <c r="AW507" s="424">
        <f t="shared" si="706"/>
        <v>0</v>
      </c>
      <c r="AX507" s="424">
        <f t="shared" si="706"/>
        <v>0</v>
      </c>
      <c r="AY507" s="424">
        <f t="shared" si="706"/>
        <v>0</v>
      </c>
      <c r="AZ507" s="424">
        <f t="shared" si="706"/>
        <v>0</v>
      </c>
      <c r="BA507" s="424">
        <f t="shared" si="706"/>
        <v>0</v>
      </c>
      <c r="BB507" s="424">
        <f t="shared" si="706"/>
        <v>0</v>
      </c>
      <c r="BC507" s="424">
        <f t="shared" si="706"/>
        <v>0</v>
      </c>
      <c r="BD507" s="424">
        <f t="shared" si="706"/>
        <v>0</v>
      </c>
      <c r="BE507" s="424">
        <f t="shared" si="706"/>
        <v>0</v>
      </c>
      <c r="BF507" s="424">
        <f t="shared" si="706"/>
        <v>0</v>
      </c>
      <c r="BG507" s="424">
        <f t="shared" si="706"/>
        <v>0</v>
      </c>
      <c r="BH507" s="424">
        <f t="shared" si="706"/>
        <v>0</v>
      </c>
      <c r="BI507" s="424">
        <f t="shared" si="706"/>
        <v>0</v>
      </c>
      <c r="BJ507" s="424">
        <f t="shared" si="706"/>
        <v>0</v>
      </c>
      <c r="BK507" s="424">
        <f t="shared" si="706"/>
        <v>0</v>
      </c>
      <c r="BL507" s="424">
        <f t="shared" si="706"/>
        <v>0</v>
      </c>
      <c r="BM507" s="424">
        <f t="shared" si="706"/>
        <v>0</v>
      </c>
      <c r="BN507" s="424">
        <f t="shared" si="706"/>
        <v>0</v>
      </c>
      <c r="BO507" s="424">
        <f t="shared" si="706"/>
        <v>0</v>
      </c>
      <c r="BP507" s="424">
        <f t="shared" si="706"/>
        <v>0</v>
      </c>
      <c r="BQ507" s="424">
        <f t="shared" si="706"/>
        <v>0</v>
      </c>
      <c r="BR507" s="424">
        <f t="shared" si="706"/>
        <v>0</v>
      </c>
      <c r="BS507" s="424">
        <f t="shared" si="706"/>
        <v>0</v>
      </c>
      <c r="BT507" s="424">
        <f t="shared" si="706"/>
        <v>3.2</v>
      </c>
      <c r="BU507" s="424">
        <f t="shared" si="706"/>
        <v>0</v>
      </c>
      <c r="BV507" s="424">
        <f t="shared" ref="BV507:DA507" si="707">BV137*BV$372</f>
        <v>0</v>
      </c>
      <c r="BW507" s="424">
        <f t="shared" si="707"/>
        <v>0</v>
      </c>
      <c r="BX507" s="424">
        <f t="shared" si="707"/>
        <v>0</v>
      </c>
      <c r="BY507" s="424">
        <f t="shared" si="707"/>
        <v>0</v>
      </c>
      <c r="BZ507" s="424">
        <f t="shared" si="707"/>
        <v>0</v>
      </c>
      <c r="CA507" s="424">
        <f t="shared" si="707"/>
        <v>0</v>
      </c>
      <c r="CB507" s="424">
        <f t="shared" si="707"/>
        <v>0</v>
      </c>
      <c r="CC507" s="424">
        <f t="shared" si="707"/>
        <v>0</v>
      </c>
      <c r="CD507" s="424">
        <f t="shared" si="707"/>
        <v>0</v>
      </c>
      <c r="CE507" s="424">
        <f t="shared" si="707"/>
        <v>0</v>
      </c>
      <c r="CF507" s="424">
        <f t="shared" si="707"/>
        <v>0.24</v>
      </c>
      <c r="CG507" s="424">
        <f t="shared" si="707"/>
        <v>0</v>
      </c>
      <c r="CH507" s="424">
        <f t="shared" si="707"/>
        <v>0</v>
      </c>
      <c r="CI507" s="424">
        <f t="shared" si="707"/>
        <v>0</v>
      </c>
      <c r="CJ507" s="424">
        <f t="shared" si="707"/>
        <v>0</v>
      </c>
      <c r="CK507" s="424">
        <f t="shared" si="707"/>
        <v>0</v>
      </c>
      <c r="CL507" s="424">
        <f t="shared" si="707"/>
        <v>0</v>
      </c>
      <c r="CM507" s="424">
        <f t="shared" si="707"/>
        <v>0</v>
      </c>
      <c r="CN507" s="424">
        <f t="shared" si="707"/>
        <v>0</v>
      </c>
      <c r="CO507" s="424">
        <f t="shared" si="707"/>
        <v>0</v>
      </c>
      <c r="CP507" s="424">
        <f t="shared" si="707"/>
        <v>0</v>
      </c>
      <c r="CQ507" s="424">
        <f t="shared" si="707"/>
        <v>0</v>
      </c>
      <c r="CR507" s="424">
        <f t="shared" si="707"/>
        <v>0</v>
      </c>
      <c r="CS507" s="424">
        <f t="shared" si="707"/>
        <v>0</v>
      </c>
      <c r="CT507" s="424">
        <f t="shared" si="707"/>
        <v>0</v>
      </c>
      <c r="CU507" s="424">
        <f t="shared" si="707"/>
        <v>0</v>
      </c>
      <c r="CV507" s="424">
        <f t="shared" si="707"/>
        <v>0</v>
      </c>
      <c r="CW507" s="424">
        <f t="shared" si="707"/>
        <v>0</v>
      </c>
      <c r="CX507" s="424">
        <f t="shared" si="707"/>
        <v>0</v>
      </c>
      <c r="CY507" s="424">
        <f t="shared" si="707"/>
        <v>0</v>
      </c>
      <c r="CZ507" s="424">
        <f t="shared" si="707"/>
        <v>0.3</v>
      </c>
      <c r="DA507" s="424">
        <f t="shared" si="707"/>
        <v>0</v>
      </c>
      <c r="DB507" s="424">
        <f t="shared" ref="DB507:EG507" si="708">DB137*DB$372</f>
        <v>0</v>
      </c>
      <c r="DC507" s="424">
        <f t="shared" si="708"/>
        <v>0</v>
      </c>
      <c r="DD507" s="424">
        <f t="shared" si="708"/>
        <v>0.24</v>
      </c>
      <c r="DE507" s="424">
        <f t="shared" si="708"/>
        <v>0</v>
      </c>
      <c r="DF507" s="424">
        <f t="shared" si="708"/>
        <v>0</v>
      </c>
      <c r="DG507" s="424">
        <f t="shared" si="708"/>
        <v>0</v>
      </c>
      <c r="DH507" s="424">
        <f t="shared" si="708"/>
        <v>0</v>
      </c>
      <c r="DI507" s="424">
        <f t="shared" si="708"/>
        <v>0</v>
      </c>
      <c r="DJ507" s="424">
        <f t="shared" si="708"/>
        <v>0</v>
      </c>
      <c r="DK507" s="424">
        <f t="shared" si="708"/>
        <v>0</v>
      </c>
      <c r="DL507" s="424">
        <f t="shared" si="708"/>
        <v>0</v>
      </c>
      <c r="DM507" s="424">
        <f t="shared" si="708"/>
        <v>0</v>
      </c>
      <c r="DN507" s="424">
        <f t="shared" si="708"/>
        <v>0</v>
      </c>
      <c r="DO507" s="424">
        <f t="shared" si="708"/>
        <v>0</v>
      </c>
      <c r="DP507" s="424">
        <f t="shared" si="708"/>
        <v>0</v>
      </c>
      <c r="DQ507" s="424">
        <f t="shared" si="708"/>
        <v>0</v>
      </c>
      <c r="DR507" s="424">
        <f t="shared" si="708"/>
        <v>0</v>
      </c>
      <c r="DS507" s="424">
        <f t="shared" si="708"/>
        <v>0</v>
      </c>
      <c r="DT507" s="424">
        <f t="shared" si="708"/>
        <v>0</v>
      </c>
      <c r="DU507" s="424">
        <f t="shared" si="708"/>
        <v>0</v>
      </c>
      <c r="DV507" s="424">
        <f t="shared" si="708"/>
        <v>0</v>
      </c>
      <c r="DW507" s="424">
        <f t="shared" si="708"/>
        <v>0</v>
      </c>
      <c r="DX507" s="424">
        <f t="shared" si="708"/>
        <v>0</v>
      </c>
      <c r="DY507" s="424">
        <f t="shared" si="708"/>
        <v>0</v>
      </c>
      <c r="DZ507" s="424">
        <f t="shared" si="708"/>
        <v>0</v>
      </c>
      <c r="EA507" s="424">
        <f t="shared" si="708"/>
        <v>0</v>
      </c>
      <c r="EB507" s="424">
        <f t="shared" si="708"/>
        <v>0</v>
      </c>
      <c r="EC507" s="424">
        <f t="shared" si="708"/>
        <v>0</v>
      </c>
      <c r="ED507" s="424">
        <f t="shared" si="708"/>
        <v>0</v>
      </c>
      <c r="EE507" s="424">
        <f t="shared" si="708"/>
        <v>0</v>
      </c>
      <c r="EF507" s="424">
        <f t="shared" si="708"/>
        <v>0</v>
      </c>
      <c r="EG507" s="424">
        <f t="shared" si="708"/>
        <v>0</v>
      </c>
      <c r="EH507" s="424">
        <f t="shared" ref="EH507:EX507" si="709">EH137*EH$372</f>
        <v>0</v>
      </c>
      <c r="EI507" s="424">
        <f t="shared" si="709"/>
        <v>0</v>
      </c>
      <c r="EJ507" s="424">
        <f t="shared" si="709"/>
        <v>0</v>
      </c>
      <c r="EK507" s="424">
        <f t="shared" si="709"/>
        <v>0</v>
      </c>
      <c r="EL507" s="424">
        <f t="shared" si="709"/>
        <v>0</v>
      </c>
      <c r="EM507" s="424">
        <f t="shared" si="709"/>
        <v>0</v>
      </c>
      <c r="EN507" s="424">
        <f t="shared" si="709"/>
        <v>0</v>
      </c>
      <c r="EO507" s="424">
        <f t="shared" si="709"/>
        <v>0</v>
      </c>
      <c r="EP507" s="424">
        <f t="shared" si="709"/>
        <v>0</v>
      </c>
      <c r="EQ507" s="424">
        <f t="shared" si="709"/>
        <v>0</v>
      </c>
      <c r="ER507" s="424">
        <f t="shared" si="709"/>
        <v>0</v>
      </c>
      <c r="ES507" s="424">
        <f t="shared" si="709"/>
        <v>0</v>
      </c>
      <c r="ET507" s="424">
        <f t="shared" si="709"/>
        <v>0</v>
      </c>
      <c r="EU507" s="424">
        <f t="shared" si="709"/>
        <v>0</v>
      </c>
      <c r="EV507" s="424">
        <f t="shared" si="709"/>
        <v>0</v>
      </c>
      <c r="EW507" s="424">
        <f t="shared" si="709"/>
        <v>0</v>
      </c>
      <c r="EX507" s="424">
        <f t="shared" si="709"/>
        <v>0</v>
      </c>
      <c r="EY507" s="425">
        <f t="shared" si="699"/>
        <v>18.940000000000001</v>
      </c>
      <c r="EZ507" s="616"/>
      <c r="FA507" s="616"/>
      <c r="FB507" s="616"/>
      <c r="FC507" s="616"/>
      <c r="FD507" s="616"/>
      <c r="FE507" s="616"/>
      <c r="FF507" s="616"/>
      <c r="FG507" s="616"/>
      <c r="FH507" s="616"/>
      <c r="FI507" s="616"/>
      <c r="FJ507" s="616"/>
    </row>
    <row r="508" spans="1:166" s="628" customFormat="1" ht="14.7" customHeight="1" x14ac:dyDescent="0.25">
      <c r="A508" s="310">
        <v>134</v>
      </c>
      <c r="B508" s="311" t="str">
        <f t="shared" si="680"/>
        <v>Крупеник из гречневой крупы с йогуртом</v>
      </c>
      <c r="C508" s="483">
        <f t="shared" si="688"/>
        <v>24.19</v>
      </c>
      <c r="D508" s="888"/>
      <c r="E508" s="888"/>
      <c r="F508" s="888"/>
      <c r="G508" s="889"/>
      <c r="H508" s="680">
        <f t="shared" si="681"/>
        <v>184</v>
      </c>
      <c r="I508" s="1209">
        <f t="shared" si="682"/>
        <v>0</v>
      </c>
      <c r="J508" s="424">
        <f t="shared" ref="J508:AO508" si="710">J138*J$372</f>
        <v>0</v>
      </c>
      <c r="K508" s="424">
        <f t="shared" si="710"/>
        <v>0</v>
      </c>
      <c r="L508" s="424">
        <f t="shared" si="710"/>
        <v>0</v>
      </c>
      <c r="M508" s="424">
        <f t="shared" si="710"/>
        <v>0</v>
      </c>
      <c r="N508" s="424">
        <f t="shared" si="710"/>
        <v>0</v>
      </c>
      <c r="O508" s="424">
        <f t="shared" si="710"/>
        <v>0</v>
      </c>
      <c r="P508" s="424">
        <f t="shared" si="710"/>
        <v>0</v>
      </c>
      <c r="Q508" s="424">
        <f t="shared" si="710"/>
        <v>0</v>
      </c>
      <c r="R508" s="424">
        <f t="shared" si="710"/>
        <v>0</v>
      </c>
      <c r="S508" s="424">
        <f t="shared" si="710"/>
        <v>0</v>
      </c>
      <c r="T508" s="424">
        <f t="shared" si="710"/>
        <v>0</v>
      </c>
      <c r="U508" s="424">
        <f t="shared" si="710"/>
        <v>0</v>
      </c>
      <c r="V508" s="424">
        <f t="shared" si="710"/>
        <v>0</v>
      </c>
      <c r="W508" s="424">
        <f t="shared" si="710"/>
        <v>0</v>
      </c>
      <c r="X508" s="424">
        <f t="shared" si="710"/>
        <v>10.64</v>
      </c>
      <c r="Y508" s="424">
        <f t="shared" si="710"/>
        <v>0.47</v>
      </c>
      <c r="Z508" s="424">
        <f t="shared" si="710"/>
        <v>0</v>
      </c>
      <c r="AA508" s="424">
        <f t="shared" si="710"/>
        <v>0</v>
      </c>
      <c r="AB508" s="424">
        <f t="shared" si="710"/>
        <v>0</v>
      </c>
      <c r="AC508" s="424">
        <f t="shared" si="710"/>
        <v>8.8000000000000007</v>
      </c>
      <c r="AD508" s="424">
        <f t="shared" si="710"/>
        <v>0</v>
      </c>
      <c r="AE508" s="424">
        <f t="shared" si="710"/>
        <v>0.3</v>
      </c>
      <c r="AF508" s="424">
        <f t="shared" si="710"/>
        <v>0</v>
      </c>
      <c r="AG508" s="424">
        <f t="shared" si="710"/>
        <v>0</v>
      </c>
      <c r="AH508" s="424">
        <f t="shared" si="710"/>
        <v>0</v>
      </c>
      <c r="AI508" s="424">
        <f t="shared" si="710"/>
        <v>0</v>
      </c>
      <c r="AJ508" s="424">
        <f t="shared" si="710"/>
        <v>0</v>
      </c>
      <c r="AK508" s="424">
        <f t="shared" si="710"/>
        <v>0</v>
      </c>
      <c r="AL508" s="424">
        <f t="shared" si="710"/>
        <v>0</v>
      </c>
      <c r="AM508" s="424">
        <f t="shared" si="710"/>
        <v>0</v>
      </c>
      <c r="AN508" s="424">
        <f t="shared" si="710"/>
        <v>0</v>
      </c>
      <c r="AO508" s="424">
        <f t="shared" si="710"/>
        <v>0</v>
      </c>
      <c r="AP508" s="424">
        <f t="shared" ref="AP508:BU508" si="711">AP138*AP$372</f>
        <v>0</v>
      </c>
      <c r="AQ508" s="424">
        <f t="shared" si="711"/>
        <v>0</v>
      </c>
      <c r="AR508" s="424">
        <f t="shared" si="711"/>
        <v>0</v>
      </c>
      <c r="AS508" s="424">
        <f t="shared" si="711"/>
        <v>0</v>
      </c>
      <c r="AT508" s="424">
        <f t="shared" si="711"/>
        <v>0</v>
      </c>
      <c r="AU508" s="424">
        <f t="shared" si="711"/>
        <v>0</v>
      </c>
      <c r="AV508" s="424">
        <f t="shared" si="711"/>
        <v>0</v>
      </c>
      <c r="AW508" s="424">
        <f t="shared" si="711"/>
        <v>0</v>
      </c>
      <c r="AX508" s="424">
        <f t="shared" si="711"/>
        <v>0</v>
      </c>
      <c r="AY508" s="424">
        <f t="shared" si="711"/>
        <v>0</v>
      </c>
      <c r="AZ508" s="424">
        <f t="shared" si="711"/>
        <v>0</v>
      </c>
      <c r="BA508" s="424">
        <f t="shared" si="711"/>
        <v>0</v>
      </c>
      <c r="BB508" s="424">
        <f t="shared" si="711"/>
        <v>0</v>
      </c>
      <c r="BC508" s="424">
        <f t="shared" si="711"/>
        <v>0</v>
      </c>
      <c r="BD508" s="424">
        <f t="shared" si="711"/>
        <v>0</v>
      </c>
      <c r="BE508" s="424">
        <f t="shared" si="711"/>
        <v>0</v>
      </c>
      <c r="BF508" s="424">
        <f t="shared" si="711"/>
        <v>0</v>
      </c>
      <c r="BG508" s="424">
        <f t="shared" si="711"/>
        <v>0</v>
      </c>
      <c r="BH508" s="424">
        <f t="shared" si="711"/>
        <v>0</v>
      </c>
      <c r="BI508" s="424">
        <f t="shared" si="711"/>
        <v>0</v>
      </c>
      <c r="BJ508" s="424">
        <f t="shared" si="711"/>
        <v>0</v>
      </c>
      <c r="BK508" s="424">
        <f t="shared" si="711"/>
        <v>0</v>
      </c>
      <c r="BL508" s="424">
        <f t="shared" si="711"/>
        <v>0</v>
      </c>
      <c r="BM508" s="424">
        <f t="shared" si="711"/>
        <v>0</v>
      </c>
      <c r="BN508" s="424">
        <f t="shared" si="711"/>
        <v>0</v>
      </c>
      <c r="BO508" s="424">
        <f t="shared" si="711"/>
        <v>0</v>
      </c>
      <c r="BP508" s="424">
        <f t="shared" si="711"/>
        <v>0</v>
      </c>
      <c r="BQ508" s="424">
        <f t="shared" si="711"/>
        <v>0</v>
      </c>
      <c r="BR508" s="424">
        <f t="shared" si="711"/>
        <v>0</v>
      </c>
      <c r="BS508" s="424">
        <f t="shared" si="711"/>
        <v>0</v>
      </c>
      <c r="BT508" s="424">
        <f t="shared" si="711"/>
        <v>3.2</v>
      </c>
      <c r="BU508" s="424">
        <f t="shared" si="711"/>
        <v>0</v>
      </c>
      <c r="BV508" s="424">
        <f t="shared" ref="BV508:DA508" si="712">BV138*BV$372</f>
        <v>0</v>
      </c>
      <c r="BW508" s="424">
        <f t="shared" si="712"/>
        <v>0</v>
      </c>
      <c r="BX508" s="424">
        <f t="shared" si="712"/>
        <v>0</v>
      </c>
      <c r="BY508" s="424">
        <f t="shared" si="712"/>
        <v>0</v>
      </c>
      <c r="BZ508" s="424">
        <f t="shared" si="712"/>
        <v>0</v>
      </c>
      <c r="CA508" s="424">
        <f t="shared" si="712"/>
        <v>0</v>
      </c>
      <c r="CB508" s="424">
        <f t="shared" si="712"/>
        <v>0</v>
      </c>
      <c r="CC508" s="424">
        <f t="shared" si="712"/>
        <v>0</v>
      </c>
      <c r="CD508" s="424">
        <f t="shared" si="712"/>
        <v>0</v>
      </c>
      <c r="CE508" s="424">
        <f t="shared" si="712"/>
        <v>0</v>
      </c>
      <c r="CF508" s="424">
        <f t="shared" si="712"/>
        <v>0.24</v>
      </c>
      <c r="CG508" s="424">
        <f t="shared" si="712"/>
        <v>0</v>
      </c>
      <c r="CH508" s="424">
        <f t="shared" si="712"/>
        <v>0</v>
      </c>
      <c r="CI508" s="424">
        <f t="shared" si="712"/>
        <v>0</v>
      </c>
      <c r="CJ508" s="424">
        <f t="shared" si="712"/>
        <v>0</v>
      </c>
      <c r="CK508" s="424">
        <f t="shared" si="712"/>
        <v>0</v>
      </c>
      <c r="CL508" s="424">
        <f t="shared" si="712"/>
        <v>0</v>
      </c>
      <c r="CM508" s="424">
        <f t="shared" si="712"/>
        <v>0</v>
      </c>
      <c r="CN508" s="424">
        <f t="shared" si="712"/>
        <v>0</v>
      </c>
      <c r="CO508" s="424">
        <f t="shared" si="712"/>
        <v>0</v>
      </c>
      <c r="CP508" s="424">
        <f t="shared" si="712"/>
        <v>0</v>
      </c>
      <c r="CQ508" s="424">
        <f t="shared" si="712"/>
        <v>0</v>
      </c>
      <c r="CR508" s="424">
        <f t="shared" si="712"/>
        <v>0</v>
      </c>
      <c r="CS508" s="424">
        <f t="shared" si="712"/>
        <v>0</v>
      </c>
      <c r="CT508" s="424">
        <f t="shared" si="712"/>
        <v>0</v>
      </c>
      <c r="CU508" s="424">
        <f t="shared" si="712"/>
        <v>0</v>
      </c>
      <c r="CV508" s="424">
        <f t="shared" si="712"/>
        <v>0</v>
      </c>
      <c r="CW508" s="424">
        <f t="shared" si="712"/>
        <v>0</v>
      </c>
      <c r="CX508" s="424">
        <f t="shared" si="712"/>
        <v>0</v>
      </c>
      <c r="CY508" s="424">
        <f t="shared" si="712"/>
        <v>0</v>
      </c>
      <c r="CZ508" s="424">
        <f t="shared" si="712"/>
        <v>0.3</v>
      </c>
      <c r="DA508" s="424">
        <f t="shared" si="712"/>
        <v>0</v>
      </c>
      <c r="DB508" s="424">
        <f t="shared" ref="DB508:EG508" si="713">DB138*DB$372</f>
        <v>0</v>
      </c>
      <c r="DC508" s="424">
        <f t="shared" si="713"/>
        <v>0</v>
      </c>
      <c r="DD508" s="424">
        <f t="shared" si="713"/>
        <v>0.24</v>
      </c>
      <c r="DE508" s="424">
        <f t="shared" si="713"/>
        <v>0</v>
      </c>
      <c r="DF508" s="424">
        <f t="shared" si="713"/>
        <v>0</v>
      </c>
      <c r="DG508" s="424">
        <f t="shared" si="713"/>
        <v>0</v>
      </c>
      <c r="DH508" s="424">
        <f t="shared" si="713"/>
        <v>0</v>
      </c>
      <c r="DI508" s="424">
        <f t="shared" si="713"/>
        <v>0</v>
      </c>
      <c r="DJ508" s="424">
        <f t="shared" si="713"/>
        <v>0</v>
      </c>
      <c r="DK508" s="424">
        <f t="shared" si="713"/>
        <v>0</v>
      </c>
      <c r="DL508" s="424">
        <f t="shared" si="713"/>
        <v>0</v>
      </c>
      <c r="DM508" s="424">
        <f t="shared" si="713"/>
        <v>0</v>
      </c>
      <c r="DN508" s="424">
        <f t="shared" si="713"/>
        <v>0</v>
      </c>
      <c r="DO508" s="424">
        <f t="shared" si="713"/>
        <v>0</v>
      </c>
      <c r="DP508" s="424">
        <f t="shared" si="713"/>
        <v>0</v>
      </c>
      <c r="DQ508" s="424">
        <f t="shared" si="713"/>
        <v>0</v>
      </c>
      <c r="DR508" s="424">
        <f t="shared" si="713"/>
        <v>0</v>
      </c>
      <c r="DS508" s="424">
        <f t="shared" si="713"/>
        <v>0</v>
      </c>
      <c r="DT508" s="424">
        <f t="shared" si="713"/>
        <v>0</v>
      </c>
      <c r="DU508" s="424">
        <f t="shared" si="713"/>
        <v>0</v>
      </c>
      <c r="DV508" s="424">
        <f t="shared" si="713"/>
        <v>0</v>
      </c>
      <c r="DW508" s="424">
        <f t="shared" si="713"/>
        <v>0</v>
      </c>
      <c r="DX508" s="424">
        <f t="shared" si="713"/>
        <v>0</v>
      </c>
      <c r="DY508" s="424">
        <f t="shared" si="713"/>
        <v>0</v>
      </c>
      <c r="DZ508" s="424">
        <f t="shared" si="713"/>
        <v>0</v>
      </c>
      <c r="EA508" s="424">
        <f t="shared" si="713"/>
        <v>0</v>
      </c>
      <c r="EB508" s="424">
        <f t="shared" si="713"/>
        <v>0</v>
      </c>
      <c r="EC508" s="424">
        <f t="shared" si="713"/>
        <v>0</v>
      </c>
      <c r="ED508" s="424">
        <f t="shared" si="713"/>
        <v>0</v>
      </c>
      <c r="EE508" s="424">
        <f t="shared" si="713"/>
        <v>0</v>
      </c>
      <c r="EF508" s="424">
        <f t="shared" si="713"/>
        <v>0</v>
      </c>
      <c r="EG508" s="424">
        <f t="shared" si="713"/>
        <v>0</v>
      </c>
      <c r="EH508" s="424">
        <f t="shared" ref="EH508:EX508" si="714">EH138*EH$372</f>
        <v>0</v>
      </c>
      <c r="EI508" s="424">
        <f t="shared" si="714"/>
        <v>0</v>
      </c>
      <c r="EJ508" s="424">
        <f t="shared" si="714"/>
        <v>0</v>
      </c>
      <c r="EK508" s="424">
        <f t="shared" si="714"/>
        <v>0</v>
      </c>
      <c r="EL508" s="424">
        <f t="shared" si="714"/>
        <v>0</v>
      </c>
      <c r="EM508" s="424">
        <f t="shared" si="714"/>
        <v>0</v>
      </c>
      <c r="EN508" s="424">
        <f t="shared" si="714"/>
        <v>0</v>
      </c>
      <c r="EO508" s="424">
        <f t="shared" si="714"/>
        <v>0</v>
      </c>
      <c r="EP508" s="424">
        <f t="shared" si="714"/>
        <v>0</v>
      </c>
      <c r="EQ508" s="424">
        <f t="shared" si="714"/>
        <v>0</v>
      </c>
      <c r="ER508" s="424">
        <f t="shared" si="714"/>
        <v>0</v>
      </c>
      <c r="ES508" s="424">
        <f t="shared" si="714"/>
        <v>0</v>
      </c>
      <c r="ET508" s="424">
        <f t="shared" si="714"/>
        <v>0</v>
      </c>
      <c r="EU508" s="424">
        <f t="shared" si="714"/>
        <v>0</v>
      </c>
      <c r="EV508" s="424">
        <f t="shared" si="714"/>
        <v>0</v>
      </c>
      <c r="EW508" s="424">
        <f t="shared" si="714"/>
        <v>0</v>
      </c>
      <c r="EX508" s="424">
        <f t="shared" si="714"/>
        <v>0</v>
      </c>
      <c r="EY508" s="425">
        <f t="shared" si="699"/>
        <v>24.19</v>
      </c>
      <c r="EZ508" s="616"/>
      <c r="FA508" s="616"/>
      <c r="FB508" s="616"/>
      <c r="FC508" s="616"/>
      <c r="FD508" s="616"/>
      <c r="FE508" s="616"/>
      <c r="FF508" s="616"/>
      <c r="FG508" s="616"/>
      <c r="FH508" s="616"/>
      <c r="FI508" s="616"/>
      <c r="FJ508" s="616"/>
    </row>
    <row r="509" spans="1:166" s="628" customFormat="1" ht="14.7" customHeight="1" x14ac:dyDescent="0.25">
      <c r="A509" s="310">
        <v>135</v>
      </c>
      <c r="B509" s="311" t="str">
        <f t="shared" si="680"/>
        <v>Крупеник из пшеничной крупы с маслом</v>
      </c>
      <c r="C509" s="483">
        <f t="shared" si="688"/>
        <v>16.690000000000001</v>
      </c>
      <c r="D509" s="888"/>
      <c r="E509" s="888"/>
      <c r="F509" s="888"/>
      <c r="G509" s="889"/>
      <c r="H509" s="680">
        <f t="shared" si="681"/>
        <v>184</v>
      </c>
      <c r="I509" s="1209">
        <f t="shared" si="682"/>
        <v>0</v>
      </c>
      <c r="J509" s="424">
        <f t="shared" ref="J509:AO509" si="715">J139*J$372</f>
        <v>0</v>
      </c>
      <c r="K509" s="424">
        <f t="shared" si="715"/>
        <v>0</v>
      </c>
      <c r="L509" s="424">
        <f t="shared" si="715"/>
        <v>0</v>
      </c>
      <c r="M509" s="424">
        <f t="shared" si="715"/>
        <v>0</v>
      </c>
      <c r="N509" s="424">
        <f t="shared" si="715"/>
        <v>0</v>
      </c>
      <c r="O509" s="424">
        <f t="shared" si="715"/>
        <v>0</v>
      </c>
      <c r="P509" s="424">
        <f t="shared" si="715"/>
        <v>0</v>
      </c>
      <c r="Q509" s="424">
        <f t="shared" si="715"/>
        <v>0</v>
      </c>
      <c r="R509" s="424">
        <f t="shared" si="715"/>
        <v>0</v>
      </c>
      <c r="S509" s="424">
        <f t="shared" si="715"/>
        <v>0</v>
      </c>
      <c r="T509" s="424">
        <f t="shared" si="715"/>
        <v>0</v>
      </c>
      <c r="U509" s="424">
        <f t="shared" si="715"/>
        <v>0</v>
      </c>
      <c r="V509" s="424">
        <f t="shared" si="715"/>
        <v>3.55</v>
      </c>
      <c r="W509" s="424">
        <f t="shared" si="715"/>
        <v>0</v>
      </c>
      <c r="X509" s="424">
        <f t="shared" si="715"/>
        <v>10.64</v>
      </c>
      <c r="Y509" s="424">
        <f t="shared" si="715"/>
        <v>0.47</v>
      </c>
      <c r="Z509" s="424">
        <f t="shared" si="715"/>
        <v>0</v>
      </c>
      <c r="AA509" s="424">
        <f t="shared" si="715"/>
        <v>0</v>
      </c>
      <c r="AB509" s="424">
        <f t="shared" si="715"/>
        <v>0</v>
      </c>
      <c r="AC509" s="424">
        <f t="shared" si="715"/>
        <v>0</v>
      </c>
      <c r="AD509" s="424">
        <f t="shared" si="715"/>
        <v>0</v>
      </c>
      <c r="AE509" s="424">
        <f t="shared" si="715"/>
        <v>0.3</v>
      </c>
      <c r="AF509" s="424">
        <f t="shared" si="715"/>
        <v>0</v>
      </c>
      <c r="AG509" s="424">
        <f t="shared" si="715"/>
        <v>0</v>
      </c>
      <c r="AH509" s="424">
        <f t="shared" si="715"/>
        <v>0</v>
      </c>
      <c r="AI509" s="424">
        <f t="shared" si="715"/>
        <v>0</v>
      </c>
      <c r="AJ509" s="424">
        <f t="shared" si="715"/>
        <v>0</v>
      </c>
      <c r="AK509" s="424">
        <f t="shared" si="715"/>
        <v>0</v>
      </c>
      <c r="AL509" s="424">
        <f t="shared" si="715"/>
        <v>0</v>
      </c>
      <c r="AM509" s="424">
        <f t="shared" si="715"/>
        <v>0</v>
      </c>
      <c r="AN509" s="424">
        <f t="shared" si="715"/>
        <v>0</v>
      </c>
      <c r="AO509" s="424">
        <f t="shared" si="715"/>
        <v>0</v>
      </c>
      <c r="AP509" s="424">
        <f t="shared" ref="AP509:BU509" si="716">AP139*AP$372</f>
        <v>0</v>
      </c>
      <c r="AQ509" s="424">
        <f t="shared" si="716"/>
        <v>0</v>
      </c>
      <c r="AR509" s="424">
        <f t="shared" si="716"/>
        <v>0</v>
      </c>
      <c r="AS509" s="424">
        <f t="shared" si="716"/>
        <v>0</v>
      </c>
      <c r="AT509" s="424">
        <f t="shared" si="716"/>
        <v>0</v>
      </c>
      <c r="AU509" s="424">
        <f t="shared" si="716"/>
        <v>0</v>
      </c>
      <c r="AV509" s="424">
        <f t="shared" si="716"/>
        <v>0</v>
      </c>
      <c r="AW509" s="424">
        <f t="shared" si="716"/>
        <v>0</v>
      </c>
      <c r="AX509" s="424">
        <f t="shared" si="716"/>
        <v>0</v>
      </c>
      <c r="AY509" s="424">
        <f t="shared" si="716"/>
        <v>0</v>
      </c>
      <c r="AZ509" s="424">
        <f t="shared" si="716"/>
        <v>0</v>
      </c>
      <c r="BA509" s="424">
        <f t="shared" si="716"/>
        <v>0</v>
      </c>
      <c r="BB509" s="424">
        <f t="shared" si="716"/>
        <v>0</v>
      </c>
      <c r="BC509" s="424">
        <f t="shared" si="716"/>
        <v>0</v>
      </c>
      <c r="BD509" s="424">
        <f t="shared" si="716"/>
        <v>0</v>
      </c>
      <c r="BE509" s="424">
        <f t="shared" si="716"/>
        <v>0</v>
      </c>
      <c r="BF509" s="424">
        <f t="shared" si="716"/>
        <v>0</v>
      </c>
      <c r="BG509" s="424">
        <f t="shared" si="716"/>
        <v>0</v>
      </c>
      <c r="BH509" s="424">
        <f t="shared" si="716"/>
        <v>0</v>
      </c>
      <c r="BI509" s="424">
        <f t="shared" si="716"/>
        <v>0</v>
      </c>
      <c r="BJ509" s="424">
        <f t="shared" si="716"/>
        <v>0</v>
      </c>
      <c r="BK509" s="424">
        <f t="shared" si="716"/>
        <v>0</v>
      </c>
      <c r="BL509" s="424">
        <f t="shared" si="716"/>
        <v>0</v>
      </c>
      <c r="BM509" s="424">
        <f t="shared" si="716"/>
        <v>0</v>
      </c>
      <c r="BN509" s="424">
        <f t="shared" si="716"/>
        <v>0</v>
      </c>
      <c r="BO509" s="424">
        <f t="shared" si="716"/>
        <v>0</v>
      </c>
      <c r="BP509" s="424">
        <f t="shared" si="716"/>
        <v>0</v>
      </c>
      <c r="BQ509" s="424">
        <f t="shared" si="716"/>
        <v>0</v>
      </c>
      <c r="BR509" s="424">
        <f t="shared" si="716"/>
        <v>0</v>
      </c>
      <c r="BS509" s="424">
        <f t="shared" si="716"/>
        <v>0</v>
      </c>
      <c r="BT509" s="424">
        <f t="shared" si="716"/>
        <v>0</v>
      </c>
      <c r="BU509" s="424">
        <f t="shared" si="716"/>
        <v>0</v>
      </c>
      <c r="BV509" s="424">
        <f t="shared" ref="BV509:DA509" si="717">BV139*BV$372</f>
        <v>0</v>
      </c>
      <c r="BW509" s="424">
        <f t="shared" si="717"/>
        <v>0</v>
      </c>
      <c r="BX509" s="424">
        <f t="shared" si="717"/>
        <v>0</v>
      </c>
      <c r="BY509" s="424">
        <f t="shared" si="717"/>
        <v>0.95</v>
      </c>
      <c r="BZ509" s="424">
        <f t="shared" si="717"/>
        <v>0</v>
      </c>
      <c r="CA509" s="424">
        <f t="shared" si="717"/>
        <v>0</v>
      </c>
      <c r="CB509" s="424">
        <f t="shared" si="717"/>
        <v>0</v>
      </c>
      <c r="CC509" s="424">
        <f t="shared" si="717"/>
        <v>0</v>
      </c>
      <c r="CD509" s="424">
        <f t="shared" si="717"/>
        <v>0</v>
      </c>
      <c r="CE509" s="424">
        <f t="shared" si="717"/>
        <v>0</v>
      </c>
      <c r="CF509" s="424">
        <f t="shared" si="717"/>
        <v>0.24</v>
      </c>
      <c r="CG509" s="424">
        <f t="shared" si="717"/>
        <v>0</v>
      </c>
      <c r="CH509" s="424">
        <f t="shared" si="717"/>
        <v>0</v>
      </c>
      <c r="CI509" s="424">
        <f t="shared" si="717"/>
        <v>0</v>
      </c>
      <c r="CJ509" s="424">
        <f t="shared" si="717"/>
        <v>0</v>
      </c>
      <c r="CK509" s="424">
        <f t="shared" si="717"/>
        <v>0</v>
      </c>
      <c r="CL509" s="424">
        <f t="shared" si="717"/>
        <v>0</v>
      </c>
      <c r="CM509" s="424">
        <f t="shared" si="717"/>
        <v>0</v>
      </c>
      <c r="CN509" s="424">
        <f t="shared" si="717"/>
        <v>0</v>
      </c>
      <c r="CO509" s="424">
        <f t="shared" si="717"/>
        <v>0</v>
      </c>
      <c r="CP509" s="424">
        <f t="shared" si="717"/>
        <v>0</v>
      </c>
      <c r="CQ509" s="424">
        <f t="shared" si="717"/>
        <v>0</v>
      </c>
      <c r="CR509" s="424">
        <f t="shared" si="717"/>
        <v>0</v>
      </c>
      <c r="CS509" s="424">
        <f t="shared" si="717"/>
        <v>0</v>
      </c>
      <c r="CT509" s="424">
        <f t="shared" si="717"/>
        <v>0</v>
      </c>
      <c r="CU509" s="424">
        <f t="shared" si="717"/>
        <v>0</v>
      </c>
      <c r="CV509" s="424">
        <f t="shared" si="717"/>
        <v>0</v>
      </c>
      <c r="CW509" s="424">
        <f t="shared" si="717"/>
        <v>0</v>
      </c>
      <c r="CX509" s="424">
        <f t="shared" si="717"/>
        <v>0</v>
      </c>
      <c r="CY509" s="424">
        <f t="shared" si="717"/>
        <v>0</v>
      </c>
      <c r="CZ509" s="424">
        <f t="shared" si="717"/>
        <v>0.3</v>
      </c>
      <c r="DA509" s="424">
        <f t="shared" si="717"/>
        <v>0</v>
      </c>
      <c r="DB509" s="424">
        <f t="shared" ref="DB509:EG509" si="718">DB139*DB$372</f>
        <v>0</v>
      </c>
      <c r="DC509" s="424">
        <f t="shared" si="718"/>
        <v>0</v>
      </c>
      <c r="DD509" s="424">
        <f t="shared" si="718"/>
        <v>0.24</v>
      </c>
      <c r="DE509" s="424">
        <f t="shared" si="718"/>
        <v>0</v>
      </c>
      <c r="DF509" s="424">
        <f t="shared" si="718"/>
        <v>0</v>
      </c>
      <c r="DG509" s="424">
        <f t="shared" si="718"/>
        <v>0</v>
      </c>
      <c r="DH509" s="424">
        <f t="shared" si="718"/>
        <v>0</v>
      </c>
      <c r="DI509" s="424">
        <f t="shared" si="718"/>
        <v>0</v>
      </c>
      <c r="DJ509" s="424">
        <f t="shared" si="718"/>
        <v>0</v>
      </c>
      <c r="DK509" s="424">
        <f t="shared" si="718"/>
        <v>0</v>
      </c>
      <c r="DL509" s="424">
        <f t="shared" si="718"/>
        <v>0</v>
      </c>
      <c r="DM509" s="424">
        <f t="shared" si="718"/>
        <v>0</v>
      </c>
      <c r="DN509" s="424">
        <f t="shared" si="718"/>
        <v>0</v>
      </c>
      <c r="DO509" s="424">
        <f t="shared" si="718"/>
        <v>0</v>
      </c>
      <c r="DP509" s="424">
        <f t="shared" si="718"/>
        <v>0</v>
      </c>
      <c r="DQ509" s="424">
        <f t="shared" si="718"/>
        <v>0</v>
      </c>
      <c r="DR509" s="424">
        <f t="shared" si="718"/>
        <v>0</v>
      </c>
      <c r="DS509" s="424">
        <f t="shared" si="718"/>
        <v>0</v>
      </c>
      <c r="DT509" s="424">
        <f t="shared" si="718"/>
        <v>0</v>
      </c>
      <c r="DU509" s="424">
        <f t="shared" si="718"/>
        <v>0</v>
      </c>
      <c r="DV509" s="424">
        <f t="shared" si="718"/>
        <v>0</v>
      </c>
      <c r="DW509" s="424">
        <f t="shared" si="718"/>
        <v>0</v>
      </c>
      <c r="DX509" s="424">
        <f t="shared" si="718"/>
        <v>0</v>
      </c>
      <c r="DY509" s="424">
        <f t="shared" si="718"/>
        <v>0</v>
      </c>
      <c r="DZ509" s="424">
        <f t="shared" si="718"/>
        <v>0</v>
      </c>
      <c r="EA509" s="424">
        <f t="shared" si="718"/>
        <v>0</v>
      </c>
      <c r="EB509" s="424">
        <f t="shared" si="718"/>
        <v>0</v>
      </c>
      <c r="EC509" s="424">
        <f t="shared" si="718"/>
        <v>0</v>
      </c>
      <c r="ED509" s="424">
        <f t="shared" si="718"/>
        <v>0</v>
      </c>
      <c r="EE509" s="424">
        <f t="shared" si="718"/>
        <v>0</v>
      </c>
      <c r="EF509" s="424">
        <f t="shared" si="718"/>
        <v>0</v>
      </c>
      <c r="EG509" s="424">
        <f t="shared" si="718"/>
        <v>0</v>
      </c>
      <c r="EH509" s="424">
        <f t="shared" ref="EH509:EX509" si="719">EH139*EH$372</f>
        <v>0</v>
      </c>
      <c r="EI509" s="424">
        <f t="shared" si="719"/>
        <v>0</v>
      </c>
      <c r="EJ509" s="424">
        <f t="shared" si="719"/>
        <v>0</v>
      </c>
      <c r="EK509" s="424">
        <f t="shared" si="719"/>
        <v>0</v>
      </c>
      <c r="EL509" s="424">
        <f t="shared" si="719"/>
        <v>0</v>
      </c>
      <c r="EM509" s="424">
        <f t="shared" si="719"/>
        <v>0</v>
      </c>
      <c r="EN509" s="424">
        <f t="shared" si="719"/>
        <v>0</v>
      </c>
      <c r="EO509" s="424">
        <f t="shared" si="719"/>
        <v>0</v>
      </c>
      <c r="EP509" s="424">
        <f t="shared" si="719"/>
        <v>0</v>
      </c>
      <c r="EQ509" s="424">
        <f t="shared" si="719"/>
        <v>0</v>
      </c>
      <c r="ER509" s="424">
        <f t="shared" si="719"/>
        <v>0</v>
      </c>
      <c r="ES509" s="424">
        <f t="shared" si="719"/>
        <v>0</v>
      </c>
      <c r="ET509" s="424">
        <f t="shared" si="719"/>
        <v>0</v>
      </c>
      <c r="EU509" s="424">
        <f t="shared" si="719"/>
        <v>0</v>
      </c>
      <c r="EV509" s="424">
        <f t="shared" si="719"/>
        <v>0</v>
      </c>
      <c r="EW509" s="424">
        <f t="shared" si="719"/>
        <v>0</v>
      </c>
      <c r="EX509" s="424">
        <f t="shared" si="719"/>
        <v>0</v>
      </c>
      <c r="EY509" s="425">
        <f t="shared" si="699"/>
        <v>16.690000000000001</v>
      </c>
      <c r="EZ509" s="616"/>
      <c r="FA509" s="616"/>
      <c r="FB509" s="616"/>
      <c r="FC509" s="616"/>
      <c r="FD509" s="616"/>
      <c r="FE509" s="616"/>
      <c r="FF509" s="616"/>
      <c r="FG509" s="616"/>
      <c r="FH509" s="616"/>
      <c r="FI509" s="616"/>
      <c r="FJ509" s="616"/>
    </row>
    <row r="510" spans="1:166" s="628" customFormat="1" ht="14.7" customHeight="1" x14ac:dyDescent="0.25">
      <c r="A510" s="310">
        <v>136</v>
      </c>
      <c r="B510" s="311" t="str">
        <f t="shared" si="680"/>
        <v>Крупеник из пшеничной крупы с йогуртом</v>
      </c>
      <c r="C510" s="483">
        <f t="shared" si="688"/>
        <v>21.94</v>
      </c>
      <c r="D510" s="888"/>
      <c r="E510" s="888"/>
      <c r="F510" s="888"/>
      <c r="G510" s="889"/>
      <c r="H510" s="680">
        <f t="shared" si="681"/>
        <v>184</v>
      </c>
      <c r="I510" s="1209">
        <f t="shared" si="682"/>
        <v>0</v>
      </c>
      <c r="J510" s="424">
        <f t="shared" ref="J510:AO510" si="720">J140*J$372</f>
        <v>0</v>
      </c>
      <c r="K510" s="424">
        <f t="shared" si="720"/>
        <v>0</v>
      </c>
      <c r="L510" s="424">
        <f t="shared" si="720"/>
        <v>0</v>
      </c>
      <c r="M510" s="424">
        <f t="shared" si="720"/>
        <v>0</v>
      </c>
      <c r="N510" s="424">
        <f t="shared" si="720"/>
        <v>0</v>
      </c>
      <c r="O510" s="424">
        <f t="shared" si="720"/>
        <v>0</v>
      </c>
      <c r="P510" s="424">
        <f t="shared" si="720"/>
        <v>0</v>
      </c>
      <c r="Q510" s="424">
        <f t="shared" si="720"/>
        <v>0</v>
      </c>
      <c r="R510" s="424">
        <f t="shared" si="720"/>
        <v>0</v>
      </c>
      <c r="S510" s="424">
        <f t="shared" si="720"/>
        <v>0</v>
      </c>
      <c r="T510" s="424">
        <f t="shared" si="720"/>
        <v>0</v>
      </c>
      <c r="U510" s="424">
        <f t="shared" si="720"/>
        <v>0</v>
      </c>
      <c r="V510" s="424">
        <f t="shared" si="720"/>
        <v>0</v>
      </c>
      <c r="W510" s="424">
        <f t="shared" si="720"/>
        <v>0</v>
      </c>
      <c r="X510" s="424">
        <f t="shared" si="720"/>
        <v>10.64</v>
      </c>
      <c r="Y510" s="424">
        <f t="shared" si="720"/>
        <v>0.47</v>
      </c>
      <c r="Z510" s="424">
        <f t="shared" si="720"/>
        <v>0</v>
      </c>
      <c r="AA510" s="424">
        <f t="shared" si="720"/>
        <v>0</v>
      </c>
      <c r="AB510" s="424">
        <f t="shared" si="720"/>
        <v>0</v>
      </c>
      <c r="AC510" s="424">
        <f t="shared" si="720"/>
        <v>8.8000000000000007</v>
      </c>
      <c r="AD510" s="424">
        <f t="shared" si="720"/>
        <v>0</v>
      </c>
      <c r="AE510" s="424">
        <f t="shared" si="720"/>
        <v>0.3</v>
      </c>
      <c r="AF510" s="424">
        <f t="shared" si="720"/>
        <v>0</v>
      </c>
      <c r="AG510" s="424">
        <f t="shared" si="720"/>
        <v>0</v>
      </c>
      <c r="AH510" s="424">
        <f t="shared" si="720"/>
        <v>0</v>
      </c>
      <c r="AI510" s="424">
        <f t="shared" si="720"/>
        <v>0</v>
      </c>
      <c r="AJ510" s="424">
        <f t="shared" si="720"/>
        <v>0</v>
      </c>
      <c r="AK510" s="424">
        <f t="shared" si="720"/>
        <v>0</v>
      </c>
      <c r="AL510" s="424">
        <f t="shared" si="720"/>
        <v>0</v>
      </c>
      <c r="AM510" s="424">
        <f t="shared" si="720"/>
        <v>0</v>
      </c>
      <c r="AN510" s="424">
        <f t="shared" si="720"/>
        <v>0</v>
      </c>
      <c r="AO510" s="424">
        <f t="shared" si="720"/>
        <v>0</v>
      </c>
      <c r="AP510" s="424">
        <f t="shared" ref="AP510:BU510" si="721">AP140*AP$372</f>
        <v>0</v>
      </c>
      <c r="AQ510" s="424">
        <f t="shared" si="721"/>
        <v>0</v>
      </c>
      <c r="AR510" s="424">
        <f t="shared" si="721"/>
        <v>0</v>
      </c>
      <c r="AS510" s="424">
        <f t="shared" si="721"/>
        <v>0</v>
      </c>
      <c r="AT510" s="424">
        <f t="shared" si="721"/>
        <v>0</v>
      </c>
      <c r="AU510" s="424">
        <f t="shared" si="721"/>
        <v>0</v>
      </c>
      <c r="AV510" s="424">
        <f t="shared" si="721"/>
        <v>0</v>
      </c>
      <c r="AW510" s="424">
        <f t="shared" si="721"/>
        <v>0</v>
      </c>
      <c r="AX510" s="424">
        <f t="shared" si="721"/>
        <v>0</v>
      </c>
      <c r="AY510" s="424">
        <f t="shared" si="721"/>
        <v>0</v>
      </c>
      <c r="AZ510" s="424">
        <f t="shared" si="721"/>
        <v>0</v>
      </c>
      <c r="BA510" s="424">
        <f t="shared" si="721"/>
        <v>0</v>
      </c>
      <c r="BB510" s="424">
        <f t="shared" si="721"/>
        <v>0</v>
      </c>
      <c r="BC510" s="424">
        <f t="shared" si="721"/>
        <v>0</v>
      </c>
      <c r="BD510" s="424">
        <f t="shared" si="721"/>
        <v>0</v>
      </c>
      <c r="BE510" s="424">
        <f t="shared" si="721"/>
        <v>0</v>
      </c>
      <c r="BF510" s="424">
        <f t="shared" si="721"/>
        <v>0</v>
      </c>
      <c r="BG510" s="424">
        <f t="shared" si="721"/>
        <v>0</v>
      </c>
      <c r="BH510" s="424">
        <f t="shared" si="721"/>
        <v>0</v>
      </c>
      <c r="BI510" s="424">
        <f t="shared" si="721"/>
        <v>0</v>
      </c>
      <c r="BJ510" s="424">
        <f t="shared" si="721"/>
        <v>0</v>
      </c>
      <c r="BK510" s="424">
        <f t="shared" si="721"/>
        <v>0</v>
      </c>
      <c r="BL510" s="424">
        <f t="shared" si="721"/>
        <v>0</v>
      </c>
      <c r="BM510" s="424">
        <f t="shared" si="721"/>
        <v>0</v>
      </c>
      <c r="BN510" s="424">
        <f t="shared" si="721"/>
        <v>0</v>
      </c>
      <c r="BO510" s="424">
        <f t="shared" si="721"/>
        <v>0</v>
      </c>
      <c r="BP510" s="424">
        <f t="shared" si="721"/>
        <v>0</v>
      </c>
      <c r="BQ510" s="424">
        <f t="shared" si="721"/>
        <v>0</v>
      </c>
      <c r="BR510" s="424">
        <f t="shared" si="721"/>
        <v>0</v>
      </c>
      <c r="BS510" s="424">
        <f t="shared" si="721"/>
        <v>0</v>
      </c>
      <c r="BT510" s="424">
        <f t="shared" si="721"/>
        <v>0</v>
      </c>
      <c r="BU510" s="424">
        <f t="shared" si="721"/>
        <v>0</v>
      </c>
      <c r="BV510" s="424">
        <f t="shared" ref="BV510:DA510" si="722">BV140*BV$372</f>
        <v>0</v>
      </c>
      <c r="BW510" s="424">
        <f t="shared" si="722"/>
        <v>0</v>
      </c>
      <c r="BX510" s="424">
        <f t="shared" si="722"/>
        <v>0</v>
      </c>
      <c r="BY510" s="424">
        <f t="shared" si="722"/>
        <v>0.95</v>
      </c>
      <c r="BZ510" s="424">
        <f t="shared" si="722"/>
        <v>0</v>
      </c>
      <c r="CA510" s="424">
        <f t="shared" si="722"/>
        <v>0</v>
      </c>
      <c r="CB510" s="424">
        <f t="shared" si="722"/>
        <v>0</v>
      </c>
      <c r="CC510" s="424">
        <f t="shared" si="722"/>
        <v>0</v>
      </c>
      <c r="CD510" s="424">
        <f t="shared" si="722"/>
        <v>0</v>
      </c>
      <c r="CE510" s="424">
        <f t="shared" si="722"/>
        <v>0</v>
      </c>
      <c r="CF510" s="424">
        <f t="shared" si="722"/>
        <v>0.24</v>
      </c>
      <c r="CG510" s="424">
        <f t="shared" si="722"/>
        <v>0</v>
      </c>
      <c r="CH510" s="424">
        <f t="shared" si="722"/>
        <v>0</v>
      </c>
      <c r="CI510" s="424">
        <f t="shared" si="722"/>
        <v>0</v>
      </c>
      <c r="CJ510" s="424">
        <f t="shared" si="722"/>
        <v>0</v>
      </c>
      <c r="CK510" s="424">
        <f t="shared" si="722"/>
        <v>0</v>
      </c>
      <c r="CL510" s="424">
        <f t="shared" si="722"/>
        <v>0</v>
      </c>
      <c r="CM510" s="424">
        <f t="shared" si="722"/>
        <v>0</v>
      </c>
      <c r="CN510" s="424">
        <f t="shared" si="722"/>
        <v>0</v>
      </c>
      <c r="CO510" s="424">
        <f t="shared" si="722"/>
        <v>0</v>
      </c>
      <c r="CP510" s="424">
        <f t="shared" si="722"/>
        <v>0</v>
      </c>
      <c r="CQ510" s="424">
        <f t="shared" si="722"/>
        <v>0</v>
      </c>
      <c r="CR510" s="424">
        <f t="shared" si="722"/>
        <v>0</v>
      </c>
      <c r="CS510" s="424">
        <f t="shared" si="722"/>
        <v>0</v>
      </c>
      <c r="CT510" s="424">
        <f t="shared" si="722"/>
        <v>0</v>
      </c>
      <c r="CU510" s="424">
        <f t="shared" si="722"/>
        <v>0</v>
      </c>
      <c r="CV510" s="424">
        <f t="shared" si="722"/>
        <v>0</v>
      </c>
      <c r="CW510" s="424">
        <f t="shared" si="722"/>
        <v>0</v>
      </c>
      <c r="CX510" s="424">
        <f t="shared" si="722"/>
        <v>0</v>
      </c>
      <c r="CY510" s="424">
        <f t="shared" si="722"/>
        <v>0</v>
      </c>
      <c r="CZ510" s="424">
        <f t="shared" si="722"/>
        <v>0.3</v>
      </c>
      <c r="DA510" s="424">
        <f t="shared" si="722"/>
        <v>0</v>
      </c>
      <c r="DB510" s="424">
        <f t="shared" ref="DB510:EG510" si="723">DB140*DB$372</f>
        <v>0</v>
      </c>
      <c r="DC510" s="424">
        <f t="shared" si="723"/>
        <v>0</v>
      </c>
      <c r="DD510" s="424">
        <f t="shared" si="723"/>
        <v>0.24</v>
      </c>
      <c r="DE510" s="424">
        <f t="shared" si="723"/>
        <v>0</v>
      </c>
      <c r="DF510" s="424">
        <f t="shared" si="723"/>
        <v>0</v>
      </c>
      <c r="DG510" s="424">
        <f t="shared" si="723"/>
        <v>0</v>
      </c>
      <c r="DH510" s="424">
        <f t="shared" si="723"/>
        <v>0</v>
      </c>
      <c r="DI510" s="424">
        <f t="shared" si="723"/>
        <v>0</v>
      </c>
      <c r="DJ510" s="424">
        <f t="shared" si="723"/>
        <v>0</v>
      </c>
      <c r="DK510" s="424">
        <f t="shared" si="723"/>
        <v>0</v>
      </c>
      <c r="DL510" s="424">
        <f t="shared" si="723"/>
        <v>0</v>
      </c>
      <c r="DM510" s="424">
        <f t="shared" si="723"/>
        <v>0</v>
      </c>
      <c r="DN510" s="424">
        <f t="shared" si="723"/>
        <v>0</v>
      </c>
      <c r="DO510" s="424">
        <f t="shared" si="723"/>
        <v>0</v>
      </c>
      <c r="DP510" s="424">
        <f t="shared" si="723"/>
        <v>0</v>
      </c>
      <c r="DQ510" s="424">
        <f t="shared" si="723"/>
        <v>0</v>
      </c>
      <c r="DR510" s="424">
        <f t="shared" si="723"/>
        <v>0</v>
      </c>
      <c r="DS510" s="424">
        <f t="shared" si="723"/>
        <v>0</v>
      </c>
      <c r="DT510" s="424">
        <f t="shared" si="723"/>
        <v>0</v>
      </c>
      <c r="DU510" s="424">
        <f t="shared" si="723"/>
        <v>0</v>
      </c>
      <c r="DV510" s="424">
        <f t="shared" si="723"/>
        <v>0</v>
      </c>
      <c r="DW510" s="424">
        <f t="shared" si="723"/>
        <v>0</v>
      </c>
      <c r="DX510" s="424">
        <f t="shared" si="723"/>
        <v>0</v>
      </c>
      <c r="DY510" s="424">
        <f t="shared" si="723"/>
        <v>0</v>
      </c>
      <c r="DZ510" s="424">
        <f t="shared" si="723"/>
        <v>0</v>
      </c>
      <c r="EA510" s="424">
        <f t="shared" si="723"/>
        <v>0</v>
      </c>
      <c r="EB510" s="424">
        <f t="shared" si="723"/>
        <v>0</v>
      </c>
      <c r="EC510" s="424">
        <f t="shared" si="723"/>
        <v>0</v>
      </c>
      <c r="ED510" s="424">
        <f t="shared" si="723"/>
        <v>0</v>
      </c>
      <c r="EE510" s="424">
        <f t="shared" si="723"/>
        <v>0</v>
      </c>
      <c r="EF510" s="424">
        <f t="shared" si="723"/>
        <v>0</v>
      </c>
      <c r="EG510" s="424">
        <f t="shared" si="723"/>
        <v>0</v>
      </c>
      <c r="EH510" s="424">
        <f t="shared" ref="EH510:EX510" si="724">EH140*EH$372</f>
        <v>0</v>
      </c>
      <c r="EI510" s="424">
        <f t="shared" si="724"/>
        <v>0</v>
      </c>
      <c r="EJ510" s="424">
        <f t="shared" si="724"/>
        <v>0</v>
      </c>
      <c r="EK510" s="424">
        <f t="shared" si="724"/>
        <v>0</v>
      </c>
      <c r="EL510" s="424">
        <f t="shared" si="724"/>
        <v>0</v>
      </c>
      <c r="EM510" s="424">
        <f t="shared" si="724"/>
        <v>0</v>
      </c>
      <c r="EN510" s="424">
        <f t="shared" si="724"/>
        <v>0</v>
      </c>
      <c r="EO510" s="424">
        <f t="shared" si="724"/>
        <v>0</v>
      </c>
      <c r="EP510" s="424">
        <f t="shared" si="724"/>
        <v>0</v>
      </c>
      <c r="EQ510" s="424">
        <f t="shared" si="724"/>
        <v>0</v>
      </c>
      <c r="ER510" s="424">
        <f t="shared" si="724"/>
        <v>0</v>
      </c>
      <c r="ES510" s="424">
        <f t="shared" si="724"/>
        <v>0</v>
      </c>
      <c r="ET510" s="424">
        <f t="shared" si="724"/>
        <v>0</v>
      </c>
      <c r="EU510" s="424">
        <f t="shared" si="724"/>
        <v>0</v>
      </c>
      <c r="EV510" s="424">
        <f t="shared" si="724"/>
        <v>0</v>
      </c>
      <c r="EW510" s="424">
        <f t="shared" si="724"/>
        <v>0</v>
      </c>
      <c r="EX510" s="424">
        <f t="shared" si="724"/>
        <v>0</v>
      </c>
      <c r="EY510" s="425">
        <f t="shared" si="699"/>
        <v>21.94</v>
      </c>
      <c r="EZ510" s="616"/>
      <c r="FA510" s="616"/>
      <c r="FB510" s="616"/>
      <c r="FC510" s="616"/>
      <c r="FD510" s="616"/>
      <c r="FE510" s="616"/>
      <c r="FF510" s="616"/>
      <c r="FG510" s="616"/>
      <c r="FH510" s="616"/>
      <c r="FI510" s="616"/>
      <c r="FJ510" s="616"/>
    </row>
    <row r="511" spans="1:166" ht="14.7" customHeight="1" x14ac:dyDescent="0.25">
      <c r="A511" s="310">
        <v>137</v>
      </c>
      <c r="B511" s="311" t="str">
        <f t="shared" si="680"/>
        <v>Запеканка манная с маслом</v>
      </c>
      <c r="C511" s="483">
        <f t="shared" si="688"/>
        <v>9.2100000000000009</v>
      </c>
      <c r="D511" s="888"/>
      <c r="E511" s="888"/>
      <c r="F511" s="888"/>
      <c r="G511" s="889"/>
      <c r="H511" s="680">
        <f t="shared" si="681"/>
        <v>185</v>
      </c>
      <c r="I511" s="1209">
        <f t="shared" si="682"/>
        <v>0</v>
      </c>
      <c r="J511" s="424">
        <f t="shared" ref="J511:AO511" si="725">J141*J$372</f>
        <v>0</v>
      </c>
      <c r="K511" s="424">
        <f t="shared" si="725"/>
        <v>0</v>
      </c>
      <c r="L511" s="424">
        <f t="shared" si="725"/>
        <v>0</v>
      </c>
      <c r="M511" s="424">
        <f t="shared" si="725"/>
        <v>0</v>
      </c>
      <c r="N511" s="424">
        <f t="shared" si="725"/>
        <v>0</v>
      </c>
      <c r="O511" s="424">
        <f t="shared" si="725"/>
        <v>0</v>
      </c>
      <c r="P511" s="424">
        <f t="shared" si="725"/>
        <v>0</v>
      </c>
      <c r="Q511" s="424">
        <f t="shared" si="725"/>
        <v>0</v>
      </c>
      <c r="R511" s="424">
        <f t="shared" si="725"/>
        <v>0</v>
      </c>
      <c r="S511" s="424">
        <f t="shared" si="725"/>
        <v>0</v>
      </c>
      <c r="T511" s="424">
        <f t="shared" si="725"/>
        <v>0</v>
      </c>
      <c r="U511" s="424">
        <f t="shared" si="725"/>
        <v>0</v>
      </c>
      <c r="V511" s="424">
        <f t="shared" si="725"/>
        <v>3.55</v>
      </c>
      <c r="W511" s="424">
        <f t="shared" si="725"/>
        <v>0</v>
      </c>
      <c r="X511" s="424">
        <f t="shared" si="725"/>
        <v>0</v>
      </c>
      <c r="Y511" s="424">
        <f t="shared" si="725"/>
        <v>0.94</v>
      </c>
      <c r="Z511" s="424">
        <f t="shared" si="725"/>
        <v>0</v>
      </c>
      <c r="AA511" s="424">
        <f t="shared" si="725"/>
        <v>0</v>
      </c>
      <c r="AB511" s="424">
        <f t="shared" si="725"/>
        <v>0</v>
      </c>
      <c r="AC511" s="424">
        <f t="shared" si="725"/>
        <v>0</v>
      </c>
      <c r="AD511" s="424">
        <f t="shared" si="725"/>
        <v>0</v>
      </c>
      <c r="AE511" s="424">
        <f t="shared" si="725"/>
        <v>1.22</v>
      </c>
      <c r="AF511" s="424">
        <f t="shared" si="725"/>
        <v>0</v>
      </c>
      <c r="AG511" s="424">
        <f t="shared" si="725"/>
        <v>0</v>
      </c>
      <c r="AH511" s="424">
        <f t="shared" si="725"/>
        <v>0</v>
      </c>
      <c r="AI511" s="424">
        <f t="shared" si="725"/>
        <v>0</v>
      </c>
      <c r="AJ511" s="424">
        <f t="shared" si="725"/>
        <v>0</v>
      </c>
      <c r="AK511" s="424">
        <f t="shared" si="725"/>
        <v>0</v>
      </c>
      <c r="AL511" s="424">
        <f t="shared" si="725"/>
        <v>0</v>
      </c>
      <c r="AM511" s="424">
        <f t="shared" si="725"/>
        <v>0</v>
      </c>
      <c r="AN511" s="424">
        <f t="shared" si="725"/>
        <v>0</v>
      </c>
      <c r="AO511" s="424">
        <f t="shared" si="725"/>
        <v>0</v>
      </c>
      <c r="AP511" s="424">
        <f t="shared" ref="AP511:BU511" si="726">AP141*AP$372</f>
        <v>0</v>
      </c>
      <c r="AQ511" s="424">
        <f t="shared" si="726"/>
        <v>0</v>
      </c>
      <c r="AR511" s="424">
        <f t="shared" si="726"/>
        <v>0</v>
      </c>
      <c r="AS511" s="424">
        <f t="shared" si="726"/>
        <v>0</v>
      </c>
      <c r="AT511" s="424">
        <f t="shared" si="726"/>
        <v>0</v>
      </c>
      <c r="AU511" s="424">
        <f t="shared" si="726"/>
        <v>0</v>
      </c>
      <c r="AV511" s="424">
        <f t="shared" si="726"/>
        <v>0</v>
      </c>
      <c r="AW511" s="424">
        <f t="shared" si="726"/>
        <v>0</v>
      </c>
      <c r="AX511" s="424">
        <f t="shared" si="726"/>
        <v>0</v>
      </c>
      <c r="AY511" s="424">
        <f t="shared" si="726"/>
        <v>0</v>
      </c>
      <c r="AZ511" s="424">
        <f t="shared" si="726"/>
        <v>0</v>
      </c>
      <c r="BA511" s="424">
        <f t="shared" si="726"/>
        <v>0</v>
      </c>
      <c r="BB511" s="424">
        <f t="shared" si="726"/>
        <v>0</v>
      </c>
      <c r="BC511" s="424">
        <f t="shared" si="726"/>
        <v>0</v>
      </c>
      <c r="BD511" s="424">
        <f t="shared" si="726"/>
        <v>0</v>
      </c>
      <c r="BE511" s="424">
        <f t="shared" si="726"/>
        <v>0</v>
      </c>
      <c r="BF511" s="424">
        <f t="shared" si="726"/>
        <v>0</v>
      </c>
      <c r="BG511" s="424">
        <f t="shared" si="726"/>
        <v>0</v>
      </c>
      <c r="BH511" s="424">
        <f t="shared" si="726"/>
        <v>0</v>
      </c>
      <c r="BI511" s="424">
        <f t="shared" si="726"/>
        <v>0</v>
      </c>
      <c r="BJ511" s="424">
        <f t="shared" si="726"/>
        <v>0</v>
      </c>
      <c r="BK511" s="424">
        <f t="shared" si="726"/>
        <v>0</v>
      </c>
      <c r="BL511" s="424">
        <f t="shared" si="726"/>
        <v>0</v>
      </c>
      <c r="BM511" s="424">
        <f t="shared" si="726"/>
        <v>0</v>
      </c>
      <c r="BN511" s="424">
        <f t="shared" si="726"/>
        <v>0</v>
      </c>
      <c r="BO511" s="424">
        <f t="shared" si="726"/>
        <v>0</v>
      </c>
      <c r="BP511" s="424">
        <f t="shared" si="726"/>
        <v>0</v>
      </c>
      <c r="BQ511" s="424">
        <f t="shared" si="726"/>
        <v>0</v>
      </c>
      <c r="BR511" s="424">
        <f t="shared" si="726"/>
        <v>0</v>
      </c>
      <c r="BS511" s="424">
        <f t="shared" si="726"/>
        <v>0</v>
      </c>
      <c r="BT511" s="424">
        <f t="shared" si="726"/>
        <v>0</v>
      </c>
      <c r="BU511" s="424">
        <f t="shared" si="726"/>
        <v>1.84</v>
      </c>
      <c r="BV511" s="424">
        <f t="shared" ref="BV511:DA511" si="727">BV141*BV$372</f>
        <v>0</v>
      </c>
      <c r="BW511" s="424">
        <f t="shared" si="727"/>
        <v>0</v>
      </c>
      <c r="BX511" s="424">
        <f t="shared" si="727"/>
        <v>0</v>
      </c>
      <c r="BY511" s="424">
        <f t="shared" si="727"/>
        <v>0</v>
      </c>
      <c r="BZ511" s="424">
        <f t="shared" si="727"/>
        <v>0</v>
      </c>
      <c r="CA511" s="424">
        <f t="shared" si="727"/>
        <v>0</v>
      </c>
      <c r="CB511" s="424">
        <f t="shared" si="727"/>
        <v>0</v>
      </c>
      <c r="CC511" s="424">
        <f t="shared" si="727"/>
        <v>0</v>
      </c>
      <c r="CD511" s="424">
        <f t="shared" si="727"/>
        <v>0</v>
      </c>
      <c r="CE511" s="424">
        <f t="shared" si="727"/>
        <v>0</v>
      </c>
      <c r="CF511" s="424">
        <f t="shared" si="727"/>
        <v>0.48</v>
      </c>
      <c r="CG511" s="424">
        <f t="shared" si="727"/>
        <v>0</v>
      </c>
      <c r="CH511" s="424">
        <f t="shared" si="727"/>
        <v>0</v>
      </c>
      <c r="CI511" s="424">
        <f t="shared" si="727"/>
        <v>0.1</v>
      </c>
      <c r="CJ511" s="424">
        <f t="shared" si="727"/>
        <v>0</v>
      </c>
      <c r="CK511" s="424">
        <f t="shared" si="727"/>
        <v>0</v>
      </c>
      <c r="CL511" s="424">
        <f t="shared" si="727"/>
        <v>0</v>
      </c>
      <c r="CM511" s="424">
        <f t="shared" si="727"/>
        <v>0</v>
      </c>
      <c r="CN511" s="424">
        <f t="shared" si="727"/>
        <v>0</v>
      </c>
      <c r="CO511" s="424">
        <f t="shared" si="727"/>
        <v>0</v>
      </c>
      <c r="CP511" s="424">
        <f t="shared" si="727"/>
        <v>0</v>
      </c>
      <c r="CQ511" s="424">
        <f t="shared" si="727"/>
        <v>0</v>
      </c>
      <c r="CR511" s="424">
        <f t="shared" si="727"/>
        <v>0</v>
      </c>
      <c r="CS511" s="424">
        <f t="shared" si="727"/>
        <v>0</v>
      </c>
      <c r="CT511" s="424">
        <f t="shared" si="727"/>
        <v>0</v>
      </c>
      <c r="CU511" s="424">
        <f t="shared" si="727"/>
        <v>0</v>
      </c>
      <c r="CV511" s="424">
        <f t="shared" si="727"/>
        <v>0</v>
      </c>
      <c r="CW511" s="424">
        <f t="shared" si="727"/>
        <v>0</v>
      </c>
      <c r="CX511" s="424">
        <f t="shared" si="727"/>
        <v>0</v>
      </c>
      <c r="CY511" s="424">
        <f t="shared" si="727"/>
        <v>0</v>
      </c>
      <c r="CZ511" s="424">
        <f t="shared" si="727"/>
        <v>0.61</v>
      </c>
      <c r="DA511" s="424">
        <f t="shared" si="727"/>
        <v>0</v>
      </c>
      <c r="DB511" s="424">
        <f t="shared" ref="DB511:EG511" si="728">DB141*DB$372</f>
        <v>0</v>
      </c>
      <c r="DC511" s="424">
        <f t="shared" si="728"/>
        <v>0</v>
      </c>
      <c r="DD511" s="424">
        <f t="shared" si="728"/>
        <v>0.47</v>
      </c>
      <c r="DE511" s="424">
        <f t="shared" si="728"/>
        <v>0</v>
      </c>
      <c r="DF511" s="424">
        <f t="shared" si="728"/>
        <v>0</v>
      </c>
      <c r="DG511" s="424">
        <f t="shared" si="728"/>
        <v>0</v>
      </c>
      <c r="DH511" s="424">
        <f t="shared" si="728"/>
        <v>0</v>
      </c>
      <c r="DI511" s="424">
        <f t="shared" si="728"/>
        <v>0</v>
      </c>
      <c r="DJ511" s="424">
        <f t="shared" si="728"/>
        <v>0</v>
      </c>
      <c r="DK511" s="424">
        <f t="shared" si="728"/>
        <v>0</v>
      </c>
      <c r="DL511" s="424">
        <f t="shared" si="728"/>
        <v>0</v>
      </c>
      <c r="DM511" s="424">
        <f t="shared" si="728"/>
        <v>0</v>
      </c>
      <c r="DN511" s="424">
        <f t="shared" si="728"/>
        <v>0</v>
      </c>
      <c r="DO511" s="424">
        <f t="shared" si="728"/>
        <v>0</v>
      </c>
      <c r="DP511" s="424">
        <f t="shared" si="728"/>
        <v>0</v>
      </c>
      <c r="DQ511" s="424">
        <f t="shared" si="728"/>
        <v>0</v>
      </c>
      <c r="DR511" s="424">
        <f t="shared" si="728"/>
        <v>0</v>
      </c>
      <c r="DS511" s="424">
        <f t="shared" si="728"/>
        <v>0</v>
      </c>
      <c r="DT511" s="424">
        <f t="shared" si="728"/>
        <v>0</v>
      </c>
      <c r="DU511" s="424">
        <f t="shared" si="728"/>
        <v>0</v>
      </c>
      <c r="DV511" s="424">
        <f t="shared" si="728"/>
        <v>0</v>
      </c>
      <c r="DW511" s="424">
        <f t="shared" si="728"/>
        <v>0</v>
      </c>
      <c r="DX511" s="424">
        <f t="shared" si="728"/>
        <v>0</v>
      </c>
      <c r="DY511" s="424">
        <f t="shared" si="728"/>
        <v>0</v>
      </c>
      <c r="DZ511" s="424">
        <f t="shared" si="728"/>
        <v>0</v>
      </c>
      <c r="EA511" s="424">
        <f t="shared" si="728"/>
        <v>0</v>
      </c>
      <c r="EB511" s="424">
        <f t="shared" si="728"/>
        <v>0</v>
      </c>
      <c r="EC511" s="424">
        <f t="shared" si="728"/>
        <v>0</v>
      </c>
      <c r="ED511" s="424">
        <f t="shared" si="728"/>
        <v>0</v>
      </c>
      <c r="EE511" s="424">
        <f t="shared" si="728"/>
        <v>0</v>
      </c>
      <c r="EF511" s="424">
        <f t="shared" si="728"/>
        <v>0</v>
      </c>
      <c r="EG511" s="424">
        <f t="shared" si="728"/>
        <v>0</v>
      </c>
      <c r="EH511" s="424">
        <f t="shared" ref="EH511:EX511" si="729">EH141*EH$372</f>
        <v>0</v>
      </c>
      <c r="EI511" s="424">
        <f t="shared" si="729"/>
        <v>0</v>
      </c>
      <c r="EJ511" s="424">
        <f t="shared" si="729"/>
        <v>0</v>
      </c>
      <c r="EK511" s="424">
        <f t="shared" si="729"/>
        <v>0</v>
      </c>
      <c r="EL511" s="424">
        <f t="shared" si="729"/>
        <v>0</v>
      </c>
      <c r="EM511" s="424">
        <f t="shared" si="729"/>
        <v>0</v>
      </c>
      <c r="EN511" s="424">
        <f t="shared" si="729"/>
        <v>0</v>
      </c>
      <c r="EO511" s="424">
        <f t="shared" si="729"/>
        <v>0</v>
      </c>
      <c r="EP511" s="424">
        <f t="shared" si="729"/>
        <v>0</v>
      </c>
      <c r="EQ511" s="424">
        <f t="shared" si="729"/>
        <v>0</v>
      </c>
      <c r="ER511" s="424">
        <f t="shared" si="729"/>
        <v>0</v>
      </c>
      <c r="ES511" s="424">
        <f t="shared" si="729"/>
        <v>0</v>
      </c>
      <c r="ET511" s="424">
        <f t="shared" si="729"/>
        <v>0</v>
      </c>
      <c r="EU511" s="424">
        <f t="shared" si="729"/>
        <v>0</v>
      </c>
      <c r="EV511" s="424">
        <f t="shared" si="729"/>
        <v>0</v>
      </c>
      <c r="EW511" s="424">
        <f t="shared" si="729"/>
        <v>0</v>
      </c>
      <c r="EX511" s="424">
        <f t="shared" si="729"/>
        <v>0</v>
      </c>
      <c r="EY511" s="425">
        <f t="shared" si="699"/>
        <v>9.2100000000000009</v>
      </c>
    </row>
    <row r="512" spans="1:166" ht="14.7" customHeight="1" x14ac:dyDescent="0.25">
      <c r="A512" s="310">
        <v>138</v>
      </c>
      <c r="B512" s="311" t="str">
        <f t="shared" si="680"/>
        <v>Запеканка манная с молоком сгущенным</v>
      </c>
      <c r="C512" s="483">
        <f t="shared" si="688"/>
        <v>10.66</v>
      </c>
      <c r="D512" s="888"/>
      <c r="E512" s="888"/>
      <c r="F512" s="888"/>
      <c r="G512" s="889"/>
      <c r="H512" s="680">
        <f t="shared" si="681"/>
        <v>185</v>
      </c>
      <c r="I512" s="1209">
        <f t="shared" si="682"/>
        <v>0</v>
      </c>
      <c r="J512" s="424">
        <f t="shared" ref="J512:AO512" si="730">J142*J$372</f>
        <v>0</v>
      </c>
      <c r="K512" s="424">
        <f t="shared" si="730"/>
        <v>0</v>
      </c>
      <c r="L512" s="424">
        <f t="shared" si="730"/>
        <v>0</v>
      </c>
      <c r="M512" s="424">
        <f t="shared" si="730"/>
        <v>0</v>
      </c>
      <c r="N512" s="424">
        <f t="shared" si="730"/>
        <v>0</v>
      </c>
      <c r="O512" s="424">
        <f t="shared" si="730"/>
        <v>0</v>
      </c>
      <c r="P512" s="424">
        <f t="shared" si="730"/>
        <v>0</v>
      </c>
      <c r="Q512" s="424">
        <f t="shared" si="730"/>
        <v>0</v>
      </c>
      <c r="R512" s="424">
        <f t="shared" si="730"/>
        <v>0</v>
      </c>
      <c r="S512" s="424">
        <f t="shared" si="730"/>
        <v>0</v>
      </c>
      <c r="T512" s="424">
        <f t="shared" si="730"/>
        <v>0</v>
      </c>
      <c r="U512" s="424">
        <f t="shared" si="730"/>
        <v>0</v>
      </c>
      <c r="V512" s="424">
        <f t="shared" si="730"/>
        <v>0</v>
      </c>
      <c r="W512" s="424">
        <f t="shared" si="730"/>
        <v>0</v>
      </c>
      <c r="X512" s="424">
        <f t="shared" si="730"/>
        <v>0</v>
      </c>
      <c r="Y512" s="424">
        <f t="shared" si="730"/>
        <v>0.94</v>
      </c>
      <c r="Z512" s="424">
        <f t="shared" si="730"/>
        <v>5</v>
      </c>
      <c r="AA512" s="424">
        <f t="shared" si="730"/>
        <v>0</v>
      </c>
      <c r="AB512" s="424">
        <f t="shared" si="730"/>
        <v>0</v>
      </c>
      <c r="AC512" s="424">
        <f t="shared" si="730"/>
        <v>0</v>
      </c>
      <c r="AD512" s="424">
        <f t="shared" si="730"/>
        <v>0</v>
      </c>
      <c r="AE512" s="424">
        <f t="shared" si="730"/>
        <v>1.22</v>
      </c>
      <c r="AF512" s="424">
        <f t="shared" si="730"/>
        <v>0</v>
      </c>
      <c r="AG512" s="424">
        <f t="shared" si="730"/>
        <v>0</v>
      </c>
      <c r="AH512" s="424">
        <f t="shared" si="730"/>
        <v>0</v>
      </c>
      <c r="AI512" s="424">
        <f t="shared" si="730"/>
        <v>0</v>
      </c>
      <c r="AJ512" s="424">
        <f t="shared" si="730"/>
        <v>0</v>
      </c>
      <c r="AK512" s="424">
        <f t="shared" si="730"/>
        <v>0</v>
      </c>
      <c r="AL512" s="424">
        <f t="shared" si="730"/>
        <v>0</v>
      </c>
      <c r="AM512" s="424">
        <f t="shared" si="730"/>
        <v>0</v>
      </c>
      <c r="AN512" s="424">
        <f t="shared" si="730"/>
        <v>0</v>
      </c>
      <c r="AO512" s="424">
        <f t="shared" si="730"/>
        <v>0</v>
      </c>
      <c r="AP512" s="424">
        <f t="shared" ref="AP512:BU512" si="731">AP142*AP$372</f>
        <v>0</v>
      </c>
      <c r="AQ512" s="424">
        <f t="shared" si="731"/>
        <v>0</v>
      </c>
      <c r="AR512" s="424">
        <f t="shared" si="731"/>
        <v>0</v>
      </c>
      <c r="AS512" s="424">
        <f t="shared" si="731"/>
        <v>0</v>
      </c>
      <c r="AT512" s="424">
        <f t="shared" si="731"/>
        <v>0</v>
      </c>
      <c r="AU512" s="424">
        <f t="shared" si="731"/>
        <v>0</v>
      </c>
      <c r="AV512" s="424">
        <f t="shared" si="731"/>
        <v>0</v>
      </c>
      <c r="AW512" s="424">
        <f t="shared" si="731"/>
        <v>0</v>
      </c>
      <c r="AX512" s="424">
        <f t="shared" si="731"/>
        <v>0</v>
      </c>
      <c r="AY512" s="424">
        <f t="shared" si="731"/>
        <v>0</v>
      </c>
      <c r="AZ512" s="424">
        <f t="shared" si="731"/>
        <v>0</v>
      </c>
      <c r="BA512" s="424">
        <f t="shared" si="731"/>
        <v>0</v>
      </c>
      <c r="BB512" s="424">
        <f t="shared" si="731"/>
        <v>0</v>
      </c>
      <c r="BC512" s="424">
        <f t="shared" si="731"/>
        <v>0</v>
      </c>
      <c r="BD512" s="424">
        <f t="shared" si="731"/>
        <v>0</v>
      </c>
      <c r="BE512" s="424">
        <f t="shared" si="731"/>
        <v>0</v>
      </c>
      <c r="BF512" s="424">
        <f t="shared" si="731"/>
        <v>0</v>
      </c>
      <c r="BG512" s="424">
        <f t="shared" si="731"/>
        <v>0</v>
      </c>
      <c r="BH512" s="424">
        <f t="shared" si="731"/>
        <v>0</v>
      </c>
      <c r="BI512" s="424">
        <f t="shared" si="731"/>
        <v>0</v>
      </c>
      <c r="BJ512" s="424">
        <f t="shared" si="731"/>
        <v>0</v>
      </c>
      <c r="BK512" s="424">
        <f t="shared" si="731"/>
        <v>0</v>
      </c>
      <c r="BL512" s="424">
        <f t="shared" si="731"/>
        <v>0</v>
      </c>
      <c r="BM512" s="424">
        <f t="shared" si="731"/>
        <v>0</v>
      </c>
      <c r="BN512" s="424">
        <f t="shared" si="731"/>
        <v>0</v>
      </c>
      <c r="BO512" s="424">
        <f t="shared" si="731"/>
        <v>0</v>
      </c>
      <c r="BP512" s="424">
        <f t="shared" si="731"/>
        <v>0</v>
      </c>
      <c r="BQ512" s="424">
        <f t="shared" si="731"/>
        <v>0</v>
      </c>
      <c r="BR512" s="424">
        <f t="shared" si="731"/>
        <v>0</v>
      </c>
      <c r="BS512" s="424">
        <f t="shared" si="731"/>
        <v>0</v>
      </c>
      <c r="BT512" s="424">
        <f t="shared" si="731"/>
        <v>0</v>
      </c>
      <c r="BU512" s="424">
        <f t="shared" si="731"/>
        <v>1.84</v>
      </c>
      <c r="BV512" s="424">
        <f t="shared" ref="BV512:DA512" si="732">BV142*BV$372</f>
        <v>0</v>
      </c>
      <c r="BW512" s="424">
        <f t="shared" si="732"/>
        <v>0</v>
      </c>
      <c r="BX512" s="424">
        <f t="shared" si="732"/>
        <v>0</v>
      </c>
      <c r="BY512" s="424">
        <f t="shared" si="732"/>
        <v>0</v>
      </c>
      <c r="BZ512" s="424">
        <f t="shared" si="732"/>
        <v>0</v>
      </c>
      <c r="CA512" s="424">
        <f t="shared" si="732"/>
        <v>0</v>
      </c>
      <c r="CB512" s="424">
        <f t="shared" si="732"/>
        <v>0</v>
      </c>
      <c r="CC512" s="424">
        <f t="shared" si="732"/>
        <v>0</v>
      </c>
      <c r="CD512" s="424">
        <f t="shared" si="732"/>
        <v>0</v>
      </c>
      <c r="CE512" s="424">
        <f t="shared" si="732"/>
        <v>0</v>
      </c>
      <c r="CF512" s="424">
        <f t="shared" si="732"/>
        <v>0.48</v>
      </c>
      <c r="CG512" s="424">
        <f t="shared" si="732"/>
        <v>0</v>
      </c>
      <c r="CH512" s="424">
        <f t="shared" si="732"/>
        <v>0</v>
      </c>
      <c r="CI512" s="424">
        <f t="shared" si="732"/>
        <v>0.1</v>
      </c>
      <c r="CJ512" s="424">
        <f t="shared" si="732"/>
        <v>0</v>
      </c>
      <c r="CK512" s="424">
        <f t="shared" si="732"/>
        <v>0</v>
      </c>
      <c r="CL512" s="424">
        <f t="shared" si="732"/>
        <v>0</v>
      </c>
      <c r="CM512" s="424">
        <f t="shared" si="732"/>
        <v>0</v>
      </c>
      <c r="CN512" s="424">
        <f t="shared" si="732"/>
        <v>0</v>
      </c>
      <c r="CO512" s="424">
        <f t="shared" si="732"/>
        <v>0</v>
      </c>
      <c r="CP512" s="424">
        <f t="shared" si="732"/>
        <v>0</v>
      </c>
      <c r="CQ512" s="424">
        <f t="shared" si="732"/>
        <v>0</v>
      </c>
      <c r="CR512" s="424">
        <f t="shared" si="732"/>
        <v>0</v>
      </c>
      <c r="CS512" s="424">
        <f t="shared" si="732"/>
        <v>0</v>
      </c>
      <c r="CT512" s="424">
        <f t="shared" si="732"/>
        <v>0</v>
      </c>
      <c r="CU512" s="424">
        <f t="shared" si="732"/>
        <v>0</v>
      </c>
      <c r="CV512" s="424">
        <f t="shared" si="732"/>
        <v>0</v>
      </c>
      <c r="CW512" s="424">
        <f t="shared" si="732"/>
        <v>0</v>
      </c>
      <c r="CX512" s="424">
        <f t="shared" si="732"/>
        <v>0</v>
      </c>
      <c r="CY512" s="424">
        <f t="shared" si="732"/>
        <v>0</v>
      </c>
      <c r="CZ512" s="424">
        <f t="shared" si="732"/>
        <v>0.61</v>
      </c>
      <c r="DA512" s="424">
        <f t="shared" si="732"/>
        <v>0</v>
      </c>
      <c r="DB512" s="424">
        <f t="shared" ref="DB512:EG512" si="733">DB142*DB$372</f>
        <v>0</v>
      </c>
      <c r="DC512" s="424">
        <f t="shared" si="733"/>
        <v>0</v>
      </c>
      <c r="DD512" s="424">
        <f t="shared" si="733"/>
        <v>0.47</v>
      </c>
      <c r="DE512" s="424">
        <f t="shared" si="733"/>
        <v>0</v>
      </c>
      <c r="DF512" s="424">
        <f t="shared" si="733"/>
        <v>0</v>
      </c>
      <c r="DG512" s="424">
        <f t="shared" si="733"/>
        <v>0</v>
      </c>
      <c r="DH512" s="424">
        <f t="shared" si="733"/>
        <v>0</v>
      </c>
      <c r="DI512" s="424">
        <f t="shared" si="733"/>
        <v>0</v>
      </c>
      <c r="DJ512" s="424">
        <f t="shared" si="733"/>
        <v>0</v>
      </c>
      <c r="DK512" s="424">
        <f t="shared" si="733"/>
        <v>0</v>
      </c>
      <c r="DL512" s="424">
        <f t="shared" si="733"/>
        <v>0</v>
      </c>
      <c r="DM512" s="424">
        <f t="shared" si="733"/>
        <v>0</v>
      </c>
      <c r="DN512" s="424">
        <f t="shared" si="733"/>
        <v>0</v>
      </c>
      <c r="DO512" s="424">
        <f t="shared" si="733"/>
        <v>0</v>
      </c>
      <c r="DP512" s="424">
        <f t="shared" si="733"/>
        <v>0</v>
      </c>
      <c r="DQ512" s="424">
        <f t="shared" si="733"/>
        <v>0</v>
      </c>
      <c r="DR512" s="424">
        <f t="shared" si="733"/>
        <v>0</v>
      </c>
      <c r="DS512" s="424">
        <f t="shared" si="733"/>
        <v>0</v>
      </c>
      <c r="DT512" s="424">
        <f t="shared" si="733"/>
        <v>0</v>
      </c>
      <c r="DU512" s="424">
        <f t="shared" si="733"/>
        <v>0</v>
      </c>
      <c r="DV512" s="424">
        <f t="shared" si="733"/>
        <v>0</v>
      </c>
      <c r="DW512" s="424">
        <f t="shared" si="733"/>
        <v>0</v>
      </c>
      <c r="DX512" s="424">
        <f t="shared" si="733"/>
        <v>0</v>
      </c>
      <c r="DY512" s="424">
        <f t="shared" si="733"/>
        <v>0</v>
      </c>
      <c r="DZ512" s="424">
        <f t="shared" si="733"/>
        <v>0</v>
      </c>
      <c r="EA512" s="424">
        <f t="shared" si="733"/>
        <v>0</v>
      </c>
      <c r="EB512" s="424">
        <f t="shared" si="733"/>
        <v>0</v>
      </c>
      <c r="EC512" s="424">
        <f t="shared" si="733"/>
        <v>0</v>
      </c>
      <c r="ED512" s="424">
        <f t="shared" si="733"/>
        <v>0</v>
      </c>
      <c r="EE512" s="424">
        <f t="shared" si="733"/>
        <v>0</v>
      </c>
      <c r="EF512" s="424">
        <f t="shared" si="733"/>
        <v>0</v>
      </c>
      <c r="EG512" s="424">
        <f t="shared" si="733"/>
        <v>0</v>
      </c>
      <c r="EH512" s="424">
        <f t="shared" ref="EH512:EX512" si="734">EH142*EH$372</f>
        <v>0</v>
      </c>
      <c r="EI512" s="424">
        <f t="shared" si="734"/>
        <v>0</v>
      </c>
      <c r="EJ512" s="424">
        <f t="shared" si="734"/>
        <v>0</v>
      </c>
      <c r="EK512" s="424">
        <f t="shared" si="734"/>
        <v>0</v>
      </c>
      <c r="EL512" s="424">
        <f t="shared" si="734"/>
        <v>0</v>
      </c>
      <c r="EM512" s="424">
        <f t="shared" si="734"/>
        <v>0</v>
      </c>
      <c r="EN512" s="424">
        <f t="shared" si="734"/>
        <v>0</v>
      </c>
      <c r="EO512" s="424">
        <f t="shared" si="734"/>
        <v>0</v>
      </c>
      <c r="EP512" s="424">
        <f t="shared" si="734"/>
        <v>0</v>
      </c>
      <c r="EQ512" s="424">
        <f t="shared" si="734"/>
        <v>0</v>
      </c>
      <c r="ER512" s="424">
        <f t="shared" si="734"/>
        <v>0</v>
      </c>
      <c r="ES512" s="424">
        <f t="shared" si="734"/>
        <v>0</v>
      </c>
      <c r="ET512" s="424">
        <f t="shared" si="734"/>
        <v>0</v>
      </c>
      <c r="EU512" s="424">
        <f t="shared" si="734"/>
        <v>0</v>
      </c>
      <c r="EV512" s="424">
        <f t="shared" si="734"/>
        <v>0</v>
      </c>
      <c r="EW512" s="424">
        <f t="shared" si="734"/>
        <v>0</v>
      </c>
      <c r="EX512" s="424">
        <f t="shared" si="734"/>
        <v>0</v>
      </c>
      <c r="EY512" s="425">
        <f t="shared" si="699"/>
        <v>10.66</v>
      </c>
    </row>
    <row r="513" spans="1:166" ht="14.7" customHeight="1" x14ac:dyDescent="0.25">
      <c r="A513" s="310">
        <v>139</v>
      </c>
      <c r="B513" s="311" t="str">
        <f t="shared" si="680"/>
        <v>Запеканка рисовая с маслом</v>
      </c>
      <c r="C513" s="483">
        <f t="shared" si="688"/>
        <v>11.88</v>
      </c>
      <c r="D513" s="888"/>
      <c r="E513" s="888"/>
      <c r="F513" s="888"/>
      <c r="G513" s="889"/>
      <c r="H513" s="680">
        <f t="shared" si="681"/>
        <v>185</v>
      </c>
      <c r="I513" s="1209">
        <f t="shared" si="682"/>
        <v>0</v>
      </c>
      <c r="J513" s="424">
        <f t="shared" ref="J513:AO513" si="735">J143*J$372</f>
        <v>0</v>
      </c>
      <c r="K513" s="424">
        <f t="shared" si="735"/>
        <v>0</v>
      </c>
      <c r="L513" s="424">
        <f t="shared" si="735"/>
        <v>0</v>
      </c>
      <c r="M513" s="424">
        <f t="shared" si="735"/>
        <v>0</v>
      </c>
      <c r="N513" s="424">
        <f t="shared" si="735"/>
        <v>0</v>
      </c>
      <c r="O513" s="424">
        <f t="shared" si="735"/>
        <v>0</v>
      </c>
      <c r="P513" s="424">
        <f t="shared" si="735"/>
        <v>0</v>
      </c>
      <c r="Q513" s="424">
        <f t="shared" si="735"/>
        <v>0</v>
      </c>
      <c r="R513" s="424">
        <f t="shared" si="735"/>
        <v>0</v>
      </c>
      <c r="S513" s="424">
        <f t="shared" si="735"/>
        <v>0</v>
      </c>
      <c r="T513" s="424">
        <f t="shared" si="735"/>
        <v>0</v>
      </c>
      <c r="U513" s="424">
        <f t="shared" si="735"/>
        <v>0</v>
      </c>
      <c r="V513" s="424">
        <f t="shared" si="735"/>
        <v>3.55</v>
      </c>
      <c r="W513" s="424">
        <f t="shared" si="735"/>
        <v>0</v>
      </c>
      <c r="X513" s="424">
        <f t="shared" si="735"/>
        <v>0</v>
      </c>
      <c r="Y513" s="424">
        <f t="shared" si="735"/>
        <v>0.94</v>
      </c>
      <c r="Z513" s="424">
        <f t="shared" si="735"/>
        <v>0</v>
      </c>
      <c r="AA513" s="424">
        <f t="shared" si="735"/>
        <v>0</v>
      </c>
      <c r="AB513" s="424">
        <f t="shared" si="735"/>
        <v>0</v>
      </c>
      <c r="AC513" s="424">
        <f t="shared" si="735"/>
        <v>0</v>
      </c>
      <c r="AD513" s="424">
        <f t="shared" si="735"/>
        <v>0</v>
      </c>
      <c r="AE513" s="424">
        <f t="shared" si="735"/>
        <v>1.22</v>
      </c>
      <c r="AF513" s="424">
        <f t="shared" si="735"/>
        <v>0</v>
      </c>
      <c r="AG513" s="424">
        <f t="shared" si="735"/>
        <v>0</v>
      </c>
      <c r="AH513" s="424">
        <f t="shared" si="735"/>
        <v>0</v>
      </c>
      <c r="AI513" s="424">
        <f t="shared" si="735"/>
        <v>0</v>
      </c>
      <c r="AJ513" s="424">
        <f t="shared" si="735"/>
        <v>0</v>
      </c>
      <c r="AK513" s="424">
        <f t="shared" si="735"/>
        <v>0</v>
      </c>
      <c r="AL513" s="424">
        <f t="shared" si="735"/>
        <v>0</v>
      </c>
      <c r="AM513" s="424">
        <f t="shared" si="735"/>
        <v>0</v>
      </c>
      <c r="AN513" s="424">
        <f t="shared" si="735"/>
        <v>0</v>
      </c>
      <c r="AO513" s="424">
        <f t="shared" si="735"/>
        <v>0</v>
      </c>
      <c r="AP513" s="424">
        <f t="shared" ref="AP513:BU513" si="736">AP143*AP$372</f>
        <v>0</v>
      </c>
      <c r="AQ513" s="424">
        <f t="shared" si="736"/>
        <v>0</v>
      </c>
      <c r="AR513" s="424">
        <f t="shared" si="736"/>
        <v>0</v>
      </c>
      <c r="AS513" s="424">
        <f t="shared" si="736"/>
        <v>0</v>
      </c>
      <c r="AT513" s="424">
        <f t="shared" si="736"/>
        <v>0</v>
      </c>
      <c r="AU513" s="424">
        <f t="shared" si="736"/>
        <v>0</v>
      </c>
      <c r="AV513" s="424">
        <f t="shared" si="736"/>
        <v>0</v>
      </c>
      <c r="AW513" s="424">
        <f t="shared" si="736"/>
        <v>0</v>
      </c>
      <c r="AX513" s="424">
        <f t="shared" si="736"/>
        <v>0</v>
      </c>
      <c r="AY513" s="424">
        <f t="shared" si="736"/>
        <v>0</v>
      </c>
      <c r="AZ513" s="424">
        <f t="shared" si="736"/>
        <v>0</v>
      </c>
      <c r="BA513" s="424">
        <f t="shared" si="736"/>
        <v>0</v>
      </c>
      <c r="BB513" s="424">
        <f t="shared" si="736"/>
        <v>0</v>
      </c>
      <c r="BC513" s="424">
        <f t="shared" si="736"/>
        <v>0</v>
      </c>
      <c r="BD513" s="424">
        <f t="shared" si="736"/>
        <v>0</v>
      </c>
      <c r="BE513" s="424">
        <f t="shared" si="736"/>
        <v>0</v>
      </c>
      <c r="BF513" s="424">
        <f t="shared" si="736"/>
        <v>0</v>
      </c>
      <c r="BG513" s="424">
        <f t="shared" si="736"/>
        <v>0</v>
      </c>
      <c r="BH513" s="424">
        <f t="shared" si="736"/>
        <v>0</v>
      </c>
      <c r="BI513" s="424">
        <f t="shared" si="736"/>
        <v>0</v>
      </c>
      <c r="BJ513" s="424">
        <f t="shared" si="736"/>
        <v>0</v>
      </c>
      <c r="BK513" s="424">
        <f t="shared" si="736"/>
        <v>0</v>
      </c>
      <c r="BL513" s="424">
        <f t="shared" si="736"/>
        <v>0</v>
      </c>
      <c r="BM513" s="424">
        <f t="shared" si="736"/>
        <v>0</v>
      </c>
      <c r="BN513" s="424">
        <f t="shared" si="736"/>
        <v>0</v>
      </c>
      <c r="BO513" s="424">
        <f t="shared" si="736"/>
        <v>0</v>
      </c>
      <c r="BP513" s="424">
        <f t="shared" si="736"/>
        <v>0</v>
      </c>
      <c r="BQ513" s="424">
        <f t="shared" si="736"/>
        <v>0</v>
      </c>
      <c r="BR513" s="424">
        <f t="shared" si="736"/>
        <v>0</v>
      </c>
      <c r="BS513" s="424">
        <f t="shared" si="736"/>
        <v>0</v>
      </c>
      <c r="BT513" s="424">
        <f t="shared" si="736"/>
        <v>0</v>
      </c>
      <c r="BU513" s="424">
        <f t="shared" si="736"/>
        <v>0</v>
      </c>
      <c r="BV513" s="424">
        <f t="shared" ref="BV513:DA513" si="737">BV143*BV$372</f>
        <v>0</v>
      </c>
      <c r="BW513" s="424">
        <f t="shared" si="737"/>
        <v>0</v>
      </c>
      <c r="BX513" s="424">
        <f t="shared" si="737"/>
        <v>0</v>
      </c>
      <c r="BY513" s="424">
        <f t="shared" si="737"/>
        <v>0</v>
      </c>
      <c r="BZ513" s="424">
        <f t="shared" si="737"/>
        <v>0</v>
      </c>
      <c r="CA513" s="424">
        <f t="shared" si="737"/>
        <v>0</v>
      </c>
      <c r="CB513" s="424">
        <f t="shared" si="737"/>
        <v>4.51</v>
      </c>
      <c r="CC513" s="424">
        <f t="shared" si="737"/>
        <v>0</v>
      </c>
      <c r="CD513" s="424">
        <f t="shared" si="737"/>
        <v>0</v>
      </c>
      <c r="CE513" s="424">
        <f t="shared" si="737"/>
        <v>0</v>
      </c>
      <c r="CF513" s="424">
        <f t="shared" si="737"/>
        <v>0.48</v>
      </c>
      <c r="CG513" s="424">
        <f t="shared" si="737"/>
        <v>0</v>
      </c>
      <c r="CH513" s="424">
        <f t="shared" si="737"/>
        <v>0</v>
      </c>
      <c r="CI513" s="424">
        <f t="shared" si="737"/>
        <v>0.1</v>
      </c>
      <c r="CJ513" s="424">
        <f t="shared" si="737"/>
        <v>0</v>
      </c>
      <c r="CK513" s="424">
        <f t="shared" si="737"/>
        <v>0</v>
      </c>
      <c r="CL513" s="424">
        <f t="shared" si="737"/>
        <v>0</v>
      </c>
      <c r="CM513" s="424">
        <f t="shared" si="737"/>
        <v>0</v>
      </c>
      <c r="CN513" s="424">
        <f t="shared" si="737"/>
        <v>0</v>
      </c>
      <c r="CO513" s="424">
        <f t="shared" si="737"/>
        <v>0</v>
      </c>
      <c r="CP513" s="424">
        <f t="shared" si="737"/>
        <v>0</v>
      </c>
      <c r="CQ513" s="424">
        <f t="shared" si="737"/>
        <v>0</v>
      </c>
      <c r="CR513" s="424">
        <f t="shared" si="737"/>
        <v>0</v>
      </c>
      <c r="CS513" s="424">
        <f t="shared" si="737"/>
        <v>0</v>
      </c>
      <c r="CT513" s="424">
        <f t="shared" si="737"/>
        <v>0</v>
      </c>
      <c r="CU513" s="424">
        <f t="shared" si="737"/>
        <v>0</v>
      </c>
      <c r="CV513" s="424">
        <f t="shared" si="737"/>
        <v>0</v>
      </c>
      <c r="CW513" s="424">
        <f t="shared" si="737"/>
        <v>0</v>
      </c>
      <c r="CX513" s="424">
        <f t="shared" si="737"/>
        <v>0</v>
      </c>
      <c r="CY513" s="424">
        <f t="shared" si="737"/>
        <v>0</v>
      </c>
      <c r="CZ513" s="424">
        <f t="shared" si="737"/>
        <v>0.61</v>
      </c>
      <c r="DA513" s="424">
        <f t="shared" si="737"/>
        <v>0</v>
      </c>
      <c r="DB513" s="424">
        <f t="shared" ref="DB513:EG513" si="738">DB143*DB$372</f>
        <v>0</v>
      </c>
      <c r="DC513" s="424">
        <f t="shared" si="738"/>
        <v>0</v>
      </c>
      <c r="DD513" s="424">
        <f t="shared" si="738"/>
        <v>0.47</v>
      </c>
      <c r="DE513" s="424">
        <f t="shared" si="738"/>
        <v>0</v>
      </c>
      <c r="DF513" s="424">
        <f t="shared" si="738"/>
        <v>0</v>
      </c>
      <c r="DG513" s="424">
        <f t="shared" si="738"/>
        <v>0</v>
      </c>
      <c r="DH513" s="424">
        <f t="shared" si="738"/>
        <v>0</v>
      </c>
      <c r="DI513" s="424">
        <f t="shared" si="738"/>
        <v>0</v>
      </c>
      <c r="DJ513" s="424">
        <f t="shared" si="738"/>
        <v>0</v>
      </c>
      <c r="DK513" s="424">
        <f t="shared" si="738"/>
        <v>0</v>
      </c>
      <c r="DL513" s="424">
        <f t="shared" si="738"/>
        <v>0</v>
      </c>
      <c r="DM513" s="424">
        <f t="shared" si="738"/>
        <v>0</v>
      </c>
      <c r="DN513" s="424">
        <f t="shared" si="738"/>
        <v>0</v>
      </c>
      <c r="DO513" s="424">
        <f t="shared" si="738"/>
        <v>0</v>
      </c>
      <c r="DP513" s="424">
        <f t="shared" si="738"/>
        <v>0</v>
      </c>
      <c r="DQ513" s="424">
        <f t="shared" si="738"/>
        <v>0</v>
      </c>
      <c r="DR513" s="424">
        <f t="shared" si="738"/>
        <v>0</v>
      </c>
      <c r="DS513" s="424">
        <f t="shared" si="738"/>
        <v>0</v>
      </c>
      <c r="DT513" s="424">
        <f t="shared" si="738"/>
        <v>0</v>
      </c>
      <c r="DU513" s="424">
        <f t="shared" si="738"/>
        <v>0</v>
      </c>
      <c r="DV513" s="424">
        <f t="shared" si="738"/>
        <v>0</v>
      </c>
      <c r="DW513" s="424">
        <f t="shared" si="738"/>
        <v>0</v>
      </c>
      <c r="DX513" s="424">
        <f t="shared" si="738"/>
        <v>0</v>
      </c>
      <c r="DY513" s="424">
        <f t="shared" si="738"/>
        <v>0</v>
      </c>
      <c r="DZ513" s="424">
        <f t="shared" si="738"/>
        <v>0</v>
      </c>
      <c r="EA513" s="424">
        <f t="shared" si="738"/>
        <v>0</v>
      </c>
      <c r="EB513" s="424">
        <f t="shared" si="738"/>
        <v>0</v>
      </c>
      <c r="EC513" s="424">
        <f t="shared" si="738"/>
        <v>0</v>
      </c>
      <c r="ED513" s="424">
        <f t="shared" si="738"/>
        <v>0</v>
      </c>
      <c r="EE513" s="424">
        <f t="shared" si="738"/>
        <v>0</v>
      </c>
      <c r="EF513" s="424">
        <f t="shared" si="738"/>
        <v>0</v>
      </c>
      <c r="EG513" s="424">
        <f t="shared" si="738"/>
        <v>0</v>
      </c>
      <c r="EH513" s="424">
        <f t="shared" ref="EH513:EX513" si="739">EH143*EH$372</f>
        <v>0</v>
      </c>
      <c r="EI513" s="424">
        <f t="shared" si="739"/>
        <v>0</v>
      </c>
      <c r="EJ513" s="424">
        <f t="shared" si="739"/>
        <v>0</v>
      </c>
      <c r="EK513" s="424">
        <f t="shared" si="739"/>
        <v>0</v>
      </c>
      <c r="EL513" s="424">
        <f t="shared" si="739"/>
        <v>0</v>
      </c>
      <c r="EM513" s="424">
        <f t="shared" si="739"/>
        <v>0</v>
      </c>
      <c r="EN513" s="424">
        <f t="shared" si="739"/>
        <v>0</v>
      </c>
      <c r="EO513" s="424">
        <f t="shared" si="739"/>
        <v>0</v>
      </c>
      <c r="EP513" s="424">
        <f t="shared" si="739"/>
        <v>0</v>
      </c>
      <c r="EQ513" s="424">
        <f t="shared" si="739"/>
        <v>0</v>
      </c>
      <c r="ER513" s="424">
        <f t="shared" si="739"/>
        <v>0</v>
      </c>
      <c r="ES513" s="424">
        <f t="shared" si="739"/>
        <v>0</v>
      </c>
      <c r="ET513" s="424">
        <f t="shared" si="739"/>
        <v>0</v>
      </c>
      <c r="EU513" s="424">
        <f t="shared" si="739"/>
        <v>0</v>
      </c>
      <c r="EV513" s="424">
        <f t="shared" si="739"/>
        <v>0</v>
      </c>
      <c r="EW513" s="424">
        <f t="shared" si="739"/>
        <v>0</v>
      </c>
      <c r="EX513" s="424">
        <f t="shared" si="739"/>
        <v>0</v>
      </c>
      <c r="EY513" s="425">
        <f t="shared" si="699"/>
        <v>11.88</v>
      </c>
    </row>
    <row r="514" spans="1:166" ht="14.7" customHeight="1" x14ac:dyDescent="0.25">
      <c r="A514" s="310">
        <v>140</v>
      </c>
      <c r="B514" s="311" t="str">
        <f t="shared" si="680"/>
        <v>Запеканка рисовая с молоком сгущенным</v>
      </c>
      <c r="C514" s="483">
        <f t="shared" si="688"/>
        <v>9.16</v>
      </c>
      <c r="D514" s="888"/>
      <c r="E514" s="888"/>
      <c r="F514" s="888"/>
      <c r="G514" s="889"/>
      <c r="H514" s="680">
        <f t="shared" si="681"/>
        <v>185</v>
      </c>
      <c r="I514" s="1209">
        <f t="shared" si="682"/>
        <v>0</v>
      </c>
      <c r="J514" s="424">
        <f t="shared" ref="J514:AO514" si="740">J144*J$372</f>
        <v>0</v>
      </c>
      <c r="K514" s="424">
        <f t="shared" si="740"/>
        <v>0</v>
      </c>
      <c r="L514" s="424">
        <f t="shared" si="740"/>
        <v>0</v>
      </c>
      <c r="M514" s="424">
        <f t="shared" si="740"/>
        <v>0</v>
      </c>
      <c r="N514" s="424">
        <f t="shared" si="740"/>
        <v>0</v>
      </c>
      <c r="O514" s="424">
        <f t="shared" si="740"/>
        <v>0</v>
      </c>
      <c r="P514" s="424">
        <f t="shared" si="740"/>
        <v>0</v>
      </c>
      <c r="Q514" s="424">
        <f t="shared" si="740"/>
        <v>0</v>
      </c>
      <c r="R514" s="424">
        <f t="shared" si="740"/>
        <v>0</v>
      </c>
      <c r="S514" s="424">
        <f t="shared" si="740"/>
        <v>0</v>
      </c>
      <c r="T514" s="424">
        <f t="shared" si="740"/>
        <v>0</v>
      </c>
      <c r="U514" s="424">
        <f t="shared" si="740"/>
        <v>0</v>
      </c>
      <c r="V514" s="424">
        <f t="shared" si="740"/>
        <v>0</v>
      </c>
      <c r="W514" s="424">
        <f t="shared" si="740"/>
        <v>0</v>
      </c>
      <c r="X514" s="424">
        <f t="shared" si="740"/>
        <v>0</v>
      </c>
      <c r="Y514" s="424">
        <f t="shared" si="740"/>
        <v>0.47</v>
      </c>
      <c r="Z514" s="424">
        <f t="shared" si="740"/>
        <v>5</v>
      </c>
      <c r="AA514" s="424">
        <f t="shared" si="740"/>
        <v>0</v>
      </c>
      <c r="AB514" s="424">
        <f t="shared" si="740"/>
        <v>0</v>
      </c>
      <c r="AC514" s="424">
        <f t="shared" si="740"/>
        <v>0</v>
      </c>
      <c r="AD514" s="424">
        <f t="shared" si="740"/>
        <v>0</v>
      </c>
      <c r="AE514" s="424">
        <f t="shared" si="740"/>
        <v>0.61</v>
      </c>
      <c r="AF514" s="424">
        <f t="shared" si="740"/>
        <v>0</v>
      </c>
      <c r="AG514" s="424">
        <f t="shared" si="740"/>
        <v>0</v>
      </c>
      <c r="AH514" s="424">
        <f t="shared" si="740"/>
        <v>0</v>
      </c>
      <c r="AI514" s="424">
        <f t="shared" si="740"/>
        <v>0</v>
      </c>
      <c r="AJ514" s="424">
        <f t="shared" si="740"/>
        <v>0</v>
      </c>
      <c r="AK514" s="424">
        <f t="shared" si="740"/>
        <v>0</v>
      </c>
      <c r="AL514" s="424">
        <f t="shared" si="740"/>
        <v>0</v>
      </c>
      <c r="AM514" s="424">
        <f t="shared" si="740"/>
        <v>0</v>
      </c>
      <c r="AN514" s="424">
        <f t="shared" si="740"/>
        <v>0</v>
      </c>
      <c r="AO514" s="424">
        <f t="shared" si="740"/>
        <v>0</v>
      </c>
      <c r="AP514" s="424">
        <f t="shared" ref="AP514:BU514" si="741">AP144*AP$372</f>
        <v>0</v>
      </c>
      <c r="AQ514" s="424">
        <f t="shared" si="741"/>
        <v>0</v>
      </c>
      <c r="AR514" s="424">
        <f t="shared" si="741"/>
        <v>0</v>
      </c>
      <c r="AS514" s="424">
        <f t="shared" si="741"/>
        <v>0</v>
      </c>
      <c r="AT514" s="424">
        <f t="shared" si="741"/>
        <v>0</v>
      </c>
      <c r="AU514" s="424">
        <f t="shared" si="741"/>
        <v>0</v>
      </c>
      <c r="AV514" s="424">
        <f t="shared" si="741"/>
        <v>0</v>
      </c>
      <c r="AW514" s="424">
        <f t="shared" si="741"/>
        <v>0</v>
      </c>
      <c r="AX514" s="424">
        <f t="shared" si="741"/>
        <v>0</v>
      </c>
      <c r="AY514" s="424">
        <f t="shared" si="741"/>
        <v>0</v>
      </c>
      <c r="AZ514" s="424">
        <f t="shared" si="741"/>
        <v>0</v>
      </c>
      <c r="BA514" s="424">
        <f t="shared" si="741"/>
        <v>0</v>
      </c>
      <c r="BB514" s="424">
        <f t="shared" si="741"/>
        <v>0</v>
      </c>
      <c r="BC514" s="424">
        <f t="shared" si="741"/>
        <v>0</v>
      </c>
      <c r="BD514" s="424">
        <f t="shared" si="741"/>
        <v>0</v>
      </c>
      <c r="BE514" s="424">
        <f t="shared" si="741"/>
        <v>0</v>
      </c>
      <c r="BF514" s="424">
        <f t="shared" si="741"/>
        <v>0</v>
      </c>
      <c r="BG514" s="424">
        <f t="shared" si="741"/>
        <v>0</v>
      </c>
      <c r="BH514" s="424">
        <f t="shared" si="741"/>
        <v>0</v>
      </c>
      <c r="BI514" s="424">
        <f t="shared" si="741"/>
        <v>0</v>
      </c>
      <c r="BJ514" s="424">
        <f t="shared" si="741"/>
        <v>0</v>
      </c>
      <c r="BK514" s="424">
        <f t="shared" si="741"/>
        <v>0</v>
      </c>
      <c r="BL514" s="424">
        <f t="shared" si="741"/>
        <v>0</v>
      </c>
      <c r="BM514" s="424">
        <f t="shared" si="741"/>
        <v>0</v>
      </c>
      <c r="BN514" s="424">
        <f t="shared" si="741"/>
        <v>0</v>
      </c>
      <c r="BO514" s="424">
        <f t="shared" si="741"/>
        <v>0</v>
      </c>
      <c r="BP514" s="424">
        <f t="shared" si="741"/>
        <v>0</v>
      </c>
      <c r="BQ514" s="424">
        <f t="shared" si="741"/>
        <v>0</v>
      </c>
      <c r="BR514" s="424">
        <f t="shared" si="741"/>
        <v>0</v>
      </c>
      <c r="BS514" s="424">
        <f t="shared" si="741"/>
        <v>0</v>
      </c>
      <c r="BT514" s="424">
        <f t="shared" si="741"/>
        <v>0</v>
      </c>
      <c r="BU514" s="424">
        <f t="shared" si="741"/>
        <v>0</v>
      </c>
      <c r="BV514" s="424">
        <f t="shared" ref="BV514:DA514" si="742">BV144*BV$372</f>
        <v>0</v>
      </c>
      <c r="BW514" s="424">
        <f t="shared" si="742"/>
        <v>0</v>
      </c>
      <c r="BX514" s="424">
        <f t="shared" si="742"/>
        <v>0</v>
      </c>
      <c r="BY514" s="424">
        <f t="shared" si="742"/>
        <v>0</v>
      </c>
      <c r="BZ514" s="424">
        <f t="shared" si="742"/>
        <v>0</v>
      </c>
      <c r="CA514" s="424">
        <f t="shared" si="742"/>
        <v>0</v>
      </c>
      <c r="CB514" s="424">
        <f t="shared" si="742"/>
        <v>2.25</v>
      </c>
      <c r="CC514" s="424">
        <f t="shared" si="742"/>
        <v>0</v>
      </c>
      <c r="CD514" s="424">
        <f t="shared" si="742"/>
        <v>0</v>
      </c>
      <c r="CE514" s="424">
        <f t="shared" si="742"/>
        <v>0</v>
      </c>
      <c r="CF514" s="424">
        <f t="shared" si="742"/>
        <v>0.24</v>
      </c>
      <c r="CG514" s="424">
        <f t="shared" si="742"/>
        <v>0</v>
      </c>
      <c r="CH514" s="424">
        <f t="shared" si="742"/>
        <v>0</v>
      </c>
      <c r="CI514" s="424">
        <f t="shared" si="742"/>
        <v>0.05</v>
      </c>
      <c r="CJ514" s="424">
        <f t="shared" si="742"/>
        <v>0</v>
      </c>
      <c r="CK514" s="424">
        <f t="shared" si="742"/>
        <v>0</v>
      </c>
      <c r="CL514" s="424">
        <f t="shared" si="742"/>
        <v>0</v>
      </c>
      <c r="CM514" s="424">
        <f t="shared" si="742"/>
        <v>0</v>
      </c>
      <c r="CN514" s="424">
        <f t="shared" si="742"/>
        <v>0</v>
      </c>
      <c r="CO514" s="424">
        <f t="shared" si="742"/>
        <v>0</v>
      </c>
      <c r="CP514" s="424">
        <f t="shared" si="742"/>
        <v>0</v>
      </c>
      <c r="CQ514" s="424">
        <f t="shared" si="742"/>
        <v>0</v>
      </c>
      <c r="CR514" s="424">
        <f t="shared" si="742"/>
        <v>0</v>
      </c>
      <c r="CS514" s="424">
        <f t="shared" si="742"/>
        <v>0</v>
      </c>
      <c r="CT514" s="424">
        <f t="shared" si="742"/>
        <v>0</v>
      </c>
      <c r="CU514" s="424">
        <f t="shared" si="742"/>
        <v>0</v>
      </c>
      <c r="CV514" s="424">
        <f t="shared" si="742"/>
        <v>0</v>
      </c>
      <c r="CW514" s="424">
        <f t="shared" si="742"/>
        <v>0</v>
      </c>
      <c r="CX514" s="424">
        <f t="shared" si="742"/>
        <v>0</v>
      </c>
      <c r="CY514" s="424">
        <f t="shared" si="742"/>
        <v>0</v>
      </c>
      <c r="CZ514" s="424">
        <f t="shared" si="742"/>
        <v>0.3</v>
      </c>
      <c r="DA514" s="424">
        <f t="shared" si="742"/>
        <v>0</v>
      </c>
      <c r="DB514" s="424">
        <f t="shared" ref="DB514:EG514" si="743">DB144*DB$372</f>
        <v>0</v>
      </c>
      <c r="DC514" s="424">
        <f t="shared" si="743"/>
        <v>0</v>
      </c>
      <c r="DD514" s="424">
        <f t="shared" si="743"/>
        <v>0.24</v>
      </c>
      <c r="DE514" s="424">
        <f t="shared" si="743"/>
        <v>0</v>
      </c>
      <c r="DF514" s="424">
        <f t="shared" si="743"/>
        <v>0</v>
      </c>
      <c r="DG514" s="424">
        <f t="shared" si="743"/>
        <v>0</v>
      </c>
      <c r="DH514" s="424">
        <f t="shared" si="743"/>
        <v>0</v>
      </c>
      <c r="DI514" s="424">
        <f t="shared" si="743"/>
        <v>0</v>
      </c>
      <c r="DJ514" s="424">
        <f t="shared" si="743"/>
        <v>0</v>
      </c>
      <c r="DK514" s="424">
        <f t="shared" si="743"/>
        <v>0</v>
      </c>
      <c r="DL514" s="424">
        <f t="shared" si="743"/>
        <v>0</v>
      </c>
      <c r="DM514" s="424">
        <f t="shared" si="743"/>
        <v>0</v>
      </c>
      <c r="DN514" s="424">
        <f t="shared" si="743"/>
        <v>0</v>
      </c>
      <c r="DO514" s="424">
        <f t="shared" si="743"/>
        <v>0</v>
      </c>
      <c r="DP514" s="424">
        <f t="shared" si="743"/>
        <v>0</v>
      </c>
      <c r="DQ514" s="424">
        <f t="shared" si="743"/>
        <v>0</v>
      </c>
      <c r="DR514" s="424">
        <f t="shared" si="743"/>
        <v>0</v>
      </c>
      <c r="DS514" s="424">
        <f t="shared" si="743"/>
        <v>0</v>
      </c>
      <c r="DT514" s="424">
        <f t="shared" si="743"/>
        <v>0</v>
      </c>
      <c r="DU514" s="424">
        <f t="shared" si="743"/>
        <v>0</v>
      </c>
      <c r="DV514" s="424">
        <f t="shared" si="743"/>
        <v>0</v>
      </c>
      <c r="DW514" s="424">
        <f t="shared" si="743"/>
        <v>0</v>
      </c>
      <c r="DX514" s="424">
        <f t="shared" si="743"/>
        <v>0</v>
      </c>
      <c r="DY514" s="424">
        <f t="shared" si="743"/>
        <v>0</v>
      </c>
      <c r="DZ514" s="424">
        <f t="shared" si="743"/>
        <v>0</v>
      </c>
      <c r="EA514" s="424">
        <f t="shared" si="743"/>
        <v>0</v>
      </c>
      <c r="EB514" s="424">
        <f t="shared" si="743"/>
        <v>0</v>
      </c>
      <c r="EC514" s="424">
        <f t="shared" si="743"/>
        <v>0</v>
      </c>
      <c r="ED514" s="424">
        <f t="shared" si="743"/>
        <v>0</v>
      </c>
      <c r="EE514" s="424">
        <f t="shared" si="743"/>
        <v>0</v>
      </c>
      <c r="EF514" s="424">
        <f t="shared" si="743"/>
        <v>0</v>
      </c>
      <c r="EG514" s="424">
        <f t="shared" si="743"/>
        <v>0</v>
      </c>
      <c r="EH514" s="424">
        <f t="shared" ref="EH514:EX514" si="744">EH144*EH$372</f>
        <v>0</v>
      </c>
      <c r="EI514" s="424">
        <f t="shared" si="744"/>
        <v>0</v>
      </c>
      <c r="EJ514" s="424">
        <f t="shared" si="744"/>
        <v>0</v>
      </c>
      <c r="EK514" s="424">
        <f t="shared" si="744"/>
        <v>0</v>
      </c>
      <c r="EL514" s="424">
        <f t="shared" si="744"/>
        <v>0</v>
      </c>
      <c r="EM514" s="424">
        <f t="shared" si="744"/>
        <v>0</v>
      </c>
      <c r="EN514" s="424">
        <f t="shared" si="744"/>
        <v>0</v>
      </c>
      <c r="EO514" s="424">
        <f t="shared" si="744"/>
        <v>0</v>
      </c>
      <c r="EP514" s="424">
        <f t="shared" si="744"/>
        <v>0</v>
      </c>
      <c r="EQ514" s="424">
        <f t="shared" si="744"/>
        <v>0</v>
      </c>
      <c r="ER514" s="424">
        <f t="shared" si="744"/>
        <v>0</v>
      </c>
      <c r="ES514" s="424">
        <f t="shared" si="744"/>
        <v>0</v>
      </c>
      <c r="ET514" s="424">
        <f t="shared" si="744"/>
        <v>0</v>
      </c>
      <c r="EU514" s="424">
        <f t="shared" si="744"/>
        <v>0</v>
      </c>
      <c r="EV514" s="424">
        <f t="shared" si="744"/>
        <v>0</v>
      </c>
      <c r="EW514" s="424">
        <f t="shared" si="744"/>
        <v>0</v>
      </c>
      <c r="EX514" s="424">
        <f t="shared" si="744"/>
        <v>0</v>
      </c>
      <c r="EY514" s="425">
        <f t="shared" si="699"/>
        <v>9.16</v>
      </c>
    </row>
    <row r="515" spans="1:166" s="1170" customFormat="1" ht="14.7" customHeight="1" x14ac:dyDescent="0.25">
      <c r="A515" s="310">
        <v>141</v>
      </c>
      <c r="B515" s="311" t="str">
        <f t="shared" si="680"/>
        <v>Запеканка манная с изюмом</v>
      </c>
      <c r="C515" s="483">
        <f t="shared" si="688"/>
        <v>22.74</v>
      </c>
      <c r="D515" s="888"/>
      <c r="E515" s="888"/>
      <c r="F515" s="888"/>
      <c r="G515" s="889"/>
      <c r="H515" s="680">
        <f t="shared" si="681"/>
        <v>186</v>
      </c>
      <c r="I515" s="1209">
        <f t="shared" si="682"/>
        <v>0</v>
      </c>
      <c r="J515" s="424">
        <f t="shared" ref="J515:AO515" si="745">J145*J$372</f>
        <v>0</v>
      </c>
      <c r="K515" s="424">
        <f t="shared" si="745"/>
        <v>0</v>
      </c>
      <c r="L515" s="424">
        <f t="shared" si="745"/>
        <v>0</v>
      </c>
      <c r="M515" s="424">
        <f t="shared" si="745"/>
        <v>0</v>
      </c>
      <c r="N515" s="424">
        <f t="shared" si="745"/>
        <v>0</v>
      </c>
      <c r="O515" s="424">
        <f t="shared" si="745"/>
        <v>0</v>
      </c>
      <c r="P515" s="424">
        <f t="shared" si="745"/>
        <v>0</v>
      </c>
      <c r="Q515" s="424">
        <f t="shared" si="745"/>
        <v>0</v>
      </c>
      <c r="R515" s="424">
        <f t="shared" si="745"/>
        <v>0</v>
      </c>
      <c r="S515" s="424">
        <f t="shared" si="745"/>
        <v>0</v>
      </c>
      <c r="T515" s="424">
        <f t="shared" si="745"/>
        <v>0</v>
      </c>
      <c r="U515" s="424">
        <f t="shared" si="745"/>
        <v>8</v>
      </c>
      <c r="V515" s="424">
        <f t="shared" si="745"/>
        <v>0</v>
      </c>
      <c r="W515" s="424">
        <f t="shared" si="745"/>
        <v>0</v>
      </c>
      <c r="X515" s="424">
        <f t="shared" si="745"/>
        <v>0</v>
      </c>
      <c r="Y515" s="424">
        <f t="shared" si="745"/>
        <v>0.94</v>
      </c>
      <c r="Z515" s="424">
        <f t="shared" si="745"/>
        <v>5</v>
      </c>
      <c r="AA515" s="424">
        <f t="shared" si="745"/>
        <v>0</v>
      </c>
      <c r="AB515" s="424">
        <f t="shared" si="745"/>
        <v>0</v>
      </c>
      <c r="AC515" s="424">
        <f t="shared" si="745"/>
        <v>0</v>
      </c>
      <c r="AD515" s="424">
        <f t="shared" si="745"/>
        <v>0</v>
      </c>
      <c r="AE515" s="424">
        <f t="shared" si="745"/>
        <v>1.22</v>
      </c>
      <c r="AF515" s="424">
        <f t="shared" si="745"/>
        <v>0</v>
      </c>
      <c r="AG515" s="424">
        <f t="shared" si="745"/>
        <v>0</v>
      </c>
      <c r="AH515" s="424">
        <f t="shared" si="745"/>
        <v>0</v>
      </c>
      <c r="AI515" s="424">
        <f t="shared" si="745"/>
        <v>0</v>
      </c>
      <c r="AJ515" s="424">
        <f t="shared" si="745"/>
        <v>0</v>
      </c>
      <c r="AK515" s="424">
        <f t="shared" si="745"/>
        <v>0</v>
      </c>
      <c r="AL515" s="424">
        <f t="shared" si="745"/>
        <v>0</v>
      </c>
      <c r="AM515" s="424">
        <f t="shared" si="745"/>
        <v>0</v>
      </c>
      <c r="AN515" s="424">
        <f t="shared" si="745"/>
        <v>0</v>
      </c>
      <c r="AO515" s="424">
        <f t="shared" si="745"/>
        <v>0</v>
      </c>
      <c r="AP515" s="424">
        <f t="shared" ref="AP515:BU515" si="746">AP145*AP$372</f>
        <v>0</v>
      </c>
      <c r="AQ515" s="424">
        <f t="shared" si="746"/>
        <v>0</v>
      </c>
      <c r="AR515" s="424">
        <f t="shared" si="746"/>
        <v>0</v>
      </c>
      <c r="AS515" s="424">
        <f t="shared" si="746"/>
        <v>0</v>
      </c>
      <c r="AT515" s="424">
        <f t="shared" si="746"/>
        <v>0</v>
      </c>
      <c r="AU515" s="424">
        <f t="shared" si="746"/>
        <v>0</v>
      </c>
      <c r="AV515" s="424">
        <f t="shared" si="746"/>
        <v>0</v>
      </c>
      <c r="AW515" s="424">
        <f t="shared" si="746"/>
        <v>0</v>
      </c>
      <c r="AX515" s="424">
        <f t="shared" si="746"/>
        <v>0</v>
      </c>
      <c r="AY515" s="424">
        <f t="shared" si="746"/>
        <v>0</v>
      </c>
      <c r="AZ515" s="424">
        <f t="shared" si="746"/>
        <v>0</v>
      </c>
      <c r="BA515" s="424">
        <f t="shared" si="746"/>
        <v>0</v>
      </c>
      <c r="BB515" s="424">
        <f t="shared" si="746"/>
        <v>0</v>
      </c>
      <c r="BC515" s="424">
        <f t="shared" si="746"/>
        <v>0</v>
      </c>
      <c r="BD515" s="424">
        <f t="shared" si="746"/>
        <v>0</v>
      </c>
      <c r="BE515" s="424">
        <f t="shared" si="746"/>
        <v>0</v>
      </c>
      <c r="BF515" s="424">
        <f t="shared" si="746"/>
        <v>0</v>
      </c>
      <c r="BG515" s="424">
        <f t="shared" si="746"/>
        <v>0</v>
      </c>
      <c r="BH515" s="424">
        <f t="shared" si="746"/>
        <v>0</v>
      </c>
      <c r="BI515" s="424">
        <f t="shared" si="746"/>
        <v>0</v>
      </c>
      <c r="BJ515" s="424">
        <f t="shared" si="746"/>
        <v>0</v>
      </c>
      <c r="BK515" s="424">
        <f t="shared" si="746"/>
        <v>0</v>
      </c>
      <c r="BL515" s="424">
        <f t="shared" si="746"/>
        <v>0</v>
      </c>
      <c r="BM515" s="424">
        <f t="shared" si="746"/>
        <v>0</v>
      </c>
      <c r="BN515" s="424">
        <f t="shared" si="746"/>
        <v>0</v>
      </c>
      <c r="BO515" s="424">
        <f t="shared" si="746"/>
        <v>0</v>
      </c>
      <c r="BP515" s="424">
        <f t="shared" si="746"/>
        <v>0</v>
      </c>
      <c r="BQ515" s="424">
        <f t="shared" si="746"/>
        <v>0</v>
      </c>
      <c r="BR515" s="424">
        <f t="shared" si="746"/>
        <v>0</v>
      </c>
      <c r="BS515" s="424">
        <f t="shared" si="746"/>
        <v>0</v>
      </c>
      <c r="BT515" s="424">
        <f t="shared" si="746"/>
        <v>0</v>
      </c>
      <c r="BU515" s="424">
        <f t="shared" si="746"/>
        <v>1.84</v>
      </c>
      <c r="BV515" s="424">
        <f t="shared" ref="BV515:DA515" si="747">BV145*BV$372</f>
        <v>0</v>
      </c>
      <c r="BW515" s="424">
        <f t="shared" si="747"/>
        <v>0</v>
      </c>
      <c r="BX515" s="424">
        <f t="shared" si="747"/>
        <v>0</v>
      </c>
      <c r="BY515" s="424">
        <f t="shared" si="747"/>
        <v>0</v>
      </c>
      <c r="BZ515" s="424">
        <f t="shared" si="747"/>
        <v>0</v>
      </c>
      <c r="CA515" s="424">
        <f t="shared" si="747"/>
        <v>0</v>
      </c>
      <c r="CB515" s="424">
        <f t="shared" si="747"/>
        <v>0</v>
      </c>
      <c r="CC515" s="424">
        <f t="shared" si="747"/>
        <v>0</v>
      </c>
      <c r="CD515" s="424">
        <f t="shared" si="747"/>
        <v>0</v>
      </c>
      <c r="CE515" s="424">
        <f t="shared" si="747"/>
        <v>0</v>
      </c>
      <c r="CF515" s="424">
        <f t="shared" si="747"/>
        <v>0.48</v>
      </c>
      <c r="CG515" s="424">
        <f t="shared" si="747"/>
        <v>0</v>
      </c>
      <c r="CH515" s="424">
        <f t="shared" si="747"/>
        <v>0</v>
      </c>
      <c r="CI515" s="424">
        <f t="shared" si="747"/>
        <v>0.1</v>
      </c>
      <c r="CJ515" s="424">
        <f t="shared" si="747"/>
        <v>0</v>
      </c>
      <c r="CK515" s="424">
        <f t="shared" si="747"/>
        <v>0</v>
      </c>
      <c r="CL515" s="424">
        <f t="shared" si="747"/>
        <v>0</v>
      </c>
      <c r="CM515" s="424">
        <f t="shared" si="747"/>
        <v>4.08</v>
      </c>
      <c r="CN515" s="424">
        <f t="shared" si="747"/>
        <v>0</v>
      </c>
      <c r="CO515" s="424">
        <f t="shared" si="747"/>
        <v>0</v>
      </c>
      <c r="CP515" s="424">
        <f t="shared" si="747"/>
        <v>0</v>
      </c>
      <c r="CQ515" s="424">
        <f t="shared" si="747"/>
        <v>0</v>
      </c>
      <c r="CR515" s="424">
        <f t="shared" si="747"/>
        <v>0</v>
      </c>
      <c r="CS515" s="424">
        <f t="shared" si="747"/>
        <v>0</v>
      </c>
      <c r="CT515" s="424">
        <f t="shared" si="747"/>
        <v>0</v>
      </c>
      <c r="CU515" s="424">
        <f t="shared" si="747"/>
        <v>0</v>
      </c>
      <c r="CV515" s="424">
        <f t="shared" si="747"/>
        <v>0</v>
      </c>
      <c r="CW515" s="424">
        <f t="shared" si="747"/>
        <v>0</v>
      </c>
      <c r="CX515" s="424">
        <f t="shared" si="747"/>
        <v>0</v>
      </c>
      <c r="CY515" s="424">
        <f t="shared" si="747"/>
        <v>0</v>
      </c>
      <c r="CZ515" s="424">
        <f t="shared" si="747"/>
        <v>0.61</v>
      </c>
      <c r="DA515" s="424">
        <f t="shared" si="747"/>
        <v>0</v>
      </c>
      <c r="DB515" s="424">
        <f t="shared" ref="DB515:EG515" si="748">DB145*DB$372</f>
        <v>0</v>
      </c>
      <c r="DC515" s="424">
        <f t="shared" si="748"/>
        <v>0</v>
      </c>
      <c r="DD515" s="424">
        <f t="shared" si="748"/>
        <v>0.47</v>
      </c>
      <c r="DE515" s="424">
        <f t="shared" si="748"/>
        <v>0</v>
      </c>
      <c r="DF515" s="424">
        <f t="shared" si="748"/>
        <v>0</v>
      </c>
      <c r="DG515" s="424">
        <f t="shared" si="748"/>
        <v>0</v>
      </c>
      <c r="DH515" s="424">
        <f t="shared" si="748"/>
        <v>0</v>
      </c>
      <c r="DI515" s="424">
        <f t="shared" si="748"/>
        <v>0</v>
      </c>
      <c r="DJ515" s="424">
        <f t="shared" si="748"/>
        <v>0</v>
      </c>
      <c r="DK515" s="424">
        <f t="shared" si="748"/>
        <v>0</v>
      </c>
      <c r="DL515" s="424">
        <f t="shared" si="748"/>
        <v>0</v>
      </c>
      <c r="DM515" s="424">
        <f t="shared" si="748"/>
        <v>0</v>
      </c>
      <c r="DN515" s="424">
        <f t="shared" si="748"/>
        <v>0</v>
      </c>
      <c r="DO515" s="424">
        <f t="shared" si="748"/>
        <v>0</v>
      </c>
      <c r="DP515" s="424">
        <f t="shared" si="748"/>
        <v>0</v>
      </c>
      <c r="DQ515" s="424">
        <f t="shared" si="748"/>
        <v>0</v>
      </c>
      <c r="DR515" s="424">
        <f t="shared" si="748"/>
        <v>0</v>
      </c>
      <c r="DS515" s="424">
        <f t="shared" si="748"/>
        <v>0</v>
      </c>
      <c r="DT515" s="424">
        <f t="shared" si="748"/>
        <v>0</v>
      </c>
      <c r="DU515" s="424">
        <f t="shared" si="748"/>
        <v>0</v>
      </c>
      <c r="DV515" s="424">
        <f t="shared" si="748"/>
        <v>0</v>
      </c>
      <c r="DW515" s="424">
        <f t="shared" si="748"/>
        <v>0</v>
      </c>
      <c r="DX515" s="424">
        <f t="shared" si="748"/>
        <v>0</v>
      </c>
      <c r="DY515" s="424">
        <f t="shared" si="748"/>
        <v>0</v>
      </c>
      <c r="DZ515" s="424">
        <f t="shared" si="748"/>
        <v>0</v>
      </c>
      <c r="EA515" s="424">
        <f t="shared" si="748"/>
        <v>0</v>
      </c>
      <c r="EB515" s="424">
        <f t="shared" si="748"/>
        <v>0</v>
      </c>
      <c r="EC515" s="424">
        <f t="shared" si="748"/>
        <v>0</v>
      </c>
      <c r="ED515" s="424">
        <f t="shared" si="748"/>
        <v>0</v>
      </c>
      <c r="EE515" s="424">
        <f t="shared" si="748"/>
        <v>0</v>
      </c>
      <c r="EF515" s="424">
        <f t="shared" si="748"/>
        <v>0</v>
      </c>
      <c r="EG515" s="424">
        <f t="shared" si="748"/>
        <v>0</v>
      </c>
      <c r="EH515" s="424">
        <f t="shared" ref="EH515:EX515" si="749">EH145*EH$372</f>
        <v>0</v>
      </c>
      <c r="EI515" s="424">
        <f t="shared" si="749"/>
        <v>0</v>
      </c>
      <c r="EJ515" s="424">
        <f t="shared" si="749"/>
        <v>0</v>
      </c>
      <c r="EK515" s="424">
        <f t="shared" si="749"/>
        <v>0</v>
      </c>
      <c r="EL515" s="424">
        <f t="shared" si="749"/>
        <v>0</v>
      </c>
      <c r="EM515" s="424">
        <f t="shared" si="749"/>
        <v>0</v>
      </c>
      <c r="EN515" s="424">
        <f t="shared" si="749"/>
        <v>0</v>
      </c>
      <c r="EO515" s="424">
        <f t="shared" si="749"/>
        <v>0</v>
      </c>
      <c r="EP515" s="424">
        <f t="shared" si="749"/>
        <v>0</v>
      </c>
      <c r="EQ515" s="424">
        <f t="shared" si="749"/>
        <v>0</v>
      </c>
      <c r="ER515" s="424">
        <f t="shared" si="749"/>
        <v>0</v>
      </c>
      <c r="ES515" s="424">
        <f t="shared" si="749"/>
        <v>0</v>
      </c>
      <c r="ET515" s="424">
        <f t="shared" si="749"/>
        <v>0</v>
      </c>
      <c r="EU515" s="424">
        <f t="shared" si="749"/>
        <v>0</v>
      </c>
      <c r="EV515" s="424">
        <f t="shared" si="749"/>
        <v>0</v>
      </c>
      <c r="EW515" s="424">
        <f t="shared" si="749"/>
        <v>0</v>
      </c>
      <c r="EX515" s="424">
        <f t="shared" si="749"/>
        <v>0</v>
      </c>
      <c r="EY515" s="425">
        <f t="shared" si="699"/>
        <v>22.74</v>
      </c>
      <c r="EZ515" s="616"/>
      <c r="FA515" s="616"/>
      <c r="FB515" s="616"/>
      <c r="FC515" s="616"/>
      <c r="FD515" s="616"/>
      <c r="FE515" s="616"/>
      <c r="FF515" s="616"/>
      <c r="FG515" s="616"/>
      <c r="FH515" s="616"/>
      <c r="FI515" s="616"/>
      <c r="FJ515" s="616"/>
    </row>
    <row r="516" spans="1:166" ht="14.7" customHeight="1" x14ac:dyDescent="0.25">
      <c r="A516" s="310">
        <v>142</v>
      </c>
      <c r="B516" s="311" t="str">
        <f t="shared" si="680"/>
        <v>Макаронные изделия отварные</v>
      </c>
      <c r="C516" s="483">
        <f t="shared" si="688"/>
        <v>17.920000000000002</v>
      </c>
      <c r="D516" s="888"/>
      <c r="E516" s="888"/>
      <c r="F516" s="888"/>
      <c r="G516" s="889"/>
      <c r="H516" s="680">
        <f t="shared" si="681"/>
        <v>202</v>
      </c>
      <c r="I516" s="1209">
        <f t="shared" si="682"/>
        <v>0</v>
      </c>
      <c r="J516" s="424">
        <f t="shared" ref="J516:AO516" si="750">J146*J$372</f>
        <v>0</v>
      </c>
      <c r="K516" s="424">
        <f t="shared" si="750"/>
        <v>0</v>
      </c>
      <c r="L516" s="424">
        <f t="shared" si="750"/>
        <v>0</v>
      </c>
      <c r="M516" s="424">
        <f t="shared" si="750"/>
        <v>0</v>
      </c>
      <c r="N516" s="424">
        <f t="shared" si="750"/>
        <v>0</v>
      </c>
      <c r="O516" s="424">
        <f t="shared" si="750"/>
        <v>0</v>
      </c>
      <c r="P516" s="424">
        <f t="shared" si="750"/>
        <v>0</v>
      </c>
      <c r="Q516" s="424">
        <f t="shared" si="750"/>
        <v>0</v>
      </c>
      <c r="R516" s="424">
        <f t="shared" si="750"/>
        <v>0</v>
      </c>
      <c r="S516" s="424">
        <f t="shared" si="750"/>
        <v>0</v>
      </c>
      <c r="T516" s="424">
        <f t="shared" si="750"/>
        <v>0</v>
      </c>
      <c r="U516" s="424">
        <f t="shared" si="750"/>
        <v>0</v>
      </c>
      <c r="V516" s="424">
        <f t="shared" si="750"/>
        <v>0</v>
      </c>
      <c r="W516" s="424">
        <f t="shared" si="750"/>
        <v>0</v>
      </c>
      <c r="X516" s="424">
        <f t="shared" si="750"/>
        <v>0</v>
      </c>
      <c r="Y516" s="424">
        <f t="shared" si="750"/>
        <v>0</v>
      </c>
      <c r="Z516" s="424">
        <f t="shared" si="750"/>
        <v>0</v>
      </c>
      <c r="AA516" s="424">
        <f t="shared" si="750"/>
        <v>0</v>
      </c>
      <c r="AB516" s="424">
        <f t="shared" si="750"/>
        <v>0</v>
      </c>
      <c r="AC516" s="424">
        <f t="shared" si="750"/>
        <v>0</v>
      </c>
      <c r="AD516" s="424">
        <f t="shared" si="750"/>
        <v>0</v>
      </c>
      <c r="AE516" s="424">
        <f t="shared" si="750"/>
        <v>0</v>
      </c>
      <c r="AF516" s="424">
        <f t="shared" si="750"/>
        <v>0</v>
      </c>
      <c r="AG516" s="424">
        <f t="shared" si="750"/>
        <v>0</v>
      </c>
      <c r="AH516" s="424">
        <f t="shared" si="750"/>
        <v>0</v>
      </c>
      <c r="AI516" s="424">
        <f t="shared" si="750"/>
        <v>0</v>
      </c>
      <c r="AJ516" s="424">
        <f t="shared" si="750"/>
        <v>0</v>
      </c>
      <c r="AK516" s="424">
        <f t="shared" si="750"/>
        <v>0</v>
      </c>
      <c r="AL516" s="424">
        <f t="shared" si="750"/>
        <v>0</v>
      </c>
      <c r="AM516" s="424">
        <f t="shared" si="750"/>
        <v>0</v>
      </c>
      <c r="AN516" s="424">
        <f t="shared" si="750"/>
        <v>0</v>
      </c>
      <c r="AO516" s="424">
        <f t="shared" si="750"/>
        <v>0</v>
      </c>
      <c r="AP516" s="424">
        <f t="shared" ref="AP516:BU516" si="751">AP146*AP$372</f>
        <v>0</v>
      </c>
      <c r="AQ516" s="424">
        <f t="shared" si="751"/>
        <v>0</v>
      </c>
      <c r="AR516" s="424">
        <f t="shared" si="751"/>
        <v>0</v>
      </c>
      <c r="AS516" s="424">
        <f t="shared" si="751"/>
        <v>0</v>
      </c>
      <c r="AT516" s="424">
        <f t="shared" si="751"/>
        <v>0</v>
      </c>
      <c r="AU516" s="424">
        <f t="shared" si="751"/>
        <v>0</v>
      </c>
      <c r="AV516" s="424">
        <f t="shared" si="751"/>
        <v>0</v>
      </c>
      <c r="AW516" s="424">
        <f t="shared" si="751"/>
        <v>0</v>
      </c>
      <c r="AX516" s="424">
        <f t="shared" si="751"/>
        <v>0</v>
      </c>
      <c r="AY516" s="424">
        <f t="shared" si="751"/>
        <v>0</v>
      </c>
      <c r="AZ516" s="424">
        <f t="shared" si="751"/>
        <v>0</v>
      </c>
      <c r="BA516" s="424">
        <f t="shared" si="751"/>
        <v>0</v>
      </c>
      <c r="BB516" s="424">
        <f t="shared" si="751"/>
        <v>0</v>
      </c>
      <c r="BC516" s="424">
        <f t="shared" si="751"/>
        <v>0</v>
      </c>
      <c r="BD516" s="424">
        <f t="shared" si="751"/>
        <v>0</v>
      </c>
      <c r="BE516" s="424">
        <f t="shared" si="751"/>
        <v>0</v>
      </c>
      <c r="BF516" s="424">
        <f t="shared" si="751"/>
        <v>0</v>
      </c>
      <c r="BG516" s="424">
        <f t="shared" si="751"/>
        <v>0</v>
      </c>
      <c r="BH516" s="424">
        <f t="shared" si="751"/>
        <v>0</v>
      </c>
      <c r="BI516" s="424">
        <f t="shared" si="751"/>
        <v>0</v>
      </c>
      <c r="BJ516" s="424">
        <f t="shared" si="751"/>
        <v>0</v>
      </c>
      <c r="BK516" s="424">
        <f t="shared" si="751"/>
        <v>0</v>
      </c>
      <c r="BL516" s="424">
        <f t="shared" si="751"/>
        <v>0</v>
      </c>
      <c r="BM516" s="424">
        <f t="shared" si="751"/>
        <v>0</v>
      </c>
      <c r="BN516" s="424">
        <f t="shared" si="751"/>
        <v>0</v>
      </c>
      <c r="BO516" s="424">
        <f t="shared" si="751"/>
        <v>0</v>
      </c>
      <c r="BP516" s="424">
        <f t="shared" si="751"/>
        <v>0</v>
      </c>
      <c r="BQ516" s="424">
        <f t="shared" si="751"/>
        <v>0</v>
      </c>
      <c r="BR516" s="424">
        <f t="shared" si="751"/>
        <v>0</v>
      </c>
      <c r="BS516" s="424">
        <f t="shared" si="751"/>
        <v>0</v>
      </c>
      <c r="BT516" s="424">
        <f t="shared" si="751"/>
        <v>0</v>
      </c>
      <c r="BU516" s="424">
        <f t="shared" si="751"/>
        <v>0</v>
      </c>
      <c r="BV516" s="424">
        <f t="shared" ref="BV516:DA516" si="752">BV146*BV$372</f>
        <v>0</v>
      </c>
      <c r="BW516" s="424">
        <f t="shared" si="752"/>
        <v>0</v>
      </c>
      <c r="BX516" s="424">
        <f t="shared" si="752"/>
        <v>0</v>
      </c>
      <c r="BY516" s="424">
        <f t="shared" si="752"/>
        <v>0</v>
      </c>
      <c r="BZ516" s="424">
        <f t="shared" si="752"/>
        <v>0</v>
      </c>
      <c r="CA516" s="424">
        <f t="shared" si="752"/>
        <v>0</v>
      </c>
      <c r="CB516" s="424">
        <f t="shared" si="752"/>
        <v>0</v>
      </c>
      <c r="CC516" s="424">
        <f t="shared" si="752"/>
        <v>0</v>
      </c>
      <c r="CD516" s="424">
        <f t="shared" si="752"/>
        <v>0</v>
      </c>
      <c r="CE516" s="424">
        <f t="shared" si="752"/>
        <v>0</v>
      </c>
      <c r="CF516" s="424">
        <f t="shared" si="752"/>
        <v>0</v>
      </c>
      <c r="CG516" s="424">
        <f t="shared" si="752"/>
        <v>17.5</v>
      </c>
      <c r="CH516" s="424">
        <f t="shared" si="752"/>
        <v>0</v>
      </c>
      <c r="CI516" s="424">
        <f t="shared" si="752"/>
        <v>0</v>
      </c>
      <c r="CJ516" s="424">
        <f t="shared" si="752"/>
        <v>0</v>
      </c>
      <c r="CK516" s="424">
        <f t="shared" si="752"/>
        <v>0</v>
      </c>
      <c r="CL516" s="424">
        <f t="shared" si="752"/>
        <v>0</v>
      </c>
      <c r="CM516" s="424">
        <f t="shared" si="752"/>
        <v>0</v>
      </c>
      <c r="CN516" s="424">
        <f t="shared" si="752"/>
        <v>0</v>
      </c>
      <c r="CO516" s="424">
        <f t="shared" si="752"/>
        <v>0</v>
      </c>
      <c r="CP516" s="424">
        <f t="shared" si="752"/>
        <v>0</v>
      </c>
      <c r="CQ516" s="424">
        <f t="shared" si="752"/>
        <v>0</v>
      </c>
      <c r="CR516" s="424">
        <f t="shared" si="752"/>
        <v>0</v>
      </c>
      <c r="CS516" s="424">
        <f t="shared" si="752"/>
        <v>0</v>
      </c>
      <c r="CT516" s="424">
        <f t="shared" si="752"/>
        <v>0</v>
      </c>
      <c r="CU516" s="424">
        <f t="shared" si="752"/>
        <v>0</v>
      </c>
      <c r="CV516" s="424">
        <f t="shared" si="752"/>
        <v>0</v>
      </c>
      <c r="CW516" s="424">
        <f t="shared" si="752"/>
        <v>0</v>
      </c>
      <c r="CX516" s="424">
        <f t="shared" si="752"/>
        <v>0</v>
      </c>
      <c r="CY516" s="424">
        <f t="shared" si="752"/>
        <v>0</v>
      </c>
      <c r="CZ516" s="424">
        <f t="shared" si="752"/>
        <v>0</v>
      </c>
      <c r="DA516" s="424">
        <f t="shared" si="752"/>
        <v>0</v>
      </c>
      <c r="DB516" s="424">
        <f t="shared" ref="DB516:EG516" si="753">DB146*DB$372</f>
        <v>0</v>
      </c>
      <c r="DC516" s="424">
        <f t="shared" si="753"/>
        <v>0.42</v>
      </c>
      <c r="DD516" s="424">
        <f t="shared" si="753"/>
        <v>0</v>
      </c>
      <c r="DE516" s="424">
        <f t="shared" si="753"/>
        <v>0</v>
      </c>
      <c r="DF516" s="424">
        <f t="shared" si="753"/>
        <v>0</v>
      </c>
      <c r="DG516" s="424">
        <f t="shared" si="753"/>
        <v>0</v>
      </c>
      <c r="DH516" s="424">
        <f t="shared" si="753"/>
        <v>0</v>
      </c>
      <c r="DI516" s="424">
        <f t="shared" si="753"/>
        <v>0</v>
      </c>
      <c r="DJ516" s="424">
        <f t="shared" si="753"/>
        <v>0</v>
      </c>
      <c r="DK516" s="424">
        <f t="shared" si="753"/>
        <v>0</v>
      </c>
      <c r="DL516" s="424">
        <f t="shared" si="753"/>
        <v>0</v>
      </c>
      <c r="DM516" s="424">
        <f t="shared" si="753"/>
        <v>0</v>
      </c>
      <c r="DN516" s="424">
        <f t="shared" si="753"/>
        <v>0</v>
      </c>
      <c r="DO516" s="424">
        <f t="shared" si="753"/>
        <v>0</v>
      </c>
      <c r="DP516" s="424">
        <f t="shared" si="753"/>
        <v>0</v>
      </c>
      <c r="DQ516" s="424">
        <f t="shared" si="753"/>
        <v>0</v>
      </c>
      <c r="DR516" s="424">
        <f t="shared" si="753"/>
        <v>0</v>
      </c>
      <c r="DS516" s="424">
        <f t="shared" si="753"/>
        <v>0</v>
      </c>
      <c r="DT516" s="424">
        <f t="shared" si="753"/>
        <v>0</v>
      </c>
      <c r="DU516" s="424">
        <f t="shared" si="753"/>
        <v>0</v>
      </c>
      <c r="DV516" s="424">
        <f t="shared" si="753"/>
        <v>0</v>
      </c>
      <c r="DW516" s="424">
        <f t="shared" si="753"/>
        <v>0</v>
      </c>
      <c r="DX516" s="424">
        <f t="shared" si="753"/>
        <v>0</v>
      </c>
      <c r="DY516" s="424">
        <f t="shared" si="753"/>
        <v>0</v>
      </c>
      <c r="DZ516" s="424">
        <f t="shared" si="753"/>
        <v>0</v>
      </c>
      <c r="EA516" s="424">
        <f t="shared" si="753"/>
        <v>0</v>
      </c>
      <c r="EB516" s="424">
        <f t="shared" si="753"/>
        <v>0</v>
      </c>
      <c r="EC516" s="424">
        <f t="shared" si="753"/>
        <v>0</v>
      </c>
      <c r="ED516" s="424">
        <f t="shared" si="753"/>
        <v>0</v>
      </c>
      <c r="EE516" s="424">
        <f t="shared" si="753"/>
        <v>0</v>
      </c>
      <c r="EF516" s="424">
        <f t="shared" si="753"/>
        <v>0</v>
      </c>
      <c r="EG516" s="424">
        <f t="shared" si="753"/>
        <v>0</v>
      </c>
      <c r="EH516" s="424">
        <f t="shared" ref="EH516:EX516" si="754">EH146*EH$372</f>
        <v>0</v>
      </c>
      <c r="EI516" s="424">
        <f t="shared" si="754"/>
        <v>0</v>
      </c>
      <c r="EJ516" s="424">
        <f t="shared" si="754"/>
        <v>0</v>
      </c>
      <c r="EK516" s="424">
        <f t="shared" si="754"/>
        <v>0</v>
      </c>
      <c r="EL516" s="424">
        <f t="shared" si="754"/>
        <v>0</v>
      </c>
      <c r="EM516" s="424">
        <f t="shared" si="754"/>
        <v>0</v>
      </c>
      <c r="EN516" s="424">
        <f t="shared" si="754"/>
        <v>0</v>
      </c>
      <c r="EO516" s="424">
        <f t="shared" si="754"/>
        <v>0</v>
      </c>
      <c r="EP516" s="424">
        <f t="shared" si="754"/>
        <v>0</v>
      </c>
      <c r="EQ516" s="424">
        <f t="shared" si="754"/>
        <v>0</v>
      </c>
      <c r="ER516" s="424">
        <f t="shared" si="754"/>
        <v>0</v>
      </c>
      <c r="ES516" s="424">
        <f t="shared" si="754"/>
        <v>0</v>
      </c>
      <c r="ET516" s="424">
        <f t="shared" si="754"/>
        <v>0</v>
      </c>
      <c r="EU516" s="424">
        <f t="shared" si="754"/>
        <v>0</v>
      </c>
      <c r="EV516" s="424">
        <f t="shared" si="754"/>
        <v>0</v>
      </c>
      <c r="EW516" s="424">
        <f t="shared" si="754"/>
        <v>0</v>
      </c>
      <c r="EX516" s="424">
        <f t="shared" si="754"/>
        <v>0</v>
      </c>
      <c r="EY516" s="425">
        <f t="shared" si="699"/>
        <v>17.920000000000002</v>
      </c>
    </row>
    <row r="517" spans="1:166" s="937" customFormat="1" ht="14.7" customHeight="1" x14ac:dyDescent="0.25">
      <c r="A517" s="310">
        <v>143</v>
      </c>
      <c r="B517" s="311" t="str">
        <f t="shared" si="680"/>
        <v>Макаронные изделия отварные</v>
      </c>
      <c r="C517" s="483">
        <f t="shared" si="688"/>
        <v>2.69</v>
      </c>
      <c r="D517" s="888"/>
      <c r="E517" s="888"/>
      <c r="F517" s="888"/>
      <c r="G517" s="889"/>
      <c r="H517" s="680">
        <f t="shared" si="681"/>
        <v>202</v>
      </c>
      <c r="I517" s="1209">
        <f t="shared" si="682"/>
        <v>0</v>
      </c>
      <c r="J517" s="424">
        <f t="shared" ref="J517:AO517" si="755">J147*J$372</f>
        <v>0</v>
      </c>
      <c r="K517" s="424">
        <f t="shared" si="755"/>
        <v>0</v>
      </c>
      <c r="L517" s="424">
        <f t="shared" si="755"/>
        <v>0</v>
      </c>
      <c r="M517" s="424">
        <f t="shared" si="755"/>
        <v>0</v>
      </c>
      <c r="N517" s="424">
        <f t="shared" si="755"/>
        <v>0</v>
      </c>
      <c r="O517" s="424">
        <f t="shared" si="755"/>
        <v>0</v>
      </c>
      <c r="P517" s="424">
        <f t="shared" si="755"/>
        <v>0</v>
      </c>
      <c r="Q517" s="424">
        <f t="shared" si="755"/>
        <v>0</v>
      </c>
      <c r="R517" s="424">
        <f t="shared" si="755"/>
        <v>0</v>
      </c>
      <c r="S517" s="424">
        <f t="shared" si="755"/>
        <v>0</v>
      </c>
      <c r="T517" s="424">
        <f t="shared" si="755"/>
        <v>0</v>
      </c>
      <c r="U517" s="424">
        <f t="shared" si="755"/>
        <v>0</v>
      </c>
      <c r="V517" s="424">
        <f t="shared" si="755"/>
        <v>0</v>
      </c>
      <c r="W517" s="424">
        <f t="shared" si="755"/>
        <v>0</v>
      </c>
      <c r="X517" s="424">
        <f t="shared" si="755"/>
        <v>0</v>
      </c>
      <c r="Y517" s="424">
        <f t="shared" si="755"/>
        <v>0</v>
      </c>
      <c r="Z517" s="424">
        <f t="shared" si="755"/>
        <v>0</v>
      </c>
      <c r="AA517" s="424">
        <f t="shared" si="755"/>
        <v>0</v>
      </c>
      <c r="AB517" s="424">
        <f t="shared" si="755"/>
        <v>0</v>
      </c>
      <c r="AC517" s="424">
        <f t="shared" si="755"/>
        <v>0</v>
      </c>
      <c r="AD517" s="424">
        <f t="shared" si="755"/>
        <v>0</v>
      </c>
      <c r="AE517" s="424">
        <f t="shared" si="755"/>
        <v>0</v>
      </c>
      <c r="AF517" s="424">
        <f t="shared" si="755"/>
        <v>0</v>
      </c>
      <c r="AG517" s="424">
        <f t="shared" si="755"/>
        <v>0</v>
      </c>
      <c r="AH517" s="424">
        <f t="shared" si="755"/>
        <v>0</v>
      </c>
      <c r="AI517" s="424">
        <f t="shared" si="755"/>
        <v>0</v>
      </c>
      <c r="AJ517" s="424">
        <f t="shared" si="755"/>
        <v>0</v>
      </c>
      <c r="AK517" s="424">
        <f t="shared" si="755"/>
        <v>0</v>
      </c>
      <c r="AL517" s="424">
        <f t="shared" si="755"/>
        <v>0</v>
      </c>
      <c r="AM517" s="424">
        <f t="shared" si="755"/>
        <v>0</v>
      </c>
      <c r="AN517" s="424">
        <f t="shared" si="755"/>
        <v>0</v>
      </c>
      <c r="AO517" s="424">
        <f t="shared" si="755"/>
        <v>0</v>
      </c>
      <c r="AP517" s="424">
        <f t="shared" ref="AP517:BU517" si="756">AP147*AP$372</f>
        <v>0</v>
      </c>
      <c r="AQ517" s="424">
        <f t="shared" si="756"/>
        <v>0</v>
      </c>
      <c r="AR517" s="424">
        <f t="shared" si="756"/>
        <v>0</v>
      </c>
      <c r="AS517" s="424">
        <f t="shared" si="756"/>
        <v>0</v>
      </c>
      <c r="AT517" s="424">
        <f t="shared" si="756"/>
        <v>0</v>
      </c>
      <c r="AU517" s="424">
        <f t="shared" si="756"/>
        <v>0</v>
      </c>
      <c r="AV517" s="424">
        <f t="shared" si="756"/>
        <v>0</v>
      </c>
      <c r="AW517" s="424">
        <f t="shared" si="756"/>
        <v>0</v>
      </c>
      <c r="AX517" s="424">
        <f t="shared" si="756"/>
        <v>0</v>
      </c>
      <c r="AY517" s="424">
        <f t="shared" si="756"/>
        <v>0</v>
      </c>
      <c r="AZ517" s="424">
        <f t="shared" si="756"/>
        <v>0</v>
      </c>
      <c r="BA517" s="424">
        <f t="shared" si="756"/>
        <v>0</v>
      </c>
      <c r="BB517" s="424">
        <f t="shared" si="756"/>
        <v>0</v>
      </c>
      <c r="BC517" s="424">
        <f t="shared" si="756"/>
        <v>0</v>
      </c>
      <c r="BD517" s="424">
        <f t="shared" si="756"/>
        <v>0</v>
      </c>
      <c r="BE517" s="424">
        <f t="shared" si="756"/>
        <v>0</v>
      </c>
      <c r="BF517" s="424">
        <f t="shared" si="756"/>
        <v>0</v>
      </c>
      <c r="BG517" s="424">
        <f t="shared" si="756"/>
        <v>0</v>
      </c>
      <c r="BH517" s="424">
        <f t="shared" si="756"/>
        <v>0</v>
      </c>
      <c r="BI517" s="424">
        <f t="shared" si="756"/>
        <v>0</v>
      </c>
      <c r="BJ517" s="424">
        <f t="shared" si="756"/>
        <v>0</v>
      </c>
      <c r="BK517" s="424">
        <f t="shared" si="756"/>
        <v>0</v>
      </c>
      <c r="BL517" s="424">
        <f t="shared" si="756"/>
        <v>0</v>
      </c>
      <c r="BM517" s="424">
        <f t="shared" si="756"/>
        <v>0</v>
      </c>
      <c r="BN517" s="424">
        <f t="shared" si="756"/>
        <v>0</v>
      </c>
      <c r="BO517" s="424">
        <f t="shared" si="756"/>
        <v>0</v>
      </c>
      <c r="BP517" s="424">
        <f t="shared" si="756"/>
        <v>0</v>
      </c>
      <c r="BQ517" s="424">
        <f t="shared" si="756"/>
        <v>0</v>
      </c>
      <c r="BR517" s="424">
        <f t="shared" si="756"/>
        <v>0</v>
      </c>
      <c r="BS517" s="424">
        <f t="shared" si="756"/>
        <v>0</v>
      </c>
      <c r="BT517" s="424">
        <f t="shared" si="756"/>
        <v>0</v>
      </c>
      <c r="BU517" s="424">
        <f t="shared" si="756"/>
        <v>0</v>
      </c>
      <c r="BV517" s="424">
        <f t="shared" ref="BV517:DA517" si="757">BV147*BV$372</f>
        <v>0</v>
      </c>
      <c r="BW517" s="424">
        <f t="shared" si="757"/>
        <v>0</v>
      </c>
      <c r="BX517" s="424">
        <f t="shared" si="757"/>
        <v>0</v>
      </c>
      <c r="BY517" s="424">
        <f t="shared" si="757"/>
        <v>0</v>
      </c>
      <c r="BZ517" s="424">
        <f t="shared" si="757"/>
        <v>0</v>
      </c>
      <c r="CA517" s="424">
        <f t="shared" si="757"/>
        <v>0</v>
      </c>
      <c r="CB517" s="424">
        <f t="shared" si="757"/>
        <v>0</v>
      </c>
      <c r="CC517" s="424">
        <f t="shared" si="757"/>
        <v>0</v>
      </c>
      <c r="CD517" s="424">
        <f t="shared" si="757"/>
        <v>0</v>
      </c>
      <c r="CE517" s="424">
        <f t="shared" si="757"/>
        <v>0</v>
      </c>
      <c r="CF517" s="424">
        <f t="shared" si="757"/>
        <v>0</v>
      </c>
      <c r="CG517" s="424">
        <f t="shared" si="757"/>
        <v>2.63</v>
      </c>
      <c r="CH517" s="424">
        <f t="shared" si="757"/>
        <v>0</v>
      </c>
      <c r="CI517" s="424">
        <f t="shared" si="757"/>
        <v>0</v>
      </c>
      <c r="CJ517" s="424">
        <f t="shared" si="757"/>
        <v>0</v>
      </c>
      <c r="CK517" s="424">
        <f t="shared" si="757"/>
        <v>0</v>
      </c>
      <c r="CL517" s="424">
        <f t="shared" si="757"/>
        <v>0</v>
      </c>
      <c r="CM517" s="424">
        <f t="shared" si="757"/>
        <v>0</v>
      </c>
      <c r="CN517" s="424">
        <f t="shared" si="757"/>
        <v>0</v>
      </c>
      <c r="CO517" s="424">
        <f t="shared" si="757"/>
        <v>0</v>
      </c>
      <c r="CP517" s="424">
        <f t="shared" si="757"/>
        <v>0</v>
      </c>
      <c r="CQ517" s="424">
        <f t="shared" si="757"/>
        <v>0</v>
      </c>
      <c r="CR517" s="424">
        <f t="shared" si="757"/>
        <v>0</v>
      </c>
      <c r="CS517" s="424">
        <f t="shared" si="757"/>
        <v>0</v>
      </c>
      <c r="CT517" s="424">
        <f t="shared" si="757"/>
        <v>0</v>
      </c>
      <c r="CU517" s="424">
        <f t="shared" si="757"/>
        <v>0</v>
      </c>
      <c r="CV517" s="424">
        <f t="shared" si="757"/>
        <v>0</v>
      </c>
      <c r="CW517" s="424">
        <f t="shared" si="757"/>
        <v>0</v>
      </c>
      <c r="CX517" s="424">
        <f t="shared" si="757"/>
        <v>0</v>
      </c>
      <c r="CY517" s="424">
        <f t="shared" si="757"/>
        <v>0</v>
      </c>
      <c r="CZ517" s="424">
        <f t="shared" si="757"/>
        <v>0</v>
      </c>
      <c r="DA517" s="424">
        <f t="shared" si="757"/>
        <v>0</v>
      </c>
      <c r="DB517" s="424">
        <f t="shared" ref="DB517:EG517" si="758">DB147*DB$372</f>
        <v>0</v>
      </c>
      <c r="DC517" s="424">
        <f t="shared" si="758"/>
        <v>0.06</v>
      </c>
      <c r="DD517" s="424">
        <f t="shared" si="758"/>
        <v>0</v>
      </c>
      <c r="DE517" s="424">
        <f t="shared" si="758"/>
        <v>0</v>
      </c>
      <c r="DF517" s="424">
        <f t="shared" si="758"/>
        <v>0</v>
      </c>
      <c r="DG517" s="424">
        <f t="shared" si="758"/>
        <v>0</v>
      </c>
      <c r="DH517" s="424">
        <f t="shared" si="758"/>
        <v>0</v>
      </c>
      <c r="DI517" s="424">
        <f t="shared" si="758"/>
        <v>0</v>
      </c>
      <c r="DJ517" s="424">
        <f t="shared" si="758"/>
        <v>0</v>
      </c>
      <c r="DK517" s="424">
        <f t="shared" si="758"/>
        <v>0</v>
      </c>
      <c r="DL517" s="424">
        <f t="shared" si="758"/>
        <v>0</v>
      </c>
      <c r="DM517" s="424">
        <f t="shared" si="758"/>
        <v>0</v>
      </c>
      <c r="DN517" s="424">
        <f t="shared" si="758"/>
        <v>0</v>
      </c>
      <c r="DO517" s="424">
        <f t="shared" si="758"/>
        <v>0</v>
      </c>
      <c r="DP517" s="424">
        <f t="shared" si="758"/>
        <v>0</v>
      </c>
      <c r="DQ517" s="424">
        <f t="shared" si="758"/>
        <v>0</v>
      </c>
      <c r="DR517" s="424">
        <f t="shared" si="758"/>
        <v>0</v>
      </c>
      <c r="DS517" s="424">
        <f t="shared" si="758"/>
        <v>0</v>
      </c>
      <c r="DT517" s="424">
        <f t="shared" si="758"/>
        <v>0</v>
      </c>
      <c r="DU517" s="424">
        <f t="shared" si="758"/>
        <v>0</v>
      </c>
      <c r="DV517" s="424">
        <f t="shared" si="758"/>
        <v>0</v>
      </c>
      <c r="DW517" s="424">
        <f t="shared" si="758"/>
        <v>0</v>
      </c>
      <c r="DX517" s="424">
        <f t="shared" si="758"/>
        <v>0</v>
      </c>
      <c r="DY517" s="424">
        <f t="shared" si="758"/>
        <v>0</v>
      </c>
      <c r="DZ517" s="424">
        <f t="shared" si="758"/>
        <v>0</v>
      </c>
      <c r="EA517" s="424">
        <f t="shared" si="758"/>
        <v>0</v>
      </c>
      <c r="EB517" s="424">
        <f t="shared" si="758"/>
        <v>0</v>
      </c>
      <c r="EC517" s="424">
        <f t="shared" si="758"/>
        <v>0</v>
      </c>
      <c r="ED517" s="424">
        <f t="shared" si="758"/>
        <v>0</v>
      </c>
      <c r="EE517" s="424">
        <f t="shared" si="758"/>
        <v>0</v>
      </c>
      <c r="EF517" s="424">
        <f t="shared" si="758"/>
        <v>0</v>
      </c>
      <c r="EG517" s="424">
        <f t="shared" si="758"/>
        <v>0</v>
      </c>
      <c r="EH517" s="424">
        <f t="shared" ref="EH517:EX517" si="759">EH147*EH$372</f>
        <v>0</v>
      </c>
      <c r="EI517" s="424">
        <f t="shared" si="759"/>
        <v>0</v>
      </c>
      <c r="EJ517" s="424">
        <f t="shared" si="759"/>
        <v>0</v>
      </c>
      <c r="EK517" s="424">
        <f t="shared" si="759"/>
        <v>0</v>
      </c>
      <c r="EL517" s="424">
        <f t="shared" si="759"/>
        <v>0</v>
      </c>
      <c r="EM517" s="424">
        <f t="shared" si="759"/>
        <v>0</v>
      </c>
      <c r="EN517" s="424">
        <f t="shared" si="759"/>
        <v>0</v>
      </c>
      <c r="EO517" s="424">
        <f t="shared" si="759"/>
        <v>0</v>
      </c>
      <c r="EP517" s="424">
        <f t="shared" si="759"/>
        <v>0</v>
      </c>
      <c r="EQ517" s="424">
        <f t="shared" si="759"/>
        <v>0</v>
      </c>
      <c r="ER517" s="424">
        <f t="shared" si="759"/>
        <v>0</v>
      </c>
      <c r="ES517" s="424">
        <f t="shared" si="759"/>
        <v>0</v>
      </c>
      <c r="ET517" s="424">
        <f t="shared" si="759"/>
        <v>0</v>
      </c>
      <c r="EU517" s="424">
        <f t="shared" si="759"/>
        <v>0</v>
      </c>
      <c r="EV517" s="424">
        <f t="shared" si="759"/>
        <v>0</v>
      </c>
      <c r="EW517" s="424">
        <f t="shared" si="759"/>
        <v>0</v>
      </c>
      <c r="EX517" s="424">
        <f t="shared" si="759"/>
        <v>0</v>
      </c>
      <c r="EY517" s="425">
        <f t="shared" si="699"/>
        <v>2.69</v>
      </c>
      <c r="EZ517" s="616"/>
      <c r="FA517" s="616"/>
      <c r="FB517" s="616"/>
      <c r="FC517" s="616"/>
      <c r="FD517" s="616"/>
      <c r="FE517" s="616"/>
      <c r="FF517" s="616"/>
      <c r="FG517" s="616"/>
      <c r="FH517" s="616"/>
      <c r="FI517" s="616"/>
      <c r="FJ517" s="616"/>
    </row>
    <row r="518" spans="1:166" s="407" customFormat="1" ht="14.7" customHeight="1" x14ac:dyDescent="0.25">
      <c r="A518" s="310">
        <v>144</v>
      </c>
      <c r="B518" s="311" t="str">
        <f t="shared" si="680"/>
        <v>Макаронные изделия отварные с маслом</v>
      </c>
      <c r="C518" s="483">
        <f t="shared" si="688"/>
        <v>6.24</v>
      </c>
      <c r="D518" s="888"/>
      <c r="E518" s="888"/>
      <c r="F518" s="888"/>
      <c r="G518" s="889"/>
      <c r="H518" s="680">
        <f t="shared" si="681"/>
        <v>203</v>
      </c>
      <c r="I518" s="1209">
        <f t="shared" si="682"/>
        <v>0</v>
      </c>
      <c r="J518" s="424">
        <f t="shared" ref="J518:AO518" si="760">J148*J$372</f>
        <v>0</v>
      </c>
      <c r="K518" s="424">
        <f t="shared" si="760"/>
        <v>0</v>
      </c>
      <c r="L518" s="424">
        <f t="shared" si="760"/>
        <v>0</v>
      </c>
      <c r="M518" s="424">
        <f t="shared" si="760"/>
        <v>0</v>
      </c>
      <c r="N518" s="424">
        <f t="shared" si="760"/>
        <v>0</v>
      </c>
      <c r="O518" s="424">
        <f t="shared" si="760"/>
        <v>0</v>
      </c>
      <c r="P518" s="424">
        <f t="shared" si="760"/>
        <v>0</v>
      </c>
      <c r="Q518" s="424">
        <f t="shared" si="760"/>
        <v>0</v>
      </c>
      <c r="R518" s="424">
        <f t="shared" si="760"/>
        <v>0</v>
      </c>
      <c r="S518" s="424">
        <f t="shared" si="760"/>
        <v>0</v>
      </c>
      <c r="T518" s="424">
        <f t="shared" si="760"/>
        <v>0</v>
      </c>
      <c r="U518" s="424">
        <f t="shared" si="760"/>
        <v>0</v>
      </c>
      <c r="V518" s="424">
        <f t="shared" si="760"/>
        <v>3.55</v>
      </c>
      <c r="W518" s="424">
        <f t="shared" si="760"/>
        <v>0</v>
      </c>
      <c r="X518" s="424">
        <f t="shared" si="760"/>
        <v>0</v>
      </c>
      <c r="Y518" s="424">
        <f t="shared" si="760"/>
        <v>0</v>
      </c>
      <c r="Z518" s="424">
        <f t="shared" si="760"/>
        <v>0</v>
      </c>
      <c r="AA518" s="424">
        <f t="shared" si="760"/>
        <v>0</v>
      </c>
      <c r="AB518" s="424">
        <f t="shared" si="760"/>
        <v>0</v>
      </c>
      <c r="AC518" s="424">
        <f t="shared" si="760"/>
        <v>0</v>
      </c>
      <c r="AD518" s="424">
        <f t="shared" si="760"/>
        <v>0</v>
      </c>
      <c r="AE518" s="424">
        <f t="shared" si="760"/>
        <v>0</v>
      </c>
      <c r="AF518" s="424">
        <f t="shared" si="760"/>
        <v>0</v>
      </c>
      <c r="AG518" s="424">
        <f t="shared" si="760"/>
        <v>0</v>
      </c>
      <c r="AH518" s="424">
        <f t="shared" si="760"/>
        <v>0</v>
      </c>
      <c r="AI518" s="424">
        <f t="shared" si="760"/>
        <v>0</v>
      </c>
      <c r="AJ518" s="424">
        <f t="shared" si="760"/>
        <v>0</v>
      </c>
      <c r="AK518" s="424">
        <f t="shared" si="760"/>
        <v>0</v>
      </c>
      <c r="AL518" s="424">
        <f t="shared" si="760"/>
        <v>0</v>
      </c>
      <c r="AM518" s="424">
        <f t="shared" si="760"/>
        <v>0</v>
      </c>
      <c r="AN518" s="424">
        <f t="shared" si="760"/>
        <v>0</v>
      </c>
      <c r="AO518" s="424">
        <f t="shared" si="760"/>
        <v>0</v>
      </c>
      <c r="AP518" s="424">
        <f t="shared" ref="AP518:BU518" si="761">AP148*AP$372</f>
        <v>0</v>
      </c>
      <c r="AQ518" s="424">
        <f t="shared" si="761"/>
        <v>0</v>
      </c>
      <c r="AR518" s="424">
        <f t="shared" si="761"/>
        <v>0</v>
      </c>
      <c r="AS518" s="424">
        <f t="shared" si="761"/>
        <v>0</v>
      </c>
      <c r="AT518" s="424">
        <f t="shared" si="761"/>
        <v>0</v>
      </c>
      <c r="AU518" s="424">
        <f t="shared" si="761"/>
        <v>0</v>
      </c>
      <c r="AV518" s="424">
        <f t="shared" si="761"/>
        <v>0</v>
      </c>
      <c r="AW518" s="424">
        <f t="shared" si="761"/>
        <v>0</v>
      </c>
      <c r="AX518" s="424">
        <f t="shared" si="761"/>
        <v>0</v>
      </c>
      <c r="AY518" s="424">
        <f t="shared" si="761"/>
        <v>0</v>
      </c>
      <c r="AZ518" s="424">
        <f t="shared" si="761"/>
        <v>0</v>
      </c>
      <c r="BA518" s="424">
        <f t="shared" si="761"/>
        <v>0</v>
      </c>
      <c r="BB518" s="424">
        <f t="shared" si="761"/>
        <v>0</v>
      </c>
      <c r="BC518" s="424">
        <f t="shared" si="761"/>
        <v>0</v>
      </c>
      <c r="BD518" s="424">
        <f t="shared" si="761"/>
        <v>0</v>
      </c>
      <c r="BE518" s="424">
        <f t="shared" si="761"/>
        <v>0</v>
      </c>
      <c r="BF518" s="424">
        <f t="shared" si="761"/>
        <v>0</v>
      </c>
      <c r="BG518" s="424">
        <f t="shared" si="761"/>
        <v>0</v>
      </c>
      <c r="BH518" s="424">
        <f t="shared" si="761"/>
        <v>0</v>
      </c>
      <c r="BI518" s="424">
        <f t="shared" si="761"/>
        <v>0</v>
      </c>
      <c r="BJ518" s="424">
        <f t="shared" si="761"/>
        <v>0</v>
      </c>
      <c r="BK518" s="424">
        <f t="shared" si="761"/>
        <v>0</v>
      </c>
      <c r="BL518" s="424">
        <f t="shared" si="761"/>
        <v>0</v>
      </c>
      <c r="BM518" s="424">
        <f t="shared" si="761"/>
        <v>0</v>
      </c>
      <c r="BN518" s="424">
        <f t="shared" si="761"/>
        <v>0</v>
      </c>
      <c r="BO518" s="424">
        <f t="shared" si="761"/>
        <v>0</v>
      </c>
      <c r="BP518" s="424">
        <f t="shared" si="761"/>
        <v>0</v>
      </c>
      <c r="BQ518" s="424">
        <f t="shared" si="761"/>
        <v>0</v>
      </c>
      <c r="BR518" s="424">
        <f t="shared" si="761"/>
        <v>0</v>
      </c>
      <c r="BS518" s="424">
        <f t="shared" si="761"/>
        <v>0</v>
      </c>
      <c r="BT518" s="424">
        <f t="shared" si="761"/>
        <v>0</v>
      </c>
      <c r="BU518" s="424">
        <f t="shared" si="761"/>
        <v>0</v>
      </c>
      <c r="BV518" s="424">
        <f t="shared" ref="BV518:DA518" si="762">BV148*BV$372</f>
        <v>0</v>
      </c>
      <c r="BW518" s="424">
        <f t="shared" si="762"/>
        <v>0</v>
      </c>
      <c r="BX518" s="424">
        <f t="shared" si="762"/>
        <v>0</v>
      </c>
      <c r="BY518" s="424">
        <f t="shared" si="762"/>
        <v>0</v>
      </c>
      <c r="BZ518" s="424">
        <f t="shared" si="762"/>
        <v>0</v>
      </c>
      <c r="CA518" s="424">
        <f t="shared" si="762"/>
        <v>0</v>
      </c>
      <c r="CB518" s="424">
        <f t="shared" si="762"/>
        <v>0</v>
      </c>
      <c r="CC518" s="424">
        <f t="shared" si="762"/>
        <v>0</v>
      </c>
      <c r="CD518" s="424">
        <f t="shared" si="762"/>
        <v>0</v>
      </c>
      <c r="CE518" s="424">
        <f t="shared" si="762"/>
        <v>0</v>
      </c>
      <c r="CF518" s="424">
        <f t="shared" si="762"/>
        <v>0</v>
      </c>
      <c r="CG518" s="424">
        <f t="shared" si="762"/>
        <v>2.63</v>
      </c>
      <c r="CH518" s="424">
        <f t="shared" si="762"/>
        <v>0</v>
      </c>
      <c r="CI518" s="424">
        <f t="shared" si="762"/>
        <v>0</v>
      </c>
      <c r="CJ518" s="424">
        <f t="shared" si="762"/>
        <v>0</v>
      </c>
      <c r="CK518" s="424">
        <f t="shared" si="762"/>
        <v>0</v>
      </c>
      <c r="CL518" s="424">
        <f t="shared" si="762"/>
        <v>0</v>
      </c>
      <c r="CM518" s="424">
        <f t="shared" si="762"/>
        <v>0</v>
      </c>
      <c r="CN518" s="424">
        <f t="shared" si="762"/>
        <v>0</v>
      </c>
      <c r="CO518" s="424">
        <f t="shared" si="762"/>
        <v>0</v>
      </c>
      <c r="CP518" s="424">
        <f t="shared" si="762"/>
        <v>0</v>
      </c>
      <c r="CQ518" s="424">
        <f t="shared" si="762"/>
        <v>0</v>
      </c>
      <c r="CR518" s="424">
        <f t="shared" si="762"/>
        <v>0</v>
      </c>
      <c r="CS518" s="424">
        <f t="shared" si="762"/>
        <v>0</v>
      </c>
      <c r="CT518" s="424">
        <f t="shared" si="762"/>
        <v>0</v>
      </c>
      <c r="CU518" s="424">
        <f t="shared" si="762"/>
        <v>0</v>
      </c>
      <c r="CV518" s="424">
        <f t="shared" si="762"/>
        <v>0</v>
      </c>
      <c r="CW518" s="424">
        <f t="shared" si="762"/>
        <v>0</v>
      </c>
      <c r="CX518" s="424">
        <f t="shared" si="762"/>
        <v>0</v>
      </c>
      <c r="CY518" s="424">
        <f t="shared" si="762"/>
        <v>0</v>
      </c>
      <c r="CZ518" s="424">
        <f t="shared" si="762"/>
        <v>0</v>
      </c>
      <c r="DA518" s="424">
        <f t="shared" si="762"/>
        <v>0</v>
      </c>
      <c r="DB518" s="424">
        <f t="shared" ref="DB518:EG518" si="763">DB148*DB$372</f>
        <v>0</v>
      </c>
      <c r="DC518" s="424">
        <f t="shared" si="763"/>
        <v>0.06</v>
      </c>
      <c r="DD518" s="424">
        <f t="shared" si="763"/>
        <v>0</v>
      </c>
      <c r="DE518" s="424">
        <f t="shared" si="763"/>
        <v>0</v>
      </c>
      <c r="DF518" s="424">
        <f t="shared" si="763"/>
        <v>0</v>
      </c>
      <c r="DG518" s="424">
        <f t="shared" si="763"/>
        <v>0</v>
      </c>
      <c r="DH518" s="424">
        <f t="shared" si="763"/>
        <v>0</v>
      </c>
      <c r="DI518" s="424">
        <f t="shared" si="763"/>
        <v>0</v>
      </c>
      <c r="DJ518" s="424">
        <f t="shared" si="763"/>
        <v>0</v>
      </c>
      <c r="DK518" s="424">
        <f t="shared" si="763"/>
        <v>0</v>
      </c>
      <c r="DL518" s="424">
        <f t="shared" si="763"/>
        <v>0</v>
      </c>
      <c r="DM518" s="424">
        <f t="shared" si="763"/>
        <v>0</v>
      </c>
      <c r="DN518" s="424">
        <f t="shared" si="763"/>
        <v>0</v>
      </c>
      <c r="DO518" s="424">
        <f t="shared" si="763"/>
        <v>0</v>
      </c>
      <c r="DP518" s="424">
        <f t="shared" si="763"/>
        <v>0</v>
      </c>
      <c r="DQ518" s="424">
        <f t="shared" si="763"/>
        <v>0</v>
      </c>
      <c r="DR518" s="424">
        <f t="shared" si="763"/>
        <v>0</v>
      </c>
      <c r="DS518" s="424">
        <f t="shared" si="763"/>
        <v>0</v>
      </c>
      <c r="DT518" s="424">
        <f t="shared" si="763"/>
        <v>0</v>
      </c>
      <c r="DU518" s="424">
        <f t="shared" si="763"/>
        <v>0</v>
      </c>
      <c r="DV518" s="424">
        <f t="shared" si="763"/>
        <v>0</v>
      </c>
      <c r="DW518" s="424">
        <f t="shared" si="763"/>
        <v>0</v>
      </c>
      <c r="DX518" s="424">
        <f t="shared" si="763"/>
        <v>0</v>
      </c>
      <c r="DY518" s="424">
        <f t="shared" si="763"/>
        <v>0</v>
      </c>
      <c r="DZ518" s="424">
        <f t="shared" si="763"/>
        <v>0</v>
      </c>
      <c r="EA518" s="424">
        <f t="shared" si="763"/>
        <v>0</v>
      </c>
      <c r="EB518" s="424">
        <f t="shared" si="763"/>
        <v>0</v>
      </c>
      <c r="EC518" s="424">
        <f t="shared" si="763"/>
        <v>0</v>
      </c>
      <c r="ED518" s="424">
        <f t="shared" si="763"/>
        <v>0</v>
      </c>
      <c r="EE518" s="424">
        <f t="shared" si="763"/>
        <v>0</v>
      </c>
      <c r="EF518" s="424">
        <f t="shared" si="763"/>
        <v>0</v>
      </c>
      <c r="EG518" s="424">
        <f t="shared" si="763"/>
        <v>0</v>
      </c>
      <c r="EH518" s="424">
        <f t="shared" ref="EH518:EX518" si="764">EH148*EH$372</f>
        <v>0</v>
      </c>
      <c r="EI518" s="424">
        <f t="shared" si="764"/>
        <v>0</v>
      </c>
      <c r="EJ518" s="424">
        <f t="shared" si="764"/>
        <v>0</v>
      </c>
      <c r="EK518" s="424">
        <f t="shared" si="764"/>
        <v>0</v>
      </c>
      <c r="EL518" s="424">
        <f t="shared" si="764"/>
        <v>0</v>
      </c>
      <c r="EM518" s="424">
        <f t="shared" si="764"/>
        <v>0</v>
      </c>
      <c r="EN518" s="424">
        <f t="shared" si="764"/>
        <v>0</v>
      </c>
      <c r="EO518" s="424">
        <f t="shared" si="764"/>
        <v>0</v>
      </c>
      <c r="EP518" s="424">
        <f t="shared" si="764"/>
        <v>0</v>
      </c>
      <c r="EQ518" s="424">
        <f t="shared" si="764"/>
        <v>0</v>
      </c>
      <c r="ER518" s="424">
        <f t="shared" si="764"/>
        <v>0</v>
      </c>
      <c r="ES518" s="424">
        <f t="shared" si="764"/>
        <v>0</v>
      </c>
      <c r="ET518" s="424">
        <f t="shared" si="764"/>
        <v>0</v>
      </c>
      <c r="EU518" s="424">
        <f t="shared" si="764"/>
        <v>0</v>
      </c>
      <c r="EV518" s="424">
        <f t="shared" si="764"/>
        <v>0</v>
      </c>
      <c r="EW518" s="424">
        <f t="shared" si="764"/>
        <v>0</v>
      </c>
      <c r="EX518" s="424">
        <f t="shared" si="764"/>
        <v>0</v>
      </c>
      <c r="EY518" s="425">
        <f t="shared" si="699"/>
        <v>6.24</v>
      </c>
      <c r="EZ518" s="616"/>
      <c r="FA518" s="616"/>
      <c r="FB518" s="616"/>
      <c r="FC518" s="616"/>
      <c r="FD518" s="616"/>
      <c r="FE518" s="616"/>
      <c r="FF518" s="616"/>
      <c r="FG518" s="616"/>
      <c r="FH518" s="616"/>
      <c r="FI518" s="616"/>
      <c r="FJ518" s="616"/>
    </row>
    <row r="519" spans="1:166" s="407" customFormat="1" ht="14.7" customHeight="1" x14ac:dyDescent="0.25">
      <c r="A519" s="310">
        <v>145</v>
      </c>
      <c r="B519" s="311" t="str">
        <f t="shared" si="680"/>
        <v>Макароны отварные с сыром</v>
      </c>
      <c r="C519" s="483">
        <f t="shared" si="688"/>
        <v>26.27</v>
      </c>
      <c r="D519" s="888"/>
      <c r="E519" s="888"/>
      <c r="F519" s="888"/>
      <c r="G519" s="889"/>
      <c r="H519" s="680">
        <f t="shared" si="681"/>
        <v>204</v>
      </c>
      <c r="I519" s="1209">
        <f t="shared" si="682"/>
        <v>0</v>
      </c>
      <c r="J519" s="424">
        <f t="shared" ref="J519:AO519" si="765">J149*J$372</f>
        <v>0</v>
      </c>
      <c r="K519" s="424">
        <f t="shared" si="765"/>
        <v>0</v>
      </c>
      <c r="L519" s="424">
        <f t="shared" si="765"/>
        <v>0</v>
      </c>
      <c r="M519" s="424">
        <f t="shared" si="765"/>
        <v>0</v>
      </c>
      <c r="N519" s="424">
        <f t="shared" si="765"/>
        <v>0</v>
      </c>
      <c r="O519" s="424">
        <f t="shared" si="765"/>
        <v>0</v>
      </c>
      <c r="P519" s="424">
        <f t="shared" si="765"/>
        <v>0</v>
      </c>
      <c r="Q519" s="424">
        <f t="shared" si="765"/>
        <v>0</v>
      </c>
      <c r="R519" s="424">
        <f t="shared" si="765"/>
        <v>0</v>
      </c>
      <c r="S519" s="424">
        <f t="shared" si="765"/>
        <v>0</v>
      </c>
      <c r="T519" s="424">
        <f t="shared" si="765"/>
        <v>0</v>
      </c>
      <c r="U519" s="424">
        <f t="shared" si="765"/>
        <v>0</v>
      </c>
      <c r="V519" s="424">
        <f t="shared" si="765"/>
        <v>4.26</v>
      </c>
      <c r="W519" s="424">
        <f t="shared" si="765"/>
        <v>19.77</v>
      </c>
      <c r="X519" s="424">
        <f t="shared" si="765"/>
        <v>0</v>
      </c>
      <c r="Y519" s="424">
        <f t="shared" si="765"/>
        <v>0</v>
      </c>
      <c r="Z519" s="424">
        <f t="shared" si="765"/>
        <v>0</v>
      </c>
      <c r="AA519" s="424">
        <f t="shared" si="765"/>
        <v>0</v>
      </c>
      <c r="AB519" s="424">
        <f t="shared" si="765"/>
        <v>0</v>
      </c>
      <c r="AC519" s="424">
        <f t="shared" si="765"/>
        <v>0</v>
      </c>
      <c r="AD519" s="424">
        <f t="shared" si="765"/>
        <v>0</v>
      </c>
      <c r="AE519" s="424">
        <f t="shared" si="765"/>
        <v>0</v>
      </c>
      <c r="AF519" s="424">
        <f t="shared" si="765"/>
        <v>0</v>
      </c>
      <c r="AG519" s="424">
        <f t="shared" si="765"/>
        <v>0</v>
      </c>
      <c r="AH519" s="424">
        <f t="shared" si="765"/>
        <v>0</v>
      </c>
      <c r="AI519" s="424">
        <f t="shared" si="765"/>
        <v>0</v>
      </c>
      <c r="AJ519" s="424">
        <f t="shared" si="765"/>
        <v>0</v>
      </c>
      <c r="AK519" s="424">
        <f t="shared" si="765"/>
        <v>0</v>
      </c>
      <c r="AL519" s="424">
        <f t="shared" si="765"/>
        <v>0</v>
      </c>
      <c r="AM519" s="424">
        <f t="shared" si="765"/>
        <v>0</v>
      </c>
      <c r="AN519" s="424">
        <f t="shared" si="765"/>
        <v>0</v>
      </c>
      <c r="AO519" s="424">
        <f t="shared" si="765"/>
        <v>0</v>
      </c>
      <c r="AP519" s="424">
        <f t="shared" ref="AP519:BU519" si="766">AP149*AP$372</f>
        <v>0</v>
      </c>
      <c r="AQ519" s="424">
        <f t="shared" si="766"/>
        <v>0</v>
      </c>
      <c r="AR519" s="424">
        <f t="shared" si="766"/>
        <v>0</v>
      </c>
      <c r="AS519" s="424">
        <f t="shared" si="766"/>
        <v>0</v>
      </c>
      <c r="AT519" s="424">
        <f t="shared" si="766"/>
        <v>0</v>
      </c>
      <c r="AU519" s="424">
        <f t="shared" si="766"/>
        <v>0</v>
      </c>
      <c r="AV519" s="424">
        <f t="shared" si="766"/>
        <v>0</v>
      </c>
      <c r="AW519" s="424">
        <f t="shared" si="766"/>
        <v>0</v>
      </c>
      <c r="AX519" s="424">
        <f t="shared" si="766"/>
        <v>0</v>
      </c>
      <c r="AY519" s="424">
        <f t="shared" si="766"/>
        <v>0</v>
      </c>
      <c r="AZ519" s="424">
        <f t="shared" si="766"/>
        <v>0</v>
      </c>
      <c r="BA519" s="424">
        <f t="shared" si="766"/>
        <v>0</v>
      </c>
      <c r="BB519" s="424">
        <f t="shared" si="766"/>
        <v>0</v>
      </c>
      <c r="BC519" s="424">
        <f t="shared" si="766"/>
        <v>0</v>
      </c>
      <c r="BD519" s="424">
        <f t="shared" si="766"/>
        <v>0</v>
      </c>
      <c r="BE519" s="424">
        <f t="shared" si="766"/>
        <v>0</v>
      </c>
      <c r="BF519" s="424">
        <f t="shared" si="766"/>
        <v>0</v>
      </c>
      <c r="BG519" s="424">
        <f t="shared" si="766"/>
        <v>0</v>
      </c>
      <c r="BH519" s="424">
        <f t="shared" si="766"/>
        <v>0</v>
      </c>
      <c r="BI519" s="424">
        <f t="shared" si="766"/>
        <v>0</v>
      </c>
      <c r="BJ519" s="424">
        <f t="shared" si="766"/>
        <v>0</v>
      </c>
      <c r="BK519" s="424">
        <f t="shared" si="766"/>
        <v>0</v>
      </c>
      <c r="BL519" s="424">
        <f t="shared" si="766"/>
        <v>0</v>
      </c>
      <c r="BM519" s="424">
        <f t="shared" si="766"/>
        <v>0</v>
      </c>
      <c r="BN519" s="424">
        <f t="shared" si="766"/>
        <v>0</v>
      </c>
      <c r="BO519" s="424">
        <f t="shared" si="766"/>
        <v>0</v>
      </c>
      <c r="BP519" s="424">
        <f t="shared" si="766"/>
        <v>0</v>
      </c>
      <c r="BQ519" s="424">
        <f t="shared" si="766"/>
        <v>0</v>
      </c>
      <c r="BR519" s="424">
        <f t="shared" si="766"/>
        <v>0</v>
      </c>
      <c r="BS519" s="424">
        <f t="shared" si="766"/>
        <v>0</v>
      </c>
      <c r="BT519" s="424">
        <f t="shared" si="766"/>
        <v>0</v>
      </c>
      <c r="BU519" s="424">
        <f t="shared" si="766"/>
        <v>0</v>
      </c>
      <c r="BV519" s="424">
        <f t="shared" ref="BV519:DA519" si="767">BV149*BV$372</f>
        <v>0</v>
      </c>
      <c r="BW519" s="424">
        <f t="shared" si="767"/>
        <v>0</v>
      </c>
      <c r="BX519" s="424">
        <f t="shared" si="767"/>
        <v>0</v>
      </c>
      <c r="BY519" s="424">
        <f t="shared" si="767"/>
        <v>0</v>
      </c>
      <c r="BZ519" s="424">
        <f t="shared" si="767"/>
        <v>0</v>
      </c>
      <c r="CA519" s="424">
        <f t="shared" si="767"/>
        <v>0</v>
      </c>
      <c r="CB519" s="424">
        <f t="shared" si="767"/>
        <v>0</v>
      </c>
      <c r="CC519" s="424">
        <f t="shared" si="767"/>
        <v>0</v>
      </c>
      <c r="CD519" s="424">
        <f t="shared" si="767"/>
        <v>0</v>
      </c>
      <c r="CE519" s="424">
        <f t="shared" si="767"/>
        <v>0</v>
      </c>
      <c r="CF519" s="424">
        <f t="shared" si="767"/>
        <v>0</v>
      </c>
      <c r="CG519" s="424">
        <f t="shared" si="767"/>
        <v>2.19</v>
      </c>
      <c r="CH519" s="424">
        <f t="shared" si="767"/>
        <v>0</v>
      </c>
      <c r="CI519" s="424">
        <f t="shared" si="767"/>
        <v>0</v>
      </c>
      <c r="CJ519" s="424">
        <f t="shared" si="767"/>
        <v>0</v>
      </c>
      <c r="CK519" s="424">
        <f t="shared" si="767"/>
        <v>0</v>
      </c>
      <c r="CL519" s="424">
        <f t="shared" si="767"/>
        <v>0</v>
      </c>
      <c r="CM519" s="424">
        <f t="shared" si="767"/>
        <v>0</v>
      </c>
      <c r="CN519" s="424">
        <f t="shared" si="767"/>
        <v>0</v>
      </c>
      <c r="CO519" s="424">
        <f t="shared" si="767"/>
        <v>0</v>
      </c>
      <c r="CP519" s="424">
        <f t="shared" si="767"/>
        <v>0</v>
      </c>
      <c r="CQ519" s="424">
        <f t="shared" si="767"/>
        <v>0</v>
      </c>
      <c r="CR519" s="424">
        <f t="shared" si="767"/>
        <v>0</v>
      </c>
      <c r="CS519" s="424">
        <f t="shared" si="767"/>
        <v>0</v>
      </c>
      <c r="CT519" s="424">
        <f t="shared" si="767"/>
        <v>0</v>
      </c>
      <c r="CU519" s="424">
        <f t="shared" si="767"/>
        <v>0</v>
      </c>
      <c r="CV519" s="424">
        <f t="shared" si="767"/>
        <v>0</v>
      </c>
      <c r="CW519" s="424">
        <f t="shared" si="767"/>
        <v>0</v>
      </c>
      <c r="CX519" s="424">
        <f t="shared" si="767"/>
        <v>0</v>
      </c>
      <c r="CY519" s="424">
        <f t="shared" si="767"/>
        <v>0</v>
      </c>
      <c r="CZ519" s="424">
        <f t="shared" si="767"/>
        <v>0</v>
      </c>
      <c r="DA519" s="424">
        <f t="shared" si="767"/>
        <v>0</v>
      </c>
      <c r="DB519" s="424">
        <f t="shared" ref="DB519:EG519" si="768">DB149*DB$372</f>
        <v>0</v>
      </c>
      <c r="DC519" s="424">
        <f t="shared" si="768"/>
        <v>0.05</v>
      </c>
      <c r="DD519" s="424">
        <f t="shared" si="768"/>
        <v>0</v>
      </c>
      <c r="DE519" s="424">
        <f t="shared" si="768"/>
        <v>0</v>
      </c>
      <c r="DF519" s="424">
        <f t="shared" si="768"/>
        <v>0</v>
      </c>
      <c r="DG519" s="424">
        <f t="shared" si="768"/>
        <v>0</v>
      </c>
      <c r="DH519" s="424">
        <f t="shared" si="768"/>
        <v>0</v>
      </c>
      <c r="DI519" s="424">
        <f t="shared" si="768"/>
        <v>0</v>
      </c>
      <c r="DJ519" s="424">
        <f t="shared" si="768"/>
        <v>0</v>
      </c>
      <c r="DK519" s="424">
        <f t="shared" si="768"/>
        <v>0</v>
      </c>
      <c r="DL519" s="424">
        <f t="shared" si="768"/>
        <v>0</v>
      </c>
      <c r="DM519" s="424">
        <f t="shared" si="768"/>
        <v>0</v>
      </c>
      <c r="DN519" s="424">
        <f t="shared" si="768"/>
        <v>0</v>
      </c>
      <c r="DO519" s="424">
        <f t="shared" si="768"/>
        <v>0</v>
      </c>
      <c r="DP519" s="424">
        <f t="shared" si="768"/>
        <v>0</v>
      </c>
      <c r="DQ519" s="424">
        <f t="shared" si="768"/>
        <v>0</v>
      </c>
      <c r="DR519" s="424">
        <f t="shared" si="768"/>
        <v>0</v>
      </c>
      <c r="DS519" s="424">
        <f t="shared" si="768"/>
        <v>0</v>
      </c>
      <c r="DT519" s="424">
        <f t="shared" si="768"/>
        <v>0</v>
      </c>
      <c r="DU519" s="424">
        <f t="shared" si="768"/>
        <v>0</v>
      </c>
      <c r="DV519" s="424">
        <f t="shared" si="768"/>
        <v>0</v>
      </c>
      <c r="DW519" s="424">
        <f t="shared" si="768"/>
        <v>0</v>
      </c>
      <c r="DX519" s="424">
        <f t="shared" si="768"/>
        <v>0</v>
      </c>
      <c r="DY519" s="424">
        <f t="shared" si="768"/>
        <v>0</v>
      </c>
      <c r="DZ519" s="424">
        <f t="shared" si="768"/>
        <v>0</v>
      </c>
      <c r="EA519" s="424">
        <f t="shared" si="768"/>
        <v>0</v>
      </c>
      <c r="EB519" s="424">
        <f t="shared" si="768"/>
        <v>0</v>
      </c>
      <c r="EC519" s="424">
        <f t="shared" si="768"/>
        <v>0</v>
      </c>
      <c r="ED519" s="424">
        <f t="shared" si="768"/>
        <v>0</v>
      </c>
      <c r="EE519" s="424">
        <f t="shared" si="768"/>
        <v>0</v>
      </c>
      <c r="EF519" s="424">
        <f t="shared" si="768"/>
        <v>0</v>
      </c>
      <c r="EG519" s="424">
        <f t="shared" si="768"/>
        <v>0</v>
      </c>
      <c r="EH519" s="424">
        <f t="shared" ref="EH519:EX519" si="769">EH149*EH$372</f>
        <v>0</v>
      </c>
      <c r="EI519" s="424">
        <f t="shared" si="769"/>
        <v>0</v>
      </c>
      <c r="EJ519" s="424">
        <f t="shared" si="769"/>
        <v>0</v>
      </c>
      <c r="EK519" s="424">
        <f t="shared" si="769"/>
        <v>0</v>
      </c>
      <c r="EL519" s="424">
        <f t="shared" si="769"/>
        <v>0</v>
      </c>
      <c r="EM519" s="424">
        <f t="shared" si="769"/>
        <v>0</v>
      </c>
      <c r="EN519" s="424">
        <f t="shared" si="769"/>
        <v>0</v>
      </c>
      <c r="EO519" s="424">
        <f t="shared" si="769"/>
        <v>0</v>
      </c>
      <c r="EP519" s="424">
        <f t="shared" si="769"/>
        <v>0</v>
      </c>
      <c r="EQ519" s="424">
        <f t="shared" si="769"/>
        <v>0</v>
      </c>
      <c r="ER519" s="424">
        <f t="shared" si="769"/>
        <v>0</v>
      </c>
      <c r="ES519" s="424">
        <f t="shared" si="769"/>
        <v>0</v>
      </c>
      <c r="ET519" s="424">
        <f t="shared" si="769"/>
        <v>0</v>
      </c>
      <c r="EU519" s="424">
        <f t="shared" si="769"/>
        <v>0</v>
      </c>
      <c r="EV519" s="424">
        <f t="shared" si="769"/>
        <v>0</v>
      </c>
      <c r="EW519" s="424">
        <f t="shared" si="769"/>
        <v>0</v>
      </c>
      <c r="EX519" s="424">
        <f t="shared" si="769"/>
        <v>0</v>
      </c>
      <c r="EY519" s="425">
        <f t="shared" si="699"/>
        <v>26.27</v>
      </c>
      <c r="EZ519" s="616"/>
      <c r="FA519" s="616"/>
      <c r="FB519" s="616"/>
      <c r="FC519" s="616"/>
      <c r="FD519" s="616"/>
      <c r="FE519" s="616"/>
      <c r="FF519" s="616"/>
      <c r="FG519" s="616"/>
      <c r="FH519" s="616"/>
      <c r="FI519" s="616"/>
      <c r="FJ519" s="616"/>
    </row>
    <row r="520" spans="1:166" ht="14.7" customHeight="1" x14ac:dyDescent="0.25">
      <c r="A520" s="310">
        <v>146</v>
      </c>
      <c r="B520" s="311" t="str">
        <f t="shared" si="680"/>
        <v>Макароны отварные с овощами</v>
      </c>
      <c r="C520" s="483">
        <f t="shared" si="688"/>
        <v>6.46</v>
      </c>
      <c r="D520" s="888"/>
      <c r="E520" s="888"/>
      <c r="F520" s="888"/>
      <c r="G520" s="889"/>
      <c r="H520" s="680">
        <f t="shared" si="681"/>
        <v>205</v>
      </c>
      <c r="I520" s="1209">
        <f t="shared" si="682"/>
        <v>0</v>
      </c>
      <c r="J520" s="424">
        <f t="shared" ref="J520:AO520" si="770">J150*J$372</f>
        <v>0</v>
      </c>
      <c r="K520" s="424">
        <f t="shared" si="770"/>
        <v>0</v>
      </c>
      <c r="L520" s="424">
        <f t="shared" si="770"/>
        <v>0</v>
      </c>
      <c r="M520" s="424">
        <f t="shared" si="770"/>
        <v>0</v>
      </c>
      <c r="N520" s="424">
        <f t="shared" si="770"/>
        <v>0</v>
      </c>
      <c r="O520" s="424">
        <f t="shared" si="770"/>
        <v>0</v>
      </c>
      <c r="P520" s="424">
        <f t="shared" si="770"/>
        <v>0</v>
      </c>
      <c r="Q520" s="424">
        <f t="shared" si="770"/>
        <v>0</v>
      </c>
      <c r="R520" s="424">
        <f t="shared" si="770"/>
        <v>0</v>
      </c>
      <c r="S520" s="424">
        <f t="shared" si="770"/>
        <v>0</v>
      </c>
      <c r="T520" s="424">
        <f t="shared" si="770"/>
        <v>0</v>
      </c>
      <c r="U520" s="424">
        <f t="shared" si="770"/>
        <v>0</v>
      </c>
      <c r="V520" s="424">
        <f t="shared" si="770"/>
        <v>0</v>
      </c>
      <c r="W520" s="424">
        <f t="shared" si="770"/>
        <v>0</v>
      </c>
      <c r="X520" s="424">
        <f t="shared" si="770"/>
        <v>0</v>
      </c>
      <c r="Y520" s="424">
        <f t="shared" si="770"/>
        <v>0</v>
      </c>
      <c r="Z520" s="424">
        <f t="shared" si="770"/>
        <v>0</v>
      </c>
      <c r="AA520" s="424">
        <f t="shared" si="770"/>
        <v>0</v>
      </c>
      <c r="AB520" s="424">
        <f t="shared" si="770"/>
        <v>0</v>
      </c>
      <c r="AC520" s="424">
        <f t="shared" si="770"/>
        <v>0</v>
      </c>
      <c r="AD520" s="424">
        <f t="shared" si="770"/>
        <v>0</v>
      </c>
      <c r="AE520" s="424">
        <f t="shared" si="770"/>
        <v>0</v>
      </c>
      <c r="AF520" s="424">
        <f t="shared" si="770"/>
        <v>0</v>
      </c>
      <c r="AG520" s="424">
        <f t="shared" si="770"/>
        <v>0</v>
      </c>
      <c r="AH520" s="424">
        <f t="shared" si="770"/>
        <v>0</v>
      </c>
      <c r="AI520" s="424">
        <f t="shared" si="770"/>
        <v>0</v>
      </c>
      <c r="AJ520" s="424">
        <f t="shared" si="770"/>
        <v>0</v>
      </c>
      <c r="AK520" s="424">
        <f t="shared" si="770"/>
        <v>0.48</v>
      </c>
      <c r="AL520" s="424">
        <f t="shared" si="770"/>
        <v>0</v>
      </c>
      <c r="AM520" s="424">
        <f t="shared" si="770"/>
        <v>0</v>
      </c>
      <c r="AN520" s="424">
        <f t="shared" si="770"/>
        <v>0</v>
      </c>
      <c r="AO520" s="424">
        <f t="shared" si="770"/>
        <v>0</v>
      </c>
      <c r="AP520" s="424">
        <f t="shared" ref="AP520:BU520" si="771">AP150*AP$372</f>
        <v>0</v>
      </c>
      <c r="AQ520" s="424">
        <f t="shared" si="771"/>
        <v>0.63</v>
      </c>
      <c r="AR520" s="424">
        <f t="shared" si="771"/>
        <v>0</v>
      </c>
      <c r="AS520" s="424">
        <f t="shared" si="771"/>
        <v>0</v>
      </c>
      <c r="AT520" s="424">
        <f t="shared" si="771"/>
        <v>1.35</v>
      </c>
      <c r="AU520" s="424">
        <f t="shared" si="771"/>
        <v>0</v>
      </c>
      <c r="AV520" s="424">
        <f t="shared" si="771"/>
        <v>0</v>
      </c>
      <c r="AW520" s="424">
        <f t="shared" si="771"/>
        <v>0</v>
      </c>
      <c r="AX520" s="424">
        <f t="shared" si="771"/>
        <v>0</v>
      </c>
      <c r="AY520" s="424">
        <f t="shared" si="771"/>
        <v>0</v>
      </c>
      <c r="AZ520" s="424">
        <f t="shared" si="771"/>
        <v>0</v>
      </c>
      <c r="BA520" s="424">
        <f t="shared" si="771"/>
        <v>0</v>
      </c>
      <c r="BB520" s="424">
        <f t="shared" si="771"/>
        <v>0</v>
      </c>
      <c r="BC520" s="424">
        <f t="shared" si="771"/>
        <v>0</v>
      </c>
      <c r="BD520" s="424">
        <f t="shared" si="771"/>
        <v>0</v>
      </c>
      <c r="BE520" s="424">
        <f t="shared" si="771"/>
        <v>0</v>
      </c>
      <c r="BF520" s="424">
        <f t="shared" si="771"/>
        <v>0</v>
      </c>
      <c r="BG520" s="424">
        <f t="shared" si="771"/>
        <v>0</v>
      </c>
      <c r="BH520" s="424">
        <f t="shared" si="771"/>
        <v>0</v>
      </c>
      <c r="BI520" s="424">
        <f t="shared" si="771"/>
        <v>0</v>
      </c>
      <c r="BJ520" s="424">
        <f t="shared" si="771"/>
        <v>0</v>
      </c>
      <c r="BK520" s="424">
        <f t="shared" si="771"/>
        <v>0</v>
      </c>
      <c r="BL520" s="424">
        <f t="shared" si="771"/>
        <v>0</v>
      </c>
      <c r="BM520" s="424">
        <f t="shared" si="771"/>
        <v>0</v>
      </c>
      <c r="BN520" s="424">
        <f t="shared" si="771"/>
        <v>0</v>
      </c>
      <c r="BO520" s="424">
        <f t="shared" si="771"/>
        <v>0</v>
      </c>
      <c r="BP520" s="424">
        <f t="shared" si="771"/>
        <v>0</v>
      </c>
      <c r="BQ520" s="424">
        <f t="shared" si="771"/>
        <v>0</v>
      </c>
      <c r="BR520" s="424">
        <f t="shared" si="771"/>
        <v>0</v>
      </c>
      <c r="BS520" s="424">
        <f t="shared" si="771"/>
        <v>0</v>
      </c>
      <c r="BT520" s="424">
        <f t="shared" si="771"/>
        <v>0</v>
      </c>
      <c r="BU520" s="424">
        <f t="shared" si="771"/>
        <v>0</v>
      </c>
      <c r="BV520" s="424">
        <f t="shared" ref="BV520:DA520" si="772">BV150*BV$372</f>
        <v>0</v>
      </c>
      <c r="BW520" s="424">
        <f t="shared" si="772"/>
        <v>0</v>
      </c>
      <c r="BX520" s="424">
        <f t="shared" si="772"/>
        <v>0</v>
      </c>
      <c r="BY520" s="424">
        <f t="shared" si="772"/>
        <v>0</v>
      </c>
      <c r="BZ520" s="424">
        <f t="shared" si="772"/>
        <v>0</v>
      </c>
      <c r="CA520" s="424">
        <f t="shared" si="772"/>
        <v>0</v>
      </c>
      <c r="CB520" s="424">
        <f t="shared" si="772"/>
        <v>0</v>
      </c>
      <c r="CC520" s="424">
        <f t="shared" si="772"/>
        <v>0</v>
      </c>
      <c r="CD520" s="424">
        <f t="shared" si="772"/>
        <v>0</v>
      </c>
      <c r="CE520" s="424">
        <f t="shared" si="772"/>
        <v>0</v>
      </c>
      <c r="CF520" s="424">
        <f t="shared" si="772"/>
        <v>0.6</v>
      </c>
      <c r="CG520" s="424">
        <f t="shared" si="772"/>
        <v>1.75</v>
      </c>
      <c r="CH520" s="424">
        <f t="shared" si="772"/>
        <v>0</v>
      </c>
      <c r="CI520" s="424">
        <f t="shared" si="772"/>
        <v>0</v>
      </c>
      <c r="CJ520" s="424">
        <f t="shared" si="772"/>
        <v>0</v>
      </c>
      <c r="CK520" s="424">
        <f t="shared" si="772"/>
        <v>0</v>
      </c>
      <c r="CL520" s="424">
        <f t="shared" si="772"/>
        <v>0</v>
      </c>
      <c r="CM520" s="424">
        <f t="shared" si="772"/>
        <v>0</v>
      </c>
      <c r="CN520" s="424">
        <f t="shared" si="772"/>
        <v>0</v>
      </c>
      <c r="CO520" s="424">
        <f t="shared" si="772"/>
        <v>0</v>
      </c>
      <c r="CP520" s="424">
        <f t="shared" si="772"/>
        <v>0</v>
      </c>
      <c r="CQ520" s="424">
        <f t="shared" si="772"/>
        <v>0</v>
      </c>
      <c r="CR520" s="424">
        <f t="shared" si="772"/>
        <v>0</v>
      </c>
      <c r="CS520" s="424">
        <f t="shared" si="772"/>
        <v>0</v>
      </c>
      <c r="CT520" s="424">
        <f t="shared" si="772"/>
        <v>0</v>
      </c>
      <c r="CU520" s="424">
        <f t="shared" si="772"/>
        <v>0</v>
      </c>
      <c r="CV520" s="424">
        <f t="shared" si="772"/>
        <v>0</v>
      </c>
      <c r="CW520" s="424">
        <f t="shared" si="772"/>
        <v>0</v>
      </c>
      <c r="CX520" s="424">
        <f t="shared" si="772"/>
        <v>0</v>
      </c>
      <c r="CY520" s="424">
        <f t="shared" si="772"/>
        <v>0</v>
      </c>
      <c r="CZ520" s="424">
        <f t="shared" si="772"/>
        <v>0</v>
      </c>
      <c r="DA520" s="424">
        <f t="shared" si="772"/>
        <v>0</v>
      </c>
      <c r="DB520" s="424">
        <f t="shared" ref="DB520:EG520" si="773">DB150*DB$372</f>
        <v>0</v>
      </c>
      <c r="DC520" s="424">
        <f t="shared" si="773"/>
        <v>0.04</v>
      </c>
      <c r="DD520" s="424">
        <f t="shared" si="773"/>
        <v>0</v>
      </c>
      <c r="DE520" s="424">
        <f t="shared" si="773"/>
        <v>0</v>
      </c>
      <c r="DF520" s="424">
        <f t="shared" si="773"/>
        <v>1.61</v>
      </c>
      <c r="DG520" s="424">
        <f t="shared" si="773"/>
        <v>0</v>
      </c>
      <c r="DH520" s="424">
        <f t="shared" si="773"/>
        <v>0</v>
      </c>
      <c r="DI520" s="424">
        <f t="shared" si="773"/>
        <v>0</v>
      </c>
      <c r="DJ520" s="424">
        <f t="shared" si="773"/>
        <v>0</v>
      </c>
      <c r="DK520" s="424">
        <f t="shared" si="773"/>
        <v>0</v>
      </c>
      <c r="DL520" s="424">
        <f t="shared" si="773"/>
        <v>0</v>
      </c>
      <c r="DM520" s="424">
        <f t="shared" si="773"/>
        <v>0</v>
      </c>
      <c r="DN520" s="424">
        <f t="shared" si="773"/>
        <v>0</v>
      </c>
      <c r="DO520" s="424">
        <f t="shared" si="773"/>
        <v>0</v>
      </c>
      <c r="DP520" s="424">
        <f t="shared" si="773"/>
        <v>0</v>
      </c>
      <c r="DQ520" s="424">
        <f t="shared" si="773"/>
        <v>0</v>
      </c>
      <c r="DR520" s="424">
        <f t="shared" si="773"/>
        <v>0</v>
      </c>
      <c r="DS520" s="424">
        <f t="shared" si="773"/>
        <v>0</v>
      </c>
      <c r="DT520" s="424">
        <f t="shared" si="773"/>
        <v>0</v>
      </c>
      <c r="DU520" s="424">
        <f t="shared" si="773"/>
        <v>0</v>
      </c>
      <c r="DV520" s="424">
        <f t="shared" si="773"/>
        <v>0</v>
      </c>
      <c r="DW520" s="424">
        <f t="shared" si="773"/>
        <v>0</v>
      </c>
      <c r="DX520" s="424">
        <f t="shared" si="773"/>
        <v>0</v>
      </c>
      <c r="DY520" s="424">
        <f t="shared" si="773"/>
        <v>0</v>
      </c>
      <c r="DZ520" s="424">
        <f t="shared" si="773"/>
        <v>0</v>
      </c>
      <c r="EA520" s="424">
        <f t="shared" si="773"/>
        <v>0</v>
      </c>
      <c r="EB520" s="424">
        <f t="shared" si="773"/>
        <v>0</v>
      </c>
      <c r="EC520" s="424">
        <f t="shared" si="773"/>
        <v>0</v>
      </c>
      <c r="ED520" s="424">
        <f t="shared" si="773"/>
        <v>0</v>
      </c>
      <c r="EE520" s="424">
        <f t="shared" si="773"/>
        <v>0</v>
      </c>
      <c r="EF520" s="424">
        <f t="shared" si="773"/>
        <v>0</v>
      </c>
      <c r="EG520" s="424">
        <f t="shared" si="773"/>
        <v>0</v>
      </c>
      <c r="EH520" s="424">
        <f t="shared" ref="EH520:EX520" si="774">EH150*EH$372</f>
        <v>0</v>
      </c>
      <c r="EI520" s="424">
        <f t="shared" si="774"/>
        <v>0</v>
      </c>
      <c r="EJ520" s="424">
        <f t="shared" si="774"/>
        <v>0</v>
      </c>
      <c r="EK520" s="424">
        <f t="shared" si="774"/>
        <v>0</v>
      </c>
      <c r="EL520" s="424">
        <f t="shared" si="774"/>
        <v>0</v>
      </c>
      <c r="EM520" s="424">
        <f t="shared" si="774"/>
        <v>0</v>
      </c>
      <c r="EN520" s="424">
        <f t="shared" si="774"/>
        <v>0</v>
      </c>
      <c r="EO520" s="424">
        <f t="shared" si="774"/>
        <v>0</v>
      </c>
      <c r="EP520" s="424">
        <f t="shared" si="774"/>
        <v>0</v>
      </c>
      <c r="EQ520" s="424">
        <f t="shared" si="774"/>
        <v>0</v>
      </c>
      <c r="ER520" s="424">
        <f t="shared" si="774"/>
        <v>0</v>
      </c>
      <c r="ES520" s="424">
        <f t="shared" si="774"/>
        <v>0</v>
      </c>
      <c r="ET520" s="424">
        <f t="shared" si="774"/>
        <v>0</v>
      </c>
      <c r="EU520" s="424">
        <f t="shared" si="774"/>
        <v>0</v>
      </c>
      <c r="EV520" s="424">
        <f t="shared" si="774"/>
        <v>0</v>
      </c>
      <c r="EW520" s="424">
        <f t="shared" si="774"/>
        <v>0</v>
      </c>
      <c r="EX520" s="424">
        <f t="shared" si="774"/>
        <v>0</v>
      </c>
      <c r="EY520" s="425">
        <f t="shared" si="699"/>
        <v>6.46</v>
      </c>
    </row>
    <row r="521" spans="1:166" ht="14.7" customHeight="1" x14ac:dyDescent="0.25">
      <c r="A521" s="310">
        <v>147</v>
      </c>
      <c r="B521" s="311" t="str">
        <f t="shared" si="680"/>
        <v>Яйца вареные</v>
      </c>
      <c r="C521" s="483">
        <f t="shared" si="688"/>
        <v>7.1</v>
      </c>
      <c r="D521" s="888"/>
      <c r="E521" s="888"/>
      <c r="F521" s="888"/>
      <c r="G521" s="889"/>
      <c r="H521" s="680">
        <f t="shared" si="681"/>
        <v>209</v>
      </c>
      <c r="I521" s="1209">
        <f t="shared" si="682"/>
        <v>0</v>
      </c>
      <c r="J521" s="424">
        <f t="shared" ref="J521:AO521" si="775">J151*J$372</f>
        <v>0</v>
      </c>
      <c r="K521" s="424">
        <f t="shared" si="775"/>
        <v>0</v>
      </c>
      <c r="L521" s="424">
        <f t="shared" si="775"/>
        <v>0</v>
      </c>
      <c r="M521" s="424">
        <f t="shared" si="775"/>
        <v>0</v>
      </c>
      <c r="N521" s="424">
        <f t="shared" si="775"/>
        <v>0</v>
      </c>
      <c r="O521" s="424">
        <f t="shared" si="775"/>
        <v>0</v>
      </c>
      <c r="P521" s="424">
        <f t="shared" si="775"/>
        <v>0</v>
      </c>
      <c r="Q521" s="424">
        <f t="shared" si="775"/>
        <v>0</v>
      </c>
      <c r="R521" s="424">
        <f t="shared" si="775"/>
        <v>0</v>
      </c>
      <c r="S521" s="424">
        <f t="shared" si="775"/>
        <v>0</v>
      </c>
      <c r="T521" s="424">
        <f t="shared" si="775"/>
        <v>0</v>
      </c>
      <c r="U521" s="424">
        <f t="shared" si="775"/>
        <v>0</v>
      </c>
      <c r="V521" s="424">
        <f t="shared" si="775"/>
        <v>0</v>
      </c>
      <c r="W521" s="424">
        <f t="shared" si="775"/>
        <v>0</v>
      </c>
      <c r="X521" s="424">
        <f t="shared" si="775"/>
        <v>0</v>
      </c>
      <c r="Y521" s="424">
        <f t="shared" si="775"/>
        <v>0</v>
      </c>
      <c r="Z521" s="424">
        <f t="shared" si="775"/>
        <v>0</v>
      </c>
      <c r="AA521" s="424">
        <f t="shared" si="775"/>
        <v>0</v>
      </c>
      <c r="AB521" s="424">
        <f t="shared" si="775"/>
        <v>0</v>
      </c>
      <c r="AC521" s="424">
        <f t="shared" si="775"/>
        <v>0</v>
      </c>
      <c r="AD521" s="424">
        <f t="shared" si="775"/>
        <v>0</v>
      </c>
      <c r="AE521" s="424">
        <f t="shared" si="775"/>
        <v>7</v>
      </c>
      <c r="AF521" s="424">
        <f t="shared" si="775"/>
        <v>0</v>
      </c>
      <c r="AG521" s="424">
        <f t="shared" si="775"/>
        <v>0</v>
      </c>
      <c r="AH521" s="424">
        <f t="shared" si="775"/>
        <v>0</v>
      </c>
      <c r="AI521" s="424">
        <f t="shared" si="775"/>
        <v>0</v>
      </c>
      <c r="AJ521" s="424">
        <f t="shared" si="775"/>
        <v>0</v>
      </c>
      <c r="AK521" s="424">
        <f t="shared" si="775"/>
        <v>0</v>
      </c>
      <c r="AL521" s="424">
        <f t="shared" si="775"/>
        <v>0</v>
      </c>
      <c r="AM521" s="424">
        <f t="shared" si="775"/>
        <v>0</v>
      </c>
      <c r="AN521" s="424">
        <f t="shared" si="775"/>
        <v>0</v>
      </c>
      <c r="AO521" s="424">
        <f t="shared" si="775"/>
        <v>0</v>
      </c>
      <c r="AP521" s="424">
        <f t="shared" ref="AP521:BU521" si="776">AP151*AP$372</f>
        <v>0</v>
      </c>
      <c r="AQ521" s="424">
        <f t="shared" si="776"/>
        <v>0</v>
      </c>
      <c r="AR521" s="424">
        <f t="shared" si="776"/>
        <v>0</v>
      </c>
      <c r="AS521" s="424">
        <f t="shared" si="776"/>
        <v>0</v>
      </c>
      <c r="AT521" s="424">
        <f t="shared" si="776"/>
        <v>0</v>
      </c>
      <c r="AU521" s="424">
        <f t="shared" si="776"/>
        <v>0</v>
      </c>
      <c r="AV521" s="424">
        <f t="shared" si="776"/>
        <v>0</v>
      </c>
      <c r="AW521" s="424">
        <f t="shared" si="776"/>
        <v>0</v>
      </c>
      <c r="AX521" s="424">
        <f t="shared" si="776"/>
        <v>0</v>
      </c>
      <c r="AY521" s="424">
        <f t="shared" si="776"/>
        <v>0</v>
      </c>
      <c r="AZ521" s="424">
        <f t="shared" si="776"/>
        <v>0</v>
      </c>
      <c r="BA521" s="424">
        <f t="shared" si="776"/>
        <v>0</v>
      </c>
      <c r="BB521" s="424">
        <f t="shared" si="776"/>
        <v>0</v>
      </c>
      <c r="BC521" s="424">
        <f t="shared" si="776"/>
        <v>0</v>
      </c>
      <c r="BD521" s="424">
        <f t="shared" si="776"/>
        <v>0</v>
      </c>
      <c r="BE521" s="424">
        <f t="shared" si="776"/>
        <v>0</v>
      </c>
      <c r="BF521" s="424">
        <f t="shared" si="776"/>
        <v>0</v>
      </c>
      <c r="BG521" s="424">
        <f t="shared" si="776"/>
        <v>0</v>
      </c>
      <c r="BH521" s="424">
        <f t="shared" si="776"/>
        <v>0</v>
      </c>
      <c r="BI521" s="424">
        <f t="shared" si="776"/>
        <v>0</v>
      </c>
      <c r="BJ521" s="424">
        <f t="shared" si="776"/>
        <v>0</v>
      </c>
      <c r="BK521" s="424">
        <f t="shared" si="776"/>
        <v>0</v>
      </c>
      <c r="BL521" s="424">
        <f t="shared" si="776"/>
        <v>0</v>
      </c>
      <c r="BM521" s="424">
        <f t="shared" si="776"/>
        <v>0</v>
      </c>
      <c r="BN521" s="424">
        <f t="shared" si="776"/>
        <v>0</v>
      </c>
      <c r="BO521" s="424">
        <f t="shared" si="776"/>
        <v>0</v>
      </c>
      <c r="BP521" s="424">
        <f t="shared" si="776"/>
        <v>0</v>
      </c>
      <c r="BQ521" s="424">
        <f t="shared" si="776"/>
        <v>0</v>
      </c>
      <c r="BR521" s="424">
        <f t="shared" si="776"/>
        <v>0</v>
      </c>
      <c r="BS521" s="424">
        <f t="shared" si="776"/>
        <v>0</v>
      </c>
      <c r="BT521" s="424">
        <f t="shared" si="776"/>
        <v>0</v>
      </c>
      <c r="BU521" s="424">
        <f t="shared" si="776"/>
        <v>0</v>
      </c>
      <c r="BV521" s="424">
        <f t="shared" ref="BV521:DA521" si="777">BV151*BV$372</f>
        <v>0</v>
      </c>
      <c r="BW521" s="424">
        <f t="shared" si="777"/>
        <v>0</v>
      </c>
      <c r="BX521" s="424">
        <f t="shared" si="777"/>
        <v>0</v>
      </c>
      <c r="BY521" s="424">
        <f t="shared" si="777"/>
        <v>0</v>
      </c>
      <c r="BZ521" s="424">
        <f t="shared" si="777"/>
        <v>0</v>
      </c>
      <c r="CA521" s="424">
        <f t="shared" si="777"/>
        <v>0</v>
      </c>
      <c r="CB521" s="424">
        <f t="shared" si="777"/>
        <v>0</v>
      </c>
      <c r="CC521" s="424">
        <f t="shared" si="777"/>
        <v>0</v>
      </c>
      <c r="CD521" s="424">
        <f t="shared" si="777"/>
        <v>0</v>
      </c>
      <c r="CE521" s="424">
        <f t="shared" si="777"/>
        <v>0</v>
      </c>
      <c r="CF521" s="424">
        <f t="shared" si="777"/>
        <v>0</v>
      </c>
      <c r="CG521" s="424">
        <f t="shared" si="777"/>
        <v>0</v>
      </c>
      <c r="CH521" s="424">
        <f t="shared" si="777"/>
        <v>0</v>
      </c>
      <c r="CI521" s="424">
        <f t="shared" si="777"/>
        <v>0</v>
      </c>
      <c r="CJ521" s="424">
        <f t="shared" si="777"/>
        <v>0</v>
      </c>
      <c r="CK521" s="424">
        <f t="shared" si="777"/>
        <v>0</v>
      </c>
      <c r="CL521" s="424">
        <f t="shared" si="777"/>
        <v>0</v>
      </c>
      <c r="CM521" s="424">
        <f t="shared" si="777"/>
        <v>0</v>
      </c>
      <c r="CN521" s="424">
        <f t="shared" si="777"/>
        <v>0</v>
      </c>
      <c r="CO521" s="424">
        <f t="shared" si="777"/>
        <v>0</v>
      </c>
      <c r="CP521" s="424">
        <f t="shared" si="777"/>
        <v>0</v>
      </c>
      <c r="CQ521" s="424">
        <f t="shared" si="777"/>
        <v>0</v>
      </c>
      <c r="CR521" s="424">
        <f t="shared" si="777"/>
        <v>0</v>
      </c>
      <c r="CS521" s="424">
        <f t="shared" si="777"/>
        <v>0</v>
      </c>
      <c r="CT521" s="424">
        <f t="shared" si="777"/>
        <v>0</v>
      </c>
      <c r="CU521" s="424">
        <f t="shared" si="777"/>
        <v>0</v>
      </c>
      <c r="CV521" s="424">
        <f t="shared" si="777"/>
        <v>0</v>
      </c>
      <c r="CW521" s="424">
        <f t="shared" si="777"/>
        <v>0</v>
      </c>
      <c r="CX521" s="424">
        <f t="shared" si="777"/>
        <v>0</v>
      </c>
      <c r="CY521" s="424">
        <f t="shared" si="777"/>
        <v>0</v>
      </c>
      <c r="CZ521" s="424">
        <f t="shared" si="777"/>
        <v>0</v>
      </c>
      <c r="DA521" s="424">
        <f t="shared" si="777"/>
        <v>0</v>
      </c>
      <c r="DB521" s="424">
        <f t="shared" ref="DB521:EG521" si="778">DB151*DB$372</f>
        <v>0</v>
      </c>
      <c r="DC521" s="424">
        <f t="shared" si="778"/>
        <v>0.1</v>
      </c>
      <c r="DD521" s="424">
        <f t="shared" si="778"/>
        <v>0</v>
      </c>
      <c r="DE521" s="424">
        <f t="shared" si="778"/>
        <v>0</v>
      </c>
      <c r="DF521" s="424">
        <f t="shared" si="778"/>
        <v>0</v>
      </c>
      <c r="DG521" s="424">
        <f t="shared" si="778"/>
        <v>0</v>
      </c>
      <c r="DH521" s="424">
        <f t="shared" si="778"/>
        <v>0</v>
      </c>
      <c r="DI521" s="424">
        <f t="shared" si="778"/>
        <v>0</v>
      </c>
      <c r="DJ521" s="424">
        <f t="shared" si="778"/>
        <v>0</v>
      </c>
      <c r="DK521" s="424">
        <f t="shared" si="778"/>
        <v>0</v>
      </c>
      <c r="DL521" s="424">
        <f t="shared" si="778"/>
        <v>0</v>
      </c>
      <c r="DM521" s="424">
        <f t="shared" si="778"/>
        <v>0</v>
      </c>
      <c r="DN521" s="424">
        <f t="shared" si="778"/>
        <v>0</v>
      </c>
      <c r="DO521" s="424">
        <f t="shared" si="778"/>
        <v>0</v>
      </c>
      <c r="DP521" s="424">
        <f t="shared" si="778"/>
        <v>0</v>
      </c>
      <c r="DQ521" s="424">
        <f t="shared" si="778"/>
        <v>0</v>
      </c>
      <c r="DR521" s="424">
        <f t="shared" si="778"/>
        <v>0</v>
      </c>
      <c r="DS521" s="424">
        <f t="shared" si="778"/>
        <v>0</v>
      </c>
      <c r="DT521" s="424">
        <f t="shared" si="778"/>
        <v>0</v>
      </c>
      <c r="DU521" s="424">
        <f t="shared" si="778"/>
        <v>0</v>
      </c>
      <c r="DV521" s="424">
        <f t="shared" si="778"/>
        <v>0</v>
      </c>
      <c r="DW521" s="424">
        <f t="shared" si="778"/>
        <v>0</v>
      </c>
      <c r="DX521" s="424">
        <f t="shared" si="778"/>
        <v>0</v>
      </c>
      <c r="DY521" s="424">
        <f t="shared" si="778"/>
        <v>0</v>
      </c>
      <c r="DZ521" s="424">
        <f t="shared" si="778"/>
        <v>0</v>
      </c>
      <c r="EA521" s="424">
        <f t="shared" si="778"/>
        <v>0</v>
      </c>
      <c r="EB521" s="424">
        <f t="shared" si="778"/>
        <v>0</v>
      </c>
      <c r="EC521" s="424">
        <f t="shared" si="778"/>
        <v>0</v>
      </c>
      <c r="ED521" s="424">
        <f t="shared" si="778"/>
        <v>0</v>
      </c>
      <c r="EE521" s="424">
        <f t="shared" si="778"/>
        <v>0</v>
      </c>
      <c r="EF521" s="424">
        <f t="shared" si="778"/>
        <v>0</v>
      </c>
      <c r="EG521" s="424">
        <f t="shared" si="778"/>
        <v>0</v>
      </c>
      <c r="EH521" s="424">
        <f t="shared" ref="EH521:EX521" si="779">EH151*EH$372</f>
        <v>0</v>
      </c>
      <c r="EI521" s="424">
        <f t="shared" si="779"/>
        <v>0</v>
      </c>
      <c r="EJ521" s="424">
        <f t="shared" si="779"/>
        <v>0</v>
      </c>
      <c r="EK521" s="424">
        <f t="shared" si="779"/>
        <v>0</v>
      </c>
      <c r="EL521" s="424">
        <f t="shared" si="779"/>
        <v>0</v>
      </c>
      <c r="EM521" s="424">
        <f t="shared" si="779"/>
        <v>0</v>
      </c>
      <c r="EN521" s="424">
        <f t="shared" si="779"/>
        <v>0</v>
      </c>
      <c r="EO521" s="424">
        <f t="shared" si="779"/>
        <v>0</v>
      </c>
      <c r="EP521" s="424">
        <f t="shared" si="779"/>
        <v>0</v>
      </c>
      <c r="EQ521" s="424">
        <f t="shared" si="779"/>
        <v>0</v>
      </c>
      <c r="ER521" s="424">
        <f t="shared" si="779"/>
        <v>0</v>
      </c>
      <c r="ES521" s="424">
        <f t="shared" si="779"/>
        <v>0</v>
      </c>
      <c r="ET521" s="424">
        <f t="shared" si="779"/>
        <v>0</v>
      </c>
      <c r="EU521" s="424">
        <f t="shared" si="779"/>
        <v>0</v>
      </c>
      <c r="EV521" s="424">
        <f t="shared" si="779"/>
        <v>0</v>
      </c>
      <c r="EW521" s="424">
        <f t="shared" si="779"/>
        <v>0</v>
      </c>
      <c r="EX521" s="424">
        <f t="shared" si="779"/>
        <v>0</v>
      </c>
      <c r="EY521" s="425">
        <f t="shared" si="699"/>
        <v>7.1</v>
      </c>
    </row>
    <row r="522" spans="1:166" s="497" customFormat="1" ht="14.7" customHeight="1" x14ac:dyDescent="0.25">
      <c r="A522" s="310">
        <v>148</v>
      </c>
      <c r="B522" s="311" t="str">
        <f t="shared" si="680"/>
        <v>Омлет натуральный с маслом</v>
      </c>
      <c r="C522" s="483">
        <f t="shared" si="688"/>
        <v>27.56</v>
      </c>
      <c r="D522" s="888"/>
      <c r="E522" s="888"/>
      <c r="F522" s="888"/>
      <c r="G522" s="889"/>
      <c r="H522" s="680">
        <f t="shared" si="681"/>
        <v>210</v>
      </c>
      <c r="I522" s="1209">
        <f t="shared" si="682"/>
        <v>0</v>
      </c>
      <c r="J522" s="424">
        <f t="shared" ref="J522:AO522" si="780">J152*J$372</f>
        <v>0</v>
      </c>
      <c r="K522" s="424">
        <f t="shared" si="780"/>
        <v>0</v>
      </c>
      <c r="L522" s="424">
        <f t="shared" si="780"/>
        <v>0</v>
      </c>
      <c r="M522" s="424">
        <f t="shared" si="780"/>
        <v>0</v>
      </c>
      <c r="N522" s="424">
        <f t="shared" si="780"/>
        <v>0</v>
      </c>
      <c r="O522" s="424">
        <f t="shared" si="780"/>
        <v>0</v>
      </c>
      <c r="P522" s="424">
        <f t="shared" si="780"/>
        <v>0</v>
      </c>
      <c r="Q522" s="424">
        <f t="shared" si="780"/>
        <v>0</v>
      </c>
      <c r="R522" s="424">
        <f t="shared" si="780"/>
        <v>0</v>
      </c>
      <c r="S522" s="424">
        <f t="shared" si="780"/>
        <v>0</v>
      </c>
      <c r="T522" s="424">
        <f t="shared" si="780"/>
        <v>0</v>
      </c>
      <c r="U522" s="424">
        <f t="shared" si="780"/>
        <v>2.73</v>
      </c>
      <c r="V522" s="424">
        <f t="shared" si="780"/>
        <v>7.1</v>
      </c>
      <c r="W522" s="424">
        <f t="shared" si="780"/>
        <v>0</v>
      </c>
      <c r="X522" s="424">
        <f t="shared" si="780"/>
        <v>0</v>
      </c>
      <c r="Y522" s="424">
        <f t="shared" si="780"/>
        <v>0</v>
      </c>
      <c r="Z522" s="424">
        <f t="shared" si="780"/>
        <v>0</v>
      </c>
      <c r="AA522" s="424">
        <f t="shared" si="780"/>
        <v>0</v>
      </c>
      <c r="AB522" s="424">
        <f t="shared" si="780"/>
        <v>0</v>
      </c>
      <c r="AC522" s="424">
        <f t="shared" si="780"/>
        <v>0</v>
      </c>
      <c r="AD522" s="424">
        <f t="shared" si="780"/>
        <v>0</v>
      </c>
      <c r="AE522" s="424">
        <f t="shared" si="780"/>
        <v>15.9</v>
      </c>
      <c r="AF522" s="424">
        <f t="shared" si="780"/>
        <v>0</v>
      </c>
      <c r="AG522" s="424">
        <f t="shared" si="780"/>
        <v>0</v>
      </c>
      <c r="AH522" s="424">
        <f t="shared" si="780"/>
        <v>0</v>
      </c>
      <c r="AI522" s="424">
        <f t="shared" si="780"/>
        <v>0</v>
      </c>
      <c r="AJ522" s="424">
        <f t="shared" si="780"/>
        <v>0</v>
      </c>
      <c r="AK522" s="424">
        <f t="shared" si="780"/>
        <v>0</v>
      </c>
      <c r="AL522" s="424">
        <f t="shared" si="780"/>
        <v>0.6</v>
      </c>
      <c r="AM522" s="424">
        <f t="shared" si="780"/>
        <v>0</v>
      </c>
      <c r="AN522" s="424">
        <f t="shared" si="780"/>
        <v>0</v>
      </c>
      <c r="AO522" s="424">
        <f t="shared" si="780"/>
        <v>0</v>
      </c>
      <c r="AP522" s="424">
        <f t="shared" ref="AP522:BU522" si="781">AP152*AP$372</f>
        <v>0</v>
      </c>
      <c r="AQ522" s="424">
        <f t="shared" si="781"/>
        <v>0</v>
      </c>
      <c r="AR522" s="424">
        <f t="shared" si="781"/>
        <v>0</v>
      </c>
      <c r="AS522" s="424">
        <f t="shared" si="781"/>
        <v>0</v>
      </c>
      <c r="AT522" s="424">
        <f t="shared" si="781"/>
        <v>0</v>
      </c>
      <c r="AU522" s="424">
        <f t="shared" si="781"/>
        <v>1.2</v>
      </c>
      <c r="AV522" s="424">
        <f t="shared" si="781"/>
        <v>0</v>
      </c>
      <c r="AW522" s="424">
        <f t="shared" si="781"/>
        <v>0</v>
      </c>
      <c r="AX522" s="424">
        <f t="shared" si="781"/>
        <v>0</v>
      </c>
      <c r="AY522" s="424">
        <f t="shared" si="781"/>
        <v>0</v>
      </c>
      <c r="AZ522" s="424">
        <f t="shared" si="781"/>
        <v>0</v>
      </c>
      <c r="BA522" s="424">
        <f t="shared" si="781"/>
        <v>0</v>
      </c>
      <c r="BB522" s="424">
        <f t="shared" si="781"/>
        <v>0</v>
      </c>
      <c r="BC522" s="424">
        <f t="shared" si="781"/>
        <v>0</v>
      </c>
      <c r="BD522" s="424">
        <f t="shared" si="781"/>
        <v>0</v>
      </c>
      <c r="BE522" s="424">
        <f t="shared" si="781"/>
        <v>0</v>
      </c>
      <c r="BF522" s="424">
        <f t="shared" si="781"/>
        <v>0</v>
      </c>
      <c r="BG522" s="424">
        <f t="shared" si="781"/>
        <v>0</v>
      </c>
      <c r="BH522" s="424">
        <f t="shared" si="781"/>
        <v>0</v>
      </c>
      <c r="BI522" s="424">
        <f t="shared" si="781"/>
        <v>0</v>
      </c>
      <c r="BJ522" s="424">
        <f t="shared" si="781"/>
        <v>0</v>
      </c>
      <c r="BK522" s="424">
        <f t="shared" si="781"/>
        <v>0</v>
      </c>
      <c r="BL522" s="424">
        <f t="shared" si="781"/>
        <v>0</v>
      </c>
      <c r="BM522" s="424">
        <f t="shared" si="781"/>
        <v>0</v>
      </c>
      <c r="BN522" s="424">
        <f t="shared" si="781"/>
        <v>0</v>
      </c>
      <c r="BO522" s="424">
        <f t="shared" si="781"/>
        <v>0</v>
      </c>
      <c r="BP522" s="424">
        <f t="shared" si="781"/>
        <v>0</v>
      </c>
      <c r="BQ522" s="424">
        <f t="shared" si="781"/>
        <v>0</v>
      </c>
      <c r="BR522" s="424">
        <f t="shared" si="781"/>
        <v>0</v>
      </c>
      <c r="BS522" s="424">
        <f t="shared" si="781"/>
        <v>0</v>
      </c>
      <c r="BT522" s="424">
        <f t="shared" si="781"/>
        <v>0</v>
      </c>
      <c r="BU522" s="424">
        <f t="shared" si="781"/>
        <v>0</v>
      </c>
      <c r="BV522" s="424">
        <f t="shared" ref="BV522:DA522" si="782">BV152*BV$372</f>
        <v>0</v>
      </c>
      <c r="BW522" s="424">
        <f t="shared" si="782"/>
        <v>0</v>
      </c>
      <c r="BX522" s="424">
        <f t="shared" si="782"/>
        <v>0</v>
      </c>
      <c r="BY522" s="424">
        <f t="shared" si="782"/>
        <v>0</v>
      </c>
      <c r="BZ522" s="424">
        <f t="shared" si="782"/>
        <v>0</v>
      </c>
      <c r="CA522" s="424">
        <f t="shared" si="782"/>
        <v>0</v>
      </c>
      <c r="CB522" s="424">
        <f t="shared" si="782"/>
        <v>0</v>
      </c>
      <c r="CC522" s="424">
        <f t="shared" si="782"/>
        <v>0</v>
      </c>
      <c r="CD522" s="424">
        <f t="shared" si="782"/>
        <v>0</v>
      </c>
      <c r="CE522" s="424">
        <f t="shared" si="782"/>
        <v>0</v>
      </c>
      <c r="CF522" s="424">
        <f t="shared" si="782"/>
        <v>0</v>
      </c>
      <c r="CG522" s="424">
        <f t="shared" si="782"/>
        <v>0</v>
      </c>
      <c r="CH522" s="424">
        <f t="shared" si="782"/>
        <v>0</v>
      </c>
      <c r="CI522" s="424">
        <f t="shared" si="782"/>
        <v>0</v>
      </c>
      <c r="CJ522" s="424">
        <f t="shared" si="782"/>
        <v>0</v>
      </c>
      <c r="CK522" s="424">
        <f t="shared" si="782"/>
        <v>0</v>
      </c>
      <c r="CL522" s="424">
        <f t="shared" si="782"/>
        <v>0</v>
      </c>
      <c r="CM522" s="424">
        <f t="shared" si="782"/>
        <v>0</v>
      </c>
      <c r="CN522" s="424">
        <f t="shared" si="782"/>
        <v>0</v>
      </c>
      <c r="CO522" s="424">
        <f t="shared" si="782"/>
        <v>0</v>
      </c>
      <c r="CP522" s="424">
        <f t="shared" si="782"/>
        <v>0</v>
      </c>
      <c r="CQ522" s="424">
        <f t="shared" si="782"/>
        <v>0</v>
      </c>
      <c r="CR522" s="424">
        <f t="shared" si="782"/>
        <v>0</v>
      </c>
      <c r="CS522" s="424">
        <f t="shared" si="782"/>
        <v>0</v>
      </c>
      <c r="CT522" s="424">
        <f t="shared" si="782"/>
        <v>0</v>
      </c>
      <c r="CU522" s="424">
        <f t="shared" si="782"/>
        <v>0</v>
      </c>
      <c r="CV522" s="424">
        <f t="shared" si="782"/>
        <v>0</v>
      </c>
      <c r="CW522" s="424">
        <f t="shared" si="782"/>
        <v>0</v>
      </c>
      <c r="CX522" s="424">
        <f t="shared" si="782"/>
        <v>0</v>
      </c>
      <c r="CY522" s="424">
        <f t="shared" si="782"/>
        <v>0</v>
      </c>
      <c r="CZ522" s="424">
        <f t="shared" si="782"/>
        <v>0</v>
      </c>
      <c r="DA522" s="424">
        <f t="shared" si="782"/>
        <v>0</v>
      </c>
      <c r="DB522" s="424">
        <f t="shared" ref="DB522:EG522" si="783">DB152*DB$372</f>
        <v>0</v>
      </c>
      <c r="DC522" s="424">
        <f t="shared" si="783"/>
        <v>0.03</v>
      </c>
      <c r="DD522" s="424">
        <f t="shared" si="783"/>
        <v>0</v>
      </c>
      <c r="DE522" s="424">
        <f t="shared" si="783"/>
        <v>0</v>
      </c>
      <c r="DF522" s="424">
        <f t="shared" si="783"/>
        <v>0</v>
      </c>
      <c r="DG522" s="424">
        <f t="shared" si="783"/>
        <v>0</v>
      </c>
      <c r="DH522" s="424">
        <f t="shared" si="783"/>
        <v>0</v>
      </c>
      <c r="DI522" s="424">
        <f t="shared" si="783"/>
        <v>0</v>
      </c>
      <c r="DJ522" s="424">
        <f t="shared" si="783"/>
        <v>0</v>
      </c>
      <c r="DK522" s="424">
        <f t="shared" si="783"/>
        <v>0</v>
      </c>
      <c r="DL522" s="424">
        <f t="shared" si="783"/>
        <v>0</v>
      </c>
      <c r="DM522" s="424">
        <f t="shared" si="783"/>
        <v>0</v>
      </c>
      <c r="DN522" s="424">
        <f t="shared" si="783"/>
        <v>0</v>
      </c>
      <c r="DO522" s="424">
        <f t="shared" si="783"/>
        <v>0</v>
      </c>
      <c r="DP522" s="424">
        <f t="shared" si="783"/>
        <v>0</v>
      </c>
      <c r="DQ522" s="424">
        <f t="shared" si="783"/>
        <v>0</v>
      </c>
      <c r="DR522" s="424">
        <f t="shared" si="783"/>
        <v>0</v>
      </c>
      <c r="DS522" s="424">
        <f t="shared" si="783"/>
        <v>0</v>
      </c>
      <c r="DT522" s="424">
        <f t="shared" si="783"/>
        <v>0</v>
      </c>
      <c r="DU522" s="424">
        <f t="shared" si="783"/>
        <v>0</v>
      </c>
      <c r="DV522" s="424">
        <f t="shared" si="783"/>
        <v>0</v>
      </c>
      <c r="DW522" s="424">
        <f t="shared" si="783"/>
        <v>0</v>
      </c>
      <c r="DX522" s="424">
        <f t="shared" si="783"/>
        <v>0</v>
      </c>
      <c r="DY522" s="424">
        <f t="shared" si="783"/>
        <v>0</v>
      </c>
      <c r="DZ522" s="424">
        <f t="shared" si="783"/>
        <v>0</v>
      </c>
      <c r="EA522" s="424">
        <f t="shared" si="783"/>
        <v>0</v>
      </c>
      <c r="EB522" s="424">
        <f t="shared" si="783"/>
        <v>0</v>
      </c>
      <c r="EC522" s="424">
        <f t="shared" si="783"/>
        <v>0</v>
      </c>
      <c r="ED522" s="424">
        <f t="shared" si="783"/>
        <v>0</v>
      </c>
      <c r="EE522" s="424">
        <f t="shared" si="783"/>
        <v>0</v>
      </c>
      <c r="EF522" s="424">
        <f t="shared" si="783"/>
        <v>0</v>
      </c>
      <c r="EG522" s="424">
        <f t="shared" si="783"/>
        <v>0</v>
      </c>
      <c r="EH522" s="424">
        <f t="shared" ref="EH522:EX522" si="784">EH152*EH$372</f>
        <v>0</v>
      </c>
      <c r="EI522" s="424">
        <f t="shared" si="784"/>
        <v>0</v>
      </c>
      <c r="EJ522" s="424">
        <f t="shared" si="784"/>
        <v>0</v>
      </c>
      <c r="EK522" s="424">
        <f t="shared" si="784"/>
        <v>0</v>
      </c>
      <c r="EL522" s="424">
        <f t="shared" si="784"/>
        <v>0</v>
      </c>
      <c r="EM522" s="424">
        <f t="shared" si="784"/>
        <v>0</v>
      </c>
      <c r="EN522" s="424">
        <f t="shared" si="784"/>
        <v>0</v>
      </c>
      <c r="EO522" s="424">
        <f t="shared" si="784"/>
        <v>0</v>
      </c>
      <c r="EP522" s="424">
        <f t="shared" si="784"/>
        <v>0</v>
      </c>
      <c r="EQ522" s="424">
        <f t="shared" si="784"/>
        <v>0</v>
      </c>
      <c r="ER522" s="424">
        <f t="shared" si="784"/>
        <v>0</v>
      </c>
      <c r="ES522" s="424">
        <f t="shared" si="784"/>
        <v>0</v>
      </c>
      <c r="ET522" s="424">
        <f t="shared" si="784"/>
        <v>0</v>
      </c>
      <c r="EU522" s="424">
        <f t="shared" si="784"/>
        <v>0</v>
      </c>
      <c r="EV522" s="424">
        <f t="shared" si="784"/>
        <v>0</v>
      </c>
      <c r="EW522" s="424">
        <f t="shared" si="784"/>
        <v>0</v>
      </c>
      <c r="EX522" s="424">
        <f t="shared" si="784"/>
        <v>0</v>
      </c>
      <c r="EY522" s="425">
        <f t="shared" si="699"/>
        <v>27.56</v>
      </c>
      <c r="EZ522" s="616"/>
      <c r="FA522" s="616"/>
      <c r="FB522" s="616"/>
      <c r="FC522" s="616"/>
      <c r="FD522" s="616"/>
      <c r="FE522" s="616"/>
      <c r="FF522" s="616"/>
      <c r="FG522" s="616"/>
      <c r="FH522" s="616"/>
      <c r="FI522" s="616"/>
      <c r="FJ522" s="616"/>
    </row>
    <row r="523" spans="1:166" s="522" customFormat="1" ht="14.7" customHeight="1" x14ac:dyDescent="0.25">
      <c r="A523" s="310">
        <v>149</v>
      </c>
      <c r="B523" s="311" t="str">
        <f t="shared" si="680"/>
        <v>Омлет с сыром</v>
      </c>
      <c r="C523" s="483">
        <f t="shared" si="688"/>
        <v>19.29</v>
      </c>
      <c r="D523" s="888"/>
      <c r="E523" s="888"/>
      <c r="F523" s="888"/>
      <c r="G523" s="889"/>
      <c r="H523" s="680">
        <f t="shared" si="681"/>
        <v>211</v>
      </c>
      <c r="I523" s="1209">
        <f t="shared" si="682"/>
        <v>0</v>
      </c>
      <c r="J523" s="424">
        <f t="shared" ref="J523:AO523" si="785">J153*J$372</f>
        <v>0</v>
      </c>
      <c r="K523" s="424">
        <f t="shared" si="785"/>
        <v>0</v>
      </c>
      <c r="L523" s="424">
        <f t="shared" si="785"/>
        <v>0</v>
      </c>
      <c r="M523" s="424">
        <f t="shared" si="785"/>
        <v>0</v>
      </c>
      <c r="N523" s="424">
        <f t="shared" si="785"/>
        <v>0</v>
      </c>
      <c r="O523" s="424">
        <f t="shared" si="785"/>
        <v>0</v>
      </c>
      <c r="P523" s="424">
        <f t="shared" si="785"/>
        <v>0</v>
      </c>
      <c r="Q523" s="424">
        <f t="shared" si="785"/>
        <v>0</v>
      </c>
      <c r="R523" s="424">
        <f t="shared" si="785"/>
        <v>0</v>
      </c>
      <c r="S523" s="424">
        <f t="shared" si="785"/>
        <v>0</v>
      </c>
      <c r="T523" s="424">
        <f t="shared" si="785"/>
        <v>0</v>
      </c>
      <c r="U523" s="424">
        <f t="shared" si="785"/>
        <v>1.2</v>
      </c>
      <c r="V523" s="424">
        <f t="shared" si="785"/>
        <v>4.97</v>
      </c>
      <c r="W523" s="424">
        <f t="shared" si="785"/>
        <v>6.11</v>
      </c>
      <c r="X523" s="424">
        <f t="shared" si="785"/>
        <v>0</v>
      </c>
      <c r="Y523" s="424">
        <f t="shared" si="785"/>
        <v>0</v>
      </c>
      <c r="Z523" s="424">
        <f t="shared" si="785"/>
        <v>0</v>
      </c>
      <c r="AA523" s="424">
        <f t="shared" si="785"/>
        <v>0</v>
      </c>
      <c r="AB523" s="424">
        <f t="shared" si="785"/>
        <v>0</v>
      </c>
      <c r="AC523" s="424">
        <f t="shared" si="785"/>
        <v>0</v>
      </c>
      <c r="AD523" s="424">
        <f t="shared" si="785"/>
        <v>0</v>
      </c>
      <c r="AE523" s="424">
        <f t="shared" si="785"/>
        <v>7</v>
      </c>
      <c r="AF523" s="424">
        <f t="shared" si="785"/>
        <v>0</v>
      </c>
      <c r="AG523" s="424">
        <f t="shared" si="785"/>
        <v>0</v>
      </c>
      <c r="AH523" s="424">
        <f t="shared" si="785"/>
        <v>0</v>
      </c>
      <c r="AI523" s="424">
        <f t="shared" si="785"/>
        <v>0</v>
      </c>
      <c r="AJ523" s="424">
        <f t="shared" si="785"/>
        <v>0</v>
      </c>
      <c r="AK523" s="424">
        <f t="shared" si="785"/>
        <v>0</v>
      </c>
      <c r="AL523" s="424">
        <f t="shared" si="785"/>
        <v>0</v>
      </c>
      <c r="AM523" s="424">
        <f t="shared" si="785"/>
        <v>0</v>
      </c>
      <c r="AN523" s="424">
        <f t="shared" si="785"/>
        <v>0</v>
      </c>
      <c r="AO523" s="424">
        <f t="shared" si="785"/>
        <v>0</v>
      </c>
      <c r="AP523" s="424">
        <f t="shared" ref="AP523:BU523" si="786">AP153*AP$372</f>
        <v>0</v>
      </c>
      <c r="AQ523" s="424">
        <f t="shared" si="786"/>
        <v>0</v>
      </c>
      <c r="AR523" s="424">
        <f t="shared" si="786"/>
        <v>0</v>
      </c>
      <c r="AS523" s="424">
        <f t="shared" si="786"/>
        <v>0</v>
      </c>
      <c r="AT523" s="424">
        <f t="shared" si="786"/>
        <v>0</v>
      </c>
      <c r="AU523" s="424">
        <f t="shared" si="786"/>
        <v>0</v>
      </c>
      <c r="AV523" s="424">
        <f t="shared" si="786"/>
        <v>0</v>
      </c>
      <c r="AW523" s="424">
        <f t="shared" si="786"/>
        <v>0</v>
      </c>
      <c r="AX523" s="424">
        <f t="shared" si="786"/>
        <v>0</v>
      </c>
      <c r="AY523" s="424">
        <f t="shared" si="786"/>
        <v>0</v>
      </c>
      <c r="AZ523" s="424">
        <f t="shared" si="786"/>
        <v>0</v>
      </c>
      <c r="BA523" s="424">
        <f t="shared" si="786"/>
        <v>0</v>
      </c>
      <c r="BB523" s="424">
        <f t="shared" si="786"/>
        <v>0</v>
      </c>
      <c r="BC523" s="424">
        <f t="shared" si="786"/>
        <v>0</v>
      </c>
      <c r="BD523" s="424">
        <f t="shared" si="786"/>
        <v>0</v>
      </c>
      <c r="BE523" s="424">
        <f t="shared" si="786"/>
        <v>0</v>
      </c>
      <c r="BF523" s="424">
        <f t="shared" si="786"/>
        <v>0</v>
      </c>
      <c r="BG523" s="424">
        <f t="shared" si="786"/>
        <v>0</v>
      </c>
      <c r="BH523" s="424">
        <f t="shared" si="786"/>
        <v>0</v>
      </c>
      <c r="BI523" s="424">
        <f t="shared" si="786"/>
        <v>0</v>
      </c>
      <c r="BJ523" s="424">
        <f t="shared" si="786"/>
        <v>0</v>
      </c>
      <c r="BK523" s="424">
        <f t="shared" si="786"/>
        <v>0</v>
      </c>
      <c r="BL523" s="424">
        <f t="shared" si="786"/>
        <v>0</v>
      </c>
      <c r="BM523" s="424">
        <f t="shared" si="786"/>
        <v>0</v>
      </c>
      <c r="BN523" s="424">
        <f t="shared" si="786"/>
        <v>0</v>
      </c>
      <c r="BO523" s="424">
        <f t="shared" si="786"/>
        <v>0</v>
      </c>
      <c r="BP523" s="424">
        <f t="shared" si="786"/>
        <v>0</v>
      </c>
      <c r="BQ523" s="424">
        <f t="shared" si="786"/>
        <v>0</v>
      </c>
      <c r="BR523" s="424">
        <f t="shared" si="786"/>
        <v>0</v>
      </c>
      <c r="BS523" s="424">
        <f t="shared" si="786"/>
        <v>0</v>
      </c>
      <c r="BT523" s="424">
        <f t="shared" si="786"/>
        <v>0</v>
      </c>
      <c r="BU523" s="424">
        <f t="shared" si="786"/>
        <v>0</v>
      </c>
      <c r="BV523" s="424">
        <f t="shared" ref="BV523:DA523" si="787">BV153*BV$372</f>
        <v>0</v>
      </c>
      <c r="BW523" s="424">
        <f t="shared" si="787"/>
        <v>0</v>
      </c>
      <c r="BX523" s="424">
        <f t="shared" si="787"/>
        <v>0</v>
      </c>
      <c r="BY523" s="424">
        <f t="shared" si="787"/>
        <v>0</v>
      </c>
      <c r="BZ523" s="424">
        <f t="shared" si="787"/>
        <v>0</v>
      </c>
      <c r="CA523" s="424">
        <f t="shared" si="787"/>
        <v>0</v>
      </c>
      <c r="CB523" s="424">
        <f t="shared" si="787"/>
        <v>0</v>
      </c>
      <c r="CC523" s="424">
        <f t="shared" si="787"/>
        <v>0</v>
      </c>
      <c r="CD523" s="424">
        <f t="shared" si="787"/>
        <v>0</v>
      </c>
      <c r="CE523" s="424">
        <f t="shared" si="787"/>
        <v>0</v>
      </c>
      <c r="CF523" s="424">
        <f t="shared" si="787"/>
        <v>0</v>
      </c>
      <c r="CG523" s="424">
        <f t="shared" si="787"/>
        <v>0</v>
      </c>
      <c r="CH523" s="424">
        <f t="shared" si="787"/>
        <v>0</v>
      </c>
      <c r="CI523" s="424">
        <f t="shared" si="787"/>
        <v>0</v>
      </c>
      <c r="CJ523" s="424">
        <f t="shared" si="787"/>
        <v>0</v>
      </c>
      <c r="CK523" s="424">
        <f t="shared" si="787"/>
        <v>0</v>
      </c>
      <c r="CL523" s="424">
        <f t="shared" si="787"/>
        <v>0</v>
      </c>
      <c r="CM523" s="424">
        <f t="shared" si="787"/>
        <v>0</v>
      </c>
      <c r="CN523" s="424">
        <f t="shared" si="787"/>
        <v>0</v>
      </c>
      <c r="CO523" s="424">
        <f t="shared" si="787"/>
        <v>0</v>
      </c>
      <c r="CP523" s="424">
        <f t="shared" si="787"/>
        <v>0</v>
      </c>
      <c r="CQ523" s="424">
        <f t="shared" si="787"/>
        <v>0</v>
      </c>
      <c r="CR523" s="424">
        <f t="shared" si="787"/>
        <v>0</v>
      </c>
      <c r="CS523" s="424">
        <f t="shared" si="787"/>
        <v>0</v>
      </c>
      <c r="CT523" s="424">
        <f t="shared" si="787"/>
        <v>0</v>
      </c>
      <c r="CU523" s="424">
        <f t="shared" si="787"/>
        <v>0</v>
      </c>
      <c r="CV523" s="424">
        <f t="shared" si="787"/>
        <v>0</v>
      </c>
      <c r="CW523" s="424">
        <f t="shared" si="787"/>
        <v>0</v>
      </c>
      <c r="CX523" s="424">
        <f t="shared" si="787"/>
        <v>0</v>
      </c>
      <c r="CY523" s="424">
        <f t="shared" si="787"/>
        <v>0</v>
      </c>
      <c r="CZ523" s="424">
        <f t="shared" si="787"/>
        <v>0</v>
      </c>
      <c r="DA523" s="424">
        <f t="shared" si="787"/>
        <v>0</v>
      </c>
      <c r="DB523" s="424">
        <f t="shared" ref="DB523:EG523" si="788">DB153*DB$372</f>
        <v>0</v>
      </c>
      <c r="DC523" s="424">
        <f t="shared" si="788"/>
        <v>0.01</v>
      </c>
      <c r="DD523" s="424">
        <f t="shared" si="788"/>
        <v>0</v>
      </c>
      <c r="DE523" s="424">
        <f t="shared" si="788"/>
        <v>0</v>
      </c>
      <c r="DF523" s="424">
        <f t="shared" si="788"/>
        <v>0</v>
      </c>
      <c r="DG523" s="424">
        <f t="shared" si="788"/>
        <v>0</v>
      </c>
      <c r="DH523" s="424">
        <f t="shared" si="788"/>
        <v>0</v>
      </c>
      <c r="DI523" s="424">
        <f t="shared" si="788"/>
        <v>0</v>
      </c>
      <c r="DJ523" s="424">
        <f t="shared" si="788"/>
        <v>0</v>
      </c>
      <c r="DK523" s="424">
        <f t="shared" si="788"/>
        <v>0</v>
      </c>
      <c r="DL523" s="424">
        <f t="shared" si="788"/>
        <v>0</v>
      </c>
      <c r="DM523" s="424">
        <f t="shared" si="788"/>
        <v>0</v>
      </c>
      <c r="DN523" s="424">
        <f t="shared" si="788"/>
        <v>0</v>
      </c>
      <c r="DO523" s="424">
        <f t="shared" si="788"/>
        <v>0</v>
      </c>
      <c r="DP523" s="424">
        <f t="shared" si="788"/>
        <v>0</v>
      </c>
      <c r="DQ523" s="424">
        <f t="shared" si="788"/>
        <v>0</v>
      </c>
      <c r="DR523" s="424">
        <f t="shared" si="788"/>
        <v>0</v>
      </c>
      <c r="DS523" s="424">
        <f t="shared" si="788"/>
        <v>0</v>
      </c>
      <c r="DT523" s="424">
        <f t="shared" si="788"/>
        <v>0</v>
      </c>
      <c r="DU523" s="424">
        <f t="shared" si="788"/>
        <v>0</v>
      </c>
      <c r="DV523" s="424">
        <f t="shared" si="788"/>
        <v>0</v>
      </c>
      <c r="DW523" s="424">
        <f t="shared" si="788"/>
        <v>0</v>
      </c>
      <c r="DX523" s="424">
        <f t="shared" si="788"/>
        <v>0</v>
      </c>
      <c r="DY523" s="424">
        <f t="shared" si="788"/>
        <v>0</v>
      </c>
      <c r="DZ523" s="424">
        <f t="shared" si="788"/>
        <v>0</v>
      </c>
      <c r="EA523" s="424">
        <f t="shared" si="788"/>
        <v>0</v>
      </c>
      <c r="EB523" s="424">
        <f t="shared" si="788"/>
        <v>0</v>
      </c>
      <c r="EC523" s="424">
        <f t="shared" si="788"/>
        <v>0</v>
      </c>
      <c r="ED523" s="424">
        <f t="shared" si="788"/>
        <v>0</v>
      </c>
      <c r="EE523" s="424">
        <f t="shared" si="788"/>
        <v>0</v>
      </c>
      <c r="EF523" s="424">
        <f t="shared" si="788"/>
        <v>0</v>
      </c>
      <c r="EG523" s="424">
        <f t="shared" si="788"/>
        <v>0</v>
      </c>
      <c r="EH523" s="424">
        <f t="shared" ref="EH523:EX523" si="789">EH153*EH$372</f>
        <v>0</v>
      </c>
      <c r="EI523" s="424">
        <f t="shared" si="789"/>
        <v>0</v>
      </c>
      <c r="EJ523" s="424">
        <f t="shared" si="789"/>
        <v>0</v>
      </c>
      <c r="EK523" s="424">
        <f t="shared" si="789"/>
        <v>0</v>
      </c>
      <c r="EL523" s="424">
        <f t="shared" si="789"/>
        <v>0</v>
      </c>
      <c r="EM523" s="424">
        <f t="shared" si="789"/>
        <v>0</v>
      </c>
      <c r="EN523" s="424">
        <f t="shared" si="789"/>
        <v>0</v>
      </c>
      <c r="EO523" s="424">
        <f t="shared" si="789"/>
        <v>0</v>
      </c>
      <c r="EP523" s="424">
        <f t="shared" si="789"/>
        <v>0</v>
      </c>
      <c r="EQ523" s="424">
        <f t="shared" si="789"/>
        <v>0</v>
      </c>
      <c r="ER523" s="424">
        <f t="shared" si="789"/>
        <v>0</v>
      </c>
      <c r="ES523" s="424">
        <f t="shared" si="789"/>
        <v>0</v>
      </c>
      <c r="ET523" s="424">
        <f t="shared" si="789"/>
        <v>0</v>
      </c>
      <c r="EU523" s="424">
        <f t="shared" si="789"/>
        <v>0</v>
      </c>
      <c r="EV523" s="424">
        <f t="shared" si="789"/>
        <v>0</v>
      </c>
      <c r="EW523" s="424">
        <f t="shared" si="789"/>
        <v>0</v>
      </c>
      <c r="EX523" s="424">
        <f t="shared" si="789"/>
        <v>0</v>
      </c>
      <c r="EY523" s="425">
        <f t="shared" si="699"/>
        <v>19.29</v>
      </c>
      <c r="EZ523" s="616"/>
      <c r="FA523" s="616"/>
      <c r="FB523" s="616"/>
      <c r="FC523" s="616"/>
      <c r="FD523" s="616"/>
      <c r="FE523" s="616"/>
      <c r="FF523" s="616"/>
      <c r="FG523" s="616"/>
      <c r="FH523" s="616"/>
      <c r="FI523" s="616"/>
      <c r="FJ523" s="616"/>
    </row>
    <row r="524" spans="1:166" s="1065" customFormat="1" ht="14.7" customHeight="1" x14ac:dyDescent="0.25">
      <c r="A524" s="310">
        <v>150</v>
      </c>
      <c r="B524" s="311" t="str">
        <f t="shared" si="680"/>
        <v>Омлет с картофелем</v>
      </c>
      <c r="C524" s="483">
        <f t="shared" si="688"/>
        <v>23.53</v>
      </c>
      <c r="D524" s="888"/>
      <c r="E524" s="888"/>
      <c r="F524" s="888"/>
      <c r="G524" s="889"/>
      <c r="H524" s="680">
        <f t="shared" si="681"/>
        <v>213</v>
      </c>
      <c r="I524" s="1209">
        <f t="shared" si="682"/>
        <v>0</v>
      </c>
      <c r="J524" s="424">
        <f t="shared" ref="J524:AO524" si="790">J154*J$372</f>
        <v>0</v>
      </c>
      <c r="K524" s="424">
        <f t="shared" si="790"/>
        <v>0</v>
      </c>
      <c r="L524" s="424">
        <f t="shared" si="790"/>
        <v>0</v>
      </c>
      <c r="M524" s="424">
        <f t="shared" si="790"/>
        <v>0</v>
      </c>
      <c r="N524" s="424">
        <f t="shared" si="790"/>
        <v>0</v>
      </c>
      <c r="O524" s="424">
        <f t="shared" si="790"/>
        <v>0</v>
      </c>
      <c r="P524" s="424">
        <f t="shared" si="790"/>
        <v>0</v>
      </c>
      <c r="Q524" s="424">
        <f t="shared" si="790"/>
        <v>0</v>
      </c>
      <c r="R524" s="424">
        <f t="shared" si="790"/>
        <v>0</v>
      </c>
      <c r="S524" s="424">
        <f t="shared" si="790"/>
        <v>0</v>
      </c>
      <c r="T524" s="424">
        <f t="shared" si="790"/>
        <v>0</v>
      </c>
      <c r="U524" s="424">
        <f t="shared" si="790"/>
        <v>2</v>
      </c>
      <c r="V524" s="424">
        <f t="shared" si="790"/>
        <v>3.55</v>
      </c>
      <c r="W524" s="424">
        <f t="shared" si="790"/>
        <v>0</v>
      </c>
      <c r="X524" s="424">
        <f t="shared" si="790"/>
        <v>0</v>
      </c>
      <c r="Y524" s="424">
        <f t="shared" si="790"/>
        <v>0</v>
      </c>
      <c r="Z524" s="424">
        <f t="shared" si="790"/>
        <v>0</v>
      </c>
      <c r="AA524" s="424">
        <f t="shared" si="790"/>
        <v>0</v>
      </c>
      <c r="AB524" s="424">
        <f t="shared" si="790"/>
        <v>0</v>
      </c>
      <c r="AC524" s="424">
        <f t="shared" si="790"/>
        <v>0</v>
      </c>
      <c r="AD524" s="424">
        <f t="shared" si="790"/>
        <v>0</v>
      </c>
      <c r="AE524" s="424">
        <f t="shared" si="790"/>
        <v>11.37</v>
      </c>
      <c r="AF524" s="424">
        <f t="shared" si="790"/>
        <v>0</v>
      </c>
      <c r="AG524" s="424">
        <f t="shared" si="790"/>
        <v>0</v>
      </c>
      <c r="AH524" s="424">
        <f t="shared" si="790"/>
        <v>6</v>
      </c>
      <c r="AI524" s="424">
        <f t="shared" si="790"/>
        <v>0</v>
      </c>
      <c r="AJ524" s="424">
        <f t="shared" si="790"/>
        <v>0</v>
      </c>
      <c r="AK524" s="424">
        <f t="shared" si="790"/>
        <v>0</v>
      </c>
      <c r="AL524" s="424">
        <f t="shared" si="790"/>
        <v>0</v>
      </c>
      <c r="AM524" s="424">
        <f t="shared" si="790"/>
        <v>0</v>
      </c>
      <c r="AN524" s="424">
        <f t="shared" si="790"/>
        <v>0</v>
      </c>
      <c r="AO524" s="424">
        <f t="shared" si="790"/>
        <v>0</v>
      </c>
      <c r="AP524" s="424">
        <f t="shared" ref="AP524:BU524" si="791">AP154*AP$372</f>
        <v>0</v>
      </c>
      <c r="AQ524" s="424">
        <f t="shared" si="791"/>
        <v>0</v>
      </c>
      <c r="AR524" s="424">
        <f t="shared" si="791"/>
        <v>0</v>
      </c>
      <c r="AS524" s="424">
        <f t="shared" si="791"/>
        <v>0</v>
      </c>
      <c r="AT524" s="424">
        <f t="shared" si="791"/>
        <v>0</v>
      </c>
      <c r="AU524" s="424">
        <f t="shared" si="791"/>
        <v>0</v>
      </c>
      <c r="AV524" s="424">
        <f t="shared" si="791"/>
        <v>0</v>
      </c>
      <c r="AW524" s="424">
        <f t="shared" si="791"/>
        <v>0</v>
      </c>
      <c r="AX524" s="424">
        <f t="shared" si="791"/>
        <v>0</v>
      </c>
      <c r="AY524" s="424">
        <f t="shared" si="791"/>
        <v>0</v>
      </c>
      <c r="AZ524" s="424">
        <f t="shared" si="791"/>
        <v>0</v>
      </c>
      <c r="BA524" s="424">
        <f t="shared" si="791"/>
        <v>0</v>
      </c>
      <c r="BB524" s="424">
        <f t="shared" si="791"/>
        <v>0</v>
      </c>
      <c r="BC524" s="424">
        <f t="shared" si="791"/>
        <v>0</v>
      </c>
      <c r="BD524" s="424">
        <f t="shared" si="791"/>
        <v>0</v>
      </c>
      <c r="BE524" s="424">
        <f t="shared" si="791"/>
        <v>0</v>
      </c>
      <c r="BF524" s="424">
        <f t="shared" si="791"/>
        <v>0</v>
      </c>
      <c r="BG524" s="424">
        <f t="shared" si="791"/>
        <v>0</v>
      </c>
      <c r="BH524" s="424">
        <f t="shared" si="791"/>
        <v>0</v>
      </c>
      <c r="BI524" s="424">
        <f t="shared" si="791"/>
        <v>0</v>
      </c>
      <c r="BJ524" s="424">
        <f t="shared" si="791"/>
        <v>0</v>
      </c>
      <c r="BK524" s="424">
        <f t="shared" si="791"/>
        <v>0</v>
      </c>
      <c r="BL524" s="424">
        <f t="shared" si="791"/>
        <v>0</v>
      </c>
      <c r="BM524" s="424">
        <f t="shared" si="791"/>
        <v>0</v>
      </c>
      <c r="BN524" s="424">
        <f t="shared" si="791"/>
        <v>0</v>
      </c>
      <c r="BO524" s="424">
        <f t="shared" si="791"/>
        <v>0</v>
      </c>
      <c r="BP524" s="424">
        <f t="shared" si="791"/>
        <v>0</v>
      </c>
      <c r="BQ524" s="424">
        <f t="shared" si="791"/>
        <v>0</v>
      </c>
      <c r="BR524" s="424">
        <f t="shared" si="791"/>
        <v>0</v>
      </c>
      <c r="BS524" s="424">
        <f t="shared" si="791"/>
        <v>0</v>
      </c>
      <c r="BT524" s="424">
        <f t="shared" si="791"/>
        <v>0</v>
      </c>
      <c r="BU524" s="424">
        <f t="shared" si="791"/>
        <v>0</v>
      </c>
      <c r="BV524" s="424">
        <f t="shared" ref="BV524:DA524" si="792">BV154*BV$372</f>
        <v>0</v>
      </c>
      <c r="BW524" s="424">
        <f t="shared" si="792"/>
        <v>0</v>
      </c>
      <c r="BX524" s="424">
        <f t="shared" si="792"/>
        <v>0</v>
      </c>
      <c r="BY524" s="424">
        <f t="shared" si="792"/>
        <v>0</v>
      </c>
      <c r="BZ524" s="424">
        <f t="shared" si="792"/>
        <v>0</v>
      </c>
      <c r="CA524" s="424">
        <f t="shared" si="792"/>
        <v>0</v>
      </c>
      <c r="CB524" s="424">
        <f t="shared" si="792"/>
        <v>0</v>
      </c>
      <c r="CC524" s="424">
        <f t="shared" si="792"/>
        <v>0</v>
      </c>
      <c r="CD524" s="424">
        <f t="shared" si="792"/>
        <v>0</v>
      </c>
      <c r="CE524" s="424">
        <f t="shared" si="792"/>
        <v>0</v>
      </c>
      <c r="CF524" s="424">
        <f t="shared" si="792"/>
        <v>0.6</v>
      </c>
      <c r="CG524" s="424">
        <f t="shared" si="792"/>
        <v>0</v>
      </c>
      <c r="CH524" s="424">
        <f t="shared" si="792"/>
        <v>0</v>
      </c>
      <c r="CI524" s="424">
        <f t="shared" si="792"/>
        <v>0</v>
      </c>
      <c r="CJ524" s="424">
        <f t="shared" si="792"/>
        <v>0</v>
      </c>
      <c r="CK524" s="424">
        <f t="shared" si="792"/>
        <v>0</v>
      </c>
      <c r="CL524" s="424">
        <f t="shared" si="792"/>
        <v>0</v>
      </c>
      <c r="CM524" s="424">
        <f t="shared" si="792"/>
        <v>0</v>
      </c>
      <c r="CN524" s="424">
        <f t="shared" si="792"/>
        <v>0</v>
      </c>
      <c r="CO524" s="424">
        <f t="shared" si="792"/>
        <v>0</v>
      </c>
      <c r="CP524" s="424">
        <f t="shared" si="792"/>
        <v>0</v>
      </c>
      <c r="CQ524" s="424">
        <f t="shared" si="792"/>
        <v>0</v>
      </c>
      <c r="CR524" s="424">
        <f t="shared" si="792"/>
        <v>0</v>
      </c>
      <c r="CS524" s="424">
        <f t="shared" si="792"/>
        <v>0</v>
      </c>
      <c r="CT524" s="424">
        <f t="shared" si="792"/>
        <v>0</v>
      </c>
      <c r="CU524" s="424">
        <f t="shared" si="792"/>
        <v>0</v>
      </c>
      <c r="CV524" s="424">
        <f t="shared" si="792"/>
        <v>0</v>
      </c>
      <c r="CW524" s="424">
        <f t="shared" si="792"/>
        <v>0</v>
      </c>
      <c r="CX524" s="424">
        <f t="shared" si="792"/>
        <v>0</v>
      </c>
      <c r="CY524" s="424">
        <f t="shared" si="792"/>
        <v>0</v>
      </c>
      <c r="CZ524" s="424">
        <f t="shared" si="792"/>
        <v>0</v>
      </c>
      <c r="DA524" s="424">
        <f t="shared" si="792"/>
        <v>0</v>
      </c>
      <c r="DB524" s="424">
        <f t="shared" ref="DB524:EG524" si="793">DB154*DB$372</f>
        <v>0</v>
      </c>
      <c r="DC524" s="424">
        <f t="shared" si="793"/>
        <v>0.01</v>
      </c>
      <c r="DD524" s="424">
        <f t="shared" si="793"/>
        <v>0</v>
      </c>
      <c r="DE524" s="424">
        <f t="shared" si="793"/>
        <v>0</v>
      </c>
      <c r="DF524" s="424">
        <f t="shared" si="793"/>
        <v>0</v>
      </c>
      <c r="DG524" s="424">
        <f t="shared" si="793"/>
        <v>0</v>
      </c>
      <c r="DH524" s="424">
        <f t="shared" si="793"/>
        <v>0</v>
      </c>
      <c r="DI524" s="424">
        <f t="shared" si="793"/>
        <v>0</v>
      </c>
      <c r="DJ524" s="424">
        <f t="shared" si="793"/>
        <v>0</v>
      </c>
      <c r="DK524" s="424">
        <f t="shared" si="793"/>
        <v>0</v>
      </c>
      <c r="DL524" s="424">
        <f t="shared" si="793"/>
        <v>0</v>
      </c>
      <c r="DM524" s="424">
        <f t="shared" si="793"/>
        <v>0</v>
      </c>
      <c r="DN524" s="424">
        <f t="shared" si="793"/>
        <v>0</v>
      </c>
      <c r="DO524" s="424">
        <f t="shared" si="793"/>
        <v>0</v>
      </c>
      <c r="DP524" s="424">
        <f t="shared" si="793"/>
        <v>0</v>
      </c>
      <c r="DQ524" s="424">
        <f t="shared" si="793"/>
        <v>0</v>
      </c>
      <c r="DR524" s="424">
        <f t="shared" si="793"/>
        <v>0</v>
      </c>
      <c r="DS524" s="424">
        <f t="shared" si="793"/>
        <v>0</v>
      </c>
      <c r="DT524" s="424">
        <f t="shared" si="793"/>
        <v>0</v>
      </c>
      <c r="DU524" s="424">
        <f t="shared" si="793"/>
        <v>0</v>
      </c>
      <c r="DV524" s="424">
        <f t="shared" si="793"/>
        <v>0</v>
      </c>
      <c r="DW524" s="424">
        <f t="shared" si="793"/>
        <v>0</v>
      </c>
      <c r="DX524" s="424">
        <f t="shared" si="793"/>
        <v>0</v>
      </c>
      <c r="DY524" s="424">
        <f t="shared" si="793"/>
        <v>0</v>
      </c>
      <c r="DZ524" s="424">
        <f t="shared" si="793"/>
        <v>0</v>
      </c>
      <c r="EA524" s="424">
        <f t="shared" si="793"/>
        <v>0</v>
      </c>
      <c r="EB524" s="424">
        <f t="shared" si="793"/>
        <v>0</v>
      </c>
      <c r="EC524" s="424">
        <f t="shared" si="793"/>
        <v>0</v>
      </c>
      <c r="ED524" s="424">
        <f t="shared" si="793"/>
        <v>0</v>
      </c>
      <c r="EE524" s="424">
        <f t="shared" si="793"/>
        <v>0</v>
      </c>
      <c r="EF524" s="424">
        <f t="shared" si="793"/>
        <v>0</v>
      </c>
      <c r="EG524" s="424">
        <f t="shared" si="793"/>
        <v>0</v>
      </c>
      <c r="EH524" s="424">
        <f t="shared" ref="EH524:EX524" si="794">EH154*EH$372</f>
        <v>0</v>
      </c>
      <c r="EI524" s="424">
        <f t="shared" si="794"/>
        <v>0</v>
      </c>
      <c r="EJ524" s="424">
        <f t="shared" si="794"/>
        <v>0</v>
      </c>
      <c r="EK524" s="424">
        <f t="shared" si="794"/>
        <v>0</v>
      </c>
      <c r="EL524" s="424">
        <f t="shared" si="794"/>
        <v>0</v>
      </c>
      <c r="EM524" s="424">
        <f t="shared" si="794"/>
        <v>0</v>
      </c>
      <c r="EN524" s="424">
        <f t="shared" si="794"/>
        <v>0</v>
      </c>
      <c r="EO524" s="424">
        <f t="shared" si="794"/>
        <v>0</v>
      </c>
      <c r="EP524" s="424">
        <f t="shared" si="794"/>
        <v>0</v>
      </c>
      <c r="EQ524" s="424">
        <f t="shared" si="794"/>
        <v>0</v>
      </c>
      <c r="ER524" s="424">
        <f t="shared" si="794"/>
        <v>0</v>
      </c>
      <c r="ES524" s="424">
        <f t="shared" si="794"/>
        <v>0</v>
      </c>
      <c r="ET524" s="424">
        <f t="shared" si="794"/>
        <v>0</v>
      </c>
      <c r="EU524" s="424">
        <f t="shared" si="794"/>
        <v>0</v>
      </c>
      <c r="EV524" s="424">
        <f t="shared" si="794"/>
        <v>0</v>
      </c>
      <c r="EW524" s="424">
        <f t="shared" si="794"/>
        <v>0</v>
      </c>
      <c r="EX524" s="424">
        <f t="shared" si="794"/>
        <v>0</v>
      </c>
      <c r="EY524" s="425">
        <f t="shared" si="699"/>
        <v>23.53</v>
      </c>
      <c r="EZ524" s="616"/>
      <c r="FA524" s="616"/>
      <c r="FB524" s="616"/>
      <c r="FC524" s="616"/>
      <c r="FD524" s="616"/>
      <c r="FE524" s="616"/>
      <c r="FF524" s="616"/>
      <c r="FG524" s="616"/>
      <c r="FH524" s="616"/>
      <c r="FI524" s="616"/>
      <c r="FJ524" s="616"/>
    </row>
    <row r="525" spans="1:166" s="522" customFormat="1" ht="14.7" customHeight="1" x14ac:dyDescent="0.25">
      <c r="A525" s="310">
        <v>151</v>
      </c>
      <c r="B525" s="311" t="str">
        <f t="shared" si="680"/>
        <v>Сырники из творога с молоком сгущенным</v>
      </c>
      <c r="C525" s="483">
        <f t="shared" si="688"/>
        <v>23.81</v>
      </c>
      <c r="D525" s="888"/>
      <c r="E525" s="888"/>
      <c r="F525" s="888"/>
      <c r="G525" s="889"/>
      <c r="H525" s="680">
        <f t="shared" si="681"/>
        <v>219</v>
      </c>
      <c r="I525" s="1209">
        <f t="shared" si="682"/>
        <v>0</v>
      </c>
      <c r="J525" s="424">
        <f t="shared" ref="J525:AO525" si="795">J155*J$372</f>
        <v>0</v>
      </c>
      <c r="K525" s="424">
        <f t="shared" si="795"/>
        <v>0</v>
      </c>
      <c r="L525" s="424">
        <f t="shared" si="795"/>
        <v>0</v>
      </c>
      <c r="M525" s="424">
        <f t="shared" si="795"/>
        <v>0</v>
      </c>
      <c r="N525" s="424">
        <f t="shared" si="795"/>
        <v>0</v>
      </c>
      <c r="O525" s="424">
        <f t="shared" si="795"/>
        <v>0</v>
      </c>
      <c r="P525" s="424">
        <f t="shared" si="795"/>
        <v>0</v>
      </c>
      <c r="Q525" s="424">
        <f t="shared" si="795"/>
        <v>0</v>
      </c>
      <c r="R525" s="424">
        <f t="shared" si="795"/>
        <v>0</v>
      </c>
      <c r="S525" s="424">
        <f t="shared" si="795"/>
        <v>0</v>
      </c>
      <c r="T525" s="424">
        <f t="shared" si="795"/>
        <v>0</v>
      </c>
      <c r="U525" s="424">
        <f t="shared" si="795"/>
        <v>0</v>
      </c>
      <c r="V525" s="424">
        <f t="shared" si="795"/>
        <v>0</v>
      </c>
      <c r="W525" s="424">
        <f t="shared" si="795"/>
        <v>0</v>
      </c>
      <c r="X525" s="424">
        <f t="shared" si="795"/>
        <v>17.850000000000001</v>
      </c>
      <c r="Y525" s="424">
        <f t="shared" si="795"/>
        <v>0</v>
      </c>
      <c r="Z525" s="424">
        <f t="shared" si="795"/>
        <v>5</v>
      </c>
      <c r="AA525" s="424">
        <f t="shared" si="795"/>
        <v>0</v>
      </c>
      <c r="AB525" s="424">
        <f t="shared" si="795"/>
        <v>0</v>
      </c>
      <c r="AC525" s="424">
        <f t="shared" si="795"/>
        <v>0</v>
      </c>
      <c r="AD525" s="424">
        <f t="shared" si="795"/>
        <v>0</v>
      </c>
      <c r="AE525" s="424">
        <f t="shared" si="795"/>
        <v>0.35</v>
      </c>
      <c r="AF525" s="424">
        <f t="shared" si="795"/>
        <v>0</v>
      </c>
      <c r="AG525" s="424">
        <f t="shared" si="795"/>
        <v>0</v>
      </c>
      <c r="AH525" s="424">
        <f t="shared" si="795"/>
        <v>0</v>
      </c>
      <c r="AI525" s="424">
        <f t="shared" si="795"/>
        <v>0</v>
      </c>
      <c r="AJ525" s="424">
        <f t="shared" si="795"/>
        <v>0</v>
      </c>
      <c r="AK525" s="424">
        <f t="shared" si="795"/>
        <v>0</v>
      </c>
      <c r="AL525" s="424">
        <f t="shared" si="795"/>
        <v>0</v>
      </c>
      <c r="AM525" s="424">
        <f t="shared" si="795"/>
        <v>0</v>
      </c>
      <c r="AN525" s="424">
        <f t="shared" si="795"/>
        <v>0</v>
      </c>
      <c r="AO525" s="424">
        <f t="shared" si="795"/>
        <v>0</v>
      </c>
      <c r="AP525" s="424">
        <f t="shared" ref="AP525:BU525" si="796">AP155*AP$372</f>
        <v>0</v>
      </c>
      <c r="AQ525" s="424">
        <f t="shared" si="796"/>
        <v>0</v>
      </c>
      <c r="AR525" s="424">
        <f t="shared" si="796"/>
        <v>0</v>
      </c>
      <c r="AS525" s="424">
        <f t="shared" si="796"/>
        <v>0</v>
      </c>
      <c r="AT525" s="424">
        <f t="shared" si="796"/>
        <v>0</v>
      </c>
      <c r="AU525" s="424">
        <f t="shared" si="796"/>
        <v>0</v>
      </c>
      <c r="AV525" s="424">
        <f t="shared" si="796"/>
        <v>0</v>
      </c>
      <c r="AW525" s="424">
        <f t="shared" si="796"/>
        <v>0</v>
      </c>
      <c r="AX525" s="424">
        <f t="shared" si="796"/>
        <v>0</v>
      </c>
      <c r="AY525" s="424">
        <f t="shared" si="796"/>
        <v>0</v>
      </c>
      <c r="AZ525" s="424">
        <f t="shared" si="796"/>
        <v>0</v>
      </c>
      <c r="BA525" s="424">
        <f t="shared" si="796"/>
        <v>0</v>
      </c>
      <c r="BB525" s="424">
        <f t="shared" si="796"/>
        <v>0</v>
      </c>
      <c r="BC525" s="424">
        <f t="shared" si="796"/>
        <v>0</v>
      </c>
      <c r="BD525" s="424">
        <f t="shared" si="796"/>
        <v>0</v>
      </c>
      <c r="BE525" s="424">
        <f t="shared" si="796"/>
        <v>0</v>
      </c>
      <c r="BF525" s="424">
        <f t="shared" si="796"/>
        <v>0</v>
      </c>
      <c r="BG525" s="424">
        <f t="shared" si="796"/>
        <v>0</v>
      </c>
      <c r="BH525" s="424">
        <f t="shared" si="796"/>
        <v>0</v>
      </c>
      <c r="BI525" s="424">
        <f t="shared" si="796"/>
        <v>0</v>
      </c>
      <c r="BJ525" s="424">
        <f t="shared" si="796"/>
        <v>0</v>
      </c>
      <c r="BK525" s="424">
        <f t="shared" si="796"/>
        <v>0</v>
      </c>
      <c r="BL525" s="424">
        <f t="shared" si="796"/>
        <v>0</v>
      </c>
      <c r="BM525" s="424">
        <f t="shared" si="796"/>
        <v>0</v>
      </c>
      <c r="BN525" s="424">
        <f t="shared" si="796"/>
        <v>0</v>
      </c>
      <c r="BO525" s="424">
        <f t="shared" si="796"/>
        <v>0</v>
      </c>
      <c r="BP525" s="424">
        <f t="shared" si="796"/>
        <v>0</v>
      </c>
      <c r="BQ525" s="424">
        <f t="shared" si="796"/>
        <v>0</v>
      </c>
      <c r="BR525" s="424">
        <f t="shared" si="796"/>
        <v>0</v>
      </c>
      <c r="BS525" s="424">
        <f t="shared" si="796"/>
        <v>0.25</v>
      </c>
      <c r="BT525" s="424">
        <f t="shared" si="796"/>
        <v>0</v>
      </c>
      <c r="BU525" s="424">
        <f t="shared" si="796"/>
        <v>0</v>
      </c>
      <c r="BV525" s="424">
        <f t="shared" ref="BV525:DA525" si="797">BV155*BV$372</f>
        <v>0</v>
      </c>
      <c r="BW525" s="424">
        <f t="shared" si="797"/>
        <v>0</v>
      </c>
      <c r="BX525" s="424">
        <f t="shared" si="797"/>
        <v>0</v>
      </c>
      <c r="BY525" s="424">
        <f t="shared" si="797"/>
        <v>0</v>
      </c>
      <c r="BZ525" s="424">
        <f t="shared" si="797"/>
        <v>0</v>
      </c>
      <c r="CA525" s="424">
        <f t="shared" si="797"/>
        <v>0</v>
      </c>
      <c r="CB525" s="424">
        <f t="shared" si="797"/>
        <v>0</v>
      </c>
      <c r="CC525" s="424">
        <f t="shared" si="797"/>
        <v>0</v>
      </c>
      <c r="CD525" s="424">
        <f t="shared" si="797"/>
        <v>0</v>
      </c>
      <c r="CE525" s="424">
        <f t="shared" si="797"/>
        <v>0</v>
      </c>
      <c r="CF525" s="424">
        <f t="shared" si="797"/>
        <v>0.36</v>
      </c>
      <c r="CG525" s="424">
        <f t="shared" si="797"/>
        <v>0</v>
      </c>
      <c r="CH525" s="424">
        <f t="shared" si="797"/>
        <v>0</v>
      </c>
      <c r="CI525" s="424">
        <f t="shared" si="797"/>
        <v>0</v>
      </c>
      <c r="CJ525" s="424">
        <f t="shared" si="797"/>
        <v>0</v>
      </c>
      <c r="CK525" s="424">
        <f t="shared" si="797"/>
        <v>0</v>
      </c>
      <c r="CL525" s="424">
        <f t="shared" si="797"/>
        <v>0</v>
      </c>
      <c r="CM525" s="424">
        <f t="shared" si="797"/>
        <v>0</v>
      </c>
      <c r="CN525" s="424">
        <f t="shared" si="797"/>
        <v>0</v>
      </c>
      <c r="CO525" s="424">
        <f t="shared" si="797"/>
        <v>0</v>
      </c>
      <c r="CP525" s="424">
        <f t="shared" si="797"/>
        <v>0</v>
      </c>
      <c r="CQ525" s="424">
        <f t="shared" si="797"/>
        <v>0</v>
      </c>
      <c r="CR525" s="424">
        <f t="shared" si="797"/>
        <v>0</v>
      </c>
      <c r="CS525" s="424">
        <f t="shared" si="797"/>
        <v>0</v>
      </c>
      <c r="CT525" s="424">
        <f t="shared" si="797"/>
        <v>0</v>
      </c>
      <c r="CU525" s="424">
        <f t="shared" si="797"/>
        <v>0</v>
      </c>
      <c r="CV525" s="424">
        <f t="shared" si="797"/>
        <v>0</v>
      </c>
      <c r="CW525" s="424">
        <f t="shared" si="797"/>
        <v>0</v>
      </c>
      <c r="CX525" s="424">
        <f t="shared" si="797"/>
        <v>0</v>
      </c>
      <c r="CY525" s="424">
        <f t="shared" si="797"/>
        <v>0</v>
      </c>
      <c r="CZ525" s="424">
        <f t="shared" si="797"/>
        <v>0</v>
      </c>
      <c r="DA525" s="424">
        <f t="shared" si="797"/>
        <v>0</v>
      </c>
      <c r="DB525" s="424">
        <f t="shared" ref="DB525:EG525" si="798">DB155*DB$372</f>
        <v>0</v>
      </c>
      <c r="DC525" s="424">
        <f t="shared" si="798"/>
        <v>0</v>
      </c>
      <c r="DD525" s="424">
        <f t="shared" si="798"/>
        <v>0</v>
      </c>
      <c r="DE525" s="424">
        <f t="shared" si="798"/>
        <v>0</v>
      </c>
      <c r="DF525" s="424">
        <f t="shared" si="798"/>
        <v>0</v>
      </c>
      <c r="DG525" s="424">
        <f t="shared" si="798"/>
        <v>0</v>
      </c>
      <c r="DH525" s="424">
        <f t="shared" si="798"/>
        <v>0</v>
      </c>
      <c r="DI525" s="424">
        <f t="shared" si="798"/>
        <v>0</v>
      </c>
      <c r="DJ525" s="424">
        <f t="shared" si="798"/>
        <v>0</v>
      </c>
      <c r="DK525" s="424">
        <f t="shared" si="798"/>
        <v>0</v>
      </c>
      <c r="DL525" s="424">
        <f t="shared" si="798"/>
        <v>0</v>
      </c>
      <c r="DM525" s="424">
        <f t="shared" si="798"/>
        <v>0</v>
      </c>
      <c r="DN525" s="424">
        <f t="shared" si="798"/>
        <v>0</v>
      </c>
      <c r="DO525" s="424">
        <f t="shared" si="798"/>
        <v>0</v>
      </c>
      <c r="DP525" s="424">
        <f t="shared" si="798"/>
        <v>0</v>
      </c>
      <c r="DQ525" s="424">
        <f t="shared" si="798"/>
        <v>0</v>
      </c>
      <c r="DR525" s="424">
        <f t="shared" si="798"/>
        <v>0</v>
      </c>
      <c r="DS525" s="424">
        <f t="shared" si="798"/>
        <v>0</v>
      </c>
      <c r="DT525" s="424">
        <f t="shared" si="798"/>
        <v>0</v>
      </c>
      <c r="DU525" s="424">
        <f t="shared" si="798"/>
        <v>0</v>
      </c>
      <c r="DV525" s="424">
        <f t="shared" si="798"/>
        <v>0</v>
      </c>
      <c r="DW525" s="424">
        <f t="shared" si="798"/>
        <v>0</v>
      </c>
      <c r="DX525" s="424">
        <f t="shared" si="798"/>
        <v>0</v>
      </c>
      <c r="DY525" s="424">
        <f t="shared" si="798"/>
        <v>0</v>
      </c>
      <c r="DZ525" s="424">
        <f t="shared" si="798"/>
        <v>0</v>
      </c>
      <c r="EA525" s="424">
        <f t="shared" si="798"/>
        <v>0</v>
      </c>
      <c r="EB525" s="424">
        <f t="shared" si="798"/>
        <v>0</v>
      </c>
      <c r="EC525" s="424">
        <f t="shared" si="798"/>
        <v>0</v>
      </c>
      <c r="ED525" s="424">
        <f t="shared" si="798"/>
        <v>0</v>
      </c>
      <c r="EE525" s="424">
        <f t="shared" si="798"/>
        <v>0</v>
      </c>
      <c r="EF525" s="424">
        <f t="shared" si="798"/>
        <v>0</v>
      </c>
      <c r="EG525" s="424">
        <f t="shared" si="798"/>
        <v>0</v>
      </c>
      <c r="EH525" s="424">
        <f t="shared" ref="EH525:EX525" si="799">EH155*EH$372</f>
        <v>0</v>
      </c>
      <c r="EI525" s="424">
        <f t="shared" si="799"/>
        <v>0</v>
      </c>
      <c r="EJ525" s="424">
        <f t="shared" si="799"/>
        <v>0</v>
      </c>
      <c r="EK525" s="424">
        <f t="shared" si="799"/>
        <v>0</v>
      </c>
      <c r="EL525" s="424">
        <f t="shared" si="799"/>
        <v>0</v>
      </c>
      <c r="EM525" s="424">
        <f t="shared" si="799"/>
        <v>0</v>
      </c>
      <c r="EN525" s="424">
        <f t="shared" si="799"/>
        <v>0</v>
      </c>
      <c r="EO525" s="424">
        <f t="shared" si="799"/>
        <v>0</v>
      </c>
      <c r="EP525" s="424">
        <f t="shared" si="799"/>
        <v>0</v>
      </c>
      <c r="EQ525" s="424">
        <f t="shared" si="799"/>
        <v>0</v>
      </c>
      <c r="ER525" s="424">
        <f t="shared" si="799"/>
        <v>0</v>
      </c>
      <c r="ES525" s="424">
        <f t="shared" si="799"/>
        <v>0</v>
      </c>
      <c r="ET525" s="424">
        <f t="shared" si="799"/>
        <v>0</v>
      </c>
      <c r="EU525" s="424">
        <f t="shared" si="799"/>
        <v>0</v>
      </c>
      <c r="EV525" s="424">
        <f t="shared" si="799"/>
        <v>0</v>
      </c>
      <c r="EW525" s="424">
        <f t="shared" si="799"/>
        <v>0</v>
      </c>
      <c r="EX525" s="424">
        <f t="shared" si="799"/>
        <v>0</v>
      </c>
      <c r="EY525" s="425">
        <f t="shared" si="699"/>
        <v>23.81</v>
      </c>
      <c r="EZ525" s="616"/>
      <c r="FA525" s="616"/>
      <c r="FB525" s="616"/>
      <c r="FC525" s="616"/>
      <c r="FD525" s="616"/>
      <c r="FE525" s="616"/>
      <c r="FF525" s="616"/>
      <c r="FG525" s="616"/>
      <c r="FH525" s="616"/>
      <c r="FI525" s="616"/>
      <c r="FJ525" s="616"/>
    </row>
    <row r="526" spans="1:166" ht="14.7" customHeight="1" x14ac:dyDescent="0.25">
      <c r="A526" s="310">
        <v>152</v>
      </c>
      <c r="B526" s="311" t="str">
        <f t="shared" si="680"/>
        <v>Пудинг из творога (запеченный) со сгущенным молоком</v>
      </c>
      <c r="C526" s="483">
        <f t="shared" si="688"/>
        <v>23.51</v>
      </c>
      <c r="D526" s="888"/>
      <c r="E526" s="888"/>
      <c r="F526" s="888"/>
      <c r="G526" s="889"/>
      <c r="H526" s="680">
        <f t="shared" si="681"/>
        <v>222</v>
      </c>
      <c r="I526" s="1209">
        <f t="shared" si="682"/>
        <v>0</v>
      </c>
      <c r="J526" s="424">
        <f t="shared" ref="J526:AO526" si="800">J156*J$372</f>
        <v>0</v>
      </c>
      <c r="K526" s="424">
        <f t="shared" si="800"/>
        <v>0</v>
      </c>
      <c r="L526" s="424">
        <f t="shared" si="800"/>
        <v>0</v>
      </c>
      <c r="M526" s="424">
        <f t="shared" si="800"/>
        <v>0</v>
      </c>
      <c r="N526" s="424">
        <f t="shared" si="800"/>
        <v>0</v>
      </c>
      <c r="O526" s="424">
        <f t="shared" si="800"/>
        <v>0</v>
      </c>
      <c r="P526" s="424">
        <f t="shared" si="800"/>
        <v>0</v>
      </c>
      <c r="Q526" s="424">
        <f t="shared" si="800"/>
        <v>0</v>
      </c>
      <c r="R526" s="424">
        <f t="shared" si="800"/>
        <v>0</v>
      </c>
      <c r="S526" s="424">
        <f t="shared" si="800"/>
        <v>0</v>
      </c>
      <c r="T526" s="424">
        <f t="shared" si="800"/>
        <v>0</v>
      </c>
      <c r="U526" s="424">
        <f t="shared" si="800"/>
        <v>0</v>
      </c>
      <c r="V526" s="424">
        <f t="shared" si="800"/>
        <v>1.42</v>
      </c>
      <c r="W526" s="424">
        <f t="shared" si="800"/>
        <v>0</v>
      </c>
      <c r="X526" s="424">
        <f t="shared" si="800"/>
        <v>13.48</v>
      </c>
      <c r="Y526" s="424">
        <f t="shared" si="800"/>
        <v>0.47</v>
      </c>
      <c r="Z526" s="424">
        <f t="shared" si="800"/>
        <v>5</v>
      </c>
      <c r="AA526" s="424">
        <f t="shared" si="800"/>
        <v>0</v>
      </c>
      <c r="AB526" s="424">
        <f t="shared" si="800"/>
        <v>0</v>
      </c>
      <c r="AC526" s="424">
        <f t="shared" si="800"/>
        <v>0</v>
      </c>
      <c r="AD526" s="424">
        <f t="shared" si="800"/>
        <v>0</v>
      </c>
      <c r="AE526" s="424">
        <f t="shared" si="800"/>
        <v>0.35</v>
      </c>
      <c r="AF526" s="424">
        <f t="shared" si="800"/>
        <v>0</v>
      </c>
      <c r="AG526" s="424">
        <f t="shared" si="800"/>
        <v>0</v>
      </c>
      <c r="AH526" s="424">
        <f t="shared" si="800"/>
        <v>0</v>
      </c>
      <c r="AI526" s="424">
        <f t="shared" si="800"/>
        <v>0</v>
      </c>
      <c r="AJ526" s="424">
        <f t="shared" si="800"/>
        <v>0</v>
      </c>
      <c r="AK526" s="424">
        <f t="shared" si="800"/>
        <v>0</v>
      </c>
      <c r="AL526" s="424">
        <f t="shared" si="800"/>
        <v>0</v>
      </c>
      <c r="AM526" s="424">
        <f t="shared" si="800"/>
        <v>0</v>
      </c>
      <c r="AN526" s="424">
        <f t="shared" si="800"/>
        <v>0</v>
      </c>
      <c r="AO526" s="424">
        <f t="shared" si="800"/>
        <v>0</v>
      </c>
      <c r="AP526" s="424">
        <f t="shared" ref="AP526:BU526" si="801">AP156*AP$372</f>
        <v>0</v>
      </c>
      <c r="AQ526" s="424">
        <f t="shared" si="801"/>
        <v>0</v>
      </c>
      <c r="AR526" s="424">
        <f t="shared" si="801"/>
        <v>0</v>
      </c>
      <c r="AS526" s="424">
        <f t="shared" si="801"/>
        <v>0</v>
      </c>
      <c r="AT526" s="424">
        <f t="shared" si="801"/>
        <v>0</v>
      </c>
      <c r="AU526" s="424">
        <f t="shared" si="801"/>
        <v>0</v>
      </c>
      <c r="AV526" s="424">
        <f t="shared" si="801"/>
        <v>0</v>
      </c>
      <c r="AW526" s="424">
        <f t="shared" si="801"/>
        <v>0</v>
      </c>
      <c r="AX526" s="424">
        <f t="shared" si="801"/>
        <v>0</v>
      </c>
      <c r="AY526" s="424">
        <f t="shared" si="801"/>
        <v>0</v>
      </c>
      <c r="AZ526" s="424">
        <f t="shared" si="801"/>
        <v>0</v>
      </c>
      <c r="BA526" s="424">
        <f t="shared" si="801"/>
        <v>0</v>
      </c>
      <c r="BB526" s="424">
        <f t="shared" si="801"/>
        <v>0</v>
      </c>
      <c r="BC526" s="424">
        <f t="shared" si="801"/>
        <v>0</v>
      </c>
      <c r="BD526" s="424">
        <f t="shared" si="801"/>
        <v>0</v>
      </c>
      <c r="BE526" s="424">
        <f t="shared" si="801"/>
        <v>0</v>
      </c>
      <c r="BF526" s="424">
        <f t="shared" si="801"/>
        <v>0</v>
      </c>
      <c r="BG526" s="424">
        <f t="shared" si="801"/>
        <v>0</v>
      </c>
      <c r="BH526" s="424">
        <f t="shared" si="801"/>
        <v>0</v>
      </c>
      <c r="BI526" s="424">
        <f t="shared" si="801"/>
        <v>0</v>
      </c>
      <c r="BJ526" s="424">
        <f t="shared" si="801"/>
        <v>0</v>
      </c>
      <c r="BK526" s="424">
        <f t="shared" si="801"/>
        <v>0</v>
      </c>
      <c r="BL526" s="424">
        <f t="shared" si="801"/>
        <v>0</v>
      </c>
      <c r="BM526" s="424">
        <f t="shared" si="801"/>
        <v>0</v>
      </c>
      <c r="BN526" s="424">
        <f t="shared" si="801"/>
        <v>0</v>
      </c>
      <c r="BO526" s="424">
        <f t="shared" si="801"/>
        <v>0</v>
      </c>
      <c r="BP526" s="424">
        <f t="shared" si="801"/>
        <v>0</v>
      </c>
      <c r="BQ526" s="424">
        <f t="shared" si="801"/>
        <v>0</v>
      </c>
      <c r="BR526" s="424">
        <f t="shared" si="801"/>
        <v>0</v>
      </c>
      <c r="BS526" s="424">
        <f t="shared" si="801"/>
        <v>0</v>
      </c>
      <c r="BT526" s="424">
        <f t="shared" si="801"/>
        <v>0</v>
      </c>
      <c r="BU526" s="424">
        <f t="shared" si="801"/>
        <v>0.16</v>
      </c>
      <c r="BV526" s="424">
        <f t="shared" ref="BV526:DA526" si="802">BV156*BV$372</f>
        <v>0</v>
      </c>
      <c r="BW526" s="424">
        <f t="shared" si="802"/>
        <v>0</v>
      </c>
      <c r="BX526" s="424">
        <f t="shared" si="802"/>
        <v>0</v>
      </c>
      <c r="BY526" s="424">
        <f t="shared" si="802"/>
        <v>0</v>
      </c>
      <c r="BZ526" s="424">
        <f t="shared" si="802"/>
        <v>0</v>
      </c>
      <c r="CA526" s="424">
        <f t="shared" si="802"/>
        <v>0</v>
      </c>
      <c r="CB526" s="424">
        <f t="shared" si="802"/>
        <v>0</v>
      </c>
      <c r="CC526" s="424">
        <f t="shared" si="802"/>
        <v>0</v>
      </c>
      <c r="CD526" s="424">
        <f t="shared" si="802"/>
        <v>0</v>
      </c>
      <c r="CE526" s="424">
        <f t="shared" si="802"/>
        <v>0</v>
      </c>
      <c r="CF526" s="424">
        <f t="shared" si="802"/>
        <v>0</v>
      </c>
      <c r="CG526" s="424">
        <f t="shared" si="802"/>
        <v>0</v>
      </c>
      <c r="CH526" s="424">
        <f t="shared" si="802"/>
        <v>0</v>
      </c>
      <c r="CI526" s="424">
        <f t="shared" si="802"/>
        <v>0.05</v>
      </c>
      <c r="CJ526" s="424">
        <f t="shared" si="802"/>
        <v>0</v>
      </c>
      <c r="CK526" s="424">
        <f t="shared" si="802"/>
        <v>0</v>
      </c>
      <c r="CL526" s="424">
        <f t="shared" si="802"/>
        <v>0</v>
      </c>
      <c r="CM526" s="424">
        <f t="shared" si="802"/>
        <v>2.04</v>
      </c>
      <c r="CN526" s="424">
        <f t="shared" si="802"/>
        <v>0</v>
      </c>
      <c r="CO526" s="424">
        <f t="shared" si="802"/>
        <v>0</v>
      </c>
      <c r="CP526" s="424">
        <f t="shared" si="802"/>
        <v>0</v>
      </c>
      <c r="CQ526" s="424">
        <f t="shared" si="802"/>
        <v>0</v>
      </c>
      <c r="CR526" s="424">
        <f t="shared" si="802"/>
        <v>0</v>
      </c>
      <c r="CS526" s="424">
        <f t="shared" si="802"/>
        <v>0</v>
      </c>
      <c r="CT526" s="424">
        <f t="shared" si="802"/>
        <v>0</v>
      </c>
      <c r="CU526" s="424">
        <f t="shared" si="802"/>
        <v>0</v>
      </c>
      <c r="CV526" s="424">
        <f t="shared" si="802"/>
        <v>0</v>
      </c>
      <c r="CW526" s="424">
        <f t="shared" si="802"/>
        <v>0</v>
      </c>
      <c r="CX526" s="424">
        <f t="shared" si="802"/>
        <v>0</v>
      </c>
      <c r="CY526" s="424">
        <f t="shared" si="802"/>
        <v>0</v>
      </c>
      <c r="CZ526" s="424">
        <f t="shared" si="802"/>
        <v>0.3</v>
      </c>
      <c r="DA526" s="424">
        <f t="shared" si="802"/>
        <v>0</v>
      </c>
      <c r="DB526" s="424">
        <f t="shared" ref="DB526:EG526" si="803">DB156*DB$372</f>
        <v>0</v>
      </c>
      <c r="DC526" s="424">
        <f t="shared" si="803"/>
        <v>0</v>
      </c>
      <c r="DD526" s="424">
        <f t="shared" si="803"/>
        <v>0.24</v>
      </c>
      <c r="DE526" s="424">
        <f t="shared" si="803"/>
        <v>0</v>
      </c>
      <c r="DF526" s="424">
        <f t="shared" si="803"/>
        <v>0</v>
      </c>
      <c r="DG526" s="424">
        <f t="shared" si="803"/>
        <v>0</v>
      </c>
      <c r="DH526" s="424">
        <f t="shared" si="803"/>
        <v>0</v>
      </c>
      <c r="DI526" s="424">
        <f t="shared" si="803"/>
        <v>0</v>
      </c>
      <c r="DJ526" s="424">
        <f t="shared" si="803"/>
        <v>0</v>
      </c>
      <c r="DK526" s="424">
        <f t="shared" si="803"/>
        <v>0</v>
      </c>
      <c r="DL526" s="424">
        <f t="shared" si="803"/>
        <v>0</v>
      </c>
      <c r="DM526" s="424">
        <f t="shared" si="803"/>
        <v>0</v>
      </c>
      <c r="DN526" s="424">
        <f t="shared" si="803"/>
        <v>0</v>
      </c>
      <c r="DO526" s="424">
        <f t="shared" si="803"/>
        <v>0</v>
      </c>
      <c r="DP526" s="424">
        <f t="shared" si="803"/>
        <v>0</v>
      </c>
      <c r="DQ526" s="424">
        <f t="shared" si="803"/>
        <v>0</v>
      </c>
      <c r="DR526" s="424">
        <f t="shared" si="803"/>
        <v>0</v>
      </c>
      <c r="DS526" s="424">
        <f t="shared" si="803"/>
        <v>0</v>
      </c>
      <c r="DT526" s="424">
        <f t="shared" si="803"/>
        <v>0</v>
      </c>
      <c r="DU526" s="424">
        <f t="shared" si="803"/>
        <v>0</v>
      </c>
      <c r="DV526" s="424">
        <f t="shared" si="803"/>
        <v>0</v>
      </c>
      <c r="DW526" s="424">
        <f t="shared" si="803"/>
        <v>0</v>
      </c>
      <c r="DX526" s="424">
        <f t="shared" si="803"/>
        <v>0</v>
      </c>
      <c r="DY526" s="424">
        <f t="shared" si="803"/>
        <v>0</v>
      </c>
      <c r="DZ526" s="424">
        <f t="shared" si="803"/>
        <v>0</v>
      </c>
      <c r="EA526" s="424">
        <f t="shared" si="803"/>
        <v>0</v>
      </c>
      <c r="EB526" s="424">
        <f t="shared" si="803"/>
        <v>0</v>
      </c>
      <c r="EC526" s="424">
        <f t="shared" si="803"/>
        <v>0</v>
      </c>
      <c r="ED526" s="424">
        <f t="shared" si="803"/>
        <v>0</v>
      </c>
      <c r="EE526" s="424">
        <f t="shared" si="803"/>
        <v>0</v>
      </c>
      <c r="EF526" s="424">
        <f t="shared" si="803"/>
        <v>0</v>
      </c>
      <c r="EG526" s="424">
        <f t="shared" si="803"/>
        <v>0</v>
      </c>
      <c r="EH526" s="424">
        <f t="shared" ref="EH526:EX526" si="804">EH156*EH$372</f>
        <v>0</v>
      </c>
      <c r="EI526" s="424">
        <f t="shared" si="804"/>
        <v>0</v>
      </c>
      <c r="EJ526" s="424">
        <f t="shared" si="804"/>
        <v>0</v>
      </c>
      <c r="EK526" s="424">
        <f t="shared" si="804"/>
        <v>0</v>
      </c>
      <c r="EL526" s="424">
        <f t="shared" si="804"/>
        <v>0</v>
      </c>
      <c r="EM526" s="424">
        <f t="shared" si="804"/>
        <v>0</v>
      </c>
      <c r="EN526" s="424">
        <f t="shared" si="804"/>
        <v>0</v>
      </c>
      <c r="EO526" s="424">
        <f t="shared" si="804"/>
        <v>0</v>
      </c>
      <c r="EP526" s="424">
        <f t="shared" si="804"/>
        <v>0</v>
      </c>
      <c r="EQ526" s="424">
        <f t="shared" si="804"/>
        <v>0</v>
      </c>
      <c r="ER526" s="424">
        <f t="shared" si="804"/>
        <v>0</v>
      </c>
      <c r="ES526" s="424">
        <f t="shared" si="804"/>
        <v>0</v>
      </c>
      <c r="ET526" s="424">
        <f t="shared" si="804"/>
        <v>0</v>
      </c>
      <c r="EU526" s="424">
        <f t="shared" si="804"/>
        <v>0</v>
      </c>
      <c r="EV526" s="424">
        <f t="shared" si="804"/>
        <v>0</v>
      </c>
      <c r="EW526" s="424">
        <f t="shared" si="804"/>
        <v>0</v>
      </c>
      <c r="EX526" s="424">
        <f t="shared" si="804"/>
        <v>0</v>
      </c>
      <c r="EY526" s="425">
        <f t="shared" si="699"/>
        <v>23.51</v>
      </c>
    </row>
    <row r="527" spans="1:166" s="892" customFormat="1" ht="14.7" customHeight="1" x14ac:dyDescent="0.25">
      <c r="A527" s="310">
        <v>153</v>
      </c>
      <c r="B527" s="311" t="str">
        <f t="shared" si="680"/>
        <v>Пудинг из творога (запеченный) со сгущенным молоком</v>
      </c>
      <c r="C527" s="483">
        <f t="shared" si="688"/>
        <v>52.12</v>
      </c>
      <c r="D527" s="888"/>
      <c r="E527" s="888"/>
      <c r="F527" s="888"/>
      <c r="G527" s="889"/>
      <c r="H527" s="680">
        <f t="shared" si="681"/>
        <v>222</v>
      </c>
      <c r="I527" s="1209">
        <f t="shared" si="682"/>
        <v>0</v>
      </c>
      <c r="J527" s="424">
        <f t="shared" ref="J527:AO527" si="805">J157*J$372</f>
        <v>0</v>
      </c>
      <c r="K527" s="424">
        <f t="shared" si="805"/>
        <v>0</v>
      </c>
      <c r="L527" s="424">
        <f t="shared" si="805"/>
        <v>0</v>
      </c>
      <c r="M527" s="424">
        <f t="shared" si="805"/>
        <v>0</v>
      </c>
      <c r="N527" s="424">
        <f t="shared" si="805"/>
        <v>0</v>
      </c>
      <c r="O527" s="424">
        <f t="shared" si="805"/>
        <v>0</v>
      </c>
      <c r="P527" s="424">
        <f t="shared" si="805"/>
        <v>0</v>
      </c>
      <c r="Q527" s="424">
        <f t="shared" si="805"/>
        <v>0</v>
      </c>
      <c r="R527" s="424">
        <f t="shared" si="805"/>
        <v>0</v>
      </c>
      <c r="S527" s="424">
        <f t="shared" si="805"/>
        <v>0</v>
      </c>
      <c r="T527" s="424">
        <f t="shared" si="805"/>
        <v>0</v>
      </c>
      <c r="U527" s="424">
        <f t="shared" si="805"/>
        <v>0</v>
      </c>
      <c r="V527" s="424">
        <f t="shared" si="805"/>
        <v>3.55</v>
      </c>
      <c r="W527" s="424">
        <f t="shared" si="805"/>
        <v>0</v>
      </c>
      <c r="X527" s="424">
        <f t="shared" si="805"/>
        <v>32.340000000000003</v>
      </c>
      <c r="Y527" s="424">
        <f t="shared" si="805"/>
        <v>1.17</v>
      </c>
      <c r="Z527" s="424">
        <f t="shared" si="805"/>
        <v>7.5</v>
      </c>
      <c r="AA527" s="424">
        <f t="shared" si="805"/>
        <v>0</v>
      </c>
      <c r="AB527" s="424">
        <f t="shared" si="805"/>
        <v>0</v>
      </c>
      <c r="AC527" s="424">
        <f t="shared" si="805"/>
        <v>0</v>
      </c>
      <c r="AD527" s="424">
        <f t="shared" si="805"/>
        <v>0</v>
      </c>
      <c r="AE527" s="424">
        <f t="shared" si="805"/>
        <v>0.91</v>
      </c>
      <c r="AF527" s="424">
        <f t="shared" si="805"/>
        <v>0</v>
      </c>
      <c r="AG527" s="424">
        <f t="shared" si="805"/>
        <v>0</v>
      </c>
      <c r="AH527" s="424">
        <f t="shared" si="805"/>
        <v>0</v>
      </c>
      <c r="AI527" s="424">
        <f t="shared" si="805"/>
        <v>0</v>
      </c>
      <c r="AJ527" s="424">
        <f t="shared" si="805"/>
        <v>0</v>
      </c>
      <c r="AK527" s="424">
        <f t="shared" si="805"/>
        <v>0</v>
      </c>
      <c r="AL527" s="424">
        <f t="shared" si="805"/>
        <v>0</v>
      </c>
      <c r="AM527" s="424">
        <f t="shared" si="805"/>
        <v>0</v>
      </c>
      <c r="AN527" s="424">
        <f t="shared" si="805"/>
        <v>0</v>
      </c>
      <c r="AO527" s="424">
        <f t="shared" si="805"/>
        <v>0</v>
      </c>
      <c r="AP527" s="424">
        <f t="shared" ref="AP527:BU527" si="806">AP157*AP$372</f>
        <v>0</v>
      </c>
      <c r="AQ527" s="424">
        <f t="shared" si="806"/>
        <v>0</v>
      </c>
      <c r="AR527" s="424">
        <f t="shared" si="806"/>
        <v>0</v>
      </c>
      <c r="AS527" s="424">
        <f t="shared" si="806"/>
        <v>0</v>
      </c>
      <c r="AT527" s="424">
        <f t="shared" si="806"/>
        <v>0</v>
      </c>
      <c r="AU527" s="424">
        <f t="shared" si="806"/>
        <v>0</v>
      </c>
      <c r="AV527" s="424">
        <f t="shared" si="806"/>
        <v>0</v>
      </c>
      <c r="AW527" s="424">
        <f t="shared" si="806"/>
        <v>0</v>
      </c>
      <c r="AX527" s="424">
        <f t="shared" si="806"/>
        <v>0</v>
      </c>
      <c r="AY527" s="424">
        <f t="shared" si="806"/>
        <v>0</v>
      </c>
      <c r="AZ527" s="424">
        <f t="shared" si="806"/>
        <v>0</v>
      </c>
      <c r="BA527" s="424">
        <f t="shared" si="806"/>
        <v>0</v>
      </c>
      <c r="BB527" s="424">
        <f t="shared" si="806"/>
        <v>0</v>
      </c>
      <c r="BC527" s="424">
        <f t="shared" si="806"/>
        <v>0</v>
      </c>
      <c r="BD527" s="424">
        <f t="shared" si="806"/>
        <v>0</v>
      </c>
      <c r="BE527" s="424">
        <f t="shared" si="806"/>
        <v>0</v>
      </c>
      <c r="BF527" s="424">
        <f t="shared" si="806"/>
        <v>0</v>
      </c>
      <c r="BG527" s="424">
        <f t="shared" si="806"/>
        <v>0</v>
      </c>
      <c r="BH527" s="424">
        <f t="shared" si="806"/>
        <v>0</v>
      </c>
      <c r="BI527" s="424">
        <f t="shared" si="806"/>
        <v>0</v>
      </c>
      <c r="BJ527" s="424">
        <f t="shared" si="806"/>
        <v>0</v>
      </c>
      <c r="BK527" s="424">
        <f t="shared" si="806"/>
        <v>0</v>
      </c>
      <c r="BL527" s="424">
        <f t="shared" si="806"/>
        <v>0</v>
      </c>
      <c r="BM527" s="424">
        <f t="shared" si="806"/>
        <v>0</v>
      </c>
      <c r="BN527" s="424">
        <f t="shared" si="806"/>
        <v>0</v>
      </c>
      <c r="BO527" s="424">
        <f t="shared" si="806"/>
        <v>0</v>
      </c>
      <c r="BP527" s="424">
        <f t="shared" si="806"/>
        <v>0</v>
      </c>
      <c r="BQ527" s="424">
        <f t="shared" si="806"/>
        <v>0</v>
      </c>
      <c r="BR527" s="424">
        <f t="shared" si="806"/>
        <v>0</v>
      </c>
      <c r="BS527" s="424">
        <f t="shared" si="806"/>
        <v>0</v>
      </c>
      <c r="BT527" s="424">
        <f t="shared" si="806"/>
        <v>0</v>
      </c>
      <c r="BU527" s="424">
        <f t="shared" si="806"/>
        <v>0.4</v>
      </c>
      <c r="BV527" s="424">
        <f t="shared" ref="BV527:DA527" si="807">BV157*BV$372</f>
        <v>0</v>
      </c>
      <c r="BW527" s="424">
        <f t="shared" si="807"/>
        <v>0</v>
      </c>
      <c r="BX527" s="424">
        <f t="shared" si="807"/>
        <v>0</v>
      </c>
      <c r="BY527" s="424">
        <f t="shared" si="807"/>
        <v>0</v>
      </c>
      <c r="BZ527" s="424">
        <f t="shared" si="807"/>
        <v>0</v>
      </c>
      <c r="CA527" s="424">
        <f t="shared" si="807"/>
        <v>0</v>
      </c>
      <c r="CB527" s="424">
        <f t="shared" si="807"/>
        <v>0</v>
      </c>
      <c r="CC527" s="424">
        <f t="shared" si="807"/>
        <v>0</v>
      </c>
      <c r="CD527" s="424">
        <f t="shared" si="807"/>
        <v>0</v>
      </c>
      <c r="CE527" s="424">
        <f t="shared" si="807"/>
        <v>0</v>
      </c>
      <c r="CF527" s="424">
        <f t="shared" si="807"/>
        <v>0</v>
      </c>
      <c r="CG527" s="424">
        <f t="shared" si="807"/>
        <v>0</v>
      </c>
      <c r="CH527" s="424">
        <f t="shared" si="807"/>
        <v>0</v>
      </c>
      <c r="CI527" s="424">
        <f t="shared" si="807"/>
        <v>0.1</v>
      </c>
      <c r="CJ527" s="424">
        <f t="shared" si="807"/>
        <v>0</v>
      </c>
      <c r="CK527" s="424">
        <f t="shared" si="807"/>
        <v>0</v>
      </c>
      <c r="CL527" s="424">
        <f t="shared" si="807"/>
        <v>0</v>
      </c>
      <c r="CM527" s="424">
        <f t="shared" si="807"/>
        <v>4.8</v>
      </c>
      <c r="CN527" s="424">
        <f t="shared" si="807"/>
        <v>0</v>
      </c>
      <c r="CO527" s="424">
        <f t="shared" si="807"/>
        <v>0</v>
      </c>
      <c r="CP527" s="424">
        <f t="shared" si="807"/>
        <v>0</v>
      </c>
      <c r="CQ527" s="424">
        <f t="shared" si="807"/>
        <v>0</v>
      </c>
      <c r="CR527" s="424">
        <f t="shared" si="807"/>
        <v>0</v>
      </c>
      <c r="CS527" s="424">
        <f t="shared" si="807"/>
        <v>0</v>
      </c>
      <c r="CT527" s="424">
        <f t="shared" si="807"/>
        <v>0</v>
      </c>
      <c r="CU527" s="424">
        <f t="shared" si="807"/>
        <v>0</v>
      </c>
      <c r="CV527" s="424">
        <f t="shared" si="807"/>
        <v>0</v>
      </c>
      <c r="CW527" s="424">
        <f t="shared" si="807"/>
        <v>0</v>
      </c>
      <c r="CX527" s="424">
        <f t="shared" si="807"/>
        <v>0</v>
      </c>
      <c r="CY527" s="424">
        <f t="shared" si="807"/>
        <v>0</v>
      </c>
      <c r="CZ527" s="424">
        <f t="shared" si="807"/>
        <v>0.76</v>
      </c>
      <c r="DA527" s="424">
        <f t="shared" si="807"/>
        <v>0</v>
      </c>
      <c r="DB527" s="424">
        <f t="shared" ref="DB527:EG527" si="808">DB157*DB$372</f>
        <v>0</v>
      </c>
      <c r="DC527" s="424">
        <f t="shared" si="808"/>
        <v>0</v>
      </c>
      <c r="DD527" s="424">
        <f t="shared" si="808"/>
        <v>0.59</v>
      </c>
      <c r="DE527" s="424">
        <f t="shared" si="808"/>
        <v>0</v>
      </c>
      <c r="DF527" s="424">
        <f t="shared" si="808"/>
        <v>0</v>
      </c>
      <c r="DG527" s="424">
        <f t="shared" si="808"/>
        <v>0</v>
      </c>
      <c r="DH527" s="424">
        <f t="shared" si="808"/>
        <v>0</v>
      </c>
      <c r="DI527" s="424">
        <f t="shared" si="808"/>
        <v>0</v>
      </c>
      <c r="DJ527" s="424">
        <f t="shared" si="808"/>
        <v>0</v>
      </c>
      <c r="DK527" s="424">
        <f t="shared" si="808"/>
        <v>0</v>
      </c>
      <c r="DL527" s="424">
        <f t="shared" si="808"/>
        <v>0</v>
      </c>
      <c r="DM527" s="424">
        <f t="shared" si="808"/>
        <v>0</v>
      </c>
      <c r="DN527" s="424">
        <f t="shared" si="808"/>
        <v>0</v>
      </c>
      <c r="DO527" s="424">
        <f t="shared" si="808"/>
        <v>0</v>
      </c>
      <c r="DP527" s="424">
        <f t="shared" si="808"/>
        <v>0</v>
      </c>
      <c r="DQ527" s="424">
        <f t="shared" si="808"/>
        <v>0</v>
      </c>
      <c r="DR527" s="424">
        <f t="shared" si="808"/>
        <v>0</v>
      </c>
      <c r="DS527" s="424">
        <f t="shared" si="808"/>
        <v>0</v>
      </c>
      <c r="DT527" s="424">
        <f t="shared" si="808"/>
        <v>0</v>
      </c>
      <c r="DU527" s="424">
        <f t="shared" si="808"/>
        <v>0</v>
      </c>
      <c r="DV527" s="424">
        <f t="shared" si="808"/>
        <v>0</v>
      </c>
      <c r="DW527" s="424">
        <f t="shared" si="808"/>
        <v>0</v>
      </c>
      <c r="DX527" s="424">
        <f t="shared" si="808"/>
        <v>0</v>
      </c>
      <c r="DY527" s="424">
        <f t="shared" si="808"/>
        <v>0</v>
      </c>
      <c r="DZ527" s="424">
        <f t="shared" si="808"/>
        <v>0</v>
      </c>
      <c r="EA527" s="424">
        <f t="shared" si="808"/>
        <v>0</v>
      </c>
      <c r="EB527" s="424">
        <f t="shared" si="808"/>
        <v>0</v>
      </c>
      <c r="EC527" s="424">
        <f t="shared" si="808"/>
        <v>0</v>
      </c>
      <c r="ED527" s="424">
        <f t="shared" si="808"/>
        <v>0</v>
      </c>
      <c r="EE527" s="424">
        <f t="shared" si="808"/>
        <v>0</v>
      </c>
      <c r="EF527" s="424">
        <f t="shared" si="808"/>
        <v>0</v>
      </c>
      <c r="EG527" s="424">
        <f t="shared" si="808"/>
        <v>0</v>
      </c>
      <c r="EH527" s="424">
        <f t="shared" ref="EH527:EX527" si="809">EH157*EH$372</f>
        <v>0</v>
      </c>
      <c r="EI527" s="424">
        <f t="shared" si="809"/>
        <v>0</v>
      </c>
      <c r="EJ527" s="424">
        <f t="shared" si="809"/>
        <v>0</v>
      </c>
      <c r="EK527" s="424">
        <f t="shared" si="809"/>
        <v>0</v>
      </c>
      <c r="EL527" s="424">
        <f t="shared" si="809"/>
        <v>0</v>
      </c>
      <c r="EM527" s="424">
        <f t="shared" si="809"/>
        <v>0</v>
      </c>
      <c r="EN527" s="424">
        <f t="shared" si="809"/>
        <v>0</v>
      </c>
      <c r="EO527" s="424">
        <f t="shared" si="809"/>
        <v>0</v>
      </c>
      <c r="EP527" s="424">
        <f t="shared" si="809"/>
        <v>0</v>
      </c>
      <c r="EQ527" s="424">
        <f t="shared" si="809"/>
        <v>0</v>
      </c>
      <c r="ER527" s="424">
        <f t="shared" si="809"/>
        <v>0</v>
      </c>
      <c r="ES527" s="424">
        <f t="shared" si="809"/>
        <v>0</v>
      </c>
      <c r="ET527" s="424">
        <f t="shared" si="809"/>
        <v>0</v>
      </c>
      <c r="EU527" s="424">
        <f t="shared" si="809"/>
        <v>0</v>
      </c>
      <c r="EV527" s="424">
        <f t="shared" si="809"/>
        <v>0</v>
      </c>
      <c r="EW527" s="424">
        <f t="shared" si="809"/>
        <v>0</v>
      </c>
      <c r="EX527" s="424">
        <f t="shared" si="809"/>
        <v>0</v>
      </c>
      <c r="EY527" s="425">
        <f t="shared" si="699"/>
        <v>52.12</v>
      </c>
      <c r="EZ527" s="616"/>
      <c r="FA527" s="616"/>
      <c r="FB527" s="616"/>
      <c r="FC527" s="616"/>
      <c r="FD527" s="616"/>
      <c r="FE527" s="616"/>
      <c r="FF527" s="616"/>
      <c r="FG527" s="616"/>
      <c r="FH527" s="616"/>
      <c r="FI527" s="616"/>
      <c r="FJ527" s="616"/>
    </row>
    <row r="528" spans="1:166" ht="14.7" customHeight="1" x14ac:dyDescent="0.25">
      <c r="A528" s="310">
        <v>154</v>
      </c>
      <c r="B528" s="311" t="str">
        <f t="shared" si="680"/>
        <v>Запеканка из творога со сгущенным молоком</v>
      </c>
      <c r="C528" s="483">
        <f t="shared" si="688"/>
        <v>26.87</v>
      </c>
      <c r="D528" s="888"/>
      <c r="E528" s="888"/>
      <c r="F528" s="888"/>
      <c r="G528" s="889"/>
      <c r="H528" s="680">
        <f t="shared" si="681"/>
        <v>223</v>
      </c>
      <c r="I528" s="1209">
        <f t="shared" si="682"/>
        <v>0</v>
      </c>
      <c r="J528" s="424">
        <f t="shared" ref="J528:AO528" si="810">J158*J$372</f>
        <v>0</v>
      </c>
      <c r="K528" s="424">
        <f t="shared" si="810"/>
        <v>0</v>
      </c>
      <c r="L528" s="424">
        <f t="shared" si="810"/>
        <v>0</v>
      </c>
      <c r="M528" s="424">
        <f t="shared" si="810"/>
        <v>0</v>
      </c>
      <c r="N528" s="424">
        <f t="shared" si="810"/>
        <v>0</v>
      </c>
      <c r="O528" s="424">
        <f t="shared" si="810"/>
        <v>0</v>
      </c>
      <c r="P528" s="424">
        <f t="shared" si="810"/>
        <v>0</v>
      </c>
      <c r="Q528" s="424">
        <f t="shared" si="810"/>
        <v>0</v>
      </c>
      <c r="R528" s="424">
        <f t="shared" si="810"/>
        <v>0</v>
      </c>
      <c r="S528" s="424">
        <f t="shared" si="810"/>
        <v>0</v>
      </c>
      <c r="T528" s="424">
        <f t="shared" si="810"/>
        <v>0</v>
      </c>
      <c r="U528" s="424">
        <f t="shared" si="810"/>
        <v>0</v>
      </c>
      <c r="V528" s="424">
        <f t="shared" si="810"/>
        <v>1.42</v>
      </c>
      <c r="W528" s="424">
        <f t="shared" si="810"/>
        <v>0</v>
      </c>
      <c r="X528" s="424">
        <f t="shared" si="810"/>
        <v>16.45</v>
      </c>
      <c r="Y528" s="424">
        <f t="shared" si="810"/>
        <v>0.47</v>
      </c>
      <c r="Z528" s="424">
        <f t="shared" si="810"/>
        <v>7.5</v>
      </c>
      <c r="AA528" s="424">
        <f t="shared" si="810"/>
        <v>0</v>
      </c>
      <c r="AB528" s="424">
        <f t="shared" si="810"/>
        <v>0</v>
      </c>
      <c r="AC528" s="424">
        <f t="shared" si="810"/>
        <v>0</v>
      </c>
      <c r="AD528" s="424">
        <f t="shared" si="810"/>
        <v>0</v>
      </c>
      <c r="AE528" s="424">
        <f t="shared" si="810"/>
        <v>0.35</v>
      </c>
      <c r="AF528" s="424">
        <f t="shared" si="810"/>
        <v>0</v>
      </c>
      <c r="AG528" s="424">
        <f t="shared" si="810"/>
        <v>0</v>
      </c>
      <c r="AH528" s="424">
        <f t="shared" si="810"/>
        <v>0</v>
      </c>
      <c r="AI528" s="424">
        <f t="shared" si="810"/>
        <v>0</v>
      </c>
      <c r="AJ528" s="424">
        <f t="shared" si="810"/>
        <v>0</v>
      </c>
      <c r="AK528" s="424">
        <f t="shared" si="810"/>
        <v>0</v>
      </c>
      <c r="AL528" s="424">
        <f t="shared" si="810"/>
        <v>0</v>
      </c>
      <c r="AM528" s="424">
        <f t="shared" si="810"/>
        <v>0</v>
      </c>
      <c r="AN528" s="424">
        <f t="shared" si="810"/>
        <v>0</v>
      </c>
      <c r="AO528" s="424">
        <f t="shared" si="810"/>
        <v>0</v>
      </c>
      <c r="AP528" s="424">
        <f t="shared" ref="AP528:BU528" si="811">AP158*AP$372</f>
        <v>0</v>
      </c>
      <c r="AQ528" s="424">
        <f t="shared" si="811"/>
        <v>0</v>
      </c>
      <c r="AR528" s="424">
        <f t="shared" si="811"/>
        <v>0</v>
      </c>
      <c r="AS528" s="424">
        <f t="shared" si="811"/>
        <v>0</v>
      </c>
      <c r="AT528" s="424">
        <f t="shared" si="811"/>
        <v>0</v>
      </c>
      <c r="AU528" s="424">
        <f t="shared" si="811"/>
        <v>0</v>
      </c>
      <c r="AV528" s="424">
        <f t="shared" si="811"/>
        <v>0</v>
      </c>
      <c r="AW528" s="424">
        <f t="shared" si="811"/>
        <v>0</v>
      </c>
      <c r="AX528" s="424">
        <f t="shared" si="811"/>
        <v>0</v>
      </c>
      <c r="AY528" s="424">
        <f t="shared" si="811"/>
        <v>0</v>
      </c>
      <c r="AZ528" s="424">
        <f t="shared" si="811"/>
        <v>0</v>
      </c>
      <c r="BA528" s="424">
        <f t="shared" si="811"/>
        <v>0</v>
      </c>
      <c r="BB528" s="424">
        <f t="shared" si="811"/>
        <v>0</v>
      </c>
      <c r="BC528" s="424">
        <f t="shared" si="811"/>
        <v>0</v>
      </c>
      <c r="BD528" s="424">
        <f t="shared" si="811"/>
        <v>0</v>
      </c>
      <c r="BE528" s="424">
        <f t="shared" si="811"/>
        <v>0</v>
      </c>
      <c r="BF528" s="424">
        <f t="shared" si="811"/>
        <v>0</v>
      </c>
      <c r="BG528" s="424">
        <f t="shared" si="811"/>
        <v>0</v>
      </c>
      <c r="BH528" s="424">
        <f t="shared" si="811"/>
        <v>0</v>
      </c>
      <c r="BI528" s="424">
        <f t="shared" si="811"/>
        <v>0</v>
      </c>
      <c r="BJ528" s="424">
        <f t="shared" si="811"/>
        <v>0</v>
      </c>
      <c r="BK528" s="424">
        <f t="shared" si="811"/>
        <v>0</v>
      </c>
      <c r="BL528" s="424">
        <f t="shared" si="811"/>
        <v>0</v>
      </c>
      <c r="BM528" s="424">
        <f t="shared" si="811"/>
        <v>0</v>
      </c>
      <c r="BN528" s="424">
        <f t="shared" si="811"/>
        <v>0</v>
      </c>
      <c r="BO528" s="424">
        <f t="shared" si="811"/>
        <v>0</v>
      </c>
      <c r="BP528" s="424">
        <f t="shared" si="811"/>
        <v>0</v>
      </c>
      <c r="BQ528" s="424">
        <f t="shared" si="811"/>
        <v>0</v>
      </c>
      <c r="BR528" s="424">
        <f t="shared" si="811"/>
        <v>0</v>
      </c>
      <c r="BS528" s="424">
        <f t="shared" si="811"/>
        <v>0.14000000000000001</v>
      </c>
      <c r="BT528" s="424">
        <f t="shared" si="811"/>
        <v>0</v>
      </c>
      <c r="BU528" s="424">
        <f t="shared" si="811"/>
        <v>0</v>
      </c>
      <c r="BV528" s="424">
        <f t="shared" ref="BV528:DA528" si="812">BV158*BV$372</f>
        <v>0</v>
      </c>
      <c r="BW528" s="424">
        <f t="shared" si="812"/>
        <v>0</v>
      </c>
      <c r="BX528" s="424">
        <f t="shared" si="812"/>
        <v>0</v>
      </c>
      <c r="BY528" s="424">
        <f t="shared" si="812"/>
        <v>0</v>
      </c>
      <c r="BZ528" s="424">
        <f t="shared" si="812"/>
        <v>0</v>
      </c>
      <c r="CA528" s="424">
        <f t="shared" si="812"/>
        <v>0</v>
      </c>
      <c r="CB528" s="424">
        <f t="shared" si="812"/>
        <v>0</v>
      </c>
      <c r="CC528" s="424">
        <f t="shared" si="812"/>
        <v>0</v>
      </c>
      <c r="CD528" s="424">
        <f t="shared" si="812"/>
        <v>0</v>
      </c>
      <c r="CE528" s="424">
        <f t="shared" si="812"/>
        <v>0</v>
      </c>
      <c r="CF528" s="424">
        <f t="shared" si="812"/>
        <v>0</v>
      </c>
      <c r="CG528" s="424">
        <f t="shared" si="812"/>
        <v>0</v>
      </c>
      <c r="CH528" s="424">
        <f t="shared" si="812"/>
        <v>0</v>
      </c>
      <c r="CI528" s="424">
        <f t="shared" si="812"/>
        <v>0</v>
      </c>
      <c r="CJ528" s="424">
        <f t="shared" si="812"/>
        <v>0</v>
      </c>
      <c r="CK528" s="424">
        <f t="shared" si="812"/>
        <v>0</v>
      </c>
      <c r="CL528" s="424">
        <f t="shared" si="812"/>
        <v>0</v>
      </c>
      <c r="CM528" s="424">
        <f t="shared" si="812"/>
        <v>0</v>
      </c>
      <c r="CN528" s="424">
        <f t="shared" si="812"/>
        <v>0</v>
      </c>
      <c r="CO528" s="424">
        <f t="shared" si="812"/>
        <v>0</v>
      </c>
      <c r="CP528" s="424">
        <f t="shared" si="812"/>
        <v>0</v>
      </c>
      <c r="CQ528" s="424">
        <f t="shared" si="812"/>
        <v>0</v>
      </c>
      <c r="CR528" s="424">
        <f t="shared" si="812"/>
        <v>0</v>
      </c>
      <c r="CS528" s="424">
        <f t="shared" si="812"/>
        <v>0</v>
      </c>
      <c r="CT528" s="424">
        <f t="shared" si="812"/>
        <v>0</v>
      </c>
      <c r="CU528" s="424">
        <f t="shared" si="812"/>
        <v>0</v>
      </c>
      <c r="CV528" s="424">
        <f t="shared" si="812"/>
        <v>0</v>
      </c>
      <c r="CW528" s="424">
        <f t="shared" si="812"/>
        <v>0</v>
      </c>
      <c r="CX528" s="424">
        <f t="shared" si="812"/>
        <v>0</v>
      </c>
      <c r="CY528" s="424">
        <f t="shared" si="812"/>
        <v>0</v>
      </c>
      <c r="CZ528" s="424">
        <f t="shared" si="812"/>
        <v>0.3</v>
      </c>
      <c r="DA528" s="424">
        <f t="shared" si="812"/>
        <v>0</v>
      </c>
      <c r="DB528" s="424">
        <f t="shared" ref="DB528:EG528" si="813">DB158*DB$372</f>
        <v>0</v>
      </c>
      <c r="DC528" s="424">
        <f t="shared" si="813"/>
        <v>0</v>
      </c>
      <c r="DD528" s="424">
        <f t="shared" si="813"/>
        <v>0.24</v>
      </c>
      <c r="DE528" s="424">
        <f t="shared" si="813"/>
        <v>0</v>
      </c>
      <c r="DF528" s="424">
        <f t="shared" si="813"/>
        <v>0</v>
      </c>
      <c r="DG528" s="424">
        <f t="shared" si="813"/>
        <v>0</v>
      </c>
      <c r="DH528" s="424">
        <f t="shared" si="813"/>
        <v>0</v>
      </c>
      <c r="DI528" s="424">
        <f t="shared" si="813"/>
        <v>0</v>
      </c>
      <c r="DJ528" s="424">
        <f t="shared" si="813"/>
        <v>0</v>
      </c>
      <c r="DK528" s="424">
        <f t="shared" si="813"/>
        <v>0</v>
      </c>
      <c r="DL528" s="424">
        <f t="shared" si="813"/>
        <v>0</v>
      </c>
      <c r="DM528" s="424">
        <f t="shared" si="813"/>
        <v>0</v>
      </c>
      <c r="DN528" s="424">
        <f t="shared" si="813"/>
        <v>0</v>
      </c>
      <c r="DO528" s="424">
        <f t="shared" si="813"/>
        <v>0</v>
      </c>
      <c r="DP528" s="424">
        <f t="shared" si="813"/>
        <v>0</v>
      </c>
      <c r="DQ528" s="424">
        <f t="shared" si="813"/>
        <v>0</v>
      </c>
      <c r="DR528" s="424">
        <f t="shared" si="813"/>
        <v>0</v>
      </c>
      <c r="DS528" s="424">
        <f t="shared" si="813"/>
        <v>0</v>
      </c>
      <c r="DT528" s="424">
        <f t="shared" si="813"/>
        <v>0</v>
      </c>
      <c r="DU528" s="424">
        <f t="shared" si="813"/>
        <v>0</v>
      </c>
      <c r="DV528" s="424">
        <f t="shared" si="813"/>
        <v>0</v>
      </c>
      <c r="DW528" s="424">
        <f t="shared" si="813"/>
        <v>0</v>
      </c>
      <c r="DX528" s="424">
        <f t="shared" si="813"/>
        <v>0</v>
      </c>
      <c r="DY528" s="424">
        <f t="shared" si="813"/>
        <v>0</v>
      </c>
      <c r="DZ528" s="424">
        <f t="shared" si="813"/>
        <v>0</v>
      </c>
      <c r="EA528" s="424">
        <f t="shared" si="813"/>
        <v>0</v>
      </c>
      <c r="EB528" s="424">
        <f t="shared" si="813"/>
        <v>0</v>
      </c>
      <c r="EC528" s="424">
        <f t="shared" si="813"/>
        <v>0</v>
      </c>
      <c r="ED528" s="424">
        <f t="shared" si="813"/>
        <v>0</v>
      </c>
      <c r="EE528" s="424">
        <f t="shared" si="813"/>
        <v>0</v>
      </c>
      <c r="EF528" s="424">
        <f t="shared" si="813"/>
        <v>0</v>
      </c>
      <c r="EG528" s="424">
        <f t="shared" si="813"/>
        <v>0</v>
      </c>
      <c r="EH528" s="424">
        <f t="shared" ref="EH528:EX528" si="814">EH158*EH$372</f>
        <v>0</v>
      </c>
      <c r="EI528" s="424">
        <f t="shared" si="814"/>
        <v>0</v>
      </c>
      <c r="EJ528" s="424">
        <f t="shared" si="814"/>
        <v>0</v>
      </c>
      <c r="EK528" s="424">
        <f t="shared" si="814"/>
        <v>0</v>
      </c>
      <c r="EL528" s="424">
        <f t="shared" si="814"/>
        <v>0</v>
      </c>
      <c r="EM528" s="424">
        <f t="shared" si="814"/>
        <v>0</v>
      </c>
      <c r="EN528" s="424">
        <f t="shared" si="814"/>
        <v>0</v>
      </c>
      <c r="EO528" s="424">
        <f t="shared" si="814"/>
        <v>0</v>
      </c>
      <c r="EP528" s="424">
        <f t="shared" si="814"/>
        <v>0</v>
      </c>
      <c r="EQ528" s="424">
        <f t="shared" si="814"/>
        <v>0</v>
      </c>
      <c r="ER528" s="424">
        <f t="shared" si="814"/>
        <v>0</v>
      </c>
      <c r="ES528" s="424">
        <f t="shared" si="814"/>
        <v>0</v>
      </c>
      <c r="ET528" s="424">
        <f t="shared" si="814"/>
        <v>0</v>
      </c>
      <c r="EU528" s="424">
        <f t="shared" si="814"/>
        <v>0</v>
      </c>
      <c r="EV528" s="424">
        <f t="shared" si="814"/>
        <v>0</v>
      </c>
      <c r="EW528" s="424">
        <f t="shared" si="814"/>
        <v>0</v>
      </c>
      <c r="EX528" s="424">
        <f t="shared" si="814"/>
        <v>0</v>
      </c>
      <c r="EY528" s="425">
        <f t="shared" si="699"/>
        <v>26.87</v>
      </c>
    </row>
    <row r="529" spans="1:166" s="1170" customFormat="1" ht="14.7" customHeight="1" x14ac:dyDescent="0.25">
      <c r="A529" s="310">
        <v>155</v>
      </c>
      <c r="B529" s="311" t="str">
        <f t="shared" si="680"/>
        <v>Запеканка из творога с морковью и молоком сгущенным</v>
      </c>
      <c r="C529" s="483">
        <f t="shared" si="688"/>
        <v>46.05</v>
      </c>
      <c r="D529" s="888"/>
      <c r="E529" s="888"/>
      <c r="F529" s="888"/>
      <c r="G529" s="889"/>
      <c r="H529" s="680">
        <f t="shared" si="681"/>
        <v>224</v>
      </c>
      <c r="I529" s="1209">
        <f t="shared" si="682"/>
        <v>0</v>
      </c>
      <c r="J529" s="424">
        <f t="shared" ref="J529:AO529" si="815">J159*J$372</f>
        <v>0</v>
      </c>
      <c r="K529" s="424">
        <f t="shared" si="815"/>
        <v>0</v>
      </c>
      <c r="L529" s="424">
        <f t="shared" si="815"/>
        <v>0</v>
      </c>
      <c r="M529" s="424">
        <f t="shared" si="815"/>
        <v>0</v>
      </c>
      <c r="N529" s="424">
        <f t="shared" si="815"/>
        <v>0</v>
      </c>
      <c r="O529" s="424">
        <f t="shared" si="815"/>
        <v>0</v>
      </c>
      <c r="P529" s="424">
        <f t="shared" si="815"/>
        <v>0</v>
      </c>
      <c r="Q529" s="424">
        <f t="shared" si="815"/>
        <v>0</v>
      </c>
      <c r="R529" s="424">
        <f t="shared" si="815"/>
        <v>0</v>
      </c>
      <c r="S529" s="424">
        <f t="shared" si="815"/>
        <v>0</v>
      </c>
      <c r="T529" s="424">
        <f t="shared" si="815"/>
        <v>0</v>
      </c>
      <c r="U529" s="424">
        <f t="shared" si="815"/>
        <v>1.73</v>
      </c>
      <c r="V529" s="424">
        <f t="shared" si="815"/>
        <v>0</v>
      </c>
      <c r="W529" s="424">
        <f t="shared" si="815"/>
        <v>0</v>
      </c>
      <c r="X529" s="424">
        <f t="shared" si="815"/>
        <v>23.52</v>
      </c>
      <c r="Y529" s="424">
        <f t="shared" si="815"/>
        <v>0.94</v>
      </c>
      <c r="Z529" s="424">
        <f t="shared" si="815"/>
        <v>7.5</v>
      </c>
      <c r="AA529" s="424">
        <f t="shared" si="815"/>
        <v>0</v>
      </c>
      <c r="AB529" s="424">
        <f t="shared" si="815"/>
        <v>0</v>
      </c>
      <c r="AC529" s="424">
        <f t="shared" si="815"/>
        <v>0</v>
      </c>
      <c r="AD529" s="424">
        <f t="shared" si="815"/>
        <v>0</v>
      </c>
      <c r="AE529" s="424">
        <f t="shared" si="815"/>
        <v>8.4</v>
      </c>
      <c r="AF529" s="424">
        <f t="shared" si="815"/>
        <v>0</v>
      </c>
      <c r="AG529" s="424">
        <f t="shared" si="815"/>
        <v>0</v>
      </c>
      <c r="AH529" s="424">
        <f t="shared" si="815"/>
        <v>0</v>
      </c>
      <c r="AI529" s="424">
        <f t="shared" si="815"/>
        <v>0</v>
      </c>
      <c r="AJ529" s="424">
        <f t="shared" si="815"/>
        <v>0</v>
      </c>
      <c r="AK529" s="424">
        <f t="shared" si="815"/>
        <v>0</v>
      </c>
      <c r="AL529" s="424">
        <f t="shared" si="815"/>
        <v>0</v>
      </c>
      <c r="AM529" s="424">
        <f t="shared" si="815"/>
        <v>0</v>
      </c>
      <c r="AN529" s="424">
        <f t="shared" si="815"/>
        <v>0</v>
      </c>
      <c r="AO529" s="424">
        <f t="shared" si="815"/>
        <v>0</v>
      </c>
      <c r="AP529" s="424">
        <f t="shared" ref="AP529:BU529" si="816">AP159*AP$372</f>
        <v>0</v>
      </c>
      <c r="AQ529" s="424">
        <f t="shared" si="816"/>
        <v>1.44</v>
      </c>
      <c r="AR529" s="424">
        <f t="shared" si="816"/>
        <v>0</v>
      </c>
      <c r="AS529" s="424">
        <f t="shared" si="816"/>
        <v>0</v>
      </c>
      <c r="AT529" s="424">
        <f t="shared" si="816"/>
        <v>0</v>
      </c>
      <c r="AU529" s="424">
        <f t="shared" si="816"/>
        <v>0</v>
      </c>
      <c r="AV529" s="424">
        <f t="shared" si="816"/>
        <v>0</v>
      </c>
      <c r="AW529" s="424">
        <f t="shared" si="816"/>
        <v>0</v>
      </c>
      <c r="AX529" s="424">
        <f t="shared" si="816"/>
        <v>0</v>
      </c>
      <c r="AY529" s="424">
        <f t="shared" si="816"/>
        <v>0</v>
      </c>
      <c r="AZ529" s="424">
        <f t="shared" si="816"/>
        <v>0</v>
      </c>
      <c r="BA529" s="424">
        <f t="shared" si="816"/>
        <v>0</v>
      </c>
      <c r="BB529" s="424">
        <f t="shared" si="816"/>
        <v>0</v>
      </c>
      <c r="BC529" s="424">
        <f t="shared" si="816"/>
        <v>0</v>
      </c>
      <c r="BD529" s="424">
        <f t="shared" si="816"/>
        <v>0</v>
      </c>
      <c r="BE529" s="424">
        <f t="shared" si="816"/>
        <v>0</v>
      </c>
      <c r="BF529" s="424">
        <f t="shared" si="816"/>
        <v>0</v>
      </c>
      <c r="BG529" s="424">
        <f t="shared" si="816"/>
        <v>0</v>
      </c>
      <c r="BH529" s="424">
        <f t="shared" si="816"/>
        <v>0</v>
      </c>
      <c r="BI529" s="424">
        <f t="shared" si="816"/>
        <v>0</v>
      </c>
      <c r="BJ529" s="424">
        <f t="shared" si="816"/>
        <v>0</v>
      </c>
      <c r="BK529" s="424">
        <f t="shared" si="816"/>
        <v>0</v>
      </c>
      <c r="BL529" s="424">
        <f t="shared" si="816"/>
        <v>0</v>
      </c>
      <c r="BM529" s="424">
        <f t="shared" si="816"/>
        <v>0</v>
      </c>
      <c r="BN529" s="424">
        <f t="shared" si="816"/>
        <v>0</v>
      </c>
      <c r="BO529" s="424">
        <f t="shared" si="816"/>
        <v>0</v>
      </c>
      <c r="BP529" s="424">
        <f t="shared" si="816"/>
        <v>0</v>
      </c>
      <c r="BQ529" s="424">
        <f t="shared" si="816"/>
        <v>0</v>
      </c>
      <c r="BR529" s="424">
        <f t="shared" si="816"/>
        <v>0</v>
      </c>
      <c r="BS529" s="424">
        <f t="shared" si="816"/>
        <v>0</v>
      </c>
      <c r="BT529" s="424">
        <f t="shared" si="816"/>
        <v>0</v>
      </c>
      <c r="BU529" s="424">
        <f t="shared" si="816"/>
        <v>0.28999999999999998</v>
      </c>
      <c r="BV529" s="424">
        <f t="shared" ref="BV529:DA529" si="817">BV159*BV$372</f>
        <v>0</v>
      </c>
      <c r="BW529" s="424">
        <f t="shared" si="817"/>
        <v>0</v>
      </c>
      <c r="BX529" s="424">
        <f t="shared" si="817"/>
        <v>0</v>
      </c>
      <c r="BY529" s="424">
        <f t="shared" si="817"/>
        <v>0</v>
      </c>
      <c r="BZ529" s="424">
        <f t="shared" si="817"/>
        <v>0</v>
      </c>
      <c r="CA529" s="424">
        <f t="shared" si="817"/>
        <v>0</v>
      </c>
      <c r="CB529" s="424">
        <f t="shared" si="817"/>
        <v>0</v>
      </c>
      <c r="CC529" s="424">
        <f t="shared" si="817"/>
        <v>0</v>
      </c>
      <c r="CD529" s="424">
        <f t="shared" si="817"/>
        <v>0</v>
      </c>
      <c r="CE529" s="424">
        <f t="shared" si="817"/>
        <v>0</v>
      </c>
      <c r="CF529" s="424">
        <f t="shared" si="817"/>
        <v>0.48</v>
      </c>
      <c r="CG529" s="424">
        <f t="shared" si="817"/>
        <v>0</v>
      </c>
      <c r="CH529" s="424">
        <f t="shared" si="817"/>
        <v>0</v>
      </c>
      <c r="CI529" s="424">
        <f t="shared" si="817"/>
        <v>0</v>
      </c>
      <c r="CJ529" s="424">
        <f t="shared" si="817"/>
        <v>0</v>
      </c>
      <c r="CK529" s="424">
        <f t="shared" si="817"/>
        <v>0</v>
      </c>
      <c r="CL529" s="424">
        <f t="shared" si="817"/>
        <v>0</v>
      </c>
      <c r="CM529" s="424">
        <f t="shared" si="817"/>
        <v>0</v>
      </c>
      <c r="CN529" s="424">
        <f t="shared" si="817"/>
        <v>0</v>
      </c>
      <c r="CO529" s="424">
        <f t="shared" si="817"/>
        <v>0</v>
      </c>
      <c r="CP529" s="424">
        <f t="shared" si="817"/>
        <v>0</v>
      </c>
      <c r="CQ529" s="424">
        <f t="shared" si="817"/>
        <v>0</v>
      </c>
      <c r="CR529" s="424">
        <f t="shared" si="817"/>
        <v>0</v>
      </c>
      <c r="CS529" s="424">
        <f t="shared" si="817"/>
        <v>0</v>
      </c>
      <c r="CT529" s="424">
        <f t="shared" si="817"/>
        <v>0</v>
      </c>
      <c r="CU529" s="424">
        <f t="shared" si="817"/>
        <v>0</v>
      </c>
      <c r="CV529" s="424">
        <f t="shared" si="817"/>
        <v>0</v>
      </c>
      <c r="CW529" s="424">
        <f t="shared" si="817"/>
        <v>0</v>
      </c>
      <c r="CX529" s="424">
        <f t="shared" si="817"/>
        <v>0</v>
      </c>
      <c r="CY529" s="424">
        <f t="shared" si="817"/>
        <v>0</v>
      </c>
      <c r="CZ529" s="424">
        <f t="shared" si="817"/>
        <v>1.28</v>
      </c>
      <c r="DA529" s="424">
        <f t="shared" si="817"/>
        <v>0</v>
      </c>
      <c r="DB529" s="424">
        <f t="shared" ref="DB529:EG529" si="818">DB159*DB$372</f>
        <v>0</v>
      </c>
      <c r="DC529" s="424">
        <f t="shared" si="818"/>
        <v>0</v>
      </c>
      <c r="DD529" s="424">
        <f t="shared" si="818"/>
        <v>0.47</v>
      </c>
      <c r="DE529" s="424">
        <f t="shared" si="818"/>
        <v>0</v>
      </c>
      <c r="DF529" s="424">
        <f t="shared" si="818"/>
        <v>0</v>
      </c>
      <c r="DG529" s="424">
        <f t="shared" si="818"/>
        <v>0</v>
      </c>
      <c r="DH529" s="424">
        <f t="shared" si="818"/>
        <v>0</v>
      </c>
      <c r="DI529" s="424">
        <f t="shared" si="818"/>
        <v>0</v>
      </c>
      <c r="DJ529" s="424">
        <f t="shared" si="818"/>
        <v>0</v>
      </c>
      <c r="DK529" s="424">
        <f t="shared" si="818"/>
        <v>0</v>
      </c>
      <c r="DL529" s="424">
        <f t="shared" si="818"/>
        <v>0</v>
      </c>
      <c r="DM529" s="424">
        <f t="shared" si="818"/>
        <v>0</v>
      </c>
      <c r="DN529" s="424">
        <f t="shared" si="818"/>
        <v>0</v>
      </c>
      <c r="DO529" s="424">
        <f t="shared" si="818"/>
        <v>0</v>
      </c>
      <c r="DP529" s="424">
        <f t="shared" si="818"/>
        <v>0</v>
      </c>
      <c r="DQ529" s="424">
        <f t="shared" si="818"/>
        <v>0</v>
      </c>
      <c r="DR529" s="424">
        <f t="shared" si="818"/>
        <v>0</v>
      </c>
      <c r="DS529" s="424">
        <f t="shared" si="818"/>
        <v>0</v>
      </c>
      <c r="DT529" s="424">
        <f t="shared" si="818"/>
        <v>0</v>
      </c>
      <c r="DU529" s="424">
        <f t="shared" si="818"/>
        <v>0</v>
      </c>
      <c r="DV529" s="424">
        <f t="shared" si="818"/>
        <v>0</v>
      </c>
      <c r="DW529" s="424">
        <f t="shared" si="818"/>
        <v>0</v>
      </c>
      <c r="DX529" s="424">
        <f t="shared" si="818"/>
        <v>0</v>
      </c>
      <c r="DY529" s="424">
        <f t="shared" si="818"/>
        <v>0</v>
      </c>
      <c r="DZ529" s="424">
        <f t="shared" si="818"/>
        <v>0</v>
      </c>
      <c r="EA529" s="424">
        <f t="shared" si="818"/>
        <v>0</v>
      </c>
      <c r="EB529" s="424">
        <f t="shared" si="818"/>
        <v>0</v>
      </c>
      <c r="EC529" s="424">
        <f t="shared" si="818"/>
        <v>0</v>
      </c>
      <c r="ED529" s="424">
        <f t="shared" si="818"/>
        <v>0</v>
      </c>
      <c r="EE529" s="424">
        <f t="shared" si="818"/>
        <v>0</v>
      </c>
      <c r="EF529" s="424">
        <f t="shared" si="818"/>
        <v>0</v>
      </c>
      <c r="EG529" s="424">
        <f t="shared" si="818"/>
        <v>0</v>
      </c>
      <c r="EH529" s="424">
        <f t="shared" ref="EH529:EX529" si="819">EH159*EH$372</f>
        <v>0</v>
      </c>
      <c r="EI529" s="424">
        <f t="shared" si="819"/>
        <v>0</v>
      </c>
      <c r="EJ529" s="424">
        <f t="shared" si="819"/>
        <v>0</v>
      </c>
      <c r="EK529" s="424">
        <f t="shared" si="819"/>
        <v>0</v>
      </c>
      <c r="EL529" s="424">
        <f t="shared" si="819"/>
        <v>0</v>
      </c>
      <c r="EM529" s="424">
        <f t="shared" si="819"/>
        <v>0</v>
      </c>
      <c r="EN529" s="424">
        <f t="shared" si="819"/>
        <v>0</v>
      </c>
      <c r="EO529" s="424">
        <f t="shared" si="819"/>
        <v>0</v>
      </c>
      <c r="EP529" s="424">
        <f t="shared" si="819"/>
        <v>0</v>
      </c>
      <c r="EQ529" s="424">
        <f t="shared" si="819"/>
        <v>0</v>
      </c>
      <c r="ER529" s="424">
        <f t="shared" si="819"/>
        <v>0</v>
      </c>
      <c r="ES529" s="424">
        <f t="shared" si="819"/>
        <v>0</v>
      </c>
      <c r="ET529" s="424">
        <f t="shared" si="819"/>
        <v>0</v>
      </c>
      <c r="EU529" s="424">
        <f t="shared" si="819"/>
        <v>0</v>
      </c>
      <c r="EV529" s="424">
        <f t="shared" si="819"/>
        <v>0</v>
      </c>
      <c r="EW529" s="424">
        <f t="shared" si="819"/>
        <v>0</v>
      </c>
      <c r="EX529" s="424">
        <f t="shared" si="819"/>
        <v>0</v>
      </c>
      <c r="EY529" s="425">
        <f t="shared" si="699"/>
        <v>46.05</v>
      </c>
      <c r="EZ529" s="616"/>
      <c r="FA529" s="616"/>
      <c r="FB529" s="616"/>
      <c r="FC529" s="616"/>
      <c r="FD529" s="616"/>
      <c r="FE529" s="616"/>
      <c r="FF529" s="616"/>
      <c r="FG529" s="616"/>
      <c r="FH529" s="616"/>
      <c r="FI529" s="616"/>
      <c r="FJ529" s="616"/>
    </row>
    <row r="530" spans="1:166" ht="14.7" customHeight="1" x14ac:dyDescent="0.25">
      <c r="A530" s="310">
        <v>156</v>
      </c>
      <c r="B530" s="311" t="str">
        <f t="shared" si="680"/>
        <v>Оладьи из творога с молоком сгущенным</v>
      </c>
      <c r="C530" s="483">
        <f t="shared" si="688"/>
        <v>19.52</v>
      </c>
      <c r="D530" s="888"/>
      <c r="E530" s="888"/>
      <c r="F530" s="888"/>
      <c r="G530" s="889"/>
      <c r="H530" s="680">
        <f t="shared" si="681"/>
        <v>225</v>
      </c>
      <c r="I530" s="1209">
        <f t="shared" si="682"/>
        <v>0</v>
      </c>
      <c r="J530" s="424">
        <f t="shared" ref="J530:AO530" si="820">J160*J$372</f>
        <v>0</v>
      </c>
      <c r="K530" s="424">
        <f t="shared" si="820"/>
        <v>0</v>
      </c>
      <c r="L530" s="424">
        <f t="shared" si="820"/>
        <v>0</v>
      </c>
      <c r="M530" s="424">
        <f t="shared" si="820"/>
        <v>0</v>
      </c>
      <c r="N530" s="424">
        <f t="shared" si="820"/>
        <v>0</v>
      </c>
      <c r="O530" s="424">
        <f t="shared" si="820"/>
        <v>0</v>
      </c>
      <c r="P530" s="424">
        <f t="shared" si="820"/>
        <v>0</v>
      </c>
      <c r="Q530" s="424">
        <f t="shared" si="820"/>
        <v>0</v>
      </c>
      <c r="R530" s="424">
        <f t="shared" si="820"/>
        <v>0</v>
      </c>
      <c r="S530" s="424">
        <f t="shared" si="820"/>
        <v>0</v>
      </c>
      <c r="T530" s="424">
        <f t="shared" si="820"/>
        <v>0</v>
      </c>
      <c r="U530" s="424">
        <f t="shared" si="820"/>
        <v>0.8</v>
      </c>
      <c r="V530" s="424">
        <f t="shared" si="820"/>
        <v>0</v>
      </c>
      <c r="W530" s="424">
        <f t="shared" si="820"/>
        <v>0</v>
      </c>
      <c r="X530" s="424">
        <f t="shared" si="820"/>
        <v>8.93</v>
      </c>
      <c r="Y530" s="424">
        <f t="shared" si="820"/>
        <v>0</v>
      </c>
      <c r="Z530" s="424">
        <f t="shared" si="820"/>
        <v>5</v>
      </c>
      <c r="AA530" s="424">
        <f t="shared" si="820"/>
        <v>0</v>
      </c>
      <c r="AB530" s="424">
        <f t="shared" si="820"/>
        <v>0</v>
      </c>
      <c r="AC530" s="424">
        <f t="shared" si="820"/>
        <v>0</v>
      </c>
      <c r="AD530" s="424">
        <f t="shared" si="820"/>
        <v>0</v>
      </c>
      <c r="AE530" s="424">
        <f t="shared" si="820"/>
        <v>0.7</v>
      </c>
      <c r="AF530" s="424">
        <f t="shared" si="820"/>
        <v>0</v>
      </c>
      <c r="AG530" s="424">
        <f t="shared" si="820"/>
        <v>0</v>
      </c>
      <c r="AH530" s="424">
        <f t="shared" si="820"/>
        <v>0</v>
      </c>
      <c r="AI530" s="424">
        <f t="shared" si="820"/>
        <v>0</v>
      </c>
      <c r="AJ530" s="424">
        <f t="shared" si="820"/>
        <v>0</v>
      </c>
      <c r="AK530" s="424">
        <f t="shared" si="820"/>
        <v>0</v>
      </c>
      <c r="AL530" s="424">
        <f t="shared" si="820"/>
        <v>0</v>
      </c>
      <c r="AM530" s="424">
        <f t="shared" si="820"/>
        <v>0</v>
      </c>
      <c r="AN530" s="424">
        <f t="shared" si="820"/>
        <v>0</v>
      </c>
      <c r="AO530" s="424">
        <f t="shared" si="820"/>
        <v>0</v>
      </c>
      <c r="AP530" s="424">
        <f t="shared" ref="AP530:BU530" si="821">AP160*AP$372</f>
        <v>0</v>
      </c>
      <c r="AQ530" s="424">
        <f t="shared" si="821"/>
        <v>0</v>
      </c>
      <c r="AR530" s="424">
        <f t="shared" si="821"/>
        <v>0</v>
      </c>
      <c r="AS530" s="424">
        <f t="shared" si="821"/>
        <v>0</v>
      </c>
      <c r="AT530" s="424">
        <f t="shared" si="821"/>
        <v>0</v>
      </c>
      <c r="AU530" s="424">
        <f t="shared" si="821"/>
        <v>0</v>
      </c>
      <c r="AV530" s="424">
        <f t="shared" si="821"/>
        <v>0</v>
      </c>
      <c r="AW530" s="424">
        <f t="shared" si="821"/>
        <v>0</v>
      </c>
      <c r="AX530" s="424">
        <f t="shared" si="821"/>
        <v>0</v>
      </c>
      <c r="AY530" s="424">
        <f t="shared" si="821"/>
        <v>0</v>
      </c>
      <c r="AZ530" s="424">
        <f t="shared" si="821"/>
        <v>0</v>
      </c>
      <c r="BA530" s="424">
        <f t="shared" si="821"/>
        <v>0</v>
      </c>
      <c r="BB530" s="424">
        <f t="shared" si="821"/>
        <v>0</v>
      </c>
      <c r="BC530" s="424">
        <f t="shared" si="821"/>
        <v>0</v>
      </c>
      <c r="BD530" s="424">
        <f t="shared" si="821"/>
        <v>0</v>
      </c>
      <c r="BE530" s="424">
        <f t="shared" si="821"/>
        <v>0</v>
      </c>
      <c r="BF530" s="424">
        <f t="shared" si="821"/>
        <v>0</v>
      </c>
      <c r="BG530" s="424">
        <f t="shared" si="821"/>
        <v>0</v>
      </c>
      <c r="BH530" s="424">
        <f t="shared" si="821"/>
        <v>0</v>
      </c>
      <c r="BI530" s="424">
        <f t="shared" si="821"/>
        <v>0</v>
      </c>
      <c r="BJ530" s="424">
        <f t="shared" si="821"/>
        <v>0</v>
      </c>
      <c r="BK530" s="424">
        <f t="shared" si="821"/>
        <v>0</v>
      </c>
      <c r="BL530" s="424">
        <f t="shared" si="821"/>
        <v>0</v>
      </c>
      <c r="BM530" s="424">
        <f t="shared" si="821"/>
        <v>0</v>
      </c>
      <c r="BN530" s="424">
        <f t="shared" si="821"/>
        <v>0</v>
      </c>
      <c r="BO530" s="424">
        <f t="shared" si="821"/>
        <v>0</v>
      </c>
      <c r="BP530" s="424">
        <f t="shared" si="821"/>
        <v>0</v>
      </c>
      <c r="BQ530" s="424">
        <f t="shared" si="821"/>
        <v>0</v>
      </c>
      <c r="BR530" s="424">
        <f t="shared" si="821"/>
        <v>0</v>
      </c>
      <c r="BS530" s="424">
        <f t="shared" si="821"/>
        <v>0.32</v>
      </c>
      <c r="BT530" s="424">
        <f t="shared" si="821"/>
        <v>0</v>
      </c>
      <c r="BU530" s="424">
        <f t="shared" si="821"/>
        <v>0</v>
      </c>
      <c r="BV530" s="424">
        <f t="shared" ref="BV530:DA530" si="822">BV160*BV$372</f>
        <v>0</v>
      </c>
      <c r="BW530" s="424">
        <f t="shared" si="822"/>
        <v>0</v>
      </c>
      <c r="BX530" s="424">
        <f t="shared" si="822"/>
        <v>0</v>
      </c>
      <c r="BY530" s="424">
        <f t="shared" si="822"/>
        <v>0</v>
      </c>
      <c r="BZ530" s="424">
        <f t="shared" si="822"/>
        <v>0</v>
      </c>
      <c r="CA530" s="424">
        <f t="shared" si="822"/>
        <v>0</v>
      </c>
      <c r="CB530" s="424">
        <f t="shared" si="822"/>
        <v>0</v>
      </c>
      <c r="CC530" s="424">
        <f t="shared" si="822"/>
        <v>0</v>
      </c>
      <c r="CD530" s="424">
        <f t="shared" si="822"/>
        <v>0</v>
      </c>
      <c r="CE530" s="424">
        <f t="shared" si="822"/>
        <v>0</v>
      </c>
      <c r="CF530" s="424">
        <f t="shared" si="822"/>
        <v>3.6</v>
      </c>
      <c r="CG530" s="424">
        <f t="shared" si="822"/>
        <v>0</v>
      </c>
      <c r="CH530" s="424">
        <f t="shared" si="822"/>
        <v>0</v>
      </c>
      <c r="CI530" s="424">
        <f t="shared" si="822"/>
        <v>0</v>
      </c>
      <c r="CJ530" s="424">
        <f t="shared" si="822"/>
        <v>0</v>
      </c>
      <c r="CK530" s="424">
        <f t="shared" si="822"/>
        <v>0.02</v>
      </c>
      <c r="CL530" s="424">
        <f t="shared" si="822"/>
        <v>0</v>
      </c>
      <c r="CM530" s="424">
        <f t="shared" si="822"/>
        <v>0</v>
      </c>
      <c r="CN530" s="424">
        <f t="shared" si="822"/>
        <v>0</v>
      </c>
      <c r="CO530" s="424">
        <f t="shared" si="822"/>
        <v>0</v>
      </c>
      <c r="CP530" s="424">
        <f t="shared" si="822"/>
        <v>0</v>
      </c>
      <c r="CQ530" s="424">
        <f t="shared" si="822"/>
        <v>0</v>
      </c>
      <c r="CR530" s="424">
        <f t="shared" si="822"/>
        <v>0</v>
      </c>
      <c r="CS530" s="424">
        <f t="shared" si="822"/>
        <v>0</v>
      </c>
      <c r="CT530" s="424">
        <f t="shared" si="822"/>
        <v>0</v>
      </c>
      <c r="CU530" s="424">
        <f t="shared" si="822"/>
        <v>0</v>
      </c>
      <c r="CV530" s="424">
        <f t="shared" si="822"/>
        <v>0</v>
      </c>
      <c r="CW530" s="424">
        <f t="shared" si="822"/>
        <v>0</v>
      </c>
      <c r="CX530" s="424">
        <f t="shared" si="822"/>
        <v>0</v>
      </c>
      <c r="CY530" s="424">
        <f t="shared" si="822"/>
        <v>0</v>
      </c>
      <c r="CZ530" s="424">
        <f t="shared" si="822"/>
        <v>0.15</v>
      </c>
      <c r="DA530" s="424">
        <f t="shared" si="822"/>
        <v>0</v>
      </c>
      <c r="DB530" s="424">
        <f t="shared" ref="DB530:EG530" si="823">DB160*DB$372</f>
        <v>0</v>
      </c>
      <c r="DC530" s="424">
        <f t="shared" si="823"/>
        <v>0</v>
      </c>
      <c r="DD530" s="424">
        <f t="shared" si="823"/>
        <v>0</v>
      </c>
      <c r="DE530" s="424">
        <f t="shared" si="823"/>
        <v>0</v>
      </c>
      <c r="DF530" s="424">
        <f t="shared" si="823"/>
        <v>0</v>
      </c>
      <c r="DG530" s="424">
        <f t="shared" si="823"/>
        <v>0</v>
      </c>
      <c r="DH530" s="424">
        <f t="shared" si="823"/>
        <v>0</v>
      </c>
      <c r="DI530" s="424">
        <f t="shared" si="823"/>
        <v>0</v>
      </c>
      <c r="DJ530" s="424">
        <f t="shared" si="823"/>
        <v>0</v>
      </c>
      <c r="DK530" s="424">
        <f t="shared" si="823"/>
        <v>0</v>
      </c>
      <c r="DL530" s="424">
        <f t="shared" si="823"/>
        <v>0</v>
      </c>
      <c r="DM530" s="424">
        <f t="shared" si="823"/>
        <v>0</v>
      </c>
      <c r="DN530" s="424">
        <f t="shared" si="823"/>
        <v>0</v>
      </c>
      <c r="DO530" s="424">
        <f t="shared" si="823"/>
        <v>0</v>
      </c>
      <c r="DP530" s="424">
        <f t="shared" si="823"/>
        <v>0</v>
      </c>
      <c r="DQ530" s="424">
        <f t="shared" si="823"/>
        <v>0</v>
      </c>
      <c r="DR530" s="424">
        <f t="shared" si="823"/>
        <v>0</v>
      </c>
      <c r="DS530" s="424">
        <f t="shared" si="823"/>
        <v>0</v>
      </c>
      <c r="DT530" s="424">
        <f t="shared" si="823"/>
        <v>0</v>
      </c>
      <c r="DU530" s="424">
        <f t="shared" si="823"/>
        <v>0</v>
      </c>
      <c r="DV530" s="424">
        <f t="shared" si="823"/>
        <v>0</v>
      </c>
      <c r="DW530" s="424">
        <f t="shared" si="823"/>
        <v>0</v>
      </c>
      <c r="DX530" s="424">
        <f t="shared" si="823"/>
        <v>0</v>
      </c>
      <c r="DY530" s="424">
        <f t="shared" si="823"/>
        <v>0</v>
      </c>
      <c r="DZ530" s="424">
        <f t="shared" si="823"/>
        <v>0</v>
      </c>
      <c r="EA530" s="424">
        <f t="shared" si="823"/>
        <v>0</v>
      </c>
      <c r="EB530" s="424">
        <f t="shared" si="823"/>
        <v>0</v>
      </c>
      <c r="EC530" s="424">
        <f t="shared" si="823"/>
        <v>0</v>
      </c>
      <c r="ED530" s="424">
        <f t="shared" si="823"/>
        <v>0</v>
      </c>
      <c r="EE530" s="424">
        <f t="shared" si="823"/>
        <v>0</v>
      </c>
      <c r="EF530" s="424">
        <f t="shared" si="823"/>
        <v>0</v>
      </c>
      <c r="EG530" s="424">
        <f t="shared" si="823"/>
        <v>0</v>
      </c>
      <c r="EH530" s="424">
        <f t="shared" ref="EH530:EX530" si="824">EH160*EH$372</f>
        <v>0</v>
      </c>
      <c r="EI530" s="424">
        <f t="shared" si="824"/>
        <v>0</v>
      </c>
      <c r="EJ530" s="424">
        <f t="shared" si="824"/>
        <v>0</v>
      </c>
      <c r="EK530" s="424">
        <f t="shared" si="824"/>
        <v>0</v>
      </c>
      <c r="EL530" s="424">
        <f t="shared" si="824"/>
        <v>0</v>
      </c>
      <c r="EM530" s="424">
        <f t="shared" si="824"/>
        <v>0</v>
      </c>
      <c r="EN530" s="424">
        <f t="shared" si="824"/>
        <v>0</v>
      </c>
      <c r="EO530" s="424">
        <f t="shared" si="824"/>
        <v>0</v>
      </c>
      <c r="EP530" s="424">
        <f t="shared" si="824"/>
        <v>0</v>
      </c>
      <c r="EQ530" s="424">
        <f t="shared" si="824"/>
        <v>0</v>
      </c>
      <c r="ER530" s="424">
        <f t="shared" si="824"/>
        <v>0</v>
      </c>
      <c r="ES530" s="424">
        <f t="shared" si="824"/>
        <v>0</v>
      </c>
      <c r="ET530" s="424">
        <f t="shared" si="824"/>
        <v>0</v>
      </c>
      <c r="EU530" s="424">
        <f t="shared" si="824"/>
        <v>0</v>
      </c>
      <c r="EV530" s="424">
        <f t="shared" si="824"/>
        <v>0</v>
      </c>
      <c r="EW530" s="424">
        <f t="shared" si="824"/>
        <v>0</v>
      </c>
      <c r="EX530" s="424">
        <f t="shared" si="824"/>
        <v>0</v>
      </c>
      <c r="EY530" s="425">
        <f t="shared" si="699"/>
        <v>19.52</v>
      </c>
    </row>
    <row r="531" spans="1:166" ht="14.7" customHeight="1" x14ac:dyDescent="0.25">
      <c r="A531" s="310">
        <v>157</v>
      </c>
      <c r="B531" s="311" t="str">
        <f t="shared" si="680"/>
        <v>Рыба припущенная (минтай) с маслом</v>
      </c>
      <c r="C531" s="483">
        <f t="shared" si="688"/>
        <v>26.55</v>
      </c>
      <c r="D531" s="888"/>
      <c r="E531" s="888"/>
      <c r="F531" s="888"/>
      <c r="G531" s="889"/>
      <c r="H531" s="680">
        <f t="shared" si="681"/>
        <v>227</v>
      </c>
      <c r="I531" s="1209">
        <f t="shared" si="682"/>
        <v>0</v>
      </c>
      <c r="J531" s="424">
        <f t="shared" ref="J531:AO531" si="825">J161*J$372</f>
        <v>0</v>
      </c>
      <c r="K531" s="424">
        <f t="shared" si="825"/>
        <v>0</v>
      </c>
      <c r="L531" s="424">
        <f t="shared" si="825"/>
        <v>0</v>
      </c>
      <c r="M531" s="424">
        <f t="shared" si="825"/>
        <v>0</v>
      </c>
      <c r="N531" s="424">
        <f t="shared" si="825"/>
        <v>0</v>
      </c>
      <c r="O531" s="424">
        <f t="shared" si="825"/>
        <v>0</v>
      </c>
      <c r="P531" s="424">
        <f t="shared" si="825"/>
        <v>0</v>
      </c>
      <c r="Q531" s="424">
        <f t="shared" si="825"/>
        <v>21.89</v>
      </c>
      <c r="R531" s="424">
        <f t="shared" si="825"/>
        <v>0</v>
      </c>
      <c r="S531" s="424">
        <f t="shared" si="825"/>
        <v>0</v>
      </c>
      <c r="T531" s="424">
        <f t="shared" si="825"/>
        <v>0</v>
      </c>
      <c r="U531" s="424">
        <f t="shared" si="825"/>
        <v>0</v>
      </c>
      <c r="V531" s="424">
        <f t="shared" si="825"/>
        <v>3.55</v>
      </c>
      <c r="W531" s="424">
        <f t="shared" si="825"/>
        <v>0</v>
      </c>
      <c r="X531" s="424">
        <f t="shared" si="825"/>
        <v>0</v>
      </c>
      <c r="Y531" s="424">
        <f t="shared" si="825"/>
        <v>0</v>
      </c>
      <c r="Z531" s="424">
        <f t="shared" si="825"/>
        <v>0</v>
      </c>
      <c r="AA531" s="424">
        <f t="shared" si="825"/>
        <v>0</v>
      </c>
      <c r="AB531" s="424">
        <f t="shared" si="825"/>
        <v>0</v>
      </c>
      <c r="AC531" s="424">
        <f t="shared" si="825"/>
        <v>0</v>
      </c>
      <c r="AD531" s="424">
        <f t="shared" si="825"/>
        <v>0</v>
      </c>
      <c r="AE531" s="424">
        <f t="shared" si="825"/>
        <v>0</v>
      </c>
      <c r="AF531" s="424">
        <f t="shared" si="825"/>
        <v>0</v>
      </c>
      <c r="AG531" s="424">
        <f t="shared" si="825"/>
        <v>0</v>
      </c>
      <c r="AH531" s="424">
        <f t="shared" si="825"/>
        <v>0</v>
      </c>
      <c r="AI531" s="424">
        <f t="shared" si="825"/>
        <v>0</v>
      </c>
      <c r="AJ531" s="424">
        <f t="shared" si="825"/>
        <v>0</v>
      </c>
      <c r="AK531" s="424">
        <f t="shared" si="825"/>
        <v>0.15</v>
      </c>
      <c r="AL531" s="424">
        <f t="shared" si="825"/>
        <v>0</v>
      </c>
      <c r="AM531" s="424">
        <f t="shared" si="825"/>
        <v>0</v>
      </c>
      <c r="AN531" s="424">
        <f t="shared" si="825"/>
        <v>0</v>
      </c>
      <c r="AO531" s="424">
        <f t="shared" si="825"/>
        <v>0</v>
      </c>
      <c r="AP531" s="424">
        <f t="shared" ref="AP531:BU531" si="826">AP161*AP$372</f>
        <v>0</v>
      </c>
      <c r="AQ531" s="424">
        <f t="shared" si="826"/>
        <v>0</v>
      </c>
      <c r="AR531" s="424">
        <f t="shared" si="826"/>
        <v>0</v>
      </c>
      <c r="AS531" s="424">
        <f t="shared" si="826"/>
        <v>0</v>
      </c>
      <c r="AT531" s="424">
        <f t="shared" si="826"/>
        <v>0.9</v>
      </c>
      <c r="AU531" s="424">
        <f t="shared" si="826"/>
        <v>0</v>
      </c>
      <c r="AV531" s="424">
        <f t="shared" si="826"/>
        <v>0</v>
      </c>
      <c r="AW531" s="424">
        <f t="shared" si="826"/>
        <v>0</v>
      </c>
      <c r="AX531" s="424">
        <f t="shared" si="826"/>
        <v>0</v>
      </c>
      <c r="AY531" s="424">
        <f t="shared" si="826"/>
        <v>0</v>
      </c>
      <c r="AZ531" s="424">
        <f t="shared" si="826"/>
        <v>0</v>
      </c>
      <c r="BA531" s="424">
        <f t="shared" si="826"/>
        <v>0</v>
      </c>
      <c r="BB531" s="424">
        <f t="shared" si="826"/>
        <v>0</v>
      </c>
      <c r="BC531" s="424">
        <f t="shared" si="826"/>
        <v>0</v>
      </c>
      <c r="BD531" s="424">
        <f t="shared" si="826"/>
        <v>0</v>
      </c>
      <c r="BE531" s="424">
        <f t="shared" si="826"/>
        <v>0</v>
      </c>
      <c r="BF531" s="424">
        <f t="shared" si="826"/>
        <v>0</v>
      </c>
      <c r="BG531" s="424">
        <f t="shared" si="826"/>
        <v>0</v>
      </c>
      <c r="BH531" s="424">
        <f t="shared" si="826"/>
        <v>0</v>
      </c>
      <c r="BI531" s="424">
        <f t="shared" si="826"/>
        <v>0</v>
      </c>
      <c r="BJ531" s="424">
        <f t="shared" si="826"/>
        <v>0</v>
      </c>
      <c r="BK531" s="424">
        <f t="shared" si="826"/>
        <v>0</v>
      </c>
      <c r="BL531" s="424">
        <f t="shared" si="826"/>
        <v>0</v>
      </c>
      <c r="BM531" s="424">
        <f t="shared" si="826"/>
        <v>0</v>
      </c>
      <c r="BN531" s="424">
        <f t="shared" si="826"/>
        <v>0</v>
      </c>
      <c r="BO531" s="424">
        <f t="shared" si="826"/>
        <v>0</v>
      </c>
      <c r="BP531" s="424">
        <f t="shared" si="826"/>
        <v>0</v>
      </c>
      <c r="BQ531" s="424">
        <f t="shared" si="826"/>
        <v>0</v>
      </c>
      <c r="BR531" s="424">
        <f t="shared" si="826"/>
        <v>0</v>
      </c>
      <c r="BS531" s="424">
        <f t="shared" si="826"/>
        <v>0</v>
      </c>
      <c r="BT531" s="424">
        <f t="shared" si="826"/>
        <v>0</v>
      </c>
      <c r="BU531" s="424">
        <f t="shared" si="826"/>
        <v>0</v>
      </c>
      <c r="BV531" s="424">
        <f t="shared" ref="BV531:DA531" si="827">BV161*BV$372</f>
        <v>0</v>
      </c>
      <c r="BW531" s="424">
        <f t="shared" si="827"/>
        <v>0</v>
      </c>
      <c r="BX531" s="424">
        <f t="shared" si="827"/>
        <v>0</v>
      </c>
      <c r="BY531" s="424">
        <f t="shared" si="827"/>
        <v>0</v>
      </c>
      <c r="BZ531" s="424">
        <f t="shared" si="827"/>
        <v>0</v>
      </c>
      <c r="CA531" s="424">
        <f t="shared" si="827"/>
        <v>0</v>
      </c>
      <c r="CB531" s="424">
        <f t="shared" si="827"/>
        <v>0</v>
      </c>
      <c r="CC531" s="424">
        <f t="shared" si="827"/>
        <v>0</v>
      </c>
      <c r="CD531" s="424">
        <f t="shared" si="827"/>
        <v>0</v>
      </c>
      <c r="CE531" s="424">
        <f t="shared" si="827"/>
        <v>0</v>
      </c>
      <c r="CF531" s="424">
        <f t="shared" si="827"/>
        <v>0</v>
      </c>
      <c r="CG531" s="424">
        <f t="shared" si="827"/>
        <v>0</v>
      </c>
      <c r="CH531" s="424">
        <f t="shared" si="827"/>
        <v>0</v>
      </c>
      <c r="CI531" s="424">
        <f t="shared" si="827"/>
        <v>0</v>
      </c>
      <c r="CJ531" s="424">
        <f t="shared" si="827"/>
        <v>0</v>
      </c>
      <c r="CK531" s="424">
        <f t="shared" si="827"/>
        <v>0</v>
      </c>
      <c r="CL531" s="424">
        <f t="shared" si="827"/>
        <v>0</v>
      </c>
      <c r="CM531" s="424">
        <f t="shared" si="827"/>
        <v>0</v>
      </c>
      <c r="CN531" s="424">
        <f t="shared" si="827"/>
        <v>0</v>
      </c>
      <c r="CO531" s="424">
        <f t="shared" si="827"/>
        <v>0</v>
      </c>
      <c r="CP531" s="424">
        <f t="shared" si="827"/>
        <v>0</v>
      </c>
      <c r="CQ531" s="424">
        <f t="shared" si="827"/>
        <v>0</v>
      </c>
      <c r="CR531" s="424">
        <f t="shared" si="827"/>
        <v>0</v>
      </c>
      <c r="CS531" s="424">
        <f t="shared" si="827"/>
        <v>0.01</v>
      </c>
      <c r="CT531" s="424">
        <f t="shared" si="827"/>
        <v>0</v>
      </c>
      <c r="CU531" s="424">
        <f t="shared" si="827"/>
        <v>0</v>
      </c>
      <c r="CV531" s="424">
        <f t="shared" si="827"/>
        <v>0</v>
      </c>
      <c r="CW531" s="424">
        <f t="shared" si="827"/>
        <v>0</v>
      </c>
      <c r="CX531" s="424">
        <f t="shared" si="827"/>
        <v>0</v>
      </c>
      <c r="CY531" s="424">
        <f t="shared" si="827"/>
        <v>0</v>
      </c>
      <c r="CZ531" s="424">
        <f t="shared" si="827"/>
        <v>0</v>
      </c>
      <c r="DA531" s="424">
        <f t="shared" si="827"/>
        <v>0</v>
      </c>
      <c r="DB531" s="424">
        <f t="shared" ref="DB531:EG531" si="828">DB161*DB$372</f>
        <v>0</v>
      </c>
      <c r="DC531" s="424">
        <f t="shared" si="828"/>
        <v>0.05</v>
      </c>
      <c r="DD531" s="424">
        <f t="shared" si="828"/>
        <v>0</v>
      </c>
      <c r="DE531" s="424">
        <f t="shared" si="828"/>
        <v>0</v>
      </c>
      <c r="DF531" s="424">
        <f t="shared" si="828"/>
        <v>0</v>
      </c>
      <c r="DG531" s="424">
        <f t="shared" si="828"/>
        <v>0</v>
      </c>
      <c r="DH531" s="424">
        <f t="shared" si="828"/>
        <v>0</v>
      </c>
      <c r="DI531" s="424">
        <f t="shared" si="828"/>
        <v>0</v>
      </c>
      <c r="DJ531" s="424">
        <f t="shared" si="828"/>
        <v>0</v>
      </c>
      <c r="DK531" s="424">
        <f t="shared" si="828"/>
        <v>0</v>
      </c>
      <c r="DL531" s="424">
        <f t="shared" si="828"/>
        <v>0</v>
      </c>
      <c r="DM531" s="424">
        <f t="shared" si="828"/>
        <v>0</v>
      </c>
      <c r="DN531" s="424">
        <f t="shared" si="828"/>
        <v>0</v>
      </c>
      <c r="DO531" s="424">
        <f t="shared" si="828"/>
        <v>0</v>
      </c>
      <c r="DP531" s="424">
        <f t="shared" si="828"/>
        <v>0</v>
      </c>
      <c r="DQ531" s="424">
        <f t="shared" si="828"/>
        <v>0</v>
      </c>
      <c r="DR531" s="424">
        <f t="shared" si="828"/>
        <v>0</v>
      </c>
      <c r="DS531" s="424">
        <f t="shared" si="828"/>
        <v>0</v>
      </c>
      <c r="DT531" s="424">
        <f t="shared" si="828"/>
        <v>0</v>
      </c>
      <c r="DU531" s="424">
        <f t="shared" si="828"/>
        <v>0</v>
      </c>
      <c r="DV531" s="424">
        <f t="shared" si="828"/>
        <v>0</v>
      </c>
      <c r="DW531" s="424">
        <f t="shared" si="828"/>
        <v>0</v>
      </c>
      <c r="DX531" s="424">
        <f t="shared" si="828"/>
        <v>0</v>
      </c>
      <c r="DY531" s="424">
        <f t="shared" si="828"/>
        <v>0</v>
      </c>
      <c r="DZ531" s="424">
        <f t="shared" si="828"/>
        <v>0</v>
      </c>
      <c r="EA531" s="424">
        <f t="shared" si="828"/>
        <v>0</v>
      </c>
      <c r="EB531" s="424">
        <f t="shared" si="828"/>
        <v>0</v>
      </c>
      <c r="EC531" s="424">
        <f t="shared" si="828"/>
        <v>0</v>
      </c>
      <c r="ED531" s="424">
        <f t="shared" si="828"/>
        <v>0</v>
      </c>
      <c r="EE531" s="424">
        <f t="shared" si="828"/>
        <v>0</v>
      </c>
      <c r="EF531" s="424">
        <f t="shared" si="828"/>
        <v>0</v>
      </c>
      <c r="EG531" s="424">
        <f t="shared" si="828"/>
        <v>0</v>
      </c>
      <c r="EH531" s="424">
        <f t="shared" ref="EH531:EX531" si="829">EH161*EH$372</f>
        <v>0</v>
      </c>
      <c r="EI531" s="424">
        <f t="shared" si="829"/>
        <v>0</v>
      </c>
      <c r="EJ531" s="424">
        <f t="shared" si="829"/>
        <v>0</v>
      </c>
      <c r="EK531" s="424">
        <f t="shared" si="829"/>
        <v>0</v>
      </c>
      <c r="EL531" s="424">
        <f t="shared" si="829"/>
        <v>0</v>
      </c>
      <c r="EM531" s="424">
        <f t="shared" si="829"/>
        <v>0</v>
      </c>
      <c r="EN531" s="424">
        <f t="shared" si="829"/>
        <v>0</v>
      </c>
      <c r="EO531" s="424">
        <f t="shared" si="829"/>
        <v>0</v>
      </c>
      <c r="EP531" s="424">
        <f t="shared" si="829"/>
        <v>0</v>
      </c>
      <c r="EQ531" s="424">
        <f t="shared" si="829"/>
        <v>0</v>
      </c>
      <c r="ER531" s="424">
        <f t="shared" si="829"/>
        <v>0</v>
      </c>
      <c r="ES531" s="424">
        <f t="shared" si="829"/>
        <v>0</v>
      </c>
      <c r="ET531" s="424">
        <f t="shared" si="829"/>
        <v>0</v>
      </c>
      <c r="EU531" s="424">
        <f t="shared" si="829"/>
        <v>0</v>
      </c>
      <c r="EV531" s="424">
        <f t="shared" si="829"/>
        <v>0</v>
      </c>
      <c r="EW531" s="424">
        <f t="shared" si="829"/>
        <v>0</v>
      </c>
      <c r="EX531" s="424">
        <f t="shared" si="829"/>
        <v>0</v>
      </c>
      <c r="EY531" s="425">
        <f t="shared" si="699"/>
        <v>26.55</v>
      </c>
    </row>
    <row r="532" spans="1:166" ht="14.7" customHeight="1" x14ac:dyDescent="0.25">
      <c r="A532" s="310">
        <v>158</v>
      </c>
      <c r="B532" s="311" t="str">
        <f t="shared" si="680"/>
        <v>Рыба (минтай), тушенная в томате с овощами</v>
      </c>
      <c r="C532" s="483">
        <f t="shared" si="688"/>
        <v>29.57</v>
      </c>
      <c r="D532" s="888"/>
      <c r="E532" s="888"/>
      <c r="F532" s="888"/>
      <c r="G532" s="889"/>
      <c r="H532" s="680">
        <f t="shared" si="681"/>
        <v>229</v>
      </c>
      <c r="I532" s="1209">
        <f t="shared" si="682"/>
        <v>0</v>
      </c>
      <c r="J532" s="424">
        <f t="shared" ref="J532:AO532" si="830">J162*J$372</f>
        <v>0</v>
      </c>
      <c r="K532" s="424">
        <f t="shared" si="830"/>
        <v>0</v>
      </c>
      <c r="L532" s="424">
        <f t="shared" si="830"/>
        <v>0</v>
      </c>
      <c r="M532" s="424">
        <f t="shared" si="830"/>
        <v>0</v>
      </c>
      <c r="N532" s="424">
        <f t="shared" si="830"/>
        <v>0</v>
      </c>
      <c r="O532" s="424">
        <f t="shared" si="830"/>
        <v>0</v>
      </c>
      <c r="P532" s="424">
        <f t="shared" si="830"/>
        <v>0</v>
      </c>
      <c r="Q532" s="424">
        <f t="shared" si="830"/>
        <v>21.89</v>
      </c>
      <c r="R532" s="424">
        <f t="shared" si="830"/>
        <v>0</v>
      </c>
      <c r="S532" s="424">
        <f t="shared" si="830"/>
        <v>0</v>
      </c>
      <c r="T532" s="424">
        <f t="shared" si="830"/>
        <v>0</v>
      </c>
      <c r="U532" s="424">
        <f t="shared" si="830"/>
        <v>0</v>
      </c>
      <c r="V532" s="424">
        <f t="shared" si="830"/>
        <v>0</v>
      </c>
      <c r="W532" s="424">
        <f t="shared" si="830"/>
        <v>0</v>
      </c>
      <c r="X532" s="424">
        <f t="shared" si="830"/>
        <v>0</v>
      </c>
      <c r="Y532" s="424">
        <f t="shared" si="830"/>
        <v>0</v>
      </c>
      <c r="Z532" s="424">
        <f t="shared" si="830"/>
        <v>0</v>
      </c>
      <c r="AA532" s="424">
        <f t="shared" si="830"/>
        <v>0</v>
      </c>
      <c r="AB532" s="424">
        <f t="shared" si="830"/>
        <v>0</v>
      </c>
      <c r="AC532" s="424">
        <f t="shared" si="830"/>
        <v>0</v>
      </c>
      <c r="AD532" s="424">
        <f t="shared" si="830"/>
        <v>0</v>
      </c>
      <c r="AE532" s="424">
        <f t="shared" si="830"/>
        <v>0</v>
      </c>
      <c r="AF532" s="424">
        <f t="shared" si="830"/>
        <v>0</v>
      </c>
      <c r="AG532" s="424">
        <f t="shared" si="830"/>
        <v>0</v>
      </c>
      <c r="AH532" s="424">
        <f t="shared" si="830"/>
        <v>0</v>
      </c>
      <c r="AI532" s="424">
        <f t="shared" si="830"/>
        <v>0</v>
      </c>
      <c r="AJ532" s="424">
        <f t="shared" si="830"/>
        <v>0</v>
      </c>
      <c r="AK532" s="424">
        <f t="shared" si="830"/>
        <v>0.5</v>
      </c>
      <c r="AL532" s="424">
        <f t="shared" si="830"/>
        <v>0</v>
      </c>
      <c r="AM532" s="424">
        <f t="shared" si="830"/>
        <v>0</v>
      </c>
      <c r="AN532" s="424">
        <f t="shared" si="830"/>
        <v>0</v>
      </c>
      <c r="AO532" s="424">
        <f t="shared" si="830"/>
        <v>0</v>
      </c>
      <c r="AP532" s="424">
        <f t="shared" ref="AP532:BU532" si="831">AP162*AP$372</f>
        <v>0</v>
      </c>
      <c r="AQ532" s="424">
        <f t="shared" si="831"/>
        <v>1.1499999999999999</v>
      </c>
      <c r="AR532" s="424">
        <f t="shared" si="831"/>
        <v>0</v>
      </c>
      <c r="AS532" s="424">
        <f t="shared" si="831"/>
        <v>0</v>
      </c>
      <c r="AT532" s="424">
        <f t="shared" si="831"/>
        <v>1.2</v>
      </c>
      <c r="AU532" s="424">
        <f t="shared" si="831"/>
        <v>0</v>
      </c>
      <c r="AV532" s="424">
        <f t="shared" si="831"/>
        <v>0</v>
      </c>
      <c r="AW532" s="424">
        <f t="shared" si="831"/>
        <v>0</v>
      </c>
      <c r="AX532" s="424">
        <f t="shared" si="831"/>
        <v>0</v>
      </c>
      <c r="AY532" s="424">
        <f t="shared" si="831"/>
        <v>0</v>
      </c>
      <c r="AZ532" s="424">
        <f t="shared" si="831"/>
        <v>0</v>
      </c>
      <c r="BA532" s="424">
        <f t="shared" si="831"/>
        <v>0</v>
      </c>
      <c r="BB532" s="424">
        <f t="shared" si="831"/>
        <v>0</v>
      </c>
      <c r="BC532" s="424">
        <f t="shared" si="831"/>
        <v>0</v>
      </c>
      <c r="BD532" s="424">
        <f t="shared" si="831"/>
        <v>0</v>
      </c>
      <c r="BE532" s="424">
        <f t="shared" si="831"/>
        <v>0</v>
      </c>
      <c r="BF532" s="424">
        <f t="shared" si="831"/>
        <v>0</v>
      </c>
      <c r="BG532" s="424">
        <f t="shared" si="831"/>
        <v>0</v>
      </c>
      <c r="BH532" s="424">
        <f t="shared" si="831"/>
        <v>0</v>
      </c>
      <c r="BI532" s="424">
        <f t="shared" si="831"/>
        <v>0</v>
      </c>
      <c r="BJ532" s="424">
        <f t="shared" si="831"/>
        <v>0</v>
      </c>
      <c r="BK532" s="424">
        <f t="shared" si="831"/>
        <v>0</v>
      </c>
      <c r="BL532" s="424">
        <f t="shared" si="831"/>
        <v>0</v>
      </c>
      <c r="BM532" s="424">
        <f t="shared" si="831"/>
        <v>0</v>
      </c>
      <c r="BN532" s="424">
        <f t="shared" si="831"/>
        <v>0</v>
      </c>
      <c r="BO532" s="424">
        <f t="shared" si="831"/>
        <v>0</v>
      </c>
      <c r="BP532" s="424">
        <f t="shared" si="831"/>
        <v>0</v>
      </c>
      <c r="BQ532" s="424">
        <f t="shared" si="831"/>
        <v>0</v>
      </c>
      <c r="BR532" s="424">
        <f t="shared" si="831"/>
        <v>0</v>
      </c>
      <c r="BS532" s="424">
        <f t="shared" si="831"/>
        <v>0</v>
      </c>
      <c r="BT532" s="424">
        <f t="shared" si="831"/>
        <v>0</v>
      </c>
      <c r="BU532" s="424">
        <f t="shared" si="831"/>
        <v>0</v>
      </c>
      <c r="BV532" s="424">
        <f t="shared" ref="BV532:DA532" si="832">BV162*BV$372</f>
        <v>0</v>
      </c>
      <c r="BW532" s="424">
        <f t="shared" si="832"/>
        <v>0</v>
      </c>
      <c r="BX532" s="424">
        <f t="shared" si="832"/>
        <v>0</v>
      </c>
      <c r="BY532" s="424">
        <f t="shared" si="832"/>
        <v>0</v>
      </c>
      <c r="BZ532" s="424">
        <f t="shared" si="832"/>
        <v>0</v>
      </c>
      <c r="CA532" s="424">
        <f t="shared" si="832"/>
        <v>0</v>
      </c>
      <c r="CB532" s="424">
        <f t="shared" si="832"/>
        <v>0</v>
      </c>
      <c r="CC532" s="424">
        <f t="shared" si="832"/>
        <v>0</v>
      </c>
      <c r="CD532" s="424">
        <f t="shared" si="832"/>
        <v>0</v>
      </c>
      <c r="CE532" s="424">
        <f t="shared" si="832"/>
        <v>0</v>
      </c>
      <c r="CF532" s="424">
        <f t="shared" si="832"/>
        <v>0.6</v>
      </c>
      <c r="CG532" s="424">
        <f t="shared" si="832"/>
        <v>0</v>
      </c>
      <c r="CH532" s="424">
        <f t="shared" si="832"/>
        <v>0</v>
      </c>
      <c r="CI532" s="424">
        <f t="shared" si="832"/>
        <v>0</v>
      </c>
      <c r="CJ532" s="424">
        <f t="shared" si="832"/>
        <v>0</v>
      </c>
      <c r="CK532" s="424">
        <f t="shared" si="832"/>
        <v>0</v>
      </c>
      <c r="CL532" s="424">
        <f t="shared" si="832"/>
        <v>0</v>
      </c>
      <c r="CM532" s="424">
        <f t="shared" si="832"/>
        <v>0</v>
      </c>
      <c r="CN532" s="424">
        <f t="shared" si="832"/>
        <v>0</v>
      </c>
      <c r="CO532" s="424">
        <f t="shared" si="832"/>
        <v>0</v>
      </c>
      <c r="CP532" s="424">
        <f t="shared" si="832"/>
        <v>0</v>
      </c>
      <c r="CQ532" s="424">
        <f t="shared" si="832"/>
        <v>0.73</v>
      </c>
      <c r="CR532" s="424">
        <f t="shared" si="832"/>
        <v>0</v>
      </c>
      <c r="CS532" s="424">
        <f t="shared" si="832"/>
        <v>1</v>
      </c>
      <c r="CT532" s="424">
        <f t="shared" si="832"/>
        <v>0</v>
      </c>
      <c r="CU532" s="424">
        <f t="shared" si="832"/>
        <v>0</v>
      </c>
      <c r="CV532" s="424">
        <f t="shared" si="832"/>
        <v>0</v>
      </c>
      <c r="CW532" s="424">
        <f t="shared" si="832"/>
        <v>0</v>
      </c>
      <c r="CX532" s="424">
        <f t="shared" si="832"/>
        <v>0</v>
      </c>
      <c r="CY532" s="424">
        <f t="shared" si="832"/>
        <v>0</v>
      </c>
      <c r="CZ532" s="424">
        <f t="shared" si="832"/>
        <v>0.15</v>
      </c>
      <c r="DA532" s="424">
        <f t="shared" si="832"/>
        <v>0</v>
      </c>
      <c r="DB532" s="424">
        <f t="shared" ref="DB532:EG532" si="833">DB162*DB$372</f>
        <v>0</v>
      </c>
      <c r="DC532" s="424">
        <f t="shared" si="833"/>
        <v>0.05</v>
      </c>
      <c r="DD532" s="424">
        <f t="shared" si="833"/>
        <v>0</v>
      </c>
      <c r="DE532" s="424">
        <f t="shared" si="833"/>
        <v>0</v>
      </c>
      <c r="DF532" s="424">
        <f t="shared" si="833"/>
        <v>2.2999999999999998</v>
      </c>
      <c r="DG532" s="424">
        <f t="shared" si="833"/>
        <v>0</v>
      </c>
      <c r="DH532" s="424">
        <f t="shared" si="833"/>
        <v>0</v>
      </c>
      <c r="DI532" s="424">
        <f t="shared" si="833"/>
        <v>0</v>
      </c>
      <c r="DJ532" s="424">
        <f t="shared" si="833"/>
        <v>0</v>
      </c>
      <c r="DK532" s="424">
        <f t="shared" si="833"/>
        <v>0</v>
      </c>
      <c r="DL532" s="424">
        <f t="shared" si="833"/>
        <v>0</v>
      </c>
      <c r="DM532" s="424">
        <f t="shared" si="833"/>
        <v>0</v>
      </c>
      <c r="DN532" s="424">
        <f t="shared" si="833"/>
        <v>0</v>
      </c>
      <c r="DO532" s="424">
        <f t="shared" si="833"/>
        <v>0</v>
      </c>
      <c r="DP532" s="424">
        <f t="shared" si="833"/>
        <v>0</v>
      </c>
      <c r="DQ532" s="424">
        <f t="shared" si="833"/>
        <v>0</v>
      </c>
      <c r="DR532" s="424">
        <f t="shared" si="833"/>
        <v>0</v>
      </c>
      <c r="DS532" s="424">
        <f t="shared" si="833"/>
        <v>0</v>
      </c>
      <c r="DT532" s="424">
        <f t="shared" si="833"/>
        <v>0</v>
      </c>
      <c r="DU532" s="424">
        <f t="shared" si="833"/>
        <v>0</v>
      </c>
      <c r="DV532" s="424">
        <f t="shared" si="833"/>
        <v>0</v>
      </c>
      <c r="DW532" s="424">
        <f t="shared" si="833"/>
        <v>0</v>
      </c>
      <c r="DX532" s="424">
        <f t="shared" si="833"/>
        <v>0</v>
      </c>
      <c r="DY532" s="424">
        <f t="shared" si="833"/>
        <v>0</v>
      </c>
      <c r="DZ532" s="424">
        <f t="shared" si="833"/>
        <v>0</v>
      </c>
      <c r="EA532" s="424">
        <f t="shared" si="833"/>
        <v>0</v>
      </c>
      <c r="EB532" s="424">
        <f t="shared" si="833"/>
        <v>0</v>
      </c>
      <c r="EC532" s="424">
        <f t="shared" si="833"/>
        <v>0</v>
      </c>
      <c r="ED532" s="424">
        <f t="shared" si="833"/>
        <v>0</v>
      </c>
      <c r="EE532" s="424">
        <f t="shared" si="833"/>
        <v>0</v>
      </c>
      <c r="EF532" s="424">
        <f t="shared" si="833"/>
        <v>0</v>
      </c>
      <c r="EG532" s="424">
        <f t="shared" si="833"/>
        <v>0</v>
      </c>
      <c r="EH532" s="424">
        <f t="shared" ref="EH532:EX532" si="834">EH162*EH$372</f>
        <v>0</v>
      </c>
      <c r="EI532" s="424">
        <f t="shared" si="834"/>
        <v>0</v>
      </c>
      <c r="EJ532" s="424">
        <f t="shared" si="834"/>
        <v>0</v>
      </c>
      <c r="EK532" s="424">
        <f t="shared" si="834"/>
        <v>0</v>
      </c>
      <c r="EL532" s="424">
        <f t="shared" si="834"/>
        <v>0</v>
      </c>
      <c r="EM532" s="424">
        <f t="shared" si="834"/>
        <v>0</v>
      </c>
      <c r="EN532" s="424">
        <f t="shared" si="834"/>
        <v>0</v>
      </c>
      <c r="EO532" s="424">
        <f t="shared" si="834"/>
        <v>0</v>
      </c>
      <c r="EP532" s="424">
        <f t="shared" si="834"/>
        <v>0</v>
      </c>
      <c r="EQ532" s="424">
        <f t="shared" si="834"/>
        <v>0</v>
      </c>
      <c r="ER532" s="424">
        <f t="shared" si="834"/>
        <v>0</v>
      </c>
      <c r="ES532" s="424">
        <f t="shared" si="834"/>
        <v>0</v>
      </c>
      <c r="ET532" s="424">
        <f t="shared" si="834"/>
        <v>0</v>
      </c>
      <c r="EU532" s="424">
        <f t="shared" si="834"/>
        <v>0</v>
      </c>
      <c r="EV532" s="424">
        <f t="shared" si="834"/>
        <v>0</v>
      </c>
      <c r="EW532" s="424">
        <f t="shared" si="834"/>
        <v>0</v>
      </c>
      <c r="EX532" s="424">
        <f t="shared" si="834"/>
        <v>0</v>
      </c>
      <c r="EY532" s="425">
        <f t="shared" si="699"/>
        <v>29.57</v>
      </c>
    </row>
    <row r="533" spans="1:166" ht="14.7" customHeight="1" x14ac:dyDescent="0.25">
      <c r="A533" s="310">
        <v>159</v>
      </c>
      <c r="B533" s="311" t="str">
        <f t="shared" si="680"/>
        <v>Рыба хек (филе), тушенная в томате с овощами</v>
      </c>
      <c r="C533" s="483">
        <f t="shared" si="688"/>
        <v>37.28</v>
      </c>
      <c r="D533" s="888"/>
      <c r="E533" s="888"/>
      <c r="F533" s="888"/>
      <c r="G533" s="889"/>
      <c r="H533" s="680">
        <f t="shared" si="681"/>
        <v>229</v>
      </c>
      <c r="I533" s="1209">
        <f t="shared" si="682"/>
        <v>0</v>
      </c>
      <c r="J533" s="424">
        <f t="shared" ref="J533:AO533" si="835">J163*J$372</f>
        <v>0</v>
      </c>
      <c r="K533" s="424">
        <f t="shared" si="835"/>
        <v>0</v>
      </c>
      <c r="L533" s="424">
        <f t="shared" si="835"/>
        <v>0</v>
      </c>
      <c r="M533" s="424">
        <f t="shared" si="835"/>
        <v>0</v>
      </c>
      <c r="N533" s="424">
        <f t="shared" si="835"/>
        <v>0</v>
      </c>
      <c r="O533" s="424">
        <f t="shared" si="835"/>
        <v>0</v>
      </c>
      <c r="P533" s="424">
        <f t="shared" si="835"/>
        <v>0</v>
      </c>
      <c r="Q533" s="424">
        <f t="shared" si="835"/>
        <v>0</v>
      </c>
      <c r="R533" s="424">
        <f t="shared" si="835"/>
        <v>29.6</v>
      </c>
      <c r="S533" s="424">
        <f t="shared" si="835"/>
        <v>0</v>
      </c>
      <c r="T533" s="424">
        <f t="shared" si="835"/>
        <v>0</v>
      </c>
      <c r="U533" s="424">
        <f t="shared" si="835"/>
        <v>0</v>
      </c>
      <c r="V533" s="424">
        <f t="shared" si="835"/>
        <v>0</v>
      </c>
      <c r="W533" s="424">
        <f t="shared" si="835"/>
        <v>0</v>
      </c>
      <c r="X533" s="424">
        <f t="shared" si="835"/>
        <v>0</v>
      </c>
      <c r="Y533" s="424">
        <f t="shared" si="835"/>
        <v>0</v>
      </c>
      <c r="Z533" s="424">
        <f t="shared" si="835"/>
        <v>0</v>
      </c>
      <c r="AA533" s="424">
        <f t="shared" si="835"/>
        <v>0</v>
      </c>
      <c r="AB533" s="424">
        <f t="shared" si="835"/>
        <v>0</v>
      </c>
      <c r="AC533" s="424">
        <f t="shared" si="835"/>
        <v>0</v>
      </c>
      <c r="AD533" s="424">
        <f t="shared" si="835"/>
        <v>0</v>
      </c>
      <c r="AE533" s="424">
        <f t="shared" si="835"/>
        <v>0</v>
      </c>
      <c r="AF533" s="424">
        <f t="shared" si="835"/>
        <v>0</v>
      </c>
      <c r="AG533" s="424">
        <f t="shared" si="835"/>
        <v>0</v>
      </c>
      <c r="AH533" s="424">
        <f t="shared" si="835"/>
        <v>0</v>
      </c>
      <c r="AI533" s="424">
        <f t="shared" si="835"/>
        <v>0</v>
      </c>
      <c r="AJ533" s="424">
        <f t="shared" si="835"/>
        <v>0</v>
      </c>
      <c r="AK533" s="424">
        <f t="shared" si="835"/>
        <v>0.5</v>
      </c>
      <c r="AL533" s="424">
        <f t="shared" si="835"/>
        <v>0</v>
      </c>
      <c r="AM533" s="424">
        <f t="shared" si="835"/>
        <v>0</v>
      </c>
      <c r="AN533" s="424">
        <f t="shared" si="835"/>
        <v>0</v>
      </c>
      <c r="AO533" s="424">
        <f t="shared" si="835"/>
        <v>0</v>
      </c>
      <c r="AP533" s="424">
        <f t="shared" ref="AP533:BU533" si="836">AP163*AP$372</f>
        <v>0</v>
      </c>
      <c r="AQ533" s="424">
        <f t="shared" si="836"/>
        <v>1.1499999999999999</v>
      </c>
      <c r="AR533" s="424">
        <f t="shared" si="836"/>
        <v>0</v>
      </c>
      <c r="AS533" s="424">
        <f t="shared" si="836"/>
        <v>0</v>
      </c>
      <c r="AT533" s="424">
        <f t="shared" si="836"/>
        <v>1.2</v>
      </c>
      <c r="AU533" s="424">
        <f t="shared" si="836"/>
        <v>0</v>
      </c>
      <c r="AV533" s="424">
        <f t="shared" si="836"/>
        <v>0</v>
      </c>
      <c r="AW533" s="424">
        <f t="shared" si="836"/>
        <v>0</v>
      </c>
      <c r="AX533" s="424">
        <f t="shared" si="836"/>
        <v>0</v>
      </c>
      <c r="AY533" s="424">
        <f t="shared" si="836"/>
        <v>0</v>
      </c>
      <c r="AZ533" s="424">
        <f t="shared" si="836"/>
        <v>0</v>
      </c>
      <c r="BA533" s="424">
        <f t="shared" si="836"/>
        <v>0</v>
      </c>
      <c r="BB533" s="424">
        <f t="shared" si="836"/>
        <v>0</v>
      </c>
      <c r="BC533" s="424">
        <f t="shared" si="836"/>
        <v>0</v>
      </c>
      <c r="BD533" s="424">
        <f t="shared" si="836"/>
        <v>0</v>
      </c>
      <c r="BE533" s="424">
        <f t="shared" si="836"/>
        <v>0</v>
      </c>
      <c r="BF533" s="424">
        <f t="shared" si="836"/>
        <v>0</v>
      </c>
      <c r="BG533" s="424">
        <f t="shared" si="836"/>
        <v>0</v>
      </c>
      <c r="BH533" s="424">
        <f t="shared" si="836"/>
        <v>0</v>
      </c>
      <c r="BI533" s="424">
        <f t="shared" si="836"/>
        <v>0</v>
      </c>
      <c r="BJ533" s="424">
        <f t="shared" si="836"/>
        <v>0</v>
      </c>
      <c r="BK533" s="424">
        <f t="shared" si="836"/>
        <v>0</v>
      </c>
      <c r="BL533" s="424">
        <f t="shared" si="836"/>
        <v>0</v>
      </c>
      <c r="BM533" s="424">
        <f t="shared" si="836"/>
        <v>0</v>
      </c>
      <c r="BN533" s="424">
        <f t="shared" si="836"/>
        <v>0</v>
      </c>
      <c r="BO533" s="424">
        <f t="shared" si="836"/>
        <v>0</v>
      </c>
      <c r="BP533" s="424">
        <f t="shared" si="836"/>
        <v>0</v>
      </c>
      <c r="BQ533" s="424">
        <f t="shared" si="836"/>
        <v>0</v>
      </c>
      <c r="BR533" s="424">
        <f t="shared" si="836"/>
        <v>0</v>
      </c>
      <c r="BS533" s="424">
        <f t="shared" si="836"/>
        <v>0</v>
      </c>
      <c r="BT533" s="424">
        <f t="shared" si="836"/>
        <v>0</v>
      </c>
      <c r="BU533" s="424">
        <f t="shared" si="836"/>
        <v>0</v>
      </c>
      <c r="BV533" s="424">
        <f t="shared" ref="BV533:DA533" si="837">BV163*BV$372</f>
        <v>0</v>
      </c>
      <c r="BW533" s="424">
        <f t="shared" si="837"/>
        <v>0</v>
      </c>
      <c r="BX533" s="424">
        <f t="shared" si="837"/>
        <v>0</v>
      </c>
      <c r="BY533" s="424">
        <f t="shared" si="837"/>
        <v>0</v>
      </c>
      <c r="BZ533" s="424">
        <f t="shared" si="837"/>
        <v>0</v>
      </c>
      <c r="CA533" s="424">
        <f t="shared" si="837"/>
        <v>0</v>
      </c>
      <c r="CB533" s="424">
        <f t="shared" si="837"/>
        <v>0</v>
      </c>
      <c r="CC533" s="424">
        <f t="shared" si="837"/>
        <v>0</v>
      </c>
      <c r="CD533" s="424">
        <f t="shared" si="837"/>
        <v>0</v>
      </c>
      <c r="CE533" s="424">
        <f t="shared" si="837"/>
        <v>0</v>
      </c>
      <c r="CF533" s="424">
        <f t="shared" si="837"/>
        <v>0.6</v>
      </c>
      <c r="CG533" s="424">
        <f t="shared" si="837"/>
        <v>0</v>
      </c>
      <c r="CH533" s="424">
        <f t="shared" si="837"/>
        <v>0</v>
      </c>
      <c r="CI533" s="424">
        <f t="shared" si="837"/>
        <v>0</v>
      </c>
      <c r="CJ533" s="424">
        <f t="shared" si="837"/>
        <v>0</v>
      </c>
      <c r="CK533" s="424">
        <f t="shared" si="837"/>
        <v>0</v>
      </c>
      <c r="CL533" s="424">
        <f t="shared" si="837"/>
        <v>0</v>
      </c>
      <c r="CM533" s="424">
        <f t="shared" si="837"/>
        <v>0</v>
      </c>
      <c r="CN533" s="424">
        <f t="shared" si="837"/>
        <v>0</v>
      </c>
      <c r="CO533" s="424">
        <f t="shared" si="837"/>
        <v>0</v>
      </c>
      <c r="CP533" s="424">
        <f t="shared" si="837"/>
        <v>0</v>
      </c>
      <c r="CQ533" s="424">
        <f t="shared" si="837"/>
        <v>0.73</v>
      </c>
      <c r="CR533" s="424">
        <f t="shared" si="837"/>
        <v>0</v>
      </c>
      <c r="CS533" s="424">
        <f t="shared" si="837"/>
        <v>1</v>
      </c>
      <c r="CT533" s="424">
        <f t="shared" si="837"/>
        <v>0</v>
      </c>
      <c r="CU533" s="424">
        <f t="shared" si="837"/>
        <v>0</v>
      </c>
      <c r="CV533" s="424">
        <f t="shared" si="837"/>
        <v>0</v>
      </c>
      <c r="CW533" s="424">
        <f t="shared" si="837"/>
        <v>0</v>
      </c>
      <c r="CX533" s="424">
        <f t="shared" si="837"/>
        <v>0</v>
      </c>
      <c r="CY533" s="424">
        <f t="shared" si="837"/>
        <v>0</v>
      </c>
      <c r="CZ533" s="424">
        <f t="shared" si="837"/>
        <v>0.15</v>
      </c>
      <c r="DA533" s="424">
        <f t="shared" si="837"/>
        <v>0</v>
      </c>
      <c r="DB533" s="424">
        <f t="shared" ref="DB533:EG533" si="838">DB163*DB$372</f>
        <v>0</v>
      </c>
      <c r="DC533" s="424">
        <f t="shared" si="838"/>
        <v>0.05</v>
      </c>
      <c r="DD533" s="424">
        <f t="shared" si="838"/>
        <v>0</v>
      </c>
      <c r="DE533" s="424">
        <f t="shared" si="838"/>
        <v>0</v>
      </c>
      <c r="DF533" s="424">
        <f t="shared" si="838"/>
        <v>2.2999999999999998</v>
      </c>
      <c r="DG533" s="424">
        <f t="shared" si="838"/>
        <v>0</v>
      </c>
      <c r="DH533" s="424">
        <f t="shared" si="838"/>
        <v>0</v>
      </c>
      <c r="DI533" s="424">
        <f t="shared" si="838"/>
        <v>0</v>
      </c>
      <c r="DJ533" s="424">
        <f t="shared" si="838"/>
        <v>0</v>
      </c>
      <c r="DK533" s="424">
        <f t="shared" si="838"/>
        <v>0</v>
      </c>
      <c r="DL533" s="424">
        <f t="shared" si="838"/>
        <v>0</v>
      </c>
      <c r="DM533" s="424">
        <f t="shared" si="838"/>
        <v>0</v>
      </c>
      <c r="DN533" s="424">
        <f t="shared" si="838"/>
        <v>0</v>
      </c>
      <c r="DO533" s="424">
        <f t="shared" si="838"/>
        <v>0</v>
      </c>
      <c r="DP533" s="424">
        <f t="shared" si="838"/>
        <v>0</v>
      </c>
      <c r="DQ533" s="424">
        <f t="shared" si="838"/>
        <v>0</v>
      </c>
      <c r="DR533" s="424">
        <f t="shared" si="838"/>
        <v>0</v>
      </c>
      <c r="DS533" s="424">
        <f t="shared" si="838"/>
        <v>0</v>
      </c>
      <c r="DT533" s="424">
        <f t="shared" si="838"/>
        <v>0</v>
      </c>
      <c r="DU533" s="424">
        <f t="shared" si="838"/>
        <v>0</v>
      </c>
      <c r="DV533" s="424">
        <f t="shared" si="838"/>
        <v>0</v>
      </c>
      <c r="DW533" s="424">
        <f t="shared" si="838"/>
        <v>0</v>
      </c>
      <c r="DX533" s="424">
        <f t="shared" si="838"/>
        <v>0</v>
      </c>
      <c r="DY533" s="424">
        <f t="shared" si="838"/>
        <v>0</v>
      </c>
      <c r="DZ533" s="424">
        <f t="shared" si="838"/>
        <v>0</v>
      </c>
      <c r="EA533" s="424">
        <f t="shared" si="838"/>
        <v>0</v>
      </c>
      <c r="EB533" s="424">
        <f t="shared" si="838"/>
        <v>0</v>
      </c>
      <c r="EC533" s="424">
        <f t="shared" si="838"/>
        <v>0</v>
      </c>
      <c r="ED533" s="424">
        <f t="shared" si="838"/>
        <v>0</v>
      </c>
      <c r="EE533" s="424">
        <f t="shared" si="838"/>
        <v>0</v>
      </c>
      <c r="EF533" s="424">
        <f t="shared" si="838"/>
        <v>0</v>
      </c>
      <c r="EG533" s="424">
        <f t="shared" si="838"/>
        <v>0</v>
      </c>
      <c r="EH533" s="424">
        <f t="shared" ref="EH533:EX533" si="839">EH163*EH$372</f>
        <v>0</v>
      </c>
      <c r="EI533" s="424">
        <f t="shared" si="839"/>
        <v>0</v>
      </c>
      <c r="EJ533" s="424">
        <f t="shared" si="839"/>
        <v>0</v>
      </c>
      <c r="EK533" s="424">
        <f t="shared" si="839"/>
        <v>0</v>
      </c>
      <c r="EL533" s="424">
        <f t="shared" si="839"/>
        <v>0</v>
      </c>
      <c r="EM533" s="424">
        <f t="shared" si="839"/>
        <v>0</v>
      </c>
      <c r="EN533" s="424">
        <f t="shared" si="839"/>
        <v>0</v>
      </c>
      <c r="EO533" s="424">
        <f t="shared" si="839"/>
        <v>0</v>
      </c>
      <c r="EP533" s="424">
        <f t="shared" si="839"/>
        <v>0</v>
      </c>
      <c r="EQ533" s="424">
        <f t="shared" si="839"/>
        <v>0</v>
      </c>
      <c r="ER533" s="424">
        <f t="shared" si="839"/>
        <v>0</v>
      </c>
      <c r="ES533" s="424">
        <f t="shared" si="839"/>
        <v>0</v>
      </c>
      <c r="ET533" s="424">
        <f t="shared" si="839"/>
        <v>0</v>
      </c>
      <c r="EU533" s="424">
        <f t="shared" si="839"/>
        <v>0</v>
      </c>
      <c r="EV533" s="424">
        <f t="shared" si="839"/>
        <v>0</v>
      </c>
      <c r="EW533" s="424">
        <f t="shared" si="839"/>
        <v>0</v>
      </c>
      <c r="EX533" s="424">
        <f t="shared" si="839"/>
        <v>0</v>
      </c>
      <c r="EY533" s="425">
        <f t="shared" si="699"/>
        <v>37.28</v>
      </c>
    </row>
    <row r="534" spans="1:166" ht="14.7" customHeight="1" x14ac:dyDescent="0.25">
      <c r="A534" s="310">
        <v>160</v>
      </c>
      <c r="B534" s="311" t="str">
        <f t="shared" si="680"/>
        <v>Рыба минтай (филе), тушенная в томате с овощами</v>
      </c>
      <c r="C534" s="483">
        <f t="shared" si="688"/>
        <v>33.909999999999997</v>
      </c>
      <c r="D534" s="888"/>
      <c r="E534" s="888"/>
      <c r="F534" s="888"/>
      <c r="G534" s="889"/>
      <c r="H534" s="680">
        <f t="shared" si="681"/>
        <v>229</v>
      </c>
      <c r="I534" s="1209">
        <f t="shared" si="682"/>
        <v>0</v>
      </c>
      <c r="J534" s="424">
        <f t="shared" ref="J534:AO534" si="840">J164*J$372</f>
        <v>0</v>
      </c>
      <c r="K534" s="424">
        <f t="shared" si="840"/>
        <v>0</v>
      </c>
      <c r="L534" s="424">
        <f t="shared" si="840"/>
        <v>0</v>
      </c>
      <c r="M534" s="424">
        <f t="shared" si="840"/>
        <v>0</v>
      </c>
      <c r="N534" s="424">
        <f t="shared" si="840"/>
        <v>0</v>
      </c>
      <c r="O534" s="424">
        <f t="shared" si="840"/>
        <v>0</v>
      </c>
      <c r="P534" s="424">
        <f t="shared" si="840"/>
        <v>0</v>
      </c>
      <c r="Q534" s="424">
        <f t="shared" si="840"/>
        <v>0</v>
      </c>
      <c r="R534" s="424">
        <f t="shared" si="840"/>
        <v>0</v>
      </c>
      <c r="S534" s="424">
        <f t="shared" si="840"/>
        <v>26.23</v>
      </c>
      <c r="T534" s="424">
        <f t="shared" si="840"/>
        <v>0</v>
      </c>
      <c r="U534" s="424">
        <f t="shared" si="840"/>
        <v>0</v>
      </c>
      <c r="V534" s="424">
        <f t="shared" si="840"/>
        <v>0</v>
      </c>
      <c r="W534" s="424">
        <f t="shared" si="840"/>
        <v>0</v>
      </c>
      <c r="X534" s="424">
        <f t="shared" si="840"/>
        <v>0</v>
      </c>
      <c r="Y534" s="424">
        <f t="shared" si="840"/>
        <v>0</v>
      </c>
      <c r="Z534" s="424">
        <f t="shared" si="840"/>
        <v>0</v>
      </c>
      <c r="AA534" s="424">
        <f t="shared" si="840"/>
        <v>0</v>
      </c>
      <c r="AB534" s="424">
        <f t="shared" si="840"/>
        <v>0</v>
      </c>
      <c r="AC534" s="424">
        <f t="shared" si="840"/>
        <v>0</v>
      </c>
      <c r="AD534" s="424">
        <f t="shared" si="840"/>
        <v>0</v>
      </c>
      <c r="AE534" s="424">
        <f t="shared" si="840"/>
        <v>0</v>
      </c>
      <c r="AF534" s="424">
        <f t="shared" si="840"/>
        <v>0</v>
      </c>
      <c r="AG534" s="424">
        <f t="shared" si="840"/>
        <v>0</v>
      </c>
      <c r="AH534" s="424">
        <f t="shared" si="840"/>
        <v>0</v>
      </c>
      <c r="AI534" s="424">
        <f t="shared" si="840"/>
        <v>0</v>
      </c>
      <c r="AJ534" s="424">
        <f t="shared" si="840"/>
        <v>0</v>
      </c>
      <c r="AK534" s="424">
        <f t="shared" si="840"/>
        <v>0.5</v>
      </c>
      <c r="AL534" s="424">
        <f t="shared" si="840"/>
        <v>0</v>
      </c>
      <c r="AM534" s="424">
        <f t="shared" si="840"/>
        <v>0</v>
      </c>
      <c r="AN534" s="424">
        <f t="shared" si="840"/>
        <v>0</v>
      </c>
      <c r="AO534" s="424">
        <f t="shared" si="840"/>
        <v>0</v>
      </c>
      <c r="AP534" s="424">
        <f t="shared" ref="AP534:BU534" si="841">AP164*AP$372</f>
        <v>0</v>
      </c>
      <c r="AQ534" s="424">
        <f t="shared" si="841"/>
        <v>1.1499999999999999</v>
      </c>
      <c r="AR534" s="424">
        <f t="shared" si="841"/>
        <v>0</v>
      </c>
      <c r="AS534" s="424">
        <f t="shared" si="841"/>
        <v>0</v>
      </c>
      <c r="AT534" s="424">
        <f t="shared" si="841"/>
        <v>1.2</v>
      </c>
      <c r="AU534" s="424">
        <f t="shared" si="841"/>
        <v>0</v>
      </c>
      <c r="AV534" s="424">
        <f t="shared" si="841"/>
        <v>0</v>
      </c>
      <c r="AW534" s="424">
        <f t="shared" si="841"/>
        <v>0</v>
      </c>
      <c r="AX534" s="424">
        <f t="shared" si="841"/>
        <v>0</v>
      </c>
      <c r="AY534" s="424">
        <f t="shared" si="841"/>
        <v>0</v>
      </c>
      <c r="AZ534" s="424">
        <f t="shared" si="841"/>
        <v>0</v>
      </c>
      <c r="BA534" s="424">
        <f t="shared" si="841"/>
        <v>0</v>
      </c>
      <c r="BB534" s="424">
        <f t="shared" si="841"/>
        <v>0</v>
      </c>
      <c r="BC534" s="424">
        <f t="shared" si="841"/>
        <v>0</v>
      </c>
      <c r="BD534" s="424">
        <f t="shared" si="841"/>
        <v>0</v>
      </c>
      <c r="BE534" s="424">
        <f t="shared" si="841"/>
        <v>0</v>
      </c>
      <c r="BF534" s="424">
        <f t="shared" si="841"/>
        <v>0</v>
      </c>
      <c r="BG534" s="424">
        <f t="shared" si="841"/>
        <v>0</v>
      </c>
      <c r="BH534" s="424">
        <f t="shared" si="841"/>
        <v>0</v>
      </c>
      <c r="BI534" s="424">
        <f t="shared" si="841"/>
        <v>0</v>
      </c>
      <c r="BJ534" s="424">
        <f t="shared" si="841"/>
        <v>0</v>
      </c>
      <c r="BK534" s="424">
        <f t="shared" si="841"/>
        <v>0</v>
      </c>
      <c r="BL534" s="424">
        <f t="shared" si="841"/>
        <v>0</v>
      </c>
      <c r="BM534" s="424">
        <f t="shared" si="841"/>
        <v>0</v>
      </c>
      <c r="BN534" s="424">
        <f t="shared" si="841"/>
        <v>0</v>
      </c>
      <c r="BO534" s="424">
        <f t="shared" si="841"/>
        <v>0</v>
      </c>
      <c r="BP534" s="424">
        <f t="shared" si="841"/>
        <v>0</v>
      </c>
      <c r="BQ534" s="424">
        <f t="shared" si="841"/>
        <v>0</v>
      </c>
      <c r="BR534" s="424">
        <f t="shared" si="841"/>
        <v>0</v>
      </c>
      <c r="BS534" s="424">
        <f t="shared" si="841"/>
        <v>0</v>
      </c>
      <c r="BT534" s="424">
        <f t="shared" si="841"/>
        <v>0</v>
      </c>
      <c r="BU534" s="424">
        <f t="shared" si="841"/>
        <v>0</v>
      </c>
      <c r="BV534" s="424">
        <f t="shared" ref="BV534:DA534" si="842">BV164*BV$372</f>
        <v>0</v>
      </c>
      <c r="BW534" s="424">
        <f t="shared" si="842"/>
        <v>0</v>
      </c>
      <c r="BX534" s="424">
        <f t="shared" si="842"/>
        <v>0</v>
      </c>
      <c r="BY534" s="424">
        <f t="shared" si="842"/>
        <v>0</v>
      </c>
      <c r="BZ534" s="424">
        <f t="shared" si="842"/>
        <v>0</v>
      </c>
      <c r="CA534" s="424">
        <f t="shared" si="842"/>
        <v>0</v>
      </c>
      <c r="CB534" s="424">
        <f t="shared" si="842"/>
        <v>0</v>
      </c>
      <c r="CC534" s="424">
        <f t="shared" si="842"/>
        <v>0</v>
      </c>
      <c r="CD534" s="424">
        <f t="shared" si="842"/>
        <v>0</v>
      </c>
      <c r="CE534" s="424">
        <f t="shared" si="842"/>
        <v>0</v>
      </c>
      <c r="CF534" s="424">
        <f t="shared" si="842"/>
        <v>0.6</v>
      </c>
      <c r="CG534" s="424">
        <f t="shared" si="842"/>
        <v>0</v>
      </c>
      <c r="CH534" s="424">
        <f t="shared" si="842"/>
        <v>0</v>
      </c>
      <c r="CI534" s="424">
        <f t="shared" si="842"/>
        <v>0</v>
      </c>
      <c r="CJ534" s="424">
        <f t="shared" si="842"/>
        <v>0</v>
      </c>
      <c r="CK534" s="424">
        <f t="shared" si="842"/>
        <v>0</v>
      </c>
      <c r="CL534" s="424">
        <f t="shared" si="842"/>
        <v>0</v>
      </c>
      <c r="CM534" s="424">
        <f t="shared" si="842"/>
        <v>0</v>
      </c>
      <c r="CN534" s="424">
        <f t="shared" si="842"/>
        <v>0</v>
      </c>
      <c r="CO534" s="424">
        <f t="shared" si="842"/>
        <v>0</v>
      </c>
      <c r="CP534" s="424">
        <f t="shared" si="842"/>
        <v>0</v>
      </c>
      <c r="CQ534" s="424">
        <f t="shared" si="842"/>
        <v>0.73</v>
      </c>
      <c r="CR534" s="424">
        <f t="shared" si="842"/>
        <v>0</v>
      </c>
      <c r="CS534" s="424">
        <f t="shared" si="842"/>
        <v>1</v>
      </c>
      <c r="CT534" s="424">
        <f t="shared" si="842"/>
        <v>0</v>
      </c>
      <c r="CU534" s="424">
        <f t="shared" si="842"/>
        <v>0</v>
      </c>
      <c r="CV534" s="424">
        <f t="shared" si="842"/>
        <v>0</v>
      </c>
      <c r="CW534" s="424">
        <f t="shared" si="842"/>
        <v>0</v>
      </c>
      <c r="CX534" s="424">
        <f t="shared" si="842"/>
        <v>0</v>
      </c>
      <c r="CY534" s="424">
        <f t="shared" si="842"/>
        <v>0</v>
      </c>
      <c r="CZ534" s="424">
        <f t="shared" si="842"/>
        <v>0.15</v>
      </c>
      <c r="DA534" s="424">
        <f t="shared" si="842"/>
        <v>0</v>
      </c>
      <c r="DB534" s="424">
        <f t="shared" ref="DB534:EG534" si="843">DB164*DB$372</f>
        <v>0</v>
      </c>
      <c r="DC534" s="424">
        <f t="shared" si="843"/>
        <v>0.05</v>
      </c>
      <c r="DD534" s="424">
        <f t="shared" si="843"/>
        <v>0</v>
      </c>
      <c r="DE534" s="424">
        <f t="shared" si="843"/>
        <v>0</v>
      </c>
      <c r="DF534" s="424">
        <f t="shared" si="843"/>
        <v>2.2999999999999998</v>
      </c>
      <c r="DG534" s="424">
        <f t="shared" si="843"/>
        <v>0</v>
      </c>
      <c r="DH534" s="424">
        <f t="shared" si="843"/>
        <v>0</v>
      </c>
      <c r="DI534" s="424">
        <f t="shared" si="843"/>
        <v>0</v>
      </c>
      <c r="DJ534" s="424">
        <f t="shared" si="843"/>
        <v>0</v>
      </c>
      <c r="DK534" s="424">
        <f t="shared" si="843"/>
        <v>0</v>
      </c>
      <c r="DL534" s="424">
        <f t="shared" si="843"/>
        <v>0</v>
      </c>
      <c r="DM534" s="424">
        <f t="shared" si="843"/>
        <v>0</v>
      </c>
      <c r="DN534" s="424">
        <f t="shared" si="843"/>
        <v>0</v>
      </c>
      <c r="DO534" s="424">
        <f t="shared" si="843"/>
        <v>0</v>
      </c>
      <c r="DP534" s="424">
        <f t="shared" si="843"/>
        <v>0</v>
      </c>
      <c r="DQ534" s="424">
        <f t="shared" si="843"/>
        <v>0</v>
      </c>
      <c r="DR534" s="424">
        <f t="shared" si="843"/>
        <v>0</v>
      </c>
      <c r="DS534" s="424">
        <f t="shared" si="843"/>
        <v>0</v>
      </c>
      <c r="DT534" s="424">
        <f t="shared" si="843"/>
        <v>0</v>
      </c>
      <c r="DU534" s="424">
        <f t="shared" si="843"/>
        <v>0</v>
      </c>
      <c r="DV534" s="424">
        <f t="shared" si="843"/>
        <v>0</v>
      </c>
      <c r="DW534" s="424">
        <f t="shared" si="843"/>
        <v>0</v>
      </c>
      <c r="DX534" s="424">
        <f t="shared" si="843"/>
        <v>0</v>
      </c>
      <c r="DY534" s="424">
        <f t="shared" si="843"/>
        <v>0</v>
      </c>
      <c r="DZ534" s="424">
        <f t="shared" si="843"/>
        <v>0</v>
      </c>
      <c r="EA534" s="424">
        <f t="shared" si="843"/>
        <v>0</v>
      </c>
      <c r="EB534" s="424">
        <f t="shared" si="843"/>
        <v>0</v>
      </c>
      <c r="EC534" s="424">
        <f t="shared" si="843"/>
        <v>0</v>
      </c>
      <c r="ED534" s="424">
        <f t="shared" si="843"/>
        <v>0</v>
      </c>
      <c r="EE534" s="424">
        <f t="shared" si="843"/>
        <v>0</v>
      </c>
      <c r="EF534" s="424">
        <f t="shared" si="843"/>
        <v>0</v>
      </c>
      <c r="EG534" s="424">
        <f t="shared" si="843"/>
        <v>0</v>
      </c>
      <c r="EH534" s="424">
        <f t="shared" ref="EH534:EX534" si="844">EH164*EH$372</f>
        <v>0</v>
      </c>
      <c r="EI534" s="424">
        <f t="shared" si="844"/>
        <v>0</v>
      </c>
      <c r="EJ534" s="424">
        <f t="shared" si="844"/>
        <v>0</v>
      </c>
      <c r="EK534" s="424">
        <f t="shared" si="844"/>
        <v>0</v>
      </c>
      <c r="EL534" s="424">
        <f t="shared" si="844"/>
        <v>0</v>
      </c>
      <c r="EM534" s="424">
        <f t="shared" si="844"/>
        <v>0</v>
      </c>
      <c r="EN534" s="424">
        <f t="shared" si="844"/>
        <v>0</v>
      </c>
      <c r="EO534" s="424">
        <f t="shared" si="844"/>
        <v>0</v>
      </c>
      <c r="EP534" s="424">
        <f t="shared" si="844"/>
        <v>0</v>
      </c>
      <c r="EQ534" s="424">
        <f t="shared" si="844"/>
        <v>0</v>
      </c>
      <c r="ER534" s="424">
        <f t="shared" si="844"/>
        <v>0</v>
      </c>
      <c r="ES534" s="424">
        <f t="shared" si="844"/>
        <v>0</v>
      </c>
      <c r="ET534" s="424">
        <f t="shared" si="844"/>
        <v>0</v>
      </c>
      <c r="EU534" s="424">
        <f t="shared" si="844"/>
        <v>0</v>
      </c>
      <c r="EV534" s="424">
        <f t="shared" si="844"/>
        <v>0</v>
      </c>
      <c r="EW534" s="424">
        <f t="shared" si="844"/>
        <v>0</v>
      </c>
      <c r="EX534" s="424">
        <f t="shared" si="844"/>
        <v>0</v>
      </c>
      <c r="EY534" s="425">
        <f t="shared" si="699"/>
        <v>33.909999999999997</v>
      </c>
    </row>
    <row r="535" spans="1:166" ht="14.7" customHeight="1" x14ac:dyDescent="0.25">
      <c r="A535" s="310">
        <v>161</v>
      </c>
      <c r="B535" s="311" t="str">
        <f t="shared" si="680"/>
        <v xml:space="preserve">Рыба жареная (минтай) </v>
      </c>
      <c r="C535" s="483">
        <f t="shared" si="688"/>
        <v>30.5</v>
      </c>
      <c r="D535" s="888"/>
      <c r="E535" s="888"/>
      <c r="F535" s="888"/>
      <c r="G535" s="889"/>
      <c r="H535" s="680">
        <f t="shared" si="681"/>
        <v>230</v>
      </c>
      <c r="I535" s="1209">
        <f t="shared" si="682"/>
        <v>0</v>
      </c>
      <c r="J535" s="424">
        <f t="shared" ref="J535:AO535" si="845">J165*J$372</f>
        <v>0</v>
      </c>
      <c r="K535" s="424">
        <f t="shared" si="845"/>
        <v>0</v>
      </c>
      <c r="L535" s="424">
        <f t="shared" si="845"/>
        <v>0</v>
      </c>
      <c r="M535" s="424">
        <f t="shared" si="845"/>
        <v>0</v>
      </c>
      <c r="N535" s="424">
        <f t="shared" si="845"/>
        <v>0</v>
      </c>
      <c r="O535" s="424">
        <f t="shared" si="845"/>
        <v>0</v>
      </c>
      <c r="P535" s="424">
        <f t="shared" si="845"/>
        <v>0</v>
      </c>
      <c r="Q535" s="424">
        <f t="shared" si="845"/>
        <v>25.28</v>
      </c>
      <c r="R535" s="424">
        <f t="shared" si="845"/>
        <v>0</v>
      </c>
      <c r="S535" s="424">
        <f t="shared" si="845"/>
        <v>0</v>
      </c>
      <c r="T535" s="424">
        <f t="shared" si="845"/>
        <v>0</v>
      </c>
      <c r="U535" s="424">
        <f t="shared" si="845"/>
        <v>0</v>
      </c>
      <c r="V535" s="424">
        <f t="shared" si="845"/>
        <v>3.55</v>
      </c>
      <c r="W535" s="424">
        <f t="shared" si="845"/>
        <v>0</v>
      </c>
      <c r="X535" s="424">
        <f t="shared" si="845"/>
        <v>0</v>
      </c>
      <c r="Y535" s="424">
        <f t="shared" si="845"/>
        <v>0</v>
      </c>
      <c r="Z535" s="424">
        <f t="shared" si="845"/>
        <v>0</v>
      </c>
      <c r="AA535" s="424">
        <f t="shared" si="845"/>
        <v>0</v>
      </c>
      <c r="AB535" s="424">
        <f t="shared" si="845"/>
        <v>0</v>
      </c>
      <c r="AC535" s="424">
        <f t="shared" si="845"/>
        <v>0</v>
      </c>
      <c r="AD535" s="424">
        <f t="shared" si="845"/>
        <v>0</v>
      </c>
      <c r="AE535" s="424">
        <f t="shared" si="845"/>
        <v>0</v>
      </c>
      <c r="AF535" s="424">
        <f t="shared" si="845"/>
        <v>0</v>
      </c>
      <c r="AG535" s="424">
        <f t="shared" si="845"/>
        <v>0</v>
      </c>
      <c r="AH535" s="424">
        <f t="shared" si="845"/>
        <v>0</v>
      </c>
      <c r="AI535" s="424">
        <f t="shared" si="845"/>
        <v>0</v>
      </c>
      <c r="AJ535" s="424">
        <f t="shared" si="845"/>
        <v>0</v>
      </c>
      <c r="AK535" s="424">
        <f t="shared" si="845"/>
        <v>0</v>
      </c>
      <c r="AL535" s="424">
        <f t="shared" si="845"/>
        <v>0</v>
      </c>
      <c r="AM535" s="424">
        <f t="shared" si="845"/>
        <v>0</v>
      </c>
      <c r="AN535" s="424">
        <f t="shared" si="845"/>
        <v>0</v>
      </c>
      <c r="AO535" s="424">
        <f t="shared" si="845"/>
        <v>0</v>
      </c>
      <c r="AP535" s="424">
        <f t="shared" ref="AP535:BU535" si="846">AP165*AP$372</f>
        <v>0</v>
      </c>
      <c r="AQ535" s="424">
        <f t="shared" si="846"/>
        <v>0</v>
      </c>
      <c r="AR535" s="424">
        <f t="shared" si="846"/>
        <v>0</v>
      </c>
      <c r="AS535" s="424">
        <f t="shared" si="846"/>
        <v>0</v>
      </c>
      <c r="AT535" s="424">
        <f t="shared" si="846"/>
        <v>0</v>
      </c>
      <c r="AU535" s="424">
        <f t="shared" si="846"/>
        <v>0.9</v>
      </c>
      <c r="AV535" s="424">
        <f t="shared" si="846"/>
        <v>0</v>
      </c>
      <c r="AW535" s="424">
        <f t="shared" si="846"/>
        <v>0</v>
      </c>
      <c r="AX535" s="424">
        <f t="shared" si="846"/>
        <v>0</v>
      </c>
      <c r="AY535" s="424">
        <f t="shared" si="846"/>
        <v>0</v>
      </c>
      <c r="AZ535" s="424">
        <f t="shared" si="846"/>
        <v>0</v>
      </c>
      <c r="BA535" s="424">
        <f t="shared" si="846"/>
        <v>0</v>
      </c>
      <c r="BB535" s="424">
        <f t="shared" si="846"/>
        <v>0</v>
      </c>
      <c r="BC535" s="424">
        <f t="shared" si="846"/>
        <v>0</v>
      </c>
      <c r="BD535" s="424">
        <f t="shared" si="846"/>
        <v>0</v>
      </c>
      <c r="BE535" s="424">
        <f t="shared" si="846"/>
        <v>0</v>
      </c>
      <c r="BF535" s="424">
        <f t="shared" si="846"/>
        <v>0</v>
      </c>
      <c r="BG535" s="424">
        <f t="shared" si="846"/>
        <v>0</v>
      </c>
      <c r="BH535" s="424">
        <f t="shared" si="846"/>
        <v>0</v>
      </c>
      <c r="BI535" s="424">
        <f t="shared" si="846"/>
        <v>0</v>
      </c>
      <c r="BJ535" s="424">
        <f t="shared" si="846"/>
        <v>0</v>
      </c>
      <c r="BK535" s="424">
        <f t="shared" si="846"/>
        <v>0</v>
      </c>
      <c r="BL535" s="424">
        <f t="shared" si="846"/>
        <v>0</v>
      </c>
      <c r="BM535" s="424">
        <f t="shared" si="846"/>
        <v>0</v>
      </c>
      <c r="BN535" s="424">
        <f t="shared" si="846"/>
        <v>0</v>
      </c>
      <c r="BO535" s="424">
        <f t="shared" si="846"/>
        <v>0</v>
      </c>
      <c r="BP535" s="424">
        <f t="shared" si="846"/>
        <v>0</v>
      </c>
      <c r="BQ535" s="424">
        <f t="shared" si="846"/>
        <v>0</v>
      </c>
      <c r="BR535" s="424">
        <f t="shared" si="846"/>
        <v>0</v>
      </c>
      <c r="BS535" s="424">
        <f t="shared" si="846"/>
        <v>0.11</v>
      </c>
      <c r="BT535" s="424">
        <f t="shared" si="846"/>
        <v>0</v>
      </c>
      <c r="BU535" s="424">
        <f t="shared" si="846"/>
        <v>0</v>
      </c>
      <c r="BV535" s="424">
        <f t="shared" ref="BV535:DA535" si="847">BV165*BV$372</f>
        <v>0</v>
      </c>
      <c r="BW535" s="424">
        <f t="shared" si="847"/>
        <v>0</v>
      </c>
      <c r="BX535" s="424">
        <f t="shared" si="847"/>
        <v>0</v>
      </c>
      <c r="BY535" s="424">
        <f t="shared" si="847"/>
        <v>0</v>
      </c>
      <c r="BZ535" s="424">
        <f t="shared" si="847"/>
        <v>0</v>
      </c>
      <c r="CA535" s="424">
        <f t="shared" si="847"/>
        <v>0</v>
      </c>
      <c r="CB535" s="424">
        <f t="shared" si="847"/>
        <v>0</v>
      </c>
      <c r="CC535" s="424">
        <f t="shared" si="847"/>
        <v>0</v>
      </c>
      <c r="CD535" s="424">
        <f t="shared" si="847"/>
        <v>0</v>
      </c>
      <c r="CE535" s="424">
        <f t="shared" si="847"/>
        <v>0</v>
      </c>
      <c r="CF535" s="424">
        <f t="shared" si="847"/>
        <v>0.6</v>
      </c>
      <c r="CG535" s="424">
        <f t="shared" si="847"/>
        <v>0</v>
      </c>
      <c r="CH535" s="424">
        <f t="shared" si="847"/>
        <v>0</v>
      </c>
      <c r="CI535" s="424">
        <f t="shared" si="847"/>
        <v>0</v>
      </c>
      <c r="CJ535" s="424">
        <f t="shared" si="847"/>
        <v>0</v>
      </c>
      <c r="CK535" s="424">
        <f t="shared" si="847"/>
        <v>0</v>
      </c>
      <c r="CL535" s="424">
        <f t="shared" si="847"/>
        <v>0</v>
      </c>
      <c r="CM535" s="424">
        <f t="shared" si="847"/>
        <v>0</v>
      </c>
      <c r="CN535" s="424">
        <f t="shared" si="847"/>
        <v>0</v>
      </c>
      <c r="CO535" s="424">
        <f t="shared" si="847"/>
        <v>0</v>
      </c>
      <c r="CP535" s="424">
        <f t="shared" si="847"/>
        <v>0</v>
      </c>
      <c r="CQ535" s="424">
        <f t="shared" si="847"/>
        <v>0</v>
      </c>
      <c r="CR535" s="424">
        <f t="shared" si="847"/>
        <v>0</v>
      </c>
      <c r="CS535" s="424">
        <f t="shared" si="847"/>
        <v>0.01</v>
      </c>
      <c r="CT535" s="424">
        <f t="shared" si="847"/>
        <v>0</v>
      </c>
      <c r="CU535" s="424">
        <f t="shared" si="847"/>
        <v>0</v>
      </c>
      <c r="CV535" s="424">
        <f t="shared" si="847"/>
        <v>0</v>
      </c>
      <c r="CW535" s="424">
        <f t="shared" si="847"/>
        <v>0</v>
      </c>
      <c r="CX535" s="424">
        <f t="shared" si="847"/>
        <v>0</v>
      </c>
      <c r="CY535" s="424">
        <f t="shared" si="847"/>
        <v>0</v>
      </c>
      <c r="CZ535" s="424">
        <f t="shared" si="847"/>
        <v>0</v>
      </c>
      <c r="DA535" s="424">
        <f t="shared" si="847"/>
        <v>0</v>
      </c>
      <c r="DB535" s="424">
        <f t="shared" ref="DB535:EG535" si="848">DB165*DB$372</f>
        <v>0</v>
      </c>
      <c r="DC535" s="424">
        <f t="shared" si="848"/>
        <v>0.05</v>
      </c>
      <c r="DD535" s="424">
        <f t="shared" si="848"/>
        <v>0</v>
      </c>
      <c r="DE535" s="424">
        <f t="shared" si="848"/>
        <v>0</v>
      </c>
      <c r="DF535" s="424">
        <f t="shared" si="848"/>
        <v>0</v>
      </c>
      <c r="DG535" s="424">
        <f t="shared" si="848"/>
        <v>0</v>
      </c>
      <c r="DH535" s="424">
        <f t="shared" si="848"/>
        <v>0</v>
      </c>
      <c r="DI535" s="424">
        <f t="shared" si="848"/>
        <v>0</v>
      </c>
      <c r="DJ535" s="424">
        <f t="shared" si="848"/>
        <v>0</v>
      </c>
      <c r="DK535" s="424">
        <f t="shared" si="848"/>
        <v>0</v>
      </c>
      <c r="DL535" s="424">
        <f t="shared" si="848"/>
        <v>0</v>
      </c>
      <c r="DM535" s="424">
        <f t="shared" si="848"/>
        <v>0</v>
      </c>
      <c r="DN535" s="424">
        <f t="shared" si="848"/>
        <v>0</v>
      </c>
      <c r="DO535" s="424">
        <f t="shared" si="848"/>
        <v>0</v>
      </c>
      <c r="DP535" s="424">
        <f t="shared" si="848"/>
        <v>0</v>
      </c>
      <c r="DQ535" s="424">
        <f t="shared" si="848"/>
        <v>0</v>
      </c>
      <c r="DR535" s="424">
        <f t="shared" si="848"/>
        <v>0</v>
      </c>
      <c r="DS535" s="424">
        <f t="shared" si="848"/>
        <v>0</v>
      </c>
      <c r="DT535" s="424">
        <f t="shared" si="848"/>
        <v>0</v>
      </c>
      <c r="DU535" s="424">
        <f t="shared" si="848"/>
        <v>0</v>
      </c>
      <c r="DV535" s="424">
        <f t="shared" si="848"/>
        <v>0</v>
      </c>
      <c r="DW535" s="424">
        <f t="shared" si="848"/>
        <v>0</v>
      </c>
      <c r="DX535" s="424">
        <f t="shared" si="848"/>
        <v>0</v>
      </c>
      <c r="DY535" s="424">
        <f t="shared" si="848"/>
        <v>0</v>
      </c>
      <c r="DZ535" s="424">
        <f t="shared" si="848"/>
        <v>0</v>
      </c>
      <c r="EA535" s="424">
        <f t="shared" si="848"/>
        <v>0</v>
      </c>
      <c r="EB535" s="424">
        <f t="shared" si="848"/>
        <v>0</v>
      </c>
      <c r="EC535" s="424">
        <f t="shared" si="848"/>
        <v>0</v>
      </c>
      <c r="ED535" s="424">
        <f t="shared" si="848"/>
        <v>0</v>
      </c>
      <c r="EE535" s="424">
        <f t="shared" si="848"/>
        <v>0</v>
      </c>
      <c r="EF535" s="424">
        <f t="shared" si="848"/>
        <v>0</v>
      </c>
      <c r="EG535" s="424">
        <f t="shared" si="848"/>
        <v>0</v>
      </c>
      <c r="EH535" s="424">
        <f t="shared" ref="EH535:EX535" si="849">EH165*EH$372</f>
        <v>0</v>
      </c>
      <c r="EI535" s="424">
        <f t="shared" si="849"/>
        <v>0</v>
      </c>
      <c r="EJ535" s="424">
        <f t="shared" si="849"/>
        <v>0</v>
      </c>
      <c r="EK535" s="424">
        <f t="shared" si="849"/>
        <v>0</v>
      </c>
      <c r="EL535" s="424">
        <f t="shared" si="849"/>
        <v>0</v>
      </c>
      <c r="EM535" s="424">
        <f t="shared" si="849"/>
        <v>0</v>
      </c>
      <c r="EN535" s="424">
        <f t="shared" si="849"/>
        <v>0</v>
      </c>
      <c r="EO535" s="424">
        <f t="shared" si="849"/>
        <v>0</v>
      </c>
      <c r="EP535" s="424">
        <f t="shared" si="849"/>
        <v>0</v>
      </c>
      <c r="EQ535" s="424">
        <f t="shared" si="849"/>
        <v>0</v>
      </c>
      <c r="ER535" s="424">
        <f t="shared" si="849"/>
        <v>0</v>
      </c>
      <c r="ES535" s="424">
        <f t="shared" si="849"/>
        <v>0</v>
      </c>
      <c r="ET535" s="424">
        <f t="shared" si="849"/>
        <v>0</v>
      </c>
      <c r="EU535" s="424">
        <f t="shared" si="849"/>
        <v>0</v>
      </c>
      <c r="EV535" s="424">
        <f t="shared" si="849"/>
        <v>0</v>
      </c>
      <c r="EW535" s="424">
        <f t="shared" si="849"/>
        <v>0</v>
      </c>
      <c r="EX535" s="424">
        <f t="shared" si="849"/>
        <v>0</v>
      </c>
      <c r="EY535" s="425">
        <f t="shared" si="699"/>
        <v>30.5</v>
      </c>
    </row>
    <row r="536" spans="1:166" s="467" customFormat="1" ht="14.7" customHeight="1" x14ac:dyDescent="0.25">
      <c r="A536" s="310">
        <v>162</v>
      </c>
      <c r="B536" s="311" t="str">
        <f t="shared" si="680"/>
        <v>Рыба жареная (2 вариант)</v>
      </c>
      <c r="C536" s="483">
        <f t="shared" si="688"/>
        <v>16.649999999999999</v>
      </c>
      <c r="D536" s="888"/>
      <c r="E536" s="888"/>
      <c r="F536" s="888"/>
      <c r="G536" s="889"/>
      <c r="H536" s="680">
        <f t="shared" si="681"/>
        <v>230</v>
      </c>
      <c r="I536" s="1209">
        <f t="shared" si="682"/>
        <v>-0.01</v>
      </c>
      <c r="J536" s="424">
        <f t="shared" ref="J536:AO536" si="850">J166*J$372</f>
        <v>0</v>
      </c>
      <c r="K536" s="424">
        <f t="shared" si="850"/>
        <v>0</v>
      </c>
      <c r="L536" s="424">
        <f t="shared" si="850"/>
        <v>0</v>
      </c>
      <c r="M536" s="424">
        <f t="shared" si="850"/>
        <v>0</v>
      </c>
      <c r="N536" s="424">
        <f t="shared" si="850"/>
        <v>0</v>
      </c>
      <c r="O536" s="424">
        <f t="shared" si="850"/>
        <v>0</v>
      </c>
      <c r="P536" s="424">
        <f t="shared" si="850"/>
        <v>0</v>
      </c>
      <c r="Q536" s="424">
        <f t="shared" si="850"/>
        <v>13.79</v>
      </c>
      <c r="R536" s="424">
        <f t="shared" si="850"/>
        <v>0</v>
      </c>
      <c r="S536" s="424">
        <f t="shared" si="850"/>
        <v>0</v>
      </c>
      <c r="T536" s="424">
        <f t="shared" si="850"/>
        <v>0</v>
      </c>
      <c r="U536" s="424">
        <f t="shared" si="850"/>
        <v>0</v>
      </c>
      <c r="V536" s="424">
        <f t="shared" si="850"/>
        <v>1.94</v>
      </c>
      <c r="W536" s="424">
        <f t="shared" si="850"/>
        <v>0</v>
      </c>
      <c r="X536" s="424">
        <f t="shared" si="850"/>
        <v>0</v>
      </c>
      <c r="Y536" s="424">
        <f t="shared" si="850"/>
        <v>0</v>
      </c>
      <c r="Z536" s="424">
        <f t="shared" si="850"/>
        <v>0</v>
      </c>
      <c r="AA536" s="424">
        <f t="shared" si="850"/>
        <v>0</v>
      </c>
      <c r="AB536" s="424">
        <f t="shared" si="850"/>
        <v>0</v>
      </c>
      <c r="AC536" s="424">
        <f t="shared" si="850"/>
        <v>0</v>
      </c>
      <c r="AD536" s="424">
        <f t="shared" si="850"/>
        <v>0</v>
      </c>
      <c r="AE536" s="424">
        <f t="shared" si="850"/>
        <v>0</v>
      </c>
      <c r="AF536" s="424">
        <f t="shared" si="850"/>
        <v>0</v>
      </c>
      <c r="AG536" s="424">
        <f t="shared" si="850"/>
        <v>0</v>
      </c>
      <c r="AH536" s="424">
        <f t="shared" si="850"/>
        <v>0</v>
      </c>
      <c r="AI536" s="424">
        <f t="shared" si="850"/>
        <v>0</v>
      </c>
      <c r="AJ536" s="424">
        <f t="shared" si="850"/>
        <v>0</v>
      </c>
      <c r="AK536" s="424">
        <f t="shared" si="850"/>
        <v>0</v>
      </c>
      <c r="AL536" s="424">
        <f t="shared" si="850"/>
        <v>0</v>
      </c>
      <c r="AM536" s="424">
        <f t="shared" si="850"/>
        <v>0</v>
      </c>
      <c r="AN536" s="424">
        <f t="shared" si="850"/>
        <v>0</v>
      </c>
      <c r="AO536" s="424">
        <f t="shared" si="850"/>
        <v>0</v>
      </c>
      <c r="AP536" s="424">
        <f t="shared" ref="AP536:BU536" si="851">AP166*AP$372</f>
        <v>0</v>
      </c>
      <c r="AQ536" s="424">
        <f t="shared" si="851"/>
        <v>0</v>
      </c>
      <c r="AR536" s="424">
        <f t="shared" si="851"/>
        <v>0</v>
      </c>
      <c r="AS536" s="424">
        <f t="shared" si="851"/>
        <v>0</v>
      </c>
      <c r="AT536" s="424">
        <f t="shared" si="851"/>
        <v>0</v>
      </c>
      <c r="AU536" s="424">
        <f t="shared" si="851"/>
        <v>0.49</v>
      </c>
      <c r="AV536" s="424">
        <f t="shared" si="851"/>
        <v>0</v>
      </c>
      <c r="AW536" s="424">
        <f t="shared" si="851"/>
        <v>0</v>
      </c>
      <c r="AX536" s="424">
        <f t="shared" si="851"/>
        <v>0</v>
      </c>
      <c r="AY536" s="424">
        <f t="shared" si="851"/>
        <v>0</v>
      </c>
      <c r="AZ536" s="424">
        <f t="shared" si="851"/>
        <v>0</v>
      </c>
      <c r="BA536" s="424">
        <f t="shared" si="851"/>
        <v>0</v>
      </c>
      <c r="BB536" s="424">
        <f t="shared" si="851"/>
        <v>0</v>
      </c>
      <c r="BC536" s="424">
        <f t="shared" si="851"/>
        <v>0</v>
      </c>
      <c r="BD536" s="424">
        <f t="shared" si="851"/>
        <v>0</v>
      </c>
      <c r="BE536" s="424">
        <f t="shared" si="851"/>
        <v>0</v>
      </c>
      <c r="BF536" s="424">
        <f t="shared" si="851"/>
        <v>0</v>
      </c>
      <c r="BG536" s="424">
        <f t="shared" si="851"/>
        <v>0</v>
      </c>
      <c r="BH536" s="424">
        <f t="shared" si="851"/>
        <v>0</v>
      </c>
      <c r="BI536" s="424">
        <f t="shared" si="851"/>
        <v>0</v>
      </c>
      <c r="BJ536" s="424">
        <f t="shared" si="851"/>
        <v>0</v>
      </c>
      <c r="BK536" s="424">
        <f t="shared" si="851"/>
        <v>0</v>
      </c>
      <c r="BL536" s="424">
        <f t="shared" si="851"/>
        <v>0</v>
      </c>
      <c r="BM536" s="424">
        <f t="shared" si="851"/>
        <v>0</v>
      </c>
      <c r="BN536" s="424">
        <f t="shared" si="851"/>
        <v>0</v>
      </c>
      <c r="BO536" s="424">
        <f t="shared" si="851"/>
        <v>0</v>
      </c>
      <c r="BP536" s="424">
        <f t="shared" si="851"/>
        <v>0</v>
      </c>
      <c r="BQ536" s="424">
        <f t="shared" si="851"/>
        <v>0</v>
      </c>
      <c r="BR536" s="424">
        <f t="shared" si="851"/>
        <v>0</v>
      </c>
      <c r="BS536" s="424">
        <f t="shared" si="851"/>
        <v>0.06</v>
      </c>
      <c r="BT536" s="424">
        <f t="shared" si="851"/>
        <v>0</v>
      </c>
      <c r="BU536" s="424">
        <f t="shared" si="851"/>
        <v>0</v>
      </c>
      <c r="BV536" s="424">
        <f t="shared" ref="BV536:DA536" si="852">BV166*BV$372</f>
        <v>0</v>
      </c>
      <c r="BW536" s="424">
        <f t="shared" si="852"/>
        <v>0</v>
      </c>
      <c r="BX536" s="424">
        <f t="shared" si="852"/>
        <v>0</v>
      </c>
      <c r="BY536" s="424">
        <f t="shared" si="852"/>
        <v>0</v>
      </c>
      <c r="BZ536" s="424">
        <f t="shared" si="852"/>
        <v>0</v>
      </c>
      <c r="CA536" s="424">
        <f t="shared" si="852"/>
        <v>0</v>
      </c>
      <c r="CB536" s="424">
        <f t="shared" si="852"/>
        <v>0</v>
      </c>
      <c r="CC536" s="424">
        <f t="shared" si="852"/>
        <v>0</v>
      </c>
      <c r="CD536" s="424">
        <f t="shared" si="852"/>
        <v>0</v>
      </c>
      <c r="CE536" s="424">
        <f t="shared" si="852"/>
        <v>0</v>
      </c>
      <c r="CF536" s="424">
        <f t="shared" si="852"/>
        <v>0.33</v>
      </c>
      <c r="CG536" s="424">
        <f t="shared" si="852"/>
        <v>0</v>
      </c>
      <c r="CH536" s="424">
        <f t="shared" si="852"/>
        <v>0</v>
      </c>
      <c r="CI536" s="424">
        <f t="shared" si="852"/>
        <v>0</v>
      </c>
      <c r="CJ536" s="424">
        <f t="shared" si="852"/>
        <v>0</v>
      </c>
      <c r="CK536" s="424">
        <f t="shared" si="852"/>
        <v>0</v>
      </c>
      <c r="CL536" s="424">
        <f t="shared" si="852"/>
        <v>0</v>
      </c>
      <c r="CM536" s="424">
        <f t="shared" si="852"/>
        <v>0</v>
      </c>
      <c r="CN536" s="424">
        <f t="shared" si="852"/>
        <v>0</v>
      </c>
      <c r="CO536" s="424">
        <f t="shared" si="852"/>
        <v>0</v>
      </c>
      <c r="CP536" s="424">
        <f t="shared" si="852"/>
        <v>0</v>
      </c>
      <c r="CQ536" s="424">
        <f t="shared" si="852"/>
        <v>0</v>
      </c>
      <c r="CR536" s="424">
        <f t="shared" si="852"/>
        <v>0</v>
      </c>
      <c r="CS536" s="424">
        <f t="shared" si="852"/>
        <v>0.01</v>
      </c>
      <c r="CT536" s="424">
        <f t="shared" si="852"/>
        <v>0</v>
      </c>
      <c r="CU536" s="424">
        <f t="shared" si="852"/>
        <v>0</v>
      </c>
      <c r="CV536" s="424">
        <f t="shared" si="852"/>
        <v>0</v>
      </c>
      <c r="CW536" s="424">
        <f t="shared" si="852"/>
        <v>0</v>
      </c>
      <c r="CX536" s="424">
        <f t="shared" si="852"/>
        <v>0</v>
      </c>
      <c r="CY536" s="424">
        <f t="shared" si="852"/>
        <v>0</v>
      </c>
      <c r="CZ536" s="424">
        <f t="shared" si="852"/>
        <v>0</v>
      </c>
      <c r="DA536" s="424">
        <f t="shared" si="852"/>
        <v>0</v>
      </c>
      <c r="DB536" s="424">
        <f t="shared" ref="DB536:EG536" si="853">DB166*DB$372</f>
        <v>0</v>
      </c>
      <c r="DC536" s="424">
        <f t="shared" si="853"/>
        <v>0.03</v>
      </c>
      <c r="DD536" s="424">
        <f t="shared" si="853"/>
        <v>0</v>
      </c>
      <c r="DE536" s="424">
        <f t="shared" si="853"/>
        <v>0</v>
      </c>
      <c r="DF536" s="424">
        <f t="shared" si="853"/>
        <v>0</v>
      </c>
      <c r="DG536" s="424">
        <f t="shared" si="853"/>
        <v>0</v>
      </c>
      <c r="DH536" s="424">
        <f t="shared" si="853"/>
        <v>0</v>
      </c>
      <c r="DI536" s="424">
        <f t="shared" si="853"/>
        <v>0</v>
      </c>
      <c r="DJ536" s="424">
        <f t="shared" si="853"/>
        <v>0</v>
      </c>
      <c r="DK536" s="424">
        <f t="shared" si="853"/>
        <v>0</v>
      </c>
      <c r="DL536" s="424">
        <f t="shared" si="853"/>
        <v>0</v>
      </c>
      <c r="DM536" s="424">
        <f t="shared" si="853"/>
        <v>0</v>
      </c>
      <c r="DN536" s="424">
        <f t="shared" si="853"/>
        <v>0</v>
      </c>
      <c r="DO536" s="424">
        <f t="shared" si="853"/>
        <v>0</v>
      </c>
      <c r="DP536" s="424">
        <f t="shared" si="853"/>
        <v>0</v>
      </c>
      <c r="DQ536" s="424">
        <f t="shared" si="853"/>
        <v>0</v>
      </c>
      <c r="DR536" s="424">
        <f t="shared" si="853"/>
        <v>0</v>
      </c>
      <c r="DS536" s="424">
        <f t="shared" si="853"/>
        <v>0</v>
      </c>
      <c r="DT536" s="424">
        <f t="shared" si="853"/>
        <v>0</v>
      </c>
      <c r="DU536" s="424">
        <f t="shared" si="853"/>
        <v>0</v>
      </c>
      <c r="DV536" s="424">
        <f t="shared" si="853"/>
        <v>0</v>
      </c>
      <c r="DW536" s="424">
        <f t="shared" si="853"/>
        <v>0</v>
      </c>
      <c r="DX536" s="424">
        <f t="shared" si="853"/>
        <v>0</v>
      </c>
      <c r="DY536" s="424">
        <f t="shared" si="853"/>
        <v>0</v>
      </c>
      <c r="DZ536" s="424">
        <f t="shared" si="853"/>
        <v>0</v>
      </c>
      <c r="EA536" s="424">
        <f t="shared" si="853"/>
        <v>0</v>
      </c>
      <c r="EB536" s="424">
        <f t="shared" si="853"/>
        <v>0</v>
      </c>
      <c r="EC536" s="424">
        <f t="shared" si="853"/>
        <v>0</v>
      </c>
      <c r="ED536" s="424">
        <f t="shared" si="853"/>
        <v>0</v>
      </c>
      <c r="EE536" s="424">
        <f t="shared" si="853"/>
        <v>0</v>
      </c>
      <c r="EF536" s="424">
        <f t="shared" si="853"/>
        <v>0</v>
      </c>
      <c r="EG536" s="424">
        <f t="shared" si="853"/>
        <v>0</v>
      </c>
      <c r="EH536" s="424">
        <f t="shared" ref="EH536:EX536" si="854">EH166*EH$372</f>
        <v>0</v>
      </c>
      <c r="EI536" s="424">
        <f t="shared" si="854"/>
        <v>0</v>
      </c>
      <c r="EJ536" s="424">
        <f t="shared" si="854"/>
        <v>0</v>
      </c>
      <c r="EK536" s="424">
        <f t="shared" si="854"/>
        <v>0</v>
      </c>
      <c r="EL536" s="424">
        <f t="shared" si="854"/>
        <v>0</v>
      </c>
      <c r="EM536" s="424">
        <f t="shared" si="854"/>
        <v>0</v>
      </c>
      <c r="EN536" s="424">
        <f t="shared" si="854"/>
        <v>0</v>
      </c>
      <c r="EO536" s="424">
        <f t="shared" si="854"/>
        <v>0</v>
      </c>
      <c r="EP536" s="424">
        <f t="shared" si="854"/>
        <v>0</v>
      </c>
      <c r="EQ536" s="424">
        <f t="shared" si="854"/>
        <v>0</v>
      </c>
      <c r="ER536" s="424">
        <f t="shared" si="854"/>
        <v>0</v>
      </c>
      <c r="ES536" s="424">
        <f t="shared" si="854"/>
        <v>0</v>
      </c>
      <c r="ET536" s="424">
        <f t="shared" si="854"/>
        <v>0</v>
      </c>
      <c r="EU536" s="424">
        <f t="shared" si="854"/>
        <v>0</v>
      </c>
      <c r="EV536" s="424">
        <f t="shared" si="854"/>
        <v>0</v>
      </c>
      <c r="EW536" s="424">
        <f t="shared" si="854"/>
        <v>0</v>
      </c>
      <c r="EX536" s="424">
        <f t="shared" si="854"/>
        <v>0</v>
      </c>
      <c r="EY536" s="425">
        <f t="shared" si="699"/>
        <v>16.649999999999999</v>
      </c>
      <c r="EZ536" s="616"/>
      <c r="FA536" s="616"/>
      <c r="FB536" s="616"/>
      <c r="FC536" s="616"/>
      <c r="FD536" s="616"/>
      <c r="FE536" s="616"/>
      <c r="FF536" s="616"/>
      <c r="FG536" s="616"/>
      <c r="FH536" s="616"/>
      <c r="FI536" s="616"/>
      <c r="FJ536" s="616"/>
    </row>
    <row r="537" spans="1:166" s="467" customFormat="1" ht="14.7" customHeight="1" x14ac:dyDescent="0.25">
      <c r="A537" s="310">
        <v>163</v>
      </c>
      <c r="B537" s="311" t="str">
        <f t="shared" si="680"/>
        <v>Мясо отварное с соусом сметанным</v>
      </c>
      <c r="C537" s="483">
        <f t="shared" si="688"/>
        <v>65.02</v>
      </c>
      <c r="D537" s="888"/>
      <c r="E537" s="888"/>
      <c r="F537" s="888"/>
      <c r="G537" s="889"/>
      <c r="H537" s="680">
        <f t="shared" si="681"/>
        <v>241</v>
      </c>
      <c r="I537" s="1209">
        <f t="shared" si="682"/>
        <v>-0.01</v>
      </c>
      <c r="J537" s="424">
        <f t="shared" ref="J537:AO537" si="855">J167*J$372</f>
        <v>61.6</v>
      </c>
      <c r="K537" s="424">
        <f t="shared" si="855"/>
        <v>0</v>
      </c>
      <c r="L537" s="424">
        <f t="shared" si="855"/>
        <v>0</v>
      </c>
      <c r="M537" s="424">
        <f t="shared" si="855"/>
        <v>0</v>
      </c>
      <c r="N537" s="424">
        <f t="shared" si="855"/>
        <v>0</v>
      </c>
      <c r="O537" s="424">
        <f t="shared" si="855"/>
        <v>0</v>
      </c>
      <c r="P537" s="424">
        <f t="shared" si="855"/>
        <v>0</v>
      </c>
      <c r="Q537" s="424">
        <f t="shared" si="855"/>
        <v>0</v>
      </c>
      <c r="R537" s="424">
        <f t="shared" si="855"/>
        <v>0</v>
      </c>
      <c r="S537" s="424">
        <f t="shared" si="855"/>
        <v>0</v>
      </c>
      <c r="T537" s="424">
        <f t="shared" si="855"/>
        <v>0</v>
      </c>
      <c r="U537" s="424">
        <f t="shared" si="855"/>
        <v>0</v>
      </c>
      <c r="V537" s="424">
        <f t="shared" si="855"/>
        <v>0</v>
      </c>
      <c r="W537" s="424">
        <f t="shared" si="855"/>
        <v>0</v>
      </c>
      <c r="X537" s="424">
        <f t="shared" si="855"/>
        <v>0</v>
      </c>
      <c r="Y537" s="424">
        <f t="shared" si="855"/>
        <v>1.76</v>
      </c>
      <c r="Z537" s="424">
        <f t="shared" si="855"/>
        <v>0</v>
      </c>
      <c r="AA537" s="424">
        <f t="shared" si="855"/>
        <v>0</v>
      </c>
      <c r="AB537" s="424">
        <f t="shared" si="855"/>
        <v>0</v>
      </c>
      <c r="AC537" s="424">
        <f t="shared" si="855"/>
        <v>0</v>
      </c>
      <c r="AD537" s="424">
        <f t="shared" si="855"/>
        <v>0</v>
      </c>
      <c r="AE537" s="424">
        <f t="shared" si="855"/>
        <v>0</v>
      </c>
      <c r="AF537" s="424">
        <f t="shared" si="855"/>
        <v>0</v>
      </c>
      <c r="AG537" s="424">
        <f t="shared" si="855"/>
        <v>0</v>
      </c>
      <c r="AH537" s="424">
        <f t="shared" si="855"/>
        <v>0</v>
      </c>
      <c r="AI537" s="424">
        <f t="shared" si="855"/>
        <v>0</v>
      </c>
      <c r="AJ537" s="424">
        <f t="shared" si="855"/>
        <v>0</v>
      </c>
      <c r="AK537" s="424">
        <f t="shared" si="855"/>
        <v>0.13</v>
      </c>
      <c r="AL537" s="424">
        <f t="shared" si="855"/>
        <v>0.6</v>
      </c>
      <c r="AM537" s="424">
        <f t="shared" si="855"/>
        <v>0</v>
      </c>
      <c r="AN537" s="424">
        <f t="shared" si="855"/>
        <v>0</v>
      </c>
      <c r="AO537" s="424">
        <f t="shared" si="855"/>
        <v>0</v>
      </c>
      <c r="AP537" s="424">
        <f t="shared" ref="AP537:BU537" si="856">AP167*AP$372</f>
        <v>0</v>
      </c>
      <c r="AQ537" s="424">
        <f t="shared" si="856"/>
        <v>0.15</v>
      </c>
      <c r="AR537" s="424">
        <f t="shared" si="856"/>
        <v>0</v>
      </c>
      <c r="AS537" s="424">
        <f t="shared" si="856"/>
        <v>0</v>
      </c>
      <c r="AT537" s="424">
        <f t="shared" si="856"/>
        <v>0</v>
      </c>
      <c r="AU537" s="424">
        <f t="shared" si="856"/>
        <v>0.6</v>
      </c>
      <c r="AV537" s="424">
        <f t="shared" si="856"/>
        <v>0</v>
      </c>
      <c r="AW537" s="424">
        <f t="shared" si="856"/>
        <v>0</v>
      </c>
      <c r="AX537" s="424">
        <f t="shared" si="856"/>
        <v>0</v>
      </c>
      <c r="AY537" s="424">
        <f t="shared" si="856"/>
        <v>0</v>
      </c>
      <c r="AZ537" s="424">
        <f t="shared" si="856"/>
        <v>0</v>
      </c>
      <c r="BA537" s="424">
        <f t="shared" si="856"/>
        <v>0</v>
      </c>
      <c r="BB537" s="424">
        <f t="shared" si="856"/>
        <v>0</v>
      </c>
      <c r="BC537" s="424">
        <f t="shared" si="856"/>
        <v>0</v>
      </c>
      <c r="BD537" s="424">
        <f t="shared" si="856"/>
        <v>0</v>
      </c>
      <c r="BE537" s="424">
        <f t="shared" si="856"/>
        <v>0</v>
      </c>
      <c r="BF537" s="424">
        <f t="shared" si="856"/>
        <v>0</v>
      </c>
      <c r="BG537" s="424">
        <f t="shared" si="856"/>
        <v>0</v>
      </c>
      <c r="BH537" s="424">
        <f t="shared" si="856"/>
        <v>0</v>
      </c>
      <c r="BI537" s="424">
        <f t="shared" si="856"/>
        <v>0</v>
      </c>
      <c r="BJ537" s="424">
        <f t="shared" si="856"/>
        <v>0</v>
      </c>
      <c r="BK537" s="424">
        <f t="shared" si="856"/>
        <v>0</v>
      </c>
      <c r="BL537" s="424">
        <f t="shared" si="856"/>
        <v>0</v>
      </c>
      <c r="BM537" s="424">
        <f t="shared" si="856"/>
        <v>0</v>
      </c>
      <c r="BN537" s="424">
        <f t="shared" si="856"/>
        <v>0</v>
      </c>
      <c r="BO537" s="424">
        <f t="shared" si="856"/>
        <v>0</v>
      </c>
      <c r="BP537" s="424">
        <f t="shared" si="856"/>
        <v>0</v>
      </c>
      <c r="BQ537" s="424">
        <f t="shared" si="856"/>
        <v>0</v>
      </c>
      <c r="BR537" s="424">
        <f t="shared" si="856"/>
        <v>0</v>
      </c>
      <c r="BS537" s="424">
        <f t="shared" si="856"/>
        <v>0.08</v>
      </c>
      <c r="BT537" s="424">
        <f t="shared" si="856"/>
        <v>0</v>
      </c>
      <c r="BU537" s="424">
        <f t="shared" si="856"/>
        <v>0</v>
      </c>
      <c r="BV537" s="424">
        <f t="shared" ref="BV537:DA537" si="857">BV167*BV$372</f>
        <v>0</v>
      </c>
      <c r="BW537" s="424">
        <f t="shared" si="857"/>
        <v>0</v>
      </c>
      <c r="BX537" s="424">
        <f t="shared" si="857"/>
        <v>0</v>
      </c>
      <c r="BY537" s="424">
        <f t="shared" si="857"/>
        <v>0</v>
      </c>
      <c r="BZ537" s="424">
        <f t="shared" si="857"/>
        <v>0</v>
      </c>
      <c r="CA537" s="424">
        <f t="shared" si="857"/>
        <v>0</v>
      </c>
      <c r="CB537" s="424">
        <f t="shared" si="857"/>
        <v>0</v>
      </c>
      <c r="CC537" s="424">
        <f t="shared" si="857"/>
        <v>0</v>
      </c>
      <c r="CD537" s="424">
        <f t="shared" si="857"/>
        <v>0</v>
      </c>
      <c r="CE537" s="424">
        <f t="shared" si="857"/>
        <v>0</v>
      </c>
      <c r="CF537" s="424">
        <f t="shared" si="857"/>
        <v>0</v>
      </c>
      <c r="CG537" s="424">
        <f t="shared" si="857"/>
        <v>0</v>
      </c>
      <c r="CH537" s="424">
        <f t="shared" si="857"/>
        <v>0</v>
      </c>
      <c r="CI537" s="424">
        <f t="shared" si="857"/>
        <v>0</v>
      </c>
      <c r="CJ537" s="424">
        <f t="shared" si="857"/>
        <v>0</v>
      </c>
      <c r="CK537" s="424">
        <f t="shared" si="857"/>
        <v>0</v>
      </c>
      <c r="CL537" s="424">
        <f t="shared" si="857"/>
        <v>0</v>
      </c>
      <c r="CM537" s="424">
        <f t="shared" si="857"/>
        <v>0</v>
      </c>
      <c r="CN537" s="424">
        <f t="shared" si="857"/>
        <v>0</v>
      </c>
      <c r="CO537" s="424">
        <f t="shared" si="857"/>
        <v>0</v>
      </c>
      <c r="CP537" s="424">
        <f t="shared" si="857"/>
        <v>0</v>
      </c>
      <c r="CQ537" s="424">
        <f t="shared" si="857"/>
        <v>0</v>
      </c>
      <c r="CR537" s="424">
        <f t="shared" si="857"/>
        <v>0</v>
      </c>
      <c r="CS537" s="424">
        <f t="shared" si="857"/>
        <v>0.02</v>
      </c>
      <c r="CT537" s="424">
        <f t="shared" si="857"/>
        <v>0</v>
      </c>
      <c r="CU537" s="424">
        <f t="shared" si="857"/>
        <v>0</v>
      </c>
      <c r="CV537" s="424">
        <f t="shared" si="857"/>
        <v>0</v>
      </c>
      <c r="CW537" s="424">
        <f t="shared" si="857"/>
        <v>0</v>
      </c>
      <c r="CX537" s="424">
        <f t="shared" si="857"/>
        <v>0</v>
      </c>
      <c r="CY537" s="424">
        <f t="shared" si="857"/>
        <v>0</v>
      </c>
      <c r="CZ537" s="424">
        <f t="shared" si="857"/>
        <v>0</v>
      </c>
      <c r="DA537" s="424">
        <f t="shared" si="857"/>
        <v>0</v>
      </c>
      <c r="DB537" s="424">
        <f t="shared" ref="DB537:EG537" si="858">DB167*DB$372</f>
        <v>0</v>
      </c>
      <c r="DC537" s="424">
        <f t="shared" si="858"/>
        <v>0.08</v>
      </c>
      <c r="DD537" s="424">
        <f t="shared" si="858"/>
        <v>0</v>
      </c>
      <c r="DE537" s="424">
        <f t="shared" si="858"/>
        <v>0</v>
      </c>
      <c r="DF537" s="424">
        <f t="shared" si="858"/>
        <v>0</v>
      </c>
      <c r="DG537" s="424">
        <f t="shared" si="858"/>
        <v>0</v>
      </c>
      <c r="DH537" s="424">
        <f t="shared" si="858"/>
        <v>0</v>
      </c>
      <c r="DI537" s="424">
        <f t="shared" si="858"/>
        <v>0</v>
      </c>
      <c r="DJ537" s="424">
        <f t="shared" si="858"/>
        <v>0</v>
      </c>
      <c r="DK537" s="424">
        <f t="shared" si="858"/>
        <v>0</v>
      </c>
      <c r="DL537" s="424">
        <f t="shared" si="858"/>
        <v>0</v>
      </c>
      <c r="DM537" s="424">
        <f t="shared" si="858"/>
        <v>0</v>
      </c>
      <c r="DN537" s="424">
        <f t="shared" si="858"/>
        <v>0</v>
      </c>
      <c r="DO537" s="424">
        <f t="shared" si="858"/>
        <v>0</v>
      </c>
      <c r="DP537" s="424">
        <f t="shared" si="858"/>
        <v>0</v>
      </c>
      <c r="DQ537" s="424">
        <f t="shared" si="858"/>
        <v>0</v>
      </c>
      <c r="DR537" s="424">
        <f t="shared" si="858"/>
        <v>0</v>
      </c>
      <c r="DS537" s="424">
        <f t="shared" si="858"/>
        <v>0</v>
      </c>
      <c r="DT537" s="424">
        <f t="shared" si="858"/>
        <v>0</v>
      </c>
      <c r="DU537" s="424">
        <f t="shared" si="858"/>
        <v>0</v>
      </c>
      <c r="DV537" s="424">
        <f t="shared" si="858"/>
        <v>0</v>
      </c>
      <c r="DW537" s="424">
        <f t="shared" si="858"/>
        <v>0</v>
      </c>
      <c r="DX537" s="424">
        <f t="shared" si="858"/>
        <v>0</v>
      </c>
      <c r="DY537" s="424">
        <f t="shared" si="858"/>
        <v>0</v>
      </c>
      <c r="DZ537" s="424">
        <f t="shared" si="858"/>
        <v>0</v>
      </c>
      <c r="EA537" s="424">
        <f t="shared" si="858"/>
        <v>0</v>
      </c>
      <c r="EB537" s="424">
        <f t="shared" si="858"/>
        <v>0</v>
      </c>
      <c r="EC537" s="424">
        <f t="shared" si="858"/>
        <v>0</v>
      </c>
      <c r="ED537" s="424">
        <f t="shared" si="858"/>
        <v>0</v>
      </c>
      <c r="EE537" s="424">
        <f t="shared" si="858"/>
        <v>0</v>
      </c>
      <c r="EF537" s="424">
        <f t="shared" si="858"/>
        <v>0</v>
      </c>
      <c r="EG537" s="424">
        <f t="shared" si="858"/>
        <v>0</v>
      </c>
      <c r="EH537" s="424">
        <f t="shared" ref="EH537:EX537" si="859">EH167*EH$372</f>
        <v>0</v>
      </c>
      <c r="EI537" s="424">
        <f t="shared" si="859"/>
        <v>0</v>
      </c>
      <c r="EJ537" s="424">
        <f t="shared" si="859"/>
        <v>0</v>
      </c>
      <c r="EK537" s="424">
        <f t="shared" si="859"/>
        <v>0</v>
      </c>
      <c r="EL537" s="424">
        <f t="shared" si="859"/>
        <v>0</v>
      </c>
      <c r="EM537" s="424">
        <f t="shared" si="859"/>
        <v>0</v>
      </c>
      <c r="EN537" s="424">
        <f t="shared" si="859"/>
        <v>0</v>
      </c>
      <c r="EO537" s="424">
        <f t="shared" si="859"/>
        <v>0</v>
      </c>
      <c r="EP537" s="424">
        <f t="shared" si="859"/>
        <v>0</v>
      </c>
      <c r="EQ537" s="424">
        <f t="shared" si="859"/>
        <v>0</v>
      </c>
      <c r="ER537" s="424">
        <f t="shared" si="859"/>
        <v>0</v>
      </c>
      <c r="ES537" s="424">
        <f t="shared" si="859"/>
        <v>0</v>
      </c>
      <c r="ET537" s="424">
        <f t="shared" si="859"/>
        <v>0</v>
      </c>
      <c r="EU537" s="424">
        <f t="shared" si="859"/>
        <v>0</v>
      </c>
      <c r="EV537" s="424">
        <f t="shared" si="859"/>
        <v>0</v>
      </c>
      <c r="EW537" s="424">
        <f t="shared" si="859"/>
        <v>0</v>
      </c>
      <c r="EX537" s="424">
        <f t="shared" si="859"/>
        <v>0</v>
      </c>
      <c r="EY537" s="425">
        <f t="shared" si="699"/>
        <v>65.02</v>
      </c>
      <c r="EZ537" s="616"/>
      <c r="FA537" s="616"/>
      <c r="FB537" s="616"/>
      <c r="FC537" s="616"/>
      <c r="FD537" s="616"/>
      <c r="FE537" s="616"/>
      <c r="FF537" s="616"/>
      <c r="FG537" s="616"/>
      <c r="FH537" s="616"/>
      <c r="FI537" s="616"/>
      <c r="FJ537" s="616"/>
    </row>
    <row r="538" spans="1:166" s="486" customFormat="1" ht="14.7" customHeight="1" x14ac:dyDescent="0.25">
      <c r="A538" s="310">
        <v>164</v>
      </c>
      <c r="B538" s="311" t="str">
        <f t="shared" si="680"/>
        <v>Сосиски отварные со сливочным маслом</v>
      </c>
      <c r="C538" s="483">
        <f t="shared" si="688"/>
        <v>22.15</v>
      </c>
      <c r="D538" s="888"/>
      <c r="E538" s="888"/>
      <c r="F538" s="888"/>
      <c r="G538" s="889"/>
      <c r="H538" s="680">
        <f t="shared" si="681"/>
        <v>243</v>
      </c>
      <c r="I538" s="1209">
        <f t="shared" si="682"/>
        <v>0</v>
      </c>
      <c r="J538" s="424">
        <f t="shared" ref="J538:AO538" si="860">J168*J$372</f>
        <v>0</v>
      </c>
      <c r="K538" s="424">
        <f t="shared" si="860"/>
        <v>0</v>
      </c>
      <c r="L538" s="424">
        <f t="shared" si="860"/>
        <v>0</v>
      </c>
      <c r="M538" s="424">
        <f t="shared" si="860"/>
        <v>0</v>
      </c>
      <c r="N538" s="424">
        <f t="shared" si="860"/>
        <v>18.53</v>
      </c>
      <c r="O538" s="424">
        <f t="shared" si="860"/>
        <v>0</v>
      </c>
      <c r="P538" s="424">
        <f t="shared" si="860"/>
        <v>0</v>
      </c>
      <c r="Q538" s="424">
        <f t="shared" si="860"/>
        <v>0</v>
      </c>
      <c r="R538" s="424">
        <f t="shared" si="860"/>
        <v>0</v>
      </c>
      <c r="S538" s="424">
        <f t="shared" si="860"/>
        <v>0</v>
      </c>
      <c r="T538" s="424">
        <f t="shared" si="860"/>
        <v>0</v>
      </c>
      <c r="U538" s="424">
        <f t="shared" si="860"/>
        <v>0</v>
      </c>
      <c r="V538" s="424">
        <f t="shared" si="860"/>
        <v>3.55</v>
      </c>
      <c r="W538" s="424">
        <f t="shared" si="860"/>
        <v>0</v>
      </c>
      <c r="X538" s="424">
        <f t="shared" si="860"/>
        <v>0</v>
      </c>
      <c r="Y538" s="424">
        <f t="shared" si="860"/>
        <v>0</v>
      </c>
      <c r="Z538" s="424">
        <f t="shared" si="860"/>
        <v>0</v>
      </c>
      <c r="AA538" s="424">
        <f t="shared" si="860"/>
        <v>0</v>
      </c>
      <c r="AB538" s="424">
        <f t="shared" si="860"/>
        <v>0</v>
      </c>
      <c r="AC538" s="424">
        <f t="shared" si="860"/>
        <v>0</v>
      </c>
      <c r="AD538" s="424">
        <f t="shared" si="860"/>
        <v>0</v>
      </c>
      <c r="AE538" s="424">
        <f t="shared" si="860"/>
        <v>0</v>
      </c>
      <c r="AF538" s="424">
        <f t="shared" si="860"/>
        <v>0</v>
      </c>
      <c r="AG538" s="424">
        <f t="shared" si="860"/>
        <v>0</v>
      </c>
      <c r="AH538" s="424">
        <f t="shared" si="860"/>
        <v>0</v>
      </c>
      <c r="AI538" s="424">
        <f t="shared" si="860"/>
        <v>0</v>
      </c>
      <c r="AJ538" s="424">
        <f t="shared" si="860"/>
        <v>0</v>
      </c>
      <c r="AK538" s="424">
        <f t="shared" si="860"/>
        <v>0</v>
      </c>
      <c r="AL538" s="424">
        <f t="shared" si="860"/>
        <v>0</v>
      </c>
      <c r="AM538" s="424">
        <f t="shared" si="860"/>
        <v>0</v>
      </c>
      <c r="AN538" s="424">
        <f t="shared" si="860"/>
        <v>0</v>
      </c>
      <c r="AO538" s="424">
        <f t="shared" si="860"/>
        <v>0</v>
      </c>
      <c r="AP538" s="424">
        <f t="shared" ref="AP538:BU538" si="861">AP168*AP$372</f>
        <v>0</v>
      </c>
      <c r="AQ538" s="424">
        <f t="shared" si="861"/>
        <v>0</v>
      </c>
      <c r="AR538" s="424">
        <f t="shared" si="861"/>
        <v>0</v>
      </c>
      <c r="AS538" s="424">
        <f t="shared" si="861"/>
        <v>0</v>
      </c>
      <c r="AT538" s="424">
        <f t="shared" si="861"/>
        <v>0</v>
      </c>
      <c r="AU538" s="424">
        <f t="shared" si="861"/>
        <v>0</v>
      </c>
      <c r="AV538" s="424">
        <f t="shared" si="861"/>
        <v>0</v>
      </c>
      <c r="AW538" s="424">
        <f t="shared" si="861"/>
        <v>0</v>
      </c>
      <c r="AX538" s="424">
        <f t="shared" si="861"/>
        <v>0</v>
      </c>
      <c r="AY538" s="424">
        <f t="shared" si="861"/>
        <v>0</v>
      </c>
      <c r="AZ538" s="424">
        <f t="shared" si="861"/>
        <v>0</v>
      </c>
      <c r="BA538" s="424">
        <f t="shared" si="861"/>
        <v>0</v>
      </c>
      <c r="BB538" s="424">
        <f t="shared" si="861"/>
        <v>0</v>
      </c>
      <c r="BC538" s="424">
        <f t="shared" si="861"/>
        <v>0</v>
      </c>
      <c r="BD538" s="424">
        <f t="shared" si="861"/>
        <v>0</v>
      </c>
      <c r="BE538" s="424">
        <f t="shared" si="861"/>
        <v>0</v>
      </c>
      <c r="BF538" s="424">
        <f t="shared" si="861"/>
        <v>0</v>
      </c>
      <c r="BG538" s="424">
        <f t="shared" si="861"/>
        <v>0</v>
      </c>
      <c r="BH538" s="424">
        <f t="shared" si="861"/>
        <v>0</v>
      </c>
      <c r="BI538" s="424">
        <f t="shared" si="861"/>
        <v>0</v>
      </c>
      <c r="BJ538" s="424">
        <f t="shared" si="861"/>
        <v>0</v>
      </c>
      <c r="BK538" s="424">
        <f t="shared" si="861"/>
        <v>0</v>
      </c>
      <c r="BL538" s="424">
        <f t="shared" si="861"/>
        <v>0</v>
      </c>
      <c r="BM538" s="424">
        <f t="shared" si="861"/>
        <v>0</v>
      </c>
      <c r="BN538" s="424">
        <f t="shared" si="861"/>
        <v>0</v>
      </c>
      <c r="BO538" s="424">
        <f t="shared" si="861"/>
        <v>0</v>
      </c>
      <c r="BP538" s="424">
        <f t="shared" si="861"/>
        <v>0</v>
      </c>
      <c r="BQ538" s="424">
        <f t="shared" si="861"/>
        <v>0</v>
      </c>
      <c r="BR538" s="424">
        <f t="shared" si="861"/>
        <v>0</v>
      </c>
      <c r="BS538" s="424">
        <f t="shared" si="861"/>
        <v>0</v>
      </c>
      <c r="BT538" s="424">
        <f t="shared" si="861"/>
        <v>0</v>
      </c>
      <c r="BU538" s="424">
        <f t="shared" si="861"/>
        <v>0</v>
      </c>
      <c r="BV538" s="424">
        <f t="shared" ref="BV538:DA538" si="862">BV168*BV$372</f>
        <v>0</v>
      </c>
      <c r="BW538" s="424">
        <f t="shared" si="862"/>
        <v>0</v>
      </c>
      <c r="BX538" s="424">
        <f t="shared" si="862"/>
        <v>0</v>
      </c>
      <c r="BY538" s="424">
        <f t="shared" si="862"/>
        <v>0</v>
      </c>
      <c r="BZ538" s="424">
        <f t="shared" si="862"/>
        <v>0</v>
      </c>
      <c r="CA538" s="424">
        <f t="shared" si="862"/>
        <v>0</v>
      </c>
      <c r="CB538" s="424">
        <f t="shared" si="862"/>
        <v>0</v>
      </c>
      <c r="CC538" s="424">
        <f t="shared" si="862"/>
        <v>0</v>
      </c>
      <c r="CD538" s="424">
        <f t="shared" si="862"/>
        <v>0</v>
      </c>
      <c r="CE538" s="424">
        <f t="shared" si="862"/>
        <v>0</v>
      </c>
      <c r="CF538" s="424">
        <f t="shared" si="862"/>
        <v>0</v>
      </c>
      <c r="CG538" s="424">
        <f t="shared" si="862"/>
        <v>0</v>
      </c>
      <c r="CH538" s="424">
        <f t="shared" si="862"/>
        <v>0</v>
      </c>
      <c r="CI538" s="424">
        <f t="shared" si="862"/>
        <v>0</v>
      </c>
      <c r="CJ538" s="424">
        <f t="shared" si="862"/>
        <v>0</v>
      </c>
      <c r="CK538" s="424">
        <f t="shared" si="862"/>
        <v>0</v>
      </c>
      <c r="CL538" s="424">
        <f t="shared" si="862"/>
        <v>0</v>
      </c>
      <c r="CM538" s="424">
        <f t="shared" si="862"/>
        <v>0</v>
      </c>
      <c r="CN538" s="424">
        <f t="shared" si="862"/>
        <v>0</v>
      </c>
      <c r="CO538" s="424">
        <f t="shared" si="862"/>
        <v>0</v>
      </c>
      <c r="CP538" s="424">
        <f t="shared" si="862"/>
        <v>0</v>
      </c>
      <c r="CQ538" s="424">
        <f t="shared" si="862"/>
        <v>0</v>
      </c>
      <c r="CR538" s="424">
        <f t="shared" si="862"/>
        <v>0</v>
      </c>
      <c r="CS538" s="424">
        <f t="shared" si="862"/>
        <v>0</v>
      </c>
      <c r="CT538" s="424">
        <f t="shared" si="862"/>
        <v>0</v>
      </c>
      <c r="CU538" s="424">
        <f t="shared" si="862"/>
        <v>0</v>
      </c>
      <c r="CV538" s="424">
        <f t="shared" si="862"/>
        <v>0</v>
      </c>
      <c r="CW538" s="424">
        <f t="shared" si="862"/>
        <v>0</v>
      </c>
      <c r="CX538" s="424">
        <f t="shared" si="862"/>
        <v>0</v>
      </c>
      <c r="CY538" s="424">
        <f t="shared" si="862"/>
        <v>0</v>
      </c>
      <c r="CZ538" s="424">
        <f t="shared" si="862"/>
        <v>0</v>
      </c>
      <c r="DA538" s="424">
        <f t="shared" si="862"/>
        <v>0</v>
      </c>
      <c r="DB538" s="424">
        <f t="shared" ref="DB538:EG538" si="863">DB168*DB$372</f>
        <v>0</v>
      </c>
      <c r="DC538" s="424">
        <f t="shared" si="863"/>
        <v>7.0000000000000007E-2</v>
      </c>
      <c r="DD538" s="424">
        <f t="shared" si="863"/>
        <v>0</v>
      </c>
      <c r="DE538" s="424">
        <f t="shared" si="863"/>
        <v>0</v>
      </c>
      <c r="DF538" s="424">
        <f t="shared" si="863"/>
        <v>0</v>
      </c>
      <c r="DG538" s="424">
        <f t="shared" si="863"/>
        <v>0</v>
      </c>
      <c r="DH538" s="424">
        <f t="shared" si="863"/>
        <v>0</v>
      </c>
      <c r="DI538" s="424">
        <f t="shared" si="863"/>
        <v>0</v>
      </c>
      <c r="DJ538" s="424">
        <f t="shared" si="863"/>
        <v>0</v>
      </c>
      <c r="DK538" s="424">
        <f t="shared" si="863"/>
        <v>0</v>
      </c>
      <c r="DL538" s="424">
        <f t="shared" si="863"/>
        <v>0</v>
      </c>
      <c r="DM538" s="424">
        <f t="shared" si="863"/>
        <v>0</v>
      </c>
      <c r="DN538" s="424">
        <f t="shared" si="863"/>
        <v>0</v>
      </c>
      <c r="DO538" s="424">
        <f t="shared" si="863"/>
        <v>0</v>
      </c>
      <c r="DP538" s="424">
        <f t="shared" si="863"/>
        <v>0</v>
      </c>
      <c r="DQ538" s="424">
        <f t="shared" si="863"/>
        <v>0</v>
      </c>
      <c r="DR538" s="424">
        <f t="shared" si="863"/>
        <v>0</v>
      </c>
      <c r="DS538" s="424">
        <f t="shared" si="863"/>
        <v>0</v>
      </c>
      <c r="DT538" s="424">
        <f t="shared" si="863"/>
        <v>0</v>
      </c>
      <c r="DU538" s="424">
        <f t="shared" si="863"/>
        <v>0</v>
      </c>
      <c r="DV538" s="424">
        <f t="shared" si="863"/>
        <v>0</v>
      </c>
      <c r="DW538" s="424">
        <f t="shared" si="863"/>
        <v>0</v>
      </c>
      <c r="DX538" s="424">
        <f t="shared" si="863"/>
        <v>0</v>
      </c>
      <c r="DY538" s="424">
        <f t="shared" si="863"/>
        <v>0</v>
      </c>
      <c r="DZ538" s="424">
        <f t="shared" si="863"/>
        <v>0</v>
      </c>
      <c r="EA538" s="424">
        <f t="shared" si="863"/>
        <v>0</v>
      </c>
      <c r="EB538" s="424">
        <f t="shared" si="863"/>
        <v>0</v>
      </c>
      <c r="EC538" s="424">
        <f t="shared" si="863"/>
        <v>0</v>
      </c>
      <c r="ED538" s="424">
        <f t="shared" si="863"/>
        <v>0</v>
      </c>
      <c r="EE538" s="424">
        <f t="shared" si="863"/>
        <v>0</v>
      </c>
      <c r="EF538" s="424">
        <f t="shared" si="863"/>
        <v>0</v>
      </c>
      <c r="EG538" s="424">
        <f t="shared" si="863"/>
        <v>0</v>
      </c>
      <c r="EH538" s="424">
        <f t="shared" ref="EH538:EX538" si="864">EH168*EH$372</f>
        <v>0</v>
      </c>
      <c r="EI538" s="424">
        <f t="shared" si="864"/>
        <v>0</v>
      </c>
      <c r="EJ538" s="424">
        <f t="shared" si="864"/>
        <v>0</v>
      </c>
      <c r="EK538" s="424">
        <f t="shared" si="864"/>
        <v>0</v>
      </c>
      <c r="EL538" s="424">
        <f t="shared" si="864"/>
        <v>0</v>
      </c>
      <c r="EM538" s="424">
        <f t="shared" si="864"/>
        <v>0</v>
      </c>
      <c r="EN538" s="424">
        <f t="shared" si="864"/>
        <v>0</v>
      </c>
      <c r="EO538" s="424">
        <f t="shared" si="864"/>
        <v>0</v>
      </c>
      <c r="EP538" s="424">
        <f t="shared" si="864"/>
        <v>0</v>
      </c>
      <c r="EQ538" s="424">
        <f t="shared" si="864"/>
        <v>0</v>
      </c>
      <c r="ER538" s="424">
        <f t="shared" si="864"/>
        <v>0</v>
      </c>
      <c r="ES538" s="424">
        <f t="shared" si="864"/>
        <v>0</v>
      </c>
      <c r="ET538" s="424">
        <f t="shared" si="864"/>
        <v>0</v>
      </c>
      <c r="EU538" s="424">
        <f t="shared" si="864"/>
        <v>0</v>
      </c>
      <c r="EV538" s="424">
        <f t="shared" si="864"/>
        <v>0</v>
      </c>
      <c r="EW538" s="424">
        <f t="shared" si="864"/>
        <v>0</v>
      </c>
      <c r="EX538" s="424">
        <f t="shared" si="864"/>
        <v>0</v>
      </c>
      <c r="EY538" s="425">
        <f t="shared" si="699"/>
        <v>22.15</v>
      </c>
      <c r="EZ538" s="616"/>
      <c r="FA538" s="616"/>
      <c r="FB538" s="616"/>
      <c r="FC538" s="616"/>
      <c r="FD538" s="616"/>
      <c r="FE538" s="616"/>
      <c r="FF538" s="616"/>
      <c r="FG538" s="616"/>
      <c r="FH538" s="616"/>
      <c r="FI538" s="616"/>
      <c r="FJ538" s="616"/>
    </row>
    <row r="539" spans="1:166" s="467" customFormat="1" ht="14.7" customHeight="1" x14ac:dyDescent="0.25">
      <c r="A539" s="310">
        <v>165</v>
      </c>
      <c r="B539" s="311" t="str">
        <f t="shared" si="680"/>
        <v>Плов из отварной говядины</v>
      </c>
      <c r="C539" s="483">
        <f t="shared" si="688"/>
        <v>66.400000000000006</v>
      </c>
      <c r="D539" s="888"/>
      <c r="E539" s="888"/>
      <c r="F539" s="888"/>
      <c r="G539" s="889"/>
      <c r="H539" s="680">
        <f t="shared" si="681"/>
        <v>244</v>
      </c>
      <c r="I539" s="1209">
        <f t="shared" si="682"/>
        <v>0</v>
      </c>
      <c r="J539" s="424">
        <f t="shared" ref="J539:AO539" si="865">J169*J$372</f>
        <v>61.6</v>
      </c>
      <c r="K539" s="424">
        <f t="shared" si="865"/>
        <v>0</v>
      </c>
      <c r="L539" s="424">
        <f t="shared" si="865"/>
        <v>0</v>
      </c>
      <c r="M539" s="424">
        <f t="shared" si="865"/>
        <v>0</v>
      </c>
      <c r="N539" s="424">
        <f t="shared" si="865"/>
        <v>0</v>
      </c>
      <c r="O539" s="424">
        <f t="shared" si="865"/>
        <v>0</v>
      </c>
      <c r="P539" s="424">
        <f t="shared" si="865"/>
        <v>0</v>
      </c>
      <c r="Q539" s="424">
        <f t="shared" si="865"/>
        <v>0</v>
      </c>
      <c r="R539" s="424">
        <f t="shared" si="865"/>
        <v>0</v>
      </c>
      <c r="S539" s="424">
        <f t="shared" si="865"/>
        <v>0</v>
      </c>
      <c r="T539" s="424">
        <f t="shared" si="865"/>
        <v>0</v>
      </c>
      <c r="U539" s="424">
        <f t="shared" si="865"/>
        <v>0</v>
      </c>
      <c r="V539" s="424">
        <f t="shared" si="865"/>
        <v>0</v>
      </c>
      <c r="W539" s="424">
        <f t="shared" si="865"/>
        <v>0</v>
      </c>
      <c r="X539" s="424">
        <f t="shared" si="865"/>
        <v>0</v>
      </c>
      <c r="Y539" s="424">
        <f t="shared" si="865"/>
        <v>0</v>
      </c>
      <c r="Z539" s="424">
        <f t="shared" si="865"/>
        <v>0</v>
      </c>
      <c r="AA539" s="424">
        <f t="shared" si="865"/>
        <v>0</v>
      </c>
      <c r="AB539" s="424">
        <f t="shared" si="865"/>
        <v>0</v>
      </c>
      <c r="AC539" s="424">
        <f t="shared" si="865"/>
        <v>0</v>
      </c>
      <c r="AD539" s="424">
        <f t="shared" si="865"/>
        <v>0</v>
      </c>
      <c r="AE539" s="424">
        <f t="shared" si="865"/>
        <v>0</v>
      </c>
      <c r="AF539" s="424">
        <f t="shared" si="865"/>
        <v>0</v>
      </c>
      <c r="AG539" s="424">
        <f t="shared" si="865"/>
        <v>0</v>
      </c>
      <c r="AH539" s="424">
        <f t="shared" si="865"/>
        <v>0</v>
      </c>
      <c r="AI539" s="424">
        <f t="shared" si="865"/>
        <v>0</v>
      </c>
      <c r="AJ539" s="424">
        <f t="shared" si="865"/>
        <v>0</v>
      </c>
      <c r="AK539" s="424">
        <f t="shared" si="865"/>
        <v>0.3</v>
      </c>
      <c r="AL539" s="424">
        <f t="shared" si="865"/>
        <v>0</v>
      </c>
      <c r="AM539" s="424">
        <f t="shared" si="865"/>
        <v>0</v>
      </c>
      <c r="AN539" s="424">
        <f t="shared" si="865"/>
        <v>0</v>
      </c>
      <c r="AO539" s="424">
        <f t="shared" si="865"/>
        <v>0</v>
      </c>
      <c r="AP539" s="424">
        <f t="shared" ref="AP539:BU539" si="866">AP169*AP$372</f>
        <v>0</v>
      </c>
      <c r="AQ539" s="424">
        <f t="shared" si="866"/>
        <v>0.5</v>
      </c>
      <c r="AR539" s="424">
        <f t="shared" si="866"/>
        <v>0</v>
      </c>
      <c r="AS539" s="424">
        <f t="shared" si="866"/>
        <v>0</v>
      </c>
      <c r="AT539" s="424">
        <f t="shared" si="866"/>
        <v>0</v>
      </c>
      <c r="AU539" s="424">
        <f t="shared" si="866"/>
        <v>0</v>
      </c>
      <c r="AV539" s="424">
        <f t="shared" si="866"/>
        <v>0</v>
      </c>
      <c r="AW539" s="424">
        <f t="shared" si="866"/>
        <v>0</v>
      </c>
      <c r="AX539" s="424">
        <f t="shared" si="866"/>
        <v>0</v>
      </c>
      <c r="AY539" s="424">
        <f t="shared" si="866"/>
        <v>0</v>
      </c>
      <c r="AZ539" s="424">
        <f t="shared" si="866"/>
        <v>0</v>
      </c>
      <c r="BA539" s="424">
        <f t="shared" si="866"/>
        <v>0</v>
      </c>
      <c r="BB539" s="424">
        <f t="shared" si="866"/>
        <v>0</v>
      </c>
      <c r="BC539" s="424">
        <f t="shared" si="866"/>
        <v>0</v>
      </c>
      <c r="BD539" s="424">
        <f t="shared" si="866"/>
        <v>0</v>
      </c>
      <c r="BE539" s="424">
        <f t="shared" si="866"/>
        <v>0</v>
      </c>
      <c r="BF539" s="424">
        <f t="shared" si="866"/>
        <v>0</v>
      </c>
      <c r="BG539" s="424">
        <f t="shared" si="866"/>
        <v>0</v>
      </c>
      <c r="BH539" s="424">
        <f t="shared" si="866"/>
        <v>0</v>
      </c>
      <c r="BI539" s="424">
        <f t="shared" si="866"/>
        <v>0</v>
      </c>
      <c r="BJ539" s="424">
        <f t="shared" si="866"/>
        <v>0</v>
      </c>
      <c r="BK539" s="424">
        <f t="shared" si="866"/>
        <v>0</v>
      </c>
      <c r="BL539" s="424">
        <f t="shared" si="866"/>
        <v>0</v>
      </c>
      <c r="BM539" s="424">
        <f t="shared" si="866"/>
        <v>0</v>
      </c>
      <c r="BN539" s="424">
        <f t="shared" si="866"/>
        <v>0</v>
      </c>
      <c r="BO539" s="424">
        <f t="shared" si="866"/>
        <v>0</v>
      </c>
      <c r="BP539" s="424">
        <f t="shared" si="866"/>
        <v>0</v>
      </c>
      <c r="BQ539" s="424">
        <f t="shared" si="866"/>
        <v>0</v>
      </c>
      <c r="BR539" s="424">
        <f t="shared" si="866"/>
        <v>0</v>
      </c>
      <c r="BS539" s="424">
        <f t="shared" si="866"/>
        <v>0</v>
      </c>
      <c r="BT539" s="424">
        <f t="shared" si="866"/>
        <v>0</v>
      </c>
      <c r="BU539" s="424">
        <f t="shared" si="866"/>
        <v>0</v>
      </c>
      <c r="BV539" s="424">
        <f t="shared" ref="BV539:DA539" si="867">BV169*BV$372</f>
        <v>0</v>
      </c>
      <c r="BW539" s="424">
        <f t="shared" si="867"/>
        <v>0</v>
      </c>
      <c r="BX539" s="424">
        <f t="shared" si="867"/>
        <v>0</v>
      </c>
      <c r="BY539" s="424">
        <f t="shared" si="867"/>
        <v>0</v>
      </c>
      <c r="BZ539" s="424">
        <f t="shared" si="867"/>
        <v>0</v>
      </c>
      <c r="CA539" s="424">
        <f t="shared" si="867"/>
        <v>0</v>
      </c>
      <c r="CB539" s="424">
        <f t="shared" si="867"/>
        <v>3.33</v>
      </c>
      <c r="CC539" s="424">
        <f t="shared" si="867"/>
        <v>0</v>
      </c>
      <c r="CD539" s="424">
        <f t="shared" si="867"/>
        <v>0</v>
      </c>
      <c r="CE539" s="424">
        <f t="shared" si="867"/>
        <v>0</v>
      </c>
      <c r="CF539" s="424">
        <f t="shared" si="867"/>
        <v>0.6</v>
      </c>
      <c r="CG539" s="424">
        <f t="shared" si="867"/>
        <v>0</v>
      </c>
      <c r="CH539" s="424">
        <f t="shared" si="867"/>
        <v>0</v>
      </c>
      <c r="CI539" s="424">
        <f t="shared" si="867"/>
        <v>0</v>
      </c>
      <c r="CJ539" s="424">
        <f t="shared" si="867"/>
        <v>0</v>
      </c>
      <c r="CK539" s="424">
        <f t="shared" si="867"/>
        <v>0</v>
      </c>
      <c r="CL539" s="424">
        <f t="shared" si="867"/>
        <v>0</v>
      </c>
      <c r="CM539" s="424">
        <f t="shared" si="867"/>
        <v>0</v>
      </c>
      <c r="CN539" s="424">
        <f t="shared" si="867"/>
        <v>0</v>
      </c>
      <c r="CO539" s="424">
        <f t="shared" si="867"/>
        <v>0</v>
      </c>
      <c r="CP539" s="424">
        <f t="shared" si="867"/>
        <v>0</v>
      </c>
      <c r="CQ539" s="424">
        <f t="shared" si="867"/>
        <v>0</v>
      </c>
      <c r="CR539" s="424">
        <f t="shared" si="867"/>
        <v>0</v>
      </c>
      <c r="CS539" s="424">
        <f t="shared" si="867"/>
        <v>0</v>
      </c>
      <c r="CT539" s="424">
        <f t="shared" si="867"/>
        <v>0</v>
      </c>
      <c r="CU539" s="424">
        <f t="shared" si="867"/>
        <v>0</v>
      </c>
      <c r="CV539" s="424">
        <f t="shared" si="867"/>
        <v>0</v>
      </c>
      <c r="CW539" s="424">
        <f t="shared" si="867"/>
        <v>0</v>
      </c>
      <c r="CX539" s="424">
        <f t="shared" si="867"/>
        <v>0</v>
      </c>
      <c r="CY539" s="424">
        <f t="shared" si="867"/>
        <v>0</v>
      </c>
      <c r="CZ539" s="424">
        <f t="shared" si="867"/>
        <v>0</v>
      </c>
      <c r="DA539" s="424">
        <f t="shared" si="867"/>
        <v>0</v>
      </c>
      <c r="DB539" s="424">
        <f t="shared" ref="DB539:EG539" si="868">DB169*DB$372</f>
        <v>0</v>
      </c>
      <c r="DC539" s="424">
        <f t="shared" si="868"/>
        <v>7.0000000000000007E-2</v>
      </c>
      <c r="DD539" s="424">
        <f t="shared" si="868"/>
        <v>0</v>
      </c>
      <c r="DE539" s="424">
        <f t="shared" si="868"/>
        <v>0</v>
      </c>
      <c r="DF539" s="424">
        <f t="shared" si="868"/>
        <v>0</v>
      </c>
      <c r="DG539" s="424">
        <f t="shared" si="868"/>
        <v>0</v>
      </c>
      <c r="DH539" s="424">
        <f t="shared" si="868"/>
        <v>0</v>
      </c>
      <c r="DI539" s="424">
        <f t="shared" si="868"/>
        <v>0</v>
      </c>
      <c r="DJ539" s="424">
        <f t="shared" si="868"/>
        <v>0</v>
      </c>
      <c r="DK539" s="424">
        <f t="shared" si="868"/>
        <v>0</v>
      </c>
      <c r="DL539" s="424">
        <f t="shared" si="868"/>
        <v>0</v>
      </c>
      <c r="DM539" s="424">
        <f t="shared" si="868"/>
        <v>0</v>
      </c>
      <c r="DN539" s="424">
        <f t="shared" si="868"/>
        <v>0</v>
      </c>
      <c r="DO539" s="424">
        <f t="shared" si="868"/>
        <v>0</v>
      </c>
      <c r="DP539" s="424">
        <f t="shared" si="868"/>
        <v>0</v>
      </c>
      <c r="DQ539" s="424">
        <f t="shared" si="868"/>
        <v>0</v>
      </c>
      <c r="DR539" s="424">
        <f t="shared" si="868"/>
        <v>0</v>
      </c>
      <c r="DS539" s="424">
        <f t="shared" si="868"/>
        <v>0</v>
      </c>
      <c r="DT539" s="424">
        <f t="shared" si="868"/>
        <v>0</v>
      </c>
      <c r="DU539" s="424">
        <f t="shared" si="868"/>
        <v>0</v>
      </c>
      <c r="DV539" s="424">
        <f t="shared" si="868"/>
        <v>0</v>
      </c>
      <c r="DW539" s="424">
        <f t="shared" si="868"/>
        <v>0</v>
      </c>
      <c r="DX539" s="424">
        <f t="shared" si="868"/>
        <v>0</v>
      </c>
      <c r="DY539" s="424">
        <f t="shared" si="868"/>
        <v>0</v>
      </c>
      <c r="DZ539" s="424">
        <f t="shared" si="868"/>
        <v>0</v>
      </c>
      <c r="EA539" s="424">
        <f t="shared" si="868"/>
        <v>0</v>
      </c>
      <c r="EB539" s="424">
        <f t="shared" si="868"/>
        <v>0</v>
      </c>
      <c r="EC539" s="424">
        <f t="shared" si="868"/>
        <v>0</v>
      </c>
      <c r="ED539" s="424">
        <f t="shared" si="868"/>
        <v>0</v>
      </c>
      <c r="EE539" s="424">
        <f t="shared" si="868"/>
        <v>0</v>
      </c>
      <c r="EF539" s="424">
        <f t="shared" si="868"/>
        <v>0</v>
      </c>
      <c r="EG539" s="424">
        <f t="shared" si="868"/>
        <v>0</v>
      </c>
      <c r="EH539" s="424">
        <f t="shared" ref="EH539:EX539" si="869">EH169*EH$372</f>
        <v>0</v>
      </c>
      <c r="EI539" s="424">
        <f t="shared" si="869"/>
        <v>0</v>
      </c>
      <c r="EJ539" s="424">
        <f t="shared" si="869"/>
        <v>0</v>
      </c>
      <c r="EK539" s="424">
        <f t="shared" si="869"/>
        <v>0</v>
      </c>
      <c r="EL539" s="424">
        <f t="shared" si="869"/>
        <v>0</v>
      </c>
      <c r="EM539" s="424">
        <f t="shared" si="869"/>
        <v>0</v>
      </c>
      <c r="EN539" s="424">
        <f t="shared" si="869"/>
        <v>0</v>
      </c>
      <c r="EO539" s="424">
        <f t="shared" si="869"/>
        <v>0</v>
      </c>
      <c r="EP539" s="424">
        <f t="shared" si="869"/>
        <v>0</v>
      </c>
      <c r="EQ539" s="424">
        <f t="shared" si="869"/>
        <v>0</v>
      </c>
      <c r="ER539" s="424">
        <f t="shared" si="869"/>
        <v>0</v>
      </c>
      <c r="ES539" s="424">
        <f t="shared" si="869"/>
        <v>0</v>
      </c>
      <c r="ET539" s="424">
        <f t="shared" si="869"/>
        <v>0</v>
      </c>
      <c r="EU539" s="424">
        <f t="shared" si="869"/>
        <v>0</v>
      </c>
      <c r="EV539" s="424">
        <f t="shared" si="869"/>
        <v>0</v>
      </c>
      <c r="EW539" s="424">
        <f t="shared" si="869"/>
        <v>0</v>
      </c>
      <c r="EX539" s="424">
        <f t="shared" si="869"/>
        <v>0</v>
      </c>
      <c r="EY539" s="425">
        <f t="shared" si="699"/>
        <v>66.400000000000006</v>
      </c>
      <c r="EZ539" s="616"/>
      <c r="FA539" s="616"/>
      <c r="FB539" s="616"/>
      <c r="FC539" s="616"/>
      <c r="FD539" s="616"/>
      <c r="FE539" s="616"/>
      <c r="FF539" s="616"/>
      <c r="FG539" s="616"/>
      <c r="FH539" s="616"/>
      <c r="FI539" s="616"/>
      <c r="FJ539" s="616"/>
    </row>
    <row r="540" spans="1:166" s="467" customFormat="1" ht="14.7" customHeight="1" x14ac:dyDescent="0.25">
      <c r="A540" s="310">
        <v>166</v>
      </c>
      <c r="B540" s="311" t="str">
        <f t="shared" si="680"/>
        <v>Плов из отварной говядины (2 вариант)</v>
      </c>
      <c r="C540" s="483">
        <f t="shared" si="688"/>
        <v>35.6</v>
      </c>
      <c r="D540" s="888"/>
      <c r="E540" s="888"/>
      <c r="F540" s="888"/>
      <c r="G540" s="889"/>
      <c r="H540" s="680">
        <f t="shared" si="681"/>
        <v>244</v>
      </c>
      <c r="I540" s="1209">
        <f t="shared" si="682"/>
        <v>0</v>
      </c>
      <c r="J540" s="424">
        <f t="shared" ref="J540:AO540" si="870">J170*J$372</f>
        <v>30.8</v>
      </c>
      <c r="K540" s="424">
        <f t="shared" si="870"/>
        <v>0</v>
      </c>
      <c r="L540" s="424">
        <f t="shared" si="870"/>
        <v>0</v>
      </c>
      <c r="M540" s="424">
        <f t="shared" si="870"/>
        <v>0</v>
      </c>
      <c r="N540" s="424">
        <f t="shared" si="870"/>
        <v>0</v>
      </c>
      <c r="O540" s="424">
        <f t="shared" si="870"/>
        <v>0</v>
      </c>
      <c r="P540" s="424">
        <f t="shared" si="870"/>
        <v>0</v>
      </c>
      <c r="Q540" s="424">
        <f t="shared" si="870"/>
        <v>0</v>
      </c>
      <c r="R540" s="424">
        <f t="shared" si="870"/>
        <v>0</v>
      </c>
      <c r="S540" s="424">
        <f t="shared" si="870"/>
        <v>0</v>
      </c>
      <c r="T540" s="424">
        <f t="shared" si="870"/>
        <v>0</v>
      </c>
      <c r="U540" s="424">
        <f t="shared" si="870"/>
        <v>0</v>
      </c>
      <c r="V540" s="424">
        <f t="shared" si="870"/>
        <v>0</v>
      </c>
      <c r="W540" s="424">
        <f t="shared" si="870"/>
        <v>0</v>
      </c>
      <c r="X540" s="424">
        <f t="shared" si="870"/>
        <v>0</v>
      </c>
      <c r="Y540" s="424">
        <f t="shared" si="870"/>
        <v>0</v>
      </c>
      <c r="Z540" s="424">
        <f t="shared" si="870"/>
        <v>0</v>
      </c>
      <c r="AA540" s="424">
        <f t="shared" si="870"/>
        <v>0</v>
      </c>
      <c r="AB540" s="424">
        <f t="shared" si="870"/>
        <v>0</v>
      </c>
      <c r="AC540" s="424">
        <f t="shared" si="870"/>
        <v>0</v>
      </c>
      <c r="AD540" s="424">
        <f t="shared" si="870"/>
        <v>0</v>
      </c>
      <c r="AE540" s="424">
        <f t="shared" si="870"/>
        <v>0</v>
      </c>
      <c r="AF540" s="424">
        <f t="shared" si="870"/>
        <v>0</v>
      </c>
      <c r="AG540" s="424">
        <f t="shared" si="870"/>
        <v>0</v>
      </c>
      <c r="AH540" s="424">
        <f t="shared" si="870"/>
        <v>0</v>
      </c>
      <c r="AI540" s="424">
        <f t="shared" si="870"/>
        <v>0</v>
      </c>
      <c r="AJ540" s="424">
        <f t="shared" si="870"/>
        <v>0</v>
      </c>
      <c r="AK540" s="424">
        <f t="shared" si="870"/>
        <v>0.3</v>
      </c>
      <c r="AL540" s="424">
        <f t="shared" si="870"/>
        <v>0</v>
      </c>
      <c r="AM540" s="424">
        <f t="shared" si="870"/>
        <v>0</v>
      </c>
      <c r="AN540" s="424">
        <f t="shared" si="870"/>
        <v>0</v>
      </c>
      <c r="AO540" s="424">
        <f t="shared" si="870"/>
        <v>0</v>
      </c>
      <c r="AP540" s="424">
        <f t="shared" ref="AP540:BU540" si="871">AP170*AP$372</f>
        <v>0</v>
      </c>
      <c r="AQ540" s="424">
        <f t="shared" si="871"/>
        <v>0.5</v>
      </c>
      <c r="AR540" s="424">
        <f t="shared" si="871"/>
        <v>0</v>
      </c>
      <c r="AS540" s="424">
        <f t="shared" si="871"/>
        <v>0</v>
      </c>
      <c r="AT540" s="424">
        <f t="shared" si="871"/>
        <v>0</v>
      </c>
      <c r="AU540" s="424">
        <f t="shared" si="871"/>
        <v>0</v>
      </c>
      <c r="AV540" s="424">
        <f t="shared" si="871"/>
        <v>0</v>
      </c>
      <c r="AW540" s="424">
        <f t="shared" si="871"/>
        <v>0</v>
      </c>
      <c r="AX540" s="424">
        <f t="shared" si="871"/>
        <v>0</v>
      </c>
      <c r="AY540" s="424">
        <f t="shared" si="871"/>
        <v>0</v>
      </c>
      <c r="AZ540" s="424">
        <f t="shared" si="871"/>
        <v>0</v>
      </c>
      <c r="BA540" s="424">
        <f t="shared" si="871"/>
        <v>0</v>
      </c>
      <c r="BB540" s="424">
        <f t="shared" si="871"/>
        <v>0</v>
      </c>
      <c r="BC540" s="424">
        <f t="shared" si="871"/>
        <v>0</v>
      </c>
      <c r="BD540" s="424">
        <f t="shared" si="871"/>
        <v>0</v>
      </c>
      <c r="BE540" s="424">
        <f t="shared" si="871"/>
        <v>0</v>
      </c>
      <c r="BF540" s="424">
        <f t="shared" si="871"/>
        <v>0</v>
      </c>
      <c r="BG540" s="424">
        <f t="shared" si="871"/>
        <v>0</v>
      </c>
      <c r="BH540" s="424">
        <f t="shared" si="871"/>
        <v>0</v>
      </c>
      <c r="BI540" s="424">
        <f t="shared" si="871"/>
        <v>0</v>
      </c>
      <c r="BJ540" s="424">
        <f t="shared" si="871"/>
        <v>0</v>
      </c>
      <c r="BK540" s="424">
        <f t="shared" si="871"/>
        <v>0</v>
      </c>
      <c r="BL540" s="424">
        <f t="shared" si="871"/>
        <v>0</v>
      </c>
      <c r="BM540" s="424">
        <f t="shared" si="871"/>
        <v>0</v>
      </c>
      <c r="BN540" s="424">
        <f t="shared" si="871"/>
        <v>0</v>
      </c>
      <c r="BO540" s="424">
        <f t="shared" si="871"/>
        <v>0</v>
      </c>
      <c r="BP540" s="424">
        <f t="shared" si="871"/>
        <v>0</v>
      </c>
      <c r="BQ540" s="424">
        <f t="shared" si="871"/>
        <v>0</v>
      </c>
      <c r="BR540" s="424">
        <f t="shared" si="871"/>
        <v>0</v>
      </c>
      <c r="BS540" s="424">
        <f t="shared" si="871"/>
        <v>0</v>
      </c>
      <c r="BT540" s="424">
        <f t="shared" si="871"/>
        <v>0</v>
      </c>
      <c r="BU540" s="424">
        <f t="shared" si="871"/>
        <v>0</v>
      </c>
      <c r="BV540" s="424">
        <f t="shared" ref="BV540:DA540" si="872">BV170*BV$372</f>
        <v>0</v>
      </c>
      <c r="BW540" s="424">
        <f t="shared" si="872"/>
        <v>0</v>
      </c>
      <c r="BX540" s="424">
        <f t="shared" si="872"/>
        <v>0</v>
      </c>
      <c r="BY540" s="424">
        <f t="shared" si="872"/>
        <v>0</v>
      </c>
      <c r="BZ540" s="424">
        <f t="shared" si="872"/>
        <v>0</v>
      </c>
      <c r="CA540" s="424">
        <f t="shared" si="872"/>
        <v>0</v>
      </c>
      <c r="CB540" s="424">
        <f t="shared" si="872"/>
        <v>3.33</v>
      </c>
      <c r="CC540" s="424">
        <f t="shared" si="872"/>
        <v>0</v>
      </c>
      <c r="CD540" s="424">
        <f t="shared" si="872"/>
        <v>0</v>
      </c>
      <c r="CE540" s="424">
        <f t="shared" si="872"/>
        <v>0</v>
      </c>
      <c r="CF540" s="424">
        <f t="shared" si="872"/>
        <v>0.6</v>
      </c>
      <c r="CG540" s="424">
        <f t="shared" si="872"/>
        <v>0</v>
      </c>
      <c r="CH540" s="424">
        <f t="shared" si="872"/>
        <v>0</v>
      </c>
      <c r="CI540" s="424">
        <f t="shared" si="872"/>
        <v>0</v>
      </c>
      <c r="CJ540" s="424">
        <f t="shared" si="872"/>
        <v>0</v>
      </c>
      <c r="CK540" s="424">
        <f t="shared" si="872"/>
        <v>0</v>
      </c>
      <c r="CL540" s="424">
        <f t="shared" si="872"/>
        <v>0</v>
      </c>
      <c r="CM540" s="424">
        <f t="shared" si="872"/>
        <v>0</v>
      </c>
      <c r="CN540" s="424">
        <f t="shared" si="872"/>
        <v>0</v>
      </c>
      <c r="CO540" s="424">
        <f t="shared" si="872"/>
        <v>0</v>
      </c>
      <c r="CP540" s="424">
        <f t="shared" si="872"/>
        <v>0</v>
      </c>
      <c r="CQ540" s="424">
        <f t="shared" si="872"/>
        <v>0</v>
      </c>
      <c r="CR540" s="424">
        <f t="shared" si="872"/>
        <v>0</v>
      </c>
      <c r="CS540" s="424">
        <f t="shared" si="872"/>
        <v>0</v>
      </c>
      <c r="CT540" s="424">
        <f t="shared" si="872"/>
        <v>0</v>
      </c>
      <c r="CU540" s="424">
        <f t="shared" si="872"/>
        <v>0</v>
      </c>
      <c r="CV540" s="424">
        <f t="shared" si="872"/>
        <v>0</v>
      </c>
      <c r="CW540" s="424">
        <f t="shared" si="872"/>
        <v>0</v>
      </c>
      <c r="CX540" s="424">
        <f t="shared" si="872"/>
        <v>0</v>
      </c>
      <c r="CY540" s="424">
        <f t="shared" si="872"/>
        <v>0</v>
      </c>
      <c r="CZ540" s="424">
        <f t="shared" si="872"/>
        <v>0</v>
      </c>
      <c r="DA540" s="424">
        <f t="shared" si="872"/>
        <v>0</v>
      </c>
      <c r="DB540" s="424">
        <f t="shared" ref="DB540:EG540" si="873">DB170*DB$372</f>
        <v>0</v>
      </c>
      <c r="DC540" s="424">
        <f t="shared" si="873"/>
        <v>7.0000000000000007E-2</v>
      </c>
      <c r="DD540" s="424">
        <f t="shared" si="873"/>
        <v>0</v>
      </c>
      <c r="DE540" s="424">
        <f t="shared" si="873"/>
        <v>0</v>
      </c>
      <c r="DF540" s="424">
        <f t="shared" si="873"/>
        <v>0</v>
      </c>
      <c r="DG540" s="424">
        <f t="shared" si="873"/>
        <v>0</v>
      </c>
      <c r="DH540" s="424">
        <f t="shared" si="873"/>
        <v>0</v>
      </c>
      <c r="DI540" s="424">
        <f t="shared" si="873"/>
        <v>0</v>
      </c>
      <c r="DJ540" s="424">
        <f t="shared" si="873"/>
        <v>0</v>
      </c>
      <c r="DK540" s="424">
        <f t="shared" si="873"/>
        <v>0</v>
      </c>
      <c r="DL540" s="424">
        <f t="shared" si="873"/>
        <v>0</v>
      </c>
      <c r="DM540" s="424">
        <f t="shared" si="873"/>
        <v>0</v>
      </c>
      <c r="DN540" s="424">
        <f t="shared" si="873"/>
        <v>0</v>
      </c>
      <c r="DO540" s="424">
        <f t="shared" si="873"/>
        <v>0</v>
      </c>
      <c r="DP540" s="424">
        <f t="shared" si="873"/>
        <v>0</v>
      </c>
      <c r="DQ540" s="424">
        <f t="shared" si="873"/>
        <v>0</v>
      </c>
      <c r="DR540" s="424">
        <f t="shared" si="873"/>
        <v>0</v>
      </c>
      <c r="DS540" s="424">
        <f t="shared" si="873"/>
        <v>0</v>
      </c>
      <c r="DT540" s="424">
        <f t="shared" si="873"/>
        <v>0</v>
      </c>
      <c r="DU540" s="424">
        <f t="shared" si="873"/>
        <v>0</v>
      </c>
      <c r="DV540" s="424">
        <f t="shared" si="873"/>
        <v>0</v>
      </c>
      <c r="DW540" s="424">
        <f t="shared" si="873"/>
        <v>0</v>
      </c>
      <c r="DX540" s="424">
        <f t="shared" si="873"/>
        <v>0</v>
      </c>
      <c r="DY540" s="424">
        <f t="shared" si="873"/>
        <v>0</v>
      </c>
      <c r="DZ540" s="424">
        <f t="shared" si="873"/>
        <v>0</v>
      </c>
      <c r="EA540" s="424">
        <f t="shared" si="873"/>
        <v>0</v>
      </c>
      <c r="EB540" s="424">
        <f t="shared" si="873"/>
        <v>0</v>
      </c>
      <c r="EC540" s="424">
        <f t="shared" si="873"/>
        <v>0</v>
      </c>
      <c r="ED540" s="424">
        <f t="shared" si="873"/>
        <v>0</v>
      </c>
      <c r="EE540" s="424">
        <f t="shared" si="873"/>
        <v>0</v>
      </c>
      <c r="EF540" s="424">
        <f t="shared" si="873"/>
        <v>0</v>
      </c>
      <c r="EG540" s="424">
        <f t="shared" si="873"/>
        <v>0</v>
      </c>
      <c r="EH540" s="424">
        <f t="shared" ref="EH540:EX540" si="874">EH170*EH$372</f>
        <v>0</v>
      </c>
      <c r="EI540" s="424">
        <f t="shared" si="874"/>
        <v>0</v>
      </c>
      <c r="EJ540" s="424">
        <f t="shared" si="874"/>
        <v>0</v>
      </c>
      <c r="EK540" s="424">
        <f t="shared" si="874"/>
        <v>0</v>
      </c>
      <c r="EL540" s="424">
        <f t="shared" si="874"/>
        <v>0</v>
      </c>
      <c r="EM540" s="424">
        <f t="shared" si="874"/>
        <v>0</v>
      </c>
      <c r="EN540" s="424">
        <f t="shared" si="874"/>
        <v>0</v>
      </c>
      <c r="EO540" s="424">
        <f t="shared" si="874"/>
        <v>0</v>
      </c>
      <c r="EP540" s="424">
        <f t="shared" si="874"/>
        <v>0</v>
      </c>
      <c r="EQ540" s="424">
        <f t="shared" si="874"/>
        <v>0</v>
      </c>
      <c r="ER540" s="424">
        <f t="shared" si="874"/>
        <v>0</v>
      </c>
      <c r="ES540" s="424">
        <f t="shared" si="874"/>
        <v>0</v>
      </c>
      <c r="ET540" s="424">
        <f t="shared" si="874"/>
        <v>0</v>
      </c>
      <c r="EU540" s="424">
        <f t="shared" si="874"/>
        <v>0</v>
      </c>
      <c r="EV540" s="424">
        <f t="shared" si="874"/>
        <v>0</v>
      </c>
      <c r="EW540" s="424">
        <f t="shared" si="874"/>
        <v>0</v>
      </c>
      <c r="EX540" s="424">
        <f t="shared" si="874"/>
        <v>0</v>
      </c>
      <c r="EY540" s="425">
        <f t="shared" si="699"/>
        <v>35.6</v>
      </c>
      <c r="EZ540" s="616"/>
      <c r="FA540" s="616"/>
      <c r="FB540" s="616"/>
      <c r="FC540" s="616"/>
      <c r="FD540" s="616"/>
      <c r="FE540" s="616"/>
      <c r="FF540" s="616"/>
      <c r="FG540" s="616"/>
      <c r="FH540" s="616"/>
      <c r="FI540" s="616"/>
      <c r="FJ540" s="616"/>
    </row>
    <row r="541" spans="1:166" s="467" customFormat="1" ht="14.7" customHeight="1" x14ac:dyDescent="0.25">
      <c r="A541" s="310">
        <v>167</v>
      </c>
      <c r="B541" s="311" t="str">
        <f t="shared" si="680"/>
        <v>Бефстроганов из отварной говядины со сметанным соусом</v>
      </c>
      <c r="C541" s="483">
        <f t="shared" si="688"/>
        <v>66.88</v>
      </c>
      <c r="D541" s="888"/>
      <c r="E541" s="888"/>
      <c r="F541" s="888"/>
      <c r="G541" s="889"/>
      <c r="H541" s="680">
        <f t="shared" si="681"/>
        <v>245</v>
      </c>
      <c r="I541" s="1209">
        <f t="shared" si="682"/>
        <v>-0.01</v>
      </c>
      <c r="J541" s="424">
        <f t="shared" ref="J541:AO541" si="875">J171*J$372</f>
        <v>61.6</v>
      </c>
      <c r="K541" s="424">
        <f t="shared" si="875"/>
        <v>0</v>
      </c>
      <c r="L541" s="424">
        <f t="shared" si="875"/>
        <v>0</v>
      </c>
      <c r="M541" s="424">
        <f t="shared" si="875"/>
        <v>0</v>
      </c>
      <c r="N541" s="424">
        <f t="shared" si="875"/>
        <v>0</v>
      </c>
      <c r="O541" s="424">
        <f t="shared" si="875"/>
        <v>0</v>
      </c>
      <c r="P541" s="424">
        <f t="shared" si="875"/>
        <v>0</v>
      </c>
      <c r="Q541" s="424">
        <f t="shared" si="875"/>
        <v>0</v>
      </c>
      <c r="R541" s="424">
        <f t="shared" si="875"/>
        <v>0</v>
      </c>
      <c r="S541" s="424">
        <f t="shared" si="875"/>
        <v>0</v>
      </c>
      <c r="T541" s="424">
        <f t="shared" si="875"/>
        <v>0</v>
      </c>
      <c r="U541" s="424">
        <f t="shared" si="875"/>
        <v>0</v>
      </c>
      <c r="V541" s="424">
        <f t="shared" si="875"/>
        <v>0</v>
      </c>
      <c r="W541" s="424">
        <f t="shared" si="875"/>
        <v>0</v>
      </c>
      <c r="X541" s="424">
        <f t="shared" si="875"/>
        <v>0</v>
      </c>
      <c r="Y541" s="424">
        <f t="shared" si="875"/>
        <v>2.93</v>
      </c>
      <c r="Z541" s="424">
        <f t="shared" si="875"/>
        <v>0</v>
      </c>
      <c r="AA541" s="424">
        <f t="shared" si="875"/>
        <v>0</v>
      </c>
      <c r="AB541" s="424">
        <f t="shared" si="875"/>
        <v>0</v>
      </c>
      <c r="AC541" s="424">
        <f t="shared" si="875"/>
        <v>0</v>
      </c>
      <c r="AD541" s="424">
        <f t="shared" si="875"/>
        <v>0</v>
      </c>
      <c r="AE541" s="424">
        <f t="shared" si="875"/>
        <v>0</v>
      </c>
      <c r="AF541" s="424">
        <f t="shared" si="875"/>
        <v>0</v>
      </c>
      <c r="AG541" s="424">
        <f t="shared" si="875"/>
        <v>0</v>
      </c>
      <c r="AH541" s="424">
        <f t="shared" si="875"/>
        <v>0</v>
      </c>
      <c r="AI541" s="424">
        <f t="shared" si="875"/>
        <v>0</v>
      </c>
      <c r="AJ541" s="424">
        <f t="shared" si="875"/>
        <v>0</v>
      </c>
      <c r="AK541" s="424">
        <f t="shared" si="875"/>
        <v>0.13</v>
      </c>
      <c r="AL541" s="424">
        <f t="shared" si="875"/>
        <v>0.6</v>
      </c>
      <c r="AM541" s="424">
        <f t="shared" si="875"/>
        <v>0</v>
      </c>
      <c r="AN541" s="424">
        <f t="shared" si="875"/>
        <v>0</v>
      </c>
      <c r="AO541" s="424">
        <f t="shared" si="875"/>
        <v>0</v>
      </c>
      <c r="AP541" s="424">
        <f t="shared" ref="AP541:BU541" si="876">AP171*AP$372</f>
        <v>0</v>
      </c>
      <c r="AQ541" s="424">
        <f t="shared" si="876"/>
        <v>0.78</v>
      </c>
      <c r="AR541" s="424">
        <f t="shared" si="876"/>
        <v>0</v>
      </c>
      <c r="AS541" s="424">
        <f t="shared" si="876"/>
        <v>0</v>
      </c>
      <c r="AT541" s="424">
        <f t="shared" si="876"/>
        <v>0</v>
      </c>
      <c r="AU541" s="424">
        <f t="shared" si="876"/>
        <v>0.6</v>
      </c>
      <c r="AV541" s="424">
        <f t="shared" si="876"/>
        <v>0</v>
      </c>
      <c r="AW541" s="424">
        <f t="shared" si="876"/>
        <v>0</v>
      </c>
      <c r="AX541" s="424">
        <f t="shared" si="876"/>
        <v>0</v>
      </c>
      <c r="AY541" s="424">
        <f t="shared" si="876"/>
        <v>0</v>
      </c>
      <c r="AZ541" s="424">
        <f t="shared" si="876"/>
        <v>0</v>
      </c>
      <c r="BA541" s="424">
        <f t="shared" si="876"/>
        <v>0</v>
      </c>
      <c r="BB541" s="424">
        <f t="shared" si="876"/>
        <v>0</v>
      </c>
      <c r="BC541" s="424">
        <f t="shared" si="876"/>
        <v>0</v>
      </c>
      <c r="BD541" s="424">
        <f t="shared" si="876"/>
        <v>0</v>
      </c>
      <c r="BE541" s="424">
        <f t="shared" si="876"/>
        <v>0</v>
      </c>
      <c r="BF541" s="424">
        <f t="shared" si="876"/>
        <v>0</v>
      </c>
      <c r="BG541" s="424">
        <f t="shared" si="876"/>
        <v>0</v>
      </c>
      <c r="BH541" s="424">
        <f t="shared" si="876"/>
        <v>0</v>
      </c>
      <c r="BI541" s="424">
        <f t="shared" si="876"/>
        <v>0</v>
      </c>
      <c r="BJ541" s="424">
        <f t="shared" si="876"/>
        <v>0</v>
      </c>
      <c r="BK541" s="424">
        <f t="shared" si="876"/>
        <v>0</v>
      </c>
      <c r="BL541" s="424">
        <f t="shared" si="876"/>
        <v>0</v>
      </c>
      <c r="BM541" s="424">
        <f t="shared" si="876"/>
        <v>0</v>
      </c>
      <c r="BN541" s="424">
        <f t="shared" si="876"/>
        <v>0</v>
      </c>
      <c r="BO541" s="424">
        <f t="shared" si="876"/>
        <v>0</v>
      </c>
      <c r="BP541" s="424">
        <f t="shared" si="876"/>
        <v>0</v>
      </c>
      <c r="BQ541" s="424">
        <f t="shared" si="876"/>
        <v>0</v>
      </c>
      <c r="BR541" s="424">
        <f t="shared" si="876"/>
        <v>0</v>
      </c>
      <c r="BS541" s="424">
        <f t="shared" si="876"/>
        <v>0.14000000000000001</v>
      </c>
      <c r="BT541" s="424">
        <f t="shared" si="876"/>
        <v>0</v>
      </c>
      <c r="BU541" s="424">
        <f t="shared" si="876"/>
        <v>0</v>
      </c>
      <c r="BV541" s="424">
        <f t="shared" ref="BV541:DA541" si="877">BV171*BV$372</f>
        <v>0</v>
      </c>
      <c r="BW541" s="424">
        <f t="shared" si="877"/>
        <v>0</v>
      </c>
      <c r="BX541" s="424">
        <f t="shared" si="877"/>
        <v>0</v>
      </c>
      <c r="BY541" s="424">
        <f t="shared" si="877"/>
        <v>0</v>
      </c>
      <c r="BZ541" s="424">
        <f t="shared" si="877"/>
        <v>0</v>
      </c>
      <c r="CA541" s="424">
        <f t="shared" si="877"/>
        <v>0</v>
      </c>
      <c r="CB541" s="424">
        <f t="shared" si="877"/>
        <v>0</v>
      </c>
      <c r="CC541" s="424">
        <f t="shared" si="877"/>
        <v>0</v>
      </c>
      <c r="CD541" s="424">
        <f t="shared" si="877"/>
        <v>0</v>
      </c>
      <c r="CE541" s="424">
        <f t="shared" si="877"/>
        <v>0</v>
      </c>
      <c r="CF541" s="424">
        <f t="shared" si="877"/>
        <v>0</v>
      </c>
      <c r="CG541" s="424">
        <f t="shared" si="877"/>
        <v>0</v>
      </c>
      <c r="CH541" s="424">
        <f t="shared" si="877"/>
        <v>0</v>
      </c>
      <c r="CI541" s="424">
        <f t="shared" si="877"/>
        <v>0</v>
      </c>
      <c r="CJ541" s="424">
        <f t="shared" si="877"/>
        <v>0</v>
      </c>
      <c r="CK541" s="424">
        <f t="shared" si="877"/>
        <v>0</v>
      </c>
      <c r="CL541" s="424">
        <f t="shared" si="877"/>
        <v>0</v>
      </c>
      <c r="CM541" s="424">
        <f t="shared" si="877"/>
        <v>0</v>
      </c>
      <c r="CN541" s="424">
        <f t="shared" si="877"/>
        <v>0</v>
      </c>
      <c r="CO541" s="424">
        <f t="shared" si="877"/>
        <v>0</v>
      </c>
      <c r="CP541" s="424">
        <f t="shared" si="877"/>
        <v>0</v>
      </c>
      <c r="CQ541" s="424">
        <f t="shared" si="877"/>
        <v>0</v>
      </c>
      <c r="CR541" s="424">
        <f t="shared" si="877"/>
        <v>0</v>
      </c>
      <c r="CS541" s="424">
        <f t="shared" si="877"/>
        <v>0.02</v>
      </c>
      <c r="CT541" s="424">
        <f t="shared" si="877"/>
        <v>0</v>
      </c>
      <c r="CU541" s="424">
        <f t="shared" si="877"/>
        <v>0</v>
      </c>
      <c r="CV541" s="424">
        <f t="shared" si="877"/>
        <v>0</v>
      </c>
      <c r="CW541" s="424">
        <f t="shared" si="877"/>
        <v>0</v>
      </c>
      <c r="CX541" s="424">
        <f t="shared" si="877"/>
        <v>0</v>
      </c>
      <c r="CY541" s="424">
        <f t="shared" si="877"/>
        <v>0</v>
      </c>
      <c r="CZ541" s="424">
        <f t="shared" si="877"/>
        <v>0</v>
      </c>
      <c r="DA541" s="424">
        <f t="shared" si="877"/>
        <v>0</v>
      </c>
      <c r="DB541" s="424">
        <f t="shared" ref="DB541:EG541" si="878">DB171*DB$372</f>
        <v>0</v>
      </c>
      <c r="DC541" s="424">
        <f t="shared" si="878"/>
        <v>0.08</v>
      </c>
      <c r="DD541" s="424">
        <f t="shared" si="878"/>
        <v>0</v>
      </c>
      <c r="DE541" s="424">
        <f t="shared" si="878"/>
        <v>0</v>
      </c>
      <c r="DF541" s="424">
        <f t="shared" si="878"/>
        <v>0</v>
      </c>
      <c r="DG541" s="424">
        <f t="shared" si="878"/>
        <v>0</v>
      </c>
      <c r="DH541" s="424">
        <f t="shared" si="878"/>
        <v>0</v>
      </c>
      <c r="DI541" s="424">
        <f t="shared" si="878"/>
        <v>0</v>
      </c>
      <c r="DJ541" s="424">
        <f t="shared" si="878"/>
        <v>0</v>
      </c>
      <c r="DK541" s="424">
        <f t="shared" si="878"/>
        <v>0</v>
      </c>
      <c r="DL541" s="424">
        <f t="shared" si="878"/>
        <v>0</v>
      </c>
      <c r="DM541" s="424">
        <f t="shared" si="878"/>
        <v>0</v>
      </c>
      <c r="DN541" s="424">
        <f t="shared" si="878"/>
        <v>0</v>
      </c>
      <c r="DO541" s="424">
        <f t="shared" si="878"/>
        <v>0</v>
      </c>
      <c r="DP541" s="424">
        <f t="shared" si="878"/>
        <v>0</v>
      </c>
      <c r="DQ541" s="424">
        <f t="shared" si="878"/>
        <v>0</v>
      </c>
      <c r="DR541" s="424">
        <f t="shared" si="878"/>
        <v>0</v>
      </c>
      <c r="DS541" s="424">
        <f t="shared" si="878"/>
        <v>0</v>
      </c>
      <c r="DT541" s="424">
        <f t="shared" si="878"/>
        <v>0</v>
      </c>
      <c r="DU541" s="424">
        <f t="shared" si="878"/>
        <v>0</v>
      </c>
      <c r="DV541" s="424">
        <f t="shared" si="878"/>
        <v>0</v>
      </c>
      <c r="DW541" s="424">
        <f t="shared" si="878"/>
        <v>0</v>
      </c>
      <c r="DX541" s="424">
        <f t="shared" si="878"/>
        <v>0</v>
      </c>
      <c r="DY541" s="424">
        <f t="shared" si="878"/>
        <v>0</v>
      </c>
      <c r="DZ541" s="424">
        <f t="shared" si="878"/>
        <v>0</v>
      </c>
      <c r="EA541" s="424">
        <f t="shared" si="878"/>
        <v>0</v>
      </c>
      <c r="EB541" s="424">
        <f t="shared" si="878"/>
        <v>0</v>
      </c>
      <c r="EC541" s="424">
        <f t="shared" si="878"/>
        <v>0</v>
      </c>
      <c r="ED541" s="424">
        <f t="shared" si="878"/>
        <v>0</v>
      </c>
      <c r="EE541" s="424">
        <f t="shared" si="878"/>
        <v>0</v>
      </c>
      <c r="EF541" s="424">
        <f t="shared" si="878"/>
        <v>0</v>
      </c>
      <c r="EG541" s="424">
        <f t="shared" si="878"/>
        <v>0</v>
      </c>
      <c r="EH541" s="424">
        <f t="shared" ref="EH541:EX541" si="879">EH171*EH$372</f>
        <v>0</v>
      </c>
      <c r="EI541" s="424">
        <f t="shared" si="879"/>
        <v>0</v>
      </c>
      <c r="EJ541" s="424">
        <f t="shared" si="879"/>
        <v>0</v>
      </c>
      <c r="EK541" s="424">
        <f t="shared" si="879"/>
        <v>0</v>
      </c>
      <c r="EL541" s="424">
        <f t="shared" si="879"/>
        <v>0</v>
      </c>
      <c r="EM541" s="424">
        <f t="shared" si="879"/>
        <v>0</v>
      </c>
      <c r="EN541" s="424">
        <f t="shared" si="879"/>
        <v>0</v>
      </c>
      <c r="EO541" s="424">
        <f t="shared" si="879"/>
        <v>0</v>
      </c>
      <c r="EP541" s="424">
        <f t="shared" si="879"/>
        <v>0</v>
      </c>
      <c r="EQ541" s="424">
        <f t="shared" si="879"/>
        <v>0</v>
      </c>
      <c r="ER541" s="424">
        <f t="shared" si="879"/>
        <v>0</v>
      </c>
      <c r="ES541" s="424">
        <f t="shared" si="879"/>
        <v>0</v>
      </c>
      <c r="ET541" s="424">
        <f t="shared" si="879"/>
        <v>0</v>
      </c>
      <c r="EU541" s="424">
        <f t="shared" si="879"/>
        <v>0</v>
      </c>
      <c r="EV541" s="424">
        <f t="shared" si="879"/>
        <v>0</v>
      </c>
      <c r="EW541" s="424">
        <f t="shared" si="879"/>
        <v>0</v>
      </c>
      <c r="EX541" s="424">
        <f t="shared" si="879"/>
        <v>0</v>
      </c>
      <c r="EY541" s="425">
        <f t="shared" si="699"/>
        <v>66.88</v>
      </c>
      <c r="EZ541" s="616"/>
      <c r="FA541" s="616"/>
      <c r="FB541" s="616"/>
      <c r="FC541" s="616"/>
      <c r="FD541" s="616"/>
      <c r="FE541" s="616"/>
      <c r="FF541" s="616"/>
      <c r="FG541" s="616"/>
      <c r="FH541" s="616"/>
      <c r="FI541" s="616"/>
      <c r="FJ541" s="616"/>
    </row>
    <row r="542" spans="1:166" s="486" customFormat="1" ht="14.7" customHeight="1" x14ac:dyDescent="0.25">
      <c r="A542" s="310">
        <v>168</v>
      </c>
      <c r="B542" s="311" t="str">
        <f t="shared" si="680"/>
        <v>Бефстроганов из отварной говядины (2 вариант)</v>
      </c>
      <c r="C542" s="483">
        <f t="shared" si="688"/>
        <v>33.43</v>
      </c>
      <c r="D542" s="888"/>
      <c r="E542" s="888"/>
      <c r="F542" s="888"/>
      <c r="G542" s="889"/>
      <c r="H542" s="680">
        <f t="shared" si="681"/>
        <v>245</v>
      </c>
      <c r="I542" s="1209">
        <f t="shared" si="682"/>
        <v>0.01</v>
      </c>
      <c r="J542" s="424">
        <f t="shared" ref="J542:AO542" si="880">J172*J$372</f>
        <v>30.8</v>
      </c>
      <c r="K542" s="424">
        <f t="shared" si="880"/>
        <v>0</v>
      </c>
      <c r="L542" s="424">
        <f t="shared" si="880"/>
        <v>0</v>
      </c>
      <c r="M542" s="424">
        <f t="shared" si="880"/>
        <v>0</v>
      </c>
      <c r="N542" s="424">
        <f t="shared" si="880"/>
        <v>0</v>
      </c>
      <c r="O542" s="424">
        <f t="shared" si="880"/>
        <v>0</v>
      </c>
      <c r="P542" s="424">
        <f t="shared" si="880"/>
        <v>0</v>
      </c>
      <c r="Q542" s="424">
        <f t="shared" si="880"/>
        <v>0</v>
      </c>
      <c r="R542" s="424">
        <f t="shared" si="880"/>
        <v>0</v>
      </c>
      <c r="S542" s="424">
        <f t="shared" si="880"/>
        <v>0</v>
      </c>
      <c r="T542" s="424">
        <f t="shared" si="880"/>
        <v>0</v>
      </c>
      <c r="U542" s="424">
        <f t="shared" si="880"/>
        <v>0</v>
      </c>
      <c r="V542" s="424">
        <f t="shared" si="880"/>
        <v>0</v>
      </c>
      <c r="W542" s="424">
        <f t="shared" si="880"/>
        <v>0</v>
      </c>
      <c r="X542" s="424">
        <f t="shared" si="880"/>
        <v>0</v>
      </c>
      <c r="Y542" s="424">
        <f t="shared" si="880"/>
        <v>1.46</v>
      </c>
      <c r="Z542" s="424">
        <f t="shared" si="880"/>
        <v>0</v>
      </c>
      <c r="AA542" s="424">
        <f t="shared" si="880"/>
        <v>0</v>
      </c>
      <c r="AB542" s="424">
        <f t="shared" si="880"/>
        <v>0</v>
      </c>
      <c r="AC542" s="424">
        <f t="shared" si="880"/>
        <v>0</v>
      </c>
      <c r="AD542" s="424">
        <f t="shared" si="880"/>
        <v>0</v>
      </c>
      <c r="AE542" s="424">
        <f t="shared" si="880"/>
        <v>0</v>
      </c>
      <c r="AF542" s="424">
        <f t="shared" si="880"/>
        <v>0</v>
      </c>
      <c r="AG542" s="424">
        <f t="shared" si="880"/>
        <v>0</v>
      </c>
      <c r="AH542" s="424">
        <f t="shared" si="880"/>
        <v>0</v>
      </c>
      <c r="AI542" s="424">
        <f t="shared" si="880"/>
        <v>0</v>
      </c>
      <c r="AJ542" s="424">
        <f t="shared" si="880"/>
        <v>0</v>
      </c>
      <c r="AK542" s="424">
        <f t="shared" si="880"/>
        <v>0.06</v>
      </c>
      <c r="AL542" s="424">
        <f t="shared" si="880"/>
        <v>0.3</v>
      </c>
      <c r="AM542" s="424">
        <f t="shared" si="880"/>
        <v>0</v>
      </c>
      <c r="AN542" s="424">
        <f t="shared" si="880"/>
        <v>0</v>
      </c>
      <c r="AO542" s="424">
        <f t="shared" si="880"/>
        <v>0</v>
      </c>
      <c r="AP542" s="424">
        <f t="shared" ref="AP542:BU542" si="881">AP172*AP$372</f>
        <v>0</v>
      </c>
      <c r="AQ542" s="424">
        <f t="shared" si="881"/>
        <v>0.39</v>
      </c>
      <c r="AR542" s="424">
        <f t="shared" si="881"/>
        <v>0</v>
      </c>
      <c r="AS542" s="424">
        <f t="shared" si="881"/>
        <v>0</v>
      </c>
      <c r="AT542" s="424">
        <f t="shared" si="881"/>
        <v>0</v>
      </c>
      <c r="AU542" s="424">
        <f t="shared" si="881"/>
        <v>0.3</v>
      </c>
      <c r="AV542" s="424">
        <f t="shared" si="881"/>
        <v>0</v>
      </c>
      <c r="AW542" s="424">
        <f t="shared" si="881"/>
        <v>0</v>
      </c>
      <c r="AX542" s="424">
        <f t="shared" si="881"/>
        <v>0</v>
      </c>
      <c r="AY542" s="424">
        <f t="shared" si="881"/>
        <v>0</v>
      </c>
      <c r="AZ542" s="424">
        <f t="shared" si="881"/>
        <v>0</v>
      </c>
      <c r="BA542" s="424">
        <f t="shared" si="881"/>
        <v>0</v>
      </c>
      <c r="BB542" s="424">
        <f t="shared" si="881"/>
        <v>0</v>
      </c>
      <c r="BC542" s="424">
        <f t="shared" si="881"/>
        <v>0</v>
      </c>
      <c r="BD542" s="424">
        <f t="shared" si="881"/>
        <v>0</v>
      </c>
      <c r="BE542" s="424">
        <f t="shared" si="881"/>
        <v>0</v>
      </c>
      <c r="BF542" s="424">
        <f t="shared" si="881"/>
        <v>0</v>
      </c>
      <c r="BG542" s="424">
        <f t="shared" si="881"/>
        <v>0</v>
      </c>
      <c r="BH542" s="424">
        <f t="shared" si="881"/>
        <v>0</v>
      </c>
      <c r="BI542" s="424">
        <f t="shared" si="881"/>
        <v>0</v>
      </c>
      <c r="BJ542" s="424">
        <f t="shared" si="881"/>
        <v>0</v>
      </c>
      <c r="BK542" s="424">
        <f t="shared" si="881"/>
        <v>0</v>
      </c>
      <c r="BL542" s="424">
        <f t="shared" si="881"/>
        <v>0</v>
      </c>
      <c r="BM542" s="424">
        <f t="shared" si="881"/>
        <v>0</v>
      </c>
      <c r="BN542" s="424">
        <f t="shared" si="881"/>
        <v>0</v>
      </c>
      <c r="BO542" s="424">
        <f t="shared" si="881"/>
        <v>0</v>
      </c>
      <c r="BP542" s="424">
        <f t="shared" si="881"/>
        <v>0</v>
      </c>
      <c r="BQ542" s="424">
        <f t="shared" si="881"/>
        <v>0</v>
      </c>
      <c r="BR542" s="424">
        <f t="shared" si="881"/>
        <v>0</v>
      </c>
      <c r="BS542" s="424">
        <f t="shared" si="881"/>
        <v>7.0000000000000007E-2</v>
      </c>
      <c r="BT542" s="424">
        <f t="shared" si="881"/>
        <v>0</v>
      </c>
      <c r="BU542" s="424">
        <f t="shared" si="881"/>
        <v>0</v>
      </c>
      <c r="BV542" s="424">
        <f t="shared" ref="BV542:DA542" si="882">BV172*BV$372</f>
        <v>0</v>
      </c>
      <c r="BW542" s="424">
        <f t="shared" si="882"/>
        <v>0</v>
      </c>
      <c r="BX542" s="424">
        <f t="shared" si="882"/>
        <v>0</v>
      </c>
      <c r="BY542" s="424">
        <f t="shared" si="882"/>
        <v>0</v>
      </c>
      <c r="BZ542" s="424">
        <f t="shared" si="882"/>
        <v>0</v>
      </c>
      <c r="CA542" s="424">
        <f t="shared" si="882"/>
        <v>0</v>
      </c>
      <c r="CB542" s="424">
        <f t="shared" si="882"/>
        <v>0</v>
      </c>
      <c r="CC542" s="424">
        <f t="shared" si="882"/>
        <v>0</v>
      </c>
      <c r="CD542" s="424">
        <f t="shared" si="882"/>
        <v>0</v>
      </c>
      <c r="CE542" s="424">
        <f t="shared" si="882"/>
        <v>0</v>
      </c>
      <c r="CF542" s="424">
        <f t="shared" si="882"/>
        <v>0</v>
      </c>
      <c r="CG542" s="424">
        <f t="shared" si="882"/>
        <v>0</v>
      </c>
      <c r="CH542" s="424">
        <f t="shared" si="882"/>
        <v>0</v>
      </c>
      <c r="CI542" s="424">
        <f t="shared" si="882"/>
        <v>0</v>
      </c>
      <c r="CJ542" s="424">
        <f t="shared" si="882"/>
        <v>0</v>
      </c>
      <c r="CK542" s="424">
        <f t="shared" si="882"/>
        <v>0</v>
      </c>
      <c r="CL542" s="424">
        <f t="shared" si="882"/>
        <v>0</v>
      </c>
      <c r="CM542" s="424">
        <f t="shared" si="882"/>
        <v>0</v>
      </c>
      <c r="CN542" s="424">
        <f t="shared" si="882"/>
        <v>0</v>
      </c>
      <c r="CO542" s="424">
        <f t="shared" si="882"/>
        <v>0</v>
      </c>
      <c r="CP542" s="424">
        <f t="shared" si="882"/>
        <v>0</v>
      </c>
      <c r="CQ542" s="424">
        <f t="shared" si="882"/>
        <v>0</v>
      </c>
      <c r="CR542" s="424">
        <f t="shared" si="882"/>
        <v>0</v>
      </c>
      <c r="CS542" s="424">
        <f t="shared" si="882"/>
        <v>0.01</v>
      </c>
      <c r="CT542" s="424">
        <f t="shared" si="882"/>
        <v>0</v>
      </c>
      <c r="CU542" s="424">
        <f t="shared" si="882"/>
        <v>0</v>
      </c>
      <c r="CV542" s="424">
        <f t="shared" si="882"/>
        <v>0</v>
      </c>
      <c r="CW542" s="424">
        <f t="shared" si="882"/>
        <v>0</v>
      </c>
      <c r="CX542" s="424">
        <f t="shared" si="882"/>
        <v>0</v>
      </c>
      <c r="CY542" s="424">
        <f t="shared" si="882"/>
        <v>0</v>
      </c>
      <c r="CZ542" s="424">
        <f t="shared" si="882"/>
        <v>0</v>
      </c>
      <c r="DA542" s="424">
        <f t="shared" si="882"/>
        <v>0</v>
      </c>
      <c r="DB542" s="424">
        <f t="shared" ref="DB542:EG542" si="883">DB172*DB$372</f>
        <v>0</v>
      </c>
      <c r="DC542" s="424">
        <f t="shared" si="883"/>
        <v>0.04</v>
      </c>
      <c r="DD542" s="424">
        <f t="shared" si="883"/>
        <v>0</v>
      </c>
      <c r="DE542" s="424">
        <f t="shared" si="883"/>
        <v>0</v>
      </c>
      <c r="DF542" s="424">
        <f t="shared" si="883"/>
        <v>0</v>
      </c>
      <c r="DG542" s="424">
        <f t="shared" si="883"/>
        <v>0</v>
      </c>
      <c r="DH542" s="424">
        <f t="shared" si="883"/>
        <v>0</v>
      </c>
      <c r="DI542" s="424">
        <f t="shared" si="883"/>
        <v>0</v>
      </c>
      <c r="DJ542" s="424">
        <f t="shared" si="883"/>
        <v>0</v>
      </c>
      <c r="DK542" s="424">
        <f t="shared" si="883"/>
        <v>0</v>
      </c>
      <c r="DL542" s="424">
        <f t="shared" si="883"/>
        <v>0</v>
      </c>
      <c r="DM542" s="424">
        <f t="shared" si="883"/>
        <v>0</v>
      </c>
      <c r="DN542" s="424">
        <f t="shared" si="883"/>
        <v>0</v>
      </c>
      <c r="DO542" s="424">
        <f t="shared" si="883"/>
        <v>0</v>
      </c>
      <c r="DP542" s="424">
        <f t="shared" si="883"/>
        <v>0</v>
      </c>
      <c r="DQ542" s="424">
        <f t="shared" si="883"/>
        <v>0</v>
      </c>
      <c r="DR542" s="424">
        <f t="shared" si="883"/>
        <v>0</v>
      </c>
      <c r="DS542" s="424">
        <f t="shared" si="883"/>
        <v>0</v>
      </c>
      <c r="DT542" s="424">
        <f t="shared" si="883"/>
        <v>0</v>
      </c>
      <c r="DU542" s="424">
        <f t="shared" si="883"/>
        <v>0</v>
      </c>
      <c r="DV542" s="424">
        <f t="shared" si="883"/>
        <v>0</v>
      </c>
      <c r="DW542" s="424">
        <f t="shared" si="883"/>
        <v>0</v>
      </c>
      <c r="DX542" s="424">
        <f t="shared" si="883"/>
        <v>0</v>
      </c>
      <c r="DY542" s="424">
        <f t="shared" si="883"/>
        <v>0</v>
      </c>
      <c r="DZ542" s="424">
        <f t="shared" si="883"/>
        <v>0</v>
      </c>
      <c r="EA542" s="424">
        <f t="shared" si="883"/>
        <v>0</v>
      </c>
      <c r="EB542" s="424">
        <f t="shared" si="883"/>
        <v>0</v>
      </c>
      <c r="EC542" s="424">
        <f t="shared" si="883"/>
        <v>0</v>
      </c>
      <c r="ED542" s="424">
        <f t="shared" si="883"/>
        <v>0</v>
      </c>
      <c r="EE542" s="424">
        <f t="shared" si="883"/>
        <v>0</v>
      </c>
      <c r="EF542" s="424">
        <f t="shared" si="883"/>
        <v>0</v>
      </c>
      <c r="EG542" s="424">
        <f t="shared" si="883"/>
        <v>0</v>
      </c>
      <c r="EH542" s="424">
        <f t="shared" ref="EH542:EX542" si="884">EH172*EH$372</f>
        <v>0</v>
      </c>
      <c r="EI542" s="424">
        <f t="shared" si="884"/>
        <v>0</v>
      </c>
      <c r="EJ542" s="424">
        <f t="shared" si="884"/>
        <v>0</v>
      </c>
      <c r="EK542" s="424">
        <f t="shared" si="884"/>
        <v>0</v>
      </c>
      <c r="EL542" s="424">
        <f t="shared" si="884"/>
        <v>0</v>
      </c>
      <c r="EM542" s="424">
        <f t="shared" si="884"/>
        <v>0</v>
      </c>
      <c r="EN542" s="424">
        <f t="shared" si="884"/>
        <v>0</v>
      </c>
      <c r="EO542" s="424">
        <f t="shared" si="884"/>
        <v>0</v>
      </c>
      <c r="EP542" s="424">
        <f t="shared" si="884"/>
        <v>0</v>
      </c>
      <c r="EQ542" s="424">
        <f t="shared" si="884"/>
        <v>0</v>
      </c>
      <c r="ER542" s="424">
        <f t="shared" si="884"/>
        <v>0</v>
      </c>
      <c r="ES542" s="424">
        <f t="shared" si="884"/>
        <v>0</v>
      </c>
      <c r="ET542" s="424">
        <f t="shared" si="884"/>
        <v>0</v>
      </c>
      <c r="EU542" s="424">
        <f t="shared" si="884"/>
        <v>0</v>
      </c>
      <c r="EV542" s="424">
        <f t="shared" si="884"/>
        <v>0</v>
      </c>
      <c r="EW542" s="424">
        <f t="shared" si="884"/>
        <v>0</v>
      </c>
      <c r="EX542" s="424">
        <f t="shared" si="884"/>
        <v>0</v>
      </c>
      <c r="EY542" s="425">
        <f t="shared" si="699"/>
        <v>33.43</v>
      </c>
      <c r="EZ542" s="616"/>
      <c r="FA542" s="616"/>
      <c r="FB542" s="616"/>
      <c r="FC542" s="616"/>
      <c r="FD542" s="616"/>
      <c r="FE542" s="616"/>
      <c r="FF542" s="616"/>
      <c r="FG542" s="616"/>
      <c r="FH542" s="616"/>
      <c r="FI542" s="616"/>
      <c r="FJ542" s="616"/>
    </row>
    <row r="543" spans="1:166" ht="14.7" customHeight="1" x14ac:dyDescent="0.25">
      <c r="A543" s="310">
        <v>169</v>
      </c>
      <c r="B543" s="311" t="str">
        <f t="shared" si="680"/>
        <v>Гуляш из отварной говядины</v>
      </c>
      <c r="C543" s="483">
        <f t="shared" si="688"/>
        <v>65.14</v>
      </c>
      <c r="D543" s="888"/>
      <c r="E543" s="888"/>
      <c r="F543" s="888"/>
      <c r="G543" s="889"/>
      <c r="H543" s="680">
        <f t="shared" si="681"/>
        <v>246</v>
      </c>
      <c r="I543" s="1209">
        <f t="shared" si="682"/>
        <v>0</v>
      </c>
      <c r="J543" s="424">
        <f t="shared" ref="J543:AO543" si="885">J173*J$372</f>
        <v>61.6</v>
      </c>
      <c r="K543" s="424">
        <f t="shared" si="885"/>
        <v>0</v>
      </c>
      <c r="L543" s="424">
        <f t="shared" si="885"/>
        <v>0</v>
      </c>
      <c r="M543" s="424">
        <f t="shared" si="885"/>
        <v>0</v>
      </c>
      <c r="N543" s="424">
        <f t="shared" si="885"/>
        <v>0</v>
      </c>
      <c r="O543" s="424">
        <f t="shared" si="885"/>
        <v>0</v>
      </c>
      <c r="P543" s="424">
        <f t="shared" si="885"/>
        <v>0</v>
      </c>
      <c r="Q543" s="424">
        <f t="shared" si="885"/>
        <v>0</v>
      </c>
      <c r="R543" s="424">
        <f t="shared" si="885"/>
        <v>0</v>
      </c>
      <c r="S543" s="424">
        <f t="shared" si="885"/>
        <v>0</v>
      </c>
      <c r="T543" s="424">
        <f t="shared" si="885"/>
        <v>0</v>
      </c>
      <c r="U543" s="424">
        <f t="shared" si="885"/>
        <v>0</v>
      </c>
      <c r="V543" s="424">
        <f t="shared" si="885"/>
        <v>0</v>
      </c>
      <c r="W543" s="424">
        <f t="shared" si="885"/>
        <v>0</v>
      </c>
      <c r="X543" s="424">
        <f t="shared" si="885"/>
        <v>0</v>
      </c>
      <c r="Y543" s="424">
        <f t="shared" si="885"/>
        <v>0</v>
      </c>
      <c r="Z543" s="424">
        <f t="shared" si="885"/>
        <v>0</v>
      </c>
      <c r="AA543" s="424">
        <f t="shared" si="885"/>
        <v>0</v>
      </c>
      <c r="AB543" s="424">
        <f t="shared" si="885"/>
        <v>0</v>
      </c>
      <c r="AC543" s="424">
        <f t="shared" si="885"/>
        <v>0</v>
      </c>
      <c r="AD543" s="424">
        <f t="shared" si="885"/>
        <v>0</v>
      </c>
      <c r="AE543" s="424">
        <f t="shared" si="885"/>
        <v>0</v>
      </c>
      <c r="AF543" s="424">
        <f t="shared" si="885"/>
        <v>0</v>
      </c>
      <c r="AG543" s="424">
        <f t="shared" si="885"/>
        <v>0</v>
      </c>
      <c r="AH543" s="424">
        <f t="shared" si="885"/>
        <v>0</v>
      </c>
      <c r="AI543" s="424">
        <f t="shared" si="885"/>
        <v>0</v>
      </c>
      <c r="AJ543" s="424">
        <f t="shared" si="885"/>
        <v>0</v>
      </c>
      <c r="AK543" s="424">
        <f t="shared" si="885"/>
        <v>0.73</v>
      </c>
      <c r="AL543" s="424">
        <f t="shared" si="885"/>
        <v>0</v>
      </c>
      <c r="AM543" s="424">
        <f t="shared" si="885"/>
        <v>0</v>
      </c>
      <c r="AN543" s="424">
        <f t="shared" si="885"/>
        <v>1.27</v>
      </c>
      <c r="AO543" s="424">
        <f t="shared" si="885"/>
        <v>0</v>
      </c>
      <c r="AP543" s="424">
        <f t="shared" ref="AP543:BU543" si="886">AP173*AP$372</f>
        <v>0</v>
      </c>
      <c r="AQ543" s="424">
        <f t="shared" si="886"/>
        <v>0.78</v>
      </c>
      <c r="AR543" s="424">
        <f t="shared" si="886"/>
        <v>0</v>
      </c>
      <c r="AS543" s="424">
        <f t="shared" si="886"/>
        <v>0</v>
      </c>
      <c r="AT543" s="424">
        <f t="shared" si="886"/>
        <v>0</v>
      </c>
      <c r="AU543" s="424">
        <f t="shared" si="886"/>
        <v>0</v>
      </c>
      <c r="AV543" s="424">
        <f t="shared" si="886"/>
        <v>0</v>
      </c>
      <c r="AW543" s="424">
        <f t="shared" si="886"/>
        <v>0</v>
      </c>
      <c r="AX543" s="424">
        <f t="shared" si="886"/>
        <v>0</v>
      </c>
      <c r="AY543" s="424">
        <f t="shared" si="886"/>
        <v>0</v>
      </c>
      <c r="AZ543" s="424">
        <f t="shared" si="886"/>
        <v>0</v>
      </c>
      <c r="BA543" s="424">
        <f t="shared" si="886"/>
        <v>0</v>
      </c>
      <c r="BB543" s="424">
        <f t="shared" si="886"/>
        <v>0</v>
      </c>
      <c r="BC543" s="424">
        <f t="shared" si="886"/>
        <v>0</v>
      </c>
      <c r="BD543" s="424">
        <f t="shared" si="886"/>
        <v>0</v>
      </c>
      <c r="BE543" s="424">
        <f t="shared" si="886"/>
        <v>0</v>
      </c>
      <c r="BF543" s="424">
        <f t="shared" si="886"/>
        <v>0</v>
      </c>
      <c r="BG543" s="424">
        <f t="shared" si="886"/>
        <v>0</v>
      </c>
      <c r="BH543" s="424">
        <f t="shared" si="886"/>
        <v>0</v>
      </c>
      <c r="BI543" s="424">
        <f t="shared" si="886"/>
        <v>0</v>
      </c>
      <c r="BJ543" s="424">
        <f t="shared" si="886"/>
        <v>0</v>
      </c>
      <c r="BK543" s="424">
        <f t="shared" si="886"/>
        <v>0</v>
      </c>
      <c r="BL543" s="424">
        <f t="shared" si="886"/>
        <v>0</v>
      </c>
      <c r="BM543" s="424">
        <f t="shared" si="886"/>
        <v>0</v>
      </c>
      <c r="BN543" s="424">
        <f t="shared" si="886"/>
        <v>0</v>
      </c>
      <c r="BO543" s="424">
        <f t="shared" si="886"/>
        <v>0</v>
      </c>
      <c r="BP543" s="424">
        <f t="shared" si="886"/>
        <v>0</v>
      </c>
      <c r="BQ543" s="424">
        <f t="shared" si="886"/>
        <v>0</v>
      </c>
      <c r="BR543" s="424">
        <f t="shared" si="886"/>
        <v>0</v>
      </c>
      <c r="BS543" s="424">
        <f t="shared" si="886"/>
        <v>7.0000000000000007E-2</v>
      </c>
      <c r="BT543" s="424">
        <f t="shared" si="886"/>
        <v>0</v>
      </c>
      <c r="BU543" s="424">
        <f t="shared" si="886"/>
        <v>0</v>
      </c>
      <c r="BV543" s="424">
        <f t="shared" ref="BV543:DA543" si="887">BV173*BV$372</f>
        <v>0</v>
      </c>
      <c r="BW543" s="424">
        <f t="shared" si="887"/>
        <v>0</v>
      </c>
      <c r="BX543" s="424">
        <f t="shared" si="887"/>
        <v>0</v>
      </c>
      <c r="BY543" s="424">
        <f t="shared" si="887"/>
        <v>0</v>
      </c>
      <c r="BZ543" s="424">
        <f t="shared" si="887"/>
        <v>0</v>
      </c>
      <c r="CA543" s="424">
        <f t="shared" si="887"/>
        <v>0</v>
      </c>
      <c r="CB543" s="424">
        <f t="shared" si="887"/>
        <v>0</v>
      </c>
      <c r="CC543" s="424">
        <f t="shared" si="887"/>
        <v>0</v>
      </c>
      <c r="CD543" s="424">
        <f t="shared" si="887"/>
        <v>0</v>
      </c>
      <c r="CE543" s="424">
        <f t="shared" si="887"/>
        <v>0</v>
      </c>
      <c r="CF543" s="424">
        <f t="shared" si="887"/>
        <v>0.6</v>
      </c>
      <c r="CG543" s="424">
        <f t="shared" si="887"/>
        <v>0</v>
      </c>
      <c r="CH543" s="424">
        <f t="shared" si="887"/>
        <v>0</v>
      </c>
      <c r="CI543" s="424">
        <f t="shared" si="887"/>
        <v>0</v>
      </c>
      <c r="CJ543" s="424">
        <f t="shared" si="887"/>
        <v>0</v>
      </c>
      <c r="CK543" s="424">
        <f t="shared" si="887"/>
        <v>0</v>
      </c>
      <c r="CL543" s="424">
        <f t="shared" si="887"/>
        <v>0</v>
      </c>
      <c r="CM543" s="424">
        <f t="shared" si="887"/>
        <v>0</v>
      </c>
      <c r="CN543" s="424">
        <f t="shared" si="887"/>
        <v>0</v>
      </c>
      <c r="CO543" s="424">
        <f t="shared" si="887"/>
        <v>0</v>
      </c>
      <c r="CP543" s="424">
        <f t="shared" si="887"/>
        <v>0</v>
      </c>
      <c r="CQ543" s="424">
        <f t="shared" si="887"/>
        <v>0</v>
      </c>
      <c r="CR543" s="424">
        <f t="shared" si="887"/>
        <v>0</v>
      </c>
      <c r="CS543" s="424">
        <f t="shared" si="887"/>
        <v>0.02</v>
      </c>
      <c r="CT543" s="424">
        <f t="shared" si="887"/>
        <v>0</v>
      </c>
      <c r="CU543" s="424">
        <f t="shared" si="887"/>
        <v>0</v>
      </c>
      <c r="CV543" s="424">
        <f t="shared" si="887"/>
        <v>0</v>
      </c>
      <c r="CW543" s="424">
        <f t="shared" si="887"/>
        <v>0</v>
      </c>
      <c r="CX543" s="424">
        <f t="shared" si="887"/>
        <v>0</v>
      </c>
      <c r="CY543" s="424">
        <f t="shared" si="887"/>
        <v>0</v>
      </c>
      <c r="CZ543" s="424">
        <f t="shared" si="887"/>
        <v>0</v>
      </c>
      <c r="DA543" s="424">
        <f t="shared" si="887"/>
        <v>0</v>
      </c>
      <c r="DB543" s="424">
        <f t="shared" ref="DB543:EG543" si="888">DB173*DB$372</f>
        <v>0</v>
      </c>
      <c r="DC543" s="424">
        <f t="shared" si="888"/>
        <v>7.0000000000000007E-2</v>
      </c>
      <c r="DD543" s="424">
        <f t="shared" si="888"/>
        <v>0</v>
      </c>
      <c r="DE543" s="424">
        <f t="shared" si="888"/>
        <v>0</v>
      </c>
      <c r="DF543" s="424">
        <f t="shared" si="888"/>
        <v>0</v>
      </c>
      <c r="DG543" s="424">
        <f t="shared" si="888"/>
        <v>0</v>
      </c>
      <c r="DH543" s="424">
        <f t="shared" si="888"/>
        <v>0</v>
      </c>
      <c r="DI543" s="424">
        <f t="shared" si="888"/>
        <v>0</v>
      </c>
      <c r="DJ543" s="424">
        <f t="shared" si="888"/>
        <v>0</v>
      </c>
      <c r="DK543" s="424">
        <f t="shared" si="888"/>
        <v>0</v>
      </c>
      <c r="DL543" s="424">
        <f t="shared" si="888"/>
        <v>0</v>
      </c>
      <c r="DM543" s="424">
        <f t="shared" si="888"/>
        <v>0</v>
      </c>
      <c r="DN543" s="424">
        <f t="shared" si="888"/>
        <v>0</v>
      </c>
      <c r="DO543" s="424">
        <f t="shared" si="888"/>
        <v>0</v>
      </c>
      <c r="DP543" s="424">
        <f t="shared" si="888"/>
        <v>0</v>
      </c>
      <c r="DQ543" s="424">
        <f t="shared" si="888"/>
        <v>0</v>
      </c>
      <c r="DR543" s="424">
        <f t="shared" si="888"/>
        <v>0</v>
      </c>
      <c r="DS543" s="424">
        <f t="shared" si="888"/>
        <v>0</v>
      </c>
      <c r="DT543" s="424">
        <f t="shared" si="888"/>
        <v>0</v>
      </c>
      <c r="DU543" s="424">
        <f t="shared" si="888"/>
        <v>0</v>
      </c>
      <c r="DV543" s="424">
        <f t="shared" si="888"/>
        <v>0</v>
      </c>
      <c r="DW543" s="424">
        <f t="shared" si="888"/>
        <v>0</v>
      </c>
      <c r="DX543" s="424">
        <f t="shared" si="888"/>
        <v>0</v>
      </c>
      <c r="DY543" s="424">
        <f t="shared" si="888"/>
        <v>0</v>
      </c>
      <c r="DZ543" s="424">
        <f t="shared" si="888"/>
        <v>0</v>
      </c>
      <c r="EA543" s="424">
        <f t="shared" si="888"/>
        <v>0</v>
      </c>
      <c r="EB543" s="424">
        <f t="shared" si="888"/>
        <v>0</v>
      </c>
      <c r="EC543" s="424">
        <f t="shared" si="888"/>
        <v>0</v>
      </c>
      <c r="ED543" s="424">
        <f t="shared" si="888"/>
        <v>0</v>
      </c>
      <c r="EE543" s="424">
        <f t="shared" si="888"/>
        <v>0</v>
      </c>
      <c r="EF543" s="424">
        <f t="shared" si="888"/>
        <v>0</v>
      </c>
      <c r="EG543" s="424">
        <f t="shared" si="888"/>
        <v>0</v>
      </c>
      <c r="EH543" s="424">
        <f t="shared" ref="EH543:EX543" si="889">EH173*EH$372</f>
        <v>0</v>
      </c>
      <c r="EI543" s="424">
        <f t="shared" si="889"/>
        <v>0</v>
      </c>
      <c r="EJ543" s="424">
        <f t="shared" si="889"/>
        <v>0</v>
      </c>
      <c r="EK543" s="424">
        <f t="shared" si="889"/>
        <v>0</v>
      </c>
      <c r="EL543" s="424">
        <f t="shared" si="889"/>
        <v>0</v>
      </c>
      <c r="EM543" s="424">
        <f t="shared" si="889"/>
        <v>0</v>
      </c>
      <c r="EN543" s="424">
        <f t="shared" si="889"/>
        <v>0</v>
      </c>
      <c r="EO543" s="424">
        <f t="shared" si="889"/>
        <v>0</v>
      </c>
      <c r="EP543" s="424">
        <f t="shared" si="889"/>
        <v>0</v>
      </c>
      <c r="EQ543" s="424">
        <f t="shared" si="889"/>
        <v>0</v>
      </c>
      <c r="ER543" s="424">
        <f t="shared" si="889"/>
        <v>0</v>
      </c>
      <c r="ES543" s="424">
        <f t="shared" si="889"/>
        <v>0</v>
      </c>
      <c r="ET543" s="424">
        <f t="shared" si="889"/>
        <v>0</v>
      </c>
      <c r="EU543" s="424">
        <f t="shared" si="889"/>
        <v>0</v>
      </c>
      <c r="EV543" s="424">
        <f t="shared" si="889"/>
        <v>0</v>
      </c>
      <c r="EW543" s="424">
        <f t="shared" si="889"/>
        <v>0</v>
      </c>
      <c r="EX543" s="424">
        <f t="shared" si="889"/>
        <v>0</v>
      </c>
      <c r="EY543" s="425">
        <f t="shared" si="699"/>
        <v>65.14</v>
      </c>
    </row>
    <row r="544" spans="1:166" ht="14.7" customHeight="1" x14ac:dyDescent="0.25">
      <c r="A544" s="310">
        <v>170</v>
      </c>
      <c r="B544" s="311" t="str">
        <f t="shared" si="680"/>
        <v>Мясо, жаренное крупным куском с молочным соусом</v>
      </c>
      <c r="C544" s="483">
        <f t="shared" si="688"/>
        <v>62.79</v>
      </c>
      <c r="D544" s="888"/>
      <c r="E544" s="888"/>
      <c r="F544" s="888"/>
      <c r="G544" s="889"/>
      <c r="H544" s="680">
        <f t="shared" si="681"/>
        <v>247</v>
      </c>
      <c r="I544" s="1209">
        <f t="shared" si="682"/>
        <v>0</v>
      </c>
      <c r="J544" s="424">
        <f t="shared" ref="J544:AO544" si="890">J174*J$372</f>
        <v>58.8</v>
      </c>
      <c r="K544" s="424">
        <f t="shared" si="890"/>
        <v>0</v>
      </c>
      <c r="L544" s="424">
        <f t="shared" si="890"/>
        <v>0</v>
      </c>
      <c r="M544" s="424">
        <f t="shared" si="890"/>
        <v>0</v>
      </c>
      <c r="N544" s="424">
        <f t="shared" si="890"/>
        <v>0</v>
      </c>
      <c r="O544" s="424">
        <f t="shared" si="890"/>
        <v>0</v>
      </c>
      <c r="P544" s="424">
        <f t="shared" si="890"/>
        <v>0</v>
      </c>
      <c r="Q544" s="424">
        <f t="shared" si="890"/>
        <v>0</v>
      </c>
      <c r="R544" s="424">
        <f t="shared" si="890"/>
        <v>0</v>
      </c>
      <c r="S544" s="424">
        <f t="shared" si="890"/>
        <v>0</v>
      </c>
      <c r="T544" s="424">
        <f t="shared" si="890"/>
        <v>0</v>
      </c>
      <c r="U544" s="424">
        <f t="shared" si="890"/>
        <v>1.2</v>
      </c>
      <c r="V544" s="424">
        <f t="shared" si="890"/>
        <v>1.17</v>
      </c>
      <c r="W544" s="424">
        <f t="shared" si="890"/>
        <v>0</v>
      </c>
      <c r="X544" s="424">
        <f t="shared" si="890"/>
        <v>0</v>
      </c>
      <c r="Y544" s="424">
        <f t="shared" si="890"/>
        <v>0</v>
      </c>
      <c r="Z544" s="424">
        <f t="shared" si="890"/>
        <v>0</v>
      </c>
      <c r="AA544" s="424">
        <f t="shared" si="890"/>
        <v>0</v>
      </c>
      <c r="AB544" s="424">
        <f t="shared" si="890"/>
        <v>0</v>
      </c>
      <c r="AC544" s="424">
        <f t="shared" si="890"/>
        <v>0</v>
      </c>
      <c r="AD544" s="424">
        <f t="shared" si="890"/>
        <v>0</v>
      </c>
      <c r="AE544" s="424">
        <f t="shared" si="890"/>
        <v>0</v>
      </c>
      <c r="AF544" s="424">
        <f t="shared" si="890"/>
        <v>0</v>
      </c>
      <c r="AG544" s="424">
        <f t="shared" si="890"/>
        <v>0</v>
      </c>
      <c r="AH544" s="424">
        <f t="shared" si="890"/>
        <v>0</v>
      </c>
      <c r="AI544" s="424">
        <f t="shared" si="890"/>
        <v>0</v>
      </c>
      <c r="AJ544" s="424">
        <f t="shared" si="890"/>
        <v>0</v>
      </c>
      <c r="AK544" s="424">
        <f t="shared" si="890"/>
        <v>0</v>
      </c>
      <c r="AL544" s="424">
        <f t="shared" si="890"/>
        <v>0.6</v>
      </c>
      <c r="AM544" s="424">
        <f t="shared" si="890"/>
        <v>0</v>
      </c>
      <c r="AN544" s="424">
        <f t="shared" si="890"/>
        <v>0</v>
      </c>
      <c r="AO544" s="424">
        <f t="shared" si="890"/>
        <v>0</v>
      </c>
      <c r="AP544" s="424">
        <f t="shared" ref="AP544:BU544" si="891">AP174*AP$372</f>
        <v>0</v>
      </c>
      <c r="AQ544" s="424">
        <f t="shared" si="891"/>
        <v>0</v>
      </c>
      <c r="AR544" s="424">
        <f t="shared" si="891"/>
        <v>0</v>
      </c>
      <c r="AS544" s="424">
        <f t="shared" si="891"/>
        <v>0</v>
      </c>
      <c r="AT544" s="424">
        <f t="shared" si="891"/>
        <v>0</v>
      </c>
      <c r="AU544" s="424">
        <f t="shared" si="891"/>
        <v>0.6</v>
      </c>
      <c r="AV544" s="424">
        <f t="shared" si="891"/>
        <v>0</v>
      </c>
      <c r="AW544" s="424">
        <f t="shared" si="891"/>
        <v>0</v>
      </c>
      <c r="AX544" s="424">
        <f t="shared" si="891"/>
        <v>0</v>
      </c>
      <c r="AY544" s="424">
        <f t="shared" si="891"/>
        <v>0</v>
      </c>
      <c r="AZ544" s="424">
        <f t="shared" si="891"/>
        <v>0</v>
      </c>
      <c r="BA544" s="424">
        <f t="shared" si="891"/>
        <v>0</v>
      </c>
      <c r="BB544" s="424">
        <f t="shared" si="891"/>
        <v>0</v>
      </c>
      <c r="BC544" s="424">
        <f t="shared" si="891"/>
        <v>0</v>
      </c>
      <c r="BD544" s="424">
        <f t="shared" si="891"/>
        <v>0</v>
      </c>
      <c r="BE544" s="424">
        <f t="shared" si="891"/>
        <v>0</v>
      </c>
      <c r="BF544" s="424">
        <f t="shared" si="891"/>
        <v>0</v>
      </c>
      <c r="BG544" s="424">
        <f t="shared" si="891"/>
        <v>0</v>
      </c>
      <c r="BH544" s="424">
        <f t="shared" si="891"/>
        <v>0</v>
      </c>
      <c r="BI544" s="424">
        <f t="shared" si="891"/>
        <v>0</v>
      </c>
      <c r="BJ544" s="424">
        <f t="shared" si="891"/>
        <v>0</v>
      </c>
      <c r="BK544" s="424">
        <f t="shared" si="891"/>
        <v>0</v>
      </c>
      <c r="BL544" s="424">
        <f t="shared" si="891"/>
        <v>0</v>
      </c>
      <c r="BM544" s="424">
        <f t="shared" si="891"/>
        <v>0</v>
      </c>
      <c r="BN544" s="424">
        <f t="shared" si="891"/>
        <v>0</v>
      </c>
      <c r="BO544" s="424">
        <f t="shared" si="891"/>
        <v>0</v>
      </c>
      <c r="BP544" s="424">
        <f t="shared" si="891"/>
        <v>0</v>
      </c>
      <c r="BQ544" s="424">
        <f t="shared" si="891"/>
        <v>0</v>
      </c>
      <c r="BR544" s="424">
        <f t="shared" si="891"/>
        <v>0</v>
      </c>
      <c r="BS544" s="424">
        <f t="shared" si="891"/>
        <v>0.06</v>
      </c>
      <c r="BT544" s="424">
        <f t="shared" si="891"/>
        <v>0</v>
      </c>
      <c r="BU544" s="424">
        <f t="shared" si="891"/>
        <v>0</v>
      </c>
      <c r="BV544" s="424">
        <f t="shared" ref="BV544:DA544" si="892">BV174*BV$372</f>
        <v>0</v>
      </c>
      <c r="BW544" s="424">
        <f t="shared" si="892"/>
        <v>0</v>
      </c>
      <c r="BX544" s="424">
        <f t="shared" si="892"/>
        <v>0</v>
      </c>
      <c r="BY544" s="424">
        <f t="shared" si="892"/>
        <v>0</v>
      </c>
      <c r="BZ544" s="424">
        <f t="shared" si="892"/>
        <v>0</v>
      </c>
      <c r="CA544" s="424">
        <f t="shared" si="892"/>
        <v>0</v>
      </c>
      <c r="CB544" s="424">
        <f t="shared" si="892"/>
        <v>0</v>
      </c>
      <c r="CC544" s="424">
        <f t="shared" si="892"/>
        <v>0</v>
      </c>
      <c r="CD544" s="424">
        <f t="shared" si="892"/>
        <v>0</v>
      </c>
      <c r="CE544" s="424">
        <f t="shared" si="892"/>
        <v>0</v>
      </c>
      <c r="CF544" s="424">
        <f t="shared" si="892"/>
        <v>0.24</v>
      </c>
      <c r="CG544" s="424">
        <f t="shared" si="892"/>
        <v>0</v>
      </c>
      <c r="CH544" s="424">
        <f t="shared" si="892"/>
        <v>0</v>
      </c>
      <c r="CI544" s="424">
        <f t="shared" si="892"/>
        <v>0</v>
      </c>
      <c r="CJ544" s="424">
        <f t="shared" si="892"/>
        <v>0</v>
      </c>
      <c r="CK544" s="424">
        <f t="shared" si="892"/>
        <v>0</v>
      </c>
      <c r="CL544" s="424">
        <f t="shared" si="892"/>
        <v>0</v>
      </c>
      <c r="CM544" s="424">
        <f t="shared" si="892"/>
        <v>0</v>
      </c>
      <c r="CN544" s="424">
        <f t="shared" si="892"/>
        <v>0</v>
      </c>
      <c r="CO544" s="424">
        <f t="shared" si="892"/>
        <v>0</v>
      </c>
      <c r="CP544" s="424">
        <f t="shared" si="892"/>
        <v>0</v>
      </c>
      <c r="CQ544" s="424">
        <f t="shared" si="892"/>
        <v>0</v>
      </c>
      <c r="CR544" s="424">
        <f t="shared" si="892"/>
        <v>0</v>
      </c>
      <c r="CS544" s="424">
        <f t="shared" si="892"/>
        <v>0.02</v>
      </c>
      <c r="CT544" s="424">
        <f t="shared" si="892"/>
        <v>0</v>
      </c>
      <c r="CU544" s="424">
        <f t="shared" si="892"/>
        <v>0</v>
      </c>
      <c r="CV544" s="424">
        <f t="shared" si="892"/>
        <v>0</v>
      </c>
      <c r="CW544" s="424">
        <f t="shared" si="892"/>
        <v>0</v>
      </c>
      <c r="CX544" s="424">
        <f t="shared" si="892"/>
        <v>0</v>
      </c>
      <c r="CY544" s="424">
        <f t="shared" si="892"/>
        <v>0</v>
      </c>
      <c r="CZ544" s="424">
        <f t="shared" si="892"/>
        <v>0.02</v>
      </c>
      <c r="DA544" s="424">
        <f t="shared" si="892"/>
        <v>0</v>
      </c>
      <c r="DB544" s="424">
        <f t="shared" ref="DB544:EG544" si="893">DB174*DB$372</f>
        <v>0</v>
      </c>
      <c r="DC544" s="424">
        <f t="shared" si="893"/>
        <v>0.08</v>
      </c>
      <c r="DD544" s="424">
        <f t="shared" si="893"/>
        <v>0</v>
      </c>
      <c r="DE544" s="424">
        <f t="shared" si="893"/>
        <v>0</v>
      </c>
      <c r="DF544" s="424">
        <f t="shared" si="893"/>
        <v>0</v>
      </c>
      <c r="DG544" s="424">
        <f t="shared" si="893"/>
        <v>0</v>
      </c>
      <c r="DH544" s="424">
        <f t="shared" si="893"/>
        <v>0</v>
      </c>
      <c r="DI544" s="424">
        <f t="shared" si="893"/>
        <v>0</v>
      </c>
      <c r="DJ544" s="424">
        <f t="shared" si="893"/>
        <v>0</v>
      </c>
      <c r="DK544" s="424">
        <f t="shared" si="893"/>
        <v>0</v>
      </c>
      <c r="DL544" s="424">
        <f t="shared" si="893"/>
        <v>0</v>
      </c>
      <c r="DM544" s="424">
        <f t="shared" si="893"/>
        <v>0</v>
      </c>
      <c r="DN544" s="424">
        <f t="shared" si="893"/>
        <v>0</v>
      </c>
      <c r="DO544" s="424">
        <f t="shared" si="893"/>
        <v>0</v>
      </c>
      <c r="DP544" s="424">
        <f t="shared" si="893"/>
        <v>0</v>
      </c>
      <c r="DQ544" s="424">
        <f t="shared" si="893"/>
        <v>0</v>
      </c>
      <c r="DR544" s="424">
        <f t="shared" si="893"/>
        <v>0</v>
      </c>
      <c r="DS544" s="424">
        <f t="shared" si="893"/>
        <v>0</v>
      </c>
      <c r="DT544" s="424">
        <f t="shared" si="893"/>
        <v>0</v>
      </c>
      <c r="DU544" s="424">
        <f t="shared" si="893"/>
        <v>0</v>
      </c>
      <c r="DV544" s="424">
        <f t="shared" si="893"/>
        <v>0</v>
      </c>
      <c r="DW544" s="424">
        <f t="shared" si="893"/>
        <v>0</v>
      </c>
      <c r="DX544" s="424">
        <f t="shared" si="893"/>
        <v>0</v>
      </c>
      <c r="DY544" s="424">
        <f t="shared" si="893"/>
        <v>0</v>
      </c>
      <c r="DZ544" s="424">
        <f t="shared" si="893"/>
        <v>0</v>
      </c>
      <c r="EA544" s="424">
        <f t="shared" si="893"/>
        <v>0</v>
      </c>
      <c r="EB544" s="424">
        <f t="shared" si="893"/>
        <v>0</v>
      </c>
      <c r="EC544" s="424">
        <f t="shared" si="893"/>
        <v>0</v>
      </c>
      <c r="ED544" s="424">
        <f t="shared" si="893"/>
        <v>0</v>
      </c>
      <c r="EE544" s="424">
        <f t="shared" si="893"/>
        <v>0</v>
      </c>
      <c r="EF544" s="424">
        <f t="shared" si="893"/>
        <v>0</v>
      </c>
      <c r="EG544" s="424">
        <f t="shared" si="893"/>
        <v>0</v>
      </c>
      <c r="EH544" s="424">
        <f t="shared" ref="EH544:EX544" si="894">EH174*EH$372</f>
        <v>0</v>
      </c>
      <c r="EI544" s="424">
        <f t="shared" si="894"/>
        <v>0</v>
      </c>
      <c r="EJ544" s="424">
        <f t="shared" si="894"/>
        <v>0</v>
      </c>
      <c r="EK544" s="424">
        <f t="shared" si="894"/>
        <v>0</v>
      </c>
      <c r="EL544" s="424">
        <f t="shared" si="894"/>
        <v>0</v>
      </c>
      <c r="EM544" s="424">
        <f t="shared" si="894"/>
        <v>0</v>
      </c>
      <c r="EN544" s="424">
        <f t="shared" si="894"/>
        <v>0</v>
      </c>
      <c r="EO544" s="424">
        <f t="shared" si="894"/>
        <v>0</v>
      </c>
      <c r="EP544" s="424">
        <f t="shared" si="894"/>
        <v>0</v>
      </c>
      <c r="EQ544" s="424">
        <f t="shared" si="894"/>
        <v>0</v>
      </c>
      <c r="ER544" s="424">
        <f t="shared" si="894"/>
        <v>0</v>
      </c>
      <c r="ES544" s="424">
        <f t="shared" si="894"/>
        <v>0</v>
      </c>
      <c r="ET544" s="424">
        <f t="shared" si="894"/>
        <v>0</v>
      </c>
      <c r="EU544" s="424">
        <f t="shared" si="894"/>
        <v>0</v>
      </c>
      <c r="EV544" s="424">
        <f t="shared" si="894"/>
        <v>0</v>
      </c>
      <c r="EW544" s="424">
        <f t="shared" si="894"/>
        <v>0</v>
      </c>
      <c r="EX544" s="424">
        <f t="shared" si="894"/>
        <v>0</v>
      </c>
      <c r="EY544" s="425">
        <f t="shared" si="699"/>
        <v>62.79</v>
      </c>
    </row>
    <row r="545" spans="1:166" ht="14.7" customHeight="1" x14ac:dyDescent="0.25">
      <c r="A545" s="310">
        <v>171</v>
      </c>
      <c r="B545" s="311" t="str">
        <f t="shared" si="680"/>
        <v>Мясо, жаренное крупным куском (2 вариант) с молочным соусом</v>
      </c>
      <c r="C545" s="483">
        <f t="shared" si="688"/>
        <v>35.31</v>
      </c>
      <c r="D545" s="888"/>
      <c r="E545" s="888"/>
      <c r="F545" s="888"/>
      <c r="G545" s="889"/>
      <c r="H545" s="680">
        <f t="shared" si="681"/>
        <v>247</v>
      </c>
      <c r="I545" s="1209">
        <f t="shared" si="682"/>
        <v>0</v>
      </c>
      <c r="J545" s="424">
        <f t="shared" ref="J545:AO545" si="895">J175*J$372</f>
        <v>29.68</v>
      </c>
      <c r="K545" s="424">
        <f t="shared" si="895"/>
        <v>0</v>
      </c>
      <c r="L545" s="424">
        <f t="shared" si="895"/>
        <v>0</v>
      </c>
      <c r="M545" s="424">
        <f t="shared" si="895"/>
        <v>0</v>
      </c>
      <c r="N545" s="424">
        <f t="shared" si="895"/>
        <v>0</v>
      </c>
      <c r="O545" s="424">
        <f t="shared" si="895"/>
        <v>0</v>
      </c>
      <c r="P545" s="424">
        <f t="shared" si="895"/>
        <v>0</v>
      </c>
      <c r="Q545" s="424">
        <f t="shared" si="895"/>
        <v>0</v>
      </c>
      <c r="R545" s="424">
        <f t="shared" si="895"/>
        <v>0</v>
      </c>
      <c r="S545" s="424">
        <f t="shared" si="895"/>
        <v>0</v>
      </c>
      <c r="T545" s="424">
        <f t="shared" si="895"/>
        <v>0</v>
      </c>
      <c r="U545" s="424">
        <f t="shared" si="895"/>
        <v>2</v>
      </c>
      <c r="V545" s="424">
        <f t="shared" si="895"/>
        <v>1.95</v>
      </c>
      <c r="W545" s="424">
        <f t="shared" si="895"/>
        <v>0</v>
      </c>
      <c r="X545" s="424">
        <f t="shared" si="895"/>
        <v>0</v>
      </c>
      <c r="Y545" s="424">
        <f t="shared" si="895"/>
        <v>0</v>
      </c>
      <c r="Z545" s="424">
        <f t="shared" si="895"/>
        <v>0</v>
      </c>
      <c r="AA545" s="424">
        <f t="shared" si="895"/>
        <v>0</v>
      </c>
      <c r="AB545" s="424">
        <f t="shared" si="895"/>
        <v>0</v>
      </c>
      <c r="AC545" s="424">
        <f t="shared" si="895"/>
        <v>0</v>
      </c>
      <c r="AD545" s="424">
        <f t="shared" si="895"/>
        <v>0</v>
      </c>
      <c r="AE545" s="424">
        <f t="shared" si="895"/>
        <v>0</v>
      </c>
      <c r="AF545" s="424">
        <f t="shared" si="895"/>
        <v>0</v>
      </c>
      <c r="AG545" s="424">
        <f t="shared" si="895"/>
        <v>0</v>
      </c>
      <c r="AH545" s="424">
        <f t="shared" si="895"/>
        <v>0</v>
      </c>
      <c r="AI545" s="424">
        <f t="shared" si="895"/>
        <v>0</v>
      </c>
      <c r="AJ545" s="424">
        <f t="shared" si="895"/>
        <v>0</v>
      </c>
      <c r="AK545" s="424">
        <f t="shared" si="895"/>
        <v>0</v>
      </c>
      <c r="AL545" s="424">
        <f t="shared" si="895"/>
        <v>0.6</v>
      </c>
      <c r="AM545" s="424">
        <f t="shared" si="895"/>
        <v>0</v>
      </c>
      <c r="AN545" s="424">
        <f t="shared" si="895"/>
        <v>0</v>
      </c>
      <c r="AO545" s="424">
        <f t="shared" si="895"/>
        <v>0</v>
      </c>
      <c r="AP545" s="424">
        <f t="shared" ref="AP545:BU545" si="896">AP175*AP$372</f>
        <v>0</v>
      </c>
      <c r="AQ545" s="424">
        <f t="shared" si="896"/>
        <v>0</v>
      </c>
      <c r="AR545" s="424">
        <f t="shared" si="896"/>
        <v>0</v>
      </c>
      <c r="AS545" s="424">
        <f t="shared" si="896"/>
        <v>0</v>
      </c>
      <c r="AT545" s="424">
        <f t="shared" si="896"/>
        <v>0</v>
      </c>
      <c r="AU545" s="424">
        <f t="shared" si="896"/>
        <v>0.6</v>
      </c>
      <c r="AV545" s="424">
        <f t="shared" si="896"/>
        <v>0</v>
      </c>
      <c r="AW545" s="424">
        <f t="shared" si="896"/>
        <v>0</v>
      </c>
      <c r="AX545" s="424">
        <f t="shared" si="896"/>
        <v>0</v>
      </c>
      <c r="AY545" s="424">
        <f t="shared" si="896"/>
        <v>0</v>
      </c>
      <c r="AZ545" s="424">
        <f t="shared" si="896"/>
        <v>0</v>
      </c>
      <c r="BA545" s="424">
        <f t="shared" si="896"/>
        <v>0</v>
      </c>
      <c r="BB545" s="424">
        <f t="shared" si="896"/>
        <v>0</v>
      </c>
      <c r="BC545" s="424">
        <f t="shared" si="896"/>
        <v>0</v>
      </c>
      <c r="BD545" s="424">
        <f t="shared" si="896"/>
        <v>0</v>
      </c>
      <c r="BE545" s="424">
        <f t="shared" si="896"/>
        <v>0</v>
      </c>
      <c r="BF545" s="424">
        <f t="shared" si="896"/>
        <v>0</v>
      </c>
      <c r="BG545" s="424">
        <f t="shared" si="896"/>
        <v>0</v>
      </c>
      <c r="BH545" s="424">
        <f t="shared" si="896"/>
        <v>0</v>
      </c>
      <c r="BI545" s="424">
        <f t="shared" si="896"/>
        <v>0</v>
      </c>
      <c r="BJ545" s="424">
        <f t="shared" si="896"/>
        <v>0</v>
      </c>
      <c r="BK545" s="424">
        <f t="shared" si="896"/>
        <v>0</v>
      </c>
      <c r="BL545" s="424">
        <f t="shared" si="896"/>
        <v>0</v>
      </c>
      <c r="BM545" s="424">
        <f t="shared" si="896"/>
        <v>0</v>
      </c>
      <c r="BN545" s="424">
        <f t="shared" si="896"/>
        <v>0</v>
      </c>
      <c r="BO545" s="424">
        <f t="shared" si="896"/>
        <v>0</v>
      </c>
      <c r="BP545" s="424">
        <f t="shared" si="896"/>
        <v>0</v>
      </c>
      <c r="BQ545" s="424">
        <f t="shared" si="896"/>
        <v>0</v>
      </c>
      <c r="BR545" s="424">
        <f t="shared" si="896"/>
        <v>0</v>
      </c>
      <c r="BS545" s="424">
        <f t="shared" si="896"/>
        <v>0.1</v>
      </c>
      <c r="BT545" s="424">
        <f t="shared" si="896"/>
        <v>0</v>
      </c>
      <c r="BU545" s="424">
        <f t="shared" si="896"/>
        <v>0</v>
      </c>
      <c r="BV545" s="424">
        <f t="shared" ref="BV545:DA545" si="897">BV175*BV$372</f>
        <v>0</v>
      </c>
      <c r="BW545" s="424">
        <f t="shared" si="897"/>
        <v>0</v>
      </c>
      <c r="BX545" s="424">
        <f t="shared" si="897"/>
        <v>0</v>
      </c>
      <c r="BY545" s="424">
        <f t="shared" si="897"/>
        <v>0</v>
      </c>
      <c r="BZ545" s="424">
        <f t="shared" si="897"/>
        <v>0</v>
      </c>
      <c r="CA545" s="424">
        <f t="shared" si="897"/>
        <v>0</v>
      </c>
      <c r="CB545" s="424">
        <f t="shared" si="897"/>
        <v>0</v>
      </c>
      <c r="CC545" s="424">
        <f t="shared" si="897"/>
        <v>0</v>
      </c>
      <c r="CD545" s="424">
        <f t="shared" si="897"/>
        <v>0</v>
      </c>
      <c r="CE545" s="424">
        <f t="shared" si="897"/>
        <v>0</v>
      </c>
      <c r="CF545" s="424">
        <f t="shared" si="897"/>
        <v>0.24</v>
      </c>
      <c r="CG545" s="424">
        <f t="shared" si="897"/>
        <v>0</v>
      </c>
      <c r="CH545" s="424">
        <f t="shared" si="897"/>
        <v>0</v>
      </c>
      <c r="CI545" s="424">
        <f t="shared" si="897"/>
        <v>0</v>
      </c>
      <c r="CJ545" s="424">
        <f t="shared" si="897"/>
        <v>0</v>
      </c>
      <c r="CK545" s="424">
        <f t="shared" si="897"/>
        <v>0</v>
      </c>
      <c r="CL545" s="424">
        <f t="shared" si="897"/>
        <v>0</v>
      </c>
      <c r="CM545" s="424">
        <f t="shared" si="897"/>
        <v>0</v>
      </c>
      <c r="CN545" s="424">
        <f t="shared" si="897"/>
        <v>0</v>
      </c>
      <c r="CO545" s="424">
        <f t="shared" si="897"/>
        <v>0</v>
      </c>
      <c r="CP545" s="424">
        <f t="shared" si="897"/>
        <v>0</v>
      </c>
      <c r="CQ545" s="424">
        <f t="shared" si="897"/>
        <v>0</v>
      </c>
      <c r="CR545" s="424">
        <f t="shared" si="897"/>
        <v>0</v>
      </c>
      <c r="CS545" s="424">
        <f t="shared" si="897"/>
        <v>0.02</v>
      </c>
      <c r="CT545" s="424">
        <f t="shared" si="897"/>
        <v>0</v>
      </c>
      <c r="CU545" s="424">
        <f t="shared" si="897"/>
        <v>0</v>
      </c>
      <c r="CV545" s="424">
        <f t="shared" si="897"/>
        <v>0</v>
      </c>
      <c r="CW545" s="424">
        <f t="shared" si="897"/>
        <v>0</v>
      </c>
      <c r="CX545" s="424">
        <f t="shared" si="897"/>
        <v>0</v>
      </c>
      <c r="CY545" s="424">
        <f t="shared" si="897"/>
        <v>0</v>
      </c>
      <c r="CZ545" s="424">
        <f t="shared" si="897"/>
        <v>0.04</v>
      </c>
      <c r="DA545" s="424">
        <f t="shared" si="897"/>
        <v>0</v>
      </c>
      <c r="DB545" s="424">
        <f t="shared" ref="DB545:EG545" si="898">DB175*DB$372</f>
        <v>0</v>
      </c>
      <c r="DC545" s="424">
        <f t="shared" si="898"/>
        <v>0.08</v>
      </c>
      <c r="DD545" s="424">
        <f t="shared" si="898"/>
        <v>0</v>
      </c>
      <c r="DE545" s="424">
        <f t="shared" si="898"/>
        <v>0</v>
      </c>
      <c r="DF545" s="424">
        <f t="shared" si="898"/>
        <v>0</v>
      </c>
      <c r="DG545" s="424">
        <f t="shared" si="898"/>
        <v>0</v>
      </c>
      <c r="DH545" s="424">
        <f t="shared" si="898"/>
        <v>0</v>
      </c>
      <c r="DI545" s="424">
        <f t="shared" si="898"/>
        <v>0</v>
      </c>
      <c r="DJ545" s="424">
        <f t="shared" si="898"/>
        <v>0</v>
      </c>
      <c r="DK545" s="424">
        <f t="shared" si="898"/>
        <v>0</v>
      </c>
      <c r="DL545" s="424">
        <f t="shared" si="898"/>
        <v>0</v>
      </c>
      <c r="DM545" s="424">
        <f t="shared" si="898"/>
        <v>0</v>
      </c>
      <c r="DN545" s="424">
        <f t="shared" si="898"/>
        <v>0</v>
      </c>
      <c r="DO545" s="424">
        <f t="shared" si="898"/>
        <v>0</v>
      </c>
      <c r="DP545" s="424">
        <f t="shared" si="898"/>
        <v>0</v>
      </c>
      <c r="DQ545" s="424">
        <f t="shared" si="898"/>
        <v>0</v>
      </c>
      <c r="DR545" s="424">
        <f t="shared" si="898"/>
        <v>0</v>
      </c>
      <c r="DS545" s="424">
        <f t="shared" si="898"/>
        <v>0</v>
      </c>
      <c r="DT545" s="424">
        <f t="shared" si="898"/>
        <v>0</v>
      </c>
      <c r="DU545" s="424">
        <f t="shared" si="898"/>
        <v>0</v>
      </c>
      <c r="DV545" s="424">
        <f t="shared" si="898"/>
        <v>0</v>
      </c>
      <c r="DW545" s="424">
        <f t="shared" si="898"/>
        <v>0</v>
      </c>
      <c r="DX545" s="424">
        <f t="shared" si="898"/>
        <v>0</v>
      </c>
      <c r="DY545" s="424">
        <f t="shared" si="898"/>
        <v>0</v>
      </c>
      <c r="DZ545" s="424">
        <f t="shared" si="898"/>
        <v>0</v>
      </c>
      <c r="EA545" s="424">
        <f t="shared" si="898"/>
        <v>0</v>
      </c>
      <c r="EB545" s="424">
        <f t="shared" si="898"/>
        <v>0</v>
      </c>
      <c r="EC545" s="424">
        <f t="shared" si="898"/>
        <v>0</v>
      </c>
      <c r="ED545" s="424">
        <f t="shared" si="898"/>
        <v>0</v>
      </c>
      <c r="EE545" s="424">
        <f t="shared" si="898"/>
        <v>0</v>
      </c>
      <c r="EF545" s="424">
        <f t="shared" si="898"/>
        <v>0</v>
      </c>
      <c r="EG545" s="424">
        <f t="shared" si="898"/>
        <v>0</v>
      </c>
      <c r="EH545" s="424">
        <f t="shared" ref="EH545:EX545" si="899">EH175*EH$372</f>
        <v>0</v>
      </c>
      <c r="EI545" s="424">
        <f t="shared" si="899"/>
        <v>0</v>
      </c>
      <c r="EJ545" s="424">
        <f t="shared" si="899"/>
        <v>0</v>
      </c>
      <c r="EK545" s="424">
        <f t="shared" si="899"/>
        <v>0</v>
      </c>
      <c r="EL545" s="424">
        <f t="shared" si="899"/>
        <v>0</v>
      </c>
      <c r="EM545" s="424">
        <f t="shared" si="899"/>
        <v>0</v>
      </c>
      <c r="EN545" s="424">
        <f t="shared" si="899"/>
        <v>0</v>
      </c>
      <c r="EO545" s="424">
        <f t="shared" si="899"/>
        <v>0</v>
      </c>
      <c r="EP545" s="424">
        <f t="shared" si="899"/>
        <v>0</v>
      </c>
      <c r="EQ545" s="424">
        <f t="shared" si="899"/>
        <v>0</v>
      </c>
      <c r="ER545" s="424">
        <f t="shared" si="899"/>
        <v>0</v>
      </c>
      <c r="ES545" s="424">
        <f t="shared" si="899"/>
        <v>0</v>
      </c>
      <c r="ET545" s="424">
        <f t="shared" si="899"/>
        <v>0</v>
      </c>
      <c r="EU545" s="424">
        <f t="shared" si="899"/>
        <v>0</v>
      </c>
      <c r="EV545" s="424">
        <f t="shared" si="899"/>
        <v>0</v>
      </c>
      <c r="EW545" s="424">
        <f t="shared" si="899"/>
        <v>0</v>
      </c>
      <c r="EX545" s="424">
        <f t="shared" si="899"/>
        <v>0</v>
      </c>
      <c r="EY545" s="425">
        <f t="shared" si="699"/>
        <v>35.31</v>
      </c>
    </row>
    <row r="546" spans="1:166" ht="14.7" customHeight="1" x14ac:dyDescent="0.25">
      <c r="A546" s="310">
        <v>172</v>
      </c>
      <c r="B546" s="311" t="str">
        <f t="shared" si="680"/>
        <v>Антрекот</v>
      </c>
      <c r="C546" s="483">
        <f t="shared" si="688"/>
        <v>62.93</v>
      </c>
      <c r="D546" s="888"/>
      <c r="E546" s="888"/>
      <c r="F546" s="888"/>
      <c r="G546" s="889"/>
      <c r="H546" s="680">
        <f t="shared" si="681"/>
        <v>249</v>
      </c>
      <c r="I546" s="1209">
        <f t="shared" si="682"/>
        <v>0</v>
      </c>
      <c r="J546" s="424">
        <f t="shared" ref="J546:AO546" si="900">J176*J$372</f>
        <v>61.04</v>
      </c>
      <c r="K546" s="424">
        <f t="shared" si="900"/>
        <v>0</v>
      </c>
      <c r="L546" s="424">
        <f t="shared" si="900"/>
        <v>0</v>
      </c>
      <c r="M546" s="424">
        <f t="shared" si="900"/>
        <v>0</v>
      </c>
      <c r="N546" s="424">
        <f t="shared" si="900"/>
        <v>0</v>
      </c>
      <c r="O546" s="424">
        <f t="shared" si="900"/>
        <v>0</v>
      </c>
      <c r="P546" s="424">
        <f t="shared" si="900"/>
        <v>0</v>
      </c>
      <c r="Q546" s="424">
        <f t="shared" si="900"/>
        <v>0</v>
      </c>
      <c r="R546" s="424">
        <f t="shared" si="900"/>
        <v>0</v>
      </c>
      <c r="S546" s="424">
        <f t="shared" si="900"/>
        <v>0</v>
      </c>
      <c r="T546" s="424">
        <f t="shared" si="900"/>
        <v>0</v>
      </c>
      <c r="U546" s="424">
        <f t="shared" si="900"/>
        <v>0</v>
      </c>
      <c r="V546" s="424">
        <f t="shared" si="900"/>
        <v>0</v>
      </c>
      <c r="W546" s="424">
        <f t="shared" si="900"/>
        <v>0</v>
      </c>
      <c r="X546" s="424">
        <f t="shared" si="900"/>
        <v>0</v>
      </c>
      <c r="Y546" s="424">
        <f t="shared" si="900"/>
        <v>0</v>
      </c>
      <c r="Z546" s="424">
        <f t="shared" si="900"/>
        <v>0</v>
      </c>
      <c r="AA546" s="424">
        <f t="shared" si="900"/>
        <v>0</v>
      </c>
      <c r="AB546" s="424">
        <f t="shared" si="900"/>
        <v>0</v>
      </c>
      <c r="AC546" s="424">
        <f t="shared" si="900"/>
        <v>0</v>
      </c>
      <c r="AD546" s="424">
        <f t="shared" si="900"/>
        <v>0</v>
      </c>
      <c r="AE546" s="424">
        <f t="shared" si="900"/>
        <v>0</v>
      </c>
      <c r="AF546" s="424">
        <f t="shared" si="900"/>
        <v>0</v>
      </c>
      <c r="AG546" s="424">
        <f t="shared" si="900"/>
        <v>0</v>
      </c>
      <c r="AH546" s="424">
        <f t="shared" si="900"/>
        <v>0</v>
      </c>
      <c r="AI546" s="424">
        <f t="shared" si="900"/>
        <v>0</v>
      </c>
      <c r="AJ546" s="424">
        <f t="shared" si="900"/>
        <v>0</v>
      </c>
      <c r="AK546" s="424">
        <f t="shared" si="900"/>
        <v>0</v>
      </c>
      <c r="AL546" s="424">
        <f t="shared" si="900"/>
        <v>0.6</v>
      </c>
      <c r="AM546" s="424">
        <f t="shared" si="900"/>
        <v>0</v>
      </c>
      <c r="AN546" s="424">
        <f t="shared" si="900"/>
        <v>0</v>
      </c>
      <c r="AO546" s="424">
        <f t="shared" si="900"/>
        <v>0</v>
      </c>
      <c r="AP546" s="424">
        <f t="shared" ref="AP546:BU546" si="901">AP176*AP$372</f>
        <v>0</v>
      </c>
      <c r="AQ546" s="424">
        <f t="shared" si="901"/>
        <v>0</v>
      </c>
      <c r="AR546" s="424">
        <f t="shared" si="901"/>
        <v>0</v>
      </c>
      <c r="AS546" s="424">
        <f t="shared" si="901"/>
        <v>0</v>
      </c>
      <c r="AT546" s="424">
        <f t="shared" si="901"/>
        <v>0</v>
      </c>
      <c r="AU546" s="424">
        <f t="shared" si="901"/>
        <v>0.6</v>
      </c>
      <c r="AV546" s="424">
        <f t="shared" si="901"/>
        <v>0</v>
      </c>
      <c r="AW546" s="424">
        <f t="shared" si="901"/>
        <v>0</v>
      </c>
      <c r="AX546" s="424">
        <f t="shared" si="901"/>
        <v>0</v>
      </c>
      <c r="AY546" s="424">
        <f t="shared" si="901"/>
        <v>0</v>
      </c>
      <c r="AZ546" s="424">
        <f t="shared" si="901"/>
        <v>0</v>
      </c>
      <c r="BA546" s="424">
        <f t="shared" si="901"/>
        <v>0</v>
      </c>
      <c r="BB546" s="424">
        <f t="shared" si="901"/>
        <v>0</v>
      </c>
      <c r="BC546" s="424">
        <f t="shared" si="901"/>
        <v>0</v>
      </c>
      <c r="BD546" s="424">
        <f t="shared" si="901"/>
        <v>0</v>
      </c>
      <c r="BE546" s="424">
        <f t="shared" si="901"/>
        <v>0</v>
      </c>
      <c r="BF546" s="424">
        <f t="shared" si="901"/>
        <v>0</v>
      </c>
      <c r="BG546" s="424">
        <f t="shared" si="901"/>
        <v>0</v>
      </c>
      <c r="BH546" s="424">
        <f t="shared" si="901"/>
        <v>0</v>
      </c>
      <c r="BI546" s="424">
        <f t="shared" si="901"/>
        <v>0</v>
      </c>
      <c r="BJ546" s="424">
        <f t="shared" si="901"/>
        <v>0</v>
      </c>
      <c r="BK546" s="424">
        <f t="shared" si="901"/>
        <v>0</v>
      </c>
      <c r="BL546" s="424">
        <f t="shared" si="901"/>
        <v>0</v>
      </c>
      <c r="BM546" s="424">
        <f t="shared" si="901"/>
        <v>0</v>
      </c>
      <c r="BN546" s="424">
        <f t="shared" si="901"/>
        <v>0</v>
      </c>
      <c r="BO546" s="424">
        <f t="shared" si="901"/>
        <v>0</v>
      </c>
      <c r="BP546" s="424">
        <f t="shared" si="901"/>
        <v>0</v>
      </c>
      <c r="BQ546" s="424">
        <f t="shared" si="901"/>
        <v>0</v>
      </c>
      <c r="BR546" s="424">
        <f t="shared" si="901"/>
        <v>0</v>
      </c>
      <c r="BS546" s="424">
        <f t="shared" si="901"/>
        <v>0</v>
      </c>
      <c r="BT546" s="424">
        <f t="shared" si="901"/>
        <v>0</v>
      </c>
      <c r="BU546" s="424">
        <f t="shared" si="901"/>
        <v>0</v>
      </c>
      <c r="BV546" s="424">
        <f t="shared" ref="BV546:DA546" si="902">BV176*BV$372</f>
        <v>0</v>
      </c>
      <c r="BW546" s="424">
        <f t="shared" si="902"/>
        <v>0</v>
      </c>
      <c r="BX546" s="424">
        <f t="shared" si="902"/>
        <v>0</v>
      </c>
      <c r="BY546" s="424">
        <f t="shared" si="902"/>
        <v>0</v>
      </c>
      <c r="BZ546" s="424">
        <f t="shared" si="902"/>
        <v>0</v>
      </c>
      <c r="CA546" s="424">
        <f t="shared" si="902"/>
        <v>0</v>
      </c>
      <c r="CB546" s="424">
        <f t="shared" si="902"/>
        <v>0</v>
      </c>
      <c r="CC546" s="424">
        <f t="shared" si="902"/>
        <v>0</v>
      </c>
      <c r="CD546" s="424">
        <f t="shared" si="902"/>
        <v>0</v>
      </c>
      <c r="CE546" s="424">
        <f t="shared" si="902"/>
        <v>0</v>
      </c>
      <c r="CF546" s="424">
        <f t="shared" si="902"/>
        <v>0.6</v>
      </c>
      <c r="CG546" s="424">
        <f t="shared" si="902"/>
        <v>0</v>
      </c>
      <c r="CH546" s="424">
        <f t="shared" si="902"/>
        <v>0</v>
      </c>
      <c r="CI546" s="424">
        <f t="shared" si="902"/>
        <v>0</v>
      </c>
      <c r="CJ546" s="424">
        <f t="shared" si="902"/>
        <v>0</v>
      </c>
      <c r="CK546" s="424">
        <f t="shared" si="902"/>
        <v>0</v>
      </c>
      <c r="CL546" s="424">
        <f t="shared" si="902"/>
        <v>0</v>
      </c>
      <c r="CM546" s="424">
        <f t="shared" si="902"/>
        <v>0</v>
      </c>
      <c r="CN546" s="424">
        <f t="shared" si="902"/>
        <v>0</v>
      </c>
      <c r="CO546" s="424">
        <f t="shared" si="902"/>
        <v>0</v>
      </c>
      <c r="CP546" s="424">
        <f t="shared" si="902"/>
        <v>0</v>
      </c>
      <c r="CQ546" s="424">
        <f t="shared" si="902"/>
        <v>0</v>
      </c>
      <c r="CR546" s="424">
        <f t="shared" si="902"/>
        <v>0</v>
      </c>
      <c r="CS546" s="424">
        <f t="shared" si="902"/>
        <v>0.02</v>
      </c>
      <c r="CT546" s="424">
        <f t="shared" si="902"/>
        <v>0</v>
      </c>
      <c r="CU546" s="424">
        <f t="shared" si="902"/>
        <v>0</v>
      </c>
      <c r="CV546" s="424">
        <f t="shared" si="902"/>
        <v>0</v>
      </c>
      <c r="CW546" s="424">
        <f t="shared" si="902"/>
        <v>0</v>
      </c>
      <c r="CX546" s="424">
        <f t="shared" si="902"/>
        <v>0</v>
      </c>
      <c r="CY546" s="424">
        <f t="shared" si="902"/>
        <v>0</v>
      </c>
      <c r="CZ546" s="424">
        <f t="shared" si="902"/>
        <v>0</v>
      </c>
      <c r="DA546" s="424">
        <f t="shared" si="902"/>
        <v>0</v>
      </c>
      <c r="DB546" s="424">
        <f t="shared" ref="DB546:EG546" si="903">DB176*DB$372</f>
        <v>0</v>
      </c>
      <c r="DC546" s="424">
        <f t="shared" si="903"/>
        <v>7.0000000000000007E-2</v>
      </c>
      <c r="DD546" s="424">
        <f t="shared" si="903"/>
        <v>0</v>
      </c>
      <c r="DE546" s="424">
        <f t="shared" si="903"/>
        <v>0</v>
      </c>
      <c r="DF546" s="424">
        <f t="shared" si="903"/>
        <v>0</v>
      </c>
      <c r="DG546" s="424">
        <f t="shared" si="903"/>
        <v>0</v>
      </c>
      <c r="DH546" s="424">
        <f t="shared" si="903"/>
        <v>0</v>
      </c>
      <c r="DI546" s="424">
        <f t="shared" si="903"/>
        <v>0</v>
      </c>
      <c r="DJ546" s="424">
        <f t="shared" si="903"/>
        <v>0</v>
      </c>
      <c r="DK546" s="424">
        <f t="shared" si="903"/>
        <v>0</v>
      </c>
      <c r="DL546" s="424">
        <f t="shared" si="903"/>
        <v>0</v>
      </c>
      <c r="DM546" s="424">
        <f t="shared" si="903"/>
        <v>0</v>
      </c>
      <c r="DN546" s="424">
        <f t="shared" si="903"/>
        <v>0</v>
      </c>
      <c r="DO546" s="424">
        <f t="shared" si="903"/>
        <v>0</v>
      </c>
      <c r="DP546" s="424">
        <f t="shared" si="903"/>
        <v>0</v>
      </c>
      <c r="DQ546" s="424">
        <f t="shared" si="903"/>
        <v>0</v>
      </c>
      <c r="DR546" s="424">
        <f t="shared" si="903"/>
        <v>0</v>
      </c>
      <c r="DS546" s="424">
        <f t="shared" si="903"/>
        <v>0</v>
      </c>
      <c r="DT546" s="424">
        <f t="shared" si="903"/>
        <v>0</v>
      </c>
      <c r="DU546" s="424">
        <f t="shared" si="903"/>
        <v>0</v>
      </c>
      <c r="DV546" s="424">
        <f t="shared" si="903"/>
        <v>0</v>
      </c>
      <c r="DW546" s="424">
        <f t="shared" si="903"/>
        <v>0</v>
      </c>
      <c r="DX546" s="424">
        <f t="shared" si="903"/>
        <v>0</v>
      </c>
      <c r="DY546" s="424">
        <f t="shared" si="903"/>
        <v>0</v>
      </c>
      <c r="DZ546" s="424">
        <f t="shared" si="903"/>
        <v>0</v>
      </c>
      <c r="EA546" s="424">
        <f t="shared" si="903"/>
        <v>0</v>
      </c>
      <c r="EB546" s="424">
        <f t="shared" si="903"/>
        <v>0</v>
      </c>
      <c r="EC546" s="424">
        <f t="shared" si="903"/>
        <v>0</v>
      </c>
      <c r="ED546" s="424">
        <f t="shared" si="903"/>
        <v>0</v>
      </c>
      <c r="EE546" s="424">
        <f t="shared" si="903"/>
        <v>0</v>
      </c>
      <c r="EF546" s="424">
        <f t="shared" si="903"/>
        <v>0</v>
      </c>
      <c r="EG546" s="424">
        <f t="shared" si="903"/>
        <v>0</v>
      </c>
      <c r="EH546" s="424">
        <f t="shared" ref="EH546:EX546" si="904">EH176*EH$372</f>
        <v>0</v>
      </c>
      <c r="EI546" s="424">
        <f t="shared" si="904"/>
        <v>0</v>
      </c>
      <c r="EJ546" s="424">
        <f t="shared" si="904"/>
        <v>0</v>
      </c>
      <c r="EK546" s="424">
        <f t="shared" si="904"/>
        <v>0</v>
      </c>
      <c r="EL546" s="424">
        <f t="shared" si="904"/>
        <v>0</v>
      </c>
      <c r="EM546" s="424">
        <f t="shared" si="904"/>
        <v>0</v>
      </c>
      <c r="EN546" s="424">
        <f t="shared" si="904"/>
        <v>0</v>
      </c>
      <c r="EO546" s="424">
        <f t="shared" si="904"/>
        <v>0</v>
      </c>
      <c r="EP546" s="424">
        <f t="shared" si="904"/>
        <v>0</v>
      </c>
      <c r="EQ546" s="424">
        <f t="shared" si="904"/>
        <v>0</v>
      </c>
      <c r="ER546" s="424">
        <f t="shared" si="904"/>
        <v>0</v>
      </c>
      <c r="ES546" s="424">
        <f t="shared" si="904"/>
        <v>0</v>
      </c>
      <c r="ET546" s="424">
        <f t="shared" si="904"/>
        <v>0</v>
      </c>
      <c r="EU546" s="424">
        <f t="shared" si="904"/>
        <v>0</v>
      </c>
      <c r="EV546" s="424">
        <f t="shared" si="904"/>
        <v>0</v>
      </c>
      <c r="EW546" s="424">
        <f t="shared" si="904"/>
        <v>0</v>
      </c>
      <c r="EX546" s="424">
        <f t="shared" si="904"/>
        <v>0</v>
      </c>
      <c r="EY546" s="425">
        <f t="shared" si="699"/>
        <v>62.93</v>
      </c>
    </row>
    <row r="547" spans="1:166" ht="14.7" customHeight="1" x14ac:dyDescent="0.25">
      <c r="A547" s="310">
        <v>173</v>
      </c>
      <c r="B547" s="311" t="str">
        <f t="shared" si="680"/>
        <v xml:space="preserve">Бефстроганов </v>
      </c>
      <c r="C547" s="483">
        <f t="shared" si="688"/>
        <v>69.02</v>
      </c>
      <c r="D547" s="888"/>
      <c r="E547" s="888"/>
      <c r="F547" s="888"/>
      <c r="G547" s="889"/>
      <c r="H547" s="680">
        <f t="shared" si="681"/>
        <v>250</v>
      </c>
      <c r="I547" s="1209">
        <f t="shared" si="682"/>
        <v>0</v>
      </c>
      <c r="J547" s="424">
        <f t="shared" ref="J547:AO547" si="905">J177*J$372</f>
        <v>59.92</v>
      </c>
      <c r="K547" s="424">
        <f t="shared" si="905"/>
        <v>0</v>
      </c>
      <c r="L547" s="424">
        <f t="shared" si="905"/>
        <v>0</v>
      </c>
      <c r="M547" s="424">
        <f t="shared" si="905"/>
        <v>0</v>
      </c>
      <c r="N547" s="424">
        <f t="shared" si="905"/>
        <v>0</v>
      </c>
      <c r="O547" s="424">
        <f t="shared" si="905"/>
        <v>0</v>
      </c>
      <c r="P547" s="424">
        <f t="shared" si="905"/>
        <v>0</v>
      </c>
      <c r="Q547" s="424">
        <f t="shared" si="905"/>
        <v>0</v>
      </c>
      <c r="R547" s="424">
        <f t="shared" si="905"/>
        <v>0</v>
      </c>
      <c r="S547" s="424">
        <f t="shared" si="905"/>
        <v>0</v>
      </c>
      <c r="T547" s="424">
        <f t="shared" si="905"/>
        <v>0</v>
      </c>
      <c r="U547" s="424">
        <f t="shared" si="905"/>
        <v>0</v>
      </c>
      <c r="V547" s="424">
        <f t="shared" si="905"/>
        <v>0</v>
      </c>
      <c r="W547" s="424">
        <f t="shared" si="905"/>
        <v>0</v>
      </c>
      <c r="X547" s="424">
        <f t="shared" si="905"/>
        <v>0</v>
      </c>
      <c r="Y547" s="424">
        <f t="shared" si="905"/>
        <v>5.38</v>
      </c>
      <c r="Z547" s="424">
        <f t="shared" si="905"/>
        <v>0</v>
      </c>
      <c r="AA547" s="424">
        <f t="shared" si="905"/>
        <v>0</v>
      </c>
      <c r="AB547" s="424">
        <f t="shared" si="905"/>
        <v>0</v>
      </c>
      <c r="AC547" s="424">
        <f t="shared" si="905"/>
        <v>0</v>
      </c>
      <c r="AD547" s="424">
        <f t="shared" si="905"/>
        <v>0</v>
      </c>
      <c r="AE547" s="424">
        <f t="shared" si="905"/>
        <v>0</v>
      </c>
      <c r="AF547" s="424">
        <f t="shared" si="905"/>
        <v>0</v>
      </c>
      <c r="AG547" s="424">
        <f t="shared" si="905"/>
        <v>0</v>
      </c>
      <c r="AH547" s="424">
        <f t="shared" si="905"/>
        <v>0</v>
      </c>
      <c r="AI547" s="424">
        <f t="shared" si="905"/>
        <v>0</v>
      </c>
      <c r="AJ547" s="424">
        <f t="shared" si="905"/>
        <v>0</v>
      </c>
      <c r="AK547" s="424">
        <f t="shared" si="905"/>
        <v>1.45</v>
      </c>
      <c r="AL547" s="424">
        <f t="shared" si="905"/>
        <v>0.6</v>
      </c>
      <c r="AM547" s="424">
        <f t="shared" si="905"/>
        <v>0</v>
      </c>
      <c r="AN547" s="424">
        <f t="shared" si="905"/>
        <v>0</v>
      </c>
      <c r="AO547" s="424">
        <f t="shared" si="905"/>
        <v>0</v>
      </c>
      <c r="AP547" s="424">
        <f t="shared" ref="AP547:BU547" si="906">AP177*AP$372</f>
        <v>0</v>
      </c>
      <c r="AQ547" s="424">
        <f t="shared" si="906"/>
        <v>0</v>
      </c>
      <c r="AR547" s="424">
        <f t="shared" si="906"/>
        <v>0</v>
      </c>
      <c r="AS547" s="424">
        <f t="shared" si="906"/>
        <v>0</v>
      </c>
      <c r="AT547" s="424">
        <f t="shared" si="906"/>
        <v>0</v>
      </c>
      <c r="AU547" s="424">
        <f t="shared" si="906"/>
        <v>0.6</v>
      </c>
      <c r="AV547" s="424">
        <f t="shared" si="906"/>
        <v>0</v>
      </c>
      <c r="AW547" s="424">
        <f t="shared" si="906"/>
        <v>0</v>
      </c>
      <c r="AX547" s="424">
        <f t="shared" si="906"/>
        <v>0</v>
      </c>
      <c r="AY547" s="424">
        <f t="shared" si="906"/>
        <v>0</v>
      </c>
      <c r="AZ547" s="424">
        <f t="shared" si="906"/>
        <v>0</v>
      </c>
      <c r="BA547" s="424">
        <f t="shared" si="906"/>
        <v>0</v>
      </c>
      <c r="BB547" s="424">
        <f t="shared" si="906"/>
        <v>0</v>
      </c>
      <c r="BC547" s="424">
        <f t="shared" si="906"/>
        <v>0</v>
      </c>
      <c r="BD547" s="424">
        <f t="shared" si="906"/>
        <v>0</v>
      </c>
      <c r="BE547" s="424">
        <f t="shared" si="906"/>
        <v>0</v>
      </c>
      <c r="BF547" s="424">
        <f t="shared" si="906"/>
        <v>0</v>
      </c>
      <c r="BG547" s="424">
        <f t="shared" si="906"/>
        <v>0</v>
      </c>
      <c r="BH547" s="424">
        <f t="shared" si="906"/>
        <v>0</v>
      </c>
      <c r="BI547" s="424">
        <f t="shared" si="906"/>
        <v>0</v>
      </c>
      <c r="BJ547" s="424">
        <f t="shared" si="906"/>
        <v>0</v>
      </c>
      <c r="BK547" s="424">
        <f t="shared" si="906"/>
        <v>0</v>
      </c>
      <c r="BL547" s="424">
        <f t="shared" si="906"/>
        <v>0</v>
      </c>
      <c r="BM547" s="424">
        <f t="shared" si="906"/>
        <v>0</v>
      </c>
      <c r="BN547" s="424">
        <f t="shared" si="906"/>
        <v>0</v>
      </c>
      <c r="BO547" s="424">
        <f t="shared" si="906"/>
        <v>0</v>
      </c>
      <c r="BP547" s="424">
        <f t="shared" si="906"/>
        <v>0</v>
      </c>
      <c r="BQ547" s="424">
        <f t="shared" si="906"/>
        <v>0</v>
      </c>
      <c r="BR547" s="424">
        <f t="shared" si="906"/>
        <v>0</v>
      </c>
      <c r="BS547" s="424">
        <f t="shared" si="906"/>
        <v>0.14000000000000001</v>
      </c>
      <c r="BT547" s="424">
        <f t="shared" si="906"/>
        <v>0</v>
      </c>
      <c r="BU547" s="424">
        <f t="shared" si="906"/>
        <v>0</v>
      </c>
      <c r="BV547" s="424">
        <f t="shared" ref="BV547:DA547" si="907">BV177*BV$372</f>
        <v>0</v>
      </c>
      <c r="BW547" s="424">
        <f t="shared" si="907"/>
        <v>0</v>
      </c>
      <c r="BX547" s="424">
        <f t="shared" si="907"/>
        <v>0</v>
      </c>
      <c r="BY547" s="424">
        <f t="shared" si="907"/>
        <v>0</v>
      </c>
      <c r="BZ547" s="424">
        <f t="shared" si="907"/>
        <v>0</v>
      </c>
      <c r="CA547" s="424">
        <f t="shared" si="907"/>
        <v>0</v>
      </c>
      <c r="CB547" s="424">
        <f t="shared" si="907"/>
        <v>0</v>
      </c>
      <c r="CC547" s="424">
        <f t="shared" si="907"/>
        <v>0</v>
      </c>
      <c r="CD547" s="424">
        <f t="shared" si="907"/>
        <v>0</v>
      </c>
      <c r="CE547" s="424">
        <f t="shared" si="907"/>
        <v>0</v>
      </c>
      <c r="CF547" s="424">
        <f t="shared" si="907"/>
        <v>0.84</v>
      </c>
      <c r="CG547" s="424">
        <f t="shared" si="907"/>
        <v>0</v>
      </c>
      <c r="CH547" s="424">
        <f t="shared" si="907"/>
        <v>0</v>
      </c>
      <c r="CI547" s="424">
        <f t="shared" si="907"/>
        <v>0</v>
      </c>
      <c r="CJ547" s="424">
        <f t="shared" si="907"/>
        <v>0</v>
      </c>
      <c r="CK547" s="424">
        <f t="shared" si="907"/>
        <v>0</v>
      </c>
      <c r="CL547" s="424">
        <f t="shared" si="907"/>
        <v>0</v>
      </c>
      <c r="CM547" s="424">
        <f t="shared" si="907"/>
        <v>0</v>
      </c>
      <c r="CN547" s="424">
        <f t="shared" si="907"/>
        <v>0</v>
      </c>
      <c r="CO547" s="424">
        <f t="shared" si="907"/>
        <v>0</v>
      </c>
      <c r="CP547" s="424">
        <f t="shared" si="907"/>
        <v>0</v>
      </c>
      <c r="CQ547" s="424">
        <f t="shared" si="907"/>
        <v>0</v>
      </c>
      <c r="CR547" s="424">
        <f t="shared" si="907"/>
        <v>0</v>
      </c>
      <c r="CS547" s="424">
        <f t="shared" si="907"/>
        <v>0.02</v>
      </c>
      <c r="CT547" s="424">
        <f t="shared" si="907"/>
        <v>0</v>
      </c>
      <c r="CU547" s="424">
        <f t="shared" si="907"/>
        <v>0</v>
      </c>
      <c r="CV547" s="424">
        <f t="shared" si="907"/>
        <v>0</v>
      </c>
      <c r="CW547" s="424">
        <f t="shared" si="907"/>
        <v>0</v>
      </c>
      <c r="CX547" s="424">
        <f t="shared" si="907"/>
        <v>0</v>
      </c>
      <c r="CY547" s="424">
        <f t="shared" si="907"/>
        <v>0</v>
      </c>
      <c r="CZ547" s="424">
        <f t="shared" si="907"/>
        <v>0</v>
      </c>
      <c r="DA547" s="424">
        <f t="shared" si="907"/>
        <v>0</v>
      </c>
      <c r="DB547" s="424">
        <f t="shared" ref="DB547:EG547" si="908">DB177*DB$372</f>
        <v>0</v>
      </c>
      <c r="DC547" s="424">
        <f t="shared" si="908"/>
        <v>7.0000000000000007E-2</v>
      </c>
      <c r="DD547" s="424">
        <f t="shared" si="908"/>
        <v>0</v>
      </c>
      <c r="DE547" s="424">
        <f t="shared" si="908"/>
        <v>0</v>
      </c>
      <c r="DF547" s="424">
        <f t="shared" si="908"/>
        <v>0</v>
      </c>
      <c r="DG547" s="424">
        <f t="shared" si="908"/>
        <v>0</v>
      </c>
      <c r="DH547" s="424">
        <f t="shared" si="908"/>
        <v>0</v>
      </c>
      <c r="DI547" s="424">
        <f t="shared" si="908"/>
        <v>0</v>
      </c>
      <c r="DJ547" s="424">
        <f t="shared" si="908"/>
        <v>0</v>
      </c>
      <c r="DK547" s="424">
        <f t="shared" si="908"/>
        <v>0</v>
      </c>
      <c r="DL547" s="424">
        <f t="shared" si="908"/>
        <v>0</v>
      </c>
      <c r="DM547" s="424">
        <f t="shared" si="908"/>
        <v>0</v>
      </c>
      <c r="DN547" s="424">
        <f t="shared" si="908"/>
        <v>0</v>
      </c>
      <c r="DO547" s="424">
        <f t="shared" si="908"/>
        <v>0</v>
      </c>
      <c r="DP547" s="424">
        <f t="shared" si="908"/>
        <v>0</v>
      </c>
      <c r="DQ547" s="424">
        <f t="shared" si="908"/>
        <v>0</v>
      </c>
      <c r="DR547" s="424">
        <f t="shared" si="908"/>
        <v>0</v>
      </c>
      <c r="DS547" s="424">
        <f t="shared" si="908"/>
        <v>0</v>
      </c>
      <c r="DT547" s="424">
        <f t="shared" si="908"/>
        <v>0</v>
      </c>
      <c r="DU547" s="424">
        <f t="shared" si="908"/>
        <v>0</v>
      </c>
      <c r="DV547" s="424">
        <f t="shared" si="908"/>
        <v>0</v>
      </c>
      <c r="DW547" s="424">
        <f t="shared" si="908"/>
        <v>0</v>
      </c>
      <c r="DX547" s="424">
        <f t="shared" si="908"/>
        <v>0</v>
      </c>
      <c r="DY547" s="424">
        <f t="shared" si="908"/>
        <v>0</v>
      </c>
      <c r="DZ547" s="424">
        <f t="shared" si="908"/>
        <v>0</v>
      </c>
      <c r="EA547" s="424">
        <f t="shared" si="908"/>
        <v>0</v>
      </c>
      <c r="EB547" s="424">
        <f t="shared" si="908"/>
        <v>0</v>
      </c>
      <c r="EC547" s="424">
        <f t="shared" si="908"/>
        <v>0</v>
      </c>
      <c r="ED547" s="424">
        <f t="shared" si="908"/>
        <v>0</v>
      </c>
      <c r="EE547" s="424">
        <f t="shared" si="908"/>
        <v>0</v>
      </c>
      <c r="EF547" s="424">
        <f t="shared" si="908"/>
        <v>0</v>
      </c>
      <c r="EG547" s="424">
        <f t="shared" si="908"/>
        <v>0</v>
      </c>
      <c r="EH547" s="424">
        <f t="shared" ref="EH547:EX547" si="909">EH177*EH$372</f>
        <v>0</v>
      </c>
      <c r="EI547" s="424">
        <f t="shared" si="909"/>
        <v>0</v>
      </c>
      <c r="EJ547" s="424">
        <f t="shared" si="909"/>
        <v>0</v>
      </c>
      <c r="EK547" s="424">
        <f t="shared" si="909"/>
        <v>0</v>
      </c>
      <c r="EL547" s="424">
        <f t="shared" si="909"/>
        <v>0</v>
      </c>
      <c r="EM547" s="424">
        <f t="shared" si="909"/>
        <v>0</v>
      </c>
      <c r="EN547" s="424">
        <f t="shared" si="909"/>
        <v>0</v>
      </c>
      <c r="EO547" s="424">
        <f t="shared" si="909"/>
        <v>0</v>
      </c>
      <c r="EP547" s="424">
        <f t="shared" si="909"/>
        <v>0</v>
      </c>
      <c r="EQ547" s="424">
        <f t="shared" si="909"/>
        <v>0</v>
      </c>
      <c r="ER547" s="424">
        <f t="shared" si="909"/>
        <v>0</v>
      </c>
      <c r="ES547" s="424">
        <f t="shared" si="909"/>
        <v>0</v>
      </c>
      <c r="ET547" s="424">
        <f t="shared" si="909"/>
        <v>0</v>
      </c>
      <c r="EU547" s="424">
        <f t="shared" si="909"/>
        <v>0</v>
      </c>
      <c r="EV547" s="424">
        <f t="shared" si="909"/>
        <v>0</v>
      </c>
      <c r="EW547" s="424">
        <f t="shared" si="909"/>
        <v>0</v>
      </c>
      <c r="EX547" s="424">
        <f t="shared" si="909"/>
        <v>0</v>
      </c>
      <c r="EY547" s="425">
        <f t="shared" si="699"/>
        <v>69.02</v>
      </c>
    </row>
    <row r="548" spans="1:166" s="491" customFormat="1" ht="14.7" customHeight="1" x14ac:dyDescent="0.25">
      <c r="A548" s="310">
        <v>174</v>
      </c>
      <c r="B548" s="311" t="str">
        <f t="shared" si="680"/>
        <v>Поджарка из говядины</v>
      </c>
      <c r="C548" s="483">
        <f t="shared" si="688"/>
        <v>65.55</v>
      </c>
      <c r="D548" s="888"/>
      <c r="E548" s="888"/>
      <c r="F548" s="888"/>
      <c r="G548" s="889"/>
      <c r="H548" s="680">
        <f t="shared" si="681"/>
        <v>251</v>
      </c>
      <c r="I548" s="1209">
        <f t="shared" si="682"/>
        <v>0</v>
      </c>
      <c r="J548" s="424">
        <f t="shared" ref="J548:AO548" si="910">J178*J$372</f>
        <v>59.92</v>
      </c>
      <c r="K548" s="424">
        <f t="shared" si="910"/>
        <v>0</v>
      </c>
      <c r="L548" s="424">
        <f t="shared" si="910"/>
        <v>0</v>
      </c>
      <c r="M548" s="424">
        <f t="shared" si="910"/>
        <v>0</v>
      </c>
      <c r="N548" s="424">
        <f t="shared" si="910"/>
        <v>0</v>
      </c>
      <c r="O548" s="424">
        <f t="shared" si="910"/>
        <v>0</v>
      </c>
      <c r="P548" s="424">
        <f t="shared" si="910"/>
        <v>0</v>
      </c>
      <c r="Q548" s="424">
        <f t="shared" si="910"/>
        <v>0</v>
      </c>
      <c r="R548" s="424">
        <f t="shared" si="910"/>
        <v>0</v>
      </c>
      <c r="S548" s="424">
        <f t="shared" si="910"/>
        <v>0</v>
      </c>
      <c r="T548" s="424">
        <f t="shared" si="910"/>
        <v>0</v>
      </c>
      <c r="U548" s="424">
        <f t="shared" si="910"/>
        <v>0</v>
      </c>
      <c r="V548" s="424">
        <f t="shared" si="910"/>
        <v>0</v>
      </c>
      <c r="W548" s="424">
        <f t="shared" si="910"/>
        <v>0</v>
      </c>
      <c r="X548" s="424">
        <f t="shared" si="910"/>
        <v>0</v>
      </c>
      <c r="Y548" s="424">
        <f t="shared" si="910"/>
        <v>0</v>
      </c>
      <c r="Z548" s="424">
        <f t="shared" si="910"/>
        <v>0</v>
      </c>
      <c r="AA548" s="424">
        <f t="shared" si="910"/>
        <v>0</v>
      </c>
      <c r="AB548" s="424">
        <f t="shared" si="910"/>
        <v>0</v>
      </c>
      <c r="AC548" s="424">
        <f t="shared" si="910"/>
        <v>0</v>
      </c>
      <c r="AD548" s="424">
        <f t="shared" si="910"/>
        <v>0</v>
      </c>
      <c r="AE548" s="424">
        <f t="shared" si="910"/>
        <v>0</v>
      </c>
      <c r="AF548" s="424">
        <f t="shared" si="910"/>
        <v>0</v>
      </c>
      <c r="AG548" s="424">
        <f t="shared" si="910"/>
        <v>0</v>
      </c>
      <c r="AH548" s="424">
        <f t="shared" si="910"/>
        <v>0</v>
      </c>
      <c r="AI548" s="424">
        <f t="shared" si="910"/>
        <v>0</v>
      </c>
      <c r="AJ548" s="424">
        <f t="shared" si="910"/>
        <v>0</v>
      </c>
      <c r="AK548" s="424">
        <f t="shared" si="910"/>
        <v>1.2</v>
      </c>
      <c r="AL548" s="424">
        <f t="shared" si="910"/>
        <v>0.6</v>
      </c>
      <c r="AM548" s="424">
        <f t="shared" si="910"/>
        <v>0</v>
      </c>
      <c r="AN548" s="424">
        <f t="shared" si="910"/>
        <v>0</v>
      </c>
      <c r="AO548" s="424">
        <f t="shared" si="910"/>
        <v>0</v>
      </c>
      <c r="AP548" s="424">
        <f t="shared" ref="AP548:BU548" si="911">AP178*AP$372</f>
        <v>0</v>
      </c>
      <c r="AQ548" s="424">
        <f t="shared" si="911"/>
        <v>0</v>
      </c>
      <c r="AR548" s="424">
        <f t="shared" si="911"/>
        <v>0</v>
      </c>
      <c r="AS548" s="424">
        <f t="shared" si="911"/>
        <v>0</v>
      </c>
      <c r="AT548" s="424">
        <f t="shared" si="911"/>
        <v>0</v>
      </c>
      <c r="AU548" s="424">
        <f t="shared" si="911"/>
        <v>0.6</v>
      </c>
      <c r="AV548" s="424">
        <f t="shared" si="911"/>
        <v>0</v>
      </c>
      <c r="AW548" s="424">
        <f t="shared" si="911"/>
        <v>0</v>
      </c>
      <c r="AX548" s="424">
        <f t="shared" si="911"/>
        <v>0</v>
      </c>
      <c r="AY548" s="424">
        <f t="shared" si="911"/>
        <v>0</v>
      </c>
      <c r="AZ548" s="424">
        <f t="shared" si="911"/>
        <v>0</v>
      </c>
      <c r="BA548" s="424">
        <f t="shared" si="911"/>
        <v>0</v>
      </c>
      <c r="BB548" s="424">
        <f t="shared" si="911"/>
        <v>0</v>
      </c>
      <c r="BC548" s="424">
        <f t="shared" si="911"/>
        <v>0</v>
      </c>
      <c r="BD548" s="424">
        <f t="shared" si="911"/>
        <v>0</v>
      </c>
      <c r="BE548" s="424">
        <f t="shared" si="911"/>
        <v>0</v>
      </c>
      <c r="BF548" s="424">
        <f t="shared" si="911"/>
        <v>0</v>
      </c>
      <c r="BG548" s="424">
        <f t="shared" si="911"/>
        <v>0</v>
      </c>
      <c r="BH548" s="424">
        <f t="shared" si="911"/>
        <v>0</v>
      </c>
      <c r="BI548" s="424">
        <f t="shared" si="911"/>
        <v>0</v>
      </c>
      <c r="BJ548" s="424">
        <f t="shared" si="911"/>
        <v>0</v>
      </c>
      <c r="BK548" s="424">
        <f t="shared" si="911"/>
        <v>0</v>
      </c>
      <c r="BL548" s="424">
        <f t="shared" si="911"/>
        <v>0</v>
      </c>
      <c r="BM548" s="424">
        <f t="shared" si="911"/>
        <v>0</v>
      </c>
      <c r="BN548" s="424">
        <f t="shared" si="911"/>
        <v>0</v>
      </c>
      <c r="BO548" s="424">
        <f t="shared" si="911"/>
        <v>0</v>
      </c>
      <c r="BP548" s="424">
        <f t="shared" si="911"/>
        <v>0</v>
      </c>
      <c r="BQ548" s="424">
        <f t="shared" si="911"/>
        <v>0</v>
      </c>
      <c r="BR548" s="424">
        <f t="shared" si="911"/>
        <v>0</v>
      </c>
      <c r="BS548" s="424">
        <f t="shared" si="911"/>
        <v>0</v>
      </c>
      <c r="BT548" s="424">
        <f t="shared" si="911"/>
        <v>0</v>
      </c>
      <c r="BU548" s="424">
        <f t="shared" si="911"/>
        <v>0</v>
      </c>
      <c r="BV548" s="424">
        <f t="shared" ref="BV548:DA548" si="912">BV178*BV$372</f>
        <v>0</v>
      </c>
      <c r="BW548" s="424">
        <f t="shared" si="912"/>
        <v>0</v>
      </c>
      <c r="BX548" s="424">
        <f t="shared" si="912"/>
        <v>0</v>
      </c>
      <c r="BY548" s="424">
        <f t="shared" si="912"/>
        <v>0</v>
      </c>
      <c r="BZ548" s="424">
        <f t="shared" si="912"/>
        <v>0</v>
      </c>
      <c r="CA548" s="424">
        <f t="shared" si="912"/>
        <v>0</v>
      </c>
      <c r="CB548" s="424">
        <f t="shared" si="912"/>
        <v>0</v>
      </c>
      <c r="CC548" s="424">
        <f t="shared" si="912"/>
        <v>0</v>
      </c>
      <c r="CD548" s="424">
        <f t="shared" si="912"/>
        <v>0</v>
      </c>
      <c r="CE548" s="424">
        <f t="shared" si="912"/>
        <v>0</v>
      </c>
      <c r="CF548" s="424">
        <f t="shared" si="912"/>
        <v>0.84</v>
      </c>
      <c r="CG548" s="424">
        <f t="shared" si="912"/>
        <v>0</v>
      </c>
      <c r="CH548" s="424">
        <f t="shared" si="912"/>
        <v>0</v>
      </c>
      <c r="CI548" s="424">
        <f t="shared" si="912"/>
        <v>0</v>
      </c>
      <c r="CJ548" s="424">
        <f t="shared" si="912"/>
        <v>0</v>
      </c>
      <c r="CK548" s="424">
        <f t="shared" si="912"/>
        <v>0</v>
      </c>
      <c r="CL548" s="424">
        <f t="shared" si="912"/>
        <v>0</v>
      </c>
      <c r="CM548" s="424">
        <f t="shared" si="912"/>
        <v>0</v>
      </c>
      <c r="CN548" s="424">
        <f t="shared" si="912"/>
        <v>0</v>
      </c>
      <c r="CO548" s="424">
        <f t="shared" si="912"/>
        <v>0</v>
      </c>
      <c r="CP548" s="424">
        <f t="shared" si="912"/>
        <v>0</v>
      </c>
      <c r="CQ548" s="424">
        <f t="shared" si="912"/>
        <v>0</v>
      </c>
      <c r="CR548" s="424">
        <f t="shared" si="912"/>
        <v>0</v>
      </c>
      <c r="CS548" s="424">
        <f t="shared" si="912"/>
        <v>0.02</v>
      </c>
      <c r="CT548" s="424">
        <f t="shared" si="912"/>
        <v>0</v>
      </c>
      <c r="CU548" s="424">
        <f t="shared" si="912"/>
        <v>0</v>
      </c>
      <c r="CV548" s="424">
        <f t="shared" si="912"/>
        <v>0</v>
      </c>
      <c r="CW548" s="424">
        <f t="shared" si="912"/>
        <v>0</v>
      </c>
      <c r="CX548" s="424">
        <f t="shared" si="912"/>
        <v>0</v>
      </c>
      <c r="CY548" s="424">
        <f t="shared" si="912"/>
        <v>0</v>
      </c>
      <c r="CZ548" s="424">
        <f t="shared" si="912"/>
        <v>0</v>
      </c>
      <c r="DA548" s="424">
        <f t="shared" si="912"/>
        <v>0</v>
      </c>
      <c r="DB548" s="424">
        <f t="shared" ref="DB548:EG548" si="913">DB178*DB$372</f>
        <v>0</v>
      </c>
      <c r="DC548" s="424">
        <f t="shared" si="913"/>
        <v>7.0000000000000007E-2</v>
      </c>
      <c r="DD548" s="424">
        <f t="shared" si="913"/>
        <v>0</v>
      </c>
      <c r="DE548" s="424">
        <f t="shared" si="913"/>
        <v>0</v>
      </c>
      <c r="DF548" s="424">
        <f t="shared" si="913"/>
        <v>2.2999999999999998</v>
      </c>
      <c r="DG548" s="424">
        <f t="shared" si="913"/>
        <v>0</v>
      </c>
      <c r="DH548" s="424">
        <f t="shared" si="913"/>
        <v>0</v>
      </c>
      <c r="DI548" s="424">
        <f t="shared" si="913"/>
        <v>0</v>
      </c>
      <c r="DJ548" s="424">
        <f t="shared" si="913"/>
        <v>0</v>
      </c>
      <c r="DK548" s="424">
        <f t="shared" si="913"/>
        <v>0</v>
      </c>
      <c r="DL548" s="424">
        <f t="shared" si="913"/>
        <v>0</v>
      </c>
      <c r="DM548" s="424">
        <f t="shared" si="913"/>
        <v>0</v>
      </c>
      <c r="DN548" s="424">
        <f t="shared" si="913"/>
        <v>0</v>
      </c>
      <c r="DO548" s="424">
        <f t="shared" si="913"/>
        <v>0</v>
      </c>
      <c r="DP548" s="424">
        <f t="shared" si="913"/>
        <v>0</v>
      </c>
      <c r="DQ548" s="424">
        <f t="shared" si="913"/>
        <v>0</v>
      </c>
      <c r="DR548" s="424">
        <f t="shared" si="913"/>
        <v>0</v>
      </c>
      <c r="DS548" s="424">
        <f t="shared" si="913"/>
        <v>0</v>
      </c>
      <c r="DT548" s="424">
        <f t="shared" si="913"/>
        <v>0</v>
      </c>
      <c r="DU548" s="424">
        <f t="shared" si="913"/>
        <v>0</v>
      </c>
      <c r="DV548" s="424">
        <f t="shared" si="913"/>
        <v>0</v>
      </c>
      <c r="DW548" s="424">
        <f t="shared" si="913"/>
        <v>0</v>
      </c>
      <c r="DX548" s="424">
        <f t="shared" si="913"/>
        <v>0</v>
      </c>
      <c r="DY548" s="424">
        <f t="shared" si="913"/>
        <v>0</v>
      </c>
      <c r="DZ548" s="424">
        <f t="shared" si="913"/>
        <v>0</v>
      </c>
      <c r="EA548" s="424">
        <f t="shared" si="913"/>
        <v>0</v>
      </c>
      <c r="EB548" s="424">
        <f t="shared" si="913"/>
        <v>0</v>
      </c>
      <c r="EC548" s="424">
        <f t="shared" si="913"/>
        <v>0</v>
      </c>
      <c r="ED548" s="424">
        <f t="shared" si="913"/>
        <v>0</v>
      </c>
      <c r="EE548" s="424">
        <f t="shared" si="913"/>
        <v>0</v>
      </c>
      <c r="EF548" s="424">
        <f t="shared" si="913"/>
        <v>0</v>
      </c>
      <c r="EG548" s="424">
        <f t="shared" si="913"/>
        <v>0</v>
      </c>
      <c r="EH548" s="424">
        <f t="shared" ref="EH548:EX548" si="914">EH178*EH$372</f>
        <v>0</v>
      </c>
      <c r="EI548" s="424">
        <f t="shared" si="914"/>
        <v>0</v>
      </c>
      <c r="EJ548" s="424">
        <f t="shared" si="914"/>
        <v>0</v>
      </c>
      <c r="EK548" s="424">
        <f t="shared" si="914"/>
        <v>0</v>
      </c>
      <c r="EL548" s="424">
        <f t="shared" si="914"/>
        <v>0</v>
      </c>
      <c r="EM548" s="424">
        <f t="shared" si="914"/>
        <v>0</v>
      </c>
      <c r="EN548" s="424">
        <f t="shared" si="914"/>
        <v>0</v>
      </c>
      <c r="EO548" s="424">
        <f t="shared" si="914"/>
        <v>0</v>
      </c>
      <c r="EP548" s="424">
        <f t="shared" si="914"/>
        <v>0</v>
      </c>
      <c r="EQ548" s="424">
        <f t="shared" si="914"/>
        <v>0</v>
      </c>
      <c r="ER548" s="424">
        <f t="shared" si="914"/>
        <v>0</v>
      </c>
      <c r="ES548" s="424">
        <f t="shared" si="914"/>
        <v>0</v>
      </c>
      <c r="ET548" s="424">
        <f t="shared" si="914"/>
        <v>0</v>
      </c>
      <c r="EU548" s="424">
        <f t="shared" si="914"/>
        <v>0</v>
      </c>
      <c r="EV548" s="424">
        <f t="shared" si="914"/>
        <v>0</v>
      </c>
      <c r="EW548" s="424">
        <f t="shared" si="914"/>
        <v>0</v>
      </c>
      <c r="EX548" s="424">
        <f t="shared" si="914"/>
        <v>0</v>
      </c>
      <c r="EY548" s="425">
        <f t="shared" si="699"/>
        <v>65.55</v>
      </c>
      <c r="EZ548" s="616"/>
      <c r="FA548" s="616"/>
      <c r="FB548" s="616"/>
      <c r="FC548" s="616"/>
      <c r="FD548" s="616"/>
      <c r="FE548" s="616"/>
      <c r="FF548" s="616"/>
      <c r="FG548" s="616"/>
      <c r="FH548" s="616"/>
      <c r="FI548" s="616"/>
      <c r="FJ548" s="616"/>
    </row>
    <row r="549" spans="1:166" ht="14.7" customHeight="1" x14ac:dyDescent="0.25">
      <c r="A549" s="310">
        <v>175</v>
      </c>
      <c r="B549" s="311" t="str">
        <f t="shared" si="680"/>
        <v>Поджарка из говядины (2 вариант)</v>
      </c>
      <c r="C549" s="483">
        <f t="shared" si="688"/>
        <v>35.869999999999997</v>
      </c>
      <c r="D549" s="888"/>
      <c r="E549" s="888"/>
      <c r="F549" s="888"/>
      <c r="G549" s="889"/>
      <c r="H549" s="680">
        <f t="shared" si="681"/>
        <v>251</v>
      </c>
      <c r="I549" s="1209">
        <f t="shared" si="682"/>
        <v>0</v>
      </c>
      <c r="J549" s="424">
        <f t="shared" ref="J549:AO549" si="915">J179*J$372</f>
        <v>30.24</v>
      </c>
      <c r="K549" s="424">
        <f t="shared" si="915"/>
        <v>0</v>
      </c>
      <c r="L549" s="424">
        <f t="shared" si="915"/>
        <v>0</v>
      </c>
      <c r="M549" s="424">
        <f t="shared" si="915"/>
        <v>0</v>
      </c>
      <c r="N549" s="424">
        <f t="shared" si="915"/>
        <v>0</v>
      </c>
      <c r="O549" s="424">
        <f t="shared" si="915"/>
        <v>0</v>
      </c>
      <c r="P549" s="424">
        <f t="shared" si="915"/>
        <v>0</v>
      </c>
      <c r="Q549" s="424">
        <f t="shared" si="915"/>
        <v>0</v>
      </c>
      <c r="R549" s="424">
        <f t="shared" si="915"/>
        <v>0</v>
      </c>
      <c r="S549" s="424">
        <f t="shared" si="915"/>
        <v>0</v>
      </c>
      <c r="T549" s="424">
        <f t="shared" si="915"/>
        <v>0</v>
      </c>
      <c r="U549" s="424">
        <f t="shared" si="915"/>
        <v>0</v>
      </c>
      <c r="V549" s="424">
        <f t="shared" si="915"/>
        <v>0</v>
      </c>
      <c r="W549" s="424">
        <f t="shared" si="915"/>
        <v>0</v>
      </c>
      <c r="X549" s="424">
        <f t="shared" si="915"/>
        <v>0</v>
      </c>
      <c r="Y549" s="424">
        <f t="shared" si="915"/>
        <v>0</v>
      </c>
      <c r="Z549" s="424">
        <f t="shared" si="915"/>
        <v>0</v>
      </c>
      <c r="AA549" s="424">
        <f t="shared" si="915"/>
        <v>0</v>
      </c>
      <c r="AB549" s="424">
        <f t="shared" si="915"/>
        <v>0</v>
      </c>
      <c r="AC549" s="424">
        <f t="shared" si="915"/>
        <v>0</v>
      </c>
      <c r="AD549" s="424">
        <f t="shared" si="915"/>
        <v>0</v>
      </c>
      <c r="AE549" s="424">
        <f t="shared" si="915"/>
        <v>0</v>
      </c>
      <c r="AF549" s="424">
        <f t="shared" si="915"/>
        <v>0</v>
      </c>
      <c r="AG549" s="424">
        <f t="shared" si="915"/>
        <v>0</v>
      </c>
      <c r="AH549" s="424">
        <f t="shared" si="915"/>
        <v>0</v>
      </c>
      <c r="AI549" s="424">
        <f t="shared" si="915"/>
        <v>0</v>
      </c>
      <c r="AJ549" s="424">
        <f t="shared" si="915"/>
        <v>0</v>
      </c>
      <c r="AK549" s="424">
        <f t="shared" si="915"/>
        <v>1.2</v>
      </c>
      <c r="AL549" s="424">
        <f t="shared" si="915"/>
        <v>0.6</v>
      </c>
      <c r="AM549" s="424">
        <f t="shared" si="915"/>
        <v>0</v>
      </c>
      <c r="AN549" s="424">
        <f t="shared" si="915"/>
        <v>0</v>
      </c>
      <c r="AO549" s="424">
        <f t="shared" si="915"/>
        <v>0</v>
      </c>
      <c r="AP549" s="424">
        <f t="shared" ref="AP549:BU549" si="916">AP179*AP$372</f>
        <v>0</v>
      </c>
      <c r="AQ549" s="424">
        <f t="shared" si="916"/>
        <v>0</v>
      </c>
      <c r="AR549" s="424">
        <f t="shared" si="916"/>
        <v>0</v>
      </c>
      <c r="AS549" s="424">
        <f t="shared" si="916"/>
        <v>0</v>
      </c>
      <c r="AT549" s="424">
        <f t="shared" si="916"/>
        <v>0</v>
      </c>
      <c r="AU549" s="424">
        <f t="shared" si="916"/>
        <v>0.6</v>
      </c>
      <c r="AV549" s="424">
        <f t="shared" si="916"/>
        <v>0</v>
      </c>
      <c r="AW549" s="424">
        <f t="shared" si="916"/>
        <v>0</v>
      </c>
      <c r="AX549" s="424">
        <f t="shared" si="916"/>
        <v>0</v>
      </c>
      <c r="AY549" s="424">
        <f t="shared" si="916"/>
        <v>0</v>
      </c>
      <c r="AZ549" s="424">
        <f t="shared" si="916"/>
        <v>0</v>
      </c>
      <c r="BA549" s="424">
        <f t="shared" si="916"/>
        <v>0</v>
      </c>
      <c r="BB549" s="424">
        <f t="shared" si="916"/>
        <v>0</v>
      </c>
      <c r="BC549" s="424">
        <f t="shared" si="916"/>
        <v>0</v>
      </c>
      <c r="BD549" s="424">
        <f t="shared" si="916"/>
        <v>0</v>
      </c>
      <c r="BE549" s="424">
        <f t="shared" si="916"/>
        <v>0</v>
      </c>
      <c r="BF549" s="424">
        <f t="shared" si="916"/>
        <v>0</v>
      </c>
      <c r="BG549" s="424">
        <f t="shared" si="916"/>
        <v>0</v>
      </c>
      <c r="BH549" s="424">
        <f t="shared" si="916"/>
        <v>0</v>
      </c>
      <c r="BI549" s="424">
        <f t="shared" si="916"/>
        <v>0</v>
      </c>
      <c r="BJ549" s="424">
        <f t="shared" si="916"/>
        <v>0</v>
      </c>
      <c r="BK549" s="424">
        <f t="shared" si="916"/>
        <v>0</v>
      </c>
      <c r="BL549" s="424">
        <f t="shared" si="916"/>
        <v>0</v>
      </c>
      <c r="BM549" s="424">
        <f t="shared" si="916"/>
        <v>0</v>
      </c>
      <c r="BN549" s="424">
        <f t="shared" si="916"/>
        <v>0</v>
      </c>
      <c r="BO549" s="424">
        <f t="shared" si="916"/>
        <v>0</v>
      </c>
      <c r="BP549" s="424">
        <f t="shared" si="916"/>
        <v>0</v>
      </c>
      <c r="BQ549" s="424">
        <f t="shared" si="916"/>
        <v>0</v>
      </c>
      <c r="BR549" s="424">
        <f t="shared" si="916"/>
        <v>0</v>
      </c>
      <c r="BS549" s="424">
        <f t="shared" si="916"/>
        <v>0</v>
      </c>
      <c r="BT549" s="424">
        <f t="shared" si="916"/>
        <v>0</v>
      </c>
      <c r="BU549" s="424">
        <f t="shared" si="916"/>
        <v>0</v>
      </c>
      <c r="BV549" s="424">
        <f t="shared" ref="BV549:DA549" si="917">BV179*BV$372</f>
        <v>0</v>
      </c>
      <c r="BW549" s="424">
        <f t="shared" si="917"/>
        <v>0</v>
      </c>
      <c r="BX549" s="424">
        <f t="shared" si="917"/>
        <v>0</v>
      </c>
      <c r="BY549" s="424">
        <f t="shared" si="917"/>
        <v>0</v>
      </c>
      <c r="BZ549" s="424">
        <f t="shared" si="917"/>
        <v>0</v>
      </c>
      <c r="CA549" s="424">
        <f t="shared" si="917"/>
        <v>0</v>
      </c>
      <c r="CB549" s="424">
        <f t="shared" si="917"/>
        <v>0</v>
      </c>
      <c r="CC549" s="424">
        <f t="shared" si="917"/>
        <v>0</v>
      </c>
      <c r="CD549" s="424">
        <f t="shared" si="917"/>
        <v>0</v>
      </c>
      <c r="CE549" s="424">
        <f t="shared" si="917"/>
        <v>0</v>
      </c>
      <c r="CF549" s="424">
        <f t="shared" si="917"/>
        <v>0.84</v>
      </c>
      <c r="CG549" s="424">
        <f t="shared" si="917"/>
        <v>0</v>
      </c>
      <c r="CH549" s="424">
        <f t="shared" si="917"/>
        <v>0</v>
      </c>
      <c r="CI549" s="424">
        <f t="shared" si="917"/>
        <v>0</v>
      </c>
      <c r="CJ549" s="424">
        <f t="shared" si="917"/>
        <v>0</v>
      </c>
      <c r="CK549" s="424">
        <f t="shared" si="917"/>
        <v>0</v>
      </c>
      <c r="CL549" s="424">
        <f t="shared" si="917"/>
        <v>0</v>
      </c>
      <c r="CM549" s="424">
        <f t="shared" si="917"/>
        <v>0</v>
      </c>
      <c r="CN549" s="424">
        <f t="shared" si="917"/>
        <v>0</v>
      </c>
      <c r="CO549" s="424">
        <f t="shared" si="917"/>
        <v>0</v>
      </c>
      <c r="CP549" s="424">
        <f t="shared" si="917"/>
        <v>0</v>
      </c>
      <c r="CQ549" s="424">
        <f t="shared" si="917"/>
        <v>0</v>
      </c>
      <c r="CR549" s="424">
        <f t="shared" si="917"/>
        <v>0</v>
      </c>
      <c r="CS549" s="424">
        <f t="shared" si="917"/>
        <v>0.02</v>
      </c>
      <c r="CT549" s="424">
        <f t="shared" si="917"/>
        <v>0</v>
      </c>
      <c r="CU549" s="424">
        <f t="shared" si="917"/>
        <v>0</v>
      </c>
      <c r="CV549" s="424">
        <f t="shared" si="917"/>
        <v>0</v>
      </c>
      <c r="CW549" s="424">
        <f t="shared" si="917"/>
        <v>0</v>
      </c>
      <c r="CX549" s="424">
        <f t="shared" si="917"/>
        <v>0</v>
      </c>
      <c r="CY549" s="424">
        <f t="shared" si="917"/>
        <v>0</v>
      </c>
      <c r="CZ549" s="424">
        <f t="shared" si="917"/>
        <v>0</v>
      </c>
      <c r="DA549" s="424">
        <f t="shared" si="917"/>
        <v>0</v>
      </c>
      <c r="DB549" s="424">
        <f t="shared" ref="DB549:EG549" si="918">DB179*DB$372</f>
        <v>0</v>
      </c>
      <c r="DC549" s="424">
        <f t="shared" si="918"/>
        <v>7.0000000000000007E-2</v>
      </c>
      <c r="DD549" s="424">
        <f t="shared" si="918"/>
        <v>0</v>
      </c>
      <c r="DE549" s="424">
        <f t="shared" si="918"/>
        <v>0</v>
      </c>
      <c r="DF549" s="424">
        <f t="shared" si="918"/>
        <v>2.2999999999999998</v>
      </c>
      <c r="DG549" s="424">
        <f t="shared" si="918"/>
        <v>0</v>
      </c>
      <c r="DH549" s="424">
        <f t="shared" si="918"/>
        <v>0</v>
      </c>
      <c r="DI549" s="424">
        <f t="shared" si="918"/>
        <v>0</v>
      </c>
      <c r="DJ549" s="424">
        <f t="shared" si="918"/>
        <v>0</v>
      </c>
      <c r="DK549" s="424">
        <f t="shared" si="918"/>
        <v>0</v>
      </c>
      <c r="DL549" s="424">
        <f t="shared" si="918"/>
        <v>0</v>
      </c>
      <c r="DM549" s="424">
        <f t="shared" si="918"/>
        <v>0</v>
      </c>
      <c r="DN549" s="424">
        <f t="shared" si="918"/>
        <v>0</v>
      </c>
      <c r="DO549" s="424">
        <f t="shared" si="918"/>
        <v>0</v>
      </c>
      <c r="DP549" s="424">
        <f t="shared" si="918"/>
        <v>0</v>
      </c>
      <c r="DQ549" s="424">
        <f t="shared" si="918"/>
        <v>0</v>
      </c>
      <c r="DR549" s="424">
        <f t="shared" si="918"/>
        <v>0</v>
      </c>
      <c r="DS549" s="424">
        <f t="shared" si="918"/>
        <v>0</v>
      </c>
      <c r="DT549" s="424">
        <f t="shared" si="918"/>
        <v>0</v>
      </c>
      <c r="DU549" s="424">
        <f t="shared" si="918"/>
        <v>0</v>
      </c>
      <c r="DV549" s="424">
        <f t="shared" si="918"/>
        <v>0</v>
      </c>
      <c r="DW549" s="424">
        <f t="shared" si="918"/>
        <v>0</v>
      </c>
      <c r="DX549" s="424">
        <f t="shared" si="918"/>
        <v>0</v>
      </c>
      <c r="DY549" s="424">
        <f t="shared" si="918"/>
        <v>0</v>
      </c>
      <c r="DZ549" s="424">
        <f t="shared" si="918"/>
        <v>0</v>
      </c>
      <c r="EA549" s="424">
        <f t="shared" si="918"/>
        <v>0</v>
      </c>
      <c r="EB549" s="424">
        <f t="shared" si="918"/>
        <v>0</v>
      </c>
      <c r="EC549" s="424">
        <f t="shared" si="918"/>
        <v>0</v>
      </c>
      <c r="ED549" s="424">
        <f t="shared" si="918"/>
        <v>0</v>
      </c>
      <c r="EE549" s="424">
        <f t="shared" si="918"/>
        <v>0</v>
      </c>
      <c r="EF549" s="424">
        <f t="shared" si="918"/>
        <v>0</v>
      </c>
      <c r="EG549" s="424">
        <f t="shared" si="918"/>
        <v>0</v>
      </c>
      <c r="EH549" s="424">
        <f t="shared" ref="EH549:EX549" si="919">EH179*EH$372</f>
        <v>0</v>
      </c>
      <c r="EI549" s="424">
        <f t="shared" si="919"/>
        <v>0</v>
      </c>
      <c r="EJ549" s="424">
        <f t="shared" si="919"/>
        <v>0</v>
      </c>
      <c r="EK549" s="424">
        <f t="shared" si="919"/>
        <v>0</v>
      </c>
      <c r="EL549" s="424">
        <f t="shared" si="919"/>
        <v>0</v>
      </c>
      <c r="EM549" s="424">
        <f t="shared" si="919"/>
        <v>0</v>
      </c>
      <c r="EN549" s="424">
        <f t="shared" si="919"/>
        <v>0</v>
      </c>
      <c r="EO549" s="424">
        <f t="shared" si="919"/>
        <v>0</v>
      </c>
      <c r="EP549" s="424">
        <f t="shared" si="919"/>
        <v>0</v>
      </c>
      <c r="EQ549" s="424">
        <f t="shared" si="919"/>
        <v>0</v>
      </c>
      <c r="ER549" s="424">
        <f t="shared" si="919"/>
        <v>0</v>
      </c>
      <c r="ES549" s="424">
        <f t="shared" si="919"/>
        <v>0</v>
      </c>
      <c r="ET549" s="424">
        <f t="shared" si="919"/>
        <v>0</v>
      </c>
      <c r="EU549" s="424">
        <f t="shared" si="919"/>
        <v>0</v>
      </c>
      <c r="EV549" s="424">
        <f t="shared" si="919"/>
        <v>0</v>
      </c>
      <c r="EW549" s="424">
        <f t="shared" si="919"/>
        <v>0</v>
      </c>
      <c r="EX549" s="424">
        <f t="shared" si="919"/>
        <v>0</v>
      </c>
      <c r="EY549" s="425">
        <f t="shared" si="699"/>
        <v>35.869999999999997</v>
      </c>
    </row>
    <row r="550" spans="1:166" s="486" customFormat="1" ht="14.7" customHeight="1" x14ac:dyDescent="0.25">
      <c r="A550" s="310">
        <v>176</v>
      </c>
      <c r="B550" s="311" t="str">
        <f t="shared" si="680"/>
        <v>Сосиски жареные с соусом сметанным и луком</v>
      </c>
      <c r="C550" s="483">
        <f t="shared" si="688"/>
        <v>25.76</v>
      </c>
      <c r="D550" s="888"/>
      <c r="E550" s="888"/>
      <c r="F550" s="888"/>
      <c r="G550" s="889"/>
      <c r="H550" s="680">
        <f t="shared" si="681"/>
        <v>252</v>
      </c>
      <c r="I550" s="1209">
        <f t="shared" si="682"/>
        <v>0</v>
      </c>
      <c r="J550" s="424">
        <f t="shared" ref="J550:AO550" si="920">J180*J$372</f>
        <v>0</v>
      </c>
      <c r="K550" s="424">
        <f t="shared" si="920"/>
        <v>0</v>
      </c>
      <c r="L550" s="424">
        <f t="shared" si="920"/>
        <v>0</v>
      </c>
      <c r="M550" s="424">
        <f t="shared" si="920"/>
        <v>0</v>
      </c>
      <c r="N550" s="424">
        <f t="shared" si="920"/>
        <v>18.53</v>
      </c>
      <c r="O550" s="424">
        <f t="shared" si="920"/>
        <v>0</v>
      </c>
      <c r="P550" s="424">
        <f t="shared" si="920"/>
        <v>0</v>
      </c>
      <c r="Q550" s="424">
        <f t="shared" si="920"/>
        <v>0</v>
      </c>
      <c r="R550" s="424">
        <f t="shared" si="920"/>
        <v>0</v>
      </c>
      <c r="S550" s="424">
        <f t="shared" si="920"/>
        <v>0</v>
      </c>
      <c r="T550" s="424">
        <f t="shared" si="920"/>
        <v>0</v>
      </c>
      <c r="U550" s="424">
        <f t="shared" si="920"/>
        <v>0</v>
      </c>
      <c r="V550" s="424">
        <f t="shared" si="920"/>
        <v>3.98</v>
      </c>
      <c r="W550" s="424">
        <f t="shared" si="920"/>
        <v>0</v>
      </c>
      <c r="X550" s="424">
        <f t="shared" si="920"/>
        <v>0</v>
      </c>
      <c r="Y550" s="424">
        <f t="shared" si="920"/>
        <v>1.61</v>
      </c>
      <c r="Z550" s="424">
        <f t="shared" si="920"/>
        <v>0</v>
      </c>
      <c r="AA550" s="424">
        <f t="shared" si="920"/>
        <v>0</v>
      </c>
      <c r="AB550" s="424">
        <f t="shared" si="920"/>
        <v>0</v>
      </c>
      <c r="AC550" s="424">
        <f t="shared" si="920"/>
        <v>0</v>
      </c>
      <c r="AD550" s="424">
        <f t="shared" si="920"/>
        <v>0</v>
      </c>
      <c r="AE550" s="424">
        <f t="shared" si="920"/>
        <v>0</v>
      </c>
      <c r="AF550" s="424">
        <f t="shared" si="920"/>
        <v>0</v>
      </c>
      <c r="AG550" s="424">
        <f t="shared" si="920"/>
        <v>0</v>
      </c>
      <c r="AH550" s="424">
        <f t="shared" si="920"/>
        <v>0</v>
      </c>
      <c r="AI550" s="424">
        <f t="shared" si="920"/>
        <v>0</v>
      </c>
      <c r="AJ550" s="424">
        <f t="shared" si="920"/>
        <v>0</v>
      </c>
      <c r="AK550" s="424">
        <f t="shared" si="920"/>
        <v>0.36</v>
      </c>
      <c r="AL550" s="424">
        <f t="shared" si="920"/>
        <v>0.6</v>
      </c>
      <c r="AM550" s="424">
        <f t="shared" si="920"/>
        <v>0</v>
      </c>
      <c r="AN550" s="424">
        <f t="shared" si="920"/>
        <v>0</v>
      </c>
      <c r="AO550" s="424">
        <f t="shared" si="920"/>
        <v>0</v>
      </c>
      <c r="AP550" s="424">
        <f t="shared" ref="AP550:BU550" si="921">AP180*AP$372</f>
        <v>0</v>
      </c>
      <c r="AQ550" s="424">
        <f t="shared" si="921"/>
        <v>0</v>
      </c>
      <c r="AR550" s="424">
        <f t="shared" si="921"/>
        <v>0</v>
      </c>
      <c r="AS550" s="424">
        <f t="shared" si="921"/>
        <v>0</v>
      </c>
      <c r="AT550" s="424">
        <f t="shared" si="921"/>
        <v>0</v>
      </c>
      <c r="AU550" s="424">
        <f t="shared" si="921"/>
        <v>0.6</v>
      </c>
      <c r="AV550" s="424">
        <f t="shared" si="921"/>
        <v>0</v>
      </c>
      <c r="AW550" s="424">
        <f t="shared" si="921"/>
        <v>0</v>
      </c>
      <c r="AX550" s="424">
        <f t="shared" si="921"/>
        <v>0</v>
      </c>
      <c r="AY550" s="424">
        <f t="shared" si="921"/>
        <v>0</v>
      </c>
      <c r="AZ550" s="424">
        <f t="shared" si="921"/>
        <v>0</v>
      </c>
      <c r="BA550" s="424">
        <f t="shared" si="921"/>
        <v>0</v>
      </c>
      <c r="BB550" s="424">
        <f t="shared" si="921"/>
        <v>0</v>
      </c>
      <c r="BC550" s="424">
        <f t="shared" si="921"/>
        <v>0</v>
      </c>
      <c r="BD550" s="424">
        <f t="shared" si="921"/>
        <v>0</v>
      </c>
      <c r="BE550" s="424">
        <f t="shared" si="921"/>
        <v>0</v>
      </c>
      <c r="BF550" s="424">
        <f t="shared" si="921"/>
        <v>0</v>
      </c>
      <c r="BG550" s="424">
        <f t="shared" si="921"/>
        <v>0</v>
      </c>
      <c r="BH550" s="424">
        <f t="shared" si="921"/>
        <v>0</v>
      </c>
      <c r="BI550" s="424">
        <f t="shared" si="921"/>
        <v>0</v>
      </c>
      <c r="BJ550" s="424">
        <f t="shared" si="921"/>
        <v>0</v>
      </c>
      <c r="BK550" s="424">
        <f t="shared" si="921"/>
        <v>0</v>
      </c>
      <c r="BL550" s="424">
        <f t="shared" si="921"/>
        <v>0</v>
      </c>
      <c r="BM550" s="424">
        <f t="shared" si="921"/>
        <v>0</v>
      </c>
      <c r="BN550" s="424">
        <f t="shared" si="921"/>
        <v>0</v>
      </c>
      <c r="BO550" s="424">
        <f t="shared" si="921"/>
        <v>0</v>
      </c>
      <c r="BP550" s="424">
        <f t="shared" si="921"/>
        <v>0</v>
      </c>
      <c r="BQ550" s="424">
        <f t="shared" si="921"/>
        <v>0</v>
      </c>
      <c r="BR550" s="424">
        <f t="shared" si="921"/>
        <v>0</v>
      </c>
      <c r="BS550" s="424">
        <f t="shared" si="921"/>
        <v>7.0000000000000007E-2</v>
      </c>
      <c r="BT550" s="424">
        <f t="shared" si="921"/>
        <v>0</v>
      </c>
      <c r="BU550" s="424">
        <f t="shared" si="921"/>
        <v>0</v>
      </c>
      <c r="BV550" s="424">
        <f t="shared" ref="BV550:DA550" si="922">BV180*BV$372</f>
        <v>0</v>
      </c>
      <c r="BW550" s="424">
        <f t="shared" si="922"/>
        <v>0</v>
      </c>
      <c r="BX550" s="424">
        <f t="shared" si="922"/>
        <v>0</v>
      </c>
      <c r="BY550" s="424">
        <f t="shared" si="922"/>
        <v>0</v>
      </c>
      <c r="BZ550" s="424">
        <f t="shared" si="922"/>
        <v>0</v>
      </c>
      <c r="CA550" s="424">
        <f t="shared" si="922"/>
        <v>0</v>
      </c>
      <c r="CB550" s="424">
        <f t="shared" si="922"/>
        <v>0</v>
      </c>
      <c r="CC550" s="424">
        <f t="shared" si="922"/>
        <v>0</v>
      </c>
      <c r="CD550" s="424">
        <f t="shared" si="922"/>
        <v>0</v>
      </c>
      <c r="CE550" s="424">
        <f t="shared" si="922"/>
        <v>0</v>
      </c>
      <c r="CF550" s="424">
        <f t="shared" si="922"/>
        <v>0</v>
      </c>
      <c r="CG550" s="424">
        <f t="shared" si="922"/>
        <v>0</v>
      </c>
      <c r="CH550" s="424">
        <f t="shared" si="922"/>
        <v>0</v>
      </c>
      <c r="CI550" s="424">
        <f t="shared" si="922"/>
        <v>0</v>
      </c>
      <c r="CJ550" s="424">
        <f t="shared" si="922"/>
        <v>0</v>
      </c>
      <c r="CK550" s="424">
        <f t="shared" si="922"/>
        <v>0</v>
      </c>
      <c r="CL550" s="424">
        <f t="shared" si="922"/>
        <v>0</v>
      </c>
      <c r="CM550" s="424">
        <f t="shared" si="922"/>
        <v>0</v>
      </c>
      <c r="CN550" s="424">
        <f t="shared" si="922"/>
        <v>0</v>
      </c>
      <c r="CO550" s="424">
        <f t="shared" si="922"/>
        <v>0</v>
      </c>
      <c r="CP550" s="424">
        <f t="shared" si="922"/>
        <v>0</v>
      </c>
      <c r="CQ550" s="424">
        <f t="shared" si="922"/>
        <v>0</v>
      </c>
      <c r="CR550" s="424">
        <f t="shared" si="922"/>
        <v>0</v>
      </c>
      <c r="CS550" s="424">
        <f t="shared" si="922"/>
        <v>0</v>
      </c>
      <c r="CT550" s="424">
        <f t="shared" si="922"/>
        <v>0</v>
      </c>
      <c r="CU550" s="424">
        <f t="shared" si="922"/>
        <v>0</v>
      </c>
      <c r="CV550" s="424">
        <f t="shared" si="922"/>
        <v>0</v>
      </c>
      <c r="CW550" s="424">
        <f t="shared" si="922"/>
        <v>0</v>
      </c>
      <c r="CX550" s="424">
        <f t="shared" si="922"/>
        <v>0</v>
      </c>
      <c r="CY550" s="424">
        <f t="shared" si="922"/>
        <v>0</v>
      </c>
      <c r="CZ550" s="424">
        <f t="shared" si="922"/>
        <v>0</v>
      </c>
      <c r="DA550" s="424">
        <f t="shared" si="922"/>
        <v>0</v>
      </c>
      <c r="DB550" s="424">
        <f t="shared" ref="DB550:EG550" si="923">DB180*DB$372</f>
        <v>0</v>
      </c>
      <c r="DC550" s="424">
        <f t="shared" si="923"/>
        <v>0.01</v>
      </c>
      <c r="DD550" s="424">
        <f t="shared" si="923"/>
        <v>0</v>
      </c>
      <c r="DE550" s="424">
        <f t="shared" si="923"/>
        <v>0</v>
      </c>
      <c r="DF550" s="424">
        <f t="shared" si="923"/>
        <v>0</v>
      </c>
      <c r="DG550" s="424">
        <f t="shared" si="923"/>
        <v>0</v>
      </c>
      <c r="DH550" s="424">
        <f t="shared" si="923"/>
        <v>0</v>
      </c>
      <c r="DI550" s="424">
        <f t="shared" si="923"/>
        <v>0</v>
      </c>
      <c r="DJ550" s="424">
        <f t="shared" si="923"/>
        <v>0</v>
      </c>
      <c r="DK550" s="424">
        <f t="shared" si="923"/>
        <v>0</v>
      </c>
      <c r="DL550" s="424">
        <f t="shared" si="923"/>
        <v>0</v>
      </c>
      <c r="DM550" s="424">
        <f t="shared" si="923"/>
        <v>0</v>
      </c>
      <c r="DN550" s="424">
        <f t="shared" si="923"/>
        <v>0</v>
      </c>
      <c r="DO550" s="424">
        <f t="shared" si="923"/>
        <v>0</v>
      </c>
      <c r="DP550" s="424">
        <f t="shared" si="923"/>
        <v>0</v>
      </c>
      <c r="DQ550" s="424">
        <f t="shared" si="923"/>
        <v>0</v>
      </c>
      <c r="DR550" s="424">
        <f t="shared" si="923"/>
        <v>0</v>
      </c>
      <c r="DS550" s="424">
        <f t="shared" si="923"/>
        <v>0</v>
      </c>
      <c r="DT550" s="424">
        <f t="shared" si="923"/>
        <v>0</v>
      </c>
      <c r="DU550" s="424">
        <f t="shared" si="923"/>
        <v>0</v>
      </c>
      <c r="DV550" s="424">
        <f t="shared" si="923"/>
        <v>0</v>
      </c>
      <c r="DW550" s="424">
        <f t="shared" si="923"/>
        <v>0</v>
      </c>
      <c r="DX550" s="424">
        <f t="shared" si="923"/>
        <v>0</v>
      </c>
      <c r="DY550" s="424">
        <f t="shared" si="923"/>
        <v>0</v>
      </c>
      <c r="DZ550" s="424">
        <f t="shared" si="923"/>
        <v>0</v>
      </c>
      <c r="EA550" s="424">
        <f t="shared" si="923"/>
        <v>0</v>
      </c>
      <c r="EB550" s="424">
        <f t="shared" si="923"/>
        <v>0</v>
      </c>
      <c r="EC550" s="424">
        <f t="shared" si="923"/>
        <v>0</v>
      </c>
      <c r="ED550" s="424">
        <f t="shared" si="923"/>
        <v>0</v>
      </c>
      <c r="EE550" s="424">
        <f t="shared" si="923"/>
        <v>0</v>
      </c>
      <c r="EF550" s="424">
        <f t="shared" si="923"/>
        <v>0</v>
      </c>
      <c r="EG550" s="424">
        <f t="shared" si="923"/>
        <v>0</v>
      </c>
      <c r="EH550" s="424">
        <f t="shared" ref="EH550:EX550" si="924">EH180*EH$372</f>
        <v>0</v>
      </c>
      <c r="EI550" s="424">
        <f t="shared" si="924"/>
        <v>0</v>
      </c>
      <c r="EJ550" s="424">
        <f t="shared" si="924"/>
        <v>0</v>
      </c>
      <c r="EK550" s="424">
        <f t="shared" si="924"/>
        <v>0</v>
      </c>
      <c r="EL550" s="424">
        <f t="shared" si="924"/>
        <v>0</v>
      </c>
      <c r="EM550" s="424">
        <f t="shared" si="924"/>
        <v>0</v>
      </c>
      <c r="EN550" s="424">
        <f t="shared" si="924"/>
        <v>0</v>
      </c>
      <c r="EO550" s="424">
        <f t="shared" si="924"/>
        <v>0</v>
      </c>
      <c r="EP550" s="424">
        <f t="shared" si="924"/>
        <v>0</v>
      </c>
      <c r="EQ550" s="424">
        <f t="shared" si="924"/>
        <v>0</v>
      </c>
      <c r="ER550" s="424">
        <f t="shared" si="924"/>
        <v>0</v>
      </c>
      <c r="ES550" s="424">
        <f t="shared" si="924"/>
        <v>0</v>
      </c>
      <c r="ET550" s="424">
        <f t="shared" si="924"/>
        <v>0</v>
      </c>
      <c r="EU550" s="424">
        <f t="shared" si="924"/>
        <v>0</v>
      </c>
      <c r="EV550" s="424">
        <f t="shared" si="924"/>
        <v>0</v>
      </c>
      <c r="EW550" s="424">
        <f t="shared" si="924"/>
        <v>0</v>
      </c>
      <c r="EX550" s="424">
        <f t="shared" si="924"/>
        <v>0</v>
      </c>
      <c r="EY550" s="425">
        <f t="shared" si="699"/>
        <v>25.76</v>
      </c>
      <c r="EZ550" s="616"/>
      <c r="FA550" s="616"/>
      <c r="FB550" s="616"/>
      <c r="FC550" s="616"/>
      <c r="FD550" s="616"/>
      <c r="FE550" s="616"/>
      <c r="FF550" s="616"/>
      <c r="FG550" s="616"/>
      <c r="FH550" s="616"/>
      <c r="FI550" s="616"/>
      <c r="FJ550" s="616"/>
    </row>
    <row r="551" spans="1:166" ht="14.7" customHeight="1" x14ac:dyDescent="0.25">
      <c r="A551" s="310">
        <v>177</v>
      </c>
      <c r="B551" s="311" t="str">
        <f t="shared" si="680"/>
        <v>Мясо тушеное с соусом</v>
      </c>
      <c r="C551" s="483">
        <f t="shared" si="688"/>
        <v>67.349999999999994</v>
      </c>
      <c r="D551" s="888"/>
      <c r="E551" s="888"/>
      <c r="F551" s="888"/>
      <c r="G551" s="889"/>
      <c r="H551" s="680">
        <f t="shared" si="681"/>
        <v>256</v>
      </c>
      <c r="I551" s="1209">
        <f t="shared" si="682"/>
        <v>0</v>
      </c>
      <c r="J551" s="424">
        <f t="shared" ref="J551:AO551" si="925">J181*J$372</f>
        <v>63.28</v>
      </c>
      <c r="K551" s="424">
        <f t="shared" si="925"/>
        <v>0</v>
      </c>
      <c r="L551" s="424">
        <f t="shared" si="925"/>
        <v>0</v>
      </c>
      <c r="M551" s="424">
        <f t="shared" si="925"/>
        <v>0</v>
      </c>
      <c r="N551" s="424">
        <f t="shared" si="925"/>
        <v>0</v>
      </c>
      <c r="O551" s="424">
        <f t="shared" si="925"/>
        <v>0</v>
      </c>
      <c r="P551" s="424">
        <f t="shared" si="925"/>
        <v>0</v>
      </c>
      <c r="Q551" s="424">
        <f t="shared" si="925"/>
        <v>0</v>
      </c>
      <c r="R551" s="424">
        <f t="shared" si="925"/>
        <v>0</v>
      </c>
      <c r="S551" s="424">
        <f t="shared" si="925"/>
        <v>0</v>
      </c>
      <c r="T551" s="424">
        <f t="shared" si="925"/>
        <v>0</v>
      </c>
      <c r="U551" s="424">
        <f t="shared" si="925"/>
        <v>0</v>
      </c>
      <c r="V551" s="424">
        <f t="shared" si="925"/>
        <v>0</v>
      </c>
      <c r="W551" s="424">
        <f t="shared" si="925"/>
        <v>0</v>
      </c>
      <c r="X551" s="424">
        <f t="shared" si="925"/>
        <v>0</v>
      </c>
      <c r="Y551" s="424">
        <f t="shared" si="925"/>
        <v>0</v>
      </c>
      <c r="Z551" s="424">
        <f t="shared" si="925"/>
        <v>0</v>
      </c>
      <c r="AA551" s="424">
        <f t="shared" si="925"/>
        <v>0</v>
      </c>
      <c r="AB551" s="424">
        <f t="shared" si="925"/>
        <v>0</v>
      </c>
      <c r="AC551" s="424">
        <f t="shared" si="925"/>
        <v>0</v>
      </c>
      <c r="AD551" s="424">
        <f t="shared" si="925"/>
        <v>0</v>
      </c>
      <c r="AE551" s="424">
        <f t="shared" si="925"/>
        <v>0</v>
      </c>
      <c r="AF551" s="424">
        <f t="shared" si="925"/>
        <v>0</v>
      </c>
      <c r="AG551" s="424">
        <f t="shared" si="925"/>
        <v>0</v>
      </c>
      <c r="AH551" s="424">
        <f t="shared" si="925"/>
        <v>0</v>
      </c>
      <c r="AI551" s="424">
        <f t="shared" si="925"/>
        <v>0</v>
      </c>
      <c r="AJ551" s="424">
        <f t="shared" si="925"/>
        <v>0</v>
      </c>
      <c r="AK551" s="424">
        <f t="shared" si="925"/>
        <v>0.25</v>
      </c>
      <c r="AL551" s="424">
        <f t="shared" si="925"/>
        <v>0.6</v>
      </c>
      <c r="AM551" s="424">
        <f t="shared" si="925"/>
        <v>0</v>
      </c>
      <c r="AN551" s="424">
        <f t="shared" si="925"/>
        <v>0</v>
      </c>
      <c r="AO551" s="424">
        <f t="shared" si="925"/>
        <v>0</v>
      </c>
      <c r="AP551" s="424">
        <f t="shared" ref="AP551:BU551" si="926">AP181*AP$372</f>
        <v>0</v>
      </c>
      <c r="AQ551" s="424">
        <f t="shared" si="926"/>
        <v>0.25</v>
      </c>
      <c r="AR551" s="424">
        <f t="shared" si="926"/>
        <v>0</v>
      </c>
      <c r="AS551" s="424">
        <f t="shared" si="926"/>
        <v>0</v>
      </c>
      <c r="AT551" s="424">
        <f t="shared" si="926"/>
        <v>0</v>
      </c>
      <c r="AU551" s="424">
        <f t="shared" si="926"/>
        <v>0.6</v>
      </c>
      <c r="AV551" s="424">
        <f t="shared" si="926"/>
        <v>0</v>
      </c>
      <c r="AW551" s="424">
        <f t="shared" si="926"/>
        <v>0</v>
      </c>
      <c r="AX551" s="424">
        <f t="shared" si="926"/>
        <v>0</v>
      </c>
      <c r="AY551" s="424">
        <f t="shared" si="926"/>
        <v>0</v>
      </c>
      <c r="AZ551" s="424">
        <f t="shared" si="926"/>
        <v>0</v>
      </c>
      <c r="BA551" s="424">
        <f t="shared" si="926"/>
        <v>0</v>
      </c>
      <c r="BB551" s="424">
        <f t="shared" si="926"/>
        <v>0</v>
      </c>
      <c r="BC551" s="424">
        <f t="shared" si="926"/>
        <v>0</v>
      </c>
      <c r="BD551" s="424">
        <f t="shared" si="926"/>
        <v>0</v>
      </c>
      <c r="BE551" s="424">
        <f t="shared" si="926"/>
        <v>0</v>
      </c>
      <c r="BF551" s="424">
        <f t="shared" si="926"/>
        <v>0</v>
      </c>
      <c r="BG551" s="424">
        <f t="shared" si="926"/>
        <v>0</v>
      </c>
      <c r="BH551" s="424">
        <f t="shared" si="926"/>
        <v>0</v>
      </c>
      <c r="BI551" s="424">
        <f t="shared" si="926"/>
        <v>0</v>
      </c>
      <c r="BJ551" s="424">
        <f t="shared" si="926"/>
        <v>0</v>
      </c>
      <c r="BK551" s="424">
        <f t="shared" si="926"/>
        <v>0</v>
      </c>
      <c r="BL551" s="424">
        <f t="shared" si="926"/>
        <v>0</v>
      </c>
      <c r="BM551" s="424">
        <f t="shared" si="926"/>
        <v>0</v>
      </c>
      <c r="BN551" s="424">
        <f t="shared" si="926"/>
        <v>0</v>
      </c>
      <c r="BO551" s="424">
        <f t="shared" si="926"/>
        <v>0</v>
      </c>
      <c r="BP551" s="424">
        <f t="shared" si="926"/>
        <v>0</v>
      </c>
      <c r="BQ551" s="424">
        <f t="shared" si="926"/>
        <v>0</v>
      </c>
      <c r="BR551" s="424">
        <f t="shared" si="926"/>
        <v>0</v>
      </c>
      <c r="BS551" s="424">
        <f t="shared" si="926"/>
        <v>7.0000000000000007E-2</v>
      </c>
      <c r="BT551" s="424">
        <f t="shared" si="926"/>
        <v>0</v>
      </c>
      <c r="BU551" s="424">
        <f t="shared" si="926"/>
        <v>0</v>
      </c>
      <c r="BV551" s="424">
        <f t="shared" ref="BV551:DA551" si="927">BV181*BV$372</f>
        <v>0</v>
      </c>
      <c r="BW551" s="424">
        <f t="shared" si="927"/>
        <v>0</v>
      </c>
      <c r="BX551" s="424">
        <f t="shared" si="927"/>
        <v>0</v>
      </c>
      <c r="BY551" s="424">
        <f t="shared" si="927"/>
        <v>0</v>
      </c>
      <c r="BZ551" s="424">
        <f t="shared" si="927"/>
        <v>0</v>
      </c>
      <c r="CA551" s="424">
        <f t="shared" si="927"/>
        <v>0</v>
      </c>
      <c r="CB551" s="424">
        <f t="shared" si="927"/>
        <v>0</v>
      </c>
      <c r="CC551" s="424">
        <f t="shared" si="927"/>
        <v>0</v>
      </c>
      <c r="CD551" s="424">
        <f t="shared" si="927"/>
        <v>0</v>
      </c>
      <c r="CE551" s="424">
        <f t="shared" si="927"/>
        <v>0</v>
      </c>
      <c r="CF551" s="424">
        <f t="shared" si="927"/>
        <v>0.6</v>
      </c>
      <c r="CG551" s="424">
        <f t="shared" si="927"/>
        <v>0</v>
      </c>
      <c r="CH551" s="424">
        <f t="shared" si="927"/>
        <v>0</v>
      </c>
      <c r="CI551" s="424">
        <f t="shared" si="927"/>
        <v>0</v>
      </c>
      <c r="CJ551" s="424">
        <f t="shared" si="927"/>
        <v>0</v>
      </c>
      <c r="CK551" s="424">
        <f t="shared" si="927"/>
        <v>0</v>
      </c>
      <c r="CL551" s="424">
        <f t="shared" si="927"/>
        <v>0</v>
      </c>
      <c r="CM551" s="424">
        <f t="shared" si="927"/>
        <v>0</v>
      </c>
      <c r="CN551" s="424">
        <f t="shared" si="927"/>
        <v>0</v>
      </c>
      <c r="CO551" s="424">
        <f t="shared" si="927"/>
        <v>0</v>
      </c>
      <c r="CP551" s="424">
        <f t="shared" si="927"/>
        <v>0</v>
      </c>
      <c r="CQ551" s="424">
        <f t="shared" si="927"/>
        <v>0</v>
      </c>
      <c r="CR551" s="424">
        <f t="shared" si="927"/>
        <v>0</v>
      </c>
      <c r="CS551" s="424">
        <f t="shared" si="927"/>
        <v>0.02</v>
      </c>
      <c r="CT551" s="424">
        <f t="shared" si="927"/>
        <v>0</v>
      </c>
      <c r="CU551" s="424">
        <f t="shared" si="927"/>
        <v>0</v>
      </c>
      <c r="CV551" s="424">
        <f t="shared" si="927"/>
        <v>0</v>
      </c>
      <c r="CW551" s="424">
        <f t="shared" si="927"/>
        <v>0</v>
      </c>
      <c r="CX551" s="424">
        <f t="shared" si="927"/>
        <v>0</v>
      </c>
      <c r="CY551" s="424">
        <f t="shared" si="927"/>
        <v>0</v>
      </c>
      <c r="CZ551" s="424">
        <f t="shared" si="927"/>
        <v>0</v>
      </c>
      <c r="DA551" s="424">
        <f t="shared" si="927"/>
        <v>0</v>
      </c>
      <c r="DB551" s="424">
        <f t="shared" ref="DB551:EG551" si="928">DB181*DB$372</f>
        <v>0</v>
      </c>
      <c r="DC551" s="424">
        <f t="shared" si="928"/>
        <v>7.0000000000000007E-2</v>
      </c>
      <c r="DD551" s="424">
        <f t="shared" si="928"/>
        <v>0</v>
      </c>
      <c r="DE551" s="424">
        <f t="shared" si="928"/>
        <v>0</v>
      </c>
      <c r="DF551" s="424">
        <f t="shared" si="928"/>
        <v>1.61</v>
      </c>
      <c r="DG551" s="424">
        <f t="shared" si="928"/>
        <v>0</v>
      </c>
      <c r="DH551" s="424">
        <f t="shared" si="928"/>
        <v>0</v>
      </c>
      <c r="DI551" s="424">
        <f t="shared" si="928"/>
        <v>0</v>
      </c>
      <c r="DJ551" s="424">
        <f t="shared" si="928"/>
        <v>0</v>
      </c>
      <c r="DK551" s="424">
        <f t="shared" si="928"/>
        <v>0</v>
      </c>
      <c r="DL551" s="424">
        <f t="shared" si="928"/>
        <v>0</v>
      </c>
      <c r="DM551" s="424">
        <f t="shared" si="928"/>
        <v>0</v>
      </c>
      <c r="DN551" s="424">
        <f t="shared" si="928"/>
        <v>0</v>
      </c>
      <c r="DO551" s="424">
        <f t="shared" si="928"/>
        <v>0</v>
      </c>
      <c r="DP551" s="424">
        <f t="shared" si="928"/>
        <v>0</v>
      </c>
      <c r="DQ551" s="424">
        <f t="shared" si="928"/>
        <v>0</v>
      </c>
      <c r="DR551" s="424">
        <f t="shared" si="928"/>
        <v>0</v>
      </c>
      <c r="DS551" s="424">
        <f t="shared" si="928"/>
        <v>0</v>
      </c>
      <c r="DT551" s="424">
        <f t="shared" si="928"/>
        <v>0</v>
      </c>
      <c r="DU551" s="424">
        <f t="shared" si="928"/>
        <v>0</v>
      </c>
      <c r="DV551" s="424">
        <f t="shared" si="928"/>
        <v>0</v>
      </c>
      <c r="DW551" s="424">
        <f t="shared" si="928"/>
        <v>0</v>
      </c>
      <c r="DX551" s="424">
        <f t="shared" si="928"/>
        <v>0</v>
      </c>
      <c r="DY551" s="424">
        <f t="shared" si="928"/>
        <v>0</v>
      </c>
      <c r="DZ551" s="424">
        <f t="shared" si="928"/>
        <v>0</v>
      </c>
      <c r="EA551" s="424">
        <f t="shared" si="928"/>
        <v>0</v>
      </c>
      <c r="EB551" s="424">
        <f t="shared" si="928"/>
        <v>0</v>
      </c>
      <c r="EC551" s="424">
        <f t="shared" si="928"/>
        <v>0</v>
      </c>
      <c r="ED551" s="424">
        <f t="shared" si="928"/>
        <v>0</v>
      </c>
      <c r="EE551" s="424">
        <f t="shared" si="928"/>
        <v>0</v>
      </c>
      <c r="EF551" s="424">
        <f t="shared" si="928"/>
        <v>0</v>
      </c>
      <c r="EG551" s="424">
        <f t="shared" si="928"/>
        <v>0</v>
      </c>
      <c r="EH551" s="424">
        <f t="shared" ref="EH551:EX551" si="929">EH181*EH$372</f>
        <v>0</v>
      </c>
      <c r="EI551" s="424">
        <f t="shared" si="929"/>
        <v>0</v>
      </c>
      <c r="EJ551" s="424">
        <f t="shared" si="929"/>
        <v>0</v>
      </c>
      <c r="EK551" s="424">
        <f t="shared" si="929"/>
        <v>0</v>
      </c>
      <c r="EL551" s="424">
        <f t="shared" si="929"/>
        <v>0</v>
      </c>
      <c r="EM551" s="424">
        <f t="shared" si="929"/>
        <v>0</v>
      </c>
      <c r="EN551" s="424">
        <f t="shared" si="929"/>
        <v>0</v>
      </c>
      <c r="EO551" s="424">
        <f t="shared" si="929"/>
        <v>0</v>
      </c>
      <c r="EP551" s="424">
        <f t="shared" si="929"/>
        <v>0</v>
      </c>
      <c r="EQ551" s="424">
        <f t="shared" si="929"/>
        <v>0</v>
      </c>
      <c r="ER551" s="424">
        <f t="shared" si="929"/>
        <v>0</v>
      </c>
      <c r="ES551" s="424">
        <f t="shared" si="929"/>
        <v>0</v>
      </c>
      <c r="ET551" s="424">
        <f t="shared" si="929"/>
        <v>0</v>
      </c>
      <c r="EU551" s="424">
        <f t="shared" si="929"/>
        <v>0</v>
      </c>
      <c r="EV551" s="424">
        <f t="shared" si="929"/>
        <v>0</v>
      </c>
      <c r="EW551" s="424">
        <f t="shared" si="929"/>
        <v>0</v>
      </c>
      <c r="EX551" s="424">
        <f t="shared" si="929"/>
        <v>0</v>
      </c>
      <c r="EY551" s="425">
        <f t="shared" si="699"/>
        <v>67.349999999999994</v>
      </c>
    </row>
    <row r="552" spans="1:166" s="467" customFormat="1" ht="14.7" customHeight="1" x14ac:dyDescent="0.25">
      <c r="A552" s="310">
        <v>178</v>
      </c>
      <c r="B552" s="311" t="str">
        <f t="shared" si="680"/>
        <v>Мясо тушеное с соусом (2 вариант)</v>
      </c>
      <c r="C552" s="483">
        <f t="shared" si="688"/>
        <v>33.4</v>
      </c>
      <c r="D552" s="888"/>
      <c r="E552" s="888"/>
      <c r="F552" s="888"/>
      <c r="G552" s="889"/>
      <c r="H552" s="680">
        <f t="shared" si="681"/>
        <v>256</v>
      </c>
      <c r="I552" s="1209">
        <f t="shared" si="682"/>
        <v>-0.02</v>
      </c>
      <c r="J552" s="424">
        <f t="shared" ref="J552:AO552" si="930">J182*J$372</f>
        <v>31.64</v>
      </c>
      <c r="K552" s="424">
        <f t="shared" si="930"/>
        <v>0</v>
      </c>
      <c r="L552" s="424">
        <f t="shared" si="930"/>
        <v>0</v>
      </c>
      <c r="M552" s="424">
        <f t="shared" si="930"/>
        <v>0</v>
      </c>
      <c r="N552" s="424">
        <f t="shared" si="930"/>
        <v>0</v>
      </c>
      <c r="O552" s="424">
        <f t="shared" si="930"/>
        <v>0</v>
      </c>
      <c r="P552" s="424">
        <f t="shared" si="930"/>
        <v>0</v>
      </c>
      <c r="Q552" s="424">
        <f t="shared" si="930"/>
        <v>0</v>
      </c>
      <c r="R552" s="424">
        <f t="shared" si="930"/>
        <v>0</v>
      </c>
      <c r="S552" s="424">
        <f t="shared" si="930"/>
        <v>0</v>
      </c>
      <c r="T552" s="424">
        <f t="shared" si="930"/>
        <v>0</v>
      </c>
      <c r="U552" s="424">
        <f t="shared" si="930"/>
        <v>0</v>
      </c>
      <c r="V552" s="424">
        <f t="shared" si="930"/>
        <v>0</v>
      </c>
      <c r="W552" s="424">
        <f t="shared" si="930"/>
        <v>0</v>
      </c>
      <c r="X552" s="424">
        <f t="shared" si="930"/>
        <v>0</v>
      </c>
      <c r="Y552" s="424">
        <f t="shared" si="930"/>
        <v>0</v>
      </c>
      <c r="Z552" s="424">
        <f t="shared" si="930"/>
        <v>0</v>
      </c>
      <c r="AA552" s="424">
        <f t="shared" si="930"/>
        <v>0</v>
      </c>
      <c r="AB552" s="424">
        <f t="shared" si="930"/>
        <v>0</v>
      </c>
      <c r="AC552" s="424">
        <f t="shared" si="930"/>
        <v>0</v>
      </c>
      <c r="AD552" s="424">
        <f t="shared" si="930"/>
        <v>0</v>
      </c>
      <c r="AE552" s="424">
        <f t="shared" si="930"/>
        <v>0</v>
      </c>
      <c r="AF552" s="424">
        <f t="shared" si="930"/>
        <v>0</v>
      </c>
      <c r="AG552" s="424">
        <f t="shared" si="930"/>
        <v>0</v>
      </c>
      <c r="AH552" s="424">
        <f t="shared" si="930"/>
        <v>0</v>
      </c>
      <c r="AI552" s="424">
        <f t="shared" si="930"/>
        <v>0</v>
      </c>
      <c r="AJ552" s="424">
        <f t="shared" si="930"/>
        <v>0</v>
      </c>
      <c r="AK552" s="424">
        <f t="shared" si="930"/>
        <v>0.13</v>
      </c>
      <c r="AL552" s="424">
        <f t="shared" si="930"/>
        <v>0</v>
      </c>
      <c r="AM552" s="424">
        <f t="shared" si="930"/>
        <v>0</v>
      </c>
      <c r="AN552" s="424">
        <f t="shared" si="930"/>
        <v>0</v>
      </c>
      <c r="AO552" s="424">
        <f t="shared" si="930"/>
        <v>0</v>
      </c>
      <c r="AP552" s="424">
        <f t="shared" ref="AP552:BU552" si="931">AP182*AP$372</f>
        <v>0</v>
      </c>
      <c r="AQ552" s="424">
        <f t="shared" si="931"/>
        <v>0.13</v>
      </c>
      <c r="AR552" s="424">
        <f t="shared" si="931"/>
        <v>0</v>
      </c>
      <c r="AS552" s="424">
        <f t="shared" si="931"/>
        <v>0</v>
      </c>
      <c r="AT552" s="424">
        <f t="shared" si="931"/>
        <v>0</v>
      </c>
      <c r="AU552" s="424">
        <f t="shared" si="931"/>
        <v>0.3</v>
      </c>
      <c r="AV552" s="424">
        <f t="shared" si="931"/>
        <v>0</v>
      </c>
      <c r="AW552" s="424">
        <f t="shared" si="931"/>
        <v>0</v>
      </c>
      <c r="AX552" s="424">
        <f t="shared" si="931"/>
        <v>0</v>
      </c>
      <c r="AY552" s="424">
        <f t="shared" si="931"/>
        <v>0</v>
      </c>
      <c r="AZ552" s="424">
        <f t="shared" si="931"/>
        <v>0</v>
      </c>
      <c r="BA552" s="424">
        <f t="shared" si="931"/>
        <v>0</v>
      </c>
      <c r="BB552" s="424">
        <f t="shared" si="931"/>
        <v>0</v>
      </c>
      <c r="BC552" s="424">
        <f t="shared" si="931"/>
        <v>0</v>
      </c>
      <c r="BD552" s="424">
        <f t="shared" si="931"/>
        <v>0</v>
      </c>
      <c r="BE552" s="424">
        <f t="shared" si="931"/>
        <v>0</v>
      </c>
      <c r="BF552" s="424">
        <f t="shared" si="931"/>
        <v>0</v>
      </c>
      <c r="BG552" s="424">
        <f t="shared" si="931"/>
        <v>0</v>
      </c>
      <c r="BH552" s="424">
        <f t="shared" si="931"/>
        <v>0</v>
      </c>
      <c r="BI552" s="424">
        <f t="shared" si="931"/>
        <v>0</v>
      </c>
      <c r="BJ552" s="424">
        <f t="shared" si="931"/>
        <v>0</v>
      </c>
      <c r="BK552" s="424">
        <f t="shared" si="931"/>
        <v>0</v>
      </c>
      <c r="BL552" s="424">
        <f t="shared" si="931"/>
        <v>0</v>
      </c>
      <c r="BM552" s="424">
        <f t="shared" si="931"/>
        <v>0</v>
      </c>
      <c r="BN552" s="424">
        <f t="shared" si="931"/>
        <v>0</v>
      </c>
      <c r="BO552" s="424">
        <f t="shared" si="931"/>
        <v>0</v>
      </c>
      <c r="BP552" s="424">
        <f t="shared" si="931"/>
        <v>0</v>
      </c>
      <c r="BQ552" s="424">
        <f t="shared" si="931"/>
        <v>0</v>
      </c>
      <c r="BR552" s="424">
        <f t="shared" si="931"/>
        <v>0</v>
      </c>
      <c r="BS552" s="424">
        <f t="shared" si="931"/>
        <v>0.04</v>
      </c>
      <c r="BT552" s="424">
        <f t="shared" si="931"/>
        <v>0</v>
      </c>
      <c r="BU552" s="424">
        <f t="shared" si="931"/>
        <v>0</v>
      </c>
      <c r="BV552" s="424">
        <f t="shared" ref="BV552:DA552" si="932">BV182*BV$372</f>
        <v>0</v>
      </c>
      <c r="BW552" s="424">
        <f t="shared" si="932"/>
        <v>0</v>
      </c>
      <c r="BX552" s="424">
        <f t="shared" si="932"/>
        <v>0</v>
      </c>
      <c r="BY552" s="424">
        <f t="shared" si="932"/>
        <v>0</v>
      </c>
      <c r="BZ552" s="424">
        <f t="shared" si="932"/>
        <v>0</v>
      </c>
      <c r="CA552" s="424">
        <f t="shared" si="932"/>
        <v>0</v>
      </c>
      <c r="CB552" s="424">
        <f t="shared" si="932"/>
        <v>0</v>
      </c>
      <c r="CC552" s="424">
        <f t="shared" si="932"/>
        <v>0</v>
      </c>
      <c r="CD552" s="424">
        <f t="shared" si="932"/>
        <v>0</v>
      </c>
      <c r="CE552" s="424">
        <f t="shared" si="932"/>
        <v>0</v>
      </c>
      <c r="CF552" s="424">
        <f t="shared" si="932"/>
        <v>0.3</v>
      </c>
      <c r="CG552" s="424">
        <f t="shared" si="932"/>
        <v>0</v>
      </c>
      <c r="CH552" s="424">
        <f t="shared" si="932"/>
        <v>0</v>
      </c>
      <c r="CI552" s="424">
        <f t="shared" si="932"/>
        <v>0</v>
      </c>
      <c r="CJ552" s="424">
        <f t="shared" si="932"/>
        <v>0</v>
      </c>
      <c r="CK552" s="424">
        <f t="shared" si="932"/>
        <v>0</v>
      </c>
      <c r="CL552" s="424">
        <f t="shared" si="932"/>
        <v>0</v>
      </c>
      <c r="CM552" s="424">
        <f t="shared" si="932"/>
        <v>0</v>
      </c>
      <c r="CN552" s="424">
        <f t="shared" si="932"/>
        <v>0</v>
      </c>
      <c r="CO552" s="424">
        <f t="shared" si="932"/>
        <v>0</v>
      </c>
      <c r="CP552" s="424">
        <f t="shared" si="932"/>
        <v>0</v>
      </c>
      <c r="CQ552" s="424">
        <f t="shared" si="932"/>
        <v>0</v>
      </c>
      <c r="CR552" s="424">
        <f t="shared" si="932"/>
        <v>0</v>
      </c>
      <c r="CS552" s="424">
        <f t="shared" si="932"/>
        <v>0.01</v>
      </c>
      <c r="CT552" s="424">
        <f t="shared" si="932"/>
        <v>0</v>
      </c>
      <c r="CU552" s="424">
        <f t="shared" si="932"/>
        <v>0</v>
      </c>
      <c r="CV552" s="424">
        <f t="shared" si="932"/>
        <v>0</v>
      </c>
      <c r="CW552" s="424">
        <f t="shared" si="932"/>
        <v>0</v>
      </c>
      <c r="CX552" s="424">
        <f t="shared" si="932"/>
        <v>0</v>
      </c>
      <c r="CY552" s="424">
        <f t="shared" si="932"/>
        <v>0</v>
      </c>
      <c r="CZ552" s="424">
        <f t="shared" si="932"/>
        <v>0</v>
      </c>
      <c r="DA552" s="424">
        <f t="shared" si="932"/>
        <v>0</v>
      </c>
      <c r="DB552" s="424">
        <f t="shared" ref="DB552:EG552" si="933">DB182*DB$372</f>
        <v>0</v>
      </c>
      <c r="DC552" s="424">
        <f t="shared" si="933"/>
        <v>0.04</v>
      </c>
      <c r="DD552" s="424">
        <f t="shared" si="933"/>
        <v>0</v>
      </c>
      <c r="DE552" s="424">
        <f t="shared" si="933"/>
        <v>0</v>
      </c>
      <c r="DF552" s="424">
        <f t="shared" si="933"/>
        <v>0.81</v>
      </c>
      <c r="DG552" s="424">
        <f t="shared" si="933"/>
        <v>0</v>
      </c>
      <c r="DH552" s="424">
        <f t="shared" si="933"/>
        <v>0</v>
      </c>
      <c r="DI552" s="424">
        <f t="shared" si="933"/>
        <v>0</v>
      </c>
      <c r="DJ552" s="424">
        <f t="shared" si="933"/>
        <v>0</v>
      </c>
      <c r="DK552" s="424">
        <f t="shared" si="933"/>
        <v>0</v>
      </c>
      <c r="DL552" s="424">
        <f t="shared" si="933"/>
        <v>0</v>
      </c>
      <c r="DM552" s="424">
        <f t="shared" si="933"/>
        <v>0</v>
      </c>
      <c r="DN552" s="424">
        <f t="shared" si="933"/>
        <v>0</v>
      </c>
      <c r="DO552" s="424">
        <f t="shared" si="933"/>
        <v>0</v>
      </c>
      <c r="DP552" s="424">
        <f t="shared" si="933"/>
        <v>0</v>
      </c>
      <c r="DQ552" s="424">
        <f t="shared" si="933"/>
        <v>0</v>
      </c>
      <c r="DR552" s="424">
        <f t="shared" si="933"/>
        <v>0</v>
      </c>
      <c r="DS552" s="424">
        <f t="shared" si="933"/>
        <v>0</v>
      </c>
      <c r="DT552" s="424">
        <f t="shared" si="933"/>
        <v>0</v>
      </c>
      <c r="DU552" s="424">
        <f t="shared" si="933"/>
        <v>0</v>
      </c>
      <c r="DV552" s="424">
        <f t="shared" si="933"/>
        <v>0</v>
      </c>
      <c r="DW552" s="424">
        <f t="shared" si="933"/>
        <v>0</v>
      </c>
      <c r="DX552" s="424">
        <f t="shared" si="933"/>
        <v>0</v>
      </c>
      <c r="DY552" s="424">
        <f t="shared" si="933"/>
        <v>0</v>
      </c>
      <c r="DZ552" s="424">
        <f t="shared" si="933"/>
        <v>0</v>
      </c>
      <c r="EA552" s="424">
        <f t="shared" si="933"/>
        <v>0</v>
      </c>
      <c r="EB552" s="424">
        <f t="shared" si="933"/>
        <v>0</v>
      </c>
      <c r="EC552" s="424">
        <f t="shared" si="933"/>
        <v>0</v>
      </c>
      <c r="ED552" s="424">
        <f t="shared" si="933"/>
        <v>0</v>
      </c>
      <c r="EE552" s="424">
        <f t="shared" si="933"/>
        <v>0</v>
      </c>
      <c r="EF552" s="424">
        <f t="shared" si="933"/>
        <v>0</v>
      </c>
      <c r="EG552" s="424">
        <f t="shared" si="933"/>
        <v>0</v>
      </c>
      <c r="EH552" s="424">
        <f t="shared" ref="EH552:EX552" si="934">EH182*EH$372</f>
        <v>0</v>
      </c>
      <c r="EI552" s="424">
        <f t="shared" si="934"/>
        <v>0</v>
      </c>
      <c r="EJ552" s="424">
        <f t="shared" si="934"/>
        <v>0</v>
      </c>
      <c r="EK552" s="424">
        <f t="shared" si="934"/>
        <v>0</v>
      </c>
      <c r="EL552" s="424">
        <f t="shared" si="934"/>
        <v>0</v>
      </c>
      <c r="EM552" s="424">
        <f t="shared" si="934"/>
        <v>0</v>
      </c>
      <c r="EN552" s="424">
        <f t="shared" si="934"/>
        <v>0</v>
      </c>
      <c r="EO552" s="424">
        <f t="shared" si="934"/>
        <v>0</v>
      </c>
      <c r="EP552" s="424">
        <f t="shared" si="934"/>
        <v>0</v>
      </c>
      <c r="EQ552" s="424">
        <f t="shared" si="934"/>
        <v>0</v>
      </c>
      <c r="ER552" s="424">
        <f t="shared" si="934"/>
        <v>0</v>
      </c>
      <c r="ES552" s="424">
        <f t="shared" si="934"/>
        <v>0</v>
      </c>
      <c r="ET552" s="424">
        <f t="shared" si="934"/>
        <v>0</v>
      </c>
      <c r="EU552" s="424">
        <f t="shared" si="934"/>
        <v>0</v>
      </c>
      <c r="EV552" s="424">
        <f t="shared" si="934"/>
        <v>0</v>
      </c>
      <c r="EW552" s="424">
        <f t="shared" si="934"/>
        <v>0</v>
      </c>
      <c r="EX552" s="424">
        <f t="shared" si="934"/>
        <v>0</v>
      </c>
      <c r="EY552" s="425">
        <f t="shared" si="699"/>
        <v>33.4</v>
      </c>
      <c r="EZ552" s="616"/>
      <c r="FA552" s="616"/>
      <c r="FB552" s="616"/>
      <c r="FC552" s="616"/>
      <c r="FD552" s="616"/>
      <c r="FE552" s="616"/>
      <c r="FF552" s="616"/>
      <c r="FG552" s="616"/>
      <c r="FH552" s="616"/>
      <c r="FI552" s="616"/>
      <c r="FJ552" s="616"/>
    </row>
    <row r="553" spans="1:166" s="516" customFormat="1" ht="14.7" customHeight="1" x14ac:dyDescent="0.25">
      <c r="A553" s="310">
        <v>179</v>
      </c>
      <c r="B553" s="311" t="str">
        <f t="shared" si="680"/>
        <v>Мясо духовое в сметанном соусе</v>
      </c>
      <c r="C553" s="483">
        <f t="shared" si="688"/>
        <v>74.86</v>
      </c>
      <c r="D553" s="888"/>
      <c r="E553" s="888"/>
      <c r="F553" s="888"/>
      <c r="G553" s="889"/>
      <c r="H553" s="680">
        <f t="shared" si="681"/>
        <v>258</v>
      </c>
      <c r="I553" s="1209">
        <f t="shared" si="682"/>
        <v>-0.01</v>
      </c>
      <c r="J553" s="424">
        <f t="shared" ref="J553:AO553" si="935">J183*J$372</f>
        <v>61.04</v>
      </c>
      <c r="K553" s="424">
        <f t="shared" si="935"/>
        <v>0</v>
      </c>
      <c r="L553" s="424">
        <f t="shared" si="935"/>
        <v>0</v>
      </c>
      <c r="M553" s="424">
        <f t="shared" si="935"/>
        <v>0</v>
      </c>
      <c r="N553" s="424">
        <f t="shared" si="935"/>
        <v>0</v>
      </c>
      <c r="O553" s="424">
        <f t="shared" si="935"/>
        <v>0</v>
      </c>
      <c r="P553" s="424">
        <f t="shared" si="935"/>
        <v>0</v>
      </c>
      <c r="Q553" s="424">
        <f t="shared" si="935"/>
        <v>0</v>
      </c>
      <c r="R553" s="424">
        <f t="shared" si="935"/>
        <v>0</v>
      </c>
      <c r="S553" s="424">
        <f t="shared" si="935"/>
        <v>0</v>
      </c>
      <c r="T553" s="424">
        <f t="shared" si="935"/>
        <v>0</v>
      </c>
      <c r="U553" s="424">
        <f t="shared" si="935"/>
        <v>0</v>
      </c>
      <c r="V553" s="424">
        <f t="shared" si="935"/>
        <v>0</v>
      </c>
      <c r="W553" s="424">
        <f t="shared" si="935"/>
        <v>0</v>
      </c>
      <c r="X553" s="424">
        <f t="shared" si="935"/>
        <v>0</v>
      </c>
      <c r="Y553" s="424">
        <f t="shared" si="935"/>
        <v>2.93</v>
      </c>
      <c r="Z553" s="424">
        <f t="shared" si="935"/>
        <v>0</v>
      </c>
      <c r="AA553" s="424">
        <f t="shared" si="935"/>
        <v>0</v>
      </c>
      <c r="AB553" s="424">
        <f t="shared" si="935"/>
        <v>0</v>
      </c>
      <c r="AC553" s="424">
        <f t="shared" si="935"/>
        <v>0</v>
      </c>
      <c r="AD553" s="424">
        <f t="shared" si="935"/>
        <v>0</v>
      </c>
      <c r="AE553" s="424">
        <f t="shared" si="935"/>
        <v>0</v>
      </c>
      <c r="AF553" s="424">
        <f t="shared" si="935"/>
        <v>0</v>
      </c>
      <c r="AG553" s="424">
        <f t="shared" si="935"/>
        <v>0</v>
      </c>
      <c r="AH553" s="424">
        <f t="shared" si="935"/>
        <v>5.35</v>
      </c>
      <c r="AI553" s="424">
        <f t="shared" si="935"/>
        <v>0</v>
      </c>
      <c r="AJ553" s="424">
        <f t="shared" si="935"/>
        <v>0</v>
      </c>
      <c r="AK553" s="424">
        <f t="shared" si="935"/>
        <v>0.6</v>
      </c>
      <c r="AL553" s="424">
        <f t="shared" si="935"/>
        <v>0.6</v>
      </c>
      <c r="AM553" s="424">
        <f t="shared" si="935"/>
        <v>0</v>
      </c>
      <c r="AN553" s="424">
        <f t="shared" si="935"/>
        <v>0</v>
      </c>
      <c r="AO553" s="424">
        <f t="shared" si="935"/>
        <v>0</v>
      </c>
      <c r="AP553" s="424">
        <f t="shared" ref="AP553:BU553" si="936">AP183*AP$372</f>
        <v>0</v>
      </c>
      <c r="AQ553" s="424">
        <f t="shared" si="936"/>
        <v>1.1000000000000001</v>
      </c>
      <c r="AR553" s="424">
        <f t="shared" si="936"/>
        <v>0</v>
      </c>
      <c r="AS553" s="424">
        <f t="shared" si="936"/>
        <v>0</v>
      </c>
      <c r="AT553" s="424">
        <f t="shared" si="936"/>
        <v>0</v>
      </c>
      <c r="AU553" s="424">
        <f t="shared" si="936"/>
        <v>0.6</v>
      </c>
      <c r="AV553" s="424">
        <f t="shared" si="936"/>
        <v>0</v>
      </c>
      <c r="AW553" s="424">
        <f t="shared" si="936"/>
        <v>0</v>
      </c>
      <c r="AX553" s="424">
        <f t="shared" si="936"/>
        <v>0</v>
      </c>
      <c r="AY553" s="424">
        <f t="shared" si="936"/>
        <v>0</v>
      </c>
      <c r="AZ553" s="424">
        <f t="shared" si="936"/>
        <v>0</v>
      </c>
      <c r="BA553" s="424">
        <f t="shared" si="936"/>
        <v>0</v>
      </c>
      <c r="BB553" s="424">
        <f t="shared" si="936"/>
        <v>0</v>
      </c>
      <c r="BC553" s="424">
        <f t="shared" si="936"/>
        <v>0</v>
      </c>
      <c r="BD553" s="424">
        <f t="shared" si="936"/>
        <v>0</v>
      </c>
      <c r="BE553" s="424">
        <f t="shared" si="936"/>
        <v>0</v>
      </c>
      <c r="BF553" s="424">
        <f t="shared" si="936"/>
        <v>0</v>
      </c>
      <c r="BG553" s="424">
        <f t="shared" si="936"/>
        <v>0</v>
      </c>
      <c r="BH553" s="424">
        <f t="shared" si="936"/>
        <v>0</v>
      </c>
      <c r="BI553" s="424">
        <f t="shared" si="936"/>
        <v>0</v>
      </c>
      <c r="BJ553" s="424">
        <f t="shared" si="936"/>
        <v>0</v>
      </c>
      <c r="BK553" s="424">
        <f t="shared" si="936"/>
        <v>0</v>
      </c>
      <c r="BL553" s="424">
        <f t="shared" si="936"/>
        <v>0</v>
      </c>
      <c r="BM553" s="424">
        <f t="shared" si="936"/>
        <v>0</v>
      </c>
      <c r="BN553" s="424">
        <f t="shared" si="936"/>
        <v>0</v>
      </c>
      <c r="BO553" s="424">
        <f t="shared" si="936"/>
        <v>0</v>
      </c>
      <c r="BP553" s="424">
        <f t="shared" si="936"/>
        <v>0</v>
      </c>
      <c r="BQ553" s="424">
        <f t="shared" si="936"/>
        <v>0</v>
      </c>
      <c r="BR553" s="424">
        <f t="shared" si="936"/>
        <v>0</v>
      </c>
      <c r="BS553" s="424">
        <f t="shared" si="936"/>
        <v>0.21</v>
      </c>
      <c r="BT553" s="424">
        <f t="shared" si="936"/>
        <v>0</v>
      </c>
      <c r="BU553" s="424">
        <f t="shared" si="936"/>
        <v>0</v>
      </c>
      <c r="BV553" s="424">
        <f t="shared" ref="BV553:DA553" si="937">BV183*BV$372</f>
        <v>0</v>
      </c>
      <c r="BW553" s="424">
        <f t="shared" si="937"/>
        <v>0</v>
      </c>
      <c r="BX553" s="424">
        <f t="shared" si="937"/>
        <v>0</v>
      </c>
      <c r="BY553" s="424">
        <f t="shared" si="937"/>
        <v>0</v>
      </c>
      <c r="BZ553" s="424">
        <f t="shared" si="937"/>
        <v>0</v>
      </c>
      <c r="CA553" s="424">
        <f t="shared" si="937"/>
        <v>0</v>
      </c>
      <c r="CB553" s="424">
        <f t="shared" si="937"/>
        <v>0</v>
      </c>
      <c r="CC553" s="424">
        <f t="shared" si="937"/>
        <v>0</v>
      </c>
      <c r="CD553" s="424">
        <f t="shared" si="937"/>
        <v>0</v>
      </c>
      <c r="CE553" s="424">
        <f t="shared" si="937"/>
        <v>0</v>
      </c>
      <c r="CF553" s="424">
        <f t="shared" si="937"/>
        <v>0.72</v>
      </c>
      <c r="CG553" s="424">
        <f t="shared" si="937"/>
        <v>0</v>
      </c>
      <c r="CH553" s="424">
        <f t="shared" si="937"/>
        <v>0</v>
      </c>
      <c r="CI553" s="424">
        <f t="shared" si="937"/>
        <v>0</v>
      </c>
      <c r="CJ553" s="424">
        <f t="shared" si="937"/>
        <v>0</v>
      </c>
      <c r="CK553" s="424">
        <f t="shared" si="937"/>
        <v>0</v>
      </c>
      <c r="CL553" s="424">
        <f t="shared" si="937"/>
        <v>0</v>
      </c>
      <c r="CM553" s="424">
        <f t="shared" si="937"/>
        <v>0</v>
      </c>
      <c r="CN553" s="424">
        <f t="shared" si="937"/>
        <v>0</v>
      </c>
      <c r="CO553" s="424">
        <f t="shared" si="937"/>
        <v>0</v>
      </c>
      <c r="CP553" s="424">
        <f t="shared" si="937"/>
        <v>0</v>
      </c>
      <c r="CQ553" s="424">
        <f t="shared" si="937"/>
        <v>0</v>
      </c>
      <c r="CR553" s="424">
        <f t="shared" si="937"/>
        <v>0</v>
      </c>
      <c r="CS553" s="424">
        <f t="shared" si="937"/>
        <v>0.02</v>
      </c>
      <c r="CT553" s="424">
        <f t="shared" si="937"/>
        <v>0</v>
      </c>
      <c r="CU553" s="424">
        <f t="shared" si="937"/>
        <v>0</v>
      </c>
      <c r="CV553" s="424">
        <f t="shared" si="937"/>
        <v>0</v>
      </c>
      <c r="CW553" s="424">
        <f t="shared" si="937"/>
        <v>0</v>
      </c>
      <c r="CX553" s="424">
        <f t="shared" si="937"/>
        <v>0</v>
      </c>
      <c r="CY553" s="424">
        <f t="shared" si="937"/>
        <v>0</v>
      </c>
      <c r="CZ553" s="424">
        <f t="shared" si="937"/>
        <v>0</v>
      </c>
      <c r="DA553" s="424">
        <f t="shared" si="937"/>
        <v>0</v>
      </c>
      <c r="DB553" s="424">
        <f t="shared" ref="DB553:EG553" si="938">DB183*DB$372</f>
        <v>0</v>
      </c>
      <c r="DC553" s="424">
        <f t="shared" si="938"/>
        <v>0.08</v>
      </c>
      <c r="DD553" s="424">
        <f t="shared" si="938"/>
        <v>0</v>
      </c>
      <c r="DE553" s="424">
        <f t="shared" si="938"/>
        <v>0</v>
      </c>
      <c r="DF553" s="424">
        <f t="shared" si="938"/>
        <v>1.61</v>
      </c>
      <c r="DG553" s="424">
        <f t="shared" si="938"/>
        <v>0</v>
      </c>
      <c r="DH553" s="424">
        <f t="shared" si="938"/>
        <v>0</v>
      </c>
      <c r="DI553" s="424">
        <f t="shared" si="938"/>
        <v>0</v>
      </c>
      <c r="DJ553" s="424">
        <f t="shared" si="938"/>
        <v>0</v>
      </c>
      <c r="DK553" s="424">
        <f t="shared" si="938"/>
        <v>0</v>
      </c>
      <c r="DL553" s="424">
        <f t="shared" si="938"/>
        <v>0</v>
      </c>
      <c r="DM553" s="424">
        <f t="shared" si="938"/>
        <v>0</v>
      </c>
      <c r="DN553" s="424">
        <f t="shared" si="938"/>
        <v>0</v>
      </c>
      <c r="DO553" s="424">
        <f t="shared" si="938"/>
        <v>0</v>
      </c>
      <c r="DP553" s="424">
        <f t="shared" si="938"/>
        <v>0</v>
      </c>
      <c r="DQ553" s="424">
        <f t="shared" si="938"/>
        <v>0</v>
      </c>
      <c r="DR553" s="424">
        <f t="shared" si="938"/>
        <v>0</v>
      </c>
      <c r="DS553" s="424">
        <f t="shared" si="938"/>
        <v>0</v>
      </c>
      <c r="DT553" s="424">
        <f t="shared" si="938"/>
        <v>0</v>
      </c>
      <c r="DU553" s="424">
        <f t="shared" si="938"/>
        <v>0</v>
      </c>
      <c r="DV553" s="424">
        <f t="shared" si="938"/>
        <v>0</v>
      </c>
      <c r="DW553" s="424">
        <f t="shared" si="938"/>
        <v>0</v>
      </c>
      <c r="DX553" s="424">
        <f t="shared" si="938"/>
        <v>0</v>
      </c>
      <c r="DY553" s="424">
        <f t="shared" si="938"/>
        <v>0</v>
      </c>
      <c r="DZ553" s="424">
        <f t="shared" si="938"/>
        <v>0</v>
      </c>
      <c r="EA553" s="424">
        <f t="shared" si="938"/>
        <v>0</v>
      </c>
      <c r="EB553" s="424">
        <f t="shared" si="938"/>
        <v>0</v>
      </c>
      <c r="EC553" s="424">
        <f t="shared" si="938"/>
        <v>0</v>
      </c>
      <c r="ED553" s="424">
        <f t="shared" si="938"/>
        <v>0</v>
      </c>
      <c r="EE553" s="424">
        <f t="shared" si="938"/>
        <v>0</v>
      </c>
      <c r="EF553" s="424">
        <f t="shared" si="938"/>
        <v>0</v>
      </c>
      <c r="EG553" s="424">
        <f t="shared" si="938"/>
        <v>0</v>
      </c>
      <c r="EH553" s="424">
        <f t="shared" ref="EH553:EX553" si="939">EH183*EH$372</f>
        <v>0</v>
      </c>
      <c r="EI553" s="424">
        <f t="shared" si="939"/>
        <v>0</v>
      </c>
      <c r="EJ553" s="424">
        <f t="shared" si="939"/>
        <v>0</v>
      </c>
      <c r="EK553" s="424">
        <f t="shared" si="939"/>
        <v>0</v>
      </c>
      <c r="EL553" s="424">
        <f t="shared" si="939"/>
        <v>0</v>
      </c>
      <c r="EM553" s="424">
        <f t="shared" si="939"/>
        <v>0</v>
      </c>
      <c r="EN553" s="424">
        <f t="shared" si="939"/>
        <v>0</v>
      </c>
      <c r="EO553" s="424">
        <f t="shared" si="939"/>
        <v>0</v>
      </c>
      <c r="EP553" s="424">
        <f t="shared" si="939"/>
        <v>0</v>
      </c>
      <c r="EQ553" s="424">
        <f t="shared" si="939"/>
        <v>0</v>
      </c>
      <c r="ER553" s="424">
        <f t="shared" si="939"/>
        <v>0</v>
      </c>
      <c r="ES553" s="424">
        <f t="shared" si="939"/>
        <v>0</v>
      </c>
      <c r="ET553" s="424">
        <f t="shared" si="939"/>
        <v>0</v>
      </c>
      <c r="EU553" s="424">
        <f t="shared" si="939"/>
        <v>0</v>
      </c>
      <c r="EV553" s="424">
        <f t="shared" si="939"/>
        <v>0</v>
      </c>
      <c r="EW553" s="424">
        <f t="shared" si="939"/>
        <v>0</v>
      </c>
      <c r="EX553" s="424">
        <f t="shared" si="939"/>
        <v>0</v>
      </c>
      <c r="EY553" s="425">
        <f t="shared" si="699"/>
        <v>74.86</v>
      </c>
      <c r="EZ553" s="616"/>
      <c r="FA553" s="616"/>
      <c r="FB553" s="616"/>
      <c r="FC553" s="616"/>
      <c r="FD553" s="616"/>
      <c r="FE553" s="616"/>
      <c r="FF553" s="616"/>
      <c r="FG553" s="616"/>
      <c r="FH553" s="616"/>
      <c r="FI553" s="616"/>
      <c r="FJ553" s="616"/>
    </row>
    <row r="554" spans="1:166" ht="14.7" customHeight="1" x14ac:dyDescent="0.25">
      <c r="A554" s="310">
        <v>180</v>
      </c>
      <c r="B554" s="311" t="str">
        <f t="shared" si="680"/>
        <v>Жаркое по-домашнему</v>
      </c>
      <c r="C554" s="483">
        <f t="shared" si="688"/>
        <v>69.180000000000007</v>
      </c>
      <c r="D554" s="888"/>
      <c r="E554" s="888"/>
      <c r="F554" s="888"/>
      <c r="G554" s="889"/>
      <c r="H554" s="680">
        <f t="shared" si="681"/>
        <v>259</v>
      </c>
      <c r="I554" s="1209">
        <f t="shared" si="682"/>
        <v>0</v>
      </c>
      <c r="J554" s="424">
        <f t="shared" ref="J554:AO554" si="940">J184*J$372</f>
        <v>59.92</v>
      </c>
      <c r="K554" s="424">
        <f t="shared" si="940"/>
        <v>0</v>
      </c>
      <c r="L554" s="424">
        <f t="shared" si="940"/>
        <v>0</v>
      </c>
      <c r="M554" s="424">
        <f t="shared" si="940"/>
        <v>0</v>
      </c>
      <c r="N554" s="424">
        <f t="shared" si="940"/>
        <v>0</v>
      </c>
      <c r="O554" s="424">
        <f t="shared" si="940"/>
        <v>0</v>
      </c>
      <c r="P554" s="424">
        <f t="shared" si="940"/>
        <v>0</v>
      </c>
      <c r="Q554" s="424">
        <f t="shared" si="940"/>
        <v>0</v>
      </c>
      <c r="R554" s="424">
        <f t="shared" si="940"/>
        <v>0</v>
      </c>
      <c r="S554" s="424">
        <f t="shared" si="940"/>
        <v>0</v>
      </c>
      <c r="T554" s="424">
        <f t="shared" si="940"/>
        <v>0</v>
      </c>
      <c r="U554" s="424">
        <f t="shared" si="940"/>
        <v>0</v>
      </c>
      <c r="V554" s="424">
        <f t="shared" si="940"/>
        <v>0</v>
      </c>
      <c r="W554" s="424">
        <f t="shared" si="940"/>
        <v>0</v>
      </c>
      <c r="X554" s="424">
        <f t="shared" si="940"/>
        <v>0</v>
      </c>
      <c r="Y554" s="424">
        <f t="shared" si="940"/>
        <v>0</v>
      </c>
      <c r="Z554" s="424">
        <f t="shared" si="940"/>
        <v>0</v>
      </c>
      <c r="AA554" s="424">
        <f t="shared" si="940"/>
        <v>0</v>
      </c>
      <c r="AB554" s="424">
        <f t="shared" si="940"/>
        <v>0</v>
      </c>
      <c r="AC554" s="424">
        <f t="shared" si="940"/>
        <v>0</v>
      </c>
      <c r="AD554" s="424">
        <f t="shared" si="940"/>
        <v>0</v>
      </c>
      <c r="AE554" s="424">
        <f t="shared" si="940"/>
        <v>0</v>
      </c>
      <c r="AF554" s="424">
        <f t="shared" si="940"/>
        <v>0</v>
      </c>
      <c r="AG554" s="424">
        <f t="shared" si="940"/>
        <v>0</v>
      </c>
      <c r="AH554" s="424">
        <f t="shared" si="940"/>
        <v>6.65</v>
      </c>
      <c r="AI554" s="424">
        <f t="shared" si="940"/>
        <v>0</v>
      </c>
      <c r="AJ554" s="424">
        <f t="shared" si="940"/>
        <v>0</v>
      </c>
      <c r="AK554" s="424">
        <f t="shared" si="940"/>
        <v>0.6</v>
      </c>
      <c r="AL554" s="424">
        <f t="shared" si="940"/>
        <v>0.6</v>
      </c>
      <c r="AM554" s="424">
        <f t="shared" si="940"/>
        <v>0</v>
      </c>
      <c r="AN554" s="424">
        <f t="shared" si="940"/>
        <v>0</v>
      </c>
      <c r="AO554" s="424">
        <f t="shared" si="940"/>
        <v>0</v>
      </c>
      <c r="AP554" s="424">
        <f t="shared" ref="AP554:BU554" si="941">AP184*AP$372</f>
        <v>0</v>
      </c>
      <c r="AQ554" s="424">
        <f t="shared" si="941"/>
        <v>0</v>
      </c>
      <c r="AR554" s="424">
        <f t="shared" si="941"/>
        <v>0</v>
      </c>
      <c r="AS554" s="424">
        <f t="shared" si="941"/>
        <v>0</v>
      </c>
      <c r="AT554" s="424">
        <f t="shared" si="941"/>
        <v>0</v>
      </c>
      <c r="AU554" s="424">
        <f t="shared" si="941"/>
        <v>0.6</v>
      </c>
      <c r="AV554" s="424">
        <f t="shared" si="941"/>
        <v>0</v>
      </c>
      <c r="AW554" s="424">
        <f t="shared" si="941"/>
        <v>0</v>
      </c>
      <c r="AX554" s="424">
        <f t="shared" si="941"/>
        <v>0</v>
      </c>
      <c r="AY554" s="424">
        <f t="shared" si="941"/>
        <v>0</v>
      </c>
      <c r="AZ554" s="424">
        <f t="shared" si="941"/>
        <v>0</v>
      </c>
      <c r="BA554" s="424">
        <f t="shared" si="941"/>
        <v>0</v>
      </c>
      <c r="BB554" s="424">
        <f t="shared" si="941"/>
        <v>0</v>
      </c>
      <c r="BC554" s="424">
        <f t="shared" si="941"/>
        <v>0</v>
      </c>
      <c r="BD554" s="424">
        <f t="shared" si="941"/>
        <v>0</v>
      </c>
      <c r="BE554" s="424">
        <f t="shared" si="941"/>
        <v>0</v>
      </c>
      <c r="BF554" s="424">
        <f t="shared" si="941"/>
        <v>0</v>
      </c>
      <c r="BG554" s="424">
        <f t="shared" si="941"/>
        <v>0</v>
      </c>
      <c r="BH554" s="424">
        <f t="shared" si="941"/>
        <v>0</v>
      </c>
      <c r="BI554" s="424">
        <f t="shared" si="941"/>
        <v>0</v>
      </c>
      <c r="BJ554" s="424">
        <f t="shared" si="941"/>
        <v>0</v>
      </c>
      <c r="BK554" s="424">
        <f t="shared" si="941"/>
        <v>0</v>
      </c>
      <c r="BL554" s="424">
        <f t="shared" si="941"/>
        <v>0</v>
      </c>
      <c r="BM554" s="424">
        <f t="shared" si="941"/>
        <v>0</v>
      </c>
      <c r="BN554" s="424">
        <f t="shared" si="941"/>
        <v>0</v>
      </c>
      <c r="BO554" s="424">
        <f t="shared" si="941"/>
        <v>0</v>
      </c>
      <c r="BP554" s="424">
        <f t="shared" si="941"/>
        <v>0</v>
      </c>
      <c r="BQ554" s="424">
        <f t="shared" si="941"/>
        <v>0</v>
      </c>
      <c r="BR554" s="424">
        <f t="shared" si="941"/>
        <v>0</v>
      </c>
      <c r="BS554" s="424">
        <f t="shared" si="941"/>
        <v>0</v>
      </c>
      <c r="BT554" s="424">
        <f t="shared" si="941"/>
        <v>0</v>
      </c>
      <c r="BU554" s="424">
        <f t="shared" si="941"/>
        <v>0</v>
      </c>
      <c r="BV554" s="424">
        <f t="shared" ref="BV554:DA554" si="942">BV184*BV$372</f>
        <v>0</v>
      </c>
      <c r="BW554" s="424">
        <f t="shared" si="942"/>
        <v>0</v>
      </c>
      <c r="BX554" s="424">
        <f t="shared" si="942"/>
        <v>0</v>
      </c>
      <c r="BY554" s="424">
        <f t="shared" si="942"/>
        <v>0</v>
      </c>
      <c r="BZ554" s="424">
        <f t="shared" si="942"/>
        <v>0</v>
      </c>
      <c r="CA554" s="424">
        <f t="shared" si="942"/>
        <v>0</v>
      </c>
      <c r="CB554" s="424">
        <f t="shared" si="942"/>
        <v>0</v>
      </c>
      <c r="CC554" s="424">
        <f t="shared" si="942"/>
        <v>0</v>
      </c>
      <c r="CD554" s="424">
        <f t="shared" si="942"/>
        <v>0</v>
      </c>
      <c r="CE554" s="424">
        <f t="shared" si="942"/>
        <v>0</v>
      </c>
      <c r="CF554" s="424">
        <f t="shared" si="942"/>
        <v>0.72</v>
      </c>
      <c r="CG554" s="424">
        <f t="shared" si="942"/>
        <v>0</v>
      </c>
      <c r="CH554" s="424">
        <f t="shared" si="942"/>
        <v>0</v>
      </c>
      <c r="CI554" s="424">
        <f t="shared" si="942"/>
        <v>0</v>
      </c>
      <c r="CJ554" s="424">
        <f t="shared" si="942"/>
        <v>0</v>
      </c>
      <c r="CK554" s="424">
        <f t="shared" si="942"/>
        <v>0</v>
      </c>
      <c r="CL554" s="424">
        <f t="shared" si="942"/>
        <v>0</v>
      </c>
      <c r="CM554" s="424">
        <f t="shared" si="942"/>
        <v>0</v>
      </c>
      <c r="CN554" s="424">
        <f t="shared" si="942"/>
        <v>0</v>
      </c>
      <c r="CO554" s="424">
        <f t="shared" si="942"/>
        <v>0</v>
      </c>
      <c r="CP554" s="424">
        <f t="shared" si="942"/>
        <v>0</v>
      </c>
      <c r="CQ554" s="424">
        <f t="shared" si="942"/>
        <v>0</v>
      </c>
      <c r="CR554" s="424">
        <f t="shared" si="942"/>
        <v>0</v>
      </c>
      <c r="CS554" s="424">
        <f t="shared" si="942"/>
        <v>0.02</v>
      </c>
      <c r="CT554" s="424">
        <f t="shared" si="942"/>
        <v>0</v>
      </c>
      <c r="CU554" s="424">
        <f t="shared" si="942"/>
        <v>0</v>
      </c>
      <c r="CV554" s="424">
        <f t="shared" si="942"/>
        <v>0</v>
      </c>
      <c r="CW554" s="424">
        <f t="shared" si="942"/>
        <v>0</v>
      </c>
      <c r="CX554" s="424">
        <f t="shared" si="942"/>
        <v>0</v>
      </c>
      <c r="CY554" s="424">
        <f t="shared" si="942"/>
        <v>0</v>
      </c>
      <c r="CZ554" s="424">
        <f t="shared" si="942"/>
        <v>0</v>
      </c>
      <c r="DA554" s="424">
        <f t="shared" si="942"/>
        <v>0</v>
      </c>
      <c r="DB554" s="424">
        <f t="shared" ref="DB554:EG554" si="943">DB184*DB$372</f>
        <v>0</v>
      </c>
      <c r="DC554" s="424">
        <f t="shared" si="943"/>
        <v>7.0000000000000007E-2</v>
      </c>
      <c r="DD554" s="424">
        <f t="shared" si="943"/>
        <v>0</v>
      </c>
      <c r="DE554" s="424">
        <f t="shared" si="943"/>
        <v>0</v>
      </c>
      <c r="DF554" s="424">
        <f t="shared" si="943"/>
        <v>0</v>
      </c>
      <c r="DG554" s="424">
        <f t="shared" si="943"/>
        <v>0</v>
      </c>
      <c r="DH554" s="424">
        <f t="shared" si="943"/>
        <v>0</v>
      </c>
      <c r="DI554" s="424">
        <f t="shared" si="943"/>
        <v>0</v>
      </c>
      <c r="DJ554" s="424">
        <f t="shared" si="943"/>
        <v>0</v>
      </c>
      <c r="DK554" s="424">
        <f t="shared" si="943"/>
        <v>0</v>
      </c>
      <c r="DL554" s="424">
        <f t="shared" si="943"/>
        <v>0</v>
      </c>
      <c r="DM554" s="424">
        <f t="shared" si="943"/>
        <v>0</v>
      </c>
      <c r="DN554" s="424">
        <f t="shared" si="943"/>
        <v>0</v>
      </c>
      <c r="DO554" s="424">
        <f t="shared" si="943"/>
        <v>0</v>
      </c>
      <c r="DP554" s="424">
        <f t="shared" si="943"/>
        <v>0</v>
      </c>
      <c r="DQ554" s="424">
        <f t="shared" si="943"/>
        <v>0</v>
      </c>
      <c r="DR554" s="424">
        <f t="shared" si="943"/>
        <v>0</v>
      </c>
      <c r="DS554" s="424">
        <f t="shared" si="943"/>
        <v>0</v>
      </c>
      <c r="DT554" s="424">
        <f t="shared" si="943"/>
        <v>0</v>
      </c>
      <c r="DU554" s="424">
        <f t="shared" si="943"/>
        <v>0</v>
      </c>
      <c r="DV554" s="424">
        <f t="shared" si="943"/>
        <v>0</v>
      </c>
      <c r="DW554" s="424">
        <f t="shared" si="943"/>
        <v>0</v>
      </c>
      <c r="DX554" s="424">
        <f t="shared" si="943"/>
        <v>0</v>
      </c>
      <c r="DY554" s="424">
        <f t="shared" si="943"/>
        <v>0</v>
      </c>
      <c r="DZ554" s="424">
        <f t="shared" si="943"/>
        <v>0</v>
      </c>
      <c r="EA554" s="424">
        <f t="shared" si="943"/>
        <v>0</v>
      </c>
      <c r="EB554" s="424">
        <f t="shared" si="943"/>
        <v>0</v>
      </c>
      <c r="EC554" s="424">
        <f t="shared" si="943"/>
        <v>0</v>
      </c>
      <c r="ED554" s="424">
        <f t="shared" si="943"/>
        <v>0</v>
      </c>
      <c r="EE554" s="424">
        <f t="shared" si="943"/>
        <v>0</v>
      </c>
      <c r="EF554" s="424">
        <f t="shared" si="943"/>
        <v>0</v>
      </c>
      <c r="EG554" s="424">
        <f t="shared" si="943"/>
        <v>0</v>
      </c>
      <c r="EH554" s="424">
        <f t="shared" ref="EH554:EX554" si="944">EH184*EH$372</f>
        <v>0</v>
      </c>
      <c r="EI554" s="424">
        <f t="shared" si="944"/>
        <v>0</v>
      </c>
      <c r="EJ554" s="424">
        <f t="shared" si="944"/>
        <v>0</v>
      </c>
      <c r="EK554" s="424">
        <f t="shared" si="944"/>
        <v>0</v>
      </c>
      <c r="EL554" s="424">
        <f t="shared" si="944"/>
        <v>0</v>
      </c>
      <c r="EM554" s="424">
        <f t="shared" si="944"/>
        <v>0</v>
      </c>
      <c r="EN554" s="424">
        <f t="shared" si="944"/>
        <v>0</v>
      </c>
      <c r="EO554" s="424">
        <f t="shared" si="944"/>
        <v>0</v>
      </c>
      <c r="EP554" s="424">
        <f t="shared" si="944"/>
        <v>0</v>
      </c>
      <c r="EQ554" s="424">
        <f t="shared" si="944"/>
        <v>0</v>
      </c>
      <c r="ER554" s="424">
        <f t="shared" si="944"/>
        <v>0</v>
      </c>
      <c r="ES554" s="424">
        <f t="shared" si="944"/>
        <v>0</v>
      </c>
      <c r="ET554" s="424">
        <f t="shared" si="944"/>
        <v>0</v>
      </c>
      <c r="EU554" s="424">
        <f t="shared" si="944"/>
        <v>0</v>
      </c>
      <c r="EV554" s="424">
        <f t="shared" si="944"/>
        <v>0</v>
      </c>
      <c r="EW554" s="424">
        <f t="shared" si="944"/>
        <v>0</v>
      </c>
      <c r="EX554" s="424">
        <f t="shared" si="944"/>
        <v>0</v>
      </c>
      <c r="EY554" s="425">
        <f t="shared" si="699"/>
        <v>69.180000000000007</v>
      </c>
    </row>
    <row r="555" spans="1:166" ht="14.7" customHeight="1" x14ac:dyDescent="0.25">
      <c r="A555" s="310">
        <v>181</v>
      </c>
      <c r="B555" s="311" t="str">
        <f t="shared" si="680"/>
        <v>Жаркое по-домашнему (2 вариант)</v>
      </c>
      <c r="C555" s="483">
        <f t="shared" si="688"/>
        <v>97.01</v>
      </c>
      <c r="D555" s="888"/>
      <c r="E555" s="888"/>
      <c r="F555" s="888"/>
      <c r="G555" s="889"/>
      <c r="H555" s="680">
        <f t="shared" si="681"/>
        <v>259</v>
      </c>
      <c r="I555" s="1209">
        <f t="shared" si="682"/>
        <v>0</v>
      </c>
      <c r="J555" s="424">
        <f t="shared" ref="J555:AO555" si="945">J185*J$372</f>
        <v>84</v>
      </c>
      <c r="K555" s="424">
        <f t="shared" si="945"/>
        <v>0</v>
      </c>
      <c r="L555" s="424">
        <f t="shared" si="945"/>
        <v>0</v>
      </c>
      <c r="M555" s="424">
        <f t="shared" si="945"/>
        <v>0</v>
      </c>
      <c r="N555" s="424">
        <f t="shared" si="945"/>
        <v>0</v>
      </c>
      <c r="O555" s="424">
        <f t="shared" si="945"/>
        <v>0</v>
      </c>
      <c r="P555" s="424">
        <f t="shared" si="945"/>
        <v>0</v>
      </c>
      <c r="Q555" s="424">
        <f t="shared" si="945"/>
        <v>0</v>
      </c>
      <c r="R555" s="424">
        <f t="shared" si="945"/>
        <v>0</v>
      </c>
      <c r="S555" s="424">
        <f t="shared" si="945"/>
        <v>0</v>
      </c>
      <c r="T555" s="424">
        <f t="shared" si="945"/>
        <v>0</v>
      </c>
      <c r="U555" s="424">
        <f t="shared" si="945"/>
        <v>0</v>
      </c>
      <c r="V555" s="424">
        <f t="shared" si="945"/>
        <v>0</v>
      </c>
      <c r="W555" s="424">
        <f t="shared" si="945"/>
        <v>0</v>
      </c>
      <c r="X555" s="424">
        <f t="shared" si="945"/>
        <v>0</v>
      </c>
      <c r="Y555" s="424">
        <f t="shared" si="945"/>
        <v>0</v>
      </c>
      <c r="Z555" s="424">
        <f t="shared" si="945"/>
        <v>0</v>
      </c>
      <c r="AA555" s="424">
        <f t="shared" si="945"/>
        <v>0</v>
      </c>
      <c r="AB555" s="424">
        <f t="shared" si="945"/>
        <v>0</v>
      </c>
      <c r="AC555" s="424">
        <f t="shared" si="945"/>
        <v>0</v>
      </c>
      <c r="AD555" s="424">
        <f t="shared" si="945"/>
        <v>0</v>
      </c>
      <c r="AE555" s="424">
        <f t="shared" si="945"/>
        <v>0</v>
      </c>
      <c r="AF555" s="424">
        <f t="shared" si="945"/>
        <v>0</v>
      </c>
      <c r="AG555" s="424">
        <f t="shared" si="945"/>
        <v>0</v>
      </c>
      <c r="AH555" s="424">
        <f t="shared" si="945"/>
        <v>9.3000000000000007</v>
      </c>
      <c r="AI555" s="424">
        <f t="shared" si="945"/>
        <v>0</v>
      </c>
      <c r="AJ555" s="424">
        <f t="shared" si="945"/>
        <v>0</v>
      </c>
      <c r="AK555" s="424">
        <f t="shared" si="945"/>
        <v>0.85</v>
      </c>
      <c r="AL555" s="424">
        <f t="shared" si="945"/>
        <v>0.9</v>
      </c>
      <c r="AM555" s="424">
        <f t="shared" si="945"/>
        <v>0</v>
      </c>
      <c r="AN555" s="424">
        <f t="shared" si="945"/>
        <v>0</v>
      </c>
      <c r="AO555" s="424">
        <f t="shared" si="945"/>
        <v>0</v>
      </c>
      <c r="AP555" s="424">
        <f t="shared" ref="AP555:BU555" si="946">AP185*AP$372</f>
        <v>0</v>
      </c>
      <c r="AQ555" s="424">
        <f t="shared" si="946"/>
        <v>0</v>
      </c>
      <c r="AR555" s="424">
        <f t="shared" si="946"/>
        <v>0</v>
      </c>
      <c r="AS555" s="424">
        <f t="shared" si="946"/>
        <v>0</v>
      </c>
      <c r="AT555" s="424">
        <f t="shared" si="946"/>
        <v>0</v>
      </c>
      <c r="AU555" s="424">
        <f t="shared" si="946"/>
        <v>0.9</v>
      </c>
      <c r="AV555" s="424">
        <f t="shared" si="946"/>
        <v>0</v>
      </c>
      <c r="AW555" s="424">
        <f t="shared" si="946"/>
        <v>0</v>
      </c>
      <c r="AX555" s="424">
        <f t="shared" si="946"/>
        <v>0</v>
      </c>
      <c r="AY555" s="424">
        <f t="shared" si="946"/>
        <v>0</v>
      </c>
      <c r="AZ555" s="424">
        <f t="shared" si="946"/>
        <v>0</v>
      </c>
      <c r="BA555" s="424">
        <f t="shared" si="946"/>
        <v>0</v>
      </c>
      <c r="BB555" s="424">
        <f t="shared" si="946"/>
        <v>0</v>
      </c>
      <c r="BC555" s="424">
        <f t="shared" si="946"/>
        <v>0</v>
      </c>
      <c r="BD555" s="424">
        <f t="shared" si="946"/>
        <v>0</v>
      </c>
      <c r="BE555" s="424">
        <f t="shared" si="946"/>
        <v>0</v>
      </c>
      <c r="BF555" s="424">
        <f t="shared" si="946"/>
        <v>0</v>
      </c>
      <c r="BG555" s="424">
        <f t="shared" si="946"/>
        <v>0</v>
      </c>
      <c r="BH555" s="424">
        <f t="shared" si="946"/>
        <v>0</v>
      </c>
      <c r="BI555" s="424">
        <f t="shared" si="946"/>
        <v>0</v>
      </c>
      <c r="BJ555" s="424">
        <f t="shared" si="946"/>
        <v>0</v>
      </c>
      <c r="BK555" s="424">
        <f t="shared" si="946"/>
        <v>0</v>
      </c>
      <c r="BL555" s="424">
        <f t="shared" si="946"/>
        <v>0</v>
      </c>
      <c r="BM555" s="424">
        <f t="shared" si="946"/>
        <v>0</v>
      </c>
      <c r="BN555" s="424">
        <f t="shared" si="946"/>
        <v>0</v>
      </c>
      <c r="BO555" s="424">
        <f t="shared" si="946"/>
        <v>0</v>
      </c>
      <c r="BP555" s="424">
        <f t="shared" si="946"/>
        <v>0</v>
      </c>
      <c r="BQ555" s="424">
        <f t="shared" si="946"/>
        <v>0</v>
      </c>
      <c r="BR555" s="424">
        <f t="shared" si="946"/>
        <v>0</v>
      </c>
      <c r="BS555" s="424">
        <f t="shared" si="946"/>
        <v>0</v>
      </c>
      <c r="BT555" s="424">
        <f t="shared" si="946"/>
        <v>0</v>
      </c>
      <c r="BU555" s="424">
        <f t="shared" si="946"/>
        <v>0</v>
      </c>
      <c r="BV555" s="424">
        <f t="shared" ref="BV555:DA555" si="947">BV185*BV$372</f>
        <v>0</v>
      </c>
      <c r="BW555" s="424">
        <f t="shared" si="947"/>
        <v>0</v>
      </c>
      <c r="BX555" s="424">
        <f t="shared" si="947"/>
        <v>0</v>
      </c>
      <c r="BY555" s="424">
        <f t="shared" si="947"/>
        <v>0</v>
      </c>
      <c r="BZ555" s="424">
        <f t="shared" si="947"/>
        <v>0</v>
      </c>
      <c r="CA555" s="424">
        <f t="shared" si="947"/>
        <v>0</v>
      </c>
      <c r="CB555" s="424">
        <f t="shared" si="947"/>
        <v>0</v>
      </c>
      <c r="CC555" s="424">
        <f t="shared" si="947"/>
        <v>0</v>
      </c>
      <c r="CD555" s="424">
        <f t="shared" si="947"/>
        <v>0</v>
      </c>
      <c r="CE555" s="424">
        <f t="shared" si="947"/>
        <v>0</v>
      </c>
      <c r="CF555" s="424">
        <f t="shared" si="947"/>
        <v>0.96</v>
      </c>
      <c r="CG555" s="424">
        <f t="shared" si="947"/>
        <v>0</v>
      </c>
      <c r="CH555" s="424">
        <f t="shared" si="947"/>
        <v>0</v>
      </c>
      <c r="CI555" s="424">
        <f t="shared" si="947"/>
        <v>0</v>
      </c>
      <c r="CJ555" s="424">
        <f t="shared" si="947"/>
        <v>0</v>
      </c>
      <c r="CK555" s="424">
        <f t="shared" si="947"/>
        <v>0</v>
      </c>
      <c r="CL555" s="424">
        <f t="shared" si="947"/>
        <v>0</v>
      </c>
      <c r="CM555" s="424">
        <f t="shared" si="947"/>
        <v>0</v>
      </c>
      <c r="CN555" s="424">
        <f t="shared" si="947"/>
        <v>0</v>
      </c>
      <c r="CO555" s="424">
        <f t="shared" si="947"/>
        <v>0</v>
      </c>
      <c r="CP555" s="424">
        <f t="shared" si="947"/>
        <v>0</v>
      </c>
      <c r="CQ555" s="424">
        <f t="shared" si="947"/>
        <v>0</v>
      </c>
      <c r="CR555" s="424">
        <f t="shared" si="947"/>
        <v>0</v>
      </c>
      <c r="CS555" s="424">
        <f t="shared" si="947"/>
        <v>0.03</v>
      </c>
      <c r="CT555" s="424">
        <f t="shared" si="947"/>
        <v>0</v>
      </c>
      <c r="CU555" s="424">
        <f t="shared" si="947"/>
        <v>0</v>
      </c>
      <c r="CV555" s="424">
        <f t="shared" si="947"/>
        <v>0</v>
      </c>
      <c r="CW555" s="424">
        <f t="shared" si="947"/>
        <v>0</v>
      </c>
      <c r="CX555" s="424">
        <f t="shared" si="947"/>
        <v>0</v>
      </c>
      <c r="CY555" s="424">
        <f t="shared" si="947"/>
        <v>0</v>
      </c>
      <c r="CZ555" s="424">
        <f t="shared" si="947"/>
        <v>0</v>
      </c>
      <c r="DA555" s="424">
        <f t="shared" si="947"/>
        <v>0</v>
      </c>
      <c r="DB555" s="424">
        <f t="shared" ref="DB555:EG555" si="948">DB185*DB$372</f>
        <v>0</v>
      </c>
      <c r="DC555" s="424">
        <f t="shared" si="948"/>
        <v>7.0000000000000007E-2</v>
      </c>
      <c r="DD555" s="424">
        <f t="shared" si="948"/>
        <v>0</v>
      </c>
      <c r="DE555" s="424">
        <f t="shared" si="948"/>
        <v>0</v>
      </c>
      <c r="DF555" s="424">
        <f t="shared" si="948"/>
        <v>0</v>
      </c>
      <c r="DG555" s="424">
        <f t="shared" si="948"/>
        <v>0</v>
      </c>
      <c r="DH555" s="424">
        <f t="shared" si="948"/>
        <v>0</v>
      </c>
      <c r="DI555" s="424">
        <f t="shared" si="948"/>
        <v>0</v>
      </c>
      <c r="DJ555" s="424">
        <f t="shared" si="948"/>
        <v>0</v>
      </c>
      <c r="DK555" s="424">
        <f t="shared" si="948"/>
        <v>0</v>
      </c>
      <c r="DL555" s="424">
        <f t="shared" si="948"/>
        <v>0</v>
      </c>
      <c r="DM555" s="424">
        <f t="shared" si="948"/>
        <v>0</v>
      </c>
      <c r="DN555" s="424">
        <f t="shared" si="948"/>
        <v>0</v>
      </c>
      <c r="DO555" s="424">
        <f t="shared" si="948"/>
        <v>0</v>
      </c>
      <c r="DP555" s="424">
        <f t="shared" si="948"/>
        <v>0</v>
      </c>
      <c r="DQ555" s="424">
        <f t="shared" si="948"/>
        <v>0</v>
      </c>
      <c r="DR555" s="424">
        <f t="shared" si="948"/>
        <v>0</v>
      </c>
      <c r="DS555" s="424">
        <f t="shared" si="948"/>
        <v>0</v>
      </c>
      <c r="DT555" s="424">
        <f t="shared" si="948"/>
        <v>0</v>
      </c>
      <c r="DU555" s="424">
        <f t="shared" si="948"/>
        <v>0</v>
      </c>
      <c r="DV555" s="424">
        <f t="shared" si="948"/>
        <v>0</v>
      </c>
      <c r="DW555" s="424">
        <f t="shared" si="948"/>
        <v>0</v>
      </c>
      <c r="DX555" s="424">
        <f t="shared" si="948"/>
        <v>0</v>
      </c>
      <c r="DY555" s="424">
        <f t="shared" si="948"/>
        <v>0</v>
      </c>
      <c r="DZ555" s="424">
        <f t="shared" si="948"/>
        <v>0</v>
      </c>
      <c r="EA555" s="424">
        <f t="shared" si="948"/>
        <v>0</v>
      </c>
      <c r="EB555" s="424">
        <f t="shared" si="948"/>
        <v>0</v>
      </c>
      <c r="EC555" s="424">
        <f t="shared" si="948"/>
        <v>0</v>
      </c>
      <c r="ED555" s="424">
        <f t="shared" si="948"/>
        <v>0</v>
      </c>
      <c r="EE555" s="424">
        <f t="shared" si="948"/>
        <v>0</v>
      </c>
      <c r="EF555" s="424">
        <f t="shared" si="948"/>
        <v>0</v>
      </c>
      <c r="EG555" s="424">
        <f t="shared" si="948"/>
        <v>0</v>
      </c>
      <c r="EH555" s="424">
        <f t="shared" ref="EH555:EX555" si="949">EH185*EH$372</f>
        <v>0</v>
      </c>
      <c r="EI555" s="424">
        <f t="shared" si="949"/>
        <v>0</v>
      </c>
      <c r="EJ555" s="424">
        <f t="shared" si="949"/>
        <v>0</v>
      </c>
      <c r="EK555" s="424">
        <f t="shared" si="949"/>
        <v>0</v>
      </c>
      <c r="EL555" s="424">
        <f t="shared" si="949"/>
        <v>0</v>
      </c>
      <c r="EM555" s="424">
        <f t="shared" si="949"/>
        <v>0</v>
      </c>
      <c r="EN555" s="424">
        <f t="shared" si="949"/>
        <v>0</v>
      </c>
      <c r="EO555" s="424">
        <f t="shared" si="949"/>
        <v>0</v>
      </c>
      <c r="EP555" s="424">
        <f t="shared" si="949"/>
        <v>0</v>
      </c>
      <c r="EQ555" s="424">
        <f t="shared" si="949"/>
        <v>0</v>
      </c>
      <c r="ER555" s="424">
        <f t="shared" si="949"/>
        <v>0</v>
      </c>
      <c r="ES555" s="424">
        <f t="shared" si="949"/>
        <v>0</v>
      </c>
      <c r="ET555" s="424">
        <f t="shared" si="949"/>
        <v>0</v>
      </c>
      <c r="EU555" s="424">
        <f t="shared" si="949"/>
        <v>0</v>
      </c>
      <c r="EV555" s="424">
        <f t="shared" si="949"/>
        <v>0</v>
      </c>
      <c r="EW555" s="424">
        <f t="shared" si="949"/>
        <v>0</v>
      </c>
      <c r="EX555" s="424">
        <f t="shared" si="949"/>
        <v>0</v>
      </c>
      <c r="EY555" s="425">
        <f t="shared" si="699"/>
        <v>97.01</v>
      </c>
    </row>
    <row r="556" spans="1:166" ht="14.7" customHeight="1" x14ac:dyDescent="0.25">
      <c r="A556" s="310">
        <v>182</v>
      </c>
      <c r="B556" s="311" t="str">
        <f t="shared" si="680"/>
        <v>Гуляш с соусом томатным</v>
      </c>
      <c r="C556" s="483">
        <f t="shared" si="688"/>
        <v>67.83</v>
      </c>
      <c r="D556" s="888"/>
      <c r="E556" s="888"/>
      <c r="F556" s="888"/>
      <c r="G556" s="889"/>
      <c r="H556" s="680">
        <f t="shared" si="681"/>
        <v>260</v>
      </c>
      <c r="I556" s="1209">
        <f t="shared" si="682"/>
        <v>0</v>
      </c>
      <c r="J556" s="424">
        <f t="shared" ref="J556:AO556" si="950">J186*J$372</f>
        <v>59.92</v>
      </c>
      <c r="K556" s="424">
        <f t="shared" si="950"/>
        <v>0</v>
      </c>
      <c r="L556" s="424">
        <f t="shared" si="950"/>
        <v>0</v>
      </c>
      <c r="M556" s="424">
        <f t="shared" si="950"/>
        <v>0</v>
      </c>
      <c r="N556" s="424">
        <f t="shared" si="950"/>
        <v>0</v>
      </c>
      <c r="O556" s="424">
        <f t="shared" si="950"/>
        <v>0</v>
      </c>
      <c r="P556" s="424">
        <f t="shared" si="950"/>
        <v>0</v>
      </c>
      <c r="Q556" s="424">
        <f t="shared" si="950"/>
        <v>0</v>
      </c>
      <c r="R556" s="424">
        <f t="shared" si="950"/>
        <v>0</v>
      </c>
      <c r="S556" s="424">
        <f t="shared" si="950"/>
        <v>0</v>
      </c>
      <c r="T556" s="424">
        <f t="shared" si="950"/>
        <v>0</v>
      </c>
      <c r="U556" s="424">
        <f t="shared" si="950"/>
        <v>0</v>
      </c>
      <c r="V556" s="424">
        <f t="shared" si="950"/>
        <v>0</v>
      </c>
      <c r="W556" s="424">
        <f t="shared" si="950"/>
        <v>0</v>
      </c>
      <c r="X556" s="424">
        <f t="shared" si="950"/>
        <v>0</v>
      </c>
      <c r="Y556" s="424">
        <f t="shared" si="950"/>
        <v>3.51</v>
      </c>
      <c r="Z556" s="424">
        <f t="shared" si="950"/>
        <v>0</v>
      </c>
      <c r="AA556" s="424">
        <f t="shared" si="950"/>
        <v>0</v>
      </c>
      <c r="AB556" s="424">
        <f t="shared" si="950"/>
        <v>0</v>
      </c>
      <c r="AC556" s="424">
        <f t="shared" si="950"/>
        <v>0</v>
      </c>
      <c r="AD556" s="424">
        <f t="shared" si="950"/>
        <v>0</v>
      </c>
      <c r="AE556" s="424">
        <f t="shared" si="950"/>
        <v>0</v>
      </c>
      <c r="AF556" s="424">
        <f t="shared" si="950"/>
        <v>0</v>
      </c>
      <c r="AG556" s="424">
        <f t="shared" si="950"/>
        <v>0</v>
      </c>
      <c r="AH556" s="424">
        <f t="shared" si="950"/>
        <v>0</v>
      </c>
      <c r="AI556" s="424">
        <f t="shared" si="950"/>
        <v>0</v>
      </c>
      <c r="AJ556" s="424">
        <f t="shared" si="950"/>
        <v>0</v>
      </c>
      <c r="AK556" s="424">
        <f t="shared" si="950"/>
        <v>0.6</v>
      </c>
      <c r="AL556" s="424">
        <f t="shared" si="950"/>
        <v>0.6</v>
      </c>
      <c r="AM556" s="424">
        <f t="shared" si="950"/>
        <v>0</v>
      </c>
      <c r="AN556" s="424">
        <f t="shared" si="950"/>
        <v>0</v>
      </c>
      <c r="AO556" s="424">
        <f t="shared" si="950"/>
        <v>0</v>
      </c>
      <c r="AP556" s="424">
        <f t="shared" ref="AP556:BU556" si="951">AP186*AP$372</f>
        <v>0</v>
      </c>
      <c r="AQ556" s="424">
        <f t="shared" si="951"/>
        <v>0</v>
      </c>
      <c r="AR556" s="424">
        <f t="shared" si="951"/>
        <v>0</v>
      </c>
      <c r="AS556" s="424">
        <f t="shared" si="951"/>
        <v>0</v>
      </c>
      <c r="AT556" s="424">
        <f t="shared" si="951"/>
        <v>0</v>
      </c>
      <c r="AU556" s="424">
        <f t="shared" si="951"/>
        <v>0.6</v>
      </c>
      <c r="AV556" s="424">
        <f t="shared" si="951"/>
        <v>0</v>
      </c>
      <c r="AW556" s="424">
        <f t="shared" si="951"/>
        <v>0</v>
      </c>
      <c r="AX556" s="424">
        <f t="shared" si="951"/>
        <v>0</v>
      </c>
      <c r="AY556" s="424">
        <f t="shared" si="951"/>
        <v>0</v>
      </c>
      <c r="AZ556" s="424">
        <f t="shared" si="951"/>
        <v>0</v>
      </c>
      <c r="BA556" s="424">
        <f t="shared" si="951"/>
        <v>0</v>
      </c>
      <c r="BB556" s="424">
        <f t="shared" si="951"/>
        <v>0</v>
      </c>
      <c r="BC556" s="424">
        <f t="shared" si="951"/>
        <v>0</v>
      </c>
      <c r="BD556" s="424">
        <f t="shared" si="951"/>
        <v>0</v>
      </c>
      <c r="BE556" s="424">
        <f t="shared" si="951"/>
        <v>0</v>
      </c>
      <c r="BF556" s="424">
        <f t="shared" si="951"/>
        <v>0</v>
      </c>
      <c r="BG556" s="424">
        <f t="shared" si="951"/>
        <v>0</v>
      </c>
      <c r="BH556" s="424">
        <f t="shared" si="951"/>
        <v>0</v>
      </c>
      <c r="BI556" s="424">
        <f t="shared" si="951"/>
        <v>0</v>
      </c>
      <c r="BJ556" s="424">
        <f t="shared" si="951"/>
        <v>0</v>
      </c>
      <c r="BK556" s="424">
        <f t="shared" si="951"/>
        <v>0</v>
      </c>
      <c r="BL556" s="424">
        <f t="shared" si="951"/>
        <v>0</v>
      </c>
      <c r="BM556" s="424">
        <f t="shared" si="951"/>
        <v>0</v>
      </c>
      <c r="BN556" s="424">
        <f t="shared" si="951"/>
        <v>0</v>
      </c>
      <c r="BO556" s="424">
        <f t="shared" si="951"/>
        <v>0</v>
      </c>
      <c r="BP556" s="424">
        <f t="shared" si="951"/>
        <v>0</v>
      </c>
      <c r="BQ556" s="424">
        <f t="shared" si="951"/>
        <v>0</v>
      </c>
      <c r="BR556" s="424">
        <f t="shared" si="951"/>
        <v>0</v>
      </c>
      <c r="BS556" s="424">
        <f t="shared" si="951"/>
        <v>7.0000000000000007E-2</v>
      </c>
      <c r="BT556" s="424">
        <f t="shared" si="951"/>
        <v>0</v>
      </c>
      <c r="BU556" s="424">
        <f t="shared" si="951"/>
        <v>0</v>
      </c>
      <c r="BV556" s="424">
        <f t="shared" ref="BV556:DA556" si="952">BV186*BV$372</f>
        <v>0</v>
      </c>
      <c r="BW556" s="424">
        <f t="shared" si="952"/>
        <v>0</v>
      </c>
      <c r="BX556" s="424">
        <f t="shared" si="952"/>
        <v>0</v>
      </c>
      <c r="BY556" s="424">
        <f t="shared" si="952"/>
        <v>0</v>
      </c>
      <c r="BZ556" s="424">
        <f t="shared" si="952"/>
        <v>0</v>
      </c>
      <c r="CA556" s="424">
        <f t="shared" si="952"/>
        <v>0</v>
      </c>
      <c r="CB556" s="424">
        <f t="shared" si="952"/>
        <v>0</v>
      </c>
      <c r="CC556" s="424">
        <f t="shared" si="952"/>
        <v>0</v>
      </c>
      <c r="CD556" s="424">
        <f t="shared" si="952"/>
        <v>0</v>
      </c>
      <c r="CE556" s="424">
        <f t="shared" si="952"/>
        <v>0</v>
      </c>
      <c r="CF556" s="424">
        <f t="shared" si="952"/>
        <v>0.6</v>
      </c>
      <c r="CG556" s="424">
        <f t="shared" si="952"/>
        <v>0</v>
      </c>
      <c r="CH556" s="424">
        <f t="shared" si="952"/>
        <v>0</v>
      </c>
      <c r="CI556" s="424">
        <f t="shared" si="952"/>
        <v>0</v>
      </c>
      <c r="CJ556" s="424">
        <f t="shared" si="952"/>
        <v>0</v>
      </c>
      <c r="CK556" s="424">
        <f t="shared" si="952"/>
        <v>0</v>
      </c>
      <c r="CL556" s="424">
        <f t="shared" si="952"/>
        <v>0</v>
      </c>
      <c r="CM556" s="424">
        <f t="shared" si="952"/>
        <v>0</v>
      </c>
      <c r="CN556" s="424">
        <f t="shared" si="952"/>
        <v>0</v>
      </c>
      <c r="CO556" s="424">
        <f t="shared" si="952"/>
        <v>0</v>
      </c>
      <c r="CP556" s="424">
        <f t="shared" si="952"/>
        <v>0</v>
      </c>
      <c r="CQ556" s="424">
        <f t="shared" si="952"/>
        <v>0</v>
      </c>
      <c r="CR556" s="424">
        <f t="shared" si="952"/>
        <v>0</v>
      </c>
      <c r="CS556" s="424">
        <f t="shared" si="952"/>
        <v>0.02</v>
      </c>
      <c r="CT556" s="424">
        <f t="shared" si="952"/>
        <v>0</v>
      </c>
      <c r="CU556" s="424">
        <f t="shared" si="952"/>
        <v>0</v>
      </c>
      <c r="CV556" s="424">
        <f t="shared" si="952"/>
        <v>0</v>
      </c>
      <c r="CW556" s="424">
        <f t="shared" si="952"/>
        <v>0</v>
      </c>
      <c r="CX556" s="424">
        <f t="shared" si="952"/>
        <v>0</v>
      </c>
      <c r="CY556" s="424">
        <f t="shared" si="952"/>
        <v>0</v>
      </c>
      <c r="CZ556" s="424">
        <f t="shared" si="952"/>
        <v>0</v>
      </c>
      <c r="DA556" s="424">
        <f t="shared" si="952"/>
        <v>0</v>
      </c>
      <c r="DB556" s="424">
        <f t="shared" ref="DB556:EG556" si="953">DB186*DB$372</f>
        <v>0</v>
      </c>
      <c r="DC556" s="424">
        <f t="shared" si="953"/>
        <v>7.0000000000000007E-2</v>
      </c>
      <c r="DD556" s="424">
        <f t="shared" si="953"/>
        <v>0</v>
      </c>
      <c r="DE556" s="424">
        <f t="shared" si="953"/>
        <v>0</v>
      </c>
      <c r="DF556" s="424">
        <f t="shared" si="953"/>
        <v>1.84</v>
      </c>
      <c r="DG556" s="424">
        <f t="shared" si="953"/>
        <v>0</v>
      </c>
      <c r="DH556" s="424">
        <f t="shared" si="953"/>
        <v>0</v>
      </c>
      <c r="DI556" s="424">
        <f t="shared" si="953"/>
        <v>0</v>
      </c>
      <c r="DJ556" s="424">
        <f t="shared" si="953"/>
        <v>0</v>
      </c>
      <c r="DK556" s="424">
        <f t="shared" si="953"/>
        <v>0</v>
      </c>
      <c r="DL556" s="424">
        <f t="shared" si="953"/>
        <v>0</v>
      </c>
      <c r="DM556" s="424">
        <f t="shared" si="953"/>
        <v>0</v>
      </c>
      <c r="DN556" s="424">
        <f t="shared" si="953"/>
        <v>0</v>
      </c>
      <c r="DO556" s="424">
        <f t="shared" si="953"/>
        <v>0</v>
      </c>
      <c r="DP556" s="424">
        <f t="shared" si="953"/>
        <v>0</v>
      </c>
      <c r="DQ556" s="424">
        <f t="shared" si="953"/>
        <v>0</v>
      </c>
      <c r="DR556" s="424">
        <f t="shared" si="953"/>
        <v>0</v>
      </c>
      <c r="DS556" s="424">
        <f t="shared" si="953"/>
        <v>0</v>
      </c>
      <c r="DT556" s="424">
        <f t="shared" si="953"/>
        <v>0</v>
      </c>
      <c r="DU556" s="424">
        <f t="shared" si="953"/>
        <v>0</v>
      </c>
      <c r="DV556" s="424">
        <f t="shared" si="953"/>
        <v>0</v>
      </c>
      <c r="DW556" s="424">
        <f t="shared" si="953"/>
        <v>0</v>
      </c>
      <c r="DX556" s="424">
        <f t="shared" si="953"/>
        <v>0</v>
      </c>
      <c r="DY556" s="424">
        <f t="shared" si="953"/>
        <v>0</v>
      </c>
      <c r="DZ556" s="424">
        <f t="shared" si="953"/>
        <v>0</v>
      </c>
      <c r="EA556" s="424">
        <f t="shared" si="953"/>
        <v>0</v>
      </c>
      <c r="EB556" s="424">
        <f t="shared" si="953"/>
        <v>0</v>
      </c>
      <c r="EC556" s="424">
        <f t="shared" si="953"/>
        <v>0</v>
      </c>
      <c r="ED556" s="424">
        <f t="shared" si="953"/>
        <v>0</v>
      </c>
      <c r="EE556" s="424">
        <f t="shared" si="953"/>
        <v>0</v>
      </c>
      <c r="EF556" s="424">
        <f t="shared" si="953"/>
        <v>0</v>
      </c>
      <c r="EG556" s="424">
        <f t="shared" si="953"/>
        <v>0</v>
      </c>
      <c r="EH556" s="424">
        <f t="shared" ref="EH556:EX556" si="954">EH186*EH$372</f>
        <v>0</v>
      </c>
      <c r="EI556" s="424">
        <f t="shared" si="954"/>
        <v>0</v>
      </c>
      <c r="EJ556" s="424">
        <f t="shared" si="954"/>
        <v>0</v>
      </c>
      <c r="EK556" s="424">
        <f t="shared" si="954"/>
        <v>0</v>
      </c>
      <c r="EL556" s="424">
        <f t="shared" si="954"/>
        <v>0</v>
      </c>
      <c r="EM556" s="424">
        <f t="shared" si="954"/>
        <v>0</v>
      </c>
      <c r="EN556" s="424">
        <f t="shared" si="954"/>
        <v>0</v>
      </c>
      <c r="EO556" s="424">
        <f t="shared" si="954"/>
        <v>0</v>
      </c>
      <c r="EP556" s="424">
        <f t="shared" si="954"/>
        <v>0</v>
      </c>
      <c r="EQ556" s="424">
        <f t="shared" si="954"/>
        <v>0</v>
      </c>
      <c r="ER556" s="424">
        <f t="shared" si="954"/>
        <v>0</v>
      </c>
      <c r="ES556" s="424">
        <f t="shared" si="954"/>
        <v>0</v>
      </c>
      <c r="ET556" s="424">
        <f t="shared" si="954"/>
        <v>0</v>
      </c>
      <c r="EU556" s="424">
        <f t="shared" si="954"/>
        <v>0</v>
      </c>
      <c r="EV556" s="424">
        <f t="shared" si="954"/>
        <v>0</v>
      </c>
      <c r="EW556" s="424">
        <f t="shared" si="954"/>
        <v>0</v>
      </c>
      <c r="EX556" s="424">
        <f t="shared" si="954"/>
        <v>0</v>
      </c>
      <c r="EY556" s="425">
        <f t="shared" si="699"/>
        <v>67.83</v>
      </c>
    </row>
    <row r="557" spans="1:166" ht="14.7" customHeight="1" x14ac:dyDescent="0.25">
      <c r="A557" s="310">
        <v>183</v>
      </c>
      <c r="B557" s="311" t="str">
        <f t="shared" si="680"/>
        <v>Гуляш с соусом томатным (2 вариант)</v>
      </c>
      <c r="C557" s="483">
        <f t="shared" si="688"/>
        <v>95.05</v>
      </c>
      <c r="D557" s="888"/>
      <c r="E557" s="888"/>
      <c r="F557" s="888"/>
      <c r="G557" s="889"/>
      <c r="H557" s="680">
        <f t="shared" si="681"/>
        <v>260</v>
      </c>
      <c r="I557" s="1209">
        <f t="shared" si="682"/>
        <v>0</v>
      </c>
      <c r="J557" s="424">
        <f t="shared" ref="J557:AO557" si="955">J187*J$372</f>
        <v>84</v>
      </c>
      <c r="K557" s="424">
        <f t="shared" si="955"/>
        <v>0</v>
      </c>
      <c r="L557" s="424">
        <f t="shared" si="955"/>
        <v>0</v>
      </c>
      <c r="M557" s="424">
        <f t="shared" si="955"/>
        <v>0</v>
      </c>
      <c r="N557" s="424">
        <f t="shared" si="955"/>
        <v>0</v>
      </c>
      <c r="O557" s="424">
        <f t="shared" si="955"/>
        <v>0</v>
      </c>
      <c r="P557" s="424">
        <f t="shared" si="955"/>
        <v>0</v>
      </c>
      <c r="Q557" s="424">
        <f t="shared" si="955"/>
        <v>0</v>
      </c>
      <c r="R557" s="424">
        <f t="shared" si="955"/>
        <v>0</v>
      </c>
      <c r="S557" s="424">
        <f t="shared" si="955"/>
        <v>0</v>
      </c>
      <c r="T557" s="424">
        <f t="shared" si="955"/>
        <v>0</v>
      </c>
      <c r="U557" s="424">
        <f t="shared" si="955"/>
        <v>0</v>
      </c>
      <c r="V557" s="424">
        <f t="shared" si="955"/>
        <v>0</v>
      </c>
      <c r="W557" s="424">
        <f t="shared" si="955"/>
        <v>0</v>
      </c>
      <c r="X557" s="424">
        <f t="shared" si="955"/>
        <v>0</v>
      </c>
      <c r="Y557" s="424">
        <f t="shared" si="955"/>
        <v>4.91</v>
      </c>
      <c r="Z557" s="424">
        <f t="shared" si="955"/>
        <v>0</v>
      </c>
      <c r="AA557" s="424">
        <f t="shared" si="955"/>
        <v>0</v>
      </c>
      <c r="AB557" s="424">
        <f t="shared" si="955"/>
        <v>0</v>
      </c>
      <c r="AC557" s="424">
        <f t="shared" si="955"/>
        <v>0</v>
      </c>
      <c r="AD557" s="424">
        <f t="shared" si="955"/>
        <v>0</v>
      </c>
      <c r="AE557" s="424">
        <f t="shared" si="955"/>
        <v>0</v>
      </c>
      <c r="AF557" s="424">
        <f t="shared" si="955"/>
        <v>0</v>
      </c>
      <c r="AG557" s="424">
        <f t="shared" si="955"/>
        <v>0</v>
      </c>
      <c r="AH557" s="424">
        <f t="shared" si="955"/>
        <v>0</v>
      </c>
      <c r="AI557" s="424">
        <f t="shared" si="955"/>
        <v>0</v>
      </c>
      <c r="AJ557" s="424">
        <f t="shared" si="955"/>
        <v>0</v>
      </c>
      <c r="AK557" s="424">
        <f t="shared" si="955"/>
        <v>0.85</v>
      </c>
      <c r="AL557" s="424">
        <f t="shared" si="955"/>
        <v>0.84</v>
      </c>
      <c r="AM557" s="424">
        <f t="shared" si="955"/>
        <v>0</v>
      </c>
      <c r="AN557" s="424">
        <f t="shared" si="955"/>
        <v>0</v>
      </c>
      <c r="AO557" s="424">
        <f t="shared" si="955"/>
        <v>0</v>
      </c>
      <c r="AP557" s="424">
        <f t="shared" ref="AP557:BU557" si="956">AP187*AP$372</f>
        <v>0</v>
      </c>
      <c r="AQ557" s="424">
        <f t="shared" si="956"/>
        <v>0</v>
      </c>
      <c r="AR557" s="424">
        <f t="shared" si="956"/>
        <v>0</v>
      </c>
      <c r="AS557" s="424">
        <f t="shared" si="956"/>
        <v>0</v>
      </c>
      <c r="AT557" s="424">
        <f t="shared" si="956"/>
        <v>0</v>
      </c>
      <c r="AU557" s="424">
        <f t="shared" si="956"/>
        <v>0.84</v>
      </c>
      <c r="AV557" s="424">
        <f t="shared" si="956"/>
        <v>0</v>
      </c>
      <c r="AW557" s="424">
        <f t="shared" si="956"/>
        <v>0</v>
      </c>
      <c r="AX557" s="424">
        <f t="shared" si="956"/>
        <v>0</v>
      </c>
      <c r="AY557" s="424">
        <f t="shared" si="956"/>
        <v>0</v>
      </c>
      <c r="AZ557" s="424">
        <f t="shared" si="956"/>
        <v>0</v>
      </c>
      <c r="BA557" s="424">
        <f t="shared" si="956"/>
        <v>0</v>
      </c>
      <c r="BB557" s="424">
        <f t="shared" si="956"/>
        <v>0</v>
      </c>
      <c r="BC557" s="424">
        <f t="shared" si="956"/>
        <v>0</v>
      </c>
      <c r="BD557" s="424">
        <f t="shared" si="956"/>
        <v>0</v>
      </c>
      <c r="BE557" s="424">
        <f t="shared" si="956"/>
        <v>0</v>
      </c>
      <c r="BF557" s="424">
        <f t="shared" si="956"/>
        <v>0</v>
      </c>
      <c r="BG557" s="424">
        <f t="shared" si="956"/>
        <v>0</v>
      </c>
      <c r="BH557" s="424">
        <f t="shared" si="956"/>
        <v>0</v>
      </c>
      <c r="BI557" s="424">
        <f t="shared" si="956"/>
        <v>0</v>
      </c>
      <c r="BJ557" s="424">
        <f t="shared" si="956"/>
        <v>0</v>
      </c>
      <c r="BK557" s="424">
        <f t="shared" si="956"/>
        <v>0</v>
      </c>
      <c r="BL557" s="424">
        <f t="shared" si="956"/>
        <v>0</v>
      </c>
      <c r="BM557" s="424">
        <f t="shared" si="956"/>
        <v>0</v>
      </c>
      <c r="BN557" s="424">
        <f t="shared" si="956"/>
        <v>0</v>
      </c>
      <c r="BO557" s="424">
        <f t="shared" si="956"/>
        <v>0</v>
      </c>
      <c r="BP557" s="424">
        <f t="shared" si="956"/>
        <v>0</v>
      </c>
      <c r="BQ557" s="424">
        <f t="shared" si="956"/>
        <v>0</v>
      </c>
      <c r="BR557" s="424">
        <f t="shared" si="956"/>
        <v>0</v>
      </c>
      <c r="BS557" s="424">
        <f t="shared" si="956"/>
        <v>0.11</v>
      </c>
      <c r="BT557" s="424">
        <f t="shared" si="956"/>
        <v>0</v>
      </c>
      <c r="BU557" s="424">
        <f t="shared" si="956"/>
        <v>0</v>
      </c>
      <c r="BV557" s="424">
        <f t="shared" ref="BV557:DA557" si="957">BV187*BV$372</f>
        <v>0</v>
      </c>
      <c r="BW557" s="424">
        <f t="shared" si="957"/>
        <v>0</v>
      </c>
      <c r="BX557" s="424">
        <f t="shared" si="957"/>
        <v>0</v>
      </c>
      <c r="BY557" s="424">
        <f t="shared" si="957"/>
        <v>0</v>
      </c>
      <c r="BZ557" s="424">
        <f t="shared" si="957"/>
        <v>0</v>
      </c>
      <c r="CA557" s="424">
        <f t="shared" si="957"/>
        <v>0</v>
      </c>
      <c r="CB557" s="424">
        <f t="shared" si="957"/>
        <v>0</v>
      </c>
      <c r="CC557" s="424">
        <f t="shared" si="957"/>
        <v>0</v>
      </c>
      <c r="CD557" s="424">
        <f t="shared" si="957"/>
        <v>0</v>
      </c>
      <c r="CE557" s="424">
        <f t="shared" si="957"/>
        <v>0</v>
      </c>
      <c r="CF557" s="424">
        <f t="shared" si="957"/>
        <v>0.84</v>
      </c>
      <c r="CG557" s="424">
        <f t="shared" si="957"/>
        <v>0</v>
      </c>
      <c r="CH557" s="424">
        <f t="shared" si="957"/>
        <v>0</v>
      </c>
      <c r="CI557" s="424">
        <f t="shared" si="957"/>
        <v>0</v>
      </c>
      <c r="CJ557" s="424">
        <f t="shared" si="957"/>
        <v>0</v>
      </c>
      <c r="CK557" s="424">
        <f t="shared" si="957"/>
        <v>0</v>
      </c>
      <c r="CL557" s="424">
        <f t="shared" si="957"/>
        <v>0</v>
      </c>
      <c r="CM557" s="424">
        <f t="shared" si="957"/>
        <v>0</v>
      </c>
      <c r="CN557" s="424">
        <f t="shared" si="957"/>
        <v>0</v>
      </c>
      <c r="CO557" s="424">
        <f t="shared" si="957"/>
        <v>0</v>
      </c>
      <c r="CP557" s="424">
        <f t="shared" si="957"/>
        <v>0</v>
      </c>
      <c r="CQ557" s="424">
        <f t="shared" si="957"/>
        <v>0</v>
      </c>
      <c r="CR557" s="424">
        <f t="shared" si="957"/>
        <v>0</v>
      </c>
      <c r="CS557" s="424">
        <f t="shared" si="957"/>
        <v>0.03</v>
      </c>
      <c r="CT557" s="424">
        <f t="shared" si="957"/>
        <v>0</v>
      </c>
      <c r="CU557" s="424">
        <f t="shared" si="957"/>
        <v>0</v>
      </c>
      <c r="CV557" s="424">
        <f t="shared" si="957"/>
        <v>0</v>
      </c>
      <c r="CW557" s="424">
        <f t="shared" si="957"/>
        <v>0</v>
      </c>
      <c r="CX557" s="424">
        <f t="shared" si="957"/>
        <v>0</v>
      </c>
      <c r="CY557" s="424">
        <f t="shared" si="957"/>
        <v>0</v>
      </c>
      <c r="CZ557" s="424">
        <f t="shared" si="957"/>
        <v>0</v>
      </c>
      <c r="DA557" s="424">
        <f t="shared" si="957"/>
        <v>0</v>
      </c>
      <c r="DB557" s="424">
        <f t="shared" ref="DB557:EG557" si="958">DB187*DB$372</f>
        <v>0</v>
      </c>
      <c r="DC557" s="424">
        <f t="shared" si="958"/>
        <v>0.1</v>
      </c>
      <c r="DD557" s="424">
        <f t="shared" si="958"/>
        <v>0</v>
      </c>
      <c r="DE557" s="424">
        <f t="shared" si="958"/>
        <v>0</v>
      </c>
      <c r="DF557" s="424">
        <f t="shared" si="958"/>
        <v>2.5299999999999998</v>
      </c>
      <c r="DG557" s="424">
        <f t="shared" si="958"/>
        <v>0</v>
      </c>
      <c r="DH557" s="424">
        <f t="shared" si="958"/>
        <v>0</v>
      </c>
      <c r="DI557" s="424">
        <f t="shared" si="958"/>
        <v>0</v>
      </c>
      <c r="DJ557" s="424">
        <f t="shared" si="958"/>
        <v>0</v>
      </c>
      <c r="DK557" s="424">
        <f t="shared" si="958"/>
        <v>0</v>
      </c>
      <c r="DL557" s="424">
        <f t="shared" si="958"/>
        <v>0</v>
      </c>
      <c r="DM557" s="424">
        <f t="shared" si="958"/>
        <v>0</v>
      </c>
      <c r="DN557" s="424">
        <f t="shared" si="958"/>
        <v>0</v>
      </c>
      <c r="DO557" s="424">
        <f t="shared" si="958"/>
        <v>0</v>
      </c>
      <c r="DP557" s="424">
        <f t="shared" si="958"/>
        <v>0</v>
      </c>
      <c r="DQ557" s="424">
        <f t="shared" si="958"/>
        <v>0</v>
      </c>
      <c r="DR557" s="424">
        <f t="shared" si="958"/>
        <v>0</v>
      </c>
      <c r="DS557" s="424">
        <f t="shared" si="958"/>
        <v>0</v>
      </c>
      <c r="DT557" s="424">
        <f t="shared" si="958"/>
        <v>0</v>
      </c>
      <c r="DU557" s="424">
        <f t="shared" si="958"/>
        <v>0</v>
      </c>
      <c r="DV557" s="424">
        <f t="shared" si="958"/>
        <v>0</v>
      </c>
      <c r="DW557" s="424">
        <f t="shared" si="958"/>
        <v>0</v>
      </c>
      <c r="DX557" s="424">
        <f t="shared" si="958"/>
        <v>0</v>
      </c>
      <c r="DY557" s="424">
        <f t="shared" si="958"/>
        <v>0</v>
      </c>
      <c r="DZ557" s="424">
        <f t="shared" si="958"/>
        <v>0</v>
      </c>
      <c r="EA557" s="424">
        <f t="shared" si="958"/>
        <v>0</v>
      </c>
      <c r="EB557" s="424">
        <f t="shared" si="958"/>
        <v>0</v>
      </c>
      <c r="EC557" s="424">
        <f t="shared" si="958"/>
        <v>0</v>
      </c>
      <c r="ED557" s="424">
        <f t="shared" si="958"/>
        <v>0</v>
      </c>
      <c r="EE557" s="424">
        <f t="shared" si="958"/>
        <v>0</v>
      </c>
      <c r="EF557" s="424">
        <f t="shared" si="958"/>
        <v>0</v>
      </c>
      <c r="EG557" s="424">
        <f t="shared" si="958"/>
        <v>0</v>
      </c>
      <c r="EH557" s="424">
        <f t="shared" ref="EH557:EX557" si="959">EH187*EH$372</f>
        <v>0</v>
      </c>
      <c r="EI557" s="424">
        <f t="shared" si="959"/>
        <v>0</v>
      </c>
      <c r="EJ557" s="424">
        <f t="shared" si="959"/>
        <v>0</v>
      </c>
      <c r="EK557" s="424">
        <f t="shared" si="959"/>
        <v>0</v>
      </c>
      <c r="EL557" s="424">
        <f t="shared" si="959"/>
        <v>0</v>
      </c>
      <c r="EM557" s="424">
        <f t="shared" si="959"/>
        <v>0</v>
      </c>
      <c r="EN557" s="424">
        <f t="shared" si="959"/>
        <v>0</v>
      </c>
      <c r="EO557" s="424">
        <f t="shared" si="959"/>
        <v>0</v>
      </c>
      <c r="EP557" s="424">
        <f t="shared" si="959"/>
        <v>0</v>
      </c>
      <c r="EQ557" s="424">
        <f t="shared" si="959"/>
        <v>0</v>
      </c>
      <c r="ER557" s="424">
        <f t="shared" si="959"/>
        <v>0</v>
      </c>
      <c r="ES557" s="424">
        <f t="shared" si="959"/>
        <v>0</v>
      </c>
      <c r="ET557" s="424">
        <f t="shared" si="959"/>
        <v>0</v>
      </c>
      <c r="EU557" s="424">
        <f t="shared" si="959"/>
        <v>0</v>
      </c>
      <c r="EV557" s="424">
        <f t="shared" si="959"/>
        <v>0</v>
      </c>
      <c r="EW557" s="424">
        <f t="shared" si="959"/>
        <v>0</v>
      </c>
      <c r="EX557" s="424">
        <f t="shared" si="959"/>
        <v>0</v>
      </c>
      <c r="EY557" s="425">
        <f t="shared" si="699"/>
        <v>95.05</v>
      </c>
    </row>
    <row r="558" spans="1:166" ht="14.7" customHeight="1" x14ac:dyDescent="0.25">
      <c r="A558" s="310">
        <v>184</v>
      </c>
      <c r="B558" s="311" t="str">
        <f t="shared" si="680"/>
        <v>Говядина, тушенная в сметане</v>
      </c>
      <c r="C558" s="483">
        <f t="shared" si="688"/>
        <v>71.87</v>
      </c>
      <c r="D558" s="888"/>
      <c r="E558" s="888"/>
      <c r="F558" s="888"/>
      <c r="G558" s="889"/>
      <c r="H558" s="680">
        <f t="shared" si="681"/>
        <v>264</v>
      </c>
      <c r="I558" s="1209">
        <f t="shared" si="682"/>
        <v>0</v>
      </c>
      <c r="J558" s="424">
        <f t="shared" ref="J558:AO558" si="960">J188*J$372</f>
        <v>63.28</v>
      </c>
      <c r="K558" s="424">
        <f t="shared" si="960"/>
        <v>0</v>
      </c>
      <c r="L558" s="424">
        <f t="shared" si="960"/>
        <v>0</v>
      </c>
      <c r="M558" s="424">
        <f t="shared" si="960"/>
        <v>0</v>
      </c>
      <c r="N558" s="424">
        <f t="shared" si="960"/>
        <v>0</v>
      </c>
      <c r="O558" s="424">
        <f t="shared" si="960"/>
        <v>0</v>
      </c>
      <c r="P558" s="424">
        <f t="shared" si="960"/>
        <v>0</v>
      </c>
      <c r="Q558" s="424">
        <f t="shared" si="960"/>
        <v>0</v>
      </c>
      <c r="R558" s="424">
        <f t="shared" si="960"/>
        <v>0</v>
      </c>
      <c r="S558" s="424">
        <f t="shared" si="960"/>
        <v>0</v>
      </c>
      <c r="T558" s="424">
        <f t="shared" si="960"/>
        <v>0</v>
      </c>
      <c r="U558" s="424">
        <f t="shared" si="960"/>
        <v>0</v>
      </c>
      <c r="V558" s="424">
        <f t="shared" si="960"/>
        <v>0</v>
      </c>
      <c r="W558" s="424">
        <f t="shared" si="960"/>
        <v>0</v>
      </c>
      <c r="X558" s="424">
        <f t="shared" si="960"/>
        <v>0</v>
      </c>
      <c r="Y558" s="424">
        <f t="shared" si="960"/>
        <v>5.85</v>
      </c>
      <c r="Z558" s="424">
        <f t="shared" si="960"/>
        <v>0</v>
      </c>
      <c r="AA558" s="424">
        <f t="shared" si="960"/>
        <v>0</v>
      </c>
      <c r="AB558" s="424">
        <f t="shared" si="960"/>
        <v>0</v>
      </c>
      <c r="AC558" s="424">
        <f t="shared" si="960"/>
        <v>0</v>
      </c>
      <c r="AD558" s="424">
        <f t="shared" si="960"/>
        <v>0</v>
      </c>
      <c r="AE558" s="424">
        <f t="shared" si="960"/>
        <v>0</v>
      </c>
      <c r="AF558" s="424">
        <f t="shared" si="960"/>
        <v>0</v>
      </c>
      <c r="AG558" s="424">
        <f t="shared" si="960"/>
        <v>0</v>
      </c>
      <c r="AH558" s="424">
        <f t="shared" si="960"/>
        <v>0</v>
      </c>
      <c r="AI558" s="424">
        <f t="shared" si="960"/>
        <v>0</v>
      </c>
      <c r="AJ558" s="424">
        <f t="shared" si="960"/>
        <v>0</v>
      </c>
      <c r="AK558" s="424">
        <f t="shared" si="960"/>
        <v>0.4</v>
      </c>
      <c r="AL558" s="424">
        <f t="shared" si="960"/>
        <v>0.6</v>
      </c>
      <c r="AM558" s="424">
        <f t="shared" si="960"/>
        <v>0</v>
      </c>
      <c r="AN558" s="424">
        <f t="shared" si="960"/>
        <v>0</v>
      </c>
      <c r="AO558" s="424">
        <f t="shared" si="960"/>
        <v>0</v>
      </c>
      <c r="AP558" s="424">
        <f t="shared" ref="AP558:BU558" si="961">AP188*AP$372</f>
        <v>0</v>
      </c>
      <c r="AQ558" s="424">
        <f t="shared" si="961"/>
        <v>0.45</v>
      </c>
      <c r="AR558" s="424">
        <f t="shared" si="961"/>
        <v>0</v>
      </c>
      <c r="AS558" s="424">
        <f t="shared" si="961"/>
        <v>0</v>
      </c>
      <c r="AT558" s="424">
        <f t="shared" si="961"/>
        <v>0</v>
      </c>
      <c r="AU558" s="424">
        <f t="shared" si="961"/>
        <v>0.6</v>
      </c>
      <c r="AV558" s="424">
        <f t="shared" si="961"/>
        <v>0</v>
      </c>
      <c r="AW558" s="424">
        <f t="shared" si="961"/>
        <v>0</v>
      </c>
      <c r="AX558" s="424">
        <f t="shared" si="961"/>
        <v>0</v>
      </c>
      <c r="AY558" s="424">
        <f t="shared" si="961"/>
        <v>0</v>
      </c>
      <c r="AZ558" s="424">
        <f t="shared" si="961"/>
        <v>0</v>
      </c>
      <c r="BA558" s="424">
        <f t="shared" si="961"/>
        <v>0</v>
      </c>
      <c r="BB558" s="424">
        <f t="shared" si="961"/>
        <v>0</v>
      </c>
      <c r="BC558" s="424">
        <f t="shared" si="961"/>
        <v>0</v>
      </c>
      <c r="BD558" s="424">
        <f t="shared" si="961"/>
        <v>0</v>
      </c>
      <c r="BE558" s="424">
        <f t="shared" si="961"/>
        <v>0</v>
      </c>
      <c r="BF558" s="424">
        <f t="shared" si="961"/>
        <v>0</v>
      </c>
      <c r="BG558" s="424">
        <f t="shared" si="961"/>
        <v>0</v>
      </c>
      <c r="BH558" s="424">
        <f t="shared" si="961"/>
        <v>0</v>
      </c>
      <c r="BI558" s="424">
        <f t="shared" si="961"/>
        <v>0</v>
      </c>
      <c r="BJ558" s="424">
        <f t="shared" si="961"/>
        <v>0</v>
      </c>
      <c r="BK558" s="424">
        <f t="shared" si="961"/>
        <v>0</v>
      </c>
      <c r="BL558" s="424">
        <f t="shared" si="961"/>
        <v>0</v>
      </c>
      <c r="BM558" s="424">
        <f t="shared" si="961"/>
        <v>0</v>
      </c>
      <c r="BN558" s="424">
        <f t="shared" si="961"/>
        <v>0</v>
      </c>
      <c r="BO558" s="424">
        <f t="shared" si="961"/>
        <v>0</v>
      </c>
      <c r="BP558" s="424">
        <f t="shared" si="961"/>
        <v>0</v>
      </c>
      <c r="BQ558" s="424">
        <f t="shared" si="961"/>
        <v>0</v>
      </c>
      <c r="BR558" s="424">
        <f t="shared" si="961"/>
        <v>0</v>
      </c>
      <c r="BS558" s="424">
        <f t="shared" si="961"/>
        <v>0</v>
      </c>
      <c r="BT558" s="424">
        <f t="shared" si="961"/>
        <v>0</v>
      </c>
      <c r="BU558" s="424">
        <f t="shared" si="961"/>
        <v>0</v>
      </c>
      <c r="BV558" s="424">
        <f t="shared" ref="BV558:DA558" si="962">BV188*BV$372</f>
        <v>0</v>
      </c>
      <c r="BW558" s="424">
        <f t="shared" si="962"/>
        <v>0</v>
      </c>
      <c r="BX558" s="424">
        <f t="shared" si="962"/>
        <v>0</v>
      </c>
      <c r="BY558" s="424">
        <f t="shared" si="962"/>
        <v>0</v>
      </c>
      <c r="BZ558" s="424">
        <f t="shared" si="962"/>
        <v>0</v>
      </c>
      <c r="CA558" s="424">
        <f t="shared" si="962"/>
        <v>0</v>
      </c>
      <c r="CB558" s="424">
        <f t="shared" si="962"/>
        <v>0</v>
      </c>
      <c r="CC558" s="424">
        <f t="shared" si="962"/>
        <v>0</v>
      </c>
      <c r="CD558" s="424">
        <f t="shared" si="962"/>
        <v>0</v>
      </c>
      <c r="CE558" s="424">
        <f t="shared" si="962"/>
        <v>0</v>
      </c>
      <c r="CF558" s="424">
        <f t="shared" si="962"/>
        <v>0.6</v>
      </c>
      <c r="CG558" s="424">
        <f t="shared" si="962"/>
        <v>0</v>
      </c>
      <c r="CH558" s="424">
        <f t="shared" si="962"/>
        <v>0</v>
      </c>
      <c r="CI558" s="424">
        <f t="shared" si="962"/>
        <v>0</v>
      </c>
      <c r="CJ558" s="424">
        <f t="shared" si="962"/>
        <v>0</v>
      </c>
      <c r="CK558" s="424">
        <f t="shared" si="962"/>
        <v>0</v>
      </c>
      <c r="CL558" s="424">
        <f t="shared" si="962"/>
        <v>0</v>
      </c>
      <c r="CM558" s="424">
        <f t="shared" si="962"/>
        <v>0</v>
      </c>
      <c r="CN558" s="424">
        <f t="shared" si="962"/>
        <v>0</v>
      </c>
      <c r="CO558" s="424">
        <f t="shared" si="962"/>
        <v>0</v>
      </c>
      <c r="CP558" s="424">
        <f t="shared" si="962"/>
        <v>0</v>
      </c>
      <c r="CQ558" s="424">
        <f t="shared" si="962"/>
        <v>0</v>
      </c>
      <c r="CR558" s="424">
        <f t="shared" si="962"/>
        <v>0</v>
      </c>
      <c r="CS558" s="424">
        <f t="shared" si="962"/>
        <v>0.02</v>
      </c>
      <c r="CT558" s="424">
        <f t="shared" si="962"/>
        <v>0</v>
      </c>
      <c r="CU558" s="424">
        <f t="shared" si="962"/>
        <v>0</v>
      </c>
      <c r="CV558" s="424">
        <f t="shared" si="962"/>
        <v>0</v>
      </c>
      <c r="CW558" s="424">
        <f t="shared" si="962"/>
        <v>0</v>
      </c>
      <c r="CX558" s="424">
        <f t="shared" si="962"/>
        <v>0</v>
      </c>
      <c r="CY558" s="424">
        <f t="shared" si="962"/>
        <v>0</v>
      </c>
      <c r="CZ558" s="424">
        <f t="shared" si="962"/>
        <v>0</v>
      </c>
      <c r="DA558" s="424">
        <f t="shared" si="962"/>
        <v>0</v>
      </c>
      <c r="DB558" s="424">
        <f t="shared" ref="DB558:EG558" si="963">DB188*DB$372</f>
        <v>0</v>
      </c>
      <c r="DC558" s="424">
        <f t="shared" si="963"/>
        <v>7.0000000000000007E-2</v>
      </c>
      <c r="DD558" s="424">
        <f t="shared" si="963"/>
        <v>0</v>
      </c>
      <c r="DE558" s="424">
        <f t="shared" si="963"/>
        <v>0</v>
      </c>
      <c r="DF558" s="424">
        <f t="shared" si="963"/>
        <v>0</v>
      </c>
      <c r="DG558" s="424">
        <f t="shared" si="963"/>
        <v>0</v>
      </c>
      <c r="DH558" s="424">
        <f t="shared" si="963"/>
        <v>0</v>
      </c>
      <c r="DI558" s="424">
        <f t="shared" si="963"/>
        <v>0</v>
      </c>
      <c r="DJ558" s="424">
        <f t="shared" si="963"/>
        <v>0</v>
      </c>
      <c r="DK558" s="424">
        <f t="shared" si="963"/>
        <v>0</v>
      </c>
      <c r="DL558" s="424">
        <f t="shared" si="963"/>
        <v>0</v>
      </c>
      <c r="DM558" s="424">
        <f t="shared" si="963"/>
        <v>0</v>
      </c>
      <c r="DN558" s="424">
        <f t="shared" si="963"/>
        <v>0</v>
      </c>
      <c r="DO558" s="424">
        <f t="shared" si="963"/>
        <v>0</v>
      </c>
      <c r="DP558" s="424">
        <f t="shared" si="963"/>
        <v>0</v>
      </c>
      <c r="DQ558" s="424">
        <f t="shared" si="963"/>
        <v>0</v>
      </c>
      <c r="DR558" s="424">
        <f t="shared" si="963"/>
        <v>0</v>
      </c>
      <c r="DS558" s="424">
        <f t="shared" si="963"/>
        <v>0</v>
      </c>
      <c r="DT558" s="424">
        <f t="shared" si="963"/>
        <v>0</v>
      </c>
      <c r="DU558" s="424">
        <f t="shared" si="963"/>
        <v>0</v>
      </c>
      <c r="DV558" s="424">
        <f t="shared" si="963"/>
        <v>0</v>
      </c>
      <c r="DW558" s="424">
        <f t="shared" si="963"/>
        <v>0</v>
      </c>
      <c r="DX558" s="424">
        <f t="shared" si="963"/>
        <v>0</v>
      </c>
      <c r="DY558" s="424">
        <f t="shared" si="963"/>
        <v>0</v>
      </c>
      <c r="DZ558" s="424">
        <f t="shared" si="963"/>
        <v>0</v>
      </c>
      <c r="EA558" s="424">
        <f t="shared" si="963"/>
        <v>0</v>
      </c>
      <c r="EB558" s="424">
        <f t="shared" si="963"/>
        <v>0</v>
      </c>
      <c r="EC558" s="424">
        <f t="shared" si="963"/>
        <v>0</v>
      </c>
      <c r="ED558" s="424">
        <f t="shared" si="963"/>
        <v>0</v>
      </c>
      <c r="EE558" s="424">
        <f t="shared" si="963"/>
        <v>0</v>
      </c>
      <c r="EF558" s="424">
        <f t="shared" si="963"/>
        <v>0</v>
      </c>
      <c r="EG558" s="424">
        <f t="shared" si="963"/>
        <v>0</v>
      </c>
      <c r="EH558" s="424">
        <f t="shared" ref="EH558:EX558" si="964">EH188*EH$372</f>
        <v>0</v>
      </c>
      <c r="EI558" s="424">
        <f t="shared" si="964"/>
        <v>0</v>
      </c>
      <c r="EJ558" s="424">
        <f t="shared" si="964"/>
        <v>0</v>
      </c>
      <c r="EK558" s="424">
        <f t="shared" si="964"/>
        <v>0</v>
      </c>
      <c r="EL558" s="424">
        <f t="shared" si="964"/>
        <v>0</v>
      </c>
      <c r="EM558" s="424">
        <f t="shared" si="964"/>
        <v>0</v>
      </c>
      <c r="EN558" s="424">
        <f t="shared" si="964"/>
        <v>0</v>
      </c>
      <c r="EO558" s="424">
        <f t="shared" si="964"/>
        <v>0</v>
      </c>
      <c r="EP558" s="424">
        <f t="shared" si="964"/>
        <v>0</v>
      </c>
      <c r="EQ558" s="424">
        <f t="shared" si="964"/>
        <v>0</v>
      </c>
      <c r="ER558" s="424">
        <f t="shared" si="964"/>
        <v>0</v>
      </c>
      <c r="ES558" s="424">
        <f t="shared" si="964"/>
        <v>0</v>
      </c>
      <c r="ET558" s="424">
        <f t="shared" si="964"/>
        <v>0</v>
      </c>
      <c r="EU558" s="424">
        <f t="shared" si="964"/>
        <v>0</v>
      </c>
      <c r="EV558" s="424">
        <f t="shared" si="964"/>
        <v>0</v>
      </c>
      <c r="EW558" s="424">
        <f t="shared" si="964"/>
        <v>0</v>
      </c>
      <c r="EX558" s="424">
        <f t="shared" si="964"/>
        <v>0</v>
      </c>
      <c r="EY558" s="425">
        <f t="shared" si="699"/>
        <v>71.87</v>
      </c>
    </row>
    <row r="559" spans="1:166" ht="14.7" customHeight="1" x14ac:dyDescent="0.25">
      <c r="A559" s="310">
        <v>185</v>
      </c>
      <c r="B559" s="311" t="str">
        <f t="shared" si="680"/>
        <v>Плов из говядины</v>
      </c>
      <c r="C559" s="483">
        <f t="shared" si="688"/>
        <v>66.58</v>
      </c>
      <c r="D559" s="888"/>
      <c r="E559" s="888"/>
      <c r="F559" s="888"/>
      <c r="G559" s="889"/>
      <c r="H559" s="680">
        <f t="shared" si="681"/>
        <v>265</v>
      </c>
      <c r="I559" s="1209">
        <f t="shared" si="682"/>
        <v>0</v>
      </c>
      <c r="J559" s="424">
        <f t="shared" ref="J559:AO559" si="965">J189*J$372</f>
        <v>59.92</v>
      </c>
      <c r="K559" s="424">
        <f t="shared" si="965"/>
        <v>0</v>
      </c>
      <c r="L559" s="424">
        <f t="shared" si="965"/>
        <v>0</v>
      </c>
      <c r="M559" s="424">
        <f t="shared" si="965"/>
        <v>0</v>
      </c>
      <c r="N559" s="424">
        <f t="shared" si="965"/>
        <v>0</v>
      </c>
      <c r="O559" s="424">
        <f t="shared" si="965"/>
        <v>0</v>
      </c>
      <c r="P559" s="424">
        <f t="shared" si="965"/>
        <v>0</v>
      </c>
      <c r="Q559" s="424">
        <f t="shared" si="965"/>
        <v>0</v>
      </c>
      <c r="R559" s="424">
        <f t="shared" si="965"/>
        <v>0</v>
      </c>
      <c r="S559" s="424">
        <f t="shared" si="965"/>
        <v>0</v>
      </c>
      <c r="T559" s="424">
        <f t="shared" si="965"/>
        <v>0</v>
      </c>
      <c r="U559" s="424">
        <f t="shared" si="965"/>
        <v>0</v>
      </c>
      <c r="V559" s="424">
        <f t="shared" si="965"/>
        <v>0</v>
      </c>
      <c r="W559" s="424">
        <f t="shared" si="965"/>
        <v>0</v>
      </c>
      <c r="X559" s="424">
        <f t="shared" si="965"/>
        <v>0</v>
      </c>
      <c r="Y559" s="424">
        <f t="shared" si="965"/>
        <v>0</v>
      </c>
      <c r="Z559" s="424">
        <f t="shared" si="965"/>
        <v>0</v>
      </c>
      <c r="AA559" s="424">
        <f t="shared" si="965"/>
        <v>0</v>
      </c>
      <c r="AB559" s="424">
        <f t="shared" si="965"/>
        <v>0</v>
      </c>
      <c r="AC559" s="424">
        <f t="shared" si="965"/>
        <v>0</v>
      </c>
      <c r="AD559" s="424">
        <f t="shared" si="965"/>
        <v>0</v>
      </c>
      <c r="AE559" s="424">
        <f t="shared" si="965"/>
        <v>0</v>
      </c>
      <c r="AF559" s="424">
        <f t="shared" si="965"/>
        <v>0</v>
      </c>
      <c r="AG559" s="424">
        <f t="shared" si="965"/>
        <v>0</v>
      </c>
      <c r="AH559" s="424">
        <f t="shared" si="965"/>
        <v>0</v>
      </c>
      <c r="AI559" s="424">
        <f t="shared" si="965"/>
        <v>0</v>
      </c>
      <c r="AJ559" s="424">
        <f t="shared" si="965"/>
        <v>0</v>
      </c>
      <c r="AK559" s="424">
        <f t="shared" si="965"/>
        <v>0.3</v>
      </c>
      <c r="AL559" s="424">
        <f t="shared" si="965"/>
        <v>0</v>
      </c>
      <c r="AM559" s="424">
        <f t="shared" si="965"/>
        <v>0</v>
      </c>
      <c r="AN559" s="424">
        <f t="shared" si="965"/>
        <v>0</v>
      </c>
      <c r="AO559" s="424">
        <f t="shared" si="965"/>
        <v>0</v>
      </c>
      <c r="AP559" s="424">
        <f t="shared" ref="AP559:BU559" si="966">AP189*AP$372</f>
        <v>0</v>
      </c>
      <c r="AQ559" s="424">
        <f t="shared" si="966"/>
        <v>0.5</v>
      </c>
      <c r="AR559" s="424">
        <f t="shared" si="966"/>
        <v>0</v>
      </c>
      <c r="AS559" s="424">
        <f t="shared" si="966"/>
        <v>0</v>
      </c>
      <c r="AT559" s="424">
        <f t="shared" si="966"/>
        <v>0</v>
      </c>
      <c r="AU559" s="424">
        <f t="shared" si="966"/>
        <v>0</v>
      </c>
      <c r="AV559" s="424">
        <f t="shared" si="966"/>
        <v>0</v>
      </c>
      <c r="AW559" s="424">
        <f t="shared" si="966"/>
        <v>0</v>
      </c>
      <c r="AX559" s="424">
        <f t="shared" si="966"/>
        <v>0</v>
      </c>
      <c r="AY559" s="424">
        <f t="shared" si="966"/>
        <v>0</v>
      </c>
      <c r="AZ559" s="424">
        <f t="shared" si="966"/>
        <v>0</v>
      </c>
      <c r="BA559" s="424">
        <f t="shared" si="966"/>
        <v>0</v>
      </c>
      <c r="BB559" s="424">
        <f t="shared" si="966"/>
        <v>0</v>
      </c>
      <c r="BC559" s="424">
        <f t="shared" si="966"/>
        <v>0</v>
      </c>
      <c r="BD559" s="424">
        <f t="shared" si="966"/>
        <v>0</v>
      </c>
      <c r="BE559" s="424">
        <f t="shared" si="966"/>
        <v>0</v>
      </c>
      <c r="BF559" s="424">
        <f t="shared" si="966"/>
        <v>0</v>
      </c>
      <c r="BG559" s="424">
        <f t="shared" si="966"/>
        <v>0</v>
      </c>
      <c r="BH559" s="424">
        <f t="shared" si="966"/>
        <v>0</v>
      </c>
      <c r="BI559" s="424">
        <f t="shared" si="966"/>
        <v>0</v>
      </c>
      <c r="BJ559" s="424">
        <f t="shared" si="966"/>
        <v>0</v>
      </c>
      <c r="BK559" s="424">
        <f t="shared" si="966"/>
        <v>0</v>
      </c>
      <c r="BL559" s="424">
        <f t="shared" si="966"/>
        <v>0</v>
      </c>
      <c r="BM559" s="424">
        <f t="shared" si="966"/>
        <v>0</v>
      </c>
      <c r="BN559" s="424">
        <f t="shared" si="966"/>
        <v>0</v>
      </c>
      <c r="BO559" s="424">
        <f t="shared" si="966"/>
        <v>0</v>
      </c>
      <c r="BP559" s="424">
        <f t="shared" si="966"/>
        <v>0</v>
      </c>
      <c r="BQ559" s="424">
        <f t="shared" si="966"/>
        <v>0</v>
      </c>
      <c r="BR559" s="424">
        <f t="shared" si="966"/>
        <v>0</v>
      </c>
      <c r="BS559" s="424">
        <f t="shared" si="966"/>
        <v>0</v>
      </c>
      <c r="BT559" s="424">
        <f t="shared" si="966"/>
        <v>0</v>
      </c>
      <c r="BU559" s="424">
        <f t="shared" si="966"/>
        <v>0</v>
      </c>
      <c r="BV559" s="424">
        <f t="shared" ref="BV559:DA559" si="967">BV189*BV$372</f>
        <v>0</v>
      </c>
      <c r="BW559" s="424">
        <f t="shared" si="967"/>
        <v>0</v>
      </c>
      <c r="BX559" s="424">
        <f t="shared" si="967"/>
        <v>0</v>
      </c>
      <c r="BY559" s="424">
        <f t="shared" si="967"/>
        <v>0</v>
      </c>
      <c r="BZ559" s="424">
        <f t="shared" si="967"/>
        <v>0</v>
      </c>
      <c r="CA559" s="424">
        <f t="shared" si="967"/>
        <v>0</v>
      </c>
      <c r="CB559" s="424">
        <f t="shared" si="967"/>
        <v>3.33</v>
      </c>
      <c r="CC559" s="424">
        <f t="shared" si="967"/>
        <v>0</v>
      </c>
      <c r="CD559" s="424">
        <f t="shared" si="967"/>
        <v>0</v>
      </c>
      <c r="CE559" s="424">
        <f t="shared" si="967"/>
        <v>0</v>
      </c>
      <c r="CF559" s="424">
        <f t="shared" si="967"/>
        <v>0.6</v>
      </c>
      <c r="CG559" s="424">
        <f t="shared" si="967"/>
        <v>0</v>
      </c>
      <c r="CH559" s="424">
        <f t="shared" si="967"/>
        <v>0</v>
      </c>
      <c r="CI559" s="424">
        <f t="shared" si="967"/>
        <v>0</v>
      </c>
      <c r="CJ559" s="424">
        <f t="shared" si="967"/>
        <v>0</v>
      </c>
      <c r="CK559" s="424">
        <f t="shared" si="967"/>
        <v>0</v>
      </c>
      <c r="CL559" s="424">
        <f t="shared" si="967"/>
        <v>0</v>
      </c>
      <c r="CM559" s="424">
        <f t="shared" si="967"/>
        <v>0</v>
      </c>
      <c r="CN559" s="424">
        <f t="shared" si="967"/>
        <v>0</v>
      </c>
      <c r="CO559" s="424">
        <f t="shared" si="967"/>
        <v>0</v>
      </c>
      <c r="CP559" s="424">
        <f t="shared" si="967"/>
        <v>0</v>
      </c>
      <c r="CQ559" s="424">
        <f t="shared" si="967"/>
        <v>0</v>
      </c>
      <c r="CR559" s="424">
        <f t="shared" si="967"/>
        <v>0</v>
      </c>
      <c r="CS559" s="424">
        <f t="shared" si="967"/>
        <v>0.02</v>
      </c>
      <c r="CT559" s="424">
        <f t="shared" si="967"/>
        <v>0</v>
      </c>
      <c r="CU559" s="424">
        <f t="shared" si="967"/>
        <v>0</v>
      </c>
      <c r="CV559" s="424">
        <f t="shared" si="967"/>
        <v>0</v>
      </c>
      <c r="CW559" s="424">
        <f t="shared" si="967"/>
        <v>0</v>
      </c>
      <c r="CX559" s="424">
        <f t="shared" si="967"/>
        <v>0</v>
      </c>
      <c r="CY559" s="424">
        <f t="shared" si="967"/>
        <v>0</v>
      </c>
      <c r="CZ559" s="424">
        <f t="shared" si="967"/>
        <v>0</v>
      </c>
      <c r="DA559" s="424">
        <f t="shared" si="967"/>
        <v>0</v>
      </c>
      <c r="DB559" s="424">
        <f t="shared" ref="DB559:EG559" si="968">DB189*DB$372</f>
        <v>0</v>
      </c>
      <c r="DC559" s="424">
        <f t="shared" si="968"/>
        <v>7.0000000000000007E-2</v>
      </c>
      <c r="DD559" s="424">
        <f t="shared" si="968"/>
        <v>0</v>
      </c>
      <c r="DE559" s="424">
        <f t="shared" si="968"/>
        <v>0</v>
      </c>
      <c r="DF559" s="424">
        <f t="shared" si="968"/>
        <v>1.84</v>
      </c>
      <c r="DG559" s="424">
        <f t="shared" si="968"/>
        <v>0</v>
      </c>
      <c r="DH559" s="424">
        <f t="shared" si="968"/>
        <v>0</v>
      </c>
      <c r="DI559" s="424">
        <f t="shared" si="968"/>
        <v>0</v>
      </c>
      <c r="DJ559" s="424">
        <f t="shared" si="968"/>
        <v>0</v>
      </c>
      <c r="DK559" s="424">
        <f t="shared" si="968"/>
        <v>0</v>
      </c>
      <c r="DL559" s="424">
        <f t="shared" si="968"/>
        <v>0</v>
      </c>
      <c r="DM559" s="424">
        <f t="shared" si="968"/>
        <v>0</v>
      </c>
      <c r="DN559" s="424">
        <f t="shared" si="968"/>
        <v>0</v>
      </c>
      <c r="DO559" s="424">
        <f t="shared" si="968"/>
        <v>0</v>
      </c>
      <c r="DP559" s="424">
        <f t="shared" si="968"/>
        <v>0</v>
      </c>
      <c r="DQ559" s="424">
        <f t="shared" si="968"/>
        <v>0</v>
      </c>
      <c r="DR559" s="424">
        <f t="shared" si="968"/>
        <v>0</v>
      </c>
      <c r="DS559" s="424">
        <f t="shared" si="968"/>
        <v>0</v>
      </c>
      <c r="DT559" s="424">
        <f t="shared" si="968"/>
        <v>0</v>
      </c>
      <c r="DU559" s="424">
        <f t="shared" si="968"/>
        <v>0</v>
      </c>
      <c r="DV559" s="424">
        <f t="shared" si="968"/>
        <v>0</v>
      </c>
      <c r="DW559" s="424">
        <f t="shared" si="968"/>
        <v>0</v>
      </c>
      <c r="DX559" s="424">
        <f t="shared" si="968"/>
        <v>0</v>
      </c>
      <c r="DY559" s="424">
        <f t="shared" si="968"/>
        <v>0</v>
      </c>
      <c r="DZ559" s="424">
        <f t="shared" si="968"/>
        <v>0</v>
      </c>
      <c r="EA559" s="424">
        <f t="shared" si="968"/>
        <v>0</v>
      </c>
      <c r="EB559" s="424">
        <f t="shared" si="968"/>
        <v>0</v>
      </c>
      <c r="EC559" s="424">
        <f t="shared" si="968"/>
        <v>0</v>
      </c>
      <c r="ED559" s="424">
        <f t="shared" si="968"/>
        <v>0</v>
      </c>
      <c r="EE559" s="424">
        <f t="shared" si="968"/>
        <v>0</v>
      </c>
      <c r="EF559" s="424">
        <f t="shared" si="968"/>
        <v>0</v>
      </c>
      <c r="EG559" s="424">
        <f t="shared" si="968"/>
        <v>0</v>
      </c>
      <c r="EH559" s="424">
        <f t="shared" ref="EH559:EX559" si="969">EH189*EH$372</f>
        <v>0</v>
      </c>
      <c r="EI559" s="424">
        <f t="shared" si="969"/>
        <v>0</v>
      </c>
      <c r="EJ559" s="424">
        <f t="shared" si="969"/>
        <v>0</v>
      </c>
      <c r="EK559" s="424">
        <f t="shared" si="969"/>
        <v>0</v>
      </c>
      <c r="EL559" s="424">
        <f t="shared" si="969"/>
        <v>0</v>
      </c>
      <c r="EM559" s="424">
        <f t="shared" si="969"/>
        <v>0</v>
      </c>
      <c r="EN559" s="424">
        <f t="shared" si="969"/>
        <v>0</v>
      </c>
      <c r="EO559" s="424">
        <f t="shared" si="969"/>
        <v>0</v>
      </c>
      <c r="EP559" s="424">
        <f t="shared" si="969"/>
        <v>0</v>
      </c>
      <c r="EQ559" s="424">
        <f t="shared" si="969"/>
        <v>0</v>
      </c>
      <c r="ER559" s="424">
        <f t="shared" si="969"/>
        <v>0</v>
      </c>
      <c r="ES559" s="424">
        <f t="shared" si="969"/>
        <v>0</v>
      </c>
      <c r="ET559" s="424">
        <f t="shared" si="969"/>
        <v>0</v>
      </c>
      <c r="EU559" s="424">
        <f t="shared" si="969"/>
        <v>0</v>
      </c>
      <c r="EV559" s="424">
        <f t="shared" si="969"/>
        <v>0</v>
      </c>
      <c r="EW559" s="424">
        <f t="shared" si="969"/>
        <v>0</v>
      </c>
      <c r="EX559" s="424">
        <f t="shared" si="969"/>
        <v>0</v>
      </c>
      <c r="EY559" s="425">
        <f t="shared" si="699"/>
        <v>66.58</v>
      </c>
    </row>
    <row r="560" spans="1:166" ht="14.7" customHeight="1" x14ac:dyDescent="0.25">
      <c r="A560" s="310">
        <v>186</v>
      </c>
      <c r="B560" s="311" t="str">
        <f t="shared" si="680"/>
        <v>Шницель натуральный рубленый из говядины</v>
      </c>
      <c r="C560" s="483">
        <f t="shared" si="688"/>
        <v>60.76</v>
      </c>
      <c r="D560" s="888"/>
      <c r="E560" s="888"/>
      <c r="F560" s="888"/>
      <c r="G560" s="889"/>
      <c r="H560" s="680">
        <f t="shared" si="681"/>
        <v>267</v>
      </c>
      <c r="I560" s="1209">
        <f t="shared" si="682"/>
        <v>0</v>
      </c>
      <c r="J560" s="424">
        <f t="shared" ref="J560:AO560" si="970">J190*J$372</f>
        <v>53.2</v>
      </c>
      <c r="K560" s="424">
        <f t="shared" si="970"/>
        <v>0</v>
      </c>
      <c r="L560" s="424">
        <f t="shared" si="970"/>
        <v>0</v>
      </c>
      <c r="M560" s="424">
        <f t="shared" si="970"/>
        <v>0</v>
      </c>
      <c r="N560" s="424">
        <f t="shared" si="970"/>
        <v>0</v>
      </c>
      <c r="O560" s="424">
        <f t="shared" si="970"/>
        <v>0</v>
      </c>
      <c r="P560" s="424">
        <f t="shared" si="970"/>
        <v>1.1000000000000001</v>
      </c>
      <c r="Q560" s="424">
        <f t="shared" si="970"/>
        <v>0</v>
      </c>
      <c r="R560" s="424">
        <f t="shared" si="970"/>
        <v>0</v>
      </c>
      <c r="S560" s="424">
        <f t="shared" si="970"/>
        <v>0</v>
      </c>
      <c r="T560" s="424">
        <f t="shared" si="970"/>
        <v>0</v>
      </c>
      <c r="U560" s="424">
        <f t="shared" si="970"/>
        <v>0</v>
      </c>
      <c r="V560" s="424">
        <f t="shared" si="970"/>
        <v>3.55</v>
      </c>
      <c r="W560" s="424">
        <f t="shared" si="970"/>
        <v>0</v>
      </c>
      <c r="X560" s="424">
        <f t="shared" si="970"/>
        <v>0</v>
      </c>
      <c r="Y560" s="424">
        <f t="shared" si="970"/>
        <v>0</v>
      </c>
      <c r="Z560" s="424">
        <f t="shared" si="970"/>
        <v>0</v>
      </c>
      <c r="AA560" s="424">
        <f t="shared" si="970"/>
        <v>0</v>
      </c>
      <c r="AB560" s="424">
        <f t="shared" si="970"/>
        <v>0</v>
      </c>
      <c r="AC560" s="424">
        <f t="shared" si="970"/>
        <v>0</v>
      </c>
      <c r="AD560" s="424">
        <f t="shared" si="970"/>
        <v>0</v>
      </c>
      <c r="AE560" s="424">
        <f t="shared" si="970"/>
        <v>0.7</v>
      </c>
      <c r="AF560" s="424">
        <f t="shared" si="970"/>
        <v>0</v>
      </c>
      <c r="AG560" s="424">
        <f t="shared" si="970"/>
        <v>0</v>
      </c>
      <c r="AH560" s="424">
        <f t="shared" si="970"/>
        <v>0</v>
      </c>
      <c r="AI560" s="424">
        <f t="shared" si="970"/>
        <v>0</v>
      </c>
      <c r="AJ560" s="424">
        <f t="shared" si="970"/>
        <v>0</v>
      </c>
      <c r="AK560" s="424">
        <f t="shared" si="970"/>
        <v>0</v>
      </c>
      <c r="AL560" s="424">
        <f t="shared" si="970"/>
        <v>0</v>
      </c>
      <c r="AM560" s="424">
        <f t="shared" si="970"/>
        <v>0</v>
      </c>
      <c r="AN560" s="424">
        <f t="shared" si="970"/>
        <v>0</v>
      </c>
      <c r="AO560" s="424">
        <f t="shared" si="970"/>
        <v>0</v>
      </c>
      <c r="AP560" s="424">
        <f t="shared" ref="AP560:BU560" si="971">AP190*AP$372</f>
        <v>0</v>
      </c>
      <c r="AQ560" s="424">
        <f t="shared" si="971"/>
        <v>0</v>
      </c>
      <c r="AR560" s="424">
        <f t="shared" si="971"/>
        <v>0</v>
      </c>
      <c r="AS560" s="424">
        <f t="shared" si="971"/>
        <v>0</v>
      </c>
      <c r="AT560" s="424">
        <f t="shared" si="971"/>
        <v>0</v>
      </c>
      <c r="AU560" s="424">
        <f t="shared" si="971"/>
        <v>0</v>
      </c>
      <c r="AV560" s="424">
        <f t="shared" si="971"/>
        <v>0</v>
      </c>
      <c r="AW560" s="424">
        <f t="shared" si="971"/>
        <v>0</v>
      </c>
      <c r="AX560" s="424">
        <f t="shared" si="971"/>
        <v>0</v>
      </c>
      <c r="AY560" s="424">
        <f t="shared" si="971"/>
        <v>0</v>
      </c>
      <c r="AZ560" s="424">
        <f t="shared" si="971"/>
        <v>0</v>
      </c>
      <c r="BA560" s="424">
        <f t="shared" si="971"/>
        <v>0</v>
      </c>
      <c r="BB560" s="424">
        <f t="shared" si="971"/>
        <v>0</v>
      </c>
      <c r="BC560" s="424">
        <f t="shared" si="971"/>
        <v>0</v>
      </c>
      <c r="BD560" s="424">
        <f t="shared" si="971"/>
        <v>0</v>
      </c>
      <c r="BE560" s="424">
        <f t="shared" si="971"/>
        <v>0</v>
      </c>
      <c r="BF560" s="424">
        <f t="shared" si="971"/>
        <v>0</v>
      </c>
      <c r="BG560" s="424">
        <f t="shared" si="971"/>
        <v>0</v>
      </c>
      <c r="BH560" s="424">
        <f t="shared" si="971"/>
        <v>0</v>
      </c>
      <c r="BI560" s="424">
        <f t="shared" si="971"/>
        <v>0</v>
      </c>
      <c r="BJ560" s="424">
        <f t="shared" si="971"/>
        <v>0</v>
      </c>
      <c r="BK560" s="424">
        <f t="shared" si="971"/>
        <v>0</v>
      </c>
      <c r="BL560" s="424">
        <f t="shared" si="971"/>
        <v>0</v>
      </c>
      <c r="BM560" s="424">
        <f t="shared" si="971"/>
        <v>0</v>
      </c>
      <c r="BN560" s="424">
        <f t="shared" si="971"/>
        <v>0</v>
      </c>
      <c r="BO560" s="424">
        <f t="shared" si="971"/>
        <v>0</v>
      </c>
      <c r="BP560" s="424">
        <f t="shared" si="971"/>
        <v>0</v>
      </c>
      <c r="BQ560" s="424">
        <f t="shared" si="971"/>
        <v>0</v>
      </c>
      <c r="BR560" s="424">
        <f t="shared" si="971"/>
        <v>0</v>
      </c>
      <c r="BS560" s="424">
        <f t="shared" si="971"/>
        <v>0</v>
      </c>
      <c r="BT560" s="424">
        <f t="shared" si="971"/>
        <v>0</v>
      </c>
      <c r="BU560" s="424">
        <f t="shared" si="971"/>
        <v>0</v>
      </c>
      <c r="BV560" s="424">
        <f t="shared" ref="BV560:DA560" si="972">BV190*BV$372</f>
        <v>0</v>
      </c>
      <c r="BW560" s="424">
        <f t="shared" si="972"/>
        <v>0</v>
      </c>
      <c r="BX560" s="424">
        <f t="shared" si="972"/>
        <v>0</v>
      </c>
      <c r="BY560" s="424">
        <f t="shared" si="972"/>
        <v>0</v>
      </c>
      <c r="BZ560" s="424">
        <f t="shared" si="972"/>
        <v>0</v>
      </c>
      <c r="CA560" s="424">
        <f t="shared" si="972"/>
        <v>0</v>
      </c>
      <c r="CB560" s="424">
        <f t="shared" si="972"/>
        <v>0</v>
      </c>
      <c r="CC560" s="424">
        <f t="shared" si="972"/>
        <v>0</v>
      </c>
      <c r="CD560" s="424">
        <f t="shared" si="972"/>
        <v>0</v>
      </c>
      <c r="CE560" s="424">
        <f t="shared" si="972"/>
        <v>0</v>
      </c>
      <c r="CF560" s="424">
        <f t="shared" si="972"/>
        <v>0.72</v>
      </c>
      <c r="CG560" s="424">
        <f t="shared" si="972"/>
        <v>0</v>
      </c>
      <c r="CH560" s="424">
        <f t="shared" si="972"/>
        <v>0</v>
      </c>
      <c r="CI560" s="424">
        <f t="shared" si="972"/>
        <v>0</v>
      </c>
      <c r="CJ560" s="424">
        <f t="shared" si="972"/>
        <v>0</v>
      </c>
      <c r="CK560" s="424">
        <f t="shared" si="972"/>
        <v>0</v>
      </c>
      <c r="CL560" s="424">
        <f t="shared" si="972"/>
        <v>0</v>
      </c>
      <c r="CM560" s="424">
        <f t="shared" si="972"/>
        <v>0</v>
      </c>
      <c r="CN560" s="424">
        <f t="shared" si="972"/>
        <v>0</v>
      </c>
      <c r="CO560" s="424">
        <f t="shared" si="972"/>
        <v>0</v>
      </c>
      <c r="CP560" s="424">
        <f t="shared" si="972"/>
        <v>0</v>
      </c>
      <c r="CQ560" s="424">
        <f t="shared" si="972"/>
        <v>0</v>
      </c>
      <c r="CR560" s="424">
        <f t="shared" si="972"/>
        <v>0</v>
      </c>
      <c r="CS560" s="424">
        <f t="shared" si="972"/>
        <v>0</v>
      </c>
      <c r="CT560" s="424">
        <f t="shared" si="972"/>
        <v>0</v>
      </c>
      <c r="CU560" s="424">
        <f t="shared" si="972"/>
        <v>0</v>
      </c>
      <c r="CV560" s="424">
        <f t="shared" si="972"/>
        <v>0</v>
      </c>
      <c r="CW560" s="424">
        <f t="shared" si="972"/>
        <v>0</v>
      </c>
      <c r="CX560" s="424">
        <f t="shared" si="972"/>
        <v>0</v>
      </c>
      <c r="CY560" s="424">
        <f t="shared" si="972"/>
        <v>0</v>
      </c>
      <c r="CZ560" s="424">
        <f t="shared" si="972"/>
        <v>0</v>
      </c>
      <c r="DA560" s="424">
        <f t="shared" si="972"/>
        <v>0</v>
      </c>
      <c r="DB560" s="424">
        <f t="shared" ref="DB560:EG560" si="973">DB190*DB$372</f>
        <v>0</v>
      </c>
      <c r="DC560" s="424">
        <f t="shared" si="973"/>
        <v>7.0000000000000007E-2</v>
      </c>
      <c r="DD560" s="424">
        <f t="shared" si="973"/>
        <v>1.42</v>
      </c>
      <c r="DE560" s="424">
        <f t="shared" si="973"/>
        <v>0</v>
      </c>
      <c r="DF560" s="424">
        <f t="shared" si="973"/>
        <v>0</v>
      </c>
      <c r="DG560" s="424">
        <f t="shared" si="973"/>
        <v>0</v>
      </c>
      <c r="DH560" s="424">
        <f t="shared" si="973"/>
        <v>0</v>
      </c>
      <c r="DI560" s="424">
        <f t="shared" si="973"/>
        <v>0</v>
      </c>
      <c r="DJ560" s="424">
        <f t="shared" si="973"/>
        <v>0</v>
      </c>
      <c r="DK560" s="424">
        <f t="shared" si="973"/>
        <v>0</v>
      </c>
      <c r="DL560" s="424">
        <f t="shared" si="973"/>
        <v>0</v>
      </c>
      <c r="DM560" s="424">
        <f t="shared" si="973"/>
        <v>0</v>
      </c>
      <c r="DN560" s="424">
        <f t="shared" si="973"/>
        <v>0</v>
      </c>
      <c r="DO560" s="424">
        <f t="shared" si="973"/>
        <v>0</v>
      </c>
      <c r="DP560" s="424">
        <f t="shared" si="973"/>
        <v>0</v>
      </c>
      <c r="DQ560" s="424">
        <f t="shared" si="973"/>
        <v>0</v>
      </c>
      <c r="DR560" s="424">
        <f t="shared" si="973"/>
        <v>0</v>
      </c>
      <c r="DS560" s="424">
        <f t="shared" si="973"/>
        <v>0</v>
      </c>
      <c r="DT560" s="424">
        <f t="shared" si="973"/>
        <v>0</v>
      </c>
      <c r="DU560" s="424">
        <f t="shared" si="973"/>
        <v>0</v>
      </c>
      <c r="DV560" s="424">
        <f t="shared" si="973"/>
        <v>0</v>
      </c>
      <c r="DW560" s="424">
        <f t="shared" si="973"/>
        <v>0</v>
      </c>
      <c r="DX560" s="424">
        <f t="shared" si="973"/>
        <v>0</v>
      </c>
      <c r="DY560" s="424">
        <f t="shared" si="973"/>
        <v>0</v>
      </c>
      <c r="DZ560" s="424">
        <f t="shared" si="973"/>
        <v>0</v>
      </c>
      <c r="EA560" s="424">
        <f t="shared" si="973"/>
        <v>0</v>
      </c>
      <c r="EB560" s="424">
        <f t="shared" si="973"/>
        <v>0</v>
      </c>
      <c r="EC560" s="424">
        <f t="shared" si="973"/>
        <v>0</v>
      </c>
      <c r="ED560" s="424">
        <f t="shared" si="973"/>
        <v>0</v>
      </c>
      <c r="EE560" s="424">
        <f t="shared" si="973"/>
        <v>0</v>
      </c>
      <c r="EF560" s="424">
        <f t="shared" si="973"/>
        <v>0</v>
      </c>
      <c r="EG560" s="424">
        <f t="shared" si="973"/>
        <v>0</v>
      </c>
      <c r="EH560" s="424">
        <f t="shared" ref="EH560:EX560" si="974">EH190*EH$372</f>
        <v>0</v>
      </c>
      <c r="EI560" s="424">
        <f t="shared" si="974"/>
        <v>0</v>
      </c>
      <c r="EJ560" s="424">
        <f t="shared" si="974"/>
        <v>0</v>
      </c>
      <c r="EK560" s="424">
        <f t="shared" si="974"/>
        <v>0</v>
      </c>
      <c r="EL560" s="424">
        <f t="shared" si="974"/>
        <v>0</v>
      </c>
      <c r="EM560" s="424">
        <f t="shared" si="974"/>
        <v>0</v>
      </c>
      <c r="EN560" s="424">
        <f t="shared" si="974"/>
        <v>0</v>
      </c>
      <c r="EO560" s="424">
        <f t="shared" si="974"/>
        <v>0</v>
      </c>
      <c r="EP560" s="424">
        <f t="shared" si="974"/>
        <v>0</v>
      </c>
      <c r="EQ560" s="424">
        <f t="shared" si="974"/>
        <v>0</v>
      </c>
      <c r="ER560" s="424">
        <f t="shared" si="974"/>
        <v>0</v>
      </c>
      <c r="ES560" s="424">
        <f t="shared" si="974"/>
        <v>0</v>
      </c>
      <c r="ET560" s="424">
        <f t="shared" si="974"/>
        <v>0</v>
      </c>
      <c r="EU560" s="424">
        <f t="shared" si="974"/>
        <v>0</v>
      </c>
      <c r="EV560" s="424">
        <f t="shared" si="974"/>
        <v>0</v>
      </c>
      <c r="EW560" s="424">
        <f t="shared" si="974"/>
        <v>0</v>
      </c>
      <c r="EX560" s="424">
        <f t="shared" si="974"/>
        <v>0</v>
      </c>
      <c r="EY560" s="425">
        <f t="shared" si="699"/>
        <v>60.76</v>
      </c>
    </row>
    <row r="561" spans="1:166" ht="14.7" customHeight="1" x14ac:dyDescent="0.25">
      <c r="A561" s="310">
        <v>187</v>
      </c>
      <c r="B561" s="311" t="str">
        <f t="shared" si="680"/>
        <v>Котлеты из говядины с маслом</v>
      </c>
      <c r="C561" s="483">
        <f t="shared" si="688"/>
        <v>33.65</v>
      </c>
      <c r="D561" s="888"/>
      <c r="E561" s="888"/>
      <c r="F561" s="888"/>
      <c r="G561" s="889"/>
      <c r="H561" s="680">
        <f t="shared" si="681"/>
        <v>268</v>
      </c>
      <c r="I561" s="1209">
        <f t="shared" si="682"/>
        <v>-0.01</v>
      </c>
      <c r="J561" s="424">
        <f t="shared" ref="J561:AO561" si="975">J191*J$372</f>
        <v>28</v>
      </c>
      <c r="K561" s="424">
        <f t="shared" si="975"/>
        <v>0</v>
      </c>
      <c r="L561" s="424">
        <f t="shared" si="975"/>
        <v>0</v>
      </c>
      <c r="M561" s="424">
        <f t="shared" si="975"/>
        <v>0</v>
      </c>
      <c r="N561" s="424">
        <f t="shared" si="975"/>
        <v>0</v>
      </c>
      <c r="O561" s="424">
        <f t="shared" si="975"/>
        <v>0</v>
      </c>
      <c r="P561" s="424">
        <f t="shared" si="975"/>
        <v>0</v>
      </c>
      <c r="Q561" s="424">
        <f t="shared" si="975"/>
        <v>0</v>
      </c>
      <c r="R561" s="424">
        <f t="shared" si="975"/>
        <v>0</v>
      </c>
      <c r="S561" s="424">
        <f t="shared" si="975"/>
        <v>0</v>
      </c>
      <c r="T561" s="424">
        <f t="shared" si="975"/>
        <v>0</v>
      </c>
      <c r="U561" s="424">
        <f t="shared" si="975"/>
        <v>0.48</v>
      </c>
      <c r="V561" s="424">
        <f t="shared" si="975"/>
        <v>3.55</v>
      </c>
      <c r="W561" s="424">
        <f t="shared" si="975"/>
        <v>0</v>
      </c>
      <c r="X561" s="424">
        <f t="shared" si="975"/>
        <v>0</v>
      </c>
      <c r="Y561" s="424">
        <f t="shared" si="975"/>
        <v>0</v>
      </c>
      <c r="Z561" s="424">
        <f t="shared" si="975"/>
        <v>0</v>
      </c>
      <c r="AA561" s="424">
        <f t="shared" si="975"/>
        <v>0</v>
      </c>
      <c r="AB561" s="424">
        <f t="shared" si="975"/>
        <v>0</v>
      </c>
      <c r="AC561" s="424">
        <f t="shared" si="975"/>
        <v>0</v>
      </c>
      <c r="AD561" s="424">
        <f t="shared" si="975"/>
        <v>0</v>
      </c>
      <c r="AE561" s="424">
        <f t="shared" si="975"/>
        <v>0</v>
      </c>
      <c r="AF561" s="424">
        <f t="shared" si="975"/>
        <v>0</v>
      </c>
      <c r="AG561" s="424">
        <f t="shared" si="975"/>
        <v>0</v>
      </c>
      <c r="AH561" s="424">
        <f t="shared" si="975"/>
        <v>0</v>
      </c>
      <c r="AI561" s="424">
        <f t="shared" si="975"/>
        <v>0</v>
      </c>
      <c r="AJ561" s="424">
        <f t="shared" si="975"/>
        <v>0</v>
      </c>
      <c r="AK561" s="424">
        <f t="shared" si="975"/>
        <v>0</v>
      </c>
      <c r="AL561" s="424">
        <f t="shared" si="975"/>
        <v>0</v>
      </c>
      <c r="AM561" s="424">
        <f t="shared" si="975"/>
        <v>0</v>
      </c>
      <c r="AN561" s="424">
        <f t="shared" si="975"/>
        <v>0</v>
      </c>
      <c r="AO561" s="424">
        <f t="shared" si="975"/>
        <v>0</v>
      </c>
      <c r="AP561" s="424">
        <f t="shared" ref="AP561:BU561" si="976">AP191*AP$372</f>
        <v>0</v>
      </c>
      <c r="AQ561" s="424">
        <f t="shared" si="976"/>
        <v>0</v>
      </c>
      <c r="AR561" s="424">
        <f t="shared" si="976"/>
        <v>0</v>
      </c>
      <c r="AS561" s="424">
        <f t="shared" si="976"/>
        <v>0</v>
      </c>
      <c r="AT561" s="424">
        <f t="shared" si="976"/>
        <v>0</v>
      </c>
      <c r="AU561" s="424">
        <f t="shared" si="976"/>
        <v>0</v>
      </c>
      <c r="AV561" s="424">
        <f t="shared" si="976"/>
        <v>0</v>
      </c>
      <c r="AW561" s="424">
        <f t="shared" si="976"/>
        <v>0</v>
      </c>
      <c r="AX561" s="424">
        <f t="shared" si="976"/>
        <v>0</v>
      </c>
      <c r="AY561" s="424">
        <f t="shared" si="976"/>
        <v>0</v>
      </c>
      <c r="AZ561" s="424">
        <f t="shared" si="976"/>
        <v>0</v>
      </c>
      <c r="BA561" s="424">
        <f t="shared" si="976"/>
        <v>0</v>
      </c>
      <c r="BB561" s="424">
        <f t="shared" si="976"/>
        <v>0</v>
      </c>
      <c r="BC561" s="424">
        <f t="shared" si="976"/>
        <v>0</v>
      </c>
      <c r="BD561" s="424">
        <f t="shared" si="976"/>
        <v>0</v>
      </c>
      <c r="BE561" s="424">
        <f t="shared" si="976"/>
        <v>0</v>
      </c>
      <c r="BF561" s="424">
        <f t="shared" si="976"/>
        <v>0</v>
      </c>
      <c r="BG561" s="424">
        <f t="shared" si="976"/>
        <v>0</v>
      </c>
      <c r="BH561" s="424">
        <f t="shared" si="976"/>
        <v>0</v>
      </c>
      <c r="BI561" s="424">
        <f t="shared" si="976"/>
        <v>0</v>
      </c>
      <c r="BJ561" s="424">
        <f t="shared" si="976"/>
        <v>0</v>
      </c>
      <c r="BK561" s="424">
        <f t="shared" si="976"/>
        <v>0</v>
      </c>
      <c r="BL561" s="424">
        <f t="shared" si="976"/>
        <v>0</v>
      </c>
      <c r="BM561" s="424">
        <f t="shared" si="976"/>
        <v>0</v>
      </c>
      <c r="BN561" s="424">
        <f t="shared" si="976"/>
        <v>0</v>
      </c>
      <c r="BO561" s="424">
        <f t="shared" si="976"/>
        <v>0</v>
      </c>
      <c r="BP561" s="424">
        <f t="shared" si="976"/>
        <v>0</v>
      </c>
      <c r="BQ561" s="424">
        <f t="shared" si="976"/>
        <v>0</v>
      </c>
      <c r="BR561" s="424">
        <f t="shared" si="976"/>
        <v>0</v>
      </c>
      <c r="BS561" s="424">
        <f t="shared" si="976"/>
        <v>0</v>
      </c>
      <c r="BT561" s="424">
        <f t="shared" si="976"/>
        <v>0</v>
      </c>
      <c r="BU561" s="424">
        <f t="shared" si="976"/>
        <v>0</v>
      </c>
      <c r="BV561" s="424">
        <f t="shared" ref="BV561:DA561" si="977">BV191*BV$372</f>
        <v>0</v>
      </c>
      <c r="BW561" s="424">
        <f t="shared" si="977"/>
        <v>0</v>
      </c>
      <c r="BX561" s="424">
        <f t="shared" si="977"/>
        <v>0</v>
      </c>
      <c r="BY561" s="424">
        <f t="shared" si="977"/>
        <v>0</v>
      </c>
      <c r="BZ561" s="424">
        <f t="shared" si="977"/>
        <v>0</v>
      </c>
      <c r="CA561" s="424">
        <f t="shared" si="977"/>
        <v>0</v>
      </c>
      <c r="CB561" s="424">
        <f t="shared" si="977"/>
        <v>0</v>
      </c>
      <c r="CC561" s="424">
        <f t="shared" si="977"/>
        <v>0</v>
      </c>
      <c r="CD561" s="424">
        <f t="shared" si="977"/>
        <v>0</v>
      </c>
      <c r="CE561" s="424">
        <f t="shared" si="977"/>
        <v>0</v>
      </c>
      <c r="CF561" s="424">
        <f t="shared" si="977"/>
        <v>0.36</v>
      </c>
      <c r="CG561" s="424">
        <f t="shared" si="977"/>
        <v>0</v>
      </c>
      <c r="CH561" s="424">
        <f t="shared" si="977"/>
        <v>0</v>
      </c>
      <c r="CI561" s="424">
        <f t="shared" si="977"/>
        <v>0</v>
      </c>
      <c r="CJ561" s="424">
        <f t="shared" si="977"/>
        <v>0</v>
      </c>
      <c r="CK561" s="424">
        <f t="shared" si="977"/>
        <v>0</v>
      </c>
      <c r="CL561" s="424">
        <f t="shared" si="977"/>
        <v>0</v>
      </c>
      <c r="CM561" s="424">
        <f t="shared" si="977"/>
        <v>0</v>
      </c>
      <c r="CN561" s="424">
        <f t="shared" si="977"/>
        <v>0</v>
      </c>
      <c r="CO561" s="424">
        <f t="shared" si="977"/>
        <v>0</v>
      </c>
      <c r="CP561" s="424">
        <f t="shared" si="977"/>
        <v>0</v>
      </c>
      <c r="CQ561" s="424">
        <f t="shared" si="977"/>
        <v>0</v>
      </c>
      <c r="CR561" s="424">
        <f t="shared" si="977"/>
        <v>0</v>
      </c>
      <c r="CS561" s="424">
        <f t="shared" si="977"/>
        <v>0</v>
      </c>
      <c r="CT561" s="424">
        <f t="shared" si="977"/>
        <v>0</v>
      </c>
      <c r="CU561" s="424">
        <f t="shared" si="977"/>
        <v>0</v>
      </c>
      <c r="CV561" s="424">
        <f t="shared" si="977"/>
        <v>0</v>
      </c>
      <c r="CW561" s="424">
        <f t="shared" si="977"/>
        <v>0</v>
      </c>
      <c r="CX561" s="424">
        <f t="shared" si="977"/>
        <v>0</v>
      </c>
      <c r="CY561" s="424">
        <f t="shared" si="977"/>
        <v>0</v>
      </c>
      <c r="CZ561" s="424">
        <f t="shared" si="977"/>
        <v>0</v>
      </c>
      <c r="DA561" s="424">
        <f t="shared" si="977"/>
        <v>0</v>
      </c>
      <c r="DB561" s="424">
        <f t="shared" ref="DB561:EG561" si="978">DB191*DB$372</f>
        <v>0</v>
      </c>
      <c r="DC561" s="424">
        <f t="shared" si="978"/>
        <v>0.08</v>
      </c>
      <c r="DD561" s="424">
        <f t="shared" si="978"/>
        <v>0.59</v>
      </c>
      <c r="DE561" s="424">
        <f t="shared" si="978"/>
        <v>0</v>
      </c>
      <c r="DF561" s="424">
        <f t="shared" si="978"/>
        <v>0</v>
      </c>
      <c r="DG561" s="424">
        <f t="shared" si="978"/>
        <v>0</v>
      </c>
      <c r="DH561" s="424">
        <f t="shared" si="978"/>
        <v>0</v>
      </c>
      <c r="DI561" s="424">
        <f t="shared" si="978"/>
        <v>0</v>
      </c>
      <c r="DJ561" s="424">
        <f t="shared" si="978"/>
        <v>0</v>
      </c>
      <c r="DK561" s="424">
        <f t="shared" si="978"/>
        <v>0</v>
      </c>
      <c r="DL561" s="424">
        <f t="shared" si="978"/>
        <v>0</v>
      </c>
      <c r="DM561" s="424">
        <f t="shared" si="978"/>
        <v>0</v>
      </c>
      <c r="DN561" s="424">
        <f t="shared" si="978"/>
        <v>0</v>
      </c>
      <c r="DO561" s="424">
        <f t="shared" si="978"/>
        <v>0</v>
      </c>
      <c r="DP561" s="424">
        <f t="shared" si="978"/>
        <v>0</v>
      </c>
      <c r="DQ561" s="424">
        <f t="shared" si="978"/>
        <v>0</v>
      </c>
      <c r="DR561" s="424">
        <f t="shared" si="978"/>
        <v>0</v>
      </c>
      <c r="DS561" s="424">
        <f t="shared" si="978"/>
        <v>0</v>
      </c>
      <c r="DT561" s="424">
        <f t="shared" si="978"/>
        <v>0</v>
      </c>
      <c r="DU561" s="424">
        <f t="shared" si="978"/>
        <v>0</v>
      </c>
      <c r="DV561" s="424">
        <f t="shared" si="978"/>
        <v>0</v>
      </c>
      <c r="DW561" s="424">
        <f t="shared" si="978"/>
        <v>0</v>
      </c>
      <c r="DX561" s="424">
        <f t="shared" si="978"/>
        <v>0</v>
      </c>
      <c r="DY561" s="424">
        <f t="shared" si="978"/>
        <v>0</v>
      </c>
      <c r="DZ561" s="424">
        <f t="shared" si="978"/>
        <v>0</v>
      </c>
      <c r="EA561" s="424">
        <f t="shared" si="978"/>
        <v>0</v>
      </c>
      <c r="EB561" s="424">
        <f t="shared" si="978"/>
        <v>0</v>
      </c>
      <c r="EC561" s="424">
        <f t="shared" si="978"/>
        <v>0</v>
      </c>
      <c r="ED561" s="424">
        <f t="shared" si="978"/>
        <v>0</v>
      </c>
      <c r="EE561" s="424">
        <f t="shared" si="978"/>
        <v>0</v>
      </c>
      <c r="EF561" s="424">
        <f t="shared" si="978"/>
        <v>0</v>
      </c>
      <c r="EG561" s="424">
        <f t="shared" si="978"/>
        <v>0</v>
      </c>
      <c r="EH561" s="424">
        <f t="shared" ref="EH561:EX561" si="979">EH191*EH$372</f>
        <v>0</v>
      </c>
      <c r="EI561" s="424">
        <f t="shared" si="979"/>
        <v>0</v>
      </c>
      <c r="EJ561" s="424">
        <f t="shared" si="979"/>
        <v>0</v>
      </c>
      <c r="EK561" s="424">
        <f t="shared" si="979"/>
        <v>0</v>
      </c>
      <c r="EL561" s="424">
        <f t="shared" si="979"/>
        <v>0</v>
      </c>
      <c r="EM561" s="424">
        <f t="shared" si="979"/>
        <v>0</v>
      </c>
      <c r="EN561" s="424">
        <f t="shared" si="979"/>
        <v>0</v>
      </c>
      <c r="EO561" s="424">
        <f t="shared" si="979"/>
        <v>0</v>
      </c>
      <c r="EP561" s="424">
        <f t="shared" si="979"/>
        <v>0</v>
      </c>
      <c r="EQ561" s="424">
        <f t="shared" si="979"/>
        <v>0</v>
      </c>
      <c r="ER561" s="424">
        <f t="shared" si="979"/>
        <v>0</v>
      </c>
      <c r="ES561" s="424">
        <f t="shared" si="979"/>
        <v>0</v>
      </c>
      <c r="ET561" s="424">
        <f t="shared" si="979"/>
        <v>0</v>
      </c>
      <c r="EU561" s="424">
        <f t="shared" si="979"/>
        <v>0</v>
      </c>
      <c r="EV561" s="424">
        <f t="shared" si="979"/>
        <v>0.59</v>
      </c>
      <c r="EW561" s="424">
        <f t="shared" si="979"/>
        <v>0</v>
      </c>
      <c r="EX561" s="424">
        <f t="shared" si="979"/>
        <v>0</v>
      </c>
      <c r="EY561" s="425">
        <f t="shared" si="699"/>
        <v>33.65</v>
      </c>
    </row>
    <row r="562" spans="1:166" s="699" customFormat="1" ht="14.7" customHeight="1" x14ac:dyDescent="0.25">
      <c r="A562" s="310">
        <v>188</v>
      </c>
      <c r="B562" s="311" t="str">
        <f t="shared" si="680"/>
        <v>Котлеты (биточки, шницели) из говядины с томатным соусом</v>
      </c>
      <c r="C562" s="483">
        <f t="shared" si="688"/>
        <v>32.630000000000003</v>
      </c>
      <c r="D562" s="888"/>
      <c r="E562" s="888"/>
      <c r="F562" s="888"/>
      <c r="G562" s="889"/>
      <c r="H562" s="680">
        <f t="shared" si="681"/>
        <v>268</v>
      </c>
      <c r="I562" s="1209">
        <f t="shared" si="682"/>
        <v>-0.01</v>
      </c>
      <c r="J562" s="424">
        <f t="shared" ref="J562:AO562" si="980">J192*J$372</f>
        <v>28</v>
      </c>
      <c r="K562" s="424">
        <f t="shared" si="980"/>
        <v>0</v>
      </c>
      <c r="L562" s="424">
        <f t="shared" si="980"/>
        <v>0</v>
      </c>
      <c r="M562" s="424">
        <f t="shared" si="980"/>
        <v>0</v>
      </c>
      <c r="N562" s="424">
        <f t="shared" si="980"/>
        <v>0</v>
      </c>
      <c r="O562" s="424">
        <f t="shared" si="980"/>
        <v>0</v>
      </c>
      <c r="P562" s="424">
        <f t="shared" si="980"/>
        <v>0</v>
      </c>
      <c r="Q562" s="424">
        <f t="shared" si="980"/>
        <v>0</v>
      </c>
      <c r="R562" s="424">
        <f t="shared" si="980"/>
        <v>0</v>
      </c>
      <c r="S562" s="424">
        <f t="shared" si="980"/>
        <v>0</v>
      </c>
      <c r="T562" s="424">
        <f t="shared" si="980"/>
        <v>0</v>
      </c>
      <c r="U562" s="424">
        <f t="shared" si="980"/>
        <v>0.48</v>
      </c>
      <c r="V562" s="424">
        <f t="shared" si="980"/>
        <v>0</v>
      </c>
      <c r="W562" s="424">
        <f t="shared" si="980"/>
        <v>0</v>
      </c>
      <c r="X562" s="424">
        <f t="shared" si="980"/>
        <v>0</v>
      </c>
      <c r="Y562" s="424">
        <f t="shared" si="980"/>
        <v>1.76</v>
      </c>
      <c r="Z562" s="424">
        <f t="shared" si="980"/>
        <v>0</v>
      </c>
      <c r="AA562" s="424">
        <f t="shared" si="980"/>
        <v>0</v>
      </c>
      <c r="AB562" s="424">
        <f t="shared" si="980"/>
        <v>0</v>
      </c>
      <c r="AC562" s="424">
        <f t="shared" si="980"/>
        <v>0</v>
      </c>
      <c r="AD562" s="424">
        <f t="shared" si="980"/>
        <v>0</v>
      </c>
      <c r="AE562" s="424">
        <f t="shared" si="980"/>
        <v>0</v>
      </c>
      <c r="AF562" s="424">
        <f t="shared" si="980"/>
        <v>0</v>
      </c>
      <c r="AG562" s="424">
        <f t="shared" si="980"/>
        <v>0</v>
      </c>
      <c r="AH562" s="424">
        <f t="shared" si="980"/>
        <v>0</v>
      </c>
      <c r="AI562" s="424">
        <f t="shared" si="980"/>
        <v>0</v>
      </c>
      <c r="AJ562" s="424">
        <f t="shared" si="980"/>
        <v>0</v>
      </c>
      <c r="AK562" s="424">
        <f t="shared" si="980"/>
        <v>0</v>
      </c>
      <c r="AL562" s="424">
        <f t="shared" si="980"/>
        <v>0</v>
      </c>
      <c r="AM562" s="424">
        <f t="shared" si="980"/>
        <v>0</v>
      </c>
      <c r="AN562" s="424">
        <f t="shared" si="980"/>
        <v>0</v>
      </c>
      <c r="AO562" s="424">
        <f t="shared" si="980"/>
        <v>0</v>
      </c>
      <c r="AP562" s="424">
        <f t="shared" ref="AP562:BU562" si="981">AP192*AP$372</f>
        <v>0</v>
      </c>
      <c r="AQ562" s="424">
        <f t="shared" si="981"/>
        <v>0</v>
      </c>
      <c r="AR562" s="424">
        <f t="shared" si="981"/>
        <v>0</v>
      </c>
      <c r="AS562" s="424">
        <f t="shared" si="981"/>
        <v>0</v>
      </c>
      <c r="AT562" s="424">
        <f t="shared" si="981"/>
        <v>0</v>
      </c>
      <c r="AU562" s="424">
        <f t="shared" si="981"/>
        <v>0</v>
      </c>
      <c r="AV562" s="424">
        <f t="shared" si="981"/>
        <v>0</v>
      </c>
      <c r="AW562" s="424">
        <f t="shared" si="981"/>
        <v>0</v>
      </c>
      <c r="AX562" s="424">
        <f t="shared" si="981"/>
        <v>0</v>
      </c>
      <c r="AY562" s="424">
        <f t="shared" si="981"/>
        <v>0</v>
      </c>
      <c r="AZ562" s="424">
        <f t="shared" si="981"/>
        <v>0</v>
      </c>
      <c r="BA562" s="424">
        <f t="shared" si="981"/>
        <v>0</v>
      </c>
      <c r="BB562" s="424">
        <f t="shared" si="981"/>
        <v>0</v>
      </c>
      <c r="BC562" s="424">
        <f t="shared" si="981"/>
        <v>0</v>
      </c>
      <c r="BD562" s="424">
        <f t="shared" si="981"/>
        <v>0</v>
      </c>
      <c r="BE562" s="424">
        <f t="shared" si="981"/>
        <v>0</v>
      </c>
      <c r="BF562" s="424">
        <f t="shared" si="981"/>
        <v>0</v>
      </c>
      <c r="BG562" s="424">
        <f t="shared" si="981"/>
        <v>0</v>
      </c>
      <c r="BH562" s="424">
        <f t="shared" si="981"/>
        <v>0</v>
      </c>
      <c r="BI562" s="424">
        <f t="shared" si="981"/>
        <v>0</v>
      </c>
      <c r="BJ562" s="424">
        <f t="shared" si="981"/>
        <v>0</v>
      </c>
      <c r="BK562" s="424">
        <f t="shared" si="981"/>
        <v>0</v>
      </c>
      <c r="BL562" s="424">
        <f t="shared" si="981"/>
        <v>0</v>
      </c>
      <c r="BM562" s="424">
        <f t="shared" si="981"/>
        <v>0</v>
      </c>
      <c r="BN562" s="424">
        <f t="shared" si="981"/>
        <v>0</v>
      </c>
      <c r="BO562" s="424">
        <f t="shared" si="981"/>
        <v>0</v>
      </c>
      <c r="BP562" s="424">
        <f t="shared" si="981"/>
        <v>0</v>
      </c>
      <c r="BQ562" s="424">
        <f t="shared" si="981"/>
        <v>0</v>
      </c>
      <c r="BR562" s="424">
        <f t="shared" si="981"/>
        <v>0</v>
      </c>
      <c r="BS562" s="424">
        <f t="shared" si="981"/>
        <v>0.08</v>
      </c>
      <c r="BT562" s="424">
        <f t="shared" si="981"/>
        <v>0</v>
      </c>
      <c r="BU562" s="424">
        <f t="shared" si="981"/>
        <v>0</v>
      </c>
      <c r="BV562" s="424">
        <f t="shared" ref="BV562:DA562" si="982">BV192*BV$372</f>
        <v>0</v>
      </c>
      <c r="BW562" s="424">
        <f t="shared" si="982"/>
        <v>0</v>
      </c>
      <c r="BX562" s="424">
        <f t="shared" si="982"/>
        <v>0</v>
      </c>
      <c r="BY562" s="424">
        <f t="shared" si="982"/>
        <v>0</v>
      </c>
      <c r="BZ562" s="424">
        <f t="shared" si="982"/>
        <v>0</v>
      </c>
      <c r="CA562" s="424">
        <f t="shared" si="982"/>
        <v>0</v>
      </c>
      <c r="CB562" s="424">
        <f t="shared" si="982"/>
        <v>0</v>
      </c>
      <c r="CC562" s="424">
        <f t="shared" si="982"/>
        <v>0</v>
      </c>
      <c r="CD562" s="424">
        <f t="shared" si="982"/>
        <v>0</v>
      </c>
      <c r="CE562" s="424">
        <f t="shared" si="982"/>
        <v>0</v>
      </c>
      <c r="CF562" s="424">
        <f t="shared" si="982"/>
        <v>0.36</v>
      </c>
      <c r="CG562" s="424">
        <f t="shared" si="982"/>
        <v>0</v>
      </c>
      <c r="CH562" s="424">
        <f t="shared" si="982"/>
        <v>0</v>
      </c>
      <c r="CI562" s="424">
        <f t="shared" si="982"/>
        <v>0</v>
      </c>
      <c r="CJ562" s="424">
        <f t="shared" si="982"/>
        <v>0</v>
      </c>
      <c r="CK562" s="424">
        <f t="shared" si="982"/>
        <v>0</v>
      </c>
      <c r="CL562" s="424">
        <f t="shared" si="982"/>
        <v>0</v>
      </c>
      <c r="CM562" s="424">
        <f t="shared" si="982"/>
        <v>0</v>
      </c>
      <c r="CN562" s="424">
        <f t="shared" si="982"/>
        <v>0</v>
      </c>
      <c r="CO562" s="424">
        <f t="shared" si="982"/>
        <v>0</v>
      </c>
      <c r="CP562" s="424">
        <f t="shared" si="982"/>
        <v>0</v>
      </c>
      <c r="CQ562" s="424">
        <f t="shared" si="982"/>
        <v>0</v>
      </c>
      <c r="CR562" s="424">
        <f t="shared" si="982"/>
        <v>0</v>
      </c>
      <c r="CS562" s="424">
        <f t="shared" si="982"/>
        <v>0</v>
      </c>
      <c r="CT562" s="424">
        <f t="shared" si="982"/>
        <v>0</v>
      </c>
      <c r="CU562" s="424">
        <f t="shared" si="982"/>
        <v>0</v>
      </c>
      <c r="CV562" s="424">
        <f t="shared" si="982"/>
        <v>0</v>
      </c>
      <c r="CW562" s="424">
        <f t="shared" si="982"/>
        <v>0</v>
      </c>
      <c r="CX562" s="424">
        <f t="shared" si="982"/>
        <v>0</v>
      </c>
      <c r="CY562" s="424">
        <f t="shared" si="982"/>
        <v>0</v>
      </c>
      <c r="CZ562" s="424">
        <f t="shared" si="982"/>
        <v>0</v>
      </c>
      <c r="DA562" s="424">
        <f t="shared" si="982"/>
        <v>0</v>
      </c>
      <c r="DB562" s="424">
        <f t="shared" ref="DB562:EG562" si="983">DB192*DB$372</f>
        <v>0</v>
      </c>
      <c r="DC562" s="424">
        <f t="shared" si="983"/>
        <v>0.08</v>
      </c>
      <c r="DD562" s="424">
        <f t="shared" si="983"/>
        <v>0.59</v>
      </c>
      <c r="DE562" s="424">
        <f t="shared" si="983"/>
        <v>0</v>
      </c>
      <c r="DF562" s="424">
        <f t="shared" si="983"/>
        <v>0.69</v>
      </c>
      <c r="DG562" s="424">
        <f t="shared" si="983"/>
        <v>0</v>
      </c>
      <c r="DH562" s="424">
        <f t="shared" si="983"/>
        <v>0</v>
      </c>
      <c r="DI562" s="424">
        <f t="shared" si="983"/>
        <v>0</v>
      </c>
      <c r="DJ562" s="424">
        <f t="shared" si="983"/>
        <v>0</v>
      </c>
      <c r="DK562" s="424">
        <f t="shared" si="983"/>
        <v>0</v>
      </c>
      <c r="DL562" s="424">
        <f t="shared" si="983"/>
        <v>0</v>
      </c>
      <c r="DM562" s="424">
        <f t="shared" si="983"/>
        <v>0</v>
      </c>
      <c r="DN562" s="424">
        <f t="shared" si="983"/>
        <v>0</v>
      </c>
      <c r="DO562" s="424">
        <f t="shared" si="983"/>
        <v>0</v>
      </c>
      <c r="DP562" s="424">
        <f t="shared" si="983"/>
        <v>0</v>
      </c>
      <c r="DQ562" s="424">
        <f t="shared" si="983"/>
        <v>0</v>
      </c>
      <c r="DR562" s="424">
        <f t="shared" si="983"/>
        <v>0</v>
      </c>
      <c r="DS562" s="424">
        <f t="shared" si="983"/>
        <v>0</v>
      </c>
      <c r="DT562" s="424">
        <f t="shared" si="983"/>
        <v>0</v>
      </c>
      <c r="DU562" s="424">
        <f t="shared" si="983"/>
        <v>0</v>
      </c>
      <c r="DV562" s="424">
        <f t="shared" si="983"/>
        <v>0</v>
      </c>
      <c r="DW562" s="424">
        <f t="shared" si="983"/>
        <v>0</v>
      </c>
      <c r="DX562" s="424">
        <f t="shared" si="983"/>
        <v>0</v>
      </c>
      <c r="DY562" s="424">
        <f t="shared" si="983"/>
        <v>0</v>
      </c>
      <c r="DZ562" s="424">
        <f t="shared" si="983"/>
        <v>0</v>
      </c>
      <c r="EA562" s="424">
        <f t="shared" si="983"/>
        <v>0</v>
      </c>
      <c r="EB562" s="424">
        <f t="shared" si="983"/>
        <v>0</v>
      </c>
      <c r="EC562" s="424">
        <f t="shared" si="983"/>
        <v>0</v>
      </c>
      <c r="ED562" s="424">
        <f t="shared" si="983"/>
        <v>0</v>
      </c>
      <c r="EE562" s="424">
        <f t="shared" si="983"/>
        <v>0</v>
      </c>
      <c r="EF562" s="424">
        <f t="shared" si="983"/>
        <v>0</v>
      </c>
      <c r="EG562" s="424">
        <f t="shared" si="983"/>
        <v>0</v>
      </c>
      <c r="EH562" s="424">
        <f t="shared" ref="EH562:EX562" si="984">EH192*EH$372</f>
        <v>0</v>
      </c>
      <c r="EI562" s="424">
        <f t="shared" si="984"/>
        <v>0</v>
      </c>
      <c r="EJ562" s="424">
        <f t="shared" si="984"/>
        <v>0</v>
      </c>
      <c r="EK562" s="424">
        <f t="shared" si="984"/>
        <v>0</v>
      </c>
      <c r="EL562" s="424">
        <f t="shared" si="984"/>
        <v>0</v>
      </c>
      <c r="EM562" s="424">
        <f t="shared" si="984"/>
        <v>0</v>
      </c>
      <c r="EN562" s="424">
        <f t="shared" si="984"/>
        <v>0</v>
      </c>
      <c r="EO562" s="424">
        <f t="shared" si="984"/>
        <v>0</v>
      </c>
      <c r="EP562" s="424">
        <f t="shared" si="984"/>
        <v>0</v>
      </c>
      <c r="EQ562" s="424">
        <f t="shared" si="984"/>
        <v>0</v>
      </c>
      <c r="ER562" s="424">
        <f t="shared" si="984"/>
        <v>0</v>
      </c>
      <c r="ES562" s="424">
        <f t="shared" si="984"/>
        <v>0</v>
      </c>
      <c r="ET562" s="424">
        <f t="shared" si="984"/>
        <v>0</v>
      </c>
      <c r="EU562" s="424">
        <f t="shared" si="984"/>
        <v>0</v>
      </c>
      <c r="EV562" s="424">
        <f t="shared" si="984"/>
        <v>0.59</v>
      </c>
      <c r="EW562" s="424">
        <f t="shared" si="984"/>
        <v>0</v>
      </c>
      <c r="EX562" s="424">
        <f t="shared" si="984"/>
        <v>0</v>
      </c>
      <c r="EY562" s="425">
        <f t="shared" si="699"/>
        <v>32.630000000000003</v>
      </c>
      <c r="EZ562" s="616"/>
      <c r="FA562" s="616"/>
      <c r="FB562" s="616"/>
      <c r="FC562" s="616"/>
      <c r="FD562" s="616"/>
      <c r="FE562" s="616"/>
      <c r="FF562" s="616"/>
      <c r="FG562" s="616"/>
      <c r="FH562" s="616"/>
      <c r="FI562" s="616"/>
      <c r="FJ562" s="616"/>
    </row>
    <row r="563" spans="1:166" s="930" customFormat="1" ht="14.7" customHeight="1" x14ac:dyDescent="0.25">
      <c r="A563" s="310">
        <v>189</v>
      </c>
      <c r="B563" s="311" t="str">
        <f t="shared" si="680"/>
        <v>Шницель (биточки, котлеты) из говядины</v>
      </c>
      <c r="C563" s="483">
        <f t="shared" si="688"/>
        <v>48.09</v>
      </c>
      <c r="D563" s="888"/>
      <c r="E563" s="888"/>
      <c r="F563" s="888"/>
      <c r="G563" s="889"/>
      <c r="H563" s="680">
        <f t="shared" si="681"/>
        <v>268</v>
      </c>
      <c r="I563" s="1209">
        <f t="shared" si="682"/>
        <v>0</v>
      </c>
      <c r="J563" s="424">
        <f t="shared" ref="J563:AO563" si="985">J193*J$372</f>
        <v>44.8</v>
      </c>
      <c r="K563" s="424">
        <f t="shared" si="985"/>
        <v>0</v>
      </c>
      <c r="L563" s="424">
        <f t="shared" si="985"/>
        <v>0</v>
      </c>
      <c r="M563" s="424">
        <f t="shared" si="985"/>
        <v>0</v>
      </c>
      <c r="N563" s="424">
        <f t="shared" si="985"/>
        <v>0</v>
      </c>
      <c r="O563" s="424">
        <f t="shared" si="985"/>
        <v>0</v>
      </c>
      <c r="P563" s="424">
        <f t="shared" si="985"/>
        <v>0</v>
      </c>
      <c r="Q563" s="424">
        <f t="shared" si="985"/>
        <v>0</v>
      </c>
      <c r="R563" s="424">
        <f t="shared" si="985"/>
        <v>0</v>
      </c>
      <c r="S563" s="424">
        <f t="shared" si="985"/>
        <v>0</v>
      </c>
      <c r="T563" s="424">
        <f t="shared" si="985"/>
        <v>0</v>
      </c>
      <c r="U563" s="424">
        <f t="shared" si="985"/>
        <v>0.72</v>
      </c>
      <c r="V563" s="424">
        <f t="shared" si="985"/>
        <v>0</v>
      </c>
      <c r="W563" s="424">
        <f t="shared" si="985"/>
        <v>0</v>
      </c>
      <c r="X563" s="424">
        <f t="shared" si="985"/>
        <v>0</v>
      </c>
      <c r="Y563" s="424">
        <f t="shared" si="985"/>
        <v>0</v>
      </c>
      <c r="Z563" s="424">
        <f t="shared" si="985"/>
        <v>0</v>
      </c>
      <c r="AA563" s="424">
        <f t="shared" si="985"/>
        <v>0</v>
      </c>
      <c r="AB563" s="424">
        <f t="shared" si="985"/>
        <v>0</v>
      </c>
      <c r="AC563" s="424">
        <f t="shared" si="985"/>
        <v>0</v>
      </c>
      <c r="AD563" s="424">
        <f t="shared" si="985"/>
        <v>0</v>
      </c>
      <c r="AE563" s="424">
        <f t="shared" si="985"/>
        <v>0</v>
      </c>
      <c r="AF563" s="424">
        <f t="shared" si="985"/>
        <v>0</v>
      </c>
      <c r="AG563" s="424">
        <f t="shared" si="985"/>
        <v>0</v>
      </c>
      <c r="AH563" s="424">
        <f t="shared" si="985"/>
        <v>0</v>
      </c>
      <c r="AI563" s="424">
        <f t="shared" si="985"/>
        <v>0</v>
      </c>
      <c r="AJ563" s="424">
        <f t="shared" si="985"/>
        <v>0</v>
      </c>
      <c r="AK563" s="424">
        <f t="shared" si="985"/>
        <v>0</v>
      </c>
      <c r="AL563" s="424">
        <f t="shared" si="985"/>
        <v>0</v>
      </c>
      <c r="AM563" s="424">
        <f t="shared" si="985"/>
        <v>0</v>
      </c>
      <c r="AN563" s="424">
        <f t="shared" si="985"/>
        <v>0</v>
      </c>
      <c r="AO563" s="424">
        <f t="shared" si="985"/>
        <v>0</v>
      </c>
      <c r="AP563" s="424">
        <f t="shared" ref="AP563:BU563" si="986">AP193*AP$372</f>
        <v>0</v>
      </c>
      <c r="AQ563" s="424">
        <f t="shared" si="986"/>
        <v>0</v>
      </c>
      <c r="AR563" s="424">
        <f t="shared" si="986"/>
        <v>0</v>
      </c>
      <c r="AS563" s="424">
        <f t="shared" si="986"/>
        <v>0</v>
      </c>
      <c r="AT563" s="424">
        <f t="shared" si="986"/>
        <v>0</v>
      </c>
      <c r="AU563" s="424">
        <f t="shared" si="986"/>
        <v>0</v>
      </c>
      <c r="AV563" s="424">
        <f t="shared" si="986"/>
        <v>0</v>
      </c>
      <c r="AW563" s="424">
        <f t="shared" si="986"/>
        <v>0</v>
      </c>
      <c r="AX563" s="424">
        <f t="shared" si="986"/>
        <v>0</v>
      </c>
      <c r="AY563" s="424">
        <f t="shared" si="986"/>
        <v>0</v>
      </c>
      <c r="AZ563" s="424">
        <f t="shared" si="986"/>
        <v>0</v>
      </c>
      <c r="BA563" s="424">
        <f t="shared" si="986"/>
        <v>0</v>
      </c>
      <c r="BB563" s="424">
        <f t="shared" si="986"/>
        <v>0</v>
      </c>
      <c r="BC563" s="424">
        <f t="shared" si="986"/>
        <v>0</v>
      </c>
      <c r="BD563" s="424">
        <f t="shared" si="986"/>
        <v>0</v>
      </c>
      <c r="BE563" s="424">
        <f t="shared" si="986"/>
        <v>0</v>
      </c>
      <c r="BF563" s="424">
        <f t="shared" si="986"/>
        <v>0</v>
      </c>
      <c r="BG563" s="424">
        <f t="shared" si="986"/>
        <v>0</v>
      </c>
      <c r="BH563" s="424">
        <f t="shared" si="986"/>
        <v>0</v>
      </c>
      <c r="BI563" s="424">
        <f t="shared" si="986"/>
        <v>0</v>
      </c>
      <c r="BJ563" s="424">
        <f t="shared" si="986"/>
        <v>0</v>
      </c>
      <c r="BK563" s="424">
        <f t="shared" si="986"/>
        <v>0</v>
      </c>
      <c r="BL563" s="424">
        <f t="shared" si="986"/>
        <v>0</v>
      </c>
      <c r="BM563" s="424">
        <f t="shared" si="986"/>
        <v>0</v>
      </c>
      <c r="BN563" s="424">
        <f t="shared" si="986"/>
        <v>0</v>
      </c>
      <c r="BO563" s="424">
        <f t="shared" si="986"/>
        <v>0</v>
      </c>
      <c r="BP563" s="424">
        <f t="shared" si="986"/>
        <v>0</v>
      </c>
      <c r="BQ563" s="424">
        <f t="shared" si="986"/>
        <v>0</v>
      </c>
      <c r="BR563" s="424">
        <f t="shared" si="986"/>
        <v>0</v>
      </c>
      <c r="BS563" s="424">
        <f t="shared" si="986"/>
        <v>0</v>
      </c>
      <c r="BT563" s="424">
        <f t="shared" si="986"/>
        <v>0</v>
      </c>
      <c r="BU563" s="424">
        <f t="shared" si="986"/>
        <v>0</v>
      </c>
      <c r="BV563" s="424">
        <f t="shared" ref="BV563:DA563" si="987">BV193*BV$372</f>
        <v>0</v>
      </c>
      <c r="BW563" s="424">
        <f t="shared" si="987"/>
        <v>0</v>
      </c>
      <c r="BX563" s="424">
        <f t="shared" si="987"/>
        <v>0</v>
      </c>
      <c r="BY563" s="424">
        <f t="shared" si="987"/>
        <v>0</v>
      </c>
      <c r="BZ563" s="424">
        <f t="shared" si="987"/>
        <v>0</v>
      </c>
      <c r="CA563" s="424">
        <f t="shared" si="987"/>
        <v>0</v>
      </c>
      <c r="CB563" s="424">
        <f t="shared" si="987"/>
        <v>0</v>
      </c>
      <c r="CC563" s="424">
        <f t="shared" si="987"/>
        <v>0</v>
      </c>
      <c r="CD563" s="424">
        <f t="shared" si="987"/>
        <v>0</v>
      </c>
      <c r="CE563" s="424">
        <f t="shared" si="987"/>
        <v>0</v>
      </c>
      <c r="CF563" s="424">
        <f t="shared" si="987"/>
        <v>0.6</v>
      </c>
      <c r="CG563" s="424">
        <f t="shared" si="987"/>
        <v>0</v>
      </c>
      <c r="CH563" s="424">
        <f t="shared" si="987"/>
        <v>0</v>
      </c>
      <c r="CI563" s="424">
        <f t="shared" si="987"/>
        <v>0</v>
      </c>
      <c r="CJ563" s="424">
        <f t="shared" si="987"/>
        <v>0</v>
      </c>
      <c r="CK563" s="424">
        <f t="shared" si="987"/>
        <v>0</v>
      </c>
      <c r="CL563" s="424">
        <f t="shared" si="987"/>
        <v>0</v>
      </c>
      <c r="CM563" s="424">
        <f t="shared" si="987"/>
        <v>0</v>
      </c>
      <c r="CN563" s="424">
        <f t="shared" si="987"/>
        <v>0</v>
      </c>
      <c r="CO563" s="424">
        <f t="shared" si="987"/>
        <v>0</v>
      </c>
      <c r="CP563" s="424">
        <f t="shared" si="987"/>
        <v>0</v>
      </c>
      <c r="CQ563" s="424">
        <f t="shared" si="987"/>
        <v>0</v>
      </c>
      <c r="CR563" s="424">
        <f t="shared" si="987"/>
        <v>0</v>
      </c>
      <c r="CS563" s="424">
        <f t="shared" si="987"/>
        <v>0</v>
      </c>
      <c r="CT563" s="424">
        <f t="shared" si="987"/>
        <v>0</v>
      </c>
      <c r="CU563" s="424">
        <f t="shared" si="987"/>
        <v>0</v>
      </c>
      <c r="CV563" s="424">
        <f t="shared" si="987"/>
        <v>0</v>
      </c>
      <c r="CW563" s="424">
        <f t="shared" si="987"/>
        <v>0</v>
      </c>
      <c r="CX563" s="424">
        <f t="shared" si="987"/>
        <v>0</v>
      </c>
      <c r="CY563" s="424">
        <f t="shared" si="987"/>
        <v>0</v>
      </c>
      <c r="CZ563" s="424">
        <f t="shared" si="987"/>
        <v>0</v>
      </c>
      <c r="DA563" s="424">
        <f t="shared" si="987"/>
        <v>0</v>
      </c>
      <c r="DB563" s="424">
        <f t="shared" ref="DB563:EG563" si="988">DB193*DB$372</f>
        <v>0</v>
      </c>
      <c r="DC563" s="424">
        <f t="shared" si="988"/>
        <v>0.12</v>
      </c>
      <c r="DD563" s="424">
        <f t="shared" si="988"/>
        <v>0.94</v>
      </c>
      <c r="DE563" s="424">
        <f t="shared" si="988"/>
        <v>0</v>
      </c>
      <c r="DF563" s="424">
        <f t="shared" si="988"/>
        <v>0</v>
      </c>
      <c r="DG563" s="424">
        <f t="shared" si="988"/>
        <v>0</v>
      </c>
      <c r="DH563" s="424">
        <f t="shared" si="988"/>
        <v>0</v>
      </c>
      <c r="DI563" s="424">
        <f t="shared" si="988"/>
        <v>0</v>
      </c>
      <c r="DJ563" s="424">
        <f t="shared" si="988"/>
        <v>0</v>
      </c>
      <c r="DK563" s="424">
        <f t="shared" si="988"/>
        <v>0</v>
      </c>
      <c r="DL563" s="424">
        <f t="shared" si="988"/>
        <v>0</v>
      </c>
      <c r="DM563" s="424">
        <f t="shared" si="988"/>
        <v>0</v>
      </c>
      <c r="DN563" s="424">
        <f t="shared" si="988"/>
        <v>0</v>
      </c>
      <c r="DO563" s="424">
        <f t="shared" si="988"/>
        <v>0</v>
      </c>
      <c r="DP563" s="424">
        <f t="shared" si="988"/>
        <v>0</v>
      </c>
      <c r="DQ563" s="424">
        <f t="shared" si="988"/>
        <v>0</v>
      </c>
      <c r="DR563" s="424">
        <f t="shared" si="988"/>
        <v>0</v>
      </c>
      <c r="DS563" s="424">
        <f t="shared" si="988"/>
        <v>0</v>
      </c>
      <c r="DT563" s="424">
        <f t="shared" si="988"/>
        <v>0</v>
      </c>
      <c r="DU563" s="424">
        <f t="shared" si="988"/>
        <v>0</v>
      </c>
      <c r="DV563" s="424">
        <f t="shared" si="988"/>
        <v>0</v>
      </c>
      <c r="DW563" s="424">
        <f t="shared" si="988"/>
        <v>0</v>
      </c>
      <c r="DX563" s="424">
        <f t="shared" si="988"/>
        <v>0</v>
      </c>
      <c r="DY563" s="424">
        <f t="shared" si="988"/>
        <v>0</v>
      </c>
      <c r="DZ563" s="424">
        <f t="shared" si="988"/>
        <v>0</v>
      </c>
      <c r="EA563" s="424">
        <f t="shared" si="988"/>
        <v>0</v>
      </c>
      <c r="EB563" s="424">
        <f t="shared" si="988"/>
        <v>0</v>
      </c>
      <c r="EC563" s="424">
        <f t="shared" si="988"/>
        <v>0</v>
      </c>
      <c r="ED563" s="424">
        <f t="shared" si="988"/>
        <v>0</v>
      </c>
      <c r="EE563" s="424">
        <f t="shared" si="988"/>
        <v>0</v>
      </c>
      <c r="EF563" s="424">
        <f t="shared" si="988"/>
        <v>0</v>
      </c>
      <c r="EG563" s="424">
        <f t="shared" si="988"/>
        <v>0</v>
      </c>
      <c r="EH563" s="424">
        <f t="shared" ref="EH563:EX563" si="989">EH193*EH$372</f>
        <v>0</v>
      </c>
      <c r="EI563" s="424">
        <f t="shared" si="989"/>
        <v>0</v>
      </c>
      <c r="EJ563" s="424">
        <f t="shared" si="989"/>
        <v>0</v>
      </c>
      <c r="EK563" s="424">
        <f t="shared" si="989"/>
        <v>0</v>
      </c>
      <c r="EL563" s="424">
        <f t="shared" si="989"/>
        <v>0</v>
      </c>
      <c r="EM563" s="424">
        <f t="shared" si="989"/>
        <v>0</v>
      </c>
      <c r="EN563" s="424">
        <f t="shared" si="989"/>
        <v>0</v>
      </c>
      <c r="EO563" s="424">
        <f t="shared" si="989"/>
        <v>0</v>
      </c>
      <c r="EP563" s="424">
        <f t="shared" si="989"/>
        <v>0</v>
      </c>
      <c r="EQ563" s="424">
        <f t="shared" si="989"/>
        <v>0</v>
      </c>
      <c r="ER563" s="424">
        <f t="shared" si="989"/>
        <v>0</v>
      </c>
      <c r="ES563" s="424">
        <f t="shared" si="989"/>
        <v>0</v>
      </c>
      <c r="ET563" s="424">
        <f t="shared" si="989"/>
        <v>0</v>
      </c>
      <c r="EU563" s="424">
        <f t="shared" si="989"/>
        <v>0</v>
      </c>
      <c r="EV563" s="424">
        <f t="shared" si="989"/>
        <v>0.91</v>
      </c>
      <c r="EW563" s="424">
        <f t="shared" si="989"/>
        <v>0</v>
      </c>
      <c r="EX563" s="424">
        <f t="shared" si="989"/>
        <v>0</v>
      </c>
      <c r="EY563" s="425">
        <f t="shared" si="699"/>
        <v>48.09</v>
      </c>
      <c r="EZ563" s="616"/>
      <c r="FA563" s="616"/>
      <c r="FB563" s="616"/>
      <c r="FC563" s="616"/>
      <c r="FD563" s="616"/>
      <c r="FE563" s="616"/>
      <c r="FF563" s="616"/>
      <c r="FG563" s="616"/>
      <c r="FH563" s="616"/>
      <c r="FI563" s="616"/>
      <c r="FJ563" s="616"/>
    </row>
    <row r="564" spans="1:166" s="506" customFormat="1" ht="14.7" customHeight="1" x14ac:dyDescent="0.25">
      <c r="A564" s="310">
        <v>190</v>
      </c>
      <c r="B564" s="311" t="str">
        <f t="shared" si="680"/>
        <v>Котлеты домашние со сметанным соусом и томатом (2 шт)</v>
      </c>
      <c r="C564" s="483">
        <f t="shared" si="688"/>
        <v>47.33</v>
      </c>
      <c r="D564" s="888"/>
      <c r="E564" s="888"/>
      <c r="F564" s="888"/>
      <c r="G564" s="889"/>
      <c r="H564" s="680">
        <f t="shared" si="681"/>
        <v>271</v>
      </c>
      <c r="I564" s="1209">
        <f t="shared" si="682"/>
        <v>0</v>
      </c>
      <c r="J564" s="424">
        <f t="shared" ref="J564:AO564" si="990">J194*J$372</f>
        <v>40.32</v>
      </c>
      <c r="K564" s="424">
        <f t="shared" si="990"/>
        <v>0</v>
      </c>
      <c r="L564" s="424">
        <f t="shared" si="990"/>
        <v>0</v>
      </c>
      <c r="M564" s="424">
        <f t="shared" si="990"/>
        <v>0</v>
      </c>
      <c r="N564" s="424">
        <f t="shared" si="990"/>
        <v>0</v>
      </c>
      <c r="O564" s="424">
        <f t="shared" si="990"/>
        <v>0</v>
      </c>
      <c r="P564" s="424">
        <f t="shared" si="990"/>
        <v>0.2</v>
      </c>
      <c r="Q564" s="424">
        <f t="shared" si="990"/>
        <v>0</v>
      </c>
      <c r="R564" s="424">
        <f t="shared" si="990"/>
        <v>0</v>
      </c>
      <c r="S564" s="424">
        <f t="shared" si="990"/>
        <v>0</v>
      </c>
      <c r="T564" s="424">
        <f t="shared" si="990"/>
        <v>0</v>
      </c>
      <c r="U564" s="424">
        <f t="shared" si="990"/>
        <v>0</v>
      </c>
      <c r="V564" s="424">
        <f t="shared" si="990"/>
        <v>0</v>
      </c>
      <c r="W564" s="424">
        <f t="shared" si="990"/>
        <v>0</v>
      </c>
      <c r="X564" s="424">
        <f t="shared" si="990"/>
        <v>0</v>
      </c>
      <c r="Y564" s="424">
        <f t="shared" si="990"/>
        <v>2.34</v>
      </c>
      <c r="Z564" s="424">
        <f t="shared" si="990"/>
        <v>0</v>
      </c>
      <c r="AA564" s="424">
        <f t="shared" si="990"/>
        <v>0</v>
      </c>
      <c r="AB564" s="424">
        <f t="shared" si="990"/>
        <v>0</v>
      </c>
      <c r="AC564" s="424">
        <f t="shared" si="990"/>
        <v>0</v>
      </c>
      <c r="AD564" s="424">
        <f t="shared" si="990"/>
        <v>0</v>
      </c>
      <c r="AE564" s="424">
        <f t="shared" si="990"/>
        <v>0.17</v>
      </c>
      <c r="AF564" s="424">
        <f t="shared" si="990"/>
        <v>0</v>
      </c>
      <c r="AG564" s="424">
        <f t="shared" si="990"/>
        <v>0</v>
      </c>
      <c r="AH564" s="424">
        <f t="shared" si="990"/>
        <v>0</v>
      </c>
      <c r="AI564" s="424">
        <f t="shared" si="990"/>
        <v>0</v>
      </c>
      <c r="AJ564" s="424">
        <f t="shared" si="990"/>
        <v>0</v>
      </c>
      <c r="AK564" s="424">
        <f t="shared" si="990"/>
        <v>0.12</v>
      </c>
      <c r="AL564" s="424">
        <f t="shared" si="990"/>
        <v>0</v>
      </c>
      <c r="AM564" s="424">
        <f t="shared" si="990"/>
        <v>0</v>
      </c>
      <c r="AN564" s="424">
        <f t="shared" si="990"/>
        <v>0</v>
      </c>
      <c r="AO564" s="424">
        <f t="shared" si="990"/>
        <v>0</v>
      </c>
      <c r="AP564" s="424">
        <f t="shared" ref="AP564:BU564" si="991">AP194*AP$372</f>
        <v>0</v>
      </c>
      <c r="AQ564" s="424">
        <f t="shared" si="991"/>
        <v>0</v>
      </c>
      <c r="AR564" s="424">
        <f t="shared" si="991"/>
        <v>0</v>
      </c>
      <c r="AS564" s="424">
        <f t="shared" si="991"/>
        <v>0</v>
      </c>
      <c r="AT564" s="424">
        <f t="shared" si="991"/>
        <v>0</v>
      </c>
      <c r="AU564" s="424">
        <f t="shared" si="991"/>
        <v>1.2</v>
      </c>
      <c r="AV564" s="424">
        <f t="shared" si="991"/>
        <v>0</v>
      </c>
      <c r="AW564" s="424">
        <f t="shared" si="991"/>
        <v>0</v>
      </c>
      <c r="AX564" s="424">
        <f t="shared" si="991"/>
        <v>0</v>
      </c>
      <c r="AY564" s="424">
        <f t="shared" si="991"/>
        <v>0</v>
      </c>
      <c r="AZ564" s="424">
        <f t="shared" si="991"/>
        <v>0</v>
      </c>
      <c r="BA564" s="424">
        <f t="shared" si="991"/>
        <v>0</v>
      </c>
      <c r="BB564" s="424">
        <f t="shared" si="991"/>
        <v>0</v>
      </c>
      <c r="BC564" s="424">
        <f t="shared" si="991"/>
        <v>0</v>
      </c>
      <c r="BD564" s="424">
        <f t="shared" si="991"/>
        <v>0</v>
      </c>
      <c r="BE564" s="424">
        <f t="shared" si="991"/>
        <v>0</v>
      </c>
      <c r="BF564" s="424">
        <f t="shared" si="991"/>
        <v>0</v>
      </c>
      <c r="BG564" s="424">
        <f t="shared" si="991"/>
        <v>0</v>
      </c>
      <c r="BH564" s="424">
        <f t="shared" si="991"/>
        <v>0</v>
      </c>
      <c r="BI564" s="424">
        <f t="shared" si="991"/>
        <v>0</v>
      </c>
      <c r="BJ564" s="424">
        <f t="shared" si="991"/>
        <v>0</v>
      </c>
      <c r="BK564" s="424">
        <f t="shared" si="991"/>
        <v>0</v>
      </c>
      <c r="BL564" s="424">
        <f t="shared" si="991"/>
        <v>0</v>
      </c>
      <c r="BM564" s="424">
        <f t="shared" si="991"/>
        <v>0</v>
      </c>
      <c r="BN564" s="424">
        <f t="shared" si="991"/>
        <v>0</v>
      </c>
      <c r="BO564" s="424">
        <f t="shared" si="991"/>
        <v>0</v>
      </c>
      <c r="BP564" s="424">
        <f t="shared" si="991"/>
        <v>0</v>
      </c>
      <c r="BQ564" s="424">
        <f t="shared" si="991"/>
        <v>0</v>
      </c>
      <c r="BR564" s="424">
        <f t="shared" si="991"/>
        <v>0</v>
      </c>
      <c r="BS564" s="424">
        <f t="shared" si="991"/>
        <v>0.11</v>
      </c>
      <c r="BT564" s="424">
        <f t="shared" si="991"/>
        <v>0</v>
      </c>
      <c r="BU564" s="424">
        <f t="shared" si="991"/>
        <v>0</v>
      </c>
      <c r="BV564" s="424">
        <f t="shared" ref="BV564:DA564" si="992">BV194*BV$372</f>
        <v>0</v>
      </c>
      <c r="BW564" s="424">
        <f t="shared" si="992"/>
        <v>0</v>
      </c>
      <c r="BX564" s="424">
        <f t="shared" si="992"/>
        <v>0</v>
      </c>
      <c r="BY564" s="424">
        <f t="shared" si="992"/>
        <v>0</v>
      </c>
      <c r="BZ564" s="424">
        <f t="shared" si="992"/>
        <v>0</v>
      </c>
      <c r="CA564" s="424">
        <f t="shared" si="992"/>
        <v>0</v>
      </c>
      <c r="CB564" s="424">
        <f t="shared" si="992"/>
        <v>0</v>
      </c>
      <c r="CC564" s="424">
        <f t="shared" si="992"/>
        <v>0</v>
      </c>
      <c r="CD564" s="424">
        <f t="shared" si="992"/>
        <v>0</v>
      </c>
      <c r="CE564" s="424">
        <f t="shared" si="992"/>
        <v>0</v>
      </c>
      <c r="CF564" s="424">
        <f t="shared" si="992"/>
        <v>0.48</v>
      </c>
      <c r="CG564" s="424">
        <f t="shared" si="992"/>
        <v>0</v>
      </c>
      <c r="CH564" s="424">
        <f t="shared" si="992"/>
        <v>0</v>
      </c>
      <c r="CI564" s="424">
        <f t="shared" si="992"/>
        <v>0</v>
      </c>
      <c r="CJ564" s="424">
        <f t="shared" si="992"/>
        <v>0</v>
      </c>
      <c r="CK564" s="424">
        <f t="shared" si="992"/>
        <v>0</v>
      </c>
      <c r="CL564" s="424">
        <f t="shared" si="992"/>
        <v>0</v>
      </c>
      <c r="CM564" s="424">
        <f t="shared" si="992"/>
        <v>0</v>
      </c>
      <c r="CN564" s="424">
        <f t="shared" si="992"/>
        <v>0</v>
      </c>
      <c r="CO564" s="424">
        <f t="shared" si="992"/>
        <v>0</v>
      </c>
      <c r="CP564" s="424">
        <f t="shared" si="992"/>
        <v>0</v>
      </c>
      <c r="CQ564" s="424">
        <f t="shared" si="992"/>
        <v>0</v>
      </c>
      <c r="CR564" s="424">
        <f t="shared" si="992"/>
        <v>0</v>
      </c>
      <c r="CS564" s="424">
        <f t="shared" si="992"/>
        <v>0</v>
      </c>
      <c r="CT564" s="424">
        <f t="shared" si="992"/>
        <v>0</v>
      </c>
      <c r="CU564" s="424">
        <f t="shared" si="992"/>
        <v>0</v>
      </c>
      <c r="CV564" s="424">
        <f t="shared" si="992"/>
        <v>0</v>
      </c>
      <c r="CW564" s="424">
        <f t="shared" si="992"/>
        <v>0</v>
      </c>
      <c r="CX564" s="424">
        <f t="shared" si="992"/>
        <v>0</v>
      </c>
      <c r="CY564" s="424">
        <f t="shared" si="992"/>
        <v>0</v>
      </c>
      <c r="CZ564" s="424">
        <f t="shared" si="992"/>
        <v>0</v>
      </c>
      <c r="DA564" s="424">
        <f t="shared" si="992"/>
        <v>0</v>
      </c>
      <c r="DB564" s="424">
        <f t="shared" ref="DB564:EG564" si="993">DB194*DB$372</f>
        <v>0</v>
      </c>
      <c r="DC564" s="424">
        <f t="shared" si="993"/>
        <v>0.15</v>
      </c>
      <c r="DD564" s="424">
        <f t="shared" si="993"/>
        <v>0.47</v>
      </c>
      <c r="DE564" s="424">
        <f t="shared" si="993"/>
        <v>0</v>
      </c>
      <c r="DF564" s="424">
        <f t="shared" si="993"/>
        <v>0.92</v>
      </c>
      <c r="DG564" s="424">
        <f t="shared" si="993"/>
        <v>0</v>
      </c>
      <c r="DH564" s="424">
        <f t="shared" si="993"/>
        <v>0</v>
      </c>
      <c r="DI564" s="424">
        <f t="shared" si="993"/>
        <v>0</v>
      </c>
      <c r="DJ564" s="424">
        <f t="shared" si="993"/>
        <v>0</v>
      </c>
      <c r="DK564" s="424">
        <f t="shared" si="993"/>
        <v>0</v>
      </c>
      <c r="DL564" s="424">
        <f t="shared" si="993"/>
        <v>0</v>
      </c>
      <c r="DM564" s="424">
        <f t="shared" si="993"/>
        <v>0</v>
      </c>
      <c r="DN564" s="424">
        <f t="shared" si="993"/>
        <v>0</v>
      </c>
      <c r="DO564" s="424">
        <f t="shared" si="993"/>
        <v>0</v>
      </c>
      <c r="DP564" s="424">
        <f t="shared" si="993"/>
        <v>0</v>
      </c>
      <c r="DQ564" s="424">
        <f t="shared" si="993"/>
        <v>0</v>
      </c>
      <c r="DR564" s="424">
        <f t="shared" si="993"/>
        <v>0</v>
      </c>
      <c r="DS564" s="424">
        <f t="shared" si="993"/>
        <v>0</v>
      </c>
      <c r="DT564" s="424">
        <f t="shared" si="993"/>
        <v>0</v>
      </c>
      <c r="DU564" s="424">
        <f t="shared" si="993"/>
        <v>0</v>
      </c>
      <c r="DV564" s="424">
        <f t="shared" si="993"/>
        <v>0</v>
      </c>
      <c r="DW564" s="424">
        <f t="shared" si="993"/>
        <v>0</v>
      </c>
      <c r="DX564" s="424">
        <f t="shared" si="993"/>
        <v>0</v>
      </c>
      <c r="DY564" s="424">
        <f t="shared" si="993"/>
        <v>0</v>
      </c>
      <c r="DZ564" s="424">
        <f t="shared" si="993"/>
        <v>0</v>
      </c>
      <c r="EA564" s="424">
        <f t="shared" si="993"/>
        <v>0</v>
      </c>
      <c r="EB564" s="424">
        <f t="shared" si="993"/>
        <v>0</v>
      </c>
      <c r="EC564" s="424">
        <f t="shared" si="993"/>
        <v>0</v>
      </c>
      <c r="ED564" s="424">
        <f t="shared" si="993"/>
        <v>0</v>
      </c>
      <c r="EE564" s="424">
        <f t="shared" si="993"/>
        <v>0</v>
      </c>
      <c r="EF564" s="424">
        <f t="shared" si="993"/>
        <v>0</v>
      </c>
      <c r="EG564" s="424">
        <f t="shared" si="993"/>
        <v>0</v>
      </c>
      <c r="EH564" s="424">
        <f t="shared" ref="EH564:EX564" si="994">EH194*EH$372</f>
        <v>0</v>
      </c>
      <c r="EI564" s="424">
        <f t="shared" si="994"/>
        <v>0</v>
      </c>
      <c r="EJ564" s="424">
        <f t="shared" si="994"/>
        <v>0</v>
      </c>
      <c r="EK564" s="424">
        <f t="shared" si="994"/>
        <v>0</v>
      </c>
      <c r="EL564" s="424">
        <f t="shared" si="994"/>
        <v>0</v>
      </c>
      <c r="EM564" s="424">
        <f t="shared" si="994"/>
        <v>0</v>
      </c>
      <c r="EN564" s="424">
        <f t="shared" si="994"/>
        <v>0</v>
      </c>
      <c r="EO564" s="424">
        <f t="shared" si="994"/>
        <v>0</v>
      </c>
      <c r="EP564" s="424">
        <f t="shared" si="994"/>
        <v>0</v>
      </c>
      <c r="EQ564" s="424">
        <f t="shared" si="994"/>
        <v>0</v>
      </c>
      <c r="ER564" s="424">
        <f t="shared" si="994"/>
        <v>0</v>
      </c>
      <c r="ES564" s="424">
        <f t="shared" si="994"/>
        <v>0</v>
      </c>
      <c r="ET564" s="424">
        <f t="shared" si="994"/>
        <v>0</v>
      </c>
      <c r="EU564" s="424">
        <f t="shared" si="994"/>
        <v>0</v>
      </c>
      <c r="EV564" s="424">
        <f t="shared" si="994"/>
        <v>0.85</v>
      </c>
      <c r="EW564" s="424">
        <f t="shared" si="994"/>
        <v>0</v>
      </c>
      <c r="EX564" s="424">
        <f t="shared" si="994"/>
        <v>0</v>
      </c>
      <c r="EY564" s="425">
        <f t="shared" si="699"/>
        <v>47.33</v>
      </c>
      <c r="EZ564" s="616"/>
      <c r="FA564" s="616"/>
      <c r="FB564" s="616"/>
      <c r="FC564" s="616"/>
      <c r="FD564" s="616"/>
      <c r="FE564" s="616"/>
      <c r="FF564" s="616"/>
      <c r="FG564" s="616"/>
      <c r="FH564" s="616"/>
      <c r="FI564" s="616"/>
      <c r="FJ564" s="616"/>
    </row>
    <row r="565" spans="1:166" s="506" customFormat="1" ht="14.7" customHeight="1" x14ac:dyDescent="0.25">
      <c r="A565" s="310">
        <v>191</v>
      </c>
      <c r="B565" s="311" t="str">
        <f t="shared" si="680"/>
        <v>Котлеты рубленые, запеченные с молочным соусом</v>
      </c>
      <c r="C565" s="483">
        <f t="shared" si="688"/>
        <v>42.9</v>
      </c>
      <c r="D565" s="888"/>
      <c r="E565" s="888"/>
      <c r="F565" s="888"/>
      <c r="G565" s="889"/>
      <c r="H565" s="680">
        <f t="shared" si="681"/>
        <v>273</v>
      </c>
      <c r="I565" s="1209">
        <f t="shared" si="682"/>
        <v>0</v>
      </c>
      <c r="J565" s="424">
        <f t="shared" ref="J565:AO565" si="995">J195*J$372</f>
        <v>28</v>
      </c>
      <c r="K565" s="424">
        <f t="shared" si="995"/>
        <v>0</v>
      </c>
      <c r="L565" s="424">
        <f t="shared" si="995"/>
        <v>0</v>
      </c>
      <c r="M565" s="424">
        <f t="shared" si="995"/>
        <v>0</v>
      </c>
      <c r="N565" s="424">
        <f t="shared" si="995"/>
        <v>0</v>
      </c>
      <c r="O565" s="424">
        <f t="shared" si="995"/>
        <v>0</v>
      </c>
      <c r="P565" s="424">
        <f t="shared" si="995"/>
        <v>0</v>
      </c>
      <c r="Q565" s="424">
        <f t="shared" si="995"/>
        <v>0</v>
      </c>
      <c r="R565" s="424">
        <f t="shared" si="995"/>
        <v>0</v>
      </c>
      <c r="S565" s="424">
        <f t="shared" si="995"/>
        <v>0</v>
      </c>
      <c r="T565" s="424">
        <f t="shared" si="995"/>
        <v>0</v>
      </c>
      <c r="U565" s="424">
        <f t="shared" si="995"/>
        <v>2.04</v>
      </c>
      <c r="V565" s="424">
        <f t="shared" si="995"/>
        <v>6.38</v>
      </c>
      <c r="W565" s="424">
        <f t="shared" si="995"/>
        <v>2.37</v>
      </c>
      <c r="X565" s="424">
        <f t="shared" si="995"/>
        <v>0</v>
      </c>
      <c r="Y565" s="424">
        <f t="shared" si="995"/>
        <v>1.58</v>
      </c>
      <c r="Z565" s="424">
        <f t="shared" si="995"/>
        <v>0</v>
      </c>
      <c r="AA565" s="424">
        <f t="shared" si="995"/>
        <v>0</v>
      </c>
      <c r="AB565" s="424">
        <f t="shared" si="995"/>
        <v>0</v>
      </c>
      <c r="AC565" s="424">
        <f t="shared" si="995"/>
        <v>0</v>
      </c>
      <c r="AD565" s="424">
        <f t="shared" si="995"/>
        <v>0</v>
      </c>
      <c r="AE565" s="424">
        <f t="shared" si="995"/>
        <v>0</v>
      </c>
      <c r="AF565" s="424">
        <f t="shared" si="995"/>
        <v>0</v>
      </c>
      <c r="AG565" s="424">
        <f t="shared" si="995"/>
        <v>0</v>
      </c>
      <c r="AH565" s="424">
        <f t="shared" si="995"/>
        <v>0</v>
      </c>
      <c r="AI565" s="424">
        <f t="shared" si="995"/>
        <v>0</v>
      </c>
      <c r="AJ565" s="424">
        <f t="shared" si="995"/>
        <v>0</v>
      </c>
      <c r="AK565" s="424">
        <f t="shared" si="995"/>
        <v>0.36</v>
      </c>
      <c r="AL565" s="424">
        <f t="shared" si="995"/>
        <v>0</v>
      </c>
      <c r="AM565" s="424">
        <f t="shared" si="995"/>
        <v>0</v>
      </c>
      <c r="AN565" s="424">
        <f t="shared" si="995"/>
        <v>0</v>
      </c>
      <c r="AO565" s="424">
        <f t="shared" si="995"/>
        <v>0</v>
      </c>
      <c r="AP565" s="424">
        <f t="shared" ref="AP565:BU565" si="996">AP195*AP$372</f>
        <v>0</v>
      </c>
      <c r="AQ565" s="424">
        <f t="shared" si="996"/>
        <v>0</v>
      </c>
      <c r="AR565" s="424">
        <f t="shared" si="996"/>
        <v>0</v>
      </c>
      <c r="AS565" s="424">
        <f t="shared" si="996"/>
        <v>0</v>
      </c>
      <c r="AT565" s="424">
        <f t="shared" si="996"/>
        <v>0</v>
      </c>
      <c r="AU565" s="424">
        <f t="shared" si="996"/>
        <v>0.6</v>
      </c>
      <c r="AV565" s="424">
        <f t="shared" si="996"/>
        <v>0</v>
      </c>
      <c r="AW565" s="424">
        <f t="shared" si="996"/>
        <v>0</v>
      </c>
      <c r="AX565" s="424">
        <f t="shared" si="996"/>
        <v>0</v>
      </c>
      <c r="AY565" s="424">
        <f t="shared" si="996"/>
        <v>0</v>
      </c>
      <c r="AZ565" s="424">
        <f t="shared" si="996"/>
        <v>0</v>
      </c>
      <c r="BA565" s="424">
        <f t="shared" si="996"/>
        <v>0</v>
      </c>
      <c r="BB565" s="424">
        <f t="shared" si="996"/>
        <v>0</v>
      </c>
      <c r="BC565" s="424">
        <f t="shared" si="996"/>
        <v>0</v>
      </c>
      <c r="BD565" s="424">
        <f t="shared" si="996"/>
        <v>0</v>
      </c>
      <c r="BE565" s="424">
        <f t="shared" si="996"/>
        <v>0</v>
      </c>
      <c r="BF565" s="424">
        <f t="shared" si="996"/>
        <v>0</v>
      </c>
      <c r="BG565" s="424">
        <f t="shared" si="996"/>
        <v>0</v>
      </c>
      <c r="BH565" s="424">
        <f t="shared" si="996"/>
        <v>0</v>
      </c>
      <c r="BI565" s="424">
        <f t="shared" si="996"/>
        <v>0</v>
      </c>
      <c r="BJ565" s="424">
        <f t="shared" si="996"/>
        <v>0</v>
      </c>
      <c r="BK565" s="424">
        <f t="shared" si="996"/>
        <v>0</v>
      </c>
      <c r="BL565" s="424">
        <f t="shared" si="996"/>
        <v>0</v>
      </c>
      <c r="BM565" s="424">
        <f t="shared" si="996"/>
        <v>0</v>
      </c>
      <c r="BN565" s="424">
        <f t="shared" si="996"/>
        <v>0</v>
      </c>
      <c r="BO565" s="424">
        <f t="shared" si="996"/>
        <v>0</v>
      </c>
      <c r="BP565" s="424">
        <f t="shared" si="996"/>
        <v>0</v>
      </c>
      <c r="BQ565" s="424">
        <f t="shared" si="996"/>
        <v>0</v>
      </c>
      <c r="BR565" s="424">
        <f t="shared" si="996"/>
        <v>0</v>
      </c>
      <c r="BS565" s="424">
        <f t="shared" si="996"/>
        <v>0.19</v>
      </c>
      <c r="BT565" s="424">
        <f t="shared" si="996"/>
        <v>0</v>
      </c>
      <c r="BU565" s="424">
        <f t="shared" si="996"/>
        <v>0</v>
      </c>
      <c r="BV565" s="424">
        <f t="shared" ref="BV565:DA565" si="997">BV195*BV$372</f>
        <v>0</v>
      </c>
      <c r="BW565" s="424">
        <f t="shared" si="997"/>
        <v>0</v>
      </c>
      <c r="BX565" s="424">
        <f t="shared" si="997"/>
        <v>0</v>
      </c>
      <c r="BY565" s="424">
        <f t="shared" si="997"/>
        <v>0</v>
      </c>
      <c r="BZ565" s="424">
        <f t="shared" si="997"/>
        <v>0</v>
      </c>
      <c r="CA565" s="424">
        <f t="shared" si="997"/>
        <v>0</v>
      </c>
      <c r="CB565" s="424">
        <f t="shared" si="997"/>
        <v>0</v>
      </c>
      <c r="CC565" s="424">
        <f t="shared" si="997"/>
        <v>0</v>
      </c>
      <c r="CD565" s="424">
        <f t="shared" si="997"/>
        <v>0</v>
      </c>
      <c r="CE565" s="424">
        <f t="shared" si="997"/>
        <v>0</v>
      </c>
      <c r="CF565" s="424">
        <f t="shared" si="997"/>
        <v>0</v>
      </c>
      <c r="CG565" s="424">
        <f t="shared" si="997"/>
        <v>0</v>
      </c>
      <c r="CH565" s="424">
        <f t="shared" si="997"/>
        <v>0</v>
      </c>
      <c r="CI565" s="424">
        <f t="shared" si="997"/>
        <v>0</v>
      </c>
      <c r="CJ565" s="424">
        <f t="shared" si="997"/>
        <v>0</v>
      </c>
      <c r="CK565" s="424">
        <f t="shared" si="997"/>
        <v>0</v>
      </c>
      <c r="CL565" s="424">
        <f t="shared" si="997"/>
        <v>0</v>
      </c>
      <c r="CM565" s="424">
        <f t="shared" si="997"/>
        <v>0</v>
      </c>
      <c r="CN565" s="424">
        <f t="shared" si="997"/>
        <v>0</v>
      </c>
      <c r="CO565" s="424">
        <f t="shared" si="997"/>
        <v>0</v>
      </c>
      <c r="CP565" s="424">
        <f t="shared" si="997"/>
        <v>0</v>
      </c>
      <c r="CQ565" s="424">
        <f t="shared" si="997"/>
        <v>0</v>
      </c>
      <c r="CR565" s="424">
        <f t="shared" si="997"/>
        <v>0</v>
      </c>
      <c r="CS565" s="424">
        <f t="shared" si="997"/>
        <v>0.02</v>
      </c>
      <c r="CT565" s="424">
        <f t="shared" si="997"/>
        <v>0</v>
      </c>
      <c r="CU565" s="424">
        <f t="shared" si="997"/>
        <v>0</v>
      </c>
      <c r="CV565" s="424">
        <f t="shared" si="997"/>
        <v>0</v>
      </c>
      <c r="CW565" s="424">
        <f t="shared" si="997"/>
        <v>0</v>
      </c>
      <c r="CX565" s="424">
        <f t="shared" si="997"/>
        <v>0</v>
      </c>
      <c r="CY565" s="424">
        <f t="shared" si="997"/>
        <v>0</v>
      </c>
      <c r="CZ565" s="424">
        <f t="shared" si="997"/>
        <v>0</v>
      </c>
      <c r="DA565" s="424">
        <f t="shared" si="997"/>
        <v>0</v>
      </c>
      <c r="DB565" s="424">
        <f t="shared" ref="DB565:EG565" si="998">DB195*DB$372</f>
        <v>0</v>
      </c>
      <c r="DC565" s="424">
        <f t="shared" si="998"/>
        <v>0.08</v>
      </c>
      <c r="DD565" s="424">
        <f t="shared" si="998"/>
        <v>0</v>
      </c>
      <c r="DE565" s="424">
        <f t="shared" si="998"/>
        <v>0</v>
      </c>
      <c r="DF565" s="424">
        <f t="shared" si="998"/>
        <v>0.69</v>
      </c>
      <c r="DG565" s="424">
        <f t="shared" si="998"/>
        <v>0</v>
      </c>
      <c r="DH565" s="424">
        <f t="shared" si="998"/>
        <v>0</v>
      </c>
      <c r="DI565" s="424">
        <f t="shared" si="998"/>
        <v>0</v>
      </c>
      <c r="DJ565" s="424">
        <f t="shared" si="998"/>
        <v>0</v>
      </c>
      <c r="DK565" s="424">
        <f t="shared" si="998"/>
        <v>0</v>
      </c>
      <c r="DL565" s="424">
        <f t="shared" si="998"/>
        <v>0</v>
      </c>
      <c r="DM565" s="424">
        <f t="shared" si="998"/>
        <v>0</v>
      </c>
      <c r="DN565" s="424">
        <f t="shared" si="998"/>
        <v>0</v>
      </c>
      <c r="DO565" s="424">
        <f t="shared" si="998"/>
        <v>0</v>
      </c>
      <c r="DP565" s="424">
        <f t="shared" si="998"/>
        <v>0</v>
      </c>
      <c r="DQ565" s="424">
        <f t="shared" si="998"/>
        <v>0</v>
      </c>
      <c r="DR565" s="424">
        <f t="shared" si="998"/>
        <v>0</v>
      </c>
      <c r="DS565" s="424">
        <f t="shared" si="998"/>
        <v>0</v>
      </c>
      <c r="DT565" s="424">
        <f t="shared" si="998"/>
        <v>0</v>
      </c>
      <c r="DU565" s="424">
        <f t="shared" si="998"/>
        <v>0</v>
      </c>
      <c r="DV565" s="424">
        <f t="shared" si="998"/>
        <v>0</v>
      </c>
      <c r="DW565" s="424">
        <f t="shared" si="998"/>
        <v>0</v>
      </c>
      <c r="DX565" s="424">
        <f t="shared" si="998"/>
        <v>0</v>
      </c>
      <c r="DY565" s="424">
        <f t="shared" si="998"/>
        <v>0</v>
      </c>
      <c r="DZ565" s="424">
        <f t="shared" si="998"/>
        <v>0</v>
      </c>
      <c r="EA565" s="424">
        <f t="shared" si="998"/>
        <v>0</v>
      </c>
      <c r="EB565" s="424">
        <f t="shared" si="998"/>
        <v>0</v>
      </c>
      <c r="EC565" s="424">
        <f t="shared" si="998"/>
        <v>0</v>
      </c>
      <c r="ED565" s="424">
        <f t="shared" si="998"/>
        <v>0</v>
      </c>
      <c r="EE565" s="424">
        <f t="shared" si="998"/>
        <v>0</v>
      </c>
      <c r="EF565" s="424">
        <f t="shared" si="998"/>
        <v>0</v>
      </c>
      <c r="EG565" s="424">
        <f t="shared" si="998"/>
        <v>0</v>
      </c>
      <c r="EH565" s="424">
        <f t="shared" ref="EH565:EX565" si="999">EH195*EH$372</f>
        <v>0</v>
      </c>
      <c r="EI565" s="424">
        <f t="shared" si="999"/>
        <v>0</v>
      </c>
      <c r="EJ565" s="424">
        <f t="shared" si="999"/>
        <v>0</v>
      </c>
      <c r="EK565" s="424">
        <f t="shared" si="999"/>
        <v>0</v>
      </c>
      <c r="EL565" s="424">
        <f t="shared" si="999"/>
        <v>0</v>
      </c>
      <c r="EM565" s="424">
        <f t="shared" si="999"/>
        <v>0</v>
      </c>
      <c r="EN565" s="424">
        <f t="shared" si="999"/>
        <v>0</v>
      </c>
      <c r="EO565" s="424">
        <f t="shared" si="999"/>
        <v>0</v>
      </c>
      <c r="EP565" s="424">
        <f t="shared" si="999"/>
        <v>0</v>
      </c>
      <c r="EQ565" s="424">
        <f t="shared" si="999"/>
        <v>0</v>
      </c>
      <c r="ER565" s="424">
        <f t="shared" si="999"/>
        <v>0</v>
      </c>
      <c r="ES565" s="424">
        <f t="shared" si="999"/>
        <v>0</v>
      </c>
      <c r="ET565" s="424">
        <f t="shared" si="999"/>
        <v>0</v>
      </c>
      <c r="EU565" s="424">
        <f t="shared" si="999"/>
        <v>0</v>
      </c>
      <c r="EV565" s="424">
        <f t="shared" si="999"/>
        <v>0.59</v>
      </c>
      <c r="EW565" s="424">
        <f t="shared" si="999"/>
        <v>0</v>
      </c>
      <c r="EX565" s="424">
        <f t="shared" si="999"/>
        <v>0</v>
      </c>
      <c r="EY565" s="425">
        <f t="shared" si="699"/>
        <v>42.9</v>
      </c>
      <c r="EZ565" s="616"/>
      <c r="FA565" s="616"/>
      <c r="FB565" s="616"/>
      <c r="FC565" s="616"/>
      <c r="FD565" s="616"/>
      <c r="FE565" s="616"/>
      <c r="FF565" s="616"/>
      <c r="FG565" s="616"/>
      <c r="FH565" s="616"/>
      <c r="FI565" s="616"/>
      <c r="FJ565" s="616"/>
    </row>
    <row r="566" spans="1:166" ht="14.7" customHeight="1" x14ac:dyDescent="0.25">
      <c r="A566" s="310">
        <v>192</v>
      </c>
      <c r="B566" s="311" t="str">
        <f t="shared" si="680"/>
        <v>Тефтели из говядины 1-й вариант</v>
      </c>
      <c r="C566" s="483">
        <f t="shared" si="688"/>
        <v>37.1</v>
      </c>
      <c r="D566" s="888"/>
      <c r="E566" s="888"/>
      <c r="F566" s="888"/>
      <c r="G566" s="889"/>
      <c r="H566" s="680">
        <f t="shared" si="681"/>
        <v>278</v>
      </c>
      <c r="I566" s="1209">
        <f t="shared" si="682"/>
        <v>-0.01</v>
      </c>
      <c r="J566" s="424">
        <f t="shared" ref="J566:AO566" si="1000">J196*J$372</f>
        <v>29.12</v>
      </c>
      <c r="K566" s="424">
        <f t="shared" si="1000"/>
        <v>0</v>
      </c>
      <c r="L566" s="424">
        <f t="shared" si="1000"/>
        <v>0</v>
      </c>
      <c r="M566" s="424">
        <f t="shared" si="1000"/>
        <v>0</v>
      </c>
      <c r="N566" s="424">
        <f t="shared" si="1000"/>
        <v>0</v>
      </c>
      <c r="O566" s="424">
        <f t="shared" si="1000"/>
        <v>0</v>
      </c>
      <c r="P566" s="424">
        <f t="shared" si="1000"/>
        <v>0</v>
      </c>
      <c r="Q566" s="424">
        <f t="shared" si="1000"/>
        <v>0</v>
      </c>
      <c r="R566" s="424">
        <f t="shared" si="1000"/>
        <v>0</v>
      </c>
      <c r="S566" s="424">
        <f t="shared" si="1000"/>
        <v>0</v>
      </c>
      <c r="T566" s="424">
        <f t="shared" si="1000"/>
        <v>0</v>
      </c>
      <c r="U566" s="424">
        <f t="shared" si="1000"/>
        <v>0.48</v>
      </c>
      <c r="V566" s="424">
        <f t="shared" si="1000"/>
        <v>0</v>
      </c>
      <c r="W566" s="424">
        <f t="shared" si="1000"/>
        <v>0</v>
      </c>
      <c r="X566" s="424">
        <f t="shared" si="1000"/>
        <v>0</v>
      </c>
      <c r="Y566" s="424">
        <f t="shared" si="1000"/>
        <v>2.93</v>
      </c>
      <c r="Z566" s="424">
        <f t="shared" si="1000"/>
        <v>0</v>
      </c>
      <c r="AA566" s="424">
        <f t="shared" si="1000"/>
        <v>0</v>
      </c>
      <c r="AB566" s="424">
        <f t="shared" si="1000"/>
        <v>0</v>
      </c>
      <c r="AC566" s="424">
        <f t="shared" si="1000"/>
        <v>0</v>
      </c>
      <c r="AD566" s="424">
        <f t="shared" si="1000"/>
        <v>0</v>
      </c>
      <c r="AE566" s="424">
        <f t="shared" si="1000"/>
        <v>0</v>
      </c>
      <c r="AF566" s="424">
        <f t="shared" si="1000"/>
        <v>0</v>
      </c>
      <c r="AG566" s="424">
        <f t="shared" si="1000"/>
        <v>0</v>
      </c>
      <c r="AH566" s="424">
        <f t="shared" si="1000"/>
        <v>0</v>
      </c>
      <c r="AI566" s="424">
        <f t="shared" si="1000"/>
        <v>0</v>
      </c>
      <c r="AJ566" s="424">
        <f t="shared" si="1000"/>
        <v>0</v>
      </c>
      <c r="AK566" s="424">
        <f t="shared" si="1000"/>
        <v>1.2</v>
      </c>
      <c r="AL566" s="424">
        <f t="shared" si="1000"/>
        <v>0</v>
      </c>
      <c r="AM566" s="424">
        <f t="shared" si="1000"/>
        <v>0</v>
      </c>
      <c r="AN566" s="424">
        <f t="shared" si="1000"/>
        <v>0</v>
      </c>
      <c r="AO566" s="424">
        <f t="shared" si="1000"/>
        <v>0</v>
      </c>
      <c r="AP566" s="424">
        <f t="shared" ref="AP566:BU566" si="1001">AP196*AP$372</f>
        <v>0</v>
      </c>
      <c r="AQ566" s="424">
        <f t="shared" si="1001"/>
        <v>0</v>
      </c>
      <c r="AR566" s="424">
        <f t="shared" si="1001"/>
        <v>0</v>
      </c>
      <c r="AS566" s="424">
        <f t="shared" si="1001"/>
        <v>0</v>
      </c>
      <c r="AT566" s="424">
        <f t="shared" si="1001"/>
        <v>0</v>
      </c>
      <c r="AU566" s="424">
        <f t="shared" si="1001"/>
        <v>0.6</v>
      </c>
      <c r="AV566" s="424">
        <f t="shared" si="1001"/>
        <v>0</v>
      </c>
      <c r="AW566" s="424">
        <f t="shared" si="1001"/>
        <v>0</v>
      </c>
      <c r="AX566" s="424">
        <f t="shared" si="1001"/>
        <v>0</v>
      </c>
      <c r="AY566" s="424">
        <f t="shared" si="1001"/>
        <v>0</v>
      </c>
      <c r="AZ566" s="424">
        <f t="shared" si="1001"/>
        <v>0</v>
      </c>
      <c r="BA566" s="424">
        <f t="shared" si="1001"/>
        <v>0</v>
      </c>
      <c r="BB566" s="424">
        <f t="shared" si="1001"/>
        <v>0</v>
      </c>
      <c r="BC566" s="424">
        <f t="shared" si="1001"/>
        <v>0</v>
      </c>
      <c r="BD566" s="424">
        <f t="shared" si="1001"/>
        <v>0</v>
      </c>
      <c r="BE566" s="424">
        <f t="shared" si="1001"/>
        <v>0</v>
      </c>
      <c r="BF566" s="424">
        <f t="shared" si="1001"/>
        <v>0</v>
      </c>
      <c r="BG566" s="424">
        <f t="shared" si="1001"/>
        <v>0</v>
      </c>
      <c r="BH566" s="424">
        <f t="shared" si="1001"/>
        <v>0</v>
      </c>
      <c r="BI566" s="424">
        <f t="shared" si="1001"/>
        <v>0</v>
      </c>
      <c r="BJ566" s="424">
        <f t="shared" si="1001"/>
        <v>0</v>
      </c>
      <c r="BK566" s="424">
        <f t="shared" si="1001"/>
        <v>0</v>
      </c>
      <c r="BL566" s="424">
        <f t="shared" si="1001"/>
        <v>0</v>
      </c>
      <c r="BM566" s="424">
        <f t="shared" si="1001"/>
        <v>0</v>
      </c>
      <c r="BN566" s="424">
        <f t="shared" si="1001"/>
        <v>0</v>
      </c>
      <c r="BO566" s="424">
        <f t="shared" si="1001"/>
        <v>0</v>
      </c>
      <c r="BP566" s="424">
        <f t="shared" si="1001"/>
        <v>0</v>
      </c>
      <c r="BQ566" s="424">
        <f t="shared" si="1001"/>
        <v>0</v>
      </c>
      <c r="BR566" s="424">
        <f t="shared" si="1001"/>
        <v>0</v>
      </c>
      <c r="BS566" s="424">
        <f t="shared" si="1001"/>
        <v>0.28000000000000003</v>
      </c>
      <c r="BT566" s="424">
        <f t="shared" si="1001"/>
        <v>0</v>
      </c>
      <c r="BU566" s="424">
        <f t="shared" si="1001"/>
        <v>0</v>
      </c>
      <c r="BV566" s="424">
        <f t="shared" ref="BV566:DA566" si="1002">BV196*BV$372</f>
        <v>0</v>
      </c>
      <c r="BW566" s="424">
        <f t="shared" si="1002"/>
        <v>0</v>
      </c>
      <c r="BX566" s="424">
        <f t="shared" si="1002"/>
        <v>0</v>
      </c>
      <c r="BY566" s="424">
        <f t="shared" si="1002"/>
        <v>0</v>
      </c>
      <c r="BZ566" s="424">
        <f t="shared" si="1002"/>
        <v>0</v>
      </c>
      <c r="CA566" s="424">
        <f t="shared" si="1002"/>
        <v>0</v>
      </c>
      <c r="CB566" s="424">
        <f t="shared" si="1002"/>
        <v>0</v>
      </c>
      <c r="CC566" s="424">
        <f t="shared" si="1002"/>
        <v>0</v>
      </c>
      <c r="CD566" s="424">
        <f t="shared" si="1002"/>
        <v>0</v>
      </c>
      <c r="CE566" s="424">
        <f t="shared" si="1002"/>
        <v>0</v>
      </c>
      <c r="CF566" s="424">
        <f t="shared" si="1002"/>
        <v>0.72</v>
      </c>
      <c r="CG566" s="424">
        <f t="shared" si="1002"/>
        <v>0</v>
      </c>
      <c r="CH566" s="424">
        <f t="shared" si="1002"/>
        <v>0</v>
      </c>
      <c r="CI566" s="424">
        <f t="shared" si="1002"/>
        <v>0</v>
      </c>
      <c r="CJ566" s="424">
        <f t="shared" si="1002"/>
        <v>0</v>
      </c>
      <c r="CK566" s="424">
        <f t="shared" si="1002"/>
        <v>0</v>
      </c>
      <c r="CL566" s="424">
        <f t="shared" si="1002"/>
        <v>0</v>
      </c>
      <c r="CM566" s="424">
        <f t="shared" si="1002"/>
        <v>0</v>
      </c>
      <c r="CN566" s="424">
        <f t="shared" si="1002"/>
        <v>0</v>
      </c>
      <c r="CO566" s="424">
        <f t="shared" si="1002"/>
        <v>0</v>
      </c>
      <c r="CP566" s="424">
        <f t="shared" si="1002"/>
        <v>0</v>
      </c>
      <c r="CQ566" s="424">
        <f t="shared" si="1002"/>
        <v>0</v>
      </c>
      <c r="CR566" s="424">
        <f t="shared" si="1002"/>
        <v>0</v>
      </c>
      <c r="CS566" s="424">
        <f t="shared" si="1002"/>
        <v>0.02</v>
      </c>
      <c r="CT566" s="424">
        <f t="shared" si="1002"/>
        <v>0</v>
      </c>
      <c r="CU566" s="424">
        <f t="shared" si="1002"/>
        <v>0</v>
      </c>
      <c r="CV566" s="424">
        <f t="shared" si="1002"/>
        <v>0</v>
      </c>
      <c r="CW566" s="424">
        <f t="shared" si="1002"/>
        <v>0</v>
      </c>
      <c r="CX566" s="424">
        <f t="shared" si="1002"/>
        <v>0</v>
      </c>
      <c r="CY566" s="424">
        <f t="shared" si="1002"/>
        <v>0</v>
      </c>
      <c r="CZ566" s="424">
        <f t="shared" si="1002"/>
        <v>0</v>
      </c>
      <c r="DA566" s="424">
        <f t="shared" si="1002"/>
        <v>0</v>
      </c>
      <c r="DB566" s="424">
        <f t="shared" ref="DB566:EG566" si="1003">DB196*DB$372</f>
        <v>0</v>
      </c>
      <c r="DC566" s="424">
        <f t="shared" si="1003"/>
        <v>0.08</v>
      </c>
      <c r="DD566" s="424">
        <f t="shared" si="1003"/>
        <v>0</v>
      </c>
      <c r="DE566" s="424">
        <f t="shared" si="1003"/>
        <v>0</v>
      </c>
      <c r="DF566" s="424">
        <f t="shared" si="1003"/>
        <v>1.1499999999999999</v>
      </c>
      <c r="DG566" s="424">
        <f t="shared" si="1003"/>
        <v>0</v>
      </c>
      <c r="DH566" s="424">
        <f t="shared" si="1003"/>
        <v>0</v>
      </c>
      <c r="DI566" s="424">
        <f t="shared" si="1003"/>
        <v>0</v>
      </c>
      <c r="DJ566" s="424">
        <f t="shared" si="1003"/>
        <v>0</v>
      </c>
      <c r="DK566" s="424">
        <f t="shared" si="1003"/>
        <v>0</v>
      </c>
      <c r="DL566" s="424">
        <f t="shared" si="1003"/>
        <v>0</v>
      </c>
      <c r="DM566" s="424">
        <f t="shared" si="1003"/>
        <v>0</v>
      </c>
      <c r="DN566" s="424">
        <f t="shared" si="1003"/>
        <v>0</v>
      </c>
      <c r="DO566" s="424">
        <f t="shared" si="1003"/>
        <v>0</v>
      </c>
      <c r="DP566" s="424">
        <f t="shared" si="1003"/>
        <v>0</v>
      </c>
      <c r="DQ566" s="424">
        <f t="shared" si="1003"/>
        <v>0</v>
      </c>
      <c r="DR566" s="424">
        <f t="shared" si="1003"/>
        <v>0</v>
      </c>
      <c r="DS566" s="424">
        <f t="shared" si="1003"/>
        <v>0</v>
      </c>
      <c r="DT566" s="424">
        <f t="shared" si="1003"/>
        <v>0</v>
      </c>
      <c r="DU566" s="424">
        <f t="shared" si="1003"/>
        <v>0</v>
      </c>
      <c r="DV566" s="424">
        <f t="shared" si="1003"/>
        <v>0</v>
      </c>
      <c r="DW566" s="424">
        <f t="shared" si="1003"/>
        <v>0</v>
      </c>
      <c r="DX566" s="424">
        <f t="shared" si="1003"/>
        <v>0</v>
      </c>
      <c r="DY566" s="424">
        <f t="shared" si="1003"/>
        <v>0</v>
      </c>
      <c r="DZ566" s="424">
        <f t="shared" si="1003"/>
        <v>0</v>
      </c>
      <c r="EA566" s="424">
        <f t="shared" si="1003"/>
        <v>0</v>
      </c>
      <c r="EB566" s="424">
        <f t="shared" si="1003"/>
        <v>0</v>
      </c>
      <c r="EC566" s="424">
        <f t="shared" si="1003"/>
        <v>0</v>
      </c>
      <c r="ED566" s="424">
        <f t="shared" si="1003"/>
        <v>0</v>
      </c>
      <c r="EE566" s="424">
        <f t="shared" si="1003"/>
        <v>0</v>
      </c>
      <c r="EF566" s="424">
        <f t="shared" si="1003"/>
        <v>0</v>
      </c>
      <c r="EG566" s="424">
        <f t="shared" si="1003"/>
        <v>0</v>
      </c>
      <c r="EH566" s="424">
        <f t="shared" ref="EH566:EX566" si="1004">EH196*EH$372</f>
        <v>0</v>
      </c>
      <c r="EI566" s="424">
        <f t="shared" si="1004"/>
        <v>0</v>
      </c>
      <c r="EJ566" s="424">
        <f t="shared" si="1004"/>
        <v>0</v>
      </c>
      <c r="EK566" s="424">
        <f t="shared" si="1004"/>
        <v>0</v>
      </c>
      <c r="EL566" s="424">
        <f t="shared" si="1004"/>
        <v>0</v>
      </c>
      <c r="EM566" s="424">
        <f t="shared" si="1004"/>
        <v>0</v>
      </c>
      <c r="EN566" s="424">
        <f t="shared" si="1004"/>
        <v>0</v>
      </c>
      <c r="EO566" s="424">
        <f t="shared" si="1004"/>
        <v>0</v>
      </c>
      <c r="EP566" s="424">
        <f t="shared" si="1004"/>
        <v>0</v>
      </c>
      <c r="EQ566" s="424">
        <f t="shared" si="1004"/>
        <v>0</v>
      </c>
      <c r="ER566" s="424">
        <f t="shared" si="1004"/>
        <v>0</v>
      </c>
      <c r="ES566" s="424">
        <f t="shared" si="1004"/>
        <v>0</v>
      </c>
      <c r="ET566" s="424">
        <f t="shared" si="1004"/>
        <v>0</v>
      </c>
      <c r="EU566" s="424">
        <f t="shared" si="1004"/>
        <v>0</v>
      </c>
      <c r="EV566" s="424">
        <f t="shared" si="1004"/>
        <v>0.52</v>
      </c>
      <c r="EW566" s="424">
        <f t="shared" si="1004"/>
        <v>0</v>
      </c>
      <c r="EX566" s="424">
        <f t="shared" si="1004"/>
        <v>0</v>
      </c>
      <c r="EY566" s="425">
        <f t="shared" si="699"/>
        <v>37.1</v>
      </c>
    </row>
    <row r="567" spans="1:166" s="1324" customFormat="1" ht="26.4" x14ac:dyDescent="0.25">
      <c r="A567" s="310">
        <v>193</v>
      </c>
      <c r="B567" s="311" t="str">
        <f t="shared" ref="B567:B630" si="1005">B197</f>
        <v>Тефтели из говядины 2-й вариант (с рисом (2 шт) и соусом сметанным с томатом)</v>
      </c>
      <c r="C567" s="483">
        <f t="shared" si="688"/>
        <v>68.63</v>
      </c>
      <c r="D567" s="888"/>
      <c r="E567" s="888"/>
      <c r="F567" s="888"/>
      <c r="G567" s="889"/>
      <c r="H567" s="680">
        <f t="shared" ref="H567:H599" si="1006">H197</f>
        <v>279</v>
      </c>
      <c r="I567" s="1209">
        <f t="shared" ref="I567:I630" si="1007">I197-EY567</f>
        <v>0</v>
      </c>
      <c r="J567" s="424">
        <f t="shared" ref="J567:AO567" si="1008">J197*J$372</f>
        <v>58.24</v>
      </c>
      <c r="K567" s="424">
        <f t="shared" si="1008"/>
        <v>0</v>
      </c>
      <c r="L567" s="424">
        <f t="shared" si="1008"/>
        <v>0</v>
      </c>
      <c r="M567" s="424">
        <f t="shared" si="1008"/>
        <v>0</v>
      </c>
      <c r="N567" s="424">
        <f t="shared" si="1008"/>
        <v>0</v>
      </c>
      <c r="O567" s="424">
        <f t="shared" si="1008"/>
        <v>0</v>
      </c>
      <c r="P567" s="424">
        <f t="shared" si="1008"/>
        <v>0</v>
      </c>
      <c r="Q567" s="424">
        <f t="shared" si="1008"/>
        <v>0</v>
      </c>
      <c r="R567" s="424">
        <f t="shared" si="1008"/>
        <v>0</v>
      </c>
      <c r="S567" s="424">
        <f t="shared" si="1008"/>
        <v>0</v>
      </c>
      <c r="T567" s="424">
        <f t="shared" si="1008"/>
        <v>0</v>
      </c>
      <c r="U567" s="424">
        <f t="shared" si="1008"/>
        <v>0</v>
      </c>
      <c r="V567" s="424">
        <f t="shared" si="1008"/>
        <v>0</v>
      </c>
      <c r="W567" s="424">
        <f t="shared" si="1008"/>
        <v>0</v>
      </c>
      <c r="X567" s="424">
        <f t="shared" si="1008"/>
        <v>0</v>
      </c>
      <c r="Y567" s="424">
        <f t="shared" si="1008"/>
        <v>2.93</v>
      </c>
      <c r="Z567" s="424">
        <f t="shared" si="1008"/>
        <v>0</v>
      </c>
      <c r="AA567" s="424">
        <f t="shared" si="1008"/>
        <v>0</v>
      </c>
      <c r="AB567" s="424">
        <f t="shared" si="1008"/>
        <v>0</v>
      </c>
      <c r="AC567" s="424">
        <f t="shared" si="1008"/>
        <v>0</v>
      </c>
      <c r="AD567" s="424">
        <f t="shared" si="1008"/>
        <v>0</v>
      </c>
      <c r="AE567" s="424">
        <f t="shared" si="1008"/>
        <v>0</v>
      </c>
      <c r="AF567" s="424">
        <f t="shared" si="1008"/>
        <v>0</v>
      </c>
      <c r="AG567" s="424">
        <f t="shared" si="1008"/>
        <v>0</v>
      </c>
      <c r="AH567" s="424">
        <f t="shared" si="1008"/>
        <v>0</v>
      </c>
      <c r="AI567" s="424">
        <f t="shared" si="1008"/>
        <v>0</v>
      </c>
      <c r="AJ567" s="424">
        <f t="shared" si="1008"/>
        <v>0</v>
      </c>
      <c r="AK567" s="424">
        <f t="shared" si="1008"/>
        <v>2.1</v>
      </c>
      <c r="AL567" s="424">
        <f t="shared" si="1008"/>
        <v>0</v>
      </c>
      <c r="AM567" s="424">
        <f t="shared" si="1008"/>
        <v>0</v>
      </c>
      <c r="AN567" s="424">
        <f t="shared" si="1008"/>
        <v>0</v>
      </c>
      <c r="AO567" s="424">
        <f t="shared" si="1008"/>
        <v>0</v>
      </c>
      <c r="AP567" s="424">
        <f t="shared" ref="AP567:BU567" si="1009">AP197*AP$372</f>
        <v>0</v>
      </c>
      <c r="AQ567" s="424">
        <f t="shared" si="1009"/>
        <v>0</v>
      </c>
      <c r="AR567" s="424">
        <f t="shared" si="1009"/>
        <v>0</v>
      </c>
      <c r="AS567" s="424">
        <f t="shared" si="1009"/>
        <v>0</v>
      </c>
      <c r="AT567" s="424">
        <f t="shared" si="1009"/>
        <v>0</v>
      </c>
      <c r="AU567" s="424">
        <f t="shared" si="1009"/>
        <v>1.2</v>
      </c>
      <c r="AV567" s="424">
        <f t="shared" si="1009"/>
        <v>0</v>
      </c>
      <c r="AW567" s="424">
        <f t="shared" si="1009"/>
        <v>0</v>
      </c>
      <c r="AX567" s="424">
        <f t="shared" si="1009"/>
        <v>0</v>
      </c>
      <c r="AY567" s="424">
        <f t="shared" si="1009"/>
        <v>0</v>
      </c>
      <c r="AZ567" s="424">
        <f t="shared" si="1009"/>
        <v>0</v>
      </c>
      <c r="BA567" s="424">
        <f t="shared" si="1009"/>
        <v>0</v>
      </c>
      <c r="BB567" s="424">
        <f t="shared" si="1009"/>
        <v>0</v>
      </c>
      <c r="BC567" s="424">
        <f t="shared" si="1009"/>
        <v>0</v>
      </c>
      <c r="BD567" s="424">
        <f t="shared" si="1009"/>
        <v>0</v>
      </c>
      <c r="BE567" s="424">
        <f t="shared" si="1009"/>
        <v>0</v>
      </c>
      <c r="BF567" s="424">
        <f t="shared" si="1009"/>
        <v>0</v>
      </c>
      <c r="BG567" s="424">
        <f t="shared" si="1009"/>
        <v>0</v>
      </c>
      <c r="BH567" s="424">
        <f t="shared" si="1009"/>
        <v>0</v>
      </c>
      <c r="BI567" s="424">
        <f t="shared" si="1009"/>
        <v>0</v>
      </c>
      <c r="BJ567" s="424">
        <f t="shared" si="1009"/>
        <v>0</v>
      </c>
      <c r="BK567" s="424">
        <f t="shared" si="1009"/>
        <v>0</v>
      </c>
      <c r="BL567" s="424">
        <f t="shared" si="1009"/>
        <v>0</v>
      </c>
      <c r="BM567" s="424">
        <f t="shared" si="1009"/>
        <v>0</v>
      </c>
      <c r="BN567" s="424">
        <f t="shared" si="1009"/>
        <v>0</v>
      </c>
      <c r="BO567" s="424">
        <f t="shared" si="1009"/>
        <v>0</v>
      </c>
      <c r="BP567" s="424">
        <f t="shared" si="1009"/>
        <v>0</v>
      </c>
      <c r="BQ567" s="424">
        <f t="shared" si="1009"/>
        <v>0</v>
      </c>
      <c r="BR567" s="424">
        <f t="shared" si="1009"/>
        <v>0</v>
      </c>
      <c r="BS567" s="424">
        <f t="shared" si="1009"/>
        <v>0.42</v>
      </c>
      <c r="BT567" s="424">
        <f t="shared" si="1009"/>
        <v>0</v>
      </c>
      <c r="BU567" s="424">
        <f t="shared" si="1009"/>
        <v>0</v>
      </c>
      <c r="BV567" s="424">
        <f t="shared" ref="BV567:DA567" si="1010">BV197*BV$372</f>
        <v>0</v>
      </c>
      <c r="BW567" s="424">
        <f t="shared" si="1010"/>
        <v>0</v>
      </c>
      <c r="BX567" s="424">
        <f t="shared" si="1010"/>
        <v>0</v>
      </c>
      <c r="BY567" s="424">
        <f t="shared" si="1010"/>
        <v>0</v>
      </c>
      <c r="BZ567" s="424">
        <f t="shared" si="1010"/>
        <v>0</v>
      </c>
      <c r="CA567" s="424">
        <f t="shared" si="1010"/>
        <v>0</v>
      </c>
      <c r="CB567" s="424">
        <f t="shared" si="1010"/>
        <v>0.98</v>
      </c>
      <c r="CC567" s="424">
        <f t="shared" si="1010"/>
        <v>0</v>
      </c>
      <c r="CD567" s="424">
        <f t="shared" si="1010"/>
        <v>0</v>
      </c>
      <c r="CE567" s="424">
        <f t="shared" si="1010"/>
        <v>0</v>
      </c>
      <c r="CF567" s="424">
        <f t="shared" si="1010"/>
        <v>1.44</v>
      </c>
      <c r="CG567" s="424">
        <f t="shared" si="1010"/>
        <v>0</v>
      </c>
      <c r="CH567" s="424">
        <f t="shared" si="1010"/>
        <v>0</v>
      </c>
      <c r="CI567" s="424">
        <f t="shared" si="1010"/>
        <v>0</v>
      </c>
      <c r="CJ567" s="424">
        <f t="shared" si="1010"/>
        <v>0</v>
      </c>
      <c r="CK567" s="424">
        <f t="shared" si="1010"/>
        <v>0</v>
      </c>
      <c r="CL567" s="424">
        <f t="shared" si="1010"/>
        <v>0</v>
      </c>
      <c r="CM567" s="424">
        <f t="shared" si="1010"/>
        <v>0</v>
      </c>
      <c r="CN567" s="424">
        <f t="shared" si="1010"/>
        <v>0</v>
      </c>
      <c r="CO567" s="424">
        <f t="shared" si="1010"/>
        <v>0</v>
      </c>
      <c r="CP567" s="424">
        <f t="shared" si="1010"/>
        <v>0</v>
      </c>
      <c r="CQ567" s="424">
        <f t="shared" si="1010"/>
        <v>0</v>
      </c>
      <c r="CR567" s="424">
        <f t="shared" si="1010"/>
        <v>0</v>
      </c>
      <c r="CS567" s="424">
        <f t="shared" si="1010"/>
        <v>0.04</v>
      </c>
      <c r="CT567" s="424">
        <f t="shared" si="1010"/>
        <v>0</v>
      </c>
      <c r="CU567" s="424">
        <f t="shared" si="1010"/>
        <v>0</v>
      </c>
      <c r="CV567" s="424">
        <f t="shared" si="1010"/>
        <v>0</v>
      </c>
      <c r="CW567" s="424">
        <f t="shared" si="1010"/>
        <v>0</v>
      </c>
      <c r="CX567" s="424">
        <f t="shared" si="1010"/>
        <v>0</v>
      </c>
      <c r="CY567" s="424">
        <f t="shared" si="1010"/>
        <v>0</v>
      </c>
      <c r="CZ567" s="424">
        <f t="shared" si="1010"/>
        <v>0</v>
      </c>
      <c r="DA567" s="424">
        <f t="shared" si="1010"/>
        <v>0</v>
      </c>
      <c r="DB567" s="424">
        <f t="shared" ref="DB567:EG567" si="1011">DB197*DB$372</f>
        <v>0</v>
      </c>
      <c r="DC567" s="424">
        <f t="shared" si="1011"/>
        <v>0.13</v>
      </c>
      <c r="DD567" s="424">
        <f t="shared" si="1011"/>
        <v>0</v>
      </c>
      <c r="DE567" s="424">
        <f t="shared" si="1011"/>
        <v>0</v>
      </c>
      <c r="DF567" s="424">
        <f t="shared" si="1011"/>
        <v>1.1499999999999999</v>
      </c>
      <c r="DG567" s="424">
        <f t="shared" si="1011"/>
        <v>0</v>
      </c>
      <c r="DH567" s="424">
        <f t="shared" si="1011"/>
        <v>0</v>
      </c>
      <c r="DI567" s="424">
        <f t="shared" si="1011"/>
        <v>0</v>
      </c>
      <c r="DJ567" s="424">
        <f t="shared" si="1011"/>
        <v>0</v>
      </c>
      <c r="DK567" s="424">
        <f t="shared" si="1011"/>
        <v>0</v>
      </c>
      <c r="DL567" s="424">
        <f t="shared" si="1011"/>
        <v>0</v>
      </c>
      <c r="DM567" s="424">
        <f t="shared" si="1011"/>
        <v>0</v>
      </c>
      <c r="DN567" s="424">
        <f t="shared" si="1011"/>
        <v>0</v>
      </c>
      <c r="DO567" s="424">
        <f t="shared" si="1011"/>
        <v>0</v>
      </c>
      <c r="DP567" s="424">
        <f t="shared" si="1011"/>
        <v>0</v>
      </c>
      <c r="DQ567" s="424">
        <f t="shared" si="1011"/>
        <v>0</v>
      </c>
      <c r="DR567" s="424">
        <f t="shared" si="1011"/>
        <v>0</v>
      </c>
      <c r="DS567" s="424">
        <f t="shared" si="1011"/>
        <v>0</v>
      </c>
      <c r="DT567" s="424">
        <f t="shared" si="1011"/>
        <v>0</v>
      </c>
      <c r="DU567" s="424">
        <f t="shared" si="1011"/>
        <v>0</v>
      </c>
      <c r="DV567" s="424">
        <f t="shared" si="1011"/>
        <v>0</v>
      </c>
      <c r="DW567" s="424">
        <f t="shared" si="1011"/>
        <v>0</v>
      </c>
      <c r="DX567" s="424">
        <f t="shared" si="1011"/>
        <v>0</v>
      </c>
      <c r="DY567" s="424">
        <f t="shared" si="1011"/>
        <v>0</v>
      </c>
      <c r="DZ567" s="424">
        <f t="shared" si="1011"/>
        <v>0</v>
      </c>
      <c r="EA567" s="424">
        <f t="shared" si="1011"/>
        <v>0</v>
      </c>
      <c r="EB567" s="424">
        <f t="shared" si="1011"/>
        <v>0</v>
      </c>
      <c r="EC567" s="424">
        <f t="shared" si="1011"/>
        <v>0</v>
      </c>
      <c r="ED567" s="424">
        <f t="shared" si="1011"/>
        <v>0</v>
      </c>
      <c r="EE567" s="424">
        <f t="shared" si="1011"/>
        <v>0</v>
      </c>
      <c r="EF567" s="424">
        <f t="shared" si="1011"/>
        <v>0</v>
      </c>
      <c r="EG567" s="424">
        <f t="shared" si="1011"/>
        <v>0</v>
      </c>
      <c r="EH567" s="424">
        <f t="shared" ref="EH567:EX567" si="1012">EH197*EH$372</f>
        <v>0</v>
      </c>
      <c r="EI567" s="424">
        <f t="shared" si="1012"/>
        <v>0</v>
      </c>
      <c r="EJ567" s="424">
        <f t="shared" si="1012"/>
        <v>0</v>
      </c>
      <c r="EK567" s="424">
        <f t="shared" si="1012"/>
        <v>0</v>
      </c>
      <c r="EL567" s="424">
        <f t="shared" si="1012"/>
        <v>0</v>
      </c>
      <c r="EM567" s="424">
        <f t="shared" si="1012"/>
        <v>0</v>
      </c>
      <c r="EN567" s="424">
        <f t="shared" si="1012"/>
        <v>0</v>
      </c>
      <c r="EO567" s="424">
        <f t="shared" si="1012"/>
        <v>0</v>
      </c>
      <c r="EP567" s="424">
        <f t="shared" si="1012"/>
        <v>0</v>
      </c>
      <c r="EQ567" s="424">
        <f t="shared" si="1012"/>
        <v>0</v>
      </c>
      <c r="ER567" s="424">
        <f t="shared" si="1012"/>
        <v>0</v>
      </c>
      <c r="ES567" s="424">
        <f t="shared" si="1012"/>
        <v>0</v>
      </c>
      <c r="ET567" s="424">
        <f t="shared" si="1012"/>
        <v>0</v>
      </c>
      <c r="EU567" s="424">
        <f t="shared" si="1012"/>
        <v>0</v>
      </c>
      <c r="EV567" s="424">
        <f t="shared" si="1012"/>
        <v>0</v>
      </c>
      <c r="EW567" s="424">
        <f t="shared" si="1012"/>
        <v>0</v>
      </c>
      <c r="EX567" s="424">
        <f t="shared" si="1012"/>
        <v>0</v>
      </c>
      <c r="EY567" s="425">
        <f t="shared" si="699"/>
        <v>68.63</v>
      </c>
      <c r="EZ567" s="616"/>
      <c r="FA567" s="616"/>
      <c r="FB567" s="616"/>
      <c r="FC567" s="616"/>
      <c r="FD567" s="616"/>
      <c r="FE567" s="616"/>
      <c r="FF567" s="616"/>
      <c r="FG567" s="616"/>
      <c r="FH567" s="616"/>
      <c r="FI567" s="616"/>
      <c r="FJ567" s="616"/>
    </row>
    <row r="568" spans="1:166" s="497" customFormat="1" ht="14.7" customHeight="1" x14ac:dyDescent="0.25">
      <c r="A568" s="310">
        <v>194</v>
      </c>
      <c r="B568" s="311" t="str">
        <f t="shared" si="1005"/>
        <v xml:space="preserve">Тефтели из говядины 2-й вариант с рисом </v>
      </c>
      <c r="C568" s="483">
        <f t="shared" si="688"/>
        <v>42.89</v>
      </c>
      <c r="D568" s="888"/>
      <c r="E568" s="888"/>
      <c r="F568" s="888"/>
      <c r="G568" s="889"/>
      <c r="H568" s="680">
        <f t="shared" si="1006"/>
        <v>279</v>
      </c>
      <c r="I568" s="1209">
        <f t="shared" si="1007"/>
        <v>0</v>
      </c>
      <c r="J568" s="424">
        <f t="shared" ref="J568:AO568" si="1013">J198*J$372</f>
        <v>38.64</v>
      </c>
      <c r="K568" s="424">
        <f t="shared" si="1013"/>
        <v>0</v>
      </c>
      <c r="L568" s="424">
        <f t="shared" si="1013"/>
        <v>0</v>
      </c>
      <c r="M568" s="424">
        <f t="shared" si="1013"/>
        <v>0</v>
      </c>
      <c r="N568" s="424">
        <f t="shared" si="1013"/>
        <v>0</v>
      </c>
      <c r="O568" s="424">
        <f t="shared" si="1013"/>
        <v>0</v>
      </c>
      <c r="P568" s="424">
        <f t="shared" si="1013"/>
        <v>0</v>
      </c>
      <c r="Q568" s="424">
        <f t="shared" si="1013"/>
        <v>0</v>
      </c>
      <c r="R568" s="424">
        <f t="shared" si="1013"/>
        <v>0</v>
      </c>
      <c r="S568" s="424">
        <f t="shared" si="1013"/>
        <v>0</v>
      </c>
      <c r="T568" s="424">
        <f t="shared" si="1013"/>
        <v>0</v>
      </c>
      <c r="U568" s="424">
        <f t="shared" si="1013"/>
        <v>0</v>
      </c>
      <c r="V568" s="424">
        <f t="shared" si="1013"/>
        <v>0</v>
      </c>
      <c r="W568" s="424">
        <f t="shared" si="1013"/>
        <v>0</v>
      </c>
      <c r="X568" s="424">
        <f t="shared" si="1013"/>
        <v>0</v>
      </c>
      <c r="Y568" s="424">
        <f t="shared" si="1013"/>
        <v>0</v>
      </c>
      <c r="Z568" s="424">
        <f t="shared" si="1013"/>
        <v>0</v>
      </c>
      <c r="AA568" s="424">
        <f t="shared" si="1013"/>
        <v>0</v>
      </c>
      <c r="AB568" s="424">
        <f t="shared" si="1013"/>
        <v>0</v>
      </c>
      <c r="AC568" s="424">
        <f t="shared" si="1013"/>
        <v>0</v>
      </c>
      <c r="AD568" s="424">
        <f t="shared" si="1013"/>
        <v>0</v>
      </c>
      <c r="AE568" s="424">
        <f t="shared" si="1013"/>
        <v>0</v>
      </c>
      <c r="AF568" s="424">
        <f t="shared" si="1013"/>
        <v>0</v>
      </c>
      <c r="AG568" s="424">
        <f t="shared" si="1013"/>
        <v>0</v>
      </c>
      <c r="AH568" s="424">
        <f t="shared" si="1013"/>
        <v>0</v>
      </c>
      <c r="AI568" s="424">
        <f t="shared" si="1013"/>
        <v>0</v>
      </c>
      <c r="AJ568" s="424">
        <f t="shared" si="1013"/>
        <v>0</v>
      </c>
      <c r="AK568" s="424">
        <f t="shared" si="1013"/>
        <v>1.4</v>
      </c>
      <c r="AL568" s="424">
        <f t="shared" si="1013"/>
        <v>0</v>
      </c>
      <c r="AM568" s="424">
        <f t="shared" si="1013"/>
        <v>0</v>
      </c>
      <c r="AN568" s="424">
        <f t="shared" si="1013"/>
        <v>0</v>
      </c>
      <c r="AO568" s="424">
        <f t="shared" si="1013"/>
        <v>0</v>
      </c>
      <c r="AP568" s="424">
        <f t="shared" ref="AP568:BU568" si="1014">AP198*AP$372</f>
        <v>0</v>
      </c>
      <c r="AQ568" s="424">
        <f t="shared" si="1014"/>
        <v>0</v>
      </c>
      <c r="AR568" s="424">
        <f t="shared" si="1014"/>
        <v>0</v>
      </c>
      <c r="AS568" s="424">
        <f t="shared" si="1014"/>
        <v>0</v>
      </c>
      <c r="AT568" s="424">
        <f t="shared" si="1014"/>
        <v>0</v>
      </c>
      <c r="AU568" s="424">
        <f t="shared" si="1014"/>
        <v>0.9</v>
      </c>
      <c r="AV568" s="424">
        <f t="shared" si="1014"/>
        <v>0</v>
      </c>
      <c r="AW568" s="424">
        <f t="shared" si="1014"/>
        <v>0</v>
      </c>
      <c r="AX568" s="424">
        <f t="shared" si="1014"/>
        <v>0</v>
      </c>
      <c r="AY568" s="424">
        <f t="shared" si="1014"/>
        <v>0</v>
      </c>
      <c r="AZ568" s="424">
        <f t="shared" si="1014"/>
        <v>0</v>
      </c>
      <c r="BA568" s="424">
        <f t="shared" si="1014"/>
        <v>0</v>
      </c>
      <c r="BB568" s="424">
        <f t="shared" si="1014"/>
        <v>0</v>
      </c>
      <c r="BC568" s="424">
        <f t="shared" si="1014"/>
        <v>0</v>
      </c>
      <c r="BD568" s="424">
        <f t="shared" si="1014"/>
        <v>0</v>
      </c>
      <c r="BE568" s="424">
        <f t="shared" si="1014"/>
        <v>0</v>
      </c>
      <c r="BF568" s="424">
        <f t="shared" si="1014"/>
        <v>0</v>
      </c>
      <c r="BG568" s="424">
        <f t="shared" si="1014"/>
        <v>0</v>
      </c>
      <c r="BH568" s="424">
        <f t="shared" si="1014"/>
        <v>0</v>
      </c>
      <c r="BI568" s="424">
        <f t="shared" si="1014"/>
        <v>0</v>
      </c>
      <c r="BJ568" s="424">
        <f t="shared" si="1014"/>
        <v>0</v>
      </c>
      <c r="BK568" s="424">
        <f t="shared" si="1014"/>
        <v>0</v>
      </c>
      <c r="BL568" s="424">
        <f t="shared" si="1014"/>
        <v>0</v>
      </c>
      <c r="BM568" s="424">
        <f t="shared" si="1014"/>
        <v>0</v>
      </c>
      <c r="BN568" s="424">
        <f t="shared" si="1014"/>
        <v>0</v>
      </c>
      <c r="BO568" s="424">
        <f t="shared" si="1014"/>
        <v>0</v>
      </c>
      <c r="BP568" s="424">
        <f t="shared" si="1014"/>
        <v>0</v>
      </c>
      <c r="BQ568" s="424">
        <f t="shared" si="1014"/>
        <v>0</v>
      </c>
      <c r="BR568" s="424">
        <f t="shared" si="1014"/>
        <v>0</v>
      </c>
      <c r="BS568" s="424">
        <f t="shared" si="1014"/>
        <v>0.18</v>
      </c>
      <c r="BT568" s="424">
        <f t="shared" si="1014"/>
        <v>0</v>
      </c>
      <c r="BU568" s="424">
        <f t="shared" si="1014"/>
        <v>0</v>
      </c>
      <c r="BV568" s="424">
        <f t="shared" ref="BV568:DA568" si="1015">BV198*BV$372</f>
        <v>0</v>
      </c>
      <c r="BW568" s="424">
        <f t="shared" si="1015"/>
        <v>0</v>
      </c>
      <c r="BX568" s="424">
        <f t="shared" si="1015"/>
        <v>0</v>
      </c>
      <c r="BY568" s="424">
        <f t="shared" si="1015"/>
        <v>0</v>
      </c>
      <c r="BZ568" s="424">
        <f t="shared" si="1015"/>
        <v>0</v>
      </c>
      <c r="CA568" s="424">
        <f t="shared" si="1015"/>
        <v>0</v>
      </c>
      <c r="CB568" s="424">
        <f t="shared" si="1015"/>
        <v>0.69</v>
      </c>
      <c r="CC568" s="424">
        <f t="shared" si="1015"/>
        <v>0</v>
      </c>
      <c r="CD568" s="424">
        <f t="shared" si="1015"/>
        <v>0</v>
      </c>
      <c r="CE568" s="424">
        <f t="shared" si="1015"/>
        <v>0</v>
      </c>
      <c r="CF568" s="424">
        <f t="shared" si="1015"/>
        <v>0.96</v>
      </c>
      <c r="CG568" s="424">
        <f t="shared" si="1015"/>
        <v>0</v>
      </c>
      <c r="CH568" s="424">
        <f t="shared" si="1015"/>
        <v>0</v>
      </c>
      <c r="CI568" s="424">
        <f t="shared" si="1015"/>
        <v>0</v>
      </c>
      <c r="CJ568" s="424">
        <f t="shared" si="1015"/>
        <v>0</v>
      </c>
      <c r="CK568" s="424">
        <f t="shared" si="1015"/>
        <v>0</v>
      </c>
      <c r="CL568" s="424">
        <f t="shared" si="1015"/>
        <v>0</v>
      </c>
      <c r="CM568" s="424">
        <f t="shared" si="1015"/>
        <v>0</v>
      </c>
      <c r="CN568" s="424">
        <f t="shared" si="1015"/>
        <v>0</v>
      </c>
      <c r="CO568" s="424">
        <f t="shared" si="1015"/>
        <v>0</v>
      </c>
      <c r="CP568" s="424">
        <f t="shared" si="1015"/>
        <v>0</v>
      </c>
      <c r="CQ568" s="424">
        <f t="shared" si="1015"/>
        <v>0</v>
      </c>
      <c r="CR568" s="424">
        <f t="shared" si="1015"/>
        <v>0</v>
      </c>
      <c r="CS568" s="424">
        <f t="shared" si="1015"/>
        <v>0.02</v>
      </c>
      <c r="CT568" s="424">
        <f t="shared" si="1015"/>
        <v>0</v>
      </c>
      <c r="CU568" s="424">
        <f t="shared" si="1015"/>
        <v>0</v>
      </c>
      <c r="CV568" s="424">
        <f t="shared" si="1015"/>
        <v>0</v>
      </c>
      <c r="CW568" s="424">
        <f t="shared" si="1015"/>
        <v>0</v>
      </c>
      <c r="CX568" s="424">
        <f t="shared" si="1015"/>
        <v>0</v>
      </c>
      <c r="CY568" s="424">
        <f t="shared" si="1015"/>
        <v>0</v>
      </c>
      <c r="CZ568" s="424">
        <f t="shared" si="1015"/>
        <v>0</v>
      </c>
      <c r="DA568" s="424">
        <f t="shared" si="1015"/>
        <v>0</v>
      </c>
      <c r="DB568" s="424">
        <f t="shared" ref="DB568:EG568" si="1016">DB198*DB$372</f>
        <v>0</v>
      </c>
      <c r="DC568" s="424">
        <f t="shared" si="1016"/>
        <v>0.1</v>
      </c>
      <c r="DD568" s="424">
        <f t="shared" si="1016"/>
        <v>0</v>
      </c>
      <c r="DE568" s="424">
        <f t="shared" si="1016"/>
        <v>0</v>
      </c>
      <c r="DF568" s="424">
        <f t="shared" si="1016"/>
        <v>0</v>
      </c>
      <c r="DG568" s="424">
        <f t="shared" si="1016"/>
        <v>0</v>
      </c>
      <c r="DH568" s="424">
        <f t="shared" si="1016"/>
        <v>0</v>
      </c>
      <c r="DI568" s="424">
        <f t="shared" si="1016"/>
        <v>0</v>
      </c>
      <c r="DJ568" s="424">
        <f t="shared" si="1016"/>
        <v>0</v>
      </c>
      <c r="DK568" s="424">
        <f t="shared" si="1016"/>
        <v>0</v>
      </c>
      <c r="DL568" s="424">
        <f t="shared" si="1016"/>
        <v>0</v>
      </c>
      <c r="DM568" s="424">
        <f t="shared" si="1016"/>
        <v>0</v>
      </c>
      <c r="DN568" s="424">
        <f t="shared" si="1016"/>
        <v>0</v>
      </c>
      <c r="DO568" s="424">
        <f t="shared" si="1016"/>
        <v>0</v>
      </c>
      <c r="DP568" s="424">
        <f t="shared" si="1016"/>
        <v>0</v>
      </c>
      <c r="DQ568" s="424">
        <f t="shared" si="1016"/>
        <v>0</v>
      </c>
      <c r="DR568" s="424">
        <f t="shared" si="1016"/>
        <v>0</v>
      </c>
      <c r="DS568" s="424">
        <f t="shared" si="1016"/>
        <v>0</v>
      </c>
      <c r="DT568" s="424">
        <f t="shared" si="1016"/>
        <v>0</v>
      </c>
      <c r="DU568" s="424">
        <f t="shared" si="1016"/>
        <v>0</v>
      </c>
      <c r="DV568" s="424">
        <f t="shared" si="1016"/>
        <v>0</v>
      </c>
      <c r="DW568" s="424">
        <f t="shared" si="1016"/>
        <v>0</v>
      </c>
      <c r="DX568" s="424">
        <f t="shared" si="1016"/>
        <v>0</v>
      </c>
      <c r="DY568" s="424">
        <f t="shared" si="1016"/>
        <v>0</v>
      </c>
      <c r="DZ568" s="424">
        <f t="shared" si="1016"/>
        <v>0</v>
      </c>
      <c r="EA568" s="424">
        <f t="shared" si="1016"/>
        <v>0</v>
      </c>
      <c r="EB568" s="424">
        <f t="shared" si="1016"/>
        <v>0</v>
      </c>
      <c r="EC568" s="424">
        <f t="shared" si="1016"/>
        <v>0</v>
      </c>
      <c r="ED568" s="424">
        <f t="shared" si="1016"/>
        <v>0</v>
      </c>
      <c r="EE568" s="424">
        <f t="shared" si="1016"/>
        <v>0</v>
      </c>
      <c r="EF568" s="424">
        <f t="shared" si="1016"/>
        <v>0</v>
      </c>
      <c r="EG568" s="424">
        <f t="shared" si="1016"/>
        <v>0</v>
      </c>
      <c r="EH568" s="424">
        <f t="shared" ref="EH568:EX568" si="1017">EH198*EH$372</f>
        <v>0</v>
      </c>
      <c r="EI568" s="424">
        <f t="shared" si="1017"/>
        <v>0</v>
      </c>
      <c r="EJ568" s="424">
        <f t="shared" si="1017"/>
        <v>0</v>
      </c>
      <c r="EK568" s="424">
        <f t="shared" si="1017"/>
        <v>0</v>
      </c>
      <c r="EL568" s="424">
        <f t="shared" si="1017"/>
        <v>0</v>
      </c>
      <c r="EM568" s="424">
        <f t="shared" si="1017"/>
        <v>0</v>
      </c>
      <c r="EN568" s="424">
        <f t="shared" si="1017"/>
        <v>0</v>
      </c>
      <c r="EO568" s="424">
        <f t="shared" si="1017"/>
        <v>0</v>
      </c>
      <c r="EP568" s="424">
        <f t="shared" si="1017"/>
        <v>0</v>
      </c>
      <c r="EQ568" s="424">
        <f t="shared" si="1017"/>
        <v>0</v>
      </c>
      <c r="ER568" s="424">
        <f t="shared" si="1017"/>
        <v>0</v>
      </c>
      <c r="ES568" s="424">
        <f t="shared" si="1017"/>
        <v>0</v>
      </c>
      <c r="ET568" s="424">
        <f t="shared" si="1017"/>
        <v>0</v>
      </c>
      <c r="EU568" s="424">
        <f t="shared" si="1017"/>
        <v>0</v>
      </c>
      <c r="EV568" s="424">
        <f t="shared" si="1017"/>
        <v>0</v>
      </c>
      <c r="EW568" s="424">
        <f t="shared" si="1017"/>
        <v>0</v>
      </c>
      <c r="EX568" s="424">
        <f t="shared" si="1017"/>
        <v>0</v>
      </c>
      <c r="EY568" s="425">
        <f t="shared" si="699"/>
        <v>42.89</v>
      </c>
      <c r="EZ568" s="616"/>
      <c r="FA568" s="616"/>
      <c r="FB568" s="616"/>
      <c r="FC568" s="616"/>
      <c r="FD568" s="616"/>
      <c r="FE568" s="616"/>
      <c r="FF568" s="616"/>
      <c r="FG568" s="616"/>
      <c r="FH568" s="616"/>
      <c r="FI568" s="616"/>
      <c r="FJ568" s="616"/>
    </row>
    <row r="569" spans="1:166" ht="14.7" customHeight="1" x14ac:dyDescent="0.25">
      <c r="A569" s="310">
        <v>195</v>
      </c>
      <c r="B569" s="311" t="str">
        <f t="shared" si="1005"/>
        <v>Тефтели из говядины 2-й вариант с рисом со сметанным соусом и томатом</v>
      </c>
      <c r="C569" s="483">
        <f t="shared" ref="C569:C634" si="1018">EY569</f>
        <v>36.54</v>
      </c>
      <c r="D569" s="888"/>
      <c r="E569" s="888"/>
      <c r="F569" s="888"/>
      <c r="G569" s="889"/>
      <c r="H569" s="680">
        <f t="shared" si="1006"/>
        <v>279</v>
      </c>
      <c r="I569" s="1209">
        <f t="shared" si="1007"/>
        <v>0.01</v>
      </c>
      <c r="J569" s="424">
        <f t="shared" ref="J569:AO569" si="1019">J199*J$372</f>
        <v>29.12</v>
      </c>
      <c r="K569" s="424">
        <f t="shared" si="1019"/>
        <v>0</v>
      </c>
      <c r="L569" s="424">
        <f t="shared" si="1019"/>
        <v>0</v>
      </c>
      <c r="M569" s="424">
        <f t="shared" si="1019"/>
        <v>0</v>
      </c>
      <c r="N569" s="424">
        <f t="shared" si="1019"/>
        <v>0</v>
      </c>
      <c r="O569" s="424">
        <f t="shared" si="1019"/>
        <v>0</v>
      </c>
      <c r="P569" s="424">
        <f t="shared" si="1019"/>
        <v>0</v>
      </c>
      <c r="Q569" s="424">
        <f t="shared" si="1019"/>
        <v>0</v>
      </c>
      <c r="R569" s="424">
        <f t="shared" si="1019"/>
        <v>0</v>
      </c>
      <c r="S569" s="424">
        <f t="shared" si="1019"/>
        <v>0</v>
      </c>
      <c r="T569" s="424">
        <f t="shared" si="1019"/>
        <v>0</v>
      </c>
      <c r="U569" s="424">
        <f t="shared" si="1019"/>
        <v>0</v>
      </c>
      <c r="V569" s="424">
        <f t="shared" si="1019"/>
        <v>0</v>
      </c>
      <c r="W569" s="424">
        <f t="shared" si="1019"/>
        <v>0</v>
      </c>
      <c r="X569" s="424">
        <f t="shared" si="1019"/>
        <v>0</v>
      </c>
      <c r="Y569" s="424">
        <f t="shared" si="1019"/>
        <v>2.34</v>
      </c>
      <c r="Z569" s="424">
        <f t="shared" si="1019"/>
        <v>0</v>
      </c>
      <c r="AA569" s="424">
        <f t="shared" si="1019"/>
        <v>0</v>
      </c>
      <c r="AB569" s="424">
        <f t="shared" si="1019"/>
        <v>0</v>
      </c>
      <c r="AC569" s="424">
        <f t="shared" si="1019"/>
        <v>0</v>
      </c>
      <c r="AD569" s="424">
        <f t="shared" si="1019"/>
        <v>0</v>
      </c>
      <c r="AE569" s="424">
        <f t="shared" si="1019"/>
        <v>0</v>
      </c>
      <c r="AF569" s="424">
        <f t="shared" si="1019"/>
        <v>0</v>
      </c>
      <c r="AG569" s="424">
        <f t="shared" si="1019"/>
        <v>0</v>
      </c>
      <c r="AH569" s="424">
        <f t="shared" si="1019"/>
        <v>0</v>
      </c>
      <c r="AI569" s="424">
        <f t="shared" si="1019"/>
        <v>0</v>
      </c>
      <c r="AJ569" s="424">
        <f t="shared" si="1019"/>
        <v>0</v>
      </c>
      <c r="AK569" s="424">
        <f t="shared" si="1019"/>
        <v>1.4</v>
      </c>
      <c r="AL569" s="424">
        <f t="shared" si="1019"/>
        <v>0</v>
      </c>
      <c r="AM569" s="424">
        <f t="shared" si="1019"/>
        <v>0</v>
      </c>
      <c r="AN569" s="424">
        <f t="shared" si="1019"/>
        <v>0</v>
      </c>
      <c r="AO569" s="424">
        <f t="shared" si="1019"/>
        <v>0</v>
      </c>
      <c r="AP569" s="424">
        <f t="shared" ref="AP569:BU569" si="1020">AP199*AP$372</f>
        <v>0</v>
      </c>
      <c r="AQ569" s="424">
        <f t="shared" si="1020"/>
        <v>0</v>
      </c>
      <c r="AR569" s="424">
        <f t="shared" si="1020"/>
        <v>0</v>
      </c>
      <c r="AS569" s="424">
        <f t="shared" si="1020"/>
        <v>0</v>
      </c>
      <c r="AT569" s="424">
        <f t="shared" si="1020"/>
        <v>0</v>
      </c>
      <c r="AU569" s="424">
        <f t="shared" si="1020"/>
        <v>0.9</v>
      </c>
      <c r="AV569" s="424">
        <f t="shared" si="1020"/>
        <v>0</v>
      </c>
      <c r="AW569" s="424">
        <f t="shared" si="1020"/>
        <v>0</v>
      </c>
      <c r="AX569" s="424">
        <f t="shared" si="1020"/>
        <v>0</v>
      </c>
      <c r="AY569" s="424">
        <f t="shared" si="1020"/>
        <v>0</v>
      </c>
      <c r="AZ569" s="424">
        <f t="shared" si="1020"/>
        <v>0</v>
      </c>
      <c r="BA569" s="424">
        <f t="shared" si="1020"/>
        <v>0</v>
      </c>
      <c r="BB569" s="424">
        <f t="shared" si="1020"/>
        <v>0</v>
      </c>
      <c r="BC569" s="424">
        <f t="shared" si="1020"/>
        <v>0</v>
      </c>
      <c r="BD569" s="424">
        <f t="shared" si="1020"/>
        <v>0</v>
      </c>
      <c r="BE569" s="424">
        <f t="shared" si="1020"/>
        <v>0</v>
      </c>
      <c r="BF569" s="424">
        <f t="shared" si="1020"/>
        <v>0</v>
      </c>
      <c r="BG569" s="424">
        <f t="shared" si="1020"/>
        <v>0</v>
      </c>
      <c r="BH569" s="424">
        <f t="shared" si="1020"/>
        <v>0</v>
      </c>
      <c r="BI569" s="424">
        <f t="shared" si="1020"/>
        <v>0</v>
      </c>
      <c r="BJ569" s="424">
        <f t="shared" si="1020"/>
        <v>0</v>
      </c>
      <c r="BK569" s="424">
        <f t="shared" si="1020"/>
        <v>0</v>
      </c>
      <c r="BL569" s="424">
        <f t="shared" si="1020"/>
        <v>0</v>
      </c>
      <c r="BM569" s="424">
        <f t="shared" si="1020"/>
        <v>0</v>
      </c>
      <c r="BN569" s="424">
        <f t="shared" si="1020"/>
        <v>0</v>
      </c>
      <c r="BO569" s="424">
        <f t="shared" si="1020"/>
        <v>0</v>
      </c>
      <c r="BP569" s="424">
        <f t="shared" si="1020"/>
        <v>0</v>
      </c>
      <c r="BQ569" s="424">
        <f t="shared" si="1020"/>
        <v>0</v>
      </c>
      <c r="BR569" s="424">
        <f t="shared" si="1020"/>
        <v>0</v>
      </c>
      <c r="BS569" s="424">
        <f t="shared" si="1020"/>
        <v>0.28999999999999998</v>
      </c>
      <c r="BT569" s="424">
        <f t="shared" si="1020"/>
        <v>0</v>
      </c>
      <c r="BU569" s="424">
        <f t="shared" si="1020"/>
        <v>0</v>
      </c>
      <c r="BV569" s="424">
        <f t="shared" ref="BV569:DA569" si="1021">BV199*BV$372</f>
        <v>0</v>
      </c>
      <c r="BW569" s="424">
        <f t="shared" si="1021"/>
        <v>0</v>
      </c>
      <c r="BX569" s="424">
        <f t="shared" si="1021"/>
        <v>0</v>
      </c>
      <c r="BY569" s="424">
        <f t="shared" si="1021"/>
        <v>0</v>
      </c>
      <c r="BZ569" s="424">
        <f t="shared" si="1021"/>
        <v>0</v>
      </c>
      <c r="CA569" s="424">
        <f t="shared" si="1021"/>
        <v>0</v>
      </c>
      <c r="CB569" s="424">
        <f t="shared" si="1021"/>
        <v>0.49</v>
      </c>
      <c r="CC569" s="424">
        <f t="shared" si="1021"/>
        <v>0</v>
      </c>
      <c r="CD569" s="424">
        <f t="shared" si="1021"/>
        <v>0</v>
      </c>
      <c r="CE569" s="424">
        <f t="shared" si="1021"/>
        <v>0</v>
      </c>
      <c r="CF569" s="424">
        <f t="shared" si="1021"/>
        <v>0.96</v>
      </c>
      <c r="CG569" s="424">
        <f t="shared" si="1021"/>
        <v>0</v>
      </c>
      <c r="CH569" s="424">
        <f t="shared" si="1021"/>
        <v>0</v>
      </c>
      <c r="CI569" s="424">
        <f t="shared" si="1021"/>
        <v>0</v>
      </c>
      <c r="CJ569" s="424">
        <f t="shared" si="1021"/>
        <v>0</v>
      </c>
      <c r="CK569" s="424">
        <f t="shared" si="1021"/>
        <v>0</v>
      </c>
      <c r="CL569" s="424">
        <f t="shared" si="1021"/>
        <v>0</v>
      </c>
      <c r="CM569" s="424">
        <f t="shared" si="1021"/>
        <v>0</v>
      </c>
      <c r="CN569" s="424">
        <f t="shared" si="1021"/>
        <v>0</v>
      </c>
      <c r="CO569" s="424">
        <f t="shared" si="1021"/>
        <v>0</v>
      </c>
      <c r="CP569" s="424">
        <f t="shared" si="1021"/>
        <v>0</v>
      </c>
      <c r="CQ569" s="424">
        <f t="shared" si="1021"/>
        <v>0</v>
      </c>
      <c r="CR569" s="424">
        <f t="shared" si="1021"/>
        <v>0</v>
      </c>
      <c r="CS569" s="424">
        <f t="shared" si="1021"/>
        <v>0.02</v>
      </c>
      <c r="CT569" s="424">
        <f t="shared" si="1021"/>
        <v>0</v>
      </c>
      <c r="CU569" s="424">
        <f t="shared" si="1021"/>
        <v>0</v>
      </c>
      <c r="CV569" s="424">
        <f t="shared" si="1021"/>
        <v>0</v>
      </c>
      <c r="CW569" s="424">
        <f t="shared" si="1021"/>
        <v>0</v>
      </c>
      <c r="CX569" s="424">
        <f t="shared" si="1021"/>
        <v>0</v>
      </c>
      <c r="CY569" s="424">
        <f t="shared" si="1021"/>
        <v>0</v>
      </c>
      <c r="CZ569" s="424">
        <f t="shared" si="1021"/>
        <v>0</v>
      </c>
      <c r="DA569" s="424">
        <f t="shared" si="1021"/>
        <v>0</v>
      </c>
      <c r="DB569" s="424">
        <f t="shared" ref="DB569:EG569" si="1022">DB199*DB$372</f>
        <v>0</v>
      </c>
      <c r="DC569" s="424">
        <f t="shared" si="1022"/>
        <v>0.1</v>
      </c>
      <c r="DD569" s="424">
        <f t="shared" si="1022"/>
        <v>0</v>
      </c>
      <c r="DE569" s="424">
        <f t="shared" si="1022"/>
        <v>0</v>
      </c>
      <c r="DF569" s="424">
        <f t="shared" si="1022"/>
        <v>0.92</v>
      </c>
      <c r="DG569" s="424">
        <f t="shared" si="1022"/>
        <v>0</v>
      </c>
      <c r="DH569" s="424">
        <f t="shared" si="1022"/>
        <v>0</v>
      </c>
      <c r="DI569" s="424">
        <f t="shared" si="1022"/>
        <v>0</v>
      </c>
      <c r="DJ569" s="424">
        <f t="shared" si="1022"/>
        <v>0</v>
      </c>
      <c r="DK569" s="424">
        <f t="shared" si="1022"/>
        <v>0</v>
      </c>
      <c r="DL569" s="424">
        <f t="shared" si="1022"/>
        <v>0</v>
      </c>
      <c r="DM569" s="424">
        <f t="shared" si="1022"/>
        <v>0</v>
      </c>
      <c r="DN569" s="424">
        <f t="shared" si="1022"/>
        <v>0</v>
      </c>
      <c r="DO569" s="424">
        <f t="shared" si="1022"/>
        <v>0</v>
      </c>
      <c r="DP569" s="424">
        <f t="shared" si="1022"/>
        <v>0</v>
      </c>
      <c r="DQ569" s="424">
        <f t="shared" si="1022"/>
        <v>0</v>
      </c>
      <c r="DR569" s="424">
        <f t="shared" si="1022"/>
        <v>0</v>
      </c>
      <c r="DS569" s="424">
        <f t="shared" si="1022"/>
        <v>0</v>
      </c>
      <c r="DT569" s="424">
        <f t="shared" si="1022"/>
        <v>0</v>
      </c>
      <c r="DU569" s="424">
        <f t="shared" si="1022"/>
        <v>0</v>
      </c>
      <c r="DV569" s="424">
        <f t="shared" si="1022"/>
        <v>0</v>
      </c>
      <c r="DW569" s="424">
        <f t="shared" si="1022"/>
        <v>0</v>
      </c>
      <c r="DX569" s="424">
        <f t="shared" si="1022"/>
        <v>0</v>
      </c>
      <c r="DY569" s="424">
        <f t="shared" si="1022"/>
        <v>0</v>
      </c>
      <c r="DZ569" s="424">
        <f t="shared" si="1022"/>
        <v>0</v>
      </c>
      <c r="EA569" s="424">
        <f t="shared" si="1022"/>
        <v>0</v>
      </c>
      <c r="EB569" s="424">
        <f t="shared" si="1022"/>
        <v>0</v>
      </c>
      <c r="EC569" s="424">
        <f t="shared" si="1022"/>
        <v>0</v>
      </c>
      <c r="ED569" s="424">
        <f t="shared" si="1022"/>
        <v>0</v>
      </c>
      <c r="EE569" s="424">
        <f t="shared" si="1022"/>
        <v>0</v>
      </c>
      <c r="EF569" s="424">
        <f t="shared" si="1022"/>
        <v>0</v>
      </c>
      <c r="EG569" s="424">
        <f t="shared" si="1022"/>
        <v>0</v>
      </c>
      <c r="EH569" s="424">
        <f t="shared" ref="EH569:EX569" si="1023">EH199*EH$372</f>
        <v>0</v>
      </c>
      <c r="EI569" s="424">
        <f t="shared" si="1023"/>
        <v>0</v>
      </c>
      <c r="EJ569" s="424">
        <f t="shared" si="1023"/>
        <v>0</v>
      </c>
      <c r="EK569" s="424">
        <f t="shared" si="1023"/>
        <v>0</v>
      </c>
      <c r="EL569" s="424">
        <f t="shared" si="1023"/>
        <v>0</v>
      </c>
      <c r="EM569" s="424">
        <f t="shared" si="1023"/>
        <v>0</v>
      </c>
      <c r="EN569" s="424">
        <f t="shared" si="1023"/>
        <v>0</v>
      </c>
      <c r="EO569" s="424">
        <f t="shared" si="1023"/>
        <v>0</v>
      </c>
      <c r="EP569" s="424">
        <f t="shared" si="1023"/>
        <v>0</v>
      </c>
      <c r="EQ569" s="424">
        <f t="shared" si="1023"/>
        <v>0</v>
      </c>
      <c r="ER569" s="424">
        <f t="shared" si="1023"/>
        <v>0</v>
      </c>
      <c r="ES569" s="424">
        <f t="shared" si="1023"/>
        <v>0</v>
      </c>
      <c r="ET569" s="424">
        <f t="shared" si="1023"/>
        <v>0</v>
      </c>
      <c r="EU569" s="424">
        <f t="shared" si="1023"/>
        <v>0</v>
      </c>
      <c r="EV569" s="424">
        <f t="shared" si="1023"/>
        <v>0</v>
      </c>
      <c r="EW569" s="424">
        <f t="shared" si="1023"/>
        <v>0</v>
      </c>
      <c r="EX569" s="424">
        <f t="shared" si="1023"/>
        <v>0</v>
      </c>
      <c r="EY569" s="425">
        <f t="shared" si="699"/>
        <v>36.54</v>
      </c>
    </row>
    <row r="570" spans="1:166" s="528" customFormat="1" ht="14.7" customHeight="1" x14ac:dyDescent="0.25">
      <c r="A570" s="310">
        <v>196</v>
      </c>
      <c r="B570" s="311" t="str">
        <f t="shared" si="1005"/>
        <v>Фрикадельки из говядины в соусе сметанном с томатом</v>
      </c>
      <c r="C570" s="483">
        <f t="shared" si="1018"/>
        <v>36.07</v>
      </c>
      <c r="D570" s="888"/>
      <c r="E570" s="888"/>
      <c r="F570" s="888"/>
      <c r="G570" s="889"/>
      <c r="H570" s="680">
        <f t="shared" si="1006"/>
        <v>280</v>
      </c>
      <c r="I570" s="1209">
        <f t="shared" si="1007"/>
        <v>-0.01</v>
      </c>
      <c r="J570" s="424">
        <f t="shared" ref="J570:AO570" si="1024">J200*J$372</f>
        <v>29.12</v>
      </c>
      <c r="K570" s="424">
        <f t="shared" si="1024"/>
        <v>0</v>
      </c>
      <c r="L570" s="424">
        <f t="shared" si="1024"/>
        <v>0</v>
      </c>
      <c r="M570" s="424">
        <f t="shared" si="1024"/>
        <v>0</v>
      </c>
      <c r="N570" s="424">
        <f t="shared" si="1024"/>
        <v>0</v>
      </c>
      <c r="O570" s="424">
        <f t="shared" si="1024"/>
        <v>0</v>
      </c>
      <c r="P570" s="424">
        <f t="shared" si="1024"/>
        <v>0</v>
      </c>
      <c r="Q570" s="424">
        <f t="shared" si="1024"/>
        <v>0</v>
      </c>
      <c r="R570" s="424">
        <f t="shared" si="1024"/>
        <v>0</v>
      </c>
      <c r="S570" s="424">
        <f t="shared" si="1024"/>
        <v>0</v>
      </c>
      <c r="T570" s="424">
        <f t="shared" si="1024"/>
        <v>0</v>
      </c>
      <c r="U570" s="424">
        <f t="shared" si="1024"/>
        <v>0.48</v>
      </c>
      <c r="V570" s="424">
        <f t="shared" si="1024"/>
        <v>0</v>
      </c>
      <c r="W570" s="424">
        <f t="shared" si="1024"/>
        <v>0</v>
      </c>
      <c r="X570" s="424">
        <f t="shared" si="1024"/>
        <v>0</v>
      </c>
      <c r="Y570" s="424">
        <f t="shared" si="1024"/>
        <v>2.93</v>
      </c>
      <c r="Z570" s="424">
        <f t="shared" si="1024"/>
        <v>0</v>
      </c>
      <c r="AA570" s="424">
        <f t="shared" si="1024"/>
        <v>0</v>
      </c>
      <c r="AB570" s="424">
        <f t="shared" si="1024"/>
        <v>0</v>
      </c>
      <c r="AC570" s="424">
        <f t="shared" si="1024"/>
        <v>0</v>
      </c>
      <c r="AD570" s="424">
        <f t="shared" si="1024"/>
        <v>0</v>
      </c>
      <c r="AE570" s="424">
        <f t="shared" si="1024"/>
        <v>0</v>
      </c>
      <c r="AF570" s="424">
        <f t="shared" si="1024"/>
        <v>0</v>
      </c>
      <c r="AG570" s="424">
        <f t="shared" si="1024"/>
        <v>0</v>
      </c>
      <c r="AH570" s="424">
        <f t="shared" si="1024"/>
        <v>0</v>
      </c>
      <c r="AI570" s="424">
        <f t="shared" si="1024"/>
        <v>0</v>
      </c>
      <c r="AJ570" s="424">
        <f t="shared" si="1024"/>
        <v>0</v>
      </c>
      <c r="AK570" s="424">
        <f t="shared" si="1024"/>
        <v>0.25</v>
      </c>
      <c r="AL570" s="424">
        <f t="shared" si="1024"/>
        <v>0</v>
      </c>
      <c r="AM570" s="424">
        <f t="shared" si="1024"/>
        <v>0</v>
      </c>
      <c r="AN570" s="424">
        <f t="shared" si="1024"/>
        <v>0</v>
      </c>
      <c r="AO570" s="424">
        <f t="shared" si="1024"/>
        <v>0</v>
      </c>
      <c r="AP570" s="424">
        <f t="shared" ref="AP570:BU570" si="1025">AP200*AP$372</f>
        <v>0</v>
      </c>
      <c r="AQ570" s="424">
        <f t="shared" si="1025"/>
        <v>0</v>
      </c>
      <c r="AR570" s="424">
        <f t="shared" si="1025"/>
        <v>0</v>
      </c>
      <c r="AS570" s="424">
        <f t="shared" si="1025"/>
        <v>0</v>
      </c>
      <c r="AT570" s="424">
        <f t="shared" si="1025"/>
        <v>0</v>
      </c>
      <c r="AU570" s="424">
        <f t="shared" si="1025"/>
        <v>0.6</v>
      </c>
      <c r="AV570" s="424">
        <f t="shared" si="1025"/>
        <v>0</v>
      </c>
      <c r="AW570" s="424">
        <f t="shared" si="1025"/>
        <v>0</v>
      </c>
      <c r="AX570" s="424">
        <f t="shared" si="1025"/>
        <v>0</v>
      </c>
      <c r="AY570" s="424">
        <f t="shared" si="1025"/>
        <v>0</v>
      </c>
      <c r="AZ570" s="424">
        <f t="shared" si="1025"/>
        <v>0</v>
      </c>
      <c r="BA570" s="424">
        <f t="shared" si="1025"/>
        <v>0</v>
      </c>
      <c r="BB570" s="424">
        <f t="shared" si="1025"/>
        <v>0</v>
      </c>
      <c r="BC570" s="424">
        <f t="shared" si="1025"/>
        <v>0</v>
      </c>
      <c r="BD570" s="424">
        <f t="shared" si="1025"/>
        <v>0</v>
      </c>
      <c r="BE570" s="424">
        <f t="shared" si="1025"/>
        <v>0</v>
      </c>
      <c r="BF570" s="424">
        <f t="shared" si="1025"/>
        <v>0</v>
      </c>
      <c r="BG570" s="424">
        <f t="shared" si="1025"/>
        <v>0</v>
      </c>
      <c r="BH570" s="424">
        <f t="shared" si="1025"/>
        <v>0</v>
      </c>
      <c r="BI570" s="424">
        <f t="shared" si="1025"/>
        <v>0</v>
      </c>
      <c r="BJ570" s="424">
        <f t="shared" si="1025"/>
        <v>0</v>
      </c>
      <c r="BK570" s="424">
        <f t="shared" si="1025"/>
        <v>0</v>
      </c>
      <c r="BL570" s="424">
        <f t="shared" si="1025"/>
        <v>0</v>
      </c>
      <c r="BM570" s="424">
        <f t="shared" si="1025"/>
        <v>0</v>
      </c>
      <c r="BN570" s="424">
        <f t="shared" si="1025"/>
        <v>0</v>
      </c>
      <c r="BO570" s="424">
        <f t="shared" si="1025"/>
        <v>0</v>
      </c>
      <c r="BP570" s="424">
        <f t="shared" si="1025"/>
        <v>0</v>
      </c>
      <c r="BQ570" s="424">
        <f t="shared" si="1025"/>
        <v>0</v>
      </c>
      <c r="BR570" s="424">
        <f t="shared" si="1025"/>
        <v>0</v>
      </c>
      <c r="BS570" s="424">
        <f t="shared" si="1025"/>
        <v>0.32</v>
      </c>
      <c r="BT570" s="424">
        <f t="shared" si="1025"/>
        <v>0</v>
      </c>
      <c r="BU570" s="424">
        <f t="shared" si="1025"/>
        <v>0</v>
      </c>
      <c r="BV570" s="424">
        <f t="shared" ref="BV570:DA570" si="1026">BV200*BV$372</f>
        <v>0</v>
      </c>
      <c r="BW570" s="424">
        <f t="shared" si="1026"/>
        <v>0</v>
      </c>
      <c r="BX570" s="424">
        <f t="shared" si="1026"/>
        <v>0</v>
      </c>
      <c r="BY570" s="424">
        <f t="shared" si="1026"/>
        <v>0</v>
      </c>
      <c r="BZ570" s="424">
        <f t="shared" si="1026"/>
        <v>0</v>
      </c>
      <c r="CA570" s="424">
        <f t="shared" si="1026"/>
        <v>0</v>
      </c>
      <c r="CB570" s="424">
        <f t="shared" si="1026"/>
        <v>0</v>
      </c>
      <c r="CC570" s="424">
        <f t="shared" si="1026"/>
        <v>0</v>
      </c>
      <c r="CD570" s="424">
        <f t="shared" si="1026"/>
        <v>0</v>
      </c>
      <c r="CE570" s="424">
        <f t="shared" si="1026"/>
        <v>0</v>
      </c>
      <c r="CF570" s="424">
        <f t="shared" si="1026"/>
        <v>0.6</v>
      </c>
      <c r="CG570" s="424">
        <f t="shared" si="1026"/>
        <v>0</v>
      </c>
      <c r="CH570" s="424">
        <f t="shared" si="1026"/>
        <v>0</v>
      </c>
      <c r="CI570" s="424">
        <f t="shared" si="1026"/>
        <v>0</v>
      </c>
      <c r="CJ570" s="424">
        <f t="shared" si="1026"/>
        <v>0</v>
      </c>
      <c r="CK570" s="424">
        <f t="shared" si="1026"/>
        <v>0</v>
      </c>
      <c r="CL570" s="424">
        <f t="shared" si="1026"/>
        <v>0</v>
      </c>
      <c r="CM570" s="424">
        <f t="shared" si="1026"/>
        <v>0</v>
      </c>
      <c r="CN570" s="424">
        <f t="shared" si="1026"/>
        <v>0</v>
      </c>
      <c r="CO570" s="424">
        <f t="shared" si="1026"/>
        <v>0</v>
      </c>
      <c r="CP570" s="424">
        <f t="shared" si="1026"/>
        <v>0</v>
      </c>
      <c r="CQ570" s="424">
        <f t="shared" si="1026"/>
        <v>0</v>
      </c>
      <c r="CR570" s="424">
        <f t="shared" si="1026"/>
        <v>0</v>
      </c>
      <c r="CS570" s="424">
        <f t="shared" si="1026"/>
        <v>0.02</v>
      </c>
      <c r="CT570" s="424">
        <f t="shared" si="1026"/>
        <v>0</v>
      </c>
      <c r="CU570" s="424">
        <f t="shared" si="1026"/>
        <v>0</v>
      </c>
      <c r="CV570" s="424">
        <f t="shared" si="1026"/>
        <v>0</v>
      </c>
      <c r="CW570" s="424">
        <f t="shared" si="1026"/>
        <v>0</v>
      </c>
      <c r="CX570" s="424">
        <f t="shared" si="1026"/>
        <v>0</v>
      </c>
      <c r="CY570" s="424">
        <f t="shared" si="1026"/>
        <v>0</v>
      </c>
      <c r="CZ570" s="424">
        <f t="shared" si="1026"/>
        <v>0</v>
      </c>
      <c r="DA570" s="424">
        <f t="shared" si="1026"/>
        <v>0</v>
      </c>
      <c r="DB570" s="424">
        <f t="shared" ref="DB570:EG570" si="1027">DB200*DB$372</f>
        <v>0</v>
      </c>
      <c r="DC570" s="424">
        <f t="shared" si="1027"/>
        <v>0.08</v>
      </c>
      <c r="DD570" s="424">
        <f t="shared" si="1027"/>
        <v>0</v>
      </c>
      <c r="DE570" s="424">
        <f t="shared" si="1027"/>
        <v>0</v>
      </c>
      <c r="DF570" s="424">
        <f t="shared" si="1027"/>
        <v>1.1499999999999999</v>
      </c>
      <c r="DG570" s="424">
        <f t="shared" si="1027"/>
        <v>0</v>
      </c>
      <c r="DH570" s="424">
        <f t="shared" si="1027"/>
        <v>0</v>
      </c>
      <c r="DI570" s="424">
        <f t="shared" si="1027"/>
        <v>0</v>
      </c>
      <c r="DJ570" s="424">
        <f t="shared" si="1027"/>
        <v>0</v>
      </c>
      <c r="DK570" s="424">
        <f t="shared" si="1027"/>
        <v>0</v>
      </c>
      <c r="DL570" s="424">
        <f t="shared" si="1027"/>
        <v>0</v>
      </c>
      <c r="DM570" s="424">
        <f t="shared" si="1027"/>
        <v>0</v>
      </c>
      <c r="DN570" s="424">
        <f t="shared" si="1027"/>
        <v>0</v>
      </c>
      <c r="DO570" s="424">
        <f t="shared" si="1027"/>
        <v>0</v>
      </c>
      <c r="DP570" s="424">
        <f t="shared" si="1027"/>
        <v>0</v>
      </c>
      <c r="DQ570" s="424">
        <f t="shared" si="1027"/>
        <v>0</v>
      </c>
      <c r="DR570" s="424">
        <f t="shared" si="1027"/>
        <v>0</v>
      </c>
      <c r="DS570" s="424">
        <f t="shared" si="1027"/>
        <v>0</v>
      </c>
      <c r="DT570" s="424">
        <f t="shared" si="1027"/>
        <v>0</v>
      </c>
      <c r="DU570" s="424">
        <f t="shared" si="1027"/>
        <v>0</v>
      </c>
      <c r="DV570" s="424">
        <f t="shared" si="1027"/>
        <v>0</v>
      </c>
      <c r="DW570" s="424">
        <f t="shared" si="1027"/>
        <v>0</v>
      </c>
      <c r="DX570" s="424">
        <f t="shared" si="1027"/>
        <v>0</v>
      </c>
      <c r="DY570" s="424">
        <f t="shared" si="1027"/>
        <v>0</v>
      </c>
      <c r="DZ570" s="424">
        <f t="shared" si="1027"/>
        <v>0</v>
      </c>
      <c r="EA570" s="424">
        <f t="shared" si="1027"/>
        <v>0</v>
      </c>
      <c r="EB570" s="424">
        <f t="shared" si="1027"/>
        <v>0</v>
      </c>
      <c r="EC570" s="424">
        <f t="shared" si="1027"/>
        <v>0</v>
      </c>
      <c r="ED570" s="424">
        <f t="shared" si="1027"/>
        <v>0</v>
      </c>
      <c r="EE570" s="424">
        <f t="shared" si="1027"/>
        <v>0</v>
      </c>
      <c r="EF570" s="424">
        <f t="shared" si="1027"/>
        <v>0</v>
      </c>
      <c r="EG570" s="424">
        <f t="shared" si="1027"/>
        <v>0</v>
      </c>
      <c r="EH570" s="424">
        <f t="shared" ref="EH570:EX570" si="1028">EH200*EH$372</f>
        <v>0</v>
      </c>
      <c r="EI570" s="424">
        <f t="shared" si="1028"/>
        <v>0</v>
      </c>
      <c r="EJ570" s="424">
        <f t="shared" si="1028"/>
        <v>0</v>
      </c>
      <c r="EK570" s="424">
        <f t="shared" si="1028"/>
        <v>0</v>
      </c>
      <c r="EL570" s="424">
        <f t="shared" si="1028"/>
        <v>0</v>
      </c>
      <c r="EM570" s="424">
        <f t="shared" si="1028"/>
        <v>0</v>
      </c>
      <c r="EN570" s="424">
        <f t="shared" si="1028"/>
        <v>0</v>
      </c>
      <c r="EO570" s="424">
        <f t="shared" si="1028"/>
        <v>0</v>
      </c>
      <c r="EP570" s="424">
        <f t="shared" si="1028"/>
        <v>0</v>
      </c>
      <c r="EQ570" s="424">
        <f t="shared" si="1028"/>
        <v>0</v>
      </c>
      <c r="ER570" s="424">
        <f t="shared" si="1028"/>
        <v>0</v>
      </c>
      <c r="ES570" s="424">
        <f t="shared" si="1028"/>
        <v>0</v>
      </c>
      <c r="ET570" s="424">
        <f t="shared" si="1028"/>
        <v>0</v>
      </c>
      <c r="EU570" s="424">
        <f t="shared" si="1028"/>
        <v>0</v>
      </c>
      <c r="EV570" s="424">
        <f t="shared" si="1028"/>
        <v>0.52</v>
      </c>
      <c r="EW570" s="424">
        <f t="shared" si="1028"/>
        <v>0</v>
      </c>
      <c r="EX570" s="424">
        <f t="shared" si="1028"/>
        <v>0</v>
      </c>
      <c r="EY570" s="425">
        <f t="shared" si="699"/>
        <v>36.07</v>
      </c>
      <c r="EZ570" s="616"/>
      <c r="FA570" s="616"/>
      <c r="FB570" s="616"/>
      <c r="FC570" s="616"/>
      <c r="FD570" s="616"/>
      <c r="FE570" s="616"/>
      <c r="FF570" s="616"/>
      <c r="FG570" s="616"/>
      <c r="FH570" s="616"/>
      <c r="FI570" s="616"/>
      <c r="FJ570" s="616"/>
    </row>
    <row r="571" spans="1:166" s="1170" customFormat="1" ht="14.7" customHeight="1" x14ac:dyDescent="0.25">
      <c r="A571" s="310">
        <v>197</v>
      </c>
      <c r="B571" s="311" t="str">
        <f t="shared" si="1005"/>
        <v>Макаронник с мясом</v>
      </c>
      <c r="C571" s="483">
        <f t="shared" si="1018"/>
        <v>126.55</v>
      </c>
      <c r="D571" s="888"/>
      <c r="E571" s="888"/>
      <c r="F571" s="888"/>
      <c r="G571" s="889"/>
      <c r="H571" s="680">
        <f t="shared" si="1006"/>
        <v>285</v>
      </c>
      <c r="I571" s="1209">
        <f t="shared" si="1007"/>
        <v>0</v>
      </c>
      <c r="J571" s="424">
        <f t="shared" ref="J571:AO571" si="1029">J201*J$372</f>
        <v>84</v>
      </c>
      <c r="K571" s="424">
        <f t="shared" si="1029"/>
        <v>0</v>
      </c>
      <c r="L571" s="424">
        <f t="shared" si="1029"/>
        <v>0</v>
      </c>
      <c r="M571" s="424">
        <f t="shared" si="1029"/>
        <v>0</v>
      </c>
      <c r="N571" s="424">
        <f t="shared" si="1029"/>
        <v>0</v>
      </c>
      <c r="O571" s="424">
        <f t="shared" si="1029"/>
        <v>0</v>
      </c>
      <c r="P571" s="424">
        <f t="shared" si="1029"/>
        <v>0</v>
      </c>
      <c r="Q571" s="424">
        <f t="shared" si="1029"/>
        <v>0</v>
      </c>
      <c r="R571" s="424">
        <f t="shared" si="1029"/>
        <v>0</v>
      </c>
      <c r="S571" s="424">
        <f t="shared" si="1029"/>
        <v>0</v>
      </c>
      <c r="T571" s="424">
        <f t="shared" si="1029"/>
        <v>0</v>
      </c>
      <c r="U571" s="424">
        <f t="shared" si="1029"/>
        <v>0</v>
      </c>
      <c r="V571" s="424">
        <f t="shared" si="1029"/>
        <v>37.630000000000003</v>
      </c>
      <c r="W571" s="424">
        <f t="shared" si="1029"/>
        <v>0</v>
      </c>
      <c r="X571" s="424">
        <f t="shared" si="1029"/>
        <v>0</v>
      </c>
      <c r="Y571" s="424">
        <f t="shared" si="1029"/>
        <v>0</v>
      </c>
      <c r="Z571" s="424">
        <f t="shared" si="1029"/>
        <v>0</v>
      </c>
      <c r="AA571" s="424">
        <f t="shared" si="1029"/>
        <v>0</v>
      </c>
      <c r="AB571" s="424">
        <f t="shared" si="1029"/>
        <v>0</v>
      </c>
      <c r="AC571" s="424">
        <f t="shared" si="1029"/>
        <v>0</v>
      </c>
      <c r="AD571" s="424">
        <f t="shared" si="1029"/>
        <v>0</v>
      </c>
      <c r="AE571" s="424">
        <f t="shared" si="1029"/>
        <v>0</v>
      </c>
      <c r="AF571" s="424">
        <f t="shared" si="1029"/>
        <v>0</v>
      </c>
      <c r="AG571" s="424">
        <f t="shared" si="1029"/>
        <v>0</v>
      </c>
      <c r="AH571" s="424">
        <f t="shared" si="1029"/>
        <v>0</v>
      </c>
      <c r="AI571" s="424">
        <f t="shared" si="1029"/>
        <v>0</v>
      </c>
      <c r="AJ571" s="424">
        <f t="shared" si="1029"/>
        <v>0</v>
      </c>
      <c r="AK571" s="424">
        <f t="shared" si="1029"/>
        <v>0.85</v>
      </c>
      <c r="AL571" s="424">
        <f t="shared" si="1029"/>
        <v>0</v>
      </c>
      <c r="AM571" s="424">
        <f t="shared" si="1029"/>
        <v>0</v>
      </c>
      <c r="AN571" s="424">
        <f t="shared" si="1029"/>
        <v>0</v>
      </c>
      <c r="AO571" s="424">
        <f t="shared" si="1029"/>
        <v>0</v>
      </c>
      <c r="AP571" s="424">
        <f t="shared" ref="AP571:BU571" si="1030">AP201*AP$372</f>
        <v>0</v>
      </c>
      <c r="AQ571" s="424">
        <f t="shared" si="1030"/>
        <v>0</v>
      </c>
      <c r="AR571" s="424">
        <f t="shared" si="1030"/>
        <v>0</v>
      </c>
      <c r="AS571" s="424">
        <f t="shared" si="1030"/>
        <v>0</v>
      </c>
      <c r="AT571" s="424">
        <f t="shared" si="1030"/>
        <v>0</v>
      </c>
      <c r="AU571" s="424">
        <f t="shared" si="1030"/>
        <v>0</v>
      </c>
      <c r="AV571" s="424">
        <f t="shared" si="1030"/>
        <v>0</v>
      </c>
      <c r="AW571" s="424">
        <f t="shared" si="1030"/>
        <v>0</v>
      </c>
      <c r="AX571" s="424">
        <f t="shared" si="1030"/>
        <v>0</v>
      </c>
      <c r="AY571" s="424">
        <f t="shared" si="1030"/>
        <v>0</v>
      </c>
      <c r="AZ571" s="424">
        <f t="shared" si="1030"/>
        <v>0</v>
      </c>
      <c r="BA571" s="424">
        <f t="shared" si="1030"/>
        <v>0</v>
      </c>
      <c r="BB571" s="424">
        <f t="shared" si="1030"/>
        <v>0</v>
      </c>
      <c r="BC571" s="424">
        <f t="shared" si="1030"/>
        <v>0</v>
      </c>
      <c r="BD571" s="424">
        <f t="shared" si="1030"/>
        <v>0</v>
      </c>
      <c r="BE571" s="424">
        <f t="shared" si="1030"/>
        <v>0</v>
      </c>
      <c r="BF571" s="424">
        <f t="shared" si="1030"/>
        <v>0</v>
      </c>
      <c r="BG571" s="424">
        <f t="shared" si="1030"/>
        <v>0</v>
      </c>
      <c r="BH571" s="424">
        <f t="shared" si="1030"/>
        <v>0</v>
      </c>
      <c r="BI571" s="424">
        <f t="shared" si="1030"/>
        <v>0</v>
      </c>
      <c r="BJ571" s="424">
        <f t="shared" si="1030"/>
        <v>0</v>
      </c>
      <c r="BK571" s="424">
        <f t="shared" si="1030"/>
        <v>0</v>
      </c>
      <c r="BL571" s="424">
        <f t="shared" si="1030"/>
        <v>0</v>
      </c>
      <c r="BM571" s="424">
        <f t="shared" si="1030"/>
        <v>0</v>
      </c>
      <c r="BN571" s="424">
        <f t="shared" si="1030"/>
        <v>0</v>
      </c>
      <c r="BO571" s="424">
        <f t="shared" si="1030"/>
        <v>0</v>
      </c>
      <c r="BP571" s="424">
        <f t="shared" si="1030"/>
        <v>0</v>
      </c>
      <c r="BQ571" s="424">
        <f t="shared" si="1030"/>
        <v>0</v>
      </c>
      <c r="BR571" s="424">
        <f t="shared" si="1030"/>
        <v>0</v>
      </c>
      <c r="BS571" s="424">
        <f t="shared" si="1030"/>
        <v>0</v>
      </c>
      <c r="BT571" s="424">
        <f t="shared" si="1030"/>
        <v>0</v>
      </c>
      <c r="BU571" s="424">
        <f t="shared" si="1030"/>
        <v>0</v>
      </c>
      <c r="BV571" s="424">
        <f t="shared" ref="BV571:DA571" si="1031">BV201*BV$372</f>
        <v>0</v>
      </c>
      <c r="BW571" s="424">
        <f t="shared" si="1031"/>
        <v>0</v>
      </c>
      <c r="BX571" s="424">
        <f t="shared" si="1031"/>
        <v>0</v>
      </c>
      <c r="BY571" s="424">
        <f t="shared" si="1031"/>
        <v>0</v>
      </c>
      <c r="BZ571" s="424">
        <f t="shared" si="1031"/>
        <v>0</v>
      </c>
      <c r="CA571" s="424">
        <f t="shared" si="1031"/>
        <v>0</v>
      </c>
      <c r="CB571" s="424">
        <f t="shared" si="1031"/>
        <v>0</v>
      </c>
      <c r="CC571" s="424">
        <f t="shared" si="1031"/>
        <v>0</v>
      </c>
      <c r="CD571" s="424">
        <f t="shared" si="1031"/>
        <v>0</v>
      </c>
      <c r="CE571" s="424">
        <f t="shared" si="1031"/>
        <v>0</v>
      </c>
      <c r="CF571" s="424">
        <f t="shared" si="1031"/>
        <v>1.08</v>
      </c>
      <c r="CG571" s="424">
        <f t="shared" si="1031"/>
        <v>2.4500000000000002</v>
      </c>
      <c r="CH571" s="424">
        <f t="shared" si="1031"/>
        <v>0</v>
      </c>
      <c r="CI571" s="424">
        <f t="shared" si="1031"/>
        <v>0</v>
      </c>
      <c r="CJ571" s="424">
        <f t="shared" si="1031"/>
        <v>0</v>
      </c>
      <c r="CK571" s="424">
        <f t="shared" si="1031"/>
        <v>0</v>
      </c>
      <c r="CL571" s="424">
        <f t="shared" si="1031"/>
        <v>0</v>
      </c>
      <c r="CM571" s="424">
        <f t="shared" si="1031"/>
        <v>0</v>
      </c>
      <c r="CN571" s="424">
        <f t="shared" si="1031"/>
        <v>0</v>
      </c>
      <c r="CO571" s="424">
        <f t="shared" si="1031"/>
        <v>0</v>
      </c>
      <c r="CP571" s="424">
        <f t="shared" si="1031"/>
        <v>0</v>
      </c>
      <c r="CQ571" s="424">
        <f t="shared" si="1031"/>
        <v>0</v>
      </c>
      <c r="CR571" s="424">
        <f t="shared" si="1031"/>
        <v>0</v>
      </c>
      <c r="CS571" s="424">
        <f t="shared" si="1031"/>
        <v>0</v>
      </c>
      <c r="CT571" s="424">
        <f t="shared" si="1031"/>
        <v>0</v>
      </c>
      <c r="CU571" s="424">
        <f t="shared" si="1031"/>
        <v>0</v>
      </c>
      <c r="CV571" s="424">
        <f t="shared" si="1031"/>
        <v>0</v>
      </c>
      <c r="CW571" s="424">
        <f t="shared" si="1031"/>
        <v>0</v>
      </c>
      <c r="CX571" s="424">
        <f t="shared" si="1031"/>
        <v>0</v>
      </c>
      <c r="CY571" s="424">
        <f t="shared" si="1031"/>
        <v>0</v>
      </c>
      <c r="CZ571" s="424">
        <f t="shared" si="1031"/>
        <v>0</v>
      </c>
      <c r="DA571" s="424">
        <f t="shared" si="1031"/>
        <v>0</v>
      </c>
      <c r="DB571" s="424">
        <f t="shared" ref="DB571:EG571" si="1032">DB201*DB$372</f>
        <v>0</v>
      </c>
      <c r="DC571" s="424">
        <f t="shared" si="1032"/>
        <v>7.0000000000000007E-2</v>
      </c>
      <c r="DD571" s="424">
        <f t="shared" si="1032"/>
        <v>0.47</v>
      </c>
      <c r="DE571" s="424">
        <f t="shared" si="1032"/>
        <v>0</v>
      </c>
      <c r="DF571" s="424">
        <f t="shared" si="1032"/>
        <v>0</v>
      </c>
      <c r="DG571" s="424">
        <f t="shared" si="1032"/>
        <v>0</v>
      </c>
      <c r="DH571" s="424">
        <f t="shared" si="1032"/>
        <v>0</v>
      </c>
      <c r="DI571" s="424">
        <f t="shared" si="1032"/>
        <v>0</v>
      </c>
      <c r="DJ571" s="424">
        <f t="shared" si="1032"/>
        <v>0</v>
      </c>
      <c r="DK571" s="424">
        <f t="shared" si="1032"/>
        <v>0</v>
      </c>
      <c r="DL571" s="424">
        <f t="shared" si="1032"/>
        <v>0</v>
      </c>
      <c r="DM571" s="424">
        <f t="shared" si="1032"/>
        <v>0</v>
      </c>
      <c r="DN571" s="424">
        <f t="shared" si="1032"/>
        <v>0</v>
      </c>
      <c r="DO571" s="424">
        <f t="shared" si="1032"/>
        <v>0</v>
      </c>
      <c r="DP571" s="424">
        <f t="shared" si="1032"/>
        <v>0</v>
      </c>
      <c r="DQ571" s="424">
        <f t="shared" si="1032"/>
        <v>0</v>
      </c>
      <c r="DR571" s="424">
        <f t="shared" si="1032"/>
        <v>0</v>
      </c>
      <c r="DS571" s="424">
        <f t="shared" si="1032"/>
        <v>0</v>
      </c>
      <c r="DT571" s="424">
        <f t="shared" si="1032"/>
        <v>0</v>
      </c>
      <c r="DU571" s="424">
        <f t="shared" si="1032"/>
        <v>0</v>
      </c>
      <c r="DV571" s="424">
        <f t="shared" si="1032"/>
        <v>0</v>
      </c>
      <c r="DW571" s="424">
        <f t="shared" si="1032"/>
        <v>0</v>
      </c>
      <c r="DX571" s="424">
        <f t="shared" si="1032"/>
        <v>0</v>
      </c>
      <c r="DY571" s="424">
        <f t="shared" si="1032"/>
        <v>0</v>
      </c>
      <c r="DZ571" s="424">
        <f t="shared" si="1032"/>
        <v>0</v>
      </c>
      <c r="EA571" s="424">
        <f t="shared" si="1032"/>
        <v>0</v>
      </c>
      <c r="EB571" s="424">
        <f t="shared" si="1032"/>
        <v>0</v>
      </c>
      <c r="EC571" s="424">
        <f t="shared" si="1032"/>
        <v>0</v>
      </c>
      <c r="ED571" s="424">
        <f t="shared" si="1032"/>
        <v>0</v>
      </c>
      <c r="EE571" s="424">
        <f t="shared" si="1032"/>
        <v>0</v>
      </c>
      <c r="EF571" s="424">
        <f t="shared" si="1032"/>
        <v>0</v>
      </c>
      <c r="EG571" s="424">
        <f t="shared" si="1032"/>
        <v>0</v>
      </c>
      <c r="EH571" s="424">
        <f t="shared" ref="EH571:EX571" si="1033">EH201*EH$372</f>
        <v>0</v>
      </c>
      <c r="EI571" s="424">
        <f t="shared" si="1033"/>
        <v>0</v>
      </c>
      <c r="EJ571" s="424">
        <f t="shared" si="1033"/>
        <v>0</v>
      </c>
      <c r="EK571" s="424">
        <f t="shared" si="1033"/>
        <v>0</v>
      </c>
      <c r="EL571" s="424">
        <f t="shared" si="1033"/>
        <v>0</v>
      </c>
      <c r="EM571" s="424">
        <f t="shared" si="1033"/>
        <v>0</v>
      </c>
      <c r="EN571" s="424">
        <f t="shared" si="1033"/>
        <v>0</v>
      </c>
      <c r="EO571" s="424">
        <f t="shared" si="1033"/>
        <v>0</v>
      </c>
      <c r="EP571" s="424">
        <f t="shared" si="1033"/>
        <v>0</v>
      </c>
      <c r="EQ571" s="424">
        <f t="shared" si="1033"/>
        <v>0</v>
      </c>
      <c r="ER571" s="424">
        <f t="shared" si="1033"/>
        <v>0</v>
      </c>
      <c r="ES571" s="424">
        <f t="shared" si="1033"/>
        <v>0</v>
      </c>
      <c r="ET571" s="424">
        <f t="shared" si="1033"/>
        <v>0</v>
      </c>
      <c r="EU571" s="424">
        <f t="shared" si="1033"/>
        <v>0</v>
      </c>
      <c r="EV571" s="424">
        <f t="shared" si="1033"/>
        <v>0</v>
      </c>
      <c r="EW571" s="424">
        <f t="shared" si="1033"/>
        <v>0</v>
      </c>
      <c r="EX571" s="424">
        <f t="shared" si="1033"/>
        <v>0</v>
      </c>
      <c r="EY571" s="425">
        <f t="shared" si="699"/>
        <v>126.55</v>
      </c>
      <c r="EZ571" s="616"/>
      <c r="FA571" s="616"/>
      <c r="FB571" s="616"/>
      <c r="FC571" s="616"/>
      <c r="FD571" s="616"/>
      <c r="FE571" s="616"/>
      <c r="FF571" s="616"/>
      <c r="FG571" s="616"/>
      <c r="FH571" s="616"/>
      <c r="FI571" s="616"/>
      <c r="FJ571" s="616"/>
    </row>
    <row r="572" spans="1:166" ht="14.7" customHeight="1" x14ac:dyDescent="0.25">
      <c r="A572" s="310">
        <v>198</v>
      </c>
      <c r="B572" s="311" t="str">
        <f t="shared" si="1005"/>
        <v>Голубцы с мясом и рисом в сметанном соусе с томатом</v>
      </c>
      <c r="C572" s="483">
        <f t="shared" si="1018"/>
        <v>40.229999999999997</v>
      </c>
      <c r="D572" s="888"/>
      <c r="E572" s="888"/>
      <c r="F572" s="888"/>
      <c r="G572" s="889"/>
      <c r="H572" s="680">
        <f t="shared" si="1006"/>
        <v>287</v>
      </c>
      <c r="I572" s="1209">
        <f t="shared" si="1007"/>
        <v>-0.01</v>
      </c>
      <c r="J572" s="424">
        <f t="shared" ref="J572:AO572" si="1034">J202*J$372</f>
        <v>30.24</v>
      </c>
      <c r="K572" s="424">
        <f t="shared" si="1034"/>
        <v>0</v>
      </c>
      <c r="L572" s="424">
        <f t="shared" si="1034"/>
        <v>0</v>
      </c>
      <c r="M572" s="424">
        <f t="shared" si="1034"/>
        <v>0</v>
      </c>
      <c r="N572" s="424">
        <f t="shared" si="1034"/>
        <v>0</v>
      </c>
      <c r="O572" s="424">
        <f t="shared" si="1034"/>
        <v>0</v>
      </c>
      <c r="P572" s="424">
        <f t="shared" si="1034"/>
        <v>0</v>
      </c>
      <c r="Q572" s="424">
        <f t="shared" si="1034"/>
        <v>0</v>
      </c>
      <c r="R572" s="424">
        <f t="shared" si="1034"/>
        <v>0</v>
      </c>
      <c r="S572" s="424">
        <f t="shared" si="1034"/>
        <v>0</v>
      </c>
      <c r="T572" s="424">
        <f t="shared" si="1034"/>
        <v>0</v>
      </c>
      <c r="U572" s="424">
        <f t="shared" si="1034"/>
        <v>0</v>
      </c>
      <c r="V572" s="424">
        <f t="shared" si="1034"/>
        <v>0</v>
      </c>
      <c r="W572" s="424">
        <f t="shared" si="1034"/>
        <v>0</v>
      </c>
      <c r="X572" s="424">
        <f t="shared" si="1034"/>
        <v>0</v>
      </c>
      <c r="Y572" s="424">
        <f t="shared" si="1034"/>
        <v>2.93</v>
      </c>
      <c r="Z572" s="424">
        <f t="shared" si="1034"/>
        <v>0</v>
      </c>
      <c r="AA572" s="424">
        <f t="shared" si="1034"/>
        <v>0</v>
      </c>
      <c r="AB572" s="424">
        <f t="shared" si="1034"/>
        <v>0</v>
      </c>
      <c r="AC572" s="424">
        <f t="shared" si="1034"/>
        <v>0</v>
      </c>
      <c r="AD572" s="424">
        <f t="shared" si="1034"/>
        <v>0</v>
      </c>
      <c r="AE572" s="424">
        <f t="shared" si="1034"/>
        <v>0</v>
      </c>
      <c r="AF572" s="424">
        <f t="shared" si="1034"/>
        <v>4.29</v>
      </c>
      <c r="AG572" s="424">
        <f t="shared" si="1034"/>
        <v>0</v>
      </c>
      <c r="AH572" s="424">
        <f t="shared" si="1034"/>
        <v>0</v>
      </c>
      <c r="AI572" s="424">
        <f t="shared" si="1034"/>
        <v>0</v>
      </c>
      <c r="AJ572" s="424">
        <f t="shared" si="1034"/>
        <v>0</v>
      </c>
      <c r="AK572" s="424">
        <f t="shared" si="1034"/>
        <v>0.55000000000000004</v>
      </c>
      <c r="AL572" s="424">
        <f t="shared" si="1034"/>
        <v>0</v>
      </c>
      <c r="AM572" s="424">
        <f t="shared" si="1034"/>
        <v>0</v>
      </c>
      <c r="AN572" s="424">
        <f t="shared" si="1034"/>
        <v>0</v>
      </c>
      <c r="AO572" s="424">
        <f t="shared" si="1034"/>
        <v>0</v>
      </c>
      <c r="AP572" s="424">
        <f t="shared" ref="AP572:BU572" si="1035">AP202*AP$372</f>
        <v>0</v>
      </c>
      <c r="AQ572" s="424">
        <f t="shared" si="1035"/>
        <v>0</v>
      </c>
      <c r="AR572" s="424">
        <f t="shared" si="1035"/>
        <v>0</v>
      </c>
      <c r="AS572" s="424">
        <f t="shared" si="1035"/>
        <v>0</v>
      </c>
      <c r="AT572" s="424">
        <f t="shared" si="1035"/>
        <v>0</v>
      </c>
      <c r="AU572" s="424">
        <f t="shared" si="1035"/>
        <v>0</v>
      </c>
      <c r="AV572" s="424">
        <f t="shared" si="1035"/>
        <v>0</v>
      </c>
      <c r="AW572" s="424">
        <f t="shared" si="1035"/>
        <v>0</v>
      </c>
      <c r="AX572" s="424">
        <f t="shared" si="1035"/>
        <v>0</v>
      </c>
      <c r="AY572" s="424">
        <f t="shared" si="1035"/>
        <v>0</v>
      </c>
      <c r="AZ572" s="424">
        <f t="shared" si="1035"/>
        <v>0</v>
      </c>
      <c r="BA572" s="424">
        <f t="shared" si="1035"/>
        <v>0</v>
      </c>
      <c r="BB572" s="424">
        <f t="shared" si="1035"/>
        <v>0</v>
      </c>
      <c r="BC572" s="424">
        <f t="shared" si="1035"/>
        <v>0</v>
      </c>
      <c r="BD572" s="424">
        <f t="shared" si="1035"/>
        <v>0</v>
      </c>
      <c r="BE572" s="424">
        <f t="shared" si="1035"/>
        <v>0</v>
      </c>
      <c r="BF572" s="424">
        <f t="shared" si="1035"/>
        <v>0</v>
      </c>
      <c r="BG572" s="424">
        <f t="shared" si="1035"/>
        <v>0</v>
      </c>
      <c r="BH572" s="424">
        <f t="shared" si="1035"/>
        <v>0</v>
      </c>
      <c r="BI572" s="424">
        <f t="shared" si="1035"/>
        <v>0</v>
      </c>
      <c r="BJ572" s="424">
        <f t="shared" si="1035"/>
        <v>0</v>
      </c>
      <c r="BK572" s="424">
        <f t="shared" si="1035"/>
        <v>0</v>
      </c>
      <c r="BL572" s="424">
        <f t="shared" si="1035"/>
        <v>0</v>
      </c>
      <c r="BM572" s="424">
        <f t="shared" si="1035"/>
        <v>0</v>
      </c>
      <c r="BN572" s="424">
        <f t="shared" si="1035"/>
        <v>0</v>
      </c>
      <c r="BO572" s="424">
        <f t="shared" si="1035"/>
        <v>0</v>
      </c>
      <c r="BP572" s="424">
        <f t="shared" si="1035"/>
        <v>0</v>
      </c>
      <c r="BQ572" s="424">
        <f t="shared" si="1035"/>
        <v>0</v>
      </c>
      <c r="BR572" s="424">
        <f t="shared" si="1035"/>
        <v>0</v>
      </c>
      <c r="BS572" s="424">
        <f t="shared" si="1035"/>
        <v>0.14000000000000001</v>
      </c>
      <c r="BT572" s="424">
        <f t="shared" si="1035"/>
        <v>0</v>
      </c>
      <c r="BU572" s="424">
        <f t="shared" si="1035"/>
        <v>0</v>
      </c>
      <c r="BV572" s="424">
        <f t="shared" ref="BV572:DA572" si="1036">BV202*BV$372</f>
        <v>0</v>
      </c>
      <c r="BW572" s="424">
        <f t="shared" si="1036"/>
        <v>0</v>
      </c>
      <c r="BX572" s="424">
        <f t="shared" si="1036"/>
        <v>0</v>
      </c>
      <c r="BY572" s="424">
        <f t="shared" si="1036"/>
        <v>0</v>
      </c>
      <c r="BZ572" s="424">
        <f t="shared" si="1036"/>
        <v>0</v>
      </c>
      <c r="CA572" s="424">
        <f t="shared" si="1036"/>
        <v>0</v>
      </c>
      <c r="CB572" s="424">
        <f t="shared" si="1036"/>
        <v>0.49</v>
      </c>
      <c r="CC572" s="424">
        <f t="shared" si="1036"/>
        <v>0</v>
      </c>
      <c r="CD572" s="424">
        <f t="shared" si="1036"/>
        <v>0</v>
      </c>
      <c r="CE572" s="424">
        <f t="shared" si="1036"/>
        <v>0</v>
      </c>
      <c r="CF572" s="424">
        <f t="shared" si="1036"/>
        <v>0.36</v>
      </c>
      <c r="CG572" s="424">
        <f t="shared" si="1036"/>
        <v>0</v>
      </c>
      <c r="CH572" s="424">
        <f t="shared" si="1036"/>
        <v>0</v>
      </c>
      <c r="CI572" s="424">
        <f t="shared" si="1036"/>
        <v>0</v>
      </c>
      <c r="CJ572" s="424">
        <f t="shared" si="1036"/>
        <v>0</v>
      </c>
      <c r="CK572" s="424">
        <f t="shared" si="1036"/>
        <v>0</v>
      </c>
      <c r="CL572" s="424">
        <f t="shared" si="1036"/>
        <v>0</v>
      </c>
      <c r="CM572" s="424">
        <f t="shared" si="1036"/>
        <v>0</v>
      </c>
      <c r="CN572" s="424">
        <f t="shared" si="1036"/>
        <v>0</v>
      </c>
      <c r="CO572" s="424">
        <f t="shared" si="1036"/>
        <v>0</v>
      </c>
      <c r="CP572" s="424">
        <f t="shared" si="1036"/>
        <v>0</v>
      </c>
      <c r="CQ572" s="424">
        <f t="shared" si="1036"/>
        <v>0</v>
      </c>
      <c r="CR572" s="424">
        <f t="shared" si="1036"/>
        <v>0</v>
      </c>
      <c r="CS572" s="424">
        <f t="shared" si="1036"/>
        <v>0</v>
      </c>
      <c r="CT572" s="424">
        <f t="shared" si="1036"/>
        <v>0</v>
      </c>
      <c r="CU572" s="424">
        <f t="shared" si="1036"/>
        <v>0</v>
      </c>
      <c r="CV572" s="424">
        <f t="shared" si="1036"/>
        <v>0</v>
      </c>
      <c r="CW572" s="424">
        <f t="shared" si="1036"/>
        <v>0</v>
      </c>
      <c r="CX572" s="424">
        <f t="shared" si="1036"/>
        <v>0</v>
      </c>
      <c r="CY572" s="424">
        <f t="shared" si="1036"/>
        <v>0</v>
      </c>
      <c r="CZ572" s="424">
        <f t="shared" si="1036"/>
        <v>0</v>
      </c>
      <c r="DA572" s="424">
        <f t="shared" si="1036"/>
        <v>0</v>
      </c>
      <c r="DB572" s="424">
        <f t="shared" ref="DB572:EG572" si="1037">DB202*DB$372</f>
        <v>0</v>
      </c>
      <c r="DC572" s="424">
        <f t="shared" si="1037"/>
        <v>0.08</v>
      </c>
      <c r="DD572" s="424">
        <f t="shared" si="1037"/>
        <v>0</v>
      </c>
      <c r="DE572" s="424">
        <f t="shared" si="1037"/>
        <v>0</v>
      </c>
      <c r="DF572" s="424">
        <f t="shared" si="1037"/>
        <v>1.1499999999999999</v>
      </c>
      <c r="DG572" s="424">
        <f t="shared" si="1037"/>
        <v>0</v>
      </c>
      <c r="DH572" s="424">
        <f t="shared" si="1037"/>
        <v>0</v>
      </c>
      <c r="DI572" s="424">
        <f t="shared" si="1037"/>
        <v>0</v>
      </c>
      <c r="DJ572" s="424">
        <f t="shared" si="1037"/>
        <v>0</v>
      </c>
      <c r="DK572" s="424">
        <f t="shared" si="1037"/>
        <v>0</v>
      </c>
      <c r="DL572" s="424">
        <f t="shared" si="1037"/>
        <v>0</v>
      </c>
      <c r="DM572" s="424">
        <f t="shared" si="1037"/>
        <v>0</v>
      </c>
      <c r="DN572" s="424">
        <f t="shared" si="1037"/>
        <v>0</v>
      </c>
      <c r="DO572" s="424">
        <f t="shared" si="1037"/>
        <v>0</v>
      </c>
      <c r="DP572" s="424">
        <f t="shared" si="1037"/>
        <v>0</v>
      </c>
      <c r="DQ572" s="424">
        <f t="shared" si="1037"/>
        <v>0</v>
      </c>
      <c r="DR572" s="424">
        <f t="shared" si="1037"/>
        <v>0</v>
      </c>
      <c r="DS572" s="424">
        <f t="shared" si="1037"/>
        <v>0</v>
      </c>
      <c r="DT572" s="424">
        <f t="shared" si="1037"/>
        <v>0</v>
      </c>
      <c r="DU572" s="424">
        <f t="shared" si="1037"/>
        <v>0</v>
      </c>
      <c r="DV572" s="424">
        <f t="shared" si="1037"/>
        <v>0</v>
      </c>
      <c r="DW572" s="424">
        <f t="shared" si="1037"/>
        <v>0</v>
      </c>
      <c r="DX572" s="424">
        <f t="shared" si="1037"/>
        <v>0</v>
      </c>
      <c r="DY572" s="424">
        <f t="shared" si="1037"/>
        <v>0</v>
      </c>
      <c r="DZ572" s="424">
        <f t="shared" si="1037"/>
        <v>0</v>
      </c>
      <c r="EA572" s="424">
        <f t="shared" si="1037"/>
        <v>0</v>
      </c>
      <c r="EB572" s="424">
        <f t="shared" si="1037"/>
        <v>0</v>
      </c>
      <c r="EC572" s="424">
        <f t="shared" si="1037"/>
        <v>0</v>
      </c>
      <c r="ED572" s="424">
        <f t="shared" si="1037"/>
        <v>0</v>
      </c>
      <c r="EE572" s="424">
        <f t="shared" si="1037"/>
        <v>0</v>
      </c>
      <c r="EF572" s="424">
        <f t="shared" si="1037"/>
        <v>0</v>
      </c>
      <c r="EG572" s="424">
        <f t="shared" si="1037"/>
        <v>0</v>
      </c>
      <c r="EH572" s="424">
        <f t="shared" ref="EH572:EX572" si="1038">EH202*EH$372</f>
        <v>0</v>
      </c>
      <c r="EI572" s="424">
        <f t="shared" si="1038"/>
        <v>0</v>
      </c>
      <c r="EJ572" s="424">
        <f t="shared" si="1038"/>
        <v>0</v>
      </c>
      <c r="EK572" s="424">
        <f t="shared" si="1038"/>
        <v>0</v>
      </c>
      <c r="EL572" s="424">
        <f t="shared" si="1038"/>
        <v>0</v>
      </c>
      <c r="EM572" s="424">
        <f t="shared" si="1038"/>
        <v>0</v>
      </c>
      <c r="EN572" s="424">
        <f t="shared" si="1038"/>
        <v>0</v>
      </c>
      <c r="EO572" s="424">
        <f t="shared" si="1038"/>
        <v>0</v>
      </c>
      <c r="EP572" s="424">
        <f t="shared" si="1038"/>
        <v>0</v>
      </c>
      <c r="EQ572" s="424">
        <f t="shared" si="1038"/>
        <v>0</v>
      </c>
      <c r="ER572" s="424">
        <f t="shared" si="1038"/>
        <v>0</v>
      </c>
      <c r="ES572" s="424">
        <f t="shared" si="1038"/>
        <v>0</v>
      </c>
      <c r="ET572" s="424">
        <f t="shared" si="1038"/>
        <v>0</v>
      </c>
      <c r="EU572" s="424">
        <f t="shared" si="1038"/>
        <v>0</v>
      </c>
      <c r="EV572" s="424">
        <f t="shared" si="1038"/>
        <v>0</v>
      </c>
      <c r="EW572" s="424">
        <f t="shared" si="1038"/>
        <v>0</v>
      </c>
      <c r="EX572" s="424">
        <f t="shared" si="1038"/>
        <v>0</v>
      </c>
      <c r="EY572" s="425">
        <f t="shared" si="699"/>
        <v>40.229999999999997</v>
      </c>
    </row>
    <row r="573" spans="1:166" s="467" customFormat="1" ht="14.7" customHeight="1" x14ac:dyDescent="0.25">
      <c r="A573" s="310">
        <v>199</v>
      </c>
      <c r="B573" s="311" t="str">
        <f t="shared" si="1005"/>
        <v>Птица отварная со сметанным соусом и томатом</v>
      </c>
      <c r="C573" s="483">
        <f t="shared" si="1018"/>
        <v>38.520000000000003</v>
      </c>
      <c r="D573" s="888"/>
      <c r="E573" s="888"/>
      <c r="F573" s="888"/>
      <c r="G573" s="889"/>
      <c r="H573" s="680">
        <f t="shared" si="1006"/>
        <v>288</v>
      </c>
      <c r="I573" s="1209">
        <f t="shared" si="1007"/>
        <v>0.01</v>
      </c>
      <c r="J573" s="424">
        <f t="shared" ref="J573:AO573" si="1039">J203*J$372</f>
        <v>0</v>
      </c>
      <c r="K573" s="424">
        <f t="shared" si="1039"/>
        <v>0</v>
      </c>
      <c r="L573" s="424">
        <f t="shared" si="1039"/>
        <v>28.47</v>
      </c>
      <c r="M573" s="424">
        <f t="shared" si="1039"/>
        <v>0</v>
      </c>
      <c r="N573" s="424">
        <f t="shared" si="1039"/>
        <v>0</v>
      </c>
      <c r="O573" s="424">
        <f t="shared" si="1039"/>
        <v>0</v>
      </c>
      <c r="P573" s="424">
        <f t="shared" si="1039"/>
        <v>0</v>
      </c>
      <c r="Q573" s="424">
        <f t="shared" si="1039"/>
        <v>0</v>
      </c>
      <c r="R573" s="424">
        <f t="shared" si="1039"/>
        <v>0</v>
      </c>
      <c r="S573" s="424">
        <f t="shared" si="1039"/>
        <v>0</v>
      </c>
      <c r="T573" s="424">
        <f t="shared" si="1039"/>
        <v>0</v>
      </c>
      <c r="U573" s="424">
        <f t="shared" si="1039"/>
        <v>0</v>
      </c>
      <c r="V573" s="424">
        <f t="shared" si="1039"/>
        <v>4.97</v>
      </c>
      <c r="W573" s="424">
        <f t="shared" si="1039"/>
        <v>0</v>
      </c>
      <c r="X573" s="424">
        <f t="shared" si="1039"/>
        <v>0</v>
      </c>
      <c r="Y573" s="424">
        <f t="shared" si="1039"/>
        <v>2.34</v>
      </c>
      <c r="Z573" s="424">
        <f t="shared" si="1039"/>
        <v>0</v>
      </c>
      <c r="AA573" s="424">
        <f t="shared" si="1039"/>
        <v>0</v>
      </c>
      <c r="AB573" s="424">
        <f t="shared" si="1039"/>
        <v>0</v>
      </c>
      <c r="AC573" s="424">
        <f t="shared" si="1039"/>
        <v>0</v>
      </c>
      <c r="AD573" s="424">
        <f t="shared" si="1039"/>
        <v>0</v>
      </c>
      <c r="AE573" s="424">
        <f t="shared" si="1039"/>
        <v>0</v>
      </c>
      <c r="AF573" s="424">
        <f t="shared" si="1039"/>
        <v>0</v>
      </c>
      <c r="AG573" s="424">
        <f t="shared" si="1039"/>
        <v>0</v>
      </c>
      <c r="AH573" s="424">
        <f t="shared" si="1039"/>
        <v>0</v>
      </c>
      <c r="AI573" s="424">
        <f t="shared" si="1039"/>
        <v>0</v>
      </c>
      <c r="AJ573" s="424">
        <f t="shared" si="1039"/>
        <v>0</v>
      </c>
      <c r="AK573" s="424">
        <f t="shared" si="1039"/>
        <v>0.18</v>
      </c>
      <c r="AL573" s="424">
        <f t="shared" si="1039"/>
        <v>0</v>
      </c>
      <c r="AM573" s="424">
        <f t="shared" si="1039"/>
        <v>0</v>
      </c>
      <c r="AN573" s="424">
        <f t="shared" si="1039"/>
        <v>0</v>
      </c>
      <c r="AO573" s="424">
        <f t="shared" si="1039"/>
        <v>0</v>
      </c>
      <c r="AP573" s="424">
        <f t="shared" ref="AP573:BU573" si="1040">AP203*AP$372</f>
        <v>0</v>
      </c>
      <c r="AQ573" s="424">
        <f t="shared" si="1040"/>
        <v>0</v>
      </c>
      <c r="AR573" s="424">
        <f t="shared" si="1040"/>
        <v>0</v>
      </c>
      <c r="AS573" s="424">
        <f t="shared" si="1040"/>
        <v>0</v>
      </c>
      <c r="AT573" s="424">
        <f t="shared" si="1040"/>
        <v>0.63</v>
      </c>
      <c r="AU573" s="424">
        <f t="shared" si="1040"/>
        <v>0.6</v>
      </c>
      <c r="AV573" s="424">
        <f t="shared" si="1040"/>
        <v>0</v>
      </c>
      <c r="AW573" s="424">
        <f t="shared" si="1040"/>
        <v>0</v>
      </c>
      <c r="AX573" s="424">
        <f t="shared" si="1040"/>
        <v>0</v>
      </c>
      <c r="AY573" s="424">
        <f t="shared" si="1040"/>
        <v>0</v>
      </c>
      <c r="AZ573" s="424">
        <f t="shared" si="1040"/>
        <v>0</v>
      </c>
      <c r="BA573" s="424">
        <f t="shared" si="1040"/>
        <v>0</v>
      </c>
      <c r="BB573" s="424">
        <f t="shared" si="1040"/>
        <v>0</v>
      </c>
      <c r="BC573" s="424">
        <f t="shared" si="1040"/>
        <v>0</v>
      </c>
      <c r="BD573" s="424">
        <f t="shared" si="1040"/>
        <v>0</v>
      </c>
      <c r="BE573" s="424">
        <f t="shared" si="1040"/>
        <v>0</v>
      </c>
      <c r="BF573" s="424">
        <f t="shared" si="1040"/>
        <v>0</v>
      </c>
      <c r="BG573" s="424">
        <f t="shared" si="1040"/>
        <v>0</v>
      </c>
      <c r="BH573" s="424">
        <f t="shared" si="1040"/>
        <v>0</v>
      </c>
      <c r="BI573" s="424">
        <f t="shared" si="1040"/>
        <v>0</v>
      </c>
      <c r="BJ573" s="424">
        <f t="shared" si="1040"/>
        <v>0</v>
      </c>
      <c r="BK573" s="424">
        <f t="shared" si="1040"/>
        <v>0</v>
      </c>
      <c r="BL573" s="424">
        <f t="shared" si="1040"/>
        <v>0</v>
      </c>
      <c r="BM573" s="424">
        <f t="shared" si="1040"/>
        <v>0</v>
      </c>
      <c r="BN573" s="424">
        <f t="shared" si="1040"/>
        <v>0</v>
      </c>
      <c r="BO573" s="424">
        <f t="shared" si="1040"/>
        <v>0</v>
      </c>
      <c r="BP573" s="424">
        <f t="shared" si="1040"/>
        <v>0</v>
      </c>
      <c r="BQ573" s="424">
        <f t="shared" si="1040"/>
        <v>0</v>
      </c>
      <c r="BR573" s="424">
        <f t="shared" si="1040"/>
        <v>0</v>
      </c>
      <c r="BS573" s="424">
        <f t="shared" si="1040"/>
        <v>0.11</v>
      </c>
      <c r="BT573" s="424">
        <f t="shared" si="1040"/>
        <v>0</v>
      </c>
      <c r="BU573" s="424">
        <f t="shared" si="1040"/>
        <v>0</v>
      </c>
      <c r="BV573" s="424">
        <f t="shared" ref="BV573:DA573" si="1041">BV203*BV$372</f>
        <v>0</v>
      </c>
      <c r="BW573" s="424">
        <f t="shared" si="1041"/>
        <v>0</v>
      </c>
      <c r="BX573" s="424">
        <f t="shared" si="1041"/>
        <v>0</v>
      </c>
      <c r="BY573" s="424">
        <f t="shared" si="1041"/>
        <v>0</v>
      </c>
      <c r="BZ573" s="424">
        <f t="shared" si="1041"/>
        <v>0</v>
      </c>
      <c r="CA573" s="424">
        <f t="shared" si="1041"/>
        <v>0</v>
      </c>
      <c r="CB573" s="424">
        <f t="shared" si="1041"/>
        <v>0</v>
      </c>
      <c r="CC573" s="424">
        <f t="shared" si="1041"/>
        <v>0</v>
      </c>
      <c r="CD573" s="424">
        <f t="shared" si="1041"/>
        <v>0</v>
      </c>
      <c r="CE573" s="424">
        <f t="shared" si="1041"/>
        <v>0</v>
      </c>
      <c r="CF573" s="424">
        <f t="shared" si="1041"/>
        <v>0</v>
      </c>
      <c r="CG573" s="424">
        <f t="shared" si="1041"/>
        <v>0</v>
      </c>
      <c r="CH573" s="424">
        <f t="shared" si="1041"/>
        <v>0</v>
      </c>
      <c r="CI573" s="424">
        <f t="shared" si="1041"/>
        <v>0</v>
      </c>
      <c r="CJ573" s="424">
        <f t="shared" si="1041"/>
        <v>0</v>
      </c>
      <c r="CK573" s="424">
        <f t="shared" si="1041"/>
        <v>0</v>
      </c>
      <c r="CL573" s="424">
        <f t="shared" si="1041"/>
        <v>0</v>
      </c>
      <c r="CM573" s="424">
        <f t="shared" si="1041"/>
        <v>0</v>
      </c>
      <c r="CN573" s="424">
        <f t="shared" si="1041"/>
        <v>0</v>
      </c>
      <c r="CO573" s="424">
        <f t="shared" si="1041"/>
        <v>0</v>
      </c>
      <c r="CP573" s="424">
        <f t="shared" si="1041"/>
        <v>0</v>
      </c>
      <c r="CQ573" s="424">
        <f t="shared" si="1041"/>
        <v>0</v>
      </c>
      <c r="CR573" s="424">
        <f t="shared" si="1041"/>
        <v>0</v>
      </c>
      <c r="CS573" s="424">
        <f t="shared" si="1041"/>
        <v>0.2</v>
      </c>
      <c r="CT573" s="424">
        <f t="shared" si="1041"/>
        <v>0</v>
      </c>
      <c r="CU573" s="424">
        <f t="shared" si="1041"/>
        <v>0</v>
      </c>
      <c r="CV573" s="424">
        <f t="shared" si="1041"/>
        <v>0</v>
      </c>
      <c r="CW573" s="424">
        <f t="shared" si="1041"/>
        <v>0</v>
      </c>
      <c r="CX573" s="424">
        <f t="shared" si="1041"/>
        <v>0</v>
      </c>
      <c r="CY573" s="424">
        <f t="shared" si="1041"/>
        <v>0</v>
      </c>
      <c r="CZ573" s="424">
        <f t="shared" si="1041"/>
        <v>0</v>
      </c>
      <c r="DA573" s="424">
        <f t="shared" si="1041"/>
        <v>0</v>
      </c>
      <c r="DB573" s="424">
        <f t="shared" ref="DB573:EG573" si="1042">DB203*DB$372</f>
        <v>0</v>
      </c>
      <c r="DC573" s="424">
        <f t="shared" si="1042"/>
        <v>0.1</v>
      </c>
      <c r="DD573" s="424">
        <f t="shared" si="1042"/>
        <v>0</v>
      </c>
      <c r="DE573" s="424">
        <f t="shared" si="1042"/>
        <v>0</v>
      </c>
      <c r="DF573" s="424">
        <f t="shared" si="1042"/>
        <v>0.92</v>
      </c>
      <c r="DG573" s="424">
        <f t="shared" si="1042"/>
        <v>0</v>
      </c>
      <c r="DH573" s="424">
        <f t="shared" si="1042"/>
        <v>0</v>
      </c>
      <c r="DI573" s="424">
        <f t="shared" si="1042"/>
        <v>0</v>
      </c>
      <c r="DJ573" s="424">
        <f t="shared" si="1042"/>
        <v>0</v>
      </c>
      <c r="DK573" s="424">
        <f t="shared" si="1042"/>
        <v>0</v>
      </c>
      <c r="DL573" s="424">
        <f t="shared" si="1042"/>
        <v>0</v>
      </c>
      <c r="DM573" s="424">
        <f t="shared" si="1042"/>
        <v>0</v>
      </c>
      <c r="DN573" s="424">
        <f t="shared" si="1042"/>
        <v>0</v>
      </c>
      <c r="DO573" s="424">
        <f t="shared" si="1042"/>
        <v>0</v>
      </c>
      <c r="DP573" s="424">
        <f t="shared" si="1042"/>
        <v>0</v>
      </c>
      <c r="DQ573" s="424">
        <f t="shared" si="1042"/>
        <v>0</v>
      </c>
      <c r="DR573" s="424">
        <f t="shared" si="1042"/>
        <v>0</v>
      </c>
      <c r="DS573" s="424">
        <f t="shared" si="1042"/>
        <v>0</v>
      </c>
      <c r="DT573" s="424">
        <f t="shared" si="1042"/>
        <v>0</v>
      </c>
      <c r="DU573" s="424">
        <f t="shared" si="1042"/>
        <v>0</v>
      </c>
      <c r="DV573" s="424">
        <f t="shared" si="1042"/>
        <v>0</v>
      </c>
      <c r="DW573" s="424">
        <f t="shared" si="1042"/>
        <v>0</v>
      </c>
      <c r="DX573" s="424">
        <f t="shared" si="1042"/>
        <v>0</v>
      </c>
      <c r="DY573" s="424">
        <f t="shared" si="1042"/>
        <v>0</v>
      </c>
      <c r="DZ573" s="424">
        <f t="shared" si="1042"/>
        <v>0</v>
      </c>
      <c r="EA573" s="424">
        <f t="shared" si="1042"/>
        <v>0</v>
      </c>
      <c r="EB573" s="424">
        <f t="shared" si="1042"/>
        <v>0</v>
      </c>
      <c r="EC573" s="424">
        <f t="shared" si="1042"/>
        <v>0</v>
      </c>
      <c r="ED573" s="424">
        <f t="shared" si="1042"/>
        <v>0</v>
      </c>
      <c r="EE573" s="424">
        <f t="shared" si="1042"/>
        <v>0</v>
      </c>
      <c r="EF573" s="424">
        <f t="shared" si="1042"/>
        <v>0</v>
      </c>
      <c r="EG573" s="424">
        <f t="shared" si="1042"/>
        <v>0</v>
      </c>
      <c r="EH573" s="424">
        <f t="shared" ref="EH573:EX573" si="1043">EH203*EH$372</f>
        <v>0</v>
      </c>
      <c r="EI573" s="424">
        <f t="shared" si="1043"/>
        <v>0</v>
      </c>
      <c r="EJ573" s="424">
        <f t="shared" si="1043"/>
        <v>0</v>
      </c>
      <c r="EK573" s="424">
        <f t="shared" si="1043"/>
        <v>0</v>
      </c>
      <c r="EL573" s="424">
        <f t="shared" si="1043"/>
        <v>0</v>
      </c>
      <c r="EM573" s="424">
        <f t="shared" si="1043"/>
        <v>0</v>
      </c>
      <c r="EN573" s="424">
        <f t="shared" si="1043"/>
        <v>0</v>
      </c>
      <c r="EO573" s="424">
        <f t="shared" si="1043"/>
        <v>0</v>
      </c>
      <c r="EP573" s="424">
        <f t="shared" si="1043"/>
        <v>0</v>
      </c>
      <c r="EQ573" s="424">
        <f t="shared" si="1043"/>
        <v>0</v>
      </c>
      <c r="ER573" s="424">
        <f t="shared" si="1043"/>
        <v>0</v>
      </c>
      <c r="ES573" s="424">
        <f t="shared" si="1043"/>
        <v>0</v>
      </c>
      <c r="ET573" s="424">
        <f t="shared" si="1043"/>
        <v>0</v>
      </c>
      <c r="EU573" s="424">
        <f t="shared" si="1043"/>
        <v>0</v>
      </c>
      <c r="EV573" s="424">
        <f t="shared" si="1043"/>
        <v>0</v>
      </c>
      <c r="EW573" s="424">
        <f t="shared" si="1043"/>
        <v>0</v>
      </c>
      <c r="EX573" s="424">
        <f t="shared" si="1043"/>
        <v>0</v>
      </c>
      <c r="EY573" s="425">
        <f t="shared" si="699"/>
        <v>38.520000000000003</v>
      </c>
      <c r="EZ573" s="616"/>
      <c r="FA573" s="616"/>
      <c r="FB573" s="616"/>
      <c r="FC573" s="616"/>
      <c r="FD573" s="616"/>
      <c r="FE573" s="616"/>
      <c r="FF573" s="616"/>
      <c r="FG573" s="616"/>
      <c r="FH573" s="616"/>
      <c r="FI573" s="616"/>
      <c r="FJ573" s="616"/>
    </row>
    <row r="574" spans="1:166" ht="14.7" customHeight="1" x14ac:dyDescent="0.25">
      <c r="A574" s="310">
        <v>200</v>
      </c>
      <c r="B574" s="311" t="str">
        <f t="shared" si="1005"/>
        <v>Птица отварная (куриные окорочка)</v>
      </c>
      <c r="C574" s="483">
        <f t="shared" si="1018"/>
        <v>20.84</v>
      </c>
      <c r="D574" s="888"/>
      <c r="E574" s="888"/>
      <c r="F574" s="888"/>
      <c r="G574" s="889"/>
      <c r="H574" s="680">
        <f t="shared" si="1006"/>
        <v>288</v>
      </c>
      <c r="I574" s="1209">
        <f t="shared" si="1007"/>
        <v>-0.01</v>
      </c>
      <c r="J574" s="424">
        <f t="shared" ref="J574:AO574" si="1044">J204*J$372</f>
        <v>0</v>
      </c>
      <c r="K574" s="424">
        <f t="shared" si="1044"/>
        <v>13.7</v>
      </c>
      <c r="L574" s="424">
        <f t="shared" si="1044"/>
        <v>0</v>
      </c>
      <c r="M574" s="424">
        <f t="shared" si="1044"/>
        <v>0</v>
      </c>
      <c r="N574" s="424">
        <f t="shared" si="1044"/>
        <v>0</v>
      </c>
      <c r="O574" s="424">
        <f t="shared" si="1044"/>
        <v>0</v>
      </c>
      <c r="P574" s="424">
        <f t="shared" si="1044"/>
        <v>0</v>
      </c>
      <c r="Q574" s="424">
        <f t="shared" si="1044"/>
        <v>0</v>
      </c>
      <c r="R574" s="424">
        <f t="shared" si="1044"/>
        <v>0</v>
      </c>
      <c r="S574" s="424">
        <f t="shared" si="1044"/>
        <v>0</v>
      </c>
      <c r="T574" s="424">
        <f t="shared" si="1044"/>
        <v>0</v>
      </c>
      <c r="U574" s="424">
        <f t="shared" si="1044"/>
        <v>0</v>
      </c>
      <c r="V574" s="424">
        <f t="shared" si="1044"/>
        <v>3.55</v>
      </c>
      <c r="W574" s="424">
        <f t="shared" si="1044"/>
        <v>0</v>
      </c>
      <c r="X574" s="424">
        <f t="shared" si="1044"/>
        <v>0</v>
      </c>
      <c r="Y574" s="424">
        <f t="shared" si="1044"/>
        <v>1.76</v>
      </c>
      <c r="Z574" s="424">
        <f t="shared" si="1044"/>
        <v>0</v>
      </c>
      <c r="AA574" s="424">
        <f t="shared" si="1044"/>
        <v>0</v>
      </c>
      <c r="AB574" s="424">
        <f t="shared" si="1044"/>
        <v>0</v>
      </c>
      <c r="AC574" s="424">
        <f t="shared" si="1044"/>
        <v>0</v>
      </c>
      <c r="AD574" s="424">
        <f t="shared" si="1044"/>
        <v>0</v>
      </c>
      <c r="AE574" s="424">
        <f t="shared" si="1044"/>
        <v>0</v>
      </c>
      <c r="AF574" s="424">
        <f t="shared" si="1044"/>
        <v>0</v>
      </c>
      <c r="AG574" s="424">
        <f t="shared" si="1044"/>
        <v>0</v>
      </c>
      <c r="AH574" s="424">
        <f t="shared" si="1044"/>
        <v>0</v>
      </c>
      <c r="AI574" s="424">
        <f t="shared" si="1044"/>
        <v>0</v>
      </c>
      <c r="AJ574" s="424">
        <f t="shared" si="1044"/>
        <v>0</v>
      </c>
      <c r="AK574" s="424">
        <f t="shared" si="1044"/>
        <v>0.13</v>
      </c>
      <c r="AL574" s="424">
        <f t="shared" si="1044"/>
        <v>0</v>
      </c>
      <c r="AM574" s="424">
        <f t="shared" si="1044"/>
        <v>0</v>
      </c>
      <c r="AN574" s="424">
        <f t="shared" si="1044"/>
        <v>0</v>
      </c>
      <c r="AO574" s="424">
        <f t="shared" si="1044"/>
        <v>0</v>
      </c>
      <c r="AP574" s="424">
        <f t="shared" ref="AP574:BU574" si="1045">AP204*AP$372</f>
        <v>0</v>
      </c>
      <c r="AQ574" s="424">
        <f t="shared" si="1045"/>
        <v>0</v>
      </c>
      <c r="AR574" s="424">
        <f t="shared" si="1045"/>
        <v>0</v>
      </c>
      <c r="AS574" s="424">
        <f t="shared" si="1045"/>
        <v>0</v>
      </c>
      <c r="AT574" s="424">
        <f t="shared" si="1045"/>
        <v>0.45</v>
      </c>
      <c r="AU574" s="424">
        <f t="shared" si="1045"/>
        <v>0.3</v>
      </c>
      <c r="AV574" s="424">
        <f t="shared" si="1045"/>
        <v>0</v>
      </c>
      <c r="AW574" s="424">
        <f t="shared" si="1045"/>
        <v>0</v>
      </c>
      <c r="AX574" s="424">
        <f t="shared" si="1045"/>
        <v>0</v>
      </c>
      <c r="AY574" s="424">
        <f t="shared" si="1045"/>
        <v>0</v>
      </c>
      <c r="AZ574" s="424">
        <f t="shared" si="1045"/>
        <v>0</v>
      </c>
      <c r="BA574" s="424">
        <f t="shared" si="1045"/>
        <v>0</v>
      </c>
      <c r="BB574" s="424">
        <f t="shared" si="1045"/>
        <v>0</v>
      </c>
      <c r="BC574" s="424">
        <f t="shared" si="1045"/>
        <v>0</v>
      </c>
      <c r="BD574" s="424">
        <f t="shared" si="1045"/>
        <v>0</v>
      </c>
      <c r="BE574" s="424">
        <f t="shared" si="1045"/>
        <v>0</v>
      </c>
      <c r="BF574" s="424">
        <f t="shared" si="1045"/>
        <v>0</v>
      </c>
      <c r="BG574" s="424">
        <f t="shared" si="1045"/>
        <v>0</v>
      </c>
      <c r="BH574" s="424">
        <f t="shared" si="1045"/>
        <v>0</v>
      </c>
      <c r="BI574" s="424">
        <f t="shared" si="1045"/>
        <v>0</v>
      </c>
      <c r="BJ574" s="424">
        <f t="shared" si="1045"/>
        <v>0</v>
      </c>
      <c r="BK574" s="424">
        <f t="shared" si="1045"/>
        <v>0</v>
      </c>
      <c r="BL574" s="424">
        <f t="shared" si="1045"/>
        <v>0</v>
      </c>
      <c r="BM574" s="424">
        <f t="shared" si="1045"/>
        <v>0</v>
      </c>
      <c r="BN574" s="424">
        <f t="shared" si="1045"/>
        <v>0</v>
      </c>
      <c r="BO574" s="424">
        <f t="shared" si="1045"/>
        <v>0</v>
      </c>
      <c r="BP574" s="424">
        <f t="shared" si="1045"/>
        <v>0</v>
      </c>
      <c r="BQ574" s="424">
        <f t="shared" si="1045"/>
        <v>0</v>
      </c>
      <c r="BR574" s="424">
        <f t="shared" si="1045"/>
        <v>0</v>
      </c>
      <c r="BS574" s="424">
        <f t="shared" si="1045"/>
        <v>0.08</v>
      </c>
      <c r="BT574" s="424">
        <f t="shared" si="1045"/>
        <v>0</v>
      </c>
      <c r="BU574" s="424">
        <f t="shared" si="1045"/>
        <v>0</v>
      </c>
      <c r="BV574" s="424">
        <f t="shared" ref="BV574:DA574" si="1046">BV204*BV$372</f>
        <v>0</v>
      </c>
      <c r="BW574" s="424">
        <f t="shared" si="1046"/>
        <v>0</v>
      </c>
      <c r="BX574" s="424">
        <f t="shared" si="1046"/>
        <v>0</v>
      </c>
      <c r="BY574" s="424">
        <f t="shared" si="1046"/>
        <v>0</v>
      </c>
      <c r="BZ574" s="424">
        <f t="shared" si="1046"/>
        <v>0</v>
      </c>
      <c r="CA574" s="424">
        <f t="shared" si="1046"/>
        <v>0</v>
      </c>
      <c r="CB574" s="424">
        <f t="shared" si="1046"/>
        <v>0</v>
      </c>
      <c r="CC574" s="424">
        <f t="shared" si="1046"/>
        <v>0</v>
      </c>
      <c r="CD574" s="424">
        <f t="shared" si="1046"/>
        <v>0</v>
      </c>
      <c r="CE574" s="424">
        <f t="shared" si="1046"/>
        <v>0</v>
      </c>
      <c r="CF574" s="424">
        <f t="shared" si="1046"/>
        <v>0</v>
      </c>
      <c r="CG574" s="424">
        <f t="shared" si="1046"/>
        <v>0</v>
      </c>
      <c r="CH574" s="424">
        <f t="shared" si="1046"/>
        <v>0</v>
      </c>
      <c r="CI574" s="424">
        <f t="shared" si="1046"/>
        <v>0</v>
      </c>
      <c r="CJ574" s="424">
        <f t="shared" si="1046"/>
        <v>0</v>
      </c>
      <c r="CK574" s="424">
        <f t="shared" si="1046"/>
        <v>0</v>
      </c>
      <c r="CL574" s="424">
        <f t="shared" si="1046"/>
        <v>0</v>
      </c>
      <c r="CM574" s="424">
        <f t="shared" si="1046"/>
        <v>0</v>
      </c>
      <c r="CN574" s="424">
        <f t="shared" si="1046"/>
        <v>0</v>
      </c>
      <c r="CO574" s="424">
        <f t="shared" si="1046"/>
        <v>0</v>
      </c>
      <c r="CP574" s="424">
        <f t="shared" si="1046"/>
        <v>0</v>
      </c>
      <c r="CQ574" s="424">
        <f t="shared" si="1046"/>
        <v>0</v>
      </c>
      <c r="CR574" s="424">
        <f t="shared" si="1046"/>
        <v>0</v>
      </c>
      <c r="CS574" s="424">
        <f t="shared" si="1046"/>
        <v>0.1</v>
      </c>
      <c r="CT574" s="424">
        <f t="shared" si="1046"/>
        <v>0</v>
      </c>
      <c r="CU574" s="424">
        <f t="shared" si="1046"/>
        <v>0</v>
      </c>
      <c r="CV574" s="424">
        <f t="shared" si="1046"/>
        <v>0</v>
      </c>
      <c r="CW574" s="424">
        <f t="shared" si="1046"/>
        <v>0</v>
      </c>
      <c r="CX574" s="424">
        <f t="shared" si="1046"/>
        <v>0</v>
      </c>
      <c r="CY574" s="424">
        <f t="shared" si="1046"/>
        <v>0</v>
      </c>
      <c r="CZ574" s="424">
        <f t="shared" si="1046"/>
        <v>0</v>
      </c>
      <c r="DA574" s="424">
        <f t="shared" si="1046"/>
        <v>0</v>
      </c>
      <c r="DB574" s="424">
        <f t="shared" ref="DB574:EG574" si="1047">DB204*DB$372</f>
        <v>0</v>
      </c>
      <c r="DC574" s="424">
        <f t="shared" si="1047"/>
        <v>0.08</v>
      </c>
      <c r="DD574" s="424">
        <f t="shared" si="1047"/>
        <v>0</v>
      </c>
      <c r="DE574" s="424">
        <f t="shared" si="1047"/>
        <v>0</v>
      </c>
      <c r="DF574" s="424">
        <f t="shared" si="1047"/>
        <v>0.69</v>
      </c>
      <c r="DG574" s="424">
        <f t="shared" si="1047"/>
        <v>0</v>
      </c>
      <c r="DH574" s="424">
        <f t="shared" si="1047"/>
        <v>0</v>
      </c>
      <c r="DI574" s="424">
        <f t="shared" si="1047"/>
        <v>0</v>
      </c>
      <c r="DJ574" s="424">
        <f t="shared" si="1047"/>
        <v>0</v>
      </c>
      <c r="DK574" s="424">
        <f t="shared" si="1047"/>
        <v>0</v>
      </c>
      <c r="DL574" s="424">
        <f t="shared" si="1047"/>
        <v>0</v>
      </c>
      <c r="DM574" s="424">
        <f t="shared" si="1047"/>
        <v>0</v>
      </c>
      <c r="DN574" s="424">
        <f t="shared" si="1047"/>
        <v>0</v>
      </c>
      <c r="DO574" s="424">
        <f t="shared" si="1047"/>
        <v>0</v>
      </c>
      <c r="DP574" s="424">
        <f t="shared" si="1047"/>
        <v>0</v>
      </c>
      <c r="DQ574" s="424">
        <f t="shared" si="1047"/>
        <v>0</v>
      </c>
      <c r="DR574" s="424">
        <f t="shared" si="1047"/>
        <v>0</v>
      </c>
      <c r="DS574" s="424">
        <f t="shared" si="1047"/>
        <v>0</v>
      </c>
      <c r="DT574" s="424">
        <f t="shared" si="1047"/>
        <v>0</v>
      </c>
      <c r="DU574" s="424">
        <f t="shared" si="1047"/>
        <v>0</v>
      </c>
      <c r="DV574" s="424">
        <f t="shared" si="1047"/>
        <v>0</v>
      </c>
      <c r="DW574" s="424">
        <f t="shared" si="1047"/>
        <v>0</v>
      </c>
      <c r="DX574" s="424">
        <f t="shared" si="1047"/>
        <v>0</v>
      </c>
      <c r="DY574" s="424">
        <f t="shared" si="1047"/>
        <v>0</v>
      </c>
      <c r="DZ574" s="424">
        <f t="shared" si="1047"/>
        <v>0</v>
      </c>
      <c r="EA574" s="424">
        <f t="shared" si="1047"/>
        <v>0</v>
      </c>
      <c r="EB574" s="424">
        <f t="shared" si="1047"/>
        <v>0</v>
      </c>
      <c r="EC574" s="424">
        <f t="shared" si="1047"/>
        <v>0</v>
      </c>
      <c r="ED574" s="424">
        <f t="shared" si="1047"/>
        <v>0</v>
      </c>
      <c r="EE574" s="424">
        <f t="shared" si="1047"/>
        <v>0</v>
      </c>
      <c r="EF574" s="424">
        <f t="shared" si="1047"/>
        <v>0</v>
      </c>
      <c r="EG574" s="424">
        <f t="shared" si="1047"/>
        <v>0</v>
      </c>
      <c r="EH574" s="424">
        <f t="shared" ref="EH574:EX574" si="1048">EH204*EH$372</f>
        <v>0</v>
      </c>
      <c r="EI574" s="424">
        <f t="shared" si="1048"/>
        <v>0</v>
      </c>
      <c r="EJ574" s="424">
        <f t="shared" si="1048"/>
        <v>0</v>
      </c>
      <c r="EK574" s="424">
        <f t="shared" si="1048"/>
        <v>0</v>
      </c>
      <c r="EL574" s="424">
        <f t="shared" si="1048"/>
        <v>0</v>
      </c>
      <c r="EM574" s="424">
        <f t="shared" si="1048"/>
        <v>0</v>
      </c>
      <c r="EN574" s="424">
        <f t="shared" si="1048"/>
        <v>0</v>
      </c>
      <c r="EO574" s="424">
        <f t="shared" si="1048"/>
        <v>0</v>
      </c>
      <c r="EP574" s="424">
        <f t="shared" si="1048"/>
        <v>0</v>
      </c>
      <c r="EQ574" s="424">
        <f t="shared" si="1048"/>
        <v>0</v>
      </c>
      <c r="ER574" s="424">
        <f t="shared" si="1048"/>
        <v>0</v>
      </c>
      <c r="ES574" s="424">
        <f t="shared" si="1048"/>
        <v>0</v>
      </c>
      <c r="ET574" s="424">
        <f t="shared" si="1048"/>
        <v>0</v>
      </c>
      <c r="EU574" s="424">
        <f t="shared" si="1048"/>
        <v>0</v>
      </c>
      <c r="EV574" s="424">
        <f t="shared" si="1048"/>
        <v>0</v>
      </c>
      <c r="EW574" s="424">
        <f t="shared" si="1048"/>
        <v>0</v>
      </c>
      <c r="EX574" s="424">
        <f t="shared" si="1048"/>
        <v>0</v>
      </c>
      <c r="EY574" s="425">
        <f t="shared" si="699"/>
        <v>20.84</v>
      </c>
    </row>
    <row r="575" spans="1:166" s="467" customFormat="1" ht="14.7" customHeight="1" x14ac:dyDescent="0.25">
      <c r="A575" s="310">
        <v>201</v>
      </c>
      <c r="B575" s="311" t="str">
        <f t="shared" si="1005"/>
        <v>Птица отварная (филе)</v>
      </c>
      <c r="C575" s="483">
        <f t="shared" si="1018"/>
        <v>30.18</v>
      </c>
      <c r="D575" s="888"/>
      <c r="E575" s="888"/>
      <c r="F575" s="888"/>
      <c r="G575" s="889"/>
      <c r="H575" s="680">
        <f t="shared" si="1006"/>
        <v>288</v>
      </c>
      <c r="I575" s="1209">
        <f t="shared" si="1007"/>
        <v>-0.01</v>
      </c>
      <c r="J575" s="424">
        <f t="shared" ref="J575:AO575" si="1049">J205*J$372</f>
        <v>0</v>
      </c>
      <c r="K575" s="424">
        <f t="shared" si="1049"/>
        <v>0</v>
      </c>
      <c r="L575" s="424">
        <f t="shared" si="1049"/>
        <v>0</v>
      </c>
      <c r="M575" s="424">
        <f t="shared" si="1049"/>
        <v>23.04</v>
      </c>
      <c r="N575" s="424">
        <f t="shared" si="1049"/>
        <v>0</v>
      </c>
      <c r="O575" s="424">
        <f t="shared" si="1049"/>
        <v>0</v>
      </c>
      <c r="P575" s="424">
        <f t="shared" si="1049"/>
        <v>0</v>
      </c>
      <c r="Q575" s="424">
        <f t="shared" si="1049"/>
        <v>0</v>
      </c>
      <c r="R575" s="424">
        <f t="shared" si="1049"/>
        <v>0</v>
      </c>
      <c r="S575" s="424">
        <f t="shared" si="1049"/>
        <v>0</v>
      </c>
      <c r="T575" s="424">
        <f t="shared" si="1049"/>
        <v>0</v>
      </c>
      <c r="U575" s="424">
        <f t="shared" si="1049"/>
        <v>0</v>
      </c>
      <c r="V575" s="424">
        <f t="shared" si="1049"/>
        <v>3.55</v>
      </c>
      <c r="W575" s="424">
        <f t="shared" si="1049"/>
        <v>0</v>
      </c>
      <c r="X575" s="424">
        <f t="shared" si="1049"/>
        <v>0</v>
      </c>
      <c r="Y575" s="424">
        <f t="shared" si="1049"/>
        <v>1.76</v>
      </c>
      <c r="Z575" s="424">
        <f t="shared" si="1049"/>
        <v>0</v>
      </c>
      <c r="AA575" s="424">
        <f t="shared" si="1049"/>
        <v>0</v>
      </c>
      <c r="AB575" s="424">
        <f t="shared" si="1049"/>
        <v>0</v>
      </c>
      <c r="AC575" s="424">
        <f t="shared" si="1049"/>
        <v>0</v>
      </c>
      <c r="AD575" s="424">
        <f t="shared" si="1049"/>
        <v>0</v>
      </c>
      <c r="AE575" s="424">
        <f t="shared" si="1049"/>
        <v>0</v>
      </c>
      <c r="AF575" s="424">
        <f t="shared" si="1049"/>
        <v>0</v>
      </c>
      <c r="AG575" s="424">
        <f t="shared" si="1049"/>
        <v>0</v>
      </c>
      <c r="AH575" s="424">
        <f t="shared" si="1049"/>
        <v>0</v>
      </c>
      <c r="AI575" s="424">
        <f t="shared" si="1049"/>
        <v>0</v>
      </c>
      <c r="AJ575" s="424">
        <f t="shared" si="1049"/>
        <v>0</v>
      </c>
      <c r="AK575" s="424">
        <f t="shared" si="1049"/>
        <v>0.13</v>
      </c>
      <c r="AL575" s="424">
        <f t="shared" si="1049"/>
        <v>0</v>
      </c>
      <c r="AM575" s="424">
        <f t="shared" si="1049"/>
        <v>0</v>
      </c>
      <c r="AN575" s="424">
        <f t="shared" si="1049"/>
        <v>0</v>
      </c>
      <c r="AO575" s="424">
        <f t="shared" si="1049"/>
        <v>0</v>
      </c>
      <c r="AP575" s="424">
        <f t="shared" ref="AP575:BU575" si="1050">AP205*AP$372</f>
        <v>0</v>
      </c>
      <c r="AQ575" s="424">
        <f t="shared" si="1050"/>
        <v>0</v>
      </c>
      <c r="AR575" s="424">
        <f t="shared" si="1050"/>
        <v>0</v>
      </c>
      <c r="AS575" s="424">
        <f t="shared" si="1050"/>
        <v>0</v>
      </c>
      <c r="AT575" s="424">
        <f t="shared" si="1050"/>
        <v>0.45</v>
      </c>
      <c r="AU575" s="424">
        <f t="shared" si="1050"/>
        <v>0.3</v>
      </c>
      <c r="AV575" s="424">
        <f t="shared" si="1050"/>
        <v>0</v>
      </c>
      <c r="AW575" s="424">
        <f t="shared" si="1050"/>
        <v>0</v>
      </c>
      <c r="AX575" s="424">
        <f t="shared" si="1050"/>
        <v>0</v>
      </c>
      <c r="AY575" s="424">
        <f t="shared" si="1050"/>
        <v>0</v>
      </c>
      <c r="AZ575" s="424">
        <f t="shared" si="1050"/>
        <v>0</v>
      </c>
      <c r="BA575" s="424">
        <f t="shared" si="1050"/>
        <v>0</v>
      </c>
      <c r="BB575" s="424">
        <f t="shared" si="1050"/>
        <v>0</v>
      </c>
      <c r="BC575" s="424">
        <f t="shared" si="1050"/>
        <v>0</v>
      </c>
      <c r="BD575" s="424">
        <f t="shared" si="1050"/>
        <v>0</v>
      </c>
      <c r="BE575" s="424">
        <f t="shared" si="1050"/>
        <v>0</v>
      </c>
      <c r="BF575" s="424">
        <f t="shared" si="1050"/>
        <v>0</v>
      </c>
      <c r="BG575" s="424">
        <f t="shared" si="1050"/>
        <v>0</v>
      </c>
      <c r="BH575" s="424">
        <f t="shared" si="1050"/>
        <v>0</v>
      </c>
      <c r="BI575" s="424">
        <f t="shared" si="1050"/>
        <v>0</v>
      </c>
      <c r="BJ575" s="424">
        <f t="shared" si="1050"/>
        <v>0</v>
      </c>
      <c r="BK575" s="424">
        <f t="shared" si="1050"/>
        <v>0</v>
      </c>
      <c r="BL575" s="424">
        <f t="shared" si="1050"/>
        <v>0</v>
      </c>
      <c r="BM575" s="424">
        <f t="shared" si="1050"/>
        <v>0</v>
      </c>
      <c r="BN575" s="424">
        <f t="shared" si="1050"/>
        <v>0</v>
      </c>
      <c r="BO575" s="424">
        <f t="shared" si="1050"/>
        <v>0</v>
      </c>
      <c r="BP575" s="424">
        <f t="shared" si="1050"/>
        <v>0</v>
      </c>
      <c r="BQ575" s="424">
        <f t="shared" si="1050"/>
        <v>0</v>
      </c>
      <c r="BR575" s="424">
        <f t="shared" si="1050"/>
        <v>0</v>
      </c>
      <c r="BS575" s="424">
        <f t="shared" si="1050"/>
        <v>0.08</v>
      </c>
      <c r="BT575" s="424">
        <f t="shared" si="1050"/>
        <v>0</v>
      </c>
      <c r="BU575" s="424">
        <f t="shared" si="1050"/>
        <v>0</v>
      </c>
      <c r="BV575" s="424">
        <f t="shared" ref="BV575:DA575" si="1051">BV205*BV$372</f>
        <v>0</v>
      </c>
      <c r="BW575" s="424">
        <f t="shared" si="1051"/>
        <v>0</v>
      </c>
      <c r="BX575" s="424">
        <f t="shared" si="1051"/>
        <v>0</v>
      </c>
      <c r="BY575" s="424">
        <f t="shared" si="1051"/>
        <v>0</v>
      </c>
      <c r="BZ575" s="424">
        <f t="shared" si="1051"/>
        <v>0</v>
      </c>
      <c r="CA575" s="424">
        <f t="shared" si="1051"/>
        <v>0</v>
      </c>
      <c r="CB575" s="424">
        <f t="shared" si="1051"/>
        <v>0</v>
      </c>
      <c r="CC575" s="424">
        <f t="shared" si="1051"/>
        <v>0</v>
      </c>
      <c r="CD575" s="424">
        <f t="shared" si="1051"/>
        <v>0</v>
      </c>
      <c r="CE575" s="424">
        <f t="shared" si="1051"/>
        <v>0</v>
      </c>
      <c r="CF575" s="424">
        <f t="shared" si="1051"/>
        <v>0</v>
      </c>
      <c r="CG575" s="424">
        <f t="shared" si="1051"/>
        <v>0</v>
      </c>
      <c r="CH575" s="424">
        <f t="shared" si="1051"/>
        <v>0</v>
      </c>
      <c r="CI575" s="424">
        <f t="shared" si="1051"/>
        <v>0</v>
      </c>
      <c r="CJ575" s="424">
        <f t="shared" si="1051"/>
        <v>0</v>
      </c>
      <c r="CK575" s="424">
        <f t="shared" si="1051"/>
        <v>0</v>
      </c>
      <c r="CL575" s="424">
        <f t="shared" si="1051"/>
        <v>0</v>
      </c>
      <c r="CM575" s="424">
        <f t="shared" si="1051"/>
        <v>0</v>
      </c>
      <c r="CN575" s="424">
        <f t="shared" si="1051"/>
        <v>0</v>
      </c>
      <c r="CO575" s="424">
        <f t="shared" si="1051"/>
        <v>0</v>
      </c>
      <c r="CP575" s="424">
        <f t="shared" si="1051"/>
        <v>0</v>
      </c>
      <c r="CQ575" s="424">
        <f t="shared" si="1051"/>
        <v>0</v>
      </c>
      <c r="CR575" s="424">
        <f t="shared" si="1051"/>
        <v>0</v>
      </c>
      <c r="CS575" s="424">
        <f t="shared" si="1051"/>
        <v>0.1</v>
      </c>
      <c r="CT575" s="424">
        <f t="shared" si="1051"/>
        <v>0</v>
      </c>
      <c r="CU575" s="424">
        <f t="shared" si="1051"/>
        <v>0</v>
      </c>
      <c r="CV575" s="424">
        <f t="shared" si="1051"/>
        <v>0</v>
      </c>
      <c r="CW575" s="424">
        <f t="shared" si="1051"/>
        <v>0</v>
      </c>
      <c r="CX575" s="424">
        <f t="shared" si="1051"/>
        <v>0</v>
      </c>
      <c r="CY575" s="424">
        <f t="shared" si="1051"/>
        <v>0</v>
      </c>
      <c r="CZ575" s="424">
        <f t="shared" si="1051"/>
        <v>0</v>
      </c>
      <c r="DA575" s="424">
        <f t="shared" si="1051"/>
        <v>0</v>
      </c>
      <c r="DB575" s="424">
        <f t="shared" ref="DB575:EG575" si="1052">DB205*DB$372</f>
        <v>0</v>
      </c>
      <c r="DC575" s="424">
        <f t="shared" si="1052"/>
        <v>0.08</v>
      </c>
      <c r="DD575" s="424">
        <f t="shared" si="1052"/>
        <v>0</v>
      </c>
      <c r="DE575" s="424">
        <f t="shared" si="1052"/>
        <v>0</v>
      </c>
      <c r="DF575" s="424">
        <f t="shared" si="1052"/>
        <v>0.69</v>
      </c>
      <c r="DG575" s="424">
        <f t="shared" si="1052"/>
        <v>0</v>
      </c>
      <c r="DH575" s="424">
        <f t="shared" si="1052"/>
        <v>0</v>
      </c>
      <c r="DI575" s="424">
        <f t="shared" si="1052"/>
        <v>0</v>
      </c>
      <c r="DJ575" s="424">
        <f t="shared" si="1052"/>
        <v>0</v>
      </c>
      <c r="DK575" s="424">
        <f t="shared" si="1052"/>
        <v>0</v>
      </c>
      <c r="DL575" s="424">
        <f t="shared" si="1052"/>
        <v>0</v>
      </c>
      <c r="DM575" s="424">
        <f t="shared" si="1052"/>
        <v>0</v>
      </c>
      <c r="DN575" s="424">
        <f t="shared" si="1052"/>
        <v>0</v>
      </c>
      <c r="DO575" s="424">
        <f t="shared" si="1052"/>
        <v>0</v>
      </c>
      <c r="DP575" s="424">
        <f t="shared" si="1052"/>
        <v>0</v>
      </c>
      <c r="DQ575" s="424">
        <f t="shared" si="1052"/>
        <v>0</v>
      </c>
      <c r="DR575" s="424">
        <f t="shared" si="1052"/>
        <v>0</v>
      </c>
      <c r="DS575" s="424">
        <f t="shared" si="1052"/>
        <v>0</v>
      </c>
      <c r="DT575" s="424">
        <f t="shared" si="1052"/>
        <v>0</v>
      </c>
      <c r="DU575" s="424">
        <f t="shared" si="1052"/>
        <v>0</v>
      </c>
      <c r="DV575" s="424">
        <f t="shared" si="1052"/>
        <v>0</v>
      </c>
      <c r="DW575" s="424">
        <f t="shared" si="1052"/>
        <v>0</v>
      </c>
      <c r="DX575" s="424">
        <f t="shared" si="1052"/>
        <v>0</v>
      </c>
      <c r="DY575" s="424">
        <f t="shared" si="1052"/>
        <v>0</v>
      </c>
      <c r="DZ575" s="424">
        <f t="shared" si="1052"/>
        <v>0</v>
      </c>
      <c r="EA575" s="424">
        <f t="shared" si="1052"/>
        <v>0</v>
      </c>
      <c r="EB575" s="424">
        <f t="shared" si="1052"/>
        <v>0</v>
      </c>
      <c r="EC575" s="424">
        <f t="shared" si="1052"/>
        <v>0</v>
      </c>
      <c r="ED575" s="424">
        <f t="shared" si="1052"/>
        <v>0</v>
      </c>
      <c r="EE575" s="424">
        <f t="shared" si="1052"/>
        <v>0</v>
      </c>
      <c r="EF575" s="424">
        <f t="shared" si="1052"/>
        <v>0</v>
      </c>
      <c r="EG575" s="424">
        <f t="shared" si="1052"/>
        <v>0</v>
      </c>
      <c r="EH575" s="424">
        <f t="shared" ref="EH575:EX575" si="1053">EH205*EH$372</f>
        <v>0</v>
      </c>
      <c r="EI575" s="424">
        <f t="shared" si="1053"/>
        <v>0</v>
      </c>
      <c r="EJ575" s="424">
        <f t="shared" si="1053"/>
        <v>0</v>
      </c>
      <c r="EK575" s="424">
        <f t="shared" si="1053"/>
        <v>0</v>
      </c>
      <c r="EL575" s="424">
        <f t="shared" si="1053"/>
        <v>0</v>
      </c>
      <c r="EM575" s="424">
        <f t="shared" si="1053"/>
        <v>0</v>
      </c>
      <c r="EN575" s="424">
        <f t="shared" si="1053"/>
        <v>0</v>
      </c>
      <c r="EO575" s="424">
        <f t="shared" si="1053"/>
        <v>0</v>
      </c>
      <c r="EP575" s="424">
        <f t="shared" si="1053"/>
        <v>0</v>
      </c>
      <c r="EQ575" s="424">
        <f t="shared" si="1053"/>
        <v>0</v>
      </c>
      <c r="ER575" s="424">
        <f t="shared" si="1053"/>
        <v>0</v>
      </c>
      <c r="ES575" s="424">
        <f t="shared" si="1053"/>
        <v>0</v>
      </c>
      <c r="ET575" s="424">
        <f t="shared" si="1053"/>
        <v>0</v>
      </c>
      <c r="EU575" s="424">
        <f t="shared" si="1053"/>
        <v>0</v>
      </c>
      <c r="EV575" s="424">
        <f t="shared" si="1053"/>
        <v>0</v>
      </c>
      <c r="EW575" s="424">
        <f t="shared" si="1053"/>
        <v>0</v>
      </c>
      <c r="EX575" s="424">
        <f t="shared" si="1053"/>
        <v>0</v>
      </c>
      <c r="EY575" s="425">
        <f t="shared" si="699"/>
        <v>30.18</v>
      </c>
      <c r="EZ575" s="616"/>
      <c r="FA575" s="616"/>
      <c r="FB575" s="616"/>
      <c r="FC575" s="616"/>
      <c r="FD575" s="616"/>
      <c r="FE575" s="616"/>
      <c r="FF575" s="616"/>
      <c r="FG575" s="616"/>
      <c r="FH575" s="616"/>
      <c r="FI575" s="616"/>
      <c r="FJ575" s="616"/>
    </row>
    <row r="576" spans="1:166" ht="14.7" customHeight="1" x14ac:dyDescent="0.25">
      <c r="A576" s="310">
        <v>202</v>
      </c>
      <c r="B576" s="311" t="str">
        <f t="shared" si="1005"/>
        <v>Рагу из куриных окорочков</v>
      </c>
      <c r="C576" s="483">
        <f t="shared" si="1018"/>
        <v>24.19</v>
      </c>
      <c r="D576" s="888"/>
      <c r="E576" s="888"/>
      <c r="F576" s="888"/>
      <c r="G576" s="889"/>
      <c r="H576" s="680">
        <f t="shared" si="1006"/>
        <v>289</v>
      </c>
      <c r="I576" s="1209">
        <f t="shared" si="1007"/>
        <v>0</v>
      </c>
      <c r="J576" s="424">
        <f t="shared" ref="J576:AO576" si="1054">J206*J$372</f>
        <v>0</v>
      </c>
      <c r="K576" s="424">
        <f t="shared" si="1054"/>
        <v>14.67</v>
      </c>
      <c r="L576" s="424">
        <f t="shared" si="1054"/>
        <v>0</v>
      </c>
      <c r="M576" s="424">
        <f t="shared" si="1054"/>
        <v>0</v>
      </c>
      <c r="N576" s="424">
        <f t="shared" si="1054"/>
        <v>0</v>
      </c>
      <c r="O576" s="424">
        <f t="shared" si="1054"/>
        <v>0</v>
      </c>
      <c r="P576" s="424">
        <f t="shared" si="1054"/>
        <v>0</v>
      </c>
      <c r="Q576" s="424">
        <f t="shared" si="1054"/>
        <v>0</v>
      </c>
      <c r="R576" s="424">
        <f t="shared" si="1054"/>
        <v>0</v>
      </c>
      <c r="S576" s="424">
        <f t="shared" si="1054"/>
        <v>0</v>
      </c>
      <c r="T576" s="424">
        <f t="shared" si="1054"/>
        <v>0</v>
      </c>
      <c r="U576" s="424">
        <f t="shared" si="1054"/>
        <v>0</v>
      </c>
      <c r="V576" s="424">
        <f t="shared" si="1054"/>
        <v>0</v>
      </c>
      <c r="W576" s="424">
        <f t="shared" si="1054"/>
        <v>0</v>
      </c>
      <c r="X576" s="424">
        <f t="shared" si="1054"/>
        <v>0</v>
      </c>
      <c r="Y576" s="424">
        <f t="shared" si="1054"/>
        <v>0</v>
      </c>
      <c r="Z576" s="424">
        <f t="shared" si="1054"/>
        <v>0</v>
      </c>
      <c r="AA576" s="424">
        <f t="shared" si="1054"/>
        <v>0</v>
      </c>
      <c r="AB576" s="424">
        <f t="shared" si="1054"/>
        <v>0</v>
      </c>
      <c r="AC576" s="424">
        <f t="shared" si="1054"/>
        <v>0</v>
      </c>
      <c r="AD576" s="424">
        <f t="shared" si="1054"/>
        <v>0</v>
      </c>
      <c r="AE576" s="424">
        <f t="shared" si="1054"/>
        <v>0</v>
      </c>
      <c r="AF576" s="424">
        <f t="shared" si="1054"/>
        <v>0</v>
      </c>
      <c r="AG576" s="424">
        <f t="shared" si="1054"/>
        <v>0</v>
      </c>
      <c r="AH576" s="424">
        <f t="shared" si="1054"/>
        <v>5.35</v>
      </c>
      <c r="AI576" s="424">
        <f t="shared" si="1054"/>
        <v>0</v>
      </c>
      <c r="AJ576" s="424">
        <f t="shared" si="1054"/>
        <v>0</v>
      </c>
      <c r="AK576" s="424">
        <f t="shared" si="1054"/>
        <v>0.6</v>
      </c>
      <c r="AL576" s="424">
        <f t="shared" si="1054"/>
        <v>0</v>
      </c>
      <c r="AM576" s="424">
        <f t="shared" si="1054"/>
        <v>0</v>
      </c>
      <c r="AN576" s="424">
        <f t="shared" si="1054"/>
        <v>0</v>
      </c>
      <c r="AO576" s="424">
        <f t="shared" si="1054"/>
        <v>0</v>
      </c>
      <c r="AP576" s="424">
        <f t="shared" ref="AP576:BU576" si="1055">AP206*AP$372</f>
        <v>0</v>
      </c>
      <c r="AQ576" s="424">
        <f t="shared" si="1055"/>
        <v>1.05</v>
      </c>
      <c r="AR576" s="424">
        <f t="shared" si="1055"/>
        <v>0</v>
      </c>
      <c r="AS576" s="424">
        <f t="shared" si="1055"/>
        <v>0</v>
      </c>
      <c r="AT576" s="424">
        <f t="shared" si="1055"/>
        <v>0</v>
      </c>
      <c r="AU576" s="424">
        <f t="shared" si="1055"/>
        <v>0.3</v>
      </c>
      <c r="AV576" s="424">
        <f t="shared" si="1055"/>
        <v>0</v>
      </c>
      <c r="AW576" s="424">
        <f t="shared" si="1055"/>
        <v>0</v>
      </c>
      <c r="AX576" s="424">
        <f t="shared" si="1055"/>
        <v>0</v>
      </c>
      <c r="AY576" s="424">
        <f t="shared" si="1055"/>
        <v>0</v>
      </c>
      <c r="AZ576" s="424">
        <f t="shared" si="1055"/>
        <v>0</v>
      </c>
      <c r="BA576" s="424">
        <f t="shared" si="1055"/>
        <v>0</v>
      </c>
      <c r="BB576" s="424">
        <f t="shared" si="1055"/>
        <v>0</v>
      </c>
      <c r="BC576" s="424">
        <f t="shared" si="1055"/>
        <v>0</v>
      </c>
      <c r="BD576" s="424">
        <f t="shared" si="1055"/>
        <v>0</v>
      </c>
      <c r="BE576" s="424">
        <f t="shared" si="1055"/>
        <v>0</v>
      </c>
      <c r="BF576" s="424">
        <f t="shared" si="1055"/>
        <v>0</v>
      </c>
      <c r="BG576" s="424">
        <f t="shared" si="1055"/>
        <v>0</v>
      </c>
      <c r="BH576" s="424">
        <f t="shared" si="1055"/>
        <v>0</v>
      </c>
      <c r="BI576" s="424">
        <f t="shared" si="1055"/>
        <v>0</v>
      </c>
      <c r="BJ576" s="424">
        <f t="shared" si="1055"/>
        <v>0</v>
      </c>
      <c r="BK576" s="424">
        <f t="shared" si="1055"/>
        <v>0</v>
      </c>
      <c r="BL576" s="424">
        <f t="shared" si="1055"/>
        <v>0</v>
      </c>
      <c r="BM576" s="424">
        <f t="shared" si="1055"/>
        <v>0</v>
      </c>
      <c r="BN576" s="424">
        <f t="shared" si="1055"/>
        <v>0</v>
      </c>
      <c r="BO576" s="424">
        <f t="shared" si="1055"/>
        <v>0</v>
      </c>
      <c r="BP576" s="424">
        <f t="shared" si="1055"/>
        <v>0</v>
      </c>
      <c r="BQ576" s="424">
        <f t="shared" si="1055"/>
        <v>0</v>
      </c>
      <c r="BR576" s="424">
        <f t="shared" si="1055"/>
        <v>0</v>
      </c>
      <c r="BS576" s="424">
        <f t="shared" si="1055"/>
        <v>0.04</v>
      </c>
      <c r="BT576" s="424">
        <f t="shared" si="1055"/>
        <v>0</v>
      </c>
      <c r="BU576" s="424">
        <f t="shared" si="1055"/>
        <v>0</v>
      </c>
      <c r="BV576" s="424">
        <f t="shared" ref="BV576:DA576" si="1056">BV206*BV$372</f>
        <v>0</v>
      </c>
      <c r="BW576" s="424">
        <f t="shared" si="1056"/>
        <v>0</v>
      </c>
      <c r="BX576" s="424">
        <f t="shared" si="1056"/>
        <v>0</v>
      </c>
      <c r="BY576" s="424">
        <f t="shared" si="1056"/>
        <v>0</v>
      </c>
      <c r="BZ576" s="424">
        <f t="shared" si="1056"/>
        <v>0</v>
      </c>
      <c r="CA576" s="424">
        <f t="shared" si="1056"/>
        <v>0</v>
      </c>
      <c r="CB576" s="424">
        <f t="shared" si="1056"/>
        <v>0</v>
      </c>
      <c r="CC576" s="424">
        <f t="shared" si="1056"/>
        <v>0</v>
      </c>
      <c r="CD576" s="424">
        <f t="shared" si="1056"/>
        <v>0</v>
      </c>
      <c r="CE576" s="424">
        <f t="shared" si="1056"/>
        <v>0</v>
      </c>
      <c r="CF576" s="424">
        <f t="shared" si="1056"/>
        <v>0.72</v>
      </c>
      <c r="CG576" s="424">
        <f t="shared" si="1056"/>
        <v>0</v>
      </c>
      <c r="CH576" s="424">
        <f t="shared" si="1056"/>
        <v>0</v>
      </c>
      <c r="CI576" s="424">
        <f t="shared" si="1056"/>
        <v>0</v>
      </c>
      <c r="CJ576" s="424">
        <f t="shared" si="1056"/>
        <v>0</v>
      </c>
      <c r="CK576" s="424">
        <f t="shared" si="1056"/>
        <v>0</v>
      </c>
      <c r="CL576" s="424">
        <f t="shared" si="1056"/>
        <v>0</v>
      </c>
      <c r="CM576" s="424">
        <f t="shared" si="1056"/>
        <v>0</v>
      </c>
      <c r="CN576" s="424">
        <f t="shared" si="1056"/>
        <v>0</v>
      </c>
      <c r="CO576" s="424">
        <f t="shared" si="1056"/>
        <v>0</v>
      </c>
      <c r="CP576" s="424">
        <f t="shared" si="1056"/>
        <v>0</v>
      </c>
      <c r="CQ576" s="424">
        <f t="shared" si="1056"/>
        <v>0</v>
      </c>
      <c r="CR576" s="424">
        <f t="shared" si="1056"/>
        <v>0</v>
      </c>
      <c r="CS576" s="424">
        <f t="shared" si="1056"/>
        <v>0.01</v>
      </c>
      <c r="CT576" s="424">
        <f t="shared" si="1056"/>
        <v>0</v>
      </c>
      <c r="CU576" s="424">
        <f t="shared" si="1056"/>
        <v>0</v>
      </c>
      <c r="CV576" s="424">
        <f t="shared" si="1056"/>
        <v>0</v>
      </c>
      <c r="CW576" s="424">
        <f t="shared" si="1056"/>
        <v>0</v>
      </c>
      <c r="CX576" s="424">
        <f t="shared" si="1056"/>
        <v>0</v>
      </c>
      <c r="CY576" s="424">
        <f t="shared" si="1056"/>
        <v>0</v>
      </c>
      <c r="CZ576" s="424">
        <f t="shared" si="1056"/>
        <v>0</v>
      </c>
      <c r="DA576" s="424">
        <f t="shared" si="1056"/>
        <v>0</v>
      </c>
      <c r="DB576" s="424">
        <f t="shared" ref="DB576:EG576" si="1057">DB206*DB$372</f>
        <v>0</v>
      </c>
      <c r="DC576" s="424">
        <f t="shared" si="1057"/>
        <v>7.0000000000000007E-2</v>
      </c>
      <c r="DD576" s="424">
        <f t="shared" si="1057"/>
        <v>0</v>
      </c>
      <c r="DE576" s="424">
        <f t="shared" si="1057"/>
        <v>0</v>
      </c>
      <c r="DF576" s="424">
        <f t="shared" si="1057"/>
        <v>1.38</v>
      </c>
      <c r="DG576" s="424">
        <f t="shared" si="1057"/>
        <v>0</v>
      </c>
      <c r="DH576" s="424">
        <f t="shared" si="1057"/>
        <v>0</v>
      </c>
      <c r="DI576" s="424">
        <f t="shared" si="1057"/>
        <v>0</v>
      </c>
      <c r="DJ576" s="424">
        <f t="shared" si="1057"/>
        <v>0</v>
      </c>
      <c r="DK576" s="424">
        <f t="shared" si="1057"/>
        <v>0</v>
      </c>
      <c r="DL576" s="424">
        <f t="shared" si="1057"/>
        <v>0</v>
      </c>
      <c r="DM576" s="424">
        <f t="shared" si="1057"/>
        <v>0</v>
      </c>
      <c r="DN576" s="424">
        <f t="shared" si="1057"/>
        <v>0</v>
      </c>
      <c r="DO576" s="424">
        <f t="shared" si="1057"/>
        <v>0</v>
      </c>
      <c r="DP576" s="424">
        <f t="shared" si="1057"/>
        <v>0</v>
      </c>
      <c r="DQ576" s="424">
        <f t="shared" si="1057"/>
        <v>0</v>
      </c>
      <c r="DR576" s="424">
        <f t="shared" si="1057"/>
        <v>0</v>
      </c>
      <c r="DS576" s="424">
        <f t="shared" si="1057"/>
        <v>0</v>
      </c>
      <c r="DT576" s="424">
        <f t="shared" si="1057"/>
        <v>0</v>
      </c>
      <c r="DU576" s="424">
        <f t="shared" si="1057"/>
        <v>0</v>
      </c>
      <c r="DV576" s="424">
        <f t="shared" si="1057"/>
        <v>0</v>
      </c>
      <c r="DW576" s="424">
        <f t="shared" si="1057"/>
        <v>0</v>
      </c>
      <c r="DX576" s="424">
        <f t="shared" si="1057"/>
        <v>0</v>
      </c>
      <c r="DY576" s="424">
        <f t="shared" si="1057"/>
        <v>0</v>
      </c>
      <c r="DZ576" s="424">
        <f t="shared" si="1057"/>
        <v>0</v>
      </c>
      <c r="EA576" s="424">
        <f t="shared" si="1057"/>
        <v>0</v>
      </c>
      <c r="EB576" s="424">
        <f t="shared" si="1057"/>
        <v>0</v>
      </c>
      <c r="EC576" s="424">
        <f t="shared" si="1057"/>
        <v>0</v>
      </c>
      <c r="ED576" s="424">
        <f t="shared" si="1057"/>
        <v>0</v>
      </c>
      <c r="EE576" s="424">
        <f t="shared" si="1057"/>
        <v>0</v>
      </c>
      <c r="EF576" s="424">
        <f t="shared" si="1057"/>
        <v>0</v>
      </c>
      <c r="EG576" s="424">
        <f t="shared" si="1057"/>
        <v>0</v>
      </c>
      <c r="EH576" s="424">
        <f t="shared" ref="EH576:EX576" si="1058">EH206*EH$372</f>
        <v>0</v>
      </c>
      <c r="EI576" s="424">
        <f t="shared" si="1058"/>
        <v>0</v>
      </c>
      <c r="EJ576" s="424">
        <f t="shared" si="1058"/>
        <v>0</v>
      </c>
      <c r="EK576" s="424">
        <f t="shared" si="1058"/>
        <v>0</v>
      </c>
      <c r="EL576" s="424">
        <f t="shared" si="1058"/>
        <v>0</v>
      </c>
      <c r="EM576" s="424">
        <f t="shared" si="1058"/>
        <v>0</v>
      </c>
      <c r="EN576" s="424">
        <f t="shared" si="1058"/>
        <v>0</v>
      </c>
      <c r="EO576" s="424">
        <f t="shared" si="1058"/>
        <v>0</v>
      </c>
      <c r="EP576" s="424">
        <f t="shared" si="1058"/>
        <v>0</v>
      </c>
      <c r="EQ576" s="424">
        <f t="shared" si="1058"/>
        <v>0</v>
      </c>
      <c r="ER576" s="424">
        <f t="shared" si="1058"/>
        <v>0</v>
      </c>
      <c r="ES576" s="424">
        <f t="shared" si="1058"/>
        <v>0</v>
      </c>
      <c r="ET576" s="424">
        <f t="shared" si="1058"/>
        <v>0</v>
      </c>
      <c r="EU576" s="424">
        <f t="shared" si="1058"/>
        <v>0</v>
      </c>
      <c r="EV576" s="424">
        <f t="shared" si="1058"/>
        <v>0</v>
      </c>
      <c r="EW576" s="424">
        <f t="shared" si="1058"/>
        <v>0</v>
      </c>
      <c r="EX576" s="424">
        <f t="shared" si="1058"/>
        <v>0</v>
      </c>
      <c r="EY576" s="425">
        <f t="shared" si="699"/>
        <v>24.19</v>
      </c>
    </row>
    <row r="577" spans="1:166" ht="14.7" customHeight="1" x14ac:dyDescent="0.25">
      <c r="A577" s="310">
        <v>203</v>
      </c>
      <c r="B577" s="311" t="str">
        <f t="shared" si="1005"/>
        <v>Рагу из птицы</v>
      </c>
      <c r="C577" s="483">
        <f t="shared" si="1018"/>
        <v>30.19</v>
      </c>
      <c r="D577" s="888"/>
      <c r="E577" s="888"/>
      <c r="F577" s="888"/>
      <c r="G577" s="889"/>
      <c r="H577" s="680">
        <f t="shared" si="1006"/>
        <v>289</v>
      </c>
      <c r="I577" s="1209">
        <f t="shared" si="1007"/>
        <v>0</v>
      </c>
      <c r="J577" s="424">
        <f t="shared" ref="J577:AO577" si="1059">J207*J$372</f>
        <v>0</v>
      </c>
      <c r="K577" s="424">
        <f t="shared" si="1059"/>
        <v>0</v>
      </c>
      <c r="L577" s="424">
        <f t="shared" si="1059"/>
        <v>20.67</v>
      </c>
      <c r="M577" s="424">
        <f t="shared" si="1059"/>
        <v>0</v>
      </c>
      <c r="N577" s="424">
        <f t="shared" si="1059"/>
        <v>0</v>
      </c>
      <c r="O577" s="424">
        <f t="shared" si="1059"/>
        <v>0</v>
      </c>
      <c r="P577" s="424">
        <f t="shared" si="1059"/>
        <v>0</v>
      </c>
      <c r="Q577" s="424">
        <f t="shared" si="1059"/>
        <v>0</v>
      </c>
      <c r="R577" s="424">
        <f t="shared" si="1059"/>
        <v>0</v>
      </c>
      <c r="S577" s="424">
        <f t="shared" si="1059"/>
        <v>0</v>
      </c>
      <c r="T577" s="424">
        <f t="shared" si="1059"/>
        <v>0</v>
      </c>
      <c r="U577" s="424">
        <f t="shared" si="1059"/>
        <v>0</v>
      </c>
      <c r="V577" s="424">
        <f t="shared" si="1059"/>
        <v>0</v>
      </c>
      <c r="W577" s="424">
        <f t="shared" si="1059"/>
        <v>0</v>
      </c>
      <c r="X577" s="424">
        <f t="shared" si="1059"/>
        <v>0</v>
      </c>
      <c r="Y577" s="424">
        <f t="shared" si="1059"/>
        <v>0</v>
      </c>
      <c r="Z577" s="424">
        <f t="shared" si="1059"/>
        <v>0</v>
      </c>
      <c r="AA577" s="424">
        <f t="shared" si="1059"/>
        <v>0</v>
      </c>
      <c r="AB577" s="424">
        <f t="shared" si="1059"/>
        <v>0</v>
      </c>
      <c r="AC577" s="424">
        <f t="shared" si="1059"/>
        <v>0</v>
      </c>
      <c r="AD577" s="424">
        <f t="shared" si="1059"/>
        <v>0</v>
      </c>
      <c r="AE577" s="424">
        <f t="shared" si="1059"/>
        <v>0</v>
      </c>
      <c r="AF577" s="424">
        <f t="shared" si="1059"/>
        <v>0</v>
      </c>
      <c r="AG577" s="424">
        <f t="shared" si="1059"/>
        <v>0</v>
      </c>
      <c r="AH577" s="424">
        <f t="shared" si="1059"/>
        <v>5.35</v>
      </c>
      <c r="AI577" s="424">
        <f t="shared" si="1059"/>
        <v>0</v>
      </c>
      <c r="AJ577" s="424">
        <f t="shared" si="1059"/>
        <v>0</v>
      </c>
      <c r="AK577" s="424">
        <f t="shared" si="1059"/>
        <v>0.6</v>
      </c>
      <c r="AL577" s="424">
        <f t="shared" si="1059"/>
        <v>0</v>
      </c>
      <c r="AM577" s="424">
        <f t="shared" si="1059"/>
        <v>0</v>
      </c>
      <c r="AN577" s="424">
        <f t="shared" si="1059"/>
        <v>0</v>
      </c>
      <c r="AO577" s="424">
        <f t="shared" si="1059"/>
        <v>0</v>
      </c>
      <c r="AP577" s="424">
        <f t="shared" ref="AP577:BU577" si="1060">AP207*AP$372</f>
        <v>0</v>
      </c>
      <c r="AQ577" s="424">
        <f t="shared" si="1060"/>
        <v>1.05</v>
      </c>
      <c r="AR577" s="424">
        <f t="shared" si="1060"/>
        <v>0</v>
      </c>
      <c r="AS577" s="424">
        <f t="shared" si="1060"/>
        <v>0</v>
      </c>
      <c r="AT577" s="424">
        <f t="shared" si="1060"/>
        <v>0</v>
      </c>
      <c r="AU577" s="424">
        <f t="shared" si="1060"/>
        <v>0.3</v>
      </c>
      <c r="AV577" s="424">
        <f t="shared" si="1060"/>
        <v>0</v>
      </c>
      <c r="AW577" s="424">
        <f t="shared" si="1060"/>
        <v>0</v>
      </c>
      <c r="AX577" s="424">
        <f t="shared" si="1060"/>
        <v>0</v>
      </c>
      <c r="AY577" s="424">
        <f t="shared" si="1060"/>
        <v>0</v>
      </c>
      <c r="AZ577" s="424">
        <f t="shared" si="1060"/>
        <v>0</v>
      </c>
      <c r="BA577" s="424">
        <f t="shared" si="1060"/>
        <v>0</v>
      </c>
      <c r="BB577" s="424">
        <f t="shared" si="1060"/>
        <v>0</v>
      </c>
      <c r="BC577" s="424">
        <f t="shared" si="1060"/>
        <v>0</v>
      </c>
      <c r="BD577" s="424">
        <f t="shared" si="1060"/>
        <v>0</v>
      </c>
      <c r="BE577" s="424">
        <f t="shared" si="1060"/>
        <v>0</v>
      </c>
      <c r="BF577" s="424">
        <f t="shared" si="1060"/>
        <v>0</v>
      </c>
      <c r="BG577" s="424">
        <f t="shared" si="1060"/>
        <v>0</v>
      </c>
      <c r="BH577" s="424">
        <f t="shared" si="1060"/>
        <v>0</v>
      </c>
      <c r="BI577" s="424">
        <f t="shared" si="1060"/>
        <v>0</v>
      </c>
      <c r="BJ577" s="424">
        <f t="shared" si="1060"/>
        <v>0</v>
      </c>
      <c r="BK577" s="424">
        <f t="shared" si="1060"/>
        <v>0</v>
      </c>
      <c r="BL577" s="424">
        <f t="shared" si="1060"/>
        <v>0</v>
      </c>
      <c r="BM577" s="424">
        <f t="shared" si="1060"/>
        <v>0</v>
      </c>
      <c r="BN577" s="424">
        <f t="shared" si="1060"/>
        <v>0</v>
      </c>
      <c r="BO577" s="424">
        <f t="shared" si="1060"/>
        <v>0</v>
      </c>
      <c r="BP577" s="424">
        <f t="shared" si="1060"/>
        <v>0</v>
      </c>
      <c r="BQ577" s="424">
        <f t="shared" si="1060"/>
        <v>0</v>
      </c>
      <c r="BR577" s="424">
        <f t="shared" si="1060"/>
        <v>0</v>
      </c>
      <c r="BS577" s="424">
        <f t="shared" si="1060"/>
        <v>0.04</v>
      </c>
      <c r="BT577" s="424">
        <f t="shared" si="1060"/>
        <v>0</v>
      </c>
      <c r="BU577" s="424">
        <f t="shared" si="1060"/>
        <v>0</v>
      </c>
      <c r="BV577" s="424">
        <f t="shared" ref="BV577:DA577" si="1061">BV207*BV$372</f>
        <v>0</v>
      </c>
      <c r="BW577" s="424">
        <f t="shared" si="1061"/>
        <v>0</v>
      </c>
      <c r="BX577" s="424">
        <f t="shared" si="1061"/>
        <v>0</v>
      </c>
      <c r="BY577" s="424">
        <f t="shared" si="1061"/>
        <v>0</v>
      </c>
      <c r="BZ577" s="424">
        <f t="shared" si="1061"/>
        <v>0</v>
      </c>
      <c r="CA577" s="424">
        <f t="shared" si="1061"/>
        <v>0</v>
      </c>
      <c r="CB577" s="424">
        <f t="shared" si="1061"/>
        <v>0</v>
      </c>
      <c r="CC577" s="424">
        <f t="shared" si="1061"/>
        <v>0</v>
      </c>
      <c r="CD577" s="424">
        <f t="shared" si="1061"/>
        <v>0</v>
      </c>
      <c r="CE577" s="424">
        <f t="shared" si="1061"/>
        <v>0</v>
      </c>
      <c r="CF577" s="424">
        <f t="shared" si="1061"/>
        <v>0.72</v>
      </c>
      <c r="CG577" s="424">
        <f t="shared" si="1061"/>
        <v>0</v>
      </c>
      <c r="CH577" s="424">
        <f t="shared" si="1061"/>
        <v>0</v>
      </c>
      <c r="CI577" s="424">
        <f t="shared" si="1061"/>
        <v>0</v>
      </c>
      <c r="CJ577" s="424">
        <f t="shared" si="1061"/>
        <v>0</v>
      </c>
      <c r="CK577" s="424">
        <f t="shared" si="1061"/>
        <v>0</v>
      </c>
      <c r="CL577" s="424">
        <f t="shared" si="1061"/>
        <v>0</v>
      </c>
      <c r="CM577" s="424">
        <f t="shared" si="1061"/>
        <v>0</v>
      </c>
      <c r="CN577" s="424">
        <f t="shared" si="1061"/>
        <v>0</v>
      </c>
      <c r="CO577" s="424">
        <f t="shared" si="1061"/>
        <v>0</v>
      </c>
      <c r="CP577" s="424">
        <f t="shared" si="1061"/>
        <v>0</v>
      </c>
      <c r="CQ577" s="424">
        <f t="shared" si="1061"/>
        <v>0</v>
      </c>
      <c r="CR577" s="424">
        <f t="shared" si="1061"/>
        <v>0</v>
      </c>
      <c r="CS577" s="424">
        <f t="shared" si="1061"/>
        <v>0.01</v>
      </c>
      <c r="CT577" s="424">
        <f t="shared" si="1061"/>
        <v>0</v>
      </c>
      <c r="CU577" s="424">
        <f t="shared" si="1061"/>
        <v>0</v>
      </c>
      <c r="CV577" s="424">
        <f t="shared" si="1061"/>
        <v>0</v>
      </c>
      <c r="CW577" s="424">
        <f t="shared" si="1061"/>
        <v>0</v>
      </c>
      <c r="CX577" s="424">
        <f t="shared" si="1061"/>
        <v>0</v>
      </c>
      <c r="CY577" s="424">
        <f t="shared" si="1061"/>
        <v>0</v>
      </c>
      <c r="CZ577" s="424">
        <f t="shared" si="1061"/>
        <v>0</v>
      </c>
      <c r="DA577" s="424">
        <f t="shared" si="1061"/>
        <v>0</v>
      </c>
      <c r="DB577" s="424">
        <f t="shared" ref="DB577:EG577" si="1062">DB207*DB$372</f>
        <v>0</v>
      </c>
      <c r="DC577" s="424">
        <f t="shared" si="1062"/>
        <v>7.0000000000000007E-2</v>
      </c>
      <c r="DD577" s="424">
        <f t="shared" si="1062"/>
        <v>0</v>
      </c>
      <c r="DE577" s="424">
        <f t="shared" si="1062"/>
        <v>0</v>
      </c>
      <c r="DF577" s="424">
        <f t="shared" si="1062"/>
        <v>1.38</v>
      </c>
      <c r="DG577" s="424">
        <f t="shared" si="1062"/>
        <v>0</v>
      </c>
      <c r="DH577" s="424">
        <f t="shared" si="1062"/>
        <v>0</v>
      </c>
      <c r="DI577" s="424">
        <f t="shared" si="1062"/>
        <v>0</v>
      </c>
      <c r="DJ577" s="424">
        <f t="shared" si="1062"/>
        <v>0</v>
      </c>
      <c r="DK577" s="424">
        <f t="shared" si="1062"/>
        <v>0</v>
      </c>
      <c r="DL577" s="424">
        <f t="shared" si="1062"/>
        <v>0</v>
      </c>
      <c r="DM577" s="424">
        <f t="shared" si="1062"/>
        <v>0</v>
      </c>
      <c r="DN577" s="424">
        <f t="shared" si="1062"/>
        <v>0</v>
      </c>
      <c r="DO577" s="424">
        <f t="shared" si="1062"/>
        <v>0</v>
      </c>
      <c r="DP577" s="424">
        <f t="shared" si="1062"/>
        <v>0</v>
      </c>
      <c r="DQ577" s="424">
        <f t="shared" si="1062"/>
        <v>0</v>
      </c>
      <c r="DR577" s="424">
        <f t="shared" si="1062"/>
        <v>0</v>
      </c>
      <c r="DS577" s="424">
        <f t="shared" si="1062"/>
        <v>0</v>
      </c>
      <c r="DT577" s="424">
        <f t="shared" si="1062"/>
        <v>0</v>
      </c>
      <c r="DU577" s="424">
        <f t="shared" si="1062"/>
        <v>0</v>
      </c>
      <c r="DV577" s="424">
        <f t="shared" si="1062"/>
        <v>0</v>
      </c>
      <c r="DW577" s="424">
        <f t="shared" si="1062"/>
        <v>0</v>
      </c>
      <c r="DX577" s="424">
        <f t="shared" si="1062"/>
        <v>0</v>
      </c>
      <c r="DY577" s="424">
        <f t="shared" si="1062"/>
        <v>0</v>
      </c>
      <c r="DZ577" s="424">
        <f t="shared" si="1062"/>
        <v>0</v>
      </c>
      <c r="EA577" s="424">
        <f t="shared" si="1062"/>
        <v>0</v>
      </c>
      <c r="EB577" s="424">
        <f t="shared" si="1062"/>
        <v>0</v>
      </c>
      <c r="EC577" s="424">
        <f t="shared" si="1062"/>
        <v>0</v>
      </c>
      <c r="ED577" s="424">
        <f t="shared" si="1062"/>
        <v>0</v>
      </c>
      <c r="EE577" s="424">
        <f t="shared" si="1062"/>
        <v>0</v>
      </c>
      <c r="EF577" s="424">
        <f t="shared" si="1062"/>
        <v>0</v>
      </c>
      <c r="EG577" s="424">
        <f t="shared" si="1062"/>
        <v>0</v>
      </c>
      <c r="EH577" s="424">
        <f t="shared" ref="EH577:EX577" si="1063">EH207*EH$372</f>
        <v>0</v>
      </c>
      <c r="EI577" s="424">
        <f t="shared" si="1063"/>
        <v>0</v>
      </c>
      <c r="EJ577" s="424">
        <f t="shared" si="1063"/>
        <v>0</v>
      </c>
      <c r="EK577" s="424">
        <f t="shared" si="1063"/>
        <v>0</v>
      </c>
      <c r="EL577" s="424">
        <f t="shared" si="1063"/>
        <v>0</v>
      </c>
      <c r="EM577" s="424">
        <f t="shared" si="1063"/>
        <v>0</v>
      </c>
      <c r="EN577" s="424">
        <f t="shared" si="1063"/>
        <v>0</v>
      </c>
      <c r="EO577" s="424">
        <f t="shared" si="1063"/>
        <v>0</v>
      </c>
      <c r="EP577" s="424">
        <f t="shared" si="1063"/>
        <v>0</v>
      </c>
      <c r="EQ577" s="424">
        <f t="shared" si="1063"/>
        <v>0</v>
      </c>
      <c r="ER577" s="424">
        <f t="shared" si="1063"/>
        <v>0</v>
      </c>
      <c r="ES577" s="424">
        <f t="shared" si="1063"/>
        <v>0</v>
      </c>
      <c r="ET577" s="424">
        <f t="shared" si="1063"/>
        <v>0</v>
      </c>
      <c r="EU577" s="424">
        <f t="shared" si="1063"/>
        <v>0</v>
      </c>
      <c r="EV577" s="424">
        <f t="shared" si="1063"/>
        <v>0</v>
      </c>
      <c r="EW577" s="424">
        <f t="shared" si="1063"/>
        <v>0</v>
      </c>
      <c r="EX577" s="424">
        <f t="shared" si="1063"/>
        <v>0</v>
      </c>
      <c r="EY577" s="425">
        <f t="shared" ref="EY577:EY646" si="1064">SUM(J577:EX577)</f>
        <v>30.19</v>
      </c>
    </row>
    <row r="578" spans="1:166" s="522" customFormat="1" ht="14.7" customHeight="1" x14ac:dyDescent="0.25">
      <c r="A578" s="310">
        <v>204</v>
      </c>
      <c r="B578" s="311" t="str">
        <f t="shared" si="1005"/>
        <v>Птица  (окорочка) тушенная в соусе</v>
      </c>
      <c r="C578" s="483">
        <f t="shared" si="1018"/>
        <v>20.399999999999999</v>
      </c>
      <c r="D578" s="888"/>
      <c r="E578" s="888"/>
      <c r="F578" s="888"/>
      <c r="G578" s="889"/>
      <c r="H578" s="680">
        <f t="shared" si="1006"/>
        <v>290</v>
      </c>
      <c r="I578" s="1209">
        <f t="shared" si="1007"/>
        <v>-0.01</v>
      </c>
      <c r="J578" s="424">
        <f t="shared" ref="J578:AO578" si="1065">J208*J$372</f>
        <v>0</v>
      </c>
      <c r="K578" s="424">
        <f t="shared" si="1065"/>
        <v>15.25</v>
      </c>
      <c r="L578" s="424">
        <f t="shared" si="1065"/>
        <v>0</v>
      </c>
      <c r="M578" s="424">
        <f t="shared" si="1065"/>
        <v>0</v>
      </c>
      <c r="N578" s="424">
        <f t="shared" si="1065"/>
        <v>0</v>
      </c>
      <c r="O578" s="424">
        <f t="shared" si="1065"/>
        <v>0</v>
      </c>
      <c r="P578" s="424">
        <f t="shared" si="1065"/>
        <v>0</v>
      </c>
      <c r="Q578" s="424">
        <f t="shared" si="1065"/>
        <v>0</v>
      </c>
      <c r="R578" s="424">
        <f t="shared" si="1065"/>
        <v>0</v>
      </c>
      <c r="S578" s="424">
        <f t="shared" si="1065"/>
        <v>0</v>
      </c>
      <c r="T578" s="424">
        <f t="shared" si="1065"/>
        <v>0</v>
      </c>
      <c r="U578" s="424">
        <f t="shared" si="1065"/>
        <v>0</v>
      </c>
      <c r="V578" s="424">
        <f t="shared" si="1065"/>
        <v>0</v>
      </c>
      <c r="W578" s="424">
        <f t="shared" si="1065"/>
        <v>0</v>
      </c>
      <c r="X578" s="424">
        <f t="shared" si="1065"/>
        <v>0</v>
      </c>
      <c r="Y578" s="424">
        <f t="shared" si="1065"/>
        <v>2.93</v>
      </c>
      <c r="Z578" s="424">
        <f t="shared" si="1065"/>
        <v>0</v>
      </c>
      <c r="AA578" s="424">
        <f t="shared" si="1065"/>
        <v>0</v>
      </c>
      <c r="AB578" s="424">
        <f t="shared" si="1065"/>
        <v>0</v>
      </c>
      <c r="AC578" s="424">
        <f t="shared" si="1065"/>
        <v>0</v>
      </c>
      <c r="AD578" s="424">
        <f t="shared" si="1065"/>
        <v>0</v>
      </c>
      <c r="AE578" s="424">
        <f t="shared" si="1065"/>
        <v>0</v>
      </c>
      <c r="AF578" s="424">
        <f t="shared" si="1065"/>
        <v>0</v>
      </c>
      <c r="AG578" s="424">
        <f t="shared" si="1065"/>
        <v>0</v>
      </c>
      <c r="AH578" s="424">
        <f t="shared" si="1065"/>
        <v>0</v>
      </c>
      <c r="AI578" s="424">
        <f t="shared" si="1065"/>
        <v>0</v>
      </c>
      <c r="AJ578" s="424">
        <f t="shared" si="1065"/>
        <v>0</v>
      </c>
      <c r="AK578" s="424">
        <f t="shared" si="1065"/>
        <v>0</v>
      </c>
      <c r="AL578" s="424">
        <f t="shared" si="1065"/>
        <v>0.3</v>
      </c>
      <c r="AM578" s="424">
        <f t="shared" si="1065"/>
        <v>0</v>
      </c>
      <c r="AN578" s="424">
        <f t="shared" si="1065"/>
        <v>0</v>
      </c>
      <c r="AO578" s="424">
        <f t="shared" si="1065"/>
        <v>0</v>
      </c>
      <c r="AP578" s="424">
        <f t="shared" ref="AP578:BU578" si="1066">AP208*AP$372</f>
        <v>0</v>
      </c>
      <c r="AQ578" s="424">
        <f t="shared" si="1066"/>
        <v>0</v>
      </c>
      <c r="AR578" s="424">
        <f t="shared" si="1066"/>
        <v>0</v>
      </c>
      <c r="AS578" s="424">
        <f t="shared" si="1066"/>
        <v>0</v>
      </c>
      <c r="AT578" s="424">
        <f t="shared" si="1066"/>
        <v>0</v>
      </c>
      <c r="AU578" s="424">
        <f t="shared" si="1066"/>
        <v>0.3</v>
      </c>
      <c r="AV578" s="424">
        <f t="shared" si="1066"/>
        <v>0</v>
      </c>
      <c r="AW578" s="424">
        <f t="shared" si="1066"/>
        <v>0</v>
      </c>
      <c r="AX578" s="424">
        <f t="shared" si="1066"/>
        <v>0</v>
      </c>
      <c r="AY578" s="424">
        <f t="shared" si="1066"/>
        <v>0</v>
      </c>
      <c r="AZ578" s="424">
        <f t="shared" si="1066"/>
        <v>0</v>
      </c>
      <c r="BA578" s="424">
        <f t="shared" si="1066"/>
        <v>0</v>
      </c>
      <c r="BB578" s="424">
        <f t="shared" si="1066"/>
        <v>0</v>
      </c>
      <c r="BC578" s="424">
        <f t="shared" si="1066"/>
        <v>0</v>
      </c>
      <c r="BD578" s="424">
        <f t="shared" si="1066"/>
        <v>0</v>
      </c>
      <c r="BE578" s="424">
        <f t="shared" si="1066"/>
        <v>0</v>
      </c>
      <c r="BF578" s="424">
        <f t="shared" si="1066"/>
        <v>0</v>
      </c>
      <c r="BG578" s="424">
        <f t="shared" si="1066"/>
        <v>0</v>
      </c>
      <c r="BH578" s="424">
        <f t="shared" si="1066"/>
        <v>0</v>
      </c>
      <c r="BI578" s="424">
        <f t="shared" si="1066"/>
        <v>0</v>
      </c>
      <c r="BJ578" s="424">
        <f t="shared" si="1066"/>
        <v>0</v>
      </c>
      <c r="BK578" s="424">
        <f t="shared" si="1066"/>
        <v>0</v>
      </c>
      <c r="BL578" s="424">
        <f t="shared" si="1066"/>
        <v>0</v>
      </c>
      <c r="BM578" s="424">
        <f t="shared" si="1066"/>
        <v>0</v>
      </c>
      <c r="BN578" s="424">
        <f t="shared" si="1066"/>
        <v>0</v>
      </c>
      <c r="BO578" s="424">
        <f t="shared" si="1066"/>
        <v>0</v>
      </c>
      <c r="BP578" s="424">
        <f t="shared" si="1066"/>
        <v>0</v>
      </c>
      <c r="BQ578" s="424">
        <f t="shared" si="1066"/>
        <v>0</v>
      </c>
      <c r="BR578" s="424">
        <f t="shared" si="1066"/>
        <v>0</v>
      </c>
      <c r="BS578" s="424">
        <f t="shared" si="1066"/>
        <v>0.14000000000000001</v>
      </c>
      <c r="BT578" s="424">
        <f t="shared" si="1066"/>
        <v>0</v>
      </c>
      <c r="BU578" s="424">
        <f t="shared" si="1066"/>
        <v>0</v>
      </c>
      <c r="BV578" s="424">
        <f t="shared" ref="BV578:DA578" si="1067">BV208*BV$372</f>
        <v>0</v>
      </c>
      <c r="BW578" s="424">
        <f t="shared" si="1067"/>
        <v>0</v>
      </c>
      <c r="BX578" s="424">
        <f t="shared" si="1067"/>
        <v>0</v>
      </c>
      <c r="BY578" s="424">
        <f t="shared" si="1067"/>
        <v>0</v>
      </c>
      <c r="BZ578" s="424">
        <f t="shared" si="1067"/>
        <v>0</v>
      </c>
      <c r="CA578" s="424">
        <f t="shared" si="1067"/>
        <v>0</v>
      </c>
      <c r="CB578" s="424">
        <f t="shared" si="1067"/>
        <v>0</v>
      </c>
      <c r="CC578" s="424">
        <f t="shared" si="1067"/>
        <v>0</v>
      </c>
      <c r="CD578" s="424">
        <f t="shared" si="1067"/>
        <v>0</v>
      </c>
      <c r="CE578" s="424">
        <f t="shared" si="1067"/>
        <v>0</v>
      </c>
      <c r="CF578" s="424">
        <f t="shared" si="1067"/>
        <v>0.24</v>
      </c>
      <c r="CG578" s="424">
        <f t="shared" si="1067"/>
        <v>0</v>
      </c>
      <c r="CH578" s="424">
        <f t="shared" si="1067"/>
        <v>0</v>
      </c>
      <c r="CI578" s="424">
        <f t="shared" si="1067"/>
        <v>0</v>
      </c>
      <c r="CJ578" s="424">
        <f t="shared" si="1067"/>
        <v>0</v>
      </c>
      <c r="CK578" s="424">
        <f t="shared" si="1067"/>
        <v>0</v>
      </c>
      <c r="CL578" s="424">
        <f t="shared" si="1067"/>
        <v>0</v>
      </c>
      <c r="CM578" s="424">
        <f t="shared" si="1067"/>
        <v>0</v>
      </c>
      <c r="CN578" s="424">
        <f t="shared" si="1067"/>
        <v>0</v>
      </c>
      <c r="CO578" s="424">
        <f t="shared" si="1067"/>
        <v>0</v>
      </c>
      <c r="CP578" s="424">
        <f t="shared" si="1067"/>
        <v>0</v>
      </c>
      <c r="CQ578" s="424">
        <f t="shared" si="1067"/>
        <v>0</v>
      </c>
      <c r="CR578" s="424">
        <f t="shared" si="1067"/>
        <v>0</v>
      </c>
      <c r="CS578" s="424">
        <f t="shared" si="1067"/>
        <v>0.01</v>
      </c>
      <c r="CT578" s="424">
        <f t="shared" si="1067"/>
        <v>0</v>
      </c>
      <c r="CU578" s="424">
        <f t="shared" si="1067"/>
        <v>0</v>
      </c>
      <c r="CV578" s="424">
        <f t="shared" si="1067"/>
        <v>0</v>
      </c>
      <c r="CW578" s="424">
        <f t="shared" si="1067"/>
        <v>0</v>
      </c>
      <c r="CX578" s="424">
        <f t="shared" si="1067"/>
        <v>0</v>
      </c>
      <c r="CY578" s="424">
        <f t="shared" si="1067"/>
        <v>0</v>
      </c>
      <c r="CZ578" s="424">
        <f t="shared" si="1067"/>
        <v>0</v>
      </c>
      <c r="DA578" s="424">
        <f t="shared" si="1067"/>
        <v>0</v>
      </c>
      <c r="DB578" s="424">
        <f t="shared" ref="DB578:EG578" si="1068">DB208*DB$372</f>
        <v>0</v>
      </c>
      <c r="DC578" s="424">
        <f t="shared" si="1068"/>
        <v>0.08</v>
      </c>
      <c r="DD578" s="424">
        <f t="shared" si="1068"/>
        <v>0</v>
      </c>
      <c r="DE578" s="424">
        <f t="shared" si="1068"/>
        <v>0</v>
      </c>
      <c r="DF578" s="424">
        <f t="shared" si="1068"/>
        <v>1.1499999999999999</v>
      </c>
      <c r="DG578" s="424">
        <f t="shared" si="1068"/>
        <v>0</v>
      </c>
      <c r="DH578" s="424">
        <f t="shared" si="1068"/>
        <v>0</v>
      </c>
      <c r="DI578" s="424">
        <f t="shared" si="1068"/>
        <v>0</v>
      </c>
      <c r="DJ578" s="424">
        <f t="shared" si="1068"/>
        <v>0</v>
      </c>
      <c r="DK578" s="424">
        <f t="shared" si="1068"/>
        <v>0</v>
      </c>
      <c r="DL578" s="424">
        <f t="shared" si="1068"/>
        <v>0</v>
      </c>
      <c r="DM578" s="424">
        <f t="shared" si="1068"/>
        <v>0</v>
      </c>
      <c r="DN578" s="424">
        <f t="shared" si="1068"/>
        <v>0</v>
      </c>
      <c r="DO578" s="424">
        <f t="shared" si="1068"/>
        <v>0</v>
      </c>
      <c r="DP578" s="424">
        <f t="shared" si="1068"/>
        <v>0</v>
      </c>
      <c r="DQ578" s="424">
        <f t="shared" si="1068"/>
        <v>0</v>
      </c>
      <c r="DR578" s="424">
        <f t="shared" si="1068"/>
        <v>0</v>
      </c>
      <c r="DS578" s="424">
        <f t="shared" si="1068"/>
        <v>0</v>
      </c>
      <c r="DT578" s="424">
        <f t="shared" si="1068"/>
        <v>0</v>
      </c>
      <c r="DU578" s="424">
        <f t="shared" si="1068"/>
        <v>0</v>
      </c>
      <c r="DV578" s="424">
        <f t="shared" si="1068"/>
        <v>0</v>
      </c>
      <c r="DW578" s="424">
        <f t="shared" si="1068"/>
        <v>0</v>
      </c>
      <c r="DX578" s="424">
        <f t="shared" si="1068"/>
        <v>0</v>
      </c>
      <c r="DY578" s="424">
        <f t="shared" si="1068"/>
        <v>0</v>
      </c>
      <c r="DZ578" s="424">
        <f t="shared" si="1068"/>
        <v>0</v>
      </c>
      <c r="EA578" s="424">
        <f t="shared" si="1068"/>
        <v>0</v>
      </c>
      <c r="EB578" s="424">
        <f t="shared" si="1068"/>
        <v>0</v>
      </c>
      <c r="EC578" s="424">
        <f t="shared" si="1068"/>
        <v>0</v>
      </c>
      <c r="ED578" s="424">
        <f t="shared" si="1068"/>
        <v>0</v>
      </c>
      <c r="EE578" s="424">
        <f t="shared" si="1068"/>
        <v>0</v>
      </c>
      <c r="EF578" s="424">
        <f t="shared" si="1068"/>
        <v>0</v>
      </c>
      <c r="EG578" s="424">
        <f t="shared" si="1068"/>
        <v>0</v>
      </c>
      <c r="EH578" s="424">
        <f t="shared" ref="EH578:EX578" si="1069">EH208*EH$372</f>
        <v>0</v>
      </c>
      <c r="EI578" s="424">
        <f t="shared" si="1069"/>
        <v>0</v>
      </c>
      <c r="EJ578" s="424">
        <f t="shared" si="1069"/>
        <v>0</v>
      </c>
      <c r="EK578" s="424">
        <f t="shared" si="1069"/>
        <v>0</v>
      </c>
      <c r="EL578" s="424">
        <f t="shared" si="1069"/>
        <v>0</v>
      </c>
      <c r="EM578" s="424">
        <f t="shared" si="1069"/>
        <v>0</v>
      </c>
      <c r="EN578" s="424">
        <f t="shared" si="1069"/>
        <v>0</v>
      </c>
      <c r="EO578" s="424">
        <f t="shared" si="1069"/>
        <v>0</v>
      </c>
      <c r="EP578" s="424">
        <f t="shared" si="1069"/>
        <v>0</v>
      </c>
      <c r="EQ578" s="424">
        <f t="shared" si="1069"/>
        <v>0</v>
      </c>
      <c r="ER578" s="424">
        <f t="shared" si="1069"/>
        <v>0</v>
      </c>
      <c r="ES578" s="424">
        <f t="shared" si="1069"/>
        <v>0</v>
      </c>
      <c r="ET578" s="424">
        <f t="shared" si="1069"/>
        <v>0</v>
      </c>
      <c r="EU578" s="424">
        <f t="shared" si="1069"/>
        <v>0</v>
      </c>
      <c r="EV578" s="424">
        <f t="shared" si="1069"/>
        <v>0</v>
      </c>
      <c r="EW578" s="424">
        <f t="shared" si="1069"/>
        <v>0</v>
      </c>
      <c r="EX578" s="424">
        <f t="shared" si="1069"/>
        <v>0</v>
      </c>
      <c r="EY578" s="425">
        <f t="shared" si="1064"/>
        <v>20.399999999999999</v>
      </c>
      <c r="EZ578" s="616"/>
      <c r="FA578" s="616"/>
      <c r="FB578" s="616"/>
      <c r="FC578" s="616"/>
      <c r="FD578" s="616"/>
      <c r="FE578" s="616"/>
      <c r="FF578" s="616"/>
      <c r="FG578" s="616"/>
      <c r="FH578" s="616"/>
      <c r="FI578" s="616"/>
      <c r="FJ578" s="616"/>
    </row>
    <row r="579" spans="1:166" s="944" customFormat="1" ht="14.7" customHeight="1" x14ac:dyDescent="0.25">
      <c r="A579" s="310">
        <v>205</v>
      </c>
      <c r="B579" s="311" t="str">
        <f t="shared" si="1005"/>
        <v>Птица  тушенная в соусе</v>
      </c>
      <c r="C579" s="483">
        <f t="shared" si="1018"/>
        <v>26.41</v>
      </c>
      <c r="D579" s="888"/>
      <c r="E579" s="888"/>
      <c r="F579" s="888"/>
      <c r="G579" s="889"/>
      <c r="H579" s="680">
        <f t="shared" si="1006"/>
        <v>290</v>
      </c>
      <c r="I579" s="1209">
        <f t="shared" si="1007"/>
        <v>-0.01</v>
      </c>
      <c r="J579" s="424">
        <f t="shared" ref="J579:AO579" si="1070">J209*J$372</f>
        <v>0</v>
      </c>
      <c r="K579" s="424">
        <f t="shared" si="1070"/>
        <v>0</v>
      </c>
      <c r="L579" s="424">
        <f t="shared" si="1070"/>
        <v>21.26</v>
      </c>
      <c r="M579" s="424">
        <f t="shared" si="1070"/>
        <v>0</v>
      </c>
      <c r="N579" s="424">
        <f t="shared" si="1070"/>
        <v>0</v>
      </c>
      <c r="O579" s="424">
        <f t="shared" si="1070"/>
        <v>0</v>
      </c>
      <c r="P579" s="424">
        <f t="shared" si="1070"/>
        <v>0</v>
      </c>
      <c r="Q579" s="424">
        <f t="shared" si="1070"/>
        <v>0</v>
      </c>
      <c r="R579" s="424">
        <f t="shared" si="1070"/>
        <v>0</v>
      </c>
      <c r="S579" s="424">
        <f t="shared" si="1070"/>
        <v>0</v>
      </c>
      <c r="T579" s="424">
        <f t="shared" si="1070"/>
        <v>0</v>
      </c>
      <c r="U579" s="424">
        <f t="shared" si="1070"/>
        <v>0</v>
      </c>
      <c r="V579" s="424">
        <f t="shared" si="1070"/>
        <v>0</v>
      </c>
      <c r="W579" s="424">
        <f t="shared" si="1070"/>
        <v>0</v>
      </c>
      <c r="X579" s="424">
        <f t="shared" si="1070"/>
        <v>0</v>
      </c>
      <c r="Y579" s="424">
        <f t="shared" si="1070"/>
        <v>2.93</v>
      </c>
      <c r="Z579" s="424">
        <f t="shared" si="1070"/>
        <v>0</v>
      </c>
      <c r="AA579" s="424">
        <f t="shared" si="1070"/>
        <v>0</v>
      </c>
      <c r="AB579" s="424">
        <f t="shared" si="1070"/>
        <v>0</v>
      </c>
      <c r="AC579" s="424">
        <f t="shared" si="1070"/>
        <v>0</v>
      </c>
      <c r="AD579" s="424">
        <f t="shared" si="1070"/>
        <v>0</v>
      </c>
      <c r="AE579" s="424">
        <f t="shared" si="1070"/>
        <v>0</v>
      </c>
      <c r="AF579" s="424">
        <f t="shared" si="1070"/>
        <v>0</v>
      </c>
      <c r="AG579" s="424">
        <f t="shared" si="1070"/>
        <v>0</v>
      </c>
      <c r="AH579" s="424">
        <f t="shared" si="1070"/>
        <v>0</v>
      </c>
      <c r="AI579" s="424">
        <f t="shared" si="1070"/>
        <v>0</v>
      </c>
      <c r="AJ579" s="424">
        <f t="shared" si="1070"/>
        <v>0</v>
      </c>
      <c r="AK579" s="424">
        <f t="shared" si="1070"/>
        <v>0</v>
      </c>
      <c r="AL579" s="424">
        <f t="shared" si="1070"/>
        <v>0.3</v>
      </c>
      <c r="AM579" s="424">
        <f t="shared" si="1070"/>
        <v>0</v>
      </c>
      <c r="AN579" s="424">
        <f t="shared" si="1070"/>
        <v>0</v>
      </c>
      <c r="AO579" s="424">
        <f t="shared" si="1070"/>
        <v>0</v>
      </c>
      <c r="AP579" s="424">
        <f t="shared" ref="AP579:BU579" si="1071">AP209*AP$372</f>
        <v>0</v>
      </c>
      <c r="AQ579" s="424">
        <f t="shared" si="1071"/>
        <v>0</v>
      </c>
      <c r="AR579" s="424">
        <f t="shared" si="1071"/>
        <v>0</v>
      </c>
      <c r="AS579" s="424">
        <f t="shared" si="1071"/>
        <v>0</v>
      </c>
      <c r="AT579" s="424">
        <f t="shared" si="1071"/>
        <v>0</v>
      </c>
      <c r="AU579" s="424">
        <f t="shared" si="1071"/>
        <v>0.3</v>
      </c>
      <c r="AV579" s="424">
        <f t="shared" si="1071"/>
        <v>0</v>
      </c>
      <c r="AW579" s="424">
        <f t="shared" si="1071"/>
        <v>0</v>
      </c>
      <c r="AX579" s="424">
        <f t="shared" si="1071"/>
        <v>0</v>
      </c>
      <c r="AY579" s="424">
        <f t="shared" si="1071"/>
        <v>0</v>
      </c>
      <c r="AZ579" s="424">
        <f t="shared" si="1071"/>
        <v>0</v>
      </c>
      <c r="BA579" s="424">
        <f t="shared" si="1071"/>
        <v>0</v>
      </c>
      <c r="BB579" s="424">
        <f t="shared" si="1071"/>
        <v>0</v>
      </c>
      <c r="BC579" s="424">
        <f t="shared" si="1071"/>
        <v>0</v>
      </c>
      <c r="BD579" s="424">
        <f t="shared" si="1071"/>
        <v>0</v>
      </c>
      <c r="BE579" s="424">
        <f t="shared" si="1071"/>
        <v>0</v>
      </c>
      <c r="BF579" s="424">
        <f t="shared" si="1071"/>
        <v>0</v>
      </c>
      <c r="BG579" s="424">
        <f t="shared" si="1071"/>
        <v>0</v>
      </c>
      <c r="BH579" s="424">
        <f t="shared" si="1071"/>
        <v>0</v>
      </c>
      <c r="BI579" s="424">
        <f t="shared" si="1071"/>
        <v>0</v>
      </c>
      <c r="BJ579" s="424">
        <f t="shared" si="1071"/>
        <v>0</v>
      </c>
      <c r="BK579" s="424">
        <f t="shared" si="1071"/>
        <v>0</v>
      </c>
      <c r="BL579" s="424">
        <f t="shared" si="1071"/>
        <v>0</v>
      </c>
      <c r="BM579" s="424">
        <f t="shared" si="1071"/>
        <v>0</v>
      </c>
      <c r="BN579" s="424">
        <f t="shared" si="1071"/>
        <v>0</v>
      </c>
      <c r="BO579" s="424">
        <f t="shared" si="1071"/>
        <v>0</v>
      </c>
      <c r="BP579" s="424">
        <f t="shared" si="1071"/>
        <v>0</v>
      </c>
      <c r="BQ579" s="424">
        <f t="shared" si="1071"/>
        <v>0</v>
      </c>
      <c r="BR579" s="424">
        <f t="shared" si="1071"/>
        <v>0</v>
      </c>
      <c r="BS579" s="424">
        <f t="shared" si="1071"/>
        <v>0.14000000000000001</v>
      </c>
      <c r="BT579" s="424">
        <f t="shared" si="1071"/>
        <v>0</v>
      </c>
      <c r="BU579" s="424">
        <f t="shared" si="1071"/>
        <v>0</v>
      </c>
      <c r="BV579" s="424">
        <f t="shared" ref="BV579:DA579" si="1072">BV209*BV$372</f>
        <v>0</v>
      </c>
      <c r="BW579" s="424">
        <f t="shared" si="1072"/>
        <v>0</v>
      </c>
      <c r="BX579" s="424">
        <f t="shared" si="1072"/>
        <v>0</v>
      </c>
      <c r="BY579" s="424">
        <f t="shared" si="1072"/>
        <v>0</v>
      </c>
      <c r="BZ579" s="424">
        <f t="shared" si="1072"/>
        <v>0</v>
      </c>
      <c r="CA579" s="424">
        <f t="shared" si="1072"/>
        <v>0</v>
      </c>
      <c r="CB579" s="424">
        <f t="shared" si="1072"/>
        <v>0</v>
      </c>
      <c r="CC579" s="424">
        <f t="shared" si="1072"/>
        <v>0</v>
      </c>
      <c r="CD579" s="424">
        <f t="shared" si="1072"/>
        <v>0</v>
      </c>
      <c r="CE579" s="424">
        <f t="shared" si="1072"/>
        <v>0</v>
      </c>
      <c r="CF579" s="424">
        <f t="shared" si="1072"/>
        <v>0.24</v>
      </c>
      <c r="CG579" s="424">
        <f t="shared" si="1072"/>
        <v>0</v>
      </c>
      <c r="CH579" s="424">
        <f t="shared" si="1072"/>
        <v>0</v>
      </c>
      <c r="CI579" s="424">
        <f t="shared" si="1072"/>
        <v>0</v>
      </c>
      <c r="CJ579" s="424">
        <f t="shared" si="1072"/>
        <v>0</v>
      </c>
      <c r="CK579" s="424">
        <f t="shared" si="1072"/>
        <v>0</v>
      </c>
      <c r="CL579" s="424">
        <f t="shared" si="1072"/>
        <v>0</v>
      </c>
      <c r="CM579" s="424">
        <f t="shared" si="1072"/>
        <v>0</v>
      </c>
      <c r="CN579" s="424">
        <f t="shared" si="1072"/>
        <v>0</v>
      </c>
      <c r="CO579" s="424">
        <f t="shared" si="1072"/>
        <v>0</v>
      </c>
      <c r="CP579" s="424">
        <f t="shared" si="1072"/>
        <v>0</v>
      </c>
      <c r="CQ579" s="424">
        <f t="shared" si="1072"/>
        <v>0</v>
      </c>
      <c r="CR579" s="424">
        <f t="shared" si="1072"/>
        <v>0</v>
      </c>
      <c r="CS579" s="424">
        <f t="shared" si="1072"/>
        <v>0.01</v>
      </c>
      <c r="CT579" s="424">
        <f t="shared" si="1072"/>
        <v>0</v>
      </c>
      <c r="CU579" s="424">
        <f t="shared" si="1072"/>
        <v>0</v>
      </c>
      <c r="CV579" s="424">
        <f t="shared" si="1072"/>
        <v>0</v>
      </c>
      <c r="CW579" s="424">
        <f t="shared" si="1072"/>
        <v>0</v>
      </c>
      <c r="CX579" s="424">
        <f t="shared" si="1072"/>
        <v>0</v>
      </c>
      <c r="CY579" s="424">
        <f t="shared" si="1072"/>
        <v>0</v>
      </c>
      <c r="CZ579" s="424">
        <f t="shared" si="1072"/>
        <v>0</v>
      </c>
      <c r="DA579" s="424">
        <f t="shared" si="1072"/>
        <v>0</v>
      </c>
      <c r="DB579" s="424">
        <f t="shared" ref="DB579:EG579" si="1073">DB209*DB$372</f>
        <v>0</v>
      </c>
      <c r="DC579" s="424">
        <f t="shared" si="1073"/>
        <v>0.08</v>
      </c>
      <c r="DD579" s="424">
        <f t="shared" si="1073"/>
        <v>0</v>
      </c>
      <c r="DE579" s="424">
        <f t="shared" si="1073"/>
        <v>0</v>
      </c>
      <c r="DF579" s="424">
        <f t="shared" si="1073"/>
        <v>1.1499999999999999</v>
      </c>
      <c r="DG579" s="424">
        <f t="shared" si="1073"/>
        <v>0</v>
      </c>
      <c r="DH579" s="424">
        <f t="shared" si="1073"/>
        <v>0</v>
      </c>
      <c r="DI579" s="424">
        <f t="shared" si="1073"/>
        <v>0</v>
      </c>
      <c r="DJ579" s="424">
        <f t="shared" si="1073"/>
        <v>0</v>
      </c>
      <c r="DK579" s="424">
        <f t="shared" si="1073"/>
        <v>0</v>
      </c>
      <c r="DL579" s="424">
        <f t="shared" si="1073"/>
        <v>0</v>
      </c>
      <c r="DM579" s="424">
        <f t="shared" si="1073"/>
        <v>0</v>
      </c>
      <c r="DN579" s="424">
        <f t="shared" si="1073"/>
        <v>0</v>
      </c>
      <c r="DO579" s="424">
        <f t="shared" si="1073"/>
        <v>0</v>
      </c>
      <c r="DP579" s="424">
        <f t="shared" si="1073"/>
        <v>0</v>
      </c>
      <c r="DQ579" s="424">
        <f t="shared" si="1073"/>
        <v>0</v>
      </c>
      <c r="DR579" s="424">
        <f t="shared" si="1073"/>
        <v>0</v>
      </c>
      <c r="DS579" s="424">
        <f t="shared" si="1073"/>
        <v>0</v>
      </c>
      <c r="DT579" s="424">
        <f t="shared" si="1073"/>
        <v>0</v>
      </c>
      <c r="DU579" s="424">
        <f t="shared" si="1073"/>
        <v>0</v>
      </c>
      <c r="DV579" s="424">
        <f t="shared" si="1073"/>
        <v>0</v>
      </c>
      <c r="DW579" s="424">
        <f t="shared" si="1073"/>
        <v>0</v>
      </c>
      <c r="DX579" s="424">
        <f t="shared" si="1073"/>
        <v>0</v>
      </c>
      <c r="DY579" s="424">
        <f t="shared" si="1073"/>
        <v>0</v>
      </c>
      <c r="DZ579" s="424">
        <f t="shared" si="1073"/>
        <v>0</v>
      </c>
      <c r="EA579" s="424">
        <f t="shared" si="1073"/>
        <v>0</v>
      </c>
      <c r="EB579" s="424">
        <f t="shared" si="1073"/>
        <v>0</v>
      </c>
      <c r="EC579" s="424">
        <f t="shared" si="1073"/>
        <v>0</v>
      </c>
      <c r="ED579" s="424">
        <f t="shared" si="1073"/>
        <v>0</v>
      </c>
      <c r="EE579" s="424">
        <f t="shared" si="1073"/>
        <v>0</v>
      </c>
      <c r="EF579" s="424">
        <f t="shared" si="1073"/>
        <v>0</v>
      </c>
      <c r="EG579" s="424">
        <f t="shared" si="1073"/>
        <v>0</v>
      </c>
      <c r="EH579" s="424">
        <f t="shared" ref="EH579:EX579" si="1074">EH209*EH$372</f>
        <v>0</v>
      </c>
      <c r="EI579" s="424">
        <f t="shared" si="1074"/>
        <v>0</v>
      </c>
      <c r="EJ579" s="424">
        <f t="shared" si="1074"/>
        <v>0</v>
      </c>
      <c r="EK579" s="424">
        <f t="shared" si="1074"/>
        <v>0</v>
      </c>
      <c r="EL579" s="424">
        <f t="shared" si="1074"/>
        <v>0</v>
      </c>
      <c r="EM579" s="424">
        <f t="shared" si="1074"/>
        <v>0</v>
      </c>
      <c r="EN579" s="424">
        <f t="shared" si="1074"/>
        <v>0</v>
      </c>
      <c r="EO579" s="424">
        <f t="shared" si="1074"/>
        <v>0</v>
      </c>
      <c r="EP579" s="424">
        <f t="shared" si="1074"/>
        <v>0</v>
      </c>
      <c r="EQ579" s="424">
        <f t="shared" si="1074"/>
        <v>0</v>
      </c>
      <c r="ER579" s="424">
        <f t="shared" si="1074"/>
        <v>0</v>
      </c>
      <c r="ES579" s="424">
        <f t="shared" si="1074"/>
        <v>0</v>
      </c>
      <c r="ET579" s="424">
        <f t="shared" si="1074"/>
        <v>0</v>
      </c>
      <c r="EU579" s="424">
        <f t="shared" si="1074"/>
        <v>0</v>
      </c>
      <c r="EV579" s="424">
        <f t="shared" si="1074"/>
        <v>0</v>
      </c>
      <c r="EW579" s="424">
        <f t="shared" si="1074"/>
        <v>0</v>
      </c>
      <c r="EX579" s="424">
        <f t="shared" si="1074"/>
        <v>0</v>
      </c>
      <c r="EY579" s="425">
        <f t="shared" si="1064"/>
        <v>26.41</v>
      </c>
      <c r="EZ579" s="616"/>
      <c r="FA579" s="616"/>
      <c r="FB579" s="616"/>
      <c r="FC579" s="616"/>
      <c r="FD579" s="616"/>
      <c r="FE579" s="616"/>
      <c r="FF579" s="616"/>
      <c r="FG579" s="616"/>
      <c r="FH579" s="616"/>
      <c r="FI579" s="616"/>
      <c r="FJ579" s="616"/>
    </row>
    <row r="580" spans="1:166" s="937" customFormat="1" ht="14.7" customHeight="1" x14ac:dyDescent="0.25">
      <c r="A580" s="310">
        <v>206</v>
      </c>
      <c r="B580" s="311" t="str">
        <f t="shared" si="1005"/>
        <v>Птица  тушенная в соусе</v>
      </c>
      <c r="C580" s="483">
        <f t="shared" si="1018"/>
        <v>35.14</v>
      </c>
      <c r="D580" s="888"/>
      <c r="E580" s="888"/>
      <c r="F580" s="888"/>
      <c r="G580" s="889"/>
      <c r="H580" s="680">
        <f t="shared" si="1006"/>
        <v>290</v>
      </c>
      <c r="I580" s="1209">
        <f t="shared" si="1007"/>
        <v>-0.01</v>
      </c>
      <c r="J580" s="424">
        <f t="shared" ref="J580:AO580" si="1075">J210*J$372</f>
        <v>0</v>
      </c>
      <c r="K580" s="424">
        <f t="shared" si="1075"/>
        <v>0</v>
      </c>
      <c r="L580" s="424">
        <f t="shared" si="1075"/>
        <v>29.84</v>
      </c>
      <c r="M580" s="424">
        <f t="shared" si="1075"/>
        <v>0</v>
      </c>
      <c r="N580" s="424">
        <f t="shared" si="1075"/>
        <v>0</v>
      </c>
      <c r="O580" s="424">
        <f t="shared" si="1075"/>
        <v>0</v>
      </c>
      <c r="P580" s="424">
        <f t="shared" si="1075"/>
        <v>0</v>
      </c>
      <c r="Q580" s="424">
        <f t="shared" si="1075"/>
        <v>0</v>
      </c>
      <c r="R580" s="424">
        <f t="shared" si="1075"/>
        <v>0</v>
      </c>
      <c r="S580" s="424">
        <f t="shared" si="1075"/>
        <v>0</v>
      </c>
      <c r="T580" s="424">
        <f t="shared" si="1075"/>
        <v>0</v>
      </c>
      <c r="U580" s="424">
        <f t="shared" si="1075"/>
        <v>0</v>
      </c>
      <c r="V580" s="424">
        <f t="shared" si="1075"/>
        <v>0</v>
      </c>
      <c r="W580" s="424">
        <f t="shared" si="1075"/>
        <v>0</v>
      </c>
      <c r="X580" s="424">
        <f t="shared" si="1075"/>
        <v>0</v>
      </c>
      <c r="Y580" s="424">
        <f t="shared" si="1075"/>
        <v>2.93</v>
      </c>
      <c r="Z580" s="424">
        <f t="shared" si="1075"/>
        <v>0</v>
      </c>
      <c r="AA580" s="424">
        <f t="shared" si="1075"/>
        <v>0</v>
      </c>
      <c r="AB580" s="424">
        <f t="shared" si="1075"/>
        <v>0</v>
      </c>
      <c r="AC580" s="424">
        <f t="shared" si="1075"/>
        <v>0</v>
      </c>
      <c r="AD580" s="424">
        <f t="shared" si="1075"/>
        <v>0</v>
      </c>
      <c r="AE580" s="424">
        <f t="shared" si="1075"/>
        <v>0</v>
      </c>
      <c r="AF580" s="424">
        <f t="shared" si="1075"/>
        <v>0</v>
      </c>
      <c r="AG580" s="424">
        <f t="shared" si="1075"/>
        <v>0</v>
      </c>
      <c r="AH580" s="424">
        <f t="shared" si="1075"/>
        <v>0</v>
      </c>
      <c r="AI580" s="424">
        <f t="shared" si="1075"/>
        <v>0</v>
      </c>
      <c r="AJ580" s="424">
        <f t="shared" si="1075"/>
        <v>0</v>
      </c>
      <c r="AK580" s="424">
        <f t="shared" si="1075"/>
        <v>0</v>
      </c>
      <c r="AL580" s="424">
        <f t="shared" si="1075"/>
        <v>0.3</v>
      </c>
      <c r="AM580" s="424">
        <f t="shared" si="1075"/>
        <v>0</v>
      </c>
      <c r="AN580" s="424">
        <f t="shared" si="1075"/>
        <v>0</v>
      </c>
      <c r="AO580" s="424">
        <f t="shared" si="1075"/>
        <v>0</v>
      </c>
      <c r="AP580" s="424">
        <f t="shared" ref="AP580:BU580" si="1076">AP210*AP$372</f>
        <v>0</v>
      </c>
      <c r="AQ580" s="424">
        <f t="shared" si="1076"/>
        <v>0</v>
      </c>
      <c r="AR580" s="424">
        <f t="shared" si="1076"/>
        <v>0</v>
      </c>
      <c r="AS580" s="424">
        <f t="shared" si="1076"/>
        <v>0</v>
      </c>
      <c r="AT580" s="424">
        <f t="shared" si="1076"/>
        <v>0</v>
      </c>
      <c r="AU580" s="424">
        <f t="shared" si="1076"/>
        <v>0.3</v>
      </c>
      <c r="AV580" s="424">
        <f t="shared" si="1076"/>
        <v>0</v>
      </c>
      <c r="AW580" s="424">
        <f t="shared" si="1076"/>
        <v>0</v>
      </c>
      <c r="AX580" s="424">
        <f t="shared" si="1076"/>
        <v>0</v>
      </c>
      <c r="AY580" s="424">
        <f t="shared" si="1076"/>
        <v>0</v>
      </c>
      <c r="AZ580" s="424">
        <f t="shared" si="1076"/>
        <v>0</v>
      </c>
      <c r="BA580" s="424">
        <f t="shared" si="1076"/>
        <v>0</v>
      </c>
      <c r="BB580" s="424">
        <f t="shared" si="1076"/>
        <v>0</v>
      </c>
      <c r="BC580" s="424">
        <f t="shared" si="1076"/>
        <v>0</v>
      </c>
      <c r="BD580" s="424">
        <f t="shared" si="1076"/>
        <v>0</v>
      </c>
      <c r="BE580" s="424">
        <f t="shared" si="1076"/>
        <v>0</v>
      </c>
      <c r="BF580" s="424">
        <f t="shared" si="1076"/>
        <v>0</v>
      </c>
      <c r="BG580" s="424">
        <f t="shared" si="1076"/>
        <v>0</v>
      </c>
      <c r="BH580" s="424">
        <f t="shared" si="1076"/>
        <v>0</v>
      </c>
      <c r="BI580" s="424">
        <f t="shared" si="1076"/>
        <v>0</v>
      </c>
      <c r="BJ580" s="424">
        <f t="shared" si="1076"/>
        <v>0</v>
      </c>
      <c r="BK580" s="424">
        <f t="shared" si="1076"/>
        <v>0</v>
      </c>
      <c r="BL580" s="424">
        <f t="shared" si="1076"/>
        <v>0</v>
      </c>
      <c r="BM580" s="424">
        <f t="shared" si="1076"/>
        <v>0</v>
      </c>
      <c r="BN580" s="424">
        <f t="shared" si="1076"/>
        <v>0</v>
      </c>
      <c r="BO580" s="424">
        <f t="shared" si="1076"/>
        <v>0</v>
      </c>
      <c r="BP580" s="424">
        <f t="shared" si="1076"/>
        <v>0</v>
      </c>
      <c r="BQ580" s="424">
        <f t="shared" si="1076"/>
        <v>0</v>
      </c>
      <c r="BR580" s="424">
        <f t="shared" si="1076"/>
        <v>0</v>
      </c>
      <c r="BS580" s="424">
        <f t="shared" si="1076"/>
        <v>0.14000000000000001</v>
      </c>
      <c r="BT580" s="424">
        <f t="shared" si="1076"/>
        <v>0</v>
      </c>
      <c r="BU580" s="424">
        <f t="shared" si="1076"/>
        <v>0</v>
      </c>
      <c r="BV580" s="424">
        <f t="shared" ref="BV580:DA580" si="1077">BV210*BV$372</f>
        <v>0</v>
      </c>
      <c r="BW580" s="424">
        <f t="shared" si="1077"/>
        <v>0</v>
      </c>
      <c r="BX580" s="424">
        <f t="shared" si="1077"/>
        <v>0</v>
      </c>
      <c r="BY580" s="424">
        <f t="shared" si="1077"/>
        <v>0</v>
      </c>
      <c r="BZ580" s="424">
        <f t="shared" si="1077"/>
        <v>0</v>
      </c>
      <c r="CA580" s="424">
        <f t="shared" si="1077"/>
        <v>0</v>
      </c>
      <c r="CB580" s="424">
        <f t="shared" si="1077"/>
        <v>0</v>
      </c>
      <c r="CC580" s="424">
        <f t="shared" si="1077"/>
        <v>0</v>
      </c>
      <c r="CD580" s="424">
        <f t="shared" si="1077"/>
        <v>0</v>
      </c>
      <c r="CE580" s="424">
        <f t="shared" si="1077"/>
        <v>0</v>
      </c>
      <c r="CF580" s="424">
        <f t="shared" si="1077"/>
        <v>0.36</v>
      </c>
      <c r="CG580" s="424">
        <f t="shared" si="1077"/>
        <v>0</v>
      </c>
      <c r="CH580" s="424">
        <f t="shared" si="1077"/>
        <v>0</v>
      </c>
      <c r="CI580" s="424">
        <f t="shared" si="1077"/>
        <v>0</v>
      </c>
      <c r="CJ580" s="424">
        <f t="shared" si="1077"/>
        <v>0</v>
      </c>
      <c r="CK580" s="424">
        <f t="shared" si="1077"/>
        <v>0</v>
      </c>
      <c r="CL580" s="424">
        <f t="shared" si="1077"/>
        <v>0</v>
      </c>
      <c r="CM580" s="424">
        <f t="shared" si="1077"/>
        <v>0</v>
      </c>
      <c r="CN580" s="424">
        <f t="shared" si="1077"/>
        <v>0</v>
      </c>
      <c r="CO580" s="424">
        <f t="shared" si="1077"/>
        <v>0</v>
      </c>
      <c r="CP580" s="424">
        <f t="shared" si="1077"/>
        <v>0</v>
      </c>
      <c r="CQ580" s="424">
        <f t="shared" si="1077"/>
        <v>0</v>
      </c>
      <c r="CR580" s="424">
        <f t="shared" si="1077"/>
        <v>0</v>
      </c>
      <c r="CS580" s="424">
        <f t="shared" si="1077"/>
        <v>0.01</v>
      </c>
      <c r="CT580" s="424">
        <f t="shared" si="1077"/>
        <v>0</v>
      </c>
      <c r="CU580" s="424">
        <f t="shared" si="1077"/>
        <v>0</v>
      </c>
      <c r="CV580" s="424">
        <f t="shared" si="1077"/>
        <v>0</v>
      </c>
      <c r="CW580" s="424">
        <f t="shared" si="1077"/>
        <v>0</v>
      </c>
      <c r="CX580" s="424">
        <f t="shared" si="1077"/>
        <v>0</v>
      </c>
      <c r="CY580" s="424">
        <f t="shared" si="1077"/>
        <v>0</v>
      </c>
      <c r="CZ580" s="424">
        <f t="shared" si="1077"/>
        <v>0</v>
      </c>
      <c r="DA580" s="424">
        <f t="shared" si="1077"/>
        <v>0</v>
      </c>
      <c r="DB580" s="424">
        <f t="shared" ref="DB580:EG580" si="1078">DB210*DB$372</f>
        <v>0</v>
      </c>
      <c r="DC580" s="424">
        <f t="shared" si="1078"/>
        <v>0.11</v>
      </c>
      <c r="DD580" s="424">
        <f t="shared" si="1078"/>
        <v>0</v>
      </c>
      <c r="DE580" s="424">
        <f t="shared" si="1078"/>
        <v>0</v>
      </c>
      <c r="DF580" s="424">
        <f t="shared" si="1078"/>
        <v>1.1499999999999999</v>
      </c>
      <c r="DG580" s="424">
        <f t="shared" si="1078"/>
        <v>0</v>
      </c>
      <c r="DH580" s="424">
        <f t="shared" si="1078"/>
        <v>0</v>
      </c>
      <c r="DI580" s="424">
        <f t="shared" si="1078"/>
        <v>0</v>
      </c>
      <c r="DJ580" s="424">
        <f t="shared" si="1078"/>
        <v>0</v>
      </c>
      <c r="DK580" s="424">
        <f t="shared" si="1078"/>
        <v>0</v>
      </c>
      <c r="DL580" s="424">
        <f t="shared" si="1078"/>
        <v>0</v>
      </c>
      <c r="DM580" s="424">
        <f t="shared" si="1078"/>
        <v>0</v>
      </c>
      <c r="DN580" s="424">
        <f t="shared" si="1078"/>
        <v>0</v>
      </c>
      <c r="DO580" s="424">
        <f t="shared" si="1078"/>
        <v>0</v>
      </c>
      <c r="DP580" s="424">
        <f t="shared" si="1078"/>
        <v>0</v>
      </c>
      <c r="DQ580" s="424">
        <f t="shared" si="1078"/>
        <v>0</v>
      </c>
      <c r="DR580" s="424">
        <f t="shared" si="1078"/>
        <v>0</v>
      </c>
      <c r="DS580" s="424">
        <f t="shared" si="1078"/>
        <v>0</v>
      </c>
      <c r="DT580" s="424">
        <f t="shared" si="1078"/>
        <v>0</v>
      </c>
      <c r="DU580" s="424">
        <f t="shared" si="1078"/>
        <v>0</v>
      </c>
      <c r="DV580" s="424">
        <f t="shared" si="1078"/>
        <v>0</v>
      </c>
      <c r="DW580" s="424">
        <f t="shared" si="1078"/>
        <v>0</v>
      </c>
      <c r="DX580" s="424">
        <f t="shared" si="1078"/>
        <v>0</v>
      </c>
      <c r="DY580" s="424">
        <f t="shared" si="1078"/>
        <v>0</v>
      </c>
      <c r="DZ580" s="424">
        <f t="shared" si="1078"/>
        <v>0</v>
      </c>
      <c r="EA580" s="424">
        <f t="shared" si="1078"/>
        <v>0</v>
      </c>
      <c r="EB580" s="424">
        <f t="shared" si="1078"/>
        <v>0</v>
      </c>
      <c r="EC580" s="424">
        <f t="shared" si="1078"/>
        <v>0</v>
      </c>
      <c r="ED580" s="424">
        <f t="shared" si="1078"/>
        <v>0</v>
      </c>
      <c r="EE580" s="424">
        <f t="shared" si="1078"/>
        <v>0</v>
      </c>
      <c r="EF580" s="424">
        <f t="shared" si="1078"/>
        <v>0</v>
      </c>
      <c r="EG580" s="424">
        <f t="shared" si="1078"/>
        <v>0</v>
      </c>
      <c r="EH580" s="424">
        <f t="shared" ref="EH580:EX580" si="1079">EH210*EH$372</f>
        <v>0</v>
      </c>
      <c r="EI580" s="424">
        <f t="shared" si="1079"/>
        <v>0</v>
      </c>
      <c r="EJ580" s="424">
        <f t="shared" si="1079"/>
        <v>0</v>
      </c>
      <c r="EK580" s="424">
        <f t="shared" si="1079"/>
        <v>0</v>
      </c>
      <c r="EL580" s="424">
        <f t="shared" si="1079"/>
        <v>0</v>
      </c>
      <c r="EM580" s="424">
        <f t="shared" si="1079"/>
        <v>0</v>
      </c>
      <c r="EN580" s="424">
        <f t="shared" si="1079"/>
        <v>0</v>
      </c>
      <c r="EO580" s="424">
        <f t="shared" si="1079"/>
        <v>0</v>
      </c>
      <c r="EP580" s="424">
        <f t="shared" si="1079"/>
        <v>0</v>
      </c>
      <c r="EQ580" s="424">
        <f t="shared" si="1079"/>
        <v>0</v>
      </c>
      <c r="ER580" s="424">
        <f t="shared" si="1079"/>
        <v>0</v>
      </c>
      <c r="ES580" s="424">
        <f t="shared" si="1079"/>
        <v>0</v>
      </c>
      <c r="ET580" s="424">
        <f t="shared" si="1079"/>
        <v>0</v>
      </c>
      <c r="EU580" s="424">
        <f t="shared" si="1079"/>
        <v>0</v>
      </c>
      <c r="EV580" s="424">
        <f t="shared" si="1079"/>
        <v>0</v>
      </c>
      <c r="EW580" s="424">
        <f t="shared" si="1079"/>
        <v>0</v>
      </c>
      <c r="EX580" s="424">
        <f t="shared" si="1079"/>
        <v>0</v>
      </c>
      <c r="EY580" s="425">
        <f t="shared" si="1064"/>
        <v>35.14</v>
      </c>
      <c r="EZ580" s="616"/>
      <c r="FA580" s="616"/>
      <c r="FB580" s="616"/>
      <c r="FC580" s="616"/>
      <c r="FD580" s="616"/>
      <c r="FE580" s="616"/>
      <c r="FF580" s="616"/>
      <c r="FG580" s="616"/>
      <c r="FH580" s="616"/>
      <c r="FI580" s="616"/>
      <c r="FJ580" s="616"/>
    </row>
    <row r="581" spans="1:166" ht="14.7" customHeight="1" x14ac:dyDescent="0.25">
      <c r="A581" s="310">
        <v>207</v>
      </c>
      <c r="B581" s="311" t="str">
        <f t="shared" si="1005"/>
        <v>Плов из куриных окорочков</v>
      </c>
      <c r="C581" s="483">
        <f t="shared" si="1018"/>
        <v>21.06</v>
      </c>
      <c r="D581" s="888"/>
      <c r="E581" s="888"/>
      <c r="F581" s="888"/>
      <c r="G581" s="889"/>
      <c r="H581" s="680">
        <f t="shared" si="1006"/>
        <v>291</v>
      </c>
      <c r="I581" s="1209">
        <f t="shared" si="1007"/>
        <v>0</v>
      </c>
      <c r="J581" s="424">
        <f t="shared" ref="J581:AO581" si="1080">J211*J$372</f>
        <v>0</v>
      </c>
      <c r="K581" s="424">
        <f t="shared" si="1080"/>
        <v>14.67</v>
      </c>
      <c r="L581" s="424">
        <f t="shared" si="1080"/>
        <v>0</v>
      </c>
      <c r="M581" s="424">
        <f t="shared" si="1080"/>
        <v>0</v>
      </c>
      <c r="N581" s="424">
        <f t="shared" si="1080"/>
        <v>0</v>
      </c>
      <c r="O581" s="424">
        <f t="shared" si="1080"/>
        <v>0</v>
      </c>
      <c r="P581" s="424">
        <f t="shared" si="1080"/>
        <v>0</v>
      </c>
      <c r="Q581" s="424">
        <f t="shared" si="1080"/>
        <v>0</v>
      </c>
      <c r="R581" s="424">
        <f t="shared" si="1080"/>
        <v>0</v>
      </c>
      <c r="S581" s="424">
        <f t="shared" si="1080"/>
        <v>0</v>
      </c>
      <c r="T581" s="424">
        <f t="shared" si="1080"/>
        <v>0</v>
      </c>
      <c r="U581" s="424">
        <f t="shared" si="1080"/>
        <v>0</v>
      </c>
      <c r="V581" s="424">
        <f t="shared" si="1080"/>
        <v>0</v>
      </c>
      <c r="W581" s="424">
        <f t="shared" si="1080"/>
        <v>0</v>
      </c>
      <c r="X581" s="424">
        <f t="shared" si="1080"/>
        <v>0</v>
      </c>
      <c r="Y581" s="424">
        <f t="shared" si="1080"/>
        <v>0</v>
      </c>
      <c r="Z581" s="424">
        <f t="shared" si="1080"/>
        <v>0</v>
      </c>
      <c r="AA581" s="424">
        <f t="shared" si="1080"/>
        <v>0</v>
      </c>
      <c r="AB581" s="424">
        <f t="shared" si="1080"/>
        <v>0</v>
      </c>
      <c r="AC581" s="424">
        <f t="shared" si="1080"/>
        <v>0</v>
      </c>
      <c r="AD581" s="424">
        <f t="shared" si="1080"/>
        <v>0</v>
      </c>
      <c r="AE581" s="424">
        <f t="shared" si="1080"/>
        <v>0</v>
      </c>
      <c r="AF581" s="424">
        <f t="shared" si="1080"/>
        <v>0</v>
      </c>
      <c r="AG581" s="424">
        <f t="shared" si="1080"/>
        <v>0</v>
      </c>
      <c r="AH581" s="424">
        <f t="shared" si="1080"/>
        <v>0</v>
      </c>
      <c r="AI581" s="424">
        <f t="shared" si="1080"/>
        <v>0</v>
      </c>
      <c r="AJ581" s="424">
        <f t="shared" si="1080"/>
        <v>0</v>
      </c>
      <c r="AK581" s="424">
        <f t="shared" si="1080"/>
        <v>0.4</v>
      </c>
      <c r="AL581" s="424">
        <f t="shared" si="1080"/>
        <v>0</v>
      </c>
      <c r="AM581" s="424">
        <f t="shared" si="1080"/>
        <v>0</v>
      </c>
      <c r="AN581" s="424">
        <f t="shared" si="1080"/>
        <v>0</v>
      </c>
      <c r="AO581" s="424">
        <f t="shared" si="1080"/>
        <v>0</v>
      </c>
      <c r="AP581" s="424">
        <f t="shared" ref="AP581:BU581" si="1081">AP211*AP$372</f>
        <v>0</v>
      </c>
      <c r="AQ581" s="424">
        <f t="shared" si="1081"/>
        <v>0.5</v>
      </c>
      <c r="AR581" s="424">
        <f t="shared" si="1081"/>
        <v>0</v>
      </c>
      <c r="AS581" s="424">
        <f t="shared" si="1081"/>
        <v>0</v>
      </c>
      <c r="AT581" s="424">
        <f t="shared" si="1081"/>
        <v>0</v>
      </c>
      <c r="AU581" s="424">
        <f t="shared" si="1081"/>
        <v>0</v>
      </c>
      <c r="AV581" s="424">
        <f t="shared" si="1081"/>
        <v>0</v>
      </c>
      <c r="AW581" s="424">
        <f t="shared" si="1081"/>
        <v>0</v>
      </c>
      <c r="AX581" s="424">
        <f t="shared" si="1081"/>
        <v>0</v>
      </c>
      <c r="AY581" s="424">
        <f t="shared" si="1081"/>
        <v>0</v>
      </c>
      <c r="AZ581" s="424">
        <f t="shared" si="1081"/>
        <v>0</v>
      </c>
      <c r="BA581" s="424">
        <f t="shared" si="1081"/>
        <v>0</v>
      </c>
      <c r="BB581" s="424">
        <f t="shared" si="1081"/>
        <v>0</v>
      </c>
      <c r="BC581" s="424">
        <f t="shared" si="1081"/>
        <v>0</v>
      </c>
      <c r="BD581" s="424">
        <f t="shared" si="1081"/>
        <v>0</v>
      </c>
      <c r="BE581" s="424">
        <f t="shared" si="1081"/>
        <v>0</v>
      </c>
      <c r="BF581" s="424">
        <f t="shared" si="1081"/>
        <v>0</v>
      </c>
      <c r="BG581" s="424">
        <f t="shared" si="1081"/>
        <v>0</v>
      </c>
      <c r="BH581" s="424">
        <f t="shared" si="1081"/>
        <v>0</v>
      </c>
      <c r="BI581" s="424">
        <f t="shared" si="1081"/>
        <v>0</v>
      </c>
      <c r="BJ581" s="424">
        <f t="shared" si="1081"/>
        <v>0</v>
      </c>
      <c r="BK581" s="424">
        <f t="shared" si="1081"/>
        <v>0</v>
      </c>
      <c r="BL581" s="424">
        <f t="shared" si="1081"/>
        <v>0</v>
      </c>
      <c r="BM581" s="424">
        <f t="shared" si="1081"/>
        <v>0</v>
      </c>
      <c r="BN581" s="424">
        <f t="shared" si="1081"/>
        <v>0</v>
      </c>
      <c r="BO581" s="424">
        <f t="shared" si="1081"/>
        <v>0</v>
      </c>
      <c r="BP581" s="424">
        <f t="shared" si="1081"/>
        <v>0</v>
      </c>
      <c r="BQ581" s="424">
        <f t="shared" si="1081"/>
        <v>0</v>
      </c>
      <c r="BR581" s="424">
        <f t="shared" si="1081"/>
        <v>0</v>
      </c>
      <c r="BS581" s="424">
        <f t="shared" si="1081"/>
        <v>0</v>
      </c>
      <c r="BT581" s="424">
        <f t="shared" si="1081"/>
        <v>0</v>
      </c>
      <c r="BU581" s="424">
        <f t="shared" si="1081"/>
        <v>0</v>
      </c>
      <c r="BV581" s="424">
        <f t="shared" ref="BV581:DA581" si="1082">BV211*BV$372</f>
        <v>0</v>
      </c>
      <c r="BW581" s="424">
        <f t="shared" si="1082"/>
        <v>0</v>
      </c>
      <c r="BX581" s="424">
        <f t="shared" si="1082"/>
        <v>0</v>
      </c>
      <c r="BY581" s="424">
        <f t="shared" si="1082"/>
        <v>0</v>
      </c>
      <c r="BZ581" s="424">
        <f t="shared" si="1082"/>
        <v>0</v>
      </c>
      <c r="CA581" s="424">
        <f t="shared" si="1082"/>
        <v>0</v>
      </c>
      <c r="CB581" s="424">
        <f t="shared" si="1082"/>
        <v>3.43</v>
      </c>
      <c r="CC581" s="424">
        <f t="shared" si="1082"/>
        <v>0</v>
      </c>
      <c r="CD581" s="424">
        <f t="shared" si="1082"/>
        <v>0</v>
      </c>
      <c r="CE581" s="424">
        <f t="shared" si="1082"/>
        <v>0</v>
      </c>
      <c r="CF581" s="424">
        <f t="shared" si="1082"/>
        <v>0.84</v>
      </c>
      <c r="CG581" s="424">
        <f t="shared" si="1082"/>
        <v>0</v>
      </c>
      <c r="CH581" s="424">
        <f t="shared" si="1082"/>
        <v>0</v>
      </c>
      <c r="CI581" s="424">
        <f t="shared" si="1082"/>
        <v>0</v>
      </c>
      <c r="CJ581" s="424">
        <f t="shared" si="1082"/>
        <v>0</v>
      </c>
      <c r="CK581" s="424">
        <f t="shared" si="1082"/>
        <v>0</v>
      </c>
      <c r="CL581" s="424">
        <f t="shared" si="1082"/>
        <v>0</v>
      </c>
      <c r="CM581" s="424">
        <f t="shared" si="1082"/>
        <v>0</v>
      </c>
      <c r="CN581" s="424">
        <f t="shared" si="1082"/>
        <v>0</v>
      </c>
      <c r="CO581" s="424">
        <f t="shared" si="1082"/>
        <v>0</v>
      </c>
      <c r="CP581" s="424">
        <f t="shared" si="1082"/>
        <v>0</v>
      </c>
      <c r="CQ581" s="424">
        <f t="shared" si="1082"/>
        <v>0</v>
      </c>
      <c r="CR581" s="424">
        <f t="shared" si="1082"/>
        <v>0</v>
      </c>
      <c r="CS581" s="424">
        <f t="shared" si="1082"/>
        <v>0</v>
      </c>
      <c r="CT581" s="424">
        <f t="shared" si="1082"/>
        <v>0</v>
      </c>
      <c r="CU581" s="424">
        <f t="shared" si="1082"/>
        <v>0</v>
      </c>
      <c r="CV581" s="424">
        <f t="shared" si="1082"/>
        <v>0</v>
      </c>
      <c r="CW581" s="424">
        <f t="shared" si="1082"/>
        <v>0</v>
      </c>
      <c r="CX581" s="424">
        <f t="shared" si="1082"/>
        <v>0</v>
      </c>
      <c r="CY581" s="424">
        <f t="shared" si="1082"/>
        <v>0</v>
      </c>
      <c r="CZ581" s="424">
        <f t="shared" si="1082"/>
        <v>0</v>
      </c>
      <c r="DA581" s="424">
        <f t="shared" si="1082"/>
        <v>0</v>
      </c>
      <c r="DB581" s="424">
        <f t="shared" ref="DB581:EG581" si="1083">DB211*DB$372</f>
        <v>0</v>
      </c>
      <c r="DC581" s="424">
        <f t="shared" si="1083"/>
        <v>7.0000000000000007E-2</v>
      </c>
      <c r="DD581" s="424">
        <f t="shared" si="1083"/>
        <v>0</v>
      </c>
      <c r="DE581" s="424">
        <f t="shared" si="1083"/>
        <v>0</v>
      </c>
      <c r="DF581" s="424">
        <f t="shared" si="1083"/>
        <v>1.1499999999999999</v>
      </c>
      <c r="DG581" s="424">
        <f t="shared" si="1083"/>
        <v>0</v>
      </c>
      <c r="DH581" s="424">
        <f t="shared" si="1083"/>
        <v>0</v>
      </c>
      <c r="DI581" s="424">
        <f t="shared" si="1083"/>
        <v>0</v>
      </c>
      <c r="DJ581" s="424">
        <f t="shared" si="1083"/>
        <v>0</v>
      </c>
      <c r="DK581" s="424">
        <f t="shared" si="1083"/>
        <v>0</v>
      </c>
      <c r="DL581" s="424">
        <f t="shared" si="1083"/>
        <v>0</v>
      </c>
      <c r="DM581" s="424">
        <f t="shared" si="1083"/>
        <v>0</v>
      </c>
      <c r="DN581" s="424">
        <f t="shared" si="1083"/>
        <v>0</v>
      </c>
      <c r="DO581" s="424">
        <f t="shared" si="1083"/>
        <v>0</v>
      </c>
      <c r="DP581" s="424">
        <f t="shared" si="1083"/>
        <v>0</v>
      </c>
      <c r="DQ581" s="424">
        <f t="shared" si="1083"/>
        <v>0</v>
      </c>
      <c r="DR581" s="424">
        <f t="shared" si="1083"/>
        <v>0</v>
      </c>
      <c r="DS581" s="424">
        <f t="shared" si="1083"/>
        <v>0</v>
      </c>
      <c r="DT581" s="424">
        <f t="shared" si="1083"/>
        <v>0</v>
      </c>
      <c r="DU581" s="424">
        <f t="shared" si="1083"/>
        <v>0</v>
      </c>
      <c r="DV581" s="424">
        <f t="shared" si="1083"/>
        <v>0</v>
      </c>
      <c r="DW581" s="424">
        <f t="shared" si="1083"/>
        <v>0</v>
      </c>
      <c r="DX581" s="424">
        <f t="shared" si="1083"/>
        <v>0</v>
      </c>
      <c r="DY581" s="424">
        <f t="shared" si="1083"/>
        <v>0</v>
      </c>
      <c r="DZ581" s="424">
        <f t="shared" si="1083"/>
        <v>0</v>
      </c>
      <c r="EA581" s="424">
        <f t="shared" si="1083"/>
        <v>0</v>
      </c>
      <c r="EB581" s="424">
        <f t="shared" si="1083"/>
        <v>0</v>
      </c>
      <c r="EC581" s="424">
        <f t="shared" si="1083"/>
        <v>0</v>
      </c>
      <c r="ED581" s="424">
        <f t="shared" si="1083"/>
        <v>0</v>
      </c>
      <c r="EE581" s="424">
        <f t="shared" si="1083"/>
        <v>0</v>
      </c>
      <c r="EF581" s="424">
        <f t="shared" si="1083"/>
        <v>0</v>
      </c>
      <c r="EG581" s="424">
        <f t="shared" si="1083"/>
        <v>0</v>
      </c>
      <c r="EH581" s="424">
        <f t="shared" ref="EH581:EX581" si="1084">EH211*EH$372</f>
        <v>0</v>
      </c>
      <c r="EI581" s="424">
        <f t="shared" si="1084"/>
        <v>0</v>
      </c>
      <c r="EJ581" s="424">
        <f t="shared" si="1084"/>
        <v>0</v>
      </c>
      <c r="EK581" s="424">
        <f t="shared" si="1084"/>
        <v>0</v>
      </c>
      <c r="EL581" s="424">
        <f t="shared" si="1084"/>
        <v>0</v>
      </c>
      <c r="EM581" s="424">
        <f t="shared" si="1084"/>
        <v>0</v>
      </c>
      <c r="EN581" s="424">
        <f t="shared" si="1084"/>
        <v>0</v>
      </c>
      <c r="EO581" s="424">
        <f t="shared" si="1084"/>
        <v>0</v>
      </c>
      <c r="EP581" s="424">
        <f t="shared" si="1084"/>
        <v>0</v>
      </c>
      <c r="EQ581" s="424">
        <f t="shared" si="1084"/>
        <v>0</v>
      </c>
      <c r="ER581" s="424">
        <f t="shared" si="1084"/>
        <v>0</v>
      </c>
      <c r="ES581" s="424">
        <f t="shared" si="1084"/>
        <v>0</v>
      </c>
      <c r="ET581" s="424">
        <f t="shared" si="1084"/>
        <v>0</v>
      </c>
      <c r="EU581" s="424">
        <f t="shared" si="1084"/>
        <v>0</v>
      </c>
      <c r="EV581" s="424">
        <f t="shared" si="1084"/>
        <v>0</v>
      </c>
      <c r="EW581" s="424">
        <f t="shared" si="1084"/>
        <v>0</v>
      </c>
      <c r="EX581" s="424">
        <f t="shared" si="1084"/>
        <v>0</v>
      </c>
      <c r="EY581" s="425">
        <f t="shared" si="1064"/>
        <v>21.06</v>
      </c>
    </row>
    <row r="582" spans="1:166" s="522" customFormat="1" ht="14.7" customHeight="1" x14ac:dyDescent="0.25">
      <c r="A582" s="310">
        <v>208</v>
      </c>
      <c r="B582" s="311" t="str">
        <f t="shared" si="1005"/>
        <v>Плов из курицы</v>
      </c>
      <c r="C582" s="483">
        <f t="shared" si="1018"/>
        <v>27.06</v>
      </c>
      <c r="D582" s="888"/>
      <c r="E582" s="888"/>
      <c r="F582" s="888"/>
      <c r="G582" s="889"/>
      <c r="H582" s="680">
        <f t="shared" si="1006"/>
        <v>291</v>
      </c>
      <c r="I582" s="1209">
        <f t="shared" si="1007"/>
        <v>0</v>
      </c>
      <c r="J582" s="424">
        <f t="shared" ref="J582:AO582" si="1085">J212*J$372</f>
        <v>0</v>
      </c>
      <c r="K582" s="424">
        <f t="shared" si="1085"/>
        <v>0</v>
      </c>
      <c r="L582" s="424">
        <f t="shared" si="1085"/>
        <v>20.67</v>
      </c>
      <c r="M582" s="424">
        <f t="shared" si="1085"/>
        <v>0</v>
      </c>
      <c r="N582" s="424">
        <f t="shared" si="1085"/>
        <v>0</v>
      </c>
      <c r="O582" s="424">
        <f t="shared" si="1085"/>
        <v>0</v>
      </c>
      <c r="P582" s="424">
        <f t="shared" si="1085"/>
        <v>0</v>
      </c>
      <c r="Q582" s="424">
        <f t="shared" si="1085"/>
        <v>0</v>
      </c>
      <c r="R582" s="424">
        <f t="shared" si="1085"/>
        <v>0</v>
      </c>
      <c r="S582" s="424">
        <f t="shared" si="1085"/>
        <v>0</v>
      </c>
      <c r="T582" s="424">
        <f t="shared" si="1085"/>
        <v>0</v>
      </c>
      <c r="U582" s="424">
        <f t="shared" si="1085"/>
        <v>0</v>
      </c>
      <c r="V582" s="424">
        <f t="shared" si="1085"/>
        <v>0</v>
      </c>
      <c r="W582" s="424">
        <f t="shared" si="1085"/>
        <v>0</v>
      </c>
      <c r="X582" s="424">
        <f t="shared" si="1085"/>
        <v>0</v>
      </c>
      <c r="Y582" s="424">
        <f t="shared" si="1085"/>
        <v>0</v>
      </c>
      <c r="Z582" s="424">
        <f t="shared" si="1085"/>
        <v>0</v>
      </c>
      <c r="AA582" s="424">
        <f t="shared" si="1085"/>
        <v>0</v>
      </c>
      <c r="AB582" s="424">
        <f t="shared" si="1085"/>
        <v>0</v>
      </c>
      <c r="AC582" s="424">
        <f t="shared" si="1085"/>
        <v>0</v>
      </c>
      <c r="AD582" s="424">
        <f t="shared" si="1085"/>
        <v>0</v>
      </c>
      <c r="AE582" s="424">
        <f t="shared" si="1085"/>
        <v>0</v>
      </c>
      <c r="AF582" s="424">
        <f t="shared" si="1085"/>
        <v>0</v>
      </c>
      <c r="AG582" s="424">
        <f t="shared" si="1085"/>
        <v>0</v>
      </c>
      <c r="AH582" s="424">
        <f t="shared" si="1085"/>
        <v>0</v>
      </c>
      <c r="AI582" s="424">
        <f t="shared" si="1085"/>
        <v>0</v>
      </c>
      <c r="AJ582" s="424">
        <f t="shared" si="1085"/>
        <v>0</v>
      </c>
      <c r="AK582" s="424">
        <f t="shared" si="1085"/>
        <v>0.4</v>
      </c>
      <c r="AL582" s="424">
        <f t="shared" si="1085"/>
        <v>0</v>
      </c>
      <c r="AM582" s="424">
        <f t="shared" si="1085"/>
        <v>0</v>
      </c>
      <c r="AN582" s="424">
        <f t="shared" si="1085"/>
        <v>0</v>
      </c>
      <c r="AO582" s="424">
        <f t="shared" si="1085"/>
        <v>0</v>
      </c>
      <c r="AP582" s="424">
        <f t="shared" ref="AP582:BU582" si="1086">AP212*AP$372</f>
        <v>0</v>
      </c>
      <c r="AQ582" s="424">
        <f t="shared" si="1086"/>
        <v>0.5</v>
      </c>
      <c r="AR582" s="424">
        <f t="shared" si="1086"/>
        <v>0</v>
      </c>
      <c r="AS582" s="424">
        <f t="shared" si="1086"/>
        <v>0</v>
      </c>
      <c r="AT582" s="424">
        <f t="shared" si="1086"/>
        <v>0</v>
      </c>
      <c r="AU582" s="424">
        <f t="shared" si="1086"/>
        <v>0</v>
      </c>
      <c r="AV582" s="424">
        <f t="shared" si="1086"/>
        <v>0</v>
      </c>
      <c r="AW582" s="424">
        <f t="shared" si="1086"/>
        <v>0</v>
      </c>
      <c r="AX582" s="424">
        <f t="shared" si="1086"/>
        <v>0</v>
      </c>
      <c r="AY582" s="424">
        <f t="shared" si="1086"/>
        <v>0</v>
      </c>
      <c r="AZ582" s="424">
        <f t="shared" si="1086"/>
        <v>0</v>
      </c>
      <c r="BA582" s="424">
        <f t="shared" si="1086"/>
        <v>0</v>
      </c>
      <c r="BB582" s="424">
        <f t="shared" si="1086"/>
        <v>0</v>
      </c>
      <c r="BC582" s="424">
        <f t="shared" si="1086"/>
        <v>0</v>
      </c>
      <c r="BD582" s="424">
        <f t="shared" si="1086"/>
        <v>0</v>
      </c>
      <c r="BE582" s="424">
        <f t="shared" si="1086"/>
        <v>0</v>
      </c>
      <c r="BF582" s="424">
        <f t="shared" si="1086"/>
        <v>0</v>
      </c>
      <c r="BG582" s="424">
        <f t="shared" si="1086"/>
        <v>0</v>
      </c>
      <c r="BH582" s="424">
        <f t="shared" si="1086"/>
        <v>0</v>
      </c>
      <c r="BI582" s="424">
        <f t="shared" si="1086"/>
        <v>0</v>
      </c>
      <c r="BJ582" s="424">
        <f t="shared" si="1086"/>
        <v>0</v>
      </c>
      <c r="BK582" s="424">
        <f t="shared" si="1086"/>
        <v>0</v>
      </c>
      <c r="BL582" s="424">
        <f t="shared" si="1086"/>
        <v>0</v>
      </c>
      <c r="BM582" s="424">
        <f t="shared" si="1086"/>
        <v>0</v>
      </c>
      <c r="BN582" s="424">
        <f t="shared" si="1086"/>
        <v>0</v>
      </c>
      <c r="BO582" s="424">
        <f t="shared" si="1086"/>
        <v>0</v>
      </c>
      <c r="BP582" s="424">
        <f t="shared" si="1086"/>
        <v>0</v>
      </c>
      <c r="BQ582" s="424">
        <f t="shared" si="1086"/>
        <v>0</v>
      </c>
      <c r="BR582" s="424">
        <f t="shared" si="1086"/>
        <v>0</v>
      </c>
      <c r="BS582" s="424">
        <f t="shared" si="1086"/>
        <v>0</v>
      </c>
      <c r="BT582" s="424">
        <f t="shared" si="1086"/>
        <v>0</v>
      </c>
      <c r="BU582" s="424">
        <f t="shared" si="1086"/>
        <v>0</v>
      </c>
      <c r="BV582" s="424">
        <f t="shared" ref="BV582:DA582" si="1087">BV212*BV$372</f>
        <v>0</v>
      </c>
      <c r="BW582" s="424">
        <f t="shared" si="1087"/>
        <v>0</v>
      </c>
      <c r="BX582" s="424">
        <f t="shared" si="1087"/>
        <v>0</v>
      </c>
      <c r="BY582" s="424">
        <f t="shared" si="1087"/>
        <v>0</v>
      </c>
      <c r="BZ582" s="424">
        <f t="shared" si="1087"/>
        <v>0</v>
      </c>
      <c r="CA582" s="424">
        <f t="shared" si="1087"/>
        <v>0</v>
      </c>
      <c r="CB582" s="424">
        <f t="shared" si="1087"/>
        <v>3.43</v>
      </c>
      <c r="CC582" s="424">
        <f t="shared" si="1087"/>
        <v>0</v>
      </c>
      <c r="CD582" s="424">
        <f t="shared" si="1087"/>
        <v>0</v>
      </c>
      <c r="CE582" s="424">
        <f t="shared" si="1087"/>
        <v>0</v>
      </c>
      <c r="CF582" s="424">
        <f t="shared" si="1087"/>
        <v>0.84</v>
      </c>
      <c r="CG582" s="424">
        <f t="shared" si="1087"/>
        <v>0</v>
      </c>
      <c r="CH582" s="424">
        <f t="shared" si="1087"/>
        <v>0</v>
      </c>
      <c r="CI582" s="424">
        <f t="shared" si="1087"/>
        <v>0</v>
      </c>
      <c r="CJ582" s="424">
        <f t="shared" si="1087"/>
        <v>0</v>
      </c>
      <c r="CK582" s="424">
        <f t="shared" si="1087"/>
        <v>0</v>
      </c>
      <c r="CL582" s="424">
        <f t="shared" si="1087"/>
        <v>0</v>
      </c>
      <c r="CM582" s="424">
        <f t="shared" si="1087"/>
        <v>0</v>
      </c>
      <c r="CN582" s="424">
        <f t="shared" si="1087"/>
        <v>0</v>
      </c>
      <c r="CO582" s="424">
        <f t="shared" si="1087"/>
        <v>0</v>
      </c>
      <c r="CP582" s="424">
        <f t="shared" si="1087"/>
        <v>0</v>
      </c>
      <c r="CQ582" s="424">
        <f t="shared" si="1087"/>
        <v>0</v>
      </c>
      <c r="CR582" s="424">
        <f t="shared" si="1087"/>
        <v>0</v>
      </c>
      <c r="CS582" s="424">
        <f t="shared" si="1087"/>
        <v>0</v>
      </c>
      <c r="CT582" s="424">
        <f t="shared" si="1087"/>
        <v>0</v>
      </c>
      <c r="CU582" s="424">
        <f t="shared" si="1087"/>
        <v>0</v>
      </c>
      <c r="CV582" s="424">
        <f t="shared" si="1087"/>
        <v>0</v>
      </c>
      <c r="CW582" s="424">
        <f t="shared" si="1087"/>
        <v>0</v>
      </c>
      <c r="CX582" s="424">
        <f t="shared" si="1087"/>
        <v>0</v>
      </c>
      <c r="CY582" s="424">
        <f t="shared" si="1087"/>
        <v>0</v>
      </c>
      <c r="CZ582" s="424">
        <f t="shared" si="1087"/>
        <v>0</v>
      </c>
      <c r="DA582" s="424">
        <f t="shared" si="1087"/>
        <v>0</v>
      </c>
      <c r="DB582" s="424">
        <f t="shared" ref="DB582:EG582" si="1088">DB212*DB$372</f>
        <v>0</v>
      </c>
      <c r="DC582" s="424">
        <f t="shared" si="1088"/>
        <v>7.0000000000000007E-2</v>
      </c>
      <c r="DD582" s="424">
        <f t="shared" si="1088"/>
        <v>0</v>
      </c>
      <c r="DE582" s="424">
        <f t="shared" si="1088"/>
        <v>0</v>
      </c>
      <c r="DF582" s="424">
        <f t="shared" si="1088"/>
        <v>1.1499999999999999</v>
      </c>
      <c r="DG582" s="424">
        <f t="shared" si="1088"/>
        <v>0</v>
      </c>
      <c r="DH582" s="424">
        <f t="shared" si="1088"/>
        <v>0</v>
      </c>
      <c r="DI582" s="424">
        <f t="shared" si="1088"/>
        <v>0</v>
      </c>
      <c r="DJ582" s="424">
        <f t="shared" si="1088"/>
        <v>0</v>
      </c>
      <c r="DK582" s="424">
        <f t="shared" si="1088"/>
        <v>0</v>
      </c>
      <c r="DL582" s="424">
        <f t="shared" si="1088"/>
        <v>0</v>
      </c>
      <c r="DM582" s="424">
        <f t="shared" si="1088"/>
        <v>0</v>
      </c>
      <c r="DN582" s="424">
        <f t="shared" si="1088"/>
        <v>0</v>
      </c>
      <c r="DO582" s="424">
        <f t="shared" si="1088"/>
        <v>0</v>
      </c>
      <c r="DP582" s="424">
        <f t="shared" si="1088"/>
        <v>0</v>
      </c>
      <c r="DQ582" s="424">
        <f t="shared" si="1088"/>
        <v>0</v>
      </c>
      <c r="DR582" s="424">
        <f t="shared" si="1088"/>
        <v>0</v>
      </c>
      <c r="DS582" s="424">
        <f t="shared" si="1088"/>
        <v>0</v>
      </c>
      <c r="DT582" s="424">
        <f t="shared" si="1088"/>
        <v>0</v>
      </c>
      <c r="DU582" s="424">
        <f t="shared" si="1088"/>
        <v>0</v>
      </c>
      <c r="DV582" s="424">
        <f t="shared" si="1088"/>
        <v>0</v>
      </c>
      <c r="DW582" s="424">
        <f t="shared" si="1088"/>
        <v>0</v>
      </c>
      <c r="DX582" s="424">
        <f t="shared" si="1088"/>
        <v>0</v>
      </c>
      <c r="DY582" s="424">
        <f t="shared" si="1088"/>
        <v>0</v>
      </c>
      <c r="DZ582" s="424">
        <f t="shared" si="1088"/>
        <v>0</v>
      </c>
      <c r="EA582" s="424">
        <f t="shared" si="1088"/>
        <v>0</v>
      </c>
      <c r="EB582" s="424">
        <f t="shared" si="1088"/>
        <v>0</v>
      </c>
      <c r="EC582" s="424">
        <f t="shared" si="1088"/>
        <v>0</v>
      </c>
      <c r="ED582" s="424">
        <f t="shared" si="1088"/>
        <v>0</v>
      </c>
      <c r="EE582" s="424">
        <f t="shared" si="1088"/>
        <v>0</v>
      </c>
      <c r="EF582" s="424">
        <f t="shared" si="1088"/>
        <v>0</v>
      </c>
      <c r="EG582" s="424">
        <f t="shared" si="1088"/>
        <v>0</v>
      </c>
      <c r="EH582" s="424">
        <f t="shared" ref="EH582:EX582" si="1089">EH212*EH$372</f>
        <v>0</v>
      </c>
      <c r="EI582" s="424">
        <f t="shared" si="1089"/>
        <v>0</v>
      </c>
      <c r="EJ582" s="424">
        <f t="shared" si="1089"/>
        <v>0</v>
      </c>
      <c r="EK582" s="424">
        <f t="shared" si="1089"/>
        <v>0</v>
      </c>
      <c r="EL582" s="424">
        <f t="shared" si="1089"/>
        <v>0</v>
      </c>
      <c r="EM582" s="424">
        <f t="shared" si="1089"/>
        <v>0</v>
      </c>
      <c r="EN582" s="424">
        <f t="shared" si="1089"/>
        <v>0</v>
      </c>
      <c r="EO582" s="424">
        <f t="shared" si="1089"/>
        <v>0</v>
      </c>
      <c r="EP582" s="424">
        <f t="shared" si="1089"/>
        <v>0</v>
      </c>
      <c r="EQ582" s="424">
        <f t="shared" si="1089"/>
        <v>0</v>
      </c>
      <c r="ER582" s="424">
        <f t="shared" si="1089"/>
        <v>0</v>
      </c>
      <c r="ES582" s="424">
        <f t="shared" si="1089"/>
        <v>0</v>
      </c>
      <c r="ET582" s="424">
        <f t="shared" si="1089"/>
        <v>0</v>
      </c>
      <c r="EU582" s="424">
        <f t="shared" si="1089"/>
        <v>0</v>
      </c>
      <c r="EV582" s="424">
        <f t="shared" si="1089"/>
        <v>0</v>
      </c>
      <c r="EW582" s="424">
        <f t="shared" si="1089"/>
        <v>0</v>
      </c>
      <c r="EX582" s="424">
        <f t="shared" si="1089"/>
        <v>0</v>
      </c>
      <c r="EY582" s="425">
        <f t="shared" si="1064"/>
        <v>27.06</v>
      </c>
      <c r="EZ582" s="616"/>
      <c r="FA582" s="616"/>
      <c r="FB582" s="616"/>
      <c r="FC582" s="616"/>
      <c r="FD582" s="616"/>
      <c r="FE582" s="616"/>
      <c r="FF582" s="616"/>
      <c r="FG582" s="616"/>
      <c r="FH582" s="616"/>
      <c r="FI582" s="616"/>
      <c r="FJ582" s="616"/>
    </row>
    <row r="583" spans="1:166" ht="14.7" customHeight="1" x14ac:dyDescent="0.25">
      <c r="A583" s="310">
        <v>209</v>
      </c>
      <c r="B583" s="311" t="str">
        <f t="shared" si="1005"/>
        <v>Куриные окорочка тушеные в соусе с овощами</v>
      </c>
      <c r="C583" s="483">
        <f t="shared" si="1018"/>
        <v>28.2</v>
      </c>
      <c r="D583" s="888"/>
      <c r="E583" s="888"/>
      <c r="F583" s="888"/>
      <c r="G583" s="889"/>
      <c r="H583" s="680">
        <f t="shared" si="1006"/>
        <v>292</v>
      </c>
      <c r="I583" s="1209">
        <f t="shared" si="1007"/>
        <v>-0.01</v>
      </c>
      <c r="J583" s="424">
        <f t="shared" ref="J583:AO583" si="1090">J213*J$372</f>
        <v>0</v>
      </c>
      <c r="K583" s="424">
        <f t="shared" si="1090"/>
        <v>15.25</v>
      </c>
      <c r="L583" s="424">
        <f t="shared" si="1090"/>
        <v>0</v>
      </c>
      <c r="M583" s="424">
        <f t="shared" si="1090"/>
        <v>0</v>
      </c>
      <c r="N583" s="424">
        <f t="shared" si="1090"/>
        <v>0</v>
      </c>
      <c r="O583" s="424">
        <f t="shared" si="1090"/>
        <v>0</v>
      </c>
      <c r="P583" s="424">
        <f t="shared" si="1090"/>
        <v>0</v>
      </c>
      <c r="Q583" s="424">
        <f t="shared" si="1090"/>
        <v>0</v>
      </c>
      <c r="R583" s="424">
        <f t="shared" si="1090"/>
        <v>0</v>
      </c>
      <c r="S583" s="424">
        <f t="shared" si="1090"/>
        <v>0</v>
      </c>
      <c r="T583" s="424">
        <f t="shared" si="1090"/>
        <v>0</v>
      </c>
      <c r="U583" s="424">
        <f t="shared" si="1090"/>
        <v>0</v>
      </c>
      <c r="V583" s="424">
        <f t="shared" si="1090"/>
        <v>0</v>
      </c>
      <c r="W583" s="424">
        <f t="shared" si="1090"/>
        <v>0</v>
      </c>
      <c r="X583" s="424">
        <f t="shared" si="1090"/>
        <v>0</v>
      </c>
      <c r="Y583" s="424">
        <f t="shared" si="1090"/>
        <v>2.93</v>
      </c>
      <c r="Z583" s="424">
        <f t="shared" si="1090"/>
        <v>0</v>
      </c>
      <c r="AA583" s="424">
        <f t="shared" si="1090"/>
        <v>0</v>
      </c>
      <c r="AB583" s="424">
        <f t="shared" si="1090"/>
        <v>0</v>
      </c>
      <c r="AC583" s="424">
        <f t="shared" si="1090"/>
        <v>0</v>
      </c>
      <c r="AD583" s="424">
        <f t="shared" si="1090"/>
        <v>0</v>
      </c>
      <c r="AE583" s="424">
        <f t="shared" si="1090"/>
        <v>0</v>
      </c>
      <c r="AF583" s="424">
        <f t="shared" si="1090"/>
        <v>0</v>
      </c>
      <c r="AG583" s="424">
        <f t="shared" si="1090"/>
        <v>0</v>
      </c>
      <c r="AH583" s="424">
        <f t="shared" si="1090"/>
        <v>3.35</v>
      </c>
      <c r="AI583" s="424">
        <f t="shared" si="1090"/>
        <v>0</v>
      </c>
      <c r="AJ583" s="424">
        <f t="shared" si="1090"/>
        <v>0</v>
      </c>
      <c r="AK583" s="424">
        <f t="shared" si="1090"/>
        <v>0.6</v>
      </c>
      <c r="AL583" s="424">
        <f t="shared" si="1090"/>
        <v>0.6</v>
      </c>
      <c r="AM583" s="424">
        <f t="shared" si="1090"/>
        <v>0</v>
      </c>
      <c r="AN583" s="424">
        <f t="shared" si="1090"/>
        <v>0</v>
      </c>
      <c r="AO583" s="424">
        <f t="shared" si="1090"/>
        <v>0</v>
      </c>
      <c r="AP583" s="424">
        <f t="shared" ref="AP583:BU583" si="1091">AP213*AP$372</f>
        <v>0</v>
      </c>
      <c r="AQ583" s="424">
        <f t="shared" si="1091"/>
        <v>1.45</v>
      </c>
      <c r="AR583" s="424">
        <f t="shared" si="1091"/>
        <v>0</v>
      </c>
      <c r="AS583" s="424">
        <f t="shared" si="1091"/>
        <v>0</v>
      </c>
      <c r="AT583" s="424">
        <f t="shared" si="1091"/>
        <v>0.9</v>
      </c>
      <c r="AU583" s="424">
        <f t="shared" si="1091"/>
        <v>0</v>
      </c>
      <c r="AV583" s="424">
        <f t="shared" si="1091"/>
        <v>0</v>
      </c>
      <c r="AW583" s="424">
        <f t="shared" si="1091"/>
        <v>0</v>
      </c>
      <c r="AX583" s="424">
        <f t="shared" si="1091"/>
        <v>0</v>
      </c>
      <c r="AY583" s="424">
        <f t="shared" si="1091"/>
        <v>0</v>
      </c>
      <c r="AZ583" s="424">
        <f t="shared" si="1091"/>
        <v>0</v>
      </c>
      <c r="BA583" s="424">
        <f t="shared" si="1091"/>
        <v>0</v>
      </c>
      <c r="BB583" s="424">
        <f t="shared" si="1091"/>
        <v>0</v>
      </c>
      <c r="BC583" s="424">
        <f t="shared" si="1091"/>
        <v>0</v>
      </c>
      <c r="BD583" s="424">
        <f t="shared" si="1091"/>
        <v>0</v>
      </c>
      <c r="BE583" s="424">
        <f t="shared" si="1091"/>
        <v>0</v>
      </c>
      <c r="BF583" s="424">
        <f t="shared" si="1091"/>
        <v>0</v>
      </c>
      <c r="BG583" s="424">
        <f t="shared" si="1091"/>
        <v>0</v>
      </c>
      <c r="BH583" s="424">
        <f t="shared" si="1091"/>
        <v>0</v>
      </c>
      <c r="BI583" s="424">
        <f t="shared" si="1091"/>
        <v>0</v>
      </c>
      <c r="BJ583" s="424">
        <f t="shared" si="1091"/>
        <v>0</v>
      </c>
      <c r="BK583" s="424">
        <f t="shared" si="1091"/>
        <v>0</v>
      </c>
      <c r="BL583" s="424">
        <f t="shared" si="1091"/>
        <v>0</v>
      </c>
      <c r="BM583" s="424">
        <f t="shared" si="1091"/>
        <v>0</v>
      </c>
      <c r="BN583" s="424">
        <f t="shared" si="1091"/>
        <v>0</v>
      </c>
      <c r="BO583" s="424">
        <f t="shared" si="1091"/>
        <v>0</v>
      </c>
      <c r="BP583" s="424">
        <f t="shared" si="1091"/>
        <v>0</v>
      </c>
      <c r="BQ583" s="424">
        <f t="shared" si="1091"/>
        <v>0</v>
      </c>
      <c r="BR583" s="424">
        <f t="shared" si="1091"/>
        <v>0</v>
      </c>
      <c r="BS583" s="424">
        <f t="shared" si="1091"/>
        <v>0.14000000000000001</v>
      </c>
      <c r="BT583" s="424">
        <f t="shared" si="1091"/>
        <v>0</v>
      </c>
      <c r="BU583" s="424">
        <f t="shared" si="1091"/>
        <v>0</v>
      </c>
      <c r="BV583" s="424">
        <f t="shared" ref="BV583:DA583" si="1092">BV213*BV$372</f>
        <v>0</v>
      </c>
      <c r="BW583" s="424">
        <f t="shared" si="1092"/>
        <v>0</v>
      </c>
      <c r="BX583" s="424">
        <f t="shared" si="1092"/>
        <v>0</v>
      </c>
      <c r="BY583" s="424">
        <f t="shared" si="1092"/>
        <v>0</v>
      </c>
      <c r="BZ583" s="424">
        <f t="shared" si="1092"/>
        <v>0</v>
      </c>
      <c r="CA583" s="424">
        <f t="shared" si="1092"/>
        <v>0</v>
      </c>
      <c r="CB583" s="424">
        <f t="shared" si="1092"/>
        <v>0</v>
      </c>
      <c r="CC583" s="424">
        <f t="shared" si="1092"/>
        <v>0</v>
      </c>
      <c r="CD583" s="424">
        <f t="shared" si="1092"/>
        <v>0</v>
      </c>
      <c r="CE583" s="424">
        <f t="shared" si="1092"/>
        <v>0</v>
      </c>
      <c r="CF583" s="424">
        <f t="shared" si="1092"/>
        <v>0.72</v>
      </c>
      <c r="CG583" s="424">
        <f t="shared" si="1092"/>
        <v>0</v>
      </c>
      <c r="CH583" s="424">
        <f t="shared" si="1092"/>
        <v>0</v>
      </c>
      <c r="CI583" s="424">
        <f t="shared" si="1092"/>
        <v>0</v>
      </c>
      <c r="CJ583" s="424">
        <f t="shared" si="1092"/>
        <v>0</v>
      </c>
      <c r="CK583" s="424">
        <f t="shared" si="1092"/>
        <v>0</v>
      </c>
      <c r="CL583" s="424">
        <f t="shared" si="1092"/>
        <v>0</v>
      </c>
      <c r="CM583" s="424">
        <f t="shared" si="1092"/>
        <v>0</v>
      </c>
      <c r="CN583" s="424">
        <f t="shared" si="1092"/>
        <v>0</v>
      </c>
      <c r="CO583" s="424">
        <f t="shared" si="1092"/>
        <v>0</v>
      </c>
      <c r="CP583" s="424">
        <f t="shared" si="1092"/>
        <v>0</v>
      </c>
      <c r="CQ583" s="424">
        <f t="shared" si="1092"/>
        <v>0</v>
      </c>
      <c r="CR583" s="424">
        <f t="shared" si="1092"/>
        <v>0</v>
      </c>
      <c r="CS583" s="424">
        <f t="shared" si="1092"/>
        <v>0.02</v>
      </c>
      <c r="CT583" s="424">
        <f t="shared" si="1092"/>
        <v>0</v>
      </c>
      <c r="CU583" s="424">
        <f t="shared" si="1092"/>
        <v>0</v>
      </c>
      <c r="CV583" s="424">
        <f t="shared" si="1092"/>
        <v>0</v>
      </c>
      <c r="CW583" s="424">
        <f t="shared" si="1092"/>
        <v>0</v>
      </c>
      <c r="CX583" s="424">
        <f t="shared" si="1092"/>
        <v>0</v>
      </c>
      <c r="CY583" s="424">
        <f t="shared" si="1092"/>
        <v>0</v>
      </c>
      <c r="CZ583" s="424">
        <f t="shared" si="1092"/>
        <v>0</v>
      </c>
      <c r="DA583" s="424">
        <f t="shared" si="1092"/>
        <v>0</v>
      </c>
      <c r="DB583" s="424">
        <f t="shared" ref="DB583:EG583" si="1093">DB213*DB$372</f>
        <v>0</v>
      </c>
      <c r="DC583" s="424">
        <f t="shared" si="1093"/>
        <v>0.08</v>
      </c>
      <c r="DD583" s="424">
        <f t="shared" si="1093"/>
        <v>0</v>
      </c>
      <c r="DE583" s="424">
        <f t="shared" si="1093"/>
        <v>0</v>
      </c>
      <c r="DF583" s="424">
        <f t="shared" si="1093"/>
        <v>1.1499999999999999</v>
      </c>
      <c r="DG583" s="424">
        <f t="shared" si="1093"/>
        <v>0</v>
      </c>
      <c r="DH583" s="424">
        <f t="shared" si="1093"/>
        <v>0</v>
      </c>
      <c r="DI583" s="424">
        <f t="shared" si="1093"/>
        <v>0</v>
      </c>
      <c r="DJ583" s="424">
        <f t="shared" si="1093"/>
        <v>0</v>
      </c>
      <c r="DK583" s="424">
        <f t="shared" si="1093"/>
        <v>0</v>
      </c>
      <c r="DL583" s="424">
        <f t="shared" si="1093"/>
        <v>0</v>
      </c>
      <c r="DM583" s="424">
        <f t="shared" si="1093"/>
        <v>0</v>
      </c>
      <c r="DN583" s="424">
        <f t="shared" si="1093"/>
        <v>0</v>
      </c>
      <c r="DO583" s="424">
        <f t="shared" si="1093"/>
        <v>0</v>
      </c>
      <c r="DP583" s="424">
        <f t="shared" si="1093"/>
        <v>0</v>
      </c>
      <c r="DQ583" s="424">
        <f t="shared" si="1093"/>
        <v>0</v>
      </c>
      <c r="DR583" s="424">
        <f t="shared" si="1093"/>
        <v>0</v>
      </c>
      <c r="DS583" s="424">
        <f t="shared" si="1093"/>
        <v>0</v>
      </c>
      <c r="DT583" s="424">
        <f t="shared" si="1093"/>
        <v>0</v>
      </c>
      <c r="DU583" s="424">
        <f t="shared" si="1093"/>
        <v>1.01</v>
      </c>
      <c r="DV583" s="424">
        <f t="shared" si="1093"/>
        <v>0</v>
      </c>
      <c r="DW583" s="424">
        <f t="shared" si="1093"/>
        <v>0</v>
      </c>
      <c r="DX583" s="424">
        <f t="shared" si="1093"/>
        <v>0</v>
      </c>
      <c r="DY583" s="424">
        <f t="shared" si="1093"/>
        <v>0</v>
      </c>
      <c r="DZ583" s="424">
        <f t="shared" si="1093"/>
        <v>0</v>
      </c>
      <c r="EA583" s="424">
        <f t="shared" si="1093"/>
        <v>0</v>
      </c>
      <c r="EB583" s="424">
        <f t="shared" si="1093"/>
        <v>0</v>
      </c>
      <c r="EC583" s="424">
        <f t="shared" si="1093"/>
        <v>0</v>
      </c>
      <c r="ED583" s="424">
        <f t="shared" si="1093"/>
        <v>0</v>
      </c>
      <c r="EE583" s="424">
        <f t="shared" si="1093"/>
        <v>0</v>
      </c>
      <c r="EF583" s="424">
        <f t="shared" si="1093"/>
        <v>0</v>
      </c>
      <c r="EG583" s="424">
        <f t="shared" si="1093"/>
        <v>0</v>
      </c>
      <c r="EH583" s="424">
        <f t="shared" ref="EH583:EX583" si="1094">EH213*EH$372</f>
        <v>0</v>
      </c>
      <c r="EI583" s="424">
        <f t="shared" si="1094"/>
        <v>0</v>
      </c>
      <c r="EJ583" s="424">
        <f t="shared" si="1094"/>
        <v>0</v>
      </c>
      <c r="EK583" s="424">
        <f t="shared" si="1094"/>
        <v>0</v>
      </c>
      <c r="EL583" s="424">
        <f t="shared" si="1094"/>
        <v>0</v>
      </c>
      <c r="EM583" s="424">
        <f t="shared" si="1094"/>
        <v>0</v>
      </c>
      <c r="EN583" s="424">
        <f t="shared" si="1094"/>
        <v>0</v>
      </c>
      <c r="EO583" s="424">
        <f t="shared" si="1094"/>
        <v>0</v>
      </c>
      <c r="EP583" s="424">
        <f t="shared" si="1094"/>
        <v>0</v>
      </c>
      <c r="EQ583" s="424">
        <f t="shared" si="1094"/>
        <v>0</v>
      </c>
      <c r="ER583" s="424">
        <f t="shared" si="1094"/>
        <v>0</v>
      </c>
      <c r="ES583" s="424">
        <f t="shared" si="1094"/>
        <v>0</v>
      </c>
      <c r="ET583" s="424">
        <f t="shared" si="1094"/>
        <v>0</v>
      </c>
      <c r="EU583" s="424">
        <f t="shared" si="1094"/>
        <v>0</v>
      </c>
      <c r="EV583" s="424">
        <f t="shared" si="1094"/>
        <v>0</v>
      </c>
      <c r="EW583" s="424">
        <f t="shared" si="1094"/>
        <v>0</v>
      </c>
      <c r="EX583" s="424">
        <f t="shared" si="1094"/>
        <v>0</v>
      </c>
      <c r="EY583" s="425">
        <f t="shared" si="1064"/>
        <v>28.2</v>
      </c>
    </row>
    <row r="584" spans="1:166" s="528" customFormat="1" ht="14.7" customHeight="1" x14ac:dyDescent="0.25">
      <c r="A584" s="310">
        <v>210</v>
      </c>
      <c r="B584" s="311" t="str">
        <f t="shared" si="1005"/>
        <v>Птица, тушеная в соусе с овощами</v>
      </c>
      <c r="C584" s="483">
        <f t="shared" si="1018"/>
        <v>34.21</v>
      </c>
      <c r="D584" s="888"/>
      <c r="E584" s="888"/>
      <c r="F584" s="888"/>
      <c r="G584" s="889"/>
      <c r="H584" s="680">
        <f t="shared" si="1006"/>
        <v>292</v>
      </c>
      <c r="I584" s="1209">
        <f t="shared" si="1007"/>
        <v>-0.01</v>
      </c>
      <c r="J584" s="424">
        <f t="shared" ref="J584:AO584" si="1095">J214*J$372</f>
        <v>0</v>
      </c>
      <c r="K584" s="424">
        <f t="shared" si="1095"/>
        <v>0</v>
      </c>
      <c r="L584" s="424">
        <f t="shared" si="1095"/>
        <v>21.26</v>
      </c>
      <c r="M584" s="424">
        <f t="shared" si="1095"/>
        <v>0</v>
      </c>
      <c r="N584" s="424">
        <f t="shared" si="1095"/>
        <v>0</v>
      </c>
      <c r="O584" s="424">
        <f t="shared" si="1095"/>
        <v>0</v>
      </c>
      <c r="P584" s="424">
        <f t="shared" si="1095"/>
        <v>0</v>
      </c>
      <c r="Q584" s="424">
        <f t="shared" si="1095"/>
        <v>0</v>
      </c>
      <c r="R584" s="424">
        <f t="shared" si="1095"/>
        <v>0</v>
      </c>
      <c r="S584" s="424">
        <f t="shared" si="1095"/>
        <v>0</v>
      </c>
      <c r="T584" s="424">
        <f t="shared" si="1095"/>
        <v>0</v>
      </c>
      <c r="U584" s="424">
        <f t="shared" si="1095"/>
        <v>0</v>
      </c>
      <c r="V584" s="424">
        <f t="shared" si="1095"/>
        <v>0</v>
      </c>
      <c r="W584" s="424">
        <f t="shared" si="1095"/>
        <v>0</v>
      </c>
      <c r="X584" s="424">
        <f t="shared" si="1095"/>
        <v>0</v>
      </c>
      <c r="Y584" s="424">
        <f t="shared" si="1095"/>
        <v>2.93</v>
      </c>
      <c r="Z584" s="424">
        <f t="shared" si="1095"/>
        <v>0</v>
      </c>
      <c r="AA584" s="424">
        <f t="shared" si="1095"/>
        <v>0</v>
      </c>
      <c r="AB584" s="424">
        <f t="shared" si="1095"/>
        <v>0</v>
      </c>
      <c r="AC584" s="424">
        <f t="shared" si="1095"/>
        <v>0</v>
      </c>
      <c r="AD584" s="424">
        <f t="shared" si="1095"/>
        <v>0</v>
      </c>
      <c r="AE584" s="424">
        <f t="shared" si="1095"/>
        <v>0</v>
      </c>
      <c r="AF584" s="424">
        <f t="shared" si="1095"/>
        <v>0</v>
      </c>
      <c r="AG584" s="424">
        <f t="shared" si="1095"/>
        <v>0</v>
      </c>
      <c r="AH584" s="424">
        <f t="shared" si="1095"/>
        <v>3.35</v>
      </c>
      <c r="AI584" s="424">
        <f t="shared" si="1095"/>
        <v>0</v>
      </c>
      <c r="AJ584" s="424">
        <f t="shared" si="1095"/>
        <v>0</v>
      </c>
      <c r="AK584" s="424">
        <f t="shared" si="1095"/>
        <v>0.6</v>
      </c>
      <c r="AL584" s="424">
        <f t="shared" si="1095"/>
        <v>0.6</v>
      </c>
      <c r="AM584" s="424">
        <f t="shared" si="1095"/>
        <v>0</v>
      </c>
      <c r="AN584" s="424">
        <f t="shared" si="1095"/>
        <v>0</v>
      </c>
      <c r="AO584" s="424">
        <f t="shared" si="1095"/>
        <v>0</v>
      </c>
      <c r="AP584" s="424">
        <f t="shared" ref="AP584:BU584" si="1096">AP214*AP$372</f>
        <v>0</v>
      </c>
      <c r="AQ584" s="424">
        <f t="shared" si="1096"/>
        <v>1.45</v>
      </c>
      <c r="AR584" s="424">
        <f t="shared" si="1096"/>
        <v>0</v>
      </c>
      <c r="AS584" s="424">
        <f t="shared" si="1096"/>
        <v>0</v>
      </c>
      <c r="AT584" s="424">
        <f t="shared" si="1096"/>
        <v>0.9</v>
      </c>
      <c r="AU584" s="424">
        <f t="shared" si="1096"/>
        <v>0</v>
      </c>
      <c r="AV584" s="424">
        <f t="shared" si="1096"/>
        <v>0</v>
      </c>
      <c r="AW584" s="424">
        <f t="shared" si="1096"/>
        <v>0</v>
      </c>
      <c r="AX584" s="424">
        <f t="shared" si="1096"/>
        <v>0</v>
      </c>
      <c r="AY584" s="424">
        <f t="shared" si="1096"/>
        <v>0</v>
      </c>
      <c r="AZ584" s="424">
        <f t="shared" si="1096"/>
        <v>0</v>
      </c>
      <c r="BA584" s="424">
        <f t="shared" si="1096"/>
        <v>0</v>
      </c>
      <c r="BB584" s="424">
        <f t="shared" si="1096"/>
        <v>0</v>
      </c>
      <c r="BC584" s="424">
        <f t="shared" si="1096"/>
        <v>0</v>
      </c>
      <c r="BD584" s="424">
        <f t="shared" si="1096"/>
        <v>0</v>
      </c>
      <c r="BE584" s="424">
        <f t="shared" si="1096"/>
        <v>0</v>
      </c>
      <c r="BF584" s="424">
        <f t="shared" si="1096"/>
        <v>0</v>
      </c>
      <c r="BG584" s="424">
        <f t="shared" si="1096"/>
        <v>0</v>
      </c>
      <c r="BH584" s="424">
        <f t="shared" si="1096"/>
        <v>0</v>
      </c>
      <c r="BI584" s="424">
        <f t="shared" si="1096"/>
        <v>0</v>
      </c>
      <c r="BJ584" s="424">
        <f t="shared" si="1096"/>
        <v>0</v>
      </c>
      <c r="BK584" s="424">
        <f t="shared" si="1096"/>
        <v>0</v>
      </c>
      <c r="BL584" s="424">
        <f t="shared" si="1096"/>
        <v>0</v>
      </c>
      <c r="BM584" s="424">
        <f t="shared" si="1096"/>
        <v>0</v>
      </c>
      <c r="BN584" s="424">
        <f t="shared" si="1096"/>
        <v>0</v>
      </c>
      <c r="BO584" s="424">
        <f t="shared" si="1096"/>
        <v>0</v>
      </c>
      <c r="BP584" s="424">
        <f t="shared" si="1096"/>
        <v>0</v>
      </c>
      <c r="BQ584" s="424">
        <f t="shared" si="1096"/>
        <v>0</v>
      </c>
      <c r="BR584" s="424">
        <f t="shared" si="1096"/>
        <v>0</v>
      </c>
      <c r="BS584" s="424">
        <f t="shared" si="1096"/>
        <v>0.14000000000000001</v>
      </c>
      <c r="BT584" s="424">
        <f t="shared" si="1096"/>
        <v>0</v>
      </c>
      <c r="BU584" s="424">
        <f t="shared" si="1096"/>
        <v>0</v>
      </c>
      <c r="BV584" s="424">
        <f t="shared" ref="BV584:DA584" si="1097">BV214*BV$372</f>
        <v>0</v>
      </c>
      <c r="BW584" s="424">
        <f t="shared" si="1097"/>
        <v>0</v>
      </c>
      <c r="BX584" s="424">
        <f t="shared" si="1097"/>
        <v>0</v>
      </c>
      <c r="BY584" s="424">
        <f t="shared" si="1097"/>
        <v>0</v>
      </c>
      <c r="BZ584" s="424">
        <f t="shared" si="1097"/>
        <v>0</v>
      </c>
      <c r="CA584" s="424">
        <f t="shared" si="1097"/>
        <v>0</v>
      </c>
      <c r="CB584" s="424">
        <f t="shared" si="1097"/>
        <v>0</v>
      </c>
      <c r="CC584" s="424">
        <f t="shared" si="1097"/>
        <v>0</v>
      </c>
      <c r="CD584" s="424">
        <f t="shared" si="1097"/>
        <v>0</v>
      </c>
      <c r="CE584" s="424">
        <f t="shared" si="1097"/>
        <v>0</v>
      </c>
      <c r="CF584" s="424">
        <f t="shared" si="1097"/>
        <v>0.72</v>
      </c>
      <c r="CG584" s="424">
        <f t="shared" si="1097"/>
        <v>0</v>
      </c>
      <c r="CH584" s="424">
        <f t="shared" si="1097"/>
        <v>0</v>
      </c>
      <c r="CI584" s="424">
        <f t="shared" si="1097"/>
        <v>0</v>
      </c>
      <c r="CJ584" s="424">
        <f t="shared" si="1097"/>
        <v>0</v>
      </c>
      <c r="CK584" s="424">
        <f t="shared" si="1097"/>
        <v>0</v>
      </c>
      <c r="CL584" s="424">
        <f t="shared" si="1097"/>
        <v>0</v>
      </c>
      <c r="CM584" s="424">
        <f t="shared" si="1097"/>
        <v>0</v>
      </c>
      <c r="CN584" s="424">
        <f t="shared" si="1097"/>
        <v>0</v>
      </c>
      <c r="CO584" s="424">
        <f t="shared" si="1097"/>
        <v>0</v>
      </c>
      <c r="CP584" s="424">
        <f t="shared" si="1097"/>
        <v>0</v>
      </c>
      <c r="CQ584" s="424">
        <f t="shared" si="1097"/>
        <v>0</v>
      </c>
      <c r="CR584" s="424">
        <f t="shared" si="1097"/>
        <v>0</v>
      </c>
      <c r="CS584" s="424">
        <f t="shared" si="1097"/>
        <v>0.02</v>
      </c>
      <c r="CT584" s="424">
        <f t="shared" si="1097"/>
        <v>0</v>
      </c>
      <c r="CU584" s="424">
        <f t="shared" si="1097"/>
        <v>0</v>
      </c>
      <c r="CV584" s="424">
        <f t="shared" si="1097"/>
        <v>0</v>
      </c>
      <c r="CW584" s="424">
        <f t="shared" si="1097"/>
        <v>0</v>
      </c>
      <c r="CX584" s="424">
        <f t="shared" si="1097"/>
        <v>0</v>
      </c>
      <c r="CY584" s="424">
        <f t="shared" si="1097"/>
        <v>0</v>
      </c>
      <c r="CZ584" s="424">
        <f t="shared" si="1097"/>
        <v>0</v>
      </c>
      <c r="DA584" s="424">
        <f t="shared" si="1097"/>
        <v>0</v>
      </c>
      <c r="DB584" s="424">
        <f t="shared" ref="DB584:EG584" si="1098">DB214*DB$372</f>
        <v>0</v>
      </c>
      <c r="DC584" s="424">
        <f t="shared" si="1098"/>
        <v>0.08</v>
      </c>
      <c r="DD584" s="424">
        <f t="shared" si="1098"/>
        <v>0</v>
      </c>
      <c r="DE584" s="424">
        <f t="shared" si="1098"/>
        <v>0</v>
      </c>
      <c r="DF584" s="424">
        <f t="shared" si="1098"/>
        <v>1.1499999999999999</v>
      </c>
      <c r="DG584" s="424">
        <f t="shared" si="1098"/>
        <v>0</v>
      </c>
      <c r="DH584" s="424">
        <f t="shared" si="1098"/>
        <v>0</v>
      </c>
      <c r="DI584" s="424">
        <f t="shared" si="1098"/>
        <v>0</v>
      </c>
      <c r="DJ584" s="424">
        <f t="shared" si="1098"/>
        <v>0</v>
      </c>
      <c r="DK584" s="424">
        <f t="shared" si="1098"/>
        <v>0</v>
      </c>
      <c r="DL584" s="424">
        <f t="shared" si="1098"/>
        <v>0</v>
      </c>
      <c r="DM584" s="424">
        <f t="shared" si="1098"/>
        <v>0</v>
      </c>
      <c r="DN584" s="424">
        <f t="shared" si="1098"/>
        <v>0</v>
      </c>
      <c r="DO584" s="424">
        <f t="shared" si="1098"/>
        <v>0</v>
      </c>
      <c r="DP584" s="424">
        <f t="shared" si="1098"/>
        <v>0</v>
      </c>
      <c r="DQ584" s="424">
        <f t="shared" si="1098"/>
        <v>0</v>
      </c>
      <c r="DR584" s="424">
        <f t="shared" si="1098"/>
        <v>0</v>
      </c>
      <c r="DS584" s="424">
        <f t="shared" si="1098"/>
        <v>0</v>
      </c>
      <c r="DT584" s="424">
        <f t="shared" si="1098"/>
        <v>0</v>
      </c>
      <c r="DU584" s="424">
        <f t="shared" si="1098"/>
        <v>1.01</v>
      </c>
      <c r="DV584" s="424">
        <f t="shared" si="1098"/>
        <v>0</v>
      </c>
      <c r="DW584" s="424">
        <f t="shared" si="1098"/>
        <v>0</v>
      </c>
      <c r="DX584" s="424">
        <f t="shared" si="1098"/>
        <v>0</v>
      </c>
      <c r="DY584" s="424">
        <f t="shared" si="1098"/>
        <v>0</v>
      </c>
      <c r="DZ584" s="424">
        <f t="shared" si="1098"/>
        <v>0</v>
      </c>
      <c r="EA584" s="424">
        <f t="shared" si="1098"/>
        <v>0</v>
      </c>
      <c r="EB584" s="424">
        <f t="shared" si="1098"/>
        <v>0</v>
      </c>
      <c r="EC584" s="424">
        <f t="shared" si="1098"/>
        <v>0</v>
      </c>
      <c r="ED584" s="424">
        <f t="shared" si="1098"/>
        <v>0</v>
      </c>
      <c r="EE584" s="424">
        <f t="shared" si="1098"/>
        <v>0</v>
      </c>
      <c r="EF584" s="424">
        <f t="shared" si="1098"/>
        <v>0</v>
      </c>
      <c r="EG584" s="424">
        <f t="shared" si="1098"/>
        <v>0</v>
      </c>
      <c r="EH584" s="424">
        <f t="shared" ref="EH584:EX584" si="1099">EH214*EH$372</f>
        <v>0</v>
      </c>
      <c r="EI584" s="424">
        <f t="shared" si="1099"/>
        <v>0</v>
      </c>
      <c r="EJ584" s="424">
        <f t="shared" si="1099"/>
        <v>0</v>
      </c>
      <c r="EK584" s="424">
        <f t="shared" si="1099"/>
        <v>0</v>
      </c>
      <c r="EL584" s="424">
        <f t="shared" si="1099"/>
        <v>0</v>
      </c>
      <c r="EM584" s="424">
        <f t="shared" si="1099"/>
        <v>0</v>
      </c>
      <c r="EN584" s="424">
        <f t="shared" si="1099"/>
        <v>0</v>
      </c>
      <c r="EO584" s="424">
        <f t="shared" si="1099"/>
        <v>0</v>
      </c>
      <c r="EP584" s="424">
        <f t="shared" si="1099"/>
        <v>0</v>
      </c>
      <c r="EQ584" s="424">
        <f t="shared" si="1099"/>
        <v>0</v>
      </c>
      <c r="ER584" s="424">
        <f t="shared" si="1099"/>
        <v>0</v>
      </c>
      <c r="ES584" s="424">
        <f t="shared" si="1099"/>
        <v>0</v>
      </c>
      <c r="ET584" s="424">
        <f t="shared" si="1099"/>
        <v>0</v>
      </c>
      <c r="EU584" s="424">
        <f t="shared" si="1099"/>
        <v>0</v>
      </c>
      <c r="EV584" s="424">
        <f t="shared" si="1099"/>
        <v>0</v>
      </c>
      <c r="EW584" s="424">
        <f t="shared" si="1099"/>
        <v>0</v>
      </c>
      <c r="EX584" s="424">
        <f t="shared" si="1099"/>
        <v>0</v>
      </c>
      <c r="EY584" s="425">
        <f t="shared" si="1064"/>
        <v>34.21</v>
      </c>
      <c r="EZ584" s="616"/>
      <c r="FA584" s="616"/>
      <c r="FB584" s="616"/>
      <c r="FC584" s="616"/>
      <c r="FD584" s="616"/>
      <c r="FE584" s="616"/>
      <c r="FF584" s="616"/>
      <c r="FG584" s="616"/>
      <c r="FH584" s="616"/>
      <c r="FI584" s="616"/>
      <c r="FJ584" s="616"/>
    </row>
    <row r="585" spans="1:166" ht="14.7" customHeight="1" x14ac:dyDescent="0.25">
      <c r="A585" s="310">
        <v>211</v>
      </c>
      <c r="B585" s="311" t="str">
        <f t="shared" si="1005"/>
        <v>Птица жареная</v>
      </c>
      <c r="C585" s="483">
        <f t="shared" si="1018"/>
        <v>33.61</v>
      </c>
      <c r="D585" s="888"/>
      <c r="E585" s="888"/>
      <c r="F585" s="888"/>
      <c r="G585" s="889"/>
      <c r="H585" s="680">
        <f t="shared" si="1006"/>
        <v>293</v>
      </c>
      <c r="I585" s="1209">
        <f t="shared" si="1007"/>
        <v>0</v>
      </c>
      <c r="J585" s="424">
        <f t="shared" ref="J585:AO585" si="1100">J215*J$372</f>
        <v>0</v>
      </c>
      <c r="K585" s="424">
        <f t="shared" si="1100"/>
        <v>0</v>
      </c>
      <c r="L585" s="424">
        <f t="shared" si="1100"/>
        <v>21.26</v>
      </c>
      <c r="M585" s="424">
        <f t="shared" si="1100"/>
        <v>0</v>
      </c>
      <c r="N585" s="424">
        <f t="shared" si="1100"/>
        <v>0</v>
      </c>
      <c r="O585" s="424">
        <f t="shared" si="1100"/>
        <v>0</v>
      </c>
      <c r="P585" s="424">
        <f t="shared" si="1100"/>
        <v>0</v>
      </c>
      <c r="Q585" s="424">
        <f t="shared" si="1100"/>
        <v>0</v>
      </c>
      <c r="R585" s="424">
        <f t="shared" si="1100"/>
        <v>0</v>
      </c>
      <c r="S585" s="424">
        <f t="shared" si="1100"/>
        <v>0</v>
      </c>
      <c r="T585" s="424">
        <f t="shared" si="1100"/>
        <v>0</v>
      </c>
      <c r="U585" s="424">
        <f t="shared" si="1100"/>
        <v>0</v>
      </c>
      <c r="V585" s="424">
        <f t="shared" si="1100"/>
        <v>3.55</v>
      </c>
      <c r="W585" s="424">
        <f t="shared" si="1100"/>
        <v>0</v>
      </c>
      <c r="X585" s="424">
        <f t="shared" si="1100"/>
        <v>0</v>
      </c>
      <c r="Y585" s="424">
        <f t="shared" si="1100"/>
        <v>6.79</v>
      </c>
      <c r="Z585" s="424">
        <f t="shared" si="1100"/>
        <v>0</v>
      </c>
      <c r="AA585" s="424">
        <f t="shared" si="1100"/>
        <v>0</v>
      </c>
      <c r="AB585" s="424">
        <f t="shared" si="1100"/>
        <v>0</v>
      </c>
      <c r="AC585" s="424">
        <f t="shared" si="1100"/>
        <v>0</v>
      </c>
      <c r="AD585" s="424">
        <f t="shared" si="1100"/>
        <v>0</v>
      </c>
      <c r="AE585" s="424">
        <f t="shared" si="1100"/>
        <v>0</v>
      </c>
      <c r="AF585" s="424">
        <f t="shared" si="1100"/>
        <v>0</v>
      </c>
      <c r="AG585" s="424">
        <f t="shared" si="1100"/>
        <v>0</v>
      </c>
      <c r="AH585" s="424">
        <f t="shared" si="1100"/>
        <v>0</v>
      </c>
      <c r="AI585" s="424">
        <f t="shared" si="1100"/>
        <v>0</v>
      </c>
      <c r="AJ585" s="424">
        <f t="shared" si="1100"/>
        <v>0</v>
      </c>
      <c r="AK585" s="424">
        <f t="shared" si="1100"/>
        <v>0</v>
      </c>
      <c r="AL585" s="424">
        <f t="shared" si="1100"/>
        <v>0.6</v>
      </c>
      <c r="AM585" s="424">
        <f t="shared" si="1100"/>
        <v>0</v>
      </c>
      <c r="AN585" s="424">
        <f t="shared" si="1100"/>
        <v>0</v>
      </c>
      <c r="AO585" s="424">
        <f t="shared" si="1100"/>
        <v>0</v>
      </c>
      <c r="AP585" s="424">
        <f t="shared" ref="AP585:BU585" si="1101">AP215*AP$372</f>
        <v>0</v>
      </c>
      <c r="AQ585" s="424">
        <f t="shared" si="1101"/>
        <v>0</v>
      </c>
      <c r="AR585" s="424">
        <f t="shared" si="1101"/>
        <v>0</v>
      </c>
      <c r="AS585" s="424">
        <f t="shared" si="1101"/>
        <v>0</v>
      </c>
      <c r="AT585" s="424">
        <f t="shared" si="1101"/>
        <v>0</v>
      </c>
      <c r="AU585" s="424">
        <f t="shared" si="1101"/>
        <v>0.6</v>
      </c>
      <c r="AV585" s="424">
        <f t="shared" si="1101"/>
        <v>0</v>
      </c>
      <c r="AW585" s="424">
        <f t="shared" si="1101"/>
        <v>0</v>
      </c>
      <c r="AX585" s="424">
        <f t="shared" si="1101"/>
        <v>0</v>
      </c>
      <c r="AY585" s="424">
        <f t="shared" si="1101"/>
        <v>0</v>
      </c>
      <c r="AZ585" s="424">
        <f t="shared" si="1101"/>
        <v>0</v>
      </c>
      <c r="BA585" s="424">
        <f t="shared" si="1101"/>
        <v>0</v>
      </c>
      <c r="BB585" s="424">
        <f t="shared" si="1101"/>
        <v>0</v>
      </c>
      <c r="BC585" s="424">
        <f t="shared" si="1101"/>
        <v>0</v>
      </c>
      <c r="BD585" s="424">
        <f t="shared" si="1101"/>
        <v>0</v>
      </c>
      <c r="BE585" s="424">
        <f t="shared" si="1101"/>
        <v>0</v>
      </c>
      <c r="BF585" s="424">
        <f t="shared" si="1101"/>
        <v>0</v>
      </c>
      <c r="BG585" s="424">
        <f t="shared" si="1101"/>
        <v>0</v>
      </c>
      <c r="BH585" s="424">
        <f t="shared" si="1101"/>
        <v>0</v>
      </c>
      <c r="BI585" s="424">
        <f t="shared" si="1101"/>
        <v>0</v>
      </c>
      <c r="BJ585" s="424">
        <f t="shared" si="1101"/>
        <v>0</v>
      </c>
      <c r="BK585" s="424">
        <f t="shared" si="1101"/>
        <v>0</v>
      </c>
      <c r="BL585" s="424">
        <f t="shared" si="1101"/>
        <v>0</v>
      </c>
      <c r="BM585" s="424">
        <f t="shared" si="1101"/>
        <v>0</v>
      </c>
      <c r="BN585" s="424">
        <f t="shared" si="1101"/>
        <v>0</v>
      </c>
      <c r="BO585" s="424">
        <f t="shared" si="1101"/>
        <v>0</v>
      </c>
      <c r="BP585" s="424">
        <f t="shared" si="1101"/>
        <v>0</v>
      </c>
      <c r="BQ585" s="424">
        <f t="shared" si="1101"/>
        <v>0</v>
      </c>
      <c r="BR585" s="424">
        <f t="shared" si="1101"/>
        <v>0</v>
      </c>
      <c r="BS585" s="424">
        <f t="shared" si="1101"/>
        <v>0</v>
      </c>
      <c r="BT585" s="424">
        <f t="shared" si="1101"/>
        <v>0</v>
      </c>
      <c r="BU585" s="424">
        <f t="shared" si="1101"/>
        <v>0</v>
      </c>
      <c r="BV585" s="424">
        <f t="shared" ref="BV585:DA585" si="1102">BV215*BV$372</f>
        <v>0</v>
      </c>
      <c r="BW585" s="424">
        <f t="shared" si="1102"/>
        <v>0</v>
      </c>
      <c r="BX585" s="424">
        <f t="shared" si="1102"/>
        <v>0</v>
      </c>
      <c r="BY585" s="424">
        <f t="shared" si="1102"/>
        <v>0</v>
      </c>
      <c r="BZ585" s="424">
        <f t="shared" si="1102"/>
        <v>0</v>
      </c>
      <c r="CA585" s="424">
        <f t="shared" si="1102"/>
        <v>0</v>
      </c>
      <c r="CB585" s="424">
        <f t="shared" si="1102"/>
        <v>0</v>
      </c>
      <c r="CC585" s="424">
        <f t="shared" si="1102"/>
        <v>0</v>
      </c>
      <c r="CD585" s="424">
        <f t="shared" si="1102"/>
        <v>0</v>
      </c>
      <c r="CE585" s="424">
        <f t="shared" si="1102"/>
        <v>0</v>
      </c>
      <c r="CF585" s="424">
        <f t="shared" si="1102"/>
        <v>0.72</v>
      </c>
      <c r="CG585" s="424">
        <f t="shared" si="1102"/>
        <v>0</v>
      </c>
      <c r="CH585" s="424">
        <f t="shared" si="1102"/>
        <v>0</v>
      </c>
      <c r="CI585" s="424">
        <f t="shared" si="1102"/>
        <v>0</v>
      </c>
      <c r="CJ585" s="424">
        <f t="shared" si="1102"/>
        <v>0</v>
      </c>
      <c r="CK585" s="424">
        <f t="shared" si="1102"/>
        <v>0</v>
      </c>
      <c r="CL585" s="424">
        <f t="shared" si="1102"/>
        <v>0</v>
      </c>
      <c r="CM585" s="424">
        <f t="shared" si="1102"/>
        <v>0</v>
      </c>
      <c r="CN585" s="424">
        <f t="shared" si="1102"/>
        <v>0</v>
      </c>
      <c r="CO585" s="424">
        <f t="shared" si="1102"/>
        <v>0</v>
      </c>
      <c r="CP585" s="424">
        <f t="shared" si="1102"/>
        <v>0</v>
      </c>
      <c r="CQ585" s="424">
        <f t="shared" si="1102"/>
        <v>0</v>
      </c>
      <c r="CR585" s="424">
        <f t="shared" si="1102"/>
        <v>0</v>
      </c>
      <c r="CS585" s="424">
        <f t="shared" si="1102"/>
        <v>0.02</v>
      </c>
      <c r="CT585" s="424">
        <f t="shared" si="1102"/>
        <v>0</v>
      </c>
      <c r="CU585" s="424">
        <f t="shared" si="1102"/>
        <v>0</v>
      </c>
      <c r="CV585" s="424">
        <f t="shared" si="1102"/>
        <v>0</v>
      </c>
      <c r="CW585" s="424">
        <f t="shared" si="1102"/>
        <v>0</v>
      </c>
      <c r="CX585" s="424">
        <f t="shared" si="1102"/>
        <v>0</v>
      </c>
      <c r="CY585" s="424">
        <f t="shared" si="1102"/>
        <v>0</v>
      </c>
      <c r="CZ585" s="424">
        <f t="shared" si="1102"/>
        <v>0</v>
      </c>
      <c r="DA585" s="424">
        <f t="shared" si="1102"/>
        <v>0</v>
      </c>
      <c r="DB585" s="424">
        <f t="shared" ref="DB585:EG585" si="1103">DB215*DB$372</f>
        <v>0</v>
      </c>
      <c r="DC585" s="424">
        <f t="shared" si="1103"/>
        <v>7.0000000000000007E-2</v>
      </c>
      <c r="DD585" s="424">
        <f t="shared" si="1103"/>
        <v>0</v>
      </c>
      <c r="DE585" s="424">
        <f t="shared" si="1103"/>
        <v>0</v>
      </c>
      <c r="DF585" s="424">
        <f t="shared" si="1103"/>
        <v>0</v>
      </c>
      <c r="DG585" s="424">
        <f t="shared" si="1103"/>
        <v>0</v>
      </c>
      <c r="DH585" s="424">
        <f t="shared" si="1103"/>
        <v>0</v>
      </c>
      <c r="DI585" s="424">
        <f t="shared" si="1103"/>
        <v>0</v>
      </c>
      <c r="DJ585" s="424">
        <f t="shared" si="1103"/>
        <v>0</v>
      </c>
      <c r="DK585" s="424">
        <f t="shared" si="1103"/>
        <v>0</v>
      </c>
      <c r="DL585" s="424">
        <f t="shared" si="1103"/>
        <v>0</v>
      </c>
      <c r="DM585" s="424">
        <f t="shared" si="1103"/>
        <v>0</v>
      </c>
      <c r="DN585" s="424">
        <f t="shared" si="1103"/>
        <v>0</v>
      </c>
      <c r="DO585" s="424">
        <f t="shared" si="1103"/>
        <v>0</v>
      </c>
      <c r="DP585" s="424">
        <f t="shared" si="1103"/>
        <v>0</v>
      </c>
      <c r="DQ585" s="424">
        <f t="shared" si="1103"/>
        <v>0</v>
      </c>
      <c r="DR585" s="424">
        <f t="shared" si="1103"/>
        <v>0</v>
      </c>
      <c r="DS585" s="424">
        <f t="shared" si="1103"/>
        <v>0</v>
      </c>
      <c r="DT585" s="424">
        <f t="shared" si="1103"/>
        <v>0</v>
      </c>
      <c r="DU585" s="424">
        <f t="shared" si="1103"/>
        <v>0</v>
      </c>
      <c r="DV585" s="424">
        <f t="shared" si="1103"/>
        <v>0</v>
      </c>
      <c r="DW585" s="424">
        <f t="shared" si="1103"/>
        <v>0</v>
      </c>
      <c r="DX585" s="424">
        <f t="shared" si="1103"/>
        <v>0</v>
      </c>
      <c r="DY585" s="424">
        <f t="shared" si="1103"/>
        <v>0</v>
      </c>
      <c r="DZ585" s="424">
        <f t="shared" si="1103"/>
        <v>0</v>
      </c>
      <c r="EA585" s="424">
        <f t="shared" si="1103"/>
        <v>0</v>
      </c>
      <c r="EB585" s="424">
        <f t="shared" si="1103"/>
        <v>0</v>
      </c>
      <c r="EC585" s="424">
        <f t="shared" si="1103"/>
        <v>0</v>
      </c>
      <c r="ED585" s="424">
        <f t="shared" si="1103"/>
        <v>0</v>
      </c>
      <c r="EE585" s="424">
        <f t="shared" si="1103"/>
        <v>0</v>
      </c>
      <c r="EF585" s="424">
        <f t="shared" si="1103"/>
        <v>0</v>
      </c>
      <c r="EG585" s="424">
        <f t="shared" si="1103"/>
        <v>0</v>
      </c>
      <c r="EH585" s="424">
        <f t="shared" ref="EH585:EX585" si="1104">EH215*EH$372</f>
        <v>0</v>
      </c>
      <c r="EI585" s="424">
        <f t="shared" si="1104"/>
        <v>0</v>
      </c>
      <c r="EJ585" s="424">
        <f t="shared" si="1104"/>
        <v>0</v>
      </c>
      <c r="EK585" s="424">
        <f t="shared" si="1104"/>
        <v>0</v>
      </c>
      <c r="EL585" s="424">
        <f t="shared" si="1104"/>
        <v>0</v>
      </c>
      <c r="EM585" s="424">
        <f t="shared" si="1104"/>
        <v>0</v>
      </c>
      <c r="EN585" s="424">
        <f t="shared" si="1104"/>
        <v>0</v>
      </c>
      <c r="EO585" s="424">
        <f t="shared" si="1104"/>
        <v>0</v>
      </c>
      <c r="EP585" s="424">
        <f t="shared" si="1104"/>
        <v>0</v>
      </c>
      <c r="EQ585" s="424">
        <f t="shared" si="1104"/>
        <v>0</v>
      </c>
      <c r="ER585" s="424">
        <f t="shared" si="1104"/>
        <v>0</v>
      </c>
      <c r="ES585" s="424">
        <f t="shared" si="1104"/>
        <v>0</v>
      </c>
      <c r="ET585" s="424">
        <f t="shared" si="1104"/>
        <v>0</v>
      </c>
      <c r="EU585" s="424">
        <f t="shared" si="1104"/>
        <v>0</v>
      </c>
      <c r="EV585" s="424">
        <f t="shared" si="1104"/>
        <v>0</v>
      </c>
      <c r="EW585" s="424">
        <f t="shared" si="1104"/>
        <v>0</v>
      </c>
      <c r="EX585" s="424">
        <f t="shared" si="1104"/>
        <v>0</v>
      </c>
      <c r="EY585" s="425">
        <f t="shared" si="1064"/>
        <v>33.61</v>
      </c>
    </row>
    <row r="586" spans="1:166" x14ac:dyDescent="0.25">
      <c r="A586" s="310">
        <v>212</v>
      </c>
      <c r="B586" s="311" t="str">
        <f t="shared" si="1005"/>
        <v>Котлеты рубленные из мяса птицы (окорочка)</v>
      </c>
      <c r="C586" s="483">
        <f t="shared" si="1018"/>
        <v>19.3</v>
      </c>
      <c r="D586" s="888"/>
      <c r="E586" s="888"/>
      <c r="F586" s="888"/>
      <c r="G586" s="889"/>
      <c r="H586" s="680">
        <f t="shared" si="1006"/>
        <v>294</v>
      </c>
      <c r="I586" s="1209">
        <f t="shared" si="1007"/>
        <v>0</v>
      </c>
      <c r="J586" s="424">
        <f t="shared" ref="J586:AO586" si="1105">J216*J$372</f>
        <v>0</v>
      </c>
      <c r="K586" s="424">
        <f t="shared" si="1105"/>
        <v>12.74</v>
      </c>
      <c r="L586" s="424">
        <f t="shared" si="1105"/>
        <v>0</v>
      </c>
      <c r="M586" s="424">
        <f t="shared" si="1105"/>
        <v>0</v>
      </c>
      <c r="N586" s="424">
        <f t="shared" si="1105"/>
        <v>0</v>
      </c>
      <c r="O586" s="424">
        <f t="shared" si="1105"/>
        <v>0</v>
      </c>
      <c r="P586" s="424">
        <f t="shared" si="1105"/>
        <v>0.2</v>
      </c>
      <c r="Q586" s="424">
        <f t="shared" si="1105"/>
        <v>0</v>
      </c>
      <c r="R586" s="424">
        <f t="shared" si="1105"/>
        <v>0</v>
      </c>
      <c r="S586" s="424">
        <f t="shared" si="1105"/>
        <v>0</v>
      </c>
      <c r="T586" s="424">
        <f t="shared" si="1105"/>
        <v>0</v>
      </c>
      <c r="U586" s="424">
        <f t="shared" si="1105"/>
        <v>1.2</v>
      </c>
      <c r="V586" s="424">
        <f t="shared" si="1105"/>
        <v>3.55</v>
      </c>
      <c r="W586" s="424">
        <f t="shared" si="1105"/>
        <v>0</v>
      </c>
      <c r="X586" s="424">
        <f t="shared" si="1105"/>
        <v>0</v>
      </c>
      <c r="Y586" s="424">
        <f t="shared" si="1105"/>
        <v>0</v>
      </c>
      <c r="Z586" s="424">
        <f t="shared" si="1105"/>
        <v>0</v>
      </c>
      <c r="AA586" s="424">
        <f t="shared" si="1105"/>
        <v>0</v>
      </c>
      <c r="AB586" s="424">
        <f t="shared" si="1105"/>
        <v>0</v>
      </c>
      <c r="AC586" s="424">
        <f t="shared" si="1105"/>
        <v>0</v>
      </c>
      <c r="AD586" s="424">
        <f t="shared" si="1105"/>
        <v>0</v>
      </c>
      <c r="AE586" s="424">
        <f t="shared" si="1105"/>
        <v>0</v>
      </c>
      <c r="AF586" s="424">
        <f t="shared" si="1105"/>
        <v>0</v>
      </c>
      <c r="AG586" s="424">
        <f t="shared" si="1105"/>
        <v>0</v>
      </c>
      <c r="AH586" s="424">
        <f t="shared" si="1105"/>
        <v>0</v>
      </c>
      <c r="AI586" s="424">
        <f t="shared" si="1105"/>
        <v>0</v>
      </c>
      <c r="AJ586" s="424">
        <f t="shared" si="1105"/>
        <v>0</v>
      </c>
      <c r="AK586" s="424">
        <f t="shared" si="1105"/>
        <v>0</v>
      </c>
      <c r="AL586" s="424">
        <f t="shared" si="1105"/>
        <v>0</v>
      </c>
      <c r="AM586" s="424">
        <f t="shared" si="1105"/>
        <v>0</v>
      </c>
      <c r="AN586" s="424">
        <f t="shared" si="1105"/>
        <v>0</v>
      </c>
      <c r="AO586" s="424">
        <f t="shared" si="1105"/>
        <v>0</v>
      </c>
      <c r="AP586" s="424">
        <f t="shared" ref="AP586:BU586" si="1106">AP216*AP$372</f>
        <v>0</v>
      </c>
      <c r="AQ586" s="424">
        <f t="shared" si="1106"/>
        <v>0</v>
      </c>
      <c r="AR586" s="424">
        <f t="shared" si="1106"/>
        <v>0</v>
      </c>
      <c r="AS586" s="424">
        <f t="shared" si="1106"/>
        <v>0</v>
      </c>
      <c r="AT586" s="424">
        <f t="shared" si="1106"/>
        <v>0</v>
      </c>
      <c r="AU586" s="424">
        <f t="shared" si="1106"/>
        <v>0</v>
      </c>
      <c r="AV586" s="424">
        <f t="shared" si="1106"/>
        <v>0</v>
      </c>
      <c r="AW586" s="424">
        <f t="shared" si="1106"/>
        <v>0</v>
      </c>
      <c r="AX586" s="424">
        <f t="shared" si="1106"/>
        <v>0</v>
      </c>
      <c r="AY586" s="424">
        <f t="shared" si="1106"/>
        <v>0</v>
      </c>
      <c r="AZ586" s="424">
        <f t="shared" si="1106"/>
        <v>0</v>
      </c>
      <c r="BA586" s="424">
        <f t="shared" si="1106"/>
        <v>0</v>
      </c>
      <c r="BB586" s="424">
        <f t="shared" si="1106"/>
        <v>0</v>
      </c>
      <c r="BC586" s="424">
        <f t="shared" si="1106"/>
        <v>0</v>
      </c>
      <c r="BD586" s="424">
        <f t="shared" si="1106"/>
        <v>0</v>
      </c>
      <c r="BE586" s="424">
        <f t="shared" si="1106"/>
        <v>0</v>
      </c>
      <c r="BF586" s="424">
        <f t="shared" si="1106"/>
        <v>0</v>
      </c>
      <c r="BG586" s="424">
        <f t="shared" si="1106"/>
        <v>0</v>
      </c>
      <c r="BH586" s="424">
        <f t="shared" si="1106"/>
        <v>0</v>
      </c>
      <c r="BI586" s="424">
        <f t="shared" si="1106"/>
        <v>0</v>
      </c>
      <c r="BJ586" s="424">
        <f t="shared" si="1106"/>
        <v>0</v>
      </c>
      <c r="BK586" s="424">
        <f t="shared" si="1106"/>
        <v>0</v>
      </c>
      <c r="BL586" s="424">
        <f t="shared" si="1106"/>
        <v>0</v>
      </c>
      <c r="BM586" s="424">
        <f t="shared" si="1106"/>
        <v>0</v>
      </c>
      <c r="BN586" s="424">
        <f t="shared" si="1106"/>
        <v>0</v>
      </c>
      <c r="BO586" s="424">
        <f t="shared" si="1106"/>
        <v>0</v>
      </c>
      <c r="BP586" s="424">
        <f t="shared" si="1106"/>
        <v>0</v>
      </c>
      <c r="BQ586" s="424">
        <f t="shared" si="1106"/>
        <v>0</v>
      </c>
      <c r="BR586" s="424">
        <f t="shared" si="1106"/>
        <v>0</v>
      </c>
      <c r="BS586" s="424">
        <f t="shared" si="1106"/>
        <v>0</v>
      </c>
      <c r="BT586" s="424">
        <f t="shared" si="1106"/>
        <v>0</v>
      </c>
      <c r="BU586" s="424">
        <f t="shared" si="1106"/>
        <v>0</v>
      </c>
      <c r="BV586" s="424">
        <f t="shared" ref="BV586:DA586" si="1107">BV216*BV$372</f>
        <v>0</v>
      </c>
      <c r="BW586" s="424">
        <f t="shared" si="1107"/>
        <v>0</v>
      </c>
      <c r="BX586" s="424">
        <f t="shared" si="1107"/>
        <v>0</v>
      </c>
      <c r="BY586" s="424">
        <f t="shared" si="1107"/>
        <v>0</v>
      </c>
      <c r="BZ586" s="424">
        <f t="shared" si="1107"/>
        <v>0</v>
      </c>
      <c r="CA586" s="424">
        <f t="shared" si="1107"/>
        <v>0</v>
      </c>
      <c r="CB586" s="424">
        <f t="shared" si="1107"/>
        <v>0</v>
      </c>
      <c r="CC586" s="424">
        <f t="shared" si="1107"/>
        <v>0</v>
      </c>
      <c r="CD586" s="424">
        <f t="shared" si="1107"/>
        <v>0</v>
      </c>
      <c r="CE586" s="424">
        <f t="shared" si="1107"/>
        <v>0</v>
      </c>
      <c r="CF586" s="424">
        <f t="shared" si="1107"/>
        <v>0.36</v>
      </c>
      <c r="CG586" s="424">
        <f t="shared" si="1107"/>
        <v>0</v>
      </c>
      <c r="CH586" s="424">
        <f t="shared" si="1107"/>
        <v>0</v>
      </c>
      <c r="CI586" s="424">
        <f t="shared" si="1107"/>
        <v>0</v>
      </c>
      <c r="CJ586" s="424">
        <f t="shared" si="1107"/>
        <v>0</v>
      </c>
      <c r="CK586" s="424">
        <f t="shared" si="1107"/>
        <v>0</v>
      </c>
      <c r="CL586" s="424">
        <f t="shared" si="1107"/>
        <v>0</v>
      </c>
      <c r="CM586" s="424">
        <f t="shared" si="1107"/>
        <v>0</v>
      </c>
      <c r="CN586" s="424">
        <f t="shared" si="1107"/>
        <v>0</v>
      </c>
      <c r="CO586" s="424">
        <f t="shared" si="1107"/>
        <v>0</v>
      </c>
      <c r="CP586" s="424">
        <f t="shared" si="1107"/>
        <v>0</v>
      </c>
      <c r="CQ586" s="424">
        <f t="shared" si="1107"/>
        <v>0</v>
      </c>
      <c r="CR586" s="424">
        <f t="shared" si="1107"/>
        <v>0</v>
      </c>
      <c r="CS586" s="424">
        <f t="shared" si="1107"/>
        <v>0</v>
      </c>
      <c r="CT586" s="424">
        <f t="shared" si="1107"/>
        <v>0</v>
      </c>
      <c r="CU586" s="424">
        <f t="shared" si="1107"/>
        <v>0</v>
      </c>
      <c r="CV586" s="424">
        <f t="shared" si="1107"/>
        <v>0</v>
      </c>
      <c r="CW586" s="424">
        <f t="shared" si="1107"/>
        <v>0</v>
      </c>
      <c r="CX586" s="424">
        <f t="shared" si="1107"/>
        <v>0</v>
      </c>
      <c r="CY586" s="424">
        <f t="shared" si="1107"/>
        <v>0</v>
      </c>
      <c r="CZ586" s="424">
        <f t="shared" si="1107"/>
        <v>0</v>
      </c>
      <c r="DA586" s="424">
        <f t="shared" si="1107"/>
        <v>0</v>
      </c>
      <c r="DB586" s="424">
        <f t="shared" ref="DB586:EG586" si="1108">DB216*DB$372</f>
        <v>0</v>
      </c>
      <c r="DC586" s="424">
        <f t="shared" si="1108"/>
        <v>7.0000000000000007E-2</v>
      </c>
      <c r="DD586" s="424">
        <f t="shared" si="1108"/>
        <v>0.59</v>
      </c>
      <c r="DE586" s="424">
        <f t="shared" si="1108"/>
        <v>0</v>
      </c>
      <c r="DF586" s="424">
        <f t="shared" si="1108"/>
        <v>0</v>
      </c>
      <c r="DG586" s="424">
        <f t="shared" si="1108"/>
        <v>0</v>
      </c>
      <c r="DH586" s="424">
        <f t="shared" si="1108"/>
        <v>0</v>
      </c>
      <c r="DI586" s="424">
        <f t="shared" si="1108"/>
        <v>0</v>
      </c>
      <c r="DJ586" s="424">
        <f t="shared" si="1108"/>
        <v>0</v>
      </c>
      <c r="DK586" s="424">
        <f t="shared" si="1108"/>
        <v>0</v>
      </c>
      <c r="DL586" s="424">
        <f t="shared" si="1108"/>
        <v>0</v>
      </c>
      <c r="DM586" s="424">
        <f t="shared" si="1108"/>
        <v>0</v>
      </c>
      <c r="DN586" s="424">
        <f t="shared" si="1108"/>
        <v>0</v>
      </c>
      <c r="DO586" s="424">
        <f t="shared" si="1108"/>
        <v>0</v>
      </c>
      <c r="DP586" s="424">
        <f t="shared" si="1108"/>
        <v>0</v>
      </c>
      <c r="DQ586" s="424">
        <f t="shared" si="1108"/>
        <v>0</v>
      </c>
      <c r="DR586" s="424">
        <f t="shared" si="1108"/>
        <v>0</v>
      </c>
      <c r="DS586" s="424">
        <f t="shared" si="1108"/>
        <v>0</v>
      </c>
      <c r="DT586" s="424">
        <f t="shared" si="1108"/>
        <v>0</v>
      </c>
      <c r="DU586" s="424">
        <f t="shared" si="1108"/>
        <v>0</v>
      </c>
      <c r="DV586" s="424">
        <f t="shared" si="1108"/>
        <v>0</v>
      </c>
      <c r="DW586" s="424">
        <f t="shared" si="1108"/>
        <v>0</v>
      </c>
      <c r="DX586" s="424">
        <f t="shared" si="1108"/>
        <v>0</v>
      </c>
      <c r="DY586" s="424">
        <f t="shared" si="1108"/>
        <v>0</v>
      </c>
      <c r="DZ586" s="424">
        <f t="shared" si="1108"/>
        <v>0</v>
      </c>
      <c r="EA586" s="424">
        <f t="shared" si="1108"/>
        <v>0</v>
      </c>
      <c r="EB586" s="424">
        <f t="shared" si="1108"/>
        <v>0</v>
      </c>
      <c r="EC586" s="424">
        <f t="shared" si="1108"/>
        <v>0</v>
      </c>
      <c r="ED586" s="424">
        <f t="shared" si="1108"/>
        <v>0</v>
      </c>
      <c r="EE586" s="424">
        <f t="shared" si="1108"/>
        <v>0</v>
      </c>
      <c r="EF586" s="424">
        <f t="shared" si="1108"/>
        <v>0</v>
      </c>
      <c r="EG586" s="424">
        <f t="shared" si="1108"/>
        <v>0</v>
      </c>
      <c r="EH586" s="424">
        <f t="shared" ref="EH586:EX586" si="1109">EH216*EH$372</f>
        <v>0</v>
      </c>
      <c r="EI586" s="424">
        <f t="shared" si="1109"/>
        <v>0</v>
      </c>
      <c r="EJ586" s="424">
        <f t="shared" si="1109"/>
        <v>0</v>
      </c>
      <c r="EK586" s="424">
        <f t="shared" si="1109"/>
        <v>0</v>
      </c>
      <c r="EL586" s="424">
        <f t="shared" si="1109"/>
        <v>0</v>
      </c>
      <c r="EM586" s="424">
        <f t="shared" si="1109"/>
        <v>0</v>
      </c>
      <c r="EN586" s="424">
        <f t="shared" si="1109"/>
        <v>0</v>
      </c>
      <c r="EO586" s="424">
        <f t="shared" si="1109"/>
        <v>0</v>
      </c>
      <c r="EP586" s="424">
        <f t="shared" si="1109"/>
        <v>0</v>
      </c>
      <c r="EQ586" s="424">
        <f t="shared" si="1109"/>
        <v>0</v>
      </c>
      <c r="ER586" s="424">
        <f t="shared" si="1109"/>
        <v>0</v>
      </c>
      <c r="ES586" s="424">
        <f t="shared" si="1109"/>
        <v>0</v>
      </c>
      <c r="ET586" s="424">
        <f t="shared" si="1109"/>
        <v>0</v>
      </c>
      <c r="EU586" s="424">
        <f t="shared" si="1109"/>
        <v>0</v>
      </c>
      <c r="EV586" s="424">
        <f t="shared" si="1109"/>
        <v>0.59</v>
      </c>
      <c r="EW586" s="424">
        <f t="shared" si="1109"/>
        <v>0</v>
      </c>
      <c r="EX586" s="424">
        <f t="shared" si="1109"/>
        <v>0</v>
      </c>
      <c r="EY586" s="425">
        <f t="shared" si="1064"/>
        <v>19.3</v>
      </c>
    </row>
    <row r="587" spans="1:166" x14ac:dyDescent="0.25">
      <c r="A587" s="310">
        <v>213</v>
      </c>
      <c r="B587" s="311" t="str">
        <f t="shared" si="1005"/>
        <v>Котлеты рубленные из мяса птицы с маслом</v>
      </c>
      <c r="C587" s="483">
        <f t="shared" si="1018"/>
        <v>21.58</v>
      </c>
      <c r="D587" s="888"/>
      <c r="E587" s="888"/>
      <c r="F587" s="888"/>
      <c r="G587" s="889"/>
      <c r="H587" s="680">
        <f t="shared" si="1006"/>
        <v>294</v>
      </c>
      <c r="I587" s="1209">
        <f t="shared" si="1007"/>
        <v>0</v>
      </c>
      <c r="J587" s="424">
        <f t="shared" ref="J587:AO587" si="1110">J217*J$372</f>
        <v>0</v>
      </c>
      <c r="K587" s="424">
        <f t="shared" si="1110"/>
        <v>0</v>
      </c>
      <c r="L587" s="424">
        <f t="shared" si="1110"/>
        <v>15.02</v>
      </c>
      <c r="M587" s="424">
        <f t="shared" si="1110"/>
        <v>0</v>
      </c>
      <c r="N587" s="424">
        <f t="shared" si="1110"/>
        <v>0</v>
      </c>
      <c r="O587" s="424">
        <f t="shared" si="1110"/>
        <v>0</v>
      </c>
      <c r="P587" s="424">
        <f t="shared" si="1110"/>
        <v>0.2</v>
      </c>
      <c r="Q587" s="424">
        <f t="shared" si="1110"/>
        <v>0</v>
      </c>
      <c r="R587" s="424">
        <f t="shared" si="1110"/>
        <v>0</v>
      </c>
      <c r="S587" s="424">
        <f t="shared" si="1110"/>
        <v>0</v>
      </c>
      <c r="T587" s="424">
        <f t="shared" si="1110"/>
        <v>0</v>
      </c>
      <c r="U587" s="424">
        <f t="shared" si="1110"/>
        <v>1.2</v>
      </c>
      <c r="V587" s="424">
        <f t="shared" si="1110"/>
        <v>3.55</v>
      </c>
      <c r="W587" s="424">
        <f t="shared" si="1110"/>
        <v>0</v>
      </c>
      <c r="X587" s="424">
        <f t="shared" si="1110"/>
        <v>0</v>
      </c>
      <c r="Y587" s="424">
        <f t="shared" si="1110"/>
        <v>0</v>
      </c>
      <c r="Z587" s="424">
        <f t="shared" si="1110"/>
        <v>0</v>
      </c>
      <c r="AA587" s="424">
        <f t="shared" si="1110"/>
        <v>0</v>
      </c>
      <c r="AB587" s="424">
        <f t="shared" si="1110"/>
        <v>0</v>
      </c>
      <c r="AC587" s="424">
        <f t="shared" si="1110"/>
        <v>0</v>
      </c>
      <c r="AD587" s="424">
        <f t="shared" si="1110"/>
        <v>0</v>
      </c>
      <c r="AE587" s="424">
        <f t="shared" si="1110"/>
        <v>0</v>
      </c>
      <c r="AF587" s="424">
        <f t="shared" si="1110"/>
        <v>0</v>
      </c>
      <c r="AG587" s="424">
        <f t="shared" si="1110"/>
        <v>0</v>
      </c>
      <c r="AH587" s="424">
        <f t="shared" si="1110"/>
        <v>0</v>
      </c>
      <c r="AI587" s="424">
        <f t="shared" si="1110"/>
        <v>0</v>
      </c>
      <c r="AJ587" s="424">
        <f t="shared" si="1110"/>
        <v>0</v>
      </c>
      <c r="AK587" s="424">
        <f t="shared" si="1110"/>
        <v>0</v>
      </c>
      <c r="AL587" s="424">
        <f t="shared" si="1110"/>
        <v>0</v>
      </c>
      <c r="AM587" s="424">
        <f t="shared" si="1110"/>
        <v>0</v>
      </c>
      <c r="AN587" s="424">
        <f t="shared" si="1110"/>
        <v>0</v>
      </c>
      <c r="AO587" s="424">
        <f t="shared" si="1110"/>
        <v>0</v>
      </c>
      <c r="AP587" s="424">
        <f t="shared" ref="AP587:BU587" si="1111">AP217*AP$372</f>
        <v>0</v>
      </c>
      <c r="AQ587" s="424">
        <f t="shared" si="1111"/>
        <v>0</v>
      </c>
      <c r="AR587" s="424">
        <f t="shared" si="1111"/>
        <v>0</v>
      </c>
      <c r="AS587" s="424">
        <f t="shared" si="1111"/>
        <v>0</v>
      </c>
      <c r="AT587" s="424">
        <f t="shared" si="1111"/>
        <v>0</v>
      </c>
      <c r="AU587" s="424">
        <f t="shared" si="1111"/>
        <v>0</v>
      </c>
      <c r="AV587" s="424">
        <f t="shared" si="1111"/>
        <v>0</v>
      </c>
      <c r="AW587" s="424">
        <f t="shared" si="1111"/>
        <v>0</v>
      </c>
      <c r="AX587" s="424">
        <f t="shared" si="1111"/>
        <v>0</v>
      </c>
      <c r="AY587" s="424">
        <f t="shared" si="1111"/>
        <v>0</v>
      </c>
      <c r="AZ587" s="424">
        <f t="shared" si="1111"/>
        <v>0</v>
      </c>
      <c r="BA587" s="424">
        <f t="shared" si="1111"/>
        <v>0</v>
      </c>
      <c r="BB587" s="424">
        <f t="shared" si="1111"/>
        <v>0</v>
      </c>
      <c r="BC587" s="424">
        <f t="shared" si="1111"/>
        <v>0</v>
      </c>
      <c r="BD587" s="424">
        <f t="shared" si="1111"/>
        <v>0</v>
      </c>
      <c r="BE587" s="424">
        <f t="shared" si="1111"/>
        <v>0</v>
      </c>
      <c r="BF587" s="424">
        <f t="shared" si="1111"/>
        <v>0</v>
      </c>
      <c r="BG587" s="424">
        <f t="shared" si="1111"/>
        <v>0</v>
      </c>
      <c r="BH587" s="424">
        <f t="shared" si="1111"/>
        <v>0</v>
      </c>
      <c r="BI587" s="424">
        <f t="shared" si="1111"/>
        <v>0</v>
      </c>
      <c r="BJ587" s="424">
        <f t="shared" si="1111"/>
        <v>0</v>
      </c>
      <c r="BK587" s="424">
        <f t="shared" si="1111"/>
        <v>0</v>
      </c>
      <c r="BL587" s="424">
        <f t="shared" si="1111"/>
        <v>0</v>
      </c>
      <c r="BM587" s="424">
        <f t="shared" si="1111"/>
        <v>0</v>
      </c>
      <c r="BN587" s="424">
        <f t="shared" si="1111"/>
        <v>0</v>
      </c>
      <c r="BO587" s="424">
        <f t="shared" si="1111"/>
        <v>0</v>
      </c>
      <c r="BP587" s="424">
        <f t="shared" si="1111"/>
        <v>0</v>
      </c>
      <c r="BQ587" s="424">
        <f t="shared" si="1111"/>
        <v>0</v>
      </c>
      <c r="BR587" s="424">
        <f t="shared" si="1111"/>
        <v>0</v>
      </c>
      <c r="BS587" s="424">
        <f t="shared" si="1111"/>
        <v>0</v>
      </c>
      <c r="BT587" s="424">
        <f t="shared" si="1111"/>
        <v>0</v>
      </c>
      <c r="BU587" s="424">
        <f t="shared" si="1111"/>
        <v>0</v>
      </c>
      <c r="BV587" s="424">
        <f t="shared" ref="BV587:DA587" si="1112">BV217*BV$372</f>
        <v>0</v>
      </c>
      <c r="BW587" s="424">
        <f t="shared" si="1112"/>
        <v>0</v>
      </c>
      <c r="BX587" s="424">
        <f t="shared" si="1112"/>
        <v>0</v>
      </c>
      <c r="BY587" s="424">
        <f t="shared" si="1112"/>
        <v>0</v>
      </c>
      <c r="BZ587" s="424">
        <f t="shared" si="1112"/>
        <v>0</v>
      </c>
      <c r="CA587" s="424">
        <f t="shared" si="1112"/>
        <v>0</v>
      </c>
      <c r="CB587" s="424">
        <f t="shared" si="1112"/>
        <v>0</v>
      </c>
      <c r="CC587" s="424">
        <f t="shared" si="1112"/>
        <v>0</v>
      </c>
      <c r="CD587" s="424">
        <f t="shared" si="1112"/>
        <v>0</v>
      </c>
      <c r="CE587" s="424">
        <f t="shared" si="1112"/>
        <v>0</v>
      </c>
      <c r="CF587" s="424">
        <f t="shared" si="1112"/>
        <v>0.36</v>
      </c>
      <c r="CG587" s="424">
        <f t="shared" si="1112"/>
        <v>0</v>
      </c>
      <c r="CH587" s="424">
        <f t="shared" si="1112"/>
        <v>0</v>
      </c>
      <c r="CI587" s="424">
        <f t="shared" si="1112"/>
        <v>0</v>
      </c>
      <c r="CJ587" s="424">
        <f t="shared" si="1112"/>
        <v>0</v>
      </c>
      <c r="CK587" s="424">
        <f t="shared" si="1112"/>
        <v>0</v>
      </c>
      <c r="CL587" s="424">
        <f t="shared" si="1112"/>
        <v>0</v>
      </c>
      <c r="CM587" s="424">
        <f t="shared" si="1112"/>
        <v>0</v>
      </c>
      <c r="CN587" s="424">
        <f t="shared" si="1112"/>
        <v>0</v>
      </c>
      <c r="CO587" s="424">
        <f t="shared" si="1112"/>
        <v>0</v>
      </c>
      <c r="CP587" s="424">
        <f t="shared" si="1112"/>
        <v>0</v>
      </c>
      <c r="CQ587" s="424">
        <f t="shared" si="1112"/>
        <v>0</v>
      </c>
      <c r="CR587" s="424">
        <f t="shared" si="1112"/>
        <v>0</v>
      </c>
      <c r="CS587" s="424">
        <f t="shared" si="1112"/>
        <v>0</v>
      </c>
      <c r="CT587" s="424">
        <f t="shared" si="1112"/>
        <v>0</v>
      </c>
      <c r="CU587" s="424">
        <f t="shared" si="1112"/>
        <v>0</v>
      </c>
      <c r="CV587" s="424">
        <f t="shared" si="1112"/>
        <v>0</v>
      </c>
      <c r="CW587" s="424">
        <f t="shared" si="1112"/>
        <v>0</v>
      </c>
      <c r="CX587" s="424">
        <f t="shared" si="1112"/>
        <v>0</v>
      </c>
      <c r="CY587" s="424">
        <f t="shared" si="1112"/>
        <v>0</v>
      </c>
      <c r="CZ587" s="424">
        <f t="shared" si="1112"/>
        <v>0</v>
      </c>
      <c r="DA587" s="424">
        <f t="shared" si="1112"/>
        <v>0</v>
      </c>
      <c r="DB587" s="424">
        <f t="shared" ref="DB587:EG587" si="1113">DB217*DB$372</f>
        <v>0</v>
      </c>
      <c r="DC587" s="424">
        <f t="shared" si="1113"/>
        <v>7.0000000000000007E-2</v>
      </c>
      <c r="DD587" s="424">
        <f t="shared" si="1113"/>
        <v>0.59</v>
      </c>
      <c r="DE587" s="424">
        <f t="shared" si="1113"/>
        <v>0</v>
      </c>
      <c r="DF587" s="424">
        <f t="shared" si="1113"/>
        <v>0</v>
      </c>
      <c r="DG587" s="424">
        <f t="shared" si="1113"/>
        <v>0</v>
      </c>
      <c r="DH587" s="424">
        <f t="shared" si="1113"/>
        <v>0</v>
      </c>
      <c r="DI587" s="424">
        <f t="shared" si="1113"/>
        <v>0</v>
      </c>
      <c r="DJ587" s="424">
        <f t="shared" si="1113"/>
        <v>0</v>
      </c>
      <c r="DK587" s="424">
        <f t="shared" si="1113"/>
        <v>0</v>
      </c>
      <c r="DL587" s="424">
        <f t="shared" si="1113"/>
        <v>0</v>
      </c>
      <c r="DM587" s="424">
        <f t="shared" si="1113"/>
        <v>0</v>
      </c>
      <c r="DN587" s="424">
        <f t="shared" si="1113"/>
        <v>0</v>
      </c>
      <c r="DO587" s="424">
        <f t="shared" si="1113"/>
        <v>0</v>
      </c>
      <c r="DP587" s="424">
        <f t="shared" si="1113"/>
        <v>0</v>
      </c>
      <c r="DQ587" s="424">
        <f t="shared" si="1113"/>
        <v>0</v>
      </c>
      <c r="DR587" s="424">
        <f t="shared" si="1113"/>
        <v>0</v>
      </c>
      <c r="DS587" s="424">
        <f t="shared" si="1113"/>
        <v>0</v>
      </c>
      <c r="DT587" s="424">
        <f t="shared" si="1113"/>
        <v>0</v>
      </c>
      <c r="DU587" s="424">
        <f t="shared" si="1113"/>
        <v>0</v>
      </c>
      <c r="DV587" s="424">
        <f t="shared" si="1113"/>
        <v>0</v>
      </c>
      <c r="DW587" s="424">
        <f t="shared" si="1113"/>
        <v>0</v>
      </c>
      <c r="DX587" s="424">
        <f t="shared" si="1113"/>
        <v>0</v>
      </c>
      <c r="DY587" s="424">
        <f t="shared" si="1113"/>
        <v>0</v>
      </c>
      <c r="DZ587" s="424">
        <f t="shared" si="1113"/>
        <v>0</v>
      </c>
      <c r="EA587" s="424">
        <f t="shared" si="1113"/>
        <v>0</v>
      </c>
      <c r="EB587" s="424">
        <f t="shared" si="1113"/>
        <v>0</v>
      </c>
      <c r="EC587" s="424">
        <f t="shared" si="1113"/>
        <v>0</v>
      </c>
      <c r="ED587" s="424">
        <f t="shared" si="1113"/>
        <v>0</v>
      </c>
      <c r="EE587" s="424">
        <f t="shared" si="1113"/>
        <v>0</v>
      </c>
      <c r="EF587" s="424">
        <f t="shared" si="1113"/>
        <v>0</v>
      </c>
      <c r="EG587" s="424">
        <f t="shared" si="1113"/>
        <v>0</v>
      </c>
      <c r="EH587" s="424">
        <f t="shared" ref="EH587:EX587" si="1114">EH217*EH$372</f>
        <v>0</v>
      </c>
      <c r="EI587" s="424">
        <f t="shared" si="1114"/>
        <v>0</v>
      </c>
      <c r="EJ587" s="424">
        <f t="shared" si="1114"/>
        <v>0</v>
      </c>
      <c r="EK587" s="424">
        <f t="shared" si="1114"/>
        <v>0</v>
      </c>
      <c r="EL587" s="424">
        <f t="shared" si="1114"/>
        <v>0</v>
      </c>
      <c r="EM587" s="424">
        <f t="shared" si="1114"/>
        <v>0</v>
      </c>
      <c r="EN587" s="424">
        <f t="shared" si="1114"/>
        <v>0</v>
      </c>
      <c r="EO587" s="424">
        <f t="shared" si="1114"/>
        <v>0</v>
      </c>
      <c r="EP587" s="424">
        <f t="shared" si="1114"/>
        <v>0</v>
      </c>
      <c r="EQ587" s="424">
        <f t="shared" si="1114"/>
        <v>0</v>
      </c>
      <c r="ER587" s="424">
        <f t="shared" si="1114"/>
        <v>0</v>
      </c>
      <c r="ES587" s="424">
        <f t="shared" si="1114"/>
        <v>0</v>
      </c>
      <c r="ET587" s="424">
        <f t="shared" si="1114"/>
        <v>0</v>
      </c>
      <c r="EU587" s="424">
        <f t="shared" si="1114"/>
        <v>0</v>
      </c>
      <c r="EV587" s="424">
        <f t="shared" si="1114"/>
        <v>0.59</v>
      </c>
      <c r="EW587" s="424">
        <f t="shared" si="1114"/>
        <v>0</v>
      </c>
      <c r="EX587" s="424">
        <f t="shared" si="1114"/>
        <v>0</v>
      </c>
      <c r="EY587" s="425">
        <f t="shared" si="1064"/>
        <v>21.58</v>
      </c>
    </row>
    <row r="588" spans="1:166" s="699" customFormat="1" ht="16.2" customHeight="1" x14ac:dyDescent="0.25">
      <c r="A588" s="310">
        <v>214</v>
      </c>
      <c r="B588" s="311" t="str">
        <f t="shared" si="1005"/>
        <v>Котлеты рубленные из филе птицы с маслом</v>
      </c>
      <c r="C588" s="483">
        <f t="shared" si="1018"/>
        <v>35.46</v>
      </c>
      <c r="D588" s="888"/>
      <c r="E588" s="888"/>
      <c r="F588" s="888"/>
      <c r="G588" s="889"/>
      <c r="H588" s="680">
        <f t="shared" si="1006"/>
        <v>294</v>
      </c>
      <c r="I588" s="1209">
        <f t="shared" si="1007"/>
        <v>0</v>
      </c>
      <c r="J588" s="424">
        <f t="shared" ref="J588:AO588" si="1115">J218*J$372</f>
        <v>0</v>
      </c>
      <c r="K588" s="424">
        <f t="shared" si="1115"/>
        <v>0</v>
      </c>
      <c r="L588" s="424">
        <f t="shared" si="1115"/>
        <v>0</v>
      </c>
      <c r="M588" s="424">
        <f t="shared" si="1115"/>
        <v>27.2</v>
      </c>
      <c r="N588" s="424">
        <f t="shared" si="1115"/>
        <v>0</v>
      </c>
      <c r="O588" s="424">
        <f t="shared" si="1115"/>
        <v>0</v>
      </c>
      <c r="P588" s="424">
        <f t="shared" si="1115"/>
        <v>0.3</v>
      </c>
      <c r="Q588" s="424">
        <f t="shared" si="1115"/>
        <v>0</v>
      </c>
      <c r="R588" s="424">
        <f t="shared" si="1115"/>
        <v>0</v>
      </c>
      <c r="S588" s="424">
        <f t="shared" si="1115"/>
        <v>0</v>
      </c>
      <c r="T588" s="424">
        <f t="shared" si="1115"/>
        <v>0</v>
      </c>
      <c r="U588" s="424">
        <f t="shared" si="1115"/>
        <v>1.84</v>
      </c>
      <c r="V588" s="424">
        <f t="shared" si="1115"/>
        <v>3.55</v>
      </c>
      <c r="W588" s="424">
        <f t="shared" si="1115"/>
        <v>0</v>
      </c>
      <c r="X588" s="424">
        <f t="shared" si="1115"/>
        <v>0</v>
      </c>
      <c r="Y588" s="424">
        <f t="shared" si="1115"/>
        <v>0</v>
      </c>
      <c r="Z588" s="424">
        <f t="shared" si="1115"/>
        <v>0</v>
      </c>
      <c r="AA588" s="424">
        <f t="shared" si="1115"/>
        <v>0</v>
      </c>
      <c r="AB588" s="424">
        <f t="shared" si="1115"/>
        <v>0</v>
      </c>
      <c r="AC588" s="424">
        <f t="shared" si="1115"/>
        <v>0</v>
      </c>
      <c r="AD588" s="424">
        <f t="shared" si="1115"/>
        <v>0</v>
      </c>
      <c r="AE588" s="424">
        <f t="shared" si="1115"/>
        <v>0</v>
      </c>
      <c r="AF588" s="424">
        <f t="shared" si="1115"/>
        <v>0</v>
      </c>
      <c r="AG588" s="424">
        <f t="shared" si="1115"/>
        <v>0</v>
      </c>
      <c r="AH588" s="424">
        <f t="shared" si="1115"/>
        <v>0</v>
      </c>
      <c r="AI588" s="424">
        <f t="shared" si="1115"/>
        <v>0</v>
      </c>
      <c r="AJ588" s="424">
        <f t="shared" si="1115"/>
        <v>0</v>
      </c>
      <c r="AK588" s="424">
        <f t="shared" si="1115"/>
        <v>0</v>
      </c>
      <c r="AL588" s="424">
        <f t="shared" si="1115"/>
        <v>0</v>
      </c>
      <c r="AM588" s="424">
        <f t="shared" si="1115"/>
        <v>0</v>
      </c>
      <c r="AN588" s="424">
        <f t="shared" si="1115"/>
        <v>0</v>
      </c>
      <c r="AO588" s="424">
        <f t="shared" si="1115"/>
        <v>0</v>
      </c>
      <c r="AP588" s="424">
        <f t="shared" ref="AP588:BU588" si="1116">AP218*AP$372</f>
        <v>0</v>
      </c>
      <c r="AQ588" s="424">
        <f t="shared" si="1116"/>
        <v>0</v>
      </c>
      <c r="AR588" s="424">
        <f t="shared" si="1116"/>
        <v>0</v>
      </c>
      <c r="AS588" s="424">
        <f t="shared" si="1116"/>
        <v>0</v>
      </c>
      <c r="AT588" s="424">
        <f t="shared" si="1116"/>
        <v>0</v>
      </c>
      <c r="AU588" s="424">
        <f t="shared" si="1116"/>
        <v>0</v>
      </c>
      <c r="AV588" s="424">
        <f t="shared" si="1116"/>
        <v>0</v>
      </c>
      <c r="AW588" s="424">
        <f t="shared" si="1116"/>
        <v>0</v>
      </c>
      <c r="AX588" s="424">
        <f t="shared" si="1116"/>
        <v>0</v>
      </c>
      <c r="AY588" s="424">
        <f t="shared" si="1116"/>
        <v>0</v>
      </c>
      <c r="AZ588" s="424">
        <f t="shared" si="1116"/>
        <v>0</v>
      </c>
      <c r="BA588" s="424">
        <f t="shared" si="1116"/>
        <v>0</v>
      </c>
      <c r="BB588" s="424">
        <f t="shared" si="1116"/>
        <v>0</v>
      </c>
      <c r="BC588" s="424">
        <f t="shared" si="1116"/>
        <v>0</v>
      </c>
      <c r="BD588" s="424">
        <f t="shared" si="1116"/>
        <v>0</v>
      </c>
      <c r="BE588" s="424">
        <f t="shared" si="1116"/>
        <v>0</v>
      </c>
      <c r="BF588" s="424">
        <f t="shared" si="1116"/>
        <v>0</v>
      </c>
      <c r="BG588" s="424">
        <f t="shared" si="1116"/>
        <v>0</v>
      </c>
      <c r="BH588" s="424">
        <f t="shared" si="1116"/>
        <v>0</v>
      </c>
      <c r="BI588" s="424">
        <f t="shared" si="1116"/>
        <v>0</v>
      </c>
      <c r="BJ588" s="424">
        <f t="shared" si="1116"/>
        <v>0</v>
      </c>
      <c r="BK588" s="424">
        <f t="shared" si="1116"/>
        <v>0</v>
      </c>
      <c r="BL588" s="424">
        <f t="shared" si="1116"/>
        <v>0</v>
      </c>
      <c r="BM588" s="424">
        <f t="shared" si="1116"/>
        <v>0</v>
      </c>
      <c r="BN588" s="424">
        <f t="shared" si="1116"/>
        <v>0</v>
      </c>
      <c r="BO588" s="424">
        <f t="shared" si="1116"/>
        <v>0</v>
      </c>
      <c r="BP588" s="424">
        <f t="shared" si="1116"/>
        <v>0</v>
      </c>
      <c r="BQ588" s="424">
        <f t="shared" si="1116"/>
        <v>0</v>
      </c>
      <c r="BR588" s="424">
        <f t="shared" si="1116"/>
        <v>0</v>
      </c>
      <c r="BS588" s="424">
        <f t="shared" si="1116"/>
        <v>0</v>
      </c>
      <c r="BT588" s="424">
        <f t="shared" si="1116"/>
        <v>0</v>
      </c>
      <c r="BU588" s="424">
        <f t="shared" si="1116"/>
        <v>0</v>
      </c>
      <c r="BV588" s="424">
        <f t="shared" ref="BV588:DA588" si="1117">BV218*BV$372</f>
        <v>0</v>
      </c>
      <c r="BW588" s="424">
        <f t="shared" si="1117"/>
        <v>0</v>
      </c>
      <c r="BX588" s="424">
        <f t="shared" si="1117"/>
        <v>0</v>
      </c>
      <c r="BY588" s="424">
        <f t="shared" si="1117"/>
        <v>0</v>
      </c>
      <c r="BZ588" s="424">
        <f t="shared" si="1117"/>
        <v>0</v>
      </c>
      <c r="CA588" s="424">
        <f t="shared" si="1117"/>
        <v>0</v>
      </c>
      <c r="CB588" s="424">
        <f t="shared" si="1117"/>
        <v>0</v>
      </c>
      <c r="CC588" s="424">
        <f t="shared" si="1117"/>
        <v>0</v>
      </c>
      <c r="CD588" s="424">
        <f t="shared" si="1117"/>
        <v>0</v>
      </c>
      <c r="CE588" s="424">
        <f t="shared" si="1117"/>
        <v>0</v>
      </c>
      <c r="CF588" s="424">
        <f t="shared" si="1117"/>
        <v>0.6</v>
      </c>
      <c r="CG588" s="424">
        <f t="shared" si="1117"/>
        <v>0</v>
      </c>
      <c r="CH588" s="424">
        <f t="shared" si="1117"/>
        <v>0</v>
      </c>
      <c r="CI588" s="424">
        <f t="shared" si="1117"/>
        <v>0</v>
      </c>
      <c r="CJ588" s="424">
        <f t="shared" si="1117"/>
        <v>0</v>
      </c>
      <c r="CK588" s="424">
        <f t="shared" si="1117"/>
        <v>0</v>
      </c>
      <c r="CL588" s="424">
        <f t="shared" si="1117"/>
        <v>0</v>
      </c>
      <c r="CM588" s="424">
        <f t="shared" si="1117"/>
        <v>0</v>
      </c>
      <c r="CN588" s="424">
        <f t="shared" si="1117"/>
        <v>0</v>
      </c>
      <c r="CO588" s="424">
        <f t="shared" si="1117"/>
        <v>0</v>
      </c>
      <c r="CP588" s="424">
        <f t="shared" si="1117"/>
        <v>0</v>
      </c>
      <c r="CQ588" s="424">
        <f t="shared" si="1117"/>
        <v>0</v>
      </c>
      <c r="CR588" s="424">
        <f t="shared" si="1117"/>
        <v>0</v>
      </c>
      <c r="CS588" s="424">
        <f t="shared" si="1117"/>
        <v>0</v>
      </c>
      <c r="CT588" s="424">
        <f t="shared" si="1117"/>
        <v>0</v>
      </c>
      <c r="CU588" s="424">
        <f t="shared" si="1117"/>
        <v>0</v>
      </c>
      <c r="CV588" s="424">
        <f t="shared" si="1117"/>
        <v>0</v>
      </c>
      <c r="CW588" s="424">
        <f t="shared" si="1117"/>
        <v>0</v>
      </c>
      <c r="CX588" s="424">
        <f t="shared" si="1117"/>
        <v>0</v>
      </c>
      <c r="CY588" s="424">
        <f t="shared" si="1117"/>
        <v>0</v>
      </c>
      <c r="CZ588" s="424">
        <f t="shared" si="1117"/>
        <v>0</v>
      </c>
      <c r="DA588" s="424">
        <f t="shared" si="1117"/>
        <v>0</v>
      </c>
      <c r="DB588" s="424">
        <f t="shared" ref="DB588:EG588" si="1118">DB218*DB$372</f>
        <v>0</v>
      </c>
      <c r="DC588" s="424">
        <f t="shared" si="1118"/>
        <v>0.12</v>
      </c>
      <c r="DD588" s="424">
        <f t="shared" si="1118"/>
        <v>0.94</v>
      </c>
      <c r="DE588" s="424">
        <f t="shared" si="1118"/>
        <v>0</v>
      </c>
      <c r="DF588" s="424">
        <f t="shared" si="1118"/>
        <v>0</v>
      </c>
      <c r="DG588" s="424">
        <f t="shared" si="1118"/>
        <v>0</v>
      </c>
      <c r="DH588" s="424">
        <f t="shared" si="1118"/>
        <v>0</v>
      </c>
      <c r="DI588" s="424">
        <f t="shared" si="1118"/>
        <v>0</v>
      </c>
      <c r="DJ588" s="424">
        <f t="shared" si="1118"/>
        <v>0</v>
      </c>
      <c r="DK588" s="424">
        <f t="shared" si="1118"/>
        <v>0</v>
      </c>
      <c r="DL588" s="424">
        <f t="shared" si="1118"/>
        <v>0</v>
      </c>
      <c r="DM588" s="424">
        <f t="shared" si="1118"/>
        <v>0</v>
      </c>
      <c r="DN588" s="424">
        <f t="shared" si="1118"/>
        <v>0</v>
      </c>
      <c r="DO588" s="424">
        <f t="shared" si="1118"/>
        <v>0</v>
      </c>
      <c r="DP588" s="424">
        <f t="shared" si="1118"/>
        <v>0</v>
      </c>
      <c r="DQ588" s="424">
        <f t="shared" si="1118"/>
        <v>0</v>
      </c>
      <c r="DR588" s="424">
        <f t="shared" si="1118"/>
        <v>0</v>
      </c>
      <c r="DS588" s="424">
        <f t="shared" si="1118"/>
        <v>0</v>
      </c>
      <c r="DT588" s="424">
        <f t="shared" si="1118"/>
        <v>0</v>
      </c>
      <c r="DU588" s="424">
        <f t="shared" si="1118"/>
        <v>0</v>
      </c>
      <c r="DV588" s="424">
        <f t="shared" si="1118"/>
        <v>0</v>
      </c>
      <c r="DW588" s="424">
        <f t="shared" si="1118"/>
        <v>0</v>
      </c>
      <c r="DX588" s="424">
        <f t="shared" si="1118"/>
        <v>0</v>
      </c>
      <c r="DY588" s="424">
        <f t="shared" si="1118"/>
        <v>0</v>
      </c>
      <c r="DZ588" s="424">
        <f t="shared" si="1118"/>
        <v>0</v>
      </c>
      <c r="EA588" s="424">
        <f t="shared" si="1118"/>
        <v>0</v>
      </c>
      <c r="EB588" s="424">
        <f t="shared" si="1118"/>
        <v>0</v>
      </c>
      <c r="EC588" s="424">
        <f t="shared" si="1118"/>
        <v>0</v>
      </c>
      <c r="ED588" s="424">
        <f t="shared" si="1118"/>
        <v>0</v>
      </c>
      <c r="EE588" s="424">
        <f t="shared" si="1118"/>
        <v>0</v>
      </c>
      <c r="EF588" s="424">
        <f t="shared" si="1118"/>
        <v>0</v>
      </c>
      <c r="EG588" s="424">
        <f t="shared" si="1118"/>
        <v>0</v>
      </c>
      <c r="EH588" s="424">
        <f t="shared" ref="EH588:EX588" si="1119">EH218*EH$372</f>
        <v>0</v>
      </c>
      <c r="EI588" s="424">
        <f t="shared" si="1119"/>
        <v>0</v>
      </c>
      <c r="EJ588" s="424">
        <f t="shared" si="1119"/>
        <v>0</v>
      </c>
      <c r="EK588" s="424">
        <f t="shared" si="1119"/>
        <v>0</v>
      </c>
      <c r="EL588" s="424">
        <f t="shared" si="1119"/>
        <v>0</v>
      </c>
      <c r="EM588" s="424">
        <f t="shared" si="1119"/>
        <v>0</v>
      </c>
      <c r="EN588" s="424">
        <f t="shared" si="1119"/>
        <v>0</v>
      </c>
      <c r="EO588" s="424">
        <f t="shared" si="1119"/>
        <v>0</v>
      </c>
      <c r="EP588" s="424">
        <f t="shared" si="1119"/>
        <v>0</v>
      </c>
      <c r="EQ588" s="424">
        <f t="shared" si="1119"/>
        <v>0</v>
      </c>
      <c r="ER588" s="424">
        <f t="shared" si="1119"/>
        <v>0</v>
      </c>
      <c r="ES588" s="424">
        <f t="shared" si="1119"/>
        <v>0</v>
      </c>
      <c r="ET588" s="424">
        <f t="shared" si="1119"/>
        <v>0</v>
      </c>
      <c r="EU588" s="424">
        <f t="shared" si="1119"/>
        <v>0</v>
      </c>
      <c r="EV588" s="424">
        <f t="shared" si="1119"/>
        <v>0.91</v>
      </c>
      <c r="EW588" s="424">
        <f t="shared" si="1119"/>
        <v>0</v>
      </c>
      <c r="EX588" s="424">
        <f t="shared" si="1119"/>
        <v>0</v>
      </c>
      <c r="EY588" s="425">
        <f t="shared" si="1064"/>
        <v>35.46</v>
      </c>
      <c r="EZ588" s="616"/>
      <c r="FA588" s="616"/>
      <c r="FB588" s="616"/>
      <c r="FC588" s="616"/>
      <c r="FD588" s="616"/>
      <c r="FE588" s="616"/>
      <c r="FF588" s="616"/>
      <c r="FG588" s="616"/>
      <c r="FH588" s="616"/>
      <c r="FI588" s="616"/>
      <c r="FJ588" s="616"/>
    </row>
    <row r="589" spans="1:166" s="851" customFormat="1" ht="26.4" x14ac:dyDescent="0.25">
      <c r="A589" s="310">
        <v>215</v>
      </c>
      <c r="B589" s="311" t="str">
        <f t="shared" si="1005"/>
        <v>Котлеты рубленные из филе птицы со сметанным соусом с томатом и луком</v>
      </c>
      <c r="C589" s="483">
        <f t="shared" si="1018"/>
        <v>35.049999999999997</v>
      </c>
      <c r="D589" s="888"/>
      <c r="E589" s="888"/>
      <c r="F589" s="888"/>
      <c r="G589" s="889"/>
      <c r="H589" s="680">
        <f t="shared" si="1006"/>
        <v>294</v>
      </c>
      <c r="I589" s="1209">
        <f t="shared" si="1007"/>
        <v>-0.01</v>
      </c>
      <c r="J589" s="424">
        <f t="shared" ref="J589:AO589" si="1120">J219*J$372</f>
        <v>0</v>
      </c>
      <c r="K589" s="424">
        <f t="shared" si="1120"/>
        <v>0</v>
      </c>
      <c r="L589" s="424">
        <f t="shared" si="1120"/>
        <v>0</v>
      </c>
      <c r="M589" s="424">
        <f t="shared" si="1120"/>
        <v>27.2</v>
      </c>
      <c r="N589" s="424">
        <f t="shared" si="1120"/>
        <v>0</v>
      </c>
      <c r="O589" s="424">
        <f t="shared" si="1120"/>
        <v>0</v>
      </c>
      <c r="P589" s="424">
        <f t="shared" si="1120"/>
        <v>0.3</v>
      </c>
      <c r="Q589" s="424">
        <f t="shared" si="1120"/>
        <v>0</v>
      </c>
      <c r="R589" s="424">
        <f t="shared" si="1120"/>
        <v>0</v>
      </c>
      <c r="S589" s="424">
        <f t="shared" si="1120"/>
        <v>0</v>
      </c>
      <c r="T589" s="424">
        <f t="shared" si="1120"/>
        <v>0</v>
      </c>
      <c r="U589" s="424">
        <f t="shared" si="1120"/>
        <v>1.84</v>
      </c>
      <c r="V589" s="424">
        <f t="shared" si="1120"/>
        <v>0.43</v>
      </c>
      <c r="W589" s="424">
        <f t="shared" si="1120"/>
        <v>0</v>
      </c>
      <c r="X589" s="424">
        <f t="shared" si="1120"/>
        <v>0</v>
      </c>
      <c r="Y589" s="424">
        <f t="shared" si="1120"/>
        <v>1.58</v>
      </c>
      <c r="Z589" s="424">
        <f t="shared" si="1120"/>
        <v>0</v>
      </c>
      <c r="AA589" s="424">
        <f t="shared" si="1120"/>
        <v>0</v>
      </c>
      <c r="AB589" s="424">
        <f t="shared" si="1120"/>
        <v>0</v>
      </c>
      <c r="AC589" s="424">
        <f t="shared" si="1120"/>
        <v>0</v>
      </c>
      <c r="AD589" s="424">
        <f t="shared" si="1120"/>
        <v>0</v>
      </c>
      <c r="AE589" s="424">
        <f t="shared" si="1120"/>
        <v>0</v>
      </c>
      <c r="AF589" s="424">
        <f t="shared" si="1120"/>
        <v>0</v>
      </c>
      <c r="AG589" s="424">
        <f t="shared" si="1120"/>
        <v>0</v>
      </c>
      <c r="AH589" s="424">
        <f t="shared" si="1120"/>
        <v>0</v>
      </c>
      <c r="AI589" s="424">
        <f t="shared" si="1120"/>
        <v>0</v>
      </c>
      <c r="AJ589" s="424">
        <f t="shared" si="1120"/>
        <v>0</v>
      </c>
      <c r="AK589" s="424">
        <f t="shared" si="1120"/>
        <v>0.36</v>
      </c>
      <c r="AL589" s="424">
        <f t="shared" si="1120"/>
        <v>0</v>
      </c>
      <c r="AM589" s="424">
        <f t="shared" si="1120"/>
        <v>0</v>
      </c>
      <c r="AN589" s="424">
        <f t="shared" si="1120"/>
        <v>0</v>
      </c>
      <c r="AO589" s="424">
        <f t="shared" si="1120"/>
        <v>0</v>
      </c>
      <c r="AP589" s="424">
        <f t="shared" ref="AP589:BU589" si="1121">AP219*AP$372</f>
        <v>0</v>
      </c>
      <c r="AQ589" s="424">
        <f t="shared" si="1121"/>
        <v>0</v>
      </c>
      <c r="AR589" s="424">
        <f t="shared" si="1121"/>
        <v>0</v>
      </c>
      <c r="AS589" s="424">
        <f t="shared" si="1121"/>
        <v>0</v>
      </c>
      <c r="AT589" s="424">
        <f t="shared" si="1121"/>
        <v>0</v>
      </c>
      <c r="AU589" s="424">
        <f t="shared" si="1121"/>
        <v>0</v>
      </c>
      <c r="AV589" s="424">
        <f t="shared" si="1121"/>
        <v>0</v>
      </c>
      <c r="AW589" s="424">
        <f t="shared" si="1121"/>
        <v>0</v>
      </c>
      <c r="AX589" s="424">
        <f t="shared" si="1121"/>
        <v>0</v>
      </c>
      <c r="AY589" s="424">
        <f t="shared" si="1121"/>
        <v>0</v>
      </c>
      <c r="AZ589" s="424">
        <f t="shared" si="1121"/>
        <v>0</v>
      </c>
      <c r="BA589" s="424">
        <f t="shared" si="1121"/>
        <v>0</v>
      </c>
      <c r="BB589" s="424">
        <f t="shared" si="1121"/>
        <v>0</v>
      </c>
      <c r="BC589" s="424">
        <f t="shared" si="1121"/>
        <v>0</v>
      </c>
      <c r="BD589" s="424">
        <f t="shared" si="1121"/>
        <v>0</v>
      </c>
      <c r="BE589" s="424">
        <f t="shared" si="1121"/>
        <v>0</v>
      </c>
      <c r="BF589" s="424">
        <f t="shared" si="1121"/>
        <v>0</v>
      </c>
      <c r="BG589" s="424">
        <f t="shared" si="1121"/>
        <v>0</v>
      </c>
      <c r="BH589" s="424">
        <f t="shared" si="1121"/>
        <v>0</v>
      </c>
      <c r="BI589" s="424">
        <f t="shared" si="1121"/>
        <v>0</v>
      </c>
      <c r="BJ589" s="424">
        <f t="shared" si="1121"/>
        <v>0</v>
      </c>
      <c r="BK589" s="424">
        <f t="shared" si="1121"/>
        <v>0</v>
      </c>
      <c r="BL589" s="424">
        <f t="shared" si="1121"/>
        <v>0</v>
      </c>
      <c r="BM589" s="424">
        <f t="shared" si="1121"/>
        <v>0</v>
      </c>
      <c r="BN589" s="424">
        <f t="shared" si="1121"/>
        <v>0</v>
      </c>
      <c r="BO589" s="424">
        <f t="shared" si="1121"/>
        <v>0</v>
      </c>
      <c r="BP589" s="424">
        <f t="shared" si="1121"/>
        <v>0</v>
      </c>
      <c r="BQ589" s="424">
        <f t="shared" si="1121"/>
        <v>0</v>
      </c>
      <c r="BR589" s="424">
        <f t="shared" si="1121"/>
        <v>0</v>
      </c>
      <c r="BS589" s="424">
        <f t="shared" si="1121"/>
        <v>7.0000000000000007E-2</v>
      </c>
      <c r="BT589" s="424">
        <f t="shared" si="1121"/>
        <v>0</v>
      </c>
      <c r="BU589" s="424">
        <f t="shared" si="1121"/>
        <v>0</v>
      </c>
      <c r="BV589" s="424">
        <f t="shared" ref="BV589:DA589" si="1122">BV219*BV$372</f>
        <v>0</v>
      </c>
      <c r="BW589" s="424">
        <f t="shared" si="1122"/>
        <v>0</v>
      </c>
      <c r="BX589" s="424">
        <f t="shared" si="1122"/>
        <v>0</v>
      </c>
      <c r="BY589" s="424">
        <f t="shared" si="1122"/>
        <v>0</v>
      </c>
      <c r="BZ589" s="424">
        <f t="shared" si="1122"/>
        <v>0</v>
      </c>
      <c r="CA589" s="424">
        <f t="shared" si="1122"/>
        <v>0</v>
      </c>
      <c r="CB589" s="424">
        <f t="shared" si="1122"/>
        <v>0</v>
      </c>
      <c r="CC589" s="424">
        <f t="shared" si="1122"/>
        <v>0</v>
      </c>
      <c r="CD589" s="424">
        <f t="shared" si="1122"/>
        <v>0</v>
      </c>
      <c r="CE589" s="424">
        <f t="shared" si="1122"/>
        <v>0</v>
      </c>
      <c r="CF589" s="424">
        <f t="shared" si="1122"/>
        <v>0.6</v>
      </c>
      <c r="CG589" s="424">
        <f t="shared" si="1122"/>
        <v>0</v>
      </c>
      <c r="CH589" s="424">
        <f t="shared" si="1122"/>
        <v>0</v>
      </c>
      <c r="CI589" s="424">
        <f t="shared" si="1122"/>
        <v>0</v>
      </c>
      <c r="CJ589" s="424">
        <f t="shared" si="1122"/>
        <v>0</v>
      </c>
      <c r="CK589" s="424">
        <f t="shared" si="1122"/>
        <v>0</v>
      </c>
      <c r="CL589" s="424">
        <f t="shared" si="1122"/>
        <v>0</v>
      </c>
      <c r="CM589" s="424">
        <f t="shared" si="1122"/>
        <v>0</v>
      </c>
      <c r="CN589" s="424">
        <f t="shared" si="1122"/>
        <v>0</v>
      </c>
      <c r="CO589" s="424">
        <f t="shared" si="1122"/>
        <v>0</v>
      </c>
      <c r="CP589" s="424">
        <f t="shared" si="1122"/>
        <v>0</v>
      </c>
      <c r="CQ589" s="424">
        <f t="shared" si="1122"/>
        <v>0</v>
      </c>
      <c r="CR589" s="424">
        <f t="shared" si="1122"/>
        <v>0</v>
      </c>
      <c r="CS589" s="424">
        <f t="shared" si="1122"/>
        <v>0</v>
      </c>
      <c r="CT589" s="424">
        <f t="shared" si="1122"/>
        <v>0</v>
      </c>
      <c r="CU589" s="424">
        <f t="shared" si="1122"/>
        <v>0</v>
      </c>
      <c r="CV589" s="424">
        <f t="shared" si="1122"/>
        <v>0</v>
      </c>
      <c r="CW589" s="424">
        <f t="shared" si="1122"/>
        <v>0</v>
      </c>
      <c r="CX589" s="424">
        <f t="shared" si="1122"/>
        <v>0</v>
      </c>
      <c r="CY589" s="424">
        <f t="shared" si="1122"/>
        <v>0</v>
      </c>
      <c r="CZ589" s="424">
        <f t="shared" si="1122"/>
        <v>0</v>
      </c>
      <c r="DA589" s="424">
        <f t="shared" si="1122"/>
        <v>0</v>
      </c>
      <c r="DB589" s="424">
        <f t="shared" ref="DB589:EG589" si="1123">DB219*DB$372</f>
        <v>0</v>
      </c>
      <c r="DC589" s="424">
        <f t="shared" si="1123"/>
        <v>0.13</v>
      </c>
      <c r="DD589" s="424">
        <f t="shared" si="1123"/>
        <v>0.94</v>
      </c>
      <c r="DE589" s="424">
        <f t="shared" si="1123"/>
        <v>0</v>
      </c>
      <c r="DF589" s="424">
        <f t="shared" si="1123"/>
        <v>0.69</v>
      </c>
      <c r="DG589" s="424">
        <f t="shared" si="1123"/>
        <v>0</v>
      </c>
      <c r="DH589" s="424">
        <f t="shared" si="1123"/>
        <v>0</v>
      </c>
      <c r="DI589" s="424">
        <f t="shared" si="1123"/>
        <v>0</v>
      </c>
      <c r="DJ589" s="424">
        <f t="shared" si="1123"/>
        <v>0</v>
      </c>
      <c r="DK589" s="424">
        <f t="shared" si="1123"/>
        <v>0</v>
      </c>
      <c r="DL589" s="424">
        <f t="shared" si="1123"/>
        <v>0</v>
      </c>
      <c r="DM589" s="424">
        <f t="shared" si="1123"/>
        <v>0</v>
      </c>
      <c r="DN589" s="424">
        <f t="shared" si="1123"/>
        <v>0</v>
      </c>
      <c r="DO589" s="424">
        <f t="shared" si="1123"/>
        <v>0</v>
      </c>
      <c r="DP589" s="424">
        <f t="shared" si="1123"/>
        <v>0</v>
      </c>
      <c r="DQ589" s="424">
        <f t="shared" si="1123"/>
        <v>0</v>
      </c>
      <c r="DR589" s="424">
        <f t="shared" si="1123"/>
        <v>0</v>
      </c>
      <c r="DS589" s="424">
        <f t="shared" si="1123"/>
        <v>0</v>
      </c>
      <c r="DT589" s="424">
        <f t="shared" si="1123"/>
        <v>0</v>
      </c>
      <c r="DU589" s="424">
        <f t="shared" si="1123"/>
        <v>0</v>
      </c>
      <c r="DV589" s="424">
        <f t="shared" si="1123"/>
        <v>0</v>
      </c>
      <c r="DW589" s="424">
        <f t="shared" si="1123"/>
        <v>0</v>
      </c>
      <c r="DX589" s="424">
        <f t="shared" si="1123"/>
        <v>0</v>
      </c>
      <c r="DY589" s="424">
        <f t="shared" si="1123"/>
        <v>0</v>
      </c>
      <c r="DZ589" s="424">
        <f t="shared" si="1123"/>
        <v>0</v>
      </c>
      <c r="EA589" s="424">
        <f t="shared" si="1123"/>
        <v>0</v>
      </c>
      <c r="EB589" s="424">
        <f t="shared" si="1123"/>
        <v>0</v>
      </c>
      <c r="EC589" s="424">
        <f t="shared" si="1123"/>
        <v>0</v>
      </c>
      <c r="ED589" s="424">
        <f t="shared" si="1123"/>
        <v>0</v>
      </c>
      <c r="EE589" s="424">
        <f t="shared" si="1123"/>
        <v>0</v>
      </c>
      <c r="EF589" s="424">
        <f t="shared" si="1123"/>
        <v>0</v>
      </c>
      <c r="EG589" s="424">
        <f t="shared" si="1123"/>
        <v>0</v>
      </c>
      <c r="EH589" s="424">
        <f t="shared" ref="EH589:EX589" si="1124">EH219*EH$372</f>
        <v>0</v>
      </c>
      <c r="EI589" s="424">
        <f t="shared" si="1124"/>
        <v>0</v>
      </c>
      <c r="EJ589" s="424">
        <f t="shared" si="1124"/>
        <v>0</v>
      </c>
      <c r="EK589" s="424">
        <f t="shared" si="1124"/>
        <v>0</v>
      </c>
      <c r="EL589" s="424">
        <f t="shared" si="1124"/>
        <v>0</v>
      </c>
      <c r="EM589" s="424">
        <f t="shared" si="1124"/>
        <v>0</v>
      </c>
      <c r="EN589" s="424">
        <f t="shared" si="1124"/>
        <v>0</v>
      </c>
      <c r="EO589" s="424">
        <f t="shared" si="1124"/>
        <v>0</v>
      </c>
      <c r="EP589" s="424">
        <f t="shared" si="1124"/>
        <v>0</v>
      </c>
      <c r="EQ589" s="424">
        <f t="shared" si="1124"/>
        <v>0</v>
      </c>
      <c r="ER589" s="424">
        <f t="shared" si="1124"/>
        <v>0</v>
      </c>
      <c r="ES589" s="424">
        <f t="shared" si="1124"/>
        <v>0</v>
      </c>
      <c r="ET589" s="424">
        <f t="shared" si="1124"/>
        <v>0</v>
      </c>
      <c r="EU589" s="424">
        <f t="shared" si="1124"/>
        <v>0</v>
      </c>
      <c r="EV589" s="424">
        <f t="shared" si="1124"/>
        <v>0.91</v>
      </c>
      <c r="EW589" s="424">
        <f t="shared" si="1124"/>
        <v>0</v>
      </c>
      <c r="EX589" s="424">
        <f t="shared" si="1124"/>
        <v>0</v>
      </c>
      <c r="EY589" s="425">
        <f t="shared" si="1064"/>
        <v>35.049999999999997</v>
      </c>
      <c r="EZ589" s="616"/>
      <c r="FA589" s="616"/>
      <c r="FB589" s="616"/>
      <c r="FC589" s="616"/>
      <c r="FD589" s="616"/>
      <c r="FE589" s="616"/>
      <c r="FF589" s="616"/>
      <c r="FG589" s="616"/>
      <c r="FH589" s="616"/>
      <c r="FI589" s="616"/>
      <c r="FJ589" s="616"/>
    </row>
    <row r="590" spans="1:166" s="467" customFormat="1" x14ac:dyDescent="0.25">
      <c r="A590" s="310">
        <v>216</v>
      </c>
      <c r="B590" s="311" t="str">
        <f t="shared" si="1005"/>
        <v>Котлеты рубленные из кур, запеченные с соусом молочным</v>
      </c>
      <c r="C590" s="483">
        <f t="shared" si="1018"/>
        <v>29.36</v>
      </c>
      <c r="D590" s="888"/>
      <c r="E590" s="888"/>
      <c r="F590" s="888"/>
      <c r="G590" s="889"/>
      <c r="H590" s="680">
        <f t="shared" si="1006"/>
        <v>296</v>
      </c>
      <c r="I590" s="1209">
        <f t="shared" si="1007"/>
        <v>0.01</v>
      </c>
      <c r="J590" s="424">
        <f t="shared" ref="J590:AO590" si="1125">J220*J$372</f>
        <v>0</v>
      </c>
      <c r="K590" s="424">
        <f t="shared" si="1125"/>
        <v>0</v>
      </c>
      <c r="L590" s="424">
        <f t="shared" si="1125"/>
        <v>15.02</v>
      </c>
      <c r="M590" s="424">
        <f t="shared" si="1125"/>
        <v>0</v>
      </c>
      <c r="N590" s="424">
        <f t="shared" si="1125"/>
        <v>0</v>
      </c>
      <c r="O590" s="424">
        <f t="shared" si="1125"/>
        <v>0</v>
      </c>
      <c r="P590" s="424">
        <f t="shared" si="1125"/>
        <v>0.2</v>
      </c>
      <c r="Q590" s="424">
        <f t="shared" si="1125"/>
        <v>0</v>
      </c>
      <c r="R590" s="424">
        <f t="shared" si="1125"/>
        <v>0</v>
      </c>
      <c r="S590" s="424">
        <f t="shared" si="1125"/>
        <v>0</v>
      </c>
      <c r="T590" s="424">
        <f t="shared" si="1125"/>
        <v>0</v>
      </c>
      <c r="U590" s="424">
        <f t="shared" si="1125"/>
        <v>2.06</v>
      </c>
      <c r="V590" s="424">
        <f t="shared" si="1125"/>
        <v>6.28</v>
      </c>
      <c r="W590" s="424">
        <f t="shared" si="1125"/>
        <v>2.37</v>
      </c>
      <c r="X590" s="424">
        <f t="shared" si="1125"/>
        <v>0</v>
      </c>
      <c r="Y590" s="424">
        <f t="shared" si="1125"/>
        <v>1.61</v>
      </c>
      <c r="Z590" s="424">
        <f t="shared" si="1125"/>
        <v>0</v>
      </c>
      <c r="AA590" s="424">
        <f t="shared" si="1125"/>
        <v>0</v>
      </c>
      <c r="AB590" s="424">
        <f t="shared" si="1125"/>
        <v>0</v>
      </c>
      <c r="AC590" s="424">
        <f t="shared" si="1125"/>
        <v>0</v>
      </c>
      <c r="AD590" s="424">
        <f t="shared" si="1125"/>
        <v>0</v>
      </c>
      <c r="AE590" s="424">
        <f t="shared" si="1125"/>
        <v>0</v>
      </c>
      <c r="AF590" s="424">
        <f t="shared" si="1125"/>
        <v>0</v>
      </c>
      <c r="AG590" s="424">
        <f t="shared" si="1125"/>
        <v>0</v>
      </c>
      <c r="AH590" s="424">
        <f t="shared" si="1125"/>
        <v>0</v>
      </c>
      <c r="AI590" s="424">
        <f t="shared" si="1125"/>
        <v>0</v>
      </c>
      <c r="AJ590" s="424">
        <f t="shared" si="1125"/>
        <v>0</v>
      </c>
      <c r="AK590" s="424">
        <f t="shared" si="1125"/>
        <v>0.36</v>
      </c>
      <c r="AL590" s="424">
        <f t="shared" si="1125"/>
        <v>0</v>
      </c>
      <c r="AM590" s="424">
        <f t="shared" si="1125"/>
        <v>0</v>
      </c>
      <c r="AN590" s="424">
        <f t="shared" si="1125"/>
        <v>0</v>
      </c>
      <c r="AO590" s="424">
        <f t="shared" si="1125"/>
        <v>0</v>
      </c>
      <c r="AP590" s="424">
        <f t="shared" ref="AP590:BU590" si="1126">AP220*AP$372</f>
        <v>0</v>
      </c>
      <c r="AQ590" s="424">
        <f t="shared" si="1126"/>
        <v>0</v>
      </c>
      <c r="AR590" s="424">
        <f t="shared" si="1126"/>
        <v>0</v>
      </c>
      <c r="AS590" s="424">
        <f t="shared" si="1126"/>
        <v>0</v>
      </c>
      <c r="AT590" s="424">
        <f t="shared" si="1126"/>
        <v>0</v>
      </c>
      <c r="AU590" s="424">
        <f t="shared" si="1126"/>
        <v>0.6</v>
      </c>
      <c r="AV590" s="424">
        <f t="shared" si="1126"/>
        <v>0</v>
      </c>
      <c r="AW590" s="424">
        <f t="shared" si="1126"/>
        <v>0</v>
      </c>
      <c r="AX590" s="424">
        <f t="shared" si="1126"/>
        <v>0</v>
      </c>
      <c r="AY590" s="424">
        <f t="shared" si="1126"/>
        <v>0</v>
      </c>
      <c r="AZ590" s="424">
        <f t="shared" si="1126"/>
        <v>0</v>
      </c>
      <c r="BA590" s="424">
        <f t="shared" si="1126"/>
        <v>0</v>
      </c>
      <c r="BB590" s="424">
        <f t="shared" si="1126"/>
        <v>0</v>
      </c>
      <c r="BC590" s="424">
        <f t="shared" si="1126"/>
        <v>0</v>
      </c>
      <c r="BD590" s="424">
        <f t="shared" si="1126"/>
        <v>0</v>
      </c>
      <c r="BE590" s="424">
        <f t="shared" si="1126"/>
        <v>0</v>
      </c>
      <c r="BF590" s="424">
        <f t="shared" si="1126"/>
        <v>0</v>
      </c>
      <c r="BG590" s="424">
        <f t="shared" si="1126"/>
        <v>0</v>
      </c>
      <c r="BH590" s="424">
        <f t="shared" si="1126"/>
        <v>0</v>
      </c>
      <c r="BI590" s="424">
        <f t="shared" si="1126"/>
        <v>0</v>
      </c>
      <c r="BJ590" s="424">
        <f t="shared" si="1126"/>
        <v>0</v>
      </c>
      <c r="BK590" s="424">
        <f t="shared" si="1126"/>
        <v>0</v>
      </c>
      <c r="BL590" s="424">
        <f t="shared" si="1126"/>
        <v>0</v>
      </c>
      <c r="BM590" s="424">
        <f t="shared" si="1126"/>
        <v>0</v>
      </c>
      <c r="BN590" s="424">
        <f t="shared" si="1126"/>
        <v>0</v>
      </c>
      <c r="BO590" s="424">
        <f t="shared" si="1126"/>
        <v>0</v>
      </c>
      <c r="BP590" s="424">
        <f t="shared" si="1126"/>
        <v>0</v>
      </c>
      <c r="BQ590" s="424">
        <f t="shared" si="1126"/>
        <v>0</v>
      </c>
      <c r="BR590" s="424">
        <f t="shared" si="1126"/>
        <v>0</v>
      </c>
      <c r="BS590" s="424">
        <f t="shared" si="1126"/>
        <v>0.19</v>
      </c>
      <c r="BT590" s="424">
        <f t="shared" si="1126"/>
        <v>0</v>
      </c>
      <c r="BU590" s="424">
        <f t="shared" si="1126"/>
        <v>0</v>
      </c>
      <c r="BV590" s="424">
        <f t="shared" ref="BV590:DA590" si="1127">BV220*BV$372</f>
        <v>0</v>
      </c>
      <c r="BW590" s="424">
        <f t="shared" si="1127"/>
        <v>0</v>
      </c>
      <c r="BX590" s="424">
        <f t="shared" si="1127"/>
        <v>0</v>
      </c>
      <c r="BY590" s="424">
        <f t="shared" si="1127"/>
        <v>0</v>
      </c>
      <c r="BZ590" s="424">
        <f t="shared" si="1127"/>
        <v>0</v>
      </c>
      <c r="CA590" s="424">
        <f t="shared" si="1127"/>
        <v>0</v>
      </c>
      <c r="CB590" s="424">
        <f t="shared" si="1127"/>
        <v>0</v>
      </c>
      <c r="CC590" s="424">
        <f t="shared" si="1127"/>
        <v>0</v>
      </c>
      <c r="CD590" s="424">
        <f t="shared" si="1127"/>
        <v>0</v>
      </c>
      <c r="CE590" s="424">
        <f t="shared" si="1127"/>
        <v>0</v>
      </c>
      <c r="CF590" s="424">
        <f t="shared" si="1127"/>
        <v>0</v>
      </c>
      <c r="CG590" s="424">
        <f t="shared" si="1127"/>
        <v>0</v>
      </c>
      <c r="CH590" s="424">
        <f t="shared" si="1127"/>
        <v>0</v>
      </c>
      <c r="CI590" s="424">
        <f t="shared" si="1127"/>
        <v>0</v>
      </c>
      <c r="CJ590" s="424">
        <f t="shared" si="1127"/>
        <v>0</v>
      </c>
      <c r="CK590" s="424">
        <f t="shared" si="1127"/>
        <v>0</v>
      </c>
      <c r="CL590" s="424">
        <f t="shared" si="1127"/>
        <v>0</v>
      </c>
      <c r="CM590" s="424">
        <f t="shared" si="1127"/>
        <v>0</v>
      </c>
      <c r="CN590" s="424">
        <f t="shared" si="1127"/>
        <v>0</v>
      </c>
      <c r="CO590" s="424">
        <f t="shared" si="1127"/>
        <v>0</v>
      </c>
      <c r="CP590" s="424">
        <f t="shared" si="1127"/>
        <v>0</v>
      </c>
      <c r="CQ590" s="424">
        <f t="shared" si="1127"/>
        <v>0</v>
      </c>
      <c r="CR590" s="424">
        <f t="shared" si="1127"/>
        <v>0</v>
      </c>
      <c r="CS590" s="424">
        <f t="shared" si="1127"/>
        <v>0</v>
      </c>
      <c r="CT590" s="424">
        <f t="shared" si="1127"/>
        <v>0</v>
      </c>
      <c r="CU590" s="424">
        <f t="shared" si="1127"/>
        <v>0</v>
      </c>
      <c r="CV590" s="424">
        <f t="shared" si="1127"/>
        <v>0</v>
      </c>
      <c r="CW590" s="424">
        <f t="shared" si="1127"/>
        <v>0</v>
      </c>
      <c r="CX590" s="424">
        <f t="shared" si="1127"/>
        <v>0</v>
      </c>
      <c r="CY590" s="424">
        <f t="shared" si="1127"/>
        <v>0</v>
      </c>
      <c r="CZ590" s="424">
        <f t="shared" si="1127"/>
        <v>0</v>
      </c>
      <c r="DA590" s="424">
        <f t="shared" si="1127"/>
        <v>0</v>
      </c>
      <c r="DB590" s="424">
        <f t="shared" ref="DB590:EG590" si="1128">DB220*DB$372</f>
        <v>0</v>
      </c>
      <c r="DC590" s="424">
        <f t="shared" si="1128"/>
        <v>0.08</v>
      </c>
      <c r="DD590" s="424">
        <f t="shared" si="1128"/>
        <v>0</v>
      </c>
      <c r="DE590" s="424">
        <f t="shared" si="1128"/>
        <v>0</v>
      </c>
      <c r="DF590" s="424">
        <f t="shared" si="1128"/>
        <v>0</v>
      </c>
      <c r="DG590" s="424">
        <f t="shared" si="1128"/>
        <v>0</v>
      </c>
      <c r="DH590" s="424">
        <f t="shared" si="1128"/>
        <v>0</v>
      </c>
      <c r="DI590" s="424">
        <f t="shared" si="1128"/>
        <v>0</v>
      </c>
      <c r="DJ590" s="424">
        <f t="shared" si="1128"/>
        <v>0</v>
      </c>
      <c r="DK590" s="424">
        <f t="shared" si="1128"/>
        <v>0</v>
      </c>
      <c r="DL590" s="424">
        <f t="shared" si="1128"/>
        <v>0</v>
      </c>
      <c r="DM590" s="424">
        <f t="shared" si="1128"/>
        <v>0</v>
      </c>
      <c r="DN590" s="424">
        <f t="shared" si="1128"/>
        <v>0</v>
      </c>
      <c r="DO590" s="424">
        <f t="shared" si="1128"/>
        <v>0</v>
      </c>
      <c r="DP590" s="424">
        <f t="shared" si="1128"/>
        <v>0</v>
      </c>
      <c r="DQ590" s="424">
        <f t="shared" si="1128"/>
        <v>0</v>
      </c>
      <c r="DR590" s="424">
        <f t="shared" si="1128"/>
        <v>0</v>
      </c>
      <c r="DS590" s="424">
        <f t="shared" si="1128"/>
        <v>0</v>
      </c>
      <c r="DT590" s="424">
        <f t="shared" si="1128"/>
        <v>0</v>
      </c>
      <c r="DU590" s="424">
        <f t="shared" si="1128"/>
        <v>0</v>
      </c>
      <c r="DV590" s="424">
        <f t="shared" si="1128"/>
        <v>0</v>
      </c>
      <c r="DW590" s="424">
        <f t="shared" si="1128"/>
        <v>0</v>
      </c>
      <c r="DX590" s="424">
        <f t="shared" si="1128"/>
        <v>0</v>
      </c>
      <c r="DY590" s="424">
        <f t="shared" si="1128"/>
        <v>0</v>
      </c>
      <c r="DZ590" s="424">
        <f t="shared" si="1128"/>
        <v>0</v>
      </c>
      <c r="EA590" s="424">
        <f t="shared" si="1128"/>
        <v>0</v>
      </c>
      <c r="EB590" s="424">
        <f t="shared" si="1128"/>
        <v>0</v>
      </c>
      <c r="EC590" s="424">
        <f t="shared" si="1128"/>
        <v>0</v>
      </c>
      <c r="ED590" s="424">
        <f t="shared" si="1128"/>
        <v>0</v>
      </c>
      <c r="EE590" s="424">
        <f t="shared" si="1128"/>
        <v>0</v>
      </c>
      <c r="EF590" s="424">
        <f t="shared" si="1128"/>
        <v>0</v>
      </c>
      <c r="EG590" s="424">
        <f t="shared" si="1128"/>
        <v>0</v>
      </c>
      <c r="EH590" s="424">
        <f t="shared" ref="EH590:EX590" si="1129">EH220*EH$372</f>
        <v>0</v>
      </c>
      <c r="EI590" s="424">
        <f t="shared" si="1129"/>
        <v>0</v>
      </c>
      <c r="EJ590" s="424">
        <f t="shared" si="1129"/>
        <v>0</v>
      </c>
      <c r="EK590" s="424">
        <f t="shared" si="1129"/>
        <v>0</v>
      </c>
      <c r="EL590" s="424">
        <f t="shared" si="1129"/>
        <v>0</v>
      </c>
      <c r="EM590" s="424">
        <f t="shared" si="1129"/>
        <v>0</v>
      </c>
      <c r="EN590" s="424">
        <f t="shared" si="1129"/>
        <v>0</v>
      </c>
      <c r="EO590" s="424">
        <f t="shared" si="1129"/>
        <v>0</v>
      </c>
      <c r="EP590" s="424">
        <f t="shared" si="1129"/>
        <v>0</v>
      </c>
      <c r="EQ590" s="424">
        <f t="shared" si="1129"/>
        <v>0</v>
      </c>
      <c r="ER590" s="424">
        <f t="shared" si="1129"/>
        <v>0</v>
      </c>
      <c r="ES590" s="424">
        <f t="shared" si="1129"/>
        <v>0</v>
      </c>
      <c r="ET590" s="424">
        <f t="shared" si="1129"/>
        <v>0</v>
      </c>
      <c r="EU590" s="424">
        <f t="shared" si="1129"/>
        <v>0</v>
      </c>
      <c r="EV590" s="424">
        <f t="shared" si="1129"/>
        <v>0.59</v>
      </c>
      <c r="EW590" s="424">
        <f t="shared" si="1129"/>
        <v>0</v>
      </c>
      <c r="EX590" s="424">
        <f t="shared" si="1129"/>
        <v>0</v>
      </c>
      <c r="EY590" s="425">
        <f t="shared" si="1064"/>
        <v>29.36</v>
      </c>
      <c r="EZ590" s="616"/>
      <c r="FA590" s="616"/>
      <c r="FB590" s="616"/>
      <c r="FC590" s="616"/>
      <c r="FD590" s="616"/>
      <c r="FE590" s="616"/>
      <c r="FF590" s="616"/>
      <c r="FG590" s="616"/>
      <c r="FH590" s="616"/>
      <c r="FI590" s="616"/>
      <c r="FJ590" s="616"/>
    </row>
    <row r="591" spans="1:166" ht="26.4" x14ac:dyDescent="0.25">
      <c r="A591" s="310">
        <v>217</v>
      </c>
      <c r="B591" s="311" t="str">
        <f t="shared" si="1005"/>
        <v>Котлеты рубленные из кур (окорочка), запеченные с соусом молочным</v>
      </c>
      <c r="C591" s="483">
        <f t="shared" si="1018"/>
        <v>25.15</v>
      </c>
      <c r="D591" s="888"/>
      <c r="E591" s="888"/>
      <c r="F591" s="888"/>
      <c r="G591" s="889"/>
      <c r="H591" s="680">
        <f t="shared" si="1006"/>
        <v>296</v>
      </c>
      <c r="I591" s="1209">
        <f t="shared" si="1007"/>
        <v>0.01</v>
      </c>
      <c r="J591" s="424">
        <f t="shared" ref="J591:AO591" si="1130">J221*J$372</f>
        <v>0</v>
      </c>
      <c r="K591" s="424">
        <f t="shared" si="1130"/>
        <v>10.81</v>
      </c>
      <c r="L591" s="424">
        <f t="shared" si="1130"/>
        <v>0</v>
      </c>
      <c r="M591" s="424">
        <f t="shared" si="1130"/>
        <v>0</v>
      </c>
      <c r="N591" s="424">
        <f t="shared" si="1130"/>
        <v>0</v>
      </c>
      <c r="O591" s="424">
        <f t="shared" si="1130"/>
        <v>0</v>
      </c>
      <c r="P591" s="424">
        <f t="shared" si="1130"/>
        <v>0.2</v>
      </c>
      <c r="Q591" s="424">
        <f t="shared" si="1130"/>
        <v>0</v>
      </c>
      <c r="R591" s="424">
        <f t="shared" si="1130"/>
        <v>0</v>
      </c>
      <c r="S591" s="424">
        <f t="shared" si="1130"/>
        <v>0</v>
      </c>
      <c r="T591" s="424">
        <f t="shared" si="1130"/>
        <v>0</v>
      </c>
      <c r="U591" s="424">
        <f t="shared" si="1130"/>
        <v>2.06</v>
      </c>
      <c r="V591" s="424">
        <f t="shared" si="1130"/>
        <v>6.28</v>
      </c>
      <c r="W591" s="424">
        <f t="shared" si="1130"/>
        <v>2.37</v>
      </c>
      <c r="X591" s="424">
        <f t="shared" si="1130"/>
        <v>0</v>
      </c>
      <c r="Y591" s="424">
        <f t="shared" si="1130"/>
        <v>1.61</v>
      </c>
      <c r="Z591" s="424">
        <f t="shared" si="1130"/>
        <v>0</v>
      </c>
      <c r="AA591" s="424">
        <f t="shared" si="1130"/>
        <v>0</v>
      </c>
      <c r="AB591" s="424">
        <f t="shared" si="1130"/>
        <v>0</v>
      </c>
      <c r="AC591" s="424">
        <f t="shared" si="1130"/>
        <v>0</v>
      </c>
      <c r="AD591" s="424">
        <f t="shared" si="1130"/>
        <v>0</v>
      </c>
      <c r="AE591" s="424">
        <f t="shared" si="1130"/>
        <v>0</v>
      </c>
      <c r="AF591" s="424">
        <f t="shared" si="1130"/>
        <v>0</v>
      </c>
      <c r="AG591" s="424">
        <f t="shared" si="1130"/>
        <v>0</v>
      </c>
      <c r="AH591" s="424">
        <f t="shared" si="1130"/>
        <v>0</v>
      </c>
      <c r="AI591" s="424">
        <f t="shared" si="1130"/>
        <v>0</v>
      </c>
      <c r="AJ591" s="424">
        <f t="shared" si="1130"/>
        <v>0</v>
      </c>
      <c r="AK591" s="424">
        <f t="shared" si="1130"/>
        <v>0.36</v>
      </c>
      <c r="AL591" s="424">
        <f t="shared" si="1130"/>
        <v>0</v>
      </c>
      <c r="AM591" s="424">
        <f t="shared" si="1130"/>
        <v>0</v>
      </c>
      <c r="AN591" s="424">
        <f t="shared" si="1130"/>
        <v>0</v>
      </c>
      <c r="AO591" s="424">
        <f t="shared" si="1130"/>
        <v>0</v>
      </c>
      <c r="AP591" s="424">
        <f t="shared" ref="AP591:BU591" si="1131">AP221*AP$372</f>
        <v>0</v>
      </c>
      <c r="AQ591" s="424">
        <f t="shared" si="1131"/>
        <v>0</v>
      </c>
      <c r="AR591" s="424">
        <f t="shared" si="1131"/>
        <v>0</v>
      </c>
      <c r="AS591" s="424">
        <f t="shared" si="1131"/>
        <v>0</v>
      </c>
      <c r="AT591" s="424">
        <f t="shared" si="1131"/>
        <v>0</v>
      </c>
      <c r="AU591" s="424">
        <f t="shared" si="1131"/>
        <v>0.6</v>
      </c>
      <c r="AV591" s="424">
        <f t="shared" si="1131"/>
        <v>0</v>
      </c>
      <c r="AW591" s="424">
        <f t="shared" si="1131"/>
        <v>0</v>
      </c>
      <c r="AX591" s="424">
        <f t="shared" si="1131"/>
        <v>0</v>
      </c>
      <c r="AY591" s="424">
        <f t="shared" si="1131"/>
        <v>0</v>
      </c>
      <c r="AZ591" s="424">
        <f t="shared" si="1131"/>
        <v>0</v>
      </c>
      <c r="BA591" s="424">
        <f t="shared" si="1131"/>
        <v>0</v>
      </c>
      <c r="BB591" s="424">
        <f t="shared" si="1131"/>
        <v>0</v>
      </c>
      <c r="BC591" s="424">
        <f t="shared" si="1131"/>
        <v>0</v>
      </c>
      <c r="BD591" s="424">
        <f t="shared" si="1131"/>
        <v>0</v>
      </c>
      <c r="BE591" s="424">
        <f t="shared" si="1131"/>
        <v>0</v>
      </c>
      <c r="BF591" s="424">
        <f t="shared" si="1131"/>
        <v>0</v>
      </c>
      <c r="BG591" s="424">
        <f t="shared" si="1131"/>
        <v>0</v>
      </c>
      <c r="BH591" s="424">
        <f t="shared" si="1131"/>
        <v>0</v>
      </c>
      <c r="BI591" s="424">
        <f t="shared" si="1131"/>
        <v>0</v>
      </c>
      <c r="BJ591" s="424">
        <f t="shared" si="1131"/>
        <v>0</v>
      </c>
      <c r="BK591" s="424">
        <f t="shared" si="1131"/>
        <v>0</v>
      </c>
      <c r="BL591" s="424">
        <f t="shared" si="1131"/>
        <v>0</v>
      </c>
      <c r="BM591" s="424">
        <f t="shared" si="1131"/>
        <v>0</v>
      </c>
      <c r="BN591" s="424">
        <f t="shared" si="1131"/>
        <v>0</v>
      </c>
      <c r="BO591" s="424">
        <f t="shared" si="1131"/>
        <v>0</v>
      </c>
      <c r="BP591" s="424">
        <f t="shared" si="1131"/>
        <v>0</v>
      </c>
      <c r="BQ591" s="424">
        <f t="shared" si="1131"/>
        <v>0</v>
      </c>
      <c r="BR591" s="424">
        <f t="shared" si="1131"/>
        <v>0</v>
      </c>
      <c r="BS591" s="424">
        <f t="shared" si="1131"/>
        <v>0.19</v>
      </c>
      <c r="BT591" s="424">
        <f t="shared" si="1131"/>
        <v>0</v>
      </c>
      <c r="BU591" s="424">
        <f t="shared" si="1131"/>
        <v>0</v>
      </c>
      <c r="BV591" s="424">
        <f t="shared" ref="BV591:DA591" si="1132">BV221*BV$372</f>
        <v>0</v>
      </c>
      <c r="BW591" s="424">
        <f t="shared" si="1132"/>
        <v>0</v>
      </c>
      <c r="BX591" s="424">
        <f t="shared" si="1132"/>
        <v>0</v>
      </c>
      <c r="BY591" s="424">
        <f t="shared" si="1132"/>
        <v>0</v>
      </c>
      <c r="BZ591" s="424">
        <f t="shared" si="1132"/>
        <v>0</v>
      </c>
      <c r="CA591" s="424">
        <f t="shared" si="1132"/>
        <v>0</v>
      </c>
      <c r="CB591" s="424">
        <f t="shared" si="1132"/>
        <v>0</v>
      </c>
      <c r="CC591" s="424">
        <f t="shared" si="1132"/>
        <v>0</v>
      </c>
      <c r="CD591" s="424">
        <f t="shared" si="1132"/>
        <v>0</v>
      </c>
      <c r="CE591" s="424">
        <f t="shared" si="1132"/>
        <v>0</v>
      </c>
      <c r="CF591" s="424">
        <f t="shared" si="1132"/>
        <v>0</v>
      </c>
      <c r="CG591" s="424">
        <f t="shared" si="1132"/>
        <v>0</v>
      </c>
      <c r="CH591" s="424">
        <f t="shared" si="1132"/>
        <v>0</v>
      </c>
      <c r="CI591" s="424">
        <f t="shared" si="1132"/>
        <v>0</v>
      </c>
      <c r="CJ591" s="424">
        <f t="shared" si="1132"/>
        <v>0</v>
      </c>
      <c r="CK591" s="424">
        <f t="shared" si="1132"/>
        <v>0</v>
      </c>
      <c r="CL591" s="424">
        <f t="shared" si="1132"/>
        <v>0</v>
      </c>
      <c r="CM591" s="424">
        <f t="shared" si="1132"/>
        <v>0</v>
      </c>
      <c r="CN591" s="424">
        <f t="shared" si="1132"/>
        <v>0</v>
      </c>
      <c r="CO591" s="424">
        <f t="shared" si="1132"/>
        <v>0</v>
      </c>
      <c r="CP591" s="424">
        <f t="shared" si="1132"/>
        <v>0</v>
      </c>
      <c r="CQ591" s="424">
        <f t="shared" si="1132"/>
        <v>0</v>
      </c>
      <c r="CR591" s="424">
        <f t="shared" si="1132"/>
        <v>0</v>
      </c>
      <c r="CS591" s="424">
        <f t="shared" si="1132"/>
        <v>0</v>
      </c>
      <c r="CT591" s="424">
        <f t="shared" si="1132"/>
        <v>0</v>
      </c>
      <c r="CU591" s="424">
        <f t="shared" si="1132"/>
        <v>0</v>
      </c>
      <c r="CV591" s="424">
        <f t="shared" si="1132"/>
        <v>0</v>
      </c>
      <c r="CW591" s="424">
        <f t="shared" si="1132"/>
        <v>0</v>
      </c>
      <c r="CX591" s="424">
        <f t="shared" si="1132"/>
        <v>0</v>
      </c>
      <c r="CY591" s="424">
        <f t="shared" si="1132"/>
        <v>0</v>
      </c>
      <c r="CZ591" s="424">
        <f t="shared" si="1132"/>
        <v>0</v>
      </c>
      <c r="DA591" s="424">
        <f t="shared" si="1132"/>
        <v>0</v>
      </c>
      <c r="DB591" s="424">
        <f t="shared" ref="DB591:EG591" si="1133">DB221*DB$372</f>
        <v>0</v>
      </c>
      <c r="DC591" s="424">
        <f t="shared" si="1133"/>
        <v>0.08</v>
      </c>
      <c r="DD591" s="424">
        <f t="shared" si="1133"/>
        <v>0</v>
      </c>
      <c r="DE591" s="424">
        <f t="shared" si="1133"/>
        <v>0</v>
      </c>
      <c r="DF591" s="424">
        <f t="shared" si="1133"/>
        <v>0</v>
      </c>
      <c r="DG591" s="424">
        <f t="shared" si="1133"/>
        <v>0</v>
      </c>
      <c r="DH591" s="424">
        <f t="shared" si="1133"/>
        <v>0</v>
      </c>
      <c r="DI591" s="424">
        <f t="shared" si="1133"/>
        <v>0</v>
      </c>
      <c r="DJ591" s="424">
        <f t="shared" si="1133"/>
        <v>0</v>
      </c>
      <c r="DK591" s="424">
        <f t="shared" si="1133"/>
        <v>0</v>
      </c>
      <c r="DL591" s="424">
        <f t="shared" si="1133"/>
        <v>0</v>
      </c>
      <c r="DM591" s="424">
        <f t="shared" si="1133"/>
        <v>0</v>
      </c>
      <c r="DN591" s="424">
        <f t="shared" si="1133"/>
        <v>0</v>
      </c>
      <c r="DO591" s="424">
        <f t="shared" si="1133"/>
        <v>0</v>
      </c>
      <c r="DP591" s="424">
        <f t="shared" si="1133"/>
        <v>0</v>
      </c>
      <c r="DQ591" s="424">
        <f t="shared" si="1133"/>
        <v>0</v>
      </c>
      <c r="DR591" s="424">
        <f t="shared" si="1133"/>
        <v>0</v>
      </c>
      <c r="DS591" s="424">
        <f t="shared" si="1133"/>
        <v>0</v>
      </c>
      <c r="DT591" s="424">
        <f t="shared" si="1133"/>
        <v>0</v>
      </c>
      <c r="DU591" s="424">
        <f t="shared" si="1133"/>
        <v>0</v>
      </c>
      <c r="DV591" s="424">
        <f t="shared" si="1133"/>
        <v>0</v>
      </c>
      <c r="DW591" s="424">
        <f t="shared" si="1133"/>
        <v>0</v>
      </c>
      <c r="DX591" s="424">
        <f t="shared" si="1133"/>
        <v>0</v>
      </c>
      <c r="DY591" s="424">
        <f t="shared" si="1133"/>
        <v>0</v>
      </c>
      <c r="DZ591" s="424">
        <f t="shared" si="1133"/>
        <v>0</v>
      </c>
      <c r="EA591" s="424">
        <f t="shared" si="1133"/>
        <v>0</v>
      </c>
      <c r="EB591" s="424">
        <f t="shared" si="1133"/>
        <v>0</v>
      </c>
      <c r="EC591" s="424">
        <f t="shared" si="1133"/>
        <v>0</v>
      </c>
      <c r="ED591" s="424">
        <f t="shared" si="1133"/>
        <v>0</v>
      </c>
      <c r="EE591" s="424">
        <f t="shared" si="1133"/>
        <v>0</v>
      </c>
      <c r="EF591" s="424">
        <f t="shared" si="1133"/>
        <v>0</v>
      </c>
      <c r="EG591" s="424">
        <f t="shared" si="1133"/>
        <v>0</v>
      </c>
      <c r="EH591" s="424">
        <f t="shared" ref="EH591:EX591" si="1134">EH221*EH$372</f>
        <v>0</v>
      </c>
      <c r="EI591" s="424">
        <f t="shared" si="1134"/>
        <v>0</v>
      </c>
      <c r="EJ591" s="424">
        <f t="shared" si="1134"/>
        <v>0</v>
      </c>
      <c r="EK591" s="424">
        <f t="shared" si="1134"/>
        <v>0</v>
      </c>
      <c r="EL591" s="424">
        <f t="shared" si="1134"/>
        <v>0</v>
      </c>
      <c r="EM591" s="424">
        <f t="shared" si="1134"/>
        <v>0</v>
      </c>
      <c r="EN591" s="424">
        <f t="shared" si="1134"/>
        <v>0</v>
      </c>
      <c r="EO591" s="424">
        <f t="shared" si="1134"/>
        <v>0</v>
      </c>
      <c r="EP591" s="424">
        <f t="shared" si="1134"/>
        <v>0</v>
      </c>
      <c r="EQ591" s="424">
        <f t="shared" si="1134"/>
        <v>0</v>
      </c>
      <c r="ER591" s="424">
        <f t="shared" si="1134"/>
        <v>0</v>
      </c>
      <c r="ES591" s="424">
        <f t="shared" si="1134"/>
        <v>0</v>
      </c>
      <c r="ET591" s="424">
        <f t="shared" si="1134"/>
        <v>0</v>
      </c>
      <c r="EU591" s="424">
        <f t="shared" si="1134"/>
        <v>0</v>
      </c>
      <c r="EV591" s="424">
        <f t="shared" si="1134"/>
        <v>0.59</v>
      </c>
      <c r="EW591" s="424">
        <f t="shared" si="1134"/>
        <v>0</v>
      </c>
      <c r="EX591" s="424">
        <f t="shared" si="1134"/>
        <v>0</v>
      </c>
      <c r="EY591" s="425">
        <f t="shared" si="1064"/>
        <v>25.15</v>
      </c>
    </row>
    <row r="592" spans="1:166" x14ac:dyDescent="0.25">
      <c r="A592" s="310">
        <v>218</v>
      </c>
      <c r="B592" s="311" t="str">
        <f t="shared" si="1005"/>
        <v>Фрикадельки из кур или бройлеров-цыплят</v>
      </c>
      <c r="C592" s="483">
        <f t="shared" si="1018"/>
        <v>25.91</v>
      </c>
      <c r="D592" s="888"/>
      <c r="E592" s="888"/>
      <c r="F592" s="888"/>
      <c r="G592" s="889"/>
      <c r="H592" s="680">
        <f t="shared" si="1006"/>
        <v>297</v>
      </c>
      <c r="I592" s="1209">
        <f t="shared" si="1007"/>
        <v>0</v>
      </c>
      <c r="J592" s="424">
        <f t="shared" ref="J592:AO592" si="1135">J222*J$372</f>
        <v>0</v>
      </c>
      <c r="K592" s="424">
        <f t="shared" si="1135"/>
        <v>0</v>
      </c>
      <c r="L592" s="424">
        <f t="shared" si="1135"/>
        <v>20.09</v>
      </c>
      <c r="M592" s="424">
        <f t="shared" si="1135"/>
        <v>0</v>
      </c>
      <c r="N592" s="424">
        <f t="shared" si="1135"/>
        <v>0</v>
      </c>
      <c r="O592" s="424">
        <f t="shared" si="1135"/>
        <v>0</v>
      </c>
      <c r="P592" s="424">
        <f t="shared" si="1135"/>
        <v>0.2</v>
      </c>
      <c r="Q592" s="424">
        <f t="shared" si="1135"/>
        <v>0</v>
      </c>
      <c r="R592" s="424">
        <f t="shared" si="1135"/>
        <v>0</v>
      </c>
      <c r="S592" s="424">
        <f t="shared" si="1135"/>
        <v>0</v>
      </c>
      <c r="T592" s="424">
        <f t="shared" si="1135"/>
        <v>0</v>
      </c>
      <c r="U592" s="424">
        <f t="shared" si="1135"/>
        <v>0.88</v>
      </c>
      <c r="V592" s="424">
        <f t="shared" si="1135"/>
        <v>3.55</v>
      </c>
      <c r="W592" s="424">
        <f t="shared" si="1135"/>
        <v>0</v>
      </c>
      <c r="X592" s="424">
        <f t="shared" si="1135"/>
        <v>0</v>
      </c>
      <c r="Y592" s="424">
        <f t="shared" si="1135"/>
        <v>0</v>
      </c>
      <c r="Z592" s="424">
        <f t="shared" si="1135"/>
        <v>0</v>
      </c>
      <c r="AA592" s="424">
        <f t="shared" si="1135"/>
        <v>0</v>
      </c>
      <c r="AB592" s="424">
        <f t="shared" si="1135"/>
        <v>0</v>
      </c>
      <c r="AC592" s="424">
        <f t="shared" si="1135"/>
        <v>0</v>
      </c>
      <c r="AD592" s="424">
        <f t="shared" si="1135"/>
        <v>0</v>
      </c>
      <c r="AE592" s="424">
        <f t="shared" si="1135"/>
        <v>0</v>
      </c>
      <c r="AF592" s="424">
        <f t="shared" si="1135"/>
        <v>0</v>
      </c>
      <c r="AG592" s="424">
        <f t="shared" si="1135"/>
        <v>0</v>
      </c>
      <c r="AH592" s="424">
        <f t="shared" si="1135"/>
        <v>0</v>
      </c>
      <c r="AI592" s="424">
        <f t="shared" si="1135"/>
        <v>0</v>
      </c>
      <c r="AJ592" s="424">
        <f t="shared" si="1135"/>
        <v>0</v>
      </c>
      <c r="AK592" s="424">
        <f t="shared" si="1135"/>
        <v>0</v>
      </c>
      <c r="AL592" s="424">
        <f t="shared" si="1135"/>
        <v>0</v>
      </c>
      <c r="AM592" s="424">
        <f t="shared" si="1135"/>
        <v>0</v>
      </c>
      <c r="AN592" s="424">
        <f t="shared" si="1135"/>
        <v>0</v>
      </c>
      <c r="AO592" s="424">
        <f t="shared" si="1135"/>
        <v>0</v>
      </c>
      <c r="AP592" s="424">
        <f t="shared" ref="AP592:BU592" si="1136">AP222*AP$372</f>
        <v>0</v>
      </c>
      <c r="AQ592" s="424">
        <f t="shared" si="1136"/>
        <v>0</v>
      </c>
      <c r="AR592" s="424">
        <f t="shared" si="1136"/>
        <v>0</v>
      </c>
      <c r="AS592" s="424">
        <f t="shared" si="1136"/>
        <v>0</v>
      </c>
      <c r="AT592" s="424">
        <f t="shared" si="1136"/>
        <v>0</v>
      </c>
      <c r="AU592" s="424">
        <f t="shared" si="1136"/>
        <v>0.6</v>
      </c>
      <c r="AV592" s="424">
        <f t="shared" si="1136"/>
        <v>0</v>
      </c>
      <c r="AW592" s="424">
        <f t="shared" si="1136"/>
        <v>0</v>
      </c>
      <c r="AX592" s="424">
        <f t="shared" si="1136"/>
        <v>0</v>
      </c>
      <c r="AY592" s="424">
        <f t="shared" si="1136"/>
        <v>0</v>
      </c>
      <c r="AZ592" s="424">
        <f t="shared" si="1136"/>
        <v>0</v>
      </c>
      <c r="BA592" s="424">
        <f t="shared" si="1136"/>
        <v>0</v>
      </c>
      <c r="BB592" s="424">
        <f t="shared" si="1136"/>
        <v>0</v>
      </c>
      <c r="BC592" s="424">
        <f t="shared" si="1136"/>
        <v>0</v>
      </c>
      <c r="BD592" s="424">
        <f t="shared" si="1136"/>
        <v>0</v>
      </c>
      <c r="BE592" s="424">
        <f t="shared" si="1136"/>
        <v>0</v>
      </c>
      <c r="BF592" s="424">
        <f t="shared" si="1136"/>
        <v>0</v>
      </c>
      <c r="BG592" s="424">
        <f t="shared" si="1136"/>
        <v>0</v>
      </c>
      <c r="BH592" s="424">
        <f t="shared" si="1136"/>
        <v>0</v>
      </c>
      <c r="BI592" s="424">
        <f t="shared" si="1136"/>
        <v>0</v>
      </c>
      <c r="BJ592" s="424">
        <f t="shared" si="1136"/>
        <v>0</v>
      </c>
      <c r="BK592" s="424">
        <f t="shared" si="1136"/>
        <v>0</v>
      </c>
      <c r="BL592" s="424">
        <f t="shared" si="1136"/>
        <v>0</v>
      </c>
      <c r="BM592" s="424">
        <f t="shared" si="1136"/>
        <v>0</v>
      </c>
      <c r="BN592" s="424">
        <f t="shared" si="1136"/>
        <v>0</v>
      </c>
      <c r="BO592" s="424">
        <f t="shared" si="1136"/>
        <v>0</v>
      </c>
      <c r="BP592" s="424">
        <f t="shared" si="1136"/>
        <v>0</v>
      </c>
      <c r="BQ592" s="424">
        <f t="shared" si="1136"/>
        <v>0</v>
      </c>
      <c r="BR592" s="424">
        <f t="shared" si="1136"/>
        <v>0</v>
      </c>
      <c r="BS592" s="424">
        <f t="shared" si="1136"/>
        <v>0</v>
      </c>
      <c r="BT592" s="424">
        <f t="shared" si="1136"/>
        <v>0</v>
      </c>
      <c r="BU592" s="424">
        <f t="shared" si="1136"/>
        <v>0</v>
      </c>
      <c r="BV592" s="424">
        <f t="shared" ref="BV592:DA592" si="1137">BV222*BV$372</f>
        <v>0</v>
      </c>
      <c r="BW592" s="424">
        <f t="shared" si="1137"/>
        <v>0</v>
      </c>
      <c r="BX592" s="424">
        <f t="shared" si="1137"/>
        <v>0</v>
      </c>
      <c r="BY592" s="424">
        <f t="shared" si="1137"/>
        <v>0</v>
      </c>
      <c r="BZ592" s="424">
        <f t="shared" si="1137"/>
        <v>0</v>
      </c>
      <c r="CA592" s="424">
        <f t="shared" si="1137"/>
        <v>0</v>
      </c>
      <c r="CB592" s="424">
        <f t="shared" si="1137"/>
        <v>0</v>
      </c>
      <c r="CC592" s="424">
        <f t="shared" si="1137"/>
        <v>0</v>
      </c>
      <c r="CD592" s="424">
        <f t="shared" si="1137"/>
        <v>0</v>
      </c>
      <c r="CE592" s="424">
        <f t="shared" si="1137"/>
        <v>0</v>
      </c>
      <c r="CF592" s="424">
        <f t="shared" si="1137"/>
        <v>0</v>
      </c>
      <c r="CG592" s="424">
        <f t="shared" si="1137"/>
        <v>0</v>
      </c>
      <c r="CH592" s="424">
        <f t="shared" si="1137"/>
        <v>0</v>
      </c>
      <c r="CI592" s="424">
        <f t="shared" si="1137"/>
        <v>0</v>
      </c>
      <c r="CJ592" s="424">
        <f t="shared" si="1137"/>
        <v>0</v>
      </c>
      <c r="CK592" s="424">
        <f t="shared" si="1137"/>
        <v>0</v>
      </c>
      <c r="CL592" s="424">
        <f t="shared" si="1137"/>
        <v>0</v>
      </c>
      <c r="CM592" s="424">
        <f t="shared" si="1137"/>
        <v>0</v>
      </c>
      <c r="CN592" s="424">
        <f t="shared" si="1137"/>
        <v>0</v>
      </c>
      <c r="CO592" s="424">
        <f t="shared" si="1137"/>
        <v>0</v>
      </c>
      <c r="CP592" s="424">
        <f t="shared" si="1137"/>
        <v>0</v>
      </c>
      <c r="CQ592" s="424">
        <f t="shared" si="1137"/>
        <v>0</v>
      </c>
      <c r="CR592" s="424">
        <f t="shared" si="1137"/>
        <v>0</v>
      </c>
      <c r="CS592" s="424">
        <f t="shared" si="1137"/>
        <v>0</v>
      </c>
      <c r="CT592" s="424">
        <f t="shared" si="1137"/>
        <v>0</v>
      </c>
      <c r="CU592" s="424">
        <f t="shared" si="1137"/>
        <v>0</v>
      </c>
      <c r="CV592" s="424">
        <f t="shared" si="1137"/>
        <v>0</v>
      </c>
      <c r="CW592" s="424">
        <f t="shared" si="1137"/>
        <v>0</v>
      </c>
      <c r="CX592" s="424">
        <f t="shared" si="1137"/>
        <v>0</v>
      </c>
      <c r="CY592" s="424">
        <f t="shared" si="1137"/>
        <v>0</v>
      </c>
      <c r="CZ592" s="424">
        <f t="shared" si="1137"/>
        <v>0</v>
      </c>
      <c r="DA592" s="424">
        <f t="shared" si="1137"/>
        <v>0</v>
      </c>
      <c r="DB592" s="424">
        <f t="shared" ref="DB592:EG592" si="1138">DB222*DB$372</f>
        <v>0</v>
      </c>
      <c r="DC592" s="424">
        <f t="shared" si="1138"/>
        <v>7.0000000000000007E-2</v>
      </c>
      <c r="DD592" s="424">
        <f t="shared" si="1138"/>
        <v>0</v>
      </c>
      <c r="DE592" s="424">
        <f t="shared" si="1138"/>
        <v>0</v>
      </c>
      <c r="DF592" s="424">
        <f t="shared" si="1138"/>
        <v>0</v>
      </c>
      <c r="DG592" s="424">
        <f t="shared" si="1138"/>
        <v>0</v>
      </c>
      <c r="DH592" s="424">
        <f t="shared" si="1138"/>
        <v>0</v>
      </c>
      <c r="DI592" s="424">
        <f t="shared" si="1138"/>
        <v>0</v>
      </c>
      <c r="DJ592" s="424">
        <f t="shared" si="1138"/>
        <v>0</v>
      </c>
      <c r="DK592" s="424">
        <f t="shared" si="1138"/>
        <v>0</v>
      </c>
      <c r="DL592" s="424">
        <f t="shared" si="1138"/>
        <v>0</v>
      </c>
      <c r="DM592" s="424">
        <f t="shared" si="1138"/>
        <v>0</v>
      </c>
      <c r="DN592" s="424">
        <f t="shared" si="1138"/>
        <v>0</v>
      </c>
      <c r="DO592" s="424">
        <f t="shared" si="1138"/>
        <v>0</v>
      </c>
      <c r="DP592" s="424">
        <f t="shared" si="1138"/>
        <v>0</v>
      </c>
      <c r="DQ592" s="424">
        <f t="shared" si="1138"/>
        <v>0</v>
      </c>
      <c r="DR592" s="424">
        <f t="shared" si="1138"/>
        <v>0</v>
      </c>
      <c r="DS592" s="424">
        <f t="shared" si="1138"/>
        <v>0</v>
      </c>
      <c r="DT592" s="424">
        <f t="shared" si="1138"/>
        <v>0</v>
      </c>
      <c r="DU592" s="424">
        <f t="shared" si="1138"/>
        <v>0</v>
      </c>
      <c r="DV592" s="424">
        <f t="shared" si="1138"/>
        <v>0</v>
      </c>
      <c r="DW592" s="424">
        <f t="shared" si="1138"/>
        <v>0</v>
      </c>
      <c r="DX592" s="424">
        <f t="shared" si="1138"/>
        <v>0</v>
      </c>
      <c r="DY592" s="424">
        <f t="shared" si="1138"/>
        <v>0</v>
      </c>
      <c r="DZ592" s="424">
        <f t="shared" si="1138"/>
        <v>0</v>
      </c>
      <c r="EA592" s="424">
        <f t="shared" si="1138"/>
        <v>0</v>
      </c>
      <c r="EB592" s="424">
        <f t="shared" si="1138"/>
        <v>0</v>
      </c>
      <c r="EC592" s="424">
        <f t="shared" si="1138"/>
        <v>0</v>
      </c>
      <c r="ED592" s="424">
        <f t="shared" si="1138"/>
        <v>0</v>
      </c>
      <c r="EE592" s="424">
        <f t="shared" si="1138"/>
        <v>0</v>
      </c>
      <c r="EF592" s="424">
        <f t="shared" si="1138"/>
        <v>0</v>
      </c>
      <c r="EG592" s="424">
        <f t="shared" si="1138"/>
        <v>0</v>
      </c>
      <c r="EH592" s="424">
        <f t="shared" ref="EH592:EX592" si="1139">EH222*EH$372</f>
        <v>0</v>
      </c>
      <c r="EI592" s="424">
        <f t="shared" si="1139"/>
        <v>0</v>
      </c>
      <c r="EJ592" s="424">
        <f t="shared" si="1139"/>
        <v>0</v>
      </c>
      <c r="EK592" s="424">
        <f t="shared" si="1139"/>
        <v>0</v>
      </c>
      <c r="EL592" s="424">
        <f t="shared" si="1139"/>
        <v>0</v>
      </c>
      <c r="EM592" s="424">
        <f t="shared" si="1139"/>
        <v>0</v>
      </c>
      <c r="EN592" s="424">
        <f t="shared" si="1139"/>
        <v>0</v>
      </c>
      <c r="EO592" s="424">
        <f t="shared" si="1139"/>
        <v>0</v>
      </c>
      <c r="EP592" s="424">
        <f t="shared" si="1139"/>
        <v>0</v>
      </c>
      <c r="EQ592" s="424">
        <f t="shared" si="1139"/>
        <v>0</v>
      </c>
      <c r="ER592" s="424">
        <f t="shared" si="1139"/>
        <v>0</v>
      </c>
      <c r="ES592" s="424">
        <f t="shared" si="1139"/>
        <v>0</v>
      </c>
      <c r="ET592" s="424">
        <f t="shared" si="1139"/>
        <v>0</v>
      </c>
      <c r="EU592" s="424">
        <f t="shared" si="1139"/>
        <v>0</v>
      </c>
      <c r="EV592" s="424">
        <f t="shared" si="1139"/>
        <v>0.52</v>
      </c>
      <c r="EW592" s="424">
        <f t="shared" si="1139"/>
        <v>0</v>
      </c>
      <c r="EX592" s="424">
        <f t="shared" si="1139"/>
        <v>0</v>
      </c>
      <c r="EY592" s="425">
        <f t="shared" si="1064"/>
        <v>25.91</v>
      </c>
    </row>
    <row r="593" spans="1:166" x14ac:dyDescent="0.25">
      <c r="A593" s="310">
        <v>219</v>
      </c>
      <c r="B593" s="311" t="str">
        <f t="shared" si="1005"/>
        <v>Фрикадельки из куриных окорочков или бройлеров-цыплят</v>
      </c>
      <c r="C593" s="483">
        <f t="shared" si="1018"/>
        <v>18.559999999999999</v>
      </c>
      <c r="D593" s="888"/>
      <c r="E593" s="888"/>
      <c r="F593" s="888"/>
      <c r="G593" s="889"/>
      <c r="H593" s="680">
        <f t="shared" si="1006"/>
        <v>297</v>
      </c>
      <c r="I593" s="1209">
        <f t="shared" si="1007"/>
        <v>0</v>
      </c>
      <c r="J593" s="424">
        <f t="shared" ref="J593:AO593" si="1140">J223*J$372</f>
        <v>0</v>
      </c>
      <c r="K593" s="424">
        <f t="shared" si="1140"/>
        <v>12.74</v>
      </c>
      <c r="L593" s="424">
        <f t="shared" si="1140"/>
        <v>0</v>
      </c>
      <c r="M593" s="424">
        <f t="shared" si="1140"/>
        <v>0</v>
      </c>
      <c r="N593" s="424">
        <f t="shared" si="1140"/>
        <v>0</v>
      </c>
      <c r="O593" s="424">
        <f t="shared" si="1140"/>
        <v>0</v>
      </c>
      <c r="P593" s="424">
        <f t="shared" si="1140"/>
        <v>0.2</v>
      </c>
      <c r="Q593" s="424">
        <f t="shared" si="1140"/>
        <v>0</v>
      </c>
      <c r="R593" s="424">
        <f t="shared" si="1140"/>
        <v>0</v>
      </c>
      <c r="S593" s="424">
        <f t="shared" si="1140"/>
        <v>0</v>
      </c>
      <c r="T593" s="424">
        <f t="shared" si="1140"/>
        <v>0</v>
      </c>
      <c r="U593" s="424">
        <f t="shared" si="1140"/>
        <v>0.88</v>
      </c>
      <c r="V593" s="424">
        <f t="shared" si="1140"/>
        <v>3.55</v>
      </c>
      <c r="W593" s="424">
        <f t="shared" si="1140"/>
        <v>0</v>
      </c>
      <c r="X593" s="424">
        <f t="shared" si="1140"/>
        <v>0</v>
      </c>
      <c r="Y593" s="424">
        <f t="shared" si="1140"/>
        <v>0</v>
      </c>
      <c r="Z593" s="424">
        <f t="shared" si="1140"/>
        <v>0</v>
      </c>
      <c r="AA593" s="424">
        <f t="shared" si="1140"/>
        <v>0</v>
      </c>
      <c r="AB593" s="424">
        <f t="shared" si="1140"/>
        <v>0</v>
      </c>
      <c r="AC593" s="424">
        <f t="shared" si="1140"/>
        <v>0</v>
      </c>
      <c r="AD593" s="424">
        <f t="shared" si="1140"/>
        <v>0</v>
      </c>
      <c r="AE593" s="424">
        <f t="shared" si="1140"/>
        <v>0</v>
      </c>
      <c r="AF593" s="424">
        <f t="shared" si="1140"/>
        <v>0</v>
      </c>
      <c r="AG593" s="424">
        <f t="shared" si="1140"/>
        <v>0</v>
      </c>
      <c r="AH593" s="424">
        <f t="shared" si="1140"/>
        <v>0</v>
      </c>
      <c r="AI593" s="424">
        <f t="shared" si="1140"/>
        <v>0</v>
      </c>
      <c r="AJ593" s="424">
        <f t="shared" si="1140"/>
        <v>0</v>
      </c>
      <c r="AK593" s="424">
        <f t="shared" si="1140"/>
        <v>0</v>
      </c>
      <c r="AL593" s="424">
        <f t="shared" si="1140"/>
        <v>0</v>
      </c>
      <c r="AM593" s="424">
        <f t="shared" si="1140"/>
        <v>0</v>
      </c>
      <c r="AN593" s="424">
        <f t="shared" si="1140"/>
        <v>0</v>
      </c>
      <c r="AO593" s="424">
        <f t="shared" si="1140"/>
        <v>0</v>
      </c>
      <c r="AP593" s="424">
        <f t="shared" ref="AP593:BU593" si="1141">AP223*AP$372</f>
        <v>0</v>
      </c>
      <c r="AQ593" s="424">
        <f t="shared" si="1141"/>
        <v>0</v>
      </c>
      <c r="AR593" s="424">
        <f t="shared" si="1141"/>
        <v>0</v>
      </c>
      <c r="AS593" s="424">
        <f t="shared" si="1141"/>
        <v>0</v>
      </c>
      <c r="AT593" s="424">
        <f t="shared" si="1141"/>
        <v>0</v>
      </c>
      <c r="AU593" s="424">
        <f t="shared" si="1141"/>
        <v>0.6</v>
      </c>
      <c r="AV593" s="424">
        <f t="shared" si="1141"/>
        <v>0</v>
      </c>
      <c r="AW593" s="424">
        <f t="shared" si="1141"/>
        <v>0</v>
      </c>
      <c r="AX593" s="424">
        <f t="shared" si="1141"/>
        <v>0</v>
      </c>
      <c r="AY593" s="424">
        <f t="shared" si="1141"/>
        <v>0</v>
      </c>
      <c r="AZ593" s="424">
        <f t="shared" si="1141"/>
        <v>0</v>
      </c>
      <c r="BA593" s="424">
        <f t="shared" si="1141"/>
        <v>0</v>
      </c>
      <c r="BB593" s="424">
        <f t="shared" si="1141"/>
        <v>0</v>
      </c>
      <c r="BC593" s="424">
        <f t="shared" si="1141"/>
        <v>0</v>
      </c>
      <c r="BD593" s="424">
        <f t="shared" si="1141"/>
        <v>0</v>
      </c>
      <c r="BE593" s="424">
        <f t="shared" si="1141"/>
        <v>0</v>
      </c>
      <c r="BF593" s="424">
        <f t="shared" si="1141"/>
        <v>0</v>
      </c>
      <c r="BG593" s="424">
        <f t="shared" si="1141"/>
        <v>0</v>
      </c>
      <c r="BH593" s="424">
        <f t="shared" si="1141"/>
        <v>0</v>
      </c>
      <c r="BI593" s="424">
        <f t="shared" si="1141"/>
        <v>0</v>
      </c>
      <c r="BJ593" s="424">
        <f t="shared" si="1141"/>
        <v>0</v>
      </c>
      <c r="BK593" s="424">
        <f t="shared" si="1141"/>
        <v>0</v>
      </c>
      <c r="BL593" s="424">
        <f t="shared" si="1141"/>
        <v>0</v>
      </c>
      <c r="BM593" s="424">
        <f t="shared" si="1141"/>
        <v>0</v>
      </c>
      <c r="BN593" s="424">
        <f t="shared" si="1141"/>
        <v>0</v>
      </c>
      <c r="BO593" s="424">
        <f t="shared" si="1141"/>
        <v>0</v>
      </c>
      <c r="BP593" s="424">
        <f t="shared" si="1141"/>
        <v>0</v>
      </c>
      <c r="BQ593" s="424">
        <f t="shared" si="1141"/>
        <v>0</v>
      </c>
      <c r="BR593" s="424">
        <f t="shared" si="1141"/>
        <v>0</v>
      </c>
      <c r="BS593" s="424">
        <f t="shared" si="1141"/>
        <v>0</v>
      </c>
      <c r="BT593" s="424">
        <f t="shared" si="1141"/>
        <v>0</v>
      </c>
      <c r="BU593" s="424">
        <f t="shared" si="1141"/>
        <v>0</v>
      </c>
      <c r="BV593" s="424">
        <f t="shared" ref="BV593:DA593" si="1142">BV223*BV$372</f>
        <v>0</v>
      </c>
      <c r="BW593" s="424">
        <f t="shared" si="1142"/>
        <v>0</v>
      </c>
      <c r="BX593" s="424">
        <f t="shared" si="1142"/>
        <v>0</v>
      </c>
      <c r="BY593" s="424">
        <f t="shared" si="1142"/>
        <v>0</v>
      </c>
      <c r="BZ593" s="424">
        <f t="shared" si="1142"/>
        <v>0</v>
      </c>
      <c r="CA593" s="424">
        <f t="shared" si="1142"/>
        <v>0</v>
      </c>
      <c r="CB593" s="424">
        <f t="shared" si="1142"/>
        <v>0</v>
      </c>
      <c r="CC593" s="424">
        <f t="shared" si="1142"/>
        <v>0</v>
      </c>
      <c r="CD593" s="424">
        <f t="shared" si="1142"/>
        <v>0</v>
      </c>
      <c r="CE593" s="424">
        <f t="shared" si="1142"/>
        <v>0</v>
      </c>
      <c r="CF593" s="424">
        <f t="shared" si="1142"/>
        <v>0</v>
      </c>
      <c r="CG593" s="424">
        <f t="shared" si="1142"/>
        <v>0</v>
      </c>
      <c r="CH593" s="424">
        <f t="shared" si="1142"/>
        <v>0</v>
      </c>
      <c r="CI593" s="424">
        <f t="shared" si="1142"/>
        <v>0</v>
      </c>
      <c r="CJ593" s="424">
        <f t="shared" si="1142"/>
        <v>0</v>
      </c>
      <c r="CK593" s="424">
        <f t="shared" si="1142"/>
        <v>0</v>
      </c>
      <c r="CL593" s="424">
        <f t="shared" si="1142"/>
        <v>0</v>
      </c>
      <c r="CM593" s="424">
        <f t="shared" si="1142"/>
        <v>0</v>
      </c>
      <c r="CN593" s="424">
        <f t="shared" si="1142"/>
        <v>0</v>
      </c>
      <c r="CO593" s="424">
        <f t="shared" si="1142"/>
        <v>0</v>
      </c>
      <c r="CP593" s="424">
        <f t="shared" si="1142"/>
        <v>0</v>
      </c>
      <c r="CQ593" s="424">
        <f t="shared" si="1142"/>
        <v>0</v>
      </c>
      <c r="CR593" s="424">
        <f t="shared" si="1142"/>
        <v>0</v>
      </c>
      <c r="CS593" s="424">
        <f t="shared" si="1142"/>
        <v>0</v>
      </c>
      <c r="CT593" s="424">
        <f t="shared" si="1142"/>
        <v>0</v>
      </c>
      <c r="CU593" s="424">
        <f t="shared" si="1142"/>
        <v>0</v>
      </c>
      <c r="CV593" s="424">
        <f t="shared" si="1142"/>
        <v>0</v>
      </c>
      <c r="CW593" s="424">
        <f t="shared" si="1142"/>
        <v>0</v>
      </c>
      <c r="CX593" s="424">
        <f t="shared" si="1142"/>
        <v>0</v>
      </c>
      <c r="CY593" s="424">
        <f t="shared" si="1142"/>
        <v>0</v>
      </c>
      <c r="CZ593" s="424">
        <f t="shared" si="1142"/>
        <v>0</v>
      </c>
      <c r="DA593" s="424">
        <f t="shared" si="1142"/>
        <v>0</v>
      </c>
      <c r="DB593" s="424">
        <f t="shared" ref="DB593:EG593" si="1143">DB223*DB$372</f>
        <v>0</v>
      </c>
      <c r="DC593" s="424">
        <f t="shared" si="1143"/>
        <v>7.0000000000000007E-2</v>
      </c>
      <c r="DD593" s="424">
        <f t="shared" si="1143"/>
        <v>0</v>
      </c>
      <c r="DE593" s="424">
        <f t="shared" si="1143"/>
        <v>0</v>
      </c>
      <c r="DF593" s="424">
        <f t="shared" si="1143"/>
        <v>0</v>
      </c>
      <c r="DG593" s="424">
        <f t="shared" si="1143"/>
        <v>0</v>
      </c>
      <c r="DH593" s="424">
        <f t="shared" si="1143"/>
        <v>0</v>
      </c>
      <c r="DI593" s="424">
        <f t="shared" si="1143"/>
        <v>0</v>
      </c>
      <c r="DJ593" s="424">
        <f t="shared" si="1143"/>
        <v>0</v>
      </c>
      <c r="DK593" s="424">
        <f t="shared" si="1143"/>
        <v>0</v>
      </c>
      <c r="DL593" s="424">
        <f t="shared" si="1143"/>
        <v>0</v>
      </c>
      <c r="DM593" s="424">
        <f t="shared" si="1143"/>
        <v>0</v>
      </c>
      <c r="DN593" s="424">
        <f t="shared" si="1143"/>
        <v>0</v>
      </c>
      <c r="DO593" s="424">
        <f t="shared" si="1143"/>
        <v>0</v>
      </c>
      <c r="DP593" s="424">
        <f t="shared" si="1143"/>
        <v>0</v>
      </c>
      <c r="DQ593" s="424">
        <f t="shared" si="1143"/>
        <v>0</v>
      </c>
      <c r="DR593" s="424">
        <f t="shared" si="1143"/>
        <v>0</v>
      </c>
      <c r="DS593" s="424">
        <f t="shared" si="1143"/>
        <v>0</v>
      </c>
      <c r="DT593" s="424">
        <f t="shared" si="1143"/>
        <v>0</v>
      </c>
      <c r="DU593" s="424">
        <f t="shared" si="1143"/>
        <v>0</v>
      </c>
      <c r="DV593" s="424">
        <f t="shared" si="1143"/>
        <v>0</v>
      </c>
      <c r="DW593" s="424">
        <f t="shared" si="1143"/>
        <v>0</v>
      </c>
      <c r="DX593" s="424">
        <f t="shared" si="1143"/>
        <v>0</v>
      </c>
      <c r="DY593" s="424">
        <f t="shared" si="1143"/>
        <v>0</v>
      </c>
      <c r="DZ593" s="424">
        <f t="shared" si="1143"/>
        <v>0</v>
      </c>
      <c r="EA593" s="424">
        <f t="shared" si="1143"/>
        <v>0</v>
      </c>
      <c r="EB593" s="424">
        <f t="shared" si="1143"/>
        <v>0</v>
      </c>
      <c r="EC593" s="424">
        <f t="shared" si="1143"/>
        <v>0</v>
      </c>
      <c r="ED593" s="424">
        <f t="shared" si="1143"/>
        <v>0</v>
      </c>
      <c r="EE593" s="424">
        <f t="shared" si="1143"/>
        <v>0</v>
      </c>
      <c r="EF593" s="424">
        <f t="shared" si="1143"/>
        <v>0</v>
      </c>
      <c r="EG593" s="424">
        <f t="shared" si="1143"/>
        <v>0</v>
      </c>
      <c r="EH593" s="424">
        <f t="shared" ref="EH593:EX593" si="1144">EH223*EH$372</f>
        <v>0</v>
      </c>
      <c r="EI593" s="424">
        <f t="shared" si="1144"/>
        <v>0</v>
      </c>
      <c r="EJ593" s="424">
        <f t="shared" si="1144"/>
        <v>0</v>
      </c>
      <c r="EK593" s="424">
        <f t="shared" si="1144"/>
        <v>0</v>
      </c>
      <c r="EL593" s="424">
        <f t="shared" si="1144"/>
        <v>0</v>
      </c>
      <c r="EM593" s="424">
        <f t="shared" si="1144"/>
        <v>0</v>
      </c>
      <c r="EN593" s="424">
        <f t="shared" si="1144"/>
        <v>0</v>
      </c>
      <c r="EO593" s="424">
        <f t="shared" si="1144"/>
        <v>0</v>
      </c>
      <c r="EP593" s="424">
        <f t="shared" si="1144"/>
        <v>0</v>
      </c>
      <c r="EQ593" s="424">
        <f t="shared" si="1144"/>
        <v>0</v>
      </c>
      <c r="ER593" s="424">
        <f t="shared" si="1144"/>
        <v>0</v>
      </c>
      <c r="ES593" s="424">
        <f t="shared" si="1144"/>
        <v>0</v>
      </c>
      <c r="ET593" s="424">
        <f t="shared" si="1144"/>
        <v>0</v>
      </c>
      <c r="EU593" s="424">
        <f t="shared" si="1144"/>
        <v>0</v>
      </c>
      <c r="EV593" s="424">
        <f t="shared" si="1144"/>
        <v>0.52</v>
      </c>
      <c r="EW593" s="424">
        <f t="shared" si="1144"/>
        <v>0</v>
      </c>
      <c r="EX593" s="424">
        <f t="shared" si="1144"/>
        <v>0</v>
      </c>
      <c r="EY593" s="425">
        <f t="shared" si="1064"/>
        <v>18.559999999999999</v>
      </c>
    </row>
    <row r="594" spans="1:166" x14ac:dyDescent="0.25">
      <c r="A594" s="310">
        <v>220</v>
      </c>
      <c r="B594" s="311" t="str">
        <f t="shared" si="1005"/>
        <v>Зразы из кур, бройлеров-цыплят с омлетом и овощами</v>
      </c>
      <c r="C594" s="483">
        <f t="shared" si="1018"/>
        <v>28.73</v>
      </c>
      <c r="D594" s="888"/>
      <c r="E594" s="888"/>
      <c r="F594" s="888"/>
      <c r="G594" s="889"/>
      <c r="H594" s="680">
        <f t="shared" si="1006"/>
        <v>298</v>
      </c>
      <c r="I594" s="1209">
        <f t="shared" si="1007"/>
        <v>0</v>
      </c>
      <c r="J594" s="424">
        <f t="shared" ref="J594:AO594" si="1145">J224*J$372</f>
        <v>0</v>
      </c>
      <c r="K594" s="424">
        <f t="shared" si="1145"/>
        <v>0</v>
      </c>
      <c r="L594" s="424">
        <f t="shared" si="1145"/>
        <v>20.09</v>
      </c>
      <c r="M594" s="424">
        <f t="shared" si="1145"/>
        <v>0</v>
      </c>
      <c r="N594" s="424">
        <f t="shared" si="1145"/>
        <v>0</v>
      </c>
      <c r="O594" s="424">
        <f t="shared" si="1145"/>
        <v>0</v>
      </c>
      <c r="P594" s="424">
        <f t="shared" si="1145"/>
        <v>0.2</v>
      </c>
      <c r="Q594" s="424">
        <f t="shared" si="1145"/>
        <v>0</v>
      </c>
      <c r="R594" s="424">
        <f t="shared" si="1145"/>
        <v>0</v>
      </c>
      <c r="S594" s="424">
        <f t="shared" si="1145"/>
        <v>0</v>
      </c>
      <c r="T594" s="424">
        <f t="shared" si="1145"/>
        <v>0</v>
      </c>
      <c r="U594" s="424">
        <f t="shared" si="1145"/>
        <v>1.04</v>
      </c>
      <c r="V594" s="424">
        <f t="shared" si="1145"/>
        <v>4.26</v>
      </c>
      <c r="W594" s="424">
        <f t="shared" si="1145"/>
        <v>0</v>
      </c>
      <c r="X594" s="424">
        <f t="shared" si="1145"/>
        <v>0</v>
      </c>
      <c r="Y594" s="424">
        <f t="shared" si="1145"/>
        <v>0</v>
      </c>
      <c r="Z594" s="424">
        <f t="shared" si="1145"/>
        <v>0</v>
      </c>
      <c r="AA594" s="424">
        <f t="shared" si="1145"/>
        <v>0</v>
      </c>
      <c r="AB594" s="424">
        <f t="shared" si="1145"/>
        <v>0</v>
      </c>
      <c r="AC594" s="424">
        <f t="shared" si="1145"/>
        <v>0</v>
      </c>
      <c r="AD594" s="424">
        <f t="shared" si="1145"/>
        <v>0</v>
      </c>
      <c r="AE594" s="424">
        <f t="shared" si="1145"/>
        <v>0.76</v>
      </c>
      <c r="AF594" s="424">
        <f t="shared" si="1145"/>
        <v>0</v>
      </c>
      <c r="AG594" s="424">
        <f t="shared" si="1145"/>
        <v>0</v>
      </c>
      <c r="AH594" s="424">
        <f t="shared" si="1145"/>
        <v>0</v>
      </c>
      <c r="AI594" s="424">
        <f t="shared" si="1145"/>
        <v>0</v>
      </c>
      <c r="AJ594" s="424">
        <f t="shared" si="1145"/>
        <v>0</v>
      </c>
      <c r="AK594" s="424">
        <f t="shared" si="1145"/>
        <v>0</v>
      </c>
      <c r="AL594" s="424">
        <f t="shared" si="1145"/>
        <v>0</v>
      </c>
      <c r="AM594" s="424">
        <f t="shared" si="1145"/>
        <v>0</v>
      </c>
      <c r="AN594" s="424">
        <f t="shared" si="1145"/>
        <v>0</v>
      </c>
      <c r="AO594" s="424">
        <f t="shared" si="1145"/>
        <v>0</v>
      </c>
      <c r="AP594" s="424">
        <f t="shared" ref="AP594:BU594" si="1146">AP224*AP$372</f>
        <v>0</v>
      </c>
      <c r="AQ594" s="424">
        <f t="shared" si="1146"/>
        <v>0.35</v>
      </c>
      <c r="AR594" s="424">
        <f t="shared" si="1146"/>
        <v>0</v>
      </c>
      <c r="AS594" s="424">
        <f t="shared" si="1146"/>
        <v>0</v>
      </c>
      <c r="AT594" s="424">
        <f t="shared" si="1146"/>
        <v>0</v>
      </c>
      <c r="AU594" s="424">
        <f t="shared" si="1146"/>
        <v>0</v>
      </c>
      <c r="AV594" s="424">
        <f t="shared" si="1146"/>
        <v>0</v>
      </c>
      <c r="AW594" s="424">
        <f t="shared" si="1146"/>
        <v>0</v>
      </c>
      <c r="AX594" s="424">
        <f t="shared" si="1146"/>
        <v>0</v>
      </c>
      <c r="AY594" s="424">
        <f t="shared" si="1146"/>
        <v>0</v>
      </c>
      <c r="AZ594" s="424">
        <f t="shared" si="1146"/>
        <v>1.44</v>
      </c>
      <c r="BA594" s="424">
        <f t="shared" si="1146"/>
        <v>0</v>
      </c>
      <c r="BB594" s="424">
        <f t="shared" si="1146"/>
        <v>0</v>
      </c>
      <c r="BC594" s="424">
        <f t="shared" si="1146"/>
        <v>0</v>
      </c>
      <c r="BD594" s="424">
        <f t="shared" si="1146"/>
        <v>0</v>
      </c>
      <c r="BE594" s="424">
        <f t="shared" si="1146"/>
        <v>0</v>
      </c>
      <c r="BF594" s="424">
        <f t="shared" si="1146"/>
        <v>0</v>
      </c>
      <c r="BG594" s="424">
        <f t="shared" si="1146"/>
        <v>0</v>
      </c>
      <c r="BH594" s="424">
        <f t="shared" si="1146"/>
        <v>0</v>
      </c>
      <c r="BI594" s="424">
        <f t="shared" si="1146"/>
        <v>0</v>
      </c>
      <c r="BJ594" s="424">
        <f t="shared" si="1146"/>
        <v>0</v>
      </c>
      <c r="BK594" s="424">
        <f t="shared" si="1146"/>
        <v>0</v>
      </c>
      <c r="BL594" s="424">
        <f t="shared" si="1146"/>
        <v>0</v>
      </c>
      <c r="BM594" s="424">
        <f t="shared" si="1146"/>
        <v>0</v>
      </c>
      <c r="BN594" s="424">
        <f t="shared" si="1146"/>
        <v>0</v>
      </c>
      <c r="BO594" s="424">
        <f t="shared" si="1146"/>
        <v>0</v>
      </c>
      <c r="BP594" s="424">
        <f t="shared" si="1146"/>
        <v>0</v>
      </c>
      <c r="BQ594" s="424">
        <f t="shared" si="1146"/>
        <v>0</v>
      </c>
      <c r="BR594" s="424">
        <f t="shared" si="1146"/>
        <v>0</v>
      </c>
      <c r="BS594" s="424">
        <f t="shared" si="1146"/>
        <v>0</v>
      </c>
      <c r="BT594" s="424">
        <f t="shared" si="1146"/>
        <v>0</v>
      </c>
      <c r="BU594" s="424">
        <f t="shared" si="1146"/>
        <v>0</v>
      </c>
      <c r="BV594" s="424">
        <f t="shared" ref="BV594:DA594" si="1147">BV224*BV$372</f>
        <v>0</v>
      </c>
      <c r="BW594" s="424">
        <f t="shared" si="1147"/>
        <v>0</v>
      </c>
      <c r="BX594" s="424">
        <f t="shared" si="1147"/>
        <v>0</v>
      </c>
      <c r="BY594" s="424">
        <f t="shared" si="1147"/>
        <v>0</v>
      </c>
      <c r="BZ594" s="424">
        <f t="shared" si="1147"/>
        <v>0</v>
      </c>
      <c r="CA594" s="424">
        <f t="shared" si="1147"/>
        <v>0</v>
      </c>
      <c r="CB594" s="424">
        <f t="shared" si="1147"/>
        <v>0</v>
      </c>
      <c r="CC594" s="424">
        <f t="shared" si="1147"/>
        <v>0</v>
      </c>
      <c r="CD594" s="424">
        <f t="shared" si="1147"/>
        <v>0</v>
      </c>
      <c r="CE594" s="424">
        <f t="shared" si="1147"/>
        <v>0</v>
      </c>
      <c r="CF594" s="424">
        <f t="shared" si="1147"/>
        <v>0</v>
      </c>
      <c r="CG594" s="424">
        <f t="shared" si="1147"/>
        <v>0</v>
      </c>
      <c r="CH594" s="424">
        <f t="shared" si="1147"/>
        <v>0</v>
      </c>
      <c r="CI594" s="424">
        <f t="shared" si="1147"/>
        <v>0</v>
      </c>
      <c r="CJ594" s="424">
        <f t="shared" si="1147"/>
        <v>0</v>
      </c>
      <c r="CK594" s="424">
        <f t="shared" si="1147"/>
        <v>0</v>
      </c>
      <c r="CL594" s="424">
        <f t="shared" si="1147"/>
        <v>0</v>
      </c>
      <c r="CM594" s="424">
        <f t="shared" si="1147"/>
        <v>0</v>
      </c>
      <c r="CN594" s="424">
        <f t="shared" si="1147"/>
        <v>0</v>
      </c>
      <c r="CO594" s="424">
        <f t="shared" si="1147"/>
        <v>0</v>
      </c>
      <c r="CP594" s="424">
        <f t="shared" si="1147"/>
        <v>0</v>
      </c>
      <c r="CQ594" s="424">
        <f t="shared" si="1147"/>
        <v>0</v>
      </c>
      <c r="CR594" s="424">
        <f t="shared" si="1147"/>
        <v>0</v>
      </c>
      <c r="CS594" s="424">
        <f t="shared" si="1147"/>
        <v>0</v>
      </c>
      <c r="CT594" s="424">
        <f t="shared" si="1147"/>
        <v>0</v>
      </c>
      <c r="CU594" s="424">
        <f t="shared" si="1147"/>
        <v>0</v>
      </c>
      <c r="CV594" s="424">
        <f t="shared" si="1147"/>
        <v>0</v>
      </c>
      <c r="CW594" s="424">
        <f t="shared" si="1147"/>
        <v>0</v>
      </c>
      <c r="CX594" s="424">
        <f t="shared" si="1147"/>
        <v>0</v>
      </c>
      <c r="CY594" s="424">
        <f t="shared" si="1147"/>
        <v>0</v>
      </c>
      <c r="CZ594" s="424">
        <f t="shared" si="1147"/>
        <v>0</v>
      </c>
      <c r="DA594" s="424">
        <f t="shared" si="1147"/>
        <v>0</v>
      </c>
      <c r="DB594" s="424">
        <f t="shared" ref="DB594:EG594" si="1148">DB224*DB$372</f>
        <v>0</v>
      </c>
      <c r="DC594" s="424">
        <f t="shared" si="1148"/>
        <v>7.0000000000000007E-2</v>
      </c>
      <c r="DD594" s="424">
        <f t="shared" si="1148"/>
        <v>0</v>
      </c>
      <c r="DE594" s="424">
        <f t="shared" si="1148"/>
        <v>0</v>
      </c>
      <c r="DF594" s="424">
        <f t="shared" si="1148"/>
        <v>0</v>
      </c>
      <c r="DG594" s="424">
        <f t="shared" si="1148"/>
        <v>0</v>
      </c>
      <c r="DH594" s="424">
        <f t="shared" si="1148"/>
        <v>0</v>
      </c>
      <c r="DI594" s="424">
        <f t="shared" si="1148"/>
        <v>0</v>
      </c>
      <c r="DJ594" s="424">
        <f t="shared" si="1148"/>
        <v>0</v>
      </c>
      <c r="DK594" s="424">
        <f t="shared" si="1148"/>
        <v>0</v>
      </c>
      <c r="DL594" s="424">
        <f t="shared" si="1148"/>
        <v>0</v>
      </c>
      <c r="DM594" s="424">
        <f t="shared" si="1148"/>
        <v>0</v>
      </c>
      <c r="DN594" s="424">
        <f t="shared" si="1148"/>
        <v>0</v>
      </c>
      <c r="DO594" s="424">
        <f t="shared" si="1148"/>
        <v>0</v>
      </c>
      <c r="DP594" s="424">
        <f t="shared" si="1148"/>
        <v>0</v>
      </c>
      <c r="DQ594" s="424">
        <f t="shared" si="1148"/>
        <v>0</v>
      </c>
      <c r="DR594" s="424">
        <f t="shared" si="1148"/>
        <v>0</v>
      </c>
      <c r="DS594" s="424">
        <f t="shared" si="1148"/>
        <v>0</v>
      </c>
      <c r="DT594" s="424">
        <f t="shared" si="1148"/>
        <v>0</v>
      </c>
      <c r="DU594" s="424">
        <f t="shared" si="1148"/>
        <v>0</v>
      </c>
      <c r="DV594" s="424">
        <f t="shared" si="1148"/>
        <v>0</v>
      </c>
      <c r="DW594" s="424">
        <f t="shared" si="1148"/>
        <v>0</v>
      </c>
      <c r="DX594" s="424">
        <f t="shared" si="1148"/>
        <v>0</v>
      </c>
      <c r="DY594" s="424">
        <f t="shared" si="1148"/>
        <v>0</v>
      </c>
      <c r="DZ594" s="424">
        <f t="shared" si="1148"/>
        <v>0</v>
      </c>
      <c r="EA594" s="424">
        <f t="shared" si="1148"/>
        <v>0</v>
      </c>
      <c r="EB594" s="424">
        <f t="shared" si="1148"/>
        <v>0</v>
      </c>
      <c r="EC594" s="424">
        <f t="shared" si="1148"/>
        <v>0</v>
      </c>
      <c r="ED594" s="424">
        <f t="shared" si="1148"/>
        <v>0</v>
      </c>
      <c r="EE594" s="424">
        <f t="shared" si="1148"/>
        <v>0</v>
      </c>
      <c r="EF594" s="424">
        <f t="shared" si="1148"/>
        <v>0</v>
      </c>
      <c r="EG594" s="424">
        <f t="shared" si="1148"/>
        <v>0</v>
      </c>
      <c r="EH594" s="424">
        <f t="shared" ref="EH594:EX594" si="1149">EH224*EH$372</f>
        <v>0</v>
      </c>
      <c r="EI594" s="424">
        <f t="shared" si="1149"/>
        <v>0</v>
      </c>
      <c r="EJ594" s="424">
        <f t="shared" si="1149"/>
        <v>0</v>
      </c>
      <c r="EK594" s="424">
        <f t="shared" si="1149"/>
        <v>0</v>
      </c>
      <c r="EL594" s="424">
        <f t="shared" si="1149"/>
        <v>0</v>
      </c>
      <c r="EM594" s="424">
        <f t="shared" si="1149"/>
        <v>0</v>
      </c>
      <c r="EN594" s="424">
        <f t="shared" si="1149"/>
        <v>0</v>
      </c>
      <c r="EO594" s="424">
        <f t="shared" si="1149"/>
        <v>0</v>
      </c>
      <c r="EP594" s="424">
        <f t="shared" si="1149"/>
        <v>0</v>
      </c>
      <c r="EQ594" s="424">
        <f t="shared" si="1149"/>
        <v>0</v>
      </c>
      <c r="ER594" s="424">
        <f t="shared" si="1149"/>
        <v>0</v>
      </c>
      <c r="ES594" s="424">
        <f t="shared" si="1149"/>
        <v>0</v>
      </c>
      <c r="ET594" s="424">
        <f t="shared" si="1149"/>
        <v>0</v>
      </c>
      <c r="EU594" s="424">
        <f t="shared" si="1149"/>
        <v>0</v>
      </c>
      <c r="EV594" s="424">
        <f t="shared" si="1149"/>
        <v>0.52</v>
      </c>
      <c r="EW594" s="424">
        <f t="shared" si="1149"/>
        <v>0</v>
      </c>
      <c r="EX594" s="424">
        <f t="shared" si="1149"/>
        <v>0</v>
      </c>
      <c r="EY594" s="425">
        <f t="shared" si="1064"/>
        <v>28.73</v>
      </c>
    </row>
    <row r="595" spans="1:166" x14ac:dyDescent="0.25">
      <c r="A595" s="310">
        <v>221</v>
      </c>
      <c r="B595" s="311" t="str">
        <f t="shared" si="1005"/>
        <v>Каша рассыпчатая гречневая (гарнир)</v>
      </c>
      <c r="C595" s="483">
        <f t="shared" si="1018"/>
        <v>10.69</v>
      </c>
      <c r="D595" s="888"/>
      <c r="E595" s="888"/>
      <c r="F595" s="888"/>
      <c r="G595" s="889"/>
      <c r="H595" s="680">
        <f t="shared" si="1006"/>
        <v>302</v>
      </c>
      <c r="I595" s="1209">
        <f t="shared" si="1007"/>
        <v>0</v>
      </c>
      <c r="J595" s="424">
        <f t="shared" ref="J595:AO595" si="1150">J225*J$372</f>
        <v>0</v>
      </c>
      <c r="K595" s="424">
        <f t="shared" si="1150"/>
        <v>0</v>
      </c>
      <c r="L595" s="424">
        <f t="shared" si="1150"/>
        <v>0</v>
      </c>
      <c r="M595" s="424">
        <f t="shared" si="1150"/>
        <v>0</v>
      </c>
      <c r="N595" s="424">
        <f t="shared" si="1150"/>
        <v>0</v>
      </c>
      <c r="O595" s="424">
        <f t="shared" si="1150"/>
        <v>0</v>
      </c>
      <c r="P595" s="424">
        <f t="shared" si="1150"/>
        <v>0</v>
      </c>
      <c r="Q595" s="424">
        <f t="shared" si="1150"/>
        <v>0</v>
      </c>
      <c r="R595" s="424">
        <f t="shared" si="1150"/>
        <v>0</v>
      </c>
      <c r="S595" s="424">
        <f t="shared" si="1150"/>
        <v>0</v>
      </c>
      <c r="T595" s="424">
        <f t="shared" si="1150"/>
        <v>0</v>
      </c>
      <c r="U595" s="424">
        <f t="shared" si="1150"/>
        <v>0</v>
      </c>
      <c r="V595" s="424">
        <f t="shared" si="1150"/>
        <v>3.73</v>
      </c>
      <c r="W595" s="424">
        <f t="shared" si="1150"/>
        <v>0</v>
      </c>
      <c r="X595" s="424">
        <f t="shared" si="1150"/>
        <v>0</v>
      </c>
      <c r="Y595" s="424">
        <f t="shared" si="1150"/>
        <v>0</v>
      </c>
      <c r="Z595" s="424">
        <f t="shared" si="1150"/>
        <v>0</v>
      </c>
      <c r="AA595" s="424">
        <f t="shared" si="1150"/>
        <v>0</v>
      </c>
      <c r="AB595" s="424">
        <f t="shared" si="1150"/>
        <v>0</v>
      </c>
      <c r="AC595" s="424">
        <f t="shared" si="1150"/>
        <v>0</v>
      </c>
      <c r="AD595" s="424">
        <f t="shared" si="1150"/>
        <v>0</v>
      </c>
      <c r="AE595" s="424">
        <f t="shared" si="1150"/>
        <v>0</v>
      </c>
      <c r="AF595" s="424">
        <f t="shared" si="1150"/>
        <v>0</v>
      </c>
      <c r="AG595" s="424">
        <f t="shared" si="1150"/>
        <v>0</v>
      </c>
      <c r="AH595" s="424">
        <f t="shared" si="1150"/>
        <v>0</v>
      </c>
      <c r="AI595" s="424">
        <f t="shared" si="1150"/>
        <v>0</v>
      </c>
      <c r="AJ595" s="424">
        <f t="shared" si="1150"/>
        <v>0</v>
      </c>
      <c r="AK595" s="424">
        <f t="shared" si="1150"/>
        <v>0</v>
      </c>
      <c r="AL595" s="424">
        <f t="shared" si="1150"/>
        <v>0</v>
      </c>
      <c r="AM595" s="424">
        <f t="shared" si="1150"/>
        <v>0</v>
      </c>
      <c r="AN595" s="424">
        <f t="shared" si="1150"/>
        <v>0</v>
      </c>
      <c r="AO595" s="424">
        <f t="shared" si="1150"/>
        <v>0</v>
      </c>
      <c r="AP595" s="424">
        <f t="shared" ref="AP595:BU595" si="1151">AP225*AP$372</f>
        <v>0</v>
      </c>
      <c r="AQ595" s="424">
        <f t="shared" si="1151"/>
        <v>0</v>
      </c>
      <c r="AR595" s="424">
        <f t="shared" si="1151"/>
        <v>0</v>
      </c>
      <c r="AS595" s="424">
        <f t="shared" si="1151"/>
        <v>0</v>
      </c>
      <c r="AT595" s="424">
        <f t="shared" si="1151"/>
        <v>0</v>
      </c>
      <c r="AU595" s="424">
        <f t="shared" si="1151"/>
        <v>0</v>
      </c>
      <c r="AV595" s="424">
        <f t="shared" si="1151"/>
        <v>0</v>
      </c>
      <c r="AW595" s="424">
        <f t="shared" si="1151"/>
        <v>0</v>
      </c>
      <c r="AX595" s="424">
        <f t="shared" si="1151"/>
        <v>0</v>
      </c>
      <c r="AY595" s="424">
        <f t="shared" si="1151"/>
        <v>0</v>
      </c>
      <c r="AZ595" s="424">
        <f t="shared" si="1151"/>
        <v>0</v>
      </c>
      <c r="BA595" s="424">
        <f t="shared" si="1151"/>
        <v>0</v>
      </c>
      <c r="BB595" s="424">
        <f t="shared" si="1151"/>
        <v>0</v>
      </c>
      <c r="BC595" s="424">
        <f t="shared" si="1151"/>
        <v>0</v>
      </c>
      <c r="BD595" s="424">
        <f t="shared" si="1151"/>
        <v>0</v>
      </c>
      <c r="BE595" s="424">
        <f t="shared" si="1151"/>
        <v>0</v>
      </c>
      <c r="BF595" s="424">
        <f t="shared" si="1151"/>
        <v>0</v>
      </c>
      <c r="BG595" s="424">
        <f t="shared" si="1151"/>
        <v>0</v>
      </c>
      <c r="BH595" s="424">
        <f t="shared" si="1151"/>
        <v>0</v>
      </c>
      <c r="BI595" s="424">
        <f t="shared" si="1151"/>
        <v>0</v>
      </c>
      <c r="BJ595" s="424">
        <f t="shared" si="1151"/>
        <v>0</v>
      </c>
      <c r="BK595" s="424">
        <f t="shared" si="1151"/>
        <v>0</v>
      </c>
      <c r="BL595" s="424">
        <f t="shared" si="1151"/>
        <v>0</v>
      </c>
      <c r="BM595" s="424">
        <f t="shared" si="1151"/>
        <v>0</v>
      </c>
      <c r="BN595" s="424">
        <f t="shared" si="1151"/>
        <v>0</v>
      </c>
      <c r="BO595" s="424">
        <f t="shared" si="1151"/>
        <v>0</v>
      </c>
      <c r="BP595" s="424">
        <f t="shared" si="1151"/>
        <v>0</v>
      </c>
      <c r="BQ595" s="424">
        <f t="shared" si="1151"/>
        <v>0</v>
      </c>
      <c r="BR595" s="424">
        <f t="shared" si="1151"/>
        <v>0</v>
      </c>
      <c r="BS595" s="424">
        <f t="shared" si="1151"/>
        <v>0</v>
      </c>
      <c r="BT595" s="424">
        <f t="shared" si="1151"/>
        <v>6.89</v>
      </c>
      <c r="BU595" s="424">
        <f t="shared" si="1151"/>
        <v>0</v>
      </c>
      <c r="BV595" s="424">
        <f t="shared" ref="BV595:DA595" si="1152">BV225*BV$372</f>
        <v>0</v>
      </c>
      <c r="BW595" s="424">
        <f t="shared" si="1152"/>
        <v>0</v>
      </c>
      <c r="BX595" s="424">
        <f t="shared" si="1152"/>
        <v>0</v>
      </c>
      <c r="BY595" s="424">
        <f t="shared" si="1152"/>
        <v>0</v>
      </c>
      <c r="BZ595" s="424">
        <f t="shared" si="1152"/>
        <v>0</v>
      </c>
      <c r="CA595" s="424">
        <f t="shared" si="1152"/>
        <v>0</v>
      </c>
      <c r="CB595" s="424">
        <f t="shared" si="1152"/>
        <v>0</v>
      </c>
      <c r="CC595" s="424">
        <f t="shared" si="1152"/>
        <v>0</v>
      </c>
      <c r="CD595" s="424">
        <f t="shared" si="1152"/>
        <v>0</v>
      </c>
      <c r="CE595" s="424">
        <f t="shared" si="1152"/>
        <v>0</v>
      </c>
      <c r="CF595" s="424">
        <f t="shared" si="1152"/>
        <v>0</v>
      </c>
      <c r="CG595" s="424">
        <f t="shared" si="1152"/>
        <v>0</v>
      </c>
      <c r="CH595" s="424">
        <f t="shared" si="1152"/>
        <v>0</v>
      </c>
      <c r="CI595" s="424">
        <f t="shared" si="1152"/>
        <v>0</v>
      </c>
      <c r="CJ595" s="424">
        <f t="shared" si="1152"/>
        <v>0</v>
      </c>
      <c r="CK595" s="424">
        <f t="shared" si="1152"/>
        <v>0</v>
      </c>
      <c r="CL595" s="424">
        <f t="shared" si="1152"/>
        <v>0</v>
      </c>
      <c r="CM595" s="424">
        <f t="shared" si="1152"/>
        <v>0</v>
      </c>
      <c r="CN595" s="424">
        <f t="shared" si="1152"/>
        <v>0</v>
      </c>
      <c r="CO595" s="424">
        <f t="shared" si="1152"/>
        <v>0</v>
      </c>
      <c r="CP595" s="424">
        <f t="shared" si="1152"/>
        <v>0</v>
      </c>
      <c r="CQ595" s="424">
        <f t="shared" si="1152"/>
        <v>0</v>
      </c>
      <c r="CR595" s="424">
        <f t="shared" si="1152"/>
        <v>0</v>
      </c>
      <c r="CS595" s="424">
        <f t="shared" si="1152"/>
        <v>0</v>
      </c>
      <c r="CT595" s="424">
        <f t="shared" si="1152"/>
        <v>0</v>
      </c>
      <c r="CU595" s="424">
        <f t="shared" si="1152"/>
        <v>0</v>
      </c>
      <c r="CV595" s="424">
        <f t="shared" si="1152"/>
        <v>0</v>
      </c>
      <c r="CW595" s="424">
        <f t="shared" si="1152"/>
        <v>0</v>
      </c>
      <c r="CX595" s="424">
        <f t="shared" si="1152"/>
        <v>0</v>
      </c>
      <c r="CY595" s="424">
        <f t="shared" si="1152"/>
        <v>0</v>
      </c>
      <c r="CZ595" s="424">
        <f t="shared" si="1152"/>
        <v>0</v>
      </c>
      <c r="DA595" s="424">
        <f t="shared" si="1152"/>
        <v>0</v>
      </c>
      <c r="DB595" s="424">
        <f t="shared" ref="DB595:EG595" si="1153">DB225*DB$372</f>
        <v>0</v>
      </c>
      <c r="DC595" s="424">
        <f t="shared" si="1153"/>
        <v>7.0000000000000007E-2</v>
      </c>
      <c r="DD595" s="424">
        <f t="shared" si="1153"/>
        <v>0</v>
      </c>
      <c r="DE595" s="424">
        <f t="shared" si="1153"/>
        <v>0</v>
      </c>
      <c r="DF595" s="424">
        <f t="shared" si="1153"/>
        <v>0</v>
      </c>
      <c r="DG595" s="424">
        <f t="shared" si="1153"/>
        <v>0</v>
      </c>
      <c r="DH595" s="424">
        <f t="shared" si="1153"/>
        <v>0</v>
      </c>
      <c r="DI595" s="424">
        <f t="shared" si="1153"/>
        <v>0</v>
      </c>
      <c r="DJ595" s="424">
        <f t="shared" si="1153"/>
        <v>0</v>
      </c>
      <c r="DK595" s="424">
        <f t="shared" si="1153"/>
        <v>0</v>
      </c>
      <c r="DL595" s="424">
        <f t="shared" si="1153"/>
        <v>0</v>
      </c>
      <c r="DM595" s="424">
        <f t="shared" si="1153"/>
        <v>0</v>
      </c>
      <c r="DN595" s="424">
        <f t="shared" si="1153"/>
        <v>0</v>
      </c>
      <c r="DO595" s="424">
        <f t="shared" si="1153"/>
        <v>0</v>
      </c>
      <c r="DP595" s="424">
        <f t="shared" si="1153"/>
        <v>0</v>
      </c>
      <c r="DQ595" s="424">
        <f t="shared" si="1153"/>
        <v>0</v>
      </c>
      <c r="DR595" s="424">
        <f t="shared" si="1153"/>
        <v>0</v>
      </c>
      <c r="DS595" s="424">
        <f t="shared" si="1153"/>
        <v>0</v>
      </c>
      <c r="DT595" s="424">
        <f t="shared" si="1153"/>
        <v>0</v>
      </c>
      <c r="DU595" s="424">
        <f t="shared" si="1153"/>
        <v>0</v>
      </c>
      <c r="DV595" s="424">
        <f t="shared" si="1153"/>
        <v>0</v>
      </c>
      <c r="DW595" s="424">
        <f t="shared" si="1153"/>
        <v>0</v>
      </c>
      <c r="DX595" s="424">
        <f t="shared" si="1153"/>
        <v>0</v>
      </c>
      <c r="DY595" s="424">
        <f t="shared" si="1153"/>
        <v>0</v>
      </c>
      <c r="DZ595" s="424">
        <f t="shared" si="1153"/>
        <v>0</v>
      </c>
      <c r="EA595" s="424">
        <f t="shared" si="1153"/>
        <v>0</v>
      </c>
      <c r="EB595" s="424">
        <f t="shared" si="1153"/>
        <v>0</v>
      </c>
      <c r="EC595" s="424">
        <f t="shared" si="1153"/>
        <v>0</v>
      </c>
      <c r="ED595" s="424">
        <f t="shared" si="1153"/>
        <v>0</v>
      </c>
      <c r="EE595" s="424">
        <f t="shared" si="1153"/>
        <v>0</v>
      </c>
      <c r="EF595" s="424">
        <f t="shared" si="1153"/>
        <v>0</v>
      </c>
      <c r="EG595" s="424">
        <f t="shared" si="1153"/>
        <v>0</v>
      </c>
      <c r="EH595" s="424">
        <f t="shared" ref="EH595:EX595" si="1154">EH225*EH$372</f>
        <v>0</v>
      </c>
      <c r="EI595" s="424">
        <f t="shared" si="1154"/>
        <v>0</v>
      </c>
      <c r="EJ595" s="424">
        <f t="shared" si="1154"/>
        <v>0</v>
      </c>
      <c r="EK595" s="424">
        <f t="shared" si="1154"/>
        <v>0</v>
      </c>
      <c r="EL595" s="424">
        <f t="shared" si="1154"/>
        <v>0</v>
      </c>
      <c r="EM595" s="424">
        <f t="shared" si="1154"/>
        <v>0</v>
      </c>
      <c r="EN595" s="424">
        <f t="shared" si="1154"/>
        <v>0</v>
      </c>
      <c r="EO595" s="424">
        <f t="shared" si="1154"/>
        <v>0</v>
      </c>
      <c r="EP595" s="424">
        <f t="shared" si="1154"/>
        <v>0</v>
      </c>
      <c r="EQ595" s="424">
        <f t="shared" si="1154"/>
        <v>0</v>
      </c>
      <c r="ER595" s="424">
        <f t="shared" si="1154"/>
        <v>0</v>
      </c>
      <c r="ES595" s="424">
        <f t="shared" si="1154"/>
        <v>0</v>
      </c>
      <c r="ET595" s="424">
        <f t="shared" si="1154"/>
        <v>0</v>
      </c>
      <c r="EU595" s="424">
        <f t="shared" si="1154"/>
        <v>0</v>
      </c>
      <c r="EV595" s="424">
        <f t="shared" si="1154"/>
        <v>0</v>
      </c>
      <c r="EW595" s="424">
        <f t="shared" si="1154"/>
        <v>0</v>
      </c>
      <c r="EX595" s="424">
        <f t="shared" si="1154"/>
        <v>0</v>
      </c>
      <c r="EY595" s="425">
        <f t="shared" si="1064"/>
        <v>10.69</v>
      </c>
    </row>
    <row r="596" spans="1:166" x14ac:dyDescent="0.25">
      <c r="A596" s="310">
        <v>222</v>
      </c>
      <c r="B596" s="311" t="str">
        <f t="shared" si="1005"/>
        <v>Каша рассыпчатая рисовая (гарнир)</v>
      </c>
      <c r="C596" s="483">
        <f t="shared" si="1018"/>
        <v>8.9600000000000009</v>
      </c>
      <c r="D596" s="888"/>
      <c r="E596" s="888"/>
      <c r="F596" s="888"/>
      <c r="G596" s="889"/>
      <c r="H596" s="680">
        <f t="shared" si="1006"/>
        <v>302</v>
      </c>
      <c r="I596" s="1209">
        <f t="shared" si="1007"/>
        <v>-0.01</v>
      </c>
      <c r="J596" s="424">
        <f t="shared" ref="J596:AO596" si="1155">J226*J$372</f>
        <v>0</v>
      </c>
      <c r="K596" s="424">
        <f t="shared" si="1155"/>
        <v>0</v>
      </c>
      <c r="L596" s="424">
        <f t="shared" si="1155"/>
        <v>0</v>
      </c>
      <c r="M596" s="424">
        <f t="shared" si="1155"/>
        <v>0</v>
      </c>
      <c r="N596" s="424">
        <f t="shared" si="1155"/>
        <v>0</v>
      </c>
      <c r="O596" s="424">
        <f t="shared" si="1155"/>
        <v>0</v>
      </c>
      <c r="P596" s="424">
        <f t="shared" si="1155"/>
        <v>0</v>
      </c>
      <c r="Q596" s="424">
        <f t="shared" si="1155"/>
        <v>0</v>
      </c>
      <c r="R596" s="424">
        <f t="shared" si="1155"/>
        <v>0</v>
      </c>
      <c r="S596" s="424">
        <f t="shared" si="1155"/>
        <v>0</v>
      </c>
      <c r="T596" s="424">
        <f t="shared" si="1155"/>
        <v>0</v>
      </c>
      <c r="U596" s="424">
        <f t="shared" si="1155"/>
        <v>0</v>
      </c>
      <c r="V596" s="424">
        <f t="shared" si="1155"/>
        <v>3.73</v>
      </c>
      <c r="W596" s="424">
        <f t="shared" si="1155"/>
        <v>0</v>
      </c>
      <c r="X596" s="424">
        <f t="shared" si="1155"/>
        <v>0</v>
      </c>
      <c r="Y596" s="424">
        <f t="shared" si="1155"/>
        <v>0</v>
      </c>
      <c r="Z596" s="424">
        <f t="shared" si="1155"/>
        <v>0</v>
      </c>
      <c r="AA596" s="424">
        <f t="shared" si="1155"/>
        <v>0</v>
      </c>
      <c r="AB596" s="424">
        <f t="shared" si="1155"/>
        <v>0</v>
      </c>
      <c r="AC596" s="424">
        <f t="shared" si="1155"/>
        <v>0</v>
      </c>
      <c r="AD596" s="424">
        <f t="shared" si="1155"/>
        <v>0</v>
      </c>
      <c r="AE596" s="424">
        <f t="shared" si="1155"/>
        <v>0</v>
      </c>
      <c r="AF596" s="424">
        <f t="shared" si="1155"/>
        <v>0</v>
      </c>
      <c r="AG596" s="424">
        <f t="shared" si="1155"/>
        <v>0</v>
      </c>
      <c r="AH596" s="424">
        <f t="shared" si="1155"/>
        <v>0</v>
      </c>
      <c r="AI596" s="424">
        <f t="shared" si="1155"/>
        <v>0</v>
      </c>
      <c r="AJ596" s="424">
        <f t="shared" si="1155"/>
        <v>0</v>
      </c>
      <c r="AK596" s="424">
        <f t="shared" si="1155"/>
        <v>0</v>
      </c>
      <c r="AL596" s="424">
        <f t="shared" si="1155"/>
        <v>0</v>
      </c>
      <c r="AM596" s="424">
        <f t="shared" si="1155"/>
        <v>0</v>
      </c>
      <c r="AN596" s="424">
        <f t="shared" si="1155"/>
        <v>0</v>
      </c>
      <c r="AO596" s="424">
        <f t="shared" si="1155"/>
        <v>0</v>
      </c>
      <c r="AP596" s="424">
        <f t="shared" ref="AP596:BU596" si="1156">AP226*AP$372</f>
        <v>0</v>
      </c>
      <c r="AQ596" s="424">
        <f t="shared" si="1156"/>
        <v>0</v>
      </c>
      <c r="AR596" s="424">
        <f t="shared" si="1156"/>
        <v>0</v>
      </c>
      <c r="AS596" s="424">
        <f t="shared" si="1156"/>
        <v>0</v>
      </c>
      <c r="AT596" s="424">
        <f t="shared" si="1156"/>
        <v>0</v>
      </c>
      <c r="AU596" s="424">
        <f t="shared" si="1156"/>
        <v>0</v>
      </c>
      <c r="AV596" s="424">
        <f t="shared" si="1156"/>
        <v>0</v>
      </c>
      <c r="AW596" s="424">
        <f t="shared" si="1156"/>
        <v>0</v>
      </c>
      <c r="AX596" s="424">
        <f t="shared" si="1156"/>
        <v>0</v>
      </c>
      <c r="AY596" s="424">
        <f t="shared" si="1156"/>
        <v>0</v>
      </c>
      <c r="AZ596" s="424">
        <f t="shared" si="1156"/>
        <v>0</v>
      </c>
      <c r="BA596" s="424">
        <f t="shared" si="1156"/>
        <v>0</v>
      </c>
      <c r="BB596" s="424">
        <f t="shared" si="1156"/>
        <v>0</v>
      </c>
      <c r="BC596" s="424">
        <f t="shared" si="1156"/>
        <v>0</v>
      </c>
      <c r="BD596" s="424">
        <f t="shared" si="1156"/>
        <v>0</v>
      </c>
      <c r="BE596" s="424">
        <f t="shared" si="1156"/>
        <v>0</v>
      </c>
      <c r="BF596" s="424">
        <f t="shared" si="1156"/>
        <v>0</v>
      </c>
      <c r="BG596" s="424">
        <f t="shared" si="1156"/>
        <v>0</v>
      </c>
      <c r="BH596" s="424">
        <f t="shared" si="1156"/>
        <v>0</v>
      </c>
      <c r="BI596" s="424">
        <f t="shared" si="1156"/>
        <v>0</v>
      </c>
      <c r="BJ596" s="424">
        <f t="shared" si="1156"/>
        <v>0</v>
      </c>
      <c r="BK596" s="424">
        <f t="shared" si="1156"/>
        <v>0</v>
      </c>
      <c r="BL596" s="424">
        <f t="shared" si="1156"/>
        <v>0</v>
      </c>
      <c r="BM596" s="424">
        <f t="shared" si="1156"/>
        <v>0</v>
      </c>
      <c r="BN596" s="424">
        <f t="shared" si="1156"/>
        <v>0</v>
      </c>
      <c r="BO596" s="424">
        <f t="shared" si="1156"/>
        <v>0</v>
      </c>
      <c r="BP596" s="424">
        <f t="shared" si="1156"/>
        <v>0</v>
      </c>
      <c r="BQ596" s="424">
        <f t="shared" si="1156"/>
        <v>0</v>
      </c>
      <c r="BR596" s="424">
        <f t="shared" si="1156"/>
        <v>0</v>
      </c>
      <c r="BS596" s="424">
        <f t="shared" si="1156"/>
        <v>0</v>
      </c>
      <c r="BT596" s="424">
        <f t="shared" si="1156"/>
        <v>0</v>
      </c>
      <c r="BU596" s="424">
        <f t="shared" si="1156"/>
        <v>0</v>
      </c>
      <c r="BV596" s="424">
        <f t="shared" ref="BV596:DA596" si="1157">BV226*BV$372</f>
        <v>0</v>
      </c>
      <c r="BW596" s="424">
        <f t="shared" si="1157"/>
        <v>0</v>
      </c>
      <c r="BX596" s="424">
        <f t="shared" si="1157"/>
        <v>0</v>
      </c>
      <c r="BY596" s="424">
        <f t="shared" si="1157"/>
        <v>0</v>
      </c>
      <c r="BZ596" s="424">
        <f t="shared" si="1157"/>
        <v>0</v>
      </c>
      <c r="CA596" s="424">
        <f t="shared" si="1157"/>
        <v>0</v>
      </c>
      <c r="CB596" s="424">
        <f t="shared" si="1157"/>
        <v>5.13</v>
      </c>
      <c r="CC596" s="424">
        <f t="shared" si="1157"/>
        <v>0</v>
      </c>
      <c r="CD596" s="424">
        <f t="shared" si="1157"/>
        <v>0</v>
      </c>
      <c r="CE596" s="424">
        <f t="shared" si="1157"/>
        <v>0</v>
      </c>
      <c r="CF596" s="424">
        <f t="shared" si="1157"/>
        <v>0</v>
      </c>
      <c r="CG596" s="424">
        <f t="shared" si="1157"/>
        <v>0</v>
      </c>
      <c r="CH596" s="424">
        <f t="shared" si="1157"/>
        <v>0</v>
      </c>
      <c r="CI596" s="424">
        <f t="shared" si="1157"/>
        <v>0</v>
      </c>
      <c r="CJ596" s="424">
        <f t="shared" si="1157"/>
        <v>0</v>
      </c>
      <c r="CK596" s="424">
        <f t="shared" si="1157"/>
        <v>0</v>
      </c>
      <c r="CL596" s="424">
        <f t="shared" si="1157"/>
        <v>0</v>
      </c>
      <c r="CM596" s="424">
        <f t="shared" si="1157"/>
        <v>0</v>
      </c>
      <c r="CN596" s="424">
        <f t="shared" si="1157"/>
        <v>0</v>
      </c>
      <c r="CO596" s="424">
        <f t="shared" si="1157"/>
        <v>0</v>
      </c>
      <c r="CP596" s="424">
        <f t="shared" si="1157"/>
        <v>0</v>
      </c>
      <c r="CQ596" s="424">
        <f t="shared" si="1157"/>
        <v>0</v>
      </c>
      <c r="CR596" s="424">
        <f t="shared" si="1157"/>
        <v>0</v>
      </c>
      <c r="CS596" s="424">
        <f t="shared" si="1157"/>
        <v>0</v>
      </c>
      <c r="CT596" s="424">
        <f t="shared" si="1157"/>
        <v>0</v>
      </c>
      <c r="CU596" s="424">
        <f t="shared" si="1157"/>
        <v>0</v>
      </c>
      <c r="CV596" s="424">
        <f t="shared" si="1157"/>
        <v>0</v>
      </c>
      <c r="CW596" s="424">
        <f t="shared" si="1157"/>
        <v>0</v>
      </c>
      <c r="CX596" s="424">
        <f t="shared" si="1157"/>
        <v>0</v>
      </c>
      <c r="CY596" s="424">
        <f t="shared" si="1157"/>
        <v>0</v>
      </c>
      <c r="CZ596" s="424">
        <f t="shared" si="1157"/>
        <v>0</v>
      </c>
      <c r="DA596" s="424">
        <f t="shared" si="1157"/>
        <v>0</v>
      </c>
      <c r="DB596" s="424">
        <f t="shared" ref="DB596:EG596" si="1158">DB226*DB$372</f>
        <v>0</v>
      </c>
      <c r="DC596" s="424">
        <f t="shared" si="1158"/>
        <v>0.1</v>
      </c>
      <c r="DD596" s="424">
        <f t="shared" si="1158"/>
        <v>0</v>
      </c>
      <c r="DE596" s="424">
        <f t="shared" si="1158"/>
        <v>0</v>
      </c>
      <c r="DF596" s="424">
        <f t="shared" si="1158"/>
        <v>0</v>
      </c>
      <c r="DG596" s="424">
        <f t="shared" si="1158"/>
        <v>0</v>
      </c>
      <c r="DH596" s="424">
        <f t="shared" si="1158"/>
        <v>0</v>
      </c>
      <c r="DI596" s="424">
        <f t="shared" si="1158"/>
        <v>0</v>
      </c>
      <c r="DJ596" s="424">
        <f t="shared" si="1158"/>
        <v>0</v>
      </c>
      <c r="DK596" s="424">
        <f t="shared" si="1158"/>
        <v>0</v>
      </c>
      <c r="DL596" s="424">
        <f t="shared" si="1158"/>
        <v>0</v>
      </c>
      <c r="DM596" s="424">
        <f t="shared" si="1158"/>
        <v>0</v>
      </c>
      <c r="DN596" s="424">
        <f t="shared" si="1158"/>
        <v>0</v>
      </c>
      <c r="DO596" s="424">
        <f t="shared" si="1158"/>
        <v>0</v>
      </c>
      <c r="DP596" s="424">
        <f t="shared" si="1158"/>
        <v>0</v>
      </c>
      <c r="DQ596" s="424">
        <f t="shared" si="1158"/>
        <v>0</v>
      </c>
      <c r="DR596" s="424">
        <f t="shared" si="1158"/>
        <v>0</v>
      </c>
      <c r="DS596" s="424">
        <f t="shared" si="1158"/>
        <v>0</v>
      </c>
      <c r="DT596" s="424">
        <f t="shared" si="1158"/>
        <v>0</v>
      </c>
      <c r="DU596" s="424">
        <f t="shared" si="1158"/>
        <v>0</v>
      </c>
      <c r="DV596" s="424">
        <f t="shared" si="1158"/>
        <v>0</v>
      </c>
      <c r="DW596" s="424">
        <f t="shared" si="1158"/>
        <v>0</v>
      </c>
      <c r="DX596" s="424">
        <f t="shared" si="1158"/>
        <v>0</v>
      </c>
      <c r="DY596" s="424">
        <f t="shared" si="1158"/>
        <v>0</v>
      </c>
      <c r="DZ596" s="424">
        <f t="shared" si="1158"/>
        <v>0</v>
      </c>
      <c r="EA596" s="424">
        <f t="shared" si="1158"/>
        <v>0</v>
      </c>
      <c r="EB596" s="424">
        <f t="shared" si="1158"/>
        <v>0</v>
      </c>
      <c r="EC596" s="424">
        <f t="shared" si="1158"/>
        <v>0</v>
      </c>
      <c r="ED596" s="424">
        <f t="shared" si="1158"/>
        <v>0</v>
      </c>
      <c r="EE596" s="424">
        <f t="shared" si="1158"/>
        <v>0</v>
      </c>
      <c r="EF596" s="424">
        <f t="shared" si="1158"/>
        <v>0</v>
      </c>
      <c r="EG596" s="424">
        <f t="shared" si="1158"/>
        <v>0</v>
      </c>
      <c r="EH596" s="424">
        <f t="shared" ref="EH596:EX596" si="1159">EH226*EH$372</f>
        <v>0</v>
      </c>
      <c r="EI596" s="424">
        <f t="shared" si="1159"/>
        <v>0</v>
      </c>
      <c r="EJ596" s="424">
        <f t="shared" si="1159"/>
        <v>0</v>
      </c>
      <c r="EK596" s="424">
        <f t="shared" si="1159"/>
        <v>0</v>
      </c>
      <c r="EL596" s="424">
        <f t="shared" si="1159"/>
        <v>0</v>
      </c>
      <c r="EM596" s="424">
        <f t="shared" si="1159"/>
        <v>0</v>
      </c>
      <c r="EN596" s="424">
        <f t="shared" si="1159"/>
        <v>0</v>
      </c>
      <c r="EO596" s="424">
        <f t="shared" si="1159"/>
        <v>0</v>
      </c>
      <c r="EP596" s="424">
        <f t="shared" si="1159"/>
        <v>0</v>
      </c>
      <c r="EQ596" s="424">
        <f t="shared" si="1159"/>
        <v>0</v>
      </c>
      <c r="ER596" s="424">
        <f t="shared" si="1159"/>
        <v>0</v>
      </c>
      <c r="ES596" s="424">
        <f t="shared" si="1159"/>
        <v>0</v>
      </c>
      <c r="ET596" s="424">
        <f t="shared" si="1159"/>
        <v>0</v>
      </c>
      <c r="EU596" s="424">
        <f t="shared" si="1159"/>
        <v>0</v>
      </c>
      <c r="EV596" s="424">
        <f t="shared" si="1159"/>
        <v>0</v>
      </c>
      <c r="EW596" s="424">
        <f t="shared" si="1159"/>
        <v>0</v>
      </c>
      <c r="EX596" s="424">
        <f t="shared" si="1159"/>
        <v>0</v>
      </c>
      <c r="EY596" s="425">
        <f t="shared" si="1064"/>
        <v>8.9600000000000009</v>
      </c>
    </row>
    <row r="597" spans="1:166" s="467" customFormat="1" x14ac:dyDescent="0.25">
      <c r="A597" s="310">
        <v>223</v>
      </c>
      <c r="B597" s="311" t="str">
        <f t="shared" si="1005"/>
        <v>Каша рассыпчатая пшенная (гарнир)</v>
      </c>
      <c r="C597" s="483">
        <f t="shared" si="1018"/>
        <v>6.9</v>
      </c>
      <c r="D597" s="888"/>
      <c r="E597" s="888"/>
      <c r="F597" s="888"/>
      <c r="G597" s="889"/>
      <c r="H597" s="680">
        <f t="shared" si="1006"/>
        <v>302</v>
      </c>
      <c r="I597" s="1209">
        <f t="shared" si="1007"/>
        <v>-0.02</v>
      </c>
      <c r="J597" s="424">
        <f t="shared" ref="J597:AO597" si="1160">J227*J$372</f>
        <v>0</v>
      </c>
      <c r="K597" s="424">
        <f t="shared" si="1160"/>
        <v>0</v>
      </c>
      <c r="L597" s="424">
        <f t="shared" si="1160"/>
        <v>0</v>
      </c>
      <c r="M597" s="424">
        <f t="shared" si="1160"/>
        <v>0</v>
      </c>
      <c r="N597" s="424">
        <f t="shared" si="1160"/>
        <v>0</v>
      </c>
      <c r="O597" s="424">
        <f t="shared" si="1160"/>
        <v>0</v>
      </c>
      <c r="P597" s="424">
        <f t="shared" si="1160"/>
        <v>0</v>
      </c>
      <c r="Q597" s="424">
        <f t="shared" si="1160"/>
        <v>0</v>
      </c>
      <c r="R597" s="424">
        <f t="shared" si="1160"/>
        <v>0</v>
      </c>
      <c r="S597" s="424">
        <f t="shared" si="1160"/>
        <v>0</v>
      </c>
      <c r="T597" s="424">
        <f t="shared" si="1160"/>
        <v>0</v>
      </c>
      <c r="U597" s="424">
        <f t="shared" si="1160"/>
        <v>0</v>
      </c>
      <c r="V597" s="424">
        <f t="shared" si="1160"/>
        <v>3.73</v>
      </c>
      <c r="W597" s="424">
        <f t="shared" si="1160"/>
        <v>0</v>
      </c>
      <c r="X597" s="424">
        <f t="shared" si="1160"/>
        <v>0</v>
      </c>
      <c r="Y597" s="424">
        <f t="shared" si="1160"/>
        <v>0</v>
      </c>
      <c r="Z597" s="424">
        <f t="shared" si="1160"/>
        <v>0</v>
      </c>
      <c r="AA597" s="424">
        <f t="shared" si="1160"/>
        <v>0</v>
      </c>
      <c r="AB597" s="424">
        <f t="shared" si="1160"/>
        <v>0</v>
      </c>
      <c r="AC597" s="424">
        <f t="shared" si="1160"/>
        <v>0</v>
      </c>
      <c r="AD597" s="424">
        <f t="shared" si="1160"/>
        <v>0</v>
      </c>
      <c r="AE597" s="424">
        <f t="shared" si="1160"/>
        <v>0</v>
      </c>
      <c r="AF597" s="424">
        <f t="shared" si="1160"/>
        <v>0</v>
      </c>
      <c r="AG597" s="424">
        <f t="shared" si="1160"/>
        <v>0</v>
      </c>
      <c r="AH597" s="424">
        <f t="shared" si="1160"/>
        <v>0</v>
      </c>
      <c r="AI597" s="424">
        <f t="shared" si="1160"/>
        <v>0</v>
      </c>
      <c r="AJ597" s="424">
        <f t="shared" si="1160"/>
        <v>0</v>
      </c>
      <c r="AK597" s="424">
        <f t="shared" si="1160"/>
        <v>0</v>
      </c>
      <c r="AL597" s="424">
        <f t="shared" si="1160"/>
        <v>0</v>
      </c>
      <c r="AM597" s="424">
        <f t="shared" si="1160"/>
        <v>0</v>
      </c>
      <c r="AN597" s="424">
        <f t="shared" si="1160"/>
        <v>0</v>
      </c>
      <c r="AO597" s="424">
        <f t="shared" si="1160"/>
        <v>0</v>
      </c>
      <c r="AP597" s="424">
        <f t="shared" ref="AP597:BU597" si="1161">AP227*AP$372</f>
        <v>0</v>
      </c>
      <c r="AQ597" s="424">
        <f t="shared" si="1161"/>
        <v>0</v>
      </c>
      <c r="AR597" s="424">
        <f t="shared" si="1161"/>
        <v>0</v>
      </c>
      <c r="AS597" s="424">
        <f t="shared" si="1161"/>
        <v>0</v>
      </c>
      <c r="AT597" s="424">
        <f t="shared" si="1161"/>
        <v>0</v>
      </c>
      <c r="AU597" s="424">
        <f t="shared" si="1161"/>
        <v>0</v>
      </c>
      <c r="AV597" s="424">
        <f t="shared" si="1161"/>
        <v>0</v>
      </c>
      <c r="AW597" s="424">
        <f t="shared" si="1161"/>
        <v>0</v>
      </c>
      <c r="AX597" s="424">
        <f t="shared" si="1161"/>
        <v>0</v>
      </c>
      <c r="AY597" s="424">
        <f t="shared" si="1161"/>
        <v>0</v>
      </c>
      <c r="AZ597" s="424">
        <f t="shared" si="1161"/>
        <v>0</v>
      </c>
      <c r="BA597" s="424">
        <f t="shared" si="1161"/>
        <v>0</v>
      </c>
      <c r="BB597" s="424">
        <f t="shared" si="1161"/>
        <v>0</v>
      </c>
      <c r="BC597" s="424">
        <f t="shared" si="1161"/>
        <v>0</v>
      </c>
      <c r="BD597" s="424">
        <f t="shared" si="1161"/>
        <v>0</v>
      </c>
      <c r="BE597" s="424">
        <f t="shared" si="1161"/>
        <v>0</v>
      </c>
      <c r="BF597" s="424">
        <f t="shared" si="1161"/>
        <v>0</v>
      </c>
      <c r="BG597" s="424">
        <f t="shared" si="1161"/>
        <v>0</v>
      </c>
      <c r="BH597" s="424">
        <f t="shared" si="1161"/>
        <v>0</v>
      </c>
      <c r="BI597" s="424">
        <f t="shared" si="1161"/>
        <v>0</v>
      </c>
      <c r="BJ597" s="424">
        <f t="shared" si="1161"/>
        <v>0</v>
      </c>
      <c r="BK597" s="424">
        <f t="shared" si="1161"/>
        <v>0</v>
      </c>
      <c r="BL597" s="424">
        <f t="shared" si="1161"/>
        <v>0</v>
      </c>
      <c r="BM597" s="424">
        <f t="shared" si="1161"/>
        <v>0</v>
      </c>
      <c r="BN597" s="424">
        <f t="shared" si="1161"/>
        <v>0</v>
      </c>
      <c r="BO597" s="424">
        <f t="shared" si="1161"/>
        <v>0</v>
      </c>
      <c r="BP597" s="424">
        <f t="shared" si="1161"/>
        <v>0</v>
      </c>
      <c r="BQ597" s="424">
        <f t="shared" si="1161"/>
        <v>0</v>
      </c>
      <c r="BR597" s="424">
        <f t="shared" si="1161"/>
        <v>0</v>
      </c>
      <c r="BS597" s="424">
        <f t="shared" si="1161"/>
        <v>0</v>
      </c>
      <c r="BT597" s="424">
        <f t="shared" si="1161"/>
        <v>0</v>
      </c>
      <c r="BU597" s="424">
        <f t="shared" si="1161"/>
        <v>0</v>
      </c>
      <c r="BV597" s="424">
        <f t="shared" ref="BV597:DA597" si="1162">BV227*BV$372</f>
        <v>0</v>
      </c>
      <c r="BW597" s="424">
        <f t="shared" si="1162"/>
        <v>0</v>
      </c>
      <c r="BX597" s="424">
        <f t="shared" si="1162"/>
        <v>0</v>
      </c>
      <c r="BY597" s="424">
        <f t="shared" si="1162"/>
        <v>0</v>
      </c>
      <c r="BZ597" s="424">
        <f t="shared" si="1162"/>
        <v>0</v>
      </c>
      <c r="CA597" s="424">
        <f t="shared" si="1162"/>
        <v>3.08</v>
      </c>
      <c r="CB597" s="424">
        <f t="shared" si="1162"/>
        <v>0</v>
      </c>
      <c r="CC597" s="424">
        <f t="shared" si="1162"/>
        <v>0</v>
      </c>
      <c r="CD597" s="424">
        <f t="shared" si="1162"/>
        <v>0</v>
      </c>
      <c r="CE597" s="424">
        <f t="shared" si="1162"/>
        <v>0</v>
      </c>
      <c r="CF597" s="424">
        <f t="shared" si="1162"/>
        <v>0</v>
      </c>
      <c r="CG597" s="424">
        <f t="shared" si="1162"/>
        <v>0</v>
      </c>
      <c r="CH597" s="424">
        <f t="shared" si="1162"/>
        <v>0</v>
      </c>
      <c r="CI597" s="424">
        <f t="shared" si="1162"/>
        <v>0</v>
      </c>
      <c r="CJ597" s="424">
        <f t="shared" si="1162"/>
        <v>0</v>
      </c>
      <c r="CK597" s="424">
        <f t="shared" si="1162"/>
        <v>0</v>
      </c>
      <c r="CL597" s="424">
        <f t="shared" si="1162"/>
        <v>0</v>
      </c>
      <c r="CM597" s="424">
        <f t="shared" si="1162"/>
        <v>0</v>
      </c>
      <c r="CN597" s="424">
        <f t="shared" si="1162"/>
        <v>0</v>
      </c>
      <c r="CO597" s="424">
        <f t="shared" si="1162"/>
        <v>0</v>
      </c>
      <c r="CP597" s="424">
        <f t="shared" si="1162"/>
        <v>0</v>
      </c>
      <c r="CQ597" s="424">
        <f t="shared" si="1162"/>
        <v>0</v>
      </c>
      <c r="CR597" s="424">
        <f t="shared" si="1162"/>
        <v>0</v>
      </c>
      <c r="CS597" s="424">
        <f t="shared" si="1162"/>
        <v>0</v>
      </c>
      <c r="CT597" s="424">
        <f t="shared" si="1162"/>
        <v>0</v>
      </c>
      <c r="CU597" s="424">
        <f t="shared" si="1162"/>
        <v>0</v>
      </c>
      <c r="CV597" s="424">
        <f t="shared" si="1162"/>
        <v>0</v>
      </c>
      <c r="CW597" s="424">
        <f t="shared" si="1162"/>
        <v>0</v>
      </c>
      <c r="CX597" s="424">
        <f t="shared" si="1162"/>
        <v>0</v>
      </c>
      <c r="CY597" s="424">
        <f t="shared" si="1162"/>
        <v>0</v>
      </c>
      <c r="CZ597" s="424">
        <f t="shared" si="1162"/>
        <v>0</v>
      </c>
      <c r="DA597" s="424">
        <f t="shared" si="1162"/>
        <v>0</v>
      </c>
      <c r="DB597" s="424">
        <f t="shared" ref="DB597:EG597" si="1163">DB227*DB$372</f>
        <v>0</v>
      </c>
      <c r="DC597" s="424">
        <f t="shared" si="1163"/>
        <v>0.09</v>
      </c>
      <c r="DD597" s="424">
        <f t="shared" si="1163"/>
        <v>0</v>
      </c>
      <c r="DE597" s="424">
        <f t="shared" si="1163"/>
        <v>0</v>
      </c>
      <c r="DF597" s="424">
        <f t="shared" si="1163"/>
        <v>0</v>
      </c>
      <c r="DG597" s="424">
        <f t="shared" si="1163"/>
        <v>0</v>
      </c>
      <c r="DH597" s="424">
        <f t="shared" si="1163"/>
        <v>0</v>
      </c>
      <c r="DI597" s="424">
        <f t="shared" si="1163"/>
        <v>0</v>
      </c>
      <c r="DJ597" s="424">
        <f t="shared" si="1163"/>
        <v>0</v>
      </c>
      <c r="DK597" s="424">
        <f t="shared" si="1163"/>
        <v>0</v>
      </c>
      <c r="DL597" s="424">
        <f t="shared" si="1163"/>
        <v>0</v>
      </c>
      <c r="DM597" s="424">
        <f t="shared" si="1163"/>
        <v>0</v>
      </c>
      <c r="DN597" s="424">
        <f t="shared" si="1163"/>
        <v>0</v>
      </c>
      <c r="DO597" s="424">
        <f t="shared" si="1163"/>
        <v>0</v>
      </c>
      <c r="DP597" s="424">
        <f t="shared" si="1163"/>
        <v>0</v>
      </c>
      <c r="DQ597" s="424">
        <f t="shared" si="1163"/>
        <v>0</v>
      </c>
      <c r="DR597" s="424">
        <f t="shared" si="1163"/>
        <v>0</v>
      </c>
      <c r="DS597" s="424">
        <f t="shared" si="1163"/>
        <v>0</v>
      </c>
      <c r="DT597" s="424">
        <f t="shared" si="1163"/>
        <v>0</v>
      </c>
      <c r="DU597" s="424">
        <f t="shared" si="1163"/>
        <v>0</v>
      </c>
      <c r="DV597" s="424">
        <f t="shared" si="1163"/>
        <v>0</v>
      </c>
      <c r="DW597" s="424">
        <f t="shared" si="1163"/>
        <v>0</v>
      </c>
      <c r="DX597" s="424">
        <f t="shared" si="1163"/>
        <v>0</v>
      </c>
      <c r="DY597" s="424">
        <f t="shared" si="1163"/>
        <v>0</v>
      </c>
      <c r="DZ597" s="424">
        <f t="shared" si="1163"/>
        <v>0</v>
      </c>
      <c r="EA597" s="424">
        <f t="shared" si="1163"/>
        <v>0</v>
      </c>
      <c r="EB597" s="424">
        <f t="shared" si="1163"/>
        <v>0</v>
      </c>
      <c r="EC597" s="424">
        <f t="shared" si="1163"/>
        <v>0</v>
      </c>
      <c r="ED597" s="424">
        <f t="shared" si="1163"/>
        <v>0</v>
      </c>
      <c r="EE597" s="424">
        <f t="shared" si="1163"/>
        <v>0</v>
      </c>
      <c r="EF597" s="424">
        <f t="shared" si="1163"/>
        <v>0</v>
      </c>
      <c r="EG597" s="424">
        <f t="shared" si="1163"/>
        <v>0</v>
      </c>
      <c r="EH597" s="424">
        <f t="shared" ref="EH597:EX597" si="1164">EH227*EH$372</f>
        <v>0</v>
      </c>
      <c r="EI597" s="424">
        <f t="shared" si="1164"/>
        <v>0</v>
      </c>
      <c r="EJ597" s="424">
        <f t="shared" si="1164"/>
        <v>0</v>
      </c>
      <c r="EK597" s="424">
        <f t="shared" si="1164"/>
        <v>0</v>
      </c>
      <c r="EL597" s="424">
        <f t="shared" si="1164"/>
        <v>0</v>
      </c>
      <c r="EM597" s="424">
        <f t="shared" si="1164"/>
        <v>0</v>
      </c>
      <c r="EN597" s="424">
        <f t="shared" si="1164"/>
        <v>0</v>
      </c>
      <c r="EO597" s="424">
        <f t="shared" si="1164"/>
        <v>0</v>
      </c>
      <c r="EP597" s="424">
        <f t="shared" si="1164"/>
        <v>0</v>
      </c>
      <c r="EQ597" s="424">
        <f t="shared" si="1164"/>
        <v>0</v>
      </c>
      <c r="ER597" s="424">
        <f t="shared" si="1164"/>
        <v>0</v>
      </c>
      <c r="ES597" s="424">
        <f t="shared" si="1164"/>
        <v>0</v>
      </c>
      <c r="ET597" s="424">
        <f t="shared" si="1164"/>
        <v>0</v>
      </c>
      <c r="EU597" s="424">
        <f t="shared" si="1164"/>
        <v>0</v>
      </c>
      <c r="EV597" s="424">
        <f t="shared" si="1164"/>
        <v>0</v>
      </c>
      <c r="EW597" s="424">
        <f t="shared" si="1164"/>
        <v>0</v>
      </c>
      <c r="EX597" s="424">
        <f t="shared" si="1164"/>
        <v>0</v>
      </c>
      <c r="EY597" s="425">
        <f t="shared" si="1064"/>
        <v>6.9</v>
      </c>
      <c r="EZ597" s="616"/>
      <c r="FA597" s="616"/>
      <c r="FB597" s="616"/>
      <c r="FC597" s="616"/>
      <c r="FD597" s="616"/>
      <c r="FE597" s="616"/>
      <c r="FF597" s="616"/>
      <c r="FG597" s="616"/>
      <c r="FH597" s="616"/>
      <c r="FI597" s="616"/>
      <c r="FJ597" s="616"/>
    </row>
    <row r="598" spans="1:166" s="699" customFormat="1" x14ac:dyDescent="0.25">
      <c r="A598" s="310">
        <v>224</v>
      </c>
      <c r="B598" s="311" t="str">
        <f t="shared" si="1005"/>
        <v>Рис отварной</v>
      </c>
      <c r="C598" s="483">
        <f t="shared" si="1018"/>
        <v>10.16</v>
      </c>
      <c r="D598" s="888"/>
      <c r="E598" s="888"/>
      <c r="F598" s="888"/>
      <c r="G598" s="889"/>
      <c r="H598" s="680">
        <f t="shared" si="1006"/>
        <v>304</v>
      </c>
      <c r="I598" s="1209">
        <f t="shared" si="1007"/>
        <v>0</v>
      </c>
      <c r="J598" s="424">
        <f t="shared" ref="J598" si="1165">J228*J$372</f>
        <v>0</v>
      </c>
      <c r="K598" s="424">
        <f t="shared" ref="K598:AO598" si="1166">K228*K$372</f>
        <v>0</v>
      </c>
      <c r="L598" s="424">
        <f t="shared" si="1166"/>
        <v>0</v>
      </c>
      <c r="M598" s="424">
        <f t="shared" si="1166"/>
        <v>0</v>
      </c>
      <c r="N598" s="424">
        <f t="shared" si="1166"/>
        <v>0</v>
      </c>
      <c r="O598" s="424">
        <f t="shared" si="1166"/>
        <v>0</v>
      </c>
      <c r="P598" s="424">
        <f t="shared" si="1166"/>
        <v>0</v>
      </c>
      <c r="Q598" s="424">
        <f t="shared" si="1166"/>
        <v>0</v>
      </c>
      <c r="R598" s="424">
        <f t="shared" si="1166"/>
        <v>0</v>
      </c>
      <c r="S598" s="424">
        <f t="shared" si="1166"/>
        <v>0</v>
      </c>
      <c r="T598" s="424">
        <f t="shared" si="1166"/>
        <v>0</v>
      </c>
      <c r="U598" s="424">
        <f t="shared" si="1166"/>
        <v>0</v>
      </c>
      <c r="V598" s="424">
        <f t="shared" si="1166"/>
        <v>4.79</v>
      </c>
      <c r="W598" s="424">
        <f t="shared" si="1166"/>
        <v>0</v>
      </c>
      <c r="X598" s="424">
        <f t="shared" si="1166"/>
        <v>0</v>
      </c>
      <c r="Y598" s="424">
        <f t="shared" si="1166"/>
        <v>0</v>
      </c>
      <c r="Z598" s="424">
        <f t="shared" si="1166"/>
        <v>0</v>
      </c>
      <c r="AA598" s="424">
        <f t="shared" si="1166"/>
        <v>0</v>
      </c>
      <c r="AB598" s="424">
        <f t="shared" si="1166"/>
        <v>0</v>
      </c>
      <c r="AC598" s="424">
        <f t="shared" si="1166"/>
        <v>0</v>
      </c>
      <c r="AD598" s="424">
        <f t="shared" si="1166"/>
        <v>0</v>
      </c>
      <c r="AE598" s="424">
        <f t="shared" si="1166"/>
        <v>0</v>
      </c>
      <c r="AF598" s="424">
        <f t="shared" si="1166"/>
        <v>0</v>
      </c>
      <c r="AG598" s="424">
        <f t="shared" si="1166"/>
        <v>0</v>
      </c>
      <c r="AH598" s="424">
        <f t="shared" si="1166"/>
        <v>0</v>
      </c>
      <c r="AI598" s="424">
        <f t="shared" si="1166"/>
        <v>0</v>
      </c>
      <c r="AJ598" s="424">
        <f t="shared" si="1166"/>
        <v>0</v>
      </c>
      <c r="AK598" s="424">
        <f t="shared" si="1166"/>
        <v>0</v>
      </c>
      <c r="AL598" s="424">
        <f t="shared" si="1166"/>
        <v>0</v>
      </c>
      <c r="AM598" s="424">
        <f t="shared" si="1166"/>
        <v>0</v>
      </c>
      <c r="AN598" s="424">
        <f t="shared" si="1166"/>
        <v>0</v>
      </c>
      <c r="AO598" s="424">
        <f t="shared" si="1166"/>
        <v>0</v>
      </c>
      <c r="AP598" s="424">
        <f t="shared" ref="AP598:BU598" si="1167">AP228*AP$372</f>
        <v>0</v>
      </c>
      <c r="AQ598" s="424">
        <f t="shared" si="1167"/>
        <v>0</v>
      </c>
      <c r="AR598" s="424">
        <f t="shared" si="1167"/>
        <v>0</v>
      </c>
      <c r="AS598" s="424">
        <f t="shared" si="1167"/>
        <v>0</v>
      </c>
      <c r="AT598" s="424">
        <f t="shared" si="1167"/>
        <v>0</v>
      </c>
      <c r="AU598" s="424">
        <f t="shared" si="1167"/>
        <v>0</v>
      </c>
      <c r="AV598" s="424">
        <f t="shared" si="1167"/>
        <v>0</v>
      </c>
      <c r="AW598" s="424">
        <f t="shared" si="1167"/>
        <v>0</v>
      </c>
      <c r="AX598" s="424">
        <f t="shared" si="1167"/>
        <v>0</v>
      </c>
      <c r="AY598" s="424">
        <f t="shared" si="1167"/>
        <v>0</v>
      </c>
      <c r="AZ598" s="424">
        <f t="shared" si="1167"/>
        <v>0</v>
      </c>
      <c r="BA598" s="424">
        <f t="shared" si="1167"/>
        <v>0</v>
      </c>
      <c r="BB598" s="424">
        <f t="shared" si="1167"/>
        <v>0</v>
      </c>
      <c r="BC598" s="424">
        <f t="shared" si="1167"/>
        <v>0</v>
      </c>
      <c r="BD598" s="424">
        <f t="shared" si="1167"/>
        <v>0</v>
      </c>
      <c r="BE598" s="424">
        <f t="shared" si="1167"/>
        <v>0</v>
      </c>
      <c r="BF598" s="424">
        <f t="shared" si="1167"/>
        <v>0</v>
      </c>
      <c r="BG598" s="424">
        <f t="shared" si="1167"/>
        <v>0</v>
      </c>
      <c r="BH598" s="424">
        <f t="shared" si="1167"/>
        <v>0</v>
      </c>
      <c r="BI598" s="424">
        <f t="shared" si="1167"/>
        <v>0</v>
      </c>
      <c r="BJ598" s="424">
        <f t="shared" si="1167"/>
        <v>0</v>
      </c>
      <c r="BK598" s="424">
        <f t="shared" si="1167"/>
        <v>0</v>
      </c>
      <c r="BL598" s="424">
        <f t="shared" si="1167"/>
        <v>0</v>
      </c>
      <c r="BM598" s="424">
        <f t="shared" si="1167"/>
        <v>0</v>
      </c>
      <c r="BN598" s="424">
        <f t="shared" si="1167"/>
        <v>0</v>
      </c>
      <c r="BO598" s="424">
        <f t="shared" si="1167"/>
        <v>0</v>
      </c>
      <c r="BP598" s="424">
        <f t="shared" si="1167"/>
        <v>0</v>
      </c>
      <c r="BQ598" s="424">
        <f t="shared" si="1167"/>
        <v>0</v>
      </c>
      <c r="BR598" s="424">
        <f t="shared" si="1167"/>
        <v>0</v>
      </c>
      <c r="BS598" s="424">
        <f t="shared" si="1167"/>
        <v>0</v>
      </c>
      <c r="BT598" s="424">
        <f t="shared" si="1167"/>
        <v>0</v>
      </c>
      <c r="BU598" s="424">
        <f t="shared" si="1167"/>
        <v>0</v>
      </c>
      <c r="BV598" s="424">
        <f t="shared" ref="BV598:DA598" si="1168">BV228*BV$372</f>
        <v>0</v>
      </c>
      <c r="BW598" s="424">
        <f t="shared" si="1168"/>
        <v>0</v>
      </c>
      <c r="BX598" s="424">
        <f t="shared" si="1168"/>
        <v>0</v>
      </c>
      <c r="BY598" s="424">
        <f t="shared" si="1168"/>
        <v>0</v>
      </c>
      <c r="BZ598" s="424">
        <f t="shared" si="1168"/>
        <v>0</v>
      </c>
      <c r="CA598" s="424">
        <f t="shared" si="1168"/>
        <v>0</v>
      </c>
      <c r="CB598" s="424">
        <f t="shared" si="1168"/>
        <v>5.29</v>
      </c>
      <c r="CC598" s="424">
        <f t="shared" si="1168"/>
        <v>0</v>
      </c>
      <c r="CD598" s="424">
        <f t="shared" si="1168"/>
        <v>0</v>
      </c>
      <c r="CE598" s="424">
        <f t="shared" si="1168"/>
        <v>0</v>
      </c>
      <c r="CF598" s="424">
        <f t="shared" si="1168"/>
        <v>0</v>
      </c>
      <c r="CG598" s="424">
        <f t="shared" si="1168"/>
        <v>0</v>
      </c>
      <c r="CH598" s="424">
        <f t="shared" si="1168"/>
        <v>0</v>
      </c>
      <c r="CI598" s="424">
        <f t="shared" si="1168"/>
        <v>0</v>
      </c>
      <c r="CJ598" s="424">
        <f t="shared" si="1168"/>
        <v>0</v>
      </c>
      <c r="CK598" s="424">
        <f t="shared" si="1168"/>
        <v>0</v>
      </c>
      <c r="CL598" s="424">
        <f t="shared" si="1168"/>
        <v>0</v>
      </c>
      <c r="CM598" s="424">
        <f t="shared" si="1168"/>
        <v>0</v>
      </c>
      <c r="CN598" s="424">
        <f t="shared" si="1168"/>
        <v>0</v>
      </c>
      <c r="CO598" s="424">
        <f t="shared" si="1168"/>
        <v>0</v>
      </c>
      <c r="CP598" s="424">
        <f t="shared" si="1168"/>
        <v>0</v>
      </c>
      <c r="CQ598" s="424">
        <f t="shared" si="1168"/>
        <v>0</v>
      </c>
      <c r="CR598" s="424">
        <f t="shared" si="1168"/>
        <v>0</v>
      </c>
      <c r="CS598" s="424">
        <f t="shared" si="1168"/>
        <v>0</v>
      </c>
      <c r="CT598" s="424">
        <f t="shared" si="1168"/>
        <v>0</v>
      </c>
      <c r="CU598" s="424">
        <f t="shared" si="1168"/>
        <v>0</v>
      </c>
      <c r="CV598" s="424">
        <f t="shared" si="1168"/>
        <v>0</v>
      </c>
      <c r="CW598" s="424">
        <f t="shared" si="1168"/>
        <v>0</v>
      </c>
      <c r="CX598" s="424">
        <f t="shared" si="1168"/>
        <v>0</v>
      </c>
      <c r="CY598" s="424">
        <f t="shared" si="1168"/>
        <v>0</v>
      </c>
      <c r="CZ598" s="424">
        <f t="shared" si="1168"/>
        <v>0</v>
      </c>
      <c r="DA598" s="424">
        <f t="shared" si="1168"/>
        <v>0</v>
      </c>
      <c r="DB598" s="424">
        <f t="shared" ref="DB598:EG598" si="1169">DB228*DB$372</f>
        <v>0</v>
      </c>
      <c r="DC598" s="424">
        <f t="shared" si="1169"/>
        <v>0.08</v>
      </c>
      <c r="DD598" s="424">
        <f t="shared" si="1169"/>
        <v>0</v>
      </c>
      <c r="DE598" s="424">
        <f t="shared" si="1169"/>
        <v>0</v>
      </c>
      <c r="DF598" s="424">
        <f t="shared" si="1169"/>
        <v>0</v>
      </c>
      <c r="DG598" s="424">
        <f t="shared" si="1169"/>
        <v>0</v>
      </c>
      <c r="DH598" s="424">
        <f t="shared" si="1169"/>
        <v>0</v>
      </c>
      <c r="DI598" s="424">
        <f t="shared" si="1169"/>
        <v>0</v>
      </c>
      <c r="DJ598" s="424">
        <f t="shared" si="1169"/>
        <v>0</v>
      </c>
      <c r="DK598" s="424">
        <f t="shared" si="1169"/>
        <v>0</v>
      </c>
      <c r="DL598" s="424">
        <f t="shared" si="1169"/>
        <v>0</v>
      </c>
      <c r="DM598" s="424">
        <f t="shared" si="1169"/>
        <v>0</v>
      </c>
      <c r="DN598" s="424">
        <f t="shared" si="1169"/>
        <v>0</v>
      </c>
      <c r="DO598" s="424">
        <f t="shared" si="1169"/>
        <v>0</v>
      </c>
      <c r="DP598" s="424">
        <f t="shared" si="1169"/>
        <v>0</v>
      </c>
      <c r="DQ598" s="424">
        <f t="shared" si="1169"/>
        <v>0</v>
      </c>
      <c r="DR598" s="424">
        <f t="shared" si="1169"/>
        <v>0</v>
      </c>
      <c r="DS598" s="424">
        <f t="shared" si="1169"/>
        <v>0</v>
      </c>
      <c r="DT598" s="424">
        <f t="shared" si="1169"/>
        <v>0</v>
      </c>
      <c r="DU598" s="424">
        <f t="shared" si="1169"/>
        <v>0</v>
      </c>
      <c r="DV598" s="424">
        <f t="shared" si="1169"/>
        <v>0</v>
      </c>
      <c r="DW598" s="424">
        <f t="shared" si="1169"/>
        <v>0</v>
      </c>
      <c r="DX598" s="424">
        <f t="shared" si="1169"/>
        <v>0</v>
      </c>
      <c r="DY598" s="424">
        <f t="shared" si="1169"/>
        <v>0</v>
      </c>
      <c r="DZ598" s="424">
        <f t="shared" si="1169"/>
        <v>0</v>
      </c>
      <c r="EA598" s="424">
        <f t="shared" si="1169"/>
        <v>0</v>
      </c>
      <c r="EB598" s="424">
        <f t="shared" si="1169"/>
        <v>0</v>
      </c>
      <c r="EC598" s="424">
        <f t="shared" si="1169"/>
        <v>0</v>
      </c>
      <c r="ED598" s="424">
        <f t="shared" si="1169"/>
        <v>0</v>
      </c>
      <c r="EE598" s="424">
        <f t="shared" si="1169"/>
        <v>0</v>
      </c>
      <c r="EF598" s="424">
        <f t="shared" si="1169"/>
        <v>0</v>
      </c>
      <c r="EG598" s="424">
        <f t="shared" si="1169"/>
        <v>0</v>
      </c>
      <c r="EH598" s="424">
        <f t="shared" ref="EH598:EX598" si="1170">EH228*EH$372</f>
        <v>0</v>
      </c>
      <c r="EI598" s="424">
        <f t="shared" si="1170"/>
        <v>0</v>
      </c>
      <c r="EJ598" s="424">
        <f t="shared" si="1170"/>
        <v>0</v>
      </c>
      <c r="EK598" s="424">
        <f t="shared" si="1170"/>
        <v>0</v>
      </c>
      <c r="EL598" s="424">
        <f t="shared" si="1170"/>
        <v>0</v>
      </c>
      <c r="EM598" s="424">
        <f t="shared" si="1170"/>
        <v>0</v>
      </c>
      <c r="EN598" s="424">
        <f t="shared" si="1170"/>
        <v>0</v>
      </c>
      <c r="EO598" s="424">
        <f t="shared" si="1170"/>
        <v>0</v>
      </c>
      <c r="EP598" s="424">
        <f t="shared" si="1170"/>
        <v>0</v>
      </c>
      <c r="EQ598" s="424">
        <f t="shared" si="1170"/>
        <v>0</v>
      </c>
      <c r="ER598" s="424">
        <f t="shared" si="1170"/>
        <v>0</v>
      </c>
      <c r="ES598" s="424">
        <f t="shared" si="1170"/>
        <v>0</v>
      </c>
      <c r="ET598" s="424">
        <f t="shared" si="1170"/>
        <v>0</v>
      </c>
      <c r="EU598" s="424">
        <f t="shared" si="1170"/>
        <v>0</v>
      </c>
      <c r="EV598" s="424">
        <f t="shared" si="1170"/>
        <v>0</v>
      </c>
      <c r="EW598" s="424">
        <f t="shared" si="1170"/>
        <v>0</v>
      </c>
      <c r="EX598" s="424">
        <f t="shared" si="1170"/>
        <v>0</v>
      </c>
      <c r="EY598" s="425">
        <f t="shared" si="1064"/>
        <v>10.16</v>
      </c>
      <c r="EZ598" s="616"/>
      <c r="FA598" s="616"/>
      <c r="FB598" s="616"/>
      <c r="FC598" s="616"/>
      <c r="FD598" s="616"/>
      <c r="FE598" s="616"/>
      <c r="FF598" s="616"/>
      <c r="FG598" s="616"/>
      <c r="FH598" s="616"/>
      <c r="FI598" s="616"/>
      <c r="FJ598" s="616"/>
    </row>
    <row r="599" spans="1:166" s="1354" customFormat="1" x14ac:dyDescent="0.25">
      <c r="A599" s="310">
        <v>225</v>
      </c>
      <c r="B599" s="311" t="str">
        <f t="shared" si="1005"/>
        <v>Рис припущенный</v>
      </c>
      <c r="C599" s="483">
        <f t="shared" si="1018"/>
        <v>8.9600000000000009</v>
      </c>
      <c r="D599" s="888"/>
      <c r="E599" s="888"/>
      <c r="F599" s="888"/>
      <c r="G599" s="889"/>
      <c r="H599" s="680">
        <f t="shared" si="1006"/>
        <v>305</v>
      </c>
      <c r="I599" s="1209">
        <f>I229-EY599</f>
        <v>-0.02</v>
      </c>
      <c r="J599" s="424">
        <f t="shared" ref="J599:BU599" si="1171">J229*J$372</f>
        <v>0</v>
      </c>
      <c r="K599" s="424">
        <f t="shared" si="1171"/>
        <v>0</v>
      </c>
      <c r="L599" s="424">
        <f t="shared" si="1171"/>
        <v>0</v>
      </c>
      <c r="M599" s="424">
        <f t="shared" si="1171"/>
        <v>0</v>
      </c>
      <c r="N599" s="424">
        <f t="shared" si="1171"/>
        <v>0</v>
      </c>
      <c r="O599" s="424">
        <f t="shared" si="1171"/>
        <v>0</v>
      </c>
      <c r="P599" s="424">
        <f t="shared" si="1171"/>
        <v>0</v>
      </c>
      <c r="Q599" s="424">
        <f t="shared" si="1171"/>
        <v>0</v>
      </c>
      <c r="R599" s="424">
        <f t="shared" si="1171"/>
        <v>0</v>
      </c>
      <c r="S599" s="424">
        <f t="shared" si="1171"/>
        <v>0</v>
      </c>
      <c r="T599" s="424">
        <f t="shared" si="1171"/>
        <v>0</v>
      </c>
      <c r="U599" s="424">
        <f t="shared" si="1171"/>
        <v>0</v>
      </c>
      <c r="V599" s="424">
        <f t="shared" si="1171"/>
        <v>3.73</v>
      </c>
      <c r="W599" s="424">
        <f t="shared" si="1171"/>
        <v>0</v>
      </c>
      <c r="X599" s="424">
        <f t="shared" si="1171"/>
        <v>0</v>
      </c>
      <c r="Y599" s="424">
        <f t="shared" si="1171"/>
        <v>0</v>
      </c>
      <c r="Z599" s="424">
        <f t="shared" si="1171"/>
        <v>0</v>
      </c>
      <c r="AA599" s="424">
        <f t="shared" si="1171"/>
        <v>0</v>
      </c>
      <c r="AB599" s="424">
        <f t="shared" si="1171"/>
        <v>0</v>
      </c>
      <c r="AC599" s="424">
        <f t="shared" si="1171"/>
        <v>0</v>
      </c>
      <c r="AD599" s="424">
        <f t="shared" si="1171"/>
        <v>0</v>
      </c>
      <c r="AE599" s="424">
        <f t="shared" si="1171"/>
        <v>0</v>
      </c>
      <c r="AF599" s="424">
        <f t="shared" si="1171"/>
        <v>0</v>
      </c>
      <c r="AG599" s="424">
        <f t="shared" si="1171"/>
        <v>0</v>
      </c>
      <c r="AH599" s="424">
        <f t="shared" si="1171"/>
        <v>0</v>
      </c>
      <c r="AI599" s="424">
        <f t="shared" si="1171"/>
        <v>0</v>
      </c>
      <c r="AJ599" s="424">
        <f t="shared" si="1171"/>
        <v>0</v>
      </c>
      <c r="AK599" s="424">
        <f t="shared" si="1171"/>
        <v>0</v>
      </c>
      <c r="AL599" s="424">
        <f t="shared" si="1171"/>
        <v>0</v>
      </c>
      <c r="AM599" s="424">
        <f t="shared" si="1171"/>
        <v>0</v>
      </c>
      <c r="AN599" s="424">
        <f t="shared" si="1171"/>
        <v>0</v>
      </c>
      <c r="AO599" s="424">
        <f t="shared" si="1171"/>
        <v>0</v>
      </c>
      <c r="AP599" s="424">
        <f t="shared" si="1171"/>
        <v>0</v>
      </c>
      <c r="AQ599" s="424">
        <f t="shared" si="1171"/>
        <v>0</v>
      </c>
      <c r="AR599" s="424">
        <f t="shared" si="1171"/>
        <v>0</v>
      </c>
      <c r="AS599" s="424">
        <f t="shared" si="1171"/>
        <v>0</v>
      </c>
      <c r="AT599" s="424">
        <f t="shared" si="1171"/>
        <v>0</v>
      </c>
      <c r="AU599" s="424">
        <f t="shared" si="1171"/>
        <v>0</v>
      </c>
      <c r="AV599" s="424">
        <f t="shared" si="1171"/>
        <v>0</v>
      </c>
      <c r="AW599" s="424">
        <f t="shared" si="1171"/>
        <v>0</v>
      </c>
      <c r="AX599" s="424">
        <f t="shared" si="1171"/>
        <v>0</v>
      </c>
      <c r="AY599" s="424">
        <f t="shared" si="1171"/>
        <v>0</v>
      </c>
      <c r="AZ599" s="424">
        <f t="shared" si="1171"/>
        <v>0</v>
      </c>
      <c r="BA599" s="424">
        <f t="shared" si="1171"/>
        <v>0</v>
      </c>
      <c r="BB599" s="424">
        <f t="shared" si="1171"/>
        <v>0</v>
      </c>
      <c r="BC599" s="424">
        <f t="shared" si="1171"/>
        <v>0</v>
      </c>
      <c r="BD599" s="424">
        <f t="shared" si="1171"/>
        <v>0</v>
      </c>
      <c r="BE599" s="424">
        <f t="shared" si="1171"/>
        <v>0</v>
      </c>
      <c r="BF599" s="424">
        <f t="shared" si="1171"/>
        <v>0</v>
      </c>
      <c r="BG599" s="424">
        <f t="shared" si="1171"/>
        <v>0</v>
      </c>
      <c r="BH599" s="424">
        <f t="shared" si="1171"/>
        <v>0</v>
      </c>
      <c r="BI599" s="424">
        <f t="shared" si="1171"/>
        <v>0</v>
      </c>
      <c r="BJ599" s="424">
        <f t="shared" si="1171"/>
        <v>0</v>
      </c>
      <c r="BK599" s="424">
        <f t="shared" si="1171"/>
        <v>0</v>
      </c>
      <c r="BL599" s="424">
        <f t="shared" si="1171"/>
        <v>0</v>
      </c>
      <c r="BM599" s="424">
        <f t="shared" si="1171"/>
        <v>0</v>
      </c>
      <c r="BN599" s="424">
        <f t="shared" si="1171"/>
        <v>0</v>
      </c>
      <c r="BO599" s="424">
        <f t="shared" si="1171"/>
        <v>0</v>
      </c>
      <c r="BP599" s="424">
        <f t="shared" si="1171"/>
        <v>0</v>
      </c>
      <c r="BQ599" s="424">
        <f t="shared" si="1171"/>
        <v>0</v>
      </c>
      <c r="BR599" s="424">
        <f t="shared" si="1171"/>
        <v>0</v>
      </c>
      <c r="BS599" s="424">
        <f t="shared" si="1171"/>
        <v>0</v>
      </c>
      <c r="BT599" s="424">
        <f t="shared" si="1171"/>
        <v>0</v>
      </c>
      <c r="BU599" s="424">
        <f t="shared" si="1171"/>
        <v>0</v>
      </c>
      <c r="BV599" s="424">
        <f t="shared" ref="BV599:DA599" si="1172">BV229*BV$372</f>
        <v>0</v>
      </c>
      <c r="BW599" s="424">
        <f t="shared" si="1172"/>
        <v>0</v>
      </c>
      <c r="BX599" s="424">
        <f t="shared" si="1172"/>
        <v>0</v>
      </c>
      <c r="BY599" s="424">
        <f t="shared" si="1172"/>
        <v>0</v>
      </c>
      <c r="BZ599" s="424">
        <f t="shared" si="1172"/>
        <v>0</v>
      </c>
      <c r="CA599" s="424">
        <f t="shared" si="1172"/>
        <v>0</v>
      </c>
      <c r="CB599" s="424">
        <f t="shared" si="1172"/>
        <v>5.15</v>
      </c>
      <c r="CC599" s="424">
        <f t="shared" si="1172"/>
        <v>0</v>
      </c>
      <c r="CD599" s="424">
        <f t="shared" si="1172"/>
        <v>0</v>
      </c>
      <c r="CE599" s="424">
        <f t="shared" si="1172"/>
        <v>0</v>
      </c>
      <c r="CF599" s="424">
        <f t="shared" si="1172"/>
        <v>0</v>
      </c>
      <c r="CG599" s="424">
        <f t="shared" si="1172"/>
        <v>0</v>
      </c>
      <c r="CH599" s="424">
        <f t="shared" si="1172"/>
        <v>0</v>
      </c>
      <c r="CI599" s="424">
        <f t="shared" si="1172"/>
        <v>0</v>
      </c>
      <c r="CJ599" s="424">
        <f t="shared" si="1172"/>
        <v>0</v>
      </c>
      <c r="CK599" s="424">
        <f t="shared" si="1172"/>
        <v>0</v>
      </c>
      <c r="CL599" s="424">
        <f t="shared" si="1172"/>
        <v>0</v>
      </c>
      <c r="CM599" s="424">
        <f t="shared" si="1172"/>
        <v>0</v>
      </c>
      <c r="CN599" s="424">
        <f t="shared" si="1172"/>
        <v>0</v>
      </c>
      <c r="CO599" s="424">
        <f t="shared" si="1172"/>
        <v>0</v>
      </c>
      <c r="CP599" s="424">
        <f t="shared" si="1172"/>
        <v>0</v>
      </c>
      <c r="CQ599" s="424">
        <f t="shared" si="1172"/>
        <v>0</v>
      </c>
      <c r="CR599" s="424">
        <f t="shared" si="1172"/>
        <v>0</v>
      </c>
      <c r="CS599" s="424">
        <f t="shared" si="1172"/>
        <v>0</v>
      </c>
      <c r="CT599" s="424">
        <f t="shared" si="1172"/>
        <v>0</v>
      </c>
      <c r="CU599" s="424">
        <f t="shared" si="1172"/>
        <v>0</v>
      </c>
      <c r="CV599" s="424">
        <f t="shared" si="1172"/>
        <v>0</v>
      </c>
      <c r="CW599" s="424">
        <f t="shared" si="1172"/>
        <v>0</v>
      </c>
      <c r="CX599" s="424">
        <f t="shared" si="1172"/>
        <v>0</v>
      </c>
      <c r="CY599" s="424">
        <f t="shared" si="1172"/>
        <v>0</v>
      </c>
      <c r="CZ599" s="424">
        <f t="shared" si="1172"/>
        <v>0</v>
      </c>
      <c r="DA599" s="424">
        <f t="shared" si="1172"/>
        <v>0</v>
      </c>
      <c r="DB599" s="424">
        <f t="shared" ref="DB599:EG599" si="1173">DB229*DB$372</f>
        <v>0</v>
      </c>
      <c r="DC599" s="424">
        <f t="shared" si="1173"/>
        <v>0.08</v>
      </c>
      <c r="DD599" s="424">
        <f t="shared" si="1173"/>
        <v>0</v>
      </c>
      <c r="DE599" s="424">
        <f t="shared" si="1173"/>
        <v>0</v>
      </c>
      <c r="DF599" s="424">
        <f t="shared" si="1173"/>
        <v>0</v>
      </c>
      <c r="DG599" s="424">
        <f t="shared" si="1173"/>
        <v>0</v>
      </c>
      <c r="DH599" s="424">
        <f t="shared" si="1173"/>
        <v>0</v>
      </c>
      <c r="DI599" s="424">
        <f t="shared" si="1173"/>
        <v>0</v>
      </c>
      <c r="DJ599" s="424">
        <f t="shared" si="1173"/>
        <v>0</v>
      </c>
      <c r="DK599" s="424">
        <f t="shared" si="1173"/>
        <v>0</v>
      </c>
      <c r="DL599" s="424">
        <f t="shared" si="1173"/>
        <v>0</v>
      </c>
      <c r="DM599" s="424">
        <f t="shared" si="1173"/>
        <v>0</v>
      </c>
      <c r="DN599" s="424">
        <f t="shared" si="1173"/>
        <v>0</v>
      </c>
      <c r="DO599" s="424">
        <f t="shared" si="1173"/>
        <v>0</v>
      </c>
      <c r="DP599" s="424">
        <f t="shared" si="1173"/>
        <v>0</v>
      </c>
      <c r="DQ599" s="424">
        <f t="shared" si="1173"/>
        <v>0</v>
      </c>
      <c r="DR599" s="424">
        <f t="shared" si="1173"/>
        <v>0</v>
      </c>
      <c r="DS599" s="424">
        <f t="shared" si="1173"/>
        <v>0</v>
      </c>
      <c r="DT599" s="424">
        <f t="shared" si="1173"/>
        <v>0</v>
      </c>
      <c r="DU599" s="424">
        <f t="shared" si="1173"/>
        <v>0</v>
      </c>
      <c r="DV599" s="424">
        <f t="shared" si="1173"/>
        <v>0</v>
      </c>
      <c r="DW599" s="424">
        <f t="shared" si="1173"/>
        <v>0</v>
      </c>
      <c r="DX599" s="424">
        <f t="shared" si="1173"/>
        <v>0</v>
      </c>
      <c r="DY599" s="424">
        <f t="shared" si="1173"/>
        <v>0</v>
      </c>
      <c r="DZ599" s="424">
        <f t="shared" si="1173"/>
        <v>0</v>
      </c>
      <c r="EA599" s="424">
        <f t="shared" si="1173"/>
        <v>0</v>
      </c>
      <c r="EB599" s="424">
        <f t="shared" si="1173"/>
        <v>0</v>
      </c>
      <c r="EC599" s="424">
        <f t="shared" si="1173"/>
        <v>0</v>
      </c>
      <c r="ED599" s="424">
        <f t="shared" si="1173"/>
        <v>0</v>
      </c>
      <c r="EE599" s="424">
        <f t="shared" si="1173"/>
        <v>0</v>
      </c>
      <c r="EF599" s="424">
        <f t="shared" si="1173"/>
        <v>0</v>
      </c>
      <c r="EG599" s="424">
        <f t="shared" si="1173"/>
        <v>0</v>
      </c>
      <c r="EH599" s="424">
        <f t="shared" ref="EH599:EX599" si="1174">EH229*EH$372</f>
        <v>0</v>
      </c>
      <c r="EI599" s="424">
        <f t="shared" si="1174"/>
        <v>0</v>
      </c>
      <c r="EJ599" s="424">
        <f t="shared" si="1174"/>
        <v>0</v>
      </c>
      <c r="EK599" s="424">
        <f t="shared" si="1174"/>
        <v>0</v>
      </c>
      <c r="EL599" s="424">
        <f t="shared" si="1174"/>
        <v>0</v>
      </c>
      <c r="EM599" s="424">
        <f t="shared" si="1174"/>
        <v>0</v>
      </c>
      <c r="EN599" s="424">
        <f t="shared" si="1174"/>
        <v>0</v>
      </c>
      <c r="EO599" s="424">
        <f t="shared" si="1174"/>
        <v>0</v>
      </c>
      <c r="EP599" s="424">
        <f t="shared" si="1174"/>
        <v>0</v>
      </c>
      <c r="EQ599" s="424">
        <f t="shared" si="1174"/>
        <v>0</v>
      </c>
      <c r="ER599" s="424">
        <f t="shared" si="1174"/>
        <v>0</v>
      </c>
      <c r="ES599" s="424">
        <f t="shared" si="1174"/>
        <v>0</v>
      </c>
      <c r="ET599" s="424">
        <f t="shared" si="1174"/>
        <v>0</v>
      </c>
      <c r="EU599" s="424">
        <f t="shared" si="1174"/>
        <v>0</v>
      </c>
      <c r="EV599" s="424">
        <f t="shared" si="1174"/>
        <v>0</v>
      </c>
      <c r="EW599" s="424">
        <f t="shared" si="1174"/>
        <v>0</v>
      </c>
      <c r="EX599" s="424">
        <f t="shared" si="1174"/>
        <v>0</v>
      </c>
      <c r="EY599" s="425">
        <f t="shared" si="1064"/>
        <v>8.9600000000000009</v>
      </c>
      <c r="EZ599" s="616"/>
      <c r="FA599" s="616"/>
      <c r="FB599" s="616"/>
      <c r="FC599" s="616"/>
      <c r="FD599" s="616"/>
      <c r="FE599" s="616"/>
      <c r="FF599" s="616"/>
      <c r="FG599" s="616"/>
      <c r="FH599" s="616"/>
      <c r="FI599" s="616"/>
      <c r="FJ599" s="616"/>
    </row>
    <row r="600" spans="1:166" s="467" customFormat="1" x14ac:dyDescent="0.25">
      <c r="A600" s="310">
        <v>226</v>
      </c>
      <c r="B600" s="311" t="str">
        <f t="shared" si="1005"/>
        <v>Макаронные изделия отварные с маслом</v>
      </c>
      <c r="C600" s="483">
        <f t="shared" si="1018"/>
        <v>6.34</v>
      </c>
      <c r="D600" s="888"/>
      <c r="E600" s="888"/>
      <c r="F600" s="888"/>
      <c r="G600" s="889"/>
      <c r="H600" s="680">
        <f t="shared" ref="H600:H631" si="1175">H230</f>
        <v>309</v>
      </c>
      <c r="I600" s="1209">
        <f t="shared" si="1007"/>
        <v>-0.01</v>
      </c>
      <c r="J600" s="424">
        <f t="shared" ref="J600:AO600" si="1176">J230*J$372</f>
        <v>0</v>
      </c>
      <c r="K600" s="424">
        <f t="shared" si="1176"/>
        <v>0</v>
      </c>
      <c r="L600" s="424">
        <f t="shared" si="1176"/>
        <v>0</v>
      </c>
      <c r="M600" s="424">
        <f t="shared" si="1176"/>
        <v>0</v>
      </c>
      <c r="N600" s="424">
        <f t="shared" si="1176"/>
        <v>0</v>
      </c>
      <c r="O600" s="424">
        <f t="shared" si="1176"/>
        <v>0</v>
      </c>
      <c r="P600" s="424">
        <f t="shared" si="1176"/>
        <v>0</v>
      </c>
      <c r="Q600" s="424">
        <f t="shared" si="1176"/>
        <v>0</v>
      </c>
      <c r="R600" s="424">
        <f t="shared" si="1176"/>
        <v>0</v>
      </c>
      <c r="S600" s="424">
        <f t="shared" si="1176"/>
        <v>0</v>
      </c>
      <c r="T600" s="424">
        <f t="shared" si="1176"/>
        <v>0</v>
      </c>
      <c r="U600" s="424">
        <f t="shared" si="1176"/>
        <v>0</v>
      </c>
      <c r="V600" s="424">
        <f t="shared" si="1176"/>
        <v>3.73</v>
      </c>
      <c r="W600" s="424">
        <f t="shared" si="1176"/>
        <v>0</v>
      </c>
      <c r="X600" s="424">
        <f t="shared" si="1176"/>
        <v>0</v>
      </c>
      <c r="Y600" s="424">
        <f t="shared" si="1176"/>
        <v>0</v>
      </c>
      <c r="Z600" s="424">
        <f t="shared" si="1176"/>
        <v>0</v>
      </c>
      <c r="AA600" s="424">
        <f t="shared" si="1176"/>
        <v>0</v>
      </c>
      <c r="AB600" s="424">
        <f t="shared" si="1176"/>
        <v>0</v>
      </c>
      <c r="AC600" s="424">
        <f t="shared" si="1176"/>
        <v>0</v>
      </c>
      <c r="AD600" s="424">
        <f t="shared" si="1176"/>
        <v>0</v>
      </c>
      <c r="AE600" s="424">
        <f t="shared" si="1176"/>
        <v>0</v>
      </c>
      <c r="AF600" s="424">
        <f t="shared" si="1176"/>
        <v>0</v>
      </c>
      <c r="AG600" s="424">
        <f t="shared" si="1176"/>
        <v>0</v>
      </c>
      <c r="AH600" s="424">
        <f t="shared" si="1176"/>
        <v>0</v>
      </c>
      <c r="AI600" s="424">
        <f t="shared" si="1176"/>
        <v>0</v>
      </c>
      <c r="AJ600" s="424">
        <f t="shared" si="1176"/>
        <v>0</v>
      </c>
      <c r="AK600" s="424">
        <f t="shared" si="1176"/>
        <v>0</v>
      </c>
      <c r="AL600" s="424">
        <f t="shared" si="1176"/>
        <v>0</v>
      </c>
      <c r="AM600" s="424">
        <f t="shared" si="1176"/>
        <v>0</v>
      </c>
      <c r="AN600" s="424">
        <f t="shared" si="1176"/>
        <v>0</v>
      </c>
      <c r="AO600" s="424">
        <f t="shared" si="1176"/>
        <v>0</v>
      </c>
      <c r="AP600" s="424">
        <f t="shared" ref="AP600:BU600" si="1177">AP230*AP$372</f>
        <v>0</v>
      </c>
      <c r="AQ600" s="424">
        <f t="shared" si="1177"/>
        <v>0</v>
      </c>
      <c r="AR600" s="424">
        <f t="shared" si="1177"/>
        <v>0</v>
      </c>
      <c r="AS600" s="424">
        <f t="shared" si="1177"/>
        <v>0</v>
      </c>
      <c r="AT600" s="424">
        <f t="shared" si="1177"/>
        <v>0</v>
      </c>
      <c r="AU600" s="424">
        <f t="shared" si="1177"/>
        <v>0</v>
      </c>
      <c r="AV600" s="424">
        <f t="shared" si="1177"/>
        <v>0</v>
      </c>
      <c r="AW600" s="424">
        <f t="shared" si="1177"/>
        <v>0</v>
      </c>
      <c r="AX600" s="424">
        <f t="shared" si="1177"/>
        <v>0</v>
      </c>
      <c r="AY600" s="424">
        <f t="shared" si="1177"/>
        <v>0</v>
      </c>
      <c r="AZ600" s="424">
        <f t="shared" si="1177"/>
        <v>0</v>
      </c>
      <c r="BA600" s="424">
        <f t="shared" si="1177"/>
        <v>0</v>
      </c>
      <c r="BB600" s="424">
        <f t="shared" si="1177"/>
        <v>0</v>
      </c>
      <c r="BC600" s="424">
        <f t="shared" si="1177"/>
        <v>0</v>
      </c>
      <c r="BD600" s="424">
        <f t="shared" si="1177"/>
        <v>0</v>
      </c>
      <c r="BE600" s="424">
        <f t="shared" si="1177"/>
        <v>0</v>
      </c>
      <c r="BF600" s="424">
        <f t="shared" si="1177"/>
        <v>0</v>
      </c>
      <c r="BG600" s="424">
        <f t="shared" si="1177"/>
        <v>0</v>
      </c>
      <c r="BH600" s="424">
        <f t="shared" si="1177"/>
        <v>0</v>
      </c>
      <c r="BI600" s="424">
        <f t="shared" si="1177"/>
        <v>0</v>
      </c>
      <c r="BJ600" s="424">
        <f t="shared" si="1177"/>
        <v>0</v>
      </c>
      <c r="BK600" s="424">
        <f t="shared" si="1177"/>
        <v>0</v>
      </c>
      <c r="BL600" s="424">
        <f t="shared" si="1177"/>
        <v>0</v>
      </c>
      <c r="BM600" s="424">
        <f t="shared" si="1177"/>
        <v>0</v>
      </c>
      <c r="BN600" s="424">
        <f t="shared" si="1177"/>
        <v>0</v>
      </c>
      <c r="BO600" s="424">
        <f t="shared" si="1177"/>
        <v>0</v>
      </c>
      <c r="BP600" s="424">
        <f t="shared" si="1177"/>
        <v>0</v>
      </c>
      <c r="BQ600" s="424">
        <f t="shared" si="1177"/>
        <v>0</v>
      </c>
      <c r="BR600" s="424">
        <f t="shared" si="1177"/>
        <v>0</v>
      </c>
      <c r="BS600" s="424">
        <f t="shared" si="1177"/>
        <v>0</v>
      </c>
      <c r="BT600" s="424">
        <f t="shared" si="1177"/>
        <v>0</v>
      </c>
      <c r="BU600" s="424">
        <f t="shared" si="1177"/>
        <v>0</v>
      </c>
      <c r="BV600" s="424">
        <f t="shared" ref="BV600:DA600" si="1178">BV230*BV$372</f>
        <v>0</v>
      </c>
      <c r="BW600" s="424">
        <f t="shared" si="1178"/>
        <v>0</v>
      </c>
      <c r="BX600" s="424">
        <f t="shared" si="1178"/>
        <v>0</v>
      </c>
      <c r="BY600" s="424">
        <f t="shared" si="1178"/>
        <v>0</v>
      </c>
      <c r="BZ600" s="424">
        <f t="shared" si="1178"/>
        <v>0</v>
      </c>
      <c r="CA600" s="424">
        <f t="shared" si="1178"/>
        <v>0</v>
      </c>
      <c r="CB600" s="424">
        <f t="shared" si="1178"/>
        <v>0</v>
      </c>
      <c r="CC600" s="424">
        <f t="shared" si="1178"/>
        <v>0</v>
      </c>
      <c r="CD600" s="424">
        <f t="shared" si="1178"/>
        <v>0</v>
      </c>
      <c r="CE600" s="424">
        <f t="shared" si="1178"/>
        <v>0</v>
      </c>
      <c r="CF600" s="424">
        <f t="shared" si="1178"/>
        <v>0</v>
      </c>
      <c r="CG600" s="424">
        <f t="shared" si="1178"/>
        <v>2.5499999999999998</v>
      </c>
      <c r="CH600" s="424">
        <f t="shared" si="1178"/>
        <v>0</v>
      </c>
      <c r="CI600" s="424">
        <f t="shared" si="1178"/>
        <v>0</v>
      </c>
      <c r="CJ600" s="424">
        <f t="shared" si="1178"/>
        <v>0</v>
      </c>
      <c r="CK600" s="424">
        <f t="shared" si="1178"/>
        <v>0</v>
      </c>
      <c r="CL600" s="424">
        <f t="shared" si="1178"/>
        <v>0</v>
      </c>
      <c r="CM600" s="424">
        <f t="shared" si="1178"/>
        <v>0</v>
      </c>
      <c r="CN600" s="424">
        <f t="shared" si="1178"/>
        <v>0</v>
      </c>
      <c r="CO600" s="424">
        <f t="shared" si="1178"/>
        <v>0</v>
      </c>
      <c r="CP600" s="424">
        <f t="shared" si="1178"/>
        <v>0</v>
      </c>
      <c r="CQ600" s="424">
        <f t="shared" si="1178"/>
        <v>0</v>
      </c>
      <c r="CR600" s="424">
        <f t="shared" si="1178"/>
        <v>0</v>
      </c>
      <c r="CS600" s="424">
        <f t="shared" si="1178"/>
        <v>0</v>
      </c>
      <c r="CT600" s="424">
        <f t="shared" si="1178"/>
        <v>0</v>
      </c>
      <c r="CU600" s="424">
        <f t="shared" si="1178"/>
        <v>0</v>
      </c>
      <c r="CV600" s="424">
        <f t="shared" si="1178"/>
        <v>0</v>
      </c>
      <c r="CW600" s="424">
        <f t="shared" si="1178"/>
        <v>0</v>
      </c>
      <c r="CX600" s="424">
        <f t="shared" si="1178"/>
        <v>0</v>
      </c>
      <c r="CY600" s="424">
        <f t="shared" si="1178"/>
        <v>0</v>
      </c>
      <c r="CZ600" s="424">
        <f t="shared" si="1178"/>
        <v>0</v>
      </c>
      <c r="DA600" s="424">
        <f t="shared" si="1178"/>
        <v>0</v>
      </c>
      <c r="DB600" s="424">
        <f t="shared" ref="DB600:EG600" si="1179">DB230*DB$372</f>
        <v>0</v>
      </c>
      <c r="DC600" s="424">
        <f t="shared" si="1179"/>
        <v>0.06</v>
      </c>
      <c r="DD600" s="424">
        <f t="shared" si="1179"/>
        <v>0</v>
      </c>
      <c r="DE600" s="424">
        <f t="shared" si="1179"/>
        <v>0</v>
      </c>
      <c r="DF600" s="424">
        <f t="shared" si="1179"/>
        <v>0</v>
      </c>
      <c r="DG600" s="424">
        <f t="shared" si="1179"/>
        <v>0</v>
      </c>
      <c r="DH600" s="424">
        <f t="shared" si="1179"/>
        <v>0</v>
      </c>
      <c r="DI600" s="424">
        <f t="shared" si="1179"/>
        <v>0</v>
      </c>
      <c r="DJ600" s="424">
        <f t="shared" si="1179"/>
        <v>0</v>
      </c>
      <c r="DK600" s="424">
        <f t="shared" si="1179"/>
        <v>0</v>
      </c>
      <c r="DL600" s="424">
        <f t="shared" si="1179"/>
        <v>0</v>
      </c>
      <c r="DM600" s="424">
        <f t="shared" si="1179"/>
        <v>0</v>
      </c>
      <c r="DN600" s="424">
        <f t="shared" si="1179"/>
        <v>0</v>
      </c>
      <c r="DO600" s="424">
        <f t="shared" si="1179"/>
        <v>0</v>
      </c>
      <c r="DP600" s="424">
        <f t="shared" si="1179"/>
        <v>0</v>
      </c>
      <c r="DQ600" s="424">
        <f t="shared" si="1179"/>
        <v>0</v>
      </c>
      <c r="DR600" s="424">
        <f t="shared" si="1179"/>
        <v>0</v>
      </c>
      <c r="DS600" s="424">
        <f t="shared" si="1179"/>
        <v>0</v>
      </c>
      <c r="DT600" s="424">
        <f t="shared" si="1179"/>
        <v>0</v>
      </c>
      <c r="DU600" s="424">
        <f t="shared" si="1179"/>
        <v>0</v>
      </c>
      <c r="DV600" s="424">
        <f t="shared" si="1179"/>
        <v>0</v>
      </c>
      <c r="DW600" s="424">
        <f t="shared" si="1179"/>
        <v>0</v>
      </c>
      <c r="DX600" s="424">
        <f t="shared" si="1179"/>
        <v>0</v>
      </c>
      <c r="DY600" s="424">
        <f t="shared" si="1179"/>
        <v>0</v>
      </c>
      <c r="DZ600" s="424">
        <f t="shared" si="1179"/>
        <v>0</v>
      </c>
      <c r="EA600" s="424">
        <f t="shared" si="1179"/>
        <v>0</v>
      </c>
      <c r="EB600" s="424">
        <f t="shared" si="1179"/>
        <v>0</v>
      </c>
      <c r="EC600" s="424">
        <f t="shared" si="1179"/>
        <v>0</v>
      </c>
      <c r="ED600" s="424">
        <f t="shared" si="1179"/>
        <v>0</v>
      </c>
      <c r="EE600" s="424">
        <f t="shared" si="1179"/>
        <v>0</v>
      </c>
      <c r="EF600" s="424">
        <f t="shared" si="1179"/>
        <v>0</v>
      </c>
      <c r="EG600" s="424">
        <f t="shared" si="1179"/>
        <v>0</v>
      </c>
      <c r="EH600" s="424">
        <f t="shared" ref="EH600:EX600" si="1180">EH230*EH$372</f>
        <v>0</v>
      </c>
      <c r="EI600" s="424">
        <f t="shared" si="1180"/>
        <v>0</v>
      </c>
      <c r="EJ600" s="424">
        <f t="shared" si="1180"/>
        <v>0</v>
      </c>
      <c r="EK600" s="424">
        <f t="shared" si="1180"/>
        <v>0</v>
      </c>
      <c r="EL600" s="424">
        <f t="shared" si="1180"/>
        <v>0</v>
      </c>
      <c r="EM600" s="424">
        <f t="shared" si="1180"/>
        <v>0</v>
      </c>
      <c r="EN600" s="424">
        <f t="shared" si="1180"/>
        <v>0</v>
      </c>
      <c r="EO600" s="424">
        <f t="shared" si="1180"/>
        <v>0</v>
      </c>
      <c r="EP600" s="424">
        <f t="shared" si="1180"/>
        <v>0</v>
      </c>
      <c r="EQ600" s="424">
        <f t="shared" si="1180"/>
        <v>0</v>
      </c>
      <c r="ER600" s="424">
        <f t="shared" si="1180"/>
        <v>0</v>
      </c>
      <c r="ES600" s="424">
        <f t="shared" si="1180"/>
        <v>0</v>
      </c>
      <c r="ET600" s="424">
        <f t="shared" si="1180"/>
        <v>0</v>
      </c>
      <c r="EU600" s="424">
        <f t="shared" si="1180"/>
        <v>0</v>
      </c>
      <c r="EV600" s="424">
        <f t="shared" si="1180"/>
        <v>0</v>
      </c>
      <c r="EW600" s="424">
        <f t="shared" si="1180"/>
        <v>0</v>
      </c>
      <c r="EX600" s="424">
        <f t="shared" si="1180"/>
        <v>0</v>
      </c>
      <c r="EY600" s="425">
        <f t="shared" si="1064"/>
        <v>6.34</v>
      </c>
      <c r="EZ600" s="616"/>
      <c r="FA600" s="616"/>
      <c r="FB600" s="616"/>
      <c r="FC600" s="616"/>
      <c r="FD600" s="616"/>
      <c r="FE600" s="616"/>
      <c r="FF600" s="616"/>
      <c r="FG600" s="616"/>
      <c r="FH600" s="616"/>
      <c r="FI600" s="616"/>
      <c r="FJ600" s="616"/>
    </row>
    <row r="601" spans="1:166" x14ac:dyDescent="0.25">
      <c r="A601" s="310">
        <v>227</v>
      </c>
      <c r="B601" s="311" t="str">
        <f t="shared" si="1005"/>
        <v>Картофель отварной</v>
      </c>
      <c r="C601" s="483">
        <f t="shared" si="1018"/>
        <v>13.73</v>
      </c>
      <c r="D601" s="888"/>
      <c r="E601" s="888"/>
      <c r="F601" s="888"/>
      <c r="G601" s="889"/>
      <c r="H601" s="680">
        <f t="shared" si="1175"/>
        <v>310</v>
      </c>
      <c r="I601" s="1209">
        <f t="shared" si="1007"/>
        <v>-0.01</v>
      </c>
      <c r="J601" s="424">
        <f t="shared" ref="J601:AO601" si="1181">J231*J$372</f>
        <v>0</v>
      </c>
      <c r="K601" s="424">
        <f t="shared" si="1181"/>
        <v>0</v>
      </c>
      <c r="L601" s="424">
        <f t="shared" si="1181"/>
        <v>0</v>
      </c>
      <c r="M601" s="424">
        <f t="shared" si="1181"/>
        <v>0</v>
      </c>
      <c r="N601" s="424">
        <f t="shared" si="1181"/>
        <v>0</v>
      </c>
      <c r="O601" s="424">
        <f t="shared" si="1181"/>
        <v>0</v>
      </c>
      <c r="P601" s="424">
        <f t="shared" si="1181"/>
        <v>0</v>
      </c>
      <c r="Q601" s="424">
        <f t="shared" si="1181"/>
        <v>0</v>
      </c>
      <c r="R601" s="424">
        <f t="shared" si="1181"/>
        <v>0</v>
      </c>
      <c r="S601" s="424">
        <f t="shared" si="1181"/>
        <v>0</v>
      </c>
      <c r="T601" s="424">
        <f t="shared" si="1181"/>
        <v>0</v>
      </c>
      <c r="U601" s="424">
        <f t="shared" si="1181"/>
        <v>0</v>
      </c>
      <c r="V601" s="424">
        <f t="shared" si="1181"/>
        <v>3.73</v>
      </c>
      <c r="W601" s="424">
        <f t="shared" si="1181"/>
        <v>0</v>
      </c>
      <c r="X601" s="424">
        <f t="shared" si="1181"/>
        <v>0</v>
      </c>
      <c r="Y601" s="424">
        <f t="shared" si="1181"/>
        <v>0</v>
      </c>
      <c r="Z601" s="424">
        <f t="shared" si="1181"/>
        <v>0</v>
      </c>
      <c r="AA601" s="424">
        <f t="shared" si="1181"/>
        <v>0</v>
      </c>
      <c r="AB601" s="424">
        <f t="shared" si="1181"/>
        <v>0</v>
      </c>
      <c r="AC601" s="424">
        <f t="shared" si="1181"/>
        <v>0</v>
      </c>
      <c r="AD601" s="424">
        <f t="shared" si="1181"/>
        <v>0</v>
      </c>
      <c r="AE601" s="424">
        <f t="shared" si="1181"/>
        <v>0</v>
      </c>
      <c r="AF601" s="424">
        <f t="shared" si="1181"/>
        <v>0</v>
      </c>
      <c r="AG601" s="424">
        <f t="shared" si="1181"/>
        <v>0</v>
      </c>
      <c r="AH601" s="424">
        <f t="shared" si="1181"/>
        <v>10</v>
      </c>
      <c r="AI601" s="424">
        <f t="shared" si="1181"/>
        <v>0</v>
      </c>
      <c r="AJ601" s="424">
        <f t="shared" si="1181"/>
        <v>0</v>
      </c>
      <c r="AK601" s="424">
        <f t="shared" si="1181"/>
        <v>0</v>
      </c>
      <c r="AL601" s="424">
        <f t="shared" si="1181"/>
        <v>0</v>
      </c>
      <c r="AM601" s="424">
        <f t="shared" si="1181"/>
        <v>0</v>
      </c>
      <c r="AN601" s="424">
        <f t="shared" si="1181"/>
        <v>0</v>
      </c>
      <c r="AO601" s="424">
        <f t="shared" si="1181"/>
        <v>0</v>
      </c>
      <c r="AP601" s="424">
        <f t="shared" ref="AP601:BU601" si="1182">AP231*AP$372</f>
        <v>0</v>
      </c>
      <c r="AQ601" s="424">
        <f t="shared" si="1182"/>
        <v>0</v>
      </c>
      <c r="AR601" s="424">
        <f t="shared" si="1182"/>
        <v>0</v>
      </c>
      <c r="AS601" s="424">
        <f t="shared" si="1182"/>
        <v>0</v>
      </c>
      <c r="AT601" s="424">
        <f t="shared" si="1182"/>
        <v>0</v>
      </c>
      <c r="AU601" s="424">
        <f t="shared" si="1182"/>
        <v>0</v>
      </c>
      <c r="AV601" s="424">
        <f t="shared" si="1182"/>
        <v>0</v>
      </c>
      <c r="AW601" s="424">
        <f t="shared" si="1182"/>
        <v>0</v>
      </c>
      <c r="AX601" s="424">
        <f t="shared" si="1182"/>
        <v>0</v>
      </c>
      <c r="AY601" s="424">
        <f t="shared" si="1182"/>
        <v>0</v>
      </c>
      <c r="AZ601" s="424">
        <f t="shared" si="1182"/>
        <v>0</v>
      </c>
      <c r="BA601" s="424">
        <f t="shared" si="1182"/>
        <v>0</v>
      </c>
      <c r="BB601" s="424">
        <f t="shared" si="1182"/>
        <v>0</v>
      </c>
      <c r="BC601" s="424">
        <f t="shared" si="1182"/>
        <v>0</v>
      </c>
      <c r="BD601" s="424">
        <f t="shared" si="1182"/>
        <v>0</v>
      </c>
      <c r="BE601" s="424">
        <f t="shared" si="1182"/>
        <v>0</v>
      </c>
      <c r="BF601" s="424">
        <f t="shared" si="1182"/>
        <v>0</v>
      </c>
      <c r="BG601" s="424">
        <f t="shared" si="1182"/>
        <v>0</v>
      </c>
      <c r="BH601" s="424">
        <f t="shared" si="1182"/>
        <v>0</v>
      </c>
      <c r="BI601" s="424">
        <f t="shared" si="1182"/>
        <v>0</v>
      </c>
      <c r="BJ601" s="424">
        <f t="shared" si="1182"/>
        <v>0</v>
      </c>
      <c r="BK601" s="424">
        <f t="shared" si="1182"/>
        <v>0</v>
      </c>
      <c r="BL601" s="424">
        <f t="shared" si="1182"/>
        <v>0</v>
      </c>
      <c r="BM601" s="424">
        <f t="shared" si="1182"/>
        <v>0</v>
      </c>
      <c r="BN601" s="424">
        <f t="shared" si="1182"/>
        <v>0</v>
      </c>
      <c r="BO601" s="424">
        <f t="shared" si="1182"/>
        <v>0</v>
      </c>
      <c r="BP601" s="424">
        <f t="shared" si="1182"/>
        <v>0</v>
      </c>
      <c r="BQ601" s="424">
        <f t="shared" si="1182"/>
        <v>0</v>
      </c>
      <c r="BR601" s="424">
        <f t="shared" si="1182"/>
        <v>0</v>
      </c>
      <c r="BS601" s="424">
        <f t="shared" si="1182"/>
        <v>0</v>
      </c>
      <c r="BT601" s="424">
        <f t="shared" si="1182"/>
        <v>0</v>
      </c>
      <c r="BU601" s="424">
        <f t="shared" si="1182"/>
        <v>0</v>
      </c>
      <c r="BV601" s="424">
        <f t="shared" ref="BV601:DA601" si="1183">BV231*BV$372</f>
        <v>0</v>
      </c>
      <c r="BW601" s="424">
        <f t="shared" si="1183"/>
        <v>0</v>
      </c>
      <c r="BX601" s="424">
        <f t="shared" si="1183"/>
        <v>0</v>
      </c>
      <c r="BY601" s="424">
        <f t="shared" si="1183"/>
        <v>0</v>
      </c>
      <c r="BZ601" s="424">
        <f t="shared" si="1183"/>
        <v>0</v>
      </c>
      <c r="CA601" s="424">
        <f t="shared" si="1183"/>
        <v>0</v>
      </c>
      <c r="CB601" s="424">
        <f t="shared" si="1183"/>
        <v>0</v>
      </c>
      <c r="CC601" s="424">
        <f t="shared" si="1183"/>
        <v>0</v>
      </c>
      <c r="CD601" s="424">
        <f t="shared" si="1183"/>
        <v>0</v>
      </c>
      <c r="CE601" s="424">
        <f t="shared" si="1183"/>
        <v>0</v>
      </c>
      <c r="CF601" s="424">
        <f t="shared" si="1183"/>
        <v>0</v>
      </c>
      <c r="CG601" s="424">
        <f t="shared" si="1183"/>
        <v>0</v>
      </c>
      <c r="CH601" s="424">
        <f t="shared" si="1183"/>
        <v>0</v>
      </c>
      <c r="CI601" s="424">
        <f t="shared" si="1183"/>
        <v>0</v>
      </c>
      <c r="CJ601" s="424">
        <f t="shared" si="1183"/>
        <v>0</v>
      </c>
      <c r="CK601" s="424">
        <f t="shared" si="1183"/>
        <v>0</v>
      </c>
      <c r="CL601" s="424">
        <f t="shared" si="1183"/>
        <v>0</v>
      </c>
      <c r="CM601" s="424">
        <f t="shared" si="1183"/>
        <v>0</v>
      </c>
      <c r="CN601" s="424">
        <f t="shared" si="1183"/>
        <v>0</v>
      </c>
      <c r="CO601" s="424">
        <f t="shared" si="1183"/>
        <v>0</v>
      </c>
      <c r="CP601" s="424">
        <f t="shared" si="1183"/>
        <v>0</v>
      </c>
      <c r="CQ601" s="424">
        <f t="shared" si="1183"/>
        <v>0</v>
      </c>
      <c r="CR601" s="424">
        <f t="shared" si="1183"/>
        <v>0</v>
      </c>
      <c r="CS601" s="424">
        <f t="shared" si="1183"/>
        <v>0</v>
      </c>
      <c r="CT601" s="424">
        <f t="shared" si="1183"/>
        <v>0</v>
      </c>
      <c r="CU601" s="424">
        <f t="shared" si="1183"/>
        <v>0</v>
      </c>
      <c r="CV601" s="424">
        <f t="shared" si="1183"/>
        <v>0</v>
      </c>
      <c r="CW601" s="424">
        <f t="shared" si="1183"/>
        <v>0</v>
      </c>
      <c r="CX601" s="424">
        <f t="shared" si="1183"/>
        <v>0</v>
      </c>
      <c r="CY601" s="424">
        <f t="shared" si="1183"/>
        <v>0</v>
      </c>
      <c r="CZ601" s="424">
        <f t="shared" si="1183"/>
        <v>0</v>
      </c>
      <c r="DA601" s="424">
        <f t="shared" si="1183"/>
        <v>0</v>
      </c>
      <c r="DB601" s="424">
        <f t="shared" ref="DB601:EG601" si="1184">DB231*DB$372</f>
        <v>0</v>
      </c>
      <c r="DC601" s="424">
        <f t="shared" si="1184"/>
        <v>0</v>
      </c>
      <c r="DD601" s="424">
        <f t="shared" si="1184"/>
        <v>0</v>
      </c>
      <c r="DE601" s="424">
        <f t="shared" si="1184"/>
        <v>0</v>
      </c>
      <c r="DF601" s="424">
        <f t="shared" si="1184"/>
        <v>0</v>
      </c>
      <c r="DG601" s="424">
        <f t="shared" si="1184"/>
        <v>0</v>
      </c>
      <c r="DH601" s="424">
        <f t="shared" si="1184"/>
        <v>0</v>
      </c>
      <c r="DI601" s="424">
        <f t="shared" si="1184"/>
        <v>0</v>
      </c>
      <c r="DJ601" s="424">
        <f t="shared" si="1184"/>
        <v>0</v>
      </c>
      <c r="DK601" s="424">
        <f t="shared" si="1184"/>
        <v>0</v>
      </c>
      <c r="DL601" s="424">
        <f t="shared" si="1184"/>
        <v>0</v>
      </c>
      <c r="DM601" s="424">
        <f t="shared" si="1184"/>
        <v>0</v>
      </c>
      <c r="DN601" s="424">
        <f t="shared" si="1184"/>
        <v>0</v>
      </c>
      <c r="DO601" s="424">
        <f t="shared" si="1184"/>
        <v>0</v>
      </c>
      <c r="DP601" s="424">
        <f t="shared" si="1184"/>
        <v>0</v>
      </c>
      <c r="DQ601" s="424">
        <f t="shared" si="1184"/>
        <v>0</v>
      </c>
      <c r="DR601" s="424">
        <f t="shared" si="1184"/>
        <v>0</v>
      </c>
      <c r="DS601" s="424">
        <f t="shared" si="1184"/>
        <v>0</v>
      </c>
      <c r="DT601" s="424">
        <f t="shared" si="1184"/>
        <v>0</v>
      </c>
      <c r="DU601" s="424">
        <f t="shared" si="1184"/>
        <v>0</v>
      </c>
      <c r="DV601" s="424">
        <f t="shared" si="1184"/>
        <v>0</v>
      </c>
      <c r="DW601" s="424">
        <f t="shared" si="1184"/>
        <v>0</v>
      </c>
      <c r="DX601" s="424">
        <f t="shared" si="1184"/>
        <v>0</v>
      </c>
      <c r="DY601" s="424">
        <f t="shared" si="1184"/>
        <v>0</v>
      </c>
      <c r="DZ601" s="424">
        <f t="shared" si="1184"/>
        <v>0</v>
      </c>
      <c r="EA601" s="424">
        <f t="shared" si="1184"/>
        <v>0</v>
      </c>
      <c r="EB601" s="424">
        <f t="shared" si="1184"/>
        <v>0</v>
      </c>
      <c r="EC601" s="424">
        <f t="shared" si="1184"/>
        <v>0</v>
      </c>
      <c r="ED601" s="424">
        <f t="shared" si="1184"/>
        <v>0</v>
      </c>
      <c r="EE601" s="424">
        <f t="shared" si="1184"/>
        <v>0</v>
      </c>
      <c r="EF601" s="424">
        <f t="shared" si="1184"/>
        <v>0</v>
      </c>
      <c r="EG601" s="424">
        <f t="shared" si="1184"/>
        <v>0</v>
      </c>
      <c r="EH601" s="424">
        <f t="shared" ref="EH601:EX601" si="1185">EH231*EH$372</f>
        <v>0</v>
      </c>
      <c r="EI601" s="424">
        <f t="shared" si="1185"/>
        <v>0</v>
      </c>
      <c r="EJ601" s="424">
        <f t="shared" si="1185"/>
        <v>0</v>
      </c>
      <c r="EK601" s="424">
        <f t="shared" si="1185"/>
        <v>0</v>
      </c>
      <c r="EL601" s="424">
        <f t="shared" si="1185"/>
        <v>0</v>
      </c>
      <c r="EM601" s="424">
        <f t="shared" si="1185"/>
        <v>0</v>
      </c>
      <c r="EN601" s="424">
        <f t="shared" si="1185"/>
        <v>0</v>
      </c>
      <c r="EO601" s="424">
        <f t="shared" si="1185"/>
        <v>0</v>
      </c>
      <c r="EP601" s="424">
        <f t="shared" si="1185"/>
        <v>0</v>
      </c>
      <c r="EQ601" s="424">
        <f t="shared" si="1185"/>
        <v>0</v>
      </c>
      <c r="ER601" s="424">
        <f t="shared" si="1185"/>
        <v>0</v>
      </c>
      <c r="ES601" s="424">
        <f t="shared" si="1185"/>
        <v>0</v>
      </c>
      <c r="ET601" s="424">
        <f t="shared" si="1185"/>
        <v>0</v>
      </c>
      <c r="EU601" s="424">
        <f t="shared" si="1185"/>
        <v>0</v>
      </c>
      <c r="EV601" s="424">
        <f t="shared" si="1185"/>
        <v>0</v>
      </c>
      <c r="EW601" s="424">
        <f t="shared" si="1185"/>
        <v>0</v>
      </c>
      <c r="EX601" s="424">
        <f t="shared" si="1185"/>
        <v>0</v>
      </c>
      <c r="EY601" s="425">
        <f t="shared" si="1064"/>
        <v>13.73</v>
      </c>
    </row>
    <row r="602" spans="1:166" x14ac:dyDescent="0.25">
      <c r="A602" s="310">
        <v>228</v>
      </c>
      <c r="B602" s="311" t="str">
        <f t="shared" si="1005"/>
        <v>Картофель отварной молодой</v>
      </c>
      <c r="C602" s="483">
        <f t="shared" si="1018"/>
        <v>8.57</v>
      </c>
      <c r="D602" s="888"/>
      <c r="E602" s="888"/>
      <c r="F602" s="888"/>
      <c r="G602" s="889"/>
      <c r="H602" s="680">
        <f t="shared" si="1175"/>
        <v>310</v>
      </c>
      <c r="I602" s="1209">
        <f t="shared" si="1007"/>
        <v>-0.01</v>
      </c>
      <c r="J602" s="424">
        <f t="shared" ref="J602:AO602" si="1186">J232*J$372</f>
        <v>0</v>
      </c>
      <c r="K602" s="424">
        <f t="shared" si="1186"/>
        <v>0</v>
      </c>
      <c r="L602" s="424">
        <f t="shared" si="1186"/>
        <v>0</v>
      </c>
      <c r="M602" s="424">
        <f t="shared" si="1186"/>
        <v>0</v>
      </c>
      <c r="N602" s="424">
        <f t="shared" si="1186"/>
        <v>0</v>
      </c>
      <c r="O602" s="424">
        <f t="shared" si="1186"/>
        <v>0</v>
      </c>
      <c r="P602" s="424">
        <f t="shared" si="1186"/>
        <v>0</v>
      </c>
      <c r="Q602" s="424">
        <f t="shared" si="1186"/>
        <v>0</v>
      </c>
      <c r="R602" s="424">
        <f t="shared" si="1186"/>
        <v>0</v>
      </c>
      <c r="S602" s="424">
        <f t="shared" si="1186"/>
        <v>0</v>
      </c>
      <c r="T602" s="424">
        <f t="shared" si="1186"/>
        <v>0</v>
      </c>
      <c r="U602" s="424">
        <f t="shared" si="1186"/>
        <v>0</v>
      </c>
      <c r="V602" s="424">
        <f t="shared" si="1186"/>
        <v>3.73</v>
      </c>
      <c r="W602" s="424">
        <f t="shared" si="1186"/>
        <v>0</v>
      </c>
      <c r="X602" s="424">
        <f t="shared" si="1186"/>
        <v>0</v>
      </c>
      <c r="Y602" s="424">
        <f t="shared" si="1186"/>
        <v>0</v>
      </c>
      <c r="Z602" s="424">
        <f t="shared" si="1186"/>
        <v>0</v>
      </c>
      <c r="AA602" s="424">
        <f t="shared" si="1186"/>
        <v>0</v>
      </c>
      <c r="AB602" s="424">
        <f t="shared" si="1186"/>
        <v>0</v>
      </c>
      <c r="AC602" s="424">
        <f t="shared" si="1186"/>
        <v>0</v>
      </c>
      <c r="AD602" s="424">
        <f t="shared" si="1186"/>
        <v>0</v>
      </c>
      <c r="AE602" s="424">
        <f t="shared" si="1186"/>
        <v>0</v>
      </c>
      <c r="AF602" s="424">
        <f t="shared" si="1186"/>
        <v>0</v>
      </c>
      <c r="AG602" s="424">
        <f t="shared" si="1186"/>
        <v>0</v>
      </c>
      <c r="AH602" s="424">
        <f t="shared" si="1186"/>
        <v>0</v>
      </c>
      <c r="AI602" s="424">
        <f t="shared" si="1186"/>
        <v>4.84</v>
      </c>
      <c r="AJ602" s="424">
        <f t="shared" si="1186"/>
        <v>0</v>
      </c>
      <c r="AK602" s="424">
        <f t="shared" si="1186"/>
        <v>0</v>
      </c>
      <c r="AL602" s="424">
        <f t="shared" si="1186"/>
        <v>0</v>
      </c>
      <c r="AM602" s="424">
        <f t="shared" si="1186"/>
        <v>0</v>
      </c>
      <c r="AN602" s="424">
        <f t="shared" si="1186"/>
        <v>0</v>
      </c>
      <c r="AO602" s="424">
        <f t="shared" si="1186"/>
        <v>0</v>
      </c>
      <c r="AP602" s="424">
        <f t="shared" ref="AP602:BU602" si="1187">AP232*AP$372</f>
        <v>0</v>
      </c>
      <c r="AQ602" s="424">
        <f t="shared" si="1187"/>
        <v>0</v>
      </c>
      <c r="AR602" s="424">
        <f t="shared" si="1187"/>
        <v>0</v>
      </c>
      <c r="AS602" s="424">
        <f t="shared" si="1187"/>
        <v>0</v>
      </c>
      <c r="AT602" s="424">
        <f t="shared" si="1187"/>
        <v>0</v>
      </c>
      <c r="AU602" s="424">
        <f t="shared" si="1187"/>
        <v>0</v>
      </c>
      <c r="AV602" s="424">
        <f t="shared" si="1187"/>
        <v>0</v>
      </c>
      <c r="AW602" s="424">
        <f t="shared" si="1187"/>
        <v>0</v>
      </c>
      <c r="AX602" s="424">
        <f t="shared" si="1187"/>
        <v>0</v>
      </c>
      <c r="AY602" s="424">
        <f t="shared" si="1187"/>
        <v>0</v>
      </c>
      <c r="AZ602" s="424">
        <f t="shared" si="1187"/>
        <v>0</v>
      </c>
      <c r="BA602" s="424">
        <f t="shared" si="1187"/>
        <v>0</v>
      </c>
      <c r="BB602" s="424">
        <f t="shared" si="1187"/>
        <v>0</v>
      </c>
      <c r="BC602" s="424">
        <f t="shared" si="1187"/>
        <v>0</v>
      </c>
      <c r="BD602" s="424">
        <f t="shared" si="1187"/>
        <v>0</v>
      </c>
      <c r="BE602" s="424">
        <f t="shared" si="1187"/>
        <v>0</v>
      </c>
      <c r="BF602" s="424">
        <f t="shared" si="1187"/>
        <v>0</v>
      </c>
      <c r="BG602" s="424">
        <f t="shared" si="1187"/>
        <v>0</v>
      </c>
      <c r="BH602" s="424">
        <f t="shared" si="1187"/>
        <v>0</v>
      </c>
      <c r="BI602" s="424">
        <f t="shared" si="1187"/>
        <v>0</v>
      </c>
      <c r="BJ602" s="424">
        <f t="shared" si="1187"/>
        <v>0</v>
      </c>
      <c r="BK602" s="424">
        <f t="shared" si="1187"/>
        <v>0</v>
      </c>
      <c r="BL602" s="424">
        <f t="shared" si="1187"/>
        <v>0</v>
      </c>
      <c r="BM602" s="424">
        <f t="shared" si="1187"/>
        <v>0</v>
      </c>
      <c r="BN602" s="424">
        <f t="shared" si="1187"/>
        <v>0</v>
      </c>
      <c r="BO602" s="424">
        <f t="shared" si="1187"/>
        <v>0</v>
      </c>
      <c r="BP602" s="424">
        <f t="shared" si="1187"/>
        <v>0</v>
      </c>
      <c r="BQ602" s="424">
        <f t="shared" si="1187"/>
        <v>0</v>
      </c>
      <c r="BR602" s="424">
        <f t="shared" si="1187"/>
        <v>0</v>
      </c>
      <c r="BS602" s="424">
        <f t="shared" si="1187"/>
        <v>0</v>
      </c>
      <c r="BT602" s="424">
        <f t="shared" si="1187"/>
        <v>0</v>
      </c>
      <c r="BU602" s="424">
        <f t="shared" si="1187"/>
        <v>0</v>
      </c>
      <c r="BV602" s="424">
        <f t="shared" ref="BV602:DA602" si="1188">BV232*BV$372</f>
        <v>0</v>
      </c>
      <c r="BW602" s="424">
        <f t="shared" si="1188"/>
        <v>0</v>
      </c>
      <c r="BX602" s="424">
        <f t="shared" si="1188"/>
        <v>0</v>
      </c>
      <c r="BY602" s="424">
        <f t="shared" si="1188"/>
        <v>0</v>
      </c>
      <c r="BZ602" s="424">
        <f t="shared" si="1188"/>
        <v>0</v>
      </c>
      <c r="CA602" s="424">
        <f t="shared" si="1188"/>
        <v>0</v>
      </c>
      <c r="CB602" s="424">
        <f t="shared" si="1188"/>
        <v>0</v>
      </c>
      <c r="CC602" s="424">
        <f t="shared" si="1188"/>
        <v>0</v>
      </c>
      <c r="CD602" s="424">
        <f t="shared" si="1188"/>
        <v>0</v>
      </c>
      <c r="CE602" s="424">
        <f t="shared" si="1188"/>
        <v>0</v>
      </c>
      <c r="CF602" s="424">
        <f t="shared" si="1188"/>
        <v>0</v>
      </c>
      <c r="CG602" s="424">
        <f t="shared" si="1188"/>
        <v>0</v>
      </c>
      <c r="CH602" s="424">
        <f t="shared" si="1188"/>
        <v>0</v>
      </c>
      <c r="CI602" s="424">
        <f t="shared" si="1188"/>
        <v>0</v>
      </c>
      <c r="CJ602" s="424">
        <f t="shared" si="1188"/>
        <v>0</v>
      </c>
      <c r="CK602" s="424">
        <f t="shared" si="1188"/>
        <v>0</v>
      </c>
      <c r="CL602" s="424">
        <f t="shared" si="1188"/>
        <v>0</v>
      </c>
      <c r="CM602" s="424">
        <f t="shared" si="1188"/>
        <v>0</v>
      </c>
      <c r="CN602" s="424">
        <f t="shared" si="1188"/>
        <v>0</v>
      </c>
      <c r="CO602" s="424">
        <f t="shared" si="1188"/>
        <v>0</v>
      </c>
      <c r="CP602" s="424">
        <f t="shared" si="1188"/>
        <v>0</v>
      </c>
      <c r="CQ602" s="424">
        <f t="shared" si="1188"/>
        <v>0</v>
      </c>
      <c r="CR602" s="424">
        <f t="shared" si="1188"/>
        <v>0</v>
      </c>
      <c r="CS602" s="424">
        <f t="shared" si="1188"/>
        <v>0</v>
      </c>
      <c r="CT602" s="424">
        <f t="shared" si="1188"/>
        <v>0</v>
      </c>
      <c r="CU602" s="424">
        <f t="shared" si="1188"/>
        <v>0</v>
      </c>
      <c r="CV602" s="424">
        <f t="shared" si="1188"/>
        <v>0</v>
      </c>
      <c r="CW602" s="424">
        <f t="shared" si="1188"/>
        <v>0</v>
      </c>
      <c r="CX602" s="424">
        <f t="shared" si="1188"/>
        <v>0</v>
      </c>
      <c r="CY602" s="424">
        <f t="shared" si="1188"/>
        <v>0</v>
      </c>
      <c r="CZ602" s="424">
        <f t="shared" si="1188"/>
        <v>0</v>
      </c>
      <c r="DA602" s="424">
        <f t="shared" si="1188"/>
        <v>0</v>
      </c>
      <c r="DB602" s="424">
        <f t="shared" ref="DB602:EG602" si="1189">DB232*DB$372</f>
        <v>0</v>
      </c>
      <c r="DC602" s="424">
        <f t="shared" si="1189"/>
        <v>0</v>
      </c>
      <c r="DD602" s="424">
        <f t="shared" si="1189"/>
        <v>0</v>
      </c>
      <c r="DE602" s="424">
        <f t="shared" si="1189"/>
        <v>0</v>
      </c>
      <c r="DF602" s="424">
        <f t="shared" si="1189"/>
        <v>0</v>
      </c>
      <c r="DG602" s="424">
        <f t="shared" si="1189"/>
        <v>0</v>
      </c>
      <c r="DH602" s="424">
        <f t="shared" si="1189"/>
        <v>0</v>
      </c>
      <c r="DI602" s="424">
        <f t="shared" si="1189"/>
        <v>0</v>
      </c>
      <c r="DJ602" s="424">
        <f t="shared" si="1189"/>
        <v>0</v>
      </c>
      <c r="DK602" s="424">
        <f t="shared" si="1189"/>
        <v>0</v>
      </c>
      <c r="DL602" s="424">
        <f t="shared" si="1189"/>
        <v>0</v>
      </c>
      <c r="DM602" s="424">
        <f t="shared" si="1189"/>
        <v>0</v>
      </c>
      <c r="DN602" s="424">
        <f t="shared" si="1189"/>
        <v>0</v>
      </c>
      <c r="DO602" s="424">
        <f t="shared" si="1189"/>
        <v>0</v>
      </c>
      <c r="DP602" s="424">
        <f t="shared" si="1189"/>
        <v>0</v>
      </c>
      <c r="DQ602" s="424">
        <f t="shared" si="1189"/>
        <v>0</v>
      </c>
      <c r="DR602" s="424">
        <f t="shared" si="1189"/>
        <v>0</v>
      </c>
      <c r="DS602" s="424">
        <f t="shared" si="1189"/>
        <v>0</v>
      </c>
      <c r="DT602" s="424">
        <f t="shared" si="1189"/>
        <v>0</v>
      </c>
      <c r="DU602" s="424">
        <f t="shared" si="1189"/>
        <v>0</v>
      </c>
      <c r="DV602" s="424">
        <f t="shared" si="1189"/>
        <v>0</v>
      </c>
      <c r="DW602" s="424">
        <f t="shared" si="1189"/>
        <v>0</v>
      </c>
      <c r="DX602" s="424">
        <f t="shared" si="1189"/>
        <v>0</v>
      </c>
      <c r="DY602" s="424">
        <f t="shared" si="1189"/>
        <v>0</v>
      </c>
      <c r="DZ602" s="424">
        <f t="shared" si="1189"/>
        <v>0</v>
      </c>
      <c r="EA602" s="424">
        <f t="shared" si="1189"/>
        <v>0</v>
      </c>
      <c r="EB602" s="424">
        <f t="shared" si="1189"/>
        <v>0</v>
      </c>
      <c r="EC602" s="424">
        <f t="shared" si="1189"/>
        <v>0</v>
      </c>
      <c r="ED602" s="424">
        <f t="shared" si="1189"/>
        <v>0</v>
      </c>
      <c r="EE602" s="424">
        <f t="shared" si="1189"/>
        <v>0</v>
      </c>
      <c r="EF602" s="424">
        <f t="shared" si="1189"/>
        <v>0</v>
      </c>
      <c r="EG602" s="424">
        <f t="shared" si="1189"/>
        <v>0</v>
      </c>
      <c r="EH602" s="424">
        <f t="shared" ref="EH602:EX602" si="1190">EH232*EH$372</f>
        <v>0</v>
      </c>
      <c r="EI602" s="424">
        <f t="shared" si="1190"/>
        <v>0</v>
      </c>
      <c r="EJ602" s="424">
        <f t="shared" si="1190"/>
        <v>0</v>
      </c>
      <c r="EK602" s="424">
        <f t="shared" si="1190"/>
        <v>0</v>
      </c>
      <c r="EL602" s="424">
        <f t="shared" si="1190"/>
        <v>0</v>
      </c>
      <c r="EM602" s="424">
        <f t="shared" si="1190"/>
        <v>0</v>
      </c>
      <c r="EN602" s="424">
        <f t="shared" si="1190"/>
        <v>0</v>
      </c>
      <c r="EO602" s="424">
        <f t="shared" si="1190"/>
        <v>0</v>
      </c>
      <c r="EP602" s="424">
        <f t="shared" si="1190"/>
        <v>0</v>
      </c>
      <c r="EQ602" s="424">
        <f t="shared" si="1190"/>
        <v>0</v>
      </c>
      <c r="ER602" s="424">
        <f t="shared" si="1190"/>
        <v>0</v>
      </c>
      <c r="ES602" s="424">
        <f t="shared" si="1190"/>
        <v>0</v>
      </c>
      <c r="ET602" s="424">
        <f t="shared" si="1190"/>
        <v>0</v>
      </c>
      <c r="EU602" s="424">
        <f t="shared" si="1190"/>
        <v>0</v>
      </c>
      <c r="EV602" s="424">
        <f t="shared" si="1190"/>
        <v>0</v>
      </c>
      <c r="EW602" s="424">
        <f t="shared" si="1190"/>
        <v>0</v>
      </c>
      <c r="EX602" s="424">
        <f t="shared" si="1190"/>
        <v>0</v>
      </c>
      <c r="EY602" s="425">
        <f t="shared" si="1064"/>
        <v>8.57</v>
      </c>
    </row>
    <row r="603" spans="1:166" x14ac:dyDescent="0.25">
      <c r="A603" s="310">
        <v>229</v>
      </c>
      <c r="B603" s="311" t="str">
        <f t="shared" si="1005"/>
        <v>Пюре картофельное</v>
      </c>
      <c r="C603" s="483">
        <f t="shared" si="1018"/>
        <v>14.18</v>
      </c>
      <c r="D603" s="888"/>
      <c r="E603" s="888"/>
      <c r="F603" s="888"/>
      <c r="G603" s="889"/>
      <c r="H603" s="680">
        <f t="shared" si="1175"/>
        <v>312</v>
      </c>
      <c r="I603" s="1209">
        <f t="shared" si="1007"/>
        <v>-0.01</v>
      </c>
      <c r="J603" s="424">
        <f t="shared" ref="J603:AO603" si="1191">J233*J$372</f>
        <v>0</v>
      </c>
      <c r="K603" s="424">
        <f t="shared" si="1191"/>
        <v>0</v>
      </c>
      <c r="L603" s="424">
        <f t="shared" si="1191"/>
        <v>0</v>
      </c>
      <c r="M603" s="424">
        <f t="shared" si="1191"/>
        <v>0</v>
      </c>
      <c r="N603" s="424">
        <f t="shared" si="1191"/>
        <v>0</v>
      </c>
      <c r="O603" s="424">
        <f t="shared" si="1191"/>
        <v>0</v>
      </c>
      <c r="P603" s="424">
        <f t="shared" si="1191"/>
        <v>0</v>
      </c>
      <c r="Q603" s="424">
        <f t="shared" si="1191"/>
        <v>0</v>
      </c>
      <c r="R603" s="424">
        <f t="shared" si="1191"/>
        <v>0</v>
      </c>
      <c r="S603" s="424">
        <f t="shared" si="1191"/>
        <v>0</v>
      </c>
      <c r="T603" s="424">
        <f t="shared" si="1191"/>
        <v>0</v>
      </c>
      <c r="U603" s="424">
        <f t="shared" si="1191"/>
        <v>1.9</v>
      </c>
      <c r="V603" s="424">
        <f t="shared" si="1191"/>
        <v>3.73</v>
      </c>
      <c r="W603" s="424">
        <f t="shared" si="1191"/>
        <v>0</v>
      </c>
      <c r="X603" s="424">
        <f t="shared" si="1191"/>
        <v>0</v>
      </c>
      <c r="Y603" s="424">
        <f t="shared" si="1191"/>
        <v>0</v>
      </c>
      <c r="Z603" s="424">
        <f t="shared" si="1191"/>
        <v>0</v>
      </c>
      <c r="AA603" s="424">
        <f t="shared" si="1191"/>
        <v>0</v>
      </c>
      <c r="AB603" s="424">
        <f t="shared" si="1191"/>
        <v>0</v>
      </c>
      <c r="AC603" s="424">
        <f t="shared" si="1191"/>
        <v>0</v>
      </c>
      <c r="AD603" s="424">
        <f t="shared" si="1191"/>
        <v>0</v>
      </c>
      <c r="AE603" s="424">
        <f t="shared" si="1191"/>
        <v>0</v>
      </c>
      <c r="AF603" s="424">
        <f t="shared" si="1191"/>
        <v>0</v>
      </c>
      <c r="AG603" s="424">
        <f t="shared" si="1191"/>
        <v>0</v>
      </c>
      <c r="AH603" s="424">
        <f t="shared" si="1191"/>
        <v>8.5500000000000007</v>
      </c>
      <c r="AI603" s="424">
        <f t="shared" si="1191"/>
        <v>0</v>
      </c>
      <c r="AJ603" s="424">
        <f t="shared" si="1191"/>
        <v>0</v>
      </c>
      <c r="AK603" s="424">
        <f t="shared" si="1191"/>
        <v>0</v>
      </c>
      <c r="AL603" s="424">
        <f t="shared" si="1191"/>
        <v>0</v>
      </c>
      <c r="AM603" s="424">
        <f t="shared" si="1191"/>
        <v>0</v>
      </c>
      <c r="AN603" s="424">
        <f t="shared" si="1191"/>
        <v>0</v>
      </c>
      <c r="AO603" s="424">
        <f t="shared" si="1191"/>
        <v>0</v>
      </c>
      <c r="AP603" s="424">
        <f t="shared" ref="AP603:BU603" si="1192">AP233*AP$372</f>
        <v>0</v>
      </c>
      <c r="AQ603" s="424">
        <f t="shared" si="1192"/>
        <v>0</v>
      </c>
      <c r="AR603" s="424">
        <f t="shared" si="1192"/>
        <v>0</v>
      </c>
      <c r="AS603" s="424">
        <f t="shared" si="1192"/>
        <v>0</v>
      </c>
      <c r="AT603" s="424">
        <f t="shared" si="1192"/>
        <v>0</v>
      </c>
      <c r="AU603" s="424">
        <f t="shared" si="1192"/>
        <v>0</v>
      </c>
      <c r="AV603" s="424">
        <f t="shared" si="1192"/>
        <v>0</v>
      </c>
      <c r="AW603" s="424">
        <f t="shared" si="1192"/>
        <v>0</v>
      </c>
      <c r="AX603" s="424">
        <f t="shared" si="1192"/>
        <v>0</v>
      </c>
      <c r="AY603" s="424">
        <f t="shared" si="1192"/>
        <v>0</v>
      </c>
      <c r="AZ603" s="424">
        <f t="shared" si="1192"/>
        <v>0</v>
      </c>
      <c r="BA603" s="424">
        <f t="shared" si="1192"/>
        <v>0</v>
      </c>
      <c r="BB603" s="424">
        <f t="shared" si="1192"/>
        <v>0</v>
      </c>
      <c r="BC603" s="424">
        <f t="shared" si="1192"/>
        <v>0</v>
      </c>
      <c r="BD603" s="424">
        <f t="shared" si="1192"/>
        <v>0</v>
      </c>
      <c r="BE603" s="424">
        <f t="shared" si="1192"/>
        <v>0</v>
      </c>
      <c r="BF603" s="424">
        <f t="shared" si="1192"/>
        <v>0</v>
      </c>
      <c r="BG603" s="424">
        <f t="shared" si="1192"/>
        <v>0</v>
      </c>
      <c r="BH603" s="424">
        <f t="shared" si="1192"/>
        <v>0</v>
      </c>
      <c r="BI603" s="424">
        <f t="shared" si="1192"/>
        <v>0</v>
      </c>
      <c r="BJ603" s="424">
        <f t="shared" si="1192"/>
        <v>0</v>
      </c>
      <c r="BK603" s="424">
        <f t="shared" si="1192"/>
        <v>0</v>
      </c>
      <c r="BL603" s="424">
        <f t="shared" si="1192"/>
        <v>0</v>
      </c>
      <c r="BM603" s="424">
        <f t="shared" si="1192"/>
        <v>0</v>
      </c>
      <c r="BN603" s="424">
        <f t="shared" si="1192"/>
        <v>0</v>
      </c>
      <c r="BO603" s="424">
        <f t="shared" si="1192"/>
        <v>0</v>
      </c>
      <c r="BP603" s="424">
        <f t="shared" si="1192"/>
        <v>0</v>
      </c>
      <c r="BQ603" s="424">
        <f t="shared" si="1192"/>
        <v>0</v>
      </c>
      <c r="BR603" s="424">
        <f t="shared" si="1192"/>
        <v>0</v>
      </c>
      <c r="BS603" s="424">
        <f t="shared" si="1192"/>
        <v>0</v>
      </c>
      <c r="BT603" s="424">
        <f t="shared" si="1192"/>
        <v>0</v>
      </c>
      <c r="BU603" s="424">
        <f t="shared" si="1192"/>
        <v>0</v>
      </c>
      <c r="BV603" s="424">
        <f t="shared" ref="BV603:DA603" si="1193">BV233*BV$372</f>
        <v>0</v>
      </c>
      <c r="BW603" s="424">
        <f t="shared" si="1193"/>
        <v>0</v>
      </c>
      <c r="BX603" s="424">
        <f t="shared" si="1193"/>
        <v>0</v>
      </c>
      <c r="BY603" s="424">
        <f t="shared" si="1193"/>
        <v>0</v>
      </c>
      <c r="BZ603" s="424">
        <f t="shared" si="1193"/>
        <v>0</v>
      </c>
      <c r="CA603" s="424">
        <f t="shared" si="1193"/>
        <v>0</v>
      </c>
      <c r="CB603" s="424">
        <f t="shared" si="1193"/>
        <v>0</v>
      </c>
      <c r="CC603" s="424">
        <f t="shared" si="1193"/>
        <v>0</v>
      </c>
      <c r="CD603" s="424">
        <f t="shared" si="1193"/>
        <v>0</v>
      </c>
      <c r="CE603" s="424">
        <f t="shared" si="1193"/>
        <v>0</v>
      </c>
      <c r="CF603" s="424">
        <f t="shared" si="1193"/>
        <v>0</v>
      </c>
      <c r="CG603" s="424">
        <f t="shared" si="1193"/>
        <v>0</v>
      </c>
      <c r="CH603" s="424">
        <f t="shared" si="1193"/>
        <v>0</v>
      </c>
      <c r="CI603" s="424">
        <f t="shared" si="1193"/>
        <v>0</v>
      </c>
      <c r="CJ603" s="424">
        <f t="shared" si="1193"/>
        <v>0</v>
      </c>
      <c r="CK603" s="424">
        <f t="shared" si="1193"/>
        <v>0</v>
      </c>
      <c r="CL603" s="424">
        <f t="shared" si="1193"/>
        <v>0</v>
      </c>
      <c r="CM603" s="424">
        <f t="shared" si="1193"/>
        <v>0</v>
      </c>
      <c r="CN603" s="424">
        <f t="shared" si="1193"/>
        <v>0</v>
      </c>
      <c r="CO603" s="424">
        <f t="shared" si="1193"/>
        <v>0</v>
      </c>
      <c r="CP603" s="424">
        <f t="shared" si="1193"/>
        <v>0</v>
      </c>
      <c r="CQ603" s="424">
        <f t="shared" si="1193"/>
        <v>0</v>
      </c>
      <c r="CR603" s="424">
        <f t="shared" si="1193"/>
        <v>0</v>
      </c>
      <c r="CS603" s="424">
        <f t="shared" si="1193"/>
        <v>0</v>
      </c>
      <c r="CT603" s="424">
        <f t="shared" si="1193"/>
        <v>0</v>
      </c>
      <c r="CU603" s="424">
        <f t="shared" si="1193"/>
        <v>0</v>
      </c>
      <c r="CV603" s="424">
        <f t="shared" si="1193"/>
        <v>0</v>
      </c>
      <c r="CW603" s="424">
        <f t="shared" si="1193"/>
        <v>0</v>
      </c>
      <c r="CX603" s="424">
        <f t="shared" si="1193"/>
        <v>0</v>
      </c>
      <c r="CY603" s="424">
        <f t="shared" si="1193"/>
        <v>0</v>
      </c>
      <c r="CZ603" s="424">
        <f t="shared" si="1193"/>
        <v>0</v>
      </c>
      <c r="DA603" s="424">
        <f t="shared" si="1193"/>
        <v>0</v>
      </c>
      <c r="DB603" s="424">
        <f t="shared" ref="DB603:EG603" si="1194">DB233*DB$372</f>
        <v>0</v>
      </c>
      <c r="DC603" s="424">
        <f t="shared" si="1194"/>
        <v>0</v>
      </c>
      <c r="DD603" s="424">
        <f t="shared" si="1194"/>
        <v>0</v>
      </c>
      <c r="DE603" s="424">
        <f t="shared" si="1194"/>
        <v>0</v>
      </c>
      <c r="DF603" s="424">
        <f t="shared" si="1194"/>
        <v>0</v>
      </c>
      <c r="DG603" s="424">
        <f t="shared" si="1194"/>
        <v>0</v>
      </c>
      <c r="DH603" s="424">
        <f t="shared" si="1194"/>
        <v>0</v>
      </c>
      <c r="DI603" s="424">
        <f t="shared" si="1194"/>
        <v>0</v>
      </c>
      <c r="DJ603" s="424">
        <f t="shared" si="1194"/>
        <v>0</v>
      </c>
      <c r="DK603" s="424">
        <f t="shared" si="1194"/>
        <v>0</v>
      </c>
      <c r="DL603" s="424">
        <f t="shared" si="1194"/>
        <v>0</v>
      </c>
      <c r="DM603" s="424">
        <f t="shared" si="1194"/>
        <v>0</v>
      </c>
      <c r="DN603" s="424">
        <f t="shared" si="1194"/>
        <v>0</v>
      </c>
      <c r="DO603" s="424">
        <f t="shared" si="1194"/>
        <v>0</v>
      </c>
      <c r="DP603" s="424">
        <f t="shared" si="1194"/>
        <v>0</v>
      </c>
      <c r="DQ603" s="424">
        <f t="shared" si="1194"/>
        <v>0</v>
      </c>
      <c r="DR603" s="424">
        <f t="shared" si="1194"/>
        <v>0</v>
      </c>
      <c r="DS603" s="424">
        <f t="shared" si="1194"/>
        <v>0</v>
      </c>
      <c r="DT603" s="424">
        <f t="shared" si="1194"/>
        <v>0</v>
      </c>
      <c r="DU603" s="424">
        <f t="shared" si="1194"/>
        <v>0</v>
      </c>
      <c r="DV603" s="424">
        <f t="shared" si="1194"/>
        <v>0</v>
      </c>
      <c r="DW603" s="424">
        <f t="shared" si="1194"/>
        <v>0</v>
      </c>
      <c r="DX603" s="424">
        <f t="shared" si="1194"/>
        <v>0</v>
      </c>
      <c r="DY603" s="424">
        <f t="shared" si="1194"/>
        <v>0</v>
      </c>
      <c r="DZ603" s="424">
        <f t="shared" si="1194"/>
        <v>0</v>
      </c>
      <c r="EA603" s="424">
        <f t="shared" si="1194"/>
        <v>0</v>
      </c>
      <c r="EB603" s="424">
        <f t="shared" si="1194"/>
        <v>0</v>
      </c>
      <c r="EC603" s="424">
        <f t="shared" si="1194"/>
        <v>0</v>
      </c>
      <c r="ED603" s="424">
        <f t="shared" si="1194"/>
        <v>0</v>
      </c>
      <c r="EE603" s="424">
        <f t="shared" si="1194"/>
        <v>0</v>
      </c>
      <c r="EF603" s="424">
        <f t="shared" si="1194"/>
        <v>0</v>
      </c>
      <c r="EG603" s="424">
        <f t="shared" si="1194"/>
        <v>0</v>
      </c>
      <c r="EH603" s="424">
        <f t="shared" ref="EH603:EX603" si="1195">EH233*EH$372</f>
        <v>0</v>
      </c>
      <c r="EI603" s="424">
        <f t="shared" si="1195"/>
        <v>0</v>
      </c>
      <c r="EJ603" s="424">
        <f t="shared" si="1195"/>
        <v>0</v>
      </c>
      <c r="EK603" s="424">
        <f t="shared" si="1195"/>
        <v>0</v>
      </c>
      <c r="EL603" s="424">
        <f t="shared" si="1195"/>
        <v>0</v>
      </c>
      <c r="EM603" s="424">
        <f t="shared" si="1195"/>
        <v>0</v>
      </c>
      <c r="EN603" s="424">
        <f t="shared" si="1195"/>
        <v>0</v>
      </c>
      <c r="EO603" s="424">
        <f t="shared" si="1195"/>
        <v>0</v>
      </c>
      <c r="EP603" s="424">
        <f t="shared" si="1195"/>
        <v>0</v>
      </c>
      <c r="EQ603" s="424">
        <f t="shared" si="1195"/>
        <v>0</v>
      </c>
      <c r="ER603" s="424">
        <f t="shared" si="1195"/>
        <v>0</v>
      </c>
      <c r="ES603" s="424">
        <f t="shared" si="1195"/>
        <v>0</v>
      </c>
      <c r="ET603" s="424">
        <f t="shared" si="1195"/>
        <v>0</v>
      </c>
      <c r="EU603" s="424">
        <f t="shared" si="1195"/>
        <v>0</v>
      </c>
      <c r="EV603" s="424">
        <f t="shared" si="1195"/>
        <v>0</v>
      </c>
      <c r="EW603" s="424">
        <f t="shared" si="1195"/>
        <v>0</v>
      </c>
      <c r="EX603" s="424">
        <f t="shared" si="1195"/>
        <v>0</v>
      </c>
      <c r="EY603" s="425">
        <f t="shared" si="1064"/>
        <v>14.18</v>
      </c>
    </row>
    <row r="604" spans="1:166" x14ac:dyDescent="0.25">
      <c r="A604" s="310">
        <v>230</v>
      </c>
      <c r="B604" s="311" t="str">
        <f t="shared" si="1005"/>
        <v>Картофель жареный (из сырого)</v>
      </c>
      <c r="C604" s="483">
        <f t="shared" si="1018"/>
        <v>10.86</v>
      </c>
      <c r="D604" s="888"/>
      <c r="E604" s="888"/>
      <c r="F604" s="888"/>
      <c r="G604" s="889"/>
      <c r="H604" s="680">
        <f t="shared" si="1175"/>
        <v>314</v>
      </c>
      <c r="I604" s="1209">
        <f t="shared" si="1007"/>
        <v>0</v>
      </c>
      <c r="J604" s="424">
        <f t="shared" ref="J604:AO604" si="1196">J234*J$372</f>
        <v>0</v>
      </c>
      <c r="K604" s="424">
        <f t="shared" si="1196"/>
        <v>0</v>
      </c>
      <c r="L604" s="424">
        <f t="shared" si="1196"/>
        <v>0</v>
      </c>
      <c r="M604" s="424">
        <f t="shared" si="1196"/>
        <v>0</v>
      </c>
      <c r="N604" s="424">
        <f t="shared" si="1196"/>
        <v>0</v>
      </c>
      <c r="O604" s="424">
        <f t="shared" si="1196"/>
        <v>0</v>
      </c>
      <c r="P604" s="424">
        <f t="shared" si="1196"/>
        <v>0</v>
      </c>
      <c r="Q604" s="424">
        <f t="shared" si="1196"/>
        <v>0</v>
      </c>
      <c r="R604" s="424">
        <f t="shared" si="1196"/>
        <v>0</v>
      </c>
      <c r="S604" s="424">
        <f t="shared" si="1196"/>
        <v>0</v>
      </c>
      <c r="T604" s="424">
        <f t="shared" si="1196"/>
        <v>0</v>
      </c>
      <c r="U604" s="424">
        <f t="shared" si="1196"/>
        <v>0</v>
      </c>
      <c r="V604" s="424">
        <f t="shared" si="1196"/>
        <v>0</v>
      </c>
      <c r="W604" s="424">
        <f t="shared" si="1196"/>
        <v>0</v>
      </c>
      <c r="X604" s="424">
        <f t="shared" si="1196"/>
        <v>0</v>
      </c>
      <c r="Y604" s="424">
        <f t="shared" si="1196"/>
        <v>0</v>
      </c>
      <c r="Z604" s="424">
        <f t="shared" si="1196"/>
        <v>0</v>
      </c>
      <c r="AA604" s="424">
        <f t="shared" si="1196"/>
        <v>0</v>
      </c>
      <c r="AB604" s="424">
        <f t="shared" si="1196"/>
        <v>0</v>
      </c>
      <c r="AC604" s="424">
        <f t="shared" si="1196"/>
        <v>0</v>
      </c>
      <c r="AD604" s="424">
        <f t="shared" si="1196"/>
        <v>0</v>
      </c>
      <c r="AE604" s="424">
        <f t="shared" si="1196"/>
        <v>0</v>
      </c>
      <c r="AF604" s="424">
        <f t="shared" si="1196"/>
        <v>0</v>
      </c>
      <c r="AG604" s="424">
        <f t="shared" si="1196"/>
        <v>0</v>
      </c>
      <c r="AH604" s="424">
        <f t="shared" si="1196"/>
        <v>9.66</v>
      </c>
      <c r="AI604" s="424">
        <f t="shared" si="1196"/>
        <v>0</v>
      </c>
      <c r="AJ604" s="424">
        <f t="shared" si="1196"/>
        <v>0</v>
      </c>
      <c r="AK604" s="424">
        <f t="shared" si="1196"/>
        <v>0</v>
      </c>
      <c r="AL604" s="424">
        <f t="shared" si="1196"/>
        <v>0</v>
      </c>
      <c r="AM604" s="424">
        <f t="shared" si="1196"/>
        <v>0</v>
      </c>
      <c r="AN604" s="424">
        <f t="shared" si="1196"/>
        <v>0</v>
      </c>
      <c r="AO604" s="424">
        <f t="shared" si="1196"/>
        <v>0</v>
      </c>
      <c r="AP604" s="424">
        <f t="shared" ref="AP604:BU604" si="1197">AP234*AP$372</f>
        <v>0</v>
      </c>
      <c r="AQ604" s="424">
        <f t="shared" si="1197"/>
        <v>0</v>
      </c>
      <c r="AR604" s="424">
        <f t="shared" si="1197"/>
        <v>0</v>
      </c>
      <c r="AS604" s="424">
        <f t="shared" si="1197"/>
        <v>0</v>
      </c>
      <c r="AT604" s="424">
        <f t="shared" si="1197"/>
        <v>0</v>
      </c>
      <c r="AU604" s="424">
        <f t="shared" si="1197"/>
        <v>0</v>
      </c>
      <c r="AV604" s="424">
        <f t="shared" si="1197"/>
        <v>0</v>
      </c>
      <c r="AW604" s="424">
        <f t="shared" si="1197"/>
        <v>0</v>
      </c>
      <c r="AX604" s="424">
        <f t="shared" si="1197"/>
        <v>0</v>
      </c>
      <c r="AY604" s="424">
        <f t="shared" si="1197"/>
        <v>0</v>
      </c>
      <c r="AZ604" s="424">
        <f t="shared" si="1197"/>
        <v>0</v>
      </c>
      <c r="BA604" s="424">
        <f t="shared" si="1197"/>
        <v>0</v>
      </c>
      <c r="BB604" s="424">
        <f t="shared" si="1197"/>
        <v>0</v>
      </c>
      <c r="BC604" s="424">
        <f t="shared" si="1197"/>
        <v>0</v>
      </c>
      <c r="BD604" s="424">
        <f t="shared" si="1197"/>
        <v>0</v>
      </c>
      <c r="BE604" s="424">
        <f t="shared" si="1197"/>
        <v>0</v>
      </c>
      <c r="BF604" s="424">
        <f t="shared" si="1197"/>
        <v>0</v>
      </c>
      <c r="BG604" s="424">
        <f t="shared" si="1197"/>
        <v>0</v>
      </c>
      <c r="BH604" s="424">
        <f t="shared" si="1197"/>
        <v>0</v>
      </c>
      <c r="BI604" s="424">
        <f t="shared" si="1197"/>
        <v>0</v>
      </c>
      <c r="BJ604" s="424">
        <f t="shared" si="1197"/>
        <v>0</v>
      </c>
      <c r="BK604" s="424">
        <f t="shared" si="1197"/>
        <v>0</v>
      </c>
      <c r="BL604" s="424">
        <f t="shared" si="1197"/>
        <v>0</v>
      </c>
      <c r="BM604" s="424">
        <f t="shared" si="1197"/>
        <v>0</v>
      </c>
      <c r="BN604" s="424">
        <f t="shared" si="1197"/>
        <v>0</v>
      </c>
      <c r="BO604" s="424">
        <f t="shared" si="1197"/>
        <v>0</v>
      </c>
      <c r="BP604" s="424">
        <f t="shared" si="1197"/>
        <v>0</v>
      </c>
      <c r="BQ604" s="424">
        <f t="shared" si="1197"/>
        <v>0</v>
      </c>
      <c r="BR604" s="424">
        <f t="shared" si="1197"/>
        <v>0</v>
      </c>
      <c r="BS604" s="424">
        <f t="shared" si="1197"/>
        <v>0</v>
      </c>
      <c r="BT604" s="424">
        <f t="shared" si="1197"/>
        <v>0</v>
      </c>
      <c r="BU604" s="424">
        <f t="shared" si="1197"/>
        <v>0</v>
      </c>
      <c r="BV604" s="424">
        <f t="shared" ref="BV604:DA604" si="1198">BV234*BV$372</f>
        <v>0</v>
      </c>
      <c r="BW604" s="424">
        <f t="shared" si="1198"/>
        <v>0</v>
      </c>
      <c r="BX604" s="424">
        <f t="shared" si="1198"/>
        <v>0</v>
      </c>
      <c r="BY604" s="424">
        <f t="shared" si="1198"/>
        <v>0</v>
      </c>
      <c r="BZ604" s="424">
        <f t="shared" si="1198"/>
        <v>0</v>
      </c>
      <c r="CA604" s="424">
        <f t="shared" si="1198"/>
        <v>0</v>
      </c>
      <c r="CB604" s="424">
        <f t="shared" si="1198"/>
        <v>0</v>
      </c>
      <c r="CC604" s="424">
        <f t="shared" si="1198"/>
        <v>0</v>
      </c>
      <c r="CD604" s="424">
        <f t="shared" si="1198"/>
        <v>0</v>
      </c>
      <c r="CE604" s="424">
        <f t="shared" si="1198"/>
        <v>0</v>
      </c>
      <c r="CF604" s="424">
        <f t="shared" si="1198"/>
        <v>1.2</v>
      </c>
      <c r="CG604" s="424">
        <f t="shared" si="1198"/>
        <v>0</v>
      </c>
      <c r="CH604" s="424">
        <f t="shared" si="1198"/>
        <v>0</v>
      </c>
      <c r="CI604" s="424">
        <f t="shared" si="1198"/>
        <v>0</v>
      </c>
      <c r="CJ604" s="424">
        <f t="shared" si="1198"/>
        <v>0</v>
      </c>
      <c r="CK604" s="424">
        <f t="shared" si="1198"/>
        <v>0</v>
      </c>
      <c r="CL604" s="424">
        <f t="shared" si="1198"/>
        <v>0</v>
      </c>
      <c r="CM604" s="424">
        <f t="shared" si="1198"/>
        <v>0</v>
      </c>
      <c r="CN604" s="424">
        <f t="shared" si="1198"/>
        <v>0</v>
      </c>
      <c r="CO604" s="424">
        <f t="shared" si="1198"/>
        <v>0</v>
      </c>
      <c r="CP604" s="424">
        <f t="shared" si="1198"/>
        <v>0</v>
      </c>
      <c r="CQ604" s="424">
        <f t="shared" si="1198"/>
        <v>0</v>
      </c>
      <c r="CR604" s="424">
        <f t="shared" si="1198"/>
        <v>0</v>
      </c>
      <c r="CS604" s="424">
        <f t="shared" si="1198"/>
        <v>0</v>
      </c>
      <c r="CT604" s="424">
        <f t="shared" si="1198"/>
        <v>0</v>
      </c>
      <c r="CU604" s="424">
        <f t="shared" si="1198"/>
        <v>0</v>
      </c>
      <c r="CV604" s="424">
        <f t="shared" si="1198"/>
        <v>0</v>
      </c>
      <c r="CW604" s="424">
        <f t="shared" si="1198"/>
        <v>0</v>
      </c>
      <c r="CX604" s="424">
        <f t="shared" si="1198"/>
        <v>0</v>
      </c>
      <c r="CY604" s="424">
        <f t="shared" si="1198"/>
        <v>0</v>
      </c>
      <c r="CZ604" s="424">
        <f t="shared" si="1198"/>
        <v>0</v>
      </c>
      <c r="DA604" s="424">
        <f t="shared" si="1198"/>
        <v>0</v>
      </c>
      <c r="DB604" s="424">
        <f t="shared" ref="DB604:EG604" si="1199">DB234*DB$372</f>
        <v>0</v>
      </c>
      <c r="DC604" s="424">
        <f t="shared" si="1199"/>
        <v>0</v>
      </c>
      <c r="DD604" s="424">
        <f t="shared" si="1199"/>
        <v>0</v>
      </c>
      <c r="DE604" s="424">
        <f t="shared" si="1199"/>
        <v>0</v>
      </c>
      <c r="DF604" s="424">
        <f t="shared" si="1199"/>
        <v>0</v>
      </c>
      <c r="DG604" s="424">
        <f t="shared" si="1199"/>
        <v>0</v>
      </c>
      <c r="DH604" s="424">
        <f t="shared" si="1199"/>
        <v>0</v>
      </c>
      <c r="DI604" s="424">
        <f t="shared" si="1199"/>
        <v>0</v>
      </c>
      <c r="DJ604" s="424">
        <f t="shared" si="1199"/>
        <v>0</v>
      </c>
      <c r="DK604" s="424">
        <f t="shared" si="1199"/>
        <v>0</v>
      </c>
      <c r="DL604" s="424">
        <f t="shared" si="1199"/>
        <v>0</v>
      </c>
      <c r="DM604" s="424">
        <f t="shared" si="1199"/>
        <v>0</v>
      </c>
      <c r="DN604" s="424">
        <f t="shared" si="1199"/>
        <v>0</v>
      </c>
      <c r="DO604" s="424">
        <f t="shared" si="1199"/>
        <v>0</v>
      </c>
      <c r="DP604" s="424">
        <f t="shared" si="1199"/>
        <v>0</v>
      </c>
      <c r="DQ604" s="424">
        <f t="shared" si="1199"/>
        <v>0</v>
      </c>
      <c r="DR604" s="424">
        <f t="shared" si="1199"/>
        <v>0</v>
      </c>
      <c r="DS604" s="424">
        <f t="shared" si="1199"/>
        <v>0</v>
      </c>
      <c r="DT604" s="424">
        <f t="shared" si="1199"/>
        <v>0</v>
      </c>
      <c r="DU604" s="424">
        <f t="shared" si="1199"/>
        <v>0</v>
      </c>
      <c r="DV604" s="424">
        <f t="shared" si="1199"/>
        <v>0</v>
      </c>
      <c r="DW604" s="424">
        <f t="shared" si="1199"/>
        <v>0</v>
      </c>
      <c r="DX604" s="424">
        <f t="shared" si="1199"/>
        <v>0</v>
      </c>
      <c r="DY604" s="424">
        <f t="shared" si="1199"/>
        <v>0</v>
      </c>
      <c r="DZ604" s="424">
        <f t="shared" si="1199"/>
        <v>0</v>
      </c>
      <c r="EA604" s="424">
        <f t="shared" si="1199"/>
        <v>0</v>
      </c>
      <c r="EB604" s="424">
        <f t="shared" si="1199"/>
        <v>0</v>
      </c>
      <c r="EC604" s="424">
        <f t="shared" si="1199"/>
        <v>0</v>
      </c>
      <c r="ED604" s="424">
        <f t="shared" si="1199"/>
        <v>0</v>
      </c>
      <c r="EE604" s="424">
        <f t="shared" si="1199"/>
        <v>0</v>
      </c>
      <c r="EF604" s="424">
        <f t="shared" si="1199"/>
        <v>0</v>
      </c>
      <c r="EG604" s="424">
        <f t="shared" si="1199"/>
        <v>0</v>
      </c>
      <c r="EH604" s="424">
        <f t="shared" ref="EH604:EX604" si="1200">EH234*EH$372</f>
        <v>0</v>
      </c>
      <c r="EI604" s="424">
        <f t="shared" si="1200"/>
        <v>0</v>
      </c>
      <c r="EJ604" s="424">
        <f t="shared" si="1200"/>
        <v>0</v>
      </c>
      <c r="EK604" s="424">
        <f t="shared" si="1200"/>
        <v>0</v>
      </c>
      <c r="EL604" s="424">
        <f t="shared" si="1200"/>
        <v>0</v>
      </c>
      <c r="EM604" s="424">
        <f t="shared" si="1200"/>
        <v>0</v>
      </c>
      <c r="EN604" s="424">
        <f t="shared" si="1200"/>
        <v>0</v>
      </c>
      <c r="EO604" s="424">
        <f t="shared" si="1200"/>
        <v>0</v>
      </c>
      <c r="EP604" s="424">
        <f t="shared" si="1200"/>
        <v>0</v>
      </c>
      <c r="EQ604" s="424">
        <f t="shared" si="1200"/>
        <v>0</v>
      </c>
      <c r="ER604" s="424">
        <f t="shared" si="1200"/>
        <v>0</v>
      </c>
      <c r="ES604" s="424">
        <f t="shared" si="1200"/>
        <v>0</v>
      </c>
      <c r="ET604" s="424">
        <f t="shared" si="1200"/>
        <v>0</v>
      </c>
      <c r="EU604" s="424">
        <f t="shared" si="1200"/>
        <v>0</v>
      </c>
      <c r="EV604" s="424">
        <f t="shared" si="1200"/>
        <v>0</v>
      </c>
      <c r="EW604" s="424">
        <f t="shared" si="1200"/>
        <v>0</v>
      </c>
      <c r="EX604" s="424">
        <f t="shared" si="1200"/>
        <v>0</v>
      </c>
      <c r="EY604" s="425">
        <f t="shared" si="1064"/>
        <v>10.86</v>
      </c>
    </row>
    <row r="605" spans="1:166" ht="14.7" customHeight="1" x14ac:dyDescent="0.25">
      <c r="A605" s="310">
        <v>231</v>
      </c>
      <c r="B605" s="311" t="str">
        <f t="shared" si="1005"/>
        <v>Капуста тушеная</v>
      </c>
      <c r="C605" s="483">
        <f t="shared" si="1018"/>
        <v>13.01</v>
      </c>
      <c r="D605" s="888"/>
      <c r="E605" s="888"/>
      <c r="F605" s="888"/>
      <c r="G605" s="889"/>
      <c r="H605" s="680">
        <f t="shared" si="1175"/>
        <v>321</v>
      </c>
      <c r="I605" s="1209">
        <f t="shared" si="1007"/>
        <v>0</v>
      </c>
      <c r="J605" s="424">
        <f t="shared" ref="J605:AO605" si="1201">J235*J$372</f>
        <v>0</v>
      </c>
      <c r="K605" s="424">
        <f t="shared" si="1201"/>
        <v>0</v>
      </c>
      <c r="L605" s="424">
        <f t="shared" si="1201"/>
        <v>0</v>
      </c>
      <c r="M605" s="424">
        <f t="shared" si="1201"/>
        <v>0</v>
      </c>
      <c r="N605" s="424">
        <f t="shared" si="1201"/>
        <v>0</v>
      </c>
      <c r="O605" s="424">
        <f t="shared" si="1201"/>
        <v>0</v>
      </c>
      <c r="P605" s="424">
        <f t="shared" si="1201"/>
        <v>0</v>
      </c>
      <c r="Q605" s="424">
        <f t="shared" si="1201"/>
        <v>0</v>
      </c>
      <c r="R605" s="424">
        <f t="shared" si="1201"/>
        <v>0</v>
      </c>
      <c r="S605" s="424">
        <f t="shared" si="1201"/>
        <v>0</v>
      </c>
      <c r="T605" s="424">
        <f t="shared" si="1201"/>
        <v>0</v>
      </c>
      <c r="U605" s="424">
        <f t="shared" si="1201"/>
        <v>0</v>
      </c>
      <c r="V605" s="424">
        <f t="shared" si="1201"/>
        <v>2.4900000000000002</v>
      </c>
      <c r="W605" s="424">
        <f t="shared" si="1201"/>
        <v>0</v>
      </c>
      <c r="X605" s="424">
        <f t="shared" si="1201"/>
        <v>0</v>
      </c>
      <c r="Y605" s="424">
        <f t="shared" si="1201"/>
        <v>0</v>
      </c>
      <c r="Z605" s="424">
        <f t="shared" si="1201"/>
        <v>0</v>
      </c>
      <c r="AA605" s="424">
        <f t="shared" si="1201"/>
        <v>0</v>
      </c>
      <c r="AB605" s="424">
        <f t="shared" si="1201"/>
        <v>0</v>
      </c>
      <c r="AC605" s="424">
        <f t="shared" si="1201"/>
        <v>0</v>
      </c>
      <c r="AD605" s="424">
        <f t="shared" si="1201"/>
        <v>0</v>
      </c>
      <c r="AE605" s="424">
        <f t="shared" si="1201"/>
        <v>0</v>
      </c>
      <c r="AF605" s="424">
        <f t="shared" si="1201"/>
        <v>7.59</v>
      </c>
      <c r="AG605" s="424">
        <f t="shared" si="1201"/>
        <v>0</v>
      </c>
      <c r="AH605" s="424">
        <f t="shared" si="1201"/>
        <v>0</v>
      </c>
      <c r="AI605" s="424">
        <f t="shared" si="1201"/>
        <v>0</v>
      </c>
      <c r="AJ605" s="424">
        <f t="shared" si="1201"/>
        <v>0</v>
      </c>
      <c r="AK605" s="424">
        <f t="shared" si="1201"/>
        <v>0.24</v>
      </c>
      <c r="AL605" s="424">
        <f t="shared" si="1201"/>
        <v>0</v>
      </c>
      <c r="AM605" s="424">
        <f t="shared" si="1201"/>
        <v>0</v>
      </c>
      <c r="AN605" s="424">
        <f t="shared" si="1201"/>
        <v>0</v>
      </c>
      <c r="AO605" s="424">
        <f t="shared" si="1201"/>
        <v>0</v>
      </c>
      <c r="AP605" s="424">
        <f t="shared" ref="AP605:BU605" si="1202">AP235*AP$372</f>
        <v>0</v>
      </c>
      <c r="AQ605" s="424">
        <f t="shared" si="1202"/>
        <v>0.13</v>
      </c>
      <c r="AR605" s="424">
        <f t="shared" si="1202"/>
        <v>0</v>
      </c>
      <c r="AS605" s="424">
        <f t="shared" si="1202"/>
        <v>0</v>
      </c>
      <c r="AT605" s="424">
        <f t="shared" si="1202"/>
        <v>0</v>
      </c>
      <c r="AU605" s="424">
        <f t="shared" si="1202"/>
        <v>0</v>
      </c>
      <c r="AV605" s="424">
        <f t="shared" si="1202"/>
        <v>0</v>
      </c>
      <c r="AW605" s="424">
        <f t="shared" si="1202"/>
        <v>0</v>
      </c>
      <c r="AX605" s="424">
        <f t="shared" si="1202"/>
        <v>0</v>
      </c>
      <c r="AY605" s="424">
        <f t="shared" si="1202"/>
        <v>0</v>
      </c>
      <c r="AZ605" s="424">
        <f t="shared" si="1202"/>
        <v>0</v>
      </c>
      <c r="BA605" s="424">
        <f t="shared" si="1202"/>
        <v>0</v>
      </c>
      <c r="BB605" s="424">
        <f t="shared" si="1202"/>
        <v>0</v>
      </c>
      <c r="BC605" s="424">
        <f t="shared" si="1202"/>
        <v>0</v>
      </c>
      <c r="BD605" s="424">
        <f t="shared" si="1202"/>
        <v>0</v>
      </c>
      <c r="BE605" s="424">
        <f t="shared" si="1202"/>
        <v>0</v>
      </c>
      <c r="BF605" s="424">
        <f t="shared" si="1202"/>
        <v>0</v>
      </c>
      <c r="BG605" s="424">
        <f t="shared" si="1202"/>
        <v>0</v>
      </c>
      <c r="BH605" s="424">
        <f t="shared" si="1202"/>
        <v>0</v>
      </c>
      <c r="BI605" s="424">
        <f t="shared" si="1202"/>
        <v>0</v>
      </c>
      <c r="BJ605" s="424">
        <f t="shared" si="1202"/>
        <v>0</v>
      </c>
      <c r="BK605" s="424">
        <f t="shared" si="1202"/>
        <v>0</v>
      </c>
      <c r="BL605" s="424">
        <f t="shared" si="1202"/>
        <v>0</v>
      </c>
      <c r="BM605" s="424">
        <f t="shared" si="1202"/>
        <v>0</v>
      </c>
      <c r="BN605" s="424">
        <f t="shared" si="1202"/>
        <v>0</v>
      </c>
      <c r="BO605" s="424">
        <f t="shared" si="1202"/>
        <v>0</v>
      </c>
      <c r="BP605" s="424">
        <f t="shared" si="1202"/>
        <v>0</v>
      </c>
      <c r="BQ605" s="424">
        <f t="shared" si="1202"/>
        <v>0</v>
      </c>
      <c r="BR605" s="424">
        <f t="shared" si="1202"/>
        <v>0</v>
      </c>
      <c r="BS605" s="424">
        <f t="shared" si="1202"/>
        <v>0.04</v>
      </c>
      <c r="BT605" s="424">
        <f t="shared" si="1202"/>
        <v>0</v>
      </c>
      <c r="BU605" s="424">
        <f t="shared" si="1202"/>
        <v>0</v>
      </c>
      <c r="BV605" s="424">
        <f t="shared" ref="BV605:DA605" si="1203">BV235*BV$372</f>
        <v>0</v>
      </c>
      <c r="BW605" s="424">
        <f t="shared" si="1203"/>
        <v>0</v>
      </c>
      <c r="BX605" s="424">
        <f t="shared" si="1203"/>
        <v>0</v>
      </c>
      <c r="BY605" s="424">
        <f t="shared" si="1203"/>
        <v>0</v>
      </c>
      <c r="BZ605" s="424">
        <f t="shared" si="1203"/>
        <v>0</v>
      </c>
      <c r="CA605" s="424">
        <f t="shared" si="1203"/>
        <v>0</v>
      </c>
      <c r="CB605" s="424">
        <f t="shared" si="1203"/>
        <v>0</v>
      </c>
      <c r="CC605" s="424">
        <f t="shared" si="1203"/>
        <v>0</v>
      </c>
      <c r="CD605" s="424">
        <f t="shared" si="1203"/>
        <v>0</v>
      </c>
      <c r="CE605" s="424">
        <f t="shared" si="1203"/>
        <v>0</v>
      </c>
      <c r="CF605" s="424">
        <f t="shared" si="1203"/>
        <v>0</v>
      </c>
      <c r="CG605" s="424">
        <f t="shared" si="1203"/>
        <v>0</v>
      </c>
      <c r="CH605" s="424">
        <f t="shared" si="1203"/>
        <v>0</v>
      </c>
      <c r="CI605" s="424">
        <f t="shared" si="1203"/>
        <v>0</v>
      </c>
      <c r="CJ605" s="424">
        <f t="shared" si="1203"/>
        <v>0</v>
      </c>
      <c r="CK605" s="424">
        <f t="shared" si="1203"/>
        <v>0</v>
      </c>
      <c r="CL605" s="424">
        <f t="shared" si="1203"/>
        <v>0</v>
      </c>
      <c r="CM605" s="424">
        <f t="shared" si="1203"/>
        <v>0</v>
      </c>
      <c r="CN605" s="424">
        <f t="shared" si="1203"/>
        <v>0</v>
      </c>
      <c r="CO605" s="424">
        <f t="shared" si="1203"/>
        <v>0</v>
      </c>
      <c r="CP605" s="424">
        <f t="shared" si="1203"/>
        <v>0</v>
      </c>
      <c r="CQ605" s="424">
        <f t="shared" si="1203"/>
        <v>0.87</v>
      </c>
      <c r="CR605" s="424">
        <f t="shared" si="1203"/>
        <v>0</v>
      </c>
      <c r="CS605" s="424">
        <f t="shared" si="1203"/>
        <v>0.01</v>
      </c>
      <c r="CT605" s="424">
        <f t="shared" si="1203"/>
        <v>0</v>
      </c>
      <c r="CU605" s="424">
        <f t="shared" si="1203"/>
        <v>0</v>
      </c>
      <c r="CV605" s="424">
        <f t="shared" si="1203"/>
        <v>0</v>
      </c>
      <c r="CW605" s="424">
        <f t="shared" si="1203"/>
        <v>0</v>
      </c>
      <c r="CX605" s="424">
        <f t="shared" si="1203"/>
        <v>0</v>
      </c>
      <c r="CY605" s="424">
        <f t="shared" si="1203"/>
        <v>0</v>
      </c>
      <c r="CZ605" s="424">
        <f t="shared" si="1203"/>
        <v>0.23</v>
      </c>
      <c r="DA605" s="424">
        <f t="shared" si="1203"/>
        <v>0</v>
      </c>
      <c r="DB605" s="424">
        <f t="shared" ref="DB605:EG605" si="1204">DB235*DB$372</f>
        <v>0</v>
      </c>
      <c r="DC605" s="424">
        <f t="shared" si="1204"/>
        <v>0</v>
      </c>
      <c r="DD605" s="424">
        <f t="shared" si="1204"/>
        <v>0</v>
      </c>
      <c r="DE605" s="424">
        <f t="shared" si="1204"/>
        <v>0</v>
      </c>
      <c r="DF605" s="424">
        <f t="shared" si="1204"/>
        <v>1.38</v>
      </c>
      <c r="DG605" s="424">
        <f t="shared" si="1204"/>
        <v>0</v>
      </c>
      <c r="DH605" s="424">
        <f t="shared" si="1204"/>
        <v>0</v>
      </c>
      <c r="DI605" s="424">
        <f t="shared" si="1204"/>
        <v>0</v>
      </c>
      <c r="DJ605" s="424">
        <f t="shared" si="1204"/>
        <v>0</v>
      </c>
      <c r="DK605" s="424">
        <f t="shared" si="1204"/>
        <v>0</v>
      </c>
      <c r="DL605" s="424">
        <f t="shared" si="1204"/>
        <v>0</v>
      </c>
      <c r="DM605" s="424">
        <f t="shared" si="1204"/>
        <v>0</v>
      </c>
      <c r="DN605" s="424">
        <f t="shared" si="1204"/>
        <v>0</v>
      </c>
      <c r="DO605" s="424">
        <f t="shared" si="1204"/>
        <v>0</v>
      </c>
      <c r="DP605" s="424">
        <f t="shared" si="1204"/>
        <v>0</v>
      </c>
      <c r="DQ605" s="424">
        <f t="shared" si="1204"/>
        <v>0</v>
      </c>
      <c r="DR605" s="424">
        <f t="shared" si="1204"/>
        <v>0</v>
      </c>
      <c r="DS605" s="424">
        <f t="shared" si="1204"/>
        <v>0</v>
      </c>
      <c r="DT605" s="424">
        <f t="shared" si="1204"/>
        <v>0</v>
      </c>
      <c r="DU605" s="424">
        <f t="shared" si="1204"/>
        <v>0</v>
      </c>
      <c r="DV605" s="424">
        <f t="shared" si="1204"/>
        <v>0</v>
      </c>
      <c r="DW605" s="424">
        <f t="shared" si="1204"/>
        <v>0</v>
      </c>
      <c r="DX605" s="424">
        <f t="shared" si="1204"/>
        <v>0</v>
      </c>
      <c r="DY605" s="424">
        <f t="shared" si="1204"/>
        <v>0</v>
      </c>
      <c r="DZ605" s="424">
        <f t="shared" si="1204"/>
        <v>0.03</v>
      </c>
      <c r="EA605" s="424">
        <f t="shared" si="1204"/>
        <v>0</v>
      </c>
      <c r="EB605" s="424">
        <f t="shared" si="1204"/>
        <v>0</v>
      </c>
      <c r="EC605" s="424">
        <f t="shared" si="1204"/>
        <v>0</v>
      </c>
      <c r="ED605" s="424">
        <f t="shared" si="1204"/>
        <v>0</v>
      </c>
      <c r="EE605" s="424">
        <f t="shared" si="1204"/>
        <v>0</v>
      </c>
      <c r="EF605" s="424">
        <f t="shared" si="1204"/>
        <v>0</v>
      </c>
      <c r="EG605" s="424">
        <f t="shared" si="1204"/>
        <v>0</v>
      </c>
      <c r="EH605" s="424">
        <f t="shared" ref="EH605:EX605" si="1205">EH235*EH$372</f>
        <v>0</v>
      </c>
      <c r="EI605" s="424">
        <f t="shared" si="1205"/>
        <v>0</v>
      </c>
      <c r="EJ605" s="424">
        <f t="shared" si="1205"/>
        <v>0</v>
      </c>
      <c r="EK605" s="424">
        <f t="shared" si="1205"/>
        <v>0</v>
      </c>
      <c r="EL605" s="424">
        <f t="shared" si="1205"/>
        <v>0</v>
      </c>
      <c r="EM605" s="424">
        <f t="shared" si="1205"/>
        <v>0</v>
      </c>
      <c r="EN605" s="424">
        <f t="shared" si="1205"/>
        <v>0</v>
      </c>
      <c r="EO605" s="424">
        <f t="shared" si="1205"/>
        <v>0</v>
      </c>
      <c r="EP605" s="424">
        <f t="shared" si="1205"/>
        <v>0</v>
      </c>
      <c r="EQ605" s="424">
        <f t="shared" si="1205"/>
        <v>0</v>
      </c>
      <c r="ER605" s="424">
        <f t="shared" si="1205"/>
        <v>0</v>
      </c>
      <c r="ES605" s="424">
        <f t="shared" si="1205"/>
        <v>0</v>
      </c>
      <c r="ET605" s="424">
        <f t="shared" si="1205"/>
        <v>0</v>
      </c>
      <c r="EU605" s="424">
        <f t="shared" si="1205"/>
        <v>0</v>
      </c>
      <c r="EV605" s="424">
        <f t="shared" si="1205"/>
        <v>0</v>
      </c>
      <c r="EW605" s="424">
        <f t="shared" si="1205"/>
        <v>0</v>
      </c>
      <c r="EX605" s="424">
        <f t="shared" si="1205"/>
        <v>0</v>
      </c>
      <c r="EY605" s="425">
        <f t="shared" si="1064"/>
        <v>13.01</v>
      </c>
    </row>
    <row r="606" spans="1:166" s="407" customFormat="1" ht="14.7" customHeight="1" x14ac:dyDescent="0.25">
      <c r="A606" s="310">
        <v>232</v>
      </c>
      <c r="B606" s="311" t="str">
        <f t="shared" si="1005"/>
        <v>Соус молочный (для подачи к блюду)</v>
      </c>
      <c r="C606" s="483">
        <f t="shared" si="1018"/>
        <v>82</v>
      </c>
      <c r="D606" s="888"/>
      <c r="E606" s="888"/>
      <c r="F606" s="888"/>
      <c r="G606" s="889"/>
      <c r="H606" s="680">
        <f t="shared" si="1175"/>
        <v>326</v>
      </c>
      <c r="I606" s="1209">
        <f t="shared" si="1007"/>
        <v>0</v>
      </c>
      <c r="J606" s="424">
        <f t="shared" ref="J606:AO606" si="1206">J236*J$372</f>
        <v>0</v>
      </c>
      <c r="K606" s="424">
        <f t="shared" si="1206"/>
        <v>0</v>
      </c>
      <c r="L606" s="424">
        <f t="shared" si="1206"/>
        <v>0</v>
      </c>
      <c r="M606" s="424">
        <f t="shared" si="1206"/>
        <v>0</v>
      </c>
      <c r="N606" s="424">
        <f t="shared" si="1206"/>
        <v>0</v>
      </c>
      <c r="O606" s="424">
        <f t="shared" si="1206"/>
        <v>0</v>
      </c>
      <c r="P606" s="424">
        <f t="shared" si="1206"/>
        <v>0</v>
      </c>
      <c r="Q606" s="424">
        <f t="shared" si="1206"/>
        <v>0</v>
      </c>
      <c r="R606" s="424">
        <f t="shared" si="1206"/>
        <v>0</v>
      </c>
      <c r="S606" s="424">
        <f t="shared" si="1206"/>
        <v>0</v>
      </c>
      <c r="T606" s="424">
        <f t="shared" si="1206"/>
        <v>0</v>
      </c>
      <c r="U606" s="424">
        <f t="shared" si="1206"/>
        <v>40</v>
      </c>
      <c r="V606" s="424">
        <f t="shared" si="1206"/>
        <v>39.049999999999997</v>
      </c>
      <c r="W606" s="424">
        <f t="shared" si="1206"/>
        <v>0</v>
      </c>
      <c r="X606" s="424">
        <f t="shared" si="1206"/>
        <v>0</v>
      </c>
      <c r="Y606" s="424">
        <f t="shared" si="1206"/>
        <v>0</v>
      </c>
      <c r="Z606" s="424">
        <f t="shared" si="1206"/>
        <v>0</v>
      </c>
      <c r="AA606" s="424">
        <f t="shared" si="1206"/>
        <v>0</v>
      </c>
      <c r="AB606" s="424">
        <f t="shared" si="1206"/>
        <v>0</v>
      </c>
      <c r="AC606" s="424">
        <f t="shared" si="1206"/>
        <v>0</v>
      </c>
      <c r="AD606" s="424">
        <f t="shared" si="1206"/>
        <v>0</v>
      </c>
      <c r="AE606" s="424">
        <f t="shared" si="1206"/>
        <v>0</v>
      </c>
      <c r="AF606" s="424">
        <f t="shared" si="1206"/>
        <v>0</v>
      </c>
      <c r="AG606" s="424">
        <f t="shared" si="1206"/>
        <v>0</v>
      </c>
      <c r="AH606" s="424">
        <f t="shared" si="1206"/>
        <v>0</v>
      </c>
      <c r="AI606" s="424">
        <f t="shared" si="1206"/>
        <v>0</v>
      </c>
      <c r="AJ606" s="424">
        <f t="shared" si="1206"/>
        <v>0</v>
      </c>
      <c r="AK606" s="424">
        <f t="shared" si="1206"/>
        <v>0</v>
      </c>
      <c r="AL606" s="424">
        <f t="shared" si="1206"/>
        <v>0</v>
      </c>
      <c r="AM606" s="424">
        <f t="shared" si="1206"/>
        <v>0</v>
      </c>
      <c r="AN606" s="424">
        <f t="shared" si="1206"/>
        <v>0</v>
      </c>
      <c r="AO606" s="424">
        <f t="shared" si="1206"/>
        <v>0</v>
      </c>
      <c r="AP606" s="424">
        <f t="shared" ref="AP606:BU606" si="1207">AP236*AP$372</f>
        <v>0</v>
      </c>
      <c r="AQ606" s="424">
        <f t="shared" si="1207"/>
        <v>0</v>
      </c>
      <c r="AR606" s="424">
        <f t="shared" si="1207"/>
        <v>0</v>
      </c>
      <c r="AS606" s="424">
        <f t="shared" si="1207"/>
        <v>0</v>
      </c>
      <c r="AT606" s="424">
        <f t="shared" si="1207"/>
        <v>0</v>
      </c>
      <c r="AU606" s="424">
        <f t="shared" si="1207"/>
        <v>0</v>
      </c>
      <c r="AV606" s="424">
        <f t="shared" si="1207"/>
        <v>0</v>
      </c>
      <c r="AW606" s="424">
        <f t="shared" si="1207"/>
        <v>0</v>
      </c>
      <c r="AX606" s="424">
        <f t="shared" si="1207"/>
        <v>0</v>
      </c>
      <c r="AY606" s="424">
        <f t="shared" si="1207"/>
        <v>0</v>
      </c>
      <c r="AZ606" s="424">
        <f t="shared" si="1207"/>
        <v>0</v>
      </c>
      <c r="BA606" s="424">
        <f t="shared" si="1207"/>
        <v>0</v>
      </c>
      <c r="BB606" s="424">
        <f t="shared" si="1207"/>
        <v>0</v>
      </c>
      <c r="BC606" s="424">
        <f t="shared" si="1207"/>
        <v>0</v>
      </c>
      <c r="BD606" s="424">
        <f t="shared" si="1207"/>
        <v>0</v>
      </c>
      <c r="BE606" s="424">
        <f t="shared" si="1207"/>
        <v>0</v>
      </c>
      <c r="BF606" s="424">
        <f t="shared" si="1207"/>
        <v>0</v>
      </c>
      <c r="BG606" s="424">
        <f t="shared" si="1207"/>
        <v>0</v>
      </c>
      <c r="BH606" s="424">
        <f t="shared" si="1207"/>
        <v>0</v>
      </c>
      <c r="BI606" s="424">
        <f t="shared" si="1207"/>
        <v>0</v>
      </c>
      <c r="BJ606" s="424">
        <f t="shared" si="1207"/>
        <v>0</v>
      </c>
      <c r="BK606" s="424">
        <f t="shared" si="1207"/>
        <v>0</v>
      </c>
      <c r="BL606" s="424">
        <f t="shared" si="1207"/>
        <v>0</v>
      </c>
      <c r="BM606" s="424">
        <f t="shared" si="1207"/>
        <v>0</v>
      </c>
      <c r="BN606" s="424">
        <f t="shared" si="1207"/>
        <v>0</v>
      </c>
      <c r="BO606" s="424">
        <f t="shared" si="1207"/>
        <v>0</v>
      </c>
      <c r="BP606" s="424">
        <f t="shared" si="1207"/>
        <v>0</v>
      </c>
      <c r="BQ606" s="424">
        <f t="shared" si="1207"/>
        <v>0</v>
      </c>
      <c r="BR606" s="424">
        <f t="shared" si="1207"/>
        <v>0</v>
      </c>
      <c r="BS606" s="424">
        <f t="shared" si="1207"/>
        <v>1.98</v>
      </c>
      <c r="BT606" s="424">
        <f t="shared" si="1207"/>
        <v>0</v>
      </c>
      <c r="BU606" s="424">
        <f t="shared" si="1207"/>
        <v>0</v>
      </c>
      <c r="BV606" s="424">
        <f t="shared" ref="BV606:DA606" si="1208">BV236*BV$372</f>
        <v>0</v>
      </c>
      <c r="BW606" s="424">
        <f t="shared" si="1208"/>
        <v>0</v>
      </c>
      <c r="BX606" s="424">
        <f t="shared" si="1208"/>
        <v>0</v>
      </c>
      <c r="BY606" s="424">
        <f t="shared" si="1208"/>
        <v>0</v>
      </c>
      <c r="BZ606" s="424">
        <f t="shared" si="1208"/>
        <v>0</v>
      </c>
      <c r="CA606" s="424">
        <f t="shared" si="1208"/>
        <v>0</v>
      </c>
      <c r="CB606" s="424">
        <f t="shared" si="1208"/>
        <v>0</v>
      </c>
      <c r="CC606" s="424">
        <f t="shared" si="1208"/>
        <v>0</v>
      </c>
      <c r="CD606" s="424">
        <f t="shared" si="1208"/>
        <v>0</v>
      </c>
      <c r="CE606" s="424">
        <f t="shared" si="1208"/>
        <v>0</v>
      </c>
      <c r="CF606" s="424">
        <f t="shared" si="1208"/>
        <v>0</v>
      </c>
      <c r="CG606" s="424">
        <f t="shared" si="1208"/>
        <v>0</v>
      </c>
      <c r="CH606" s="424">
        <f t="shared" si="1208"/>
        <v>0</v>
      </c>
      <c r="CI606" s="424">
        <f t="shared" si="1208"/>
        <v>0</v>
      </c>
      <c r="CJ606" s="424">
        <f t="shared" si="1208"/>
        <v>0</v>
      </c>
      <c r="CK606" s="424">
        <f t="shared" si="1208"/>
        <v>0</v>
      </c>
      <c r="CL606" s="424">
        <f t="shared" si="1208"/>
        <v>0</v>
      </c>
      <c r="CM606" s="424">
        <f t="shared" si="1208"/>
        <v>0</v>
      </c>
      <c r="CN606" s="424">
        <f t="shared" si="1208"/>
        <v>0</v>
      </c>
      <c r="CO606" s="424">
        <f t="shared" si="1208"/>
        <v>0</v>
      </c>
      <c r="CP606" s="424">
        <f t="shared" si="1208"/>
        <v>0</v>
      </c>
      <c r="CQ606" s="424">
        <f t="shared" si="1208"/>
        <v>0</v>
      </c>
      <c r="CR606" s="424">
        <f t="shared" si="1208"/>
        <v>0</v>
      </c>
      <c r="CS606" s="424">
        <f t="shared" si="1208"/>
        <v>0.02</v>
      </c>
      <c r="CT606" s="424">
        <f t="shared" si="1208"/>
        <v>0</v>
      </c>
      <c r="CU606" s="424">
        <f t="shared" si="1208"/>
        <v>0</v>
      </c>
      <c r="CV606" s="424">
        <f t="shared" si="1208"/>
        <v>0</v>
      </c>
      <c r="CW606" s="424">
        <f t="shared" si="1208"/>
        <v>0</v>
      </c>
      <c r="CX606" s="424">
        <f t="shared" si="1208"/>
        <v>0</v>
      </c>
      <c r="CY606" s="424">
        <f t="shared" si="1208"/>
        <v>0</v>
      </c>
      <c r="CZ606" s="424">
        <f t="shared" si="1208"/>
        <v>0.76</v>
      </c>
      <c r="DA606" s="424">
        <f t="shared" si="1208"/>
        <v>0</v>
      </c>
      <c r="DB606" s="424">
        <f t="shared" ref="DB606:EG606" si="1209">DB236*DB$372</f>
        <v>0</v>
      </c>
      <c r="DC606" s="424">
        <f t="shared" si="1209"/>
        <v>0.19</v>
      </c>
      <c r="DD606" s="424">
        <f t="shared" si="1209"/>
        <v>0</v>
      </c>
      <c r="DE606" s="424">
        <f t="shared" si="1209"/>
        <v>0</v>
      </c>
      <c r="DF606" s="424">
        <f t="shared" si="1209"/>
        <v>0</v>
      </c>
      <c r="DG606" s="424">
        <f t="shared" si="1209"/>
        <v>0</v>
      </c>
      <c r="DH606" s="424">
        <f t="shared" si="1209"/>
        <v>0</v>
      </c>
      <c r="DI606" s="424">
        <f t="shared" si="1209"/>
        <v>0</v>
      </c>
      <c r="DJ606" s="424">
        <f t="shared" si="1209"/>
        <v>0</v>
      </c>
      <c r="DK606" s="424">
        <f t="shared" si="1209"/>
        <v>0</v>
      </c>
      <c r="DL606" s="424">
        <f t="shared" si="1209"/>
        <v>0</v>
      </c>
      <c r="DM606" s="424">
        <f t="shared" si="1209"/>
        <v>0</v>
      </c>
      <c r="DN606" s="424">
        <f t="shared" si="1209"/>
        <v>0</v>
      </c>
      <c r="DO606" s="424">
        <f t="shared" si="1209"/>
        <v>0</v>
      </c>
      <c r="DP606" s="424">
        <f t="shared" si="1209"/>
        <v>0</v>
      </c>
      <c r="DQ606" s="424">
        <f t="shared" si="1209"/>
        <v>0</v>
      </c>
      <c r="DR606" s="424">
        <f t="shared" si="1209"/>
        <v>0</v>
      </c>
      <c r="DS606" s="424">
        <f t="shared" si="1209"/>
        <v>0</v>
      </c>
      <c r="DT606" s="424">
        <f t="shared" si="1209"/>
        <v>0</v>
      </c>
      <c r="DU606" s="424">
        <f t="shared" si="1209"/>
        <v>0</v>
      </c>
      <c r="DV606" s="424">
        <f t="shared" si="1209"/>
        <v>0</v>
      </c>
      <c r="DW606" s="424">
        <f t="shared" si="1209"/>
        <v>0</v>
      </c>
      <c r="DX606" s="424">
        <f t="shared" si="1209"/>
        <v>0</v>
      </c>
      <c r="DY606" s="424">
        <f t="shared" si="1209"/>
        <v>0</v>
      </c>
      <c r="DZ606" s="424">
        <f t="shared" si="1209"/>
        <v>0</v>
      </c>
      <c r="EA606" s="424">
        <f t="shared" si="1209"/>
        <v>0</v>
      </c>
      <c r="EB606" s="424">
        <f t="shared" si="1209"/>
        <v>0</v>
      </c>
      <c r="EC606" s="424">
        <f t="shared" si="1209"/>
        <v>0</v>
      </c>
      <c r="ED606" s="424">
        <f t="shared" si="1209"/>
        <v>0</v>
      </c>
      <c r="EE606" s="424">
        <f t="shared" si="1209"/>
        <v>0</v>
      </c>
      <c r="EF606" s="424">
        <f t="shared" si="1209"/>
        <v>0</v>
      </c>
      <c r="EG606" s="424">
        <f t="shared" si="1209"/>
        <v>0</v>
      </c>
      <c r="EH606" s="424">
        <f t="shared" ref="EH606:EX606" si="1210">EH236*EH$372</f>
        <v>0</v>
      </c>
      <c r="EI606" s="424">
        <f t="shared" si="1210"/>
        <v>0</v>
      </c>
      <c r="EJ606" s="424">
        <f t="shared" si="1210"/>
        <v>0</v>
      </c>
      <c r="EK606" s="424">
        <f t="shared" si="1210"/>
        <v>0</v>
      </c>
      <c r="EL606" s="424">
        <f t="shared" si="1210"/>
        <v>0</v>
      </c>
      <c r="EM606" s="424">
        <f t="shared" si="1210"/>
        <v>0</v>
      </c>
      <c r="EN606" s="424">
        <f t="shared" si="1210"/>
        <v>0</v>
      </c>
      <c r="EO606" s="424">
        <f t="shared" si="1210"/>
        <v>0</v>
      </c>
      <c r="EP606" s="424">
        <f t="shared" si="1210"/>
        <v>0</v>
      </c>
      <c r="EQ606" s="424">
        <f t="shared" si="1210"/>
        <v>0</v>
      </c>
      <c r="ER606" s="424">
        <f t="shared" si="1210"/>
        <v>0</v>
      </c>
      <c r="ES606" s="424">
        <f t="shared" si="1210"/>
        <v>0</v>
      </c>
      <c r="ET606" s="424">
        <f t="shared" si="1210"/>
        <v>0</v>
      </c>
      <c r="EU606" s="424">
        <f t="shared" si="1210"/>
        <v>0</v>
      </c>
      <c r="EV606" s="424">
        <f t="shared" si="1210"/>
        <v>0</v>
      </c>
      <c r="EW606" s="424">
        <f t="shared" si="1210"/>
        <v>0</v>
      </c>
      <c r="EX606" s="424">
        <f t="shared" si="1210"/>
        <v>0</v>
      </c>
      <c r="EY606" s="425">
        <f t="shared" si="1064"/>
        <v>82</v>
      </c>
      <c r="EZ606" s="616"/>
      <c r="FA606" s="616"/>
      <c r="FB606" s="616"/>
      <c r="FC606" s="616"/>
      <c r="FD606" s="616"/>
      <c r="FE606" s="616"/>
      <c r="FF606" s="616"/>
      <c r="FG606" s="616"/>
      <c r="FH606" s="616"/>
      <c r="FI606" s="616"/>
      <c r="FJ606" s="616"/>
    </row>
    <row r="607" spans="1:166" ht="14.7" customHeight="1" x14ac:dyDescent="0.25">
      <c r="A607" s="310">
        <v>233</v>
      </c>
      <c r="B607" s="311" t="str">
        <f t="shared" si="1005"/>
        <v>Соус молочный (для подачи к блюду) (30 гр)</v>
      </c>
      <c r="C607" s="483">
        <f t="shared" si="1018"/>
        <v>2.46</v>
      </c>
      <c r="D607" s="888"/>
      <c r="E607" s="888"/>
      <c r="F607" s="888"/>
      <c r="G607" s="889"/>
      <c r="H607" s="680">
        <f t="shared" si="1175"/>
        <v>326</v>
      </c>
      <c r="I607" s="1209">
        <f t="shared" si="1007"/>
        <v>0</v>
      </c>
      <c r="J607" s="424">
        <f t="shared" ref="J607:AO607" si="1211">J237*J$372</f>
        <v>0</v>
      </c>
      <c r="K607" s="424">
        <f t="shared" si="1211"/>
        <v>0</v>
      </c>
      <c r="L607" s="424">
        <f t="shared" si="1211"/>
        <v>0</v>
      </c>
      <c r="M607" s="424">
        <f t="shared" si="1211"/>
        <v>0</v>
      </c>
      <c r="N607" s="424">
        <f t="shared" si="1211"/>
        <v>0</v>
      </c>
      <c r="O607" s="424">
        <f t="shared" si="1211"/>
        <v>0</v>
      </c>
      <c r="P607" s="424">
        <f t="shared" si="1211"/>
        <v>0</v>
      </c>
      <c r="Q607" s="424">
        <f t="shared" si="1211"/>
        <v>0</v>
      </c>
      <c r="R607" s="424">
        <f t="shared" si="1211"/>
        <v>0</v>
      </c>
      <c r="S607" s="424">
        <f t="shared" si="1211"/>
        <v>0</v>
      </c>
      <c r="T607" s="424">
        <f t="shared" si="1211"/>
        <v>0</v>
      </c>
      <c r="U607" s="424">
        <f t="shared" si="1211"/>
        <v>1.2</v>
      </c>
      <c r="V607" s="424">
        <f t="shared" si="1211"/>
        <v>1.17</v>
      </c>
      <c r="W607" s="424">
        <f t="shared" si="1211"/>
        <v>0</v>
      </c>
      <c r="X607" s="424">
        <f t="shared" si="1211"/>
        <v>0</v>
      </c>
      <c r="Y607" s="424">
        <f t="shared" si="1211"/>
        <v>0</v>
      </c>
      <c r="Z607" s="424">
        <f t="shared" si="1211"/>
        <v>0</v>
      </c>
      <c r="AA607" s="424">
        <f t="shared" si="1211"/>
        <v>0</v>
      </c>
      <c r="AB607" s="424">
        <f t="shared" si="1211"/>
        <v>0</v>
      </c>
      <c r="AC607" s="424">
        <f t="shared" si="1211"/>
        <v>0</v>
      </c>
      <c r="AD607" s="424">
        <f t="shared" si="1211"/>
        <v>0</v>
      </c>
      <c r="AE607" s="424">
        <f t="shared" si="1211"/>
        <v>0</v>
      </c>
      <c r="AF607" s="424">
        <f t="shared" si="1211"/>
        <v>0</v>
      </c>
      <c r="AG607" s="424">
        <f t="shared" si="1211"/>
        <v>0</v>
      </c>
      <c r="AH607" s="424">
        <f t="shared" si="1211"/>
        <v>0</v>
      </c>
      <c r="AI607" s="424">
        <f t="shared" si="1211"/>
        <v>0</v>
      </c>
      <c r="AJ607" s="424">
        <f t="shared" si="1211"/>
        <v>0</v>
      </c>
      <c r="AK607" s="424">
        <f t="shared" si="1211"/>
        <v>0</v>
      </c>
      <c r="AL607" s="424">
        <f t="shared" si="1211"/>
        <v>0</v>
      </c>
      <c r="AM607" s="424">
        <f t="shared" si="1211"/>
        <v>0</v>
      </c>
      <c r="AN607" s="424">
        <f t="shared" si="1211"/>
        <v>0</v>
      </c>
      <c r="AO607" s="424">
        <f t="shared" si="1211"/>
        <v>0</v>
      </c>
      <c r="AP607" s="424">
        <f t="shared" ref="AP607:BU607" si="1212">AP237*AP$372</f>
        <v>0</v>
      </c>
      <c r="AQ607" s="424">
        <f t="shared" si="1212"/>
        <v>0</v>
      </c>
      <c r="AR607" s="424">
        <f t="shared" si="1212"/>
        <v>0</v>
      </c>
      <c r="AS607" s="424">
        <f t="shared" si="1212"/>
        <v>0</v>
      </c>
      <c r="AT607" s="424">
        <f t="shared" si="1212"/>
        <v>0</v>
      </c>
      <c r="AU607" s="424">
        <f t="shared" si="1212"/>
        <v>0</v>
      </c>
      <c r="AV607" s="424">
        <f t="shared" si="1212"/>
        <v>0</v>
      </c>
      <c r="AW607" s="424">
        <f t="shared" si="1212"/>
        <v>0</v>
      </c>
      <c r="AX607" s="424">
        <f t="shared" si="1212"/>
        <v>0</v>
      </c>
      <c r="AY607" s="424">
        <f t="shared" si="1212"/>
        <v>0</v>
      </c>
      <c r="AZ607" s="424">
        <f t="shared" si="1212"/>
        <v>0</v>
      </c>
      <c r="BA607" s="424">
        <f t="shared" si="1212"/>
        <v>0</v>
      </c>
      <c r="BB607" s="424">
        <f t="shared" si="1212"/>
        <v>0</v>
      </c>
      <c r="BC607" s="424">
        <f t="shared" si="1212"/>
        <v>0</v>
      </c>
      <c r="BD607" s="424">
        <f t="shared" si="1212"/>
        <v>0</v>
      </c>
      <c r="BE607" s="424">
        <f t="shared" si="1212"/>
        <v>0</v>
      </c>
      <c r="BF607" s="424">
        <f t="shared" si="1212"/>
        <v>0</v>
      </c>
      <c r="BG607" s="424">
        <f t="shared" si="1212"/>
        <v>0</v>
      </c>
      <c r="BH607" s="424">
        <f t="shared" si="1212"/>
        <v>0</v>
      </c>
      <c r="BI607" s="424">
        <f t="shared" si="1212"/>
        <v>0</v>
      </c>
      <c r="BJ607" s="424">
        <f t="shared" si="1212"/>
        <v>0</v>
      </c>
      <c r="BK607" s="424">
        <f t="shared" si="1212"/>
        <v>0</v>
      </c>
      <c r="BL607" s="424">
        <f t="shared" si="1212"/>
        <v>0</v>
      </c>
      <c r="BM607" s="424">
        <f t="shared" si="1212"/>
        <v>0</v>
      </c>
      <c r="BN607" s="424">
        <f t="shared" si="1212"/>
        <v>0</v>
      </c>
      <c r="BO607" s="424">
        <f t="shared" si="1212"/>
        <v>0</v>
      </c>
      <c r="BP607" s="424">
        <f t="shared" si="1212"/>
        <v>0</v>
      </c>
      <c r="BQ607" s="424">
        <f t="shared" si="1212"/>
        <v>0</v>
      </c>
      <c r="BR607" s="424">
        <f t="shared" si="1212"/>
        <v>0</v>
      </c>
      <c r="BS607" s="424">
        <f t="shared" si="1212"/>
        <v>0.06</v>
      </c>
      <c r="BT607" s="424">
        <f t="shared" si="1212"/>
        <v>0</v>
      </c>
      <c r="BU607" s="424">
        <f t="shared" si="1212"/>
        <v>0</v>
      </c>
      <c r="BV607" s="424">
        <f t="shared" ref="BV607:DA607" si="1213">BV237*BV$372</f>
        <v>0</v>
      </c>
      <c r="BW607" s="424">
        <f t="shared" si="1213"/>
        <v>0</v>
      </c>
      <c r="BX607" s="424">
        <f t="shared" si="1213"/>
        <v>0</v>
      </c>
      <c r="BY607" s="424">
        <f t="shared" si="1213"/>
        <v>0</v>
      </c>
      <c r="BZ607" s="424">
        <f t="shared" si="1213"/>
        <v>0</v>
      </c>
      <c r="CA607" s="424">
        <f t="shared" si="1213"/>
        <v>0</v>
      </c>
      <c r="CB607" s="424">
        <f t="shared" si="1213"/>
        <v>0</v>
      </c>
      <c r="CC607" s="424">
        <f t="shared" si="1213"/>
        <v>0</v>
      </c>
      <c r="CD607" s="424">
        <f t="shared" si="1213"/>
        <v>0</v>
      </c>
      <c r="CE607" s="424">
        <f t="shared" si="1213"/>
        <v>0</v>
      </c>
      <c r="CF607" s="424">
        <f t="shared" si="1213"/>
        <v>0</v>
      </c>
      <c r="CG607" s="424">
        <f t="shared" si="1213"/>
        <v>0</v>
      </c>
      <c r="CH607" s="424">
        <f t="shared" si="1213"/>
        <v>0</v>
      </c>
      <c r="CI607" s="424">
        <f t="shared" si="1213"/>
        <v>0</v>
      </c>
      <c r="CJ607" s="424">
        <f t="shared" si="1213"/>
        <v>0</v>
      </c>
      <c r="CK607" s="424">
        <f t="shared" si="1213"/>
        <v>0</v>
      </c>
      <c r="CL607" s="424">
        <f t="shared" si="1213"/>
        <v>0</v>
      </c>
      <c r="CM607" s="424">
        <f t="shared" si="1213"/>
        <v>0</v>
      </c>
      <c r="CN607" s="424">
        <f t="shared" si="1213"/>
        <v>0</v>
      </c>
      <c r="CO607" s="424">
        <f t="shared" si="1213"/>
        <v>0</v>
      </c>
      <c r="CP607" s="424">
        <f t="shared" si="1213"/>
        <v>0</v>
      </c>
      <c r="CQ607" s="424">
        <f t="shared" si="1213"/>
        <v>0</v>
      </c>
      <c r="CR607" s="424">
        <f t="shared" si="1213"/>
        <v>0</v>
      </c>
      <c r="CS607" s="424">
        <f t="shared" si="1213"/>
        <v>0</v>
      </c>
      <c r="CT607" s="424">
        <f t="shared" si="1213"/>
        <v>0</v>
      </c>
      <c r="CU607" s="424">
        <f t="shared" si="1213"/>
        <v>0</v>
      </c>
      <c r="CV607" s="424">
        <f t="shared" si="1213"/>
        <v>0</v>
      </c>
      <c r="CW607" s="424">
        <f t="shared" si="1213"/>
        <v>0</v>
      </c>
      <c r="CX607" s="424">
        <f t="shared" si="1213"/>
        <v>0</v>
      </c>
      <c r="CY607" s="424">
        <f t="shared" si="1213"/>
        <v>0</v>
      </c>
      <c r="CZ607" s="424">
        <f t="shared" si="1213"/>
        <v>0.02</v>
      </c>
      <c r="DA607" s="424">
        <f t="shared" si="1213"/>
        <v>0</v>
      </c>
      <c r="DB607" s="424">
        <f t="shared" ref="DB607:EG607" si="1214">DB237*DB$372</f>
        <v>0</v>
      </c>
      <c r="DC607" s="424">
        <f t="shared" si="1214"/>
        <v>0.01</v>
      </c>
      <c r="DD607" s="424">
        <f t="shared" si="1214"/>
        <v>0</v>
      </c>
      <c r="DE607" s="424">
        <f t="shared" si="1214"/>
        <v>0</v>
      </c>
      <c r="DF607" s="424">
        <f t="shared" si="1214"/>
        <v>0</v>
      </c>
      <c r="DG607" s="424">
        <f t="shared" si="1214"/>
        <v>0</v>
      </c>
      <c r="DH607" s="424">
        <f t="shared" si="1214"/>
        <v>0</v>
      </c>
      <c r="DI607" s="424">
        <f t="shared" si="1214"/>
        <v>0</v>
      </c>
      <c r="DJ607" s="424">
        <f t="shared" si="1214"/>
        <v>0</v>
      </c>
      <c r="DK607" s="424">
        <f t="shared" si="1214"/>
        <v>0</v>
      </c>
      <c r="DL607" s="424">
        <f t="shared" si="1214"/>
        <v>0</v>
      </c>
      <c r="DM607" s="424">
        <f t="shared" si="1214"/>
        <v>0</v>
      </c>
      <c r="DN607" s="424">
        <f t="shared" si="1214"/>
        <v>0</v>
      </c>
      <c r="DO607" s="424">
        <f t="shared" si="1214"/>
        <v>0</v>
      </c>
      <c r="DP607" s="424">
        <f t="shared" si="1214"/>
        <v>0</v>
      </c>
      <c r="DQ607" s="424">
        <f t="shared" si="1214"/>
        <v>0</v>
      </c>
      <c r="DR607" s="424">
        <f t="shared" si="1214"/>
        <v>0</v>
      </c>
      <c r="DS607" s="424">
        <f t="shared" si="1214"/>
        <v>0</v>
      </c>
      <c r="DT607" s="424">
        <f t="shared" si="1214"/>
        <v>0</v>
      </c>
      <c r="DU607" s="424">
        <f t="shared" si="1214"/>
        <v>0</v>
      </c>
      <c r="DV607" s="424">
        <f t="shared" si="1214"/>
        <v>0</v>
      </c>
      <c r="DW607" s="424">
        <f t="shared" si="1214"/>
        <v>0</v>
      </c>
      <c r="DX607" s="424">
        <f t="shared" si="1214"/>
        <v>0</v>
      </c>
      <c r="DY607" s="424">
        <f t="shared" si="1214"/>
        <v>0</v>
      </c>
      <c r="DZ607" s="424">
        <f t="shared" si="1214"/>
        <v>0</v>
      </c>
      <c r="EA607" s="424">
        <f t="shared" si="1214"/>
        <v>0</v>
      </c>
      <c r="EB607" s="424">
        <f t="shared" si="1214"/>
        <v>0</v>
      </c>
      <c r="EC607" s="424">
        <f t="shared" si="1214"/>
        <v>0</v>
      </c>
      <c r="ED607" s="424">
        <f t="shared" si="1214"/>
        <v>0</v>
      </c>
      <c r="EE607" s="424">
        <f t="shared" si="1214"/>
        <v>0</v>
      </c>
      <c r="EF607" s="424">
        <f t="shared" si="1214"/>
        <v>0</v>
      </c>
      <c r="EG607" s="424">
        <f t="shared" si="1214"/>
        <v>0</v>
      </c>
      <c r="EH607" s="424">
        <f t="shared" ref="EH607:EX607" si="1215">EH237*EH$372</f>
        <v>0</v>
      </c>
      <c r="EI607" s="424">
        <f t="shared" si="1215"/>
        <v>0</v>
      </c>
      <c r="EJ607" s="424">
        <f t="shared" si="1215"/>
        <v>0</v>
      </c>
      <c r="EK607" s="424">
        <f t="shared" si="1215"/>
        <v>0</v>
      </c>
      <c r="EL607" s="424">
        <f t="shared" si="1215"/>
        <v>0</v>
      </c>
      <c r="EM607" s="424">
        <f t="shared" si="1215"/>
        <v>0</v>
      </c>
      <c r="EN607" s="424">
        <f t="shared" si="1215"/>
        <v>0</v>
      </c>
      <c r="EO607" s="424">
        <f t="shared" si="1215"/>
        <v>0</v>
      </c>
      <c r="EP607" s="424">
        <f t="shared" si="1215"/>
        <v>0</v>
      </c>
      <c r="EQ607" s="424">
        <f t="shared" si="1215"/>
        <v>0</v>
      </c>
      <c r="ER607" s="424">
        <f t="shared" si="1215"/>
        <v>0</v>
      </c>
      <c r="ES607" s="424">
        <f t="shared" si="1215"/>
        <v>0</v>
      </c>
      <c r="ET607" s="424">
        <f t="shared" si="1215"/>
        <v>0</v>
      </c>
      <c r="EU607" s="424">
        <f t="shared" si="1215"/>
        <v>0</v>
      </c>
      <c r="EV607" s="424">
        <f t="shared" si="1215"/>
        <v>0</v>
      </c>
      <c r="EW607" s="424">
        <f t="shared" si="1215"/>
        <v>0</v>
      </c>
      <c r="EX607" s="424">
        <f t="shared" si="1215"/>
        <v>0</v>
      </c>
      <c r="EY607" s="425">
        <f t="shared" si="1064"/>
        <v>2.46</v>
      </c>
    </row>
    <row r="608" spans="1:166" s="467" customFormat="1" ht="14.7" customHeight="1" x14ac:dyDescent="0.25">
      <c r="A608" s="310">
        <v>234</v>
      </c>
      <c r="B608" s="311" t="str">
        <f t="shared" si="1005"/>
        <v>Льезон</v>
      </c>
      <c r="C608" s="483">
        <f t="shared" si="1018"/>
        <v>4.5599999999999996</v>
      </c>
      <c r="D608" s="888"/>
      <c r="E608" s="888"/>
      <c r="F608" s="888"/>
      <c r="G608" s="889"/>
      <c r="H608" s="680">
        <f t="shared" si="1175"/>
        <v>0</v>
      </c>
      <c r="I608" s="1209">
        <f t="shared" si="1007"/>
        <v>0</v>
      </c>
      <c r="J608" s="424">
        <f t="shared" ref="J608:AO608" si="1216">J238*J$372</f>
        <v>0</v>
      </c>
      <c r="K608" s="424">
        <f t="shared" si="1216"/>
        <v>0</v>
      </c>
      <c r="L608" s="424">
        <f t="shared" si="1216"/>
        <v>0</v>
      </c>
      <c r="M608" s="424">
        <f t="shared" si="1216"/>
        <v>0</v>
      </c>
      <c r="N608" s="424">
        <f t="shared" si="1216"/>
        <v>0</v>
      </c>
      <c r="O608" s="424">
        <f t="shared" si="1216"/>
        <v>0</v>
      </c>
      <c r="P608" s="424">
        <f t="shared" si="1216"/>
        <v>0</v>
      </c>
      <c r="Q608" s="424">
        <f t="shared" si="1216"/>
        <v>0</v>
      </c>
      <c r="R608" s="424">
        <f t="shared" si="1216"/>
        <v>0</v>
      </c>
      <c r="S608" s="424">
        <f t="shared" si="1216"/>
        <v>0</v>
      </c>
      <c r="T608" s="424">
        <f t="shared" si="1216"/>
        <v>0</v>
      </c>
      <c r="U608" s="424">
        <f t="shared" si="1216"/>
        <v>2.8</v>
      </c>
      <c r="V608" s="424">
        <f t="shared" si="1216"/>
        <v>0</v>
      </c>
      <c r="W608" s="424">
        <f t="shared" si="1216"/>
        <v>0</v>
      </c>
      <c r="X608" s="424">
        <f t="shared" si="1216"/>
        <v>0</v>
      </c>
      <c r="Y608" s="424">
        <f t="shared" si="1216"/>
        <v>0</v>
      </c>
      <c r="Z608" s="424">
        <f t="shared" si="1216"/>
        <v>0</v>
      </c>
      <c r="AA608" s="424">
        <f t="shared" si="1216"/>
        <v>0</v>
      </c>
      <c r="AB608" s="424">
        <f t="shared" si="1216"/>
        <v>0</v>
      </c>
      <c r="AC608" s="424">
        <f t="shared" si="1216"/>
        <v>0</v>
      </c>
      <c r="AD608" s="424">
        <f t="shared" si="1216"/>
        <v>0</v>
      </c>
      <c r="AE608" s="424">
        <f t="shared" si="1216"/>
        <v>1.75</v>
      </c>
      <c r="AF608" s="424">
        <f t="shared" si="1216"/>
        <v>0</v>
      </c>
      <c r="AG608" s="424">
        <f t="shared" si="1216"/>
        <v>0</v>
      </c>
      <c r="AH608" s="424">
        <f t="shared" si="1216"/>
        <v>0</v>
      </c>
      <c r="AI608" s="424">
        <f t="shared" si="1216"/>
        <v>0</v>
      </c>
      <c r="AJ608" s="424">
        <f t="shared" si="1216"/>
        <v>0</v>
      </c>
      <c r="AK608" s="424">
        <f t="shared" si="1216"/>
        <v>0</v>
      </c>
      <c r="AL608" s="424">
        <f t="shared" si="1216"/>
        <v>0</v>
      </c>
      <c r="AM608" s="424">
        <f t="shared" si="1216"/>
        <v>0</v>
      </c>
      <c r="AN608" s="424">
        <f t="shared" si="1216"/>
        <v>0</v>
      </c>
      <c r="AO608" s="424">
        <f t="shared" si="1216"/>
        <v>0</v>
      </c>
      <c r="AP608" s="424">
        <f t="shared" ref="AP608:BU608" si="1217">AP238*AP$372</f>
        <v>0</v>
      </c>
      <c r="AQ608" s="424">
        <f t="shared" si="1217"/>
        <v>0</v>
      </c>
      <c r="AR608" s="424">
        <f t="shared" si="1217"/>
        <v>0</v>
      </c>
      <c r="AS608" s="424">
        <f t="shared" si="1217"/>
        <v>0</v>
      </c>
      <c r="AT608" s="424">
        <f t="shared" si="1217"/>
        <v>0</v>
      </c>
      <c r="AU608" s="424">
        <f t="shared" si="1217"/>
        <v>0</v>
      </c>
      <c r="AV608" s="424">
        <f t="shared" si="1217"/>
        <v>0</v>
      </c>
      <c r="AW608" s="424">
        <f t="shared" si="1217"/>
        <v>0</v>
      </c>
      <c r="AX608" s="424">
        <f t="shared" si="1217"/>
        <v>0</v>
      </c>
      <c r="AY608" s="424">
        <f t="shared" si="1217"/>
        <v>0</v>
      </c>
      <c r="AZ608" s="424">
        <f t="shared" si="1217"/>
        <v>0</v>
      </c>
      <c r="BA608" s="424">
        <f t="shared" si="1217"/>
        <v>0</v>
      </c>
      <c r="BB608" s="424">
        <f t="shared" si="1217"/>
        <v>0</v>
      </c>
      <c r="BC608" s="424">
        <f t="shared" si="1217"/>
        <v>0</v>
      </c>
      <c r="BD608" s="424">
        <f t="shared" si="1217"/>
        <v>0</v>
      </c>
      <c r="BE608" s="424">
        <f t="shared" si="1217"/>
        <v>0</v>
      </c>
      <c r="BF608" s="424">
        <f t="shared" si="1217"/>
        <v>0</v>
      </c>
      <c r="BG608" s="424">
        <f t="shared" si="1217"/>
        <v>0</v>
      </c>
      <c r="BH608" s="424">
        <f t="shared" si="1217"/>
        <v>0</v>
      </c>
      <c r="BI608" s="424">
        <f t="shared" si="1217"/>
        <v>0</v>
      </c>
      <c r="BJ608" s="424">
        <f t="shared" si="1217"/>
        <v>0</v>
      </c>
      <c r="BK608" s="424">
        <f t="shared" si="1217"/>
        <v>0</v>
      </c>
      <c r="BL608" s="424">
        <f t="shared" si="1217"/>
        <v>0</v>
      </c>
      <c r="BM608" s="424">
        <f t="shared" si="1217"/>
        <v>0</v>
      </c>
      <c r="BN608" s="424">
        <f t="shared" si="1217"/>
        <v>0</v>
      </c>
      <c r="BO608" s="424">
        <f t="shared" si="1217"/>
        <v>0</v>
      </c>
      <c r="BP608" s="424">
        <f t="shared" si="1217"/>
        <v>0</v>
      </c>
      <c r="BQ608" s="424">
        <f t="shared" si="1217"/>
        <v>0</v>
      </c>
      <c r="BR608" s="424">
        <f t="shared" si="1217"/>
        <v>0</v>
      </c>
      <c r="BS608" s="424">
        <f t="shared" si="1217"/>
        <v>0</v>
      </c>
      <c r="BT608" s="424">
        <f t="shared" si="1217"/>
        <v>0</v>
      </c>
      <c r="BU608" s="424">
        <f t="shared" si="1217"/>
        <v>0</v>
      </c>
      <c r="BV608" s="424">
        <f t="shared" ref="BV608:DA608" si="1218">BV238*BV$372</f>
        <v>0</v>
      </c>
      <c r="BW608" s="424">
        <f t="shared" si="1218"/>
        <v>0</v>
      </c>
      <c r="BX608" s="424">
        <f t="shared" si="1218"/>
        <v>0</v>
      </c>
      <c r="BY608" s="424">
        <f t="shared" si="1218"/>
        <v>0</v>
      </c>
      <c r="BZ608" s="424">
        <f t="shared" si="1218"/>
        <v>0</v>
      </c>
      <c r="CA608" s="424">
        <f t="shared" si="1218"/>
        <v>0</v>
      </c>
      <c r="CB608" s="424">
        <f t="shared" si="1218"/>
        <v>0</v>
      </c>
      <c r="CC608" s="424">
        <f t="shared" si="1218"/>
        <v>0</v>
      </c>
      <c r="CD608" s="424">
        <f t="shared" si="1218"/>
        <v>0</v>
      </c>
      <c r="CE608" s="424">
        <f t="shared" si="1218"/>
        <v>0</v>
      </c>
      <c r="CF608" s="424">
        <f t="shared" si="1218"/>
        <v>0</v>
      </c>
      <c r="CG608" s="424">
        <f t="shared" si="1218"/>
        <v>0</v>
      </c>
      <c r="CH608" s="424">
        <f t="shared" si="1218"/>
        <v>0</v>
      </c>
      <c r="CI608" s="424">
        <f t="shared" si="1218"/>
        <v>0</v>
      </c>
      <c r="CJ608" s="424">
        <f t="shared" si="1218"/>
        <v>0</v>
      </c>
      <c r="CK608" s="424">
        <f t="shared" si="1218"/>
        <v>0</v>
      </c>
      <c r="CL608" s="424">
        <f t="shared" si="1218"/>
        <v>0</v>
      </c>
      <c r="CM608" s="424">
        <f t="shared" si="1218"/>
        <v>0</v>
      </c>
      <c r="CN608" s="424">
        <f t="shared" si="1218"/>
        <v>0</v>
      </c>
      <c r="CO608" s="424">
        <f t="shared" si="1218"/>
        <v>0</v>
      </c>
      <c r="CP608" s="424">
        <f t="shared" si="1218"/>
        <v>0</v>
      </c>
      <c r="CQ608" s="424">
        <f t="shared" si="1218"/>
        <v>0</v>
      </c>
      <c r="CR608" s="424">
        <f t="shared" si="1218"/>
        <v>0</v>
      </c>
      <c r="CS608" s="424">
        <f t="shared" si="1218"/>
        <v>0</v>
      </c>
      <c r="CT608" s="424">
        <f t="shared" si="1218"/>
        <v>0</v>
      </c>
      <c r="CU608" s="424">
        <f t="shared" si="1218"/>
        <v>0</v>
      </c>
      <c r="CV608" s="424">
        <f t="shared" si="1218"/>
        <v>0</v>
      </c>
      <c r="CW608" s="424">
        <f t="shared" si="1218"/>
        <v>0</v>
      </c>
      <c r="CX608" s="424">
        <f t="shared" si="1218"/>
        <v>0</v>
      </c>
      <c r="CY608" s="424">
        <f t="shared" si="1218"/>
        <v>0</v>
      </c>
      <c r="CZ608" s="424">
        <f t="shared" si="1218"/>
        <v>0</v>
      </c>
      <c r="DA608" s="424">
        <f t="shared" si="1218"/>
        <v>0</v>
      </c>
      <c r="DB608" s="424">
        <f t="shared" ref="DB608:EG608" si="1219">DB238*DB$372</f>
        <v>0</v>
      </c>
      <c r="DC608" s="424">
        <f t="shared" si="1219"/>
        <v>0.01</v>
      </c>
      <c r="DD608" s="424">
        <f t="shared" si="1219"/>
        <v>0</v>
      </c>
      <c r="DE608" s="424">
        <f t="shared" si="1219"/>
        <v>0</v>
      </c>
      <c r="DF608" s="424">
        <f t="shared" si="1219"/>
        <v>0</v>
      </c>
      <c r="DG608" s="424">
        <f t="shared" si="1219"/>
        <v>0</v>
      </c>
      <c r="DH608" s="424">
        <f t="shared" si="1219"/>
        <v>0</v>
      </c>
      <c r="DI608" s="424">
        <f t="shared" si="1219"/>
        <v>0</v>
      </c>
      <c r="DJ608" s="424">
        <f t="shared" si="1219"/>
        <v>0</v>
      </c>
      <c r="DK608" s="424">
        <f t="shared" si="1219"/>
        <v>0</v>
      </c>
      <c r="DL608" s="424">
        <f t="shared" si="1219"/>
        <v>0</v>
      </c>
      <c r="DM608" s="424">
        <f t="shared" si="1219"/>
        <v>0</v>
      </c>
      <c r="DN608" s="424">
        <f t="shared" si="1219"/>
        <v>0</v>
      </c>
      <c r="DO608" s="424">
        <f t="shared" si="1219"/>
        <v>0</v>
      </c>
      <c r="DP608" s="424">
        <f t="shared" si="1219"/>
        <v>0</v>
      </c>
      <c r="DQ608" s="424">
        <f t="shared" si="1219"/>
        <v>0</v>
      </c>
      <c r="DR608" s="424">
        <f t="shared" si="1219"/>
        <v>0</v>
      </c>
      <c r="DS608" s="424">
        <f t="shared" si="1219"/>
        <v>0</v>
      </c>
      <c r="DT608" s="424">
        <f t="shared" si="1219"/>
        <v>0</v>
      </c>
      <c r="DU608" s="424">
        <f t="shared" si="1219"/>
        <v>0</v>
      </c>
      <c r="DV608" s="424">
        <f t="shared" si="1219"/>
        <v>0</v>
      </c>
      <c r="DW608" s="424">
        <f t="shared" si="1219"/>
        <v>0</v>
      </c>
      <c r="DX608" s="424">
        <f t="shared" si="1219"/>
        <v>0</v>
      </c>
      <c r="DY608" s="424">
        <f t="shared" si="1219"/>
        <v>0</v>
      </c>
      <c r="DZ608" s="424">
        <f t="shared" si="1219"/>
        <v>0</v>
      </c>
      <c r="EA608" s="424">
        <f t="shared" si="1219"/>
        <v>0</v>
      </c>
      <c r="EB608" s="424">
        <f t="shared" si="1219"/>
        <v>0</v>
      </c>
      <c r="EC608" s="424">
        <f t="shared" si="1219"/>
        <v>0</v>
      </c>
      <c r="ED608" s="424">
        <f t="shared" si="1219"/>
        <v>0</v>
      </c>
      <c r="EE608" s="424">
        <f t="shared" si="1219"/>
        <v>0</v>
      </c>
      <c r="EF608" s="424">
        <f t="shared" si="1219"/>
        <v>0</v>
      </c>
      <c r="EG608" s="424">
        <f t="shared" si="1219"/>
        <v>0</v>
      </c>
      <c r="EH608" s="424">
        <f t="shared" ref="EH608:EX608" si="1220">EH238*EH$372</f>
        <v>0</v>
      </c>
      <c r="EI608" s="424">
        <f t="shared" si="1220"/>
        <v>0</v>
      </c>
      <c r="EJ608" s="424">
        <f t="shared" si="1220"/>
        <v>0</v>
      </c>
      <c r="EK608" s="424">
        <f t="shared" si="1220"/>
        <v>0</v>
      </c>
      <c r="EL608" s="424">
        <f t="shared" si="1220"/>
        <v>0</v>
      </c>
      <c r="EM608" s="424">
        <f t="shared" si="1220"/>
        <v>0</v>
      </c>
      <c r="EN608" s="424">
        <f t="shared" si="1220"/>
        <v>0</v>
      </c>
      <c r="EO608" s="424">
        <f t="shared" si="1220"/>
        <v>0</v>
      </c>
      <c r="EP608" s="424">
        <f t="shared" si="1220"/>
        <v>0</v>
      </c>
      <c r="EQ608" s="424">
        <f t="shared" si="1220"/>
        <v>0</v>
      </c>
      <c r="ER608" s="424">
        <f t="shared" si="1220"/>
        <v>0</v>
      </c>
      <c r="ES608" s="424">
        <f t="shared" si="1220"/>
        <v>0</v>
      </c>
      <c r="ET608" s="424">
        <f t="shared" si="1220"/>
        <v>0</v>
      </c>
      <c r="EU608" s="424">
        <f t="shared" si="1220"/>
        <v>0</v>
      </c>
      <c r="EV608" s="424">
        <f t="shared" si="1220"/>
        <v>0</v>
      </c>
      <c r="EW608" s="424">
        <f t="shared" si="1220"/>
        <v>0</v>
      </c>
      <c r="EX608" s="424">
        <f t="shared" si="1220"/>
        <v>0</v>
      </c>
      <c r="EY608" s="425">
        <f t="shared" si="1064"/>
        <v>4.5599999999999996</v>
      </c>
      <c r="EZ608" s="616"/>
      <c r="FA608" s="616"/>
      <c r="FB608" s="616"/>
      <c r="FC608" s="616"/>
      <c r="FD608" s="616"/>
      <c r="FE608" s="616"/>
      <c r="FF608" s="616"/>
      <c r="FG608" s="616"/>
      <c r="FH608" s="616"/>
      <c r="FI608" s="616"/>
      <c r="FJ608" s="616"/>
    </row>
    <row r="609" spans="1:166" s="467" customFormat="1" ht="14.7" customHeight="1" x14ac:dyDescent="0.25">
      <c r="A609" s="310">
        <v>235</v>
      </c>
      <c r="B609" s="311" t="str">
        <f t="shared" si="1005"/>
        <v>Соус молочный густой (для фарширования)</v>
      </c>
      <c r="C609" s="483">
        <f t="shared" si="1018"/>
        <v>157.19</v>
      </c>
      <c r="D609" s="888"/>
      <c r="E609" s="888"/>
      <c r="F609" s="888"/>
      <c r="G609" s="889"/>
      <c r="H609" s="680">
        <f t="shared" si="1175"/>
        <v>329</v>
      </c>
      <c r="I609" s="1209">
        <f t="shared" si="1007"/>
        <v>0</v>
      </c>
      <c r="J609" s="424">
        <f t="shared" ref="J609:AO609" si="1221">J239*J$372</f>
        <v>0</v>
      </c>
      <c r="K609" s="424">
        <f t="shared" si="1221"/>
        <v>0</v>
      </c>
      <c r="L609" s="424">
        <f t="shared" si="1221"/>
        <v>0</v>
      </c>
      <c r="M609" s="424">
        <f t="shared" si="1221"/>
        <v>0</v>
      </c>
      <c r="N609" s="424">
        <f t="shared" si="1221"/>
        <v>0</v>
      </c>
      <c r="O609" s="424">
        <f t="shared" si="1221"/>
        <v>0</v>
      </c>
      <c r="P609" s="424">
        <f t="shared" si="1221"/>
        <v>0</v>
      </c>
      <c r="Q609" s="424">
        <f t="shared" si="1221"/>
        <v>0</v>
      </c>
      <c r="R609" s="424">
        <f t="shared" si="1221"/>
        <v>0</v>
      </c>
      <c r="S609" s="424">
        <f t="shared" si="1221"/>
        <v>0</v>
      </c>
      <c r="T609" s="424">
        <f t="shared" si="1221"/>
        <v>0</v>
      </c>
      <c r="U609" s="424">
        <f t="shared" si="1221"/>
        <v>60</v>
      </c>
      <c r="V609" s="424">
        <f t="shared" si="1221"/>
        <v>92.3</v>
      </c>
      <c r="W609" s="424">
        <f t="shared" si="1221"/>
        <v>0</v>
      </c>
      <c r="X609" s="424">
        <f t="shared" si="1221"/>
        <v>0</v>
      </c>
      <c r="Y609" s="424">
        <f t="shared" si="1221"/>
        <v>0</v>
      </c>
      <c r="Z609" s="424">
        <f t="shared" si="1221"/>
        <v>0</v>
      </c>
      <c r="AA609" s="424">
        <f t="shared" si="1221"/>
        <v>0</v>
      </c>
      <c r="AB609" s="424">
        <f t="shared" si="1221"/>
        <v>0</v>
      </c>
      <c r="AC609" s="424">
        <f t="shared" si="1221"/>
        <v>0</v>
      </c>
      <c r="AD609" s="424">
        <f t="shared" si="1221"/>
        <v>0</v>
      </c>
      <c r="AE609" s="424">
        <f t="shared" si="1221"/>
        <v>0</v>
      </c>
      <c r="AF609" s="424">
        <f t="shared" si="1221"/>
        <v>0</v>
      </c>
      <c r="AG609" s="424">
        <f t="shared" si="1221"/>
        <v>0</v>
      </c>
      <c r="AH609" s="424">
        <f t="shared" si="1221"/>
        <v>0</v>
      </c>
      <c r="AI609" s="424">
        <f t="shared" si="1221"/>
        <v>0</v>
      </c>
      <c r="AJ609" s="424">
        <f t="shared" si="1221"/>
        <v>0</v>
      </c>
      <c r="AK609" s="424">
        <f t="shared" si="1221"/>
        <v>0</v>
      </c>
      <c r="AL609" s="424">
        <f t="shared" si="1221"/>
        <v>0</v>
      </c>
      <c r="AM609" s="424">
        <f t="shared" si="1221"/>
        <v>0</v>
      </c>
      <c r="AN609" s="424">
        <f t="shared" si="1221"/>
        <v>0</v>
      </c>
      <c r="AO609" s="424">
        <f t="shared" si="1221"/>
        <v>0</v>
      </c>
      <c r="AP609" s="424">
        <f t="shared" ref="AP609:BU609" si="1222">AP239*AP$372</f>
        <v>0</v>
      </c>
      <c r="AQ609" s="424">
        <f t="shared" si="1222"/>
        <v>0</v>
      </c>
      <c r="AR609" s="424">
        <f t="shared" si="1222"/>
        <v>0</v>
      </c>
      <c r="AS609" s="424">
        <f t="shared" si="1222"/>
        <v>0</v>
      </c>
      <c r="AT609" s="424">
        <f t="shared" si="1222"/>
        <v>0</v>
      </c>
      <c r="AU609" s="424">
        <f t="shared" si="1222"/>
        <v>0</v>
      </c>
      <c r="AV609" s="424">
        <f t="shared" si="1222"/>
        <v>0</v>
      </c>
      <c r="AW609" s="424">
        <f t="shared" si="1222"/>
        <v>0</v>
      </c>
      <c r="AX609" s="424">
        <f t="shared" si="1222"/>
        <v>0</v>
      </c>
      <c r="AY609" s="424">
        <f t="shared" si="1222"/>
        <v>0</v>
      </c>
      <c r="AZ609" s="424">
        <f t="shared" si="1222"/>
        <v>0</v>
      </c>
      <c r="BA609" s="424">
        <f t="shared" si="1222"/>
        <v>0</v>
      </c>
      <c r="BB609" s="424">
        <f t="shared" si="1222"/>
        <v>0</v>
      </c>
      <c r="BC609" s="424">
        <f t="shared" si="1222"/>
        <v>0</v>
      </c>
      <c r="BD609" s="424">
        <f t="shared" si="1222"/>
        <v>0</v>
      </c>
      <c r="BE609" s="424">
        <f t="shared" si="1222"/>
        <v>0</v>
      </c>
      <c r="BF609" s="424">
        <f t="shared" si="1222"/>
        <v>0</v>
      </c>
      <c r="BG609" s="424">
        <f t="shared" si="1222"/>
        <v>0</v>
      </c>
      <c r="BH609" s="424">
        <f t="shared" si="1222"/>
        <v>0</v>
      </c>
      <c r="BI609" s="424">
        <f t="shared" si="1222"/>
        <v>0</v>
      </c>
      <c r="BJ609" s="424">
        <f t="shared" si="1222"/>
        <v>0</v>
      </c>
      <c r="BK609" s="424">
        <f t="shared" si="1222"/>
        <v>0</v>
      </c>
      <c r="BL609" s="424">
        <f t="shared" si="1222"/>
        <v>0</v>
      </c>
      <c r="BM609" s="424">
        <f t="shared" si="1222"/>
        <v>0</v>
      </c>
      <c r="BN609" s="424">
        <f t="shared" si="1222"/>
        <v>0</v>
      </c>
      <c r="BO609" s="424">
        <f t="shared" si="1222"/>
        <v>0</v>
      </c>
      <c r="BP609" s="424">
        <f t="shared" si="1222"/>
        <v>0</v>
      </c>
      <c r="BQ609" s="424">
        <f t="shared" si="1222"/>
        <v>0</v>
      </c>
      <c r="BR609" s="424">
        <f t="shared" si="1222"/>
        <v>0</v>
      </c>
      <c r="BS609" s="424">
        <f t="shared" si="1222"/>
        <v>4.68</v>
      </c>
      <c r="BT609" s="424">
        <f t="shared" si="1222"/>
        <v>0</v>
      </c>
      <c r="BU609" s="424">
        <f t="shared" si="1222"/>
        <v>0</v>
      </c>
      <c r="BV609" s="424">
        <f t="shared" ref="BV609:DA609" si="1223">BV239*BV$372</f>
        <v>0</v>
      </c>
      <c r="BW609" s="424">
        <f t="shared" si="1223"/>
        <v>0</v>
      </c>
      <c r="BX609" s="424">
        <f t="shared" si="1223"/>
        <v>0</v>
      </c>
      <c r="BY609" s="424">
        <f t="shared" si="1223"/>
        <v>0</v>
      </c>
      <c r="BZ609" s="424">
        <f t="shared" si="1223"/>
        <v>0</v>
      </c>
      <c r="CA609" s="424">
        <f t="shared" si="1223"/>
        <v>0</v>
      </c>
      <c r="CB609" s="424">
        <f t="shared" si="1223"/>
        <v>0</v>
      </c>
      <c r="CC609" s="424">
        <f t="shared" si="1223"/>
        <v>0</v>
      </c>
      <c r="CD609" s="424">
        <f t="shared" si="1223"/>
        <v>0</v>
      </c>
      <c r="CE609" s="424">
        <f t="shared" si="1223"/>
        <v>0</v>
      </c>
      <c r="CF609" s="424">
        <f t="shared" si="1223"/>
        <v>0</v>
      </c>
      <c r="CG609" s="424">
        <f t="shared" si="1223"/>
        <v>0</v>
      </c>
      <c r="CH609" s="424">
        <f t="shared" si="1223"/>
        <v>0</v>
      </c>
      <c r="CI609" s="424">
        <f t="shared" si="1223"/>
        <v>0</v>
      </c>
      <c r="CJ609" s="424">
        <f t="shared" si="1223"/>
        <v>0</v>
      </c>
      <c r="CK609" s="424">
        <f t="shared" si="1223"/>
        <v>0</v>
      </c>
      <c r="CL609" s="424">
        <f t="shared" si="1223"/>
        <v>0</v>
      </c>
      <c r="CM609" s="424">
        <f t="shared" si="1223"/>
        <v>0</v>
      </c>
      <c r="CN609" s="424">
        <f t="shared" si="1223"/>
        <v>0</v>
      </c>
      <c r="CO609" s="424">
        <f t="shared" si="1223"/>
        <v>0</v>
      </c>
      <c r="CP609" s="424">
        <f t="shared" si="1223"/>
        <v>0</v>
      </c>
      <c r="CQ609" s="424">
        <f t="shared" si="1223"/>
        <v>0</v>
      </c>
      <c r="CR609" s="424">
        <f t="shared" si="1223"/>
        <v>0</v>
      </c>
      <c r="CS609" s="424">
        <f t="shared" si="1223"/>
        <v>0.02</v>
      </c>
      <c r="CT609" s="424">
        <f t="shared" si="1223"/>
        <v>0</v>
      </c>
      <c r="CU609" s="424">
        <f t="shared" si="1223"/>
        <v>0</v>
      </c>
      <c r="CV609" s="424">
        <f t="shared" si="1223"/>
        <v>0</v>
      </c>
      <c r="CW609" s="424">
        <f t="shared" si="1223"/>
        <v>0</v>
      </c>
      <c r="CX609" s="424">
        <f t="shared" si="1223"/>
        <v>0</v>
      </c>
      <c r="CY609" s="424">
        <f t="shared" si="1223"/>
        <v>0</v>
      </c>
      <c r="CZ609" s="424">
        <f t="shared" si="1223"/>
        <v>0</v>
      </c>
      <c r="DA609" s="424">
        <f t="shared" si="1223"/>
        <v>0</v>
      </c>
      <c r="DB609" s="424">
        <f t="shared" ref="DB609:EG609" si="1224">DB239*DB$372</f>
        <v>0</v>
      </c>
      <c r="DC609" s="424">
        <f t="shared" si="1224"/>
        <v>0.19</v>
      </c>
      <c r="DD609" s="424">
        <f t="shared" si="1224"/>
        <v>0</v>
      </c>
      <c r="DE609" s="424">
        <f t="shared" si="1224"/>
        <v>0</v>
      </c>
      <c r="DF609" s="424">
        <f t="shared" si="1224"/>
        <v>0</v>
      </c>
      <c r="DG609" s="424">
        <f t="shared" si="1224"/>
        <v>0</v>
      </c>
      <c r="DH609" s="424">
        <f t="shared" si="1224"/>
        <v>0</v>
      </c>
      <c r="DI609" s="424">
        <f t="shared" si="1224"/>
        <v>0</v>
      </c>
      <c r="DJ609" s="424">
        <f t="shared" si="1224"/>
        <v>0</v>
      </c>
      <c r="DK609" s="424">
        <f t="shared" si="1224"/>
        <v>0</v>
      </c>
      <c r="DL609" s="424">
        <f t="shared" si="1224"/>
        <v>0</v>
      </c>
      <c r="DM609" s="424">
        <f t="shared" si="1224"/>
        <v>0</v>
      </c>
      <c r="DN609" s="424">
        <f t="shared" si="1224"/>
        <v>0</v>
      </c>
      <c r="DO609" s="424">
        <f t="shared" si="1224"/>
        <v>0</v>
      </c>
      <c r="DP609" s="424">
        <f t="shared" si="1224"/>
        <v>0</v>
      </c>
      <c r="DQ609" s="424">
        <f t="shared" si="1224"/>
        <v>0</v>
      </c>
      <c r="DR609" s="424">
        <f t="shared" si="1224"/>
        <v>0</v>
      </c>
      <c r="DS609" s="424">
        <f t="shared" si="1224"/>
        <v>0</v>
      </c>
      <c r="DT609" s="424">
        <f t="shared" si="1224"/>
        <v>0</v>
      </c>
      <c r="DU609" s="424">
        <f t="shared" si="1224"/>
        <v>0</v>
      </c>
      <c r="DV609" s="424">
        <f t="shared" si="1224"/>
        <v>0</v>
      </c>
      <c r="DW609" s="424">
        <f t="shared" si="1224"/>
        <v>0</v>
      </c>
      <c r="DX609" s="424">
        <f t="shared" si="1224"/>
        <v>0</v>
      </c>
      <c r="DY609" s="424">
        <f t="shared" si="1224"/>
        <v>0</v>
      </c>
      <c r="DZ609" s="424">
        <f t="shared" si="1224"/>
        <v>0</v>
      </c>
      <c r="EA609" s="424">
        <f t="shared" si="1224"/>
        <v>0</v>
      </c>
      <c r="EB609" s="424">
        <f t="shared" si="1224"/>
        <v>0</v>
      </c>
      <c r="EC609" s="424">
        <f t="shared" si="1224"/>
        <v>0</v>
      </c>
      <c r="ED609" s="424">
        <f t="shared" si="1224"/>
        <v>0</v>
      </c>
      <c r="EE609" s="424">
        <f t="shared" si="1224"/>
        <v>0</v>
      </c>
      <c r="EF609" s="424">
        <f t="shared" si="1224"/>
        <v>0</v>
      </c>
      <c r="EG609" s="424">
        <f t="shared" si="1224"/>
        <v>0</v>
      </c>
      <c r="EH609" s="424">
        <f t="shared" ref="EH609:EX609" si="1225">EH239*EH$372</f>
        <v>0</v>
      </c>
      <c r="EI609" s="424">
        <f t="shared" si="1225"/>
        <v>0</v>
      </c>
      <c r="EJ609" s="424">
        <f t="shared" si="1225"/>
        <v>0</v>
      </c>
      <c r="EK609" s="424">
        <f t="shared" si="1225"/>
        <v>0</v>
      </c>
      <c r="EL609" s="424">
        <f t="shared" si="1225"/>
        <v>0</v>
      </c>
      <c r="EM609" s="424">
        <f t="shared" si="1225"/>
        <v>0</v>
      </c>
      <c r="EN609" s="424">
        <f t="shared" si="1225"/>
        <v>0</v>
      </c>
      <c r="EO609" s="424">
        <f t="shared" si="1225"/>
        <v>0</v>
      </c>
      <c r="EP609" s="424">
        <f t="shared" si="1225"/>
        <v>0</v>
      </c>
      <c r="EQ609" s="424">
        <f t="shared" si="1225"/>
        <v>0</v>
      </c>
      <c r="ER609" s="424">
        <f t="shared" si="1225"/>
        <v>0</v>
      </c>
      <c r="ES609" s="424">
        <f t="shared" si="1225"/>
        <v>0</v>
      </c>
      <c r="ET609" s="424">
        <f t="shared" si="1225"/>
        <v>0</v>
      </c>
      <c r="EU609" s="424">
        <f t="shared" si="1225"/>
        <v>0</v>
      </c>
      <c r="EV609" s="424">
        <f t="shared" si="1225"/>
        <v>0</v>
      </c>
      <c r="EW609" s="424">
        <f t="shared" si="1225"/>
        <v>0</v>
      </c>
      <c r="EX609" s="424">
        <f t="shared" si="1225"/>
        <v>0</v>
      </c>
      <c r="EY609" s="425">
        <f t="shared" si="1064"/>
        <v>157.19</v>
      </c>
      <c r="EZ609" s="616"/>
      <c r="FA609" s="616"/>
      <c r="FB609" s="616"/>
      <c r="FC609" s="616"/>
      <c r="FD609" s="616"/>
      <c r="FE609" s="616"/>
      <c r="FF609" s="616"/>
      <c r="FG609" s="616"/>
      <c r="FH609" s="616"/>
      <c r="FI609" s="616"/>
      <c r="FJ609" s="616"/>
    </row>
    <row r="610" spans="1:166" ht="14.7" customHeight="1" x14ac:dyDescent="0.25">
      <c r="A610" s="310">
        <v>236</v>
      </c>
      <c r="B610" s="311" t="str">
        <f t="shared" si="1005"/>
        <v>Соус сметанный</v>
      </c>
      <c r="C610" s="483">
        <f t="shared" si="1018"/>
        <v>61.41</v>
      </c>
      <c r="D610" s="888"/>
      <c r="E610" s="888"/>
      <c r="F610" s="888"/>
      <c r="G610" s="889"/>
      <c r="H610" s="680">
        <f t="shared" si="1175"/>
        <v>330</v>
      </c>
      <c r="I610" s="1209">
        <f t="shared" si="1007"/>
        <v>0</v>
      </c>
      <c r="J610" s="424">
        <f t="shared" ref="J610:AO610" si="1226">J240*J$372</f>
        <v>0</v>
      </c>
      <c r="K610" s="424">
        <f t="shared" si="1226"/>
        <v>0</v>
      </c>
      <c r="L610" s="424">
        <f t="shared" si="1226"/>
        <v>0</v>
      </c>
      <c r="M610" s="424">
        <f t="shared" si="1226"/>
        <v>0</v>
      </c>
      <c r="N610" s="424">
        <f t="shared" si="1226"/>
        <v>0</v>
      </c>
      <c r="O610" s="424">
        <f t="shared" si="1226"/>
        <v>0</v>
      </c>
      <c r="P610" s="424">
        <f t="shared" si="1226"/>
        <v>0</v>
      </c>
      <c r="Q610" s="424">
        <f t="shared" si="1226"/>
        <v>0</v>
      </c>
      <c r="R610" s="424">
        <f t="shared" si="1226"/>
        <v>0</v>
      </c>
      <c r="S610" s="424">
        <f t="shared" si="1226"/>
        <v>0</v>
      </c>
      <c r="T610" s="424">
        <f t="shared" si="1226"/>
        <v>0</v>
      </c>
      <c r="U610" s="424">
        <f t="shared" si="1226"/>
        <v>0</v>
      </c>
      <c r="V610" s="424">
        <f t="shared" si="1226"/>
        <v>0</v>
      </c>
      <c r="W610" s="424">
        <f t="shared" si="1226"/>
        <v>0</v>
      </c>
      <c r="X610" s="424">
        <f t="shared" si="1226"/>
        <v>0</v>
      </c>
      <c r="Y610" s="424">
        <f t="shared" si="1226"/>
        <v>58.5</v>
      </c>
      <c r="Z610" s="424">
        <f t="shared" si="1226"/>
        <v>0</v>
      </c>
      <c r="AA610" s="424">
        <f t="shared" si="1226"/>
        <v>0</v>
      </c>
      <c r="AB610" s="424">
        <f t="shared" si="1226"/>
        <v>0</v>
      </c>
      <c r="AC610" s="424">
        <f t="shared" si="1226"/>
        <v>0</v>
      </c>
      <c r="AD610" s="424">
        <f t="shared" si="1226"/>
        <v>0</v>
      </c>
      <c r="AE610" s="424">
        <f t="shared" si="1226"/>
        <v>0</v>
      </c>
      <c r="AF610" s="424">
        <f t="shared" si="1226"/>
        <v>0</v>
      </c>
      <c r="AG610" s="424">
        <f t="shared" si="1226"/>
        <v>0</v>
      </c>
      <c r="AH610" s="424">
        <f t="shared" si="1226"/>
        <v>0</v>
      </c>
      <c r="AI610" s="424">
        <f t="shared" si="1226"/>
        <v>0</v>
      </c>
      <c r="AJ610" s="424">
        <f t="shared" si="1226"/>
        <v>0</v>
      </c>
      <c r="AK610" s="424">
        <f t="shared" si="1226"/>
        <v>0</v>
      </c>
      <c r="AL610" s="424">
        <f t="shared" si="1226"/>
        <v>0</v>
      </c>
      <c r="AM610" s="424">
        <f t="shared" si="1226"/>
        <v>0</v>
      </c>
      <c r="AN610" s="424">
        <f t="shared" si="1226"/>
        <v>0</v>
      </c>
      <c r="AO610" s="424">
        <f t="shared" si="1226"/>
        <v>0</v>
      </c>
      <c r="AP610" s="424">
        <f t="shared" ref="AP610:BU610" si="1227">AP240*AP$372</f>
        <v>0</v>
      </c>
      <c r="AQ610" s="424">
        <f t="shared" si="1227"/>
        <v>0</v>
      </c>
      <c r="AR610" s="424">
        <f t="shared" si="1227"/>
        <v>0</v>
      </c>
      <c r="AS610" s="424">
        <f t="shared" si="1227"/>
        <v>0</v>
      </c>
      <c r="AT610" s="424">
        <f t="shared" si="1227"/>
        <v>0</v>
      </c>
      <c r="AU610" s="424">
        <f t="shared" si="1227"/>
        <v>0</v>
      </c>
      <c r="AV610" s="424">
        <f t="shared" si="1227"/>
        <v>0</v>
      </c>
      <c r="AW610" s="424">
        <f t="shared" si="1227"/>
        <v>0</v>
      </c>
      <c r="AX610" s="424">
        <f t="shared" si="1227"/>
        <v>0</v>
      </c>
      <c r="AY610" s="424">
        <f t="shared" si="1227"/>
        <v>0</v>
      </c>
      <c r="AZ610" s="424">
        <f t="shared" si="1227"/>
        <v>0</v>
      </c>
      <c r="BA610" s="424">
        <f t="shared" si="1227"/>
        <v>0</v>
      </c>
      <c r="BB610" s="424">
        <f t="shared" si="1227"/>
        <v>0</v>
      </c>
      <c r="BC610" s="424">
        <f t="shared" si="1227"/>
        <v>0</v>
      </c>
      <c r="BD610" s="424">
        <f t="shared" si="1227"/>
        <v>0</v>
      </c>
      <c r="BE610" s="424">
        <f t="shared" si="1227"/>
        <v>0</v>
      </c>
      <c r="BF610" s="424">
        <f t="shared" si="1227"/>
        <v>0</v>
      </c>
      <c r="BG610" s="424">
        <f t="shared" si="1227"/>
        <v>0</v>
      </c>
      <c r="BH610" s="424">
        <f t="shared" si="1227"/>
        <v>0</v>
      </c>
      <c r="BI610" s="424">
        <f t="shared" si="1227"/>
        <v>0</v>
      </c>
      <c r="BJ610" s="424">
        <f t="shared" si="1227"/>
        <v>0</v>
      </c>
      <c r="BK610" s="424">
        <f t="shared" si="1227"/>
        <v>0</v>
      </c>
      <c r="BL610" s="424">
        <f t="shared" si="1227"/>
        <v>0</v>
      </c>
      <c r="BM610" s="424">
        <f t="shared" si="1227"/>
        <v>0</v>
      </c>
      <c r="BN610" s="424">
        <f t="shared" si="1227"/>
        <v>0</v>
      </c>
      <c r="BO610" s="424">
        <f t="shared" si="1227"/>
        <v>0</v>
      </c>
      <c r="BP610" s="424">
        <f t="shared" si="1227"/>
        <v>0</v>
      </c>
      <c r="BQ610" s="424">
        <f t="shared" si="1227"/>
        <v>0</v>
      </c>
      <c r="BR610" s="424">
        <f t="shared" si="1227"/>
        <v>0</v>
      </c>
      <c r="BS610" s="424">
        <f t="shared" si="1227"/>
        <v>2.7</v>
      </c>
      <c r="BT610" s="424">
        <f t="shared" si="1227"/>
        <v>0</v>
      </c>
      <c r="BU610" s="424">
        <f t="shared" si="1227"/>
        <v>0</v>
      </c>
      <c r="BV610" s="424">
        <f t="shared" ref="BV610:DA610" si="1228">BV240*BV$372</f>
        <v>0</v>
      </c>
      <c r="BW610" s="424">
        <f t="shared" si="1228"/>
        <v>0</v>
      </c>
      <c r="BX610" s="424">
        <f t="shared" si="1228"/>
        <v>0</v>
      </c>
      <c r="BY610" s="424">
        <f t="shared" si="1228"/>
        <v>0</v>
      </c>
      <c r="BZ610" s="424">
        <f t="shared" si="1228"/>
        <v>0</v>
      </c>
      <c r="CA610" s="424">
        <f t="shared" si="1228"/>
        <v>0</v>
      </c>
      <c r="CB610" s="424">
        <f t="shared" si="1228"/>
        <v>0</v>
      </c>
      <c r="CC610" s="424">
        <f t="shared" si="1228"/>
        <v>0</v>
      </c>
      <c r="CD610" s="424">
        <f t="shared" si="1228"/>
        <v>0</v>
      </c>
      <c r="CE610" s="424">
        <f t="shared" si="1228"/>
        <v>0</v>
      </c>
      <c r="CF610" s="424">
        <f t="shared" si="1228"/>
        <v>0</v>
      </c>
      <c r="CG610" s="424">
        <f t="shared" si="1228"/>
        <v>0</v>
      </c>
      <c r="CH610" s="424">
        <f t="shared" si="1228"/>
        <v>0</v>
      </c>
      <c r="CI610" s="424">
        <f t="shared" si="1228"/>
        <v>0</v>
      </c>
      <c r="CJ610" s="424">
        <f t="shared" si="1228"/>
        <v>0</v>
      </c>
      <c r="CK610" s="424">
        <f t="shared" si="1228"/>
        <v>0</v>
      </c>
      <c r="CL610" s="424">
        <f t="shared" si="1228"/>
        <v>0</v>
      </c>
      <c r="CM610" s="424">
        <f t="shared" si="1228"/>
        <v>0</v>
      </c>
      <c r="CN610" s="424">
        <f t="shared" si="1228"/>
        <v>0</v>
      </c>
      <c r="CO610" s="424">
        <f t="shared" si="1228"/>
        <v>0</v>
      </c>
      <c r="CP610" s="424">
        <f t="shared" si="1228"/>
        <v>0</v>
      </c>
      <c r="CQ610" s="424">
        <f t="shared" si="1228"/>
        <v>0</v>
      </c>
      <c r="CR610" s="424">
        <f t="shared" si="1228"/>
        <v>0</v>
      </c>
      <c r="CS610" s="424">
        <f t="shared" si="1228"/>
        <v>0.02</v>
      </c>
      <c r="CT610" s="424">
        <f t="shared" si="1228"/>
        <v>0</v>
      </c>
      <c r="CU610" s="424">
        <f t="shared" si="1228"/>
        <v>0</v>
      </c>
      <c r="CV610" s="424">
        <f t="shared" si="1228"/>
        <v>0</v>
      </c>
      <c r="CW610" s="424">
        <f t="shared" si="1228"/>
        <v>0</v>
      </c>
      <c r="CX610" s="424">
        <f t="shared" si="1228"/>
        <v>0</v>
      </c>
      <c r="CY610" s="424">
        <f t="shared" si="1228"/>
        <v>0</v>
      </c>
      <c r="CZ610" s="424">
        <f t="shared" si="1228"/>
        <v>0</v>
      </c>
      <c r="DA610" s="424">
        <f t="shared" si="1228"/>
        <v>0</v>
      </c>
      <c r="DB610" s="424">
        <f t="shared" ref="DB610:EG610" si="1229">DB240*DB$372</f>
        <v>0</v>
      </c>
      <c r="DC610" s="424">
        <f t="shared" si="1229"/>
        <v>0.19</v>
      </c>
      <c r="DD610" s="424">
        <f t="shared" si="1229"/>
        <v>0</v>
      </c>
      <c r="DE610" s="424">
        <f t="shared" si="1229"/>
        <v>0</v>
      </c>
      <c r="DF610" s="424">
        <f t="shared" si="1229"/>
        <v>0</v>
      </c>
      <c r="DG610" s="424">
        <f t="shared" si="1229"/>
        <v>0</v>
      </c>
      <c r="DH610" s="424">
        <f t="shared" si="1229"/>
        <v>0</v>
      </c>
      <c r="DI610" s="424">
        <f t="shared" si="1229"/>
        <v>0</v>
      </c>
      <c r="DJ610" s="424">
        <f t="shared" si="1229"/>
        <v>0</v>
      </c>
      <c r="DK610" s="424">
        <f t="shared" si="1229"/>
        <v>0</v>
      </c>
      <c r="DL610" s="424">
        <f t="shared" si="1229"/>
        <v>0</v>
      </c>
      <c r="DM610" s="424">
        <f t="shared" si="1229"/>
        <v>0</v>
      </c>
      <c r="DN610" s="424">
        <f t="shared" si="1229"/>
        <v>0</v>
      </c>
      <c r="DO610" s="424">
        <f t="shared" si="1229"/>
        <v>0</v>
      </c>
      <c r="DP610" s="424">
        <f t="shared" si="1229"/>
        <v>0</v>
      </c>
      <c r="DQ610" s="424">
        <f t="shared" si="1229"/>
        <v>0</v>
      </c>
      <c r="DR610" s="424">
        <f t="shared" si="1229"/>
        <v>0</v>
      </c>
      <c r="DS610" s="424">
        <f t="shared" si="1229"/>
        <v>0</v>
      </c>
      <c r="DT610" s="424">
        <f t="shared" si="1229"/>
        <v>0</v>
      </c>
      <c r="DU610" s="424">
        <f t="shared" si="1229"/>
        <v>0</v>
      </c>
      <c r="DV610" s="424">
        <f t="shared" si="1229"/>
        <v>0</v>
      </c>
      <c r="DW610" s="424">
        <f t="shared" si="1229"/>
        <v>0</v>
      </c>
      <c r="DX610" s="424">
        <f t="shared" si="1229"/>
        <v>0</v>
      </c>
      <c r="DY610" s="424">
        <f t="shared" si="1229"/>
        <v>0</v>
      </c>
      <c r="DZ610" s="424">
        <f t="shared" si="1229"/>
        <v>0</v>
      </c>
      <c r="EA610" s="424">
        <f t="shared" si="1229"/>
        <v>0</v>
      </c>
      <c r="EB610" s="424">
        <f t="shared" si="1229"/>
        <v>0</v>
      </c>
      <c r="EC610" s="424">
        <f t="shared" si="1229"/>
        <v>0</v>
      </c>
      <c r="ED610" s="424">
        <f t="shared" si="1229"/>
        <v>0</v>
      </c>
      <c r="EE610" s="424">
        <f t="shared" si="1229"/>
        <v>0</v>
      </c>
      <c r="EF610" s="424">
        <f t="shared" si="1229"/>
        <v>0</v>
      </c>
      <c r="EG610" s="424">
        <f t="shared" si="1229"/>
        <v>0</v>
      </c>
      <c r="EH610" s="424">
        <f t="shared" ref="EH610:EX610" si="1230">EH240*EH$372</f>
        <v>0</v>
      </c>
      <c r="EI610" s="424">
        <f t="shared" si="1230"/>
        <v>0</v>
      </c>
      <c r="EJ610" s="424">
        <f t="shared" si="1230"/>
        <v>0</v>
      </c>
      <c r="EK610" s="424">
        <f t="shared" si="1230"/>
        <v>0</v>
      </c>
      <c r="EL610" s="424">
        <f t="shared" si="1230"/>
        <v>0</v>
      </c>
      <c r="EM610" s="424">
        <f t="shared" si="1230"/>
        <v>0</v>
      </c>
      <c r="EN610" s="424">
        <f t="shared" si="1230"/>
        <v>0</v>
      </c>
      <c r="EO610" s="424">
        <f t="shared" si="1230"/>
        <v>0</v>
      </c>
      <c r="EP610" s="424">
        <f t="shared" si="1230"/>
        <v>0</v>
      </c>
      <c r="EQ610" s="424">
        <f t="shared" si="1230"/>
        <v>0</v>
      </c>
      <c r="ER610" s="424">
        <f t="shared" si="1230"/>
        <v>0</v>
      </c>
      <c r="ES610" s="424">
        <f t="shared" si="1230"/>
        <v>0</v>
      </c>
      <c r="ET610" s="424">
        <f t="shared" si="1230"/>
        <v>0</v>
      </c>
      <c r="EU610" s="424">
        <f t="shared" si="1230"/>
        <v>0</v>
      </c>
      <c r="EV610" s="424">
        <f t="shared" si="1230"/>
        <v>0</v>
      </c>
      <c r="EW610" s="424">
        <f t="shared" si="1230"/>
        <v>0</v>
      </c>
      <c r="EX610" s="424">
        <f t="shared" si="1230"/>
        <v>0</v>
      </c>
      <c r="EY610" s="425">
        <f t="shared" si="1064"/>
        <v>61.41</v>
      </c>
    </row>
    <row r="611" spans="1:166" s="467" customFormat="1" ht="14.7" customHeight="1" x14ac:dyDescent="0.25">
      <c r="A611" s="310">
        <v>237</v>
      </c>
      <c r="B611" s="311" t="str">
        <f t="shared" si="1005"/>
        <v>Соус сметанный</v>
      </c>
      <c r="C611" s="483">
        <f t="shared" si="1018"/>
        <v>6.14</v>
      </c>
      <c r="D611" s="888"/>
      <c r="E611" s="888"/>
      <c r="F611" s="888"/>
      <c r="G611" s="889"/>
      <c r="H611" s="680">
        <f t="shared" si="1175"/>
        <v>330</v>
      </c>
      <c r="I611" s="1209">
        <f t="shared" si="1007"/>
        <v>0</v>
      </c>
      <c r="J611" s="424">
        <f t="shared" ref="J611:AO611" si="1231">J241*J$372</f>
        <v>0</v>
      </c>
      <c r="K611" s="424">
        <f t="shared" si="1231"/>
        <v>0</v>
      </c>
      <c r="L611" s="424">
        <f t="shared" si="1231"/>
        <v>0</v>
      </c>
      <c r="M611" s="424">
        <f t="shared" si="1231"/>
        <v>0</v>
      </c>
      <c r="N611" s="424">
        <f t="shared" si="1231"/>
        <v>0</v>
      </c>
      <c r="O611" s="424">
        <f t="shared" si="1231"/>
        <v>0</v>
      </c>
      <c r="P611" s="424">
        <f t="shared" si="1231"/>
        <v>0</v>
      </c>
      <c r="Q611" s="424">
        <f t="shared" si="1231"/>
        <v>0</v>
      </c>
      <c r="R611" s="424">
        <f t="shared" si="1231"/>
        <v>0</v>
      </c>
      <c r="S611" s="424">
        <f t="shared" si="1231"/>
        <v>0</v>
      </c>
      <c r="T611" s="424">
        <f t="shared" si="1231"/>
        <v>0</v>
      </c>
      <c r="U611" s="424">
        <f t="shared" si="1231"/>
        <v>0</v>
      </c>
      <c r="V611" s="424">
        <f t="shared" si="1231"/>
        <v>0</v>
      </c>
      <c r="W611" s="424">
        <f t="shared" si="1231"/>
        <v>0</v>
      </c>
      <c r="X611" s="424">
        <f t="shared" si="1231"/>
        <v>0</v>
      </c>
      <c r="Y611" s="424">
        <f t="shared" si="1231"/>
        <v>5.85</v>
      </c>
      <c r="Z611" s="424">
        <f t="shared" si="1231"/>
        <v>0</v>
      </c>
      <c r="AA611" s="424">
        <f t="shared" si="1231"/>
        <v>0</v>
      </c>
      <c r="AB611" s="424">
        <f t="shared" si="1231"/>
        <v>0</v>
      </c>
      <c r="AC611" s="424">
        <f t="shared" si="1231"/>
        <v>0</v>
      </c>
      <c r="AD611" s="424">
        <f t="shared" si="1231"/>
        <v>0</v>
      </c>
      <c r="AE611" s="424">
        <f t="shared" si="1231"/>
        <v>0</v>
      </c>
      <c r="AF611" s="424">
        <f t="shared" si="1231"/>
        <v>0</v>
      </c>
      <c r="AG611" s="424">
        <f t="shared" si="1231"/>
        <v>0</v>
      </c>
      <c r="AH611" s="424">
        <f t="shared" si="1231"/>
        <v>0</v>
      </c>
      <c r="AI611" s="424">
        <f t="shared" si="1231"/>
        <v>0</v>
      </c>
      <c r="AJ611" s="424">
        <f t="shared" si="1231"/>
        <v>0</v>
      </c>
      <c r="AK611" s="424">
        <f t="shared" si="1231"/>
        <v>0</v>
      </c>
      <c r="AL611" s="424">
        <f t="shared" si="1231"/>
        <v>0</v>
      </c>
      <c r="AM611" s="424">
        <f t="shared" si="1231"/>
        <v>0</v>
      </c>
      <c r="AN611" s="424">
        <f t="shared" si="1231"/>
        <v>0</v>
      </c>
      <c r="AO611" s="424">
        <f t="shared" si="1231"/>
        <v>0</v>
      </c>
      <c r="AP611" s="424">
        <f t="shared" ref="AP611:BU611" si="1232">AP241*AP$372</f>
        <v>0</v>
      </c>
      <c r="AQ611" s="424">
        <f t="shared" si="1232"/>
        <v>0</v>
      </c>
      <c r="AR611" s="424">
        <f t="shared" si="1232"/>
        <v>0</v>
      </c>
      <c r="AS611" s="424">
        <f t="shared" si="1232"/>
        <v>0</v>
      </c>
      <c r="AT611" s="424">
        <f t="shared" si="1232"/>
        <v>0</v>
      </c>
      <c r="AU611" s="424">
        <f t="shared" si="1232"/>
        <v>0</v>
      </c>
      <c r="AV611" s="424">
        <f t="shared" si="1232"/>
        <v>0</v>
      </c>
      <c r="AW611" s="424">
        <f t="shared" si="1232"/>
        <v>0</v>
      </c>
      <c r="AX611" s="424">
        <f t="shared" si="1232"/>
        <v>0</v>
      </c>
      <c r="AY611" s="424">
        <f t="shared" si="1232"/>
        <v>0</v>
      </c>
      <c r="AZ611" s="424">
        <f t="shared" si="1232"/>
        <v>0</v>
      </c>
      <c r="BA611" s="424">
        <f t="shared" si="1232"/>
        <v>0</v>
      </c>
      <c r="BB611" s="424">
        <f t="shared" si="1232"/>
        <v>0</v>
      </c>
      <c r="BC611" s="424">
        <f t="shared" si="1232"/>
        <v>0</v>
      </c>
      <c r="BD611" s="424">
        <f t="shared" si="1232"/>
        <v>0</v>
      </c>
      <c r="BE611" s="424">
        <f t="shared" si="1232"/>
        <v>0</v>
      </c>
      <c r="BF611" s="424">
        <f t="shared" si="1232"/>
        <v>0</v>
      </c>
      <c r="BG611" s="424">
        <f t="shared" si="1232"/>
        <v>0</v>
      </c>
      <c r="BH611" s="424">
        <f t="shared" si="1232"/>
        <v>0</v>
      </c>
      <c r="BI611" s="424">
        <f t="shared" si="1232"/>
        <v>0</v>
      </c>
      <c r="BJ611" s="424">
        <f t="shared" si="1232"/>
        <v>0</v>
      </c>
      <c r="BK611" s="424">
        <f t="shared" si="1232"/>
        <v>0</v>
      </c>
      <c r="BL611" s="424">
        <f t="shared" si="1232"/>
        <v>0</v>
      </c>
      <c r="BM611" s="424">
        <f t="shared" si="1232"/>
        <v>0</v>
      </c>
      <c r="BN611" s="424">
        <f t="shared" si="1232"/>
        <v>0</v>
      </c>
      <c r="BO611" s="424">
        <f t="shared" si="1232"/>
        <v>0</v>
      </c>
      <c r="BP611" s="424">
        <f t="shared" si="1232"/>
        <v>0</v>
      </c>
      <c r="BQ611" s="424">
        <f t="shared" si="1232"/>
        <v>0</v>
      </c>
      <c r="BR611" s="424">
        <f t="shared" si="1232"/>
        <v>0</v>
      </c>
      <c r="BS611" s="424">
        <f t="shared" si="1232"/>
        <v>0.27</v>
      </c>
      <c r="BT611" s="424">
        <f t="shared" si="1232"/>
        <v>0</v>
      </c>
      <c r="BU611" s="424">
        <f t="shared" si="1232"/>
        <v>0</v>
      </c>
      <c r="BV611" s="424">
        <f t="shared" ref="BV611:DA611" si="1233">BV241*BV$372</f>
        <v>0</v>
      </c>
      <c r="BW611" s="424">
        <f t="shared" si="1233"/>
        <v>0</v>
      </c>
      <c r="BX611" s="424">
        <f t="shared" si="1233"/>
        <v>0</v>
      </c>
      <c r="BY611" s="424">
        <f t="shared" si="1233"/>
        <v>0</v>
      </c>
      <c r="BZ611" s="424">
        <f t="shared" si="1233"/>
        <v>0</v>
      </c>
      <c r="CA611" s="424">
        <f t="shared" si="1233"/>
        <v>0</v>
      </c>
      <c r="CB611" s="424">
        <f t="shared" si="1233"/>
        <v>0</v>
      </c>
      <c r="CC611" s="424">
        <f t="shared" si="1233"/>
        <v>0</v>
      </c>
      <c r="CD611" s="424">
        <f t="shared" si="1233"/>
        <v>0</v>
      </c>
      <c r="CE611" s="424">
        <f t="shared" si="1233"/>
        <v>0</v>
      </c>
      <c r="CF611" s="424">
        <f t="shared" si="1233"/>
        <v>0</v>
      </c>
      <c r="CG611" s="424">
        <f t="shared" si="1233"/>
        <v>0</v>
      </c>
      <c r="CH611" s="424">
        <f t="shared" si="1233"/>
        <v>0</v>
      </c>
      <c r="CI611" s="424">
        <f t="shared" si="1233"/>
        <v>0</v>
      </c>
      <c r="CJ611" s="424">
        <f t="shared" si="1233"/>
        <v>0</v>
      </c>
      <c r="CK611" s="424">
        <f t="shared" si="1233"/>
        <v>0</v>
      </c>
      <c r="CL611" s="424">
        <f t="shared" si="1233"/>
        <v>0</v>
      </c>
      <c r="CM611" s="424">
        <f t="shared" si="1233"/>
        <v>0</v>
      </c>
      <c r="CN611" s="424">
        <f t="shared" si="1233"/>
        <v>0</v>
      </c>
      <c r="CO611" s="424">
        <f t="shared" si="1233"/>
        <v>0</v>
      </c>
      <c r="CP611" s="424">
        <f t="shared" si="1233"/>
        <v>0</v>
      </c>
      <c r="CQ611" s="424">
        <f t="shared" si="1233"/>
        <v>0</v>
      </c>
      <c r="CR611" s="424">
        <f t="shared" si="1233"/>
        <v>0</v>
      </c>
      <c r="CS611" s="424">
        <f t="shared" si="1233"/>
        <v>0</v>
      </c>
      <c r="CT611" s="424">
        <f t="shared" si="1233"/>
        <v>0</v>
      </c>
      <c r="CU611" s="424">
        <f t="shared" si="1233"/>
        <v>0</v>
      </c>
      <c r="CV611" s="424">
        <f t="shared" si="1233"/>
        <v>0</v>
      </c>
      <c r="CW611" s="424">
        <f t="shared" si="1233"/>
        <v>0</v>
      </c>
      <c r="CX611" s="424">
        <f t="shared" si="1233"/>
        <v>0</v>
      </c>
      <c r="CY611" s="424">
        <f t="shared" si="1233"/>
        <v>0</v>
      </c>
      <c r="CZ611" s="424">
        <f t="shared" si="1233"/>
        <v>0</v>
      </c>
      <c r="DA611" s="424">
        <f t="shared" si="1233"/>
        <v>0</v>
      </c>
      <c r="DB611" s="424">
        <f t="shared" ref="DB611:EG611" si="1234">DB241*DB$372</f>
        <v>0</v>
      </c>
      <c r="DC611" s="424">
        <f t="shared" si="1234"/>
        <v>0.02</v>
      </c>
      <c r="DD611" s="424">
        <f t="shared" si="1234"/>
        <v>0</v>
      </c>
      <c r="DE611" s="424">
        <f t="shared" si="1234"/>
        <v>0</v>
      </c>
      <c r="DF611" s="424">
        <f t="shared" si="1234"/>
        <v>0</v>
      </c>
      <c r="DG611" s="424">
        <f t="shared" si="1234"/>
        <v>0</v>
      </c>
      <c r="DH611" s="424">
        <f t="shared" si="1234"/>
        <v>0</v>
      </c>
      <c r="DI611" s="424">
        <f t="shared" si="1234"/>
        <v>0</v>
      </c>
      <c r="DJ611" s="424">
        <f t="shared" si="1234"/>
        <v>0</v>
      </c>
      <c r="DK611" s="424">
        <f t="shared" si="1234"/>
        <v>0</v>
      </c>
      <c r="DL611" s="424">
        <f t="shared" si="1234"/>
        <v>0</v>
      </c>
      <c r="DM611" s="424">
        <f t="shared" si="1234"/>
        <v>0</v>
      </c>
      <c r="DN611" s="424">
        <f t="shared" si="1234"/>
        <v>0</v>
      </c>
      <c r="DO611" s="424">
        <f t="shared" si="1234"/>
        <v>0</v>
      </c>
      <c r="DP611" s="424">
        <f t="shared" si="1234"/>
        <v>0</v>
      </c>
      <c r="DQ611" s="424">
        <f t="shared" si="1234"/>
        <v>0</v>
      </c>
      <c r="DR611" s="424">
        <f t="shared" si="1234"/>
        <v>0</v>
      </c>
      <c r="DS611" s="424">
        <f t="shared" si="1234"/>
        <v>0</v>
      </c>
      <c r="DT611" s="424">
        <f t="shared" si="1234"/>
        <v>0</v>
      </c>
      <c r="DU611" s="424">
        <f t="shared" si="1234"/>
        <v>0</v>
      </c>
      <c r="DV611" s="424">
        <f t="shared" si="1234"/>
        <v>0</v>
      </c>
      <c r="DW611" s="424">
        <f t="shared" si="1234"/>
        <v>0</v>
      </c>
      <c r="DX611" s="424">
        <f t="shared" si="1234"/>
        <v>0</v>
      </c>
      <c r="DY611" s="424">
        <f t="shared" si="1234"/>
        <v>0</v>
      </c>
      <c r="DZ611" s="424">
        <f t="shared" si="1234"/>
        <v>0</v>
      </c>
      <c r="EA611" s="424">
        <f t="shared" si="1234"/>
        <v>0</v>
      </c>
      <c r="EB611" s="424">
        <f t="shared" si="1234"/>
        <v>0</v>
      </c>
      <c r="EC611" s="424">
        <f t="shared" si="1234"/>
        <v>0</v>
      </c>
      <c r="ED611" s="424">
        <f t="shared" si="1234"/>
        <v>0</v>
      </c>
      <c r="EE611" s="424">
        <f t="shared" si="1234"/>
        <v>0</v>
      </c>
      <c r="EF611" s="424">
        <f t="shared" si="1234"/>
        <v>0</v>
      </c>
      <c r="EG611" s="424">
        <f t="shared" si="1234"/>
        <v>0</v>
      </c>
      <c r="EH611" s="424">
        <f t="shared" ref="EH611:EX611" si="1235">EH241*EH$372</f>
        <v>0</v>
      </c>
      <c r="EI611" s="424">
        <f t="shared" si="1235"/>
        <v>0</v>
      </c>
      <c r="EJ611" s="424">
        <f t="shared" si="1235"/>
        <v>0</v>
      </c>
      <c r="EK611" s="424">
        <f t="shared" si="1235"/>
        <v>0</v>
      </c>
      <c r="EL611" s="424">
        <f t="shared" si="1235"/>
        <v>0</v>
      </c>
      <c r="EM611" s="424">
        <f t="shared" si="1235"/>
        <v>0</v>
      </c>
      <c r="EN611" s="424">
        <f t="shared" si="1235"/>
        <v>0</v>
      </c>
      <c r="EO611" s="424">
        <f t="shared" si="1235"/>
        <v>0</v>
      </c>
      <c r="EP611" s="424">
        <f t="shared" si="1235"/>
        <v>0</v>
      </c>
      <c r="EQ611" s="424">
        <f t="shared" si="1235"/>
        <v>0</v>
      </c>
      <c r="ER611" s="424">
        <f t="shared" si="1235"/>
        <v>0</v>
      </c>
      <c r="ES611" s="424">
        <f t="shared" si="1235"/>
        <v>0</v>
      </c>
      <c r="ET611" s="424">
        <f t="shared" si="1235"/>
        <v>0</v>
      </c>
      <c r="EU611" s="424">
        <f t="shared" si="1235"/>
        <v>0</v>
      </c>
      <c r="EV611" s="424">
        <f t="shared" si="1235"/>
        <v>0</v>
      </c>
      <c r="EW611" s="424">
        <f t="shared" si="1235"/>
        <v>0</v>
      </c>
      <c r="EX611" s="424">
        <f t="shared" si="1235"/>
        <v>0</v>
      </c>
      <c r="EY611" s="425">
        <f t="shared" si="1064"/>
        <v>6.14</v>
      </c>
      <c r="EZ611" s="616"/>
      <c r="FA611" s="616"/>
      <c r="FB611" s="616"/>
      <c r="FC611" s="616"/>
      <c r="FD611" s="616"/>
      <c r="FE611" s="616"/>
      <c r="FF611" s="616"/>
      <c r="FG611" s="616"/>
      <c r="FH611" s="616"/>
      <c r="FI611" s="616"/>
      <c r="FJ611" s="616"/>
    </row>
    <row r="612" spans="1:166" s="467" customFormat="1" ht="14.7" customHeight="1" x14ac:dyDescent="0.25">
      <c r="A612" s="310">
        <v>238</v>
      </c>
      <c r="B612" s="311" t="str">
        <f t="shared" si="1005"/>
        <v>Соус сметанный</v>
      </c>
      <c r="C612" s="483">
        <f t="shared" si="1018"/>
        <v>3.08</v>
      </c>
      <c r="D612" s="888"/>
      <c r="E612" s="888"/>
      <c r="F612" s="888"/>
      <c r="G612" s="889"/>
      <c r="H612" s="680">
        <f t="shared" si="1175"/>
        <v>330</v>
      </c>
      <c r="I612" s="1209">
        <f t="shared" si="1007"/>
        <v>-0.01</v>
      </c>
      <c r="J612" s="424">
        <f t="shared" ref="J612:AO612" si="1236">J242*J$372</f>
        <v>0</v>
      </c>
      <c r="K612" s="424">
        <f t="shared" si="1236"/>
        <v>0</v>
      </c>
      <c r="L612" s="424">
        <f t="shared" si="1236"/>
        <v>0</v>
      </c>
      <c r="M612" s="424">
        <f t="shared" si="1236"/>
        <v>0</v>
      </c>
      <c r="N612" s="424">
        <f t="shared" si="1236"/>
        <v>0</v>
      </c>
      <c r="O612" s="424">
        <f t="shared" si="1236"/>
        <v>0</v>
      </c>
      <c r="P612" s="424">
        <f t="shared" si="1236"/>
        <v>0</v>
      </c>
      <c r="Q612" s="424">
        <f t="shared" si="1236"/>
        <v>0</v>
      </c>
      <c r="R612" s="424">
        <f t="shared" si="1236"/>
        <v>0</v>
      </c>
      <c r="S612" s="424">
        <f t="shared" si="1236"/>
        <v>0</v>
      </c>
      <c r="T612" s="424">
        <f t="shared" si="1236"/>
        <v>0</v>
      </c>
      <c r="U612" s="424">
        <f t="shared" si="1236"/>
        <v>0</v>
      </c>
      <c r="V612" s="424">
        <f t="shared" si="1236"/>
        <v>0</v>
      </c>
      <c r="W612" s="424">
        <f t="shared" si="1236"/>
        <v>0</v>
      </c>
      <c r="X612" s="424">
        <f t="shared" si="1236"/>
        <v>0</v>
      </c>
      <c r="Y612" s="424">
        <f t="shared" si="1236"/>
        <v>2.93</v>
      </c>
      <c r="Z612" s="424">
        <f t="shared" si="1236"/>
        <v>0</v>
      </c>
      <c r="AA612" s="424">
        <f t="shared" si="1236"/>
        <v>0</v>
      </c>
      <c r="AB612" s="424">
        <f t="shared" si="1236"/>
        <v>0</v>
      </c>
      <c r="AC612" s="424">
        <f t="shared" si="1236"/>
        <v>0</v>
      </c>
      <c r="AD612" s="424">
        <f t="shared" si="1236"/>
        <v>0</v>
      </c>
      <c r="AE612" s="424">
        <f t="shared" si="1236"/>
        <v>0</v>
      </c>
      <c r="AF612" s="424">
        <f t="shared" si="1236"/>
        <v>0</v>
      </c>
      <c r="AG612" s="424">
        <f t="shared" si="1236"/>
        <v>0</v>
      </c>
      <c r="AH612" s="424">
        <f t="shared" si="1236"/>
        <v>0</v>
      </c>
      <c r="AI612" s="424">
        <f t="shared" si="1236"/>
        <v>0</v>
      </c>
      <c r="AJ612" s="424">
        <f t="shared" si="1236"/>
        <v>0</v>
      </c>
      <c r="AK612" s="424">
        <f t="shared" si="1236"/>
        <v>0</v>
      </c>
      <c r="AL612" s="424">
        <f t="shared" si="1236"/>
        <v>0</v>
      </c>
      <c r="AM612" s="424">
        <f t="shared" si="1236"/>
        <v>0</v>
      </c>
      <c r="AN612" s="424">
        <f t="shared" si="1236"/>
        <v>0</v>
      </c>
      <c r="AO612" s="424">
        <f t="shared" si="1236"/>
        <v>0</v>
      </c>
      <c r="AP612" s="424">
        <f t="shared" ref="AP612:BU612" si="1237">AP242*AP$372</f>
        <v>0</v>
      </c>
      <c r="AQ612" s="424">
        <f t="shared" si="1237"/>
        <v>0</v>
      </c>
      <c r="AR612" s="424">
        <f t="shared" si="1237"/>
        <v>0</v>
      </c>
      <c r="AS612" s="424">
        <f t="shared" si="1237"/>
        <v>0</v>
      </c>
      <c r="AT612" s="424">
        <f t="shared" si="1237"/>
        <v>0</v>
      </c>
      <c r="AU612" s="424">
        <f t="shared" si="1237"/>
        <v>0</v>
      </c>
      <c r="AV612" s="424">
        <f t="shared" si="1237"/>
        <v>0</v>
      </c>
      <c r="AW612" s="424">
        <f t="shared" si="1237"/>
        <v>0</v>
      </c>
      <c r="AX612" s="424">
        <f t="shared" si="1237"/>
        <v>0</v>
      </c>
      <c r="AY612" s="424">
        <f t="shared" si="1237"/>
        <v>0</v>
      </c>
      <c r="AZ612" s="424">
        <f t="shared" si="1237"/>
        <v>0</v>
      </c>
      <c r="BA612" s="424">
        <f t="shared" si="1237"/>
        <v>0</v>
      </c>
      <c r="BB612" s="424">
        <f t="shared" si="1237"/>
        <v>0</v>
      </c>
      <c r="BC612" s="424">
        <f t="shared" si="1237"/>
        <v>0</v>
      </c>
      <c r="BD612" s="424">
        <f t="shared" si="1237"/>
        <v>0</v>
      </c>
      <c r="BE612" s="424">
        <f t="shared" si="1237"/>
        <v>0</v>
      </c>
      <c r="BF612" s="424">
        <f t="shared" si="1237"/>
        <v>0</v>
      </c>
      <c r="BG612" s="424">
        <f t="shared" si="1237"/>
        <v>0</v>
      </c>
      <c r="BH612" s="424">
        <f t="shared" si="1237"/>
        <v>0</v>
      </c>
      <c r="BI612" s="424">
        <f t="shared" si="1237"/>
        <v>0</v>
      </c>
      <c r="BJ612" s="424">
        <f t="shared" si="1237"/>
        <v>0</v>
      </c>
      <c r="BK612" s="424">
        <f t="shared" si="1237"/>
        <v>0</v>
      </c>
      <c r="BL612" s="424">
        <f t="shared" si="1237"/>
        <v>0</v>
      </c>
      <c r="BM612" s="424">
        <f t="shared" si="1237"/>
        <v>0</v>
      </c>
      <c r="BN612" s="424">
        <f t="shared" si="1237"/>
        <v>0</v>
      </c>
      <c r="BO612" s="424">
        <f t="shared" si="1237"/>
        <v>0</v>
      </c>
      <c r="BP612" s="424">
        <f t="shared" si="1237"/>
        <v>0</v>
      </c>
      <c r="BQ612" s="424">
        <f t="shared" si="1237"/>
        <v>0</v>
      </c>
      <c r="BR612" s="424">
        <f t="shared" si="1237"/>
        <v>0</v>
      </c>
      <c r="BS612" s="424">
        <f t="shared" si="1237"/>
        <v>0.14000000000000001</v>
      </c>
      <c r="BT612" s="424">
        <f t="shared" si="1237"/>
        <v>0</v>
      </c>
      <c r="BU612" s="424">
        <f t="shared" si="1237"/>
        <v>0</v>
      </c>
      <c r="BV612" s="424">
        <f t="shared" ref="BV612:DA612" si="1238">BV242*BV$372</f>
        <v>0</v>
      </c>
      <c r="BW612" s="424">
        <f t="shared" si="1238"/>
        <v>0</v>
      </c>
      <c r="BX612" s="424">
        <f t="shared" si="1238"/>
        <v>0</v>
      </c>
      <c r="BY612" s="424">
        <f t="shared" si="1238"/>
        <v>0</v>
      </c>
      <c r="BZ612" s="424">
        <f t="shared" si="1238"/>
        <v>0</v>
      </c>
      <c r="CA612" s="424">
        <f t="shared" si="1238"/>
        <v>0</v>
      </c>
      <c r="CB612" s="424">
        <f t="shared" si="1238"/>
        <v>0</v>
      </c>
      <c r="CC612" s="424">
        <f t="shared" si="1238"/>
        <v>0</v>
      </c>
      <c r="CD612" s="424">
        <f t="shared" si="1238"/>
        <v>0</v>
      </c>
      <c r="CE612" s="424">
        <f t="shared" si="1238"/>
        <v>0</v>
      </c>
      <c r="CF612" s="424">
        <f t="shared" si="1238"/>
        <v>0</v>
      </c>
      <c r="CG612" s="424">
        <f t="shared" si="1238"/>
        <v>0</v>
      </c>
      <c r="CH612" s="424">
        <f t="shared" si="1238"/>
        <v>0</v>
      </c>
      <c r="CI612" s="424">
        <f t="shared" si="1238"/>
        <v>0</v>
      </c>
      <c r="CJ612" s="424">
        <f t="shared" si="1238"/>
        <v>0</v>
      </c>
      <c r="CK612" s="424">
        <f t="shared" si="1238"/>
        <v>0</v>
      </c>
      <c r="CL612" s="424">
        <f t="shared" si="1238"/>
        <v>0</v>
      </c>
      <c r="CM612" s="424">
        <f t="shared" si="1238"/>
        <v>0</v>
      </c>
      <c r="CN612" s="424">
        <f t="shared" si="1238"/>
        <v>0</v>
      </c>
      <c r="CO612" s="424">
        <f t="shared" si="1238"/>
        <v>0</v>
      </c>
      <c r="CP612" s="424">
        <f t="shared" si="1238"/>
        <v>0</v>
      </c>
      <c r="CQ612" s="424">
        <f t="shared" si="1238"/>
        <v>0</v>
      </c>
      <c r="CR612" s="424">
        <f t="shared" si="1238"/>
        <v>0</v>
      </c>
      <c r="CS612" s="424">
        <f t="shared" si="1238"/>
        <v>0</v>
      </c>
      <c r="CT612" s="424">
        <f t="shared" si="1238"/>
        <v>0</v>
      </c>
      <c r="CU612" s="424">
        <f t="shared" si="1238"/>
        <v>0</v>
      </c>
      <c r="CV612" s="424">
        <f t="shared" si="1238"/>
        <v>0</v>
      </c>
      <c r="CW612" s="424">
        <f t="shared" si="1238"/>
        <v>0</v>
      </c>
      <c r="CX612" s="424">
        <f t="shared" si="1238"/>
        <v>0</v>
      </c>
      <c r="CY612" s="424">
        <f t="shared" si="1238"/>
        <v>0</v>
      </c>
      <c r="CZ612" s="424">
        <f t="shared" si="1238"/>
        <v>0</v>
      </c>
      <c r="DA612" s="424">
        <f t="shared" si="1238"/>
        <v>0</v>
      </c>
      <c r="DB612" s="424">
        <f t="shared" ref="DB612:EG612" si="1239">DB242*DB$372</f>
        <v>0</v>
      </c>
      <c r="DC612" s="424">
        <f t="shared" si="1239"/>
        <v>0.01</v>
      </c>
      <c r="DD612" s="424">
        <f t="shared" si="1239"/>
        <v>0</v>
      </c>
      <c r="DE612" s="424">
        <f t="shared" si="1239"/>
        <v>0</v>
      </c>
      <c r="DF612" s="424">
        <f t="shared" si="1239"/>
        <v>0</v>
      </c>
      <c r="DG612" s="424">
        <f t="shared" si="1239"/>
        <v>0</v>
      </c>
      <c r="DH612" s="424">
        <f t="shared" si="1239"/>
        <v>0</v>
      </c>
      <c r="DI612" s="424">
        <f t="shared" si="1239"/>
        <v>0</v>
      </c>
      <c r="DJ612" s="424">
        <f t="shared" si="1239"/>
        <v>0</v>
      </c>
      <c r="DK612" s="424">
        <f t="shared" si="1239"/>
        <v>0</v>
      </c>
      <c r="DL612" s="424">
        <f t="shared" si="1239"/>
        <v>0</v>
      </c>
      <c r="DM612" s="424">
        <f t="shared" si="1239"/>
        <v>0</v>
      </c>
      <c r="DN612" s="424">
        <f t="shared" si="1239"/>
        <v>0</v>
      </c>
      <c r="DO612" s="424">
        <f t="shared" si="1239"/>
        <v>0</v>
      </c>
      <c r="DP612" s="424">
        <f t="shared" si="1239"/>
        <v>0</v>
      </c>
      <c r="DQ612" s="424">
        <f t="shared" si="1239"/>
        <v>0</v>
      </c>
      <c r="DR612" s="424">
        <f t="shared" si="1239"/>
        <v>0</v>
      </c>
      <c r="DS612" s="424">
        <f t="shared" si="1239"/>
        <v>0</v>
      </c>
      <c r="DT612" s="424">
        <f t="shared" si="1239"/>
        <v>0</v>
      </c>
      <c r="DU612" s="424">
        <f t="shared" si="1239"/>
        <v>0</v>
      </c>
      <c r="DV612" s="424">
        <f t="shared" si="1239"/>
        <v>0</v>
      </c>
      <c r="DW612" s="424">
        <f t="shared" si="1239"/>
        <v>0</v>
      </c>
      <c r="DX612" s="424">
        <f t="shared" si="1239"/>
        <v>0</v>
      </c>
      <c r="DY612" s="424">
        <f t="shared" si="1239"/>
        <v>0</v>
      </c>
      <c r="DZ612" s="424">
        <f t="shared" si="1239"/>
        <v>0</v>
      </c>
      <c r="EA612" s="424">
        <f t="shared" si="1239"/>
        <v>0</v>
      </c>
      <c r="EB612" s="424">
        <f t="shared" si="1239"/>
        <v>0</v>
      </c>
      <c r="EC612" s="424">
        <f t="shared" si="1239"/>
        <v>0</v>
      </c>
      <c r="ED612" s="424">
        <f t="shared" si="1239"/>
        <v>0</v>
      </c>
      <c r="EE612" s="424">
        <f t="shared" si="1239"/>
        <v>0</v>
      </c>
      <c r="EF612" s="424">
        <f t="shared" si="1239"/>
        <v>0</v>
      </c>
      <c r="EG612" s="424">
        <f t="shared" si="1239"/>
        <v>0</v>
      </c>
      <c r="EH612" s="424">
        <f t="shared" ref="EH612:EX612" si="1240">EH242*EH$372</f>
        <v>0</v>
      </c>
      <c r="EI612" s="424">
        <f t="shared" si="1240"/>
        <v>0</v>
      </c>
      <c r="EJ612" s="424">
        <f t="shared" si="1240"/>
        <v>0</v>
      </c>
      <c r="EK612" s="424">
        <f t="shared" si="1240"/>
        <v>0</v>
      </c>
      <c r="EL612" s="424">
        <f t="shared" si="1240"/>
        <v>0</v>
      </c>
      <c r="EM612" s="424">
        <f t="shared" si="1240"/>
        <v>0</v>
      </c>
      <c r="EN612" s="424">
        <f t="shared" si="1240"/>
        <v>0</v>
      </c>
      <c r="EO612" s="424">
        <f t="shared" si="1240"/>
        <v>0</v>
      </c>
      <c r="EP612" s="424">
        <f t="shared" si="1240"/>
        <v>0</v>
      </c>
      <c r="EQ612" s="424">
        <f t="shared" si="1240"/>
        <v>0</v>
      </c>
      <c r="ER612" s="424">
        <f t="shared" si="1240"/>
        <v>0</v>
      </c>
      <c r="ES612" s="424">
        <f t="shared" si="1240"/>
        <v>0</v>
      </c>
      <c r="ET612" s="424">
        <f t="shared" si="1240"/>
        <v>0</v>
      </c>
      <c r="EU612" s="424">
        <f t="shared" si="1240"/>
        <v>0</v>
      </c>
      <c r="EV612" s="424">
        <f t="shared" si="1240"/>
        <v>0</v>
      </c>
      <c r="EW612" s="424">
        <f t="shared" si="1240"/>
        <v>0</v>
      </c>
      <c r="EX612" s="424">
        <f t="shared" si="1240"/>
        <v>0</v>
      </c>
      <c r="EY612" s="425">
        <f t="shared" si="1064"/>
        <v>3.08</v>
      </c>
      <c r="EZ612" s="616"/>
      <c r="FA612" s="616"/>
      <c r="FB612" s="616"/>
      <c r="FC612" s="616"/>
      <c r="FD612" s="616"/>
      <c r="FE612" s="616"/>
      <c r="FF612" s="616"/>
      <c r="FG612" s="616"/>
      <c r="FH612" s="616"/>
      <c r="FI612" s="616"/>
      <c r="FJ612" s="616"/>
    </row>
    <row r="613" spans="1:166" ht="14.7" customHeight="1" x14ac:dyDescent="0.25">
      <c r="A613" s="310">
        <v>239</v>
      </c>
      <c r="B613" s="311" t="str">
        <f t="shared" si="1005"/>
        <v>Соус сметанный</v>
      </c>
      <c r="C613" s="483">
        <f t="shared" si="1018"/>
        <v>1.85</v>
      </c>
      <c r="D613" s="888"/>
      <c r="E613" s="888"/>
      <c r="F613" s="888"/>
      <c r="G613" s="889"/>
      <c r="H613" s="680">
        <f t="shared" si="1175"/>
        <v>330</v>
      </c>
      <c r="I613" s="1209">
        <f t="shared" si="1007"/>
        <v>-0.01</v>
      </c>
      <c r="J613" s="424">
        <f t="shared" ref="J613:AO613" si="1241">J243*J$372</f>
        <v>0</v>
      </c>
      <c r="K613" s="424">
        <f t="shared" si="1241"/>
        <v>0</v>
      </c>
      <c r="L613" s="424">
        <f t="shared" si="1241"/>
        <v>0</v>
      </c>
      <c r="M613" s="424">
        <f t="shared" si="1241"/>
        <v>0</v>
      </c>
      <c r="N613" s="424">
        <f t="shared" si="1241"/>
        <v>0</v>
      </c>
      <c r="O613" s="424">
        <f t="shared" si="1241"/>
        <v>0</v>
      </c>
      <c r="P613" s="424">
        <f t="shared" si="1241"/>
        <v>0</v>
      </c>
      <c r="Q613" s="424">
        <f t="shared" si="1241"/>
        <v>0</v>
      </c>
      <c r="R613" s="424">
        <f t="shared" si="1241"/>
        <v>0</v>
      </c>
      <c r="S613" s="424">
        <f t="shared" si="1241"/>
        <v>0</v>
      </c>
      <c r="T613" s="424">
        <f t="shared" si="1241"/>
        <v>0</v>
      </c>
      <c r="U613" s="424">
        <f t="shared" si="1241"/>
        <v>0</v>
      </c>
      <c r="V613" s="424">
        <f t="shared" si="1241"/>
        <v>0</v>
      </c>
      <c r="W613" s="424">
        <f t="shared" si="1241"/>
        <v>0</v>
      </c>
      <c r="X613" s="424">
        <f t="shared" si="1241"/>
        <v>0</v>
      </c>
      <c r="Y613" s="424">
        <f t="shared" si="1241"/>
        <v>1.76</v>
      </c>
      <c r="Z613" s="424">
        <f t="shared" si="1241"/>
        <v>0</v>
      </c>
      <c r="AA613" s="424">
        <f t="shared" si="1241"/>
        <v>0</v>
      </c>
      <c r="AB613" s="424">
        <f t="shared" si="1241"/>
        <v>0</v>
      </c>
      <c r="AC613" s="424">
        <f t="shared" si="1241"/>
        <v>0</v>
      </c>
      <c r="AD613" s="424">
        <f t="shared" si="1241"/>
        <v>0</v>
      </c>
      <c r="AE613" s="424">
        <f t="shared" si="1241"/>
        <v>0</v>
      </c>
      <c r="AF613" s="424">
        <f t="shared" si="1241"/>
        <v>0</v>
      </c>
      <c r="AG613" s="424">
        <f t="shared" si="1241"/>
        <v>0</v>
      </c>
      <c r="AH613" s="424">
        <f t="shared" si="1241"/>
        <v>0</v>
      </c>
      <c r="AI613" s="424">
        <f t="shared" si="1241"/>
        <v>0</v>
      </c>
      <c r="AJ613" s="424">
        <f t="shared" si="1241"/>
        <v>0</v>
      </c>
      <c r="AK613" s="424">
        <f t="shared" si="1241"/>
        <v>0</v>
      </c>
      <c r="AL613" s="424">
        <f t="shared" si="1241"/>
        <v>0</v>
      </c>
      <c r="AM613" s="424">
        <f t="shared" si="1241"/>
        <v>0</v>
      </c>
      <c r="AN613" s="424">
        <f t="shared" si="1241"/>
        <v>0</v>
      </c>
      <c r="AO613" s="424">
        <f t="shared" si="1241"/>
        <v>0</v>
      </c>
      <c r="AP613" s="424">
        <f t="shared" ref="AP613:BU613" si="1242">AP243*AP$372</f>
        <v>0</v>
      </c>
      <c r="AQ613" s="424">
        <f t="shared" si="1242"/>
        <v>0</v>
      </c>
      <c r="AR613" s="424">
        <f t="shared" si="1242"/>
        <v>0</v>
      </c>
      <c r="AS613" s="424">
        <f t="shared" si="1242"/>
        <v>0</v>
      </c>
      <c r="AT613" s="424">
        <f t="shared" si="1242"/>
        <v>0</v>
      </c>
      <c r="AU613" s="424">
        <f t="shared" si="1242"/>
        <v>0</v>
      </c>
      <c r="AV613" s="424">
        <f t="shared" si="1242"/>
        <v>0</v>
      </c>
      <c r="AW613" s="424">
        <f t="shared" si="1242"/>
        <v>0</v>
      </c>
      <c r="AX613" s="424">
        <f t="shared" si="1242"/>
        <v>0</v>
      </c>
      <c r="AY613" s="424">
        <f t="shared" si="1242"/>
        <v>0</v>
      </c>
      <c r="AZ613" s="424">
        <f t="shared" si="1242"/>
        <v>0</v>
      </c>
      <c r="BA613" s="424">
        <f t="shared" si="1242"/>
        <v>0</v>
      </c>
      <c r="BB613" s="424">
        <f t="shared" si="1242"/>
        <v>0</v>
      </c>
      <c r="BC613" s="424">
        <f t="shared" si="1242"/>
        <v>0</v>
      </c>
      <c r="BD613" s="424">
        <f t="shared" si="1242"/>
        <v>0</v>
      </c>
      <c r="BE613" s="424">
        <f t="shared" si="1242"/>
        <v>0</v>
      </c>
      <c r="BF613" s="424">
        <f t="shared" si="1242"/>
        <v>0</v>
      </c>
      <c r="BG613" s="424">
        <f t="shared" si="1242"/>
        <v>0</v>
      </c>
      <c r="BH613" s="424">
        <f t="shared" si="1242"/>
        <v>0</v>
      </c>
      <c r="BI613" s="424">
        <f t="shared" si="1242"/>
        <v>0</v>
      </c>
      <c r="BJ613" s="424">
        <f t="shared" si="1242"/>
        <v>0</v>
      </c>
      <c r="BK613" s="424">
        <f t="shared" si="1242"/>
        <v>0</v>
      </c>
      <c r="BL613" s="424">
        <f t="shared" si="1242"/>
        <v>0</v>
      </c>
      <c r="BM613" s="424">
        <f t="shared" si="1242"/>
        <v>0</v>
      </c>
      <c r="BN613" s="424">
        <f t="shared" si="1242"/>
        <v>0</v>
      </c>
      <c r="BO613" s="424">
        <f t="shared" si="1242"/>
        <v>0</v>
      </c>
      <c r="BP613" s="424">
        <f t="shared" si="1242"/>
        <v>0</v>
      </c>
      <c r="BQ613" s="424">
        <f t="shared" si="1242"/>
        <v>0</v>
      </c>
      <c r="BR613" s="424">
        <f t="shared" si="1242"/>
        <v>0</v>
      </c>
      <c r="BS613" s="424">
        <f t="shared" si="1242"/>
        <v>0.08</v>
      </c>
      <c r="BT613" s="424">
        <f t="shared" si="1242"/>
        <v>0</v>
      </c>
      <c r="BU613" s="424">
        <f t="shared" si="1242"/>
        <v>0</v>
      </c>
      <c r="BV613" s="424">
        <f t="shared" ref="BV613:DA613" si="1243">BV243*BV$372</f>
        <v>0</v>
      </c>
      <c r="BW613" s="424">
        <f t="shared" si="1243"/>
        <v>0</v>
      </c>
      <c r="BX613" s="424">
        <f t="shared" si="1243"/>
        <v>0</v>
      </c>
      <c r="BY613" s="424">
        <f t="shared" si="1243"/>
        <v>0</v>
      </c>
      <c r="BZ613" s="424">
        <f t="shared" si="1243"/>
        <v>0</v>
      </c>
      <c r="CA613" s="424">
        <f t="shared" si="1243"/>
        <v>0</v>
      </c>
      <c r="CB613" s="424">
        <f t="shared" si="1243"/>
        <v>0</v>
      </c>
      <c r="CC613" s="424">
        <f t="shared" si="1243"/>
        <v>0</v>
      </c>
      <c r="CD613" s="424">
        <f t="shared" si="1243"/>
        <v>0</v>
      </c>
      <c r="CE613" s="424">
        <f t="shared" si="1243"/>
        <v>0</v>
      </c>
      <c r="CF613" s="424">
        <f t="shared" si="1243"/>
        <v>0</v>
      </c>
      <c r="CG613" s="424">
        <f t="shared" si="1243"/>
        <v>0</v>
      </c>
      <c r="CH613" s="424">
        <f t="shared" si="1243"/>
        <v>0</v>
      </c>
      <c r="CI613" s="424">
        <f t="shared" si="1243"/>
        <v>0</v>
      </c>
      <c r="CJ613" s="424">
        <f t="shared" si="1243"/>
        <v>0</v>
      </c>
      <c r="CK613" s="424">
        <f t="shared" si="1243"/>
        <v>0</v>
      </c>
      <c r="CL613" s="424">
        <f t="shared" si="1243"/>
        <v>0</v>
      </c>
      <c r="CM613" s="424">
        <f t="shared" si="1243"/>
        <v>0</v>
      </c>
      <c r="CN613" s="424">
        <f t="shared" si="1243"/>
        <v>0</v>
      </c>
      <c r="CO613" s="424">
        <f t="shared" si="1243"/>
        <v>0</v>
      </c>
      <c r="CP613" s="424">
        <f t="shared" si="1243"/>
        <v>0</v>
      </c>
      <c r="CQ613" s="424">
        <f t="shared" si="1243"/>
        <v>0</v>
      </c>
      <c r="CR613" s="424">
        <f t="shared" si="1243"/>
        <v>0</v>
      </c>
      <c r="CS613" s="424">
        <f t="shared" si="1243"/>
        <v>0</v>
      </c>
      <c r="CT613" s="424">
        <f t="shared" si="1243"/>
        <v>0</v>
      </c>
      <c r="CU613" s="424">
        <f t="shared" si="1243"/>
        <v>0</v>
      </c>
      <c r="CV613" s="424">
        <f t="shared" si="1243"/>
        <v>0</v>
      </c>
      <c r="CW613" s="424">
        <f t="shared" si="1243"/>
        <v>0</v>
      </c>
      <c r="CX613" s="424">
        <f t="shared" si="1243"/>
        <v>0</v>
      </c>
      <c r="CY613" s="424">
        <f t="shared" si="1243"/>
        <v>0</v>
      </c>
      <c r="CZ613" s="424">
        <f t="shared" si="1243"/>
        <v>0</v>
      </c>
      <c r="DA613" s="424">
        <f t="shared" si="1243"/>
        <v>0</v>
      </c>
      <c r="DB613" s="424">
        <f t="shared" ref="DB613:EG613" si="1244">DB243*DB$372</f>
        <v>0</v>
      </c>
      <c r="DC613" s="424">
        <f t="shared" si="1244"/>
        <v>0.01</v>
      </c>
      <c r="DD613" s="424">
        <f t="shared" si="1244"/>
        <v>0</v>
      </c>
      <c r="DE613" s="424">
        <f t="shared" si="1244"/>
        <v>0</v>
      </c>
      <c r="DF613" s="424">
        <f t="shared" si="1244"/>
        <v>0</v>
      </c>
      <c r="DG613" s="424">
        <f t="shared" si="1244"/>
        <v>0</v>
      </c>
      <c r="DH613" s="424">
        <f t="shared" si="1244"/>
        <v>0</v>
      </c>
      <c r="DI613" s="424">
        <f t="shared" si="1244"/>
        <v>0</v>
      </c>
      <c r="DJ613" s="424">
        <f t="shared" si="1244"/>
        <v>0</v>
      </c>
      <c r="DK613" s="424">
        <f t="shared" si="1244"/>
        <v>0</v>
      </c>
      <c r="DL613" s="424">
        <f t="shared" si="1244"/>
        <v>0</v>
      </c>
      <c r="DM613" s="424">
        <f t="shared" si="1244"/>
        <v>0</v>
      </c>
      <c r="DN613" s="424">
        <f t="shared" si="1244"/>
        <v>0</v>
      </c>
      <c r="DO613" s="424">
        <f t="shared" si="1244"/>
        <v>0</v>
      </c>
      <c r="DP613" s="424">
        <f t="shared" si="1244"/>
        <v>0</v>
      </c>
      <c r="DQ613" s="424">
        <f t="shared" si="1244"/>
        <v>0</v>
      </c>
      <c r="DR613" s="424">
        <f t="shared" si="1244"/>
        <v>0</v>
      </c>
      <c r="DS613" s="424">
        <f t="shared" si="1244"/>
        <v>0</v>
      </c>
      <c r="DT613" s="424">
        <f t="shared" si="1244"/>
        <v>0</v>
      </c>
      <c r="DU613" s="424">
        <f t="shared" si="1244"/>
        <v>0</v>
      </c>
      <c r="DV613" s="424">
        <f t="shared" si="1244"/>
        <v>0</v>
      </c>
      <c r="DW613" s="424">
        <f t="shared" si="1244"/>
        <v>0</v>
      </c>
      <c r="DX613" s="424">
        <f t="shared" si="1244"/>
        <v>0</v>
      </c>
      <c r="DY613" s="424">
        <f t="shared" si="1244"/>
        <v>0</v>
      </c>
      <c r="DZ613" s="424">
        <f t="shared" si="1244"/>
        <v>0</v>
      </c>
      <c r="EA613" s="424">
        <f t="shared" si="1244"/>
        <v>0</v>
      </c>
      <c r="EB613" s="424">
        <f t="shared" si="1244"/>
        <v>0</v>
      </c>
      <c r="EC613" s="424">
        <f t="shared" si="1244"/>
        <v>0</v>
      </c>
      <c r="ED613" s="424">
        <f t="shared" si="1244"/>
        <v>0</v>
      </c>
      <c r="EE613" s="424">
        <f t="shared" si="1244"/>
        <v>0</v>
      </c>
      <c r="EF613" s="424">
        <f t="shared" si="1244"/>
        <v>0</v>
      </c>
      <c r="EG613" s="424">
        <f t="shared" si="1244"/>
        <v>0</v>
      </c>
      <c r="EH613" s="424">
        <f t="shared" ref="EH613:EX613" si="1245">EH243*EH$372</f>
        <v>0</v>
      </c>
      <c r="EI613" s="424">
        <f t="shared" si="1245"/>
        <v>0</v>
      </c>
      <c r="EJ613" s="424">
        <f t="shared" si="1245"/>
        <v>0</v>
      </c>
      <c r="EK613" s="424">
        <f t="shared" si="1245"/>
        <v>0</v>
      </c>
      <c r="EL613" s="424">
        <f t="shared" si="1245"/>
        <v>0</v>
      </c>
      <c r="EM613" s="424">
        <f t="shared" si="1245"/>
        <v>0</v>
      </c>
      <c r="EN613" s="424">
        <f t="shared" si="1245"/>
        <v>0</v>
      </c>
      <c r="EO613" s="424">
        <f t="shared" si="1245"/>
        <v>0</v>
      </c>
      <c r="EP613" s="424">
        <f t="shared" si="1245"/>
        <v>0</v>
      </c>
      <c r="EQ613" s="424">
        <f t="shared" si="1245"/>
        <v>0</v>
      </c>
      <c r="ER613" s="424">
        <f t="shared" si="1245"/>
        <v>0</v>
      </c>
      <c r="ES613" s="424">
        <f t="shared" si="1245"/>
        <v>0</v>
      </c>
      <c r="ET613" s="424">
        <f t="shared" si="1245"/>
        <v>0</v>
      </c>
      <c r="EU613" s="424">
        <f t="shared" si="1245"/>
        <v>0</v>
      </c>
      <c r="EV613" s="424">
        <f t="shared" si="1245"/>
        <v>0</v>
      </c>
      <c r="EW613" s="424">
        <f t="shared" si="1245"/>
        <v>0</v>
      </c>
      <c r="EX613" s="424">
        <f t="shared" si="1245"/>
        <v>0</v>
      </c>
      <c r="EY613" s="425">
        <f t="shared" si="1064"/>
        <v>1.85</v>
      </c>
    </row>
    <row r="614" spans="1:166" s="467" customFormat="1" ht="14.7" customHeight="1" x14ac:dyDescent="0.25">
      <c r="A614" s="310">
        <v>240</v>
      </c>
      <c r="B614" s="311" t="str">
        <f t="shared" si="1005"/>
        <v>Соус сметанный с томатом</v>
      </c>
      <c r="C614" s="483">
        <f t="shared" si="1018"/>
        <v>84.41</v>
      </c>
      <c r="D614" s="888"/>
      <c r="E614" s="888"/>
      <c r="F614" s="888"/>
      <c r="G614" s="889"/>
      <c r="H614" s="680">
        <f t="shared" si="1175"/>
        <v>331</v>
      </c>
      <c r="I614" s="1209">
        <f t="shared" si="1007"/>
        <v>0</v>
      </c>
      <c r="J614" s="424">
        <f t="shared" ref="J614:AO614" si="1246">J244*J$372</f>
        <v>0</v>
      </c>
      <c r="K614" s="424">
        <f t="shared" si="1246"/>
        <v>0</v>
      </c>
      <c r="L614" s="424">
        <f t="shared" si="1246"/>
        <v>0</v>
      </c>
      <c r="M614" s="424">
        <f t="shared" si="1246"/>
        <v>0</v>
      </c>
      <c r="N614" s="424">
        <f t="shared" si="1246"/>
        <v>0</v>
      </c>
      <c r="O614" s="424">
        <f t="shared" si="1246"/>
        <v>0</v>
      </c>
      <c r="P614" s="424">
        <f t="shared" si="1246"/>
        <v>0</v>
      </c>
      <c r="Q614" s="424">
        <f t="shared" si="1246"/>
        <v>0</v>
      </c>
      <c r="R614" s="424">
        <f t="shared" si="1246"/>
        <v>0</v>
      </c>
      <c r="S614" s="424">
        <f t="shared" si="1246"/>
        <v>0</v>
      </c>
      <c r="T614" s="424">
        <f t="shared" si="1246"/>
        <v>0</v>
      </c>
      <c r="U614" s="424">
        <f t="shared" si="1246"/>
        <v>0</v>
      </c>
      <c r="V614" s="424">
        <f t="shared" si="1246"/>
        <v>0</v>
      </c>
      <c r="W614" s="424">
        <f t="shared" si="1246"/>
        <v>0</v>
      </c>
      <c r="X614" s="424">
        <f t="shared" si="1246"/>
        <v>0</v>
      </c>
      <c r="Y614" s="424">
        <f t="shared" si="1246"/>
        <v>58.5</v>
      </c>
      <c r="Z614" s="424">
        <f t="shared" si="1246"/>
        <v>0</v>
      </c>
      <c r="AA614" s="424">
        <f t="shared" si="1246"/>
        <v>0</v>
      </c>
      <c r="AB614" s="424">
        <f t="shared" si="1246"/>
        <v>0</v>
      </c>
      <c r="AC614" s="424">
        <f t="shared" si="1246"/>
        <v>0</v>
      </c>
      <c r="AD614" s="424">
        <f t="shared" si="1246"/>
        <v>0</v>
      </c>
      <c r="AE614" s="424">
        <f t="shared" si="1246"/>
        <v>0</v>
      </c>
      <c r="AF614" s="424">
        <f t="shared" si="1246"/>
        <v>0</v>
      </c>
      <c r="AG614" s="424">
        <f t="shared" si="1246"/>
        <v>0</v>
      </c>
      <c r="AH614" s="424">
        <f t="shared" si="1246"/>
        <v>0</v>
      </c>
      <c r="AI614" s="424">
        <f t="shared" si="1246"/>
        <v>0</v>
      </c>
      <c r="AJ614" s="424">
        <f t="shared" si="1246"/>
        <v>0</v>
      </c>
      <c r="AK614" s="424">
        <f t="shared" si="1246"/>
        <v>0</v>
      </c>
      <c r="AL614" s="424">
        <f t="shared" si="1246"/>
        <v>0</v>
      </c>
      <c r="AM614" s="424">
        <f t="shared" si="1246"/>
        <v>0</v>
      </c>
      <c r="AN614" s="424">
        <f t="shared" si="1246"/>
        <v>0</v>
      </c>
      <c r="AO614" s="424">
        <f t="shared" si="1246"/>
        <v>0</v>
      </c>
      <c r="AP614" s="424">
        <f t="shared" ref="AP614:BU614" si="1247">AP244*AP$372</f>
        <v>0</v>
      </c>
      <c r="AQ614" s="424">
        <f t="shared" si="1247"/>
        <v>0</v>
      </c>
      <c r="AR614" s="424">
        <f t="shared" si="1247"/>
        <v>0</v>
      </c>
      <c r="AS614" s="424">
        <f t="shared" si="1247"/>
        <v>0</v>
      </c>
      <c r="AT614" s="424">
        <f t="shared" si="1247"/>
        <v>0</v>
      </c>
      <c r="AU614" s="424">
        <f t="shared" si="1247"/>
        <v>0</v>
      </c>
      <c r="AV614" s="424">
        <f t="shared" si="1247"/>
        <v>0</v>
      </c>
      <c r="AW614" s="424">
        <f t="shared" si="1247"/>
        <v>0</v>
      </c>
      <c r="AX614" s="424">
        <f t="shared" si="1247"/>
        <v>0</v>
      </c>
      <c r="AY614" s="424">
        <f t="shared" si="1247"/>
        <v>0</v>
      </c>
      <c r="AZ614" s="424">
        <f t="shared" si="1247"/>
        <v>0</v>
      </c>
      <c r="BA614" s="424">
        <f t="shared" si="1247"/>
        <v>0</v>
      </c>
      <c r="BB614" s="424">
        <f t="shared" si="1247"/>
        <v>0</v>
      </c>
      <c r="BC614" s="424">
        <f t="shared" si="1247"/>
        <v>0</v>
      </c>
      <c r="BD614" s="424">
        <f t="shared" si="1247"/>
        <v>0</v>
      </c>
      <c r="BE614" s="424">
        <f t="shared" si="1247"/>
        <v>0</v>
      </c>
      <c r="BF614" s="424">
        <f t="shared" si="1247"/>
        <v>0</v>
      </c>
      <c r="BG614" s="424">
        <f t="shared" si="1247"/>
        <v>0</v>
      </c>
      <c r="BH614" s="424">
        <f t="shared" si="1247"/>
        <v>0</v>
      </c>
      <c r="BI614" s="424">
        <f t="shared" si="1247"/>
        <v>0</v>
      </c>
      <c r="BJ614" s="424">
        <f t="shared" si="1247"/>
        <v>0</v>
      </c>
      <c r="BK614" s="424">
        <f t="shared" si="1247"/>
        <v>0</v>
      </c>
      <c r="BL614" s="424">
        <f t="shared" si="1247"/>
        <v>0</v>
      </c>
      <c r="BM614" s="424">
        <f t="shared" si="1247"/>
        <v>0</v>
      </c>
      <c r="BN614" s="424">
        <f t="shared" si="1247"/>
        <v>0</v>
      </c>
      <c r="BO614" s="424">
        <f t="shared" si="1247"/>
        <v>0</v>
      </c>
      <c r="BP614" s="424">
        <f t="shared" si="1247"/>
        <v>0</v>
      </c>
      <c r="BQ614" s="424">
        <f t="shared" si="1247"/>
        <v>0</v>
      </c>
      <c r="BR614" s="424">
        <f t="shared" si="1247"/>
        <v>0</v>
      </c>
      <c r="BS614" s="424">
        <f t="shared" si="1247"/>
        <v>2.7</v>
      </c>
      <c r="BT614" s="424">
        <f t="shared" si="1247"/>
        <v>0</v>
      </c>
      <c r="BU614" s="424">
        <f t="shared" si="1247"/>
        <v>0</v>
      </c>
      <c r="BV614" s="424">
        <f t="shared" ref="BV614:DA614" si="1248">BV244*BV$372</f>
        <v>0</v>
      </c>
      <c r="BW614" s="424">
        <f t="shared" si="1248"/>
        <v>0</v>
      </c>
      <c r="BX614" s="424">
        <f t="shared" si="1248"/>
        <v>0</v>
      </c>
      <c r="BY614" s="424">
        <f t="shared" si="1248"/>
        <v>0</v>
      </c>
      <c r="BZ614" s="424">
        <f t="shared" si="1248"/>
        <v>0</v>
      </c>
      <c r="CA614" s="424">
        <f t="shared" si="1248"/>
        <v>0</v>
      </c>
      <c r="CB614" s="424">
        <f t="shared" si="1248"/>
        <v>0</v>
      </c>
      <c r="CC614" s="424">
        <f t="shared" si="1248"/>
        <v>0</v>
      </c>
      <c r="CD614" s="424">
        <f t="shared" si="1248"/>
        <v>0</v>
      </c>
      <c r="CE614" s="424">
        <f t="shared" si="1248"/>
        <v>0</v>
      </c>
      <c r="CF614" s="424">
        <f t="shared" si="1248"/>
        <v>0</v>
      </c>
      <c r="CG614" s="424">
        <f t="shared" si="1248"/>
        <v>0</v>
      </c>
      <c r="CH614" s="424">
        <f t="shared" si="1248"/>
        <v>0</v>
      </c>
      <c r="CI614" s="424">
        <f t="shared" si="1248"/>
        <v>0</v>
      </c>
      <c r="CJ614" s="424">
        <f t="shared" si="1248"/>
        <v>0</v>
      </c>
      <c r="CK614" s="424">
        <f t="shared" si="1248"/>
        <v>0</v>
      </c>
      <c r="CL614" s="424">
        <f t="shared" si="1248"/>
        <v>0</v>
      </c>
      <c r="CM614" s="424">
        <f t="shared" si="1248"/>
        <v>0</v>
      </c>
      <c r="CN614" s="424">
        <f t="shared" si="1248"/>
        <v>0</v>
      </c>
      <c r="CO614" s="424">
        <f t="shared" si="1248"/>
        <v>0</v>
      </c>
      <c r="CP614" s="424">
        <f t="shared" si="1248"/>
        <v>0</v>
      </c>
      <c r="CQ614" s="424">
        <f t="shared" si="1248"/>
        <v>0</v>
      </c>
      <c r="CR614" s="424">
        <f t="shared" si="1248"/>
        <v>0</v>
      </c>
      <c r="CS614" s="424">
        <f t="shared" si="1248"/>
        <v>0.02</v>
      </c>
      <c r="CT614" s="424">
        <f t="shared" si="1248"/>
        <v>0</v>
      </c>
      <c r="CU614" s="424">
        <f t="shared" si="1248"/>
        <v>0</v>
      </c>
      <c r="CV614" s="424">
        <f t="shared" si="1248"/>
        <v>0</v>
      </c>
      <c r="CW614" s="424">
        <f t="shared" si="1248"/>
        <v>0</v>
      </c>
      <c r="CX614" s="424">
        <f t="shared" si="1248"/>
        <v>0</v>
      </c>
      <c r="CY614" s="424">
        <f t="shared" si="1248"/>
        <v>0</v>
      </c>
      <c r="CZ614" s="424">
        <f t="shared" si="1248"/>
        <v>0</v>
      </c>
      <c r="DA614" s="424">
        <f t="shared" si="1248"/>
        <v>0</v>
      </c>
      <c r="DB614" s="424">
        <f t="shared" ref="DB614:EG614" si="1249">DB244*DB$372</f>
        <v>0</v>
      </c>
      <c r="DC614" s="424">
        <f t="shared" si="1249"/>
        <v>0.19</v>
      </c>
      <c r="DD614" s="424">
        <f t="shared" si="1249"/>
        <v>0</v>
      </c>
      <c r="DE614" s="424">
        <f t="shared" si="1249"/>
        <v>0</v>
      </c>
      <c r="DF614" s="424">
        <f t="shared" si="1249"/>
        <v>23</v>
      </c>
      <c r="DG614" s="424">
        <f t="shared" si="1249"/>
        <v>0</v>
      </c>
      <c r="DH614" s="424">
        <f t="shared" si="1249"/>
        <v>0</v>
      </c>
      <c r="DI614" s="424">
        <f t="shared" si="1249"/>
        <v>0</v>
      </c>
      <c r="DJ614" s="424">
        <f t="shared" si="1249"/>
        <v>0</v>
      </c>
      <c r="DK614" s="424">
        <f t="shared" si="1249"/>
        <v>0</v>
      </c>
      <c r="DL614" s="424">
        <f t="shared" si="1249"/>
        <v>0</v>
      </c>
      <c r="DM614" s="424">
        <f t="shared" si="1249"/>
        <v>0</v>
      </c>
      <c r="DN614" s="424">
        <f t="shared" si="1249"/>
        <v>0</v>
      </c>
      <c r="DO614" s="424">
        <f t="shared" si="1249"/>
        <v>0</v>
      </c>
      <c r="DP614" s="424">
        <f t="shared" si="1249"/>
        <v>0</v>
      </c>
      <c r="DQ614" s="424">
        <f t="shared" si="1249"/>
        <v>0</v>
      </c>
      <c r="DR614" s="424">
        <f t="shared" si="1249"/>
        <v>0</v>
      </c>
      <c r="DS614" s="424">
        <f t="shared" si="1249"/>
        <v>0</v>
      </c>
      <c r="DT614" s="424">
        <f t="shared" si="1249"/>
        <v>0</v>
      </c>
      <c r="DU614" s="424">
        <f t="shared" si="1249"/>
        <v>0</v>
      </c>
      <c r="DV614" s="424">
        <f t="shared" si="1249"/>
        <v>0</v>
      </c>
      <c r="DW614" s="424">
        <f t="shared" si="1249"/>
        <v>0</v>
      </c>
      <c r="DX614" s="424">
        <f t="shared" si="1249"/>
        <v>0</v>
      </c>
      <c r="DY614" s="424">
        <f t="shared" si="1249"/>
        <v>0</v>
      </c>
      <c r="DZ614" s="424">
        <f t="shared" si="1249"/>
        <v>0</v>
      </c>
      <c r="EA614" s="424">
        <f t="shared" si="1249"/>
        <v>0</v>
      </c>
      <c r="EB614" s="424">
        <f t="shared" si="1249"/>
        <v>0</v>
      </c>
      <c r="EC614" s="424">
        <f t="shared" si="1249"/>
        <v>0</v>
      </c>
      <c r="ED614" s="424">
        <f t="shared" si="1249"/>
        <v>0</v>
      </c>
      <c r="EE614" s="424">
        <f t="shared" si="1249"/>
        <v>0</v>
      </c>
      <c r="EF614" s="424">
        <f t="shared" si="1249"/>
        <v>0</v>
      </c>
      <c r="EG614" s="424">
        <f t="shared" si="1249"/>
        <v>0</v>
      </c>
      <c r="EH614" s="424">
        <f t="shared" ref="EH614:EX614" si="1250">EH244*EH$372</f>
        <v>0</v>
      </c>
      <c r="EI614" s="424">
        <f t="shared" si="1250"/>
        <v>0</v>
      </c>
      <c r="EJ614" s="424">
        <f t="shared" si="1250"/>
        <v>0</v>
      </c>
      <c r="EK614" s="424">
        <f t="shared" si="1250"/>
        <v>0</v>
      </c>
      <c r="EL614" s="424">
        <f t="shared" si="1250"/>
        <v>0</v>
      </c>
      <c r="EM614" s="424">
        <f t="shared" si="1250"/>
        <v>0</v>
      </c>
      <c r="EN614" s="424">
        <f t="shared" si="1250"/>
        <v>0</v>
      </c>
      <c r="EO614" s="424">
        <f t="shared" si="1250"/>
        <v>0</v>
      </c>
      <c r="EP614" s="424">
        <f t="shared" si="1250"/>
        <v>0</v>
      </c>
      <c r="EQ614" s="424">
        <f t="shared" si="1250"/>
        <v>0</v>
      </c>
      <c r="ER614" s="424">
        <f t="shared" si="1250"/>
        <v>0</v>
      </c>
      <c r="ES614" s="424">
        <f t="shared" si="1250"/>
        <v>0</v>
      </c>
      <c r="ET614" s="424">
        <f t="shared" si="1250"/>
        <v>0</v>
      </c>
      <c r="EU614" s="424">
        <f t="shared" si="1250"/>
        <v>0</v>
      </c>
      <c r="EV614" s="424">
        <f t="shared" si="1250"/>
        <v>0</v>
      </c>
      <c r="EW614" s="424">
        <f t="shared" si="1250"/>
        <v>0</v>
      </c>
      <c r="EX614" s="424">
        <f t="shared" si="1250"/>
        <v>0</v>
      </c>
      <c r="EY614" s="425">
        <f t="shared" si="1064"/>
        <v>84.41</v>
      </c>
      <c r="EZ614" s="616"/>
      <c r="FA614" s="616"/>
      <c r="FB614" s="616"/>
      <c r="FC614" s="616"/>
      <c r="FD614" s="616"/>
      <c r="FE614" s="616"/>
      <c r="FF614" s="616"/>
      <c r="FG614" s="616"/>
      <c r="FH614" s="616"/>
      <c r="FI614" s="616"/>
      <c r="FJ614" s="616"/>
    </row>
    <row r="615" spans="1:166" s="467" customFormat="1" ht="14.7" customHeight="1" x14ac:dyDescent="0.25">
      <c r="A615" s="310">
        <v>241</v>
      </c>
      <c r="B615" s="311" t="str">
        <f t="shared" si="1005"/>
        <v>Соус сметанный с томатом (30 гр.)</v>
      </c>
      <c r="C615" s="483">
        <f t="shared" si="1018"/>
        <v>2.54</v>
      </c>
      <c r="D615" s="888"/>
      <c r="E615" s="888"/>
      <c r="F615" s="888"/>
      <c r="G615" s="889"/>
      <c r="H615" s="680">
        <f t="shared" si="1175"/>
        <v>331</v>
      </c>
      <c r="I615" s="1209">
        <f t="shared" si="1007"/>
        <v>-0.01</v>
      </c>
      <c r="J615" s="424">
        <f t="shared" ref="J615:AO615" si="1251">J245*J$372</f>
        <v>0</v>
      </c>
      <c r="K615" s="424">
        <f t="shared" si="1251"/>
        <v>0</v>
      </c>
      <c r="L615" s="424">
        <f t="shared" si="1251"/>
        <v>0</v>
      </c>
      <c r="M615" s="424">
        <f t="shared" si="1251"/>
        <v>0</v>
      </c>
      <c r="N615" s="424">
        <f t="shared" si="1251"/>
        <v>0</v>
      </c>
      <c r="O615" s="424">
        <f t="shared" si="1251"/>
        <v>0</v>
      </c>
      <c r="P615" s="424">
        <f t="shared" si="1251"/>
        <v>0</v>
      </c>
      <c r="Q615" s="424">
        <f t="shared" si="1251"/>
        <v>0</v>
      </c>
      <c r="R615" s="424">
        <f t="shared" si="1251"/>
        <v>0</v>
      </c>
      <c r="S615" s="424">
        <f t="shared" si="1251"/>
        <v>0</v>
      </c>
      <c r="T615" s="424">
        <f t="shared" si="1251"/>
        <v>0</v>
      </c>
      <c r="U615" s="424">
        <f t="shared" si="1251"/>
        <v>0</v>
      </c>
      <c r="V615" s="424">
        <f t="shared" si="1251"/>
        <v>0</v>
      </c>
      <c r="W615" s="424">
        <f t="shared" si="1251"/>
        <v>0</v>
      </c>
      <c r="X615" s="424">
        <f t="shared" si="1251"/>
        <v>0</v>
      </c>
      <c r="Y615" s="424">
        <f t="shared" si="1251"/>
        <v>1.76</v>
      </c>
      <c r="Z615" s="424">
        <f t="shared" si="1251"/>
        <v>0</v>
      </c>
      <c r="AA615" s="424">
        <f t="shared" si="1251"/>
        <v>0</v>
      </c>
      <c r="AB615" s="424">
        <f t="shared" si="1251"/>
        <v>0</v>
      </c>
      <c r="AC615" s="424">
        <f t="shared" si="1251"/>
        <v>0</v>
      </c>
      <c r="AD615" s="424">
        <f t="shared" si="1251"/>
        <v>0</v>
      </c>
      <c r="AE615" s="424">
        <f t="shared" si="1251"/>
        <v>0</v>
      </c>
      <c r="AF615" s="424">
        <f t="shared" si="1251"/>
        <v>0</v>
      </c>
      <c r="AG615" s="424">
        <f t="shared" si="1251"/>
        <v>0</v>
      </c>
      <c r="AH615" s="424">
        <f t="shared" si="1251"/>
        <v>0</v>
      </c>
      <c r="AI615" s="424">
        <f t="shared" si="1251"/>
        <v>0</v>
      </c>
      <c r="AJ615" s="424">
        <f t="shared" si="1251"/>
        <v>0</v>
      </c>
      <c r="AK615" s="424">
        <f t="shared" si="1251"/>
        <v>0</v>
      </c>
      <c r="AL615" s="424">
        <f t="shared" si="1251"/>
        <v>0</v>
      </c>
      <c r="AM615" s="424">
        <f t="shared" si="1251"/>
        <v>0</v>
      </c>
      <c r="AN615" s="424">
        <f t="shared" si="1251"/>
        <v>0</v>
      </c>
      <c r="AO615" s="424">
        <f t="shared" si="1251"/>
        <v>0</v>
      </c>
      <c r="AP615" s="424">
        <f t="shared" ref="AP615:BU615" si="1252">AP245*AP$372</f>
        <v>0</v>
      </c>
      <c r="AQ615" s="424">
        <f t="shared" si="1252"/>
        <v>0</v>
      </c>
      <c r="AR615" s="424">
        <f t="shared" si="1252"/>
        <v>0</v>
      </c>
      <c r="AS615" s="424">
        <f t="shared" si="1252"/>
        <v>0</v>
      </c>
      <c r="AT615" s="424">
        <f t="shared" si="1252"/>
        <v>0</v>
      </c>
      <c r="AU615" s="424">
        <f t="shared" si="1252"/>
        <v>0</v>
      </c>
      <c r="AV615" s="424">
        <f t="shared" si="1252"/>
        <v>0</v>
      </c>
      <c r="AW615" s="424">
        <f t="shared" si="1252"/>
        <v>0</v>
      </c>
      <c r="AX615" s="424">
        <f t="shared" si="1252"/>
        <v>0</v>
      </c>
      <c r="AY615" s="424">
        <f t="shared" si="1252"/>
        <v>0</v>
      </c>
      <c r="AZ615" s="424">
        <f t="shared" si="1252"/>
        <v>0</v>
      </c>
      <c r="BA615" s="424">
        <f t="shared" si="1252"/>
        <v>0</v>
      </c>
      <c r="BB615" s="424">
        <f t="shared" si="1252"/>
        <v>0</v>
      </c>
      <c r="BC615" s="424">
        <f t="shared" si="1252"/>
        <v>0</v>
      </c>
      <c r="BD615" s="424">
        <f t="shared" si="1252"/>
        <v>0</v>
      </c>
      <c r="BE615" s="424">
        <f t="shared" si="1252"/>
        <v>0</v>
      </c>
      <c r="BF615" s="424">
        <f t="shared" si="1252"/>
        <v>0</v>
      </c>
      <c r="BG615" s="424">
        <f t="shared" si="1252"/>
        <v>0</v>
      </c>
      <c r="BH615" s="424">
        <f t="shared" si="1252"/>
        <v>0</v>
      </c>
      <c r="BI615" s="424">
        <f t="shared" si="1252"/>
        <v>0</v>
      </c>
      <c r="BJ615" s="424">
        <f t="shared" si="1252"/>
        <v>0</v>
      </c>
      <c r="BK615" s="424">
        <f t="shared" si="1252"/>
        <v>0</v>
      </c>
      <c r="BL615" s="424">
        <f t="shared" si="1252"/>
        <v>0</v>
      </c>
      <c r="BM615" s="424">
        <f t="shared" si="1252"/>
        <v>0</v>
      </c>
      <c r="BN615" s="424">
        <f t="shared" si="1252"/>
        <v>0</v>
      </c>
      <c r="BO615" s="424">
        <f t="shared" si="1252"/>
        <v>0</v>
      </c>
      <c r="BP615" s="424">
        <f t="shared" si="1252"/>
        <v>0</v>
      </c>
      <c r="BQ615" s="424">
        <f t="shared" si="1252"/>
        <v>0</v>
      </c>
      <c r="BR615" s="424">
        <f t="shared" si="1252"/>
        <v>0</v>
      </c>
      <c r="BS615" s="424">
        <f t="shared" si="1252"/>
        <v>0.08</v>
      </c>
      <c r="BT615" s="424">
        <f t="shared" si="1252"/>
        <v>0</v>
      </c>
      <c r="BU615" s="424">
        <f t="shared" si="1252"/>
        <v>0</v>
      </c>
      <c r="BV615" s="424">
        <f t="shared" ref="BV615:DA615" si="1253">BV245*BV$372</f>
        <v>0</v>
      </c>
      <c r="BW615" s="424">
        <f t="shared" si="1253"/>
        <v>0</v>
      </c>
      <c r="BX615" s="424">
        <f t="shared" si="1253"/>
        <v>0</v>
      </c>
      <c r="BY615" s="424">
        <f t="shared" si="1253"/>
        <v>0</v>
      </c>
      <c r="BZ615" s="424">
        <f t="shared" si="1253"/>
        <v>0</v>
      </c>
      <c r="CA615" s="424">
        <f t="shared" si="1253"/>
        <v>0</v>
      </c>
      <c r="CB615" s="424">
        <f t="shared" si="1253"/>
        <v>0</v>
      </c>
      <c r="CC615" s="424">
        <f t="shared" si="1253"/>
        <v>0</v>
      </c>
      <c r="CD615" s="424">
        <f t="shared" si="1253"/>
        <v>0</v>
      </c>
      <c r="CE615" s="424">
        <f t="shared" si="1253"/>
        <v>0</v>
      </c>
      <c r="CF615" s="424">
        <f t="shared" si="1253"/>
        <v>0</v>
      </c>
      <c r="CG615" s="424">
        <f t="shared" si="1253"/>
        <v>0</v>
      </c>
      <c r="CH615" s="424">
        <f t="shared" si="1253"/>
        <v>0</v>
      </c>
      <c r="CI615" s="424">
        <f t="shared" si="1253"/>
        <v>0</v>
      </c>
      <c r="CJ615" s="424">
        <f t="shared" si="1253"/>
        <v>0</v>
      </c>
      <c r="CK615" s="424">
        <f t="shared" si="1253"/>
        <v>0</v>
      </c>
      <c r="CL615" s="424">
        <f t="shared" si="1253"/>
        <v>0</v>
      </c>
      <c r="CM615" s="424">
        <f t="shared" si="1253"/>
        <v>0</v>
      </c>
      <c r="CN615" s="424">
        <f t="shared" si="1253"/>
        <v>0</v>
      </c>
      <c r="CO615" s="424">
        <f t="shared" si="1253"/>
        <v>0</v>
      </c>
      <c r="CP615" s="424">
        <f t="shared" si="1253"/>
        <v>0</v>
      </c>
      <c r="CQ615" s="424">
        <f t="shared" si="1253"/>
        <v>0</v>
      </c>
      <c r="CR615" s="424">
        <f t="shared" si="1253"/>
        <v>0</v>
      </c>
      <c r="CS615" s="424">
        <f t="shared" si="1253"/>
        <v>0</v>
      </c>
      <c r="CT615" s="424">
        <f t="shared" si="1253"/>
        <v>0</v>
      </c>
      <c r="CU615" s="424">
        <f t="shared" si="1253"/>
        <v>0</v>
      </c>
      <c r="CV615" s="424">
        <f t="shared" si="1253"/>
        <v>0</v>
      </c>
      <c r="CW615" s="424">
        <f t="shared" si="1253"/>
        <v>0</v>
      </c>
      <c r="CX615" s="424">
        <f t="shared" si="1253"/>
        <v>0</v>
      </c>
      <c r="CY615" s="424">
        <f t="shared" si="1253"/>
        <v>0</v>
      </c>
      <c r="CZ615" s="424">
        <f t="shared" si="1253"/>
        <v>0</v>
      </c>
      <c r="DA615" s="424">
        <f t="shared" si="1253"/>
        <v>0</v>
      </c>
      <c r="DB615" s="424">
        <f t="shared" ref="DB615:EG615" si="1254">DB245*DB$372</f>
        <v>0</v>
      </c>
      <c r="DC615" s="424">
        <f t="shared" si="1254"/>
        <v>0.01</v>
      </c>
      <c r="DD615" s="424">
        <f t="shared" si="1254"/>
        <v>0</v>
      </c>
      <c r="DE615" s="424">
        <f t="shared" si="1254"/>
        <v>0</v>
      </c>
      <c r="DF615" s="424">
        <f t="shared" si="1254"/>
        <v>0.69</v>
      </c>
      <c r="DG615" s="424">
        <f t="shared" si="1254"/>
        <v>0</v>
      </c>
      <c r="DH615" s="424">
        <f t="shared" si="1254"/>
        <v>0</v>
      </c>
      <c r="DI615" s="424">
        <f t="shared" si="1254"/>
        <v>0</v>
      </c>
      <c r="DJ615" s="424">
        <f t="shared" si="1254"/>
        <v>0</v>
      </c>
      <c r="DK615" s="424">
        <f t="shared" si="1254"/>
        <v>0</v>
      </c>
      <c r="DL615" s="424">
        <f t="shared" si="1254"/>
        <v>0</v>
      </c>
      <c r="DM615" s="424">
        <f t="shared" si="1254"/>
        <v>0</v>
      </c>
      <c r="DN615" s="424">
        <f t="shared" si="1254"/>
        <v>0</v>
      </c>
      <c r="DO615" s="424">
        <f t="shared" si="1254"/>
        <v>0</v>
      </c>
      <c r="DP615" s="424">
        <f t="shared" si="1254"/>
        <v>0</v>
      </c>
      <c r="DQ615" s="424">
        <f t="shared" si="1254"/>
        <v>0</v>
      </c>
      <c r="DR615" s="424">
        <f t="shared" si="1254"/>
        <v>0</v>
      </c>
      <c r="DS615" s="424">
        <f t="shared" si="1254"/>
        <v>0</v>
      </c>
      <c r="DT615" s="424">
        <f t="shared" si="1254"/>
        <v>0</v>
      </c>
      <c r="DU615" s="424">
        <f t="shared" si="1254"/>
        <v>0</v>
      </c>
      <c r="DV615" s="424">
        <f t="shared" si="1254"/>
        <v>0</v>
      </c>
      <c r="DW615" s="424">
        <f t="shared" si="1254"/>
        <v>0</v>
      </c>
      <c r="DX615" s="424">
        <f t="shared" si="1254"/>
        <v>0</v>
      </c>
      <c r="DY615" s="424">
        <f t="shared" si="1254"/>
        <v>0</v>
      </c>
      <c r="DZ615" s="424">
        <f t="shared" si="1254"/>
        <v>0</v>
      </c>
      <c r="EA615" s="424">
        <f t="shared" si="1254"/>
        <v>0</v>
      </c>
      <c r="EB615" s="424">
        <f t="shared" si="1254"/>
        <v>0</v>
      </c>
      <c r="EC615" s="424">
        <f t="shared" si="1254"/>
        <v>0</v>
      </c>
      <c r="ED615" s="424">
        <f t="shared" si="1254"/>
        <v>0</v>
      </c>
      <c r="EE615" s="424">
        <f t="shared" si="1254"/>
        <v>0</v>
      </c>
      <c r="EF615" s="424">
        <f t="shared" si="1254"/>
        <v>0</v>
      </c>
      <c r="EG615" s="424">
        <f t="shared" si="1254"/>
        <v>0</v>
      </c>
      <c r="EH615" s="424">
        <f t="shared" ref="EH615:EX615" si="1255">EH245*EH$372</f>
        <v>0</v>
      </c>
      <c r="EI615" s="424">
        <f t="shared" si="1255"/>
        <v>0</v>
      </c>
      <c r="EJ615" s="424">
        <f t="shared" si="1255"/>
        <v>0</v>
      </c>
      <c r="EK615" s="424">
        <f t="shared" si="1255"/>
        <v>0</v>
      </c>
      <c r="EL615" s="424">
        <f t="shared" si="1255"/>
        <v>0</v>
      </c>
      <c r="EM615" s="424">
        <f t="shared" si="1255"/>
        <v>0</v>
      </c>
      <c r="EN615" s="424">
        <f t="shared" si="1255"/>
        <v>0</v>
      </c>
      <c r="EO615" s="424">
        <f t="shared" si="1255"/>
        <v>0</v>
      </c>
      <c r="EP615" s="424">
        <f t="shared" si="1255"/>
        <v>0</v>
      </c>
      <c r="EQ615" s="424">
        <f t="shared" si="1255"/>
        <v>0</v>
      </c>
      <c r="ER615" s="424">
        <f t="shared" si="1255"/>
        <v>0</v>
      </c>
      <c r="ES615" s="424">
        <f t="shared" si="1255"/>
        <v>0</v>
      </c>
      <c r="ET615" s="424">
        <f t="shared" si="1255"/>
        <v>0</v>
      </c>
      <c r="EU615" s="424">
        <f t="shared" si="1255"/>
        <v>0</v>
      </c>
      <c r="EV615" s="424">
        <f t="shared" si="1255"/>
        <v>0</v>
      </c>
      <c r="EW615" s="424">
        <f t="shared" si="1255"/>
        <v>0</v>
      </c>
      <c r="EX615" s="424">
        <f t="shared" si="1255"/>
        <v>0</v>
      </c>
      <c r="EY615" s="425">
        <f t="shared" si="1064"/>
        <v>2.54</v>
      </c>
      <c r="EZ615" s="616"/>
      <c r="FA615" s="616"/>
      <c r="FB615" s="616"/>
      <c r="FC615" s="616"/>
      <c r="FD615" s="616"/>
      <c r="FE615" s="616"/>
      <c r="FF615" s="616"/>
      <c r="FG615" s="616"/>
      <c r="FH615" s="616"/>
      <c r="FI615" s="616"/>
      <c r="FJ615" s="616"/>
    </row>
    <row r="616" spans="1:166" ht="14.7" customHeight="1" x14ac:dyDescent="0.25">
      <c r="A616" s="310">
        <v>242</v>
      </c>
      <c r="B616" s="311" t="str">
        <f t="shared" si="1005"/>
        <v>Соус сметанный с томатом (50 гр.)</v>
      </c>
      <c r="C616" s="483">
        <f t="shared" si="1018"/>
        <v>4.2300000000000004</v>
      </c>
      <c r="D616" s="888"/>
      <c r="E616" s="888"/>
      <c r="F616" s="888"/>
      <c r="G616" s="889"/>
      <c r="H616" s="680">
        <f t="shared" si="1175"/>
        <v>331</v>
      </c>
      <c r="I616" s="1209">
        <f t="shared" si="1007"/>
        <v>-0.01</v>
      </c>
      <c r="J616" s="424">
        <f t="shared" ref="J616:AO616" si="1256">J246*J$372</f>
        <v>0</v>
      </c>
      <c r="K616" s="424">
        <f t="shared" si="1256"/>
        <v>0</v>
      </c>
      <c r="L616" s="424">
        <f t="shared" si="1256"/>
        <v>0</v>
      </c>
      <c r="M616" s="424">
        <f t="shared" si="1256"/>
        <v>0</v>
      </c>
      <c r="N616" s="424">
        <f t="shared" si="1256"/>
        <v>0</v>
      </c>
      <c r="O616" s="424">
        <f t="shared" si="1256"/>
        <v>0</v>
      </c>
      <c r="P616" s="424">
        <f t="shared" si="1256"/>
        <v>0</v>
      </c>
      <c r="Q616" s="424">
        <f t="shared" si="1256"/>
        <v>0</v>
      </c>
      <c r="R616" s="424">
        <f t="shared" si="1256"/>
        <v>0</v>
      </c>
      <c r="S616" s="424">
        <f t="shared" si="1256"/>
        <v>0</v>
      </c>
      <c r="T616" s="424">
        <f t="shared" si="1256"/>
        <v>0</v>
      </c>
      <c r="U616" s="424">
        <f t="shared" si="1256"/>
        <v>0</v>
      </c>
      <c r="V616" s="424">
        <f t="shared" si="1256"/>
        <v>0</v>
      </c>
      <c r="W616" s="424">
        <f t="shared" si="1256"/>
        <v>0</v>
      </c>
      <c r="X616" s="424">
        <f t="shared" si="1256"/>
        <v>0</v>
      </c>
      <c r="Y616" s="424">
        <f t="shared" si="1256"/>
        <v>2.93</v>
      </c>
      <c r="Z616" s="424">
        <f t="shared" si="1256"/>
        <v>0</v>
      </c>
      <c r="AA616" s="424">
        <f t="shared" si="1256"/>
        <v>0</v>
      </c>
      <c r="AB616" s="424">
        <f t="shared" si="1256"/>
        <v>0</v>
      </c>
      <c r="AC616" s="424">
        <f t="shared" si="1256"/>
        <v>0</v>
      </c>
      <c r="AD616" s="424">
        <f t="shared" si="1256"/>
        <v>0</v>
      </c>
      <c r="AE616" s="424">
        <f t="shared" si="1256"/>
        <v>0</v>
      </c>
      <c r="AF616" s="424">
        <f t="shared" si="1256"/>
        <v>0</v>
      </c>
      <c r="AG616" s="424">
        <f t="shared" si="1256"/>
        <v>0</v>
      </c>
      <c r="AH616" s="424">
        <f t="shared" si="1256"/>
        <v>0</v>
      </c>
      <c r="AI616" s="424">
        <f t="shared" si="1256"/>
        <v>0</v>
      </c>
      <c r="AJ616" s="424">
        <f t="shared" si="1256"/>
        <v>0</v>
      </c>
      <c r="AK616" s="424">
        <f t="shared" si="1256"/>
        <v>0</v>
      </c>
      <c r="AL616" s="424">
        <f t="shared" si="1256"/>
        <v>0</v>
      </c>
      <c r="AM616" s="424">
        <f t="shared" si="1256"/>
        <v>0</v>
      </c>
      <c r="AN616" s="424">
        <f t="shared" si="1256"/>
        <v>0</v>
      </c>
      <c r="AO616" s="424">
        <f t="shared" si="1256"/>
        <v>0</v>
      </c>
      <c r="AP616" s="424">
        <f t="shared" ref="AP616:BU616" si="1257">AP246*AP$372</f>
        <v>0</v>
      </c>
      <c r="AQ616" s="424">
        <f t="shared" si="1257"/>
        <v>0</v>
      </c>
      <c r="AR616" s="424">
        <f t="shared" si="1257"/>
        <v>0</v>
      </c>
      <c r="AS616" s="424">
        <f t="shared" si="1257"/>
        <v>0</v>
      </c>
      <c r="AT616" s="424">
        <f t="shared" si="1257"/>
        <v>0</v>
      </c>
      <c r="AU616" s="424">
        <f t="shared" si="1257"/>
        <v>0</v>
      </c>
      <c r="AV616" s="424">
        <f t="shared" si="1257"/>
        <v>0</v>
      </c>
      <c r="AW616" s="424">
        <f t="shared" si="1257"/>
        <v>0</v>
      </c>
      <c r="AX616" s="424">
        <f t="shared" si="1257"/>
        <v>0</v>
      </c>
      <c r="AY616" s="424">
        <f t="shared" si="1257"/>
        <v>0</v>
      </c>
      <c r="AZ616" s="424">
        <f t="shared" si="1257"/>
        <v>0</v>
      </c>
      <c r="BA616" s="424">
        <f t="shared" si="1257"/>
        <v>0</v>
      </c>
      <c r="BB616" s="424">
        <f t="shared" si="1257"/>
        <v>0</v>
      </c>
      <c r="BC616" s="424">
        <f t="shared" si="1257"/>
        <v>0</v>
      </c>
      <c r="BD616" s="424">
        <f t="shared" si="1257"/>
        <v>0</v>
      </c>
      <c r="BE616" s="424">
        <f t="shared" si="1257"/>
        <v>0</v>
      </c>
      <c r="BF616" s="424">
        <f t="shared" si="1257"/>
        <v>0</v>
      </c>
      <c r="BG616" s="424">
        <f t="shared" si="1257"/>
        <v>0</v>
      </c>
      <c r="BH616" s="424">
        <f t="shared" si="1257"/>
        <v>0</v>
      </c>
      <c r="BI616" s="424">
        <f t="shared" si="1257"/>
        <v>0</v>
      </c>
      <c r="BJ616" s="424">
        <f t="shared" si="1257"/>
        <v>0</v>
      </c>
      <c r="BK616" s="424">
        <f t="shared" si="1257"/>
        <v>0</v>
      </c>
      <c r="BL616" s="424">
        <f t="shared" si="1257"/>
        <v>0</v>
      </c>
      <c r="BM616" s="424">
        <f t="shared" si="1257"/>
        <v>0</v>
      </c>
      <c r="BN616" s="424">
        <f t="shared" si="1257"/>
        <v>0</v>
      </c>
      <c r="BO616" s="424">
        <f t="shared" si="1257"/>
        <v>0</v>
      </c>
      <c r="BP616" s="424">
        <f t="shared" si="1257"/>
        <v>0</v>
      </c>
      <c r="BQ616" s="424">
        <f t="shared" si="1257"/>
        <v>0</v>
      </c>
      <c r="BR616" s="424">
        <f t="shared" si="1257"/>
        <v>0</v>
      </c>
      <c r="BS616" s="424">
        <f t="shared" si="1257"/>
        <v>0.14000000000000001</v>
      </c>
      <c r="BT616" s="424">
        <f t="shared" si="1257"/>
        <v>0</v>
      </c>
      <c r="BU616" s="424">
        <f t="shared" si="1257"/>
        <v>0</v>
      </c>
      <c r="BV616" s="424">
        <f t="shared" ref="BV616:DA616" si="1258">BV246*BV$372</f>
        <v>0</v>
      </c>
      <c r="BW616" s="424">
        <f t="shared" si="1258"/>
        <v>0</v>
      </c>
      <c r="BX616" s="424">
        <f t="shared" si="1258"/>
        <v>0</v>
      </c>
      <c r="BY616" s="424">
        <f t="shared" si="1258"/>
        <v>0</v>
      </c>
      <c r="BZ616" s="424">
        <f t="shared" si="1258"/>
        <v>0</v>
      </c>
      <c r="CA616" s="424">
        <f t="shared" si="1258"/>
        <v>0</v>
      </c>
      <c r="CB616" s="424">
        <f t="shared" si="1258"/>
        <v>0</v>
      </c>
      <c r="CC616" s="424">
        <f t="shared" si="1258"/>
        <v>0</v>
      </c>
      <c r="CD616" s="424">
        <f t="shared" si="1258"/>
        <v>0</v>
      </c>
      <c r="CE616" s="424">
        <f t="shared" si="1258"/>
        <v>0</v>
      </c>
      <c r="CF616" s="424">
        <f t="shared" si="1258"/>
        <v>0</v>
      </c>
      <c r="CG616" s="424">
        <f t="shared" si="1258"/>
        <v>0</v>
      </c>
      <c r="CH616" s="424">
        <f t="shared" si="1258"/>
        <v>0</v>
      </c>
      <c r="CI616" s="424">
        <f t="shared" si="1258"/>
        <v>0</v>
      </c>
      <c r="CJ616" s="424">
        <f t="shared" si="1258"/>
        <v>0</v>
      </c>
      <c r="CK616" s="424">
        <f t="shared" si="1258"/>
        <v>0</v>
      </c>
      <c r="CL616" s="424">
        <f t="shared" si="1258"/>
        <v>0</v>
      </c>
      <c r="CM616" s="424">
        <f t="shared" si="1258"/>
        <v>0</v>
      </c>
      <c r="CN616" s="424">
        <f t="shared" si="1258"/>
        <v>0</v>
      </c>
      <c r="CO616" s="424">
        <f t="shared" si="1258"/>
        <v>0</v>
      </c>
      <c r="CP616" s="424">
        <f t="shared" si="1258"/>
        <v>0</v>
      </c>
      <c r="CQ616" s="424">
        <f t="shared" si="1258"/>
        <v>0</v>
      </c>
      <c r="CR616" s="424">
        <f t="shared" si="1258"/>
        <v>0</v>
      </c>
      <c r="CS616" s="424">
        <f t="shared" si="1258"/>
        <v>0</v>
      </c>
      <c r="CT616" s="424">
        <f t="shared" si="1258"/>
        <v>0</v>
      </c>
      <c r="CU616" s="424">
        <f t="shared" si="1258"/>
        <v>0</v>
      </c>
      <c r="CV616" s="424">
        <f t="shared" si="1258"/>
        <v>0</v>
      </c>
      <c r="CW616" s="424">
        <f t="shared" si="1258"/>
        <v>0</v>
      </c>
      <c r="CX616" s="424">
        <f t="shared" si="1258"/>
        <v>0</v>
      </c>
      <c r="CY616" s="424">
        <f t="shared" si="1258"/>
        <v>0</v>
      </c>
      <c r="CZ616" s="424">
        <f t="shared" si="1258"/>
        <v>0</v>
      </c>
      <c r="DA616" s="424">
        <f t="shared" si="1258"/>
        <v>0</v>
      </c>
      <c r="DB616" s="424">
        <f t="shared" ref="DB616:EG616" si="1259">DB246*DB$372</f>
        <v>0</v>
      </c>
      <c r="DC616" s="424">
        <f t="shared" si="1259"/>
        <v>0.01</v>
      </c>
      <c r="DD616" s="424">
        <f t="shared" si="1259"/>
        <v>0</v>
      </c>
      <c r="DE616" s="424">
        <f t="shared" si="1259"/>
        <v>0</v>
      </c>
      <c r="DF616" s="424">
        <f t="shared" si="1259"/>
        <v>1.1499999999999999</v>
      </c>
      <c r="DG616" s="424">
        <f t="shared" si="1259"/>
        <v>0</v>
      </c>
      <c r="DH616" s="424">
        <f t="shared" si="1259"/>
        <v>0</v>
      </c>
      <c r="DI616" s="424">
        <f t="shared" si="1259"/>
        <v>0</v>
      </c>
      <c r="DJ616" s="424">
        <f t="shared" si="1259"/>
        <v>0</v>
      </c>
      <c r="DK616" s="424">
        <f t="shared" si="1259"/>
        <v>0</v>
      </c>
      <c r="DL616" s="424">
        <f t="shared" si="1259"/>
        <v>0</v>
      </c>
      <c r="DM616" s="424">
        <f t="shared" si="1259"/>
        <v>0</v>
      </c>
      <c r="DN616" s="424">
        <f t="shared" si="1259"/>
        <v>0</v>
      </c>
      <c r="DO616" s="424">
        <f t="shared" si="1259"/>
        <v>0</v>
      </c>
      <c r="DP616" s="424">
        <f t="shared" si="1259"/>
        <v>0</v>
      </c>
      <c r="DQ616" s="424">
        <f t="shared" si="1259"/>
        <v>0</v>
      </c>
      <c r="DR616" s="424">
        <f t="shared" si="1259"/>
        <v>0</v>
      </c>
      <c r="DS616" s="424">
        <f t="shared" si="1259"/>
        <v>0</v>
      </c>
      <c r="DT616" s="424">
        <f t="shared" si="1259"/>
        <v>0</v>
      </c>
      <c r="DU616" s="424">
        <f t="shared" si="1259"/>
        <v>0</v>
      </c>
      <c r="DV616" s="424">
        <f t="shared" si="1259"/>
        <v>0</v>
      </c>
      <c r="DW616" s="424">
        <f t="shared" si="1259"/>
        <v>0</v>
      </c>
      <c r="DX616" s="424">
        <f t="shared" si="1259"/>
        <v>0</v>
      </c>
      <c r="DY616" s="424">
        <f t="shared" si="1259"/>
        <v>0</v>
      </c>
      <c r="DZ616" s="424">
        <f t="shared" si="1259"/>
        <v>0</v>
      </c>
      <c r="EA616" s="424">
        <f t="shared" si="1259"/>
        <v>0</v>
      </c>
      <c r="EB616" s="424">
        <f t="shared" si="1259"/>
        <v>0</v>
      </c>
      <c r="EC616" s="424">
        <f t="shared" si="1259"/>
        <v>0</v>
      </c>
      <c r="ED616" s="424">
        <f t="shared" si="1259"/>
        <v>0</v>
      </c>
      <c r="EE616" s="424">
        <f t="shared" si="1259"/>
        <v>0</v>
      </c>
      <c r="EF616" s="424">
        <f t="shared" si="1259"/>
        <v>0</v>
      </c>
      <c r="EG616" s="424">
        <f t="shared" si="1259"/>
        <v>0</v>
      </c>
      <c r="EH616" s="424">
        <f t="shared" ref="EH616:EX616" si="1260">EH246*EH$372</f>
        <v>0</v>
      </c>
      <c r="EI616" s="424">
        <f t="shared" si="1260"/>
        <v>0</v>
      </c>
      <c r="EJ616" s="424">
        <f t="shared" si="1260"/>
        <v>0</v>
      </c>
      <c r="EK616" s="424">
        <f t="shared" si="1260"/>
        <v>0</v>
      </c>
      <c r="EL616" s="424">
        <f t="shared" si="1260"/>
        <v>0</v>
      </c>
      <c r="EM616" s="424">
        <f t="shared" si="1260"/>
        <v>0</v>
      </c>
      <c r="EN616" s="424">
        <f t="shared" si="1260"/>
        <v>0</v>
      </c>
      <c r="EO616" s="424">
        <f t="shared" si="1260"/>
        <v>0</v>
      </c>
      <c r="EP616" s="424">
        <f t="shared" si="1260"/>
        <v>0</v>
      </c>
      <c r="EQ616" s="424">
        <f t="shared" si="1260"/>
        <v>0</v>
      </c>
      <c r="ER616" s="424">
        <f t="shared" si="1260"/>
        <v>0</v>
      </c>
      <c r="ES616" s="424">
        <f t="shared" si="1260"/>
        <v>0</v>
      </c>
      <c r="ET616" s="424">
        <f t="shared" si="1260"/>
        <v>0</v>
      </c>
      <c r="EU616" s="424">
        <f t="shared" si="1260"/>
        <v>0</v>
      </c>
      <c r="EV616" s="424">
        <f t="shared" si="1260"/>
        <v>0</v>
      </c>
      <c r="EW616" s="424">
        <f t="shared" si="1260"/>
        <v>0</v>
      </c>
      <c r="EX616" s="424">
        <f t="shared" si="1260"/>
        <v>0</v>
      </c>
      <c r="EY616" s="425">
        <f t="shared" si="1064"/>
        <v>4.2300000000000004</v>
      </c>
    </row>
    <row r="617" spans="1:166" ht="14.7" customHeight="1" x14ac:dyDescent="0.25">
      <c r="A617" s="310">
        <v>243</v>
      </c>
      <c r="B617" s="311" t="str">
        <f t="shared" si="1005"/>
        <v>Соус сметанный с луком</v>
      </c>
      <c r="C617" s="483">
        <f t="shared" si="1018"/>
        <v>82.6</v>
      </c>
      <c r="D617" s="888"/>
      <c r="E617" s="888"/>
      <c r="F617" s="888"/>
      <c r="G617" s="889"/>
      <c r="H617" s="680">
        <f t="shared" si="1175"/>
        <v>332</v>
      </c>
      <c r="I617" s="1209">
        <f t="shared" si="1007"/>
        <v>0</v>
      </c>
      <c r="J617" s="424">
        <f t="shared" ref="J617:AO617" si="1261">J247*J$372</f>
        <v>0</v>
      </c>
      <c r="K617" s="424">
        <f t="shared" si="1261"/>
        <v>0</v>
      </c>
      <c r="L617" s="424">
        <f t="shared" si="1261"/>
        <v>0</v>
      </c>
      <c r="M617" s="424">
        <f t="shared" si="1261"/>
        <v>0</v>
      </c>
      <c r="N617" s="424">
        <f t="shared" si="1261"/>
        <v>0</v>
      </c>
      <c r="O617" s="424">
        <f t="shared" si="1261"/>
        <v>0</v>
      </c>
      <c r="P617" s="424">
        <f t="shared" si="1261"/>
        <v>0</v>
      </c>
      <c r="Q617" s="424">
        <f t="shared" si="1261"/>
        <v>0</v>
      </c>
      <c r="R617" s="424">
        <f t="shared" si="1261"/>
        <v>0</v>
      </c>
      <c r="S617" s="424">
        <f t="shared" si="1261"/>
        <v>0</v>
      </c>
      <c r="T617" s="424">
        <f t="shared" si="1261"/>
        <v>0</v>
      </c>
      <c r="U617" s="424">
        <f t="shared" si="1261"/>
        <v>0</v>
      </c>
      <c r="V617" s="424">
        <f t="shared" si="1261"/>
        <v>14.2</v>
      </c>
      <c r="W617" s="424">
        <f t="shared" si="1261"/>
        <v>0</v>
      </c>
      <c r="X617" s="424">
        <f t="shared" si="1261"/>
        <v>0</v>
      </c>
      <c r="Y617" s="424">
        <f t="shared" si="1261"/>
        <v>53.82</v>
      </c>
      <c r="Z617" s="424">
        <f t="shared" si="1261"/>
        <v>0</v>
      </c>
      <c r="AA617" s="424">
        <f t="shared" si="1261"/>
        <v>0</v>
      </c>
      <c r="AB617" s="424">
        <f t="shared" si="1261"/>
        <v>0</v>
      </c>
      <c r="AC617" s="424">
        <f t="shared" si="1261"/>
        <v>0</v>
      </c>
      <c r="AD617" s="424">
        <f t="shared" si="1261"/>
        <v>0</v>
      </c>
      <c r="AE617" s="424">
        <f t="shared" si="1261"/>
        <v>0</v>
      </c>
      <c r="AF617" s="424">
        <f t="shared" si="1261"/>
        <v>0</v>
      </c>
      <c r="AG617" s="424">
        <f t="shared" si="1261"/>
        <v>0</v>
      </c>
      <c r="AH617" s="424">
        <f t="shared" si="1261"/>
        <v>0</v>
      </c>
      <c r="AI617" s="424">
        <f t="shared" si="1261"/>
        <v>0</v>
      </c>
      <c r="AJ617" s="424">
        <f t="shared" si="1261"/>
        <v>0</v>
      </c>
      <c r="AK617" s="424">
        <f t="shared" si="1261"/>
        <v>11.9</v>
      </c>
      <c r="AL617" s="424">
        <f t="shared" si="1261"/>
        <v>0</v>
      </c>
      <c r="AM617" s="424">
        <f t="shared" si="1261"/>
        <v>0</v>
      </c>
      <c r="AN617" s="424">
        <f t="shared" si="1261"/>
        <v>0</v>
      </c>
      <c r="AO617" s="424">
        <f t="shared" si="1261"/>
        <v>0</v>
      </c>
      <c r="AP617" s="424">
        <f t="shared" ref="AP617:BU617" si="1262">AP247*AP$372</f>
        <v>0</v>
      </c>
      <c r="AQ617" s="424">
        <f t="shared" si="1262"/>
        <v>0</v>
      </c>
      <c r="AR617" s="424">
        <f t="shared" si="1262"/>
        <v>0</v>
      </c>
      <c r="AS617" s="424">
        <f t="shared" si="1262"/>
        <v>0</v>
      </c>
      <c r="AT617" s="424">
        <f t="shared" si="1262"/>
        <v>0</v>
      </c>
      <c r="AU617" s="424">
        <f t="shared" si="1262"/>
        <v>0</v>
      </c>
      <c r="AV617" s="424">
        <f t="shared" si="1262"/>
        <v>0</v>
      </c>
      <c r="AW617" s="424">
        <f t="shared" si="1262"/>
        <v>0</v>
      </c>
      <c r="AX617" s="424">
        <f t="shared" si="1262"/>
        <v>0</v>
      </c>
      <c r="AY617" s="424">
        <f t="shared" si="1262"/>
        <v>0</v>
      </c>
      <c r="AZ617" s="424">
        <f t="shared" si="1262"/>
        <v>0</v>
      </c>
      <c r="BA617" s="424">
        <f t="shared" si="1262"/>
        <v>0</v>
      </c>
      <c r="BB617" s="424">
        <f t="shared" si="1262"/>
        <v>0</v>
      </c>
      <c r="BC617" s="424">
        <f t="shared" si="1262"/>
        <v>0</v>
      </c>
      <c r="BD617" s="424">
        <f t="shared" si="1262"/>
        <v>0</v>
      </c>
      <c r="BE617" s="424">
        <f t="shared" si="1262"/>
        <v>0</v>
      </c>
      <c r="BF617" s="424">
        <f t="shared" si="1262"/>
        <v>0</v>
      </c>
      <c r="BG617" s="424">
        <f t="shared" si="1262"/>
        <v>0</v>
      </c>
      <c r="BH617" s="424">
        <f t="shared" si="1262"/>
        <v>0</v>
      </c>
      <c r="BI617" s="424">
        <f t="shared" si="1262"/>
        <v>0</v>
      </c>
      <c r="BJ617" s="424">
        <f t="shared" si="1262"/>
        <v>0</v>
      </c>
      <c r="BK617" s="424">
        <f t="shared" si="1262"/>
        <v>0</v>
      </c>
      <c r="BL617" s="424">
        <f t="shared" si="1262"/>
        <v>0</v>
      </c>
      <c r="BM617" s="424">
        <f t="shared" si="1262"/>
        <v>0</v>
      </c>
      <c r="BN617" s="424">
        <f t="shared" si="1262"/>
        <v>0</v>
      </c>
      <c r="BO617" s="424">
        <f t="shared" si="1262"/>
        <v>0</v>
      </c>
      <c r="BP617" s="424">
        <f t="shared" si="1262"/>
        <v>0</v>
      </c>
      <c r="BQ617" s="424">
        <f t="shared" si="1262"/>
        <v>0</v>
      </c>
      <c r="BR617" s="424">
        <f t="shared" si="1262"/>
        <v>0</v>
      </c>
      <c r="BS617" s="424">
        <f t="shared" si="1262"/>
        <v>2.48</v>
      </c>
      <c r="BT617" s="424">
        <f t="shared" si="1262"/>
        <v>0</v>
      </c>
      <c r="BU617" s="424">
        <f t="shared" si="1262"/>
        <v>0</v>
      </c>
      <c r="BV617" s="424">
        <f t="shared" ref="BV617:DA617" si="1263">BV247*BV$372</f>
        <v>0</v>
      </c>
      <c r="BW617" s="424">
        <f t="shared" si="1263"/>
        <v>0</v>
      </c>
      <c r="BX617" s="424">
        <f t="shared" si="1263"/>
        <v>0</v>
      </c>
      <c r="BY617" s="424">
        <f t="shared" si="1263"/>
        <v>0</v>
      </c>
      <c r="BZ617" s="424">
        <f t="shared" si="1263"/>
        <v>0</v>
      </c>
      <c r="CA617" s="424">
        <f t="shared" si="1263"/>
        <v>0</v>
      </c>
      <c r="CB617" s="424">
        <f t="shared" si="1263"/>
        <v>0</v>
      </c>
      <c r="CC617" s="424">
        <f t="shared" si="1263"/>
        <v>0</v>
      </c>
      <c r="CD617" s="424">
        <f t="shared" si="1263"/>
        <v>0</v>
      </c>
      <c r="CE617" s="424">
        <f t="shared" si="1263"/>
        <v>0</v>
      </c>
      <c r="CF617" s="424">
        <f t="shared" si="1263"/>
        <v>0</v>
      </c>
      <c r="CG617" s="424">
        <f t="shared" si="1263"/>
        <v>0</v>
      </c>
      <c r="CH617" s="424">
        <f t="shared" si="1263"/>
        <v>0</v>
      </c>
      <c r="CI617" s="424">
        <f t="shared" si="1263"/>
        <v>0</v>
      </c>
      <c r="CJ617" s="424">
        <f t="shared" si="1263"/>
        <v>0</v>
      </c>
      <c r="CK617" s="424">
        <f t="shared" si="1263"/>
        <v>0</v>
      </c>
      <c r="CL617" s="424">
        <f t="shared" si="1263"/>
        <v>0</v>
      </c>
      <c r="CM617" s="424">
        <f t="shared" si="1263"/>
        <v>0</v>
      </c>
      <c r="CN617" s="424">
        <f t="shared" si="1263"/>
        <v>0</v>
      </c>
      <c r="CO617" s="424">
        <f t="shared" si="1263"/>
        <v>0</v>
      </c>
      <c r="CP617" s="424">
        <f t="shared" si="1263"/>
        <v>0</v>
      </c>
      <c r="CQ617" s="424">
        <f t="shared" si="1263"/>
        <v>0</v>
      </c>
      <c r="CR617" s="424">
        <f t="shared" si="1263"/>
        <v>0</v>
      </c>
      <c r="CS617" s="424">
        <f t="shared" si="1263"/>
        <v>0.02</v>
      </c>
      <c r="CT617" s="424">
        <f t="shared" si="1263"/>
        <v>0</v>
      </c>
      <c r="CU617" s="424">
        <f t="shared" si="1263"/>
        <v>0</v>
      </c>
      <c r="CV617" s="424">
        <f t="shared" si="1263"/>
        <v>0</v>
      </c>
      <c r="CW617" s="424">
        <f t="shared" si="1263"/>
        <v>0</v>
      </c>
      <c r="CX617" s="424">
        <f t="shared" si="1263"/>
        <v>0</v>
      </c>
      <c r="CY617" s="424">
        <f t="shared" si="1263"/>
        <v>0</v>
      </c>
      <c r="CZ617" s="424">
        <f t="shared" si="1263"/>
        <v>0</v>
      </c>
      <c r="DA617" s="424">
        <f t="shared" si="1263"/>
        <v>0</v>
      </c>
      <c r="DB617" s="424">
        <f t="shared" ref="DB617:EG617" si="1264">DB247*DB$372</f>
        <v>0</v>
      </c>
      <c r="DC617" s="424">
        <f t="shared" si="1264"/>
        <v>0.18</v>
      </c>
      <c r="DD617" s="424">
        <f t="shared" si="1264"/>
        <v>0</v>
      </c>
      <c r="DE617" s="424">
        <f t="shared" si="1264"/>
        <v>0</v>
      </c>
      <c r="DF617" s="424">
        <f t="shared" si="1264"/>
        <v>0</v>
      </c>
      <c r="DG617" s="424">
        <f t="shared" si="1264"/>
        <v>0</v>
      </c>
      <c r="DH617" s="424">
        <f t="shared" si="1264"/>
        <v>0</v>
      </c>
      <c r="DI617" s="424">
        <f t="shared" si="1264"/>
        <v>0</v>
      </c>
      <c r="DJ617" s="424">
        <f t="shared" si="1264"/>
        <v>0</v>
      </c>
      <c r="DK617" s="424">
        <f t="shared" si="1264"/>
        <v>0</v>
      </c>
      <c r="DL617" s="424">
        <f t="shared" si="1264"/>
        <v>0</v>
      </c>
      <c r="DM617" s="424">
        <f t="shared" si="1264"/>
        <v>0</v>
      </c>
      <c r="DN617" s="424">
        <f t="shared" si="1264"/>
        <v>0</v>
      </c>
      <c r="DO617" s="424">
        <f t="shared" si="1264"/>
        <v>0</v>
      </c>
      <c r="DP617" s="424">
        <f t="shared" si="1264"/>
        <v>0</v>
      </c>
      <c r="DQ617" s="424">
        <f t="shared" si="1264"/>
        <v>0</v>
      </c>
      <c r="DR617" s="424">
        <f t="shared" si="1264"/>
        <v>0</v>
      </c>
      <c r="DS617" s="424">
        <f t="shared" si="1264"/>
        <v>0</v>
      </c>
      <c r="DT617" s="424">
        <f t="shared" si="1264"/>
        <v>0</v>
      </c>
      <c r="DU617" s="424">
        <f t="shared" si="1264"/>
        <v>0</v>
      </c>
      <c r="DV617" s="424">
        <f t="shared" si="1264"/>
        <v>0</v>
      </c>
      <c r="DW617" s="424">
        <f t="shared" si="1264"/>
        <v>0</v>
      </c>
      <c r="DX617" s="424">
        <f t="shared" si="1264"/>
        <v>0</v>
      </c>
      <c r="DY617" s="424">
        <f t="shared" si="1264"/>
        <v>0</v>
      </c>
      <c r="DZ617" s="424">
        <f t="shared" si="1264"/>
        <v>0</v>
      </c>
      <c r="EA617" s="424">
        <f t="shared" si="1264"/>
        <v>0</v>
      </c>
      <c r="EB617" s="424">
        <f t="shared" si="1264"/>
        <v>0</v>
      </c>
      <c r="EC617" s="424">
        <f t="shared" si="1264"/>
        <v>0</v>
      </c>
      <c r="ED617" s="424">
        <f t="shared" si="1264"/>
        <v>0</v>
      </c>
      <c r="EE617" s="424">
        <f t="shared" si="1264"/>
        <v>0</v>
      </c>
      <c r="EF617" s="424">
        <f t="shared" si="1264"/>
        <v>0</v>
      </c>
      <c r="EG617" s="424">
        <f t="shared" si="1264"/>
        <v>0</v>
      </c>
      <c r="EH617" s="424">
        <f t="shared" ref="EH617:EX617" si="1265">EH247*EH$372</f>
        <v>0</v>
      </c>
      <c r="EI617" s="424">
        <f t="shared" si="1265"/>
        <v>0</v>
      </c>
      <c r="EJ617" s="424">
        <f t="shared" si="1265"/>
        <v>0</v>
      </c>
      <c r="EK617" s="424">
        <f t="shared" si="1265"/>
        <v>0</v>
      </c>
      <c r="EL617" s="424">
        <f t="shared" si="1265"/>
        <v>0</v>
      </c>
      <c r="EM617" s="424">
        <f t="shared" si="1265"/>
        <v>0</v>
      </c>
      <c r="EN617" s="424">
        <f t="shared" si="1265"/>
        <v>0</v>
      </c>
      <c r="EO617" s="424">
        <f t="shared" si="1265"/>
        <v>0</v>
      </c>
      <c r="EP617" s="424">
        <f t="shared" si="1265"/>
        <v>0</v>
      </c>
      <c r="EQ617" s="424">
        <f t="shared" si="1265"/>
        <v>0</v>
      </c>
      <c r="ER617" s="424">
        <f t="shared" si="1265"/>
        <v>0</v>
      </c>
      <c r="ES617" s="424">
        <f t="shared" si="1265"/>
        <v>0</v>
      </c>
      <c r="ET617" s="424">
        <f t="shared" si="1265"/>
        <v>0</v>
      </c>
      <c r="EU617" s="424">
        <f t="shared" si="1265"/>
        <v>0</v>
      </c>
      <c r="EV617" s="424">
        <f t="shared" si="1265"/>
        <v>0</v>
      </c>
      <c r="EW617" s="424">
        <f t="shared" si="1265"/>
        <v>0</v>
      </c>
      <c r="EX617" s="424">
        <f t="shared" si="1265"/>
        <v>0</v>
      </c>
      <c r="EY617" s="425">
        <f t="shared" si="1064"/>
        <v>82.6</v>
      </c>
    </row>
    <row r="618" spans="1:166" ht="14.7" customHeight="1" x14ac:dyDescent="0.25">
      <c r="A618" s="310">
        <v>244</v>
      </c>
      <c r="B618" s="311" t="str">
        <f t="shared" si="1005"/>
        <v>Соус сметанный с луком (30 гр.)</v>
      </c>
      <c r="C618" s="483">
        <f t="shared" si="1018"/>
        <v>2.48</v>
      </c>
      <c r="D618" s="888"/>
      <c r="E618" s="888"/>
      <c r="F618" s="888"/>
      <c r="G618" s="889"/>
      <c r="H618" s="680">
        <f t="shared" si="1175"/>
        <v>332</v>
      </c>
      <c r="I618" s="1209">
        <f t="shared" si="1007"/>
        <v>0</v>
      </c>
      <c r="J618" s="424">
        <f t="shared" ref="J618:AO618" si="1266">J248*J$372</f>
        <v>0</v>
      </c>
      <c r="K618" s="424">
        <f t="shared" si="1266"/>
        <v>0</v>
      </c>
      <c r="L618" s="424">
        <f t="shared" si="1266"/>
        <v>0</v>
      </c>
      <c r="M618" s="424">
        <f t="shared" si="1266"/>
        <v>0</v>
      </c>
      <c r="N618" s="424">
        <f t="shared" si="1266"/>
        <v>0</v>
      </c>
      <c r="O618" s="424">
        <f t="shared" si="1266"/>
        <v>0</v>
      </c>
      <c r="P618" s="424">
        <f t="shared" si="1266"/>
        <v>0</v>
      </c>
      <c r="Q618" s="424">
        <f t="shared" si="1266"/>
        <v>0</v>
      </c>
      <c r="R618" s="424">
        <f t="shared" si="1266"/>
        <v>0</v>
      </c>
      <c r="S618" s="424">
        <f t="shared" si="1266"/>
        <v>0</v>
      </c>
      <c r="T618" s="424">
        <f t="shared" si="1266"/>
        <v>0</v>
      </c>
      <c r="U618" s="424">
        <f t="shared" si="1266"/>
        <v>0</v>
      </c>
      <c r="V618" s="424">
        <f t="shared" si="1266"/>
        <v>0.43</v>
      </c>
      <c r="W618" s="424">
        <f t="shared" si="1266"/>
        <v>0</v>
      </c>
      <c r="X618" s="424">
        <f t="shared" si="1266"/>
        <v>0</v>
      </c>
      <c r="Y618" s="424">
        <f t="shared" si="1266"/>
        <v>1.61</v>
      </c>
      <c r="Z618" s="424">
        <f t="shared" si="1266"/>
        <v>0</v>
      </c>
      <c r="AA618" s="424">
        <f t="shared" si="1266"/>
        <v>0</v>
      </c>
      <c r="AB618" s="424">
        <f t="shared" si="1266"/>
        <v>0</v>
      </c>
      <c r="AC618" s="424">
        <f t="shared" si="1266"/>
        <v>0</v>
      </c>
      <c r="AD618" s="424">
        <f t="shared" si="1266"/>
        <v>0</v>
      </c>
      <c r="AE618" s="424">
        <f t="shared" si="1266"/>
        <v>0</v>
      </c>
      <c r="AF618" s="424">
        <f t="shared" si="1266"/>
        <v>0</v>
      </c>
      <c r="AG618" s="424">
        <f t="shared" si="1266"/>
        <v>0</v>
      </c>
      <c r="AH618" s="424">
        <f t="shared" si="1266"/>
        <v>0</v>
      </c>
      <c r="AI618" s="424">
        <f t="shared" si="1266"/>
        <v>0</v>
      </c>
      <c r="AJ618" s="424">
        <f t="shared" si="1266"/>
        <v>0</v>
      </c>
      <c r="AK618" s="424">
        <f t="shared" si="1266"/>
        <v>0.36</v>
      </c>
      <c r="AL618" s="424">
        <f t="shared" si="1266"/>
        <v>0</v>
      </c>
      <c r="AM618" s="424">
        <f t="shared" si="1266"/>
        <v>0</v>
      </c>
      <c r="AN618" s="424">
        <f t="shared" si="1266"/>
        <v>0</v>
      </c>
      <c r="AO618" s="424">
        <f t="shared" si="1266"/>
        <v>0</v>
      </c>
      <c r="AP618" s="424">
        <f t="shared" ref="AP618:BU618" si="1267">AP248*AP$372</f>
        <v>0</v>
      </c>
      <c r="AQ618" s="424">
        <f t="shared" si="1267"/>
        <v>0</v>
      </c>
      <c r="AR618" s="424">
        <f t="shared" si="1267"/>
        <v>0</v>
      </c>
      <c r="AS618" s="424">
        <f t="shared" si="1267"/>
        <v>0</v>
      </c>
      <c r="AT618" s="424">
        <f t="shared" si="1267"/>
        <v>0</v>
      </c>
      <c r="AU618" s="424">
        <f t="shared" si="1267"/>
        <v>0</v>
      </c>
      <c r="AV618" s="424">
        <f t="shared" si="1267"/>
        <v>0</v>
      </c>
      <c r="AW618" s="424">
        <f t="shared" si="1267"/>
        <v>0</v>
      </c>
      <c r="AX618" s="424">
        <f t="shared" si="1267"/>
        <v>0</v>
      </c>
      <c r="AY618" s="424">
        <f t="shared" si="1267"/>
        <v>0</v>
      </c>
      <c r="AZ618" s="424">
        <f t="shared" si="1267"/>
        <v>0</v>
      </c>
      <c r="BA618" s="424">
        <f t="shared" si="1267"/>
        <v>0</v>
      </c>
      <c r="BB618" s="424">
        <f t="shared" si="1267"/>
        <v>0</v>
      </c>
      <c r="BC618" s="424">
        <f t="shared" si="1267"/>
        <v>0</v>
      </c>
      <c r="BD618" s="424">
        <f t="shared" si="1267"/>
        <v>0</v>
      </c>
      <c r="BE618" s="424">
        <f t="shared" si="1267"/>
        <v>0</v>
      </c>
      <c r="BF618" s="424">
        <f t="shared" si="1267"/>
        <v>0</v>
      </c>
      <c r="BG618" s="424">
        <f t="shared" si="1267"/>
        <v>0</v>
      </c>
      <c r="BH618" s="424">
        <f t="shared" si="1267"/>
        <v>0</v>
      </c>
      <c r="BI618" s="424">
        <f t="shared" si="1267"/>
        <v>0</v>
      </c>
      <c r="BJ618" s="424">
        <f t="shared" si="1267"/>
        <v>0</v>
      </c>
      <c r="BK618" s="424">
        <f t="shared" si="1267"/>
        <v>0</v>
      </c>
      <c r="BL618" s="424">
        <f t="shared" si="1267"/>
        <v>0</v>
      </c>
      <c r="BM618" s="424">
        <f t="shared" si="1267"/>
        <v>0</v>
      </c>
      <c r="BN618" s="424">
        <f t="shared" si="1267"/>
        <v>0</v>
      </c>
      <c r="BO618" s="424">
        <f t="shared" si="1267"/>
        <v>0</v>
      </c>
      <c r="BP618" s="424">
        <f t="shared" si="1267"/>
        <v>0</v>
      </c>
      <c r="BQ618" s="424">
        <f t="shared" si="1267"/>
        <v>0</v>
      </c>
      <c r="BR618" s="424">
        <f t="shared" si="1267"/>
        <v>0</v>
      </c>
      <c r="BS618" s="424">
        <f t="shared" si="1267"/>
        <v>7.0000000000000007E-2</v>
      </c>
      <c r="BT618" s="424">
        <f t="shared" si="1267"/>
        <v>0</v>
      </c>
      <c r="BU618" s="424">
        <f t="shared" si="1267"/>
        <v>0</v>
      </c>
      <c r="BV618" s="424">
        <f t="shared" ref="BV618:DA618" si="1268">BV248*BV$372</f>
        <v>0</v>
      </c>
      <c r="BW618" s="424">
        <f t="shared" si="1268"/>
        <v>0</v>
      </c>
      <c r="BX618" s="424">
        <f t="shared" si="1268"/>
        <v>0</v>
      </c>
      <c r="BY618" s="424">
        <f t="shared" si="1268"/>
        <v>0</v>
      </c>
      <c r="BZ618" s="424">
        <f t="shared" si="1268"/>
        <v>0</v>
      </c>
      <c r="CA618" s="424">
        <f t="shared" si="1268"/>
        <v>0</v>
      </c>
      <c r="CB618" s="424">
        <f t="shared" si="1268"/>
        <v>0</v>
      </c>
      <c r="CC618" s="424">
        <f t="shared" si="1268"/>
        <v>0</v>
      </c>
      <c r="CD618" s="424">
        <f t="shared" si="1268"/>
        <v>0</v>
      </c>
      <c r="CE618" s="424">
        <f t="shared" si="1268"/>
        <v>0</v>
      </c>
      <c r="CF618" s="424">
        <f t="shared" si="1268"/>
        <v>0</v>
      </c>
      <c r="CG618" s="424">
        <f t="shared" si="1268"/>
        <v>0</v>
      </c>
      <c r="CH618" s="424">
        <f t="shared" si="1268"/>
        <v>0</v>
      </c>
      <c r="CI618" s="424">
        <f t="shared" si="1268"/>
        <v>0</v>
      </c>
      <c r="CJ618" s="424">
        <f t="shared" si="1268"/>
        <v>0</v>
      </c>
      <c r="CK618" s="424">
        <f t="shared" si="1268"/>
        <v>0</v>
      </c>
      <c r="CL618" s="424">
        <f t="shared" si="1268"/>
        <v>0</v>
      </c>
      <c r="CM618" s="424">
        <f t="shared" si="1268"/>
        <v>0</v>
      </c>
      <c r="CN618" s="424">
        <f t="shared" si="1268"/>
        <v>0</v>
      </c>
      <c r="CO618" s="424">
        <f t="shared" si="1268"/>
        <v>0</v>
      </c>
      <c r="CP618" s="424">
        <f t="shared" si="1268"/>
        <v>0</v>
      </c>
      <c r="CQ618" s="424">
        <f t="shared" si="1268"/>
        <v>0</v>
      </c>
      <c r="CR618" s="424">
        <f t="shared" si="1268"/>
        <v>0</v>
      </c>
      <c r="CS618" s="424">
        <f t="shared" si="1268"/>
        <v>0</v>
      </c>
      <c r="CT618" s="424">
        <f t="shared" si="1268"/>
        <v>0</v>
      </c>
      <c r="CU618" s="424">
        <f t="shared" si="1268"/>
        <v>0</v>
      </c>
      <c r="CV618" s="424">
        <f t="shared" si="1268"/>
        <v>0</v>
      </c>
      <c r="CW618" s="424">
        <f t="shared" si="1268"/>
        <v>0</v>
      </c>
      <c r="CX618" s="424">
        <f t="shared" si="1268"/>
        <v>0</v>
      </c>
      <c r="CY618" s="424">
        <f t="shared" si="1268"/>
        <v>0</v>
      </c>
      <c r="CZ618" s="424">
        <f t="shared" si="1268"/>
        <v>0</v>
      </c>
      <c r="DA618" s="424">
        <f t="shared" si="1268"/>
        <v>0</v>
      </c>
      <c r="DB618" s="424">
        <f t="shared" ref="DB618:EG618" si="1269">DB248*DB$372</f>
        <v>0</v>
      </c>
      <c r="DC618" s="424">
        <f t="shared" si="1269"/>
        <v>0.01</v>
      </c>
      <c r="DD618" s="424">
        <f t="shared" si="1269"/>
        <v>0</v>
      </c>
      <c r="DE618" s="424">
        <f t="shared" si="1269"/>
        <v>0</v>
      </c>
      <c r="DF618" s="424">
        <f t="shared" si="1269"/>
        <v>0</v>
      </c>
      <c r="DG618" s="424">
        <f t="shared" si="1269"/>
        <v>0</v>
      </c>
      <c r="DH618" s="424">
        <f t="shared" si="1269"/>
        <v>0</v>
      </c>
      <c r="DI618" s="424">
        <f t="shared" si="1269"/>
        <v>0</v>
      </c>
      <c r="DJ618" s="424">
        <f t="shared" si="1269"/>
        <v>0</v>
      </c>
      <c r="DK618" s="424">
        <f t="shared" si="1269"/>
        <v>0</v>
      </c>
      <c r="DL618" s="424">
        <f t="shared" si="1269"/>
        <v>0</v>
      </c>
      <c r="DM618" s="424">
        <f t="shared" si="1269"/>
        <v>0</v>
      </c>
      <c r="DN618" s="424">
        <f t="shared" si="1269"/>
        <v>0</v>
      </c>
      <c r="DO618" s="424">
        <f t="shared" si="1269"/>
        <v>0</v>
      </c>
      <c r="DP618" s="424">
        <f t="shared" si="1269"/>
        <v>0</v>
      </c>
      <c r="DQ618" s="424">
        <f t="shared" si="1269"/>
        <v>0</v>
      </c>
      <c r="DR618" s="424">
        <f t="shared" si="1269"/>
        <v>0</v>
      </c>
      <c r="DS618" s="424">
        <f t="shared" si="1269"/>
        <v>0</v>
      </c>
      <c r="DT618" s="424">
        <f t="shared" si="1269"/>
        <v>0</v>
      </c>
      <c r="DU618" s="424">
        <f t="shared" si="1269"/>
        <v>0</v>
      </c>
      <c r="DV618" s="424">
        <f t="shared" si="1269"/>
        <v>0</v>
      </c>
      <c r="DW618" s="424">
        <f t="shared" si="1269"/>
        <v>0</v>
      </c>
      <c r="DX618" s="424">
        <f t="shared" si="1269"/>
        <v>0</v>
      </c>
      <c r="DY618" s="424">
        <f t="shared" si="1269"/>
        <v>0</v>
      </c>
      <c r="DZ618" s="424">
        <f t="shared" si="1269"/>
        <v>0</v>
      </c>
      <c r="EA618" s="424">
        <f t="shared" si="1269"/>
        <v>0</v>
      </c>
      <c r="EB618" s="424">
        <f t="shared" si="1269"/>
        <v>0</v>
      </c>
      <c r="EC618" s="424">
        <f t="shared" si="1269"/>
        <v>0</v>
      </c>
      <c r="ED618" s="424">
        <f t="shared" si="1269"/>
        <v>0</v>
      </c>
      <c r="EE618" s="424">
        <f t="shared" si="1269"/>
        <v>0</v>
      </c>
      <c r="EF618" s="424">
        <f t="shared" si="1269"/>
        <v>0</v>
      </c>
      <c r="EG618" s="424">
        <f t="shared" si="1269"/>
        <v>0</v>
      </c>
      <c r="EH618" s="424">
        <f t="shared" ref="EH618:EX618" si="1270">EH248*EH$372</f>
        <v>0</v>
      </c>
      <c r="EI618" s="424">
        <f t="shared" si="1270"/>
        <v>0</v>
      </c>
      <c r="EJ618" s="424">
        <f t="shared" si="1270"/>
        <v>0</v>
      </c>
      <c r="EK618" s="424">
        <f t="shared" si="1270"/>
        <v>0</v>
      </c>
      <c r="EL618" s="424">
        <f t="shared" si="1270"/>
        <v>0</v>
      </c>
      <c r="EM618" s="424">
        <f t="shared" si="1270"/>
        <v>0</v>
      </c>
      <c r="EN618" s="424">
        <f t="shared" si="1270"/>
        <v>0</v>
      </c>
      <c r="EO618" s="424">
        <f t="shared" si="1270"/>
        <v>0</v>
      </c>
      <c r="EP618" s="424">
        <f t="shared" si="1270"/>
        <v>0</v>
      </c>
      <c r="EQ618" s="424">
        <f t="shared" si="1270"/>
        <v>0</v>
      </c>
      <c r="ER618" s="424">
        <f t="shared" si="1270"/>
        <v>0</v>
      </c>
      <c r="ES618" s="424">
        <f t="shared" si="1270"/>
        <v>0</v>
      </c>
      <c r="ET618" s="424">
        <f t="shared" si="1270"/>
        <v>0</v>
      </c>
      <c r="EU618" s="424">
        <f t="shared" si="1270"/>
        <v>0</v>
      </c>
      <c r="EV618" s="424">
        <f t="shared" si="1270"/>
        <v>0</v>
      </c>
      <c r="EW618" s="424">
        <f t="shared" si="1270"/>
        <v>0</v>
      </c>
      <c r="EX618" s="424">
        <f t="shared" si="1270"/>
        <v>0</v>
      </c>
      <c r="EY618" s="425">
        <f t="shared" si="1064"/>
        <v>2.48</v>
      </c>
    </row>
    <row r="619" spans="1:166" ht="14.7" customHeight="1" x14ac:dyDescent="0.25">
      <c r="A619" s="310">
        <v>245</v>
      </c>
      <c r="B619" s="311" t="str">
        <f t="shared" si="1005"/>
        <v>Соус сметанный с луком (50 гр.)</v>
      </c>
      <c r="C619" s="483">
        <f t="shared" si="1018"/>
        <v>4.13</v>
      </c>
      <c r="D619" s="888"/>
      <c r="E619" s="888"/>
      <c r="F619" s="888"/>
      <c r="G619" s="889"/>
      <c r="H619" s="680">
        <f t="shared" si="1175"/>
        <v>332</v>
      </c>
      <c r="I619" s="1209">
        <f t="shared" si="1007"/>
        <v>0</v>
      </c>
      <c r="J619" s="424">
        <f t="shared" ref="J619:AO619" si="1271">J249*J$372</f>
        <v>0</v>
      </c>
      <c r="K619" s="424">
        <f t="shared" si="1271"/>
        <v>0</v>
      </c>
      <c r="L619" s="424">
        <f t="shared" si="1271"/>
        <v>0</v>
      </c>
      <c r="M619" s="424">
        <f t="shared" si="1271"/>
        <v>0</v>
      </c>
      <c r="N619" s="424">
        <f t="shared" si="1271"/>
        <v>0</v>
      </c>
      <c r="O619" s="424">
        <f t="shared" si="1271"/>
        <v>0</v>
      </c>
      <c r="P619" s="424">
        <f t="shared" si="1271"/>
        <v>0</v>
      </c>
      <c r="Q619" s="424">
        <f t="shared" si="1271"/>
        <v>0</v>
      </c>
      <c r="R619" s="424">
        <f t="shared" si="1271"/>
        <v>0</v>
      </c>
      <c r="S619" s="424">
        <f t="shared" si="1271"/>
        <v>0</v>
      </c>
      <c r="T619" s="424">
        <f t="shared" si="1271"/>
        <v>0</v>
      </c>
      <c r="U619" s="424">
        <f t="shared" si="1271"/>
        <v>0</v>
      </c>
      <c r="V619" s="424">
        <f t="shared" si="1271"/>
        <v>0.71</v>
      </c>
      <c r="W619" s="424">
        <f t="shared" si="1271"/>
        <v>0</v>
      </c>
      <c r="X619" s="424">
        <f t="shared" si="1271"/>
        <v>0</v>
      </c>
      <c r="Y619" s="424">
        <f t="shared" si="1271"/>
        <v>2.69</v>
      </c>
      <c r="Z619" s="424">
        <f t="shared" si="1271"/>
        <v>0</v>
      </c>
      <c r="AA619" s="424">
        <f t="shared" si="1271"/>
        <v>0</v>
      </c>
      <c r="AB619" s="424">
        <f t="shared" si="1271"/>
        <v>0</v>
      </c>
      <c r="AC619" s="424">
        <f t="shared" si="1271"/>
        <v>0</v>
      </c>
      <c r="AD619" s="424">
        <f t="shared" si="1271"/>
        <v>0</v>
      </c>
      <c r="AE619" s="424">
        <f t="shared" si="1271"/>
        <v>0</v>
      </c>
      <c r="AF619" s="424">
        <f t="shared" si="1271"/>
        <v>0</v>
      </c>
      <c r="AG619" s="424">
        <f t="shared" si="1271"/>
        <v>0</v>
      </c>
      <c r="AH619" s="424">
        <f t="shared" si="1271"/>
        <v>0</v>
      </c>
      <c r="AI619" s="424">
        <f t="shared" si="1271"/>
        <v>0</v>
      </c>
      <c r="AJ619" s="424">
        <f t="shared" si="1271"/>
        <v>0</v>
      </c>
      <c r="AK619" s="424">
        <f t="shared" si="1271"/>
        <v>0.6</v>
      </c>
      <c r="AL619" s="424">
        <f t="shared" si="1271"/>
        <v>0</v>
      </c>
      <c r="AM619" s="424">
        <f t="shared" si="1271"/>
        <v>0</v>
      </c>
      <c r="AN619" s="424">
        <f t="shared" si="1271"/>
        <v>0</v>
      </c>
      <c r="AO619" s="424">
        <f t="shared" si="1271"/>
        <v>0</v>
      </c>
      <c r="AP619" s="424">
        <f t="shared" ref="AP619:BU619" si="1272">AP249*AP$372</f>
        <v>0</v>
      </c>
      <c r="AQ619" s="424">
        <f t="shared" si="1272"/>
        <v>0</v>
      </c>
      <c r="AR619" s="424">
        <f t="shared" si="1272"/>
        <v>0</v>
      </c>
      <c r="AS619" s="424">
        <f t="shared" si="1272"/>
        <v>0</v>
      </c>
      <c r="AT619" s="424">
        <f t="shared" si="1272"/>
        <v>0</v>
      </c>
      <c r="AU619" s="424">
        <f t="shared" si="1272"/>
        <v>0</v>
      </c>
      <c r="AV619" s="424">
        <f t="shared" si="1272"/>
        <v>0</v>
      </c>
      <c r="AW619" s="424">
        <f t="shared" si="1272"/>
        <v>0</v>
      </c>
      <c r="AX619" s="424">
        <f t="shared" si="1272"/>
        <v>0</v>
      </c>
      <c r="AY619" s="424">
        <f t="shared" si="1272"/>
        <v>0</v>
      </c>
      <c r="AZ619" s="424">
        <f t="shared" si="1272"/>
        <v>0</v>
      </c>
      <c r="BA619" s="424">
        <f t="shared" si="1272"/>
        <v>0</v>
      </c>
      <c r="BB619" s="424">
        <f t="shared" si="1272"/>
        <v>0</v>
      </c>
      <c r="BC619" s="424">
        <f t="shared" si="1272"/>
        <v>0</v>
      </c>
      <c r="BD619" s="424">
        <f t="shared" si="1272"/>
        <v>0</v>
      </c>
      <c r="BE619" s="424">
        <f t="shared" si="1272"/>
        <v>0</v>
      </c>
      <c r="BF619" s="424">
        <f t="shared" si="1272"/>
        <v>0</v>
      </c>
      <c r="BG619" s="424">
        <f t="shared" si="1272"/>
        <v>0</v>
      </c>
      <c r="BH619" s="424">
        <f t="shared" si="1272"/>
        <v>0</v>
      </c>
      <c r="BI619" s="424">
        <f t="shared" si="1272"/>
        <v>0</v>
      </c>
      <c r="BJ619" s="424">
        <f t="shared" si="1272"/>
        <v>0</v>
      </c>
      <c r="BK619" s="424">
        <f t="shared" si="1272"/>
        <v>0</v>
      </c>
      <c r="BL619" s="424">
        <f t="shared" si="1272"/>
        <v>0</v>
      </c>
      <c r="BM619" s="424">
        <f t="shared" si="1272"/>
        <v>0</v>
      </c>
      <c r="BN619" s="424">
        <f t="shared" si="1272"/>
        <v>0</v>
      </c>
      <c r="BO619" s="424">
        <f t="shared" si="1272"/>
        <v>0</v>
      </c>
      <c r="BP619" s="424">
        <f t="shared" si="1272"/>
        <v>0</v>
      </c>
      <c r="BQ619" s="424">
        <f t="shared" si="1272"/>
        <v>0</v>
      </c>
      <c r="BR619" s="424">
        <f t="shared" si="1272"/>
        <v>0</v>
      </c>
      <c r="BS619" s="424">
        <f t="shared" si="1272"/>
        <v>0.12</v>
      </c>
      <c r="BT619" s="424">
        <f t="shared" si="1272"/>
        <v>0</v>
      </c>
      <c r="BU619" s="424">
        <f t="shared" si="1272"/>
        <v>0</v>
      </c>
      <c r="BV619" s="424">
        <f t="shared" ref="BV619:DA619" si="1273">BV249*BV$372</f>
        <v>0</v>
      </c>
      <c r="BW619" s="424">
        <f t="shared" si="1273"/>
        <v>0</v>
      </c>
      <c r="BX619" s="424">
        <f t="shared" si="1273"/>
        <v>0</v>
      </c>
      <c r="BY619" s="424">
        <f t="shared" si="1273"/>
        <v>0</v>
      </c>
      <c r="BZ619" s="424">
        <f t="shared" si="1273"/>
        <v>0</v>
      </c>
      <c r="CA619" s="424">
        <f t="shared" si="1273"/>
        <v>0</v>
      </c>
      <c r="CB619" s="424">
        <f t="shared" si="1273"/>
        <v>0</v>
      </c>
      <c r="CC619" s="424">
        <f t="shared" si="1273"/>
        <v>0</v>
      </c>
      <c r="CD619" s="424">
        <f t="shared" si="1273"/>
        <v>0</v>
      </c>
      <c r="CE619" s="424">
        <f t="shared" si="1273"/>
        <v>0</v>
      </c>
      <c r="CF619" s="424">
        <f t="shared" si="1273"/>
        <v>0</v>
      </c>
      <c r="CG619" s="424">
        <f t="shared" si="1273"/>
        <v>0</v>
      </c>
      <c r="CH619" s="424">
        <f t="shared" si="1273"/>
        <v>0</v>
      </c>
      <c r="CI619" s="424">
        <f t="shared" si="1273"/>
        <v>0</v>
      </c>
      <c r="CJ619" s="424">
        <f t="shared" si="1273"/>
        <v>0</v>
      </c>
      <c r="CK619" s="424">
        <f t="shared" si="1273"/>
        <v>0</v>
      </c>
      <c r="CL619" s="424">
        <f t="shared" si="1273"/>
        <v>0</v>
      </c>
      <c r="CM619" s="424">
        <f t="shared" si="1273"/>
        <v>0</v>
      </c>
      <c r="CN619" s="424">
        <f t="shared" si="1273"/>
        <v>0</v>
      </c>
      <c r="CO619" s="424">
        <f t="shared" si="1273"/>
        <v>0</v>
      </c>
      <c r="CP619" s="424">
        <f t="shared" si="1273"/>
        <v>0</v>
      </c>
      <c r="CQ619" s="424">
        <f t="shared" si="1273"/>
        <v>0</v>
      </c>
      <c r="CR619" s="424">
        <f t="shared" si="1273"/>
        <v>0</v>
      </c>
      <c r="CS619" s="424">
        <f t="shared" si="1273"/>
        <v>0</v>
      </c>
      <c r="CT619" s="424">
        <f t="shared" si="1273"/>
        <v>0</v>
      </c>
      <c r="CU619" s="424">
        <f t="shared" si="1273"/>
        <v>0</v>
      </c>
      <c r="CV619" s="424">
        <f t="shared" si="1273"/>
        <v>0</v>
      </c>
      <c r="CW619" s="424">
        <f t="shared" si="1273"/>
        <v>0</v>
      </c>
      <c r="CX619" s="424">
        <f t="shared" si="1273"/>
        <v>0</v>
      </c>
      <c r="CY619" s="424">
        <f t="shared" si="1273"/>
        <v>0</v>
      </c>
      <c r="CZ619" s="424">
        <f t="shared" si="1273"/>
        <v>0</v>
      </c>
      <c r="DA619" s="424">
        <f t="shared" si="1273"/>
        <v>0</v>
      </c>
      <c r="DB619" s="424">
        <f t="shared" ref="DB619:EG619" si="1274">DB249*DB$372</f>
        <v>0</v>
      </c>
      <c r="DC619" s="424">
        <f t="shared" si="1274"/>
        <v>0.01</v>
      </c>
      <c r="DD619" s="424">
        <f t="shared" si="1274"/>
        <v>0</v>
      </c>
      <c r="DE619" s="424">
        <f t="shared" si="1274"/>
        <v>0</v>
      </c>
      <c r="DF619" s="424">
        <f t="shared" si="1274"/>
        <v>0</v>
      </c>
      <c r="DG619" s="424">
        <f t="shared" si="1274"/>
        <v>0</v>
      </c>
      <c r="DH619" s="424">
        <f t="shared" si="1274"/>
        <v>0</v>
      </c>
      <c r="DI619" s="424">
        <f t="shared" si="1274"/>
        <v>0</v>
      </c>
      <c r="DJ619" s="424">
        <f t="shared" si="1274"/>
        <v>0</v>
      </c>
      <c r="DK619" s="424">
        <f t="shared" si="1274"/>
        <v>0</v>
      </c>
      <c r="DL619" s="424">
        <f t="shared" si="1274"/>
        <v>0</v>
      </c>
      <c r="DM619" s="424">
        <f t="shared" si="1274"/>
        <v>0</v>
      </c>
      <c r="DN619" s="424">
        <f t="shared" si="1274"/>
        <v>0</v>
      </c>
      <c r="DO619" s="424">
        <f t="shared" si="1274"/>
        <v>0</v>
      </c>
      <c r="DP619" s="424">
        <f t="shared" si="1274"/>
        <v>0</v>
      </c>
      <c r="DQ619" s="424">
        <f t="shared" si="1274"/>
        <v>0</v>
      </c>
      <c r="DR619" s="424">
        <f t="shared" si="1274"/>
        <v>0</v>
      </c>
      <c r="DS619" s="424">
        <f t="shared" si="1274"/>
        <v>0</v>
      </c>
      <c r="DT619" s="424">
        <f t="shared" si="1274"/>
        <v>0</v>
      </c>
      <c r="DU619" s="424">
        <f t="shared" si="1274"/>
        <v>0</v>
      </c>
      <c r="DV619" s="424">
        <f t="shared" si="1274"/>
        <v>0</v>
      </c>
      <c r="DW619" s="424">
        <f t="shared" si="1274"/>
        <v>0</v>
      </c>
      <c r="DX619" s="424">
        <f t="shared" si="1274"/>
        <v>0</v>
      </c>
      <c r="DY619" s="424">
        <f t="shared" si="1274"/>
        <v>0</v>
      </c>
      <c r="DZ619" s="424">
        <f t="shared" si="1274"/>
        <v>0</v>
      </c>
      <c r="EA619" s="424">
        <f t="shared" si="1274"/>
        <v>0</v>
      </c>
      <c r="EB619" s="424">
        <f t="shared" si="1274"/>
        <v>0</v>
      </c>
      <c r="EC619" s="424">
        <f t="shared" si="1274"/>
        <v>0</v>
      </c>
      <c r="ED619" s="424">
        <f t="shared" si="1274"/>
        <v>0</v>
      </c>
      <c r="EE619" s="424">
        <f t="shared" si="1274"/>
        <v>0</v>
      </c>
      <c r="EF619" s="424">
        <f t="shared" si="1274"/>
        <v>0</v>
      </c>
      <c r="EG619" s="424">
        <f t="shared" si="1274"/>
        <v>0</v>
      </c>
      <c r="EH619" s="424">
        <f t="shared" ref="EH619:EX619" si="1275">EH249*EH$372</f>
        <v>0</v>
      </c>
      <c r="EI619" s="424">
        <f t="shared" si="1275"/>
        <v>0</v>
      </c>
      <c r="EJ619" s="424">
        <f t="shared" si="1275"/>
        <v>0</v>
      </c>
      <c r="EK619" s="424">
        <f t="shared" si="1275"/>
        <v>0</v>
      </c>
      <c r="EL619" s="424">
        <f t="shared" si="1275"/>
        <v>0</v>
      </c>
      <c r="EM619" s="424">
        <f t="shared" si="1275"/>
        <v>0</v>
      </c>
      <c r="EN619" s="424">
        <f t="shared" si="1275"/>
        <v>0</v>
      </c>
      <c r="EO619" s="424">
        <f t="shared" si="1275"/>
        <v>0</v>
      </c>
      <c r="EP619" s="424">
        <f t="shared" si="1275"/>
        <v>0</v>
      </c>
      <c r="EQ619" s="424">
        <f t="shared" si="1275"/>
        <v>0</v>
      </c>
      <c r="ER619" s="424">
        <f t="shared" si="1275"/>
        <v>0</v>
      </c>
      <c r="ES619" s="424">
        <f t="shared" si="1275"/>
        <v>0</v>
      </c>
      <c r="ET619" s="424">
        <f t="shared" si="1275"/>
        <v>0</v>
      </c>
      <c r="EU619" s="424">
        <f t="shared" si="1275"/>
        <v>0</v>
      </c>
      <c r="EV619" s="424">
        <f t="shared" si="1275"/>
        <v>0</v>
      </c>
      <c r="EW619" s="424">
        <f t="shared" si="1275"/>
        <v>0</v>
      </c>
      <c r="EX619" s="424">
        <f t="shared" si="1275"/>
        <v>0</v>
      </c>
      <c r="EY619" s="425">
        <f t="shared" si="1064"/>
        <v>4.13</v>
      </c>
    </row>
    <row r="620" spans="1:166" ht="14.7" customHeight="1" x14ac:dyDescent="0.25">
      <c r="A620" s="310">
        <v>246</v>
      </c>
      <c r="B620" s="311" t="str">
        <f t="shared" si="1005"/>
        <v>Соус сметанный с томатом и луком</v>
      </c>
      <c r="C620" s="483">
        <f t="shared" si="1018"/>
        <v>104.37</v>
      </c>
      <c r="D620" s="888"/>
      <c r="E620" s="888"/>
      <c r="F620" s="888"/>
      <c r="G620" s="889"/>
      <c r="H620" s="680">
        <f t="shared" si="1175"/>
        <v>333</v>
      </c>
      <c r="I620" s="1209">
        <f t="shared" si="1007"/>
        <v>0</v>
      </c>
      <c r="J620" s="424">
        <f t="shared" ref="J620:AO620" si="1276">J250*J$372</f>
        <v>0</v>
      </c>
      <c r="K620" s="424">
        <f t="shared" si="1276"/>
        <v>0</v>
      </c>
      <c r="L620" s="424">
        <f t="shared" si="1276"/>
        <v>0</v>
      </c>
      <c r="M620" s="424">
        <f t="shared" si="1276"/>
        <v>0</v>
      </c>
      <c r="N620" s="424">
        <f t="shared" si="1276"/>
        <v>0</v>
      </c>
      <c r="O620" s="424">
        <f t="shared" si="1276"/>
        <v>0</v>
      </c>
      <c r="P620" s="424">
        <f t="shared" si="1276"/>
        <v>0</v>
      </c>
      <c r="Q620" s="424">
        <f t="shared" si="1276"/>
        <v>0</v>
      </c>
      <c r="R620" s="424">
        <f t="shared" si="1276"/>
        <v>0</v>
      </c>
      <c r="S620" s="424">
        <f t="shared" si="1276"/>
        <v>0</v>
      </c>
      <c r="T620" s="424">
        <f t="shared" si="1276"/>
        <v>0</v>
      </c>
      <c r="U620" s="424">
        <f t="shared" si="1276"/>
        <v>0</v>
      </c>
      <c r="V620" s="424">
        <f t="shared" si="1276"/>
        <v>14.2</v>
      </c>
      <c r="W620" s="424">
        <f t="shared" si="1276"/>
        <v>0</v>
      </c>
      <c r="X620" s="424">
        <f t="shared" si="1276"/>
        <v>0</v>
      </c>
      <c r="Y620" s="424">
        <f t="shared" si="1276"/>
        <v>52.65</v>
      </c>
      <c r="Z620" s="424">
        <f t="shared" si="1276"/>
        <v>0</v>
      </c>
      <c r="AA620" s="424">
        <f t="shared" si="1276"/>
        <v>0</v>
      </c>
      <c r="AB620" s="424">
        <f t="shared" si="1276"/>
        <v>0</v>
      </c>
      <c r="AC620" s="424">
        <f t="shared" si="1276"/>
        <v>0</v>
      </c>
      <c r="AD620" s="424">
        <f t="shared" si="1276"/>
        <v>0</v>
      </c>
      <c r="AE620" s="424">
        <f t="shared" si="1276"/>
        <v>0</v>
      </c>
      <c r="AF620" s="424">
        <f t="shared" si="1276"/>
        <v>0</v>
      </c>
      <c r="AG620" s="424">
        <f t="shared" si="1276"/>
        <v>0</v>
      </c>
      <c r="AH620" s="424">
        <f t="shared" si="1276"/>
        <v>0</v>
      </c>
      <c r="AI620" s="424">
        <f t="shared" si="1276"/>
        <v>0</v>
      </c>
      <c r="AJ620" s="424">
        <f t="shared" si="1276"/>
        <v>0</v>
      </c>
      <c r="AK620" s="424">
        <f t="shared" si="1276"/>
        <v>11.9</v>
      </c>
      <c r="AL620" s="424">
        <f t="shared" si="1276"/>
        <v>0</v>
      </c>
      <c r="AM620" s="424">
        <f t="shared" si="1276"/>
        <v>0</v>
      </c>
      <c r="AN620" s="424">
        <f t="shared" si="1276"/>
        <v>0</v>
      </c>
      <c r="AO620" s="424">
        <f t="shared" si="1276"/>
        <v>0</v>
      </c>
      <c r="AP620" s="424">
        <f t="shared" ref="AP620:BU620" si="1277">AP250*AP$372</f>
        <v>0</v>
      </c>
      <c r="AQ620" s="424">
        <f t="shared" si="1277"/>
        <v>0</v>
      </c>
      <c r="AR620" s="424">
        <f t="shared" si="1277"/>
        <v>0</v>
      </c>
      <c r="AS620" s="424">
        <f t="shared" si="1277"/>
        <v>0</v>
      </c>
      <c r="AT620" s="424">
        <f t="shared" si="1277"/>
        <v>0</v>
      </c>
      <c r="AU620" s="424">
        <f t="shared" si="1277"/>
        <v>0</v>
      </c>
      <c r="AV620" s="424">
        <f t="shared" si="1277"/>
        <v>0</v>
      </c>
      <c r="AW620" s="424">
        <f t="shared" si="1277"/>
        <v>0</v>
      </c>
      <c r="AX620" s="424">
        <f t="shared" si="1277"/>
        <v>0</v>
      </c>
      <c r="AY620" s="424">
        <f t="shared" si="1277"/>
        <v>0</v>
      </c>
      <c r="AZ620" s="424">
        <f t="shared" si="1277"/>
        <v>0</v>
      </c>
      <c r="BA620" s="424">
        <f t="shared" si="1277"/>
        <v>0</v>
      </c>
      <c r="BB620" s="424">
        <f t="shared" si="1277"/>
        <v>0</v>
      </c>
      <c r="BC620" s="424">
        <f t="shared" si="1277"/>
        <v>0</v>
      </c>
      <c r="BD620" s="424">
        <f t="shared" si="1277"/>
        <v>0</v>
      </c>
      <c r="BE620" s="424">
        <f t="shared" si="1277"/>
        <v>0</v>
      </c>
      <c r="BF620" s="424">
        <f t="shared" si="1277"/>
        <v>0</v>
      </c>
      <c r="BG620" s="424">
        <f t="shared" si="1277"/>
        <v>0</v>
      </c>
      <c r="BH620" s="424">
        <f t="shared" si="1277"/>
        <v>0</v>
      </c>
      <c r="BI620" s="424">
        <f t="shared" si="1277"/>
        <v>0</v>
      </c>
      <c r="BJ620" s="424">
        <f t="shared" si="1277"/>
        <v>0</v>
      </c>
      <c r="BK620" s="424">
        <f t="shared" si="1277"/>
        <v>0</v>
      </c>
      <c r="BL620" s="424">
        <f t="shared" si="1277"/>
        <v>0</v>
      </c>
      <c r="BM620" s="424">
        <f t="shared" si="1277"/>
        <v>0</v>
      </c>
      <c r="BN620" s="424">
        <f t="shared" si="1277"/>
        <v>0</v>
      </c>
      <c r="BO620" s="424">
        <f t="shared" si="1277"/>
        <v>0</v>
      </c>
      <c r="BP620" s="424">
        <f t="shared" si="1277"/>
        <v>0</v>
      </c>
      <c r="BQ620" s="424">
        <f t="shared" si="1277"/>
        <v>0</v>
      </c>
      <c r="BR620" s="424">
        <f t="shared" si="1277"/>
        <v>0</v>
      </c>
      <c r="BS620" s="424">
        <f t="shared" si="1277"/>
        <v>2.4300000000000002</v>
      </c>
      <c r="BT620" s="424">
        <f t="shared" si="1277"/>
        <v>0</v>
      </c>
      <c r="BU620" s="424">
        <f t="shared" si="1277"/>
        <v>0</v>
      </c>
      <c r="BV620" s="424">
        <f t="shared" ref="BV620:DA620" si="1278">BV250*BV$372</f>
        <v>0</v>
      </c>
      <c r="BW620" s="424">
        <f t="shared" si="1278"/>
        <v>0</v>
      </c>
      <c r="BX620" s="424">
        <f t="shared" si="1278"/>
        <v>0</v>
      </c>
      <c r="BY620" s="424">
        <f t="shared" si="1278"/>
        <v>0</v>
      </c>
      <c r="BZ620" s="424">
        <f t="shared" si="1278"/>
        <v>0</v>
      </c>
      <c r="CA620" s="424">
        <f t="shared" si="1278"/>
        <v>0</v>
      </c>
      <c r="CB620" s="424">
        <f t="shared" si="1278"/>
        <v>0</v>
      </c>
      <c r="CC620" s="424">
        <f t="shared" si="1278"/>
        <v>0</v>
      </c>
      <c r="CD620" s="424">
        <f t="shared" si="1278"/>
        <v>0</v>
      </c>
      <c r="CE620" s="424">
        <f t="shared" si="1278"/>
        <v>0</v>
      </c>
      <c r="CF620" s="424">
        <f t="shared" si="1278"/>
        <v>0</v>
      </c>
      <c r="CG620" s="424">
        <f t="shared" si="1278"/>
        <v>0</v>
      </c>
      <c r="CH620" s="424">
        <f t="shared" si="1278"/>
        <v>0</v>
      </c>
      <c r="CI620" s="424">
        <f t="shared" si="1278"/>
        <v>0</v>
      </c>
      <c r="CJ620" s="424">
        <f t="shared" si="1278"/>
        <v>0</v>
      </c>
      <c r="CK620" s="424">
        <f t="shared" si="1278"/>
        <v>0</v>
      </c>
      <c r="CL620" s="424">
        <f t="shared" si="1278"/>
        <v>0</v>
      </c>
      <c r="CM620" s="424">
        <f t="shared" si="1278"/>
        <v>0</v>
      </c>
      <c r="CN620" s="424">
        <f t="shared" si="1278"/>
        <v>0</v>
      </c>
      <c r="CO620" s="424">
        <f t="shared" si="1278"/>
        <v>0</v>
      </c>
      <c r="CP620" s="424">
        <f t="shared" si="1278"/>
        <v>0</v>
      </c>
      <c r="CQ620" s="424">
        <f t="shared" si="1278"/>
        <v>0</v>
      </c>
      <c r="CR620" s="424">
        <f t="shared" si="1278"/>
        <v>0</v>
      </c>
      <c r="CS620" s="424">
        <f t="shared" si="1278"/>
        <v>0.02</v>
      </c>
      <c r="CT620" s="424">
        <f t="shared" si="1278"/>
        <v>0</v>
      </c>
      <c r="CU620" s="424">
        <f t="shared" si="1278"/>
        <v>0</v>
      </c>
      <c r="CV620" s="424">
        <f t="shared" si="1278"/>
        <v>0</v>
      </c>
      <c r="CW620" s="424">
        <f t="shared" si="1278"/>
        <v>0</v>
      </c>
      <c r="CX620" s="424">
        <f t="shared" si="1278"/>
        <v>0</v>
      </c>
      <c r="CY620" s="424">
        <f t="shared" si="1278"/>
        <v>0</v>
      </c>
      <c r="CZ620" s="424">
        <f t="shared" si="1278"/>
        <v>0</v>
      </c>
      <c r="DA620" s="424">
        <f t="shared" si="1278"/>
        <v>0</v>
      </c>
      <c r="DB620" s="424">
        <f t="shared" ref="DB620:EG620" si="1279">DB250*DB$372</f>
        <v>0</v>
      </c>
      <c r="DC620" s="424">
        <f t="shared" si="1279"/>
        <v>0.17</v>
      </c>
      <c r="DD620" s="424">
        <f t="shared" si="1279"/>
        <v>0</v>
      </c>
      <c r="DE620" s="424">
        <f t="shared" si="1279"/>
        <v>0</v>
      </c>
      <c r="DF620" s="424">
        <f t="shared" si="1279"/>
        <v>23</v>
      </c>
      <c r="DG620" s="424">
        <f t="shared" si="1279"/>
        <v>0</v>
      </c>
      <c r="DH620" s="424">
        <f t="shared" si="1279"/>
        <v>0</v>
      </c>
      <c r="DI620" s="424">
        <f t="shared" si="1279"/>
        <v>0</v>
      </c>
      <c r="DJ620" s="424">
        <f t="shared" si="1279"/>
        <v>0</v>
      </c>
      <c r="DK620" s="424">
        <f t="shared" si="1279"/>
        <v>0</v>
      </c>
      <c r="DL620" s="424">
        <f t="shared" si="1279"/>
        <v>0</v>
      </c>
      <c r="DM620" s="424">
        <f t="shared" si="1279"/>
        <v>0</v>
      </c>
      <c r="DN620" s="424">
        <f t="shared" si="1279"/>
        <v>0</v>
      </c>
      <c r="DO620" s="424">
        <f t="shared" si="1279"/>
        <v>0</v>
      </c>
      <c r="DP620" s="424">
        <f t="shared" si="1279"/>
        <v>0</v>
      </c>
      <c r="DQ620" s="424">
        <f t="shared" si="1279"/>
        <v>0</v>
      </c>
      <c r="DR620" s="424">
        <f t="shared" si="1279"/>
        <v>0</v>
      </c>
      <c r="DS620" s="424">
        <f t="shared" si="1279"/>
        <v>0</v>
      </c>
      <c r="DT620" s="424">
        <f t="shared" si="1279"/>
        <v>0</v>
      </c>
      <c r="DU620" s="424">
        <f t="shared" si="1279"/>
        <v>0</v>
      </c>
      <c r="DV620" s="424">
        <f t="shared" si="1279"/>
        <v>0</v>
      </c>
      <c r="DW620" s="424">
        <f t="shared" si="1279"/>
        <v>0</v>
      </c>
      <c r="DX620" s="424">
        <f t="shared" si="1279"/>
        <v>0</v>
      </c>
      <c r="DY620" s="424">
        <f t="shared" si="1279"/>
        <v>0</v>
      </c>
      <c r="DZ620" s="424">
        <f t="shared" si="1279"/>
        <v>0</v>
      </c>
      <c r="EA620" s="424">
        <f t="shared" si="1279"/>
        <v>0</v>
      </c>
      <c r="EB620" s="424">
        <f t="shared" si="1279"/>
        <v>0</v>
      </c>
      <c r="EC620" s="424">
        <f t="shared" si="1279"/>
        <v>0</v>
      </c>
      <c r="ED620" s="424">
        <f t="shared" si="1279"/>
        <v>0</v>
      </c>
      <c r="EE620" s="424">
        <f t="shared" si="1279"/>
        <v>0</v>
      </c>
      <c r="EF620" s="424">
        <f t="shared" si="1279"/>
        <v>0</v>
      </c>
      <c r="EG620" s="424">
        <f t="shared" si="1279"/>
        <v>0</v>
      </c>
      <c r="EH620" s="424">
        <f t="shared" ref="EH620:EX620" si="1280">EH250*EH$372</f>
        <v>0</v>
      </c>
      <c r="EI620" s="424">
        <f t="shared" si="1280"/>
        <v>0</v>
      </c>
      <c r="EJ620" s="424">
        <f t="shared" si="1280"/>
        <v>0</v>
      </c>
      <c r="EK620" s="424">
        <f t="shared" si="1280"/>
        <v>0</v>
      </c>
      <c r="EL620" s="424">
        <f t="shared" si="1280"/>
        <v>0</v>
      </c>
      <c r="EM620" s="424">
        <f t="shared" si="1280"/>
        <v>0</v>
      </c>
      <c r="EN620" s="424">
        <f t="shared" si="1280"/>
        <v>0</v>
      </c>
      <c r="EO620" s="424">
        <f t="shared" si="1280"/>
        <v>0</v>
      </c>
      <c r="EP620" s="424">
        <f t="shared" si="1280"/>
        <v>0</v>
      </c>
      <c r="EQ620" s="424">
        <f t="shared" si="1280"/>
        <v>0</v>
      </c>
      <c r="ER620" s="424">
        <f t="shared" si="1280"/>
        <v>0</v>
      </c>
      <c r="ES620" s="424">
        <f t="shared" si="1280"/>
        <v>0</v>
      </c>
      <c r="ET620" s="424">
        <f t="shared" si="1280"/>
        <v>0</v>
      </c>
      <c r="EU620" s="424">
        <f t="shared" si="1280"/>
        <v>0</v>
      </c>
      <c r="EV620" s="424">
        <f t="shared" si="1280"/>
        <v>0</v>
      </c>
      <c r="EW620" s="424">
        <f t="shared" si="1280"/>
        <v>0</v>
      </c>
      <c r="EX620" s="424">
        <f t="shared" si="1280"/>
        <v>0</v>
      </c>
      <c r="EY620" s="425">
        <f t="shared" si="1064"/>
        <v>104.37</v>
      </c>
    </row>
    <row r="621" spans="1:166" ht="14.7" customHeight="1" x14ac:dyDescent="0.25">
      <c r="A621" s="310">
        <v>247</v>
      </c>
      <c r="B621" s="311" t="str">
        <f t="shared" si="1005"/>
        <v>Соус сметанный с томатом и луком (30 гр)</v>
      </c>
      <c r="C621" s="483">
        <f t="shared" si="1018"/>
        <v>3.14</v>
      </c>
      <c r="D621" s="888"/>
      <c r="E621" s="888"/>
      <c r="F621" s="888"/>
      <c r="G621" s="889"/>
      <c r="H621" s="680">
        <f t="shared" si="1175"/>
        <v>333</v>
      </c>
      <c r="I621" s="1209">
        <f t="shared" si="1007"/>
        <v>-0.01</v>
      </c>
      <c r="J621" s="424">
        <f t="shared" ref="J621:AO621" si="1281">J251*J$372</f>
        <v>0</v>
      </c>
      <c r="K621" s="424">
        <f t="shared" si="1281"/>
        <v>0</v>
      </c>
      <c r="L621" s="424">
        <f t="shared" si="1281"/>
        <v>0</v>
      </c>
      <c r="M621" s="424">
        <f t="shared" si="1281"/>
        <v>0</v>
      </c>
      <c r="N621" s="424">
        <f t="shared" si="1281"/>
        <v>0</v>
      </c>
      <c r="O621" s="424">
        <f t="shared" si="1281"/>
        <v>0</v>
      </c>
      <c r="P621" s="424">
        <f t="shared" si="1281"/>
        <v>0</v>
      </c>
      <c r="Q621" s="424">
        <f t="shared" si="1281"/>
        <v>0</v>
      </c>
      <c r="R621" s="424">
        <f t="shared" si="1281"/>
        <v>0</v>
      </c>
      <c r="S621" s="424">
        <f t="shared" si="1281"/>
        <v>0</v>
      </c>
      <c r="T621" s="424">
        <f t="shared" si="1281"/>
        <v>0</v>
      </c>
      <c r="U621" s="424">
        <f t="shared" si="1281"/>
        <v>0</v>
      </c>
      <c r="V621" s="424">
        <f t="shared" si="1281"/>
        <v>0.43</v>
      </c>
      <c r="W621" s="424">
        <f t="shared" si="1281"/>
        <v>0</v>
      </c>
      <c r="X621" s="424">
        <f t="shared" si="1281"/>
        <v>0</v>
      </c>
      <c r="Y621" s="424">
        <f t="shared" si="1281"/>
        <v>1.58</v>
      </c>
      <c r="Z621" s="424">
        <f t="shared" si="1281"/>
        <v>0</v>
      </c>
      <c r="AA621" s="424">
        <f t="shared" si="1281"/>
        <v>0</v>
      </c>
      <c r="AB621" s="424">
        <f t="shared" si="1281"/>
        <v>0</v>
      </c>
      <c r="AC621" s="424">
        <f t="shared" si="1281"/>
        <v>0</v>
      </c>
      <c r="AD621" s="424">
        <f t="shared" si="1281"/>
        <v>0</v>
      </c>
      <c r="AE621" s="424">
        <f t="shared" si="1281"/>
        <v>0</v>
      </c>
      <c r="AF621" s="424">
        <f t="shared" si="1281"/>
        <v>0</v>
      </c>
      <c r="AG621" s="424">
        <f t="shared" si="1281"/>
        <v>0</v>
      </c>
      <c r="AH621" s="424">
        <f t="shared" si="1281"/>
        <v>0</v>
      </c>
      <c r="AI621" s="424">
        <f t="shared" si="1281"/>
        <v>0</v>
      </c>
      <c r="AJ621" s="424">
        <f t="shared" si="1281"/>
        <v>0</v>
      </c>
      <c r="AK621" s="424">
        <f t="shared" si="1281"/>
        <v>0.36</v>
      </c>
      <c r="AL621" s="424">
        <f t="shared" si="1281"/>
        <v>0</v>
      </c>
      <c r="AM621" s="424">
        <f t="shared" si="1281"/>
        <v>0</v>
      </c>
      <c r="AN621" s="424">
        <f t="shared" si="1281"/>
        <v>0</v>
      </c>
      <c r="AO621" s="424">
        <f t="shared" si="1281"/>
        <v>0</v>
      </c>
      <c r="AP621" s="424">
        <f t="shared" ref="AP621:BU621" si="1282">AP251*AP$372</f>
        <v>0</v>
      </c>
      <c r="AQ621" s="424">
        <f t="shared" si="1282"/>
        <v>0</v>
      </c>
      <c r="AR621" s="424">
        <f t="shared" si="1282"/>
        <v>0</v>
      </c>
      <c r="AS621" s="424">
        <f t="shared" si="1282"/>
        <v>0</v>
      </c>
      <c r="AT621" s="424">
        <f t="shared" si="1282"/>
        <v>0</v>
      </c>
      <c r="AU621" s="424">
        <f t="shared" si="1282"/>
        <v>0</v>
      </c>
      <c r="AV621" s="424">
        <f t="shared" si="1282"/>
        <v>0</v>
      </c>
      <c r="AW621" s="424">
        <f t="shared" si="1282"/>
        <v>0</v>
      </c>
      <c r="AX621" s="424">
        <f t="shared" si="1282"/>
        <v>0</v>
      </c>
      <c r="AY621" s="424">
        <f t="shared" si="1282"/>
        <v>0</v>
      </c>
      <c r="AZ621" s="424">
        <f t="shared" si="1282"/>
        <v>0</v>
      </c>
      <c r="BA621" s="424">
        <f t="shared" si="1282"/>
        <v>0</v>
      </c>
      <c r="BB621" s="424">
        <f t="shared" si="1282"/>
        <v>0</v>
      </c>
      <c r="BC621" s="424">
        <f t="shared" si="1282"/>
        <v>0</v>
      </c>
      <c r="BD621" s="424">
        <f t="shared" si="1282"/>
        <v>0</v>
      </c>
      <c r="BE621" s="424">
        <f t="shared" si="1282"/>
        <v>0</v>
      </c>
      <c r="BF621" s="424">
        <f t="shared" si="1282"/>
        <v>0</v>
      </c>
      <c r="BG621" s="424">
        <f t="shared" si="1282"/>
        <v>0</v>
      </c>
      <c r="BH621" s="424">
        <f t="shared" si="1282"/>
        <v>0</v>
      </c>
      <c r="BI621" s="424">
        <f t="shared" si="1282"/>
        <v>0</v>
      </c>
      <c r="BJ621" s="424">
        <f t="shared" si="1282"/>
        <v>0</v>
      </c>
      <c r="BK621" s="424">
        <f t="shared" si="1282"/>
        <v>0</v>
      </c>
      <c r="BL621" s="424">
        <f t="shared" si="1282"/>
        <v>0</v>
      </c>
      <c r="BM621" s="424">
        <f t="shared" si="1282"/>
        <v>0</v>
      </c>
      <c r="BN621" s="424">
        <f t="shared" si="1282"/>
        <v>0</v>
      </c>
      <c r="BO621" s="424">
        <f t="shared" si="1282"/>
        <v>0</v>
      </c>
      <c r="BP621" s="424">
        <f t="shared" si="1282"/>
        <v>0</v>
      </c>
      <c r="BQ621" s="424">
        <f t="shared" si="1282"/>
        <v>0</v>
      </c>
      <c r="BR621" s="424">
        <f t="shared" si="1282"/>
        <v>0</v>
      </c>
      <c r="BS621" s="424">
        <f t="shared" si="1282"/>
        <v>7.0000000000000007E-2</v>
      </c>
      <c r="BT621" s="424">
        <f t="shared" si="1282"/>
        <v>0</v>
      </c>
      <c r="BU621" s="424">
        <f t="shared" si="1282"/>
        <v>0</v>
      </c>
      <c r="BV621" s="424">
        <f t="shared" ref="BV621:DA621" si="1283">BV251*BV$372</f>
        <v>0</v>
      </c>
      <c r="BW621" s="424">
        <f t="shared" si="1283"/>
        <v>0</v>
      </c>
      <c r="BX621" s="424">
        <f t="shared" si="1283"/>
        <v>0</v>
      </c>
      <c r="BY621" s="424">
        <f t="shared" si="1283"/>
        <v>0</v>
      </c>
      <c r="BZ621" s="424">
        <f t="shared" si="1283"/>
        <v>0</v>
      </c>
      <c r="CA621" s="424">
        <f t="shared" si="1283"/>
        <v>0</v>
      </c>
      <c r="CB621" s="424">
        <f t="shared" si="1283"/>
        <v>0</v>
      </c>
      <c r="CC621" s="424">
        <f t="shared" si="1283"/>
        <v>0</v>
      </c>
      <c r="CD621" s="424">
        <f t="shared" si="1283"/>
        <v>0</v>
      </c>
      <c r="CE621" s="424">
        <f t="shared" si="1283"/>
        <v>0</v>
      </c>
      <c r="CF621" s="424">
        <f t="shared" si="1283"/>
        <v>0</v>
      </c>
      <c r="CG621" s="424">
        <f t="shared" si="1283"/>
        <v>0</v>
      </c>
      <c r="CH621" s="424">
        <f t="shared" si="1283"/>
        <v>0</v>
      </c>
      <c r="CI621" s="424">
        <f t="shared" si="1283"/>
        <v>0</v>
      </c>
      <c r="CJ621" s="424">
        <f t="shared" si="1283"/>
        <v>0</v>
      </c>
      <c r="CK621" s="424">
        <f t="shared" si="1283"/>
        <v>0</v>
      </c>
      <c r="CL621" s="424">
        <f t="shared" si="1283"/>
        <v>0</v>
      </c>
      <c r="CM621" s="424">
        <f t="shared" si="1283"/>
        <v>0</v>
      </c>
      <c r="CN621" s="424">
        <f t="shared" si="1283"/>
        <v>0</v>
      </c>
      <c r="CO621" s="424">
        <f t="shared" si="1283"/>
        <v>0</v>
      </c>
      <c r="CP621" s="424">
        <f t="shared" si="1283"/>
        <v>0</v>
      </c>
      <c r="CQ621" s="424">
        <f t="shared" si="1283"/>
        <v>0</v>
      </c>
      <c r="CR621" s="424">
        <f t="shared" si="1283"/>
        <v>0</v>
      </c>
      <c r="CS621" s="424">
        <f t="shared" si="1283"/>
        <v>0</v>
      </c>
      <c r="CT621" s="424">
        <f t="shared" si="1283"/>
        <v>0</v>
      </c>
      <c r="CU621" s="424">
        <f t="shared" si="1283"/>
        <v>0</v>
      </c>
      <c r="CV621" s="424">
        <f t="shared" si="1283"/>
        <v>0</v>
      </c>
      <c r="CW621" s="424">
        <f t="shared" si="1283"/>
        <v>0</v>
      </c>
      <c r="CX621" s="424">
        <f t="shared" si="1283"/>
        <v>0</v>
      </c>
      <c r="CY621" s="424">
        <f t="shared" si="1283"/>
        <v>0</v>
      </c>
      <c r="CZ621" s="424">
        <f t="shared" si="1283"/>
        <v>0</v>
      </c>
      <c r="DA621" s="424">
        <f t="shared" si="1283"/>
        <v>0</v>
      </c>
      <c r="DB621" s="424">
        <f t="shared" ref="DB621:EG621" si="1284">DB251*DB$372</f>
        <v>0</v>
      </c>
      <c r="DC621" s="424">
        <f t="shared" si="1284"/>
        <v>0.01</v>
      </c>
      <c r="DD621" s="424">
        <f t="shared" si="1284"/>
        <v>0</v>
      </c>
      <c r="DE621" s="424">
        <f t="shared" si="1284"/>
        <v>0</v>
      </c>
      <c r="DF621" s="424">
        <f t="shared" si="1284"/>
        <v>0.69</v>
      </c>
      <c r="DG621" s="424">
        <f t="shared" si="1284"/>
        <v>0</v>
      </c>
      <c r="DH621" s="424">
        <f t="shared" si="1284"/>
        <v>0</v>
      </c>
      <c r="DI621" s="424">
        <f t="shared" si="1284"/>
        <v>0</v>
      </c>
      <c r="DJ621" s="424">
        <f t="shared" si="1284"/>
        <v>0</v>
      </c>
      <c r="DK621" s="424">
        <f t="shared" si="1284"/>
        <v>0</v>
      </c>
      <c r="DL621" s="424">
        <f t="shared" si="1284"/>
        <v>0</v>
      </c>
      <c r="DM621" s="424">
        <f t="shared" si="1284"/>
        <v>0</v>
      </c>
      <c r="DN621" s="424">
        <f t="shared" si="1284"/>
        <v>0</v>
      </c>
      <c r="DO621" s="424">
        <f t="shared" si="1284"/>
        <v>0</v>
      </c>
      <c r="DP621" s="424">
        <f t="shared" si="1284"/>
        <v>0</v>
      </c>
      <c r="DQ621" s="424">
        <f t="shared" si="1284"/>
        <v>0</v>
      </c>
      <c r="DR621" s="424">
        <f t="shared" si="1284"/>
        <v>0</v>
      </c>
      <c r="DS621" s="424">
        <f t="shared" si="1284"/>
        <v>0</v>
      </c>
      <c r="DT621" s="424">
        <f t="shared" si="1284"/>
        <v>0</v>
      </c>
      <c r="DU621" s="424">
        <f t="shared" si="1284"/>
        <v>0</v>
      </c>
      <c r="DV621" s="424">
        <f t="shared" si="1284"/>
        <v>0</v>
      </c>
      <c r="DW621" s="424">
        <f t="shared" si="1284"/>
        <v>0</v>
      </c>
      <c r="DX621" s="424">
        <f t="shared" si="1284"/>
        <v>0</v>
      </c>
      <c r="DY621" s="424">
        <f t="shared" si="1284"/>
        <v>0</v>
      </c>
      <c r="DZ621" s="424">
        <f t="shared" si="1284"/>
        <v>0</v>
      </c>
      <c r="EA621" s="424">
        <f t="shared" si="1284"/>
        <v>0</v>
      </c>
      <c r="EB621" s="424">
        <f t="shared" si="1284"/>
        <v>0</v>
      </c>
      <c r="EC621" s="424">
        <f t="shared" si="1284"/>
        <v>0</v>
      </c>
      <c r="ED621" s="424">
        <f t="shared" si="1284"/>
        <v>0</v>
      </c>
      <c r="EE621" s="424">
        <f t="shared" si="1284"/>
        <v>0</v>
      </c>
      <c r="EF621" s="424">
        <f t="shared" si="1284"/>
        <v>0</v>
      </c>
      <c r="EG621" s="424">
        <f t="shared" si="1284"/>
        <v>0</v>
      </c>
      <c r="EH621" s="424">
        <f t="shared" ref="EH621:EX621" si="1285">EH251*EH$372</f>
        <v>0</v>
      </c>
      <c r="EI621" s="424">
        <f t="shared" si="1285"/>
        <v>0</v>
      </c>
      <c r="EJ621" s="424">
        <f t="shared" si="1285"/>
        <v>0</v>
      </c>
      <c r="EK621" s="424">
        <f t="shared" si="1285"/>
        <v>0</v>
      </c>
      <c r="EL621" s="424">
        <f t="shared" si="1285"/>
        <v>0</v>
      </c>
      <c r="EM621" s="424">
        <f t="shared" si="1285"/>
        <v>0</v>
      </c>
      <c r="EN621" s="424">
        <f t="shared" si="1285"/>
        <v>0</v>
      </c>
      <c r="EO621" s="424">
        <f t="shared" si="1285"/>
        <v>0</v>
      </c>
      <c r="EP621" s="424">
        <f t="shared" si="1285"/>
        <v>0</v>
      </c>
      <c r="EQ621" s="424">
        <f t="shared" si="1285"/>
        <v>0</v>
      </c>
      <c r="ER621" s="424">
        <f t="shared" si="1285"/>
        <v>0</v>
      </c>
      <c r="ES621" s="424">
        <f t="shared" si="1285"/>
        <v>0</v>
      </c>
      <c r="ET621" s="424">
        <f t="shared" si="1285"/>
        <v>0</v>
      </c>
      <c r="EU621" s="424">
        <f t="shared" si="1285"/>
        <v>0</v>
      </c>
      <c r="EV621" s="424">
        <f t="shared" si="1285"/>
        <v>0</v>
      </c>
      <c r="EW621" s="424">
        <f t="shared" si="1285"/>
        <v>0</v>
      </c>
      <c r="EX621" s="424">
        <f t="shared" si="1285"/>
        <v>0</v>
      </c>
      <c r="EY621" s="425">
        <f t="shared" si="1064"/>
        <v>3.14</v>
      </c>
    </row>
    <row r="622" spans="1:166" ht="14.7" customHeight="1" x14ac:dyDescent="0.25">
      <c r="A622" s="310">
        <v>248</v>
      </c>
      <c r="B622" s="311" t="str">
        <f t="shared" si="1005"/>
        <v>Соус малиновый</v>
      </c>
      <c r="C622" s="483">
        <f t="shared" si="1018"/>
        <v>9.7799999999999994</v>
      </c>
      <c r="D622" s="888"/>
      <c r="E622" s="888"/>
      <c r="F622" s="888"/>
      <c r="G622" s="889"/>
      <c r="H622" s="680">
        <f t="shared" si="1175"/>
        <v>334</v>
      </c>
      <c r="I622" s="1209">
        <f t="shared" si="1007"/>
        <v>0</v>
      </c>
      <c r="J622" s="424">
        <f t="shared" ref="J622:AO622" si="1286">J252*J$372</f>
        <v>0</v>
      </c>
      <c r="K622" s="424">
        <f t="shared" si="1286"/>
        <v>0</v>
      </c>
      <c r="L622" s="424">
        <f t="shared" si="1286"/>
        <v>0</v>
      </c>
      <c r="M622" s="424">
        <f t="shared" si="1286"/>
        <v>0</v>
      </c>
      <c r="N622" s="424">
        <f t="shared" si="1286"/>
        <v>0</v>
      </c>
      <c r="O622" s="424">
        <f t="shared" si="1286"/>
        <v>0</v>
      </c>
      <c r="P622" s="424">
        <f t="shared" si="1286"/>
        <v>0</v>
      </c>
      <c r="Q622" s="424">
        <f t="shared" si="1286"/>
        <v>0</v>
      </c>
      <c r="R622" s="424">
        <f t="shared" si="1286"/>
        <v>0</v>
      </c>
      <c r="S622" s="424">
        <f t="shared" si="1286"/>
        <v>0</v>
      </c>
      <c r="T622" s="424">
        <f t="shared" si="1286"/>
        <v>0</v>
      </c>
      <c r="U622" s="424">
        <f t="shared" si="1286"/>
        <v>0</v>
      </c>
      <c r="V622" s="424">
        <f t="shared" si="1286"/>
        <v>0</v>
      </c>
      <c r="W622" s="424">
        <f t="shared" si="1286"/>
        <v>0</v>
      </c>
      <c r="X622" s="424">
        <f t="shared" si="1286"/>
        <v>0</v>
      </c>
      <c r="Y622" s="424">
        <f t="shared" si="1286"/>
        <v>0</v>
      </c>
      <c r="Z622" s="424">
        <f t="shared" si="1286"/>
        <v>0</v>
      </c>
      <c r="AA622" s="424">
        <f t="shared" si="1286"/>
        <v>0</v>
      </c>
      <c r="AB622" s="424">
        <f t="shared" si="1286"/>
        <v>0</v>
      </c>
      <c r="AC622" s="424">
        <f t="shared" si="1286"/>
        <v>0</v>
      </c>
      <c r="AD622" s="424">
        <f t="shared" si="1286"/>
        <v>0</v>
      </c>
      <c r="AE622" s="424">
        <f t="shared" si="1286"/>
        <v>0</v>
      </c>
      <c r="AF622" s="424">
        <f t="shared" si="1286"/>
        <v>0</v>
      </c>
      <c r="AG622" s="424">
        <f t="shared" si="1286"/>
        <v>0</v>
      </c>
      <c r="AH622" s="424">
        <f t="shared" si="1286"/>
        <v>0</v>
      </c>
      <c r="AI622" s="424">
        <f t="shared" si="1286"/>
        <v>0</v>
      </c>
      <c r="AJ622" s="424">
        <f t="shared" si="1286"/>
        <v>0</v>
      </c>
      <c r="AK622" s="424">
        <f t="shared" si="1286"/>
        <v>0</v>
      </c>
      <c r="AL622" s="424">
        <f t="shared" si="1286"/>
        <v>0</v>
      </c>
      <c r="AM622" s="424">
        <f t="shared" si="1286"/>
        <v>0</v>
      </c>
      <c r="AN622" s="424">
        <f t="shared" si="1286"/>
        <v>0</v>
      </c>
      <c r="AO622" s="424">
        <f t="shared" si="1286"/>
        <v>0</v>
      </c>
      <c r="AP622" s="424">
        <f t="shared" ref="AP622:BU622" si="1287">AP252*AP$372</f>
        <v>0</v>
      </c>
      <c r="AQ622" s="424">
        <f t="shared" si="1287"/>
        <v>0</v>
      </c>
      <c r="AR622" s="424">
        <f t="shared" si="1287"/>
        <v>0</v>
      </c>
      <c r="AS622" s="424">
        <f t="shared" si="1287"/>
        <v>0</v>
      </c>
      <c r="AT622" s="424">
        <f t="shared" si="1287"/>
        <v>0</v>
      </c>
      <c r="AU622" s="424">
        <f t="shared" si="1287"/>
        <v>0</v>
      </c>
      <c r="AV622" s="424">
        <f t="shared" si="1287"/>
        <v>0</v>
      </c>
      <c r="AW622" s="424">
        <f t="shared" si="1287"/>
        <v>0</v>
      </c>
      <c r="AX622" s="424">
        <f t="shared" si="1287"/>
        <v>0</v>
      </c>
      <c r="AY622" s="424">
        <f t="shared" si="1287"/>
        <v>0</v>
      </c>
      <c r="AZ622" s="424">
        <f t="shared" si="1287"/>
        <v>0</v>
      </c>
      <c r="BA622" s="424">
        <f t="shared" si="1287"/>
        <v>0</v>
      </c>
      <c r="BB622" s="424">
        <f t="shared" si="1287"/>
        <v>0</v>
      </c>
      <c r="BC622" s="424">
        <f t="shared" si="1287"/>
        <v>0</v>
      </c>
      <c r="BD622" s="424">
        <f t="shared" si="1287"/>
        <v>0</v>
      </c>
      <c r="BE622" s="424">
        <f t="shared" si="1287"/>
        <v>0</v>
      </c>
      <c r="BF622" s="424">
        <f t="shared" si="1287"/>
        <v>7.5</v>
      </c>
      <c r="BG622" s="424">
        <f t="shared" si="1287"/>
        <v>0</v>
      </c>
      <c r="BH622" s="424">
        <f t="shared" si="1287"/>
        <v>0</v>
      </c>
      <c r="BI622" s="424">
        <f t="shared" si="1287"/>
        <v>0</v>
      </c>
      <c r="BJ622" s="424">
        <f t="shared" si="1287"/>
        <v>0</v>
      </c>
      <c r="BK622" s="424">
        <f t="shared" si="1287"/>
        <v>0</v>
      </c>
      <c r="BL622" s="424">
        <f t="shared" si="1287"/>
        <v>0</v>
      </c>
      <c r="BM622" s="424">
        <f t="shared" si="1287"/>
        <v>0</v>
      </c>
      <c r="BN622" s="424">
        <f t="shared" si="1287"/>
        <v>0</v>
      </c>
      <c r="BO622" s="424">
        <f t="shared" si="1287"/>
        <v>0</v>
      </c>
      <c r="BP622" s="424">
        <f t="shared" si="1287"/>
        <v>0</v>
      </c>
      <c r="BQ622" s="424">
        <f t="shared" si="1287"/>
        <v>0</v>
      </c>
      <c r="BR622" s="424">
        <f t="shared" si="1287"/>
        <v>0</v>
      </c>
      <c r="BS622" s="424">
        <f t="shared" si="1287"/>
        <v>0</v>
      </c>
      <c r="BT622" s="424">
        <f t="shared" si="1287"/>
        <v>0</v>
      </c>
      <c r="BU622" s="424">
        <f t="shared" si="1287"/>
        <v>0</v>
      </c>
      <c r="BV622" s="424">
        <f t="shared" ref="BV622:DA622" si="1288">BV252*BV$372</f>
        <v>0</v>
      </c>
      <c r="BW622" s="424">
        <f t="shared" si="1288"/>
        <v>0</v>
      </c>
      <c r="BX622" s="424">
        <f t="shared" si="1288"/>
        <v>0</v>
      </c>
      <c r="BY622" s="424">
        <f t="shared" si="1288"/>
        <v>0</v>
      </c>
      <c r="BZ622" s="424">
        <f t="shared" si="1288"/>
        <v>0</v>
      </c>
      <c r="CA622" s="424">
        <f t="shared" si="1288"/>
        <v>0</v>
      </c>
      <c r="CB622" s="424">
        <f t="shared" si="1288"/>
        <v>0</v>
      </c>
      <c r="CC622" s="424">
        <f t="shared" si="1288"/>
        <v>0</v>
      </c>
      <c r="CD622" s="424">
        <f t="shared" si="1288"/>
        <v>0</v>
      </c>
      <c r="CE622" s="424">
        <f t="shared" si="1288"/>
        <v>0</v>
      </c>
      <c r="CF622" s="424">
        <f t="shared" si="1288"/>
        <v>0</v>
      </c>
      <c r="CG622" s="424">
        <f t="shared" si="1288"/>
        <v>0</v>
      </c>
      <c r="CH622" s="424">
        <f t="shared" si="1288"/>
        <v>0</v>
      </c>
      <c r="CI622" s="424">
        <f t="shared" si="1288"/>
        <v>0</v>
      </c>
      <c r="CJ622" s="424">
        <f t="shared" si="1288"/>
        <v>0</v>
      </c>
      <c r="CK622" s="424">
        <f t="shared" si="1288"/>
        <v>0</v>
      </c>
      <c r="CL622" s="424">
        <f t="shared" si="1288"/>
        <v>0</v>
      </c>
      <c r="CM622" s="424">
        <f t="shared" si="1288"/>
        <v>0</v>
      </c>
      <c r="CN622" s="424">
        <f t="shared" si="1288"/>
        <v>0</v>
      </c>
      <c r="CO622" s="424">
        <f t="shared" si="1288"/>
        <v>0</v>
      </c>
      <c r="CP622" s="424">
        <f t="shared" si="1288"/>
        <v>0</v>
      </c>
      <c r="CQ622" s="424">
        <f t="shared" si="1288"/>
        <v>0</v>
      </c>
      <c r="CR622" s="424">
        <f t="shared" si="1288"/>
        <v>0</v>
      </c>
      <c r="CS622" s="424">
        <f t="shared" si="1288"/>
        <v>0</v>
      </c>
      <c r="CT622" s="424">
        <f t="shared" si="1288"/>
        <v>0</v>
      </c>
      <c r="CU622" s="424">
        <f t="shared" si="1288"/>
        <v>0</v>
      </c>
      <c r="CV622" s="424">
        <f t="shared" si="1288"/>
        <v>0</v>
      </c>
      <c r="CW622" s="424">
        <f t="shared" si="1288"/>
        <v>0</v>
      </c>
      <c r="CX622" s="424">
        <f t="shared" si="1288"/>
        <v>0</v>
      </c>
      <c r="CY622" s="424">
        <f t="shared" si="1288"/>
        <v>0</v>
      </c>
      <c r="CZ622" s="424">
        <f t="shared" si="1288"/>
        <v>2.2799999999999998</v>
      </c>
      <c r="DA622" s="424">
        <f t="shared" si="1288"/>
        <v>0</v>
      </c>
      <c r="DB622" s="424">
        <f t="shared" ref="DB622:EG622" si="1289">DB252*DB$372</f>
        <v>0</v>
      </c>
      <c r="DC622" s="424">
        <f t="shared" si="1289"/>
        <v>0</v>
      </c>
      <c r="DD622" s="424">
        <f t="shared" si="1289"/>
        <v>0</v>
      </c>
      <c r="DE622" s="424">
        <f t="shared" si="1289"/>
        <v>0</v>
      </c>
      <c r="DF622" s="424">
        <f t="shared" si="1289"/>
        <v>0</v>
      </c>
      <c r="DG622" s="424">
        <f t="shared" si="1289"/>
        <v>0</v>
      </c>
      <c r="DH622" s="424">
        <f t="shared" si="1289"/>
        <v>0</v>
      </c>
      <c r="DI622" s="424">
        <f t="shared" si="1289"/>
        <v>0</v>
      </c>
      <c r="DJ622" s="424">
        <f t="shared" si="1289"/>
        <v>0</v>
      </c>
      <c r="DK622" s="424">
        <f t="shared" si="1289"/>
        <v>0</v>
      </c>
      <c r="DL622" s="424">
        <f t="shared" si="1289"/>
        <v>0</v>
      </c>
      <c r="DM622" s="424">
        <f t="shared" si="1289"/>
        <v>0</v>
      </c>
      <c r="DN622" s="424">
        <f t="shared" si="1289"/>
        <v>0</v>
      </c>
      <c r="DO622" s="424">
        <f t="shared" si="1289"/>
        <v>0</v>
      </c>
      <c r="DP622" s="424">
        <f t="shared" si="1289"/>
        <v>0</v>
      </c>
      <c r="DQ622" s="424">
        <f t="shared" si="1289"/>
        <v>0</v>
      </c>
      <c r="DR622" s="424">
        <f t="shared" si="1289"/>
        <v>0</v>
      </c>
      <c r="DS622" s="424">
        <f t="shared" si="1289"/>
        <v>0</v>
      </c>
      <c r="DT622" s="424">
        <f t="shared" si="1289"/>
        <v>0</v>
      </c>
      <c r="DU622" s="424">
        <f t="shared" si="1289"/>
        <v>0</v>
      </c>
      <c r="DV622" s="424">
        <f t="shared" si="1289"/>
        <v>0</v>
      </c>
      <c r="DW622" s="424">
        <f t="shared" si="1289"/>
        <v>0</v>
      </c>
      <c r="DX622" s="424">
        <f t="shared" si="1289"/>
        <v>0</v>
      </c>
      <c r="DY622" s="424">
        <f t="shared" si="1289"/>
        <v>0</v>
      </c>
      <c r="DZ622" s="424">
        <f t="shared" si="1289"/>
        <v>0</v>
      </c>
      <c r="EA622" s="424">
        <f t="shared" si="1289"/>
        <v>0</v>
      </c>
      <c r="EB622" s="424">
        <f t="shared" si="1289"/>
        <v>0</v>
      </c>
      <c r="EC622" s="424">
        <f t="shared" si="1289"/>
        <v>0</v>
      </c>
      <c r="ED622" s="424">
        <f t="shared" si="1289"/>
        <v>0</v>
      </c>
      <c r="EE622" s="424">
        <f t="shared" si="1289"/>
        <v>0</v>
      </c>
      <c r="EF622" s="424">
        <f t="shared" si="1289"/>
        <v>0</v>
      </c>
      <c r="EG622" s="424">
        <f t="shared" si="1289"/>
        <v>0</v>
      </c>
      <c r="EH622" s="424">
        <f t="shared" ref="EH622:EX622" si="1290">EH252*EH$372</f>
        <v>0</v>
      </c>
      <c r="EI622" s="424">
        <f t="shared" si="1290"/>
        <v>0</v>
      </c>
      <c r="EJ622" s="424">
        <f t="shared" si="1290"/>
        <v>0</v>
      </c>
      <c r="EK622" s="424">
        <f t="shared" si="1290"/>
        <v>0</v>
      </c>
      <c r="EL622" s="424">
        <f t="shared" si="1290"/>
        <v>0</v>
      </c>
      <c r="EM622" s="424">
        <f t="shared" si="1290"/>
        <v>0</v>
      </c>
      <c r="EN622" s="424">
        <f t="shared" si="1290"/>
        <v>0</v>
      </c>
      <c r="EO622" s="424">
        <f t="shared" si="1290"/>
        <v>0</v>
      </c>
      <c r="EP622" s="424">
        <f t="shared" si="1290"/>
        <v>0</v>
      </c>
      <c r="EQ622" s="424">
        <f t="shared" si="1290"/>
        <v>0</v>
      </c>
      <c r="ER622" s="424">
        <f t="shared" si="1290"/>
        <v>0</v>
      </c>
      <c r="ES622" s="424">
        <f t="shared" si="1290"/>
        <v>0</v>
      </c>
      <c r="ET622" s="424">
        <f t="shared" si="1290"/>
        <v>0</v>
      </c>
      <c r="EU622" s="424">
        <f t="shared" si="1290"/>
        <v>0</v>
      </c>
      <c r="EV622" s="424">
        <f t="shared" si="1290"/>
        <v>0</v>
      </c>
      <c r="EW622" s="424">
        <f t="shared" si="1290"/>
        <v>0</v>
      </c>
      <c r="EX622" s="424">
        <f t="shared" si="1290"/>
        <v>0</v>
      </c>
      <c r="EY622" s="425">
        <f t="shared" si="1064"/>
        <v>9.7799999999999994</v>
      </c>
    </row>
    <row r="623" spans="1:166" s="699" customFormat="1" ht="14.7" customHeight="1" x14ac:dyDescent="0.25">
      <c r="A623" s="310">
        <v>249</v>
      </c>
      <c r="B623" s="311" t="str">
        <f t="shared" si="1005"/>
        <v>Соус абрикосовый</v>
      </c>
      <c r="C623" s="483">
        <f t="shared" si="1018"/>
        <v>153.41999999999999</v>
      </c>
      <c r="D623" s="888"/>
      <c r="E623" s="888"/>
      <c r="F623" s="888"/>
      <c r="G623" s="889"/>
      <c r="H623" s="680">
        <f t="shared" si="1175"/>
        <v>335</v>
      </c>
      <c r="I623" s="1209">
        <f t="shared" si="1007"/>
        <v>0</v>
      </c>
      <c r="J623" s="424">
        <f t="shared" ref="J623:AO623" si="1291">J253*J$372</f>
        <v>0</v>
      </c>
      <c r="K623" s="424">
        <f t="shared" si="1291"/>
        <v>0</v>
      </c>
      <c r="L623" s="424">
        <f t="shared" si="1291"/>
        <v>0</v>
      </c>
      <c r="M623" s="424">
        <f t="shared" si="1291"/>
        <v>0</v>
      </c>
      <c r="N623" s="424">
        <f t="shared" si="1291"/>
        <v>0</v>
      </c>
      <c r="O623" s="424">
        <f t="shared" si="1291"/>
        <v>0</v>
      </c>
      <c r="P623" s="424">
        <f t="shared" si="1291"/>
        <v>0</v>
      </c>
      <c r="Q623" s="424">
        <f t="shared" si="1291"/>
        <v>0</v>
      </c>
      <c r="R623" s="424">
        <f t="shared" si="1291"/>
        <v>0</v>
      </c>
      <c r="S623" s="424">
        <f t="shared" si="1291"/>
        <v>0</v>
      </c>
      <c r="T623" s="424">
        <f t="shared" si="1291"/>
        <v>0</v>
      </c>
      <c r="U623" s="424">
        <f t="shared" si="1291"/>
        <v>0</v>
      </c>
      <c r="V623" s="424">
        <f t="shared" si="1291"/>
        <v>0</v>
      </c>
      <c r="W623" s="424">
        <f t="shared" si="1291"/>
        <v>0</v>
      </c>
      <c r="X623" s="424">
        <f t="shared" si="1291"/>
        <v>0</v>
      </c>
      <c r="Y623" s="424">
        <f t="shared" si="1291"/>
        <v>0</v>
      </c>
      <c r="Z623" s="424">
        <f t="shared" si="1291"/>
        <v>0</v>
      </c>
      <c r="AA623" s="424">
        <f t="shared" si="1291"/>
        <v>0</v>
      </c>
      <c r="AB623" s="424">
        <f t="shared" si="1291"/>
        <v>0</v>
      </c>
      <c r="AC623" s="424">
        <f t="shared" si="1291"/>
        <v>0</v>
      </c>
      <c r="AD623" s="424">
        <f t="shared" si="1291"/>
        <v>0</v>
      </c>
      <c r="AE623" s="424">
        <f t="shared" si="1291"/>
        <v>0</v>
      </c>
      <c r="AF623" s="424">
        <f t="shared" si="1291"/>
        <v>0</v>
      </c>
      <c r="AG623" s="424">
        <f t="shared" si="1291"/>
        <v>0</v>
      </c>
      <c r="AH623" s="424">
        <f t="shared" si="1291"/>
        <v>0</v>
      </c>
      <c r="AI623" s="424">
        <f t="shared" si="1291"/>
        <v>0</v>
      </c>
      <c r="AJ623" s="424">
        <f t="shared" si="1291"/>
        <v>0</v>
      </c>
      <c r="AK623" s="424">
        <f t="shared" si="1291"/>
        <v>0</v>
      </c>
      <c r="AL623" s="424">
        <f t="shared" si="1291"/>
        <v>0</v>
      </c>
      <c r="AM623" s="424">
        <f t="shared" si="1291"/>
        <v>0</v>
      </c>
      <c r="AN623" s="424">
        <f t="shared" si="1291"/>
        <v>0</v>
      </c>
      <c r="AO623" s="424">
        <f t="shared" si="1291"/>
        <v>0</v>
      </c>
      <c r="AP623" s="424">
        <f t="shared" ref="AP623:BU623" si="1292">AP253*AP$372</f>
        <v>0</v>
      </c>
      <c r="AQ623" s="424">
        <f t="shared" si="1292"/>
        <v>0</v>
      </c>
      <c r="AR623" s="424">
        <f t="shared" si="1292"/>
        <v>0</v>
      </c>
      <c r="AS623" s="424">
        <f t="shared" si="1292"/>
        <v>0</v>
      </c>
      <c r="AT623" s="424">
        <f t="shared" si="1292"/>
        <v>0</v>
      </c>
      <c r="AU623" s="424">
        <f t="shared" si="1292"/>
        <v>0</v>
      </c>
      <c r="AV623" s="424">
        <f t="shared" si="1292"/>
        <v>0</v>
      </c>
      <c r="AW623" s="424">
        <f t="shared" si="1292"/>
        <v>0</v>
      </c>
      <c r="AX623" s="424">
        <f t="shared" si="1292"/>
        <v>0</v>
      </c>
      <c r="AY623" s="424">
        <f t="shared" si="1292"/>
        <v>0</v>
      </c>
      <c r="AZ623" s="424">
        <f t="shared" si="1292"/>
        <v>0</v>
      </c>
      <c r="BA623" s="424">
        <f t="shared" si="1292"/>
        <v>0</v>
      </c>
      <c r="BB623" s="424">
        <f t="shared" si="1292"/>
        <v>0</v>
      </c>
      <c r="BC623" s="424">
        <f t="shared" si="1292"/>
        <v>0</v>
      </c>
      <c r="BD623" s="424">
        <f t="shared" si="1292"/>
        <v>0</v>
      </c>
      <c r="BE623" s="424">
        <f t="shared" si="1292"/>
        <v>0</v>
      </c>
      <c r="BF623" s="424">
        <f t="shared" si="1292"/>
        <v>0</v>
      </c>
      <c r="BG623" s="424">
        <f t="shared" si="1292"/>
        <v>0</v>
      </c>
      <c r="BH623" s="424">
        <f t="shared" si="1292"/>
        <v>0</v>
      </c>
      <c r="BI623" s="424">
        <f t="shared" si="1292"/>
        <v>0</v>
      </c>
      <c r="BJ623" s="424">
        <f t="shared" si="1292"/>
        <v>0</v>
      </c>
      <c r="BK623" s="424">
        <f t="shared" si="1292"/>
        <v>0</v>
      </c>
      <c r="BL623" s="424">
        <f t="shared" si="1292"/>
        <v>0</v>
      </c>
      <c r="BM623" s="424">
        <f t="shared" si="1292"/>
        <v>0</v>
      </c>
      <c r="BN623" s="424">
        <f t="shared" si="1292"/>
        <v>0</v>
      </c>
      <c r="BO623" s="424">
        <f t="shared" si="1292"/>
        <v>107.82</v>
      </c>
      <c r="BP623" s="424">
        <f t="shared" si="1292"/>
        <v>0</v>
      </c>
      <c r="BQ623" s="424">
        <f t="shared" si="1292"/>
        <v>0</v>
      </c>
      <c r="BR623" s="424">
        <f t="shared" si="1292"/>
        <v>0</v>
      </c>
      <c r="BS623" s="424">
        <f t="shared" si="1292"/>
        <v>0</v>
      </c>
      <c r="BT623" s="424">
        <f t="shared" si="1292"/>
        <v>0</v>
      </c>
      <c r="BU623" s="424">
        <f t="shared" si="1292"/>
        <v>0</v>
      </c>
      <c r="BV623" s="424">
        <f t="shared" ref="BV623:DA623" si="1293">BV253*BV$372</f>
        <v>0</v>
      </c>
      <c r="BW623" s="424">
        <f t="shared" si="1293"/>
        <v>0</v>
      </c>
      <c r="BX623" s="424">
        <f t="shared" si="1293"/>
        <v>0</v>
      </c>
      <c r="BY623" s="424">
        <f t="shared" si="1293"/>
        <v>0</v>
      </c>
      <c r="BZ623" s="424">
        <f t="shared" si="1293"/>
        <v>0</v>
      </c>
      <c r="CA623" s="424">
        <f t="shared" si="1293"/>
        <v>0</v>
      </c>
      <c r="CB623" s="424">
        <f t="shared" si="1293"/>
        <v>0</v>
      </c>
      <c r="CC623" s="424">
        <f t="shared" si="1293"/>
        <v>0</v>
      </c>
      <c r="CD623" s="424">
        <f t="shared" si="1293"/>
        <v>0</v>
      </c>
      <c r="CE623" s="424">
        <f t="shared" si="1293"/>
        <v>0</v>
      </c>
      <c r="CF623" s="424">
        <f t="shared" si="1293"/>
        <v>0</v>
      </c>
      <c r="CG623" s="424">
        <f t="shared" si="1293"/>
        <v>0</v>
      </c>
      <c r="CH623" s="424">
        <f t="shared" si="1293"/>
        <v>0</v>
      </c>
      <c r="CI623" s="424">
        <f t="shared" si="1293"/>
        <v>0</v>
      </c>
      <c r="CJ623" s="424">
        <f t="shared" si="1293"/>
        <v>0</v>
      </c>
      <c r="CK623" s="424">
        <f t="shared" si="1293"/>
        <v>0</v>
      </c>
      <c r="CL623" s="424">
        <f t="shared" si="1293"/>
        <v>0</v>
      </c>
      <c r="CM623" s="424">
        <f t="shared" si="1293"/>
        <v>0</v>
      </c>
      <c r="CN623" s="424">
        <f t="shared" si="1293"/>
        <v>0</v>
      </c>
      <c r="CO623" s="424">
        <f t="shared" si="1293"/>
        <v>0</v>
      </c>
      <c r="CP623" s="424">
        <f t="shared" si="1293"/>
        <v>0</v>
      </c>
      <c r="CQ623" s="424">
        <f t="shared" si="1293"/>
        <v>0</v>
      </c>
      <c r="CR623" s="424">
        <f t="shared" si="1293"/>
        <v>0</v>
      </c>
      <c r="CS623" s="424">
        <f t="shared" si="1293"/>
        <v>0</v>
      </c>
      <c r="CT623" s="424">
        <f t="shared" si="1293"/>
        <v>0</v>
      </c>
      <c r="CU623" s="424">
        <f t="shared" si="1293"/>
        <v>0</v>
      </c>
      <c r="CV623" s="424">
        <f t="shared" si="1293"/>
        <v>0</v>
      </c>
      <c r="CW623" s="424">
        <f t="shared" si="1293"/>
        <v>0</v>
      </c>
      <c r="CX623" s="424">
        <f t="shared" si="1293"/>
        <v>0</v>
      </c>
      <c r="CY623" s="424">
        <f t="shared" si="1293"/>
        <v>0</v>
      </c>
      <c r="CZ623" s="424">
        <f t="shared" si="1293"/>
        <v>45.6</v>
      </c>
      <c r="DA623" s="424">
        <f t="shared" si="1293"/>
        <v>0</v>
      </c>
      <c r="DB623" s="424">
        <f t="shared" ref="DB623:EG623" si="1294">DB253*DB$372</f>
        <v>0</v>
      </c>
      <c r="DC623" s="424">
        <f t="shared" si="1294"/>
        <v>0</v>
      </c>
      <c r="DD623" s="424">
        <f t="shared" si="1294"/>
        <v>0</v>
      </c>
      <c r="DE623" s="424">
        <f t="shared" si="1294"/>
        <v>0</v>
      </c>
      <c r="DF623" s="424">
        <f t="shared" si="1294"/>
        <v>0</v>
      </c>
      <c r="DG623" s="424">
        <f t="shared" si="1294"/>
        <v>0</v>
      </c>
      <c r="DH623" s="424">
        <f t="shared" si="1294"/>
        <v>0</v>
      </c>
      <c r="DI623" s="424">
        <f t="shared" si="1294"/>
        <v>0</v>
      </c>
      <c r="DJ623" s="424">
        <f t="shared" si="1294"/>
        <v>0</v>
      </c>
      <c r="DK623" s="424">
        <f t="shared" si="1294"/>
        <v>0</v>
      </c>
      <c r="DL623" s="424">
        <f t="shared" si="1294"/>
        <v>0</v>
      </c>
      <c r="DM623" s="424">
        <f t="shared" si="1294"/>
        <v>0</v>
      </c>
      <c r="DN623" s="424">
        <f t="shared" si="1294"/>
        <v>0</v>
      </c>
      <c r="DO623" s="424">
        <f t="shared" si="1294"/>
        <v>0</v>
      </c>
      <c r="DP623" s="424">
        <f t="shared" si="1294"/>
        <v>0</v>
      </c>
      <c r="DQ623" s="424">
        <f t="shared" si="1294"/>
        <v>0</v>
      </c>
      <c r="DR623" s="424">
        <f t="shared" si="1294"/>
        <v>0</v>
      </c>
      <c r="DS623" s="424">
        <f t="shared" si="1294"/>
        <v>0</v>
      </c>
      <c r="DT623" s="424">
        <f t="shared" si="1294"/>
        <v>0</v>
      </c>
      <c r="DU623" s="424">
        <f t="shared" si="1294"/>
        <v>0</v>
      </c>
      <c r="DV623" s="424">
        <f t="shared" si="1294"/>
        <v>0</v>
      </c>
      <c r="DW623" s="424">
        <f t="shared" si="1294"/>
        <v>0</v>
      </c>
      <c r="DX623" s="424">
        <f t="shared" si="1294"/>
        <v>0</v>
      </c>
      <c r="DY623" s="424">
        <f t="shared" si="1294"/>
        <v>0</v>
      </c>
      <c r="DZ623" s="424">
        <f t="shared" si="1294"/>
        <v>0</v>
      </c>
      <c r="EA623" s="424">
        <f t="shared" si="1294"/>
        <v>0</v>
      </c>
      <c r="EB623" s="424">
        <f t="shared" si="1294"/>
        <v>0</v>
      </c>
      <c r="EC623" s="424">
        <f t="shared" si="1294"/>
        <v>0</v>
      </c>
      <c r="ED623" s="424">
        <f t="shared" si="1294"/>
        <v>0</v>
      </c>
      <c r="EE623" s="424">
        <f t="shared" si="1294"/>
        <v>0</v>
      </c>
      <c r="EF623" s="424">
        <f t="shared" si="1294"/>
        <v>0</v>
      </c>
      <c r="EG623" s="424">
        <f t="shared" si="1294"/>
        <v>0</v>
      </c>
      <c r="EH623" s="424">
        <f t="shared" ref="EH623:EX623" si="1295">EH253*EH$372</f>
        <v>0</v>
      </c>
      <c r="EI623" s="424">
        <f t="shared" si="1295"/>
        <v>0</v>
      </c>
      <c r="EJ623" s="424">
        <f t="shared" si="1295"/>
        <v>0</v>
      </c>
      <c r="EK623" s="424">
        <f t="shared" si="1295"/>
        <v>0</v>
      </c>
      <c r="EL623" s="424">
        <f t="shared" si="1295"/>
        <v>0</v>
      </c>
      <c r="EM623" s="424">
        <f t="shared" si="1295"/>
        <v>0</v>
      </c>
      <c r="EN623" s="424">
        <f t="shared" si="1295"/>
        <v>0</v>
      </c>
      <c r="EO623" s="424">
        <f t="shared" si="1295"/>
        <v>0</v>
      </c>
      <c r="EP623" s="424">
        <f t="shared" si="1295"/>
        <v>0</v>
      </c>
      <c r="EQ623" s="424">
        <f t="shared" si="1295"/>
        <v>0</v>
      </c>
      <c r="ER623" s="424">
        <f t="shared" si="1295"/>
        <v>0</v>
      </c>
      <c r="ES623" s="424">
        <f t="shared" si="1295"/>
        <v>0</v>
      </c>
      <c r="ET623" s="424">
        <f t="shared" si="1295"/>
        <v>0</v>
      </c>
      <c r="EU623" s="424">
        <f t="shared" si="1295"/>
        <v>0</v>
      </c>
      <c r="EV623" s="424">
        <f t="shared" si="1295"/>
        <v>0</v>
      </c>
      <c r="EW623" s="424">
        <f t="shared" si="1295"/>
        <v>0</v>
      </c>
      <c r="EX623" s="424">
        <f t="shared" si="1295"/>
        <v>0</v>
      </c>
      <c r="EY623" s="425">
        <f t="shared" si="1064"/>
        <v>153.41999999999999</v>
      </c>
      <c r="EZ623" s="616"/>
      <c r="FA623" s="616"/>
      <c r="FB623" s="616"/>
      <c r="FC623" s="616"/>
      <c r="FD623" s="616"/>
      <c r="FE623" s="616"/>
      <c r="FF623" s="616"/>
      <c r="FG623" s="616"/>
      <c r="FH623" s="616"/>
      <c r="FI623" s="616"/>
      <c r="FJ623" s="616"/>
    </row>
    <row r="624" spans="1:166" s="699" customFormat="1" ht="14.7" customHeight="1" x14ac:dyDescent="0.25">
      <c r="A624" s="310">
        <v>250</v>
      </c>
      <c r="B624" s="311" t="str">
        <f t="shared" si="1005"/>
        <v>Соус абрикосовый (курага)</v>
      </c>
      <c r="C624" s="483">
        <f t="shared" si="1018"/>
        <v>73.099999999999994</v>
      </c>
      <c r="D624" s="888"/>
      <c r="E624" s="888"/>
      <c r="F624" s="888"/>
      <c r="G624" s="889"/>
      <c r="H624" s="680">
        <f t="shared" si="1175"/>
        <v>335</v>
      </c>
      <c r="I624" s="1209">
        <f t="shared" si="1007"/>
        <v>0</v>
      </c>
      <c r="J624" s="424">
        <f t="shared" ref="J624:AO624" si="1296">J254*J$372</f>
        <v>0</v>
      </c>
      <c r="K624" s="424">
        <f t="shared" si="1296"/>
        <v>0</v>
      </c>
      <c r="L624" s="424">
        <f t="shared" si="1296"/>
        <v>0</v>
      </c>
      <c r="M624" s="424">
        <f t="shared" si="1296"/>
        <v>0</v>
      </c>
      <c r="N624" s="424">
        <f t="shared" si="1296"/>
        <v>0</v>
      </c>
      <c r="O624" s="424">
        <f t="shared" si="1296"/>
        <v>0</v>
      </c>
      <c r="P624" s="424">
        <f t="shared" si="1296"/>
        <v>0</v>
      </c>
      <c r="Q624" s="424">
        <f t="shared" si="1296"/>
        <v>0</v>
      </c>
      <c r="R624" s="424">
        <f t="shared" si="1296"/>
        <v>0</v>
      </c>
      <c r="S624" s="424">
        <f t="shared" si="1296"/>
        <v>0</v>
      </c>
      <c r="T624" s="424">
        <f t="shared" si="1296"/>
        <v>0</v>
      </c>
      <c r="U624" s="424">
        <f t="shared" si="1296"/>
        <v>0</v>
      </c>
      <c r="V624" s="424">
        <f t="shared" si="1296"/>
        <v>0</v>
      </c>
      <c r="W624" s="424">
        <f t="shared" si="1296"/>
        <v>0</v>
      </c>
      <c r="X624" s="424">
        <f t="shared" si="1296"/>
        <v>0</v>
      </c>
      <c r="Y624" s="424">
        <f t="shared" si="1296"/>
        <v>0</v>
      </c>
      <c r="Z624" s="424">
        <f t="shared" si="1296"/>
        <v>0</v>
      </c>
      <c r="AA624" s="424">
        <f t="shared" si="1296"/>
        <v>0</v>
      </c>
      <c r="AB624" s="424">
        <f t="shared" si="1296"/>
        <v>0</v>
      </c>
      <c r="AC624" s="424">
        <f t="shared" si="1296"/>
        <v>0</v>
      </c>
      <c r="AD624" s="424">
        <f t="shared" si="1296"/>
        <v>0</v>
      </c>
      <c r="AE624" s="424">
        <f t="shared" si="1296"/>
        <v>0</v>
      </c>
      <c r="AF624" s="424">
        <f t="shared" si="1296"/>
        <v>0</v>
      </c>
      <c r="AG624" s="424">
        <f t="shared" si="1296"/>
        <v>0</v>
      </c>
      <c r="AH624" s="424">
        <f t="shared" si="1296"/>
        <v>0</v>
      </c>
      <c r="AI624" s="424">
        <f t="shared" si="1296"/>
        <v>0</v>
      </c>
      <c r="AJ624" s="424">
        <f t="shared" si="1296"/>
        <v>0</v>
      </c>
      <c r="AK624" s="424">
        <f t="shared" si="1296"/>
        <v>0</v>
      </c>
      <c r="AL624" s="424">
        <f t="shared" si="1296"/>
        <v>0</v>
      </c>
      <c r="AM624" s="424">
        <f t="shared" si="1296"/>
        <v>0</v>
      </c>
      <c r="AN624" s="424">
        <f t="shared" si="1296"/>
        <v>0</v>
      </c>
      <c r="AO624" s="424">
        <f t="shared" si="1296"/>
        <v>0</v>
      </c>
      <c r="AP624" s="424">
        <f t="shared" ref="AP624:BU624" si="1297">AP254*AP$372</f>
        <v>0</v>
      </c>
      <c r="AQ624" s="424">
        <f t="shared" si="1297"/>
        <v>0</v>
      </c>
      <c r="AR624" s="424">
        <f t="shared" si="1297"/>
        <v>0</v>
      </c>
      <c r="AS624" s="424">
        <f t="shared" si="1297"/>
        <v>0</v>
      </c>
      <c r="AT624" s="424">
        <f t="shared" si="1297"/>
        <v>0</v>
      </c>
      <c r="AU624" s="424">
        <f t="shared" si="1297"/>
        <v>0</v>
      </c>
      <c r="AV624" s="424">
        <f t="shared" si="1297"/>
        <v>0</v>
      </c>
      <c r="AW624" s="424">
        <f t="shared" si="1297"/>
        <v>0</v>
      </c>
      <c r="AX624" s="424">
        <f t="shared" si="1297"/>
        <v>0</v>
      </c>
      <c r="AY624" s="424">
        <f t="shared" si="1297"/>
        <v>0</v>
      </c>
      <c r="AZ624" s="424">
        <f t="shared" si="1297"/>
        <v>0</v>
      </c>
      <c r="BA624" s="424">
        <f t="shared" si="1297"/>
        <v>0</v>
      </c>
      <c r="BB624" s="424">
        <f t="shared" si="1297"/>
        <v>0</v>
      </c>
      <c r="BC624" s="424">
        <f t="shared" si="1297"/>
        <v>0</v>
      </c>
      <c r="BD624" s="424">
        <f t="shared" si="1297"/>
        <v>0</v>
      </c>
      <c r="BE624" s="424">
        <f t="shared" si="1297"/>
        <v>0</v>
      </c>
      <c r="BF624" s="424">
        <f t="shared" si="1297"/>
        <v>0</v>
      </c>
      <c r="BG624" s="424">
        <f t="shared" si="1297"/>
        <v>0</v>
      </c>
      <c r="BH624" s="424">
        <f t="shared" si="1297"/>
        <v>0</v>
      </c>
      <c r="BI624" s="424">
        <f t="shared" si="1297"/>
        <v>0</v>
      </c>
      <c r="BJ624" s="424">
        <f t="shared" si="1297"/>
        <v>0</v>
      </c>
      <c r="BK624" s="424">
        <f t="shared" si="1297"/>
        <v>0</v>
      </c>
      <c r="BL624" s="424">
        <f t="shared" si="1297"/>
        <v>0</v>
      </c>
      <c r="BM624" s="424">
        <f t="shared" si="1297"/>
        <v>0</v>
      </c>
      <c r="BN624" s="424">
        <f t="shared" si="1297"/>
        <v>0</v>
      </c>
      <c r="BO624" s="424">
        <f t="shared" si="1297"/>
        <v>0</v>
      </c>
      <c r="BP624" s="424">
        <f t="shared" si="1297"/>
        <v>0</v>
      </c>
      <c r="BQ624" s="424">
        <f t="shared" si="1297"/>
        <v>0</v>
      </c>
      <c r="BR624" s="424">
        <f t="shared" si="1297"/>
        <v>0</v>
      </c>
      <c r="BS624" s="424">
        <f t="shared" si="1297"/>
        <v>0</v>
      </c>
      <c r="BT624" s="424">
        <f t="shared" si="1297"/>
        <v>0</v>
      </c>
      <c r="BU624" s="424">
        <f t="shared" si="1297"/>
        <v>0</v>
      </c>
      <c r="BV624" s="424">
        <f t="shared" ref="BV624:DA624" si="1298">BV254*BV$372</f>
        <v>0</v>
      </c>
      <c r="BW624" s="424">
        <f t="shared" si="1298"/>
        <v>0</v>
      </c>
      <c r="BX624" s="424">
        <f t="shared" si="1298"/>
        <v>0</v>
      </c>
      <c r="BY624" s="424">
        <f t="shared" si="1298"/>
        <v>0</v>
      </c>
      <c r="BZ624" s="424">
        <f t="shared" si="1298"/>
        <v>0</v>
      </c>
      <c r="CA624" s="424">
        <f t="shared" si="1298"/>
        <v>0</v>
      </c>
      <c r="CB624" s="424">
        <f t="shared" si="1298"/>
        <v>0</v>
      </c>
      <c r="CC624" s="424">
        <f t="shared" si="1298"/>
        <v>0</v>
      </c>
      <c r="CD624" s="424">
        <f t="shared" si="1298"/>
        <v>0</v>
      </c>
      <c r="CE624" s="424">
        <f t="shared" si="1298"/>
        <v>0</v>
      </c>
      <c r="CF624" s="424">
        <f t="shared" si="1298"/>
        <v>0</v>
      </c>
      <c r="CG624" s="424">
        <f t="shared" si="1298"/>
        <v>0</v>
      </c>
      <c r="CH624" s="424">
        <f t="shared" si="1298"/>
        <v>0</v>
      </c>
      <c r="CI624" s="424">
        <f t="shared" si="1298"/>
        <v>0</v>
      </c>
      <c r="CJ624" s="424">
        <f t="shared" si="1298"/>
        <v>0</v>
      </c>
      <c r="CK624" s="424">
        <f t="shared" si="1298"/>
        <v>0</v>
      </c>
      <c r="CL624" s="424">
        <f t="shared" si="1298"/>
        <v>0</v>
      </c>
      <c r="CM624" s="424">
        <f t="shared" si="1298"/>
        <v>0</v>
      </c>
      <c r="CN624" s="424">
        <f t="shared" si="1298"/>
        <v>0</v>
      </c>
      <c r="CO624" s="424">
        <f t="shared" si="1298"/>
        <v>0</v>
      </c>
      <c r="CP624" s="424">
        <f t="shared" si="1298"/>
        <v>0</v>
      </c>
      <c r="CQ624" s="424">
        <f t="shared" si="1298"/>
        <v>0</v>
      </c>
      <c r="CR624" s="424">
        <f t="shared" si="1298"/>
        <v>0</v>
      </c>
      <c r="CS624" s="424">
        <f t="shared" si="1298"/>
        <v>0</v>
      </c>
      <c r="CT624" s="424">
        <f t="shared" si="1298"/>
        <v>0</v>
      </c>
      <c r="CU624" s="424">
        <f t="shared" si="1298"/>
        <v>0</v>
      </c>
      <c r="CV624" s="424">
        <f t="shared" si="1298"/>
        <v>0</v>
      </c>
      <c r="CW624" s="424">
        <f t="shared" si="1298"/>
        <v>0</v>
      </c>
      <c r="CX624" s="424">
        <f t="shared" si="1298"/>
        <v>0</v>
      </c>
      <c r="CY624" s="424">
        <f t="shared" si="1298"/>
        <v>0</v>
      </c>
      <c r="CZ624" s="424">
        <f t="shared" si="1298"/>
        <v>45.6</v>
      </c>
      <c r="DA624" s="424">
        <f t="shared" si="1298"/>
        <v>0</v>
      </c>
      <c r="DB624" s="424">
        <f t="shared" ref="DB624:EG624" si="1299">DB254*DB$372</f>
        <v>0</v>
      </c>
      <c r="DC624" s="424">
        <f t="shared" si="1299"/>
        <v>0</v>
      </c>
      <c r="DD624" s="424">
        <f t="shared" si="1299"/>
        <v>0</v>
      </c>
      <c r="DE624" s="424">
        <f t="shared" si="1299"/>
        <v>0</v>
      </c>
      <c r="DF624" s="424">
        <f t="shared" si="1299"/>
        <v>0</v>
      </c>
      <c r="DG624" s="424">
        <f t="shared" si="1299"/>
        <v>0</v>
      </c>
      <c r="DH624" s="424">
        <f t="shared" si="1299"/>
        <v>0</v>
      </c>
      <c r="DI624" s="424">
        <f t="shared" si="1299"/>
        <v>0</v>
      </c>
      <c r="DJ624" s="424">
        <f t="shared" si="1299"/>
        <v>0</v>
      </c>
      <c r="DK624" s="424">
        <f t="shared" si="1299"/>
        <v>0</v>
      </c>
      <c r="DL624" s="424">
        <f t="shared" si="1299"/>
        <v>0</v>
      </c>
      <c r="DM624" s="424">
        <f t="shared" si="1299"/>
        <v>0</v>
      </c>
      <c r="DN624" s="424">
        <f t="shared" si="1299"/>
        <v>0</v>
      </c>
      <c r="DO624" s="424">
        <f t="shared" si="1299"/>
        <v>27.5</v>
      </c>
      <c r="DP624" s="424">
        <f t="shared" si="1299"/>
        <v>0</v>
      </c>
      <c r="DQ624" s="424">
        <f t="shared" si="1299"/>
        <v>0</v>
      </c>
      <c r="DR624" s="424">
        <f t="shared" si="1299"/>
        <v>0</v>
      </c>
      <c r="DS624" s="424">
        <f t="shared" si="1299"/>
        <v>0</v>
      </c>
      <c r="DT624" s="424">
        <f t="shared" si="1299"/>
        <v>0</v>
      </c>
      <c r="DU624" s="424">
        <f t="shared" si="1299"/>
        <v>0</v>
      </c>
      <c r="DV624" s="424">
        <f t="shared" si="1299"/>
        <v>0</v>
      </c>
      <c r="DW624" s="424">
        <f t="shared" si="1299"/>
        <v>0</v>
      </c>
      <c r="DX624" s="424">
        <f t="shared" si="1299"/>
        <v>0</v>
      </c>
      <c r="DY624" s="424">
        <f t="shared" si="1299"/>
        <v>0</v>
      </c>
      <c r="DZ624" s="424">
        <f t="shared" si="1299"/>
        <v>0</v>
      </c>
      <c r="EA624" s="424">
        <f t="shared" si="1299"/>
        <v>0</v>
      </c>
      <c r="EB624" s="424">
        <f t="shared" si="1299"/>
        <v>0</v>
      </c>
      <c r="EC624" s="424">
        <f t="shared" si="1299"/>
        <v>0</v>
      </c>
      <c r="ED624" s="424">
        <f t="shared" si="1299"/>
        <v>0</v>
      </c>
      <c r="EE624" s="424">
        <f t="shared" si="1299"/>
        <v>0</v>
      </c>
      <c r="EF624" s="424">
        <f t="shared" si="1299"/>
        <v>0</v>
      </c>
      <c r="EG624" s="424">
        <f t="shared" si="1299"/>
        <v>0</v>
      </c>
      <c r="EH624" s="424">
        <f t="shared" ref="EH624:EX624" si="1300">EH254*EH$372</f>
        <v>0</v>
      </c>
      <c r="EI624" s="424">
        <f t="shared" si="1300"/>
        <v>0</v>
      </c>
      <c r="EJ624" s="424">
        <f t="shared" si="1300"/>
        <v>0</v>
      </c>
      <c r="EK624" s="424">
        <f t="shared" si="1300"/>
        <v>0</v>
      </c>
      <c r="EL624" s="424">
        <f t="shared" si="1300"/>
        <v>0</v>
      </c>
      <c r="EM624" s="424">
        <f t="shared" si="1300"/>
        <v>0</v>
      </c>
      <c r="EN624" s="424">
        <f t="shared" si="1300"/>
        <v>0</v>
      </c>
      <c r="EO624" s="424">
        <f t="shared" si="1300"/>
        <v>0</v>
      </c>
      <c r="EP624" s="424">
        <f t="shared" si="1300"/>
        <v>0</v>
      </c>
      <c r="EQ624" s="424">
        <f t="shared" si="1300"/>
        <v>0</v>
      </c>
      <c r="ER624" s="424">
        <f t="shared" si="1300"/>
        <v>0</v>
      </c>
      <c r="ES624" s="424">
        <f t="shared" si="1300"/>
        <v>0</v>
      </c>
      <c r="ET624" s="424">
        <f t="shared" si="1300"/>
        <v>0</v>
      </c>
      <c r="EU624" s="424">
        <f t="shared" si="1300"/>
        <v>0</v>
      </c>
      <c r="EV624" s="424">
        <f t="shared" si="1300"/>
        <v>0</v>
      </c>
      <c r="EW624" s="424">
        <f t="shared" si="1300"/>
        <v>0</v>
      </c>
      <c r="EX624" s="424">
        <f t="shared" si="1300"/>
        <v>0</v>
      </c>
      <c r="EY624" s="425">
        <f t="shared" si="1064"/>
        <v>73.099999999999994</v>
      </c>
      <c r="EZ624" s="616"/>
      <c r="FA624" s="616"/>
      <c r="FB624" s="616"/>
      <c r="FC624" s="616"/>
      <c r="FD624" s="616"/>
      <c r="FE624" s="616"/>
      <c r="FF624" s="616"/>
      <c r="FG624" s="616"/>
      <c r="FH624" s="616"/>
      <c r="FI624" s="616"/>
      <c r="FJ624" s="616"/>
    </row>
    <row r="625" spans="1:166" s="699" customFormat="1" ht="14.7" customHeight="1" x14ac:dyDescent="0.25">
      <c r="A625" s="310">
        <v>251</v>
      </c>
      <c r="B625" s="311" t="str">
        <f t="shared" si="1005"/>
        <v>Соус черносмородиновый</v>
      </c>
      <c r="C625" s="483">
        <f t="shared" si="1018"/>
        <v>136.15</v>
      </c>
      <c r="D625" s="888"/>
      <c r="E625" s="888"/>
      <c r="F625" s="888"/>
      <c r="G625" s="889"/>
      <c r="H625" s="680">
        <f t="shared" si="1175"/>
        <v>336</v>
      </c>
      <c r="I625" s="1209">
        <f t="shared" si="1007"/>
        <v>0</v>
      </c>
      <c r="J625" s="424">
        <f t="shared" ref="J625:AO625" si="1301">J255*J$372</f>
        <v>0</v>
      </c>
      <c r="K625" s="424">
        <f t="shared" si="1301"/>
        <v>0</v>
      </c>
      <c r="L625" s="424">
        <f t="shared" si="1301"/>
        <v>0</v>
      </c>
      <c r="M625" s="424">
        <f t="shared" si="1301"/>
        <v>0</v>
      </c>
      <c r="N625" s="424">
        <f t="shared" si="1301"/>
        <v>0</v>
      </c>
      <c r="O625" s="424">
        <f t="shared" si="1301"/>
        <v>0</v>
      </c>
      <c r="P625" s="424">
        <f t="shared" si="1301"/>
        <v>0</v>
      </c>
      <c r="Q625" s="424">
        <f t="shared" si="1301"/>
        <v>0</v>
      </c>
      <c r="R625" s="424">
        <f t="shared" si="1301"/>
        <v>0</v>
      </c>
      <c r="S625" s="424">
        <f t="shared" si="1301"/>
        <v>0</v>
      </c>
      <c r="T625" s="424">
        <f t="shared" si="1301"/>
        <v>0</v>
      </c>
      <c r="U625" s="424">
        <f t="shared" si="1301"/>
        <v>0</v>
      </c>
      <c r="V625" s="424">
        <f t="shared" si="1301"/>
        <v>0</v>
      </c>
      <c r="W625" s="424">
        <f t="shared" si="1301"/>
        <v>0</v>
      </c>
      <c r="X625" s="424">
        <f t="shared" si="1301"/>
        <v>0</v>
      </c>
      <c r="Y625" s="424">
        <f t="shared" si="1301"/>
        <v>0</v>
      </c>
      <c r="Z625" s="424">
        <f t="shared" si="1301"/>
        <v>0</v>
      </c>
      <c r="AA625" s="424">
        <f t="shared" si="1301"/>
        <v>0</v>
      </c>
      <c r="AB625" s="424">
        <f t="shared" si="1301"/>
        <v>0</v>
      </c>
      <c r="AC625" s="424">
        <f t="shared" si="1301"/>
        <v>0</v>
      </c>
      <c r="AD625" s="424">
        <f t="shared" si="1301"/>
        <v>0</v>
      </c>
      <c r="AE625" s="424">
        <f t="shared" si="1301"/>
        <v>0</v>
      </c>
      <c r="AF625" s="424">
        <f t="shared" si="1301"/>
        <v>0</v>
      </c>
      <c r="AG625" s="424">
        <f t="shared" si="1301"/>
        <v>0</v>
      </c>
      <c r="AH625" s="424">
        <f t="shared" si="1301"/>
        <v>0</v>
      </c>
      <c r="AI625" s="424">
        <f t="shared" si="1301"/>
        <v>0</v>
      </c>
      <c r="AJ625" s="424">
        <f t="shared" si="1301"/>
        <v>0</v>
      </c>
      <c r="AK625" s="424">
        <f t="shared" si="1301"/>
        <v>0</v>
      </c>
      <c r="AL625" s="424">
        <f t="shared" si="1301"/>
        <v>0</v>
      </c>
      <c r="AM625" s="424">
        <f t="shared" si="1301"/>
        <v>0</v>
      </c>
      <c r="AN625" s="424">
        <f t="shared" si="1301"/>
        <v>0</v>
      </c>
      <c r="AO625" s="424">
        <f t="shared" si="1301"/>
        <v>0</v>
      </c>
      <c r="AP625" s="424">
        <f t="shared" ref="AP625:BU625" si="1302">AP255*AP$372</f>
        <v>0</v>
      </c>
      <c r="AQ625" s="424">
        <f t="shared" si="1302"/>
        <v>0</v>
      </c>
      <c r="AR625" s="424">
        <f t="shared" si="1302"/>
        <v>0</v>
      </c>
      <c r="AS625" s="424">
        <f t="shared" si="1302"/>
        <v>0</v>
      </c>
      <c r="AT625" s="424">
        <f t="shared" si="1302"/>
        <v>0</v>
      </c>
      <c r="AU625" s="424">
        <f t="shared" si="1302"/>
        <v>0</v>
      </c>
      <c r="AV625" s="424">
        <f t="shared" si="1302"/>
        <v>0</v>
      </c>
      <c r="AW625" s="424">
        <f t="shared" si="1302"/>
        <v>0</v>
      </c>
      <c r="AX625" s="424">
        <f t="shared" si="1302"/>
        <v>0</v>
      </c>
      <c r="AY625" s="424">
        <f t="shared" si="1302"/>
        <v>0</v>
      </c>
      <c r="AZ625" s="424">
        <f t="shared" si="1302"/>
        <v>0</v>
      </c>
      <c r="BA625" s="424">
        <f t="shared" si="1302"/>
        <v>0</v>
      </c>
      <c r="BB625" s="424">
        <f t="shared" si="1302"/>
        <v>0</v>
      </c>
      <c r="BC625" s="424">
        <f t="shared" si="1302"/>
        <v>0</v>
      </c>
      <c r="BD625" s="424">
        <f t="shared" si="1302"/>
        <v>0</v>
      </c>
      <c r="BE625" s="424">
        <f t="shared" si="1302"/>
        <v>0</v>
      </c>
      <c r="BF625" s="424">
        <f t="shared" si="1302"/>
        <v>0</v>
      </c>
      <c r="BG625" s="424">
        <f t="shared" si="1302"/>
        <v>0</v>
      </c>
      <c r="BH625" s="424">
        <f t="shared" si="1302"/>
        <v>86.75</v>
      </c>
      <c r="BI625" s="424">
        <f t="shared" si="1302"/>
        <v>0</v>
      </c>
      <c r="BJ625" s="424">
        <f t="shared" si="1302"/>
        <v>0</v>
      </c>
      <c r="BK625" s="424">
        <f t="shared" si="1302"/>
        <v>0</v>
      </c>
      <c r="BL625" s="424">
        <f t="shared" si="1302"/>
        <v>0</v>
      </c>
      <c r="BM625" s="424">
        <f t="shared" si="1302"/>
        <v>0</v>
      </c>
      <c r="BN625" s="424">
        <f t="shared" si="1302"/>
        <v>0</v>
      </c>
      <c r="BO625" s="424">
        <f t="shared" si="1302"/>
        <v>0</v>
      </c>
      <c r="BP625" s="424">
        <f t="shared" si="1302"/>
        <v>0</v>
      </c>
      <c r="BQ625" s="424">
        <f t="shared" si="1302"/>
        <v>0</v>
      </c>
      <c r="BR625" s="424">
        <f t="shared" si="1302"/>
        <v>0</v>
      </c>
      <c r="BS625" s="424">
        <f t="shared" si="1302"/>
        <v>0</v>
      </c>
      <c r="BT625" s="424">
        <f t="shared" si="1302"/>
        <v>0</v>
      </c>
      <c r="BU625" s="424">
        <f t="shared" si="1302"/>
        <v>0</v>
      </c>
      <c r="BV625" s="424">
        <f t="shared" ref="BV625:DA625" si="1303">BV255*BV$372</f>
        <v>0</v>
      </c>
      <c r="BW625" s="424">
        <f t="shared" si="1303"/>
        <v>0</v>
      </c>
      <c r="BX625" s="424">
        <f t="shared" si="1303"/>
        <v>0</v>
      </c>
      <c r="BY625" s="424">
        <f t="shared" si="1303"/>
        <v>0</v>
      </c>
      <c r="BZ625" s="424">
        <f t="shared" si="1303"/>
        <v>0</v>
      </c>
      <c r="CA625" s="424">
        <f t="shared" si="1303"/>
        <v>0</v>
      </c>
      <c r="CB625" s="424">
        <f t="shared" si="1303"/>
        <v>0</v>
      </c>
      <c r="CC625" s="424">
        <f t="shared" si="1303"/>
        <v>0</v>
      </c>
      <c r="CD625" s="424">
        <f t="shared" si="1303"/>
        <v>0</v>
      </c>
      <c r="CE625" s="424">
        <f t="shared" si="1303"/>
        <v>0</v>
      </c>
      <c r="CF625" s="424">
        <f t="shared" si="1303"/>
        <v>0</v>
      </c>
      <c r="CG625" s="424">
        <f t="shared" si="1303"/>
        <v>0</v>
      </c>
      <c r="CH625" s="424">
        <f t="shared" si="1303"/>
        <v>0</v>
      </c>
      <c r="CI625" s="424">
        <f t="shared" si="1303"/>
        <v>0</v>
      </c>
      <c r="CJ625" s="424">
        <f t="shared" si="1303"/>
        <v>0</v>
      </c>
      <c r="CK625" s="424">
        <f t="shared" si="1303"/>
        <v>0</v>
      </c>
      <c r="CL625" s="424">
        <f t="shared" si="1303"/>
        <v>0</v>
      </c>
      <c r="CM625" s="424">
        <f t="shared" si="1303"/>
        <v>0</v>
      </c>
      <c r="CN625" s="424">
        <f t="shared" si="1303"/>
        <v>0</v>
      </c>
      <c r="CO625" s="424">
        <f t="shared" si="1303"/>
        <v>0</v>
      </c>
      <c r="CP625" s="424">
        <f t="shared" si="1303"/>
        <v>0</v>
      </c>
      <c r="CQ625" s="424">
        <f t="shared" si="1303"/>
        <v>0</v>
      </c>
      <c r="CR625" s="424">
        <f t="shared" si="1303"/>
        <v>0</v>
      </c>
      <c r="CS625" s="424">
        <f t="shared" si="1303"/>
        <v>0</v>
      </c>
      <c r="CT625" s="424">
        <f t="shared" si="1303"/>
        <v>0</v>
      </c>
      <c r="CU625" s="424">
        <f t="shared" si="1303"/>
        <v>0</v>
      </c>
      <c r="CV625" s="424">
        <f t="shared" si="1303"/>
        <v>0</v>
      </c>
      <c r="CW625" s="424">
        <f t="shared" si="1303"/>
        <v>0</v>
      </c>
      <c r="CX625" s="424">
        <f t="shared" si="1303"/>
        <v>0</v>
      </c>
      <c r="CY625" s="424">
        <f t="shared" si="1303"/>
        <v>0</v>
      </c>
      <c r="CZ625" s="424">
        <f t="shared" si="1303"/>
        <v>49.4</v>
      </c>
      <c r="DA625" s="424">
        <f t="shared" si="1303"/>
        <v>0</v>
      </c>
      <c r="DB625" s="424">
        <f t="shared" ref="DB625:EG625" si="1304">DB255*DB$372</f>
        <v>0</v>
      </c>
      <c r="DC625" s="424">
        <f t="shared" si="1304"/>
        <v>0</v>
      </c>
      <c r="DD625" s="424">
        <f t="shared" si="1304"/>
        <v>0</v>
      </c>
      <c r="DE625" s="424">
        <f t="shared" si="1304"/>
        <v>0</v>
      </c>
      <c r="DF625" s="424">
        <f t="shared" si="1304"/>
        <v>0</v>
      </c>
      <c r="DG625" s="424">
        <f t="shared" si="1304"/>
        <v>0</v>
      </c>
      <c r="DH625" s="424">
        <f t="shared" si="1304"/>
        <v>0</v>
      </c>
      <c r="DI625" s="424">
        <f t="shared" si="1304"/>
        <v>0</v>
      </c>
      <c r="DJ625" s="424">
        <f t="shared" si="1304"/>
        <v>0</v>
      </c>
      <c r="DK625" s="424">
        <f t="shared" si="1304"/>
        <v>0</v>
      </c>
      <c r="DL625" s="424">
        <f t="shared" si="1304"/>
        <v>0</v>
      </c>
      <c r="DM625" s="424">
        <f t="shared" si="1304"/>
        <v>0</v>
      </c>
      <c r="DN625" s="424">
        <f t="shared" si="1304"/>
        <v>0</v>
      </c>
      <c r="DO625" s="424">
        <f t="shared" si="1304"/>
        <v>0</v>
      </c>
      <c r="DP625" s="424">
        <f t="shared" si="1304"/>
        <v>0</v>
      </c>
      <c r="DQ625" s="424">
        <f t="shared" si="1304"/>
        <v>0</v>
      </c>
      <c r="DR625" s="424">
        <f t="shared" si="1304"/>
        <v>0</v>
      </c>
      <c r="DS625" s="424">
        <f t="shared" si="1304"/>
        <v>0</v>
      </c>
      <c r="DT625" s="424">
        <f t="shared" si="1304"/>
        <v>0</v>
      </c>
      <c r="DU625" s="424">
        <f t="shared" si="1304"/>
        <v>0</v>
      </c>
      <c r="DV625" s="424">
        <f t="shared" si="1304"/>
        <v>0</v>
      </c>
      <c r="DW625" s="424">
        <f t="shared" si="1304"/>
        <v>0</v>
      </c>
      <c r="DX625" s="424">
        <f t="shared" si="1304"/>
        <v>0</v>
      </c>
      <c r="DY625" s="424">
        <f t="shared" si="1304"/>
        <v>0</v>
      </c>
      <c r="DZ625" s="424">
        <f t="shared" si="1304"/>
        <v>0</v>
      </c>
      <c r="EA625" s="424">
        <f t="shared" si="1304"/>
        <v>0</v>
      </c>
      <c r="EB625" s="424">
        <f t="shared" si="1304"/>
        <v>0</v>
      </c>
      <c r="EC625" s="424">
        <f t="shared" si="1304"/>
        <v>0</v>
      </c>
      <c r="ED625" s="424">
        <f t="shared" si="1304"/>
        <v>0</v>
      </c>
      <c r="EE625" s="424">
        <f t="shared" si="1304"/>
        <v>0</v>
      </c>
      <c r="EF625" s="424">
        <f t="shared" si="1304"/>
        <v>0</v>
      </c>
      <c r="EG625" s="424">
        <f t="shared" si="1304"/>
        <v>0</v>
      </c>
      <c r="EH625" s="424">
        <f t="shared" ref="EH625:EX625" si="1305">EH255*EH$372</f>
        <v>0</v>
      </c>
      <c r="EI625" s="424">
        <f t="shared" si="1305"/>
        <v>0</v>
      </c>
      <c r="EJ625" s="424">
        <f t="shared" si="1305"/>
        <v>0</v>
      </c>
      <c r="EK625" s="424">
        <f t="shared" si="1305"/>
        <v>0</v>
      </c>
      <c r="EL625" s="424">
        <f t="shared" si="1305"/>
        <v>0</v>
      </c>
      <c r="EM625" s="424">
        <f t="shared" si="1305"/>
        <v>0</v>
      </c>
      <c r="EN625" s="424">
        <f t="shared" si="1305"/>
        <v>0</v>
      </c>
      <c r="EO625" s="424">
        <f t="shared" si="1305"/>
        <v>0</v>
      </c>
      <c r="EP625" s="424">
        <f t="shared" si="1305"/>
        <v>0</v>
      </c>
      <c r="EQ625" s="424">
        <f t="shared" si="1305"/>
        <v>0</v>
      </c>
      <c r="ER625" s="424">
        <f t="shared" si="1305"/>
        <v>0</v>
      </c>
      <c r="ES625" s="424">
        <f t="shared" si="1305"/>
        <v>0</v>
      </c>
      <c r="ET625" s="424">
        <f t="shared" si="1305"/>
        <v>0</v>
      </c>
      <c r="EU625" s="424">
        <f t="shared" si="1305"/>
        <v>0</v>
      </c>
      <c r="EV625" s="424">
        <f t="shared" si="1305"/>
        <v>0</v>
      </c>
      <c r="EW625" s="424">
        <f t="shared" si="1305"/>
        <v>0</v>
      </c>
      <c r="EX625" s="424">
        <f t="shared" si="1305"/>
        <v>0</v>
      </c>
      <c r="EY625" s="425">
        <f t="shared" si="1064"/>
        <v>136.15</v>
      </c>
      <c r="EZ625" s="616"/>
      <c r="FA625" s="616"/>
      <c r="FB625" s="616"/>
      <c r="FC625" s="616"/>
      <c r="FD625" s="616"/>
      <c r="FE625" s="616"/>
      <c r="FF625" s="616"/>
      <c r="FG625" s="616"/>
      <c r="FH625" s="616"/>
      <c r="FI625" s="616"/>
      <c r="FJ625" s="616"/>
    </row>
    <row r="626" spans="1:166" s="699" customFormat="1" ht="14.7" customHeight="1" x14ac:dyDescent="0.25">
      <c r="A626" s="310">
        <v>252</v>
      </c>
      <c r="B626" s="311" t="str">
        <f t="shared" si="1005"/>
        <v>Соус яблочный</v>
      </c>
      <c r="C626" s="483">
        <f t="shared" si="1018"/>
        <v>37.630000000000003</v>
      </c>
      <c r="D626" s="888"/>
      <c r="E626" s="888"/>
      <c r="F626" s="888"/>
      <c r="G626" s="889"/>
      <c r="H626" s="680">
        <f t="shared" si="1175"/>
        <v>337</v>
      </c>
      <c r="I626" s="1209">
        <f t="shared" si="1007"/>
        <v>0</v>
      </c>
      <c r="J626" s="424">
        <f t="shared" ref="J626:AO626" si="1306">J256*J$372</f>
        <v>0</v>
      </c>
      <c r="K626" s="424">
        <f t="shared" si="1306"/>
        <v>0</v>
      </c>
      <c r="L626" s="424">
        <f t="shared" si="1306"/>
        <v>0</v>
      </c>
      <c r="M626" s="424">
        <f t="shared" si="1306"/>
        <v>0</v>
      </c>
      <c r="N626" s="424">
        <f t="shared" si="1306"/>
        <v>0</v>
      </c>
      <c r="O626" s="424">
        <f t="shared" si="1306"/>
        <v>0</v>
      </c>
      <c r="P626" s="424">
        <f t="shared" si="1306"/>
        <v>0</v>
      </c>
      <c r="Q626" s="424">
        <f t="shared" si="1306"/>
        <v>0</v>
      </c>
      <c r="R626" s="424">
        <f t="shared" si="1306"/>
        <v>0</v>
      </c>
      <c r="S626" s="424">
        <f t="shared" si="1306"/>
        <v>0</v>
      </c>
      <c r="T626" s="424">
        <f t="shared" si="1306"/>
        <v>0</v>
      </c>
      <c r="U626" s="424">
        <f t="shared" si="1306"/>
        <v>0</v>
      </c>
      <c r="V626" s="424">
        <f t="shared" si="1306"/>
        <v>0</v>
      </c>
      <c r="W626" s="424">
        <f t="shared" si="1306"/>
        <v>0</v>
      </c>
      <c r="X626" s="424">
        <f t="shared" si="1306"/>
        <v>0</v>
      </c>
      <c r="Y626" s="424">
        <f t="shared" si="1306"/>
        <v>0</v>
      </c>
      <c r="Z626" s="424">
        <f t="shared" si="1306"/>
        <v>0</v>
      </c>
      <c r="AA626" s="424">
        <f t="shared" si="1306"/>
        <v>0</v>
      </c>
      <c r="AB626" s="424">
        <f t="shared" si="1306"/>
        <v>0</v>
      </c>
      <c r="AC626" s="424">
        <f t="shared" si="1306"/>
        <v>0</v>
      </c>
      <c r="AD626" s="424">
        <f t="shared" si="1306"/>
        <v>0</v>
      </c>
      <c r="AE626" s="424">
        <f t="shared" si="1306"/>
        <v>0</v>
      </c>
      <c r="AF626" s="424">
        <f t="shared" si="1306"/>
        <v>0</v>
      </c>
      <c r="AG626" s="424">
        <f t="shared" si="1306"/>
        <v>0</v>
      </c>
      <c r="AH626" s="424">
        <f t="shared" si="1306"/>
        <v>0</v>
      </c>
      <c r="AI626" s="424">
        <f t="shared" si="1306"/>
        <v>0</v>
      </c>
      <c r="AJ626" s="424">
        <f t="shared" si="1306"/>
        <v>0</v>
      </c>
      <c r="AK626" s="424">
        <f t="shared" si="1306"/>
        <v>0</v>
      </c>
      <c r="AL626" s="424">
        <f t="shared" si="1306"/>
        <v>0</v>
      </c>
      <c r="AM626" s="424">
        <f t="shared" si="1306"/>
        <v>0</v>
      </c>
      <c r="AN626" s="424">
        <f t="shared" si="1306"/>
        <v>0</v>
      </c>
      <c r="AO626" s="424">
        <f t="shared" si="1306"/>
        <v>0</v>
      </c>
      <c r="AP626" s="424">
        <f t="shared" ref="AP626:BU626" si="1307">AP256*AP$372</f>
        <v>0</v>
      </c>
      <c r="AQ626" s="424">
        <f t="shared" si="1307"/>
        <v>0</v>
      </c>
      <c r="AR626" s="424">
        <f t="shared" si="1307"/>
        <v>0</v>
      </c>
      <c r="AS626" s="424">
        <f t="shared" si="1307"/>
        <v>0</v>
      </c>
      <c r="AT626" s="424">
        <f t="shared" si="1307"/>
        <v>0</v>
      </c>
      <c r="AU626" s="424">
        <f t="shared" si="1307"/>
        <v>0</v>
      </c>
      <c r="AV626" s="424">
        <f t="shared" si="1307"/>
        <v>0</v>
      </c>
      <c r="AW626" s="424">
        <f t="shared" si="1307"/>
        <v>0</v>
      </c>
      <c r="AX626" s="424">
        <f t="shared" si="1307"/>
        <v>0</v>
      </c>
      <c r="AY626" s="424">
        <f t="shared" si="1307"/>
        <v>0</v>
      </c>
      <c r="AZ626" s="424">
        <f t="shared" si="1307"/>
        <v>0</v>
      </c>
      <c r="BA626" s="424">
        <f t="shared" si="1307"/>
        <v>0</v>
      </c>
      <c r="BB626" s="424">
        <f t="shared" si="1307"/>
        <v>0</v>
      </c>
      <c r="BC626" s="424">
        <f t="shared" si="1307"/>
        <v>0</v>
      </c>
      <c r="BD626" s="424">
        <f t="shared" si="1307"/>
        <v>0</v>
      </c>
      <c r="BE626" s="424">
        <f t="shared" si="1307"/>
        <v>0</v>
      </c>
      <c r="BF626" s="424">
        <f t="shared" si="1307"/>
        <v>0</v>
      </c>
      <c r="BG626" s="424">
        <f t="shared" si="1307"/>
        <v>0</v>
      </c>
      <c r="BH626" s="424">
        <f t="shared" si="1307"/>
        <v>0</v>
      </c>
      <c r="BI626" s="424">
        <f t="shared" si="1307"/>
        <v>0</v>
      </c>
      <c r="BJ626" s="424">
        <f t="shared" si="1307"/>
        <v>0</v>
      </c>
      <c r="BK626" s="424">
        <f t="shared" si="1307"/>
        <v>0</v>
      </c>
      <c r="BL626" s="424">
        <f t="shared" si="1307"/>
        <v>0</v>
      </c>
      <c r="BM626" s="424">
        <f t="shared" si="1307"/>
        <v>0</v>
      </c>
      <c r="BN626" s="424">
        <f t="shared" si="1307"/>
        <v>0</v>
      </c>
      <c r="BO626" s="424">
        <f t="shared" si="1307"/>
        <v>0</v>
      </c>
      <c r="BP626" s="424">
        <f t="shared" si="1307"/>
        <v>0</v>
      </c>
      <c r="BQ626" s="424">
        <f t="shared" si="1307"/>
        <v>0</v>
      </c>
      <c r="BR626" s="424">
        <f t="shared" si="1307"/>
        <v>23.3</v>
      </c>
      <c r="BS626" s="424">
        <f t="shared" si="1307"/>
        <v>0</v>
      </c>
      <c r="BT626" s="424">
        <f t="shared" si="1307"/>
        <v>0</v>
      </c>
      <c r="BU626" s="424">
        <f t="shared" si="1307"/>
        <v>0</v>
      </c>
      <c r="BV626" s="424">
        <f t="shared" ref="BV626:DA626" si="1308">BV256*BV$372</f>
        <v>0</v>
      </c>
      <c r="BW626" s="424">
        <f t="shared" si="1308"/>
        <v>0</v>
      </c>
      <c r="BX626" s="424">
        <f t="shared" si="1308"/>
        <v>0</v>
      </c>
      <c r="BY626" s="424">
        <f t="shared" si="1308"/>
        <v>0</v>
      </c>
      <c r="BZ626" s="424">
        <f t="shared" si="1308"/>
        <v>0</v>
      </c>
      <c r="CA626" s="424">
        <f t="shared" si="1308"/>
        <v>0</v>
      </c>
      <c r="CB626" s="424">
        <f t="shared" si="1308"/>
        <v>0</v>
      </c>
      <c r="CC626" s="424">
        <f t="shared" si="1308"/>
        <v>0</v>
      </c>
      <c r="CD626" s="424">
        <f t="shared" si="1308"/>
        <v>0</v>
      </c>
      <c r="CE626" s="424">
        <f t="shared" si="1308"/>
        <v>0</v>
      </c>
      <c r="CF626" s="424">
        <f t="shared" si="1308"/>
        <v>0</v>
      </c>
      <c r="CG626" s="424">
        <f t="shared" si="1308"/>
        <v>0</v>
      </c>
      <c r="CH626" s="424">
        <f t="shared" si="1308"/>
        <v>0</v>
      </c>
      <c r="CI626" s="424">
        <f t="shared" si="1308"/>
        <v>0</v>
      </c>
      <c r="CJ626" s="424">
        <f t="shared" si="1308"/>
        <v>0</v>
      </c>
      <c r="CK626" s="424">
        <f t="shared" si="1308"/>
        <v>0</v>
      </c>
      <c r="CL626" s="424">
        <f t="shared" si="1308"/>
        <v>0</v>
      </c>
      <c r="CM626" s="424">
        <f t="shared" si="1308"/>
        <v>0</v>
      </c>
      <c r="CN626" s="424">
        <f t="shared" si="1308"/>
        <v>0</v>
      </c>
      <c r="CO626" s="424">
        <f t="shared" si="1308"/>
        <v>0</v>
      </c>
      <c r="CP626" s="424">
        <f t="shared" si="1308"/>
        <v>0</v>
      </c>
      <c r="CQ626" s="424">
        <f t="shared" si="1308"/>
        <v>0.28999999999999998</v>
      </c>
      <c r="CR626" s="424">
        <f t="shared" si="1308"/>
        <v>3.33</v>
      </c>
      <c r="CS626" s="424">
        <f t="shared" si="1308"/>
        <v>0</v>
      </c>
      <c r="CT626" s="424">
        <f t="shared" si="1308"/>
        <v>0</v>
      </c>
      <c r="CU626" s="424">
        <f t="shared" si="1308"/>
        <v>0</v>
      </c>
      <c r="CV626" s="424">
        <f t="shared" si="1308"/>
        <v>0</v>
      </c>
      <c r="CW626" s="424">
        <f t="shared" si="1308"/>
        <v>0</v>
      </c>
      <c r="CX626" s="424">
        <f t="shared" si="1308"/>
        <v>0</v>
      </c>
      <c r="CY626" s="424">
        <f t="shared" si="1308"/>
        <v>0</v>
      </c>
      <c r="CZ626" s="424">
        <f t="shared" si="1308"/>
        <v>9.5</v>
      </c>
      <c r="DA626" s="424">
        <f t="shared" si="1308"/>
        <v>0</v>
      </c>
      <c r="DB626" s="424">
        <f t="shared" ref="DB626:EG626" si="1309">DB256*DB$372</f>
        <v>0</v>
      </c>
      <c r="DC626" s="424">
        <f t="shared" si="1309"/>
        <v>0</v>
      </c>
      <c r="DD626" s="424">
        <f t="shared" si="1309"/>
        <v>0</v>
      </c>
      <c r="DE626" s="424">
        <f t="shared" si="1309"/>
        <v>0</v>
      </c>
      <c r="DF626" s="424">
        <f t="shared" si="1309"/>
        <v>0</v>
      </c>
      <c r="DG626" s="424">
        <f t="shared" si="1309"/>
        <v>0</v>
      </c>
      <c r="DH626" s="424">
        <f t="shared" si="1309"/>
        <v>0</v>
      </c>
      <c r="DI626" s="424">
        <f t="shared" si="1309"/>
        <v>0</v>
      </c>
      <c r="DJ626" s="424">
        <f t="shared" si="1309"/>
        <v>1.21</v>
      </c>
      <c r="DK626" s="424">
        <f t="shared" si="1309"/>
        <v>0</v>
      </c>
      <c r="DL626" s="424">
        <f t="shared" si="1309"/>
        <v>0</v>
      </c>
      <c r="DM626" s="424">
        <f t="shared" si="1309"/>
        <v>0</v>
      </c>
      <c r="DN626" s="424">
        <f t="shared" si="1309"/>
        <v>0</v>
      </c>
      <c r="DO626" s="424">
        <f t="shared" si="1309"/>
        <v>0</v>
      </c>
      <c r="DP626" s="424">
        <f t="shared" si="1309"/>
        <v>0</v>
      </c>
      <c r="DQ626" s="424">
        <f t="shared" si="1309"/>
        <v>0</v>
      </c>
      <c r="DR626" s="424">
        <f t="shared" si="1309"/>
        <v>0</v>
      </c>
      <c r="DS626" s="424">
        <f t="shared" si="1309"/>
        <v>0</v>
      </c>
      <c r="DT626" s="424">
        <f t="shared" si="1309"/>
        <v>0</v>
      </c>
      <c r="DU626" s="424">
        <f t="shared" si="1309"/>
        <v>0</v>
      </c>
      <c r="DV626" s="424">
        <f t="shared" si="1309"/>
        <v>0</v>
      </c>
      <c r="DW626" s="424">
        <f t="shared" si="1309"/>
        <v>0</v>
      </c>
      <c r="DX626" s="424">
        <f t="shared" si="1309"/>
        <v>0</v>
      </c>
      <c r="DY626" s="424">
        <f t="shared" si="1309"/>
        <v>0</v>
      </c>
      <c r="DZ626" s="424">
        <f t="shared" si="1309"/>
        <v>0</v>
      </c>
      <c r="EA626" s="424">
        <f t="shared" si="1309"/>
        <v>0</v>
      </c>
      <c r="EB626" s="424">
        <f t="shared" si="1309"/>
        <v>0</v>
      </c>
      <c r="EC626" s="424">
        <f t="shared" si="1309"/>
        <v>0</v>
      </c>
      <c r="ED626" s="424">
        <f t="shared" si="1309"/>
        <v>0</v>
      </c>
      <c r="EE626" s="424">
        <f t="shared" si="1309"/>
        <v>0</v>
      </c>
      <c r="EF626" s="424">
        <f t="shared" si="1309"/>
        <v>0</v>
      </c>
      <c r="EG626" s="424">
        <f t="shared" si="1309"/>
        <v>0</v>
      </c>
      <c r="EH626" s="424">
        <f t="shared" ref="EH626:EX626" si="1310">EH256*EH$372</f>
        <v>0</v>
      </c>
      <c r="EI626" s="424">
        <f t="shared" si="1310"/>
        <v>0</v>
      </c>
      <c r="EJ626" s="424">
        <f t="shared" si="1310"/>
        <v>0</v>
      </c>
      <c r="EK626" s="424">
        <f t="shared" si="1310"/>
        <v>0</v>
      </c>
      <c r="EL626" s="424">
        <f t="shared" si="1310"/>
        <v>0</v>
      </c>
      <c r="EM626" s="424">
        <f t="shared" si="1310"/>
        <v>0</v>
      </c>
      <c r="EN626" s="424">
        <f t="shared" si="1310"/>
        <v>0</v>
      </c>
      <c r="EO626" s="424">
        <f t="shared" si="1310"/>
        <v>0</v>
      </c>
      <c r="EP626" s="424">
        <f t="shared" si="1310"/>
        <v>0</v>
      </c>
      <c r="EQ626" s="424">
        <f t="shared" si="1310"/>
        <v>0</v>
      </c>
      <c r="ER626" s="424">
        <f t="shared" si="1310"/>
        <v>0</v>
      </c>
      <c r="ES626" s="424">
        <f t="shared" si="1310"/>
        <v>0</v>
      </c>
      <c r="ET626" s="424">
        <f t="shared" si="1310"/>
        <v>0</v>
      </c>
      <c r="EU626" s="424">
        <f t="shared" si="1310"/>
        <v>0</v>
      </c>
      <c r="EV626" s="424">
        <f t="shared" si="1310"/>
        <v>0</v>
      </c>
      <c r="EW626" s="424">
        <f t="shared" si="1310"/>
        <v>0</v>
      </c>
      <c r="EX626" s="424">
        <f t="shared" si="1310"/>
        <v>0</v>
      </c>
      <c r="EY626" s="425">
        <f t="shared" si="1064"/>
        <v>37.630000000000003</v>
      </c>
      <c r="EZ626" s="616"/>
      <c r="FA626" s="616"/>
      <c r="FB626" s="616"/>
      <c r="FC626" s="616"/>
      <c r="FD626" s="616"/>
      <c r="FE626" s="616"/>
      <c r="FF626" s="616"/>
      <c r="FG626" s="616"/>
      <c r="FH626" s="616"/>
      <c r="FI626" s="616"/>
      <c r="FJ626" s="616"/>
    </row>
    <row r="627" spans="1:166" ht="14.7" customHeight="1" x14ac:dyDescent="0.25">
      <c r="A627" s="310">
        <v>253</v>
      </c>
      <c r="B627" s="311" t="str">
        <f t="shared" si="1005"/>
        <v>Яблоки свежие</v>
      </c>
      <c r="C627" s="483">
        <f t="shared" si="1018"/>
        <v>9.1</v>
      </c>
      <c r="D627" s="888"/>
      <c r="E627" s="888"/>
      <c r="F627" s="888"/>
      <c r="G627" s="889"/>
      <c r="H627" s="680">
        <f t="shared" si="1175"/>
        <v>338</v>
      </c>
      <c r="I627" s="1209">
        <f t="shared" si="1007"/>
        <v>0</v>
      </c>
      <c r="J627" s="424">
        <f t="shared" ref="J627:AO627" si="1311">J257*J$372</f>
        <v>0</v>
      </c>
      <c r="K627" s="424">
        <f t="shared" si="1311"/>
        <v>0</v>
      </c>
      <c r="L627" s="424">
        <f t="shared" si="1311"/>
        <v>0</v>
      </c>
      <c r="M627" s="424">
        <f t="shared" si="1311"/>
        <v>0</v>
      </c>
      <c r="N627" s="424">
        <f t="shared" si="1311"/>
        <v>0</v>
      </c>
      <c r="O627" s="424">
        <f t="shared" si="1311"/>
        <v>0</v>
      </c>
      <c r="P627" s="424">
        <f t="shared" si="1311"/>
        <v>0</v>
      </c>
      <c r="Q627" s="424">
        <f t="shared" si="1311"/>
        <v>0</v>
      </c>
      <c r="R627" s="424">
        <f t="shared" si="1311"/>
        <v>0</v>
      </c>
      <c r="S627" s="424">
        <f t="shared" si="1311"/>
        <v>0</v>
      </c>
      <c r="T627" s="424">
        <f t="shared" si="1311"/>
        <v>0</v>
      </c>
      <c r="U627" s="424">
        <f t="shared" si="1311"/>
        <v>0</v>
      </c>
      <c r="V627" s="424">
        <f t="shared" si="1311"/>
        <v>0</v>
      </c>
      <c r="W627" s="424">
        <f t="shared" si="1311"/>
        <v>0</v>
      </c>
      <c r="X627" s="424">
        <f t="shared" si="1311"/>
        <v>0</v>
      </c>
      <c r="Y627" s="424">
        <f t="shared" si="1311"/>
        <v>0</v>
      </c>
      <c r="Z627" s="424">
        <f t="shared" si="1311"/>
        <v>0</v>
      </c>
      <c r="AA627" s="424">
        <f t="shared" si="1311"/>
        <v>0</v>
      </c>
      <c r="AB627" s="424">
        <f t="shared" si="1311"/>
        <v>0</v>
      </c>
      <c r="AC627" s="424">
        <f t="shared" si="1311"/>
        <v>0</v>
      </c>
      <c r="AD627" s="424">
        <f t="shared" si="1311"/>
        <v>0</v>
      </c>
      <c r="AE627" s="424">
        <f t="shared" si="1311"/>
        <v>0</v>
      </c>
      <c r="AF627" s="424">
        <f t="shared" si="1311"/>
        <v>0</v>
      </c>
      <c r="AG627" s="424">
        <f t="shared" si="1311"/>
        <v>0</v>
      </c>
      <c r="AH627" s="424">
        <f t="shared" si="1311"/>
        <v>0</v>
      </c>
      <c r="AI627" s="424">
        <f t="shared" si="1311"/>
        <v>0</v>
      </c>
      <c r="AJ627" s="424">
        <f t="shared" si="1311"/>
        <v>0</v>
      </c>
      <c r="AK627" s="424">
        <f t="shared" si="1311"/>
        <v>0</v>
      </c>
      <c r="AL627" s="424">
        <f t="shared" si="1311"/>
        <v>0</v>
      </c>
      <c r="AM627" s="424">
        <f t="shared" si="1311"/>
        <v>0</v>
      </c>
      <c r="AN627" s="424">
        <f t="shared" si="1311"/>
        <v>0</v>
      </c>
      <c r="AO627" s="424">
        <f t="shared" si="1311"/>
        <v>0</v>
      </c>
      <c r="AP627" s="424">
        <f t="shared" ref="AP627:BU627" si="1312">AP257*AP$372</f>
        <v>0</v>
      </c>
      <c r="AQ627" s="424">
        <f t="shared" si="1312"/>
        <v>0</v>
      </c>
      <c r="AR627" s="424">
        <f t="shared" si="1312"/>
        <v>0</v>
      </c>
      <c r="AS627" s="424">
        <f t="shared" si="1312"/>
        <v>0</v>
      </c>
      <c r="AT627" s="424">
        <f t="shared" si="1312"/>
        <v>0</v>
      </c>
      <c r="AU627" s="424">
        <f t="shared" si="1312"/>
        <v>0</v>
      </c>
      <c r="AV627" s="424">
        <f t="shared" si="1312"/>
        <v>0</v>
      </c>
      <c r="AW627" s="424">
        <f t="shared" si="1312"/>
        <v>0</v>
      </c>
      <c r="AX627" s="424">
        <f t="shared" si="1312"/>
        <v>0</v>
      </c>
      <c r="AY627" s="424">
        <f t="shared" si="1312"/>
        <v>0</v>
      </c>
      <c r="AZ627" s="424">
        <f t="shared" si="1312"/>
        <v>0</v>
      </c>
      <c r="BA627" s="424">
        <f t="shared" si="1312"/>
        <v>0</v>
      </c>
      <c r="BB627" s="424">
        <f t="shared" si="1312"/>
        <v>0</v>
      </c>
      <c r="BC627" s="424">
        <f t="shared" si="1312"/>
        <v>0</v>
      </c>
      <c r="BD627" s="424">
        <f t="shared" si="1312"/>
        <v>0</v>
      </c>
      <c r="BE627" s="424">
        <f t="shared" si="1312"/>
        <v>0</v>
      </c>
      <c r="BF627" s="424">
        <f t="shared" si="1312"/>
        <v>0</v>
      </c>
      <c r="BG627" s="424">
        <f t="shared" si="1312"/>
        <v>0</v>
      </c>
      <c r="BH627" s="424">
        <f t="shared" si="1312"/>
        <v>0</v>
      </c>
      <c r="BI627" s="424">
        <f t="shared" si="1312"/>
        <v>0</v>
      </c>
      <c r="BJ627" s="424">
        <f t="shared" si="1312"/>
        <v>0</v>
      </c>
      <c r="BK627" s="424">
        <f t="shared" si="1312"/>
        <v>0</v>
      </c>
      <c r="BL627" s="424">
        <f t="shared" si="1312"/>
        <v>0</v>
      </c>
      <c r="BM627" s="424">
        <f t="shared" si="1312"/>
        <v>0</v>
      </c>
      <c r="BN627" s="424">
        <f t="shared" si="1312"/>
        <v>0</v>
      </c>
      <c r="BO627" s="424">
        <f t="shared" si="1312"/>
        <v>0</v>
      </c>
      <c r="BP627" s="424">
        <f t="shared" si="1312"/>
        <v>0</v>
      </c>
      <c r="BQ627" s="424">
        <f t="shared" si="1312"/>
        <v>0</v>
      </c>
      <c r="BR627" s="424">
        <f t="shared" si="1312"/>
        <v>9.1</v>
      </c>
      <c r="BS627" s="424">
        <f t="shared" si="1312"/>
        <v>0</v>
      </c>
      <c r="BT627" s="424">
        <f t="shared" si="1312"/>
        <v>0</v>
      </c>
      <c r="BU627" s="424">
        <f t="shared" si="1312"/>
        <v>0</v>
      </c>
      <c r="BV627" s="424">
        <f t="shared" ref="BV627:DA627" si="1313">BV257*BV$372</f>
        <v>0</v>
      </c>
      <c r="BW627" s="424">
        <f t="shared" si="1313"/>
        <v>0</v>
      </c>
      <c r="BX627" s="424">
        <f t="shared" si="1313"/>
        <v>0</v>
      </c>
      <c r="BY627" s="424">
        <f t="shared" si="1313"/>
        <v>0</v>
      </c>
      <c r="BZ627" s="424">
        <f t="shared" si="1313"/>
        <v>0</v>
      </c>
      <c r="CA627" s="424">
        <f t="shared" si="1313"/>
        <v>0</v>
      </c>
      <c r="CB627" s="424">
        <f t="shared" si="1313"/>
        <v>0</v>
      </c>
      <c r="CC627" s="424">
        <f t="shared" si="1313"/>
        <v>0</v>
      </c>
      <c r="CD627" s="424">
        <f t="shared" si="1313"/>
        <v>0</v>
      </c>
      <c r="CE627" s="424">
        <f t="shared" si="1313"/>
        <v>0</v>
      </c>
      <c r="CF627" s="424">
        <f t="shared" si="1313"/>
        <v>0</v>
      </c>
      <c r="CG627" s="424">
        <f t="shared" si="1313"/>
        <v>0</v>
      </c>
      <c r="CH627" s="424">
        <f t="shared" si="1313"/>
        <v>0</v>
      </c>
      <c r="CI627" s="424">
        <f t="shared" si="1313"/>
        <v>0</v>
      </c>
      <c r="CJ627" s="424">
        <f t="shared" si="1313"/>
        <v>0</v>
      </c>
      <c r="CK627" s="424">
        <f t="shared" si="1313"/>
        <v>0</v>
      </c>
      <c r="CL627" s="424">
        <f t="shared" si="1313"/>
        <v>0</v>
      </c>
      <c r="CM627" s="424">
        <f t="shared" si="1313"/>
        <v>0</v>
      </c>
      <c r="CN627" s="424">
        <f t="shared" si="1313"/>
        <v>0</v>
      </c>
      <c r="CO627" s="424">
        <f t="shared" si="1313"/>
        <v>0</v>
      </c>
      <c r="CP627" s="424">
        <f t="shared" si="1313"/>
        <v>0</v>
      </c>
      <c r="CQ627" s="424">
        <f t="shared" si="1313"/>
        <v>0</v>
      </c>
      <c r="CR627" s="424">
        <f t="shared" si="1313"/>
        <v>0</v>
      </c>
      <c r="CS627" s="424">
        <f t="shared" si="1313"/>
        <v>0</v>
      </c>
      <c r="CT627" s="424">
        <f t="shared" si="1313"/>
        <v>0</v>
      </c>
      <c r="CU627" s="424">
        <f t="shared" si="1313"/>
        <v>0</v>
      </c>
      <c r="CV627" s="424">
        <f t="shared" si="1313"/>
        <v>0</v>
      </c>
      <c r="CW627" s="424">
        <f t="shared" si="1313"/>
        <v>0</v>
      </c>
      <c r="CX627" s="424">
        <f t="shared" si="1313"/>
        <v>0</v>
      </c>
      <c r="CY627" s="424">
        <f t="shared" si="1313"/>
        <v>0</v>
      </c>
      <c r="CZ627" s="424">
        <f t="shared" si="1313"/>
        <v>0</v>
      </c>
      <c r="DA627" s="424">
        <f t="shared" si="1313"/>
        <v>0</v>
      </c>
      <c r="DB627" s="424">
        <f t="shared" ref="DB627:EG627" si="1314">DB257*DB$372</f>
        <v>0</v>
      </c>
      <c r="DC627" s="424">
        <f t="shared" si="1314"/>
        <v>0</v>
      </c>
      <c r="DD627" s="424">
        <f t="shared" si="1314"/>
        <v>0</v>
      </c>
      <c r="DE627" s="424">
        <f t="shared" si="1314"/>
        <v>0</v>
      </c>
      <c r="DF627" s="424">
        <f t="shared" si="1314"/>
        <v>0</v>
      </c>
      <c r="DG627" s="424">
        <f t="shared" si="1314"/>
        <v>0</v>
      </c>
      <c r="DH627" s="424">
        <f t="shared" si="1314"/>
        <v>0</v>
      </c>
      <c r="DI627" s="424">
        <f t="shared" si="1314"/>
        <v>0</v>
      </c>
      <c r="DJ627" s="424">
        <f t="shared" si="1314"/>
        <v>0</v>
      </c>
      <c r="DK627" s="424">
        <f t="shared" si="1314"/>
        <v>0</v>
      </c>
      <c r="DL627" s="424">
        <f t="shared" si="1314"/>
        <v>0</v>
      </c>
      <c r="DM627" s="424">
        <f t="shared" si="1314"/>
        <v>0</v>
      </c>
      <c r="DN627" s="424">
        <f t="shared" si="1314"/>
        <v>0</v>
      </c>
      <c r="DO627" s="424">
        <f t="shared" si="1314"/>
        <v>0</v>
      </c>
      <c r="DP627" s="424">
        <f t="shared" si="1314"/>
        <v>0</v>
      </c>
      <c r="DQ627" s="424">
        <f t="shared" si="1314"/>
        <v>0</v>
      </c>
      <c r="DR627" s="424">
        <f t="shared" si="1314"/>
        <v>0</v>
      </c>
      <c r="DS627" s="424">
        <f t="shared" si="1314"/>
        <v>0</v>
      </c>
      <c r="DT627" s="424">
        <f t="shared" si="1314"/>
        <v>0</v>
      </c>
      <c r="DU627" s="424">
        <f t="shared" si="1314"/>
        <v>0</v>
      </c>
      <c r="DV627" s="424">
        <f t="shared" si="1314"/>
        <v>0</v>
      </c>
      <c r="DW627" s="424">
        <f t="shared" si="1314"/>
        <v>0</v>
      </c>
      <c r="DX627" s="424">
        <f t="shared" si="1314"/>
        <v>0</v>
      </c>
      <c r="DY627" s="424">
        <f t="shared" si="1314"/>
        <v>0</v>
      </c>
      <c r="DZ627" s="424">
        <f t="shared" si="1314"/>
        <v>0</v>
      </c>
      <c r="EA627" s="424">
        <f t="shared" si="1314"/>
        <v>0</v>
      </c>
      <c r="EB627" s="424">
        <f t="shared" si="1314"/>
        <v>0</v>
      </c>
      <c r="EC627" s="424">
        <f t="shared" si="1314"/>
        <v>0</v>
      </c>
      <c r="ED627" s="424">
        <f t="shared" si="1314"/>
        <v>0</v>
      </c>
      <c r="EE627" s="424">
        <f t="shared" si="1314"/>
        <v>0</v>
      </c>
      <c r="EF627" s="424">
        <f t="shared" si="1314"/>
        <v>0</v>
      </c>
      <c r="EG627" s="424">
        <f t="shared" si="1314"/>
        <v>0</v>
      </c>
      <c r="EH627" s="424">
        <f t="shared" ref="EH627:EX627" si="1315">EH257*EH$372</f>
        <v>0</v>
      </c>
      <c r="EI627" s="424">
        <f t="shared" si="1315"/>
        <v>0</v>
      </c>
      <c r="EJ627" s="424">
        <f t="shared" si="1315"/>
        <v>0</v>
      </c>
      <c r="EK627" s="424">
        <f t="shared" si="1315"/>
        <v>0</v>
      </c>
      <c r="EL627" s="424">
        <f t="shared" si="1315"/>
        <v>0</v>
      </c>
      <c r="EM627" s="424">
        <f t="shared" si="1315"/>
        <v>0</v>
      </c>
      <c r="EN627" s="424">
        <f t="shared" si="1315"/>
        <v>0</v>
      </c>
      <c r="EO627" s="424">
        <f t="shared" si="1315"/>
        <v>0</v>
      </c>
      <c r="EP627" s="424">
        <f t="shared" si="1315"/>
        <v>0</v>
      </c>
      <c r="EQ627" s="424">
        <f t="shared" si="1315"/>
        <v>0</v>
      </c>
      <c r="ER627" s="424">
        <f t="shared" si="1315"/>
        <v>0</v>
      </c>
      <c r="ES627" s="424">
        <f t="shared" si="1315"/>
        <v>0</v>
      </c>
      <c r="ET627" s="424">
        <f t="shared" si="1315"/>
        <v>0</v>
      </c>
      <c r="EU627" s="424">
        <f t="shared" si="1315"/>
        <v>0</v>
      </c>
      <c r="EV627" s="424">
        <f t="shared" si="1315"/>
        <v>0</v>
      </c>
      <c r="EW627" s="424">
        <f t="shared" si="1315"/>
        <v>0</v>
      </c>
      <c r="EX627" s="424">
        <f t="shared" si="1315"/>
        <v>0</v>
      </c>
      <c r="EY627" s="425">
        <f t="shared" si="1064"/>
        <v>9.1</v>
      </c>
    </row>
    <row r="628" spans="1:166" s="851" customFormat="1" ht="14.7" customHeight="1" x14ac:dyDescent="0.25">
      <c r="A628" s="310">
        <v>254</v>
      </c>
      <c r="B628" s="311" t="str">
        <f t="shared" si="1005"/>
        <v>Яблоки свежие</v>
      </c>
      <c r="C628" s="483">
        <f t="shared" si="1018"/>
        <v>18.2</v>
      </c>
      <c r="D628" s="888"/>
      <c r="E628" s="888"/>
      <c r="F628" s="888"/>
      <c r="G628" s="889"/>
      <c r="H628" s="680">
        <f t="shared" si="1175"/>
        <v>338</v>
      </c>
      <c r="I628" s="1209">
        <f t="shared" si="1007"/>
        <v>0</v>
      </c>
      <c r="J628" s="424">
        <f t="shared" ref="J628:AO628" si="1316">J258*J$372</f>
        <v>0</v>
      </c>
      <c r="K628" s="424">
        <f t="shared" si="1316"/>
        <v>0</v>
      </c>
      <c r="L628" s="424">
        <f t="shared" si="1316"/>
        <v>0</v>
      </c>
      <c r="M628" s="424">
        <f t="shared" si="1316"/>
        <v>0</v>
      </c>
      <c r="N628" s="424">
        <f t="shared" si="1316"/>
        <v>0</v>
      </c>
      <c r="O628" s="424">
        <f t="shared" si="1316"/>
        <v>0</v>
      </c>
      <c r="P628" s="424">
        <f t="shared" si="1316"/>
        <v>0</v>
      </c>
      <c r="Q628" s="424">
        <f t="shared" si="1316"/>
        <v>0</v>
      </c>
      <c r="R628" s="424">
        <f t="shared" si="1316"/>
        <v>0</v>
      </c>
      <c r="S628" s="424">
        <f t="shared" si="1316"/>
        <v>0</v>
      </c>
      <c r="T628" s="424">
        <f t="shared" si="1316"/>
        <v>0</v>
      </c>
      <c r="U628" s="424">
        <f t="shared" si="1316"/>
        <v>0</v>
      </c>
      <c r="V628" s="424">
        <f t="shared" si="1316"/>
        <v>0</v>
      </c>
      <c r="W628" s="424">
        <f t="shared" si="1316"/>
        <v>0</v>
      </c>
      <c r="X628" s="424">
        <f t="shared" si="1316"/>
        <v>0</v>
      </c>
      <c r="Y628" s="424">
        <f t="shared" si="1316"/>
        <v>0</v>
      </c>
      <c r="Z628" s="424">
        <f t="shared" si="1316"/>
        <v>0</v>
      </c>
      <c r="AA628" s="424">
        <f t="shared" si="1316"/>
        <v>0</v>
      </c>
      <c r="AB628" s="424">
        <f t="shared" si="1316"/>
        <v>0</v>
      </c>
      <c r="AC628" s="424">
        <f t="shared" si="1316"/>
        <v>0</v>
      </c>
      <c r="AD628" s="424">
        <f t="shared" si="1316"/>
        <v>0</v>
      </c>
      <c r="AE628" s="424">
        <f t="shared" si="1316"/>
        <v>0</v>
      </c>
      <c r="AF628" s="424">
        <f t="shared" si="1316"/>
        <v>0</v>
      </c>
      <c r="AG628" s="424">
        <f t="shared" si="1316"/>
        <v>0</v>
      </c>
      <c r="AH628" s="424">
        <f t="shared" si="1316"/>
        <v>0</v>
      </c>
      <c r="AI628" s="424">
        <f t="shared" si="1316"/>
        <v>0</v>
      </c>
      <c r="AJ628" s="424">
        <f t="shared" si="1316"/>
        <v>0</v>
      </c>
      <c r="AK628" s="424">
        <f t="shared" si="1316"/>
        <v>0</v>
      </c>
      <c r="AL628" s="424">
        <f t="shared" si="1316"/>
        <v>0</v>
      </c>
      <c r="AM628" s="424">
        <f t="shared" si="1316"/>
        <v>0</v>
      </c>
      <c r="AN628" s="424">
        <f t="shared" si="1316"/>
        <v>0</v>
      </c>
      <c r="AO628" s="424">
        <f t="shared" si="1316"/>
        <v>0</v>
      </c>
      <c r="AP628" s="424">
        <f t="shared" ref="AP628:BU628" si="1317">AP258*AP$372</f>
        <v>0</v>
      </c>
      <c r="AQ628" s="424">
        <f t="shared" si="1317"/>
        <v>0</v>
      </c>
      <c r="AR628" s="424">
        <f t="shared" si="1317"/>
        <v>0</v>
      </c>
      <c r="AS628" s="424">
        <f t="shared" si="1317"/>
        <v>0</v>
      </c>
      <c r="AT628" s="424">
        <f t="shared" si="1317"/>
        <v>0</v>
      </c>
      <c r="AU628" s="424">
        <f t="shared" si="1317"/>
        <v>0</v>
      </c>
      <c r="AV628" s="424">
        <f t="shared" si="1317"/>
        <v>0</v>
      </c>
      <c r="AW628" s="424">
        <f t="shared" si="1317"/>
        <v>0</v>
      </c>
      <c r="AX628" s="424">
        <f t="shared" si="1317"/>
        <v>0</v>
      </c>
      <c r="AY628" s="424">
        <f t="shared" si="1317"/>
        <v>0</v>
      </c>
      <c r="AZ628" s="424">
        <f t="shared" si="1317"/>
        <v>0</v>
      </c>
      <c r="BA628" s="424">
        <f t="shared" si="1317"/>
        <v>0</v>
      </c>
      <c r="BB628" s="424">
        <f t="shared" si="1317"/>
        <v>0</v>
      </c>
      <c r="BC628" s="424">
        <f t="shared" si="1317"/>
        <v>0</v>
      </c>
      <c r="BD628" s="424">
        <f t="shared" si="1317"/>
        <v>0</v>
      </c>
      <c r="BE628" s="424">
        <f t="shared" si="1317"/>
        <v>0</v>
      </c>
      <c r="BF628" s="424">
        <f t="shared" si="1317"/>
        <v>0</v>
      </c>
      <c r="BG628" s="424">
        <f t="shared" si="1317"/>
        <v>0</v>
      </c>
      <c r="BH628" s="424">
        <f t="shared" si="1317"/>
        <v>0</v>
      </c>
      <c r="BI628" s="424">
        <f t="shared" si="1317"/>
        <v>0</v>
      </c>
      <c r="BJ628" s="424">
        <f t="shared" si="1317"/>
        <v>0</v>
      </c>
      <c r="BK628" s="424">
        <f t="shared" si="1317"/>
        <v>0</v>
      </c>
      <c r="BL628" s="424">
        <f t="shared" si="1317"/>
        <v>0</v>
      </c>
      <c r="BM628" s="424">
        <f t="shared" si="1317"/>
        <v>0</v>
      </c>
      <c r="BN628" s="424">
        <f t="shared" si="1317"/>
        <v>0</v>
      </c>
      <c r="BO628" s="424">
        <f t="shared" si="1317"/>
        <v>0</v>
      </c>
      <c r="BP628" s="424">
        <f t="shared" si="1317"/>
        <v>0</v>
      </c>
      <c r="BQ628" s="424">
        <f t="shared" si="1317"/>
        <v>0</v>
      </c>
      <c r="BR628" s="424">
        <f t="shared" si="1317"/>
        <v>18.2</v>
      </c>
      <c r="BS628" s="424">
        <f t="shared" si="1317"/>
        <v>0</v>
      </c>
      <c r="BT628" s="424">
        <f t="shared" si="1317"/>
        <v>0</v>
      </c>
      <c r="BU628" s="424">
        <f t="shared" si="1317"/>
        <v>0</v>
      </c>
      <c r="BV628" s="424">
        <f t="shared" ref="BV628:DA628" si="1318">BV258*BV$372</f>
        <v>0</v>
      </c>
      <c r="BW628" s="424">
        <f t="shared" si="1318"/>
        <v>0</v>
      </c>
      <c r="BX628" s="424">
        <f t="shared" si="1318"/>
        <v>0</v>
      </c>
      <c r="BY628" s="424">
        <f t="shared" si="1318"/>
        <v>0</v>
      </c>
      <c r="BZ628" s="424">
        <f t="shared" si="1318"/>
        <v>0</v>
      </c>
      <c r="CA628" s="424">
        <f t="shared" si="1318"/>
        <v>0</v>
      </c>
      <c r="CB628" s="424">
        <f t="shared" si="1318"/>
        <v>0</v>
      </c>
      <c r="CC628" s="424">
        <f t="shared" si="1318"/>
        <v>0</v>
      </c>
      <c r="CD628" s="424">
        <f t="shared" si="1318"/>
        <v>0</v>
      </c>
      <c r="CE628" s="424">
        <f t="shared" si="1318"/>
        <v>0</v>
      </c>
      <c r="CF628" s="424">
        <f t="shared" si="1318"/>
        <v>0</v>
      </c>
      <c r="CG628" s="424">
        <f t="shared" si="1318"/>
        <v>0</v>
      </c>
      <c r="CH628" s="424">
        <f t="shared" si="1318"/>
        <v>0</v>
      </c>
      <c r="CI628" s="424">
        <f t="shared" si="1318"/>
        <v>0</v>
      </c>
      <c r="CJ628" s="424">
        <f t="shared" si="1318"/>
        <v>0</v>
      </c>
      <c r="CK628" s="424">
        <f t="shared" si="1318"/>
        <v>0</v>
      </c>
      <c r="CL628" s="424">
        <f t="shared" si="1318"/>
        <v>0</v>
      </c>
      <c r="CM628" s="424">
        <f t="shared" si="1318"/>
        <v>0</v>
      </c>
      <c r="CN628" s="424">
        <f t="shared" si="1318"/>
        <v>0</v>
      </c>
      <c r="CO628" s="424">
        <f t="shared" si="1318"/>
        <v>0</v>
      </c>
      <c r="CP628" s="424">
        <f t="shared" si="1318"/>
        <v>0</v>
      </c>
      <c r="CQ628" s="424">
        <f t="shared" si="1318"/>
        <v>0</v>
      </c>
      <c r="CR628" s="424">
        <f t="shared" si="1318"/>
        <v>0</v>
      </c>
      <c r="CS628" s="424">
        <f t="shared" si="1318"/>
        <v>0</v>
      </c>
      <c r="CT628" s="424">
        <f t="shared" si="1318"/>
        <v>0</v>
      </c>
      <c r="CU628" s="424">
        <f t="shared" si="1318"/>
        <v>0</v>
      </c>
      <c r="CV628" s="424">
        <f t="shared" si="1318"/>
        <v>0</v>
      </c>
      <c r="CW628" s="424">
        <f t="shared" si="1318"/>
        <v>0</v>
      </c>
      <c r="CX628" s="424">
        <f t="shared" si="1318"/>
        <v>0</v>
      </c>
      <c r="CY628" s="424">
        <f t="shared" si="1318"/>
        <v>0</v>
      </c>
      <c r="CZ628" s="424">
        <f t="shared" si="1318"/>
        <v>0</v>
      </c>
      <c r="DA628" s="424">
        <f t="shared" si="1318"/>
        <v>0</v>
      </c>
      <c r="DB628" s="424">
        <f t="shared" ref="DB628:EG628" si="1319">DB258*DB$372</f>
        <v>0</v>
      </c>
      <c r="DC628" s="424">
        <f t="shared" si="1319"/>
        <v>0</v>
      </c>
      <c r="DD628" s="424">
        <f t="shared" si="1319"/>
        <v>0</v>
      </c>
      <c r="DE628" s="424">
        <f t="shared" si="1319"/>
        <v>0</v>
      </c>
      <c r="DF628" s="424">
        <f t="shared" si="1319"/>
        <v>0</v>
      </c>
      <c r="DG628" s="424">
        <f t="shared" si="1319"/>
        <v>0</v>
      </c>
      <c r="DH628" s="424">
        <f t="shared" si="1319"/>
        <v>0</v>
      </c>
      <c r="DI628" s="424">
        <f t="shared" si="1319"/>
        <v>0</v>
      </c>
      <c r="DJ628" s="424">
        <f t="shared" si="1319"/>
        <v>0</v>
      </c>
      <c r="DK628" s="424">
        <f t="shared" si="1319"/>
        <v>0</v>
      </c>
      <c r="DL628" s="424">
        <f t="shared" si="1319"/>
        <v>0</v>
      </c>
      <c r="DM628" s="424">
        <f t="shared" si="1319"/>
        <v>0</v>
      </c>
      <c r="DN628" s="424">
        <f t="shared" si="1319"/>
        <v>0</v>
      </c>
      <c r="DO628" s="424">
        <f t="shared" si="1319"/>
        <v>0</v>
      </c>
      <c r="DP628" s="424">
        <f t="shared" si="1319"/>
        <v>0</v>
      </c>
      <c r="DQ628" s="424">
        <f t="shared" si="1319"/>
        <v>0</v>
      </c>
      <c r="DR628" s="424">
        <f t="shared" si="1319"/>
        <v>0</v>
      </c>
      <c r="DS628" s="424">
        <f t="shared" si="1319"/>
        <v>0</v>
      </c>
      <c r="DT628" s="424">
        <f t="shared" si="1319"/>
        <v>0</v>
      </c>
      <c r="DU628" s="424">
        <f t="shared" si="1319"/>
        <v>0</v>
      </c>
      <c r="DV628" s="424">
        <f t="shared" si="1319"/>
        <v>0</v>
      </c>
      <c r="DW628" s="424">
        <f t="shared" si="1319"/>
        <v>0</v>
      </c>
      <c r="DX628" s="424">
        <f t="shared" si="1319"/>
        <v>0</v>
      </c>
      <c r="DY628" s="424">
        <f t="shared" si="1319"/>
        <v>0</v>
      </c>
      <c r="DZ628" s="424">
        <f t="shared" si="1319"/>
        <v>0</v>
      </c>
      <c r="EA628" s="424">
        <f t="shared" si="1319"/>
        <v>0</v>
      </c>
      <c r="EB628" s="424">
        <f t="shared" si="1319"/>
        <v>0</v>
      </c>
      <c r="EC628" s="424">
        <f t="shared" si="1319"/>
        <v>0</v>
      </c>
      <c r="ED628" s="424">
        <f t="shared" si="1319"/>
        <v>0</v>
      </c>
      <c r="EE628" s="424">
        <f t="shared" si="1319"/>
        <v>0</v>
      </c>
      <c r="EF628" s="424">
        <f t="shared" si="1319"/>
        <v>0</v>
      </c>
      <c r="EG628" s="424">
        <f t="shared" si="1319"/>
        <v>0</v>
      </c>
      <c r="EH628" s="424">
        <f t="shared" ref="EH628:EX628" si="1320">EH258*EH$372</f>
        <v>0</v>
      </c>
      <c r="EI628" s="424">
        <f t="shared" si="1320"/>
        <v>0</v>
      </c>
      <c r="EJ628" s="424">
        <f t="shared" si="1320"/>
        <v>0</v>
      </c>
      <c r="EK628" s="424">
        <f t="shared" si="1320"/>
        <v>0</v>
      </c>
      <c r="EL628" s="424">
        <f t="shared" si="1320"/>
        <v>0</v>
      </c>
      <c r="EM628" s="424">
        <f t="shared" si="1320"/>
        <v>0</v>
      </c>
      <c r="EN628" s="424">
        <f t="shared" si="1320"/>
        <v>0</v>
      </c>
      <c r="EO628" s="424">
        <f t="shared" si="1320"/>
        <v>0</v>
      </c>
      <c r="EP628" s="424">
        <f t="shared" si="1320"/>
        <v>0</v>
      </c>
      <c r="EQ628" s="424">
        <f t="shared" si="1320"/>
        <v>0</v>
      </c>
      <c r="ER628" s="424">
        <f t="shared" si="1320"/>
        <v>0</v>
      </c>
      <c r="ES628" s="424">
        <f t="shared" si="1320"/>
        <v>0</v>
      </c>
      <c r="ET628" s="424">
        <f t="shared" si="1320"/>
        <v>0</v>
      </c>
      <c r="EU628" s="424">
        <f t="shared" si="1320"/>
        <v>0</v>
      </c>
      <c r="EV628" s="424">
        <f t="shared" si="1320"/>
        <v>0</v>
      </c>
      <c r="EW628" s="424">
        <f t="shared" si="1320"/>
        <v>0</v>
      </c>
      <c r="EX628" s="424">
        <f t="shared" si="1320"/>
        <v>0</v>
      </c>
      <c r="EY628" s="425">
        <f t="shared" si="1064"/>
        <v>18.2</v>
      </c>
      <c r="EZ628" s="616"/>
      <c r="FA628" s="616"/>
      <c r="FB628" s="616"/>
      <c r="FC628" s="616"/>
      <c r="FD628" s="616"/>
      <c r="FE628" s="616"/>
      <c r="FF628" s="616"/>
      <c r="FG628" s="616"/>
      <c r="FH628" s="616"/>
      <c r="FI628" s="616"/>
      <c r="FJ628" s="616"/>
    </row>
    <row r="629" spans="1:166" ht="14.7" customHeight="1" x14ac:dyDescent="0.25">
      <c r="A629" s="310">
        <v>255</v>
      </c>
      <c r="B629" s="311" t="str">
        <f t="shared" si="1005"/>
        <v>Груши свежие</v>
      </c>
      <c r="C629" s="483">
        <f t="shared" si="1018"/>
        <v>24</v>
      </c>
      <c r="D629" s="888"/>
      <c r="E629" s="888"/>
      <c r="F629" s="888"/>
      <c r="G629" s="889"/>
      <c r="H629" s="680">
        <f t="shared" si="1175"/>
        <v>338</v>
      </c>
      <c r="I629" s="1209">
        <f t="shared" si="1007"/>
        <v>0</v>
      </c>
      <c r="J629" s="424">
        <f t="shared" ref="J629:AO629" si="1321">J259*J$372</f>
        <v>0</v>
      </c>
      <c r="K629" s="424">
        <f t="shared" si="1321"/>
        <v>0</v>
      </c>
      <c r="L629" s="424">
        <f t="shared" si="1321"/>
        <v>0</v>
      </c>
      <c r="M629" s="424">
        <f t="shared" si="1321"/>
        <v>0</v>
      </c>
      <c r="N629" s="424">
        <f t="shared" si="1321"/>
        <v>0</v>
      </c>
      <c r="O629" s="424">
        <f t="shared" si="1321"/>
        <v>0</v>
      </c>
      <c r="P629" s="424">
        <f t="shared" si="1321"/>
        <v>0</v>
      </c>
      <c r="Q629" s="424">
        <f t="shared" si="1321"/>
        <v>0</v>
      </c>
      <c r="R629" s="424">
        <f t="shared" si="1321"/>
        <v>0</v>
      </c>
      <c r="S629" s="424">
        <f t="shared" si="1321"/>
        <v>0</v>
      </c>
      <c r="T629" s="424">
        <f t="shared" si="1321"/>
        <v>0</v>
      </c>
      <c r="U629" s="424">
        <f t="shared" si="1321"/>
        <v>0</v>
      </c>
      <c r="V629" s="424">
        <f t="shared" si="1321"/>
        <v>0</v>
      </c>
      <c r="W629" s="424">
        <f t="shared" si="1321"/>
        <v>0</v>
      </c>
      <c r="X629" s="424">
        <f t="shared" si="1321"/>
        <v>0</v>
      </c>
      <c r="Y629" s="424">
        <f t="shared" si="1321"/>
        <v>0</v>
      </c>
      <c r="Z629" s="424">
        <f t="shared" si="1321"/>
        <v>0</v>
      </c>
      <c r="AA629" s="424">
        <f t="shared" si="1321"/>
        <v>0</v>
      </c>
      <c r="AB629" s="424">
        <f t="shared" si="1321"/>
        <v>0</v>
      </c>
      <c r="AC629" s="424">
        <f t="shared" si="1321"/>
        <v>0</v>
      </c>
      <c r="AD629" s="424">
        <f t="shared" si="1321"/>
        <v>0</v>
      </c>
      <c r="AE629" s="424">
        <f t="shared" si="1321"/>
        <v>0</v>
      </c>
      <c r="AF629" s="424">
        <f t="shared" si="1321"/>
        <v>0</v>
      </c>
      <c r="AG629" s="424">
        <f t="shared" si="1321"/>
        <v>0</v>
      </c>
      <c r="AH629" s="424">
        <f t="shared" si="1321"/>
        <v>0</v>
      </c>
      <c r="AI629" s="424">
        <f t="shared" si="1321"/>
        <v>0</v>
      </c>
      <c r="AJ629" s="424">
        <f t="shared" si="1321"/>
        <v>0</v>
      </c>
      <c r="AK629" s="424">
        <f t="shared" si="1321"/>
        <v>0</v>
      </c>
      <c r="AL629" s="424">
        <f t="shared" si="1321"/>
        <v>0</v>
      </c>
      <c r="AM629" s="424">
        <f t="shared" si="1321"/>
        <v>0</v>
      </c>
      <c r="AN629" s="424">
        <f t="shared" si="1321"/>
        <v>0</v>
      </c>
      <c r="AO629" s="424">
        <f t="shared" si="1321"/>
        <v>0</v>
      </c>
      <c r="AP629" s="424">
        <f t="shared" ref="AP629:BU629" si="1322">AP259*AP$372</f>
        <v>0</v>
      </c>
      <c r="AQ629" s="424">
        <f t="shared" si="1322"/>
        <v>0</v>
      </c>
      <c r="AR629" s="424">
        <f t="shared" si="1322"/>
        <v>0</v>
      </c>
      <c r="AS629" s="424">
        <f t="shared" si="1322"/>
        <v>0</v>
      </c>
      <c r="AT629" s="424">
        <f t="shared" si="1322"/>
        <v>0</v>
      </c>
      <c r="AU629" s="424">
        <f t="shared" si="1322"/>
        <v>0</v>
      </c>
      <c r="AV629" s="424">
        <f t="shared" si="1322"/>
        <v>0</v>
      </c>
      <c r="AW629" s="424">
        <f t="shared" si="1322"/>
        <v>0</v>
      </c>
      <c r="AX629" s="424">
        <f t="shared" si="1322"/>
        <v>0</v>
      </c>
      <c r="AY629" s="424">
        <f t="shared" si="1322"/>
        <v>0</v>
      </c>
      <c r="AZ629" s="424">
        <f t="shared" si="1322"/>
        <v>0</v>
      </c>
      <c r="BA629" s="424">
        <f t="shared" si="1322"/>
        <v>0</v>
      </c>
      <c r="BB629" s="424">
        <f t="shared" si="1322"/>
        <v>0</v>
      </c>
      <c r="BC629" s="424">
        <f t="shared" si="1322"/>
        <v>0</v>
      </c>
      <c r="BD629" s="424">
        <f t="shared" si="1322"/>
        <v>0</v>
      </c>
      <c r="BE629" s="424">
        <f t="shared" si="1322"/>
        <v>0</v>
      </c>
      <c r="BF629" s="424">
        <f t="shared" si="1322"/>
        <v>0</v>
      </c>
      <c r="BG629" s="424">
        <f t="shared" si="1322"/>
        <v>0</v>
      </c>
      <c r="BH629" s="424">
        <f t="shared" si="1322"/>
        <v>0</v>
      </c>
      <c r="BI629" s="424">
        <f t="shared" si="1322"/>
        <v>0</v>
      </c>
      <c r="BJ629" s="424">
        <f t="shared" si="1322"/>
        <v>0</v>
      </c>
      <c r="BK629" s="424">
        <f t="shared" si="1322"/>
        <v>0</v>
      </c>
      <c r="BL629" s="424">
        <f t="shared" si="1322"/>
        <v>0</v>
      </c>
      <c r="BM629" s="424">
        <f t="shared" si="1322"/>
        <v>0</v>
      </c>
      <c r="BN629" s="424">
        <f t="shared" si="1322"/>
        <v>24</v>
      </c>
      <c r="BO629" s="424">
        <f t="shared" si="1322"/>
        <v>0</v>
      </c>
      <c r="BP629" s="424">
        <f t="shared" si="1322"/>
        <v>0</v>
      </c>
      <c r="BQ629" s="424">
        <f t="shared" si="1322"/>
        <v>0</v>
      </c>
      <c r="BR629" s="424">
        <f t="shared" si="1322"/>
        <v>0</v>
      </c>
      <c r="BS629" s="424">
        <f t="shared" si="1322"/>
        <v>0</v>
      </c>
      <c r="BT629" s="424">
        <f t="shared" si="1322"/>
        <v>0</v>
      </c>
      <c r="BU629" s="424">
        <f t="shared" si="1322"/>
        <v>0</v>
      </c>
      <c r="BV629" s="424">
        <f t="shared" ref="BV629:DA629" si="1323">BV259*BV$372</f>
        <v>0</v>
      </c>
      <c r="BW629" s="424">
        <f t="shared" si="1323"/>
        <v>0</v>
      </c>
      <c r="BX629" s="424">
        <f t="shared" si="1323"/>
        <v>0</v>
      </c>
      <c r="BY629" s="424">
        <f t="shared" si="1323"/>
        <v>0</v>
      </c>
      <c r="BZ629" s="424">
        <f t="shared" si="1323"/>
        <v>0</v>
      </c>
      <c r="CA629" s="424">
        <f t="shared" si="1323"/>
        <v>0</v>
      </c>
      <c r="CB629" s="424">
        <f t="shared" si="1323"/>
        <v>0</v>
      </c>
      <c r="CC629" s="424">
        <f t="shared" si="1323"/>
        <v>0</v>
      </c>
      <c r="CD629" s="424">
        <f t="shared" si="1323"/>
        <v>0</v>
      </c>
      <c r="CE629" s="424">
        <f t="shared" si="1323"/>
        <v>0</v>
      </c>
      <c r="CF629" s="424">
        <f t="shared" si="1323"/>
        <v>0</v>
      </c>
      <c r="CG629" s="424">
        <f t="shared" si="1323"/>
        <v>0</v>
      </c>
      <c r="CH629" s="424">
        <f t="shared" si="1323"/>
        <v>0</v>
      </c>
      <c r="CI629" s="424">
        <f t="shared" si="1323"/>
        <v>0</v>
      </c>
      <c r="CJ629" s="424">
        <f t="shared" si="1323"/>
        <v>0</v>
      </c>
      <c r="CK629" s="424">
        <f t="shared" si="1323"/>
        <v>0</v>
      </c>
      <c r="CL629" s="424">
        <f t="shared" si="1323"/>
        <v>0</v>
      </c>
      <c r="CM629" s="424">
        <f t="shared" si="1323"/>
        <v>0</v>
      </c>
      <c r="CN629" s="424">
        <f t="shared" si="1323"/>
        <v>0</v>
      </c>
      <c r="CO629" s="424">
        <f t="shared" si="1323"/>
        <v>0</v>
      </c>
      <c r="CP629" s="424">
        <f t="shared" si="1323"/>
        <v>0</v>
      </c>
      <c r="CQ629" s="424">
        <f t="shared" si="1323"/>
        <v>0</v>
      </c>
      <c r="CR629" s="424">
        <f t="shared" si="1323"/>
        <v>0</v>
      </c>
      <c r="CS629" s="424">
        <f t="shared" si="1323"/>
        <v>0</v>
      </c>
      <c r="CT629" s="424">
        <f t="shared" si="1323"/>
        <v>0</v>
      </c>
      <c r="CU629" s="424">
        <f t="shared" si="1323"/>
        <v>0</v>
      </c>
      <c r="CV629" s="424">
        <f t="shared" si="1323"/>
        <v>0</v>
      </c>
      <c r="CW629" s="424">
        <f t="shared" si="1323"/>
        <v>0</v>
      </c>
      <c r="CX629" s="424">
        <f t="shared" si="1323"/>
        <v>0</v>
      </c>
      <c r="CY629" s="424">
        <f t="shared" si="1323"/>
        <v>0</v>
      </c>
      <c r="CZ629" s="424">
        <f t="shared" si="1323"/>
        <v>0</v>
      </c>
      <c r="DA629" s="424">
        <f t="shared" si="1323"/>
        <v>0</v>
      </c>
      <c r="DB629" s="424">
        <f t="shared" ref="DB629:EG629" si="1324">DB259*DB$372</f>
        <v>0</v>
      </c>
      <c r="DC629" s="424">
        <f t="shared" si="1324"/>
        <v>0</v>
      </c>
      <c r="DD629" s="424">
        <f t="shared" si="1324"/>
        <v>0</v>
      </c>
      <c r="DE629" s="424">
        <f t="shared" si="1324"/>
        <v>0</v>
      </c>
      <c r="DF629" s="424">
        <f t="shared" si="1324"/>
        <v>0</v>
      </c>
      <c r="DG629" s="424">
        <f t="shared" si="1324"/>
        <v>0</v>
      </c>
      <c r="DH629" s="424">
        <f t="shared" si="1324"/>
        <v>0</v>
      </c>
      <c r="DI629" s="424">
        <f t="shared" si="1324"/>
        <v>0</v>
      </c>
      <c r="DJ629" s="424">
        <f t="shared" si="1324"/>
        <v>0</v>
      </c>
      <c r="DK629" s="424">
        <f t="shared" si="1324"/>
        <v>0</v>
      </c>
      <c r="DL629" s="424">
        <f t="shared" si="1324"/>
        <v>0</v>
      </c>
      <c r="DM629" s="424">
        <f t="shared" si="1324"/>
        <v>0</v>
      </c>
      <c r="DN629" s="424">
        <f t="shared" si="1324"/>
        <v>0</v>
      </c>
      <c r="DO629" s="424">
        <f t="shared" si="1324"/>
        <v>0</v>
      </c>
      <c r="DP629" s="424">
        <f t="shared" si="1324"/>
        <v>0</v>
      </c>
      <c r="DQ629" s="424">
        <f t="shared" si="1324"/>
        <v>0</v>
      </c>
      <c r="DR629" s="424">
        <f t="shared" si="1324"/>
        <v>0</v>
      </c>
      <c r="DS629" s="424">
        <f t="shared" si="1324"/>
        <v>0</v>
      </c>
      <c r="DT629" s="424">
        <f t="shared" si="1324"/>
        <v>0</v>
      </c>
      <c r="DU629" s="424">
        <f t="shared" si="1324"/>
        <v>0</v>
      </c>
      <c r="DV629" s="424">
        <f t="shared" si="1324"/>
        <v>0</v>
      </c>
      <c r="DW629" s="424">
        <f t="shared" si="1324"/>
        <v>0</v>
      </c>
      <c r="DX629" s="424">
        <f t="shared" si="1324"/>
        <v>0</v>
      </c>
      <c r="DY629" s="424">
        <f t="shared" si="1324"/>
        <v>0</v>
      </c>
      <c r="DZ629" s="424">
        <f t="shared" si="1324"/>
        <v>0</v>
      </c>
      <c r="EA629" s="424">
        <f t="shared" si="1324"/>
        <v>0</v>
      </c>
      <c r="EB629" s="424">
        <f t="shared" si="1324"/>
        <v>0</v>
      </c>
      <c r="EC629" s="424">
        <f t="shared" si="1324"/>
        <v>0</v>
      </c>
      <c r="ED629" s="424">
        <f t="shared" si="1324"/>
        <v>0</v>
      </c>
      <c r="EE629" s="424">
        <f t="shared" si="1324"/>
        <v>0</v>
      </c>
      <c r="EF629" s="424">
        <f t="shared" si="1324"/>
        <v>0</v>
      </c>
      <c r="EG629" s="424">
        <f t="shared" si="1324"/>
        <v>0</v>
      </c>
      <c r="EH629" s="424">
        <f t="shared" ref="EH629:EX629" si="1325">EH259*EH$372</f>
        <v>0</v>
      </c>
      <c r="EI629" s="424">
        <f t="shared" si="1325"/>
        <v>0</v>
      </c>
      <c r="EJ629" s="424">
        <f t="shared" si="1325"/>
        <v>0</v>
      </c>
      <c r="EK629" s="424">
        <f t="shared" si="1325"/>
        <v>0</v>
      </c>
      <c r="EL629" s="424">
        <f t="shared" si="1325"/>
        <v>0</v>
      </c>
      <c r="EM629" s="424">
        <f t="shared" si="1325"/>
        <v>0</v>
      </c>
      <c r="EN629" s="424">
        <f t="shared" si="1325"/>
        <v>0</v>
      </c>
      <c r="EO629" s="424">
        <f t="shared" si="1325"/>
        <v>0</v>
      </c>
      <c r="EP629" s="424">
        <f t="shared" si="1325"/>
        <v>0</v>
      </c>
      <c r="EQ629" s="424">
        <f t="shared" si="1325"/>
        <v>0</v>
      </c>
      <c r="ER629" s="424">
        <f t="shared" si="1325"/>
        <v>0</v>
      </c>
      <c r="ES629" s="424">
        <f t="shared" si="1325"/>
        <v>0</v>
      </c>
      <c r="ET629" s="424">
        <f t="shared" si="1325"/>
        <v>0</v>
      </c>
      <c r="EU629" s="424">
        <f t="shared" si="1325"/>
        <v>0</v>
      </c>
      <c r="EV629" s="424">
        <f t="shared" si="1325"/>
        <v>0</v>
      </c>
      <c r="EW629" s="424">
        <f t="shared" si="1325"/>
        <v>0</v>
      </c>
      <c r="EX629" s="424">
        <f t="shared" si="1325"/>
        <v>0</v>
      </c>
      <c r="EY629" s="425">
        <f t="shared" si="1064"/>
        <v>24</v>
      </c>
    </row>
    <row r="630" spans="1:166" s="1324" customFormat="1" ht="14.7" customHeight="1" x14ac:dyDescent="0.25">
      <c r="A630" s="310">
        <v>256</v>
      </c>
      <c r="B630" s="311" t="str">
        <f t="shared" si="1005"/>
        <v>Груши свежие</v>
      </c>
      <c r="C630" s="483">
        <f t="shared" si="1018"/>
        <v>36</v>
      </c>
      <c r="D630" s="888"/>
      <c r="E630" s="888"/>
      <c r="F630" s="888"/>
      <c r="G630" s="889"/>
      <c r="H630" s="680">
        <f t="shared" si="1175"/>
        <v>338</v>
      </c>
      <c r="I630" s="1209">
        <f t="shared" si="1007"/>
        <v>0</v>
      </c>
      <c r="J630" s="424">
        <f t="shared" ref="J630:AO630" si="1326">J260*J$372</f>
        <v>0</v>
      </c>
      <c r="K630" s="424">
        <f t="shared" si="1326"/>
        <v>0</v>
      </c>
      <c r="L630" s="424">
        <f t="shared" si="1326"/>
        <v>0</v>
      </c>
      <c r="M630" s="424">
        <f t="shared" si="1326"/>
        <v>0</v>
      </c>
      <c r="N630" s="424">
        <f t="shared" si="1326"/>
        <v>0</v>
      </c>
      <c r="O630" s="424">
        <f t="shared" si="1326"/>
        <v>0</v>
      </c>
      <c r="P630" s="424">
        <f t="shared" si="1326"/>
        <v>0</v>
      </c>
      <c r="Q630" s="424">
        <f t="shared" si="1326"/>
        <v>0</v>
      </c>
      <c r="R630" s="424">
        <f t="shared" si="1326"/>
        <v>0</v>
      </c>
      <c r="S630" s="424">
        <f t="shared" si="1326"/>
        <v>0</v>
      </c>
      <c r="T630" s="424">
        <f t="shared" si="1326"/>
        <v>0</v>
      </c>
      <c r="U630" s="424">
        <f t="shared" si="1326"/>
        <v>0</v>
      </c>
      <c r="V630" s="424">
        <f t="shared" si="1326"/>
        <v>0</v>
      </c>
      <c r="W630" s="424">
        <f t="shared" si="1326"/>
        <v>0</v>
      </c>
      <c r="X630" s="424">
        <f t="shared" si="1326"/>
        <v>0</v>
      </c>
      <c r="Y630" s="424">
        <f t="shared" si="1326"/>
        <v>0</v>
      </c>
      <c r="Z630" s="424">
        <f t="shared" si="1326"/>
        <v>0</v>
      </c>
      <c r="AA630" s="424">
        <f t="shared" si="1326"/>
        <v>0</v>
      </c>
      <c r="AB630" s="424">
        <f t="shared" si="1326"/>
        <v>0</v>
      </c>
      <c r="AC630" s="424">
        <f t="shared" si="1326"/>
        <v>0</v>
      </c>
      <c r="AD630" s="424">
        <f t="shared" si="1326"/>
        <v>0</v>
      </c>
      <c r="AE630" s="424">
        <f t="shared" si="1326"/>
        <v>0</v>
      </c>
      <c r="AF630" s="424">
        <f t="shared" si="1326"/>
        <v>0</v>
      </c>
      <c r="AG630" s="424">
        <f t="shared" si="1326"/>
        <v>0</v>
      </c>
      <c r="AH630" s="424">
        <f t="shared" si="1326"/>
        <v>0</v>
      </c>
      <c r="AI630" s="424">
        <f t="shared" si="1326"/>
        <v>0</v>
      </c>
      <c r="AJ630" s="424">
        <f t="shared" si="1326"/>
        <v>0</v>
      </c>
      <c r="AK630" s="424">
        <f t="shared" si="1326"/>
        <v>0</v>
      </c>
      <c r="AL630" s="424">
        <f t="shared" si="1326"/>
        <v>0</v>
      </c>
      <c r="AM630" s="424">
        <f t="shared" si="1326"/>
        <v>0</v>
      </c>
      <c r="AN630" s="424">
        <f t="shared" si="1326"/>
        <v>0</v>
      </c>
      <c r="AO630" s="424">
        <f t="shared" si="1326"/>
        <v>0</v>
      </c>
      <c r="AP630" s="424">
        <f t="shared" ref="AP630:BU630" si="1327">AP260*AP$372</f>
        <v>0</v>
      </c>
      <c r="AQ630" s="424">
        <f t="shared" si="1327"/>
        <v>0</v>
      </c>
      <c r="AR630" s="424">
        <f t="shared" si="1327"/>
        <v>0</v>
      </c>
      <c r="AS630" s="424">
        <f t="shared" si="1327"/>
        <v>0</v>
      </c>
      <c r="AT630" s="424">
        <f t="shared" si="1327"/>
        <v>0</v>
      </c>
      <c r="AU630" s="424">
        <f t="shared" si="1327"/>
        <v>0</v>
      </c>
      <c r="AV630" s="424">
        <f t="shared" si="1327"/>
        <v>0</v>
      </c>
      <c r="AW630" s="424">
        <f t="shared" si="1327"/>
        <v>0</v>
      </c>
      <c r="AX630" s="424">
        <f t="shared" si="1327"/>
        <v>0</v>
      </c>
      <c r="AY630" s="424">
        <f t="shared" si="1327"/>
        <v>0</v>
      </c>
      <c r="AZ630" s="424">
        <f t="shared" si="1327"/>
        <v>0</v>
      </c>
      <c r="BA630" s="424">
        <f t="shared" si="1327"/>
        <v>0</v>
      </c>
      <c r="BB630" s="424">
        <f t="shared" si="1327"/>
        <v>0</v>
      </c>
      <c r="BC630" s="424">
        <f t="shared" si="1327"/>
        <v>0</v>
      </c>
      <c r="BD630" s="424">
        <f t="shared" si="1327"/>
        <v>0</v>
      </c>
      <c r="BE630" s="424">
        <f t="shared" si="1327"/>
        <v>0</v>
      </c>
      <c r="BF630" s="424">
        <f t="shared" si="1327"/>
        <v>0</v>
      </c>
      <c r="BG630" s="424">
        <f t="shared" si="1327"/>
        <v>0</v>
      </c>
      <c r="BH630" s="424">
        <f t="shared" si="1327"/>
        <v>0</v>
      </c>
      <c r="BI630" s="424">
        <f t="shared" si="1327"/>
        <v>0</v>
      </c>
      <c r="BJ630" s="424">
        <f t="shared" si="1327"/>
        <v>0</v>
      </c>
      <c r="BK630" s="424">
        <f t="shared" si="1327"/>
        <v>0</v>
      </c>
      <c r="BL630" s="424">
        <f t="shared" si="1327"/>
        <v>0</v>
      </c>
      <c r="BM630" s="424">
        <f t="shared" si="1327"/>
        <v>0</v>
      </c>
      <c r="BN630" s="424">
        <f t="shared" si="1327"/>
        <v>36</v>
      </c>
      <c r="BO630" s="424">
        <f t="shared" si="1327"/>
        <v>0</v>
      </c>
      <c r="BP630" s="424">
        <f t="shared" si="1327"/>
        <v>0</v>
      </c>
      <c r="BQ630" s="424">
        <f t="shared" si="1327"/>
        <v>0</v>
      </c>
      <c r="BR630" s="424">
        <f t="shared" si="1327"/>
        <v>0</v>
      </c>
      <c r="BS630" s="424">
        <f t="shared" si="1327"/>
        <v>0</v>
      </c>
      <c r="BT630" s="424">
        <f t="shared" si="1327"/>
        <v>0</v>
      </c>
      <c r="BU630" s="424">
        <f t="shared" si="1327"/>
        <v>0</v>
      </c>
      <c r="BV630" s="424">
        <f t="shared" ref="BV630:DA630" si="1328">BV260*BV$372</f>
        <v>0</v>
      </c>
      <c r="BW630" s="424">
        <f t="shared" si="1328"/>
        <v>0</v>
      </c>
      <c r="BX630" s="424">
        <f t="shared" si="1328"/>
        <v>0</v>
      </c>
      <c r="BY630" s="424">
        <f t="shared" si="1328"/>
        <v>0</v>
      </c>
      <c r="BZ630" s="424">
        <f t="shared" si="1328"/>
        <v>0</v>
      </c>
      <c r="CA630" s="424">
        <f t="shared" si="1328"/>
        <v>0</v>
      </c>
      <c r="CB630" s="424">
        <f t="shared" si="1328"/>
        <v>0</v>
      </c>
      <c r="CC630" s="424">
        <f t="shared" si="1328"/>
        <v>0</v>
      </c>
      <c r="CD630" s="424">
        <f t="shared" si="1328"/>
        <v>0</v>
      </c>
      <c r="CE630" s="424">
        <f t="shared" si="1328"/>
        <v>0</v>
      </c>
      <c r="CF630" s="424">
        <f t="shared" si="1328"/>
        <v>0</v>
      </c>
      <c r="CG630" s="424">
        <f t="shared" si="1328"/>
        <v>0</v>
      </c>
      <c r="CH630" s="424">
        <f t="shared" si="1328"/>
        <v>0</v>
      </c>
      <c r="CI630" s="424">
        <f t="shared" si="1328"/>
        <v>0</v>
      </c>
      <c r="CJ630" s="424">
        <f t="shared" si="1328"/>
        <v>0</v>
      </c>
      <c r="CK630" s="424">
        <f t="shared" si="1328"/>
        <v>0</v>
      </c>
      <c r="CL630" s="424">
        <f t="shared" si="1328"/>
        <v>0</v>
      </c>
      <c r="CM630" s="424">
        <f t="shared" si="1328"/>
        <v>0</v>
      </c>
      <c r="CN630" s="424">
        <f t="shared" si="1328"/>
        <v>0</v>
      </c>
      <c r="CO630" s="424">
        <f t="shared" si="1328"/>
        <v>0</v>
      </c>
      <c r="CP630" s="424">
        <f t="shared" si="1328"/>
        <v>0</v>
      </c>
      <c r="CQ630" s="424">
        <f t="shared" si="1328"/>
        <v>0</v>
      </c>
      <c r="CR630" s="424">
        <f t="shared" si="1328"/>
        <v>0</v>
      </c>
      <c r="CS630" s="424">
        <f t="shared" si="1328"/>
        <v>0</v>
      </c>
      <c r="CT630" s="424">
        <f t="shared" si="1328"/>
        <v>0</v>
      </c>
      <c r="CU630" s="424">
        <f t="shared" si="1328"/>
        <v>0</v>
      </c>
      <c r="CV630" s="424">
        <f t="shared" si="1328"/>
        <v>0</v>
      </c>
      <c r="CW630" s="424">
        <f t="shared" si="1328"/>
        <v>0</v>
      </c>
      <c r="CX630" s="424">
        <f t="shared" si="1328"/>
        <v>0</v>
      </c>
      <c r="CY630" s="424">
        <f t="shared" si="1328"/>
        <v>0</v>
      </c>
      <c r="CZ630" s="424">
        <f t="shared" si="1328"/>
        <v>0</v>
      </c>
      <c r="DA630" s="424">
        <f t="shared" si="1328"/>
        <v>0</v>
      </c>
      <c r="DB630" s="424">
        <f t="shared" ref="DB630:EG630" si="1329">DB260*DB$372</f>
        <v>0</v>
      </c>
      <c r="DC630" s="424">
        <f t="shared" si="1329"/>
        <v>0</v>
      </c>
      <c r="DD630" s="424">
        <f t="shared" si="1329"/>
        <v>0</v>
      </c>
      <c r="DE630" s="424">
        <f t="shared" si="1329"/>
        <v>0</v>
      </c>
      <c r="DF630" s="424">
        <f t="shared" si="1329"/>
        <v>0</v>
      </c>
      <c r="DG630" s="424">
        <f t="shared" si="1329"/>
        <v>0</v>
      </c>
      <c r="DH630" s="424">
        <f t="shared" si="1329"/>
        <v>0</v>
      </c>
      <c r="DI630" s="424">
        <f t="shared" si="1329"/>
        <v>0</v>
      </c>
      <c r="DJ630" s="424">
        <f t="shared" si="1329"/>
        <v>0</v>
      </c>
      <c r="DK630" s="424">
        <f t="shared" si="1329"/>
        <v>0</v>
      </c>
      <c r="DL630" s="424">
        <f t="shared" si="1329"/>
        <v>0</v>
      </c>
      <c r="DM630" s="424">
        <f t="shared" si="1329"/>
        <v>0</v>
      </c>
      <c r="DN630" s="424">
        <f t="shared" si="1329"/>
        <v>0</v>
      </c>
      <c r="DO630" s="424">
        <f t="shared" si="1329"/>
        <v>0</v>
      </c>
      <c r="DP630" s="424">
        <f t="shared" si="1329"/>
        <v>0</v>
      </c>
      <c r="DQ630" s="424">
        <f t="shared" si="1329"/>
        <v>0</v>
      </c>
      <c r="DR630" s="424">
        <f t="shared" si="1329"/>
        <v>0</v>
      </c>
      <c r="DS630" s="424">
        <f t="shared" si="1329"/>
        <v>0</v>
      </c>
      <c r="DT630" s="424">
        <f t="shared" si="1329"/>
        <v>0</v>
      </c>
      <c r="DU630" s="424">
        <f t="shared" si="1329"/>
        <v>0</v>
      </c>
      <c r="DV630" s="424">
        <f t="shared" si="1329"/>
        <v>0</v>
      </c>
      <c r="DW630" s="424">
        <f t="shared" si="1329"/>
        <v>0</v>
      </c>
      <c r="DX630" s="424">
        <f t="shared" si="1329"/>
        <v>0</v>
      </c>
      <c r="DY630" s="424">
        <f t="shared" si="1329"/>
        <v>0</v>
      </c>
      <c r="DZ630" s="424">
        <f t="shared" si="1329"/>
        <v>0</v>
      </c>
      <c r="EA630" s="424">
        <f t="shared" si="1329"/>
        <v>0</v>
      </c>
      <c r="EB630" s="424">
        <f t="shared" si="1329"/>
        <v>0</v>
      </c>
      <c r="EC630" s="424">
        <f t="shared" si="1329"/>
        <v>0</v>
      </c>
      <c r="ED630" s="424">
        <f t="shared" si="1329"/>
        <v>0</v>
      </c>
      <c r="EE630" s="424">
        <f t="shared" si="1329"/>
        <v>0</v>
      </c>
      <c r="EF630" s="424">
        <f t="shared" si="1329"/>
        <v>0</v>
      </c>
      <c r="EG630" s="424">
        <f t="shared" si="1329"/>
        <v>0</v>
      </c>
      <c r="EH630" s="424">
        <f t="shared" ref="EH630:EX630" si="1330">EH260*EH$372</f>
        <v>0</v>
      </c>
      <c r="EI630" s="424">
        <f t="shared" si="1330"/>
        <v>0</v>
      </c>
      <c r="EJ630" s="424">
        <f t="shared" si="1330"/>
        <v>0</v>
      </c>
      <c r="EK630" s="424">
        <f t="shared" si="1330"/>
        <v>0</v>
      </c>
      <c r="EL630" s="424">
        <f t="shared" si="1330"/>
        <v>0</v>
      </c>
      <c r="EM630" s="424">
        <f t="shared" si="1330"/>
        <v>0</v>
      </c>
      <c r="EN630" s="424">
        <f t="shared" si="1330"/>
        <v>0</v>
      </c>
      <c r="EO630" s="424">
        <f t="shared" si="1330"/>
        <v>0</v>
      </c>
      <c r="EP630" s="424">
        <f t="shared" si="1330"/>
        <v>0</v>
      </c>
      <c r="EQ630" s="424">
        <f t="shared" si="1330"/>
        <v>0</v>
      </c>
      <c r="ER630" s="424">
        <f t="shared" si="1330"/>
        <v>0</v>
      </c>
      <c r="ES630" s="424">
        <f t="shared" si="1330"/>
        <v>0</v>
      </c>
      <c r="ET630" s="424">
        <f t="shared" si="1330"/>
        <v>0</v>
      </c>
      <c r="EU630" s="424">
        <f t="shared" si="1330"/>
        <v>0</v>
      </c>
      <c r="EV630" s="424">
        <f t="shared" si="1330"/>
        <v>0</v>
      </c>
      <c r="EW630" s="424">
        <f t="shared" si="1330"/>
        <v>0</v>
      </c>
      <c r="EX630" s="424">
        <f t="shared" si="1330"/>
        <v>0</v>
      </c>
      <c r="EY630" s="425">
        <f t="shared" si="1064"/>
        <v>36</v>
      </c>
      <c r="EZ630" s="616"/>
      <c r="FA630" s="616"/>
      <c r="FB630" s="616"/>
      <c r="FC630" s="616"/>
      <c r="FD630" s="616"/>
      <c r="FE630" s="616"/>
      <c r="FF630" s="616"/>
      <c r="FG630" s="616"/>
      <c r="FH630" s="616"/>
      <c r="FI630" s="616"/>
      <c r="FJ630" s="616"/>
    </row>
    <row r="631" spans="1:166" ht="14.7" customHeight="1" x14ac:dyDescent="0.25">
      <c r="A631" s="310">
        <v>257</v>
      </c>
      <c r="B631" s="311" t="str">
        <f t="shared" ref="B631:B694" si="1331">B261</f>
        <v>Абрикосы</v>
      </c>
      <c r="C631" s="483">
        <f t="shared" si="1018"/>
        <v>18</v>
      </c>
      <c r="D631" s="888"/>
      <c r="E631" s="888"/>
      <c r="F631" s="888"/>
      <c r="G631" s="889"/>
      <c r="H631" s="680">
        <f t="shared" si="1175"/>
        <v>338</v>
      </c>
      <c r="I631" s="1209">
        <f t="shared" ref="I631:I694" si="1332">I261-EY631</f>
        <v>0</v>
      </c>
      <c r="J631" s="424">
        <f t="shared" ref="J631:AO631" si="1333">J261*J$372</f>
        <v>0</v>
      </c>
      <c r="K631" s="424">
        <f t="shared" si="1333"/>
        <v>0</v>
      </c>
      <c r="L631" s="424">
        <f t="shared" si="1333"/>
        <v>0</v>
      </c>
      <c r="M631" s="424">
        <f t="shared" si="1333"/>
        <v>0</v>
      </c>
      <c r="N631" s="424">
        <f t="shared" si="1333"/>
        <v>0</v>
      </c>
      <c r="O631" s="424">
        <f t="shared" si="1333"/>
        <v>0</v>
      </c>
      <c r="P631" s="424">
        <f t="shared" si="1333"/>
        <v>0</v>
      </c>
      <c r="Q631" s="424">
        <f t="shared" si="1333"/>
        <v>0</v>
      </c>
      <c r="R631" s="424">
        <f t="shared" si="1333"/>
        <v>0</v>
      </c>
      <c r="S631" s="424">
        <f t="shared" si="1333"/>
        <v>0</v>
      </c>
      <c r="T631" s="424">
        <f t="shared" si="1333"/>
        <v>0</v>
      </c>
      <c r="U631" s="424">
        <f t="shared" si="1333"/>
        <v>0</v>
      </c>
      <c r="V631" s="424">
        <f t="shared" si="1333"/>
        <v>0</v>
      </c>
      <c r="W631" s="424">
        <f t="shared" si="1333"/>
        <v>0</v>
      </c>
      <c r="X631" s="424">
        <f t="shared" si="1333"/>
        <v>0</v>
      </c>
      <c r="Y631" s="424">
        <f t="shared" si="1333"/>
        <v>0</v>
      </c>
      <c r="Z631" s="424">
        <f t="shared" si="1333"/>
        <v>0</v>
      </c>
      <c r="AA631" s="424">
        <f t="shared" si="1333"/>
        <v>0</v>
      </c>
      <c r="AB631" s="424">
        <f t="shared" si="1333"/>
        <v>0</v>
      </c>
      <c r="AC631" s="424">
        <f t="shared" si="1333"/>
        <v>0</v>
      </c>
      <c r="AD631" s="424">
        <f t="shared" si="1333"/>
        <v>0</v>
      </c>
      <c r="AE631" s="424">
        <f t="shared" si="1333"/>
        <v>0</v>
      </c>
      <c r="AF631" s="424">
        <f t="shared" si="1333"/>
        <v>0</v>
      </c>
      <c r="AG631" s="424">
        <f t="shared" si="1333"/>
        <v>0</v>
      </c>
      <c r="AH631" s="424">
        <f t="shared" si="1333"/>
        <v>0</v>
      </c>
      <c r="AI631" s="424">
        <f t="shared" si="1333"/>
        <v>0</v>
      </c>
      <c r="AJ631" s="424">
        <f t="shared" si="1333"/>
        <v>0</v>
      </c>
      <c r="AK631" s="424">
        <f t="shared" si="1333"/>
        <v>0</v>
      </c>
      <c r="AL631" s="424">
        <f t="shared" si="1333"/>
        <v>0</v>
      </c>
      <c r="AM631" s="424">
        <f t="shared" si="1333"/>
        <v>0</v>
      </c>
      <c r="AN631" s="424">
        <f t="shared" si="1333"/>
        <v>0</v>
      </c>
      <c r="AO631" s="424">
        <f t="shared" si="1333"/>
        <v>0</v>
      </c>
      <c r="AP631" s="424">
        <f t="shared" ref="AP631:BU631" si="1334">AP261*AP$372</f>
        <v>0</v>
      </c>
      <c r="AQ631" s="424">
        <f t="shared" si="1334"/>
        <v>0</v>
      </c>
      <c r="AR631" s="424">
        <f t="shared" si="1334"/>
        <v>0</v>
      </c>
      <c r="AS631" s="424">
        <f t="shared" si="1334"/>
        <v>0</v>
      </c>
      <c r="AT631" s="424">
        <f t="shared" si="1334"/>
        <v>0</v>
      </c>
      <c r="AU631" s="424">
        <f t="shared" si="1334"/>
        <v>0</v>
      </c>
      <c r="AV631" s="424">
        <f t="shared" si="1334"/>
        <v>0</v>
      </c>
      <c r="AW631" s="424">
        <f t="shared" si="1334"/>
        <v>0</v>
      </c>
      <c r="AX631" s="424">
        <f t="shared" si="1334"/>
        <v>0</v>
      </c>
      <c r="AY631" s="424">
        <f t="shared" si="1334"/>
        <v>0</v>
      </c>
      <c r="AZ631" s="424">
        <f t="shared" si="1334"/>
        <v>0</v>
      </c>
      <c r="BA631" s="424">
        <f t="shared" si="1334"/>
        <v>0</v>
      </c>
      <c r="BB631" s="424">
        <f t="shared" si="1334"/>
        <v>0</v>
      </c>
      <c r="BC631" s="424">
        <f t="shared" si="1334"/>
        <v>0</v>
      </c>
      <c r="BD631" s="424">
        <f t="shared" si="1334"/>
        <v>0</v>
      </c>
      <c r="BE631" s="424">
        <f t="shared" si="1334"/>
        <v>0</v>
      </c>
      <c r="BF631" s="424">
        <f t="shared" si="1334"/>
        <v>0</v>
      </c>
      <c r="BG631" s="424">
        <f t="shared" si="1334"/>
        <v>0</v>
      </c>
      <c r="BH631" s="424">
        <f t="shared" si="1334"/>
        <v>0</v>
      </c>
      <c r="BI631" s="424">
        <f t="shared" si="1334"/>
        <v>0</v>
      </c>
      <c r="BJ631" s="424">
        <f t="shared" si="1334"/>
        <v>0</v>
      </c>
      <c r="BK631" s="424">
        <f t="shared" si="1334"/>
        <v>0</v>
      </c>
      <c r="BL631" s="424">
        <f t="shared" si="1334"/>
        <v>0</v>
      </c>
      <c r="BM631" s="424">
        <f t="shared" si="1334"/>
        <v>0</v>
      </c>
      <c r="BN631" s="424">
        <f t="shared" si="1334"/>
        <v>0</v>
      </c>
      <c r="BO631" s="424">
        <f t="shared" si="1334"/>
        <v>18</v>
      </c>
      <c r="BP631" s="424">
        <f t="shared" si="1334"/>
        <v>0</v>
      </c>
      <c r="BQ631" s="424">
        <f t="shared" si="1334"/>
        <v>0</v>
      </c>
      <c r="BR631" s="424">
        <f t="shared" si="1334"/>
        <v>0</v>
      </c>
      <c r="BS631" s="424">
        <f t="shared" si="1334"/>
        <v>0</v>
      </c>
      <c r="BT631" s="424">
        <f t="shared" si="1334"/>
        <v>0</v>
      </c>
      <c r="BU631" s="424">
        <f t="shared" si="1334"/>
        <v>0</v>
      </c>
      <c r="BV631" s="424">
        <f t="shared" ref="BV631:DA631" si="1335">BV261*BV$372</f>
        <v>0</v>
      </c>
      <c r="BW631" s="424">
        <f t="shared" si="1335"/>
        <v>0</v>
      </c>
      <c r="BX631" s="424">
        <f t="shared" si="1335"/>
        <v>0</v>
      </c>
      <c r="BY631" s="424">
        <f t="shared" si="1335"/>
        <v>0</v>
      </c>
      <c r="BZ631" s="424">
        <f t="shared" si="1335"/>
        <v>0</v>
      </c>
      <c r="CA631" s="424">
        <f t="shared" si="1335"/>
        <v>0</v>
      </c>
      <c r="CB631" s="424">
        <f t="shared" si="1335"/>
        <v>0</v>
      </c>
      <c r="CC631" s="424">
        <f t="shared" si="1335"/>
        <v>0</v>
      </c>
      <c r="CD631" s="424">
        <f t="shared" si="1335"/>
        <v>0</v>
      </c>
      <c r="CE631" s="424">
        <f t="shared" si="1335"/>
        <v>0</v>
      </c>
      <c r="CF631" s="424">
        <f t="shared" si="1335"/>
        <v>0</v>
      </c>
      <c r="CG631" s="424">
        <f t="shared" si="1335"/>
        <v>0</v>
      </c>
      <c r="CH631" s="424">
        <f t="shared" si="1335"/>
        <v>0</v>
      </c>
      <c r="CI631" s="424">
        <f t="shared" si="1335"/>
        <v>0</v>
      </c>
      <c r="CJ631" s="424">
        <f t="shared" si="1335"/>
        <v>0</v>
      </c>
      <c r="CK631" s="424">
        <f t="shared" si="1335"/>
        <v>0</v>
      </c>
      <c r="CL631" s="424">
        <f t="shared" si="1335"/>
        <v>0</v>
      </c>
      <c r="CM631" s="424">
        <f t="shared" si="1335"/>
        <v>0</v>
      </c>
      <c r="CN631" s="424">
        <f t="shared" si="1335"/>
        <v>0</v>
      </c>
      <c r="CO631" s="424">
        <f t="shared" si="1335"/>
        <v>0</v>
      </c>
      <c r="CP631" s="424">
        <f t="shared" si="1335"/>
        <v>0</v>
      </c>
      <c r="CQ631" s="424">
        <f t="shared" si="1335"/>
        <v>0</v>
      </c>
      <c r="CR631" s="424">
        <f t="shared" si="1335"/>
        <v>0</v>
      </c>
      <c r="CS631" s="424">
        <f t="shared" si="1335"/>
        <v>0</v>
      </c>
      <c r="CT631" s="424">
        <f t="shared" si="1335"/>
        <v>0</v>
      </c>
      <c r="CU631" s="424">
        <f t="shared" si="1335"/>
        <v>0</v>
      </c>
      <c r="CV631" s="424">
        <f t="shared" si="1335"/>
        <v>0</v>
      </c>
      <c r="CW631" s="424">
        <f t="shared" si="1335"/>
        <v>0</v>
      </c>
      <c r="CX631" s="424">
        <f t="shared" si="1335"/>
        <v>0</v>
      </c>
      <c r="CY631" s="424">
        <f t="shared" si="1335"/>
        <v>0</v>
      </c>
      <c r="CZ631" s="424">
        <f t="shared" si="1335"/>
        <v>0</v>
      </c>
      <c r="DA631" s="424">
        <f t="shared" si="1335"/>
        <v>0</v>
      </c>
      <c r="DB631" s="424">
        <f t="shared" ref="DB631:EG631" si="1336">DB261*DB$372</f>
        <v>0</v>
      </c>
      <c r="DC631" s="424">
        <f t="shared" si="1336"/>
        <v>0</v>
      </c>
      <c r="DD631" s="424">
        <f t="shared" si="1336"/>
        <v>0</v>
      </c>
      <c r="DE631" s="424">
        <f t="shared" si="1336"/>
        <v>0</v>
      </c>
      <c r="DF631" s="424">
        <f t="shared" si="1336"/>
        <v>0</v>
      </c>
      <c r="DG631" s="424">
        <f t="shared" si="1336"/>
        <v>0</v>
      </c>
      <c r="DH631" s="424">
        <f t="shared" si="1336"/>
        <v>0</v>
      </c>
      <c r="DI631" s="424">
        <f t="shared" si="1336"/>
        <v>0</v>
      </c>
      <c r="DJ631" s="424">
        <f t="shared" si="1336"/>
        <v>0</v>
      </c>
      <c r="DK631" s="424">
        <f t="shared" si="1336"/>
        <v>0</v>
      </c>
      <c r="DL631" s="424">
        <f t="shared" si="1336"/>
        <v>0</v>
      </c>
      <c r="DM631" s="424">
        <f t="shared" si="1336"/>
        <v>0</v>
      </c>
      <c r="DN631" s="424">
        <f t="shared" si="1336"/>
        <v>0</v>
      </c>
      <c r="DO631" s="424">
        <f t="shared" si="1336"/>
        <v>0</v>
      </c>
      <c r="DP631" s="424">
        <f t="shared" si="1336"/>
        <v>0</v>
      </c>
      <c r="DQ631" s="424">
        <f t="shared" si="1336"/>
        <v>0</v>
      </c>
      <c r="DR631" s="424">
        <f t="shared" si="1336"/>
        <v>0</v>
      </c>
      <c r="DS631" s="424">
        <f t="shared" si="1336"/>
        <v>0</v>
      </c>
      <c r="DT631" s="424">
        <f t="shared" si="1336"/>
        <v>0</v>
      </c>
      <c r="DU631" s="424">
        <f t="shared" si="1336"/>
        <v>0</v>
      </c>
      <c r="DV631" s="424">
        <f t="shared" si="1336"/>
        <v>0</v>
      </c>
      <c r="DW631" s="424">
        <f t="shared" si="1336"/>
        <v>0</v>
      </c>
      <c r="DX631" s="424">
        <f t="shared" si="1336"/>
        <v>0</v>
      </c>
      <c r="DY631" s="424">
        <f t="shared" si="1336"/>
        <v>0</v>
      </c>
      <c r="DZ631" s="424">
        <f t="shared" si="1336"/>
        <v>0</v>
      </c>
      <c r="EA631" s="424">
        <f t="shared" si="1336"/>
        <v>0</v>
      </c>
      <c r="EB631" s="424">
        <f t="shared" si="1336"/>
        <v>0</v>
      </c>
      <c r="EC631" s="424">
        <f t="shared" si="1336"/>
        <v>0</v>
      </c>
      <c r="ED631" s="424">
        <f t="shared" si="1336"/>
        <v>0</v>
      </c>
      <c r="EE631" s="424">
        <f t="shared" si="1336"/>
        <v>0</v>
      </c>
      <c r="EF631" s="424">
        <f t="shared" si="1336"/>
        <v>0</v>
      </c>
      <c r="EG631" s="424">
        <f t="shared" si="1336"/>
        <v>0</v>
      </c>
      <c r="EH631" s="424">
        <f t="shared" ref="EH631:EX631" si="1337">EH261*EH$372</f>
        <v>0</v>
      </c>
      <c r="EI631" s="424">
        <f t="shared" si="1337"/>
        <v>0</v>
      </c>
      <c r="EJ631" s="424">
        <f t="shared" si="1337"/>
        <v>0</v>
      </c>
      <c r="EK631" s="424">
        <f t="shared" si="1337"/>
        <v>0</v>
      </c>
      <c r="EL631" s="424">
        <f t="shared" si="1337"/>
        <v>0</v>
      </c>
      <c r="EM631" s="424">
        <f t="shared" si="1337"/>
        <v>0</v>
      </c>
      <c r="EN631" s="424">
        <f t="shared" si="1337"/>
        <v>0</v>
      </c>
      <c r="EO631" s="424">
        <f t="shared" si="1337"/>
        <v>0</v>
      </c>
      <c r="EP631" s="424">
        <f t="shared" si="1337"/>
        <v>0</v>
      </c>
      <c r="EQ631" s="424">
        <f t="shared" si="1337"/>
        <v>0</v>
      </c>
      <c r="ER631" s="424">
        <f t="shared" si="1337"/>
        <v>0</v>
      </c>
      <c r="ES631" s="424">
        <f t="shared" si="1337"/>
        <v>0</v>
      </c>
      <c r="ET631" s="424">
        <f t="shared" si="1337"/>
        <v>0</v>
      </c>
      <c r="EU631" s="424">
        <f t="shared" si="1337"/>
        <v>0</v>
      </c>
      <c r="EV631" s="424">
        <f t="shared" si="1337"/>
        <v>0</v>
      </c>
      <c r="EW631" s="424">
        <f t="shared" si="1337"/>
        <v>0</v>
      </c>
      <c r="EX631" s="424">
        <f t="shared" si="1337"/>
        <v>0</v>
      </c>
      <c r="EY631" s="425">
        <f t="shared" si="1064"/>
        <v>18</v>
      </c>
    </row>
    <row r="632" spans="1:166" ht="14.7" customHeight="1" x14ac:dyDescent="0.25">
      <c r="A632" s="310">
        <v>258</v>
      </c>
      <c r="B632" s="311" t="str">
        <f t="shared" si="1331"/>
        <v>Персики</v>
      </c>
      <c r="C632" s="483">
        <f t="shared" si="1018"/>
        <v>18</v>
      </c>
      <c r="D632" s="888"/>
      <c r="E632" s="888"/>
      <c r="F632" s="888"/>
      <c r="G632" s="889"/>
      <c r="H632" s="680">
        <f t="shared" ref="H632:H695" si="1338">H262</f>
        <v>338</v>
      </c>
      <c r="I632" s="1209">
        <f t="shared" si="1332"/>
        <v>0</v>
      </c>
      <c r="J632" s="424">
        <f t="shared" ref="J632:AO632" si="1339">J262*J$372</f>
        <v>0</v>
      </c>
      <c r="K632" s="424">
        <f t="shared" si="1339"/>
        <v>0</v>
      </c>
      <c r="L632" s="424">
        <f t="shared" si="1339"/>
        <v>0</v>
      </c>
      <c r="M632" s="424">
        <f t="shared" si="1339"/>
        <v>0</v>
      </c>
      <c r="N632" s="424">
        <f t="shared" si="1339"/>
        <v>0</v>
      </c>
      <c r="O632" s="424">
        <f t="shared" si="1339"/>
        <v>0</v>
      </c>
      <c r="P632" s="424">
        <f t="shared" si="1339"/>
        <v>0</v>
      </c>
      <c r="Q632" s="424">
        <f t="shared" si="1339"/>
        <v>0</v>
      </c>
      <c r="R632" s="424">
        <f t="shared" si="1339"/>
        <v>0</v>
      </c>
      <c r="S632" s="424">
        <f t="shared" si="1339"/>
        <v>0</v>
      </c>
      <c r="T632" s="424">
        <f t="shared" si="1339"/>
        <v>0</v>
      </c>
      <c r="U632" s="424">
        <f t="shared" si="1339"/>
        <v>0</v>
      </c>
      <c r="V632" s="424">
        <f t="shared" si="1339"/>
        <v>0</v>
      </c>
      <c r="W632" s="424">
        <f t="shared" si="1339"/>
        <v>0</v>
      </c>
      <c r="X632" s="424">
        <f t="shared" si="1339"/>
        <v>0</v>
      </c>
      <c r="Y632" s="424">
        <f t="shared" si="1339"/>
        <v>0</v>
      </c>
      <c r="Z632" s="424">
        <f t="shared" si="1339"/>
        <v>0</v>
      </c>
      <c r="AA632" s="424">
        <f t="shared" si="1339"/>
        <v>0</v>
      </c>
      <c r="AB632" s="424">
        <f t="shared" si="1339"/>
        <v>0</v>
      </c>
      <c r="AC632" s="424">
        <f t="shared" si="1339"/>
        <v>0</v>
      </c>
      <c r="AD632" s="424">
        <f t="shared" si="1339"/>
        <v>0</v>
      </c>
      <c r="AE632" s="424">
        <f t="shared" si="1339"/>
        <v>0</v>
      </c>
      <c r="AF632" s="424">
        <f t="shared" si="1339"/>
        <v>0</v>
      </c>
      <c r="AG632" s="424">
        <f t="shared" si="1339"/>
        <v>0</v>
      </c>
      <c r="AH632" s="424">
        <f t="shared" si="1339"/>
        <v>0</v>
      </c>
      <c r="AI632" s="424">
        <f t="shared" si="1339"/>
        <v>0</v>
      </c>
      <c r="AJ632" s="424">
        <f t="shared" si="1339"/>
        <v>0</v>
      </c>
      <c r="AK632" s="424">
        <f t="shared" si="1339"/>
        <v>0</v>
      </c>
      <c r="AL632" s="424">
        <f t="shared" si="1339"/>
        <v>0</v>
      </c>
      <c r="AM632" s="424">
        <f t="shared" si="1339"/>
        <v>0</v>
      </c>
      <c r="AN632" s="424">
        <f t="shared" si="1339"/>
        <v>0</v>
      </c>
      <c r="AO632" s="424">
        <f t="shared" si="1339"/>
        <v>0</v>
      </c>
      <c r="AP632" s="424">
        <f t="shared" ref="AP632:BU632" si="1340">AP262*AP$372</f>
        <v>0</v>
      </c>
      <c r="AQ632" s="424">
        <f t="shared" si="1340"/>
        <v>0</v>
      </c>
      <c r="AR632" s="424">
        <f t="shared" si="1340"/>
        <v>0</v>
      </c>
      <c r="AS632" s="424">
        <f t="shared" si="1340"/>
        <v>0</v>
      </c>
      <c r="AT632" s="424">
        <f t="shared" si="1340"/>
        <v>0</v>
      </c>
      <c r="AU632" s="424">
        <f t="shared" si="1340"/>
        <v>0</v>
      </c>
      <c r="AV632" s="424">
        <f t="shared" si="1340"/>
        <v>0</v>
      </c>
      <c r="AW632" s="424">
        <f t="shared" si="1340"/>
        <v>0</v>
      </c>
      <c r="AX632" s="424">
        <f t="shared" si="1340"/>
        <v>0</v>
      </c>
      <c r="AY632" s="424">
        <f t="shared" si="1340"/>
        <v>0</v>
      </c>
      <c r="AZ632" s="424">
        <f t="shared" si="1340"/>
        <v>0</v>
      </c>
      <c r="BA632" s="424">
        <f t="shared" si="1340"/>
        <v>0</v>
      </c>
      <c r="BB632" s="424">
        <f t="shared" si="1340"/>
        <v>0</v>
      </c>
      <c r="BC632" s="424">
        <f t="shared" si="1340"/>
        <v>0</v>
      </c>
      <c r="BD632" s="424">
        <f t="shared" si="1340"/>
        <v>0</v>
      </c>
      <c r="BE632" s="424">
        <f t="shared" si="1340"/>
        <v>0</v>
      </c>
      <c r="BF632" s="424">
        <f t="shared" si="1340"/>
        <v>0</v>
      </c>
      <c r="BG632" s="424">
        <f t="shared" si="1340"/>
        <v>0</v>
      </c>
      <c r="BH632" s="424">
        <f t="shared" si="1340"/>
        <v>0</v>
      </c>
      <c r="BI632" s="424">
        <f t="shared" si="1340"/>
        <v>0</v>
      </c>
      <c r="BJ632" s="424">
        <f t="shared" si="1340"/>
        <v>0</v>
      </c>
      <c r="BK632" s="424">
        <f t="shared" si="1340"/>
        <v>0</v>
      </c>
      <c r="BL632" s="424">
        <f t="shared" si="1340"/>
        <v>0</v>
      </c>
      <c r="BM632" s="424">
        <f t="shared" si="1340"/>
        <v>0</v>
      </c>
      <c r="BN632" s="424">
        <f t="shared" si="1340"/>
        <v>0</v>
      </c>
      <c r="BO632" s="424">
        <f t="shared" si="1340"/>
        <v>0</v>
      </c>
      <c r="BP632" s="424">
        <f t="shared" si="1340"/>
        <v>18</v>
      </c>
      <c r="BQ632" s="424">
        <f t="shared" si="1340"/>
        <v>0</v>
      </c>
      <c r="BR632" s="424">
        <f t="shared" si="1340"/>
        <v>0</v>
      </c>
      <c r="BS632" s="424">
        <f t="shared" si="1340"/>
        <v>0</v>
      </c>
      <c r="BT632" s="424">
        <f t="shared" si="1340"/>
        <v>0</v>
      </c>
      <c r="BU632" s="424">
        <f t="shared" si="1340"/>
        <v>0</v>
      </c>
      <c r="BV632" s="424">
        <f t="shared" ref="BV632:DA632" si="1341">BV262*BV$372</f>
        <v>0</v>
      </c>
      <c r="BW632" s="424">
        <f t="shared" si="1341"/>
        <v>0</v>
      </c>
      <c r="BX632" s="424">
        <f t="shared" si="1341"/>
        <v>0</v>
      </c>
      <c r="BY632" s="424">
        <f t="shared" si="1341"/>
        <v>0</v>
      </c>
      <c r="BZ632" s="424">
        <f t="shared" si="1341"/>
        <v>0</v>
      </c>
      <c r="CA632" s="424">
        <f t="shared" si="1341"/>
        <v>0</v>
      </c>
      <c r="CB632" s="424">
        <f t="shared" si="1341"/>
        <v>0</v>
      </c>
      <c r="CC632" s="424">
        <f t="shared" si="1341"/>
        <v>0</v>
      </c>
      <c r="CD632" s="424">
        <f t="shared" si="1341"/>
        <v>0</v>
      </c>
      <c r="CE632" s="424">
        <f t="shared" si="1341"/>
        <v>0</v>
      </c>
      <c r="CF632" s="424">
        <f t="shared" si="1341"/>
        <v>0</v>
      </c>
      <c r="CG632" s="424">
        <f t="shared" si="1341"/>
        <v>0</v>
      </c>
      <c r="CH632" s="424">
        <f t="shared" si="1341"/>
        <v>0</v>
      </c>
      <c r="CI632" s="424">
        <f t="shared" si="1341"/>
        <v>0</v>
      </c>
      <c r="CJ632" s="424">
        <f t="shared" si="1341"/>
        <v>0</v>
      </c>
      <c r="CK632" s="424">
        <f t="shared" si="1341"/>
        <v>0</v>
      </c>
      <c r="CL632" s="424">
        <f t="shared" si="1341"/>
        <v>0</v>
      </c>
      <c r="CM632" s="424">
        <f t="shared" si="1341"/>
        <v>0</v>
      </c>
      <c r="CN632" s="424">
        <f t="shared" si="1341"/>
        <v>0</v>
      </c>
      <c r="CO632" s="424">
        <f t="shared" si="1341"/>
        <v>0</v>
      </c>
      <c r="CP632" s="424">
        <f t="shared" si="1341"/>
        <v>0</v>
      </c>
      <c r="CQ632" s="424">
        <f t="shared" si="1341"/>
        <v>0</v>
      </c>
      <c r="CR632" s="424">
        <f t="shared" si="1341"/>
        <v>0</v>
      </c>
      <c r="CS632" s="424">
        <f t="shared" si="1341"/>
        <v>0</v>
      </c>
      <c r="CT632" s="424">
        <f t="shared" si="1341"/>
        <v>0</v>
      </c>
      <c r="CU632" s="424">
        <f t="shared" si="1341"/>
        <v>0</v>
      </c>
      <c r="CV632" s="424">
        <f t="shared" si="1341"/>
        <v>0</v>
      </c>
      <c r="CW632" s="424">
        <f t="shared" si="1341"/>
        <v>0</v>
      </c>
      <c r="CX632" s="424">
        <f t="shared" si="1341"/>
        <v>0</v>
      </c>
      <c r="CY632" s="424">
        <f t="shared" si="1341"/>
        <v>0</v>
      </c>
      <c r="CZ632" s="424">
        <f t="shared" si="1341"/>
        <v>0</v>
      </c>
      <c r="DA632" s="424">
        <f t="shared" si="1341"/>
        <v>0</v>
      </c>
      <c r="DB632" s="424">
        <f t="shared" ref="DB632:EG632" si="1342">DB262*DB$372</f>
        <v>0</v>
      </c>
      <c r="DC632" s="424">
        <f t="shared" si="1342"/>
        <v>0</v>
      </c>
      <c r="DD632" s="424">
        <f t="shared" si="1342"/>
        <v>0</v>
      </c>
      <c r="DE632" s="424">
        <f t="shared" si="1342"/>
        <v>0</v>
      </c>
      <c r="DF632" s="424">
        <f t="shared" si="1342"/>
        <v>0</v>
      </c>
      <c r="DG632" s="424">
        <f t="shared" si="1342"/>
        <v>0</v>
      </c>
      <c r="DH632" s="424">
        <f t="shared" si="1342"/>
        <v>0</v>
      </c>
      <c r="DI632" s="424">
        <f t="shared" si="1342"/>
        <v>0</v>
      </c>
      <c r="DJ632" s="424">
        <f t="shared" si="1342"/>
        <v>0</v>
      </c>
      <c r="DK632" s="424">
        <f t="shared" si="1342"/>
        <v>0</v>
      </c>
      <c r="DL632" s="424">
        <f t="shared" si="1342"/>
        <v>0</v>
      </c>
      <c r="DM632" s="424">
        <f t="shared" si="1342"/>
        <v>0</v>
      </c>
      <c r="DN632" s="424">
        <f t="shared" si="1342"/>
        <v>0</v>
      </c>
      <c r="DO632" s="424">
        <f t="shared" si="1342"/>
        <v>0</v>
      </c>
      <c r="DP632" s="424">
        <f t="shared" si="1342"/>
        <v>0</v>
      </c>
      <c r="DQ632" s="424">
        <f t="shared" si="1342"/>
        <v>0</v>
      </c>
      <c r="DR632" s="424">
        <f t="shared" si="1342"/>
        <v>0</v>
      </c>
      <c r="DS632" s="424">
        <f t="shared" si="1342"/>
        <v>0</v>
      </c>
      <c r="DT632" s="424">
        <f t="shared" si="1342"/>
        <v>0</v>
      </c>
      <c r="DU632" s="424">
        <f t="shared" si="1342"/>
        <v>0</v>
      </c>
      <c r="DV632" s="424">
        <f t="shared" si="1342"/>
        <v>0</v>
      </c>
      <c r="DW632" s="424">
        <f t="shared" si="1342"/>
        <v>0</v>
      </c>
      <c r="DX632" s="424">
        <f t="shared" si="1342"/>
        <v>0</v>
      </c>
      <c r="DY632" s="424">
        <f t="shared" si="1342"/>
        <v>0</v>
      </c>
      <c r="DZ632" s="424">
        <f t="shared" si="1342"/>
        <v>0</v>
      </c>
      <c r="EA632" s="424">
        <f t="shared" si="1342"/>
        <v>0</v>
      </c>
      <c r="EB632" s="424">
        <f t="shared" si="1342"/>
        <v>0</v>
      </c>
      <c r="EC632" s="424">
        <f t="shared" si="1342"/>
        <v>0</v>
      </c>
      <c r="ED632" s="424">
        <f t="shared" si="1342"/>
        <v>0</v>
      </c>
      <c r="EE632" s="424">
        <f t="shared" si="1342"/>
        <v>0</v>
      </c>
      <c r="EF632" s="424">
        <f t="shared" si="1342"/>
        <v>0</v>
      </c>
      <c r="EG632" s="424">
        <f t="shared" si="1342"/>
        <v>0</v>
      </c>
      <c r="EH632" s="424">
        <f t="shared" ref="EH632:EX632" si="1343">EH262*EH$372</f>
        <v>0</v>
      </c>
      <c r="EI632" s="424">
        <f t="shared" si="1343"/>
        <v>0</v>
      </c>
      <c r="EJ632" s="424">
        <f t="shared" si="1343"/>
        <v>0</v>
      </c>
      <c r="EK632" s="424">
        <f t="shared" si="1343"/>
        <v>0</v>
      </c>
      <c r="EL632" s="424">
        <f t="shared" si="1343"/>
        <v>0</v>
      </c>
      <c r="EM632" s="424">
        <f t="shared" si="1343"/>
        <v>0</v>
      </c>
      <c r="EN632" s="424">
        <f t="shared" si="1343"/>
        <v>0</v>
      </c>
      <c r="EO632" s="424">
        <f t="shared" si="1343"/>
        <v>0</v>
      </c>
      <c r="EP632" s="424">
        <f t="shared" si="1343"/>
        <v>0</v>
      </c>
      <c r="EQ632" s="424">
        <f t="shared" si="1343"/>
        <v>0</v>
      </c>
      <c r="ER632" s="424">
        <f t="shared" si="1343"/>
        <v>0</v>
      </c>
      <c r="ES632" s="424">
        <f t="shared" si="1343"/>
        <v>0</v>
      </c>
      <c r="ET632" s="424">
        <f t="shared" si="1343"/>
        <v>0</v>
      </c>
      <c r="EU632" s="424">
        <f t="shared" si="1343"/>
        <v>0</v>
      </c>
      <c r="EV632" s="424">
        <f t="shared" si="1343"/>
        <v>0</v>
      </c>
      <c r="EW632" s="424">
        <f t="shared" si="1343"/>
        <v>0</v>
      </c>
      <c r="EX632" s="424">
        <f t="shared" si="1343"/>
        <v>0</v>
      </c>
      <c r="EY632" s="425">
        <f t="shared" si="1064"/>
        <v>18</v>
      </c>
    </row>
    <row r="633" spans="1:166" ht="14.7" customHeight="1" x14ac:dyDescent="0.25">
      <c r="A633" s="310">
        <v>259</v>
      </c>
      <c r="B633" s="311" t="str">
        <f t="shared" si="1331"/>
        <v>Бананы</v>
      </c>
      <c r="C633" s="483">
        <f t="shared" si="1018"/>
        <v>11.5</v>
      </c>
      <c r="D633" s="888"/>
      <c r="E633" s="888"/>
      <c r="F633" s="888"/>
      <c r="G633" s="889"/>
      <c r="H633" s="680">
        <f t="shared" si="1338"/>
        <v>338</v>
      </c>
      <c r="I633" s="1209">
        <f t="shared" si="1332"/>
        <v>0</v>
      </c>
      <c r="J633" s="424">
        <f t="shared" ref="J633:AO633" si="1344">J263*J$372</f>
        <v>0</v>
      </c>
      <c r="K633" s="424">
        <f t="shared" si="1344"/>
        <v>0</v>
      </c>
      <c r="L633" s="424">
        <f t="shared" si="1344"/>
        <v>0</v>
      </c>
      <c r="M633" s="424">
        <f t="shared" si="1344"/>
        <v>0</v>
      </c>
      <c r="N633" s="424">
        <f t="shared" si="1344"/>
        <v>0</v>
      </c>
      <c r="O633" s="424">
        <f t="shared" si="1344"/>
        <v>0</v>
      </c>
      <c r="P633" s="424">
        <f t="shared" si="1344"/>
        <v>0</v>
      </c>
      <c r="Q633" s="424">
        <f t="shared" si="1344"/>
        <v>0</v>
      </c>
      <c r="R633" s="424">
        <f t="shared" si="1344"/>
        <v>0</v>
      </c>
      <c r="S633" s="424">
        <f t="shared" si="1344"/>
        <v>0</v>
      </c>
      <c r="T633" s="424">
        <f t="shared" si="1344"/>
        <v>0</v>
      </c>
      <c r="U633" s="424">
        <f t="shared" si="1344"/>
        <v>0</v>
      </c>
      <c r="V633" s="424">
        <f t="shared" si="1344"/>
        <v>0</v>
      </c>
      <c r="W633" s="424">
        <f t="shared" si="1344"/>
        <v>0</v>
      </c>
      <c r="X633" s="424">
        <f t="shared" si="1344"/>
        <v>0</v>
      </c>
      <c r="Y633" s="424">
        <f t="shared" si="1344"/>
        <v>0</v>
      </c>
      <c r="Z633" s="424">
        <f t="shared" si="1344"/>
        <v>0</v>
      </c>
      <c r="AA633" s="424">
        <f t="shared" si="1344"/>
        <v>0</v>
      </c>
      <c r="AB633" s="424">
        <f t="shared" si="1344"/>
        <v>0</v>
      </c>
      <c r="AC633" s="424">
        <f t="shared" si="1344"/>
        <v>0</v>
      </c>
      <c r="AD633" s="424">
        <f t="shared" si="1344"/>
        <v>0</v>
      </c>
      <c r="AE633" s="424">
        <f t="shared" si="1344"/>
        <v>0</v>
      </c>
      <c r="AF633" s="424">
        <f t="shared" si="1344"/>
        <v>0</v>
      </c>
      <c r="AG633" s="424">
        <f t="shared" si="1344"/>
        <v>0</v>
      </c>
      <c r="AH633" s="424">
        <f t="shared" si="1344"/>
        <v>0</v>
      </c>
      <c r="AI633" s="424">
        <f t="shared" si="1344"/>
        <v>0</v>
      </c>
      <c r="AJ633" s="424">
        <f t="shared" si="1344"/>
        <v>0</v>
      </c>
      <c r="AK633" s="424">
        <f t="shared" si="1344"/>
        <v>0</v>
      </c>
      <c r="AL633" s="424">
        <f t="shared" si="1344"/>
        <v>0</v>
      </c>
      <c r="AM633" s="424">
        <f t="shared" si="1344"/>
        <v>0</v>
      </c>
      <c r="AN633" s="424">
        <f t="shared" si="1344"/>
        <v>0</v>
      </c>
      <c r="AO633" s="424">
        <f t="shared" si="1344"/>
        <v>0</v>
      </c>
      <c r="AP633" s="424">
        <f t="shared" ref="AP633:BU633" si="1345">AP263*AP$372</f>
        <v>0</v>
      </c>
      <c r="AQ633" s="424">
        <f t="shared" si="1345"/>
        <v>0</v>
      </c>
      <c r="AR633" s="424">
        <f t="shared" si="1345"/>
        <v>0</v>
      </c>
      <c r="AS633" s="424">
        <f t="shared" si="1345"/>
        <v>0</v>
      </c>
      <c r="AT633" s="424">
        <f t="shared" si="1345"/>
        <v>0</v>
      </c>
      <c r="AU633" s="424">
        <f t="shared" si="1345"/>
        <v>0</v>
      </c>
      <c r="AV633" s="424">
        <f t="shared" si="1345"/>
        <v>0</v>
      </c>
      <c r="AW633" s="424">
        <f t="shared" si="1345"/>
        <v>0</v>
      </c>
      <c r="AX633" s="424">
        <f t="shared" si="1345"/>
        <v>0</v>
      </c>
      <c r="AY633" s="424">
        <f t="shared" si="1345"/>
        <v>0</v>
      </c>
      <c r="AZ633" s="424">
        <f t="shared" si="1345"/>
        <v>0</v>
      </c>
      <c r="BA633" s="424">
        <f t="shared" si="1345"/>
        <v>0</v>
      </c>
      <c r="BB633" s="424">
        <f t="shared" si="1345"/>
        <v>0</v>
      </c>
      <c r="BC633" s="424">
        <f t="shared" si="1345"/>
        <v>0</v>
      </c>
      <c r="BD633" s="424">
        <f t="shared" si="1345"/>
        <v>0</v>
      </c>
      <c r="BE633" s="424">
        <f t="shared" si="1345"/>
        <v>0</v>
      </c>
      <c r="BF633" s="424">
        <f t="shared" si="1345"/>
        <v>0</v>
      </c>
      <c r="BG633" s="424">
        <f t="shared" si="1345"/>
        <v>0</v>
      </c>
      <c r="BH633" s="424">
        <f t="shared" si="1345"/>
        <v>0</v>
      </c>
      <c r="BI633" s="424">
        <f t="shared" si="1345"/>
        <v>0</v>
      </c>
      <c r="BJ633" s="424">
        <f t="shared" si="1345"/>
        <v>0</v>
      </c>
      <c r="BK633" s="424">
        <f t="shared" si="1345"/>
        <v>0</v>
      </c>
      <c r="BL633" s="424">
        <f t="shared" si="1345"/>
        <v>0</v>
      </c>
      <c r="BM633" s="424">
        <f t="shared" si="1345"/>
        <v>11.5</v>
      </c>
      <c r="BN633" s="424">
        <f t="shared" si="1345"/>
        <v>0</v>
      </c>
      <c r="BO633" s="424">
        <f t="shared" si="1345"/>
        <v>0</v>
      </c>
      <c r="BP633" s="424">
        <f t="shared" si="1345"/>
        <v>0</v>
      </c>
      <c r="BQ633" s="424">
        <f t="shared" si="1345"/>
        <v>0</v>
      </c>
      <c r="BR633" s="424">
        <f t="shared" si="1345"/>
        <v>0</v>
      </c>
      <c r="BS633" s="424">
        <f t="shared" si="1345"/>
        <v>0</v>
      </c>
      <c r="BT633" s="424">
        <f t="shared" si="1345"/>
        <v>0</v>
      </c>
      <c r="BU633" s="424">
        <f t="shared" si="1345"/>
        <v>0</v>
      </c>
      <c r="BV633" s="424">
        <f t="shared" ref="BV633:DA633" si="1346">BV263*BV$372</f>
        <v>0</v>
      </c>
      <c r="BW633" s="424">
        <f t="shared" si="1346"/>
        <v>0</v>
      </c>
      <c r="BX633" s="424">
        <f t="shared" si="1346"/>
        <v>0</v>
      </c>
      <c r="BY633" s="424">
        <f t="shared" si="1346"/>
        <v>0</v>
      </c>
      <c r="BZ633" s="424">
        <f t="shared" si="1346"/>
        <v>0</v>
      </c>
      <c r="CA633" s="424">
        <f t="shared" si="1346"/>
        <v>0</v>
      </c>
      <c r="CB633" s="424">
        <f t="shared" si="1346"/>
        <v>0</v>
      </c>
      <c r="CC633" s="424">
        <f t="shared" si="1346"/>
        <v>0</v>
      </c>
      <c r="CD633" s="424">
        <f t="shared" si="1346"/>
        <v>0</v>
      </c>
      <c r="CE633" s="424">
        <f t="shared" si="1346"/>
        <v>0</v>
      </c>
      <c r="CF633" s="424">
        <f t="shared" si="1346"/>
        <v>0</v>
      </c>
      <c r="CG633" s="424">
        <f t="shared" si="1346"/>
        <v>0</v>
      </c>
      <c r="CH633" s="424">
        <f t="shared" si="1346"/>
        <v>0</v>
      </c>
      <c r="CI633" s="424">
        <f t="shared" si="1346"/>
        <v>0</v>
      </c>
      <c r="CJ633" s="424">
        <f t="shared" si="1346"/>
        <v>0</v>
      </c>
      <c r="CK633" s="424">
        <f t="shared" si="1346"/>
        <v>0</v>
      </c>
      <c r="CL633" s="424">
        <f t="shared" si="1346"/>
        <v>0</v>
      </c>
      <c r="CM633" s="424">
        <f t="shared" si="1346"/>
        <v>0</v>
      </c>
      <c r="CN633" s="424">
        <f t="shared" si="1346"/>
        <v>0</v>
      </c>
      <c r="CO633" s="424">
        <f t="shared" si="1346"/>
        <v>0</v>
      </c>
      <c r="CP633" s="424">
        <f t="shared" si="1346"/>
        <v>0</v>
      </c>
      <c r="CQ633" s="424">
        <f t="shared" si="1346"/>
        <v>0</v>
      </c>
      <c r="CR633" s="424">
        <f t="shared" si="1346"/>
        <v>0</v>
      </c>
      <c r="CS633" s="424">
        <f t="shared" si="1346"/>
        <v>0</v>
      </c>
      <c r="CT633" s="424">
        <f t="shared" si="1346"/>
        <v>0</v>
      </c>
      <c r="CU633" s="424">
        <f t="shared" si="1346"/>
        <v>0</v>
      </c>
      <c r="CV633" s="424">
        <f t="shared" si="1346"/>
        <v>0</v>
      </c>
      <c r="CW633" s="424">
        <f t="shared" si="1346"/>
        <v>0</v>
      </c>
      <c r="CX633" s="424">
        <f t="shared" si="1346"/>
        <v>0</v>
      </c>
      <c r="CY633" s="424">
        <f t="shared" si="1346"/>
        <v>0</v>
      </c>
      <c r="CZ633" s="424">
        <f t="shared" si="1346"/>
        <v>0</v>
      </c>
      <c r="DA633" s="424">
        <f t="shared" si="1346"/>
        <v>0</v>
      </c>
      <c r="DB633" s="424">
        <f t="shared" ref="DB633:EG633" si="1347">DB263*DB$372</f>
        <v>0</v>
      </c>
      <c r="DC633" s="424">
        <f t="shared" si="1347"/>
        <v>0</v>
      </c>
      <c r="DD633" s="424">
        <f t="shared" si="1347"/>
        <v>0</v>
      </c>
      <c r="DE633" s="424">
        <f t="shared" si="1347"/>
        <v>0</v>
      </c>
      <c r="DF633" s="424">
        <f t="shared" si="1347"/>
        <v>0</v>
      </c>
      <c r="DG633" s="424">
        <f t="shared" si="1347"/>
        <v>0</v>
      </c>
      <c r="DH633" s="424">
        <f t="shared" si="1347"/>
        <v>0</v>
      </c>
      <c r="DI633" s="424">
        <f t="shared" si="1347"/>
        <v>0</v>
      </c>
      <c r="DJ633" s="424">
        <f t="shared" si="1347"/>
        <v>0</v>
      </c>
      <c r="DK633" s="424">
        <f t="shared" si="1347"/>
        <v>0</v>
      </c>
      <c r="DL633" s="424">
        <f t="shared" si="1347"/>
        <v>0</v>
      </c>
      <c r="DM633" s="424">
        <f t="shared" si="1347"/>
        <v>0</v>
      </c>
      <c r="DN633" s="424">
        <f t="shared" si="1347"/>
        <v>0</v>
      </c>
      <c r="DO633" s="424">
        <f t="shared" si="1347"/>
        <v>0</v>
      </c>
      <c r="DP633" s="424">
        <f t="shared" si="1347"/>
        <v>0</v>
      </c>
      <c r="DQ633" s="424">
        <f t="shared" si="1347"/>
        <v>0</v>
      </c>
      <c r="DR633" s="424">
        <f t="shared" si="1347"/>
        <v>0</v>
      </c>
      <c r="DS633" s="424">
        <f t="shared" si="1347"/>
        <v>0</v>
      </c>
      <c r="DT633" s="424">
        <f t="shared" si="1347"/>
        <v>0</v>
      </c>
      <c r="DU633" s="424">
        <f t="shared" si="1347"/>
        <v>0</v>
      </c>
      <c r="DV633" s="424">
        <f t="shared" si="1347"/>
        <v>0</v>
      </c>
      <c r="DW633" s="424">
        <f t="shared" si="1347"/>
        <v>0</v>
      </c>
      <c r="DX633" s="424">
        <f t="shared" si="1347"/>
        <v>0</v>
      </c>
      <c r="DY633" s="424">
        <f t="shared" si="1347"/>
        <v>0</v>
      </c>
      <c r="DZ633" s="424">
        <f t="shared" si="1347"/>
        <v>0</v>
      </c>
      <c r="EA633" s="424">
        <f t="shared" si="1347"/>
        <v>0</v>
      </c>
      <c r="EB633" s="424">
        <f t="shared" si="1347"/>
        <v>0</v>
      </c>
      <c r="EC633" s="424">
        <f t="shared" si="1347"/>
        <v>0</v>
      </c>
      <c r="ED633" s="424">
        <f t="shared" si="1347"/>
        <v>0</v>
      </c>
      <c r="EE633" s="424">
        <f t="shared" si="1347"/>
        <v>0</v>
      </c>
      <c r="EF633" s="424">
        <f t="shared" si="1347"/>
        <v>0</v>
      </c>
      <c r="EG633" s="424">
        <f t="shared" si="1347"/>
        <v>0</v>
      </c>
      <c r="EH633" s="424">
        <f t="shared" ref="EH633:EX633" si="1348">EH263*EH$372</f>
        <v>0</v>
      </c>
      <c r="EI633" s="424">
        <f t="shared" si="1348"/>
        <v>0</v>
      </c>
      <c r="EJ633" s="424">
        <f t="shared" si="1348"/>
        <v>0</v>
      </c>
      <c r="EK633" s="424">
        <f t="shared" si="1348"/>
        <v>0</v>
      </c>
      <c r="EL633" s="424">
        <f t="shared" si="1348"/>
        <v>0</v>
      </c>
      <c r="EM633" s="424">
        <f t="shared" si="1348"/>
        <v>0</v>
      </c>
      <c r="EN633" s="424">
        <f t="shared" si="1348"/>
        <v>0</v>
      </c>
      <c r="EO633" s="424">
        <f t="shared" si="1348"/>
        <v>0</v>
      </c>
      <c r="EP633" s="424">
        <f t="shared" si="1348"/>
        <v>0</v>
      </c>
      <c r="EQ633" s="424">
        <f t="shared" si="1348"/>
        <v>0</v>
      </c>
      <c r="ER633" s="424">
        <f t="shared" si="1348"/>
        <v>0</v>
      </c>
      <c r="ES633" s="424">
        <f t="shared" si="1348"/>
        <v>0</v>
      </c>
      <c r="ET633" s="424">
        <f t="shared" si="1348"/>
        <v>0</v>
      </c>
      <c r="EU633" s="424">
        <f t="shared" si="1348"/>
        <v>0</v>
      </c>
      <c r="EV633" s="424">
        <f t="shared" si="1348"/>
        <v>0</v>
      </c>
      <c r="EW633" s="424">
        <f t="shared" si="1348"/>
        <v>0</v>
      </c>
      <c r="EX633" s="424">
        <f t="shared" si="1348"/>
        <v>0</v>
      </c>
      <c r="EY633" s="425">
        <f t="shared" si="1064"/>
        <v>11.5</v>
      </c>
    </row>
    <row r="634" spans="1:166" s="919" customFormat="1" ht="14.7" customHeight="1" x14ac:dyDescent="0.25">
      <c r="A634" s="310">
        <v>260</v>
      </c>
      <c r="B634" s="311" t="str">
        <f t="shared" si="1331"/>
        <v>Бананы</v>
      </c>
      <c r="C634" s="483">
        <f t="shared" si="1018"/>
        <v>18.399999999999999</v>
      </c>
      <c r="D634" s="888"/>
      <c r="E634" s="888"/>
      <c r="F634" s="888"/>
      <c r="G634" s="889"/>
      <c r="H634" s="680">
        <f t="shared" si="1338"/>
        <v>338</v>
      </c>
      <c r="I634" s="1209">
        <f t="shared" si="1332"/>
        <v>0</v>
      </c>
      <c r="J634" s="424">
        <f t="shared" ref="J634:AO634" si="1349">J264*J$372</f>
        <v>0</v>
      </c>
      <c r="K634" s="424">
        <f t="shared" si="1349"/>
        <v>0</v>
      </c>
      <c r="L634" s="424">
        <f t="shared" si="1349"/>
        <v>0</v>
      </c>
      <c r="M634" s="424">
        <f t="shared" si="1349"/>
        <v>0</v>
      </c>
      <c r="N634" s="424">
        <f t="shared" si="1349"/>
        <v>0</v>
      </c>
      <c r="O634" s="424">
        <f t="shared" si="1349"/>
        <v>0</v>
      </c>
      <c r="P634" s="424">
        <f t="shared" si="1349"/>
        <v>0</v>
      </c>
      <c r="Q634" s="424">
        <f t="shared" si="1349"/>
        <v>0</v>
      </c>
      <c r="R634" s="424">
        <f t="shared" si="1349"/>
        <v>0</v>
      </c>
      <c r="S634" s="424">
        <f t="shared" si="1349"/>
        <v>0</v>
      </c>
      <c r="T634" s="424">
        <f t="shared" si="1349"/>
        <v>0</v>
      </c>
      <c r="U634" s="424">
        <f t="shared" si="1349"/>
        <v>0</v>
      </c>
      <c r="V634" s="424">
        <f t="shared" si="1349"/>
        <v>0</v>
      </c>
      <c r="W634" s="424">
        <f t="shared" si="1349"/>
        <v>0</v>
      </c>
      <c r="X634" s="424">
        <f t="shared" si="1349"/>
        <v>0</v>
      </c>
      <c r="Y634" s="424">
        <f t="shared" si="1349"/>
        <v>0</v>
      </c>
      <c r="Z634" s="424">
        <f t="shared" si="1349"/>
        <v>0</v>
      </c>
      <c r="AA634" s="424">
        <f t="shared" si="1349"/>
        <v>0</v>
      </c>
      <c r="AB634" s="424">
        <f t="shared" si="1349"/>
        <v>0</v>
      </c>
      <c r="AC634" s="424">
        <f t="shared" si="1349"/>
        <v>0</v>
      </c>
      <c r="AD634" s="424">
        <f t="shared" si="1349"/>
        <v>0</v>
      </c>
      <c r="AE634" s="424">
        <f t="shared" si="1349"/>
        <v>0</v>
      </c>
      <c r="AF634" s="424">
        <f t="shared" si="1349"/>
        <v>0</v>
      </c>
      <c r="AG634" s="424">
        <f t="shared" si="1349"/>
        <v>0</v>
      </c>
      <c r="AH634" s="424">
        <f t="shared" si="1349"/>
        <v>0</v>
      </c>
      <c r="AI634" s="424">
        <f t="shared" si="1349"/>
        <v>0</v>
      </c>
      <c r="AJ634" s="424">
        <f t="shared" si="1349"/>
        <v>0</v>
      </c>
      <c r="AK634" s="424">
        <f t="shared" si="1349"/>
        <v>0</v>
      </c>
      <c r="AL634" s="424">
        <f t="shared" si="1349"/>
        <v>0</v>
      </c>
      <c r="AM634" s="424">
        <f t="shared" si="1349"/>
        <v>0</v>
      </c>
      <c r="AN634" s="424">
        <f t="shared" si="1349"/>
        <v>0</v>
      </c>
      <c r="AO634" s="424">
        <f t="shared" si="1349"/>
        <v>0</v>
      </c>
      <c r="AP634" s="424">
        <f t="shared" ref="AP634:BU634" si="1350">AP264*AP$372</f>
        <v>0</v>
      </c>
      <c r="AQ634" s="424">
        <f t="shared" si="1350"/>
        <v>0</v>
      </c>
      <c r="AR634" s="424">
        <f t="shared" si="1350"/>
        <v>0</v>
      </c>
      <c r="AS634" s="424">
        <f t="shared" si="1350"/>
        <v>0</v>
      </c>
      <c r="AT634" s="424">
        <f t="shared" si="1350"/>
        <v>0</v>
      </c>
      <c r="AU634" s="424">
        <f t="shared" si="1350"/>
        <v>0</v>
      </c>
      <c r="AV634" s="424">
        <f t="shared" si="1350"/>
        <v>0</v>
      </c>
      <c r="AW634" s="424">
        <f t="shared" si="1350"/>
        <v>0</v>
      </c>
      <c r="AX634" s="424">
        <f t="shared" si="1350"/>
        <v>0</v>
      </c>
      <c r="AY634" s="424">
        <f t="shared" si="1350"/>
        <v>0</v>
      </c>
      <c r="AZ634" s="424">
        <f t="shared" si="1350"/>
        <v>0</v>
      </c>
      <c r="BA634" s="424">
        <f t="shared" si="1350"/>
        <v>0</v>
      </c>
      <c r="BB634" s="424">
        <f t="shared" si="1350"/>
        <v>0</v>
      </c>
      <c r="BC634" s="424">
        <f t="shared" si="1350"/>
        <v>0</v>
      </c>
      <c r="BD634" s="424">
        <f t="shared" si="1350"/>
        <v>0</v>
      </c>
      <c r="BE634" s="424">
        <f t="shared" si="1350"/>
        <v>0</v>
      </c>
      <c r="BF634" s="424">
        <f t="shared" si="1350"/>
        <v>0</v>
      </c>
      <c r="BG634" s="424">
        <f t="shared" si="1350"/>
        <v>0</v>
      </c>
      <c r="BH634" s="424">
        <f t="shared" si="1350"/>
        <v>0</v>
      </c>
      <c r="BI634" s="424">
        <f t="shared" si="1350"/>
        <v>0</v>
      </c>
      <c r="BJ634" s="424">
        <f t="shared" si="1350"/>
        <v>0</v>
      </c>
      <c r="BK634" s="424">
        <f t="shared" si="1350"/>
        <v>0</v>
      </c>
      <c r="BL634" s="424">
        <f t="shared" si="1350"/>
        <v>0</v>
      </c>
      <c r="BM634" s="424">
        <f t="shared" si="1350"/>
        <v>18.399999999999999</v>
      </c>
      <c r="BN634" s="424">
        <f t="shared" si="1350"/>
        <v>0</v>
      </c>
      <c r="BO634" s="424">
        <f t="shared" si="1350"/>
        <v>0</v>
      </c>
      <c r="BP634" s="424">
        <f t="shared" si="1350"/>
        <v>0</v>
      </c>
      <c r="BQ634" s="424">
        <f t="shared" si="1350"/>
        <v>0</v>
      </c>
      <c r="BR634" s="424">
        <f t="shared" si="1350"/>
        <v>0</v>
      </c>
      <c r="BS634" s="424">
        <f t="shared" si="1350"/>
        <v>0</v>
      </c>
      <c r="BT634" s="424">
        <f t="shared" si="1350"/>
        <v>0</v>
      </c>
      <c r="BU634" s="424">
        <f t="shared" si="1350"/>
        <v>0</v>
      </c>
      <c r="BV634" s="424">
        <f t="shared" ref="BV634:DA634" si="1351">BV264*BV$372</f>
        <v>0</v>
      </c>
      <c r="BW634" s="424">
        <f t="shared" si="1351"/>
        <v>0</v>
      </c>
      <c r="BX634" s="424">
        <f t="shared" si="1351"/>
        <v>0</v>
      </c>
      <c r="BY634" s="424">
        <f t="shared" si="1351"/>
        <v>0</v>
      </c>
      <c r="BZ634" s="424">
        <f t="shared" si="1351"/>
        <v>0</v>
      </c>
      <c r="CA634" s="424">
        <f t="shared" si="1351"/>
        <v>0</v>
      </c>
      <c r="CB634" s="424">
        <f t="shared" si="1351"/>
        <v>0</v>
      </c>
      <c r="CC634" s="424">
        <f t="shared" si="1351"/>
        <v>0</v>
      </c>
      <c r="CD634" s="424">
        <f t="shared" si="1351"/>
        <v>0</v>
      </c>
      <c r="CE634" s="424">
        <f t="shared" si="1351"/>
        <v>0</v>
      </c>
      <c r="CF634" s="424">
        <f t="shared" si="1351"/>
        <v>0</v>
      </c>
      <c r="CG634" s="424">
        <f t="shared" si="1351"/>
        <v>0</v>
      </c>
      <c r="CH634" s="424">
        <f t="shared" si="1351"/>
        <v>0</v>
      </c>
      <c r="CI634" s="424">
        <f t="shared" si="1351"/>
        <v>0</v>
      </c>
      <c r="CJ634" s="424">
        <f t="shared" si="1351"/>
        <v>0</v>
      </c>
      <c r="CK634" s="424">
        <f t="shared" si="1351"/>
        <v>0</v>
      </c>
      <c r="CL634" s="424">
        <f t="shared" si="1351"/>
        <v>0</v>
      </c>
      <c r="CM634" s="424">
        <f t="shared" si="1351"/>
        <v>0</v>
      </c>
      <c r="CN634" s="424">
        <f t="shared" si="1351"/>
        <v>0</v>
      </c>
      <c r="CO634" s="424">
        <f t="shared" si="1351"/>
        <v>0</v>
      </c>
      <c r="CP634" s="424">
        <f t="shared" si="1351"/>
        <v>0</v>
      </c>
      <c r="CQ634" s="424">
        <f t="shared" si="1351"/>
        <v>0</v>
      </c>
      <c r="CR634" s="424">
        <f t="shared" si="1351"/>
        <v>0</v>
      </c>
      <c r="CS634" s="424">
        <f t="shared" si="1351"/>
        <v>0</v>
      </c>
      <c r="CT634" s="424">
        <f t="shared" si="1351"/>
        <v>0</v>
      </c>
      <c r="CU634" s="424">
        <f t="shared" si="1351"/>
        <v>0</v>
      </c>
      <c r="CV634" s="424">
        <f t="shared" si="1351"/>
        <v>0</v>
      </c>
      <c r="CW634" s="424">
        <f t="shared" si="1351"/>
        <v>0</v>
      </c>
      <c r="CX634" s="424">
        <f t="shared" si="1351"/>
        <v>0</v>
      </c>
      <c r="CY634" s="424">
        <f t="shared" si="1351"/>
        <v>0</v>
      </c>
      <c r="CZ634" s="424">
        <f t="shared" si="1351"/>
        <v>0</v>
      </c>
      <c r="DA634" s="424">
        <f t="shared" si="1351"/>
        <v>0</v>
      </c>
      <c r="DB634" s="424">
        <f t="shared" ref="DB634:EG634" si="1352">DB264*DB$372</f>
        <v>0</v>
      </c>
      <c r="DC634" s="424">
        <f t="shared" si="1352"/>
        <v>0</v>
      </c>
      <c r="DD634" s="424">
        <f t="shared" si="1352"/>
        <v>0</v>
      </c>
      <c r="DE634" s="424">
        <f t="shared" si="1352"/>
        <v>0</v>
      </c>
      <c r="DF634" s="424">
        <f t="shared" si="1352"/>
        <v>0</v>
      </c>
      <c r="DG634" s="424">
        <f t="shared" si="1352"/>
        <v>0</v>
      </c>
      <c r="DH634" s="424">
        <f t="shared" si="1352"/>
        <v>0</v>
      </c>
      <c r="DI634" s="424">
        <f t="shared" si="1352"/>
        <v>0</v>
      </c>
      <c r="DJ634" s="424">
        <f t="shared" si="1352"/>
        <v>0</v>
      </c>
      <c r="DK634" s="424">
        <f t="shared" si="1352"/>
        <v>0</v>
      </c>
      <c r="DL634" s="424">
        <f t="shared" si="1352"/>
        <v>0</v>
      </c>
      <c r="DM634" s="424">
        <f t="shared" si="1352"/>
        <v>0</v>
      </c>
      <c r="DN634" s="424">
        <f t="shared" si="1352"/>
        <v>0</v>
      </c>
      <c r="DO634" s="424">
        <f t="shared" si="1352"/>
        <v>0</v>
      </c>
      <c r="DP634" s="424">
        <f t="shared" si="1352"/>
        <v>0</v>
      </c>
      <c r="DQ634" s="424">
        <f t="shared" si="1352"/>
        <v>0</v>
      </c>
      <c r="DR634" s="424">
        <f t="shared" si="1352"/>
        <v>0</v>
      </c>
      <c r="DS634" s="424">
        <f t="shared" si="1352"/>
        <v>0</v>
      </c>
      <c r="DT634" s="424">
        <f t="shared" si="1352"/>
        <v>0</v>
      </c>
      <c r="DU634" s="424">
        <f t="shared" si="1352"/>
        <v>0</v>
      </c>
      <c r="DV634" s="424">
        <f t="shared" si="1352"/>
        <v>0</v>
      </c>
      <c r="DW634" s="424">
        <f t="shared" si="1352"/>
        <v>0</v>
      </c>
      <c r="DX634" s="424">
        <f t="shared" si="1352"/>
        <v>0</v>
      </c>
      <c r="DY634" s="424">
        <f t="shared" si="1352"/>
        <v>0</v>
      </c>
      <c r="DZ634" s="424">
        <f t="shared" si="1352"/>
        <v>0</v>
      </c>
      <c r="EA634" s="424">
        <f t="shared" si="1352"/>
        <v>0</v>
      </c>
      <c r="EB634" s="424">
        <f t="shared" si="1352"/>
        <v>0</v>
      </c>
      <c r="EC634" s="424">
        <f t="shared" si="1352"/>
        <v>0</v>
      </c>
      <c r="ED634" s="424">
        <f t="shared" si="1352"/>
        <v>0</v>
      </c>
      <c r="EE634" s="424">
        <f t="shared" si="1352"/>
        <v>0</v>
      </c>
      <c r="EF634" s="424">
        <f t="shared" si="1352"/>
        <v>0</v>
      </c>
      <c r="EG634" s="424">
        <f t="shared" si="1352"/>
        <v>0</v>
      </c>
      <c r="EH634" s="424">
        <f t="shared" ref="EH634:EX634" si="1353">EH264*EH$372</f>
        <v>0</v>
      </c>
      <c r="EI634" s="424">
        <f t="shared" si="1353"/>
        <v>0</v>
      </c>
      <c r="EJ634" s="424">
        <f t="shared" si="1353"/>
        <v>0</v>
      </c>
      <c r="EK634" s="424">
        <f t="shared" si="1353"/>
        <v>0</v>
      </c>
      <c r="EL634" s="424">
        <f t="shared" si="1353"/>
        <v>0</v>
      </c>
      <c r="EM634" s="424">
        <f t="shared" si="1353"/>
        <v>0</v>
      </c>
      <c r="EN634" s="424">
        <f t="shared" si="1353"/>
        <v>0</v>
      </c>
      <c r="EO634" s="424">
        <f t="shared" si="1353"/>
        <v>0</v>
      </c>
      <c r="EP634" s="424">
        <f t="shared" si="1353"/>
        <v>0</v>
      </c>
      <c r="EQ634" s="424">
        <f t="shared" si="1353"/>
        <v>0</v>
      </c>
      <c r="ER634" s="424">
        <f t="shared" si="1353"/>
        <v>0</v>
      </c>
      <c r="ES634" s="424">
        <f t="shared" si="1353"/>
        <v>0</v>
      </c>
      <c r="ET634" s="424">
        <f t="shared" si="1353"/>
        <v>0</v>
      </c>
      <c r="EU634" s="424">
        <f t="shared" si="1353"/>
        <v>0</v>
      </c>
      <c r="EV634" s="424">
        <f t="shared" si="1353"/>
        <v>0</v>
      </c>
      <c r="EW634" s="424">
        <f t="shared" si="1353"/>
        <v>0</v>
      </c>
      <c r="EX634" s="424">
        <f t="shared" si="1353"/>
        <v>0</v>
      </c>
      <c r="EY634" s="425">
        <f t="shared" si="1064"/>
        <v>18.399999999999999</v>
      </c>
      <c r="EZ634" s="616"/>
      <c r="FA634" s="616"/>
      <c r="FB634" s="616"/>
      <c r="FC634" s="616"/>
      <c r="FD634" s="616"/>
      <c r="FE634" s="616"/>
      <c r="FF634" s="616"/>
      <c r="FG634" s="616"/>
      <c r="FH634" s="616"/>
      <c r="FI634" s="616"/>
      <c r="FJ634" s="616"/>
    </row>
    <row r="635" spans="1:166" s="407" customFormat="1" ht="14.7" customHeight="1" x14ac:dyDescent="0.25">
      <c r="A635" s="310">
        <v>261</v>
      </c>
      <c r="B635" s="311" t="str">
        <f t="shared" si="1331"/>
        <v>Виноград столовый</v>
      </c>
      <c r="C635" s="483">
        <f t="shared" ref="C635:C647" si="1354">EY635</f>
        <v>26.25</v>
      </c>
      <c r="D635" s="888"/>
      <c r="E635" s="888"/>
      <c r="F635" s="888"/>
      <c r="G635" s="889"/>
      <c r="H635" s="680">
        <f t="shared" si="1338"/>
        <v>338</v>
      </c>
      <c r="I635" s="1209">
        <f t="shared" si="1332"/>
        <v>0</v>
      </c>
      <c r="J635" s="424">
        <f t="shared" ref="J635:AO635" si="1355">J265*J$372</f>
        <v>0</v>
      </c>
      <c r="K635" s="424">
        <f t="shared" si="1355"/>
        <v>0</v>
      </c>
      <c r="L635" s="424">
        <f t="shared" si="1355"/>
        <v>0</v>
      </c>
      <c r="M635" s="424">
        <f t="shared" si="1355"/>
        <v>0</v>
      </c>
      <c r="N635" s="424">
        <f t="shared" si="1355"/>
        <v>0</v>
      </c>
      <c r="O635" s="424">
        <f t="shared" si="1355"/>
        <v>0</v>
      </c>
      <c r="P635" s="424">
        <f t="shared" si="1355"/>
        <v>0</v>
      </c>
      <c r="Q635" s="424">
        <f t="shared" si="1355"/>
        <v>0</v>
      </c>
      <c r="R635" s="424">
        <f t="shared" si="1355"/>
        <v>0</v>
      </c>
      <c r="S635" s="424">
        <f t="shared" si="1355"/>
        <v>0</v>
      </c>
      <c r="T635" s="424">
        <f t="shared" si="1355"/>
        <v>0</v>
      </c>
      <c r="U635" s="424">
        <f t="shared" si="1355"/>
        <v>0</v>
      </c>
      <c r="V635" s="424">
        <f t="shared" si="1355"/>
        <v>0</v>
      </c>
      <c r="W635" s="424">
        <f t="shared" si="1355"/>
        <v>0</v>
      </c>
      <c r="X635" s="424">
        <f t="shared" si="1355"/>
        <v>0</v>
      </c>
      <c r="Y635" s="424">
        <f t="shared" si="1355"/>
        <v>0</v>
      </c>
      <c r="Z635" s="424">
        <f t="shared" si="1355"/>
        <v>0</v>
      </c>
      <c r="AA635" s="424">
        <f t="shared" si="1355"/>
        <v>0</v>
      </c>
      <c r="AB635" s="424">
        <f t="shared" si="1355"/>
        <v>0</v>
      </c>
      <c r="AC635" s="424">
        <f t="shared" si="1355"/>
        <v>0</v>
      </c>
      <c r="AD635" s="424">
        <f t="shared" si="1355"/>
        <v>0</v>
      </c>
      <c r="AE635" s="424">
        <f t="shared" si="1355"/>
        <v>0</v>
      </c>
      <c r="AF635" s="424">
        <f t="shared" si="1355"/>
        <v>0</v>
      </c>
      <c r="AG635" s="424">
        <f t="shared" si="1355"/>
        <v>0</v>
      </c>
      <c r="AH635" s="424">
        <f t="shared" si="1355"/>
        <v>0</v>
      </c>
      <c r="AI635" s="424">
        <f t="shared" si="1355"/>
        <v>0</v>
      </c>
      <c r="AJ635" s="424">
        <f t="shared" si="1355"/>
        <v>0</v>
      </c>
      <c r="AK635" s="424">
        <f t="shared" si="1355"/>
        <v>0</v>
      </c>
      <c r="AL635" s="424">
        <f t="shared" si="1355"/>
        <v>0</v>
      </c>
      <c r="AM635" s="424">
        <f t="shared" si="1355"/>
        <v>0</v>
      </c>
      <c r="AN635" s="424">
        <f t="shared" si="1355"/>
        <v>0</v>
      </c>
      <c r="AO635" s="424">
        <f t="shared" si="1355"/>
        <v>0</v>
      </c>
      <c r="AP635" s="424">
        <f t="shared" ref="AP635:BU635" si="1356">AP265*AP$372</f>
        <v>0</v>
      </c>
      <c r="AQ635" s="424">
        <f t="shared" si="1356"/>
        <v>0</v>
      </c>
      <c r="AR635" s="424">
        <f t="shared" si="1356"/>
        <v>0</v>
      </c>
      <c r="AS635" s="424">
        <f t="shared" si="1356"/>
        <v>0</v>
      </c>
      <c r="AT635" s="424">
        <f t="shared" si="1356"/>
        <v>0</v>
      </c>
      <c r="AU635" s="424">
        <f t="shared" si="1356"/>
        <v>0</v>
      </c>
      <c r="AV635" s="424">
        <f t="shared" si="1356"/>
        <v>0</v>
      </c>
      <c r="AW635" s="424">
        <f t="shared" si="1356"/>
        <v>0</v>
      </c>
      <c r="AX635" s="424">
        <f t="shared" si="1356"/>
        <v>0</v>
      </c>
      <c r="AY635" s="424">
        <f t="shared" si="1356"/>
        <v>0</v>
      </c>
      <c r="AZ635" s="424">
        <f t="shared" si="1356"/>
        <v>0</v>
      </c>
      <c r="BA635" s="424">
        <f t="shared" si="1356"/>
        <v>0</v>
      </c>
      <c r="BB635" s="424">
        <f t="shared" si="1356"/>
        <v>0</v>
      </c>
      <c r="BC635" s="424">
        <f t="shared" si="1356"/>
        <v>0</v>
      </c>
      <c r="BD635" s="424">
        <f t="shared" si="1356"/>
        <v>0</v>
      </c>
      <c r="BE635" s="424">
        <f t="shared" si="1356"/>
        <v>0</v>
      </c>
      <c r="BF635" s="424">
        <f t="shared" si="1356"/>
        <v>0</v>
      </c>
      <c r="BG635" s="424">
        <f t="shared" si="1356"/>
        <v>0</v>
      </c>
      <c r="BH635" s="424">
        <f t="shared" si="1356"/>
        <v>0</v>
      </c>
      <c r="BI635" s="424">
        <f t="shared" si="1356"/>
        <v>0</v>
      </c>
      <c r="BJ635" s="424">
        <f t="shared" si="1356"/>
        <v>0</v>
      </c>
      <c r="BK635" s="424">
        <f t="shared" si="1356"/>
        <v>0</v>
      </c>
      <c r="BL635" s="424">
        <f t="shared" si="1356"/>
        <v>0</v>
      </c>
      <c r="BM635" s="424">
        <f t="shared" si="1356"/>
        <v>0</v>
      </c>
      <c r="BN635" s="424">
        <f t="shared" si="1356"/>
        <v>0</v>
      </c>
      <c r="BO635" s="424">
        <f t="shared" si="1356"/>
        <v>0</v>
      </c>
      <c r="BP635" s="424">
        <f t="shared" si="1356"/>
        <v>0</v>
      </c>
      <c r="BQ635" s="424">
        <f t="shared" si="1356"/>
        <v>26.25</v>
      </c>
      <c r="BR635" s="424">
        <f t="shared" si="1356"/>
        <v>0</v>
      </c>
      <c r="BS635" s="424">
        <f t="shared" si="1356"/>
        <v>0</v>
      </c>
      <c r="BT635" s="424">
        <f t="shared" si="1356"/>
        <v>0</v>
      </c>
      <c r="BU635" s="424">
        <f t="shared" si="1356"/>
        <v>0</v>
      </c>
      <c r="BV635" s="424">
        <f t="shared" ref="BV635:DA635" si="1357">BV265*BV$372</f>
        <v>0</v>
      </c>
      <c r="BW635" s="424">
        <f t="shared" si="1357"/>
        <v>0</v>
      </c>
      <c r="BX635" s="424">
        <f t="shared" si="1357"/>
        <v>0</v>
      </c>
      <c r="BY635" s="424">
        <f t="shared" si="1357"/>
        <v>0</v>
      </c>
      <c r="BZ635" s="424">
        <f t="shared" si="1357"/>
        <v>0</v>
      </c>
      <c r="CA635" s="424">
        <f t="shared" si="1357"/>
        <v>0</v>
      </c>
      <c r="CB635" s="424">
        <f t="shared" si="1357"/>
        <v>0</v>
      </c>
      <c r="CC635" s="424">
        <f t="shared" si="1357"/>
        <v>0</v>
      </c>
      <c r="CD635" s="424">
        <f t="shared" si="1357"/>
        <v>0</v>
      </c>
      <c r="CE635" s="424">
        <f t="shared" si="1357"/>
        <v>0</v>
      </c>
      <c r="CF635" s="424">
        <f t="shared" si="1357"/>
        <v>0</v>
      </c>
      <c r="CG635" s="424">
        <f t="shared" si="1357"/>
        <v>0</v>
      </c>
      <c r="CH635" s="424">
        <f t="shared" si="1357"/>
        <v>0</v>
      </c>
      <c r="CI635" s="424">
        <f t="shared" si="1357"/>
        <v>0</v>
      </c>
      <c r="CJ635" s="424">
        <f t="shared" si="1357"/>
        <v>0</v>
      </c>
      <c r="CK635" s="424">
        <f t="shared" si="1357"/>
        <v>0</v>
      </c>
      <c r="CL635" s="424">
        <f t="shared" si="1357"/>
        <v>0</v>
      </c>
      <c r="CM635" s="424">
        <f t="shared" si="1357"/>
        <v>0</v>
      </c>
      <c r="CN635" s="424">
        <f t="shared" si="1357"/>
        <v>0</v>
      </c>
      <c r="CO635" s="424">
        <f t="shared" si="1357"/>
        <v>0</v>
      </c>
      <c r="CP635" s="424">
        <f t="shared" si="1357"/>
        <v>0</v>
      </c>
      <c r="CQ635" s="424">
        <f t="shared" si="1357"/>
        <v>0</v>
      </c>
      <c r="CR635" s="424">
        <f t="shared" si="1357"/>
        <v>0</v>
      </c>
      <c r="CS635" s="424">
        <f t="shared" si="1357"/>
        <v>0</v>
      </c>
      <c r="CT635" s="424">
        <f t="shared" si="1357"/>
        <v>0</v>
      </c>
      <c r="CU635" s="424">
        <f t="shared" si="1357"/>
        <v>0</v>
      </c>
      <c r="CV635" s="424">
        <f t="shared" si="1357"/>
        <v>0</v>
      </c>
      <c r="CW635" s="424">
        <f t="shared" si="1357"/>
        <v>0</v>
      </c>
      <c r="CX635" s="424">
        <f t="shared" si="1357"/>
        <v>0</v>
      </c>
      <c r="CY635" s="424">
        <f t="shared" si="1357"/>
        <v>0</v>
      </c>
      <c r="CZ635" s="424">
        <f t="shared" si="1357"/>
        <v>0</v>
      </c>
      <c r="DA635" s="424">
        <f t="shared" si="1357"/>
        <v>0</v>
      </c>
      <c r="DB635" s="424">
        <f t="shared" ref="DB635:EG635" si="1358">DB265*DB$372</f>
        <v>0</v>
      </c>
      <c r="DC635" s="424">
        <f t="shared" si="1358"/>
        <v>0</v>
      </c>
      <c r="DD635" s="424">
        <f t="shared" si="1358"/>
        <v>0</v>
      </c>
      <c r="DE635" s="424">
        <f t="shared" si="1358"/>
        <v>0</v>
      </c>
      <c r="DF635" s="424">
        <f t="shared" si="1358"/>
        <v>0</v>
      </c>
      <c r="DG635" s="424">
        <f t="shared" si="1358"/>
        <v>0</v>
      </c>
      <c r="DH635" s="424">
        <f t="shared" si="1358"/>
        <v>0</v>
      </c>
      <c r="DI635" s="424">
        <f t="shared" si="1358"/>
        <v>0</v>
      </c>
      <c r="DJ635" s="424">
        <f t="shared" si="1358"/>
        <v>0</v>
      </c>
      <c r="DK635" s="424">
        <f t="shared" si="1358"/>
        <v>0</v>
      </c>
      <c r="DL635" s="424">
        <f t="shared" si="1358"/>
        <v>0</v>
      </c>
      <c r="DM635" s="424">
        <f t="shared" si="1358"/>
        <v>0</v>
      </c>
      <c r="DN635" s="424">
        <f t="shared" si="1358"/>
        <v>0</v>
      </c>
      <c r="DO635" s="424">
        <f t="shared" si="1358"/>
        <v>0</v>
      </c>
      <c r="DP635" s="424">
        <f t="shared" si="1358"/>
        <v>0</v>
      </c>
      <c r="DQ635" s="424">
        <f t="shared" si="1358"/>
        <v>0</v>
      </c>
      <c r="DR635" s="424">
        <f t="shared" si="1358"/>
        <v>0</v>
      </c>
      <c r="DS635" s="424">
        <f t="shared" si="1358"/>
        <v>0</v>
      </c>
      <c r="DT635" s="424">
        <f t="shared" si="1358"/>
        <v>0</v>
      </c>
      <c r="DU635" s="424">
        <f t="shared" si="1358"/>
        <v>0</v>
      </c>
      <c r="DV635" s="424">
        <f t="shared" si="1358"/>
        <v>0</v>
      </c>
      <c r="DW635" s="424">
        <f t="shared" si="1358"/>
        <v>0</v>
      </c>
      <c r="DX635" s="424">
        <f t="shared" si="1358"/>
        <v>0</v>
      </c>
      <c r="DY635" s="424">
        <f t="shared" si="1358"/>
        <v>0</v>
      </c>
      <c r="DZ635" s="424">
        <f t="shared" si="1358"/>
        <v>0</v>
      </c>
      <c r="EA635" s="424">
        <f t="shared" si="1358"/>
        <v>0</v>
      </c>
      <c r="EB635" s="424">
        <f t="shared" si="1358"/>
        <v>0</v>
      </c>
      <c r="EC635" s="424">
        <f t="shared" si="1358"/>
        <v>0</v>
      </c>
      <c r="ED635" s="424">
        <f t="shared" si="1358"/>
        <v>0</v>
      </c>
      <c r="EE635" s="424">
        <f t="shared" si="1358"/>
        <v>0</v>
      </c>
      <c r="EF635" s="424">
        <f t="shared" si="1358"/>
        <v>0</v>
      </c>
      <c r="EG635" s="424">
        <f t="shared" si="1358"/>
        <v>0</v>
      </c>
      <c r="EH635" s="424">
        <f t="shared" ref="EH635:EX635" si="1359">EH265*EH$372</f>
        <v>0</v>
      </c>
      <c r="EI635" s="424">
        <f t="shared" si="1359"/>
        <v>0</v>
      </c>
      <c r="EJ635" s="424">
        <f t="shared" si="1359"/>
        <v>0</v>
      </c>
      <c r="EK635" s="424">
        <f t="shared" si="1359"/>
        <v>0</v>
      </c>
      <c r="EL635" s="424">
        <f t="shared" si="1359"/>
        <v>0</v>
      </c>
      <c r="EM635" s="424">
        <f t="shared" si="1359"/>
        <v>0</v>
      </c>
      <c r="EN635" s="424">
        <f t="shared" si="1359"/>
        <v>0</v>
      </c>
      <c r="EO635" s="424">
        <f t="shared" si="1359"/>
        <v>0</v>
      </c>
      <c r="EP635" s="424">
        <f t="shared" si="1359"/>
        <v>0</v>
      </c>
      <c r="EQ635" s="424">
        <f t="shared" si="1359"/>
        <v>0</v>
      </c>
      <c r="ER635" s="424">
        <f t="shared" si="1359"/>
        <v>0</v>
      </c>
      <c r="ES635" s="424">
        <f t="shared" si="1359"/>
        <v>0</v>
      </c>
      <c r="ET635" s="424">
        <f t="shared" si="1359"/>
        <v>0</v>
      </c>
      <c r="EU635" s="424">
        <f t="shared" si="1359"/>
        <v>0</v>
      </c>
      <c r="EV635" s="424">
        <f t="shared" si="1359"/>
        <v>0</v>
      </c>
      <c r="EW635" s="424">
        <f t="shared" si="1359"/>
        <v>0</v>
      </c>
      <c r="EX635" s="424">
        <f t="shared" si="1359"/>
        <v>0</v>
      </c>
      <c r="EY635" s="425">
        <f t="shared" si="1064"/>
        <v>26.25</v>
      </c>
      <c r="EZ635" s="616"/>
      <c r="FA635" s="616"/>
      <c r="FB635" s="616"/>
      <c r="FC635" s="616"/>
      <c r="FD635" s="616"/>
      <c r="FE635" s="616"/>
      <c r="FF635" s="616"/>
      <c r="FG635" s="616"/>
      <c r="FH635" s="616"/>
      <c r="FI635" s="616"/>
      <c r="FJ635" s="616"/>
    </row>
    <row r="636" spans="1:166" ht="14.7" customHeight="1" x14ac:dyDescent="0.25">
      <c r="A636" s="310">
        <v>262</v>
      </c>
      <c r="B636" s="311" t="str">
        <f t="shared" si="1331"/>
        <v>Черешня с сахаром</v>
      </c>
      <c r="C636" s="483">
        <f t="shared" si="1354"/>
        <v>17.940000000000001</v>
      </c>
      <c r="D636" s="888"/>
      <c r="E636" s="888"/>
      <c r="F636" s="888"/>
      <c r="G636" s="889"/>
      <c r="H636" s="680">
        <f t="shared" si="1338"/>
        <v>339</v>
      </c>
      <c r="I636" s="1209">
        <f t="shared" si="1332"/>
        <v>0</v>
      </c>
      <c r="J636" s="424">
        <f t="shared" ref="J636:AO636" si="1360">J266*J$372</f>
        <v>0</v>
      </c>
      <c r="K636" s="424">
        <f t="shared" si="1360"/>
        <v>0</v>
      </c>
      <c r="L636" s="424">
        <f t="shared" si="1360"/>
        <v>0</v>
      </c>
      <c r="M636" s="424">
        <f t="shared" si="1360"/>
        <v>0</v>
      </c>
      <c r="N636" s="424">
        <f t="shared" si="1360"/>
        <v>0</v>
      </c>
      <c r="O636" s="424">
        <f t="shared" si="1360"/>
        <v>0</v>
      </c>
      <c r="P636" s="424">
        <f t="shared" si="1360"/>
        <v>0</v>
      </c>
      <c r="Q636" s="424">
        <f t="shared" si="1360"/>
        <v>0</v>
      </c>
      <c r="R636" s="424">
        <f t="shared" si="1360"/>
        <v>0</v>
      </c>
      <c r="S636" s="424">
        <f t="shared" si="1360"/>
        <v>0</v>
      </c>
      <c r="T636" s="424">
        <f t="shared" si="1360"/>
        <v>0</v>
      </c>
      <c r="U636" s="424">
        <f t="shared" si="1360"/>
        <v>0</v>
      </c>
      <c r="V636" s="424">
        <f t="shared" si="1360"/>
        <v>0</v>
      </c>
      <c r="W636" s="424">
        <f t="shared" si="1360"/>
        <v>0</v>
      </c>
      <c r="X636" s="424">
        <f t="shared" si="1360"/>
        <v>0</v>
      </c>
      <c r="Y636" s="424">
        <f t="shared" si="1360"/>
        <v>0</v>
      </c>
      <c r="Z636" s="424">
        <f t="shared" si="1360"/>
        <v>0</v>
      </c>
      <c r="AA636" s="424">
        <f t="shared" si="1360"/>
        <v>0</v>
      </c>
      <c r="AB636" s="424">
        <f t="shared" si="1360"/>
        <v>0</v>
      </c>
      <c r="AC636" s="424">
        <f t="shared" si="1360"/>
        <v>0</v>
      </c>
      <c r="AD636" s="424">
        <f t="shared" si="1360"/>
        <v>0</v>
      </c>
      <c r="AE636" s="424">
        <f t="shared" si="1360"/>
        <v>0</v>
      </c>
      <c r="AF636" s="424">
        <f t="shared" si="1360"/>
        <v>0</v>
      </c>
      <c r="AG636" s="424">
        <f t="shared" si="1360"/>
        <v>0</v>
      </c>
      <c r="AH636" s="424">
        <f t="shared" si="1360"/>
        <v>0</v>
      </c>
      <c r="AI636" s="424">
        <f t="shared" si="1360"/>
        <v>0</v>
      </c>
      <c r="AJ636" s="424">
        <f t="shared" si="1360"/>
        <v>0</v>
      </c>
      <c r="AK636" s="424">
        <f t="shared" si="1360"/>
        <v>0</v>
      </c>
      <c r="AL636" s="424">
        <f t="shared" si="1360"/>
        <v>0</v>
      </c>
      <c r="AM636" s="424">
        <f t="shared" si="1360"/>
        <v>0</v>
      </c>
      <c r="AN636" s="424">
        <f t="shared" si="1360"/>
        <v>0</v>
      </c>
      <c r="AO636" s="424">
        <f t="shared" si="1360"/>
        <v>0</v>
      </c>
      <c r="AP636" s="424">
        <f t="shared" ref="AP636:BU636" si="1361">AP266*AP$372</f>
        <v>0</v>
      </c>
      <c r="AQ636" s="424">
        <f t="shared" si="1361"/>
        <v>0</v>
      </c>
      <c r="AR636" s="424">
        <f t="shared" si="1361"/>
        <v>0</v>
      </c>
      <c r="AS636" s="424">
        <f t="shared" si="1361"/>
        <v>0</v>
      </c>
      <c r="AT636" s="424">
        <f t="shared" si="1361"/>
        <v>0</v>
      </c>
      <c r="AU636" s="424">
        <f t="shared" si="1361"/>
        <v>0</v>
      </c>
      <c r="AV636" s="424">
        <f t="shared" si="1361"/>
        <v>0</v>
      </c>
      <c r="AW636" s="424">
        <f t="shared" si="1361"/>
        <v>0</v>
      </c>
      <c r="AX636" s="424">
        <f t="shared" si="1361"/>
        <v>0</v>
      </c>
      <c r="AY636" s="424">
        <f t="shared" si="1361"/>
        <v>0</v>
      </c>
      <c r="AZ636" s="424">
        <f t="shared" si="1361"/>
        <v>0</v>
      </c>
      <c r="BA636" s="424">
        <f t="shared" si="1361"/>
        <v>0</v>
      </c>
      <c r="BB636" s="424">
        <f t="shared" si="1361"/>
        <v>0</v>
      </c>
      <c r="BC636" s="424">
        <f t="shared" si="1361"/>
        <v>0</v>
      </c>
      <c r="BD636" s="424">
        <f t="shared" si="1361"/>
        <v>16.8</v>
      </c>
      <c r="BE636" s="424">
        <f t="shared" si="1361"/>
        <v>0</v>
      </c>
      <c r="BF636" s="424">
        <f t="shared" si="1361"/>
        <v>0</v>
      </c>
      <c r="BG636" s="424">
        <f t="shared" si="1361"/>
        <v>0</v>
      </c>
      <c r="BH636" s="424">
        <f t="shared" si="1361"/>
        <v>0</v>
      </c>
      <c r="BI636" s="424">
        <f t="shared" si="1361"/>
        <v>0</v>
      </c>
      <c r="BJ636" s="424">
        <f t="shared" si="1361"/>
        <v>0</v>
      </c>
      <c r="BK636" s="424">
        <f t="shared" si="1361"/>
        <v>0</v>
      </c>
      <c r="BL636" s="424">
        <f t="shared" si="1361"/>
        <v>0</v>
      </c>
      <c r="BM636" s="424">
        <f t="shared" si="1361"/>
        <v>0</v>
      </c>
      <c r="BN636" s="424">
        <f t="shared" si="1361"/>
        <v>0</v>
      </c>
      <c r="BO636" s="424">
        <f t="shared" si="1361"/>
        <v>0</v>
      </c>
      <c r="BP636" s="424">
        <f t="shared" si="1361"/>
        <v>0</v>
      </c>
      <c r="BQ636" s="424">
        <f t="shared" si="1361"/>
        <v>0</v>
      </c>
      <c r="BR636" s="424">
        <f t="shared" si="1361"/>
        <v>0</v>
      </c>
      <c r="BS636" s="424">
        <f t="shared" si="1361"/>
        <v>0</v>
      </c>
      <c r="BT636" s="424">
        <f t="shared" si="1361"/>
        <v>0</v>
      </c>
      <c r="BU636" s="424">
        <f t="shared" si="1361"/>
        <v>0</v>
      </c>
      <c r="BV636" s="424">
        <f t="shared" ref="BV636:DA636" si="1362">BV266*BV$372</f>
        <v>0</v>
      </c>
      <c r="BW636" s="424">
        <f t="shared" si="1362"/>
        <v>0</v>
      </c>
      <c r="BX636" s="424">
        <f t="shared" si="1362"/>
        <v>0</v>
      </c>
      <c r="BY636" s="424">
        <f t="shared" si="1362"/>
        <v>0</v>
      </c>
      <c r="BZ636" s="424">
        <f t="shared" si="1362"/>
        <v>0</v>
      </c>
      <c r="CA636" s="424">
        <f t="shared" si="1362"/>
        <v>0</v>
      </c>
      <c r="CB636" s="424">
        <f t="shared" si="1362"/>
        <v>0</v>
      </c>
      <c r="CC636" s="424">
        <f t="shared" si="1362"/>
        <v>0</v>
      </c>
      <c r="CD636" s="424">
        <f t="shared" si="1362"/>
        <v>0</v>
      </c>
      <c r="CE636" s="424">
        <f t="shared" si="1362"/>
        <v>0</v>
      </c>
      <c r="CF636" s="424">
        <f t="shared" si="1362"/>
        <v>0</v>
      </c>
      <c r="CG636" s="424">
        <f t="shared" si="1362"/>
        <v>0</v>
      </c>
      <c r="CH636" s="424">
        <f t="shared" si="1362"/>
        <v>0</v>
      </c>
      <c r="CI636" s="424">
        <f t="shared" si="1362"/>
        <v>0</v>
      </c>
      <c r="CJ636" s="424">
        <f t="shared" si="1362"/>
        <v>0</v>
      </c>
      <c r="CK636" s="424">
        <f t="shared" si="1362"/>
        <v>0</v>
      </c>
      <c r="CL636" s="424">
        <f t="shared" si="1362"/>
        <v>0</v>
      </c>
      <c r="CM636" s="424">
        <f t="shared" si="1362"/>
        <v>0</v>
      </c>
      <c r="CN636" s="424">
        <f t="shared" si="1362"/>
        <v>0</v>
      </c>
      <c r="CO636" s="424">
        <f t="shared" si="1362"/>
        <v>0</v>
      </c>
      <c r="CP636" s="424">
        <f t="shared" si="1362"/>
        <v>0</v>
      </c>
      <c r="CQ636" s="424">
        <f t="shared" si="1362"/>
        <v>0</v>
      </c>
      <c r="CR636" s="424">
        <f t="shared" si="1362"/>
        <v>0</v>
      </c>
      <c r="CS636" s="424">
        <f t="shared" si="1362"/>
        <v>0</v>
      </c>
      <c r="CT636" s="424">
        <f t="shared" si="1362"/>
        <v>0</v>
      </c>
      <c r="CU636" s="424">
        <f t="shared" si="1362"/>
        <v>0</v>
      </c>
      <c r="CV636" s="424">
        <f t="shared" si="1362"/>
        <v>0</v>
      </c>
      <c r="CW636" s="424">
        <f t="shared" si="1362"/>
        <v>0</v>
      </c>
      <c r="CX636" s="424">
        <f t="shared" si="1362"/>
        <v>0</v>
      </c>
      <c r="CY636" s="424">
        <f t="shared" si="1362"/>
        <v>0</v>
      </c>
      <c r="CZ636" s="424">
        <f t="shared" si="1362"/>
        <v>1.1399999999999999</v>
      </c>
      <c r="DA636" s="424">
        <f t="shared" si="1362"/>
        <v>0</v>
      </c>
      <c r="DB636" s="424">
        <f t="shared" ref="DB636:EG636" si="1363">DB266*DB$372</f>
        <v>0</v>
      </c>
      <c r="DC636" s="424">
        <f t="shared" si="1363"/>
        <v>0</v>
      </c>
      <c r="DD636" s="424">
        <f t="shared" si="1363"/>
        <v>0</v>
      </c>
      <c r="DE636" s="424">
        <f t="shared" si="1363"/>
        <v>0</v>
      </c>
      <c r="DF636" s="424">
        <f t="shared" si="1363"/>
        <v>0</v>
      </c>
      <c r="DG636" s="424">
        <f t="shared" si="1363"/>
        <v>0</v>
      </c>
      <c r="DH636" s="424">
        <f t="shared" si="1363"/>
        <v>0</v>
      </c>
      <c r="DI636" s="424">
        <f t="shared" si="1363"/>
        <v>0</v>
      </c>
      <c r="DJ636" s="424">
        <f t="shared" si="1363"/>
        <v>0</v>
      </c>
      <c r="DK636" s="424">
        <f t="shared" si="1363"/>
        <v>0</v>
      </c>
      <c r="DL636" s="424">
        <f t="shared" si="1363"/>
        <v>0</v>
      </c>
      <c r="DM636" s="424">
        <f t="shared" si="1363"/>
        <v>0</v>
      </c>
      <c r="DN636" s="424">
        <f t="shared" si="1363"/>
        <v>0</v>
      </c>
      <c r="DO636" s="424">
        <f t="shared" si="1363"/>
        <v>0</v>
      </c>
      <c r="DP636" s="424">
        <f t="shared" si="1363"/>
        <v>0</v>
      </c>
      <c r="DQ636" s="424">
        <f t="shared" si="1363"/>
        <v>0</v>
      </c>
      <c r="DR636" s="424">
        <f t="shared" si="1363"/>
        <v>0</v>
      </c>
      <c r="DS636" s="424">
        <f t="shared" si="1363"/>
        <v>0</v>
      </c>
      <c r="DT636" s="424">
        <f t="shared" si="1363"/>
        <v>0</v>
      </c>
      <c r="DU636" s="424">
        <f t="shared" si="1363"/>
        <v>0</v>
      </c>
      <c r="DV636" s="424">
        <f t="shared" si="1363"/>
        <v>0</v>
      </c>
      <c r="DW636" s="424">
        <f t="shared" si="1363"/>
        <v>0</v>
      </c>
      <c r="DX636" s="424">
        <f t="shared" si="1363"/>
        <v>0</v>
      </c>
      <c r="DY636" s="424">
        <f t="shared" si="1363"/>
        <v>0</v>
      </c>
      <c r="DZ636" s="424">
        <f t="shared" si="1363"/>
        <v>0</v>
      </c>
      <c r="EA636" s="424">
        <f t="shared" si="1363"/>
        <v>0</v>
      </c>
      <c r="EB636" s="424">
        <f t="shared" si="1363"/>
        <v>0</v>
      </c>
      <c r="EC636" s="424">
        <f t="shared" si="1363"/>
        <v>0</v>
      </c>
      <c r="ED636" s="424">
        <f t="shared" si="1363"/>
        <v>0</v>
      </c>
      <c r="EE636" s="424">
        <f t="shared" si="1363"/>
        <v>0</v>
      </c>
      <c r="EF636" s="424">
        <f t="shared" si="1363"/>
        <v>0</v>
      </c>
      <c r="EG636" s="424">
        <f t="shared" si="1363"/>
        <v>0</v>
      </c>
      <c r="EH636" s="424">
        <f t="shared" ref="EH636:EX636" si="1364">EH266*EH$372</f>
        <v>0</v>
      </c>
      <c r="EI636" s="424">
        <f t="shared" si="1364"/>
        <v>0</v>
      </c>
      <c r="EJ636" s="424">
        <f t="shared" si="1364"/>
        <v>0</v>
      </c>
      <c r="EK636" s="424">
        <f t="shared" si="1364"/>
        <v>0</v>
      </c>
      <c r="EL636" s="424">
        <f t="shared" si="1364"/>
        <v>0</v>
      </c>
      <c r="EM636" s="424">
        <f t="shared" si="1364"/>
        <v>0</v>
      </c>
      <c r="EN636" s="424">
        <f t="shared" si="1364"/>
        <v>0</v>
      </c>
      <c r="EO636" s="424">
        <f t="shared" si="1364"/>
        <v>0</v>
      </c>
      <c r="EP636" s="424">
        <f t="shared" si="1364"/>
        <v>0</v>
      </c>
      <c r="EQ636" s="424">
        <f t="shared" si="1364"/>
        <v>0</v>
      </c>
      <c r="ER636" s="424">
        <f t="shared" si="1364"/>
        <v>0</v>
      </c>
      <c r="ES636" s="424">
        <f t="shared" si="1364"/>
        <v>0</v>
      </c>
      <c r="ET636" s="424">
        <f t="shared" si="1364"/>
        <v>0</v>
      </c>
      <c r="EU636" s="424">
        <f t="shared" si="1364"/>
        <v>0</v>
      </c>
      <c r="EV636" s="424">
        <f t="shared" si="1364"/>
        <v>0</v>
      </c>
      <c r="EW636" s="424">
        <f t="shared" si="1364"/>
        <v>0</v>
      </c>
      <c r="EX636" s="424">
        <f t="shared" si="1364"/>
        <v>0</v>
      </c>
      <c r="EY636" s="425">
        <f t="shared" si="1064"/>
        <v>17.940000000000001</v>
      </c>
    </row>
    <row r="637" spans="1:166" ht="14.7" customHeight="1" x14ac:dyDescent="0.25">
      <c r="A637" s="310">
        <v>263</v>
      </c>
      <c r="B637" s="311" t="str">
        <f t="shared" si="1331"/>
        <v>Земляника садовая с сахаром</v>
      </c>
      <c r="C637" s="483">
        <f t="shared" si="1354"/>
        <v>20.02</v>
      </c>
      <c r="D637" s="888"/>
      <c r="E637" s="888"/>
      <c r="F637" s="888"/>
      <c r="G637" s="889"/>
      <c r="H637" s="680">
        <f t="shared" si="1338"/>
        <v>339</v>
      </c>
      <c r="I637" s="1209">
        <f t="shared" si="1332"/>
        <v>0</v>
      </c>
      <c r="J637" s="424">
        <f t="shared" ref="J637:AO637" si="1365">J267*J$372</f>
        <v>0</v>
      </c>
      <c r="K637" s="424">
        <f t="shared" si="1365"/>
        <v>0</v>
      </c>
      <c r="L637" s="424">
        <f t="shared" si="1365"/>
        <v>0</v>
      </c>
      <c r="M637" s="424">
        <f t="shared" si="1365"/>
        <v>0</v>
      </c>
      <c r="N637" s="424">
        <f t="shared" si="1365"/>
        <v>0</v>
      </c>
      <c r="O637" s="424">
        <f t="shared" si="1365"/>
        <v>0</v>
      </c>
      <c r="P637" s="424">
        <f t="shared" si="1365"/>
        <v>0</v>
      </c>
      <c r="Q637" s="424">
        <f t="shared" si="1365"/>
        <v>0</v>
      </c>
      <c r="R637" s="424">
        <f t="shared" si="1365"/>
        <v>0</v>
      </c>
      <c r="S637" s="424">
        <f t="shared" si="1365"/>
        <v>0</v>
      </c>
      <c r="T637" s="424">
        <f t="shared" si="1365"/>
        <v>0</v>
      </c>
      <c r="U637" s="424">
        <f t="shared" si="1365"/>
        <v>0</v>
      </c>
      <c r="V637" s="424">
        <f t="shared" si="1365"/>
        <v>0</v>
      </c>
      <c r="W637" s="424">
        <f t="shared" si="1365"/>
        <v>0</v>
      </c>
      <c r="X637" s="424">
        <f t="shared" si="1365"/>
        <v>0</v>
      </c>
      <c r="Y637" s="424">
        <f t="shared" si="1365"/>
        <v>0</v>
      </c>
      <c r="Z637" s="424">
        <f t="shared" si="1365"/>
        <v>0</v>
      </c>
      <c r="AA637" s="424">
        <f t="shared" si="1365"/>
        <v>0</v>
      </c>
      <c r="AB637" s="424">
        <f t="shared" si="1365"/>
        <v>0</v>
      </c>
      <c r="AC637" s="424">
        <f t="shared" si="1365"/>
        <v>0</v>
      </c>
      <c r="AD637" s="424">
        <f t="shared" si="1365"/>
        <v>0</v>
      </c>
      <c r="AE637" s="424">
        <f t="shared" si="1365"/>
        <v>0</v>
      </c>
      <c r="AF637" s="424">
        <f t="shared" si="1365"/>
        <v>0</v>
      </c>
      <c r="AG637" s="424">
        <f t="shared" si="1365"/>
        <v>0</v>
      </c>
      <c r="AH637" s="424">
        <f t="shared" si="1365"/>
        <v>0</v>
      </c>
      <c r="AI637" s="424">
        <f t="shared" si="1365"/>
        <v>0</v>
      </c>
      <c r="AJ637" s="424">
        <f t="shared" si="1365"/>
        <v>0</v>
      </c>
      <c r="AK637" s="424">
        <f t="shared" si="1365"/>
        <v>0</v>
      </c>
      <c r="AL637" s="424">
        <f t="shared" si="1365"/>
        <v>0</v>
      </c>
      <c r="AM637" s="424">
        <f t="shared" si="1365"/>
        <v>0</v>
      </c>
      <c r="AN637" s="424">
        <f t="shared" si="1365"/>
        <v>0</v>
      </c>
      <c r="AO637" s="424">
        <f t="shared" si="1365"/>
        <v>0</v>
      </c>
      <c r="AP637" s="424">
        <f t="shared" ref="AP637:BU637" si="1366">AP267*AP$372</f>
        <v>0</v>
      </c>
      <c r="AQ637" s="424">
        <f t="shared" si="1366"/>
        <v>0</v>
      </c>
      <c r="AR637" s="424">
        <f t="shared" si="1366"/>
        <v>0</v>
      </c>
      <c r="AS637" s="424">
        <f t="shared" si="1366"/>
        <v>0</v>
      </c>
      <c r="AT637" s="424">
        <f t="shared" si="1366"/>
        <v>0</v>
      </c>
      <c r="AU637" s="424">
        <f t="shared" si="1366"/>
        <v>0</v>
      </c>
      <c r="AV637" s="424">
        <f t="shared" si="1366"/>
        <v>0</v>
      </c>
      <c r="AW637" s="424">
        <f t="shared" si="1366"/>
        <v>0</v>
      </c>
      <c r="AX637" s="424">
        <f t="shared" si="1366"/>
        <v>0</v>
      </c>
      <c r="AY637" s="424">
        <f t="shared" si="1366"/>
        <v>0</v>
      </c>
      <c r="AZ637" s="424">
        <f t="shared" si="1366"/>
        <v>0</v>
      </c>
      <c r="BA637" s="424">
        <f t="shared" si="1366"/>
        <v>0</v>
      </c>
      <c r="BB637" s="424">
        <f t="shared" si="1366"/>
        <v>0</v>
      </c>
      <c r="BC637" s="424">
        <f t="shared" si="1366"/>
        <v>0</v>
      </c>
      <c r="BD637" s="424">
        <f t="shared" si="1366"/>
        <v>0</v>
      </c>
      <c r="BE637" s="424">
        <f t="shared" si="1366"/>
        <v>18.88</v>
      </c>
      <c r="BF637" s="424">
        <f t="shared" si="1366"/>
        <v>0</v>
      </c>
      <c r="BG637" s="424">
        <f t="shared" si="1366"/>
        <v>0</v>
      </c>
      <c r="BH637" s="424">
        <f t="shared" si="1366"/>
        <v>0</v>
      </c>
      <c r="BI637" s="424">
        <f t="shared" si="1366"/>
        <v>0</v>
      </c>
      <c r="BJ637" s="424">
        <f t="shared" si="1366"/>
        <v>0</v>
      </c>
      <c r="BK637" s="424">
        <f t="shared" si="1366"/>
        <v>0</v>
      </c>
      <c r="BL637" s="424">
        <f t="shared" si="1366"/>
        <v>0</v>
      </c>
      <c r="BM637" s="424">
        <f t="shared" si="1366"/>
        <v>0</v>
      </c>
      <c r="BN637" s="424">
        <f t="shared" si="1366"/>
        <v>0</v>
      </c>
      <c r="BO637" s="424">
        <f t="shared" si="1366"/>
        <v>0</v>
      </c>
      <c r="BP637" s="424">
        <f t="shared" si="1366"/>
        <v>0</v>
      </c>
      <c r="BQ637" s="424">
        <f t="shared" si="1366"/>
        <v>0</v>
      </c>
      <c r="BR637" s="424">
        <f t="shared" si="1366"/>
        <v>0</v>
      </c>
      <c r="BS637" s="424">
        <f t="shared" si="1366"/>
        <v>0</v>
      </c>
      <c r="BT637" s="424">
        <f t="shared" si="1366"/>
        <v>0</v>
      </c>
      <c r="BU637" s="424">
        <f t="shared" si="1366"/>
        <v>0</v>
      </c>
      <c r="BV637" s="424">
        <f t="shared" ref="BV637:DA637" si="1367">BV267*BV$372</f>
        <v>0</v>
      </c>
      <c r="BW637" s="424">
        <f t="shared" si="1367"/>
        <v>0</v>
      </c>
      <c r="BX637" s="424">
        <f t="shared" si="1367"/>
        <v>0</v>
      </c>
      <c r="BY637" s="424">
        <f t="shared" si="1367"/>
        <v>0</v>
      </c>
      <c r="BZ637" s="424">
        <f t="shared" si="1367"/>
        <v>0</v>
      </c>
      <c r="CA637" s="424">
        <f t="shared" si="1367"/>
        <v>0</v>
      </c>
      <c r="CB637" s="424">
        <f t="shared" si="1367"/>
        <v>0</v>
      </c>
      <c r="CC637" s="424">
        <f t="shared" si="1367"/>
        <v>0</v>
      </c>
      <c r="CD637" s="424">
        <f t="shared" si="1367"/>
        <v>0</v>
      </c>
      <c r="CE637" s="424">
        <f t="shared" si="1367"/>
        <v>0</v>
      </c>
      <c r="CF637" s="424">
        <f t="shared" si="1367"/>
        <v>0</v>
      </c>
      <c r="CG637" s="424">
        <f t="shared" si="1367"/>
        <v>0</v>
      </c>
      <c r="CH637" s="424">
        <f t="shared" si="1367"/>
        <v>0</v>
      </c>
      <c r="CI637" s="424">
        <f t="shared" si="1367"/>
        <v>0</v>
      </c>
      <c r="CJ637" s="424">
        <f t="shared" si="1367"/>
        <v>0</v>
      </c>
      <c r="CK637" s="424">
        <f t="shared" si="1367"/>
        <v>0</v>
      </c>
      <c r="CL637" s="424">
        <f t="shared" si="1367"/>
        <v>0</v>
      </c>
      <c r="CM637" s="424">
        <f t="shared" si="1367"/>
        <v>0</v>
      </c>
      <c r="CN637" s="424">
        <f t="shared" si="1367"/>
        <v>0</v>
      </c>
      <c r="CO637" s="424">
        <f t="shared" si="1367"/>
        <v>0</v>
      </c>
      <c r="CP637" s="424">
        <f t="shared" si="1367"/>
        <v>0</v>
      </c>
      <c r="CQ637" s="424">
        <f t="shared" si="1367"/>
        <v>0</v>
      </c>
      <c r="CR637" s="424">
        <f t="shared" si="1367"/>
        <v>0</v>
      </c>
      <c r="CS637" s="424">
        <f t="shared" si="1367"/>
        <v>0</v>
      </c>
      <c r="CT637" s="424">
        <f t="shared" si="1367"/>
        <v>0</v>
      </c>
      <c r="CU637" s="424">
        <f t="shared" si="1367"/>
        <v>0</v>
      </c>
      <c r="CV637" s="424">
        <f t="shared" si="1367"/>
        <v>0</v>
      </c>
      <c r="CW637" s="424">
        <f t="shared" si="1367"/>
        <v>0</v>
      </c>
      <c r="CX637" s="424">
        <f t="shared" si="1367"/>
        <v>0</v>
      </c>
      <c r="CY637" s="424">
        <f t="shared" si="1367"/>
        <v>0</v>
      </c>
      <c r="CZ637" s="424">
        <f t="shared" si="1367"/>
        <v>1.1399999999999999</v>
      </c>
      <c r="DA637" s="424">
        <f t="shared" si="1367"/>
        <v>0</v>
      </c>
      <c r="DB637" s="424">
        <f t="shared" ref="DB637:EG637" si="1368">DB267*DB$372</f>
        <v>0</v>
      </c>
      <c r="DC637" s="424">
        <f t="shared" si="1368"/>
        <v>0</v>
      </c>
      <c r="DD637" s="424">
        <f t="shared" si="1368"/>
        <v>0</v>
      </c>
      <c r="DE637" s="424">
        <f t="shared" si="1368"/>
        <v>0</v>
      </c>
      <c r="DF637" s="424">
        <f t="shared" si="1368"/>
        <v>0</v>
      </c>
      <c r="DG637" s="424">
        <f t="shared" si="1368"/>
        <v>0</v>
      </c>
      <c r="DH637" s="424">
        <f t="shared" si="1368"/>
        <v>0</v>
      </c>
      <c r="DI637" s="424">
        <f t="shared" si="1368"/>
        <v>0</v>
      </c>
      <c r="DJ637" s="424">
        <f t="shared" si="1368"/>
        <v>0</v>
      </c>
      <c r="DK637" s="424">
        <f t="shared" si="1368"/>
        <v>0</v>
      </c>
      <c r="DL637" s="424">
        <f t="shared" si="1368"/>
        <v>0</v>
      </c>
      <c r="DM637" s="424">
        <f t="shared" si="1368"/>
        <v>0</v>
      </c>
      <c r="DN637" s="424">
        <f t="shared" si="1368"/>
        <v>0</v>
      </c>
      <c r="DO637" s="424">
        <f t="shared" si="1368"/>
        <v>0</v>
      </c>
      <c r="DP637" s="424">
        <f t="shared" si="1368"/>
        <v>0</v>
      </c>
      <c r="DQ637" s="424">
        <f t="shared" si="1368"/>
        <v>0</v>
      </c>
      <c r="DR637" s="424">
        <f t="shared" si="1368"/>
        <v>0</v>
      </c>
      <c r="DS637" s="424">
        <f t="shared" si="1368"/>
        <v>0</v>
      </c>
      <c r="DT637" s="424">
        <f t="shared" si="1368"/>
        <v>0</v>
      </c>
      <c r="DU637" s="424">
        <f t="shared" si="1368"/>
        <v>0</v>
      </c>
      <c r="DV637" s="424">
        <f t="shared" si="1368"/>
        <v>0</v>
      </c>
      <c r="DW637" s="424">
        <f t="shared" si="1368"/>
        <v>0</v>
      </c>
      <c r="DX637" s="424">
        <f t="shared" si="1368"/>
        <v>0</v>
      </c>
      <c r="DY637" s="424">
        <f t="shared" si="1368"/>
        <v>0</v>
      </c>
      <c r="DZ637" s="424">
        <f t="shared" si="1368"/>
        <v>0</v>
      </c>
      <c r="EA637" s="424">
        <f t="shared" si="1368"/>
        <v>0</v>
      </c>
      <c r="EB637" s="424">
        <f t="shared" si="1368"/>
        <v>0</v>
      </c>
      <c r="EC637" s="424">
        <f t="shared" si="1368"/>
        <v>0</v>
      </c>
      <c r="ED637" s="424">
        <f t="shared" si="1368"/>
        <v>0</v>
      </c>
      <c r="EE637" s="424">
        <f t="shared" si="1368"/>
        <v>0</v>
      </c>
      <c r="EF637" s="424">
        <f t="shared" si="1368"/>
        <v>0</v>
      </c>
      <c r="EG637" s="424">
        <f t="shared" si="1368"/>
        <v>0</v>
      </c>
      <c r="EH637" s="424">
        <f t="shared" ref="EH637:EX637" si="1369">EH267*EH$372</f>
        <v>0</v>
      </c>
      <c r="EI637" s="424">
        <f t="shared" si="1369"/>
        <v>0</v>
      </c>
      <c r="EJ637" s="424">
        <f t="shared" si="1369"/>
        <v>0</v>
      </c>
      <c r="EK637" s="424">
        <f t="shared" si="1369"/>
        <v>0</v>
      </c>
      <c r="EL637" s="424">
        <f t="shared" si="1369"/>
        <v>0</v>
      </c>
      <c r="EM637" s="424">
        <f t="shared" si="1369"/>
        <v>0</v>
      </c>
      <c r="EN637" s="424">
        <f t="shared" si="1369"/>
        <v>0</v>
      </c>
      <c r="EO637" s="424">
        <f t="shared" si="1369"/>
        <v>0</v>
      </c>
      <c r="EP637" s="424">
        <f t="shared" si="1369"/>
        <v>0</v>
      </c>
      <c r="EQ637" s="424">
        <f t="shared" si="1369"/>
        <v>0</v>
      </c>
      <c r="ER637" s="424">
        <f t="shared" si="1369"/>
        <v>0</v>
      </c>
      <c r="ES637" s="424">
        <f t="shared" si="1369"/>
        <v>0</v>
      </c>
      <c r="ET637" s="424">
        <f t="shared" si="1369"/>
        <v>0</v>
      </c>
      <c r="EU637" s="424">
        <f t="shared" si="1369"/>
        <v>0</v>
      </c>
      <c r="EV637" s="424">
        <f t="shared" si="1369"/>
        <v>0</v>
      </c>
      <c r="EW637" s="424">
        <f t="shared" si="1369"/>
        <v>0</v>
      </c>
      <c r="EX637" s="424">
        <f t="shared" si="1369"/>
        <v>0</v>
      </c>
      <c r="EY637" s="425">
        <f t="shared" si="1064"/>
        <v>20.02</v>
      </c>
    </row>
    <row r="638" spans="1:166" ht="14.7" customHeight="1" x14ac:dyDescent="0.25">
      <c r="A638" s="310">
        <v>264</v>
      </c>
      <c r="B638" s="311" t="str">
        <f t="shared" si="1331"/>
        <v>Арбуз</v>
      </c>
      <c r="C638" s="483">
        <f t="shared" si="1354"/>
        <v>6.95</v>
      </c>
      <c r="D638" s="888"/>
      <c r="E638" s="888"/>
      <c r="F638" s="888"/>
      <c r="G638" s="889"/>
      <c r="H638" s="680">
        <f t="shared" si="1338"/>
        <v>340</v>
      </c>
      <c r="I638" s="1209">
        <f t="shared" si="1332"/>
        <v>0</v>
      </c>
      <c r="J638" s="424">
        <f t="shared" ref="J638:AO638" si="1370">J268*J$372</f>
        <v>0</v>
      </c>
      <c r="K638" s="424">
        <f t="shared" si="1370"/>
        <v>0</v>
      </c>
      <c r="L638" s="424">
        <f t="shared" si="1370"/>
        <v>0</v>
      </c>
      <c r="M638" s="424">
        <f t="shared" si="1370"/>
        <v>0</v>
      </c>
      <c r="N638" s="424">
        <f t="shared" si="1370"/>
        <v>0</v>
      </c>
      <c r="O638" s="424">
        <f t="shared" si="1370"/>
        <v>0</v>
      </c>
      <c r="P638" s="424">
        <f t="shared" si="1370"/>
        <v>0</v>
      </c>
      <c r="Q638" s="424">
        <f t="shared" si="1370"/>
        <v>0</v>
      </c>
      <c r="R638" s="424">
        <f t="shared" si="1370"/>
        <v>0</v>
      </c>
      <c r="S638" s="424">
        <f t="shared" si="1370"/>
        <v>0</v>
      </c>
      <c r="T638" s="424">
        <f t="shared" si="1370"/>
        <v>0</v>
      </c>
      <c r="U638" s="424">
        <f t="shared" si="1370"/>
        <v>0</v>
      </c>
      <c r="V638" s="424">
        <f t="shared" si="1370"/>
        <v>0</v>
      </c>
      <c r="W638" s="424">
        <f t="shared" si="1370"/>
        <v>0</v>
      </c>
      <c r="X638" s="424">
        <f t="shared" si="1370"/>
        <v>0</v>
      </c>
      <c r="Y638" s="424">
        <f t="shared" si="1370"/>
        <v>0</v>
      </c>
      <c r="Z638" s="424">
        <f t="shared" si="1370"/>
        <v>0</v>
      </c>
      <c r="AA638" s="424">
        <f t="shared" si="1370"/>
        <v>0</v>
      </c>
      <c r="AB638" s="424">
        <f t="shared" si="1370"/>
        <v>0</v>
      </c>
      <c r="AC638" s="424">
        <f t="shared" si="1370"/>
        <v>0</v>
      </c>
      <c r="AD638" s="424">
        <f t="shared" si="1370"/>
        <v>0</v>
      </c>
      <c r="AE638" s="424">
        <f t="shared" si="1370"/>
        <v>0</v>
      </c>
      <c r="AF638" s="424">
        <f t="shared" si="1370"/>
        <v>0</v>
      </c>
      <c r="AG638" s="424">
        <f t="shared" si="1370"/>
        <v>0</v>
      </c>
      <c r="AH638" s="424">
        <f t="shared" si="1370"/>
        <v>0</v>
      </c>
      <c r="AI638" s="424">
        <f t="shared" si="1370"/>
        <v>0</v>
      </c>
      <c r="AJ638" s="424">
        <f t="shared" si="1370"/>
        <v>0</v>
      </c>
      <c r="AK638" s="424">
        <f t="shared" si="1370"/>
        <v>0</v>
      </c>
      <c r="AL638" s="424">
        <f t="shared" si="1370"/>
        <v>0</v>
      </c>
      <c r="AM638" s="424">
        <f t="shared" si="1370"/>
        <v>0</v>
      </c>
      <c r="AN638" s="424">
        <f t="shared" si="1370"/>
        <v>0</v>
      </c>
      <c r="AO638" s="424">
        <f t="shared" si="1370"/>
        <v>0</v>
      </c>
      <c r="AP638" s="424">
        <f t="shared" ref="AP638:BU638" si="1371">AP268*AP$372</f>
        <v>0</v>
      </c>
      <c r="AQ638" s="424">
        <f t="shared" si="1371"/>
        <v>0</v>
      </c>
      <c r="AR638" s="424">
        <f t="shared" si="1371"/>
        <v>0</v>
      </c>
      <c r="AS638" s="424">
        <f t="shared" si="1371"/>
        <v>0</v>
      </c>
      <c r="AT638" s="424">
        <f t="shared" si="1371"/>
        <v>0</v>
      </c>
      <c r="AU638" s="424">
        <f t="shared" si="1371"/>
        <v>0</v>
      </c>
      <c r="AV638" s="424">
        <f t="shared" si="1371"/>
        <v>0</v>
      </c>
      <c r="AW638" s="424">
        <f t="shared" si="1371"/>
        <v>0</v>
      </c>
      <c r="AX638" s="424">
        <f t="shared" si="1371"/>
        <v>0</v>
      </c>
      <c r="AY638" s="424">
        <f t="shared" si="1371"/>
        <v>0</v>
      </c>
      <c r="AZ638" s="424">
        <f t="shared" si="1371"/>
        <v>0</v>
      </c>
      <c r="BA638" s="424">
        <f t="shared" si="1371"/>
        <v>0</v>
      </c>
      <c r="BB638" s="424">
        <f t="shared" si="1371"/>
        <v>0</v>
      </c>
      <c r="BC638" s="424">
        <f t="shared" si="1371"/>
        <v>0</v>
      </c>
      <c r="BD638" s="424">
        <f t="shared" si="1371"/>
        <v>0</v>
      </c>
      <c r="BE638" s="424">
        <f t="shared" si="1371"/>
        <v>0</v>
      </c>
      <c r="BF638" s="424">
        <f t="shared" si="1371"/>
        <v>0</v>
      </c>
      <c r="BG638" s="424">
        <f t="shared" si="1371"/>
        <v>0</v>
      </c>
      <c r="BH638" s="424">
        <f t="shared" si="1371"/>
        <v>0</v>
      </c>
      <c r="BI638" s="424">
        <f t="shared" si="1371"/>
        <v>6.95</v>
      </c>
      <c r="BJ638" s="424">
        <f t="shared" si="1371"/>
        <v>0</v>
      </c>
      <c r="BK638" s="424">
        <f t="shared" si="1371"/>
        <v>0</v>
      </c>
      <c r="BL638" s="424">
        <f t="shared" si="1371"/>
        <v>0</v>
      </c>
      <c r="BM638" s="424">
        <f t="shared" si="1371"/>
        <v>0</v>
      </c>
      <c r="BN638" s="424">
        <f t="shared" si="1371"/>
        <v>0</v>
      </c>
      <c r="BO638" s="424">
        <f t="shared" si="1371"/>
        <v>0</v>
      </c>
      <c r="BP638" s="424">
        <f t="shared" si="1371"/>
        <v>0</v>
      </c>
      <c r="BQ638" s="424">
        <f t="shared" si="1371"/>
        <v>0</v>
      </c>
      <c r="BR638" s="424">
        <f t="shared" si="1371"/>
        <v>0</v>
      </c>
      <c r="BS638" s="424">
        <f t="shared" si="1371"/>
        <v>0</v>
      </c>
      <c r="BT638" s="424">
        <f t="shared" si="1371"/>
        <v>0</v>
      </c>
      <c r="BU638" s="424">
        <f t="shared" si="1371"/>
        <v>0</v>
      </c>
      <c r="BV638" s="424">
        <f t="shared" ref="BV638:DA638" si="1372">BV268*BV$372</f>
        <v>0</v>
      </c>
      <c r="BW638" s="424">
        <f t="shared" si="1372"/>
        <v>0</v>
      </c>
      <c r="BX638" s="424">
        <f t="shared" si="1372"/>
        <v>0</v>
      </c>
      <c r="BY638" s="424">
        <f t="shared" si="1372"/>
        <v>0</v>
      </c>
      <c r="BZ638" s="424">
        <f t="shared" si="1372"/>
        <v>0</v>
      </c>
      <c r="CA638" s="424">
        <f t="shared" si="1372"/>
        <v>0</v>
      </c>
      <c r="CB638" s="424">
        <f t="shared" si="1372"/>
        <v>0</v>
      </c>
      <c r="CC638" s="424">
        <f t="shared" si="1372"/>
        <v>0</v>
      </c>
      <c r="CD638" s="424">
        <f t="shared" si="1372"/>
        <v>0</v>
      </c>
      <c r="CE638" s="424">
        <f t="shared" si="1372"/>
        <v>0</v>
      </c>
      <c r="CF638" s="424">
        <f t="shared" si="1372"/>
        <v>0</v>
      </c>
      <c r="CG638" s="424">
        <f t="shared" si="1372"/>
        <v>0</v>
      </c>
      <c r="CH638" s="424">
        <f t="shared" si="1372"/>
        <v>0</v>
      </c>
      <c r="CI638" s="424">
        <f t="shared" si="1372"/>
        <v>0</v>
      </c>
      <c r="CJ638" s="424">
        <f t="shared" si="1372"/>
        <v>0</v>
      </c>
      <c r="CK638" s="424">
        <f t="shared" si="1372"/>
        <v>0</v>
      </c>
      <c r="CL638" s="424">
        <f t="shared" si="1372"/>
        <v>0</v>
      </c>
      <c r="CM638" s="424">
        <f t="shared" si="1372"/>
        <v>0</v>
      </c>
      <c r="CN638" s="424">
        <f t="shared" si="1372"/>
        <v>0</v>
      </c>
      <c r="CO638" s="424">
        <f t="shared" si="1372"/>
        <v>0</v>
      </c>
      <c r="CP638" s="424">
        <f t="shared" si="1372"/>
        <v>0</v>
      </c>
      <c r="CQ638" s="424">
        <f t="shared" si="1372"/>
        <v>0</v>
      </c>
      <c r="CR638" s="424">
        <f t="shared" si="1372"/>
        <v>0</v>
      </c>
      <c r="CS638" s="424">
        <f t="shared" si="1372"/>
        <v>0</v>
      </c>
      <c r="CT638" s="424">
        <f t="shared" si="1372"/>
        <v>0</v>
      </c>
      <c r="CU638" s="424">
        <f t="shared" si="1372"/>
        <v>0</v>
      </c>
      <c r="CV638" s="424">
        <f t="shared" si="1372"/>
        <v>0</v>
      </c>
      <c r="CW638" s="424">
        <f t="shared" si="1372"/>
        <v>0</v>
      </c>
      <c r="CX638" s="424">
        <f t="shared" si="1372"/>
        <v>0</v>
      </c>
      <c r="CY638" s="424">
        <f t="shared" si="1372"/>
        <v>0</v>
      </c>
      <c r="CZ638" s="424">
        <f t="shared" si="1372"/>
        <v>0</v>
      </c>
      <c r="DA638" s="424">
        <f t="shared" si="1372"/>
        <v>0</v>
      </c>
      <c r="DB638" s="424">
        <f t="shared" ref="DB638:EG638" si="1373">DB268*DB$372</f>
        <v>0</v>
      </c>
      <c r="DC638" s="424">
        <f t="shared" si="1373"/>
        <v>0</v>
      </c>
      <c r="DD638" s="424">
        <f t="shared" si="1373"/>
        <v>0</v>
      </c>
      <c r="DE638" s="424">
        <f t="shared" si="1373"/>
        <v>0</v>
      </c>
      <c r="DF638" s="424">
        <f t="shared" si="1373"/>
        <v>0</v>
      </c>
      <c r="DG638" s="424">
        <f t="shared" si="1373"/>
        <v>0</v>
      </c>
      <c r="DH638" s="424">
        <f t="shared" si="1373"/>
        <v>0</v>
      </c>
      <c r="DI638" s="424">
        <f t="shared" si="1373"/>
        <v>0</v>
      </c>
      <c r="DJ638" s="424">
        <f t="shared" si="1373"/>
        <v>0</v>
      </c>
      <c r="DK638" s="424">
        <f t="shared" si="1373"/>
        <v>0</v>
      </c>
      <c r="DL638" s="424">
        <f t="shared" si="1373"/>
        <v>0</v>
      </c>
      <c r="DM638" s="424">
        <f t="shared" si="1373"/>
        <v>0</v>
      </c>
      <c r="DN638" s="424">
        <f t="shared" si="1373"/>
        <v>0</v>
      </c>
      <c r="DO638" s="424">
        <f t="shared" si="1373"/>
        <v>0</v>
      </c>
      <c r="DP638" s="424">
        <f t="shared" si="1373"/>
        <v>0</v>
      </c>
      <c r="DQ638" s="424">
        <f t="shared" si="1373"/>
        <v>0</v>
      </c>
      <c r="DR638" s="424">
        <f t="shared" si="1373"/>
        <v>0</v>
      </c>
      <c r="DS638" s="424">
        <f t="shared" si="1373"/>
        <v>0</v>
      </c>
      <c r="DT638" s="424">
        <f t="shared" si="1373"/>
        <v>0</v>
      </c>
      <c r="DU638" s="424">
        <f t="shared" si="1373"/>
        <v>0</v>
      </c>
      <c r="DV638" s="424">
        <f t="shared" si="1373"/>
        <v>0</v>
      </c>
      <c r="DW638" s="424">
        <f t="shared" si="1373"/>
        <v>0</v>
      </c>
      <c r="DX638" s="424">
        <f t="shared" si="1373"/>
        <v>0</v>
      </c>
      <c r="DY638" s="424">
        <f t="shared" si="1373"/>
        <v>0</v>
      </c>
      <c r="DZ638" s="424">
        <f t="shared" si="1373"/>
        <v>0</v>
      </c>
      <c r="EA638" s="424">
        <f t="shared" si="1373"/>
        <v>0</v>
      </c>
      <c r="EB638" s="424">
        <f t="shared" si="1373"/>
        <v>0</v>
      </c>
      <c r="EC638" s="424">
        <f t="shared" si="1373"/>
        <v>0</v>
      </c>
      <c r="ED638" s="424">
        <f t="shared" si="1373"/>
        <v>0</v>
      </c>
      <c r="EE638" s="424">
        <f t="shared" si="1373"/>
        <v>0</v>
      </c>
      <c r="EF638" s="424">
        <f t="shared" si="1373"/>
        <v>0</v>
      </c>
      <c r="EG638" s="424">
        <f t="shared" si="1373"/>
        <v>0</v>
      </c>
      <c r="EH638" s="424">
        <f t="shared" ref="EH638:EX638" si="1374">EH268*EH$372</f>
        <v>0</v>
      </c>
      <c r="EI638" s="424">
        <f t="shared" si="1374"/>
        <v>0</v>
      </c>
      <c r="EJ638" s="424">
        <f t="shared" si="1374"/>
        <v>0</v>
      </c>
      <c r="EK638" s="424">
        <f t="shared" si="1374"/>
        <v>0</v>
      </c>
      <c r="EL638" s="424">
        <f t="shared" si="1374"/>
        <v>0</v>
      </c>
      <c r="EM638" s="424">
        <f t="shared" si="1374"/>
        <v>0</v>
      </c>
      <c r="EN638" s="424">
        <f t="shared" si="1374"/>
        <v>0</v>
      </c>
      <c r="EO638" s="424">
        <f t="shared" si="1374"/>
        <v>0</v>
      </c>
      <c r="EP638" s="424">
        <f t="shared" si="1374"/>
        <v>0</v>
      </c>
      <c r="EQ638" s="424">
        <f t="shared" si="1374"/>
        <v>0</v>
      </c>
      <c r="ER638" s="424">
        <f t="shared" si="1374"/>
        <v>0</v>
      </c>
      <c r="ES638" s="424">
        <f t="shared" si="1374"/>
        <v>0</v>
      </c>
      <c r="ET638" s="424">
        <f t="shared" si="1374"/>
        <v>0</v>
      </c>
      <c r="EU638" s="424">
        <f t="shared" si="1374"/>
        <v>0</v>
      </c>
      <c r="EV638" s="424">
        <f t="shared" si="1374"/>
        <v>0</v>
      </c>
      <c r="EW638" s="424">
        <f t="shared" si="1374"/>
        <v>0</v>
      </c>
      <c r="EX638" s="424">
        <f t="shared" si="1374"/>
        <v>0</v>
      </c>
      <c r="EY638" s="425">
        <f t="shared" si="1064"/>
        <v>6.95</v>
      </c>
    </row>
    <row r="639" spans="1:166" ht="14.7" customHeight="1" x14ac:dyDescent="0.25">
      <c r="A639" s="310">
        <v>265</v>
      </c>
      <c r="B639" s="311" t="str">
        <f t="shared" si="1331"/>
        <v>Дыня</v>
      </c>
      <c r="C639" s="483">
        <f t="shared" si="1354"/>
        <v>6.5</v>
      </c>
      <c r="D639" s="888"/>
      <c r="E639" s="888"/>
      <c r="F639" s="888"/>
      <c r="G639" s="889"/>
      <c r="H639" s="680">
        <f t="shared" si="1338"/>
        <v>340</v>
      </c>
      <c r="I639" s="1209">
        <f t="shared" si="1332"/>
        <v>0</v>
      </c>
      <c r="J639" s="424">
        <f t="shared" ref="J639:AO639" si="1375">J269*J$372</f>
        <v>0</v>
      </c>
      <c r="K639" s="424">
        <f t="shared" si="1375"/>
        <v>0</v>
      </c>
      <c r="L639" s="424">
        <f t="shared" si="1375"/>
        <v>0</v>
      </c>
      <c r="M639" s="424">
        <f t="shared" si="1375"/>
        <v>0</v>
      </c>
      <c r="N639" s="424">
        <f t="shared" si="1375"/>
        <v>0</v>
      </c>
      <c r="O639" s="424">
        <f t="shared" si="1375"/>
        <v>0</v>
      </c>
      <c r="P639" s="424">
        <f t="shared" si="1375"/>
        <v>0</v>
      </c>
      <c r="Q639" s="424">
        <f t="shared" si="1375"/>
        <v>0</v>
      </c>
      <c r="R639" s="424">
        <f t="shared" si="1375"/>
        <v>0</v>
      </c>
      <c r="S639" s="424">
        <f t="shared" si="1375"/>
        <v>0</v>
      </c>
      <c r="T639" s="424">
        <f t="shared" si="1375"/>
        <v>0</v>
      </c>
      <c r="U639" s="424">
        <f t="shared" si="1375"/>
        <v>0</v>
      </c>
      <c r="V639" s="424">
        <f t="shared" si="1375"/>
        <v>0</v>
      </c>
      <c r="W639" s="424">
        <f t="shared" si="1375"/>
        <v>0</v>
      </c>
      <c r="X639" s="424">
        <f t="shared" si="1375"/>
        <v>0</v>
      </c>
      <c r="Y639" s="424">
        <f t="shared" si="1375"/>
        <v>0</v>
      </c>
      <c r="Z639" s="424">
        <f t="shared" si="1375"/>
        <v>0</v>
      </c>
      <c r="AA639" s="424">
        <f t="shared" si="1375"/>
        <v>0</v>
      </c>
      <c r="AB639" s="424">
        <f t="shared" si="1375"/>
        <v>0</v>
      </c>
      <c r="AC639" s="424">
        <f t="shared" si="1375"/>
        <v>0</v>
      </c>
      <c r="AD639" s="424">
        <f t="shared" si="1375"/>
        <v>0</v>
      </c>
      <c r="AE639" s="424">
        <f t="shared" si="1375"/>
        <v>0</v>
      </c>
      <c r="AF639" s="424">
        <f t="shared" si="1375"/>
        <v>0</v>
      </c>
      <c r="AG639" s="424">
        <f t="shared" si="1375"/>
        <v>0</v>
      </c>
      <c r="AH639" s="424">
        <f t="shared" si="1375"/>
        <v>0</v>
      </c>
      <c r="AI639" s="424">
        <f t="shared" si="1375"/>
        <v>0</v>
      </c>
      <c r="AJ639" s="424">
        <f t="shared" si="1375"/>
        <v>0</v>
      </c>
      <c r="AK639" s="424">
        <f t="shared" si="1375"/>
        <v>0</v>
      </c>
      <c r="AL639" s="424">
        <f t="shared" si="1375"/>
        <v>0</v>
      </c>
      <c r="AM639" s="424">
        <f t="shared" si="1375"/>
        <v>0</v>
      </c>
      <c r="AN639" s="424">
        <f t="shared" si="1375"/>
        <v>0</v>
      </c>
      <c r="AO639" s="424">
        <f t="shared" si="1375"/>
        <v>0</v>
      </c>
      <c r="AP639" s="424">
        <f t="shared" ref="AP639:BU639" si="1376">AP269*AP$372</f>
        <v>0</v>
      </c>
      <c r="AQ639" s="424">
        <f t="shared" si="1376"/>
        <v>0</v>
      </c>
      <c r="AR639" s="424">
        <f t="shared" si="1376"/>
        <v>0</v>
      </c>
      <c r="AS639" s="424">
        <f t="shared" si="1376"/>
        <v>0</v>
      </c>
      <c r="AT639" s="424">
        <f t="shared" si="1376"/>
        <v>0</v>
      </c>
      <c r="AU639" s="424">
        <f t="shared" si="1376"/>
        <v>0</v>
      </c>
      <c r="AV639" s="424">
        <f t="shared" si="1376"/>
        <v>0</v>
      </c>
      <c r="AW639" s="424">
        <f t="shared" si="1376"/>
        <v>0</v>
      </c>
      <c r="AX639" s="424">
        <f t="shared" si="1376"/>
        <v>0</v>
      </c>
      <c r="AY639" s="424">
        <f t="shared" si="1376"/>
        <v>0</v>
      </c>
      <c r="AZ639" s="424">
        <f t="shared" si="1376"/>
        <v>0</v>
      </c>
      <c r="BA639" s="424">
        <f t="shared" si="1376"/>
        <v>0</v>
      </c>
      <c r="BB639" s="424">
        <f t="shared" si="1376"/>
        <v>0</v>
      </c>
      <c r="BC639" s="424">
        <f t="shared" si="1376"/>
        <v>0</v>
      </c>
      <c r="BD639" s="424">
        <f t="shared" si="1376"/>
        <v>0</v>
      </c>
      <c r="BE639" s="424">
        <f t="shared" si="1376"/>
        <v>0</v>
      </c>
      <c r="BF639" s="424">
        <f t="shared" si="1376"/>
        <v>0</v>
      </c>
      <c r="BG639" s="424">
        <f t="shared" si="1376"/>
        <v>0</v>
      </c>
      <c r="BH639" s="424">
        <f t="shared" si="1376"/>
        <v>0</v>
      </c>
      <c r="BI639" s="424">
        <f t="shared" si="1376"/>
        <v>0</v>
      </c>
      <c r="BJ639" s="424">
        <f t="shared" si="1376"/>
        <v>6.5</v>
      </c>
      <c r="BK639" s="424">
        <f t="shared" si="1376"/>
        <v>0</v>
      </c>
      <c r="BL639" s="424">
        <f t="shared" si="1376"/>
        <v>0</v>
      </c>
      <c r="BM639" s="424">
        <f t="shared" si="1376"/>
        <v>0</v>
      </c>
      <c r="BN639" s="424">
        <f t="shared" si="1376"/>
        <v>0</v>
      </c>
      <c r="BO639" s="424">
        <f t="shared" si="1376"/>
        <v>0</v>
      </c>
      <c r="BP639" s="424">
        <f t="shared" si="1376"/>
        <v>0</v>
      </c>
      <c r="BQ639" s="424">
        <f t="shared" si="1376"/>
        <v>0</v>
      </c>
      <c r="BR639" s="424">
        <f t="shared" si="1376"/>
        <v>0</v>
      </c>
      <c r="BS639" s="424">
        <f t="shared" si="1376"/>
        <v>0</v>
      </c>
      <c r="BT639" s="424">
        <f t="shared" si="1376"/>
        <v>0</v>
      </c>
      <c r="BU639" s="424">
        <f t="shared" si="1376"/>
        <v>0</v>
      </c>
      <c r="BV639" s="424">
        <f t="shared" ref="BV639:DA639" si="1377">BV269*BV$372</f>
        <v>0</v>
      </c>
      <c r="BW639" s="424">
        <f t="shared" si="1377"/>
        <v>0</v>
      </c>
      <c r="BX639" s="424">
        <f t="shared" si="1377"/>
        <v>0</v>
      </c>
      <c r="BY639" s="424">
        <f t="shared" si="1377"/>
        <v>0</v>
      </c>
      <c r="BZ639" s="424">
        <f t="shared" si="1377"/>
        <v>0</v>
      </c>
      <c r="CA639" s="424">
        <f t="shared" si="1377"/>
        <v>0</v>
      </c>
      <c r="CB639" s="424">
        <f t="shared" si="1377"/>
        <v>0</v>
      </c>
      <c r="CC639" s="424">
        <f t="shared" si="1377"/>
        <v>0</v>
      </c>
      <c r="CD639" s="424">
        <f t="shared" si="1377"/>
        <v>0</v>
      </c>
      <c r="CE639" s="424">
        <f t="shared" si="1377"/>
        <v>0</v>
      </c>
      <c r="CF639" s="424">
        <f t="shared" si="1377"/>
        <v>0</v>
      </c>
      <c r="CG639" s="424">
        <f t="shared" si="1377"/>
        <v>0</v>
      </c>
      <c r="CH639" s="424">
        <f t="shared" si="1377"/>
        <v>0</v>
      </c>
      <c r="CI639" s="424">
        <f t="shared" si="1377"/>
        <v>0</v>
      </c>
      <c r="CJ639" s="424">
        <f t="shared" si="1377"/>
        <v>0</v>
      </c>
      <c r="CK639" s="424">
        <f t="shared" si="1377"/>
        <v>0</v>
      </c>
      <c r="CL639" s="424">
        <f t="shared" si="1377"/>
        <v>0</v>
      </c>
      <c r="CM639" s="424">
        <f t="shared" si="1377"/>
        <v>0</v>
      </c>
      <c r="CN639" s="424">
        <f t="shared" si="1377"/>
        <v>0</v>
      </c>
      <c r="CO639" s="424">
        <f t="shared" si="1377"/>
        <v>0</v>
      </c>
      <c r="CP639" s="424">
        <f t="shared" si="1377"/>
        <v>0</v>
      </c>
      <c r="CQ639" s="424">
        <f t="shared" si="1377"/>
        <v>0</v>
      </c>
      <c r="CR639" s="424">
        <f t="shared" si="1377"/>
        <v>0</v>
      </c>
      <c r="CS639" s="424">
        <f t="shared" si="1377"/>
        <v>0</v>
      </c>
      <c r="CT639" s="424">
        <f t="shared" si="1377"/>
        <v>0</v>
      </c>
      <c r="CU639" s="424">
        <f t="shared" si="1377"/>
        <v>0</v>
      </c>
      <c r="CV639" s="424">
        <f t="shared" si="1377"/>
        <v>0</v>
      </c>
      <c r="CW639" s="424">
        <f t="shared" si="1377"/>
        <v>0</v>
      </c>
      <c r="CX639" s="424">
        <f t="shared" si="1377"/>
        <v>0</v>
      </c>
      <c r="CY639" s="424">
        <f t="shared" si="1377"/>
        <v>0</v>
      </c>
      <c r="CZ639" s="424">
        <f t="shared" si="1377"/>
        <v>0</v>
      </c>
      <c r="DA639" s="424">
        <f t="shared" si="1377"/>
        <v>0</v>
      </c>
      <c r="DB639" s="424">
        <f t="shared" ref="DB639:EG639" si="1378">DB269*DB$372</f>
        <v>0</v>
      </c>
      <c r="DC639" s="424">
        <f t="shared" si="1378"/>
        <v>0</v>
      </c>
      <c r="DD639" s="424">
        <f t="shared" si="1378"/>
        <v>0</v>
      </c>
      <c r="DE639" s="424">
        <f t="shared" si="1378"/>
        <v>0</v>
      </c>
      <c r="DF639" s="424">
        <f t="shared" si="1378"/>
        <v>0</v>
      </c>
      <c r="DG639" s="424">
        <f t="shared" si="1378"/>
        <v>0</v>
      </c>
      <c r="DH639" s="424">
        <f t="shared" si="1378"/>
        <v>0</v>
      </c>
      <c r="DI639" s="424">
        <f t="shared" si="1378"/>
        <v>0</v>
      </c>
      <c r="DJ639" s="424">
        <f t="shared" si="1378"/>
        <v>0</v>
      </c>
      <c r="DK639" s="424">
        <f t="shared" si="1378"/>
        <v>0</v>
      </c>
      <c r="DL639" s="424">
        <f t="shared" si="1378"/>
        <v>0</v>
      </c>
      <c r="DM639" s="424">
        <f t="shared" si="1378"/>
        <v>0</v>
      </c>
      <c r="DN639" s="424">
        <f t="shared" si="1378"/>
        <v>0</v>
      </c>
      <c r="DO639" s="424">
        <f t="shared" si="1378"/>
        <v>0</v>
      </c>
      <c r="DP639" s="424">
        <f t="shared" si="1378"/>
        <v>0</v>
      </c>
      <c r="DQ639" s="424">
        <f t="shared" si="1378"/>
        <v>0</v>
      </c>
      <c r="DR639" s="424">
        <f t="shared" si="1378"/>
        <v>0</v>
      </c>
      <c r="DS639" s="424">
        <f t="shared" si="1378"/>
        <v>0</v>
      </c>
      <c r="DT639" s="424">
        <f t="shared" si="1378"/>
        <v>0</v>
      </c>
      <c r="DU639" s="424">
        <f t="shared" si="1378"/>
        <v>0</v>
      </c>
      <c r="DV639" s="424">
        <f t="shared" si="1378"/>
        <v>0</v>
      </c>
      <c r="DW639" s="424">
        <f t="shared" si="1378"/>
        <v>0</v>
      </c>
      <c r="DX639" s="424">
        <f t="shared" si="1378"/>
        <v>0</v>
      </c>
      <c r="DY639" s="424">
        <f t="shared" si="1378"/>
        <v>0</v>
      </c>
      <c r="DZ639" s="424">
        <f t="shared" si="1378"/>
        <v>0</v>
      </c>
      <c r="EA639" s="424">
        <f t="shared" si="1378"/>
        <v>0</v>
      </c>
      <c r="EB639" s="424">
        <f t="shared" si="1378"/>
        <v>0</v>
      </c>
      <c r="EC639" s="424">
        <f t="shared" si="1378"/>
        <v>0</v>
      </c>
      <c r="ED639" s="424">
        <f t="shared" si="1378"/>
        <v>0</v>
      </c>
      <c r="EE639" s="424">
        <f t="shared" si="1378"/>
        <v>0</v>
      </c>
      <c r="EF639" s="424">
        <f t="shared" si="1378"/>
        <v>0</v>
      </c>
      <c r="EG639" s="424">
        <f t="shared" si="1378"/>
        <v>0</v>
      </c>
      <c r="EH639" s="424">
        <f t="shared" ref="EH639:EX639" si="1379">EH269*EH$372</f>
        <v>0</v>
      </c>
      <c r="EI639" s="424">
        <f t="shared" si="1379"/>
        <v>0</v>
      </c>
      <c r="EJ639" s="424">
        <f t="shared" si="1379"/>
        <v>0</v>
      </c>
      <c r="EK639" s="424">
        <f t="shared" si="1379"/>
        <v>0</v>
      </c>
      <c r="EL639" s="424">
        <f t="shared" si="1379"/>
        <v>0</v>
      </c>
      <c r="EM639" s="424">
        <f t="shared" si="1379"/>
        <v>0</v>
      </c>
      <c r="EN639" s="424">
        <f t="shared" si="1379"/>
        <v>0</v>
      </c>
      <c r="EO639" s="424">
        <f t="shared" si="1379"/>
        <v>0</v>
      </c>
      <c r="EP639" s="424">
        <f t="shared" si="1379"/>
        <v>0</v>
      </c>
      <c r="EQ639" s="424">
        <f t="shared" si="1379"/>
        <v>0</v>
      </c>
      <c r="ER639" s="424">
        <f t="shared" si="1379"/>
        <v>0</v>
      </c>
      <c r="ES639" s="424">
        <f t="shared" si="1379"/>
        <v>0</v>
      </c>
      <c r="ET639" s="424">
        <f t="shared" si="1379"/>
        <v>0</v>
      </c>
      <c r="EU639" s="424">
        <f t="shared" si="1379"/>
        <v>0</v>
      </c>
      <c r="EV639" s="424">
        <f t="shared" si="1379"/>
        <v>0</v>
      </c>
      <c r="EW639" s="424">
        <f t="shared" si="1379"/>
        <v>0</v>
      </c>
      <c r="EX639" s="424">
        <f t="shared" si="1379"/>
        <v>0</v>
      </c>
      <c r="EY639" s="425">
        <f t="shared" si="1064"/>
        <v>6.5</v>
      </c>
    </row>
    <row r="640" spans="1:166" ht="14.7" customHeight="1" x14ac:dyDescent="0.25">
      <c r="A640" s="310">
        <v>266</v>
      </c>
      <c r="B640" s="311" t="str">
        <f t="shared" si="1331"/>
        <v>Апельсины с сахаром</v>
      </c>
      <c r="C640" s="483">
        <f t="shared" si="1354"/>
        <v>19.62</v>
      </c>
      <c r="D640" s="888"/>
      <c r="E640" s="888"/>
      <c r="F640" s="888"/>
      <c r="G640" s="889"/>
      <c r="H640" s="680">
        <f t="shared" si="1338"/>
        <v>341</v>
      </c>
      <c r="I640" s="1209">
        <f t="shared" si="1332"/>
        <v>0</v>
      </c>
      <c r="J640" s="424">
        <f t="shared" ref="J640:AO640" si="1380">J270*J$372</f>
        <v>0</v>
      </c>
      <c r="K640" s="424">
        <f t="shared" si="1380"/>
        <v>0</v>
      </c>
      <c r="L640" s="424">
        <f t="shared" si="1380"/>
        <v>0</v>
      </c>
      <c r="M640" s="424">
        <f t="shared" si="1380"/>
        <v>0</v>
      </c>
      <c r="N640" s="424">
        <f t="shared" si="1380"/>
        <v>0</v>
      </c>
      <c r="O640" s="424">
        <f t="shared" si="1380"/>
        <v>0</v>
      </c>
      <c r="P640" s="424">
        <f t="shared" si="1380"/>
        <v>0</v>
      </c>
      <c r="Q640" s="424">
        <f t="shared" si="1380"/>
        <v>0</v>
      </c>
      <c r="R640" s="424">
        <f t="shared" si="1380"/>
        <v>0</v>
      </c>
      <c r="S640" s="424">
        <f t="shared" si="1380"/>
        <v>0</v>
      </c>
      <c r="T640" s="424">
        <f t="shared" si="1380"/>
        <v>0</v>
      </c>
      <c r="U640" s="424">
        <f t="shared" si="1380"/>
        <v>0</v>
      </c>
      <c r="V640" s="424">
        <f t="shared" si="1380"/>
        <v>0</v>
      </c>
      <c r="W640" s="424">
        <f t="shared" si="1380"/>
        <v>0</v>
      </c>
      <c r="X640" s="424">
        <f t="shared" si="1380"/>
        <v>0</v>
      </c>
      <c r="Y640" s="424">
        <f t="shared" si="1380"/>
        <v>0</v>
      </c>
      <c r="Z640" s="424">
        <f t="shared" si="1380"/>
        <v>0</v>
      </c>
      <c r="AA640" s="424">
        <f t="shared" si="1380"/>
        <v>0</v>
      </c>
      <c r="AB640" s="424">
        <f t="shared" si="1380"/>
        <v>0</v>
      </c>
      <c r="AC640" s="424">
        <f t="shared" si="1380"/>
        <v>0</v>
      </c>
      <c r="AD640" s="424">
        <f t="shared" si="1380"/>
        <v>0</v>
      </c>
      <c r="AE640" s="424">
        <f t="shared" si="1380"/>
        <v>0</v>
      </c>
      <c r="AF640" s="424">
        <f t="shared" si="1380"/>
        <v>0</v>
      </c>
      <c r="AG640" s="424">
        <f t="shared" si="1380"/>
        <v>0</v>
      </c>
      <c r="AH640" s="424">
        <f t="shared" si="1380"/>
        <v>0</v>
      </c>
      <c r="AI640" s="424">
        <f t="shared" si="1380"/>
        <v>0</v>
      </c>
      <c r="AJ640" s="424">
        <f t="shared" si="1380"/>
        <v>0</v>
      </c>
      <c r="AK640" s="424">
        <f t="shared" si="1380"/>
        <v>0</v>
      </c>
      <c r="AL640" s="424">
        <f t="shared" si="1380"/>
        <v>0</v>
      </c>
      <c r="AM640" s="424">
        <f t="shared" si="1380"/>
        <v>0</v>
      </c>
      <c r="AN640" s="424">
        <f t="shared" si="1380"/>
        <v>0</v>
      </c>
      <c r="AO640" s="424">
        <f t="shared" si="1380"/>
        <v>0</v>
      </c>
      <c r="AP640" s="424">
        <f t="shared" ref="AP640:BU640" si="1381">AP270*AP$372</f>
        <v>0</v>
      </c>
      <c r="AQ640" s="424">
        <f t="shared" si="1381"/>
        <v>0</v>
      </c>
      <c r="AR640" s="424">
        <f t="shared" si="1381"/>
        <v>0</v>
      </c>
      <c r="AS640" s="424">
        <f t="shared" si="1381"/>
        <v>0</v>
      </c>
      <c r="AT640" s="424">
        <f t="shared" si="1381"/>
        <v>0</v>
      </c>
      <c r="AU640" s="424">
        <f t="shared" si="1381"/>
        <v>0</v>
      </c>
      <c r="AV640" s="424">
        <f t="shared" si="1381"/>
        <v>0</v>
      </c>
      <c r="AW640" s="424">
        <f t="shared" si="1381"/>
        <v>0</v>
      </c>
      <c r="AX640" s="424">
        <f t="shared" si="1381"/>
        <v>0</v>
      </c>
      <c r="AY640" s="424">
        <f t="shared" si="1381"/>
        <v>0</v>
      </c>
      <c r="AZ640" s="424">
        <f t="shared" si="1381"/>
        <v>0</v>
      </c>
      <c r="BA640" s="424">
        <f t="shared" si="1381"/>
        <v>0</v>
      </c>
      <c r="BB640" s="424">
        <f t="shared" si="1381"/>
        <v>0</v>
      </c>
      <c r="BC640" s="424">
        <f t="shared" si="1381"/>
        <v>0</v>
      </c>
      <c r="BD640" s="424">
        <f t="shared" si="1381"/>
        <v>0</v>
      </c>
      <c r="BE640" s="424">
        <f t="shared" si="1381"/>
        <v>0</v>
      </c>
      <c r="BF640" s="424">
        <f t="shared" si="1381"/>
        <v>0</v>
      </c>
      <c r="BG640" s="424">
        <f t="shared" si="1381"/>
        <v>0</v>
      </c>
      <c r="BH640" s="424">
        <f t="shared" si="1381"/>
        <v>0</v>
      </c>
      <c r="BI640" s="424">
        <f t="shared" si="1381"/>
        <v>0</v>
      </c>
      <c r="BJ640" s="424">
        <f t="shared" si="1381"/>
        <v>0</v>
      </c>
      <c r="BK640" s="424">
        <f t="shared" si="1381"/>
        <v>18.48</v>
      </c>
      <c r="BL640" s="424">
        <f t="shared" si="1381"/>
        <v>0</v>
      </c>
      <c r="BM640" s="424">
        <f t="shared" si="1381"/>
        <v>0</v>
      </c>
      <c r="BN640" s="424">
        <f t="shared" si="1381"/>
        <v>0</v>
      </c>
      <c r="BO640" s="424">
        <f t="shared" si="1381"/>
        <v>0</v>
      </c>
      <c r="BP640" s="424">
        <f t="shared" si="1381"/>
        <v>0</v>
      </c>
      <c r="BQ640" s="424">
        <f t="shared" si="1381"/>
        <v>0</v>
      </c>
      <c r="BR640" s="424">
        <f t="shared" si="1381"/>
        <v>0</v>
      </c>
      <c r="BS640" s="424">
        <f t="shared" si="1381"/>
        <v>0</v>
      </c>
      <c r="BT640" s="424">
        <f t="shared" si="1381"/>
        <v>0</v>
      </c>
      <c r="BU640" s="424">
        <f t="shared" si="1381"/>
        <v>0</v>
      </c>
      <c r="BV640" s="424">
        <f t="shared" ref="BV640:DA640" si="1382">BV270*BV$372</f>
        <v>0</v>
      </c>
      <c r="BW640" s="424">
        <f t="shared" si="1382"/>
        <v>0</v>
      </c>
      <c r="BX640" s="424">
        <f t="shared" si="1382"/>
        <v>0</v>
      </c>
      <c r="BY640" s="424">
        <f t="shared" si="1382"/>
        <v>0</v>
      </c>
      <c r="BZ640" s="424">
        <f t="shared" si="1382"/>
        <v>0</v>
      </c>
      <c r="CA640" s="424">
        <f t="shared" si="1382"/>
        <v>0</v>
      </c>
      <c r="CB640" s="424">
        <f t="shared" si="1382"/>
        <v>0</v>
      </c>
      <c r="CC640" s="424">
        <f t="shared" si="1382"/>
        <v>0</v>
      </c>
      <c r="CD640" s="424">
        <f t="shared" si="1382"/>
        <v>0</v>
      </c>
      <c r="CE640" s="424">
        <f t="shared" si="1382"/>
        <v>0</v>
      </c>
      <c r="CF640" s="424">
        <f t="shared" si="1382"/>
        <v>0</v>
      </c>
      <c r="CG640" s="424">
        <f t="shared" si="1382"/>
        <v>0</v>
      </c>
      <c r="CH640" s="424">
        <f t="shared" si="1382"/>
        <v>0</v>
      </c>
      <c r="CI640" s="424">
        <f t="shared" si="1382"/>
        <v>0</v>
      </c>
      <c r="CJ640" s="424">
        <f t="shared" si="1382"/>
        <v>0</v>
      </c>
      <c r="CK640" s="424">
        <f t="shared" si="1382"/>
        <v>0</v>
      </c>
      <c r="CL640" s="424">
        <f t="shared" si="1382"/>
        <v>0</v>
      </c>
      <c r="CM640" s="424">
        <f t="shared" si="1382"/>
        <v>0</v>
      </c>
      <c r="CN640" s="424">
        <f t="shared" si="1382"/>
        <v>0</v>
      </c>
      <c r="CO640" s="424">
        <f t="shared" si="1382"/>
        <v>0</v>
      </c>
      <c r="CP640" s="424">
        <f t="shared" si="1382"/>
        <v>0</v>
      </c>
      <c r="CQ640" s="424">
        <f t="shared" si="1382"/>
        <v>0</v>
      </c>
      <c r="CR640" s="424">
        <f t="shared" si="1382"/>
        <v>0</v>
      </c>
      <c r="CS640" s="424">
        <f t="shared" si="1382"/>
        <v>0</v>
      </c>
      <c r="CT640" s="424">
        <f t="shared" si="1382"/>
        <v>0</v>
      </c>
      <c r="CU640" s="424">
        <f t="shared" si="1382"/>
        <v>0</v>
      </c>
      <c r="CV640" s="424">
        <f t="shared" si="1382"/>
        <v>0</v>
      </c>
      <c r="CW640" s="424">
        <f t="shared" si="1382"/>
        <v>0</v>
      </c>
      <c r="CX640" s="424">
        <f t="shared" si="1382"/>
        <v>0</v>
      </c>
      <c r="CY640" s="424">
        <f t="shared" si="1382"/>
        <v>0</v>
      </c>
      <c r="CZ640" s="424">
        <f t="shared" si="1382"/>
        <v>1.1399999999999999</v>
      </c>
      <c r="DA640" s="424">
        <f t="shared" si="1382"/>
        <v>0</v>
      </c>
      <c r="DB640" s="424">
        <f t="shared" ref="DB640:EG640" si="1383">DB270*DB$372</f>
        <v>0</v>
      </c>
      <c r="DC640" s="424">
        <f t="shared" si="1383"/>
        <v>0</v>
      </c>
      <c r="DD640" s="424">
        <f t="shared" si="1383"/>
        <v>0</v>
      </c>
      <c r="DE640" s="424">
        <f t="shared" si="1383"/>
        <v>0</v>
      </c>
      <c r="DF640" s="424">
        <f t="shared" si="1383"/>
        <v>0</v>
      </c>
      <c r="DG640" s="424">
        <f t="shared" si="1383"/>
        <v>0</v>
      </c>
      <c r="DH640" s="424">
        <f t="shared" si="1383"/>
        <v>0</v>
      </c>
      <c r="DI640" s="424">
        <f t="shared" si="1383"/>
        <v>0</v>
      </c>
      <c r="DJ640" s="424">
        <f t="shared" si="1383"/>
        <v>0</v>
      </c>
      <c r="DK640" s="424">
        <f t="shared" si="1383"/>
        <v>0</v>
      </c>
      <c r="DL640" s="424">
        <f t="shared" si="1383"/>
        <v>0</v>
      </c>
      <c r="DM640" s="424">
        <f t="shared" si="1383"/>
        <v>0</v>
      </c>
      <c r="DN640" s="424">
        <f t="shared" si="1383"/>
        <v>0</v>
      </c>
      <c r="DO640" s="424">
        <f t="shared" si="1383"/>
        <v>0</v>
      </c>
      <c r="DP640" s="424">
        <f t="shared" si="1383"/>
        <v>0</v>
      </c>
      <c r="DQ640" s="424">
        <f t="shared" si="1383"/>
        <v>0</v>
      </c>
      <c r="DR640" s="424">
        <f t="shared" si="1383"/>
        <v>0</v>
      </c>
      <c r="DS640" s="424">
        <f t="shared" si="1383"/>
        <v>0</v>
      </c>
      <c r="DT640" s="424">
        <f t="shared" si="1383"/>
        <v>0</v>
      </c>
      <c r="DU640" s="424">
        <f t="shared" si="1383"/>
        <v>0</v>
      </c>
      <c r="DV640" s="424">
        <f t="shared" si="1383"/>
        <v>0</v>
      </c>
      <c r="DW640" s="424">
        <f t="shared" si="1383"/>
        <v>0</v>
      </c>
      <c r="DX640" s="424">
        <f t="shared" si="1383"/>
        <v>0</v>
      </c>
      <c r="DY640" s="424">
        <f t="shared" si="1383"/>
        <v>0</v>
      </c>
      <c r="DZ640" s="424">
        <f t="shared" si="1383"/>
        <v>0</v>
      </c>
      <c r="EA640" s="424">
        <f t="shared" si="1383"/>
        <v>0</v>
      </c>
      <c r="EB640" s="424">
        <f t="shared" si="1383"/>
        <v>0</v>
      </c>
      <c r="EC640" s="424">
        <f t="shared" si="1383"/>
        <v>0</v>
      </c>
      <c r="ED640" s="424">
        <f t="shared" si="1383"/>
        <v>0</v>
      </c>
      <c r="EE640" s="424">
        <f t="shared" si="1383"/>
        <v>0</v>
      </c>
      <c r="EF640" s="424">
        <f t="shared" si="1383"/>
        <v>0</v>
      </c>
      <c r="EG640" s="424">
        <f t="shared" si="1383"/>
        <v>0</v>
      </c>
      <c r="EH640" s="424">
        <f t="shared" ref="EH640:EX640" si="1384">EH270*EH$372</f>
        <v>0</v>
      </c>
      <c r="EI640" s="424">
        <f t="shared" si="1384"/>
        <v>0</v>
      </c>
      <c r="EJ640" s="424">
        <f t="shared" si="1384"/>
        <v>0</v>
      </c>
      <c r="EK640" s="424">
        <f t="shared" si="1384"/>
        <v>0</v>
      </c>
      <c r="EL640" s="424">
        <f t="shared" si="1384"/>
        <v>0</v>
      </c>
      <c r="EM640" s="424">
        <f t="shared" si="1384"/>
        <v>0</v>
      </c>
      <c r="EN640" s="424">
        <f t="shared" si="1384"/>
        <v>0</v>
      </c>
      <c r="EO640" s="424">
        <f t="shared" si="1384"/>
        <v>0</v>
      </c>
      <c r="EP640" s="424">
        <f t="shared" si="1384"/>
        <v>0</v>
      </c>
      <c r="EQ640" s="424">
        <f t="shared" si="1384"/>
        <v>0</v>
      </c>
      <c r="ER640" s="424">
        <f t="shared" si="1384"/>
        <v>0</v>
      </c>
      <c r="ES640" s="424">
        <f t="shared" si="1384"/>
        <v>0</v>
      </c>
      <c r="ET640" s="424">
        <f t="shared" si="1384"/>
        <v>0</v>
      </c>
      <c r="EU640" s="424">
        <f t="shared" si="1384"/>
        <v>0</v>
      </c>
      <c r="EV640" s="424">
        <f t="shared" si="1384"/>
        <v>0</v>
      </c>
      <c r="EW640" s="424">
        <f t="shared" si="1384"/>
        <v>0</v>
      </c>
      <c r="EX640" s="424">
        <f t="shared" si="1384"/>
        <v>0</v>
      </c>
      <c r="EY640" s="425">
        <f t="shared" si="1064"/>
        <v>19.62</v>
      </c>
    </row>
    <row r="641" spans="1:166" ht="14.7" customHeight="1" x14ac:dyDescent="0.25">
      <c r="A641" s="310">
        <v>267</v>
      </c>
      <c r="B641" s="311" t="str">
        <f t="shared" si="1331"/>
        <v>Мандарины с сахаром</v>
      </c>
      <c r="C641" s="483">
        <f t="shared" si="1354"/>
        <v>17.34</v>
      </c>
      <c r="D641" s="888"/>
      <c r="E641" s="888"/>
      <c r="F641" s="888"/>
      <c r="G641" s="889"/>
      <c r="H641" s="680">
        <f t="shared" si="1338"/>
        <v>341</v>
      </c>
      <c r="I641" s="1209">
        <f t="shared" si="1332"/>
        <v>0</v>
      </c>
      <c r="J641" s="424">
        <f t="shared" ref="J641:AO641" si="1385">J271*J$372</f>
        <v>0</v>
      </c>
      <c r="K641" s="424">
        <f t="shared" si="1385"/>
        <v>0</v>
      </c>
      <c r="L641" s="424">
        <f t="shared" si="1385"/>
        <v>0</v>
      </c>
      <c r="M641" s="424">
        <f t="shared" si="1385"/>
        <v>0</v>
      </c>
      <c r="N641" s="424">
        <f t="shared" si="1385"/>
        <v>0</v>
      </c>
      <c r="O641" s="424">
        <f t="shared" si="1385"/>
        <v>0</v>
      </c>
      <c r="P641" s="424">
        <f t="shared" si="1385"/>
        <v>0</v>
      </c>
      <c r="Q641" s="424">
        <f t="shared" si="1385"/>
        <v>0</v>
      </c>
      <c r="R641" s="424">
        <f t="shared" si="1385"/>
        <v>0</v>
      </c>
      <c r="S641" s="424">
        <f t="shared" si="1385"/>
        <v>0</v>
      </c>
      <c r="T641" s="424">
        <f t="shared" si="1385"/>
        <v>0</v>
      </c>
      <c r="U641" s="424">
        <f t="shared" si="1385"/>
        <v>0</v>
      </c>
      <c r="V641" s="424">
        <f t="shared" si="1385"/>
        <v>0</v>
      </c>
      <c r="W641" s="424">
        <f t="shared" si="1385"/>
        <v>0</v>
      </c>
      <c r="X641" s="424">
        <f t="shared" si="1385"/>
        <v>0</v>
      </c>
      <c r="Y641" s="424">
        <f t="shared" si="1385"/>
        <v>0</v>
      </c>
      <c r="Z641" s="424">
        <f t="shared" si="1385"/>
        <v>0</v>
      </c>
      <c r="AA641" s="424">
        <f t="shared" si="1385"/>
        <v>0</v>
      </c>
      <c r="AB641" s="424">
        <f t="shared" si="1385"/>
        <v>0</v>
      </c>
      <c r="AC641" s="424">
        <f t="shared" si="1385"/>
        <v>0</v>
      </c>
      <c r="AD641" s="424">
        <f t="shared" si="1385"/>
        <v>0</v>
      </c>
      <c r="AE641" s="424">
        <f t="shared" si="1385"/>
        <v>0</v>
      </c>
      <c r="AF641" s="424">
        <f t="shared" si="1385"/>
        <v>0</v>
      </c>
      <c r="AG641" s="424">
        <f t="shared" si="1385"/>
        <v>0</v>
      </c>
      <c r="AH641" s="424">
        <f t="shared" si="1385"/>
        <v>0</v>
      </c>
      <c r="AI641" s="424">
        <f t="shared" si="1385"/>
        <v>0</v>
      </c>
      <c r="AJ641" s="424">
        <f t="shared" si="1385"/>
        <v>0</v>
      </c>
      <c r="AK641" s="424">
        <f t="shared" si="1385"/>
        <v>0</v>
      </c>
      <c r="AL641" s="424">
        <f t="shared" si="1385"/>
        <v>0</v>
      </c>
      <c r="AM641" s="424">
        <f t="shared" si="1385"/>
        <v>0</v>
      </c>
      <c r="AN641" s="424">
        <f t="shared" si="1385"/>
        <v>0</v>
      </c>
      <c r="AO641" s="424">
        <f t="shared" si="1385"/>
        <v>0</v>
      </c>
      <c r="AP641" s="424">
        <f t="shared" ref="AP641:BU641" si="1386">AP271*AP$372</f>
        <v>0</v>
      </c>
      <c r="AQ641" s="424">
        <f t="shared" si="1386"/>
        <v>0</v>
      </c>
      <c r="AR641" s="424">
        <f t="shared" si="1386"/>
        <v>0</v>
      </c>
      <c r="AS641" s="424">
        <f t="shared" si="1386"/>
        <v>0</v>
      </c>
      <c r="AT641" s="424">
        <f t="shared" si="1386"/>
        <v>0</v>
      </c>
      <c r="AU641" s="424">
        <f t="shared" si="1386"/>
        <v>0</v>
      </c>
      <c r="AV641" s="424">
        <f t="shared" si="1386"/>
        <v>0</v>
      </c>
      <c r="AW641" s="424">
        <f t="shared" si="1386"/>
        <v>0</v>
      </c>
      <c r="AX641" s="424">
        <f t="shared" si="1386"/>
        <v>0</v>
      </c>
      <c r="AY641" s="424">
        <f t="shared" si="1386"/>
        <v>0</v>
      </c>
      <c r="AZ641" s="424">
        <f t="shared" si="1386"/>
        <v>0</v>
      </c>
      <c r="BA641" s="424">
        <f t="shared" si="1386"/>
        <v>0</v>
      </c>
      <c r="BB641" s="424">
        <f t="shared" si="1386"/>
        <v>0</v>
      </c>
      <c r="BC641" s="424">
        <f t="shared" si="1386"/>
        <v>0</v>
      </c>
      <c r="BD641" s="424">
        <f t="shared" si="1386"/>
        <v>0</v>
      </c>
      <c r="BE641" s="424">
        <f t="shared" si="1386"/>
        <v>0</v>
      </c>
      <c r="BF641" s="424">
        <f t="shared" si="1386"/>
        <v>0</v>
      </c>
      <c r="BG641" s="424">
        <f t="shared" si="1386"/>
        <v>0</v>
      </c>
      <c r="BH641" s="424">
        <f t="shared" si="1386"/>
        <v>0</v>
      </c>
      <c r="BI641" s="424">
        <f t="shared" si="1386"/>
        <v>0</v>
      </c>
      <c r="BJ641" s="424">
        <f t="shared" si="1386"/>
        <v>0</v>
      </c>
      <c r="BK641" s="424">
        <f t="shared" si="1386"/>
        <v>0</v>
      </c>
      <c r="BL641" s="424">
        <f t="shared" si="1386"/>
        <v>16.2</v>
      </c>
      <c r="BM641" s="424">
        <f t="shared" si="1386"/>
        <v>0</v>
      </c>
      <c r="BN641" s="424">
        <f t="shared" si="1386"/>
        <v>0</v>
      </c>
      <c r="BO641" s="424">
        <f t="shared" si="1386"/>
        <v>0</v>
      </c>
      <c r="BP641" s="424">
        <f t="shared" si="1386"/>
        <v>0</v>
      </c>
      <c r="BQ641" s="424">
        <f t="shared" si="1386"/>
        <v>0</v>
      </c>
      <c r="BR641" s="424">
        <f t="shared" si="1386"/>
        <v>0</v>
      </c>
      <c r="BS641" s="424">
        <f t="shared" si="1386"/>
        <v>0</v>
      </c>
      <c r="BT641" s="424">
        <f t="shared" si="1386"/>
        <v>0</v>
      </c>
      <c r="BU641" s="424">
        <f t="shared" si="1386"/>
        <v>0</v>
      </c>
      <c r="BV641" s="424">
        <f t="shared" ref="BV641:DA641" si="1387">BV271*BV$372</f>
        <v>0</v>
      </c>
      <c r="BW641" s="424">
        <f t="shared" si="1387"/>
        <v>0</v>
      </c>
      <c r="BX641" s="424">
        <f t="shared" si="1387"/>
        <v>0</v>
      </c>
      <c r="BY641" s="424">
        <f t="shared" si="1387"/>
        <v>0</v>
      </c>
      <c r="BZ641" s="424">
        <f t="shared" si="1387"/>
        <v>0</v>
      </c>
      <c r="CA641" s="424">
        <f t="shared" si="1387"/>
        <v>0</v>
      </c>
      <c r="CB641" s="424">
        <f t="shared" si="1387"/>
        <v>0</v>
      </c>
      <c r="CC641" s="424">
        <f t="shared" si="1387"/>
        <v>0</v>
      </c>
      <c r="CD641" s="424">
        <f t="shared" si="1387"/>
        <v>0</v>
      </c>
      <c r="CE641" s="424">
        <f t="shared" si="1387"/>
        <v>0</v>
      </c>
      <c r="CF641" s="424">
        <f t="shared" si="1387"/>
        <v>0</v>
      </c>
      <c r="CG641" s="424">
        <f t="shared" si="1387"/>
        <v>0</v>
      </c>
      <c r="CH641" s="424">
        <f t="shared" si="1387"/>
        <v>0</v>
      </c>
      <c r="CI641" s="424">
        <f t="shared" si="1387"/>
        <v>0</v>
      </c>
      <c r="CJ641" s="424">
        <f t="shared" si="1387"/>
        <v>0</v>
      </c>
      <c r="CK641" s="424">
        <f t="shared" si="1387"/>
        <v>0</v>
      </c>
      <c r="CL641" s="424">
        <f t="shared" si="1387"/>
        <v>0</v>
      </c>
      <c r="CM641" s="424">
        <f t="shared" si="1387"/>
        <v>0</v>
      </c>
      <c r="CN641" s="424">
        <f t="shared" si="1387"/>
        <v>0</v>
      </c>
      <c r="CO641" s="424">
        <f t="shared" si="1387"/>
        <v>0</v>
      </c>
      <c r="CP641" s="424">
        <f t="shared" si="1387"/>
        <v>0</v>
      </c>
      <c r="CQ641" s="424">
        <f t="shared" si="1387"/>
        <v>0</v>
      </c>
      <c r="CR641" s="424">
        <f t="shared" si="1387"/>
        <v>0</v>
      </c>
      <c r="CS641" s="424">
        <f t="shared" si="1387"/>
        <v>0</v>
      </c>
      <c r="CT641" s="424">
        <f t="shared" si="1387"/>
        <v>0</v>
      </c>
      <c r="CU641" s="424">
        <f t="shared" si="1387"/>
        <v>0</v>
      </c>
      <c r="CV641" s="424">
        <f t="shared" si="1387"/>
        <v>0</v>
      </c>
      <c r="CW641" s="424">
        <f t="shared" si="1387"/>
        <v>0</v>
      </c>
      <c r="CX641" s="424">
        <f t="shared" si="1387"/>
        <v>0</v>
      </c>
      <c r="CY641" s="424">
        <f t="shared" si="1387"/>
        <v>0</v>
      </c>
      <c r="CZ641" s="424">
        <f t="shared" si="1387"/>
        <v>1.1399999999999999</v>
      </c>
      <c r="DA641" s="424">
        <f t="shared" si="1387"/>
        <v>0</v>
      </c>
      <c r="DB641" s="424">
        <f t="shared" ref="DB641:EG641" si="1388">DB271*DB$372</f>
        <v>0</v>
      </c>
      <c r="DC641" s="424">
        <f t="shared" si="1388"/>
        <v>0</v>
      </c>
      <c r="DD641" s="424">
        <f t="shared" si="1388"/>
        <v>0</v>
      </c>
      <c r="DE641" s="424">
        <f t="shared" si="1388"/>
        <v>0</v>
      </c>
      <c r="DF641" s="424">
        <f t="shared" si="1388"/>
        <v>0</v>
      </c>
      <c r="DG641" s="424">
        <f t="shared" si="1388"/>
        <v>0</v>
      </c>
      <c r="DH641" s="424">
        <f t="shared" si="1388"/>
        <v>0</v>
      </c>
      <c r="DI641" s="424">
        <f t="shared" si="1388"/>
        <v>0</v>
      </c>
      <c r="DJ641" s="424">
        <f t="shared" si="1388"/>
        <v>0</v>
      </c>
      <c r="DK641" s="424">
        <f t="shared" si="1388"/>
        <v>0</v>
      </c>
      <c r="DL641" s="424">
        <f t="shared" si="1388"/>
        <v>0</v>
      </c>
      <c r="DM641" s="424">
        <f t="shared" si="1388"/>
        <v>0</v>
      </c>
      <c r="DN641" s="424">
        <f t="shared" si="1388"/>
        <v>0</v>
      </c>
      <c r="DO641" s="424">
        <f t="shared" si="1388"/>
        <v>0</v>
      </c>
      <c r="DP641" s="424">
        <f t="shared" si="1388"/>
        <v>0</v>
      </c>
      <c r="DQ641" s="424">
        <f t="shared" si="1388"/>
        <v>0</v>
      </c>
      <c r="DR641" s="424">
        <f t="shared" si="1388"/>
        <v>0</v>
      </c>
      <c r="DS641" s="424">
        <f t="shared" si="1388"/>
        <v>0</v>
      </c>
      <c r="DT641" s="424">
        <f t="shared" si="1388"/>
        <v>0</v>
      </c>
      <c r="DU641" s="424">
        <f t="shared" si="1388"/>
        <v>0</v>
      </c>
      <c r="DV641" s="424">
        <f t="shared" si="1388"/>
        <v>0</v>
      </c>
      <c r="DW641" s="424">
        <f t="shared" si="1388"/>
        <v>0</v>
      </c>
      <c r="DX641" s="424">
        <f t="shared" si="1388"/>
        <v>0</v>
      </c>
      <c r="DY641" s="424">
        <f t="shared" si="1388"/>
        <v>0</v>
      </c>
      <c r="DZ641" s="424">
        <f t="shared" si="1388"/>
        <v>0</v>
      </c>
      <c r="EA641" s="424">
        <f t="shared" si="1388"/>
        <v>0</v>
      </c>
      <c r="EB641" s="424">
        <f t="shared" si="1388"/>
        <v>0</v>
      </c>
      <c r="EC641" s="424">
        <f t="shared" si="1388"/>
        <v>0</v>
      </c>
      <c r="ED641" s="424">
        <f t="shared" si="1388"/>
        <v>0</v>
      </c>
      <c r="EE641" s="424">
        <f t="shared" si="1388"/>
        <v>0</v>
      </c>
      <c r="EF641" s="424">
        <f t="shared" si="1388"/>
        <v>0</v>
      </c>
      <c r="EG641" s="424">
        <f t="shared" si="1388"/>
        <v>0</v>
      </c>
      <c r="EH641" s="424">
        <f t="shared" ref="EH641:EX641" si="1389">EH271*EH$372</f>
        <v>0</v>
      </c>
      <c r="EI641" s="424">
        <f t="shared" si="1389"/>
        <v>0</v>
      </c>
      <c r="EJ641" s="424">
        <f t="shared" si="1389"/>
        <v>0</v>
      </c>
      <c r="EK641" s="424">
        <f t="shared" si="1389"/>
        <v>0</v>
      </c>
      <c r="EL641" s="424">
        <f t="shared" si="1389"/>
        <v>0</v>
      </c>
      <c r="EM641" s="424">
        <f t="shared" si="1389"/>
        <v>0</v>
      </c>
      <c r="EN641" s="424">
        <f t="shared" si="1389"/>
        <v>0</v>
      </c>
      <c r="EO641" s="424">
        <f t="shared" si="1389"/>
        <v>0</v>
      </c>
      <c r="EP641" s="424">
        <f t="shared" si="1389"/>
        <v>0</v>
      </c>
      <c r="EQ641" s="424">
        <f t="shared" si="1389"/>
        <v>0</v>
      </c>
      <c r="ER641" s="424">
        <f t="shared" si="1389"/>
        <v>0</v>
      </c>
      <c r="ES641" s="424">
        <f t="shared" si="1389"/>
        <v>0</v>
      </c>
      <c r="ET641" s="424">
        <f t="shared" si="1389"/>
        <v>0</v>
      </c>
      <c r="EU641" s="424">
        <f t="shared" si="1389"/>
        <v>0</v>
      </c>
      <c r="EV641" s="424">
        <f t="shared" si="1389"/>
        <v>0</v>
      </c>
      <c r="EW641" s="424">
        <f t="shared" si="1389"/>
        <v>0</v>
      </c>
      <c r="EX641" s="424">
        <f t="shared" si="1389"/>
        <v>0</v>
      </c>
      <c r="EY641" s="425">
        <f t="shared" si="1064"/>
        <v>17.34</v>
      </c>
    </row>
    <row r="642" spans="1:166" ht="14.7" customHeight="1" x14ac:dyDescent="0.25">
      <c r="A642" s="310">
        <v>268</v>
      </c>
      <c r="B642" s="311" t="str">
        <f t="shared" si="1331"/>
        <v xml:space="preserve">Компот из яблок </v>
      </c>
      <c r="C642" s="483">
        <f t="shared" si="1354"/>
        <v>6.01</v>
      </c>
      <c r="D642" s="888"/>
      <c r="E642" s="888"/>
      <c r="F642" s="888"/>
      <c r="G642" s="889"/>
      <c r="H642" s="680">
        <f t="shared" si="1338"/>
        <v>342</v>
      </c>
      <c r="I642" s="1209">
        <f t="shared" si="1332"/>
        <v>0</v>
      </c>
      <c r="J642" s="424">
        <f t="shared" ref="J642:AO642" si="1390">J272*J$372</f>
        <v>0</v>
      </c>
      <c r="K642" s="424">
        <f t="shared" si="1390"/>
        <v>0</v>
      </c>
      <c r="L642" s="424">
        <f t="shared" si="1390"/>
        <v>0</v>
      </c>
      <c r="M642" s="424">
        <f t="shared" si="1390"/>
        <v>0</v>
      </c>
      <c r="N642" s="424">
        <f t="shared" si="1390"/>
        <v>0</v>
      </c>
      <c r="O642" s="424">
        <f t="shared" si="1390"/>
        <v>0</v>
      </c>
      <c r="P642" s="424">
        <f t="shared" si="1390"/>
        <v>0</v>
      </c>
      <c r="Q642" s="424">
        <f t="shared" si="1390"/>
        <v>0</v>
      </c>
      <c r="R642" s="424">
        <f t="shared" si="1390"/>
        <v>0</v>
      </c>
      <c r="S642" s="424">
        <f t="shared" si="1390"/>
        <v>0</v>
      </c>
      <c r="T642" s="424">
        <f t="shared" si="1390"/>
        <v>0</v>
      </c>
      <c r="U642" s="424">
        <f t="shared" si="1390"/>
        <v>0</v>
      </c>
      <c r="V642" s="424">
        <f t="shared" si="1390"/>
        <v>0</v>
      </c>
      <c r="W642" s="424">
        <f t="shared" si="1390"/>
        <v>0</v>
      </c>
      <c r="X642" s="424">
        <f t="shared" si="1390"/>
        <v>0</v>
      </c>
      <c r="Y642" s="424">
        <f t="shared" si="1390"/>
        <v>0</v>
      </c>
      <c r="Z642" s="424">
        <f t="shared" si="1390"/>
        <v>0</v>
      </c>
      <c r="AA642" s="424">
        <f t="shared" si="1390"/>
        <v>0</v>
      </c>
      <c r="AB642" s="424">
        <f t="shared" si="1390"/>
        <v>0</v>
      </c>
      <c r="AC642" s="424">
        <f t="shared" si="1390"/>
        <v>0</v>
      </c>
      <c r="AD642" s="424">
        <f t="shared" si="1390"/>
        <v>0</v>
      </c>
      <c r="AE642" s="424">
        <f t="shared" si="1390"/>
        <v>0</v>
      </c>
      <c r="AF642" s="424">
        <f t="shared" si="1390"/>
        <v>0</v>
      </c>
      <c r="AG642" s="424">
        <f t="shared" si="1390"/>
        <v>0</v>
      </c>
      <c r="AH642" s="424">
        <f t="shared" si="1390"/>
        <v>0</v>
      </c>
      <c r="AI642" s="424">
        <f t="shared" si="1390"/>
        <v>0</v>
      </c>
      <c r="AJ642" s="424">
        <f t="shared" si="1390"/>
        <v>0</v>
      </c>
      <c r="AK642" s="424">
        <f t="shared" si="1390"/>
        <v>0</v>
      </c>
      <c r="AL642" s="424">
        <f t="shared" si="1390"/>
        <v>0</v>
      </c>
      <c r="AM642" s="424">
        <f t="shared" si="1390"/>
        <v>0</v>
      </c>
      <c r="AN642" s="424">
        <f t="shared" si="1390"/>
        <v>0</v>
      </c>
      <c r="AO642" s="424">
        <f t="shared" si="1390"/>
        <v>0</v>
      </c>
      <c r="AP642" s="424">
        <f t="shared" ref="AP642:BU642" si="1391">AP272*AP$372</f>
        <v>0</v>
      </c>
      <c r="AQ642" s="424">
        <f t="shared" si="1391"/>
        <v>0</v>
      </c>
      <c r="AR642" s="424">
        <f t="shared" si="1391"/>
        <v>0</v>
      </c>
      <c r="AS642" s="424">
        <f t="shared" si="1391"/>
        <v>0</v>
      </c>
      <c r="AT642" s="424">
        <f t="shared" si="1391"/>
        <v>0</v>
      </c>
      <c r="AU642" s="424">
        <f t="shared" si="1391"/>
        <v>0</v>
      </c>
      <c r="AV642" s="424">
        <f t="shared" si="1391"/>
        <v>0</v>
      </c>
      <c r="AW642" s="424">
        <f t="shared" si="1391"/>
        <v>0</v>
      </c>
      <c r="AX642" s="424">
        <f t="shared" si="1391"/>
        <v>0</v>
      </c>
      <c r="AY642" s="424">
        <f t="shared" si="1391"/>
        <v>0</v>
      </c>
      <c r="AZ642" s="424">
        <f t="shared" si="1391"/>
        <v>0</v>
      </c>
      <c r="BA642" s="424">
        <f t="shared" si="1391"/>
        <v>0</v>
      </c>
      <c r="BB642" s="424">
        <f t="shared" si="1391"/>
        <v>0</v>
      </c>
      <c r="BC642" s="424">
        <f t="shared" si="1391"/>
        <v>0</v>
      </c>
      <c r="BD642" s="424">
        <f t="shared" si="1391"/>
        <v>0</v>
      </c>
      <c r="BE642" s="424">
        <f t="shared" si="1391"/>
        <v>0</v>
      </c>
      <c r="BF642" s="424">
        <f t="shared" si="1391"/>
        <v>0</v>
      </c>
      <c r="BG642" s="424">
        <f t="shared" si="1391"/>
        <v>0</v>
      </c>
      <c r="BH642" s="424">
        <f t="shared" si="1391"/>
        <v>0</v>
      </c>
      <c r="BI642" s="424">
        <f t="shared" si="1391"/>
        <v>0</v>
      </c>
      <c r="BJ642" s="424">
        <f t="shared" si="1391"/>
        <v>0</v>
      </c>
      <c r="BK642" s="424">
        <f t="shared" si="1391"/>
        <v>0</v>
      </c>
      <c r="BL642" s="424">
        <f t="shared" si="1391"/>
        <v>0</v>
      </c>
      <c r="BM642" s="424">
        <f t="shared" si="1391"/>
        <v>0</v>
      </c>
      <c r="BN642" s="424">
        <f t="shared" si="1391"/>
        <v>0</v>
      </c>
      <c r="BO642" s="424">
        <f t="shared" si="1391"/>
        <v>0</v>
      </c>
      <c r="BP642" s="424">
        <f t="shared" si="1391"/>
        <v>0</v>
      </c>
      <c r="BQ642" s="424">
        <f t="shared" si="1391"/>
        <v>0</v>
      </c>
      <c r="BR642" s="424">
        <f t="shared" si="1391"/>
        <v>4.13</v>
      </c>
      <c r="BS642" s="424">
        <f t="shared" si="1391"/>
        <v>0</v>
      </c>
      <c r="BT642" s="424">
        <f t="shared" si="1391"/>
        <v>0</v>
      </c>
      <c r="BU642" s="424">
        <f t="shared" si="1391"/>
        <v>0</v>
      </c>
      <c r="BV642" s="424">
        <f t="shared" ref="BV642:DA642" si="1392">BV272*BV$372</f>
        <v>0</v>
      </c>
      <c r="BW642" s="424">
        <f t="shared" si="1392"/>
        <v>0</v>
      </c>
      <c r="BX642" s="424">
        <f t="shared" si="1392"/>
        <v>0</v>
      </c>
      <c r="BY642" s="424">
        <f t="shared" si="1392"/>
        <v>0</v>
      </c>
      <c r="BZ642" s="424">
        <f t="shared" si="1392"/>
        <v>0</v>
      </c>
      <c r="CA642" s="424">
        <f t="shared" si="1392"/>
        <v>0</v>
      </c>
      <c r="CB642" s="424">
        <f t="shared" si="1392"/>
        <v>0</v>
      </c>
      <c r="CC642" s="424">
        <f t="shared" si="1392"/>
        <v>0</v>
      </c>
      <c r="CD642" s="424">
        <f t="shared" si="1392"/>
        <v>0</v>
      </c>
      <c r="CE642" s="424">
        <f t="shared" si="1392"/>
        <v>0</v>
      </c>
      <c r="CF642" s="424">
        <f t="shared" si="1392"/>
        <v>0</v>
      </c>
      <c r="CG642" s="424">
        <f t="shared" si="1392"/>
        <v>0</v>
      </c>
      <c r="CH642" s="424">
        <f t="shared" si="1392"/>
        <v>0</v>
      </c>
      <c r="CI642" s="424">
        <f t="shared" si="1392"/>
        <v>0</v>
      </c>
      <c r="CJ642" s="424">
        <f t="shared" si="1392"/>
        <v>0</v>
      </c>
      <c r="CK642" s="424">
        <f t="shared" si="1392"/>
        <v>0</v>
      </c>
      <c r="CL642" s="424">
        <f t="shared" si="1392"/>
        <v>0</v>
      </c>
      <c r="CM642" s="424">
        <f t="shared" si="1392"/>
        <v>0</v>
      </c>
      <c r="CN642" s="424">
        <f t="shared" si="1392"/>
        <v>0</v>
      </c>
      <c r="CO642" s="424">
        <f t="shared" si="1392"/>
        <v>0</v>
      </c>
      <c r="CP642" s="424">
        <f t="shared" si="1392"/>
        <v>0</v>
      </c>
      <c r="CQ642" s="424">
        <f t="shared" si="1392"/>
        <v>0.06</v>
      </c>
      <c r="CR642" s="424">
        <f t="shared" si="1392"/>
        <v>0</v>
      </c>
      <c r="CS642" s="424">
        <f t="shared" si="1392"/>
        <v>0</v>
      </c>
      <c r="CT642" s="424">
        <f t="shared" si="1392"/>
        <v>0</v>
      </c>
      <c r="CU642" s="424">
        <f t="shared" si="1392"/>
        <v>0</v>
      </c>
      <c r="CV642" s="424">
        <f t="shared" si="1392"/>
        <v>0</v>
      </c>
      <c r="CW642" s="424">
        <f t="shared" si="1392"/>
        <v>0</v>
      </c>
      <c r="CX642" s="424">
        <f t="shared" si="1392"/>
        <v>0</v>
      </c>
      <c r="CY642" s="424">
        <f t="shared" si="1392"/>
        <v>0</v>
      </c>
      <c r="CZ642" s="424">
        <f t="shared" si="1392"/>
        <v>1.82</v>
      </c>
      <c r="DA642" s="424">
        <f t="shared" si="1392"/>
        <v>0</v>
      </c>
      <c r="DB642" s="424">
        <f t="shared" ref="DB642:EG642" si="1393">DB272*DB$372</f>
        <v>0</v>
      </c>
      <c r="DC642" s="424">
        <f t="shared" si="1393"/>
        <v>0</v>
      </c>
      <c r="DD642" s="424">
        <f t="shared" si="1393"/>
        <v>0</v>
      </c>
      <c r="DE642" s="424">
        <f t="shared" si="1393"/>
        <v>0</v>
      </c>
      <c r="DF642" s="424">
        <f t="shared" si="1393"/>
        <v>0</v>
      </c>
      <c r="DG642" s="424">
        <f t="shared" si="1393"/>
        <v>0</v>
      </c>
      <c r="DH642" s="424">
        <f t="shared" si="1393"/>
        <v>0</v>
      </c>
      <c r="DI642" s="424">
        <f t="shared" si="1393"/>
        <v>0</v>
      </c>
      <c r="DJ642" s="424">
        <f t="shared" si="1393"/>
        <v>0</v>
      </c>
      <c r="DK642" s="424">
        <f t="shared" si="1393"/>
        <v>0</v>
      </c>
      <c r="DL642" s="424">
        <f t="shared" si="1393"/>
        <v>0</v>
      </c>
      <c r="DM642" s="424">
        <f t="shared" si="1393"/>
        <v>0</v>
      </c>
      <c r="DN642" s="424">
        <f t="shared" si="1393"/>
        <v>0</v>
      </c>
      <c r="DO642" s="424">
        <f t="shared" si="1393"/>
        <v>0</v>
      </c>
      <c r="DP642" s="424">
        <f t="shared" si="1393"/>
        <v>0</v>
      </c>
      <c r="DQ642" s="424">
        <f t="shared" si="1393"/>
        <v>0</v>
      </c>
      <c r="DR642" s="424">
        <f t="shared" si="1393"/>
        <v>0</v>
      </c>
      <c r="DS642" s="424">
        <f t="shared" si="1393"/>
        <v>0</v>
      </c>
      <c r="DT642" s="424">
        <f t="shared" si="1393"/>
        <v>0</v>
      </c>
      <c r="DU642" s="424">
        <f t="shared" si="1393"/>
        <v>0</v>
      </c>
      <c r="DV642" s="424">
        <f t="shared" si="1393"/>
        <v>0</v>
      </c>
      <c r="DW642" s="424">
        <f t="shared" si="1393"/>
        <v>0</v>
      </c>
      <c r="DX642" s="424">
        <f t="shared" si="1393"/>
        <v>0</v>
      </c>
      <c r="DY642" s="424">
        <f t="shared" si="1393"/>
        <v>0</v>
      </c>
      <c r="DZ642" s="424">
        <f t="shared" si="1393"/>
        <v>0</v>
      </c>
      <c r="EA642" s="424">
        <f t="shared" si="1393"/>
        <v>0</v>
      </c>
      <c r="EB642" s="424">
        <f t="shared" si="1393"/>
        <v>0</v>
      </c>
      <c r="EC642" s="424">
        <f t="shared" si="1393"/>
        <v>0</v>
      </c>
      <c r="ED642" s="424">
        <f t="shared" si="1393"/>
        <v>0</v>
      </c>
      <c r="EE642" s="424">
        <f t="shared" si="1393"/>
        <v>0</v>
      </c>
      <c r="EF642" s="424">
        <f t="shared" si="1393"/>
        <v>0</v>
      </c>
      <c r="EG642" s="424">
        <f t="shared" si="1393"/>
        <v>0</v>
      </c>
      <c r="EH642" s="424">
        <f t="shared" ref="EH642:EX642" si="1394">EH272*EH$372</f>
        <v>0</v>
      </c>
      <c r="EI642" s="424">
        <f t="shared" si="1394"/>
        <v>0</v>
      </c>
      <c r="EJ642" s="424">
        <f t="shared" si="1394"/>
        <v>0</v>
      </c>
      <c r="EK642" s="424">
        <f t="shared" si="1394"/>
        <v>0</v>
      </c>
      <c r="EL642" s="424">
        <f t="shared" si="1394"/>
        <v>0</v>
      </c>
      <c r="EM642" s="424">
        <f t="shared" si="1394"/>
        <v>0</v>
      </c>
      <c r="EN642" s="424">
        <f t="shared" si="1394"/>
        <v>0</v>
      </c>
      <c r="EO642" s="424">
        <f t="shared" si="1394"/>
        <v>0</v>
      </c>
      <c r="EP642" s="424">
        <f t="shared" si="1394"/>
        <v>0</v>
      </c>
      <c r="EQ642" s="424">
        <f t="shared" si="1394"/>
        <v>0</v>
      </c>
      <c r="ER642" s="424">
        <f t="shared" si="1394"/>
        <v>0</v>
      </c>
      <c r="ES642" s="424">
        <f t="shared" si="1394"/>
        <v>0</v>
      </c>
      <c r="ET642" s="424">
        <f t="shared" si="1394"/>
        <v>0</v>
      </c>
      <c r="EU642" s="424">
        <f t="shared" si="1394"/>
        <v>0</v>
      </c>
      <c r="EV642" s="424">
        <f t="shared" si="1394"/>
        <v>0</v>
      </c>
      <c r="EW642" s="424">
        <f t="shared" si="1394"/>
        <v>0</v>
      </c>
      <c r="EX642" s="424">
        <f t="shared" si="1394"/>
        <v>0</v>
      </c>
      <c r="EY642" s="425">
        <f t="shared" si="1064"/>
        <v>6.01</v>
      </c>
    </row>
    <row r="643" spans="1:166" ht="14.7" customHeight="1" x14ac:dyDescent="0.25">
      <c r="A643" s="310">
        <v>269</v>
      </c>
      <c r="B643" s="311" t="str">
        <f t="shared" si="1331"/>
        <v>Компот из вишни</v>
      </c>
      <c r="C643" s="483">
        <f t="shared" si="1354"/>
        <v>12.43</v>
      </c>
      <c r="D643" s="888"/>
      <c r="E643" s="888"/>
      <c r="F643" s="888"/>
      <c r="G643" s="889"/>
      <c r="H643" s="680">
        <f t="shared" si="1338"/>
        <v>342</v>
      </c>
      <c r="I643" s="1209">
        <f t="shared" si="1332"/>
        <v>0</v>
      </c>
      <c r="J643" s="424">
        <f t="shared" ref="J643:AO643" si="1395">J273*J$372</f>
        <v>0</v>
      </c>
      <c r="K643" s="424">
        <f t="shared" si="1395"/>
        <v>0</v>
      </c>
      <c r="L643" s="424">
        <f t="shared" si="1395"/>
        <v>0</v>
      </c>
      <c r="M643" s="424">
        <f t="shared" si="1395"/>
        <v>0</v>
      </c>
      <c r="N643" s="424">
        <f t="shared" si="1395"/>
        <v>0</v>
      </c>
      <c r="O643" s="424">
        <f t="shared" si="1395"/>
        <v>0</v>
      </c>
      <c r="P643" s="424">
        <f t="shared" si="1395"/>
        <v>0</v>
      </c>
      <c r="Q643" s="424">
        <f t="shared" si="1395"/>
        <v>0</v>
      </c>
      <c r="R643" s="424">
        <f t="shared" si="1395"/>
        <v>0</v>
      </c>
      <c r="S643" s="424">
        <f t="shared" si="1395"/>
        <v>0</v>
      </c>
      <c r="T643" s="424">
        <f t="shared" si="1395"/>
        <v>0</v>
      </c>
      <c r="U643" s="424">
        <f t="shared" si="1395"/>
        <v>0</v>
      </c>
      <c r="V643" s="424">
        <f t="shared" si="1395"/>
        <v>0</v>
      </c>
      <c r="W643" s="424">
        <f t="shared" si="1395"/>
        <v>0</v>
      </c>
      <c r="X643" s="424">
        <f t="shared" si="1395"/>
        <v>0</v>
      </c>
      <c r="Y643" s="424">
        <f t="shared" si="1395"/>
        <v>0</v>
      </c>
      <c r="Z643" s="424">
        <f t="shared" si="1395"/>
        <v>0</v>
      </c>
      <c r="AA643" s="424">
        <f t="shared" si="1395"/>
        <v>0</v>
      </c>
      <c r="AB643" s="424">
        <f t="shared" si="1395"/>
        <v>0</v>
      </c>
      <c r="AC643" s="424">
        <f t="shared" si="1395"/>
        <v>0</v>
      </c>
      <c r="AD643" s="424">
        <f t="shared" si="1395"/>
        <v>0</v>
      </c>
      <c r="AE643" s="424">
        <f t="shared" si="1395"/>
        <v>0</v>
      </c>
      <c r="AF643" s="424">
        <f t="shared" si="1395"/>
        <v>0</v>
      </c>
      <c r="AG643" s="424">
        <f t="shared" si="1395"/>
        <v>0</v>
      </c>
      <c r="AH643" s="424">
        <f t="shared" si="1395"/>
        <v>0</v>
      </c>
      <c r="AI643" s="424">
        <f t="shared" si="1395"/>
        <v>0</v>
      </c>
      <c r="AJ643" s="424">
        <f t="shared" si="1395"/>
        <v>0</v>
      </c>
      <c r="AK643" s="424">
        <f t="shared" si="1395"/>
        <v>0</v>
      </c>
      <c r="AL643" s="424">
        <f t="shared" si="1395"/>
        <v>0</v>
      </c>
      <c r="AM643" s="424">
        <f t="shared" si="1395"/>
        <v>0</v>
      </c>
      <c r="AN643" s="424">
        <f t="shared" si="1395"/>
        <v>0</v>
      </c>
      <c r="AO643" s="424">
        <f t="shared" si="1395"/>
        <v>0</v>
      </c>
      <c r="AP643" s="424">
        <f t="shared" ref="AP643:BU643" si="1396">AP273*AP$372</f>
        <v>0</v>
      </c>
      <c r="AQ643" s="424">
        <f t="shared" si="1396"/>
        <v>0</v>
      </c>
      <c r="AR643" s="424">
        <f t="shared" si="1396"/>
        <v>0</v>
      </c>
      <c r="AS643" s="424">
        <f t="shared" si="1396"/>
        <v>0</v>
      </c>
      <c r="AT643" s="424">
        <f t="shared" si="1396"/>
        <v>0</v>
      </c>
      <c r="AU643" s="424">
        <f t="shared" si="1396"/>
        <v>0</v>
      </c>
      <c r="AV643" s="424">
        <f t="shared" si="1396"/>
        <v>0</v>
      </c>
      <c r="AW643" s="424">
        <f t="shared" si="1396"/>
        <v>0</v>
      </c>
      <c r="AX643" s="424">
        <f t="shared" si="1396"/>
        <v>0</v>
      </c>
      <c r="AY643" s="424">
        <f t="shared" si="1396"/>
        <v>0</v>
      </c>
      <c r="AZ643" s="424">
        <f t="shared" si="1396"/>
        <v>0</v>
      </c>
      <c r="BA643" s="424">
        <f t="shared" si="1396"/>
        <v>0</v>
      </c>
      <c r="BB643" s="424">
        <f t="shared" si="1396"/>
        <v>0</v>
      </c>
      <c r="BC643" s="424">
        <f t="shared" si="1396"/>
        <v>0</v>
      </c>
      <c r="BD643" s="424">
        <f t="shared" si="1396"/>
        <v>0</v>
      </c>
      <c r="BE643" s="424">
        <f t="shared" si="1396"/>
        <v>0</v>
      </c>
      <c r="BF643" s="424">
        <f t="shared" si="1396"/>
        <v>0</v>
      </c>
      <c r="BG643" s="424">
        <f t="shared" si="1396"/>
        <v>10.55</v>
      </c>
      <c r="BH643" s="424">
        <f t="shared" si="1396"/>
        <v>0</v>
      </c>
      <c r="BI643" s="424">
        <f t="shared" si="1396"/>
        <v>0</v>
      </c>
      <c r="BJ643" s="424">
        <f t="shared" si="1396"/>
        <v>0</v>
      </c>
      <c r="BK643" s="424">
        <f t="shared" si="1396"/>
        <v>0</v>
      </c>
      <c r="BL643" s="424">
        <f t="shared" si="1396"/>
        <v>0</v>
      </c>
      <c r="BM643" s="424">
        <f t="shared" si="1396"/>
        <v>0</v>
      </c>
      <c r="BN643" s="424">
        <f t="shared" si="1396"/>
        <v>0</v>
      </c>
      <c r="BO643" s="424">
        <f t="shared" si="1396"/>
        <v>0</v>
      </c>
      <c r="BP643" s="424">
        <f t="shared" si="1396"/>
        <v>0</v>
      </c>
      <c r="BQ643" s="424">
        <f t="shared" si="1396"/>
        <v>0</v>
      </c>
      <c r="BR643" s="424">
        <f t="shared" si="1396"/>
        <v>0</v>
      </c>
      <c r="BS643" s="424">
        <f t="shared" si="1396"/>
        <v>0</v>
      </c>
      <c r="BT643" s="424">
        <f t="shared" si="1396"/>
        <v>0</v>
      </c>
      <c r="BU643" s="424">
        <f t="shared" si="1396"/>
        <v>0</v>
      </c>
      <c r="BV643" s="424">
        <f t="shared" ref="BV643:DA643" si="1397">BV273*BV$372</f>
        <v>0</v>
      </c>
      <c r="BW643" s="424">
        <f t="shared" si="1397"/>
        <v>0</v>
      </c>
      <c r="BX643" s="424">
        <f t="shared" si="1397"/>
        <v>0</v>
      </c>
      <c r="BY643" s="424">
        <f t="shared" si="1397"/>
        <v>0</v>
      </c>
      <c r="BZ643" s="424">
        <f t="shared" si="1397"/>
        <v>0</v>
      </c>
      <c r="CA643" s="424">
        <f t="shared" si="1397"/>
        <v>0</v>
      </c>
      <c r="CB643" s="424">
        <f t="shared" si="1397"/>
        <v>0</v>
      </c>
      <c r="CC643" s="424">
        <f t="shared" si="1397"/>
        <v>0</v>
      </c>
      <c r="CD643" s="424">
        <f t="shared" si="1397"/>
        <v>0</v>
      </c>
      <c r="CE643" s="424">
        <f t="shared" si="1397"/>
        <v>0</v>
      </c>
      <c r="CF643" s="424">
        <f t="shared" si="1397"/>
        <v>0</v>
      </c>
      <c r="CG643" s="424">
        <f t="shared" si="1397"/>
        <v>0</v>
      </c>
      <c r="CH643" s="424">
        <f t="shared" si="1397"/>
        <v>0</v>
      </c>
      <c r="CI643" s="424">
        <f t="shared" si="1397"/>
        <v>0</v>
      </c>
      <c r="CJ643" s="424">
        <f t="shared" si="1397"/>
        <v>0</v>
      </c>
      <c r="CK643" s="424">
        <f t="shared" si="1397"/>
        <v>0</v>
      </c>
      <c r="CL643" s="424">
        <f t="shared" si="1397"/>
        <v>0</v>
      </c>
      <c r="CM643" s="424">
        <f t="shared" si="1397"/>
        <v>0</v>
      </c>
      <c r="CN643" s="424">
        <f t="shared" si="1397"/>
        <v>0</v>
      </c>
      <c r="CO643" s="424">
        <f t="shared" si="1397"/>
        <v>0</v>
      </c>
      <c r="CP643" s="424">
        <f t="shared" si="1397"/>
        <v>0</v>
      </c>
      <c r="CQ643" s="424">
        <f t="shared" si="1397"/>
        <v>0.06</v>
      </c>
      <c r="CR643" s="424">
        <f t="shared" si="1397"/>
        <v>0</v>
      </c>
      <c r="CS643" s="424">
        <f t="shared" si="1397"/>
        <v>0</v>
      </c>
      <c r="CT643" s="424">
        <f t="shared" si="1397"/>
        <v>0</v>
      </c>
      <c r="CU643" s="424">
        <f t="shared" si="1397"/>
        <v>0</v>
      </c>
      <c r="CV643" s="424">
        <f t="shared" si="1397"/>
        <v>0</v>
      </c>
      <c r="CW643" s="424">
        <f t="shared" si="1397"/>
        <v>0</v>
      </c>
      <c r="CX643" s="424">
        <f t="shared" si="1397"/>
        <v>0</v>
      </c>
      <c r="CY643" s="424">
        <f t="shared" si="1397"/>
        <v>0</v>
      </c>
      <c r="CZ643" s="424">
        <f t="shared" si="1397"/>
        <v>1.82</v>
      </c>
      <c r="DA643" s="424">
        <f t="shared" si="1397"/>
        <v>0</v>
      </c>
      <c r="DB643" s="424">
        <f t="shared" ref="DB643:EG643" si="1398">DB273*DB$372</f>
        <v>0</v>
      </c>
      <c r="DC643" s="424">
        <f t="shared" si="1398"/>
        <v>0</v>
      </c>
      <c r="DD643" s="424">
        <f t="shared" si="1398"/>
        <v>0</v>
      </c>
      <c r="DE643" s="424">
        <f t="shared" si="1398"/>
        <v>0</v>
      </c>
      <c r="DF643" s="424">
        <f t="shared" si="1398"/>
        <v>0</v>
      </c>
      <c r="DG643" s="424">
        <f t="shared" si="1398"/>
        <v>0</v>
      </c>
      <c r="DH643" s="424">
        <f t="shared" si="1398"/>
        <v>0</v>
      </c>
      <c r="DI643" s="424">
        <f t="shared" si="1398"/>
        <v>0</v>
      </c>
      <c r="DJ643" s="424">
        <f t="shared" si="1398"/>
        <v>0</v>
      </c>
      <c r="DK643" s="424">
        <f t="shared" si="1398"/>
        <v>0</v>
      </c>
      <c r="DL643" s="424">
        <f t="shared" si="1398"/>
        <v>0</v>
      </c>
      <c r="DM643" s="424">
        <f t="shared" si="1398"/>
        <v>0</v>
      </c>
      <c r="DN643" s="424">
        <f t="shared" si="1398"/>
        <v>0</v>
      </c>
      <c r="DO643" s="424">
        <f t="shared" si="1398"/>
        <v>0</v>
      </c>
      <c r="DP643" s="424">
        <f t="shared" si="1398"/>
        <v>0</v>
      </c>
      <c r="DQ643" s="424">
        <f t="shared" si="1398"/>
        <v>0</v>
      </c>
      <c r="DR643" s="424">
        <f t="shared" si="1398"/>
        <v>0</v>
      </c>
      <c r="DS643" s="424">
        <f t="shared" si="1398"/>
        <v>0</v>
      </c>
      <c r="DT643" s="424">
        <f t="shared" si="1398"/>
        <v>0</v>
      </c>
      <c r="DU643" s="424">
        <f t="shared" si="1398"/>
        <v>0</v>
      </c>
      <c r="DV643" s="424">
        <f t="shared" si="1398"/>
        <v>0</v>
      </c>
      <c r="DW643" s="424">
        <f t="shared" si="1398"/>
        <v>0</v>
      </c>
      <c r="DX643" s="424">
        <f t="shared" si="1398"/>
        <v>0</v>
      </c>
      <c r="DY643" s="424">
        <f t="shared" si="1398"/>
        <v>0</v>
      </c>
      <c r="DZ643" s="424">
        <f t="shared" si="1398"/>
        <v>0</v>
      </c>
      <c r="EA643" s="424">
        <f t="shared" si="1398"/>
        <v>0</v>
      </c>
      <c r="EB643" s="424">
        <f t="shared" si="1398"/>
        <v>0</v>
      </c>
      <c r="EC643" s="424">
        <f t="shared" si="1398"/>
        <v>0</v>
      </c>
      <c r="ED643" s="424">
        <f t="shared" si="1398"/>
        <v>0</v>
      </c>
      <c r="EE643" s="424">
        <f t="shared" si="1398"/>
        <v>0</v>
      </c>
      <c r="EF643" s="424">
        <f t="shared" si="1398"/>
        <v>0</v>
      </c>
      <c r="EG643" s="424">
        <f t="shared" si="1398"/>
        <v>0</v>
      </c>
      <c r="EH643" s="424">
        <f t="shared" ref="EH643:EX643" si="1399">EH273*EH$372</f>
        <v>0</v>
      </c>
      <c r="EI643" s="424">
        <f t="shared" si="1399"/>
        <v>0</v>
      </c>
      <c r="EJ643" s="424">
        <f t="shared" si="1399"/>
        <v>0</v>
      </c>
      <c r="EK643" s="424">
        <f t="shared" si="1399"/>
        <v>0</v>
      </c>
      <c r="EL643" s="424">
        <f t="shared" si="1399"/>
        <v>0</v>
      </c>
      <c r="EM643" s="424">
        <f t="shared" si="1399"/>
        <v>0</v>
      </c>
      <c r="EN643" s="424">
        <f t="shared" si="1399"/>
        <v>0</v>
      </c>
      <c r="EO643" s="424">
        <f t="shared" si="1399"/>
        <v>0</v>
      </c>
      <c r="EP643" s="424">
        <f t="shared" si="1399"/>
        <v>0</v>
      </c>
      <c r="EQ643" s="424">
        <f t="shared" si="1399"/>
        <v>0</v>
      </c>
      <c r="ER643" s="424">
        <f t="shared" si="1399"/>
        <v>0</v>
      </c>
      <c r="ES643" s="424">
        <f t="shared" si="1399"/>
        <v>0</v>
      </c>
      <c r="ET643" s="424">
        <f t="shared" si="1399"/>
        <v>0</v>
      </c>
      <c r="EU643" s="424">
        <f t="shared" si="1399"/>
        <v>0</v>
      </c>
      <c r="EV643" s="424">
        <f t="shared" si="1399"/>
        <v>0</v>
      </c>
      <c r="EW643" s="424">
        <f t="shared" si="1399"/>
        <v>0</v>
      </c>
      <c r="EX643" s="424">
        <f t="shared" si="1399"/>
        <v>0</v>
      </c>
      <c r="EY643" s="425">
        <f t="shared" si="1064"/>
        <v>12.43</v>
      </c>
    </row>
    <row r="644" spans="1:166" s="1181" customFormat="1" ht="14.7" customHeight="1" x14ac:dyDescent="0.25">
      <c r="A644" s="310">
        <v>270</v>
      </c>
      <c r="B644" s="311" t="str">
        <f t="shared" si="1331"/>
        <v>Компот из абрикосов</v>
      </c>
      <c r="C644" s="483">
        <f t="shared" si="1354"/>
        <v>10.27</v>
      </c>
      <c r="D644" s="888"/>
      <c r="E644" s="888"/>
      <c r="F644" s="888"/>
      <c r="G644" s="889"/>
      <c r="H644" s="680">
        <f t="shared" si="1338"/>
        <v>342</v>
      </c>
      <c r="I644" s="1209">
        <f t="shared" si="1332"/>
        <v>0</v>
      </c>
      <c r="J644" s="424">
        <f t="shared" ref="J644:AO644" si="1400">J274*J$372</f>
        <v>0</v>
      </c>
      <c r="K644" s="424">
        <f t="shared" si="1400"/>
        <v>0</v>
      </c>
      <c r="L644" s="424">
        <f t="shared" si="1400"/>
        <v>0</v>
      </c>
      <c r="M644" s="424">
        <f t="shared" si="1400"/>
        <v>0</v>
      </c>
      <c r="N644" s="424">
        <f t="shared" si="1400"/>
        <v>0</v>
      </c>
      <c r="O644" s="424">
        <f t="shared" si="1400"/>
        <v>0</v>
      </c>
      <c r="P644" s="424">
        <f t="shared" si="1400"/>
        <v>0</v>
      </c>
      <c r="Q644" s="424">
        <f t="shared" si="1400"/>
        <v>0</v>
      </c>
      <c r="R644" s="424">
        <f t="shared" si="1400"/>
        <v>0</v>
      </c>
      <c r="S644" s="424">
        <f t="shared" si="1400"/>
        <v>0</v>
      </c>
      <c r="T644" s="424">
        <f t="shared" si="1400"/>
        <v>0</v>
      </c>
      <c r="U644" s="424">
        <f t="shared" si="1400"/>
        <v>0</v>
      </c>
      <c r="V644" s="424">
        <f t="shared" si="1400"/>
        <v>0</v>
      </c>
      <c r="W644" s="424">
        <f t="shared" si="1400"/>
        <v>0</v>
      </c>
      <c r="X644" s="424">
        <f t="shared" si="1400"/>
        <v>0</v>
      </c>
      <c r="Y644" s="424">
        <f t="shared" si="1400"/>
        <v>0</v>
      </c>
      <c r="Z644" s="424">
        <f t="shared" si="1400"/>
        <v>0</v>
      </c>
      <c r="AA644" s="424">
        <f t="shared" si="1400"/>
        <v>0</v>
      </c>
      <c r="AB644" s="424">
        <f t="shared" si="1400"/>
        <v>0</v>
      </c>
      <c r="AC644" s="424">
        <f t="shared" si="1400"/>
        <v>0</v>
      </c>
      <c r="AD644" s="424">
        <f t="shared" si="1400"/>
        <v>0</v>
      </c>
      <c r="AE644" s="424">
        <f t="shared" si="1400"/>
        <v>0</v>
      </c>
      <c r="AF644" s="424">
        <f t="shared" si="1400"/>
        <v>0</v>
      </c>
      <c r="AG644" s="424">
        <f t="shared" si="1400"/>
        <v>0</v>
      </c>
      <c r="AH644" s="424">
        <f t="shared" si="1400"/>
        <v>0</v>
      </c>
      <c r="AI644" s="424">
        <f t="shared" si="1400"/>
        <v>0</v>
      </c>
      <c r="AJ644" s="424">
        <f t="shared" si="1400"/>
        <v>0</v>
      </c>
      <c r="AK644" s="424">
        <f t="shared" si="1400"/>
        <v>0</v>
      </c>
      <c r="AL644" s="424">
        <f t="shared" si="1400"/>
        <v>0</v>
      </c>
      <c r="AM644" s="424">
        <f t="shared" si="1400"/>
        <v>0</v>
      </c>
      <c r="AN644" s="424">
        <f t="shared" si="1400"/>
        <v>0</v>
      </c>
      <c r="AO644" s="424">
        <f t="shared" si="1400"/>
        <v>0</v>
      </c>
      <c r="AP644" s="424">
        <f t="shared" ref="AP644:BU644" si="1401">AP274*AP$372</f>
        <v>0</v>
      </c>
      <c r="AQ644" s="424">
        <f t="shared" si="1401"/>
        <v>0</v>
      </c>
      <c r="AR644" s="424">
        <f t="shared" si="1401"/>
        <v>0</v>
      </c>
      <c r="AS644" s="424">
        <f t="shared" si="1401"/>
        <v>0</v>
      </c>
      <c r="AT644" s="424">
        <f t="shared" si="1401"/>
        <v>0</v>
      </c>
      <c r="AU644" s="424">
        <f t="shared" si="1401"/>
        <v>0</v>
      </c>
      <c r="AV644" s="424">
        <f t="shared" si="1401"/>
        <v>0</v>
      </c>
      <c r="AW644" s="424">
        <f t="shared" si="1401"/>
        <v>0</v>
      </c>
      <c r="AX644" s="424">
        <f t="shared" si="1401"/>
        <v>0</v>
      </c>
      <c r="AY644" s="424">
        <f t="shared" si="1401"/>
        <v>0</v>
      </c>
      <c r="AZ644" s="424">
        <f t="shared" si="1401"/>
        <v>0</v>
      </c>
      <c r="BA644" s="424">
        <f t="shared" si="1401"/>
        <v>0</v>
      </c>
      <c r="BB644" s="424">
        <f t="shared" si="1401"/>
        <v>0</v>
      </c>
      <c r="BC644" s="424">
        <f t="shared" si="1401"/>
        <v>0</v>
      </c>
      <c r="BD644" s="424">
        <f t="shared" si="1401"/>
        <v>0</v>
      </c>
      <c r="BE644" s="424">
        <f t="shared" si="1401"/>
        <v>0</v>
      </c>
      <c r="BF644" s="424">
        <f t="shared" si="1401"/>
        <v>0</v>
      </c>
      <c r="BG644" s="424">
        <f t="shared" si="1401"/>
        <v>0</v>
      </c>
      <c r="BH644" s="424">
        <f t="shared" si="1401"/>
        <v>0</v>
      </c>
      <c r="BI644" s="424">
        <f t="shared" si="1401"/>
        <v>0</v>
      </c>
      <c r="BJ644" s="424">
        <f t="shared" si="1401"/>
        <v>0</v>
      </c>
      <c r="BK644" s="424">
        <f t="shared" si="1401"/>
        <v>0</v>
      </c>
      <c r="BL644" s="424">
        <f t="shared" si="1401"/>
        <v>0</v>
      </c>
      <c r="BM644" s="424">
        <f t="shared" si="1401"/>
        <v>0</v>
      </c>
      <c r="BN644" s="424">
        <f t="shared" si="1401"/>
        <v>0</v>
      </c>
      <c r="BO644" s="424">
        <f t="shared" si="1401"/>
        <v>8.39</v>
      </c>
      <c r="BP644" s="424">
        <f t="shared" si="1401"/>
        <v>0</v>
      </c>
      <c r="BQ644" s="424">
        <f t="shared" si="1401"/>
        <v>0</v>
      </c>
      <c r="BR644" s="424">
        <f t="shared" si="1401"/>
        <v>0</v>
      </c>
      <c r="BS644" s="424">
        <f t="shared" si="1401"/>
        <v>0</v>
      </c>
      <c r="BT644" s="424">
        <f t="shared" si="1401"/>
        <v>0</v>
      </c>
      <c r="BU644" s="424">
        <f t="shared" si="1401"/>
        <v>0</v>
      </c>
      <c r="BV644" s="424">
        <f t="shared" ref="BV644:DA644" si="1402">BV274*BV$372</f>
        <v>0</v>
      </c>
      <c r="BW644" s="424">
        <f t="shared" si="1402"/>
        <v>0</v>
      </c>
      <c r="BX644" s="424">
        <f t="shared" si="1402"/>
        <v>0</v>
      </c>
      <c r="BY644" s="424">
        <f t="shared" si="1402"/>
        <v>0</v>
      </c>
      <c r="BZ644" s="424">
        <f t="shared" si="1402"/>
        <v>0</v>
      </c>
      <c r="CA644" s="424">
        <f t="shared" si="1402"/>
        <v>0</v>
      </c>
      <c r="CB644" s="424">
        <f t="shared" si="1402"/>
        <v>0</v>
      </c>
      <c r="CC644" s="424">
        <f t="shared" si="1402"/>
        <v>0</v>
      </c>
      <c r="CD644" s="424">
        <f t="shared" si="1402"/>
        <v>0</v>
      </c>
      <c r="CE644" s="424">
        <f t="shared" si="1402"/>
        <v>0</v>
      </c>
      <c r="CF644" s="424">
        <f t="shared" si="1402"/>
        <v>0</v>
      </c>
      <c r="CG644" s="424">
        <f t="shared" si="1402"/>
        <v>0</v>
      </c>
      <c r="CH644" s="424">
        <f t="shared" si="1402"/>
        <v>0</v>
      </c>
      <c r="CI644" s="424">
        <f t="shared" si="1402"/>
        <v>0</v>
      </c>
      <c r="CJ644" s="424">
        <f t="shared" si="1402"/>
        <v>0</v>
      </c>
      <c r="CK644" s="424">
        <f t="shared" si="1402"/>
        <v>0</v>
      </c>
      <c r="CL644" s="424">
        <f t="shared" si="1402"/>
        <v>0</v>
      </c>
      <c r="CM644" s="424">
        <f t="shared" si="1402"/>
        <v>0</v>
      </c>
      <c r="CN644" s="424">
        <f t="shared" si="1402"/>
        <v>0</v>
      </c>
      <c r="CO644" s="424">
        <f t="shared" si="1402"/>
        <v>0</v>
      </c>
      <c r="CP644" s="424">
        <f t="shared" si="1402"/>
        <v>0</v>
      </c>
      <c r="CQ644" s="424">
        <f t="shared" si="1402"/>
        <v>0.06</v>
      </c>
      <c r="CR644" s="424">
        <f t="shared" si="1402"/>
        <v>0</v>
      </c>
      <c r="CS644" s="424">
        <f t="shared" si="1402"/>
        <v>0</v>
      </c>
      <c r="CT644" s="424">
        <f t="shared" si="1402"/>
        <v>0</v>
      </c>
      <c r="CU644" s="424">
        <f t="shared" si="1402"/>
        <v>0</v>
      </c>
      <c r="CV644" s="424">
        <f t="shared" si="1402"/>
        <v>0</v>
      </c>
      <c r="CW644" s="424">
        <f t="shared" si="1402"/>
        <v>0</v>
      </c>
      <c r="CX644" s="424">
        <f t="shared" si="1402"/>
        <v>0</v>
      </c>
      <c r="CY644" s="424">
        <f t="shared" si="1402"/>
        <v>0</v>
      </c>
      <c r="CZ644" s="424">
        <f t="shared" si="1402"/>
        <v>1.82</v>
      </c>
      <c r="DA644" s="424">
        <f t="shared" si="1402"/>
        <v>0</v>
      </c>
      <c r="DB644" s="424">
        <f t="shared" ref="DB644:EG644" si="1403">DB274*DB$372</f>
        <v>0</v>
      </c>
      <c r="DC644" s="424">
        <f t="shared" si="1403"/>
        <v>0</v>
      </c>
      <c r="DD644" s="424">
        <f t="shared" si="1403"/>
        <v>0</v>
      </c>
      <c r="DE644" s="424">
        <f t="shared" si="1403"/>
        <v>0</v>
      </c>
      <c r="DF644" s="424">
        <f t="shared" si="1403"/>
        <v>0</v>
      </c>
      <c r="DG644" s="424">
        <f t="shared" si="1403"/>
        <v>0</v>
      </c>
      <c r="DH644" s="424">
        <f t="shared" si="1403"/>
        <v>0</v>
      </c>
      <c r="DI644" s="424">
        <f t="shared" si="1403"/>
        <v>0</v>
      </c>
      <c r="DJ644" s="424">
        <f t="shared" si="1403"/>
        <v>0</v>
      </c>
      <c r="DK644" s="424">
        <f t="shared" si="1403"/>
        <v>0</v>
      </c>
      <c r="DL644" s="424">
        <f t="shared" si="1403"/>
        <v>0</v>
      </c>
      <c r="DM644" s="424">
        <f t="shared" si="1403"/>
        <v>0</v>
      </c>
      <c r="DN644" s="424">
        <f t="shared" si="1403"/>
        <v>0</v>
      </c>
      <c r="DO644" s="424">
        <f t="shared" si="1403"/>
        <v>0</v>
      </c>
      <c r="DP644" s="424">
        <f t="shared" si="1403"/>
        <v>0</v>
      </c>
      <c r="DQ644" s="424">
        <f t="shared" si="1403"/>
        <v>0</v>
      </c>
      <c r="DR644" s="424">
        <f t="shared" si="1403"/>
        <v>0</v>
      </c>
      <c r="DS644" s="424">
        <f t="shared" si="1403"/>
        <v>0</v>
      </c>
      <c r="DT644" s="424">
        <f t="shared" si="1403"/>
        <v>0</v>
      </c>
      <c r="DU644" s="424">
        <f t="shared" si="1403"/>
        <v>0</v>
      </c>
      <c r="DV644" s="424">
        <f t="shared" si="1403"/>
        <v>0</v>
      </c>
      <c r="DW644" s="424">
        <f t="shared" si="1403"/>
        <v>0</v>
      </c>
      <c r="DX644" s="424">
        <f t="shared" si="1403"/>
        <v>0</v>
      </c>
      <c r="DY644" s="424">
        <f t="shared" si="1403"/>
        <v>0</v>
      </c>
      <c r="DZ644" s="424">
        <f t="shared" si="1403"/>
        <v>0</v>
      </c>
      <c r="EA644" s="424">
        <f t="shared" si="1403"/>
        <v>0</v>
      </c>
      <c r="EB644" s="424">
        <f t="shared" si="1403"/>
        <v>0</v>
      </c>
      <c r="EC644" s="424">
        <f t="shared" si="1403"/>
        <v>0</v>
      </c>
      <c r="ED644" s="424">
        <f t="shared" si="1403"/>
        <v>0</v>
      </c>
      <c r="EE644" s="424">
        <f t="shared" si="1403"/>
        <v>0</v>
      </c>
      <c r="EF644" s="424">
        <f t="shared" si="1403"/>
        <v>0</v>
      </c>
      <c r="EG644" s="424">
        <f t="shared" si="1403"/>
        <v>0</v>
      </c>
      <c r="EH644" s="424">
        <f t="shared" ref="EH644:EX644" si="1404">EH274*EH$372</f>
        <v>0</v>
      </c>
      <c r="EI644" s="424">
        <f t="shared" si="1404"/>
        <v>0</v>
      </c>
      <c r="EJ644" s="424">
        <f t="shared" si="1404"/>
        <v>0</v>
      </c>
      <c r="EK644" s="424">
        <f t="shared" si="1404"/>
        <v>0</v>
      </c>
      <c r="EL644" s="424">
        <f t="shared" si="1404"/>
        <v>0</v>
      </c>
      <c r="EM644" s="424">
        <f t="shared" si="1404"/>
        <v>0</v>
      </c>
      <c r="EN644" s="424">
        <f t="shared" si="1404"/>
        <v>0</v>
      </c>
      <c r="EO644" s="424">
        <f t="shared" si="1404"/>
        <v>0</v>
      </c>
      <c r="EP644" s="424">
        <f t="shared" si="1404"/>
        <v>0</v>
      </c>
      <c r="EQ644" s="424">
        <f t="shared" si="1404"/>
        <v>0</v>
      </c>
      <c r="ER644" s="424">
        <f t="shared" si="1404"/>
        <v>0</v>
      </c>
      <c r="ES644" s="424">
        <f t="shared" si="1404"/>
        <v>0</v>
      </c>
      <c r="ET644" s="424">
        <f t="shared" si="1404"/>
        <v>0</v>
      </c>
      <c r="EU644" s="424">
        <f t="shared" si="1404"/>
        <v>0</v>
      </c>
      <c r="EV644" s="424">
        <f t="shared" si="1404"/>
        <v>0</v>
      </c>
      <c r="EW644" s="424">
        <f t="shared" si="1404"/>
        <v>0</v>
      </c>
      <c r="EX644" s="424">
        <f t="shared" si="1404"/>
        <v>0</v>
      </c>
      <c r="EY644" s="425">
        <f t="shared" si="1064"/>
        <v>10.27</v>
      </c>
      <c r="EZ644" s="616"/>
      <c r="FA644" s="616"/>
      <c r="FB644" s="616"/>
      <c r="FC644" s="616"/>
      <c r="FD644" s="616"/>
      <c r="FE644" s="616"/>
      <c r="FF644" s="616"/>
      <c r="FG644" s="616"/>
      <c r="FH644" s="616"/>
      <c r="FI644" s="616"/>
      <c r="FJ644" s="616"/>
    </row>
    <row r="645" spans="1:166" ht="14.7" customHeight="1" x14ac:dyDescent="0.25">
      <c r="A645" s="310">
        <v>271</v>
      </c>
      <c r="B645" s="311" t="str">
        <f t="shared" si="1331"/>
        <v>Компот из яблок и слив</v>
      </c>
      <c r="C645" s="483">
        <f t="shared" si="1354"/>
        <v>6.17</v>
      </c>
      <c r="D645" s="888"/>
      <c r="E645" s="888"/>
      <c r="F645" s="888"/>
      <c r="G645" s="889"/>
      <c r="H645" s="680">
        <f t="shared" si="1338"/>
        <v>344</v>
      </c>
      <c r="I645" s="1209">
        <f t="shared" si="1332"/>
        <v>0.01</v>
      </c>
      <c r="J645" s="424">
        <f t="shared" ref="J645:AO645" si="1405">J275*J$372</f>
        <v>0</v>
      </c>
      <c r="K645" s="424">
        <f t="shared" si="1405"/>
        <v>0</v>
      </c>
      <c r="L645" s="424">
        <f t="shared" si="1405"/>
        <v>0</v>
      </c>
      <c r="M645" s="424">
        <f t="shared" si="1405"/>
        <v>0</v>
      </c>
      <c r="N645" s="424">
        <f t="shared" si="1405"/>
        <v>0</v>
      </c>
      <c r="O645" s="424">
        <f t="shared" si="1405"/>
        <v>0</v>
      </c>
      <c r="P645" s="424">
        <f t="shared" si="1405"/>
        <v>0</v>
      </c>
      <c r="Q645" s="424">
        <f t="shared" si="1405"/>
        <v>0</v>
      </c>
      <c r="R645" s="424">
        <f t="shared" si="1405"/>
        <v>0</v>
      </c>
      <c r="S645" s="424">
        <f t="shared" si="1405"/>
        <v>0</v>
      </c>
      <c r="T645" s="424">
        <f t="shared" si="1405"/>
        <v>0</v>
      </c>
      <c r="U645" s="424">
        <f t="shared" si="1405"/>
        <v>0</v>
      </c>
      <c r="V645" s="424">
        <f t="shared" si="1405"/>
        <v>0</v>
      </c>
      <c r="W645" s="424">
        <f t="shared" si="1405"/>
        <v>0</v>
      </c>
      <c r="X645" s="424">
        <f t="shared" si="1405"/>
        <v>0</v>
      </c>
      <c r="Y645" s="424">
        <f t="shared" si="1405"/>
        <v>0</v>
      </c>
      <c r="Z645" s="424">
        <f t="shared" si="1405"/>
        <v>0</v>
      </c>
      <c r="AA645" s="424">
        <f t="shared" si="1405"/>
        <v>0</v>
      </c>
      <c r="AB645" s="424">
        <f t="shared" si="1405"/>
        <v>0</v>
      </c>
      <c r="AC645" s="424">
        <f t="shared" si="1405"/>
        <v>0</v>
      </c>
      <c r="AD645" s="424">
        <f t="shared" si="1405"/>
        <v>0</v>
      </c>
      <c r="AE645" s="424">
        <f t="shared" si="1405"/>
        <v>0</v>
      </c>
      <c r="AF645" s="424">
        <f t="shared" si="1405"/>
        <v>0</v>
      </c>
      <c r="AG645" s="424">
        <f t="shared" si="1405"/>
        <v>0</v>
      </c>
      <c r="AH645" s="424">
        <f t="shared" si="1405"/>
        <v>0</v>
      </c>
      <c r="AI645" s="424">
        <f t="shared" si="1405"/>
        <v>0</v>
      </c>
      <c r="AJ645" s="424">
        <f t="shared" si="1405"/>
        <v>0</v>
      </c>
      <c r="AK645" s="424">
        <f t="shared" si="1405"/>
        <v>0</v>
      </c>
      <c r="AL645" s="424">
        <f t="shared" si="1405"/>
        <v>0</v>
      </c>
      <c r="AM645" s="424">
        <f t="shared" si="1405"/>
        <v>0</v>
      </c>
      <c r="AN645" s="424">
        <f t="shared" si="1405"/>
        <v>0</v>
      </c>
      <c r="AO645" s="424">
        <f t="shared" si="1405"/>
        <v>0</v>
      </c>
      <c r="AP645" s="424">
        <f t="shared" ref="AP645:BU645" si="1406">AP275*AP$372</f>
        <v>0</v>
      </c>
      <c r="AQ645" s="424">
        <f t="shared" si="1406"/>
        <v>0</v>
      </c>
      <c r="AR645" s="424">
        <f t="shared" si="1406"/>
        <v>0</v>
      </c>
      <c r="AS645" s="424">
        <f t="shared" si="1406"/>
        <v>0</v>
      </c>
      <c r="AT645" s="424">
        <f t="shared" si="1406"/>
        <v>0</v>
      </c>
      <c r="AU645" s="424">
        <f t="shared" si="1406"/>
        <v>0</v>
      </c>
      <c r="AV645" s="424">
        <f t="shared" si="1406"/>
        <v>0</v>
      </c>
      <c r="AW645" s="424">
        <f t="shared" si="1406"/>
        <v>0</v>
      </c>
      <c r="AX645" s="424">
        <f t="shared" si="1406"/>
        <v>0</v>
      </c>
      <c r="AY645" s="424">
        <f t="shared" si="1406"/>
        <v>0</v>
      </c>
      <c r="AZ645" s="424">
        <f t="shared" si="1406"/>
        <v>0</v>
      </c>
      <c r="BA645" s="424">
        <f t="shared" si="1406"/>
        <v>0</v>
      </c>
      <c r="BB645" s="424">
        <f t="shared" si="1406"/>
        <v>2.2200000000000002</v>
      </c>
      <c r="BC645" s="424">
        <f t="shared" si="1406"/>
        <v>0</v>
      </c>
      <c r="BD645" s="424">
        <f t="shared" si="1406"/>
        <v>0</v>
      </c>
      <c r="BE645" s="424">
        <f t="shared" si="1406"/>
        <v>0</v>
      </c>
      <c r="BF645" s="424">
        <f t="shared" si="1406"/>
        <v>0</v>
      </c>
      <c r="BG645" s="424">
        <f t="shared" si="1406"/>
        <v>0</v>
      </c>
      <c r="BH645" s="424">
        <f t="shared" si="1406"/>
        <v>0</v>
      </c>
      <c r="BI645" s="424">
        <f t="shared" si="1406"/>
        <v>0</v>
      </c>
      <c r="BJ645" s="424">
        <f t="shared" si="1406"/>
        <v>0</v>
      </c>
      <c r="BK645" s="424">
        <f t="shared" si="1406"/>
        <v>0</v>
      </c>
      <c r="BL645" s="424">
        <f t="shared" si="1406"/>
        <v>0</v>
      </c>
      <c r="BM645" s="424">
        <f t="shared" si="1406"/>
        <v>0</v>
      </c>
      <c r="BN645" s="424">
        <f t="shared" si="1406"/>
        <v>0</v>
      </c>
      <c r="BO645" s="424">
        <f t="shared" si="1406"/>
        <v>0</v>
      </c>
      <c r="BP645" s="424">
        <f t="shared" si="1406"/>
        <v>0</v>
      </c>
      <c r="BQ645" s="424">
        <f t="shared" si="1406"/>
        <v>0</v>
      </c>
      <c r="BR645" s="424">
        <f t="shared" si="1406"/>
        <v>2.0699999999999998</v>
      </c>
      <c r="BS645" s="424">
        <f t="shared" si="1406"/>
        <v>0</v>
      </c>
      <c r="BT645" s="424">
        <f t="shared" si="1406"/>
        <v>0</v>
      </c>
      <c r="BU645" s="424">
        <f t="shared" si="1406"/>
        <v>0</v>
      </c>
      <c r="BV645" s="424">
        <f t="shared" ref="BV645:DA645" si="1407">BV275*BV$372</f>
        <v>0</v>
      </c>
      <c r="BW645" s="424">
        <f t="shared" si="1407"/>
        <v>0</v>
      </c>
      <c r="BX645" s="424">
        <f t="shared" si="1407"/>
        <v>0</v>
      </c>
      <c r="BY645" s="424">
        <f t="shared" si="1407"/>
        <v>0</v>
      </c>
      <c r="BZ645" s="424">
        <f t="shared" si="1407"/>
        <v>0</v>
      </c>
      <c r="CA645" s="424">
        <f t="shared" si="1407"/>
        <v>0</v>
      </c>
      <c r="CB645" s="424">
        <f t="shared" si="1407"/>
        <v>0</v>
      </c>
      <c r="CC645" s="424">
        <f t="shared" si="1407"/>
        <v>0</v>
      </c>
      <c r="CD645" s="424">
        <f t="shared" si="1407"/>
        <v>0</v>
      </c>
      <c r="CE645" s="424">
        <f t="shared" si="1407"/>
        <v>0</v>
      </c>
      <c r="CF645" s="424">
        <f t="shared" si="1407"/>
        <v>0</v>
      </c>
      <c r="CG645" s="424">
        <f t="shared" si="1407"/>
        <v>0</v>
      </c>
      <c r="CH645" s="424">
        <f t="shared" si="1407"/>
        <v>0</v>
      </c>
      <c r="CI645" s="424">
        <f t="shared" si="1407"/>
        <v>0</v>
      </c>
      <c r="CJ645" s="424">
        <f t="shared" si="1407"/>
        <v>0</v>
      </c>
      <c r="CK645" s="424">
        <f t="shared" si="1407"/>
        <v>0</v>
      </c>
      <c r="CL645" s="424">
        <f t="shared" si="1407"/>
        <v>0</v>
      </c>
      <c r="CM645" s="424">
        <f t="shared" si="1407"/>
        <v>0</v>
      </c>
      <c r="CN645" s="424">
        <f t="shared" si="1407"/>
        <v>0</v>
      </c>
      <c r="CO645" s="424">
        <f t="shared" si="1407"/>
        <v>0</v>
      </c>
      <c r="CP645" s="424">
        <f t="shared" si="1407"/>
        <v>0</v>
      </c>
      <c r="CQ645" s="424">
        <f t="shared" si="1407"/>
        <v>0.06</v>
      </c>
      <c r="CR645" s="424">
        <f t="shared" si="1407"/>
        <v>0</v>
      </c>
      <c r="CS645" s="424">
        <f t="shared" si="1407"/>
        <v>0</v>
      </c>
      <c r="CT645" s="424">
        <f t="shared" si="1407"/>
        <v>0</v>
      </c>
      <c r="CU645" s="424">
        <f t="shared" si="1407"/>
        <v>0</v>
      </c>
      <c r="CV645" s="424">
        <f t="shared" si="1407"/>
        <v>0</v>
      </c>
      <c r="CW645" s="424">
        <f t="shared" si="1407"/>
        <v>0</v>
      </c>
      <c r="CX645" s="424">
        <f t="shared" si="1407"/>
        <v>0</v>
      </c>
      <c r="CY645" s="424">
        <f t="shared" si="1407"/>
        <v>0</v>
      </c>
      <c r="CZ645" s="424">
        <f t="shared" si="1407"/>
        <v>1.82</v>
      </c>
      <c r="DA645" s="424">
        <f t="shared" si="1407"/>
        <v>0</v>
      </c>
      <c r="DB645" s="424">
        <f t="shared" ref="DB645:EG645" si="1408">DB275*DB$372</f>
        <v>0</v>
      </c>
      <c r="DC645" s="424">
        <f t="shared" si="1408"/>
        <v>0</v>
      </c>
      <c r="DD645" s="424">
        <f t="shared" si="1408"/>
        <v>0</v>
      </c>
      <c r="DE645" s="424">
        <f t="shared" si="1408"/>
        <v>0</v>
      </c>
      <c r="DF645" s="424">
        <f t="shared" si="1408"/>
        <v>0</v>
      </c>
      <c r="DG645" s="424">
        <f t="shared" si="1408"/>
        <v>0</v>
      </c>
      <c r="DH645" s="424">
        <f t="shared" si="1408"/>
        <v>0</v>
      </c>
      <c r="DI645" s="424">
        <f t="shared" si="1408"/>
        <v>0</v>
      </c>
      <c r="DJ645" s="424">
        <f t="shared" si="1408"/>
        <v>0</v>
      </c>
      <c r="DK645" s="424">
        <f t="shared" si="1408"/>
        <v>0</v>
      </c>
      <c r="DL645" s="424">
        <f t="shared" si="1408"/>
        <v>0</v>
      </c>
      <c r="DM645" s="424">
        <f t="shared" si="1408"/>
        <v>0</v>
      </c>
      <c r="DN645" s="424">
        <f t="shared" si="1408"/>
        <v>0</v>
      </c>
      <c r="DO645" s="424">
        <f t="shared" si="1408"/>
        <v>0</v>
      </c>
      <c r="DP645" s="424">
        <f t="shared" si="1408"/>
        <v>0</v>
      </c>
      <c r="DQ645" s="424">
        <f t="shared" si="1408"/>
        <v>0</v>
      </c>
      <c r="DR645" s="424">
        <f t="shared" si="1408"/>
        <v>0</v>
      </c>
      <c r="DS645" s="424">
        <f t="shared" si="1408"/>
        <v>0</v>
      </c>
      <c r="DT645" s="424">
        <f t="shared" si="1408"/>
        <v>0</v>
      </c>
      <c r="DU645" s="424">
        <f t="shared" si="1408"/>
        <v>0</v>
      </c>
      <c r="DV645" s="424">
        <f t="shared" si="1408"/>
        <v>0</v>
      </c>
      <c r="DW645" s="424">
        <f t="shared" si="1408"/>
        <v>0</v>
      </c>
      <c r="DX645" s="424">
        <f t="shared" si="1408"/>
        <v>0</v>
      </c>
      <c r="DY645" s="424">
        <f t="shared" si="1408"/>
        <v>0</v>
      </c>
      <c r="DZ645" s="424">
        <f t="shared" si="1408"/>
        <v>0</v>
      </c>
      <c r="EA645" s="424">
        <f t="shared" si="1408"/>
        <v>0</v>
      </c>
      <c r="EB645" s="424">
        <f t="shared" si="1408"/>
        <v>0</v>
      </c>
      <c r="EC645" s="424">
        <f t="shared" si="1408"/>
        <v>0</v>
      </c>
      <c r="ED645" s="424">
        <f t="shared" si="1408"/>
        <v>0</v>
      </c>
      <c r="EE645" s="424">
        <f t="shared" si="1408"/>
        <v>0</v>
      </c>
      <c r="EF645" s="424">
        <f t="shared" si="1408"/>
        <v>0</v>
      </c>
      <c r="EG645" s="424">
        <f t="shared" si="1408"/>
        <v>0</v>
      </c>
      <c r="EH645" s="424">
        <f t="shared" ref="EH645:EX645" si="1409">EH275*EH$372</f>
        <v>0</v>
      </c>
      <c r="EI645" s="424">
        <f t="shared" si="1409"/>
        <v>0</v>
      </c>
      <c r="EJ645" s="424">
        <f t="shared" si="1409"/>
        <v>0</v>
      </c>
      <c r="EK645" s="424">
        <f t="shared" si="1409"/>
        <v>0</v>
      </c>
      <c r="EL645" s="424">
        <f t="shared" si="1409"/>
        <v>0</v>
      </c>
      <c r="EM645" s="424">
        <f t="shared" si="1409"/>
        <v>0</v>
      </c>
      <c r="EN645" s="424">
        <f t="shared" si="1409"/>
        <v>0</v>
      </c>
      <c r="EO645" s="424">
        <f t="shared" si="1409"/>
        <v>0</v>
      </c>
      <c r="EP645" s="424">
        <f t="shared" si="1409"/>
        <v>0</v>
      </c>
      <c r="EQ645" s="424">
        <f t="shared" si="1409"/>
        <v>0</v>
      </c>
      <c r="ER645" s="424">
        <f t="shared" si="1409"/>
        <v>0</v>
      </c>
      <c r="ES645" s="424">
        <f t="shared" si="1409"/>
        <v>0</v>
      </c>
      <c r="ET645" s="424">
        <f t="shared" si="1409"/>
        <v>0</v>
      </c>
      <c r="EU645" s="424">
        <f t="shared" si="1409"/>
        <v>0</v>
      </c>
      <c r="EV645" s="424">
        <f t="shared" si="1409"/>
        <v>0</v>
      </c>
      <c r="EW645" s="424">
        <f t="shared" si="1409"/>
        <v>0</v>
      </c>
      <c r="EX645" s="424">
        <f t="shared" si="1409"/>
        <v>0</v>
      </c>
      <c r="EY645" s="425">
        <f t="shared" si="1064"/>
        <v>6.17</v>
      </c>
    </row>
    <row r="646" spans="1:166" ht="14.7" customHeight="1" x14ac:dyDescent="0.25">
      <c r="A646" s="310">
        <v>272</v>
      </c>
      <c r="B646" s="311" t="str">
        <f t="shared" si="1331"/>
        <v xml:space="preserve">Компот из апельсинов </v>
      </c>
      <c r="C646" s="483">
        <f t="shared" si="1354"/>
        <v>12.15</v>
      </c>
      <c r="D646" s="888"/>
      <c r="E646" s="888"/>
      <c r="F646" s="888"/>
      <c r="G646" s="889"/>
      <c r="H646" s="680">
        <f t="shared" si="1338"/>
        <v>346</v>
      </c>
      <c r="I646" s="1209">
        <f t="shared" si="1332"/>
        <v>0</v>
      </c>
      <c r="J646" s="424">
        <f t="shared" ref="J646:AO646" si="1410">J276*J$372</f>
        <v>0</v>
      </c>
      <c r="K646" s="424">
        <f t="shared" si="1410"/>
        <v>0</v>
      </c>
      <c r="L646" s="424">
        <f t="shared" si="1410"/>
        <v>0</v>
      </c>
      <c r="M646" s="424">
        <f t="shared" si="1410"/>
        <v>0</v>
      </c>
      <c r="N646" s="424">
        <f t="shared" si="1410"/>
        <v>0</v>
      </c>
      <c r="O646" s="424">
        <f t="shared" si="1410"/>
        <v>0</v>
      </c>
      <c r="P646" s="424">
        <f t="shared" si="1410"/>
        <v>0</v>
      </c>
      <c r="Q646" s="424">
        <f t="shared" si="1410"/>
        <v>0</v>
      </c>
      <c r="R646" s="424">
        <f t="shared" si="1410"/>
        <v>0</v>
      </c>
      <c r="S646" s="424">
        <f t="shared" si="1410"/>
        <v>0</v>
      </c>
      <c r="T646" s="424">
        <f t="shared" si="1410"/>
        <v>0</v>
      </c>
      <c r="U646" s="424">
        <f t="shared" si="1410"/>
        <v>0</v>
      </c>
      <c r="V646" s="424">
        <f t="shared" si="1410"/>
        <v>0</v>
      </c>
      <c r="W646" s="424">
        <f t="shared" si="1410"/>
        <v>0</v>
      </c>
      <c r="X646" s="424">
        <f t="shared" si="1410"/>
        <v>0</v>
      </c>
      <c r="Y646" s="424">
        <f t="shared" si="1410"/>
        <v>0</v>
      </c>
      <c r="Z646" s="424">
        <f t="shared" si="1410"/>
        <v>0</v>
      </c>
      <c r="AA646" s="424">
        <f t="shared" si="1410"/>
        <v>0</v>
      </c>
      <c r="AB646" s="424">
        <f t="shared" si="1410"/>
        <v>0</v>
      </c>
      <c r="AC646" s="424">
        <f t="shared" si="1410"/>
        <v>0</v>
      </c>
      <c r="AD646" s="424">
        <f t="shared" si="1410"/>
        <v>0</v>
      </c>
      <c r="AE646" s="424">
        <f t="shared" si="1410"/>
        <v>0</v>
      </c>
      <c r="AF646" s="424">
        <f t="shared" si="1410"/>
        <v>0</v>
      </c>
      <c r="AG646" s="424">
        <f t="shared" si="1410"/>
        <v>0</v>
      </c>
      <c r="AH646" s="424">
        <f t="shared" si="1410"/>
        <v>0</v>
      </c>
      <c r="AI646" s="424">
        <f t="shared" si="1410"/>
        <v>0</v>
      </c>
      <c r="AJ646" s="424">
        <f t="shared" si="1410"/>
        <v>0</v>
      </c>
      <c r="AK646" s="424">
        <f t="shared" si="1410"/>
        <v>0</v>
      </c>
      <c r="AL646" s="424">
        <f t="shared" si="1410"/>
        <v>0</v>
      </c>
      <c r="AM646" s="424">
        <f t="shared" si="1410"/>
        <v>0</v>
      </c>
      <c r="AN646" s="424">
        <f t="shared" si="1410"/>
        <v>0</v>
      </c>
      <c r="AO646" s="424">
        <f t="shared" si="1410"/>
        <v>0</v>
      </c>
      <c r="AP646" s="424">
        <f t="shared" ref="AP646:BU646" si="1411">AP276*AP$372</f>
        <v>0</v>
      </c>
      <c r="AQ646" s="424">
        <f t="shared" si="1411"/>
        <v>0</v>
      </c>
      <c r="AR646" s="424">
        <f t="shared" si="1411"/>
        <v>0</v>
      </c>
      <c r="AS646" s="424">
        <f t="shared" si="1411"/>
        <v>0</v>
      </c>
      <c r="AT646" s="424">
        <f t="shared" si="1411"/>
        <v>0</v>
      </c>
      <c r="AU646" s="424">
        <f t="shared" si="1411"/>
        <v>0</v>
      </c>
      <c r="AV646" s="424">
        <f t="shared" si="1411"/>
        <v>0</v>
      </c>
      <c r="AW646" s="424">
        <f t="shared" si="1411"/>
        <v>0</v>
      </c>
      <c r="AX646" s="424">
        <f t="shared" si="1411"/>
        <v>0</v>
      </c>
      <c r="AY646" s="424">
        <f t="shared" si="1411"/>
        <v>0</v>
      </c>
      <c r="AZ646" s="424">
        <f t="shared" si="1411"/>
        <v>0</v>
      </c>
      <c r="BA646" s="424">
        <f t="shared" si="1411"/>
        <v>0</v>
      </c>
      <c r="BB646" s="424">
        <f t="shared" si="1411"/>
        <v>0</v>
      </c>
      <c r="BC646" s="424">
        <f t="shared" si="1411"/>
        <v>0</v>
      </c>
      <c r="BD646" s="424">
        <f t="shared" si="1411"/>
        <v>0</v>
      </c>
      <c r="BE646" s="424">
        <f t="shared" si="1411"/>
        <v>0</v>
      </c>
      <c r="BF646" s="424">
        <f t="shared" si="1411"/>
        <v>0</v>
      </c>
      <c r="BG646" s="424">
        <f t="shared" si="1411"/>
        <v>0</v>
      </c>
      <c r="BH646" s="424">
        <f t="shared" si="1411"/>
        <v>0</v>
      </c>
      <c r="BI646" s="424">
        <f t="shared" si="1411"/>
        <v>0</v>
      </c>
      <c r="BJ646" s="424">
        <f t="shared" si="1411"/>
        <v>0</v>
      </c>
      <c r="BK646" s="424">
        <f t="shared" si="1411"/>
        <v>9.8699999999999992</v>
      </c>
      <c r="BL646" s="424">
        <f t="shared" si="1411"/>
        <v>0</v>
      </c>
      <c r="BM646" s="424">
        <f t="shared" si="1411"/>
        <v>0</v>
      </c>
      <c r="BN646" s="424">
        <f t="shared" si="1411"/>
        <v>0</v>
      </c>
      <c r="BO646" s="424">
        <f t="shared" si="1411"/>
        <v>0</v>
      </c>
      <c r="BP646" s="424">
        <f t="shared" si="1411"/>
        <v>0</v>
      </c>
      <c r="BQ646" s="424">
        <f t="shared" si="1411"/>
        <v>0</v>
      </c>
      <c r="BR646" s="424">
        <f t="shared" si="1411"/>
        <v>0</v>
      </c>
      <c r="BS646" s="424">
        <f t="shared" si="1411"/>
        <v>0</v>
      </c>
      <c r="BT646" s="424">
        <f t="shared" si="1411"/>
        <v>0</v>
      </c>
      <c r="BU646" s="424">
        <f t="shared" si="1411"/>
        <v>0</v>
      </c>
      <c r="BV646" s="424">
        <f t="shared" ref="BV646:DA646" si="1412">BV276*BV$372</f>
        <v>0</v>
      </c>
      <c r="BW646" s="424">
        <f t="shared" si="1412"/>
        <v>0</v>
      </c>
      <c r="BX646" s="424">
        <f t="shared" si="1412"/>
        <v>0</v>
      </c>
      <c r="BY646" s="424">
        <f t="shared" si="1412"/>
        <v>0</v>
      </c>
      <c r="BZ646" s="424">
        <f t="shared" si="1412"/>
        <v>0</v>
      </c>
      <c r="CA646" s="424">
        <f t="shared" si="1412"/>
        <v>0</v>
      </c>
      <c r="CB646" s="424">
        <f t="shared" si="1412"/>
        <v>0</v>
      </c>
      <c r="CC646" s="424">
        <f t="shared" si="1412"/>
        <v>0</v>
      </c>
      <c r="CD646" s="424">
        <f t="shared" si="1412"/>
        <v>0</v>
      </c>
      <c r="CE646" s="424">
        <f t="shared" si="1412"/>
        <v>0</v>
      </c>
      <c r="CF646" s="424">
        <f t="shared" si="1412"/>
        <v>0</v>
      </c>
      <c r="CG646" s="424">
        <f t="shared" si="1412"/>
        <v>0</v>
      </c>
      <c r="CH646" s="424">
        <f t="shared" si="1412"/>
        <v>0</v>
      </c>
      <c r="CI646" s="424">
        <f t="shared" si="1412"/>
        <v>0</v>
      </c>
      <c r="CJ646" s="424">
        <f t="shared" si="1412"/>
        <v>0</v>
      </c>
      <c r="CK646" s="424">
        <f t="shared" si="1412"/>
        <v>0</v>
      </c>
      <c r="CL646" s="424">
        <f t="shared" si="1412"/>
        <v>0</v>
      </c>
      <c r="CM646" s="424">
        <f t="shared" si="1412"/>
        <v>0</v>
      </c>
      <c r="CN646" s="424">
        <f t="shared" si="1412"/>
        <v>0</v>
      </c>
      <c r="CO646" s="424">
        <f t="shared" si="1412"/>
        <v>0</v>
      </c>
      <c r="CP646" s="424">
        <f t="shared" si="1412"/>
        <v>0</v>
      </c>
      <c r="CQ646" s="424">
        <f t="shared" si="1412"/>
        <v>0</v>
      </c>
      <c r="CR646" s="424">
        <f t="shared" si="1412"/>
        <v>0</v>
      </c>
      <c r="CS646" s="424">
        <f t="shared" si="1412"/>
        <v>0</v>
      </c>
      <c r="CT646" s="424">
        <f t="shared" si="1412"/>
        <v>0</v>
      </c>
      <c r="CU646" s="424">
        <f t="shared" si="1412"/>
        <v>0</v>
      </c>
      <c r="CV646" s="424">
        <f t="shared" si="1412"/>
        <v>0</v>
      </c>
      <c r="CW646" s="424">
        <f t="shared" si="1412"/>
        <v>0</v>
      </c>
      <c r="CX646" s="424">
        <f t="shared" si="1412"/>
        <v>0</v>
      </c>
      <c r="CY646" s="424">
        <f t="shared" si="1412"/>
        <v>0</v>
      </c>
      <c r="CZ646" s="424">
        <f t="shared" si="1412"/>
        <v>2.2799999999999998</v>
      </c>
      <c r="DA646" s="424">
        <f t="shared" si="1412"/>
        <v>0</v>
      </c>
      <c r="DB646" s="424">
        <f t="shared" ref="DB646:EG646" si="1413">DB276*DB$372</f>
        <v>0</v>
      </c>
      <c r="DC646" s="424">
        <f t="shared" si="1413"/>
        <v>0</v>
      </c>
      <c r="DD646" s="424">
        <f t="shared" si="1413"/>
        <v>0</v>
      </c>
      <c r="DE646" s="424">
        <f t="shared" si="1413"/>
        <v>0</v>
      </c>
      <c r="DF646" s="424">
        <f t="shared" si="1413"/>
        <v>0</v>
      </c>
      <c r="DG646" s="424">
        <f t="shared" si="1413"/>
        <v>0</v>
      </c>
      <c r="DH646" s="424">
        <f t="shared" si="1413"/>
        <v>0</v>
      </c>
      <c r="DI646" s="424">
        <f t="shared" si="1413"/>
        <v>0</v>
      </c>
      <c r="DJ646" s="424">
        <f t="shared" si="1413"/>
        <v>0</v>
      </c>
      <c r="DK646" s="424">
        <f t="shared" si="1413"/>
        <v>0</v>
      </c>
      <c r="DL646" s="424">
        <f t="shared" si="1413"/>
        <v>0</v>
      </c>
      <c r="DM646" s="424">
        <f t="shared" si="1413"/>
        <v>0</v>
      </c>
      <c r="DN646" s="424">
        <f t="shared" si="1413"/>
        <v>0</v>
      </c>
      <c r="DO646" s="424">
        <f t="shared" si="1413"/>
        <v>0</v>
      </c>
      <c r="DP646" s="424">
        <f t="shared" si="1413"/>
        <v>0</v>
      </c>
      <c r="DQ646" s="424">
        <f t="shared" si="1413"/>
        <v>0</v>
      </c>
      <c r="DR646" s="424">
        <f t="shared" si="1413"/>
        <v>0</v>
      </c>
      <c r="DS646" s="424">
        <f t="shared" si="1413"/>
        <v>0</v>
      </c>
      <c r="DT646" s="424">
        <f t="shared" si="1413"/>
        <v>0</v>
      </c>
      <c r="DU646" s="424">
        <f t="shared" si="1413"/>
        <v>0</v>
      </c>
      <c r="DV646" s="424">
        <f t="shared" si="1413"/>
        <v>0</v>
      </c>
      <c r="DW646" s="424">
        <f t="shared" si="1413"/>
        <v>0</v>
      </c>
      <c r="DX646" s="424">
        <f t="shared" si="1413"/>
        <v>0</v>
      </c>
      <c r="DY646" s="424">
        <f t="shared" si="1413"/>
        <v>0</v>
      </c>
      <c r="DZ646" s="424">
        <f t="shared" si="1413"/>
        <v>0</v>
      </c>
      <c r="EA646" s="424">
        <f t="shared" si="1413"/>
        <v>0</v>
      </c>
      <c r="EB646" s="424">
        <f t="shared" si="1413"/>
        <v>0</v>
      </c>
      <c r="EC646" s="424">
        <f t="shared" si="1413"/>
        <v>0</v>
      </c>
      <c r="ED646" s="424">
        <f t="shared" si="1413"/>
        <v>0</v>
      </c>
      <c r="EE646" s="424">
        <f t="shared" si="1413"/>
        <v>0</v>
      </c>
      <c r="EF646" s="424">
        <f t="shared" si="1413"/>
        <v>0</v>
      </c>
      <c r="EG646" s="424">
        <f t="shared" si="1413"/>
        <v>0</v>
      </c>
      <c r="EH646" s="424">
        <f t="shared" ref="EH646:EX646" si="1414">EH276*EH$372</f>
        <v>0</v>
      </c>
      <c r="EI646" s="424">
        <f t="shared" si="1414"/>
        <v>0</v>
      </c>
      <c r="EJ646" s="424">
        <f t="shared" si="1414"/>
        <v>0</v>
      </c>
      <c r="EK646" s="424">
        <f t="shared" si="1414"/>
        <v>0</v>
      </c>
      <c r="EL646" s="424">
        <f t="shared" si="1414"/>
        <v>0</v>
      </c>
      <c r="EM646" s="424">
        <f t="shared" si="1414"/>
        <v>0</v>
      </c>
      <c r="EN646" s="424">
        <f t="shared" si="1414"/>
        <v>0</v>
      </c>
      <c r="EO646" s="424">
        <f t="shared" si="1414"/>
        <v>0</v>
      </c>
      <c r="EP646" s="424">
        <f t="shared" si="1414"/>
        <v>0</v>
      </c>
      <c r="EQ646" s="424">
        <f t="shared" si="1414"/>
        <v>0</v>
      </c>
      <c r="ER646" s="424">
        <f t="shared" si="1414"/>
        <v>0</v>
      </c>
      <c r="ES646" s="424">
        <f t="shared" si="1414"/>
        <v>0</v>
      </c>
      <c r="ET646" s="424">
        <f t="shared" si="1414"/>
        <v>0</v>
      </c>
      <c r="EU646" s="424">
        <f t="shared" si="1414"/>
        <v>0</v>
      </c>
      <c r="EV646" s="424">
        <f t="shared" si="1414"/>
        <v>0</v>
      </c>
      <c r="EW646" s="424">
        <f t="shared" si="1414"/>
        <v>0</v>
      </c>
      <c r="EX646" s="424">
        <f t="shared" si="1414"/>
        <v>0</v>
      </c>
      <c r="EY646" s="425">
        <f t="shared" si="1064"/>
        <v>12.15</v>
      </c>
    </row>
    <row r="647" spans="1:166" ht="14.7" customHeight="1" x14ac:dyDescent="0.25">
      <c r="A647" s="310">
        <v>273</v>
      </c>
      <c r="B647" s="311" t="str">
        <f t="shared" si="1331"/>
        <v>Компот из мандаринов</v>
      </c>
      <c r="C647" s="483">
        <f t="shared" si="1354"/>
        <v>10.99</v>
      </c>
      <c r="D647" s="888"/>
      <c r="E647" s="888"/>
      <c r="F647" s="888"/>
      <c r="G647" s="889"/>
      <c r="H647" s="680">
        <f t="shared" si="1338"/>
        <v>346</v>
      </c>
      <c r="I647" s="1209">
        <f t="shared" si="1332"/>
        <v>0</v>
      </c>
      <c r="J647" s="424">
        <f t="shared" ref="J647:AO647" si="1415">J277*J$372</f>
        <v>0</v>
      </c>
      <c r="K647" s="424">
        <f t="shared" si="1415"/>
        <v>0</v>
      </c>
      <c r="L647" s="424">
        <f t="shared" si="1415"/>
        <v>0</v>
      </c>
      <c r="M647" s="424">
        <f t="shared" si="1415"/>
        <v>0</v>
      </c>
      <c r="N647" s="424">
        <f t="shared" si="1415"/>
        <v>0</v>
      </c>
      <c r="O647" s="424">
        <f t="shared" si="1415"/>
        <v>0</v>
      </c>
      <c r="P647" s="424">
        <f t="shared" si="1415"/>
        <v>0</v>
      </c>
      <c r="Q647" s="424">
        <f t="shared" si="1415"/>
        <v>0</v>
      </c>
      <c r="R647" s="424">
        <f t="shared" si="1415"/>
        <v>0</v>
      </c>
      <c r="S647" s="424">
        <f t="shared" si="1415"/>
        <v>0</v>
      </c>
      <c r="T647" s="424">
        <f t="shared" si="1415"/>
        <v>0</v>
      </c>
      <c r="U647" s="424">
        <f t="shared" si="1415"/>
        <v>0</v>
      </c>
      <c r="V647" s="424">
        <f t="shared" si="1415"/>
        <v>0</v>
      </c>
      <c r="W647" s="424">
        <f t="shared" si="1415"/>
        <v>0</v>
      </c>
      <c r="X647" s="424">
        <f t="shared" si="1415"/>
        <v>0</v>
      </c>
      <c r="Y647" s="424">
        <f t="shared" si="1415"/>
        <v>0</v>
      </c>
      <c r="Z647" s="424">
        <f t="shared" si="1415"/>
        <v>0</v>
      </c>
      <c r="AA647" s="424">
        <f t="shared" si="1415"/>
        <v>0</v>
      </c>
      <c r="AB647" s="424">
        <f t="shared" si="1415"/>
        <v>0</v>
      </c>
      <c r="AC647" s="424">
        <f t="shared" si="1415"/>
        <v>0</v>
      </c>
      <c r="AD647" s="424">
        <f t="shared" si="1415"/>
        <v>0</v>
      </c>
      <c r="AE647" s="424">
        <f t="shared" si="1415"/>
        <v>0</v>
      </c>
      <c r="AF647" s="424">
        <f t="shared" si="1415"/>
        <v>0</v>
      </c>
      <c r="AG647" s="424">
        <f t="shared" si="1415"/>
        <v>0</v>
      </c>
      <c r="AH647" s="424">
        <f t="shared" si="1415"/>
        <v>0</v>
      </c>
      <c r="AI647" s="424">
        <f t="shared" si="1415"/>
        <v>0</v>
      </c>
      <c r="AJ647" s="424">
        <f t="shared" si="1415"/>
        <v>0</v>
      </c>
      <c r="AK647" s="424">
        <f t="shared" si="1415"/>
        <v>0</v>
      </c>
      <c r="AL647" s="424">
        <f t="shared" si="1415"/>
        <v>0</v>
      </c>
      <c r="AM647" s="424">
        <f t="shared" si="1415"/>
        <v>0</v>
      </c>
      <c r="AN647" s="424">
        <f t="shared" si="1415"/>
        <v>0</v>
      </c>
      <c r="AO647" s="424">
        <f t="shared" si="1415"/>
        <v>0</v>
      </c>
      <c r="AP647" s="424">
        <f t="shared" ref="AP647:BU647" si="1416">AP277*AP$372</f>
        <v>0</v>
      </c>
      <c r="AQ647" s="424">
        <f t="shared" si="1416"/>
        <v>0</v>
      </c>
      <c r="AR647" s="424">
        <f t="shared" si="1416"/>
        <v>0</v>
      </c>
      <c r="AS647" s="424">
        <f t="shared" si="1416"/>
        <v>0</v>
      </c>
      <c r="AT647" s="424">
        <f t="shared" si="1416"/>
        <v>0</v>
      </c>
      <c r="AU647" s="424">
        <f t="shared" si="1416"/>
        <v>0</v>
      </c>
      <c r="AV647" s="424">
        <f t="shared" si="1416"/>
        <v>0</v>
      </c>
      <c r="AW647" s="424">
        <f t="shared" si="1416"/>
        <v>0</v>
      </c>
      <c r="AX647" s="424">
        <f t="shared" si="1416"/>
        <v>0</v>
      </c>
      <c r="AY647" s="424">
        <f t="shared" si="1416"/>
        <v>0</v>
      </c>
      <c r="AZ647" s="424">
        <f t="shared" si="1416"/>
        <v>0</v>
      </c>
      <c r="BA647" s="424">
        <f t="shared" si="1416"/>
        <v>0</v>
      </c>
      <c r="BB647" s="424">
        <f t="shared" si="1416"/>
        <v>0</v>
      </c>
      <c r="BC647" s="424">
        <f t="shared" si="1416"/>
        <v>0</v>
      </c>
      <c r="BD647" s="424">
        <f t="shared" si="1416"/>
        <v>0</v>
      </c>
      <c r="BE647" s="424">
        <f t="shared" si="1416"/>
        <v>0</v>
      </c>
      <c r="BF647" s="424">
        <f t="shared" si="1416"/>
        <v>0</v>
      </c>
      <c r="BG647" s="424">
        <f t="shared" si="1416"/>
        <v>0</v>
      </c>
      <c r="BH647" s="424">
        <f t="shared" si="1416"/>
        <v>0</v>
      </c>
      <c r="BI647" s="424">
        <f t="shared" si="1416"/>
        <v>0</v>
      </c>
      <c r="BJ647" s="424">
        <f t="shared" si="1416"/>
        <v>0</v>
      </c>
      <c r="BK647" s="424">
        <f t="shared" si="1416"/>
        <v>0</v>
      </c>
      <c r="BL647" s="424">
        <f t="shared" si="1416"/>
        <v>8.7100000000000009</v>
      </c>
      <c r="BM647" s="424">
        <f t="shared" si="1416"/>
        <v>0</v>
      </c>
      <c r="BN647" s="424">
        <f t="shared" si="1416"/>
        <v>0</v>
      </c>
      <c r="BO647" s="424">
        <f t="shared" si="1416"/>
        <v>0</v>
      </c>
      <c r="BP647" s="424">
        <f t="shared" si="1416"/>
        <v>0</v>
      </c>
      <c r="BQ647" s="424">
        <f t="shared" si="1416"/>
        <v>0</v>
      </c>
      <c r="BR647" s="424">
        <f t="shared" si="1416"/>
        <v>0</v>
      </c>
      <c r="BS647" s="424">
        <f t="shared" si="1416"/>
        <v>0</v>
      </c>
      <c r="BT647" s="424">
        <f t="shared" si="1416"/>
        <v>0</v>
      </c>
      <c r="BU647" s="424">
        <f t="shared" si="1416"/>
        <v>0</v>
      </c>
      <c r="BV647" s="424">
        <f t="shared" ref="BV647:DA647" si="1417">BV277*BV$372</f>
        <v>0</v>
      </c>
      <c r="BW647" s="424">
        <f t="shared" si="1417"/>
        <v>0</v>
      </c>
      <c r="BX647" s="424">
        <f t="shared" si="1417"/>
        <v>0</v>
      </c>
      <c r="BY647" s="424">
        <f t="shared" si="1417"/>
        <v>0</v>
      </c>
      <c r="BZ647" s="424">
        <f t="shared" si="1417"/>
        <v>0</v>
      </c>
      <c r="CA647" s="424">
        <f t="shared" si="1417"/>
        <v>0</v>
      </c>
      <c r="CB647" s="424">
        <f t="shared" si="1417"/>
        <v>0</v>
      </c>
      <c r="CC647" s="424">
        <f t="shared" si="1417"/>
        <v>0</v>
      </c>
      <c r="CD647" s="424">
        <f t="shared" si="1417"/>
        <v>0</v>
      </c>
      <c r="CE647" s="424">
        <f t="shared" si="1417"/>
        <v>0</v>
      </c>
      <c r="CF647" s="424">
        <f t="shared" si="1417"/>
        <v>0</v>
      </c>
      <c r="CG647" s="424">
        <f t="shared" si="1417"/>
        <v>0</v>
      </c>
      <c r="CH647" s="424">
        <f t="shared" si="1417"/>
        <v>0</v>
      </c>
      <c r="CI647" s="424">
        <f t="shared" si="1417"/>
        <v>0</v>
      </c>
      <c r="CJ647" s="424">
        <f t="shared" si="1417"/>
        <v>0</v>
      </c>
      <c r="CK647" s="424">
        <f t="shared" si="1417"/>
        <v>0</v>
      </c>
      <c r="CL647" s="424">
        <f t="shared" si="1417"/>
        <v>0</v>
      </c>
      <c r="CM647" s="424">
        <f t="shared" si="1417"/>
        <v>0</v>
      </c>
      <c r="CN647" s="424">
        <f t="shared" si="1417"/>
        <v>0</v>
      </c>
      <c r="CO647" s="424">
        <f t="shared" si="1417"/>
        <v>0</v>
      </c>
      <c r="CP647" s="424">
        <f t="shared" si="1417"/>
        <v>0</v>
      </c>
      <c r="CQ647" s="424">
        <f t="shared" si="1417"/>
        <v>0</v>
      </c>
      <c r="CR647" s="424">
        <f t="shared" si="1417"/>
        <v>0</v>
      </c>
      <c r="CS647" s="424">
        <f t="shared" si="1417"/>
        <v>0</v>
      </c>
      <c r="CT647" s="424">
        <f t="shared" si="1417"/>
        <v>0</v>
      </c>
      <c r="CU647" s="424">
        <f t="shared" si="1417"/>
        <v>0</v>
      </c>
      <c r="CV647" s="424">
        <f t="shared" si="1417"/>
        <v>0</v>
      </c>
      <c r="CW647" s="424">
        <f t="shared" si="1417"/>
        <v>0</v>
      </c>
      <c r="CX647" s="424">
        <f t="shared" si="1417"/>
        <v>0</v>
      </c>
      <c r="CY647" s="424">
        <f t="shared" si="1417"/>
        <v>0</v>
      </c>
      <c r="CZ647" s="424">
        <f t="shared" si="1417"/>
        <v>2.2799999999999998</v>
      </c>
      <c r="DA647" s="424">
        <f t="shared" si="1417"/>
        <v>0</v>
      </c>
      <c r="DB647" s="424">
        <f t="shared" ref="DB647:EG647" si="1418">DB277*DB$372</f>
        <v>0</v>
      </c>
      <c r="DC647" s="424">
        <f t="shared" si="1418"/>
        <v>0</v>
      </c>
      <c r="DD647" s="424">
        <f t="shared" si="1418"/>
        <v>0</v>
      </c>
      <c r="DE647" s="424">
        <f t="shared" si="1418"/>
        <v>0</v>
      </c>
      <c r="DF647" s="424">
        <f t="shared" si="1418"/>
        <v>0</v>
      </c>
      <c r="DG647" s="424">
        <f t="shared" si="1418"/>
        <v>0</v>
      </c>
      <c r="DH647" s="424">
        <f t="shared" si="1418"/>
        <v>0</v>
      </c>
      <c r="DI647" s="424">
        <f t="shared" si="1418"/>
        <v>0</v>
      </c>
      <c r="DJ647" s="424">
        <f t="shared" si="1418"/>
        <v>0</v>
      </c>
      <c r="DK647" s="424">
        <f t="shared" si="1418"/>
        <v>0</v>
      </c>
      <c r="DL647" s="424">
        <f t="shared" si="1418"/>
        <v>0</v>
      </c>
      <c r="DM647" s="424">
        <f t="shared" si="1418"/>
        <v>0</v>
      </c>
      <c r="DN647" s="424">
        <f t="shared" si="1418"/>
        <v>0</v>
      </c>
      <c r="DO647" s="424">
        <f t="shared" si="1418"/>
        <v>0</v>
      </c>
      <c r="DP647" s="424">
        <f t="shared" si="1418"/>
        <v>0</v>
      </c>
      <c r="DQ647" s="424">
        <f t="shared" si="1418"/>
        <v>0</v>
      </c>
      <c r="DR647" s="424">
        <f t="shared" si="1418"/>
        <v>0</v>
      </c>
      <c r="DS647" s="424">
        <f t="shared" si="1418"/>
        <v>0</v>
      </c>
      <c r="DT647" s="424">
        <f t="shared" si="1418"/>
        <v>0</v>
      </c>
      <c r="DU647" s="424">
        <f t="shared" si="1418"/>
        <v>0</v>
      </c>
      <c r="DV647" s="424">
        <f t="shared" si="1418"/>
        <v>0</v>
      </c>
      <c r="DW647" s="424">
        <f t="shared" si="1418"/>
        <v>0</v>
      </c>
      <c r="DX647" s="424">
        <f t="shared" si="1418"/>
        <v>0</v>
      </c>
      <c r="DY647" s="424">
        <f t="shared" si="1418"/>
        <v>0</v>
      </c>
      <c r="DZ647" s="424">
        <f t="shared" si="1418"/>
        <v>0</v>
      </c>
      <c r="EA647" s="424">
        <f t="shared" si="1418"/>
        <v>0</v>
      </c>
      <c r="EB647" s="424">
        <f t="shared" si="1418"/>
        <v>0</v>
      </c>
      <c r="EC647" s="424">
        <f t="shared" si="1418"/>
        <v>0</v>
      </c>
      <c r="ED647" s="424">
        <f t="shared" si="1418"/>
        <v>0</v>
      </c>
      <c r="EE647" s="424">
        <f t="shared" si="1418"/>
        <v>0</v>
      </c>
      <c r="EF647" s="424">
        <f t="shared" si="1418"/>
        <v>0</v>
      </c>
      <c r="EG647" s="424">
        <f t="shared" si="1418"/>
        <v>0</v>
      </c>
      <c r="EH647" s="424">
        <f t="shared" ref="EH647:EX647" si="1419">EH277*EH$372</f>
        <v>0</v>
      </c>
      <c r="EI647" s="424">
        <f t="shared" si="1419"/>
        <v>0</v>
      </c>
      <c r="EJ647" s="424">
        <f t="shared" si="1419"/>
        <v>0</v>
      </c>
      <c r="EK647" s="424">
        <f t="shared" si="1419"/>
        <v>0</v>
      </c>
      <c r="EL647" s="424">
        <f t="shared" si="1419"/>
        <v>0</v>
      </c>
      <c r="EM647" s="424">
        <f t="shared" si="1419"/>
        <v>0</v>
      </c>
      <c r="EN647" s="424">
        <f t="shared" si="1419"/>
        <v>0</v>
      </c>
      <c r="EO647" s="424">
        <f t="shared" si="1419"/>
        <v>0</v>
      </c>
      <c r="EP647" s="424">
        <f t="shared" si="1419"/>
        <v>0</v>
      </c>
      <c r="EQ647" s="424">
        <f t="shared" si="1419"/>
        <v>0</v>
      </c>
      <c r="ER647" s="424">
        <f t="shared" si="1419"/>
        <v>0</v>
      </c>
      <c r="ES647" s="424">
        <f t="shared" si="1419"/>
        <v>0</v>
      </c>
      <c r="ET647" s="424">
        <f t="shared" si="1419"/>
        <v>0</v>
      </c>
      <c r="EU647" s="424">
        <f t="shared" si="1419"/>
        <v>0</v>
      </c>
      <c r="EV647" s="424">
        <f t="shared" si="1419"/>
        <v>0</v>
      </c>
      <c r="EW647" s="424">
        <f t="shared" si="1419"/>
        <v>0</v>
      </c>
      <c r="EX647" s="424">
        <f t="shared" si="1419"/>
        <v>0</v>
      </c>
      <c r="EY647" s="425">
        <f t="shared" ref="EY647:EY716" si="1420">SUM(J647:EX647)</f>
        <v>10.99</v>
      </c>
    </row>
    <row r="648" spans="1:166" ht="14.7" customHeight="1" x14ac:dyDescent="0.25">
      <c r="A648" s="310">
        <v>274</v>
      </c>
      <c r="B648" s="311" t="str">
        <f t="shared" si="1331"/>
        <v>Компот из плодов консервированных (вишня)</v>
      </c>
      <c r="C648" s="483">
        <f t="shared" ref="C648:C712" si="1421">EY648</f>
        <v>25.06</v>
      </c>
      <c r="D648" s="888"/>
      <c r="E648" s="888"/>
      <c r="F648" s="888"/>
      <c r="G648" s="889"/>
      <c r="H648" s="680">
        <f t="shared" si="1338"/>
        <v>347</v>
      </c>
      <c r="I648" s="1209">
        <f t="shared" si="1332"/>
        <v>0</v>
      </c>
      <c r="J648" s="424">
        <f t="shared" ref="J648:AO648" si="1422">J278*J$372</f>
        <v>0</v>
      </c>
      <c r="K648" s="424">
        <f t="shared" si="1422"/>
        <v>0</v>
      </c>
      <c r="L648" s="424">
        <f t="shared" si="1422"/>
        <v>0</v>
      </c>
      <c r="M648" s="424">
        <f t="shared" si="1422"/>
        <v>0</v>
      </c>
      <c r="N648" s="424">
        <f t="shared" si="1422"/>
        <v>0</v>
      </c>
      <c r="O648" s="424">
        <f t="shared" si="1422"/>
        <v>0</v>
      </c>
      <c r="P648" s="424">
        <f t="shared" si="1422"/>
        <v>0</v>
      </c>
      <c r="Q648" s="424">
        <f t="shared" si="1422"/>
        <v>0</v>
      </c>
      <c r="R648" s="424">
        <f t="shared" si="1422"/>
        <v>0</v>
      </c>
      <c r="S648" s="424">
        <f t="shared" si="1422"/>
        <v>0</v>
      </c>
      <c r="T648" s="424">
        <f t="shared" si="1422"/>
        <v>0</v>
      </c>
      <c r="U648" s="424">
        <f t="shared" si="1422"/>
        <v>0</v>
      </c>
      <c r="V648" s="424">
        <f t="shared" si="1422"/>
        <v>0</v>
      </c>
      <c r="W648" s="424">
        <f t="shared" si="1422"/>
        <v>0</v>
      </c>
      <c r="X648" s="424">
        <f t="shared" si="1422"/>
        <v>0</v>
      </c>
      <c r="Y648" s="424">
        <f t="shared" si="1422"/>
        <v>0</v>
      </c>
      <c r="Z648" s="424">
        <f t="shared" si="1422"/>
        <v>0</v>
      </c>
      <c r="AA648" s="424">
        <f t="shared" si="1422"/>
        <v>0</v>
      </c>
      <c r="AB648" s="424">
        <f t="shared" si="1422"/>
        <v>0</v>
      </c>
      <c r="AC648" s="424">
        <f t="shared" si="1422"/>
        <v>0</v>
      </c>
      <c r="AD648" s="424">
        <f t="shared" si="1422"/>
        <v>0</v>
      </c>
      <c r="AE648" s="424">
        <f t="shared" si="1422"/>
        <v>0</v>
      </c>
      <c r="AF648" s="424">
        <f t="shared" si="1422"/>
        <v>0</v>
      </c>
      <c r="AG648" s="424">
        <f t="shared" si="1422"/>
        <v>0</v>
      </c>
      <c r="AH648" s="424">
        <f t="shared" si="1422"/>
        <v>0</v>
      </c>
      <c r="AI648" s="424">
        <f t="shared" si="1422"/>
        <v>0</v>
      </c>
      <c r="AJ648" s="424">
        <f t="shared" si="1422"/>
        <v>0</v>
      </c>
      <c r="AK648" s="424">
        <f t="shared" si="1422"/>
        <v>0</v>
      </c>
      <c r="AL648" s="424">
        <f t="shared" si="1422"/>
        <v>0</v>
      </c>
      <c r="AM648" s="424">
        <f t="shared" si="1422"/>
        <v>0</v>
      </c>
      <c r="AN648" s="424">
        <f t="shared" si="1422"/>
        <v>0</v>
      </c>
      <c r="AO648" s="424">
        <f t="shared" si="1422"/>
        <v>0</v>
      </c>
      <c r="AP648" s="424">
        <f t="shared" ref="AP648:BU648" si="1423">AP278*AP$372</f>
        <v>0</v>
      </c>
      <c r="AQ648" s="424">
        <f t="shared" si="1423"/>
        <v>0</v>
      </c>
      <c r="AR648" s="424">
        <f t="shared" si="1423"/>
        <v>0</v>
      </c>
      <c r="AS648" s="424">
        <f t="shared" si="1423"/>
        <v>0</v>
      </c>
      <c r="AT648" s="424">
        <f t="shared" si="1423"/>
        <v>0</v>
      </c>
      <c r="AU648" s="424">
        <f t="shared" si="1423"/>
        <v>0</v>
      </c>
      <c r="AV648" s="424">
        <f t="shared" si="1423"/>
        <v>0</v>
      </c>
      <c r="AW648" s="424">
        <f t="shared" si="1423"/>
        <v>0</v>
      </c>
      <c r="AX648" s="424">
        <f t="shared" si="1423"/>
        <v>0</v>
      </c>
      <c r="AY648" s="424">
        <f t="shared" si="1423"/>
        <v>0</v>
      </c>
      <c r="AZ648" s="424">
        <f t="shared" si="1423"/>
        <v>0</v>
      </c>
      <c r="BA648" s="424">
        <f t="shared" si="1423"/>
        <v>0</v>
      </c>
      <c r="BB648" s="424">
        <f t="shared" si="1423"/>
        <v>0</v>
      </c>
      <c r="BC648" s="424">
        <f t="shared" si="1423"/>
        <v>0</v>
      </c>
      <c r="BD648" s="424">
        <f t="shared" si="1423"/>
        <v>0</v>
      </c>
      <c r="BE648" s="424">
        <f t="shared" si="1423"/>
        <v>0</v>
      </c>
      <c r="BF648" s="424">
        <f t="shared" si="1423"/>
        <v>0</v>
      </c>
      <c r="BG648" s="424">
        <f t="shared" si="1423"/>
        <v>0</v>
      </c>
      <c r="BH648" s="424">
        <f t="shared" si="1423"/>
        <v>0</v>
      </c>
      <c r="BI648" s="424">
        <f t="shared" si="1423"/>
        <v>0</v>
      </c>
      <c r="BJ648" s="424">
        <f t="shared" si="1423"/>
        <v>0</v>
      </c>
      <c r="BK648" s="424">
        <f t="shared" si="1423"/>
        <v>0</v>
      </c>
      <c r="BL648" s="424">
        <f t="shared" si="1423"/>
        <v>0</v>
      </c>
      <c r="BM648" s="424">
        <f t="shared" si="1423"/>
        <v>0</v>
      </c>
      <c r="BN648" s="424">
        <f t="shared" si="1423"/>
        <v>0</v>
      </c>
      <c r="BO648" s="424">
        <f t="shared" si="1423"/>
        <v>0</v>
      </c>
      <c r="BP648" s="424">
        <f t="shared" si="1423"/>
        <v>0</v>
      </c>
      <c r="BQ648" s="424">
        <f t="shared" si="1423"/>
        <v>0</v>
      </c>
      <c r="BR648" s="424">
        <f t="shared" si="1423"/>
        <v>0</v>
      </c>
      <c r="BS648" s="424">
        <f t="shared" si="1423"/>
        <v>0</v>
      </c>
      <c r="BT648" s="424">
        <f t="shared" si="1423"/>
        <v>0</v>
      </c>
      <c r="BU648" s="424">
        <f t="shared" si="1423"/>
        <v>0</v>
      </c>
      <c r="BV648" s="424">
        <f t="shared" ref="BV648:DA648" si="1424">BV278*BV$372</f>
        <v>0</v>
      </c>
      <c r="BW648" s="424">
        <f t="shared" si="1424"/>
        <v>0</v>
      </c>
      <c r="BX648" s="424">
        <f t="shared" si="1424"/>
        <v>0</v>
      </c>
      <c r="BY648" s="424">
        <f t="shared" si="1424"/>
        <v>0</v>
      </c>
      <c r="BZ648" s="424">
        <f t="shared" si="1424"/>
        <v>0</v>
      </c>
      <c r="CA648" s="424">
        <f t="shared" si="1424"/>
        <v>0</v>
      </c>
      <c r="CB648" s="424">
        <f t="shared" si="1424"/>
        <v>0</v>
      </c>
      <c r="CC648" s="424">
        <f t="shared" si="1424"/>
        <v>0</v>
      </c>
      <c r="CD648" s="424">
        <f t="shared" si="1424"/>
        <v>0</v>
      </c>
      <c r="CE648" s="424">
        <f t="shared" si="1424"/>
        <v>0</v>
      </c>
      <c r="CF648" s="424">
        <f t="shared" si="1424"/>
        <v>0</v>
      </c>
      <c r="CG648" s="424">
        <f t="shared" si="1424"/>
        <v>0</v>
      </c>
      <c r="CH648" s="424">
        <f t="shared" si="1424"/>
        <v>0</v>
      </c>
      <c r="CI648" s="424">
        <f t="shared" si="1424"/>
        <v>0</v>
      </c>
      <c r="CJ648" s="424">
        <f t="shared" si="1424"/>
        <v>0</v>
      </c>
      <c r="CK648" s="424">
        <f t="shared" si="1424"/>
        <v>0</v>
      </c>
      <c r="CL648" s="424">
        <f t="shared" si="1424"/>
        <v>0</v>
      </c>
      <c r="CM648" s="424">
        <f t="shared" si="1424"/>
        <v>0</v>
      </c>
      <c r="CN648" s="424">
        <f t="shared" si="1424"/>
        <v>0</v>
      </c>
      <c r="CO648" s="424">
        <f t="shared" si="1424"/>
        <v>0</v>
      </c>
      <c r="CP648" s="424">
        <f t="shared" si="1424"/>
        <v>0</v>
      </c>
      <c r="CQ648" s="424">
        <f t="shared" si="1424"/>
        <v>0</v>
      </c>
      <c r="CR648" s="424">
        <f t="shared" si="1424"/>
        <v>0</v>
      </c>
      <c r="CS648" s="424">
        <f t="shared" si="1424"/>
        <v>0</v>
      </c>
      <c r="CT648" s="424">
        <f t="shared" si="1424"/>
        <v>0</v>
      </c>
      <c r="CU648" s="424">
        <f t="shared" si="1424"/>
        <v>0</v>
      </c>
      <c r="CV648" s="424">
        <f t="shared" si="1424"/>
        <v>0</v>
      </c>
      <c r="CW648" s="424">
        <f t="shared" si="1424"/>
        <v>0</v>
      </c>
      <c r="CX648" s="424">
        <f t="shared" si="1424"/>
        <v>0</v>
      </c>
      <c r="CY648" s="424">
        <f t="shared" si="1424"/>
        <v>0</v>
      </c>
      <c r="CZ648" s="424">
        <f t="shared" si="1424"/>
        <v>0.99</v>
      </c>
      <c r="DA648" s="424">
        <f t="shared" si="1424"/>
        <v>0</v>
      </c>
      <c r="DB648" s="424">
        <f t="shared" ref="DB648:EG648" si="1425">DB278*DB$372</f>
        <v>0</v>
      </c>
      <c r="DC648" s="424">
        <f t="shared" si="1425"/>
        <v>0</v>
      </c>
      <c r="DD648" s="424">
        <f t="shared" si="1425"/>
        <v>0</v>
      </c>
      <c r="DE648" s="424">
        <f t="shared" si="1425"/>
        <v>0</v>
      </c>
      <c r="DF648" s="424">
        <f t="shared" si="1425"/>
        <v>0</v>
      </c>
      <c r="DG648" s="424">
        <f t="shared" si="1425"/>
        <v>0</v>
      </c>
      <c r="DH648" s="424">
        <f t="shared" si="1425"/>
        <v>0</v>
      </c>
      <c r="DI648" s="424">
        <f t="shared" si="1425"/>
        <v>0</v>
      </c>
      <c r="DJ648" s="424">
        <f t="shared" si="1425"/>
        <v>0</v>
      </c>
      <c r="DK648" s="424">
        <f t="shared" si="1425"/>
        <v>0</v>
      </c>
      <c r="DL648" s="424">
        <f t="shared" si="1425"/>
        <v>0</v>
      </c>
      <c r="DM648" s="424">
        <f t="shared" si="1425"/>
        <v>0</v>
      </c>
      <c r="DN648" s="424">
        <f t="shared" si="1425"/>
        <v>0</v>
      </c>
      <c r="DO648" s="424">
        <f t="shared" si="1425"/>
        <v>0</v>
      </c>
      <c r="DP648" s="424">
        <f t="shared" si="1425"/>
        <v>0</v>
      </c>
      <c r="DQ648" s="424">
        <f t="shared" si="1425"/>
        <v>0</v>
      </c>
      <c r="DR648" s="424">
        <f t="shared" si="1425"/>
        <v>0</v>
      </c>
      <c r="DS648" s="424">
        <f t="shared" si="1425"/>
        <v>0</v>
      </c>
      <c r="DT648" s="424">
        <f t="shared" si="1425"/>
        <v>24.07</v>
      </c>
      <c r="DU648" s="424">
        <f t="shared" si="1425"/>
        <v>0</v>
      </c>
      <c r="DV648" s="424">
        <f t="shared" si="1425"/>
        <v>0</v>
      </c>
      <c r="DW648" s="424">
        <f t="shared" si="1425"/>
        <v>0</v>
      </c>
      <c r="DX648" s="424">
        <f t="shared" si="1425"/>
        <v>0</v>
      </c>
      <c r="DY648" s="424">
        <f t="shared" si="1425"/>
        <v>0</v>
      </c>
      <c r="DZ648" s="424">
        <f t="shared" si="1425"/>
        <v>0</v>
      </c>
      <c r="EA648" s="424">
        <f t="shared" si="1425"/>
        <v>0</v>
      </c>
      <c r="EB648" s="424">
        <f t="shared" si="1425"/>
        <v>0</v>
      </c>
      <c r="EC648" s="424">
        <f t="shared" si="1425"/>
        <v>0</v>
      </c>
      <c r="ED648" s="424">
        <f t="shared" si="1425"/>
        <v>0</v>
      </c>
      <c r="EE648" s="424">
        <f t="shared" si="1425"/>
        <v>0</v>
      </c>
      <c r="EF648" s="424">
        <f t="shared" si="1425"/>
        <v>0</v>
      </c>
      <c r="EG648" s="424">
        <f t="shared" si="1425"/>
        <v>0</v>
      </c>
      <c r="EH648" s="424">
        <f t="shared" ref="EH648:EX648" si="1426">EH278*EH$372</f>
        <v>0</v>
      </c>
      <c r="EI648" s="424">
        <f t="shared" si="1426"/>
        <v>0</v>
      </c>
      <c r="EJ648" s="424">
        <f t="shared" si="1426"/>
        <v>0</v>
      </c>
      <c r="EK648" s="424">
        <f t="shared" si="1426"/>
        <v>0</v>
      </c>
      <c r="EL648" s="424">
        <f t="shared" si="1426"/>
        <v>0</v>
      </c>
      <c r="EM648" s="424">
        <f t="shared" si="1426"/>
        <v>0</v>
      </c>
      <c r="EN648" s="424">
        <f t="shared" si="1426"/>
        <v>0</v>
      </c>
      <c r="EO648" s="424">
        <f t="shared" si="1426"/>
        <v>0</v>
      </c>
      <c r="EP648" s="424">
        <f t="shared" si="1426"/>
        <v>0</v>
      </c>
      <c r="EQ648" s="424">
        <f t="shared" si="1426"/>
        <v>0</v>
      </c>
      <c r="ER648" s="424">
        <f t="shared" si="1426"/>
        <v>0</v>
      </c>
      <c r="ES648" s="424">
        <f t="shared" si="1426"/>
        <v>0</v>
      </c>
      <c r="ET648" s="424">
        <f t="shared" si="1426"/>
        <v>0</v>
      </c>
      <c r="EU648" s="424">
        <f t="shared" si="1426"/>
        <v>0</v>
      </c>
      <c r="EV648" s="424">
        <f t="shared" si="1426"/>
        <v>0</v>
      </c>
      <c r="EW648" s="424">
        <f t="shared" si="1426"/>
        <v>0</v>
      </c>
      <c r="EX648" s="424">
        <f t="shared" si="1426"/>
        <v>0</v>
      </c>
      <c r="EY648" s="425">
        <f t="shared" si="1420"/>
        <v>25.06</v>
      </c>
    </row>
    <row r="649" spans="1:166" ht="14.7" customHeight="1" x14ac:dyDescent="0.25">
      <c r="A649" s="310">
        <v>275</v>
      </c>
      <c r="B649" s="311" t="str">
        <f t="shared" si="1331"/>
        <v>Компот из плодов консервированных персики</v>
      </c>
      <c r="C649" s="483">
        <f t="shared" si="1421"/>
        <v>25.24</v>
      </c>
      <c r="D649" s="888"/>
      <c r="E649" s="888"/>
      <c r="F649" s="888"/>
      <c r="G649" s="889"/>
      <c r="H649" s="680">
        <f t="shared" si="1338"/>
        <v>347</v>
      </c>
      <c r="I649" s="1209">
        <f t="shared" si="1332"/>
        <v>0</v>
      </c>
      <c r="J649" s="424">
        <f t="shared" ref="J649:AO649" si="1427">J279*J$372</f>
        <v>0</v>
      </c>
      <c r="K649" s="424">
        <f t="shared" si="1427"/>
        <v>0</v>
      </c>
      <c r="L649" s="424">
        <f t="shared" si="1427"/>
        <v>0</v>
      </c>
      <c r="M649" s="424">
        <f t="shared" si="1427"/>
        <v>0</v>
      </c>
      <c r="N649" s="424">
        <f t="shared" si="1427"/>
        <v>0</v>
      </c>
      <c r="O649" s="424">
        <f t="shared" si="1427"/>
        <v>0</v>
      </c>
      <c r="P649" s="424">
        <f t="shared" si="1427"/>
        <v>0</v>
      </c>
      <c r="Q649" s="424">
        <f t="shared" si="1427"/>
        <v>0</v>
      </c>
      <c r="R649" s="424">
        <f t="shared" si="1427"/>
        <v>0</v>
      </c>
      <c r="S649" s="424">
        <f t="shared" si="1427"/>
        <v>0</v>
      </c>
      <c r="T649" s="424">
        <f t="shared" si="1427"/>
        <v>0</v>
      </c>
      <c r="U649" s="424">
        <f t="shared" si="1427"/>
        <v>0</v>
      </c>
      <c r="V649" s="424">
        <f t="shared" si="1427"/>
        <v>0</v>
      </c>
      <c r="W649" s="424">
        <f t="shared" si="1427"/>
        <v>0</v>
      </c>
      <c r="X649" s="424">
        <f t="shared" si="1427"/>
        <v>0</v>
      </c>
      <c r="Y649" s="424">
        <f t="shared" si="1427"/>
        <v>0</v>
      </c>
      <c r="Z649" s="424">
        <f t="shared" si="1427"/>
        <v>0</v>
      </c>
      <c r="AA649" s="424">
        <f t="shared" si="1427"/>
        <v>0</v>
      </c>
      <c r="AB649" s="424">
        <f t="shared" si="1427"/>
        <v>0</v>
      </c>
      <c r="AC649" s="424">
        <f t="shared" si="1427"/>
        <v>0</v>
      </c>
      <c r="AD649" s="424">
        <f t="shared" si="1427"/>
        <v>0</v>
      </c>
      <c r="AE649" s="424">
        <f t="shared" si="1427"/>
        <v>0</v>
      </c>
      <c r="AF649" s="424">
        <f t="shared" si="1427"/>
        <v>0</v>
      </c>
      <c r="AG649" s="424">
        <f t="shared" si="1427"/>
        <v>0</v>
      </c>
      <c r="AH649" s="424">
        <f t="shared" si="1427"/>
        <v>0</v>
      </c>
      <c r="AI649" s="424">
        <f t="shared" si="1427"/>
        <v>0</v>
      </c>
      <c r="AJ649" s="424">
        <f t="shared" si="1427"/>
        <v>0</v>
      </c>
      <c r="AK649" s="424">
        <f t="shared" si="1427"/>
        <v>0</v>
      </c>
      <c r="AL649" s="424">
        <f t="shared" si="1427"/>
        <v>0</v>
      </c>
      <c r="AM649" s="424">
        <f t="shared" si="1427"/>
        <v>0</v>
      </c>
      <c r="AN649" s="424">
        <f t="shared" si="1427"/>
        <v>0</v>
      </c>
      <c r="AO649" s="424">
        <f t="shared" si="1427"/>
        <v>0</v>
      </c>
      <c r="AP649" s="424">
        <f t="shared" ref="AP649:BU649" si="1428">AP279*AP$372</f>
        <v>0</v>
      </c>
      <c r="AQ649" s="424">
        <f t="shared" si="1428"/>
        <v>0</v>
      </c>
      <c r="AR649" s="424">
        <f t="shared" si="1428"/>
        <v>0</v>
      </c>
      <c r="AS649" s="424">
        <f t="shared" si="1428"/>
        <v>0</v>
      </c>
      <c r="AT649" s="424">
        <f t="shared" si="1428"/>
        <v>0</v>
      </c>
      <c r="AU649" s="424">
        <f t="shared" si="1428"/>
        <v>0</v>
      </c>
      <c r="AV649" s="424">
        <f t="shared" si="1428"/>
        <v>0</v>
      </c>
      <c r="AW649" s="424">
        <f t="shared" si="1428"/>
        <v>0</v>
      </c>
      <c r="AX649" s="424">
        <f t="shared" si="1428"/>
        <v>0</v>
      </c>
      <c r="AY649" s="424">
        <f t="shared" si="1428"/>
        <v>0</v>
      </c>
      <c r="AZ649" s="424">
        <f t="shared" si="1428"/>
        <v>0</v>
      </c>
      <c r="BA649" s="424">
        <f t="shared" si="1428"/>
        <v>0</v>
      </c>
      <c r="BB649" s="424">
        <f t="shared" si="1428"/>
        <v>0</v>
      </c>
      <c r="BC649" s="424">
        <f t="shared" si="1428"/>
        <v>0</v>
      </c>
      <c r="BD649" s="424">
        <f t="shared" si="1428"/>
        <v>0</v>
      </c>
      <c r="BE649" s="424">
        <f t="shared" si="1428"/>
        <v>0</v>
      </c>
      <c r="BF649" s="424">
        <f t="shared" si="1428"/>
        <v>0</v>
      </c>
      <c r="BG649" s="424">
        <f t="shared" si="1428"/>
        <v>0</v>
      </c>
      <c r="BH649" s="424">
        <f t="shared" si="1428"/>
        <v>0</v>
      </c>
      <c r="BI649" s="424">
        <f t="shared" si="1428"/>
        <v>0</v>
      </c>
      <c r="BJ649" s="424">
        <f t="shared" si="1428"/>
        <v>0</v>
      </c>
      <c r="BK649" s="424">
        <f t="shared" si="1428"/>
        <v>0</v>
      </c>
      <c r="BL649" s="424">
        <f t="shared" si="1428"/>
        <v>0</v>
      </c>
      <c r="BM649" s="424">
        <f t="shared" si="1428"/>
        <v>0</v>
      </c>
      <c r="BN649" s="424">
        <f t="shared" si="1428"/>
        <v>0</v>
      </c>
      <c r="BO649" s="424">
        <f t="shared" si="1428"/>
        <v>0</v>
      </c>
      <c r="BP649" s="424">
        <f t="shared" si="1428"/>
        <v>0</v>
      </c>
      <c r="BQ649" s="424">
        <f t="shared" si="1428"/>
        <v>0</v>
      </c>
      <c r="BR649" s="424">
        <f t="shared" si="1428"/>
        <v>0</v>
      </c>
      <c r="BS649" s="424">
        <f t="shared" si="1428"/>
        <v>0</v>
      </c>
      <c r="BT649" s="424">
        <f t="shared" si="1428"/>
        <v>0</v>
      </c>
      <c r="BU649" s="424">
        <f t="shared" si="1428"/>
        <v>0</v>
      </c>
      <c r="BV649" s="424">
        <f t="shared" ref="BV649:DA649" si="1429">BV279*BV$372</f>
        <v>0</v>
      </c>
      <c r="BW649" s="424">
        <f t="shared" si="1429"/>
        <v>0</v>
      </c>
      <c r="BX649" s="424">
        <f t="shared" si="1429"/>
        <v>0</v>
      </c>
      <c r="BY649" s="424">
        <f t="shared" si="1429"/>
        <v>0</v>
      </c>
      <c r="BZ649" s="424">
        <f t="shared" si="1429"/>
        <v>0</v>
      </c>
      <c r="CA649" s="424">
        <f t="shared" si="1429"/>
        <v>0</v>
      </c>
      <c r="CB649" s="424">
        <f t="shared" si="1429"/>
        <v>0</v>
      </c>
      <c r="CC649" s="424">
        <f t="shared" si="1429"/>
        <v>0</v>
      </c>
      <c r="CD649" s="424">
        <f t="shared" si="1429"/>
        <v>0</v>
      </c>
      <c r="CE649" s="424">
        <f t="shared" si="1429"/>
        <v>0</v>
      </c>
      <c r="CF649" s="424">
        <f t="shared" si="1429"/>
        <v>0</v>
      </c>
      <c r="CG649" s="424">
        <f t="shared" si="1429"/>
        <v>0</v>
      </c>
      <c r="CH649" s="424">
        <f t="shared" si="1429"/>
        <v>0</v>
      </c>
      <c r="CI649" s="424">
        <f t="shared" si="1429"/>
        <v>0</v>
      </c>
      <c r="CJ649" s="424">
        <f t="shared" si="1429"/>
        <v>0</v>
      </c>
      <c r="CK649" s="424">
        <f t="shared" si="1429"/>
        <v>0</v>
      </c>
      <c r="CL649" s="424">
        <f t="shared" si="1429"/>
        <v>0</v>
      </c>
      <c r="CM649" s="424">
        <f t="shared" si="1429"/>
        <v>0</v>
      </c>
      <c r="CN649" s="424">
        <f t="shared" si="1429"/>
        <v>0</v>
      </c>
      <c r="CO649" s="424">
        <f t="shared" si="1429"/>
        <v>0</v>
      </c>
      <c r="CP649" s="424">
        <f t="shared" si="1429"/>
        <v>0</v>
      </c>
      <c r="CQ649" s="424">
        <f t="shared" si="1429"/>
        <v>0</v>
      </c>
      <c r="CR649" s="424">
        <f t="shared" si="1429"/>
        <v>0</v>
      </c>
      <c r="CS649" s="424">
        <f t="shared" si="1429"/>
        <v>0</v>
      </c>
      <c r="CT649" s="424">
        <f t="shared" si="1429"/>
        <v>0</v>
      </c>
      <c r="CU649" s="424">
        <f t="shared" si="1429"/>
        <v>0</v>
      </c>
      <c r="CV649" s="424">
        <f t="shared" si="1429"/>
        <v>0</v>
      </c>
      <c r="CW649" s="424">
        <f t="shared" si="1429"/>
        <v>0</v>
      </c>
      <c r="CX649" s="424">
        <f t="shared" si="1429"/>
        <v>0</v>
      </c>
      <c r="CY649" s="424">
        <f t="shared" si="1429"/>
        <v>0</v>
      </c>
      <c r="CZ649" s="424">
        <f t="shared" si="1429"/>
        <v>0.99</v>
      </c>
      <c r="DA649" s="424">
        <f t="shared" si="1429"/>
        <v>0</v>
      </c>
      <c r="DB649" s="424">
        <f t="shared" ref="DB649:EG649" si="1430">DB279*DB$372</f>
        <v>0</v>
      </c>
      <c r="DC649" s="424">
        <f t="shared" si="1430"/>
        <v>0</v>
      </c>
      <c r="DD649" s="424">
        <f t="shared" si="1430"/>
        <v>0</v>
      </c>
      <c r="DE649" s="424">
        <f t="shared" si="1430"/>
        <v>0</v>
      </c>
      <c r="DF649" s="424">
        <f t="shared" si="1430"/>
        <v>0</v>
      </c>
      <c r="DG649" s="424">
        <f t="shared" si="1430"/>
        <v>0</v>
      </c>
      <c r="DH649" s="424">
        <f t="shared" si="1430"/>
        <v>0</v>
      </c>
      <c r="DI649" s="424">
        <f t="shared" si="1430"/>
        <v>0</v>
      </c>
      <c r="DJ649" s="424">
        <f t="shared" si="1430"/>
        <v>0</v>
      </c>
      <c r="DK649" s="424">
        <f t="shared" si="1430"/>
        <v>0</v>
      </c>
      <c r="DL649" s="424">
        <f t="shared" si="1430"/>
        <v>0</v>
      </c>
      <c r="DM649" s="424">
        <f t="shared" si="1430"/>
        <v>0</v>
      </c>
      <c r="DN649" s="424">
        <f t="shared" si="1430"/>
        <v>0</v>
      </c>
      <c r="DO649" s="424">
        <f t="shared" si="1430"/>
        <v>0</v>
      </c>
      <c r="DP649" s="424">
        <f t="shared" si="1430"/>
        <v>0</v>
      </c>
      <c r="DQ649" s="424">
        <f t="shared" si="1430"/>
        <v>0</v>
      </c>
      <c r="DR649" s="424">
        <f t="shared" si="1430"/>
        <v>0</v>
      </c>
      <c r="DS649" s="424">
        <f t="shared" si="1430"/>
        <v>0</v>
      </c>
      <c r="DT649" s="424">
        <f t="shared" si="1430"/>
        <v>24.25</v>
      </c>
      <c r="DU649" s="424">
        <f t="shared" si="1430"/>
        <v>0</v>
      </c>
      <c r="DV649" s="424">
        <f t="shared" si="1430"/>
        <v>0</v>
      </c>
      <c r="DW649" s="424">
        <f t="shared" si="1430"/>
        <v>0</v>
      </c>
      <c r="DX649" s="424">
        <f t="shared" si="1430"/>
        <v>0</v>
      </c>
      <c r="DY649" s="424">
        <f t="shared" si="1430"/>
        <v>0</v>
      </c>
      <c r="DZ649" s="424">
        <f t="shared" si="1430"/>
        <v>0</v>
      </c>
      <c r="EA649" s="424">
        <f t="shared" si="1430"/>
        <v>0</v>
      </c>
      <c r="EB649" s="424">
        <f t="shared" si="1430"/>
        <v>0</v>
      </c>
      <c r="EC649" s="424">
        <f t="shared" si="1430"/>
        <v>0</v>
      </c>
      <c r="ED649" s="424">
        <f t="shared" si="1430"/>
        <v>0</v>
      </c>
      <c r="EE649" s="424">
        <f t="shared" si="1430"/>
        <v>0</v>
      </c>
      <c r="EF649" s="424">
        <f t="shared" si="1430"/>
        <v>0</v>
      </c>
      <c r="EG649" s="424">
        <f t="shared" si="1430"/>
        <v>0</v>
      </c>
      <c r="EH649" s="424">
        <f t="shared" ref="EH649:EX649" si="1431">EH279*EH$372</f>
        <v>0</v>
      </c>
      <c r="EI649" s="424">
        <f t="shared" si="1431"/>
        <v>0</v>
      </c>
      <c r="EJ649" s="424">
        <f t="shared" si="1431"/>
        <v>0</v>
      </c>
      <c r="EK649" s="424">
        <f t="shared" si="1431"/>
        <v>0</v>
      </c>
      <c r="EL649" s="424">
        <f t="shared" si="1431"/>
        <v>0</v>
      </c>
      <c r="EM649" s="424">
        <f t="shared" si="1431"/>
        <v>0</v>
      </c>
      <c r="EN649" s="424">
        <f t="shared" si="1431"/>
        <v>0</v>
      </c>
      <c r="EO649" s="424">
        <f t="shared" si="1431"/>
        <v>0</v>
      </c>
      <c r="EP649" s="424">
        <f t="shared" si="1431"/>
        <v>0</v>
      </c>
      <c r="EQ649" s="424">
        <f t="shared" si="1431"/>
        <v>0</v>
      </c>
      <c r="ER649" s="424">
        <f t="shared" si="1431"/>
        <v>0</v>
      </c>
      <c r="ES649" s="424">
        <f t="shared" si="1431"/>
        <v>0</v>
      </c>
      <c r="ET649" s="424">
        <f t="shared" si="1431"/>
        <v>0</v>
      </c>
      <c r="EU649" s="424">
        <f t="shared" si="1431"/>
        <v>0</v>
      </c>
      <c r="EV649" s="424">
        <f t="shared" si="1431"/>
        <v>0</v>
      </c>
      <c r="EW649" s="424">
        <f t="shared" si="1431"/>
        <v>0</v>
      </c>
      <c r="EX649" s="424">
        <f t="shared" si="1431"/>
        <v>0</v>
      </c>
      <c r="EY649" s="425">
        <f t="shared" si="1420"/>
        <v>25.24</v>
      </c>
    </row>
    <row r="650" spans="1:166" ht="14.7" customHeight="1" x14ac:dyDescent="0.25">
      <c r="A650" s="310">
        <v>276</v>
      </c>
      <c r="B650" s="311" t="str">
        <f t="shared" si="1331"/>
        <v>Компот из кураги</v>
      </c>
      <c r="C650" s="483">
        <f t="shared" si="1421"/>
        <v>6.58</v>
      </c>
      <c r="D650" s="888"/>
      <c r="E650" s="888"/>
      <c r="F650" s="888"/>
      <c r="G650" s="889"/>
      <c r="H650" s="680">
        <f t="shared" si="1338"/>
        <v>348</v>
      </c>
      <c r="I650" s="1209">
        <f t="shared" si="1332"/>
        <v>0</v>
      </c>
      <c r="J650" s="424">
        <f t="shared" ref="J650:AO650" si="1432">J280*J$372</f>
        <v>0</v>
      </c>
      <c r="K650" s="424">
        <f t="shared" si="1432"/>
        <v>0</v>
      </c>
      <c r="L650" s="424">
        <f t="shared" si="1432"/>
        <v>0</v>
      </c>
      <c r="M650" s="424">
        <f t="shared" si="1432"/>
        <v>0</v>
      </c>
      <c r="N650" s="424">
        <f t="shared" si="1432"/>
        <v>0</v>
      </c>
      <c r="O650" s="424">
        <f t="shared" si="1432"/>
        <v>0</v>
      </c>
      <c r="P650" s="424">
        <f t="shared" si="1432"/>
        <v>0</v>
      </c>
      <c r="Q650" s="424">
        <f t="shared" si="1432"/>
        <v>0</v>
      </c>
      <c r="R650" s="424">
        <f t="shared" si="1432"/>
        <v>0</v>
      </c>
      <c r="S650" s="424">
        <f t="shared" si="1432"/>
        <v>0</v>
      </c>
      <c r="T650" s="424">
        <f t="shared" si="1432"/>
        <v>0</v>
      </c>
      <c r="U650" s="424">
        <f t="shared" si="1432"/>
        <v>0</v>
      </c>
      <c r="V650" s="424">
        <f t="shared" si="1432"/>
        <v>0</v>
      </c>
      <c r="W650" s="424">
        <f t="shared" si="1432"/>
        <v>0</v>
      </c>
      <c r="X650" s="424">
        <f t="shared" si="1432"/>
        <v>0</v>
      </c>
      <c r="Y650" s="424">
        <f t="shared" si="1432"/>
        <v>0</v>
      </c>
      <c r="Z650" s="424">
        <f t="shared" si="1432"/>
        <v>0</v>
      </c>
      <c r="AA650" s="424">
        <f t="shared" si="1432"/>
        <v>0</v>
      </c>
      <c r="AB650" s="424">
        <f t="shared" si="1432"/>
        <v>0</v>
      </c>
      <c r="AC650" s="424">
        <f t="shared" si="1432"/>
        <v>0</v>
      </c>
      <c r="AD650" s="424">
        <f t="shared" si="1432"/>
        <v>0</v>
      </c>
      <c r="AE650" s="424">
        <f t="shared" si="1432"/>
        <v>0</v>
      </c>
      <c r="AF650" s="424">
        <f t="shared" si="1432"/>
        <v>0</v>
      </c>
      <c r="AG650" s="424">
        <f t="shared" si="1432"/>
        <v>0</v>
      </c>
      <c r="AH650" s="424">
        <f t="shared" si="1432"/>
        <v>0</v>
      </c>
      <c r="AI650" s="424">
        <f t="shared" si="1432"/>
        <v>0</v>
      </c>
      <c r="AJ650" s="424">
        <f t="shared" si="1432"/>
        <v>0</v>
      </c>
      <c r="AK650" s="424">
        <f t="shared" si="1432"/>
        <v>0</v>
      </c>
      <c r="AL650" s="424">
        <f t="shared" si="1432"/>
        <v>0</v>
      </c>
      <c r="AM650" s="424">
        <f t="shared" si="1432"/>
        <v>0</v>
      </c>
      <c r="AN650" s="424">
        <f t="shared" si="1432"/>
        <v>0</v>
      </c>
      <c r="AO650" s="424">
        <f t="shared" si="1432"/>
        <v>0</v>
      </c>
      <c r="AP650" s="424">
        <f t="shared" ref="AP650:BU650" si="1433">AP280*AP$372</f>
        <v>0</v>
      </c>
      <c r="AQ650" s="424">
        <f t="shared" si="1433"/>
        <v>0</v>
      </c>
      <c r="AR650" s="424">
        <f t="shared" si="1433"/>
        <v>0</v>
      </c>
      <c r="AS650" s="424">
        <f t="shared" si="1433"/>
        <v>0</v>
      </c>
      <c r="AT650" s="424">
        <f t="shared" si="1433"/>
        <v>0</v>
      </c>
      <c r="AU650" s="424">
        <f t="shared" si="1433"/>
        <v>0</v>
      </c>
      <c r="AV650" s="424">
        <f t="shared" si="1433"/>
        <v>0</v>
      </c>
      <c r="AW650" s="424">
        <f t="shared" si="1433"/>
        <v>0</v>
      </c>
      <c r="AX650" s="424">
        <f t="shared" si="1433"/>
        <v>0</v>
      </c>
      <c r="AY650" s="424">
        <f t="shared" si="1433"/>
        <v>0</v>
      </c>
      <c r="AZ650" s="424">
        <f t="shared" si="1433"/>
        <v>0</v>
      </c>
      <c r="BA650" s="424">
        <f t="shared" si="1433"/>
        <v>0</v>
      </c>
      <c r="BB650" s="424">
        <f t="shared" si="1433"/>
        <v>0</v>
      </c>
      <c r="BC650" s="424">
        <f t="shared" si="1433"/>
        <v>0</v>
      </c>
      <c r="BD650" s="424">
        <f t="shared" si="1433"/>
        <v>0</v>
      </c>
      <c r="BE650" s="424">
        <f t="shared" si="1433"/>
        <v>0</v>
      </c>
      <c r="BF650" s="424">
        <f t="shared" si="1433"/>
        <v>0</v>
      </c>
      <c r="BG650" s="424">
        <f t="shared" si="1433"/>
        <v>0</v>
      </c>
      <c r="BH650" s="424">
        <f t="shared" si="1433"/>
        <v>0</v>
      </c>
      <c r="BI650" s="424">
        <f t="shared" si="1433"/>
        <v>0</v>
      </c>
      <c r="BJ650" s="424">
        <f t="shared" si="1433"/>
        <v>0</v>
      </c>
      <c r="BK650" s="424">
        <f t="shared" si="1433"/>
        <v>0</v>
      </c>
      <c r="BL650" s="424">
        <f t="shared" si="1433"/>
        <v>0</v>
      </c>
      <c r="BM650" s="424">
        <f t="shared" si="1433"/>
        <v>0</v>
      </c>
      <c r="BN650" s="424">
        <f t="shared" si="1433"/>
        <v>0</v>
      </c>
      <c r="BO650" s="424">
        <f t="shared" si="1433"/>
        <v>0</v>
      </c>
      <c r="BP650" s="424">
        <f t="shared" si="1433"/>
        <v>0</v>
      </c>
      <c r="BQ650" s="424">
        <f t="shared" si="1433"/>
        <v>0</v>
      </c>
      <c r="BR650" s="424">
        <f t="shared" si="1433"/>
        <v>0</v>
      </c>
      <c r="BS650" s="424">
        <f t="shared" si="1433"/>
        <v>0</v>
      </c>
      <c r="BT650" s="424">
        <f t="shared" si="1433"/>
        <v>0</v>
      </c>
      <c r="BU650" s="424">
        <f t="shared" si="1433"/>
        <v>0</v>
      </c>
      <c r="BV650" s="424">
        <f t="shared" ref="BV650:DA650" si="1434">BV280*BV$372</f>
        <v>0</v>
      </c>
      <c r="BW650" s="424">
        <f t="shared" si="1434"/>
        <v>0</v>
      </c>
      <c r="BX650" s="424">
        <f t="shared" si="1434"/>
        <v>0</v>
      </c>
      <c r="BY650" s="424">
        <f t="shared" si="1434"/>
        <v>0</v>
      </c>
      <c r="BZ650" s="424">
        <f t="shared" si="1434"/>
        <v>0</v>
      </c>
      <c r="CA650" s="424">
        <f t="shared" si="1434"/>
        <v>0</v>
      </c>
      <c r="CB650" s="424">
        <f t="shared" si="1434"/>
        <v>0</v>
      </c>
      <c r="CC650" s="424">
        <f t="shared" si="1434"/>
        <v>0</v>
      </c>
      <c r="CD650" s="424">
        <f t="shared" si="1434"/>
        <v>0</v>
      </c>
      <c r="CE650" s="424">
        <f t="shared" si="1434"/>
        <v>0</v>
      </c>
      <c r="CF650" s="424">
        <f t="shared" si="1434"/>
        <v>0</v>
      </c>
      <c r="CG650" s="424">
        <f t="shared" si="1434"/>
        <v>0</v>
      </c>
      <c r="CH650" s="424">
        <f t="shared" si="1434"/>
        <v>0</v>
      </c>
      <c r="CI650" s="424">
        <f t="shared" si="1434"/>
        <v>0</v>
      </c>
      <c r="CJ650" s="424">
        <f t="shared" si="1434"/>
        <v>0</v>
      </c>
      <c r="CK650" s="424">
        <f t="shared" si="1434"/>
        <v>0</v>
      </c>
      <c r="CL650" s="424">
        <f t="shared" si="1434"/>
        <v>0</v>
      </c>
      <c r="CM650" s="424">
        <f t="shared" si="1434"/>
        <v>0</v>
      </c>
      <c r="CN650" s="424">
        <f t="shared" si="1434"/>
        <v>0</v>
      </c>
      <c r="CO650" s="424">
        <f t="shared" si="1434"/>
        <v>0</v>
      </c>
      <c r="CP650" s="424">
        <f t="shared" si="1434"/>
        <v>0</v>
      </c>
      <c r="CQ650" s="424">
        <f t="shared" si="1434"/>
        <v>0.06</v>
      </c>
      <c r="CR650" s="424">
        <f t="shared" si="1434"/>
        <v>0</v>
      </c>
      <c r="CS650" s="424">
        <f t="shared" si="1434"/>
        <v>0</v>
      </c>
      <c r="CT650" s="424">
        <f t="shared" si="1434"/>
        <v>0</v>
      </c>
      <c r="CU650" s="424">
        <f t="shared" si="1434"/>
        <v>0</v>
      </c>
      <c r="CV650" s="424">
        <f t="shared" si="1434"/>
        <v>0</v>
      </c>
      <c r="CW650" s="424">
        <f t="shared" si="1434"/>
        <v>0</v>
      </c>
      <c r="CX650" s="424">
        <f t="shared" si="1434"/>
        <v>0</v>
      </c>
      <c r="CY650" s="424">
        <f t="shared" si="1434"/>
        <v>0</v>
      </c>
      <c r="CZ650" s="424">
        <f t="shared" si="1434"/>
        <v>1.52</v>
      </c>
      <c r="DA650" s="424">
        <f t="shared" si="1434"/>
        <v>0</v>
      </c>
      <c r="DB650" s="424">
        <f t="shared" ref="DB650:EG650" si="1435">DB280*DB$372</f>
        <v>0</v>
      </c>
      <c r="DC650" s="424">
        <f t="shared" si="1435"/>
        <v>0</v>
      </c>
      <c r="DD650" s="424">
        <f t="shared" si="1435"/>
        <v>0</v>
      </c>
      <c r="DE650" s="424">
        <f t="shared" si="1435"/>
        <v>0</v>
      </c>
      <c r="DF650" s="424">
        <f t="shared" si="1435"/>
        <v>0</v>
      </c>
      <c r="DG650" s="424">
        <f t="shared" si="1435"/>
        <v>0</v>
      </c>
      <c r="DH650" s="424">
        <f t="shared" si="1435"/>
        <v>0</v>
      </c>
      <c r="DI650" s="424">
        <f t="shared" si="1435"/>
        <v>0</v>
      </c>
      <c r="DJ650" s="424">
        <f t="shared" si="1435"/>
        <v>0</v>
      </c>
      <c r="DK650" s="424">
        <f t="shared" si="1435"/>
        <v>0</v>
      </c>
      <c r="DL650" s="424">
        <f t="shared" si="1435"/>
        <v>0</v>
      </c>
      <c r="DM650" s="424">
        <f t="shared" si="1435"/>
        <v>0</v>
      </c>
      <c r="DN650" s="424">
        <f t="shared" si="1435"/>
        <v>0</v>
      </c>
      <c r="DO650" s="424">
        <f t="shared" si="1435"/>
        <v>5</v>
      </c>
      <c r="DP650" s="424">
        <f t="shared" si="1435"/>
        <v>0</v>
      </c>
      <c r="DQ650" s="424">
        <f t="shared" si="1435"/>
        <v>0</v>
      </c>
      <c r="DR650" s="424">
        <f t="shared" si="1435"/>
        <v>0</v>
      </c>
      <c r="DS650" s="424">
        <f t="shared" si="1435"/>
        <v>0</v>
      </c>
      <c r="DT650" s="424">
        <f t="shared" si="1435"/>
        <v>0</v>
      </c>
      <c r="DU650" s="424">
        <f t="shared" si="1435"/>
        <v>0</v>
      </c>
      <c r="DV650" s="424">
        <f t="shared" si="1435"/>
        <v>0</v>
      </c>
      <c r="DW650" s="424">
        <f t="shared" si="1435"/>
        <v>0</v>
      </c>
      <c r="DX650" s="424">
        <f t="shared" si="1435"/>
        <v>0</v>
      </c>
      <c r="DY650" s="424">
        <f t="shared" si="1435"/>
        <v>0</v>
      </c>
      <c r="DZ650" s="424">
        <f t="shared" si="1435"/>
        <v>0</v>
      </c>
      <c r="EA650" s="424">
        <f t="shared" si="1435"/>
        <v>0</v>
      </c>
      <c r="EB650" s="424">
        <f t="shared" si="1435"/>
        <v>0</v>
      </c>
      <c r="EC650" s="424">
        <f t="shared" si="1435"/>
        <v>0</v>
      </c>
      <c r="ED650" s="424">
        <f t="shared" si="1435"/>
        <v>0</v>
      </c>
      <c r="EE650" s="424">
        <f t="shared" si="1435"/>
        <v>0</v>
      </c>
      <c r="EF650" s="424">
        <f t="shared" si="1435"/>
        <v>0</v>
      </c>
      <c r="EG650" s="424">
        <f t="shared" si="1435"/>
        <v>0</v>
      </c>
      <c r="EH650" s="424">
        <f t="shared" ref="EH650:EX650" si="1436">EH280*EH$372</f>
        <v>0</v>
      </c>
      <c r="EI650" s="424">
        <f t="shared" si="1436"/>
        <v>0</v>
      </c>
      <c r="EJ650" s="424">
        <f t="shared" si="1436"/>
        <v>0</v>
      </c>
      <c r="EK650" s="424">
        <f t="shared" si="1436"/>
        <v>0</v>
      </c>
      <c r="EL650" s="424">
        <f t="shared" si="1436"/>
        <v>0</v>
      </c>
      <c r="EM650" s="424">
        <f t="shared" si="1436"/>
        <v>0</v>
      </c>
      <c r="EN650" s="424">
        <f t="shared" si="1436"/>
        <v>0</v>
      </c>
      <c r="EO650" s="424">
        <f t="shared" si="1436"/>
        <v>0</v>
      </c>
      <c r="EP650" s="424">
        <f t="shared" si="1436"/>
        <v>0</v>
      </c>
      <c r="EQ650" s="424">
        <f t="shared" si="1436"/>
        <v>0</v>
      </c>
      <c r="ER650" s="424">
        <f t="shared" si="1436"/>
        <v>0</v>
      </c>
      <c r="ES650" s="424">
        <f t="shared" si="1436"/>
        <v>0</v>
      </c>
      <c r="ET650" s="424">
        <f t="shared" si="1436"/>
        <v>0</v>
      </c>
      <c r="EU650" s="424">
        <f t="shared" si="1436"/>
        <v>0</v>
      </c>
      <c r="EV650" s="424">
        <f t="shared" si="1436"/>
        <v>0</v>
      </c>
      <c r="EW650" s="424">
        <f t="shared" si="1436"/>
        <v>0</v>
      </c>
      <c r="EX650" s="424">
        <f t="shared" si="1436"/>
        <v>0</v>
      </c>
      <c r="EY650" s="425">
        <f t="shared" si="1420"/>
        <v>6.58</v>
      </c>
    </row>
    <row r="651" spans="1:166" ht="14.7" customHeight="1" x14ac:dyDescent="0.25">
      <c r="A651" s="310">
        <v>277</v>
      </c>
      <c r="B651" s="311" t="str">
        <f t="shared" si="1331"/>
        <v>Компот из смеси сухофруктов</v>
      </c>
      <c r="C651" s="483">
        <f t="shared" si="1421"/>
        <v>4.18</v>
      </c>
      <c r="D651" s="888"/>
      <c r="E651" s="888"/>
      <c r="F651" s="888"/>
      <c r="G651" s="889"/>
      <c r="H651" s="680">
        <f t="shared" si="1338"/>
        <v>349</v>
      </c>
      <c r="I651" s="1209">
        <f t="shared" si="1332"/>
        <v>0</v>
      </c>
      <c r="J651" s="424">
        <f t="shared" ref="J651:AO651" si="1437">J281*J$372</f>
        <v>0</v>
      </c>
      <c r="K651" s="424">
        <f t="shared" si="1437"/>
        <v>0</v>
      </c>
      <c r="L651" s="424">
        <f t="shared" si="1437"/>
        <v>0</v>
      </c>
      <c r="M651" s="424">
        <f t="shared" si="1437"/>
        <v>0</v>
      </c>
      <c r="N651" s="424">
        <f t="shared" si="1437"/>
        <v>0</v>
      </c>
      <c r="O651" s="424">
        <f t="shared" si="1437"/>
        <v>0</v>
      </c>
      <c r="P651" s="424">
        <f t="shared" si="1437"/>
        <v>0</v>
      </c>
      <c r="Q651" s="424">
        <f t="shared" si="1437"/>
        <v>0</v>
      </c>
      <c r="R651" s="424">
        <f t="shared" si="1437"/>
        <v>0</v>
      </c>
      <c r="S651" s="424">
        <f t="shared" si="1437"/>
        <v>0</v>
      </c>
      <c r="T651" s="424">
        <f t="shared" si="1437"/>
        <v>0</v>
      </c>
      <c r="U651" s="424">
        <f t="shared" si="1437"/>
        <v>0</v>
      </c>
      <c r="V651" s="424">
        <f t="shared" si="1437"/>
        <v>0</v>
      </c>
      <c r="W651" s="424">
        <f t="shared" si="1437"/>
        <v>0</v>
      </c>
      <c r="X651" s="424">
        <f t="shared" si="1437"/>
        <v>0</v>
      </c>
      <c r="Y651" s="424">
        <f t="shared" si="1437"/>
        <v>0</v>
      </c>
      <c r="Z651" s="424">
        <f t="shared" si="1437"/>
        <v>0</v>
      </c>
      <c r="AA651" s="424">
        <f t="shared" si="1437"/>
        <v>0</v>
      </c>
      <c r="AB651" s="424">
        <f t="shared" si="1437"/>
        <v>0</v>
      </c>
      <c r="AC651" s="424">
        <f t="shared" si="1437"/>
        <v>0</v>
      </c>
      <c r="AD651" s="424">
        <f t="shared" si="1437"/>
        <v>0</v>
      </c>
      <c r="AE651" s="424">
        <f t="shared" si="1437"/>
        <v>0</v>
      </c>
      <c r="AF651" s="424">
        <f t="shared" si="1437"/>
        <v>0</v>
      </c>
      <c r="AG651" s="424">
        <f t="shared" si="1437"/>
        <v>0</v>
      </c>
      <c r="AH651" s="424">
        <f t="shared" si="1437"/>
        <v>0</v>
      </c>
      <c r="AI651" s="424">
        <f t="shared" si="1437"/>
        <v>0</v>
      </c>
      <c r="AJ651" s="424">
        <f t="shared" si="1437"/>
        <v>0</v>
      </c>
      <c r="AK651" s="424">
        <f t="shared" si="1437"/>
        <v>0</v>
      </c>
      <c r="AL651" s="424">
        <f t="shared" si="1437"/>
        <v>0</v>
      </c>
      <c r="AM651" s="424">
        <f t="shared" si="1437"/>
        <v>0</v>
      </c>
      <c r="AN651" s="424">
        <f t="shared" si="1437"/>
        <v>0</v>
      </c>
      <c r="AO651" s="424">
        <f t="shared" si="1437"/>
        <v>0</v>
      </c>
      <c r="AP651" s="424">
        <f t="shared" ref="AP651:BU651" si="1438">AP281*AP$372</f>
        <v>0</v>
      </c>
      <c r="AQ651" s="424">
        <f t="shared" si="1438"/>
        <v>0</v>
      </c>
      <c r="AR651" s="424">
        <f t="shared" si="1438"/>
        <v>0</v>
      </c>
      <c r="AS651" s="424">
        <f t="shared" si="1438"/>
        <v>0</v>
      </c>
      <c r="AT651" s="424">
        <f t="shared" si="1438"/>
        <v>0</v>
      </c>
      <c r="AU651" s="424">
        <f t="shared" si="1438"/>
        <v>0</v>
      </c>
      <c r="AV651" s="424">
        <f t="shared" si="1438"/>
        <v>0</v>
      </c>
      <c r="AW651" s="424">
        <f t="shared" si="1438"/>
        <v>0</v>
      </c>
      <c r="AX651" s="424">
        <f t="shared" si="1438"/>
        <v>0</v>
      </c>
      <c r="AY651" s="424">
        <f t="shared" si="1438"/>
        <v>0</v>
      </c>
      <c r="AZ651" s="424">
        <f t="shared" si="1438"/>
        <v>0</v>
      </c>
      <c r="BA651" s="424">
        <f t="shared" si="1438"/>
        <v>0</v>
      </c>
      <c r="BB651" s="424">
        <f t="shared" si="1438"/>
        <v>0</v>
      </c>
      <c r="BC651" s="424">
        <f t="shared" si="1438"/>
        <v>0</v>
      </c>
      <c r="BD651" s="424">
        <f t="shared" si="1438"/>
        <v>0</v>
      </c>
      <c r="BE651" s="424">
        <f t="shared" si="1438"/>
        <v>0</v>
      </c>
      <c r="BF651" s="424">
        <f t="shared" si="1438"/>
        <v>0</v>
      </c>
      <c r="BG651" s="424">
        <f t="shared" si="1438"/>
        <v>0</v>
      </c>
      <c r="BH651" s="424">
        <f t="shared" si="1438"/>
        <v>0</v>
      </c>
      <c r="BI651" s="424">
        <f t="shared" si="1438"/>
        <v>0</v>
      </c>
      <c r="BJ651" s="424">
        <f t="shared" si="1438"/>
        <v>0</v>
      </c>
      <c r="BK651" s="424">
        <f t="shared" si="1438"/>
        <v>0</v>
      </c>
      <c r="BL651" s="424">
        <f t="shared" si="1438"/>
        <v>0</v>
      </c>
      <c r="BM651" s="424">
        <f t="shared" si="1438"/>
        <v>0</v>
      </c>
      <c r="BN651" s="424">
        <f t="shared" si="1438"/>
        <v>0</v>
      </c>
      <c r="BO651" s="424">
        <f t="shared" si="1438"/>
        <v>0</v>
      </c>
      <c r="BP651" s="424">
        <f t="shared" si="1438"/>
        <v>0</v>
      </c>
      <c r="BQ651" s="424">
        <f t="shared" si="1438"/>
        <v>0</v>
      </c>
      <c r="BR651" s="424">
        <f t="shared" si="1438"/>
        <v>0</v>
      </c>
      <c r="BS651" s="424">
        <f t="shared" si="1438"/>
        <v>0</v>
      </c>
      <c r="BT651" s="424">
        <f t="shared" si="1438"/>
        <v>0</v>
      </c>
      <c r="BU651" s="424">
        <f t="shared" si="1438"/>
        <v>0</v>
      </c>
      <c r="BV651" s="424">
        <f t="shared" ref="BV651:DA651" si="1439">BV281*BV$372</f>
        <v>0</v>
      </c>
      <c r="BW651" s="424">
        <f t="shared" si="1439"/>
        <v>0</v>
      </c>
      <c r="BX651" s="424">
        <f t="shared" si="1439"/>
        <v>0</v>
      </c>
      <c r="BY651" s="424">
        <f t="shared" si="1439"/>
        <v>0</v>
      </c>
      <c r="BZ651" s="424">
        <f t="shared" si="1439"/>
        <v>0</v>
      </c>
      <c r="CA651" s="424">
        <f t="shared" si="1439"/>
        <v>0</v>
      </c>
      <c r="CB651" s="424">
        <f t="shared" si="1439"/>
        <v>0</v>
      </c>
      <c r="CC651" s="424">
        <f t="shared" si="1439"/>
        <v>0</v>
      </c>
      <c r="CD651" s="424">
        <f t="shared" si="1439"/>
        <v>0</v>
      </c>
      <c r="CE651" s="424">
        <f t="shared" si="1439"/>
        <v>0</v>
      </c>
      <c r="CF651" s="424">
        <f t="shared" si="1439"/>
        <v>0</v>
      </c>
      <c r="CG651" s="424">
        <f t="shared" si="1439"/>
        <v>0</v>
      </c>
      <c r="CH651" s="424">
        <f t="shared" si="1439"/>
        <v>0</v>
      </c>
      <c r="CI651" s="424">
        <f t="shared" si="1439"/>
        <v>0</v>
      </c>
      <c r="CJ651" s="424">
        <f t="shared" si="1439"/>
        <v>0</v>
      </c>
      <c r="CK651" s="424">
        <f t="shared" si="1439"/>
        <v>0</v>
      </c>
      <c r="CL651" s="424">
        <f t="shared" si="1439"/>
        <v>0</v>
      </c>
      <c r="CM651" s="424">
        <f t="shared" si="1439"/>
        <v>0</v>
      </c>
      <c r="CN651" s="424">
        <f t="shared" si="1439"/>
        <v>0</v>
      </c>
      <c r="CO651" s="424">
        <f t="shared" si="1439"/>
        <v>0</v>
      </c>
      <c r="CP651" s="424">
        <f t="shared" si="1439"/>
        <v>0</v>
      </c>
      <c r="CQ651" s="424">
        <f t="shared" si="1439"/>
        <v>0.06</v>
      </c>
      <c r="CR651" s="424">
        <f t="shared" si="1439"/>
        <v>0</v>
      </c>
      <c r="CS651" s="424">
        <f t="shared" si="1439"/>
        <v>0</v>
      </c>
      <c r="CT651" s="424">
        <f t="shared" si="1439"/>
        <v>0</v>
      </c>
      <c r="CU651" s="424">
        <f t="shared" si="1439"/>
        <v>0</v>
      </c>
      <c r="CV651" s="424">
        <f t="shared" si="1439"/>
        <v>0</v>
      </c>
      <c r="CW651" s="424">
        <f t="shared" si="1439"/>
        <v>0</v>
      </c>
      <c r="CX651" s="424">
        <f t="shared" si="1439"/>
        <v>0</v>
      </c>
      <c r="CY651" s="424">
        <f t="shared" si="1439"/>
        <v>0</v>
      </c>
      <c r="CZ651" s="424">
        <f t="shared" si="1439"/>
        <v>1.52</v>
      </c>
      <c r="DA651" s="424">
        <f t="shared" si="1439"/>
        <v>0</v>
      </c>
      <c r="DB651" s="424">
        <f t="shared" ref="DB651:EG651" si="1440">DB281*DB$372</f>
        <v>0</v>
      </c>
      <c r="DC651" s="424">
        <f t="shared" si="1440"/>
        <v>0</v>
      </c>
      <c r="DD651" s="424">
        <f t="shared" si="1440"/>
        <v>0</v>
      </c>
      <c r="DE651" s="424">
        <f t="shared" si="1440"/>
        <v>2.6</v>
      </c>
      <c r="DF651" s="424">
        <f t="shared" si="1440"/>
        <v>0</v>
      </c>
      <c r="DG651" s="424">
        <f t="shared" si="1440"/>
        <v>0</v>
      </c>
      <c r="DH651" s="424">
        <f t="shared" si="1440"/>
        <v>0</v>
      </c>
      <c r="DI651" s="424">
        <f t="shared" si="1440"/>
        <v>0</v>
      </c>
      <c r="DJ651" s="424">
        <f t="shared" si="1440"/>
        <v>0</v>
      </c>
      <c r="DK651" s="424">
        <f t="shared" si="1440"/>
        <v>0</v>
      </c>
      <c r="DL651" s="424">
        <f t="shared" si="1440"/>
        <v>0</v>
      </c>
      <c r="DM651" s="424">
        <f t="shared" si="1440"/>
        <v>0</v>
      </c>
      <c r="DN651" s="424">
        <f t="shared" si="1440"/>
        <v>0</v>
      </c>
      <c r="DO651" s="424">
        <f t="shared" si="1440"/>
        <v>0</v>
      </c>
      <c r="DP651" s="424">
        <f t="shared" si="1440"/>
        <v>0</v>
      </c>
      <c r="DQ651" s="424">
        <f t="shared" si="1440"/>
        <v>0</v>
      </c>
      <c r="DR651" s="424">
        <f t="shared" si="1440"/>
        <v>0</v>
      </c>
      <c r="DS651" s="424">
        <f t="shared" si="1440"/>
        <v>0</v>
      </c>
      <c r="DT651" s="424">
        <f t="shared" si="1440"/>
        <v>0</v>
      </c>
      <c r="DU651" s="424">
        <f t="shared" si="1440"/>
        <v>0</v>
      </c>
      <c r="DV651" s="424">
        <f t="shared" si="1440"/>
        <v>0</v>
      </c>
      <c r="DW651" s="424">
        <f t="shared" si="1440"/>
        <v>0</v>
      </c>
      <c r="DX651" s="424">
        <f t="shared" si="1440"/>
        <v>0</v>
      </c>
      <c r="DY651" s="424">
        <f t="shared" si="1440"/>
        <v>0</v>
      </c>
      <c r="DZ651" s="424">
        <f t="shared" si="1440"/>
        <v>0</v>
      </c>
      <c r="EA651" s="424">
        <f t="shared" si="1440"/>
        <v>0</v>
      </c>
      <c r="EB651" s="424">
        <f t="shared" si="1440"/>
        <v>0</v>
      </c>
      <c r="EC651" s="424">
        <f t="shared" si="1440"/>
        <v>0</v>
      </c>
      <c r="ED651" s="424">
        <f t="shared" si="1440"/>
        <v>0</v>
      </c>
      <c r="EE651" s="424">
        <f t="shared" si="1440"/>
        <v>0</v>
      </c>
      <c r="EF651" s="424">
        <f t="shared" si="1440"/>
        <v>0</v>
      </c>
      <c r="EG651" s="424">
        <f t="shared" si="1440"/>
        <v>0</v>
      </c>
      <c r="EH651" s="424">
        <f t="shared" ref="EH651:EX651" si="1441">EH281*EH$372</f>
        <v>0</v>
      </c>
      <c r="EI651" s="424">
        <f t="shared" si="1441"/>
        <v>0</v>
      </c>
      <c r="EJ651" s="424">
        <f t="shared" si="1441"/>
        <v>0</v>
      </c>
      <c r="EK651" s="424">
        <f t="shared" si="1441"/>
        <v>0</v>
      </c>
      <c r="EL651" s="424">
        <f t="shared" si="1441"/>
        <v>0</v>
      </c>
      <c r="EM651" s="424">
        <f t="shared" si="1441"/>
        <v>0</v>
      </c>
      <c r="EN651" s="424">
        <f t="shared" si="1441"/>
        <v>0</v>
      </c>
      <c r="EO651" s="424">
        <f t="shared" si="1441"/>
        <v>0</v>
      </c>
      <c r="EP651" s="424">
        <f t="shared" si="1441"/>
        <v>0</v>
      </c>
      <c r="EQ651" s="424">
        <f t="shared" si="1441"/>
        <v>0</v>
      </c>
      <c r="ER651" s="424">
        <f t="shared" si="1441"/>
        <v>0</v>
      </c>
      <c r="ES651" s="424">
        <f t="shared" si="1441"/>
        <v>0</v>
      </c>
      <c r="ET651" s="424">
        <f t="shared" si="1441"/>
        <v>0</v>
      </c>
      <c r="EU651" s="424">
        <f t="shared" si="1441"/>
        <v>0</v>
      </c>
      <c r="EV651" s="424">
        <f t="shared" si="1441"/>
        <v>0</v>
      </c>
      <c r="EW651" s="424">
        <f t="shared" si="1441"/>
        <v>0</v>
      </c>
      <c r="EX651" s="424">
        <f t="shared" si="1441"/>
        <v>0</v>
      </c>
      <c r="EY651" s="425">
        <f t="shared" si="1420"/>
        <v>4.18</v>
      </c>
    </row>
    <row r="652" spans="1:166" s="1170" customFormat="1" ht="14.7" customHeight="1" x14ac:dyDescent="0.25">
      <c r="A652" s="310">
        <v>278</v>
      </c>
      <c r="B652" s="311" t="str">
        <f t="shared" si="1331"/>
        <v xml:space="preserve">Кисель из яблок </v>
      </c>
      <c r="C652" s="483">
        <f t="shared" si="1421"/>
        <v>5.56</v>
      </c>
      <c r="D652" s="888"/>
      <c r="E652" s="888"/>
      <c r="F652" s="888"/>
      <c r="G652" s="889"/>
      <c r="H652" s="680">
        <f t="shared" si="1338"/>
        <v>352</v>
      </c>
      <c r="I652" s="1209">
        <f t="shared" si="1332"/>
        <v>0</v>
      </c>
      <c r="J652" s="424">
        <f t="shared" ref="J652:AO652" si="1442">J282*J$372</f>
        <v>0</v>
      </c>
      <c r="K652" s="424">
        <f t="shared" si="1442"/>
        <v>0</v>
      </c>
      <c r="L652" s="424">
        <f t="shared" si="1442"/>
        <v>0</v>
      </c>
      <c r="M652" s="424">
        <f t="shared" si="1442"/>
        <v>0</v>
      </c>
      <c r="N652" s="424">
        <f t="shared" si="1442"/>
        <v>0</v>
      </c>
      <c r="O652" s="424">
        <f t="shared" si="1442"/>
        <v>0</v>
      </c>
      <c r="P652" s="424">
        <f t="shared" si="1442"/>
        <v>0</v>
      </c>
      <c r="Q652" s="424">
        <f t="shared" si="1442"/>
        <v>0</v>
      </c>
      <c r="R652" s="424">
        <f t="shared" si="1442"/>
        <v>0</v>
      </c>
      <c r="S652" s="424">
        <f t="shared" si="1442"/>
        <v>0</v>
      </c>
      <c r="T652" s="424">
        <f t="shared" si="1442"/>
        <v>0</v>
      </c>
      <c r="U652" s="424">
        <f t="shared" si="1442"/>
        <v>0</v>
      </c>
      <c r="V652" s="424">
        <f t="shared" si="1442"/>
        <v>0</v>
      </c>
      <c r="W652" s="424">
        <f t="shared" si="1442"/>
        <v>0</v>
      </c>
      <c r="X652" s="424">
        <f t="shared" si="1442"/>
        <v>0</v>
      </c>
      <c r="Y652" s="424">
        <f t="shared" si="1442"/>
        <v>0</v>
      </c>
      <c r="Z652" s="424">
        <f t="shared" si="1442"/>
        <v>0</v>
      </c>
      <c r="AA652" s="424">
        <f t="shared" si="1442"/>
        <v>0</v>
      </c>
      <c r="AB652" s="424">
        <f t="shared" si="1442"/>
        <v>0</v>
      </c>
      <c r="AC652" s="424">
        <f t="shared" si="1442"/>
        <v>0</v>
      </c>
      <c r="AD652" s="424">
        <f t="shared" si="1442"/>
        <v>0</v>
      </c>
      <c r="AE652" s="424">
        <f t="shared" si="1442"/>
        <v>0</v>
      </c>
      <c r="AF652" s="424">
        <f t="shared" si="1442"/>
        <v>0</v>
      </c>
      <c r="AG652" s="424">
        <f t="shared" si="1442"/>
        <v>0</v>
      </c>
      <c r="AH652" s="424">
        <f t="shared" si="1442"/>
        <v>0</v>
      </c>
      <c r="AI652" s="424">
        <f t="shared" si="1442"/>
        <v>0</v>
      </c>
      <c r="AJ652" s="424">
        <f t="shared" si="1442"/>
        <v>0</v>
      </c>
      <c r="AK652" s="424">
        <f t="shared" si="1442"/>
        <v>0</v>
      </c>
      <c r="AL652" s="424">
        <f t="shared" si="1442"/>
        <v>0</v>
      </c>
      <c r="AM652" s="424">
        <f t="shared" si="1442"/>
        <v>0</v>
      </c>
      <c r="AN652" s="424">
        <f t="shared" si="1442"/>
        <v>0</v>
      </c>
      <c r="AO652" s="424">
        <f t="shared" si="1442"/>
        <v>0</v>
      </c>
      <c r="AP652" s="424">
        <f t="shared" ref="AP652:BU652" si="1443">AP282*AP$372</f>
        <v>0</v>
      </c>
      <c r="AQ652" s="424">
        <f t="shared" si="1443"/>
        <v>0</v>
      </c>
      <c r="AR652" s="424">
        <f t="shared" si="1443"/>
        <v>0</v>
      </c>
      <c r="AS652" s="424">
        <f t="shared" si="1443"/>
        <v>0</v>
      </c>
      <c r="AT652" s="424">
        <f t="shared" si="1443"/>
        <v>0</v>
      </c>
      <c r="AU652" s="424">
        <f t="shared" si="1443"/>
        <v>0</v>
      </c>
      <c r="AV652" s="424">
        <f t="shared" si="1443"/>
        <v>0</v>
      </c>
      <c r="AW652" s="424">
        <f t="shared" si="1443"/>
        <v>0</v>
      </c>
      <c r="AX652" s="424">
        <f t="shared" si="1443"/>
        <v>0</v>
      </c>
      <c r="AY652" s="424">
        <f t="shared" si="1443"/>
        <v>0</v>
      </c>
      <c r="AZ652" s="424">
        <f t="shared" si="1443"/>
        <v>0</v>
      </c>
      <c r="BA652" s="424">
        <f t="shared" si="1443"/>
        <v>0</v>
      </c>
      <c r="BB652" s="424">
        <f t="shared" si="1443"/>
        <v>0</v>
      </c>
      <c r="BC652" s="424">
        <f t="shared" si="1443"/>
        <v>0</v>
      </c>
      <c r="BD652" s="424">
        <f t="shared" si="1443"/>
        <v>0</v>
      </c>
      <c r="BE652" s="424">
        <f t="shared" si="1443"/>
        <v>0</v>
      </c>
      <c r="BF652" s="424">
        <f t="shared" si="1443"/>
        <v>0</v>
      </c>
      <c r="BG652" s="424">
        <f t="shared" si="1443"/>
        <v>0</v>
      </c>
      <c r="BH652" s="424">
        <f t="shared" si="1443"/>
        <v>0</v>
      </c>
      <c r="BI652" s="424">
        <f t="shared" si="1443"/>
        <v>0</v>
      </c>
      <c r="BJ652" s="424">
        <f t="shared" si="1443"/>
        <v>0</v>
      </c>
      <c r="BK652" s="424">
        <f t="shared" si="1443"/>
        <v>0</v>
      </c>
      <c r="BL652" s="424">
        <f t="shared" si="1443"/>
        <v>0</v>
      </c>
      <c r="BM652" s="424">
        <f t="shared" si="1443"/>
        <v>0</v>
      </c>
      <c r="BN652" s="424">
        <f t="shared" si="1443"/>
        <v>0</v>
      </c>
      <c r="BO652" s="424">
        <f t="shared" si="1443"/>
        <v>0</v>
      </c>
      <c r="BP652" s="424">
        <f t="shared" si="1443"/>
        <v>0</v>
      </c>
      <c r="BQ652" s="424">
        <f t="shared" si="1443"/>
        <v>0</v>
      </c>
      <c r="BR652" s="424">
        <f t="shared" si="1443"/>
        <v>3.09</v>
      </c>
      <c r="BS652" s="424">
        <f t="shared" si="1443"/>
        <v>0</v>
      </c>
      <c r="BT652" s="424">
        <f t="shared" si="1443"/>
        <v>0</v>
      </c>
      <c r="BU652" s="424">
        <f t="shared" si="1443"/>
        <v>0</v>
      </c>
      <c r="BV652" s="424">
        <f t="shared" ref="BV652:DA652" si="1444">BV282*BV$372</f>
        <v>0</v>
      </c>
      <c r="BW652" s="424">
        <f t="shared" si="1444"/>
        <v>0</v>
      </c>
      <c r="BX652" s="424">
        <f t="shared" si="1444"/>
        <v>0</v>
      </c>
      <c r="BY652" s="424">
        <f t="shared" si="1444"/>
        <v>0</v>
      </c>
      <c r="BZ652" s="424">
        <f t="shared" si="1444"/>
        <v>0</v>
      </c>
      <c r="CA652" s="424">
        <f t="shared" si="1444"/>
        <v>0</v>
      </c>
      <c r="CB652" s="424">
        <f t="shared" si="1444"/>
        <v>0</v>
      </c>
      <c r="CC652" s="424">
        <f t="shared" si="1444"/>
        <v>0</v>
      </c>
      <c r="CD652" s="424">
        <f t="shared" si="1444"/>
        <v>0</v>
      </c>
      <c r="CE652" s="424">
        <f t="shared" si="1444"/>
        <v>0</v>
      </c>
      <c r="CF652" s="424">
        <f t="shared" si="1444"/>
        <v>0</v>
      </c>
      <c r="CG652" s="424">
        <f t="shared" si="1444"/>
        <v>0</v>
      </c>
      <c r="CH652" s="424">
        <f t="shared" si="1444"/>
        <v>0</v>
      </c>
      <c r="CI652" s="424">
        <f t="shared" si="1444"/>
        <v>0</v>
      </c>
      <c r="CJ652" s="424">
        <f t="shared" si="1444"/>
        <v>0</v>
      </c>
      <c r="CK652" s="424">
        <f t="shared" si="1444"/>
        <v>0</v>
      </c>
      <c r="CL652" s="424">
        <f t="shared" si="1444"/>
        <v>0</v>
      </c>
      <c r="CM652" s="424">
        <f t="shared" si="1444"/>
        <v>0</v>
      </c>
      <c r="CN652" s="424">
        <f t="shared" si="1444"/>
        <v>0</v>
      </c>
      <c r="CO652" s="424">
        <f t="shared" si="1444"/>
        <v>0</v>
      </c>
      <c r="CP652" s="424">
        <f t="shared" si="1444"/>
        <v>0</v>
      </c>
      <c r="CQ652" s="424">
        <f t="shared" si="1444"/>
        <v>0.06</v>
      </c>
      <c r="CR652" s="424">
        <f t="shared" si="1444"/>
        <v>0.89</v>
      </c>
      <c r="CS652" s="424">
        <f t="shared" si="1444"/>
        <v>0</v>
      </c>
      <c r="CT652" s="424">
        <f t="shared" si="1444"/>
        <v>0</v>
      </c>
      <c r="CU652" s="424">
        <f t="shared" si="1444"/>
        <v>0</v>
      </c>
      <c r="CV652" s="424">
        <f t="shared" si="1444"/>
        <v>0</v>
      </c>
      <c r="CW652" s="424">
        <f t="shared" si="1444"/>
        <v>0</v>
      </c>
      <c r="CX652" s="424">
        <f t="shared" si="1444"/>
        <v>0</v>
      </c>
      <c r="CY652" s="424">
        <f t="shared" si="1444"/>
        <v>0</v>
      </c>
      <c r="CZ652" s="424">
        <f t="shared" si="1444"/>
        <v>1.52</v>
      </c>
      <c r="DA652" s="424">
        <f t="shared" si="1444"/>
        <v>0</v>
      </c>
      <c r="DB652" s="424">
        <f t="shared" ref="DB652:EG652" si="1445">DB282*DB$372</f>
        <v>0</v>
      </c>
      <c r="DC652" s="424">
        <f t="shared" si="1445"/>
        <v>0</v>
      </c>
      <c r="DD652" s="424">
        <f t="shared" si="1445"/>
        <v>0</v>
      </c>
      <c r="DE652" s="424">
        <f t="shared" si="1445"/>
        <v>0</v>
      </c>
      <c r="DF652" s="424">
        <f t="shared" si="1445"/>
        <v>0</v>
      </c>
      <c r="DG652" s="424">
        <f t="shared" si="1445"/>
        <v>0</v>
      </c>
      <c r="DH652" s="424">
        <f t="shared" si="1445"/>
        <v>0</v>
      </c>
      <c r="DI652" s="424">
        <f t="shared" si="1445"/>
        <v>0</v>
      </c>
      <c r="DJ652" s="424">
        <f t="shared" si="1445"/>
        <v>0</v>
      </c>
      <c r="DK652" s="424">
        <f t="shared" si="1445"/>
        <v>0</v>
      </c>
      <c r="DL652" s="424">
        <f t="shared" si="1445"/>
        <v>0</v>
      </c>
      <c r="DM652" s="424">
        <f t="shared" si="1445"/>
        <v>0</v>
      </c>
      <c r="DN652" s="424">
        <f t="shared" si="1445"/>
        <v>0</v>
      </c>
      <c r="DO652" s="424">
        <f t="shared" si="1445"/>
        <v>0</v>
      </c>
      <c r="DP652" s="424">
        <f t="shared" si="1445"/>
        <v>0</v>
      </c>
      <c r="DQ652" s="424">
        <f t="shared" si="1445"/>
        <v>0</v>
      </c>
      <c r="DR652" s="424">
        <f t="shared" si="1445"/>
        <v>0</v>
      </c>
      <c r="DS652" s="424">
        <f t="shared" si="1445"/>
        <v>0</v>
      </c>
      <c r="DT652" s="424">
        <f t="shared" si="1445"/>
        <v>0</v>
      </c>
      <c r="DU652" s="424">
        <f t="shared" si="1445"/>
        <v>0</v>
      </c>
      <c r="DV652" s="424">
        <f t="shared" si="1445"/>
        <v>0</v>
      </c>
      <c r="DW652" s="424">
        <f t="shared" si="1445"/>
        <v>0</v>
      </c>
      <c r="DX652" s="424">
        <f t="shared" si="1445"/>
        <v>0</v>
      </c>
      <c r="DY652" s="424">
        <f t="shared" si="1445"/>
        <v>0</v>
      </c>
      <c r="DZ652" s="424">
        <f t="shared" si="1445"/>
        <v>0</v>
      </c>
      <c r="EA652" s="424">
        <f t="shared" si="1445"/>
        <v>0</v>
      </c>
      <c r="EB652" s="424">
        <f t="shared" si="1445"/>
        <v>0</v>
      </c>
      <c r="EC652" s="424">
        <f t="shared" si="1445"/>
        <v>0</v>
      </c>
      <c r="ED652" s="424">
        <f t="shared" si="1445"/>
        <v>0</v>
      </c>
      <c r="EE652" s="424">
        <f t="shared" si="1445"/>
        <v>0</v>
      </c>
      <c r="EF652" s="424">
        <f t="shared" si="1445"/>
        <v>0</v>
      </c>
      <c r="EG652" s="424">
        <f t="shared" si="1445"/>
        <v>0</v>
      </c>
      <c r="EH652" s="424">
        <f t="shared" ref="EH652:EX652" si="1446">EH282*EH$372</f>
        <v>0</v>
      </c>
      <c r="EI652" s="424">
        <f t="shared" si="1446"/>
        <v>0</v>
      </c>
      <c r="EJ652" s="424">
        <f t="shared" si="1446"/>
        <v>0</v>
      </c>
      <c r="EK652" s="424">
        <f t="shared" si="1446"/>
        <v>0</v>
      </c>
      <c r="EL652" s="424">
        <f t="shared" si="1446"/>
        <v>0</v>
      </c>
      <c r="EM652" s="424">
        <f t="shared" si="1446"/>
        <v>0</v>
      </c>
      <c r="EN652" s="424">
        <f t="shared" si="1446"/>
        <v>0</v>
      </c>
      <c r="EO652" s="424">
        <f t="shared" si="1446"/>
        <v>0</v>
      </c>
      <c r="EP652" s="424">
        <f t="shared" si="1446"/>
        <v>0</v>
      </c>
      <c r="EQ652" s="424">
        <f t="shared" si="1446"/>
        <v>0</v>
      </c>
      <c r="ER652" s="424">
        <f t="shared" si="1446"/>
        <v>0</v>
      </c>
      <c r="ES652" s="424">
        <f t="shared" si="1446"/>
        <v>0</v>
      </c>
      <c r="ET652" s="424">
        <f t="shared" si="1446"/>
        <v>0</v>
      </c>
      <c r="EU652" s="424">
        <f t="shared" si="1446"/>
        <v>0</v>
      </c>
      <c r="EV652" s="424">
        <f t="shared" si="1446"/>
        <v>0</v>
      </c>
      <c r="EW652" s="424">
        <f t="shared" si="1446"/>
        <v>0</v>
      </c>
      <c r="EX652" s="424">
        <f t="shared" si="1446"/>
        <v>0</v>
      </c>
      <c r="EY652" s="425">
        <f t="shared" si="1420"/>
        <v>5.56</v>
      </c>
      <c r="EZ652" s="616"/>
      <c r="FA652" s="616"/>
      <c r="FB652" s="616"/>
      <c r="FC652" s="616"/>
      <c r="FD652" s="616"/>
      <c r="FE652" s="616"/>
      <c r="FF652" s="616"/>
      <c r="FG652" s="616"/>
      <c r="FH652" s="616"/>
      <c r="FI652" s="616"/>
      <c r="FJ652" s="616"/>
    </row>
    <row r="653" spans="1:166" ht="14.7" customHeight="1" x14ac:dyDescent="0.25">
      <c r="A653" s="310">
        <v>279</v>
      </c>
      <c r="B653" s="311" t="str">
        <f t="shared" si="1331"/>
        <v>Кисель из яблок сушеных</v>
      </c>
      <c r="C653" s="483">
        <f t="shared" si="1421"/>
        <v>4.33</v>
      </c>
      <c r="D653" s="888"/>
      <c r="E653" s="888"/>
      <c r="F653" s="888"/>
      <c r="G653" s="889"/>
      <c r="H653" s="680">
        <f t="shared" si="1338"/>
        <v>354</v>
      </c>
      <c r="I653" s="1209">
        <f t="shared" si="1332"/>
        <v>0</v>
      </c>
      <c r="J653" s="424">
        <f t="shared" ref="J653:AO653" si="1447">J283*J$372</f>
        <v>0</v>
      </c>
      <c r="K653" s="424">
        <f t="shared" si="1447"/>
        <v>0</v>
      </c>
      <c r="L653" s="424">
        <f t="shared" si="1447"/>
        <v>0</v>
      </c>
      <c r="M653" s="424">
        <f t="shared" si="1447"/>
        <v>0</v>
      </c>
      <c r="N653" s="424">
        <f t="shared" si="1447"/>
        <v>0</v>
      </c>
      <c r="O653" s="424">
        <f t="shared" si="1447"/>
        <v>0</v>
      </c>
      <c r="P653" s="424">
        <f t="shared" si="1447"/>
        <v>0</v>
      </c>
      <c r="Q653" s="424">
        <f t="shared" si="1447"/>
        <v>0</v>
      </c>
      <c r="R653" s="424">
        <f t="shared" si="1447"/>
        <v>0</v>
      </c>
      <c r="S653" s="424">
        <f t="shared" si="1447"/>
        <v>0</v>
      </c>
      <c r="T653" s="424">
        <f t="shared" si="1447"/>
        <v>0</v>
      </c>
      <c r="U653" s="424">
        <f t="shared" si="1447"/>
        <v>0</v>
      </c>
      <c r="V653" s="424">
        <f t="shared" si="1447"/>
        <v>0</v>
      </c>
      <c r="W653" s="424">
        <f t="shared" si="1447"/>
        <v>0</v>
      </c>
      <c r="X653" s="424">
        <f t="shared" si="1447"/>
        <v>0</v>
      </c>
      <c r="Y653" s="424">
        <f t="shared" si="1447"/>
        <v>0</v>
      </c>
      <c r="Z653" s="424">
        <f t="shared" si="1447"/>
        <v>0</v>
      </c>
      <c r="AA653" s="424">
        <f t="shared" si="1447"/>
        <v>0</v>
      </c>
      <c r="AB653" s="424">
        <f t="shared" si="1447"/>
        <v>0</v>
      </c>
      <c r="AC653" s="424">
        <f t="shared" si="1447"/>
        <v>0</v>
      </c>
      <c r="AD653" s="424">
        <f t="shared" si="1447"/>
        <v>0</v>
      </c>
      <c r="AE653" s="424">
        <f t="shared" si="1447"/>
        <v>0</v>
      </c>
      <c r="AF653" s="424">
        <f t="shared" si="1447"/>
        <v>0</v>
      </c>
      <c r="AG653" s="424">
        <f t="shared" si="1447"/>
        <v>0</v>
      </c>
      <c r="AH653" s="424">
        <f t="shared" si="1447"/>
        <v>0</v>
      </c>
      <c r="AI653" s="424">
        <f t="shared" si="1447"/>
        <v>0</v>
      </c>
      <c r="AJ653" s="424">
        <f t="shared" si="1447"/>
        <v>0</v>
      </c>
      <c r="AK653" s="424">
        <f t="shared" si="1447"/>
        <v>0</v>
      </c>
      <c r="AL653" s="424">
        <f t="shared" si="1447"/>
        <v>0</v>
      </c>
      <c r="AM653" s="424">
        <f t="shared" si="1447"/>
        <v>0</v>
      </c>
      <c r="AN653" s="424">
        <f t="shared" si="1447"/>
        <v>0</v>
      </c>
      <c r="AO653" s="424">
        <f t="shared" si="1447"/>
        <v>0</v>
      </c>
      <c r="AP653" s="424">
        <f t="shared" ref="AP653:BU653" si="1448">AP283*AP$372</f>
        <v>0</v>
      </c>
      <c r="AQ653" s="424">
        <f t="shared" si="1448"/>
        <v>0</v>
      </c>
      <c r="AR653" s="424">
        <f t="shared" si="1448"/>
        <v>0</v>
      </c>
      <c r="AS653" s="424">
        <f t="shared" si="1448"/>
        <v>0</v>
      </c>
      <c r="AT653" s="424">
        <f t="shared" si="1448"/>
        <v>0</v>
      </c>
      <c r="AU653" s="424">
        <f t="shared" si="1448"/>
        <v>0</v>
      </c>
      <c r="AV653" s="424">
        <f t="shared" si="1448"/>
        <v>0</v>
      </c>
      <c r="AW653" s="424">
        <f t="shared" si="1448"/>
        <v>0</v>
      </c>
      <c r="AX653" s="424">
        <f t="shared" si="1448"/>
        <v>0</v>
      </c>
      <c r="AY653" s="424">
        <f t="shared" si="1448"/>
        <v>0</v>
      </c>
      <c r="AZ653" s="424">
        <f t="shared" si="1448"/>
        <v>0</v>
      </c>
      <c r="BA653" s="424">
        <f t="shared" si="1448"/>
        <v>0</v>
      </c>
      <c r="BB653" s="424">
        <f t="shared" si="1448"/>
        <v>0</v>
      </c>
      <c r="BC653" s="424">
        <f t="shared" si="1448"/>
        <v>0</v>
      </c>
      <c r="BD653" s="424">
        <f t="shared" si="1448"/>
        <v>0</v>
      </c>
      <c r="BE653" s="424">
        <f t="shared" si="1448"/>
        <v>0</v>
      </c>
      <c r="BF653" s="424">
        <f t="shared" si="1448"/>
        <v>0</v>
      </c>
      <c r="BG653" s="424">
        <f t="shared" si="1448"/>
        <v>0</v>
      </c>
      <c r="BH653" s="424">
        <f t="shared" si="1448"/>
        <v>0</v>
      </c>
      <c r="BI653" s="424">
        <f t="shared" si="1448"/>
        <v>0</v>
      </c>
      <c r="BJ653" s="424">
        <f t="shared" si="1448"/>
        <v>0</v>
      </c>
      <c r="BK653" s="424">
        <f t="shared" si="1448"/>
        <v>0</v>
      </c>
      <c r="BL653" s="424">
        <f t="shared" si="1448"/>
        <v>0</v>
      </c>
      <c r="BM653" s="424">
        <f t="shared" si="1448"/>
        <v>0</v>
      </c>
      <c r="BN653" s="424">
        <f t="shared" si="1448"/>
        <v>0</v>
      </c>
      <c r="BO653" s="424">
        <f t="shared" si="1448"/>
        <v>0</v>
      </c>
      <c r="BP653" s="424">
        <f t="shared" si="1448"/>
        <v>0</v>
      </c>
      <c r="BQ653" s="424">
        <f t="shared" si="1448"/>
        <v>0</v>
      </c>
      <c r="BR653" s="424">
        <f t="shared" si="1448"/>
        <v>0</v>
      </c>
      <c r="BS653" s="424">
        <f t="shared" si="1448"/>
        <v>0</v>
      </c>
      <c r="BT653" s="424">
        <f t="shared" si="1448"/>
        <v>0</v>
      </c>
      <c r="BU653" s="424">
        <f t="shared" si="1448"/>
        <v>0</v>
      </c>
      <c r="BV653" s="424">
        <f t="shared" ref="BV653:DA653" si="1449">BV283*BV$372</f>
        <v>0</v>
      </c>
      <c r="BW653" s="424">
        <f t="shared" si="1449"/>
        <v>0</v>
      </c>
      <c r="BX653" s="424">
        <f t="shared" si="1449"/>
        <v>0</v>
      </c>
      <c r="BY653" s="424">
        <f t="shared" si="1449"/>
        <v>0</v>
      </c>
      <c r="BZ653" s="424">
        <f t="shared" si="1449"/>
        <v>0</v>
      </c>
      <c r="CA653" s="424">
        <f t="shared" si="1449"/>
        <v>0</v>
      </c>
      <c r="CB653" s="424">
        <f t="shared" si="1449"/>
        <v>0</v>
      </c>
      <c r="CC653" s="424">
        <f t="shared" si="1449"/>
        <v>0</v>
      </c>
      <c r="CD653" s="424">
        <f t="shared" si="1449"/>
        <v>0</v>
      </c>
      <c r="CE653" s="424">
        <f t="shared" si="1449"/>
        <v>0</v>
      </c>
      <c r="CF653" s="424">
        <f t="shared" si="1449"/>
        <v>0</v>
      </c>
      <c r="CG653" s="424">
        <f t="shared" si="1449"/>
        <v>0</v>
      </c>
      <c r="CH653" s="424">
        <f t="shared" si="1449"/>
        <v>0</v>
      </c>
      <c r="CI653" s="424">
        <f t="shared" si="1449"/>
        <v>0</v>
      </c>
      <c r="CJ653" s="424">
        <f t="shared" si="1449"/>
        <v>0</v>
      </c>
      <c r="CK653" s="424">
        <f t="shared" si="1449"/>
        <v>0</v>
      </c>
      <c r="CL653" s="424">
        <f t="shared" si="1449"/>
        <v>0</v>
      </c>
      <c r="CM653" s="424">
        <f t="shared" si="1449"/>
        <v>0</v>
      </c>
      <c r="CN653" s="424">
        <f t="shared" si="1449"/>
        <v>0</v>
      </c>
      <c r="CO653" s="424">
        <f t="shared" si="1449"/>
        <v>0</v>
      </c>
      <c r="CP653" s="424">
        <f t="shared" si="1449"/>
        <v>0</v>
      </c>
      <c r="CQ653" s="424">
        <f t="shared" si="1449"/>
        <v>0.06</v>
      </c>
      <c r="CR653" s="424">
        <f t="shared" si="1449"/>
        <v>0.89</v>
      </c>
      <c r="CS653" s="424">
        <f t="shared" si="1449"/>
        <v>0</v>
      </c>
      <c r="CT653" s="424">
        <f t="shared" si="1449"/>
        <v>0</v>
      </c>
      <c r="CU653" s="424">
        <f t="shared" si="1449"/>
        <v>0</v>
      </c>
      <c r="CV653" s="424">
        <f t="shared" si="1449"/>
        <v>0</v>
      </c>
      <c r="CW653" s="424">
        <f t="shared" si="1449"/>
        <v>0</v>
      </c>
      <c r="CX653" s="424">
        <f t="shared" si="1449"/>
        <v>0</v>
      </c>
      <c r="CY653" s="424">
        <f t="shared" si="1449"/>
        <v>0</v>
      </c>
      <c r="CZ653" s="424">
        <f t="shared" si="1449"/>
        <v>1.82</v>
      </c>
      <c r="DA653" s="424">
        <f t="shared" si="1449"/>
        <v>0</v>
      </c>
      <c r="DB653" s="424">
        <f t="shared" ref="DB653:EG653" si="1450">DB283*DB$372</f>
        <v>0</v>
      </c>
      <c r="DC653" s="424">
        <f t="shared" si="1450"/>
        <v>0</v>
      </c>
      <c r="DD653" s="424">
        <f t="shared" si="1450"/>
        <v>0</v>
      </c>
      <c r="DE653" s="424">
        <f t="shared" si="1450"/>
        <v>0</v>
      </c>
      <c r="DF653" s="424">
        <f t="shared" si="1450"/>
        <v>0</v>
      </c>
      <c r="DG653" s="424">
        <f t="shared" si="1450"/>
        <v>0</v>
      </c>
      <c r="DH653" s="424">
        <f t="shared" si="1450"/>
        <v>0</v>
      </c>
      <c r="DI653" s="424">
        <f t="shared" si="1450"/>
        <v>0</v>
      </c>
      <c r="DJ653" s="424">
        <f t="shared" si="1450"/>
        <v>0</v>
      </c>
      <c r="DK653" s="424">
        <f t="shared" si="1450"/>
        <v>0</v>
      </c>
      <c r="DL653" s="424">
        <f t="shared" si="1450"/>
        <v>0</v>
      </c>
      <c r="DM653" s="424">
        <f t="shared" si="1450"/>
        <v>0</v>
      </c>
      <c r="DN653" s="424">
        <f t="shared" si="1450"/>
        <v>0</v>
      </c>
      <c r="DO653" s="424">
        <f t="shared" si="1450"/>
        <v>0</v>
      </c>
      <c r="DP653" s="424">
        <f t="shared" si="1450"/>
        <v>0</v>
      </c>
      <c r="DQ653" s="424">
        <f t="shared" si="1450"/>
        <v>0</v>
      </c>
      <c r="DR653" s="424">
        <f t="shared" si="1450"/>
        <v>0</v>
      </c>
      <c r="DS653" s="424">
        <f t="shared" si="1450"/>
        <v>1.56</v>
      </c>
      <c r="DT653" s="424">
        <f t="shared" si="1450"/>
        <v>0</v>
      </c>
      <c r="DU653" s="424">
        <f t="shared" si="1450"/>
        <v>0</v>
      </c>
      <c r="DV653" s="424">
        <f t="shared" si="1450"/>
        <v>0</v>
      </c>
      <c r="DW653" s="424">
        <f t="shared" si="1450"/>
        <v>0</v>
      </c>
      <c r="DX653" s="424">
        <f t="shared" si="1450"/>
        <v>0</v>
      </c>
      <c r="DY653" s="424">
        <f t="shared" si="1450"/>
        <v>0</v>
      </c>
      <c r="DZ653" s="424">
        <f t="shared" si="1450"/>
        <v>0</v>
      </c>
      <c r="EA653" s="424">
        <f t="shared" si="1450"/>
        <v>0</v>
      </c>
      <c r="EB653" s="424">
        <f t="shared" si="1450"/>
        <v>0</v>
      </c>
      <c r="EC653" s="424">
        <f t="shared" si="1450"/>
        <v>0</v>
      </c>
      <c r="ED653" s="424">
        <f t="shared" si="1450"/>
        <v>0</v>
      </c>
      <c r="EE653" s="424">
        <f t="shared" si="1450"/>
        <v>0</v>
      </c>
      <c r="EF653" s="424">
        <f t="shared" si="1450"/>
        <v>0</v>
      </c>
      <c r="EG653" s="424">
        <f t="shared" si="1450"/>
        <v>0</v>
      </c>
      <c r="EH653" s="424">
        <f t="shared" ref="EH653:EX653" si="1451">EH283*EH$372</f>
        <v>0</v>
      </c>
      <c r="EI653" s="424">
        <f t="shared" si="1451"/>
        <v>0</v>
      </c>
      <c r="EJ653" s="424">
        <f t="shared" si="1451"/>
        <v>0</v>
      </c>
      <c r="EK653" s="424">
        <f t="shared" si="1451"/>
        <v>0</v>
      </c>
      <c r="EL653" s="424">
        <f t="shared" si="1451"/>
        <v>0</v>
      </c>
      <c r="EM653" s="424">
        <f t="shared" si="1451"/>
        <v>0</v>
      </c>
      <c r="EN653" s="424">
        <f t="shared" si="1451"/>
        <v>0</v>
      </c>
      <c r="EO653" s="424">
        <f t="shared" si="1451"/>
        <v>0</v>
      </c>
      <c r="EP653" s="424">
        <f t="shared" si="1451"/>
        <v>0</v>
      </c>
      <c r="EQ653" s="424">
        <f t="shared" si="1451"/>
        <v>0</v>
      </c>
      <c r="ER653" s="424">
        <f t="shared" si="1451"/>
        <v>0</v>
      </c>
      <c r="ES653" s="424">
        <f t="shared" si="1451"/>
        <v>0</v>
      </c>
      <c r="ET653" s="424">
        <f t="shared" si="1451"/>
        <v>0</v>
      </c>
      <c r="EU653" s="424">
        <f t="shared" si="1451"/>
        <v>0</v>
      </c>
      <c r="EV653" s="424">
        <f t="shared" si="1451"/>
        <v>0</v>
      </c>
      <c r="EW653" s="424">
        <f t="shared" si="1451"/>
        <v>0</v>
      </c>
      <c r="EX653" s="424">
        <f t="shared" si="1451"/>
        <v>0</v>
      </c>
      <c r="EY653" s="425">
        <f t="shared" si="1420"/>
        <v>4.33</v>
      </c>
    </row>
    <row r="654" spans="1:166" ht="14.7" customHeight="1" x14ac:dyDescent="0.25">
      <c r="A654" s="310">
        <v>280</v>
      </c>
      <c r="B654" s="311" t="str">
        <f t="shared" si="1331"/>
        <v>Кисель из плодов шиповника (витаминный)</v>
      </c>
      <c r="C654" s="483">
        <f t="shared" si="1421"/>
        <v>3.82</v>
      </c>
      <c r="D654" s="888"/>
      <c r="E654" s="888"/>
      <c r="F654" s="888"/>
      <c r="G654" s="889"/>
      <c r="H654" s="680">
        <f t="shared" si="1338"/>
        <v>357</v>
      </c>
      <c r="I654" s="1209">
        <f t="shared" si="1332"/>
        <v>0</v>
      </c>
      <c r="J654" s="424">
        <f t="shared" ref="J654:AO654" si="1452">J284*J$372</f>
        <v>0</v>
      </c>
      <c r="K654" s="424">
        <f t="shared" si="1452"/>
        <v>0</v>
      </c>
      <c r="L654" s="424">
        <f t="shared" si="1452"/>
        <v>0</v>
      </c>
      <c r="M654" s="424">
        <f t="shared" si="1452"/>
        <v>0</v>
      </c>
      <c r="N654" s="424">
        <f t="shared" si="1452"/>
        <v>0</v>
      </c>
      <c r="O654" s="424">
        <f t="shared" si="1452"/>
        <v>0</v>
      </c>
      <c r="P654" s="424">
        <f t="shared" si="1452"/>
        <v>0</v>
      </c>
      <c r="Q654" s="424">
        <f t="shared" si="1452"/>
        <v>0</v>
      </c>
      <c r="R654" s="424">
        <f t="shared" si="1452"/>
        <v>0</v>
      </c>
      <c r="S654" s="424">
        <f t="shared" si="1452"/>
        <v>0</v>
      </c>
      <c r="T654" s="424">
        <f t="shared" si="1452"/>
        <v>0</v>
      </c>
      <c r="U654" s="424">
        <f t="shared" si="1452"/>
        <v>0</v>
      </c>
      <c r="V654" s="424">
        <f t="shared" si="1452"/>
        <v>0</v>
      </c>
      <c r="W654" s="424">
        <f t="shared" si="1452"/>
        <v>0</v>
      </c>
      <c r="X654" s="424">
        <f t="shared" si="1452"/>
        <v>0</v>
      </c>
      <c r="Y654" s="424">
        <f t="shared" si="1452"/>
        <v>0</v>
      </c>
      <c r="Z654" s="424">
        <f t="shared" si="1452"/>
        <v>0</v>
      </c>
      <c r="AA654" s="424">
        <f t="shared" si="1452"/>
        <v>0</v>
      </c>
      <c r="AB654" s="424">
        <f t="shared" si="1452"/>
        <v>0</v>
      </c>
      <c r="AC654" s="424">
        <f t="shared" si="1452"/>
        <v>0</v>
      </c>
      <c r="AD654" s="424">
        <f t="shared" si="1452"/>
        <v>0</v>
      </c>
      <c r="AE654" s="424">
        <f t="shared" si="1452"/>
        <v>0</v>
      </c>
      <c r="AF654" s="424">
        <f t="shared" si="1452"/>
        <v>0</v>
      </c>
      <c r="AG654" s="424">
        <f t="shared" si="1452"/>
        <v>0</v>
      </c>
      <c r="AH654" s="424">
        <f t="shared" si="1452"/>
        <v>0</v>
      </c>
      <c r="AI654" s="424">
        <f t="shared" si="1452"/>
        <v>0</v>
      </c>
      <c r="AJ654" s="424">
        <f t="shared" si="1452"/>
        <v>0</v>
      </c>
      <c r="AK654" s="424">
        <f t="shared" si="1452"/>
        <v>0</v>
      </c>
      <c r="AL654" s="424">
        <f t="shared" si="1452"/>
        <v>0</v>
      </c>
      <c r="AM654" s="424">
        <f t="shared" si="1452"/>
        <v>0</v>
      </c>
      <c r="AN654" s="424">
        <f t="shared" si="1452"/>
        <v>0</v>
      </c>
      <c r="AO654" s="424">
        <f t="shared" si="1452"/>
        <v>0</v>
      </c>
      <c r="AP654" s="424">
        <f t="shared" ref="AP654:BU654" si="1453">AP284*AP$372</f>
        <v>0</v>
      </c>
      <c r="AQ654" s="424">
        <f t="shared" si="1453"/>
        <v>0</v>
      </c>
      <c r="AR654" s="424">
        <f t="shared" si="1453"/>
        <v>0</v>
      </c>
      <c r="AS654" s="424">
        <f t="shared" si="1453"/>
        <v>0</v>
      </c>
      <c r="AT654" s="424">
        <f t="shared" si="1453"/>
        <v>0</v>
      </c>
      <c r="AU654" s="424">
        <f t="shared" si="1453"/>
        <v>0</v>
      </c>
      <c r="AV654" s="424">
        <f t="shared" si="1453"/>
        <v>0</v>
      </c>
      <c r="AW654" s="424">
        <f t="shared" si="1453"/>
        <v>0</v>
      </c>
      <c r="AX654" s="424">
        <f t="shared" si="1453"/>
        <v>0</v>
      </c>
      <c r="AY654" s="424">
        <f t="shared" si="1453"/>
        <v>0</v>
      </c>
      <c r="AZ654" s="424">
        <f t="shared" si="1453"/>
        <v>0</v>
      </c>
      <c r="BA654" s="424">
        <f t="shared" si="1453"/>
        <v>0</v>
      </c>
      <c r="BB654" s="424">
        <f t="shared" si="1453"/>
        <v>0</v>
      </c>
      <c r="BC654" s="424">
        <f t="shared" si="1453"/>
        <v>0</v>
      </c>
      <c r="BD654" s="424">
        <f t="shared" si="1453"/>
        <v>0</v>
      </c>
      <c r="BE654" s="424">
        <f t="shared" si="1453"/>
        <v>0</v>
      </c>
      <c r="BF654" s="424">
        <f t="shared" si="1453"/>
        <v>0</v>
      </c>
      <c r="BG654" s="424">
        <f t="shared" si="1453"/>
        <v>0</v>
      </c>
      <c r="BH654" s="424">
        <f t="shared" si="1453"/>
        <v>0</v>
      </c>
      <c r="BI654" s="424">
        <f t="shared" si="1453"/>
        <v>0</v>
      </c>
      <c r="BJ654" s="424">
        <f t="shared" si="1453"/>
        <v>0</v>
      </c>
      <c r="BK654" s="424">
        <f t="shared" si="1453"/>
        <v>0</v>
      </c>
      <c r="BL654" s="424">
        <f t="shared" si="1453"/>
        <v>0</v>
      </c>
      <c r="BM654" s="424">
        <f t="shared" si="1453"/>
        <v>0</v>
      </c>
      <c r="BN654" s="424">
        <f t="shared" si="1453"/>
        <v>0</v>
      </c>
      <c r="BO654" s="424">
        <f t="shared" si="1453"/>
        <v>0</v>
      </c>
      <c r="BP654" s="424">
        <f t="shared" si="1453"/>
        <v>0</v>
      </c>
      <c r="BQ654" s="424">
        <f t="shared" si="1453"/>
        <v>0</v>
      </c>
      <c r="BR654" s="424">
        <f t="shared" si="1453"/>
        <v>0</v>
      </c>
      <c r="BS654" s="424">
        <f t="shared" si="1453"/>
        <v>0</v>
      </c>
      <c r="BT654" s="424">
        <f t="shared" si="1453"/>
        <v>0</v>
      </c>
      <c r="BU654" s="424">
        <f t="shared" si="1453"/>
        <v>0</v>
      </c>
      <c r="BV654" s="424">
        <f t="shared" ref="BV654:DA654" si="1454">BV284*BV$372</f>
        <v>0</v>
      </c>
      <c r="BW654" s="424">
        <f t="shared" si="1454"/>
        <v>0</v>
      </c>
      <c r="BX654" s="424">
        <f t="shared" si="1454"/>
        <v>0</v>
      </c>
      <c r="BY654" s="424">
        <f t="shared" si="1454"/>
        <v>0</v>
      </c>
      <c r="BZ654" s="424">
        <f t="shared" si="1454"/>
        <v>0</v>
      </c>
      <c r="CA654" s="424">
        <f t="shared" si="1454"/>
        <v>0</v>
      </c>
      <c r="CB654" s="424">
        <f t="shared" si="1454"/>
        <v>0</v>
      </c>
      <c r="CC654" s="424">
        <f t="shared" si="1454"/>
        <v>0</v>
      </c>
      <c r="CD654" s="424">
        <f t="shared" si="1454"/>
        <v>0</v>
      </c>
      <c r="CE654" s="424">
        <f t="shared" si="1454"/>
        <v>0</v>
      </c>
      <c r="CF654" s="424">
        <f t="shared" si="1454"/>
        <v>0</v>
      </c>
      <c r="CG654" s="424">
        <f t="shared" si="1454"/>
        <v>0</v>
      </c>
      <c r="CH654" s="424">
        <f t="shared" si="1454"/>
        <v>0</v>
      </c>
      <c r="CI654" s="424">
        <f t="shared" si="1454"/>
        <v>0</v>
      </c>
      <c r="CJ654" s="424">
        <f t="shared" si="1454"/>
        <v>0</v>
      </c>
      <c r="CK654" s="424">
        <f t="shared" si="1454"/>
        <v>0</v>
      </c>
      <c r="CL654" s="424">
        <f t="shared" si="1454"/>
        <v>0</v>
      </c>
      <c r="CM654" s="424">
        <f t="shared" si="1454"/>
        <v>0</v>
      </c>
      <c r="CN654" s="424">
        <f t="shared" si="1454"/>
        <v>0</v>
      </c>
      <c r="CO654" s="424">
        <f t="shared" si="1454"/>
        <v>0</v>
      </c>
      <c r="CP654" s="424">
        <f t="shared" si="1454"/>
        <v>0</v>
      </c>
      <c r="CQ654" s="424">
        <f t="shared" si="1454"/>
        <v>0.09</v>
      </c>
      <c r="CR654" s="424">
        <f t="shared" si="1454"/>
        <v>1.1100000000000001</v>
      </c>
      <c r="CS654" s="424">
        <f t="shared" si="1454"/>
        <v>0</v>
      </c>
      <c r="CT654" s="424">
        <f t="shared" si="1454"/>
        <v>0</v>
      </c>
      <c r="CU654" s="424">
        <f t="shared" si="1454"/>
        <v>0</v>
      </c>
      <c r="CV654" s="424">
        <f t="shared" si="1454"/>
        <v>0</v>
      </c>
      <c r="CW654" s="424">
        <f t="shared" si="1454"/>
        <v>0</v>
      </c>
      <c r="CX654" s="424">
        <f t="shared" si="1454"/>
        <v>0</v>
      </c>
      <c r="CY654" s="424">
        <f t="shared" si="1454"/>
        <v>0</v>
      </c>
      <c r="CZ654" s="424">
        <f t="shared" si="1454"/>
        <v>1.82</v>
      </c>
      <c r="DA654" s="424">
        <f t="shared" si="1454"/>
        <v>0</v>
      </c>
      <c r="DB654" s="424">
        <f t="shared" ref="DB654:EG654" si="1455">DB284*DB$372</f>
        <v>0</v>
      </c>
      <c r="DC654" s="424">
        <f t="shared" si="1455"/>
        <v>0</v>
      </c>
      <c r="DD654" s="424">
        <f t="shared" si="1455"/>
        <v>0</v>
      </c>
      <c r="DE654" s="424">
        <f t="shared" si="1455"/>
        <v>0</v>
      </c>
      <c r="DF654" s="424">
        <f t="shared" si="1455"/>
        <v>0</v>
      </c>
      <c r="DG654" s="424">
        <f t="shared" si="1455"/>
        <v>0</v>
      </c>
      <c r="DH654" s="424">
        <f t="shared" si="1455"/>
        <v>0.8</v>
      </c>
      <c r="DI654" s="424">
        <f t="shared" si="1455"/>
        <v>0</v>
      </c>
      <c r="DJ654" s="424">
        <f t="shared" si="1455"/>
        <v>0</v>
      </c>
      <c r="DK654" s="424">
        <f t="shared" si="1455"/>
        <v>0</v>
      </c>
      <c r="DL654" s="424">
        <f t="shared" si="1455"/>
        <v>0</v>
      </c>
      <c r="DM654" s="424">
        <f t="shared" si="1455"/>
        <v>0</v>
      </c>
      <c r="DN654" s="424">
        <f t="shared" si="1455"/>
        <v>0</v>
      </c>
      <c r="DO654" s="424">
        <f t="shared" si="1455"/>
        <v>0</v>
      </c>
      <c r="DP654" s="424">
        <f t="shared" si="1455"/>
        <v>0</v>
      </c>
      <c r="DQ654" s="424">
        <f t="shared" si="1455"/>
        <v>0</v>
      </c>
      <c r="DR654" s="424">
        <f t="shared" si="1455"/>
        <v>0</v>
      </c>
      <c r="DS654" s="424">
        <f t="shared" si="1455"/>
        <v>0</v>
      </c>
      <c r="DT654" s="424">
        <f t="shared" si="1455"/>
        <v>0</v>
      </c>
      <c r="DU654" s="424">
        <f t="shared" si="1455"/>
        <v>0</v>
      </c>
      <c r="DV654" s="424">
        <f t="shared" si="1455"/>
        <v>0</v>
      </c>
      <c r="DW654" s="424">
        <f t="shared" si="1455"/>
        <v>0</v>
      </c>
      <c r="DX654" s="424">
        <f t="shared" si="1455"/>
        <v>0</v>
      </c>
      <c r="DY654" s="424">
        <f t="shared" si="1455"/>
        <v>0</v>
      </c>
      <c r="DZ654" s="424">
        <f t="shared" si="1455"/>
        <v>0</v>
      </c>
      <c r="EA654" s="424">
        <f t="shared" si="1455"/>
        <v>0</v>
      </c>
      <c r="EB654" s="424">
        <f t="shared" si="1455"/>
        <v>0</v>
      </c>
      <c r="EC654" s="424">
        <f t="shared" si="1455"/>
        <v>0</v>
      </c>
      <c r="ED654" s="424">
        <f t="shared" si="1455"/>
        <v>0</v>
      </c>
      <c r="EE654" s="424">
        <f t="shared" si="1455"/>
        <v>0</v>
      </c>
      <c r="EF654" s="424">
        <f t="shared" si="1455"/>
        <v>0</v>
      </c>
      <c r="EG654" s="424">
        <f t="shared" si="1455"/>
        <v>0</v>
      </c>
      <c r="EH654" s="424">
        <f t="shared" ref="EH654:EX654" si="1456">EH284*EH$372</f>
        <v>0</v>
      </c>
      <c r="EI654" s="424">
        <f t="shared" si="1456"/>
        <v>0</v>
      </c>
      <c r="EJ654" s="424">
        <f t="shared" si="1456"/>
        <v>0</v>
      </c>
      <c r="EK654" s="424">
        <f t="shared" si="1456"/>
        <v>0</v>
      </c>
      <c r="EL654" s="424">
        <f t="shared" si="1456"/>
        <v>0</v>
      </c>
      <c r="EM654" s="424">
        <f t="shared" si="1456"/>
        <v>0</v>
      </c>
      <c r="EN654" s="424">
        <f t="shared" si="1456"/>
        <v>0</v>
      </c>
      <c r="EO654" s="424">
        <f t="shared" si="1456"/>
        <v>0</v>
      </c>
      <c r="EP654" s="424">
        <f t="shared" si="1456"/>
        <v>0</v>
      </c>
      <c r="EQ654" s="424">
        <f t="shared" si="1456"/>
        <v>0</v>
      </c>
      <c r="ER654" s="424">
        <f t="shared" si="1456"/>
        <v>0</v>
      </c>
      <c r="ES654" s="424">
        <f t="shared" si="1456"/>
        <v>0</v>
      </c>
      <c r="ET654" s="424">
        <f t="shared" si="1456"/>
        <v>0</v>
      </c>
      <c r="EU654" s="424">
        <f t="shared" si="1456"/>
        <v>0</v>
      </c>
      <c r="EV654" s="424">
        <f t="shared" si="1456"/>
        <v>0</v>
      </c>
      <c r="EW654" s="424">
        <f t="shared" si="1456"/>
        <v>0</v>
      </c>
      <c r="EX654" s="424">
        <f t="shared" si="1456"/>
        <v>0</v>
      </c>
      <c r="EY654" s="425">
        <f t="shared" si="1420"/>
        <v>3.82</v>
      </c>
    </row>
    <row r="655" spans="1:166" ht="14.7" customHeight="1" x14ac:dyDescent="0.25">
      <c r="A655" s="310">
        <v>281</v>
      </c>
      <c r="B655" s="311" t="str">
        <f t="shared" si="1331"/>
        <v>Чай-заварка</v>
      </c>
      <c r="C655" s="483">
        <f t="shared" si="1421"/>
        <v>9</v>
      </c>
      <c r="D655" s="888"/>
      <c r="E655" s="888"/>
      <c r="F655" s="888"/>
      <c r="G655" s="889"/>
      <c r="H655" s="680">
        <f t="shared" si="1338"/>
        <v>375</v>
      </c>
      <c r="I655" s="1209">
        <f t="shared" si="1332"/>
        <v>0</v>
      </c>
      <c r="J655" s="424">
        <f t="shared" ref="J655:AO655" si="1457">J285*J$372</f>
        <v>0</v>
      </c>
      <c r="K655" s="424">
        <f t="shared" si="1457"/>
        <v>0</v>
      </c>
      <c r="L655" s="424">
        <f t="shared" si="1457"/>
        <v>0</v>
      </c>
      <c r="M655" s="424">
        <f t="shared" si="1457"/>
        <v>0</v>
      </c>
      <c r="N655" s="424">
        <f t="shared" si="1457"/>
        <v>0</v>
      </c>
      <c r="O655" s="424">
        <f t="shared" si="1457"/>
        <v>0</v>
      </c>
      <c r="P655" s="424">
        <f t="shared" si="1457"/>
        <v>0</v>
      </c>
      <c r="Q655" s="424">
        <f t="shared" si="1457"/>
        <v>0</v>
      </c>
      <c r="R655" s="424">
        <f t="shared" si="1457"/>
        <v>0</v>
      </c>
      <c r="S655" s="424">
        <f t="shared" si="1457"/>
        <v>0</v>
      </c>
      <c r="T655" s="424">
        <f t="shared" si="1457"/>
        <v>0</v>
      </c>
      <c r="U655" s="424">
        <f t="shared" si="1457"/>
        <v>0</v>
      </c>
      <c r="V655" s="424">
        <f t="shared" si="1457"/>
        <v>0</v>
      </c>
      <c r="W655" s="424">
        <f t="shared" si="1457"/>
        <v>0</v>
      </c>
      <c r="X655" s="424">
        <f t="shared" si="1457"/>
        <v>0</v>
      </c>
      <c r="Y655" s="424">
        <f t="shared" si="1457"/>
        <v>0</v>
      </c>
      <c r="Z655" s="424">
        <f t="shared" si="1457"/>
        <v>0</v>
      </c>
      <c r="AA655" s="424">
        <f t="shared" si="1457"/>
        <v>0</v>
      </c>
      <c r="AB655" s="424">
        <f t="shared" si="1457"/>
        <v>0</v>
      </c>
      <c r="AC655" s="424">
        <f t="shared" si="1457"/>
        <v>0</v>
      </c>
      <c r="AD655" s="424">
        <f t="shared" si="1457"/>
        <v>0</v>
      </c>
      <c r="AE655" s="424">
        <f t="shared" si="1457"/>
        <v>0</v>
      </c>
      <c r="AF655" s="424">
        <f t="shared" si="1457"/>
        <v>0</v>
      </c>
      <c r="AG655" s="424">
        <f t="shared" si="1457"/>
        <v>0</v>
      </c>
      <c r="AH655" s="424">
        <f t="shared" si="1457"/>
        <v>0</v>
      </c>
      <c r="AI655" s="424">
        <f t="shared" si="1457"/>
        <v>0</v>
      </c>
      <c r="AJ655" s="424">
        <f t="shared" si="1457"/>
        <v>0</v>
      </c>
      <c r="AK655" s="424">
        <f t="shared" si="1457"/>
        <v>0</v>
      </c>
      <c r="AL655" s="424">
        <f t="shared" si="1457"/>
        <v>0</v>
      </c>
      <c r="AM655" s="424">
        <f t="shared" si="1457"/>
        <v>0</v>
      </c>
      <c r="AN655" s="424">
        <f t="shared" si="1457"/>
        <v>0</v>
      </c>
      <c r="AO655" s="424">
        <f t="shared" si="1457"/>
        <v>0</v>
      </c>
      <c r="AP655" s="424">
        <f t="shared" ref="AP655:BU655" si="1458">AP285*AP$372</f>
        <v>0</v>
      </c>
      <c r="AQ655" s="424">
        <f t="shared" si="1458"/>
        <v>0</v>
      </c>
      <c r="AR655" s="424">
        <f t="shared" si="1458"/>
        <v>0</v>
      </c>
      <c r="AS655" s="424">
        <f t="shared" si="1458"/>
        <v>0</v>
      </c>
      <c r="AT655" s="424">
        <f t="shared" si="1458"/>
        <v>0</v>
      </c>
      <c r="AU655" s="424">
        <f t="shared" si="1458"/>
        <v>0</v>
      </c>
      <c r="AV655" s="424">
        <f t="shared" si="1458"/>
        <v>0</v>
      </c>
      <c r="AW655" s="424">
        <f t="shared" si="1458"/>
        <v>0</v>
      </c>
      <c r="AX655" s="424">
        <f t="shared" si="1458"/>
        <v>0</v>
      </c>
      <c r="AY655" s="424">
        <f t="shared" si="1458"/>
        <v>0</v>
      </c>
      <c r="AZ655" s="424">
        <f t="shared" si="1458"/>
        <v>0</v>
      </c>
      <c r="BA655" s="424">
        <f t="shared" si="1458"/>
        <v>0</v>
      </c>
      <c r="BB655" s="424">
        <f t="shared" si="1458"/>
        <v>0</v>
      </c>
      <c r="BC655" s="424">
        <f t="shared" si="1458"/>
        <v>0</v>
      </c>
      <c r="BD655" s="424">
        <f t="shared" si="1458"/>
        <v>0</v>
      </c>
      <c r="BE655" s="424">
        <f t="shared" si="1458"/>
        <v>0</v>
      </c>
      <c r="BF655" s="424">
        <f t="shared" si="1458"/>
        <v>0</v>
      </c>
      <c r="BG655" s="424">
        <f t="shared" si="1458"/>
        <v>0</v>
      </c>
      <c r="BH655" s="424">
        <f t="shared" si="1458"/>
        <v>0</v>
      </c>
      <c r="BI655" s="424">
        <f t="shared" si="1458"/>
        <v>0</v>
      </c>
      <c r="BJ655" s="424">
        <f t="shared" si="1458"/>
        <v>0</v>
      </c>
      <c r="BK655" s="424">
        <f t="shared" si="1458"/>
        <v>0</v>
      </c>
      <c r="BL655" s="424">
        <f t="shared" si="1458"/>
        <v>0</v>
      </c>
      <c r="BM655" s="424">
        <f t="shared" si="1458"/>
        <v>0</v>
      </c>
      <c r="BN655" s="424">
        <f t="shared" si="1458"/>
        <v>0</v>
      </c>
      <c r="BO655" s="424">
        <f t="shared" si="1458"/>
        <v>0</v>
      </c>
      <c r="BP655" s="424">
        <f t="shared" si="1458"/>
        <v>0</v>
      </c>
      <c r="BQ655" s="424">
        <f t="shared" si="1458"/>
        <v>0</v>
      </c>
      <c r="BR655" s="424">
        <f t="shared" si="1458"/>
        <v>0</v>
      </c>
      <c r="BS655" s="424">
        <f t="shared" si="1458"/>
        <v>0</v>
      </c>
      <c r="BT655" s="424">
        <f t="shared" si="1458"/>
        <v>0</v>
      </c>
      <c r="BU655" s="424">
        <f t="shared" si="1458"/>
        <v>0</v>
      </c>
      <c r="BV655" s="424">
        <f t="shared" ref="BV655:DA655" si="1459">BV285*BV$372</f>
        <v>0</v>
      </c>
      <c r="BW655" s="424">
        <f t="shared" si="1459"/>
        <v>0</v>
      </c>
      <c r="BX655" s="424">
        <f t="shared" si="1459"/>
        <v>0</v>
      </c>
      <c r="BY655" s="424">
        <f t="shared" si="1459"/>
        <v>0</v>
      </c>
      <c r="BZ655" s="424">
        <f t="shared" si="1459"/>
        <v>0</v>
      </c>
      <c r="CA655" s="424">
        <f t="shared" si="1459"/>
        <v>0</v>
      </c>
      <c r="CB655" s="424">
        <f t="shared" si="1459"/>
        <v>0</v>
      </c>
      <c r="CC655" s="424">
        <f t="shared" si="1459"/>
        <v>0</v>
      </c>
      <c r="CD655" s="424">
        <f t="shared" si="1459"/>
        <v>0</v>
      </c>
      <c r="CE655" s="424">
        <f t="shared" si="1459"/>
        <v>0</v>
      </c>
      <c r="CF655" s="424">
        <f t="shared" si="1459"/>
        <v>0</v>
      </c>
      <c r="CG655" s="424">
        <f t="shared" si="1459"/>
        <v>0</v>
      </c>
      <c r="CH655" s="424">
        <f t="shared" si="1459"/>
        <v>0</v>
      </c>
      <c r="CI655" s="424">
        <f t="shared" si="1459"/>
        <v>0</v>
      </c>
      <c r="CJ655" s="424">
        <f t="shared" si="1459"/>
        <v>0</v>
      </c>
      <c r="CK655" s="424">
        <f t="shared" si="1459"/>
        <v>0</v>
      </c>
      <c r="CL655" s="424">
        <f t="shared" si="1459"/>
        <v>0</v>
      </c>
      <c r="CM655" s="424">
        <f t="shared" si="1459"/>
        <v>0</v>
      </c>
      <c r="CN655" s="424">
        <f t="shared" si="1459"/>
        <v>0</v>
      </c>
      <c r="CO655" s="424">
        <f t="shared" si="1459"/>
        <v>0</v>
      </c>
      <c r="CP655" s="424">
        <f t="shared" si="1459"/>
        <v>0</v>
      </c>
      <c r="CQ655" s="424">
        <f t="shared" si="1459"/>
        <v>0</v>
      </c>
      <c r="CR655" s="424">
        <f t="shared" si="1459"/>
        <v>0</v>
      </c>
      <c r="CS655" s="424">
        <f t="shared" si="1459"/>
        <v>0</v>
      </c>
      <c r="CT655" s="424">
        <f t="shared" si="1459"/>
        <v>0</v>
      </c>
      <c r="CU655" s="424">
        <f t="shared" si="1459"/>
        <v>0</v>
      </c>
      <c r="CV655" s="424">
        <f t="shared" si="1459"/>
        <v>0</v>
      </c>
      <c r="CW655" s="424">
        <f t="shared" si="1459"/>
        <v>0</v>
      </c>
      <c r="CX655" s="424">
        <f t="shared" si="1459"/>
        <v>0</v>
      </c>
      <c r="CY655" s="424">
        <f t="shared" si="1459"/>
        <v>0</v>
      </c>
      <c r="CZ655" s="424">
        <f t="shared" si="1459"/>
        <v>0</v>
      </c>
      <c r="DA655" s="424">
        <f t="shared" si="1459"/>
        <v>0</v>
      </c>
      <c r="DB655" s="424">
        <f t="shared" ref="DB655:EG655" si="1460">DB285*DB$372</f>
        <v>0</v>
      </c>
      <c r="DC655" s="424">
        <f t="shared" si="1460"/>
        <v>0</v>
      </c>
      <c r="DD655" s="424">
        <f t="shared" si="1460"/>
        <v>0</v>
      </c>
      <c r="DE655" s="424">
        <f t="shared" si="1460"/>
        <v>0</v>
      </c>
      <c r="DF655" s="424">
        <f t="shared" si="1460"/>
        <v>0</v>
      </c>
      <c r="DG655" s="424">
        <f t="shared" si="1460"/>
        <v>0</v>
      </c>
      <c r="DH655" s="424">
        <f t="shared" si="1460"/>
        <v>0</v>
      </c>
      <c r="DI655" s="424">
        <f t="shared" si="1460"/>
        <v>0</v>
      </c>
      <c r="DJ655" s="424">
        <f t="shared" si="1460"/>
        <v>0</v>
      </c>
      <c r="DK655" s="424">
        <f t="shared" si="1460"/>
        <v>0</v>
      </c>
      <c r="DL655" s="424">
        <f t="shared" si="1460"/>
        <v>0</v>
      </c>
      <c r="DM655" s="424">
        <f t="shared" si="1460"/>
        <v>0</v>
      </c>
      <c r="DN655" s="424">
        <f t="shared" si="1460"/>
        <v>0</v>
      </c>
      <c r="DO655" s="424">
        <f t="shared" si="1460"/>
        <v>0</v>
      </c>
      <c r="DP655" s="424">
        <f t="shared" si="1460"/>
        <v>0</v>
      </c>
      <c r="DQ655" s="424">
        <f t="shared" si="1460"/>
        <v>0</v>
      </c>
      <c r="DR655" s="424">
        <f t="shared" si="1460"/>
        <v>9</v>
      </c>
      <c r="DS655" s="424">
        <f t="shared" si="1460"/>
        <v>0</v>
      </c>
      <c r="DT655" s="424">
        <f t="shared" si="1460"/>
        <v>0</v>
      </c>
      <c r="DU655" s="424">
        <f t="shared" si="1460"/>
        <v>0</v>
      </c>
      <c r="DV655" s="424">
        <f t="shared" si="1460"/>
        <v>0</v>
      </c>
      <c r="DW655" s="424">
        <f t="shared" si="1460"/>
        <v>0</v>
      </c>
      <c r="DX655" s="424">
        <f t="shared" si="1460"/>
        <v>0</v>
      </c>
      <c r="DY655" s="424">
        <f t="shared" si="1460"/>
        <v>0</v>
      </c>
      <c r="DZ655" s="424">
        <f t="shared" si="1460"/>
        <v>0</v>
      </c>
      <c r="EA655" s="424">
        <f t="shared" si="1460"/>
        <v>0</v>
      </c>
      <c r="EB655" s="424">
        <f t="shared" si="1460"/>
        <v>0</v>
      </c>
      <c r="EC655" s="424">
        <f t="shared" si="1460"/>
        <v>0</v>
      </c>
      <c r="ED655" s="424">
        <f t="shared" si="1460"/>
        <v>0</v>
      </c>
      <c r="EE655" s="424">
        <f t="shared" si="1460"/>
        <v>0</v>
      </c>
      <c r="EF655" s="424">
        <f t="shared" si="1460"/>
        <v>0</v>
      </c>
      <c r="EG655" s="424">
        <f t="shared" si="1460"/>
        <v>0</v>
      </c>
      <c r="EH655" s="424">
        <f t="shared" ref="EH655:EX655" si="1461">EH285*EH$372</f>
        <v>0</v>
      </c>
      <c r="EI655" s="424">
        <f t="shared" si="1461"/>
        <v>0</v>
      </c>
      <c r="EJ655" s="424">
        <f t="shared" si="1461"/>
        <v>0</v>
      </c>
      <c r="EK655" s="424">
        <f t="shared" si="1461"/>
        <v>0</v>
      </c>
      <c r="EL655" s="424">
        <f t="shared" si="1461"/>
        <v>0</v>
      </c>
      <c r="EM655" s="424">
        <f t="shared" si="1461"/>
        <v>0</v>
      </c>
      <c r="EN655" s="424">
        <f t="shared" si="1461"/>
        <v>0</v>
      </c>
      <c r="EO655" s="424">
        <f t="shared" si="1461"/>
        <v>0</v>
      </c>
      <c r="EP655" s="424">
        <f t="shared" si="1461"/>
        <v>0</v>
      </c>
      <c r="EQ655" s="424">
        <f t="shared" si="1461"/>
        <v>0</v>
      </c>
      <c r="ER655" s="424">
        <f t="shared" si="1461"/>
        <v>0</v>
      </c>
      <c r="ES655" s="424">
        <f t="shared" si="1461"/>
        <v>0</v>
      </c>
      <c r="ET655" s="424">
        <f t="shared" si="1461"/>
        <v>0</v>
      </c>
      <c r="EU655" s="424">
        <f t="shared" si="1461"/>
        <v>0</v>
      </c>
      <c r="EV655" s="424">
        <f t="shared" si="1461"/>
        <v>0</v>
      </c>
      <c r="EW655" s="424">
        <f t="shared" si="1461"/>
        <v>0</v>
      </c>
      <c r="EX655" s="424">
        <f t="shared" si="1461"/>
        <v>0</v>
      </c>
      <c r="EY655" s="425">
        <f t="shared" si="1420"/>
        <v>9</v>
      </c>
    </row>
    <row r="656" spans="1:166" ht="14.7" customHeight="1" x14ac:dyDescent="0.25">
      <c r="A656" s="310">
        <v>282</v>
      </c>
      <c r="B656" s="311" t="str">
        <f t="shared" si="1331"/>
        <v>Чай с сахаром</v>
      </c>
      <c r="C656" s="483">
        <f t="shared" si="1421"/>
        <v>1.59</v>
      </c>
      <c r="D656" s="888"/>
      <c r="E656" s="888"/>
      <c r="F656" s="888"/>
      <c r="G656" s="889"/>
      <c r="H656" s="680">
        <f t="shared" si="1338"/>
        <v>376</v>
      </c>
      <c r="I656" s="1209">
        <f t="shared" si="1332"/>
        <v>0</v>
      </c>
      <c r="J656" s="424">
        <f t="shared" ref="J656:AO656" si="1462">J286*J$372</f>
        <v>0</v>
      </c>
      <c r="K656" s="424">
        <f t="shared" si="1462"/>
        <v>0</v>
      </c>
      <c r="L656" s="424">
        <f t="shared" si="1462"/>
        <v>0</v>
      </c>
      <c r="M656" s="424">
        <f t="shared" si="1462"/>
        <v>0</v>
      </c>
      <c r="N656" s="424">
        <f t="shared" si="1462"/>
        <v>0</v>
      </c>
      <c r="O656" s="424">
        <f t="shared" si="1462"/>
        <v>0</v>
      </c>
      <c r="P656" s="424">
        <f t="shared" si="1462"/>
        <v>0</v>
      </c>
      <c r="Q656" s="424">
        <f t="shared" si="1462"/>
        <v>0</v>
      </c>
      <c r="R656" s="424">
        <f t="shared" si="1462"/>
        <v>0</v>
      </c>
      <c r="S656" s="424">
        <f t="shared" si="1462"/>
        <v>0</v>
      </c>
      <c r="T656" s="424">
        <f t="shared" si="1462"/>
        <v>0</v>
      </c>
      <c r="U656" s="424">
        <f t="shared" si="1462"/>
        <v>0</v>
      </c>
      <c r="V656" s="424">
        <f t="shared" si="1462"/>
        <v>0</v>
      </c>
      <c r="W656" s="424">
        <f t="shared" si="1462"/>
        <v>0</v>
      </c>
      <c r="X656" s="424">
        <f t="shared" si="1462"/>
        <v>0</v>
      </c>
      <c r="Y656" s="424">
        <f t="shared" si="1462"/>
        <v>0</v>
      </c>
      <c r="Z656" s="424">
        <f t="shared" si="1462"/>
        <v>0</v>
      </c>
      <c r="AA656" s="424">
        <f t="shared" si="1462"/>
        <v>0</v>
      </c>
      <c r="AB656" s="424">
        <f t="shared" si="1462"/>
        <v>0</v>
      </c>
      <c r="AC656" s="424">
        <f t="shared" si="1462"/>
        <v>0</v>
      </c>
      <c r="AD656" s="424">
        <f t="shared" si="1462"/>
        <v>0</v>
      </c>
      <c r="AE656" s="424">
        <f t="shared" si="1462"/>
        <v>0</v>
      </c>
      <c r="AF656" s="424">
        <f t="shared" si="1462"/>
        <v>0</v>
      </c>
      <c r="AG656" s="424">
        <f t="shared" si="1462"/>
        <v>0</v>
      </c>
      <c r="AH656" s="424">
        <f t="shared" si="1462"/>
        <v>0</v>
      </c>
      <c r="AI656" s="424">
        <f t="shared" si="1462"/>
        <v>0</v>
      </c>
      <c r="AJ656" s="424">
        <f t="shared" si="1462"/>
        <v>0</v>
      </c>
      <c r="AK656" s="424">
        <f t="shared" si="1462"/>
        <v>0</v>
      </c>
      <c r="AL656" s="424">
        <f t="shared" si="1462"/>
        <v>0</v>
      </c>
      <c r="AM656" s="424">
        <f t="shared" si="1462"/>
        <v>0</v>
      </c>
      <c r="AN656" s="424">
        <f t="shared" si="1462"/>
        <v>0</v>
      </c>
      <c r="AO656" s="424">
        <f t="shared" si="1462"/>
        <v>0</v>
      </c>
      <c r="AP656" s="424">
        <f t="shared" ref="AP656:BU656" si="1463">AP286*AP$372</f>
        <v>0</v>
      </c>
      <c r="AQ656" s="424">
        <f t="shared" si="1463"/>
        <v>0</v>
      </c>
      <c r="AR656" s="424">
        <f t="shared" si="1463"/>
        <v>0</v>
      </c>
      <c r="AS656" s="424">
        <f t="shared" si="1463"/>
        <v>0</v>
      </c>
      <c r="AT656" s="424">
        <f t="shared" si="1463"/>
        <v>0</v>
      </c>
      <c r="AU656" s="424">
        <f t="shared" si="1463"/>
        <v>0</v>
      </c>
      <c r="AV656" s="424">
        <f t="shared" si="1463"/>
        <v>0</v>
      </c>
      <c r="AW656" s="424">
        <f t="shared" si="1463"/>
        <v>0</v>
      </c>
      <c r="AX656" s="424">
        <f t="shared" si="1463"/>
        <v>0</v>
      </c>
      <c r="AY656" s="424">
        <f t="shared" si="1463"/>
        <v>0</v>
      </c>
      <c r="AZ656" s="424">
        <f t="shared" si="1463"/>
        <v>0</v>
      </c>
      <c r="BA656" s="424">
        <f t="shared" si="1463"/>
        <v>0</v>
      </c>
      <c r="BB656" s="424">
        <f t="shared" si="1463"/>
        <v>0</v>
      </c>
      <c r="BC656" s="424">
        <f t="shared" si="1463"/>
        <v>0</v>
      </c>
      <c r="BD656" s="424">
        <f t="shared" si="1463"/>
        <v>0</v>
      </c>
      <c r="BE656" s="424">
        <f t="shared" si="1463"/>
        <v>0</v>
      </c>
      <c r="BF656" s="424">
        <f t="shared" si="1463"/>
        <v>0</v>
      </c>
      <c r="BG656" s="424">
        <f t="shared" si="1463"/>
        <v>0</v>
      </c>
      <c r="BH656" s="424">
        <f t="shared" si="1463"/>
        <v>0</v>
      </c>
      <c r="BI656" s="424">
        <f t="shared" si="1463"/>
        <v>0</v>
      </c>
      <c r="BJ656" s="424">
        <f t="shared" si="1463"/>
        <v>0</v>
      </c>
      <c r="BK656" s="424">
        <f t="shared" si="1463"/>
        <v>0</v>
      </c>
      <c r="BL656" s="424">
        <f t="shared" si="1463"/>
        <v>0</v>
      </c>
      <c r="BM656" s="424">
        <f t="shared" si="1463"/>
        <v>0</v>
      </c>
      <c r="BN656" s="424">
        <f t="shared" si="1463"/>
        <v>0</v>
      </c>
      <c r="BO656" s="424">
        <f t="shared" si="1463"/>
        <v>0</v>
      </c>
      <c r="BP656" s="424">
        <f t="shared" si="1463"/>
        <v>0</v>
      </c>
      <c r="BQ656" s="424">
        <f t="shared" si="1463"/>
        <v>0</v>
      </c>
      <c r="BR656" s="424">
        <f t="shared" si="1463"/>
        <v>0</v>
      </c>
      <c r="BS656" s="424">
        <f t="shared" si="1463"/>
        <v>0</v>
      </c>
      <c r="BT656" s="424">
        <f t="shared" si="1463"/>
        <v>0</v>
      </c>
      <c r="BU656" s="424">
        <f t="shared" si="1463"/>
        <v>0</v>
      </c>
      <c r="BV656" s="424">
        <f t="shared" ref="BV656:DA656" si="1464">BV286*BV$372</f>
        <v>0</v>
      </c>
      <c r="BW656" s="424">
        <f t="shared" si="1464"/>
        <v>0</v>
      </c>
      <c r="BX656" s="424">
        <f t="shared" si="1464"/>
        <v>0</v>
      </c>
      <c r="BY656" s="424">
        <f t="shared" si="1464"/>
        <v>0</v>
      </c>
      <c r="BZ656" s="424">
        <f t="shared" si="1464"/>
        <v>0</v>
      </c>
      <c r="CA656" s="424">
        <f t="shared" si="1464"/>
        <v>0</v>
      </c>
      <c r="CB656" s="424">
        <f t="shared" si="1464"/>
        <v>0</v>
      </c>
      <c r="CC656" s="424">
        <f t="shared" si="1464"/>
        <v>0</v>
      </c>
      <c r="CD656" s="424">
        <f t="shared" si="1464"/>
        <v>0</v>
      </c>
      <c r="CE656" s="424">
        <f t="shared" si="1464"/>
        <v>0</v>
      </c>
      <c r="CF656" s="424">
        <f t="shared" si="1464"/>
        <v>0</v>
      </c>
      <c r="CG656" s="424">
        <f t="shared" si="1464"/>
        <v>0</v>
      </c>
      <c r="CH656" s="424">
        <f t="shared" si="1464"/>
        <v>0</v>
      </c>
      <c r="CI656" s="424">
        <f t="shared" si="1464"/>
        <v>0</v>
      </c>
      <c r="CJ656" s="424">
        <f t="shared" si="1464"/>
        <v>0</v>
      </c>
      <c r="CK656" s="424">
        <f t="shared" si="1464"/>
        <v>0</v>
      </c>
      <c r="CL656" s="424">
        <f t="shared" si="1464"/>
        <v>0</v>
      </c>
      <c r="CM656" s="424">
        <f t="shared" si="1464"/>
        <v>0</v>
      </c>
      <c r="CN656" s="424">
        <f t="shared" si="1464"/>
        <v>0</v>
      </c>
      <c r="CO656" s="424">
        <f t="shared" si="1464"/>
        <v>0</v>
      </c>
      <c r="CP656" s="424">
        <f t="shared" si="1464"/>
        <v>0</v>
      </c>
      <c r="CQ656" s="424">
        <f t="shared" si="1464"/>
        <v>0</v>
      </c>
      <c r="CR656" s="424">
        <f t="shared" si="1464"/>
        <v>0</v>
      </c>
      <c r="CS656" s="424">
        <f t="shared" si="1464"/>
        <v>0</v>
      </c>
      <c r="CT656" s="424">
        <f t="shared" si="1464"/>
        <v>0</v>
      </c>
      <c r="CU656" s="424">
        <f t="shared" si="1464"/>
        <v>0</v>
      </c>
      <c r="CV656" s="424">
        <f t="shared" si="1464"/>
        <v>0</v>
      </c>
      <c r="CW656" s="424">
        <f t="shared" si="1464"/>
        <v>0</v>
      </c>
      <c r="CX656" s="424">
        <f t="shared" si="1464"/>
        <v>0</v>
      </c>
      <c r="CY656" s="424">
        <f t="shared" si="1464"/>
        <v>0</v>
      </c>
      <c r="CZ656" s="424">
        <f t="shared" si="1464"/>
        <v>1.1399999999999999</v>
      </c>
      <c r="DA656" s="424">
        <f t="shared" si="1464"/>
        <v>0</v>
      </c>
      <c r="DB656" s="424">
        <f t="shared" ref="DB656:EG656" si="1465">DB286*DB$372</f>
        <v>0</v>
      </c>
      <c r="DC656" s="424">
        <f t="shared" si="1465"/>
        <v>0</v>
      </c>
      <c r="DD656" s="424">
        <f t="shared" si="1465"/>
        <v>0</v>
      </c>
      <c r="DE656" s="424">
        <f t="shared" si="1465"/>
        <v>0</v>
      </c>
      <c r="DF656" s="424">
        <f t="shared" si="1465"/>
        <v>0</v>
      </c>
      <c r="DG656" s="424">
        <f t="shared" si="1465"/>
        <v>0</v>
      </c>
      <c r="DH656" s="424">
        <f t="shared" si="1465"/>
        <v>0</v>
      </c>
      <c r="DI656" s="424">
        <f t="shared" si="1465"/>
        <v>0</v>
      </c>
      <c r="DJ656" s="424">
        <f t="shared" si="1465"/>
        <v>0</v>
      </c>
      <c r="DK656" s="424">
        <f t="shared" si="1465"/>
        <v>0</v>
      </c>
      <c r="DL656" s="424">
        <f t="shared" si="1465"/>
        <v>0</v>
      </c>
      <c r="DM656" s="424">
        <f t="shared" si="1465"/>
        <v>0</v>
      </c>
      <c r="DN656" s="424">
        <f t="shared" si="1465"/>
        <v>0</v>
      </c>
      <c r="DO656" s="424">
        <f t="shared" si="1465"/>
        <v>0</v>
      </c>
      <c r="DP656" s="424">
        <f t="shared" si="1465"/>
        <v>0</v>
      </c>
      <c r="DQ656" s="424">
        <f t="shared" si="1465"/>
        <v>0</v>
      </c>
      <c r="DR656" s="424">
        <f t="shared" si="1465"/>
        <v>0.45</v>
      </c>
      <c r="DS656" s="424">
        <f t="shared" si="1465"/>
        <v>0</v>
      </c>
      <c r="DT656" s="424">
        <f t="shared" si="1465"/>
        <v>0</v>
      </c>
      <c r="DU656" s="424">
        <f t="shared" si="1465"/>
        <v>0</v>
      </c>
      <c r="DV656" s="424">
        <f t="shared" si="1465"/>
        <v>0</v>
      </c>
      <c r="DW656" s="424">
        <f t="shared" si="1465"/>
        <v>0</v>
      </c>
      <c r="DX656" s="424">
        <f t="shared" si="1465"/>
        <v>0</v>
      </c>
      <c r="DY656" s="424">
        <f t="shared" si="1465"/>
        <v>0</v>
      </c>
      <c r="DZ656" s="424">
        <f t="shared" si="1465"/>
        <v>0</v>
      </c>
      <c r="EA656" s="424">
        <f t="shared" si="1465"/>
        <v>0</v>
      </c>
      <c r="EB656" s="424">
        <f t="shared" si="1465"/>
        <v>0</v>
      </c>
      <c r="EC656" s="424">
        <f t="shared" si="1465"/>
        <v>0</v>
      </c>
      <c r="ED656" s="424">
        <f t="shared" si="1465"/>
        <v>0</v>
      </c>
      <c r="EE656" s="424">
        <f t="shared" si="1465"/>
        <v>0</v>
      </c>
      <c r="EF656" s="424">
        <f t="shared" si="1465"/>
        <v>0</v>
      </c>
      <c r="EG656" s="424">
        <f t="shared" si="1465"/>
        <v>0</v>
      </c>
      <c r="EH656" s="424">
        <f t="shared" ref="EH656:EX656" si="1466">EH286*EH$372</f>
        <v>0</v>
      </c>
      <c r="EI656" s="424">
        <f t="shared" si="1466"/>
        <v>0</v>
      </c>
      <c r="EJ656" s="424">
        <f t="shared" si="1466"/>
        <v>0</v>
      </c>
      <c r="EK656" s="424">
        <f t="shared" si="1466"/>
        <v>0</v>
      </c>
      <c r="EL656" s="424">
        <f t="shared" si="1466"/>
        <v>0</v>
      </c>
      <c r="EM656" s="424">
        <f t="shared" si="1466"/>
        <v>0</v>
      </c>
      <c r="EN656" s="424">
        <f t="shared" si="1466"/>
        <v>0</v>
      </c>
      <c r="EO656" s="424">
        <f t="shared" si="1466"/>
        <v>0</v>
      </c>
      <c r="EP656" s="424">
        <f t="shared" si="1466"/>
        <v>0</v>
      </c>
      <c r="EQ656" s="424">
        <f t="shared" si="1466"/>
        <v>0</v>
      </c>
      <c r="ER656" s="424">
        <f t="shared" si="1466"/>
        <v>0</v>
      </c>
      <c r="ES656" s="424">
        <f t="shared" si="1466"/>
        <v>0</v>
      </c>
      <c r="ET656" s="424">
        <f t="shared" si="1466"/>
        <v>0</v>
      </c>
      <c r="EU656" s="424">
        <f t="shared" si="1466"/>
        <v>0</v>
      </c>
      <c r="EV656" s="424">
        <f t="shared" si="1466"/>
        <v>0</v>
      </c>
      <c r="EW656" s="424">
        <f t="shared" si="1466"/>
        <v>0</v>
      </c>
      <c r="EX656" s="424">
        <f t="shared" si="1466"/>
        <v>0</v>
      </c>
      <c r="EY656" s="425">
        <f t="shared" si="1420"/>
        <v>1.59</v>
      </c>
    </row>
    <row r="657" spans="1:166" s="407" customFormat="1" ht="14.7" customHeight="1" x14ac:dyDescent="0.25">
      <c r="A657" s="310">
        <v>283</v>
      </c>
      <c r="B657" s="311" t="str">
        <f t="shared" si="1331"/>
        <v>Чай с вареньем</v>
      </c>
      <c r="C657" s="483">
        <f t="shared" si="1421"/>
        <v>8.4499999999999993</v>
      </c>
      <c r="D657" s="888"/>
      <c r="E657" s="888"/>
      <c r="F657" s="888"/>
      <c r="G657" s="889"/>
      <c r="H657" s="680">
        <f t="shared" si="1338"/>
        <v>376</v>
      </c>
      <c r="I657" s="1209">
        <f t="shared" si="1332"/>
        <v>0</v>
      </c>
      <c r="J657" s="424">
        <f t="shared" ref="J657:AO657" si="1467">J287*J$372</f>
        <v>0</v>
      </c>
      <c r="K657" s="424">
        <f t="shared" si="1467"/>
        <v>0</v>
      </c>
      <c r="L657" s="424">
        <f t="shared" si="1467"/>
        <v>0</v>
      </c>
      <c r="M657" s="424">
        <f t="shared" si="1467"/>
        <v>0</v>
      </c>
      <c r="N657" s="424">
        <f t="shared" si="1467"/>
        <v>0</v>
      </c>
      <c r="O657" s="424">
        <f t="shared" si="1467"/>
        <v>0</v>
      </c>
      <c r="P657" s="424">
        <f t="shared" si="1467"/>
        <v>0</v>
      </c>
      <c r="Q657" s="424">
        <f t="shared" si="1467"/>
        <v>0</v>
      </c>
      <c r="R657" s="424">
        <f t="shared" si="1467"/>
        <v>0</v>
      </c>
      <c r="S657" s="424">
        <f t="shared" si="1467"/>
        <v>0</v>
      </c>
      <c r="T657" s="424">
        <f t="shared" si="1467"/>
        <v>0</v>
      </c>
      <c r="U657" s="424">
        <f t="shared" si="1467"/>
        <v>0</v>
      </c>
      <c r="V657" s="424">
        <f t="shared" si="1467"/>
        <v>0</v>
      </c>
      <c r="W657" s="424">
        <f t="shared" si="1467"/>
        <v>0</v>
      </c>
      <c r="X657" s="424">
        <f t="shared" si="1467"/>
        <v>0</v>
      </c>
      <c r="Y657" s="424">
        <f t="shared" si="1467"/>
        <v>0</v>
      </c>
      <c r="Z657" s="424">
        <f t="shared" si="1467"/>
        <v>0</v>
      </c>
      <c r="AA657" s="424">
        <f t="shared" si="1467"/>
        <v>0</v>
      </c>
      <c r="AB657" s="424">
        <f t="shared" si="1467"/>
        <v>0</v>
      </c>
      <c r="AC657" s="424">
        <f t="shared" si="1467"/>
        <v>0</v>
      </c>
      <c r="AD657" s="424">
        <f t="shared" si="1467"/>
        <v>0</v>
      </c>
      <c r="AE657" s="424">
        <f t="shared" si="1467"/>
        <v>0</v>
      </c>
      <c r="AF657" s="424">
        <f t="shared" si="1467"/>
        <v>0</v>
      </c>
      <c r="AG657" s="424">
        <f t="shared" si="1467"/>
        <v>0</v>
      </c>
      <c r="AH657" s="424">
        <f t="shared" si="1467"/>
        <v>0</v>
      </c>
      <c r="AI657" s="424">
        <f t="shared" si="1467"/>
        <v>0</v>
      </c>
      <c r="AJ657" s="424">
        <f t="shared" si="1467"/>
        <v>0</v>
      </c>
      <c r="AK657" s="424">
        <f t="shared" si="1467"/>
        <v>0</v>
      </c>
      <c r="AL657" s="424">
        <f t="shared" si="1467"/>
        <v>0</v>
      </c>
      <c r="AM657" s="424">
        <f t="shared" si="1467"/>
        <v>0</v>
      </c>
      <c r="AN657" s="424">
        <f t="shared" si="1467"/>
        <v>0</v>
      </c>
      <c r="AO657" s="424">
        <f t="shared" si="1467"/>
        <v>0</v>
      </c>
      <c r="AP657" s="424">
        <f t="shared" ref="AP657:BU657" si="1468">AP287*AP$372</f>
        <v>0</v>
      </c>
      <c r="AQ657" s="424">
        <f t="shared" si="1468"/>
        <v>0</v>
      </c>
      <c r="AR657" s="424">
        <f t="shared" si="1468"/>
        <v>0</v>
      </c>
      <c r="AS657" s="424">
        <f t="shared" si="1468"/>
        <v>0</v>
      </c>
      <c r="AT657" s="424">
        <f t="shared" si="1468"/>
        <v>0</v>
      </c>
      <c r="AU657" s="424">
        <f t="shared" si="1468"/>
        <v>0</v>
      </c>
      <c r="AV657" s="424">
        <f t="shared" si="1468"/>
        <v>0</v>
      </c>
      <c r="AW657" s="424">
        <f t="shared" si="1468"/>
        <v>0</v>
      </c>
      <c r="AX657" s="424">
        <f t="shared" si="1468"/>
        <v>0</v>
      </c>
      <c r="AY657" s="424">
        <f t="shared" si="1468"/>
        <v>0</v>
      </c>
      <c r="AZ657" s="424">
        <f t="shared" si="1468"/>
        <v>0</v>
      </c>
      <c r="BA657" s="424">
        <f t="shared" si="1468"/>
        <v>0</v>
      </c>
      <c r="BB657" s="424">
        <f t="shared" si="1468"/>
        <v>0</v>
      </c>
      <c r="BC657" s="424">
        <f t="shared" si="1468"/>
        <v>0</v>
      </c>
      <c r="BD657" s="424">
        <f t="shared" si="1468"/>
        <v>0</v>
      </c>
      <c r="BE657" s="424">
        <f t="shared" si="1468"/>
        <v>0</v>
      </c>
      <c r="BF657" s="424">
        <f t="shared" si="1468"/>
        <v>0</v>
      </c>
      <c r="BG657" s="424">
        <f t="shared" si="1468"/>
        <v>0</v>
      </c>
      <c r="BH657" s="424">
        <f t="shared" si="1468"/>
        <v>0</v>
      </c>
      <c r="BI657" s="424">
        <f t="shared" si="1468"/>
        <v>0</v>
      </c>
      <c r="BJ657" s="424">
        <f t="shared" si="1468"/>
        <v>0</v>
      </c>
      <c r="BK657" s="424">
        <f t="shared" si="1468"/>
        <v>0</v>
      </c>
      <c r="BL657" s="424">
        <f t="shared" si="1468"/>
        <v>0</v>
      </c>
      <c r="BM657" s="424">
        <f t="shared" si="1468"/>
        <v>0</v>
      </c>
      <c r="BN657" s="424">
        <f t="shared" si="1468"/>
        <v>0</v>
      </c>
      <c r="BO657" s="424">
        <f t="shared" si="1468"/>
        <v>0</v>
      </c>
      <c r="BP657" s="424">
        <f t="shared" si="1468"/>
        <v>0</v>
      </c>
      <c r="BQ657" s="424">
        <f t="shared" si="1468"/>
        <v>0</v>
      </c>
      <c r="BR657" s="424">
        <f t="shared" si="1468"/>
        <v>0</v>
      </c>
      <c r="BS657" s="424">
        <f t="shared" si="1468"/>
        <v>0</v>
      </c>
      <c r="BT657" s="424">
        <f t="shared" si="1468"/>
        <v>0</v>
      </c>
      <c r="BU657" s="424">
        <f t="shared" si="1468"/>
        <v>0</v>
      </c>
      <c r="BV657" s="424">
        <f t="shared" ref="BV657:DA657" si="1469">BV287*BV$372</f>
        <v>0</v>
      </c>
      <c r="BW657" s="424">
        <f t="shared" si="1469"/>
        <v>0</v>
      </c>
      <c r="BX657" s="424">
        <f t="shared" si="1469"/>
        <v>0</v>
      </c>
      <c r="BY657" s="424">
        <f t="shared" si="1469"/>
        <v>0</v>
      </c>
      <c r="BZ657" s="424">
        <f t="shared" si="1469"/>
        <v>0</v>
      </c>
      <c r="CA657" s="424">
        <f t="shared" si="1469"/>
        <v>0</v>
      </c>
      <c r="CB657" s="424">
        <f t="shared" si="1469"/>
        <v>0</v>
      </c>
      <c r="CC657" s="424">
        <f t="shared" si="1469"/>
        <v>0</v>
      </c>
      <c r="CD657" s="424">
        <f t="shared" si="1469"/>
        <v>0</v>
      </c>
      <c r="CE657" s="424">
        <f t="shared" si="1469"/>
        <v>0</v>
      </c>
      <c r="CF657" s="424">
        <f t="shared" si="1469"/>
        <v>0</v>
      </c>
      <c r="CG657" s="424">
        <f t="shared" si="1469"/>
        <v>0</v>
      </c>
      <c r="CH657" s="424">
        <f t="shared" si="1469"/>
        <v>0</v>
      </c>
      <c r="CI657" s="424">
        <f t="shared" si="1469"/>
        <v>0</v>
      </c>
      <c r="CJ657" s="424">
        <f t="shared" si="1469"/>
        <v>0</v>
      </c>
      <c r="CK657" s="424">
        <f t="shared" si="1469"/>
        <v>0</v>
      </c>
      <c r="CL657" s="424">
        <f t="shared" si="1469"/>
        <v>0</v>
      </c>
      <c r="CM657" s="424">
        <f t="shared" si="1469"/>
        <v>0</v>
      </c>
      <c r="CN657" s="424">
        <f t="shared" si="1469"/>
        <v>0</v>
      </c>
      <c r="CO657" s="424">
        <f t="shared" si="1469"/>
        <v>0</v>
      </c>
      <c r="CP657" s="424">
        <f t="shared" si="1469"/>
        <v>0</v>
      </c>
      <c r="CQ657" s="424">
        <f t="shared" si="1469"/>
        <v>0</v>
      </c>
      <c r="CR657" s="424">
        <f t="shared" si="1469"/>
        <v>0</v>
      </c>
      <c r="CS657" s="424">
        <f t="shared" si="1469"/>
        <v>0</v>
      </c>
      <c r="CT657" s="424">
        <f t="shared" si="1469"/>
        <v>0</v>
      </c>
      <c r="CU657" s="424">
        <f t="shared" si="1469"/>
        <v>0</v>
      </c>
      <c r="CV657" s="424">
        <f t="shared" si="1469"/>
        <v>0</v>
      </c>
      <c r="CW657" s="424">
        <f t="shared" si="1469"/>
        <v>0</v>
      </c>
      <c r="CX657" s="424">
        <f t="shared" si="1469"/>
        <v>0</v>
      </c>
      <c r="CY657" s="424">
        <f t="shared" si="1469"/>
        <v>8</v>
      </c>
      <c r="CZ657" s="424">
        <f t="shared" si="1469"/>
        <v>0</v>
      </c>
      <c r="DA657" s="424">
        <f t="shared" si="1469"/>
        <v>0</v>
      </c>
      <c r="DB657" s="424">
        <f t="shared" ref="DB657:EG657" si="1470">DB287*DB$372</f>
        <v>0</v>
      </c>
      <c r="DC657" s="424">
        <f t="shared" si="1470"/>
        <v>0</v>
      </c>
      <c r="DD657" s="424">
        <f t="shared" si="1470"/>
        <v>0</v>
      </c>
      <c r="DE657" s="424">
        <f t="shared" si="1470"/>
        <v>0</v>
      </c>
      <c r="DF657" s="424">
        <f t="shared" si="1470"/>
        <v>0</v>
      </c>
      <c r="DG657" s="424">
        <f t="shared" si="1470"/>
        <v>0</v>
      </c>
      <c r="DH657" s="424">
        <f t="shared" si="1470"/>
        <v>0</v>
      </c>
      <c r="DI657" s="424">
        <f t="shared" si="1470"/>
        <v>0</v>
      </c>
      <c r="DJ657" s="424">
        <f t="shared" si="1470"/>
        <v>0</v>
      </c>
      <c r="DK657" s="424">
        <f t="shared" si="1470"/>
        <v>0</v>
      </c>
      <c r="DL657" s="424">
        <f t="shared" si="1470"/>
        <v>0</v>
      </c>
      <c r="DM657" s="424">
        <f t="shared" si="1470"/>
        <v>0</v>
      </c>
      <c r="DN657" s="424">
        <f t="shared" si="1470"/>
        <v>0</v>
      </c>
      <c r="DO657" s="424">
        <f t="shared" si="1470"/>
        <v>0</v>
      </c>
      <c r="DP657" s="424">
        <f t="shared" si="1470"/>
        <v>0</v>
      </c>
      <c r="DQ657" s="424">
        <f t="shared" si="1470"/>
        <v>0</v>
      </c>
      <c r="DR657" s="424">
        <f t="shared" si="1470"/>
        <v>0.45</v>
      </c>
      <c r="DS657" s="424">
        <f t="shared" si="1470"/>
        <v>0</v>
      </c>
      <c r="DT657" s="424">
        <f t="shared" si="1470"/>
        <v>0</v>
      </c>
      <c r="DU657" s="424">
        <f t="shared" si="1470"/>
        <v>0</v>
      </c>
      <c r="DV657" s="424">
        <f t="shared" si="1470"/>
        <v>0</v>
      </c>
      <c r="DW657" s="424">
        <f t="shared" si="1470"/>
        <v>0</v>
      </c>
      <c r="DX657" s="424">
        <f t="shared" si="1470"/>
        <v>0</v>
      </c>
      <c r="DY657" s="424">
        <f t="shared" si="1470"/>
        <v>0</v>
      </c>
      <c r="DZ657" s="424">
        <f t="shared" si="1470"/>
        <v>0</v>
      </c>
      <c r="EA657" s="424">
        <f t="shared" si="1470"/>
        <v>0</v>
      </c>
      <c r="EB657" s="424">
        <f t="shared" si="1470"/>
        <v>0</v>
      </c>
      <c r="EC657" s="424">
        <f t="shared" si="1470"/>
        <v>0</v>
      </c>
      <c r="ED657" s="424">
        <f t="shared" si="1470"/>
        <v>0</v>
      </c>
      <c r="EE657" s="424">
        <f t="shared" si="1470"/>
        <v>0</v>
      </c>
      <c r="EF657" s="424">
        <f t="shared" si="1470"/>
        <v>0</v>
      </c>
      <c r="EG657" s="424">
        <f t="shared" si="1470"/>
        <v>0</v>
      </c>
      <c r="EH657" s="424">
        <f t="shared" ref="EH657:EX657" si="1471">EH287*EH$372</f>
        <v>0</v>
      </c>
      <c r="EI657" s="424">
        <f t="shared" si="1471"/>
        <v>0</v>
      </c>
      <c r="EJ657" s="424">
        <f t="shared" si="1471"/>
        <v>0</v>
      </c>
      <c r="EK657" s="424">
        <f t="shared" si="1471"/>
        <v>0</v>
      </c>
      <c r="EL657" s="424">
        <f t="shared" si="1471"/>
        <v>0</v>
      </c>
      <c r="EM657" s="424">
        <f t="shared" si="1471"/>
        <v>0</v>
      </c>
      <c r="EN657" s="424">
        <f t="shared" si="1471"/>
        <v>0</v>
      </c>
      <c r="EO657" s="424">
        <f t="shared" si="1471"/>
        <v>0</v>
      </c>
      <c r="EP657" s="424">
        <f t="shared" si="1471"/>
        <v>0</v>
      </c>
      <c r="EQ657" s="424">
        <f t="shared" si="1471"/>
        <v>0</v>
      </c>
      <c r="ER657" s="424">
        <f t="shared" si="1471"/>
        <v>0</v>
      </c>
      <c r="ES657" s="424">
        <f t="shared" si="1471"/>
        <v>0</v>
      </c>
      <c r="ET657" s="424">
        <f t="shared" si="1471"/>
        <v>0</v>
      </c>
      <c r="EU657" s="424">
        <f t="shared" si="1471"/>
        <v>0</v>
      </c>
      <c r="EV657" s="424">
        <f t="shared" si="1471"/>
        <v>0</v>
      </c>
      <c r="EW657" s="424">
        <f t="shared" si="1471"/>
        <v>0</v>
      </c>
      <c r="EX657" s="424">
        <f t="shared" si="1471"/>
        <v>0</v>
      </c>
      <c r="EY657" s="425">
        <f t="shared" si="1420"/>
        <v>8.4499999999999993</v>
      </c>
      <c r="EZ657" s="616"/>
      <c r="FA657" s="616"/>
      <c r="FB657" s="616"/>
      <c r="FC657" s="616"/>
      <c r="FD657" s="616"/>
      <c r="FE657" s="616"/>
      <c r="FF657" s="616"/>
      <c r="FG657" s="616"/>
      <c r="FH657" s="616"/>
      <c r="FI657" s="616"/>
      <c r="FJ657" s="616"/>
    </row>
    <row r="658" spans="1:166" s="407" customFormat="1" ht="14.7" customHeight="1" x14ac:dyDescent="0.25">
      <c r="A658" s="310">
        <v>284</v>
      </c>
      <c r="B658" s="311" t="str">
        <f t="shared" si="1331"/>
        <v>Чай с лимоном</v>
      </c>
      <c r="C658" s="483">
        <f t="shared" si="1421"/>
        <v>3.03</v>
      </c>
      <c r="D658" s="888"/>
      <c r="E658" s="888"/>
      <c r="F658" s="888"/>
      <c r="G658" s="889"/>
      <c r="H658" s="680">
        <f t="shared" si="1338"/>
        <v>377</v>
      </c>
      <c r="I658" s="1209">
        <f t="shared" si="1332"/>
        <v>0</v>
      </c>
      <c r="J658" s="424">
        <f t="shared" ref="J658:AO658" si="1472">J288*J$372</f>
        <v>0</v>
      </c>
      <c r="K658" s="424">
        <f t="shared" si="1472"/>
        <v>0</v>
      </c>
      <c r="L658" s="424">
        <f t="shared" si="1472"/>
        <v>0</v>
      </c>
      <c r="M658" s="424">
        <f t="shared" si="1472"/>
        <v>0</v>
      </c>
      <c r="N658" s="424">
        <f t="shared" si="1472"/>
        <v>0</v>
      </c>
      <c r="O658" s="424">
        <f t="shared" si="1472"/>
        <v>0</v>
      </c>
      <c r="P658" s="424">
        <f t="shared" si="1472"/>
        <v>0</v>
      </c>
      <c r="Q658" s="424">
        <f t="shared" si="1472"/>
        <v>0</v>
      </c>
      <c r="R658" s="424">
        <f t="shared" si="1472"/>
        <v>0</v>
      </c>
      <c r="S658" s="424">
        <f t="shared" si="1472"/>
        <v>0</v>
      </c>
      <c r="T658" s="424">
        <f t="shared" si="1472"/>
        <v>0</v>
      </c>
      <c r="U658" s="424">
        <f t="shared" si="1472"/>
        <v>0</v>
      </c>
      <c r="V658" s="424">
        <f t="shared" si="1472"/>
        <v>0</v>
      </c>
      <c r="W658" s="424">
        <f t="shared" si="1472"/>
        <v>0</v>
      </c>
      <c r="X658" s="424">
        <f t="shared" si="1472"/>
        <v>0</v>
      </c>
      <c r="Y658" s="424">
        <f t="shared" si="1472"/>
        <v>0</v>
      </c>
      <c r="Z658" s="424">
        <f t="shared" si="1472"/>
        <v>0</v>
      </c>
      <c r="AA658" s="424">
        <f t="shared" si="1472"/>
        <v>0</v>
      </c>
      <c r="AB658" s="424">
        <f t="shared" si="1472"/>
        <v>0</v>
      </c>
      <c r="AC658" s="424">
        <f t="shared" si="1472"/>
        <v>0</v>
      </c>
      <c r="AD658" s="424">
        <f t="shared" si="1472"/>
        <v>0</v>
      </c>
      <c r="AE658" s="424">
        <f t="shared" si="1472"/>
        <v>0</v>
      </c>
      <c r="AF658" s="424">
        <f t="shared" si="1472"/>
        <v>0</v>
      </c>
      <c r="AG658" s="424">
        <f t="shared" si="1472"/>
        <v>0</v>
      </c>
      <c r="AH658" s="424">
        <f t="shared" si="1472"/>
        <v>0</v>
      </c>
      <c r="AI658" s="424">
        <f t="shared" si="1472"/>
        <v>0</v>
      </c>
      <c r="AJ658" s="424">
        <f t="shared" si="1472"/>
        <v>1.44</v>
      </c>
      <c r="AK658" s="424">
        <f t="shared" si="1472"/>
        <v>0</v>
      </c>
      <c r="AL658" s="424">
        <f t="shared" si="1472"/>
        <v>0</v>
      </c>
      <c r="AM658" s="424">
        <f t="shared" si="1472"/>
        <v>0</v>
      </c>
      <c r="AN658" s="424">
        <f t="shared" si="1472"/>
        <v>0</v>
      </c>
      <c r="AO658" s="424">
        <f t="shared" si="1472"/>
        <v>0</v>
      </c>
      <c r="AP658" s="424">
        <f t="shared" ref="AP658:BU658" si="1473">AP288*AP$372</f>
        <v>0</v>
      </c>
      <c r="AQ658" s="424">
        <f t="shared" si="1473"/>
        <v>0</v>
      </c>
      <c r="AR658" s="424">
        <f t="shared" si="1473"/>
        <v>0</v>
      </c>
      <c r="AS658" s="424">
        <f t="shared" si="1473"/>
        <v>0</v>
      </c>
      <c r="AT658" s="424">
        <f t="shared" si="1473"/>
        <v>0</v>
      </c>
      <c r="AU658" s="424">
        <f t="shared" si="1473"/>
        <v>0</v>
      </c>
      <c r="AV658" s="424">
        <f t="shared" si="1473"/>
        <v>0</v>
      </c>
      <c r="AW658" s="424">
        <f t="shared" si="1473"/>
        <v>0</v>
      </c>
      <c r="AX658" s="424">
        <f t="shared" si="1473"/>
        <v>0</v>
      </c>
      <c r="AY658" s="424">
        <f t="shared" si="1473"/>
        <v>0</v>
      </c>
      <c r="AZ658" s="424">
        <f t="shared" si="1473"/>
        <v>0</v>
      </c>
      <c r="BA658" s="424">
        <f t="shared" si="1473"/>
        <v>0</v>
      </c>
      <c r="BB658" s="424">
        <f t="shared" si="1473"/>
        <v>0</v>
      </c>
      <c r="BC658" s="424">
        <f t="shared" si="1473"/>
        <v>0</v>
      </c>
      <c r="BD658" s="424">
        <f t="shared" si="1473"/>
        <v>0</v>
      </c>
      <c r="BE658" s="424">
        <f t="shared" si="1473"/>
        <v>0</v>
      </c>
      <c r="BF658" s="424">
        <f t="shared" si="1473"/>
        <v>0</v>
      </c>
      <c r="BG658" s="424">
        <f t="shared" si="1473"/>
        <v>0</v>
      </c>
      <c r="BH658" s="424">
        <f t="shared" si="1473"/>
        <v>0</v>
      </c>
      <c r="BI658" s="424">
        <f t="shared" si="1473"/>
        <v>0</v>
      </c>
      <c r="BJ658" s="424">
        <f t="shared" si="1473"/>
        <v>0</v>
      </c>
      <c r="BK658" s="424">
        <f t="shared" si="1473"/>
        <v>0</v>
      </c>
      <c r="BL658" s="424">
        <f t="shared" si="1473"/>
        <v>0</v>
      </c>
      <c r="BM658" s="424">
        <f t="shared" si="1473"/>
        <v>0</v>
      </c>
      <c r="BN658" s="424">
        <f t="shared" si="1473"/>
        <v>0</v>
      </c>
      <c r="BO658" s="424">
        <f t="shared" si="1473"/>
        <v>0</v>
      </c>
      <c r="BP658" s="424">
        <f t="shared" si="1473"/>
        <v>0</v>
      </c>
      <c r="BQ658" s="424">
        <f t="shared" si="1473"/>
        <v>0</v>
      </c>
      <c r="BR658" s="424">
        <f t="shared" si="1473"/>
        <v>0</v>
      </c>
      <c r="BS658" s="424">
        <f t="shared" si="1473"/>
        <v>0</v>
      </c>
      <c r="BT658" s="424">
        <f t="shared" si="1473"/>
        <v>0</v>
      </c>
      <c r="BU658" s="424">
        <f t="shared" si="1473"/>
        <v>0</v>
      </c>
      <c r="BV658" s="424">
        <f t="shared" ref="BV658:DA658" si="1474">BV288*BV$372</f>
        <v>0</v>
      </c>
      <c r="BW658" s="424">
        <f t="shared" si="1474"/>
        <v>0</v>
      </c>
      <c r="BX658" s="424">
        <f t="shared" si="1474"/>
        <v>0</v>
      </c>
      <c r="BY658" s="424">
        <f t="shared" si="1474"/>
        <v>0</v>
      </c>
      <c r="BZ658" s="424">
        <f t="shared" si="1474"/>
        <v>0</v>
      </c>
      <c r="CA658" s="424">
        <f t="shared" si="1474"/>
        <v>0</v>
      </c>
      <c r="CB658" s="424">
        <f t="shared" si="1474"/>
        <v>0</v>
      </c>
      <c r="CC658" s="424">
        <f t="shared" si="1474"/>
        <v>0</v>
      </c>
      <c r="CD658" s="424">
        <f t="shared" si="1474"/>
        <v>0</v>
      </c>
      <c r="CE658" s="424">
        <f t="shared" si="1474"/>
        <v>0</v>
      </c>
      <c r="CF658" s="424">
        <f t="shared" si="1474"/>
        <v>0</v>
      </c>
      <c r="CG658" s="424">
        <f t="shared" si="1474"/>
        <v>0</v>
      </c>
      <c r="CH658" s="424">
        <f t="shared" si="1474"/>
        <v>0</v>
      </c>
      <c r="CI658" s="424">
        <f t="shared" si="1474"/>
        <v>0</v>
      </c>
      <c r="CJ658" s="424">
        <f t="shared" si="1474"/>
        <v>0</v>
      </c>
      <c r="CK658" s="424">
        <f t="shared" si="1474"/>
        <v>0</v>
      </c>
      <c r="CL658" s="424">
        <f t="shared" si="1474"/>
        <v>0</v>
      </c>
      <c r="CM658" s="424">
        <f t="shared" si="1474"/>
        <v>0</v>
      </c>
      <c r="CN658" s="424">
        <f t="shared" si="1474"/>
        <v>0</v>
      </c>
      <c r="CO658" s="424">
        <f t="shared" si="1474"/>
        <v>0</v>
      </c>
      <c r="CP658" s="424">
        <f t="shared" si="1474"/>
        <v>0</v>
      </c>
      <c r="CQ658" s="424">
        <f t="shared" si="1474"/>
        <v>0</v>
      </c>
      <c r="CR658" s="424">
        <f t="shared" si="1474"/>
        <v>0</v>
      </c>
      <c r="CS658" s="424">
        <f t="shared" si="1474"/>
        <v>0</v>
      </c>
      <c r="CT658" s="424">
        <f t="shared" si="1474"/>
        <v>0</v>
      </c>
      <c r="CU658" s="424">
        <f t="shared" si="1474"/>
        <v>0</v>
      </c>
      <c r="CV658" s="424">
        <f t="shared" si="1474"/>
        <v>0</v>
      </c>
      <c r="CW658" s="424">
        <f t="shared" si="1474"/>
        <v>0</v>
      </c>
      <c r="CX658" s="424">
        <f t="shared" si="1474"/>
        <v>0</v>
      </c>
      <c r="CY658" s="424">
        <f t="shared" si="1474"/>
        <v>0</v>
      </c>
      <c r="CZ658" s="424">
        <f t="shared" si="1474"/>
        <v>1.1399999999999999</v>
      </c>
      <c r="DA658" s="424">
        <f t="shared" si="1474"/>
        <v>0</v>
      </c>
      <c r="DB658" s="424">
        <f t="shared" ref="DB658:EG658" si="1475">DB288*DB$372</f>
        <v>0</v>
      </c>
      <c r="DC658" s="424">
        <f t="shared" si="1475"/>
        <v>0</v>
      </c>
      <c r="DD658" s="424">
        <f t="shared" si="1475"/>
        <v>0</v>
      </c>
      <c r="DE658" s="424">
        <f t="shared" si="1475"/>
        <v>0</v>
      </c>
      <c r="DF658" s="424">
        <f t="shared" si="1475"/>
        <v>0</v>
      </c>
      <c r="DG658" s="424">
        <f t="shared" si="1475"/>
        <v>0</v>
      </c>
      <c r="DH658" s="424">
        <f t="shared" si="1475"/>
        <v>0</v>
      </c>
      <c r="DI658" s="424">
        <f t="shared" si="1475"/>
        <v>0</v>
      </c>
      <c r="DJ658" s="424">
        <f t="shared" si="1475"/>
        <v>0</v>
      </c>
      <c r="DK658" s="424">
        <f t="shared" si="1475"/>
        <v>0</v>
      </c>
      <c r="DL658" s="424">
        <f t="shared" si="1475"/>
        <v>0</v>
      </c>
      <c r="DM658" s="424">
        <f t="shared" si="1475"/>
        <v>0</v>
      </c>
      <c r="DN658" s="424">
        <f t="shared" si="1475"/>
        <v>0</v>
      </c>
      <c r="DO658" s="424">
        <f t="shared" si="1475"/>
        <v>0</v>
      </c>
      <c r="DP658" s="424">
        <f t="shared" si="1475"/>
        <v>0</v>
      </c>
      <c r="DQ658" s="424">
        <f t="shared" si="1475"/>
        <v>0</v>
      </c>
      <c r="DR658" s="424">
        <f t="shared" si="1475"/>
        <v>0.45</v>
      </c>
      <c r="DS658" s="424">
        <f t="shared" si="1475"/>
        <v>0</v>
      </c>
      <c r="DT658" s="424">
        <f t="shared" si="1475"/>
        <v>0</v>
      </c>
      <c r="DU658" s="424">
        <f t="shared" si="1475"/>
        <v>0</v>
      </c>
      <c r="DV658" s="424">
        <f t="shared" si="1475"/>
        <v>0</v>
      </c>
      <c r="DW658" s="424">
        <f t="shared" si="1475"/>
        <v>0</v>
      </c>
      <c r="DX658" s="424">
        <f t="shared" si="1475"/>
        <v>0</v>
      </c>
      <c r="DY658" s="424">
        <f t="shared" si="1475"/>
        <v>0</v>
      </c>
      <c r="DZ658" s="424">
        <f t="shared" si="1475"/>
        <v>0</v>
      </c>
      <c r="EA658" s="424">
        <f t="shared" si="1475"/>
        <v>0</v>
      </c>
      <c r="EB658" s="424">
        <f t="shared" si="1475"/>
        <v>0</v>
      </c>
      <c r="EC658" s="424">
        <f t="shared" si="1475"/>
        <v>0</v>
      </c>
      <c r="ED658" s="424">
        <f t="shared" si="1475"/>
        <v>0</v>
      </c>
      <c r="EE658" s="424">
        <f t="shared" si="1475"/>
        <v>0</v>
      </c>
      <c r="EF658" s="424">
        <f t="shared" si="1475"/>
        <v>0</v>
      </c>
      <c r="EG658" s="424">
        <f t="shared" si="1475"/>
        <v>0</v>
      </c>
      <c r="EH658" s="424">
        <f t="shared" ref="EH658:EX658" si="1476">EH288*EH$372</f>
        <v>0</v>
      </c>
      <c r="EI658" s="424">
        <f t="shared" si="1476"/>
        <v>0</v>
      </c>
      <c r="EJ658" s="424">
        <f t="shared" si="1476"/>
        <v>0</v>
      </c>
      <c r="EK658" s="424">
        <f t="shared" si="1476"/>
        <v>0</v>
      </c>
      <c r="EL658" s="424">
        <f t="shared" si="1476"/>
        <v>0</v>
      </c>
      <c r="EM658" s="424">
        <f t="shared" si="1476"/>
        <v>0</v>
      </c>
      <c r="EN658" s="424">
        <f t="shared" si="1476"/>
        <v>0</v>
      </c>
      <c r="EO658" s="424">
        <f t="shared" si="1476"/>
        <v>0</v>
      </c>
      <c r="EP658" s="424">
        <f t="shared" si="1476"/>
        <v>0</v>
      </c>
      <c r="EQ658" s="424">
        <f t="shared" si="1476"/>
        <v>0</v>
      </c>
      <c r="ER658" s="424">
        <f t="shared" si="1476"/>
        <v>0</v>
      </c>
      <c r="ES658" s="424">
        <f t="shared" si="1476"/>
        <v>0</v>
      </c>
      <c r="ET658" s="424">
        <f t="shared" si="1476"/>
        <v>0</v>
      </c>
      <c r="EU658" s="424">
        <f t="shared" si="1476"/>
        <v>0</v>
      </c>
      <c r="EV658" s="424">
        <f t="shared" si="1476"/>
        <v>0</v>
      </c>
      <c r="EW658" s="424">
        <f t="shared" si="1476"/>
        <v>0</v>
      </c>
      <c r="EX658" s="424">
        <f t="shared" si="1476"/>
        <v>0</v>
      </c>
      <c r="EY658" s="425">
        <f t="shared" si="1420"/>
        <v>3.03</v>
      </c>
      <c r="EZ658" s="616"/>
      <c r="FA658" s="616"/>
      <c r="FB658" s="616"/>
      <c r="FC658" s="616"/>
      <c r="FD658" s="616"/>
      <c r="FE658" s="616"/>
      <c r="FF658" s="616"/>
      <c r="FG658" s="616"/>
      <c r="FH658" s="616"/>
      <c r="FI658" s="616"/>
      <c r="FJ658" s="616"/>
    </row>
    <row r="659" spans="1:166" s="407" customFormat="1" ht="14.7" customHeight="1" x14ac:dyDescent="0.25">
      <c r="A659" s="310">
        <v>285</v>
      </c>
      <c r="B659" s="311" t="str">
        <f t="shared" si="1331"/>
        <v>Чай с молоком</v>
      </c>
      <c r="C659" s="483">
        <f t="shared" si="1421"/>
        <v>5.67</v>
      </c>
      <c r="D659" s="888"/>
      <c r="E659" s="888"/>
      <c r="F659" s="888"/>
      <c r="G659" s="889"/>
      <c r="H659" s="680">
        <f t="shared" si="1338"/>
        <v>378</v>
      </c>
      <c r="I659" s="1209">
        <f t="shared" si="1332"/>
        <v>0</v>
      </c>
      <c r="J659" s="424">
        <f t="shared" ref="J659:AO659" si="1477">J289*J$372</f>
        <v>0</v>
      </c>
      <c r="K659" s="424">
        <f t="shared" si="1477"/>
        <v>0</v>
      </c>
      <c r="L659" s="424">
        <f t="shared" si="1477"/>
        <v>0</v>
      </c>
      <c r="M659" s="424">
        <f t="shared" si="1477"/>
        <v>0</v>
      </c>
      <c r="N659" s="424">
        <f t="shared" si="1477"/>
        <v>0</v>
      </c>
      <c r="O659" s="424">
        <f t="shared" si="1477"/>
        <v>0</v>
      </c>
      <c r="P659" s="424">
        <f t="shared" si="1477"/>
        <v>0</v>
      </c>
      <c r="Q659" s="424">
        <f t="shared" si="1477"/>
        <v>0</v>
      </c>
      <c r="R659" s="424">
        <f t="shared" si="1477"/>
        <v>0</v>
      </c>
      <c r="S659" s="424">
        <f t="shared" si="1477"/>
        <v>0</v>
      </c>
      <c r="T659" s="424">
        <f t="shared" si="1477"/>
        <v>0</v>
      </c>
      <c r="U659" s="424">
        <f t="shared" si="1477"/>
        <v>4.08</v>
      </c>
      <c r="V659" s="424">
        <f t="shared" si="1477"/>
        <v>0</v>
      </c>
      <c r="W659" s="424">
        <f t="shared" si="1477"/>
        <v>0</v>
      </c>
      <c r="X659" s="424">
        <f t="shared" si="1477"/>
        <v>0</v>
      </c>
      <c r="Y659" s="424">
        <f t="shared" si="1477"/>
        <v>0</v>
      </c>
      <c r="Z659" s="424">
        <f t="shared" si="1477"/>
        <v>0</v>
      </c>
      <c r="AA659" s="424">
        <f t="shared" si="1477"/>
        <v>0</v>
      </c>
      <c r="AB659" s="424">
        <f t="shared" si="1477"/>
        <v>0</v>
      </c>
      <c r="AC659" s="424">
        <f t="shared" si="1477"/>
        <v>0</v>
      </c>
      <c r="AD659" s="424">
        <f t="shared" si="1477"/>
        <v>0</v>
      </c>
      <c r="AE659" s="424">
        <f t="shared" si="1477"/>
        <v>0</v>
      </c>
      <c r="AF659" s="424">
        <f t="shared" si="1477"/>
        <v>0</v>
      </c>
      <c r="AG659" s="424">
        <f t="shared" si="1477"/>
        <v>0</v>
      </c>
      <c r="AH659" s="424">
        <f t="shared" si="1477"/>
        <v>0</v>
      </c>
      <c r="AI659" s="424">
        <f t="shared" si="1477"/>
        <v>0</v>
      </c>
      <c r="AJ659" s="424">
        <f t="shared" si="1477"/>
        <v>0</v>
      </c>
      <c r="AK659" s="424">
        <f t="shared" si="1477"/>
        <v>0</v>
      </c>
      <c r="AL659" s="424">
        <f t="shared" si="1477"/>
        <v>0</v>
      </c>
      <c r="AM659" s="424">
        <f t="shared" si="1477"/>
        <v>0</v>
      </c>
      <c r="AN659" s="424">
        <f t="shared" si="1477"/>
        <v>0</v>
      </c>
      <c r="AO659" s="424">
        <f t="shared" si="1477"/>
        <v>0</v>
      </c>
      <c r="AP659" s="424">
        <f t="shared" ref="AP659:BU659" si="1478">AP289*AP$372</f>
        <v>0</v>
      </c>
      <c r="AQ659" s="424">
        <f t="shared" si="1478"/>
        <v>0</v>
      </c>
      <c r="AR659" s="424">
        <f t="shared" si="1478"/>
        <v>0</v>
      </c>
      <c r="AS659" s="424">
        <f t="shared" si="1478"/>
        <v>0</v>
      </c>
      <c r="AT659" s="424">
        <f t="shared" si="1478"/>
        <v>0</v>
      </c>
      <c r="AU659" s="424">
        <f t="shared" si="1478"/>
        <v>0</v>
      </c>
      <c r="AV659" s="424">
        <f t="shared" si="1478"/>
        <v>0</v>
      </c>
      <c r="AW659" s="424">
        <f t="shared" si="1478"/>
        <v>0</v>
      </c>
      <c r="AX659" s="424">
        <f t="shared" si="1478"/>
        <v>0</v>
      </c>
      <c r="AY659" s="424">
        <f t="shared" si="1478"/>
        <v>0</v>
      </c>
      <c r="AZ659" s="424">
        <f t="shared" si="1478"/>
        <v>0</v>
      </c>
      <c r="BA659" s="424">
        <f t="shared" si="1478"/>
        <v>0</v>
      </c>
      <c r="BB659" s="424">
        <f t="shared" si="1478"/>
        <v>0</v>
      </c>
      <c r="BC659" s="424">
        <f t="shared" si="1478"/>
        <v>0</v>
      </c>
      <c r="BD659" s="424">
        <f t="shared" si="1478"/>
        <v>0</v>
      </c>
      <c r="BE659" s="424">
        <f t="shared" si="1478"/>
        <v>0</v>
      </c>
      <c r="BF659" s="424">
        <f t="shared" si="1478"/>
        <v>0</v>
      </c>
      <c r="BG659" s="424">
        <f t="shared" si="1478"/>
        <v>0</v>
      </c>
      <c r="BH659" s="424">
        <f t="shared" si="1478"/>
        <v>0</v>
      </c>
      <c r="BI659" s="424">
        <f t="shared" si="1478"/>
        <v>0</v>
      </c>
      <c r="BJ659" s="424">
        <f t="shared" si="1478"/>
        <v>0</v>
      </c>
      <c r="BK659" s="424">
        <f t="shared" si="1478"/>
        <v>0</v>
      </c>
      <c r="BL659" s="424">
        <f t="shared" si="1478"/>
        <v>0</v>
      </c>
      <c r="BM659" s="424">
        <f t="shared" si="1478"/>
        <v>0</v>
      </c>
      <c r="BN659" s="424">
        <f t="shared" si="1478"/>
        <v>0</v>
      </c>
      <c r="BO659" s="424">
        <f t="shared" si="1478"/>
        <v>0</v>
      </c>
      <c r="BP659" s="424">
        <f t="shared" si="1478"/>
        <v>0</v>
      </c>
      <c r="BQ659" s="424">
        <f t="shared" si="1478"/>
        <v>0</v>
      </c>
      <c r="BR659" s="424">
        <f t="shared" si="1478"/>
        <v>0</v>
      </c>
      <c r="BS659" s="424">
        <f t="shared" si="1478"/>
        <v>0</v>
      </c>
      <c r="BT659" s="424">
        <f t="shared" si="1478"/>
        <v>0</v>
      </c>
      <c r="BU659" s="424">
        <f t="shared" si="1478"/>
        <v>0</v>
      </c>
      <c r="BV659" s="424">
        <f t="shared" ref="BV659:DA659" si="1479">BV289*BV$372</f>
        <v>0</v>
      </c>
      <c r="BW659" s="424">
        <f t="shared" si="1479"/>
        <v>0</v>
      </c>
      <c r="BX659" s="424">
        <f t="shared" si="1479"/>
        <v>0</v>
      </c>
      <c r="BY659" s="424">
        <f t="shared" si="1479"/>
        <v>0</v>
      </c>
      <c r="BZ659" s="424">
        <f t="shared" si="1479"/>
        <v>0</v>
      </c>
      <c r="CA659" s="424">
        <f t="shared" si="1479"/>
        <v>0</v>
      </c>
      <c r="CB659" s="424">
        <f t="shared" si="1479"/>
        <v>0</v>
      </c>
      <c r="CC659" s="424">
        <f t="shared" si="1479"/>
        <v>0</v>
      </c>
      <c r="CD659" s="424">
        <f t="shared" si="1479"/>
        <v>0</v>
      </c>
      <c r="CE659" s="424">
        <f t="shared" si="1479"/>
        <v>0</v>
      </c>
      <c r="CF659" s="424">
        <f t="shared" si="1479"/>
        <v>0</v>
      </c>
      <c r="CG659" s="424">
        <f t="shared" si="1479"/>
        <v>0</v>
      </c>
      <c r="CH659" s="424">
        <f t="shared" si="1479"/>
        <v>0</v>
      </c>
      <c r="CI659" s="424">
        <f t="shared" si="1479"/>
        <v>0</v>
      </c>
      <c r="CJ659" s="424">
        <f t="shared" si="1479"/>
        <v>0</v>
      </c>
      <c r="CK659" s="424">
        <f t="shared" si="1479"/>
        <v>0</v>
      </c>
      <c r="CL659" s="424">
        <f t="shared" si="1479"/>
        <v>0</v>
      </c>
      <c r="CM659" s="424">
        <f t="shared" si="1479"/>
        <v>0</v>
      </c>
      <c r="CN659" s="424">
        <f t="shared" si="1479"/>
        <v>0</v>
      </c>
      <c r="CO659" s="424">
        <f t="shared" si="1479"/>
        <v>0</v>
      </c>
      <c r="CP659" s="424">
        <f t="shared" si="1479"/>
        <v>0</v>
      </c>
      <c r="CQ659" s="424">
        <f t="shared" si="1479"/>
        <v>0</v>
      </c>
      <c r="CR659" s="424">
        <f t="shared" si="1479"/>
        <v>0</v>
      </c>
      <c r="CS659" s="424">
        <f t="shared" si="1479"/>
        <v>0</v>
      </c>
      <c r="CT659" s="424">
        <f t="shared" si="1479"/>
        <v>0</v>
      </c>
      <c r="CU659" s="424">
        <f t="shared" si="1479"/>
        <v>0</v>
      </c>
      <c r="CV659" s="424">
        <f t="shared" si="1479"/>
        <v>0</v>
      </c>
      <c r="CW659" s="424">
        <f t="shared" si="1479"/>
        <v>0</v>
      </c>
      <c r="CX659" s="424">
        <f t="shared" si="1479"/>
        <v>0</v>
      </c>
      <c r="CY659" s="424">
        <f t="shared" si="1479"/>
        <v>0</v>
      </c>
      <c r="CZ659" s="424">
        <f t="shared" si="1479"/>
        <v>1.1399999999999999</v>
      </c>
      <c r="DA659" s="424">
        <f t="shared" si="1479"/>
        <v>0</v>
      </c>
      <c r="DB659" s="424">
        <f t="shared" ref="DB659:EG659" si="1480">DB289*DB$372</f>
        <v>0</v>
      </c>
      <c r="DC659" s="424">
        <f t="shared" si="1480"/>
        <v>0</v>
      </c>
      <c r="DD659" s="424">
        <f t="shared" si="1480"/>
        <v>0</v>
      </c>
      <c r="DE659" s="424">
        <f t="shared" si="1480"/>
        <v>0</v>
      </c>
      <c r="DF659" s="424">
        <f t="shared" si="1480"/>
        <v>0</v>
      </c>
      <c r="DG659" s="424">
        <f t="shared" si="1480"/>
        <v>0</v>
      </c>
      <c r="DH659" s="424">
        <f t="shared" si="1480"/>
        <v>0</v>
      </c>
      <c r="DI659" s="424">
        <f t="shared" si="1480"/>
        <v>0</v>
      </c>
      <c r="DJ659" s="424">
        <f t="shared" si="1480"/>
        <v>0</v>
      </c>
      <c r="DK659" s="424">
        <f t="shared" si="1480"/>
        <v>0</v>
      </c>
      <c r="DL659" s="424">
        <f t="shared" si="1480"/>
        <v>0</v>
      </c>
      <c r="DM659" s="424">
        <f t="shared" si="1480"/>
        <v>0</v>
      </c>
      <c r="DN659" s="424">
        <f t="shared" si="1480"/>
        <v>0</v>
      </c>
      <c r="DO659" s="424">
        <f t="shared" si="1480"/>
        <v>0</v>
      </c>
      <c r="DP659" s="424">
        <f t="shared" si="1480"/>
        <v>0</v>
      </c>
      <c r="DQ659" s="424">
        <f t="shared" si="1480"/>
        <v>0</v>
      </c>
      <c r="DR659" s="424">
        <f t="shared" si="1480"/>
        <v>0.45</v>
      </c>
      <c r="DS659" s="424">
        <f t="shared" si="1480"/>
        <v>0</v>
      </c>
      <c r="DT659" s="424">
        <f t="shared" si="1480"/>
        <v>0</v>
      </c>
      <c r="DU659" s="424">
        <f t="shared" si="1480"/>
        <v>0</v>
      </c>
      <c r="DV659" s="424">
        <f t="shared" si="1480"/>
        <v>0</v>
      </c>
      <c r="DW659" s="424">
        <f t="shared" si="1480"/>
        <v>0</v>
      </c>
      <c r="DX659" s="424">
        <f t="shared" si="1480"/>
        <v>0</v>
      </c>
      <c r="DY659" s="424">
        <f t="shared" si="1480"/>
        <v>0</v>
      </c>
      <c r="DZ659" s="424">
        <f t="shared" si="1480"/>
        <v>0</v>
      </c>
      <c r="EA659" s="424">
        <f t="shared" si="1480"/>
        <v>0</v>
      </c>
      <c r="EB659" s="424">
        <f t="shared" si="1480"/>
        <v>0</v>
      </c>
      <c r="EC659" s="424">
        <f t="shared" si="1480"/>
        <v>0</v>
      </c>
      <c r="ED659" s="424">
        <f t="shared" si="1480"/>
        <v>0</v>
      </c>
      <c r="EE659" s="424">
        <f t="shared" si="1480"/>
        <v>0</v>
      </c>
      <c r="EF659" s="424">
        <f t="shared" si="1480"/>
        <v>0</v>
      </c>
      <c r="EG659" s="424">
        <f t="shared" si="1480"/>
        <v>0</v>
      </c>
      <c r="EH659" s="424">
        <f t="shared" ref="EH659:EX659" si="1481">EH289*EH$372</f>
        <v>0</v>
      </c>
      <c r="EI659" s="424">
        <f t="shared" si="1481"/>
        <v>0</v>
      </c>
      <c r="EJ659" s="424">
        <f t="shared" si="1481"/>
        <v>0</v>
      </c>
      <c r="EK659" s="424">
        <f t="shared" si="1481"/>
        <v>0</v>
      </c>
      <c r="EL659" s="424">
        <f t="shared" si="1481"/>
        <v>0</v>
      </c>
      <c r="EM659" s="424">
        <f t="shared" si="1481"/>
        <v>0</v>
      </c>
      <c r="EN659" s="424">
        <f t="shared" si="1481"/>
        <v>0</v>
      </c>
      <c r="EO659" s="424">
        <f t="shared" si="1481"/>
        <v>0</v>
      </c>
      <c r="EP659" s="424">
        <f t="shared" si="1481"/>
        <v>0</v>
      </c>
      <c r="EQ659" s="424">
        <f t="shared" si="1481"/>
        <v>0</v>
      </c>
      <c r="ER659" s="424">
        <f t="shared" si="1481"/>
        <v>0</v>
      </c>
      <c r="ES659" s="424">
        <f t="shared" si="1481"/>
        <v>0</v>
      </c>
      <c r="ET659" s="424">
        <f t="shared" si="1481"/>
        <v>0</v>
      </c>
      <c r="EU659" s="424">
        <f t="shared" si="1481"/>
        <v>0</v>
      </c>
      <c r="EV659" s="424">
        <f t="shared" si="1481"/>
        <v>0</v>
      </c>
      <c r="EW659" s="424">
        <f t="shared" si="1481"/>
        <v>0</v>
      </c>
      <c r="EX659" s="424">
        <f t="shared" si="1481"/>
        <v>0</v>
      </c>
      <c r="EY659" s="425">
        <f t="shared" si="1420"/>
        <v>5.67</v>
      </c>
      <c r="EZ659" s="616"/>
      <c r="FA659" s="616"/>
      <c r="FB659" s="616"/>
      <c r="FC659" s="616"/>
      <c r="FD659" s="616"/>
      <c r="FE659" s="616"/>
      <c r="FF659" s="616"/>
      <c r="FG659" s="616"/>
      <c r="FH659" s="616"/>
      <c r="FI659" s="616"/>
      <c r="FJ659" s="616"/>
    </row>
    <row r="660" spans="1:166" ht="14.7" customHeight="1" x14ac:dyDescent="0.25">
      <c r="A660" s="310">
        <v>286</v>
      </c>
      <c r="B660" s="311" t="str">
        <f t="shared" si="1331"/>
        <v>Кофейный напиток с молоком</v>
      </c>
      <c r="C660" s="483">
        <f t="shared" si="1421"/>
        <v>11.7</v>
      </c>
      <c r="D660" s="888"/>
      <c r="E660" s="888"/>
      <c r="F660" s="888"/>
      <c r="G660" s="889"/>
      <c r="H660" s="680">
        <f t="shared" si="1338"/>
        <v>379</v>
      </c>
      <c r="I660" s="1209">
        <f t="shared" si="1332"/>
        <v>0</v>
      </c>
      <c r="J660" s="424">
        <f t="shared" ref="J660:AO660" si="1482">J290*J$372</f>
        <v>0</v>
      </c>
      <c r="K660" s="424">
        <f t="shared" si="1482"/>
        <v>0</v>
      </c>
      <c r="L660" s="424">
        <f t="shared" si="1482"/>
        <v>0</v>
      </c>
      <c r="M660" s="424">
        <f t="shared" si="1482"/>
        <v>0</v>
      </c>
      <c r="N660" s="424">
        <f t="shared" si="1482"/>
        <v>0</v>
      </c>
      <c r="O660" s="424">
        <f t="shared" si="1482"/>
        <v>0</v>
      </c>
      <c r="P660" s="424">
        <f t="shared" si="1482"/>
        <v>0</v>
      </c>
      <c r="Q660" s="424">
        <f t="shared" si="1482"/>
        <v>0</v>
      </c>
      <c r="R660" s="424">
        <f t="shared" si="1482"/>
        <v>0</v>
      </c>
      <c r="S660" s="424">
        <f t="shared" si="1482"/>
        <v>0</v>
      </c>
      <c r="T660" s="424">
        <f t="shared" si="1482"/>
        <v>0</v>
      </c>
      <c r="U660" s="424">
        <f t="shared" si="1482"/>
        <v>8</v>
      </c>
      <c r="V660" s="424">
        <f t="shared" si="1482"/>
        <v>0</v>
      </c>
      <c r="W660" s="424">
        <f t="shared" si="1482"/>
        <v>0</v>
      </c>
      <c r="X660" s="424">
        <f t="shared" si="1482"/>
        <v>0</v>
      </c>
      <c r="Y660" s="424">
        <f t="shared" si="1482"/>
        <v>0</v>
      </c>
      <c r="Z660" s="424">
        <f t="shared" si="1482"/>
        <v>0</v>
      </c>
      <c r="AA660" s="424">
        <f t="shared" si="1482"/>
        <v>0</v>
      </c>
      <c r="AB660" s="424">
        <f t="shared" si="1482"/>
        <v>0</v>
      </c>
      <c r="AC660" s="424">
        <f t="shared" si="1482"/>
        <v>0</v>
      </c>
      <c r="AD660" s="424">
        <f t="shared" si="1482"/>
        <v>0</v>
      </c>
      <c r="AE660" s="424">
        <f t="shared" si="1482"/>
        <v>0</v>
      </c>
      <c r="AF660" s="424">
        <f t="shared" si="1482"/>
        <v>0</v>
      </c>
      <c r="AG660" s="424">
        <f t="shared" si="1482"/>
        <v>0</v>
      </c>
      <c r="AH660" s="424">
        <f t="shared" si="1482"/>
        <v>0</v>
      </c>
      <c r="AI660" s="424">
        <f t="shared" si="1482"/>
        <v>0</v>
      </c>
      <c r="AJ660" s="424">
        <f t="shared" si="1482"/>
        <v>0</v>
      </c>
      <c r="AK660" s="424">
        <f t="shared" si="1482"/>
        <v>0</v>
      </c>
      <c r="AL660" s="424">
        <f t="shared" si="1482"/>
        <v>0</v>
      </c>
      <c r="AM660" s="424">
        <f t="shared" si="1482"/>
        <v>0</v>
      </c>
      <c r="AN660" s="424">
        <f t="shared" si="1482"/>
        <v>0</v>
      </c>
      <c r="AO660" s="424">
        <f t="shared" si="1482"/>
        <v>0</v>
      </c>
      <c r="AP660" s="424">
        <f t="shared" ref="AP660:BU660" si="1483">AP290*AP$372</f>
        <v>0</v>
      </c>
      <c r="AQ660" s="424">
        <f t="shared" si="1483"/>
        <v>0</v>
      </c>
      <c r="AR660" s="424">
        <f t="shared" si="1483"/>
        <v>0</v>
      </c>
      <c r="AS660" s="424">
        <f t="shared" si="1483"/>
        <v>0</v>
      </c>
      <c r="AT660" s="424">
        <f t="shared" si="1483"/>
        <v>0</v>
      </c>
      <c r="AU660" s="424">
        <f t="shared" si="1483"/>
        <v>0</v>
      </c>
      <c r="AV660" s="424">
        <f t="shared" si="1483"/>
        <v>0</v>
      </c>
      <c r="AW660" s="424">
        <f t="shared" si="1483"/>
        <v>0</v>
      </c>
      <c r="AX660" s="424">
        <f t="shared" si="1483"/>
        <v>0</v>
      </c>
      <c r="AY660" s="424">
        <f t="shared" si="1483"/>
        <v>0</v>
      </c>
      <c r="AZ660" s="424">
        <f t="shared" si="1483"/>
        <v>0</v>
      </c>
      <c r="BA660" s="424">
        <f t="shared" si="1483"/>
        <v>0</v>
      </c>
      <c r="BB660" s="424">
        <f t="shared" si="1483"/>
        <v>0</v>
      </c>
      <c r="BC660" s="424">
        <f t="shared" si="1483"/>
        <v>0</v>
      </c>
      <c r="BD660" s="424">
        <f t="shared" si="1483"/>
        <v>0</v>
      </c>
      <c r="BE660" s="424">
        <f t="shared" si="1483"/>
        <v>0</v>
      </c>
      <c r="BF660" s="424">
        <f t="shared" si="1483"/>
        <v>0</v>
      </c>
      <c r="BG660" s="424">
        <f t="shared" si="1483"/>
        <v>0</v>
      </c>
      <c r="BH660" s="424">
        <f t="shared" si="1483"/>
        <v>0</v>
      </c>
      <c r="BI660" s="424">
        <f t="shared" si="1483"/>
        <v>0</v>
      </c>
      <c r="BJ660" s="424">
        <f t="shared" si="1483"/>
        <v>0</v>
      </c>
      <c r="BK660" s="424">
        <f t="shared" si="1483"/>
        <v>0</v>
      </c>
      <c r="BL660" s="424">
        <f t="shared" si="1483"/>
        <v>0</v>
      </c>
      <c r="BM660" s="424">
        <f t="shared" si="1483"/>
        <v>0</v>
      </c>
      <c r="BN660" s="424">
        <f t="shared" si="1483"/>
        <v>0</v>
      </c>
      <c r="BO660" s="424">
        <f t="shared" si="1483"/>
        <v>0</v>
      </c>
      <c r="BP660" s="424">
        <f t="shared" si="1483"/>
        <v>0</v>
      </c>
      <c r="BQ660" s="424">
        <f t="shared" si="1483"/>
        <v>0</v>
      </c>
      <c r="BR660" s="424">
        <f t="shared" si="1483"/>
        <v>0</v>
      </c>
      <c r="BS660" s="424">
        <f t="shared" si="1483"/>
        <v>0</v>
      </c>
      <c r="BT660" s="424">
        <f t="shared" si="1483"/>
        <v>0</v>
      </c>
      <c r="BU660" s="424">
        <f t="shared" si="1483"/>
        <v>0</v>
      </c>
      <c r="BV660" s="424">
        <f t="shared" ref="BV660:DA660" si="1484">BV290*BV$372</f>
        <v>0</v>
      </c>
      <c r="BW660" s="424">
        <f t="shared" si="1484"/>
        <v>0</v>
      </c>
      <c r="BX660" s="424">
        <f t="shared" si="1484"/>
        <v>0</v>
      </c>
      <c r="BY660" s="424">
        <f t="shared" si="1484"/>
        <v>0</v>
      </c>
      <c r="BZ660" s="424">
        <f t="shared" si="1484"/>
        <v>0</v>
      </c>
      <c r="CA660" s="424">
        <f t="shared" si="1484"/>
        <v>0</v>
      </c>
      <c r="CB660" s="424">
        <f t="shared" si="1484"/>
        <v>0</v>
      </c>
      <c r="CC660" s="424">
        <f t="shared" si="1484"/>
        <v>0</v>
      </c>
      <c r="CD660" s="424">
        <f t="shared" si="1484"/>
        <v>0</v>
      </c>
      <c r="CE660" s="424">
        <f t="shared" si="1484"/>
        <v>0</v>
      </c>
      <c r="CF660" s="424">
        <f t="shared" si="1484"/>
        <v>0</v>
      </c>
      <c r="CG660" s="424">
        <f t="shared" si="1484"/>
        <v>0</v>
      </c>
      <c r="CH660" s="424">
        <f t="shared" si="1484"/>
        <v>0</v>
      </c>
      <c r="CI660" s="424">
        <f t="shared" si="1484"/>
        <v>0</v>
      </c>
      <c r="CJ660" s="424">
        <f t="shared" si="1484"/>
        <v>0</v>
      </c>
      <c r="CK660" s="424">
        <f t="shared" si="1484"/>
        <v>0</v>
      </c>
      <c r="CL660" s="424">
        <f t="shared" si="1484"/>
        <v>0</v>
      </c>
      <c r="CM660" s="424">
        <f t="shared" si="1484"/>
        <v>0</v>
      </c>
      <c r="CN660" s="424">
        <f t="shared" si="1484"/>
        <v>0</v>
      </c>
      <c r="CO660" s="424">
        <f t="shared" si="1484"/>
        <v>2.1800000000000002</v>
      </c>
      <c r="CP660" s="424">
        <f t="shared" si="1484"/>
        <v>0</v>
      </c>
      <c r="CQ660" s="424">
        <f t="shared" si="1484"/>
        <v>0</v>
      </c>
      <c r="CR660" s="424">
        <f t="shared" si="1484"/>
        <v>0</v>
      </c>
      <c r="CS660" s="424">
        <f t="shared" si="1484"/>
        <v>0</v>
      </c>
      <c r="CT660" s="424">
        <f t="shared" si="1484"/>
        <v>0</v>
      </c>
      <c r="CU660" s="424">
        <f t="shared" si="1484"/>
        <v>0</v>
      </c>
      <c r="CV660" s="424">
        <f t="shared" si="1484"/>
        <v>0</v>
      </c>
      <c r="CW660" s="424">
        <f t="shared" si="1484"/>
        <v>0</v>
      </c>
      <c r="CX660" s="424">
        <f t="shared" si="1484"/>
        <v>0</v>
      </c>
      <c r="CY660" s="424">
        <f t="shared" si="1484"/>
        <v>0</v>
      </c>
      <c r="CZ660" s="424">
        <f t="shared" si="1484"/>
        <v>1.52</v>
      </c>
      <c r="DA660" s="424">
        <f t="shared" si="1484"/>
        <v>0</v>
      </c>
      <c r="DB660" s="424">
        <f t="shared" ref="DB660:EG660" si="1485">DB290*DB$372</f>
        <v>0</v>
      </c>
      <c r="DC660" s="424">
        <f t="shared" si="1485"/>
        <v>0</v>
      </c>
      <c r="DD660" s="424">
        <f t="shared" si="1485"/>
        <v>0</v>
      </c>
      <c r="DE660" s="424">
        <f t="shared" si="1485"/>
        <v>0</v>
      </c>
      <c r="DF660" s="424">
        <f t="shared" si="1485"/>
        <v>0</v>
      </c>
      <c r="DG660" s="424">
        <f t="shared" si="1485"/>
        <v>0</v>
      </c>
      <c r="DH660" s="424">
        <f t="shared" si="1485"/>
        <v>0</v>
      </c>
      <c r="DI660" s="424">
        <f t="shared" si="1485"/>
        <v>0</v>
      </c>
      <c r="DJ660" s="424">
        <f t="shared" si="1485"/>
        <v>0</v>
      </c>
      <c r="DK660" s="424">
        <f t="shared" si="1485"/>
        <v>0</v>
      </c>
      <c r="DL660" s="424">
        <f t="shared" si="1485"/>
        <v>0</v>
      </c>
      <c r="DM660" s="424">
        <f t="shared" si="1485"/>
        <v>0</v>
      </c>
      <c r="DN660" s="424">
        <f t="shared" si="1485"/>
        <v>0</v>
      </c>
      <c r="DO660" s="424">
        <f t="shared" si="1485"/>
        <v>0</v>
      </c>
      <c r="DP660" s="424">
        <f t="shared" si="1485"/>
        <v>0</v>
      </c>
      <c r="DQ660" s="424">
        <f t="shared" si="1485"/>
        <v>0</v>
      </c>
      <c r="DR660" s="424">
        <f t="shared" si="1485"/>
        <v>0</v>
      </c>
      <c r="DS660" s="424">
        <f t="shared" si="1485"/>
        <v>0</v>
      </c>
      <c r="DT660" s="424">
        <f t="shared" si="1485"/>
        <v>0</v>
      </c>
      <c r="DU660" s="424">
        <f t="shared" si="1485"/>
        <v>0</v>
      </c>
      <c r="DV660" s="424">
        <f t="shared" si="1485"/>
        <v>0</v>
      </c>
      <c r="DW660" s="424">
        <f t="shared" si="1485"/>
        <v>0</v>
      </c>
      <c r="DX660" s="424">
        <f t="shared" si="1485"/>
        <v>0</v>
      </c>
      <c r="DY660" s="424">
        <f t="shared" si="1485"/>
        <v>0</v>
      </c>
      <c r="DZ660" s="424">
        <f t="shared" si="1485"/>
        <v>0</v>
      </c>
      <c r="EA660" s="424">
        <f t="shared" si="1485"/>
        <v>0</v>
      </c>
      <c r="EB660" s="424">
        <f t="shared" si="1485"/>
        <v>0</v>
      </c>
      <c r="EC660" s="424">
        <f t="shared" si="1485"/>
        <v>0</v>
      </c>
      <c r="ED660" s="424">
        <f t="shared" si="1485"/>
        <v>0</v>
      </c>
      <c r="EE660" s="424">
        <f t="shared" si="1485"/>
        <v>0</v>
      </c>
      <c r="EF660" s="424">
        <f t="shared" si="1485"/>
        <v>0</v>
      </c>
      <c r="EG660" s="424">
        <f t="shared" si="1485"/>
        <v>0</v>
      </c>
      <c r="EH660" s="424">
        <f t="shared" ref="EH660:EX660" si="1486">EH290*EH$372</f>
        <v>0</v>
      </c>
      <c r="EI660" s="424">
        <f t="shared" si="1486"/>
        <v>0</v>
      </c>
      <c r="EJ660" s="424">
        <f t="shared" si="1486"/>
        <v>0</v>
      </c>
      <c r="EK660" s="424">
        <f t="shared" si="1486"/>
        <v>0</v>
      </c>
      <c r="EL660" s="424">
        <f t="shared" si="1486"/>
        <v>0</v>
      </c>
      <c r="EM660" s="424">
        <f t="shared" si="1486"/>
        <v>0</v>
      </c>
      <c r="EN660" s="424">
        <f t="shared" si="1486"/>
        <v>0</v>
      </c>
      <c r="EO660" s="424">
        <f t="shared" si="1486"/>
        <v>0</v>
      </c>
      <c r="EP660" s="424">
        <f t="shared" si="1486"/>
        <v>0</v>
      </c>
      <c r="EQ660" s="424">
        <f t="shared" si="1486"/>
        <v>0</v>
      </c>
      <c r="ER660" s="424">
        <f t="shared" si="1486"/>
        <v>0</v>
      </c>
      <c r="ES660" s="424">
        <f t="shared" si="1486"/>
        <v>0</v>
      </c>
      <c r="ET660" s="424">
        <f t="shared" si="1486"/>
        <v>0</v>
      </c>
      <c r="EU660" s="424">
        <f t="shared" si="1486"/>
        <v>0</v>
      </c>
      <c r="EV660" s="424">
        <f t="shared" si="1486"/>
        <v>0</v>
      </c>
      <c r="EW660" s="424">
        <f t="shared" si="1486"/>
        <v>0</v>
      </c>
      <c r="EX660" s="424">
        <f t="shared" si="1486"/>
        <v>0</v>
      </c>
      <c r="EY660" s="425">
        <f t="shared" si="1420"/>
        <v>11.7</v>
      </c>
    </row>
    <row r="661" spans="1:166" ht="14.7" customHeight="1" x14ac:dyDescent="0.25">
      <c r="A661" s="310">
        <v>287</v>
      </c>
      <c r="B661" s="311" t="str">
        <f t="shared" si="1331"/>
        <v>Кофейный напиток с молоком сгущенным</v>
      </c>
      <c r="C661" s="483">
        <f t="shared" si="1421"/>
        <v>12.18</v>
      </c>
      <c r="D661" s="888"/>
      <c r="E661" s="888"/>
      <c r="F661" s="888"/>
      <c r="G661" s="889"/>
      <c r="H661" s="680">
        <f t="shared" si="1338"/>
        <v>380</v>
      </c>
      <c r="I661" s="1209">
        <f t="shared" si="1332"/>
        <v>0</v>
      </c>
      <c r="J661" s="424">
        <f t="shared" ref="J661:AO661" si="1487">J291*J$372</f>
        <v>0</v>
      </c>
      <c r="K661" s="424">
        <f t="shared" si="1487"/>
        <v>0</v>
      </c>
      <c r="L661" s="424">
        <f t="shared" si="1487"/>
        <v>0</v>
      </c>
      <c r="M661" s="424">
        <f t="shared" si="1487"/>
        <v>0</v>
      </c>
      <c r="N661" s="424">
        <f t="shared" si="1487"/>
        <v>0</v>
      </c>
      <c r="O661" s="424">
        <f t="shared" si="1487"/>
        <v>0</v>
      </c>
      <c r="P661" s="424">
        <f t="shared" si="1487"/>
        <v>0</v>
      </c>
      <c r="Q661" s="424">
        <f t="shared" si="1487"/>
        <v>0</v>
      </c>
      <c r="R661" s="424">
        <f t="shared" si="1487"/>
        <v>0</v>
      </c>
      <c r="S661" s="424">
        <f t="shared" si="1487"/>
        <v>0</v>
      </c>
      <c r="T661" s="424">
        <f t="shared" si="1487"/>
        <v>0</v>
      </c>
      <c r="U661" s="424">
        <f t="shared" si="1487"/>
        <v>0</v>
      </c>
      <c r="V661" s="424">
        <f t="shared" si="1487"/>
        <v>0</v>
      </c>
      <c r="W661" s="424">
        <f t="shared" si="1487"/>
        <v>0</v>
      </c>
      <c r="X661" s="424">
        <f t="shared" si="1487"/>
        <v>0</v>
      </c>
      <c r="Y661" s="424">
        <f t="shared" si="1487"/>
        <v>0</v>
      </c>
      <c r="Z661" s="424">
        <f t="shared" si="1487"/>
        <v>10</v>
      </c>
      <c r="AA661" s="424">
        <f t="shared" si="1487"/>
        <v>0</v>
      </c>
      <c r="AB661" s="424">
        <f t="shared" si="1487"/>
        <v>0</v>
      </c>
      <c r="AC661" s="424">
        <f t="shared" si="1487"/>
        <v>0</v>
      </c>
      <c r="AD661" s="424">
        <f t="shared" si="1487"/>
        <v>0</v>
      </c>
      <c r="AE661" s="424">
        <f t="shared" si="1487"/>
        <v>0</v>
      </c>
      <c r="AF661" s="424">
        <f t="shared" si="1487"/>
        <v>0</v>
      </c>
      <c r="AG661" s="424">
        <f t="shared" si="1487"/>
        <v>0</v>
      </c>
      <c r="AH661" s="424">
        <f t="shared" si="1487"/>
        <v>0</v>
      </c>
      <c r="AI661" s="424">
        <f t="shared" si="1487"/>
        <v>0</v>
      </c>
      <c r="AJ661" s="424">
        <f t="shared" si="1487"/>
        <v>0</v>
      </c>
      <c r="AK661" s="424">
        <f t="shared" si="1487"/>
        <v>0</v>
      </c>
      <c r="AL661" s="424">
        <f t="shared" si="1487"/>
        <v>0</v>
      </c>
      <c r="AM661" s="424">
        <f t="shared" si="1487"/>
        <v>0</v>
      </c>
      <c r="AN661" s="424">
        <f t="shared" si="1487"/>
        <v>0</v>
      </c>
      <c r="AO661" s="424">
        <f t="shared" si="1487"/>
        <v>0</v>
      </c>
      <c r="AP661" s="424">
        <f t="shared" ref="AP661:BU661" si="1488">AP291*AP$372</f>
        <v>0</v>
      </c>
      <c r="AQ661" s="424">
        <f t="shared" si="1488"/>
        <v>0</v>
      </c>
      <c r="AR661" s="424">
        <f t="shared" si="1488"/>
        <v>0</v>
      </c>
      <c r="AS661" s="424">
        <f t="shared" si="1488"/>
        <v>0</v>
      </c>
      <c r="AT661" s="424">
        <f t="shared" si="1488"/>
        <v>0</v>
      </c>
      <c r="AU661" s="424">
        <f t="shared" si="1488"/>
        <v>0</v>
      </c>
      <c r="AV661" s="424">
        <f t="shared" si="1488"/>
        <v>0</v>
      </c>
      <c r="AW661" s="424">
        <f t="shared" si="1488"/>
        <v>0</v>
      </c>
      <c r="AX661" s="424">
        <f t="shared" si="1488"/>
        <v>0</v>
      </c>
      <c r="AY661" s="424">
        <f t="shared" si="1488"/>
        <v>0</v>
      </c>
      <c r="AZ661" s="424">
        <f t="shared" si="1488"/>
        <v>0</v>
      </c>
      <c r="BA661" s="424">
        <f t="shared" si="1488"/>
        <v>0</v>
      </c>
      <c r="BB661" s="424">
        <f t="shared" si="1488"/>
        <v>0</v>
      </c>
      <c r="BC661" s="424">
        <f t="shared" si="1488"/>
        <v>0</v>
      </c>
      <c r="BD661" s="424">
        <f t="shared" si="1488"/>
        <v>0</v>
      </c>
      <c r="BE661" s="424">
        <f t="shared" si="1488"/>
        <v>0</v>
      </c>
      <c r="BF661" s="424">
        <f t="shared" si="1488"/>
        <v>0</v>
      </c>
      <c r="BG661" s="424">
        <f t="shared" si="1488"/>
        <v>0</v>
      </c>
      <c r="BH661" s="424">
        <f t="shared" si="1488"/>
        <v>0</v>
      </c>
      <c r="BI661" s="424">
        <f t="shared" si="1488"/>
        <v>0</v>
      </c>
      <c r="BJ661" s="424">
        <f t="shared" si="1488"/>
        <v>0</v>
      </c>
      <c r="BK661" s="424">
        <f t="shared" si="1488"/>
        <v>0</v>
      </c>
      <c r="BL661" s="424">
        <f t="shared" si="1488"/>
        <v>0</v>
      </c>
      <c r="BM661" s="424">
        <f t="shared" si="1488"/>
        <v>0</v>
      </c>
      <c r="BN661" s="424">
        <f t="shared" si="1488"/>
        <v>0</v>
      </c>
      <c r="BO661" s="424">
        <f t="shared" si="1488"/>
        <v>0</v>
      </c>
      <c r="BP661" s="424">
        <f t="shared" si="1488"/>
        <v>0</v>
      </c>
      <c r="BQ661" s="424">
        <f t="shared" si="1488"/>
        <v>0</v>
      </c>
      <c r="BR661" s="424">
        <f t="shared" si="1488"/>
        <v>0</v>
      </c>
      <c r="BS661" s="424">
        <f t="shared" si="1488"/>
        <v>0</v>
      </c>
      <c r="BT661" s="424">
        <f t="shared" si="1488"/>
        <v>0</v>
      </c>
      <c r="BU661" s="424">
        <f t="shared" si="1488"/>
        <v>0</v>
      </c>
      <c r="BV661" s="424">
        <f t="shared" ref="BV661:DA661" si="1489">BV291*BV$372</f>
        <v>0</v>
      </c>
      <c r="BW661" s="424">
        <f t="shared" si="1489"/>
        <v>0</v>
      </c>
      <c r="BX661" s="424">
        <f t="shared" si="1489"/>
        <v>0</v>
      </c>
      <c r="BY661" s="424">
        <f t="shared" si="1489"/>
        <v>0</v>
      </c>
      <c r="BZ661" s="424">
        <f t="shared" si="1489"/>
        <v>0</v>
      </c>
      <c r="CA661" s="424">
        <f t="shared" si="1489"/>
        <v>0</v>
      </c>
      <c r="CB661" s="424">
        <f t="shared" si="1489"/>
        <v>0</v>
      </c>
      <c r="CC661" s="424">
        <f t="shared" si="1489"/>
        <v>0</v>
      </c>
      <c r="CD661" s="424">
        <f t="shared" si="1489"/>
        <v>0</v>
      </c>
      <c r="CE661" s="424">
        <f t="shared" si="1489"/>
        <v>0</v>
      </c>
      <c r="CF661" s="424">
        <f t="shared" si="1489"/>
        <v>0</v>
      </c>
      <c r="CG661" s="424">
        <f t="shared" si="1489"/>
        <v>0</v>
      </c>
      <c r="CH661" s="424">
        <f t="shared" si="1489"/>
        <v>0</v>
      </c>
      <c r="CI661" s="424">
        <f t="shared" si="1489"/>
        <v>0</v>
      </c>
      <c r="CJ661" s="424">
        <f t="shared" si="1489"/>
        <v>0</v>
      </c>
      <c r="CK661" s="424">
        <f t="shared" si="1489"/>
        <v>0</v>
      </c>
      <c r="CL661" s="424">
        <f t="shared" si="1489"/>
        <v>0</v>
      </c>
      <c r="CM661" s="424">
        <f t="shared" si="1489"/>
        <v>0</v>
      </c>
      <c r="CN661" s="424">
        <f t="shared" si="1489"/>
        <v>0</v>
      </c>
      <c r="CO661" s="424">
        <f t="shared" si="1489"/>
        <v>2.1800000000000002</v>
      </c>
      <c r="CP661" s="424">
        <f t="shared" si="1489"/>
        <v>0</v>
      </c>
      <c r="CQ661" s="424">
        <f t="shared" si="1489"/>
        <v>0</v>
      </c>
      <c r="CR661" s="424">
        <f t="shared" si="1489"/>
        <v>0</v>
      </c>
      <c r="CS661" s="424">
        <f t="shared" si="1489"/>
        <v>0</v>
      </c>
      <c r="CT661" s="424">
        <f t="shared" si="1489"/>
        <v>0</v>
      </c>
      <c r="CU661" s="424">
        <f t="shared" si="1489"/>
        <v>0</v>
      </c>
      <c r="CV661" s="424">
        <f t="shared" si="1489"/>
        <v>0</v>
      </c>
      <c r="CW661" s="424">
        <f t="shared" si="1489"/>
        <v>0</v>
      </c>
      <c r="CX661" s="424">
        <f t="shared" si="1489"/>
        <v>0</v>
      </c>
      <c r="CY661" s="424">
        <f t="shared" si="1489"/>
        <v>0</v>
      </c>
      <c r="CZ661" s="424">
        <f t="shared" si="1489"/>
        <v>0</v>
      </c>
      <c r="DA661" s="424">
        <f t="shared" si="1489"/>
        <v>0</v>
      </c>
      <c r="DB661" s="424">
        <f t="shared" ref="DB661:EG661" si="1490">DB291*DB$372</f>
        <v>0</v>
      </c>
      <c r="DC661" s="424">
        <f t="shared" si="1490"/>
        <v>0</v>
      </c>
      <c r="DD661" s="424">
        <f t="shared" si="1490"/>
        <v>0</v>
      </c>
      <c r="DE661" s="424">
        <f t="shared" si="1490"/>
        <v>0</v>
      </c>
      <c r="DF661" s="424">
        <f t="shared" si="1490"/>
        <v>0</v>
      </c>
      <c r="DG661" s="424">
        <f t="shared" si="1490"/>
        <v>0</v>
      </c>
      <c r="DH661" s="424">
        <f t="shared" si="1490"/>
        <v>0</v>
      </c>
      <c r="DI661" s="424">
        <f t="shared" si="1490"/>
        <v>0</v>
      </c>
      <c r="DJ661" s="424">
        <f t="shared" si="1490"/>
        <v>0</v>
      </c>
      <c r="DK661" s="424">
        <f t="shared" si="1490"/>
        <v>0</v>
      </c>
      <c r="DL661" s="424">
        <f t="shared" si="1490"/>
        <v>0</v>
      </c>
      <c r="DM661" s="424">
        <f t="shared" si="1490"/>
        <v>0</v>
      </c>
      <c r="DN661" s="424">
        <f t="shared" si="1490"/>
        <v>0</v>
      </c>
      <c r="DO661" s="424">
        <f t="shared" si="1490"/>
        <v>0</v>
      </c>
      <c r="DP661" s="424">
        <f t="shared" si="1490"/>
        <v>0</v>
      </c>
      <c r="DQ661" s="424">
        <f t="shared" si="1490"/>
        <v>0</v>
      </c>
      <c r="DR661" s="424">
        <f t="shared" si="1490"/>
        <v>0</v>
      </c>
      <c r="DS661" s="424">
        <f t="shared" si="1490"/>
        <v>0</v>
      </c>
      <c r="DT661" s="424">
        <f t="shared" si="1490"/>
        <v>0</v>
      </c>
      <c r="DU661" s="424">
        <f t="shared" si="1490"/>
        <v>0</v>
      </c>
      <c r="DV661" s="424">
        <f t="shared" si="1490"/>
        <v>0</v>
      </c>
      <c r="DW661" s="424">
        <f t="shared" si="1490"/>
        <v>0</v>
      </c>
      <c r="DX661" s="424">
        <f t="shared" si="1490"/>
        <v>0</v>
      </c>
      <c r="DY661" s="424">
        <f t="shared" si="1490"/>
        <v>0</v>
      </c>
      <c r="DZ661" s="424">
        <f t="shared" si="1490"/>
        <v>0</v>
      </c>
      <c r="EA661" s="424">
        <f t="shared" si="1490"/>
        <v>0</v>
      </c>
      <c r="EB661" s="424">
        <f t="shared" si="1490"/>
        <v>0</v>
      </c>
      <c r="EC661" s="424">
        <f t="shared" si="1490"/>
        <v>0</v>
      </c>
      <c r="ED661" s="424">
        <f t="shared" si="1490"/>
        <v>0</v>
      </c>
      <c r="EE661" s="424">
        <f t="shared" si="1490"/>
        <v>0</v>
      </c>
      <c r="EF661" s="424">
        <f t="shared" si="1490"/>
        <v>0</v>
      </c>
      <c r="EG661" s="424">
        <f t="shared" si="1490"/>
        <v>0</v>
      </c>
      <c r="EH661" s="424">
        <f t="shared" ref="EH661:EX661" si="1491">EH291*EH$372</f>
        <v>0</v>
      </c>
      <c r="EI661" s="424">
        <f t="shared" si="1491"/>
        <v>0</v>
      </c>
      <c r="EJ661" s="424">
        <f t="shared" si="1491"/>
        <v>0</v>
      </c>
      <c r="EK661" s="424">
        <f t="shared" si="1491"/>
        <v>0</v>
      </c>
      <c r="EL661" s="424">
        <f t="shared" si="1491"/>
        <v>0</v>
      </c>
      <c r="EM661" s="424">
        <f t="shared" si="1491"/>
        <v>0</v>
      </c>
      <c r="EN661" s="424">
        <f t="shared" si="1491"/>
        <v>0</v>
      </c>
      <c r="EO661" s="424">
        <f t="shared" si="1491"/>
        <v>0</v>
      </c>
      <c r="EP661" s="424">
        <f t="shared" si="1491"/>
        <v>0</v>
      </c>
      <c r="EQ661" s="424">
        <f t="shared" si="1491"/>
        <v>0</v>
      </c>
      <c r="ER661" s="424">
        <f t="shared" si="1491"/>
        <v>0</v>
      </c>
      <c r="ES661" s="424">
        <f t="shared" si="1491"/>
        <v>0</v>
      </c>
      <c r="ET661" s="424">
        <f t="shared" si="1491"/>
        <v>0</v>
      </c>
      <c r="EU661" s="424">
        <f t="shared" si="1491"/>
        <v>0</v>
      </c>
      <c r="EV661" s="424">
        <f t="shared" si="1491"/>
        <v>0</v>
      </c>
      <c r="EW661" s="424">
        <f t="shared" si="1491"/>
        <v>0</v>
      </c>
      <c r="EX661" s="424">
        <f t="shared" si="1491"/>
        <v>0</v>
      </c>
      <c r="EY661" s="425">
        <f t="shared" si="1420"/>
        <v>12.18</v>
      </c>
    </row>
    <row r="662" spans="1:166" s="564" customFormat="1" ht="14.7" customHeight="1" x14ac:dyDescent="0.25">
      <c r="A662" s="310">
        <v>288</v>
      </c>
      <c r="B662" s="311" t="str">
        <f t="shared" si="1331"/>
        <v>Какао с молоком</v>
      </c>
      <c r="C662" s="483">
        <f t="shared" si="1421"/>
        <v>12.02</v>
      </c>
      <c r="D662" s="888"/>
      <c r="E662" s="888"/>
      <c r="F662" s="888"/>
      <c r="G662" s="889"/>
      <c r="H662" s="680">
        <f t="shared" si="1338"/>
        <v>382</v>
      </c>
      <c r="I662" s="1209">
        <f t="shared" si="1332"/>
        <v>0</v>
      </c>
      <c r="J662" s="424">
        <f t="shared" ref="J662:AO662" si="1492">J292*J$372</f>
        <v>0</v>
      </c>
      <c r="K662" s="424">
        <f t="shared" si="1492"/>
        <v>0</v>
      </c>
      <c r="L662" s="424">
        <f t="shared" si="1492"/>
        <v>0</v>
      </c>
      <c r="M662" s="424">
        <f t="shared" si="1492"/>
        <v>0</v>
      </c>
      <c r="N662" s="424">
        <f t="shared" si="1492"/>
        <v>0</v>
      </c>
      <c r="O662" s="424">
        <f t="shared" si="1492"/>
        <v>0</v>
      </c>
      <c r="P662" s="424">
        <f t="shared" si="1492"/>
        <v>0</v>
      </c>
      <c r="Q662" s="424">
        <f t="shared" si="1492"/>
        <v>0</v>
      </c>
      <c r="R662" s="424">
        <f t="shared" si="1492"/>
        <v>0</v>
      </c>
      <c r="S662" s="424">
        <f t="shared" si="1492"/>
        <v>0</v>
      </c>
      <c r="T662" s="424">
        <f t="shared" si="1492"/>
        <v>0</v>
      </c>
      <c r="U662" s="424">
        <f t="shared" si="1492"/>
        <v>8</v>
      </c>
      <c r="V662" s="424">
        <f t="shared" si="1492"/>
        <v>0</v>
      </c>
      <c r="W662" s="424">
        <f t="shared" si="1492"/>
        <v>0</v>
      </c>
      <c r="X662" s="424">
        <f t="shared" si="1492"/>
        <v>0</v>
      </c>
      <c r="Y662" s="424">
        <f t="shared" si="1492"/>
        <v>0</v>
      </c>
      <c r="Z662" s="424">
        <f t="shared" si="1492"/>
        <v>0</v>
      </c>
      <c r="AA662" s="424">
        <f t="shared" si="1492"/>
        <v>0</v>
      </c>
      <c r="AB662" s="424">
        <f t="shared" si="1492"/>
        <v>0</v>
      </c>
      <c r="AC662" s="424">
        <f t="shared" si="1492"/>
        <v>0</v>
      </c>
      <c r="AD662" s="424">
        <f t="shared" si="1492"/>
        <v>0</v>
      </c>
      <c r="AE662" s="424">
        <f t="shared" si="1492"/>
        <v>0</v>
      </c>
      <c r="AF662" s="424">
        <f t="shared" si="1492"/>
        <v>0</v>
      </c>
      <c r="AG662" s="424">
        <f t="shared" si="1492"/>
        <v>0</v>
      </c>
      <c r="AH662" s="424">
        <f t="shared" si="1492"/>
        <v>0</v>
      </c>
      <c r="AI662" s="424">
        <f t="shared" si="1492"/>
        <v>0</v>
      </c>
      <c r="AJ662" s="424">
        <f t="shared" si="1492"/>
        <v>0</v>
      </c>
      <c r="AK662" s="424">
        <f t="shared" si="1492"/>
        <v>0</v>
      </c>
      <c r="AL662" s="424">
        <f t="shared" si="1492"/>
        <v>0</v>
      </c>
      <c r="AM662" s="424">
        <f t="shared" si="1492"/>
        <v>0</v>
      </c>
      <c r="AN662" s="424">
        <f t="shared" si="1492"/>
        <v>0</v>
      </c>
      <c r="AO662" s="424">
        <f t="shared" si="1492"/>
        <v>0</v>
      </c>
      <c r="AP662" s="424">
        <f t="shared" ref="AP662:BU662" si="1493">AP292*AP$372</f>
        <v>0</v>
      </c>
      <c r="AQ662" s="424">
        <f t="shared" si="1493"/>
        <v>0</v>
      </c>
      <c r="AR662" s="424">
        <f t="shared" si="1493"/>
        <v>0</v>
      </c>
      <c r="AS662" s="424">
        <f t="shared" si="1493"/>
        <v>0</v>
      </c>
      <c r="AT662" s="424">
        <f t="shared" si="1493"/>
        <v>0</v>
      </c>
      <c r="AU662" s="424">
        <f t="shared" si="1493"/>
        <v>0</v>
      </c>
      <c r="AV662" s="424">
        <f t="shared" si="1493"/>
        <v>0</v>
      </c>
      <c r="AW662" s="424">
        <f t="shared" si="1493"/>
        <v>0</v>
      </c>
      <c r="AX662" s="424">
        <f t="shared" si="1493"/>
        <v>0</v>
      </c>
      <c r="AY662" s="424">
        <f t="shared" si="1493"/>
        <v>0</v>
      </c>
      <c r="AZ662" s="424">
        <f t="shared" si="1493"/>
        <v>0</v>
      </c>
      <c r="BA662" s="424">
        <f t="shared" si="1493"/>
        <v>0</v>
      </c>
      <c r="BB662" s="424">
        <f t="shared" si="1493"/>
        <v>0</v>
      </c>
      <c r="BC662" s="424">
        <f t="shared" si="1493"/>
        <v>0</v>
      </c>
      <c r="BD662" s="424">
        <f t="shared" si="1493"/>
        <v>0</v>
      </c>
      <c r="BE662" s="424">
        <f t="shared" si="1493"/>
        <v>0</v>
      </c>
      <c r="BF662" s="424">
        <f t="shared" si="1493"/>
        <v>0</v>
      </c>
      <c r="BG662" s="424">
        <f t="shared" si="1493"/>
        <v>0</v>
      </c>
      <c r="BH662" s="424">
        <f t="shared" si="1493"/>
        <v>0</v>
      </c>
      <c r="BI662" s="424">
        <f t="shared" si="1493"/>
        <v>0</v>
      </c>
      <c r="BJ662" s="424">
        <f t="shared" si="1493"/>
        <v>0</v>
      </c>
      <c r="BK662" s="424">
        <f t="shared" si="1493"/>
        <v>0</v>
      </c>
      <c r="BL662" s="424">
        <f t="shared" si="1493"/>
        <v>0</v>
      </c>
      <c r="BM662" s="424">
        <f t="shared" si="1493"/>
        <v>0</v>
      </c>
      <c r="BN662" s="424">
        <f t="shared" si="1493"/>
        <v>0</v>
      </c>
      <c r="BO662" s="424">
        <f t="shared" si="1493"/>
        <v>0</v>
      </c>
      <c r="BP662" s="424">
        <f t="shared" si="1493"/>
        <v>0</v>
      </c>
      <c r="BQ662" s="424">
        <f t="shared" si="1493"/>
        <v>0</v>
      </c>
      <c r="BR662" s="424">
        <f t="shared" si="1493"/>
        <v>0</v>
      </c>
      <c r="BS662" s="424">
        <f t="shared" si="1493"/>
        <v>0</v>
      </c>
      <c r="BT662" s="424">
        <f t="shared" si="1493"/>
        <v>0</v>
      </c>
      <c r="BU662" s="424">
        <f t="shared" si="1493"/>
        <v>0</v>
      </c>
      <c r="BV662" s="424">
        <f t="shared" ref="BV662:DA662" si="1494">BV292*BV$372</f>
        <v>0</v>
      </c>
      <c r="BW662" s="424">
        <f t="shared" si="1494"/>
        <v>0</v>
      </c>
      <c r="BX662" s="424">
        <f t="shared" si="1494"/>
        <v>0</v>
      </c>
      <c r="BY662" s="424">
        <f t="shared" si="1494"/>
        <v>0</v>
      </c>
      <c r="BZ662" s="424">
        <f t="shared" si="1494"/>
        <v>0</v>
      </c>
      <c r="CA662" s="424">
        <f t="shared" si="1494"/>
        <v>0</v>
      </c>
      <c r="CB662" s="424">
        <f t="shared" si="1494"/>
        <v>0</v>
      </c>
      <c r="CC662" s="424">
        <f t="shared" si="1494"/>
        <v>0</v>
      </c>
      <c r="CD662" s="424">
        <f t="shared" si="1494"/>
        <v>0</v>
      </c>
      <c r="CE662" s="424">
        <f t="shared" si="1494"/>
        <v>0</v>
      </c>
      <c r="CF662" s="424">
        <f t="shared" si="1494"/>
        <v>0</v>
      </c>
      <c r="CG662" s="424">
        <f t="shared" si="1494"/>
        <v>0</v>
      </c>
      <c r="CH662" s="424">
        <f t="shared" si="1494"/>
        <v>0</v>
      </c>
      <c r="CI662" s="424">
        <f t="shared" si="1494"/>
        <v>0</v>
      </c>
      <c r="CJ662" s="424">
        <f t="shared" si="1494"/>
        <v>0</v>
      </c>
      <c r="CK662" s="424">
        <f t="shared" si="1494"/>
        <v>0</v>
      </c>
      <c r="CL662" s="424">
        <f t="shared" si="1494"/>
        <v>0</v>
      </c>
      <c r="CM662" s="424">
        <f t="shared" si="1494"/>
        <v>0</v>
      </c>
      <c r="CN662" s="424">
        <f t="shared" si="1494"/>
        <v>2.5</v>
      </c>
      <c r="CO662" s="424">
        <f t="shared" si="1494"/>
        <v>0</v>
      </c>
      <c r="CP662" s="424">
        <f t="shared" si="1494"/>
        <v>0</v>
      </c>
      <c r="CQ662" s="424">
        <f t="shared" si="1494"/>
        <v>0</v>
      </c>
      <c r="CR662" s="424">
        <f t="shared" si="1494"/>
        <v>0</v>
      </c>
      <c r="CS662" s="424">
        <f t="shared" si="1494"/>
        <v>0</v>
      </c>
      <c r="CT662" s="424">
        <f t="shared" si="1494"/>
        <v>0</v>
      </c>
      <c r="CU662" s="424">
        <f t="shared" si="1494"/>
        <v>0</v>
      </c>
      <c r="CV662" s="424">
        <f t="shared" si="1494"/>
        <v>0</v>
      </c>
      <c r="CW662" s="424">
        <f t="shared" si="1494"/>
        <v>0</v>
      </c>
      <c r="CX662" s="424">
        <f t="shared" si="1494"/>
        <v>0</v>
      </c>
      <c r="CY662" s="424">
        <f t="shared" si="1494"/>
        <v>0</v>
      </c>
      <c r="CZ662" s="424">
        <f t="shared" si="1494"/>
        <v>1.52</v>
      </c>
      <c r="DA662" s="424">
        <f t="shared" si="1494"/>
        <v>0</v>
      </c>
      <c r="DB662" s="424">
        <f t="shared" ref="DB662:EG662" si="1495">DB292*DB$372</f>
        <v>0</v>
      </c>
      <c r="DC662" s="424">
        <f t="shared" si="1495"/>
        <v>0</v>
      </c>
      <c r="DD662" s="424">
        <f t="shared" si="1495"/>
        <v>0</v>
      </c>
      <c r="DE662" s="424">
        <f t="shared" si="1495"/>
        <v>0</v>
      </c>
      <c r="DF662" s="424">
        <f t="shared" si="1495"/>
        <v>0</v>
      </c>
      <c r="DG662" s="424">
        <f t="shared" si="1495"/>
        <v>0</v>
      </c>
      <c r="DH662" s="424">
        <f t="shared" si="1495"/>
        <v>0</v>
      </c>
      <c r="DI662" s="424">
        <f t="shared" si="1495"/>
        <v>0</v>
      </c>
      <c r="DJ662" s="424">
        <f t="shared" si="1495"/>
        <v>0</v>
      </c>
      <c r="DK662" s="424">
        <f t="shared" si="1495"/>
        <v>0</v>
      </c>
      <c r="DL662" s="424">
        <f t="shared" si="1495"/>
        <v>0</v>
      </c>
      <c r="DM662" s="424">
        <f t="shared" si="1495"/>
        <v>0</v>
      </c>
      <c r="DN662" s="424">
        <f t="shared" si="1495"/>
        <v>0</v>
      </c>
      <c r="DO662" s="424">
        <f t="shared" si="1495"/>
        <v>0</v>
      </c>
      <c r="DP662" s="424">
        <f t="shared" si="1495"/>
        <v>0</v>
      </c>
      <c r="DQ662" s="424">
        <f t="shared" si="1495"/>
        <v>0</v>
      </c>
      <c r="DR662" s="424">
        <f t="shared" si="1495"/>
        <v>0</v>
      </c>
      <c r="DS662" s="424">
        <f t="shared" si="1495"/>
        <v>0</v>
      </c>
      <c r="DT662" s="424">
        <f t="shared" si="1495"/>
        <v>0</v>
      </c>
      <c r="DU662" s="424">
        <f t="shared" si="1495"/>
        <v>0</v>
      </c>
      <c r="DV662" s="424">
        <f t="shared" si="1495"/>
        <v>0</v>
      </c>
      <c r="DW662" s="424">
        <f t="shared" si="1495"/>
        <v>0</v>
      </c>
      <c r="DX662" s="424">
        <f t="shared" si="1495"/>
        <v>0</v>
      </c>
      <c r="DY662" s="424">
        <f t="shared" si="1495"/>
        <v>0</v>
      </c>
      <c r="DZ662" s="424">
        <f t="shared" si="1495"/>
        <v>0</v>
      </c>
      <c r="EA662" s="424">
        <f t="shared" si="1495"/>
        <v>0</v>
      </c>
      <c r="EB662" s="424">
        <f t="shared" si="1495"/>
        <v>0</v>
      </c>
      <c r="EC662" s="424">
        <f t="shared" si="1495"/>
        <v>0</v>
      </c>
      <c r="ED662" s="424">
        <f t="shared" si="1495"/>
        <v>0</v>
      </c>
      <c r="EE662" s="424">
        <f t="shared" si="1495"/>
        <v>0</v>
      </c>
      <c r="EF662" s="424">
        <f t="shared" si="1495"/>
        <v>0</v>
      </c>
      <c r="EG662" s="424">
        <f t="shared" si="1495"/>
        <v>0</v>
      </c>
      <c r="EH662" s="424">
        <f t="shared" ref="EH662:EX662" si="1496">EH292*EH$372</f>
        <v>0</v>
      </c>
      <c r="EI662" s="424">
        <f t="shared" si="1496"/>
        <v>0</v>
      </c>
      <c r="EJ662" s="424">
        <f t="shared" si="1496"/>
        <v>0</v>
      </c>
      <c r="EK662" s="424">
        <f t="shared" si="1496"/>
        <v>0</v>
      </c>
      <c r="EL662" s="424">
        <f t="shared" si="1496"/>
        <v>0</v>
      </c>
      <c r="EM662" s="424">
        <f t="shared" si="1496"/>
        <v>0</v>
      </c>
      <c r="EN662" s="424">
        <f t="shared" si="1496"/>
        <v>0</v>
      </c>
      <c r="EO662" s="424">
        <f t="shared" si="1496"/>
        <v>0</v>
      </c>
      <c r="EP662" s="424">
        <f t="shared" si="1496"/>
        <v>0</v>
      </c>
      <c r="EQ662" s="424">
        <f t="shared" si="1496"/>
        <v>0</v>
      </c>
      <c r="ER662" s="424">
        <f t="shared" si="1496"/>
        <v>0</v>
      </c>
      <c r="ES662" s="424">
        <f t="shared" si="1496"/>
        <v>0</v>
      </c>
      <c r="ET662" s="424">
        <f t="shared" si="1496"/>
        <v>0</v>
      </c>
      <c r="EU662" s="424">
        <f t="shared" si="1496"/>
        <v>0</v>
      </c>
      <c r="EV662" s="424">
        <f t="shared" si="1496"/>
        <v>0</v>
      </c>
      <c r="EW662" s="424">
        <f t="shared" si="1496"/>
        <v>0</v>
      </c>
      <c r="EX662" s="424">
        <f t="shared" si="1496"/>
        <v>0</v>
      </c>
      <c r="EY662" s="425">
        <f t="shared" si="1420"/>
        <v>12.02</v>
      </c>
      <c r="EZ662" s="616"/>
      <c r="FA662" s="616"/>
      <c r="FB662" s="616"/>
      <c r="FC662" s="616"/>
      <c r="FD662" s="616"/>
      <c r="FE662" s="616"/>
      <c r="FF662" s="616"/>
      <c r="FG662" s="616"/>
      <c r="FH662" s="616"/>
      <c r="FI662" s="616"/>
      <c r="FJ662" s="616"/>
    </row>
    <row r="663" spans="1:166" ht="14.7" customHeight="1" x14ac:dyDescent="0.25">
      <c r="A663" s="310">
        <v>289</v>
      </c>
      <c r="B663" s="311" t="str">
        <f t="shared" si="1331"/>
        <v>Какао с молоком сгущенным</v>
      </c>
      <c r="C663" s="483">
        <f t="shared" si="1421"/>
        <v>12.23</v>
      </c>
      <c r="D663" s="888"/>
      <c r="E663" s="888"/>
      <c r="F663" s="888"/>
      <c r="G663" s="889"/>
      <c r="H663" s="680">
        <f t="shared" si="1338"/>
        <v>383</v>
      </c>
      <c r="I663" s="1209">
        <f t="shared" si="1332"/>
        <v>0</v>
      </c>
      <c r="J663" s="424">
        <f t="shared" ref="J663:AO663" si="1497">J293*J$372</f>
        <v>0</v>
      </c>
      <c r="K663" s="424">
        <f t="shared" si="1497"/>
        <v>0</v>
      </c>
      <c r="L663" s="424">
        <f t="shared" si="1497"/>
        <v>0</v>
      </c>
      <c r="M663" s="424">
        <f t="shared" si="1497"/>
        <v>0</v>
      </c>
      <c r="N663" s="424">
        <f t="shared" si="1497"/>
        <v>0</v>
      </c>
      <c r="O663" s="424">
        <f t="shared" si="1497"/>
        <v>0</v>
      </c>
      <c r="P663" s="424">
        <f t="shared" si="1497"/>
        <v>0</v>
      </c>
      <c r="Q663" s="424">
        <f t="shared" si="1497"/>
        <v>0</v>
      </c>
      <c r="R663" s="424">
        <f t="shared" si="1497"/>
        <v>0</v>
      </c>
      <c r="S663" s="424">
        <f t="shared" si="1497"/>
        <v>0</v>
      </c>
      <c r="T663" s="424">
        <f t="shared" si="1497"/>
        <v>0</v>
      </c>
      <c r="U663" s="424">
        <f t="shared" si="1497"/>
        <v>0</v>
      </c>
      <c r="V663" s="424">
        <f t="shared" si="1497"/>
        <v>0</v>
      </c>
      <c r="W663" s="424">
        <f t="shared" si="1497"/>
        <v>0</v>
      </c>
      <c r="X663" s="424">
        <f t="shared" si="1497"/>
        <v>0</v>
      </c>
      <c r="Y663" s="424">
        <f t="shared" si="1497"/>
        <v>0</v>
      </c>
      <c r="Z663" s="424">
        <f t="shared" si="1497"/>
        <v>9.5</v>
      </c>
      <c r="AA663" s="424">
        <f t="shared" si="1497"/>
        <v>0</v>
      </c>
      <c r="AB663" s="424">
        <f t="shared" si="1497"/>
        <v>0</v>
      </c>
      <c r="AC663" s="424">
        <f t="shared" si="1497"/>
        <v>0</v>
      </c>
      <c r="AD663" s="424">
        <f t="shared" si="1497"/>
        <v>0</v>
      </c>
      <c r="AE663" s="424">
        <f t="shared" si="1497"/>
        <v>0</v>
      </c>
      <c r="AF663" s="424">
        <f t="shared" si="1497"/>
        <v>0</v>
      </c>
      <c r="AG663" s="424">
        <f t="shared" si="1497"/>
        <v>0</v>
      </c>
      <c r="AH663" s="424">
        <f t="shared" si="1497"/>
        <v>0</v>
      </c>
      <c r="AI663" s="424">
        <f t="shared" si="1497"/>
        <v>0</v>
      </c>
      <c r="AJ663" s="424">
        <f t="shared" si="1497"/>
        <v>0</v>
      </c>
      <c r="AK663" s="424">
        <f t="shared" si="1497"/>
        <v>0</v>
      </c>
      <c r="AL663" s="424">
        <f t="shared" si="1497"/>
        <v>0</v>
      </c>
      <c r="AM663" s="424">
        <f t="shared" si="1497"/>
        <v>0</v>
      </c>
      <c r="AN663" s="424">
        <f t="shared" si="1497"/>
        <v>0</v>
      </c>
      <c r="AO663" s="424">
        <f t="shared" si="1497"/>
        <v>0</v>
      </c>
      <c r="AP663" s="424">
        <f t="shared" ref="AP663:BU663" si="1498">AP293*AP$372</f>
        <v>0</v>
      </c>
      <c r="AQ663" s="424">
        <f t="shared" si="1498"/>
        <v>0</v>
      </c>
      <c r="AR663" s="424">
        <f t="shared" si="1498"/>
        <v>0</v>
      </c>
      <c r="AS663" s="424">
        <f t="shared" si="1498"/>
        <v>0</v>
      </c>
      <c r="AT663" s="424">
        <f t="shared" si="1498"/>
        <v>0</v>
      </c>
      <c r="AU663" s="424">
        <f t="shared" si="1498"/>
        <v>0</v>
      </c>
      <c r="AV663" s="424">
        <f t="shared" si="1498"/>
        <v>0</v>
      </c>
      <c r="AW663" s="424">
        <f t="shared" si="1498"/>
        <v>0</v>
      </c>
      <c r="AX663" s="424">
        <f t="shared" si="1498"/>
        <v>0</v>
      </c>
      <c r="AY663" s="424">
        <f t="shared" si="1498"/>
        <v>0</v>
      </c>
      <c r="AZ663" s="424">
        <f t="shared" si="1498"/>
        <v>0</v>
      </c>
      <c r="BA663" s="424">
        <f t="shared" si="1498"/>
        <v>0</v>
      </c>
      <c r="BB663" s="424">
        <f t="shared" si="1498"/>
        <v>0</v>
      </c>
      <c r="BC663" s="424">
        <f t="shared" si="1498"/>
        <v>0</v>
      </c>
      <c r="BD663" s="424">
        <f t="shared" si="1498"/>
        <v>0</v>
      </c>
      <c r="BE663" s="424">
        <f t="shared" si="1498"/>
        <v>0</v>
      </c>
      <c r="BF663" s="424">
        <f t="shared" si="1498"/>
        <v>0</v>
      </c>
      <c r="BG663" s="424">
        <f t="shared" si="1498"/>
        <v>0</v>
      </c>
      <c r="BH663" s="424">
        <f t="shared" si="1498"/>
        <v>0</v>
      </c>
      <c r="BI663" s="424">
        <f t="shared" si="1498"/>
        <v>0</v>
      </c>
      <c r="BJ663" s="424">
        <f t="shared" si="1498"/>
        <v>0</v>
      </c>
      <c r="BK663" s="424">
        <f t="shared" si="1498"/>
        <v>0</v>
      </c>
      <c r="BL663" s="424">
        <f t="shared" si="1498"/>
        <v>0</v>
      </c>
      <c r="BM663" s="424">
        <f t="shared" si="1498"/>
        <v>0</v>
      </c>
      <c r="BN663" s="424">
        <f t="shared" si="1498"/>
        <v>0</v>
      </c>
      <c r="BO663" s="424">
        <f t="shared" si="1498"/>
        <v>0</v>
      </c>
      <c r="BP663" s="424">
        <f t="shared" si="1498"/>
        <v>0</v>
      </c>
      <c r="BQ663" s="424">
        <f t="shared" si="1498"/>
        <v>0</v>
      </c>
      <c r="BR663" s="424">
        <f t="shared" si="1498"/>
        <v>0</v>
      </c>
      <c r="BS663" s="424">
        <f t="shared" si="1498"/>
        <v>0</v>
      </c>
      <c r="BT663" s="424">
        <f t="shared" si="1498"/>
        <v>0</v>
      </c>
      <c r="BU663" s="424">
        <f t="shared" si="1498"/>
        <v>0</v>
      </c>
      <c r="BV663" s="424">
        <f t="shared" ref="BV663:DA663" si="1499">BV293*BV$372</f>
        <v>0</v>
      </c>
      <c r="BW663" s="424">
        <f t="shared" si="1499"/>
        <v>0</v>
      </c>
      <c r="BX663" s="424">
        <f t="shared" si="1499"/>
        <v>0</v>
      </c>
      <c r="BY663" s="424">
        <f t="shared" si="1499"/>
        <v>0</v>
      </c>
      <c r="BZ663" s="424">
        <f t="shared" si="1499"/>
        <v>0</v>
      </c>
      <c r="CA663" s="424">
        <f t="shared" si="1499"/>
        <v>0</v>
      </c>
      <c r="CB663" s="424">
        <f t="shared" si="1499"/>
        <v>0</v>
      </c>
      <c r="CC663" s="424">
        <f t="shared" si="1499"/>
        <v>0</v>
      </c>
      <c r="CD663" s="424">
        <f t="shared" si="1499"/>
        <v>0</v>
      </c>
      <c r="CE663" s="424">
        <f t="shared" si="1499"/>
        <v>0</v>
      </c>
      <c r="CF663" s="424">
        <f t="shared" si="1499"/>
        <v>0</v>
      </c>
      <c r="CG663" s="424">
        <f t="shared" si="1499"/>
        <v>0</v>
      </c>
      <c r="CH663" s="424">
        <f t="shared" si="1499"/>
        <v>0</v>
      </c>
      <c r="CI663" s="424">
        <f t="shared" si="1499"/>
        <v>0</v>
      </c>
      <c r="CJ663" s="424">
        <f t="shared" si="1499"/>
        <v>0</v>
      </c>
      <c r="CK663" s="424">
        <f t="shared" si="1499"/>
        <v>0</v>
      </c>
      <c r="CL663" s="424">
        <f t="shared" si="1499"/>
        <v>0</v>
      </c>
      <c r="CM663" s="424">
        <f t="shared" si="1499"/>
        <v>0</v>
      </c>
      <c r="CN663" s="424">
        <f t="shared" si="1499"/>
        <v>2.5</v>
      </c>
      <c r="CO663" s="424">
        <f t="shared" si="1499"/>
        <v>0</v>
      </c>
      <c r="CP663" s="424">
        <f t="shared" si="1499"/>
        <v>0</v>
      </c>
      <c r="CQ663" s="424">
        <f t="shared" si="1499"/>
        <v>0</v>
      </c>
      <c r="CR663" s="424">
        <f t="shared" si="1499"/>
        <v>0</v>
      </c>
      <c r="CS663" s="424">
        <f t="shared" si="1499"/>
        <v>0</v>
      </c>
      <c r="CT663" s="424">
        <f t="shared" si="1499"/>
        <v>0</v>
      </c>
      <c r="CU663" s="424">
        <f t="shared" si="1499"/>
        <v>0</v>
      </c>
      <c r="CV663" s="424">
        <f t="shared" si="1499"/>
        <v>0</v>
      </c>
      <c r="CW663" s="424">
        <f t="shared" si="1499"/>
        <v>0</v>
      </c>
      <c r="CX663" s="424">
        <f t="shared" si="1499"/>
        <v>0</v>
      </c>
      <c r="CY663" s="424">
        <f t="shared" si="1499"/>
        <v>0</v>
      </c>
      <c r="CZ663" s="424">
        <f t="shared" si="1499"/>
        <v>0.23</v>
      </c>
      <c r="DA663" s="424">
        <f t="shared" si="1499"/>
        <v>0</v>
      </c>
      <c r="DB663" s="424">
        <f t="shared" ref="DB663:EG663" si="1500">DB293*DB$372</f>
        <v>0</v>
      </c>
      <c r="DC663" s="424">
        <f t="shared" si="1500"/>
        <v>0</v>
      </c>
      <c r="DD663" s="424">
        <f t="shared" si="1500"/>
        <v>0</v>
      </c>
      <c r="DE663" s="424">
        <f t="shared" si="1500"/>
        <v>0</v>
      </c>
      <c r="DF663" s="424">
        <f t="shared" si="1500"/>
        <v>0</v>
      </c>
      <c r="DG663" s="424">
        <f t="shared" si="1500"/>
        <v>0</v>
      </c>
      <c r="DH663" s="424">
        <f t="shared" si="1500"/>
        <v>0</v>
      </c>
      <c r="DI663" s="424">
        <f t="shared" si="1500"/>
        <v>0</v>
      </c>
      <c r="DJ663" s="424">
        <f t="shared" si="1500"/>
        <v>0</v>
      </c>
      <c r="DK663" s="424">
        <f t="shared" si="1500"/>
        <v>0</v>
      </c>
      <c r="DL663" s="424">
        <f t="shared" si="1500"/>
        <v>0</v>
      </c>
      <c r="DM663" s="424">
        <f t="shared" si="1500"/>
        <v>0</v>
      </c>
      <c r="DN663" s="424">
        <f t="shared" si="1500"/>
        <v>0</v>
      </c>
      <c r="DO663" s="424">
        <f t="shared" si="1500"/>
        <v>0</v>
      </c>
      <c r="DP663" s="424">
        <f t="shared" si="1500"/>
        <v>0</v>
      </c>
      <c r="DQ663" s="424">
        <f t="shared" si="1500"/>
        <v>0</v>
      </c>
      <c r="DR663" s="424">
        <f t="shared" si="1500"/>
        <v>0</v>
      </c>
      <c r="DS663" s="424">
        <f t="shared" si="1500"/>
        <v>0</v>
      </c>
      <c r="DT663" s="424">
        <f t="shared" si="1500"/>
        <v>0</v>
      </c>
      <c r="DU663" s="424">
        <f t="shared" si="1500"/>
        <v>0</v>
      </c>
      <c r="DV663" s="424">
        <f t="shared" si="1500"/>
        <v>0</v>
      </c>
      <c r="DW663" s="424">
        <f t="shared" si="1500"/>
        <v>0</v>
      </c>
      <c r="DX663" s="424">
        <f t="shared" si="1500"/>
        <v>0</v>
      </c>
      <c r="DY663" s="424">
        <f t="shared" si="1500"/>
        <v>0</v>
      </c>
      <c r="DZ663" s="424">
        <f t="shared" si="1500"/>
        <v>0</v>
      </c>
      <c r="EA663" s="424">
        <f t="shared" si="1500"/>
        <v>0</v>
      </c>
      <c r="EB663" s="424">
        <f t="shared" si="1500"/>
        <v>0</v>
      </c>
      <c r="EC663" s="424">
        <f t="shared" si="1500"/>
        <v>0</v>
      </c>
      <c r="ED663" s="424">
        <f t="shared" si="1500"/>
        <v>0</v>
      </c>
      <c r="EE663" s="424">
        <f t="shared" si="1500"/>
        <v>0</v>
      </c>
      <c r="EF663" s="424">
        <f t="shared" si="1500"/>
        <v>0</v>
      </c>
      <c r="EG663" s="424">
        <f t="shared" si="1500"/>
        <v>0</v>
      </c>
      <c r="EH663" s="424">
        <f t="shared" ref="EH663:EX663" si="1501">EH293*EH$372</f>
        <v>0</v>
      </c>
      <c r="EI663" s="424">
        <f t="shared" si="1501"/>
        <v>0</v>
      </c>
      <c r="EJ663" s="424">
        <f t="shared" si="1501"/>
        <v>0</v>
      </c>
      <c r="EK663" s="424">
        <f t="shared" si="1501"/>
        <v>0</v>
      </c>
      <c r="EL663" s="424">
        <f t="shared" si="1501"/>
        <v>0</v>
      </c>
      <c r="EM663" s="424">
        <f t="shared" si="1501"/>
        <v>0</v>
      </c>
      <c r="EN663" s="424">
        <f t="shared" si="1501"/>
        <v>0</v>
      </c>
      <c r="EO663" s="424">
        <f t="shared" si="1501"/>
        <v>0</v>
      </c>
      <c r="EP663" s="424">
        <f t="shared" si="1501"/>
        <v>0</v>
      </c>
      <c r="EQ663" s="424">
        <f t="shared" si="1501"/>
        <v>0</v>
      </c>
      <c r="ER663" s="424">
        <f t="shared" si="1501"/>
        <v>0</v>
      </c>
      <c r="ES663" s="424">
        <f t="shared" si="1501"/>
        <v>0</v>
      </c>
      <c r="ET663" s="424">
        <f t="shared" si="1501"/>
        <v>0</v>
      </c>
      <c r="EU663" s="424">
        <f t="shared" si="1501"/>
        <v>0</v>
      </c>
      <c r="EV663" s="424">
        <f t="shared" si="1501"/>
        <v>0</v>
      </c>
      <c r="EW663" s="424">
        <f t="shared" si="1501"/>
        <v>0</v>
      </c>
      <c r="EX663" s="424">
        <f t="shared" si="1501"/>
        <v>0</v>
      </c>
      <c r="EY663" s="425">
        <f t="shared" si="1420"/>
        <v>12.23</v>
      </c>
    </row>
    <row r="664" spans="1:166" ht="14.7" customHeight="1" x14ac:dyDescent="0.25">
      <c r="A664" s="310">
        <v>290</v>
      </c>
      <c r="B664" s="311" t="str">
        <f t="shared" si="1331"/>
        <v>Молоко кипяченое</v>
      </c>
      <c r="C664" s="483">
        <f t="shared" si="1421"/>
        <v>16.88</v>
      </c>
      <c r="D664" s="888"/>
      <c r="E664" s="888"/>
      <c r="F664" s="888"/>
      <c r="G664" s="889"/>
      <c r="H664" s="680">
        <f t="shared" si="1338"/>
        <v>385</v>
      </c>
      <c r="I664" s="1209">
        <f t="shared" si="1332"/>
        <v>0</v>
      </c>
      <c r="J664" s="424">
        <f t="shared" ref="J664:AO664" si="1502">J294*J$372</f>
        <v>0</v>
      </c>
      <c r="K664" s="424">
        <f t="shared" si="1502"/>
        <v>0</v>
      </c>
      <c r="L664" s="424">
        <f t="shared" si="1502"/>
        <v>0</v>
      </c>
      <c r="M664" s="424">
        <f t="shared" si="1502"/>
        <v>0</v>
      </c>
      <c r="N664" s="424">
        <f t="shared" si="1502"/>
        <v>0</v>
      </c>
      <c r="O664" s="424">
        <f t="shared" si="1502"/>
        <v>0</v>
      </c>
      <c r="P664" s="424">
        <f t="shared" si="1502"/>
        <v>0</v>
      </c>
      <c r="Q664" s="424">
        <f t="shared" si="1502"/>
        <v>0</v>
      </c>
      <c r="R664" s="424">
        <f t="shared" si="1502"/>
        <v>0</v>
      </c>
      <c r="S664" s="424">
        <f t="shared" si="1502"/>
        <v>0</v>
      </c>
      <c r="T664" s="424">
        <f t="shared" si="1502"/>
        <v>0</v>
      </c>
      <c r="U664" s="424">
        <f t="shared" si="1502"/>
        <v>16.88</v>
      </c>
      <c r="V664" s="424">
        <f t="shared" si="1502"/>
        <v>0</v>
      </c>
      <c r="W664" s="424">
        <f t="shared" si="1502"/>
        <v>0</v>
      </c>
      <c r="X664" s="424">
        <f t="shared" si="1502"/>
        <v>0</v>
      </c>
      <c r="Y664" s="424">
        <f t="shared" si="1502"/>
        <v>0</v>
      </c>
      <c r="Z664" s="424">
        <f t="shared" si="1502"/>
        <v>0</v>
      </c>
      <c r="AA664" s="424">
        <f t="shared" si="1502"/>
        <v>0</v>
      </c>
      <c r="AB664" s="424">
        <f t="shared" si="1502"/>
        <v>0</v>
      </c>
      <c r="AC664" s="424">
        <f t="shared" si="1502"/>
        <v>0</v>
      </c>
      <c r="AD664" s="424">
        <f t="shared" si="1502"/>
        <v>0</v>
      </c>
      <c r="AE664" s="424">
        <f t="shared" si="1502"/>
        <v>0</v>
      </c>
      <c r="AF664" s="424">
        <f t="shared" si="1502"/>
        <v>0</v>
      </c>
      <c r="AG664" s="424">
        <f t="shared" si="1502"/>
        <v>0</v>
      </c>
      <c r="AH664" s="424">
        <f t="shared" si="1502"/>
        <v>0</v>
      </c>
      <c r="AI664" s="424">
        <f t="shared" si="1502"/>
        <v>0</v>
      </c>
      <c r="AJ664" s="424">
        <f t="shared" si="1502"/>
        <v>0</v>
      </c>
      <c r="AK664" s="424">
        <f t="shared" si="1502"/>
        <v>0</v>
      </c>
      <c r="AL664" s="424">
        <f t="shared" si="1502"/>
        <v>0</v>
      </c>
      <c r="AM664" s="424">
        <f t="shared" si="1502"/>
        <v>0</v>
      </c>
      <c r="AN664" s="424">
        <f t="shared" si="1502"/>
        <v>0</v>
      </c>
      <c r="AO664" s="424">
        <f t="shared" si="1502"/>
        <v>0</v>
      </c>
      <c r="AP664" s="424">
        <f t="shared" ref="AP664:BU664" si="1503">AP294*AP$372</f>
        <v>0</v>
      </c>
      <c r="AQ664" s="424">
        <f t="shared" si="1503"/>
        <v>0</v>
      </c>
      <c r="AR664" s="424">
        <f t="shared" si="1503"/>
        <v>0</v>
      </c>
      <c r="AS664" s="424">
        <f t="shared" si="1503"/>
        <v>0</v>
      </c>
      <c r="AT664" s="424">
        <f t="shared" si="1503"/>
        <v>0</v>
      </c>
      <c r="AU664" s="424">
        <f t="shared" si="1503"/>
        <v>0</v>
      </c>
      <c r="AV664" s="424">
        <f t="shared" si="1503"/>
        <v>0</v>
      </c>
      <c r="AW664" s="424">
        <f t="shared" si="1503"/>
        <v>0</v>
      </c>
      <c r="AX664" s="424">
        <f t="shared" si="1503"/>
        <v>0</v>
      </c>
      <c r="AY664" s="424">
        <f t="shared" si="1503"/>
        <v>0</v>
      </c>
      <c r="AZ664" s="424">
        <f t="shared" si="1503"/>
        <v>0</v>
      </c>
      <c r="BA664" s="424">
        <f t="shared" si="1503"/>
        <v>0</v>
      </c>
      <c r="BB664" s="424">
        <f t="shared" si="1503"/>
        <v>0</v>
      </c>
      <c r="BC664" s="424">
        <f t="shared" si="1503"/>
        <v>0</v>
      </c>
      <c r="BD664" s="424">
        <f t="shared" si="1503"/>
        <v>0</v>
      </c>
      <c r="BE664" s="424">
        <f t="shared" si="1503"/>
        <v>0</v>
      </c>
      <c r="BF664" s="424">
        <f t="shared" si="1503"/>
        <v>0</v>
      </c>
      <c r="BG664" s="424">
        <f t="shared" si="1503"/>
        <v>0</v>
      </c>
      <c r="BH664" s="424">
        <f t="shared" si="1503"/>
        <v>0</v>
      </c>
      <c r="BI664" s="424">
        <f t="shared" si="1503"/>
        <v>0</v>
      </c>
      <c r="BJ664" s="424">
        <f t="shared" si="1503"/>
        <v>0</v>
      </c>
      <c r="BK664" s="424">
        <f t="shared" si="1503"/>
        <v>0</v>
      </c>
      <c r="BL664" s="424">
        <f t="shared" si="1503"/>
        <v>0</v>
      </c>
      <c r="BM664" s="424">
        <f t="shared" si="1503"/>
        <v>0</v>
      </c>
      <c r="BN664" s="424">
        <f t="shared" si="1503"/>
        <v>0</v>
      </c>
      <c r="BO664" s="424">
        <f t="shared" si="1503"/>
        <v>0</v>
      </c>
      <c r="BP664" s="424">
        <f t="shared" si="1503"/>
        <v>0</v>
      </c>
      <c r="BQ664" s="424">
        <f t="shared" si="1503"/>
        <v>0</v>
      </c>
      <c r="BR664" s="424">
        <f t="shared" si="1503"/>
        <v>0</v>
      </c>
      <c r="BS664" s="424">
        <f t="shared" si="1503"/>
        <v>0</v>
      </c>
      <c r="BT664" s="424">
        <f t="shared" si="1503"/>
        <v>0</v>
      </c>
      <c r="BU664" s="424">
        <f t="shared" si="1503"/>
        <v>0</v>
      </c>
      <c r="BV664" s="424">
        <f t="shared" ref="BV664:DA664" si="1504">BV294*BV$372</f>
        <v>0</v>
      </c>
      <c r="BW664" s="424">
        <f t="shared" si="1504"/>
        <v>0</v>
      </c>
      <c r="BX664" s="424">
        <f t="shared" si="1504"/>
        <v>0</v>
      </c>
      <c r="BY664" s="424">
        <f t="shared" si="1504"/>
        <v>0</v>
      </c>
      <c r="BZ664" s="424">
        <f t="shared" si="1504"/>
        <v>0</v>
      </c>
      <c r="CA664" s="424">
        <f t="shared" si="1504"/>
        <v>0</v>
      </c>
      <c r="CB664" s="424">
        <f t="shared" si="1504"/>
        <v>0</v>
      </c>
      <c r="CC664" s="424">
        <f t="shared" si="1504"/>
        <v>0</v>
      </c>
      <c r="CD664" s="424">
        <f t="shared" si="1504"/>
        <v>0</v>
      </c>
      <c r="CE664" s="424">
        <f t="shared" si="1504"/>
        <v>0</v>
      </c>
      <c r="CF664" s="424">
        <f t="shared" si="1504"/>
        <v>0</v>
      </c>
      <c r="CG664" s="424">
        <f t="shared" si="1504"/>
        <v>0</v>
      </c>
      <c r="CH664" s="424">
        <f t="shared" si="1504"/>
        <v>0</v>
      </c>
      <c r="CI664" s="424">
        <f t="shared" si="1504"/>
        <v>0</v>
      </c>
      <c r="CJ664" s="424">
        <f t="shared" si="1504"/>
        <v>0</v>
      </c>
      <c r="CK664" s="424">
        <f t="shared" si="1504"/>
        <v>0</v>
      </c>
      <c r="CL664" s="424">
        <f t="shared" si="1504"/>
        <v>0</v>
      </c>
      <c r="CM664" s="424">
        <f t="shared" si="1504"/>
        <v>0</v>
      </c>
      <c r="CN664" s="424">
        <f t="shared" si="1504"/>
        <v>0</v>
      </c>
      <c r="CO664" s="424">
        <f t="shared" si="1504"/>
        <v>0</v>
      </c>
      <c r="CP664" s="424">
        <f t="shared" si="1504"/>
        <v>0</v>
      </c>
      <c r="CQ664" s="424">
        <f t="shared" si="1504"/>
        <v>0</v>
      </c>
      <c r="CR664" s="424">
        <f t="shared" si="1504"/>
        <v>0</v>
      </c>
      <c r="CS664" s="424">
        <f t="shared" si="1504"/>
        <v>0</v>
      </c>
      <c r="CT664" s="424">
        <f t="shared" si="1504"/>
        <v>0</v>
      </c>
      <c r="CU664" s="424">
        <f t="shared" si="1504"/>
        <v>0</v>
      </c>
      <c r="CV664" s="424">
        <f t="shared" si="1504"/>
        <v>0</v>
      </c>
      <c r="CW664" s="424">
        <f t="shared" si="1504"/>
        <v>0</v>
      </c>
      <c r="CX664" s="424">
        <f t="shared" si="1504"/>
        <v>0</v>
      </c>
      <c r="CY664" s="424">
        <f t="shared" si="1504"/>
        <v>0</v>
      </c>
      <c r="CZ664" s="424">
        <f t="shared" si="1504"/>
        <v>0</v>
      </c>
      <c r="DA664" s="424">
        <f t="shared" si="1504"/>
        <v>0</v>
      </c>
      <c r="DB664" s="424">
        <f t="shared" ref="DB664:EG664" si="1505">DB294*DB$372</f>
        <v>0</v>
      </c>
      <c r="DC664" s="424">
        <f t="shared" si="1505"/>
        <v>0</v>
      </c>
      <c r="DD664" s="424">
        <f t="shared" si="1505"/>
        <v>0</v>
      </c>
      <c r="DE664" s="424">
        <f t="shared" si="1505"/>
        <v>0</v>
      </c>
      <c r="DF664" s="424">
        <f t="shared" si="1505"/>
        <v>0</v>
      </c>
      <c r="DG664" s="424">
        <f t="shared" si="1505"/>
        <v>0</v>
      </c>
      <c r="DH664" s="424">
        <f t="shared" si="1505"/>
        <v>0</v>
      </c>
      <c r="DI664" s="424">
        <f t="shared" si="1505"/>
        <v>0</v>
      </c>
      <c r="DJ664" s="424">
        <f t="shared" si="1505"/>
        <v>0</v>
      </c>
      <c r="DK664" s="424">
        <f t="shared" si="1505"/>
        <v>0</v>
      </c>
      <c r="DL664" s="424">
        <f t="shared" si="1505"/>
        <v>0</v>
      </c>
      <c r="DM664" s="424">
        <f t="shared" si="1505"/>
        <v>0</v>
      </c>
      <c r="DN664" s="424">
        <f t="shared" si="1505"/>
        <v>0</v>
      </c>
      <c r="DO664" s="424">
        <f t="shared" si="1505"/>
        <v>0</v>
      </c>
      <c r="DP664" s="424">
        <f t="shared" si="1505"/>
        <v>0</v>
      </c>
      <c r="DQ664" s="424">
        <f t="shared" si="1505"/>
        <v>0</v>
      </c>
      <c r="DR664" s="424">
        <f t="shared" si="1505"/>
        <v>0</v>
      </c>
      <c r="DS664" s="424">
        <f t="shared" si="1505"/>
        <v>0</v>
      </c>
      <c r="DT664" s="424">
        <f t="shared" si="1505"/>
        <v>0</v>
      </c>
      <c r="DU664" s="424">
        <f t="shared" si="1505"/>
        <v>0</v>
      </c>
      <c r="DV664" s="424">
        <f t="shared" si="1505"/>
        <v>0</v>
      </c>
      <c r="DW664" s="424">
        <f t="shared" si="1505"/>
        <v>0</v>
      </c>
      <c r="DX664" s="424">
        <f t="shared" si="1505"/>
        <v>0</v>
      </c>
      <c r="DY664" s="424">
        <f t="shared" si="1505"/>
        <v>0</v>
      </c>
      <c r="DZ664" s="424">
        <f t="shared" si="1505"/>
        <v>0</v>
      </c>
      <c r="EA664" s="424">
        <f t="shared" si="1505"/>
        <v>0</v>
      </c>
      <c r="EB664" s="424">
        <f t="shared" si="1505"/>
        <v>0</v>
      </c>
      <c r="EC664" s="424">
        <f t="shared" si="1505"/>
        <v>0</v>
      </c>
      <c r="ED664" s="424">
        <f t="shared" si="1505"/>
        <v>0</v>
      </c>
      <c r="EE664" s="424">
        <f t="shared" si="1505"/>
        <v>0</v>
      </c>
      <c r="EF664" s="424">
        <f t="shared" si="1505"/>
        <v>0</v>
      </c>
      <c r="EG664" s="424">
        <f t="shared" si="1505"/>
        <v>0</v>
      </c>
      <c r="EH664" s="424">
        <f t="shared" ref="EH664:EX664" si="1506">EH294*EH$372</f>
        <v>0</v>
      </c>
      <c r="EI664" s="424">
        <f t="shared" si="1506"/>
        <v>0</v>
      </c>
      <c r="EJ664" s="424">
        <f t="shared" si="1506"/>
        <v>0</v>
      </c>
      <c r="EK664" s="424">
        <f t="shared" si="1506"/>
        <v>0</v>
      </c>
      <c r="EL664" s="424">
        <f t="shared" si="1506"/>
        <v>0</v>
      </c>
      <c r="EM664" s="424">
        <f t="shared" si="1506"/>
        <v>0</v>
      </c>
      <c r="EN664" s="424">
        <f t="shared" si="1506"/>
        <v>0</v>
      </c>
      <c r="EO664" s="424">
        <f t="shared" si="1506"/>
        <v>0</v>
      </c>
      <c r="EP664" s="424">
        <f t="shared" si="1506"/>
        <v>0</v>
      </c>
      <c r="EQ664" s="424">
        <f t="shared" si="1506"/>
        <v>0</v>
      </c>
      <c r="ER664" s="424">
        <f t="shared" si="1506"/>
        <v>0</v>
      </c>
      <c r="ES664" s="424">
        <f t="shared" si="1506"/>
        <v>0</v>
      </c>
      <c r="ET664" s="424">
        <f t="shared" si="1506"/>
        <v>0</v>
      </c>
      <c r="EU664" s="424">
        <f t="shared" si="1506"/>
        <v>0</v>
      </c>
      <c r="EV664" s="424">
        <f t="shared" si="1506"/>
        <v>0</v>
      </c>
      <c r="EW664" s="424">
        <f t="shared" si="1506"/>
        <v>0</v>
      </c>
      <c r="EX664" s="424">
        <f t="shared" si="1506"/>
        <v>0</v>
      </c>
      <c r="EY664" s="425">
        <f t="shared" si="1420"/>
        <v>16.88</v>
      </c>
    </row>
    <row r="665" spans="1:166" ht="14.7" customHeight="1" x14ac:dyDescent="0.25">
      <c r="A665" s="310">
        <v>291</v>
      </c>
      <c r="B665" s="311" t="str">
        <f t="shared" si="1331"/>
        <v>Напиток из плодов шиповника</v>
      </c>
      <c r="C665" s="483">
        <f t="shared" si="1421"/>
        <v>3.52</v>
      </c>
      <c r="D665" s="888"/>
      <c r="E665" s="888"/>
      <c r="F665" s="888"/>
      <c r="G665" s="889"/>
      <c r="H665" s="680">
        <f t="shared" si="1338"/>
        <v>388</v>
      </c>
      <c r="I665" s="1209">
        <f t="shared" si="1332"/>
        <v>0</v>
      </c>
      <c r="J665" s="424">
        <f t="shared" ref="J665:AO665" si="1507">J295*J$372</f>
        <v>0</v>
      </c>
      <c r="K665" s="424">
        <f t="shared" si="1507"/>
        <v>0</v>
      </c>
      <c r="L665" s="424">
        <f t="shared" si="1507"/>
        <v>0</v>
      </c>
      <c r="M665" s="424">
        <f t="shared" si="1507"/>
        <v>0</v>
      </c>
      <c r="N665" s="424">
        <f t="shared" si="1507"/>
        <v>0</v>
      </c>
      <c r="O665" s="424">
        <f t="shared" si="1507"/>
        <v>0</v>
      </c>
      <c r="P665" s="424">
        <f t="shared" si="1507"/>
        <v>0</v>
      </c>
      <c r="Q665" s="424">
        <f t="shared" si="1507"/>
        <v>0</v>
      </c>
      <c r="R665" s="424">
        <f t="shared" si="1507"/>
        <v>0</v>
      </c>
      <c r="S665" s="424">
        <f t="shared" si="1507"/>
        <v>0</v>
      </c>
      <c r="T665" s="424">
        <f t="shared" si="1507"/>
        <v>0</v>
      </c>
      <c r="U665" s="424">
        <f t="shared" si="1507"/>
        <v>0</v>
      </c>
      <c r="V665" s="424">
        <f t="shared" si="1507"/>
        <v>0</v>
      </c>
      <c r="W665" s="424">
        <f t="shared" si="1507"/>
        <v>0</v>
      </c>
      <c r="X665" s="424">
        <f t="shared" si="1507"/>
        <v>0</v>
      </c>
      <c r="Y665" s="424">
        <f t="shared" si="1507"/>
        <v>0</v>
      </c>
      <c r="Z665" s="424">
        <f t="shared" si="1507"/>
        <v>0</v>
      </c>
      <c r="AA665" s="424">
        <f t="shared" si="1507"/>
        <v>0</v>
      </c>
      <c r="AB665" s="424">
        <f t="shared" si="1507"/>
        <v>0</v>
      </c>
      <c r="AC665" s="424">
        <f t="shared" si="1507"/>
        <v>0</v>
      </c>
      <c r="AD665" s="424">
        <f t="shared" si="1507"/>
        <v>0</v>
      </c>
      <c r="AE665" s="424">
        <f t="shared" si="1507"/>
        <v>0</v>
      </c>
      <c r="AF665" s="424">
        <f t="shared" si="1507"/>
        <v>0</v>
      </c>
      <c r="AG665" s="424">
        <f t="shared" si="1507"/>
        <v>0</v>
      </c>
      <c r="AH665" s="424">
        <f t="shared" si="1507"/>
        <v>0</v>
      </c>
      <c r="AI665" s="424">
        <f t="shared" si="1507"/>
        <v>0</v>
      </c>
      <c r="AJ665" s="424">
        <f t="shared" si="1507"/>
        <v>0</v>
      </c>
      <c r="AK665" s="424">
        <f t="shared" si="1507"/>
        <v>0</v>
      </c>
      <c r="AL665" s="424">
        <f t="shared" si="1507"/>
        <v>0</v>
      </c>
      <c r="AM665" s="424">
        <f t="shared" si="1507"/>
        <v>0</v>
      </c>
      <c r="AN665" s="424">
        <f t="shared" si="1507"/>
        <v>0</v>
      </c>
      <c r="AO665" s="424">
        <f t="shared" si="1507"/>
        <v>0</v>
      </c>
      <c r="AP665" s="424">
        <f t="shared" ref="AP665:BU665" si="1508">AP295*AP$372</f>
        <v>0</v>
      </c>
      <c r="AQ665" s="424">
        <f t="shared" si="1508"/>
        <v>0</v>
      </c>
      <c r="AR665" s="424">
        <f t="shared" si="1508"/>
        <v>0</v>
      </c>
      <c r="AS665" s="424">
        <f t="shared" si="1508"/>
        <v>0</v>
      </c>
      <c r="AT665" s="424">
        <f t="shared" si="1508"/>
        <v>0</v>
      </c>
      <c r="AU665" s="424">
        <f t="shared" si="1508"/>
        <v>0</v>
      </c>
      <c r="AV665" s="424">
        <f t="shared" si="1508"/>
        <v>0</v>
      </c>
      <c r="AW665" s="424">
        <f t="shared" si="1508"/>
        <v>0</v>
      </c>
      <c r="AX665" s="424">
        <f t="shared" si="1508"/>
        <v>0</v>
      </c>
      <c r="AY665" s="424">
        <f t="shared" si="1508"/>
        <v>0</v>
      </c>
      <c r="AZ665" s="424">
        <f t="shared" si="1508"/>
        <v>0</v>
      </c>
      <c r="BA665" s="424">
        <f t="shared" si="1508"/>
        <v>0</v>
      </c>
      <c r="BB665" s="424">
        <f t="shared" si="1508"/>
        <v>0</v>
      </c>
      <c r="BC665" s="424">
        <f t="shared" si="1508"/>
        <v>0</v>
      </c>
      <c r="BD665" s="424">
        <f t="shared" si="1508"/>
        <v>0</v>
      </c>
      <c r="BE665" s="424">
        <f t="shared" si="1508"/>
        <v>0</v>
      </c>
      <c r="BF665" s="424">
        <f t="shared" si="1508"/>
        <v>0</v>
      </c>
      <c r="BG665" s="424">
        <f t="shared" si="1508"/>
        <v>0</v>
      </c>
      <c r="BH665" s="424">
        <f t="shared" si="1508"/>
        <v>0</v>
      </c>
      <c r="BI665" s="424">
        <f t="shared" si="1508"/>
        <v>0</v>
      </c>
      <c r="BJ665" s="424">
        <f t="shared" si="1508"/>
        <v>0</v>
      </c>
      <c r="BK665" s="424">
        <f t="shared" si="1508"/>
        <v>0</v>
      </c>
      <c r="BL665" s="424">
        <f t="shared" si="1508"/>
        <v>0</v>
      </c>
      <c r="BM665" s="424">
        <f t="shared" si="1508"/>
        <v>0</v>
      </c>
      <c r="BN665" s="424">
        <f t="shared" si="1508"/>
        <v>0</v>
      </c>
      <c r="BO665" s="424">
        <f t="shared" si="1508"/>
        <v>0</v>
      </c>
      <c r="BP665" s="424">
        <f t="shared" si="1508"/>
        <v>0</v>
      </c>
      <c r="BQ665" s="424">
        <f t="shared" si="1508"/>
        <v>0</v>
      </c>
      <c r="BR665" s="424">
        <f t="shared" si="1508"/>
        <v>0</v>
      </c>
      <c r="BS665" s="424">
        <f t="shared" si="1508"/>
        <v>0</v>
      </c>
      <c r="BT665" s="424">
        <f t="shared" si="1508"/>
        <v>0</v>
      </c>
      <c r="BU665" s="424">
        <f t="shared" si="1508"/>
        <v>0</v>
      </c>
      <c r="BV665" s="424">
        <f t="shared" ref="BV665:DA665" si="1509">BV295*BV$372</f>
        <v>0</v>
      </c>
      <c r="BW665" s="424">
        <f t="shared" si="1509"/>
        <v>0</v>
      </c>
      <c r="BX665" s="424">
        <f t="shared" si="1509"/>
        <v>0</v>
      </c>
      <c r="BY665" s="424">
        <f t="shared" si="1509"/>
        <v>0</v>
      </c>
      <c r="BZ665" s="424">
        <f t="shared" si="1509"/>
        <v>0</v>
      </c>
      <c r="CA665" s="424">
        <f t="shared" si="1509"/>
        <v>0</v>
      </c>
      <c r="CB665" s="424">
        <f t="shared" si="1509"/>
        <v>0</v>
      </c>
      <c r="CC665" s="424">
        <f t="shared" si="1509"/>
        <v>0</v>
      </c>
      <c r="CD665" s="424">
        <f t="shared" si="1509"/>
        <v>0</v>
      </c>
      <c r="CE665" s="424">
        <f t="shared" si="1509"/>
        <v>0</v>
      </c>
      <c r="CF665" s="424">
        <f t="shared" si="1509"/>
        <v>0</v>
      </c>
      <c r="CG665" s="424">
        <f t="shared" si="1509"/>
        <v>0</v>
      </c>
      <c r="CH665" s="424">
        <f t="shared" si="1509"/>
        <v>0</v>
      </c>
      <c r="CI665" s="424">
        <f t="shared" si="1509"/>
        <v>0</v>
      </c>
      <c r="CJ665" s="424">
        <f t="shared" si="1509"/>
        <v>0</v>
      </c>
      <c r="CK665" s="424">
        <f t="shared" si="1509"/>
        <v>0</v>
      </c>
      <c r="CL665" s="424">
        <f t="shared" si="1509"/>
        <v>0</v>
      </c>
      <c r="CM665" s="424">
        <f t="shared" si="1509"/>
        <v>0</v>
      </c>
      <c r="CN665" s="424">
        <f t="shared" si="1509"/>
        <v>0</v>
      </c>
      <c r="CO665" s="424">
        <f t="shared" si="1509"/>
        <v>0</v>
      </c>
      <c r="CP665" s="424">
        <f t="shared" si="1509"/>
        <v>0</v>
      </c>
      <c r="CQ665" s="424">
        <f t="shared" si="1509"/>
        <v>0</v>
      </c>
      <c r="CR665" s="424">
        <f t="shared" si="1509"/>
        <v>0</v>
      </c>
      <c r="CS665" s="424">
        <f t="shared" si="1509"/>
        <v>0</v>
      </c>
      <c r="CT665" s="424">
        <f t="shared" si="1509"/>
        <v>0</v>
      </c>
      <c r="CU665" s="424">
        <f t="shared" si="1509"/>
        <v>0</v>
      </c>
      <c r="CV665" s="424">
        <f t="shared" si="1509"/>
        <v>0</v>
      </c>
      <c r="CW665" s="424">
        <f t="shared" si="1509"/>
        <v>0</v>
      </c>
      <c r="CX665" s="424">
        <f t="shared" si="1509"/>
        <v>0</v>
      </c>
      <c r="CY665" s="424">
        <f t="shared" si="1509"/>
        <v>0</v>
      </c>
      <c r="CZ665" s="424">
        <f t="shared" si="1509"/>
        <v>1.52</v>
      </c>
      <c r="DA665" s="424">
        <f t="shared" si="1509"/>
        <v>0</v>
      </c>
      <c r="DB665" s="424">
        <f t="shared" ref="DB665:EG665" si="1510">DB295*DB$372</f>
        <v>0</v>
      </c>
      <c r="DC665" s="424">
        <f t="shared" si="1510"/>
        <v>0</v>
      </c>
      <c r="DD665" s="424">
        <f t="shared" si="1510"/>
        <v>0</v>
      </c>
      <c r="DE665" s="424">
        <f t="shared" si="1510"/>
        <v>0</v>
      </c>
      <c r="DF665" s="424">
        <f t="shared" si="1510"/>
        <v>0</v>
      </c>
      <c r="DG665" s="424">
        <f t="shared" si="1510"/>
        <v>0</v>
      </c>
      <c r="DH665" s="424">
        <f t="shared" si="1510"/>
        <v>2</v>
      </c>
      <c r="DI665" s="424">
        <f t="shared" si="1510"/>
        <v>0</v>
      </c>
      <c r="DJ665" s="424">
        <f t="shared" si="1510"/>
        <v>0</v>
      </c>
      <c r="DK665" s="424">
        <f t="shared" si="1510"/>
        <v>0</v>
      </c>
      <c r="DL665" s="424">
        <f t="shared" si="1510"/>
        <v>0</v>
      </c>
      <c r="DM665" s="424">
        <f t="shared" si="1510"/>
        <v>0</v>
      </c>
      <c r="DN665" s="424">
        <f t="shared" si="1510"/>
        <v>0</v>
      </c>
      <c r="DO665" s="424">
        <f t="shared" si="1510"/>
        <v>0</v>
      </c>
      <c r="DP665" s="424">
        <f t="shared" si="1510"/>
        <v>0</v>
      </c>
      <c r="DQ665" s="424">
        <f t="shared" si="1510"/>
        <v>0</v>
      </c>
      <c r="DR665" s="424">
        <f t="shared" si="1510"/>
        <v>0</v>
      </c>
      <c r="DS665" s="424">
        <f t="shared" si="1510"/>
        <v>0</v>
      </c>
      <c r="DT665" s="424">
        <f t="shared" si="1510"/>
        <v>0</v>
      </c>
      <c r="DU665" s="424">
        <f t="shared" si="1510"/>
        <v>0</v>
      </c>
      <c r="DV665" s="424">
        <f t="shared" si="1510"/>
        <v>0</v>
      </c>
      <c r="DW665" s="424">
        <f t="shared" si="1510"/>
        <v>0</v>
      </c>
      <c r="DX665" s="424">
        <f t="shared" si="1510"/>
        <v>0</v>
      </c>
      <c r="DY665" s="424">
        <f t="shared" si="1510"/>
        <v>0</v>
      </c>
      <c r="DZ665" s="424">
        <f t="shared" si="1510"/>
        <v>0</v>
      </c>
      <c r="EA665" s="424">
        <f t="shared" si="1510"/>
        <v>0</v>
      </c>
      <c r="EB665" s="424">
        <f t="shared" si="1510"/>
        <v>0</v>
      </c>
      <c r="EC665" s="424">
        <f t="shared" si="1510"/>
        <v>0</v>
      </c>
      <c r="ED665" s="424">
        <f t="shared" si="1510"/>
        <v>0</v>
      </c>
      <c r="EE665" s="424">
        <f t="shared" si="1510"/>
        <v>0</v>
      </c>
      <c r="EF665" s="424">
        <f t="shared" si="1510"/>
        <v>0</v>
      </c>
      <c r="EG665" s="424">
        <f t="shared" si="1510"/>
        <v>0</v>
      </c>
      <c r="EH665" s="424">
        <f t="shared" ref="EH665:EX665" si="1511">EH295*EH$372</f>
        <v>0</v>
      </c>
      <c r="EI665" s="424">
        <f t="shared" si="1511"/>
        <v>0</v>
      </c>
      <c r="EJ665" s="424">
        <f t="shared" si="1511"/>
        <v>0</v>
      </c>
      <c r="EK665" s="424">
        <f t="shared" si="1511"/>
        <v>0</v>
      </c>
      <c r="EL665" s="424">
        <f t="shared" si="1511"/>
        <v>0</v>
      </c>
      <c r="EM665" s="424">
        <f t="shared" si="1511"/>
        <v>0</v>
      </c>
      <c r="EN665" s="424">
        <f t="shared" si="1511"/>
        <v>0</v>
      </c>
      <c r="EO665" s="424">
        <f t="shared" si="1511"/>
        <v>0</v>
      </c>
      <c r="EP665" s="424">
        <f t="shared" si="1511"/>
        <v>0</v>
      </c>
      <c r="EQ665" s="424">
        <f t="shared" si="1511"/>
        <v>0</v>
      </c>
      <c r="ER665" s="424">
        <f t="shared" si="1511"/>
        <v>0</v>
      </c>
      <c r="ES665" s="424">
        <f t="shared" si="1511"/>
        <v>0</v>
      </c>
      <c r="ET665" s="424">
        <f t="shared" si="1511"/>
        <v>0</v>
      </c>
      <c r="EU665" s="424">
        <f t="shared" si="1511"/>
        <v>0</v>
      </c>
      <c r="EV665" s="424">
        <f t="shared" si="1511"/>
        <v>0</v>
      </c>
      <c r="EW665" s="424">
        <f t="shared" si="1511"/>
        <v>0</v>
      </c>
      <c r="EX665" s="424">
        <f t="shared" si="1511"/>
        <v>0</v>
      </c>
      <c r="EY665" s="425">
        <f t="shared" si="1420"/>
        <v>3.52</v>
      </c>
    </row>
    <row r="666" spans="1:166" ht="14.7" customHeight="1" x14ac:dyDescent="0.25">
      <c r="A666" s="310">
        <v>292</v>
      </c>
      <c r="B666" s="311" t="str">
        <f t="shared" si="1331"/>
        <v>Тесто для вареников</v>
      </c>
      <c r="C666" s="483">
        <f t="shared" si="1421"/>
        <v>116.31</v>
      </c>
      <c r="D666" s="888"/>
      <c r="E666" s="888"/>
      <c r="F666" s="888"/>
      <c r="G666" s="889"/>
      <c r="H666" s="680">
        <f t="shared" si="1338"/>
        <v>393</v>
      </c>
      <c r="I666" s="1209">
        <f t="shared" si="1332"/>
        <v>0</v>
      </c>
      <c r="J666" s="424">
        <f t="shared" ref="J666:AO666" si="1512">J296*J$372</f>
        <v>0</v>
      </c>
      <c r="K666" s="424">
        <f t="shared" si="1512"/>
        <v>0</v>
      </c>
      <c r="L666" s="424">
        <f t="shared" si="1512"/>
        <v>0</v>
      </c>
      <c r="M666" s="424">
        <f t="shared" si="1512"/>
        <v>0</v>
      </c>
      <c r="N666" s="424">
        <f t="shared" si="1512"/>
        <v>0</v>
      </c>
      <c r="O666" s="424">
        <f t="shared" si="1512"/>
        <v>0</v>
      </c>
      <c r="P666" s="424">
        <f t="shared" si="1512"/>
        <v>0</v>
      </c>
      <c r="Q666" s="424">
        <f t="shared" si="1512"/>
        <v>0</v>
      </c>
      <c r="R666" s="424">
        <f t="shared" si="1512"/>
        <v>0</v>
      </c>
      <c r="S666" s="424">
        <f t="shared" si="1512"/>
        <v>0</v>
      </c>
      <c r="T666" s="424">
        <f t="shared" si="1512"/>
        <v>0</v>
      </c>
      <c r="U666" s="424">
        <f t="shared" si="1512"/>
        <v>0</v>
      </c>
      <c r="V666" s="424">
        <f t="shared" si="1512"/>
        <v>0</v>
      </c>
      <c r="W666" s="424">
        <f t="shared" si="1512"/>
        <v>0</v>
      </c>
      <c r="X666" s="424">
        <f t="shared" si="1512"/>
        <v>0</v>
      </c>
      <c r="Y666" s="424">
        <f t="shared" si="1512"/>
        <v>0</v>
      </c>
      <c r="Z666" s="424">
        <f t="shared" si="1512"/>
        <v>0</v>
      </c>
      <c r="AA666" s="424">
        <f t="shared" si="1512"/>
        <v>0</v>
      </c>
      <c r="AB666" s="424">
        <f t="shared" si="1512"/>
        <v>0</v>
      </c>
      <c r="AC666" s="424">
        <f t="shared" si="1512"/>
        <v>0</v>
      </c>
      <c r="AD666" s="424">
        <f t="shared" si="1512"/>
        <v>0</v>
      </c>
      <c r="AE666" s="424">
        <f t="shared" si="1512"/>
        <v>91</v>
      </c>
      <c r="AF666" s="424">
        <f t="shared" si="1512"/>
        <v>0</v>
      </c>
      <c r="AG666" s="424">
        <f t="shared" si="1512"/>
        <v>0</v>
      </c>
      <c r="AH666" s="424">
        <f t="shared" si="1512"/>
        <v>0</v>
      </c>
      <c r="AI666" s="424">
        <f t="shared" si="1512"/>
        <v>0</v>
      </c>
      <c r="AJ666" s="424">
        <f t="shared" si="1512"/>
        <v>0</v>
      </c>
      <c r="AK666" s="424">
        <f t="shared" si="1512"/>
        <v>0</v>
      </c>
      <c r="AL666" s="424">
        <f t="shared" si="1512"/>
        <v>0</v>
      </c>
      <c r="AM666" s="424">
        <f t="shared" si="1512"/>
        <v>0</v>
      </c>
      <c r="AN666" s="424">
        <f t="shared" si="1512"/>
        <v>0</v>
      </c>
      <c r="AO666" s="424">
        <f t="shared" si="1512"/>
        <v>0</v>
      </c>
      <c r="AP666" s="424">
        <f t="shared" ref="AP666:BU666" si="1513">AP296*AP$372</f>
        <v>0</v>
      </c>
      <c r="AQ666" s="424">
        <f t="shared" si="1513"/>
        <v>0</v>
      </c>
      <c r="AR666" s="424">
        <f t="shared" si="1513"/>
        <v>0</v>
      </c>
      <c r="AS666" s="424">
        <f t="shared" si="1513"/>
        <v>0</v>
      </c>
      <c r="AT666" s="424">
        <f t="shared" si="1513"/>
        <v>0</v>
      </c>
      <c r="AU666" s="424">
        <f t="shared" si="1513"/>
        <v>0</v>
      </c>
      <c r="AV666" s="424">
        <f t="shared" si="1513"/>
        <v>0</v>
      </c>
      <c r="AW666" s="424">
        <f t="shared" si="1513"/>
        <v>0</v>
      </c>
      <c r="AX666" s="424">
        <f t="shared" si="1513"/>
        <v>0</v>
      </c>
      <c r="AY666" s="424">
        <f t="shared" si="1513"/>
        <v>0</v>
      </c>
      <c r="AZ666" s="424">
        <f t="shared" si="1513"/>
        <v>0</v>
      </c>
      <c r="BA666" s="424">
        <f t="shared" si="1513"/>
        <v>0</v>
      </c>
      <c r="BB666" s="424">
        <f t="shared" si="1513"/>
        <v>0</v>
      </c>
      <c r="BC666" s="424">
        <f t="shared" si="1513"/>
        <v>0</v>
      </c>
      <c r="BD666" s="424">
        <f t="shared" si="1513"/>
        <v>0</v>
      </c>
      <c r="BE666" s="424">
        <f t="shared" si="1513"/>
        <v>0</v>
      </c>
      <c r="BF666" s="424">
        <f t="shared" si="1513"/>
        <v>0</v>
      </c>
      <c r="BG666" s="424">
        <f t="shared" si="1513"/>
        <v>0</v>
      </c>
      <c r="BH666" s="424">
        <f t="shared" si="1513"/>
        <v>0</v>
      </c>
      <c r="BI666" s="424">
        <f t="shared" si="1513"/>
        <v>0</v>
      </c>
      <c r="BJ666" s="424">
        <f t="shared" si="1513"/>
        <v>0</v>
      </c>
      <c r="BK666" s="424">
        <f t="shared" si="1513"/>
        <v>0</v>
      </c>
      <c r="BL666" s="424">
        <f t="shared" si="1513"/>
        <v>0</v>
      </c>
      <c r="BM666" s="424">
        <f t="shared" si="1513"/>
        <v>0</v>
      </c>
      <c r="BN666" s="424">
        <f t="shared" si="1513"/>
        <v>0</v>
      </c>
      <c r="BO666" s="424">
        <f t="shared" si="1513"/>
        <v>0</v>
      </c>
      <c r="BP666" s="424">
        <f t="shared" si="1513"/>
        <v>0</v>
      </c>
      <c r="BQ666" s="424">
        <f t="shared" si="1513"/>
        <v>0</v>
      </c>
      <c r="BR666" s="424">
        <f t="shared" si="1513"/>
        <v>0</v>
      </c>
      <c r="BS666" s="424">
        <f t="shared" si="1513"/>
        <v>25.02</v>
      </c>
      <c r="BT666" s="424">
        <f t="shared" si="1513"/>
        <v>0</v>
      </c>
      <c r="BU666" s="424">
        <f t="shared" si="1513"/>
        <v>0</v>
      </c>
      <c r="BV666" s="424">
        <f t="shared" ref="BV666:DA666" si="1514">BV296*BV$372</f>
        <v>0</v>
      </c>
      <c r="BW666" s="424">
        <f t="shared" si="1514"/>
        <v>0</v>
      </c>
      <c r="BX666" s="424">
        <f t="shared" si="1514"/>
        <v>0</v>
      </c>
      <c r="BY666" s="424">
        <f t="shared" si="1514"/>
        <v>0</v>
      </c>
      <c r="BZ666" s="424">
        <f t="shared" si="1514"/>
        <v>0</v>
      </c>
      <c r="CA666" s="424">
        <f t="shared" si="1514"/>
        <v>0</v>
      </c>
      <c r="CB666" s="424">
        <f t="shared" si="1514"/>
        <v>0</v>
      </c>
      <c r="CC666" s="424">
        <f t="shared" si="1514"/>
        <v>0</v>
      </c>
      <c r="CD666" s="424">
        <f t="shared" si="1514"/>
        <v>0</v>
      </c>
      <c r="CE666" s="424">
        <f t="shared" si="1514"/>
        <v>0</v>
      </c>
      <c r="CF666" s="424">
        <f t="shared" si="1514"/>
        <v>0</v>
      </c>
      <c r="CG666" s="424">
        <f t="shared" si="1514"/>
        <v>0</v>
      </c>
      <c r="CH666" s="424">
        <f t="shared" si="1514"/>
        <v>0</v>
      </c>
      <c r="CI666" s="424">
        <f t="shared" si="1514"/>
        <v>0</v>
      </c>
      <c r="CJ666" s="424">
        <f t="shared" si="1514"/>
        <v>0</v>
      </c>
      <c r="CK666" s="424">
        <f t="shared" si="1514"/>
        <v>0</v>
      </c>
      <c r="CL666" s="424">
        <f t="shared" si="1514"/>
        <v>0</v>
      </c>
      <c r="CM666" s="424">
        <f t="shared" si="1514"/>
        <v>0</v>
      </c>
      <c r="CN666" s="424">
        <f t="shared" si="1514"/>
        <v>0</v>
      </c>
      <c r="CO666" s="424">
        <f t="shared" si="1514"/>
        <v>0</v>
      </c>
      <c r="CP666" s="424">
        <f t="shared" si="1514"/>
        <v>0</v>
      </c>
      <c r="CQ666" s="424">
        <f t="shared" si="1514"/>
        <v>0</v>
      </c>
      <c r="CR666" s="424">
        <f t="shared" si="1514"/>
        <v>0</v>
      </c>
      <c r="CS666" s="424">
        <f t="shared" si="1514"/>
        <v>0</v>
      </c>
      <c r="CT666" s="424">
        <f t="shared" si="1514"/>
        <v>0</v>
      </c>
      <c r="CU666" s="424">
        <f t="shared" si="1514"/>
        <v>0</v>
      </c>
      <c r="CV666" s="424">
        <f t="shared" si="1514"/>
        <v>0</v>
      </c>
      <c r="CW666" s="424">
        <f t="shared" si="1514"/>
        <v>0</v>
      </c>
      <c r="CX666" s="424">
        <f t="shared" si="1514"/>
        <v>0</v>
      </c>
      <c r="CY666" s="424">
        <f t="shared" si="1514"/>
        <v>0</v>
      </c>
      <c r="CZ666" s="424">
        <f t="shared" si="1514"/>
        <v>0</v>
      </c>
      <c r="DA666" s="424">
        <f t="shared" si="1514"/>
        <v>0</v>
      </c>
      <c r="DB666" s="424">
        <f t="shared" ref="DB666:EG666" si="1515">DB296*DB$372</f>
        <v>0</v>
      </c>
      <c r="DC666" s="424">
        <f t="shared" si="1515"/>
        <v>0.28999999999999998</v>
      </c>
      <c r="DD666" s="424">
        <f t="shared" si="1515"/>
        <v>0</v>
      </c>
      <c r="DE666" s="424">
        <f t="shared" si="1515"/>
        <v>0</v>
      </c>
      <c r="DF666" s="424">
        <f t="shared" si="1515"/>
        <v>0</v>
      </c>
      <c r="DG666" s="424">
        <f t="shared" si="1515"/>
        <v>0</v>
      </c>
      <c r="DH666" s="424">
        <f t="shared" si="1515"/>
        <v>0</v>
      </c>
      <c r="DI666" s="424">
        <f t="shared" si="1515"/>
        <v>0</v>
      </c>
      <c r="DJ666" s="424">
        <f t="shared" si="1515"/>
        <v>0</v>
      </c>
      <c r="DK666" s="424">
        <f t="shared" si="1515"/>
        <v>0</v>
      </c>
      <c r="DL666" s="424">
        <f t="shared" si="1515"/>
        <v>0</v>
      </c>
      <c r="DM666" s="424">
        <f t="shared" si="1515"/>
        <v>0</v>
      </c>
      <c r="DN666" s="424">
        <f t="shared" si="1515"/>
        <v>0</v>
      </c>
      <c r="DO666" s="424">
        <f t="shared" si="1515"/>
        <v>0</v>
      </c>
      <c r="DP666" s="424">
        <f t="shared" si="1515"/>
        <v>0</v>
      </c>
      <c r="DQ666" s="424">
        <f t="shared" si="1515"/>
        <v>0</v>
      </c>
      <c r="DR666" s="424">
        <f t="shared" si="1515"/>
        <v>0</v>
      </c>
      <c r="DS666" s="424">
        <f t="shared" si="1515"/>
        <v>0</v>
      </c>
      <c r="DT666" s="424">
        <f t="shared" si="1515"/>
        <v>0</v>
      </c>
      <c r="DU666" s="424">
        <f t="shared" si="1515"/>
        <v>0</v>
      </c>
      <c r="DV666" s="424">
        <f t="shared" si="1515"/>
        <v>0</v>
      </c>
      <c r="DW666" s="424">
        <f t="shared" si="1515"/>
        <v>0</v>
      </c>
      <c r="DX666" s="424">
        <f t="shared" si="1515"/>
        <v>0</v>
      </c>
      <c r="DY666" s="424">
        <f t="shared" si="1515"/>
        <v>0</v>
      </c>
      <c r="DZ666" s="424">
        <f t="shared" si="1515"/>
        <v>0</v>
      </c>
      <c r="EA666" s="424">
        <f t="shared" si="1515"/>
        <v>0</v>
      </c>
      <c r="EB666" s="424">
        <f t="shared" si="1515"/>
        <v>0</v>
      </c>
      <c r="EC666" s="424">
        <f t="shared" si="1515"/>
        <v>0</v>
      </c>
      <c r="ED666" s="424">
        <f t="shared" si="1515"/>
        <v>0</v>
      </c>
      <c r="EE666" s="424">
        <f t="shared" si="1515"/>
        <v>0</v>
      </c>
      <c r="EF666" s="424">
        <f t="shared" si="1515"/>
        <v>0</v>
      </c>
      <c r="EG666" s="424">
        <f t="shared" si="1515"/>
        <v>0</v>
      </c>
      <c r="EH666" s="424">
        <f t="shared" ref="EH666:EX666" si="1516">EH296*EH$372</f>
        <v>0</v>
      </c>
      <c r="EI666" s="424">
        <f t="shared" si="1516"/>
        <v>0</v>
      </c>
      <c r="EJ666" s="424">
        <f t="shared" si="1516"/>
        <v>0</v>
      </c>
      <c r="EK666" s="424">
        <f t="shared" si="1516"/>
        <v>0</v>
      </c>
      <c r="EL666" s="424">
        <f t="shared" si="1516"/>
        <v>0</v>
      </c>
      <c r="EM666" s="424">
        <f t="shared" si="1516"/>
        <v>0</v>
      </c>
      <c r="EN666" s="424">
        <f t="shared" si="1516"/>
        <v>0</v>
      </c>
      <c r="EO666" s="424">
        <f t="shared" si="1516"/>
        <v>0</v>
      </c>
      <c r="EP666" s="424">
        <f t="shared" si="1516"/>
        <v>0</v>
      </c>
      <c r="EQ666" s="424">
        <f t="shared" si="1516"/>
        <v>0</v>
      </c>
      <c r="ER666" s="424">
        <f t="shared" si="1516"/>
        <v>0</v>
      </c>
      <c r="ES666" s="424">
        <f t="shared" si="1516"/>
        <v>0</v>
      </c>
      <c r="ET666" s="424">
        <f t="shared" si="1516"/>
        <v>0</v>
      </c>
      <c r="EU666" s="424">
        <f t="shared" si="1516"/>
        <v>0</v>
      </c>
      <c r="EV666" s="424">
        <f t="shared" si="1516"/>
        <v>0</v>
      </c>
      <c r="EW666" s="424">
        <f t="shared" si="1516"/>
        <v>0</v>
      </c>
      <c r="EX666" s="424">
        <f t="shared" si="1516"/>
        <v>0</v>
      </c>
      <c r="EY666" s="425">
        <f t="shared" si="1420"/>
        <v>116.31</v>
      </c>
    </row>
    <row r="667" spans="1:166" ht="14.7" customHeight="1" x14ac:dyDescent="0.25">
      <c r="A667" s="310">
        <v>293</v>
      </c>
      <c r="B667" s="311" t="str">
        <f t="shared" si="1331"/>
        <v>Вареники с творожным фаршем</v>
      </c>
      <c r="C667" s="483">
        <f t="shared" si="1421"/>
        <v>43.18</v>
      </c>
      <c r="D667" s="888"/>
      <c r="E667" s="888"/>
      <c r="F667" s="888"/>
      <c r="G667" s="889"/>
      <c r="H667" s="680">
        <f t="shared" si="1338"/>
        <v>394</v>
      </c>
      <c r="I667" s="1209">
        <f t="shared" si="1332"/>
        <v>-0.01</v>
      </c>
      <c r="J667" s="424">
        <f t="shared" ref="J667:AO667" si="1517">J297*J$372</f>
        <v>0</v>
      </c>
      <c r="K667" s="424">
        <f t="shared" si="1517"/>
        <v>0</v>
      </c>
      <c r="L667" s="424">
        <f t="shared" si="1517"/>
        <v>0</v>
      </c>
      <c r="M667" s="424">
        <f t="shared" si="1517"/>
        <v>0</v>
      </c>
      <c r="N667" s="424">
        <f t="shared" si="1517"/>
        <v>0</v>
      </c>
      <c r="O667" s="424">
        <f t="shared" si="1517"/>
        <v>0</v>
      </c>
      <c r="P667" s="424">
        <f t="shared" si="1517"/>
        <v>0</v>
      </c>
      <c r="Q667" s="424">
        <f t="shared" si="1517"/>
        <v>0</v>
      </c>
      <c r="R667" s="424">
        <f t="shared" si="1517"/>
        <v>0</v>
      </c>
      <c r="S667" s="424">
        <f t="shared" si="1517"/>
        <v>0</v>
      </c>
      <c r="T667" s="424">
        <f t="shared" si="1517"/>
        <v>0</v>
      </c>
      <c r="U667" s="424">
        <f t="shared" si="1517"/>
        <v>0</v>
      </c>
      <c r="V667" s="424">
        <f t="shared" si="1517"/>
        <v>3.55</v>
      </c>
      <c r="W667" s="424">
        <f t="shared" si="1517"/>
        <v>0</v>
      </c>
      <c r="X667" s="424">
        <f t="shared" si="1517"/>
        <v>29.69</v>
      </c>
      <c r="Y667" s="424">
        <f t="shared" si="1517"/>
        <v>0</v>
      </c>
      <c r="Z667" s="424">
        <f t="shared" si="1517"/>
        <v>0</v>
      </c>
      <c r="AA667" s="424">
        <f t="shared" si="1517"/>
        <v>0</v>
      </c>
      <c r="AB667" s="424">
        <f t="shared" si="1517"/>
        <v>0</v>
      </c>
      <c r="AC667" s="424">
        <f t="shared" si="1517"/>
        <v>0</v>
      </c>
      <c r="AD667" s="424">
        <f t="shared" si="1517"/>
        <v>0</v>
      </c>
      <c r="AE667" s="424">
        <f t="shared" si="1517"/>
        <v>7.38</v>
      </c>
      <c r="AF667" s="424">
        <f t="shared" si="1517"/>
        <v>0</v>
      </c>
      <c r="AG667" s="424">
        <f t="shared" si="1517"/>
        <v>0</v>
      </c>
      <c r="AH667" s="424">
        <f t="shared" si="1517"/>
        <v>0</v>
      </c>
      <c r="AI667" s="424">
        <f t="shared" si="1517"/>
        <v>0</v>
      </c>
      <c r="AJ667" s="424">
        <f t="shared" si="1517"/>
        <v>0</v>
      </c>
      <c r="AK667" s="424">
        <f t="shared" si="1517"/>
        <v>0</v>
      </c>
      <c r="AL667" s="424">
        <f t="shared" si="1517"/>
        <v>0</v>
      </c>
      <c r="AM667" s="424">
        <f t="shared" si="1517"/>
        <v>0</v>
      </c>
      <c r="AN667" s="424">
        <f t="shared" si="1517"/>
        <v>0</v>
      </c>
      <c r="AO667" s="424">
        <f t="shared" si="1517"/>
        <v>0</v>
      </c>
      <c r="AP667" s="424">
        <f t="shared" ref="AP667:BU667" si="1518">AP297*AP$372</f>
        <v>0</v>
      </c>
      <c r="AQ667" s="424">
        <f t="shared" si="1518"/>
        <v>0</v>
      </c>
      <c r="AR667" s="424">
        <f t="shared" si="1518"/>
        <v>0</v>
      </c>
      <c r="AS667" s="424">
        <f t="shared" si="1518"/>
        <v>0</v>
      </c>
      <c r="AT667" s="424">
        <f t="shared" si="1518"/>
        <v>0</v>
      </c>
      <c r="AU667" s="424">
        <f t="shared" si="1518"/>
        <v>0</v>
      </c>
      <c r="AV667" s="424">
        <f t="shared" si="1518"/>
        <v>0</v>
      </c>
      <c r="AW667" s="424">
        <f t="shared" si="1518"/>
        <v>0</v>
      </c>
      <c r="AX667" s="424">
        <f t="shared" si="1518"/>
        <v>0</v>
      </c>
      <c r="AY667" s="424">
        <f t="shared" si="1518"/>
        <v>0</v>
      </c>
      <c r="AZ667" s="424">
        <f t="shared" si="1518"/>
        <v>0</v>
      </c>
      <c r="BA667" s="424">
        <f t="shared" si="1518"/>
        <v>0</v>
      </c>
      <c r="BB667" s="424">
        <f t="shared" si="1518"/>
        <v>0</v>
      </c>
      <c r="BC667" s="424">
        <f t="shared" si="1518"/>
        <v>0</v>
      </c>
      <c r="BD667" s="424">
        <f t="shared" si="1518"/>
        <v>0</v>
      </c>
      <c r="BE667" s="424">
        <f t="shared" si="1518"/>
        <v>0</v>
      </c>
      <c r="BF667" s="424">
        <f t="shared" si="1518"/>
        <v>0</v>
      </c>
      <c r="BG667" s="424">
        <f t="shared" si="1518"/>
        <v>0</v>
      </c>
      <c r="BH667" s="424">
        <f t="shared" si="1518"/>
        <v>0</v>
      </c>
      <c r="BI667" s="424">
        <f t="shared" si="1518"/>
        <v>0</v>
      </c>
      <c r="BJ667" s="424">
        <f t="shared" si="1518"/>
        <v>0</v>
      </c>
      <c r="BK667" s="424">
        <f t="shared" si="1518"/>
        <v>0</v>
      </c>
      <c r="BL667" s="424">
        <f t="shared" si="1518"/>
        <v>0</v>
      </c>
      <c r="BM667" s="424">
        <f t="shared" si="1518"/>
        <v>0</v>
      </c>
      <c r="BN667" s="424">
        <f t="shared" si="1518"/>
        <v>0</v>
      </c>
      <c r="BO667" s="424">
        <f t="shared" si="1518"/>
        <v>0</v>
      </c>
      <c r="BP667" s="424">
        <f t="shared" si="1518"/>
        <v>0</v>
      </c>
      <c r="BQ667" s="424">
        <f t="shared" si="1518"/>
        <v>0</v>
      </c>
      <c r="BR667" s="424">
        <f t="shared" si="1518"/>
        <v>0</v>
      </c>
      <c r="BS667" s="424">
        <f t="shared" si="1518"/>
        <v>1.99</v>
      </c>
      <c r="BT667" s="424">
        <f t="shared" si="1518"/>
        <v>0</v>
      </c>
      <c r="BU667" s="424">
        <f t="shared" si="1518"/>
        <v>0</v>
      </c>
      <c r="BV667" s="424">
        <f t="shared" ref="BV667:DA667" si="1519">BV297*BV$372</f>
        <v>0</v>
      </c>
      <c r="BW667" s="424">
        <f t="shared" si="1519"/>
        <v>0</v>
      </c>
      <c r="BX667" s="424">
        <f t="shared" si="1519"/>
        <v>0</v>
      </c>
      <c r="BY667" s="424">
        <f t="shared" si="1519"/>
        <v>0</v>
      </c>
      <c r="BZ667" s="424">
        <f t="shared" si="1519"/>
        <v>0</v>
      </c>
      <c r="CA667" s="424">
        <f t="shared" si="1519"/>
        <v>0</v>
      </c>
      <c r="CB667" s="424">
        <f t="shared" si="1519"/>
        <v>0</v>
      </c>
      <c r="CC667" s="424">
        <f t="shared" si="1519"/>
        <v>0</v>
      </c>
      <c r="CD667" s="424">
        <f t="shared" si="1519"/>
        <v>0</v>
      </c>
      <c r="CE667" s="424">
        <f t="shared" si="1519"/>
        <v>0</v>
      </c>
      <c r="CF667" s="424">
        <f t="shared" si="1519"/>
        <v>0</v>
      </c>
      <c r="CG667" s="424">
        <f t="shared" si="1519"/>
        <v>0</v>
      </c>
      <c r="CH667" s="424">
        <f t="shared" si="1519"/>
        <v>0</v>
      </c>
      <c r="CI667" s="424">
        <f t="shared" si="1519"/>
        <v>0.2</v>
      </c>
      <c r="CJ667" s="424">
        <f t="shared" si="1519"/>
        <v>0</v>
      </c>
      <c r="CK667" s="424">
        <f t="shared" si="1519"/>
        <v>0</v>
      </c>
      <c r="CL667" s="424">
        <f t="shared" si="1519"/>
        <v>0</v>
      </c>
      <c r="CM667" s="424">
        <f t="shared" si="1519"/>
        <v>0</v>
      </c>
      <c r="CN667" s="424">
        <f t="shared" si="1519"/>
        <v>0</v>
      </c>
      <c r="CO667" s="424">
        <f t="shared" si="1519"/>
        <v>0</v>
      </c>
      <c r="CP667" s="424">
        <f t="shared" si="1519"/>
        <v>0</v>
      </c>
      <c r="CQ667" s="424">
        <f t="shared" si="1519"/>
        <v>0</v>
      </c>
      <c r="CR667" s="424">
        <f t="shared" si="1519"/>
        <v>0</v>
      </c>
      <c r="CS667" s="424">
        <f t="shared" si="1519"/>
        <v>0</v>
      </c>
      <c r="CT667" s="424">
        <f t="shared" si="1519"/>
        <v>0</v>
      </c>
      <c r="CU667" s="424">
        <f t="shared" si="1519"/>
        <v>0</v>
      </c>
      <c r="CV667" s="424">
        <f t="shared" si="1519"/>
        <v>0</v>
      </c>
      <c r="CW667" s="424">
        <f t="shared" si="1519"/>
        <v>0</v>
      </c>
      <c r="CX667" s="424">
        <f t="shared" si="1519"/>
        <v>0</v>
      </c>
      <c r="CY667" s="424">
        <f t="shared" si="1519"/>
        <v>0</v>
      </c>
      <c r="CZ667" s="424">
        <f t="shared" si="1519"/>
        <v>0.35</v>
      </c>
      <c r="DA667" s="424">
        <f t="shared" si="1519"/>
        <v>0</v>
      </c>
      <c r="DB667" s="424">
        <f t="shared" ref="DB667:EG667" si="1520">DB297*DB$372</f>
        <v>0</v>
      </c>
      <c r="DC667" s="424">
        <f t="shared" si="1520"/>
        <v>0.02</v>
      </c>
      <c r="DD667" s="424">
        <f t="shared" si="1520"/>
        <v>0</v>
      </c>
      <c r="DE667" s="424">
        <f t="shared" si="1520"/>
        <v>0</v>
      </c>
      <c r="DF667" s="424">
        <f t="shared" si="1520"/>
        <v>0</v>
      </c>
      <c r="DG667" s="424">
        <f t="shared" si="1520"/>
        <v>0</v>
      </c>
      <c r="DH667" s="424">
        <f t="shared" si="1520"/>
        <v>0</v>
      </c>
      <c r="DI667" s="424">
        <f t="shared" si="1520"/>
        <v>0</v>
      </c>
      <c r="DJ667" s="424">
        <f t="shared" si="1520"/>
        <v>0</v>
      </c>
      <c r="DK667" s="424">
        <f t="shared" si="1520"/>
        <v>0</v>
      </c>
      <c r="DL667" s="424">
        <f t="shared" si="1520"/>
        <v>0</v>
      </c>
      <c r="DM667" s="424">
        <f t="shared" si="1520"/>
        <v>0</v>
      </c>
      <c r="DN667" s="424">
        <f t="shared" si="1520"/>
        <v>0</v>
      </c>
      <c r="DO667" s="424">
        <f t="shared" si="1520"/>
        <v>0</v>
      </c>
      <c r="DP667" s="424">
        <f t="shared" si="1520"/>
        <v>0</v>
      </c>
      <c r="DQ667" s="424">
        <f t="shared" si="1520"/>
        <v>0</v>
      </c>
      <c r="DR667" s="424">
        <f t="shared" si="1520"/>
        <v>0</v>
      </c>
      <c r="DS667" s="424">
        <f t="shared" si="1520"/>
        <v>0</v>
      </c>
      <c r="DT667" s="424">
        <f t="shared" si="1520"/>
        <v>0</v>
      </c>
      <c r="DU667" s="424">
        <f t="shared" si="1520"/>
        <v>0</v>
      </c>
      <c r="DV667" s="424">
        <f t="shared" si="1520"/>
        <v>0</v>
      </c>
      <c r="DW667" s="424">
        <f t="shared" si="1520"/>
        <v>0</v>
      </c>
      <c r="DX667" s="424">
        <f t="shared" si="1520"/>
        <v>0</v>
      </c>
      <c r="DY667" s="424">
        <f t="shared" si="1520"/>
        <v>0</v>
      </c>
      <c r="DZ667" s="424">
        <f t="shared" si="1520"/>
        <v>0</v>
      </c>
      <c r="EA667" s="424">
        <f t="shared" si="1520"/>
        <v>0</v>
      </c>
      <c r="EB667" s="424">
        <f t="shared" si="1520"/>
        <v>0</v>
      </c>
      <c r="EC667" s="424">
        <f t="shared" si="1520"/>
        <v>0</v>
      </c>
      <c r="ED667" s="424">
        <f t="shared" si="1520"/>
        <v>0</v>
      </c>
      <c r="EE667" s="424">
        <f t="shared" si="1520"/>
        <v>0</v>
      </c>
      <c r="EF667" s="424">
        <f t="shared" si="1520"/>
        <v>0</v>
      </c>
      <c r="EG667" s="424">
        <f t="shared" si="1520"/>
        <v>0</v>
      </c>
      <c r="EH667" s="424">
        <f t="shared" ref="EH667:EX667" si="1521">EH297*EH$372</f>
        <v>0</v>
      </c>
      <c r="EI667" s="424">
        <f t="shared" si="1521"/>
        <v>0</v>
      </c>
      <c r="EJ667" s="424">
        <f t="shared" si="1521"/>
        <v>0</v>
      </c>
      <c r="EK667" s="424">
        <f t="shared" si="1521"/>
        <v>0</v>
      </c>
      <c r="EL667" s="424">
        <f t="shared" si="1521"/>
        <v>0</v>
      </c>
      <c r="EM667" s="424">
        <f t="shared" si="1521"/>
        <v>0</v>
      </c>
      <c r="EN667" s="424">
        <f t="shared" si="1521"/>
        <v>0</v>
      </c>
      <c r="EO667" s="424">
        <f t="shared" si="1521"/>
        <v>0</v>
      </c>
      <c r="EP667" s="424">
        <f t="shared" si="1521"/>
        <v>0</v>
      </c>
      <c r="EQ667" s="424">
        <f t="shared" si="1521"/>
        <v>0</v>
      </c>
      <c r="ER667" s="424">
        <f t="shared" si="1521"/>
        <v>0</v>
      </c>
      <c r="ES667" s="424">
        <f t="shared" si="1521"/>
        <v>0</v>
      </c>
      <c r="ET667" s="424">
        <f t="shared" si="1521"/>
        <v>0</v>
      </c>
      <c r="EU667" s="424">
        <f t="shared" si="1521"/>
        <v>0</v>
      </c>
      <c r="EV667" s="424">
        <f t="shared" si="1521"/>
        <v>0</v>
      </c>
      <c r="EW667" s="424">
        <f t="shared" si="1521"/>
        <v>0</v>
      </c>
      <c r="EX667" s="424">
        <f t="shared" si="1521"/>
        <v>0</v>
      </c>
      <c r="EY667" s="425">
        <f t="shared" si="1420"/>
        <v>43.18</v>
      </c>
    </row>
    <row r="668" spans="1:166" ht="14.7" customHeight="1" x14ac:dyDescent="0.25">
      <c r="A668" s="310">
        <v>294</v>
      </c>
      <c r="B668" s="311" t="str">
        <f t="shared" si="1331"/>
        <v>Блины с маслом сливочным</v>
      </c>
      <c r="C668" s="483">
        <f t="shared" si="1421"/>
        <v>21.48</v>
      </c>
      <c r="D668" s="888"/>
      <c r="E668" s="888"/>
      <c r="F668" s="888"/>
      <c r="G668" s="889"/>
      <c r="H668" s="680">
        <f t="shared" si="1338"/>
        <v>396</v>
      </c>
      <c r="I668" s="1209">
        <f t="shared" si="1332"/>
        <v>0</v>
      </c>
      <c r="J668" s="424">
        <f t="shared" ref="J668:AO668" si="1522">J298*J$372</f>
        <v>0</v>
      </c>
      <c r="K668" s="424">
        <f t="shared" si="1522"/>
        <v>0</v>
      </c>
      <c r="L668" s="424">
        <f t="shared" si="1522"/>
        <v>0</v>
      </c>
      <c r="M668" s="424">
        <f t="shared" si="1522"/>
        <v>0</v>
      </c>
      <c r="N668" s="424">
        <f t="shared" si="1522"/>
        <v>0</v>
      </c>
      <c r="O668" s="424">
        <f t="shared" si="1522"/>
        <v>0</v>
      </c>
      <c r="P668" s="424">
        <f t="shared" si="1522"/>
        <v>0</v>
      </c>
      <c r="Q668" s="424">
        <f t="shared" si="1522"/>
        <v>0</v>
      </c>
      <c r="R668" s="424">
        <f t="shared" si="1522"/>
        <v>0</v>
      </c>
      <c r="S668" s="424">
        <f t="shared" si="1522"/>
        <v>0</v>
      </c>
      <c r="T668" s="424">
        <f t="shared" si="1522"/>
        <v>0</v>
      </c>
      <c r="U668" s="424">
        <f t="shared" si="1522"/>
        <v>9.44</v>
      </c>
      <c r="V668" s="424">
        <f t="shared" si="1522"/>
        <v>7.1</v>
      </c>
      <c r="W668" s="424">
        <f t="shared" si="1522"/>
        <v>0</v>
      </c>
      <c r="X668" s="424">
        <f t="shared" si="1522"/>
        <v>0</v>
      </c>
      <c r="Y668" s="424">
        <f t="shared" si="1522"/>
        <v>0</v>
      </c>
      <c r="Z668" s="424">
        <f t="shared" si="1522"/>
        <v>0</v>
      </c>
      <c r="AA668" s="424">
        <f t="shared" si="1522"/>
        <v>0</v>
      </c>
      <c r="AB668" s="424">
        <f t="shared" si="1522"/>
        <v>0</v>
      </c>
      <c r="AC668" s="424">
        <f t="shared" si="1522"/>
        <v>0</v>
      </c>
      <c r="AD668" s="424">
        <f t="shared" si="1522"/>
        <v>0</v>
      </c>
      <c r="AE668" s="424">
        <f t="shared" si="1522"/>
        <v>0</v>
      </c>
      <c r="AF668" s="424">
        <f t="shared" si="1522"/>
        <v>0</v>
      </c>
      <c r="AG668" s="424">
        <f t="shared" si="1522"/>
        <v>0</v>
      </c>
      <c r="AH668" s="424">
        <f t="shared" si="1522"/>
        <v>0</v>
      </c>
      <c r="AI668" s="424">
        <f t="shared" si="1522"/>
        <v>0</v>
      </c>
      <c r="AJ668" s="424">
        <f t="shared" si="1522"/>
        <v>0</v>
      </c>
      <c r="AK668" s="424">
        <f t="shared" si="1522"/>
        <v>0</v>
      </c>
      <c r="AL668" s="424">
        <f t="shared" si="1522"/>
        <v>0</v>
      </c>
      <c r="AM668" s="424">
        <f t="shared" si="1522"/>
        <v>0</v>
      </c>
      <c r="AN668" s="424">
        <f t="shared" si="1522"/>
        <v>0</v>
      </c>
      <c r="AO668" s="424">
        <f t="shared" si="1522"/>
        <v>0</v>
      </c>
      <c r="AP668" s="424">
        <f t="shared" ref="AP668:BU668" si="1523">AP298*AP$372</f>
        <v>0</v>
      </c>
      <c r="AQ668" s="424">
        <f t="shared" si="1523"/>
        <v>0</v>
      </c>
      <c r="AR668" s="424">
        <f t="shared" si="1523"/>
        <v>0</v>
      </c>
      <c r="AS668" s="424">
        <f t="shared" si="1523"/>
        <v>0</v>
      </c>
      <c r="AT668" s="424">
        <f t="shared" si="1523"/>
        <v>0</v>
      </c>
      <c r="AU668" s="424">
        <f t="shared" si="1523"/>
        <v>0</v>
      </c>
      <c r="AV668" s="424">
        <f t="shared" si="1523"/>
        <v>0</v>
      </c>
      <c r="AW668" s="424">
        <f t="shared" si="1523"/>
        <v>0</v>
      </c>
      <c r="AX668" s="424">
        <f t="shared" si="1523"/>
        <v>0</v>
      </c>
      <c r="AY668" s="424">
        <f t="shared" si="1523"/>
        <v>0</v>
      </c>
      <c r="AZ668" s="424">
        <f t="shared" si="1523"/>
        <v>0</v>
      </c>
      <c r="BA668" s="424">
        <f t="shared" si="1523"/>
        <v>0</v>
      </c>
      <c r="BB668" s="424">
        <f t="shared" si="1523"/>
        <v>0</v>
      </c>
      <c r="BC668" s="424">
        <f t="shared" si="1523"/>
        <v>0</v>
      </c>
      <c r="BD668" s="424">
        <f t="shared" si="1523"/>
        <v>0</v>
      </c>
      <c r="BE668" s="424">
        <f t="shared" si="1523"/>
        <v>0</v>
      </c>
      <c r="BF668" s="424">
        <f t="shared" si="1523"/>
        <v>0</v>
      </c>
      <c r="BG668" s="424">
        <f t="shared" si="1523"/>
        <v>0</v>
      </c>
      <c r="BH668" s="424">
        <f t="shared" si="1523"/>
        <v>0</v>
      </c>
      <c r="BI668" s="424">
        <f t="shared" si="1523"/>
        <v>0</v>
      </c>
      <c r="BJ668" s="424">
        <f t="shared" si="1523"/>
        <v>0</v>
      </c>
      <c r="BK668" s="424">
        <f t="shared" si="1523"/>
        <v>0</v>
      </c>
      <c r="BL668" s="424">
        <f t="shared" si="1523"/>
        <v>0</v>
      </c>
      <c r="BM668" s="424">
        <f t="shared" si="1523"/>
        <v>0</v>
      </c>
      <c r="BN668" s="424">
        <f t="shared" si="1523"/>
        <v>0</v>
      </c>
      <c r="BO668" s="424">
        <f t="shared" si="1523"/>
        <v>0</v>
      </c>
      <c r="BP668" s="424">
        <f t="shared" si="1523"/>
        <v>0</v>
      </c>
      <c r="BQ668" s="424">
        <f t="shared" si="1523"/>
        <v>0</v>
      </c>
      <c r="BR668" s="424">
        <f t="shared" si="1523"/>
        <v>0</v>
      </c>
      <c r="BS668" s="424">
        <f t="shared" si="1523"/>
        <v>2.7</v>
      </c>
      <c r="BT668" s="424">
        <f t="shared" si="1523"/>
        <v>0</v>
      </c>
      <c r="BU668" s="424">
        <f t="shared" si="1523"/>
        <v>0</v>
      </c>
      <c r="BV668" s="424">
        <f t="shared" ref="BV668:DA668" si="1524">BV298*BV$372</f>
        <v>0</v>
      </c>
      <c r="BW668" s="424">
        <f t="shared" si="1524"/>
        <v>0</v>
      </c>
      <c r="BX668" s="424">
        <f t="shared" si="1524"/>
        <v>0</v>
      </c>
      <c r="BY668" s="424">
        <f t="shared" si="1524"/>
        <v>0</v>
      </c>
      <c r="BZ668" s="424">
        <f t="shared" si="1524"/>
        <v>0</v>
      </c>
      <c r="CA668" s="424">
        <f t="shared" si="1524"/>
        <v>0</v>
      </c>
      <c r="CB668" s="424">
        <f t="shared" si="1524"/>
        <v>0</v>
      </c>
      <c r="CC668" s="424">
        <f t="shared" si="1524"/>
        <v>0</v>
      </c>
      <c r="CD668" s="424">
        <f t="shared" si="1524"/>
        <v>0</v>
      </c>
      <c r="CE668" s="424">
        <f t="shared" si="1524"/>
        <v>0</v>
      </c>
      <c r="CF668" s="424">
        <f t="shared" si="1524"/>
        <v>0.6</v>
      </c>
      <c r="CG668" s="424">
        <f t="shared" si="1524"/>
        <v>0</v>
      </c>
      <c r="CH668" s="424">
        <f t="shared" si="1524"/>
        <v>0</v>
      </c>
      <c r="CI668" s="424">
        <f t="shared" si="1524"/>
        <v>0</v>
      </c>
      <c r="CJ668" s="424">
        <f t="shared" si="1524"/>
        <v>0</v>
      </c>
      <c r="CK668" s="424">
        <f t="shared" si="1524"/>
        <v>0</v>
      </c>
      <c r="CL668" s="424">
        <f t="shared" si="1524"/>
        <v>1.37</v>
      </c>
      <c r="CM668" s="424">
        <f t="shared" si="1524"/>
        <v>0</v>
      </c>
      <c r="CN668" s="424">
        <f t="shared" si="1524"/>
        <v>0</v>
      </c>
      <c r="CO668" s="424">
        <f t="shared" si="1524"/>
        <v>0</v>
      </c>
      <c r="CP668" s="424">
        <f t="shared" si="1524"/>
        <v>0</v>
      </c>
      <c r="CQ668" s="424">
        <f t="shared" si="1524"/>
        <v>0</v>
      </c>
      <c r="CR668" s="424">
        <f t="shared" si="1524"/>
        <v>0</v>
      </c>
      <c r="CS668" s="424">
        <f t="shared" si="1524"/>
        <v>0</v>
      </c>
      <c r="CT668" s="424">
        <f t="shared" si="1524"/>
        <v>0</v>
      </c>
      <c r="CU668" s="424">
        <f t="shared" si="1524"/>
        <v>0</v>
      </c>
      <c r="CV668" s="424">
        <f t="shared" si="1524"/>
        <v>0</v>
      </c>
      <c r="CW668" s="424">
        <f t="shared" si="1524"/>
        <v>0</v>
      </c>
      <c r="CX668" s="424">
        <f t="shared" si="1524"/>
        <v>0</v>
      </c>
      <c r="CY668" s="424">
        <f t="shared" si="1524"/>
        <v>0</v>
      </c>
      <c r="CZ668" s="424">
        <f t="shared" si="1524"/>
        <v>0.23</v>
      </c>
      <c r="DA668" s="424">
        <f t="shared" si="1524"/>
        <v>0</v>
      </c>
      <c r="DB668" s="424">
        <f t="shared" ref="DB668:EG668" si="1525">DB298*DB$372</f>
        <v>0</v>
      </c>
      <c r="DC668" s="424">
        <f t="shared" si="1525"/>
        <v>0.04</v>
      </c>
      <c r="DD668" s="424">
        <f t="shared" si="1525"/>
        <v>0</v>
      </c>
      <c r="DE668" s="424">
        <f t="shared" si="1525"/>
        <v>0</v>
      </c>
      <c r="DF668" s="424">
        <f t="shared" si="1525"/>
        <v>0</v>
      </c>
      <c r="DG668" s="424">
        <f t="shared" si="1525"/>
        <v>0</v>
      </c>
      <c r="DH668" s="424">
        <f t="shared" si="1525"/>
        <v>0</v>
      </c>
      <c r="DI668" s="424">
        <f t="shared" si="1525"/>
        <v>0</v>
      </c>
      <c r="DJ668" s="424">
        <f t="shared" si="1525"/>
        <v>0</v>
      </c>
      <c r="DK668" s="424">
        <f t="shared" si="1525"/>
        <v>0</v>
      </c>
      <c r="DL668" s="424">
        <f t="shared" si="1525"/>
        <v>0</v>
      </c>
      <c r="DM668" s="424">
        <f t="shared" si="1525"/>
        <v>0</v>
      </c>
      <c r="DN668" s="424">
        <f t="shared" si="1525"/>
        <v>0</v>
      </c>
      <c r="DO668" s="424">
        <f t="shared" si="1525"/>
        <v>0</v>
      </c>
      <c r="DP668" s="424">
        <f t="shared" si="1525"/>
        <v>0</v>
      </c>
      <c r="DQ668" s="424">
        <f t="shared" si="1525"/>
        <v>0</v>
      </c>
      <c r="DR668" s="424">
        <f t="shared" si="1525"/>
        <v>0</v>
      </c>
      <c r="DS668" s="424">
        <f t="shared" si="1525"/>
        <v>0</v>
      </c>
      <c r="DT668" s="424">
        <f t="shared" si="1525"/>
        <v>0</v>
      </c>
      <c r="DU668" s="424">
        <f t="shared" si="1525"/>
        <v>0</v>
      </c>
      <c r="DV668" s="424">
        <f t="shared" si="1525"/>
        <v>0</v>
      </c>
      <c r="DW668" s="424">
        <f t="shared" si="1525"/>
        <v>0</v>
      </c>
      <c r="DX668" s="424">
        <f t="shared" si="1525"/>
        <v>0</v>
      </c>
      <c r="DY668" s="424">
        <f t="shared" si="1525"/>
        <v>0</v>
      </c>
      <c r="DZ668" s="424">
        <f t="shared" si="1525"/>
        <v>0</v>
      </c>
      <c r="EA668" s="424">
        <f t="shared" si="1525"/>
        <v>0</v>
      </c>
      <c r="EB668" s="424">
        <f t="shared" si="1525"/>
        <v>0</v>
      </c>
      <c r="EC668" s="424">
        <f t="shared" si="1525"/>
        <v>0</v>
      </c>
      <c r="ED668" s="424">
        <f t="shared" si="1525"/>
        <v>0</v>
      </c>
      <c r="EE668" s="424">
        <f t="shared" si="1525"/>
        <v>0</v>
      </c>
      <c r="EF668" s="424">
        <f t="shared" si="1525"/>
        <v>0</v>
      </c>
      <c r="EG668" s="424">
        <f t="shared" si="1525"/>
        <v>0</v>
      </c>
      <c r="EH668" s="424">
        <f t="shared" ref="EH668:EX668" si="1526">EH298*EH$372</f>
        <v>0</v>
      </c>
      <c r="EI668" s="424">
        <f t="shared" si="1526"/>
        <v>0</v>
      </c>
      <c r="EJ668" s="424">
        <f t="shared" si="1526"/>
        <v>0</v>
      </c>
      <c r="EK668" s="424">
        <f t="shared" si="1526"/>
        <v>0</v>
      </c>
      <c r="EL668" s="424">
        <f t="shared" si="1526"/>
        <v>0</v>
      </c>
      <c r="EM668" s="424">
        <f t="shared" si="1526"/>
        <v>0</v>
      </c>
      <c r="EN668" s="424">
        <f t="shared" si="1526"/>
        <v>0</v>
      </c>
      <c r="EO668" s="424">
        <f t="shared" si="1526"/>
        <v>0</v>
      </c>
      <c r="EP668" s="424">
        <f t="shared" si="1526"/>
        <v>0</v>
      </c>
      <c r="EQ668" s="424">
        <f t="shared" si="1526"/>
        <v>0</v>
      </c>
      <c r="ER668" s="424">
        <f t="shared" si="1526"/>
        <v>0</v>
      </c>
      <c r="ES668" s="424">
        <f t="shared" si="1526"/>
        <v>0</v>
      </c>
      <c r="ET668" s="424">
        <f t="shared" si="1526"/>
        <v>0</v>
      </c>
      <c r="EU668" s="424">
        <f t="shared" si="1526"/>
        <v>0</v>
      </c>
      <c r="EV668" s="424">
        <f t="shared" si="1526"/>
        <v>0</v>
      </c>
      <c r="EW668" s="424">
        <f t="shared" si="1526"/>
        <v>0</v>
      </c>
      <c r="EX668" s="424">
        <f t="shared" si="1526"/>
        <v>0</v>
      </c>
      <c r="EY668" s="425">
        <f t="shared" si="1420"/>
        <v>21.48</v>
      </c>
    </row>
    <row r="669" spans="1:166" ht="14.7" customHeight="1" x14ac:dyDescent="0.25">
      <c r="A669" s="310">
        <v>295</v>
      </c>
      <c r="B669" s="311" t="str">
        <f t="shared" si="1331"/>
        <v>Блины с повидлом яблочным</v>
      </c>
      <c r="C669" s="483">
        <f t="shared" si="1421"/>
        <v>17.18</v>
      </c>
      <c r="D669" s="888"/>
      <c r="E669" s="888"/>
      <c r="F669" s="888"/>
      <c r="G669" s="889"/>
      <c r="H669" s="680">
        <f t="shared" si="1338"/>
        <v>396</v>
      </c>
      <c r="I669" s="1209">
        <f t="shared" si="1332"/>
        <v>0</v>
      </c>
      <c r="J669" s="424">
        <f t="shared" ref="J669:AO669" si="1527">J299*J$372</f>
        <v>0</v>
      </c>
      <c r="K669" s="424">
        <f t="shared" si="1527"/>
        <v>0</v>
      </c>
      <c r="L669" s="424">
        <f t="shared" si="1527"/>
        <v>0</v>
      </c>
      <c r="M669" s="424">
        <f t="shared" si="1527"/>
        <v>0</v>
      </c>
      <c r="N669" s="424">
        <f t="shared" si="1527"/>
        <v>0</v>
      </c>
      <c r="O669" s="424">
        <f t="shared" si="1527"/>
        <v>0</v>
      </c>
      <c r="P669" s="424">
        <f t="shared" si="1527"/>
        <v>0</v>
      </c>
      <c r="Q669" s="424">
        <f t="shared" si="1527"/>
        <v>0</v>
      </c>
      <c r="R669" s="424">
        <f t="shared" si="1527"/>
        <v>0</v>
      </c>
      <c r="S669" s="424">
        <f t="shared" si="1527"/>
        <v>0</v>
      </c>
      <c r="T669" s="424">
        <f t="shared" si="1527"/>
        <v>0</v>
      </c>
      <c r="U669" s="424">
        <f t="shared" si="1527"/>
        <v>9.44</v>
      </c>
      <c r="V669" s="424">
        <f t="shared" si="1527"/>
        <v>0</v>
      </c>
      <c r="W669" s="424">
        <f t="shared" si="1527"/>
        <v>0</v>
      </c>
      <c r="X669" s="424">
        <f t="shared" si="1527"/>
        <v>0</v>
      </c>
      <c r="Y669" s="424">
        <f t="shared" si="1527"/>
        <v>0</v>
      </c>
      <c r="Z669" s="424">
        <f t="shared" si="1527"/>
        <v>0</v>
      </c>
      <c r="AA669" s="424">
        <f t="shared" si="1527"/>
        <v>0</v>
      </c>
      <c r="AB669" s="424">
        <f t="shared" si="1527"/>
        <v>0</v>
      </c>
      <c r="AC669" s="424">
        <f t="shared" si="1527"/>
        <v>0</v>
      </c>
      <c r="AD669" s="424">
        <f t="shared" si="1527"/>
        <v>0</v>
      </c>
      <c r="AE669" s="424">
        <f t="shared" si="1527"/>
        <v>0</v>
      </c>
      <c r="AF669" s="424">
        <f t="shared" si="1527"/>
        <v>0</v>
      </c>
      <c r="AG669" s="424">
        <f t="shared" si="1527"/>
        <v>0</v>
      </c>
      <c r="AH669" s="424">
        <f t="shared" si="1527"/>
        <v>0</v>
      </c>
      <c r="AI669" s="424">
        <f t="shared" si="1527"/>
        <v>0</v>
      </c>
      <c r="AJ669" s="424">
        <f t="shared" si="1527"/>
        <v>0</v>
      </c>
      <c r="AK669" s="424">
        <f t="shared" si="1527"/>
        <v>0</v>
      </c>
      <c r="AL669" s="424">
        <f t="shared" si="1527"/>
        <v>0</v>
      </c>
      <c r="AM669" s="424">
        <f t="shared" si="1527"/>
        <v>0</v>
      </c>
      <c r="AN669" s="424">
        <f t="shared" si="1527"/>
        <v>0</v>
      </c>
      <c r="AO669" s="424">
        <f t="shared" si="1527"/>
        <v>0</v>
      </c>
      <c r="AP669" s="424">
        <f t="shared" ref="AP669:BU669" si="1528">AP299*AP$372</f>
        <v>0</v>
      </c>
      <c r="AQ669" s="424">
        <f t="shared" si="1528"/>
        <v>0</v>
      </c>
      <c r="AR669" s="424">
        <f t="shared" si="1528"/>
        <v>0</v>
      </c>
      <c r="AS669" s="424">
        <f t="shared" si="1528"/>
        <v>0</v>
      </c>
      <c r="AT669" s="424">
        <f t="shared" si="1528"/>
        <v>0</v>
      </c>
      <c r="AU669" s="424">
        <f t="shared" si="1528"/>
        <v>0</v>
      </c>
      <c r="AV669" s="424">
        <f t="shared" si="1528"/>
        <v>0</v>
      </c>
      <c r="AW669" s="424">
        <f t="shared" si="1528"/>
        <v>0</v>
      </c>
      <c r="AX669" s="424">
        <f t="shared" si="1528"/>
        <v>0</v>
      </c>
      <c r="AY669" s="424">
        <f t="shared" si="1528"/>
        <v>0</v>
      </c>
      <c r="AZ669" s="424">
        <f t="shared" si="1528"/>
        <v>0</v>
      </c>
      <c r="BA669" s="424">
        <f t="shared" si="1528"/>
        <v>0</v>
      </c>
      <c r="BB669" s="424">
        <f t="shared" si="1528"/>
        <v>0</v>
      </c>
      <c r="BC669" s="424">
        <f t="shared" si="1528"/>
        <v>0</v>
      </c>
      <c r="BD669" s="424">
        <f t="shared" si="1528"/>
        <v>0</v>
      </c>
      <c r="BE669" s="424">
        <f t="shared" si="1528"/>
        <v>0</v>
      </c>
      <c r="BF669" s="424">
        <f t="shared" si="1528"/>
        <v>0</v>
      </c>
      <c r="BG669" s="424">
        <f t="shared" si="1528"/>
        <v>0</v>
      </c>
      <c r="BH669" s="424">
        <f t="shared" si="1528"/>
        <v>0</v>
      </c>
      <c r="BI669" s="424">
        <f t="shared" si="1528"/>
        <v>0</v>
      </c>
      <c r="BJ669" s="424">
        <f t="shared" si="1528"/>
        <v>0</v>
      </c>
      <c r="BK669" s="424">
        <f t="shared" si="1528"/>
        <v>0</v>
      </c>
      <c r="BL669" s="424">
        <f t="shared" si="1528"/>
        <v>0</v>
      </c>
      <c r="BM669" s="424">
        <f t="shared" si="1528"/>
        <v>0</v>
      </c>
      <c r="BN669" s="424">
        <f t="shared" si="1528"/>
        <v>0</v>
      </c>
      <c r="BO669" s="424">
        <f t="shared" si="1528"/>
        <v>0</v>
      </c>
      <c r="BP669" s="424">
        <f t="shared" si="1528"/>
        <v>0</v>
      </c>
      <c r="BQ669" s="424">
        <f t="shared" si="1528"/>
        <v>0</v>
      </c>
      <c r="BR669" s="424">
        <f t="shared" si="1528"/>
        <v>0</v>
      </c>
      <c r="BS669" s="424">
        <f t="shared" si="1528"/>
        <v>2.7</v>
      </c>
      <c r="BT669" s="424">
        <f t="shared" si="1528"/>
        <v>0</v>
      </c>
      <c r="BU669" s="424">
        <f t="shared" si="1528"/>
        <v>0</v>
      </c>
      <c r="BV669" s="424">
        <f t="shared" ref="BV669:DA669" si="1529">BV299*BV$372</f>
        <v>0</v>
      </c>
      <c r="BW669" s="424">
        <f t="shared" si="1529"/>
        <v>0</v>
      </c>
      <c r="BX669" s="424">
        <f t="shared" si="1529"/>
        <v>0</v>
      </c>
      <c r="BY669" s="424">
        <f t="shared" si="1529"/>
        <v>0</v>
      </c>
      <c r="BZ669" s="424">
        <f t="shared" si="1529"/>
        <v>0</v>
      </c>
      <c r="CA669" s="424">
        <f t="shared" si="1529"/>
        <v>0</v>
      </c>
      <c r="CB669" s="424">
        <f t="shared" si="1529"/>
        <v>0</v>
      </c>
      <c r="CC669" s="424">
        <f t="shared" si="1529"/>
        <v>0</v>
      </c>
      <c r="CD669" s="424">
        <f t="shared" si="1529"/>
        <v>0</v>
      </c>
      <c r="CE669" s="424">
        <f t="shared" si="1529"/>
        <v>0</v>
      </c>
      <c r="CF669" s="424">
        <f t="shared" si="1529"/>
        <v>0.6</v>
      </c>
      <c r="CG669" s="424">
        <f t="shared" si="1529"/>
        <v>0</v>
      </c>
      <c r="CH669" s="424">
        <f t="shared" si="1529"/>
        <v>0</v>
      </c>
      <c r="CI669" s="424">
        <f t="shared" si="1529"/>
        <v>0</v>
      </c>
      <c r="CJ669" s="424">
        <f t="shared" si="1529"/>
        <v>0</v>
      </c>
      <c r="CK669" s="424">
        <f t="shared" si="1529"/>
        <v>0</v>
      </c>
      <c r="CL669" s="424">
        <f t="shared" si="1529"/>
        <v>1.37</v>
      </c>
      <c r="CM669" s="424">
        <f t="shared" si="1529"/>
        <v>0</v>
      </c>
      <c r="CN669" s="424">
        <f t="shared" si="1529"/>
        <v>0</v>
      </c>
      <c r="CO669" s="424">
        <f t="shared" si="1529"/>
        <v>0</v>
      </c>
      <c r="CP669" s="424">
        <f t="shared" si="1529"/>
        <v>0</v>
      </c>
      <c r="CQ669" s="424">
        <f t="shared" si="1529"/>
        <v>0</v>
      </c>
      <c r="CR669" s="424">
        <f t="shared" si="1529"/>
        <v>0</v>
      </c>
      <c r="CS669" s="424">
        <f t="shared" si="1529"/>
        <v>0</v>
      </c>
      <c r="CT669" s="424">
        <f t="shared" si="1529"/>
        <v>0</v>
      </c>
      <c r="CU669" s="424">
        <f t="shared" si="1529"/>
        <v>0</v>
      </c>
      <c r="CV669" s="424">
        <f t="shared" si="1529"/>
        <v>0</v>
      </c>
      <c r="CW669" s="424">
        <f t="shared" si="1529"/>
        <v>2.8</v>
      </c>
      <c r="CX669" s="424">
        <f t="shared" si="1529"/>
        <v>0</v>
      </c>
      <c r="CY669" s="424">
        <f t="shared" si="1529"/>
        <v>0</v>
      </c>
      <c r="CZ669" s="424">
        <f t="shared" si="1529"/>
        <v>0.23</v>
      </c>
      <c r="DA669" s="424">
        <f t="shared" si="1529"/>
        <v>0</v>
      </c>
      <c r="DB669" s="424">
        <f t="shared" ref="DB669:EG669" si="1530">DB299*DB$372</f>
        <v>0</v>
      </c>
      <c r="DC669" s="424">
        <f t="shared" si="1530"/>
        <v>0.04</v>
      </c>
      <c r="DD669" s="424">
        <f t="shared" si="1530"/>
        <v>0</v>
      </c>
      <c r="DE669" s="424">
        <f t="shared" si="1530"/>
        <v>0</v>
      </c>
      <c r="DF669" s="424">
        <f t="shared" si="1530"/>
        <v>0</v>
      </c>
      <c r="DG669" s="424">
        <f t="shared" si="1530"/>
        <v>0</v>
      </c>
      <c r="DH669" s="424">
        <f t="shared" si="1530"/>
        <v>0</v>
      </c>
      <c r="DI669" s="424">
        <f t="shared" si="1530"/>
        <v>0</v>
      </c>
      <c r="DJ669" s="424">
        <f t="shared" si="1530"/>
        <v>0</v>
      </c>
      <c r="DK669" s="424">
        <f t="shared" si="1530"/>
        <v>0</v>
      </c>
      <c r="DL669" s="424">
        <f t="shared" si="1530"/>
        <v>0</v>
      </c>
      <c r="DM669" s="424">
        <f t="shared" si="1530"/>
        <v>0</v>
      </c>
      <c r="DN669" s="424">
        <f t="shared" si="1530"/>
        <v>0</v>
      </c>
      <c r="DO669" s="424">
        <f t="shared" si="1530"/>
        <v>0</v>
      </c>
      <c r="DP669" s="424">
        <f t="shared" si="1530"/>
        <v>0</v>
      </c>
      <c r="DQ669" s="424">
        <f t="shared" si="1530"/>
        <v>0</v>
      </c>
      <c r="DR669" s="424">
        <f t="shared" si="1530"/>
        <v>0</v>
      </c>
      <c r="DS669" s="424">
        <f t="shared" si="1530"/>
        <v>0</v>
      </c>
      <c r="DT669" s="424">
        <f t="shared" si="1530"/>
        <v>0</v>
      </c>
      <c r="DU669" s="424">
        <f t="shared" si="1530"/>
        <v>0</v>
      </c>
      <c r="DV669" s="424">
        <f t="shared" si="1530"/>
        <v>0</v>
      </c>
      <c r="DW669" s="424">
        <f t="shared" si="1530"/>
        <v>0</v>
      </c>
      <c r="DX669" s="424">
        <f t="shared" si="1530"/>
        <v>0</v>
      </c>
      <c r="DY669" s="424">
        <f t="shared" si="1530"/>
        <v>0</v>
      </c>
      <c r="DZ669" s="424">
        <f t="shared" si="1530"/>
        <v>0</v>
      </c>
      <c r="EA669" s="424">
        <f t="shared" si="1530"/>
        <v>0</v>
      </c>
      <c r="EB669" s="424">
        <f t="shared" si="1530"/>
        <v>0</v>
      </c>
      <c r="EC669" s="424">
        <f t="shared" si="1530"/>
        <v>0</v>
      </c>
      <c r="ED669" s="424">
        <f t="shared" si="1530"/>
        <v>0</v>
      </c>
      <c r="EE669" s="424">
        <f t="shared" si="1530"/>
        <v>0</v>
      </c>
      <c r="EF669" s="424">
        <f t="shared" si="1530"/>
        <v>0</v>
      </c>
      <c r="EG669" s="424">
        <f t="shared" si="1530"/>
        <v>0</v>
      </c>
      <c r="EH669" s="424">
        <f t="shared" ref="EH669:EX669" si="1531">EH299*EH$372</f>
        <v>0</v>
      </c>
      <c r="EI669" s="424">
        <f t="shared" si="1531"/>
        <v>0</v>
      </c>
      <c r="EJ669" s="424">
        <f t="shared" si="1531"/>
        <v>0</v>
      </c>
      <c r="EK669" s="424">
        <f t="shared" si="1531"/>
        <v>0</v>
      </c>
      <c r="EL669" s="424">
        <f t="shared" si="1531"/>
        <v>0</v>
      </c>
      <c r="EM669" s="424">
        <f t="shared" si="1531"/>
        <v>0</v>
      </c>
      <c r="EN669" s="424">
        <f t="shared" si="1531"/>
        <v>0</v>
      </c>
      <c r="EO669" s="424">
        <f t="shared" si="1531"/>
        <v>0</v>
      </c>
      <c r="EP669" s="424">
        <f t="shared" si="1531"/>
        <v>0</v>
      </c>
      <c r="EQ669" s="424">
        <f t="shared" si="1531"/>
        <v>0</v>
      </c>
      <c r="ER669" s="424">
        <f t="shared" si="1531"/>
        <v>0</v>
      </c>
      <c r="ES669" s="424">
        <f t="shared" si="1531"/>
        <v>0</v>
      </c>
      <c r="ET669" s="424">
        <f t="shared" si="1531"/>
        <v>0</v>
      </c>
      <c r="EU669" s="424">
        <f t="shared" si="1531"/>
        <v>0</v>
      </c>
      <c r="EV669" s="424">
        <f t="shared" si="1531"/>
        <v>0</v>
      </c>
      <c r="EW669" s="424">
        <f t="shared" si="1531"/>
        <v>0</v>
      </c>
      <c r="EX669" s="424">
        <f t="shared" si="1531"/>
        <v>0</v>
      </c>
      <c r="EY669" s="425">
        <f t="shared" si="1420"/>
        <v>17.18</v>
      </c>
    </row>
    <row r="670" spans="1:166" ht="14.7" customHeight="1" x14ac:dyDescent="0.25">
      <c r="A670" s="310">
        <v>296</v>
      </c>
      <c r="B670" s="311" t="str">
        <f t="shared" si="1331"/>
        <v>Блины с медом</v>
      </c>
      <c r="C670" s="483">
        <f t="shared" si="1421"/>
        <v>19.18</v>
      </c>
      <c r="D670" s="888"/>
      <c r="E670" s="888"/>
      <c r="F670" s="888"/>
      <c r="G670" s="889"/>
      <c r="H670" s="680">
        <f t="shared" si="1338"/>
        <v>396</v>
      </c>
      <c r="I670" s="1209">
        <f t="shared" si="1332"/>
        <v>0</v>
      </c>
      <c r="J670" s="424">
        <f t="shared" ref="J670:AO670" si="1532">J300*J$372</f>
        <v>0</v>
      </c>
      <c r="K670" s="424">
        <f t="shared" si="1532"/>
        <v>0</v>
      </c>
      <c r="L670" s="424">
        <f t="shared" si="1532"/>
        <v>0</v>
      </c>
      <c r="M670" s="424">
        <f t="shared" si="1532"/>
        <v>0</v>
      </c>
      <c r="N670" s="424">
        <f t="shared" si="1532"/>
        <v>0</v>
      </c>
      <c r="O670" s="424">
        <f t="shared" si="1532"/>
        <v>0</v>
      </c>
      <c r="P670" s="424">
        <f t="shared" si="1532"/>
        <v>0</v>
      </c>
      <c r="Q670" s="424">
        <f t="shared" si="1532"/>
        <v>0</v>
      </c>
      <c r="R670" s="424">
        <f t="shared" si="1532"/>
        <v>0</v>
      </c>
      <c r="S670" s="424">
        <f t="shared" si="1532"/>
        <v>0</v>
      </c>
      <c r="T670" s="424">
        <f t="shared" si="1532"/>
        <v>0</v>
      </c>
      <c r="U670" s="424">
        <f t="shared" si="1532"/>
        <v>9.44</v>
      </c>
      <c r="V670" s="424">
        <f t="shared" si="1532"/>
        <v>0</v>
      </c>
      <c r="W670" s="424">
        <f t="shared" si="1532"/>
        <v>0</v>
      </c>
      <c r="X670" s="424">
        <f t="shared" si="1532"/>
        <v>0</v>
      </c>
      <c r="Y670" s="424">
        <f t="shared" si="1532"/>
        <v>0</v>
      </c>
      <c r="Z670" s="424">
        <f t="shared" si="1532"/>
        <v>0</v>
      </c>
      <c r="AA670" s="424">
        <f t="shared" si="1532"/>
        <v>0</v>
      </c>
      <c r="AB670" s="424">
        <f t="shared" si="1532"/>
        <v>0</v>
      </c>
      <c r="AC670" s="424">
        <f t="shared" si="1532"/>
        <v>0</v>
      </c>
      <c r="AD670" s="424">
        <f t="shared" si="1532"/>
        <v>4.8</v>
      </c>
      <c r="AE670" s="424">
        <f t="shared" si="1532"/>
        <v>0</v>
      </c>
      <c r="AF670" s="424">
        <f t="shared" si="1532"/>
        <v>0</v>
      </c>
      <c r="AG670" s="424">
        <f t="shared" si="1532"/>
        <v>0</v>
      </c>
      <c r="AH670" s="424">
        <f t="shared" si="1532"/>
        <v>0</v>
      </c>
      <c r="AI670" s="424">
        <f t="shared" si="1532"/>
        <v>0</v>
      </c>
      <c r="AJ670" s="424">
        <f t="shared" si="1532"/>
        <v>0</v>
      </c>
      <c r="AK670" s="424">
        <f t="shared" si="1532"/>
        <v>0</v>
      </c>
      <c r="AL670" s="424">
        <f t="shared" si="1532"/>
        <v>0</v>
      </c>
      <c r="AM670" s="424">
        <f t="shared" si="1532"/>
        <v>0</v>
      </c>
      <c r="AN670" s="424">
        <f t="shared" si="1532"/>
        <v>0</v>
      </c>
      <c r="AO670" s="424">
        <f t="shared" si="1532"/>
        <v>0</v>
      </c>
      <c r="AP670" s="424">
        <f t="shared" ref="AP670:BU670" si="1533">AP300*AP$372</f>
        <v>0</v>
      </c>
      <c r="AQ670" s="424">
        <f t="shared" si="1533"/>
        <v>0</v>
      </c>
      <c r="AR670" s="424">
        <f t="shared" si="1533"/>
        <v>0</v>
      </c>
      <c r="AS670" s="424">
        <f t="shared" si="1533"/>
        <v>0</v>
      </c>
      <c r="AT670" s="424">
        <f t="shared" si="1533"/>
        <v>0</v>
      </c>
      <c r="AU670" s="424">
        <f t="shared" si="1533"/>
        <v>0</v>
      </c>
      <c r="AV670" s="424">
        <f t="shared" si="1533"/>
        <v>0</v>
      </c>
      <c r="AW670" s="424">
        <f t="shared" si="1533"/>
        <v>0</v>
      </c>
      <c r="AX670" s="424">
        <f t="shared" si="1533"/>
        <v>0</v>
      </c>
      <c r="AY670" s="424">
        <f t="shared" si="1533"/>
        <v>0</v>
      </c>
      <c r="AZ670" s="424">
        <f t="shared" si="1533"/>
        <v>0</v>
      </c>
      <c r="BA670" s="424">
        <f t="shared" si="1533"/>
        <v>0</v>
      </c>
      <c r="BB670" s="424">
        <f t="shared" si="1533"/>
        <v>0</v>
      </c>
      <c r="BC670" s="424">
        <f t="shared" si="1533"/>
        <v>0</v>
      </c>
      <c r="BD670" s="424">
        <f t="shared" si="1533"/>
        <v>0</v>
      </c>
      <c r="BE670" s="424">
        <f t="shared" si="1533"/>
        <v>0</v>
      </c>
      <c r="BF670" s="424">
        <f t="shared" si="1533"/>
        <v>0</v>
      </c>
      <c r="BG670" s="424">
        <f t="shared" si="1533"/>
        <v>0</v>
      </c>
      <c r="BH670" s="424">
        <f t="shared" si="1533"/>
        <v>0</v>
      </c>
      <c r="BI670" s="424">
        <f t="shared" si="1533"/>
        <v>0</v>
      </c>
      <c r="BJ670" s="424">
        <f t="shared" si="1533"/>
        <v>0</v>
      </c>
      <c r="BK670" s="424">
        <f t="shared" si="1533"/>
        <v>0</v>
      </c>
      <c r="BL670" s="424">
        <f t="shared" si="1533"/>
        <v>0</v>
      </c>
      <c r="BM670" s="424">
        <f t="shared" si="1533"/>
        <v>0</v>
      </c>
      <c r="BN670" s="424">
        <f t="shared" si="1533"/>
        <v>0</v>
      </c>
      <c r="BO670" s="424">
        <f t="shared" si="1533"/>
        <v>0</v>
      </c>
      <c r="BP670" s="424">
        <f t="shared" si="1533"/>
        <v>0</v>
      </c>
      <c r="BQ670" s="424">
        <f t="shared" si="1533"/>
        <v>0</v>
      </c>
      <c r="BR670" s="424">
        <f t="shared" si="1533"/>
        <v>0</v>
      </c>
      <c r="BS670" s="424">
        <f t="shared" si="1533"/>
        <v>2.7</v>
      </c>
      <c r="BT670" s="424">
        <f t="shared" si="1533"/>
        <v>0</v>
      </c>
      <c r="BU670" s="424">
        <f t="shared" si="1533"/>
        <v>0</v>
      </c>
      <c r="BV670" s="424">
        <f t="shared" ref="BV670:DA670" si="1534">BV300*BV$372</f>
        <v>0</v>
      </c>
      <c r="BW670" s="424">
        <f t="shared" si="1534"/>
        <v>0</v>
      </c>
      <c r="BX670" s="424">
        <f t="shared" si="1534"/>
        <v>0</v>
      </c>
      <c r="BY670" s="424">
        <f t="shared" si="1534"/>
        <v>0</v>
      </c>
      <c r="BZ670" s="424">
        <f t="shared" si="1534"/>
        <v>0</v>
      </c>
      <c r="CA670" s="424">
        <f t="shared" si="1534"/>
        <v>0</v>
      </c>
      <c r="CB670" s="424">
        <f t="shared" si="1534"/>
        <v>0</v>
      </c>
      <c r="CC670" s="424">
        <f t="shared" si="1534"/>
        <v>0</v>
      </c>
      <c r="CD670" s="424">
        <f t="shared" si="1534"/>
        <v>0</v>
      </c>
      <c r="CE670" s="424">
        <f t="shared" si="1534"/>
        <v>0</v>
      </c>
      <c r="CF670" s="424">
        <f t="shared" si="1534"/>
        <v>0.6</v>
      </c>
      <c r="CG670" s="424">
        <f t="shared" si="1534"/>
        <v>0</v>
      </c>
      <c r="CH670" s="424">
        <f t="shared" si="1534"/>
        <v>0</v>
      </c>
      <c r="CI670" s="424">
        <f t="shared" si="1534"/>
        <v>0</v>
      </c>
      <c r="CJ670" s="424">
        <f t="shared" si="1534"/>
        <v>0</v>
      </c>
      <c r="CK670" s="424">
        <f t="shared" si="1534"/>
        <v>0</v>
      </c>
      <c r="CL670" s="424">
        <f t="shared" si="1534"/>
        <v>1.37</v>
      </c>
      <c r="CM670" s="424">
        <f t="shared" si="1534"/>
        <v>0</v>
      </c>
      <c r="CN670" s="424">
        <f t="shared" si="1534"/>
        <v>0</v>
      </c>
      <c r="CO670" s="424">
        <f t="shared" si="1534"/>
        <v>0</v>
      </c>
      <c r="CP670" s="424">
        <f t="shared" si="1534"/>
        <v>0</v>
      </c>
      <c r="CQ670" s="424">
        <f t="shared" si="1534"/>
        <v>0</v>
      </c>
      <c r="CR670" s="424">
        <f t="shared" si="1534"/>
        <v>0</v>
      </c>
      <c r="CS670" s="424">
        <f t="shared" si="1534"/>
        <v>0</v>
      </c>
      <c r="CT670" s="424">
        <f t="shared" si="1534"/>
        <v>0</v>
      </c>
      <c r="CU670" s="424">
        <f t="shared" si="1534"/>
        <v>0</v>
      </c>
      <c r="CV670" s="424">
        <f t="shared" si="1534"/>
        <v>0</v>
      </c>
      <c r="CW670" s="424">
        <f t="shared" si="1534"/>
        <v>0</v>
      </c>
      <c r="CX670" s="424">
        <f t="shared" si="1534"/>
        <v>0</v>
      </c>
      <c r="CY670" s="424">
        <f t="shared" si="1534"/>
        <v>0</v>
      </c>
      <c r="CZ670" s="424">
        <f t="shared" si="1534"/>
        <v>0.23</v>
      </c>
      <c r="DA670" s="424">
        <f t="shared" si="1534"/>
        <v>0</v>
      </c>
      <c r="DB670" s="424">
        <f t="shared" ref="DB670:EG670" si="1535">DB300*DB$372</f>
        <v>0</v>
      </c>
      <c r="DC670" s="424">
        <f t="shared" si="1535"/>
        <v>0.04</v>
      </c>
      <c r="DD670" s="424">
        <f t="shared" si="1535"/>
        <v>0</v>
      </c>
      <c r="DE670" s="424">
        <f t="shared" si="1535"/>
        <v>0</v>
      </c>
      <c r="DF670" s="424">
        <f t="shared" si="1535"/>
        <v>0</v>
      </c>
      <c r="DG670" s="424">
        <f t="shared" si="1535"/>
        <v>0</v>
      </c>
      <c r="DH670" s="424">
        <f t="shared" si="1535"/>
        <v>0</v>
      </c>
      <c r="DI670" s="424">
        <f t="shared" si="1535"/>
        <v>0</v>
      </c>
      <c r="DJ670" s="424">
        <f t="shared" si="1535"/>
        <v>0</v>
      </c>
      <c r="DK670" s="424">
        <f t="shared" si="1535"/>
        <v>0</v>
      </c>
      <c r="DL670" s="424">
        <f t="shared" si="1535"/>
        <v>0</v>
      </c>
      <c r="DM670" s="424">
        <f t="shared" si="1535"/>
        <v>0</v>
      </c>
      <c r="DN670" s="424">
        <f t="shared" si="1535"/>
        <v>0</v>
      </c>
      <c r="DO670" s="424">
        <f t="shared" si="1535"/>
        <v>0</v>
      </c>
      <c r="DP670" s="424">
        <f t="shared" si="1535"/>
        <v>0</v>
      </c>
      <c r="DQ670" s="424">
        <f t="shared" si="1535"/>
        <v>0</v>
      </c>
      <c r="DR670" s="424">
        <f t="shared" si="1535"/>
        <v>0</v>
      </c>
      <c r="DS670" s="424">
        <f t="shared" si="1535"/>
        <v>0</v>
      </c>
      <c r="DT670" s="424">
        <f t="shared" si="1535"/>
        <v>0</v>
      </c>
      <c r="DU670" s="424">
        <f t="shared" si="1535"/>
        <v>0</v>
      </c>
      <c r="DV670" s="424">
        <f t="shared" si="1535"/>
        <v>0</v>
      </c>
      <c r="DW670" s="424">
        <f t="shared" si="1535"/>
        <v>0</v>
      </c>
      <c r="DX670" s="424">
        <f t="shared" si="1535"/>
        <v>0</v>
      </c>
      <c r="DY670" s="424">
        <f t="shared" si="1535"/>
        <v>0</v>
      </c>
      <c r="DZ670" s="424">
        <f t="shared" si="1535"/>
        <v>0</v>
      </c>
      <c r="EA670" s="424">
        <f t="shared" si="1535"/>
        <v>0</v>
      </c>
      <c r="EB670" s="424">
        <f t="shared" si="1535"/>
        <v>0</v>
      </c>
      <c r="EC670" s="424">
        <f t="shared" si="1535"/>
        <v>0</v>
      </c>
      <c r="ED670" s="424">
        <f t="shared" si="1535"/>
        <v>0</v>
      </c>
      <c r="EE670" s="424">
        <f t="shared" si="1535"/>
        <v>0</v>
      </c>
      <c r="EF670" s="424">
        <f t="shared" si="1535"/>
        <v>0</v>
      </c>
      <c r="EG670" s="424">
        <f t="shared" si="1535"/>
        <v>0</v>
      </c>
      <c r="EH670" s="424">
        <f t="shared" ref="EH670:EX670" si="1536">EH300*EH$372</f>
        <v>0</v>
      </c>
      <c r="EI670" s="424">
        <f t="shared" si="1536"/>
        <v>0</v>
      </c>
      <c r="EJ670" s="424">
        <f t="shared" si="1536"/>
        <v>0</v>
      </c>
      <c r="EK670" s="424">
        <f t="shared" si="1536"/>
        <v>0</v>
      </c>
      <c r="EL670" s="424">
        <f t="shared" si="1536"/>
        <v>0</v>
      </c>
      <c r="EM670" s="424">
        <f t="shared" si="1536"/>
        <v>0</v>
      </c>
      <c r="EN670" s="424">
        <f t="shared" si="1536"/>
        <v>0</v>
      </c>
      <c r="EO670" s="424">
        <f t="shared" si="1536"/>
        <v>0</v>
      </c>
      <c r="EP670" s="424">
        <f t="shared" si="1536"/>
        <v>0</v>
      </c>
      <c r="EQ670" s="424">
        <f t="shared" si="1536"/>
        <v>0</v>
      </c>
      <c r="ER670" s="424">
        <f t="shared" si="1536"/>
        <v>0</v>
      </c>
      <c r="ES670" s="424">
        <f t="shared" si="1536"/>
        <v>0</v>
      </c>
      <c r="ET670" s="424">
        <f t="shared" si="1536"/>
        <v>0</v>
      </c>
      <c r="EU670" s="424">
        <f t="shared" si="1536"/>
        <v>0</v>
      </c>
      <c r="EV670" s="424">
        <f t="shared" si="1536"/>
        <v>0</v>
      </c>
      <c r="EW670" s="424">
        <f t="shared" si="1536"/>
        <v>0</v>
      </c>
      <c r="EX670" s="424">
        <f t="shared" si="1536"/>
        <v>0</v>
      </c>
      <c r="EY670" s="425">
        <f t="shared" si="1420"/>
        <v>19.18</v>
      </c>
    </row>
    <row r="671" spans="1:166" s="467" customFormat="1" ht="14.7" customHeight="1" x14ac:dyDescent="0.25">
      <c r="A671" s="310">
        <v>297</v>
      </c>
      <c r="B671" s="311" t="str">
        <f t="shared" si="1331"/>
        <v>Блины с молоком сгущенным</v>
      </c>
      <c r="C671" s="483">
        <f t="shared" si="1421"/>
        <v>19.38</v>
      </c>
      <c r="D671" s="888"/>
      <c r="E671" s="888"/>
      <c r="F671" s="888"/>
      <c r="G671" s="889"/>
      <c r="H671" s="680">
        <f t="shared" si="1338"/>
        <v>396</v>
      </c>
      <c r="I671" s="1209">
        <f t="shared" si="1332"/>
        <v>0</v>
      </c>
      <c r="J671" s="424">
        <f t="shared" ref="J671:AO671" si="1537">J301*J$372</f>
        <v>0</v>
      </c>
      <c r="K671" s="424">
        <f t="shared" si="1537"/>
        <v>0</v>
      </c>
      <c r="L671" s="424">
        <f t="shared" si="1537"/>
        <v>0</v>
      </c>
      <c r="M671" s="424">
        <f t="shared" si="1537"/>
        <v>0</v>
      </c>
      <c r="N671" s="424">
        <f t="shared" si="1537"/>
        <v>0</v>
      </c>
      <c r="O671" s="424">
        <f t="shared" si="1537"/>
        <v>0</v>
      </c>
      <c r="P671" s="424">
        <f t="shared" si="1537"/>
        <v>0</v>
      </c>
      <c r="Q671" s="424">
        <f t="shared" si="1537"/>
        <v>0</v>
      </c>
      <c r="R671" s="424">
        <f t="shared" si="1537"/>
        <v>0</v>
      </c>
      <c r="S671" s="424">
        <f t="shared" si="1537"/>
        <v>0</v>
      </c>
      <c r="T671" s="424">
        <f t="shared" si="1537"/>
        <v>0</v>
      </c>
      <c r="U671" s="424">
        <f t="shared" si="1537"/>
        <v>9.44</v>
      </c>
      <c r="V671" s="424">
        <f t="shared" si="1537"/>
        <v>0</v>
      </c>
      <c r="W671" s="424">
        <f t="shared" si="1537"/>
        <v>0</v>
      </c>
      <c r="X671" s="424">
        <f t="shared" si="1537"/>
        <v>0</v>
      </c>
      <c r="Y671" s="424">
        <f t="shared" si="1537"/>
        <v>0</v>
      </c>
      <c r="Z671" s="424">
        <f t="shared" si="1537"/>
        <v>5</v>
      </c>
      <c r="AA671" s="424">
        <f t="shared" si="1537"/>
        <v>0</v>
      </c>
      <c r="AB671" s="424">
        <f t="shared" si="1537"/>
        <v>0</v>
      </c>
      <c r="AC671" s="424">
        <f t="shared" si="1537"/>
        <v>0</v>
      </c>
      <c r="AD671" s="424">
        <f t="shared" si="1537"/>
        <v>0</v>
      </c>
      <c r="AE671" s="424">
        <f t="shared" si="1537"/>
        <v>0</v>
      </c>
      <c r="AF671" s="424">
        <f t="shared" si="1537"/>
        <v>0</v>
      </c>
      <c r="AG671" s="424">
        <f t="shared" si="1537"/>
        <v>0</v>
      </c>
      <c r="AH671" s="424">
        <f t="shared" si="1537"/>
        <v>0</v>
      </c>
      <c r="AI671" s="424">
        <f t="shared" si="1537"/>
        <v>0</v>
      </c>
      <c r="AJ671" s="424">
        <f t="shared" si="1537"/>
        <v>0</v>
      </c>
      <c r="AK671" s="424">
        <f t="shared" si="1537"/>
        <v>0</v>
      </c>
      <c r="AL671" s="424">
        <f t="shared" si="1537"/>
        <v>0</v>
      </c>
      <c r="AM671" s="424">
        <f t="shared" si="1537"/>
        <v>0</v>
      </c>
      <c r="AN671" s="424">
        <f t="shared" si="1537"/>
        <v>0</v>
      </c>
      <c r="AO671" s="424">
        <f t="shared" si="1537"/>
        <v>0</v>
      </c>
      <c r="AP671" s="424">
        <f t="shared" ref="AP671:BU671" si="1538">AP301*AP$372</f>
        <v>0</v>
      </c>
      <c r="AQ671" s="424">
        <f t="shared" si="1538"/>
        <v>0</v>
      </c>
      <c r="AR671" s="424">
        <f t="shared" si="1538"/>
        <v>0</v>
      </c>
      <c r="AS671" s="424">
        <f t="shared" si="1538"/>
        <v>0</v>
      </c>
      <c r="AT671" s="424">
        <f t="shared" si="1538"/>
        <v>0</v>
      </c>
      <c r="AU671" s="424">
        <f t="shared" si="1538"/>
        <v>0</v>
      </c>
      <c r="AV671" s="424">
        <f t="shared" si="1538"/>
        <v>0</v>
      </c>
      <c r="AW671" s="424">
        <f t="shared" si="1538"/>
        <v>0</v>
      </c>
      <c r="AX671" s="424">
        <f t="shared" si="1538"/>
        <v>0</v>
      </c>
      <c r="AY671" s="424">
        <f t="shared" si="1538"/>
        <v>0</v>
      </c>
      <c r="AZ671" s="424">
        <f t="shared" si="1538"/>
        <v>0</v>
      </c>
      <c r="BA671" s="424">
        <f t="shared" si="1538"/>
        <v>0</v>
      </c>
      <c r="BB671" s="424">
        <f t="shared" si="1538"/>
        <v>0</v>
      </c>
      <c r="BC671" s="424">
        <f t="shared" si="1538"/>
        <v>0</v>
      </c>
      <c r="BD671" s="424">
        <f t="shared" si="1538"/>
        <v>0</v>
      </c>
      <c r="BE671" s="424">
        <f t="shared" si="1538"/>
        <v>0</v>
      </c>
      <c r="BF671" s="424">
        <f t="shared" si="1538"/>
        <v>0</v>
      </c>
      <c r="BG671" s="424">
        <f t="shared" si="1538"/>
        <v>0</v>
      </c>
      <c r="BH671" s="424">
        <f t="shared" si="1538"/>
        <v>0</v>
      </c>
      <c r="BI671" s="424">
        <f t="shared" si="1538"/>
        <v>0</v>
      </c>
      <c r="BJ671" s="424">
        <f t="shared" si="1538"/>
        <v>0</v>
      </c>
      <c r="BK671" s="424">
        <f t="shared" si="1538"/>
        <v>0</v>
      </c>
      <c r="BL671" s="424">
        <f t="shared" si="1538"/>
        <v>0</v>
      </c>
      <c r="BM671" s="424">
        <f t="shared" si="1538"/>
        <v>0</v>
      </c>
      <c r="BN671" s="424">
        <f t="shared" si="1538"/>
        <v>0</v>
      </c>
      <c r="BO671" s="424">
        <f t="shared" si="1538"/>
        <v>0</v>
      </c>
      <c r="BP671" s="424">
        <f t="shared" si="1538"/>
        <v>0</v>
      </c>
      <c r="BQ671" s="424">
        <f t="shared" si="1538"/>
        <v>0</v>
      </c>
      <c r="BR671" s="424">
        <f t="shared" si="1538"/>
        <v>0</v>
      </c>
      <c r="BS671" s="424">
        <f t="shared" si="1538"/>
        <v>2.7</v>
      </c>
      <c r="BT671" s="424">
        <f t="shared" si="1538"/>
        <v>0</v>
      </c>
      <c r="BU671" s="424">
        <f t="shared" si="1538"/>
        <v>0</v>
      </c>
      <c r="BV671" s="424">
        <f t="shared" ref="BV671:DA671" si="1539">BV301*BV$372</f>
        <v>0</v>
      </c>
      <c r="BW671" s="424">
        <f t="shared" si="1539"/>
        <v>0</v>
      </c>
      <c r="BX671" s="424">
        <f t="shared" si="1539"/>
        <v>0</v>
      </c>
      <c r="BY671" s="424">
        <f t="shared" si="1539"/>
        <v>0</v>
      </c>
      <c r="BZ671" s="424">
        <f t="shared" si="1539"/>
        <v>0</v>
      </c>
      <c r="CA671" s="424">
        <f t="shared" si="1539"/>
        <v>0</v>
      </c>
      <c r="CB671" s="424">
        <f t="shared" si="1539"/>
        <v>0</v>
      </c>
      <c r="CC671" s="424">
        <f t="shared" si="1539"/>
        <v>0</v>
      </c>
      <c r="CD671" s="424">
        <f t="shared" si="1539"/>
        <v>0</v>
      </c>
      <c r="CE671" s="424">
        <f t="shared" si="1539"/>
        <v>0</v>
      </c>
      <c r="CF671" s="424">
        <f t="shared" si="1539"/>
        <v>0.6</v>
      </c>
      <c r="CG671" s="424">
        <f t="shared" si="1539"/>
        <v>0</v>
      </c>
      <c r="CH671" s="424">
        <f t="shared" si="1539"/>
        <v>0</v>
      </c>
      <c r="CI671" s="424">
        <f t="shared" si="1539"/>
        <v>0</v>
      </c>
      <c r="CJ671" s="424">
        <f t="shared" si="1539"/>
        <v>0</v>
      </c>
      <c r="CK671" s="424">
        <f t="shared" si="1539"/>
        <v>0</v>
      </c>
      <c r="CL671" s="424">
        <f t="shared" si="1539"/>
        <v>1.37</v>
      </c>
      <c r="CM671" s="424">
        <f t="shared" si="1539"/>
        <v>0</v>
      </c>
      <c r="CN671" s="424">
        <f t="shared" si="1539"/>
        <v>0</v>
      </c>
      <c r="CO671" s="424">
        <f t="shared" si="1539"/>
        <v>0</v>
      </c>
      <c r="CP671" s="424">
        <f t="shared" si="1539"/>
        <v>0</v>
      </c>
      <c r="CQ671" s="424">
        <f t="shared" si="1539"/>
        <v>0</v>
      </c>
      <c r="CR671" s="424">
        <f t="shared" si="1539"/>
        <v>0</v>
      </c>
      <c r="CS671" s="424">
        <f t="shared" si="1539"/>
        <v>0</v>
      </c>
      <c r="CT671" s="424">
        <f t="shared" si="1539"/>
        <v>0</v>
      </c>
      <c r="CU671" s="424">
        <f t="shared" si="1539"/>
        <v>0</v>
      </c>
      <c r="CV671" s="424">
        <f t="shared" si="1539"/>
        <v>0</v>
      </c>
      <c r="CW671" s="424">
        <f t="shared" si="1539"/>
        <v>0</v>
      </c>
      <c r="CX671" s="424">
        <f t="shared" si="1539"/>
        <v>0</v>
      </c>
      <c r="CY671" s="424">
        <f t="shared" si="1539"/>
        <v>0</v>
      </c>
      <c r="CZ671" s="424">
        <f t="shared" si="1539"/>
        <v>0.23</v>
      </c>
      <c r="DA671" s="424">
        <f t="shared" si="1539"/>
        <v>0</v>
      </c>
      <c r="DB671" s="424">
        <f t="shared" ref="DB671:EG671" si="1540">DB301*DB$372</f>
        <v>0</v>
      </c>
      <c r="DC671" s="424">
        <f t="shared" si="1540"/>
        <v>0.04</v>
      </c>
      <c r="DD671" s="424">
        <f t="shared" si="1540"/>
        <v>0</v>
      </c>
      <c r="DE671" s="424">
        <f t="shared" si="1540"/>
        <v>0</v>
      </c>
      <c r="DF671" s="424">
        <f t="shared" si="1540"/>
        <v>0</v>
      </c>
      <c r="DG671" s="424">
        <f t="shared" si="1540"/>
        <v>0</v>
      </c>
      <c r="DH671" s="424">
        <f t="shared" si="1540"/>
        <v>0</v>
      </c>
      <c r="DI671" s="424">
        <f t="shared" si="1540"/>
        <v>0</v>
      </c>
      <c r="DJ671" s="424">
        <f t="shared" si="1540"/>
        <v>0</v>
      </c>
      <c r="DK671" s="424">
        <f t="shared" si="1540"/>
        <v>0</v>
      </c>
      <c r="DL671" s="424">
        <f t="shared" si="1540"/>
        <v>0</v>
      </c>
      <c r="DM671" s="424">
        <f t="shared" si="1540"/>
        <v>0</v>
      </c>
      <c r="DN671" s="424">
        <f t="shared" si="1540"/>
        <v>0</v>
      </c>
      <c r="DO671" s="424">
        <f t="shared" si="1540"/>
        <v>0</v>
      </c>
      <c r="DP671" s="424">
        <f t="shared" si="1540"/>
        <v>0</v>
      </c>
      <c r="DQ671" s="424">
        <f t="shared" si="1540"/>
        <v>0</v>
      </c>
      <c r="DR671" s="424">
        <f t="shared" si="1540"/>
        <v>0</v>
      </c>
      <c r="DS671" s="424">
        <f t="shared" si="1540"/>
        <v>0</v>
      </c>
      <c r="DT671" s="424">
        <f t="shared" si="1540"/>
        <v>0</v>
      </c>
      <c r="DU671" s="424">
        <f t="shared" si="1540"/>
        <v>0</v>
      </c>
      <c r="DV671" s="424">
        <f t="shared" si="1540"/>
        <v>0</v>
      </c>
      <c r="DW671" s="424">
        <f t="shared" si="1540"/>
        <v>0</v>
      </c>
      <c r="DX671" s="424">
        <f t="shared" si="1540"/>
        <v>0</v>
      </c>
      <c r="DY671" s="424">
        <f t="shared" si="1540"/>
        <v>0</v>
      </c>
      <c r="DZ671" s="424">
        <f t="shared" si="1540"/>
        <v>0</v>
      </c>
      <c r="EA671" s="424">
        <f t="shared" si="1540"/>
        <v>0</v>
      </c>
      <c r="EB671" s="424">
        <f t="shared" si="1540"/>
        <v>0</v>
      </c>
      <c r="EC671" s="424">
        <f t="shared" si="1540"/>
        <v>0</v>
      </c>
      <c r="ED671" s="424">
        <f t="shared" si="1540"/>
        <v>0</v>
      </c>
      <c r="EE671" s="424">
        <f t="shared" si="1540"/>
        <v>0</v>
      </c>
      <c r="EF671" s="424">
        <f t="shared" si="1540"/>
        <v>0</v>
      </c>
      <c r="EG671" s="424">
        <f t="shared" si="1540"/>
        <v>0</v>
      </c>
      <c r="EH671" s="424">
        <f t="shared" ref="EH671:EX671" si="1541">EH301*EH$372</f>
        <v>0</v>
      </c>
      <c r="EI671" s="424">
        <f t="shared" si="1541"/>
        <v>0</v>
      </c>
      <c r="EJ671" s="424">
        <f t="shared" si="1541"/>
        <v>0</v>
      </c>
      <c r="EK671" s="424">
        <f t="shared" si="1541"/>
        <v>0</v>
      </c>
      <c r="EL671" s="424">
        <f t="shared" si="1541"/>
        <v>0</v>
      </c>
      <c r="EM671" s="424">
        <f t="shared" si="1541"/>
        <v>0</v>
      </c>
      <c r="EN671" s="424">
        <f t="shared" si="1541"/>
        <v>0</v>
      </c>
      <c r="EO671" s="424">
        <f t="shared" si="1541"/>
        <v>0</v>
      </c>
      <c r="EP671" s="424">
        <f t="shared" si="1541"/>
        <v>0</v>
      </c>
      <c r="EQ671" s="424">
        <f t="shared" si="1541"/>
        <v>0</v>
      </c>
      <c r="ER671" s="424">
        <f t="shared" si="1541"/>
        <v>0</v>
      </c>
      <c r="ES671" s="424">
        <f t="shared" si="1541"/>
        <v>0</v>
      </c>
      <c r="ET671" s="424">
        <f t="shared" si="1541"/>
        <v>0</v>
      </c>
      <c r="EU671" s="424">
        <f t="shared" si="1541"/>
        <v>0</v>
      </c>
      <c r="EV671" s="424">
        <f t="shared" si="1541"/>
        <v>0</v>
      </c>
      <c r="EW671" s="424">
        <f t="shared" si="1541"/>
        <v>0</v>
      </c>
      <c r="EX671" s="424">
        <f t="shared" si="1541"/>
        <v>0</v>
      </c>
      <c r="EY671" s="425">
        <f t="shared" si="1420"/>
        <v>19.38</v>
      </c>
      <c r="EZ671" s="616"/>
      <c r="FA671" s="616"/>
      <c r="FB671" s="616"/>
      <c r="FC671" s="616"/>
      <c r="FD671" s="616"/>
      <c r="FE671" s="616"/>
      <c r="FF671" s="616"/>
      <c r="FG671" s="616"/>
      <c r="FH671" s="616"/>
      <c r="FI671" s="616"/>
      <c r="FJ671" s="616"/>
    </row>
    <row r="672" spans="1:166" ht="14.7" customHeight="1" x14ac:dyDescent="0.25">
      <c r="A672" s="310">
        <v>298</v>
      </c>
      <c r="B672" s="311" t="str">
        <f t="shared" si="1331"/>
        <v>Тесто для оладий</v>
      </c>
      <c r="C672" s="483">
        <f t="shared" si="1421"/>
        <v>48.6</v>
      </c>
      <c r="D672" s="888"/>
      <c r="E672" s="888"/>
      <c r="F672" s="888"/>
      <c r="G672" s="889"/>
      <c r="H672" s="680">
        <f t="shared" si="1338"/>
        <v>400</v>
      </c>
      <c r="I672" s="1209">
        <f t="shared" si="1332"/>
        <v>0</v>
      </c>
      <c r="J672" s="424">
        <f t="shared" ref="J672:AO672" si="1542">J302*J$372</f>
        <v>0</v>
      </c>
      <c r="K672" s="424">
        <f t="shared" si="1542"/>
        <v>0</v>
      </c>
      <c r="L672" s="424">
        <f t="shared" si="1542"/>
        <v>0</v>
      </c>
      <c r="M672" s="424">
        <f t="shared" si="1542"/>
        <v>0</v>
      </c>
      <c r="N672" s="424">
        <f t="shared" si="1542"/>
        <v>0</v>
      </c>
      <c r="O672" s="424">
        <f t="shared" si="1542"/>
        <v>0</v>
      </c>
      <c r="P672" s="424">
        <f t="shared" si="1542"/>
        <v>0</v>
      </c>
      <c r="Q672" s="424">
        <f t="shared" si="1542"/>
        <v>0</v>
      </c>
      <c r="R672" s="424">
        <f t="shared" si="1542"/>
        <v>0</v>
      </c>
      <c r="S672" s="424">
        <f t="shared" si="1542"/>
        <v>0</v>
      </c>
      <c r="T672" s="424">
        <f t="shared" si="1542"/>
        <v>0</v>
      </c>
      <c r="U672" s="424">
        <f t="shared" si="1542"/>
        <v>19.2</v>
      </c>
      <c r="V672" s="424">
        <f t="shared" si="1542"/>
        <v>0</v>
      </c>
      <c r="W672" s="424">
        <f t="shared" si="1542"/>
        <v>0</v>
      </c>
      <c r="X672" s="424">
        <f t="shared" si="1542"/>
        <v>0</v>
      </c>
      <c r="Y672" s="424">
        <f t="shared" si="1542"/>
        <v>0</v>
      </c>
      <c r="Z672" s="424">
        <f t="shared" si="1542"/>
        <v>0</v>
      </c>
      <c r="AA672" s="424">
        <f t="shared" si="1542"/>
        <v>0</v>
      </c>
      <c r="AB672" s="424">
        <f t="shared" si="1542"/>
        <v>0</v>
      </c>
      <c r="AC672" s="424">
        <f t="shared" si="1542"/>
        <v>0</v>
      </c>
      <c r="AD672" s="424">
        <f t="shared" si="1542"/>
        <v>0</v>
      </c>
      <c r="AE672" s="424">
        <f t="shared" si="1542"/>
        <v>4.2</v>
      </c>
      <c r="AF672" s="424">
        <f t="shared" si="1542"/>
        <v>0</v>
      </c>
      <c r="AG672" s="424">
        <f t="shared" si="1542"/>
        <v>0</v>
      </c>
      <c r="AH672" s="424">
        <f t="shared" si="1542"/>
        <v>0</v>
      </c>
      <c r="AI672" s="424">
        <f t="shared" si="1542"/>
        <v>0</v>
      </c>
      <c r="AJ672" s="424">
        <f t="shared" si="1542"/>
        <v>0</v>
      </c>
      <c r="AK672" s="424">
        <f t="shared" si="1542"/>
        <v>0</v>
      </c>
      <c r="AL672" s="424">
        <f t="shared" si="1542"/>
        <v>0</v>
      </c>
      <c r="AM672" s="424">
        <f t="shared" si="1542"/>
        <v>0</v>
      </c>
      <c r="AN672" s="424">
        <f t="shared" si="1542"/>
        <v>0</v>
      </c>
      <c r="AO672" s="424">
        <f t="shared" si="1542"/>
        <v>0</v>
      </c>
      <c r="AP672" s="424">
        <f t="shared" ref="AP672:BU672" si="1543">AP302*AP$372</f>
        <v>0</v>
      </c>
      <c r="AQ672" s="424">
        <f t="shared" si="1543"/>
        <v>0</v>
      </c>
      <c r="AR672" s="424">
        <f t="shared" si="1543"/>
        <v>0</v>
      </c>
      <c r="AS672" s="424">
        <f t="shared" si="1543"/>
        <v>0</v>
      </c>
      <c r="AT672" s="424">
        <f t="shared" si="1543"/>
        <v>0</v>
      </c>
      <c r="AU672" s="424">
        <f t="shared" si="1543"/>
        <v>0</v>
      </c>
      <c r="AV672" s="424">
        <f t="shared" si="1543"/>
        <v>0</v>
      </c>
      <c r="AW672" s="424">
        <f t="shared" si="1543"/>
        <v>0</v>
      </c>
      <c r="AX672" s="424">
        <f t="shared" si="1543"/>
        <v>0</v>
      </c>
      <c r="AY672" s="424">
        <f t="shared" si="1543"/>
        <v>0</v>
      </c>
      <c r="AZ672" s="424">
        <f t="shared" si="1543"/>
        <v>0</v>
      </c>
      <c r="BA672" s="424">
        <f t="shared" si="1543"/>
        <v>0</v>
      </c>
      <c r="BB672" s="424">
        <f t="shared" si="1543"/>
        <v>0</v>
      </c>
      <c r="BC672" s="424">
        <f t="shared" si="1543"/>
        <v>0</v>
      </c>
      <c r="BD672" s="424">
        <f t="shared" si="1543"/>
        <v>0</v>
      </c>
      <c r="BE672" s="424">
        <f t="shared" si="1543"/>
        <v>0</v>
      </c>
      <c r="BF672" s="424">
        <f t="shared" si="1543"/>
        <v>0</v>
      </c>
      <c r="BG672" s="424">
        <f t="shared" si="1543"/>
        <v>0</v>
      </c>
      <c r="BH672" s="424">
        <f t="shared" si="1543"/>
        <v>0</v>
      </c>
      <c r="BI672" s="424">
        <f t="shared" si="1543"/>
        <v>0</v>
      </c>
      <c r="BJ672" s="424">
        <f t="shared" si="1543"/>
        <v>0</v>
      </c>
      <c r="BK672" s="424">
        <f t="shared" si="1543"/>
        <v>0</v>
      </c>
      <c r="BL672" s="424">
        <f t="shared" si="1543"/>
        <v>0</v>
      </c>
      <c r="BM672" s="424">
        <f t="shared" si="1543"/>
        <v>0</v>
      </c>
      <c r="BN672" s="424">
        <f t="shared" si="1543"/>
        <v>0</v>
      </c>
      <c r="BO672" s="424">
        <f t="shared" si="1543"/>
        <v>0</v>
      </c>
      <c r="BP672" s="424">
        <f t="shared" si="1543"/>
        <v>0</v>
      </c>
      <c r="BQ672" s="424">
        <f t="shared" si="1543"/>
        <v>0</v>
      </c>
      <c r="BR672" s="424">
        <f t="shared" si="1543"/>
        <v>0</v>
      </c>
      <c r="BS672" s="424">
        <f t="shared" si="1543"/>
        <v>17.32</v>
      </c>
      <c r="BT672" s="424">
        <f t="shared" si="1543"/>
        <v>0</v>
      </c>
      <c r="BU672" s="424">
        <f t="shared" si="1543"/>
        <v>0</v>
      </c>
      <c r="BV672" s="424">
        <f t="shared" ref="BV672:DA672" si="1544">BV302*BV$372</f>
        <v>0</v>
      </c>
      <c r="BW672" s="424">
        <f t="shared" si="1544"/>
        <v>0</v>
      </c>
      <c r="BX672" s="424">
        <f t="shared" si="1544"/>
        <v>0</v>
      </c>
      <c r="BY672" s="424">
        <f t="shared" si="1544"/>
        <v>0</v>
      </c>
      <c r="BZ672" s="424">
        <f t="shared" si="1544"/>
        <v>0</v>
      </c>
      <c r="CA672" s="424">
        <f t="shared" si="1544"/>
        <v>0</v>
      </c>
      <c r="CB672" s="424">
        <f t="shared" si="1544"/>
        <v>0</v>
      </c>
      <c r="CC672" s="424">
        <f t="shared" si="1544"/>
        <v>0</v>
      </c>
      <c r="CD672" s="424">
        <f t="shared" si="1544"/>
        <v>0</v>
      </c>
      <c r="CE672" s="424">
        <f t="shared" si="1544"/>
        <v>0</v>
      </c>
      <c r="CF672" s="424">
        <f t="shared" si="1544"/>
        <v>0</v>
      </c>
      <c r="CG672" s="424">
        <f t="shared" si="1544"/>
        <v>0</v>
      </c>
      <c r="CH672" s="424">
        <f t="shared" si="1544"/>
        <v>0</v>
      </c>
      <c r="CI672" s="424">
        <f t="shared" si="1544"/>
        <v>0</v>
      </c>
      <c r="CJ672" s="424">
        <f t="shared" si="1544"/>
        <v>0</v>
      </c>
      <c r="CK672" s="424">
        <f t="shared" si="1544"/>
        <v>0</v>
      </c>
      <c r="CL672" s="424">
        <f t="shared" si="1544"/>
        <v>6.37</v>
      </c>
      <c r="CM672" s="424">
        <f t="shared" si="1544"/>
        <v>0</v>
      </c>
      <c r="CN672" s="424">
        <f t="shared" si="1544"/>
        <v>0</v>
      </c>
      <c r="CO672" s="424">
        <f t="shared" si="1544"/>
        <v>0</v>
      </c>
      <c r="CP672" s="424">
        <f t="shared" si="1544"/>
        <v>0</v>
      </c>
      <c r="CQ672" s="424">
        <f t="shared" si="1544"/>
        <v>0</v>
      </c>
      <c r="CR672" s="424">
        <f t="shared" si="1544"/>
        <v>0</v>
      </c>
      <c r="CS672" s="424">
        <f t="shared" si="1544"/>
        <v>0</v>
      </c>
      <c r="CT672" s="424">
        <f t="shared" si="1544"/>
        <v>0</v>
      </c>
      <c r="CU672" s="424">
        <f t="shared" si="1544"/>
        <v>0</v>
      </c>
      <c r="CV672" s="424">
        <f t="shared" si="1544"/>
        <v>0</v>
      </c>
      <c r="CW672" s="424">
        <f t="shared" si="1544"/>
        <v>0</v>
      </c>
      <c r="CX672" s="424">
        <f t="shared" si="1544"/>
        <v>0</v>
      </c>
      <c r="CY672" s="424">
        <f t="shared" si="1544"/>
        <v>0</v>
      </c>
      <c r="CZ672" s="424">
        <f t="shared" si="1544"/>
        <v>1.29</v>
      </c>
      <c r="DA672" s="424">
        <f t="shared" si="1544"/>
        <v>0</v>
      </c>
      <c r="DB672" s="424">
        <f t="shared" ref="DB672:EG672" si="1545">DB302*DB$372</f>
        <v>0</v>
      </c>
      <c r="DC672" s="424">
        <f t="shared" si="1545"/>
        <v>0.22</v>
      </c>
      <c r="DD672" s="424">
        <f t="shared" si="1545"/>
        <v>0</v>
      </c>
      <c r="DE672" s="424">
        <f t="shared" si="1545"/>
        <v>0</v>
      </c>
      <c r="DF672" s="424">
        <f t="shared" si="1545"/>
        <v>0</v>
      </c>
      <c r="DG672" s="424">
        <f t="shared" si="1545"/>
        <v>0</v>
      </c>
      <c r="DH672" s="424">
        <f t="shared" si="1545"/>
        <v>0</v>
      </c>
      <c r="DI672" s="424">
        <f t="shared" si="1545"/>
        <v>0</v>
      </c>
      <c r="DJ672" s="424">
        <f t="shared" si="1545"/>
        <v>0</v>
      </c>
      <c r="DK672" s="424">
        <f t="shared" si="1545"/>
        <v>0</v>
      </c>
      <c r="DL672" s="424">
        <f t="shared" si="1545"/>
        <v>0</v>
      </c>
      <c r="DM672" s="424">
        <f t="shared" si="1545"/>
        <v>0</v>
      </c>
      <c r="DN672" s="424">
        <f t="shared" si="1545"/>
        <v>0</v>
      </c>
      <c r="DO672" s="424">
        <f t="shared" si="1545"/>
        <v>0</v>
      </c>
      <c r="DP672" s="424">
        <f t="shared" si="1545"/>
        <v>0</v>
      </c>
      <c r="DQ672" s="424">
        <f t="shared" si="1545"/>
        <v>0</v>
      </c>
      <c r="DR672" s="424">
        <f t="shared" si="1545"/>
        <v>0</v>
      </c>
      <c r="DS672" s="424">
        <f t="shared" si="1545"/>
        <v>0</v>
      </c>
      <c r="DT672" s="424">
        <f t="shared" si="1545"/>
        <v>0</v>
      </c>
      <c r="DU672" s="424">
        <f t="shared" si="1545"/>
        <v>0</v>
      </c>
      <c r="DV672" s="424">
        <f t="shared" si="1545"/>
        <v>0</v>
      </c>
      <c r="DW672" s="424">
        <f t="shared" si="1545"/>
        <v>0</v>
      </c>
      <c r="DX672" s="424">
        <f t="shared" si="1545"/>
        <v>0</v>
      </c>
      <c r="DY672" s="424">
        <f t="shared" si="1545"/>
        <v>0</v>
      </c>
      <c r="DZ672" s="424">
        <f t="shared" si="1545"/>
        <v>0</v>
      </c>
      <c r="EA672" s="424">
        <f t="shared" si="1545"/>
        <v>0</v>
      </c>
      <c r="EB672" s="424">
        <f t="shared" si="1545"/>
        <v>0</v>
      </c>
      <c r="EC672" s="424">
        <f t="shared" si="1545"/>
        <v>0</v>
      </c>
      <c r="ED672" s="424">
        <f t="shared" si="1545"/>
        <v>0</v>
      </c>
      <c r="EE672" s="424">
        <f t="shared" si="1545"/>
        <v>0</v>
      </c>
      <c r="EF672" s="424">
        <f t="shared" si="1545"/>
        <v>0</v>
      </c>
      <c r="EG672" s="424">
        <f t="shared" si="1545"/>
        <v>0</v>
      </c>
      <c r="EH672" s="424">
        <f t="shared" ref="EH672:EX672" si="1546">EH302*EH$372</f>
        <v>0</v>
      </c>
      <c r="EI672" s="424">
        <f t="shared" si="1546"/>
        <v>0</v>
      </c>
      <c r="EJ672" s="424">
        <f t="shared" si="1546"/>
        <v>0</v>
      </c>
      <c r="EK672" s="424">
        <f t="shared" si="1546"/>
        <v>0</v>
      </c>
      <c r="EL672" s="424">
        <f t="shared" si="1546"/>
        <v>0</v>
      </c>
      <c r="EM672" s="424">
        <f t="shared" si="1546"/>
        <v>0</v>
      </c>
      <c r="EN672" s="424">
        <f t="shared" si="1546"/>
        <v>0</v>
      </c>
      <c r="EO672" s="424">
        <f t="shared" si="1546"/>
        <v>0</v>
      </c>
      <c r="EP672" s="424">
        <f t="shared" si="1546"/>
        <v>0</v>
      </c>
      <c r="EQ672" s="424">
        <f t="shared" si="1546"/>
        <v>0</v>
      </c>
      <c r="ER672" s="424">
        <f t="shared" si="1546"/>
        <v>0</v>
      </c>
      <c r="ES672" s="424">
        <f t="shared" si="1546"/>
        <v>0</v>
      </c>
      <c r="ET672" s="424">
        <f t="shared" si="1546"/>
        <v>0</v>
      </c>
      <c r="EU672" s="424">
        <f t="shared" si="1546"/>
        <v>0</v>
      </c>
      <c r="EV672" s="424">
        <f t="shared" si="1546"/>
        <v>0</v>
      </c>
      <c r="EW672" s="424">
        <f t="shared" si="1546"/>
        <v>0</v>
      </c>
      <c r="EX672" s="424">
        <f t="shared" si="1546"/>
        <v>0</v>
      </c>
      <c r="EY672" s="425">
        <f t="shared" si="1420"/>
        <v>48.6</v>
      </c>
    </row>
    <row r="673" spans="1:166" ht="14.7" customHeight="1" x14ac:dyDescent="0.25">
      <c r="A673" s="310">
        <v>299</v>
      </c>
      <c r="B673" s="311" t="str">
        <f t="shared" si="1331"/>
        <v>Оладьи с вареньем абрикосовым</v>
      </c>
      <c r="C673" s="483">
        <f t="shared" si="1421"/>
        <v>15.64</v>
      </c>
      <c r="D673" s="888"/>
      <c r="E673" s="888"/>
      <c r="F673" s="888"/>
      <c r="G673" s="889"/>
      <c r="H673" s="680">
        <f t="shared" si="1338"/>
        <v>401</v>
      </c>
      <c r="I673" s="1209">
        <f t="shared" si="1332"/>
        <v>-0.01</v>
      </c>
      <c r="J673" s="424">
        <f t="shared" ref="J673:AO673" si="1547">J303*J$372</f>
        <v>0</v>
      </c>
      <c r="K673" s="424">
        <f t="shared" si="1547"/>
        <v>0</v>
      </c>
      <c r="L673" s="424">
        <f t="shared" si="1547"/>
        <v>0</v>
      </c>
      <c r="M673" s="424">
        <f t="shared" si="1547"/>
        <v>0</v>
      </c>
      <c r="N673" s="424">
        <f t="shared" si="1547"/>
        <v>0</v>
      </c>
      <c r="O673" s="424">
        <f t="shared" si="1547"/>
        <v>0</v>
      </c>
      <c r="P673" s="424">
        <f t="shared" si="1547"/>
        <v>0</v>
      </c>
      <c r="Q673" s="424">
        <f t="shared" si="1547"/>
        <v>0</v>
      </c>
      <c r="R673" s="424">
        <f t="shared" si="1547"/>
        <v>0</v>
      </c>
      <c r="S673" s="424">
        <f t="shared" si="1547"/>
        <v>0</v>
      </c>
      <c r="T673" s="424">
        <f t="shared" si="1547"/>
        <v>0</v>
      </c>
      <c r="U673" s="424">
        <f t="shared" si="1547"/>
        <v>3.38</v>
      </c>
      <c r="V673" s="424">
        <f t="shared" si="1547"/>
        <v>0</v>
      </c>
      <c r="W673" s="424">
        <f t="shared" si="1547"/>
        <v>0</v>
      </c>
      <c r="X673" s="424">
        <f t="shared" si="1547"/>
        <v>0</v>
      </c>
      <c r="Y673" s="424">
        <f t="shared" si="1547"/>
        <v>0</v>
      </c>
      <c r="Z673" s="424">
        <f t="shared" si="1547"/>
        <v>0</v>
      </c>
      <c r="AA673" s="424">
        <f t="shared" si="1547"/>
        <v>0</v>
      </c>
      <c r="AB673" s="424">
        <f t="shared" si="1547"/>
        <v>0</v>
      </c>
      <c r="AC673" s="424">
        <f t="shared" si="1547"/>
        <v>0</v>
      </c>
      <c r="AD673" s="424">
        <f t="shared" si="1547"/>
        <v>0</v>
      </c>
      <c r="AE673" s="424">
        <f t="shared" si="1547"/>
        <v>0.74</v>
      </c>
      <c r="AF673" s="424">
        <f t="shared" si="1547"/>
        <v>0</v>
      </c>
      <c r="AG673" s="424">
        <f t="shared" si="1547"/>
        <v>0</v>
      </c>
      <c r="AH673" s="424">
        <f t="shared" si="1547"/>
        <v>0</v>
      </c>
      <c r="AI673" s="424">
        <f t="shared" si="1547"/>
        <v>0</v>
      </c>
      <c r="AJ673" s="424">
        <f t="shared" si="1547"/>
        <v>0</v>
      </c>
      <c r="AK673" s="424">
        <f t="shared" si="1547"/>
        <v>0</v>
      </c>
      <c r="AL673" s="424">
        <f t="shared" si="1547"/>
        <v>0</v>
      </c>
      <c r="AM673" s="424">
        <f t="shared" si="1547"/>
        <v>0</v>
      </c>
      <c r="AN673" s="424">
        <f t="shared" si="1547"/>
        <v>0</v>
      </c>
      <c r="AO673" s="424">
        <f t="shared" si="1547"/>
        <v>0</v>
      </c>
      <c r="AP673" s="424">
        <f t="shared" ref="AP673:BU673" si="1548">AP303*AP$372</f>
        <v>0</v>
      </c>
      <c r="AQ673" s="424">
        <f t="shared" si="1548"/>
        <v>0</v>
      </c>
      <c r="AR673" s="424">
        <f t="shared" si="1548"/>
        <v>0</v>
      </c>
      <c r="AS673" s="424">
        <f t="shared" si="1548"/>
        <v>0</v>
      </c>
      <c r="AT673" s="424">
        <f t="shared" si="1548"/>
        <v>0</v>
      </c>
      <c r="AU673" s="424">
        <f t="shared" si="1548"/>
        <v>0</v>
      </c>
      <c r="AV673" s="424">
        <f t="shared" si="1548"/>
        <v>0</v>
      </c>
      <c r="AW673" s="424">
        <f t="shared" si="1548"/>
        <v>0</v>
      </c>
      <c r="AX673" s="424">
        <f t="shared" si="1548"/>
        <v>0</v>
      </c>
      <c r="AY673" s="424">
        <f t="shared" si="1548"/>
        <v>0</v>
      </c>
      <c r="AZ673" s="424">
        <f t="shared" si="1548"/>
        <v>0</v>
      </c>
      <c r="BA673" s="424">
        <f t="shared" si="1548"/>
        <v>0</v>
      </c>
      <c r="BB673" s="424">
        <f t="shared" si="1548"/>
        <v>0</v>
      </c>
      <c r="BC673" s="424">
        <f t="shared" si="1548"/>
        <v>0</v>
      </c>
      <c r="BD673" s="424">
        <f t="shared" si="1548"/>
        <v>0</v>
      </c>
      <c r="BE673" s="424">
        <f t="shared" si="1548"/>
        <v>0</v>
      </c>
      <c r="BF673" s="424">
        <f t="shared" si="1548"/>
        <v>0</v>
      </c>
      <c r="BG673" s="424">
        <f t="shared" si="1548"/>
        <v>0</v>
      </c>
      <c r="BH673" s="424">
        <f t="shared" si="1548"/>
        <v>0</v>
      </c>
      <c r="BI673" s="424">
        <f t="shared" si="1548"/>
        <v>0</v>
      </c>
      <c r="BJ673" s="424">
        <f t="shared" si="1548"/>
        <v>0</v>
      </c>
      <c r="BK673" s="424">
        <f t="shared" si="1548"/>
        <v>0</v>
      </c>
      <c r="BL673" s="424">
        <f t="shared" si="1548"/>
        <v>0</v>
      </c>
      <c r="BM673" s="424">
        <f t="shared" si="1548"/>
        <v>0</v>
      </c>
      <c r="BN673" s="424">
        <f t="shared" si="1548"/>
        <v>0</v>
      </c>
      <c r="BO673" s="424">
        <f t="shared" si="1548"/>
        <v>0</v>
      </c>
      <c r="BP673" s="424">
        <f t="shared" si="1548"/>
        <v>0</v>
      </c>
      <c r="BQ673" s="424">
        <f t="shared" si="1548"/>
        <v>0</v>
      </c>
      <c r="BR673" s="424">
        <f t="shared" si="1548"/>
        <v>0</v>
      </c>
      <c r="BS673" s="424">
        <f t="shared" si="1548"/>
        <v>3.05</v>
      </c>
      <c r="BT673" s="424">
        <f t="shared" si="1548"/>
        <v>0</v>
      </c>
      <c r="BU673" s="424">
        <f t="shared" si="1548"/>
        <v>0</v>
      </c>
      <c r="BV673" s="424">
        <f t="shared" ref="BV673:DA673" si="1549">BV303*BV$372</f>
        <v>0</v>
      </c>
      <c r="BW673" s="424">
        <f t="shared" si="1549"/>
        <v>0</v>
      </c>
      <c r="BX673" s="424">
        <f t="shared" si="1549"/>
        <v>0</v>
      </c>
      <c r="BY673" s="424">
        <f t="shared" si="1549"/>
        <v>0</v>
      </c>
      <c r="BZ673" s="424">
        <f t="shared" si="1549"/>
        <v>0</v>
      </c>
      <c r="CA673" s="424">
        <f t="shared" si="1549"/>
        <v>0</v>
      </c>
      <c r="CB673" s="424">
        <f t="shared" si="1549"/>
        <v>0</v>
      </c>
      <c r="CC673" s="424">
        <f t="shared" si="1549"/>
        <v>0</v>
      </c>
      <c r="CD673" s="424">
        <f t="shared" si="1549"/>
        <v>0</v>
      </c>
      <c r="CE673" s="424">
        <f t="shared" si="1549"/>
        <v>0</v>
      </c>
      <c r="CF673" s="424">
        <f t="shared" si="1549"/>
        <v>1.08</v>
      </c>
      <c r="CG673" s="424">
        <f t="shared" si="1549"/>
        <v>0</v>
      </c>
      <c r="CH673" s="424">
        <f t="shared" si="1549"/>
        <v>0</v>
      </c>
      <c r="CI673" s="424">
        <f t="shared" si="1549"/>
        <v>0</v>
      </c>
      <c r="CJ673" s="424">
        <f t="shared" si="1549"/>
        <v>0</v>
      </c>
      <c r="CK673" s="424">
        <f t="shared" si="1549"/>
        <v>0</v>
      </c>
      <c r="CL673" s="424">
        <f t="shared" si="1549"/>
        <v>1.1200000000000001</v>
      </c>
      <c r="CM673" s="424">
        <f t="shared" si="1549"/>
        <v>0</v>
      </c>
      <c r="CN673" s="424">
        <f t="shared" si="1549"/>
        <v>0</v>
      </c>
      <c r="CO673" s="424">
        <f t="shared" si="1549"/>
        <v>0</v>
      </c>
      <c r="CP673" s="424">
        <f t="shared" si="1549"/>
        <v>0</v>
      </c>
      <c r="CQ673" s="424">
        <f t="shared" si="1549"/>
        <v>0</v>
      </c>
      <c r="CR673" s="424">
        <f t="shared" si="1549"/>
        <v>0</v>
      </c>
      <c r="CS673" s="424">
        <f t="shared" si="1549"/>
        <v>0</v>
      </c>
      <c r="CT673" s="424">
        <f t="shared" si="1549"/>
        <v>0</v>
      </c>
      <c r="CU673" s="424">
        <f t="shared" si="1549"/>
        <v>0</v>
      </c>
      <c r="CV673" s="424">
        <f t="shared" si="1549"/>
        <v>0</v>
      </c>
      <c r="CW673" s="424">
        <f t="shared" si="1549"/>
        <v>0</v>
      </c>
      <c r="CX673" s="424">
        <f t="shared" si="1549"/>
        <v>0</v>
      </c>
      <c r="CY673" s="424">
        <f t="shared" si="1549"/>
        <v>6</v>
      </c>
      <c r="CZ673" s="424">
        <f t="shared" si="1549"/>
        <v>0.23</v>
      </c>
      <c r="DA673" s="424">
        <f t="shared" si="1549"/>
        <v>0</v>
      </c>
      <c r="DB673" s="424">
        <f t="shared" ref="DB673:EG673" si="1550">DB303*DB$372</f>
        <v>0</v>
      </c>
      <c r="DC673" s="424">
        <f t="shared" si="1550"/>
        <v>0.04</v>
      </c>
      <c r="DD673" s="424">
        <f t="shared" si="1550"/>
        <v>0</v>
      </c>
      <c r="DE673" s="424">
        <f t="shared" si="1550"/>
        <v>0</v>
      </c>
      <c r="DF673" s="424">
        <f t="shared" si="1550"/>
        <v>0</v>
      </c>
      <c r="DG673" s="424">
        <f t="shared" si="1550"/>
        <v>0</v>
      </c>
      <c r="DH673" s="424">
        <f t="shared" si="1550"/>
        <v>0</v>
      </c>
      <c r="DI673" s="424">
        <f t="shared" si="1550"/>
        <v>0</v>
      </c>
      <c r="DJ673" s="424">
        <f t="shared" si="1550"/>
        <v>0</v>
      </c>
      <c r="DK673" s="424">
        <f t="shared" si="1550"/>
        <v>0</v>
      </c>
      <c r="DL673" s="424">
        <f t="shared" si="1550"/>
        <v>0</v>
      </c>
      <c r="DM673" s="424">
        <f t="shared" si="1550"/>
        <v>0</v>
      </c>
      <c r="DN673" s="424">
        <f t="shared" si="1550"/>
        <v>0</v>
      </c>
      <c r="DO673" s="424">
        <f t="shared" si="1550"/>
        <v>0</v>
      </c>
      <c r="DP673" s="424">
        <f t="shared" si="1550"/>
        <v>0</v>
      </c>
      <c r="DQ673" s="424">
        <f t="shared" si="1550"/>
        <v>0</v>
      </c>
      <c r="DR673" s="424">
        <f t="shared" si="1550"/>
        <v>0</v>
      </c>
      <c r="DS673" s="424">
        <f t="shared" si="1550"/>
        <v>0</v>
      </c>
      <c r="DT673" s="424">
        <f t="shared" si="1550"/>
        <v>0</v>
      </c>
      <c r="DU673" s="424">
        <f t="shared" si="1550"/>
        <v>0</v>
      </c>
      <c r="DV673" s="424">
        <f t="shared" si="1550"/>
        <v>0</v>
      </c>
      <c r="DW673" s="424">
        <f t="shared" si="1550"/>
        <v>0</v>
      </c>
      <c r="DX673" s="424">
        <f t="shared" si="1550"/>
        <v>0</v>
      </c>
      <c r="DY673" s="424">
        <f t="shared" si="1550"/>
        <v>0</v>
      </c>
      <c r="DZ673" s="424">
        <f t="shared" si="1550"/>
        <v>0</v>
      </c>
      <c r="EA673" s="424">
        <f t="shared" si="1550"/>
        <v>0</v>
      </c>
      <c r="EB673" s="424">
        <f t="shared" si="1550"/>
        <v>0</v>
      </c>
      <c r="EC673" s="424">
        <f t="shared" si="1550"/>
        <v>0</v>
      </c>
      <c r="ED673" s="424">
        <f t="shared" si="1550"/>
        <v>0</v>
      </c>
      <c r="EE673" s="424">
        <f t="shared" si="1550"/>
        <v>0</v>
      </c>
      <c r="EF673" s="424">
        <f t="shared" si="1550"/>
        <v>0</v>
      </c>
      <c r="EG673" s="424">
        <f t="shared" si="1550"/>
        <v>0</v>
      </c>
      <c r="EH673" s="424">
        <f t="shared" ref="EH673:EX673" si="1551">EH303*EH$372</f>
        <v>0</v>
      </c>
      <c r="EI673" s="424">
        <f t="shared" si="1551"/>
        <v>0</v>
      </c>
      <c r="EJ673" s="424">
        <f t="shared" si="1551"/>
        <v>0</v>
      </c>
      <c r="EK673" s="424">
        <f t="shared" si="1551"/>
        <v>0</v>
      </c>
      <c r="EL673" s="424">
        <f t="shared" si="1551"/>
        <v>0</v>
      </c>
      <c r="EM673" s="424">
        <f t="shared" si="1551"/>
        <v>0</v>
      </c>
      <c r="EN673" s="424">
        <f t="shared" si="1551"/>
        <v>0</v>
      </c>
      <c r="EO673" s="424">
        <f t="shared" si="1551"/>
        <v>0</v>
      </c>
      <c r="EP673" s="424">
        <f t="shared" si="1551"/>
        <v>0</v>
      </c>
      <c r="EQ673" s="424">
        <f t="shared" si="1551"/>
        <v>0</v>
      </c>
      <c r="ER673" s="424">
        <f t="shared" si="1551"/>
        <v>0</v>
      </c>
      <c r="ES673" s="424">
        <f t="shared" si="1551"/>
        <v>0</v>
      </c>
      <c r="ET673" s="424">
        <f t="shared" si="1551"/>
        <v>0</v>
      </c>
      <c r="EU673" s="424">
        <f t="shared" si="1551"/>
        <v>0</v>
      </c>
      <c r="EV673" s="424">
        <f t="shared" si="1551"/>
        <v>0</v>
      </c>
      <c r="EW673" s="424">
        <f t="shared" si="1551"/>
        <v>0</v>
      </c>
      <c r="EX673" s="424">
        <f t="shared" si="1551"/>
        <v>0</v>
      </c>
      <c r="EY673" s="425">
        <f t="shared" si="1420"/>
        <v>15.64</v>
      </c>
    </row>
    <row r="674" spans="1:166" s="511" customFormat="1" ht="14.7" customHeight="1" x14ac:dyDescent="0.25">
      <c r="A674" s="310">
        <v>300</v>
      </c>
      <c r="B674" s="311" t="str">
        <f t="shared" si="1331"/>
        <v>Оладьи с творогом и маслом</v>
      </c>
      <c r="C674" s="483">
        <f t="shared" si="1421"/>
        <v>23.89</v>
      </c>
      <c r="D674" s="888"/>
      <c r="E674" s="888"/>
      <c r="F674" s="888"/>
      <c r="G674" s="889"/>
      <c r="H674" s="680">
        <f t="shared" si="1338"/>
        <v>404</v>
      </c>
      <c r="I674" s="1209">
        <f t="shared" si="1332"/>
        <v>0.01</v>
      </c>
      <c r="J674" s="424">
        <f t="shared" ref="J674:AO674" si="1552">J304*J$372</f>
        <v>0</v>
      </c>
      <c r="K674" s="424">
        <f t="shared" si="1552"/>
        <v>0</v>
      </c>
      <c r="L674" s="424">
        <f t="shared" si="1552"/>
        <v>0</v>
      </c>
      <c r="M674" s="424">
        <f t="shared" si="1552"/>
        <v>0</v>
      </c>
      <c r="N674" s="424">
        <f t="shared" si="1552"/>
        <v>0</v>
      </c>
      <c r="O674" s="424">
        <f t="shared" si="1552"/>
        <v>0</v>
      </c>
      <c r="P674" s="424">
        <f t="shared" si="1552"/>
        <v>0</v>
      </c>
      <c r="Q674" s="424">
        <f t="shared" si="1552"/>
        <v>0</v>
      </c>
      <c r="R674" s="424">
        <f t="shared" si="1552"/>
        <v>0</v>
      </c>
      <c r="S674" s="424">
        <f t="shared" si="1552"/>
        <v>0</v>
      </c>
      <c r="T674" s="424">
        <f t="shared" si="1552"/>
        <v>0</v>
      </c>
      <c r="U674" s="424">
        <f t="shared" si="1552"/>
        <v>2.9</v>
      </c>
      <c r="V674" s="424">
        <f t="shared" si="1552"/>
        <v>7.1</v>
      </c>
      <c r="W674" s="424">
        <f t="shared" si="1552"/>
        <v>0</v>
      </c>
      <c r="X674" s="424">
        <f t="shared" si="1552"/>
        <v>8.86</v>
      </c>
      <c r="Y674" s="424">
        <f t="shared" si="1552"/>
        <v>0</v>
      </c>
      <c r="Z674" s="424">
        <f t="shared" si="1552"/>
        <v>0</v>
      </c>
      <c r="AA674" s="424">
        <f t="shared" si="1552"/>
        <v>0</v>
      </c>
      <c r="AB674" s="424">
        <f t="shared" si="1552"/>
        <v>0</v>
      </c>
      <c r="AC674" s="424">
        <f t="shared" si="1552"/>
        <v>0</v>
      </c>
      <c r="AD674" s="424">
        <f t="shared" si="1552"/>
        <v>0</v>
      </c>
      <c r="AE674" s="424">
        <f t="shared" si="1552"/>
        <v>0.63</v>
      </c>
      <c r="AF674" s="424">
        <f t="shared" si="1552"/>
        <v>0</v>
      </c>
      <c r="AG674" s="424">
        <f t="shared" si="1552"/>
        <v>0</v>
      </c>
      <c r="AH674" s="424">
        <f t="shared" si="1552"/>
        <v>0</v>
      </c>
      <c r="AI674" s="424">
        <f t="shared" si="1552"/>
        <v>0</v>
      </c>
      <c r="AJ674" s="424">
        <f t="shared" si="1552"/>
        <v>0</v>
      </c>
      <c r="AK674" s="424">
        <f t="shared" si="1552"/>
        <v>0</v>
      </c>
      <c r="AL674" s="424">
        <f t="shared" si="1552"/>
        <v>0</v>
      </c>
      <c r="AM674" s="424">
        <f t="shared" si="1552"/>
        <v>0</v>
      </c>
      <c r="AN674" s="424">
        <f t="shared" si="1552"/>
        <v>0</v>
      </c>
      <c r="AO674" s="424">
        <f t="shared" si="1552"/>
        <v>0</v>
      </c>
      <c r="AP674" s="424">
        <f t="shared" ref="AP674:BU674" si="1553">AP304*AP$372</f>
        <v>0</v>
      </c>
      <c r="AQ674" s="424">
        <f t="shared" si="1553"/>
        <v>0</v>
      </c>
      <c r="AR674" s="424">
        <f t="shared" si="1553"/>
        <v>0</v>
      </c>
      <c r="AS674" s="424">
        <f t="shared" si="1553"/>
        <v>0</v>
      </c>
      <c r="AT674" s="424">
        <f t="shared" si="1553"/>
        <v>0</v>
      </c>
      <c r="AU674" s="424">
        <f t="shared" si="1553"/>
        <v>0</v>
      </c>
      <c r="AV674" s="424">
        <f t="shared" si="1553"/>
        <v>0</v>
      </c>
      <c r="AW674" s="424">
        <f t="shared" si="1553"/>
        <v>0</v>
      </c>
      <c r="AX674" s="424">
        <f t="shared" si="1553"/>
        <v>0</v>
      </c>
      <c r="AY674" s="424">
        <f t="shared" si="1553"/>
        <v>0</v>
      </c>
      <c r="AZ674" s="424">
        <f t="shared" si="1553"/>
        <v>0</v>
      </c>
      <c r="BA674" s="424">
        <f t="shared" si="1553"/>
        <v>0</v>
      </c>
      <c r="BB674" s="424">
        <f t="shared" si="1553"/>
        <v>0</v>
      </c>
      <c r="BC674" s="424">
        <f t="shared" si="1553"/>
        <v>0</v>
      </c>
      <c r="BD674" s="424">
        <f t="shared" si="1553"/>
        <v>0</v>
      </c>
      <c r="BE674" s="424">
        <f t="shared" si="1553"/>
        <v>0</v>
      </c>
      <c r="BF674" s="424">
        <f t="shared" si="1553"/>
        <v>0</v>
      </c>
      <c r="BG674" s="424">
        <f t="shared" si="1553"/>
        <v>0</v>
      </c>
      <c r="BH674" s="424">
        <f t="shared" si="1553"/>
        <v>0</v>
      </c>
      <c r="BI674" s="424">
        <f t="shared" si="1553"/>
        <v>0</v>
      </c>
      <c r="BJ674" s="424">
        <f t="shared" si="1553"/>
        <v>0</v>
      </c>
      <c r="BK674" s="424">
        <f t="shared" si="1553"/>
        <v>0</v>
      </c>
      <c r="BL674" s="424">
        <f t="shared" si="1553"/>
        <v>0</v>
      </c>
      <c r="BM674" s="424">
        <f t="shared" si="1553"/>
        <v>0</v>
      </c>
      <c r="BN674" s="424">
        <f t="shared" si="1553"/>
        <v>0</v>
      </c>
      <c r="BO674" s="424">
        <f t="shared" si="1553"/>
        <v>0</v>
      </c>
      <c r="BP674" s="424">
        <f t="shared" si="1553"/>
        <v>0</v>
      </c>
      <c r="BQ674" s="424">
        <f t="shared" si="1553"/>
        <v>0</v>
      </c>
      <c r="BR674" s="424">
        <f t="shared" si="1553"/>
        <v>0</v>
      </c>
      <c r="BS674" s="424">
        <f t="shared" si="1553"/>
        <v>2.61</v>
      </c>
      <c r="BT674" s="424">
        <f t="shared" si="1553"/>
        <v>0</v>
      </c>
      <c r="BU674" s="424">
        <f t="shared" si="1553"/>
        <v>0</v>
      </c>
      <c r="BV674" s="424">
        <f t="shared" ref="BV674:DA674" si="1554">BV304*BV$372</f>
        <v>0</v>
      </c>
      <c r="BW674" s="424">
        <f t="shared" si="1554"/>
        <v>0</v>
      </c>
      <c r="BX674" s="424">
        <f t="shared" si="1554"/>
        <v>0</v>
      </c>
      <c r="BY674" s="424">
        <f t="shared" si="1554"/>
        <v>0</v>
      </c>
      <c r="BZ674" s="424">
        <f t="shared" si="1554"/>
        <v>0</v>
      </c>
      <c r="CA674" s="424">
        <f t="shared" si="1554"/>
        <v>0</v>
      </c>
      <c r="CB674" s="424">
        <f t="shared" si="1554"/>
        <v>0</v>
      </c>
      <c r="CC674" s="424">
        <f t="shared" si="1554"/>
        <v>0</v>
      </c>
      <c r="CD674" s="424">
        <f t="shared" si="1554"/>
        <v>0</v>
      </c>
      <c r="CE674" s="424">
        <f t="shared" si="1554"/>
        <v>0</v>
      </c>
      <c r="CF674" s="424">
        <f t="shared" si="1554"/>
        <v>0.6</v>
      </c>
      <c r="CG674" s="424">
        <f t="shared" si="1554"/>
        <v>0</v>
      </c>
      <c r="CH674" s="424">
        <f t="shared" si="1554"/>
        <v>0</v>
      </c>
      <c r="CI674" s="424">
        <f t="shared" si="1554"/>
        <v>0</v>
      </c>
      <c r="CJ674" s="424">
        <f t="shared" si="1554"/>
        <v>0</v>
      </c>
      <c r="CK674" s="424">
        <f t="shared" si="1554"/>
        <v>0</v>
      </c>
      <c r="CL674" s="424">
        <f t="shared" si="1554"/>
        <v>0.96</v>
      </c>
      <c r="CM674" s="424">
        <f t="shared" si="1554"/>
        <v>0</v>
      </c>
      <c r="CN674" s="424">
        <f t="shared" si="1554"/>
        <v>0</v>
      </c>
      <c r="CO674" s="424">
        <f t="shared" si="1554"/>
        <v>0</v>
      </c>
      <c r="CP674" s="424">
        <f t="shared" si="1554"/>
        <v>0</v>
      </c>
      <c r="CQ674" s="424">
        <f t="shared" si="1554"/>
        <v>0</v>
      </c>
      <c r="CR674" s="424">
        <f t="shared" si="1554"/>
        <v>0</v>
      </c>
      <c r="CS674" s="424">
        <f t="shared" si="1554"/>
        <v>0</v>
      </c>
      <c r="CT674" s="424">
        <f t="shared" si="1554"/>
        <v>0</v>
      </c>
      <c r="CU674" s="424">
        <f t="shared" si="1554"/>
        <v>0</v>
      </c>
      <c r="CV674" s="424">
        <f t="shared" si="1554"/>
        <v>0</v>
      </c>
      <c r="CW674" s="424">
        <f t="shared" si="1554"/>
        <v>0</v>
      </c>
      <c r="CX674" s="424">
        <f t="shared" si="1554"/>
        <v>0</v>
      </c>
      <c r="CY674" s="424">
        <f t="shared" si="1554"/>
        <v>0</v>
      </c>
      <c r="CZ674" s="424">
        <f t="shared" si="1554"/>
        <v>0.2</v>
      </c>
      <c r="DA674" s="424">
        <f t="shared" si="1554"/>
        <v>0</v>
      </c>
      <c r="DB674" s="424">
        <f t="shared" ref="DB674:EG674" si="1555">DB304*DB$372</f>
        <v>0</v>
      </c>
      <c r="DC674" s="424">
        <f t="shared" si="1555"/>
        <v>0.03</v>
      </c>
      <c r="DD674" s="424">
        <f t="shared" si="1555"/>
        <v>0</v>
      </c>
      <c r="DE674" s="424">
        <f t="shared" si="1555"/>
        <v>0</v>
      </c>
      <c r="DF674" s="424">
        <f t="shared" si="1555"/>
        <v>0</v>
      </c>
      <c r="DG674" s="424">
        <f t="shared" si="1555"/>
        <v>0</v>
      </c>
      <c r="DH674" s="424">
        <f t="shared" si="1555"/>
        <v>0</v>
      </c>
      <c r="DI674" s="424">
        <f t="shared" si="1555"/>
        <v>0</v>
      </c>
      <c r="DJ674" s="424">
        <f t="shared" si="1555"/>
        <v>0</v>
      </c>
      <c r="DK674" s="424">
        <f t="shared" si="1555"/>
        <v>0</v>
      </c>
      <c r="DL674" s="424">
        <f t="shared" si="1555"/>
        <v>0</v>
      </c>
      <c r="DM674" s="424">
        <f t="shared" si="1555"/>
        <v>0</v>
      </c>
      <c r="DN674" s="424">
        <f t="shared" si="1555"/>
        <v>0</v>
      </c>
      <c r="DO674" s="424">
        <f t="shared" si="1555"/>
        <v>0</v>
      </c>
      <c r="DP674" s="424">
        <f t="shared" si="1555"/>
        <v>0</v>
      </c>
      <c r="DQ674" s="424">
        <f t="shared" si="1555"/>
        <v>0</v>
      </c>
      <c r="DR674" s="424">
        <f t="shared" si="1555"/>
        <v>0</v>
      </c>
      <c r="DS674" s="424">
        <f t="shared" si="1555"/>
        <v>0</v>
      </c>
      <c r="DT674" s="424">
        <f t="shared" si="1555"/>
        <v>0</v>
      </c>
      <c r="DU674" s="424">
        <f t="shared" si="1555"/>
        <v>0</v>
      </c>
      <c r="DV674" s="424">
        <f t="shared" si="1555"/>
        <v>0</v>
      </c>
      <c r="DW674" s="424">
        <f t="shared" si="1555"/>
        <v>0</v>
      </c>
      <c r="DX674" s="424">
        <f t="shared" si="1555"/>
        <v>0</v>
      </c>
      <c r="DY674" s="424">
        <f t="shared" si="1555"/>
        <v>0</v>
      </c>
      <c r="DZ674" s="424">
        <f t="shared" si="1555"/>
        <v>0</v>
      </c>
      <c r="EA674" s="424">
        <f t="shared" si="1555"/>
        <v>0</v>
      </c>
      <c r="EB674" s="424">
        <f t="shared" si="1555"/>
        <v>0</v>
      </c>
      <c r="EC674" s="424">
        <f t="shared" si="1555"/>
        <v>0</v>
      </c>
      <c r="ED674" s="424">
        <f t="shared" si="1555"/>
        <v>0</v>
      </c>
      <c r="EE674" s="424">
        <f t="shared" si="1555"/>
        <v>0</v>
      </c>
      <c r="EF674" s="424">
        <f t="shared" si="1555"/>
        <v>0</v>
      </c>
      <c r="EG674" s="424">
        <f t="shared" si="1555"/>
        <v>0</v>
      </c>
      <c r="EH674" s="424">
        <f t="shared" ref="EH674:EX674" si="1556">EH304*EH$372</f>
        <v>0</v>
      </c>
      <c r="EI674" s="424">
        <f t="shared" si="1556"/>
        <v>0</v>
      </c>
      <c r="EJ674" s="424">
        <f t="shared" si="1556"/>
        <v>0</v>
      </c>
      <c r="EK674" s="424">
        <f t="shared" si="1556"/>
        <v>0</v>
      </c>
      <c r="EL674" s="424">
        <f t="shared" si="1556"/>
        <v>0</v>
      </c>
      <c r="EM674" s="424">
        <f t="shared" si="1556"/>
        <v>0</v>
      </c>
      <c r="EN674" s="424">
        <f t="shared" si="1556"/>
        <v>0</v>
      </c>
      <c r="EO674" s="424">
        <f t="shared" si="1556"/>
        <v>0</v>
      </c>
      <c r="EP674" s="424">
        <f t="shared" si="1556"/>
        <v>0</v>
      </c>
      <c r="EQ674" s="424">
        <f t="shared" si="1556"/>
        <v>0</v>
      </c>
      <c r="ER674" s="424">
        <f t="shared" si="1556"/>
        <v>0</v>
      </c>
      <c r="ES674" s="424">
        <f t="shared" si="1556"/>
        <v>0</v>
      </c>
      <c r="ET674" s="424">
        <f t="shared" si="1556"/>
        <v>0</v>
      </c>
      <c r="EU674" s="424">
        <f t="shared" si="1556"/>
        <v>0</v>
      </c>
      <c r="EV674" s="424">
        <f t="shared" si="1556"/>
        <v>0</v>
      </c>
      <c r="EW674" s="424">
        <f t="shared" si="1556"/>
        <v>0</v>
      </c>
      <c r="EX674" s="424">
        <f t="shared" si="1556"/>
        <v>0</v>
      </c>
      <c r="EY674" s="425">
        <f t="shared" si="1420"/>
        <v>23.89</v>
      </c>
      <c r="EZ674" s="616"/>
      <c r="FA674" s="616"/>
      <c r="FB674" s="616"/>
      <c r="FC674" s="616"/>
      <c r="FD674" s="616"/>
      <c r="FE674" s="616"/>
      <c r="FF674" s="616"/>
      <c r="FG674" s="616"/>
      <c r="FH674" s="616"/>
      <c r="FI674" s="616"/>
      <c r="FJ674" s="616"/>
    </row>
    <row r="675" spans="1:166" ht="14.7" customHeight="1" x14ac:dyDescent="0.25">
      <c r="A675" s="310">
        <v>301</v>
      </c>
      <c r="B675" s="311" t="str">
        <f t="shared" si="1331"/>
        <v>Тесто дрожжевое для пирожков печеных простых</v>
      </c>
      <c r="C675" s="483">
        <f t="shared" si="1421"/>
        <v>38.78</v>
      </c>
      <c r="D675" s="888"/>
      <c r="E675" s="888"/>
      <c r="F675" s="888"/>
      <c r="G675" s="889"/>
      <c r="H675" s="680">
        <f t="shared" si="1338"/>
        <v>405</v>
      </c>
      <c r="I675" s="1209">
        <f t="shared" si="1332"/>
        <v>0</v>
      </c>
      <c r="J675" s="424">
        <f t="shared" ref="J675:AO675" si="1557">J305*J$372</f>
        <v>0</v>
      </c>
      <c r="K675" s="424">
        <f t="shared" si="1557"/>
        <v>0</v>
      </c>
      <c r="L675" s="424">
        <f t="shared" si="1557"/>
        <v>0</v>
      </c>
      <c r="M675" s="424">
        <f t="shared" si="1557"/>
        <v>0</v>
      </c>
      <c r="N675" s="424">
        <f t="shared" si="1557"/>
        <v>0</v>
      </c>
      <c r="O675" s="424">
        <f t="shared" si="1557"/>
        <v>0</v>
      </c>
      <c r="P675" s="424">
        <f t="shared" si="1557"/>
        <v>0</v>
      </c>
      <c r="Q675" s="424">
        <f t="shared" si="1557"/>
        <v>0</v>
      </c>
      <c r="R675" s="424">
        <f t="shared" si="1557"/>
        <v>0</v>
      </c>
      <c r="S675" s="424">
        <f t="shared" si="1557"/>
        <v>0</v>
      </c>
      <c r="T675" s="424">
        <f t="shared" si="1557"/>
        <v>0</v>
      </c>
      <c r="U675" s="424">
        <f t="shared" si="1557"/>
        <v>0</v>
      </c>
      <c r="V675" s="424">
        <f t="shared" si="1557"/>
        <v>0</v>
      </c>
      <c r="W675" s="424">
        <f t="shared" si="1557"/>
        <v>0</v>
      </c>
      <c r="X675" s="424">
        <f t="shared" si="1557"/>
        <v>0</v>
      </c>
      <c r="Y675" s="424">
        <f t="shared" si="1557"/>
        <v>0</v>
      </c>
      <c r="Z675" s="424">
        <f t="shared" si="1557"/>
        <v>0</v>
      </c>
      <c r="AA675" s="424">
        <f t="shared" si="1557"/>
        <v>0</v>
      </c>
      <c r="AB675" s="424">
        <f t="shared" si="1557"/>
        <v>0</v>
      </c>
      <c r="AC675" s="424">
        <f t="shared" si="1557"/>
        <v>0</v>
      </c>
      <c r="AD675" s="424">
        <f t="shared" si="1557"/>
        <v>0</v>
      </c>
      <c r="AE675" s="424">
        <f t="shared" si="1557"/>
        <v>0</v>
      </c>
      <c r="AF675" s="424">
        <f t="shared" si="1557"/>
        <v>0</v>
      </c>
      <c r="AG675" s="424">
        <f t="shared" si="1557"/>
        <v>0</v>
      </c>
      <c r="AH675" s="424">
        <f t="shared" si="1557"/>
        <v>0</v>
      </c>
      <c r="AI675" s="424">
        <f t="shared" si="1557"/>
        <v>0</v>
      </c>
      <c r="AJ675" s="424">
        <f t="shared" si="1557"/>
        <v>0</v>
      </c>
      <c r="AK675" s="424">
        <f t="shared" si="1557"/>
        <v>0</v>
      </c>
      <c r="AL675" s="424">
        <f t="shared" si="1557"/>
        <v>0</v>
      </c>
      <c r="AM675" s="424">
        <f t="shared" si="1557"/>
        <v>0</v>
      </c>
      <c r="AN675" s="424">
        <f t="shared" si="1557"/>
        <v>0</v>
      </c>
      <c r="AO675" s="424">
        <f t="shared" si="1557"/>
        <v>0</v>
      </c>
      <c r="AP675" s="424">
        <f t="shared" ref="AP675:BU675" si="1558">AP305*AP$372</f>
        <v>0</v>
      </c>
      <c r="AQ675" s="424">
        <f t="shared" si="1558"/>
        <v>0</v>
      </c>
      <c r="AR675" s="424">
        <f t="shared" si="1558"/>
        <v>0</v>
      </c>
      <c r="AS675" s="424">
        <f t="shared" si="1558"/>
        <v>0</v>
      </c>
      <c r="AT675" s="424">
        <f t="shared" si="1558"/>
        <v>0</v>
      </c>
      <c r="AU675" s="424">
        <f t="shared" si="1558"/>
        <v>0</v>
      </c>
      <c r="AV675" s="424">
        <f t="shared" si="1558"/>
        <v>0</v>
      </c>
      <c r="AW675" s="424">
        <f t="shared" si="1558"/>
        <v>0</v>
      </c>
      <c r="AX675" s="424">
        <f t="shared" si="1558"/>
        <v>0</v>
      </c>
      <c r="AY675" s="424">
        <f t="shared" si="1558"/>
        <v>0</v>
      </c>
      <c r="AZ675" s="424">
        <f t="shared" si="1558"/>
        <v>0</v>
      </c>
      <c r="BA675" s="424">
        <f t="shared" si="1558"/>
        <v>0</v>
      </c>
      <c r="BB675" s="424">
        <f t="shared" si="1558"/>
        <v>0</v>
      </c>
      <c r="BC675" s="424">
        <f t="shared" si="1558"/>
        <v>0</v>
      </c>
      <c r="BD675" s="424">
        <f t="shared" si="1558"/>
        <v>0</v>
      </c>
      <c r="BE675" s="424">
        <f t="shared" si="1558"/>
        <v>0</v>
      </c>
      <c r="BF675" s="424">
        <f t="shared" si="1558"/>
        <v>0</v>
      </c>
      <c r="BG675" s="424">
        <f t="shared" si="1558"/>
        <v>0</v>
      </c>
      <c r="BH675" s="424">
        <f t="shared" si="1558"/>
        <v>0</v>
      </c>
      <c r="BI675" s="424">
        <f t="shared" si="1558"/>
        <v>0</v>
      </c>
      <c r="BJ675" s="424">
        <f t="shared" si="1558"/>
        <v>0</v>
      </c>
      <c r="BK675" s="424">
        <f t="shared" si="1558"/>
        <v>0</v>
      </c>
      <c r="BL675" s="424">
        <f t="shared" si="1558"/>
        <v>0</v>
      </c>
      <c r="BM675" s="424">
        <f t="shared" si="1558"/>
        <v>0</v>
      </c>
      <c r="BN675" s="424">
        <f t="shared" si="1558"/>
        <v>0</v>
      </c>
      <c r="BO675" s="424">
        <f t="shared" si="1558"/>
        <v>0</v>
      </c>
      <c r="BP675" s="424">
        <f t="shared" si="1558"/>
        <v>0</v>
      </c>
      <c r="BQ675" s="424">
        <f t="shared" si="1558"/>
        <v>0</v>
      </c>
      <c r="BR675" s="424">
        <f t="shared" si="1558"/>
        <v>0</v>
      </c>
      <c r="BS675" s="424">
        <f t="shared" si="1558"/>
        <v>22.79</v>
      </c>
      <c r="BT675" s="424">
        <f t="shared" si="1558"/>
        <v>0</v>
      </c>
      <c r="BU675" s="424">
        <f t="shared" si="1558"/>
        <v>0</v>
      </c>
      <c r="BV675" s="424">
        <f t="shared" ref="BV675:DA675" si="1559">BV305*BV$372</f>
        <v>0</v>
      </c>
      <c r="BW675" s="424">
        <f t="shared" si="1559"/>
        <v>0</v>
      </c>
      <c r="BX675" s="424">
        <f t="shared" si="1559"/>
        <v>0</v>
      </c>
      <c r="BY675" s="424">
        <f t="shared" si="1559"/>
        <v>0</v>
      </c>
      <c r="BZ675" s="424">
        <f t="shared" si="1559"/>
        <v>0</v>
      </c>
      <c r="CA675" s="424">
        <f t="shared" si="1559"/>
        <v>0</v>
      </c>
      <c r="CB675" s="424">
        <f t="shared" si="1559"/>
        <v>0</v>
      </c>
      <c r="CC675" s="424">
        <f t="shared" si="1559"/>
        <v>0</v>
      </c>
      <c r="CD675" s="424">
        <f t="shared" si="1559"/>
        <v>0</v>
      </c>
      <c r="CE675" s="424">
        <f t="shared" si="1559"/>
        <v>3.76</v>
      </c>
      <c r="CF675" s="424">
        <f t="shared" si="1559"/>
        <v>0</v>
      </c>
      <c r="CG675" s="424">
        <f t="shared" si="1559"/>
        <v>0</v>
      </c>
      <c r="CH675" s="424">
        <f t="shared" si="1559"/>
        <v>0</v>
      </c>
      <c r="CI675" s="424">
        <f t="shared" si="1559"/>
        <v>0</v>
      </c>
      <c r="CJ675" s="424">
        <f t="shared" si="1559"/>
        <v>0</v>
      </c>
      <c r="CK675" s="424">
        <f t="shared" si="1559"/>
        <v>0</v>
      </c>
      <c r="CL675" s="424">
        <f t="shared" si="1559"/>
        <v>8.65</v>
      </c>
      <c r="CM675" s="424">
        <f t="shared" si="1559"/>
        <v>0</v>
      </c>
      <c r="CN675" s="424">
        <f t="shared" si="1559"/>
        <v>0</v>
      </c>
      <c r="CO675" s="424">
        <f t="shared" si="1559"/>
        <v>0</v>
      </c>
      <c r="CP675" s="424">
        <f t="shared" si="1559"/>
        <v>0</v>
      </c>
      <c r="CQ675" s="424">
        <f t="shared" si="1559"/>
        <v>0</v>
      </c>
      <c r="CR675" s="424">
        <f t="shared" si="1559"/>
        <v>0</v>
      </c>
      <c r="CS675" s="424">
        <f t="shared" si="1559"/>
        <v>0</v>
      </c>
      <c r="CT675" s="424">
        <f t="shared" si="1559"/>
        <v>0</v>
      </c>
      <c r="CU675" s="424">
        <f t="shared" si="1559"/>
        <v>0</v>
      </c>
      <c r="CV675" s="424">
        <f t="shared" si="1559"/>
        <v>0</v>
      </c>
      <c r="CW675" s="424">
        <f t="shared" si="1559"/>
        <v>0</v>
      </c>
      <c r="CX675" s="424">
        <f t="shared" si="1559"/>
        <v>0</v>
      </c>
      <c r="CY675" s="424">
        <f t="shared" si="1559"/>
        <v>0</v>
      </c>
      <c r="CZ675" s="424">
        <f t="shared" si="1559"/>
        <v>3.34</v>
      </c>
      <c r="DA675" s="424">
        <f t="shared" si="1559"/>
        <v>0</v>
      </c>
      <c r="DB675" s="424">
        <f t="shared" ref="DB675:EG675" si="1560">DB305*DB$372</f>
        <v>0</v>
      </c>
      <c r="DC675" s="424">
        <f t="shared" si="1560"/>
        <v>0.24</v>
      </c>
      <c r="DD675" s="424">
        <f t="shared" si="1560"/>
        <v>0</v>
      </c>
      <c r="DE675" s="424">
        <f t="shared" si="1560"/>
        <v>0</v>
      </c>
      <c r="DF675" s="424">
        <f t="shared" si="1560"/>
        <v>0</v>
      </c>
      <c r="DG675" s="424">
        <f t="shared" si="1560"/>
        <v>0</v>
      </c>
      <c r="DH675" s="424">
        <f t="shared" si="1560"/>
        <v>0</v>
      </c>
      <c r="DI675" s="424">
        <f t="shared" si="1560"/>
        <v>0</v>
      </c>
      <c r="DJ675" s="424">
        <f t="shared" si="1560"/>
        <v>0</v>
      </c>
      <c r="DK675" s="424">
        <f t="shared" si="1560"/>
        <v>0</v>
      </c>
      <c r="DL675" s="424">
        <f t="shared" si="1560"/>
        <v>0</v>
      </c>
      <c r="DM675" s="424">
        <f t="shared" si="1560"/>
        <v>0</v>
      </c>
      <c r="DN675" s="424">
        <f t="shared" si="1560"/>
        <v>0</v>
      </c>
      <c r="DO675" s="424">
        <f t="shared" si="1560"/>
        <v>0</v>
      </c>
      <c r="DP675" s="424">
        <f t="shared" si="1560"/>
        <v>0</v>
      </c>
      <c r="DQ675" s="424">
        <f t="shared" si="1560"/>
        <v>0</v>
      </c>
      <c r="DR675" s="424">
        <f t="shared" si="1560"/>
        <v>0</v>
      </c>
      <c r="DS675" s="424">
        <f t="shared" si="1560"/>
        <v>0</v>
      </c>
      <c r="DT675" s="424">
        <f t="shared" si="1560"/>
        <v>0</v>
      </c>
      <c r="DU675" s="424">
        <f t="shared" si="1560"/>
        <v>0</v>
      </c>
      <c r="DV675" s="424">
        <f t="shared" si="1560"/>
        <v>0</v>
      </c>
      <c r="DW675" s="424">
        <f t="shared" si="1560"/>
        <v>0</v>
      </c>
      <c r="DX675" s="424">
        <f t="shared" si="1560"/>
        <v>0</v>
      </c>
      <c r="DY675" s="424">
        <f t="shared" si="1560"/>
        <v>0</v>
      </c>
      <c r="DZ675" s="424">
        <f t="shared" si="1560"/>
        <v>0</v>
      </c>
      <c r="EA675" s="424">
        <f t="shared" si="1560"/>
        <v>0</v>
      </c>
      <c r="EB675" s="424">
        <f t="shared" si="1560"/>
        <v>0</v>
      </c>
      <c r="EC675" s="424">
        <f t="shared" si="1560"/>
        <v>0</v>
      </c>
      <c r="ED675" s="424">
        <f t="shared" si="1560"/>
        <v>0</v>
      </c>
      <c r="EE675" s="424">
        <f t="shared" si="1560"/>
        <v>0</v>
      </c>
      <c r="EF675" s="424">
        <f t="shared" si="1560"/>
        <v>0</v>
      </c>
      <c r="EG675" s="424">
        <f t="shared" si="1560"/>
        <v>0</v>
      </c>
      <c r="EH675" s="424">
        <f t="shared" ref="EH675:EX675" si="1561">EH305*EH$372</f>
        <v>0</v>
      </c>
      <c r="EI675" s="424">
        <f t="shared" si="1561"/>
        <v>0</v>
      </c>
      <c r="EJ675" s="424">
        <f t="shared" si="1561"/>
        <v>0</v>
      </c>
      <c r="EK675" s="424">
        <f t="shared" si="1561"/>
        <v>0</v>
      </c>
      <c r="EL675" s="424">
        <f t="shared" si="1561"/>
        <v>0</v>
      </c>
      <c r="EM675" s="424">
        <f t="shared" si="1561"/>
        <v>0</v>
      </c>
      <c r="EN675" s="424">
        <f t="shared" si="1561"/>
        <v>0</v>
      </c>
      <c r="EO675" s="424">
        <f t="shared" si="1561"/>
        <v>0</v>
      </c>
      <c r="EP675" s="424">
        <f t="shared" si="1561"/>
        <v>0</v>
      </c>
      <c r="EQ675" s="424">
        <f t="shared" si="1561"/>
        <v>0</v>
      </c>
      <c r="ER675" s="424">
        <f t="shared" si="1561"/>
        <v>0</v>
      </c>
      <c r="ES675" s="424">
        <f t="shared" si="1561"/>
        <v>0</v>
      </c>
      <c r="ET675" s="424">
        <f t="shared" si="1561"/>
        <v>0</v>
      </c>
      <c r="EU675" s="424">
        <f t="shared" si="1561"/>
        <v>0</v>
      </c>
      <c r="EV675" s="424">
        <f t="shared" si="1561"/>
        <v>0</v>
      </c>
      <c r="EW675" s="424">
        <f t="shared" si="1561"/>
        <v>0</v>
      </c>
      <c r="EX675" s="424">
        <f t="shared" si="1561"/>
        <v>0</v>
      </c>
      <c r="EY675" s="425">
        <f t="shared" si="1420"/>
        <v>38.78</v>
      </c>
    </row>
    <row r="676" spans="1:166" s="511" customFormat="1" ht="14.7" customHeight="1" x14ac:dyDescent="0.25">
      <c r="A676" s="310">
        <v>302</v>
      </c>
      <c r="B676" s="311" t="str">
        <f t="shared" si="1331"/>
        <v>Тесто дрожжевое для пирожков печеных сдобных</v>
      </c>
      <c r="C676" s="483">
        <f t="shared" si="1421"/>
        <v>63.28</v>
      </c>
      <c r="D676" s="888"/>
      <c r="E676" s="888"/>
      <c r="F676" s="888"/>
      <c r="G676" s="889"/>
      <c r="H676" s="680">
        <f t="shared" si="1338"/>
        <v>405</v>
      </c>
      <c r="I676" s="1209">
        <f t="shared" si="1332"/>
        <v>0</v>
      </c>
      <c r="J676" s="424">
        <f t="shared" ref="J676:AO676" si="1562">J306*J$372</f>
        <v>0</v>
      </c>
      <c r="K676" s="424">
        <f t="shared" si="1562"/>
        <v>0</v>
      </c>
      <c r="L676" s="424">
        <f t="shared" si="1562"/>
        <v>0</v>
      </c>
      <c r="M676" s="424">
        <f t="shared" si="1562"/>
        <v>0</v>
      </c>
      <c r="N676" s="424">
        <f t="shared" si="1562"/>
        <v>0</v>
      </c>
      <c r="O676" s="424">
        <f t="shared" si="1562"/>
        <v>0</v>
      </c>
      <c r="P676" s="424">
        <f t="shared" si="1562"/>
        <v>0</v>
      </c>
      <c r="Q676" s="424">
        <f t="shared" si="1562"/>
        <v>0</v>
      </c>
      <c r="R676" s="424">
        <f t="shared" si="1562"/>
        <v>0</v>
      </c>
      <c r="S676" s="424">
        <f t="shared" si="1562"/>
        <v>0</v>
      </c>
      <c r="T676" s="424">
        <f t="shared" si="1562"/>
        <v>0</v>
      </c>
      <c r="U676" s="424">
        <f t="shared" si="1562"/>
        <v>0</v>
      </c>
      <c r="V676" s="424">
        <f t="shared" si="1562"/>
        <v>0</v>
      </c>
      <c r="W676" s="424">
        <f t="shared" si="1562"/>
        <v>0</v>
      </c>
      <c r="X676" s="424">
        <f t="shared" si="1562"/>
        <v>0</v>
      </c>
      <c r="Y676" s="424">
        <f t="shared" si="1562"/>
        <v>0</v>
      </c>
      <c r="Z676" s="424">
        <f t="shared" si="1562"/>
        <v>0</v>
      </c>
      <c r="AA676" s="424">
        <f t="shared" si="1562"/>
        <v>0</v>
      </c>
      <c r="AB676" s="424">
        <f t="shared" si="1562"/>
        <v>0</v>
      </c>
      <c r="AC676" s="424">
        <f t="shared" si="1562"/>
        <v>0</v>
      </c>
      <c r="AD676" s="424">
        <f t="shared" si="1562"/>
        <v>0</v>
      </c>
      <c r="AE676" s="424">
        <f t="shared" si="1562"/>
        <v>0</v>
      </c>
      <c r="AF676" s="424">
        <f t="shared" si="1562"/>
        <v>0</v>
      </c>
      <c r="AG676" s="424">
        <f t="shared" si="1562"/>
        <v>0</v>
      </c>
      <c r="AH676" s="424">
        <f t="shared" si="1562"/>
        <v>0</v>
      </c>
      <c r="AI676" s="424">
        <f t="shared" si="1562"/>
        <v>0</v>
      </c>
      <c r="AJ676" s="424">
        <f t="shared" si="1562"/>
        <v>0</v>
      </c>
      <c r="AK676" s="424">
        <f t="shared" si="1562"/>
        <v>0</v>
      </c>
      <c r="AL676" s="424">
        <f t="shared" si="1562"/>
        <v>0</v>
      </c>
      <c r="AM676" s="424">
        <f t="shared" si="1562"/>
        <v>0</v>
      </c>
      <c r="AN676" s="424">
        <f t="shared" si="1562"/>
        <v>0</v>
      </c>
      <c r="AO676" s="424">
        <f t="shared" si="1562"/>
        <v>0</v>
      </c>
      <c r="AP676" s="424">
        <f t="shared" ref="AP676:BU676" si="1563">AP306*AP$372</f>
        <v>0</v>
      </c>
      <c r="AQ676" s="424">
        <f t="shared" si="1563"/>
        <v>0</v>
      </c>
      <c r="AR676" s="424">
        <f t="shared" si="1563"/>
        <v>0</v>
      </c>
      <c r="AS676" s="424">
        <f t="shared" si="1563"/>
        <v>0</v>
      </c>
      <c r="AT676" s="424">
        <f t="shared" si="1563"/>
        <v>0</v>
      </c>
      <c r="AU676" s="424">
        <f t="shared" si="1563"/>
        <v>0</v>
      </c>
      <c r="AV676" s="424">
        <f t="shared" si="1563"/>
        <v>0</v>
      </c>
      <c r="AW676" s="424">
        <f t="shared" si="1563"/>
        <v>0</v>
      </c>
      <c r="AX676" s="424">
        <f t="shared" si="1563"/>
        <v>0</v>
      </c>
      <c r="AY676" s="424">
        <f t="shared" si="1563"/>
        <v>0</v>
      </c>
      <c r="AZ676" s="424">
        <f t="shared" si="1563"/>
        <v>0</v>
      </c>
      <c r="BA676" s="424">
        <f t="shared" si="1563"/>
        <v>0</v>
      </c>
      <c r="BB676" s="424">
        <f t="shared" si="1563"/>
        <v>0</v>
      </c>
      <c r="BC676" s="424">
        <f t="shared" si="1563"/>
        <v>0</v>
      </c>
      <c r="BD676" s="424">
        <f t="shared" si="1563"/>
        <v>0</v>
      </c>
      <c r="BE676" s="424">
        <f t="shared" si="1563"/>
        <v>0</v>
      </c>
      <c r="BF676" s="424">
        <f t="shared" si="1563"/>
        <v>0</v>
      </c>
      <c r="BG676" s="424">
        <f t="shared" si="1563"/>
        <v>0</v>
      </c>
      <c r="BH676" s="424">
        <f t="shared" si="1563"/>
        <v>0</v>
      </c>
      <c r="BI676" s="424">
        <f t="shared" si="1563"/>
        <v>0</v>
      </c>
      <c r="BJ676" s="424">
        <f t="shared" si="1563"/>
        <v>0</v>
      </c>
      <c r="BK676" s="424">
        <f t="shared" si="1563"/>
        <v>0</v>
      </c>
      <c r="BL676" s="424">
        <f t="shared" si="1563"/>
        <v>0</v>
      </c>
      <c r="BM676" s="424">
        <f t="shared" si="1563"/>
        <v>0</v>
      </c>
      <c r="BN676" s="424">
        <f t="shared" si="1563"/>
        <v>0</v>
      </c>
      <c r="BO676" s="424">
        <f t="shared" si="1563"/>
        <v>0</v>
      </c>
      <c r="BP676" s="424">
        <f t="shared" si="1563"/>
        <v>0</v>
      </c>
      <c r="BQ676" s="424">
        <f t="shared" si="1563"/>
        <v>0</v>
      </c>
      <c r="BR676" s="424">
        <f t="shared" si="1563"/>
        <v>0</v>
      </c>
      <c r="BS676" s="424">
        <f t="shared" si="1563"/>
        <v>23.04</v>
      </c>
      <c r="BT676" s="424">
        <f t="shared" si="1563"/>
        <v>0</v>
      </c>
      <c r="BU676" s="424">
        <f t="shared" si="1563"/>
        <v>0</v>
      </c>
      <c r="BV676" s="424">
        <f t="shared" ref="BV676:DA676" si="1564">BV306*BV$372</f>
        <v>0</v>
      </c>
      <c r="BW676" s="424">
        <f t="shared" si="1564"/>
        <v>0</v>
      </c>
      <c r="BX676" s="424">
        <f t="shared" si="1564"/>
        <v>0</v>
      </c>
      <c r="BY676" s="424">
        <f t="shared" si="1564"/>
        <v>0</v>
      </c>
      <c r="BZ676" s="424">
        <f t="shared" si="1564"/>
        <v>0</v>
      </c>
      <c r="CA676" s="424">
        <f t="shared" si="1564"/>
        <v>0</v>
      </c>
      <c r="CB676" s="424">
        <f t="shared" si="1564"/>
        <v>0</v>
      </c>
      <c r="CC676" s="424">
        <f t="shared" si="1564"/>
        <v>0</v>
      </c>
      <c r="CD676" s="424">
        <f t="shared" si="1564"/>
        <v>0</v>
      </c>
      <c r="CE676" s="424">
        <f t="shared" si="1564"/>
        <v>13.66</v>
      </c>
      <c r="CF676" s="424">
        <f t="shared" si="1564"/>
        <v>0</v>
      </c>
      <c r="CG676" s="424">
        <f t="shared" si="1564"/>
        <v>0</v>
      </c>
      <c r="CH676" s="424">
        <f t="shared" si="1564"/>
        <v>0</v>
      </c>
      <c r="CI676" s="424">
        <f t="shared" si="1564"/>
        <v>0</v>
      </c>
      <c r="CJ676" s="424">
        <f t="shared" si="1564"/>
        <v>0</v>
      </c>
      <c r="CK676" s="424">
        <f t="shared" si="1564"/>
        <v>0</v>
      </c>
      <c r="CL676" s="424">
        <f t="shared" si="1564"/>
        <v>10.47</v>
      </c>
      <c r="CM676" s="424">
        <f t="shared" si="1564"/>
        <v>0</v>
      </c>
      <c r="CN676" s="424">
        <f t="shared" si="1564"/>
        <v>0</v>
      </c>
      <c r="CO676" s="424">
        <f t="shared" si="1564"/>
        <v>0</v>
      </c>
      <c r="CP676" s="424">
        <f t="shared" si="1564"/>
        <v>0</v>
      </c>
      <c r="CQ676" s="424">
        <f t="shared" si="1564"/>
        <v>0</v>
      </c>
      <c r="CR676" s="424">
        <f t="shared" si="1564"/>
        <v>0</v>
      </c>
      <c r="CS676" s="424">
        <f t="shared" si="1564"/>
        <v>0</v>
      </c>
      <c r="CT676" s="424">
        <f t="shared" si="1564"/>
        <v>0</v>
      </c>
      <c r="CU676" s="424">
        <f t="shared" si="1564"/>
        <v>0</v>
      </c>
      <c r="CV676" s="424">
        <f t="shared" si="1564"/>
        <v>0</v>
      </c>
      <c r="CW676" s="424">
        <f t="shared" si="1564"/>
        <v>0</v>
      </c>
      <c r="CX676" s="424">
        <f t="shared" si="1564"/>
        <v>0</v>
      </c>
      <c r="CY676" s="424">
        <f t="shared" si="1564"/>
        <v>0</v>
      </c>
      <c r="CZ676" s="424">
        <f t="shared" si="1564"/>
        <v>3.5</v>
      </c>
      <c r="DA676" s="424">
        <f t="shared" si="1564"/>
        <v>0</v>
      </c>
      <c r="DB676" s="424">
        <f t="shared" ref="DB676:EG676" si="1565">DB306*DB$372</f>
        <v>0</v>
      </c>
      <c r="DC676" s="424">
        <f t="shared" si="1565"/>
        <v>0.19</v>
      </c>
      <c r="DD676" s="424">
        <f t="shared" si="1565"/>
        <v>0</v>
      </c>
      <c r="DE676" s="424">
        <f t="shared" si="1565"/>
        <v>0</v>
      </c>
      <c r="DF676" s="424">
        <f t="shared" si="1565"/>
        <v>0</v>
      </c>
      <c r="DG676" s="424">
        <f t="shared" si="1565"/>
        <v>0</v>
      </c>
      <c r="DH676" s="424">
        <f t="shared" si="1565"/>
        <v>0</v>
      </c>
      <c r="DI676" s="424">
        <f t="shared" si="1565"/>
        <v>0</v>
      </c>
      <c r="DJ676" s="424">
        <f t="shared" si="1565"/>
        <v>0</v>
      </c>
      <c r="DK676" s="424">
        <f t="shared" si="1565"/>
        <v>0</v>
      </c>
      <c r="DL676" s="424">
        <f t="shared" si="1565"/>
        <v>0</v>
      </c>
      <c r="DM676" s="424">
        <f t="shared" si="1565"/>
        <v>0</v>
      </c>
      <c r="DN676" s="424">
        <f t="shared" si="1565"/>
        <v>0</v>
      </c>
      <c r="DO676" s="424">
        <f t="shared" si="1565"/>
        <v>0</v>
      </c>
      <c r="DP676" s="424">
        <f t="shared" si="1565"/>
        <v>0</v>
      </c>
      <c r="DQ676" s="424">
        <f t="shared" si="1565"/>
        <v>0</v>
      </c>
      <c r="DR676" s="424">
        <f t="shared" si="1565"/>
        <v>0</v>
      </c>
      <c r="DS676" s="424">
        <f t="shared" si="1565"/>
        <v>0</v>
      </c>
      <c r="DT676" s="424">
        <f t="shared" si="1565"/>
        <v>0</v>
      </c>
      <c r="DU676" s="424">
        <f t="shared" si="1565"/>
        <v>0</v>
      </c>
      <c r="DV676" s="424">
        <f t="shared" si="1565"/>
        <v>0</v>
      </c>
      <c r="DW676" s="424">
        <f t="shared" si="1565"/>
        <v>0</v>
      </c>
      <c r="DX676" s="424">
        <f t="shared" si="1565"/>
        <v>12.42</v>
      </c>
      <c r="DY676" s="424">
        <f t="shared" si="1565"/>
        <v>0</v>
      </c>
      <c r="DZ676" s="424">
        <f t="shared" si="1565"/>
        <v>0</v>
      </c>
      <c r="EA676" s="424">
        <f t="shared" si="1565"/>
        <v>0</v>
      </c>
      <c r="EB676" s="424">
        <f t="shared" si="1565"/>
        <v>0</v>
      </c>
      <c r="EC676" s="424">
        <f t="shared" si="1565"/>
        <v>0</v>
      </c>
      <c r="ED676" s="424">
        <f t="shared" si="1565"/>
        <v>0</v>
      </c>
      <c r="EE676" s="424">
        <f t="shared" si="1565"/>
        <v>0</v>
      </c>
      <c r="EF676" s="424">
        <f t="shared" si="1565"/>
        <v>0</v>
      </c>
      <c r="EG676" s="424">
        <f t="shared" si="1565"/>
        <v>0</v>
      </c>
      <c r="EH676" s="424">
        <f t="shared" ref="EH676:EX676" si="1566">EH306*EH$372</f>
        <v>0</v>
      </c>
      <c r="EI676" s="424">
        <f t="shared" si="1566"/>
        <v>0</v>
      </c>
      <c r="EJ676" s="424">
        <f t="shared" si="1566"/>
        <v>0</v>
      </c>
      <c r="EK676" s="424">
        <f t="shared" si="1566"/>
        <v>0</v>
      </c>
      <c r="EL676" s="424">
        <f t="shared" si="1566"/>
        <v>0</v>
      </c>
      <c r="EM676" s="424">
        <f t="shared" si="1566"/>
        <v>0</v>
      </c>
      <c r="EN676" s="424">
        <f t="shared" si="1566"/>
        <v>0</v>
      </c>
      <c r="EO676" s="424">
        <f t="shared" si="1566"/>
        <v>0</v>
      </c>
      <c r="EP676" s="424">
        <f t="shared" si="1566"/>
        <v>0</v>
      </c>
      <c r="EQ676" s="424">
        <f t="shared" si="1566"/>
        <v>0</v>
      </c>
      <c r="ER676" s="424">
        <f t="shared" si="1566"/>
        <v>0</v>
      </c>
      <c r="ES676" s="424">
        <f t="shared" si="1566"/>
        <v>0</v>
      </c>
      <c r="ET676" s="424">
        <f t="shared" si="1566"/>
        <v>0</v>
      </c>
      <c r="EU676" s="424">
        <f t="shared" si="1566"/>
        <v>0</v>
      </c>
      <c r="EV676" s="424">
        <f t="shared" si="1566"/>
        <v>0</v>
      </c>
      <c r="EW676" s="424">
        <f t="shared" si="1566"/>
        <v>0</v>
      </c>
      <c r="EX676" s="424">
        <f t="shared" si="1566"/>
        <v>0</v>
      </c>
      <c r="EY676" s="425">
        <f t="shared" si="1420"/>
        <v>63.28</v>
      </c>
      <c r="EZ676" s="616"/>
      <c r="FA676" s="616"/>
      <c r="FB676" s="616"/>
      <c r="FC676" s="616"/>
      <c r="FD676" s="616"/>
      <c r="FE676" s="616"/>
      <c r="FF676" s="616"/>
      <c r="FG676" s="616"/>
      <c r="FH676" s="616"/>
      <c r="FI676" s="616"/>
      <c r="FJ676" s="616"/>
    </row>
    <row r="677" spans="1:166" ht="14.7" customHeight="1" x14ac:dyDescent="0.25">
      <c r="A677" s="310">
        <v>303</v>
      </c>
      <c r="B677" s="311" t="str">
        <f t="shared" si="1331"/>
        <v>Тесто дрожжевое для ватрушек, пирожков, кулебяк</v>
      </c>
      <c r="C677" s="483">
        <f t="shared" si="1421"/>
        <v>46.41</v>
      </c>
      <c r="D677" s="888"/>
      <c r="E677" s="888"/>
      <c r="F677" s="888"/>
      <c r="G677" s="889"/>
      <c r="H677" s="680">
        <f t="shared" si="1338"/>
        <v>405</v>
      </c>
      <c r="I677" s="1209">
        <f t="shared" si="1332"/>
        <v>0</v>
      </c>
      <c r="J677" s="424">
        <f t="shared" ref="J677:AO677" si="1567">J307*J$372</f>
        <v>0</v>
      </c>
      <c r="K677" s="424">
        <f t="shared" si="1567"/>
        <v>0</v>
      </c>
      <c r="L677" s="424">
        <f t="shared" si="1567"/>
        <v>0</v>
      </c>
      <c r="M677" s="424">
        <f t="shared" si="1567"/>
        <v>0</v>
      </c>
      <c r="N677" s="424">
        <f t="shared" si="1567"/>
        <v>0</v>
      </c>
      <c r="O677" s="424">
        <f t="shared" si="1567"/>
        <v>0</v>
      </c>
      <c r="P677" s="424">
        <f t="shared" si="1567"/>
        <v>0</v>
      </c>
      <c r="Q677" s="424">
        <f t="shared" si="1567"/>
        <v>0</v>
      </c>
      <c r="R677" s="424">
        <f t="shared" si="1567"/>
        <v>0</v>
      </c>
      <c r="S677" s="424">
        <f t="shared" si="1567"/>
        <v>0</v>
      </c>
      <c r="T677" s="424">
        <f t="shared" si="1567"/>
        <v>0</v>
      </c>
      <c r="U677" s="424">
        <f t="shared" si="1567"/>
        <v>0</v>
      </c>
      <c r="V677" s="424">
        <f t="shared" si="1567"/>
        <v>0</v>
      </c>
      <c r="W677" s="424">
        <f t="shared" si="1567"/>
        <v>0</v>
      </c>
      <c r="X677" s="424">
        <f t="shared" si="1567"/>
        <v>0</v>
      </c>
      <c r="Y677" s="424">
        <f t="shared" si="1567"/>
        <v>0</v>
      </c>
      <c r="Z677" s="424">
        <f t="shared" si="1567"/>
        <v>0</v>
      </c>
      <c r="AA677" s="424">
        <f t="shared" si="1567"/>
        <v>0</v>
      </c>
      <c r="AB677" s="424">
        <f t="shared" si="1567"/>
        <v>0</v>
      </c>
      <c r="AC677" s="424">
        <f t="shared" si="1567"/>
        <v>0</v>
      </c>
      <c r="AD677" s="424">
        <f t="shared" si="1567"/>
        <v>0</v>
      </c>
      <c r="AE677" s="424">
        <f t="shared" si="1567"/>
        <v>0</v>
      </c>
      <c r="AF677" s="424">
        <f t="shared" si="1567"/>
        <v>0</v>
      </c>
      <c r="AG677" s="424">
        <f t="shared" si="1567"/>
        <v>0</v>
      </c>
      <c r="AH677" s="424">
        <f t="shared" si="1567"/>
        <v>0</v>
      </c>
      <c r="AI677" s="424">
        <f t="shared" si="1567"/>
        <v>0</v>
      </c>
      <c r="AJ677" s="424">
        <f t="shared" si="1567"/>
        <v>0</v>
      </c>
      <c r="AK677" s="424">
        <f t="shared" si="1567"/>
        <v>0</v>
      </c>
      <c r="AL677" s="424">
        <f t="shared" si="1567"/>
        <v>0</v>
      </c>
      <c r="AM677" s="424">
        <f t="shared" si="1567"/>
        <v>0</v>
      </c>
      <c r="AN677" s="424">
        <f t="shared" si="1567"/>
        <v>0</v>
      </c>
      <c r="AO677" s="424">
        <f t="shared" si="1567"/>
        <v>0</v>
      </c>
      <c r="AP677" s="424">
        <f t="shared" ref="AP677:BU677" si="1568">AP307*AP$372</f>
        <v>0</v>
      </c>
      <c r="AQ677" s="424">
        <f t="shared" si="1568"/>
        <v>0</v>
      </c>
      <c r="AR677" s="424">
        <f t="shared" si="1568"/>
        <v>0</v>
      </c>
      <c r="AS677" s="424">
        <f t="shared" si="1568"/>
        <v>0</v>
      </c>
      <c r="AT677" s="424">
        <f t="shared" si="1568"/>
        <v>0</v>
      </c>
      <c r="AU677" s="424">
        <f t="shared" si="1568"/>
        <v>0</v>
      </c>
      <c r="AV677" s="424">
        <f t="shared" si="1568"/>
        <v>0</v>
      </c>
      <c r="AW677" s="424">
        <f t="shared" si="1568"/>
        <v>0</v>
      </c>
      <c r="AX677" s="424">
        <f t="shared" si="1568"/>
        <v>0</v>
      </c>
      <c r="AY677" s="424">
        <f t="shared" si="1568"/>
        <v>0</v>
      </c>
      <c r="AZ677" s="424">
        <f t="shared" si="1568"/>
        <v>0</v>
      </c>
      <c r="BA677" s="424">
        <f t="shared" si="1568"/>
        <v>0</v>
      </c>
      <c r="BB677" s="424">
        <f t="shared" si="1568"/>
        <v>0</v>
      </c>
      <c r="BC677" s="424">
        <f t="shared" si="1568"/>
        <v>0</v>
      </c>
      <c r="BD677" s="424">
        <f t="shared" si="1568"/>
        <v>0</v>
      </c>
      <c r="BE677" s="424">
        <f t="shared" si="1568"/>
        <v>0</v>
      </c>
      <c r="BF677" s="424">
        <f t="shared" si="1568"/>
        <v>0</v>
      </c>
      <c r="BG677" s="424">
        <f t="shared" si="1568"/>
        <v>0</v>
      </c>
      <c r="BH677" s="424">
        <f t="shared" si="1568"/>
        <v>0</v>
      </c>
      <c r="BI677" s="424">
        <f t="shared" si="1568"/>
        <v>0</v>
      </c>
      <c r="BJ677" s="424">
        <f t="shared" si="1568"/>
        <v>0</v>
      </c>
      <c r="BK677" s="424">
        <f t="shared" si="1568"/>
        <v>0</v>
      </c>
      <c r="BL677" s="424">
        <f t="shared" si="1568"/>
        <v>0</v>
      </c>
      <c r="BM677" s="424">
        <f t="shared" si="1568"/>
        <v>0</v>
      </c>
      <c r="BN677" s="424">
        <f t="shared" si="1568"/>
        <v>0</v>
      </c>
      <c r="BO677" s="424">
        <f t="shared" si="1568"/>
        <v>0</v>
      </c>
      <c r="BP677" s="424">
        <f t="shared" si="1568"/>
        <v>0</v>
      </c>
      <c r="BQ677" s="424">
        <f t="shared" si="1568"/>
        <v>0</v>
      </c>
      <c r="BR677" s="424">
        <f t="shared" si="1568"/>
        <v>0</v>
      </c>
      <c r="BS677" s="424">
        <f t="shared" si="1568"/>
        <v>23.08</v>
      </c>
      <c r="BT677" s="424">
        <f t="shared" si="1568"/>
        <v>0</v>
      </c>
      <c r="BU677" s="424">
        <f t="shared" si="1568"/>
        <v>0</v>
      </c>
      <c r="BV677" s="424">
        <f t="shared" ref="BV677:DA677" si="1569">BV307*BV$372</f>
        <v>0</v>
      </c>
      <c r="BW677" s="424">
        <f t="shared" si="1569"/>
        <v>0</v>
      </c>
      <c r="BX677" s="424">
        <f t="shared" si="1569"/>
        <v>0</v>
      </c>
      <c r="BY677" s="424">
        <f t="shared" si="1569"/>
        <v>0</v>
      </c>
      <c r="BZ677" s="424">
        <f t="shared" si="1569"/>
        <v>0</v>
      </c>
      <c r="CA677" s="424">
        <f t="shared" si="1569"/>
        <v>0</v>
      </c>
      <c r="CB677" s="424">
        <f t="shared" si="1569"/>
        <v>0</v>
      </c>
      <c r="CC677" s="424">
        <f t="shared" si="1569"/>
        <v>0</v>
      </c>
      <c r="CD677" s="424">
        <f t="shared" si="1569"/>
        <v>0</v>
      </c>
      <c r="CE677" s="424">
        <f t="shared" si="1569"/>
        <v>5.74</v>
      </c>
      <c r="CF677" s="424">
        <f t="shared" si="1569"/>
        <v>0</v>
      </c>
      <c r="CG677" s="424">
        <f t="shared" si="1569"/>
        <v>0</v>
      </c>
      <c r="CH677" s="424">
        <f t="shared" si="1569"/>
        <v>0</v>
      </c>
      <c r="CI677" s="424">
        <f t="shared" si="1569"/>
        <v>0</v>
      </c>
      <c r="CJ677" s="424">
        <f t="shared" si="1569"/>
        <v>0</v>
      </c>
      <c r="CK677" s="424">
        <f t="shared" si="1569"/>
        <v>0</v>
      </c>
      <c r="CL677" s="424">
        <f t="shared" si="1569"/>
        <v>8.65</v>
      </c>
      <c r="CM677" s="424">
        <f t="shared" si="1569"/>
        <v>0</v>
      </c>
      <c r="CN677" s="424">
        <f t="shared" si="1569"/>
        <v>0</v>
      </c>
      <c r="CO677" s="424">
        <f t="shared" si="1569"/>
        <v>0</v>
      </c>
      <c r="CP677" s="424">
        <f t="shared" si="1569"/>
        <v>0</v>
      </c>
      <c r="CQ677" s="424">
        <f t="shared" si="1569"/>
        <v>0</v>
      </c>
      <c r="CR677" s="424">
        <f t="shared" si="1569"/>
        <v>0</v>
      </c>
      <c r="CS677" s="424">
        <f t="shared" si="1569"/>
        <v>0</v>
      </c>
      <c r="CT677" s="424">
        <f t="shared" si="1569"/>
        <v>0</v>
      </c>
      <c r="CU677" s="424">
        <f t="shared" si="1569"/>
        <v>0</v>
      </c>
      <c r="CV677" s="424">
        <f t="shared" si="1569"/>
        <v>0</v>
      </c>
      <c r="CW677" s="424">
        <f t="shared" si="1569"/>
        <v>0</v>
      </c>
      <c r="CX677" s="424">
        <f t="shared" si="1569"/>
        <v>0</v>
      </c>
      <c r="CY677" s="424">
        <f t="shared" si="1569"/>
        <v>0</v>
      </c>
      <c r="CZ677" s="424">
        <f t="shared" si="1569"/>
        <v>2.58</v>
      </c>
      <c r="DA677" s="424">
        <f t="shared" si="1569"/>
        <v>0</v>
      </c>
      <c r="DB677" s="424">
        <f t="shared" ref="DB677:EG677" si="1570">DB307*DB$372</f>
        <v>0</v>
      </c>
      <c r="DC677" s="424">
        <f t="shared" si="1570"/>
        <v>0.24</v>
      </c>
      <c r="DD677" s="424">
        <f t="shared" si="1570"/>
        <v>0</v>
      </c>
      <c r="DE677" s="424">
        <f t="shared" si="1570"/>
        <v>0</v>
      </c>
      <c r="DF677" s="424">
        <f t="shared" si="1570"/>
        <v>0</v>
      </c>
      <c r="DG677" s="424">
        <f t="shared" si="1570"/>
        <v>0</v>
      </c>
      <c r="DH677" s="424">
        <f t="shared" si="1570"/>
        <v>0</v>
      </c>
      <c r="DI677" s="424">
        <f t="shared" si="1570"/>
        <v>0</v>
      </c>
      <c r="DJ677" s="424">
        <f t="shared" si="1570"/>
        <v>0</v>
      </c>
      <c r="DK677" s="424">
        <f t="shared" si="1570"/>
        <v>0</v>
      </c>
      <c r="DL677" s="424">
        <f t="shared" si="1570"/>
        <v>0</v>
      </c>
      <c r="DM677" s="424">
        <f t="shared" si="1570"/>
        <v>0</v>
      </c>
      <c r="DN677" s="424">
        <f t="shared" si="1570"/>
        <v>0</v>
      </c>
      <c r="DO677" s="424">
        <f t="shared" si="1570"/>
        <v>0</v>
      </c>
      <c r="DP677" s="424">
        <f t="shared" si="1570"/>
        <v>0</v>
      </c>
      <c r="DQ677" s="424">
        <f t="shared" si="1570"/>
        <v>0</v>
      </c>
      <c r="DR677" s="424">
        <f t="shared" si="1570"/>
        <v>0</v>
      </c>
      <c r="DS677" s="424">
        <f t="shared" si="1570"/>
        <v>0</v>
      </c>
      <c r="DT677" s="424">
        <f t="shared" si="1570"/>
        <v>0</v>
      </c>
      <c r="DU677" s="424">
        <f t="shared" si="1570"/>
        <v>0</v>
      </c>
      <c r="DV677" s="424">
        <f t="shared" si="1570"/>
        <v>0</v>
      </c>
      <c r="DW677" s="424">
        <f t="shared" si="1570"/>
        <v>0</v>
      </c>
      <c r="DX677" s="424">
        <f t="shared" si="1570"/>
        <v>6.12</v>
      </c>
      <c r="DY677" s="424">
        <f t="shared" si="1570"/>
        <v>0</v>
      </c>
      <c r="DZ677" s="424">
        <f t="shared" si="1570"/>
        <v>0</v>
      </c>
      <c r="EA677" s="424">
        <f t="shared" si="1570"/>
        <v>0</v>
      </c>
      <c r="EB677" s="424">
        <f t="shared" si="1570"/>
        <v>0</v>
      </c>
      <c r="EC677" s="424">
        <f t="shared" si="1570"/>
        <v>0</v>
      </c>
      <c r="ED677" s="424">
        <f t="shared" si="1570"/>
        <v>0</v>
      </c>
      <c r="EE677" s="424">
        <f t="shared" si="1570"/>
        <v>0</v>
      </c>
      <c r="EF677" s="424">
        <f t="shared" si="1570"/>
        <v>0</v>
      </c>
      <c r="EG677" s="424">
        <f t="shared" si="1570"/>
        <v>0</v>
      </c>
      <c r="EH677" s="424">
        <f t="shared" ref="EH677:EX677" si="1571">EH307*EH$372</f>
        <v>0</v>
      </c>
      <c r="EI677" s="424">
        <f t="shared" si="1571"/>
        <v>0</v>
      </c>
      <c r="EJ677" s="424">
        <f t="shared" si="1571"/>
        <v>0</v>
      </c>
      <c r="EK677" s="424">
        <f t="shared" si="1571"/>
        <v>0</v>
      </c>
      <c r="EL677" s="424">
        <f t="shared" si="1571"/>
        <v>0</v>
      </c>
      <c r="EM677" s="424">
        <f t="shared" si="1571"/>
        <v>0</v>
      </c>
      <c r="EN677" s="424">
        <f t="shared" si="1571"/>
        <v>0</v>
      </c>
      <c r="EO677" s="424">
        <f t="shared" si="1571"/>
        <v>0</v>
      </c>
      <c r="EP677" s="424">
        <f t="shared" si="1571"/>
        <v>0</v>
      </c>
      <c r="EQ677" s="424">
        <f t="shared" si="1571"/>
        <v>0</v>
      </c>
      <c r="ER677" s="424">
        <f t="shared" si="1571"/>
        <v>0</v>
      </c>
      <c r="ES677" s="424">
        <f t="shared" si="1571"/>
        <v>0</v>
      </c>
      <c r="ET677" s="424">
        <f t="shared" si="1571"/>
        <v>0</v>
      </c>
      <c r="EU677" s="424">
        <f t="shared" si="1571"/>
        <v>0</v>
      </c>
      <c r="EV677" s="424">
        <f t="shared" si="1571"/>
        <v>0</v>
      </c>
      <c r="EW677" s="424">
        <f t="shared" si="1571"/>
        <v>0</v>
      </c>
      <c r="EX677" s="424">
        <f t="shared" si="1571"/>
        <v>0</v>
      </c>
      <c r="EY677" s="425">
        <f t="shared" si="1420"/>
        <v>46.41</v>
      </c>
    </row>
    <row r="678" spans="1:166" s="497" customFormat="1" ht="14.7" customHeight="1" x14ac:dyDescent="0.25">
      <c r="A678" s="310">
        <v>304</v>
      </c>
      <c r="B678" s="311" t="str">
        <f t="shared" si="1331"/>
        <v>Пирожки печеные с фаршем картофельным</v>
      </c>
      <c r="C678" s="483">
        <f t="shared" si="1421"/>
        <v>4.59</v>
      </c>
      <c r="D678" s="888"/>
      <c r="E678" s="888"/>
      <c r="F678" s="888"/>
      <c r="G678" s="889"/>
      <c r="H678" s="680">
        <f t="shared" si="1338"/>
        <v>406</v>
      </c>
      <c r="I678" s="1209">
        <f t="shared" si="1332"/>
        <v>0.04</v>
      </c>
      <c r="J678" s="424">
        <f t="shared" ref="J678:AO678" si="1572">J308*J$372</f>
        <v>0</v>
      </c>
      <c r="K678" s="424">
        <f t="shared" si="1572"/>
        <v>0</v>
      </c>
      <c r="L678" s="424">
        <f t="shared" si="1572"/>
        <v>0</v>
      </c>
      <c r="M678" s="424">
        <f t="shared" si="1572"/>
        <v>0</v>
      </c>
      <c r="N678" s="424">
        <f t="shared" si="1572"/>
        <v>0</v>
      </c>
      <c r="O678" s="424">
        <f t="shared" si="1572"/>
        <v>0</v>
      </c>
      <c r="P678" s="424">
        <f t="shared" si="1572"/>
        <v>0.03</v>
      </c>
      <c r="Q678" s="424">
        <f t="shared" si="1572"/>
        <v>0</v>
      </c>
      <c r="R678" s="424">
        <f t="shared" si="1572"/>
        <v>0</v>
      </c>
      <c r="S678" s="424">
        <f t="shared" si="1572"/>
        <v>0</v>
      </c>
      <c r="T678" s="424">
        <f t="shared" si="1572"/>
        <v>0</v>
      </c>
      <c r="U678" s="424">
        <f t="shared" si="1572"/>
        <v>0</v>
      </c>
      <c r="V678" s="424">
        <f t="shared" si="1572"/>
        <v>0</v>
      </c>
      <c r="W678" s="424">
        <f t="shared" si="1572"/>
        <v>0</v>
      </c>
      <c r="X678" s="424">
        <f t="shared" si="1572"/>
        <v>0</v>
      </c>
      <c r="Y678" s="424">
        <f t="shared" si="1572"/>
        <v>0</v>
      </c>
      <c r="Z678" s="424">
        <f t="shared" si="1572"/>
        <v>0</v>
      </c>
      <c r="AA678" s="424">
        <f t="shared" si="1572"/>
        <v>0</v>
      </c>
      <c r="AB678" s="424">
        <f t="shared" si="1572"/>
        <v>0</v>
      </c>
      <c r="AC678" s="424">
        <f t="shared" si="1572"/>
        <v>0</v>
      </c>
      <c r="AD678" s="424">
        <f t="shared" si="1572"/>
        <v>0</v>
      </c>
      <c r="AE678" s="424">
        <f t="shared" si="1572"/>
        <v>0.23</v>
      </c>
      <c r="AF678" s="424">
        <f t="shared" si="1572"/>
        <v>0</v>
      </c>
      <c r="AG678" s="424">
        <f t="shared" si="1572"/>
        <v>0</v>
      </c>
      <c r="AH678" s="424">
        <f t="shared" si="1572"/>
        <v>1.51</v>
      </c>
      <c r="AI678" s="424">
        <f t="shared" si="1572"/>
        <v>0</v>
      </c>
      <c r="AJ678" s="424">
        <f t="shared" si="1572"/>
        <v>0</v>
      </c>
      <c r="AK678" s="424">
        <f t="shared" si="1572"/>
        <v>0.39</v>
      </c>
      <c r="AL678" s="424">
        <f t="shared" si="1572"/>
        <v>0</v>
      </c>
      <c r="AM678" s="424">
        <f t="shared" si="1572"/>
        <v>0</v>
      </c>
      <c r="AN678" s="424">
        <f t="shared" si="1572"/>
        <v>0</v>
      </c>
      <c r="AO678" s="424">
        <f t="shared" si="1572"/>
        <v>0</v>
      </c>
      <c r="AP678" s="424">
        <f t="shared" ref="AP678:BU678" si="1573">AP308*AP$372</f>
        <v>0</v>
      </c>
      <c r="AQ678" s="424">
        <f t="shared" si="1573"/>
        <v>0</v>
      </c>
      <c r="AR678" s="424">
        <f t="shared" si="1573"/>
        <v>0</v>
      </c>
      <c r="AS678" s="424">
        <f t="shared" si="1573"/>
        <v>0</v>
      </c>
      <c r="AT678" s="424">
        <f t="shared" si="1573"/>
        <v>0</v>
      </c>
      <c r="AU678" s="424">
        <f t="shared" si="1573"/>
        <v>0</v>
      </c>
      <c r="AV678" s="424">
        <f t="shared" si="1573"/>
        <v>0</v>
      </c>
      <c r="AW678" s="424">
        <f t="shared" si="1573"/>
        <v>0</v>
      </c>
      <c r="AX678" s="424">
        <f t="shared" si="1573"/>
        <v>0</v>
      </c>
      <c r="AY678" s="424">
        <f t="shared" si="1573"/>
        <v>0</v>
      </c>
      <c r="AZ678" s="424">
        <f t="shared" si="1573"/>
        <v>0</v>
      </c>
      <c r="BA678" s="424">
        <f t="shared" si="1573"/>
        <v>0</v>
      </c>
      <c r="BB678" s="424">
        <f t="shared" si="1573"/>
        <v>0</v>
      </c>
      <c r="BC678" s="424">
        <f t="shared" si="1573"/>
        <v>0</v>
      </c>
      <c r="BD678" s="424">
        <f t="shared" si="1573"/>
        <v>0</v>
      </c>
      <c r="BE678" s="424">
        <f t="shared" si="1573"/>
        <v>0</v>
      </c>
      <c r="BF678" s="424">
        <f t="shared" si="1573"/>
        <v>0</v>
      </c>
      <c r="BG678" s="424">
        <f t="shared" si="1573"/>
        <v>0</v>
      </c>
      <c r="BH678" s="424">
        <f t="shared" si="1573"/>
        <v>0</v>
      </c>
      <c r="BI678" s="424">
        <f t="shared" si="1573"/>
        <v>0</v>
      </c>
      <c r="BJ678" s="424">
        <f t="shared" si="1573"/>
        <v>0</v>
      </c>
      <c r="BK678" s="424">
        <f t="shared" si="1573"/>
        <v>0</v>
      </c>
      <c r="BL678" s="424">
        <f t="shared" si="1573"/>
        <v>0</v>
      </c>
      <c r="BM678" s="424">
        <f t="shared" si="1573"/>
        <v>0</v>
      </c>
      <c r="BN678" s="424">
        <f t="shared" si="1573"/>
        <v>0</v>
      </c>
      <c r="BO678" s="424">
        <f t="shared" si="1573"/>
        <v>0</v>
      </c>
      <c r="BP678" s="424">
        <f t="shared" si="1573"/>
        <v>0</v>
      </c>
      <c r="BQ678" s="424">
        <f t="shared" si="1573"/>
        <v>0</v>
      </c>
      <c r="BR678" s="424">
        <f t="shared" si="1573"/>
        <v>0</v>
      </c>
      <c r="BS678" s="424">
        <f t="shared" si="1573"/>
        <v>1.38</v>
      </c>
      <c r="BT678" s="424">
        <f t="shared" si="1573"/>
        <v>0</v>
      </c>
      <c r="BU678" s="424">
        <f t="shared" si="1573"/>
        <v>0</v>
      </c>
      <c r="BV678" s="424">
        <f t="shared" ref="BV678:DA678" si="1574">BV308*BV$372</f>
        <v>0</v>
      </c>
      <c r="BW678" s="424">
        <f t="shared" si="1574"/>
        <v>0</v>
      </c>
      <c r="BX678" s="424">
        <f t="shared" si="1574"/>
        <v>0</v>
      </c>
      <c r="BY678" s="424">
        <f t="shared" si="1574"/>
        <v>0</v>
      </c>
      <c r="BZ678" s="424">
        <f t="shared" si="1574"/>
        <v>0</v>
      </c>
      <c r="CA678" s="424">
        <f t="shared" si="1574"/>
        <v>0</v>
      </c>
      <c r="CB678" s="424">
        <f t="shared" si="1574"/>
        <v>0</v>
      </c>
      <c r="CC678" s="424">
        <f t="shared" si="1574"/>
        <v>0</v>
      </c>
      <c r="CD678" s="424">
        <f t="shared" si="1574"/>
        <v>0</v>
      </c>
      <c r="CE678" s="424">
        <f t="shared" si="1574"/>
        <v>0.22</v>
      </c>
      <c r="CF678" s="424">
        <f t="shared" si="1574"/>
        <v>0.12</v>
      </c>
      <c r="CG678" s="424">
        <f t="shared" si="1574"/>
        <v>0</v>
      </c>
      <c r="CH678" s="424">
        <f t="shared" si="1574"/>
        <v>0</v>
      </c>
      <c r="CI678" s="424">
        <f t="shared" si="1574"/>
        <v>0</v>
      </c>
      <c r="CJ678" s="424">
        <f t="shared" si="1574"/>
        <v>0</v>
      </c>
      <c r="CK678" s="424">
        <f t="shared" si="1574"/>
        <v>0</v>
      </c>
      <c r="CL678" s="424">
        <f t="shared" si="1574"/>
        <v>0.5</v>
      </c>
      <c r="CM678" s="424">
        <f t="shared" si="1574"/>
        <v>0</v>
      </c>
      <c r="CN678" s="424">
        <f t="shared" si="1574"/>
        <v>0</v>
      </c>
      <c r="CO678" s="424">
        <f t="shared" si="1574"/>
        <v>0</v>
      </c>
      <c r="CP678" s="424">
        <f t="shared" si="1574"/>
        <v>0</v>
      </c>
      <c r="CQ678" s="424">
        <f t="shared" si="1574"/>
        <v>0</v>
      </c>
      <c r="CR678" s="424">
        <f t="shared" si="1574"/>
        <v>0</v>
      </c>
      <c r="CS678" s="424">
        <f t="shared" si="1574"/>
        <v>0</v>
      </c>
      <c r="CT678" s="424">
        <f t="shared" si="1574"/>
        <v>0</v>
      </c>
      <c r="CU678" s="424">
        <f t="shared" si="1574"/>
        <v>0</v>
      </c>
      <c r="CV678" s="424">
        <f t="shared" si="1574"/>
        <v>0</v>
      </c>
      <c r="CW678" s="424">
        <f t="shared" si="1574"/>
        <v>0</v>
      </c>
      <c r="CX678" s="424">
        <f t="shared" si="1574"/>
        <v>0</v>
      </c>
      <c r="CY678" s="424">
        <f t="shared" si="1574"/>
        <v>0</v>
      </c>
      <c r="CZ678" s="424">
        <f t="shared" si="1574"/>
        <v>0.19</v>
      </c>
      <c r="DA678" s="424">
        <f t="shared" si="1574"/>
        <v>0</v>
      </c>
      <c r="DB678" s="424">
        <f t="shared" ref="DB678:EG678" si="1575">DB308*DB$372</f>
        <v>0</v>
      </c>
      <c r="DC678" s="424">
        <f t="shared" si="1575"/>
        <v>0.02</v>
      </c>
      <c r="DD678" s="424">
        <f t="shared" si="1575"/>
        <v>0</v>
      </c>
      <c r="DE678" s="424">
        <f t="shared" si="1575"/>
        <v>0</v>
      </c>
      <c r="DF678" s="424">
        <f t="shared" si="1575"/>
        <v>0</v>
      </c>
      <c r="DG678" s="424">
        <f t="shared" si="1575"/>
        <v>0</v>
      </c>
      <c r="DH678" s="424">
        <f t="shared" si="1575"/>
        <v>0</v>
      </c>
      <c r="DI678" s="424">
        <f t="shared" si="1575"/>
        <v>0</v>
      </c>
      <c r="DJ678" s="424">
        <f t="shared" si="1575"/>
        <v>0</v>
      </c>
      <c r="DK678" s="424">
        <f t="shared" si="1575"/>
        <v>0</v>
      </c>
      <c r="DL678" s="424">
        <f t="shared" si="1575"/>
        <v>0</v>
      </c>
      <c r="DM678" s="424">
        <f t="shared" si="1575"/>
        <v>0</v>
      </c>
      <c r="DN678" s="424">
        <f t="shared" si="1575"/>
        <v>0</v>
      </c>
      <c r="DO678" s="424">
        <f t="shared" si="1575"/>
        <v>0</v>
      </c>
      <c r="DP678" s="424">
        <f t="shared" si="1575"/>
        <v>0</v>
      </c>
      <c r="DQ678" s="424">
        <f t="shared" si="1575"/>
        <v>0</v>
      </c>
      <c r="DR678" s="424">
        <f t="shared" si="1575"/>
        <v>0</v>
      </c>
      <c r="DS678" s="424">
        <f t="shared" si="1575"/>
        <v>0</v>
      </c>
      <c r="DT678" s="424">
        <f t="shared" si="1575"/>
        <v>0</v>
      </c>
      <c r="DU678" s="424">
        <f t="shared" si="1575"/>
        <v>0</v>
      </c>
      <c r="DV678" s="424">
        <f t="shared" si="1575"/>
        <v>0</v>
      </c>
      <c r="DW678" s="424">
        <f t="shared" si="1575"/>
        <v>0</v>
      </c>
      <c r="DX678" s="424">
        <f t="shared" si="1575"/>
        <v>0</v>
      </c>
      <c r="DY678" s="424">
        <f t="shared" si="1575"/>
        <v>0</v>
      </c>
      <c r="DZ678" s="424">
        <f t="shared" si="1575"/>
        <v>0</v>
      </c>
      <c r="EA678" s="424">
        <f t="shared" si="1575"/>
        <v>0</v>
      </c>
      <c r="EB678" s="424">
        <f t="shared" si="1575"/>
        <v>0</v>
      </c>
      <c r="EC678" s="424">
        <f t="shared" si="1575"/>
        <v>0</v>
      </c>
      <c r="ED678" s="424">
        <f t="shared" si="1575"/>
        <v>0</v>
      </c>
      <c r="EE678" s="424">
        <f t="shared" si="1575"/>
        <v>0</v>
      </c>
      <c r="EF678" s="424">
        <f t="shared" si="1575"/>
        <v>0</v>
      </c>
      <c r="EG678" s="424">
        <f t="shared" si="1575"/>
        <v>0</v>
      </c>
      <c r="EH678" s="424">
        <f t="shared" ref="EH678:EX678" si="1576">EH308*EH$372</f>
        <v>0</v>
      </c>
      <c r="EI678" s="424">
        <f t="shared" si="1576"/>
        <v>0</v>
      </c>
      <c r="EJ678" s="424">
        <f t="shared" si="1576"/>
        <v>0</v>
      </c>
      <c r="EK678" s="424">
        <f t="shared" si="1576"/>
        <v>0</v>
      </c>
      <c r="EL678" s="424">
        <f t="shared" si="1576"/>
        <v>0</v>
      </c>
      <c r="EM678" s="424">
        <f t="shared" si="1576"/>
        <v>0</v>
      </c>
      <c r="EN678" s="424">
        <f t="shared" si="1576"/>
        <v>0</v>
      </c>
      <c r="EO678" s="424">
        <f t="shared" si="1576"/>
        <v>0</v>
      </c>
      <c r="EP678" s="424">
        <f t="shared" si="1576"/>
        <v>0</v>
      </c>
      <c r="EQ678" s="424">
        <f t="shared" si="1576"/>
        <v>0</v>
      </c>
      <c r="ER678" s="424">
        <f t="shared" si="1576"/>
        <v>0</v>
      </c>
      <c r="ES678" s="424">
        <f t="shared" si="1576"/>
        <v>0</v>
      </c>
      <c r="ET678" s="424">
        <f t="shared" si="1576"/>
        <v>0</v>
      </c>
      <c r="EU678" s="424">
        <f t="shared" si="1576"/>
        <v>0</v>
      </c>
      <c r="EV678" s="424">
        <f t="shared" si="1576"/>
        <v>0</v>
      </c>
      <c r="EW678" s="424">
        <f t="shared" si="1576"/>
        <v>0</v>
      </c>
      <c r="EX678" s="424">
        <f t="shared" si="1576"/>
        <v>0</v>
      </c>
      <c r="EY678" s="425">
        <f t="shared" si="1420"/>
        <v>4.59</v>
      </c>
      <c r="EZ678" s="616"/>
      <c r="FA678" s="616"/>
      <c r="FB678" s="616"/>
      <c r="FC678" s="616"/>
      <c r="FD678" s="616"/>
      <c r="FE678" s="616"/>
      <c r="FF678" s="616"/>
      <c r="FG678" s="616"/>
      <c r="FH678" s="616"/>
      <c r="FI678" s="616"/>
      <c r="FJ678" s="616"/>
    </row>
    <row r="679" spans="1:166" ht="14.7" customHeight="1" x14ac:dyDescent="0.25">
      <c r="A679" s="310">
        <v>305</v>
      </c>
      <c r="B679" s="311" t="str">
        <f t="shared" si="1331"/>
        <v>Пирожки печеные с фаршем из свежей капусты</v>
      </c>
      <c r="C679" s="483">
        <f t="shared" si="1421"/>
        <v>5.27</v>
      </c>
      <c r="D679" s="888"/>
      <c r="E679" s="888"/>
      <c r="F679" s="888"/>
      <c r="G679" s="889"/>
      <c r="H679" s="680">
        <f t="shared" si="1338"/>
        <v>406</v>
      </c>
      <c r="I679" s="1209">
        <f t="shared" si="1332"/>
        <v>0.03</v>
      </c>
      <c r="J679" s="424">
        <f t="shared" ref="J679:AO679" si="1577">J309*J$372</f>
        <v>0</v>
      </c>
      <c r="K679" s="424">
        <f t="shared" si="1577"/>
        <v>0</v>
      </c>
      <c r="L679" s="424">
        <f t="shared" si="1577"/>
        <v>0</v>
      </c>
      <c r="M679" s="424">
        <f t="shared" si="1577"/>
        <v>0</v>
      </c>
      <c r="N679" s="424">
        <f t="shared" si="1577"/>
        <v>0</v>
      </c>
      <c r="O679" s="424">
        <f t="shared" si="1577"/>
        <v>0</v>
      </c>
      <c r="P679" s="424">
        <f t="shared" si="1577"/>
        <v>0.03</v>
      </c>
      <c r="Q679" s="424">
        <f t="shared" si="1577"/>
        <v>0</v>
      </c>
      <c r="R679" s="424">
        <f t="shared" si="1577"/>
        <v>0</v>
      </c>
      <c r="S679" s="424">
        <f t="shared" si="1577"/>
        <v>0</v>
      </c>
      <c r="T679" s="424">
        <f t="shared" si="1577"/>
        <v>0</v>
      </c>
      <c r="U679" s="424">
        <f t="shared" si="1577"/>
        <v>0</v>
      </c>
      <c r="V679" s="424">
        <f t="shared" si="1577"/>
        <v>0</v>
      </c>
      <c r="W679" s="424">
        <f t="shared" si="1577"/>
        <v>0</v>
      </c>
      <c r="X679" s="424">
        <f t="shared" si="1577"/>
        <v>0</v>
      </c>
      <c r="Y679" s="424">
        <f t="shared" si="1577"/>
        <v>0</v>
      </c>
      <c r="Z679" s="424">
        <f t="shared" si="1577"/>
        <v>0</v>
      </c>
      <c r="AA679" s="424">
        <f t="shared" si="1577"/>
        <v>0</v>
      </c>
      <c r="AB679" s="424">
        <f t="shared" si="1577"/>
        <v>0</v>
      </c>
      <c r="AC679" s="424">
        <f t="shared" si="1577"/>
        <v>0</v>
      </c>
      <c r="AD679" s="424">
        <f t="shared" si="1577"/>
        <v>0</v>
      </c>
      <c r="AE679" s="424">
        <f t="shared" si="1577"/>
        <v>0.23</v>
      </c>
      <c r="AF679" s="424">
        <f t="shared" si="1577"/>
        <v>1.99</v>
      </c>
      <c r="AG679" s="424">
        <f t="shared" si="1577"/>
        <v>0</v>
      </c>
      <c r="AH679" s="424">
        <f t="shared" si="1577"/>
        <v>0</v>
      </c>
      <c r="AI679" s="424">
        <f t="shared" si="1577"/>
        <v>0</v>
      </c>
      <c r="AJ679" s="424">
        <f t="shared" si="1577"/>
        <v>0</v>
      </c>
      <c r="AK679" s="424">
        <f t="shared" si="1577"/>
        <v>0.3</v>
      </c>
      <c r="AL679" s="424">
        <f t="shared" si="1577"/>
        <v>0</v>
      </c>
      <c r="AM679" s="424">
        <f t="shared" si="1577"/>
        <v>0</v>
      </c>
      <c r="AN679" s="424">
        <f t="shared" si="1577"/>
        <v>0</v>
      </c>
      <c r="AO679" s="424">
        <f t="shared" si="1577"/>
        <v>0</v>
      </c>
      <c r="AP679" s="424">
        <f t="shared" ref="AP679:BU679" si="1578">AP309*AP$372</f>
        <v>0</v>
      </c>
      <c r="AQ679" s="424">
        <f t="shared" si="1578"/>
        <v>0</v>
      </c>
      <c r="AR679" s="424">
        <f t="shared" si="1578"/>
        <v>0</v>
      </c>
      <c r="AS679" s="424">
        <f t="shared" si="1578"/>
        <v>0</v>
      </c>
      <c r="AT679" s="424">
        <f t="shared" si="1578"/>
        <v>0</v>
      </c>
      <c r="AU679" s="424">
        <f t="shared" si="1578"/>
        <v>0.11</v>
      </c>
      <c r="AV679" s="424">
        <f t="shared" si="1578"/>
        <v>0</v>
      </c>
      <c r="AW679" s="424">
        <f t="shared" si="1578"/>
        <v>0</v>
      </c>
      <c r="AX679" s="424">
        <f t="shared" si="1578"/>
        <v>0</v>
      </c>
      <c r="AY679" s="424">
        <f t="shared" si="1578"/>
        <v>0</v>
      </c>
      <c r="AZ679" s="424">
        <f t="shared" si="1578"/>
        <v>0</v>
      </c>
      <c r="BA679" s="424">
        <f t="shared" si="1578"/>
        <v>0</v>
      </c>
      <c r="BB679" s="424">
        <f t="shared" si="1578"/>
        <v>0</v>
      </c>
      <c r="BC679" s="424">
        <f t="shared" si="1578"/>
        <v>0</v>
      </c>
      <c r="BD679" s="424">
        <f t="shared" si="1578"/>
        <v>0</v>
      </c>
      <c r="BE679" s="424">
        <f t="shared" si="1578"/>
        <v>0</v>
      </c>
      <c r="BF679" s="424">
        <f t="shared" si="1578"/>
        <v>0</v>
      </c>
      <c r="BG679" s="424">
        <f t="shared" si="1578"/>
        <v>0</v>
      </c>
      <c r="BH679" s="424">
        <f t="shared" si="1578"/>
        <v>0</v>
      </c>
      <c r="BI679" s="424">
        <f t="shared" si="1578"/>
        <v>0</v>
      </c>
      <c r="BJ679" s="424">
        <f t="shared" si="1578"/>
        <v>0</v>
      </c>
      <c r="BK679" s="424">
        <f t="shared" si="1578"/>
        <v>0</v>
      </c>
      <c r="BL679" s="424">
        <f t="shared" si="1578"/>
        <v>0</v>
      </c>
      <c r="BM679" s="424">
        <f t="shared" si="1578"/>
        <v>0</v>
      </c>
      <c r="BN679" s="424">
        <f t="shared" si="1578"/>
        <v>0</v>
      </c>
      <c r="BO679" s="424">
        <f t="shared" si="1578"/>
        <v>0</v>
      </c>
      <c r="BP679" s="424">
        <f t="shared" si="1578"/>
        <v>0</v>
      </c>
      <c r="BQ679" s="424">
        <f t="shared" si="1578"/>
        <v>0</v>
      </c>
      <c r="BR679" s="424">
        <f t="shared" si="1578"/>
        <v>0</v>
      </c>
      <c r="BS679" s="424">
        <f t="shared" si="1578"/>
        <v>1.38</v>
      </c>
      <c r="BT679" s="424">
        <f t="shared" si="1578"/>
        <v>0</v>
      </c>
      <c r="BU679" s="424">
        <f t="shared" si="1578"/>
        <v>0</v>
      </c>
      <c r="BV679" s="424">
        <f t="shared" ref="BV679:DA679" si="1579">BV309*BV$372</f>
        <v>0</v>
      </c>
      <c r="BW679" s="424">
        <f t="shared" si="1579"/>
        <v>0</v>
      </c>
      <c r="BX679" s="424">
        <f t="shared" si="1579"/>
        <v>0</v>
      </c>
      <c r="BY679" s="424">
        <f t="shared" si="1579"/>
        <v>0</v>
      </c>
      <c r="BZ679" s="424">
        <f t="shared" si="1579"/>
        <v>0</v>
      </c>
      <c r="CA679" s="424">
        <f t="shared" si="1579"/>
        <v>0</v>
      </c>
      <c r="CB679" s="424">
        <f t="shared" si="1579"/>
        <v>0</v>
      </c>
      <c r="CC679" s="424">
        <f t="shared" si="1579"/>
        <v>0</v>
      </c>
      <c r="CD679" s="424">
        <f t="shared" si="1579"/>
        <v>0</v>
      </c>
      <c r="CE679" s="424">
        <f t="shared" si="1579"/>
        <v>0.22</v>
      </c>
      <c r="CF679" s="424">
        <f t="shared" si="1579"/>
        <v>0.3</v>
      </c>
      <c r="CG679" s="424">
        <f t="shared" si="1579"/>
        <v>0</v>
      </c>
      <c r="CH679" s="424">
        <f t="shared" si="1579"/>
        <v>0</v>
      </c>
      <c r="CI679" s="424">
        <f t="shared" si="1579"/>
        <v>0</v>
      </c>
      <c r="CJ679" s="424">
        <f t="shared" si="1579"/>
        <v>0</v>
      </c>
      <c r="CK679" s="424">
        <f t="shared" si="1579"/>
        <v>0</v>
      </c>
      <c r="CL679" s="424">
        <f t="shared" si="1579"/>
        <v>0.5</v>
      </c>
      <c r="CM679" s="424">
        <f t="shared" si="1579"/>
        <v>0</v>
      </c>
      <c r="CN679" s="424">
        <f t="shared" si="1579"/>
        <v>0</v>
      </c>
      <c r="CO679" s="424">
        <f t="shared" si="1579"/>
        <v>0</v>
      </c>
      <c r="CP679" s="424">
        <f t="shared" si="1579"/>
        <v>0</v>
      </c>
      <c r="CQ679" s="424">
        <f t="shared" si="1579"/>
        <v>0</v>
      </c>
      <c r="CR679" s="424">
        <f t="shared" si="1579"/>
        <v>0</v>
      </c>
      <c r="CS679" s="424">
        <f t="shared" si="1579"/>
        <v>0</v>
      </c>
      <c r="CT679" s="424">
        <f t="shared" si="1579"/>
        <v>0</v>
      </c>
      <c r="CU679" s="424">
        <f t="shared" si="1579"/>
        <v>0</v>
      </c>
      <c r="CV679" s="424">
        <f t="shared" si="1579"/>
        <v>0</v>
      </c>
      <c r="CW679" s="424">
        <f t="shared" si="1579"/>
        <v>0</v>
      </c>
      <c r="CX679" s="424">
        <f t="shared" si="1579"/>
        <v>0</v>
      </c>
      <c r="CY679" s="424">
        <f t="shared" si="1579"/>
        <v>0</v>
      </c>
      <c r="CZ679" s="424">
        <f t="shared" si="1579"/>
        <v>0.19</v>
      </c>
      <c r="DA679" s="424">
        <f t="shared" si="1579"/>
        <v>0</v>
      </c>
      <c r="DB679" s="424">
        <f t="shared" ref="DB679:EG679" si="1580">DB309*DB$372</f>
        <v>0</v>
      </c>
      <c r="DC679" s="424">
        <f t="shared" si="1580"/>
        <v>0.02</v>
      </c>
      <c r="DD679" s="424">
        <f t="shared" si="1580"/>
        <v>0</v>
      </c>
      <c r="DE679" s="424">
        <f t="shared" si="1580"/>
        <v>0</v>
      </c>
      <c r="DF679" s="424">
        <f t="shared" si="1580"/>
        <v>0</v>
      </c>
      <c r="DG679" s="424">
        <f t="shared" si="1580"/>
        <v>0</v>
      </c>
      <c r="DH679" s="424">
        <f t="shared" si="1580"/>
        <v>0</v>
      </c>
      <c r="DI679" s="424">
        <f t="shared" si="1580"/>
        <v>0</v>
      </c>
      <c r="DJ679" s="424">
        <f t="shared" si="1580"/>
        <v>0</v>
      </c>
      <c r="DK679" s="424">
        <f t="shared" si="1580"/>
        <v>0</v>
      </c>
      <c r="DL679" s="424">
        <f t="shared" si="1580"/>
        <v>0</v>
      </c>
      <c r="DM679" s="424">
        <f t="shared" si="1580"/>
        <v>0</v>
      </c>
      <c r="DN679" s="424">
        <f t="shared" si="1580"/>
        <v>0</v>
      </c>
      <c r="DO679" s="424">
        <f t="shared" si="1580"/>
        <v>0</v>
      </c>
      <c r="DP679" s="424">
        <f t="shared" si="1580"/>
        <v>0</v>
      </c>
      <c r="DQ679" s="424">
        <f t="shared" si="1580"/>
        <v>0</v>
      </c>
      <c r="DR679" s="424">
        <f t="shared" si="1580"/>
        <v>0</v>
      </c>
      <c r="DS679" s="424">
        <f t="shared" si="1580"/>
        <v>0</v>
      </c>
      <c r="DT679" s="424">
        <f t="shared" si="1580"/>
        <v>0</v>
      </c>
      <c r="DU679" s="424">
        <f t="shared" si="1580"/>
        <v>0</v>
      </c>
      <c r="DV679" s="424">
        <f t="shared" si="1580"/>
        <v>0</v>
      </c>
      <c r="DW679" s="424">
        <f t="shared" si="1580"/>
        <v>0</v>
      </c>
      <c r="DX679" s="424">
        <f t="shared" si="1580"/>
        <v>0</v>
      </c>
      <c r="DY679" s="424">
        <f t="shared" si="1580"/>
        <v>0</v>
      </c>
      <c r="DZ679" s="424">
        <f t="shared" si="1580"/>
        <v>0</v>
      </c>
      <c r="EA679" s="424">
        <f t="shared" si="1580"/>
        <v>0</v>
      </c>
      <c r="EB679" s="424">
        <f t="shared" si="1580"/>
        <v>0</v>
      </c>
      <c r="EC679" s="424">
        <f t="shared" si="1580"/>
        <v>0</v>
      </c>
      <c r="ED679" s="424">
        <f t="shared" si="1580"/>
        <v>0</v>
      </c>
      <c r="EE679" s="424">
        <f t="shared" si="1580"/>
        <v>0</v>
      </c>
      <c r="EF679" s="424">
        <f t="shared" si="1580"/>
        <v>0</v>
      </c>
      <c r="EG679" s="424">
        <f t="shared" si="1580"/>
        <v>0</v>
      </c>
      <c r="EH679" s="424">
        <f t="shared" ref="EH679:EX679" si="1581">EH309*EH$372</f>
        <v>0</v>
      </c>
      <c r="EI679" s="424">
        <f t="shared" si="1581"/>
        <v>0</v>
      </c>
      <c r="EJ679" s="424">
        <f t="shared" si="1581"/>
        <v>0</v>
      </c>
      <c r="EK679" s="424">
        <f t="shared" si="1581"/>
        <v>0</v>
      </c>
      <c r="EL679" s="424">
        <f t="shared" si="1581"/>
        <v>0</v>
      </c>
      <c r="EM679" s="424">
        <f t="shared" si="1581"/>
        <v>0</v>
      </c>
      <c r="EN679" s="424">
        <f t="shared" si="1581"/>
        <v>0</v>
      </c>
      <c r="EO679" s="424">
        <f t="shared" si="1581"/>
        <v>0</v>
      </c>
      <c r="EP679" s="424">
        <f t="shared" si="1581"/>
        <v>0</v>
      </c>
      <c r="EQ679" s="424">
        <f t="shared" si="1581"/>
        <v>0</v>
      </c>
      <c r="ER679" s="424">
        <f t="shared" si="1581"/>
        <v>0</v>
      </c>
      <c r="ES679" s="424">
        <f t="shared" si="1581"/>
        <v>0</v>
      </c>
      <c r="ET679" s="424">
        <f t="shared" si="1581"/>
        <v>0</v>
      </c>
      <c r="EU679" s="424">
        <f t="shared" si="1581"/>
        <v>0</v>
      </c>
      <c r="EV679" s="424">
        <f t="shared" si="1581"/>
        <v>0</v>
      </c>
      <c r="EW679" s="424">
        <f t="shared" si="1581"/>
        <v>0</v>
      </c>
      <c r="EX679" s="424">
        <f t="shared" si="1581"/>
        <v>0</v>
      </c>
      <c r="EY679" s="425">
        <f t="shared" si="1420"/>
        <v>5.27</v>
      </c>
    </row>
    <row r="680" spans="1:166" ht="14.7" customHeight="1" x14ac:dyDescent="0.25">
      <c r="A680" s="310">
        <v>306</v>
      </c>
      <c r="B680" s="311" t="str">
        <f t="shared" si="1331"/>
        <v>Пирожки печеные с фаршем мясным</v>
      </c>
      <c r="C680" s="483">
        <f t="shared" si="1421"/>
        <v>26.78</v>
      </c>
      <c r="D680" s="888"/>
      <c r="E680" s="888"/>
      <c r="F680" s="888"/>
      <c r="G680" s="889"/>
      <c r="H680" s="680">
        <f t="shared" si="1338"/>
        <v>406</v>
      </c>
      <c r="I680" s="1209">
        <f t="shared" si="1332"/>
        <v>0.04</v>
      </c>
      <c r="J680" s="424">
        <f t="shared" ref="J680:AO680" si="1582">J310*J$372</f>
        <v>23.93</v>
      </c>
      <c r="K680" s="424">
        <f t="shared" si="1582"/>
        <v>0</v>
      </c>
      <c r="L680" s="424">
        <f t="shared" si="1582"/>
        <v>0</v>
      </c>
      <c r="M680" s="424">
        <f t="shared" si="1582"/>
        <v>0</v>
      </c>
      <c r="N680" s="424">
        <f t="shared" si="1582"/>
        <v>0</v>
      </c>
      <c r="O680" s="424">
        <f t="shared" si="1582"/>
        <v>0</v>
      </c>
      <c r="P680" s="424">
        <f t="shared" si="1582"/>
        <v>0.03</v>
      </c>
      <c r="Q680" s="424">
        <f t="shared" si="1582"/>
        <v>0</v>
      </c>
      <c r="R680" s="424">
        <f t="shared" si="1582"/>
        <v>0</v>
      </c>
      <c r="S680" s="424">
        <f t="shared" si="1582"/>
        <v>0</v>
      </c>
      <c r="T680" s="424">
        <f t="shared" si="1582"/>
        <v>0</v>
      </c>
      <c r="U680" s="424">
        <f t="shared" si="1582"/>
        <v>0</v>
      </c>
      <c r="V680" s="424">
        <f t="shared" si="1582"/>
        <v>0</v>
      </c>
      <c r="W680" s="424">
        <f t="shared" si="1582"/>
        <v>0</v>
      </c>
      <c r="X680" s="424">
        <f t="shared" si="1582"/>
        <v>0</v>
      </c>
      <c r="Y680" s="424">
        <f t="shared" si="1582"/>
        <v>0</v>
      </c>
      <c r="Z680" s="424">
        <f t="shared" si="1582"/>
        <v>0</v>
      </c>
      <c r="AA680" s="424">
        <f t="shared" si="1582"/>
        <v>0</v>
      </c>
      <c r="AB680" s="424">
        <f t="shared" si="1582"/>
        <v>0</v>
      </c>
      <c r="AC680" s="424">
        <f t="shared" si="1582"/>
        <v>0</v>
      </c>
      <c r="AD680" s="424">
        <f t="shared" si="1582"/>
        <v>0</v>
      </c>
      <c r="AE680" s="424">
        <f t="shared" si="1582"/>
        <v>0.23</v>
      </c>
      <c r="AF680" s="424">
        <f t="shared" si="1582"/>
        <v>0</v>
      </c>
      <c r="AG680" s="424">
        <f t="shared" si="1582"/>
        <v>0</v>
      </c>
      <c r="AH680" s="424">
        <f t="shared" si="1582"/>
        <v>0</v>
      </c>
      <c r="AI680" s="424">
        <f t="shared" si="1582"/>
        <v>0</v>
      </c>
      <c r="AJ680" s="424">
        <f t="shared" si="1582"/>
        <v>0</v>
      </c>
      <c r="AK680" s="424">
        <f t="shared" si="1582"/>
        <v>0.15</v>
      </c>
      <c r="AL680" s="424">
        <f t="shared" si="1582"/>
        <v>0</v>
      </c>
      <c r="AM680" s="424">
        <f t="shared" si="1582"/>
        <v>0</v>
      </c>
      <c r="AN680" s="424">
        <f t="shared" si="1582"/>
        <v>0</v>
      </c>
      <c r="AO680" s="424">
        <f t="shared" si="1582"/>
        <v>0</v>
      </c>
      <c r="AP680" s="424">
        <f t="shared" ref="AP680:BU680" si="1583">AP310*AP$372</f>
        <v>0</v>
      </c>
      <c r="AQ680" s="424">
        <f t="shared" si="1583"/>
        <v>0</v>
      </c>
      <c r="AR680" s="424">
        <f t="shared" si="1583"/>
        <v>0</v>
      </c>
      <c r="AS680" s="424">
        <f t="shared" si="1583"/>
        <v>0</v>
      </c>
      <c r="AT680" s="424">
        <f t="shared" si="1583"/>
        <v>0</v>
      </c>
      <c r="AU680" s="424">
        <f t="shared" si="1583"/>
        <v>0</v>
      </c>
      <c r="AV680" s="424">
        <f t="shared" si="1583"/>
        <v>0</v>
      </c>
      <c r="AW680" s="424">
        <f t="shared" si="1583"/>
        <v>0</v>
      </c>
      <c r="AX680" s="424">
        <f t="shared" si="1583"/>
        <v>0</v>
      </c>
      <c r="AY680" s="424">
        <f t="shared" si="1583"/>
        <v>0</v>
      </c>
      <c r="AZ680" s="424">
        <f t="shared" si="1583"/>
        <v>0</v>
      </c>
      <c r="BA680" s="424">
        <f t="shared" si="1583"/>
        <v>0</v>
      </c>
      <c r="BB680" s="424">
        <f t="shared" si="1583"/>
        <v>0</v>
      </c>
      <c r="BC680" s="424">
        <f t="shared" si="1583"/>
        <v>0</v>
      </c>
      <c r="BD680" s="424">
        <f t="shared" si="1583"/>
        <v>0</v>
      </c>
      <c r="BE680" s="424">
        <f t="shared" si="1583"/>
        <v>0</v>
      </c>
      <c r="BF680" s="424">
        <f t="shared" si="1583"/>
        <v>0</v>
      </c>
      <c r="BG680" s="424">
        <f t="shared" si="1583"/>
        <v>0</v>
      </c>
      <c r="BH680" s="424">
        <f t="shared" si="1583"/>
        <v>0</v>
      </c>
      <c r="BI680" s="424">
        <f t="shared" si="1583"/>
        <v>0</v>
      </c>
      <c r="BJ680" s="424">
        <f t="shared" si="1583"/>
        <v>0</v>
      </c>
      <c r="BK680" s="424">
        <f t="shared" si="1583"/>
        <v>0</v>
      </c>
      <c r="BL680" s="424">
        <f t="shared" si="1583"/>
        <v>0</v>
      </c>
      <c r="BM680" s="424">
        <f t="shared" si="1583"/>
        <v>0</v>
      </c>
      <c r="BN680" s="424">
        <f t="shared" si="1583"/>
        <v>0</v>
      </c>
      <c r="BO680" s="424">
        <f t="shared" si="1583"/>
        <v>0</v>
      </c>
      <c r="BP680" s="424">
        <f t="shared" si="1583"/>
        <v>0</v>
      </c>
      <c r="BQ680" s="424">
        <f t="shared" si="1583"/>
        <v>0</v>
      </c>
      <c r="BR680" s="424">
        <f t="shared" si="1583"/>
        <v>0</v>
      </c>
      <c r="BS680" s="424">
        <f t="shared" si="1583"/>
        <v>1.39</v>
      </c>
      <c r="BT680" s="424">
        <f t="shared" si="1583"/>
        <v>0</v>
      </c>
      <c r="BU680" s="424">
        <f t="shared" si="1583"/>
        <v>0</v>
      </c>
      <c r="BV680" s="424">
        <f t="shared" ref="BV680:DA680" si="1584">BV310*BV$372</f>
        <v>0</v>
      </c>
      <c r="BW680" s="424">
        <f t="shared" si="1584"/>
        <v>0</v>
      </c>
      <c r="BX680" s="424">
        <f t="shared" si="1584"/>
        <v>0</v>
      </c>
      <c r="BY680" s="424">
        <f t="shared" si="1584"/>
        <v>0</v>
      </c>
      <c r="BZ680" s="424">
        <f t="shared" si="1584"/>
        <v>0</v>
      </c>
      <c r="CA680" s="424">
        <f t="shared" si="1584"/>
        <v>0</v>
      </c>
      <c r="CB680" s="424">
        <f t="shared" si="1584"/>
        <v>0</v>
      </c>
      <c r="CC680" s="424">
        <f t="shared" si="1584"/>
        <v>0</v>
      </c>
      <c r="CD680" s="424">
        <f t="shared" si="1584"/>
        <v>0</v>
      </c>
      <c r="CE680" s="424">
        <f t="shared" si="1584"/>
        <v>0.22</v>
      </c>
      <c r="CF680" s="424">
        <f t="shared" si="1584"/>
        <v>0.12</v>
      </c>
      <c r="CG680" s="424">
        <f t="shared" si="1584"/>
        <v>0</v>
      </c>
      <c r="CH680" s="424">
        <f t="shared" si="1584"/>
        <v>0</v>
      </c>
      <c r="CI680" s="424">
        <f t="shared" si="1584"/>
        <v>0</v>
      </c>
      <c r="CJ680" s="424">
        <f t="shared" si="1584"/>
        <v>0</v>
      </c>
      <c r="CK680" s="424">
        <f t="shared" si="1584"/>
        <v>0</v>
      </c>
      <c r="CL680" s="424">
        <f t="shared" si="1584"/>
        <v>0.5</v>
      </c>
      <c r="CM680" s="424">
        <f t="shared" si="1584"/>
        <v>0</v>
      </c>
      <c r="CN680" s="424">
        <f t="shared" si="1584"/>
        <v>0</v>
      </c>
      <c r="CO680" s="424">
        <f t="shared" si="1584"/>
        <v>0</v>
      </c>
      <c r="CP680" s="424">
        <f t="shared" si="1584"/>
        <v>0</v>
      </c>
      <c r="CQ680" s="424">
        <f t="shared" si="1584"/>
        <v>0</v>
      </c>
      <c r="CR680" s="424">
        <f t="shared" si="1584"/>
        <v>0</v>
      </c>
      <c r="CS680" s="424">
        <f t="shared" si="1584"/>
        <v>0</v>
      </c>
      <c r="CT680" s="424">
        <f t="shared" si="1584"/>
        <v>0</v>
      </c>
      <c r="CU680" s="424">
        <f t="shared" si="1584"/>
        <v>0</v>
      </c>
      <c r="CV680" s="424">
        <f t="shared" si="1584"/>
        <v>0</v>
      </c>
      <c r="CW680" s="424">
        <f t="shared" si="1584"/>
        <v>0</v>
      </c>
      <c r="CX680" s="424">
        <f t="shared" si="1584"/>
        <v>0</v>
      </c>
      <c r="CY680" s="424">
        <f t="shared" si="1584"/>
        <v>0</v>
      </c>
      <c r="CZ680" s="424">
        <f t="shared" si="1584"/>
        <v>0.19</v>
      </c>
      <c r="DA680" s="424">
        <f t="shared" si="1584"/>
        <v>0</v>
      </c>
      <c r="DB680" s="424">
        <f t="shared" ref="DB680:EG680" si="1585">DB310*DB$372</f>
        <v>0</v>
      </c>
      <c r="DC680" s="424">
        <f t="shared" si="1585"/>
        <v>0.02</v>
      </c>
      <c r="DD680" s="424">
        <f t="shared" si="1585"/>
        <v>0</v>
      </c>
      <c r="DE680" s="424">
        <f t="shared" si="1585"/>
        <v>0</v>
      </c>
      <c r="DF680" s="424">
        <f t="shared" si="1585"/>
        <v>0</v>
      </c>
      <c r="DG680" s="424">
        <f t="shared" si="1585"/>
        <v>0</v>
      </c>
      <c r="DH680" s="424">
        <f t="shared" si="1585"/>
        <v>0</v>
      </c>
      <c r="DI680" s="424">
        <f t="shared" si="1585"/>
        <v>0</v>
      </c>
      <c r="DJ680" s="424">
        <f t="shared" si="1585"/>
        <v>0</v>
      </c>
      <c r="DK680" s="424">
        <f t="shared" si="1585"/>
        <v>0</v>
      </c>
      <c r="DL680" s="424">
        <f t="shared" si="1585"/>
        <v>0</v>
      </c>
      <c r="DM680" s="424">
        <f t="shared" si="1585"/>
        <v>0</v>
      </c>
      <c r="DN680" s="424">
        <f t="shared" si="1585"/>
        <v>0</v>
      </c>
      <c r="DO680" s="424">
        <f t="shared" si="1585"/>
        <v>0</v>
      </c>
      <c r="DP680" s="424">
        <f t="shared" si="1585"/>
        <v>0</v>
      </c>
      <c r="DQ680" s="424">
        <f t="shared" si="1585"/>
        <v>0</v>
      </c>
      <c r="DR680" s="424">
        <f t="shared" si="1585"/>
        <v>0</v>
      </c>
      <c r="DS680" s="424">
        <f t="shared" si="1585"/>
        <v>0</v>
      </c>
      <c r="DT680" s="424">
        <f t="shared" si="1585"/>
        <v>0</v>
      </c>
      <c r="DU680" s="424">
        <f t="shared" si="1585"/>
        <v>0</v>
      </c>
      <c r="DV680" s="424">
        <f t="shared" si="1585"/>
        <v>0</v>
      </c>
      <c r="DW680" s="424">
        <f t="shared" si="1585"/>
        <v>0</v>
      </c>
      <c r="DX680" s="424">
        <f t="shared" si="1585"/>
        <v>0</v>
      </c>
      <c r="DY680" s="424">
        <f t="shared" si="1585"/>
        <v>0</v>
      </c>
      <c r="DZ680" s="424">
        <f t="shared" si="1585"/>
        <v>0</v>
      </c>
      <c r="EA680" s="424">
        <f t="shared" si="1585"/>
        <v>0</v>
      </c>
      <c r="EB680" s="424">
        <f t="shared" si="1585"/>
        <v>0</v>
      </c>
      <c r="EC680" s="424">
        <f t="shared" si="1585"/>
        <v>0</v>
      </c>
      <c r="ED680" s="424">
        <f t="shared" si="1585"/>
        <v>0</v>
      </c>
      <c r="EE680" s="424">
        <f t="shared" si="1585"/>
        <v>0</v>
      </c>
      <c r="EF680" s="424">
        <f t="shared" si="1585"/>
        <v>0</v>
      </c>
      <c r="EG680" s="424">
        <f t="shared" si="1585"/>
        <v>0</v>
      </c>
      <c r="EH680" s="424">
        <f t="shared" ref="EH680:EX680" si="1586">EH310*EH$372</f>
        <v>0</v>
      </c>
      <c r="EI680" s="424">
        <f t="shared" si="1586"/>
        <v>0</v>
      </c>
      <c r="EJ680" s="424">
        <f t="shared" si="1586"/>
        <v>0</v>
      </c>
      <c r="EK680" s="424">
        <f t="shared" si="1586"/>
        <v>0</v>
      </c>
      <c r="EL680" s="424">
        <f t="shared" si="1586"/>
        <v>0</v>
      </c>
      <c r="EM680" s="424">
        <f t="shared" si="1586"/>
        <v>0</v>
      </c>
      <c r="EN680" s="424">
        <f t="shared" si="1586"/>
        <v>0</v>
      </c>
      <c r="EO680" s="424">
        <f t="shared" si="1586"/>
        <v>0</v>
      </c>
      <c r="EP680" s="424">
        <f t="shared" si="1586"/>
        <v>0</v>
      </c>
      <c r="EQ680" s="424">
        <f t="shared" si="1586"/>
        <v>0</v>
      </c>
      <c r="ER680" s="424">
        <f t="shared" si="1586"/>
        <v>0</v>
      </c>
      <c r="ES680" s="424">
        <f t="shared" si="1586"/>
        <v>0</v>
      </c>
      <c r="ET680" s="424">
        <f t="shared" si="1586"/>
        <v>0</v>
      </c>
      <c r="EU680" s="424">
        <f t="shared" si="1586"/>
        <v>0</v>
      </c>
      <c r="EV680" s="424">
        <f t="shared" si="1586"/>
        <v>0</v>
      </c>
      <c r="EW680" s="424">
        <f t="shared" si="1586"/>
        <v>0</v>
      </c>
      <c r="EX680" s="424">
        <f t="shared" si="1586"/>
        <v>0</v>
      </c>
      <c r="EY680" s="425">
        <f t="shared" si="1420"/>
        <v>26.78</v>
      </c>
    </row>
    <row r="681" spans="1:166" ht="14.7" customHeight="1" x14ac:dyDescent="0.25">
      <c r="A681" s="310">
        <v>307</v>
      </c>
      <c r="B681" s="311" t="str">
        <f t="shared" si="1331"/>
        <v>Ватрушки творожные</v>
      </c>
      <c r="C681" s="483">
        <f t="shared" si="1421"/>
        <v>13.07</v>
      </c>
      <c r="D681" s="888"/>
      <c r="E681" s="888"/>
      <c r="F681" s="888"/>
      <c r="G681" s="889"/>
      <c r="H681" s="680">
        <f t="shared" si="1338"/>
        <v>410</v>
      </c>
      <c r="I681" s="1209">
        <f t="shared" si="1332"/>
        <v>0.01</v>
      </c>
      <c r="J681" s="424">
        <f t="shared" ref="J681:AO681" si="1587">J311*J$372</f>
        <v>0</v>
      </c>
      <c r="K681" s="424">
        <f t="shared" si="1587"/>
        <v>0</v>
      </c>
      <c r="L681" s="424">
        <f t="shared" si="1587"/>
        <v>0</v>
      </c>
      <c r="M681" s="424">
        <f t="shared" si="1587"/>
        <v>0</v>
      </c>
      <c r="N681" s="424">
        <f t="shared" si="1587"/>
        <v>0</v>
      </c>
      <c r="O681" s="424">
        <f t="shared" si="1587"/>
        <v>0</v>
      </c>
      <c r="P681" s="424">
        <f t="shared" si="1587"/>
        <v>0.03</v>
      </c>
      <c r="Q681" s="424">
        <f t="shared" si="1587"/>
        <v>0</v>
      </c>
      <c r="R681" s="424">
        <f t="shared" si="1587"/>
        <v>0</v>
      </c>
      <c r="S681" s="424">
        <f t="shared" si="1587"/>
        <v>0</v>
      </c>
      <c r="T681" s="424">
        <f t="shared" si="1587"/>
        <v>0</v>
      </c>
      <c r="U681" s="424">
        <f t="shared" si="1587"/>
        <v>0</v>
      </c>
      <c r="V681" s="424">
        <f t="shared" si="1587"/>
        <v>0</v>
      </c>
      <c r="W681" s="424">
        <f t="shared" si="1587"/>
        <v>0</v>
      </c>
      <c r="X681" s="424">
        <f t="shared" si="1587"/>
        <v>9.61</v>
      </c>
      <c r="Y681" s="424">
        <f t="shared" si="1587"/>
        <v>0</v>
      </c>
      <c r="Z681" s="424">
        <f t="shared" si="1587"/>
        <v>0</v>
      </c>
      <c r="AA681" s="424">
        <f t="shared" si="1587"/>
        <v>0</v>
      </c>
      <c r="AB681" s="424">
        <f t="shared" si="1587"/>
        <v>0</v>
      </c>
      <c r="AC681" s="424">
        <f t="shared" si="1587"/>
        <v>0</v>
      </c>
      <c r="AD681" s="424">
        <f t="shared" si="1587"/>
        <v>0</v>
      </c>
      <c r="AE681" s="424">
        <f t="shared" si="1587"/>
        <v>0.21</v>
      </c>
      <c r="AF681" s="424">
        <f t="shared" si="1587"/>
        <v>0</v>
      </c>
      <c r="AG681" s="424">
        <f t="shared" si="1587"/>
        <v>0</v>
      </c>
      <c r="AH681" s="424">
        <f t="shared" si="1587"/>
        <v>0</v>
      </c>
      <c r="AI681" s="424">
        <f t="shared" si="1587"/>
        <v>0</v>
      </c>
      <c r="AJ681" s="424">
        <f t="shared" si="1587"/>
        <v>0</v>
      </c>
      <c r="AK681" s="424">
        <f t="shared" si="1587"/>
        <v>0</v>
      </c>
      <c r="AL681" s="424">
        <f t="shared" si="1587"/>
        <v>0</v>
      </c>
      <c r="AM681" s="424">
        <f t="shared" si="1587"/>
        <v>0</v>
      </c>
      <c r="AN681" s="424">
        <f t="shared" si="1587"/>
        <v>0</v>
      </c>
      <c r="AO681" s="424">
        <f t="shared" si="1587"/>
        <v>0</v>
      </c>
      <c r="AP681" s="424">
        <f t="shared" ref="AP681:BU681" si="1588">AP311*AP$372</f>
        <v>0</v>
      </c>
      <c r="AQ681" s="424">
        <f t="shared" si="1588"/>
        <v>0</v>
      </c>
      <c r="AR681" s="424">
        <f t="shared" si="1588"/>
        <v>0</v>
      </c>
      <c r="AS681" s="424">
        <f t="shared" si="1588"/>
        <v>0</v>
      </c>
      <c r="AT681" s="424">
        <f t="shared" si="1588"/>
        <v>0</v>
      </c>
      <c r="AU681" s="424">
        <f t="shared" si="1588"/>
        <v>0</v>
      </c>
      <c r="AV681" s="424">
        <f t="shared" si="1588"/>
        <v>0</v>
      </c>
      <c r="AW681" s="424">
        <f t="shared" si="1588"/>
        <v>0</v>
      </c>
      <c r="AX681" s="424">
        <f t="shared" si="1588"/>
        <v>0</v>
      </c>
      <c r="AY681" s="424">
        <f t="shared" si="1588"/>
        <v>0</v>
      </c>
      <c r="AZ681" s="424">
        <f t="shared" si="1588"/>
        <v>0</v>
      </c>
      <c r="BA681" s="424">
        <f t="shared" si="1588"/>
        <v>0</v>
      </c>
      <c r="BB681" s="424">
        <f t="shared" si="1588"/>
        <v>0</v>
      </c>
      <c r="BC681" s="424">
        <f t="shared" si="1588"/>
        <v>0</v>
      </c>
      <c r="BD681" s="424">
        <f t="shared" si="1588"/>
        <v>0</v>
      </c>
      <c r="BE681" s="424">
        <f t="shared" si="1588"/>
        <v>0</v>
      </c>
      <c r="BF681" s="424">
        <f t="shared" si="1588"/>
        <v>0</v>
      </c>
      <c r="BG681" s="424">
        <f t="shared" si="1588"/>
        <v>0</v>
      </c>
      <c r="BH681" s="424">
        <f t="shared" si="1588"/>
        <v>0</v>
      </c>
      <c r="BI681" s="424">
        <f t="shared" si="1588"/>
        <v>0</v>
      </c>
      <c r="BJ681" s="424">
        <f t="shared" si="1588"/>
        <v>0</v>
      </c>
      <c r="BK681" s="424">
        <f t="shared" si="1588"/>
        <v>0</v>
      </c>
      <c r="BL681" s="424">
        <f t="shared" si="1588"/>
        <v>0</v>
      </c>
      <c r="BM681" s="424">
        <f t="shared" si="1588"/>
        <v>0</v>
      </c>
      <c r="BN681" s="424">
        <f t="shared" si="1588"/>
        <v>0</v>
      </c>
      <c r="BO681" s="424">
        <f t="shared" si="1588"/>
        <v>0</v>
      </c>
      <c r="BP681" s="424">
        <f t="shared" si="1588"/>
        <v>0</v>
      </c>
      <c r="BQ681" s="424">
        <f t="shared" si="1588"/>
        <v>0</v>
      </c>
      <c r="BR681" s="424">
        <f t="shared" si="1588"/>
        <v>0</v>
      </c>
      <c r="BS681" s="424">
        <f t="shared" si="1588"/>
        <v>1.44</v>
      </c>
      <c r="BT681" s="424">
        <f t="shared" si="1588"/>
        <v>0</v>
      </c>
      <c r="BU681" s="424">
        <f t="shared" si="1588"/>
        <v>0</v>
      </c>
      <c r="BV681" s="424">
        <f t="shared" ref="BV681:DA681" si="1589">BV311*BV$372</f>
        <v>0</v>
      </c>
      <c r="BW681" s="424">
        <f t="shared" si="1589"/>
        <v>0</v>
      </c>
      <c r="BX681" s="424">
        <f t="shared" si="1589"/>
        <v>0</v>
      </c>
      <c r="BY681" s="424">
        <f t="shared" si="1589"/>
        <v>0</v>
      </c>
      <c r="BZ681" s="424">
        <f t="shared" si="1589"/>
        <v>0</v>
      </c>
      <c r="CA681" s="424">
        <f t="shared" si="1589"/>
        <v>0</v>
      </c>
      <c r="CB681" s="424">
        <f t="shared" si="1589"/>
        <v>0</v>
      </c>
      <c r="CC681" s="424">
        <f t="shared" si="1589"/>
        <v>0</v>
      </c>
      <c r="CD681" s="424">
        <f t="shared" si="1589"/>
        <v>0</v>
      </c>
      <c r="CE681" s="424">
        <f t="shared" si="1589"/>
        <v>0.33</v>
      </c>
      <c r="CF681" s="424">
        <f t="shared" si="1589"/>
        <v>0</v>
      </c>
      <c r="CG681" s="424">
        <f t="shared" si="1589"/>
        <v>0</v>
      </c>
      <c r="CH681" s="424">
        <f t="shared" si="1589"/>
        <v>0</v>
      </c>
      <c r="CI681" s="424">
        <f t="shared" si="1589"/>
        <v>0.06</v>
      </c>
      <c r="CJ681" s="424">
        <f t="shared" si="1589"/>
        <v>0</v>
      </c>
      <c r="CK681" s="424">
        <f t="shared" si="1589"/>
        <v>0</v>
      </c>
      <c r="CL681" s="424">
        <f t="shared" si="1589"/>
        <v>0.5</v>
      </c>
      <c r="CM681" s="424">
        <f t="shared" si="1589"/>
        <v>0</v>
      </c>
      <c r="CN681" s="424">
        <f t="shared" si="1589"/>
        <v>0</v>
      </c>
      <c r="CO681" s="424">
        <f t="shared" si="1589"/>
        <v>0</v>
      </c>
      <c r="CP681" s="424">
        <f t="shared" si="1589"/>
        <v>0</v>
      </c>
      <c r="CQ681" s="424">
        <f t="shared" si="1589"/>
        <v>0</v>
      </c>
      <c r="CR681" s="424">
        <f t="shared" si="1589"/>
        <v>0</v>
      </c>
      <c r="CS681" s="424">
        <f t="shared" si="1589"/>
        <v>0</v>
      </c>
      <c r="CT681" s="424">
        <f t="shared" si="1589"/>
        <v>0</v>
      </c>
      <c r="CU681" s="424">
        <f t="shared" si="1589"/>
        <v>0</v>
      </c>
      <c r="CV681" s="424">
        <f t="shared" si="1589"/>
        <v>0</v>
      </c>
      <c r="CW681" s="424">
        <f t="shared" si="1589"/>
        <v>0</v>
      </c>
      <c r="CX681" s="424">
        <f t="shared" si="1589"/>
        <v>0</v>
      </c>
      <c r="CY681" s="424">
        <f t="shared" si="1589"/>
        <v>0</v>
      </c>
      <c r="CZ681" s="424">
        <f t="shared" si="1589"/>
        <v>0.26</v>
      </c>
      <c r="DA681" s="424">
        <f t="shared" si="1589"/>
        <v>0</v>
      </c>
      <c r="DB681" s="424">
        <f t="shared" ref="DB681:EG681" si="1590">DB311*DB$372</f>
        <v>0</v>
      </c>
      <c r="DC681" s="424">
        <f t="shared" si="1590"/>
        <v>0.01</v>
      </c>
      <c r="DD681" s="424">
        <f t="shared" si="1590"/>
        <v>0</v>
      </c>
      <c r="DE681" s="424">
        <f t="shared" si="1590"/>
        <v>0</v>
      </c>
      <c r="DF681" s="424">
        <f t="shared" si="1590"/>
        <v>0</v>
      </c>
      <c r="DG681" s="424">
        <f t="shared" si="1590"/>
        <v>0</v>
      </c>
      <c r="DH681" s="424">
        <f t="shared" si="1590"/>
        <v>0</v>
      </c>
      <c r="DI681" s="424">
        <f t="shared" si="1590"/>
        <v>0</v>
      </c>
      <c r="DJ681" s="424">
        <f t="shared" si="1590"/>
        <v>0</v>
      </c>
      <c r="DK681" s="424">
        <f t="shared" si="1590"/>
        <v>0</v>
      </c>
      <c r="DL681" s="424">
        <f t="shared" si="1590"/>
        <v>0</v>
      </c>
      <c r="DM681" s="424">
        <f t="shared" si="1590"/>
        <v>0</v>
      </c>
      <c r="DN681" s="424">
        <f t="shared" si="1590"/>
        <v>0</v>
      </c>
      <c r="DO681" s="424">
        <f t="shared" si="1590"/>
        <v>0</v>
      </c>
      <c r="DP681" s="424">
        <f t="shared" si="1590"/>
        <v>0</v>
      </c>
      <c r="DQ681" s="424">
        <f t="shared" si="1590"/>
        <v>0</v>
      </c>
      <c r="DR681" s="424">
        <f t="shared" si="1590"/>
        <v>0</v>
      </c>
      <c r="DS681" s="424">
        <f t="shared" si="1590"/>
        <v>0</v>
      </c>
      <c r="DT681" s="424">
        <f t="shared" si="1590"/>
        <v>0</v>
      </c>
      <c r="DU681" s="424">
        <f t="shared" si="1590"/>
        <v>0</v>
      </c>
      <c r="DV681" s="424">
        <f t="shared" si="1590"/>
        <v>0</v>
      </c>
      <c r="DW681" s="424">
        <f t="shared" si="1590"/>
        <v>0</v>
      </c>
      <c r="DX681" s="424">
        <f t="shared" si="1590"/>
        <v>0.62</v>
      </c>
      <c r="DY681" s="424">
        <f t="shared" si="1590"/>
        <v>0</v>
      </c>
      <c r="DZ681" s="424">
        <f t="shared" si="1590"/>
        <v>0</v>
      </c>
      <c r="EA681" s="424">
        <f t="shared" si="1590"/>
        <v>0</v>
      </c>
      <c r="EB681" s="424">
        <f t="shared" si="1590"/>
        <v>0</v>
      </c>
      <c r="EC681" s="424">
        <f t="shared" si="1590"/>
        <v>0</v>
      </c>
      <c r="ED681" s="424">
        <f t="shared" si="1590"/>
        <v>0</v>
      </c>
      <c r="EE681" s="424">
        <f t="shared" si="1590"/>
        <v>0</v>
      </c>
      <c r="EF681" s="424">
        <f t="shared" si="1590"/>
        <v>0</v>
      </c>
      <c r="EG681" s="424">
        <f t="shared" si="1590"/>
        <v>0</v>
      </c>
      <c r="EH681" s="424">
        <f t="shared" ref="EH681:EX681" si="1591">EH311*EH$372</f>
        <v>0</v>
      </c>
      <c r="EI681" s="424">
        <f t="shared" si="1591"/>
        <v>0</v>
      </c>
      <c r="EJ681" s="424">
        <f t="shared" si="1591"/>
        <v>0</v>
      </c>
      <c r="EK681" s="424">
        <f t="shared" si="1591"/>
        <v>0</v>
      </c>
      <c r="EL681" s="424">
        <f t="shared" si="1591"/>
        <v>0</v>
      </c>
      <c r="EM681" s="424">
        <f t="shared" si="1591"/>
        <v>0</v>
      </c>
      <c r="EN681" s="424">
        <f t="shared" si="1591"/>
        <v>0</v>
      </c>
      <c r="EO681" s="424">
        <f t="shared" si="1591"/>
        <v>0</v>
      </c>
      <c r="EP681" s="424">
        <f t="shared" si="1591"/>
        <v>0</v>
      </c>
      <c r="EQ681" s="424">
        <f t="shared" si="1591"/>
        <v>0</v>
      </c>
      <c r="ER681" s="424">
        <f t="shared" si="1591"/>
        <v>0</v>
      </c>
      <c r="ES681" s="424">
        <f t="shared" si="1591"/>
        <v>0</v>
      </c>
      <c r="ET681" s="424">
        <f t="shared" si="1591"/>
        <v>0</v>
      </c>
      <c r="EU681" s="424">
        <f t="shared" si="1591"/>
        <v>0</v>
      </c>
      <c r="EV681" s="424">
        <f t="shared" si="1591"/>
        <v>0</v>
      </c>
      <c r="EW681" s="424">
        <f t="shared" si="1591"/>
        <v>0</v>
      </c>
      <c r="EX681" s="424">
        <f t="shared" si="1591"/>
        <v>0</v>
      </c>
      <c r="EY681" s="425">
        <f t="shared" si="1420"/>
        <v>13.07</v>
      </c>
    </row>
    <row r="682" spans="1:166" ht="14.7" customHeight="1" x14ac:dyDescent="0.25">
      <c r="A682" s="310">
        <v>308</v>
      </c>
      <c r="B682" s="311" t="str">
        <f t="shared" si="1331"/>
        <v>Булочка с повидлом обсыпная (масса 100 г)</v>
      </c>
      <c r="C682" s="483">
        <f t="shared" si="1421"/>
        <v>8.36</v>
      </c>
      <c r="D682" s="888"/>
      <c r="E682" s="888"/>
      <c r="F682" s="888"/>
      <c r="G682" s="889"/>
      <c r="H682" s="680">
        <f t="shared" si="1338"/>
        <v>426</v>
      </c>
      <c r="I682" s="1209">
        <f t="shared" si="1332"/>
        <v>0</v>
      </c>
      <c r="J682" s="424">
        <f t="shared" ref="J682:AO682" si="1592">J312*J$372</f>
        <v>0</v>
      </c>
      <c r="K682" s="424">
        <f t="shared" si="1592"/>
        <v>0</v>
      </c>
      <c r="L682" s="424">
        <f t="shared" si="1592"/>
        <v>0</v>
      </c>
      <c r="M682" s="424">
        <f t="shared" si="1592"/>
        <v>0</v>
      </c>
      <c r="N682" s="424">
        <f t="shared" si="1592"/>
        <v>0</v>
      </c>
      <c r="O682" s="424">
        <f t="shared" si="1592"/>
        <v>0</v>
      </c>
      <c r="P682" s="424">
        <f t="shared" si="1592"/>
        <v>0</v>
      </c>
      <c r="Q682" s="424">
        <f t="shared" si="1592"/>
        <v>0</v>
      </c>
      <c r="R682" s="424">
        <f t="shared" si="1592"/>
        <v>0</v>
      </c>
      <c r="S682" s="424">
        <f t="shared" si="1592"/>
        <v>0</v>
      </c>
      <c r="T682" s="424">
        <f t="shared" si="1592"/>
        <v>0</v>
      </c>
      <c r="U682" s="424">
        <f t="shared" si="1592"/>
        <v>0</v>
      </c>
      <c r="V682" s="424">
        <f t="shared" si="1592"/>
        <v>0</v>
      </c>
      <c r="W682" s="424">
        <f t="shared" si="1592"/>
        <v>0</v>
      </c>
      <c r="X682" s="424">
        <f t="shared" si="1592"/>
        <v>0</v>
      </c>
      <c r="Y682" s="424">
        <f t="shared" si="1592"/>
        <v>0</v>
      </c>
      <c r="Z682" s="424">
        <f t="shared" si="1592"/>
        <v>0</v>
      </c>
      <c r="AA682" s="424">
        <f t="shared" si="1592"/>
        <v>0</v>
      </c>
      <c r="AB682" s="424">
        <f t="shared" si="1592"/>
        <v>0</v>
      </c>
      <c r="AC682" s="424">
        <f t="shared" si="1592"/>
        <v>0</v>
      </c>
      <c r="AD682" s="424">
        <f t="shared" si="1592"/>
        <v>0</v>
      </c>
      <c r="AE682" s="424">
        <f t="shared" si="1592"/>
        <v>0</v>
      </c>
      <c r="AF682" s="424">
        <f t="shared" si="1592"/>
        <v>0</v>
      </c>
      <c r="AG682" s="424">
        <f t="shared" si="1592"/>
        <v>0</v>
      </c>
      <c r="AH682" s="424">
        <f t="shared" si="1592"/>
        <v>0</v>
      </c>
      <c r="AI682" s="424">
        <f t="shared" si="1592"/>
        <v>0</v>
      </c>
      <c r="AJ682" s="424">
        <f t="shared" si="1592"/>
        <v>0</v>
      </c>
      <c r="AK682" s="424">
        <f t="shared" si="1592"/>
        <v>0</v>
      </c>
      <c r="AL682" s="424">
        <f t="shared" si="1592"/>
        <v>0</v>
      </c>
      <c r="AM682" s="424">
        <f t="shared" si="1592"/>
        <v>0</v>
      </c>
      <c r="AN682" s="424">
        <f t="shared" si="1592"/>
        <v>0</v>
      </c>
      <c r="AO682" s="424">
        <f t="shared" si="1592"/>
        <v>0</v>
      </c>
      <c r="AP682" s="424">
        <f t="shared" ref="AP682:BU682" si="1593">AP312*AP$372</f>
        <v>0</v>
      </c>
      <c r="AQ682" s="424">
        <f t="shared" si="1593"/>
        <v>0</v>
      </c>
      <c r="AR682" s="424">
        <f t="shared" si="1593"/>
        <v>0</v>
      </c>
      <c r="AS682" s="424">
        <f t="shared" si="1593"/>
        <v>0</v>
      </c>
      <c r="AT682" s="424">
        <f t="shared" si="1593"/>
        <v>0</v>
      </c>
      <c r="AU682" s="424">
        <f t="shared" si="1593"/>
        <v>0</v>
      </c>
      <c r="AV682" s="424">
        <f t="shared" si="1593"/>
        <v>0</v>
      </c>
      <c r="AW682" s="424">
        <f t="shared" si="1593"/>
        <v>0</v>
      </c>
      <c r="AX682" s="424">
        <f t="shared" si="1593"/>
        <v>0</v>
      </c>
      <c r="AY682" s="424">
        <f t="shared" si="1593"/>
        <v>0</v>
      </c>
      <c r="AZ682" s="424">
        <f t="shared" si="1593"/>
        <v>0</v>
      </c>
      <c r="BA682" s="424">
        <f t="shared" si="1593"/>
        <v>0</v>
      </c>
      <c r="BB682" s="424">
        <f t="shared" si="1593"/>
        <v>0</v>
      </c>
      <c r="BC682" s="424">
        <f t="shared" si="1593"/>
        <v>0</v>
      </c>
      <c r="BD682" s="424">
        <f t="shared" si="1593"/>
        <v>0</v>
      </c>
      <c r="BE682" s="424">
        <f t="shared" si="1593"/>
        <v>0</v>
      </c>
      <c r="BF682" s="424">
        <f t="shared" si="1593"/>
        <v>0</v>
      </c>
      <c r="BG682" s="424">
        <f t="shared" si="1593"/>
        <v>0</v>
      </c>
      <c r="BH682" s="424">
        <f t="shared" si="1593"/>
        <v>0</v>
      </c>
      <c r="BI682" s="424">
        <f t="shared" si="1593"/>
        <v>0</v>
      </c>
      <c r="BJ682" s="424">
        <f t="shared" si="1593"/>
        <v>0</v>
      </c>
      <c r="BK682" s="424">
        <f t="shared" si="1593"/>
        <v>0</v>
      </c>
      <c r="BL682" s="424">
        <f t="shared" si="1593"/>
        <v>0</v>
      </c>
      <c r="BM682" s="424">
        <f t="shared" si="1593"/>
        <v>0</v>
      </c>
      <c r="BN682" s="424">
        <f t="shared" si="1593"/>
        <v>0</v>
      </c>
      <c r="BO682" s="424">
        <f t="shared" si="1593"/>
        <v>0</v>
      </c>
      <c r="BP682" s="424">
        <f t="shared" si="1593"/>
        <v>0</v>
      </c>
      <c r="BQ682" s="424">
        <f t="shared" si="1593"/>
        <v>0</v>
      </c>
      <c r="BR682" s="424">
        <f t="shared" si="1593"/>
        <v>0</v>
      </c>
      <c r="BS682" s="424">
        <f t="shared" si="1593"/>
        <v>2.27</v>
      </c>
      <c r="BT682" s="424">
        <f t="shared" si="1593"/>
        <v>0</v>
      </c>
      <c r="BU682" s="424">
        <f t="shared" si="1593"/>
        <v>0</v>
      </c>
      <c r="BV682" s="424">
        <f t="shared" ref="BV682:DA682" si="1594">BV312*BV$372</f>
        <v>0</v>
      </c>
      <c r="BW682" s="424">
        <f t="shared" si="1594"/>
        <v>0</v>
      </c>
      <c r="BX682" s="424">
        <f t="shared" si="1594"/>
        <v>0</v>
      </c>
      <c r="BY682" s="424">
        <f t="shared" si="1594"/>
        <v>0</v>
      </c>
      <c r="BZ682" s="424">
        <f t="shared" si="1594"/>
        <v>0</v>
      </c>
      <c r="CA682" s="424">
        <f t="shared" si="1594"/>
        <v>0</v>
      </c>
      <c r="CB682" s="424">
        <f t="shared" si="1594"/>
        <v>0</v>
      </c>
      <c r="CC682" s="424">
        <f t="shared" si="1594"/>
        <v>0</v>
      </c>
      <c r="CD682" s="424">
        <f t="shared" si="1594"/>
        <v>0</v>
      </c>
      <c r="CE682" s="424">
        <f t="shared" si="1594"/>
        <v>3.37</v>
      </c>
      <c r="CF682" s="424">
        <f t="shared" si="1594"/>
        <v>0</v>
      </c>
      <c r="CG682" s="424">
        <f t="shared" si="1594"/>
        <v>0</v>
      </c>
      <c r="CH682" s="424">
        <f t="shared" si="1594"/>
        <v>0</v>
      </c>
      <c r="CI682" s="424">
        <f t="shared" si="1594"/>
        <v>0</v>
      </c>
      <c r="CJ682" s="424">
        <f t="shared" si="1594"/>
        <v>0</v>
      </c>
      <c r="CK682" s="424">
        <f t="shared" si="1594"/>
        <v>0</v>
      </c>
      <c r="CL682" s="424">
        <f t="shared" si="1594"/>
        <v>0.68</v>
      </c>
      <c r="CM682" s="424">
        <f t="shared" si="1594"/>
        <v>0</v>
      </c>
      <c r="CN682" s="424">
        <f t="shared" si="1594"/>
        <v>0</v>
      </c>
      <c r="CO682" s="424">
        <f t="shared" si="1594"/>
        <v>0</v>
      </c>
      <c r="CP682" s="424">
        <f t="shared" si="1594"/>
        <v>0</v>
      </c>
      <c r="CQ682" s="424">
        <f t="shared" si="1594"/>
        <v>0</v>
      </c>
      <c r="CR682" s="424">
        <f t="shared" si="1594"/>
        <v>0</v>
      </c>
      <c r="CS682" s="424">
        <f t="shared" si="1594"/>
        <v>0</v>
      </c>
      <c r="CT682" s="424">
        <f t="shared" si="1594"/>
        <v>0</v>
      </c>
      <c r="CU682" s="424">
        <f t="shared" si="1594"/>
        <v>0</v>
      </c>
      <c r="CV682" s="424">
        <f t="shared" si="1594"/>
        <v>0</v>
      </c>
      <c r="CW682" s="424">
        <f t="shared" si="1594"/>
        <v>1.1200000000000001</v>
      </c>
      <c r="CX682" s="424">
        <f t="shared" si="1594"/>
        <v>0</v>
      </c>
      <c r="CY682" s="424">
        <f t="shared" si="1594"/>
        <v>0</v>
      </c>
      <c r="CZ682" s="424">
        <f t="shared" si="1594"/>
        <v>0.91</v>
      </c>
      <c r="DA682" s="424">
        <f t="shared" si="1594"/>
        <v>0</v>
      </c>
      <c r="DB682" s="424">
        <f t="shared" ref="DB682:EG682" si="1595">DB312*DB$372</f>
        <v>0</v>
      </c>
      <c r="DC682" s="424">
        <f t="shared" si="1595"/>
        <v>0.01</v>
      </c>
      <c r="DD682" s="424">
        <f t="shared" si="1595"/>
        <v>0</v>
      </c>
      <c r="DE682" s="424">
        <f t="shared" si="1595"/>
        <v>0</v>
      </c>
      <c r="DF682" s="424">
        <f t="shared" si="1595"/>
        <v>0</v>
      </c>
      <c r="DG682" s="424">
        <f t="shared" si="1595"/>
        <v>0</v>
      </c>
      <c r="DH682" s="424">
        <f t="shared" si="1595"/>
        <v>0</v>
      </c>
      <c r="DI682" s="424">
        <f t="shared" si="1595"/>
        <v>0</v>
      </c>
      <c r="DJ682" s="424">
        <f t="shared" si="1595"/>
        <v>0</v>
      </c>
      <c r="DK682" s="424">
        <f t="shared" si="1595"/>
        <v>0</v>
      </c>
      <c r="DL682" s="424">
        <f t="shared" si="1595"/>
        <v>0</v>
      </c>
      <c r="DM682" s="424">
        <f t="shared" si="1595"/>
        <v>0</v>
      </c>
      <c r="DN682" s="424">
        <f t="shared" si="1595"/>
        <v>0</v>
      </c>
      <c r="DO682" s="424">
        <f t="shared" si="1595"/>
        <v>0</v>
      </c>
      <c r="DP682" s="424">
        <f t="shared" si="1595"/>
        <v>0</v>
      </c>
      <c r="DQ682" s="424">
        <f t="shared" si="1595"/>
        <v>0</v>
      </c>
      <c r="DR682" s="424">
        <f t="shared" si="1595"/>
        <v>0</v>
      </c>
      <c r="DS682" s="424">
        <f t="shared" si="1595"/>
        <v>0</v>
      </c>
      <c r="DT682" s="424">
        <f t="shared" si="1595"/>
        <v>0</v>
      </c>
      <c r="DU682" s="424">
        <f t="shared" si="1595"/>
        <v>0</v>
      </c>
      <c r="DV682" s="424">
        <f t="shared" si="1595"/>
        <v>0</v>
      </c>
      <c r="DW682" s="424">
        <f t="shared" si="1595"/>
        <v>0</v>
      </c>
      <c r="DX682" s="424">
        <f t="shared" si="1595"/>
        <v>0</v>
      </c>
      <c r="DY682" s="424">
        <f t="shared" si="1595"/>
        <v>0</v>
      </c>
      <c r="DZ682" s="424">
        <f t="shared" si="1595"/>
        <v>0</v>
      </c>
      <c r="EA682" s="424">
        <f t="shared" si="1595"/>
        <v>0</v>
      </c>
      <c r="EB682" s="424">
        <f t="shared" si="1595"/>
        <v>0</v>
      </c>
      <c r="EC682" s="424">
        <f t="shared" si="1595"/>
        <v>0</v>
      </c>
      <c r="ED682" s="424">
        <f t="shared" si="1595"/>
        <v>0</v>
      </c>
      <c r="EE682" s="424">
        <f t="shared" si="1595"/>
        <v>0</v>
      </c>
      <c r="EF682" s="424">
        <f t="shared" si="1595"/>
        <v>0</v>
      </c>
      <c r="EG682" s="424">
        <f t="shared" si="1595"/>
        <v>0</v>
      </c>
      <c r="EH682" s="424">
        <f t="shared" ref="EH682:EX682" si="1596">EH312*EH$372</f>
        <v>0</v>
      </c>
      <c r="EI682" s="424">
        <f t="shared" si="1596"/>
        <v>0</v>
      </c>
      <c r="EJ682" s="424">
        <f t="shared" si="1596"/>
        <v>0</v>
      </c>
      <c r="EK682" s="424">
        <f t="shared" si="1596"/>
        <v>0</v>
      </c>
      <c r="EL682" s="424">
        <f t="shared" si="1596"/>
        <v>0</v>
      </c>
      <c r="EM682" s="424">
        <f t="shared" si="1596"/>
        <v>0</v>
      </c>
      <c r="EN682" s="424">
        <f t="shared" si="1596"/>
        <v>0</v>
      </c>
      <c r="EO682" s="424">
        <f t="shared" si="1596"/>
        <v>0</v>
      </c>
      <c r="EP682" s="424">
        <f t="shared" si="1596"/>
        <v>0</v>
      </c>
      <c r="EQ682" s="424">
        <f t="shared" si="1596"/>
        <v>0</v>
      </c>
      <c r="ER682" s="424">
        <f t="shared" si="1596"/>
        <v>0</v>
      </c>
      <c r="ES682" s="424">
        <f t="shared" si="1596"/>
        <v>0</v>
      </c>
      <c r="ET682" s="424">
        <f t="shared" si="1596"/>
        <v>0</v>
      </c>
      <c r="EU682" s="424">
        <f t="shared" si="1596"/>
        <v>0</v>
      </c>
      <c r="EV682" s="424">
        <f t="shared" si="1596"/>
        <v>0</v>
      </c>
      <c r="EW682" s="424">
        <f t="shared" si="1596"/>
        <v>0</v>
      </c>
      <c r="EX682" s="424">
        <f t="shared" si="1596"/>
        <v>0</v>
      </c>
      <c r="EY682" s="425">
        <f t="shared" si="1420"/>
        <v>8.36</v>
      </c>
    </row>
    <row r="683" spans="1:166" ht="14.7" customHeight="1" x14ac:dyDescent="0.25">
      <c r="A683" s="310">
        <v>309</v>
      </c>
      <c r="B683" s="311" t="str">
        <f t="shared" si="1331"/>
        <v>Булочка с повидлом обсыпная (масса 50 г)</v>
      </c>
      <c r="C683" s="483">
        <f t="shared" si="1421"/>
        <v>4.18</v>
      </c>
      <c r="D683" s="888"/>
      <c r="E683" s="888"/>
      <c r="F683" s="888"/>
      <c r="G683" s="889"/>
      <c r="H683" s="680">
        <f t="shared" si="1338"/>
        <v>426</v>
      </c>
      <c r="I683" s="1209">
        <f t="shared" si="1332"/>
        <v>0.02</v>
      </c>
      <c r="J683" s="424">
        <f t="shared" ref="J683:AO683" si="1597">J313*J$372</f>
        <v>0</v>
      </c>
      <c r="K683" s="424">
        <f t="shared" si="1597"/>
        <v>0</v>
      </c>
      <c r="L683" s="424">
        <f t="shared" si="1597"/>
        <v>0</v>
      </c>
      <c r="M683" s="424">
        <f t="shared" si="1597"/>
        <v>0</v>
      </c>
      <c r="N683" s="424">
        <f t="shared" si="1597"/>
        <v>0</v>
      </c>
      <c r="O683" s="424">
        <f t="shared" si="1597"/>
        <v>0</v>
      </c>
      <c r="P683" s="424">
        <f t="shared" si="1597"/>
        <v>0</v>
      </c>
      <c r="Q683" s="424">
        <f t="shared" si="1597"/>
        <v>0</v>
      </c>
      <c r="R683" s="424">
        <f t="shared" si="1597"/>
        <v>0</v>
      </c>
      <c r="S683" s="424">
        <f t="shared" si="1597"/>
        <v>0</v>
      </c>
      <c r="T683" s="424">
        <f t="shared" si="1597"/>
        <v>0</v>
      </c>
      <c r="U683" s="424">
        <f t="shared" si="1597"/>
        <v>0</v>
      </c>
      <c r="V683" s="424">
        <f t="shared" si="1597"/>
        <v>0</v>
      </c>
      <c r="W683" s="424">
        <f t="shared" si="1597"/>
        <v>0</v>
      </c>
      <c r="X683" s="424">
        <f t="shared" si="1597"/>
        <v>0</v>
      </c>
      <c r="Y683" s="424">
        <f t="shared" si="1597"/>
        <v>0</v>
      </c>
      <c r="Z683" s="424">
        <f t="shared" si="1597"/>
        <v>0</v>
      </c>
      <c r="AA683" s="424">
        <f t="shared" si="1597"/>
        <v>0</v>
      </c>
      <c r="AB683" s="424">
        <f t="shared" si="1597"/>
        <v>0</v>
      </c>
      <c r="AC683" s="424">
        <f t="shared" si="1597"/>
        <v>0</v>
      </c>
      <c r="AD683" s="424">
        <f t="shared" si="1597"/>
        <v>0</v>
      </c>
      <c r="AE683" s="424">
        <f t="shared" si="1597"/>
        <v>0</v>
      </c>
      <c r="AF683" s="424">
        <f t="shared" si="1597"/>
        <v>0</v>
      </c>
      <c r="AG683" s="424">
        <f t="shared" si="1597"/>
        <v>0</v>
      </c>
      <c r="AH683" s="424">
        <f t="shared" si="1597"/>
        <v>0</v>
      </c>
      <c r="AI683" s="424">
        <f t="shared" si="1597"/>
        <v>0</v>
      </c>
      <c r="AJ683" s="424">
        <f t="shared" si="1597"/>
        <v>0</v>
      </c>
      <c r="AK683" s="424">
        <f t="shared" si="1597"/>
        <v>0</v>
      </c>
      <c r="AL683" s="424">
        <f t="shared" si="1597"/>
        <v>0</v>
      </c>
      <c r="AM683" s="424">
        <f t="shared" si="1597"/>
        <v>0</v>
      </c>
      <c r="AN683" s="424">
        <f t="shared" si="1597"/>
        <v>0</v>
      </c>
      <c r="AO683" s="424">
        <f t="shared" si="1597"/>
        <v>0</v>
      </c>
      <c r="AP683" s="424">
        <f t="shared" ref="AP683:BU683" si="1598">AP313*AP$372</f>
        <v>0</v>
      </c>
      <c r="AQ683" s="424">
        <f t="shared" si="1598"/>
        <v>0</v>
      </c>
      <c r="AR683" s="424">
        <f t="shared" si="1598"/>
        <v>0</v>
      </c>
      <c r="AS683" s="424">
        <f t="shared" si="1598"/>
        <v>0</v>
      </c>
      <c r="AT683" s="424">
        <f t="shared" si="1598"/>
        <v>0</v>
      </c>
      <c r="AU683" s="424">
        <f t="shared" si="1598"/>
        <v>0</v>
      </c>
      <c r="AV683" s="424">
        <f t="shared" si="1598"/>
        <v>0</v>
      </c>
      <c r="AW683" s="424">
        <f t="shared" si="1598"/>
        <v>0</v>
      </c>
      <c r="AX683" s="424">
        <f t="shared" si="1598"/>
        <v>0</v>
      </c>
      <c r="AY683" s="424">
        <f t="shared" si="1598"/>
        <v>0</v>
      </c>
      <c r="AZ683" s="424">
        <f t="shared" si="1598"/>
        <v>0</v>
      </c>
      <c r="BA683" s="424">
        <f t="shared" si="1598"/>
        <v>0</v>
      </c>
      <c r="BB683" s="424">
        <f t="shared" si="1598"/>
        <v>0</v>
      </c>
      <c r="BC683" s="424">
        <f t="shared" si="1598"/>
        <v>0</v>
      </c>
      <c r="BD683" s="424">
        <f t="shared" si="1598"/>
        <v>0</v>
      </c>
      <c r="BE683" s="424">
        <f t="shared" si="1598"/>
        <v>0</v>
      </c>
      <c r="BF683" s="424">
        <f t="shared" si="1598"/>
        <v>0</v>
      </c>
      <c r="BG683" s="424">
        <f t="shared" si="1598"/>
        <v>0</v>
      </c>
      <c r="BH683" s="424">
        <f t="shared" si="1598"/>
        <v>0</v>
      </c>
      <c r="BI683" s="424">
        <f t="shared" si="1598"/>
        <v>0</v>
      </c>
      <c r="BJ683" s="424">
        <f t="shared" si="1598"/>
        <v>0</v>
      </c>
      <c r="BK683" s="424">
        <f t="shared" si="1598"/>
        <v>0</v>
      </c>
      <c r="BL683" s="424">
        <f t="shared" si="1598"/>
        <v>0</v>
      </c>
      <c r="BM683" s="424">
        <f t="shared" si="1598"/>
        <v>0</v>
      </c>
      <c r="BN683" s="424">
        <f t="shared" si="1598"/>
        <v>0</v>
      </c>
      <c r="BO683" s="424">
        <f t="shared" si="1598"/>
        <v>0</v>
      </c>
      <c r="BP683" s="424">
        <f t="shared" si="1598"/>
        <v>0</v>
      </c>
      <c r="BQ683" s="424">
        <f t="shared" si="1598"/>
        <v>0</v>
      </c>
      <c r="BR683" s="424">
        <f t="shared" si="1598"/>
        <v>0</v>
      </c>
      <c r="BS683" s="424">
        <f t="shared" si="1598"/>
        <v>1.1299999999999999</v>
      </c>
      <c r="BT683" s="424">
        <f t="shared" si="1598"/>
        <v>0</v>
      </c>
      <c r="BU683" s="424">
        <f t="shared" si="1598"/>
        <v>0</v>
      </c>
      <c r="BV683" s="424">
        <f t="shared" ref="BV683:DA683" si="1599">BV313*BV$372</f>
        <v>0</v>
      </c>
      <c r="BW683" s="424">
        <f t="shared" si="1599"/>
        <v>0</v>
      </c>
      <c r="BX683" s="424">
        <f t="shared" si="1599"/>
        <v>0</v>
      </c>
      <c r="BY683" s="424">
        <f t="shared" si="1599"/>
        <v>0</v>
      </c>
      <c r="BZ683" s="424">
        <f t="shared" si="1599"/>
        <v>0</v>
      </c>
      <c r="CA683" s="424">
        <f t="shared" si="1599"/>
        <v>0</v>
      </c>
      <c r="CB683" s="424">
        <f t="shared" si="1599"/>
        <v>0</v>
      </c>
      <c r="CC683" s="424">
        <f t="shared" si="1599"/>
        <v>0</v>
      </c>
      <c r="CD683" s="424">
        <f t="shared" si="1599"/>
        <v>0</v>
      </c>
      <c r="CE683" s="424">
        <f t="shared" si="1599"/>
        <v>1.68</v>
      </c>
      <c r="CF683" s="424">
        <f t="shared" si="1599"/>
        <v>0</v>
      </c>
      <c r="CG683" s="424">
        <f t="shared" si="1599"/>
        <v>0</v>
      </c>
      <c r="CH683" s="424">
        <f t="shared" si="1599"/>
        <v>0</v>
      </c>
      <c r="CI683" s="424">
        <f t="shared" si="1599"/>
        <v>0</v>
      </c>
      <c r="CJ683" s="424">
        <f t="shared" si="1599"/>
        <v>0</v>
      </c>
      <c r="CK683" s="424">
        <f t="shared" si="1599"/>
        <v>0</v>
      </c>
      <c r="CL683" s="424">
        <f t="shared" si="1599"/>
        <v>0.34</v>
      </c>
      <c r="CM683" s="424">
        <f t="shared" si="1599"/>
        <v>0</v>
      </c>
      <c r="CN683" s="424">
        <f t="shared" si="1599"/>
        <v>0</v>
      </c>
      <c r="CO683" s="424">
        <f t="shared" si="1599"/>
        <v>0</v>
      </c>
      <c r="CP683" s="424">
        <f t="shared" si="1599"/>
        <v>0</v>
      </c>
      <c r="CQ683" s="424">
        <f t="shared" si="1599"/>
        <v>0</v>
      </c>
      <c r="CR683" s="424">
        <f t="shared" si="1599"/>
        <v>0</v>
      </c>
      <c r="CS683" s="424">
        <f t="shared" si="1599"/>
        <v>0</v>
      </c>
      <c r="CT683" s="424">
        <f t="shared" si="1599"/>
        <v>0</v>
      </c>
      <c r="CU683" s="424">
        <f t="shared" si="1599"/>
        <v>0</v>
      </c>
      <c r="CV683" s="424">
        <f t="shared" si="1599"/>
        <v>0</v>
      </c>
      <c r="CW683" s="424">
        <f t="shared" si="1599"/>
        <v>0.56000000000000005</v>
      </c>
      <c r="CX683" s="424">
        <f t="shared" si="1599"/>
        <v>0</v>
      </c>
      <c r="CY683" s="424">
        <f t="shared" si="1599"/>
        <v>0</v>
      </c>
      <c r="CZ683" s="424">
        <f t="shared" si="1599"/>
        <v>0.46</v>
      </c>
      <c r="DA683" s="424">
        <f t="shared" si="1599"/>
        <v>0</v>
      </c>
      <c r="DB683" s="424">
        <f t="shared" ref="DB683:EG683" si="1600">DB313*DB$372</f>
        <v>0</v>
      </c>
      <c r="DC683" s="424">
        <f t="shared" si="1600"/>
        <v>0.01</v>
      </c>
      <c r="DD683" s="424">
        <f t="shared" si="1600"/>
        <v>0</v>
      </c>
      <c r="DE683" s="424">
        <f t="shared" si="1600"/>
        <v>0</v>
      </c>
      <c r="DF683" s="424">
        <f t="shared" si="1600"/>
        <v>0</v>
      </c>
      <c r="DG683" s="424">
        <f t="shared" si="1600"/>
        <v>0</v>
      </c>
      <c r="DH683" s="424">
        <f t="shared" si="1600"/>
        <v>0</v>
      </c>
      <c r="DI683" s="424">
        <f t="shared" si="1600"/>
        <v>0</v>
      </c>
      <c r="DJ683" s="424">
        <f t="shared" si="1600"/>
        <v>0</v>
      </c>
      <c r="DK683" s="424">
        <f t="shared" si="1600"/>
        <v>0</v>
      </c>
      <c r="DL683" s="424">
        <f t="shared" si="1600"/>
        <v>0</v>
      </c>
      <c r="DM683" s="424">
        <f t="shared" si="1600"/>
        <v>0</v>
      </c>
      <c r="DN683" s="424">
        <f t="shared" si="1600"/>
        <v>0</v>
      </c>
      <c r="DO683" s="424">
        <f t="shared" si="1600"/>
        <v>0</v>
      </c>
      <c r="DP683" s="424">
        <f t="shared" si="1600"/>
        <v>0</v>
      </c>
      <c r="DQ683" s="424">
        <f t="shared" si="1600"/>
        <v>0</v>
      </c>
      <c r="DR683" s="424">
        <f t="shared" si="1600"/>
        <v>0</v>
      </c>
      <c r="DS683" s="424">
        <f t="shared" si="1600"/>
        <v>0</v>
      </c>
      <c r="DT683" s="424">
        <f t="shared" si="1600"/>
        <v>0</v>
      </c>
      <c r="DU683" s="424">
        <f t="shared" si="1600"/>
        <v>0</v>
      </c>
      <c r="DV683" s="424">
        <f t="shared" si="1600"/>
        <v>0</v>
      </c>
      <c r="DW683" s="424">
        <f t="shared" si="1600"/>
        <v>0</v>
      </c>
      <c r="DX683" s="424">
        <f t="shared" si="1600"/>
        <v>0</v>
      </c>
      <c r="DY683" s="424">
        <f t="shared" si="1600"/>
        <v>0</v>
      </c>
      <c r="DZ683" s="424">
        <f t="shared" si="1600"/>
        <v>0</v>
      </c>
      <c r="EA683" s="424">
        <f t="shared" si="1600"/>
        <v>0</v>
      </c>
      <c r="EB683" s="424">
        <f t="shared" si="1600"/>
        <v>0</v>
      </c>
      <c r="EC683" s="424">
        <f t="shared" si="1600"/>
        <v>0</v>
      </c>
      <c r="ED683" s="424">
        <f t="shared" si="1600"/>
        <v>0</v>
      </c>
      <c r="EE683" s="424">
        <f t="shared" si="1600"/>
        <v>0</v>
      </c>
      <c r="EF683" s="424">
        <f t="shared" si="1600"/>
        <v>0</v>
      </c>
      <c r="EG683" s="424">
        <f t="shared" si="1600"/>
        <v>0</v>
      </c>
      <c r="EH683" s="424">
        <f t="shared" ref="EH683:EX683" si="1601">EH313*EH$372</f>
        <v>0</v>
      </c>
      <c r="EI683" s="424">
        <f t="shared" si="1601"/>
        <v>0</v>
      </c>
      <c r="EJ683" s="424">
        <f t="shared" si="1601"/>
        <v>0</v>
      </c>
      <c r="EK683" s="424">
        <f t="shared" si="1601"/>
        <v>0</v>
      </c>
      <c r="EL683" s="424">
        <f t="shared" si="1601"/>
        <v>0</v>
      </c>
      <c r="EM683" s="424">
        <f t="shared" si="1601"/>
        <v>0</v>
      </c>
      <c r="EN683" s="424">
        <f t="shared" si="1601"/>
        <v>0</v>
      </c>
      <c r="EO683" s="424">
        <f t="shared" si="1601"/>
        <v>0</v>
      </c>
      <c r="EP683" s="424">
        <f t="shared" si="1601"/>
        <v>0</v>
      </c>
      <c r="EQ683" s="424">
        <f t="shared" si="1601"/>
        <v>0</v>
      </c>
      <c r="ER683" s="424">
        <f t="shared" si="1601"/>
        <v>0</v>
      </c>
      <c r="ES683" s="424">
        <f t="shared" si="1601"/>
        <v>0</v>
      </c>
      <c r="ET683" s="424">
        <f t="shared" si="1601"/>
        <v>0</v>
      </c>
      <c r="EU683" s="424">
        <f t="shared" si="1601"/>
        <v>0</v>
      </c>
      <c r="EV683" s="424">
        <f t="shared" si="1601"/>
        <v>0</v>
      </c>
      <c r="EW683" s="424">
        <f t="shared" si="1601"/>
        <v>0</v>
      </c>
      <c r="EX683" s="424">
        <f t="shared" si="1601"/>
        <v>0</v>
      </c>
      <c r="EY683" s="425">
        <f t="shared" si="1420"/>
        <v>4.18</v>
      </c>
    </row>
    <row r="684" spans="1:166" ht="14.7" customHeight="1" x14ac:dyDescent="0.25">
      <c r="A684" s="310">
        <v>310</v>
      </c>
      <c r="B684" s="311" t="str">
        <f t="shared" si="1331"/>
        <v>Булочка школьная 30 г</v>
      </c>
      <c r="C684" s="483">
        <f t="shared" si="1421"/>
        <v>1.26</v>
      </c>
      <c r="D684" s="888"/>
      <c r="E684" s="888"/>
      <c r="F684" s="888"/>
      <c r="G684" s="889"/>
      <c r="H684" s="680">
        <f t="shared" si="1338"/>
        <v>428</v>
      </c>
      <c r="I684" s="1209">
        <f t="shared" si="1332"/>
        <v>0</v>
      </c>
      <c r="J684" s="424">
        <f t="shared" ref="J684:AO684" si="1602">J314*J$372</f>
        <v>0</v>
      </c>
      <c r="K684" s="424">
        <f t="shared" si="1602"/>
        <v>0</v>
      </c>
      <c r="L684" s="424">
        <f t="shared" si="1602"/>
        <v>0</v>
      </c>
      <c r="M684" s="424">
        <f t="shared" si="1602"/>
        <v>0</v>
      </c>
      <c r="N684" s="424">
        <f t="shared" si="1602"/>
        <v>0</v>
      </c>
      <c r="O684" s="424">
        <f t="shared" si="1602"/>
        <v>0</v>
      </c>
      <c r="P684" s="424">
        <f t="shared" si="1602"/>
        <v>0</v>
      </c>
      <c r="Q684" s="424">
        <f t="shared" si="1602"/>
        <v>0</v>
      </c>
      <c r="R684" s="424">
        <f t="shared" si="1602"/>
        <v>0</v>
      </c>
      <c r="S684" s="424">
        <f t="shared" si="1602"/>
        <v>0</v>
      </c>
      <c r="T684" s="424">
        <f t="shared" si="1602"/>
        <v>0</v>
      </c>
      <c r="U684" s="424">
        <f t="shared" si="1602"/>
        <v>0</v>
      </c>
      <c r="V684" s="424">
        <f t="shared" si="1602"/>
        <v>0</v>
      </c>
      <c r="W684" s="424">
        <f t="shared" si="1602"/>
        <v>0</v>
      </c>
      <c r="X684" s="424">
        <f t="shared" si="1602"/>
        <v>0</v>
      </c>
      <c r="Y684" s="424">
        <f t="shared" si="1602"/>
        <v>0</v>
      </c>
      <c r="Z684" s="424">
        <f t="shared" si="1602"/>
        <v>0</v>
      </c>
      <c r="AA684" s="424">
        <f t="shared" si="1602"/>
        <v>0</v>
      </c>
      <c r="AB684" s="424">
        <f t="shared" si="1602"/>
        <v>0</v>
      </c>
      <c r="AC684" s="424">
        <f t="shared" si="1602"/>
        <v>0</v>
      </c>
      <c r="AD684" s="424">
        <f t="shared" si="1602"/>
        <v>0</v>
      </c>
      <c r="AE684" s="424">
        <f t="shared" si="1602"/>
        <v>0</v>
      </c>
      <c r="AF684" s="424">
        <f t="shared" si="1602"/>
        <v>0</v>
      </c>
      <c r="AG684" s="424">
        <f t="shared" si="1602"/>
        <v>0</v>
      </c>
      <c r="AH684" s="424">
        <f t="shared" si="1602"/>
        <v>0</v>
      </c>
      <c r="AI684" s="424">
        <f t="shared" si="1602"/>
        <v>0</v>
      </c>
      <c r="AJ684" s="424">
        <f t="shared" si="1602"/>
        <v>0</v>
      </c>
      <c r="AK684" s="424">
        <f t="shared" si="1602"/>
        <v>0</v>
      </c>
      <c r="AL684" s="424">
        <f t="shared" si="1602"/>
        <v>0</v>
      </c>
      <c r="AM684" s="424">
        <f t="shared" si="1602"/>
        <v>0</v>
      </c>
      <c r="AN684" s="424">
        <f t="shared" si="1602"/>
        <v>0</v>
      </c>
      <c r="AO684" s="424">
        <f t="shared" si="1602"/>
        <v>0</v>
      </c>
      <c r="AP684" s="424">
        <f t="shared" ref="AP684:BU684" si="1603">AP314*AP$372</f>
        <v>0</v>
      </c>
      <c r="AQ684" s="424">
        <f t="shared" si="1603"/>
        <v>0</v>
      </c>
      <c r="AR684" s="424">
        <f t="shared" si="1603"/>
        <v>0</v>
      </c>
      <c r="AS684" s="424">
        <f t="shared" si="1603"/>
        <v>0</v>
      </c>
      <c r="AT684" s="424">
        <f t="shared" si="1603"/>
        <v>0</v>
      </c>
      <c r="AU684" s="424">
        <f t="shared" si="1603"/>
        <v>0</v>
      </c>
      <c r="AV684" s="424">
        <f t="shared" si="1603"/>
        <v>0</v>
      </c>
      <c r="AW684" s="424">
        <f t="shared" si="1603"/>
        <v>0</v>
      </c>
      <c r="AX684" s="424">
        <f t="shared" si="1603"/>
        <v>0</v>
      </c>
      <c r="AY684" s="424">
        <f t="shared" si="1603"/>
        <v>0</v>
      </c>
      <c r="AZ684" s="424">
        <f t="shared" si="1603"/>
        <v>0</v>
      </c>
      <c r="BA684" s="424">
        <f t="shared" si="1603"/>
        <v>0</v>
      </c>
      <c r="BB684" s="424">
        <f t="shared" si="1603"/>
        <v>0</v>
      </c>
      <c r="BC684" s="424">
        <f t="shared" si="1603"/>
        <v>0</v>
      </c>
      <c r="BD684" s="424">
        <f t="shared" si="1603"/>
        <v>0</v>
      </c>
      <c r="BE684" s="424">
        <f t="shared" si="1603"/>
        <v>0</v>
      </c>
      <c r="BF684" s="424">
        <f t="shared" si="1603"/>
        <v>0</v>
      </c>
      <c r="BG684" s="424">
        <f t="shared" si="1603"/>
        <v>0</v>
      </c>
      <c r="BH684" s="424">
        <f t="shared" si="1603"/>
        <v>0</v>
      </c>
      <c r="BI684" s="424">
        <f t="shared" si="1603"/>
        <v>0</v>
      </c>
      <c r="BJ684" s="424">
        <f t="shared" si="1603"/>
        <v>0</v>
      </c>
      <c r="BK684" s="424">
        <f t="shared" si="1603"/>
        <v>0</v>
      </c>
      <c r="BL684" s="424">
        <f t="shared" si="1603"/>
        <v>0</v>
      </c>
      <c r="BM684" s="424">
        <f t="shared" si="1603"/>
        <v>0</v>
      </c>
      <c r="BN684" s="424">
        <f t="shared" si="1603"/>
        <v>0</v>
      </c>
      <c r="BO684" s="424">
        <f t="shared" si="1603"/>
        <v>0</v>
      </c>
      <c r="BP684" s="424">
        <f t="shared" si="1603"/>
        <v>0</v>
      </c>
      <c r="BQ684" s="424">
        <f t="shared" si="1603"/>
        <v>0</v>
      </c>
      <c r="BR684" s="424">
        <f t="shared" si="1603"/>
        <v>0</v>
      </c>
      <c r="BS684" s="424">
        <f t="shared" si="1603"/>
        <v>0.88</v>
      </c>
      <c r="BT684" s="424">
        <f t="shared" si="1603"/>
        <v>0</v>
      </c>
      <c r="BU684" s="424">
        <f t="shared" si="1603"/>
        <v>0</v>
      </c>
      <c r="BV684" s="424">
        <f t="shared" ref="BV684:DA684" si="1604">BV314*BV$372</f>
        <v>0</v>
      </c>
      <c r="BW684" s="424">
        <f t="shared" si="1604"/>
        <v>0</v>
      </c>
      <c r="BX684" s="424">
        <f t="shared" si="1604"/>
        <v>0</v>
      </c>
      <c r="BY684" s="424">
        <f t="shared" si="1604"/>
        <v>0</v>
      </c>
      <c r="BZ684" s="424">
        <f t="shared" si="1604"/>
        <v>0</v>
      </c>
      <c r="CA684" s="424">
        <f t="shared" si="1604"/>
        <v>0</v>
      </c>
      <c r="CB684" s="424">
        <f t="shared" si="1604"/>
        <v>0</v>
      </c>
      <c r="CC684" s="424">
        <f t="shared" si="1604"/>
        <v>0</v>
      </c>
      <c r="CD684" s="424">
        <f t="shared" si="1604"/>
        <v>0</v>
      </c>
      <c r="CE684" s="424">
        <f t="shared" si="1604"/>
        <v>0.14000000000000001</v>
      </c>
      <c r="CF684" s="424">
        <f t="shared" si="1604"/>
        <v>0.01</v>
      </c>
      <c r="CG684" s="424">
        <f t="shared" si="1604"/>
        <v>0</v>
      </c>
      <c r="CH684" s="424">
        <f t="shared" si="1604"/>
        <v>0</v>
      </c>
      <c r="CI684" s="424">
        <f t="shared" si="1604"/>
        <v>0</v>
      </c>
      <c r="CJ684" s="424">
        <f t="shared" si="1604"/>
        <v>0</v>
      </c>
      <c r="CK684" s="424">
        <f t="shared" si="1604"/>
        <v>0</v>
      </c>
      <c r="CL684" s="424">
        <f t="shared" si="1604"/>
        <v>0.11</v>
      </c>
      <c r="CM684" s="424">
        <f t="shared" si="1604"/>
        <v>0</v>
      </c>
      <c r="CN684" s="424">
        <f t="shared" si="1604"/>
        <v>0</v>
      </c>
      <c r="CO684" s="424">
        <f t="shared" si="1604"/>
        <v>0</v>
      </c>
      <c r="CP684" s="424">
        <f t="shared" si="1604"/>
        <v>0</v>
      </c>
      <c r="CQ684" s="424">
        <f t="shared" si="1604"/>
        <v>0</v>
      </c>
      <c r="CR684" s="424">
        <f t="shared" si="1604"/>
        <v>0</v>
      </c>
      <c r="CS684" s="424">
        <f t="shared" si="1604"/>
        <v>0</v>
      </c>
      <c r="CT684" s="424">
        <f t="shared" si="1604"/>
        <v>0</v>
      </c>
      <c r="CU684" s="424">
        <f t="shared" si="1604"/>
        <v>0</v>
      </c>
      <c r="CV684" s="424">
        <f t="shared" si="1604"/>
        <v>0</v>
      </c>
      <c r="CW684" s="424">
        <f t="shared" si="1604"/>
        <v>0</v>
      </c>
      <c r="CX684" s="424">
        <f t="shared" si="1604"/>
        <v>0</v>
      </c>
      <c r="CY684" s="424">
        <f t="shared" si="1604"/>
        <v>0</v>
      </c>
      <c r="CZ684" s="424">
        <f t="shared" si="1604"/>
        <v>0.11</v>
      </c>
      <c r="DA684" s="424">
        <f t="shared" si="1604"/>
        <v>0</v>
      </c>
      <c r="DB684" s="424">
        <f t="shared" ref="DB684:EG684" si="1605">DB314*DB$372</f>
        <v>0</v>
      </c>
      <c r="DC684" s="424">
        <f t="shared" si="1605"/>
        <v>0.01</v>
      </c>
      <c r="DD684" s="424">
        <f t="shared" si="1605"/>
        <v>0</v>
      </c>
      <c r="DE684" s="424">
        <f t="shared" si="1605"/>
        <v>0</v>
      </c>
      <c r="DF684" s="424">
        <f t="shared" si="1605"/>
        <v>0</v>
      </c>
      <c r="DG684" s="424">
        <f t="shared" si="1605"/>
        <v>0</v>
      </c>
      <c r="DH684" s="424">
        <f t="shared" si="1605"/>
        <v>0</v>
      </c>
      <c r="DI684" s="424">
        <f t="shared" si="1605"/>
        <v>0</v>
      </c>
      <c r="DJ684" s="424">
        <f t="shared" si="1605"/>
        <v>0</v>
      </c>
      <c r="DK684" s="424">
        <f t="shared" si="1605"/>
        <v>0</v>
      </c>
      <c r="DL684" s="424">
        <f t="shared" si="1605"/>
        <v>0</v>
      </c>
      <c r="DM684" s="424">
        <f t="shared" si="1605"/>
        <v>0</v>
      </c>
      <c r="DN684" s="424">
        <f t="shared" si="1605"/>
        <v>0</v>
      </c>
      <c r="DO684" s="424">
        <f t="shared" si="1605"/>
        <v>0</v>
      </c>
      <c r="DP684" s="424">
        <f t="shared" si="1605"/>
        <v>0</v>
      </c>
      <c r="DQ684" s="424">
        <f t="shared" si="1605"/>
        <v>0</v>
      </c>
      <c r="DR684" s="424">
        <f t="shared" si="1605"/>
        <v>0</v>
      </c>
      <c r="DS684" s="424">
        <f t="shared" si="1605"/>
        <v>0</v>
      </c>
      <c r="DT684" s="424">
        <f t="shared" si="1605"/>
        <v>0</v>
      </c>
      <c r="DU684" s="424">
        <f t="shared" si="1605"/>
        <v>0</v>
      </c>
      <c r="DV684" s="424">
        <f t="shared" si="1605"/>
        <v>0</v>
      </c>
      <c r="DW684" s="424">
        <f t="shared" si="1605"/>
        <v>0</v>
      </c>
      <c r="DX684" s="424">
        <f t="shared" si="1605"/>
        <v>0</v>
      </c>
      <c r="DY684" s="424">
        <f t="shared" si="1605"/>
        <v>0</v>
      </c>
      <c r="DZ684" s="424">
        <f t="shared" si="1605"/>
        <v>0</v>
      </c>
      <c r="EA684" s="424">
        <f t="shared" si="1605"/>
        <v>0</v>
      </c>
      <c r="EB684" s="424">
        <f t="shared" si="1605"/>
        <v>0</v>
      </c>
      <c r="EC684" s="424">
        <f t="shared" si="1605"/>
        <v>0</v>
      </c>
      <c r="ED684" s="424">
        <f t="shared" si="1605"/>
        <v>0</v>
      </c>
      <c r="EE684" s="424">
        <f t="shared" si="1605"/>
        <v>0</v>
      </c>
      <c r="EF684" s="424">
        <f t="shared" si="1605"/>
        <v>0</v>
      </c>
      <c r="EG684" s="424">
        <f t="shared" si="1605"/>
        <v>0</v>
      </c>
      <c r="EH684" s="424">
        <f t="shared" ref="EH684:EX684" si="1606">EH314*EH$372</f>
        <v>0</v>
      </c>
      <c r="EI684" s="424">
        <f t="shared" si="1606"/>
        <v>0</v>
      </c>
      <c r="EJ684" s="424">
        <f t="shared" si="1606"/>
        <v>0</v>
      </c>
      <c r="EK684" s="424">
        <f t="shared" si="1606"/>
        <v>0</v>
      </c>
      <c r="EL684" s="424">
        <f t="shared" si="1606"/>
        <v>0</v>
      </c>
      <c r="EM684" s="424">
        <f t="shared" si="1606"/>
        <v>0</v>
      </c>
      <c r="EN684" s="424">
        <f t="shared" si="1606"/>
        <v>0</v>
      </c>
      <c r="EO684" s="424">
        <f t="shared" si="1606"/>
        <v>0</v>
      </c>
      <c r="EP684" s="424">
        <f t="shared" si="1606"/>
        <v>0</v>
      </c>
      <c r="EQ684" s="424">
        <f t="shared" si="1606"/>
        <v>0</v>
      </c>
      <c r="ER684" s="424">
        <f t="shared" si="1606"/>
        <v>0</v>
      </c>
      <c r="ES684" s="424">
        <f t="shared" si="1606"/>
        <v>0</v>
      </c>
      <c r="ET684" s="424">
        <f t="shared" si="1606"/>
        <v>0</v>
      </c>
      <c r="EU684" s="424">
        <f t="shared" si="1606"/>
        <v>0</v>
      </c>
      <c r="EV684" s="424">
        <f t="shared" si="1606"/>
        <v>0</v>
      </c>
      <c r="EW684" s="424">
        <f t="shared" si="1606"/>
        <v>0</v>
      </c>
      <c r="EX684" s="424">
        <f t="shared" si="1606"/>
        <v>0</v>
      </c>
      <c r="EY684" s="425">
        <f t="shared" si="1420"/>
        <v>1.26</v>
      </c>
    </row>
    <row r="685" spans="1:166" ht="14.7" customHeight="1" x14ac:dyDescent="0.25">
      <c r="A685" s="310">
        <v>311</v>
      </c>
      <c r="B685" s="311" t="str">
        <f t="shared" si="1331"/>
        <v>Булочка школьная 50 г</v>
      </c>
      <c r="C685" s="483">
        <f t="shared" si="1421"/>
        <v>2.09</v>
      </c>
      <c r="D685" s="888"/>
      <c r="E685" s="888"/>
      <c r="F685" s="888"/>
      <c r="G685" s="889"/>
      <c r="H685" s="680">
        <f t="shared" si="1338"/>
        <v>428</v>
      </c>
      <c r="I685" s="1209">
        <f t="shared" si="1332"/>
        <v>0.01</v>
      </c>
      <c r="J685" s="424">
        <f t="shared" ref="J685:AO685" si="1607">J315*J$372</f>
        <v>0</v>
      </c>
      <c r="K685" s="424">
        <f t="shared" si="1607"/>
        <v>0</v>
      </c>
      <c r="L685" s="424">
        <f t="shared" si="1607"/>
        <v>0</v>
      </c>
      <c r="M685" s="424">
        <f t="shared" si="1607"/>
        <v>0</v>
      </c>
      <c r="N685" s="424">
        <f t="shared" si="1607"/>
        <v>0</v>
      </c>
      <c r="O685" s="424">
        <f t="shared" si="1607"/>
        <v>0</v>
      </c>
      <c r="P685" s="424">
        <f t="shared" si="1607"/>
        <v>0</v>
      </c>
      <c r="Q685" s="424">
        <f t="shared" si="1607"/>
        <v>0</v>
      </c>
      <c r="R685" s="424">
        <f t="shared" si="1607"/>
        <v>0</v>
      </c>
      <c r="S685" s="424">
        <f t="shared" si="1607"/>
        <v>0</v>
      </c>
      <c r="T685" s="424">
        <f t="shared" si="1607"/>
        <v>0</v>
      </c>
      <c r="U685" s="424">
        <f t="shared" si="1607"/>
        <v>0</v>
      </c>
      <c r="V685" s="424">
        <f t="shared" si="1607"/>
        <v>0</v>
      </c>
      <c r="W685" s="424">
        <f t="shared" si="1607"/>
        <v>0</v>
      </c>
      <c r="X685" s="424">
        <f t="shared" si="1607"/>
        <v>0</v>
      </c>
      <c r="Y685" s="424">
        <f t="shared" si="1607"/>
        <v>0</v>
      </c>
      <c r="Z685" s="424">
        <f t="shared" si="1607"/>
        <v>0</v>
      </c>
      <c r="AA685" s="424">
        <f t="shared" si="1607"/>
        <v>0</v>
      </c>
      <c r="AB685" s="424">
        <f t="shared" si="1607"/>
        <v>0</v>
      </c>
      <c r="AC685" s="424">
        <f t="shared" si="1607"/>
        <v>0</v>
      </c>
      <c r="AD685" s="424">
        <f t="shared" si="1607"/>
        <v>0</v>
      </c>
      <c r="AE685" s="424">
        <f t="shared" si="1607"/>
        <v>0</v>
      </c>
      <c r="AF685" s="424">
        <f t="shared" si="1607"/>
        <v>0</v>
      </c>
      <c r="AG685" s="424">
        <f t="shared" si="1607"/>
        <v>0</v>
      </c>
      <c r="AH685" s="424">
        <f t="shared" si="1607"/>
        <v>0</v>
      </c>
      <c r="AI685" s="424">
        <f t="shared" si="1607"/>
        <v>0</v>
      </c>
      <c r="AJ685" s="424">
        <f t="shared" si="1607"/>
        <v>0</v>
      </c>
      <c r="AK685" s="424">
        <f t="shared" si="1607"/>
        <v>0</v>
      </c>
      <c r="AL685" s="424">
        <f t="shared" si="1607"/>
        <v>0</v>
      </c>
      <c r="AM685" s="424">
        <f t="shared" si="1607"/>
        <v>0</v>
      </c>
      <c r="AN685" s="424">
        <f t="shared" si="1607"/>
        <v>0</v>
      </c>
      <c r="AO685" s="424">
        <f t="shared" si="1607"/>
        <v>0</v>
      </c>
      <c r="AP685" s="424">
        <f t="shared" ref="AP685:BU685" si="1608">AP315*AP$372</f>
        <v>0</v>
      </c>
      <c r="AQ685" s="424">
        <f t="shared" si="1608"/>
        <v>0</v>
      </c>
      <c r="AR685" s="424">
        <f t="shared" si="1608"/>
        <v>0</v>
      </c>
      <c r="AS685" s="424">
        <f t="shared" si="1608"/>
        <v>0</v>
      </c>
      <c r="AT685" s="424">
        <f t="shared" si="1608"/>
        <v>0</v>
      </c>
      <c r="AU685" s="424">
        <f t="shared" si="1608"/>
        <v>0</v>
      </c>
      <c r="AV685" s="424">
        <f t="shared" si="1608"/>
        <v>0</v>
      </c>
      <c r="AW685" s="424">
        <f t="shared" si="1608"/>
        <v>0</v>
      </c>
      <c r="AX685" s="424">
        <f t="shared" si="1608"/>
        <v>0</v>
      </c>
      <c r="AY685" s="424">
        <f t="shared" si="1608"/>
        <v>0</v>
      </c>
      <c r="AZ685" s="424">
        <f t="shared" si="1608"/>
        <v>0</v>
      </c>
      <c r="BA685" s="424">
        <f t="shared" si="1608"/>
        <v>0</v>
      </c>
      <c r="BB685" s="424">
        <f t="shared" si="1608"/>
        <v>0</v>
      </c>
      <c r="BC685" s="424">
        <f t="shared" si="1608"/>
        <v>0</v>
      </c>
      <c r="BD685" s="424">
        <f t="shared" si="1608"/>
        <v>0</v>
      </c>
      <c r="BE685" s="424">
        <f t="shared" si="1608"/>
        <v>0</v>
      </c>
      <c r="BF685" s="424">
        <f t="shared" si="1608"/>
        <v>0</v>
      </c>
      <c r="BG685" s="424">
        <f t="shared" si="1608"/>
        <v>0</v>
      </c>
      <c r="BH685" s="424">
        <f t="shared" si="1608"/>
        <v>0</v>
      </c>
      <c r="BI685" s="424">
        <f t="shared" si="1608"/>
        <v>0</v>
      </c>
      <c r="BJ685" s="424">
        <f t="shared" si="1608"/>
        <v>0</v>
      </c>
      <c r="BK685" s="424">
        <f t="shared" si="1608"/>
        <v>0</v>
      </c>
      <c r="BL685" s="424">
        <f t="shared" si="1608"/>
        <v>0</v>
      </c>
      <c r="BM685" s="424">
        <f t="shared" si="1608"/>
        <v>0</v>
      </c>
      <c r="BN685" s="424">
        <f t="shared" si="1608"/>
        <v>0</v>
      </c>
      <c r="BO685" s="424">
        <f t="shared" si="1608"/>
        <v>0</v>
      </c>
      <c r="BP685" s="424">
        <f t="shared" si="1608"/>
        <v>0</v>
      </c>
      <c r="BQ685" s="424">
        <f t="shared" si="1608"/>
        <v>0</v>
      </c>
      <c r="BR685" s="424">
        <f t="shared" si="1608"/>
        <v>0</v>
      </c>
      <c r="BS685" s="424">
        <f t="shared" si="1608"/>
        <v>1.47</v>
      </c>
      <c r="BT685" s="424">
        <f t="shared" si="1608"/>
        <v>0</v>
      </c>
      <c r="BU685" s="424">
        <f t="shared" si="1608"/>
        <v>0</v>
      </c>
      <c r="BV685" s="424">
        <f t="shared" ref="BV685:DA685" si="1609">BV315*BV$372</f>
        <v>0</v>
      </c>
      <c r="BW685" s="424">
        <f t="shared" si="1609"/>
        <v>0</v>
      </c>
      <c r="BX685" s="424">
        <f t="shared" si="1609"/>
        <v>0</v>
      </c>
      <c r="BY685" s="424">
        <f t="shared" si="1609"/>
        <v>0</v>
      </c>
      <c r="BZ685" s="424">
        <f t="shared" si="1609"/>
        <v>0</v>
      </c>
      <c r="CA685" s="424">
        <f t="shared" si="1609"/>
        <v>0</v>
      </c>
      <c r="CB685" s="424">
        <f t="shared" si="1609"/>
        <v>0</v>
      </c>
      <c r="CC685" s="424">
        <f t="shared" si="1609"/>
        <v>0</v>
      </c>
      <c r="CD685" s="424">
        <f t="shared" si="1609"/>
        <v>0</v>
      </c>
      <c r="CE685" s="424">
        <f t="shared" si="1609"/>
        <v>0.23</v>
      </c>
      <c r="CF685" s="424">
        <f t="shared" si="1609"/>
        <v>0.02</v>
      </c>
      <c r="CG685" s="424">
        <f t="shared" si="1609"/>
        <v>0</v>
      </c>
      <c r="CH685" s="424">
        <f t="shared" si="1609"/>
        <v>0</v>
      </c>
      <c r="CI685" s="424">
        <f t="shared" si="1609"/>
        <v>0</v>
      </c>
      <c r="CJ685" s="424">
        <f t="shared" si="1609"/>
        <v>0</v>
      </c>
      <c r="CK685" s="424">
        <f t="shared" si="1609"/>
        <v>0</v>
      </c>
      <c r="CL685" s="424">
        <f t="shared" si="1609"/>
        <v>0.18</v>
      </c>
      <c r="CM685" s="424">
        <f t="shared" si="1609"/>
        <v>0</v>
      </c>
      <c r="CN685" s="424">
        <f t="shared" si="1609"/>
        <v>0</v>
      </c>
      <c r="CO685" s="424">
        <f t="shared" si="1609"/>
        <v>0</v>
      </c>
      <c r="CP685" s="424">
        <f t="shared" si="1609"/>
        <v>0</v>
      </c>
      <c r="CQ685" s="424">
        <f t="shared" si="1609"/>
        <v>0</v>
      </c>
      <c r="CR685" s="424">
        <f t="shared" si="1609"/>
        <v>0</v>
      </c>
      <c r="CS685" s="424">
        <f t="shared" si="1609"/>
        <v>0</v>
      </c>
      <c r="CT685" s="424">
        <f t="shared" si="1609"/>
        <v>0</v>
      </c>
      <c r="CU685" s="424">
        <f t="shared" si="1609"/>
        <v>0</v>
      </c>
      <c r="CV685" s="424">
        <f t="shared" si="1609"/>
        <v>0</v>
      </c>
      <c r="CW685" s="424">
        <f t="shared" si="1609"/>
        <v>0</v>
      </c>
      <c r="CX685" s="424">
        <f t="shared" si="1609"/>
        <v>0</v>
      </c>
      <c r="CY685" s="424">
        <f t="shared" si="1609"/>
        <v>0</v>
      </c>
      <c r="CZ685" s="424">
        <f t="shared" si="1609"/>
        <v>0.18</v>
      </c>
      <c r="DA685" s="424">
        <f t="shared" si="1609"/>
        <v>0</v>
      </c>
      <c r="DB685" s="424">
        <f t="shared" ref="DB685:EG685" si="1610">DB315*DB$372</f>
        <v>0</v>
      </c>
      <c r="DC685" s="424">
        <f t="shared" si="1610"/>
        <v>0.01</v>
      </c>
      <c r="DD685" s="424">
        <f t="shared" si="1610"/>
        <v>0</v>
      </c>
      <c r="DE685" s="424">
        <f t="shared" si="1610"/>
        <v>0</v>
      </c>
      <c r="DF685" s="424">
        <f t="shared" si="1610"/>
        <v>0</v>
      </c>
      <c r="DG685" s="424">
        <f t="shared" si="1610"/>
        <v>0</v>
      </c>
      <c r="DH685" s="424">
        <f t="shared" si="1610"/>
        <v>0</v>
      </c>
      <c r="DI685" s="424">
        <f t="shared" si="1610"/>
        <v>0</v>
      </c>
      <c r="DJ685" s="424">
        <f t="shared" si="1610"/>
        <v>0</v>
      </c>
      <c r="DK685" s="424">
        <f t="shared" si="1610"/>
        <v>0</v>
      </c>
      <c r="DL685" s="424">
        <f t="shared" si="1610"/>
        <v>0</v>
      </c>
      <c r="DM685" s="424">
        <f t="shared" si="1610"/>
        <v>0</v>
      </c>
      <c r="DN685" s="424">
        <f t="shared" si="1610"/>
        <v>0</v>
      </c>
      <c r="DO685" s="424">
        <f t="shared" si="1610"/>
        <v>0</v>
      </c>
      <c r="DP685" s="424">
        <f t="shared" si="1610"/>
        <v>0</v>
      </c>
      <c r="DQ685" s="424">
        <f t="shared" si="1610"/>
        <v>0</v>
      </c>
      <c r="DR685" s="424">
        <f t="shared" si="1610"/>
        <v>0</v>
      </c>
      <c r="DS685" s="424">
        <f t="shared" si="1610"/>
        <v>0</v>
      </c>
      <c r="DT685" s="424">
        <f t="shared" si="1610"/>
        <v>0</v>
      </c>
      <c r="DU685" s="424">
        <f t="shared" si="1610"/>
        <v>0</v>
      </c>
      <c r="DV685" s="424">
        <f t="shared" si="1610"/>
        <v>0</v>
      </c>
      <c r="DW685" s="424">
        <f t="shared" si="1610"/>
        <v>0</v>
      </c>
      <c r="DX685" s="424">
        <f t="shared" si="1610"/>
        <v>0</v>
      </c>
      <c r="DY685" s="424">
        <f t="shared" si="1610"/>
        <v>0</v>
      </c>
      <c r="DZ685" s="424">
        <f t="shared" si="1610"/>
        <v>0</v>
      </c>
      <c r="EA685" s="424">
        <f t="shared" si="1610"/>
        <v>0</v>
      </c>
      <c r="EB685" s="424">
        <f t="shared" si="1610"/>
        <v>0</v>
      </c>
      <c r="EC685" s="424">
        <f t="shared" si="1610"/>
        <v>0</v>
      </c>
      <c r="ED685" s="424">
        <f t="shared" si="1610"/>
        <v>0</v>
      </c>
      <c r="EE685" s="424">
        <f t="shared" si="1610"/>
        <v>0</v>
      </c>
      <c r="EF685" s="424">
        <f t="shared" si="1610"/>
        <v>0</v>
      </c>
      <c r="EG685" s="424">
        <f t="shared" si="1610"/>
        <v>0</v>
      </c>
      <c r="EH685" s="424">
        <f t="shared" ref="EH685:EX685" si="1611">EH315*EH$372</f>
        <v>0</v>
      </c>
      <c r="EI685" s="424">
        <f t="shared" si="1611"/>
        <v>0</v>
      </c>
      <c r="EJ685" s="424">
        <f t="shared" si="1611"/>
        <v>0</v>
      </c>
      <c r="EK685" s="424">
        <f t="shared" si="1611"/>
        <v>0</v>
      </c>
      <c r="EL685" s="424">
        <f t="shared" si="1611"/>
        <v>0</v>
      </c>
      <c r="EM685" s="424">
        <f t="shared" si="1611"/>
        <v>0</v>
      </c>
      <c r="EN685" s="424">
        <f t="shared" si="1611"/>
        <v>0</v>
      </c>
      <c r="EO685" s="424">
        <f t="shared" si="1611"/>
        <v>0</v>
      </c>
      <c r="EP685" s="424">
        <f t="shared" si="1611"/>
        <v>0</v>
      </c>
      <c r="EQ685" s="424">
        <f t="shared" si="1611"/>
        <v>0</v>
      </c>
      <c r="ER685" s="424">
        <f t="shared" si="1611"/>
        <v>0</v>
      </c>
      <c r="ES685" s="424">
        <f t="shared" si="1611"/>
        <v>0</v>
      </c>
      <c r="ET685" s="424">
        <f t="shared" si="1611"/>
        <v>0</v>
      </c>
      <c r="EU685" s="424">
        <f t="shared" si="1611"/>
        <v>0</v>
      </c>
      <c r="EV685" s="424">
        <f t="shared" si="1611"/>
        <v>0</v>
      </c>
      <c r="EW685" s="424">
        <f t="shared" si="1611"/>
        <v>0</v>
      </c>
      <c r="EX685" s="424">
        <f t="shared" si="1611"/>
        <v>0</v>
      </c>
      <c r="EY685" s="425">
        <f t="shared" si="1420"/>
        <v>2.09</v>
      </c>
    </row>
    <row r="686" spans="1:166" ht="14.7" customHeight="1" x14ac:dyDescent="0.25">
      <c r="A686" s="310">
        <v>312</v>
      </c>
      <c r="B686" s="311" t="str">
        <f t="shared" si="1331"/>
        <v>Булочка школьная 100 г</v>
      </c>
      <c r="C686" s="483">
        <f t="shared" si="1421"/>
        <v>4.21</v>
      </c>
      <c r="D686" s="888"/>
      <c r="E686" s="888"/>
      <c r="F686" s="888"/>
      <c r="G686" s="889"/>
      <c r="H686" s="680">
        <f t="shared" si="1338"/>
        <v>428</v>
      </c>
      <c r="I686" s="1209">
        <f t="shared" si="1332"/>
        <v>-0.01</v>
      </c>
      <c r="J686" s="424">
        <f t="shared" ref="J686:AO686" si="1612">J316*J$372</f>
        <v>0</v>
      </c>
      <c r="K686" s="424">
        <f t="shared" si="1612"/>
        <v>0</v>
      </c>
      <c r="L686" s="424">
        <f t="shared" si="1612"/>
        <v>0</v>
      </c>
      <c r="M686" s="424">
        <f t="shared" si="1612"/>
        <v>0</v>
      </c>
      <c r="N686" s="424">
        <f t="shared" si="1612"/>
        <v>0</v>
      </c>
      <c r="O686" s="424">
        <f t="shared" si="1612"/>
        <v>0</v>
      </c>
      <c r="P686" s="424">
        <f t="shared" si="1612"/>
        <v>0</v>
      </c>
      <c r="Q686" s="424">
        <f t="shared" si="1612"/>
        <v>0</v>
      </c>
      <c r="R686" s="424">
        <f t="shared" si="1612"/>
        <v>0</v>
      </c>
      <c r="S686" s="424">
        <f t="shared" si="1612"/>
        <v>0</v>
      </c>
      <c r="T686" s="424">
        <f t="shared" si="1612"/>
        <v>0</v>
      </c>
      <c r="U686" s="424">
        <f t="shared" si="1612"/>
        <v>0</v>
      </c>
      <c r="V686" s="424">
        <f t="shared" si="1612"/>
        <v>0</v>
      </c>
      <c r="W686" s="424">
        <f t="shared" si="1612"/>
        <v>0</v>
      </c>
      <c r="X686" s="424">
        <f t="shared" si="1612"/>
        <v>0</v>
      </c>
      <c r="Y686" s="424">
        <f t="shared" si="1612"/>
        <v>0</v>
      </c>
      <c r="Z686" s="424">
        <f t="shared" si="1612"/>
        <v>0</v>
      </c>
      <c r="AA686" s="424">
        <f t="shared" si="1612"/>
        <v>0</v>
      </c>
      <c r="AB686" s="424">
        <f t="shared" si="1612"/>
        <v>0</v>
      </c>
      <c r="AC686" s="424">
        <f t="shared" si="1612"/>
        <v>0</v>
      </c>
      <c r="AD686" s="424">
        <f t="shared" si="1612"/>
        <v>0</v>
      </c>
      <c r="AE686" s="424">
        <f t="shared" si="1612"/>
        <v>0</v>
      </c>
      <c r="AF686" s="424">
        <f t="shared" si="1612"/>
        <v>0</v>
      </c>
      <c r="AG686" s="424">
        <f t="shared" si="1612"/>
        <v>0</v>
      </c>
      <c r="AH686" s="424">
        <f t="shared" si="1612"/>
        <v>0</v>
      </c>
      <c r="AI686" s="424">
        <f t="shared" si="1612"/>
        <v>0</v>
      </c>
      <c r="AJ686" s="424">
        <f t="shared" si="1612"/>
        <v>0</v>
      </c>
      <c r="AK686" s="424">
        <f t="shared" si="1612"/>
        <v>0</v>
      </c>
      <c r="AL686" s="424">
        <f t="shared" si="1612"/>
        <v>0</v>
      </c>
      <c r="AM686" s="424">
        <f t="shared" si="1612"/>
        <v>0</v>
      </c>
      <c r="AN686" s="424">
        <f t="shared" si="1612"/>
        <v>0</v>
      </c>
      <c r="AO686" s="424">
        <f t="shared" si="1612"/>
        <v>0</v>
      </c>
      <c r="AP686" s="424">
        <f t="shared" ref="AP686:BU686" si="1613">AP316*AP$372</f>
        <v>0</v>
      </c>
      <c r="AQ686" s="424">
        <f t="shared" si="1613"/>
        <v>0</v>
      </c>
      <c r="AR686" s="424">
        <f t="shared" si="1613"/>
        <v>0</v>
      </c>
      <c r="AS686" s="424">
        <f t="shared" si="1613"/>
        <v>0</v>
      </c>
      <c r="AT686" s="424">
        <f t="shared" si="1613"/>
        <v>0</v>
      </c>
      <c r="AU686" s="424">
        <f t="shared" si="1613"/>
        <v>0</v>
      </c>
      <c r="AV686" s="424">
        <f t="shared" si="1613"/>
        <v>0</v>
      </c>
      <c r="AW686" s="424">
        <f t="shared" si="1613"/>
        <v>0</v>
      </c>
      <c r="AX686" s="424">
        <f t="shared" si="1613"/>
        <v>0</v>
      </c>
      <c r="AY686" s="424">
        <f t="shared" si="1613"/>
        <v>0</v>
      </c>
      <c r="AZ686" s="424">
        <f t="shared" si="1613"/>
        <v>0</v>
      </c>
      <c r="BA686" s="424">
        <f t="shared" si="1613"/>
        <v>0</v>
      </c>
      <c r="BB686" s="424">
        <f t="shared" si="1613"/>
        <v>0</v>
      </c>
      <c r="BC686" s="424">
        <f t="shared" si="1613"/>
        <v>0</v>
      </c>
      <c r="BD686" s="424">
        <f t="shared" si="1613"/>
        <v>0</v>
      </c>
      <c r="BE686" s="424">
        <f t="shared" si="1613"/>
        <v>0</v>
      </c>
      <c r="BF686" s="424">
        <f t="shared" si="1613"/>
        <v>0</v>
      </c>
      <c r="BG686" s="424">
        <f t="shared" si="1613"/>
        <v>0</v>
      </c>
      <c r="BH686" s="424">
        <f t="shared" si="1613"/>
        <v>0</v>
      </c>
      <c r="BI686" s="424">
        <f t="shared" si="1613"/>
        <v>0</v>
      </c>
      <c r="BJ686" s="424">
        <f t="shared" si="1613"/>
        <v>0</v>
      </c>
      <c r="BK686" s="424">
        <f t="shared" si="1613"/>
        <v>0</v>
      </c>
      <c r="BL686" s="424">
        <f t="shared" si="1613"/>
        <v>0</v>
      </c>
      <c r="BM686" s="424">
        <f t="shared" si="1613"/>
        <v>0</v>
      </c>
      <c r="BN686" s="424">
        <f t="shared" si="1613"/>
        <v>0</v>
      </c>
      <c r="BO686" s="424">
        <f t="shared" si="1613"/>
        <v>0</v>
      </c>
      <c r="BP686" s="424">
        <f t="shared" si="1613"/>
        <v>0</v>
      </c>
      <c r="BQ686" s="424">
        <f t="shared" si="1613"/>
        <v>0</v>
      </c>
      <c r="BR686" s="424">
        <f t="shared" si="1613"/>
        <v>0</v>
      </c>
      <c r="BS686" s="424">
        <f t="shared" si="1613"/>
        <v>2.95</v>
      </c>
      <c r="BT686" s="424">
        <f t="shared" si="1613"/>
        <v>0</v>
      </c>
      <c r="BU686" s="424">
        <f t="shared" si="1613"/>
        <v>0</v>
      </c>
      <c r="BV686" s="424">
        <f t="shared" ref="BV686:DA686" si="1614">BV316*BV$372</f>
        <v>0</v>
      </c>
      <c r="BW686" s="424">
        <f t="shared" si="1614"/>
        <v>0</v>
      </c>
      <c r="BX686" s="424">
        <f t="shared" si="1614"/>
        <v>0</v>
      </c>
      <c r="BY686" s="424">
        <f t="shared" si="1614"/>
        <v>0</v>
      </c>
      <c r="BZ686" s="424">
        <f t="shared" si="1614"/>
        <v>0</v>
      </c>
      <c r="CA686" s="424">
        <f t="shared" si="1614"/>
        <v>0</v>
      </c>
      <c r="CB686" s="424">
        <f t="shared" si="1614"/>
        <v>0</v>
      </c>
      <c r="CC686" s="424">
        <f t="shared" si="1614"/>
        <v>0</v>
      </c>
      <c r="CD686" s="424">
        <f t="shared" si="1614"/>
        <v>0</v>
      </c>
      <c r="CE686" s="424">
        <f t="shared" si="1614"/>
        <v>0.47</v>
      </c>
      <c r="CF686" s="424">
        <f t="shared" si="1614"/>
        <v>0.05</v>
      </c>
      <c r="CG686" s="424">
        <f t="shared" si="1614"/>
        <v>0</v>
      </c>
      <c r="CH686" s="424">
        <f t="shared" si="1614"/>
        <v>0</v>
      </c>
      <c r="CI686" s="424">
        <f t="shared" si="1614"/>
        <v>0</v>
      </c>
      <c r="CJ686" s="424">
        <f t="shared" si="1614"/>
        <v>0</v>
      </c>
      <c r="CK686" s="424">
        <f t="shared" si="1614"/>
        <v>0</v>
      </c>
      <c r="CL686" s="424">
        <f t="shared" si="1614"/>
        <v>0.35</v>
      </c>
      <c r="CM686" s="424">
        <f t="shared" si="1614"/>
        <v>0</v>
      </c>
      <c r="CN686" s="424">
        <f t="shared" si="1614"/>
        <v>0</v>
      </c>
      <c r="CO686" s="424">
        <f t="shared" si="1614"/>
        <v>0</v>
      </c>
      <c r="CP686" s="424">
        <f t="shared" si="1614"/>
        <v>0</v>
      </c>
      <c r="CQ686" s="424">
        <f t="shared" si="1614"/>
        <v>0</v>
      </c>
      <c r="CR686" s="424">
        <f t="shared" si="1614"/>
        <v>0</v>
      </c>
      <c r="CS686" s="424">
        <f t="shared" si="1614"/>
        <v>0</v>
      </c>
      <c r="CT686" s="424">
        <f t="shared" si="1614"/>
        <v>0</v>
      </c>
      <c r="CU686" s="424">
        <f t="shared" si="1614"/>
        <v>0</v>
      </c>
      <c r="CV686" s="424">
        <f t="shared" si="1614"/>
        <v>0</v>
      </c>
      <c r="CW686" s="424">
        <f t="shared" si="1614"/>
        <v>0</v>
      </c>
      <c r="CX686" s="424">
        <f t="shared" si="1614"/>
        <v>0</v>
      </c>
      <c r="CY686" s="424">
        <f t="shared" si="1614"/>
        <v>0</v>
      </c>
      <c r="CZ686" s="424">
        <f t="shared" si="1614"/>
        <v>0.36</v>
      </c>
      <c r="DA686" s="424">
        <f t="shared" si="1614"/>
        <v>0</v>
      </c>
      <c r="DB686" s="424">
        <f t="shared" ref="DB686:EG686" si="1615">DB316*DB$372</f>
        <v>0</v>
      </c>
      <c r="DC686" s="424">
        <f t="shared" si="1615"/>
        <v>0.03</v>
      </c>
      <c r="DD686" s="424">
        <f t="shared" si="1615"/>
        <v>0</v>
      </c>
      <c r="DE686" s="424">
        <f t="shared" si="1615"/>
        <v>0</v>
      </c>
      <c r="DF686" s="424">
        <f t="shared" si="1615"/>
        <v>0</v>
      </c>
      <c r="DG686" s="424">
        <f t="shared" si="1615"/>
        <v>0</v>
      </c>
      <c r="DH686" s="424">
        <f t="shared" si="1615"/>
        <v>0</v>
      </c>
      <c r="DI686" s="424">
        <f t="shared" si="1615"/>
        <v>0</v>
      </c>
      <c r="DJ686" s="424">
        <f t="shared" si="1615"/>
        <v>0</v>
      </c>
      <c r="DK686" s="424">
        <f t="shared" si="1615"/>
        <v>0</v>
      </c>
      <c r="DL686" s="424">
        <f t="shared" si="1615"/>
        <v>0</v>
      </c>
      <c r="DM686" s="424">
        <f t="shared" si="1615"/>
        <v>0</v>
      </c>
      <c r="DN686" s="424">
        <f t="shared" si="1615"/>
        <v>0</v>
      </c>
      <c r="DO686" s="424">
        <f t="shared" si="1615"/>
        <v>0</v>
      </c>
      <c r="DP686" s="424">
        <f t="shared" si="1615"/>
        <v>0</v>
      </c>
      <c r="DQ686" s="424">
        <f t="shared" si="1615"/>
        <v>0</v>
      </c>
      <c r="DR686" s="424">
        <f t="shared" si="1615"/>
        <v>0</v>
      </c>
      <c r="DS686" s="424">
        <f t="shared" si="1615"/>
        <v>0</v>
      </c>
      <c r="DT686" s="424">
        <f t="shared" si="1615"/>
        <v>0</v>
      </c>
      <c r="DU686" s="424">
        <f t="shared" si="1615"/>
        <v>0</v>
      </c>
      <c r="DV686" s="424">
        <f t="shared" si="1615"/>
        <v>0</v>
      </c>
      <c r="DW686" s="424">
        <f t="shared" si="1615"/>
        <v>0</v>
      </c>
      <c r="DX686" s="424">
        <f t="shared" si="1615"/>
        <v>0</v>
      </c>
      <c r="DY686" s="424">
        <f t="shared" si="1615"/>
        <v>0</v>
      </c>
      <c r="DZ686" s="424">
        <f t="shared" si="1615"/>
        <v>0</v>
      </c>
      <c r="EA686" s="424">
        <f t="shared" si="1615"/>
        <v>0</v>
      </c>
      <c r="EB686" s="424">
        <f t="shared" si="1615"/>
        <v>0</v>
      </c>
      <c r="EC686" s="424">
        <f t="shared" si="1615"/>
        <v>0</v>
      </c>
      <c r="ED686" s="424">
        <f t="shared" si="1615"/>
        <v>0</v>
      </c>
      <c r="EE686" s="424">
        <f t="shared" si="1615"/>
        <v>0</v>
      </c>
      <c r="EF686" s="424">
        <f t="shared" si="1615"/>
        <v>0</v>
      </c>
      <c r="EG686" s="424">
        <f t="shared" si="1615"/>
        <v>0</v>
      </c>
      <c r="EH686" s="424">
        <f t="shared" ref="EH686:EX686" si="1616">EH316*EH$372</f>
        <v>0</v>
      </c>
      <c r="EI686" s="424">
        <f t="shared" si="1616"/>
        <v>0</v>
      </c>
      <c r="EJ686" s="424">
        <f t="shared" si="1616"/>
        <v>0</v>
      </c>
      <c r="EK686" s="424">
        <f t="shared" si="1616"/>
        <v>0</v>
      </c>
      <c r="EL686" s="424">
        <f t="shared" si="1616"/>
        <v>0</v>
      </c>
      <c r="EM686" s="424">
        <f t="shared" si="1616"/>
        <v>0</v>
      </c>
      <c r="EN686" s="424">
        <f t="shared" si="1616"/>
        <v>0</v>
      </c>
      <c r="EO686" s="424">
        <f t="shared" si="1616"/>
        <v>0</v>
      </c>
      <c r="EP686" s="424">
        <f t="shared" si="1616"/>
        <v>0</v>
      </c>
      <c r="EQ686" s="424">
        <f t="shared" si="1616"/>
        <v>0</v>
      </c>
      <c r="ER686" s="424">
        <f t="shared" si="1616"/>
        <v>0</v>
      </c>
      <c r="ES686" s="424">
        <f t="shared" si="1616"/>
        <v>0</v>
      </c>
      <c r="ET686" s="424">
        <f t="shared" si="1616"/>
        <v>0</v>
      </c>
      <c r="EU686" s="424">
        <f t="shared" si="1616"/>
        <v>0</v>
      </c>
      <c r="EV686" s="424">
        <f t="shared" si="1616"/>
        <v>0</v>
      </c>
      <c r="EW686" s="424">
        <f t="shared" si="1616"/>
        <v>0</v>
      </c>
      <c r="EX686" s="424">
        <f t="shared" si="1616"/>
        <v>0</v>
      </c>
      <c r="EY686" s="425">
        <f t="shared" si="1420"/>
        <v>4.21</v>
      </c>
    </row>
    <row r="687" spans="1:166" ht="14.7" customHeight="1" x14ac:dyDescent="0.25">
      <c r="A687" s="310">
        <v>313</v>
      </c>
      <c r="B687" s="311" t="str">
        <f t="shared" si="1331"/>
        <v>Булочка "Веснушка" (масса 50 г)</v>
      </c>
      <c r="C687" s="483">
        <f t="shared" si="1421"/>
        <v>3.61</v>
      </c>
      <c r="D687" s="888"/>
      <c r="E687" s="888"/>
      <c r="F687" s="888"/>
      <c r="G687" s="889"/>
      <c r="H687" s="680">
        <f t="shared" si="1338"/>
        <v>429</v>
      </c>
      <c r="I687" s="1209">
        <f t="shared" si="1332"/>
        <v>-0.01</v>
      </c>
      <c r="J687" s="424">
        <f t="shared" ref="J687:AO687" si="1617">J317*J$372</f>
        <v>0</v>
      </c>
      <c r="K687" s="424">
        <f t="shared" si="1617"/>
        <v>0</v>
      </c>
      <c r="L687" s="424">
        <f t="shared" si="1617"/>
        <v>0</v>
      </c>
      <c r="M687" s="424">
        <f t="shared" si="1617"/>
        <v>0</v>
      </c>
      <c r="N687" s="424">
        <f t="shared" si="1617"/>
        <v>0</v>
      </c>
      <c r="O687" s="424">
        <f t="shared" si="1617"/>
        <v>0</v>
      </c>
      <c r="P687" s="424">
        <f t="shared" si="1617"/>
        <v>0</v>
      </c>
      <c r="Q687" s="424">
        <f t="shared" si="1617"/>
        <v>0</v>
      </c>
      <c r="R687" s="424">
        <f t="shared" si="1617"/>
        <v>0</v>
      </c>
      <c r="S687" s="424">
        <f t="shared" si="1617"/>
        <v>0</v>
      </c>
      <c r="T687" s="424">
        <f t="shared" si="1617"/>
        <v>0</v>
      </c>
      <c r="U687" s="424">
        <f t="shared" si="1617"/>
        <v>0</v>
      </c>
      <c r="V687" s="424">
        <f t="shared" si="1617"/>
        <v>0</v>
      </c>
      <c r="W687" s="424">
        <f t="shared" si="1617"/>
        <v>0</v>
      </c>
      <c r="X687" s="424">
        <f t="shared" si="1617"/>
        <v>0</v>
      </c>
      <c r="Y687" s="424">
        <f t="shared" si="1617"/>
        <v>0</v>
      </c>
      <c r="Z687" s="424">
        <f t="shared" si="1617"/>
        <v>0</v>
      </c>
      <c r="AA687" s="424">
        <f t="shared" si="1617"/>
        <v>0</v>
      </c>
      <c r="AB687" s="424">
        <f t="shared" si="1617"/>
        <v>0</v>
      </c>
      <c r="AC687" s="424">
        <f t="shared" si="1617"/>
        <v>0</v>
      </c>
      <c r="AD687" s="424">
        <f t="shared" si="1617"/>
        <v>0</v>
      </c>
      <c r="AE687" s="424">
        <f t="shared" si="1617"/>
        <v>0</v>
      </c>
      <c r="AF687" s="424">
        <f t="shared" si="1617"/>
        <v>0</v>
      </c>
      <c r="AG687" s="424">
        <f t="shared" si="1617"/>
        <v>0</v>
      </c>
      <c r="AH687" s="424">
        <f t="shared" si="1617"/>
        <v>0</v>
      </c>
      <c r="AI687" s="424">
        <f t="shared" si="1617"/>
        <v>0</v>
      </c>
      <c r="AJ687" s="424">
        <f t="shared" si="1617"/>
        <v>0</v>
      </c>
      <c r="AK687" s="424">
        <f t="shared" si="1617"/>
        <v>0</v>
      </c>
      <c r="AL687" s="424">
        <f t="shared" si="1617"/>
        <v>0</v>
      </c>
      <c r="AM687" s="424">
        <f t="shared" si="1617"/>
        <v>0</v>
      </c>
      <c r="AN687" s="424">
        <f t="shared" si="1617"/>
        <v>0</v>
      </c>
      <c r="AO687" s="424">
        <f t="shared" si="1617"/>
        <v>0</v>
      </c>
      <c r="AP687" s="424">
        <f t="shared" ref="AP687:BU687" si="1618">AP317*AP$372</f>
        <v>0</v>
      </c>
      <c r="AQ687" s="424">
        <f t="shared" si="1618"/>
        <v>0</v>
      </c>
      <c r="AR687" s="424">
        <f t="shared" si="1618"/>
        <v>0</v>
      </c>
      <c r="AS687" s="424">
        <f t="shared" si="1618"/>
        <v>0</v>
      </c>
      <c r="AT687" s="424">
        <f t="shared" si="1618"/>
        <v>0</v>
      </c>
      <c r="AU687" s="424">
        <f t="shared" si="1618"/>
        <v>0</v>
      </c>
      <c r="AV687" s="424">
        <f t="shared" si="1618"/>
        <v>0</v>
      </c>
      <c r="AW687" s="424">
        <f t="shared" si="1618"/>
        <v>0</v>
      </c>
      <c r="AX687" s="424">
        <f t="shared" si="1618"/>
        <v>0</v>
      </c>
      <c r="AY687" s="424">
        <f t="shared" si="1618"/>
        <v>0</v>
      </c>
      <c r="AZ687" s="424">
        <f t="shared" si="1618"/>
        <v>0</v>
      </c>
      <c r="BA687" s="424">
        <f t="shared" si="1618"/>
        <v>0</v>
      </c>
      <c r="BB687" s="424">
        <f t="shared" si="1618"/>
        <v>0</v>
      </c>
      <c r="BC687" s="424">
        <f t="shared" si="1618"/>
        <v>0</v>
      </c>
      <c r="BD687" s="424">
        <f t="shared" si="1618"/>
        <v>0</v>
      </c>
      <c r="BE687" s="424">
        <f t="shared" si="1618"/>
        <v>0</v>
      </c>
      <c r="BF687" s="424">
        <f t="shared" si="1618"/>
        <v>0</v>
      </c>
      <c r="BG687" s="424">
        <f t="shared" si="1618"/>
        <v>0</v>
      </c>
      <c r="BH687" s="424">
        <f t="shared" si="1618"/>
        <v>0</v>
      </c>
      <c r="BI687" s="424">
        <f t="shared" si="1618"/>
        <v>0</v>
      </c>
      <c r="BJ687" s="424">
        <f t="shared" si="1618"/>
        <v>0</v>
      </c>
      <c r="BK687" s="424">
        <f t="shared" si="1618"/>
        <v>0</v>
      </c>
      <c r="BL687" s="424">
        <f t="shared" si="1618"/>
        <v>0</v>
      </c>
      <c r="BM687" s="424">
        <f t="shared" si="1618"/>
        <v>0</v>
      </c>
      <c r="BN687" s="424">
        <f t="shared" si="1618"/>
        <v>0</v>
      </c>
      <c r="BO687" s="424">
        <f t="shared" si="1618"/>
        <v>0</v>
      </c>
      <c r="BP687" s="424">
        <f t="shared" si="1618"/>
        <v>0</v>
      </c>
      <c r="BQ687" s="424">
        <f t="shared" si="1618"/>
        <v>0</v>
      </c>
      <c r="BR687" s="424">
        <f t="shared" si="1618"/>
        <v>0</v>
      </c>
      <c r="BS687" s="424">
        <f t="shared" si="1618"/>
        <v>1.29</v>
      </c>
      <c r="BT687" s="424">
        <f t="shared" si="1618"/>
        <v>0</v>
      </c>
      <c r="BU687" s="424">
        <f t="shared" si="1618"/>
        <v>0</v>
      </c>
      <c r="BV687" s="424">
        <f t="shared" ref="BV687:DA687" si="1619">BV317*BV$372</f>
        <v>0</v>
      </c>
      <c r="BW687" s="424">
        <f t="shared" si="1619"/>
        <v>0</v>
      </c>
      <c r="BX687" s="424">
        <f t="shared" si="1619"/>
        <v>0</v>
      </c>
      <c r="BY687" s="424">
        <f t="shared" si="1619"/>
        <v>0</v>
      </c>
      <c r="BZ687" s="424">
        <f t="shared" si="1619"/>
        <v>0</v>
      </c>
      <c r="CA687" s="424">
        <f t="shared" si="1619"/>
        <v>0</v>
      </c>
      <c r="CB687" s="424">
        <f t="shared" si="1619"/>
        <v>0</v>
      </c>
      <c r="CC687" s="424">
        <f t="shared" si="1619"/>
        <v>0</v>
      </c>
      <c r="CD687" s="424">
        <f t="shared" si="1619"/>
        <v>0</v>
      </c>
      <c r="CE687" s="424">
        <f t="shared" si="1619"/>
        <v>0.64</v>
      </c>
      <c r="CF687" s="424">
        <f t="shared" si="1619"/>
        <v>0</v>
      </c>
      <c r="CG687" s="424">
        <f t="shared" si="1619"/>
        <v>0</v>
      </c>
      <c r="CH687" s="424">
        <f t="shared" si="1619"/>
        <v>0</v>
      </c>
      <c r="CI687" s="424">
        <f t="shared" si="1619"/>
        <v>0</v>
      </c>
      <c r="CJ687" s="424">
        <f t="shared" si="1619"/>
        <v>0</v>
      </c>
      <c r="CK687" s="424">
        <f t="shared" si="1619"/>
        <v>0</v>
      </c>
      <c r="CL687" s="424">
        <f t="shared" si="1619"/>
        <v>0.49</v>
      </c>
      <c r="CM687" s="424">
        <f t="shared" si="1619"/>
        <v>0.72</v>
      </c>
      <c r="CN687" s="424">
        <f t="shared" si="1619"/>
        <v>0</v>
      </c>
      <c r="CO687" s="424">
        <f t="shared" si="1619"/>
        <v>0</v>
      </c>
      <c r="CP687" s="424">
        <f t="shared" si="1619"/>
        <v>0</v>
      </c>
      <c r="CQ687" s="424">
        <f t="shared" si="1619"/>
        <v>0</v>
      </c>
      <c r="CR687" s="424">
        <f t="shared" si="1619"/>
        <v>0</v>
      </c>
      <c r="CS687" s="424">
        <f t="shared" si="1619"/>
        <v>0</v>
      </c>
      <c r="CT687" s="424">
        <f t="shared" si="1619"/>
        <v>0</v>
      </c>
      <c r="CU687" s="424">
        <f t="shared" si="1619"/>
        <v>0</v>
      </c>
      <c r="CV687" s="424">
        <f t="shared" si="1619"/>
        <v>0</v>
      </c>
      <c r="CW687" s="424">
        <f t="shared" si="1619"/>
        <v>0</v>
      </c>
      <c r="CX687" s="424">
        <f t="shared" si="1619"/>
        <v>0</v>
      </c>
      <c r="CY687" s="424">
        <f t="shared" si="1619"/>
        <v>0</v>
      </c>
      <c r="CZ687" s="424">
        <f t="shared" si="1619"/>
        <v>0.27</v>
      </c>
      <c r="DA687" s="424">
        <f t="shared" si="1619"/>
        <v>0</v>
      </c>
      <c r="DB687" s="424">
        <f t="shared" ref="DB687:EG687" si="1620">DB317*DB$372</f>
        <v>0</v>
      </c>
      <c r="DC687" s="424">
        <f t="shared" si="1620"/>
        <v>0.01</v>
      </c>
      <c r="DD687" s="424">
        <f t="shared" si="1620"/>
        <v>0</v>
      </c>
      <c r="DE687" s="424">
        <f t="shared" si="1620"/>
        <v>0</v>
      </c>
      <c r="DF687" s="424">
        <f t="shared" si="1620"/>
        <v>0</v>
      </c>
      <c r="DG687" s="424">
        <f t="shared" si="1620"/>
        <v>0</v>
      </c>
      <c r="DH687" s="424">
        <f t="shared" si="1620"/>
        <v>0</v>
      </c>
      <c r="DI687" s="424">
        <f t="shared" si="1620"/>
        <v>0</v>
      </c>
      <c r="DJ687" s="424">
        <f t="shared" si="1620"/>
        <v>0</v>
      </c>
      <c r="DK687" s="424">
        <f t="shared" si="1620"/>
        <v>0</v>
      </c>
      <c r="DL687" s="424">
        <f t="shared" si="1620"/>
        <v>0</v>
      </c>
      <c r="DM687" s="424">
        <f t="shared" si="1620"/>
        <v>0</v>
      </c>
      <c r="DN687" s="424">
        <f t="shared" si="1620"/>
        <v>0</v>
      </c>
      <c r="DO687" s="424">
        <f t="shared" si="1620"/>
        <v>0</v>
      </c>
      <c r="DP687" s="424">
        <f t="shared" si="1620"/>
        <v>0</v>
      </c>
      <c r="DQ687" s="424">
        <f t="shared" si="1620"/>
        <v>0</v>
      </c>
      <c r="DR687" s="424">
        <f t="shared" si="1620"/>
        <v>0</v>
      </c>
      <c r="DS687" s="424">
        <f t="shared" si="1620"/>
        <v>0</v>
      </c>
      <c r="DT687" s="424">
        <f t="shared" si="1620"/>
        <v>0</v>
      </c>
      <c r="DU687" s="424">
        <f t="shared" si="1620"/>
        <v>0</v>
      </c>
      <c r="DV687" s="424">
        <f t="shared" si="1620"/>
        <v>0</v>
      </c>
      <c r="DW687" s="424">
        <f t="shared" si="1620"/>
        <v>0</v>
      </c>
      <c r="DX687" s="424">
        <f t="shared" si="1620"/>
        <v>0.19</v>
      </c>
      <c r="DY687" s="424">
        <f t="shared" si="1620"/>
        <v>0</v>
      </c>
      <c r="DZ687" s="424">
        <f t="shared" si="1620"/>
        <v>0</v>
      </c>
      <c r="EA687" s="424">
        <f t="shared" si="1620"/>
        <v>0</v>
      </c>
      <c r="EB687" s="424">
        <f t="shared" si="1620"/>
        <v>0</v>
      </c>
      <c r="EC687" s="424">
        <f t="shared" si="1620"/>
        <v>0</v>
      </c>
      <c r="ED687" s="424">
        <f t="shared" si="1620"/>
        <v>0</v>
      </c>
      <c r="EE687" s="424">
        <f t="shared" si="1620"/>
        <v>0</v>
      </c>
      <c r="EF687" s="424">
        <f t="shared" si="1620"/>
        <v>0</v>
      </c>
      <c r="EG687" s="424">
        <f t="shared" si="1620"/>
        <v>0</v>
      </c>
      <c r="EH687" s="424">
        <f t="shared" ref="EH687:EX687" si="1621">EH317*EH$372</f>
        <v>0</v>
      </c>
      <c r="EI687" s="424">
        <f t="shared" si="1621"/>
        <v>0</v>
      </c>
      <c r="EJ687" s="424">
        <f t="shared" si="1621"/>
        <v>0</v>
      </c>
      <c r="EK687" s="424">
        <f t="shared" si="1621"/>
        <v>0</v>
      </c>
      <c r="EL687" s="424">
        <f t="shared" si="1621"/>
        <v>0</v>
      </c>
      <c r="EM687" s="424">
        <f t="shared" si="1621"/>
        <v>0</v>
      </c>
      <c r="EN687" s="424">
        <f t="shared" si="1621"/>
        <v>0</v>
      </c>
      <c r="EO687" s="424">
        <f t="shared" si="1621"/>
        <v>0</v>
      </c>
      <c r="EP687" s="424">
        <f t="shared" si="1621"/>
        <v>0</v>
      </c>
      <c r="EQ687" s="424">
        <f t="shared" si="1621"/>
        <v>0</v>
      </c>
      <c r="ER687" s="424">
        <f t="shared" si="1621"/>
        <v>0</v>
      </c>
      <c r="ES687" s="424">
        <f t="shared" si="1621"/>
        <v>0</v>
      </c>
      <c r="ET687" s="424">
        <f t="shared" si="1621"/>
        <v>0</v>
      </c>
      <c r="EU687" s="424">
        <f t="shared" si="1621"/>
        <v>0</v>
      </c>
      <c r="EV687" s="424">
        <f t="shared" si="1621"/>
        <v>0</v>
      </c>
      <c r="EW687" s="424">
        <f t="shared" si="1621"/>
        <v>0</v>
      </c>
      <c r="EX687" s="424">
        <f t="shared" si="1621"/>
        <v>0</v>
      </c>
      <c r="EY687" s="425">
        <f t="shared" si="1420"/>
        <v>3.61</v>
      </c>
    </row>
    <row r="688" spans="1:166" ht="14.7" customHeight="1" x14ac:dyDescent="0.25">
      <c r="A688" s="310">
        <v>314</v>
      </c>
      <c r="B688" s="311" t="str">
        <f t="shared" si="1331"/>
        <v>Булочка "Веснушка" (масса 100 г)</v>
      </c>
      <c r="C688" s="483">
        <f t="shared" si="1421"/>
        <v>7.18</v>
      </c>
      <c r="D688" s="888"/>
      <c r="E688" s="888"/>
      <c r="F688" s="888"/>
      <c r="G688" s="889"/>
      <c r="H688" s="680">
        <f t="shared" si="1338"/>
        <v>429</v>
      </c>
      <c r="I688" s="1209">
        <f t="shared" si="1332"/>
        <v>0.01</v>
      </c>
      <c r="J688" s="424">
        <f t="shared" ref="J688:AO688" si="1622">J318*J$372</f>
        <v>0</v>
      </c>
      <c r="K688" s="424">
        <f t="shared" si="1622"/>
        <v>0</v>
      </c>
      <c r="L688" s="424">
        <f t="shared" si="1622"/>
        <v>0</v>
      </c>
      <c r="M688" s="424">
        <f t="shared" si="1622"/>
        <v>0</v>
      </c>
      <c r="N688" s="424">
        <f t="shared" si="1622"/>
        <v>0</v>
      </c>
      <c r="O688" s="424">
        <f t="shared" si="1622"/>
        <v>0</v>
      </c>
      <c r="P688" s="424">
        <f t="shared" si="1622"/>
        <v>0</v>
      </c>
      <c r="Q688" s="424">
        <f t="shared" si="1622"/>
        <v>0</v>
      </c>
      <c r="R688" s="424">
        <f t="shared" si="1622"/>
        <v>0</v>
      </c>
      <c r="S688" s="424">
        <f t="shared" si="1622"/>
        <v>0</v>
      </c>
      <c r="T688" s="424">
        <f t="shared" si="1622"/>
        <v>0</v>
      </c>
      <c r="U688" s="424">
        <f t="shared" si="1622"/>
        <v>0</v>
      </c>
      <c r="V688" s="424">
        <f t="shared" si="1622"/>
        <v>0</v>
      </c>
      <c r="W688" s="424">
        <f t="shared" si="1622"/>
        <v>0</v>
      </c>
      <c r="X688" s="424">
        <f t="shared" si="1622"/>
        <v>0</v>
      </c>
      <c r="Y688" s="424">
        <f t="shared" si="1622"/>
        <v>0</v>
      </c>
      <c r="Z688" s="424">
        <f t="shared" si="1622"/>
        <v>0</v>
      </c>
      <c r="AA688" s="424">
        <f t="shared" si="1622"/>
        <v>0</v>
      </c>
      <c r="AB688" s="424">
        <f t="shared" si="1622"/>
        <v>0</v>
      </c>
      <c r="AC688" s="424">
        <f t="shared" si="1622"/>
        <v>0</v>
      </c>
      <c r="AD688" s="424">
        <f t="shared" si="1622"/>
        <v>0</v>
      </c>
      <c r="AE688" s="424">
        <f t="shared" si="1622"/>
        <v>0</v>
      </c>
      <c r="AF688" s="424">
        <f t="shared" si="1622"/>
        <v>0</v>
      </c>
      <c r="AG688" s="424">
        <f t="shared" si="1622"/>
        <v>0</v>
      </c>
      <c r="AH688" s="424">
        <f t="shared" si="1622"/>
        <v>0</v>
      </c>
      <c r="AI688" s="424">
        <f t="shared" si="1622"/>
        <v>0</v>
      </c>
      <c r="AJ688" s="424">
        <f t="shared" si="1622"/>
        <v>0</v>
      </c>
      <c r="AK688" s="424">
        <f t="shared" si="1622"/>
        <v>0</v>
      </c>
      <c r="AL688" s="424">
        <f t="shared" si="1622"/>
        <v>0</v>
      </c>
      <c r="AM688" s="424">
        <f t="shared" si="1622"/>
        <v>0</v>
      </c>
      <c r="AN688" s="424">
        <f t="shared" si="1622"/>
        <v>0</v>
      </c>
      <c r="AO688" s="424">
        <f t="shared" si="1622"/>
        <v>0</v>
      </c>
      <c r="AP688" s="424">
        <f t="shared" ref="AP688:BU688" si="1623">AP318*AP$372</f>
        <v>0</v>
      </c>
      <c r="AQ688" s="424">
        <f t="shared" si="1623"/>
        <v>0</v>
      </c>
      <c r="AR688" s="424">
        <f t="shared" si="1623"/>
        <v>0</v>
      </c>
      <c r="AS688" s="424">
        <f t="shared" si="1623"/>
        <v>0</v>
      </c>
      <c r="AT688" s="424">
        <f t="shared" si="1623"/>
        <v>0</v>
      </c>
      <c r="AU688" s="424">
        <f t="shared" si="1623"/>
        <v>0</v>
      </c>
      <c r="AV688" s="424">
        <f t="shared" si="1623"/>
        <v>0</v>
      </c>
      <c r="AW688" s="424">
        <f t="shared" si="1623"/>
        <v>0</v>
      </c>
      <c r="AX688" s="424">
        <f t="shared" si="1623"/>
        <v>0</v>
      </c>
      <c r="AY688" s="424">
        <f t="shared" si="1623"/>
        <v>0</v>
      </c>
      <c r="AZ688" s="424">
        <f t="shared" si="1623"/>
        <v>0</v>
      </c>
      <c r="BA688" s="424">
        <f t="shared" si="1623"/>
        <v>0</v>
      </c>
      <c r="BB688" s="424">
        <f t="shared" si="1623"/>
        <v>0</v>
      </c>
      <c r="BC688" s="424">
        <f t="shared" si="1623"/>
        <v>0</v>
      </c>
      <c r="BD688" s="424">
        <f t="shared" si="1623"/>
        <v>0</v>
      </c>
      <c r="BE688" s="424">
        <f t="shared" si="1623"/>
        <v>0</v>
      </c>
      <c r="BF688" s="424">
        <f t="shared" si="1623"/>
        <v>0</v>
      </c>
      <c r="BG688" s="424">
        <f t="shared" si="1623"/>
        <v>0</v>
      </c>
      <c r="BH688" s="424">
        <f t="shared" si="1623"/>
        <v>0</v>
      </c>
      <c r="BI688" s="424">
        <f t="shared" si="1623"/>
        <v>0</v>
      </c>
      <c r="BJ688" s="424">
        <f t="shared" si="1623"/>
        <v>0</v>
      </c>
      <c r="BK688" s="424">
        <f t="shared" si="1623"/>
        <v>0</v>
      </c>
      <c r="BL688" s="424">
        <f t="shared" si="1623"/>
        <v>0</v>
      </c>
      <c r="BM688" s="424">
        <f t="shared" si="1623"/>
        <v>0</v>
      </c>
      <c r="BN688" s="424">
        <f t="shared" si="1623"/>
        <v>0</v>
      </c>
      <c r="BO688" s="424">
        <f t="shared" si="1623"/>
        <v>0</v>
      </c>
      <c r="BP688" s="424">
        <f t="shared" si="1623"/>
        <v>0</v>
      </c>
      <c r="BQ688" s="424">
        <f t="shared" si="1623"/>
        <v>0</v>
      </c>
      <c r="BR688" s="424">
        <f t="shared" si="1623"/>
        <v>0</v>
      </c>
      <c r="BS688" s="424">
        <f t="shared" si="1623"/>
        <v>2.57</v>
      </c>
      <c r="BT688" s="424">
        <f t="shared" si="1623"/>
        <v>0</v>
      </c>
      <c r="BU688" s="424">
        <f t="shared" si="1623"/>
        <v>0</v>
      </c>
      <c r="BV688" s="424">
        <f t="shared" ref="BV688:DA688" si="1624">BV318*BV$372</f>
        <v>0</v>
      </c>
      <c r="BW688" s="424">
        <f t="shared" si="1624"/>
        <v>0</v>
      </c>
      <c r="BX688" s="424">
        <f t="shared" si="1624"/>
        <v>0</v>
      </c>
      <c r="BY688" s="424">
        <f t="shared" si="1624"/>
        <v>0</v>
      </c>
      <c r="BZ688" s="424">
        <f t="shared" si="1624"/>
        <v>0</v>
      </c>
      <c r="CA688" s="424">
        <f t="shared" si="1624"/>
        <v>0</v>
      </c>
      <c r="CB688" s="424">
        <f t="shared" si="1624"/>
        <v>0</v>
      </c>
      <c r="CC688" s="424">
        <f t="shared" si="1624"/>
        <v>0</v>
      </c>
      <c r="CD688" s="424">
        <f t="shared" si="1624"/>
        <v>0</v>
      </c>
      <c r="CE688" s="424">
        <f t="shared" si="1624"/>
        <v>1.27</v>
      </c>
      <c r="CF688" s="424">
        <f t="shared" si="1624"/>
        <v>0</v>
      </c>
      <c r="CG688" s="424">
        <f t="shared" si="1624"/>
        <v>0</v>
      </c>
      <c r="CH688" s="424">
        <f t="shared" si="1624"/>
        <v>0</v>
      </c>
      <c r="CI688" s="424">
        <f t="shared" si="1624"/>
        <v>0</v>
      </c>
      <c r="CJ688" s="424">
        <f t="shared" si="1624"/>
        <v>0</v>
      </c>
      <c r="CK688" s="424">
        <f t="shared" si="1624"/>
        <v>0</v>
      </c>
      <c r="CL688" s="424">
        <f t="shared" si="1624"/>
        <v>0.97</v>
      </c>
      <c r="CM688" s="424">
        <f t="shared" si="1624"/>
        <v>1.43</v>
      </c>
      <c r="CN688" s="424">
        <f t="shared" si="1624"/>
        <v>0</v>
      </c>
      <c r="CO688" s="424">
        <f t="shared" si="1624"/>
        <v>0</v>
      </c>
      <c r="CP688" s="424">
        <f t="shared" si="1624"/>
        <v>0</v>
      </c>
      <c r="CQ688" s="424">
        <f t="shared" si="1624"/>
        <v>0</v>
      </c>
      <c r="CR688" s="424">
        <f t="shared" si="1624"/>
        <v>0</v>
      </c>
      <c r="CS688" s="424">
        <f t="shared" si="1624"/>
        <v>0</v>
      </c>
      <c r="CT688" s="424">
        <f t="shared" si="1624"/>
        <v>0</v>
      </c>
      <c r="CU688" s="424">
        <f t="shared" si="1624"/>
        <v>0</v>
      </c>
      <c r="CV688" s="424">
        <f t="shared" si="1624"/>
        <v>0</v>
      </c>
      <c r="CW688" s="424">
        <f t="shared" si="1624"/>
        <v>0</v>
      </c>
      <c r="CX688" s="424">
        <f t="shared" si="1624"/>
        <v>0</v>
      </c>
      <c r="CY688" s="424">
        <f t="shared" si="1624"/>
        <v>0</v>
      </c>
      <c r="CZ688" s="424">
        <f t="shared" si="1624"/>
        <v>0.54</v>
      </c>
      <c r="DA688" s="424">
        <f t="shared" si="1624"/>
        <v>0</v>
      </c>
      <c r="DB688" s="424">
        <f t="shared" ref="DB688:EG688" si="1625">DB318*DB$372</f>
        <v>0</v>
      </c>
      <c r="DC688" s="424">
        <f t="shared" si="1625"/>
        <v>0.01</v>
      </c>
      <c r="DD688" s="424">
        <f t="shared" si="1625"/>
        <v>0</v>
      </c>
      <c r="DE688" s="424">
        <f t="shared" si="1625"/>
        <v>0</v>
      </c>
      <c r="DF688" s="424">
        <f t="shared" si="1625"/>
        <v>0</v>
      </c>
      <c r="DG688" s="424">
        <f t="shared" si="1625"/>
        <v>0</v>
      </c>
      <c r="DH688" s="424">
        <f t="shared" si="1625"/>
        <v>0</v>
      </c>
      <c r="DI688" s="424">
        <f t="shared" si="1625"/>
        <v>0</v>
      </c>
      <c r="DJ688" s="424">
        <f t="shared" si="1625"/>
        <v>0</v>
      </c>
      <c r="DK688" s="424">
        <f t="shared" si="1625"/>
        <v>0</v>
      </c>
      <c r="DL688" s="424">
        <f t="shared" si="1625"/>
        <v>0</v>
      </c>
      <c r="DM688" s="424">
        <f t="shared" si="1625"/>
        <v>0</v>
      </c>
      <c r="DN688" s="424">
        <f t="shared" si="1625"/>
        <v>0</v>
      </c>
      <c r="DO688" s="424">
        <f t="shared" si="1625"/>
        <v>0</v>
      </c>
      <c r="DP688" s="424">
        <f t="shared" si="1625"/>
        <v>0</v>
      </c>
      <c r="DQ688" s="424">
        <f t="shared" si="1625"/>
        <v>0</v>
      </c>
      <c r="DR688" s="424">
        <f t="shared" si="1625"/>
        <v>0</v>
      </c>
      <c r="DS688" s="424">
        <f t="shared" si="1625"/>
        <v>0</v>
      </c>
      <c r="DT688" s="424">
        <f t="shared" si="1625"/>
        <v>0</v>
      </c>
      <c r="DU688" s="424">
        <f t="shared" si="1625"/>
        <v>0</v>
      </c>
      <c r="DV688" s="424">
        <f t="shared" si="1625"/>
        <v>0</v>
      </c>
      <c r="DW688" s="424">
        <f t="shared" si="1625"/>
        <v>0</v>
      </c>
      <c r="DX688" s="424">
        <f t="shared" si="1625"/>
        <v>0.39</v>
      </c>
      <c r="DY688" s="424">
        <f t="shared" si="1625"/>
        <v>0</v>
      </c>
      <c r="DZ688" s="424">
        <f t="shared" si="1625"/>
        <v>0</v>
      </c>
      <c r="EA688" s="424">
        <f t="shared" si="1625"/>
        <v>0</v>
      </c>
      <c r="EB688" s="424">
        <f t="shared" si="1625"/>
        <v>0</v>
      </c>
      <c r="EC688" s="424">
        <f t="shared" si="1625"/>
        <v>0</v>
      </c>
      <c r="ED688" s="424">
        <f t="shared" si="1625"/>
        <v>0</v>
      </c>
      <c r="EE688" s="424">
        <f t="shared" si="1625"/>
        <v>0</v>
      </c>
      <c r="EF688" s="424">
        <f t="shared" si="1625"/>
        <v>0</v>
      </c>
      <c r="EG688" s="424">
        <f t="shared" si="1625"/>
        <v>0</v>
      </c>
      <c r="EH688" s="424">
        <f t="shared" ref="EH688:EX688" si="1626">EH318*EH$372</f>
        <v>0</v>
      </c>
      <c r="EI688" s="424">
        <f t="shared" si="1626"/>
        <v>0</v>
      </c>
      <c r="EJ688" s="424">
        <f t="shared" si="1626"/>
        <v>0</v>
      </c>
      <c r="EK688" s="424">
        <f t="shared" si="1626"/>
        <v>0</v>
      </c>
      <c r="EL688" s="424">
        <f t="shared" si="1626"/>
        <v>0</v>
      </c>
      <c r="EM688" s="424">
        <f t="shared" si="1626"/>
        <v>0</v>
      </c>
      <c r="EN688" s="424">
        <f t="shared" si="1626"/>
        <v>0</v>
      </c>
      <c r="EO688" s="424">
        <f t="shared" si="1626"/>
        <v>0</v>
      </c>
      <c r="EP688" s="424">
        <f t="shared" si="1626"/>
        <v>0</v>
      </c>
      <c r="EQ688" s="424">
        <f t="shared" si="1626"/>
        <v>0</v>
      </c>
      <c r="ER688" s="424">
        <f t="shared" si="1626"/>
        <v>0</v>
      </c>
      <c r="ES688" s="424">
        <f t="shared" si="1626"/>
        <v>0</v>
      </c>
      <c r="ET688" s="424">
        <f t="shared" si="1626"/>
        <v>0</v>
      </c>
      <c r="EU688" s="424">
        <f t="shared" si="1626"/>
        <v>0</v>
      </c>
      <c r="EV688" s="424">
        <f t="shared" si="1626"/>
        <v>0</v>
      </c>
      <c r="EW688" s="424">
        <f t="shared" si="1626"/>
        <v>0</v>
      </c>
      <c r="EX688" s="424">
        <f t="shared" si="1626"/>
        <v>0</v>
      </c>
      <c r="EY688" s="425">
        <f t="shared" si="1420"/>
        <v>7.18</v>
      </c>
    </row>
    <row r="689" spans="1:166" s="1351" customFormat="1" ht="14.7" customHeight="1" x14ac:dyDescent="0.25">
      <c r="A689" s="310">
        <v>315</v>
      </c>
      <c r="B689" s="311" t="str">
        <f t="shared" si="1331"/>
        <v>Булочка "Творожная" (масса 50 г)</v>
      </c>
      <c r="C689" s="483">
        <f t="shared" si="1421"/>
        <v>10.09</v>
      </c>
      <c r="D689" s="888"/>
      <c r="E689" s="888"/>
      <c r="F689" s="888"/>
      <c r="G689" s="889"/>
      <c r="H689" s="680">
        <f t="shared" si="1338"/>
        <v>440</v>
      </c>
      <c r="I689" s="1209">
        <f t="shared" si="1332"/>
        <v>0</v>
      </c>
      <c r="J689" s="424">
        <f t="shared" ref="J689:AO689" si="1627">J319*J$372</f>
        <v>0</v>
      </c>
      <c r="K689" s="424">
        <f t="shared" si="1627"/>
        <v>0</v>
      </c>
      <c r="L689" s="424">
        <f t="shared" si="1627"/>
        <v>0</v>
      </c>
      <c r="M689" s="424">
        <f t="shared" si="1627"/>
        <v>0</v>
      </c>
      <c r="N689" s="424">
        <f t="shared" si="1627"/>
        <v>0</v>
      </c>
      <c r="O689" s="424">
        <f t="shared" si="1627"/>
        <v>0</v>
      </c>
      <c r="P689" s="424">
        <f t="shared" si="1627"/>
        <v>0</v>
      </c>
      <c r="Q689" s="424">
        <f t="shared" si="1627"/>
        <v>0</v>
      </c>
      <c r="R689" s="424">
        <f t="shared" si="1627"/>
        <v>0</v>
      </c>
      <c r="S689" s="424">
        <f t="shared" si="1627"/>
        <v>0</v>
      </c>
      <c r="T689" s="424">
        <f t="shared" si="1627"/>
        <v>0</v>
      </c>
      <c r="U689" s="424">
        <f t="shared" si="1627"/>
        <v>0.69</v>
      </c>
      <c r="V689" s="424">
        <f t="shared" si="1627"/>
        <v>0</v>
      </c>
      <c r="W689" s="424">
        <f t="shared" si="1627"/>
        <v>0</v>
      </c>
      <c r="X689" s="424">
        <f t="shared" si="1627"/>
        <v>4.6399999999999997</v>
      </c>
      <c r="Y689" s="424">
        <f t="shared" si="1627"/>
        <v>0</v>
      </c>
      <c r="Z689" s="424">
        <f t="shared" si="1627"/>
        <v>0</v>
      </c>
      <c r="AA689" s="424">
        <f t="shared" si="1627"/>
        <v>0</v>
      </c>
      <c r="AB689" s="424">
        <f t="shared" si="1627"/>
        <v>0</v>
      </c>
      <c r="AC689" s="424">
        <f t="shared" si="1627"/>
        <v>0</v>
      </c>
      <c r="AD689" s="424">
        <f t="shared" si="1627"/>
        <v>0</v>
      </c>
      <c r="AE689" s="424">
        <f t="shared" si="1627"/>
        <v>0</v>
      </c>
      <c r="AF689" s="424">
        <f t="shared" si="1627"/>
        <v>0</v>
      </c>
      <c r="AG689" s="424">
        <f t="shared" si="1627"/>
        <v>0</v>
      </c>
      <c r="AH689" s="424">
        <f t="shared" si="1627"/>
        <v>0</v>
      </c>
      <c r="AI689" s="424">
        <f t="shared" si="1627"/>
        <v>0</v>
      </c>
      <c r="AJ689" s="424">
        <f t="shared" si="1627"/>
        <v>0</v>
      </c>
      <c r="AK689" s="424">
        <f t="shared" si="1627"/>
        <v>0</v>
      </c>
      <c r="AL689" s="424">
        <f t="shared" si="1627"/>
        <v>0</v>
      </c>
      <c r="AM689" s="424">
        <f t="shared" si="1627"/>
        <v>0</v>
      </c>
      <c r="AN689" s="424">
        <f t="shared" si="1627"/>
        <v>0</v>
      </c>
      <c r="AO689" s="424">
        <f t="shared" si="1627"/>
        <v>0</v>
      </c>
      <c r="AP689" s="424">
        <f t="shared" ref="AP689:BU689" si="1628">AP319*AP$372</f>
        <v>0</v>
      </c>
      <c r="AQ689" s="424">
        <f t="shared" si="1628"/>
        <v>0</v>
      </c>
      <c r="AR689" s="424">
        <f t="shared" si="1628"/>
        <v>0</v>
      </c>
      <c r="AS689" s="424">
        <f t="shared" si="1628"/>
        <v>0</v>
      </c>
      <c r="AT689" s="424">
        <f t="shared" si="1628"/>
        <v>0</v>
      </c>
      <c r="AU689" s="424">
        <f t="shared" si="1628"/>
        <v>0</v>
      </c>
      <c r="AV689" s="424">
        <f t="shared" si="1628"/>
        <v>0</v>
      </c>
      <c r="AW689" s="424">
        <f t="shared" si="1628"/>
        <v>0</v>
      </c>
      <c r="AX689" s="424">
        <f t="shared" si="1628"/>
        <v>0</v>
      </c>
      <c r="AY689" s="424">
        <f t="shared" si="1628"/>
        <v>0</v>
      </c>
      <c r="AZ689" s="424">
        <f t="shared" si="1628"/>
        <v>0</v>
      </c>
      <c r="BA689" s="424">
        <f t="shared" si="1628"/>
        <v>0</v>
      </c>
      <c r="BB689" s="424">
        <f t="shared" si="1628"/>
        <v>0</v>
      </c>
      <c r="BC689" s="424">
        <f t="shared" si="1628"/>
        <v>0</v>
      </c>
      <c r="BD689" s="424">
        <f t="shared" si="1628"/>
        <v>0</v>
      </c>
      <c r="BE689" s="424">
        <f t="shared" si="1628"/>
        <v>0</v>
      </c>
      <c r="BF689" s="424">
        <f t="shared" si="1628"/>
        <v>0</v>
      </c>
      <c r="BG689" s="424">
        <f t="shared" si="1628"/>
        <v>0</v>
      </c>
      <c r="BH689" s="424">
        <f t="shared" si="1628"/>
        <v>0</v>
      </c>
      <c r="BI689" s="424">
        <f t="shared" si="1628"/>
        <v>0</v>
      </c>
      <c r="BJ689" s="424">
        <f t="shared" si="1628"/>
        <v>0</v>
      </c>
      <c r="BK689" s="424">
        <f t="shared" si="1628"/>
        <v>0</v>
      </c>
      <c r="BL689" s="424">
        <f t="shared" si="1628"/>
        <v>0</v>
      </c>
      <c r="BM689" s="424">
        <f t="shared" si="1628"/>
        <v>0</v>
      </c>
      <c r="BN689" s="424">
        <f t="shared" si="1628"/>
        <v>0</v>
      </c>
      <c r="BO689" s="424">
        <f t="shared" si="1628"/>
        <v>0</v>
      </c>
      <c r="BP689" s="424">
        <f t="shared" si="1628"/>
        <v>0</v>
      </c>
      <c r="BQ689" s="424">
        <f t="shared" si="1628"/>
        <v>0</v>
      </c>
      <c r="BR689" s="424">
        <f t="shared" si="1628"/>
        <v>0</v>
      </c>
      <c r="BS689" s="424">
        <f t="shared" si="1628"/>
        <v>1.1100000000000001</v>
      </c>
      <c r="BT689" s="424">
        <f t="shared" si="1628"/>
        <v>0</v>
      </c>
      <c r="BU689" s="424">
        <f t="shared" si="1628"/>
        <v>0</v>
      </c>
      <c r="BV689" s="424">
        <f t="shared" ref="BV689:DA689" si="1629">BV319*BV$372</f>
        <v>0</v>
      </c>
      <c r="BW689" s="424">
        <f t="shared" si="1629"/>
        <v>0</v>
      </c>
      <c r="BX689" s="424">
        <f t="shared" si="1629"/>
        <v>0</v>
      </c>
      <c r="BY689" s="424">
        <f t="shared" si="1629"/>
        <v>0</v>
      </c>
      <c r="BZ689" s="424">
        <f t="shared" si="1629"/>
        <v>0</v>
      </c>
      <c r="CA689" s="424">
        <f t="shared" si="1629"/>
        <v>0</v>
      </c>
      <c r="CB689" s="424">
        <f t="shared" si="1629"/>
        <v>0</v>
      </c>
      <c r="CC689" s="424">
        <f t="shared" si="1629"/>
        <v>0</v>
      </c>
      <c r="CD689" s="424">
        <f t="shared" si="1629"/>
        <v>0</v>
      </c>
      <c r="CE689" s="424">
        <f t="shared" si="1629"/>
        <v>0.2</v>
      </c>
      <c r="CF689" s="424">
        <f t="shared" si="1629"/>
        <v>0</v>
      </c>
      <c r="CG689" s="424">
        <f t="shared" si="1629"/>
        <v>0</v>
      </c>
      <c r="CH689" s="424">
        <f t="shared" si="1629"/>
        <v>0</v>
      </c>
      <c r="CI689" s="424">
        <f t="shared" si="1629"/>
        <v>1.5</v>
      </c>
      <c r="CJ689" s="424">
        <f t="shared" si="1629"/>
        <v>0</v>
      </c>
      <c r="CK689" s="424">
        <f t="shared" si="1629"/>
        <v>0</v>
      </c>
      <c r="CL689" s="424">
        <f t="shared" si="1629"/>
        <v>0.56999999999999995</v>
      </c>
      <c r="CM689" s="424">
        <f t="shared" si="1629"/>
        <v>0</v>
      </c>
      <c r="CN689" s="424">
        <f t="shared" si="1629"/>
        <v>0</v>
      </c>
      <c r="CO689" s="424">
        <f t="shared" si="1629"/>
        <v>0</v>
      </c>
      <c r="CP689" s="424">
        <f t="shared" si="1629"/>
        <v>0</v>
      </c>
      <c r="CQ689" s="424">
        <f t="shared" si="1629"/>
        <v>0</v>
      </c>
      <c r="CR689" s="424">
        <f t="shared" si="1629"/>
        <v>0</v>
      </c>
      <c r="CS689" s="424">
        <f t="shared" si="1629"/>
        <v>0</v>
      </c>
      <c r="CT689" s="424">
        <f t="shared" si="1629"/>
        <v>0</v>
      </c>
      <c r="CU689" s="424">
        <f t="shared" si="1629"/>
        <v>0</v>
      </c>
      <c r="CV689" s="424">
        <f t="shared" si="1629"/>
        <v>0</v>
      </c>
      <c r="CW689" s="424">
        <f t="shared" si="1629"/>
        <v>0</v>
      </c>
      <c r="CX689" s="424">
        <f t="shared" si="1629"/>
        <v>0</v>
      </c>
      <c r="CY689" s="424">
        <f t="shared" si="1629"/>
        <v>0</v>
      </c>
      <c r="CZ689" s="424">
        <f t="shared" si="1629"/>
        <v>0.32</v>
      </c>
      <c r="DA689" s="424">
        <f t="shared" si="1629"/>
        <v>0</v>
      </c>
      <c r="DB689" s="424">
        <f t="shared" ref="DB689:EG689" si="1630">DB319*DB$372</f>
        <v>0</v>
      </c>
      <c r="DC689" s="424">
        <f t="shared" si="1630"/>
        <v>7.0000000000000007E-2</v>
      </c>
      <c r="DD689" s="424">
        <f t="shared" si="1630"/>
        <v>0</v>
      </c>
      <c r="DE689" s="424">
        <f t="shared" si="1630"/>
        <v>0</v>
      </c>
      <c r="DF689" s="424">
        <f t="shared" si="1630"/>
        <v>0</v>
      </c>
      <c r="DG689" s="424">
        <f t="shared" si="1630"/>
        <v>0</v>
      </c>
      <c r="DH689" s="424">
        <f t="shared" si="1630"/>
        <v>0</v>
      </c>
      <c r="DI689" s="424">
        <f t="shared" si="1630"/>
        <v>0</v>
      </c>
      <c r="DJ689" s="424">
        <f t="shared" si="1630"/>
        <v>0</v>
      </c>
      <c r="DK689" s="424">
        <f t="shared" si="1630"/>
        <v>0</v>
      </c>
      <c r="DL689" s="424">
        <f t="shared" si="1630"/>
        <v>0</v>
      </c>
      <c r="DM689" s="424">
        <f t="shared" si="1630"/>
        <v>0</v>
      </c>
      <c r="DN689" s="424">
        <f t="shared" si="1630"/>
        <v>0</v>
      </c>
      <c r="DO689" s="424">
        <f t="shared" si="1630"/>
        <v>0</v>
      </c>
      <c r="DP689" s="424">
        <f t="shared" si="1630"/>
        <v>0</v>
      </c>
      <c r="DQ689" s="424">
        <f t="shared" si="1630"/>
        <v>0</v>
      </c>
      <c r="DR689" s="424">
        <f t="shared" si="1630"/>
        <v>0</v>
      </c>
      <c r="DS689" s="424">
        <f t="shared" si="1630"/>
        <v>0</v>
      </c>
      <c r="DT689" s="424">
        <f t="shared" si="1630"/>
        <v>0</v>
      </c>
      <c r="DU689" s="424">
        <f t="shared" si="1630"/>
        <v>0</v>
      </c>
      <c r="DV689" s="424">
        <f t="shared" si="1630"/>
        <v>0</v>
      </c>
      <c r="DW689" s="424">
        <f t="shared" si="1630"/>
        <v>0</v>
      </c>
      <c r="DX689" s="424">
        <f t="shared" si="1630"/>
        <v>0.99</v>
      </c>
      <c r="DY689" s="424">
        <f t="shared" si="1630"/>
        <v>0</v>
      </c>
      <c r="DZ689" s="424">
        <f t="shared" si="1630"/>
        <v>0</v>
      </c>
      <c r="EA689" s="424">
        <f t="shared" si="1630"/>
        <v>0</v>
      </c>
      <c r="EB689" s="424">
        <f t="shared" si="1630"/>
        <v>0</v>
      </c>
      <c r="EC689" s="424">
        <f t="shared" si="1630"/>
        <v>0</v>
      </c>
      <c r="ED689" s="424">
        <f t="shared" si="1630"/>
        <v>0</v>
      </c>
      <c r="EE689" s="424">
        <f t="shared" si="1630"/>
        <v>0</v>
      </c>
      <c r="EF689" s="424">
        <f t="shared" si="1630"/>
        <v>0</v>
      </c>
      <c r="EG689" s="424">
        <f t="shared" si="1630"/>
        <v>0</v>
      </c>
      <c r="EH689" s="424">
        <f t="shared" ref="EH689:EX689" si="1631">EH319*EH$372</f>
        <v>0</v>
      </c>
      <c r="EI689" s="424">
        <f t="shared" si="1631"/>
        <v>0</v>
      </c>
      <c r="EJ689" s="424">
        <f t="shared" si="1631"/>
        <v>0</v>
      </c>
      <c r="EK689" s="424">
        <f t="shared" si="1631"/>
        <v>0</v>
      </c>
      <c r="EL689" s="424">
        <f t="shared" si="1631"/>
        <v>0</v>
      </c>
      <c r="EM689" s="424">
        <f t="shared" si="1631"/>
        <v>0</v>
      </c>
      <c r="EN689" s="424">
        <f t="shared" si="1631"/>
        <v>0</v>
      </c>
      <c r="EO689" s="424">
        <f t="shared" si="1631"/>
        <v>0</v>
      </c>
      <c r="EP689" s="424">
        <f t="shared" si="1631"/>
        <v>0</v>
      </c>
      <c r="EQ689" s="424">
        <f t="shared" si="1631"/>
        <v>0</v>
      </c>
      <c r="ER689" s="424">
        <f t="shared" si="1631"/>
        <v>0</v>
      </c>
      <c r="ES689" s="424">
        <f t="shared" si="1631"/>
        <v>0</v>
      </c>
      <c r="ET689" s="424">
        <f t="shared" si="1631"/>
        <v>0</v>
      </c>
      <c r="EU689" s="424">
        <f t="shared" si="1631"/>
        <v>0</v>
      </c>
      <c r="EV689" s="424">
        <f t="shared" si="1631"/>
        <v>0</v>
      </c>
      <c r="EW689" s="424">
        <f t="shared" si="1631"/>
        <v>0</v>
      </c>
      <c r="EX689" s="424">
        <f t="shared" si="1631"/>
        <v>0</v>
      </c>
      <c r="EY689" s="425">
        <f t="shared" si="1420"/>
        <v>10.09</v>
      </c>
      <c r="EZ689" s="616"/>
      <c r="FA689" s="616"/>
      <c r="FB689" s="616"/>
      <c r="FC689" s="616"/>
      <c r="FD689" s="616"/>
      <c r="FE689" s="616"/>
      <c r="FF689" s="616"/>
      <c r="FG689" s="616"/>
      <c r="FH689" s="616"/>
      <c r="FI689" s="616"/>
      <c r="FJ689" s="616"/>
    </row>
    <row r="690" spans="1:166" s="407" customFormat="1" ht="14.7" customHeight="1" x14ac:dyDescent="0.25">
      <c r="A690" s="310">
        <v>316</v>
      </c>
      <c r="B690" s="311" t="str">
        <f t="shared" si="1331"/>
        <v>Кекс "Столичный" (масса 75 г)</v>
      </c>
      <c r="C690" s="483">
        <f t="shared" si="1421"/>
        <v>24.77</v>
      </c>
      <c r="D690" s="888"/>
      <c r="E690" s="888"/>
      <c r="F690" s="888"/>
      <c r="G690" s="889"/>
      <c r="H690" s="680">
        <f t="shared" si="1338"/>
        <v>446</v>
      </c>
      <c r="I690" s="1209">
        <f t="shared" si="1332"/>
        <v>0.02</v>
      </c>
      <c r="J690" s="424">
        <f t="shared" ref="J690:AO690" si="1632">J320*J$372</f>
        <v>0</v>
      </c>
      <c r="K690" s="424">
        <f t="shared" si="1632"/>
        <v>0</v>
      </c>
      <c r="L690" s="424">
        <f t="shared" si="1632"/>
        <v>0</v>
      </c>
      <c r="M690" s="424">
        <f t="shared" si="1632"/>
        <v>0</v>
      </c>
      <c r="N690" s="424">
        <f t="shared" si="1632"/>
        <v>0</v>
      </c>
      <c r="O690" s="424">
        <f t="shared" si="1632"/>
        <v>0</v>
      </c>
      <c r="P690" s="424">
        <f t="shared" si="1632"/>
        <v>0</v>
      </c>
      <c r="Q690" s="424">
        <f t="shared" si="1632"/>
        <v>0</v>
      </c>
      <c r="R690" s="424">
        <f t="shared" si="1632"/>
        <v>0</v>
      </c>
      <c r="S690" s="424">
        <f t="shared" si="1632"/>
        <v>0</v>
      </c>
      <c r="T690" s="424">
        <f t="shared" si="1632"/>
        <v>0</v>
      </c>
      <c r="U690" s="424">
        <f t="shared" si="1632"/>
        <v>0</v>
      </c>
      <c r="V690" s="424">
        <f t="shared" si="1632"/>
        <v>12.45</v>
      </c>
      <c r="W690" s="424">
        <f t="shared" si="1632"/>
        <v>0</v>
      </c>
      <c r="X690" s="424">
        <f t="shared" si="1632"/>
        <v>0</v>
      </c>
      <c r="Y690" s="424">
        <f t="shared" si="1632"/>
        <v>0</v>
      </c>
      <c r="Z690" s="424">
        <f t="shared" si="1632"/>
        <v>0</v>
      </c>
      <c r="AA690" s="424">
        <f t="shared" si="1632"/>
        <v>0</v>
      </c>
      <c r="AB690" s="424">
        <f t="shared" si="1632"/>
        <v>0</v>
      </c>
      <c r="AC690" s="424">
        <f t="shared" si="1632"/>
        <v>0</v>
      </c>
      <c r="AD690" s="424">
        <f t="shared" si="1632"/>
        <v>0</v>
      </c>
      <c r="AE690" s="424">
        <f t="shared" si="1632"/>
        <v>0</v>
      </c>
      <c r="AF690" s="424">
        <f t="shared" si="1632"/>
        <v>0</v>
      </c>
      <c r="AG690" s="424">
        <f t="shared" si="1632"/>
        <v>0</v>
      </c>
      <c r="AH690" s="424">
        <f t="shared" si="1632"/>
        <v>0</v>
      </c>
      <c r="AI690" s="424">
        <f t="shared" si="1632"/>
        <v>0</v>
      </c>
      <c r="AJ690" s="424">
        <f t="shared" si="1632"/>
        <v>0</v>
      </c>
      <c r="AK690" s="424">
        <f t="shared" si="1632"/>
        <v>0</v>
      </c>
      <c r="AL690" s="424">
        <f t="shared" si="1632"/>
        <v>0</v>
      </c>
      <c r="AM690" s="424">
        <f t="shared" si="1632"/>
        <v>0</v>
      </c>
      <c r="AN690" s="424">
        <f t="shared" si="1632"/>
        <v>0</v>
      </c>
      <c r="AO690" s="424">
        <f t="shared" si="1632"/>
        <v>0</v>
      </c>
      <c r="AP690" s="424">
        <f t="shared" ref="AP690:BU690" si="1633">AP320*AP$372</f>
        <v>0</v>
      </c>
      <c r="AQ690" s="424">
        <f t="shared" si="1633"/>
        <v>0</v>
      </c>
      <c r="AR690" s="424">
        <f t="shared" si="1633"/>
        <v>0</v>
      </c>
      <c r="AS690" s="424">
        <f t="shared" si="1633"/>
        <v>0</v>
      </c>
      <c r="AT690" s="424">
        <f t="shared" si="1633"/>
        <v>0</v>
      </c>
      <c r="AU690" s="424">
        <f t="shared" si="1633"/>
        <v>0</v>
      </c>
      <c r="AV690" s="424">
        <f t="shared" si="1633"/>
        <v>0</v>
      </c>
      <c r="AW690" s="424">
        <f t="shared" si="1633"/>
        <v>0</v>
      </c>
      <c r="AX690" s="424">
        <f t="shared" si="1633"/>
        <v>0</v>
      </c>
      <c r="AY690" s="424">
        <f t="shared" si="1633"/>
        <v>0</v>
      </c>
      <c r="AZ690" s="424">
        <f t="shared" si="1633"/>
        <v>0</v>
      </c>
      <c r="BA690" s="424">
        <f t="shared" si="1633"/>
        <v>0</v>
      </c>
      <c r="BB690" s="424">
        <f t="shared" si="1633"/>
        <v>0</v>
      </c>
      <c r="BC690" s="424">
        <f t="shared" si="1633"/>
        <v>0</v>
      </c>
      <c r="BD690" s="424">
        <f t="shared" si="1633"/>
        <v>0</v>
      </c>
      <c r="BE690" s="424">
        <f t="shared" si="1633"/>
        <v>0</v>
      </c>
      <c r="BF690" s="424">
        <f t="shared" si="1633"/>
        <v>0</v>
      </c>
      <c r="BG690" s="424">
        <f t="shared" si="1633"/>
        <v>0</v>
      </c>
      <c r="BH690" s="424">
        <f t="shared" si="1633"/>
        <v>0</v>
      </c>
      <c r="BI690" s="424">
        <f t="shared" si="1633"/>
        <v>0</v>
      </c>
      <c r="BJ690" s="424">
        <f t="shared" si="1633"/>
        <v>0</v>
      </c>
      <c r="BK690" s="424">
        <f t="shared" si="1633"/>
        <v>0</v>
      </c>
      <c r="BL690" s="424">
        <f t="shared" si="1633"/>
        <v>0</v>
      </c>
      <c r="BM690" s="424">
        <f t="shared" si="1633"/>
        <v>0</v>
      </c>
      <c r="BN690" s="424">
        <f t="shared" si="1633"/>
        <v>0</v>
      </c>
      <c r="BO690" s="424">
        <f t="shared" si="1633"/>
        <v>0</v>
      </c>
      <c r="BP690" s="424">
        <f t="shared" si="1633"/>
        <v>0</v>
      </c>
      <c r="BQ690" s="424">
        <f t="shared" si="1633"/>
        <v>0</v>
      </c>
      <c r="BR690" s="424">
        <f t="shared" si="1633"/>
        <v>0</v>
      </c>
      <c r="BS690" s="424">
        <f t="shared" si="1633"/>
        <v>0.84</v>
      </c>
      <c r="BT690" s="424">
        <f t="shared" si="1633"/>
        <v>0</v>
      </c>
      <c r="BU690" s="424">
        <f t="shared" si="1633"/>
        <v>0</v>
      </c>
      <c r="BV690" s="424">
        <f t="shared" ref="BV690:DA690" si="1634">BV320*BV$372</f>
        <v>0</v>
      </c>
      <c r="BW690" s="424">
        <f t="shared" si="1634"/>
        <v>0</v>
      </c>
      <c r="BX690" s="424">
        <f t="shared" si="1634"/>
        <v>0</v>
      </c>
      <c r="BY690" s="424">
        <f t="shared" si="1634"/>
        <v>0</v>
      </c>
      <c r="BZ690" s="424">
        <f t="shared" si="1634"/>
        <v>0</v>
      </c>
      <c r="CA690" s="424">
        <f t="shared" si="1634"/>
        <v>0</v>
      </c>
      <c r="CB690" s="424">
        <f t="shared" si="1634"/>
        <v>0</v>
      </c>
      <c r="CC690" s="424">
        <f t="shared" si="1634"/>
        <v>0</v>
      </c>
      <c r="CD690" s="424">
        <f t="shared" si="1634"/>
        <v>0</v>
      </c>
      <c r="CE690" s="424">
        <f t="shared" si="1634"/>
        <v>0</v>
      </c>
      <c r="CF690" s="424">
        <f t="shared" si="1634"/>
        <v>0</v>
      </c>
      <c r="CG690" s="424">
        <f t="shared" si="1634"/>
        <v>0</v>
      </c>
      <c r="CH690" s="424">
        <f t="shared" si="1634"/>
        <v>0</v>
      </c>
      <c r="CI690" s="424">
        <f t="shared" si="1634"/>
        <v>0.35</v>
      </c>
      <c r="CJ690" s="424">
        <f t="shared" si="1634"/>
        <v>0</v>
      </c>
      <c r="CK690" s="424">
        <f t="shared" si="1634"/>
        <v>0</v>
      </c>
      <c r="CL690" s="424">
        <f t="shared" si="1634"/>
        <v>0</v>
      </c>
      <c r="CM690" s="424">
        <f t="shared" si="1634"/>
        <v>7.02</v>
      </c>
      <c r="CN690" s="424">
        <f t="shared" si="1634"/>
        <v>0</v>
      </c>
      <c r="CO690" s="424">
        <f t="shared" si="1634"/>
        <v>0</v>
      </c>
      <c r="CP690" s="424">
        <f t="shared" si="1634"/>
        <v>0</v>
      </c>
      <c r="CQ690" s="424">
        <f t="shared" si="1634"/>
        <v>0</v>
      </c>
      <c r="CR690" s="424">
        <f t="shared" si="1634"/>
        <v>0</v>
      </c>
      <c r="CS690" s="424">
        <f t="shared" si="1634"/>
        <v>0</v>
      </c>
      <c r="CT690" s="424">
        <f t="shared" si="1634"/>
        <v>0</v>
      </c>
      <c r="CU690" s="424">
        <f t="shared" si="1634"/>
        <v>0</v>
      </c>
      <c r="CV690" s="424">
        <f t="shared" si="1634"/>
        <v>0</v>
      </c>
      <c r="CW690" s="424">
        <f t="shared" si="1634"/>
        <v>0</v>
      </c>
      <c r="CX690" s="424">
        <f t="shared" si="1634"/>
        <v>0</v>
      </c>
      <c r="CY690" s="424">
        <f t="shared" si="1634"/>
        <v>0</v>
      </c>
      <c r="CZ690" s="424">
        <f t="shared" si="1634"/>
        <v>1.33</v>
      </c>
      <c r="DA690" s="424">
        <f t="shared" si="1634"/>
        <v>0.11</v>
      </c>
      <c r="DB690" s="424">
        <f t="shared" ref="DB690:EG690" si="1635">DB320*DB$372</f>
        <v>0</v>
      </c>
      <c r="DC690" s="424">
        <f t="shared" si="1635"/>
        <v>0</v>
      </c>
      <c r="DD690" s="424">
        <f t="shared" si="1635"/>
        <v>0</v>
      </c>
      <c r="DE690" s="424">
        <f t="shared" si="1635"/>
        <v>0</v>
      </c>
      <c r="DF690" s="424">
        <f t="shared" si="1635"/>
        <v>0</v>
      </c>
      <c r="DG690" s="424">
        <f t="shared" si="1635"/>
        <v>0</v>
      </c>
      <c r="DH690" s="424">
        <f t="shared" si="1635"/>
        <v>0</v>
      </c>
      <c r="DI690" s="424">
        <f t="shared" si="1635"/>
        <v>0.14000000000000001</v>
      </c>
      <c r="DJ690" s="424">
        <f t="shared" si="1635"/>
        <v>0</v>
      </c>
      <c r="DK690" s="424">
        <f t="shared" si="1635"/>
        <v>0</v>
      </c>
      <c r="DL690" s="424">
        <f t="shared" si="1635"/>
        <v>0</v>
      </c>
      <c r="DM690" s="424">
        <f t="shared" si="1635"/>
        <v>0</v>
      </c>
      <c r="DN690" s="424">
        <f t="shared" si="1635"/>
        <v>0</v>
      </c>
      <c r="DO690" s="424">
        <f t="shared" si="1635"/>
        <v>0</v>
      </c>
      <c r="DP690" s="424">
        <f t="shared" si="1635"/>
        <v>0</v>
      </c>
      <c r="DQ690" s="424">
        <f t="shared" si="1635"/>
        <v>0</v>
      </c>
      <c r="DR690" s="424">
        <f t="shared" si="1635"/>
        <v>0</v>
      </c>
      <c r="DS690" s="424">
        <f t="shared" si="1635"/>
        <v>0</v>
      </c>
      <c r="DT690" s="424">
        <f t="shared" si="1635"/>
        <v>0</v>
      </c>
      <c r="DU690" s="424">
        <f t="shared" si="1635"/>
        <v>0</v>
      </c>
      <c r="DV690" s="424">
        <f t="shared" si="1635"/>
        <v>0</v>
      </c>
      <c r="DW690" s="424">
        <f t="shared" si="1635"/>
        <v>0</v>
      </c>
      <c r="DX690" s="424">
        <f t="shared" si="1635"/>
        <v>2.5299999999999998</v>
      </c>
      <c r="DY690" s="424">
        <f t="shared" si="1635"/>
        <v>0</v>
      </c>
      <c r="DZ690" s="424">
        <f t="shared" si="1635"/>
        <v>0</v>
      </c>
      <c r="EA690" s="424">
        <f t="shared" si="1635"/>
        <v>0</v>
      </c>
      <c r="EB690" s="424">
        <f t="shared" si="1635"/>
        <v>0</v>
      </c>
      <c r="EC690" s="424">
        <f t="shared" si="1635"/>
        <v>0</v>
      </c>
      <c r="ED690" s="424">
        <f t="shared" si="1635"/>
        <v>0</v>
      </c>
      <c r="EE690" s="424">
        <f t="shared" si="1635"/>
        <v>0</v>
      </c>
      <c r="EF690" s="424">
        <f t="shared" si="1635"/>
        <v>0</v>
      </c>
      <c r="EG690" s="424">
        <f t="shared" si="1635"/>
        <v>0</v>
      </c>
      <c r="EH690" s="424">
        <f t="shared" ref="EH690:EX690" si="1636">EH320*EH$372</f>
        <v>0</v>
      </c>
      <c r="EI690" s="424">
        <f t="shared" si="1636"/>
        <v>0</v>
      </c>
      <c r="EJ690" s="424">
        <f t="shared" si="1636"/>
        <v>0</v>
      </c>
      <c r="EK690" s="424">
        <f t="shared" si="1636"/>
        <v>0</v>
      </c>
      <c r="EL690" s="424">
        <f t="shared" si="1636"/>
        <v>0</v>
      </c>
      <c r="EM690" s="424">
        <f t="shared" si="1636"/>
        <v>0</v>
      </c>
      <c r="EN690" s="424">
        <f t="shared" si="1636"/>
        <v>0</v>
      </c>
      <c r="EO690" s="424">
        <f t="shared" si="1636"/>
        <v>0</v>
      </c>
      <c r="EP690" s="424">
        <f t="shared" si="1636"/>
        <v>0</v>
      </c>
      <c r="EQ690" s="424">
        <f t="shared" si="1636"/>
        <v>0</v>
      </c>
      <c r="ER690" s="424">
        <f t="shared" si="1636"/>
        <v>0</v>
      </c>
      <c r="ES690" s="424">
        <f t="shared" si="1636"/>
        <v>0</v>
      </c>
      <c r="ET690" s="424">
        <f t="shared" si="1636"/>
        <v>0</v>
      </c>
      <c r="EU690" s="424">
        <f t="shared" si="1636"/>
        <v>0</v>
      </c>
      <c r="EV690" s="424">
        <f t="shared" si="1636"/>
        <v>0</v>
      </c>
      <c r="EW690" s="424">
        <f t="shared" si="1636"/>
        <v>0</v>
      </c>
      <c r="EX690" s="424">
        <f t="shared" si="1636"/>
        <v>0</v>
      </c>
      <c r="EY690" s="425">
        <f t="shared" si="1420"/>
        <v>24.77</v>
      </c>
      <c r="EZ690" s="616"/>
      <c r="FA690" s="616"/>
      <c r="FB690" s="616"/>
      <c r="FC690" s="616"/>
      <c r="FD690" s="616"/>
      <c r="FE690" s="616"/>
      <c r="FF690" s="616"/>
      <c r="FG690" s="616"/>
      <c r="FH690" s="616"/>
      <c r="FI690" s="616"/>
      <c r="FJ690" s="616"/>
    </row>
    <row r="691" spans="1:166" s="851" customFormat="1" ht="14.7" customHeight="1" x14ac:dyDescent="0.25">
      <c r="A691" s="310">
        <v>317</v>
      </c>
      <c r="B691" s="311" t="str">
        <f t="shared" si="1331"/>
        <v>Коржики молочные (масса 75 г)</v>
      </c>
      <c r="C691" s="483">
        <f t="shared" si="1421"/>
        <v>6.89</v>
      </c>
      <c r="D691" s="888"/>
      <c r="E691" s="888"/>
      <c r="F691" s="888"/>
      <c r="G691" s="889"/>
      <c r="H691" s="680">
        <f t="shared" si="1338"/>
        <v>456</v>
      </c>
      <c r="I691" s="1209">
        <f t="shared" si="1332"/>
        <v>0</v>
      </c>
      <c r="J691" s="424">
        <f t="shared" ref="J691:AO691" si="1637">J321*J$372</f>
        <v>0</v>
      </c>
      <c r="K691" s="424">
        <f t="shared" si="1637"/>
        <v>0</v>
      </c>
      <c r="L691" s="424">
        <f t="shared" si="1637"/>
        <v>0</v>
      </c>
      <c r="M691" s="424">
        <f t="shared" si="1637"/>
        <v>0</v>
      </c>
      <c r="N691" s="424">
        <f t="shared" si="1637"/>
        <v>0</v>
      </c>
      <c r="O691" s="424">
        <f t="shared" si="1637"/>
        <v>0</v>
      </c>
      <c r="P691" s="424">
        <f t="shared" si="1637"/>
        <v>0</v>
      </c>
      <c r="Q691" s="424">
        <f t="shared" si="1637"/>
        <v>0</v>
      </c>
      <c r="R691" s="424">
        <f t="shared" si="1637"/>
        <v>0</v>
      </c>
      <c r="S691" s="424">
        <f t="shared" si="1637"/>
        <v>0</v>
      </c>
      <c r="T691" s="424">
        <f t="shared" si="1637"/>
        <v>0</v>
      </c>
      <c r="U691" s="424">
        <f t="shared" si="1637"/>
        <v>0.6</v>
      </c>
      <c r="V691" s="424">
        <f t="shared" si="1637"/>
        <v>0</v>
      </c>
      <c r="W691" s="424">
        <f t="shared" si="1637"/>
        <v>0</v>
      </c>
      <c r="X691" s="424">
        <f t="shared" si="1637"/>
        <v>0</v>
      </c>
      <c r="Y691" s="424">
        <f t="shared" si="1637"/>
        <v>0</v>
      </c>
      <c r="Z691" s="424">
        <f t="shared" si="1637"/>
        <v>0</v>
      </c>
      <c r="AA691" s="424">
        <f t="shared" si="1637"/>
        <v>0</v>
      </c>
      <c r="AB691" s="424">
        <f t="shared" si="1637"/>
        <v>0</v>
      </c>
      <c r="AC691" s="424">
        <f t="shared" si="1637"/>
        <v>0</v>
      </c>
      <c r="AD691" s="424">
        <f t="shared" si="1637"/>
        <v>0</v>
      </c>
      <c r="AE691" s="424">
        <f t="shared" si="1637"/>
        <v>0</v>
      </c>
      <c r="AF691" s="424">
        <f t="shared" si="1637"/>
        <v>0</v>
      </c>
      <c r="AG691" s="424">
        <f t="shared" si="1637"/>
        <v>0</v>
      </c>
      <c r="AH691" s="424">
        <f t="shared" si="1637"/>
        <v>0</v>
      </c>
      <c r="AI691" s="424">
        <f t="shared" si="1637"/>
        <v>0</v>
      </c>
      <c r="AJ691" s="424">
        <f t="shared" si="1637"/>
        <v>0</v>
      </c>
      <c r="AK691" s="424">
        <f t="shared" si="1637"/>
        <v>0</v>
      </c>
      <c r="AL691" s="424">
        <f t="shared" si="1637"/>
        <v>0</v>
      </c>
      <c r="AM691" s="424">
        <f t="shared" si="1637"/>
        <v>0</v>
      </c>
      <c r="AN691" s="424">
        <f t="shared" si="1637"/>
        <v>0</v>
      </c>
      <c r="AO691" s="424">
        <f t="shared" si="1637"/>
        <v>0</v>
      </c>
      <c r="AP691" s="424">
        <f t="shared" ref="AP691:BU691" si="1638">AP321*AP$372</f>
        <v>0</v>
      </c>
      <c r="AQ691" s="424">
        <f t="shared" si="1638"/>
        <v>0</v>
      </c>
      <c r="AR691" s="424">
        <f t="shared" si="1638"/>
        <v>0</v>
      </c>
      <c r="AS691" s="424">
        <f t="shared" si="1638"/>
        <v>0</v>
      </c>
      <c r="AT691" s="424">
        <f t="shared" si="1638"/>
        <v>0</v>
      </c>
      <c r="AU691" s="424">
        <f t="shared" si="1638"/>
        <v>0</v>
      </c>
      <c r="AV691" s="424">
        <f t="shared" si="1638"/>
        <v>0</v>
      </c>
      <c r="AW691" s="424">
        <f t="shared" si="1638"/>
        <v>0</v>
      </c>
      <c r="AX691" s="424">
        <f t="shared" si="1638"/>
        <v>0</v>
      </c>
      <c r="AY691" s="424">
        <f t="shared" si="1638"/>
        <v>0</v>
      </c>
      <c r="AZ691" s="424">
        <f t="shared" si="1638"/>
        <v>0</v>
      </c>
      <c r="BA691" s="424">
        <f t="shared" si="1638"/>
        <v>0</v>
      </c>
      <c r="BB691" s="424">
        <f t="shared" si="1638"/>
        <v>0</v>
      </c>
      <c r="BC691" s="424">
        <f t="shared" si="1638"/>
        <v>0</v>
      </c>
      <c r="BD691" s="424">
        <f t="shared" si="1638"/>
        <v>0</v>
      </c>
      <c r="BE691" s="424">
        <f t="shared" si="1638"/>
        <v>0</v>
      </c>
      <c r="BF691" s="424">
        <f t="shared" si="1638"/>
        <v>0</v>
      </c>
      <c r="BG691" s="424">
        <f t="shared" si="1638"/>
        <v>0</v>
      </c>
      <c r="BH691" s="424">
        <f t="shared" si="1638"/>
        <v>0</v>
      </c>
      <c r="BI691" s="424">
        <f t="shared" si="1638"/>
        <v>0</v>
      </c>
      <c r="BJ691" s="424">
        <f t="shared" si="1638"/>
        <v>0</v>
      </c>
      <c r="BK691" s="424">
        <f t="shared" si="1638"/>
        <v>0</v>
      </c>
      <c r="BL691" s="424">
        <f t="shared" si="1638"/>
        <v>0</v>
      </c>
      <c r="BM691" s="424">
        <f t="shared" si="1638"/>
        <v>0</v>
      </c>
      <c r="BN691" s="424">
        <f t="shared" si="1638"/>
        <v>0</v>
      </c>
      <c r="BO691" s="424">
        <f t="shared" si="1638"/>
        <v>0</v>
      </c>
      <c r="BP691" s="424">
        <f t="shared" si="1638"/>
        <v>0</v>
      </c>
      <c r="BQ691" s="424">
        <f t="shared" si="1638"/>
        <v>0</v>
      </c>
      <c r="BR691" s="424">
        <f t="shared" si="1638"/>
        <v>0</v>
      </c>
      <c r="BS691" s="424">
        <f t="shared" si="1638"/>
        <v>1.52</v>
      </c>
      <c r="BT691" s="424">
        <f t="shared" si="1638"/>
        <v>0</v>
      </c>
      <c r="BU691" s="424">
        <f t="shared" si="1638"/>
        <v>0</v>
      </c>
      <c r="BV691" s="424">
        <f t="shared" ref="BV691:DA691" si="1639">BV321*BV$372</f>
        <v>0</v>
      </c>
      <c r="BW691" s="424">
        <f t="shared" si="1639"/>
        <v>0</v>
      </c>
      <c r="BX691" s="424">
        <f t="shared" si="1639"/>
        <v>0</v>
      </c>
      <c r="BY691" s="424">
        <f t="shared" si="1639"/>
        <v>0</v>
      </c>
      <c r="BZ691" s="424">
        <f t="shared" si="1639"/>
        <v>0</v>
      </c>
      <c r="CA691" s="424">
        <f t="shared" si="1639"/>
        <v>0</v>
      </c>
      <c r="CB691" s="424">
        <f t="shared" si="1639"/>
        <v>0</v>
      </c>
      <c r="CC691" s="424">
        <f t="shared" si="1639"/>
        <v>0</v>
      </c>
      <c r="CD691" s="424">
        <f t="shared" si="1639"/>
        <v>0</v>
      </c>
      <c r="CE691" s="424">
        <f t="shared" si="1639"/>
        <v>1.9</v>
      </c>
      <c r="CF691" s="424">
        <f t="shared" si="1639"/>
        <v>0</v>
      </c>
      <c r="CG691" s="424">
        <f t="shared" si="1639"/>
        <v>0</v>
      </c>
      <c r="CH691" s="424">
        <f t="shared" si="1639"/>
        <v>0</v>
      </c>
      <c r="CI691" s="424">
        <f t="shared" si="1639"/>
        <v>0.1</v>
      </c>
      <c r="CJ691" s="424">
        <f t="shared" si="1639"/>
        <v>0</v>
      </c>
      <c r="CK691" s="424">
        <f t="shared" si="1639"/>
        <v>0.01</v>
      </c>
      <c r="CL691" s="424">
        <f t="shared" si="1639"/>
        <v>0</v>
      </c>
      <c r="CM691" s="424">
        <f t="shared" si="1639"/>
        <v>0</v>
      </c>
      <c r="CN691" s="424">
        <f t="shared" si="1639"/>
        <v>0</v>
      </c>
      <c r="CO691" s="424">
        <f t="shared" si="1639"/>
        <v>0</v>
      </c>
      <c r="CP691" s="424">
        <f t="shared" si="1639"/>
        <v>0</v>
      </c>
      <c r="CQ691" s="424">
        <f t="shared" si="1639"/>
        <v>0</v>
      </c>
      <c r="CR691" s="424">
        <f t="shared" si="1639"/>
        <v>0</v>
      </c>
      <c r="CS691" s="424">
        <f t="shared" si="1639"/>
        <v>0</v>
      </c>
      <c r="CT691" s="424">
        <f t="shared" si="1639"/>
        <v>0</v>
      </c>
      <c r="CU691" s="424">
        <f t="shared" si="1639"/>
        <v>0</v>
      </c>
      <c r="CV691" s="424">
        <f t="shared" si="1639"/>
        <v>0</v>
      </c>
      <c r="CW691" s="424">
        <f t="shared" si="1639"/>
        <v>0</v>
      </c>
      <c r="CX691" s="424">
        <f t="shared" si="1639"/>
        <v>0</v>
      </c>
      <c r="CY691" s="424">
        <f t="shared" si="1639"/>
        <v>0</v>
      </c>
      <c r="CZ691" s="424">
        <f t="shared" si="1639"/>
        <v>1.61</v>
      </c>
      <c r="DA691" s="424">
        <f t="shared" si="1639"/>
        <v>0</v>
      </c>
      <c r="DB691" s="424">
        <f t="shared" ref="DB691:EG691" si="1640">DB321*DB$372</f>
        <v>0</v>
      </c>
      <c r="DC691" s="424">
        <f t="shared" si="1640"/>
        <v>0</v>
      </c>
      <c r="DD691" s="424">
        <f t="shared" si="1640"/>
        <v>0</v>
      </c>
      <c r="DE691" s="424">
        <f t="shared" si="1640"/>
        <v>0</v>
      </c>
      <c r="DF691" s="424">
        <f t="shared" si="1640"/>
        <v>0</v>
      </c>
      <c r="DG691" s="424">
        <f t="shared" si="1640"/>
        <v>0</v>
      </c>
      <c r="DH691" s="424">
        <f t="shared" si="1640"/>
        <v>0</v>
      </c>
      <c r="DI691" s="424">
        <f t="shared" si="1640"/>
        <v>0.76</v>
      </c>
      <c r="DJ691" s="424">
        <f t="shared" si="1640"/>
        <v>0</v>
      </c>
      <c r="DK691" s="424">
        <f t="shared" si="1640"/>
        <v>0</v>
      </c>
      <c r="DL691" s="424">
        <f t="shared" si="1640"/>
        <v>0</v>
      </c>
      <c r="DM691" s="424">
        <f t="shared" si="1640"/>
        <v>0</v>
      </c>
      <c r="DN691" s="424">
        <f t="shared" si="1640"/>
        <v>0</v>
      </c>
      <c r="DO691" s="424">
        <f t="shared" si="1640"/>
        <v>0</v>
      </c>
      <c r="DP691" s="424">
        <f t="shared" si="1640"/>
        <v>0</v>
      </c>
      <c r="DQ691" s="424">
        <f t="shared" si="1640"/>
        <v>0</v>
      </c>
      <c r="DR691" s="424">
        <f t="shared" si="1640"/>
        <v>0</v>
      </c>
      <c r="DS691" s="424">
        <f t="shared" si="1640"/>
        <v>0</v>
      </c>
      <c r="DT691" s="424">
        <f t="shared" si="1640"/>
        <v>0</v>
      </c>
      <c r="DU691" s="424">
        <f t="shared" si="1640"/>
        <v>0</v>
      </c>
      <c r="DV691" s="424">
        <f t="shared" si="1640"/>
        <v>0</v>
      </c>
      <c r="DW691" s="424">
        <f t="shared" si="1640"/>
        <v>0</v>
      </c>
      <c r="DX691" s="424">
        <f t="shared" si="1640"/>
        <v>0.39</v>
      </c>
      <c r="DY691" s="424">
        <f t="shared" si="1640"/>
        <v>0</v>
      </c>
      <c r="DZ691" s="424">
        <f t="shared" si="1640"/>
        <v>0</v>
      </c>
      <c r="EA691" s="424">
        <f t="shared" si="1640"/>
        <v>0</v>
      </c>
      <c r="EB691" s="424">
        <f t="shared" si="1640"/>
        <v>0</v>
      </c>
      <c r="EC691" s="424">
        <f t="shared" si="1640"/>
        <v>0</v>
      </c>
      <c r="ED691" s="424">
        <f t="shared" si="1640"/>
        <v>0</v>
      </c>
      <c r="EE691" s="424">
        <f t="shared" si="1640"/>
        <v>0</v>
      </c>
      <c r="EF691" s="424">
        <f t="shared" si="1640"/>
        <v>0</v>
      </c>
      <c r="EG691" s="424">
        <f t="shared" si="1640"/>
        <v>0</v>
      </c>
      <c r="EH691" s="424">
        <f t="shared" ref="EH691:EX691" si="1641">EH321*EH$372</f>
        <v>0</v>
      </c>
      <c r="EI691" s="424">
        <f t="shared" si="1641"/>
        <v>0</v>
      </c>
      <c r="EJ691" s="424">
        <f t="shared" si="1641"/>
        <v>0</v>
      </c>
      <c r="EK691" s="424">
        <f t="shared" si="1641"/>
        <v>0</v>
      </c>
      <c r="EL691" s="424">
        <f t="shared" si="1641"/>
        <v>0</v>
      </c>
      <c r="EM691" s="424">
        <f t="shared" si="1641"/>
        <v>0</v>
      </c>
      <c r="EN691" s="424">
        <f t="shared" si="1641"/>
        <v>0</v>
      </c>
      <c r="EO691" s="424">
        <f t="shared" si="1641"/>
        <v>0</v>
      </c>
      <c r="EP691" s="424">
        <f t="shared" si="1641"/>
        <v>0</v>
      </c>
      <c r="EQ691" s="424">
        <f t="shared" si="1641"/>
        <v>0</v>
      </c>
      <c r="ER691" s="424">
        <f t="shared" si="1641"/>
        <v>0</v>
      </c>
      <c r="ES691" s="424">
        <f t="shared" si="1641"/>
        <v>0</v>
      </c>
      <c r="ET691" s="424">
        <f t="shared" si="1641"/>
        <v>0</v>
      </c>
      <c r="EU691" s="424">
        <f t="shared" si="1641"/>
        <v>0</v>
      </c>
      <c r="EV691" s="424">
        <f t="shared" si="1641"/>
        <v>0</v>
      </c>
      <c r="EW691" s="424">
        <f t="shared" si="1641"/>
        <v>0</v>
      </c>
      <c r="EX691" s="424">
        <f t="shared" si="1641"/>
        <v>0</v>
      </c>
      <c r="EY691" s="425">
        <f t="shared" si="1420"/>
        <v>6.89</v>
      </c>
      <c r="EZ691" s="616"/>
      <c r="FA691" s="616"/>
      <c r="FB691" s="616"/>
      <c r="FC691" s="616"/>
      <c r="FD691" s="616"/>
      <c r="FE691" s="616"/>
      <c r="FF691" s="616"/>
      <c r="FG691" s="616"/>
      <c r="FH691" s="616"/>
      <c r="FI691" s="616"/>
      <c r="FJ691" s="616"/>
    </row>
    <row r="692" spans="1:166" s="905" customFormat="1" ht="14.7" customHeight="1" x14ac:dyDescent="0.25">
      <c r="A692" s="310">
        <v>318</v>
      </c>
      <c r="B692" s="311" t="str">
        <f t="shared" si="1331"/>
        <v>Фарш мясной с луком</v>
      </c>
      <c r="C692" s="483">
        <f t="shared" si="1421"/>
        <v>968.39</v>
      </c>
      <c r="D692" s="888"/>
      <c r="E692" s="888"/>
      <c r="F692" s="888"/>
      <c r="G692" s="889"/>
      <c r="H692" s="680">
        <f t="shared" si="1338"/>
        <v>457</v>
      </c>
      <c r="I692" s="1209">
        <f t="shared" si="1332"/>
        <v>0</v>
      </c>
      <c r="J692" s="424">
        <f t="shared" ref="J692:AO692" si="1642">J322*J$372</f>
        <v>957.04</v>
      </c>
      <c r="K692" s="424">
        <f t="shared" si="1642"/>
        <v>0</v>
      </c>
      <c r="L692" s="424">
        <f t="shared" si="1642"/>
        <v>0</v>
      </c>
      <c r="M692" s="424">
        <f t="shared" si="1642"/>
        <v>0</v>
      </c>
      <c r="N692" s="424">
        <f t="shared" si="1642"/>
        <v>0</v>
      </c>
      <c r="O692" s="424">
        <f t="shared" si="1642"/>
        <v>0</v>
      </c>
      <c r="P692" s="424">
        <f t="shared" si="1642"/>
        <v>0</v>
      </c>
      <c r="Q692" s="424">
        <f t="shared" si="1642"/>
        <v>0</v>
      </c>
      <c r="R692" s="424">
        <f t="shared" si="1642"/>
        <v>0</v>
      </c>
      <c r="S692" s="424">
        <f t="shared" si="1642"/>
        <v>0</v>
      </c>
      <c r="T692" s="424">
        <f t="shared" si="1642"/>
        <v>0</v>
      </c>
      <c r="U692" s="424">
        <f t="shared" si="1642"/>
        <v>0</v>
      </c>
      <c r="V692" s="424">
        <f t="shared" si="1642"/>
        <v>0</v>
      </c>
      <c r="W692" s="424">
        <f t="shared" si="1642"/>
        <v>0</v>
      </c>
      <c r="X692" s="424">
        <f t="shared" si="1642"/>
        <v>0</v>
      </c>
      <c r="Y692" s="424">
        <f t="shared" si="1642"/>
        <v>0</v>
      </c>
      <c r="Z692" s="424">
        <f t="shared" si="1642"/>
        <v>0</v>
      </c>
      <c r="AA692" s="424">
        <f t="shared" si="1642"/>
        <v>0</v>
      </c>
      <c r="AB692" s="424">
        <f t="shared" si="1642"/>
        <v>0</v>
      </c>
      <c r="AC692" s="424">
        <f t="shared" si="1642"/>
        <v>0</v>
      </c>
      <c r="AD692" s="424">
        <f t="shared" si="1642"/>
        <v>0</v>
      </c>
      <c r="AE692" s="424">
        <f t="shared" si="1642"/>
        <v>0</v>
      </c>
      <c r="AF692" s="424">
        <f t="shared" si="1642"/>
        <v>0</v>
      </c>
      <c r="AG692" s="424">
        <f t="shared" si="1642"/>
        <v>0</v>
      </c>
      <c r="AH692" s="424">
        <f t="shared" si="1642"/>
        <v>0</v>
      </c>
      <c r="AI692" s="424">
        <f t="shared" si="1642"/>
        <v>0</v>
      </c>
      <c r="AJ692" s="424">
        <f t="shared" si="1642"/>
        <v>0</v>
      </c>
      <c r="AK692" s="424">
        <f t="shared" si="1642"/>
        <v>5.95</v>
      </c>
      <c r="AL692" s="424">
        <f t="shared" si="1642"/>
        <v>0</v>
      </c>
      <c r="AM692" s="424">
        <f t="shared" si="1642"/>
        <v>0</v>
      </c>
      <c r="AN692" s="424">
        <f t="shared" si="1642"/>
        <v>0</v>
      </c>
      <c r="AO692" s="424">
        <f t="shared" si="1642"/>
        <v>0</v>
      </c>
      <c r="AP692" s="424">
        <f t="shared" ref="AP692:BU692" si="1643">AP322*AP$372</f>
        <v>0</v>
      </c>
      <c r="AQ692" s="424">
        <f t="shared" si="1643"/>
        <v>0</v>
      </c>
      <c r="AR692" s="424">
        <f t="shared" si="1643"/>
        <v>0</v>
      </c>
      <c r="AS692" s="424">
        <f t="shared" si="1643"/>
        <v>0</v>
      </c>
      <c r="AT692" s="424">
        <f t="shared" si="1643"/>
        <v>0</v>
      </c>
      <c r="AU692" s="424">
        <f t="shared" si="1643"/>
        <v>0</v>
      </c>
      <c r="AV692" s="424">
        <f t="shared" si="1643"/>
        <v>0</v>
      </c>
      <c r="AW692" s="424">
        <f t="shared" si="1643"/>
        <v>0</v>
      </c>
      <c r="AX692" s="424">
        <f t="shared" si="1643"/>
        <v>0</v>
      </c>
      <c r="AY692" s="424">
        <f t="shared" si="1643"/>
        <v>0</v>
      </c>
      <c r="AZ692" s="424">
        <f t="shared" si="1643"/>
        <v>0</v>
      </c>
      <c r="BA692" s="424">
        <f t="shared" si="1643"/>
        <v>0</v>
      </c>
      <c r="BB692" s="424">
        <f t="shared" si="1643"/>
        <v>0</v>
      </c>
      <c r="BC692" s="424">
        <f t="shared" si="1643"/>
        <v>0</v>
      </c>
      <c r="BD692" s="424">
        <f t="shared" si="1643"/>
        <v>0</v>
      </c>
      <c r="BE692" s="424">
        <f t="shared" si="1643"/>
        <v>0</v>
      </c>
      <c r="BF692" s="424">
        <f t="shared" si="1643"/>
        <v>0</v>
      </c>
      <c r="BG692" s="424">
        <f t="shared" si="1643"/>
        <v>0</v>
      </c>
      <c r="BH692" s="424">
        <f t="shared" si="1643"/>
        <v>0</v>
      </c>
      <c r="BI692" s="424">
        <f t="shared" si="1643"/>
        <v>0</v>
      </c>
      <c r="BJ692" s="424">
        <f t="shared" si="1643"/>
        <v>0</v>
      </c>
      <c r="BK692" s="424">
        <f t="shared" si="1643"/>
        <v>0</v>
      </c>
      <c r="BL692" s="424">
        <f t="shared" si="1643"/>
        <v>0</v>
      </c>
      <c r="BM692" s="424">
        <f t="shared" si="1643"/>
        <v>0</v>
      </c>
      <c r="BN692" s="424">
        <f t="shared" si="1643"/>
        <v>0</v>
      </c>
      <c r="BO692" s="424">
        <f t="shared" si="1643"/>
        <v>0</v>
      </c>
      <c r="BP692" s="424">
        <f t="shared" si="1643"/>
        <v>0</v>
      </c>
      <c r="BQ692" s="424">
        <f t="shared" si="1643"/>
        <v>0</v>
      </c>
      <c r="BR692" s="424">
        <f t="shared" si="1643"/>
        <v>0</v>
      </c>
      <c r="BS692" s="424">
        <f t="shared" si="1643"/>
        <v>0.36</v>
      </c>
      <c r="BT692" s="424">
        <f t="shared" si="1643"/>
        <v>0</v>
      </c>
      <c r="BU692" s="424">
        <f t="shared" si="1643"/>
        <v>0</v>
      </c>
      <c r="BV692" s="424">
        <f t="shared" ref="BV692:DA692" si="1644">BV322*BV$372</f>
        <v>0</v>
      </c>
      <c r="BW692" s="424">
        <f t="shared" si="1644"/>
        <v>0</v>
      </c>
      <c r="BX692" s="424">
        <f t="shared" si="1644"/>
        <v>0</v>
      </c>
      <c r="BY692" s="424">
        <f t="shared" si="1644"/>
        <v>0</v>
      </c>
      <c r="BZ692" s="424">
        <f t="shared" si="1644"/>
        <v>0</v>
      </c>
      <c r="CA692" s="424">
        <f t="shared" si="1644"/>
        <v>0</v>
      </c>
      <c r="CB692" s="424">
        <f t="shared" si="1644"/>
        <v>0</v>
      </c>
      <c r="CC692" s="424">
        <f t="shared" si="1644"/>
        <v>0</v>
      </c>
      <c r="CD692" s="424">
        <f t="shared" si="1644"/>
        <v>0</v>
      </c>
      <c r="CE692" s="424">
        <f t="shared" si="1644"/>
        <v>0</v>
      </c>
      <c r="CF692" s="424">
        <f t="shared" si="1644"/>
        <v>4.8</v>
      </c>
      <c r="CG692" s="424">
        <f t="shared" si="1644"/>
        <v>0</v>
      </c>
      <c r="CH692" s="424">
        <f t="shared" si="1644"/>
        <v>0</v>
      </c>
      <c r="CI692" s="424">
        <f t="shared" si="1644"/>
        <v>0</v>
      </c>
      <c r="CJ692" s="424">
        <f t="shared" si="1644"/>
        <v>0</v>
      </c>
      <c r="CK692" s="424">
        <f t="shared" si="1644"/>
        <v>0</v>
      </c>
      <c r="CL692" s="424">
        <f t="shared" si="1644"/>
        <v>0</v>
      </c>
      <c r="CM692" s="424">
        <f t="shared" si="1644"/>
        <v>0</v>
      </c>
      <c r="CN692" s="424">
        <f t="shared" si="1644"/>
        <v>0</v>
      </c>
      <c r="CO692" s="424">
        <f t="shared" si="1644"/>
        <v>0</v>
      </c>
      <c r="CP692" s="424">
        <f t="shared" si="1644"/>
        <v>0</v>
      </c>
      <c r="CQ692" s="424">
        <f t="shared" si="1644"/>
        <v>0</v>
      </c>
      <c r="CR692" s="424">
        <f t="shared" si="1644"/>
        <v>0</v>
      </c>
      <c r="CS692" s="424">
        <f t="shared" si="1644"/>
        <v>0</v>
      </c>
      <c r="CT692" s="424">
        <f t="shared" si="1644"/>
        <v>0</v>
      </c>
      <c r="CU692" s="424">
        <f t="shared" si="1644"/>
        <v>0</v>
      </c>
      <c r="CV692" s="424">
        <f t="shared" si="1644"/>
        <v>0</v>
      </c>
      <c r="CW692" s="424">
        <f t="shared" si="1644"/>
        <v>0</v>
      </c>
      <c r="CX692" s="424">
        <f t="shared" si="1644"/>
        <v>0</v>
      </c>
      <c r="CY692" s="424">
        <f t="shared" si="1644"/>
        <v>0</v>
      </c>
      <c r="CZ692" s="424">
        <f t="shared" si="1644"/>
        <v>0</v>
      </c>
      <c r="DA692" s="424">
        <f t="shared" si="1644"/>
        <v>0</v>
      </c>
      <c r="DB692" s="424">
        <f t="shared" ref="DB692:EG692" si="1645">DB322*DB$372</f>
        <v>0</v>
      </c>
      <c r="DC692" s="424">
        <f t="shared" si="1645"/>
        <v>0.24</v>
      </c>
      <c r="DD692" s="424">
        <f t="shared" si="1645"/>
        <v>0</v>
      </c>
      <c r="DE692" s="424">
        <f t="shared" si="1645"/>
        <v>0</v>
      </c>
      <c r="DF692" s="424">
        <f t="shared" si="1645"/>
        <v>0</v>
      </c>
      <c r="DG692" s="424">
        <f t="shared" si="1645"/>
        <v>0</v>
      </c>
      <c r="DH692" s="424">
        <f t="shared" si="1645"/>
        <v>0</v>
      </c>
      <c r="DI692" s="424">
        <f t="shared" si="1645"/>
        <v>0</v>
      </c>
      <c r="DJ692" s="424">
        <f t="shared" si="1645"/>
        <v>0</v>
      </c>
      <c r="DK692" s="424">
        <f t="shared" si="1645"/>
        <v>0</v>
      </c>
      <c r="DL692" s="424">
        <f t="shared" si="1645"/>
        <v>0</v>
      </c>
      <c r="DM692" s="424">
        <f t="shared" si="1645"/>
        <v>0</v>
      </c>
      <c r="DN692" s="424">
        <f t="shared" si="1645"/>
        <v>0</v>
      </c>
      <c r="DO692" s="424">
        <f t="shared" si="1645"/>
        <v>0</v>
      </c>
      <c r="DP692" s="424">
        <f t="shared" si="1645"/>
        <v>0</v>
      </c>
      <c r="DQ692" s="424">
        <f t="shared" si="1645"/>
        <v>0</v>
      </c>
      <c r="DR692" s="424">
        <f t="shared" si="1645"/>
        <v>0</v>
      </c>
      <c r="DS692" s="424">
        <f t="shared" si="1645"/>
        <v>0</v>
      </c>
      <c r="DT692" s="424">
        <f t="shared" si="1645"/>
        <v>0</v>
      </c>
      <c r="DU692" s="424">
        <f t="shared" si="1645"/>
        <v>0</v>
      </c>
      <c r="DV692" s="424">
        <f t="shared" si="1645"/>
        <v>0</v>
      </c>
      <c r="DW692" s="424">
        <f t="shared" si="1645"/>
        <v>0</v>
      </c>
      <c r="DX692" s="424">
        <f t="shared" si="1645"/>
        <v>0</v>
      </c>
      <c r="DY692" s="424">
        <f t="shared" si="1645"/>
        <v>0</v>
      </c>
      <c r="DZ692" s="424">
        <f t="shared" si="1645"/>
        <v>0</v>
      </c>
      <c r="EA692" s="424">
        <f t="shared" si="1645"/>
        <v>0</v>
      </c>
      <c r="EB692" s="424">
        <f t="shared" si="1645"/>
        <v>0</v>
      </c>
      <c r="EC692" s="424">
        <f t="shared" si="1645"/>
        <v>0</v>
      </c>
      <c r="ED692" s="424">
        <f t="shared" si="1645"/>
        <v>0</v>
      </c>
      <c r="EE692" s="424">
        <f t="shared" si="1645"/>
        <v>0</v>
      </c>
      <c r="EF692" s="424">
        <f t="shared" si="1645"/>
        <v>0</v>
      </c>
      <c r="EG692" s="424">
        <f t="shared" si="1645"/>
        <v>0</v>
      </c>
      <c r="EH692" s="424">
        <f t="shared" ref="EH692:EX692" si="1646">EH322*EH$372</f>
        <v>0</v>
      </c>
      <c r="EI692" s="424">
        <f t="shared" si="1646"/>
        <v>0</v>
      </c>
      <c r="EJ692" s="424">
        <f t="shared" si="1646"/>
        <v>0</v>
      </c>
      <c r="EK692" s="424">
        <f t="shared" si="1646"/>
        <v>0</v>
      </c>
      <c r="EL692" s="424">
        <f t="shared" si="1646"/>
        <v>0</v>
      </c>
      <c r="EM692" s="424">
        <f t="shared" si="1646"/>
        <v>0</v>
      </c>
      <c r="EN692" s="424">
        <f t="shared" si="1646"/>
        <v>0</v>
      </c>
      <c r="EO692" s="424">
        <f t="shared" si="1646"/>
        <v>0</v>
      </c>
      <c r="EP692" s="424">
        <f t="shared" si="1646"/>
        <v>0</v>
      </c>
      <c r="EQ692" s="424">
        <f t="shared" si="1646"/>
        <v>0</v>
      </c>
      <c r="ER692" s="424">
        <f t="shared" si="1646"/>
        <v>0</v>
      </c>
      <c r="ES692" s="424">
        <f t="shared" si="1646"/>
        <v>0</v>
      </c>
      <c r="ET692" s="424">
        <f t="shared" si="1646"/>
        <v>0</v>
      </c>
      <c r="EU692" s="424">
        <f t="shared" si="1646"/>
        <v>0</v>
      </c>
      <c r="EV692" s="424">
        <f t="shared" si="1646"/>
        <v>0</v>
      </c>
      <c r="EW692" s="424">
        <f t="shared" si="1646"/>
        <v>0</v>
      </c>
      <c r="EX692" s="424">
        <f t="shared" si="1646"/>
        <v>0</v>
      </c>
      <c r="EY692" s="425">
        <f t="shared" si="1420"/>
        <v>968.39</v>
      </c>
      <c r="EZ692" s="616"/>
      <c r="FA692" s="616"/>
      <c r="FB692" s="616"/>
      <c r="FC692" s="616"/>
      <c r="FD692" s="616"/>
      <c r="FE692" s="616"/>
      <c r="FF692" s="616"/>
      <c r="FG692" s="616"/>
      <c r="FH692" s="616"/>
      <c r="FI692" s="616"/>
      <c r="FJ692" s="616"/>
    </row>
    <row r="693" spans="1:166" s="905" customFormat="1" ht="14.7" customHeight="1" x14ac:dyDescent="0.25">
      <c r="A693" s="310">
        <v>319</v>
      </c>
      <c r="B693" s="311" t="str">
        <f t="shared" si="1331"/>
        <v>Фарш из свежей капусты с луком</v>
      </c>
      <c r="C693" s="483">
        <f t="shared" si="1421"/>
        <v>107.84</v>
      </c>
      <c r="D693" s="888"/>
      <c r="E693" s="888"/>
      <c r="F693" s="888"/>
      <c r="G693" s="889"/>
      <c r="H693" s="680">
        <f t="shared" si="1338"/>
        <v>461</v>
      </c>
      <c r="I693" s="1209">
        <f t="shared" si="1332"/>
        <v>0</v>
      </c>
      <c r="J693" s="424">
        <f t="shared" ref="J693:AO693" si="1647">J323*J$372</f>
        <v>0</v>
      </c>
      <c r="K693" s="424">
        <f t="shared" si="1647"/>
        <v>0</v>
      </c>
      <c r="L693" s="424">
        <f t="shared" si="1647"/>
        <v>0</v>
      </c>
      <c r="M693" s="424">
        <f t="shared" si="1647"/>
        <v>0</v>
      </c>
      <c r="N693" s="424">
        <f t="shared" si="1647"/>
        <v>0</v>
      </c>
      <c r="O693" s="424">
        <f t="shared" si="1647"/>
        <v>0</v>
      </c>
      <c r="P693" s="424">
        <f t="shared" si="1647"/>
        <v>0</v>
      </c>
      <c r="Q693" s="424">
        <f t="shared" si="1647"/>
        <v>0</v>
      </c>
      <c r="R693" s="424">
        <f t="shared" si="1647"/>
        <v>0</v>
      </c>
      <c r="S693" s="424">
        <f t="shared" si="1647"/>
        <v>0</v>
      </c>
      <c r="T693" s="424">
        <f t="shared" si="1647"/>
        <v>0</v>
      </c>
      <c r="U693" s="424">
        <f t="shared" si="1647"/>
        <v>0</v>
      </c>
      <c r="V693" s="424">
        <f t="shared" si="1647"/>
        <v>0</v>
      </c>
      <c r="W693" s="424">
        <f t="shared" si="1647"/>
        <v>0</v>
      </c>
      <c r="X693" s="424">
        <f t="shared" si="1647"/>
        <v>0</v>
      </c>
      <c r="Y693" s="424">
        <f t="shared" si="1647"/>
        <v>0</v>
      </c>
      <c r="Z693" s="424">
        <f t="shared" si="1647"/>
        <v>0</v>
      </c>
      <c r="AA693" s="424">
        <f t="shared" si="1647"/>
        <v>0</v>
      </c>
      <c r="AB693" s="424">
        <f t="shared" si="1647"/>
        <v>0</v>
      </c>
      <c r="AC693" s="424">
        <f t="shared" si="1647"/>
        <v>0</v>
      </c>
      <c r="AD693" s="424">
        <f t="shared" si="1647"/>
        <v>0</v>
      </c>
      <c r="AE693" s="424">
        <f t="shared" si="1647"/>
        <v>0</v>
      </c>
      <c r="AF693" s="424">
        <f t="shared" si="1647"/>
        <v>79.5</v>
      </c>
      <c r="AG693" s="424">
        <f t="shared" si="1647"/>
        <v>0</v>
      </c>
      <c r="AH693" s="424">
        <f t="shared" si="1647"/>
        <v>0</v>
      </c>
      <c r="AI693" s="424">
        <f t="shared" si="1647"/>
        <v>0</v>
      </c>
      <c r="AJ693" s="424">
        <f t="shared" si="1647"/>
        <v>0</v>
      </c>
      <c r="AK693" s="424">
        <f t="shared" si="1647"/>
        <v>11.9</v>
      </c>
      <c r="AL693" s="424">
        <f t="shared" si="1647"/>
        <v>0</v>
      </c>
      <c r="AM693" s="424">
        <f t="shared" si="1647"/>
        <v>0</v>
      </c>
      <c r="AN693" s="424">
        <f t="shared" si="1647"/>
        <v>0</v>
      </c>
      <c r="AO693" s="424">
        <f t="shared" si="1647"/>
        <v>0</v>
      </c>
      <c r="AP693" s="424">
        <f t="shared" ref="AP693:BU693" si="1648">AP323*AP$372</f>
        <v>0</v>
      </c>
      <c r="AQ693" s="424">
        <f t="shared" si="1648"/>
        <v>0</v>
      </c>
      <c r="AR693" s="424">
        <f t="shared" si="1648"/>
        <v>0</v>
      </c>
      <c r="AS693" s="424">
        <f t="shared" si="1648"/>
        <v>0</v>
      </c>
      <c r="AT693" s="424">
        <f t="shared" si="1648"/>
        <v>0</v>
      </c>
      <c r="AU693" s="424">
        <f t="shared" si="1648"/>
        <v>4.2</v>
      </c>
      <c r="AV693" s="424">
        <f t="shared" si="1648"/>
        <v>0</v>
      </c>
      <c r="AW693" s="424">
        <f t="shared" si="1648"/>
        <v>0</v>
      </c>
      <c r="AX693" s="424">
        <f t="shared" si="1648"/>
        <v>0</v>
      </c>
      <c r="AY693" s="424">
        <f t="shared" si="1648"/>
        <v>0</v>
      </c>
      <c r="AZ693" s="424">
        <f t="shared" si="1648"/>
        <v>0</v>
      </c>
      <c r="BA693" s="424">
        <f t="shared" si="1648"/>
        <v>0</v>
      </c>
      <c r="BB693" s="424">
        <f t="shared" si="1648"/>
        <v>0</v>
      </c>
      <c r="BC693" s="424">
        <f t="shared" si="1648"/>
        <v>0</v>
      </c>
      <c r="BD693" s="424">
        <f t="shared" si="1648"/>
        <v>0</v>
      </c>
      <c r="BE693" s="424">
        <f t="shared" si="1648"/>
        <v>0</v>
      </c>
      <c r="BF693" s="424">
        <f t="shared" si="1648"/>
        <v>0</v>
      </c>
      <c r="BG693" s="424">
        <f t="shared" si="1648"/>
        <v>0</v>
      </c>
      <c r="BH693" s="424">
        <f t="shared" si="1648"/>
        <v>0</v>
      </c>
      <c r="BI693" s="424">
        <f t="shared" si="1648"/>
        <v>0</v>
      </c>
      <c r="BJ693" s="424">
        <f t="shared" si="1648"/>
        <v>0</v>
      </c>
      <c r="BK693" s="424">
        <f t="shared" si="1648"/>
        <v>0</v>
      </c>
      <c r="BL693" s="424">
        <f t="shared" si="1648"/>
        <v>0</v>
      </c>
      <c r="BM693" s="424">
        <f t="shared" si="1648"/>
        <v>0</v>
      </c>
      <c r="BN693" s="424">
        <f t="shared" si="1648"/>
        <v>0</v>
      </c>
      <c r="BO693" s="424">
        <f t="shared" si="1648"/>
        <v>0</v>
      </c>
      <c r="BP693" s="424">
        <f t="shared" si="1648"/>
        <v>0</v>
      </c>
      <c r="BQ693" s="424">
        <f t="shared" si="1648"/>
        <v>0</v>
      </c>
      <c r="BR693" s="424">
        <f t="shared" si="1648"/>
        <v>0</v>
      </c>
      <c r="BS693" s="424">
        <f t="shared" si="1648"/>
        <v>0</v>
      </c>
      <c r="BT693" s="424">
        <f t="shared" si="1648"/>
        <v>0</v>
      </c>
      <c r="BU693" s="424">
        <f t="shared" si="1648"/>
        <v>0</v>
      </c>
      <c r="BV693" s="424">
        <f t="shared" ref="BV693:DA693" si="1649">BV323*BV$372</f>
        <v>0</v>
      </c>
      <c r="BW693" s="424">
        <f t="shared" si="1649"/>
        <v>0</v>
      </c>
      <c r="BX693" s="424">
        <f t="shared" si="1649"/>
        <v>0</v>
      </c>
      <c r="BY693" s="424">
        <f t="shared" si="1649"/>
        <v>0</v>
      </c>
      <c r="BZ693" s="424">
        <f t="shared" si="1649"/>
        <v>0</v>
      </c>
      <c r="CA693" s="424">
        <f t="shared" si="1649"/>
        <v>0</v>
      </c>
      <c r="CB693" s="424">
        <f t="shared" si="1649"/>
        <v>0</v>
      </c>
      <c r="CC693" s="424">
        <f t="shared" si="1649"/>
        <v>0</v>
      </c>
      <c r="CD693" s="424">
        <f t="shared" si="1649"/>
        <v>0</v>
      </c>
      <c r="CE693" s="424">
        <f t="shared" si="1649"/>
        <v>0</v>
      </c>
      <c r="CF693" s="424">
        <f t="shared" si="1649"/>
        <v>12</v>
      </c>
      <c r="CG693" s="424">
        <f t="shared" si="1649"/>
        <v>0</v>
      </c>
      <c r="CH693" s="424">
        <f t="shared" si="1649"/>
        <v>0</v>
      </c>
      <c r="CI693" s="424">
        <f t="shared" si="1649"/>
        <v>0</v>
      </c>
      <c r="CJ693" s="424">
        <f t="shared" si="1649"/>
        <v>0</v>
      </c>
      <c r="CK693" s="424">
        <f t="shared" si="1649"/>
        <v>0</v>
      </c>
      <c r="CL693" s="424">
        <f t="shared" si="1649"/>
        <v>0</v>
      </c>
      <c r="CM693" s="424">
        <f t="shared" si="1649"/>
        <v>0</v>
      </c>
      <c r="CN693" s="424">
        <f t="shared" si="1649"/>
        <v>0</v>
      </c>
      <c r="CO693" s="424">
        <f t="shared" si="1649"/>
        <v>0</v>
      </c>
      <c r="CP693" s="424">
        <f t="shared" si="1649"/>
        <v>0</v>
      </c>
      <c r="CQ693" s="424">
        <f t="shared" si="1649"/>
        <v>0</v>
      </c>
      <c r="CR693" s="424">
        <f t="shared" si="1649"/>
        <v>0</v>
      </c>
      <c r="CS693" s="424">
        <f t="shared" si="1649"/>
        <v>0</v>
      </c>
      <c r="CT693" s="424">
        <f t="shared" si="1649"/>
        <v>0</v>
      </c>
      <c r="CU693" s="424">
        <f t="shared" si="1649"/>
        <v>0</v>
      </c>
      <c r="CV693" s="424">
        <f t="shared" si="1649"/>
        <v>0</v>
      </c>
      <c r="CW693" s="424">
        <f t="shared" si="1649"/>
        <v>0</v>
      </c>
      <c r="CX693" s="424">
        <f t="shared" si="1649"/>
        <v>0</v>
      </c>
      <c r="CY693" s="424">
        <f t="shared" si="1649"/>
        <v>0</v>
      </c>
      <c r="CZ693" s="424">
        <f t="shared" si="1649"/>
        <v>0</v>
      </c>
      <c r="DA693" s="424">
        <f t="shared" si="1649"/>
        <v>0</v>
      </c>
      <c r="DB693" s="424">
        <f t="shared" ref="DB693:EG693" si="1650">DB323*DB$372</f>
        <v>0</v>
      </c>
      <c r="DC693" s="424">
        <f t="shared" si="1650"/>
        <v>0.24</v>
      </c>
      <c r="DD693" s="424">
        <f t="shared" si="1650"/>
        <v>0</v>
      </c>
      <c r="DE693" s="424">
        <f t="shared" si="1650"/>
        <v>0</v>
      </c>
      <c r="DF693" s="424">
        <f t="shared" si="1650"/>
        <v>0</v>
      </c>
      <c r="DG693" s="424">
        <f t="shared" si="1650"/>
        <v>0</v>
      </c>
      <c r="DH693" s="424">
        <f t="shared" si="1650"/>
        <v>0</v>
      </c>
      <c r="DI693" s="424">
        <f t="shared" si="1650"/>
        <v>0</v>
      </c>
      <c r="DJ693" s="424">
        <f t="shared" si="1650"/>
        <v>0</v>
      </c>
      <c r="DK693" s="424">
        <f t="shared" si="1650"/>
        <v>0</v>
      </c>
      <c r="DL693" s="424">
        <f t="shared" si="1650"/>
        <v>0</v>
      </c>
      <c r="DM693" s="424">
        <f t="shared" si="1650"/>
        <v>0</v>
      </c>
      <c r="DN693" s="424">
        <f t="shared" si="1650"/>
        <v>0</v>
      </c>
      <c r="DO693" s="424">
        <f t="shared" si="1650"/>
        <v>0</v>
      </c>
      <c r="DP693" s="424">
        <f t="shared" si="1650"/>
        <v>0</v>
      </c>
      <c r="DQ693" s="424">
        <f t="shared" si="1650"/>
        <v>0</v>
      </c>
      <c r="DR693" s="424">
        <f t="shared" si="1650"/>
        <v>0</v>
      </c>
      <c r="DS693" s="424">
        <f t="shared" si="1650"/>
        <v>0</v>
      </c>
      <c r="DT693" s="424">
        <f t="shared" si="1650"/>
        <v>0</v>
      </c>
      <c r="DU693" s="424">
        <f t="shared" si="1650"/>
        <v>0</v>
      </c>
      <c r="DV693" s="424">
        <f t="shared" si="1650"/>
        <v>0</v>
      </c>
      <c r="DW693" s="424">
        <f t="shared" si="1650"/>
        <v>0</v>
      </c>
      <c r="DX693" s="424">
        <f t="shared" si="1650"/>
        <v>0</v>
      </c>
      <c r="DY693" s="424">
        <f t="shared" si="1650"/>
        <v>0</v>
      </c>
      <c r="DZ693" s="424">
        <f t="shared" si="1650"/>
        <v>0</v>
      </c>
      <c r="EA693" s="424">
        <f t="shared" si="1650"/>
        <v>0</v>
      </c>
      <c r="EB693" s="424">
        <f t="shared" si="1650"/>
        <v>0</v>
      </c>
      <c r="EC693" s="424">
        <f t="shared" si="1650"/>
        <v>0</v>
      </c>
      <c r="ED693" s="424">
        <f t="shared" si="1650"/>
        <v>0</v>
      </c>
      <c r="EE693" s="424">
        <f t="shared" si="1650"/>
        <v>0</v>
      </c>
      <c r="EF693" s="424">
        <f t="shared" si="1650"/>
        <v>0</v>
      </c>
      <c r="EG693" s="424">
        <f t="shared" si="1650"/>
        <v>0</v>
      </c>
      <c r="EH693" s="424">
        <f t="shared" ref="EH693:EX693" si="1651">EH323*EH$372</f>
        <v>0</v>
      </c>
      <c r="EI693" s="424">
        <f t="shared" si="1651"/>
        <v>0</v>
      </c>
      <c r="EJ693" s="424">
        <f t="shared" si="1651"/>
        <v>0</v>
      </c>
      <c r="EK693" s="424">
        <f t="shared" si="1651"/>
        <v>0</v>
      </c>
      <c r="EL693" s="424">
        <f t="shared" si="1651"/>
        <v>0</v>
      </c>
      <c r="EM693" s="424">
        <f t="shared" si="1651"/>
        <v>0</v>
      </c>
      <c r="EN693" s="424">
        <f t="shared" si="1651"/>
        <v>0</v>
      </c>
      <c r="EO693" s="424">
        <f t="shared" si="1651"/>
        <v>0</v>
      </c>
      <c r="EP693" s="424">
        <f t="shared" si="1651"/>
        <v>0</v>
      </c>
      <c r="EQ693" s="424">
        <f t="shared" si="1651"/>
        <v>0</v>
      </c>
      <c r="ER693" s="424">
        <f t="shared" si="1651"/>
        <v>0</v>
      </c>
      <c r="ES693" s="424">
        <f t="shared" si="1651"/>
        <v>0</v>
      </c>
      <c r="ET693" s="424">
        <f t="shared" si="1651"/>
        <v>0</v>
      </c>
      <c r="EU693" s="424">
        <f t="shared" si="1651"/>
        <v>0</v>
      </c>
      <c r="EV693" s="424">
        <f t="shared" si="1651"/>
        <v>0</v>
      </c>
      <c r="EW693" s="424">
        <f t="shared" si="1651"/>
        <v>0</v>
      </c>
      <c r="EX693" s="424">
        <f t="shared" si="1651"/>
        <v>0</v>
      </c>
      <c r="EY693" s="425">
        <f t="shared" si="1420"/>
        <v>107.84</v>
      </c>
      <c r="EZ693" s="616"/>
      <c r="FA693" s="616"/>
      <c r="FB693" s="616"/>
      <c r="FC693" s="616"/>
      <c r="FD693" s="616"/>
      <c r="FE693" s="616"/>
      <c r="FF693" s="616"/>
      <c r="FG693" s="616"/>
      <c r="FH693" s="616"/>
      <c r="FI693" s="616"/>
      <c r="FJ693" s="616"/>
    </row>
    <row r="694" spans="1:166" s="905" customFormat="1" ht="14.7" customHeight="1" x14ac:dyDescent="0.25">
      <c r="A694" s="310">
        <v>320</v>
      </c>
      <c r="B694" s="311" t="str">
        <f t="shared" si="1331"/>
        <v>Фарш картофельный с луком</v>
      </c>
      <c r="C694" s="483">
        <f t="shared" si="1421"/>
        <v>80.989999999999995</v>
      </c>
      <c r="D694" s="888"/>
      <c r="E694" s="888"/>
      <c r="F694" s="888"/>
      <c r="G694" s="889"/>
      <c r="H694" s="680">
        <f t="shared" si="1338"/>
        <v>467</v>
      </c>
      <c r="I694" s="1209">
        <f t="shared" si="1332"/>
        <v>0</v>
      </c>
      <c r="J694" s="424">
        <f t="shared" ref="J694:AO694" si="1652">J324*J$372</f>
        <v>0</v>
      </c>
      <c r="K694" s="424">
        <f t="shared" si="1652"/>
        <v>0</v>
      </c>
      <c r="L694" s="424">
        <f t="shared" si="1652"/>
        <v>0</v>
      </c>
      <c r="M694" s="424">
        <f t="shared" si="1652"/>
        <v>0</v>
      </c>
      <c r="N694" s="424">
        <f t="shared" si="1652"/>
        <v>0</v>
      </c>
      <c r="O694" s="424">
        <f t="shared" si="1652"/>
        <v>0</v>
      </c>
      <c r="P694" s="424">
        <f t="shared" si="1652"/>
        <v>0</v>
      </c>
      <c r="Q694" s="424">
        <f t="shared" si="1652"/>
        <v>0</v>
      </c>
      <c r="R694" s="424">
        <f t="shared" si="1652"/>
        <v>0</v>
      </c>
      <c r="S694" s="424">
        <f t="shared" si="1652"/>
        <v>0</v>
      </c>
      <c r="T694" s="424">
        <f t="shared" si="1652"/>
        <v>0</v>
      </c>
      <c r="U694" s="424">
        <f t="shared" si="1652"/>
        <v>0</v>
      </c>
      <c r="V694" s="424">
        <f t="shared" si="1652"/>
        <v>0</v>
      </c>
      <c r="W694" s="424">
        <f t="shared" si="1652"/>
        <v>0</v>
      </c>
      <c r="X694" s="424">
        <f t="shared" si="1652"/>
        <v>0</v>
      </c>
      <c r="Y694" s="424">
        <f t="shared" si="1652"/>
        <v>0</v>
      </c>
      <c r="Z694" s="424">
        <f t="shared" si="1652"/>
        <v>0</v>
      </c>
      <c r="AA694" s="424">
        <f t="shared" si="1652"/>
        <v>0</v>
      </c>
      <c r="AB694" s="424">
        <f t="shared" si="1652"/>
        <v>0</v>
      </c>
      <c r="AC694" s="424">
        <f t="shared" si="1652"/>
        <v>0</v>
      </c>
      <c r="AD694" s="424">
        <f t="shared" si="1652"/>
        <v>0</v>
      </c>
      <c r="AE694" s="424">
        <f t="shared" si="1652"/>
        <v>0</v>
      </c>
      <c r="AF694" s="424">
        <f t="shared" si="1652"/>
        <v>0</v>
      </c>
      <c r="AG694" s="424">
        <f t="shared" si="1652"/>
        <v>0</v>
      </c>
      <c r="AH694" s="424">
        <f t="shared" si="1652"/>
        <v>60.45</v>
      </c>
      <c r="AI694" s="424">
        <f t="shared" si="1652"/>
        <v>0</v>
      </c>
      <c r="AJ694" s="424">
        <f t="shared" si="1652"/>
        <v>0</v>
      </c>
      <c r="AK694" s="424">
        <f t="shared" si="1652"/>
        <v>15.5</v>
      </c>
      <c r="AL694" s="424">
        <f t="shared" si="1652"/>
        <v>0</v>
      </c>
      <c r="AM694" s="424">
        <f t="shared" si="1652"/>
        <v>0</v>
      </c>
      <c r="AN694" s="424">
        <f t="shared" si="1652"/>
        <v>0</v>
      </c>
      <c r="AO694" s="424">
        <f t="shared" si="1652"/>
        <v>0</v>
      </c>
      <c r="AP694" s="424">
        <f t="shared" ref="AP694:BU694" si="1653">AP324*AP$372</f>
        <v>0</v>
      </c>
      <c r="AQ694" s="424">
        <f t="shared" si="1653"/>
        <v>0</v>
      </c>
      <c r="AR694" s="424">
        <f t="shared" si="1653"/>
        <v>0</v>
      </c>
      <c r="AS694" s="424">
        <f t="shared" si="1653"/>
        <v>0</v>
      </c>
      <c r="AT694" s="424">
        <f t="shared" si="1653"/>
        <v>0</v>
      </c>
      <c r="AU694" s="424">
        <f t="shared" si="1653"/>
        <v>0</v>
      </c>
      <c r="AV694" s="424">
        <f t="shared" si="1653"/>
        <v>0</v>
      </c>
      <c r="AW694" s="424">
        <f t="shared" si="1653"/>
        <v>0</v>
      </c>
      <c r="AX694" s="424">
        <f t="shared" si="1653"/>
        <v>0</v>
      </c>
      <c r="AY694" s="424">
        <f t="shared" si="1653"/>
        <v>0</v>
      </c>
      <c r="AZ694" s="424">
        <f t="shared" si="1653"/>
        <v>0</v>
      </c>
      <c r="BA694" s="424">
        <f t="shared" si="1653"/>
        <v>0</v>
      </c>
      <c r="BB694" s="424">
        <f t="shared" si="1653"/>
        <v>0</v>
      </c>
      <c r="BC694" s="424">
        <f t="shared" si="1653"/>
        <v>0</v>
      </c>
      <c r="BD694" s="424">
        <f t="shared" si="1653"/>
        <v>0</v>
      </c>
      <c r="BE694" s="424">
        <f t="shared" si="1653"/>
        <v>0</v>
      </c>
      <c r="BF694" s="424">
        <f t="shared" si="1653"/>
        <v>0</v>
      </c>
      <c r="BG694" s="424">
        <f t="shared" si="1653"/>
        <v>0</v>
      </c>
      <c r="BH694" s="424">
        <f t="shared" si="1653"/>
        <v>0</v>
      </c>
      <c r="BI694" s="424">
        <f t="shared" si="1653"/>
        <v>0</v>
      </c>
      <c r="BJ694" s="424">
        <f t="shared" si="1653"/>
        <v>0</v>
      </c>
      <c r="BK694" s="424">
        <f t="shared" si="1653"/>
        <v>0</v>
      </c>
      <c r="BL694" s="424">
        <f t="shared" si="1653"/>
        <v>0</v>
      </c>
      <c r="BM694" s="424">
        <f t="shared" si="1653"/>
        <v>0</v>
      </c>
      <c r="BN694" s="424">
        <f t="shared" si="1653"/>
        <v>0</v>
      </c>
      <c r="BO694" s="424">
        <f t="shared" si="1653"/>
        <v>0</v>
      </c>
      <c r="BP694" s="424">
        <f t="shared" si="1653"/>
        <v>0</v>
      </c>
      <c r="BQ694" s="424">
        <f t="shared" si="1653"/>
        <v>0</v>
      </c>
      <c r="BR694" s="424">
        <f t="shared" si="1653"/>
        <v>0</v>
      </c>
      <c r="BS694" s="424">
        <f t="shared" si="1653"/>
        <v>0</v>
      </c>
      <c r="BT694" s="424">
        <f t="shared" si="1653"/>
        <v>0</v>
      </c>
      <c r="BU694" s="424">
        <f t="shared" si="1653"/>
        <v>0</v>
      </c>
      <c r="BV694" s="424">
        <f t="shared" ref="BV694:DA694" si="1654">BV324*BV$372</f>
        <v>0</v>
      </c>
      <c r="BW694" s="424">
        <f t="shared" si="1654"/>
        <v>0</v>
      </c>
      <c r="BX694" s="424">
        <f t="shared" si="1654"/>
        <v>0</v>
      </c>
      <c r="BY694" s="424">
        <f t="shared" si="1654"/>
        <v>0</v>
      </c>
      <c r="BZ694" s="424">
        <f t="shared" si="1654"/>
        <v>0</v>
      </c>
      <c r="CA694" s="424">
        <f t="shared" si="1654"/>
        <v>0</v>
      </c>
      <c r="CB694" s="424">
        <f t="shared" si="1654"/>
        <v>0</v>
      </c>
      <c r="CC694" s="424">
        <f t="shared" si="1654"/>
        <v>0</v>
      </c>
      <c r="CD694" s="424">
        <f t="shared" si="1654"/>
        <v>0</v>
      </c>
      <c r="CE694" s="424">
        <f t="shared" si="1654"/>
        <v>0</v>
      </c>
      <c r="CF694" s="424">
        <f t="shared" si="1654"/>
        <v>4.8</v>
      </c>
      <c r="CG694" s="424">
        <f t="shared" si="1654"/>
        <v>0</v>
      </c>
      <c r="CH694" s="424">
        <f t="shared" si="1654"/>
        <v>0</v>
      </c>
      <c r="CI694" s="424">
        <f t="shared" si="1654"/>
        <v>0</v>
      </c>
      <c r="CJ694" s="424">
        <f t="shared" si="1654"/>
        <v>0</v>
      </c>
      <c r="CK694" s="424">
        <f t="shared" si="1654"/>
        <v>0</v>
      </c>
      <c r="CL694" s="424">
        <f t="shared" si="1654"/>
        <v>0</v>
      </c>
      <c r="CM694" s="424">
        <f t="shared" si="1654"/>
        <v>0</v>
      </c>
      <c r="CN694" s="424">
        <f t="shared" si="1654"/>
        <v>0</v>
      </c>
      <c r="CO694" s="424">
        <f t="shared" si="1654"/>
        <v>0</v>
      </c>
      <c r="CP694" s="424">
        <f t="shared" si="1654"/>
        <v>0</v>
      </c>
      <c r="CQ694" s="424">
        <f t="shared" si="1654"/>
        <v>0</v>
      </c>
      <c r="CR694" s="424">
        <f t="shared" si="1654"/>
        <v>0</v>
      </c>
      <c r="CS694" s="424">
        <f t="shared" si="1654"/>
        <v>0</v>
      </c>
      <c r="CT694" s="424">
        <f t="shared" si="1654"/>
        <v>0</v>
      </c>
      <c r="CU694" s="424">
        <f t="shared" si="1654"/>
        <v>0</v>
      </c>
      <c r="CV694" s="424">
        <f t="shared" si="1654"/>
        <v>0</v>
      </c>
      <c r="CW694" s="424">
        <f t="shared" si="1654"/>
        <v>0</v>
      </c>
      <c r="CX694" s="424">
        <f t="shared" si="1654"/>
        <v>0</v>
      </c>
      <c r="CY694" s="424">
        <f t="shared" si="1654"/>
        <v>0</v>
      </c>
      <c r="CZ694" s="424">
        <f t="shared" si="1654"/>
        <v>0</v>
      </c>
      <c r="DA694" s="424">
        <f t="shared" si="1654"/>
        <v>0</v>
      </c>
      <c r="DB694" s="424">
        <f t="shared" ref="DB694:EG694" si="1655">DB324*DB$372</f>
        <v>0</v>
      </c>
      <c r="DC694" s="424">
        <f t="shared" si="1655"/>
        <v>0.24</v>
      </c>
      <c r="DD694" s="424">
        <f t="shared" si="1655"/>
        <v>0</v>
      </c>
      <c r="DE694" s="424">
        <f t="shared" si="1655"/>
        <v>0</v>
      </c>
      <c r="DF694" s="424">
        <f t="shared" si="1655"/>
        <v>0</v>
      </c>
      <c r="DG694" s="424">
        <f t="shared" si="1655"/>
        <v>0</v>
      </c>
      <c r="DH694" s="424">
        <f t="shared" si="1655"/>
        <v>0</v>
      </c>
      <c r="DI694" s="424">
        <f t="shared" si="1655"/>
        <v>0</v>
      </c>
      <c r="DJ694" s="424">
        <f t="shared" si="1655"/>
        <v>0</v>
      </c>
      <c r="DK694" s="424">
        <f t="shared" si="1655"/>
        <v>0</v>
      </c>
      <c r="DL694" s="424">
        <f t="shared" si="1655"/>
        <v>0</v>
      </c>
      <c r="DM694" s="424">
        <f t="shared" si="1655"/>
        <v>0</v>
      </c>
      <c r="DN694" s="424">
        <f t="shared" si="1655"/>
        <v>0</v>
      </c>
      <c r="DO694" s="424">
        <f t="shared" si="1655"/>
        <v>0</v>
      </c>
      <c r="DP694" s="424">
        <f t="shared" si="1655"/>
        <v>0</v>
      </c>
      <c r="DQ694" s="424">
        <f t="shared" si="1655"/>
        <v>0</v>
      </c>
      <c r="DR694" s="424">
        <f t="shared" si="1655"/>
        <v>0</v>
      </c>
      <c r="DS694" s="424">
        <f t="shared" si="1655"/>
        <v>0</v>
      </c>
      <c r="DT694" s="424">
        <f t="shared" si="1655"/>
        <v>0</v>
      </c>
      <c r="DU694" s="424">
        <f t="shared" si="1655"/>
        <v>0</v>
      </c>
      <c r="DV694" s="424">
        <f t="shared" si="1655"/>
        <v>0</v>
      </c>
      <c r="DW694" s="424">
        <f t="shared" si="1655"/>
        <v>0</v>
      </c>
      <c r="DX694" s="424">
        <f t="shared" si="1655"/>
        <v>0</v>
      </c>
      <c r="DY694" s="424">
        <f t="shared" si="1655"/>
        <v>0</v>
      </c>
      <c r="DZ694" s="424">
        <f t="shared" si="1655"/>
        <v>0</v>
      </c>
      <c r="EA694" s="424">
        <f t="shared" si="1655"/>
        <v>0</v>
      </c>
      <c r="EB694" s="424">
        <f t="shared" si="1655"/>
        <v>0</v>
      </c>
      <c r="EC694" s="424">
        <f t="shared" si="1655"/>
        <v>0</v>
      </c>
      <c r="ED694" s="424">
        <f t="shared" si="1655"/>
        <v>0</v>
      </c>
      <c r="EE694" s="424">
        <f t="shared" si="1655"/>
        <v>0</v>
      </c>
      <c r="EF694" s="424">
        <f t="shared" si="1655"/>
        <v>0</v>
      </c>
      <c r="EG694" s="424">
        <f t="shared" si="1655"/>
        <v>0</v>
      </c>
      <c r="EH694" s="424">
        <f t="shared" ref="EH694:EX694" si="1656">EH324*EH$372</f>
        <v>0</v>
      </c>
      <c r="EI694" s="424">
        <f t="shared" si="1656"/>
        <v>0</v>
      </c>
      <c r="EJ694" s="424">
        <f t="shared" si="1656"/>
        <v>0</v>
      </c>
      <c r="EK694" s="424">
        <f t="shared" si="1656"/>
        <v>0</v>
      </c>
      <c r="EL694" s="424">
        <f t="shared" si="1656"/>
        <v>0</v>
      </c>
      <c r="EM694" s="424">
        <f t="shared" si="1656"/>
        <v>0</v>
      </c>
      <c r="EN694" s="424">
        <f t="shared" si="1656"/>
        <v>0</v>
      </c>
      <c r="EO694" s="424">
        <f t="shared" si="1656"/>
        <v>0</v>
      </c>
      <c r="EP694" s="424">
        <f t="shared" si="1656"/>
        <v>0</v>
      </c>
      <c r="EQ694" s="424">
        <f t="shared" si="1656"/>
        <v>0</v>
      </c>
      <c r="ER694" s="424">
        <f t="shared" si="1656"/>
        <v>0</v>
      </c>
      <c r="ES694" s="424">
        <f t="shared" si="1656"/>
        <v>0</v>
      </c>
      <c r="ET694" s="424">
        <f t="shared" si="1656"/>
        <v>0</v>
      </c>
      <c r="EU694" s="424">
        <f t="shared" si="1656"/>
        <v>0</v>
      </c>
      <c r="EV694" s="424">
        <f t="shared" si="1656"/>
        <v>0</v>
      </c>
      <c r="EW694" s="424">
        <f t="shared" si="1656"/>
        <v>0</v>
      </c>
      <c r="EX694" s="424">
        <f t="shared" si="1656"/>
        <v>0</v>
      </c>
      <c r="EY694" s="425">
        <f t="shared" si="1420"/>
        <v>80.989999999999995</v>
      </c>
      <c r="EZ694" s="616"/>
      <c r="FA694" s="616"/>
      <c r="FB694" s="616"/>
      <c r="FC694" s="616"/>
      <c r="FD694" s="616"/>
      <c r="FE694" s="616"/>
      <c r="FF694" s="616"/>
      <c r="FG694" s="616"/>
      <c r="FH694" s="616"/>
      <c r="FI694" s="616"/>
      <c r="FJ694" s="616"/>
    </row>
    <row r="695" spans="1:166" s="407" customFormat="1" ht="14.7" customHeight="1" x14ac:dyDescent="0.25">
      <c r="A695" s="310">
        <v>321</v>
      </c>
      <c r="B695" s="311" t="str">
        <f t="shared" ref="B695:B737" si="1657">B325</f>
        <v>Фарш творожный (для ватрушек, пирожков и вареников)</v>
      </c>
      <c r="C695" s="483">
        <f t="shared" si="1421"/>
        <v>334.49</v>
      </c>
      <c r="D695" s="888"/>
      <c r="E695" s="888"/>
      <c r="F695" s="888"/>
      <c r="G695" s="889"/>
      <c r="H695" s="680">
        <f t="shared" si="1338"/>
        <v>468</v>
      </c>
      <c r="I695" s="1209">
        <f t="shared" ref="I695:I740" si="1658">I325-EY695</f>
        <v>0</v>
      </c>
      <c r="J695" s="424">
        <f t="shared" ref="J695:AO695" si="1659">J325*J$372</f>
        <v>0</v>
      </c>
      <c r="K695" s="424">
        <f t="shared" si="1659"/>
        <v>0</v>
      </c>
      <c r="L695" s="424">
        <f t="shared" si="1659"/>
        <v>0</v>
      </c>
      <c r="M695" s="424">
        <f t="shared" si="1659"/>
        <v>0</v>
      </c>
      <c r="N695" s="424">
        <f t="shared" si="1659"/>
        <v>0</v>
      </c>
      <c r="O695" s="424">
        <f t="shared" si="1659"/>
        <v>0</v>
      </c>
      <c r="P695" s="424">
        <f t="shared" si="1659"/>
        <v>0</v>
      </c>
      <c r="Q695" s="424">
        <f t="shared" si="1659"/>
        <v>0</v>
      </c>
      <c r="R695" s="424">
        <f t="shared" si="1659"/>
        <v>0</v>
      </c>
      <c r="S695" s="424">
        <f t="shared" si="1659"/>
        <v>0</v>
      </c>
      <c r="T695" s="424">
        <f t="shared" si="1659"/>
        <v>0</v>
      </c>
      <c r="U695" s="424">
        <f t="shared" si="1659"/>
        <v>0</v>
      </c>
      <c r="V695" s="424">
        <f t="shared" si="1659"/>
        <v>0</v>
      </c>
      <c r="W695" s="424">
        <f t="shared" si="1659"/>
        <v>0</v>
      </c>
      <c r="X695" s="424">
        <f t="shared" si="1659"/>
        <v>320.25</v>
      </c>
      <c r="Y695" s="424">
        <f t="shared" si="1659"/>
        <v>0</v>
      </c>
      <c r="Z695" s="424">
        <f t="shared" si="1659"/>
        <v>0</v>
      </c>
      <c r="AA695" s="424">
        <f t="shared" si="1659"/>
        <v>0</v>
      </c>
      <c r="AB695" s="424">
        <f t="shared" si="1659"/>
        <v>0</v>
      </c>
      <c r="AC695" s="424">
        <f t="shared" si="1659"/>
        <v>0</v>
      </c>
      <c r="AD695" s="424">
        <f t="shared" si="1659"/>
        <v>0</v>
      </c>
      <c r="AE695" s="424">
        <f t="shared" si="1659"/>
        <v>7</v>
      </c>
      <c r="AF695" s="424">
        <f t="shared" si="1659"/>
        <v>0</v>
      </c>
      <c r="AG695" s="424">
        <f t="shared" si="1659"/>
        <v>0</v>
      </c>
      <c r="AH695" s="424">
        <f t="shared" si="1659"/>
        <v>0</v>
      </c>
      <c r="AI695" s="424">
        <f t="shared" si="1659"/>
        <v>0</v>
      </c>
      <c r="AJ695" s="424">
        <f t="shared" si="1659"/>
        <v>0</v>
      </c>
      <c r="AK695" s="424">
        <f t="shared" si="1659"/>
        <v>0</v>
      </c>
      <c r="AL695" s="424">
        <f t="shared" si="1659"/>
        <v>0</v>
      </c>
      <c r="AM695" s="424">
        <f t="shared" si="1659"/>
        <v>0</v>
      </c>
      <c r="AN695" s="424">
        <f t="shared" si="1659"/>
        <v>0</v>
      </c>
      <c r="AO695" s="424">
        <f t="shared" si="1659"/>
        <v>0</v>
      </c>
      <c r="AP695" s="424">
        <f t="shared" ref="AP695:BU695" si="1660">AP325*AP$372</f>
        <v>0</v>
      </c>
      <c r="AQ695" s="424">
        <f t="shared" si="1660"/>
        <v>0</v>
      </c>
      <c r="AR695" s="424">
        <f t="shared" si="1660"/>
        <v>0</v>
      </c>
      <c r="AS695" s="424">
        <f t="shared" si="1660"/>
        <v>0</v>
      </c>
      <c r="AT695" s="424">
        <f t="shared" si="1660"/>
        <v>0</v>
      </c>
      <c r="AU695" s="424">
        <f t="shared" si="1660"/>
        <v>0</v>
      </c>
      <c r="AV695" s="424">
        <f t="shared" si="1660"/>
        <v>0</v>
      </c>
      <c r="AW695" s="424">
        <f t="shared" si="1660"/>
        <v>0</v>
      </c>
      <c r="AX695" s="424">
        <f t="shared" si="1660"/>
        <v>0</v>
      </c>
      <c r="AY695" s="424">
        <f t="shared" si="1660"/>
        <v>0</v>
      </c>
      <c r="AZ695" s="424">
        <f t="shared" si="1660"/>
        <v>0</v>
      </c>
      <c r="BA695" s="424">
        <f t="shared" si="1660"/>
        <v>0</v>
      </c>
      <c r="BB695" s="424">
        <f t="shared" si="1660"/>
        <v>0</v>
      </c>
      <c r="BC695" s="424">
        <f t="shared" si="1660"/>
        <v>0</v>
      </c>
      <c r="BD695" s="424">
        <f t="shared" si="1660"/>
        <v>0</v>
      </c>
      <c r="BE695" s="424">
        <f t="shared" si="1660"/>
        <v>0</v>
      </c>
      <c r="BF695" s="424">
        <f t="shared" si="1660"/>
        <v>0</v>
      </c>
      <c r="BG695" s="424">
        <f t="shared" si="1660"/>
        <v>0</v>
      </c>
      <c r="BH695" s="424">
        <f t="shared" si="1660"/>
        <v>0</v>
      </c>
      <c r="BI695" s="424">
        <f t="shared" si="1660"/>
        <v>0</v>
      </c>
      <c r="BJ695" s="424">
        <f t="shared" si="1660"/>
        <v>0</v>
      </c>
      <c r="BK695" s="424">
        <f t="shared" si="1660"/>
        <v>0</v>
      </c>
      <c r="BL695" s="424">
        <f t="shared" si="1660"/>
        <v>0</v>
      </c>
      <c r="BM695" s="424">
        <f t="shared" si="1660"/>
        <v>0</v>
      </c>
      <c r="BN695" s="424">
        <f t="shared" si="1660"/>
        <v>0</v>
      </c>
      <c r="BO695" s="424">
        <f t="shared" si="1660"/>
        <v>0</v>
      </c>
      <c r="BP695" s="424">
        <f t="shared" si="1660"/>
        <v>0</v>
      </c>
      <c r="BQ695" s="424">
        <f t="shared" si="1660"/>
        <v>0</v>
      </c>
      <c r="BR695" s="424">
        <f t="shared" si="1660"/>
        <v>0</v>
      </c>
      <c r="BS695" s="424">
        <f t="shared" si="1660"/>
        <v>1.44</v>
      </c>
      <c r="BT695" s="424">
        <f t="shared" si="1660"/>
        <v>0</v>
      </c>
      <c r="BU695" s="424">
        <f t="shared" si="1660"/>
        <v>0</v>
      </c>
      <c r="BV695" s="424">
        <f t="shared" ref="BV695:DA695" si="1661">BV325*BV$372</f>
        <v>0</v>
      </c>
      <c r="BW695" s="424">
        <f t="shared" si="1661"/>
        <v>0</v>
      </c>
      <c r="BX695" s="424">
        <f t="shared" si="1661"/>
        <v>0</v>
      </c>
      <c r="BY695" s="424">
        <f t="shared" si="1661"/>
        <v>0</v>
      </c>
      <c r="BZ695" s="424">
        <f t="shared" si="1661"/>
        <v>0</v>
      </c>
      <c r="CA695" s="424">
        <f t="shared" si="1661"/>
        <v>0</v>
      </c>
      <c r="CB695" s="424">
        <f t="shared" si="1661"/>
        <v>0</v>
      </c>
      <c r="CC695" s="424">
        <f t="shared" si="1661"/>
        <v>0</v>
      </c>
      <c r="CD695" s="424">
        <f t="shared" si="1661"/>
        <v>0</v>
      </c>
      <c r="CE695" s="424">
        <f t="shared" si="1661"/>
        <v>0</v>
      </c>
      <c r="CF695" s="424">
        <f t="shared" si="1661"/>
        <v>0</v>
      </c>
      <c r="CG695" s="424">
        <f t="shared" si="1661"/>
        <v>0</v>
      </c>
      <c r="CH695" s="424">
        <f t="shared" si="1661"/>
        <v>0</v>
      </c>
      <c r="CI695" s="424">
        <f t="shared" si="1661"/>
        <v>2</v>
      </c>
      <c r="CJ695" s="424">
        <f t="shared" si="1661"/>
        <v>0</v>
      </c>
      <c r="CK695" s="424">
        <f t="shared" si="1661"/>
        <v>0</v>
      </c>
      <c r="CL695" s="424">
        <f t="shared" si="1661"/>
        <v>0</v>
      </c>
      <c r="CM695" s="424">
        <f t="shared" si="1661"/>
        <v>0</v>
      </c>
      <c r="CN695" s="424">
        <f t="shared" si="1661"/>
        <v>0</v>
      </c>
      <c r="CO695" s="424">
        <f t="shared" si="1661"/>
        <v>0</v>
      </c>
      <c r="CP695" s="424">
        <f t="shared" si="1661"/>
        <v>0</v>
      </c>
      <c r="CQ695" s="424">
        <f t="shared" si="1661"/>
        <v>0</v>
      </c>
      <c r="CR695" s="424">
        <f t="shared" si="1661"/>
        <v>0</v>
      </c>
      <c r="CS695" s="424">
        <f t="shared" si="1661"/>
        <v>0</v>
      </c>
      <c r="CT695" s="424">
        <f t="shared" si="1661"/>
        <v>0</v>
      </c>
      <c r="CU695" s="424">
        <f t="shared" si="1661"/>
        <v>0</v>
      </c>
      <c r="CV695" s="424">
        <f t="shared" si="1661"/>
        <v>0</v>
      </c>
      <c r="CW695" s="424">
        <f t="shared" si="1661"/>
        <v>0</v>
      </c>
      <c r="CX695" s="424">
        <f t="shared" si="1661"/>
        <v>0</v>
      </c>
      <c r="CY695" s="424">
        <f t="shared" si="1661"/>
        <v>0</v>
      </c>
      <c r="CZ695" s="424">
        <f t="shared" si="1661"/>
        <v>3.8</v>
      </c>
      <c r="DA695" s="424">
        <f t="shared" si="1661"/>
        <v>0</v>
      </c>
      <c r="DB695" s="424">
        <f t="shared" ref="DB695:EG695" si="1662">DB325*DB$372</f>
        <v>0</v>
      </c>
      <c r="DC695" s="424">
        <f t="shared" si="1662"/>
        <v>0</v>
      </c>
      <c r="DD695" s="424">
        <f t="shared" si="1662"/>
        <v>0</v>
      </c>
      <c r="DE695" s="424">
        <f t="shared" si="1662"/>
        <v>0</v>
      </c>
      <c r="DF695" s="424">
        <f t="shared" si="1662"/>
        <v>0</v>
      </c>
      <c r="DG695" s="424">
        <f t="shared" si="1662"/>
        <v>0</v>
      </c>
      <c r="DH695" s="424">
        <f t="shared" si="1662"/>
        <v>0</v>
      </c>
      <c r="DI695" s="424">
        <f t="shared" si="1662"/>
        <v>0</v>
      </c>
      <c r="DJ695" s="424">
        <f t="shared" si="1662"/>
        <v>0</v>
      </c>
      <c r="DK695" s="424">
        <f t="shared" si="1662"/>
        <v>0</v>
      </c>
      <c r="DL695" s="424">
        <f t="shared" si="1662"/>
        <v>0</v>
      </c>
      <c r="DM695" s="424">
        <f t="shared" si="1662"/>
        <v>0</v>
      </c>
      <c r="DN695" s="424">
        <f t="shared" si="1662"/>
        <v>0</v>
      </c>
      <c r="DO695" s="424">
        <f t="shared" si="1662"/>
        <v>0</v>
      </c>
      <c r="DP695" s="424">
        <f t="shared" si="1662"/>
        <v>0</v>
      </c>
      <c r="DQ695" s="424">
        <f t="shared" si="1662"/>
        <v>0</v>
      </c>
      <c r="DR695" s="424">
        <f t="shared" si="1662"/>
        <v>0</v>
      </c>
      <c r="DS695" s="424">
        <f t="shared" si="1662"/>
        <v>0</v>
      </c>
      <c r="DT695" s="424">
        <f t="shared" si="1662"/>
        <v>0</v>
      </c>
      <c r="DU695" s="424">
        <f t="shared" si="1662"/>
        <v>0</v>
      </c>
      <c r="DV695" s="424">
        <f t="shared" si="1662"/>
        <v>0</v>
      </c>
      <c r="DW695" s="424">
        <f t="shared" si="1662"/>
        <v>0</v>
      </c>
      <c r="DX695" s="424">
        <f t="shared" si="1662"/>
        <v>0</v>
      </c>
      <c r="DY695" s="424">
        <f t="shared" si="1662"/>
        <v>0</v>
      </c>
      <c r="DZ695" s="424">
        <f t="shared" si="1662"/>
        <v>0</v>
      </c>
      <c r="EA695" s="424">
        <f t="shared" si="1662"/>
        <v>0</v>
      </c>
      <c r="EB695" s="424">
        <f t="shared" si="1662"/>
        <v>0</v>
      </c>
      <c r="EC695" s="424">
        <f t="shared" si="1662"/>
        <v>0</v>
      </c>
      <c r="ED695" s="424">
        <f t="shared" si="1662"/>
        <v>0</v>
      </c>
      <c r="EE695" s="424">
        <f t="shared" si="1662"/>
        <v>0</v>
      </c>
      <c r="EF695" s="424">
        <f t="shared" si="1662"/>
        <v>0</v>
      </c>
      <c r="EG695" s="424">
        <f t="shared" si="1662"/>
        <v>0</v>
      </c>
      <c r="EH695" s="424">
        <f t="shared" ref="EH695:EX695" si="1663">EH325*EH$372</f>
        <v>0</v>
      </c>
      <c r="EI695" s="424">
        <f t="shared" si="1663"/>
        <v>0</v>
      </c>
      <c r="EJ695" s="424">
        <f t="shared" si="1663"/>
        <v>0</v>
      </c>
      <c r="EK695" s="424">
        <f t="shared" si="1663"/>
        <v>0</v>
      </c>
      <c r="EL695" s="424">
        <f t="shared" si="1663"/>
        <v>0</v>
      </c>
      <c r="EM695" s="424">
        <f t="shared" si="1663"/>
        <v>0</v>
      </c>
      <c r="EN695" s="424">
        <f t="shared" si="1663"/>
        <v>0</v>
      </c>
      <c r="EO695" s="424">
        <f t="shared" si="1663"/>
        <v>0</v>
      </c>
      <c r="EP695" s="424">
        <f t="shared" si="1663"/>
        <v>0</v>
      </c>
      <c r="EQ695" s="424">
        <f t="shared" si="1663"/>
        <v>0</v>
      </c>
      <c r="ER695" s="424">
        <f t="shared" si="1663"/>
        <v>0</v>
      </c>
      <c r="ES695" s="424">
        <f t="shared" si="1663"/>
        <v>0</v>
      </c>
      <c r="ET695" s="424">
        <f t="shared" si="1663"/>
        <v>0</v>
      </c>
      <c r="EU695" s="424">
        <f t="shared" si="1663"/>
        <v>0</v>
      </c>
      <c r="EV695" s="424">
        <f t="shared" si="1663"/>
        <v>0</v>
      </c>
      <c r="EW695" s="424">
        <f t="shared" si="1663"/>
        <v>0</v>
      </c>
      <c r="EX695" s="424">
        <f t="shared" si="1663"/>
        <v>0</v>
      </c>
      <c r="EY695" s="425">
        <f t="shared" si="1420"/>
        <v>334.49</v>
      </c>
      <c r="EZ695" s="616"/>
      <c r="FA695" s="616"/>
      <c r="FB695" s="616"/>
      <c r="FC695" s="616"/>
      <c r="FD695" s="616"/>
      <c r="FE695" s="616"/>
      <c r="FF695" s="616"/>
      <c r="FG695" s="616"/>
      <c r="FH695" s="616"/>
      <c r="FI695" s="616"/>
      <c r="FJ695" s="616"/>
    </row>
    <row r="696" spans="1:166" s="407" customFormat="1" ht="14.7" customHeight="1" x14ac:dyDescent="0.25">
      <c r="A696" s="310">
        <v>322</v>
      </c>
      <c r="B696" s="311" t="str">
        <f t="shared" si="1657"/>
        <v>Каша молочная "Дружба"</v>
      </c>
      <c r="C696" s="483">
        <f t="shared" si="1421"/>
        <v>17.52</v>
      </c>
      <c r="D696" s="888"/>
      <c r="E696" s="888"/>
      <c r="F696" s="888"/>
      <c r="G696" s="889"/>
      <c r="H696" s="680" t="str">
        <f t="shared" ref="H696:H737" si="1664">H326</f>
        <v>54-16к-2020</v>
      </c>
      <c r="I696" s="1209">
        <f t="shared" si="1658"/>
        <v>0</v>
      </c>
      <c r="J696" s="424">
        <f t="shared" ref="J696:AO696" si="1665">J326*J$372</f>
        <v>0</v>
      </c>
      <c r="K696" s="424">
        <f t="shared" si="1665"/>
        <v>0</v>
      </c>
      <c r="L696" s="424">
        <f t="shared" si="1665"/>
        <v>0</v>
      </c>
      <c r="M696" s="424">
        <f t="shared" si="1665"/>
        <v>0</v>
      </c>
      <c r="N696" s="424">
        <f t="shared" si="1665"/>
        <v>0</v>
      </c>
      <c r="O696" s="424">
        <f t="shared" si="1665"/>
        <v>0</v>
      </c>
      <c r="P696" s="424">
        <f t="shared" si="1665"/>
        <v>0</v>
      </c>
      <c r="Q696" s="424">
        <f t="shared" si="1665"/>
        <v>0</v>
      </c>
      <c r="R696" s="424">
        <f t="shared" si="1665"/>
        <v>0</v>
      </c>
      <c r="S696" s="424">
        <f t="shared" si="1665"/>
        <v>0</v>
      </c>
      <c r="T696" s="424">
        <f t="shared" si="1665"/>
        <v>0</v>
      </c>
      <c r="U696" s="424">
        <f t="shared" si="1665"/>
        <v>10.24</v>
      </c>
      <c r="V696" s="424">
        <f t="shared" si="1665"/>
        <v>4.26</v>
      </c>
      <c r="W696" s="424">
        <f t="shared" si="1665"/>
        <v>0</v>
      </c>
      <c r="X696" s="424">
        <f t="shared" si="1665"/>
        <v>0</v>
      </c>
      <c r="Y696" s="424">
        <f t="shared" si="1665"/>
        <v>0</v>
      </c>
      <c r="Z696" s="424">
        <f t="shared" si="1665"/>
        <v>0</v>
      </c>
      <c r="AA696" s="424">
        <f t="shared" si="1665"/>
        <v>0</v>
      </c>
      <c r="AB696" s="424">
        <f t="shared" si="1665"/>
        <v>0</v>
      </c>
      <c r="AC696" s="424">
        <f t="shared" si="1665"/>
        <v>0</v>
      </c>
      <c r="AD696" s="424">
        <f t="shared" si="1665"/>
        <v>0</v>
      </c>
      <c r="AE696" s="424">
        <f t="shared" si="1665"/>
        <v>0</v>
      </c>
      <c r="AF696" s="424">
        <f t="shared" si="1665"/>
        <v>0</v>
      </c>
      <c r="AG696" s="424">
        <f t="shared" si="1665"/>
        <v>0</v>
      </c>
      <c r="AH696" s="424">
        <f t="shared" si="1665"/>
        <v>0</v>
      </c>
      <c r="AI696" s="424">
        <f t="shared" si="1665"/>
        <v>0</v>
      </c>
      <c r="AJ696" s="424">
        <f t="shared" si="1665"/>
        <v>0</v>
      </c>
      <c r="AK696" s="424">
        <f t="shared" si="1665"/>
        <v>0</v>
      </c>
      <c r="AL696" s="424">
        <f t="shared" si="1665"/>
        <v>0</v>
      </c>
      <c r="AM696" s="424">
        <f t="shared" si="1665"/>
        <v>0</v>
      </c>
      <c r="AN696" s="424">
        <f t="shared" si="1665"/>
        <v>0</v>
      </c>
      <c r="AO696" s="424">
        <f t="shared" si="1665"/>
        <v>0</v>
      </c>
      <c r="AP696" s="424">
        <f t="shared" ref="AP696:BU696" si="1666">AP326*AP$372</f>
        <v>0</v>
      </c>
      <c r="AQ696" s="424">
        <f t="shared" si="1666"/>
        <v>0</v>
      </c>
      <c r="AR696" s="424">
        <f t="shared" si="1666"/>
        <v>0</v>
      </c>
      <c r="AS696" s="424">
        <f t="shared" si="1666"/>
        <v>0</v>
      </c>
      <c r="AT696" s="424">
        <f t="shared" si="1666"/>
        <v>0</v>
      </c>
      <c r="AU696" s="424">
        <f t="shared" si="1666"/>
        <v>0</v>
      </c>
      <c r="AV696" s="424">
        <f t="shared" si="1666"/>
        <v>0</v>
      </c>
      <c r="AW696" s="424">
        <f t="shared" si="1666"/>
        <v>0</v>
      </c>
      <c r="AX696" s="424">
        <f t="shared" si="1666"/>
        <v>0</v>
      </c>
      <c r="AY696" s="424">
        <f t="shared" si="1666"/>
        <v>0</v>
      </c>
      <c r="AZ696" s="424">
        <f t="shared" si="1666"/>
        <v>0</v>
      </c>
      <c r="BA696" s="424">
        <f t="shared" si="1666"/>
        <v>0</v>
      </c>
      <c r="BB696" s="424">
        <f t="shared" si="1666"/>
        <v>0</v>
      </c>
      <c r="BC696" s="424">
        <f t="shared" si="1666"/>
        <v>0</v>
      </c>
      <c r="BD696" s="424">
        <f t="shared" si="1666"/>
        <v>0</v>
      </c>
      <c r="BE696" s="424">
        <f t="shared" si="1666"/>
        <v>0</v>
      </c>
      <c r="BF696" s="424">
        <f t="shared" si="1666"/>
        <v>0</v>
      </c>
      <c r="BG696" s="424">
        <f t="shared" si="1666"/>
        <v>0</v>
      </c>
      <c r="BH696" s="424">
        <f t="shared" si="1666"/>
        <v>0</v>
      </c>
      <c r="BI696" s="424">
        <f t="shared" si="1666"/>
        <v>0</v>
      </c>
      <c r="BJ696" s="424">
        <f t="shared" si="1666"/>
        <v>0</v>
      </c>
      <c r="BK696" s="424">
        <f t="shared" si="1666"/>
        <v>0</v>
      </c>
      <c r="BL696" s="424">
        <f t="shared" si="1666"/>
        <v>0</v>
      </c>
      <c r="BM696" s="424">
        <f t="shared" si="1666"/>
        <v>0</v>
      </c>
      <c r="BN696" s="424">
        <f t="shared" si="1666"/>
        <v>0</v>
      </c>
      <c r="BO696" s="424">
        <f t="shared" si="1666"/>
        <v>0</v>
      </c>
      <c r="BP696" s="424">
        <f t="shared" si="1666"/>
        <v>0</v>
      </c>
      <c r="BQ696" s="424">
        <f t="shared" si="1666"/>
        <v>0</v>
      </c>
      <c r="BR696" s="424">
        <f t="shared" si="1666"/>
        <v>0</v>
      </c>
      <c r="BS696" s="424">
        <f t="shared" si="1666"/>
        <v>0</v>
      </c>
      <c r="BT696" s="424">
        <f t="shared" si="1666"/>
        <v>0</v>
      </c>
      <c r="BU696" s="424">
        <f t="shared" si="1666"/>
        <v>0</v>
      </c>
      <c r="BV696" s="424">
        <f t="shared" ref="BV696:DA696" si="1667">BV326*BV$372</f>
        <v>0</v>
      </c>
      <c r="BW696" s="424">
        <f t="shared" si="1667"/>
        <v>0</v>
      </c>
      <c r="BX696" s="424">
        <f t="shared" si="1667"/>
        <v>0</v>
      </c>
      <c r="BY696" s="424">
        <f t="shared" si="1667"/>
        <v>0</v>
      </c>
      <c r="BZ696" s="424">
        <f t="shared" si="1667"/>
        <v>0</v>
      </c>
      <c r="CA696" s="424">
        <f t="shared" si="1667"/>
        <v>0.84</v>
      </c>
      <c r="CB696" s="424">
        <f t="shared" si="1667"/>
        <v>1.86</v>
      </c>
      <c r="CC696" s="424">
        <f t="shared" si="1667"/>
        <v>0</v>
      </c>
      <c r="CD696" s="424">
        <f t="shared" si="1667"/>
        <v>0</v>
      </c>
      <c r="CE696" s="424">
        <f t="shared" si="1667"/>
        <v>0</v>
      </c>
      <c r="CF696" s="424">
        <f t="shared" si="1667"/>
        <v>0</v>
      </c>
      <c r="CG696" s="424">
        <f t="shared" si="1667"/>
        <v>0</v>
      </c>
      <c r="CH696" s="424">
        <f t="shared" si="1667"/>
        <v>0</v>
      </c>
      <c r="CI696" s="424">
        <f t="shared" si="1667"/>
        <v>0</v>
      </c>
      <c r="CJ696" s="424">
        <f t="shared" si="1667"/>
        <v>0</v>
      </c>
      <c r="CK696" s="424">
        <f t="shared" si="1667"/>
        <v>0</v>
      </c>
      <c r="CL696" s="424">
        <f t="shared" si="1667"/>
        <v>0</v>
      </c>
      <c r="CM696" s="424">
        <f t="shared" si="1667"/>
        <v>0</v>
      </c>
      <c r="CN696" s="424">
        <f t="shared" si="1667"/>
        <v>0</v>
      </c>
      <c r="CO696" s="424">
        <f t="shared" si="1667"/>
        <v>0</v>
      </c>
      <c r="CP696" s="424">
        <f t="shared" si="1667"/>
        <v>0</v>
      </c>
      <c r="CQ696" s="424">
        <f t="shared" si="1667"/>
        <v>0</v>
      </c>
      <c r="CR696" s="424">
        <f t="shared" si="1667"/>
        <v>0</v>
      </c>
      <c r="CS696" s="424">
        <f t="shared" si="1667"/>
        <v>0</v>
      </c>
      <c r="CT696" s="424">
        <f t="shared" si="1667"/>
        <v>0</v>
      </c>
      <c r="CU696" s="424">
        <f t="shared" si="1667"/>
        <v>0</v>
      </c>
      <c r="CV696" s="424">
        <f t="shared" si="1667"/>
        <v>0</v>
      </c>
      <c r="CW696" s="424">
        <f t="shared" si="1667"/>
        <v>0</v>
      </c>
      <c r="CX696" s="424">
        <f t="shared" si="1667"/>
        <v>0</v>
      </c>
      <c r="CY696" s="424">
        <f t="shared" si="1667"/>
        <v>0</v>
      </c>
      <c r="CZ696" s="424">
        <f t="shared" si="1667"/>
        <v>0.3</v>
      </c>
      <c r="DA696" s="424">
        <f t="shared" si="1667"/>
        <v>0</v>
      </c>
      <c r="DB696" s="424">
        <f t="shared" ref="DB696:EG696" si="1668">DB326*DB$372</f>
        <v>0</v>
      </c>
      <c r="DC696" s="424">
        <f t="shared" si="1668"/>
        <v>0.02</v>
      </c>
      <c r="DD696" s="424">
        <f t="shared" si="1668"/>
        <v>0</v>
      </c>
      <c r="DE696" s="424">
        <f t="shared" si="1668"/>
        <v>0</v>
      </c>
      <c r="DF696" s="424">
        <f t="shared" si="1668"/>
        <v>0</v>
      </c>
      <c r="DG696" s="424">
        <f t="shared" si="1668"/>
        <v>0</v>
      </c>
      <c r="DH696" s="424">
        <f t="shared" si="1668"/>
        <v>0</v>
      </c>
      <c r="DI696" s="424">
        <f t="shared" si="1668"/>
        <v>0</v>
      </c>
      <c r="DJ696" s="424">
        <f t="shared" si="1668"/>
        <v>0</v>
      </c>
      <c r="DK696" s="424">
        <f t="shared" si="1668"/>
        <v>0</v>
      </c>
      <c r="DL696" s="424">
        <f t="shared" si="1668"/>
        <v>0</v>
      </c>
      <c r="DM696" s="424">
        <f t="shared" si="1668"/>
        <v>0</v>
      </c>
      <c r="DN696" s="424">
        <f t="shared" si="1668"/>
        <v>0</v>
      </c>
      <c r="DO696" s="424">
        <f t="shared" si="1668"/>
        <v>0</v>
      </c>
      <c r="DP696" s="424">
        <f t="shared" si="1668"/>
        <v>0</v>
      </c>
      <c r="DQ696" s="424">
        <f t="shared" si="1668"/>
        <v>0</v>
      </c>
      <c r="DR696" s="424">
        <f t="shared" si="1668"/>
        <v>0</v>
      </c>
      <c r="DS696" s="424">
        <f t="shared" si="1668"/>
        <v>0</v>
      </c>
      <c r="DT696" s="424">
        <f t="shared" si="1668"/>
        <v>0</v>
      </c>
      <c r="DU696" s="424">
        <f t="shared" si="1668"/>
        <v>0</v>
      </c>
      <c r="DV696" s="424">
        <f t="shared" si="1668"/>
        <v>0</v>
      </c>
      <c r="DW696" s="424">
        <f t="shared" si="1668"/>
        <v>0</v>
      </c>
      <c r="DX696" s="424">
        <f t="shared" si="1668"/>
        <v>0</v>
      </c>
      <c r="DY696" s="424">
        <f t="shared" si="1668"/>
        <v>0</v>
      </c>
      <c r="DZ696" s="424">
        <f t="shared" si="1668"/>
        <v>0</v>
      </c>
      <c r="EA696" s="424">
        <f t="shared" si="1668"/>
        <v>0</v>
      </c>
      <c r="EB696" s="424">
        <f t="shared" si="1668"/>
        <v>0</v>
      </c>
      <c r="EC696" s="424">
        <f t="shared" si="1668"/>
        <v>0</v>
      </c>
      <c r="ED696" s="424">
        <f t="shared" si="1668"/>
        <v>0</v>
      </c>
      <c r="EE696" s="424">
        <f t="shared" si="1668"/>
        <v>0</v>
      </c>
      <c r="EF696" s="424">
        <f t="shared" si="1668"/>
        <v>0</v>
      </c>
      <c r="EG696" s="424">
        <f t="shared" si="1668"/>
        <v>0</v>
      </c>
      <c r="EH696" s="424">
        <f t="shared" ref="EH696:EX696" si="1669">EH326*EH$372</f>
        <v>0</v>
      </c>
      <c r="EI696" s="424">
        <f t="shared" si="1669"/>
        <v>0</v>
      </c>
      <c r="EJ696" s="424">
        <f t="shared" si="1669"/>
        <v>0</v>
      </c>
      <c r="EK696" s="424">
        <f t="shared" si="1669"/>
        <v>0</v>
      </c>
      <c r="EL696" s="424">
        <f t="shared" si="1669"/>
        <v>0</v>
      </c>
      <c r="EM696" s="424">
        <f t="shared" si="1669"/>
        <v>0</v>
      </c>
      <c r="EN696" s="424">
        <f t="shared" si="1669"/>
        <v>0</v>
      </c>
      <c r="EO696" s="424">
        <f t="shared" si="1669"/>
        <v>0</v>
      </c>
      <c r="EP696" s="424">
        <f t="shared" si="1669"/>
        <v>0</v>
      </c>
      <c r="EQ696" s="424">
        <f t="shared" si="1669"/>
        <v>0</v>
      </c>
      <c r="ER696" s="424">
        <f t="shared" si="1669"/>
        <v>0</v>
      </c>
      <c r="ES696" s="424">
        <f t="shared" si="1669"/>
        <v>0</v>
      </c>
      <c r="ET696" s="424">
        <f t="shared" si="1669"/>
        <v>0</v>
      </c>
      <c r="EU696" s="424">
        <f t="shared" si="1669"/>
        <v>0</v>
      </c>
      <c r="EV696" s="424">
        <f t="shared" si="1669"/>
        <v>0</v>
      </c>
      <c r="EW696" s="424">
        <f t="shared" si="1669"/>
        <v>0</v>
      </c>
      <c r="EX696" s="424">
        <f t="shared" si="1669"/>
        <v>0</v>
      </c>
      <c r="EY696" s="425">
        <f t="shared" si="1420"/>
        <v>17.52</v>
      </c>
      <c r="EZ696" s="616"/>
      <c r="FA696" s="616"/>
      <c r="FB696" s="616"/>
      <c r="FC696" s="616"/>
      <c r="FD696" s="616"/>
      <c r="FE696" s="616"/>
      <c r="FF696" s="616"/>
      <c r="FG696" s="616"/>
      <c r="FH696" s="616"/>
      <c r="FI696" s="616"/>
      <c r="FJ696" s="616"/>
    </row>
    <row r="697" spans="1:166" s="407" customFormat="1" ht="14.7" customHeight="1" x14ac:dyDescent="0.25">
      <c r="A697" s="310">
        <v>323</v>
      </c>
      <c r="B697" s="311" t="str">
        <f t="shared" si="1657"/>
        <v>Рыба минтай (филе), тушенная в томате с овощами</v>
      </c>
      <c r="C697" s="483">
        <f t="shared" si="1421"/>
        <v>62.5</v>
      </c>
      <c r="D697" s="888"/>
      <c r="E697" s="888"/>
      <c r="F697" s="888"/>
      <c r="G697" s="889"/>
      <c r="H697" s="680" t="str">
        <f t="shared" si="1664"/>
        <v>54-11р-2020</v>
      </c>
      <c r="I697" s="1209">
        <f t="shared" si="1658"/>
        <v>0</v>
      </c>
      <c r="J697" s="424">
        <f t="shared" ref="J697:AO697" si="1670">J327*J$372</f>
        <v>0</v>
      </c>
      <c r="K697" s="424">
        <f t="shared" si="1670"/>
        <v>0</v>
      </c>
      <c r="L697" s="424">
        <f t="shared" si="1670"/>
        <v>0</v>
      </c>
      <c r="M697" s="424">
        <f t="shared" si="1670"/>
        <v>0</v>
      </c>
      <c r="N697" s="424">
        <f t="shared" si="1670"/>
        <v>0</v>
      </c>
      <c r="O697" s="424">
        <f t="shared" si="1670"/>
        <v>0</v>
      </c>
      <c r="P697" s="424">
        <f t="shared" si="1670"/>
        <v>0</v>
      </c>
      <c r="Q697" s="424">
        <f t="shared" si="1670"/>
        <v>0</v>
      </c>
      <c r="R697" s="424">
        <f t="shared" si="1670"/>
        <v>0</v>
      </c>
      <c r="S697" s="424">
        <f t="shared" si="1670"/>
        <v>52.52</v>
      </c>
      <c r="T697" s="424">
        <f t="shared" si="1670"/>
        <v>0</v>
      </c>
      <c r="U697" s="424">
        <f t="shared" si="1670"/>
        <v>0</v>
      </c>
      <c r="V697" s="424">
        <f t="shared" si="1670"/>
        <v>0</v>
      </c>
      <c r="W697" s="424">
        <f t="shared" si="1670"/>
        <v>0</v>
      </c>
      <c r="X697" s="424">
        <f t="shared" si="1670"/>
        <v>0</v>
      </c>
      <c r="Y697" s="424">
        <f t="shared" si="1670"/>
        <v>0</v>
      </c>
      <c r="Z697" s="424">
        <f t="shared" si="1670"/>
        <v>0</v>
      </c>
      <c r="AA697" s="424">
        <f t="shared" si="1670"/>
        <v>0</v>
      </c>
      <c r="AB697" s="424">
        <f t="shared" si="1670"/>
        <v>0</v>
      </c>
      <c r="AC697" s="424">
        <f t="shared" si="1670"/>
        <v>0</v>
      </c>
      <c r="AD697" s="424">
        <f t="shared" si="1670"/>
        <v>0</v>
      </c>
      <c r="AE697" s="424">
        <f t="shared" si="1670"/>
        <v>0</v>
      </c>
      <c r="AF697" s="424">
        <f t="shared" si="1670"/>
        <v>0</v>
      </c>
      <c r="AG697" s="424">
        <f t="shared" si="1670"/>
        <v>0</v>
      </c>
      <c r="AH697" s="424">
        <f t="shared" si="1670"/>
        <v>0</v>
      </c>
      <c r="AI697" s="424">
        <f t="shared" si="1670"/>
        <v>0</v>
      </c>
      <c r="AJ697" s="424">
        <f t="shared" si="1670"/>
        <v>0</v>
      </c>
      <c r="AK697" s="424">
        <f t="shared" si="1670"/>
        <v>1.19</v>
      </c>
      <c r="AL697" s="424">
        <f t="shared" si="1670"/>
        <v>0</v>
      </c>
      <c r="AM697" s="424">
        <f t="shared" si="1670"/>
        <v>0</v>
      </c>
      <c r="AN697" s="424">
        <f t="shared" si="1670"/>
        <v>0</v>
      </c>
      <c r="AO697" s="424">
        <f t="shared" si="1670"/>
        <v>0</v>
      </c>
      <c r="AP697" s="424">
        <f t="shared" ref="AP697:BU697" si="1671">AP327*AP$372</f>
        <v>0</v>
      </c>
      <c r="AQ697" s="424">
        <f t="shared" si="1671"/>
        <v>2.2400000000000002</v>
      </c>
      <c r="AR697" s="424">
        <f t="shared" si="1671"/>
        <v>0</v>
      </c>
      <c r="AS697" s="424">
        <f t="shared" si="1671"/>
        <v>0</v>
      </c>
      <c r="AT697" s="424">
        <f t="shared" si="1671"/>
        <v>2.1</v>
      </c>
      <c r="AU697" s="424">
        <f t="shared" si="1671"/>
        <v>0</v>
      </c>
      <c r="AV697" s="424">
        <f t="shared" si="1671"/>
        <v>0</v>
      </c>
      <c r="AW697" s="424">
        <f t="shared" si="1671"/>
        <v>0</v>
      </c>
      <c r="AX697" s="424">
        <f t="shared" si="1671"/>
        <v>0</v>
      </c>
      <c r="AY697" s="424">
        <f t="shared" si="1671"/>
        <v>0</v>
      </c>
      <c r="AZ697" s="424">
        <f t="shared" si="1671"/>
        <v>0</v>
      </c>
      <c r="BA697" s="424">
        <f t="shared" si="1671"/>
        <v>0</v>
      </c>
      <c r="BB697" s="424">
        <f t="shared" si="1671"/>
        <v>0</v>
      </c>
      <c r="BC697" s="424">
        <f t="shared" si="1671"/>
        <v>0</v>
      </c>
      <c r="BD697" s="424">
        <f t="shared" si="1671"/>
        <v>0</v>
      </c>
      <c r="BE697" s="424">
        <f t="shared" si="1671"/>
        <v>0</v>
      </c>
      <c r="BF697" s="424">
        <f t="shared" si="1671"/>
        <v>0</v>
      </c>
      <c r="BG697" s="424">
        <f t="shared" si="1671"/>
        <v>0</v>
      </c>
      <c r="BH697" s="424">
        <f t="shared" si="1671"/>
        <v>0</v>
      </c>
      <c r="BI697" s="424">
        <f t="shared" si="1671"/>
        <v>0</v>
      </c>
      <c r="BJ697" s="424">
        <f t="shared" si="1671"/>
        <v>0</v>
      </c>
      <c r="BK697" s="424">
        <f t="shared" si="1671"/>
        <v>0</v>
      </c>
      <c r="BL697" s="424">
        <f t="shared" si="1671"/>
        <v>0</v>
      </c>
      <c r="BM697" s="424">
        <f t="shared" si="1671"/>
        <v>0</v>
      </c>
      <c r="BN697" s="424">
        <f t="shared" si="1671"/>
        <v>0</v>
      </c>
      <c r="BO697" s="424">
        <f t="shared" si="1671"/>
        <v>0</v>
      </c>
      <c r="BP697" s="424">
        <f t="shared" si="1671"/>
        <v>0</v>
      </c>
      <c r="BQ697" s="424">
        <f t="shared" si="1671"/>
        <v>0</v>
      </c>
      <c r="BR697" s="424">
        <f t="shared" si="1671"/>
        <v>0</v>
      </c>
      <c r="BS697" s="424">
        <f t="shared" si="1671"/>
        <v>0</v>
      </c>
      <c r="BT697" s="424">
        <f t="shared" si="1671"/>
        <v>0</v>
      </c>
      <c r="BU697" s="424">
        <f t="shared" si="1671"/>
        <v>0</v>
      </c>
      <c r="BV697" s="424">
        <f t="shared" ref="BV697:DA697" si="1672">BV327*BV$372</f>
        <v>0</v>
      </c>
      <c r="BW697" s="424">
        <f t="shared" si="1672"/>
        <v>0</v>
      </c>
      <c r="BX697" s="424">
        <f t="shared" si="1672"/>
        <v>0</v>
      </c>
      <c r="BY697" s="424">
        <f t="shared" si="1672"/>
        <v>0</v>
      </c>
      <c r="BZ697" s="424">
        <f t="shared" si="1672"/>
        <v>0</v>
      </c>
      <c r="CA697" s="424">
        <f t="shared" si="1672"/>
        <v>0</v>
      </c>
      <c r="CB697" s="424">
        <f t="shared" si="1672"/>
        <v>0</v>
      </c>
      <c r="CC697" s="424">
        <f t="shared" si="1672"/>
        <v>0</v>
      </c>
      <c r="CD697" s="424">
        <f t="shared" si="1672"/>
        <v>0</v>
      </c>
      <c r="CE697" s="424">
        <f t="shared" si="1672"/>
        <v>0</v>
      </c>
      <c r="CF697" s="424">
        <f t="shared" si="1672"/>
        <v>1.27</v>
      </c>
      <c r="CG697" s="424">
        <f t="shared" si="1672"/>
        <v>0</v>
      </c>
      <c r="CH697" s="424">
        <f t="shared" si="1672"/>
        <v>0</v>
      </c>
      <c r="CI697" s="424">
        <f t="shared" si="1672"/>
        <v>0</v>
      </c>
      <c r="CJ697" s="424">
        <f t="shared" si="1672"/>
        <v>0</v>
      </c>
      <c r="CK697" s="424">
        <f t="shared" si="1672"/>
        <v>0</v>
      </c>
      <c r="CL697" s="424">
        <f t="shared" si="1672"/>
        <v>0</v>
      </c>
      <c r="CM697" s="424">
        <f t="shared" si="1672"/>
        <v>0</v>
      </c>
      <c r="CN697" s="424">
        <f t="shared" si="1672"/>
        <v>0</v>
      </c>
      <c r="CO697" s="424">
        <f t="shared" si="1672"/>
        <v>0</v>
      </c>
      <c r="CP697" s="424">
        <f t="shared" si="1672"/>
        <v>0</v>
      </c>
      <c r="CQ697" s="424">
        <f t="shared" si="1672"/>
        <v>0</v>
      </c>
      <c r="CR697" s="424">
        <f t="shared" si="1672"/>
        <v>0</v>
      </c>
      <c r="CS697" s="424">
        <f t="shared" si="1672"/>
        <v>0</v>
      </c>
      <c r="CT697" s="424">
        <f t="shared" si="1672"/>
        <v>0</v>
      </c>
      <c r="CU697" s="424">
        <f t="shared" si="1672"/>
        <v>0</v>
      </c>
      <c r="CV697" s="424">
        <f t="shared" si="1672"/>
        <v>0</v>
      </c>
      <c r="CW697" s="424">
        <f t="shared" si="1672"/>
        <v>0</v>
      </c>
      <c r="CX697" s="424">
        <f t="shared" si="1672"/>
        <v>0</v>
      </c>
      <c r="CY697" s="424">
        <f t="shared" si="1672"/>
        <v>0</v>
      </c>
      <c r="CZ697" s="424">
        <f t="shared" si="1672"/>
        <v>0.27</v>
      </c>
      <c r="DA697" s="424">
        <f t="shared" si="1672"/>
        <v>0</v>
      </c>
      <c r="DB697" s="424">
        <f t="shared" ref="DB697:EG697" si="1673">DB327*DB$372</f>
        <v>0</v>
      </c>
      <c r="DC697" s="424">
        <f t="shared" si="1673"/>
        <v>0.01</v>
      </c>
      <c r="DD697" s="424">
        <f t="shared" si="1673"/>
        <v>0</v>
      </c>
      <c r="DE697" s="424">
        <f t="shared" si="1673"/>
        <v>0</v>
      </c>
      <c r="DF697" s="424">
        <f t="shared" si="1673"/>
        <v>2.9</v>
      </c>
      <c r="DG697" s="424">
        <f t="shared" si="1673"/>
        <v>0</v>
      </c>
      <c r="DH697" s="424">
        <f t="shared" si="1673"/>
        <v>0</v>
      </c>
      <c r="DI697" s="424">
        <f t="shared" si="1673"/>
        <v>0</v>
      </c>
      <c r="DJ697" s="424">
        <f t="shared" si="1673"/>
        <v>0</v>
      </c>
      <c r="DK697" s="424">
        <f t="shared" si="1673"/>
        <v>0</v>
      </c>
      <c r="DL697" s="424">
        <f t="shared" si="1673"/>
        <v>0</v>
      </c>
      <c r="DM697" s="424">
        <f t="shared" si="1673"/>
        <v>0</v>
      </c>
      <c r="DN697" s="424">
        <f t="shared" si="1673"/>
        <v>0</v>
      </c>
      <c r="DO697" s="424">
        <f t="shared" si="1673"/>
        <v>0</v>
      </c>
      <c r="DP697" s="424">
        <f t="shared" si="1673"/>
        <v>0</v>
      </c>
      <c r="DQ697" s="424">
        <f t="shared" si="1673"/>
        <v>0</v>
      </c>
      <c r="DR697" s="424">
        <f t="shared" si="1673"/>
        <v>0</v>
      </c>
      <c r="DS697" s="424">
        <f t="shared" si="1673"/>
        <v>0</v>
      </c>
      <c r="DT697" s="424">
        <f t="shared" si="1673"/>
        <v>0</v>
      </c>
      <c r="DU697" s="424">
        <f t="shared" si="1673"/>
        <v>0</v>
      </c>
      <c r="DV697" s="424">
        <f t="shared" si="1673"/>
        <v>0</v>
      </c>
      <c r="DW697" s="424">
        <f t="shared" si="1673"/>
        <v>0</v>
      </c>
      <c r="DX697" s="424">
        <f t="shared" si="1673"/>
        <v>0</v>
      </c>
      <c r="DY697" s="424">
        <f t="shared" si="1673"/>
        <v>0</v>
      </c>
      <c r="DZ697" s="424">
        <f t="shared" si="1673"/>
        <v>0</v>
      </c>
      <c r="EA697" s="424">
        <f t="shared" si="1673"/>
        <v>0</v>
      </c>
      <c r="EB697" s="424">
        <f t="shared" si="1673"/>
        <v>0</v>
      </c>
      <c r="EC697" s="424">
        <f t="shared" si="1673"/>
        <v>0</v>
      </c>
      <c r="ED697" s="424">
        <f t="shared" si="1673"/>
        <v>0</v>
      </c>
      <c r="EE697" s="424">
        <f t="shared" si="1673"/>
        <v>0</v>
      </c>
      <c r="EF697" s="424">
        <f t="shared" si="1673"/>
        <v>0</v>
      </c>
      <c r="EG697" s="424">
        <f t="shared" si="1673"/>
        <v>0</v>
      </c>
      <c r="EH697" s="424">
        <f t="shared" ref="EH697:EX697" si="1674">EH327*EH$372</f>
        <v>0</v>
      </c>
      <c r="EI697" s="424">
        <f t="shared" si="1674"/>
        <v>0</v>
      </c>
      <c r="EJ697" s="424">
        <f t="shared" si="1674"/>
        <v>0</v>
      </c>
      <c r="EK697" s="424">
        <f t="shared" si="1674"/>
        <v>0</v>
      </c>
      <c r="EL697" s="424">
        <f t="shared" si="1674"/>
        <v>0</v>
      </c>
      <c r="EM697" s="424">
        <f t="shared" si="1674"/>
        <v>0</v>
      </c>
      <c r="EN697" s="424">
        <f t="shared" si="1674"/>
        <v>0</v>
      </c>
      <c r="EO697" s="424">
        <f t="shared" si="1674"/>
        <v>0</v>
      </c>
      <c r="EP697" s="424">
        <f t="shared" si="1674"/>
        <v>0</v>
      </c>
      <c r="EQ697" s="424">
        <f t="shared" si="1674"/>
        <v>0</v>
      </c>
      <c r="ER697" s="424">
        <f t="shared" si="1674"/>
        <v>0</v>
      </c>
      <c r="ES697" s="424">
        <f t="shared" si="1674"/>
        <v>0</v>
      </c>
      <c r="ET697" s="424">
        <f t="shared" si="1674"/>
        <v>0</v>
      </c>
      <c r="EU697" s="424">
        <f t="shared" si="1674"/>
        <v>0</v>
      </c>
      <c r="EV697" s="424">
        <f t="shared" si="1674"/>
        <v>0</v>
      </c>
      <c r="EW697" s="424">
        <f t="shared" si="1674"/>
        <v>0</v>
      </c>
      <c r="EX697" s="424">
        <f t="shared" si="1674"/>
        <v>0</v>
      </c>
      <c r="EY697" s="425">
        <f t="shared" si="1420"/>
        <v>62.5</v>
      </c>
      <c r="EZ697" s="616"/>
      <c r="FA697" s="616"/>
      <c r="FB697" s="616"/>
      <c r="FC697" s="616"/>
      <c r="FD697" s="616"/>
      <c r="FE697" s="616"/>
      <c r="FF697" s="616"/>
      <c r="FG697" s="616"/>
      <c r="FH697" s="616"/>
      <c r="FI697" s="616"/>
      <c r="FJ697" s="616"/>
    </row>
    <row r="698" spans="1:166" s="407" customFormat="1" ht="14.7" customHeight="1" x14ac:dyDescent="0.25">
      <c r="A698" s="310">
        <v>324</v>
      </c>
      <c r="B698" s="311" t="str">
        <f t="shared" si="1657"/>
        <v>Соус томатный с овощами</v>
      </c>
      <c r="C698" s="483">
        <f t="shared" si="1421"/>
        <v>5.09</v>
      </c>
      <c r="D698" s="888"/>
      <c r="E698" s="888"/>
      <c r="F698" s="888"/>
      <c r="G698" s="889"/>
      <c r="H698" s="680">
        <f t="shared" si="1664"/>
        <v>463</v>
      </c>
      <c r="I698" s="1209">
        <f t="shared" si="1658"/>
        <v>-0.01</v>
      </c>
      <c r="J698" s="424">
        <f t="shared" ref="J698:AO698" si="1675">J328*J$372</f>
        <v>0</v>
      </c>
      <c r="K698" s="424">
        <f t="shared" si="1675"/>
        <v>0</v>
      </c>
      <c r="L698" s="424">
        <f t="shared" si="1675"/>
        <v>0</v>
      </c>
      <c r="M698" s="424">
        <f t="shared" si="1675"/>
        <v>0</v>
      </c>
      <c r="N698" s="424">
        <f t="shared" si="1675"/>
        <v>0</v>
      </c>
      <c r="O698" s="424">
        <f t="shared" si="1675"/>
        <v>0</v>
      </c>
      <c r="P698" s="424">
        <f t="shared" si="1675"/>
        <v>0</v>
      </c>
      <c r="Q698" s="424">
        <f t="shared" si="1675"/>
        <v>0</v>
      </c>
      <c r="R698" s="424">
        <f t="shared" si="1675"/>
        <v>0</v>
      </c>
      <c r="S698" s="424">
        <f t="shared" si="1675"/>
        <v>0</v>
      </c>
      <c r="T698" s="424">
        <f t="shared" si="1675"/>
        <v>0</v>
      </c>
      <c r="U698" s="424">
        <f t="shared" si="1675"/>
        <v>0</v>
      </c>
      <c r="V698" s="424">
        <f t="shared" si="1675"/>
        <v>1.07</v>
      </c>
      <c r="W698" s="424">
        <f t="shared" si="1675"/>
        <v>0</v>
      </c>
      <c r="X698" s="424">
        <f t="shared" si="1675"/>
        <v>0</v>
      </c>
      <c r="Y698" s="424">
        <f t="shared" si="1675"/>
        <v>0</v>
      </c>
      <c r="Z698" s="424">
        <f t="shared" si="1675"/>
        <v>0</v>
      </c>
      <c r="AA698" s="424">
        <f t="shared" si="1675"/>
        <v>0</v>
      </c>
      <c r="AB698" s="424">
        <f t="shared" si="1675"/>
        <v>0</v>
      </c>
      <c r="AC698" s="424">
        <f t="shared" si="1675"/>
        <v>0</v>
      </c>
      <c r="AD698" s="424">
        <f t="shared" si="1675"/>
        <v>0</v>
      </c>
      <c r="AE698" s="424">
        <f t="shared" si="1675"/>
        <v>0</v>
      </c>
      <c r="AF698" s="424">
        <f t="shared" si="1675"/>
        <v>0</v>
      </c>
      <c r="AG698" s="424">
        <f t="shared" si="1675"/>
        <v>0</v>
      </c>
      <c r="AH698" s="424">
        <f t="shared" si="1675"/>
        <v>0</v>
      </c>
      <c r="AI698" s="424">
        <f t="shared" si="1675"/>
        <v>0</v>
      </c>
      <c r="AJ698" s="424">
        <f t="shared" si="1675"/>
        <v>0</v>
      </c>
      <c r="AK698" s="424">
        <f t="shared" si="1675"/>
        <v>7.0000000000000007E-2</v>
      </c>
      <c r="AL698" s="424">
        <f t="shared" si="1675"/>
        <v>0</v>
      </c>
      <c r="AM698" s="424">
        <f t="shared" si="1675"/>
        <v>0</v>
      </c>
      <c r="AN698" s="424">
        <f t="shared" si="1675"/>
        <v>0</v>
      </c>
      <c r="AO698" s="424">
        <f t="shared" si="1675"/>
        <v>0</v>
      </c>
      <c r="AP698" s="424">
        <f t="shared" ref="AP698:BU698" si="1676">AP328*AP$372</f>
        <v>0</v>
      </c>
      <c r="AQ698" s="424">
        <f t="shared" si="1676"/>
        <v>0.08</v>
      </c>
      <c r="AR698" s="424">
        <f t="shared" si="1676"/>
        <v>0</v>
      </c>
      <c r="AS698" s="424">
        <f t="shared" si="1676"/>
        <v>0</v>
      </c>
      <c r="AT698" s="424">
        <f t="shared" si="1676"/>
        <v>0.36</v>
      </c>
      <c r="AU698" s="424">
        <f t="shared" si="1676"/>
        <v>0</v>
      </c>
      <c r="AV698" s="424">
        <f t="shared" si="1676"/>
        <v>0</v>
      </c>
      <c r="AW698" s="424">
        <f t="shared" si="1676"/>
        <v>0</v>
      </c>
      <c r="AX698" s="424">
        <f t="shared" si="1676"/>
        <v>0</v>
      </c>
      <c r="AY698" s="424">
        <f t="shared" si="1676"/>
        <v>0</v>
      </c>
      <c r="AZ698" s="424">
        <f t="shared" si="1676"/>
        <v>0</v>
      </c>
      <c r="BA698" s="424">
        <f t="shared" si="1676"/>
        <v>0</v>
      </c>
      <c r="BB698" s="424">
        <f t="shared" si="1676"/>
        <v>0</v>
      </c>
      <c r="BC698" s="424">
        <f t="shared" si="1676"/>
        <v>0</v>
      </c>
      <c r="BD698" s="424">
        <f t="shared" si="1676"/>
        <v>0</v>
      </c>
      <c r="BE698" s="424">
        <f t="shared" si="1676"/>
        <v>0</v>
      </c>
      <c r="BF698" s="424">
        <f t="shared" si="1676"/>
        <v>0</v>
      </c>
      <c r="BG698" s="424">
        <f t="shared" si="1676"/>
        <v>0</v>
      </c>
      <c r="BH698" s="424">
        <f t="shared" si="1676"/>
        <v>0</v>
      </c>
      <c r="BI698" s="424">
        <f t="shared" si="1676"/>
        <v>0</v>
      </c>
      <c r="BJ698" s="424">
        <f t="shared" si="1676"/>
        <v>0</v>
      </c>
      <c r="BK698" s="424">
        <f t="shared" si="1676"/>
        <v>0</v>
      </c>
      <c r="BL698" s="424">
        <f t="shared" si="1676"/>
        <v>0</v>
      </c>
      <c r="BM698" s="424">
        <f t="shared" si="1676"/>
        <v>0</v>
      </c>
      <c r="BN698" s="424">
        <f t="shared" si="1676"/>
        <v>0</v>
      </c>
      <c r="BO698" s="424">
        <f t="shared" si="1676"/>
        <v>0</v>
      </c>
      <c r="BP698" s="424">
        <f t="shared" si="1676"/>
        <v>0</v>
      </c>
      <c r="BQ698" s="424">
        <f t="shared" si="1676"/>
        <v>0</v>
      </c>
      <c r="BR698" s="424">
        <f t="shared" si="1676"/>
        <v>0</v>
      </c>
      <c r="BS698" s="424">
        <f t="shared" si="1676"/>
        <v>0.03</v>
      </c>
      <c r="BT698" s="424">
        <f t="shared" si="1676"/>
        <v>0</v>
      </c>
      <c r="BU698" s="424">
        <f t="shared" si="1676"/>
        <v>0</v>
      </c>
      <c r="BV698" s="424">
        <f t="shared" ref="BV698:DA698" si="1677">BV328*BV$372</f>
        <v>0</v>
      </c>
      <c r="BW698" s="424">
        <f t="shared" si="1677"/>
        <v>0</v>
      </c>
      <c r="BX698" s="424">
        <f t="shared" si="1677"/>
        <v>0</v>
      </c>
      <c r="BY698" s="424">
        <f t="shared" si="1677"/>
        <v>0</v>
      </c>
      <c r="BZ698" s="424">
        <f t="shared" si="1677"/>
        <v>0</v>
      </c>
      <c r="CA698" s="424">
        <f t="shared" si="1677"/>
        <v>0</v>
      </c>
      <c r="CB698" s="424">
        <f t="shared" si="1677"/>
        <v>0</v>
      </c>
      <c r="CC698" s="424">
        <f t="shared" si="1677"/>
        <v>0</v>
      </c>
      <c r="CD698" s="424">
        <f t="shared" si="1677"/>
        <v>0</v>
      </c>
      <c r="CE698" s="424">
        <f t="shared" si="1677"/>
        <v>0</v>
      </c>
      <c r="CF698" s="424">
        <f t="shared" si="1677"/>
        <v>0</v>
      </c>
      <c r="CG698" s="424">
        <f t="shared" si="1677"/>
        <v>0</v>
      </c>
      <c r="CH698" s="424">
        <f t="shared" si="1677"/>
        <v>0</v>
      </c>
      <c r="CI698" s="424">
        <f t="shared" si="1677"/>
        <v>0</v>
      </c>
      <c r="CJ698" s="424">
        <f t="shared" si="1677"/>
        <v>0</v>
      </c>
      <c r="CK698" s="424">
        <f t="shared" si="1677"/>
        <v>0</v>
      </c>
      <c r="CL698" s="424">
        <f t="shared" si="1677"/>
        <v>0</v>
      </c>
      <c r="CM698" s="424">
        <f t="shared" si="1677"/>
        <v>0</v>
      </c>
      <c r="CN698" s="424">
        <f t="shared" si="1677"/>
        <v>0</v>
      </c>
      <c r="CO698" s="424">
        <f t="shared" si="1677"/>
        <v>0</v>
      </c>
      <c r="CP698" s="424">
        <f t="shared" si="1677"/>
        <v>0</v>
      </c>
      <c r="CQ698" s="424">
        <f t="shared" si="1677"/>
        <v>0</v>
      </c>
      <c r="CR698" s="424">
        <f t="shared" si="1677"/>
        <v>0</v>
      </c>
      <c r="CS698" s="424">
        <f t="shared" si="1677"/>
        <v>0</v>
      </c>
      <c r="CT698" s="424">
        <f t="shared" si="1677"/>
        <v>0</v>
      </c>
      <c r="CU698" s="424">
        <f t="shared" si="1677"/>
        <v>0</v>
      </c>
      <c r="CV698" s="424">
        <f t="shared" si="1677"/>
        <v>0</v>
      </c>
      <c r="CW698" s="424">
        <f t="shared" si="1677"/>
        <v>0</v>
      </c>
      <c r="CX698" s="424">
        <f t="shared" si="1677"/>
        <v>0</v>
      </c>
      <c r="CY698" s="424">
        <f t="shared" si="1677"/>
        <v>0</v>
      </c>
      <c r="CZ698" s="424">
        <f t="shared" si="1677"/>
        <v>0.02</v>
      </c>
      <c r="DA698" s="424">
        <f t="shared" si="1677"/>
        <v>0</v>
      </c>
      <c r="DB698" s="424">
        <f t="shared" ref="DB698:EG698" si="1678">DB328*DB$372</f>
        <v>0</v>
      </c>
      <c r="DC698" s="424">
        <f t="shared" si="1678"/>
        <v>0.01</v>
      </c>
      <c r="DD698" s="424">
        <f t="shared" si="1678"/>
        <v>0</v>
      </c>
      <c r="DE698" s="424">
        <f t="shared" si="1678"/>
        <v>0</v>
      </c>
      <c r="DF698" s="424">
        <f t="shared" si="1678"/>
        <v>3.45</v>
      </c>
      <c r="DG698" s="424">
        <f t="shared" si="1678"/>
        <v>0</v>
      </c>
      <c r="DH698" s="424">
        <f t="shared" si="1678"/>
        <v>0</v>
      </c>
      <c r="DI698" s="424">
        <f t="shared" si="1678"/>
        <v>0</v>
      </c>
      <c r="DJ698" s="424">
        <f t="shared" si="1678"/>
        <v>0</v>
      </c>
      <c r="DK698" s="424">
        <f t="shared" si="1678"/>
        <v>0</v>
      </c>
      <c r="DL698" s="424">
        <f t="shared" si="1678"/>
        <v>0</v>
      </c>
      <c r="DM698" s="424">
        <f t="shared" si="1678"/>
        <v>0</v>
      </c>
      <c r="DN698" s="424">
        <f t="shared" si="1678"/>
        <v>0</v>
      </c>
      <c r="DO698" s="424">
        <f t="shared" si="1678"/>
        <v>0</v>
      </c>
      <c r="DP698" s="424">
        <f t="shared" si="1678"/>
        <v>0</v>
      </c>
      <c r="DQ698" s="424">
        <f t="shared" si="1678"/>
        <v>0</v>
      </c>
      <c r="DR698" s="424">
        <f t="shared" si="1678"/>
        <v>0</v>
      </c>
      <c r="DS698" s="424">
        <f t="shared" si="1678"/>
        <v>0</v>
      </c>
      <c r="DT698" s="424">
        <f t="shared" si="1678"/>
        <v>0</v>
      </c>
      <c r="DU698" s="424">
        <f t="shared" si="1678"/>
        <v>0</v>
      </c>
      <c r="DV698" s="424">
        <f t="shared" si="1678"/>
        <v>0</v>
      </c>
      <c r="DW698" s="424">
        <f t="shared" si="1678"/>
        <v>0</v>
      </c>
      <c r="DX698" s="424">
        <f t="shared" si="1678"/>
        <v>0</v>
      </c>
      <c r="DY698" s="424">
        <f t="shared" si="1678"/>
        <v>0</v>
      </c>
      <c r="DZ698" s="424">
        <f t="shared" si="1678"/>
        <v>0</v>
      </c>
      <c r="EA698" s="424">
        <f t="shared" si="1678"/>
        <v>0</v>
      </c>
      <c r="EB698" s="424">
        <f t="shared" si="1678"/>
        <v>0</v>
      </c>
      <c r="EC698" s="424">
        <f t="shared" si="1678"/>
        <v>0</v>
      </c>
      <c r="ED698" s="424">
        <f t="shared" si="1678"/>
        <v>0</v>
      </c>
      <c r="EE698" s="424">
        <f t="shared" si="1678"/>
        <v>0</v>
      </c>
      <c r="EF698" s="424">
        <f t="shared" si="1678"/>
        <v>0</v>
      </c>
      <c r="EG698" s="424">
        <f t="shared" si="1678"/>
        <v>0</v>
      </c>
      <c r="EH698" s="424">
        <f t="shared" ref="EH698:EX698" si="1679">EH328*EH$372</f>
        <v>0</v>
      </c>
      <c r="EI698" s="424">
        <f t="shared" si="1679"/>
        <v>0</v>
      </c>
      <c r="EJ698" s="424">
        <f t="shared" si="1679"/>
        <v>0</v>
      </c>
      <c r="EK698" s="424">
        <f t="shared" si="1679"/>
        <v>0</v>
      </c>
      <c r="EL698" s="424">
        <f t="shared" si="1679"/>
        <v>0</v>
      </c>
      <c r="EM698" s="424">
        <f t="shared" si="1679"/>
        <v>0</v>
      </c>
      <c r="EN698" s="424">
        <f t="shared" si="1679"/>
        <v>0</v>
      </c>
      <c r="EO698" s="424">
        <f t="shared" si="1679"/>
        <v>0</v>
      </c>
      <c r="EP698" s="424">
        <f t="shared" si="1679"/>
        <v>0</v>
      </c>
      <c r="EQ698" s="424">
        <f t="shared" si="1679"/>
        <v>0</v>
      </c>
      <c r="ER698" s="424">
        <f t="shared" si="1679"/>
        <v>0</v>
      </c>
      <c r="ES698" s="424">
        <f t="shared" si="1679"/>
        <v>0</v>
      </c>
      <c r="ET698" s="424">
        <f t="shared" si="1679"/>
        <v>0</v>
      </c>
      <c r="EU698" s="424">
        <f t="shared" si="1679"/>
        <v>0</v>
      </c>
      <c r="EV698" s="424">
        <f t="shared" si="1679"/>
        <v>0</v>
      </c>
      <c r="EW698" s="424">
        <f t="shared" si="1679"/>
        <v>0</v>
      </c>
      <c r="EX698" s="424">
        <f t="shared" si="1679"/>
        <v>0</v>
      </c>
      <c r="EY698" s="425">
        <f t="shared" si="1420"/>
        <v>5.09</v>
      </c>
      <c r="EZ698" s="616"/>
      <c r="FA698" s="616"/>
      <c r="FB698" s="616"/>
      <c r="FC698" s="616"/>
      <c r="FD698" s="616"/>
      <c r="FE698" s="616"/>
      <c r="FF698" s="616"/>
      <c r="FG698" s="616"/>
      <c r="FH698" s="616"/>
      <c r="FI698" s="616"/>
      <c r="FJ698" s="616"/>
    </row>
    <row r="699" spans="1:166" s="407" customFormat="1" ht="14.7" customHeight="1" x14ac:dyDescent="0.25">
      <c r="A699" s="310">
        <v>325</v>
      </c>
      <c r="B699" s="311" t="str">
        <f t="shared" si="1657"/>
        <v>Хлеб пшеничный нарезной</v>
      </c>
      <c r="C699" s="483">
        <f t="shared" si="1421"/>
        <v>4.55</v>
      </c>
      <c r="D699" s="888"/>
      <c r="E699" s="888"/>
      <c r="F699" s="888"/>
      <c r="G699" s="889"/>
      <c r="H699" s="680" t="str">
        <f t="shared" si="1664"/>
        <v>ПРОМ</v>
      </c>
      <c r="I699" s="1209">
        <f t="shared" si="1658"/>
        <v>0</v>
      </c>
      <c r="J699" s="424">
        <f t="shared" ref="J699:AO699" si="1680">J329*J$372</f>
        <v>0</v>
      </c>
      <c r="K699" s="424">
        <f t="shared" si="1680"/>
        <v>0</v>
      </c>
      <c r="L699" s="424">
        <f t="shared" si="1680"/>
        <v>0</v>
      </c>
      <c r="M699" s="424">
        <f t="shared" si="1680"/>
        <v>0</v>
      </c>
      <c r="N699" s="424">
        <f t="shared" si="1680"/>
        <v>0</v>
      </c>
      <c r="O699" s="424">
        <f t="shared" si="1680"/>
        <v>0</v>
      </c>
      <c r="P699" s="424">
        <f t="shared" si="1680"/>
        <v>0</v>
      </c>
      <c r="Q699" s="424">
        <f t="shared" si="1680"/>
        <v>0</v>
      </c>
      <c r="R699" s="424">
        <f t="shared" si="1680"/>
        <v>0</v>
      </c>
      <c r="S699" s="424">
        <f t="shared" si="1680"/>
        <v>0</v>
      </c>
      <c r="T699" s="424">
        <f t="shared" si="1680"/>
        <v>0</v>
      </c>
      <c r="U699" s="424">
        <f t="shared" si="1680"/>
        <v>0</v>
      </c>
      <c r="V699" s="424">
        <f t="shared" si="1680"/>
        <v>0</v>
      </c>
      <c r="W699" s="424">
        <f t="shared" si="1680"/>
        <v>0</v>
      </c>
      <c r="X699" s="424">
        <f t="shared" si="1680"/>
        <v>0</v>
      </c>
      <c r="Y699" s="424">
        <f t="shared" si="1680"/>
        <v>0</v>
      </c>
      <c r="Z699" s="424">
        <f t="shared" si="1680"/>
        <v>0</v>
      </c>
      <c r="AA699" s="424">
        <f t="shared" si="1680"/>
        <v>0</v>
      </c>
      <c r="AB699" s="424">
        <f t="shared" si="1680"/>
        <v>0</v>
      </c>
      <c r="AC699" s="424">
        <f t="shared" si="1680"/>
        <v>0</v>
      </c>
      <c r="AD699" s="424">
        <f t="shared" si="1680"/>
        <v>0</v>
      </c>
      <c r="AE699" s="424">
        <f t="shared" si="1680"/>
        <v>0</v>
      </c>
      <c r="AF699" s="424">
        <f t="shared" si="1680"/>
        <v>0</v>
      </c>
      <c r="AG699" s="424">
        <f t="shared" si="1680"/>
        <v>0</v>
      </c>
      <c r="AH699" s="424">
        <f t="shared" si="1680"/>
        <v>0</v>
      </c>
      <c r="AI699" s="424">
        <f t="shared" si="1680"/>
        <v>0</v>
      </c>
      <c r="AJ699" s="424">
        <f t="shared" si="1680"/>
        <v>0</v>
      </c>
      <c r="AK699" s="424">
        <f t="shared" si="1680"/>
        <v>0</v>
      </c>
      <c r="AL699" s="424">
        <f t="shared" si="1680"/>
        <v>0</v>
      </c>
      <c r="AM699" s="424">
        <f t="shared" si="1680"/>
        <v>0</v>
      </c>
      <c r="AN699" s="424">
        <f t="shared" si="1680"/>
        <v>0</v>
      </c>
      <c r="AO699" s="424">
        <f t="shared" si="1680"/>
        <v>0</v>
      </c>
      <c r="AP699" s="424">
        <f t="shared" ref="AP699:BU699" si="1681">AP329*AP$372</f>
        <v>0</v>
      </c>
      <c r="AQ699" s="424">
        <f t="shared" si="1681"/>
        <v>0</v>
      </c>
      <c r="AR699" s="424">
        <f t="shared" si="1681"/>
        <v>0</v>
      </c>
      <c r="AS699" s="424">
        <f t="shared" si="1681"/>
        <v>0</v>
      </c>
      <c r="AT699" s="424">
        <f t="shared" si="1681"/>
        <v>0</v>
      </c>
      <c r="AU699" s="424">
        <f t="shared" si="1681"/>
        <v>0</v>
      </c>
      <c r="AV699" s="424">
        <f t="shared" si="1681"/>
        <v>0</v>
      </c>
      <c r="AW699" s="424">
        <f t="shared" si="1681"/>
        <v>0</v>
      </c>
      <c r="AX699" s="424">
        <f t="shared" si="1681"/>
        <v>0</v>
      </c>
      <c r="AY699" s="424">
        <f t="shared" si="1681"/>
        <v>0</v>
      </c>
      <c r="AZ699" s="424">
        <f t="shared" si="1681"/>
        <v>0</v>
      </c>
      <c r="BA699" s="424">
        <f t="shared" si="1681"/>
        <v>0</v>
      </c>
      <c r="BB699" s="424">
        <f t="shared" si="1681"/>
        <v>0</v>
      </c>
      <c r="BC699" s="424">
        <f t="shared" si="1681"/>
        <v>0</v>
      </c>
      <c r="BD699" s="424">
        <f t="shared" si="1681"/>
        <v>0</v>
      </c>
      <c r="BE699" s="424">
        <f t="shared" si="1681"/>
        <v>0</v>
      </c>
      <c r="BF699" s="424">
        <f t="shared" si="1681"/>
        <v>0</v>
      </c>
      <c r="BG699" s="424">
        <f t="shared" si="1681"/>
        <v>0</v>
      </c>
      <c r="BH699" s="424">
        <f t="shared" si="1681"/>
        <v>0</v>
      </c>
      <c r="BI699" s="424">
        <f t="shared" si="1681"/>
        <v>0</v>
      </c>
      <c r="BJ699" s="424">
        <f t="shared" si="1681"/>
        <v>0</v>
      </c>
      <c r="BK699" s="424">
        <f t="shared" si="1681"/>
        <v>0</v>
      </c>
      <c r="BL699" s="424">
        <f t="shared" si="1681"/>
        <v>0</v>
      </c>
      <c r="BM699" s="424">
        <f t="shared" si="1681"/>
        <v>0</v>
      </c>
      <c r="BN699" s="424">
        <f t="shared" si="1681"/>
        <v>0</v>
      </c>
      <c r="BO699" s="424">
        <f t="shared" si="1681"/>
        <v>0</v>
      </c>
      <c r="BP699" s="424">
        <f t="shared" si="1681"/>
        <v>0</v>
      </c>
      <c r="BQ699" s="424">
        <f t="shared" si="1681"/>
        <v>0</v>
      </c>
      <c r="BR699" s="424">
        <f t="shared" si="1681"/>
        <v>0</v>
      </c>
      <c r="BS699" s="424">
        <f t="shared" si="1681"/>
        <v>0</v>
      </c>
      <c r="BT699" s="424">
        <f t="shared" si="1681"/>
        <v>0</v>
      </c>
      <c r="BU699" s="424">
        <f t="shared" si="1681"/>
        <v>0</v>
      </c>
      <c r="BV699" s="424">
        <f t="shared" ref="BV699:DA699" si="1682">BV329*BV$372</f>
        <v>0</v>
      </c>
      <c r="BW699" s="424">
        <f t="shared" si="1682"/>
        <v>0</v>
      </c>
      <c r="BX699" s="424">
        <f t="shared" si="1682"/>
        <v>0</v>
      </c>
      <c r="BY699" s="424">
        <f t="shared" si="1682"/>
        <v>0</v>
      </c>
      <c r="BZ699" s="424">
        <f t="shared" si="1682"/>
        <v>0</v>
      </c>
      <c r="CA699" s="424">
        <f t="shared" si="1682"/>
        <v>0</v>
      </c>
      <c r="CB699" s="424">
        <f t="shared" si="1682"/>
        <v>0</v>
      </c>
      <c r="CC699" s="424">
        <f t="shared" si="1682"/>
        <v>0</v>
      </c>
      <c r="CD699" s="424">
        <f t="shared" si="1682"/>
        <v>0</v>
      </c>
      <c r="CE699" s="424">
        <f t="shared" si="1682"/>
        <v>0</v>
      </c>
      <c r="CF699" s="424">
        <f t="shared" si="1682"/>
        <v>0</v>
      </c>
      <c r="CG699" s="424">
        <f t="shared" si="1682"/>
        <v>0</v>
      </c>
      <c r="CH699" s="424">
        <f t="shared" si="1682"/>
        <v>0</v>
      </c>
      <c r="CI699" s="424">
        <f t="shared" si="1682"/>
        <v>0</v>
      </c>
      <c r="CJ699" s="424">
        <f t="shared" si="1682"/>
        <v>0</v>
      </c>
      <c r="CK699" s="424">
        <f t="shared" si="1682"/>
        <v>0</v>
      </c>
      <c r="CL699" s="424">
        <f t="shared" si="1682"/>
        <v>0</v>
      </c>
      <c r="CM699" s="424">
        <f t="shared" si="1682"/>
        <v>0</v>
      </c>
      <c r="CN699" s="424">
        <f t="shared" si="1682"/>
        <v>0</v>
      </c>
      <c r="CO699" s="424">
        <f t="shared" si="1682"/>
        <v>0</v>
      </c>
      <c r="CP699" s="424">
        <f t="shared" si="1682"/>
        <v>0</v>
      </c>
      <c r="CQ699" s="424">
        <f t="shared" si="1682"/>
        <v>0</v>
      </c>
      <c r="CR699" s="424">
        <f t="shared" si="1682"/>
        <v>0</v>
      </c>
      <c r="CS699" s="424">
        <f t="shared" si="1682"/>
        <v>0</v>
      </c>
      <c r="CT699" s="424">
        <f t="shared" si="1682"/>
        <v>0</v>
      </c>
      <c r="CU699" s="424">
        <f t="shared" si="1682"/>
        <v>0</v>
      </c>
      <c r="CV699" s="424">
        <f t="shared" si="1682"/>
        <v>0</v>
      </c>
      <c r="CW699" s="424">
        <f t="shared" si="1682"/>
        <v>0</v>
      </c>
      <c r="CX699" s="424">
        <f t="shared" si="1682"/>
        <v>0</v>
      </c>
      <c r="CY699" s="424">
        <f t="shared" si="1682"/>
        <v>0</v>
      </c>
      <c r="CZ699" s="424">
        <f t="shared" si="1682"/>
        <v>0</v>
      </c>
      <c r="DA699" s="424">
        <f t="shared" si="1682"/>
        <v>0</v>
      </c>
      <c r="DB699" s="424">
        <f t="shared" ref="DB699:EG699" si="1683">DB329*DB$372</f>
        <v>0</v>
      </c>
      <c r="DC699" s="424">
        <f t="shared" si="1683"/>
        <v>0</v>
      </c>
      <c r="DD699" s="424">
        <f t="shared" si="1683"/>
        <v>0</v>
      </c>
      <c r="DE699" s="424">
        <f t="shared" si="1683"/>
        <v>0</v>
      </c>
      <c r="DF699" s="424">
        <f t="shared" si="1683"/>
        <v>0</v>
      </c>
      <c r="DG699" s="424">
        <f t="shared" si="1683"/>
        <v>0</v>
      </c>
      <c r="DH699" s="424">
        <f t="shared" si="1683"/>
        <v>0</v>
      </c>
      <c r="DI699" s="424">
        <f t="shared" si="1683"/>
        <v>0</v>
      </c>
      <c r="DJ699" s="424">
        <f t="shared" si="1683"/>
        <v>0</v>
      </c>
      <c r="DK699" s="424">
        <f t="shared" si="1683"/>
        <v>0</v>
      </c>
      <c r="DL699" s="424">
        <f t="shared" si="1683"/>
        <v>0</v>
      </c>
      <c r="DM699" s="424">
        <f t="shared" si="1683"/>
        <v>0</v>
      </c>
      <c r="DN699" s="424">
        <f t="shared" si="1683"/>
        <v>0</v>
      </c>
      <c r="DO699" s="424">
        <f t="shared" si="1683"/>
        <v>0</v>
      </c>
      <c r="DP699" s="424">
        <f t="shared" si="1683"/>
        <v>0</v>
      </c>
      <c r="DQ699" s="424">
        <f t="shared" si="1683"/>
        <v>0</v>
      </c>
      <c r="DR699" s="424">
        <f t="shared" si="1683"/>
        <v>0</v>
      </c>
      <c r="DS699" s="424">
        <f t="shared" si="1683"/>
        <v>0</v>
      </c>
      <c r="DT699" s="424">
        <f t="shared" si="1683"/>
        <v>0</v>
      </c>
      <c r="DU699" s="424">
        <f t="shared" si="1683"/>
        <v>0</v>
      </c>
      <c r="DV699" s="424">
        <f t="shared" si="1683"/>
        <v>0</v>
      </c>
      <c r="DW699" s="424">
        <f t="shared" si="1683"/>
        <v>0</v>
      </c>
      <c r="DX699" s="424">
        <f t="shared" si="1683"/>
        <v>0</v>
      </c>
      <c r="DY699" s="424">
        <f t="shared" si="1683"/>
        <v>0</v>
      </c>
      <c r="DZ699" s="424">
        <f t="shared" si="1683"/>
        <v>0</v>
      </c>
      <c r="EA699" s="424">
        <f t="shared" si="1683"/>
        <v>0</v>
      </c>
      <c r="EB699" s="424">
        <f t="shared" si="1683"/>
        <v>0</v>
      </c>
      <c r="EC699" s="424">
        <f t="shared" si="1683"/>
        <v>0</v>
      </c>
      <c r="ED699" s="424">
        <f t="shared" si="1683"/>
        <v>0</v>
      </c>
      <c r="EE699" s="424">
        <f t="shared" si="1683"/>
        <v>0</v>
      </c>
      <c r="EF699" s="424">
        <f t="shared" si="1683"/>
        <v>0</v>
      </c>
      <c r="EG699" s="424">
        <f t="shared" si="1683"/>
        <v>0</v>
      </c>
      <c r="EH699" s="424">
        <f t="shared" ref="EH699:EX699" si="1684">EH329*EH$372</f>
        <v>0</v>
      </c>
      <c r="EI699" s="424">
        <f t="shared" si="1684"/>
        <v>0</v>
      </c>
      <c r="EJ699" s="424">
        <f t="shared" si="1684"/>
        <v>0</v>
      </c>
      <c r="EK699" s="424">
        <f t="shared" si="1684"/>
        <v>0</v>
      </c>
      <c r="EL699" s="424">
        <f t="shared" si="1684"/>
        <v>0</v>
      </c>
      <c r="EM699" s="424">
        <f t="shared" si="1684"/>
        <v>0</v>
      </c>
      <c r="EN699" s="424">
        <f t="shared" si="1684"/>
        <v>0</v>
      </c>
      <c r="EO699" s="424">
        <f t="shared" si="1684"/>
        <v>0</v>
      </c>
      <c r="EP699" s="424">
        <f t="shared" si="1684"/>
        <v>0</v>
      </c>
      <c r="EQ699" s="424">
        <f t="shared" si="1684"/>
        <v>0</v>
      </c>
      <c r="ER699" s="424">
        <f t="shared" si="1684"/>
        <v>0</v>
      </c>
      <c r="ES699" s="424">
        <f t="shared" si="1684"/>
        <v>0</v>
      </c>
      <c r="ET699" s="424">
        <f t="shared" si="1684"/>
        <v>0</v>
      </c>
      <c r="EU699" s="424">
        <f t="shared" si="1684"/>
        <v>0</v>
      </c>
      <c r="EV699" s="424">
        <f t="shared" si="1684"/>
        <v>4.55</v>
      </c>
      <c r="EW699" s="424">
        <f t="shared" si="1684"/>
        <v>0</v>
      </c>
      <c r="EX699" s="424">
        <f t="shared" si="1684"/>
        <v>0</v>
      </c>
      <c r="EY699" s="425">
        <f t="shared" si="1420"/>
        <v>4.55</v>
      </c>
      <c r="EZ699" s="616"/>
      <c r="FA699" s="616"/>
      <c r="FB699" s="616"/>
      <c r="FC699" s="616"/>
      <c r="FD699" s="616"/>
      <c r="FE699" s="616"/>
      <c r="FF699" s="616"/>
      <c r="FG699" s="616"/>
      <c r="FH699" s="616"/>
      <c r="FI699" s="616"/>
      <c r="FJ699" s="616"/>
    </row>
    <row r="700" spans="1:166" s="699" customFormat="1" ht="14.7" customHeight="1" x14ac:dyDescent="0.25">
      <c r="A700" s="310">
        <v>326</v>
      </c>
      <c r="B700" s="311" t="str">
        <f t="shared" si="1657"/>
        <v>Хлеб пшеничный нарезной</v>
      </c>
      <c r="C700" s="483">
        <f t="shared" si="1421"/>
        <v>3.25</v>
      </c>
      <c r="D700" s="888"/>
      <c r="E700" s="888"/>
      <c r="F700" s="888"/>
      <c r="G700" s="889"/>
      <c r="H700" s="680" t="str">
        <f t="shared" si="1664"/>
        <v>ПРОМ</v>
      </c>
      <c r="I700" s="1209">
        <f t="shared" si="1658"/>
        <v>0</v>
      </c>
      <c r="J700" s="424">
        <f t="shared" ref="J700:AO700" si="1685">J330*J$372</f>
        <v>0</v>
      </c>
      <c r="K700" s="424">
        <f t="shared" si="1685"/>
        <v>0</v>
      </c>
      <c r="L700" s="424">
        <f t="shared" si="1685"/>
        <v>0</v>
      </c>
      <c r="M700" s="424">
        <f t="shared" si="1685"/>
        <v>0</v>
      </c>
      <c r="N700" s="424">
        <f t="shared" si="1685"/>
        <v>0</v>
      </c>
      <c r="O700" s="424">
        <f t="shared" si="1685"/>
        <v>0</v>
      </c>
      <c r="P700" s="424">
        <f t="shared" si="1685"/>
        <v>0</v>
      </c>
      <c r="Q700" s="424">
        <f t="shared" si="1685"/>
        <v>0</v>
      </c>
      <c r="R700" s="424">
        <f t="shared" si="1685"/>
        <v>0</v>
      </c>
      <c r="S700" s="424">
        <f t="shared" si="1685"/>
        <v>0</v>
      </c>
      <c r="T700" s="424">
        <f t="shared" si="1685"/>
        <v>0</v>
      </c>
      <c r="U700" s="424">
        <f t="shared" si="1685"/>
        <v>0</v>
      </c>
      <c r="V700" s="424">
        <f t="shared" si="1685"/>
        <v>0</v>
      </c>
      <c r="W700" s="424">
        <f t="shared" si="1685"/>
        <v>0</v>
      </c>
      <c r="X700" s="424">
        <f t="shared" si="1685"/>
        <v>0</v>
      </c>
      <c r="Y700" s="424">
        <f t="shared" si="1685"/>
        <v>0</v>
      </c>
      <c r="Z700" s="424">
        <f t="shared" si="1685"/>
        <v>0</v>
      </c>
      <c r="AA700" s="424">
        <f t="shared" si="1685"/>
        <v>0</v>
      </c>
      <c r="AB700" s="424">
        <f t="shared" si="1685"/>
        <v>0</v>
      </c>
      <c r="AC700" s="424">
        <f t="shared" si="1685"/>
        <v>0</v>
      </c>
      <c r="AD700" s="424">
        <f t="shared" si="1685"/>
        <v>0</v>
      </c>
      <c r="AE700" s="424">
        <f t="shared" si="1685"/>
        <v>0</v>
      </c>
      <c r="AF700" s="424">
        <f t="shared" si="1685"/>
        <v>0</v>
      </c>
      <c r="AG700" s="424">
        <f t="shared" si="1685"/>
        <v>0</v>
      </c>
      <c r="AH700" s="424">
        <f t="shared" si="1685"/>
        <v>0</v>
      </c>
      <c r="AI700" s="424">
        <f t="shared" si="1685"/>
        <v>0</v>
      </c>
      <c r="AJ700" s="424">
        <f t="shared" si="1685"/>
        <v>0</v>
      </c>
      <c r="AK700" s="424">
        <f t="shared" si="1685"/>
        <v>0</v>
      </c>
      <c r="AL700" s="424">
        <f t="shared" si="1685"/>
        <v>0</v>
      </c>
      <c r="AM700" s="424">
        <f t="shared" si="1685"/>
        <v>0</v>
      </c>
      <c r="AN700" s="424">
        <f t="shared" si="1685"/>
        <v>0</v>
      </c>
      <c r="AO700" s="424">
        <f t="shared" si="1685"/>
        <v>0</v>
      </c>
      <c r="AP700" s="424">
        <f t="shared" ref="AP700:BU700" si="1686">AP330*AP$372</f>
        <v>0</v>
      </c>
      <c r="AQ700" s="424">
        <f t="shared" si="1686"/>
        <v>0</v>
      </c>
      <c r="AR700" s="424">
        <f t="shared" si="1686"/>
        <v>0</v>
      </c>
      <c r="AS700" s="424">
        <f t="shared" si="1686"/>
        <v>0</v>
      </c>
      <c r="AT700" s="424">
        <f t="shared" si="1686"/>
        <v>0</v>
      </c>
      <c r="AU700" s="424">
        <f t="shared" si="1686"/>
        <v>0</v>
      </c>
      <c r="AV700" s="424">
        <f t="shared" si="1686"/>
        <v>0</v>
      </c>
      <c r="AW700" s="424">
        <f t="shared" si="1686"/>
        <v>0</v>
      </c>
      <c r="AX700" s="424">
        <f t="shared" si="1686"/>
        <v>0</v>
      </c>
      <c r="AY700" s="424">
        <f t="shared" si="1686"/>
        <v>0</v>
      </c>
      <c r="AZ700" s="424">
        <f t="shared" si="1686"/>
        <v>0</v>
      </c>
      <c r="BA700" s="424">
        <f t="shared" si="1686"/>
        <v>0</v>
      </c>
      <c r="BB700" s="424">
        <f t="shared" si="1686"/>
        <v>0</v>
      </c>
      <c r="BC700" s="424">
        <f t="shared" si="1686"/>
        <v>0</v>
      </c>
      <c r="BD700" s="424">
        <f t="shared" si="1686"/>
        <v>0</v>
      </c>
      <c r="BE700" s="424">
        <f t="shared" si="1686"/>
        <v>0</v>
      </c>
      <c r="BF700" s="424">
        <f t="shared" si="1686"/>
        <v>0</v>
      </c>
      <c r="BG700" s="424">
        <f t="shared" si="1686"/>
        <v>0</v>
      </c>
      <c r="BH700" s="424">
        <f t="shared" si="1686"/>
        <v>0</v>
      </c>
      <c r="BI700" s="424">
        <f t="shared" si="1686"/>
        <v>0</v>
      </c>
      <c r="BJ700" s="424">
        <f t="shared" si="1686"/>
        <v>0</v>
      </c>
      <c r="BK700" s="424">
        <f t="shared" si="1686"/>
        <v>0</v>
      </c>
      <c r="BL700" s="424">
        <f t="shared" si="1686"/>
        <v>0</v>
      </c>
      <c r="BM700" s="424">
        <f t="shared" si="1686"/>
        <v>0</v>
      </c>
      <c r="BN700" s="424">
        <f t="shared" si="1686"/>
        <v>0</v>
      </c>
      <c r="BO700" s="424">
        <f t="shared" si="1686"/>
        <v>0</v>
      </c>
      <c r="BP700" s="424">
        <f t="shared" si="1686"/>
        <v>0</v>
      </c>
      <c r="BQ700" s="424">
        <f t="shared" si="1686"/>
        <v>0</v>
      </c>
      <c r="BR700" s="424">
        <f t="shared" si="1686"/>
        <v>0</v>
      </c>
      <c r="BS700" s="424">
        <f t="shared" si="1686"/>
        <v>0</v>
      </c>
      <c r="BT700" s="424">
        <f t="shared" si="1686"/>
        <v>0</v>
      </c>
      <c r="BU700" s="424">
        <f t="shared" si="1686"/>
        <v>0</v>
      </c>
      <c r="BV700" s="424">
        <f t="shared" ref="BV700:DA700" si="1687">BV330*BV$372</f>
        <v>0</v>
      </c>
      <c r="BW700" s="424">
        <f t="shared" si="1687"/>
        <v>0</v>
      </c>
      <c r="BX700" s="424">
        <f t="shared" si="1687"/>
        <v>0</v>
      </c>
      <c r="BY700" s="424">
        <f t="shared" si="1687"/>
        <v>0</v>
      </c>
      <c r="BZ700" s="424">
        <f t="shared" si="1687"/>
        <v>0</v>
      </c>
      <c r="CA700" s="424">
        <f t="shared" si="1687"/>
        <v>0</v>
      </c>
      <c r="CB700" s="424">
        <f t="shared" si="1687"/>
        <v>0</v>
      </c>
      <c r="CC700" s="424">
        <f t="shared" si="1687"/>
        <v>0</v>
      </c>
      <c r="CD700" s="424">
        <f t="shared" si="1687"/>
        <v>0</v>
      </c>
      <c r="CE700" s="424">
        <f t="shared" si="1687"/>
        <v>0</v>
      </c>
      <c r="CF700" s="424">
        <f t="shared" si="1687"/>
        <v>0</v>
      </c>
      <c r="CG700" s="424">
        <f t="shared" si="1687"/>
        <v>0</v>
      </c>
      <c r="CH700" s="424">
        <f t="shared" si="1687"/>
        <v>0</v>
      </c>
      <c r="CI700" s="424">
        <f t="shared" si="1687"/>
        <v>0</v>
      </c>
      <c r="CJ700" s="424">
        <f t="shared" si="1687"/>
        <v>0</v>
      </c>
      <c r="CK700" s="424">
        <f t="shared" si="1687"/>
        <v>0</v>
      </c>
      <c r="CL700" s="424">
        <f t="shared" si="1687"/>
        <v>0</v>
      </c>
      <c r="CM700" s="424">
        <f t="shared" si="1687"/>
        <v>0</v>
      </c>
      <c r="CN700" s="424">
        <f t="shared" si="1687"/>
        <v>0</v>
      </c>
      <c r="CO700" s="424">
        <f t="shared" si="1687"/>
        <v>0</v>
      </c>
      <c r="CP700" s="424">
        <f t="shared" si="1687"/>
        <v>0</v>
      </c>
      <c r="CQ700" s="424">
        <f t="shared" si="1687"/>
        <v>0</v>
      </c>
      <c r="CR700" s="424">
        <f t="shared" si="1687"/>
        <v>0</v>
      </c>
      <c r="CS700" s="424">
        <f t="shared" si="1687"/>
        <v>0</v>
      </c>
      <c r="CT700" s="424">
        <f t="shared" si="1687"/>
        <v>0</v>
      </c>
      <c r="CU700" s="424">
        <f t="shared" si="1687"/>
        <v>0</v>
      </c>
      <c r="CV700" s="424">
        <f t="shared" si="1687"/>
        <v>0</v>
      </c>
      <c r="CW700" s="424">
        <f t="shared" si="1687"/>
        <v>0</v>
      </c>
      <c r="CX700" s="424">
        <f t="shared" si="1687"/>
        <v>0</v>
      </c>
      <c r="CY700" s="424">
        <f t="shared" si="1687"/>
        <v>0</v>
      </c>
      <c r="CZ700" s="424">
        <f t="shared" si="1687"/>
        <v>0</v>
      </c>
      <c r="DA700" s="424">
        <f t="shared" si="1687"/>
        <v>0</v>
      </c>
      <c r="DB700" s="424">
        <f t="shared" ref="DB700:EG700" si="1688">DB330*DB$372</f>
        <v>0</v>
      </c>
      <c r="DC700" s="424">
        <f t="shared" si="1688"/>
        <v>0</v>
      </c>
      <c r="DD700" s="424">
        <f t="shared" si="1688"/>
        <v>0</v>
      </c>
      <c r="DE700" s="424">
        <f t="shared" si="1688"/>
        <v>0</v>
      </c>
      <c r="DF700" s="424">
        <f t="shared" si="1688"/>
        <v>0</v>
      </c>
      <c r="DG700" s="424">
        <f t="shared" si="1688"/>
        <v>0</v>
      </c>
      <c r="DH700" s="424">
        <f t="shared" si="1688"/>
        <v>0</v>
      </c>
      <c r="DI700" s="424">
        <f t="shared" si="1688"/>
        <v>0</v>
      </c>
      <c r="DJ700" s="424">
        <f t="shared" si="1688"/>
        <v>0</v>
      </c>
      <c r="DK700" s="424">
        <f t="shared" si="1688"/>
        <v>0</v>
      </c>
      <c r="DL700" s="424">
        <f t="shared" si="1688"/>
        <v>0</v>
      </c>
      <c r="DM700" s="424">
        <f t="shared" si="1688"/>
        <v>0</v>
      </c>
      <c r="DN700" s="424">
        <f t="shared" si="1688"/>
        <v>0</v>
      </c>
      <c r="DO700" s="424">
        <f t="shared" si="1688"/>
        <v>0</v>
      </c>
      <c r="DP700" s="424">
        <f t="shared" si="1688"/>
        <v>0</v>
      </c>
      <c r="DQ700" s="424">
        <f t="shared" si="1688"/>
        <v>0</v>
      </c>
      <c r="DR700" s="424">
        <f t="shared" si="1688"/>
        <v>0</v>
      </c>
      <c r="DS700" s="424">
        <f t="shared" si="1688"/>
        <v>0</v>
      </c>
      <c r="DT700" s="424">
        <f t="shared" si="1688"/>
        <v>0</v>
      </c>
      <c r="DU700" s="424">
        <f t="shared" si="1688"/>
        <v>0</v>
      </c>
      <c r="DV700" s="424">
        <f t="shared" si="1688"/>
        <v>0</v>
      </c>
      <c r="DW700" s="424">
        <f t="shared" si="1688"/>
        <v>0</v>
      </c>
      <c r="DX700" s="424">
        <f t="shared" si="1688"/>
        <v>0</v>
      </c>
      <c r="DY700" s="424">
        <f t="shared" si="1688"/>
        <v>0</v>
      </c>
      <c r="DZ700" s="424">
        <f t="shared" si="1688"/>
        <v>0</v>
      </c>
      <c r="EA700" s="424">
        <f t="shared" si="1688"/>
        <v>0</v>
      </c>
      <c r="EB700" s="424">
        <f t="shared" si="1688"/>
        <v>0</v>
      </c>
      <c r="EC700" s="424">
        <f t="shared" si="1688"/>
        <v>0</v>
      </c>
      <c r="ED700" s="424">
        <f t="shared" si="1688"/>
        <v>0</v>
      </c>
      <c r="EE700" s="424">
        <f t="shared" si="1688"/>
        <v>0</v>
      </c>
      <c r="EF700" s="424">
        <f t="shared" si="1688"/>
        <v>0</v>
      </c>
      <c r="EG700" s="424">
        <f t="shared" si="1688"/>
        <v>0</v>
      </c>
      <c r="EH700" s="424">
        <f t="shared" ref="EH700:EX700" si="1689">EH330*EH$372</f>
        <v>0</v>
      </c>
      <c r="EI700" s="424">
        <f t="shared" si="1689"/>
        <v>0</v>
      </c>
      <c r="EJ700" s="424">
        <f t="shared" si="1689"/>
        <v>0</v>
      </c>
      <c r="EK700" s="424">
        <f t="shared" si="1689"/>
        <v>0</v>
      </c>
      <c r="EL700" s="424">
        <f t="shared" si="1689"/>
        <v>0</v>
      </c>
      <c r="EM700" s="424">
        <f t="shared" si="1689"/>
        <v>0</v>
      </c>
      <c r="EN700" s="424">
        <f t="shared" si="1689"/>
        <v>0</v>
      </c>
      <c r="EO700" s="424">
        <f t="shared" si="1689"/>
        <v>0</v>
      </c>
      <c r="EP700" s="424">
        <f t="shared" si="1689"/>
        <v>0</v>
      </c>
      <c r="EQ700" s="424">
        <f t="shared" si="1689"/>
        <v>0</v>
      </c>
      <c r="ER700" s="424">
        <f t="shared" si="1689"/>
        <v>0</v>
      </c>
      <c r="ES700" s="424">
        <f t="shared" si="1689"/>
        <v>0</v>
      </c>
      <c r="ET700" s="424">
        <f t="shared" si="1689"/>
        <v>0</v>
      </c>
      <c r="EU700" s="424">
        <f t="shared" si="1689"/>
        <v>0</v>
      </c>
      <c r="EV700" s="424">
        <f t="shared" si="1689"/>
        <v>3.25</v>
      </c>
      <c r="EW700" s="424">
        <f t="shared" si="1689"/>
        <v>0</v>
      </c>
      <c r="EX700" s="424">
        <f t="shared" si="1689"/>
        <v>0</v>
      </c>
      <c r="EY700" s="425">
        <f t="shared" si="1420"/>
        <v>3.25</v>
      </c>
      <c r="EZ700" s="616"/>
      <c r="FA700" s="616"/>
      <c r="FB700" s="616"/>
      <c r="FC700" s="616"/>
      <c r="FD700" s="616"/>
      <c r="FE700" s="616"/>
      <c r="FF700" s="616"/>
      <c r="FG700" s="616"/>
      <c r="FH700" s="616"/>
      <c r="FI700" s="616"/>
      <c r="FJ700" s="616"/>
    </row>
    <row r="701" spans="1:166" s="699" customFormat="1" ht="14.7" customHeight="1" x14ac:dyDescent="0.25">
      <c r="A701" s="310">
        <v>327</v>
      </c>
      <c r="B701" s="311" t="str">
        <f t="shared" si="1657"/>
        <v>Хлеб пшеничный нарезной</v>
      </c>
      <c r="C701" s="483">
        <f t="shared" si="1421"/>
        <v>2.6</v>
      </c>
      <c r="D701" s="888"/>
      <c r="E701" s="888"/>
      <c r="F701" s="888"/>
      <c r="G701" s="889"/>
      <c r="H701" s="680" t="str">
        <f t="shared" si="1664"/>
        <v>ПРОМ</v>
      </c>
      <c r="I701" s="1209">
        <f t="shared" si="1658"/>
        <v>0</v>
      </c>
      <c r="J701" s="424">
        <f t="shared" ref="J701:AO701" si="1690">J331*J$372</f>
        <v>0</v>
      </c>
      <c r="K701" s="424">
        <f t="shared" si="1690"/>
        <v>0</v>
      </c>
      <c r="L701" s="424">
        <f t="shared" si="1690"/>
        <v>0</v>
      </c>
      <c r="M701" s="424">
        <f t="shared" si="1690"/>
        <v>0</v>
      </c>
      <c r="N701" s="424">
        <f t="shared" si="1690"/>
        <v>0</v>
      </c>
      <c r="O701" s="424">
        <f t="shared" si="1690"/>
        <v>0</v>
      </c>
      <c r="P701" s="424">
        <f t="shared" si="1690"/>
        <v>0</v>
      </c>
      <c r="Q701" s="424">
        <f t="shared" si="1690"/>
        <v>0</v>
      </c>
      <c r="R701" s="424">
        <f t="shared" si="1690"/>
        <v>0</v>
      </c>
      <c r="S701" s="424">
        <f t="shared" si="1690"/>
        <v>0</v>
      </c>
      <c r="T701" s="424">
        <f t="shared" si="1690"/>
        <v>0</v>
      </c>
      <c r="U701" s="424">
        <f t="shared" si="1690"/>
        <v>0</v>
      </c>
      <c r="V701" s="424">
        <f t="shared" si="1690"/>
        <v>0</v>
      </c>
      <c r="W701" s="424">
        <f t="shared" si="1690"/>
        <v>0</v>
      </c>
      <c r="X701" s="424">
        <f t="shared" si="1690"/>
        <v>0</v>
      </c>
      <c r="Y701" s="424">
        <f t="shared" si="1690"/>
        <v>0</v>
      </c>
      <c r="Z701" s="424">
        <f t="shared" si="1690"/>
        <v>0</v>
      </c>
      <c r="AA701" s="424">
        <f t="shared" si="1690"/>
        <v>0</v>
      </c>
      <c r="AB701" s="424">
        <f t="shared" si="1690"/>
        <v>0</v>
      </c>
      <c r="AC701" s="424">
        <f t="shared" si="1690"/>
        <v>0</v>
      </c>
      <c r="AD701" s="424">
        <f t="shared" si="1690"/>
        <v>0</v>
      </c>
      <c r="AE701" s="424">
        <f t="shared" si="1690"/>
        <v>0</v>
      </c>
      <c r="AF701" s="424">
        <f t="shared" si="1690"/>
        <v>0</v>
      </c>
      <c r="AG701" s="424">
        <f t="shared" si="1690"/>
        <v>0</v>
      </c>
      <c r="AH701" s="424">
        <f t="shared" si="1690"/>
        <v>0</v>
      </c>
      <c r="AI701" s="424">
        <f t="shared" si="1690"/>
        <v>0</v>
      </c>
      <c r="AJ701" s="424">
        <f t="shared" si="1690"/>
        <v>0</v>
      </c>
      <c r="AK701" s="424">
        <f t="shared" si="1690"/>
        <v>0</v>
      </c>
      <c r="AL701" s="424">
        <f t="shared" si="1690"/>
        <v>0</v>
      </c>
      <c r="AM701" s="424">
        <f t="shared" si="1690"/>
        <v>0</v>
      </c>
      <c r="AN701" s="424">
        <f t="shared" si="1690"/>
        <v>0</v>
      </c>
      <c r="AO701" s="424">
        <f t="shared" si="1690"/>
        <v>0</v>
      </c>
      <c r="AP701" s="424">
        <f t="shared" ref="AP701:BU701" si="1691">AP331*AP$372</f>
        <v>0</v>
      </c>
      <c r="AQ701" s="424">
        <f t="shared" si="1691"/>
        <v>0</v>
      </c>
      <c r="AR701" s="424">
        <f t="shared" si="1691"/>
        <v>0</v>
      </c>
      <c r="AS701" s="424">
        <f t="shared" si="1691"/>
        <v>0</v>
      </c>
      <c r="AT701" s="424">
        <f t="shared" si="1691"/>
        <v>0</v>
      </c>
      <c r="AU701" s="424">
        <f t="shared" si="1691"/>
        <v>0</v>
      </c>
      <c r="AV701" s="424">
        <f t="shared" si="1691"/>
        <v>0</v>
      </c>
      <c r="AW701" s="424">
        <f t="shared" si="1691"/>
        <v>0</v>
      </c>
      <c r="AX701" s="424">
        <f t="shared" si="1691"/>
        <v>0</v>
      </c>
      <c r="AY701" s="424">
        <f t="shared" si="1691"/>
        <v>0</v>
      </c>
      <c r="AZ701" s="424">
        <f t="shared" si="1691"/>
        <v>0</v>
      </c>
      <c r="BA701" s="424">
        <f t="shared" si="1691"/>
        <v>0</v>
      </c>
      <c r="BB701" s="424">
        <f t="shared" si="1691"/>
        <v>0</v>
      </c>
      <c r="BC701" s="424">
        <f t="shared" si="1691"/>
        <v>0</v>
      </c>
      <c r="BD701" s="424">
        <f t="shared" si="1691"/>
        <v>0</v>
      </c>
      <c r="BE701" s="424">
        <f t="shared" si="1691"/>
        <v>0</v>
      </c>
      <c r="BF701" s="424">
        <f t="shared" si="1691"/>
        <v>0</v>
      </c>
      <c r="BG701" s="424">
        <f t="shared" si="1691"/>
        <v>0</v>
      </c>
      <c r="BH701" s="424">
        <f t="shared" si="1691"/>
        <v>0</v>
      </c>
      <c r="BI701" s="424">
        <f t="shared" si="1691"/>
        <v>0</v>
      </c>
      <c r="BJ701" s="424">
        <f t="shared" si="1691"/>
        <v>0</v>
      </c>
      <c r="BK701" s="424">
        <f t="shared" si="1691"/>
        <v>0</v>
      </c>
      <c r="BL701" s="424">
        <f t="shared" si="1691"/>
        <v>0</v>
      </c>
      <c r="BM701" s="424">
        <f t="shared" si="1691"/>
        <v>0</v>
      </c>
      <c r="BN701" s="424">
        <f t="shared" si="1691"/>
        <v>0</v>
      </c>
      <c r="BO701" s="424">
        <f t="shared" si="1691"/>
        <v>0</v>
      </c>
      <c r="BP701" s="424">
        <f t="shared" si="1691"/>
        <v>0</v>
      </c>
      <c r="BQ701" s="424">
        <f t="shared" si="1691"/>
        <v>0</v>
      </c>
      <c r="BR701" s="424">
        <f t="shared" si="1691"/>
        <v>0</v>
      </c>
      <c r="BS701" s="424">
        <f t="shared" si="1691"/>
        <v>0</v>
      </c>
      <c r="BT701" s="424">
        <f t="shared" si="1691"/>
        <v>0</v>
      </c>
      <c r="BU701" s="424">
        <f t="shared" si="1691"/>
        <v>0</v>
      </c>
      <c r="BV701" s="424">
        <f t="shared" ref="BV701:DA701" si="1692">BV331*BV$372</f>
        <v>0</v>
      </c>
      <c r="BW701" s="424">
        <f t="shared" si="1692"/>
        <v>0</v>
      </c>
      <c r="BX701" s="424">
        <f t="shared" si="1692"/>
        <v>0</v>
      </c>
      <c r="BY701" s="424">
        <f t="shared" si="1692"/>
        <v>0</v>
      </c>
      <c r="BZ701" s="424">
        <f t="shared" si="1692"/>
        <v>0</v>
      </c>
      <c r="CA701" s="424">
        <f t="shared" si="1692"/>
        <v>0</v>
      </c>
      <c r="CB701" s="424">
        <f t="shared" si="1692"/>
        <v>0</v>
      </c>
      <c r="CC701" s="424">
        <f t="shared" si="1692"/>
        <v>0</v>
      </c>
      <c r="CD701" s="424">
        <f t="shared" si="1692"/>
        <v>0</v>
      </c>
      <c r="CE701" s="424">
        <f t="shared" si="1692"/>
        <v>0</v>
      </c>
      <c r="CF701" s="424">
        <f t="shared" si="1692"/>
        <v>0</v>
      </c>
      <c r="CG701" s="424">
        <f t="shared" si="1692"/>
        <v>0</v>
      </c>
      <c r="CH701" s="424">
        <f t="shared" si="1692"/>
        <v>0</v>
      </c>
      <c r="CI701" s="424">
        <f t="shared" si="1692"/>
        <v>0</v>
      </c>
      <c r="CJ701" s="424">
        <f t="shared" si="1692"/>
        <v>0</v>
      </c>
      <c r="CK701" s="424">
        <f t="shared" si="1692"/>
        <v>0</v>
      </c>
      <c r="CL701" s="424">
        <f t="shared" si="1692"/>
        <v>0</v>
      </c>
      <c r="CM701" s="424">
        <f t="shared" si="1692"/>
        <v>0</v>
      </c>
      <c r="CN701" s="424">
        <f t="shared" si="1692"/>
        <v>0</v>
      </c>
      <c r="CO701" s="424">
        <f t="shared" si="1692"/>
        <v>0</v>
      </c>
      <c r="CP701" s="424">
        <f t="shared" si="1692"/>
        <v>0</v>
      </c>
      <c r="CQ701" s="424">
        <f t="shared" si="1692"/>
        <v>0</v>
      </c>
      <c r="CR701" s="424">
        <f t="shared" si="1692"/>
        <v>0</v>
      </c>
      <c r="CS701" s="424">
        <f t="shared" si="1692"/>
        <v>0</v>
      </c>
      <c r="CT701" s="424">
        <f t="shared" si="1692"/>
        <v>0</v>
      </c>
      <c r="CU701" s="424">
        <f t="shared" si="1692"/>
        <v>0</v>
      </c>
      <c r="CV701" s="424">
        <f t="shared" si="1692"/>
        <v>0</v>
      </c>
      <c r="CW701" s="424">
        <f t="shared" si="1692"/>
        <v>0</v>
      </c>
      <c r="CX701" s="424">
        <f t="shared" si="1692"/>
        <v>0</v>
      </c>
      <c r="CY701" s="424">
        <f t="shared" si="1692"/>
        <v>0</v>
      </c>
      <c r="CZ701" s="424">
        <f t="shared" si="1692"/>
        <v>0</v>
      </c>
      <c r="DA701" s="424">
        <f t="shared" si="1692"/>
        <v>0</v>
      </c>
      <c r="DB701" s="424">
        <f t="shared" ref="DB701:EG701" si="1693">DB331*DB$372</f>
        <v>0</v>
      </c>
      <c r="DC701" s="424">
        <f t="shared" si="1693"/>
        <v>0</v>
      </c>
      <c r="DD701" s="424">
        <f t="shared" si="1693"/>
        <v>0</v>
      </c>
      <c r="DE701" s="424">
        <f t="shared" si="1693"/>
        <v>0</v>
      </c>
      <c r="DF701" s="424">
        <f t="shared" si="1693"/>
        <v>0</v>
      </c>
      <c r="DG701" s="424">
        <f t="shared" si="1693"/>
        <v>0</v>
      </c>
      <c r="DH701" s="424">
        <f t="shared" si="1693"/>
        <v>0</v>
      </c>
      <c r="DI701" s="424">
        <f t="shared" si="1693"/>
        <v>0</v>
      </c>
      <c r="DJ701" s="424">
        <f t="shared" si="1693"/>
        <v>0</v>
      </c>
      <c r="DK701" s="424">
        <f t="shared" si="1693"/>
        <v>0</v>
      </c>
      <c r="DL701" s="424">
        <f t="shared" si="1693"/>
        <v>0</v>
      </c>
      <c r="DM701" s="424">
        <f t="shared" si="1693"/>
        <v>0</v>
      </c>
      <c r="DN701" s="424">
        <f t="shared" si="1693"/>
        <v>0</v>
      </c>
      <c r="DO701" s="424">
        <f t="shared" si="1693"/>
        <v>0</v>
      </c>
      <c r="DP701" s="424">
        <f t="shared" si="1693"/>
        <v>0</v>
      </c>
      <c r="DQ701" s="424">
        <f t="shared" si="1693"/>
        <v>0</v>
      </c>
      <c r="DR701" s="424">
        <f t="shared" si="1693"/>
        <v>0</v>
      </c>
      <c r="DS701" s="424">
        <f t="shared" si="1693"/>
        <v>0</v>
      </c>
      <c r="DT701" s="424">
        <f t="shared" si="1693"/>
        <v>0</v>
      </c>
      <c r="DU701" s="424">
        <f t="shared" si="1693"/>
        <v>0</v>
      </c>
      <c r="DV701" s="424">
        <f t="shared" si="1693"/>
        <v>0</v>
      </c>
      <c r="DW701" s="424">
        <f t="shared" si="1693"/>
        <v>0</v>
      </c>
      <c r="DX701" s="424">
        <f t="shared" si="1693"/>
        <v>0</v>
      </c>
      <c r="DY701" s="424">
        <f t="shared" si="1693"/>
        <v>0</v>
      </c>
      <c r="DZ701" s="424">
        <f t="shared" si="1693"/>
        <v>0</v>
      </c>
      <c r="EA701" s="424">
        <f t="shared" si="1693"/>
        <v>0</v>
      </c>
      <c r="EB701" s="424">
        <f t="shared" si="1693"/>
        <v>0</v>
      </c>
      <c r="EC701" s="424">
        <f t="shared" si="1693"/>
        <v>0</v>
      </c>
      <c r="ED701" s="424">
        <f t="shared" si="1693"/>
        <v>0</v>
      </c>
      <c r="EE701" s="424">
        <f t="shared" si="1693"/>
        <v>0</v>
      </c>
      <c r="EF701" s="424">
        <f t="shared" si="1693"/>
        <v>0</v>
      </c>
      <c r="EG701" s="424">
        <f t="shared" si="1693"/>
        <v>0</v>
      </c>
      <c r="EH701" s="424">
        <f t="shared" ref="EH701:EX701" si="1694">EH331*EH$372</f>
        <v>0</v>
      </c>
      <c r="EI701" s="424">
        <f t="shared" si="1694"/>
        <v>0</v>
      </c>
      <c r="EJ701" s="424">
        <f t="shared" si="1694"/>
        <v>0</v>
      </c>
      <c r="EK701" s="424">
        <f t="shared" si="1694"/>
        <v>0</v>
      </c>
      <c r="EL701" s="424">
        <f t="shared" si="1694"/>
        <v>0</v>
      </c>
      <c r="EM701" s="424">
        <f t="shared" si="1694"/>
        <v>0</v>
      </c>
      <c r="EN701" s="424">
        <f t="shared" si="1694"/>
        <v>0</v>
      </c>
      <c r="EO701" s="424">
        <f t="shared" si="1694"/>
        <v>0</v>
      </c>
      <c r="EP701" s="424">
        <f t="shared" si="1694"/>
        <v>0</v>
      </c>
      <c r="EQ701" s="424">
        <f t="shared" si="1694"/>
        <v>0</v>
      </c>
      <c r="ER701" s="424">
        <f t="shared" si="1694"/>
        <v>0</v>
      </c>
      <c r="ES701" s="424">
        <f t="shared" si="1694"/>
        <v>0</v>
      </c>
      <c r="ET701" s="424">
        <f t="shared" si="1694"/>
        <v>0</v>
      </c>
      <c r="EU701" s="424">
        <f t="shared" si="1694"/>
        <v>0</v>
      </c>
      <c r="EV701" s="424">
        <f t="shared" si="1694"/>
        <v>2.6</v>
      </c>
      <c r="EW701" s="424">
        <f t="shared" si="1694"/>
        <v>0</v>
      </c>
      <c r="EX701" s="424">
        <f t="shared" si="1694"/>
        <v>0</v>
      </c>
      <c r="EY701" s="425">
        <f t="shared" si="1420"/>
        <v>2.6</v>
      </c>
      <c r="EZ701" s="616"/>
      <c r="FA701" s="616"/>
      <c r="FB701" s="616"/>
      <c r="FC701" s="616"/>
      <c r="FD701" s="616"/>
      <c r="FE701" s="616"/>
      <c r="FF701" s="616"/>
      <c r="FG701" s="616"/>
      <c r="FH701" s="616"/>
      <c r="FI701" s="616"/>
      <c r="FJ701" s="616"/>
    </row>
    <row r="702" spans="1:166" s="699" customFormat="1" ht="14.7" customHeight="1" x14ac:dyDescent="0.25">
      <c r="A702" s="310">
        <v>328</v>
      </c>
      <c r="B702" s="311" t="str">
        <f t="shared" si="1657"/>
        <v>Хлеб пшеничный нарезной</v>
      </c>
      <c r="C702" s="483">
        <f t="shared" si="1421"/>
        <v>1.95</v>
      </c>
      <c r="D702" s="888"/>
      <c r="E702" s="888"/>
      <c r="F702" s="888"/>
      <c r="G702" s="889"/>
      <c r="H702" s="680" t="str">
        <f t="shared" si="1664"/>
        <v>ПРОМ</v>
      </c>
      <c r="I702" s="1209">
        <f t="shared" si="1658"/>
        <v>0</v>
      </c>
      <c r="J702" s="424">
        <f t="shared" ref="J702:AO702" si="1695">J332*J$372</f>
        <v>0</v>
      </c>
      <c r="K702" s="424">
        <f t="shared" si="1695"/>
        <v>0</v>
      </c>
      <c r="L702" s="424">
        <f t="shared" si="1695"/>
        <v>0</v>
      </c>
      <c r="M702" s="424">
        <f t="shared" si="1695"/>
        <v>0</v>
      </c>
      <c r="N702" s="424">
        <f t="shared" si="1695"/>
        <v>0</v>
      </c>
      <c r="O702" s="424">
        <f t="shared" si="1695"/>
        <v>0</v>
      </c>
      <c r="P702" s="424">
        <f t="shared" si="1695"/>
        <v>0</v>
      </c>
      <c r="Q702" s="424">
        <f t="shared" si="1695"/>
        <v>0</v>
      </c>
      <c r="R702" s="424">
        <f t="shared" si="1695"/>
        <v>0</v>
      </c>
      <c r="S702" s="424">
        <f t="shared" si="1695"/>
        <v>0</v>
      </c>
      <c r="T702" s="424">
        <f t="shared" si="1695"/>
        <v>0</v>
      </c>
      <c r="U702" s="424">
        <f t="shared" si="1695"/>
        <v>0</v>
      </c>
      <c r="V702" s="424">
        <f t="shared" si="1695"/>
        <v>0</v>
      </c>
      <c r="W702" s="424">
        <f t="shared" si="1695"/>
        <v>0</v>
      </c>
      <c r="X702" s="424">
        <f t="shared" si="1695"/>
        <v>0</v>
      </c>
      <c r="Y702" s="424">
        <f t="shared" si="1695"/>
        <v>0</v>
      </c>
      <c r="Z702" s="424">
        <f t="shared" si="1695"/>
        <v>0</v>
      </c>
      <c r="AA702" s="424">
        <f t="shared" si="1695"/>
        <v>0</v>
      </c>
      <c r="AB702" s="424">
        <f t="shared" si="1695"/>
        <v>0</v>
      </c>
      <c r="AC702" s="424">
        <f t="shared" si="1695"/>
        <v>0</v>
      </c>
      <c r="AD702" s="424">
        <f t="shared" si="1695"/>
        <v>0</v>
      </c>
      <c r="AE702" s="424">
        <f t="shared" si="1695"/>
        <v>0</v>
      </c>
      <c r="AF702" s="424">
        <f t="shared" si="1695"/>
        <v>0</v>
      </c>
      <c r="AG702" s="424">
        <f t="shared" si="1695"/>
        <v>0</v>
      </c>
      <c r="AH702" s="424">
        <f t="shared" si="1695"/>
        <v>0</v>
      </c>
      <c r="AI702" s="424">
        <f t="shared" si="1695"/>
        <v>0</v>
      </c>
      <c r="AJ702" s="424">
        <f t="shared" si="1695"/>
        <v>0</v>
      </c>
      <c r="AK702" s="424">
        <f t="shared" si="1695"/>
        <v>0</v>
      </c>
      <c r="AL702" s="424">
        <f t="shared" si="1695"/>
        <v>0</v>
      </c>
      <c r="AM702" s="424">
        <f t="shared" si="1695"/>
        <v>0</v>
      </c>
      <c r="AN702" s="424">
        <f t="shared" si="1695"/>
        <v>0</v>
      </c>
      <c r="AO702" s="424">
        <f t="shared" si="1695"/>
        <v>0</v>
      </c>
      <c r="AP702" s="424">
        <f t="shared" ref="AP702:BU702" si="1696">AP332*AP$372</f>
        <v>0</v>
      </c>
      <c r="AQ702" s="424">
        <f t="shared" si="1696"/>
        <v>0</v>
      </c>
      <c r="AR702" s="424">
        <f t="shared" si="1696"/>
        <v>0</v>
      </c>
      <c r="AS702" s="424">
        <f t="shared" si="1696"/>
        <v>0</v>
      </c>
      <c r="AT702" s="424">
        <f t="shared" si="1696"/>
        <v>0</v>
      </c>
      <c r="AU702" s="424">
        <f t="shared" si="1696"/>
        <v>0</v>
      </c>
      <c r="AV702" s="424">
        <f t="shared" si="1696"/>
        <v>0</v>
      </c>
      <c r="AW702" s="424">
        <f t="shared" si="1696"/>
        <v>0</v>
      </c>
      <c r="AX702" s="424">
        <f t="shared" si="1696"/>
        <v>0</v>
      </c>
      <c r="AY702" s="424">
        <f t="shared" si="1696"/>
        <v>0</v>
      </c>
      <c r="AZ702" s="424">
        <f t="shared" si="1696"/>
        <v>0</v>
      </c>
      <c r="BA702" s="424">
        <f t="shared" si="1696"/>
        <v>0</v>
      </c>
      <c r="BB702" s="424">
        <f t="shared" si="1696"/>
        <v>0</v>
      </c>
      <c r="BC702" s="424">
        <f t="shared" si="1696"/>
        <v>0</v>
      </c>
      <c r="BD702" s="424">
        <f t="shared" si="1696"/>
        <v>0</v>
      </c>
      <c r="BE702" s="424">
        <f t="shared" si="1696"/>
        <v>0</v>
      </c>
      <c r="BF702" s="424">
        <f t="shared" si="1696"/>
        <v>0</v>
      </c>
      <c r="BG702" s="424">
        <f t="shared" si="1696"/>
        <v>0</v>
      </c>
      <c r="BH702" s="424">
        <f t="shared" si="1696"/>
        <v>0</v>
      </c>
      <c r="BI702" s="424">
        <f t="shared" si="1696"/>
        <v>0</v>
      </c>
      <c r="BJ702" s="424">
        <f t="shared" si="1696"/>
        <v>0</v>
      </c>
      <c r="BK702" s="424">
        <f t="shared" si="1696"/>
        <v>0</v>
      </c>
      <c r="BL702" s="424">
        <f t="shared" si="1696"/>
        <v>0</v>
      </c>
      <c r="BM702" s="424">
        <f t="shared" si="1696"/>
        <v>0</v>
      </c>
      <c r="BN702" s="424">
        <f t="shared" si="1696"/>
        <v>0</v>
      </c>
      <c r="BO702" s="424">
        <f t="shared" si="1696"/>
        <v>0</v>
      </c>
      <c r="BP702" s="424">
        <f t="shared" si="1696"/>
        <v>0</v>
      </c>
      <c r="BQ702" s="424">
        <f t="shared" si="1696"/>
        <v>0</v>
      </c>
      <c r="BR702" s="424">
        <f t="shared" si="1696"/>
        <v>0</v>
      </c>
      <c r="BS702" s="424">
        <f t="shared" si="1696"/>
        <v>0</v>
      </c>
      <c r="BT702" s="424">
        <f t="shared" si="1696"/>
        <v>0</v>
      </c>
      <c r="BU702" s="424">
        <f t="shared" si="1696"/>
        <v>0</v>
      </c>
      <c r="BV702" s="424">
        <f t="shared" ref="BV702:DA702" si="1697">BV332*BV$372</f>
        <v>0</v>
      </c>
      <c r="BW702" s="424">
        <f t="shared" si="1697"/>
        <v>0</v>
      </c>
      <c r="BX702" s="424">
        <f t="shared" si="1697"/>
        <v>0</v>
      </c>
      <c r="BY702" s="424">
        <f t="shared" si="1697"/>
        <v>0</v>
      </c>
      <c r="BZ702" s="424">
        <f t="shared" si="1697"/>
        <v>0</v>
      </c>
      <c r="CA702" s="424">
        <f t="shared" si="1697"/>
        <v>0</v>
      </c>
      <c r="CB702" s="424">
        <f t="shared" si="1697"/>
        <v>0</v>
      </c>
      <c r="CC702" s="424">
        <f t="shared" si="1697"/>
        <v>0</v>
      </c>
      <c r="CD702" s="424">
        <f t="shared" si="1697"/>
        <v>0</v>
      </c>
      <c r="CE702" s="424">
        <f t="shared" si="1697"/>
        <v>0</v>
      </c>
      <c r="CF702" s="424">
        <f t="shared" si="1697"/>
        <v>0</v>
      </c>
      <c r="CG702" s="424">
        <f t="shared" si="1697"/>
        <v>0</v>
      </c>
      <c r="CH702" s="424">
        <f t="shared" si="1697"/>
        <v>0</v>
      </c>
      <c r="CI702" s="424">
        <f t="shared" si="1697"/>
        <v>0</v>
      </c>
      <c r="CJ702" s="424">
        <f t="shared" si="1697"/>
        <v>0</v>
      </c>
      <c r="CK702" s="424">
        <f t="shared" si="1697"/>
        <v>0</v>
      </c>
      <c r="CL702" s="424">
        <f t="shared" si="1697"/>
        <v>0</v>
      </c>
      <c r="CM702" s="424">
        <f t="shared" si="1697"/>
        <v>0</v>
      </c>
      <c r="CN702" s="424">
        <f t="shared" si="1697"/>
        <v>0</v>
      </c>
      <c r="CO702" s="424">
        <f t="shared" si="1697"/>
        <v>0</v>
      </c>
      <c r="CP702" s="424">
        <f t="shared" si="1697"/>
        <v>0</v>
      </c>
      <c r="CQ702" s="424">
        <f t="shared" si="1697"/>
        <v>0</v>
      </c>
      <c r="CR702" s="424">
        <f t="shared" si="1697"/>
        <v>0</v>
      </c>
      <c r="CS702" s="424">
        <f t="shared" si="1697"/>
        <v>0</v>
      </c>
      <c r="CT702" s="424">
        <f t="shared" si="1697"/>
        <v>0</v>
      </c>
      <c r="CU702" s="424">
        <f t="shared" si="1697"/>
        <v>0</v>
      </c>
      <c r="CV702" s="424">
        <f t="shared" si="1697"/>
        <v>0</v>
      </c>
      <c r="CW702" s="424">
        <f t="shared" si="1697"/>
        <v>0</v>
      </c>
      <c r="CX702" s="424">
        <f t="shared" si="1697"/>
        <v>0</v>
      </c>
      <c r="CY702" s="424">
        <f t="shared" si="1697"/>
        <v>0</v>
      </c>
      <c r="CZ702" s="424">
        <f t="shared" si="1697"/>
        <v>0</v>
      </c>
      <c r="DA702" s="424">
        <f t="shared" si="1697"/>
        <v>0</v>
      </c>
      <c r="DB702" s="424">
        <f t="shared" ref="DB702:EG702" si="1698">DB332*DB$372</f>
        <v>0</v>
      </c>
      <c r="DC702" s="424">
        <f t="shared" si="1698"/>
        <v>0</v>
      </c>
      <c r="DD702" s="424">
        <f t="shared" si="1698"/>
        <v>0</v>
      </c>
      <c r="DE702" s="424">
        <f t="shared" si="1698"/>
        <v>0</v>
      </c>
      <c r="DF702" s="424">
        <f t="shared" si="1698"/>
        <v>0</v>
      </c>
      <c r="DG702" s="424">
        <f t="shared" si="1698"/>
        <v>0</v>
      </c>
      <c r="DH702" s="424">
        <f t="shared" si="1698"/>
        <v>0</v>
      </c>
      <c r="DI702" s="424">
        <f t="shared" si="1698"/>
        <v>0</v>
      </c>
      <c r="DJ702" s="424">
        <f t="shared" si="1698"/>
        <v>0</v>
      </c>
      <c r="DK702" s="424">
        <f t="shared" si="1698"/>
        <v>0</v>
      </c>
      <c r="DL702" s="424">
        <f t="shared" si="1698"/>
        <v>0</v>
      </c>
      <c r="DM702" s="424">
        <f t="shared" si="1698"/>
        <v>0</v>
      </c>
      <c r="DN702" s="424">
        <f t="shared" si="1698"/>
        <v>0</v>
      </c>
      <c r="DO702" s="424">
        <f t="shared" si="1698"/>
        <v>0</v>
      </c>
      <c r="DP702" s="424">
        <f t="shared" si="1698"/>
        <v>0</v>
      </c>
      <c r="DQ702" s="424">
        <f t="shared" si="1698"/>
        <v>0</v>
      </c>
      <c r="DR702" s="424">
        <f t="shared" si="1698"/>
        <v>0</v>
      </c>
      <c r="DS702" s="424">
        <f t="shared" si="1698"/>
        <v>0</v>
      </c>
      <c r="DT702" s="424">
        <f t="shared" si="1698"/>
        <v>0</v>
      </c>
      <c r="DU702" s="424">
        <f t="shared" si="1698"/>
        <v>0</v>
      </c>
      <c r="DV702" s="424">
        <f t="shared" si="1698"/>
        <v>0</v>
      </c>
      <c r="DW702" s="424">
        <f t="shared" si="1698"/>
        <v>0</v>
      </c>
      <c r="DX702" s="424">
        <f t="shared" si="1698"/>
        <v>0</v>
      </c>
      <c r="DY702" s="424">
        <f t="shared" si="1698"/>
        <v>0</v>
      </c>
      <c r="DZ702" s="424">
        <f t="shared" si="1698"/>
        <v>0</v>
      </c>
      <c r="EA702" s="424">
        <f t="shared" si="1698"/>
        <v>0</v>
      </c>
      <c r="EB702" s="424">
        <f t="shared" si="1698"/>
        <v>0</v>
      </c>
      <c r="EC702" s="424">
        <f t="shared" si="1698"/>
        <v>0</v>
      </c>
      <c r="ED702" s="424">
        <f t="shared" si="1698"/>
        <v>0</v>
      </c>
      <c r="EE702" s="424">
        <f t="shared" si="1698"/>
        <v>0</v>
      </c>
      <c r="EF702" s="424">
        <f t="shared" si="1698"/>
        <v>0</v>
      </c>
      <c r="EG702" s="424">
        <f t="shared" si="1698"/>
        <v>0</v>
      </c>
      <c r="EH702" s="424">
        <f t="shared" ref="EH702:EX702" si="1699">EH332*EH$372</f>
        <v>0</v>
      </c>
      <c r="EI702" s="424">
        <f t="shared" si="1699"/>
        <v>0</v>
      </c>
      <c r="EJ702" s="424">
        <f t="shared" si="1699"/>
        <v>0</v>
      </c>
      <c r="EK702" s="424">
        <f t="shared" si="1699"/>
        <v>0</v>
      </c>
      <c r="EL702" s="424">
        <f t="shared" si="1699"/>
        <v>0</v>
      </c>
      <c r="EM702" s="424">
        <f t="shared" si="1699"/>
        <v>0</v>
      </c>
      <c r="EN702" s="424">
        <f t="shared" si="1699"/>
        <v>0</v>
      </c>
      <c r="EO702" s="424">
        <f t="shared" si="1699"/>
        <v>0</v>
      </c>
      <c r="EP702" s="424">
        <f t="shared" si="1699"/>
        <v>0</v>
      </c>
      <c r="EQ702" s="424">
        <f t="shared" si="1699"/>
        <v>0</v>
      </c>
      <c r="ER702" s="424">
        <f t="shared" si="1699"/>
        <v>0</v>
      </c>
      <c r="ES702" s="424">
        <f t="shared" si="1699"/>
        <v>0</v>
      </c>
      <c r="ET702" s="424">
        <f t="shared" si="1699"/>
        <v>0</v>
      </c>
      <c r="EU702" s="424">
        <f t="shared" si="1699"/>
        <v>0</v>
      </c>
      <c r="EV702" s="424">
        <f t="shared" si="1699"/>
        <v>1.95</v>
      </c>
      <c r="EW702" s="424">
        <f t="shared" si="1699"/>
        <v>0</v>
      </c>
      <c r="EX702" s="424">
        <f t="shared" si="1699"/>
        <v>0</v>
      </c>
      <c r="EY702" s="425">
        <f t="shared" si="1420"/>
        <v>1.95</v>
      </c>
      <c r="EZ702" s="616"/>
      <c r="FA702" s="616"/>
      <c r="FB702" s="616"/>
      <c r="FC702" s="616"/>
      <c r="FD702" s="616"/>
      <c r="FE702" s="616"/>
      <c r="FF702" s="616"/>
      <c r="FG702" s="616"/>
      <c r="FH702" s="616"/>
      <c r="FI702" s="616"/>
      <c r="FJ702" s="616"/>
    </row>
    <row r="703" spans="1:166" s="926" customFormat="1" ht="14.7" customHeight="1" x14ac:dyDescent="0.25">
      <c r="A703" s="310">
        <v>329</v>
      </c>
      <c r="B703" s="311" t="str">
        <f t="shared" si="1657"/>
        <v>Хлеб пшеничный нарезной</v>
      </c>
      <c r="C703" s="483">
        <f t="shared" si="1421"/>
        <v>1.3</v>
      </c>
      <c r="D703" s="888"/>
      <c r="E703" s="888"/>
      <c r="F703" s="888"/>
      <c r="G703" s="889"/>
      <c r="H703" s="680" t="str">
        <f t="shared" si="1664"/>
        <v>ПРОМ</v>
      </c>
      <c r="I703" s="1209">
        <f t="shared" si="1658"/>
        <v>0</v>
      </c>
      <c r="J703" s="424">
        <f t="shared" ref="J703:AO703" si="1700">J333*J$372</f>
        <v>0</v>
      </c>
      <c r="K703" s="424">
        <f t="shared" si="1700"/>
        <v>0</v>
      </c>
      <c r="L703" s="424">
        <f t="shared" si="1700"/>
        <v>0</v>
      </c>
      <c r="M703" s="424">
        <f t="shared" si="1700"/>
        <v>0</v>
      </c>
      <c r="N703" s="424">
        <f t="shared" si="1700"/>
        <v>0</v>
      </c>
      <c r="O703" s="424">
        <f t="shared" si="1700"/>
        <v>0</v>
      </c>
      <c r="P703" s="424">
        <f t="shared" si="1700"/>
        <v>0</v>
      </c>
      <c r="Q703" s="424">
        <f t="shared" si="1700"/>
        <v>0</v>
      </c>
      <c r="R703" s="424">
        <f t="shared" si="1700"/>
        <v>0</v>
      </c>
      <c r="S703" s="424">
        <f t="shared" si="1700"/>
        <v>0</v>
      </c>
      <c r="T703" s="424">
        <f t="shared" si="1700"/>
        <v>0</v>
      </c>
      <c r="U703" s="424">
        <f t="shared" si="1700"/>
        <v>0</v>
      </c>
      <c r="V703" s="424">
        <f t="shared" si="1700"/>
        <v>0</v>
      </c>
      <c r="W703" s="424">
        <f t="shared" si="1700"/>
        <v>0</v>
      </c>
      <c r="X703" s="424">
        <f t="shared" si="1700"/>
        <v>0</v>
      </c>
      <c r="Y703" s="424">
        <f t="shared" si="1700"/>
        <v>0</v>
      </c>
      <c r="Z703" s="424">
        <f t="shared" si="1700"/>
        <v>0</v>
      </c>
      <c r="AA703" s="424">
        <f t="shared" si="1700"/>
        <v>0</v>
      </c>
      <c r="AB703" s="424">
        <f t="shared" si="1700"/>
        <v>0</v>
      </c>
      <c r="AC703" s="424">
        <f t="shared" si="1700"/>
        <v>0</v>
      </c>
      <c r="AD703" s="424">
        <f t="shared" si="1700"/>
        <v>0</v>
      </c>
      <c r="AE703" s="424">
        <f t="shared" si="1700"/>
        <v>0</v>
      </c>
      <c r="AF703" s="424">
        <f t="shared" si="1700"/>
        <v>0</v>
      </c>
      <c r="AG703" s="424">
        <f t="shared" si="1700"/>
        <v>0</v>
      </c>
      <c r="AH703" s="424">
        <f t="shared" si="1700"/>
        <v>0</v>
      </c>
      <c r="AI703" s="424">
        <f t="shared" si="1700"/>
        <v>0</v>
      </c>
      <c r="AJ703" s="424">
        <f t="shared" si="1700"/>
        <v>0</v>
      </c>
      <c r="AK703" s="424">
        <f t="shared" si="1700"/>
        <v>0</v>
      </c>
      <c r="AL703" s="424">
        <f t="shared" si="1700"/>
        <v>0</v>
      </c>
      <c r="AM703" s="424">
        <f t="shared" si="1700"/>
        <v>0</v>
      </c>
      <c r="AN703" s="424">
        <f t="shared" si="1700"/>
        <v>0</v>
      </c>
      <c r="AO703" s="424">
        <f t="shared" si="1700"/>
        <v>0</v>
      </c>
      <c r="AP703" s="424">
        <f t="shared" ref="AP703:BU703" si="1701">AP333*AP$372</f>
        <v>0</v>
      </c>
      <c r="AQ703" s="424">
        <f t="shared" si="1701"/>
        <v>0</v>
      </c>
      <c r="AR703" s="424">
        <f t="shared" si="1701"/>
        <v>0</v>
      </c>
      <c r="AS703" s="424">
        <f t="shared" si="1701"/>
        <v>0</v>
      </c>
      <c r="AT703" s="424">
        <f t="shared" si="1701"/>
        <v>0</v>
      </c>
      <c r="AU703" s="424">
        <f t="shared" si="1701"/>
        <v>0</v>
      </c>
      <c r="AV703" s="424">
        <f t="shared" si="1701"/>
        <v>0</v>
      </c>
      <c r="AW703" s="424">
        <f t="shared" si="1701"/>
        <v>0</v>
      </c>
      <c r="AX703" s="424">
        <f t="shared" si="1701"/>
        <v>0</v>
      </c>
      <c r="AY703" s="424">
        <f t="shared" si="1701"/>
        <v>0</v>
      </c>
      <c r="AZ703" s="424">
        <f t="shared" si="1701"/>
        <v>0</v>
      </c>
      <c r="BA703" s="424">
        <f t="shared" si="1701"/>
        <v>0</v>
      </c>
      <c r="BB703" s="424">
        <f t="shared" si="1701"/>
        <v>0</v>
      </c>
      <c r="BC703" s="424">
        <f t="shared" si="1701"/>
        <v>0</v>
      </c>
      <c r="BD703" s="424">
        <f t="shared" si="1701"/>
        <v>0</v>
      </c>
      <c r="BE703" s="424">
        <f t="shared" si="1701"/>
        <v>0</v>
      </c>
      <c r="BF703" s="424">
        <f t="shared" si="1701"/>
        <v>0</v>
      </c>
      <c r="BG703" s="424">
        <f t="shared" si="1701"/>
        <v>0</v>
      </c>
      <c r="BH703" s="424">
        <f t="shared" si="1701"/>
        <v>0</v>
      </c>
      <c r="BI703" s="424">
        <f t="shared" si="1701"/>
        <v>0</v>
      </c>
      <c r="BJ703" s="424">
        <f t="shared" si="1701"/>
        <v>0</v>
      </c>
      <c r="BK703" s="424">
        <f t="shared" si="1701"/>
        <v>0</v>
      </c>
      <c r="BL703" s="424">
        <f t="shared" si="1701"/>
        <v>0</v>
      </c>
      <c r="BM703" s="424">
        <f t="shared" si="1701"/>
        <v>0</v>
      </c>
      <c r="BN703" s="424">
        <f t="shared" si="1701"/>
        <v>0</v>
      </c>
      <c r="BO703" s="424">
        <f t="shared" si="1701"/>
        <v>0</v>
      </c>
      <c r="BP703" s="424">
        <f t="shared" si="1701"/>
        <v>0</v>
      </c>
      <c r="BQ703" s="424">
        <f t="shared" si="1701"/>
        <v>0</v>
      </c>
      <c r="BR703" s="424">
        <f t="shared" si="1701"/>
        <v>0</v>
      </c>
      <c r="BS703" s="424">
        <f t="shared" si="1701"/>
        <v>0</v>
      </c>
      <c r="BT703" s="424">
        <f t="shared" si="1701"/>
        <v>0</v>
      </c>
      <c r="BU703" s="424">
        <f t="shared" si="1701"/>
        <v>0</v>
      </c>
      <c r="BV703" s="424">
        <f t="shared" ref="BV703:DA703" si="1702">BV333*BV$372</f>
        <v>0</v>
      </c>
      <c r="BW703" s="424">
        <f t="shared" si="1702"/>
        <v>0</v>
      </c>
      <c r="BX703" s="424">
        <f t="shared" si="1702"/>
        <v>0</v>
      </c>
      <c r="BY703" s="424">
        <f t="shared" si="1702"/>
        <v>0</v>
      </c>
      <c r="BZ703" s="424">
        <f t="shared" si="1702"/>
        <v>0</v>
      </c>
      <c r="CA703" s="424">
        <f t="shared" si="1702"/>
        <v>0</v>
      </c>
      <c r="CB703" s="424">
        <f t="shared" si="1702"/>
        <v>0</v>
      </c>
      <c r="CC703" s="424">
        <f t="shared" si="1702"/>
        <v>0</v>
      </c>
      <c r="CD703" s="424">
        <f t="shared" si="1702"/>
        <v>0</v>
      </c>
      <c r="CE703" s="424">
        <f t="shared" si="1702"/>
        <v>0</v>
      </c>
      <c r="CF703" s="424">
        <f t="shared" si="1702"/>
        <v>0</v>
      </c>
      <c r="CG703" s="424">
        <f t="shared" si="1702"/>
        <v>0</v>
      </c>
      <c r="CH703" s="424">
        <f t="shared" si="1702"/>
        <v>0</v>
      </c>
      <c r="CI703" s="424">
        <f t="shared" si="1702"/>
        <v>0</v>
      </c>
      <c r="CJ703" s="424">
        <f t="shared" si="1702"/>
        <v>0</v>
      </c>
      <c r="CK703" s="424">
        <f t="shared" si="1702"/>
        <v>0</v>
      </c>
      <c r="CL703" s="424">
        <f t="shared" si="1702"/>
        <v>0</v>
      </c>
      <c r="CM703" s="424">
        <f t="shared" si="1702"/>
        <v>0</v>
      </c>
      <c r="CN703" s="424">
        <f t="shared" si="1702"/>
        <v>0</v>
      </c>
      <c r="CO703" s="424">
        <f t="shared" si="1702"/>
        <v>0</v>
      </c>
      <c r="CP703" s="424">
        <f t="shared" si="1702"/>
        <v>0</v>
      </c>
      <c r="CQ703" s="424">
        <f t="shared" si="1702"/>
        <v>0</v>
      </c>
      <c r="CR703" s="424">
        <f t="shared" si="1702"/>
        <v>0</v>
      </c>
      <c r="CS703" s="424">
        <f t="shared" si="1702"/>
        <v>0</v>
      </c>
      <c r="CT703" s="424">
        <f t="shared" si="1702"/>
        <v>0</v>
      </c>
      <c r="CU703" s="424">
        <f t="shared" si="1702"/>
        <v>0</v>
      </c>
      <c r="CV703" s="424">
        <f t="shared" si="1702"/>
        <v>0</v>
      </c>
      <c r="CW703" s="424">
        <f t="shared" si="1702"/>
        <v>0</v>
      </c>
      <c r="CX703" s="424">
        <f t="shared" si="1702"/>
        <v>0</v>
      </c>
      <c r="CY703" s="424">
        <f t="shared" si="1702"/>
        <v>0</v>
      </c>
      <c r="CZ703" s="424">
        <f t="shared" si="1702"/>
        <v>0</v>
      </c>
      <c r="DA703" s="424">
        <f t="shared" si="1702"/>
        <v>0</v>
      </c>
      <c r="DB703" s="424">
        <f t="shared" ref="DB703:EG703" si="1703">DB333*DB$372</f>
        <v>0</v>
      </c>
      <c r="DC703" s="424">
        <f t="shared" si="1703"/>
        <v>0</v>
      </c>
      <c r="DD703" s="424">
        <f t="shared" si="1703"/>
        <v>0</v>
      </c>
      <c r="DE703" s="424">
        <f t="shared" si="1703"/>
        <v>0</v>
      </c>
      <c r="DF703" s="424">
        <f t="shared" si="1703"/>
        <v>0</v>
      </c>
      <c r="DG703" s="424">
        <f t="shared" si="1703"/>
        <v>0</v>
      </c>
      <c r="DH703" s="424">
        <f t="shared" si="1703"/>
        <v>0</v>
      </c>
      <c r="DI703" s="424">
        <f t="shared" si="1703"/>
        <v>0</v>
      </c>
      <c r="DJ703" s="424">
        <f t="shared" si="1703"/>
        <v>0</v>
      </c>
      <c r="DK703" s="424">
        <f t="shared" si="1703"/>
        <v>0</v>
      </c>
      <c r="DL703" s="424">
        <f t="shared" si="1703"/>
        <v>0</v>
      </c>
      <c r="DM703" s="424">
        <f t="shared" si="1703"/>
        <v>0</v>
      </c>
      <c r="DN703" s="424">
        <f t="shared" si="1703"/>
        <v>0</v>
      </c>
      <c r="DO703" s="424">
        <f t="shared" si="1703"/>
        <v>0</v>
      </c>
      <c r="DP703" s="424">
        <f t="shared" si="1703"/>
        <v>0</v>
      </c>
      <c r="DQ703" s="424">
        <f t="shared" si="1703"/>
        <v>0</v>
      </c>
      <c r="DR703" s="424">
        <f t="shared" si="1703"/>
        <v>0</v>
      </c>
      <c r="DS703" s="424">
        <f t="shared" si="1703"/>
        <v>0</v>
      </c>
      <c r="DT703" s="424">
        <f t="shared" si="1703"/>
        <v>0</v>
      </c>
      <c r="DU703" s="424">
        <f t="shared" si="1703"/>
        <v>0</v>
      </c>
      <c r="DV703" s="424">
        <f t="shared" si="1703"/>
        <v>0</v>
      </c>
      <c r="DW703" s="424">
        <f t="shared" si="1703"/>
        <v>0</v>
      </c>
      <c r="DX703" s="424">
        <f t="shared" si="1703"/>
        <v>0</v>
      </c>
      <c r="DY703" s="424">
        <f t="shared" si="1703"/>
        <v>0</v>
      </c>
      <c r="DZ703" s="424">
        <f t="shared" si="1703"/>
        <v>0</v>
      </c>
      <c r="EA703" s="424">
        <f t="shared" si="1703"/>
        <v>0</v>
      </c>
      <c r="EB703" s="424">
        <f t="shared" si="1703"/>
        <v>0</v>
      </c>
      <c r="EC703" s="424">
        <f t="shared" si="1703"/>
        <v>0</v>
      </c>
      <c r="ED703" s="424">
        <f t="shared" si="1703"/>
        <v>0</v>
      </c>
      <c r="EE703" s="424">
        <f t="shared" si="1703"/>
        <v>0</v>
      </c>
      <c r="EF703" s="424">
        <f t="shared" si="1703"/>
        <v>0</v>
      </c>
      <c r="EG703" s="424">
        <f t="shared" si="1703"/>
        <v>0</v>
      </c>
      <c r="EH703" s="424">
        <f t="shared" ref="EH703:EX703" si="1704">EH333*EH$372</f>
        <v>0</v>
      </c>
      <c r="EI703" s="424">
        <f t="shared" si="1704"/>
        <v>0</v>
      </c>
      <c r="EJ703" s="424">
        <f t="shared" si="1704"/>
        <v>0</v>
      </c>
      <c r="EK703" s="424">
        <f t="shared" si="1704"/>
        <v>0</v>
      </c>
      <c r="EL703" s="424">
        <f t="shared" si="1704"/>
        <v>0</v>
      </c>
      <c r="EM703" s="424">
        <f t="shared" si="1704"/>
        <v>0</v>
      </c>
      <c r="EN703" s="424">
        <f t="shared" si="1704"/>
        <v>0</v>
      </c>
      <c r="EO703" s="424">
        <f t="shared" si="1704"/>
        <v>0</v>
      </c>
      <c r="EP703" s="424">
        <f t="shared" si="1704"/>
        <v>0</v>
      </c>
      <c r="EQ703" s="424">
        <f t="shared" si="1704"/>
        <v>0</v>
      </c>
      <c r="ER703" s="424">
        <f t="shared" si="1704"/>
        <v>0</v>
      </c>
      <c r="ES703" s="424">
        <f t="shared" si="1704"/>
        <v>0</v>
      </c>
      <c r="ET703" s="424">
        <f t="shared" si="1704"/>
        <v>0</v>
      </c>
      <c r="EU703" s="424">
        <f t="shared" si="1704"/>
        <v>0</v>
      </c>
      <c r="EV703" s="424">
        <f t="shared" si="1704"/>
        <v>1.3</v>
      </c>
      <c r="EW703" s="424">
        <f t="shared" si="1704"/>
        <v>0</v>
      </c>
      <c r="EX703" s="424">
        <f t="shared" si="1704"/>
        <v>0</v>
      </c>
      <c r="EY703" s="425">
        <f t="shared" si="1420"/>
        <v>1.3</v>
      </c>
      <c r="EZ703" s="616"/>
      <c r="FA703" s="616"/>
      <c r="FB703" s="616"/>
      <c r="FC703" s="616"/>
      <c r="FD703" s="616"/>
      <c r="FE703" s="616"/>
      <c r="FF703" s="616"/>
      <c r="FG703" s="616"/>
      <c r="FH703" s="616"/>
      <c r="FI703" s="616"/>
      <c r="FJ703" s="616"/>
    </row>
    <row r="704" spans="1:166" s="407" customFormat="1" ht="14.7" customHeight="1" x14ac:dyDescent="0.25">
      <c r="A704" s="310">
        <v>330</v>
      </c>
      <c r="B704" s="311" t="str">
        <f t="shared" si="1657"/>
        <v>Хлеб пшенично-ржаной нарезной</v>
      </c>
      <c r="C704" s="483">
        <f t="shared" si="1421"/>
        <v>2.6</v>
      </c>
      <c r="D704" s="888"/>
      <c r="E704" s="888"/>
      <c r="F704" s="888"/>
      <c r="G704" s="889"/>
      <c r="H704" s="680" t="str">
        <f t="shared" si="1664"/>
        <v>ПРОМ</v>
      </c>
      <c r="I704" s="1209">
        <f t="shared" si="1658"/>
        <v>0</v>
      </c>
      <c r="J704" s="424">
        <f t="shared" ref="J704:AO704" si="1705">J334*J$372</f>
        <v>0</v>
      </c>
      <c r="K704" s="424">
        <f t="shared" si="1705"/>
        <v>0</v>
      </c>
      <c r="L704" s="424">
        <f t="shared" si="1705"/>
        <v>0</v>
      </c>
      <c r="M704" s="424">
        <f t="shared" si="1705"/>
        <v>0</v>
      </c>
      <c r="N704" s="424">
        <f t="shared" si="1705"/>
        <v>0</v>
      </c>
      <c r="O704" s="424">
        <f t="shared" si="1705"/>
        <v>0</v>
      </c>
      <c r="P704" s="424">
        <f t="shared" si="1705"/>
        <v>0</v>
      </c>
      <c r="Q704" s="424">
        <f t="shared" si="1705"/>
        <v>0</v>
      </c>
      <c r="R704" s="424">
        <f t="shared" si="1705"/>
        <v>0</v>
      </c>
      <c r="S704" s="424">
        <f t="shared" si="1705"/>
        <v>0</v>
      </c>
      <c r="T704" s="424">
        <f t="shared" si="1705"/>
        <v>0</v>
      </c>
      <c r="U704" s="424">
        <f t="shared" si="1705"/>
        <v>0</v>
      </c>
      <c r="V704" s="424">
        <f t="shared" si="1705"/>
        <v>0</v>
      </c>
      <c r="W704" s="424">
        <f t="shared" si="1705"/>
        <v>0</v>
      </c>
      <c r="X704" s="424">
        <f t="shared" si="1705"/>
        <v>0</v>
      </c>
      <c r="Y704" s="424">
        <f t="shared" si="1705"/>
        <v>0</v>
      </c>
      <c r="Z704" s="424">
        <f t="shared" si="1705"/>
        <v>0</v>
      </c>
      <c r="AA704" s="424">
        <f t="shared" si="1705"/>
        <v>0</v>
      </c>
      <c r="AB704" s="424">
        <f t="shared" si="1705"/>
        <v>0</v>
      </c>
      <c r="AC704" s="424">
        <f t="shared" si="1705"/>
        <v>0</v>
      </c>
      <c r="AD704" s="424">
        <f t="shared" si="1705"/>
        <v>0</v>
      </c>
      <c r="AE704" s="424">
        <f t="shared" si="1705"/>
        <v>0</v>
      </c>
      <c r="AF704" s="424">
        <f t="shared" si="1705"/>
        <v>0</v>
      </c>
      <c r="AG704" s="424">
        <f t="shared" si="1705"/>
        <v>0</v>
      </c>
      <c r="AH704" s="424">
        <f t="shared" si="1705"/>
        <v>0</v>
      </c>
      <c r="AI704" s="424">
        <f t="shared" si="1705"/>
        <v>0</v>
      </c>
      <c r="AJ704" s="424">
        <f t="shared" si="1705"/>
        <v>0</v>
      </c>
      <c r="AK704" s="424">
        <f t="shared" si="1705"/>
        <v>0</v>
      </c>
      <c r="AL704" s="424">
        <f t="shared" si="1705"/>
        <v>0</v>
      </c>
      <c r="AM704" s="424">
        <f t="shared" si="1705"/>
        <v>0</v>
      </c>
      <c r="AN704" s="424">
        <f t="shared" si="1705"/>
        <v>0</v>
      </c>
      <c r="AO704" s="424">
        <f t="shared" si="1705"/>
        <v>0</v>
      </c>
      <c r="AP704" s="424">
        <f t="shared" ref="AP704:BU704" si="1706">AP334*AP$372</f>
        <v>0</v>
      </c>
      <c r="AQ704" s="424">
        <f t="shared" si="1706"/>
        <v>0</v>
      </c>
      <c r="AR704" s="424">
        <f t="shared" si="1706"/>
        <v>0</v>
      </c>
      <c r="AS704" s="424">
        <f t="shared" si="1706"/>
        <v>0</v>
      </c>
      <c r="AT704" s="424">
        <f t="shared" si="1706"/>
        <v>0</v>
      </c>
      <c r="AU704" s="424">
        <f t="shared" si="1706"/>
        <v>0</v>
      </c>
      <c r="AV704" s="424">
        <f t="shared" si="1706"/>
        <v>0</v>
      </c>
      <c r="AW704" s="424">
        <f t="shared" si="1706"/>
        <v>0</v>
      </c>
      <c r="AX704" s="424">
        <f t="shared" si="1706"/>
        <v>0</v>
      </c>
      <c r="AY704" s="424">
        <f t="shared" si="1706"/>
        <v>0</v>
      </c>
      <c r="AZ704" s="424">
        <f t="shared" si="1706"/>
        <v>0</v>
      </c>
      <c r="BA704" s="424">
        <f t="shared" si="1706"/>
        <v>0</v>
      </c>
      <c r="BB704" s="424">
        <f t="shared" si="1706"/>
        <v>0</v>
      </c>
      <c r="BC704" s="424">
        <f t="shared" si="1706"/>
        <v>0</v>
      </c>
      <c r="BD704" s="424">
        <f t="shared" si="1706"/>
        <v>0</v>
      </c>
      <c r="BE704" s="424">
        <f t="shared" si="1706"/>
        <v>0</v>
      </c>
      <c r="BF704" s="424">
        <f t="shared" si="1706"/>
        <v>0</v>
      </c>
      <c r="BG704" s="424">
        <f t="shared" si="1706"/>
        <v>0</v>
      </c>
      <c r="BH704" s="424">
        <f t="shared" si="1706"/>
        <v>0</v>
      </c>
      <c r="BI704" s="424">
        <f t="shared" si="1706"/>
        <v>0</v>
      </c>
      <c r="BJ704" s="424">
        <f t="shared" si="1706"/>
        <v>0</v>
      </c>
      <c r="BK704" s="424">
        <f t="shared" si="1706"/>
        <v>0</v>
      </c>
      <c r="BL704" s="424">
        <f t="shared" si="1706"/>
        <v>0</v>
      </c>
      <c r="BM704" s="424">
        <f t="shared" si="1706"/>
        <v>0</v>
      </c>
      <c r="BN704" s="424">
        <f t="shared" si="1706"/>
        <v>0</v>
      </c>
      <c r="BO704" s="424">
        <f t="shared" si="1706"/>
        <v>0</v>
      </c>
      <c r="BP704" s="424">
        <f t="shared" si="1706"/>
        <v>0</v>
      </c>
      <c r="BQ704" s="424">
        <f t="shared" si="1706"/>
        <v>0</v>
      </c>
      <c r="BR704" s="424">
        <f t="shared" si="1706"/>
        <v>0</v>
      </c>
      <c r="BS704" s="424">
        <f t="shared" si="1706"/>
        <v>0</v>
      </c>
      <c r="BT704" s="424">
        <f t="shared" si="1706"/>
        <v>0</v>
      </c>
      <c r="BU704" s="424">
        <f t="shared" si="1706"/>
        <v>0</v>
      </c>
      <c r="BV704" s="424">
        <f t="shared" ref="BV704:DA704" si="1707">BV334*BV$372</f>
        <v>0</v>
      </c>
      <c r="BW704" s="424">
        <f t="shared" si="1707"/>
        <v>0</v>
      </c>
      <c r="BX704" s="424">
        <f t="shared" si="1707"/>
        <v>0</v>
      </c>
      <c r="BY704" s="424">
        <f t="shared" si="1707"/>
        <v>0</v>
      </c>
      <c r="BZ704" s="424">
        <f t="shared" si="1707"/>
        <v>0</v>
      </c>
      <c r="CA704" s="424">
        <f t="shared" si="1707"/>
        <v>0</v>
      </c>
      <c r="CB704" s="424">
        <f t="shared" si="1707"/>
        <v>0</v>
      </c>
      <c r="CC704" s="424">
        <f t="shared" si="1707"/>
        <v>0</v>
      </c>
      <c r="CD704" s="424">
        <f t="shared" si="1707"/>
        <v>0</v>
      </c>
      <c r="CE704" s="424">
        <f t="shared" si="1707"/>
        <v>0</v>
      </c>
      <c r="CF704" s="424">
        <f t="shared" si="1707"/>
        <v>0</v>
      </c>
      <c r="CG704" s="424">
        <f t="shared" si="1707"/>
        <v>0</v>
      </c>
      <c r="CH704" s="424">
        <f t="shared" si="1707"/>
        <v>0</v>
      </c>
      <c r="CI704" s="424">
        <f t="shared" si="1707"/>
        <v>0</v>
      </c>
      <c r="CJ704" s="424">
        <f t="shared" si="1707"/>
        <v>0</v>
      </c>
      <c r="CK704" s="424">
        <f t="shared" si="1707"/>
        <v>0</v>
      </c>
      <c r="CL704" s="424">
        <f t="shared" si="1707"/>
        <v>0</v>
      </c>
      <c r="CM704" s="424">
        <f t="shared" si="1707"/>
        <v>0</v>
      </c>
      <c r="CN704" s="424">
        <f t="shared" si="1707"/>
        <v>0</v>
      </c>
      <c r="CO704" s="424">
        <f t="shared" si="1707"/>
        <v>0</v>
      </c>
      <c r="CP704" s="424">
        <f t="shared" si="1707"/>
        <v>0</v>
      </c>
      <c r="CQ704" s="424">
        <f t="shared" si="1707"/>
        <v>0</v>
      </c>
      <c r="CR704" s="424">
        <f t="shared" si="1707"/>
        <v>0</v>
      </c>
      <c r="CS704" s="424">
        <f t="shared" si="1707"/>
        <v>0</v>
      </c>
      <c r="CT704" s="424">
        <f t="shared" si="1707"/>
        <v>0</v>
      </c>
      <c r="CU704" s="424">
        <f t="shared" si="1707"/>
        <v>0</v>
      </c>
      <c r="CV704" s="424">
        <f t="shared" si="1707"/>
        <v>0</v>
      </c>
      <c r="CW704" s="424">
        <f t="shared" si="1707"/>
        <v>0</v>
      </c>
      <c r="CX704" s="424">
        <f t="shared" si="1707"/>
        <v>0</v>
      </c>
      <c r="CY704" s="424">
        <f t="shared" si="1707"/>
        <v>0</v>
      </c>
      <c r="CZ704" s="424">
        <f t="shared" si="1707"/>
        <v>0</v>
      </c>
      <c r="DA704" s="424">
        <f t="shared" si="1707"/>
        <v>0</v>
      </c>
      <c r="DB704" s="424">
        <f t="shared" ref="DB704:EG704" si="1708">DB334*DB$372</f>
        <v>0</v>
      </c>
      <c r="DC704" s="424">
        <f t="shared" si="1708"/>
        <v>0</v>
      </c>
      <c r="DD704" s="424">
        <f t="shared" si="1708"/>
        <v>0</v>
      </c>
      <c r="DE704" s="424">
        <f t="shared" si="1708"/>
        <v>0</v>
      </c>
      <c r="DF704" s="424">
        <f t="shared" si="1708"/>
        <v>0</v>
      </c>
      <c r="DG704" s="424">
        <f t="shared" si="1708"/>
        <v>0</v>
      </c>
      <c r="DH704" s="424">
        <f t="shared" si="1708"/>
        <v>0</v>
      </c>
      <c r="DI704" s="424">
        <f t="shared" si="1708"/>
        <v>0</v>
      </c>
      <c r="DJ704" s="424">
        <f t="shared" si="1708"/>
        <v>0</v>
      </c>
      <c r="DK704" s="424">
        <f t="shared" si="1708"/>
        <v>0</v>
      </c>
      <c r="DL704" s="424">
        <f t="shared" si="1708"/>
        <v>0</v>
      </c>
      <c r="DM704" s="424">
        <f t="shared" si="1708"/>
        <v>0</v>
      </c>
      <c r="DN704" s="424">
        <f t="shared" si="1708"/>
        <v>0</v>
      </c>
      <c r="DO704" s="424">
        <f t="shared" si="1708"/>
        <v>0</v>
      </c>
      <c r="DP704" s="424">
        <f t="shared" si="1708"/>
        <v>0</v>
      </c>
      <c r="DQ704" s="424">
        <f t="shared" si="1708"/>
        <v>0</v>
      </c>
      <c r="DR704" s="424">
        <f t="shared" si="1708"/>
        <v>0</v>
      </c>
      <c r="DS704" s="424">
        <f t="shared" si="1708"/>
        <v>0</v>
      </c>
      <c r="DT704" s="424">
        <f t="shared" si="1708"/>
        <v>0</v>
      </c>
      <c r="DU704" s="424">
        <f t="shared" si="1708"/>
        <v>0</v>
      </c>
      <c r="DV704" s="424">
        <f t="shared" si="1708"/>
        <v>0</v>
      </c>
      <c r="DW704" s="424">
        <f t="shared" si="1708"/>
        <v>0</v>
      </c>
      <c r="DX704" s="424">
        <f t="shared" si="1708"/>
        <v>0</v>
      </c>
      <c r="DY704" s="424">
        <f t="shared" si="1708"/>
        <v>0</v>
      </c>
      <c r="DZ704" s="424">
        <f t="shared" si="1708"/>
        <v>0</v>
      </c>
      <c r="EA704" s="424">
        <f t="shared" si="1708"/>
        <v>0</v>
      </c>
      <c r="EB704" s="424">
        <f t="shared" si="1708"/>
        <v>0</v>
      </c>
      <c r="EC704" s="424">
        <f t="shared" si="1708"/>
        <v>0</v>
      </c>
      <c r="ED704" s="424">
        <f t="shared" si="1708"/>
        <v>0</v>
      </c>
      <c r="EE704" s="424">
        <f t="shared" si="1708"/>
        <v>0</v>
      </c>
      <c r="EF704" s="424">
        <f t="shared" si="1708"/>
        <v>0</v>
      </c>
      <c r="EG704" s="424">
        <f t="shared" si="1708"/>
        <v>0</v>
      </c>
      <c r="EH704" s="424">
        <f t="shared" ref="EH704:EX704" si="1709">EH334*EH$372</f>
        <v>0</v>
      </c>
      <c r="EI704" s="424">
        <f t="shared" si="1709"/>
        <v>0</v>
      </c>
      <c r="EJ704" s="424">
        <f t="shared" si="1709"/>
        <v>0</v>
      </c>
      <c r="EK704" s="424">
        <f t="shared" si="1709"/>
        <v>0</v>
      </c>
      <c r="EL704" s="424">
        <f t="shared" si="1709"/>
        <v>0</v>
      </c>
      <c r="EM704" s="424">
        <f t="shared" si="1709"/>
        <v>0</v>
      </c>
      <c r="EN704" s="424">
        <f t="shared" si="1709"/>
        <v>0</v>
      </c>
      <c r="EO704" s="424">
        <f t="shared" si="1709"/>
        <v>0</v>
      </c>
      <c r="EP704" s="424">
        <f t="shared" si="1709"/>
        <v>0</v>
      </c>
      <c r="EQ704" s="424">
        <f t="shared" si="1709"/>
        <v>0</v>
      </c>
      <c r="ER704" s="424">
        <f t="shared" si="1709"/>
        <v>0</v>
      </c>
      <c r="ES704" s="424">
        <f t="shared" si="1709"/>
        <v>0</v>
      </c>
      <c r="ET704" s="424">
        <f t="shared" si="1709"/>
        <v>0</v>
      </c>
      <c r="EU704" s="424">
        <f t="shared" si="1709"/>
        <v>0</v>
      </c>
      <c r="EV704" s="424">
        <f t="shared" si="1709"/>
        <v>0</v>
      </c>
      <c r="EW704" s="424">
        <f t="shared" si="1709"/>
        <v>2.6</v>
      </c>
      <c r="EX704" s="424">
        <f t="shared" si="1709"/>
        <v>0</v>
      </c>
      <c r="EY704" s="425">
        <f t="shared" si="1420"/>
        <v>2.6</v>
      </c>
      <c r="EZ704" s="616"/>
      <c r="FA704" s="616"/>
      <c r="FB704" s="616"/>
      <c r="FC704" s="616"/>
      <c r="FD704" s="616"/>
      <c r="FE704" s="616"/>
      <c r="FF704" s="616"/>
      <c r="FG704" s="616"/>
      <c r="FH704" s="616"/>
      <c r="FI704" s="616"/>
      <c r="FJ704" s="616"/>
    </row>
    <row r="705" spans="1:166" s="545" customFormat="1" ht="14.7" customHeight="1" x14ac:dyDescent="0.25">
      <c r="A705" s="310">
        <v>331</v>
      </c>
      <c r="B705" s="311" t="str">
        <f t="shared" si="1657"/>
        <v>Хлеб пшенично-ржаной нарезной</v>
      </c>
      <c r="C705" s="483">
        <f t="shared" si="1421"/>
        <v>1.95</v>
      </c>
      <c r="D705" s="888"/>
      <c r="E705" s="888"/>
      <c r="F705" s="888"/>
      <c r="G705" s="889"/>
      <c r="H705" s="680" t="str">
        <f t="shared" si="1664"/>
        <v>ПРОМ</v>
      </c>
      <c r="I705" s="1209">
        <f t="shared" si="1658"/>
        <v>0</v>
      </c>
      <c r="J705" s="424">
        <f t="shared" ref="J705:AO705" si="1710">J335*J$372</f>
        <v>0</v>
      </c>
      <c r="K705" s="424">
        <f t="shared" si="1710"/>
        <v>0</v>
      </c>
      <c r="L705" s="424">
        <f t="shared" si="1710"/>
        <v>0</v>
      </c>
      <c r="M705" s="424">
        <f t="shared" si="1710"/>
        <v>0</v>
      </c>
      <c r="N705" s="424">
        <f t="shared" si="1710"/>
        <v>0</v>
      </c>
      <c r="O705" s="424">
        <f t="shared" si="1710"/>
        <v>0</v>
      </c>
      <c r="P705" s="424">
        <f t="shared" si="1710"/>
        <v>0</v>
      </c>
      <c r="Q705" s="424">
        <f t="shared" si="1710"/>
        <v>0</v>
      </c>
      <c r="R705" s="424">
        <f t="shared" si="1710"/>
        <v>0</v>
      </c>
      <c r="S705" s="424">
        <f t="shared" si="1710"/>
        <v>0</v>
      </c>
      <c r="T705" s="424">
        <f t="shared" si="1710"/>
        <v>0</v>
      </c>
      <c r="U705" s="424">
        <f t="shared" si="1710"/>
        <v>0</v>
      </c>
      <c r="V705" s="424">
        <f t="shared" si="1710"/>
        <v>0</v>
      </c>
      <c r="W705" s="424">
        <f t="shared" si="1710"/>
        <v>0</v>
      </c>
      <c r="X705" s="424">
        <f t="shared" si="1710"/>
        <v>0</v>
      </c>
      <c r="Y705" s="424">
        <f t="shared" si="1710"/>
        <v>0</v>
      </c>
      <c r="Z705" s="424">
        <f t="shared" si="1710"/>
        <v>0</v>
      </c>
      <c r="AA705" s="424">
        <f t="shared" si="1710"/>
        <v>0</v>
      </c>
      <c r="AB705" s="424">
        <f t="shared" si="1710"/>
        <v>0</v>
      </c>
      <c r="AC705" s="424">
        <f t="shared" si="1710"/>
        <v>0</v>
      </c>
      <c r="AD705" s="424">
        <f t="shared" si="1710"/>
        <v>0</v>
      </c>
      <c r="AE705" s="424">
        <f t="shared" si="1710"/>
        <v>0</v>
      </c>
      <c r="AF705" s="424">
        <f t="shared" si="1710"/>
        <v>0</v>
      </c>
      <c r="AG705" s="424">
        <f t="shared" si="1710"/>
        <v>0</v>
      </c>
      <c r="AH705" s="424">
        <f t="shared" si="1710"/>
        <v>0</v>
      </c>
      <c r="AI705" s="424">
        <f t="shared" si="1710"/>
        <v>0</v>
      </c>
      <c r="AJ705" s="424">
        <f t="shared" si="1710"/>
        <v>0</v>
      </c>
      <c r="AK705" s="424">
        <f t="shared" si="1710"/>
        <v>0</v>
      </c>
      <c r="AL705" s="424">
        <f t="shared" si="1710"/>
        <v>0</v>
      </c>
      <c r="AM705" s="424">
        <f t="shared" si="1710"/>
        <v>0</v>
      </c>
      <c r="AN705" s="424">
        <f t="shared" si="1710"/>
        <v>0</v>
      </c>
      <c r="AO705" s="424">
        <f t="shared" si="1710"/>
        <v>0</v>
      </c>
      <c r="AP705" s="424">
        <f t="shared" ref="AP705:BU705" si="1711">AP335*AP$372</f>
        <v>0</v>
      </c>
      <c r="AQ705" s="424">
        <f t="shared" si="1711"/>
        <v>0</v>
      </c>
      <c r="AR705" s="424">
        <f t="shared" si="1711"/>
        <v>0</v>
      </c>
      <c r="AS705" s="424">
        <f t="shared" si="1711"/>
        <v>0</v>
      </c>
      <c r="AT705" s="424">
        <f t="shared" si="1711"/>
        <v>0</v>
      </c>
      <c r="AU705" s="424">
        <f t="shared" si="1711"/>
        <v>0</v>
      </c>
      <c r="AV705" s="424">
        <f t="shared" si="1711"/>
        <v>0</v>
      </c>
      <c r="AW705" s="424">
        <f t="shared" si="1711"/>
        <v>0</v>
      </c>
      <c r="AX705" s="424">
        <f t="shared" si="1711"/>
        <v>0</v>
      </c>
      <c r="AY705" s="424">
        <f t="shared" si="1711"/>
        <v>0</v>
      </c>
      <c r="AZ705" s="424">
        <f t="shared" si="1711"/>
        <v>0</v>
      </c>
      <c r="BA705" s="424">
        <f t="shared" si="1711"/>
        <v>0</v>
      </c>
      <c r="BB705" s="424">
        <f t="shared" si="1711"/>
        <v>0</v>
      </c>
      <c r="BC705" s="424">
        <f t="shared" si="1711"/>
        <v>0</v>
      </c>
      <c r="BD705" s="424">
        <f t="shared" si="1711"/>
        <v>0</v>
      </c>
      <c r="BE705" s="424">
        <f t="shared" si="1711"/>
        <v>0</v>
      </c>
      <c r="BF705" s="424">
        <f t="shared" si="1711"/>
        <v>0</v>
      </c>
      <c r="BG705" s="424">
        <f t="shared" si="1711"/>
        <v>0</v>
      </c>
      <c r="BH705" s="424">
        <f t="shared" si="1711"/>
        <v>0</v>
      </c>
      <c r="BI705" s="424">
        <f t="shared" si="1711"/>
        <v>0</v>
      </c>
      <c r="BJ705" s="424">
        <f t="shared" si="1711"/>
        <v>0</v>
      </c>
      <c r="BK705" s="424">
        <f t="shared" si="1711"/>
        <v>0</v>
      </c>
      <c r="BL705" s="424">
        <f t="shared" si="1711"/>
        <v>0</v>
      </c>
      <c r="BM705" s="424">
        <f t="shared" si="1711"/>
        <v>0</v>
      </c>
      <c r="BN705" s="424">
        <f t="shared" si="1711"/>
        <v>0</v>
      </c>
      <c r="BO705" s="424">
        <f t="shared" si="1711"/>
        <v>0</v>
      </c>
      <c r="BP705" s="424">
        <f t="shared" si="1711"/>
        <v>0</v>
      </c>
      <c r="BQ705" s="424">
        <f t="shared" si="1711"/>
        <v>0</v>
      </c>
      <c r="BR705" s="424">
        <f t="shared" si="1711"/>
        <v>0</v>
      </c>
      <c r="BS705" s="424">
        <f t="shared" si="1711"/>
        <v>0</v>
      </c>
      <c r="BT705" s="424">
        <f t="shared" si="1711"/>
        <v>0</v>
      </c>
      <c r="BU705" s="424">
        <f t="shared" si="1711"/>
        <v>0</v>
      </c>
      <c r="BV705" s="424">
        <f t="shared" ref="BV705:DA705" si="1712">BV335*BV$372</f>
        <v>0</v>
      </c>
      <c r="BW705" s="424">
        <f t="shared" si="1712"/>
        <v>0</v>
      </c>
      <c r="BX705" s="424">
        <f t="shared" si="1712"/>
        <v>0</v>
      </c>
      <c r="BY705" s="424">
        <f t="shared" si="1712"/>
        <v>0</v>
      </c>
      <c r="BZ705" s="424">
        <f t="shared" si="1712"/>
        <v>0</v>
      </c>
      <c r="CA705" s="424">
        <f t="shared" si="1712"/>
        <v>0</v>
      </c>
      <c r="CB705" s="424">
        <f t="shared" si="1712"/>
        <v>0</v>
      </c>
      <c r="CC705" s="424">
        <f t="shared" si="1712"/>
        <v>0</v>
      </c>
      <c r="CD705" s="424">
        <f t="shared" si="1712"/>
        <v>0</v>
      </c>
      <c r="CE705" s="424">
        <f t="shared" si="1712"/>
        <v>0</v>
      </c>
      <c r="CF705" s="424">
        <f t="shared" si="1712"/>
        <v>0</v>
      </c>
      <c r="CG705" s="424">
        <f t="shared" si="1712"/>
        <v>0</v>
      </c>
      <c r="CH705" s="424">
        <f t="shared" si="1712"/>
        <v>0</v>
      </c>
      <c r="CI705" s="424">
        <f t="shared" si="1712"/>
        <v>0</v>
      </c>
      <c r="CJ705" s="424">
        <f t="shared" si="1712"/>
        <v>0</v>
      </c>
      <c r="CK705" s="424">
        <f t="shared" si="1712"/>
        <v>0</v>
      </c>
      <c r="CL705" s="424">
        <f t="shared" si="1712"/>
        <v>0</v>
      </c>
      <c r="CM705" s="424">
        <f t="shared" si="1712"/>
        <v>0</v>
      </c>
      <c r="CN705" s="424">
        <f t="shared" si="1712"/>
        <v>0</v>
      </c>
      <c r="CO705" s="424">
        <f t="shared" si="1712"/>
        <v>0</v>
      </c>
      <c r="CP705" s="424">
        <f t="shared" si="1712"/>
        <v>0</v>
      </c>
      <c r="CQ705" s="424">
        <f t="shared" si="1712"/>
        <v>0</v>
      </c>
      <c r="CR705" s="424">
        <f t="shared" si="1712"/>
        <v>0</v>
      </c>
      <c r="CS705" s="424">
        <f t="shared" si="1712"/>
        <v>0</v>
      </c>
      <c r="CT705" s="424">
        <f t="shared" si="1712"/>
        <v>0</v>
      </c>
      <c r="CU705" s="424">
        <f t="shared" si="1712"/>
        <v>0</v>
      </c>
      <c r="CV705" s="424">
        <f t="shared" si="1712"/>
        <v>0</v>
      </c>
      <c r="CW705" s="424">
        <f t="shared" si="1712"/>
        <v>0</v>
      </c>
      <c r="CX705" s="424">
        <f t="shared" si="1712"/>
        <v>0</v>
      </c>
      <c r="CY705" s="424">
        <f t="shared" si="1712"/>
        <v>0</v>
      </c>
      <c r="CZ705" s="424">
        <f t="shared" si="1712"/>
        <v>0</v>
      </c>
      <c r="DA705" s="424">
        <f t="shared" si="1712"/>
        <v>0</v>
      </c>
      <c r="DB705" s="424">
        <f t="shared" ref="DB705:EG705" si="1713">DB335*DB$372</f>
        <v>0</v>
      </c>
      <c r="DC705" s="424">
        <f t="shared" si="1713"/>
        <v>0</v>
      </c>
      <c r="DD705" s="424">
        <f t="shared" si="1713"/>
        <v>0</v>
      </c>
      <c r="DE705" s="424">
        <f t="shared" si="1713"/>
        <v>0</v>
      </c>
      <c r="DF705" s="424">
        <f t="shared" si="1713"/>
        <v>0</v>
      </c>
      <c r="DG705" s="424">
        <f t="shared" si="1713"/>
        <v>0</v>
      </c>
      <c r="DH705" s="424">
        <f t="shared" si="1713"/>
        <v>0</v>
      </c>
      <c r="DI705" s="424">
        <f t="shared" si="1713"/>
        <v>0</v>
      </c>
      <c r="DJ705" s="424">
        <f t="shared" si="1713"/>
        <v>0</v>
      </c>
      <c r="DK705" s="424">
        <f t="shared" si="1713"/>
        <v>0</v>
      </c>
      <c r="DL705" s="424">
        <f t="shared" si="1713"/>
        <v>0</v>
      </c>
      <c r="DM705" s="424">
        <f t="shared" si="1713"/>
        <v>0</v>
      </c>
      <c r="DN705" s="424">
        <f t="shared" si="1713"/>
        <v>0</v>
      </c>
      <c r="DO705" s="424">
        <f t="shared" si="1713"/>
        <v>0</v>
      </c>
      <c r="DP705" s="424">
        <f t="shared" si="1713"/>
        <v>0</v>
      </c>
      <c r="DQ705" s="424">
        <f t="shared" si="1713"/>
        <v>0</v>
      </c>
      <c r="DR705" s="424">
        <f t="shared" si="1713"/>
        <v>0</v>
      </c>
      <c r="DS705" s="424">
        <f t="shared" si="1713"/>
        <v>0</v>
      </c>
      <c r="DT705" s="424">
        <f t="shared" si="1713"/>
        <v>0</v>
      </c>
      <c r="DU705" s="424">
        <f t="shared" si="1713"/>
        <v>0</v>
      </c>
      <c r="DV705" s="424">
        <f t="shared" si="1713"/>
        <v>0</v>
      </c>
      <c r="DW705" s="424">
        <f t="shared" si="1713"/>
        <v>0</v>
      </c>
      <c r="DX705" s="424">
        <f t="shared" si="1713"/>
        <v>0</v>
      </c>
      <c r="DY705" s="424">
        <f t="shared" si="1713"/>
        <v>0</v>
      </c>
      <c r="DZ705" s="424">
        <f t="shared" si="1713"/>
        <v>0</v>
      </c>
      <c r="EA705" s="424">
        <f t="shared" si="1713"/>
        <v>0</v>
      </c>
      <c r="EB705" s="424">
        <f t="shared" si="1713"/>
        <v>0</v>
      </c>
      <c r="EC705" s="424">
        <f t="shared" si="1713"/>
        <v>0</v>
      </c>
      <c r="ED705" s="424">
        <f t="shared" si="1713"/>
        <v>0</v>
      </c>
      <c r="EE705" s="424">
        <f t="shared" si="1713"/>
        <v>0</v>
      </c>
      <c r="EF705" s="424">
        <f t="shared" si="1713"/>
        <v>0</v>
      </c>
      <c r="EG705" s="424">
        <f t="shared" si="1713"/>
        <v>0</v>
      </c>
      <c r="EH705" s="424">
        <f t="shared" ref="EH705:EX705" si="1714">EH335*EH$372</f>
        <v>0</v>
      </c>
      <c r="EI705" s="424">
        <f t="shared" si="1714"/>
        <v>0</v>
      </c>
      <c r="EJ705" s="424">
        <f t="shared" si="1714"/>
        <v>0</v>
      </c>
      <c r="EK705" s="424">
        <f t="shared" si="1714"/>
        <v>0</v>
      </c>
      <c r="EL705" s="424">
        <f t="shared" si="1714"/>
        <v>0</v>
      </c>
      <c r="EM705" s="424">
        <f t="shared" si="1714"/>
        <v>0</v>
      </c>
      <c r="EN705" s="424">
        <f t="shared" si="1714"/>
        <v>0</v>
      </c>
      <c r="EO705" s="424">
        <f t="shared" si="1714"/>
        <v>0</v>
      </c>
      <c r="EP705" s="424">
        <f t="shared" si="1714"/>
        <v>0</v>
      </c>
      <c r="EQ705" s="424">
        <f t="shared" si="1714"/>
        <v>0</v>
      </c>
      <c r="ER705" s="424">
        <f t="shared" si="1714"/>
        <v>0</v>
      </c>
      <c r="ES705" s="424">
        <f t="shared" si="1714"/>
        <v>0</v>
      </c>
      <c r="ET705" s="424">
        <f t="shared" si="1714"/>
        <v>0</v>
      </c>
      <c r="EU705" s="424">
        <f t="shared" si="1714"/>
        <v>0</v>
      </c>
      <c r="EV705" s="424">
        <f t="shared" si="1714"/>
        <v>0</v>
      </c>
      <c r="EW705" s="424">
        <f t="shared" si="1714"/>
        <v>1.95</v>
      </c>
      <c r="EX705" s="424">
        <f t="shared" si="1714"/>
        <v>0</v>
      </c>
      <c r="EY705" s="425">
        <f t="shared" si="1420"/>
        <v>1.95</v>
      </c>
      <c r="EZ705" s="616"/>
      <c r="FA705" s="616"/>
      <c r="FB705" s="616"/>
      <c r="FC705" s="616"/>
      <c r="FD705" s="616"/>
      <c r="FE705" s="616"/>
      <c r="FF705" s="616"/>
      <c r="FG705" s="616"/>
      <c r="FH705" s="616"/>
      <c r="FI705" s="616"/>
      <c r="FJ705" s="616"/>
    </row>
    <row r="706" spans="1:166" s="545" customFormat="1" ht="14.7" customHeight="1" x14ac:dyDescent="0.25">
      <c r="A706" s="310">
        <v>332</v>
      </c>
      <c r="B706" s="311" t="str">
        <f t="shared" si="1657"/>
        <v>Хлеб пшенично-ржаной нарезной</v>
      </c>
      <c r="C706" s="483">
        <f t="shared" si="1421"/>
        <v>1.3</v>
      </c>
      <c r="D706" s="888"/>
      <c r="E706" s="888"/>
      <c r="F706" s="888"/>
      <c r="G706" s="889"/>
      <c r="H706" s="680" t="str">
        <f t="shared" si="1664"/>
        <v>ПРОМ</v>
      </c>
      <c r="I706" s="1209">
        <f t="shared" si="1658"/>
        <v>0</v>
      </c>
      <c r="J706" s="424">
        <f t="shared" ref="J706:AO706" si="1715">J336*J$372</f>
        <v>0</v>
      </c>
      <c r="K706" s="424">
        <f t="shared" si="1715"/>
        <v>0</v>
      </c>
      <c r="L706" s="424">
        <f t="shared" si="1715"/>
        <v>0</v>
      </c>
      <c r="M706" s="424">
        <f t="shared" si="1715"/>
        <v>0</v>
      </c>
      <c r="N706" s="424">
        <f t="shared" si="1715"/>
        <v>0</v>
      </c>
      <c r="O706" s="424">
        <f t="shared" si="1715"/>
        <v>0</v>
      </c>
      <c r="P706" s="424">
        <f t="shared" si="1715"/>
        <v>0</v>
      </c>
      <c r="Q706" s="424">
        <f t="shared" si="1715"/>
        <v>0</v>
      </c>
      <c r="R706" s="424">
        <f t="shared" si="1715"/>
        <v>0</v>
      </c>
      <c r="S706" s="424">
        <f t="shared" si="1715"/>
        <v>0</v>
      </c>
      <c r="T706" s="424">
        <f t="shared" si="1715"/>
        <v>0</v>
      </c>
      <c r="U706" s="424">
        <f t="shared" si="1715"/>
        <v>0</v>
      </c>
      <c r="V706" s="424">
        <f t="shared" si="1715"/>
        <v>0</v>
      </c>
      <c r="W706" s="424">
        <f t="shared" si="1715"/>
        <v>0</v>
      </c>
      <c r="X706" s="424">
        <f t="shared" si="1715"/>
        <v>0</v>
      </c>
      <c r="Y706" s="424">
        <f t="shared" si="1715"/>
        <v>0</v>
      </c>
      <c r="Z706" s="424">
        <f t="shared" si="1715"/>
        <v>0</v>
      </c>
      <c r="AA706" s="424">
        <f t="shared" si="1715"/>
        <v>0</v>
      </c>
      <c r="AB706" s="424">
        <f t="shared" si="1715"/>
        <v>0</v>
      </c>
      <c r="AC706" s="424">
        <f t="shared" si="1715"/>
        <v>0</v>
      </c>
      <c r="AD706" s="424">
        <f t="shared" si="1715"/>
        <v>0</v>
      </c>
      <c r="AE706" s="424">
        <f t="shared" si="1715"/>
        <v>0</v>
      </c>
      <c r="AF706" s="424">
        <f t="shared" si="1715"/>
        <v>0</v>
      </c>
      <c r="AG706" s="424">
        <f t="shared" si="1715"/>
        <v>0</v>
      </c>
      <c r="AH706" s="424">
        <f t="shared" si="1715"/>
        <v>0</v>
      </c>
      <c r="AI706" s="424">
        <f t="shared" si="1715"/>
        <v>0</v>
      </c>
      <c r="AJ706" s="424">
        <f t="shared" si="1715"/>
        <v>0</v>
      </c>
      <c r="AK706" s="424">
        <f t="shared" si="1715"/>
        <v>0</v>
      </c>
      <c r="AL706" s="424">
        <f t="shared" si="1715"/>
        <v>0</v>
      </c>
      <c r="AM706" s="424">
        <f t="shared" si="1715"/>
        <v>0</v>
      </c>
      <c r="AN706" s="424">
        <f t="shared" si="1715"/>
        <v>0</v>
      </c>
      <c r="AO706" s="424">
        <f t="shared" si="1715"/>
        <v>0</v>
      </c>
      <c r="AP706" s="424">
        <f t="shared" ref="AP706:BU706" si="1716">AP336*AP$372</f>
        <v>0</v>
      </c>
      <c r="AQ706" s="424">
        <f t="shared" si="1716"/>
        <v>0</v>
      </c>
      <c r="AR706" s="424">
        <f t="shared" si="1716"/>
        <v>0</v>
      </c>
      <c r="AS706" s="424">
        <f t="shared" si="1716"/>
        <v>0</v>
      </c>
      <c r="AT706" s="424">
        <f t="shared" si="1716"/>
        <v>0</v>
      </c>
      <c r="AU706" s="424">
        <f t="shared" si="1716"/>
        <v>0</v>
      </c>
      <c r="AV706" s="424">
        <f t="shared" si="1716"/>
        <v>0</v>
      </c>
      <c r="AW706" s="424">
        <f t="shared" si="1716"/>
        <v>0</v>
      </c>
      <c r="AX706" s="424">
        <f t="shared" si="1716"/>
        <v>0</v>
      </c>
      <c r="AY706" s="424">
        <f t="shared" si="1716"/>
        <v>0</v>
      </c>
      <c r="AZ706" s="424">
        <f t="shared" si="1716"/>
        <v>0</v>
      </c>
      <c r="BA706" s="424">
        <f t="shared" si="1716"/>
        <v>0</v>
      </c>
      <c r="BB706" s="424">
        <f t="shared" si="1716"/>
        <v>0</v>
      </c>
      <c r="BC706" s="424">
        <f t="shared" si="1716"/>
        <v>0</v>
      </c>
      <c r="BD706" s="424">
        <f t="shared" si="1716"/>
        <v>0</v>
      </c>
      <c r="BE706" s="424">
        <f t="shared" si="1716"/>
        <v>0</v>
      </c>
      <c r="BF706" s="424">
        <f t="shared" si="1716"/>
        <v>0</v>
      </c>
      <c r="BG706" s="424">
        <f t="shared" si="1716"/>
        <v>0</v>
      </c>
      <c r="BH706" s="424">
        <f t="shared" si="1716"/>
        <v>0</v>
      </c>
      <c r="BI706" s="424">
        <f t="shared" si="1716"/>
        <v>0</v>
      </c>
      <c r="BJ706" s="424">
        <f t="shared" si="1716"/>
        <v>0</v>
      </c>
      <c r="BK706" s="424">
        <f t="shared" si="1716"/>
        <v>0</v>
      </c>
      <c r="BL706" s="424">
        <f t="shared" si="1716"/>
        <v>0</v>
      </c>
      <c r="BM706" s="424">
        <f t="shared" si="1716"/>
        <v>0</v>
      </c>
      <c r="BN706" s="424">
        <f t="shared" si="1716"/>
        <v>0</v>
      </c>
      <c r="BO706" s="424">
        <f t="shared" si="1716"/>
        <v>0</v>
      </c>
      <c r="BP706" s="424">
        <f t="shared" si="1716"/>
        <v>0</v>
      </c>
      <c r="BQ706" s="424">
        <f t="shared" si="1716"/>
        <v>0</v>
      </c>
      <c r="BR706" s="424">
        <f t="shared" si="1716"/>
        <v>0</v>
      </c>
      <c r="BS706" s="424">
        <f t="shared" si="1716"/>
        <v>0</v>
      </c>
      <c r="BT706" s="424">
        <f t="shared" si="1716"/>
        <v>0</v>
      </c>
      <c r="BU706" s="424">
        <f t="shared" si="1716"/>
        <v>0</v>
      </c>
      <c r="BV706" s="424">
        <f t="shared" ref="BV706:DA706" si="1717">BV336*BV$372</f>
        <v>0</v>
      </c>
      <c r="BW706" s="424">
        <f t="shared" si="1717"/>
        <v>0</v>
      </c>
      <c r="BX706" s="424">
        <f t="shared" si="1717"/>
        <v>0</v>
      </c>
      <c r="BY706" s="424">
        <f t="shared" si="1717"/>
        <v>0</v>
      </c>
      <c r="BZ706" s="424">
        <f t="shared" si="1717"/>
        <v>0</v>
      </c>
      <c r="CA706" s="424">
        <f t="shared" si="1717"/>
        <v>0</v>
      </c>
      <c r="CB706" s="424">
        <f t="shared" si="1717"/>
        <v>0</v>
      </c>
      <c r="CC706" s="424">
        <f t="shared" si="1717"/>
        <v>0</v>
      </c>
      <c r="CD706" s="424">
        <f t="shared" si="1717"/>
        <v>0</v>
      </c>
      <c r="CE706" s="424">
        <f t="shared" si="1717"/>
        <v>0</v>
      </c>
      <c r="CF706" s="424">
        <f t="shared" si="1717"/>
        <v>0</v>
      </c>
      <c r="CG706" s="424">
        <f t="shared" si="1717"/>
        <v>0</v>
      </c>
      <c r="CH706" s="424">
        <f t="shared" si="1717"/>
        <v>0</v>
      </c>
      <c r="CI706" s="424">
        <f t="shared" si="1717"/>
        <v>0</v>
      </c>
      <c r="CJ706" s="424">
        <f t="shared" si="1717"/>
        <v>0</v>
      </c>
      <c r="CK706" s="424">
        <f t="shared" si="1717"/>
        <v>0</v>
      </c>
      <c r="CL706" s="424">
        <f t="shared" si="1717"/>
        <v>0</v>
      </c>
      <c r="CM706" s="424">
        <f t="shared" si="1717"/>
        <v>0</v>
      </c>
      <c r="CN706" s="424">
        <f t="shared" si="1717"/>
        <v>0</v>
      </c>
      <c r="CO706" s="424">
        <f t="shared" si="1717"/>
        <v>0</v>
      </c>
      <c r="CP706" s="424">
        <f t="shared" si="1717"/>
        <v>0</v>
      </c>
      <c r="CQ706" s="424">
        <f t="shared" si="1717"/>
        <v>0</v>
      </c>
      <c r="CR706" s="424">
        <f t="shared" si="1717"/>
        <v>0</v>
      </c>
      <c r="CS706" s="424">
        <f t="shared" si="1717"/>
        <v>0</v>
      </c>
      <c r="CT706" s="424">
        <f t="shared" si="1717"/>
        <v>0</v>
      </c>
      <c r="CU706" s="424">
        <f t="shared" si="1717"/>
        <v>0</v>
      </c>
      <c r="CV706" s="424">
        <f t="shared" si="1717"/>
        <v>0</v>
      </c>
      <c r="CW706" s="424">
        <f t="shared" si="1717"/>
        <v>0</v>
      </c>
      <c r="CX706" s="424">
        <f t="shared" si="1717"/>
        <v>0</v>
      </c>
      <c r="CY706" s="424">
        <f t="shared" si="1717"/>
        <v>0</v>
      </c>
      <c r="CZ706" s="424">
        <f t="shared" si="1717"/>
        <v>0</v>
      </c>
      <c r="DA706" s="424">
        <f t="shared" si="1717"/>
        <v>0</v>
      </c>
      <c r="DB706" s="424">
        <f t="shared" ref="DB706:EG706" si="1718">DB336*DB$372</f>
        <v>0</v>
      </c>
      <c r="DC706" s="424">
        <f t="shared" si="1718"/>
        <v>0</v>
      </c>
      <c r="DD706" s="424">
        <f t="shared" si="1718"/>
        <v>0</v>
      </c>
      <c r="DE706" s="424">
        <f t="shared" si="1718"/>
        <v>0</v>
      </c>
      <c r="DF706" s="424">
        <f t="shared" si="1718"/>
        <v>0</v>
      </c>
      <c r="DG706" s="424">
        <f t="shared" si="1718"/>
        <v>0</v>
      </c>
      <c r="DH706" s="424">
        <f t="shared" si="1718"/>
        <v>0</v>
      </c>
      <c r="DI706" s="424">
        <f t="shared" si="1718"/>
        <v>0</v>
      </c>
      <c r="DJ706" s="424">
        <f t="shared" si="1718"/>
        <v>0</v>
      </c>
      <c r="DK706" s="424">
        <f t="shared" si="1718"/>
        <v>0</v>
      </c>
      <c r="DL706" s="424">
        <f t="shared" si="1718"/>
        <v>0</v>
      </c>
      <c r="DM706" s="424">
        <f t="shared" si="1718"/>
        <v>0</v>
      </c>
      <c r="DN706" s="424">
        <f t="shared" si="1718"/>
        <v>0</v>
      </c>
      <c r="DO706" s="424">
        <f t="shared" si="1718"/>
        <v>0</v>
      </c>
      <c r="DP706" s="424">
        <f t="shared" si="1718"/>
        <v>0</v>
      </c>
      <c r="DQ706" s="424">
        <f t="shared" si="1718"/>
        <v>0</v>
      </c>
      <c r="DR706" s="424">
        <f t="shared" si="1718"/>
        <v>0</v>
      </c>
      <c r="DS706" s="424">
        <f t="shared" si="1718"/>
        <v>0</v>
      </c>
      <c r="DT706" s="424">
        <f t="shared" si="1718"/>
        <v>0</v>
      </c>
      <c r="DU706" s="424">
        <f t="shared" si="1718"/>
        <v>0</v>
      </c>
      <c r="DV706" s="424">
        <f t="shared" si="1718"/>
        <v>0</v>
      </c>
      <c r="DW706" s="424">
        <f t="shared" si="1718"/>
        <v>0</v>
      </c>
      <c r="DX706" s="424">
        <f t="shared" si="1718"/>
        <v>0</v>
      </c>
      <c r="DY706" s="424">
        <f t="shared" si="1718"/>
        <v>0</v>
      </c>
      <c r="DZ706" s="424">
        <f t="shared" si="1718"/>
        <v>0</v>
      </c>
      <c r="EA706" s="424">
        <f t="shared" si="1718"/>
        <v>0</v>
      </c>
      <c r="EB706" s="424">
        <f t="shared" si="1718"/>
        <v>0</v>
      </c>
      <c r="EC706" s="424">
        <f t="shared" si="1718"/>
        <v>0</v>
      </c>
      <c r="ED706" s="424">
        <f t="shared" si="1718"/>
        <v>0</v>
      </c>
      <c r="EE706" s="424">
        <f t="shared" si="1718"/>
        <v>0</v>
      </c>
      <c r="EF706" s="424">
        <f t="shared" si="1718"/>
        <v>0</v>
      </c>
      <c r="EG706" s="424">
        <f t="shared" si="1718"/>
        <v>0</v>
      </c>
      <c r="EH706" s="424">
        <f t="shared" ref="EH706:EX706" si="1719">EH336*EH$372</f>
        <v>0</v>
      </c>
      <c r="EI706" s="424">
        <f t="shared" si="1719"/>
        <v>0</v>
      </c>
      <c r="EJ706" s="424">
        <f t="shared" si="1719"/>
        <v>0</v>
      </c>
      <c r="EK706" s="424">
        <f t="shared" si="1719"/>
        <v>0</v>
      </c>
      <c r="EL706" s="424">
        <f t="shared" si="1719"/>
        <v>0</v>
      </c>
      <c r="EM706" s="424">
        <f t="shared" si="1719"/>
        <v>0</v>
      </c>
      <c r="EN706" s="424">
        <f t="shared" si="1719"/>
        <v>0</v>
      </c>
      <c r="EO706" s="424">
        <f t="shared" si="1719"/>
        <v>0</v>
      </c>
      <c r="EP706" s="424">
        <f t="shared" si="1719"/>
        <v>0</v>
      </c>
      <c r="EQ706" s="424">
        <f t="shared" si="1719"/>
        <v>0</v>
      </c>
      <c r="ER706" s="424">
        <f t="shared" si="1719"/>
        <v>0</v>
      </c>
      <c r="ES706" s="424">
        <f t="shared" si="1719"/>
        <v>0</v>
      </c>
      <c r="ET706" s="424">
        <f t="shared" si="1719"/>
        <v>0</v>
      </c>
      <c r="EU706" s="424">
        <f t="shared" si="1719"/>
        <v>0</v>
      </c>
      <c r="EV706" s="424">
        <f t="shared" si="1719"/>
        <v>0</v>
      </c>
      <c r="EW706" s="424">
        <f t="shared" si="1719"/>
        <v>1.3</v>
      </c>
      <c r="EX706" s="424">
        <f t="shared" si="1719"/>
        <v>0</v>
      </c>
      <c r="EY706" s="425">
        <f t="shared" si="1420"/>
        <v>1.3</v>
      </c>
      <c r="EZ706" s="616"/>
      <c r="FA706" s="616"/>
      <c r="FB706" s="616"/>
      <c r="FC706" s="616"/>
      <c r="FD706" s="616"/>
      <c r="FE706" s="616"/>
      <c r="FF706" s="616"/>
      <c r="FG706" s="616"/>
      <c r="FH706" s="616"/>
      <c r="FI706" s="616"/>
      <c r="FJ706" s="616"/>
    </row>
    <row r="707" spans="1:166" s="545" customFormat="1" ht="14.7" customHeight="1" x14ac:dyDescent="0.25">
      <c r="A707" s="310">
        <v>333</v>
      </c>
      <c r="B707" s="311" t="str">
        <f t="shared" si="1657"/>
        <v>Хлеб пшенично-ржаной нарезной</v>
      </c>
      <c r="C707" s="483">
        <f t="shared" si="1421"/>
        <v>0.65</v>
      </c>
      <c r="D707" s="888"/>
      <c r="E707" s="888"/>
      <c r="F707" s="888"/>
      <c r="G707" s="889"/>
      <c r="H707" s="680" t="str">
        <f t="shared" si="1664"/>
        <v>ПРОМ</v>
      </c>
      <c r="I707" s="1209">
        <f t="shared" si="1658"/>
        <v>0</v>
      </c>
      <c r="J707" s="424">
        <f t="shared" ref="J707:AO707" si="1720">J337*J$372</f>
        <v>0</v>
      </c>
      <c r="K707" s="424">
        <f t="shared" si="1720"/>
        <v>0</v>
      </c>
      <c r="L707" s="424">
        <f t="shared" si="1720"/>
        <v>0</v>
      </c>
      <c r="M707" s="424">
        <f t="shared" si="1720"/>
        <v>0</v>
      </c>
      <c r="N707" s="424">
        <f t="shared" si="1720"/>
        <v>0</v>
      </c>
      <c r="O707" s="424">
        <f t="shared" si="1720"/>
        <v>0</v>
      </c>
      <c r="P707" s="424">
        <f t="shared" si="1720"/>
        <v>0</v>
      </c>
      <c r="Q707" s="424">
        <f t="shared" si="1720"/>
        <v>0</v>
      </c>
      <c r="R707" s="424">
        <f t="shared" si="1720"/>
        <v>0</v>
      </c>
      <c r="S707" s="424">
        <f t="shared" si="1720"/>
        <v>0</v>
      </c>
      <c r="T707" s="424">
        <f t="shared" si="1720"/>
        <v>0</v>
      </c>
      <c r="U707" s="424">
        <f t="shared" si="1720"/>
        <v>0</v>
      </c>
      <c r="V707" s="424">
        <f t="shared" si="1720"/>
        <v>0</v>
      </c>
      <c r="W707" s="424">
        <f t="shared" si="1720"/>
        <v>0</v>
      </c>
      <c r="X707" s="424">
        <f t="shared" si="1720"/>
        <v>0</v>
      </c>
      <c r="Y707" s="424">
        <f t="shared" si="1720"/>
        <v>0</v>
      </c>
      <c r="Z707" s="424">
        <f t="shared" si="1720"/>
        <v>0</v>
      </c>
      <c r="AA707" s="424">
        <f t="shared" si="1720"/>
        <v>0</v>
      </c>
      <c r="AB707" s="424">
        <f t="shared" si="1720"/>
        <v>0</v>
      </c>
      <c r="AC707" s="424">
        <f t="shared" si="1720"/>
        <v>0</v>
      </c>
      <c r="AD707" s="424">
        <f t="shared" si="1720"/>
        <v>0</v>
      </c>
      <c r="AE707" s="424">
        <f t="shared" si="1720"/>
        <v>0</v>
      </c>
      <c r="AF707" s="424">
        <f t="shared" si="1720"/>
        <v>0</v>
      </c>
      <c r="AG707" s="424">
        <f t="shared" si="1720"/>
        <v>0</v>
      </c>
      <c r="AH707" s="424">
        <f t="shared" si="1720"/>
        <v>0</v>
      </c>
      <c r="AI707" s="424">
        <f t="shared" si="1720"/>
        <v>0</v>
      </c>
      <c r="AJ707" s="424">
        <f t="shared" si="1720"/>
        <v>0</v>
      </c>
      <c r="AK707" s="424">
        <f t="shared" si="1720"/>
        <v>0</v>
      </c>
      <c r="AL707" s="424">
        <f t="shared" si="1720"/>
        <v>0</v>
      </c>
      <c r="AM707" s="424">
        <f t="shared" si="1720"/>
        <v>0</v>
      </c>
      <c r="AN707" s="424">
        <f t="shared" si="1720"/>
        <v>0</v>
      </c>
      <c r="AO707" s="424">
        <f t="shared" si="1720"/>
        <v>0</v>
      </c>
      <c r="AP707" s="424">
        <f t="shared" ref="AP707:BU707" si="1721">AP337*AP$372</f>
        <v>0</v>
      </c>
      <c r="AQ707" s="424">
        <f t="shared" si="1721"/>
        <v>0</v>
      </c>
      <c r="AR707" s="424">
        <f t="shared" si="1721"/>
        <v>0</v>
      </c>
      <c r="AS707" s="424">
        <f t="shared" si="1721"/>
        <v>0</v>
      </c>
      <c r="AT707" s="424">
        <f t="shared" si="1721"/>
        <v>0</v>
      </c>
      <c r="AU707" s="424">
        <f t="shared" si="1721"/>
        <v>0</v>
      </c>
      <c r="AV707" s="424">
        <f t="shared" si="1721"/>
        <v>0</v>
      </c>
      <c r="AW707" s="424">
        <f t="shared" si="1721"/>
        <v>0</v>
      </c>
      <c r="AX707" s="424">
        <f t="shared" si="1721"/>
        <v>0</v>
      </c>
      <c r="AY707" s="424">
        <f t="shared" si="1721"/>
        <v>0</v>
      </c>
      <c r="AZ707" s="424">
        <f t="shared" si="1721"/>
        <v>0</v>
      </c>
      <c r="BA707" s="424">
        <f t="shared" si="1721"/>
        <v>0</v>
      </c>
      <c r="BB707" s="424">
        <f t="shared" si="1721"/>
        <v>0</v>
      </c>
      <c r="BC707" s="424">
        <f t="shared" si="1721"/>
        <v>0</v>
      </c>
      <c r="BD707" s="424">
        <f t="shared" si="1721"/>
        <v>0</v>
      </c>
      <c r="BE707" s="424">
        <f t="shared" si="1721"/>
        <v>0</v>
      </c>
      <c r="BF707" s="424">
        <f t="shared" si="1721"/>
        <v>0</v>
      </c>
      <c r="BG707" s="424">
        <f t="shared" si="1721"/>
        <v>0</v>
      </c>
      <c r="BH707" s="424">
        <f t="shared" si="1721"/>
        <v>0</v>
      </c>
      <c r="BI707" s="424">
        <f t="shared" si="1721"/>
        <v>0</v>
      </c>
      <c r="BJ707" s="424">
        <f t="shared" si="1721"/>
        <v>0</v>
      </c>
      <c r="BK707" s="424">
        <f t="shared" si="1721"/>
        <v>0</v>
      </c>
      <c r="BL707" s="424">
        <f t="shared" si="1721"/>
        <v>0</v>
      </c>
      <c r="BM707" s="424">
        <f t="shared" si="1721"/>
        <v>0</v>
      </c>
      <c r="BN707" s="424">
        <f t="shared" si="1721"/>
        <v>0</v>
      </c>
      <c r="BO707" s="424">
        <f t="shared" si="1721"/>
        <v>0</v>
      </c>
      <c r="BP707" s="424">
        <f t="shared" si="1721"/>
        <v>0</v>
      </c>
      <c r="BQ707" s="424">
        <f t="shared" si="1721"/>
        <v>0</v>
      </c>
      <c r="BR707" s="424">
        <f t="shared" si="1721"/>
        <v>0</v>
      </c>
      <c r="BS707" s="424">
        <f t="shared" si="1721"/>
        <v>0</v>
      </c>
      <c r="BT707" s="424">
        <f t="shared" si="1721"/>
        <v>0</v>
      </c>
      <c r="BU707" s="424">
        <f t="shared" si="1721"/>
        <v>0</v>
      </c>
      <c r="BV707" s="424">
        <f t="shared" ref="BV707:DA707" si="1722">BV337*BV$372</f>
        <v>0</v>
      </c>
      <c r="BW707" s="424">
        <f t="shared" si="1722"/>
        <v>0</v>
      </c>
      <c r="BX707" s="424">
        <f t="shared" si="1722"/>
        <v>0</v>
      </c>
      <c r="BY707" s="424">
        <f t="shared" si="1722"/>
        <v>0</v>
      </c>
      <c r="BZ707" s="424">
        <f t="shared" si="1722"/>
        <v>0</v>
      </c>
      <c r="CA707" s="424">
        <f t="shared" si="1722"/>
        <v>0</v>
      </c>
      <c r="CB707" s="424">
        <f t="shared" si="1722"/>
        <v>0</v>
      </c>
      <c r="CC707" s="424">
        <f t="shared" si="1722"/>
        <v>0</v>
      </c>
      <c r="CD707" s="424">
        <f t="shared" si="1722"/>
        <v>0</v>
      </c>
      <c r="CE707" s="424">
        <f t="shared" si="1722"/>
        <v>0</v>
      </c>
      <c r="CF707" s="424">
        <f t="shared" si="1722"/>
        <v>0</v>
      </c>
      <c r="CG707" s="424">
        <f t="shared" si="1722"/>
        <v>0</v>
      </c>
      <c r="CH707" s="424">
        <f t="shared" si="1722"/>
        <v>0</v>
      </c>
      <c r="CI707" s="424">
        <f t="shared" si="1722"/>
        <v>0</v>
      </c>
      <c r="CJ707" s="424">
        <f t="shared" si="1722"/>
        <v>0</v>
      </c>
      <c r="CK707" s="424">
        <f t="shared" si="1722"/>
        <v>0</v>
      </c>
      <c r="CL707" s="424">
        <f t="shared" si="1722"/>
        <v>0</v>
      </c>
      <c r="CM707" s="424">
        <f t="shared" si="1722"/>
        <v>0</v>
      </c>
      <c r="CN707" s="424">
        <f t="shared" si="1722"/>
        <v>0</v>
      </c>
      <c r="CO707" s="424">
        <f t="shared" si="1722"/>
        <v>0</v>
      </c>
      <c r="CP707" s="424">
        <f t="shared" si="1722"/>
        <v>0</v>
      </c>
      <c r="CQ707" s="424">
        <f t="shared" si="1722"/>
        <v>0</v>
      </c>
      <c r="CR707" s="424">
        <f t="shared" si="1722"/>
        <v>0</v>
      </c>
      <c r="CS707" s="424">
        <f t="shared" si="1722"/>
        <v>0</v>
      </c>
      <c r="CT707" s="424">
        <f t="shared" si="1722"/>
        <v>0</v>
      </c>
      <c r="CU707" s="424">
        <f t="shared" si="1722"/>
        <v>0</v>
      </c>
      <c r="CV707" s="424">
        <f t="shared" si="1722"/>
        <v>0</v>
      </c>
      <c r="CW707" s="424">
        <f t="shared" si="1722"/>
        <v>0</v>
      </c>
      <c r="CX707" s="424">
        <f t="shared" si="1722"/>
        <v>0</v>
      </c>
      <c r="CY707" s="424">
        <f t="shared" si="1722"/>
        <v>0</v>
      </c>
      <c r="CZ707" s="424">
        <f t="shared" si="1722"/>
        <v>0</v>
      </c>
      <c r="DA707" s="424">
        <f t="shared" si="1722"/>
        <v>0</v>
      </c>
      <c r="DB707" s="424">
        <f t="shared" ref="DB707:EG707" si="1723">DB337*DB$372</f>
        <v>0</v>
      </c>
      <c r="DC707" s="424">
        <f t="shared" si="1723"/>
        <v>0</v>
      </c>
      <c r="DD707" s="424">
        <f t="shared" si="1723"/>
        <v>0</v>
      </c>
      <c r="DE707" s="424">
        <f t="shared" si="1723"/>
        <v>0</v>
      </c>
      <c r="DF707" s="424">
        <f t="shared" si="1723"/>
        <v>0</v>
      </c>
      <c r="DG707" s="424">
        <f t="shared" si="1723"/>
        <v>0</v>
      </c>
      <c r="DH707" s="424">
        <f t="shared" si="1723"/>
        <v>0</v>
      </c>
      <c r="DI707" s="424">
        <f t="shared" si="1723"/>
        <v>0</v>
      </c>
      <c r="DJ707" s="424">
        <f t="shared" si="1723"/>
        <v>0</v>
      </c>
      <c r="DK707" s="424">
        <f t="shared" si="1723"/>
        <v>0</v>
      </c>
      <c r="DL707" s="424">
        <f t="shared" si="1723"/>
        <v>0</v>
      </c>
      <c r="DM707" s="424">
        <f t="shared" si="1723"/>
        <v>0</v>
      </c>
      <c r="DN707" s="424">
        <f t="shared" si="1723"/>
        <v>0</v>
      </c>
      <c r="DO707" s="424">
        <f t="shared" si="1723"/>
        <v>0</v>
      </c>
      <c r="DP707" s="424">
        <f t="shared" si="1723"/>
        <v>0</v>
      </c>
      <c r="DQ707" s="424">
        <f t="shared" si="1723"/>
        <v>0</v>
      </c>
      <c r="DR707" s="424">
        <f t="shared" si="1723"/>
        <v>0</v>
      </c>
      <c r="DS707" s="424">
        <f t="shared" si="1723"/>
        <v>0</v>
      </c>
      <c r="DT707" s="424">
        <f t="shared" si="1723"/>
        <v>0</v>
      </c>
      <c r="DU707" s="424">
        <f t="shared" si="1723"/>
        <v>0</v>
      </c>
      <c r="DV707" s="424">
        <f t="shared" si="1723"/>
        <v>0</v>
      </c>
      <c r="DW707" s="424">
        <f t="shared" si="1723"/>
        <v>0</v>
      </c>
      <c r="DX707" s="424">
        <f t="shared" si="1723"/>
        <v>0</v>
      </c>
      <c r="DY707" s="424">
        <f t="shared" si="1723"/>
        <v>0</v>
      </c>
      <c r="DZ707" s="424">
        <f t="shared" si="1723"/>
        <v>0</v>
      </c>
      <c r="EA707" s="424">
        <f t="shared" si="1723"/>
        <v>0</v>
      </c>
      <c r="EB707" s="424">
        <f t="shared" si="1723"/>
        <v>0</v>
      </c>
      <c r="EC707" s="424">
        <f t="shared" si="1723"/>
        <v>0</v>
      </c>
      <c r="ED707" s="424">
        <f t="shared" si="1723"/>
        <v>0</v>
      </c>
      <c r="EE707" s="424">
        <f t="shared" si="1723"/>
        <v>0</v>
      </c>
      <c r="EF707" s="424">
        <f t="shared" si="1723"/>
        <v>0</v>
      </c>
      <c r="EG707" s="424">
        <f t="shared" si="1723"/>
        <v>0</v>
      </c>
      <c r="EH707" s="424">
        <f t="shared" ref="EH707:EX707" si="1724">EH337*EH$372</f>
        <v>0</v>
      </c>
      <c r="EI707" s="424">
        <f t="shared" si="1724"/>
        <v>0</v>
      </c>
      <c r="EJ707" s="424">
        <f t="shared" si="1724"/>
        <v>0</v>
      </c>
      <c r="EK707" s="424">
        <f t="shared" si="1724"/>
        <v>0</v>
      </c>
      <c r="EL707" s="424">
        <f t="shared" si="1724"/>
        <v>0</v>
      </c>
      <c r="EM707" s="424">
        <f t="shared" si="1724"/>
        <v>0</v>
      </c>
      <c r="EN707" s="424">
        <f t="shared" si="1724"/>
        <v>0</v>
      </c>
      <c r="EO707" s="424">
        <f t="shared" si="1724"/>
        <v>0</v>
      </c>
      <c r="EP707" s="424">
        <f t="shared" si="1724"/>
        <v>0</v>
      </c>
      <c r="EQ707" s="424">
        <f t="shared" si="1724"/>
        <v>0</v>
      </c>
      <c r="ER707" s="424">
        <f t="shared" si="1724"/>
        <v>0</v>
      </c>
      <c r="ES707" s="424">
        <f t="shared" si="1724"/>
        <v>0</v>
      </c>
      <c r="ET707" s="424">
        <f t="shared" si="1724"/>
        <v>0</v>
      </c>
      <c r="EU707" s="424">
        <f t="shared" si="1724"/>
        <v>0</v>
      </c>
      <c r="EV707" s="424">
        <f t="shared" si="1724"/>
        <v>0</v>
      </c>
      <c r="EW707" s="424">
        <f t="shared" si="1724"/>
        <v>0.65</v>
      </c>
      <c r="EX707" s="424">
        <f t="shared" si="1724"/>
        <v>0</v>
      </c>
      <c r="EY707" s="425">
        <f t="shared" si="1420"/>
        <v>0.65</v>
      </c>
      <c r="EZ707" s="616"/>
      <c r="FA707" s="616"/>
      <c r="FB707" s="616"/>
      <c r="FC707" s="616"/>
      <c r="FD707" s="616"/>
      <c r="FE707" s="616"/>
      <c r="FF707" s="616"/>
      <c r="FG707" s="616"/>
      <c r="FH707" s="616"/>
      <c r="FI707" s="616"/>
      <c r="FJ707" s="616"/>
    </row>
    <row r="708" spans="1:166" s="545" customFormat="1" ht="14.7" customHeight="1" x14ac:dyDescent="0.25">
      <c r="A708" s="310">
        <v>334</v>
      </c>
      <c r="B708" s="311" t="str">
        <f t="shared" si="1657"/>
        <v>Икра кабачковая</v>
      </c>
      <c r="C708" s="483">
        <f t="shared" si="1421"/>
        <v>3.6</v>
      </c>
      <c r="D708" s="888"/>
      <c r="E708" s="888"/>
      <c r="F708" s="888"/>
      <c r="G708" s="889"/>
      <c r="H708" s="680" t="str">
        <f t="shared" si="1664"/>
        <v>ПРОМ</v>
      </c>
      <c r="I708" s="1209">
        <f t="shared" si="1658"/>
        <v>0</v>
      </c>
      <c r="J708" s="424">
        <f t="shared" ref="J708:AO708" si="1725">J338*J$372</f>
        <v>0</v>
      </c>
      <c r="K708" s="424">
        <f t="shared" si="1725"/>
        <v>0</v>
      </c>
      <c r="L708" s="424">
        <f t="shared" si="1725"/>
        <v>0</v>
      </c>
      <c r="M708" s="424">
        <f t="shared" si="1725"/>
        <v>0</v>
      </c>
      <c r="N708" s="424">
        <f t="shared" si="1725"/>
        <v>0</v>
      </c>
      <c r="O708" s="424">
        <f t="shared" si="1725"/>
        <v>0</v>
      </c>
      <c r="P708" s="424">
        <f t="shared" si="1725"/>
        <v>0</v>
      </c>
      <c r="Q708" s="424">
        <f t="shared" si="1725"/>
        <v>0</v>
      </c>
      <c r="R708" s="424">
        <f t="shared" si="1725"/>
        <v>0</v>
      </c>
      <c r="S708" s="424">
        <f t="shared" si="1725"/>
        <v>0</v>
      </c>
      <c r="T708" s="424">
        <f t="shared" si="1725"/>
        <v>0</v>
      </c>
      <c r="U708" s="424">
        <f t="shared" si="1725"/>
        <v>0</v>
      </c>
      <c r="V708" s="424">
        <f t="shared" si="1725"/>
        <v>0</v>
      </c>
      <c r="W708" s="424">
        <f t="shared" si="1725"/>
        <v>0</v>
      </c>
      <c r="X708" s="424">
        <f t="shared" si="1725"/>
        <v>0</v>
      </c>
      <c r="Y708" s="424">
        <f t="shared" si="1725"/>
        <v>0</v>
      </c>
      <c r="Z708" s="424">
        <f t="shared" si="1725"/>
        <v>0</v>
      </c>
      <c r="AA708" s="424">
        <f t="shared" si="1725"/>
        <v>0</v>
      </c>
      <c r="AB708" s="424">
        <f t="shared" si="1725"/>
        <v>0</v>
      </c>
      <c r="AC708" s="424">
        <f t="shared" si="1725"/>
        <v>0</v>
      </c>
      <c r="AD708" s="424">
        <f t="shared" si="1725"/>
        <v>0</v>
      </c>
      <c r="AE708" s="424">
        <f t="shared" si="1725"/>
        <v>0</v>
      </c>
      <c r="AF708" s="424">
        <f t="shared" si="1725"/>
        <v>0</v>
      </c>
      <c r="AG708" s="424">
        <f t="shared" si="1725"/>
        <v>0</v>
      </c>
      <c r="AH708" s="424">
        <f t="shared" si="1725"/>
        <v>0</v>
      </c>
      <c r="AI708" s="424">
        <f t="shared" si="1725"/>
        <v>0</v>
      </c>
      <c r="AJ708" s="424">
        <f t="shared" si="1725"/>
        <v>0</v>
      </c>
      <c r="AK708" s="424">
        <f t="shared" si="1725"/>
        <v>0</v>
      </c>
      <c r="AL708" s="424">
        <f t="shared" si="1725"/>
        <v>0</v>
      </c>
      <c r="AM708" s="424">
        <f t="shared" si="1725"/>
        <v>0</v>
      </c>
      <c r="AN708" s="424">
        <f t="shared" si="1725"/>
        <v>0</v>
      </c>
      <c r="AO708" s="424">
        <f t="shared" si="1725"/>
        <v>0</v>
      </c>
      <c r="AP708" s="424">
        <f t="shared" ref="AP708:BU708" si="1726">AP338*AP$372</f>
        <v>0</v>
      </c>
      <c r="AQ708" s="424">
        <f t="shared" si="1726"/>
        <v>0</v>
      </c>
      <c r="AR708" s="424">
        <f t="shared" si="1726"/>
        <v>0</v>
      </c>
      <c r="AS708" s="424">
        <f t="shared" si="1726"/>
        <v>0</v>
      </c>
      <c r="AT708" s="424">
        <f t="shared" si="1726"/>
        <v>0</v>
      </c>
      <c r="AU708" s="424">
        <f t="shared" si="1726"/>
        <v>0</v>
      </c>
      <c r="AV708" s="424">
        <f t="shared" si="1726"/>
        <v>0</v>
      </c>
      <c r="AW708" s="424">
        <f t="shared" si="1726"/>
        <v>0</v>
      </c>
      <c r="AX708" s="424">
        <f t="shared" si="1726"/>
        <v>0</v>
      </c>
      <c r="AY708" s="424">
        <f t="shared" si="1726"/>
        <v>0</v>
      </c>
      <c r="AZ708" s="424">
        <f t="shared" si="1726"/>
        <v>0</v>
      </c>
      <c r="BA708" s="424">
        <f t="shared" si="1726"/>
        <v>0</v>
      </c>
      <c r="BB708" s="424">
        <f t="shared" si="1726"/>
        <v>0</v>
      </c>
      <c r="BC708" s="424">
        <f t="shared" si="1726"/>
        <v>0</v>
      </c>
      <c r="BD708" s="424">
        <f t="shared" si="1726"/>
        <v>0</v>
      </c>
      <c r="BE708" s="424">
        <f t="shared" si="1726"/>
        <v>0</v>
      </c>
      <c r="BF708" s="424">
        <f t="shared" si="1726"/>
        <v>0</v>
      </c>
      <c r="BG708" s="424">
        <f t="shared" si="1726"/>
        <v>0</v>
      </c>
      <c r="BH708" s="424">
        <f t="shared" si="1726"/>
        <v>0</v>
      </c>
      <c r="BI708" s="424">
        <f t="shared" si="1726"/>
        <v>0</v>
      </c>
      <c r="BJ708" s="424">
        <f t="shared" si="1726"/>
        <v>0</v>
      </c>
      <c r="BK708" s="424">
        <f t="shared" si="1726"/>
        <v>0</v>
      </c>
      <c r="BL708" s="424">
        <f t="shared" si="1726"/>
        <v>0</v>
      </c>
      <c r="BM708" s="424">
        <f t="shared" si="1726"/>
        <v>0</v>
      </c>
      <c r="BN708" s="424">
        <f t="shared" si="1726"/>
        <v>0</v>
      </c>
      <c r="BO708" s="424">
        <f t="shared" si="1726"/>
        <v>0</v>
      </c>
      <c r="BP708" s="424">
        <f t="shared" si="1726"/>
        <v>0</v>
      </c>
      <c r="BQ708" s="424">
        <f t="shared" si="1726"/>
        <v>0</v>
      </c>
      <c r="BR708" s="424">
        <f t="shared" si="1726"/>
        <v>0</v>
      </c>
      <c r="BS708" s="424">
        <f t="shared" si="1726"/>
        <v>0</v>
      </c>
      <c r="BT708" s="424">
        <f t="shared" si="1726"/>
        <v>0</v>
      </c>
      <c r="BU708" s="424">
        <f t="shared" si="1726"/>
        <v>0</v>
      </c>
      <c r="BV708" s="424">
        <f t="shared" ref="BV708:DA708" si="1727">BV338*BV$372</f>
        <v>0</v>
      </c>
      <c r="BW708" s="424">
        <f t="shared" si="1727"/>
        <v>0</v>
      </c>
      <c r="BX708" s="424">
        <f t="shared" si="1727"/>
        <v>0</v>
      </c>
      <c r="BY708" s="424">
        <f t="shared" si="1727"/>
        <v>0</v>
      </c>
      <c r="BZ708" s="424">
        <f t="shared" si="1727"/>
        <v>0</v>
      </c>
      <c r="CA708" s="424">
        <f t="shared" si="1727"/>
        <v>0</v>
      </c>
      <c r="CB708" s="424">
        <f t="shared" si="1727"/>
        <v>0</v>
      </c>
      <c r="CC708" s="424">
        <f t="shared" si="1727"/>
        <v>0</v>
      </c>
      <c r="CD708" s="424">
        <f t="shared" si="1727"/>
        <v>0</v>
      </c>
      <c r="CE708" s="424">
        <f t="shared" si="1727"/>
        <v>0</v>
      </c>
      <c r="CF708" s="424">
        <f t="shared" si="1727"/>
        <v>0</v>
      </c>
      <c r="CG708" s="424">
        <f t="shared" si="1727"/>
        <v>0</v>
      </c>
      <c r="CH708" s="424">
        <f t="shared" si="1727"/>
        <v>0</v>
      </c>
      <c r="CI708" s="424">
        <f t="shared" si="1727"/>
        <v>0</v>
      </c>
      <c r="CJ708" s="424">
        <f t="shared" si="1727"/>
        <v>0</v>
      </c>
      <c r="CK708" s="424">
        <f t="shared" si="1727"/>
        <v>0</v>
      </c>
      <c r="CL708" s="424">
        <f t="shared" si="1727"/>
        <v>0</v>
      </c>
      <c r="CM708" s="424">
        <f t="shared" si="1727"/>
        <v>0</v>
      </c>
      <c r="CN708" s="424">
        <f t="shared" si="1727"/>
        <v>0</v>
      </c>
      <c r="CO708" s="424">
        <f t="shared" si="1727"/>
        <v>0</v>
      </c>
      <c r="CP708" s="424">
        <f t="shared" si="1727"/>
        <v>0</v>
      </c>
      <c r="CQ708" s="424">
        <f t="shared" si="1727"/>
        <v>0</v>
      </c>
      <c r="CR708" s="424">
        <f t="shared" si="1727"/>
        <v>0</v>
      </c>
      <c r="CS708" s="424">
        <f t="shared" si="1727"/>
        <v>0</v>
      </c>
      <c r="CT708" s="424">
        <f t="shared" si="1727"/>
        <v>0</v>
      </c>
      <c r="CU708" s="424">
        <f t="shared" si="1727"/>
        <v>0</v>
      </c>
      <c r="CV708" s="424">
        <f t="shared" si="1727"/>
        <v>0</v>
      </c>
      <c r="CW708" s="424">
        <f t="shared" si="1727"/>
        <v>0</v>
      </c>
      <c r="CX708" s="424">
        <f t="shared" si="1727"/>
        <v>0</v>
      </c>
      <c r="CY708" s="424">
        <f t="shared" si="1727"/>
        <v>0</v>
      </c>
      <c r="CZ708" s="424">
        <f t="shared" si="1727"/>
        <v>0</v>
      </c>
      <c r="DA708" s="424">
        <f t="shared" si="1727"/>
        <v>0</v>
      </c>
      <c r="DB708" s="424">
        <f t="shared" ref="DB708:EG708" si="1728">DB338*DB$372</f>
        <v>0</v>
      </c>
      <c r="DC708" s="424">
        <f t="shared" si="1728"/>
        <v>0</v>
      </c>
      <c r="DD708" s="424">
        <f t="shared" si="1728"/>
        <v>0</v>
      </c>
      <c r="DE708" s="424">
        <f t="shared" si="1728"/>
        <v>0</v>
      </c>
      <c r="DF708" s="424">
        <f t="shared" si="1728"/>
        <v>0</v>
      </c>
      <c r="DG708" s="424">
        <f t="shared" si="1728"/>
        <v>3.6</v>
      </c>
      <c r="DH708" s="424">
        <f t="shared" si="1728"/>
        <v>0</v>
      </c>
      <c r="DI708" s="424">
        <f t="shared" si="1728"/>
        <v>0</v>
      </c>
      <c r="DJ708" s="424">
        <f t="shared" si="1728"/>
        <v>0</v>
      </c>
      <c r="DK708" s="424">
        <f t="shared" si="1728"/>
        <v>0</v>
      </c>
      <c r="DL708" s="424">
        <f t="shared" si="1728"/>
        <v>0</v>
      </c>
      <c r="DM708" s="424">
        <f t="shared" si="1728"/>
        <v>0</v>
      </c>
      <c r="DN708" s="424">
        <f t="shared" si="1728"/>
        <v>0</v>
      </c>
      <c r="DO708" s="424">
        <f t="shared" si="1728"/>
        <v>0</v>
      </c>
      <c r="DP708" s="424">
        <f t="shared" si="1728"/>
        <v>0</v>
      </c>
      <c r="DQ708" s="424">
        <f t="shared" si="1728"/>
        <v>0</v>
      </c>
      <c r="DR708" s="424">
        <f t="shared" si="1728"/>
        <v>0</v>
      </c>
      <c r="DS708" s="424">
        <f t="shared" si="1728"/>
        <v>0</v>
      </c>
      <c r="DT708" s="424">
        <f t="shared" si="1728"/>
        <v>0</v>
      </c>
      <c r="DU708" s="424">
        <f t="shared" si="1728"/>
        <v>0</v>
      </c>
      <c r="DV708" s="424">
        <f t="shared" si="1728"/>
        <v>0</v>
      </c>
      <c r="DW708" s="424">
        <f t="shared" si="1728"/>
        <v>0</v>
      </c>
      <c r="DX708" s="424">
        <f t="shared" si="1728"/>
        <v>0</v>
      </c>
      <c r="DY708" s="424">
        <f t="shared" si="1728"/>
        <v>0</v>
      </c>
      <c r="DZ708" s="424">
        <f t="shared" si="1728"/>
        <v>0</v>
      </c>
      <c r="EA708" s="424">
        <f t="shared" si="1728"/>
        <v>0</v>
      </c>
      <c r="EB708" s="424">
        <f t="shared" si="1728"/>
        <v>0</v>
      </c>
      <c r="EC708" s="424">
        <f t="shared" si="1728"/>
        <v>0</v>
      </c>
      <c r="ED708" s="424">
        <f t="shared" si="1728"/>
        <v>0</v>
      </c>
      <c r="EE708" s="424">
        <f t="shared" si="1728"/>
        <v>0</v>
      </c>
      <c r="EF708" s="424">
        <f t="shared" si="1728"/>
        <v>0</v>
      </c>
      <c r="EG708" s="424">
        <f t="shared" si="1728"/>
        <v>0</v>
      </c>
      <c r="EH708" s="424">
        <f t="shared" ref="EH708:EX708" si="1729">EH338*EH$372</f>
        <v>0</v>
      </c>
      <c r="EI708" s="424">
        <f t="shared" si="1729"/>
        <v>0</v>
      </c>
      <c r="EJ708" s="424">
        <f t="shared" si="1729"/>
        <v>0</v>
      </c>
      <c r="EK708" s="424">
        <f t="shared" si="1729"/>
        <v>0</v>
      </c>
      <c r="EL708" s="424">
        <f t="shared" si="1729"/>
        <v>0</v>
      </c>
      <c r="EM708" s="424">
        <f t="shared" si="1729"/>
        <v>0</v>
      </c>
      <c r="EN708" s="424">
        <f t="shared" si="1729"/>
        <v>0</v>
      </c>
      <c r="EO708" s="424">
        <f t="shared" si="1729"/>
        <v>0</v>
      </c>
      <c r="EP708" s="424">
        <f t="shared" si="1729"/>
        <v>0</v>
      </c>
      <c r="EQ708" s="424">
        <f t="shared" si="1729"/>
        <v>0</v>
      </c>
      <c r="ER708" s="424">
        <f t="shared" si="1729"/>
        <v>0</v>
      </c>
      <c r="ES708" s="424">
        <f t="shared" si="1729"/>
        <v>0</v>
      </c>
      <c r="ET708" s="424">
        <f t="shared" si="1729"/>
        <v>0</v>
      </c>
      <c r="EU708" s="424">
        <f t="shared" si="1729"/>
        <v>0</v>
      </c>
      <c r="EV708" s="424">
        <f t="shared" si="1729"/>
        <v>0</v>
      </c>
      <c r="EW708" s="424">
        <f t="shared" si="1729"/>
        <v>0</v>
      </c>
      <c r="EX708" s="424">
        <f t="shared" si="1729"/>
        <v>0</v>
      </c>
      <c r="EY708" s="425">
        <f t="shared" si="1420"/>
        <v>3.6</v>
      </c>
      <c r="EZ708" s="616"/>
      <c r="FA708" s="616"/>
      <c r="FB708" s="616"/>
      <c r="FC708" s="616"/>
      <c r="FD708" s="616"/>
      <c r="FE708" s="616"/>
      <c r="FF708" s="616"/>
      <c r="FG708" s="616"/>
      <c r="FH708" s="616"/>
      <c r="FI708" s="616"/>
      <c r="FJ708" s="616"/>
    </row>
    <row r="709" spans="1:166" s="545" customFormat="1" ht="14.7" customHeight="1" x14ac:dyDescent="0.25">
      <c r="A709" s="310">
        <v>335</v>
      </c>
      <c r="B709" s="311" t="str">
        <f t="shared" si="1657"/>
        <v>Кефир 2,5 % жирности</v>
      </c>
      <c r="C709" s="483">
        <f t="shared" si="1421"/>
        <v>10.8</v>
      </c>
      <c r="D709" s="888"/>
      <c r="E709" s="888"/>
      <c r="F709" s="888"/>
      <c r="G709" s="889"/>
      <c r="H709" s="680" t="str">
        <f t="shared" si="1664"/>
        <v>ПРОМ</v>
      </c>
      <c r="I709" s="1209">
        <f t="shared" si="1658"/>
        <v>0</v>
      </c>
      <c r="J709" s="424">
        <f t="shared" ref="J709:AO709" si="1730">J339*J$372</f>
        <v>0</v>
      </c>
      <c r="K709" s="424">
        <f t="shared" si="1730"/>
        <v>0</v>
      </c>
      <c r="L709" s="424">
        <f t="shared" si="1730"/>
        <v>0</v>
      </c>
      <c r="M709" s="424">
        <f t="shared" si="1730"/>
        <v>0</v>
      </c>
      <c r="N709" s="424">
        <f t="shared" si="1730"/>
        <v>0</v>
      </c>
      <c r="O709" s="424">
        <f t="shared" si="1730"/>
        <v>0</v>
      </c>
      <c r="P709" s="424">
        <f t="shared" si="1730"/>
        <v>0</v>
      </c>
      <c r="Q709" s="424">
        <f t="shared" si="1730"/>
        <v>0</v>
      </c>
      <c r="R709" s="424">
        <f t="shared" si="1730"/>
        <v>0</v>
      </c>
      <c r="S709" s="424">
        <f t="shared" si="1730"/>
        <v>0</v>
      </c>
      <c r="T709" s="424">
        <f t="shared" si="1730"/>
        <v>0</v>
      </c>
      <c r="U709" s="424">
        <f t="shared" si="1730"/>
        <v>0</v>
      </c>
      <c r="V709" s="424">
        <f t="shared" si="1730"/>
        <v>0</v>
      </c>
      <c r="W709" s="424">
        <f t="shared" si="1730"/>
        <v>0</v>
      </c>
      <c r="X709" s="424">
        <f t="shared" si="1730"/>
        <v>0</v>
      </c>
      <c r="Y709" s="424">
        <f t="shared" si="1730"/>
        <v>0</v>
      </c>
      <c r="Z709" s="424">
        <f t="shared" si="1730"/>
        <v>0</v>
      </c>
      <c r="AA709" s="424">
        <f t="shared" si="1730"/>
        <v>10.8</v>
      </c>
      <c r="AB709" s="424">
        <f t="shared" si="1730"/>
        <v>0</v>
      </c>
      <c r="AC709" s="424">
        <f t="shared" si="1730"/>
        <v>0</v>
      </c>
      <c r="AD709" s="424">
        <f t="shared" si="1730"/>
        <v>0</v>
      </c>
      <c r="AE709" s="424">
        <f t="shared" si="1730"/>
        <v>0</v>
      </c>
      <c r="AF709" s="424">
        <f t="shared" si="1730"/>
        <v>0</v>
      </c>
      <c r="AG709" s="424">
        <f t="shared" si="1730"/>
        <v>0</v>
      </c>
      <c r="AH709" s="424">
        <f t="shared" si="1730"/>
        <v>0</v>
      </c>
      <c r="AI709" s="424">
        <f t="shared" si="1730"/>
        <v>0</v>
      </c>
      <c r="AJ709" s="424">
        <f t="shared" si="1730"/>
        <v>0</v>
      </c>
      <c r="AK709" s="424">
        <f t="shared" si="1730"/>
        <v>0</v>
      </c>
      <c r="AL709" s="424">
        <f t="shared" si="1730"/>
        <v>0</v>
      </c>
      <c r="AM709" s="424">
        <f t="shared" si="1730"/>
        <v>0</v>
      </c>
      <c r="AN709" s="424">
        <f t="shared" si="1730"/>
        <v>0</v>
      </c>
      <c r="AO709" s="424">
        <f t="shared" si="1730"/>
        <v>0</v>
      </c>
      <c r="AP709" s="424">
        <f t="shared" ref="AP709:BU709" si="1731">AP339*AP$372</f>
        <v>0</v>
      </c>
      <c r="AQ709" s="424">
        <f t="shared" si="1731"/>
        <v>0</v>
      </c>
      <c r="AR709" s="424">
        <f t="shared" si="1731"/>
        <v>0</v>
      </c>
      <c r="AS709" s="424">
        <f t="shared" si="1731"/>
        <v>0</v>
      </c>
      <c r="AT709" s="424">
        <f t="shared" si="1731"/>
        <v>0</v>
      </c>
      <c r="AU709" s="424">
        <f t="shared" si="1731"/>
        <v>0</v>
      </c>
      <c r="AV709" s="424">
        <f t="shared" si="1731"/>
        <v>0</v>
      </c>
      <c r="AW709" s="424">
        <f t="shared" si="1731"/>
        <v>0</v>
      </c>
      <c r="AX709" s="424">
        <f t="shared" si="1731"/>
        <v>0</v>
      </c>
      <c r="AY709" s="424">
        <f t="shared" si="1731"/>
        <v>0</v>
      </c>
      <c r="AZ709" s="424">
        <f t="shared" si="1731"/>
        <v>0</v>
      </c>
      <c r="BA709" s="424">
        <f t="shared" si="1731"/>
        <v>0</v>
      </c>
      <c r="BB709" s="424">
        <f t="shared" si="1731"/>
        <v>0</v>
      </c>
      <c r="BC709" s="424">
        <f t="shared" si="1731"/>
        <v>0</v>
      </c>
      <c r="BD709" s="424">
        <f t="shared" si="1731"/>
        <v>0</v>
      </c>
      <c r="BE709" s="424">
        <f t="shared" si="1731"/>
        <v>0</v>
      </c>
      <c r="BF709" s="424">
        <f t="shared" si="1731"/>
        <v>0</v>
      </c>
      <c r="BG709" s="424">
        <f t="shared" si="1731"/>
        <v>0</v>
      </c>
      <c r="BH709" s="424">
        <f t="shared" si="1731"/>
        <v>0</v>
      </c>
      <c r="BI709" s="424">
        <f t="shared" si="1731"/>
        <v>0</v>
      </c>
      <c r="BJ709" s="424">
        <f t="shared" si="1731"/>
        <v>0</v>
      </c>
      <c r="BK709" s="424">
        <f t="shared" si="1731"/>
        <v>0</v>
      </c>
      <c r="BL709" s="424">
        <f t="shared" si="1731"/>
        <v>0</v>
      </c>
      <c r="BM709" s="424">
        <f t="shared" si="1731"/>
        <v>0</v>
      </c>
      <c r="BN709" s="424">
        <f t="shared" si="1731"/>
        <v>0</v>
      </c>
      <c r="BO709" s="424">
        <f t="shared" si="1731"/>
        <v>0</v>
      </c>
      <c r="BP709" s="424">
        <f t="shared" si="1731"/>
        <v>0</v>
      </c>
      <c r="BQ709" s="424">
        <f t="shared" si="1731"/>
        <v>0</v>
      </c>
      <c r="BR709" s="424">
        <f t="shared" si="1731"/>
        <v>0</v>
      </c>
      <c r="BS709" s="424">
        <f t="shared" si="1731"/>
        <v>0</v>
      </c>
      <c r="BT709" s="424">
        <f t="shared" si="1731"/>
        <v>0</v>
      </c>
      <c r="BU709" s="424">
        <f t="shared" si="1731"/>
        <v>0</v>
      </c>
      <c r="BV709" s="424">
        <f t="shared" ref="BV709:DA709" si="1732">BV339*BV$372</f>
        <v>0</v>
      </c>
      <c r="BW709" s="424">
        <f t="shared" si="1732"/>
        <v>0</v>
      </c>
      <c r="BX709" s="424">
        <f t="shared" si="1732"/>
        <v>0</v>
      </c>
      <c r="BY709" s="424">
        <f t="shared" si="1732"/>
        <v>0</v>
      </c>
      <c r="BZ709" s="424">
        <f t="shared" si="1732"/>
        <v>0</v>
      </c>
      <c r="CA709" s="424">
        <f t="shared" si="1732"/>
        <v>0</v>
      </c>
      <c r="CB709" s="424">
        <f t="shared" si="1732"/>
        <v>0</v>
      </c>
      <c r="CC709" s="424">
        <f t="shared" si="1732"/>
        <v>0</v>
      </c>
      <c r="CD709" s="424">
        <f t="shared" si="1732"/>
        <v>0</v>
      </c>
      <c r="CE709" s="424">
        <f t="shared" si="1732"/>
        <v>0</v>
      </c>
      <c r="CF709" s="424">
        <f t="shared" si="1732"/>
        <v>0</v>
      </c>
      <c r="CG709" s="424">
        <f t="shared" si="1732"/>
        <v>0</v>
      </c>
      <c r="CH709" s="424">
        <f t="shared" si="1732"/>
        <v>0</v>
      </c>
      <c r="CI709" s="424">
        <f t="shared" si="1732"/>
        <v>0</v>
      </c>
      <c r="CJ709" s="424">
        <f t="shared" si="1732"/>
        <v>0</v>
      </c>
      <c r="CK709" s="424">
        <f t="shared" si="1732"/>
        <v>0</v>
      </c>
      <c r="CL709" s="424">
        <f t="shared" si="1732"/>
        <v>0</v>
      </c>
      <c r="CM709" s="424">
        <f t="shared" si="1732"/>
        <v>0</v>
      </c>
      <c r="CN709" s="424">
        <f t="shared" si="1732"/>
        <v>0</v>
      </c>
      <c r="CO709" s="424">
        <f t="shared" si="1732"/>
        <v>0</v>
      </c>
      <c r="CP709" s="424">
        <f t="shared" si="1732"/>
        <v>0</v>
      </c>
      <c r="CQ709" s="424">
        <f t="shared" si="1732"/>
        <v>0</v>
      </c>
      <c r="CR709" s="424">
        <f t="shared" si="1732"/>
        <v>0</v>
      </c>
      <c r="CS709" s="424">
        <f t="shared" si="1732"/>
        <v>0</v>
      </c>
      <c r="CT709" s="424">
        <f t="shared" si="1732"/>
        <v>0</v>
      </c>
      <c r="CU709" s="424">
        <f t="shared" si="1732"/>
        <v>0</v>
      </c>
      <c r="CV709" s="424">
        <f t="shared" si="1732"/>
        <v>0</v>
      </c>
      <c r="CW709" s="424">
        <f t="shared" si="1732"/>
        <v>0</v>
      </c>
      <c r="CX709" s="424">
        <f t="shared" si="1732"/>
        <v>0</v>
      </c>
      <c r="CY709" s="424">
        <f t="shared" si="1732"/>
        <v>0</v>
      </c>
      <c r="CZ709" s="424">
        <f t="shared" si="1732"/>
        <v>0</v>
      </c>
      <c r="DA709" s="424">
        <f t="shared" si="1732"/>
        <v>0</v>
      </c>
      <c r="DB709" s="424">
        <f t="shared" ref="DB709:EG709" si="1733">DB339*DB$372</f>
        <v>0</v>
      </c>
      <c r="DC709" s="424">
        <f t="shared" si="1733"/>
        <v>0</v>
      </c>
      <c r="DD709" s="424">
        <f t="shared" si="1733"/>
        <v>0</v>
      </c>
      <c r="DE709" s="424">
        <f t="shared" si="1733"/>
        <v>0</v>
      </c>
      <c r="DF709" s="424">
        <f t="shared" si="1733"/>
        <v>0</v>
      </c>
      <c r="DG709" s="424">
        <f t="shared" si="1733"/>
        <v>0</v>
      </c>
      <c r="DH709" s="424">
        <f t="shared" si="1733"/>
        <v>0</v>
      </c>
      <c r="DI709" s="424">
        <f t="shared" si="1733"/>
        <v>0</v>
      </c>
      <c r="DJ709" s="424">
        <f t="shared" si="1733"/>
        <v>0</v>
      </c>
      <c r="DK709" s="424">
        <f t="shared" si="1733"/>
        <v>0</v>
      </c>
      <c r="DL709" s="424">
        <f t="shared" si="1733"/>
        <v>0</v>
      </c>
      <c r="DM709" s="424">
        <f t="shared" si="1733"/>
        <v>0</v>
      </c>
      <c r="DN709" s="424">
        <f t="shared" si="1733"/>
        <v>0</v>
      </c>
      <c r="DO709" s="424">
        <f t="shared" si="1733"/>
        <v>0</v>
      </c>
      <c r="DP709" s="424">
        <f t="shared" si="1733"/>
        <v>0</v>
      </c>
      <c r="DQ709" s="424">
        <f t="shared" si="1733"/>
        <v>0</v>
      </c>
      <c r="DR709" s="424">
        <f t="shared" si="1733"/>
        <v>0</v>
      </c>
      <c r="DS709" s="424">
        <f t="shared" si="1733"/>
        <v>0</v>
      </c>
      <c r="DT709" s="424">
        <f t="shared" si="1733"/>
        <v>0</v>
      </c>
      <c r="DU709" s="424">
        <f t="shared" si="1733"/>
        <v>0</v>
      </c>
      <c r="DV709" s="424">
        <f t="shared" si="1733"/>
        <v>0</v>
      </c>
      <c r="DW709" s="424">
        <f t="shared" si="1733"/>
        <v>0</v>
      </c>
      <c r="DX709" s="424">
        <f t="shared" si="1733"/>
        <v>0</v>
      </c>
      <c r="DY709" s="424">
        <f t="shared" si="1733"/>
        <v>0</v>
      </c>
      <c r="DZ709" s="424">
        <f t="shared" si="1733"/>
        <v>0</v>
      </c>
      <c r="EA709" s="424">
        <f t="shared" si="1733"/>
        <v>0</v>
      </c>
      <c r="EB709" s="424">
        <f t="shared" si="1733"/>
        <v>0</v>
      </c>
      <c r="EC709" s="424">
        <f t="shared" si="1733"/>
        <v>0</v>
      </c>
      <c r="ED709" s="424">
        <f t="shared" si="1733"/>
        <v>0</v>
      </c>
      <c r="EE709" s="424">
        <f t="shared" si="1733"/>
        <v>0</v>
      </c>
      <c r="EF709" s="424">
        <f t="shared" si="1733"/>
        <v>0</v>
      </c>
      <c r="EG709" s="424">
        <f t="shared" si="1733"/>
        <v>0</v>
      </c>
      <c r="EH709" s="424">
        <f t="shared" ref="EH709:EX709" si="1734">EH339*EH$372</f>
        <v>0</v>
      </c>
      <c r="EI709" s="424">
        <f t="shared" si="1734"/>
        <v>0</v>
      </c>
      <c r="EJ709" s="424">
        <f t="shared" si="1734"/>
        <v>0</v>
      </c>
      <c r="EK709" s="424">
        <f t="shared" si="1734"/>
        <v>0</v>
      </c>
      <c r="EL709" s="424">
        <f t="shared" si="1734"/>
        <v>0</v>
      </c>
      <c r="EM709" s="424">
        <f t="shared" si="1734"/>
        <v>0</v>
      </c>
      <c r="EN709" s="424">
        <f t="shared" si="1734"/>
        <v>0</v>
      </c>
      <c r="EO709" s="424">
        <f t="shared" si="1734"/>
        <v>0</v>
      </c>
      <c r="EP709" s="424">
        <f t="shared" si="1734"/>
        <v>0</v>
      </c>
      <c r="EQ709" s="424">
        <f t="shared" si="1734"/>
        <v>0</v>
      </c>
      <c r="ER709" s="424">
        <f t="shared" si="1734"/>
        <v>0</v>
      </c>
      <c r="ES709" s="424">
        <f t="shared" si="1734"/>
        <v>0</v>
      </c>
      <c r="ET709" s="424">
        <f t="shared" si="1734"/>
        <v>0</v>
      </c>
      <c r="EU709" s="424">
        <f t="shared" si="1734"/>
        <v>0</v>
      </c>
      <c r="EV709" s="424">
        <f t="shared" si="1734"/>
        <v>0</v>
      </c>
      <c r="EW709" s="424">
        <f t="shared" si="1734"/>
        <v>0</v>
      </c>
      <c r="EX709" s="424">
        <f t="shared" si="1734"/>
        <v>0</v>
      </c>
      <c r="EY709" s="425">
        <f t="shared" si="1420"/>
        <v>10.8</v>
      </c>
      <c r="EZ709" s="616"/>
      <c r="FA709" s="616"/>
      <c r="FB709" s="616"/>
      <c r="FC709" s="616"/>
      <c r="FD709" s="616"/>
      <c r="FE709" s="616"/>
      <c r="FF709" s="616"/>
      <c r="FG709" s="616"/>
      <c r="FH709" s="616"/>
      <c r="FI709" s="616"/>
      <c r="FJ709" s="616"/>
    </row>
    <row r="710" spans="1:166" s="545" customFormat="1" ht="14.7" customHeight="1" x14ac:dyDescent="0.25">
      <c r="A710" s="310">
        <v>336</v>
      </c>
      <c r="B710" s="311" t="str">
        <f t="shared" si="1657"/>
        <v>Йогурт питьевой 1,5% жирности</v>
      </c>
      <c r="C710" s="483">
        <f t="shared" si="1421"/>
        <v>12.5</v>
      </c>
      <c r="D710" s="888"/>
      <c r="E710" s="888"/>
      <c r="F710" s="888"/>
      <c r="G710" s="889"/>
      <c r="H710" s="680" t="str">
        <f t="shared" si="1664"/>
        <v>ПРОМ</v>
      </c>
      <c r="I710" s="1209">
        <f t="shared" si="1658"/>
        <v>0</v>
      </c>
      <c r="J710" s="424">
        <f t="shared" ref="J710:AO710" si="1735">J340*J$372</f>
        <v>0</v>
      </c>
      <c r="K710" s="424">
        <f t="shared" si="1735"/>
        <v>0</v>
      </c>
      <c r="L710" s="424">
        <f t="shared" si="1735"/>
        <v>0</v>
      </c>
      <c r="M710" s="424">
        <f t="shared" si="1735"/>
        <v>0</v>
      </c>
      <c r="N710" s="424">
        <f t="shared" si="1735"/>
        <v>0</v>
      </c>
      <c r="O710" s="424">
        <f t="shared" si="1735"/>
        <v>0</v>
      </c>
      <c r="P710" s="424">
        <f t="shared" si="1735"/>
        <v>0</v>
      </c>
      <c r="Q710" s="424">
        <f t="shared" si="1735"/>
        <v>0</v>
      </c>
      <c r="R710" s="424">
        <f t="shared" si="1735"/>
        <v>0</v>
      </c>
      <c r="S710" s="424">
        <f t="shared" si="1735"/>
        <v>0</v>
      </c>
      <c r="T710" s="424">
        <f t="shared" si="1735"/>
        <v>0</v>
      </c>
      <c r="U710" s="424">
        <f t="shared" si="1735"/>
        <v>0</v>
      </c>
      <c r="V710" s="424">
        <f t="shared" si="1735"/>
        <v>0</v>
      </c>
      <c r="W710" s="424">
        <f t="shared" si="1735"/>
        <v>0</v>
      </c>
      <c r="X710" s="424">
        <f t="shared" si="1735"/>
        <v>0</v>
      </c>
      <c r="Y710" s="424">
        <f t="shared" si="1735"/>
        <v>0</v>
      </c>
      <c r="Z710" s="424">
        <f t="shared" si="1735"/>
        <v>0</v>
      </c>
      <c r="AA710" s="424">
        <f t="shared" si="1735"/>
        <v>0</v>
      </c>
      <c r="AB710" s="424">
        <f t="shared" si="1735"/>
        <v>12.5</v>
      </c>
      <c r="AC710" s="424">
        <f t="shared" si="1735"/>
        <v>0</v>
      </c>
      <c r="AD710" s="424">
        <f t="shared" si="1735"/>
        <v>0</v>
      </c>
      <c r="AE710" s="424">
        <f t="shared" si="1735"/>
        <v>0</v>
      </c>
      <c r="AF710" s="424">
        <f t="shared" si="1735"/>
        <v>0</v>
      </c>
      <c r="AG710" s="424">
        <f t="shared" si="1735"/>
        <v>0</v>
      </c>
      <c r="AH710" s="424">
        <f t="shared" si="1735"/>
        <v>0</v>
      </c>
      <c r="AI710" s="424">
        <f t="shared" si="1735"/>
        <v>0</v>
      </c>
      <c r="AJ710" s="424">
        <f t="shared" si="1735"/>
        <v>0</v>
      </c>
      <c r="AK710" s="424">
        <f t="shared" si="1735"/>
        <v>0</v>
      </c>
      <c r="AL710" s="424">
        <f t="shared" si="1735"/>
        <v>0</v>
      </c>
      <c r="AM710" s="424">
        <f t="shared" si="1735"/>
        <v>0</v>
      </c>
      <c r="AN710" s="424">
        <f t="shared" si="1735"/>
        <v>0</v>
      </c>
      <c r="AO710" s="424">
        <f t="shared" si="1735"/>
        <v>0</v>
      </c>
      <c r="AP710" s="424">
        <f t="shared" ref="AP710:BU710" si="1736">AP340*AP$372</f>
        <v>0</v>
      </c>
      <c r="AQ710" s="424">
        <f t="shared" si="1736"/>
        <v>0</v>
      </c>
      <c r="AR710" s="424">
        <f t="shared" si="1736"/>
        <v>0</v>
      </c>
      <c r="AS710" s="424">
        <f t="shared" si="1736"/>
        <v>0</v>
      </c>
      <c r="AT710" s="424">
        <f t="shared" si="1736"/>
        <v>0</v>
      </c>
      <c r="AU710" s="424">
        <f t="shared" si="1736"/>
        <v>0</v>
      </c>
      <c r="AV710" s="424">
        <f t="shared" si="1736"/>
        <v>0</v>
      </c>
      <c r="AW710" s="424">
        <f t="shared" si="1736"/>
        <v>0</v>
      </c>
      <c r="AX710" s="424">
        <f t="shared" si="1736"/>
        <v>0</v>
      </c>
      <c r="AY710" s="424">
        <f t="shared" si="1736"/>
        <v>0</v>
      </c>
      <c r="AZ710" s="424">
        <f t="shared" si="1736"/>
        <v>0</v>
      </c>
      <c r="BA710" s="424">
        <f t="shared" si="1736"/>
        <v>0</v>
      </c>
      <c r="BB710" s="424">
        <f t="shared" si="1736"/>
        <v>0</v>
      </c>
      <c r="BC710" s="424">
        <f t="shared" si="1736"/>
        <v>0</v>
      </c>
      <c r="BD710" s="424">
        <f t="shared" si="1736"/>
        <v>0</v>
      </c>
      <c r="BE710" s="424">
        <f t="shared" si="1736"/>
        <v>0</v>
      </c>
      <c r="BF710" s="424">
        <f t="shared" si="1736"/>
        <v>0</v>
      </c>
      <c r="BG710" s="424">
        <f t="shared" si="1736"/>
        <v>0</v>
      </c>
      <c r="BH710" s="424">
        <f t="shared" si="1736"/>
        <v>0</v>
      </c>
      <c r="BI710" s="424">
        <f t="shared" si="1736"/>
        <v>0</v>
      </c>
      <c r="BJ710" s="424">
        <f t="shared" si="1736"/>
        <v>0</v>
      </c>
      <c r="BK710" s="424">
        <f t="shared" si="1736"/>
        <v>0</v>
      </c>
      <c r="BL710" s="424">
        <f t="shared" si="1736"/>
        <v>0</v>
      </c>
      <c r="BM710" s="424">
        <f t="shared" si="1736"/>
        <v>0</v>
      </c>
      <c r="BN710" s="424">
        <f t="shared" si="1736"/>
        <v>0</v>
      </c>
      <c r="BO710" s="424">
        <f t="shared" si="1736"/>
        <v>0</v>
      </c>
      <c r="BP710" s="424">
        <f t="shared" si="1736"/>
        <v>0</v>
      </c>
      <c r="BQ710" s="424">
        <f t="shared" si="1736"/>
        <v>0</v>
      </c>
      <c r="BR710" s="424">
        <f t="shared" si="1736"/>
        <v>0</v>
      </c>
      <c r="BS710" s="424">
        <f t="shared" si="1736"/>
        <v>0</v>
      </c>
      <c r="BT710" s="424">
        <f t="shared" si="1736"/>
        <v>0</v>
      </c>
      <c r="BU710" s="424">
        <f t="shared" si="1736"/>
        <v>0</v>
      </c>
      <c r="BV710" s="424">
        <f t="shared" ref="BV710:DA710" si="1737">BV340*BV$372</f>
        <v>0</v>
      </c>
      <c r="BW710" s="424">
        <f t="shared" si="1737"/>
        <v>0</v>
      </c>
      <c r="BX710" s="424">
        <f t="shared" si="1737"/>
        <v>0</v>
      </c>
      <c r="BY710" s="424">
        <f t="shared" si="1737"/>
        <v>0</v>
      </c>
      <c r="BZ710" s="424">
        <f t="shared" si="1737"/>
        <v>0</v>
      </c>
      <c r="CA710" s="424">
        <f t="shared" si="1737"/>
        <v>0</v>
      </c>
      <c r="CB710" s="424">
        <f t="shared" si="1737"/>
        <v>0</v>
      </c>
      <c r="CC710" s="424">
        <f t="shared" si="1737"/>
        <v>0</v>
      </c>
      <c r="CD710" s="424">
        <f t="shared" si="1737"/>
        <v>0</v>
      </c>
      <c r="CE710" s="424">
        <f t="shared" si="1737"/>
        <v>0</v>
      </c>
      <c r="CF710" s="424">
        <f t="shared" si="1737"/>
        <v>0</v>
      </c>
      <c r="CG710" s="424">
        <f t="shared" si="1737"/>
        <v>0</v>
      </c>
      <c r="CH710" s="424">
        <f t="shared" si="1737"/>
        <v>0</v>
      </c>
      <c r="CI710" s="424">
        <f t="shared" si="1737"/>
        <v>0</v>
      </c>
      <c r="CJ710" s="424">
        <f t="shared" si="1737"/>
        <v>0</v>
      </c>
      <c r="CK710" s="424">
        <f t="shared" si="1737"/>
        <v>0</v>
      </c>
      <c r="CL710" s="424">
        <f t="shared" si="1737"/>
        <v>0</v>
      </c>
      <c r="CM710" s="424">
        <f t="shared" si="1737"/>
        <v>0</v>
      </c>
      <c r="CN710" s="424">
        <f t="shared" si="1737"/>
        <v>0</v>
      </c>
      <c r="CO710" s="424">
        <f t="shared" si="1737"/>
        <v>0</v>
      </c>
      <c r="CP710" s="424">
        <f t="shared" si="1737"/>
        <v>0</v>
      </c>
      <c r="CQ710" s="424">
        <f t="shared" si="1737"/>
        <v>0</v>
      </c>
      <c r="CR710" s="424">
        <f t="shared" si="1737"/>
        <v>0</v>
      </c>
      <c r="CS710" s="424">
        <f t="shared" si="1737"/>
        <v>0</v>
      </c>
      <c r="CT710" s="424">
        <f t="shared" si="1737"/>
        <v>0</v>
      </c>
      <c r="CU710" s="424">
        <f t="shared" si="1737"/>
        <v>0</v>
      </c>
      <c r="CV710" s="424">
        <f t="shared" si="1737"/>
        <v>0</v>
      </c>
      <c r="CW710" s="424">
        <f t="shared" si="1737"/>
        <v>0</v>
      </c>
      <c r="CX710" s="424">
        <f t="shared" si="1737"/>
        <v>0</v>
      </c>
      <c r="CY710" s="424">
        <f t="shared" si="1737"/>
        <v>0</v>
      </c>
      <c r="CZ710" s="424">
        <f t="shared" si="1737"/>
        <v>0</v>
      </c>
      <c r="DA710" s="424">
        <f t="shared" si="1737"/>
        <v>0</v>
      </c>
      <c r="DB710" s="424">
        <f t="shared" ref="DB710:EG710" si="1738">DB340*DB$372</f>
        <v>0</v>
      </c>
      <c r="DC710" s="424">
        <f t="shared" si="1738"/>
        <v>0</v>
      </c>
      <c r="DD710" s="424">
        <f t="shared" si="1738"/>
        <v>0</v>
      </c>
      <c r="DE710" s="424">
        <f t="shared" si="1738"/>
        <v>0</v>
      </c>
      <c r="DF710" s="424">
        <f t="shared" si="1738"/>
        <v>0</v>
      </c>
      <c r="DG710" s="424">
        <f t="shared" si="1738"/>
        <v>0</v>
      </c>
      <c r="DH710" s="424">
        <f t="shared" si="1738"/>
        <v>0</v>
      </c>
      <c r="DI710" s="424">
        <f t="shared" si="1738"/>
        <v>0</v>
      </c>
      <c r="DJ710" s="424">
        <f t="shared" si="1738"/>
        <v>0</v>
      </c>
      <c r="DK710" s="424">
        <f t="shared" si="1738"/>
        <v>0</v>
      </c>
      <c r="DL710" s="424">
        <f t="shared" si="1738"/>
        <v>0</v>
      </c>
      <c r="DM710" s="424">
        <f t="shared" si="1738"/>
        <v>0</v>
      </c>
      <c r="DN710" s="424">
        <f t="shared" si="1738"/>
        <v>0</v>
      </c>
      <c r="DO710" s="424">
        <f t="shared" si="1738"/>
        <v>0</v>
      </c>
      <c r="DP710" s="424">
        <f t="shared" si="1738"/>
        <v>0</v>
      </c>
      <c r="DQ710" s="424">
        <f t="shared" si="1738"/>
        <v>0</v>
      </c>
      <c r="DR710" s="424">
        <f t="shared" si="1738"/>
        <v>0</v>
      </c>
      <c r="DS710" s="424">
        <f t="shared" si="1738"/>
        <v>0</v>
      </c>
      <c r="DT710" s="424">
        <f t="shared" si="1738"/>
        <v>0</v>
      </c>
      <c r="DU710" s="424">
        <f t="shared" si="1738"/>
        <v>0</v>
      </c>
      <c r="DV710" s="424">
        <f t="shared" si="1738"/>
        <v>0</v>
      </c>
      <c r="DW710" s="424">
        <f t="shared" si="1738"/>
        <v>0</v>
      </c>
      <c r="DX710" s="424">
        <f t="shared" si="1738"/>
        <v>0</v>
      </c>
      <c r="DY710" s="424">
        <f t="shared" si="1738"/>
        <v>0</v>
      </c>
      <c r="DZ710" s="424">
        <f t="shared" si="1738"/>
        <v>0</v>
      </c>
      <c r="EA710" s="424">
        <f t="shared" si="1738"/>
        <v>0</v>
      </c>
      <c r="EB710" s="424">
        <f t="shared" si="1738"/>
        <v>0</v>
      </c>
      <c r="EC710" s="424">
        <f t="shared" si="1738"/>
        <v>0</v>
      </c>
      <c r="ED710" s="424">
        <f t="shared" si="1738"/>
        <v>0</v>
      </c>
      <c r="EE710" s="424">
        <f t="shared" si="1738"/>
        <v>0</v>
      </c>
      <c r="EF710" s="424">
        <f t="shared" si="1738"/>
        <v>0</v>
      </c>
      <c r="EG710" s="424">
        <f t="shared" si="1738"/>
        <v>0</v>
      </c>
      <c r="EH710" s="424">
        <f t="shared" ref="EH710:EX710" si="1739">EH340*EH$372</f>
        <v>0</v>
      </c>
      <c r="EI710" s="424">
        <f t="shared" si="1739"/>
        <v>0</v>
      </c>
      <c r="EJ710" s="424">
        <f t="shared" si="1739"/>
        <v>0</v>
      </c>
      <c r="EK710" s="424">
        <f t="shared" si="1739"/>
        <v>0</v>
      </c>
      <c r="EL710" s="424">
        <f t="shared" si="1739"/>
        <v>0</v>
      </c>
      <c r="EM710" s="424">
        <f t="shared" si="1739"/>
        <v>0</v>
      </c>
      <c r="EN710" s="424">
        <f t="shared" si="1739"/>
        <v>0</v>
      </c>
      <c r="EO710" s="424">
        <f t="shared" si="1739"/>
        <v>0</v>
      </c>
      <c r="EP710" s="424">
        <f t="shared" si="1739"/>
        <v>0</v>
      </c>
      <c r="EQ710" s="424">
        <f t="shared" si="1739"/>
        <v>0</v>
      </c>
      <c r="ER710" s="424">
        <f t="shared" si="1739"/>
        <v>0</v>
      </c>
      <c r="ES710" s="424">
        <f t="shared" si="1739"/>
        <v>0</v>
      </c>
      <c r="ET710" s="424">
        <f t="shared" si="1739"/>
        <v>0</v>
      </c>
      <c r="EU710" s="424">
        <f t="shared" si="1739"/>
        <v>0</v>
      </c>
      <c r="EV710" s="424">
        <f t="shared" si="1739"/>
        <v>0</v>
      </c>
      <c r="EW710" s="424">
        <f t="shared" si="1739"/>
        <v>0</v>
      </c>
      <c r="EX710" s="424">
        <f t="shared" si="1739"/>
        <v>0</v>
      </c>
      <c r="EY710" s="425">
        <f t="shared" si="1420"/>
        <v>12.5</v>
      </c>
      <c r="EZ710" s="616"/>
      <c r="FA710" s="616"/>
      <c r="FB710" s="616"/>
      <c r="FC710" s="616"/>
      <c r="FD710" s="616"/>
      <c r="FE710" s="616"/>
      <c r="FF710" s="616"/>
      <c r="FG710" s="616"/>
      <c r="FH710" s="616"/>
      <c r="FI710" s="616"/>
      <c r="FJ710" s="616"/>
    </row>
    <row r="711" spans="1:166" s="545" customFormat="1" ht="14.7" customHeight="1" x14ac:dyDescent="0.25">
      <c r="A711" s="310">
        <v>337</v>
      </c>
      <c r="B711" s="311" t="str">
        <f t="shared" si="1657"/>
        <v xml:space="preserve">Йогурт  порционный </v>
      </c>
      <c r="C711" s="483">
        <f t="shared" si="1421"/>
        <v>48.4</v>
      </c>
      <c r="D711" s="888"/>
      <c r="E711" s="888"/>
      <c r="F711" s="888"/>
      <c r="G711" s="889"/>
      <c r="H711" s="680" t="str">
        <f t="shared" si="1664"/>
        <v>ПРОМ</v>
      </c>
      <c r="I711" s="1209">
        <f t="shared" si="1658"/>
        <v>0</v>
      </c>
      <c r="J711" s="424">
        <f t="shared" ref="J711:AO711" si="1740">J341*J$372</f>
        <v>0</v>
      </c>
      <c r="K711" s="424">
        <f t="shared" si="1740"/>
        <v>0</v>
      </c>
      <c r="L711" s="424">
        <f t="shared" si="1740"/>
        <v>0</v>
      </c>
      <c r="M711" s="424">
        <f t="shared" si="1740"/>
        <v>0</v>
      </c>
      <c r="N711" s="424">
        <f t="shared" si="1740"/>
        <v>0</v>
      </c>
      <c r="O711" s="424">
        <f t="shared" si="1740"/>
        <v>0</v>
      </c>
      <c r="P711" s="424">
        <f t="shared" si="1740"/>
        <v>0</v>
      </c>
      <c r="Q711" s="424">
        <f t="shared" si="1740"/>
        <v>0</v>
      </c>
      <c r="R711" s="424">
        <f t="shared" si="1740"/>
        <v>0</v>
      </c>
      <c r="S711" s="424">
        <f t="shared" si="1740"/>
        <v>0</v>
      </c>
      <c r="T711" s="424">
        <f t="shared" si="1740"/>
        <v>0</v>
      </c>
      <c r="U711" s="424">
        <f t="shared" si="1740"/>
        <v>0</v>
      </c>
      <c r="V711" s="424">
        <f t="shared" si="1740"/>
        <v>0</v>
      </c>
      <c r="W711" s="424">
        <f t="shared" si="1740"/>
        <v>0</v>
      </c>
      <c r="X711" s="424">
        <f t="shared" si="1740"/>
        <v>0</v>
      </c>
      <c r="Y711" s="424">
        <f t="shared" si="1740"/>
        <v>0</v>
      </c>
      <c r="Z711" s="424">
        <f t="shared" si="1740"/>
        <v>0</v>
      </c>
      <c r="AA711" s="424">
        <f t="shared" si="1740"/>
        <v>0</v>
      </c>
      <c r="AB711" s="424">
        <f t="shared" si="1740"/>
        <v>0</v>
      </c>
      <c r="AC711" s="424">
        <f t="shared" si="1740"/>
        <v>48.4</v>
      </c>
      <c r="AD711" s="424">
        <f t="shared" si="1740"/>
        <v>0</v>
      </c>
      <c r="AE711" s="424">
        <f t="shared" si="1740"/>
        <v>0</v>
      </c>
      <c r="AF711" s="424">
        <f t="shared" si="1740"/>
        <v>0</v>
      </c>
      <c r="AG711" s="424">
        <f t="shared" si="1740"/>
        <v>0</v>
      </c>
      <c r="AH711" s="424">
        <f t="shared" si="1740"/>
        <v>0</v>
      </c>
      <c r="AI711" s="424">
        <f t="shared" si="1740"/>
        <v>0</v>
      </c>
      <c r="AJ711" s="424">
        <f t="shared" si="1740"/>
        <v>0</v>
      </c>
      <c r="AK711" s="424">
        <f t="shared" si="1740"/>
        <v>0</v>
      </c>
      <c r="AL711" s="424">
        <f t="shared" si="1740"/>
        <v>0</v>
      </c>
      <c r="AM711" s="424">
        <f t="shared" si="1740"/>
        <v>0</v>
      </c>
      <c r="AN711" s="424">
        <f t="shared" si="1740"/>
        <v>0</v>
      </c>
      <c r="AO711" s="424">
        <f t="shared" si="1740"/>
        <v>0</v>
      </c>
      <c r="AP711" s="424">
        <f t="shared" ref="AP711:BU711" si="1741">AP341*AP$372</f>
        <v>0</v>
      </c>
      <c r="AQ711" s="424">
        <f t="shared" si="1741"/>
        <v>0</v>
      </c>
      <c r="AR711" s="424">
        <f t="shared" si="1741"/>
        <v>0</v>
      </c>
      <c r="AS711" s="424">
        <f t="shared" si="1741"/>
        <v>0</v>
      </c>
      <c r="AT711" s="424">
        <f t="shared" si="1741"/>
        <v>0</v>
      </c>
      <c r="AU711" s="424">
        <f t="shared" si="1741"/>
        <v>0</v>
      </c>
      <c r="AV711" s="424">
        <f t="shared" si="1741"/>
        <v>0</v>
      </c>
      <c r="AW711" s="424">
        <f t="shared" si="1741"/>
        <v>0</v>
      </c>
      <c r="AX711" s="424">
        <f t="shared" si="1741"/>
        <v>0</v>
      </c>
      <c r="AY711" s="424">
        <f t="shared" si="1741"/>
        <v>0</v>
      </c>
      <c r="AZ711" s="424">
        <f t="shared" si="1741"/>
        <v>0</v>
      </c>
      <c r="BA711" s="424">
        <f t="shared" si="1741"/>
        <v>0</v>
      </c>
      <c r="BB711" s="424">
        <f t="shared" si="1741"/>
        <v>0</v>
      </c>
      <c r="BC711" s="424">
        <f t="shared" si="1741"/>
        <v>0</v>
      </c>
      <c r="BD711" s="424">
        <f t="shared" si="1741"/>
        <v>0</v>
      </c>
      <c r="BE711" s="424">
        <f t="shared" si="1741"/>
        <v>0</v>
      </c>
      <c r="BF711" s="424">
        <f t="shared" si="1741"/>
        <v>0</v>
      </c>
      <c r="BG711" s="424">
        <f t="shared" si="1741"/>
        <v>0</v>
      </c>
      <c r="BH711" s="424">
        <f t="shared" si="1741"/>
        <v>0</v>
      </c>
      <c r="BI711" s="424">
        <f t="shared" si="1741"/>
        <v>0</v>
      </c>
      <c r="BJ711" s="424">
        <f t="shared" si="1741"/>
        <v>0</v>
      </c>
      <c r="BK711" s="424">
        <f t="shared" si="1741"/>
        <v>0</v>
      </c>
      <c r="BL711" s="424">
        <f t="shared" si="1741"/>
        <v>0</v>
      </c>
      <c r="BM711" s="424">
        <f t="shared" si="1741"/>
        <v>0</v>
      </c>
      <c r="BN711" s="424">
        <f t="shared" si="1741"/>
        <v>0</v>
      </c>
      <c r="BO711" s="424">
        <f t="shared" si="1741"/>
        <v>0</v>
      </c>
      <c r="BP711" s="424">
        <f t="shared" si="1741"/>
        <v>0</v>
      </c>
      <c r="BQ711" s="424">
        <f t="shared" si="1741"/>
        <v>0</v>
      </c>
      <c r="BR711" s="424">
        <f t="shared" si="1741"/>
        <v>0</v>
      </c>
      <c r="BS711" s="424">
        <f t="shared" si="1741"/>
        <v>0</v>
      </c>
      <c r="BT711" s="424">
        <f t="shared" si="1741"/>
        <v>0</v>
      </c>
      <c r="BU711" s="424">
        <f t="shared" si="1741"/>
        <v>0</v>
      </c>
      <c r="BV711" s="424">
        <f t="shared" ref="BV711:DA711" si="1742">BV341*BV$372</f>
        <v>0</v>
      </c>
      <c r="BW711" s="424">
        <f t="shared" si="1742"/>
        <v>0</v>
      </c>
      <c r="BX711" s="424">
        <f t="shared" si="1742"/>
        <v>0</v>
      </c>
      <c r="BY711" s="424">
        <f t="shared" si="1742"/>
        <v>0</v>
      </c>
      <c r="BZ711" s="424">
        <f t="shared" si="1742"/>
        <v>0</v>
      </c>
      <c r="CA711" s="424">
        <f t="shared" si="1742"/>
        <v>0</v>
      </c>
      <c r="CB711" s="424">
        <f t="shared" si="1742"/>
        <v>0</v>
      </c>
      <c r="CC711" s="424">
        <f t="shared" si="1742"/>
        <v>0</v>
      </c>
      <c r="CD711" s="424">
        <f t="shared" si="1742"/>
        <v>0</v>
      </c>
      <c r="CE711" s="424">
        <f t="shared" si="1742"/>
        <v>0</v>
      </c>
      <c r="CF711" s="424">
        <f t="shared" si="1742"/>
        <v>0</v>
      </c>
      <c r="CG711" s="424">
        <f t="shared" si="1742"/>
        <v>0</v>
      </c>
      <c r="CH711" s="424">
        <f t="shared" si="1742"/>
        <v>0</v>
      </c>
      <c r="CI711" s="424">
        <f t="shared" si="1742"/>
        <v>0</v>
      </c>
      <c r="CJ711" s="424">
        <f t="shared" si="1742"/>
        <v>0</v>
      </c>
      <c r="CK711" s="424">
        <f t="shared" si="1742"/>
        <v>0</v>
      </c>
      <c r="CL711" s="424">
        <f t="shared" si="1742"/>
        <v>0</v>
      </c>
      <c r="CM711" s="424">
        <f t="shared" si="1742"/>
        <v>0</v>
      </c>
      <c r="CN711" s="424">
        <f t="shared" si="1742"/>
        <v>0</v>
      </c>
      <c r="CO711" s="424">
        <f t="shared" si="1742"/>
        <v>0</v>
      </c>
      <c r="CP711" s="424">
        <f t="shared" si="1742"/>
        <v>0</v>
      </c>
      <c r="CQ711" s="424">
        <f t="shared" si="1742"/>
        <v>0</v>
      </c>
      <c r="CR711" s="424">
        <f t="shared" si="1742"/>
        <v>0</v>
      </c>
      <c r="CS711" s="424">
        <f t="shared" si="1742"/>
        <v>0</v>
      </c>
      <c r="CT711" s="424">
        <f t="shared" si="1742"/>
        <v>0</v>
      </c>
      <c r="CU711" s="424">
        <f t="shared" si="1742"/>
        <v>0</v>
      </c>
      <c r="CV711" s="424">
        <f t="shared" si="1742"/>
        <v>0</v>
      </c>
      <c r="CW711" s="424">
        <f t="shared" si="1742"/>
        <v>0</v>
      </c>
      <c r="CX711" s="424">
        <f t="shared" si="1742"/>
        <v>0</v>
      </c>
      <c r="CY711" s="424">
        <f t="shared" si="1742"/>
        <v>0</v>
      </c>
      <c r="CZ711" s="424">
        <f t="shared" si="1742"/>
        <v>0</v>
      </c>
      <c r="DA711" s="424">
        <f t="shared" si="1742"/>
        <v>0</v>
      </c>
      <c r="DB711" s="424">
        <f t="shared" ref="DB711:EG711" si="1743">DB341*DB$372</f>
        <v>0</v>
      </c>
      <c r="DC711" s="424">
        <f t="shared" si="1743"/>
        <v>0</v>
      </c>
      <c r="DD711" s="424">
        <f t="shared" si="1743"/>
        <v>0</v>
      </c>
      <c r="DE711" s="424">
        <f t="shared" si="1743"/>
        <v>0</v>
      </c>
      <c r="DF711" s="424">
        <f t="shared" si="1743"/>
        <v>0</v>
      </c>
      <c r="DG711" s="424">
        <f t="shared" si="1743"/>
        <v>0</v>
      </c>
      <c r="DH711" s="424">
        <f t="shared" si="1743"/>
        <v>0</v>
      </c>
      <c r="DI711" s="424">
        <f t="shared" si="1743"/>
        <v>0</v>
      </c>
      <c r="DJ711" s="424">
        <f t="shared" si="1743"/>
        <v>0</v>
      </c>
      <c r="DK711" s="424">
        <f t="shared" si="1743"/>
        <v>0</v>
      </c>
      <c r="DL711" s="424">
        <f t="shared" si="1743"/>
        <v>0</v>
      </c>
      <c r="DM711" s="424">
        <f t="shared" si="1743"/>
        <v>0</v>
      </c>
      <c r="DN711" s="424">
        <f t="shared" si="1743"/>
        <v>0</v>
      </c>
      <c r="DO711" s="424">
        <f t="shared" si="1743"/>
        <v>0</v>
      </c>
      <c r="DP711" s="424">
        <f t="shared" si="1743"/>
        <v>0</v>
      </c>
      <c r="DQ711" s="424">
        <f t="shared" si="1743"/>
        <v>0</v>
      </c>
      <c r="DR711" s="424">
        <f t="shared" si="1743"/>
        <v>0</v>
      </c>
      <c r="DS711" s="424">
        <f t="shared" si="1743"/>
        <v>0</v>
      </c>
      <c r="DT711" s="424">
        <f t="shared" si="1743"/>
        <v>0</v>
      </c>
      <c r="DU711" s="424">
        <f t="shared" si="1743"/>
        <v>0</v>
      </c>
      <c r="DV711" s="424">
        <f t="shared" si="1743"/>
        <v>0</v>
      </c>
      <c r="DW711" s="424">
        <f t="shared" si="1743"/>
        <v>0</v>
      </c>
      <c r="DX711" s="424">
        <f t="shared" si="1743"/>
        <v>0</v>
      </c>
      <c r="DY711" s="424">
        <f t="shared" si="1743"/>
        <v>0</v>
      </c>
      <c r="DZ711" s="424">
        <f t="shared" si="1743"/>
        <v>0</v>
      </c>
      <c r="EA711" s="424">
        <f t="shared" si="1743"/>
        <v>0</v>
      </c>
      <c r="EB711" s="424">
        <f t="shared" si="1743"/>
        <v>0</v>
      </c>
      <c r="EC711" s="424">
        <f t="shared" si="1743"/>
        <v>0</v>
      </c>
      <c r="ED711" s="424">
        <f t="shared" si="1743"/>
        <v>0</v>
      </c>
      <c r="EE711" s="424">
        <f t="shared" si="1743"/>
        <v>0</v>
      </c>
      <c r="EF711" s="424">
        <f t="shared" si="1743"/>
        <v>0</v>
      </c>
      <c r="EG711" s="424">
        <f t="shared" si="1743"/>
        <v>0</v>
      </c>
      <c r="EH711" s="424">
        <f t="shared" ref="EH711:EX711" si="1744">EH341*EH$372</f>
        <v>0</v>
      </c>
      <c r="EI711" s="424">
        <f t="shared" si="1744"/>
        <v>0</v>
      </c>
      <c r="EJ711" s="424">
        <f t="shared" si="1744"/>
        <v>0</v>
      </c>
      <c r="EK711" s="424">
        <f t="shared" si="1744"/>
        <v>0</v>
      </c>
      <c r="EL711" s="424">
        <f t="shared" si="1744"/>
        <v>0</v>
      </c>
      <c r="EM711" s="424">
        <f t="shared" si="1744"/>
        <v>0</v>
      </c>
      <c r="EN711" s="424">
        <f t="shared" si="1744"/>
        <v>0</v>
      </c>
      <c r="EO711" s="424">
        <f t="shared" si="1744"/>
        <v>0</v>
      </c>
      <c r="EP711" s="424">
        <f t="shared" si="1744"/>
        <v>0</v>
      </c>
      <c r="EQ711" s="424">
        <f t="shared" si="1744"/>
        <v>0</v>
      </c>
      <c r="ER711" s="424">
        <f t="shared" si="1744"/>
        <v>0</v>
      </c>
      <c r="ES711" s="424">
        <f t="shared" si="1744"/>
        <v>0</v>
      </c>
      <c r="ET711" s="424">
        <f t="shared" si="1744"/>
        <v>0</v>
      </c>
      <c r="EU711" s="424">
        <f t="shared" si="1744"/>
        <v>0</v>
      </c>
      <c r="EV711" s="424">
        <f t="shared" si="1744"/>
        <v>0</v>
      </c>
      <c r="EW711" s="424">
        <f t="shared" si="1744"/>
        <v>0</v>
      </c>
      <c r="EX711" s="424">
        <f t="shared" si="1744"/>
        <v>0</v>
      </c>
      <c r="EY711" s="425">
        <f t="shared" si="1420"/>
        <v>48.4</v>
      </c>
      <c r="EZ711" s="616"/>
      <c r="FA711" s="616"/>
      <c r="FB711" s="616"/>
      <c r="FC711" s="616"/>
      <c r="FD711" s="616"/>
      <c r="FE711" s="616"/>
      <c r="FF711" s="616"/>
      <c r="FG711" s="616"/>
      <c r="FH711" s="616"/>
      <c r="FI711" s="616"/>
      <c r="FJ711" s="616"/>
    </row>
    <row r="712" spans="1:166" s="545" customFormat="1" ht="14.7" customHeight="1" x14ac:dyDescent="0.25">
      <c r="A712" s="310">
        <v>338</v>
      </c>
      <c r="B712" s="311" t="str">
        <f t="shared" si="1657"/>
        <v>Мороженое пломбир Кореновское</v>
      </c>
      <c r="C712" s="483">
        <f t="shared" si="1421"/>
        <v>75</v>
      </c>
      <c r="D712" s="888"/>
      <c r="E712" s="888"/>
      <c r="F712" s="888"/>
      <c r="G712" s="889"/>
      <c r="H712" s="680" t="str">
        <f t="shared" si="1664"/>
        <v>ПРОМ</v>
      </c>
      <c r="I712" s="1209">
        <f t="shared" si="1658"/>
        <v>0</v>
      </c>
      <c r="J712" s="424">
        <f t="shared" ref="J712:AO712" si="1745">J342*J$372</f>
        <v>0</v>
      </c>
      <c r="K712" s="424">
        <f t="shared" si="1745"/>
        <v>0</v>
      </c>
      <c r="L712" s="424">
        <f t="shared" si="1745"/>
        <v>0</v>
      </c>
      <c r="M712" s="424">
        <f t="shared" si="1745"/>
        <v>0</v>
      </c>
      <c r="N712" s="424">
        <f t="shared" si="1745"/>
        <v>0</v>
      </c>
      <c r="O712" s="424">
        <f t="shared" si="1745"/>
        <v>0</v>
      </c>
      <c r="P712" s="424">
        <f t="shared" si="1745"/>
        <v>0</v>
      </c>
      <c r="Q712" s="424">
        <f t="shared" si="1745"/>
        <v>0</v>
      </c>
      <c r="R712" s="424">
        <f t="shared" si="1745"/>
        <v>0</v>
      </c>
      <c r="S712" s="424">
        <f t="shared" si="1745"/>
        <v>0</v>
      </c>
      <c r="T712" s="424">
        <f t="shared" si="1745"/>
        <v>0</v>
      </c>
      <c r="U712" s="424">
        <f t="shared" si="1745"/>
        <v>0</v>
      </c>
      <c r="V712" s="424">
        <f t="shared" si="1745"/>
        <v>0</v>
      </c>
      <c r="W712" s="424">
        <f t="shared" si="1745"/>
        <v>0</v>
      </c>
      <c r="X712" s="424">
        <f t="shared" si="1745"/>
        <v>0</v>
      </c>
      <c r="Y712" s="424">
        <f t="shared" si="1745"/>
        <v>0</v>
      </c>
      <c r="Z712" s="424">
        <f t="shared" si="1745"/>
        <v>0</v>
      </c>
      <c r="AA712" s="424">
        <f t="shared" si="1745"/>
        <v>0</v>
      </c>
      <c r="AB712" s="424">
        <f t="shared" si="1745"/>
        <v>0</v>
      </c>
      <c r="AC712" s="424">
        <f t="shared" si="1745"/>
        <v>0</v>
      </c>
      <c r="AD712" s="424">
        <f t="shared" si="1745"/>
        <v>0</v>
      </c>
      <c r="AE712" s="424">
        <f t="shared" si="1745"/>
        <v>0</v>
      </c>
      <c r="AF712" s="424">
        <f t="shared" si="1745"/>
        <v>0</v>
      </c>
      <c r="AG712" s="424">
        <f t="shared" si="1745"/>
        <v>0</v>
      </c>
      <c r="AH712" s="424">
        <f t="shared" si="1745"/>
        <v>0</v>
      </c>
      <c r="AI712" s="424">
        <f t="shared" si="1745"/>
        <v>0</v>
      </c>
      <c r="AJ712" s="424">
        <f t="shared" si="1745"/>
        <v>0</v>
      </c>
      <c r="AK712" s="424">
        <f t="shared" si="1745"/>
        <v>0</v>
      </c>
      <c r="AL712" s="424">
        <f t="shared" si="1745"/>
        <v>0</v>
      </c>
      <c r="AM712" s="424">
        <f t="shared" si="1745"/>
        <v>0</v>
      </c>
      <c r="AN712" s="424">
        <f t="shared" si="1745"/>
        <v>0</v>
      </c>
      <c r="AO712" s="424">
        <f t="shared" si="1745"/>
        <v>0</v>
      </c>
      <c r="AP712" s="424">
        <f t="shared" ref="AP712:BU712" si="1746">AP342*AP$372</f>
        <v>0</v>
      </c>
      <c r="AQ712" s="424">
        <f t="shared" si="1746"/>
        <v>0</v>
      </c>
      <c r="AR712" s="424">
        <f t="shared" si="1746"/>
        <v>0</v>
      </c>
      <c r="AS712" s="424">
        <f t="shared" si="1746"/>
        <v>0</v>
      </c>
      <c r="AT712" s="424">
        <f t="shared" si="1746"/>
        <v>0</v>
      </c>
      <c r="AU712" s="424">
        <f t="shared" si="1746"/>
        <v>0</v>
      </c>
      <c r="AV712" s="424">
        <f t="shared" si="1746"/>
        <v>0</v>
      </c>
      <c r="AW712" s="424">
        <f t="shared" si="1746"/>
        <v>0</v>
      </c>
      <c r="AX712" s="424">
        <f t="shared" si="1746"/>
        <v>0</v>
      </c>
      <c r="AY712" s="424">
        <f t="shared" si="1746"/>
        <v>0</v>
      </c>
      <c r="AZ712" s="424">
        <f t="shared" si="1746"/>
        <v>0</v>
      </c>
      <c r="BA712" s="424">
        <f t="shared" si="1746"/>
        <v>0</v>
      </c>
      <c r="BB712" s="424">
        <f t="shared" si="1746"/>
        <v>0</v>
      </c>
      <c r="BC712" s="424">
        <f t="shared" si="1746"/>
        <v>0</v>
      </c>
      <c r="BD712" s="424">
        <f t="shared" si="1746"/>
        <v>0</v>
      </c>
      <c r="BE712" s="424">
        <f t="shared" si="1746"/>
        <v>0</v>
      </c>
      <c r="BF712" s="424">
        <f t="shared" si="1746"/>
        <v>0</v>
      </c>
      <c r="BG712" s="424">
        <f t="shared" si="1746"/>
        <v>0</v>
      </c>
      <c r="BH712" s="424">
        <f t="shared" si="1746"/>
        <v>0</v>
      </c>
      <c r="BI712" s="424">
        <f t="shared" si="1746"/>
        <v>0</v>
      </c>
      <c r="BJ712" s="424">
        <f t="shared" si="1746"/>
        <v>0</v>
      </c>
      <c r="BK712" s="424">
        <f t="shared" si="1746"/>
        <v>0</v>
      </c>
      <c r="BL712" s="424">
        <f t="shared" si="1746"/>
        <v>0</v>
      </c>
      <c r="BM712" s="424">
        <f t="shared" si="1746"/>
        <v>0</v>
      </c>
      <c r="BN712" s="424">
        <f t="shared" si="1746"/>
        <v>0</v>
      </c>
      <c r="BO712" s="424">
        <f t="shared" si="1746"/>
        <v>0</v>
      </c>
      <c r="BP712" s="424">
        <f t="shared" si="1746"/>
        <v>0</v>
      </c>
      <c r="BQ712" s="424">
        <f t="shared" si="1746"/>
        <v>0</v>
      </c>
      <c r="BR712" s="424">
        <f t="shared" si="1746"/>
        <v>0</v>
      </c>
      <c r="BS712" s="424">
        <f t="shared" si="1746"/>
        <v>0</v>
      </c>
      <c r="BT712" s="424">
        <f t="shared" si="1746"/>
        <v>0</v>
      </c>
      <c r="BU712" s="424">
        <f t="shared" si="1746"/>
        <v>0</v>
      </c>
      <c r="BV712" s="424">
        <f t="shared" ref="BV712:DA712" si="1747">BV342*BV$372</f>
        <v>0</v>
      </c>
      <c r="BW712" s="424">
        <f t="shared" si="1747"/>
        <v>0</v>
      </c>
      <c r="BX712" s="424">
        <f t="shared" si="1747"/>
        <v>0</v>
      </c>
      <c r="BY712" s="424">
        <f t="shared" si="1747"/>
        <v>0</v>
      </c>
      <c r="BZ712" s="424">
        <f t="shared" si="1747"/>
        <v>0</v>
      </c>
      <c r="CA712" s="424">
        <f t="shared" si="1747"/>
        <v>0</v>
      </c>
      <c r="CB712" s="424">
        <f t="shared" si="1747"/>
        <v>0</v>
      </c>
      <c r="CC712" s="424">
        <f t="shared" si="1747"/>
        <v>0</v>
      </c>
      <c r="CD712" s="424">
        <f t="shared" si="1747"/>
        <v>0</v>
      </c>
      <c r="CE712" s="424">
        <f t="shared" si="1747"/>
        <v>0</v>
      </c>
      <c r="CF712" s="424">
        <f t="shared" si="1747"/>
        <v>0</v>
      </c>
      <c r="CG712" s="424">
        <f t="shared" si="1747"/>
        <v>0</v>
      </c>
      <c r="CH712" s="424">
        <f t="shared" si="1747"/>
        <v>0</v>
      </c>
      <c r="CI712" s="424">
        <f t="shared" si="1747"/>
        <v>0</v>
      </c>
      <c r="CJ712" s="424">
        <f t="shared" si="1747"/>
        <v>0</v>
      </c>
      <c r="CK712" s="424">
        <f t="shared" si="1747"/>
        <v>0</v>
      </c>
      <c r="CL712" s="424">
        <f t="shared" si="1747"/>
        <v>0</v>
      </c>
      <c r="CM712" s="424">
        <f t="shared" si="1747"/>
        <v>0</v>
      </c>
      <c r="CN712" s="424">
        <f t="shared" si="1747"/>
        <v>0</v>
      </c>
      <c r="CO712" s="424">
        <f t="shared" si="1747"/>
        <v>0</v>
      </c>
      <c r="CP712" s="424">
        <f t="shared" si="1747"/>
        <v>0</v>
      </c>
      <c r="CQ712" s="424">
        <f t="shared" si="1747"/>
        <v>0</v>
      </c>
      <c r="CR712" s="424">
        <f t="shared" si="1747"/>
        <v>0</v>
      </c>
      <c r="CS712" s="424">
        <f t="shared" si="1747"/>
        <v>0</v>
      </c>
      <c r="CT712" s="424">
        <f t="shared" si="1747"/>
        <v>0</v>
      </c>
      <c r="CU712" s="424">
        <f t="shared" si="1747"/>
        <v>0</v>
      </c>
      <c r="CV712" s="424">
        <f t="shared" si="1747"/>
        <v>0</v>
      </c>
      <c r="CW712" s="424">
        <f t="shared" si="1747"/>
        <v>0</v>
      </c>
      <c r="CX712" s="424">
        <f t="shared" si="1747"/>
        <v>0</v>
      </c>
      <c r="CY712" s="424">
        <f t="shared" si="1747"/>
        <v>0</v>
      </c>
      <c r="CZ712" s="424">
        <f t="shared" si="1747"/>
        <v>0</v>
      </c>
      <c r="DA712" s="424">
        <f t="shared" si="1747"/>
        <v>0</v>
      </c>
      <c r="DB712" s="424">
        <f t="shared" ref="DB712:EG712" si="1748">DB342*DB$372</f>
        <v>0</v>
      </c>
      <c r="DC712" s="424">
        <f t="shared" si="1748"/>
        <v>0</v>
      </c>
      <c r="DD712" s="424">
        <f t="shared" si="1748"/>
        <v>0</v>
      </c>
      <c r="DE712" s="424">
        <f t="shared" si="1748"/>
        <v>0</v>
      </c>
      <c r="DF712" s="424">
        <f t="shared" si="1748"/>
        <v>0</v>
      </c>
      <c r="DG712" s="424">
        <f t="shared" si="1748"/>
        <v>0</v>
      </c>
      <c r="DH712" s="424">
        <f t="shared" si="1748"/>
        <v>0</v>
      </c>
      <c r="DI712" s="424">
        <f t="shared" si="1748"/>
        <v>0</v>
      </c>
      <c r="DJ712" s="424">
        <f t="shared" si="1748"/>
        <v>0</v>
      </c>
      <c r="DK712" s="424">
        <f t="shared" si="1748"/>
        <v>0</v>
      </c>
      <c r="DL712" s="424">
        <f t="shared" si="1748"/>
        <v>0</v>
      </c>
      <c r="DM712" s="424">
        <f t="shared" si="1748"/>
        <v>0</v>
      </c>
      <c r="DN712" s="424">
        <f t="shared" si="1748"/>
        <v>0</v>
      </c>
      <c r="DO712" s="424">
        <f t="shared" si="1748"/>
        <v>0</v>
      </c>
      <c r="DP712" s="424">
        <f t="shared" si="1748"/>
        <v>0</v>
      </c>
      <c r="DQ712" s="424">
        <f t="shared" si="1748"/>
        <v>0</v>
      </c>
      <c r="DR712" s="424">
        <f t="shared" si="1748"/>
        <v>0</v>
      </c>
      <c r="DS712" s="424">
        <f t="shared" si="1748"/>
        <v>0</v>
      </c>
      <c r="DT712" s="424">
        <f t="shared" si="1748"/>
        <v>0</v>
      </c>
      <c r="DU712" s="424">
        <f t="shared" si="1748"/>
        <v>0</v>
      </c>
      <c r="DV712" s="424">
        <f t="shared" si="1748"/>
        <v>0</v>
      </c>
      <c r="DW712" s="424">
        <f t="shared" si="1748"/>
        <v>0</v>
      </c>
      <c r="DX712" s="424">
        <f t="shared" si="1748"/>
        <v>0</v>
      </c>
      <c r="DY712" s="424">
        <f t="shared" si="1748"/>
        <v>0</v>
      </c>
      <c r="DZ712" s="424">
        <f t="shared" si="1748"/>
        <v>0</v>
      </c>
      <c r="EA712" s="424">
        <f t="shared" si="1748"/>
        <v>75</v>
      </c>
      <c r="EB712" s="424">
        <f t="shared" si="1748"/>
        <v>0</v>
      </c>
      <c r="EC712" s="424">
        <f t="shared" si="1748"/>
        <v>0</v>
      </c>
      <c r="ED712" s="424">
        <f t="shared" si="1748"/>
        <v>0</v>
      </c>
      <c r="EE712" s="424">
        <f t="shared" si="1748"/>
        <v>0</v>
      </c>
      <c r="EF712" s="424">
        <f t="shared" si="1748"/>
        <v>0</v>
      </c>
      <c r="EG712" s="424">
        <f t="shared" si="1748"/>
        <v>0</v>
      </c>
      <c r="EH712" s="424">
        <f t="shared" ref="EH712:EX712" si="1749">EH342*EH$372</f>
        <v>0</v>
      </c>
      <c r="EI712" s="424">
        <f t="shared" si="1749"/>
        <v>0</v>
      </c>
      <c r="EJ712" s="424">
        <f t="shared" si="1749"/>
        <v>0</v>
      </c>
      <c r="EK712" s="424">
        <f t="shared" si="1749"/>
        <v>0</v>
      </c>
      <c r="EL712" s="424">
        <f t="shared" si="1749"/>
        <v>0</v>
      </c>
      <c r="EM712" s="424">
        <f t="shared" si="1749"/>
        <v>0</v>
      </c>
      <c r="EN712" s="424">
        <f t="shared" si="1749"/>
        <v>0</v>
      </c>
      <c r="EO712" s="424">
        <f t="shared" si="1749"/>
        <v>0</v>
      </c>
      <c r="EP712" s="424">
        <f t="shared" si="1749"/>
        <v>0</v>
      </c>
      <c r="EQ712" s="424">
        <f t="shared" si="1749"/>
        <v>0</v>
      </c>
      <c r="ER712" s="424">
        <f t="shared" si="1749"/>
        <v>0</v>
      </c>
      <c r="ES712" s="424">
        <f t="shared" si="1749"/>
        <v>0</v>
      </c>
      <c r="ET712" s="424">
        <f t="shared" si="1749"/>
        <v>0</v>
      </c>
      <c r="EU712" s="424">
        <f t="shared" si="1749"/>
        <v>0</v>
      </c>
      <c r="EV712" s="424">
        <f t="shared" si="1749"/>
        <v>0</v>
      </c>
      <c r="EW712" s="424">
        <f t="shared" si="1749"/>
        <v>0</v>
      </c>
      <c r="EX712" s="424">
        <f t="shared" si="1749"/>
        <v>0</v>
      </c>
      <c r="EY712" s="425">
        <f t="shared" si="1420"/>
        <v>75</v>
      </c>
      <c r="EZ712" s="616"/>
      <c r="FA712" s="616"/>
      <c r="FB712" s="616"/>
      <c r="FC712" s="616"/>
      <c r="FD712" s="616"/>
      <c r="FE712" s="616"/>
      <c r="FF712" s="616"/>
      <c r="FG712" s="616"/>
      <c r="FH712" s="616"/>
      <c r="FI712" s="616"/>
      <c r="FJ712" s="616"/>
    </row>
    <row r="713" spans="1:166" s="545" customFormat="1" ht="14.7" customHeight="1" x14ac:dyDescent="0.25">
      <c r="A713" s="310">
        <v>339</v>
      </c>
      <c r="B713" s="311" t="str">
        <f t="shared" si="1657"/>
        <v>Вода питьевая 19 л</v>
      </c>
      <c r="C713" s="483">
        <f t="shared" ref="C713:C740" si="1750">EY713</f>
        <v>2.9</v>
      </c>
      <c r="D713" s="888"/>
      <c r="E713" s="888"/>
      <c r="F713" s="888"/>
      <c r="G713" s="889"/>
      <c r="H713" s="680" t="str">
        <f t="shared" si="1664"/>
        <v>ПРОМ</v>
      </c>
      <c r="I713" s="1209">
        <f t="shared" si="1658"/>
        <v>0</v>
      </c>
      <c r="J713" s="424">
        <f t="shared" ref="J713:AO713" si="1751">J343*J$372</f>
        <v>0</v>
      </c>
      <c r="K713" s="424">
        <f t="shared" si="1751"/>
        <v>0</v>
      </c>
      <c r="L713" s="424">
        <f t="shared" si="1751"/>
        <v>0</v>
      </c>
      <c r="M713" s="424">
        <f t="shared" si="1751"/>
        <v>0</v>
      </c>
      <c r="N713" s="424">
        <f t="shared" si="1751"/>
        <v>0</v>
      </c>
      <c r="O713" s="424">
        <f t="shared" si="1751"/>
        <v>0</v>
      </c>
      <c r="P713" s="424">
        <f t="shared" si="1751"/>
        <v>0</v>
      </c>
      <c r="Q713" s="424">
        <f t="shared" si="1751"/>
        <v>0</v>
      </c>
      <c r="R713" s="424">
        <f t="shared" si="1751"/>
        <v>0</v>
      </c>
      <c r="S713" s="424">
        <f t="shared" si="1751"/>
        <v>0</v>
      </c>
      <c r="T713" s="424">
        <f t="shared" si="1751"/>
        <v>0</v>
      </c>
      <c r="U713" s="424">
        <f t="shared" si="1751"/>
        <v>0</v>
      </c>
      <c r="V713" s="424">
        <f t="shared" si="1751"/>
        <v>0</v>
      </c>
      <c r="W713" s="424">
        <f t="shared" si="1751"/>
        <v>0</v>
      </c>
      <c r="X713" s="424">
        <f t="shared" si="1751"/>
        <v>0</v>
      </c>
      <c r="Y713" s="424">
        <f t="shared" si="1751"/>
        <v>0</v>
      </c>
      <c r="Z713" s="424">
        <f t="shared" si="1751"/>
        <v>0</v>
      </c>
      <c r="AA713" s="424">
        <f t="shared" si="1751"/>
        <v>0</v>
      </c>
      <c r="AB713" s="424">
        <f t="shared" si="1751"/>
        <v>0</v>
      </c>
      <c r="AC713" s="424">
        <f t="shared" si="1751"/>
        <v>0</v>
      </c>
      <c r="AD713" s="424">
        <f t="shared" si="1751"/>
        <v>0</v>
      </c>
      <c r="AE713" s="424">
        <f t="shared" si="1751"/>
        <v>0</v>
      </c>
      <c r="AF713" s="424">
        <f t="shared" si="1751"/>
        <v>0</v>
      </c>
      <c r="AG713" s="424">
        <f t="shared" si="1751"/>
        <v>0</v>
      </c>
      <c r="AH713" s="424">
        <f t="shared" si="1751"/>
        <v>0</v>
      </c>
      <c r="AI713" s="424">
        <f t="shared" si="1751"/>
        <v>0</v>
      </c>
      <c r="AJ713" s="424">
        <f t="shared" si="1751"/>
        <v>0</v>
      </c>
      <c r="AK713" s="424">
        <f t="shared" si="1751"/>
        <v>0</v>
      </c>
      <c r="AL713" s="424">
        <f t="shared" si="1751"/>
        <v>0</v>
      </c>
      <c r="AM713" s="424">
        <f t="shared" si="1751"/>
        <v>0</v>
      </c>
      <c r="AN713" s="424">
        <f t="shared" si="1751"/>
        <v>0</v>
      </c>
      <c r="AO713" s="424">
        <f t="shared" si="1751"/>
        <v>0</v>
      </c>
      <c r="AP713" s="424">
        <f t="shared" ref="AP713:BU713" si="1752">AP343*AP$372</f>
        <v>0</v>
      </c>
      <c r="AQ713" s="424">
        <f t="shared" si="1752"/>
        <v>0</v>
      </c>
      <c r="AR713" s="424">
        <f t="shared" si="1752"/>
        <v>0</v>
      </c>
      <c r="AS713" s="424">
        <f t="shared" si="1752"/>
        <v>0</v>
      </c>
      <c r="AT713" s="424">
        <f t="shared" si="1752"/>
        <v>0</v>
      </c>
      <c r="AU713" s="424">
        <f t="shared" si="1752"/>
        <v>0</v>
      </c>
      <c r="AV713" s="424">
        <f t="shared" si="1752"/>
        <v>0</v>
      </c>
      <c r="AW713" s="424">
        <f t="shared" si="1752"/>
        <v>0</v>
      </c>
      <c r="AX713" s="424">
        <f t="shared" si="1752"/>
        <v>0</v>
      </c>
      <c r="AY713" s="424">
        <f t="shared" si="1752"/>
        <v>0</v>
      </c>
      <c r="AZ713" s="424">
        <f t="shared" si="1752"/>
        <v>0</v>
      </c>
      <c r="BA713" s="424">
        <f t="shared" si="1752"/>
        <v>0</v>
      </c>
      <c r="BB713" s="424">
        <f t="shared" si="1752"/>
        <v>0</v>
      </c>
      <c r="BC713" s="424">
        <f t="shared" si="1752"/>
        <v>0</v>
      </c>
      <c r="BD713" s="424">
        <f t="shared" si="1752"/>
        <v>0</v>
      </c>
      <c r="BE713" s="424">
        <f t="shared" si="1752"/>
        <v>0</v>
      </c>
      <c r="BF713" s="424">
        <f t="shared" si="1752"/>
        <v>0</v>
      </c>
      <c r="BG713" s="424">
        <f t="shared" si="1752"/>
        <v>0</v>
      </c>
      <c r="BH713" s="424">
        <f t="shared" si="1752"/>
        <v>0</v>
      </c>
      <c r="BI713" s="424">
        <f t="shared" si="1752"/>
        <v>0</v>
      </c>
      <c r="BJ713" s="424">
        <f t="shared" si="1752"/>
        <v>0</v>
      </c>
      <c r="BK713" s="424">
        <f t="shared" si="1752"/>
        <v>0</v>
      </c>
      <c r="BL713" s="424">
        <f t="shared" si="1752"/>
        <v>0</v>
      </c>
      <c r="BM713" s="424">
        <f t="shared" si="1752"/>
        <v>0</v>
      </c>
      <c r="BN713" s="424">
        <f t="shared" si="1752"/>
        <v>0</v>
      </c>
      <c r="BO713" s="424">
        <f t="shared" si="1752"/>
        <v>0</v>
      </c>
      <c r="BP713" s="424">
        <f t="shared" si="1752"/>
        <v>0</v>
      </c>
      <c r="BQ713" s="424">
        <f t="shared" si="1752"/>
        <v>0</v>
      </c>
      <c r="BR713" s="424">
        <f t="shared" si="1752"/>
        <v>0</v>
      </c>
      <c r="BS713" s="424">
        <f t="shared" si="1752"/>
        <v>0</v>
      </c>
      <c r="BT713" s="424">
        <f t="shared" si="1752"/>
        <v>0</v>
      </c>
      <c r="BU713" s="424">
        <f t="shared" si="1752"/>
        <v>0</v>
      </c>
      <c r="BV713" s="424">
        <f t="shared" ref="BV713:DA713" si="1753">BV343*BV$372</f>
        <v>0</v>
      </c>
      <c r="BW713" s="424">
        <f t="shared" si="1753"/>
        <v>0</v>
      </c>
      <c r="BX713" s="424">
        <f t="shared" si="1753"/>
        <v>0</v>
      </c>
      <c r="BY713" s="424">
        <f t="shared" si="1753"/>
        <v>0</v>
      </c>
      <c r="BZ713" s="424">
        <f t="shared" si="1753"/>
        <v>0</v>
      </c>
      <c r="CA713" s="424">
        <f t="shared" si="1753"/>
        <v>0</v>
      </c>
      <c r="CB713" s="424">
        <f t="shared" si="1753"/>
        <v>0</v>
      </c>
      <c r="CC713" s="424">
        <f t="shared" si="1753"/>
        <v>0</v>
      </c>
      <c r="CD713" s="424">
        <f t="shared" si="1753"/>
        <v>0</v>
      </c>
      <c r="CE713" s="424">
        <f t="shared" si="1753"/>
        <v>0</v>
      </c>
      <c r="CF713" s="424">
        <f t="shared" si="1753"/>
        <v>0</v>
      </c>
      <c r="CG713" s="424">
        <f t="shared" si="1753"/>
        <v>0</v>
      </c>
      <c r="CH713" s="424">
        <f t="shared" si="1753"/>
        <v>0</v>
      </c>
      <c r="CI713" s="424">
        <f t="shared" si="1753"/>
        <v>0</v>
      </c>
      <c r="CJ713" s="424">
        <f t="shared" si="1753"/>
        <v>0</v>
      </c>
      <c r="CK713" s="424">
        <f t="shared" si="1753"/>
        <v>0</v>
      </c>
      <c r="CL713" s="424">
        <f t="shared" si="1753"/>
        <v>0</v>
      </c>
      <c r="CM713" s="424">
        <f t="shared" si="1753"/>
        <v>0</v>
      </c>
      <c r="CN713" s="424">
        <f t="shared" si="1753"/>
        <v>0</v>
      </c>
      <c r="CO713" s="424">
        <f t="shared" si="1753"/>
        <v>0</v>
      </c>
      <c r="CP713" s="424">
        <f t="shared" si="1753"/>
        <v>0</v>
      </c>
      <c r="CQ713" s="424">
        <f t="shared" si="1753"/>
        <v>0</v>
      </c>
      <c r="CR713" s="424">
        <f t="shared" si="1753"/>
        <v>0</v>
      </c>
      <c r="CS713" s="424">
        <f t="shared" si="1753"/>
        <v>0</v>
      </c>
      <c r="CT713" s="424">
        <f t="shared" si="1753"/>
        <v>0</v>
      </c>
      <c r="CU713" s="424">
        <f t="shared" si="1753"/>
        <v>0</v>
      </c>
      <c r="CV713" s="424">
        <f t="shared" si="1753"/>
        <v>0</v>
      </c>
      <c r="CW713" s="424">
        <f t="shared" si="1753"/>
        <v>0</v>
      </c>
      <c r="CX713" s="424">
        <f t="shared" si="1753"/>
        <v>0</v>
      </c>
      <c r="CY713" s="424">
        <f t="shared" si="1753"/>
        <v>0</v>
      </c>
      <c r="CZ713" s="424">
        <f t="shared" si="1753"/>
        <v>0</v>
      </c>
      <c r="DA713" s="424">
        <f t="shared" si="1753"/>
        <v>0</v>
      </c>
      <c r="DB713" s="424">
        <f t="shared" ref="DB713:EG713" si="1754">DB343*DB$372</f>
        <v>0</v>
      </c>
      <c r="DC713" s="424">
        <f t="shared" si="1754"/>
        <v>0</v>
      </c>
      <c r="DD713" s="424">
        <f t="shared" si="1754"/>
        <v>0</v>
      </c>
      <c r="DE713" s="424">
        <f t="shared" si="1754"/>
        <v>0</v>
      </c>
      <c r="DF713" s="424">
        <f t="shared" si="1754"/>
        <v>0</v>
      </c>
      <c r="DG713" s="424">
        <f t="shared" si="1754"/>
        <v>0</v>
      </c>
      <c r="DH713" s="424">
        <f t="shared" si="1754"/>
        <v>0</v>
      </c>
      <c r="DI713" s="424">
        <f t="shared" si="1754"/>
        <v>0</v>
      </c>
      <c r="DJ713" s="424">
        <f t="shared" si="1754"/>
        <v>0</v>
      </c>
      <c r="DK713" s="424">
        <f t="shared" si="1754"/>
        <v>0</v>
      </c>
      <c r="DL713" s="424">
        <f t="shared" si="1754"/>
        <v>0</v>
      </c>
      <c r="DM713" s="424">
        <f t="shared" si="1754"/>
        <v>0</v>
      </c>
      <c r="DN713" s="424">
        <f t="shared" si="1754"/>
        <v>0</v>
      </c>
      <c r="DO713" s="424">
        <f t="shared" si="1754"/>
        <v>0</v>
      </c>
      <c r="DP713" s="424">
        <f t="shared" si="1754"/>
        <v>0</v>
      </c>
      <c r="DQ713" s="424">
        <f t="shared" si="1754"/>
        <v>0</v>
      </c>
      <c r="DR713" s="424">
        <f t="shared" si="1754"/>
        <v>0</v>
      </c>
      <c r="DS713" s="424">
        <f t="shared" si="1754"/>
        <v>0</v>
      </c>
      <c r="DT713" s="424">
        <f t="shared" si="1754"/>
        <v>0</v>
      </c>
      <c r="DU713" s="424">
        <f t="shared" si="1754"/>
        <v>0</v>
      </c>
      <c r="DV713" s="424">
        <f t="shared" si="1754"/>
        <v>0</v>
      </c>
      <c r="DW713" s="424">
        <f t="shared" si="1754"/>
        <v>0</v>
      </c>
      <c r="DX713" s="424">
        <f t="shared" si="1754"/>
        <v>0</v>
      </c>
      <c r="DY713" s="424">
        <f t="shared" si="1754"/>
        <v>0</v>
      </c>
      <c r="DZ713" s="424">
        <f t="shared" si="1754"/>
        <v>0</v>
      </c>
      <c r="EA713" s="424">
        <f t="shared" si="1754"/>
        <v>0</v>
      </c>
      <c r="EB713" s="424">
        <f t="shared" si="1754"/>
        <v>2.9</v>
      </c>
      <c r="EC713" s="424">
        <f t="shared" si="1754"/>
        <v>0</v>
      </c>
      <c r="ED713" s="424">
        <f t="shared" si="1754"/>
        <v>0</v>
      </c>
      <c r="EE713" s="424">
        <f t="shared" si="1754"/>
        <v>0</v>
      </c>
      <c r="EF713" s="424">
        <f t="shared" si="1754"/>
        <v>0</v>
      </c>
      <c r="EG713" s="424">
        <f t="shared" si="1754"/>
        <v>0</v>
      </c>
      <c r="EH713" s="424">
        <f t="shared" ref="EH713:EX713" si="1755">EH343*EH$372</f>
        <v>0</v>
      </c>
      <c r="EI713" s="424">
        <f t="shared" si="1755"/>
        <v>0</v>
      </c>
      <c r="EJ713" s="424">
        <f t="shared" si="1755"/>
        <v>0</v>
      </c>
      <c r="EK713" s="424">
        <f t="shared" si="1755"/>
        <v>0</v>
      </c>
      <c r="EL713" s="424">
        <f t="shared" si="1755"/>
        <v>0</v>
      </c>
      <c r="EM713" s="424">
        <f t="shared" si="1755"/>
        <v>0</v>
      </c>
      <c r="EN713" s="424">
        <f t="shared" si="1755"/>
        <v>0</v>
      </c>
      <c r="EO713" s="424">
        <f t="shared" si="1755"/>
        <v>0</v>
      </c>
      <c r="EP713" s="424">
        <f t="shared" si="1755"/>
        <v>0</v>
      </c>
      <c r="EQ713" s="424">
        <f t="shared" si="1755"/>
        <v>0</v>
      </c>
      <c r="ER713" s="424">
        <f t="shared" si="1755"/>
        <v>0</v>
      </c>
      <c r="ES713" s="424">
        <f t="shared" si="1755"/>
        <v>0</v>
      </c>
      <c r="ET713" s="424">
        <f t="shared" si="1755"/>
        <v>0</v>
      </c>
      <c r="EU713" s="424">
        <f t="shared" si="1755"/>
        <v>0</v>
      </c>
      <c r="EV713" s="424">
        <f t="shared" si="1755"/>
        <v>0</v>
      </c>
      <c r="EW713" s="424">
        <f t="shared" si="1755"/>
        <v>0</v>
      </c>
      <c r="EX713" s="424">
        <f t="shared" si="1755"/>
        <v>0</v>
      </c>
      <c r="EY713" s="425">
        <f t="shared" si="1420"/>
        <v>2.9</v>
      </c>
      <c r="EZ713" s="616"/>
      <c r="FA713" s="616"/>
      <c r="FB713" s="616"/>
      <c r="FC713" s="616"/>
      <c r="FD713" s="616"/>
      <c r="FE713" s="616"/>
      <c r="FF713" s="616"/>
      <c r="FG713" s="616"/>
      <c r="FH713" s="616"/>
      <c r="FI713" s="616"/>
      <c r="FJ713" s="616"/>
    </row>
    <row r="714" spans="1:166" s="545" customFormat="1" ht="14.7" customHeight="1" x14ac:dyDescent="0.25">
      <c r="A714" s="310">
        <v>340</v>
      </c>
      <c r="B714" s="311" t="str">
        <f t="shared" si="1657"/>
        <v>Печенье сахарное "Юбилейное"</v>
      </c>
      <c r="C714" s="483">
        <f t="shared" si="1750"/>
        <v>3.6</v>
      </c>
      <c r="D714" s="888"/>
      <c r="E714" s="888"/>
      <c r="F714" s="888"/>
      <c r="G714" s="889"/>
      <c r="H714" s="680" t="str">
        <f t="shared" si="1664"/>
        <v>ПРОМ</v>
      </c>
      <c r="I714" s="1209">
        <f t="shared" si="1658"/>
        <v>0</v>
      </c>
      <c r="J714" s="424">
        <f t="shared" ref="J714:AO714" si="1756">J344*J$372</f>
        <v>0</v>
      </c>
      <c r="K714" s="424">
        <f t="shared" si="1756"/>
        <v>0</v>
      </c>
      <c r="L714" s="424">
        <f t="shared" si="1756"/>
        <v>0</v>
      </c>
      <c r="M714" s="424">
        <f t="shared" si="1756"/>
        <v>0</v>
      </c>
      <c r="N714" s="424">
        <f t="shared" si="1756"/>
        <v>0</v>
      </c>
      <c r="O714" s="424">
        <f t="shared" si="1756"/>
        <v>0</v>
      </c>
      <c r="P714" s="424">
        <f t="shared" si="1756"/>
        <v>0</v>
      </c>
      <c r="Q714" s="424">
        <f t="shared" si="1756"/>
        <v>0</v>
      </c>
      <c r="R714" s="424">
        <f t="shared" si="1756"/>
        <v>0</v>
      </c>
      <c r="S714" s="424">
        <f t="shared" si="1756"/>
        <v>0</v>
      </c>
      <c r="T714" s="424">
        <f t="shared" si="1756"/>
        <v>0</v>
      </c>
      <c r="U714" s="424">
        <f t="shared" si="1756"/>
        <v>0</v>
      </c>
      <c r="V714" s="424">
        <f t="shared" si="1756"/>
        <v>0</v>
      </c>
      <c r="W714" s="424">
        <f t="shared" si="1756"/>
        <v>0</v>
      </c>
      <c r="X714" s="424">
        <f t="shared" si="1756"/>
        <v>0</v>
      </c>
      <c r="Y714" s="424">
        <f t="shared" si="1756"/>
        <v>0</v>
      </c>
      <c r="Z714" s="424">
        <f t="shared" si="1756"/>
        <v>0</v>
      </c>
      <c r="AA714" s="424">
        <f t="shared" si="1756"/>
        <v>0</v>
      </c>
      <c r="AB714" s="424">
        <f t="shared" si="1756"/>
        <v>0</v>
      </c>
      <c r="AC714" s="424">
        <f t="shared" si="1756"/>
        <v>0</v>
      </c>
      <c r="AD714" s="424">
        <f t="shared" si="1756"/>
        <v>0</v>
      </c>
      <c r="AE714" s="424">
        <f t="shared" si="1756"/>
        <v>0</v>
      </c>
      <c r="AF714" s="424">
        <f t="shared" si="1756"/>
        <v>0</v>
      </c>
      <c r="AG714" s="424">
        <f t="shared" si="1756"/>
        <v>0</v>
      </c>
      <c r="AH714" s="424">
        <f t="shared" si="1756"/>
        <v>0</v>
      </c>
      <c r="AI714" s="424">
        <f t="shared" si="1756"/>
        <v>0</v>
      </c>
      <c r="AJ714" s="424">
        <f t="shared" si="1756"/>
        <v>0</v>
      </c>
      <c r="AK714" s="424">
        <f t="shared" si="1756"/>
        <v>0</v>
      </c>
      <c r="AL714" s="424">
        <f t="shared" si="1756"/>
        <v>0</v>
      </c>
      <c r="AM714" s="424">
        <f t="shared" si="1756"/>
        <v>0</v>
      </c>
      <c r="AN714" s="424">
        <f t="shared" si="1756"/>
        <v>0</v>
      </c>
      <c r="AO714" s="424">
        <f t="shared" si="1756"/>
        <v>0</v>
      </c>
      <c r="AP714" s="424">
        <f t="shared" ref="AP714:BU714" si="1757">AP344*AP$372</f>
        <v>0</v>
      </c>
      <c r="AQ714" s="424">
        <f t="shared" si="1757"/>
        <v>0</v>
      </c>
      <c r="AR714" s="424">
        <f t="shared" si="1757"/>
        <v>0</v>
      </c>
      <c r="AS714" s="424">
        <f t="shared" si="1757"/>
        <v>0</v>
      </c>
      <c r="AT714" s="424">
        <f t="shared" si="1757"/>
        <v>0</v>
      </c>
      <c r="AU714" s="424">
        <f t="shared" si="1757"/>
        <v>0</v>
      </c>
      <c r="AV714" s="424">
        <f t="shared" si="1757"/>
        <v>0</v>
      </c>
      <c r="AW714" s="424">
        <f t="shared" si="1757"/>
        <v>0</v>
      </c>
      <c r="AX714" s="424">
        <f t="shared" si="1757"/>
        <v>0</v>
      </c>
      <c r="AY714" s="424">
        <f t="shared" si="1757"/>
        <v>0</v>
      </c>
      <c r="AZ714" s="424">
        <f t="shared" si="1757"/>
        <v>0</v>
      </c>
      <c r="BA714" s="424">
        <f t="shared" si="1757"/>
        <v>0</v>
      </c>
      <c r="BB714" s="424">
        <f t="shared" si="1757"/>
        <v>0</v>
      </c>
      <c r="BC714" s="424">
        <f t="shared" si="1757"/>
        <v>0</v>
      </c>
      <c r="BD714" s="424">
        <f t="shared" si="1757"/>
        <v>0</v>
      </c>
      <c r="BE714" s="424">
        <f t="shared" si="1757"/>
        <v>0</v>
      </c>
      <c r="BF714" s="424">
        <f t="shared" si="1757"/>
        <v>0</v>
      </c>
      <c r="BG714" s="424">
        <f t="shared" si="1757"/>
        <v>0</v>
      </c>
      <c r="BH714" s="424">
        <f t="shared" si="1757"/>
        <v>0</v>
      </c>
      <c r="BI714" s="424">
        <f t="shared" si="1757"/>
        <v>0</v>
      </c>
      <c r="BJ714" s="424">
        <f t="shared" si="1757"/>
        <v>0</v>
      </c>
      <c r="BK714" s="424">
        <f t="shared" si="1757"/>
        <v>0</v>
      </c>
      <c r="BL714" s="424">
        <f t="shared" si="1757"/>
        <v>0</v>
      </c>
      <c r="BM714" s="424">
        <f t="shared" si="1757"/>
        <v>0</v>
      </c>
      <c r="BN714" s="424">
        <f t="shared" si="1757"/>
        <v>0</v>
      </c>
      <c r="BO714" s="424">
        <f t="shared" si="1757"/>
        <v>0</v>
      </c>
      <c r="BP714" s="424">
        <f t="shared" si="1757"/>
        <v>0</v>
      </c>
      <c r="BQ714" s="424">
        <f t="shared" si="1757"/>
        <v>0</v>
      </c>
      <c r="BR714" s="424">
        <f t="shared" si="1757"/>
        <v>0</v>
      </c>
      <c r="BS714" s="424">
        <f t="shared" si="1757"/>
        <v>0</v>
      </c>
      <c r="BT714" s="424">
        <f t="shared" si="1757"/>
        <v>0</v>
      </c>
      <c r="BU714" s="424">
        <f t="shared" si="1757"/>
        <v>0</v>
      </c>
      <c r="BV714" s="424">
        <f t="shared" ref="BV714:DA714" si="1758">BV344*BV$372</f>
        <v>0</v>
      </c>
      <c r="BW714" s="424">
        <f t="shared" si="1758"/>
        <v>0</v>
      </c>
      <c r="BX714" s="424">
        <f t="shared" si="1758"/>
        <v>0</v>
      </c>
      <c r="BY714" s="424">
        <f t="shared" si="1758"/>
        <v>0</v>
      </c>
      <c r="BZ714" s="424">
        <f t="shared" si="1758"/>
        <v>0</v>
      </c>
      <c r="CA714" s="424">
        <f t="shared" si="1758"/>
        <v>0</v>
      </c>
      <c r="CB714" s="424">
        <f t="shared" si="1758"/>
        <v>0</v>
      </c>
      <c r="CC714" s="424">
        <f t="shared" si="1758"/>
        <v>0</v>
      </c>
      <c r="CD714" s="424">
        <f t="shared" si="1758"/>
        <v>0</v>
      </c>
      <c r="CE714" s="424">
        <f t="shared" si="1758"/>
        <v>0</v>
      </c>
      <c r="CF714" s="424">
        <f t="shared" si="1758"/>
        <v>0</v>
      </c>
      <c r="CG714" s="424">
        <f t="shared" si="1758"/>
        <v>0</v>
      </c>
      <c r="CH714" s="424">
        <f t="shared" si="1758"/>
        <v>0</v>
      </c>
      <c r="CI714" s="424">
        <f t="shared" si="1758"/>
        <v>0</v>
      </c>
      <c r="CJ714" s="424">
        <f t="shared" si="1758"/>
        <v>0</v>
      </c>
      <c r="CK714" s="424">
        <f t="shared" si="1758"/>
        <v>0</v>
      </c>
      <c r="CL714" s="424">
        <f t="shared" si="1758"/>
        <v>0</v>
      </c>
      <c r="CM714" s="424">
        <f t="shared" si="1758"/>
        <v>0</v>
      </c>
      <c r="CN714" s="424">
        <f t="shared" si="1758"/>
        <v>0</v>
      </c>
      <c r="CO714" s="424">
        <f t="shared" si="1758"/>
        <v>0</v>
      </c>
      <c r="CP714" s="424">
        <f t="shared" si="1758"/>
        <v>0</v>
      </c>
      <c r="CQ714" s="424">
        <f t="shared" si="1758"/>
        <v>0</v>
      </c>
      <c r="CR714" s="424">
        <f t="shared" si="1758"/>
        <v>0</v>
      </c>
      <c r="CS714" s="424">
        <f t="shared" si="1758"/>
        <v>0</v>
      </c>
      <c r="CT714" s="424">
        <f t="shared" si="1758"/>
        <v>0</v>
      </c>
      <c r="CU714" s="424">
        <f t="shared" si="1758"/>
        <v>0</v>
      </c>
      <c r="CV714" s="424">
        <f t="shared" si="1758"/>
        <v>0</v>
      </c>
      <c r="CW714" s="424">
        <f t="shared" si="1758"/>
        <v>0</v>
      </c>
      <c r="CX714" s="424">
        <f t="shared" si="1758"/>
        <v>0</v>
      </c>
      <c r="CY714" s="424">
        <f t="shared" si="1758"/>
        <v>0</v>
      </c>
      <c r="CZ714" s="424">
        <f t="shared" si="1758"/>
        <v>0</v>
      </c>
      <c r="DA714" s="424">
        <f t="shared" si="1758"/>
        <v>0</v>
      </c>
      <c r="DB714" s="424">
        <f t="shared" ref="DB714:EG714" si="1759">DB344*DB$372</f>
        <v>0</v>
      </c>
      <c r="DC714" s="424">
        <f t="shared" si="1759"/>
        <v>0</v>
      </c>
      <c r="DD714" s="424">
        <f t="shared" si="1759"/>
        <v>0</v>
      </c>
      <c r="DE714" s="424">
        <f t="shared" si="1759"/>
        <v>0</v>
      </c>
      <c r="DF714" s="424">
        <f t="shared" si="1759"/>
        <v>0</v>
      </c>
      <c r="DG714" s="424">
        <f t="shared" si="1759"/>
        <v>0</v>
      </c>
      <c r="DH714" s="424">
        <f t="shared" si="1759"/>
        <v>0</v>
      </c>
      <c r="DI714" s="424">
        <f t="shared" si="1759"/>
        <v>0</v>
      </c>
      <c r="DJ714" s="424">
        <f t="shared" si="1759"/>
        <v>0</v>
      </c>
      <c r="DK714" s="424">
        <f t="shared" si="1759"/>
        <v>0</v>
      </c>
      <c r="DL714" s="424">
        <f t="shared" si="1759"/>
        <v>0</v>
      </c>
      <c r="DM714" s="424">
        <f t="shared" si="1759"/>
        <v>0</v>
      </c>
      <c r="DN714" s="424">
        <f t="shared" si="1759"/>
        <v>0</v>
      </c>
      <c r="DO714" s="424">
        <f t="shared" si="1759"/>
        <v>0</v>
      </c>
      <c r="DP714" s="424">
        <f t="shared" si="1759"/>
        <v>0</v>
      </c>
      <c r="DQ714" s="424">
        <f t="shared" si="1759"/>
        <v>0</v>
      </c>
      <c r="DR714" s="424">
        <f t="shared" si="1759"/>
        <v>0</v>
      </c>
      <c r="DS714" s="424">
        <f t="shared" si="1759"/>
        <v>0</v>
      </c>
      <c r="DT714" s="424">
        <f t="shared" si="1759"/>
        <v>0</v>
      </c>
      <c r="DU714" s="424">
        <f t="shared" si="1759"/>
        <v>0</v>
      </c>
      <c r="DV714" s="424">
        <f t="shared" si="1759"/>
        <v>0</v>
      </c>
      <c r="DW714" s="424">
        <f t="shared" si="1759"/>
        <v>0</v>
      </c>
      <c r="DX714" s="424">
        <f t="shared" si="1759"/>
        <v>0</v>
      </c>
      <c r="DY714" s="424">
        <f t="shared" si="1759"/>
        <v>0</v>
      </c>
      <c r="DZ714" s="424">
        <f t="shared" si="1759"/>
        <v>0</v>
      </c>
      <c r="EA714" s="424">
        <f t="shared" si="1759"/>
        <v>0</v>
      </c>
      <c r="EB714" s="424">
        <f t="shared" si="1759"/>
        <v>0</v>
      </c>
      <c r="EC714" s="424">
        <f t="shared" si="1759"/>
        <v>3.6</v>
      </c>
      <c r="ED714" s="424">
        <f t="shared" si="1759"/>
        <v>0</v>
      </c>
      <c r="EE714" s="424">
        <f t="shared" si="1759"/>
        <v>0</v>
      </c>
      <c r="EF714" s="424">
        <f t="shared" si="1759"/>
        <v>0</v>
      </c>
      <c r="EG714" s="424">
        <f t="shared" si="1759"/>
        <v>0</v>
      </c>
      <c r="EH714" s="424">
        <f t="shared" ref="EH714:EX714" si="1760">EH344*EH$372</f>
        <v>0</v>
      </c>
      <c r="EI714" s="424">
        <f t="shared" si="1760"/>
        <v>0</v>
      </c>
      <c r="EJ714" s="424">
        <f t="shared" si="1760"/>
        <v>0</v>
      </c>
      <c r="EK714" s="424">
        <f t="shared" si="1760"/>
        <v>0</v>
      </c>
      <c r="EL714" s="424">
        <f t="shared" si="1760"/>
        <v>0</v>
      </c>
      <c r="EM714" s="424">
        <f t="shared" si="1760"/>
        <v>0</v>
      </c>
      <c r="EN714" s="424">
        <f t="shared" si="1760"/>
        <v>0</v>
      </c>
      <c r="EO714" s="424">
        <f t="shared" si="1760"/>
        <v>0</v>
      </c>
      <c r="EP714" s="424">
        <f t="shared" si="1760"/>
        <v>0</v>
      </c>
      <c r="EQ714" s="424">
        <f t="shared" si="1760"/>
        <v>0</v>
      </c>
      <c r="ER714" s="424">
        <f t="shared" si="1760"/>
        <v>0</v>
      </c>
      <c r="ES714" s="424">
        <f t="shared" si="1760"/>
        <v>0</v>
      </c>
      <c r="ET714" s="424">
        <f t="shared" si="1760"/>
        <v>0</v>
      </c>
      <c r="EU714" s="424">
        <f t="shared" si="1760"/>
        <v>0</v>
      </c>
      <c r="EV714" s="424">
        <f t="shared" si="1760"/>
        <v>0</v>
      </c>
      <c r="EW714" s="424">
        <f t="shared" si="1760"/>
        <v>0</v>
      </c>
      <c r="EX714" s="424">
        <f t="shared" si="1760"/>
        <v>0</v>
      </c>
      <c r="EY714" s="425">
        <f t="shared" si="1420"/>
        <v>3.6</v>
      </c>
      <c r="EZ714" s="616"/>
      <c r="FA714" s="616"/>
      <c r="FB714" s="616"/>
      <c r="FC714" s="616"/>
      <c r="FD714" s="616"/>
      <c r="FE714" s="616"/>
      <c r="FF714" s="616"/>
      <c r="FG714" s="616"/>
      <c r="FH714" s="616"/>
      <c r="FI714" s="616"/>
      <c r="FJ714" s="616"/>
    </row>
    <row r="715" spans="1:166" s="545" customFormat="1" ht="14.7" customHeight="1" x14ac:dyDescent="0.25">
      <c r="A715" s="310">
        <v>341</v>
      </c>
      <c r="B715" s="311" t="str">
        <f t="shared" si="1657"/>
        <v>Зефир</v>
      </c>
      <c r="C715" s="483">
        <f t="shared" si="1750"/>
        <v>2.99</v>
      </c>
      <c r="D715" s="888"/>
      <c r="E715" s="888"/>
      <c r="F715" s="888"/>
      <c r="G715" s="889"/>
      <c r="H715" s="680" t="str">
        <f t="shared" si="1664"/>
        <v>ПРОМ</v>
      </c>
      <c r="I715" s="1209">
        <f t="shared" si="1658"/>
        <v>0</v>
      </c>
      <c r="J715" s="424">
        <f t="shared" ref="J715:AO715" si="1761">J345*J$372</f>
        <v>0</v>
      </c>
      <c r="K715" s="424">
        <f t="shared" si="1761"/>
        <v>0</v>
      </c>
      <c r="L715" s="424">
        <f t="shared" si="1761"/>
        <v>0</v>
      </c>
      <c r="M715" s="424">
        <f t="shared" si="1761"/>
        <v>0</v>
      </c>
      <c r="N715" s="424">
        <f t="shared" si="1761"/>
        <v>0</v>
      </c>
      <c r="O715" s="424">
        <f t="shared" si="1761"/>
        <v>0</v>
      </c>
      <c r="P715" s="424">
        <f t="shared" si="1761"/>
        <v>0</v>
      </c>
      <c r="Q715" s="424">
        <f t="shared" si="1761"/>
        <v>0</v>
      </c>
      <c r="R715" s="424">
        <f t="shared" si="1761"/>
        <v>0</v>
      </c>
      <c r="S715" s="424">
        <f t="shared" si="1761"/>
        <v>0</v>
      </c>
      <c r="T715" s="424">
        <f t="shared" si="1761"/>
        <v>0</v>
      </c>
      <c r="U715" s="424">
        <f t="shared" si="1761"/>
        <v>0</v>
      </c>
      <c r="V715" s="424">
        <f t="shared" si="1761"/>
        <v>0</v>
      </c>
      <c r="W715" s="424">
        <f t="shared" si="1761"/>
        <v>0</v>
      </c>
      <c r="X715" s="424">
        <f t="shared" si="1761"/>
        <v>0</v>
      </c>
      <c r="Y715" s="424">
        <f t="shared" si="1761"/>
        <v>0</v>
      </c>
      <c r="Z715" s="424">
        <f t="shared" si="1761"/>
        <v>0</v>
      </c>
      <c r="AA715" s="424">
        <f t="shared" si="1761"/>
        <v>0</v>
      </c>
      <c r="AB715" s="424">
        <f t="shared" si="1761"/>
        <v>0</v>
      </c>
      <c r="AC715" s="424">
        <f t="shared" si="1761"/>
        <v>0</v>
      </c>
      <c r="AD715" s="424">
        <f t="shared" si="1761"/>
        <v>0</v>
      </c>
      <c r="AE715" s="424">
        <f t="shared" si="1761"/>
        <v>0</v>
      </c>
      <c r="AF715" s="424">
        <f t="shared" si="1761"/>
        <v>0</v>
      </c>
      <c r="AG715" s="424">
        <f t="shared" si="1761"/>
        <v>0</v>
      </c>
      <c r="AH715" s="424">
        <f t="shared" si="1761"/>
        <v>0</v>
      </c>
      <c r="AI715" s="424">
        <f t="shared" si="1761"/>
        <v>0</v>
      </c>
      <c r="AJ715" s="424">
        <f t="shared" si="1761"/>
        <v>0</v>
      </c>
      <c r="AK715" s="424">
        <f t="shared" si="1761"/>
        <v>0</v>
      </c>
      <c r="AL715" s="424">
        <f t="shared" si="1761"/>
        <v>0</v>
      </c>
      <c r="AM715" s="424">
        <f t="shared" si="1761"/>
        <v>0</v>
      </c>
      <c r="AN715" s="424">
        <f t="shared" si="1761"/>
        <v>0</v>
      </c>
      <c r="AO715" s="424">
        <f t="shared" si="1761"/>
        <v>0</v>
      </c>
      <c r="AP715" s="424">
        <f t="shared" ref="AP715:BU715" si="1762">AP345*AP$372</f>
        <v>0</v>
      </c>
      <c r="AQ715" s="424">
        <f t="shared" si="1762"/>
        <v>0</v>
      </c>
      <c r="AR715" s="424">
        <f t="shared" si="1762"/>
        <v>0</v>
      </c>
      <c r="AS715" s="424">
        <f t="shared" si="1762"/>
        <v>0</v>
      </c>
      <c r="AT715" s="424">
        <f t="shared" si="1762"/>
        <v>0</v>
      </c>
      <c r="AU715" s="424">
        <f t="shared" si="1762"/>
        <v>0</v>
      </c>
      <c r="AV715" s="424">
        <f t="shared" si="1762"/>
        <v>0</v>
      </c>
      <c r="AW715" s="424">
        <f t="shared" si="1762"/>
        <v>0</v>
      </c>
      <c r="AX715" s="424">
        <f t="shared" si="1762"/>
        <v>0</v>
      </c>
      <c r="AY715" s="424">
        <f t="shared" si="1762"/>
        <v>0</v>
      </c>
      <c r="AZ715" s="424">
        <f t="shared" si="1762"/>
        <v>0</v>
      </c>
      <c r="BA715" s="424">
        <f t="shared" si="1762"/>
        <v>0</v>
      </c>
      <c r="BB715" s="424">
        <f t="shared" si="1762"/>
        <v>0</v>
      </c>
      <c r="BC715" s="424">
        <f t="shared" si="1762"/>
        <v>0</v>
      </c>
      <c r="BD715" s="424">
        <f t="shared" si="1762"/>
        <v>0</v>
      </c>
      <c r="BE715" s="424">
        <f t="shared" si="1762"/>
        <v>0</v>
      </c>
      <c r="BF715" s="424">
        <f t="shared" si="1762"/>
        <v>0</v>
      </c>
      <c r="BG715" s="424">
        <f t="shared" si="1762"/>
        <v>0</v>
      </c>
      <c r="BH715" s="424">
        <f t="shared" si="1762"/>
        <v>0</v>
      </c>
      <c r="BI715" s="424">
        <f t="shared" si="1762"/>
        <v>0</v>
      </c>
      <c r="BJ715" s="424">
        <f t="shared" si="1762"/>
        <v>0</v>
      </c>
      <c r="BK715" s="424">
        <f t="shared" si="1762"/>
        <v>0</v>
      </c>
      <c r="BL715" s="424">
        <f t="shared" si="1762"/>
        <v>0</v>
      </c>
      <c r="BM715" s="424">
        <f t="shared" si="1762"/>
        <v>0</v>
      </c>
      <c r="BN715" s="424">
        <f t="shared" si="1762"/>
        <v>0</v>
      </c>
      <c r="BO715" s="424">
        <f t="shared" si="1762"/>
        <v>0</v>
      </c>
      <c r="BP715" s="424">
        <f t="shared" si="1762"/>
        <v>0</v>
      </c>
      <c r="BQ715" s="424">
        <f t="shared" si="1762"/>
        <v>0</v>
      </c>
      <c r="BR715" s="424">
        <f t="shared" si="1762"/>
        <v>0</v>
      </c>
      <c r="BS715" s="424">
        <f t="shared" si="1762"/>
        <v>0</v>
      </c>
      <c r="BT715" s="424">
        <f t="shared" si="1762"/>
        <v>0</v>
      </c>
      <c r="BU715" s="424">
        <f t="shared" si="1762"/>
        <v>0</v>
      </c>
      <c r="BV715" s="424">
        <f t="shared" ref="BV715:DA715" si="1763">BV345*BV$372</f>
        <v>0</v>
      </c>
      <c r="BW715" s="424">
        <f t="shared" si="1763"/>
        <v>0</v>
      </c>
      <c r="BX715" s="424">
        <f t="shared" si="1763"/>
        <v>0</v>
      </c>
      <c r="BY715" s="424">
        <f t="shared" si="1763"/>
        <v>0</v>
      </c>
      <c r="BZ715" s="424">
        <f t="shared" si="1763"/>
        <v>0</v>
      </c>
      <c r="CA715" s="424">
        <f t="shared" si="1763"/>
        <v>0</v>
      </c>
      <c r="CB715" s="424">
        <f t="shared" si="1763"/>
        <v>0</v>
      </c>
      <c r="CC715" s="424">
        <f t="shared" si="1763"/>
        <v>0</v>
      </c>
      <c r="CD715" s="424">
        <f t="shared" si="1763"/>
        <v>0</v>
      </c>
      <c r="CE715" s="424">
        <f t="shared" si="1763"/>
        <v>0</v>
      </c>
      <c r="CF715" s="424">
        <f t="shared" si="1763"/>
        <v>0</v>
      </c>
      <c r="CG715" s="424">
        <f t="shared" si="1763"/>
        <v>0</v>
      </c>
      <c r="CH715" s="424">
        <f t="shared" si="1763"/>
        <v>0</v>
      </c>
      <c r="CI715" s="424">
        <f t="shared" si="1763"/>
        <v>0</v>
      </c>
      <c r="CJ715" s="424">
        <f t="shared" si="1763"/>
        <v>0</v>
      </c>
      <c r="CK715" s="424">
        <f t="shared" si="1763"/>
        <v>0</v>
      </c>
      <c r="CL715" s="424">
        <f t="shared" si="1763"/>
        <v>0</v>
      </c>
      <c r="CM715" s="424">
        <f t="shared" si="1763"/>
        <v>0</v>
      </c>
      <c r="CN715" s="424">
        <f t="shared" si="1763"/>
        <v>0</v>
      </c>
      <c r="CO715" s="424">
        <f t="shared" si="1763"/>
        <v>0</v>
      </c>
      <c r="CP715" s="424">
        <f t="shared" si="1763"/>
        <v>0</v>
      </c>
      <c r="CQ715" s="424">
        <f t="shared" si="1763"/>
        <v>0</v>
      </c>
      <c r="CR715" s="424">
        <f t="shared" si="1763"/>
        <v>0</v>
      </c>
      <c r="CS715" s="424">
        <f t="shared" si="1763"/>
        <v>0</v>
      </c>
      <c r="CT715" s="424">
        <f t="shared" si="1763"/>
        <v>0</v>
      </c>
      <c r="CU715" s="424">
        <f t="shared" si="1763"/>
        <v>0</v>
      </c>
      <c r="CV715" s="424">
        <f t="shared" si="1763"/>
        <v>0</v>
      </c>
      <c r="CW715" s="424">
        <f t="shared" si="1763"/>
        <v>0</v>
      </c>
      <c r="CX715" s="424">
        <f t="shared" si="1763"/>
        <v>0</v>
      </c>
      <c r="CY715" s="424">
        <f t="shared" si="1763"/>
        <v>0</v>
      </c>
      <c r="CZ715" s="424">
        <f t="shared" si="1763"/>
        <v>0</v>
      </c>
      <c r="DA715" s="424">
        <f t="shared" si="1763"/>
        <v>0</v>
      </c>
      <c r="DB715" s="424">
        <f t="shared" ref="DB715:EG715" si="1764">DB345*DB$372</f>
        <v>0</v>
      </c>
      <c r="DC715" s="424">
        <f t="shared" si="1764"/>
        <v>0</v>
      </c>
      <c r="DD715" s="424">
        <f t="shared" si="1764"/>
        <v>0</v>
      </c>
      <c r="DE715" s="424">
        <f t="shared" si="1764"/>
        <v>0</v>
      </c>
      <c r="DF715" s="424">
        <f t="shared" si="1764"/>
        <v>0</v>
      </c>
      <c r="DG715" s="424">
        <f t="shared" si="1764"/>
        <v>0</v>
      </c>
      <c r="DH715" s="424">
        <f t="shared" si="1764"/>
        <v>0</v>
      </c>
      <c r="DI715" s="424">
        <f t="shared" si="1764"/>
        <v>0</v>
      </c>
      <c r="DJ715" s="424">
        <f t="shared" si="1764"/>
        <v>0</v>
      </c>
      <c r="DK715" s="424">
        <f t="shared" si="1764"/>
        <v>0</v>
      </c>
      <c r="DL715" s="424">
        <f t="shared" si="1764"/>
        <v>0</v>
      </c>
      <c r="DM715" s="424">
        <f t="shared" si="1764"/>
        <v>0</v>
      </c>
      <c r="DN715" s="424">
        <f t="shared" si="1764"/>
        <v>0</v>
      </c>
      <c r="DO715" s="424">
        <f t="shared" si="1764"/>
        <v>0</v>
      </c>
      <c r="DP715" s="424">
        <f t="shared" si="1764"/>
        <v>0</v>
      </c>
      <c r="DQ715" s="424">
        <f t="shared" si="1764"/>
        <v>0</v>
      </c>
      <c r="DR715" s="424">
        <f t="shared" si="1764"/>
        <v>0</v>
      </c>
      <c r="DS715" s="424">
        <f t="shared" si="1764"/>
        <v>0</v>
      </c>
      <c r="DT715" s="424">
        <f t="shared" si="1764"/>
        <v>0</v>
      </c>
      <c r="DU715" s="424">
        <f t="shared" si="1764"/>
        <v>0</v>
      </c>
      <c r="DV715" s="424">
        <f t="shared" si="1764"/>
        <v>0</v>
      </c>
      <c r="DW715" s="424">
        <f t="shared" si="1764"/>
        <v>0</v>
      </c>
      <c r="DX715" s="424">
        <f t="shared" si="1764"/>
        <v>0</v>
      </c>
      <c r="DY715" s="424">
        <f t="shared" si="1764"/>
        <v>0</v>
      </c>
      <c r="DZ715" s="424">
        <f t="shared" si="1764"/>
        <v>0</v>
      </c>
      <c r="EA715" s="424">
        <f t="shared" si="1764"/>
        <v>0</v>
      </c>
      <c r="EB715" s="424">
        <f t="shared" si="1764"/>
        <v>0</v>
      </c>
      <c r="EC715" s="424">
        <f t="shared" si="1764"/>
        <v>0</v>
      </c>
      <c r="ED715" s="424">
        <f t="shared" si="1764"/>
        <v>0</v>
      </c>
      <c r="EE715" s="424">
        <f t="shared" si="1764"/>
        <v>0</v>
      </c>
      <c r="EF715" s="424">
        <f t="shared" si="1764"/>
        <v>0</v>
      </c>
      <c r="EG715" s="424">
        <f t="shared" si="1764"/>
        <v>0</v>
      </c>
      <c r="EH715" s="424">
        <f t="shared" ref="EH715:EX715" si="1765">EH345*EH$372</f>
        <v>2.99</v>
      </c>
      <c r="EI715" s="424">
        <f t="shared" si="1765"/>
        <v>0</v>
      </c>
      <c r="EJ715" s="424">
        <f t="shared" si="1765"/>
        <v>0</v>
      </c>
      <c r="EK715" s="424">
        <f t="shared" si="1765"/>
        <v>0</v>
      </c>
      <c r="EL715" s="424">
        <f t="shared" si="1765"/>
        <v>0</v>
      </c>
      <c r="EM715" s="424">
        <f t="shared" si="1765"/>
        <v>0</v>
      </c>
      <c r="EN715" s="424">
        <f t="shared" si="1765"/>
        <v>0</v>
      </c>
      <c r="EO715" s="424">
        <f t="shared" si="1765"/>
        <v>0</v>
      </c>
      <c r="EP715" s="424">
        <f t="shared" si="1765"/>
        <v>0</v>
      </c>
      <c r="EQ715" s="424">
        <f t="shared" si="1765"/>
        <v>0</v>
      </c>
      <c r="ER715" s="424">
        <f t="shared" si="1765"/>
        <v>0</v>
      </c>
      <c r="ES715" s="424">
        <f t="shared" si="1765"/>
        <v>0</v>
      </c>
      <c r="ET715" s="424">
        <f t="shared" si="1765"/>
        <v>0</v>
      </c>
      <c r="EU715" s="424">
        <f t="shared" si="1765"/>
        <v>0</v>
      </c>
      <c r="EV715" s="424">
        <f t="shared" si="1765"/>
        <v>0</v>
      </c>
      <c r="EW715" s="424">
        <f t="shared" si="1765"/>
        <v>0</v>
      </c>
      <c r="EX715" s="424">
        <f t="shared" si="1765"/>
        <v>0</v>
      </c>
      <c r="EY715" s="425">
        <f t="shared" si="1420"/>
        <v>2.99</v>
      </c>
      <c r="EZ715" s="616"/>
      <c r="FA715" s="616"/>
      <c r="FB715" s="616"/>
      <c r="FC715" s="616"/>
      <c r="FD715" s="616"/>
      <c r="FE715" s="616"/>
      <c r="FF715" s="616"/>
      <c r="FG715" s="616"/>
      <c r="FH715" s="616"/>
      <c r="FI715" s="616"/>
      <c r="FJ715" s="616"/>
    </row>
    <row r="716" spans="1:166" s="545" customFormat="1" ht="14.7" customHeight="1" x14ac:dyDescent="0.25">
      <c r="A716" s="310">
        <v>342</v>
      </c>
      <c r="B716" s="311" t="str">
        <f t="shared" si="1657"/>
        <v>Сок натуральный виноградный (в банках 3 л)</v>
      </c>
      <c r="C716" s="483">
        <f t="shared" si="1750"/>
        <v>5.2</v>
      </c>
      <c r="D716" s="888"/>
      <c r="E716" s="888"/>
      <c r="F716" s="888"/>
      <c r="G716" s="889"/>
      <c r="H716" s="680" t="str">
        <f t="shared" si="1664"/>
        <v>ПРОМ</v>
      </c>
      <c r="I716" s="1209">
        <f t="shared" si="1658"/>
        <v>0</v>
      </c>
      <c r="J716" s="424">
        <f t="shared" ref="J716:AO716" si="1766">J346*J$372</f>
        <v>0</v>
      </c>
      <c r="K716" s="424">
        <f t="shared" si="1766"/>
        <v>0</v>
      </c>
      <c r="L716" s="424">
        <f t="shared" si="1766"/>
        <v>0</v>
      </c>
      <c r="M716" s="424">
        <f t="shared" si="1766"/>
        <v>0</v>
      </c>
      <c r="N716" s="424">
        <f t="shared" si="1766"/>
        <v>0</v>
      </c>
      <c r="O716" s="424">
        <f t="shared" si="1766"/>
        <v>0</v>
      </c>
      <c r="P716" s="424">
        <f t="shared" si="1766"/>
        <v>0</v>
      </c>
      <c r="Q716" s="424">
        <f t="shared" si="1766"/>
        <v>0</v>
      </c>
      <c r="R716" s="424">
        <f t="shared" si="1766"/>
        <v>0</v>
      </c>
      <c r="S716" s="424">
        <f t="shared" si="1766"/>
        <v>0</v>
      </c>
      <c r="T716" s="424">
        <f t="shared" si="1766"/>
        <v>0</v>
      </c>
      <c r="U716" s="424">
        <f t="shared" si="1766"/>
        <v>0</v>
      </c>
      <c r="V716" s="424">
        <f t="shared" si="1766"/>
        <v>0</v>
      </c>
      <c r="W716" s="424">
        <f t="shared" si="1766"/>
        <v>0</v>
      </c>
      <c r="X716" s="424">
        <f t="shared" si="1766"/>
        <v>0</v>
      </c>
      <c r="Y716" s="424">
        <f t="shared" si="1766"/>
        <v>0</v>
      </c>
      <c r="Z716" s="424">
        <f t="shared" si="1766"/>
        <v>0</v>
      </c>
      <c r="AA716" s="424">
        <f t="shared" si="1766"/>
        <v>0</v>
      </c>
      <c r="AB716" s="424">
        <f t="shared" si="1766"/>
        <v>0</v>
      </c>
      <c r="AC716" s="424">
        <f t="shared" si="1766"/>
        <v>0</v>
      </c>
      <c r="AD716" s="424">
        <f t="shared" si="1766"/>
        <v>0</v>
      </c>
      <c r="AE716" s="424">
        <f t="shared" si="1766"/>
        <v>0</v>
      </c>
      <c r="AF716" s="424">
        <f t="shared" si="1766"/>
        <v>0</v>
      </c>
      <c r="AG716" s="424">
        <f t="shared" si="1766"/>
        <v>0</v>
      </c>
      <c r="AH716" s="424">
        <f t="shared" si="1766"/>
        <v>0</v>
      </c>
      <c r="AI716" s="424">
        <f t="shared" si="1766"/>
        <v>0</v>
      </c>
      <c r="AJ716" s="424">
        <f t="shared" si="1766"/>
        <v>0</v>
      </c>
      <c r="AK716" s="424">
        <f t="shared" si="1766"/>
        <v>0</v>
      </c>
      <c r="AL716" s="424">
        <f t="shared" si="1766"/>
        <v>0</v>
      </c>
      <c r="AM716" s="424">
        <f t="shared" si="1766"/>
        <v>0</v>
      </c>
      <c r="AN716" s="424">
        <f t="shared" si="1766"/>
        <v>0</v>
      </c>
      <c r="AO716" s="424">
        <f t="shared" si="1766"/>
        <v>0</v>
      </c>
      <c r="AP716" s="424">
        <f t="shared" ref="AP716:BU716" si="1767">AP346*AP$372</f>
        <v>0</v>
      </c>
      <c r="AQ716" s="424">
        <f t="shared" si="1767"/>
        <v>0</v>
      </c>
      <c r="AR716" s="424">
        <f t="shared" si="1767"/>
        <v>0</v>
      </c>
      <c r="AS716" s="424">
        <f t="shared" si="1767"/>
        <v>0</v>
      </c>
      <c r="AT716" s="424">
        <f t="shared" si="1767"/>
        <v>0</v>
      </c>
      <c r="AU716" s="424">
        <f t="shared" si="1767"/>
        <v>0</v>
      </c>
      <c r="AV716" s="424">
        <f t="shared" si="1767"/>
        <v>0</v>
      </c>
      <c r="AW716" s="424">
        <f t="shared" si="1767"/>
        <v>0</v>
      </c>
      <c r="AX716" s="424">
        <f t="shared" si="1767"/>
        <v>0</v>
      </c>
      <c r="AY716" s="424">
        <f t="shared" si="1767"/>
        <v>0</v>
      </c>
      <c r="AZ716" s="424">
        <f t="shared" si="1767"/>
        <v>0</v>
      </c>
      <c r="BA716" s="424">
        <f t="shared" si="1767"/>
        <v>0</v>
      </c>
      <c r="BB716" s="424">
        <f t="shared" si="1767"/>
        <v>0</v>
      </c>
      <c r="BC716" s="424">
        <f t="shared" si="1767"/>
        <v>0</v>
      </c>
      <c r="BD716" s="424">
        <f t="shared" si="1767"/>
        <v>0</v>
      </c>
      <c r="BE716" s="424">
        <f t="shared" si="1767"/>
        <v>0</v>
      </c>
      <c r="BF716" s="424">
        <f t="shared" si="1767"/>
        <v>0</v>
      </c>
      <c r="BG716" s="424">
        <f t="shared" si="1767"/>
        <v>0</v>
      </c>
      <c r="BH716" s="424">
        <f t="shared" si="1767"/>
        <v>0</v>
      </c>
      <c r="BI716" s="424">
        <f t="shared" si="1767"/>
        <v>0</v>
      </c>
      <c r="BJ716" s="424">
        <f t="shared" si="1767"/>
        <v>0</v>
      </c>
      <c r="BK716" s="424">
        <f t="shared" si="1767"/>
        <v>0</v>
      </c>
      <c r="BL716" s="424">
        <f t="shared" si="1767"/>
        <v>0</v>
      </c>
      <c r="BM716" s="424">
        <f t="shared" si="1767"/>
        <v>0</v>
      </c>
      <c r="BN716" s="424">
        <f t="shared" si="1767"/>
        <v>0</v>
      </c>
      <c r="BO716" s="424">
        <f t="shared" si="1767"/>
        <v>0</v>
      </c>
      <c r="BP716" s="424">
        <f t="shared" si="1767"/>
        <v>0</v>
      </c>
      <c r="BQ716" s="424">
        <f t="shared" si="1767"/>
        <v>0</v>
      </c>
      <c r="BR716" s="424">
        <f t="shared" si="1767"/>
        <v>0</v>
      </c>
      <c r="BS716" s="424">
        <f t="shared" si="1767"/>
        <v>0</v>
      </c>
      <c r="BT716" s="424">
        <f t="shared" si="1767"/>
        <v>0</v>
      </c>
      <c r="BU716" s="424">
        <f t="shared" si="1767"/>
        <v>0</v>
      </c>
      <c r="BV716" s="424">
        <f t="shared" ref="BV716:DA716" si="1768">BV346*BV$372</f>
        <v>0</v>
      </c>
      <c r="BW716" s="424">
        <f t="shared" si="1768"/>
        <v>0</v>
      </c>
      <c r="BX716" s="424">
        <f t="shared" si="1768"/>
        <v>0</v>
      </c>
      <c r="BY716" s="424">
        <f t="shared" si="1768"/>
        <v>0</v>
      </c>
      <c r="BZ716" s="424">
        <f t="shared" si="1768"/>
        <v>0</v>
      </c>
      <c r="CA716" s="424">
        <f t="shared" si="1768"/>
        <v>0</v>
      </c>
      <c r="CB716" s="424">
        <f t="shared" si="1768"/>
        <v>0</v>
      </c>
      <c r="CC716" s="424">
        <f t="shared" si="1768"/>
        <v>0</v>
      </c>
      <c r="CD716" s="424">
        <f t="shared" si="1768"/>
        <v>0</v>
      </c>
      <c r="CE716" s="424">
        <f t="shared" si="1768"/>
        <v>0</v>
      </c>
      <c r="CF716" s="424">
        <f t="shared" si="1768"/>
        <v>0</v>
      </c>
      <c r="CG716" s="424">
        <f t="shared" si="1768"/>
        <v>0</v>
      </c>
      <c r="CH716" s="424">
        <f t="shared" si="1768"/>
        <v>0</v>
      </c>
      <c r="CI716" s="424">
        <f t="shared" si="1768"/>
        <v>0</v>
      </c>
      <c r="CJ716" s="424">
        <f t="shared" si="1768"/>
        <v>0</v>
      </c>
      <c r="CK716" s="424">
        <f t="shared" si="1768"/>
        <v>0</v>
      </c>
      <c r="CL716" s="424">
        <f t="shared" si="1768"/>
        <v>0</v>
      </c>
      <c r="CM716" s="424">
        <f t="shared" si="1768"/>
        <v>0</v>
      </c>
      <c r="CN716" s="424">
        <f t="shared" si="1768"/>
        <v>0</v>
      </c>
      <c r="CO716" s="424">
        <f t="shared" si="1768"/>
        <v>0</v>
      </c>
      <c r="CP716" s="424">
        <f t="shared" si="1768"/>
        <v>0</v>
      </c>
      <c r="CQ716" s="424">
        <f t="shared" si="1768"/>
        <v>0</v>
      </c>
      <c r="CR716" s="424">
        <f t="shared" si="1768"/>
        <v>0</v>
      </c>
      <c r="CS716" s="424">
        <f t="shared" si="1768"/>
        <v>0</v>
      </c>
      <c r="CT716" s="424">
        <f t="shared" si="1768"/>
        <v>0</v>
      </c>
      <c r="CU716" s="424">
        <f t="shared" si="1768"/>
        <v>0</v>
      </c>
      <c r="CV716" s="424">
        <f t="shared" si="1768"/>
        <v>0</v>
      </c>
      <c r="CW716" s="424">
        <f t="shared" si="1768"/>
        <v>0</v>
      </c>
      <c r="CX716" s="424">
        <f t="shared" si="1768"/>
        <v>0</v>
      </c>
      <c r="CY716" s="424">
        <f t="shared" si="1768"/>
        <v>0</v>
      </c>
      <c r="CZ716" s="424">
        <f t="shared" si="1768"/>
        <v>0</v>
      </c>
      <c r="DA716" s="424">
        <f t="shared" si="1768"/>
        <v>0</v>
      </c>
      <c r="DB716" s="424">
        <f t="shared" ref="DB716:EG716" si="1769">DB346*DB$372</f>
        <v>0</v>
      </c>
      <c r="DC716" s="424">
        <f t="shared" si="1769"/>
        <v>0</v>
      </c>
      <c r="DD716" s="424">
        <f t="shared" si="1769"/>
        <v>0</v>
      </c>
      <c r="DE716" s="424">
        <f t="shared" si="1769"/>
        <v>0</v>
      </c>
      <c r="DF716" s="424">
        <f t="shared" si="1769"/>
        <v>0</v>
      </c>
      <c r="DG716" s="424">
        <f t="shared" si="1769"/>
        <v>0</v>
      </c>
      <c r="DH716" s="424">
        <f t="shared" si="1769"/>
        <v>0</v>
      </c>
      <c r="DI716" s="424">
        <f t="shared" si="1769"/>
        <v>0</v>
      </c>
      <c r="DJ716" s="424">
        <f t="shared" si="1769"/>
        <v>0</v>
      </c>
      <c r="DK716" s="424">
        <f t="shared" si="1769"/>
        <v>0</v>
      </c>
      <c r="DL716" s="424">
        <f t="shared" si="1769"/>
        <v>0</v>
      </c>
      <c r="DM716" s="424">
        <f t="shared" si="1769"/>
        <v>0</v>
      </c>
      <c r="DN716" s="424">
        <f t="shared" si="1769"/>
        <v>0</v>
      </c>
      <c r="DO716" s="424">
        <f t="shared" si="1769"/>
        <v>0</v>
      </c>
      <c r="DP716" s="424">
        <f t="shared" si="1769"/>
        <v>0</v>
      </c>
      <c r="DQ716" s="424">
        <f t="shared" si="1769"/>
        <v>0</v>
      </c>
      <c r="DR716" s="424">
        <f t="shared" si="1769"/>
        <v>0</v>
      </c>
      <c r="DS716" s="424">
        <f t="shared" si="1769"/>
        <v>0</v>
      </c>
      <c r="DT716" s="424">
        <f t="shared" si="1769"/>
        <v>0</v>
      </c>
      <c r="DU716" s="424">
        <f t="shared" si="1769"/>
        <v>0</v>
      </c>
      <c r="DV716" s="424">
        <f t="shared" si="1769"/>
        <v>0</v>
      </c>
      <c r="DW716" s="424">
        <f t="shared" si="1769"/>
        <v>0</v>
      </c>
      <c r="DX716" s="424">
        <f t="shared" si="1769"/>
        <v>0</v>
      </c>
      <c r="DY716" s="424">
        <f t="shared" si="1769"/>
        <v>0</v>
      </c>
      <c r="DZ716" s="424">
        <f t="shared" si="1769"/>
        <v>0</v>
      </c>
      <c r="EA716" s="424">
        <f t="shared" si="1769"/>
        <v>0</v>
      </c>
      <c r="EB716" s="424">
        <f t="shared" si="1769"/>
        <v>0</v>
      </c>
      <c r="EC716" s="424">
        <f t="shared" si="1769"/>
        <v>0</v>
      </c>
      <c r="ED716" s="424">
        <f t="shared" si="1769"/>
        <v>0</v>
      </c>
      <c r="EE716" s="424">
        <f t="shared" si="1769"/>
        <v>0</v>
      </c>
      <c r="EF716" s="424">
        <f t="shared" si="1769"/>
        <v>0</v>
      </c>
      <c r="EG716" s="424">
        <f t="shared" si="1769"/>
        <v>0</v>
      </c>
      <c r="EH716" s="424">
        <f t="shared" ref="EH716:EX716" si="1770">EH346*EH$372</f>
        <v>0</v>
      </c>
      <c r="EI716" s="424">
        <f t="shared" si="1770"/>
        <v>0</v>
      </c>
      <c r="EJ716" s="424">
        <f t="shared" si="1770"/>
        <v>5.2</v>
      </c>
      <c r="EK716" s="424">
        <f t="shared" si="1770"/>
        <v>0</v>
      </c>
      <c r="EL716" s="424">
        <f t="shared" si="1770"/>
        <v>0</v>
      </c>
      <c r="EM716" s="424">
        <f t="shared" si="1770"/>
        <v>0</v>
      </c>
      <c r="EN716" s="424">
        <f t="shared" si="1770"/>
        <v>0</v>
      </c>
      <c r="EO716" s="424">
        <f t="shared" si="1770"/>
        <v>0</v>
      </c>
      <c r="EP716" s="424">
        <f t="shared" si="1770"/>
        <v>0</v>
      </c>
      <c r="EQ716" s="424">
        <f t="shared" si="1770"/>
        <v>0</v>
      </c>
      <c r="ER716" s="424">
        <f t="shared" si="1770"/>
        <v>0</v>
      </c>
      <c r="ES716" s="424">
        <f t="shared" si="1770"/>
        <v>0</v>
      </c>
      <c r="ET716" s="424">
        <f t="shared" si="1770"/>
        <v>0</v>
      </c>
      <c r="EU716" s="424">
        <f t="shared" si="1770"/>
        <v>0</v>
      </c>
      <c r="EV716" s="424">
        <f t="shared" si="1770"/>
        <v>0</v>
      </c>
      <c r="EW716" s="424">
        <f t="shared" si="1770"/>
        <v>0</v>
      </c>
      <c r="EX716" s="424">
        <f t="shared" si="1770"/>
        <v>0</v>
      </c>
      <c r="EY716" s="425">
        <f t="shared" si="1420"/>
        <v>5.2</v>
      </c>
      <c r="EZ716" s="616"/>
      <c r="FA716" s="616"/>
      <c r="FB716" s="616"/>
      <c r="FC716" s="616"/>
      <c r="FD716" s="616"/>
      <c r="FE716" s="616"/>
      <c r="FF716" s="616"/>
      <c r="FG716" s="616"/>
      <c r="FH716" s="616"/>
      <c r="FI716" s="616"/>
      <c r="FJ716" s="616"/>
    </row>
    <row r="717" spans="1:166" s="545" customFormat="1" ht="14.7" customHeight="1" x14ac:dyDescent="0.25">
      <c r="A717" s="310">
        <v>343</v>
      </c>
      <c r="B717" s="311" t="str">
        <f t="shared" si="1657"/>
        <v>Курага</v>
      </c>
      <c r="C717" s="483">
        <f t="shared" si="1750"/>
        <v>7.5</v>
      </c>
      <c r="D717" s="888"/>
      <c r="E717" s="888"/>
      <c r="F717" s="888"/>
      <c r="G717" s="889"/>
      <c r="H717" s="680" t="str">
        <f t="shared" si="1664"/>
        <v>ПРОМ</v>
      </c>
      <c r="I717" s="1209">
        <f t="shared" si="1658"/>
        <v>0</v>
      </c>
      <c r="J717" s="424">
        <f t="shared" ref="J717:AO717" si="1771">J347*J$372</f>
        <v>0</v>
      </c>
      <c r="K717" s="424">
        <f t="shared" si="1771"/>
        <v>0</v>
      </c>
      <c r="L717" s="424">
        <f t="shared" si="1771"/>
        <v>0</v>
      </c>
      <c r="M717" s="424">
        <f t="shared" si="1771"/>
        <v>0</v>
      </c>
      <c r="N717" s="424">
        <f t="shared" si="1771"/>
        <v>0</v>
      </c>
      <c r="O717" s="424">
        <f t="shared" si="1771"/>
        <v>0</v>
      </c>
      <c r="P717" s="424">
        <f t="shared" si="1771"/>
        <v>0</v>
      </c>
      <c r="Q717" s="424">
        <f t="shared" si="1771"/>
        <v>0</v>
      </c>
      <c r="R717" s="424">
        <f t="shared" si="1771"/>
        <v>0</v>
      </c>
      <c r="S717" s="424">
        <f t="shared" si="1771"/>
        <v>0</v>
      </c>
      <c r="T717" s="424">
        <f t="shared" si="1771"/>
        <v>0</v>
      </c>
      <c r="U717" s="424">
        <f t="shared" si="1771"/>
        <v>0</v>
      </c>
      <c r="V717" s="424">
        <f t="shared" si="1771"/>
        <v>0</v>
      </c>
      <c r="W717" s="424">
        <f t="shared" si="1771"/>
        <v>0</v>
      </c>
      <c r="X717" s="424">
        <f t="shared" si="1771"/>
        <v>0</v>
      </c>
      <c r="Y717" s="424">
        <f t="shared" si="1771"/>
        <v>0</v>
      </c>
      <c r="Z717" s="424">
        <f t="shared" si="1771"/>
        <v>0</v>
      </c>
      <c r="AA717" s="424">
        <f t="shared" si="1771"/>
        <v>0</v>
      </c>
      <c r="AB717" s="424">
        <f t="shared" si="1771"/>
        <v>0</v>
      </c>
      <c r="AC717" s="424">
        <f t="shared" si="1771"/>
        <v>0</v>
      </c>
      <c r="AD717" s="424">
        <f t="shared" si="1771"/>
        <v>0</v>
      </c>
      <c r="AE717" s="424">
        <f t="shared" si="1771"/>
        <v>0</v>
      </c>
      <c r="AF717" s="424">
        <f t="shared" si="1771"/>
        <v>0</v>
      </c>
      <c r="AG717" s="424">
        <f t="shared" si="1771"/>
        <v>0</v>
      </c>
      <c r="AH717" s="424">
        <f t="shared" si="1771"/>
        <v>0</v>
      </c>
      <c r="AI717" s="424">
        <f t="shared" si="1771"/>
        <v>0</v>
      </c>
      <c r="AJ717" s="424">
        <f t="shared" si="1771"/>
        <v>0</v>
      </c>
      <c r="AK717" s="424">
        <f t="shared" si="1771"/>
        <v>0</v>
      </c>
      <c r="AL717" s="424">
        <f t="shared" si="1771"/>
        <v>0</v>
      </c>
      <c r="AM717" s="424">
        <f t="shared" si="1771"/>
        <v>0</v>
      </c>
      <c r="AN717" s="424">
        <f t="shared" si="1771"/>
        <v>0</v>
      </c>
      <c r="AO717" s="424">
        <f t="shared" si="1771"/>
        <v>0</v>
      </c>
      <c r="AP717" s="424">
        <f t="shared" ref="AP717:BU717" si="1772">AP347*AP$372</f>
        <v>0</v>
      </c>
      <c r="AQ717" s="424">
        <f t="shared" si="1772"/>
        <v>0</v>
      </c>
      <c r="AR717" s="424">
        <f t="shared" si="1772"/>
        <v>0</v>
      </c>
      <c r="AS717" s="424">
        <f t="shared" si="1772"/>
        <v>0</v>
      </c>
      <c r="AT717" s="424">
        <f t="shared" si="1772"/>
        <v>0</v>
      </c>
      <c r="AU717" s="424">
        <f t="shared" si="1772"/>
        <v>0</v>
      </c>
      <c r="AV717" s="424">
        <f t="shared" si="1772"/>
        <v>0</v>
      </c>
      <c r="AW717" s="424">
        <f t="shared" si="1772"/>
        <v>0</v>
      </c>
      <c r="AX717" s="424">
        <f t="shared" si="1772"/>
        <v>0</v>
      </c>
      <c r="AY717" s="424">
        <f t="shared" si="1772"/>
        <v>0</v>
      </c>
      <c r="AZ717" s="424">
        <f t="shared" si="1772"/>
        <v>0</v>
      </c>
      <c r="BA717" s="424">
        <f t="shared" si="1772"/>
        <v>0</v>
      </c>
      <c r="BB717" s="424">
        <f t="shared" si="1772"/>
        <v>0</v>
      </c>
      <c r="BC717" s="424">
        <f t="shared" si="1772"/>
        <v>0</v>
      </c>
      <c r="BD717" s="424">
        <f t="shared" si="1772"/>
        <v>0</v>
      </c>
      <c r="BE717" s="424">
        <f t="shared" si="1772"/>
        <v>0</v>
      </c>
      <c r="BF717" s="424">
        <f t="shared" si="1772"/>
        <v>0</v>
      </c>
      <c r="BG717" s="424">
        <f t="shared" si="1772"/>
        <v>0</v>
      </c>
      <c r="BH717" s="424">
        <f t="shared" si="1772"/>
        <v>0</v>
      </c>
      <c r="BI717" s="424">
        <f t="shared" si="1772"/>
        <v>0</v>
      </c>
      <c r="BJ717" s="424">
        <f t="shared" si="1772"/>
        <v>0</v>
      </c>
      <c r="BK717" s="424">
        <f t="shared" si="1772"/>
        <v>0</v>
      </c>
      <c r="BL717" s="424">
        <f t="shared" si="1772"/>
        <v>0</v>
      </c>
      <c r="BM717" s="424">
        <f t="shared" si="1772"/>
        <v>0</v>
      </c>
      <c r="BN717" s="424">
        <f t="shared" si="1772"/>
        <v>0</v>
      </c>
      <c r="BO717" s="424">
        <f t="shared" si="1772"/>
        <v>0</v>
      </c>
      <c r="BP717" s="424">
        <f t="shared" si="1772"/>
        <v>0</v>
      </c>
      <c r="BQ717" s="424">
        <f t="shared" si="1772"/>
        <v>0</v>
      </c>
      <c r="BR717" s="424">
        <f t="shared" si="1772"/>
        <v>0</v>
      </c>
      <c r="BS717" s="424">
        <f t="shared" si="1772"/>
        <v>0</v>
      </c>
      <c r="BT717" s="424">
        <f t="shared" si="1772"/>
        <v>0</v>
      </c>
      <c r="BU717" s="424">
        <f t="shared" si="1772"/>
        <v>0</v>
      </c>
      <c r="BV717" s="424">
        <f t="shared" ref="BV717:DA717" si="1773">BV347*BV$372</f>
        <v>0</v>
      </c>
      <c r="BW717" s="424">
        <f t="shared" si="1773"/>
        <v>0</v>
      </c>
      <c r="BX717" s="424">
        <f t="shared" si="1773"/>
        <v>0</v>
      </c>
      <c r="BY717" s="424">
        <f t="shared" si="1773"/>
        <v>0</v>
      </c>
      <c r="BZ717" s="424">
        <f t="shared" si="1773"/>
        <v>0</v>
      </c>
      <c r="CA717" s="424">
        <f t="shared" si="1773"/>
        <v>0</v>
      </c>
      <c r="CB717" s="424">
        <f t="shared" si="1773"/>
        <v>0</v>
      </c>
      <c r="CC717" s="424">
        <f t="shared" si="1773"/>
        <v>0</v>
      </c>
      <c r="CD717" s="424">
        <f t="shared" si="1773"/>
        <v>0</v>
      </c>
      <c r="CE717" s="424">
        <f t="shared" si="1773"/>
        <v>0</v>
      </c>
      <c r="CF717" s="424">
        <f t="shared" si="1773"/>
        <v>0</v>
      </c>
      <c r="CG717" s="424">
        <f t="shared" si="1773"/>
        <v>0</v>
      </c>
      <c r="CH717" s="424">
        <f t="shared" si="1773"/>
        <v>0</v>
      </c>
      <c r="CI717" s="424">
        <f t="shared" si="1773"/>
        <v>0</v>
      </c>
      <c r="CJ717" s="424">
        <f t="shared" si="1773"/>
        <v>0</v>
      </c>
      <c r="CK717" s="424">
        <f t="shared" si="1773"/>
        <v>0</v>
      </c>
      <c r="CL717" s="424">
        <f t="shared" si="1773"/>
        <v>0</v>
      </c>
      <c r="CM717" s="424">
        <f t="shared" si="1773"/>
        <v>0</v>
      </c>
      <c r="CN717" s="424">
        <f t="shared" si="1773"/>
        <v>0</v>
      </c>
      <c r="CO717" s="424">
        <f t="shared" si="1773"/>
        <v>0</v>
      </c>
      <c r="CP717" s="424">
        <f t="shared" si="1773"/>
        <v>0</v>
      </c>
      <c r="CQ717" s="424">
        <f t="shared" si="1773"/>
        <v>0</v>
      </c>
      <c r="CR717" s="424">
        <f t="shared" si="1773"/>
        <v>0</v>
      </c>
      <c r="CS717" s="424">
        <f t="shared" si="1773"/>
        <v>0</v>
      </c>
      <c r="CT717" s="424">
        <f t="shared" si="1773"/>
        <v>0</v>
      </c>
      <c r="CU717" s="424">
        <f t="shared" si="1773"/>
        <v>0</v>
      </c>
      <c r="CV717" s="424">
        <f t="shared" si="1773"/>
        <v>0</v>
      </c>
      <c r="CW717" s="424">
        <f t="shared" si="1773"/>
        <v>0</v>
      </c>
      <c r="CX717" s="424">
        <f t="shared" si="1773"/>
        <v>0</v>
      </c>
      <c r="CY717" s="424">
        <f t="shared" si="1773"/>
        <v>0</v>
      </c>
      <c r="CZ717" s="424">
        <f t="shared" si="1773"/>
        <v>0</v>
      </c>
      <c r="DA717" s="424">
        <f t="shared" si="1773"/>
        <v>0</v>
      </c>
      <c r="DB717" s="424">
        <f t="shared" ref="DB717:EG717" si="1774">DB347*DB$372</f>
        <v>0</v>
      </c>
      <c r="DC717" s="424">
        <f t="shared" si="1774"/>
        <v>0</v>
      </c>
      <c r="DD717" s="424">
        <f t="shared" si="1774"/>
        <v>0</v>
      </c>
      <c r="DE717" s="424">
        <f t="shared" si="1774"/>
        <v>0</v>
      </c>
      <c r="DF717" s="424">
        <f t="shared" si="1774"/>
        <v>0</v>
      </c>
      <c r="DG717" s="424">
        <f t="shared" si="1774"/>
        <v>0</v>
      </c>
      <c r="DH717" s="424">
        <f t="shared" si="1774"/>
        <v>0</v>
      </c>
      <c r="DI717" s="424">
        <f t="shared" si="1774"/>
        <v>0</v>
      </c>
      <c r="DJ717" s="424">
        <f t="shared" si="1774"/>
        <v>0</v>
      </c>
      <c r="DK717" s="424">
        <f t="shared" si="1774"/>
        <v>0</v>
      </c>
      <c r="DL717" s="424">
        <f t="shared" si="1774"/>
        <v>0</v>
      </c>
      <c r="DM717" s="424">
        <f t="shared" si="1774"/>
        <v>0</v>
      </c>
      <c r="DN717" s="424">
        <f t="shared" si="1774"/>
        <v>0</v>
      </c>
      <c r="DO717" s="424">
        <f t="shared" si="1774"/>
        <v>7.5</v>
      </c>
      <c r="DP717" s="424">
        <f t="shared" si="1774"/>
        <v>0</v>
      </c>
      <c r="DQ717" s="424">
        <f t="shared" si="1774"/>
        <v>0</v>
      </c>
      <c r="DR717" s="424">
        <f t="shared" si="1774"/>
        <v>0</v>
      </c>
      <c r="DS717" s="424">
        <f t="shared" si="1774"/>
        <v>0</v>
      </c>
      <c r="DT717" s="424">
        <f t="shared" si="1774"/>
        <v>0</v>
      </c>
      <c r="DU717" s="424">
        <f t="shared" si="1774"/>
        <v>0</v>
      </c>
      <c r="DV717" s="424">
        <f t="shared" si="1774"/>
        <v>0</v>
      </c>
      <c r="DW717" s="424">
        <f t="shared" si="1774"/>
        <v>0</v>
      </c>
      <c r="DX717" s="424">
        <f t="shared" si="1774"/>
        <v>0</v>
      </c>
      <c r="DY717" s="424">
        <f t="shared" si="1774"/>
        <v>0</v>
      </c>
      <c r="DZ717" s="424">
        <f t="shared" si="1774"/>
        <v>0</v>
      </c>
      <c r="EA717" s="424">
        <f t="shared" si="1774"/>
        <v>0</v>
      </c>
      <c r="EB717" s="424">
        <f t="shared" si="1774"/>
        <v>0</v>
      </c>
      <c r="EC717" s="424">
        <f t="shared" si="1774"/>
        <v>0</v>
      </c>
      <c r="ED717" s="424">
        <f t="shared" si="1774"/>
        <v>0</v>
      </c>
      <c r="EE717" s="424">
        <f t="shared" si="1774"/>
        <v>0</v>
      </c>
      <c r="EF717" s="424">
        <f t="shared" si="1774"/>
        <v>0</v>
      </c>
      <c r="EG717" s="424">
        <f t="shared" si="1774"/>
        <v>0</v>
      </c>
      <c r="EH717" s="424">
        <f t="shared" ref="EH717:EX717" si="1775">EH347*EH$372</f>
        <v>0</v>
      </c>
      <c r="EI717" s="424">
        <f t="shared" si="1775"/>
        <v>0</v>
      </c>
      <c r="EJ717" s="424">
        <f t="shared" si="1775"/>
        <v>0</v>
      </c>
      <c r="EK717" s="424">
        <f t="shared" si="1775"/>
        <v>0</v>
      </c>
      <c r="EL717" s="424">
        <f t="shared" si="1775"/>
        <v>0</v>
      </c>
      <c r="EM717" s="424">
        <f t="shared" si="1775"/>
        <v>0</v>
      </c>
      <c r="EN717" s="424">
        <f t="shared" si="1775"/>
        <v>0</v>
      </c>
      <c r="EO717" s="424">
        <f t="shared" si="1775"/>
        <v>0</v>
      </c>
      <c r="EP717" s="424">
        <f t="shared" si="1775"/>
        <v>0</v>
      </c>
      <c r="EQ717" s="424">
        <f t="shared" si="1775"/>
        <v>0</v>
      </c>
      <c r="ER717" s="424">
        <f t="shared" si="1775"/>
        <v>0</v>
      </c>
      <c r="ES717" s="424">
        <f t="shared" si="1775"/>
        <v>0</v>
      </c>
      <c r="ET717" s="424">
        <f t="shared" si="1775"/>
        <v>0</v>
      </c>
      <c r="EU717" s="424">
        <f t="shared" si="1775"/>
        <v>0</v>
      </c>
      <c r="EV717" s="424">
        <f t="shared" si="1775"/>
        <v>0</v>
      </c>
      <c r="EW717" s="424">
        <f t="shared" si="1775"/>
        <v>0</v>
      </c>
      <c r="EX717" s="424">
        <f t="shared" si="1775"/>
        <v>0</v>
      </c>
      <c r="EY717" s="425">
        <f t="shared" ref="EY717:EY740" si="1776">SUM(J717:EX717)</f>
        <v>7.5</v>
      </c>
      <c r="EZ717" s="616"/>
      <c r="FA717" s="616"/>
      <c r="FB717" s="616"/>
      <c r="FC717" s="616"/>
      <c r="FD717" s="616"/>
      <c r="FE717" s="616"/>
      <c r="FF717" s="616"/>
      <c r="FG717" s="616"/>
      <c r="FH717" s="616"/>
      <c r="FI717" s="616"/>
      <c r="FJ717" s="616"/>
    </row>
    <row r="718" spans="1:166" s="545" customFormat="1" ht="14.7" customHeight="1" x14ac:dyDescent="0.25">
      <c r="A718" s="310">
        <v>344</v>
      </c>
      <c r="B718" s="311" t="str">
        <f t="shared" si="1657"/>
        <v>Финики</v>
      </c>
      <c r="C718" s="483">
        <f t="shared" si="1750"/>
        <v>7.5</v>
      </c>
      <c r="D718" s="888"/>
      <c r="E718" s="888"/>
      <c r="F718" s="888"/>
      <c r="G718" s="889"/>
      <c r="H718" s="680" t="str">
        <f t="shared" si="1664"/>
        <v>ПРОМ</v>
      </c>
      <c r="I718" s="1209">
        <f t="shared" si="1658"/>
        <v>0</v>
      </c>
      <c r="J718" s="424">
        <f t="shared" ref="J718:AO718" si="1777">J348*J$372</f>
        <v>0</v>
      </c>
      <c r="K718" s="424">
        <f t="shared" si="1777"/>
        <v>0</v>
      </c>
      <c r="L718" s="424">
        <f t="shared" si="1777"/>
        <v>0</v>
      </c>
      <c r="M718" s="424">
        <f t="shared" si="1777"/>
        <v>0</v>
      </c>
      <c r="N718" s="424">
        <f t="shared" si="1777"/>
        <v>0</v>
      </c>
      <c r="O718" s="424">
        <f t="shared" si="1777"/>
        <v>0</v>
      </c>
      <c r="P718" s="424">
        <f t="shared" si="1777"/>
        <v>0</v>
      </c>
      <c r="Q718" s="424">
        <f t="shared" si="1777"/>
        <v>0</v>
      </c>
      <c r="R718" s="424">
        <f t="shared" si="1777"/>
        <v>0</v>
      </c>
      <c r="S718" s="424">
        <f t="shared" si="1777"/>
        <v>0</v>
      </c>
      <c r="T718" s="424">
        <f t="shared" si="1777"/>
        <v>0</v>
      </c>
      <c r="U718" s="424">
        <f t="shared" si="1777"/>
        <v>0</v>
      </c>
      <c r="V718" s="424">
        <f t="shared" si="1777"/>
        <v>0</v>
      </c>
      <c r="W718" s="424">
        <f t="shared" si="1777"/>
        <v>0</v>
      </c>
      <c r="X718" s="424">
        <f t="shared" si="1777"/>
        <v>0</v>
      </c>
      <c r="Y718" s="424">
        <f t="shared" si="1777"/>
        <v>0</v>
      </c>
      <c r="Z718" s="424">
        <f t="shared" si="1777"/>
        <v>0</v>
      </c>
      <c r="AA718" s="424">
        <f t="shared" si="1777"/>
        <v>0</v>
      </c>
      <c r="AB718" s="424">
        <f t="shared" si="1777"/>
        <v>0</v>
      </c>
      <c r="AC718" s="424">
        <f t="shared" si="1777"/>
        <v>0</v>
      </c>
      <c r="AD718" s="424">
        <f t="shared" si="1777"/>
        <v>0</v>
      </c>
      <c r="AE718" s="424">
        <f t="shared" si="1777"/>
        <v>0</v>
      </c>
      <c r="AF718" s="424">
        <f t="shared" si="1777"/>
        <v>0</v>
      </c>
      <c r="AG718" s="424">
        <f t="shared" si="1777"/>
        <v>0</v>
      </c>
      <c r="AH718" s="424">
        <f t="shared" si="1777"/>
        <v>0</v>
      </c>
      <c r="AI718" s="424">
        <f t="shared" si="1777"/>
        <v>0</v>
      </c>
      <c r="AJ718" s="424">
        <f t="shared" si="1777"/>
        <v>0</v>
      </c>
      <c r="AK718" s="424">
        <f t="shared" si="1777"/>
        <v>0</v>
      </c>
      <c r="AL718" s="424">
        <f t="shared" si="1777"/>
        <v>0</v>
      </c>
      <c r="AM718" s="424">
        <f t="shared" si="1777"/>
        <v>0</v>
      </c>
      <c r="AN718" s="424">
        <f t="shared" si="1777"/>
        <v>0</v>
      </c>
      <c r="AO718" s="424">
        <f t="shared" si="1777"/>
        <v>0</v>
      </c>
      <c r="AP718" s="424">
        <f t="shared" ref="AP718:BU718" si="1778">AP348*AP$372</f>
        <v>0</v>
      </c>
      <c r="AQ718" s="424">
        <f t="shared" si="1778"/>
        <v>0</v>
      </c>
      <c r="AR718" s="424">
        <f t="shared" si="1778"/>
        <v>0</v>
      </c>
      <c r="AS718" s="424">
        <f t="shared" si="1778"/>
        <v>0</v>
      </c>
      <c r="AT718" s="424">
        <f t="shared" si="1778"/>
        <v>0</v>
      </c>
      <c r="AU718" s="424">
        <f t="shared" si="1778"/>
        <v>0</v>
      </c>
      <c r="AV718" s="424">
        <f t="shared" si="1778"/>
        <v>0</v>
      </c>
      <c r="AW718" s="424">
        <f t="shared" si="1778"/>
        <v>0</v>
      </c>
      <c r="AX718" s="424">
        <f t="shared" si="1778"/>
        <v>0</v>
      </c>
      <c r="AY718" s="424">
        <f t="shared" si="1778"/>
        <v>0</v>
      </c>
      <c r="AZ718" s="424">
        <f t="shared" si="1778"/>
        <v>0</v>
      </c>
      <c r="BA718" s="424">
        <f t="shared" si="1778"/>
        <v>0</v>
      </c>
      <c r="BB718" s="424">
        <f t="shared" si="1778"/>
        <v>0</v>
      </c>
      <c r="BC718" s="424">
        <f t="shared" si="1778"/>
        <v>0</v>
      </c>
      <c r="BD718" s="424">
        <f t="shared" si="1778"/>
        <v>0</v>
      </c>
      <c r="BE718" s="424">
        <f t="shared" si="1778"/>
        <v>0</v>
      </c>
      <c r="BF718" s="424">
        <f t="shared" si="1778"/>
        <v>0</v>
      </c>
      <c r="BG718" s="424">
        <f t="shared" si="1778"/>
        <v>0</v>
      </c>
      <c r="BH718" s="424">
        <f t="shared" si="1778"/>
        <v>0</v>
      </c>
      <c r="BI718" s="424">
        <f t="shared" si="1778"/>
        <v>0</v>
      </c>
      <c r="BJ718" s="424">
        <f t="shared" si="1778"/>
        <v>0</v>
      </c>
      <c r="BK718" s="424">
        <f t="shared" si="1778"/>
        <v>0</v>
      </c>
      <c r="BL718" s="424">
        <f t="shared" si="1778"/>
        <v>0</v>
      </c>
      <c r="BM718" s="424">
        <f t="shared" si="1778"/>
        <v>0</v>
      </c>
      <c r="BN718" s="424">
        <f t="shared" si="1778"/>
        <v>0</v>
      </c>
      <c r="BO718" s="424">
        <f t="shared" si="1778"/>
        <v>0</v>
      </c>
      <c r="BP718" s="424">
        <f t="shared" si="1778"/>
        <v>0</v>
      </c>
      <c r="BQ718" s="424">
        <f t="shared" si="1778"/>
        <v>0</v>
      </c>
      <c r="BR718" s="424">
        <f t="shared" si="1778"/>
        <v>0</v>
      </c>
      <c r="BS718" s="424">
        <f t="shared" si="1778"/>
        <v>0</v>
      </c>
      <c r="BT718" s="424">
        <f t="shared" si="1778"/>
        <v>0</v>
      </c>
      <c r="BU718" s="424">
        <f t="shared" si="1778"/>
        <v>0</v>
      </c>
      <c r="BV718" s="424">
        <f t="shared" ref="BV718:DA718" si="1779">BV348*BV$372</f>
        <v>0</v>
      </c>
      <c r="BW718" s="424">
        <f t="shared" si="1779"/>
        <v>0</v>
      </c>
      <c r="BX718" s="424">
        <f t="shared" si="1779"/>
        <v>0</v>
      </c>
      <c r="BY718" s="424">
        <f t="shared" si="1779"/>
        <v>0</v>
      </c>
      <c r="BZ718" s="424">
        <f t="shared" si="1779"/>
        <v>0</v>
      </c>
      <c r="CA718" s="424">
        <f t="shared" si="1779"/>
        <v>0</v>
      </c>
      <c r="CB718" s="424">
        <f t="shared" si="1779"/>
        <v>0</v>
      </c>
      <c r="CC718" s="424">
        <f t="shared" si="1779"/>
        <v>0</v>
      </c>
      <c r="CD718" s="424">
        <f t="shared" si="1779"/>
        <v>0</v>
      </c>
      <c r="CE718" s="424">
        <f t="shared" si="1779"/>
        <v>0</v>
      </c>
      <c r="CF718" s="424">
        <f t="shared" si="1779"/>
        <v>0</v>
      </c>
      <c r="CG718" s="424">
        <f t="shared" si="1779"/>
        <v>0</v>
      </c>
      <c r="CH718" s="424">
        <f t="shared" si="1779"/>
        <v>0</v>
      </c>
      <c r="CI718" s="424">
        <f t="shared" si="1779"/>
        <v>0</v>
      </c>
      <c r="CJ718" s="424">
        <f t="shared" si="1779"/>
        <v>0</v>
      </c>
      <c r="CK718" s="424">
        <f t="shared" si="1779"/>
        <v>0</v>
      </c>
      <c r="CL718" s="424">
        <f t="shared" si="1779"/>
        <v>0</v>
      </c>
      <c r="CM718" s="424">
        <f t="shared" si="1779"/>
        <v>0</v>
      </c>
      <c r="CN718" s="424">
        <f t="shared" si="1779"/>
        <v>0</v>
      </c>
      <c r="CO718" s="424">
        <f t="shared" si="1779"/>
        <v>0</v>
      </c>
      <c r="CP718" s="424">
        <f t="shared" si="1779"/>
        <v>0</v>
      </c>
      <c r="CQ718" s="424">
        <f t="shared" si="1779"/>
        <v>0</v>
      </c>
      <c r="CR718" s="424">
        <f t="shared" si="1779"/>
        <v>0</v>
      </c>
      <c r="CS718" s="424">
        <f t="shared" si="1779"/>
        <v>0</v>
      </c>
      <c r="CT718" s="424">
        <f t="shared" si="1779"/>
        <v>0</v>
      </c>
      <c r="CU718" s="424">
        <f t="shared" si="1779"/>
        <v>0</v>
      </c>
      <c r="CV718" s="424">
        <f t="shared" si="1779"/>
        <v>0</v>
      </c>
      <c r="CW718" s="424">
        <f t="shared" si="1779"/>
        <v>0</v>
      </c>
      <c r="CX718" s="424">
        <f t="shared" si="1779"/>
        <v>0</v>
      </c>
      <c r="CY718" s="424">
        <f t="shared" si="1779"/>
        <v>0</v>
      </c>
      <c r="CZ718" s="424">
        <f t="shared" si="1779"/>
        <v>0</v>
      </c>
      <c r="DA718" s="424">
        <f t="shared" si="1779"/>
        <v>0</v>
      </c>
      <c r="DB718" s="424">
        <f t="shared" ref="DB718:EG718" si="1780">DB348*DB$372</f>
        <v>0</v>
      </c>
      <c r="DC718" s="424">
        <f t="shared" si="1780"/>
        <v>0</v>
      </c>
      <c r="DD718" s="424">
        <f t="shared" si="1780"/>
        <v>0</v>
      </c>
      <c r="DE718" s="424">
        <f t="shared" si="1780"/>
        <v>0</v>
      </c>
      <c r="DF718" s="424">
        <f t="shared" si="1780"/>
        <v>0</v>
      </c>
      <c r="DG718" s="424">
        <f t="shared" si="1780"/>
        <v>0</v>
      </c>
      <c r="DH718" s="424">
        <f t="shared" si="1780"/>
        <v>0</v>
      </c>
      <c r="DI718" s="424">
        <f t="shared" si="1780"/>
        <v>0</v>
      </c>
      <c r="DJ718" s="424">
        <f t="shared" si="1780"/>
        <v>0</v>
      </c>
      <c r="DK718" s="424">
        <f t="shared" si="1780"/>
        <v>0</v>
      </c>
      <c r="DL718" s="424">
        <f t="shared" si="1780"/>
        <v>0</v>
      </c>
      <c r="DM718" s="424">
        <f t="shared" si="1780"/>
        <v>0</v>
      </c>
      <c r="DN718" s="424">
        <f t="shared" si="1780"/>
        <v>0</v>
      </c>
      <c r="DO718" s="424">
        <f t="shared" si="1780"/>
        <v>0</v>
      </c>
      <c r="DP718" s="424">
        <f t="shared" si="1780"/>
        <v>7.5</v>
      </c>
      <c r="DQ718" s="424">
        <f t="shared" si="1780"/>
        <v>0</v>
      </c>
      <c r="DR718" s="424">
        <f t="shared" si="1780"/>
        <v>0</v>
      </c>
      <c r="DS718" s="424">
        <f t="shared" si="1780"/>
        <v>0</v>
      </c>
      <c r="DT718" s="424">
        <f t="shared" si="1780"/>
        <v>0</v>
      </c>
      <c r="DU718" s="424">
        <f t="shared" si="1780"/>
        <v>0</v>
      </c>
      <c r="DV718" s="424">
        <f t="shared" si="1780"/>
        <v>0</v>
      </c>
      <c r="DW718" s="424">
        <f t="shared" si="1780"/>
        <v>0</v>
      </c>
      <c r="DX718" s="424">
        <f t="shared" si="1780"/>
        <v>0</v>
      </c>
      <c r="DY718" s="424">
        <f t="shared" si="1780"/>
        <v>0</v>
      </c>
      <c r="DZ718" s="424">
        <f t="shared" si="1780"/>
        <v>0</v>
      </c>
      <c r="EA718" s="424">
        <f t="shared" si="1780"/>
        <v>0</v>
      </c>
      <c r="EB718" s="424">
        <f t="shared" si="1780"/>
        <v>0</v>
      </c>
      <c r="EC718" s="424">
        <f t="shared" si="1780"/>
        <v>0</v>
      </c>
      <c r="ED718" s="424">
        <f t="shared" si="1780"/>
        <v>0</v>
      </c>
      <c r="EE718" s="424">
        <f t="shared" si="1780"/>
        <v>0</v>
      </c>
      <c r="EF718" s="424">
        <f t="shared" si="1780"/>
        <v>0</v>
      </c>
      <c r="EG718" s="424">
        <f t="shared" si="1780"/>
        <v>0</v>
      </c>
      <c r="EH718" s="424">
        <f t="shared" ref="EH718:EX718" si="1781">EH348*EH$372</f>
        <v>0</v>
      </c>
      <c r="EI718" s="424">
        <f t="shared" si="1781"/>
        <v>0</v>
      </c>
      <c r="EJ718" s="424">
        <f t="shared" si="1781"/>
        <v>0</v>
      </c>
      <c r="EK718" s="424">
        <f t="shared" si="1781"/>
        <v>0</v>
      </c>
      <c r="EL718" s="424">
        <f t="shared" si="1781"/>
        <v>0</v>
      </c>
      <c r="EM718" s="424">
        <f t="shared" si="1781"/>
        <v>0</v>
      </c>
      <c r="EN718" s="424">
        <f t="shared" si="1781"/>
        <v>0</v>
      </c>
      <c r="EO718" s="424">
        <f t="shared" si="1781"/>
        <v>0</v>
      </c>
      <c r="EP718" s="424">
        <f t="shared" si="1781"/>
        <v>0</v>
      </c>
      <c r="EQ718" s="424">
        <f t="shared" si="1781"/>
        <v>0</v>
      </c>
      <c r="ER718" s="424">
        <f t="shared" si="1781"/>
        <v>0</v>
      </c>
      <c r="ES718" s="424">
        <f t="shared" si="1781"/>
        <v>0</v>
      </c>
      <c r="ET718" s="424">
        <f t="shared" si="1781"/>
        <v>0</v>
      </c>
      <c r="EU718" s="424">
        <f t="shared" si="1781"/>
        <v>0</v>
      </c>
      <c r="EV718" s="424">
        <f t="shared" si="1781"/>
        <v>0</v>
      </c>
      <c r="EW718" s="424">
        <f t="shared" si="1781"/>
        <v>0</v>
      </c>
      <c r="EX718" s="424">
        <f t="shared" si="1781"/>
        <v>0</v>
      </c>
      <c r="EY718" s="425">
        <f t="shared" si="1776"/>
        <v>7.5</v>
      </c>
      <c r="EZ718" s="616"/>
      <c r="FA718" s="616"/>
      <c r="FB718" s="616"/>
      <c r="FC718" s="616"/>
      <c r="FD718" s="616"/>
      <c r="FE718" s="616"/>
      <c r="FF718" s="616"/>
      <c r="FG718" s="616"/>
      <c r="FH718" s="616"/>
      <c r="FI718" s="616"/>
      <c r="FJ718" s="616"/>
    </row>
    <row r="719" spans="1:166" s="545" customFormat="1" ht="14.7" customHeight="1" x14ac:dyDescent="0.25">
      <c r="A719" s="310">
        <v>345</v>
      </c>
      <c r="B719" s="311" t="str">
        <f t="shared" si="1657"/>
        <v>Орех грецкий</v>
      </c>
      <c r="C719" s="483">
        <f t="shared" si="1750"/>
        <v>5</v>
      </c>
      <c r="D719" s="888"/>
      <c r="E719" s="888"/>
      <c r="F719" s="888"/>
      <c r="G719" s="889"/>
      <c r="H719" s="680" t="str">
        <f t="shared" si="1664"/>
        <v>ПРОМ</v>
      </c>
      <c r="I719" s="1209">
        <f t="shared" si="1658"/>
        <v>0</v>
      </c>
      <c r="J719" s="424">
        <f t="shared" ref="J719:AO719" si="1782">J349*J$372</f>
        <v>0</v>
      </c>
      <c r="K719" s="424">
        <f t="shared" si="1782"/>
        <v>0</v>
      </c>
      <c r="L719" s="424">
        <f t="shared" si="1782"/>
        <v>0</v>
      </c>
      <c r="M719" s="424">
        <f t="shared" si="1782"/>
        <v>0</v>
      </c>
      <c r="N719" s="424">
        <f t="shared" si="1782"/>
        <v>0</v>
      </c>
      <c r="O719" s="424">
        <f t="shared" si="1782"/>
        <v>0</v>
      </c>
      <c r="P719" s="424">
        <f t="shared" si="1782"/>
        <v>0</v>
      </c>
      <c r="Q719" s="424">
        <f t="shared" si="1782"/>
        <v>0</v>
      </c>
      <c r="R719" s="424">
        <f t="shared" si="1782"/>
        <v>0</v>
      </c>
      <c r="S719" s="424">
        <f t="shared" si="1782"/>
        <v>0</v>
      </c>
      <c r="T719" s="424">
        <f t="shared" si="1782"/>
        <v>0</v>
      </c>
      <c r="U719" s="424">
        <f t="shared" si="1782"/>
        <v>0</v>
      </c>
      <c r="V719" s="424">
        <f t="shared" si="1782"/>
        <v>0</v>
      </c>
      <c r="W719" s="424">
        <f t="shared" si="1782"/>
        <v>0</v>
      </c>
      <c r="X719" s="424">
        <f t="shared" si="1782"/>
        <v>0</v>
      </c>
      <c r="Y719" s="424">
        <f t="shared" si="1782"/>
        <v>0</v>
      </c>
      <c r="Z719" s="424">
        <f t="shared" si="1782"/>
        <v>0</v>
      </c>
      <c r="AA719" s="424">
        <f t="shared" si="1782"/>
        <v>0</v>
      </c>
      <c r="AB719" s="424">
        <f t="shared" si="1782"/>
        <v>0</v>
      </c>
      <c r="AC719" s="424">
        <f t="shared" si="1782"/>
        <v>0</v>
      </c>
      <c r="AD719" s="424">
        <f t="shared" si="1782"/>
        <v>0</v>
      </c>
      <c r="AE719" s="424">
        <f t="shared" si="1782"/>
        <v>0</v>
      </c>
      <c r="AF719" s="424">
        <f t="shared" si="1782"/>
        <v>0</v>
      </c>
      <c r="AG719" s="424">
        <f t="shared" si="1782"/>
        <v>0</v>
      </c>
      <c r="AH719" s="424">
        <f t="shared" si="1782"/>
        <v>0</v>
      </c>
      <c r="AI719" s="424">
        <f t="shared" si="1782"/>
        <v>0</v>
      </c>
      <c r="AJ719" s="424">
        <f t="shared" si="1782"/>
        <v>0</v>
      </c>
      <c r="AK719" s="424">
        <f t="shared" si="1782"/>
        <v>0</v>
      </c>
      <c r="AL719" s="424">
        <f t="shared" si="1782"/>
        <v>0</v>
      </c>
      <c r="AM719" s="424">
        <f t="shared" si="1782"/>
        <v>0</v>
      </c>
      <c r="AN719" s="424">
        <f t="shared" si="1782"/>
        <v>0</v>
      </c>
      <c r="AO719" s="424">
        <f t="shared" si="1782"/>
        <v>0</v>
      </c>
      <c r="AP719" s="424">
        <f t="shared" ref="AP719:BU719" si="1783">AP349*AP$372</f>
        <v>0</v>
      </c>
      <c r="AQ719" s="424">
        <f t="shared" si="1783"/>
        <v>0</v>
      </c>
      <c r="AR719" s="424">
        <f t="shared" si="1783"/>
        <v>0</v>
      </c>
      <c r="AS719" s="424">
        <f t="shared" si="1783"/>
        <v>0</v>
      </c>
      <c r="AT719" s="424">
        <f t="shared" si="1783"/>
        <v>0</v>
      </c>
      <c r="AU719" s="424">
        <f t="shared" si="1783"/>
        <v>0</v>
      </c>
      <c r="AV719" s="424">
        <f t="shared" si="1783"/>
        <v>0</v>
      </c>
      <c r="AW719" s="424">
        <f t="shared" si="1783"/>
        <v>0</v>
      </c>
      <c r="AX719" s="424">
        <f t="shared" si="1783"/>
        <v>0</v>
      </c>
      <c r="AY719" s="424">
        <f t="shared" si="1783"/>
        <v>0</v>
      </c>
      <c r="AZ719" s="424">
        <f t="shared" si="1783"/>
        <v>0</v>
      </c>
      <c r="BA719" s="424">
        <f t="shared" si="1783"/>
        <v>0</v>
      </c>
      <c r="BB719" s="424">
        <f t="shared" si="1783"/>
        <v>0</v>
      </c>
      <c r="BC719" s="424">
        <f t="shared" si="1783"/>
        <v>0</v>
      </c>
      <c r="BD719" s="424">
        <f t="shared" si="1783"/>
        <v>0</v>
      </c>
      <c r="BE719" s="424">
        <f t="shared" si="1783"/>
        <v>0</v>
      </c>
      <c r="BF719" s="424">
        <f t="shared" si="1783"/>
        <v>0</v>
      </c>
      <c r="BG719" s="424">
        <f t="shared" si="1783"/>
        <v>0</v>
      </c>
      <c r="BH719" s="424">
        <f t="shared" si="1783"/>
        <v>0</v>
      </c>
      <c r="BI719" s="424">
        <f t="shared" si="1783"/>
        <v>0</v>
      </c>
      <c r="BJ719" s="424">
        <f t="shared" si="1783"/>
        <v>0</v>
      </c>
      <c r="BK719" s="424">
        <f t="shared" si="1783"/>
        <v>0</v>
      </c>
      <c r="BL719" s="424">
        <f t="shared" si="1783"/>
        <v>0</v>
      </c>
      <c r="BM719" s="424">
        <f t="shared" si="1783"/>
        <v>0</v>
      </c>
      <c r="BN719" s="424">
        <f t="shared" si="1783"/>
        <v>0</v>
      </c>
      <c r="BO719" s="424">
        <f t="shared" si="1783"/>
        <v>0</v>
      </c>
      <c r="BP719" s="424">
        <f t="shared" si="1783"/>
        <v>0</v>
      </c>
      <c r="BQ719" s="424">
        <f t="shared" si="1783"/>
        <v>0</v>
      </c>
      <c r="BR719" s="424">
        <f t="shared" si="1783"/>
        <v>0</v>
      </c>
      <c r="BS719" s="424">
        <f t="shared" si="1783"/>
        <v>0</v>
      </c>
      <c r="BT719" s="424">
        <f t="shared" si="1783"/>
        <v>0</v>
      </c>
      <c r="BU719" s="424">
        <f t="shared" si="1783"/>
        <v>0</v>
      </c>
      <c r="BV719" s="424">
        <f t="shared" ref="BV719:DA719" si="1784">BV349*BV$372</f>
        <v>0</v>
      </c>
      <c r="BW719" s="424">
        <f t="shared" si="1784"/>
        <v>0</v>
      </c>
      <c r="BX719" s="424">
        <f t="shared" si="1784"/>
        <v>0</v>
      </c>
      <c r="BY719" s="424">
        <f t="shared" si="1784"/>
        <v>0</v>
      </c>
      <c r="BZ719" s="424">
        <f t="shared" si="1784"/>
        <v>0</v>
      </c>
      <c r="CA719" s="424">
        <f t="shared" si="1784"/>
        <v>0</v>
      </c>
      <c r="CB719" s="424">
        <f t="shared" si="1784"/>
        <v>0</v>
      </c>
      <c r="CC719" s="424">
        <f t="shared" si="1784"/>
        <v>0</v>
      </c>
      <c r="CD719" s="424">
        <f t="shared" si="1784"/>
        <v>0</v>
      </c>
      <c r="CE719" s="424">
        <f t="shared" si="1784"/>
        <v>0</v>
      </c>
      <c r="CF719" s="424">
        <f t="shared" si="1784"/>
        <v>0</v>
      </c>
      <c r="CG719" s="424">
        <f t="shared" si="1784"/>
        <v>0</v>
      </c>
      <c r="CH719" s="424">
        <f t="shared" si="1784"/>
        <v>0</v>
      </c>
      <c r="CI719" s="424">
        <f t="shared" si="1784"/>
        <v>0</v>
      </c>
      <c r="CJ719" s="424">
        <f t="shared" si="1784"/>
        <v>0</v>
      </c>
      <c r="CK719" s="424">
        <f t="shared" si="1784"/>
        <v>0</v>
      </c>
      <c r="CL719" s="424">
        <f t="shared" si="1784"/>
        <v>0</v>
      </c>
      <c r="CM719" s="424">
        <f t="shared" si="1784"/>
        <v>0</v>
      </c>
      <c r="CN719" s="424">
        <f t="shared" si="1784"/>
        <v>0</v>
      </c>
      <c r="CO719" s="424">
        <f t="shared" si="1784"/>
        <v>0</v>
      </c>
      <c r="CP719" s="424">
        <f t="shared" si="1784"/>
        <v>0</v>
      </c>
      <c r="CQ719" s="424">
        <f t="shared" si="1784"/>
        <v>0</v>
      </c>
      <c r="CR719" s="424">
        <f t="shared" si="1784"/>
        <v>0</v>
      </c>
      <c r="CS719" s="424">
        <f t="shared" si="1784"/>
        <v>0</v>
      </c>
      <c r="CT719" s="424">
        <f t="shared" si="1784"/>
        <v>0</v>
      </c>
      <c r="CU719" s="424">
        <f t="shared" si="1784"/>
        <v>0</v>
      </c>
      <c r="CV719" s="424">
        <f t="shared" si="1784"/>
        <v>0</v>
      </c>
      <c r="CW719" s="424">
        <f t="shared" si="1784"/>
        <v>0</v>
      </c>
      <c r="CX719" s="424">
        <f t="shared" si="1784"/>
        <v>0</v>
      </c>
      <c r="CY719" s="424">
        <f t="shared" si="1784"/>
        <v>0</v>
      </c>
      <c r="CZ719" s="424">
        <f t="shared" si="1784"/>
        <v>0</v>
      </c>
      <c r="DA719" s="424">
        <f t="shared" si="1784"/>
        <v>0</v>
      </c>
      <c r="DB719" s="424">
        <f t="shared" ref="DB719:EG719" si="1785">DB349*DB$372</f>
        <v>0</v>
      </c>
      <c r="DC719" s="424">
        <f t="shared" si="1785"/>
        <v>0</v>
      </c>
      <c r="DD719" s="424">
        <f t="shared" si="1785"/>
        <v>0</v>
      </c>
      <c r="DE719" s="424">
        <f t="shared" si="1785"/>
        <v>0</v>
      </c>
      <c r="DF719" s="424">
        <f t="shared" si="1785"/>
        <v>0</v>
      </c>
      <c r="DG719" s="424">
        <f t="shared" si="1785"/>
        <v>0</v>
      </c>
      <c r="DH719" s="424">
        <f t="shared" si="1785"/>
        <v>0</v>
      </c>
      <c r="DI719" s="424">
        <f t="shared" si="1785"/>
        <v>0</v>
      </c>
      <c r="DJ719" s="424">
        <f t="shared" si="1785"/>
        <v>0</v>
      </c>
      <c r="DK719" s="424">
        <f t="shared" si="1785"/>
        <v>0</v>
      </c>
      <c r="DL719" s="424">
        <f t="shared" si="1785"/>
        <v>0</v>
      </c>
      <c r="DM719" s="424">
        <f t="shared" si="1785"/>
        <v>0</v>
      </c>
      <c r="DN719" s="424">
        <f t="shared" si="1785"/>
        <v>0</v>
      </c>
      <c r="DO719" s="424">
        <f t="shared" si="1785"/>
        <v>0</v>
      </c>
      <c r="DP719" s="424">
        <f t="shared" si="1785"/>
        <v>0</v>
      </c>
      <c r="DQ719" s="424">
        <f t="shared" si="1785"/>
        <v>5</v>
      </c>
      <c r="DR719" s="424">
        <f t="shared" si="1785"/>
        <v>0</v>
      </c>
      <c r="DS719" s="424">
        <f t="shared" si="1785"/>
        <v>0</v>
      </c>
      <c r="DT719" s="424">
        <f t="shared" si="1785"/>
        <v>0</v>
      </c>
      <c r="DU719" s="424">
        <f t="shared" si="1785"/>
        <v>0</v>
      </c>
      <c r="DV719" s="424">
        <f t="shared" si="1785"/>
        <v>0</v>
      </c>
      <c r="DW719" s="424">
        <f t="shared" si="1785"/>
        <v>0</v>
      </c>
      <c r="DX719" s="424">
        <f t="shared" si="1785"/>
        <v>0</v>
      </c>
      <c r="DY719" s="424">
        <f t="shared" si="1785"/>
        <v>0</v>
      </c>
      <c r="DZ719" s="424">
        <f t="shared" si="1785"/>
        <v>0</v>
      </c>
      <c r="EA719" s="424">
        <f t="shared" si="1785"/>
        <v>0</v>
      </c>
      <c r="EB719" s="424">
        <f t="shared" si="1785"/>
        <v>0</v>
      </c>
      <c r="EC719" s="424">
        <f t="shared" si="1785"/>
        <v>0</v>
      </c>
      <c r="ED719" s="424">
        <f t="shared" si="1785"/>
        <v>0</v>
      </c>
      <c r="EE719" s="424">
        <f t="shared" si="1785"/>
        <v>0</v>
      </c>
      <c r="EF719" s="424">
        <f t="shared" si="1785"/>
        <v>0</v>
      </c>
      <c r="EG719" s="424">
        <f t="shared" si="1785"/>
        <v>0</v>
      </c>
      <c r="EH719" s="424">
        <f t="shared" ref="EH719:EX719" si="1786">EH349*EH$372</f>
        <v>0</v>
      </c>
      <c r="EI719" s="424">
        <f t="shared" si="1786"/>
        <v>0</v>
      </c>
      <c r="EJ719" s="424">
        <f t="shared" si="1786"/>
        <v>0</v>
      </c>
      <c r="EK719" s="424">
        <f t="shared" si="1786"/>
        <v>0</v>
      </c>
      <c r="EL719" s="424">
        <f t="shared" si="1786"/>
        <v>0</v>
      </c>
      <c r="EM719" s="424">
        <f t="shared" si="1786"/>
        <v>0</v>
      </c>
      <c r="EN719" s="424">
        <f t="shared" si="1786"/>
        <v>0</v>
      </c>
      <c r="EO719" s="424">
        <f t="shared" si="1786"/>
        <v>0</v>
      </c>
      <c r="EP719" s="424">
        <f t="shared" si="1786"/>
        <v>0</v>
      </c>
      <c r="EQ719" s="424">
        <f t="shared" si="1786"/>
        <v>0</v>
      </c>
      <c r="ER719" s="424">
        <f t="shared" si="1786"/>
        <v>0</v>
      </c>
      <c r="ES719" s="424">
        <f t="shared" si="1786"/>
        <v>0</v>
      </c>
      <c r="ET719" s="424">
        <f t="shared" si="1786"/>
        <v>0</v>
      </c>
      <c r="EU719" s="424">
        <f t="shared" si="1786"/>
        <v>0</v>
      </c>
      <c r="EV719" s="424">
        <f t="shared" si="1786"/>
        <v>0</v>
      </c>
      <c r="EW719" s="424">
        <f t="shared" si="1786"/>
        <v>0</v>
      </c>
      <c r="EX719" s="424">
        <f t="shared" si="1786"/>
        <v>0</v>
      </c>
      <c r="EY719" s="425">
        <f t="shared" si="1776"/>
        <v>5</v>
      </c>
      <c r="EZ719" s="616"/>
      <c r="FA719" s="616"/>
      <c r="FB719" s="616"/>
      <c r="FC719" s="616"/>
      <c r="FD719" s="616"/>
      <c r="FE719" s="616"/>
      <c r="FF719" s="616"/>
      <c r="FG719" s="616"/>
      <c r="FH719" s="616"/>
      <c r="FI719" s="616"/>
      <c r="FJ719" s="616"/>
    </row>
    <row r="720" spans="1:166" s="407" customFormat="1" ht="14.7" customHeight="1" x14ac:dyDescent="0.25">
      <c r="A720" s="310">
        <v>346</v>
      </c>
      <c r="B720" s="311" t="str">
        <f t="shared" si="1657"/>
        <v>Печенье овсяное</v>
      </c>
      <c r="C720" s="483">
        <f t="shared" si="1750"/>
        <v>2.16</v>
      </c>
      <c r="D720" s="888"/>
      <c r="E720" s="888"/>
      <c r="F720" s="888"/>
      <c r="G720" s="889"/>
      <c r="H720" s="680" t="str">
        <f t="shared" si="1664"/>
        <v>ПРОМ</v>
      </c>
      <c r="I720" s="1209">
        <f t="shared" si="1658"/>
        <v>0</v>
      </c>
      <c r="J720" s="424">
        <f t="shared" ref="J720:AO720" si="1787">J350*J$372</f>
        <v>0</v>
      </c>
      <c r="K720" s="424">
        <f t="shared" si="1787"/>
        <v>0</v>
      </c>
      <c r="L720" s="424">
        <f t="shared" si="1787"/>
        <v>0</v>
      </c>
      <c r="M720" s="424">
        <f t="shared" si="1787"/>
        <v>0</v>
      </c>
      <c r="N720" s="424">
        <f t="shared" si="1787"/>
        <v>0</v>
      </c>
      <c r="O720" s="424">
        <f t="shared" si="1787"/>
        <v>0</v>
      </c>
      <c r="P720" s="424">
        <f t="shared" si="1787"/>
        <v>0</v>
      </c>
      <c r="Q720" s="424">
        <f t="shared" si="1787"/>
        <v>0</v>
      </c>
      <c r="R720" s="424">
        <f t="shared" si="1787"/>
        <v>0</v>
      </c>
      <c r="S720" s="424">
        <f t="shared" si="1787"/>
        <v>0</v>
      </c>
      <c r="T720" s="424">
        <f t="shared" si="1787"/>
        <v>0</v>
      </c>
      <c r="U720" s="424">
        <f t="shared" si="1787"/>
        <v>0</v>
      </c>
      <c r="V720" s="424">
        <f t="shared" si="1787"/>
        <v>0</v>
      </c>
      <c r="W720" s="424">
        <f t="shared" si="1787"/>
        <v>0</v>
      </c>
      <c r="X720" s="424">
        <f t="shared" si="1787"/>
        <v>0</v>
      </c>
      <c r="Y720" s="424">
        <f t="shared" si="1787"/>
        <v>0</v>
      </c>
      <c r="Z720" s="424">
        <f t="shared" si="1787"/>
        <v>0</v>
      </c>
      <c r="AA720" s="424">
        <f t="shared" si="1787"/>
        <v>0</v>
      </c>
      <c r="AB720" s="424">
        <f t="shared" si="1787"/>
        <v>0</v>
      </c>
      <c r="AC720" s="424">
        <f t="shared" si="1787"/>
        <v>0</v>
      </c>
      <c r="AD720" s="424">
        <f t="shared" si="1787"/>
        <v>0</v>
      </c>
      <c r="AE720" s="424">
        <f t="shared" si="1787"/>
        <v>0</v>
      </c>
      <c r="AF720" s="424">
        <f t="shared" si="1787"/>
        <v>0</v>
      </c>
      <c r="AG720" s="424">
        <f t="shared" si="1787"/>
        <v>0</v>
      </c>
      <c r="AH720" s="424">
        <f t="shared" si="1787"/>
        <v>0</v>
      </c>
      <c r="AI720" s="424">
        <f t="shared" si="1787"/>
        <v>0</v>
      </c>
      <c r="AJ720" s="424">
        <f t="shared" si="1787"/>
        <v>0</v>
      </c>
      <c r="AK720" s="424">
        <f t="shared" si="1787"/>
        <v>0</v>
      </c>
      <c r="AL720" s="424">
        <f t="shared" si="1787"/>
        <v>0</v>
      </c>
      <c r="AM720" s="424">
        <f t="shared" si="1787"/>
        <v>0</v>
      </c>
      <c r="AN720" s="424">
        <f t="shared" si="1787"/>
        <v>0</v>
      </c>
      <c r="AO720" s="424">
        <f t="shared" si="1787"/>
        <v>0</v>
      </c>
      <c r="AP720" s="424">
        <f t="shared" ref="AP720:BU720" si="1788">AP350*AP$372</f>
        <v>0</v>
      </c>
      <c r="AQ720" s="424">
        <f t="shared" si="1788"/>
        <v>0</v>
      </c>
      <c r="AR720" s="424">
        <f t="shared" si="1788"/>
        <v>0</v>
      </c>
      <c r="AS720" s="424">
        <f t="shared" si="1788"/>
        <v>0</v>
      </c>
      <c r="AT720" s="424">
        <f t="shared" si="1788"/>
        <v>0</v>
      </c>
      <c r="AU720" s="424">
        <f t="shared" si="1788"/>
        <v>0</v>
      </c>
      <c r="AV720" s="424">
        <f t="shared" si="1788"/>
        <v>0</v>
      </c>
      <c r="AW720" s="424">
        <f t="shared" si="1788"/>
        <v>0</v>
      </c>
      <c r="AX720" s="424">
        <f t="shared" si="1788"/>
        <v>0</v>
      </c>
      <c r="AY720" s="424">
        <f t="shared" si="1788"/>
        <v>0</v>
      </c>
      <c r="AZ720" s="424">
        <f t="shared" si="1788"/>
        <v>0</v>
      </c>
      <c r="BA720" s="424">
        <f t="shared" si="1788"/>
        <v>0</v>
      </c>
      <c r="BB720" s="424">
        <f t="shared" si="1788"/>
        <v>0</v>
      </c>
      <c r="BC720" s="424">
        <f t="shared" si="1788"/>
        <v>0</v>
      </c>
      <c r="BD720" s="424">
        <f t="shared" si="1788"/>
        <v>0</v>
      </c>
      <c r="BE720" s="424">
        <f t="shared" si="1788"/>
        <v>0</v>
      </c>
      <c r="BF720" s="424">
        <f t="shared" si="1788"/>
        <v>0</v>
      </c>
      <c r="BG720" s="424">
        <f t="shared" si="1788"/>
        <v>0</v>
      </c>
      <c r="BH720" s="424">
        <f t="shared" si="1788"/>
        <v>0</v>
      </c>
      <c r="BI720" s="424">
        <f t="shared" si="1788"/>
        <v>0</v>
      </c>
      <c r="BJ720" s="424">
        <f t="shared" si="1788"/>
        <v>0</v>
      </c>
      <c r="BK720" s="424">
        <f t="shared" si="1788"/>
        <v>0</v>
      </c>
      <c r="BL720" s="424">
        <f t="shared" si="1788"/>
        <v>0</v>
      </c>
      <c r="BM720" s="424">
        <f t="shared" si="1788"/>
        <v>0</v>
      </c>
      <c r="BN720" s="424">
        <f t="shared" si="1788"/>
        <v>0</v>
      </c>
      <c r="BO720" s="424">
        <f t="shared" si="1788"/>
        <v>0</v>
      </c>
      <c r="BP720" s="424">
        <f t="shared" si="1788"/>
        <v>0</v>
      </c>
      <c r="BQ720" s="424">
        <f t="shared" si="1788"/>
        <v>0</v>
      </c>
      <c r="BR720" s="424">
        <f t="shared" si="1788"/>
        <v>0</v>
      </c>
      <c r="BS720" s="424">
        <f t="shared" si="1788"/>
        <v>0</v>
      </c>
      <c r="BT720" s="424">
        <f t="shared" si="1788"/>
        <v>0</v>
      </c>
      <c r="BU720" s="424">
        <f t="shared" si="1788"/>
        <v>0</v>
      </c>
      <c r="BV720" s="424">
        <f t="shared" ref="BV720:DA720" si="1789">BV350*BV$372</f>
        <v>0</v>
      </c>
      <c r="BW720" s="424">
        <f t="shared" si="1789"/>
        <v>0</v>
      </c>
      <c r="BX720" s="424">
        <f t="shared" si="1789"/>
        <v>0</v>
      </c>
      <c r="BY720" s="424">
        <f t="shared" si="1789"/>
        <v>0</v>
      </c>
      <c r="BZ720" s="424">
        <f t="shared" si="1789"/>
        <v>0</v>
      </c>
      <c r="CA720" s="424">
        <f t="shared" si="1789"/>
        <v>0</v>
      </c>
      <c r="CB720" s="424">
        <f t="shared" si="1789"/>
        <v>0</v>
      </c>
      <c r="CC720" s="424">
        <f t="shared" si="1789"/>
        <v>0</v>
      </c>
      <c r="CD720" s="424">
        <f t="shared" si="1789"/>
        <v>0</v>
      </c>
      <c r="CE720" s="424">
        <f t="shared" si="1789"/>
        <v>0</v>
      </c>
      <c r="CF720" s="424">
        <f t="shared" si="1789"/>
        <v>0</v>
      </c>
      <c r="CG720" s="424">
        <f t="shared" si="1789"/>
        <v>0</v>
      </c>
      <c r="CH720" s="424">
        <f t="shared" si="1789"/>
        <v>0</v>
      </c>
      <c r="CI720" s="424">
        <f t="shared" si="1789"/>
        <v>0</v>
      </c>
      <c r="CJ720" s="424">
        <f t="shared" si="1789"/>
        <v>0</v>
      </c>
      <c r="CK720" s="424">
        <f t="shared" si="1789"/>
        <v>0</v>
      </c>
      <c r="CL720" s="424">
        <f t="shared" si="1789"/>
        <v>0</v>
      </c>
      <c r="CM720" s="424">
        <f t="shared" si="1789"/>
        <v>0</v>
      </c>
      <c r="CN720" s="424">
        <f t="shared" si="1789"/>
        <v>0</v>
      </c>
      <c r="CO720" s="424">
        <f t="shared" si="1789"/>
        <v>0</v>
      </c>
      <c r="CP720" s="424">
        <f t="shared" si="1789"/>
        <v>0</v>
      </c>
      <c r="CQ720" s="424">
        <f t="shared" si="1789"/>
        <v>0</v>
      </c>
      <c r="CR720" s="424">
        <f t="shared" si="1789"/>
        <v>0</v>
      </c>
      <c r="CS720" s="424">
        <f t="shared" si="1789"/>
        <v>0</v>
      </c>
      <c r="CT720" s="424">
        <f t="shared" si="1789"/>
        <v>0</v>
      </c>
      <c r="CU720" s="424">
        <f t="shared" si="1789"/>
        <v>0</v>
      </c>
      <c r="CV720" s="424">
        <f t="shared" si="1789"/>
        <v>0</v>
      </c>
      <c r="CW720" s="424">
        <f t="shared" si="1789"/>
        <v>0</v>
      </c>
      <c r="CX720" s="424">
        <f t="shared" si="1789"/>
        <v>0</v>
      </c>
      <c r="CY720" s="424">
        <f t="shared" si="1789"/>
        <v>0</v>
      </c>
      <c r="CZ720" s="424">
        <f t="shared" si="1789"/>
        <v>0</v>
      </c>
      <c r="DA720" s="424">
        <f t="shared" si="1789"/>
        <v>0</v>
      </c>
      <c r="DB720" s="424">
        <f t="shared" ref="DB720:EG720" si="1790">DB350*DB$372</f>
        <v>0</v>
      </c>
      <c r="DC720" s="424">
        <f t="shared" si="1790"/>
        <v>0</v>
      </c>
      <c r="DD720" s="424">
        <f t="shared" si="1790"/>
        <v>0</v>
      </c>
      <c r="DE720" s="424">
        <f t="shared" si="1790"/>
        <v>0</v>
      </c>
      <c r="DF720" s="424">
        <f t="shared" si="1790"/>
        <v>0</v>
      </c>
      <c r="DG720" s="424">
        <f t="shared" si="1790"/>
        <v>0</v>
      </c>
      <c r="DH720" s="424">
        <f t="shared" si="1790"/>
        <v>0</v>
      </c>
      <c r="DI720" s="424">
        <f t="shared" si="1790"/>
        <v>0</v>
      </c>
      <c r="DJ720" s="424">
        <f t="shared" si="1790"/>
        <v>0</v>
      </c>
      <c r="DK720" s="424">
        <f t="shared" si="1790"/>
        <v>0</v>
      </c>
      <c r="DL720" s="424">
        <f t="shared" si="1790"/>
        <v>0</v>
      </c>
      <c r="DM720" s="424">
        <f t="shared" si="1790"/>
        <v>0</v>
      </c>
      <c r="DN720" s="424">
        <f t="shared" si="1790"/>
        <v>0</v>
      </c>
      <c r="DO720" s="424">
        <f t="shared" si="1790"/>
        <v>0</v>
      </c>
      <c r="DP720" s="424">
        <f t="shared" si="1790"/>
        <v>0</v>
      </c>
      <c r="DQ720" s="424">
        <f t="shared" si="1790"/>
        <v>0</v>
      </c>
      <c r="DR720" s="424">
        <f t="shared" si="1790"/>
        <v>0</v>
      </c>
      <c r="DS720" s="424">
        <f t="shared" si="1790"/>
        <v>0</v>
      </c>
      <c r="DT720" s="424">
        <f t="shared" si="1790"/>
        <v>0</v>
      </c>
      <c r="DU720" s="424">
        <f t="shared" si="1790"/>
        <v>0</v>
      </c>
      <c r="DV720" s="424">
        <f t="shared" si="1790"/>
        <v>0</v>
      </c>
      <c r="DW720" s="424">
        <f t="shared" si="1790"/>
        <v>0</v>
      </c>
      <c r="DX720" s="424">
        <f t="shared" si="1790"/>
        <v>0</v>
      </c>
      <c r="DY720" s="424">
        <f t="shared" si="1790"/>
        <v>0</v>
      </c>
      <c r="DZ720" s="424">
        <f t="shared" si="1790"/>
        <v>0</v>
      </c>
      <c r="EA720" s="424">
        <f t="shared" si="1790"/>
        <v>0</v>
      </c>
      <c r="EB720" s="424">
        <f t="shared" si="1790"/>
        <v>0</v>
      </c>
      <c r="EC720" s="424">
        <f t="shared" si="1790"/>
        <v>0</v>
      </c>
      <c r="ED720" s="424">
        <f t="shared" si="1790"/>
        <v>2.16</v>
      </c>
      <c r="EE720" s="424">
        <f t="shared" si="1790"/>
        <v>0</v>
      </c>
      <c r="EF720" s="424">
        <f t="shared" si="1790"/>
        <v>0</v>
      </c>
      <c r="EG720" s="424">
        <f t="shared" si="1790"/>
        <v>0</v>
      </c>
      <c r="EH720" s="424">
        <f t="shared" ref="EH720:EX720" si="1791">EH350*EH$372</f>
        <v>0</v>
      </c>
      <c r="EI720" s="424">
        <f t="shared" si="1791"/>
        <v>0</v>
      </c>
      <c r="EJ720" s="424">
        <f t="shared" si="1791"/>
        <v>0</v>
      </c>
      <c r="EK720" s="424">
        <f t="shared" si="1791"/>
        <v>0</v>
      </c>
      <c r="EL720" s="424">
        <f t="shared" si="1791"/>
        <v>0</v>
      </c>
      <c r="EM720" s="424">
        <f t="shared" si="1791"/>
        <v>0</v>
      </c>
      <c r="EN720" s="424">
        <f t="shared" si="1791"/>
        <v>0</v>
      </c>
      <c r="EO720" s="424">
        <f t="shared" si="1791"/>
        <v>0</v>
      </c>
      <c r="EP720" s="424">
        <f t="shared" si="1791"/>
        <v>0</v>
      </c>
      <c r="EQ720" s="424">
        <f t="shared" si="1791"/>
        <v>0</v>
      </c>
      <c r="ER720" s="424">
        <f t="shared" si="1791"/>
        <v>0</v>
      </c>
      <c r="ES720" s="424">
        <f t="shared" si="1791"/>
        <v>0</v>
      </c>
      <c r="ET720" s="424">
        <f t="shared" si="1791"/>
        <v>0</v>
      </c>
      <c r="EU720" s="424">
        <f t="shared" si="1791"/>
        <v>0</v>
      </c>
      <c r="EV720" s="424">
        <f t="shared" si="1791"/>
        <v>0</v>
      </c>
      <c r="EW720" s="424">
        <f t="shared" si="1791"/>
        <v>0</v>
      </c>
      <c r="EX720" s="424">
        <f t="shared" si="1791"/>
        <v>0</v>
      </c>
      <c r="EY720" s="425">
        <f t="shared" si="1776"/>
        <v>2.16</v>
      </c>
      <c r="EZ720" s="616"/>
      <c r="FA720" s="616"/>
      <c r="FB720" s="616"/>
      <c r="FC720" s="616"/>
      <c r="FD720" s="616"/>
      <c r="FE720" s="616"/>
      <c r="FF720" s="616"/>
      <c r="FG720" s="616"/>
      <c r="FH720" s="616"/>
      <c r="FI720" s="616"/>
      <c r="FJ720" s="616"/>
    </row>
    <row r="721" spans="1:166" s="605" customFormat="1" ht="14.7" customHeight="1" x14ac:dyDescent="0.25">
      <c r="A721" s="310">
        <v>347</v>
      </c>
      <c r="B721" s="311" t="str">
        <f t="shared" si="1657"/>
        <v>Пряники</v>
      </c>
      <c r="C721" s="483">
        <f t="shared" si="1750"/>
        <v>3.6</v>
      </c>
      <c r="D721" s="888"/>
      <c r="E721" s="888"/>
      <c r="F721" s="888"/>
      <c r="G721" s="889"/>
      <c r="H721" s="680" t="str">
        <f t="shared" si="1664"/>
        <v>ПРОМ</v>
      </c>
      <c r="I721" s="1209">
        <f t="shared" si="1658"/>
        <v>0</v>
      </c>
      <c r="J721" s="424">
        <f t="shared" ref="J721:AO721" si="1792">J351*J$372</f>
        <v>0</v>
      </c>
      <c r="K721" s="424">
        <f t="shared" si="1792"/>
        <v>0</v>
      </c>
      <c r="L721" s="424">
        <f t="shared" si="1792"/>
        <v>0</v>
      </c>
      <c r="M721" s="424">
        <f t="shared" si="1792"/>
        <v>0</v>
      </c>
      <c r="N721" s="424">
        <f t="shared" si="1792"/>
        <v>0</v>
      </c>
      <c r="O721" s="424">
        <f t="shared" si="1792"/>
        <v>0</v>
      </c>
      <c r="P721" s="424">
        <f t="shared" si="1792"/>
        <v>0</v>
      </c>
      <c r="Q721" s="424">
        <f t="shared" si="1792"/>
        <v>0</v>
      </c>
      <c r="R721" s="424">
        <f t="shared" si="1792"/>
        <v>0</v>
      </c>
      <c r="S721" s="424">
        <f t="shared" si="1792"/>
        <v>0</v>
      </c>
      <c r="T721" s="424">
        <f t="shared" si="1792"/>
        <v>0</v>
      </c>
      <c r="U721" s="424">
        <f t="shared" si="1792"/>
        <v>0</v>
      </c>
      <c r="V721" s="424">
        <f t="shared" si="1792"/>
        <v>0</v>
      </c>
      <c r="W721" s="424">
        <f t="shared" si="1792"/>
        <v>0</v>
      </c>
      <c r="X721" s="424">
        <f t="shared" si="1792"/>
        <v>0</v>
      </c>
      <c r="Y721" s="424">
        <f t="shared" si="1792"/>
        <v>0</v>
      </c>
      <c r="Z721" s="424">
        <f t="shared" si="1792"/>
        <v>0</v>
      </c>
      <c r="AA721" s="424">
        <f t="shared" si="1792"/>
        <v>0</v>
      </c>
      <c r="AB721" s="424">
        <f t="shared" si="1792"/>
        <v>0</v>
      </c>
      <c r="AC721" s="424">
        <f t="shared" si="1792"/>
        <v>0</v>
      </c>
      <c r="AD721" s="424">
        <f t="shared" si="1792"/>
        <v>0</v>
      </c>
      <c r="AE721" s="424">
        <f t="shared" si="1792"/>
        <v>0</v>
      </c>
      <c r="AF721" s="424">
        <f t="shared" si="1792"/>
        <v>0</v>
      </c>
      <c r="AG721" s="424">
        <f t="shared" si="1792"/>
        <v>0</v>
      </c>
      <c r="AH721" s="424">
        <f t="shared" si="1792"/>
        <v>0</v>
      </c>
      <c r="AI721" s="424">
        <f t="shared" si="1792"/>
        <v>0</v>
      </c>
      <c r="AJ721" s="424">
        <f t="shared" si="1792"/>
        <v>0</v>
      </c>
      <c r="AK721" s="424">
        <f t="shared" si="1792"/>
        <v>0</v>
      </c>
      <c r="AL721" s="424">
        <f t="shared" si="1792"/>
        <v>0</v>
      </c>
      <c r="AM721" s="424">
        <f t="shared" si="1792"/>
        <v>0</v>
      </c>
      <c r="AN721" s="424">
        <f t="shared" si="1792"/>
        <v>0</v>
      </c>
      <c r="AO721" s="424">
        <f t="shared" si="1792"/>
        <v>0</v>
      </c>
      <c r="AP721" s="424">
        <f t="shared" ref="AP721:BU721" si="1793">AP351*AP$372</f>
        <v>0</v>
      </c>
      <c r="AQ721" s="424">
        <f t="shared" si="1793"/>
        <v>0</v>
      </c>
      <c r="AR721" s="424">
        <f t="shared" si="1793"/>
        <v>0</v>
      </c>
      <c r="AS721" s="424">
        <f t="shared" si="1793"/>
        <v>0</v>
      </c>
      <c r="AT721" s="424">
        <f t="shared" si="1793"/>
        <v>0</v>
      </c>
      <c r="AU721" s="424">
        <f t="shared" si="1793"/>
        <v>0</v>
      </c>
      <c r="AV721" s="424">
        <f t="shared" si="1793"/>
        <v>0</v>
      </c>
      <c r="AW721" s="424">
        <f t="shared" si="1793"/>
        <v>0</v>
      </c>
      <c r="AX721" s="424">
        <f t="shared" si="1793"/>
        <v>0</v>
      </c>
      <c r="AY721" s="424">
        <f t="shared" si="1793"/>
        <v>0</v>
      </c>
      <c r="AZ721" s="424">
        <f t="shared" si="1793"/>
        <v>0</v>
      </c>
      <c r="BA721" s="424">
        <f t="shared" si="1793"/>
        <v>0</v>
      </c>
      <c r="BB721" s="424">
        <f t="shared" si="1793"/>
        <v>0</v>
      </c>
      <c r="BC721" s="424">
        <f t="shared" si="1793"/>
        <v>0</v>
      </c>
      <c r="BD721" s="424">
        <f t="shared" si="1793"/>
        <v>0</v>
      </c>
      <c r="BE721" s="424">
        <f t="shared" si="1793"/>
        <v>0</v>
      </c>
      <c r="BF721" s="424">
        <f t="shared" si="1793"/>
        <v>0</v>
      </c>
      <c r="BG721" s="424">
        <f t="shared" si="1793"/>
        <v>0</v>
      </c>
      <c r="BH721" s="424">
        <f t="shared" si="1793"/>
        <v>0</v>
      </c>
      <c r="BI721" s="424">
        <f t="shared" si="1793"/>
        <v>0</v>
      </c>
      <c r="BJ721" s="424">
        <f t="shared" si="1793"/>
        <v>0</v>
      </c>
      <c r="BK721" s="424">
        <f t="shared" si="1793"/>
        <v>0</v>
      </c>
      <c r="BL721" s="424">
        <f t="shared" si="1793"/>
        <v>0</v>
      </c>
      <c r="BM721" s="424">
        <f t="shared" si="1793"/>
        <v>0</v>
      </c>
      <c r="BN721" s="424">
        <f t="shared" si="1793"/>
        <v>0</v>
      </c>
      <c r="BO721" s="424">
        <f t="shared" si="1793"/>
        <v>0</v>
      </c>
      <c r="BP721" s="424">
        <f t="shared" si="1793"/>
        <v>0</v>
      </c>
      <c r="BQ721" s="424">
        <f t="shared" si="1793"/>
        <v>0</v>
      </c>
      <c r="BR721" s="424">
        <f t="shared" si="1793"/>
        <v>0</v>
      </c>
      <c r="BS721" s="424">
        <f t="shared" si="1793"/>
        <v>0</v>
      </c>
      <c r="BT721" s="424">
        <f t="shared" si="1793"/>
        <v>0</v>
      </c>
      <c r="BU721" s="424">
        <f t="shared" si="1793"/>
        <v>0</v>
      </c>
      <c r="BV721" s="424">
        <f t="shared" ref="BV721:DA721" si="1794">BV351*BV$372</f>
        <v>0</v>
      </c>
      <c r="BW721" s="424">
        <f t="shared" si="1794"/>
        <v>0</v>
      </c>
      <c r="BX721" s="424">
        <f t="shared" si="1794"/>
        <v>0</v>
      </c>
      <c r="BY721" s="424">
        <f t="shared" si="1794"/>
        <v>0</v>
      </c>
      <c r="BZ721" s="424">
        <f t="shared" si="1794"/>
        <v>0</v>
      </c>
      <c r="CA721" s="424">
        <f t="shared" si="1794"/>
        <v>0</v>
      </c>
      <c r="CB721" s="424">
        <f t="shared" si="1794"/>
        <v>0</v>
      </c>
      <c r="CC721" s="424">
        <f t="shared" si="1794"/>
        <v>0</v>
      </c>
      <c r="CD721" s="424">
        <f t="shared" si="1794"/>
        <v>0</v>
      </c>
      <c r="CE721" s="424">
        <f t="shared" si="1794"/>
        <v>0</v>
      </c>
      <c r="CF721" s="424">
        <f t="shared" si="1794"/>
        <v>0</v>
      </c>
      <c r="CG721" s="424">
        <f t="shared" si="1794"/>
        <v>0</v>
      </c>
      <c r="CH721" s="424">
        <f t="shared" si="1794"/>
        <v>0</v>
      </c>
      <c r="CI721" s="424">
        <f t="shared" si="1794"/>
        <v>0</v>
      </c>
      <c r="CJ721" s="424">
        <f t="shared" si="1794"/>
        <v>0</v>
      </c>
      <c r="CK721" s="424">
        <f t="shared" si="1794"/>
        <v>0</v>
      </c>
      <c r="CL721" s="424">
        <f t="shared" si="1794"/>
        <v>0</v>
      </c>
      <c r="CM721" s="424">
        <f t="shared" si="1794"/>
        <v>0</v>
      </c>
      <c r="CN721" s="424">
        <f t="shared" si="1794"/>
        <v>0</v>
      </c>
      <c r="CO721" s="424">
        <f t="shared" si="1794"/>
        <v>0</v>
      </c>
      <c r="CP721" s="424">
        <f t="shared" si="1794"/>
        <v>0</v>
      </c>
      <c r="CQ721" s="424">
        <f t="shared" si="1794"/>
        <v>0</v>
      </c>
      <c r="CR721" s="424">
        <f t="shared" si="1794"/>
        <v>0</v>
      </c>
      <c r="CS721" s="424">
        <f t="shared" si="1794"/>
        <v>0</v>
      </c>
      <c r="CT721" s="424">
        <f t="shared" si="1794"/>
        <v>0</v>
      </c>
      <c r="CU721" s="424">
        <f t="shared" si="1794"/>
        <v>0</v>
      </c>
      <c r="CV721" s="424">
        <f t="shared" si="1794"/>
        <v>0</v>
      </c>
      <c r="CW721" s="424">
        <f t="shared" si="1794"/>
        <v>0</v>
      </c>
      <c r="CX721" s="424">
        <f t="shared" si="1794"/>
        <v>0</v>
      </c>
      <c r="CY721" s="424">
        <f t="shared" si="1794"/>
        <v>0</v>
      </c>
      <c r="CZ721" s="424">
        <f t="shared" si="1794"/>
        <v>0</v>
      </c>
      <c r="DA721" s="424">
        <f t="shared" si="1794"/>
        <v>0</v>
      </c>
      <c r="DB721" s="424">
        <f t="shared" ref="DB721:EG721" si="1795">DB351*DB$372</f>
        <v>0</v>
      </c>
      <c r="DC721" s="424">
        <f t="shared" si="1795"/>
        <v>0</v>
      </c>
      <c r="DD721" s="424">
        <f t="shared" si="1795"/>
        <v>0</v>
      </c>
      <c r="DE721" s="424">
        <f t="shared" si="1795"/>
        <v>0</v>
      </c>
      <c r="DF721" s="424">
        <f t="shared" si="1795"/>
        <v>0</v>
      </c>
      <c r="DG721" s="424">
        <f t="shared" si="1795"/>
        <v>0</v>
      </c>
      <c r="DH721" s="424">
        <f t="shared" si="1795"/>
        <v>0</v>
      </c>
      <c r="DI721" s="424">
        <f t="shared" si="1795"/>
        <v>0</v>
      </c>
      <c r="DJ721" s="424">
        <f t="shared" si="1795"/>
        <v>0</v>
      </c>
      <c r="DK721" s="424">
        <f t="shared" si="1795"/>
        <v>0</v>
      </c>
      <c r="DL721" s="424">
        <f t="shared" si="1795"/>
        <v>0</v>
      </c>
      <c r="DM721" s="424">
        <f t="shared" si="1795"/>
        <v>0</v>
      </c>
      <c r="DN721" s="424">
        <f t="shared" si="1795"/>
        <v>0</v>
      </c>
      <c r="DO721" s="424">
        <f t="shared" si="1795"/>
        <v>0</v>
      </c>
      <c r="DP721" s="424">
        <f t="shared" si="1795"/>
        <v>0</v>
      </c>
      <c r="DQ721" s="424">
        <f t="shared" si="1795"/>
        <v>0</v>
      </c>
      <c r="DR721" s="424">
        <f t="shared" si="1795"/>
        <v>0</v>
      </c>
      <c r="DS721" s="424">
        <f t="shared" si="1795"/>
        <v>0</v>
      </c>
      <c r="DT721" s="424">
        <f t="shared" si="1795"/>
        <v>0</v>
      </c>
      <c r="DU721" s="424">
        <f t="shared" si="1795"/>
        <v>0</v>
      </c>
      <c r="DV721" s="424">
        <f t="shared" si="1795"/>
        <v>0</v>
      </c>
      <c r="DW721" s="424">
        <f t="shared" si="1795"/>
        <v>0</v>
      </c>
      <c r="DX721" s="424">
        <f t="shared" si="1795"/>
        <v>0</v>
      </c>
      <c r="DY721" s="424">
        <f t="shared" si="1795"/>
        <v>0</v>
      </c>
      <c r="DZ721" s="424">
        <f t="shared" si="1795"/>
        <v>0</v>
      </c>
      <c r="EA721" s="424">
        <f t="shared" si="1795"/>
        <v>0</v>
      </c>
      <c r="EB721" s="424">
        <f t="shared" si="1795"/>
        <v>0</v>
      </c>
      <c r="EC721" s="424">
        <f t="shared" si="1795"/>
        <v>0</v>
      </c>
      <c r="ED721" s="424">
        <f t="shared" si="1795"/>
        <v>0</v>
      </c>
      <c r="EE721" s="424">
        <f t="shared" si="1795"/>
        <v>3.6</v>
      </c>
      <c r="EF721" s="424">
        <f t="shared" si="1795"/>
        <v>0</v>
      </c>
      <c r="EG721" s="424">
        <f t="shared" si="1795"/>
        <v>0</v>
      </c>
      <c r="EH721" s="424">
        <f t="shared" ref="EH721:EX721" si="1796">EH351*EH$372</f>
        <v>0</v>
      </c>
      <c r="EI721" s="424">
        <f t="shared" si="1796"/>
        <v>0</v>
      </c>
      <c r="EJ721" s="424">
        <f t="shared" si="1796"/>
        <v>0</v>
      </c>
      <c r="EK721" s="424">
        <f t="shared" si="1796"/>
        <v>0</v>
      </c>
      <c r="EL721" s="424">
        <f t="shared" si="1796"/>
        <v>0</v>
      </c>
      <c r="EM721" s="424">
        <f t="shared" si="1796"/>
        <v>0</v>
      </c>
      <c r="EN721" s="424">
        <f t="shared" si="1796"/>
        <v>0</v>
      </c>
      <c r="EO721" s="424">
        <f t="shared" si="1796"/>
        <v>0</v>
      </c>
      <c r="EP721" s="424">
        <f t="shared" si="1796"/>
        <v>0</v>
      </c>
      <c r="EQ721" s="424">
        <f t="shared" si="1796"/>
        <v>0</v>
      </c>
      <c r="ER721" s="424">
        <f t="shared" si="1796"/>
        <v>0</v>
      </c>
      <c r="ES721" s="424">
        <f t="shared" si="1796"/>
        <v>0</v>
      </c>
      <c r="ET721" s="424">
        <f t="shared" si="1796"/>
        <v>0</v>
      </c>
      <c r="EU721" s="424">
        <f t="shared" si="1796"/>
        <v>0</v>
      </c>
      <c r="EV721" s="424">
        <f t="shared" si="1796"/>
        <v>0</v>
      </c>
      <c r="EW721" s="424">
        <f t="shared" si="1796"/>
        <v>0</v>
      </c>
      <c r="EX721" s="424">
        <f t="shared" si="1796"/>
        <v>0</v>
      </c>
      <c r="EY721" s="425">
        <f t="shared" si="1776"/>
        <v>3.6</v>
      </c>
      <c r="EZ721" s="616"/>
      <c r="FA721" s="616"/>
      <c r="FB721" s="616"/>
      <c r="FC721" s="616"/>
      <c r="FD721" s="616"/>
      <c r="FE721" s="616"/>
      <c r="FF721" s="616"/>
      <c r="FG721" s="616"/>
      <c r="FH721" s="616"/>
      <c r="FI721" s="616"/>
      <c r="FJ721" s="616"/>
    </row>
    <row r="722" spans="1:166" s="605" customFormat="1" ht="14.7" customHeight="1" x14ac:dyDescent="0.25">
      <c r="A722" s="310">
        <v>348</v>
      </c>
      <c r="B722" s="311" t="str">
        <f t="shared" si="1657"/>
        <v>Кексы</v>
      </c>
      <c r="C722" s="483">
        <f t="shared" si="1750"/>
        <v>21.5</v>
      </c>
      <c r="D722" s="888"/>
      <c r="E722" s="888"/>
      <c r="F722" s="888"/>
      <c r="G722" s="889"/>
      <c r="H722" s="680" t="str">
        <f t="shared" si="1664"/>
        <v>ПРОМ</v>
      </c>
      <c r="I722" s="1209">
        <f t="shared" si="1658"/>
        <v>0</v>
      </c>
      <c r="J722" s="424">
        <f t="shared" ref="J722:AO722" si="1797">J352*J$372</f>
        <v>0</v>
      </c>
      <c r="K722" s="424">
        <f t="shared" si="1797"/>
        <v>0</v>
      </c>
      <c r="L722" s="424">
        <f t="shared" si="1797"/>
        <v>0</v>
      </c>
      <c r="M722" s="424">
        <f t="shared" si="1797"/>
        <v>0</v>
      </c>
      <c r="N722" s="424">
        <f t="shared" si="1797"/>
        <v>0</v>
      </c>
      <c r="O722" s="424">
        <f t="shared" si="1797"/>
        <v>0</v>
      </c>
      <c r="P722" s="424">
        <f t="shared" si="1797"/>
        <v>0</v>
      </c>
      <c r="Q722" s="424">
        <f t="shared" si="1797"/>
        <v>0</v>
      </c>
      <c r="R722" s="424">
        <f t="shared" si="1797"/>
        <v>0</v>
      </c>
      <c r="S722" s="424">
        <f t="shared" si="1797"/>
        <v>0</v>
      </c>
      <c r="T722" s="424">
        <f t="shared" si="1797"/>
        <v>0</v>
      </c>
      <c r="U722" s="424">
        <f t="shared" si="1797"/>
        <v>0</v>
      </c>
      <c r="V722" s="424">
        <f t="shared" si="1797"/>
        <v>0</v>
      </c>
      <c r="W722" s="424">
        <f t="shared" si="1797"/>
        <v>0</v>
      </c>
      <c r="X722" s="424">
        <f t="shared" si="1797"/>
        <v>0</v>
      </c>
      <c r="Y722" s="424">
        <f t="shared" si="1797"/>
        <v>0</v>
      </c>
      <c r="Z722" s="424">
        <f t="shared" si="1797"/>
        <v>0</v>
      </c>
      <c r="AA722" s="424">
        <f t="shared" si="1797"/>
        <v>0</v>
      </c>
      <c r="AB722" s="424">
        <f t="shared" si="1797"/>
        <v>0</v>
      </c>
      <c r="AC722" s="424">
        <f t="shared" si="1797"/>
        <v>0</v>
      </c>
      <c r="AD722" s="424">
        <f t="shared" si="1797"/>
        <v>0</v>
      </c>
      <c r="AE722" s="424">
        <f t="shared" si="1797"/>
        <v>0</v>
      </c>
      <c r="AF722" s="424">
        <f t="shared" si="1797"/>
        <v>0</v>
      </c>
      <c r="AG722" s="424">
        <f t="shared" si="1797"/>
        <v>0</v>
      </c>
      <c r="AH722" s="424">
        <f t="shared" si="1797"/>
        <v>0</v>
      </c>
      <c r="AI722" s="424">
        <f t="shared" si="1797"/>
        <v>0</v>
      </c>
      <c r="AJ722" s="424">
        <f t="shared" si="1797"/>
        <v>0</v>
      </c>
      <c r="AK722" s="424">
        <f t="shared" si="1797"/>
        <v>0</v>
      </c>
      <c r="AL722" s="424">
        <f t="shared" si="1797"/>
        <v>0</v>
      </c>
      <c r="AM722" s="424">
        <f t="shared" si="1797"/>
        <v>0</v>
      </c>
      <c r="AN722" s="424">
        <f t="shared" si="1797"/>
        <v>0</v>
      </c>
      <c r="AO722" s="424">
        <f t="shared" si="1797"/>
        <v>0</v>
      </c>
      <c r="AP722" s="424">
        <f t="shared" ref="AP722:BU722" si="1798">AP352*AP$372</f>
        <v>0</v>
      </c>
      <c r="AQ722" s="424">
        <f t="shared" si="1798"/>
        <v>0</v>
      </c>
      <c r="AR722" s="424">
        <f t="shared" si="1798"/>
        <v>0</v>
      </c>
      <c r="AS722" s="424">
        <f t="shared" si="1798"/>
        <v>0</v>
      </c>
      <c r="AT722" s="424">
        <f t="shared" si="1798"/>
        <v>0</v>
      </c>
      <c r="AU722" s="424">
        <f t="shared" si="1798"/>
        <v>0</v>
      </c>
      <c r="AV722" s="424">
        <f t="shared" si="1798"/>
        <v>0</v>
      </c>
      <c r="AW722" s="424">
        <f t="shared" si="1798"/>
        <v>0</v>
      </c>
      <c r="AX722" s="424">
        <f t="shared" si="1798"/>
        <v>0</v>
      </c>
      <c r="AY722" s="424">
        <f t="shared" si="1798"/>
        <v>0</v>
      </c>
      <c r="AZ722" s="424">
        <f t="shared" si="1798"/>
        <v>0</v>
      </c>
      <c r="BA722" s="424">
        <f t="shared" si="1798"/>
        <v>0</v>
      </c>
      <c r="BB722" s="424">
        <f t="shared" si="1798"/>
        <v>0</v>
      </c>
      <c r="BC722" s="424">
        <f t="shared" si="1798"/>
        <v>0</v>
      </c>
      <c r="BD722" s="424">
        <f t="shared" si="1798"/>
        <v>0</v>
      </c>
      <c r="BE722" s="424">
        <f t="shared" si="1798"/>
        <v>0</v>
      </c>
      <c r="BF722" s="424">
        <f t="shared" si="1798"/>
        <v>0</v>
      </c>
      <c r="BG722" s="424">
        <f t="shared" si="1798"/>
        <v>0</v>
      </c>
      <c r="BH722" s="424">
        <f t="shared" si="1798"/>
        <v>0</v>
      </c>
      <c r="BI722" s="424">
        <f t="shared" si="1798"/>
        <v>0</v>
      </c>
      <c r="BJ722" s="424">
        <f t="shared" si="1798"/>
        <v>0</v>
      </c>
      <c r="BK722" s="424">
        <f t="shared" si="1798"/>
        <v>0</v>
      </c>
      <c r="BL722" s="424">
        <f t="shared" si="1798"/>
        <v>0</v>
      </c>
      <c r="BM722" s="424">
        <f t="shared" si="1798"/>
        <v>0</v>
      </c>
      <c r="BN722" s="424">
        <f t="shared" si="1798"/>
        <v>0</v>
      </c>
      <c r="BO722" s="424">
        <f t="shared" si="1798"/>
        <v>0</v>
      </c>
      <c r="BP722" s="424">
        <f t="shared" si="1798"/>
        <v>0</v>
      </c>
      <c r="BQ722" s="424">
        <f t="shared" si="1798"/>
        <v>0</v>
      </c>
      <c r="BR722" s="424">
        <f t="shared" si="1798"/>
        <v>0</v>
      </c>
      <c r="BS722" s="424">
        <f t="shared" si="1798"/>
        <v>0</v>
      </c>
      <c r="BT722" s="424">
        <f t="shared" si="1798"/>
        <v>0</v>
      </c>
      <c r="BU722" s="424">
        <f t="shared" si="1798"/>
        <v>0</v>
      </c>
      <c r="BV722" s="424">
        <f t="shared" ref="BV722:DA722" si="1799">BV352*BV$372</f>
        <v>0</v>
      </c>
      <c r="BW722" s="424">
        <f t="shared" si="1799"/>
        <v>0</v>
      </c>
      <c r="BX722" s="424">
        <f t="shared" si="1799"/>
        <v>0</v>
      </c>
      <c r="BY722" s="424">
        <f t="shared" si="1799"/>
        <v>0</v>
      </c>
      <c r="BZ722" s="424">
        <f t="shared" si="1799"/>
        <v>0</v>
      </c>
      <c r="CA722" s="424">
        <f t="shared" si="1799"/>
        <v>0</v>
      </c>
      <c r="CB722" s="424">
        <f t="shared" si="1799"/>
        <v>0</v>
      </c>
      <c r="CC722" s="424">
        <f t="shared" si="1799"/>
        <v>0</v>
      </c>
      <c r="CD722" s="424">
        <f t="shared" si="1799"/>
        <v>0</v>
      </c>
      <c r="CE722" s="424">
        <f t="shared" si="1799"/>
        <v>0</v>
      </c>
      <c r="CF722" s="424">
        <f t="shared" si="1799"/>
        <v>0</v>
      </c>
      <c r="CG722" s="424">
        <f t="shared" si="1799"/>
        <v>0</v>
      </c>
      <c r="CH722" s="424">
        <f t="shared" si="1799"/>
        <v>0</v>
      </c>
      <c r="CI722" s="424">
        <f t="shared" si="1799"/>
        <v>0</v>
      </c>
      <c r="CJ722" s="424">
        <f t="shared" si="1799"/>
        <v>0</v>
      </c>
      <c r="CK722" s="424">
        <f t="shared" si="1799"/>
        <v>0</v>
      </c>
      <c r="CL722" s="424">
        <f t="shared" si="1799"/>
        <v>0</v>
      </c>
      <c r="CM722" s="424">
        <f t="shared" si="1799"/>
        <v>0</v>
      </c>
      <c r="CN722" s="424">
        <f t="shared" si="1799"/>
        <v>0</v>
      </c>
      <c r="CO722" s="424">
        <f t="shared" si="1799"/>
        <v>0</v>
      </c>
      <c r="CP722" s="424">
        <f t="shared" si="1799"/>
        <v>0</v>
      </c>
      <c r="CQ722" s="424">
        <f t="shared" si="1799"/>
        <v>0</v>
      </c>
      <c r="CR722" s="424">
        <f t="shared" si="1799"/>
        <v>0</v>
      </c>
      <c r="CS722" s="424">
        <f t="shared" si="1799"/>
        <v>0</v>
      </c>
      <c r="CT722" s="424">
        <f t="shared" si="1799"/>
        <v>0</v>
      </c>
      <c r="CU722" s="424">
        <f t="shared" si="1799"/>
        <v>0</v>
      </c>
      <c r="CV722" s="424">
        <f t="shared" si="1799"/>
        <v>0</v>
      </c>
      <c r="CW722" s="424">
        <f t="shared" si="1799"/>
        <v>0</v>
      </c>
      <c r="CX722" s="424">
        <f t="shared" si="1799"/>
        <v>0</v>
      </c>
      <c r="CY722" s="424">
        <f t="shared" si="1799"/>
        <v>0</v>
      </c>
      <c r="CZ722" s="424">
        <f t="shared" si="1799"/>
        <v>0</v>
      </c>
      <c r="DA722" s="424">
        <f t="shared" si="1799"/>
        <v>0</v>
      </c>
      <c r="DB722" s="424">
        <f t="shared" ref="DB722:EG722" si="1800">DB352*DB$372</f>
        <v>0</v>
      </c>
      <c r="DC722" s="424">
        <f t="shared" si="1800"/>
        <v>0</v>
      </c>
      <c r="DD722" s="424">
        <f t="shared" si="1800"/>
        <v>0</v>
      </c>
      <c r="DE722" s="424">
        <f t="shared" si="1800"/>
        <v>0</v>
      </c>
      <c r="DF722" s="424">
        <f t="shared" si="1800"/>
        <v>0</v>
      </c>
      <c r="DG722" s="424">
        <f t="shared" si="1800"/>
        <v>0</v>
      </c>
      <c r="DH722" s="424">
        <f t="shared" si="1800"/>
        <v>0</v>
      </c>
      <c r="DI722" s="424">
        <f t="shared" si="1800"/>
        <v>0</v>
      </c>
      <c r="DJ722" s="424">
        <f t="shared" si="1800"/>
        <v>0</v>
      </c>
      <c r="DK722" s="424">
        <f t="shared" si="1800"/>
        <v>0</v>
      </c>
      <c r="DL722" s="424">
        <f t="shared" si="1800"/>
        <v>0</v>
      </c>
      <c r="DM722" s="424">
        <f t="shared" si="1800"/>
        <v>0</v>
      </c>
      <c r="DN722" s="424">
        <f t="shared" si="1800"/>
        <v>0</v>
      </c>
      <c r="DO722" s="424">
        <f t="shared" si="1800"/>
        <v>0</v>
      </c>
      <c r="DP722" s="424">
        <f t="shared" si="1800"/>
        <v>0</v>
      </c>
      <c r="DQ722" s="424">
        <f t="shared" si="1800"/>
        <v>0</v>
      </c>
      <c r="DR722" s="424">
        <f t="shared" si="1800"/>
        <v>0</v>
      </c>
      <c r="DS722" s="424">
        <f t="shared" si="1800"/>
        <v>0</v>
      </c>
      <c r="DT722" s="424">
        <f t="shared" si="1800"/>
        <v>0</v>
      </c>
      <c r="DU722" s="424">
        <f t="shared" si="1800"/>
        <v>0</v>
      </c>
      <c r="DV722" s="424">
        <f t="shared" si="1800"/>
        <v>0</v>
      </c>
      <c r="DW722" s="424">
        <f t="shared" si="1800"/>
        <v>0</v>
      </c>
      <c r="DX722" s="424">
        <f t="shared" si="1800"/>
        <v>0</v>
      </c>
      <c r="DY722" s="424">
        <f t="shared" si="1800"/>
        <v>0</v>
      </c>
      <c r="DZ722" s="424">
        <f t="shared" si="1800"/>
        <v>0</v>
      </c>
      <c r="EA722" s="424">
        <f t="shared" si="1800"/>
        <v>0</v>
      </c>
      <c r="EB722" s="424">
        <f t="shared" si="1800"/>
        <v>0</v>
      </c>
      <c r="EC722" s="424">
        <f t="shared" si="1800"/>
        <v>0</v>
      </c>
      <c r="ED722" s="424">
        <f t="shared" si="1800"/>
        <v>0</v>
      </c>
      <c r="EE722" s="424">
        <f t="shared" si="1800"/>
        <v>0</v>
      </c>
      <c r="EF722" s="424">
        <f t="shared" si="1800"/>
        <v>21.5</v>
      </c>
      <c r="EG722" s="424">
        <f t="shared" si="1800"/>
        <v>0</v>
      </c>
      <c r="EH722" s="424">
        <f t="shared" ref="EH722:EX722" si="1801">EH352*EH$372</f>
        <v>0</v>
      </c>
      <c r="EI722" s="424">
        <f t="shared" si="1801"/>
        <v>0</v>
      </c>
      <c r="EJ722" s="424">
        <f t="shared" si="1801"/>
        <v>0</v>
      </c>
      <c r="EK722" s="424">
        <f t="shared" si="1801"/>
        <v>0</v>
      </c>
      <c r="EL722" s="424">
        <f t="shared" si="1801"/>
        <v>0</v>
      </c>
      <c r="EM722" s="424">
        <f t="shared" si="1801"/>
        <v>0</v>
      </c>
      <c r="EN722" s="424">
        <f t="shared" si="1801"/>
        <v>0</v>
      </c>
      <c r="EO722" s="424">
        <f t="shared" si="1801"/>
        <v>0</v>
      </c>
      <c r="EP722" s="424">
        <f t="shared" si="1801"/>
        <v>0</v>
      </c>
      <c r="EQ722" s="424">
        <f t="shared" si="1801"/>
        <v>0</v>
      </c>
      <c r="ER722" s="424">
        <f t="shared" si="1801"/>
        <v>0</v>
      </c>
      <c r="ES722" s="424">
        <f t="shared" si="1801"/>
        <v>0</v>
      </c>
      <c r="ET722" s="424">
        <f t="shared" si="1801"/>
        <v>0</v>
      </c>
      <c r="EU722" s="424">
        <f t="shared" si="1801"/>
        <v>0</v>
      </c>
      <c r="EV722" s="424">
        <f t="shared" si="1801"/>
        <v>0</v>
      </c>
      <c r="EW722" s="424">
        <f t="shared" si="1801"/>
        <v>0</v>
      </c>
      <c r="EX722" s="424">
        <f t="shared" si="1801"/>
        <v>0</v>
      </c>
      <c r="EY722" s="425">
        <f t="shared" si="1776"/>
        <v>21.5</v>
      </c>
      <c r="EZ722" s="616"/>
      <c r="FA722" s="616"/>
      <c r="FB722" s="616"/>
      <c r="FC722" s="616"/>
      <c r="FD722" s="616"/>
      <c r="FE722" s="616"/>
      <c r="FF722" s="616"/>
      <c r="FG722" s="616"/>
      <c r="FH722" s="616"/>
      <c r="FI722" s="616"/>
      <c r="FJ722" s="616"/>
    </row>
    <row r="723" spans="1:166" s="605" customFormat="1" ht="14.7" customHeight="1" x14ac:dyDescent="0.25">
      <c r="A723" s="310">
        <v>349</v>
      </c>
      <c r="B723" s="311" t="str">
        <f t="shared" si="1657"/>
        <v>Вафли с пралиновыми начинками</v>
      </c>
      <c r="C723" s="483">
        <f t="shared" si="1750"/>
        <v>2.7</v>
      </c>
      <c r="D723" s="888"/>
      <c r="E723" s="888"/>
      <c r="F723" s="888"/>
      <c r="G723" s="889"/>
      <c r="H723" s="680" t="str">
        <f t="shared" si="1664"/>
        <v>ПРОМ</v>
      </c>
      <c r="I723" s="1209">
        <f t="shared" si="1658"/>
        <v>0</v>
      </c>
      <c r="J723" s="424">
        <f t="shared" ref="J723:AO723" si="1802">J353*J$372</f>
        <v>0</v>
      </c>
      <c r="K723" s="424">
        <f t="shared" si="1802"/>
        <v>0</v>
      </c>
      <c r="L723" s="424">
        <f t="shared" si="1802"/>
        <v>0</v>
      </c>
      <c r="M723" s="424">
        <f t="shared" si="1802"/>
        <v>0</v>
      </c>
      <c r="N723" s="424">
        <f t="shared" si="1802"/>
        <v>0</v>
      </c>
      <c r="O723" s="424">
        <f t="shared" si="1802"/>
        <v>0</v>
      </c>
      <c r="P723" s="424">
        <f t="shared" si="1802"/>
        <v>0</v>
      </c>
      <c r="Q723" s="424">
        <f t="shared" si="1802"/>
        <v>0</v>
      </c>
      <c r="R723" s="424">
        <f t="shared" si="1802"/>
        <v>0</v>
      </c>
      <c r="S723" s="424">
        <f t="shared" si="1802"/>
        <v>0</v>
      </c>
      <c r="T723" s="424">
        <f t="shared" si="1802"/>
        <v>0</v>
      </c>
      <c r="U723" s="424">
        <f t="shared" si="1802"/>
        <v>0</v>
      </c>
      <c r="V723" s="424">
        <f t="shared" si="1802"/>
        <v>0</v>
      </c>
      <c r="W723" s="424">
        <f t="shared" si="1802"/>
        <v>0</v>
      </c>
      <c r="X723" s="424">
        <f t="shared" si="1802"/>
        <v>0</v>
      </c>
      <c r="Y723" s="424">
        <f t="shared" si="1802"/>
        <v>0</v>
      </c>
      <c r="Z723" s="424">
        <f t="shared" si="1802"/>
        <v>0</v>
      </c>
      <c r="AA723" s="424">
        <f t="shared" si="1802"/>
        <v>0</v>
      </c>
      <c r="AB723" s="424">
        <f t="shared" si="1802"/>
        <v>0</v>
      </c>
      <c r="AC723" s="424">
        <f t="shared" si="1802"/>
        <v>0</v>
      </c>
      <c r="AD723" s="424">
        <f t="shared" si="1802"/>
        <v>0</v>
      </c>
      <c r="AE723" s="424">
        <f t="shared" si="1802"/>
        <v>0</v>
      </c>
      <c r="AF723" s="424">
        <f t="shared" si="1802"/>
        <v>0</v>
      </c>
      <c r="AG723" s="424">
        <f t="shared" si="1802"/>
        <v>0</v>
      </c>
      <c r="AH723" s="424">
        <f t="shared" si="1802"/>
        <v>0</v>
      </c>
      <c r="AI723" s="424">
        <f t="shared" si="1802"/>
        <v>0</v>
      </c>
      <c r="AJ723" s="424">
        <f t="shared" si="1802"/>
        <v>0</v>
      </c>
      <c r="AK723" s="424">
        <f t="shared" si="1802"/>
        <v>0</v>
      </c>
      <c r="AL723" s="424">
        <f t="shared" si="1802"/>
        <v>0</v>
      </c>
      <c r="AM723" s="424">
        <f t="shared" si="1802"/>
        <v>0</v>
      </c>
      <c r="AN723" s="424">
        <f t="shared" si="1802"/>
        <v>0</v>
      </c>
      <c r="AO723" s="424">
        <f t="shared" si="1802"/>
        <v>0</v>
      </c>
      <c r="AP723" s="424">
        <f t="shared" ref="AP723:BU723" si="1803">AP353*AP$372</f>
        <v>0</v>
      </c>
      <c r="AQ723" s="424">
        <f t="shared" si="1803"/>
        <v>0</v>
      </c>
      <c r="AR723" s="424">
        <f t="shared" si="1803"/>
        <v>0</v>
      </c>
      <c r="AS723" s="424">
        <f t="shared" si="1803"/>
        <v>0</v>
      </c>
      <c r="AT723" s="424">
        <f t="shared" si="1803"/>
        <v>0</v>
      </c>
      <c r="AU723" s="424">
        <f t="shared" si="1803"/>
        <v>0</v>
      </c>
      <c r="AV723" s="424">
        <f t="shared" si="1803"/>
        <v>0</v>
      </c>
      <c r="AW723" s="424">
        <f t="shared" si="1803"/>
        <v>0</v>
      </c>
      <c r="AX723" s="424">
        <f t="shared" si="1803"/>
        <v>0</v>
      </c>
      <c r="AY723" s="424">
        <f t="shared" si="1803"/>
        <v>0</v>
      </c>
      <c r="AZ723" s="424">
        <f t="shared" si="1803"/>
        <v>0</v>
      </c>
      <c r="BA723" s="424">
        <f t="shared" si="1803"/>
        <v>0</v>
      </c>
      <c r="BB723" s="424">
        <f t="shared" si="1803"/>
        <v>0</v>
      </c>
      <c r="BC723" s="424">
        <f t="shared" si="1803"/>
        <v>0</v>
      </c>
      <c r="BD723" s="424">
        <f t="shared" si="1803"/>
        <v>0</v>
      </c>
      <c r="BE723" s="424">
        <f t="shared" si="1803"/>
        <v>0</v>
      </c>
      <c r="BF723" s="424">
        <f t="shared" si="1803"/>
        <v>0</v>
      </c>
      <c r="BG723" s="424">
        <f t="shared" si="1803"/>
        <v>0</v>
      </c>
      <c r="BH723" s="424">
        <f t="shared" si="1803"/>
        <v>0</v>
      </c>
      <c r="BI723" s="424">
        <f t="shared" si="1803"/>
        <v>0</v>
      </c>
      <c r="BJ723" s="424">
        <f t="shared" si="1803"/>
        <v>0</v>
      </c>
      <c r="BK723" s="424">
        <f t="shared" si="1803"/>
        <v>0</v>
      </c>
      <c r="BL723" s="424">
        <f t="shared" si="1803"/>
        <v>0</v>
      </c>
      <c r="BM723" s="424">
        <f t="shared" si="1803"/>
        <v>0</v>
      </c>
      <c r="BN723" s="424">
        <f t="shared" si="1803"/>
        <v>0</v>
      </c>
      <c r="BO723" s="424">
        <f t="shared" si="1803"/>
        <v>0</v>
      </c>
      <c r="BP723" s="424">
        <f t="shared" si="1803"/>
        <v>0</v>
      </c>
      <c r="BQ723" s="424">
        <f t="shared" si="1803"/>
        <v>0</v>
      </c>
      <c r="BR723" s="424">
        <f t="shared" si="1803"/>
        <v>0</v>
      </c>
      <c r="BS723" s="424">
        <f t="shared" si="1803"/>
        <v>0</v>
      </c>
      <c r="BT723" s="424">
        <f t="shared" si="1803"/>
        <v>0</v>
      </c>
      <c r="BU723" s="424">
        <f t="shared" si="1803"/>
        <v>0</v>
      </c>
      <c r="BV723" s="424">
        <f t="shared" ref="BV723:DA723" si="1804">BV353*BV$372</f>
        <v>0</v>
      </c>
      <c r="BW723" s="424">
        <f t="shared" si="1804"/>
        <v>0</v>
      </c>
      <c r="BX723" s="424">
        <f t="shared" si="1804"/>
        <v>0</v>
      </c>
      <c r="BY723" s="424">
        <f t="shared" si="1804"/>
        <v>0</v>
      </c>
      <c r="BZ723" s="424">
        <f t="shared" si="1804"/>
        <v>0</v>
      </c>
      <c r="CA723" s="424">
        <f t="shared" si="1804"/>
        <v>0</v>
      </c>
      <c r="CB723" s="424">
        <f t="shared" si="1804"/>
        <v>0</v>
      </c>
      <c r="CC723" s="424">
        <f t="shared" si="1804"/>
        <v>0</v>
      </c>
      <c r="CD723" s="424">
        <f t="shared" si="1804"/>
        <v>0</v>
      </c>
      <c r="CE723" s="424">
        <f t="shared" si="1804"/>
        <v>0</v>
      </c>
      <c r="CF723" s="424">
        <f t="shared" si="1804"/>
        <v>0</v>
      </c>
      <c r="CG723" s="424">
        <f t="shared" si="1804"/>
        <v>0</v>
      </c>
      <c r="CH723" s="424">
        <f t="shared" si="1804"/>
        <v>0</v>
      </c>
      <c r="CI723" s="424">
        <f t="shared" si="1804"/>
        <v>0</v>
      </c>
      <c r="CJ723" s="424">
        <f t="shared" si="1804"/>
        <v>0</v>
      </c>
      <c r="CK723" s="424">
        <f t="shared" si="1804"/>
        <v>0</v>
      </c>
      <c r="CL723" s="424">
        <f t="shared" si="1804"/>
        <v>0</v>
      </c>
      <c r="CM723" s="424">
        <f t="shared" si="1804"/>
        <v>0</v>
      </c>
      <c r="CN723" s="424">
        <f t="shared" si="1804"/>
        <v>0</v>
      </c>
      <c r="CO723" s="424">
        <f t="shared" si="1804"/>
        <v>0</v>
      </c>
      <c r="CP723" s="424">
        <f t="shared" si="1804"/>
        <v>0</v>
      </c>
      <c r="CQ723" s="424">
        <f t="shared" si="1804"/>
        <v>0</v>
      </c>
      <c r="CR723" s="424">
        <f t="shared" si="1804"/>
        <v>0</v>
      </c>
      <c r="CS723" s="424">
        <f t="shared" si="1804"/>
        <v>0</v>
      </c>
      <c r="CT723" s="424">
        <f t="shared" si="1804"/>
        <v>0</v>
      </c>
      <c r="CU723" s="424">
        <f t="shared" si="1804"/>
        <v>0</v>
      </c>
      <c r="CV723" s="424">
        <f t="shared" si="1804"/>
        <v>0</v>
      </c>
      <c r="CW723" s="424">
        <f t="shared" si="1804"/>
        <v>0</v>
      </c>
      <c r="CX723" s="424">
        <f t="shared" si="1804"/>
        <v>0</v>
      </c>
      <c r="CY723" s="424">
        <f t="shared" si="1804"/>
        <v>0</v>
      </c>
      <c r="CZ723" s="424">
        <f t="shared" si="1804"/>
        <v>0</v>
      </c>
      <c r="DA723" s="424">
        <f t="shared" si="1804"/>
        <v>0</v>
      </c>
      <c r="DB723" s="424">
        <f t="shared" ref="DB723:EG723" si="1805">DB353*DB$372</f>
        <v>0</v>
      </c>
      <c r="DC723" s="424">
        <f t="shared" si="1805"/>
        <v>0</v>
      </c>
      <c r="DD723" s="424">
        <f t="shared" si="1805"/>
        <v>0</v>
      </c>
      <c r="DE723" s="424">
        <f t="shared" si="1805"/>
        <v>0</v>
      </c>
      <c r="DF723" s="424">
        <f t="shared" si="1805"/>
        <v>0</v>
      </c>
      <c r="DG723" s="424">
        <f t="shared" si="1805"/>
        <v>0</v>
      </c>
      <c r="DH723" s="424">
        <f t="shared" si="1805"/>
        <v>0</v>
      </c>
      <c r="DI723" s="424">
        <f t="shared" si="1805"/>
        <v>0</v>
      </c>
      <c r="DJ723" s="424">
        <f t="shared" si="1805"/>
        <v>0</v>
      </c>
      <c r="DK723" s="424">
        <f t="shared" si="1805"/>
        <v>0</v>
      </c>
      <c r="DL723" s="424">
        <f t="shared" si="1805"/>
        <v>0</v>
      </c>
      <c r="DM723" s="424">
        <f t="shared" si="1805"/>
        <v>0</v>
      </c>
      <c r="DN723" s="424">
        <f t="shared" si="1805"/>
        <v>0</v>
      </c>
      <c r="DO723" s="424">
        <f t="shared" si="1805"/>
        <v>0</v>
      </c>
      <c r="DP723" s="424">
        <f t="shared" si="1805"/>
        <v>0</v>
      </c>
      <c r="DQ723" s="424">
        <f t="shared" si="1805"/>
        <v>0</v>
      </c>
      <c r="DR723" s="424">
        <f t="shared" si="1805"/>
        <v>0</v>
      </c>
      <c r="DS723" s="424">
        <f t="shared" si="1805"/>
        <v>0</v>
      </c>
      <c r="DT723" s="424">
        <f t="shared" si="1805"/>
        <v>0</v>
      </c>
      <c r="DU723" s="424">
        <f t="shared" si="1805"/>
        <v>0</v>
      </c>
      <c r="DV723" s="424">
        <f t="shared" si="1805"/>
        <v>0</v>
      </c>
      <c r="DW723" s="424">
        <f t="shared" si="1805"/>
        <v>0</v>
      </c>
      <c r="DX723" s="424">
        <f t="shared" si="1805"/>
        <v>0</v>
      </c>
      <c r="DY723" s="424">
        <f t="shared" si="1805"/>
        <v>0</v>
      </c>
      <c r="DZ723" s="424">
        <f t="shared" si="1805"/>
        <v>0</v>
      </c>
      <c r="EA723" s="424">
        <f t="shared" si="1805"/>
        <v>0</v>
      </c>
      <c r="EB723" s="424">
        <f t="shared" si="1805"/>
        <v>0</v>
      </c>
      <c r="EC723" s="424">
        <f t="shared" si="1805"/>
        <v>0</v>
      </c>
      <c r="ED723" s="424">
        <f t="shared" si="1805"/>
        <v>0</v>
      </c>
      <c r="EE723" s="424">
        <f t="shared" si="1805"/>
        <v>0</v>
      </c>
      <c r="EF723" s="424">
        <f t="shared" si="1805"/>
        <v>0</v>
      </c>
      <c r="EG723" s="424">
        <f t="shared" si="1805"/>
        <v>2.7</v>
      </c>
      <c r="EH723" s="424">
        <f t="shared" ref="EH723:EX723" si="1806">EH353*EH$372</f>
        <v>0</v>
      </c>
      <c r="EI723" s="424">
        <f t="shared" si="1806"/>
        <v>0</v>
      </c>
      <c r="EJ723" s="424">
        <f t="shared" si="1806"/>
        <v>0</v>
      </c>
      <c r="EK723" s="424">
        <f t="shared" si="1806"/>
        <v>0</v>
      </c>
      <c r="EL723" s="424">
        <f t="shared" si="1806"/>
        <v>0</v>
      </c>
      <c r="EM723" s="424">
        <f t="shared" si="1806"/>
        <v>0</v>
      </c>
      <c r="EN723" s="424">
        <f t="shared" si="1806"/>
        <v>0</v>
      </c>
      <c r="EO723" s="424">
        <f t="shared" si="1806"/>
        <v>0</v>
      </c>
      <c r="EP723" s="424">
        <f t="shared" si="1806"/>
        <v>0</v>
      </c>
      <c r="EQ723" s="424">
        <f t="shared" si="1806"/>
        <v>0</v>
      </c>
      <c r="ER723" s="424">
        <f t="shared" si="1806"/>
        <v>0</v>
      </c>
      <c r="ES723" s="424">
        <f t="shared" si="1806"/>
        <v>0</v>
      </c>
      <c r="ET723" s="424">
        <f t="shared" si="1806"/>
        <v>0</v>
      </c>
      <c r="EU723" s="424">
        <f t="shared" si="1806"/>
        <v>0</v>
      </c>
      <c r="EV723" s="424">
        <f t="shared" si="1806"/>
        <v>0</v>
      </c>
      <c r="EW723" s="424">
        <f t="shared" si="1806"/>
        <v>0</v>
      </c>
      <c r="EX723" s="424">
        <f t="shared" si="1806"/>
        <v>0</v>
      </c>
      <c r="EY723" s="425">
        <f t="shared" si="1776"/>
        <v>2.7</v>
      </c>
      <c r="EZ723" s="616"/>
      <c r="FA723" s="616"/>
      <c r="FB723" s="616"/>
      <c r="FC723" s="616"/>
      <c r="FD723" s="616"/>
      <c r="FE723" s="616"/>
      <c r="FF723" s="616"/>
      <c r="FG723" s="616"/>
      <c r="FH723" s="616"/>
      <c r="FI723" s="616"/>
      <c r="FJ723" s="616"/>
    </row>
    <row r="724" spans="1:166" s="605" customFormat="1" ht="14.7" customHeight="1" x14ac:dyDescent="0.25">
      <c r="A724" s="310">
        <v>350</v>
      </c>
      <c r="B724" s="311" t="str">
        <f t="shared" si="1657"/>
        <v>Сок натуральный (виноградный, яблочный и др. в пакетах)</v>
      </c>
      <c r="C724" s="483">
        <f t="shared" si="1750"/>
        <v>15</v>
      </c>
      <c r="D724" s="888"/>
      <c r="E724" s="888"/>
      <c r="F724" s="888"/>
      <c r="G724" s="889"/>
      <c r="H724" s="680" t="str">
        <f t="shared" si="1664"/>
        <v>ПРОМ</v>
      </c>
      <c r="I724" s="1209">
        <f t="shared" si="1658"/>
        <v>0</v>
      </c>
      <c r="J724" s="424">
        <f t="shared" ref="J724:AO724" si="1807">J354*J$372</f>
        <v>0</v>
      </c>
      <c r="K724" s="424">
        <f t="shared" si="1807"/>
        <v>0</v>
      </c>
      <c r="L724" s="424">
        <f t="shared" si="1807"/>
        <v>0</v>
      </c>
      <c r="M724" s="424">
        <f t="shared" si="1807"/>
        <v>0</v>
      </c>
      <c r="N724" s="424">
        <f t="shared" si="1807"/>
        <v>0</v>
      </c>
      <c r="O724" s="424">
        <f t="shared" si="1807"/>
        <v>0</v>
      </c>
      <c r="P724" s="424">
        <f t="shared" si="1807"/>
        <v>0</v>
      </c>
      <c r="Q724" s="424">
        <f t="shared" si="1807"/>
        <v>0</v>
      </c>
      <c r="R724" s="424">
        <f t="shared" si="1807"/>
        <v>0</v>
      </c>
      <c r="S724" s="424">
        <f t="shared" si="1807"/>
        <v>0</v>
      </c>
      <c r="T724" s="424">
        <f t="shared" si="1807"/>
        <v>0</v>
      </c>
      <c r="U724" s="424">
        <f t="shared" si="1807"/>
        <v>0</v>
      </c>
      <c r="V724" s="424">
        <f t="shared" si="1807"/>
        <v>0</v>
      </c>
      <c r="W724" s="424">
        <f t="shared" si="1807"/>
        <v>0</v>
      </c>
      <c r="X724" s="424">
        <f t="shared" si="1807"/>
        <v>0</v>
      </c>
      <c r="Y724" s="424">
        <f t="shared" si="1807"/>
        <v>0</v>
      </c>
      <c r="Z724" s="424">
        <f t="shared" si="1807"/>
        <v>0</v>
      </c>
      <c r="AA724" s="424">
        <f t="shared" si="1807"/>
        <v>0</v>
      </c>
      <c r="AB724" s="424">
        <f t="shared" si="1807"/>
        <v>0</v>
      </c>
      <c r="AC724" s="424">
        <f t="shared" si="1807"/>
        <v>0</v>
      </c>
      <c r="AD724" s="424">
        <f t="shared" si="1807"/>
        <v>0</v>
      </c>
      <c r="AE724" s="424">
        <f t="shared" si="1807"/>
        <v>0</v>
      </c>
      <c r="AF724" s="424">
        <f t="shared" si="1807"/>
        <v>0</v>
      </c>
      <c r="AG724" s="424">
        <f t="shared" si="1807"/>
        <v>0</v>
      </c>
      <c r="AH724" s="424">
        <f t="shared" si="1807"/>
        <v>0</v>
      </c>
      <c r="AI724" s="424">
        <f t="shared" si="1807"/>
        <v>0</v>
      </c>
      <c r="AJ724" s="424">
        <f t="shared" si="1807"/>
        <v>0</v>
      </c>
      <c r="AK724" s="424">
        <f t="shared" si="1807"/>
        <v>0</v>
      </c>
      <c r="AL724" s="424">
        <f t="shared" si="1807"/>
        <v>0</v>
      </c>
      <c r="AM724" s="424">
        <f t="shared" si="1807"/>
        <v>0</v>
      </c>
      <c r="AN724" s="424">
        <f t="shared" si="1807"/>
        <v>0</v>
      </c>
      <c r="AO724" s="424">
        <f t="shared" si="1807"/>
        <v>0</v>
      </c>
      <c r="AP724" s="424">
        <f t="shared" ref="AP724:BU724" si="1808">AP354*AP$372</f>
        <v>0</v>
      </c>
      <c r="AQ724" s="424">
        <f t="shared" si="1808"/>
        <v>0</v>
      </c>
      <c r="AR724" s="424">
        <f t="shared" si="1808"/>
        <v>0</v>
      </c>
      <c r="AS724" s="424">
        <f t="shared" si="1808"/>
        <v>0</v>
      </c>
      <c r="AT724" s="424">
        <f t="shared" si="1808"/>
        <v>0</v>
      </c>
      <c r="AU724" s="424">
        <f t="shared" si="1808"/>
        <v>0</v>
      </c>
      <c r="AV724" s="424">
        <f t="shared" si="1808"/>
        <v>0</v>
      </c>
      <c r="AW724" s="424">
        <f t="shared" si="1808"/>
        <v>0</v>
      </c>
      <c r="AX724" s="424">
        <f t="shared" si="1808"/>
        <v>0</v>
      </c>
      <c r="AY724" s="424">
        <f t="shared" si="1808"/>
        <v>0</v>
      </c>
      <c r="AZ724" s="424">
        <f t="shared" si="1808"/>
        <v>0</v>
      </c>
      <c r="BA724" s="424">
        <f t="shared" si="1808"/>
        <v>0</v>
      </c>
      <c r="BB724" s="424">
        <f t="shared" si="1808"/>
        <v>0</v>
      </c>
      <c r="BC724" s="424">
        <f t="shared" si="1808"/>
        <v>0</v>
      </c>
      <c r="BD724" s="424">
        <f t="shared" si="1808"/>
        <v>0</v>
      </c>
      <c r="BE724" s="424">
        <f t="shared" si="1808"/>
        <v>0</v>
      </c>
      <c r="BF724" s="424">
        <f t="shared" si="1808"/>
        <v>0</v>
      </c>
      <c r="BG724" s="424">
        <f t="shared" si="1808"/>
        <v>0</v>
      </c>
      <c r="BH724" s="424">
        <f t="shared" si="1808"/>
        <v>0</v>
      </c>
      <c r="BI724" s="424">
        <f t="shared" si="1808"/>
        <v>0</v>
      </c>
      <c r="BJ724" s="424">
        <f t="shared" si="1808"/>
        <v>0</v>
      </c>
      <c r="BK724" s="424">
        <f t="shared" si="1808"/>
        <v>0</v>
      </c>
      <c r="BL724" s="424">
        <f t="shared" si="1808"/>
        <v>0</v>
      </c>
      <c r="BM724" s="424">
        <f t="shared" si="1808"/>
        <v>0</v>
      </c>
      <c r="BN724" s="424">
        <f t="shared" si="1808"/>
        <v>0</v>
      </c>
      <c r="BO724" s="424">
        <f t="shared" si="1808"/>
        <v>0</v>
      </c>
      <c r="BP724" s="424">
        <f t="shared" si="1808"/>
        <v>0</v>
      </c>
      <c r="BQ724" s="424">
        <f t="shared" si="1808"/>
        <v>0</v>
      </c>
      <c r="BR724" s="424">
        <f t="shared" si="1808"/>
        <v>0</v>
      </c>
      <c r="BS724" s="424">
        <f t="shared" si="1808"/>
        <v>0</v>
      </c>
      <c r="BT724" s="424">
        <f t="shared" si="1808"/>
        <v>0</v>
      </c>
      <c r="BU724" s="424">
        <f t="shared" si="1808"/>
        <v>0</v>
      </c>
      <c r="BV724" s="424">
        <f t="shared" ref="BV724:DA724" si="1809">BV354*BV$372</f>
        <v>0</v>
      </c>
      <c r="BW724" s="424">
        <f t="shared" si="1809"/>
        <v>0</v>
      </c>
      <c r="BX724" s="424">
        <f t="shared" si="1809"/>
        <v>0</v>
      </c>
      <c r="BY724" s="424">
        <f t="shared" si="1809"/>
        <v>0</v>
      </c>
      <c r="BZ724" s="424">
        <f t="shared" si="1809"/>
        <v>0</v>
      </c>
      <c r="CA724" s="424">
        <f t="shared" si="1809"/>
        <v>0</v>
      </c>
      <c r="CB724" s="424">
        <f t="shared" si="1809"/>
        <v>0</v>
      </c>
      <c r="CC724" s="424">
        <f t="shared" si="1809"/>
        <v>0</v>
      </c>
      <c r="CD724" s="424">
        <f t="shared" si="1809"/>
        <v>0</v>
      </c>
      <c r="CE724" s="424">
        <f t="shared" si="1809"/>
        <v>0</v>
      </c>
      <c r="CF724" s="424">
        <f t="shared" si="1809"/>
        <v>0</v>
      </c>
      <c r="CG724" s="424">
        <f t="shared" si="1809"/>
        <v>0</v>
      </c>
      <c r="CH724" s="424">
        <f t="shared" si="1809"/>
        <v>0</v>
      </c>
      <c r="CI724" s="424">
        <f t="shared" si="1809"/>
        <v>0</v>
      </c>
      <c r="CJ724" s="424">
        <f t="shared" si="1809"/>
        <v>0</v>
      </c>
      <c r="CK724" s="424">
        <f t="shared" si="1809"/>
        <v>0</v>
      </c>
      <c r="CL724" s="424">
        <f t="shared" si="1809"/>
        <v>0</v>
      </c>
      <c r="CM724" s="424">
        <f t="shared" si="1809"/>
        <v>0</v>
      </c>
      <c r="CN724" s="424">
        <f t="shared" si="1809"/>
        <v>0</v>
      </c>
      <c r="CO724" s="424">
        <f t="shared" si="1809"/>
        <v>0</v>
      </c>
      <c r="CP724" s="424">
        <f t="shared" si="1809"/>
        <v>0</v>
      </c>
      <c r="CQ724" s="424">
        <f t="shared" si="1809"/>
        <v>0</v>
      </c>
      <c r="CR724" s="424">
        <f t="shared" si="1809"/>
        <v>0</v>
      </c>
      <c r="CS724" s="424">
        <f t="shared" si="1809"/>
        <v>0</v>
      </c>
      <c r="CT724" s="424">
        <f t="shared" si="1809"/>
        <v>0</v>
      </c>
      <c r="CU724" s="424">
        <f t="shared" si="1809"/>
        <v>0</v>
      </c>
      <c r="CV724" s="424">
        <f t="shared" si="1809"/>
        <v>0</v>
      </c>
      <c r="CW724" s="424">
        <f t="shared" si="1809"/>
        <v>0</v>
      </c>
      <c r="CX724" s="424">
        <f t="shared" si="1809"/>
        <v>0</v>
      </c>
      <c r="CY724" s="424">
        <f t="shared" si="1809"/>
        <v>0</v>
      </c>
      <c r="CZ724" s="424">
        <f t="shared" si="1809"/>
        <v>0</v>
      </c>
      <c r="DA724" s="424">
        <f t="shared" si="1809"/>
        <v>0</v>
      </c>
      <c r="DB724" s="424">
        <f t="shared" ref="DB724:EG724" si="1810">DB354*DB$372</f>
        <v>0</v>
      </c>
      <c r="DC724" s="424">
        <f t="shared" si="1810"/>
        <v>0</v>
      </c>
      <c r="DD724" s="424">
        <f t="shared" si="1810"/>
        <v>0</v>
      </c>
      <c r="DE724" s="424">
        <f t="shared" si="1810"/>
        <v>0</v>
      </c>
      <c r="DF724" s="424">
        <f t="shared" si="1810"/>
        <v>0</v>
      </c>
      <c r="DG724" s="424">
        <f t="shared" si="1810"/>
        <v>0</v>
      </c>
      <c r="DH724" s="424">
        <f t="shared" si="1810"/>
        <v>0</v>
      </c>
      <c r="DI724" s="424">
        <f t="shared" si="1810"/>
        <v>0</v>
      </c>
      <c r="DJ724" s="424">
        <f t="shared" si="1810"/>
        <v>0</v>
      </c>
      <c r="DK724" s="424">
        <f t="shared" si="1810"/>
        <v>0</v>
      </c>
      <c r="DL724" s="424">
        <f t="shared" si="1810"/>
        <v>0</v>
      </c>
      <c r="DM724" s="424">
        <f t="shared" si="1810"/>
        <v>0</v>
      </c>
      <c r="DN724" s="424">
        <f t="shared" si="1810"/>
        <v>0</v>
      </c>
      <c r="DO724" s="424">
        <f t="shared" si="1810"/>
        <v>0</v>
      </c>
      <c r="DP724" s="424">
        <f t="shared" si="1810"/>
        <v>0</v>
      </c>
      <c r="DQ724" s="424">
        <f t="shared" si="1810"/>
        <v>0</v>
      </c>
      <c r="DR724" s="424">
        <f t="shared" si="1810"/>
        <v>0</v>
      </c>
      <c r="DS724" s="424">
        <f t="shared" si="1810"/>
        <v>0</v>
      </c>
      <c r="DT724" s="424">
        <f t="shared" si="1810"/>
        <v>0</v>
      </c>
      <c r="DU724" s="424">
        <f t="shared" si="1810"/>
        <v>0</v>
      </c>
      <c r="DV724" s="424">
        <f t="shared" si="1810"/>
        <v>0</v>
      </c>
      <c r="DW724" s="424">
        <f t="shared" si="1810"/>
        <v>0</v>
      </c>
      <c r="DX724" s="424">
        <f t="shared" si="1810"/>
        <v>0</v>
      </c>
      <c r="DY724" s="424">
        <f t="shared" si="1810"/>
        <v>0</v>
      </c>
      <c r="DZ724" s="424">
        <f t="shared" si="1810"/>
        <v>0</v>
      </c>
      <c r="EA724" s="424">
        <f t="shared" si="1810"/>
        <v>0</v>
      </c>
      <c r="EB724" s="424">
        <f t="shared" si="1810"/>
        <v>0</v>
      </c>
      <c r="EC724" s="424">
        <f t="shared" si="1810"/>
        <v>0</v>
      </c>
      <c r="ED724" s="424">
        <f t="shared" si="1810"/>
        <v>0</v>
      </c>
      <c r="EE724" s="424">
        <f t="shared" si="1810"/>
        <v>0</v>
      </c>
      <c r="EF724" s="424">
        <f t="shared" si="1810"/>
        <v>0</v>
      </c>
      <c r="EG724" s="424">
        <f t="shared" si="1810"/>
        <v>0</v>
      </c>
      <c r="EH724" s="424">
        <f t="shared" ref="EH724:EX724" si="1811">EH354*EH$372</f>
        <v>0</v>
      </c>
      <c r="EI724" s="424">
        <f t="shared" si="1811"/>
        <v>15</v>
      </c>
      <c r="EJ724" s="424">
        <f t="shared" si="1811"/>
        <v>0</v>
      </c>
      <c r="EK724" s="424">
        <f t="shared" si="1811"/>
        <v>0</v>
      </c>
      <c r="EL724" s="424">
        <f t="shared" si="1811"/>
        <v>0</v>
      </c>
      <c r="EM724" s="424">
        <f t="shared" si="1811"/>
        <v>0</v>
      </c>
      <c r="EN724" s="424">
        <f t="shared" si="1811"/>
        <v>0</v>
      </c>
      <c r="EO724" s="424">
        <f t="shared" si="1811"/>
        <v>0</v>
      </c>
      <c r="EP724" s="424">
        <f t="shared" si="1811"/>
        <v>0</v>
      </c>
      <c r="EQ724" s="424">
        <f t="shared" si="1811"/>
        <v>0</v>
      </c>
      <c r="ER724" s="424">
        <f t="shared" si="1811"/>
        <v>0</v>
      </c>
      <c r="ES724" s="424">
        <f t="shared" si="1811"/>
        <v>0</v>
      </c>
      <c r="ET724" s="424">
        <f t="shared" si="1811"/>
        <v>0</v>
      </c>
      <c r="EU724" s="424">
        <f t="shared" si="1811"/>
        <v>0</v>
      </c>
      <c r="EV724" s="424">
        <f t="shared" si="1811"/>
        <v>0</v>
      </c>
      <c r="EW724" s="424">
        <f t="shared" si="1811"/>
        <v>0</v>
      </c>
      <c r="EX724" s="424">
        <f t="shared" si="1811"/>
        <v>0</v>
      </c>
      <c r="EY724" s="425">
        <f t="shared" si="1776"/>
        <v>15</v>
      </c>
      <c r="EZ724" s="616"/>
      <c r="FA724" s="616"/>
      <c r="FB724" s="616"/>
      <c r="FC724" s="616"/>
      <c r="FD724" s="616"/>
      <c r="FE724" s="616"/>
      <c r="FF724" s="616"/>
      <c r="FG724" s="616"/>
      <c r="FH724" s="616"/>
      <c r="FI724" s="616"/>
      <c r="FJ724" s="616"/>
    </row>
    <row r="725" spans="1:166" s="605" customFormat="1" ht="14.7" customHeight="1" x14ac:dyDescent="0.25">
      <c r="A725" s="310">
        <v>351</v>
      </c>
      <c r="B725" s="311" t="str">
        <f t="shared" si="1657"/>
        <v>Конфеты сливочные ( Лёвушка)</v>
      </c>
      <c r="C725" s="483">
        <f t="shared" si="1750"/>
        <v>10.199999999999999</v>
      </c>
      <c r="D725" s="888"/>
      <c r="E725" s="888"/>
      <c r="F725" s="888"/>
      <c r="G725" s="889"/>
      <c r="H725" s="680" t="str">
        <f t="shared" si="1664"/>
        <v>ПРОМ</v>
      </c>
      <c r="I725" s="1209">
        <f t="shared" si="1658"/>
        <v>0</v>
      </c>
      <c r="J725" s="424">
        <f t="shared" ref="J725:AO725" si="1812">J355*J$372</f>
        <v>0</v>
      </c>
      <c r="K725" s="424">
        <f t="shared" si="1812"/>
        <v>0</v>
      </c>
      <c r="L725" s="424">
        <f t="shared" si="1812"/>
        <v>0</v>
      </c>
      <c r="M725" s="424">
        <f t="shared" si="1812"/>
        <v>0</v>
      </c>
      <c r="N725" s="424">
        <f t="shared" si="1812"/>
        <v>0</v>
      </c>
      <c r="O725" s="424">
        <f t="shared" si="1812"/>
        <v>0</v>
      </c>
      <c r="P725" s="424">
        <f t="shared" si="1812"/>
        <v>0</v>
      </c>
      <c r="Q725" s="424">
        <f t="shared" si="1812"/>
        <v>0</v>
      </c>
      <c r="R725" s="424">
        <f t="shared" si="1812"/>
        <v>0</v>
      </c>
      <c r="S725" s="424">
        <f t="shared" si="1812"/>
        <v>0</v>
      </c>
      <c r="T725" s="424">
        <f t="shared" si="1812"/>
        <v>0</v>
      </c>
      <c r="U725" s="424">
        <f t="shared" si="1812"/>
        <v>0</v>
      </c>
      <c r="V725" s="424">
        <f t="shared" si="1812"/>
        <v>0</v>
      </c>
      <c r="W725" s="424">
        <f t="shared" si="1812"/>
        <v>0</v>
      </c>
      <c r="X725" s="424">
        <f t="shared" si="1812"/>
        <v>0</v>
      </c>
      <c r="Y725" s="424">
        <f t="shared" si="1812"/>
        <v>0</v>
      </c>
      <c r="Z725" s="424">
        <f t="shared" si="1812"/>
        <v>0</v>
      </c>
      <c r="AA725" s="424">
        <f t="shared" si="1812"/>
        <v>0</v>
      </c>
      <c r="AB725" s="424">
        <f t="shared" si="1812"/>
        <v>0</v>
      </c>
      <c r="AC725" s="424">
        <f t="shared" si="1812"/>
        <v>0</v>
      </c>
      <c r="AD725" s="424">
        <f t="shared" si="1812"/>
        <v>0</v>
      </c>
      <c r="AE725" s="424">
        <f t="shared" si="1812"/>
        <v>0</v>
      </c>
      <c r="AF725" s="424">
        <f t="shared" si="1812"/>
        <v>0</v>
      </c>
      <c r="AG725" s="424">
        <f t="shared" si="1812"/>
        <v>0</v>
      </c>
      <c r="AH725" s="424">
        <f t="shared" si="1812"/>
        <v>0</v>
      </c>
      <c r="AI725" s="424">
        <f t="shared" si="1812"/>
        <v>0</v>
      </c>
      <c r="AJ725" s="424">
        <f t="shared" si="1812"/>
        <v>0</v>
      </c>
      <c r="AK725" s="424">
        <f t="shared" si="1812"/>
        <v>0</v>
      </c>
      <c r="AL725" s="424">
        <f t="shared" si="1812"/>
        <v>0</v>
      </c>
      <c r="AM725" s="424">
        <f t="shared" si="1812"/>
        <v>0</v>
      </c>
      <c r="AN725" s="424">
        <f t="shared" si="1812"/>
        <v>0</v>
      </c>
      <c r="AO725" s="424">
        <f t="shared" si="1812"/>
        <v>0</v>
      </c>
      <c r="AP725" s="424">
        <f t="shared" ref="AP725:BU725" si="1813">AP355*AP$372</f>
        <v>0</v>
      </c>
      <c r="AQ725" s="424">
        <f t="shared" si="1813"/>
        <v>0</v>
      </c>
      <c r="AR725" s="424">
        <f t="shared" si="1813"/>
        <v>0</v>
      </c>
      <c r="AS725" s="424">
        <f t="shared" si="1813"/>
        <v>0</v>
      </c>
      <c r="AT725" s="424">
        <f t="shared" si="1813"/>
        <v>0</v>
      </c>
      <c r="AU725" s="424">
        <f t="shared" si="1813"/>
        <v>0</v>
      </c>
      <c r="AV725" s="424">
        <f t="shared" si="1813"/>
        <v>0</v>
      </c>
      <c r="AW725" s="424">
        <f t="shared" si="1813"/>
        <v>0</v>
      </c>
      <c r="AX725" s="424">
        <f t="shared" si="1813"/>
        <v>0</v>
      </c>
      <c r="AY725" s="424">
        <f t="shared" si="1813"/>
        <v>0</v>
      </c>
      <c r="AZ725" s="424">
        <f t="shared" si="1813"/>
        <v>0</v>
      </c>
      <c r="BA725" s="424">
        <f t="shared" si="1813"/>
        <v>0</v>
      </c>
      <c r="BB725" s="424">
        <f t="shared" si="1813"/>
        <v>0</v>
      </c>
      <c r="BC725" s="424">
        <f t="shared" si="1813"/>
        <v>0</v>
      </c>
      <c r="BD725" s="424">
        <f t="shared" si="1813"/>
        <v>0</v>
      </c>
      <c r="BE725" s="424">
        <f t="shared" si="1813"/>
        <v>0</v>
      </c>
      <c r="BF725" s="424">
        <f t="shared" si="1813"/>
        <v>0</v>
      </c>
      <c r="BG725" s="424">
        <f t="shared" si="1813"/>
        <v>0</v>
      </c>
      <c r="BH725" s="424">
        <f t="shared" si="1813"/>
        <v>0</v>
      </c>
      <c r="BI725" s="424">
        <f t="shared" si="1813"/>
        <v>0</v>
      </c>
      <c r="BJ725" s="424">
        <f t="shared" si="1813"/>
        <v>0</v>
      </c>
      <c r="BK725" s="424">
        <f t="shared" si="1813"/>
        <v>0</v>
      </c>
      <c r="BL725" s="424">
        <f t="shared" si="1813"/>
        <v>0</v>
      </c>
      <c r="BM725" s="424">
        <f t="shared" si="1813"/>
        <v>0</v>
      </c>
      <c r="BN725" s="424">
        <f t="shared" si="1813"/>
        <v>0</v>
      </c>
      <c r="BO725" s="424">
        <f t="shared" si="1813"/>
        <v>0</v>
      </c>
      <c r="BP725" s="424">
        <f t="shared" si="1813"/>
        <v>0</v>
      </c>
      <c r="BQ725" s="424">
        <f t="shared" si="1813"/>
        <v>0</v>
      </c>
      <c r="BR725" s="424">
        <f t="shared" si="1813"/>
        <v>0</v>
      </c>
      <c r="BS725" s="424">
        <f t="shared" si="1813"/>
        <v>0</v>
      </c>
      <c r="BT725" s="424">
        <f t="shared" si="1813"/>
        <v>0</v>
      </c>
      <c r="BU725" s="424">
        <f t="shared" si="1813"/>
        <v>0</v>
      </c>
      <c r="BV725" s="424">
        <f t="shared" ref="BV725:DA725" si="1814">BV355*BV$372</f>
        <v>0</v>
      </c>
      <c r="BW725" s="424">
        <f t="shared" si="1814"/>
        <v>0</v>
      </c>
      <c r="BX725" s="424">
        <f t="shared" si="1814"/>
        <v>0</v>
      </c>
      <c r="BY725" s="424">
        <f t="shared" si="1814"/>
        <v>0</v>
      </c>
      <c r="BZ725" s="424">
        <f t="shared" si="1814"/>
        <v>0</v>
      </c>
      <c r="CA725" s="424">
        <f t="shared" si="1814"/>
        <v>0</v>
      </c>
      <c r="CB725" s="424">
        <f t="shared" si="1814"/>
        <v>0</v>
      </c>
      <c r="CC725" s="424">
        <f t="shared" si="1814"/>
        <v>0</v>
      </c>
      <c r="CD725" s="424">
        <f t="shared" si="1814"/>
        <v>0</v>
      </c>
      <c r="CE725" s="424">
        <f t="shared" si="1814"/>
        <v>0</v>
      </c>
      <c r="CF725" s="424">
        <f t="shared" si="1814"/>
        <v>0</v>
      </c>
      <c r="CG725" s="424">
        <f t="shared" si="1814"/>
        <v>0</v>
      </c>
      <c r="CH725" s="424">
        <f t="shared" si="1814"/>
        <v>0</v>
      </c>
      <c r="CI725" s="424">
        <f t="shared" si="1814"/>
        <v>0</v>
      </c>
      <c r="CJ725" s="424">
        <f t="shared" si="1814"/>
        <v>0</v>
      </c>
      <c r="CK725" s="424">
        <f t="shared" si="1814"/>
        <v>0</v>
      </c>
      <c r="CL725" s="424">
        <f t="shared" si="1814"/>
        <v>0</v>
      </c>
      <c r="CM725" s="424">
        <f t="shared" si="1814"/>
        <v>0</v>
      </c>
      <c r="CN725" s="424">
        <f t="shared" si="1814"/>
        <v>0</v>
      </c>
      <c r="CO725" s="424">
        <f t="shared" si="1814"/>
        <v>0</v>
      </c>
      <c r="CP725" s="424">
        <f t="shared" si="1814"/>
        <v>0</v>
      </c>
      <c r="CQ725" s="424">
        <f t="shared" si="1814"/>
        <v>0</v>
      </c>
      <c r="CR725" s="424">
        <f t="shared" si="1814"/>
        <v>0</v>
      </c>
      <c r="CS725" s="424">
        <f t="shared" si="1814"/>
        <v>0</v>
      </c>
      <c r="CT725" s="424">
        <f t="shared" si="1814"/>
        <v>0</v>
      </c>
      <c r="CU725" s="424">
        <f t="shared" si="1814"/>
        <v>0</v>
      </c>
      <c r="CV725" s="424">
        <f t="shared" si="1814"/>
        <v>0</v>
      </c>
      <c r="CW725" s="424">
        <f t="shared" si="1814"/>
        <v>0</v>
      </c>
      <c r="CX725" s="424">
        <f t="shared" si="1814"/>
        <v>0</v>
      </c>
      <c r="CY725" s="424">
        <f t="shared" si="1814"/>
        <v>0</v>
      </c>
      <c r="CZ725" s="424">
        <f t="shared" si="1814"/>
        <v>0</v>
      </c>
      <c r="DA725" s="424">
        <f t="shared" si="1814"/>
        <v>0</v>
      </c>
      <c r="DB725" s="424">
        <f t="shared" ref="DB725:EG725" si="1815">DB355*DB$372</f>
        <v>0</v>
      </c>
      <c r="DC725" s="424">
        <f t="shared" si="1815"/>
        <v>0</v>
      </c>
      <c r="DD725" s="424">
        <f t="shared" si="1815"/>
        <v>0</v>
      </c>
      <c r="DE725" s="424">
        <f t="shared" si="1815"/>
        <v>0</v>
      </c>
      <c r="DF725" s="424">
        <f t="shared" si="1815"/>
        <v>0</v>
      </c>
      <c r="DG725" s="424">
        <f t="shared" si="1815"/>
        <v>0</v>
      </c>
      <c r="DH725" s="424">
        <f t="shared" si="1815"/>
        <v>0</v>
      </c>
      <c r="DI725" s="424">
        <f t="shared" si="1815"/>
        <v>0</v>
      </c>
      <c r="DJ725" s="424">
        <f t="shared" si="1815"/>
        <v>0</v>
      </c>
      <c r="DK725" s="424">
        <f t="shared" si="1815"/>
        <v>0</v>
      </c>
      <c r="DL725" s="424">
        <f t="shared" si="1815"/>
        <v>0</v>
      </c>
      <c r="DM725" s="424">
        <f t="shared" si="1815"/>
        <v>0</v>
      </c>
      <c r="DN725" s="424">
        <f t="shared" si="1815"/>
        <v>0</v>
      </c>
      <c r="DO725" s="424">
        <f t="shared" si="1815"/>
        <v>0</v>
      </c>
      <c r="DP725" s="424">
        <f t="shared" si="1815"/>
        <v>0</v>
      </c>
      <c r="DQ725" s="424">
        <f t="shared" si="1815"/>
        <v>0</v>
      </c>
      <c r="DR725" s="424">
        <f t="shared" si="1815"/>
        <v>0</v>
      </c>
      <c r="DS725" s="424">
        <f t="shared" si="1815"/>
        <v>0</v>
      </c>
      <c r="DT725" s="424">
        <f t="shared" si="1815"/>
        <v>0</v>
      </c>
      <c r="DU725" s="424">
        <f t="shared" si="1815"/>
        <v>0</v>
      </c>
      <c r="DV725" s="424">
        <f t="shared" si="1815"/>
        <v>0</v>
      </c>
      <c r="DW725" s="424">
        <f t="shared" si="1815"/>
        <v>0</v>
      </c>
      <c r="DX725" s="424">
        <f t="shared" si="1815"/>
        <v>0</v>
      </c>
      <c r="DY725" s="424">
        <f t="shared" si="1815"/>
        <v>0</v>
      </c>
      <c r="DZ725" s="424">
        <f t="shared" si="1815"/>
        <v>0</v>
      </c>
      <c r="EA725" s="424">
        <f t="shared" si="1815"/>
        <v>0</v>
      </c>
      <c r="EB725" s="424">
        <f t="shared" si="1815"/>
        <v>0</v>
      </c>
      <c r="EC725" s="424">
        <f t="shared" si="1815"/>
        <v>0</v>
      </c>
      <c r="ED725" s="424">
        <f t="shared" si="1815"/>
        <v>0</v>
      </c>
      <c r="EE725" s="424">
        <f t="shared" si="1815"/>
        <v>0</v>
      </c>
      <c r="EF725" s="424">
        <f t="shared" si="1815"/>
        <v>0</v>
      </c>
      <c r="EG725" s="424">
        <f t="shared" si="1815"/>
        <v>0</v>
      </c>
      <c r="EH725" s="424">
        <f t="shared" ref="EH725:EX725" si="1816">EH355*EH$372</f>
        <v>0</v>
      </c>
      <c r="EI725" s="424">
        <f t="shared" si="1816"/>
        <v>0</v>
      </c>
      <c r="EJ725" s="424">
        <f t="shared" si="1816"/>
        <v>0</v>
      </c>
      <c r="EK725" s="424">
        <f t="shared" si="1816"/>
        <v>0</v>
      </c>
      <c r="EL725" s="424">
        <f t="shared" si="1816"/>
        <v>0</v>
      </c>
      <c r="EM725" s="424">
        <f t="shared" si="1816"/>
        <v>0</v>
      </c>
      <c r="EN725" s="424">
        <f t="shared" si="1816"/>
        <v>10.199999999999999</v>
      </c>
      <c r="EO725" s="424">
        <f t="shared" si="1816"/>
        <v>0</v>
      </c>
      <c r="EP725" s="424">
        <f t="shared" si="1816"/>
        <v>0</v>
      </c>
      <c r="EQ725" s="424">
        <f t="shared" si="1816"/>
        <v>0</v>
      </c>
      <c r="ER725" s="424">
        <f t="shared" si="1816"/>
        <v>0</v>
      </c>
      <c r="ES725" s="424">
        <f t="shared" si="1816"/>
        <v>0</v>
      </c>
      <c r="ET725" s="424">
        <f t="shared" si="1816"/>
        <v>0</v>
      </c>
      <c r="EU725" s="424">
        <f t="shared" si="1816"/>
        <v>0</v>
      </c>
      <c r="EV725" s="424">
        <f t="shared" si="1816"/>
        <v>0</v>
      </c>
      <c r="EW725" s="424">
        <f t="shared" si="1816"/>
        <v>0</v>
      </c>
      <c r="EX725" s="424">
        <f t="shared" si="1816"/>
        <v>0</v>
      </c>
      <c r="EY725" s="425">
        <f t="shared" si="1776"/>
        <v>10.199999999999999</v>
      </c>
      <c r="EZ725" s="616"/>
      <c r="FA725" s="616"/>
      <c r="FB725" s="616"/>
      <c r="FC725" s="616"/>
      <c r="FD725" s="616"/>
      <c r="FE725" s="616"/>
      <c r="FF725" s="616"/>
      <c r="FG725" s="616"/>
      <c r="FH725" s="616"/>
      <c r="FI725" s="616"/>
      <c r="FJ725" s="616"/>
    </row>
    <row r="726" spans="1:166" s="605" customFormat="1" ht="14.7" customHeight="1" x14ac:dyDescent="0.25">
      <c r="A726" s="310">
        <v>352</v>
      </c>
      <c r="B726" s="311" t="str">
        <f t="shared" si="1657"/>
        <v>Конфеты, глазированные шоколадом (Степ, Марс)</v>
      </c>
      <c r="C726" s="483">
        <f t="shared" si="1750"/>
        <v>18.899999999999999</v>
      </c>
      <c r="D726" s="888"/>
      <c r="E726" s="888"/>
      <c r="F726" s="888"/>
      <c r="G726" s="889"/>
      <c r="H726" s="680" t="str">
        <f t="shared" si="1664"/>
        <v>ПРОМ</v>
      </c>
      <c r="I726" s="1209">
        <f t="shared" si="1658"/>
        <v>0</v>
      </c>
      <c r="J726" s="424">
        <f t="shared" ref="J726:AO726" si="1817">J356*J$372</f>
        <v>0</v>
      </c>
      <c r="K726" s="424">
        <f t="shared" si="1817"/>
        <v>0</v>
      </c>
      <c r="L726" s="424">
        <f t="shared" si="1817"/>
        <v>0</v>
      </c>
      <c r="M726" s="424">
        <f t="shared" si="1817"/>
        <v>0</v>
      </c>
      <c r="N726" s="424">
        <f t="shared" si="1817"/>
        <v>0</v>
      </c>
      <c r="O726" s="424">
        <f t="shared" si="1817"/>
        <v>0</v>
      </c>
      <c r="P726" s="424">
        <f t="shared" si="1817"/>
        <v>0</v>
      </c>
      <c r="Q726" s="424">
        <f t="shared" si="1817"/>
        <v>0</v>
      </c>
      <c r="R726" s="424">
        <f t="shared" si="1817"/>
        <v>0</v>
      </c>
      <c r="S726" s="424">
        <f t="shared" si="1817"/>
        <v>0</v>
      </c>
      <c r="T726" s="424">
        <f t="shared" si="1817"/>
        <v>0</v>
      </c>
      <c r="U726" s="424">
        <f t="shared" si="1817"/>
        <v>0</v>
      </c>
      <c r="V726" s="424">
        <f t="shared" si="1817"/>
        <v>0</v>
      </c>
      <c r="W726" s="424">
        <f t="shared" si="1817"/>
        <v>0</v>
      </c>
      <c r="X726" s="424">
        <f t="shared" si="1817"/>
        <v>0</v>
      </c>
      <c r="Y726" s="424">
        <f t="shared" si="1817"/>
        <v>0</v>
      </c>
      <c r="Z726" s="424">
        <f t="shared" si="1817"/>
        <v>0</v>
      </c>
      <c r="AA726" s="424">
        <f t="shared" si="1817"/>
        <v>0</v>
      </c>
      <c r="AB726" s="424">
        <f t="shared" si="1817"/>
        <v>0</v>
      </c>
      <c r="AC726" s="424">
        <f t="shared" si="1817"/>
        <v>0</v>
      </c>
      <c r="AD726" s="424">
        <f t="shared" si="1817"/>
        <v>0</v>
      </c>
      <c r="AE726" s="424">
        <f t="shared" si="1817"/>
        <v>0</v>
      </c>
      <c r="AF726" s="424">
        <f t="shared" si="1817"/>
        <v>0</v>
      </c>
      <c r="AG726" s="424">
        <f t="shared" si="1817"/>
        <v>0</v>
      </c>
      <c r="AH726" s="424">
        <f t="shared" si="1817"/>
        <v>0</v>
      </c>
      <c r="AI726" s="424">
        <f t="shared" si="1817"/>
        <v>0</v>
      </c>
      <c r="AJ726" s="424">
        <f t="shared" si="1817"/>
        <v>0</v>
      </c>
      <c r="AK726" s="424">
        <f t="shared" si="1817"/>
        <v>0</v>
      </c>
      <c r="AL726" s="424">
        <f t="shared" si="1817"/>
        <v>0</v>
      </c>
      <c r="AM726" s="424">
        <f t="shared" si="1817"/>
        <v>0</v>
      </c>
      <c r="AN726" s="424">
        <f t="shared" si="1817"/>
        <v>0</v>
      </c>
      <c r="AO726" s="424">
        <f t="shared" si="1817"/>
        <v>0</v>
      </c>
      <c r="AP726" s="424">
        <f t="shared" ref="AP726:BU726" si="1818">AP356*AP$372</f>
        <v>0</v>
      </c>
      <c r="AQ726" s="424">
        <f t="shared" si="1818"/>
        <v>0</v>
      </c>
      <c r="AR726" s="424">
        <f t="shared" si="1818"/>
        <v>0</v>
      </c>
      <c r="AS726" s="424">
        <f t="shared" si="1818"/>
        <v>0</v>
      </c>
      <c r="AT726" s="424">
        <f t="shared" si="1818"/>
        <v>0</v>
      </c>
      <c r="AU726" s="424">
        <f t="shared" si="1818"/>
        <v>0</v>
      </c>
      <c r="AV726" s="424">
        <f t="shared" si="1818"/>
        <v>0</v>
      </c>
      <c r="AW726" s="424">
        <f t="shared" si="1818"/>
        <v>0</v>
      </c>
      <c r="AX726" s="424">
        <f t="shared" si="1818"/>
        <v>0</v>
      </c>
      <c r="AY726" s="424">
        <f t="shared" si="1818"/>
        <v>0</v>
      </c>
      <c r="AZ726" s="424">
        <f t="shared" si="1818"/>
        <v>0</v>
      </c>
      <c r="BA726" s="424">
        <f t="shared" si="1818"/>
        <v>0</v>
      </c>
      <c r="BB726" s="424">
        <f t="shared" si="1818"/>
        <v>0</v>
      </c>
      <c r="BC726" s="424">
        <f t="shared" si="1818"/>
        <v>0</v>
      </c>
      <c r="BD726" s="424">
        <f t="shared" si="1818"/>
        <v>0</v>
      </c>
      <c r="BE726" s="424">
        <f t="shared" si="1818"/>
        <v>0</v>
      </c>
      <c r="BF726" s="424">
        <f t="shared" si="1818"/>
        <v>0</v>
      </c>
      <c r="BG726" s="424">
        <f t="shared" si="1818"/>
        <v>0</v>
      </c>
      <c r="BH726" s="424">
        <f t="shared" si="1818"/>
        <v>0</v>
      </c>
      <c r="BI726" s="424">
        <f t="shared" si="1818"/>
        <v>0</v>
      </c>
      <c r="BJ726" s="424">
        <f t="shared" si="1818"/>
        <v>0</v>
      </c>
      <c r="BK726" s="424">
        <f t="shared" si="1818"/>
        <v>0</v>
      </c>
      <c r="BL726" s="424">
        <f t="shared" si="1818"/>
        <v>0</v>
      </c>
      <c r="BM726" s="424">
        <f t="shared" si="1818"/>
        <v>0</v>
      </c>
      <c r="BN726" s="424">
        <f t="shared" si="1818"/>
        <v>0</v>
      </c>
      <c r="BO726" s="424">
        <f t="shared" si="1818"/>
        <v>0</v>
      </c>
      <c r="BP726" s="424">
        <f t="shared" si="1818"/>
        <v>0</v>
      </c>
      <c r="BQ726" s="424">
        <f t="shared" si="1818"/>
        <v>0</v>
      </c>
      <c r="BR726" s="424">
        <f t="shared" si="1818"/>
        <v>0</v>
      </c>
      <c r="BS726" s="424">
        <f t="shared" si="1818"/>
        <v>0</v>
      </c>
      <c r="BT726" s="424">
        <f t="shared" si="1818"/>
        <v>0</v>
      </c>
      <c r="BU726" s="424">
        <f t="shared" si="1818"/>
        <v>0</v>
      </c>
      <c r="BV726" s="424">
        <f t="shared" ref="BV726:DA726" si="1819">BV356*BV$372</f>
        <v>0</v>
      </c>
      <c r="BW726" s="424">
        <f t="shared" si="1819"/>
        <v>0</v>
      </c>
      <c r="BX726" s="424">
        <f t="shared" si="1819"/>
        <v>0</v>
      </c>
      <c r="BY726" s="424">
        <f t="shared" si="1819"/>
        <v>0</v>
      </c>
      <c r="BZ726" s="424">
        <f t="shared" si="1819"/>
        <v>0</v>
      </c>
      <c r="CA726" s="424">
        <f t="shared" si="1819"/>
        <v>0</v>
      </c>
      <c r="CB726" s="424">
        <f t="shared" si="1819"/>
        <v>0</v>
      </c>
      <c r="CC726" s="424">
        <f t="shared" si="1819"/>
        <v>0</v>
      </c>
      <c r="CD726" s="424">
        <f t="shared" si="1819"/>
        <v>0</v>
      </c>
      <c r="CE726" s="424">
        <f t="shared" si="1819"/>
        <v>0</v>
      </c>
      <c r="CF726" s="424">
        <f t="shared" si="1819"/>
        <v>0</v>
      </c>
      <c r="CG726" s="424">
        <f t="shared" si="1819"/>
        <v>0</v>
      </c>
      <c r="CH726" s="424">
        <f t="shared" si="1819"/>
        <v>0</v>
      </c>
      <c r="CI726" s="424">
        <f t="shared" si="1819"/>
        <v>0</v>
      </c>
      <c r="CJ726" s="424">
        <f t="shared" si="1819"/>
        <v>0</v>
      </c>
      <c r="CK726" s="424">
        <f t="shared" si="1819"/>
        <v>0</v>
      </c>
      <c r="CL726" s="424">
        <f t="shared" si="1819"/>
        <v>0</v>
      </c>
      <c r="CM726" s="424">
        <f t="shared" si="1819"/>
        <v>0</v>
      </c>
      <c r="CN726" s="424">
        <f t="shared" si="1819"/>
        <v>0</v>
      </c>
      <c r="CO726" s="424">
        <f t="shared" si="1819"/>
        <v>0</v>
      </c>
      <c r="CP726" s="424">
        <f t="shared" si="1819"/>
        <v>0</v>
      </c>
      <c r="CQ726" s="424">
        <f t="shared" si="1819"/>
        <v>0</v>
      </c>
      <c r="CR726" s="424">
        <f t="shared" si="1819"/>
        <v>0</v>
      </c>
      <c r="CS726" s="424">
        <f t="shared" si="1819"/>
        <v>0</v>
      </c>
      <c r="CT726" s="424">
        <f t="shared" si="1819"/>
        <v>0</v>
      </c>
      <c r="CU726" s="424">
        <f t="shared" si="1819"/>
        <v>0</v>
      </c>
      <c r="CV726" s="424">
        <f t="shared" si="1819"/>
        <v>0</v>
      </c>
      <c r="CW726" s="424">
        <f t="shared" si="1819"/>
        <v>0</v>
      </c>
      <c r="CX726" s="424">
        <f t="shared" si="1819"/>
        <v>0</v>
      </c>
      <c r="CY726" s="424">
        <f t="shared" si="1819"/>
        <v>0</v>
      </c>
      <c r="CZ726" s="424">
        <f t="shared" si="1819"/>
        <v>0</v>
      </c>
      <c r="DA726" s="424">
        <f t="shared" si="1819"/>
        <v>0</v>
      </c>
      <c r="DB726" s="424">
        <f t="shared" ref="DB726:EG726" si="1820">DB356*DB$372</f>
        <v>0</v>
      </c>
      <c r="DC726" s="424">
        <f t="shared" si="1820"/>
        <v>0</v>
      </c>
      <c r="DD726" s="424">
        <f t="shared" si="1820"/>
        <v>0</v>
      </c>
      <c r="DE726" s="424">
        <f t="shared" si="1820"/>
        <v>0</v>
      </c>
      <c r="DF726" s="424">
        <f t="shared" si="1820"/>
        <v>0</v>
      </c>
      <c r="DG726" s="424">
        <f t="shared" si="1820"/>
        <v>0</v>
      </c>
      <c r="DH726" s="424">
        <f t="shared" si="1820"/>
        <v>0</v>
      </c>
      <c r="DI726" s="424">
        <f t="shared" si="1820"/>
        <v>0</v>
      </c>
      <c r="DJ726" s="424">
        <f t="shared" si="1820"/>
        <v>0</v>
      </c>
      <c r="DK726" s="424">
        <f t="shared" si="1820"/>
        <v>0</v>
      </c>
      <c r="DL726" s="424">
        <f t="shared" si="1820"/>
        <v>0</v>
      </c>
      <c r="DM726" s="424">
        <f t="shared" si="1820"/>
        <v>0</v>
      </c>
      <c r="DN726" s="424">
        <f t="shared" si="1820"/>
        <v>0</v>
      </c>
      <c r="DO726" s="424">
        <f t="shared" si="1820"/>
        <v>0</v>
      </c>
      <c r="DP726" s="424">
        <f t="shared" si="1820"/>
        <v>0</v>
      </c>
      <c r="DQ726" s="424">
        <f t="shared" si="1820"/>
        <v>0</v>
      </c>
      <c r="DR726" s="424">
        <f t="shared" si="1820"/>
        <v>0</v>
      </c>
      <c r="DS726" s="424">
        <f t="shared" si="1820"/>
        <v>0</v>
      </c>
      <c r="DT726" s="424">
        <f t="shared" si="1820"/>
        <v>0</v>
      </c>
      <c r="DU726" s="424">
        <f t="shared" si="1820"/>
        <v>0</v>
      </c>
      <c r="DV726" s="424">
        <f t="shared" si="1820"/>
        <v>0</v>
      </c>
      <c r="DW726" s="424">
        <f t="shared" si="1820"/>
        <v>0</v>
      </c>
      <c r="DX726" s="424">
        <f t="shared" si="1820"/>
        <v>0</v>
      </c>
      <c r="DY726" s="424">
        <f t="shared" si="1820"/>
        <v>0</v>
      </c>
      <c r="DZ726" s="424">
        <f t="shared" si="1820"/>
        <v>0</v>
      </c>
      <c r="EA726" s="424">
        <f t="shared" si="1820"/>
        <v>0</v>
      </c>
      <c r="EB726" s="424">
        <f t="shared" si="1820"/>
        <v>0</v>
      </c>
      <c r="EC726" s="424">
        <f t="shared" si="1820"/>
        <v>0</v>
      </c>
      <c r="ED726" s="424">
        <f t="shared" si="1820"/>
        <v>0</v>
      </c>
      <c r="EE726" s="424">
        <f t="shared" si="1820"/>
        <v>0</v>
      </c>
      <c r="EF726" s="424">
        <f t="shared" si="1820"/>
        <v>0</v>
      </c>
      <c r="EG726" s="424">
        <f t="shared" si="1820"/>
        <v>0</v>
      </c>
      <c r="EH726" s="424">
        <f t="shared" ref="EH726:EX726" si="1821">EH356*EH$372</f>
        <v>0</v>
      </c>
      <c r="EI726" s="424">
        <f t="shared" si="1821"/>
        <v>0</v>
      </c>
      <c r="EJ726" s="424">
        <f t="shared" si="1821"/>
        <v>0</v>
      </c>
      <c r="EK726" s="424">
        <f t="shared" si="1821"/>
        <v>0</v>
      </c>
      <c r="EL726" s="424">
        <f t="shared" si="1821"/>
        <v>0</v>
      </c>
      <c r="EM726" s="424">
        <f t="shared" si="1821"/>
        <v>0</v>
      </c>
      <c r="EN726" s="424">
        <f t="shared" si="1821"/>
        <v>0</v>
      </c>
      <c r="EO726" s="424">
        <f t="shared" si="1821"/>
        <v>18.899999999999999</v>
      </c>
      <c r="EP726" s="424">
        <f t="shared" si="1821"/>
        <v>0</v>
      </c>
      <c r="EQ726" s="424">
        <f t="shared" si="1821"/>
        <v>0</v>
      </c>
      <c r="ER726" s="424">
        <f t="shared" si="1821"/>
        <v>0</v>
      </c>
      <c r="ES726" s="424">
        <f t="shared" si="1821"/>
        <v>0</v>
      </c>
      <c r="ET726" s="424">
        <f t="shared" si="1821"/>
        <v>0</v>
      </c>
      <c r="EU726" s="424">
        <f t="shared" si="1821"/>
        <v>0</v>
      </c>
      <c r="EV726" s="424">
        <f t="shared" si="1821"/>
        <v>0</v>
      </c>
      <c r="EW726" s="424">
        <f t="shared" si="1821"/>
        <v>0</v>
      </c>
      <c r="EX726" s="424">
        <f t="shared" si="1821"/>
        <v>0</v>
      </c>
      <c r="EY726" s="425">
        <f t="shared" si="1776"/>
        <v>18.899999999999999</v>
      </c>
      <c r="EZ726" s="616"/>
      <c r="FA726" s="616"/>
      <c r="FB726" s="616"/>
      <c r="FC726" s="616"/>
      <c r="FD726" s="616"/>
      <c r="FE726" s="616"/>
      <c r="FF726" s="616"/>
      <c r="FG726" s="616"/>
      <c r="FH726" s="616"/>
      <c r="FI726" s="616"/>
      <c r="FJ726" s="616"/>
    </row>
    <row r="727" spans="1:166" s="462" customFormat="1" ht="14.7" customHeight="1" x14ac:dyDescent="0.25">
      <c r="A727" s="310">
        <v>353</v>
      </c>
      <c r="B727" s="311" t="str">
        <f t="shared" si="1657"/>
        <v>Конфеты "Тортимилка" 1 шт. 17,5 гр</v>
      </c>
      <c r="C727" s="483">
        <f t="shared" si="1750"/>
        <v>15.05</v>
      </c>
      <c r="D727" s="888"/>
      <c r="E727" s="888"/>
      <c r="F727" s="888"/>
      <c r="G727" s="889"/>
      <c r="H727" s="680" t="str">
        <f t="shared" si="1664"/>
        <v>ПРОМ</v>
      </c>
      <c r="I727" s="1209">
        <f t="shared" si="1658"/>
        <v>0</v>
      </c>
      <c r="J727" s="424">
        <f t="shared" ref="J727:AO727" si="1822">J357*J$372</f>
        <v>0</v>
      </c>
      <c r="K727" s="424">
        <f t="shared" si="1822"/>
        <v>0</v>
      </c>
      <c r="L727" s="424">
        <f t="shared" si="1822"/>
        <v>0</v>
      </c>
      <c r="M727" s="424">
        <f t="shared" si="1822"/>
        <v>0</v>
      </c>
      <c r="N727" s="424">
        <f t="shared" si="1822"/>
        <v>0</v>
      </c>
      <c r="O727" s="424">
        <f t="shared" si="1822"/>
        <v>0</v>
      </c>
      <c r="P727" s="424">
        <f t="shared" si="1822"/>
        <v>0</v>
      </c>
      <c r="Q727" s="424">
        <f t="shared" si="1822"/>
        <v>0</v>
      </c>
      <c r="R727" s="424">
        <f t="shared" si="1822"/>
        <v>0</v>
      </c>
      <c r="S727" s="424">
        <f t="shared" si="1822"/>
        <v>0</v>
      </c>
      <c r="T727" s="424">
        <f t="shared" si="1822"/>
        <v>0</v>
      </c>
      <c r="U727" s="424">
        <f t="shared" si="1822"/>
        <v>0</v>
      </c>
      <c r="V727" s="424">
        <f t="shared" si="1822"/>
        <v>0</v>
      </c>
      <c r="W727" s="424">
        <f t="shared" si="1822"/>
        <v>0</v>
      </c>
      <c r="X727" s="424">
        <f t="shared" si="1822"/>
        <v>0</v>
      </c>
      <c r="Y727" s="424">
        <f t="shared" si="1822"/>
        <v>0</v>
      </c>
      <c r="Z727" s="424">
        <f t="shared" si="1822"/>
        <v>0</v>
      </c>
      <c r="AA727" s="424">
        <f t="shared" si="1822"/>
        <v>0</v>
      </c>
      <c r="AB727" s="424">
        <f t="shared" si="1822"/>
        <v>0</v>
      </c>
      <c r="AC727" s="424">
        <f t="shared" si="1822"/>
        <v>0</v>
      </c>
      <c r="AD727" s="424">
        <f t="shared" si="1822"/>
        <v>0</v>
      </c>
      <c r="AE727" s="424">
        <f t="shared" si="1822"/>
        <v>0</v>
      </c>
      <c r="AF727" s="424">
        <f t="shared" si="1822"/>
        <v>0</v>
      </c>
      <c r="AG727" s="424">
        <f t="shared" si="1822"/>
        <v>0</v>
      </c>
      <c r="AH727" s="424">
        <f t="shared" si="1822"/>
        <v>0</v>
      </c>
      <c r="AI727" s="424">
        <f t="shared" si="1822"/>
        <v>0</v>
      </c>
      <c r="AJ727" s="424">
        <f t="shared" si="1822"/>
        <v>0</v>
      </c>
      <c r="AK727" s="424">
        <f t="shared" si="1822"/>
        <v>0</v>
      </c>
      <c r="AL727" s="424">
        <f t="shared" si="1822"/>
        <v>0</v>
      </c>
      <c r="AM727" s="424">
        <f t="shared" si="1822"/>
        <v>0</v>
      </c>
      <c r="AN727" s="424">
        <f t="shared" si="1822"/>
        <v>0</v>
      </c>
      <c r="AO727" s="424">
        <f t="shared" si="1822"/>
        <v>0</v>
      </c>
      <c r="AP727" s="424">
        <f t="shared" ref="AP727:BU727" si="1823">AP357*AP$372</f>
        <v>0</v>
      </c>
      <c r="AQ727" s="424">
        <f t="shared" si="1823"/>
        <v>0</v>
      </c>
      <c r="AR727" s="424">
        <f t="shared" si="1823"/>
        <v>0</v>
      </c>
      <c r="AS727" s="424">
        <f t="shared" si="1823"/>
        <v>0</v>
      </c>
      <c r="AT727" s="424">
        <f t="shared" si="1823"/>
        <v>0</v>
      </c>
      <c r="AU727" s="424">
        <f t="shared" si="1823"/>
        <v>0</v>
      </c>
      <c r="AV727" s="424">
        <f t="shared" si="1823"/>
        <v>0</v>
      </c>
      <c r="AW727" s="424">
        <f t="shared" si="1823"/>
        <v>0</v>
      </c>
      <c r="AX727" s="424">
        <f t="shared" si="1823"/>
        <v>0</v>
      </c>
      <c r="AY727" s="424">
        <f t="shared" si="1823"/>
        <v>0</v>
      </c>
      <c r="AZ727" s="424">
        <f t="shared" si="1823"/>
        <v>0</v>
      </c>
      <c r="BA727" s="424">
        <f t="shared" si="1823"/>
        <v>0</v>
      </c>
      <c r="BB727" s="424">
        <f t="shared" si="1823"/>
        <v>0</v>
      </c>
      <c r="BC727" s="424">
        <f t="shared" si="1823"/>
        <v>0</v>
      </c>
      <c r="BD727" s="424">
        <f t="shared" si="1823"/>
        <v>0</v>
      </c>
      <c r="BE727" s="424">
        <f t="shared" si="1823"/>
        <v>0</v>
      </c>
      <c r="BF727" s="424">
        <f t="shared" si="1823"/>
        <v>0</v>
      </c>
      <c r="BG727" s="424">
        <f t="shared" si="1823"/>
        <v>0</v>
      </c>
      <c r="BH727" s="424">
        <f t="shared" si="1823"/>
        <v>0</v>
      </c>
      <c r="BI727" s="424">
        <f t="shared" si="1823"/>
        <v>0</v>
      </c>
      <c r="BJ727" s="424">
        <f t="shared" si="1823"/>
        <v>0</v>
      </c>
      <c r="BK727" s="424">
        <f t="shared" si="1823"/>
        <v>0</v>
      </c>
      <c r="BL727" s="424">
        <f t="shared" si="1823"/>
        <v>0</v>
      </c>
      <c r="BM727" s="424">
        <f t="shared" si="1823"/>
        <v>0</v>
      </c>
      <c r="BN727" s="424">
        <f t="shared" si="1823"/>
        <v>0</v>
      </c>
      <c r="BO727" s="424">
        <f t="shared" si="1823"/>
        <v>0</v>
      </c>
      <c r="BP727" s="424">
        <f t="shared" si="1823"/>
        <v>0</v>
      </c>
      <c r="BQ727" s="424">
        <f t="shared" si="1823"/>
        <v>0</v>
      </c>
      <c r="BR727" s="424">
        <f t="shared" si="1823"/>
        <v>0</v>
      </c>
      <c r="BS727" s="424">
        <f t="shared" si="1823"/>
        <v>0</v>
      </c>
      <c r="BT727" s="424">
        <f t="shared" si="1823"/>
        <v>0</v>
      </c>
      <c r="BU727" s="424">
        <f t="shared" si="1823"/>
        <v>0</v>
      </c>
      <c r="BV727" s="424">
        <f t="shared" ref="BV727:DA727" si="1824">BV357*BV$372</f>
        <v>0</v>
      </c>
      <c r="BW727" s="424">
        <f t="shared" si="1824"/>
        <v>0</v>
      </c>
      <c r="BX727" s="424">
        <f t="shared" si="1824"/>
        <v>0</v>
      </c>
      <c r="BY727" s="424">
        <f t="shared" si="1824"/>
        <v>0</v>
      </c>
      <c r="BZ727" s="424">
        <f t="shared" si="1824"/>
        <v>0</v>
      </c>
      <c r="CA727" s="424">
        <f t="shared" si="1824"/>
        <v>0</v>
      </c>
      <c r="CB727" s="424">
        <f t="shared" si="1824"/>
        <v>0</v>
      </c>
      <c r="CC727" s="424">
        <f t="shared" si="1824"/>
        <v>0</v>
      </c>
      <c r="CD727" s="424">
        <f t="shared" si="1824"/>
        <v>0</v>
      </c>
      <c r="CE727" s="424">
        <f t="shared" si="1824"/>
        <v>0</v>
      </c>
      <c r="CF727" s="424">
        <f t="shared" si="1824"/>
        <v>0</v>
      </c>
      <c r="CG727" s="424">
        <f t="shared" si="1824"/>
        <v>0</v>
      </c>
      <c r="CH727" s="424">
        <f t="shared" si="1824"/>
        <v>0</v>
      </c>
      <c r="CI727" s="424">
        <f t="shared" si="1824"/>
        <v>0</v>
      </c>
      <c r="CJ727" s="424">
        <f t="shared" si="1824"/>
        <v>0</v>
      </c>
      <c r="CK727" s="424">
        <f t="shared" si="1824"/>
        <v>0</v>
      </c>
      <c r="CL727" s="424">
        <f t="shared" si="1824"/>
        <v>0</v>
      </c>
      <c r="CM727" s="424">
        <f t="shared" si="1824"/>
        <v>0</v>
      </c>
      <c r="CN727" s="424">
        <f t="shared" si="1824"/>
        <v>0</v>
      </c>
      <c r="CO727" s="424">
        <f t="shared" si="1824"/>
        <v>0</v>
      </c>
      <c r="CP727" s="424">
        <f t="shared" si="1824"/>
        <v>0</v>
      </c>
      <c r="CQ727" s="424">
        <f t="shared" si="1824"/>
        <v>0</v>
      </c>
      <c r="CR727" s="424">
        <f t="shared" si="1824"/>
        <v>0</v>
      </c>
      <c r="CS727" s="424">
        <f t="shared" si="1824"/>
        <v>0</v>
      </c>
      <c r="CT727" s="424">
        <f t="shared" si="1824"/>
        <v>0</v>
      </c>
      <c r="CU727" s="424">
        <f t="shared" si="1824"/>
        <v>0</v>
      </c>
      <c r="CV727" s="424">
        <f t="shared" si="1824"/>
        <v>0</v>
      </c>
      <c r="CW727" s="424">
        <f t="shared" si="1824"/>
        <v>0</v>
      </c>
      <c r="CX727" s="424">
        <f t="shared" si="1824"/>
        <v>0</v>
      </c>
      <c r="CY727" s="424">
        <f t="shared" si="1824"/>
        <v>0</v>
      </c>
      <c r="CZ727" s="424">
        <f t="shared" si="1824"/>
        <v>0</v>
      </c>
      <c r="DA727" s="424">
        <f t="shared" si="1824"/>
        <v>0</v>
      </c>
      <c r="DB727" s="424">
        <f t="shared" ref="DB727:EG727" si="1825">DB357*DB$372</f>
        <v>0</v>
      </c>
      <c r="DC727" s="424">
        <f t="shared" si="1825"/>
        <v>0</v>
      </c>
      <c r="DD727" s="424">
        <f t="shared" si="1825"/>
        <v>0</v>
      </c>
      <c r="DE727" s="424">
        <f t="shared" si="1825"/>
        <v>0</v>
      </c>
      <c r="DF727" s="424">
        <f t="shared" si="1825"/>
        <v>0</v>
      </c>
      <c r="DG727" s="424">
        <f t="shared" si="1825"/>
        <v>0</v>
      </c>
      <c r="DH727" s="424">
        <f t="shared" si="1825"/>
        <v>0</v>
      </c>
      <c r="DI727" s="424">
        <f t="shared" si="1825"/>
        <v>0</v>
      </c>
      <c r="DJ727" s="424">
        <f t="shared" si="1825"/>
        <v>0</v>
      </c>
      <c r="DK727" s="424">
        <f t="shared" si="1825"/>
        <v>0</v>
      </c>
      <c r="DL727" s="424">
        <f t="shared" si="1825"/>
        <v>0</v>
      </c>
      <c r="DM727" s="424">
        <f t="shared" si="1825"/>
        <v>0</v>
      </c>
      <c r="DN727" s="424">
        <f t="shared" si="1825"/>
        <v>0</v>
      </c>
      <c r="DO727" s="424">
        <f t="shared" si="1825"/>
        <v>0</v>
      </c>
      <c r="DP727" s="424">
        <f t="shared" si="1825"/>
        <v>0</v>
      </c>
      <c r="DQ727" s="424">
        <f t="shared" si="1825"/>
        <v>0</v>
      </c>
      <c r="DR727" s="424">
        <f t="shared" si="1825"/>
        <v>0</v>
      </c>
      <c r="DS727" s="424">
        <f t="shared" si="1825"/>
        <v>0</v>
      </c>
      <c r="DT727" s="424">
        <f t="shared" si="1825"/>
        <v>0</v>
      </c>
      <c r="DU727" s="424">
        <f t="shared" si="1825"/>
        <v>0</v>
      </c>
      <c r="DV727" s="424">
        <f t="shared" si="1825"/>
        <v>0</v>
      </c>
      <c r="DW727" s="424">
        <f t="shared" si="1825"/>
        <v>0</v>
      </c>
      <c r="DX727" s="424">
        <f t="shared" si="1825"/>
        <v>0</v>
      </c>
      <c r="DY727" s="424">
        <f t="shared" si="1825"/>
        <v>0</v>
      </c>
      <c r="DZ727" s="424">
        <f t="shared" si="1825"/>
        <v>0</v>
      </c>
      <c r="EA727" s="424">
        <f t="shared" si="1825"/>
        <v>0</v>
      </c>
      <c r="EB727" s="424">
        <f t="shared" si="1825"/>
        <v>0</v>
      </c>
      <c r="EC727" s="424">
        <f t="shared" si="1825"/>
        <v>0</v>
      </c>
      <c r="ED727" s="424">
        <f t="shared" si="1825"/>
        <v>0</v>
      </c>
      <c r="EE727" s="424">
        <f t="shared" si="1825"/>
        <v>0</v>
      </c>
      <c r="EF727" s="424">
        <f t="shared" si="1825"/>
        <v>0</v>
      </c>
      <c r="EG727" s="424">
        <f t="shared" si="1825"/>
        <v>0</v>
      </c>
      <c r="EH727" s="424">
        <f t="shared" ref="EH727:EX727" si="1826">EH357*EH$372</f>
        <v>0</v>
      </c>
      <c r="EI727" s="424">
        <f t="shared" si="1826"/>
        <v>0</v>
      </c>
      <c r="EJ727" s="424">
        <f t="shared" si="1826"/>
        <v>0</v>
      </c>
      <c r="EK727" s="424">
        <f t="shared" si="1826"/>
        <v>0</v>
      </c>
      <c r="EL727" s="424">
        <f t="shared" si="1826"/>
        <v>0</v>
      </c>
      <c r="EM727" s="424">
        <f t="shared" si="1826"/>
        <v>0</v>
      </c>
      <c r="EN727" s="424">
        <f t="shared" si="1826"/>
        <v>0</v>
      </c>
      <c r="EO727" s="424">
        <f t="shared" si="1826"/>
        <v>0</v>
      </c>
      <c r="EP727" s="424">
        <f t="shared" si="1826"/>
        <v>15.05</v>
      </c>
      <c r="EQ727" s="424">
        <f t="shared" si="1826"/>
        <v>0</v>
      </c>
      <c r="ER727" s="424">
        <f t="shared" si="1826"/>
        <v>0</v>
      </c>
      <c r="ES727" s="424">
        <f t="shared" si="1826"/>
        <v>0</v>
      </c>
      <c r="ET727" s="424">
        <f t="shared" si="1826"/>
        <v>0</v>
      </c>
      <c r="EU727" s="424">
        <f t="shared" si="1826"/>
        <v>0</v>
      </c>
      <c r="EV727" s="424">
        <f t="shared" si="1826"/>
        <v>0</v>
      </c>
      <c r="EW727" s="424">
        <f t="shared" si="1826"/>
        <v>0</v>
      </c>
      <c r="EX727" s="424">
        <f t="shared" si="1826"/>
        <v>0</v>
      </c>
      <c r="EY727" s="425">
        <f t="shared" si="1776"/>
        <v>15.05</v>
      </c>
      <c r="EZ727" s="616"/>
      <c r="FA727" s="616"/>
      <c r="FB727" s="616"/>
      <c r="FC727" s="616"/>
      <c r="FD727" s="616"/>
      <c r="FE727" s="616"/>
      <c r="FF727" s="616"/>
      <c r="FG727" s="616"/>
      <c r="FH727" s="616"/>
      <c r="FI727" s="616"/>
      <c r="FJ727" s="616"/>
    </row>
    <row r="728" spans="1:166" s="462" customFormat="1" ht="14.7" customHeight="1" x14ac:dyDescent="0.25">
      <c r="A728" s="310">
        <v>354</v>
      </c>
      <c r="B728" s="311" t="str">
        <f t="shared" si="1657"/>
        <v>Конфеты желейные (мармелад)</v>
      </c>
      <c r="C728" s="483">
        <f t="shared" si="1750"/>
        <v>8.25</v>
      </c>
      <c r="D728" s="888"/>
      <c r="E728" s="888"/>
      <c r="F728" s="888"/>
      <c r="G728" s="889"/>
      <c r="H728" s="680" t="str">
        <f t="shared" si="1664"/>
        <v>ПРОМ</v>
      </c>
      <c r="I728" s="1209">
        <f t="shared" si="1658"/>
        <v>0</v>
      </c>
      <c r="J728" s="424">
        <f t="shared" ref="J728:AO728" si="1827">J358*J$372</f>
        <v>0</v>
      </c>
      <c r="K728" s="424">
        <f t="shared" si="1827"/>
        <v>0</v>
      </c>
      <c r="L728" s="424">
        <f t="shared" si="1827"/>
        <v>0</v>
      </c>
      <c r="M728" s="424">
        <f t="shared" si="1827"/>
        <v>0</v>
      </c>
      <c r="N728" s="424">
        <f t="shared" si="1827"/>
        <v>0</v>
      </c>
      <c r="O728" s="424">
        <f t="shared" si="1827"/>
        <v>0</v>
      </c>
      <c r="P728" s="424">
        <f t="shared" si="1827"/>
        <v>0</v>
      </c>
      <c r="Q728" s="424">
        <f t="shared" si="1827"/>
        <v>0</v>
      </c>
      <c r="R728" s="424">
        <f t="shared" si="1827"/>
        <v>0</v>
      </c>
      <c r="S728" s="424">
        <f t="shared" si="1827"/>
        <v>0</v>
      </c>
      <c r="T728" s="424">
        <f t="shared" si="1827"/>
        <v>0</v>
      </c>
      <c r="U728" s="424">
        <f t="shared" si="1827"/>
        <v>0</v>
      </c>
      <c r="V728" s="424">
        <f t="shared" si="1827"/>
        <v>0</v>
      </c>
      <c r="W728" s="424">
        <f t="shared" si="1827"/>
        <v>0</v>
      </c>
      <c r="X728" s="424">
        <f t="shared" si="1827"/>
        <v>0</v>
      </c>
      <c r="Y728" s="424">
        <f t="shared" si="1827"/>
        <v>0</v>
      </c>
      <c r="Z728" s="424">
        <f t="shared" si="1827"/>
        <v>0</v>
      </c>
      <c r="AA728" s="424">
        <f t="shared" si="1827"/>
        <v>0</v>
      </c>
      <c r="AB728" s="424">
        <f t="shared" si="1827"/>
        <v>0</v>
      </c>
      <c r="AC728" s="424">
        <f t="shared" si="1827"/>
        <v>0</v>
      </c>
      <c r="AD728" s="424">
        <f t="shared" si="1827"/>
        <v>0</v>
      </c>
      <c r="AE728" s="424">
        <f t="shared" si="1827"/>
        <v>0</v>
      </c>
      <c r="AF728" s="424">
        <f t="shared" si="1827"/>
        <v>0</v>
      </c>
      <c r="AG728" s="424">
        <f t="shared" si="1827"/>
        <v>0</v>
      </c>
      <c r="AH728" s="424">
        <f t="shared" si="1827"/>
        <v>0</v>
      </c>
      <c r="AI728" s="424">
        <f t="shared" si="1827"/>
        <v>0</v>
      </c>
      <c r="AJ728" s="424">
        <f t="shared" si="1827"/>
        <v>0</v>
      </c>
      <c r="AK728" s="424">
        <f t="shared" si="1827"/>
        <v>0</v>
      </c>
      <c r="AL728" s="424">
        <f t="shared" si="1827"/>
        <v>0</v>
      </c>
      <c r="AM728" s="424">
        <f t="shared" si="1827"/>
        <v>0</v>
      </c>
      <c r="AN728" s="424">
        <f t="shared" si="1827"/>
        <v>0</v>
      </c>
      <c r="AO728" s="424">
        <f t="shared" si="1827"/>
        <v>0</v>
      </c>
      <c r="AP728" s="424">
        <f t="shared" ref="AP728:BU728" si="1828">AP358*AP$372</f>
        <v>0</v>
      </c>
      <c r="AQ728" s="424">
        <f t="shared" si="1828"/>
        <v>0</v>
      </c>
      <c r="AR728" s="424">
        <f t="shared" si="1828"/>
        <v>0</v>
      </c>
      <c r="AS728" s="424">
        <f t="shared" si="1828"/>
        <v>0</v>
      </c>
      <c r="AT728" s="424">
        <f t="shared" si="1828"/>
        <v>0</v>
      </c>
      <c r="AU728" s="424">
        <f t="shared" si="1828"/>
        <v>0</v>
      </c>
      <c r="AV728" s="424">
        <f t="shared" si="1828"/>
        <v>0</v>
      </c>
      <c r="AW728" s="424">
        <f t="shared" si="1828"/>
        <v>0</v>
      </c>
      <c r="AX728" s="424">
        <f t="shared" si="1828"/>
        <v>0</v>
      </c>
      <c r="AY728" s="424">
        <f t="shared" si="1828"/>
        <v>0</v>
      </c>
      <c r="AZ728" s="424">
        <f t="shared" si="1828"/>
        <v>0</v>
      </c>
      <c r="BA728" s="424">
        <f t="shared" si="1828"/>
        <v>0</v>
      </c>
      <c r="BB728" s="424">
        <f t="shared" si="1828"/>
        <v>0</v>
      </c>
      <c r="BC728" s="424">
        <f t="shared" si="1828"/>
        <v>0</v>
      </c>
      <c r="BD728" s="424">
        <f t="shared" si="1828"/>
        <v>0</v>
      </c>
      <c r="BE728" s="424">
        <f t="shared" si="1828"/>
        <v>0</v>
      </c>
      <c r="BF728" s="424">
        <f t="shared" si="1828"/>
        <v>0</v>
      </c>
      <c r="BG728" s="424">
        <f t="shared" si="1828"/>
        <v>0</v>
      </c>
      <c r="BH728" s="424">
        <f t="shared" si="1828"/>
        <v>0</v>
      </c>
      <c r="BI728" s="424">
        <f t="shared" si="1828"/>
        <v>0</v>
      </c>
      <c r="BJ728" s="424">
        <f t="shared" si="1828"/>
        <v>0</v>
      </c>
      <c r="BK728" s="424">
        <f t="shared" si="1828"/>
        <v>0</v>
      </c>
      <c r="BL728" s="424">
        <f t="shared" si="1828"/>
        <v>0</v>
      </c>
      <c r="BM728" s="424">
        <f t="shared" si="1828"/>
        <v>0</v>
      </c>
      <c r="BN728" s="424">
        <f t="shared" si="1828"/>
        <v>0</v>
      </c>
      <c r="BO728" s="424">
        <f t="shared" si="1828"/>
        <v>0</v>
      </c>
      <c r="BP728" s="424">
        <f t="shared" si="1828"/>
        <v>0</v>
      </c>
      <c r="BQ728" s="424">
        <f t="shared" si="1828"/>
        <v>0</v>
      </c>
      <c r="BR728" s="424">
        <f t="shared" si="1828"/>
        <v>0</v>
      </c>
      <c r="BS728" s="424">
        <f t="shared" si="1828"/>
        <v>0</v>
      </c>
      <c r="BT728" s="424">
        <f t="shared" si="1828"/>
        <v>0</v>
      </c>
      <c r="BU728" s="424">
        <f t="shared" si="1828"/>
        <v>0</v>
      </c>
      <c r="BV728" s="424">
        <f t="shared" ref="BV728:DA728" si="1829">BV358*BV$372</f>
        <v>0</v>
      </c>
      <c r="BW728" s="424">
        <f t="shared" si="1829"/>
        <v>0</v>
      </c>
      <c r="BX728" s="424">
        <f t="shared" si="1829"/>
        <v>0</v>
      </c>
      <c r="BY728" s="424">
        <f t="shared" si="1829"/>
        <v>0</v>
      </c>
      <c r="BZ728" s="424">
        <f t="shared" si="1829"/>
        <v>0</v>
      </c>
      <c r="CA728" s="424">
        <f t="shared" si="1829"/>
        <v>0</v>
      </c>
      <c r="CB728" s="424">
        <f t="shared" si="1829"/>
        <v>0</v>
      </c>
      <c r="CC728" s="424">
        <f t="shared" si="1829"/>
        <v>0</v>
      </c>
      <c r="CD728" s="424">
        <f t="shared" si="1829"/>
        <v>0</v>
      </c>
      <c r="CE728" s="424">
        <f t="shared" si="1829"/>
        <v>0</v>
      </c>
      <c r="CF728" s="424">
        <f t="shared" si="1829"/>
        <v>0</v>
      </c>
      <c r="CG728" s="424">
        <f t="shared" si="1829"/>
        <v>0</v>
      </c>
      <c r="CH728" s="424">
        <f t="shared" si="1829"/>
        <v>0</v>
      </c>
      <c r="CI728" s="424">
        <f t="shared" si="1829"/>
        <v>0</v>
      </c>
      <c r="CJ728" s="424">
        <f t="shared" si="1829"/>
        <v>0</v>
      </c>
      <c r="CK728" s="424">
        <f t="shared" si="1829"/>
        <v>0</v>
      </c>
      <c r="CL728" s="424">
        <f t="shared" si="1829"/>
        <v>0</v>
      </c>
      <c r="CM728" s="424">
        <f t="shared" si="1829"/>
        <v>0</v>
      </c>
      <c r="CN728" s="424">
        <f t="shared" si="1829"/>
        <v>0</v>
      </c>
      <c r="CO728" s="424">
        <f t="shared" si="1829"/>
        <v>0</v>
      </c>
      <c r="CP728" s="424">
        <f t="shared" si="1829"/>
        <v>0</v>
      </c>
      <c r="CQ728" s="424">
        <f t="shared" si="1829"/>
        <v>0</v>
      </c>
      <c r="CR728" s="424">
        <f t="shared" si="1829"/>
        <v>0</v>
      </c>
      <c r="CS728" s="424">
        <f t="shared" si="1829"/>
        <v>0</v>
      </c>
      <c r="CT728" s="424">
        <f t="shared" si="1829"/>
        <v>0</v>
      </c>
      <c r="CU728" s="424">
        <f t="shared" si="1829"/>
        <v>0</v>
      </c>
      <c r="CV728" s="424">
        <f t="shared" si="1829"/>
        <v>0</v>
      </c>
      <c r="CW728" s="424">
        <f t="shared" si="1829"/>
        <v>0</v>
      </c>
      <c r="CX728" s="424">
        <f t="shared" si="1829"/>
        <v>0</v>
      </c>
      <c r="CY728" s="424">
        <f t="shared" si="1829"/>
        <v>0</v>
      </c>
      <c r="CZ728" s="424">
        <f t="shared" si="1829"/>
        <v>0</v>
      </c>
      <c r="DA728" s="424">
        <f t="shared" si="1829"/>
        <v>0</v>
      </c>
      <c r="DB728" s="424">
        <f t="shared" ref="DB728:EG728" si="1830">DB358*DB$372</f>
        <v>0</v>
      </c>
      <c r="DC728" s="424">
        <f t="shared" si="1830"/>
        <v>0</v>
      </c>
      <c r="DD728" s="424">
        <f t="shared" si="1830"/>
        <v>0</v>
      </c>
      <c r="DE728" s="424">
        <f t="shared" si="1830"/>
        <v>0</v>
      </c>
      <c r="DF728" s="424">
        <f t="shared" si="1830"/>
        <v>0</v>
      </c>
      <c r="DG728" s="424">
        <f t="shared" si="1830"/>
        <v>0</v>
      </c>
      <c r="DH728" s="424">
        <f t="shared" si="1830"/>
        <v>0</v>
      </c>
      <c r="DI728" s="424">
        <f t="shared" si="1830"/>
        <v>0</v>
      </c>
      <c r="DJ728" s="424">
        <f t="shared" si="1830"/>
        <v>0</v>
      </c>
      <c r="DK728" s="424">
        <f t="shared" si="1830"/>
        <v>0</v>
      </c>
      <c r="DL728" s="424">
        <f t="shared" si="1830"/>
        <v>0</v>
      </c>
      <c r="DM728" s="424">
        <f t="shared" si="1830"/>
        <v>0</v>
      </c>
      <c r="DN728" s="424">
        <f t="shared" si="1830"/>
        <v>0</v>
      </c>
      <c r="DO728" s="424">
        <f t="shared" si="1830"/>
        <v>0</v>
      </c>
      <c r="DP728" s="424">
        <f t="shared" si="1830"/>
        <v>0</v>
      </c>
      <c r="DQ728" s="424">
        <f t="shared" si="1830"/>
        <v>0</v>
      </c>
      <c r="DR728" s="424">
        <f t="shared" si="1830"/>
        <v>0</v>
      </c>
      <c r="DS728" s="424">
        <f t="shared" si="1830"/>
        <v>0</v>
      </c>
      <c r="DT728" s="424">
        <f t="shared" si="1830"/>
        <v>0</v>
      </c>
      <c r="DU728" s="424">
        <f t="shared" si="1830"/>
        <v>0</v>
      </c>
      <c r="DV728" s="424">
        <f t="shared" si="1830"/>
        <v>0</v>
      </c>
      <c r="DW728" s="424">
        <f t="shared" si="1830"/>
        <v>0</v>
      </c>
      <c r="DX728" s="424">
        <f t="shared" si="1830"/>
        <v>0</v>
      </c>
      <c r="DY728" s="424">
        <f t="shared" si="1830"/>
        <v>0</v>
      </c>
      <c r="DZ728" s="424">
        <f t="shared" si="1830"/>
        <v>0</v>
      </c>
      <c r="EA728" s="424">
        <f t="shared" si="1830"/>
        <v>0</v>
      </c>
      <c r="EB728" s="424">
        <f t="shared" si="1830"/>
        <v>0</v>
      </c>
      <c r="EC728" s="424">
        <f t="shared" si="1830"/>
        <v>0</v>
      </c>
      <c r="ED728" s="424">
        <f t="shared" si="1830"/>
        <v>0</v>
      </c>
      <c r="EE728" s="424">
        <f t="shared" si="1830"/>
        <v>0</v>
      </c>
      <c r="EF728" s="424">
        <f t="shared" si="1830"/>
        <v>0</v>
      </c>
      <c r="EG728" s="424">
        <f t="shared" si="1830"/>
        <v>0</v>
      </c>
      <c r="EH728" s="424">
        <f t="shared" ref="EH728:EX728" si="1831">EH358*EH$372</f>
        <v>0</v>
      </c>
      <c r="EI728" s="424">
        <f t="shared" si="1831"/>
        <v>0</v>
      </c>
      <c r="EJ728" s="424">
        <f t="shared" si="1831"/>
        <v>0</v>
      </c>
      <c r="EK728" s="424">
        <f t="shared" si="1831"/>
        <v>0</v>
      </c>
      <c r="EL728" s="424">
        <f t="shared" si="1831"/>
        <v>0</v>
      </c>
      <c r="EM728" s="424">
        <f t="shared" si="1831"/>
        <v>0</v>
      </c>
      <c r="EN728" s="424">
        <f t="shared" si="1831"/>
        <v>0</v>
      </c>
      <c r="EO728" s="424">
        <f t="shared" si="1831"/>
        <v>0</v>
      </c>
      <c r="EP728" s="424">
        <f t="shared" si="1831"/>
        <v>0</v>
      </c>
      <c r="EQ728" s="424">
        <f t="shared" si="1831"/>
        <v>8.25</v>
      </c>
      <c r="ER728" s="424">
        <f t="shared" si="1831"/>
        <v>0</v>
      </c>
      <c r="ES728" s="424">
        <f t="shared" si="1831"/>
        <v>0</v>
      </c>
      <c r="ET728" s="424">
        <f t="shared" si="1831"/>
        <v>0</v>
      </c>
      <c r="EU728" s="424">
        <f t="shared" si="1831"/>
        <v>0</v>
      </c>
      <c r="EV728" s="424">
        <f t="shared" si="1831"/>
        <v>0</v>
      </c>
      <c r="EW728" s="424">
        <f t="shared" si="1831"/>
        <v>0</v>
      </c>
      <c r="EX728" s="424">
        <f t="shared" si="1831"/>
        <v>0</v>
      </c>
      <c r="EY728" s="425">
        <f t="shared" si="1776"/>
        <v>8.25</v>
      </c>
      <c r="EZ728" s="616"/>
      <c r="FA728" s="616"/>
      <c r="FB728" s="616"/>
      <c r="FC728" s="616"/>
      <c r="FD728" s="616"/>
      <c r="FE728" s="616"/>
      <c r="FF728" s="616"/>
      <c r="FG728" s="616"/>
      <c r="FH728" s="616"/>
      <c r="FI728" s="616"/>
      <c r="FJ728" s="616"/>
    </row>
    <row r="729" spans="1:166" s="462" customFormat="1" ht="14.7" customHeight="1" x14ac:dyDescent="0.25">
      <c r="A729" s="310">
        <v>355</v>
      </c>
      <c r="B729" s="311" t="str">
        <f t="shared" si="1657"/>
        <v>Конфеты Батончик (Ротфронт)</v>
      </c>
      <c r="C729" s="483">
        <f t="shared" si="1750"/>
        <v>10.5</v>
      </c>
      <c r="D729" s="888"/>
      <c r="E729" s="888"/>
      <c r="F729" s="888"/>
      <c r="G729" s="889"/>
      <c r="H729" s="680" t="str">
        <f t="shared" si="1664"/>
        <v>ПРОМ</v>
      </c>
      <c r="I729" s="1209">
        <f t="shared" si="1658"/>
        <v>0</v>
      </c>
      <c r="J729" s="424">
        <f t="shared" ref="J729:AO729" si="1832">J359*J$372</f>
        <v>0</v>
      </c>
      <c r="K729" s="424">
        <f t="shared" si="1832"/>
        <v>0</v>
      </c>
      <c r="L729" s="424">
        <f t="shared" si="1832"/>
        <v>0</v>
      </c>
      <c r="M729" s="424">
        <f t="shared" si="1832"/>
        <v>0</v>
      </c>
      <c r="N729" s="424">
        <f t="shared" si="1832"/>
        <v>0</v>
      </c>
      <c r="O729" s="424">
        <f t="shared" si="1832"/>
        <v>0</v>
      </c>
      <c r="P729" s="424">
        <f t="shared" si="1832"/>
        <v>0</v>
      </c>
      <c r="Q729" s="424">
        <f t="shared" si="1832"/>
        <v>0</v>
      </c>
      <c r="R729" s="424">
        <f t="shared" si="1832"/>
        <v>0</v>
      </c>
      <c r="S729" s="424">
        <f t="shared" si="1832"/>
        <v>0</v>
      </c>
      <c r="T729" s="424">
        <f t="shared" si="1832"/>
        <v>0</v>
      </c>
      <c r="U729" s="424">
        <f t="shared" si="1832"/>
        <v>0</v>
      </c>
      <c r="V729" s="424">
        <f t="shared" si="1832"/>
        <v>0</v>
      </c>
      <c r="W729" s="424">
        <f t="shared" si="1832"/>
        <v>0</v>
      </c>
      <c r="X729" s="424">
        <f t="shared" si="1832"/>
        <v>0</v>
      </c>
      <c r="Y729" s="424">
        <f t="shared" si="1832"/>
        <v>0</v>
      </c>
      <c r="Z729" s="424">
        <f t="shared" si="1832"/>
        <v>0</v>
      </c>
      <c r="AA729" s="424">
        <f t="shared" si="1832"/>
        <v>0</v>
      </c>
      <c r="AB729" s="424">
        <f t="shared" si="1832"/>
        <v>0</v>
      </c>
      <c r="AC729" s="424">
        <f t="shared" si="1832"/>
        <v>0</v>
      </c>
      <c r="AD729" s="424">
        <f t="shared" si="1832"/>
        <v>0</v>
      </c>
      <c r="AE729" s="424">
        <f t="shared" si="1832"/>
        <v>0</v>
      </c>
      <c r="AF729" s="424">
        <f t="shared" si="1832"/>
        <v>0</v>
      </c>
      <c r="AG729" s="424">
        <f t="shared" si="1832"/>
        <v>0</v>
      </c>
      <c r="AH729" s="424">
        <f t="shared" si="1832"/>
        <v>0</v>
      </c>
      <c r="AI729" s="424">
        <f t="shared" si="1832"/>
        <v>0</v>
      </c>
      <c r="AJ729" s="424">
        <f t="shared" si="1832"/>
        <v>0</v>
      </c>
      <c r="AK729" s="424">
        <f t="shared" si="1832"/>
        <v>0</v>
      </c>
      <c r="AL729" s="424">
        <f t="shared" si="1832"/>
        <v>0</v>
      </c>
      <c r="AM729" s="424">
        <f t="shared" si="1832"/>
        <v>0</v>
      </c>
      <c r="AN729" s="424">
        <f t="shared" si="1832"/>
        <v>0</v>
      </c>
      <c r="AO729" s="424">
        <f t="shared" si="1832"/>
        <v>0</v>
      </c>
      <c r="AP729" s="424">
        <f t="shared" ref="AP729:BU729" si="1833">AP359*AP$372</f>
        <v>0</v>
      </c>
      <c r="AQ729" s="424">
        <f t="shared" si="1833"/>
        <v>0</v>
      </c>
      <c r="AR729" s="424">
        <f t="shared" si="1833"/>
        <v>0</v>
      </c>
      <c r="AS729" s="424">
        <f t="shared" si="1833"/>
        <v>0</v>
      </c>
      <c r="AT729" s="424">
        <f t="shared" si="1833"/>
        <v>0</v>
      </c>
      <c r="AU729" s="424">
        <f t="shared" si="1833"/>
        <v>0</v>
      </c>
      <c r="AV729" s="424">
        <f t="shared" si="1833"/>
        <v>0</v>
      </c>
      <c r="AW729" s="424">
        <f t="shared" si="1833"/>
        <v>0</v>
      </c>
      <c r="AX729" s="424">
        <f t="shared" si="1833"/>
        <v>0</v>
      </c>
      <c r="AY729" s="424">
        <f t="shared" si="1833"/>
        <v>0</v>
      </c>
      <c r="AZ729" s="424">
        <f t="shared" si="1833"/>
        <v>0</v>
      </c>
      <c r="BA729" s="424">
        <f t="shared" si="1833"/>
        <v>0</v>
      </c>
      <c r="BB729" s="424">
        <f t="shared" si="1833"/>
        <v>0</v>
      </c>
      <c r="BC729" s="424">
        <f t="shared" si="1833"/>
        <v>0</v>
      </c>
      <c r="BD729" s="424">
        <f t="shared" si="1833"/>
        <v>0</v>
      </c>
      <c r="BE729" s="424">
        <f t="shared" si="1833"/>
        <v>0</v>
      </c>
      <c r="BF729" s="424">
        <f t="shared" si="1833"/>
        <v>0</v>
      </c>
      <c r="BG729" s="424">
        <f t="shared" si="1833"/>
        <v>0</v>
      </c>
      <c r="BH729" s="424">
        <f t="shared" si="1833"/>
        <v>0</v>
      </c>
      <c r="BI729" s="424">
        <f t="shared" si="1833"/>
        <v>0</v>
      </c>
      <c r="BJ729" s="424">
        <f t="shared" si="1833"/>
        <v>0</v>
      </c>
      <c r="BK729" s="424">
        <f t="shared" si="1833"/>
        <v>0</v>
      </c>
      <c r="BL729" s="424">
        <f t="shared" si="1833"/>
        <v>0</v>
      </c>
      <c r="BM729" s="424">
        <f t="shared" si="1833"/>
        <v>0</v>
      </c>
      <c r="BN729" s="424">
        <f t="shared" si="1833"/>
        <v>0</v>
      </c>
      <c r="BO729" s="424">
        <f t="shared" si="1833"/>
        <v>0</v>
      </c>
      <c r="BP729" s="424">
        <f t="shared" si="1833"/>
        <v>0</v>
      </c>
      <c r="BQ729" s="424">
        <f t="shared" si="1833"/>
        <v>0</v>
      </c>
      <c r="BR729" s="424">
        <f t="shared" si="1833"/>
        <v>0</v>
      </c>
      <c r="BS729" s="424">
        <f t="shared" si="1833"/>
        <v>0</v>
      </c>
      <c r="BT729" s="424">
        <f t="shared" si="1833"/>
        <v>0</v>
      </c>
      <c r="BU729" s="424">
        <f t="shared" si="1833"/>
        <v>0</v>
      </c>
      <c r="BV729" s="424">
        <f t="shared" ref="BV729:DA729" si="1834">BV359*BV$372</f>
        <v>0</v>
      </c>
      <c r="BW729" s="424">
        <f t="shared" si="1834"/>
        <v>0</v>
      </c>
      <c r="BX729" s="424">
        <f t="shared" si="1834"/>
        <v>0</v>
      </c>
      <c r="BY729" s="424">
        <f t="shared" si="1834"/>
        <v>0</v>
      </c>
      <c r="BZ729" s="424">
        <f t="shared" si="1834"/>
        <v>0</v>
      </c>
      <c r="CA729" s="424">
        <f t="shared" si="1834"/>
        <v>0</v>
      </c>
      <c r="CB729" s="424">
        <f t="shared" si="1834"/>
        <v>0</v>
      </c>
      <c r="CC729" s="424">
        <f t="shared" si="1834"/>
        <v>0</v>
      </c>
      <c r="CD729" s="424">
        <f t="shared" si="1834"/>
        <v>0</v>
      </c>
      <c r="CE729" s="424">
        <f t="shared" si="1834"/>
        <v>0</v>
      </c>
      <c r="CF729" s="424">
        <f t="shared" si="1834"/>
        <v>0</v>
      </c>
      <c r="CG729" s="424">
        <f t="shared" si="1834"/>
        <v>0</v>
      </c>
      <c r="CH729" s="424">
        <f t="shared" si="1834"/>
        <v>0</v>
      </c>
      <c r="CI729" s="424">
        <f t="shared" si="1834"/>
        <v>0</v>
      </c>
      <c r="CJ729" s="424">
        <f t="shared" si="1834"/>
        <v>0</v>
      </c>
      <c r="CK729" s="424">
        <f t="shared" si="1834"/>
        <v>0</v>
      </c>
      <c r="CL729" s="424">
        <f t="shared" si="1834"/>
        <v>0</v>
      </c>
      <c r="CM729" s="424">
        <f t="shared" si="1834"/>
        <v>0</v>
      </c>
      <c r="CN729" s="424">
        <f t="shared" si="1834"/>
        <v>0</v>
      </c>
      <c r="CO729" s="424">
        <f t="shared" si="1834"/>
        <v>0</v>
      </c>
      <c r="CP729" s="424">
        <f t="shared" si="1834"/>
        <v>0</v>
      </c>
      <c r="CQ729" s="424">
        <f t="shared" si="1834"/>
        <v>0</v>
      </c>
      <c r="CR729" s="424">
        <f t="shared" si="1834"/>
        <v>0</v>
      </c>
      <c r="CS729" s="424">
        <f t="shared" si="1834"/>
        <v>0</v>
      </c>
      <c r="CT729" s="424">
        <f t="shared" si="1834"/>
        <v>0</v>
      </c>
      <c r="CU729" s="424">
        <f t="shared" si="1834"/>
        <v>0</v>
      </c>
      <c r="CV729" s="424">
        <f t="shared" si="1834"/>
        <v>0</v>
      </c>
      <c r="CW729" s="424">
        <f t="shared" si="1834"/>
        <v>0</v>
      </c>
      <c r="CX729" s="424">
        <f t="shared" si="1834"/>
        <v>0</v>
      </c>
      <c r="CY729" s="424">
        <f t="shared" si="1834"/>
        <v>0</v>
      </c>
      <c r="CZ729" s="424">
        <f t="shared" si="1834"/>
        <v>0</v>
      </c>
      <c r="DA729" s="424">
        <f t="shared" si="1834"/>
        <v>0</v>
      </c>
      <c r="DB729" s="424">
        <f t="shared" ref="DB729:EG729" si="1835">DB359*DB$372</f>
        <v>0</v>
      </c>
      <c r="DC729" s="424">
        <f t="shared" si="1835"/>
        <v>0</v>
      </c>
      <c r="DD729" s="424">
        <f t="shared" si="1835"/>
        <v>0</v>
      </c>
      <c r="DE729" s="424">
        <f t="shared" si="1835"/>
        <v>0</v>
      </c>
      <c r="DF729" s="424">
        <f t="shared" si="1835"/>
        <v>0</v>
      </c>
      <c r="DG729" s="424">
        <f t="shared" si="1835"/>
        <v>0</v>
      </c>
      <c r="DH729" s="424">
        <f t="shared" si="1835"/>
        <v>0</v>
      </c>
      <c r="DI729" s="424">
        <f t="shared" si="1835"/>
        <v>0</v>
      </c>
      <c r="DJ729" s="424">
        <f t="shared" si="1835"/>
        <v>0</v>
      </c>
      <c r="DK729" s="424">
        <f t="shared" si="1835"/>
        <v>0</v>
      </c>
      <c r="DL729" s="424">
        <f t="shared" si="1835"/>
        <v>0</v>
      </c>
      <c r="DM729" s="424">
        <f t="shared" si="1835"/>
        <v>0</v>
      </c>
      <c r="DN729" s="424">
        <f t="shared" si="1835"/>
        <v>0</v>
      </c>
      <c r="DO729" s="424">
        <f t="shared" si="1835"/>
        <v>0</v>
      </c>
      <c r="DP729" s="424">
        <f t="shared" si="1835"/>
        <v>0</v>
      </c>
      <c r="DQ729" s="424">
        <f t="shared" si="1835"/>
        <v>0</v>
      </c>
      <c r="DR729" s="424">
        <f t="shared" si="1835"/>
        <v>0</v>
      </c>
      <c r="DS729" s="424">
        <f t="shared" si="1835"/>
        <v>0</v>
      </c>
      <c r="DT729" s="424">
        <f t="shared" si="1835"/>
        <v>0</v>
      </c>
      <c r="DU729" s="424">
        <f t="shared" si="1835"/>
        <v>0</v>
      </c>
      <c r="DV729" s="424">
        <f t="shared" si="1835"/>
        <v>0</v>
      </c>
      <c r="DW729" s="424">
        <f t="shared" si="1835"/>
        <v>0</v>
      </c>
      <c r="DX729" s="424">
        <f t="shared" si="1835"/>
        <v>0</v>
      </c>
      <c r="DY729" s="424">
        <f t="shared" si="1835"/>
        <v>0</v>
      </c>
      <c r="DZ729" s="424">
        <f t="shared" si="1835"/>
        <v>0</v>
      </c>
      <c r="EA729" s="424">
        <f t="shared" si="1835"/>
        <v>0</v>
      </c>
      <c r="EB729" s="424">
        <f t="shared" si="1835"/>
        <v>0</v>
      </c>
      <c r="EC729" s="424">
        <f t="shared" si="1835"/>
        <v>0</v>
      </c>
      <c r="ED729" s="424">
        <f t="shared" si="1835"/>
        <v>0</v>
      </c>
      <c r="EE729" s="424">
        <f t="shared" si="1835"/>
        <v>0</v>
      </c>
      <c r="EF729" s="424">
        <f t="shared" si="1835"/>
        <v>0</v>
      </c>
      <c r="EG729" s="424">
        <f t="shared" si="1835"/>
        <v>0</v>
      </c>
      <c r="EH729" s="424">
        <f t="shared" ref="EH729:EX729" si="1836">EH359*EH$372</f>
        <v>0</v>
      </c>
      <c r="EI729" s="424">
        <f t="shared" si="1836"/>
        <v>0</v>
      </c>
      <c r="EJ729" s="424">
        <f t="shared" si="1836"/>
        <v>0</v>
      </c>
      <c r="EK729" s="424">
        <f t="shared" si="1836"/>
        <v>0</v>
      </c>
      <c r="EL729" s="424">
        <f t="shared" si="1836"/>
        <v>0</v>
      </c>
      <c r="EM729" s="424">
        <f t="shared" si="1836"/>
        <v>0</v>
      </c>
      <c r="EN729" s="424">
        <f t="shared" si="1836"/>
        <v>0</v>
      </c>
      <c r="EO729" s="424">
        <f t="shared" si="1836"/>
        <v>0</v>
      </c>
      <c r="EP729" s="424">
        <f t="shared" si="1836"/>
        <v>0</v>
      </c>
      <c r="EQ729" s="424">
        <f t="shared" si="1836"/>
        <v>0</v>
      </c>
      <c r="ER729" s="424">
        <f t="shared" si="1836"/>
        <v>10.5</v>
      </c>
      <c r="ES729" s="424">
        <f t="shared" si="1836"/>
        <v>0</v>
      </c>
      <c r="ET729" s="424">
        <f t="shared" si="1836"/>
        <v>0</v>
      </c>
      <c r="EU729" s="424">
        <f t="shared" si="1836"/>
        <v>0</v>
      </c>
      <c r="EV729" s="424">
        <f t="shared" si="1836"/>
        <v>0</v>
      </c>
      <c r="EW729" s="424">
        <f t="shared" si="1836"/>
        <v>0</v>
      </c>
      <c r="EX729" s="424">
        <f t="shared" si="1836"/>
        <v>0</v>
      </c>
      <c r="EY729" s="425">
        <f t="shared" si="1776"/>
        <v>10.5</v>
      </c>
      <c r="EZ729" s="616"/>
      <c r="FA729" s="616"/>
      <c r="FB729" s="616"/>
      <c r="FC729" s="616"/>
      <c r="FD729" s="616"/>
      <c r="FE729" s="616"/>
      <c r="FF729" s="616"/>
      <c r="FG729" s="616"/>
      <c r="FH729" s="616"/>
      <c r="FI729" s="616"/>
      <c r="FJ729" s="616"/>
    </row>
    <row r="730" spans="1:166" s="851" customFormat="1" ht="14.7" customHeight="1" x14ac:dyDescent="0.25">
      <c r="A730" s="310">
        <v>356</v>
      </c>
      <c r="B730" s="311" t="str">
        <f t="shared" si="1657"/>
        <v>Конфеты, глазированные шоколадом (Морские)</v>
      </c>
      <c r="C730" s="483">
        <f t="shared" si="1750"/>
        <v>11.55</v>
      </c>
      <c r="D730" s="888"/>
      <c r="E730" s="888"/>
      <c r="F730" s="888"/>
      <c r="G730" s="889"/>
      <c r="H730" s="680" t="str">
        <f t="shared" si="1664"/>
        <v>ПРОМ</v>
      </c>
      <c r="I730" s="1209">
        <f t="shared" si="1658"/>
        <v>0</v>
      </c>
      <c r="J730" s="424">
        <f t="shared" ref="J730:AO730" si="1837">J360*J$372</f>
        <v>0</v>
      </c>
      <c r="K730" s="424">
        <f t="shared" si="1837"/>
        <v>0</v>
      </c>
      <c r="L730" s="424">
        <f t="shared" si="1837"/>
        <v>0</v>
      </c>
      <c r="M730" s="424">
        <f t="shared" si="1837"/>
        <v>0</v>
      </c>
      <c r="N730" s="424">
        <f t="shared" si="1837"/>
        <v>0</v>
      </c>
      <c r="O730" s="424">
        <f t="shared" si="1837"/>
        <v>0</v>
      </c>
      <c r="P730" s="424">
        <f t="shared" si="1837"/>
        <v>0</v>
      </c>
      <c r="Q730" s="424">
        <f t="shared" si="1837"/>
        <v>0</v>
      </c>
      <c r="R730" s="424">
        <f t="shared" si="1837"/>
        <v>0</v>
      </c>
      <c r="S730" s="424">
        <f t="shared" si="1837"/>
        <v>0</v>
      </c>
      <c r="T730" s="424">
        <f t="shared" si="1837"/>
        <v>0</v>
      </c>
      <c r="U730" s="424">
        <f t="shared" si="1837"/>
        <v>0</v>
      </c>
      <c r="V730" s="424">
        <f t="shared" si="1837"/>
        <v>0</v>
      </c>
      <c r="W730" s="424">
        <f t="shared" si="1837"/>
        <v>0</v>
      </c>
      <c r="X730" s="424">
        <f t="shared" si="1837"/>
        <v>0</v>
      </c>
      <c r="Y730" s="424">
        <f t="shared" si="1837"/>
        <v>0</v>
      </c>
      <c r="Z730" s="424">
        <f t="shared" si="1837"/>
        <v>0</v>
      </c>
      <c r="AA730" s="424">
        <f t="shared" si="1837"/>
        <v>0</v>
      </c>
      <c r="AB730" s="424">
        <f t="shared" si="1837"/>
        <v>0</v>
      </c>
      <c r="AC730" s="424">
        <f t="shared" si="1837"/>
        <v>0</v>
      </c>
      <c r="AD730" s="424">
        <f t="shared" si="1837"/>
        <v>0</v>
      </c>
      <c r="AE730" s="424">
        <f t="shared" si="1837"/>
        <v>0</v>
      </c>
      <c r="AF730" s="424">
        <f t="shared" si="1837"/>
        <v>0</v>
      </c>
      <c r="AG730" s="424">
        <f t="shared" si="1837"/>
        <v>0</v>
      </c>
      <c r="AH730" s="424">
        <f t="shared" si="1837"/>
        <v>0</v>
      </c>
      <c r="AI730" s="424">
        <f t="shared" si="1837"/>
        <v>0</v>
      </c>
      <c r="AJ730" s="424">
        <f t="shared" si="1837"/>
        <v>0</v>
      </c>
      <c r="AK730" s="424">
        <f t="shared" si="1837"/>
        <v>0</v>
      </c>
      <c r="AL730" s="424">
        <f t="shared" si="1837"/>
        <v>0</v>
      </c>
      <c r="AM730" s="424">
        <f t="shared" si="1837"/>
        <v>0</v>
      </c>
      <c r="AN730" s="424">
        <f t="shared" si="1837"/>
        <v>0</v>
      </c>
      <c r="AO730" s="424">
        <f t="shared" si="1837"/>
        <v>0</v>
      </c>
      <c r="AP730" s="424">
        <f t="shared" ref="AP730:BU730" si="1838">AP360*AP$372</f>
        <v>0</v>
      </c>
      <c r="AQ730" s="424">
        <f t="shared" si="1838"/>
        <v>0</v>
      </c>
      <c r="AR730" s="424">
        <f t="shared" si="1838"/>
        <v>0</v>
      </c>
      <c r="AS730" s="424">
        <f t="shared" si="1838"/>
        <v>0</v>
      </c>
      <c r="AT730" s="424">
        <f t="shared" si="1838"/>
        <v>0</v>
      </c>
      <c r="AU730" s="424">
        <f t="shared" si="1838"/>
        <v>0</v>
      </c>
      <c r="AV730" s="424">
        <f t="shared" si="1838"/>
        <v>0</v>
      </c>
      <c r="AW730" s="424">
        <f t="shared" si="1838"/>
        <v>0</v>
      </c>
      <c r="AX730" s="424">
        <f t="shared" si="1838"/>
        <v>0</v>
      </c>
      <c r="AY730" s="424">
        <f t="shared" si="1838"/>
        <v>0</v>
      </c>
      <c r="AZ730" s="424">
        <f t="shared" si="1838"/>
        <v>0</v>
      </c>
      <c r="BA730" s="424">
        <f t="shared" si="1838"/>
        <v>0</v>
      </c>
      <c r="BB730" s="424">
        <f t="shared" si="1838"/>
        <v>0</v>
      </c>
      <c r="BC730" s="424">
        <f t="shared" si="1838"/>
        <v>0</v>
      </c>
      <c r="BD730" s="424">
        <f t="shared" si="1838"/>
        <v>0</v>
      </c>
      <c r="BE730" s="424">
        <f t="shared" si="1838"/>
        <v>0</v>
      </c>
      <c r="BF730" s="424">
        <f t="shared" si="1838"/>
        <v>0</v>
      </c>
      <c r="BG730" s="424">
        <f t="shared" si="1838"/>
        <v>0</v>
      </c>
      <c r="BH730" s="424">
        <f t="shared" si="1838"/>
        <v>0</v>
      </c>
      <c r="BI730" s="424">
        <f t="shared" si="1838"/>
        <v>0</v>
      </c>
      <c r="BJ730" s="424">
        <f t="shared" si="1838"/>
        <v>0</v>
      </c>
      <c r="BK730" s="424">
        <f t="shared" si="1838"/>
        <v>0</v>
      </c>
      <c r="BL730" s="424">
        <f t="shared" si="1838"/>
        <v>0</v>
      </c>
      <c r="BM730" s="424">
        <f t="shared" si="1838"/>
        <v>0</v>
      </c>
      <c r="BN730" s="424">
        <f t="shared" si="1838"/>
        <v>0</v>
      </c>
      <c r="BO730" s="424">
        <f t="shared" si="1838"/>
        <v>0</v>
      </c>
      <c r="BP730" s="424">
        <f t="shared" si="1838"/>
        <v>0</v>
      </c>
      <c r="BQ730" s="424">
        <f t="shared" si="1838"/>
        <v>0</v>
      </c>
      <c r="BR730" s="424">
        <f t="shared" si="1838"/>
        <v>0</v>
      </c>
      <c r="BS730" s="424">
        <f t="shared" si="1838"/>
        <v>0</v>
      </c>
      <c r="BT730" s="424">
        <f t="shared" si="1838"/>
        <v>0</v>
      </c>
      <c r="BU730" s="424">
        <f t="shared" si="1838"/>
        <v>0</v>
      </c>
      <c r="BV730" s="424">
        <f t="shared" ref="BV730:DA730" si="1839">BV360*BV$372</f>
        <v>0</v>
      </c>
      <c r="BW730" s="424">
        <f t="shared" si="1839"/>
        <v>0</v>
      </c>
      <c r="BX730" s="424">
        <f t="shared" si="1839"/>
        <v>0</v>
      </c>
      <c r="BY730" s="424">
        <f t="shared" si="1839"/>
        <v>0</v>
      </c>
      <c r="BZ730" s="424">
        <f t="shared" si="1839"/>
        <v>0</v>
      </c>
      <c r="CA730" s="424">
        <f t="shared" si="1839"/>
        <v>0</v>
      </c>
      <c r="CB730" s="424">
        <f t="shared" si="1839"/>
        <v>0</v>
      </c>
      <c r="CC730" s="424">
        <f t="shared" si="1839"/>
        <v>0</v>
      </c>
      <c r="CD730" s="424">
        <f t="shared" si="1839"/>
        <v>0</v>
      </c>
      <c r="CE730" s="424">
        <f t="shared" si="1839"/>
        <v>0</v>
      </c>
      <c r="CF730" s="424">
        <f t="shared" si="1839"/>
        <v>0</v>
      </c>
      <c r="CG730" s="424">
        <f t="shared" si="1839"/>
        <v>0</v>
      </c>
      <c r="CH730" s="424">
        <f t="shared" si="1839"/>
        <v>0</v>
      </c>
      <c r="CI730" s="424">
        <f t="shared" si="1839"/>
        <v>0</v>
      </c>
      <c r="CJ730" s="424">
        <f t="shared" si="1839"/>
        <v>0</v>
      </c>
      <c r="CK730" s="424">
        <f t="shared" si="1839"/>
        <v>0</v>
      </c>
      <c r="CL730" s="424">
        <f t="shared" si="1839"/>
        <v>0</v>
      </c>
      <c r="CM730" s="424">
        <f t="shared" si="1839"/>
        <v>0</v>
      </c>
      <c r="CN730" s="424">
        <f t="shared" si="1839"/>
        <v>0</v>
      </c>
      <c r="CO730" s="424">
        <f t="shared" si="1839"/>
        <v>0</v>
      </c>
      <c r="CP730" s="424">
        <f t="shared" si="1839"/>
        <v>0</v>
      </c>
      <c r="CQ730" s="424">
        <f t="shared" si="1839"/>
        <v>0</v>
      </c>
      <c r="CR730" s="424">
        <f t="shared" si="1839"/>
        <v>0</v>
      </c>
      <c r="CS730" s="424">
        <f t="shared" si="1839"/>
        <v>0</v>
      </c>
      <c r="CT730" s="424">
        <f t="shared" si="1839"/>
        <v>0</v>
      </c>
      <c r="CU730" s="424">
        <f t="shared" si="1839"/>
        <v>0</v>
      </c>
      <c r="CV730" s="424">
        <f t="shared" si="1839"/>
        <v>0</v>
      </c>
      <c r="CW730" s="424">
        <f t="shared" si="1839"/>
        <v>0</v>
      </c>
      <c r="CX730" s="424">
        <f t="shared" si="1839"/>
        <v>0</v>
      </c>
      <c r="CY730" s="424">
        <f t="shared" si="1839"/>
        <v>0</v>
      </c>
      <c r="CZ730" s="424">
        <f t="shared" si="1839"/>
        <v>0</v>
      </c>
      <c r="DA730" s="424">
        <f t="shared" si="1839"/>
        <v>0</v>
      </c>
      <c r="DB730" s="424">
        <f t="shared" ref="DB730:EG730" si="1840">DB360*DB$372</f>
        <v>0</v>
      </c>
      <c r="DC730" s="424">
        <f t="shared" si="1840"/>
        <v>0</v>
      </c>
      <c r="DD730" s="424">
        <f t="shared" si="1840"/>
        <v>0</v>
      </c>
      <c r="DE730" s="424">
        <f t="shared" si="1840"/>
        <v>0</v>
      </c>
      <c r="DF730" s="424">
        <f t="shared" si="1840"/>
        <v>0</v>
      </c>
      <c r="DG730" s="424">
        <f t="shared" si="1840"/>
        <v>0</v>
      </c>
      <c r="DH730" s="424">
        <f t="shared" si="1840"/>
        <v>0</v>
      </c>
      <c r="DI730" s="424">
        <f t="shared" si="1840"/>
        <v>0</v>
      </c>
      <c r="DJ730" s="424">
        <f t="shared" si="1840"/>
        <v>0</v>
      </c>
      <c r="DK730" s="424">
        <f t="shared" si="1840"/>
        <v>0</v>
      </c>
      <c r="DL730" s="424">
        <f t="shared" si="1840"/>
        <v>0</v>
      </c>
      <c r="DM730" s="424">
        <f t="shared" si="1840"/>
        <v>0</v>
      </c>
      <c r="DN730" s="424">
        <f t="shared" si="1840"/>
        <v>0</v>
      </c>
      <c r="DO730" s="424">
        <f t="shared" si="1840"/>
        <v>0</v>
      </c>
      <c r="DP730" s="424">
        <f t="shared" si="1840"/>
        <v>0</v>
      </c>
      <c r="DQ730" s="424">
        <f t="shared" si="1840"/>
        <v>0</v>
      </c>
      <c r="DR730" s="424">
        <f t="shared" si="1840"/>
        <v>0</v>
      </c>
      <c r="DS730" s="424">
        <f t="shared" si="1840"/>
        <v>0</v>
      </c>
      <c r="DT730" s="424">
        <f t="shared" si="1840"/>
        <v>0</v>
      </c>
      <c r="DU730" s="424">
        <f t="shared" si="1840"/>
        <v>0</v>
      </c>
      <c r="DV730" s="424">
        <f t="shared" si="1840"/>
        <v>0</v>
      </c>
      <c r="DW730" s="424">
        <f t="shared" si="1840"/>
        <v>0</v>
      </c>
      <c r="DX730" s="424">
        <f t="shared" si="1840"/>
        <v>0</v>
      </c>
      <c r="DY730" s="424">
        <f t="shared" si="1840"/>
        <v>0</v>
      </c>
      <c r="DZ730" s="424">
        <f t="shared" si="1840"/>
        <v>0</v>
      </c>
      <c r="EA730" s="424">
        <f t="shared" si="1840"/>
        <v>0</v>
      </c>
      <c r="EB730" s="424">
        <f t="shared" si="1840"/>
        <v>0</v>
      </c>
      <c r="EC730" s="424">
        <f t="shared" si="1840"/>
        <v>0</v>
      </c>
      <c r="ED730" s="424">
        <f t="shared" si="1840"/>
        <v>0</v>
      </c>
      <c r="EE730" s="424">
        <f t="shared" si="1840"/>
        <v>0</v>
      </c>
      <c r="EF730" s="424">
        <f t="shared" si="1840"/>
        <v>0</v>
      </c>
      <c r="EG730" s="424">
        <f t="shared" si="1840"/>
        <v>0</v>
      </c>
      <c r="EH730" s="424">
        <f t="shared" ref="EH730:EX730" si="1841">EH360*EH$372</f>
        <v>0</v>
      </c>
      <c r="EI730" s="424">
        <f t="shared" si="1841"/>
        <v>0</v>
      </c>
      <c r="EJ730" s="424">
        <f t="shared" si="1841"/>
        <v>0</v>
      </c>
      <c r="EK730" s="424">
        <f t="shared" si="1841"/>
        <v>11.55</v>
      </c>
      <c r="EL730" s="424">
        <f t="shared" si="1841"/>
        <v>0</v>
      </c>
      <c r="EM730" s="424">
        <f t="shared" si="1841"/>
        <v>0</v>
      </c>
      <c r="EN730" s="424">
        <f t="shared" si="1841"/>
        <v>0</v>
      </c>
      <c r="EO730" s="424">
        <f t="shared" si="1841"/>
        <v>0</v>
      </c>
      <c r="EP730" s="424">
        <f t="shared" si="1841"/>
        <v>0</v>
      </c>
      <c r="EQ730" s="424">
        <f t="shared" si="1841"/>
        <v>0</v>
      </c>
      <c r="ER730" s="424">
        <f t="shared" si="1841"/>
        <v>0</v>
      </c>
      <c r="ES730" s="424">
        <f t="shared" si="1841"/>
        <v>0</v>
      </c>
      <c r="ET730" s="424">
        <f t="shared" si="1841"/>
        <v>0</v>
      </c>
      <c r="EU730" s="424">
        <f t="shared" si="1841"/>
        <v>0</v>
      </c>
      <c r="EV730" s="424">
        <f t="shared" si="1841"/>
        <v>0</v>
      </c>
      <c r="EW730" s="424">
        <f t="shared" si="1841"/>
        <v>0</v>
      </c>
      <c r="EX730" s="424">
        <f t="shared" si="1841"/>
        <v>0</v>
      </c>
      <c r="EY730" s="425">
        <f t="shared" si="1776"/>
        <v>11.55</v>
      </c>
      <c r="EZ730" s="616"/>
      <c r="FA730" s="616"/>
      <c r="FB730" s="616"/>
      <c r="FC730" s="616"/>
      <c r="FD730" s="616"/>
      <c r="FE730" s="616"/>
      <c r="FF730" s="616"/>
      <c r="FG730" s="616"/>
      <c r="FH730" s="616"/>
      <c r="FI730" s="616"/>
      <c r="FJ730" s="616"/>
    </row>
    <row r="731" spans="1:166" s="851" customFormat="1" ht="14.7" customHeight="1" x14ac:dyDescent="0.25">
      <c r="A731" s="310">
        <v>357</v>
      </c>
      <c r="B731" s="311" t="str">
        <f t="shared" si="1657"/>
        <v>Конфеты сливочные (Коровка)</v>
      </c>
      <c r="C731" s="483">
        <f t="shared" si="1750"/>
        <v>6</v>
      </c>
      <c r="D731" s="888"/>
      <c r="E731" s="888"/>
      <c r="F731" s="888"/>
      <c r="G731" s="889"/>
      <c r="H731" s="680" t="str">
        <f t="shared" si="1664"/>
        <v>ПРОМ</v>
      </c>
      <c r="I731" s="1209">
        <f t="shared" si="1658"/>
        <v>0</v>
      </c>
      <c r="J731" s="424">
        <f t="shared" ref="J731:AO731" si="1842">J361*J$372</f>
        <v>0</v>
      </c>
      <c r="K731" s="424">
        <f t="shared" si="1842"/>
        <v>0</v>
      </c>
      <c r="L731" s="424">
        <f t="shared" si="1842"/>
        <v>0</v>
      </c>
      <c r="M731" s="424">
        <f t="shared" si="1842"/>
        <v>0</v>
      </c>
      <c r="N731" s="424">
        <f t="shared" si="1842"/>
        <v>0</v>
      </c>
      <c r="O731" s="424">
        <f t="shared" si="1842"/>
        <v>0</v>
      </c>
      <c r="P731" s="424">
        <f t="shared" si="1842"/>
        <v>0</v>
      </c>
      <c r="Q731" s="424">
        <f t="shared" si="1842"/>
        <v>0</v>
      </c>
      <c r="R731" s="424">
        <f t="shared" si="1842"/>
        <v>0</v>
      </c>
      <c r="S731" s="424">
        <f t="shared" si="1842"/>
        <v>0</v>
      </c>
      <c r="T731" s="424">
        <f t="shared" si="1842"/>
        <v>0</v>
      </c>
      <c r="U731" s="424">
        <f t="shared" si="1842"/>
        <v>0</v>
      </c>
      <c r="V731" s="424">
        <f t="shared" si="1842"/>
        <v>0</v>
      </c>
      <c r="W731" s="424">
        <f t="shared" si="1842"/>
        <v>0</v>
      </c>
      <c r="X731" s="424">
        <f t="shared" si="1842"/>
        <v>0</v>
      </c>
      <c r="Y731" s="424">
        <f t="shared" si="1842"/>
        <v>0</v>
      </c>
      <c r="Z731" s="424">
        <f t="shared" si="1842"/>
        <v>0</v>
      </c>
      <c r="AA731" s="424">
        <f t="shared" si="1842"/>
        <v>0</v>
      </c>
      <c r="AB731" s="424">
        <f t="shared" si="1842"/>
        <v>0</v>
      </c>
      <c r="AC731" s="424">
        <f t="shared" si="1842"/>
        <v>0</v>
      </c>
      <c r="AD731" s="424">
        <f t="shared" si="1842"/>
        <v>0</v>
      </c>
      <c r="AE731" s="424">
        <f t="shared" si="1842"/>
        <v>0</v>
      </c>
      <c r="AF731" s="424">
        <f t="shared" si="1842"/>
        <v>0</v>
      </c>
      <c r="AG731" s="424">
        <f t="shared" si="1842"/>
        <v>0</v>
      </c>
      <c r="AH731" s="424">
        <f t="shared" si="1842"/>
        <v>0</v>
      </c>
      <c r="AI731" s="424">
        <f t="shared" si="1842"/>
        <v>0</v>
      </c>
      <c r="AJ731" s="424">
        <f t="shared" si="1842"/>
        <v>0</v>
      </c>
      <c r="AK731" s="424">
        <f t="shared" si="1842"/>
        <v>0</v>
      </c>
      <c r="AL731" s="424">
        <f t="shared" si="1842"/>
        <v>0</v>
      </c>
      <c r="AM731" s="424">
        <f t="shared" si="1842"/>
        <v>0</v>
      </c>
      <c r="AN731" s="424">
        <f t="shared" si="1842"/>
        <v>0</v>
      </c>
      <c r="AO731" s="424">
        <f t="shared" si="1842"/>
        <v>0</v>
      </c>
      <c r="AP731" s="424">
        <f t="shared" ref="AP731:BU731" si="1843">AP361*AP$372</f>
        <v>0</v>
      </c>
      <c r="AQ731" s="424">
        <f t="shared" si="1843"/>
        <v>0</v>
      </c>
      <c r="AR731" s="424">
        <f t="shared" si="1843"/>
        <v>0</v>
      </c>
      <c r="AS731" s="424">
        <f t="shared" si="1843"/>
        <v>0</v>
      </c>
      <c r="AT731" s="424">
        <f t="shared" si="1843"/>
        <v>0</v>
      </c>
      <c r="AU731" s="424">
        <f t="shared" si="1843"/>
        <v>0</v>
      </c>
      <c r="AV731" s="424">
        <f t="shared" si="1843"/>
        <v>0</v>
      </c>
      <c r="AW731" s="424">
        <f t="shared" si="1843"/>
        <v>0</v>
      </c>
      <c r="AX731" s="424">
        <f t="shared" si="1843"/>
        <v>0</v>
      </c>
      <c r="AY731" s="424">
        <f t="shared" si="1843"/>
        <v>0</v>
      </c>
      <c r="AZ731" s="424">
        <f t="shared" si="1843"/>
        <v>0</v>
      </c>
      <c r="BA731" s="424">
        <f t="shared" si="1843"/>
        <v>0</v>
      </c>
      <c r="BB731" s="424">
        <f t="shared" si="1843"/>
        <v>0</v>
      </c>
      <c r="BC731" s="424">
        <f t="shared" si="1843"/>
        <v>0</v>
      </c>
      <c r="BD731" s="424">
        <f t="shared" si="1843"/>
        <v>0</v>
      </c>
      <c r="BE731" s="424">
        <f t="shared" si="1843"/>
        <v>0</v>
      </c>
      <c r="BF731" s="424">
        <f t="shared" si="1843"/>
        <v>0</v>
      </c>
      <c r="BG731" s="424">
        <f t="shared" si="1843"/>
        <v>0</v>
      </c>
      <c r="BH731" s="424">
        <f t="shared" si="1843"/>
        <v>0</v>
      </c>
      <c r="BI731" s="424">
        <f t="shared" si="1843"/>
        <v>0</v>
      </c>
      <c r="BJ731" s="424">
        <f t="shared" si="1843"/>
        <v>0</v>
      </c>
      <c r="BK731" s="424">
        <f t="shared" si="1843"/>
        <v>0</v>
      </c>
      <c r="BL731" s="424">
        <f t="shared" si="1843"/>
        <v>0</v>
      </c>
      <c r="BM731" s="424">
        <f t="shared" si="1843"/>
        <v>0</v>
      </c>
      <c r="BN731" s="424">
        <f t="shared" si="1843"/>
        <v>0</v>
      </c>
      <c r="BO731" s="424">
        <f t="shared" si="1843"/>
        <v>0</v>
      </c>
      <c r="BP731" s="424">
        <f t="shared" si="1843"/>
        <v>0</v>
      </c>
      <c r="BQ731" s="424">
        <f t="shared" si="1843"/>
        <v>0</v>
      </c>
      <c r="BR731" s="424">
        <f t="shared" si="1843"/>
        <v>0</v>
      </c>
      <c r="BS731" s="424">
        <f t="shared" si="1843"/>
        <v>0</v>
      </c>
      <c r="BT731" s="424">
        <f t="shared" si="1843"/>
        <v>0</v>
      </c>
      <c r="BU731" s="424">
        <f t="shared" si="1843"/>
        <v>0</v>
      </c>
      <c r="BV731" s="424">
        <f t="shared" ref="BV731:DA731" si="1844">BV361*BV$372</f>
        <v>0</v>
      </c>
      <c r="BW731" s="424">
        <f t="shared" si="1844"/>
        <v>0</v>
      </c>
      <c r="BX731" s="424">
        <f t="shared" si="1844"/>
        <v>0</v>
      </c>
      <c r="BY731" s="424">
        <f t="shared" si="1844"/>
        <v>0</v>
      </c>
      <c r="BZ731" s="424">
        <f t="shared" si="1844"/>
        <v>0</v>
      </c>
      <c r="CA731" s="424">
        <f t="shared" si="1844"/>
        <v>0</v>
      </c>
      <c r="CB731" s="424">
        <f t="shared" si="1844"/>
        <v>0</v>
      </c>
      <c r="CC731" s="424">
        <f t="shared" si="1844"/>
        <v>0</v>
      </c>
      <c r="CD731" s="424">
        <f t="shared" si="1844"/>
        <v>0</v>
      </c>
      <c r="CE731" s="424">
        <f t="shared" si="1844"/>
        <v>0</v>
      </c>
      <c r="CF731" s="424">
        <f t="shared" si="1844"/>
        <v>0</v>
      </c>
      <c r="CG731" s="424">
        <f t="shared" si="1844"/>
        <v>0</v>
      </c>
      <c r="CH731" s="424">
        <f t="shared" si="1844"/>
        <v>0</v>
      </c>
      <c r="CI731" s="424">
        <f t="shared" si="1844"/>
        <v>0</v>
      </c>
      <c r="CJ731" s="424">
        <f t="shared" si="1844"/>
        <v>0</v>
      </c>
      <c r="CK731" s="424">
        <f t="shared" si="1844"/>
        <v>0</v>
      </c>
      <c r="CL731" s="424">
        <f t="shared" si="1844"/>
        <v>0</v>
      </c>
      <c r="CM731" s="424">
        <f t="shared" si="1844"/>
        <v>0</v>
      </c>
      <c r="CN731" s="424">
        <f t="shared" si="1844"/>
        <v>0</v>
      </c>
      <c r="CO731" s="424">
        <f t="shared" si="1844"/>
        <v>0</v>
      </c>
      <c r="CP731" s="424">
        <f t="shared" si="1844"/>
        <v>0</v>
      </c>
      <c r="CQ731" s="424">
        <f t="shared" si="1844"/>
        <v>0</v>
      </c>
      <c r="CR731" s="424">
        <f t="shared" si="1844"/>
        <v>0</v>
      </c>
      <c r="CS731" s="424">
        <f t="shared" si="1844"/>
        <v>0</v>
      </c>
      <c r="CT731" s="424">
        <f t="shared" si="1844"/>
        <v>0</v>
      </c>
      <c r="CU731" s="424">
        <f t="shared" si="1844"/>
        <v>0</v>
      </c>
      <c r="CV731" s="424">
        <f t="shared" si="1844"/>
        <v>0</v>
      </c>
      <c r="CW731" s="424">
        <f t="shared" si="1844"/>
        <v>0</v>
      </c>
      <c r="CX731" s="424">
        <f t="shared" si="1844"/>
        <v>0</v>
      </c>
      <c r="CY731" s="424">
        <f t="shared" si="1844"/>
        <v>0</v>
      </c>
      <c r="CZ731" s="424">
        <f t="shared" si="1844"/>
        <v>0</v>
      </c>
      <c r="DA731" s="424">
        <f t="shared" si="1844"/>
        <v>0</v>
      </c>
      <c r="DB731" s="424">
        <f t="shared" ref="DB731:EG731" si="1845">DB361*DB$372</f>
        <v>0</v>
      </c>
      <c r="DC731" s="424">
        <f t="shared" si="1845"/>
        <v>0</v>
      </c>
      <c r="DD731" s="424">
        <f t="shared" si="1845"/>
        <v>0</v>
      </c>
      <c r="DE731" s="424">
        <f t="shared" si="1845"/>
        <v>0</v>
      </c>
      <c r="DF731" s="424">
        <f t="shared" si="1845"/>
        <v>0</v>
      </c>
      <c r="DG731" s="424">
        <f t="shared" si="1845"/>
        <v>0</v>
      </c>
      <c r="DH731" s="424">
        <f t="shared" si="1845"/>
        <v>0</v>
      </c>
      <c r="DI731" s="424">
        <f t="shared" si="1845"/>
        <v>0</v>
      </c>
      <c r="DJ731" s="424">
        <f t="shared" si="1845"/>
        <v>0</v>
      </c>
      <c r="DK731" s="424">
        <f t="shared" si="1845"/>
        <v>0</v>
      </c>
      <c r="DL731" s="424">
        <f t="shared" si="1845"/>
        <v>0</v>
      </c>
      <c r="DM731" s="424">
        <f t="shared" si="1845"/>
        <v>0</v>
      </c>
      <c r="DN731" s="424">
        <f t="shared" si="1845"/>
        <v>0</v>
      </c>
      <c r="DO731" s="424">
        <f t="shared" si="1845"/>
        <v>0</v>
      </c>
      <c r="DP731" s="424">
        <f t="shared" si="1845"/>
        <v>0</v>
      </c>
      <c r="DQ731" s="424">
        <f t="shared" si="1845"/>
        <v>0</v>
      </c>
      <c r="DR731" s="424">
        <f t="shared" si="1845"/>
        <v>0</v>
      </c>
      <c r="DS731" s="424">
        <f t="shared" si="1845"/>
        <v>0</v>
      </c>
      <c r="DT731" s="424">
        <f t="shared" si="1845"/>
        <v>0</v>
      </c>
      <c r="DU731" s="424">
        <f t="shared" si="1845"/>
        <v>0</v>
      </c>
      <c r="DV731" s="424">
        <f t="shared" si="1845"/>
        <v>0</v>
      </c>
      <c r="DW731" s="424">
        <f t="shared" si="1845"/>
        <v>0</v>
      </c>
      <c r="DX731" s="424">
        <f t="shared" si="1845"/>
        <v>0</v>
      </c>
      <c r="DY731" s="424">
        <f t="shared" si="1845"/>
        <v>0</v>
      </c>
      <c r="DZ731" s="424">
        <f t="shared" si="1845"/>
        <v>0</v>
      </c>
      <c r="EA731" s="424">
        <f t="shared" si="1845"/>
        <v>0</v>
      </c>
      <c r="EB731" s="424">
        <f t="shared" si="1845"/>
        <v>0</v>
      </c>
      <c r="EC731" s="424">
        <f t="shared" si="1845"/>
        <v>0</v>
      </c>
      <c r="ED731" s="424">
        <f t="shared" si="1845"/>
        <v>0</v>
      </c>
      <c r="EE731" s="424">
        <f t="shared" si="1845"/>
        <v>0</v>
      </c>
      <c r="EF731" s="424">
        <f t="shared" si="1845"/>
        <v>0</v>
      </c>
      <c r="EG731" s="424">
        <f t="shared" si="1845"/>
        <v>0</v>
      </c>
      <c r="EH731" s="424">
        <f t="shared" ref="EH731:EX731" si="1846">EH361*EH$372</f>
        <v>0</v>
      </c>
      <c r="EI731" s="424">
        <f t="shared" si="1846"/>
        <v>0</v>
      </c>
      <c r="EJ731" s="424">
        <f t="shared" si="1846"/>
        <v>0</v>
      </c>
      <c r="EK731" s="424">
        <f t="shared" si="1846"/>
        <v>0</v>
      </c>
      <c r="EL731" s="424">
        <f t="shared" si="1846"/>
        <v>6</v>
      </c>
      <c r="EM731" s="424">
        <f t="shared" si="1846"/>
        <v>0</v>
      </c>
      <c r="EN731" s="424">
        <f t="shared" si="1846"/>
        <v>0</v>
      </c>
      <c r="EO731" s="424">
        <f t="shared" si="1846"/>
        <v>0</v>
      </c>
      <c r="EP731" s="424">
        <f t="shared" si="1846"/>
        <v>0</v>
      </c>
      <c r="EQ731" s="424">
        <f t="shared" si="1846"/>
        <v>0</v>
      </c>
      <c r="ER731" s="424">
        <f t="shared" si="1846"/>
        <v>0</v>
      </c>
      <c r="ES731" s="424">
        <f t="shared" si="1846"/>
        <v>0</v>
      </c>
      <c r="ET731" s="424">
        <f t="shared" si="1846"/>
        <v>0</v>
      </c>
      <c r="EU731" s="424">
        <f t="shared" si="1846"/>
        <v>0</v>
      </c>
      <c r="EV731" s="424">
        <f t="shared" si="1846"/>
        <v>0</v>
      </c>
      <c r="EW731" s="424">
        <f t="shared" si="1846"/>
        <v>0</v>
      </c>
      <c r="EX731" s="424">
        <f t="shared" si="1846"/>
        <v>0</v>
      </c>
      <c r="EY731" s="425">
        <f t="shared" si="1776"/>
        <v>6</v>
      </c>
      <c r="EZ731" s="616"/>
      <c r="FA731" s="616"/>
      <c r="FB731" s="616"/>
      <c r="FC731" s="616"/>
      <c r="FD731" s="616"/>
      <c r="FE731" s="616"/>
      <c r="FF731" s="616"/>
      <c r="FG731" s="616"/>
      <c r="FH731" s="616"/>
      <c r="FI731" s="616"/>
      <c r="FJ731" s="616"/>
    </row>
    <row r="732" spans="1:166" s="851" customFormat="1" ht="14.7" customHeight="1" x14ac:dyDescent="0.25">
      <c r="A732" s="310">
        <v>358</v>
      </c>
      <c r="B732" s="311" t="str">
        <f t="shared" si="1657"/>
        <v>Конфеты шоколадные ("Российские" (плитка)</v>
      </c>
      <c r="C732" s="483">
        <f t="shared" si="1750"/>
        <v>15</v>
      </c>
      <c r="D732" s="888"/>
      <c r="E732" s="888"/>
      <c r="F732" s="888"/>
      <c r="G732" s="889"/>
      <c r="H732" s="680" t="str">
        <f t="shared" si="1664"/>
        <v>ПРОМ</v>
      </c>
      <c r="I732" s="1209">
        <f t="shared" si="1658"/>
        <v>0</v>
      </c>
      <c r="J732" s="424">
        <f t="shared" ref="J732:AO732" si="1847">J362*J$372</f>
        <v>0</v>
      </c>
      <c r="K732" s="424">
        <f t="shared" si="1847"/>
        <v>0</v>
      </c>
      <c r="L732" s="424">
        <f t="shared" si="1847"/>
        <v>0</v>
      </c>
      <c r="M732" s="424">
        <f t="shared" si="1847"/>
        <v>0</v>
      </c>
      <c r="N732" s="424">
        <f t="shared" si="1847"/>
        <v>0</v>
      </c>
      <c r="O732" s="424">
        <f t="shared" si="1847"/>
        <v>0</v>
      </c>
      <c r="P732" s="424">
        <f t="shared" si="1847"/>
        <v>0</v>
      </c>
      <c r="Q732" s="424">
        <f t="shared" si="1847"/>
        <v>0</v>
      </c>
      <c r="R732" s="424">
        <f t="shared" si="1847"/>
        <v>0</v>
      </c>
      <c r="S732" s="424">
        <f t="shared" si="1847"/>
        <v>0</v>
      </c>
      <c r="T732" s="424">
        <f t="shared" si="1847"/>
        <v>0</v>
      </c>
      <c r="U732" s="424">
        <f t="shared" si="1847"/>
        <v>0</v>
      </c>
      <c r="V732" s="424">
        <f t="shared" si="1847"/>
        <v>0</v>
      </c>
      <c r="W732" s="424">
        <f t="shared" si="1847"/>
        <v>0</v>
      </c>
      <c r="X732" s="424">
        <f t="shared" si="1847"/>
        <v>0</v>
      </c>
      <c r="Y732" s="424">
        <f t="shared" si="1847"/>
        <v>0</v>
      </c>
      <c r="Z732" s="424">
        <f t="shared" si="1847"/>
        <v>0</v>
      </c>
      <c r="AA732" s="424">
        <f t="shared" si="1847"/>
        <v>0</v>
      </c>
      <c r="AB732" s="424">
        <f t="shared" si="1847"/>
        <v>0</v>
      </c>
      <c r="AC732" s="424">
        <f t="shared" si="1847"/>
        <v>0</v>
      </c>
      <c r="AD732" s="424">
        <f t="shared" si="1847"/>
        <v>0</v>
      </c>
      <c r="AE732" s="424">
        <f t="shared" si="1847"/>
        <v>0</v>
      </c>
      <c r="AF732" s="424">
        <f t="shared" si="1847"/>
        <v>0</v>
      </c>
      <c r="AG732" s="424">
        <f t="shared" si="1847"/>
        <v>0</v>
      </c>
      <c r="AH732" s="424">
        <f t="shared" si="1847"/>
        <v>0</v>
      </c>
      <c r="AI732" s="424">
        <f t="shared" si="1847"/>
        <v>0</v>
      </c>
      <c r="AJ732" s="424">
        <f t="shared" si="1847"/>
        <v>0</v>
      </c>
      <c r="AK732" s="424">
        <f t="shared" si="1847"/>
        <v>0</v>
      </c>
      <c r="AL732" s="424">
        <f t="shared" si="1847"/>
        <v>0</v>
      </c>
      <c r="AM732" s="424">
        <f t="shared" si="1847"/>
        <v>0</v>
      </c>
      <c r="AN732" s="424">
        <f t="shared" si="1847"/>
        <v>0</v>
      </c>
      <c r="AO732" s="424">
        <f t="shared" si="1847"/>
        <v>0</v>
      </c>
      <c r="AP732" s="424">
        <f t="shared" ref="AP732:BU732" si="1848">AP362*AP$372</f>
        <v>0</v>
      </c>
      <c r="AQ732" s="424">
        <f t="shared" si="1848"/>
        <v>0</v>
      </c>
      <c r="AR732" s="424">
        <f t="shared" si="1848"/>
        <v>0</v>
      </c>
      <c r="AS732" s="424">
        <f t="shared" si="1848"/>
        <v>0</v>
      </c>
      <c r="AT732" s="424">
        <f t="shared" si="1848"/>
        <v>0</v>
      </c>
      <c r="AU732" s="424">
        <f t="shared" si="1848"/>
        <v>0</v>
      </c>
      <c r="AV732" s="424">
        <f t="shared" si="1848"/>
        <v>0</v>
      </c>
      <c r="AW732" s="424">
        <f t="shared" si="1848"/>
        <v>0</v>
      </c>
      <c r="AX732" s="424">
        <f t="shared" si="1848"/>
        <v>0</v>
      </c>
      <c r="AY732" s="424">
        <f t="shared" si="1848"/>
        <v>0</v>
      </c>
      <c r="AZ732" s="424">
        <f t="shared" si="1848"/>
        <v>0</v>
      </c>
      <c r="BA732" s="424">
        <f t="shared" si="1848"/>
        <v>0</v>
      </c>
      <c r="BB732" s="424">
        <f t="shared" si="1848"/>
        <v>0</v>
      </c>
      <c r="BC732" s="424">
        <f t="shared" si="1848"/>
        <v>0</v>
      </c>
      <c r="BD732" s="424">
        <f t="shared" si="1848"/>
        <v>0</v>
      </c>
      <c r="BE732" s="424">
        <f t="shared" si="1848"/>
        <v>0</v>
      </c>
      <c r="BF732" s="424">
        <f t="shared" si="1848"/>
        <v>0</v>
      </c>
      <c r="BG732" s="424">
        <f t="shared" si="1848"/>
        <v>0</v>
      </c>
      <c r="BH732" s="424">
        <f t="shared" si="1848"/>
        <v>0</v>
      </c>
      <c r="BI732" s="424">
        <f t="shared" si="1848"/>
        <v>0</v>
      </c>
      <c r="BJ732" s="424">
        <f t="shared" si="1848"/>
        <v>0</v>
      </c>
      <c r="BK732" s="424">
        <f t="shared" si="1848"/>
        <v>0</v>
      </c>
      <c r="BL732" s="424">
        <f t="shared" si="1848"/>
        <v>0</v>
      </c>
      <c r="BM732" s="424">
        <f t="shared" si="1848"/>
        <v>0</v>
      </c>
      <c r="BN732" s="424">
        <f t="shared" si="1848"/>
        <v>0</v>
      </c>
      <c r="BO732" s="424">
        <f t="shared" si="1848"/>
        <v>0</v>
      </c>
      <c r="BP732" s="424">
        <f t="shared" si="1848"/>
        <v>0</v>
      </c>
      <c r="BQ732" s="424">
        <f t="shared" si="1848"/>
        <v>0</v>
      </c>
      <c r="BR732" s="424">
        <f t="shared" si="1848"/>
        <v>0</v>
      </c>
      <c r="BS732" s="424">
        <f t="shared" si="1848"/>
        <v>0</v>
      </c>
      <c r="BT732" s="424">
        <f t="shared" si="1848"/>
        <v>0</v>
      </c>
      <c r="BU732" s="424">
        <f t="shared" si="1848"/>
        <v>0</v>
      </c>
      <c r="BV732" s="424">
        <f t="shared" ref="BV732:DA732" si="1849">BV362*BV$372</f>
        <v>0</v>
      </c>
      <c r="BW732" s="424">
        <f t="shared" si="1849"/>
        <v>0</v>
      </c>
      <c r="BX732" s="424">
        <f t="shared" si="1849"/>
        <v>0</v>
      </c>
      <c r="BY732" s="424">
        <f t="shared" si="1849"/>
        <v>0</v>
      </c>
      <c r="BZ732" s="424">
        <f t="shared" si="1849"/>
        <v>0</v>
      </c>
      <c r="CA732" s="424">
        <f t="shared" si="1849"/>
        <v>0</v>
      </c>
      <c r="CB732" s="424">
        <f t="shared" si="1849"/>
        <v>0</v>
      </c>
      <c r="CC732" s="424">
        <f t="shared" si="1849"/>
        <v>0</v>
      </c>
      <c r="CD732" s="424">
        <f t="shared" si="1849"/>
        <v>0</v>
      </c>
      <c r="CE732" s="424">
        <f t="shared" si="1849"/>
        <v>0</v>
      </c>
      <c r="CF732" s="424">
        <f t="shared" si="1849"/>
        <v>0</v>
      </c>
      <c r="CG732" s="424">
        <f t="shared" si="1849"/>
        <v>0</v>
      </c>
      <c r="CH732" s="424">
        <f t="shared" si="1849"/>
        <v>0</v>
      </c>
      <c r="CI732" s="424">
        <f t="shared" si="1849"/>
        <v>0</v>
      </c>
      <c r="CJ732" s="424">
        <f t="shared" si="1849"/>
        <v>0</v>
      </c>
      <c r="CK732" s="424">
        <f t="shared" si="1849"/>
        <v>0</v>
      </c>
      <c r="CL732" s="424">
        <f t="shared" si="1849"/>
        <v>0</v>
      </c>
      <c r="CM732" s="424">
        <f t="shared" si="1849"/>
        <v>0</v>
      </c>
      <c r="CN732" s="424">
        <f t="shared" si="1849"/>
        <v>0</v>
      </c>
      <c r="CO732" s="424">
        <f t="shared" si="1849"/>
        <v>0</v>
      </c>
      <c r="CP732" s="424">
        <f t="shared" si="1849"/>
        <v>0</v>
      </c>
      <c r="CQ732" s="424">
        <f t="shared" si="1849"/>
        <v>0</v>
      </c>
      <c r="CR732" s="424">
        <f t="shared" si="1849"/>
        <v>0</v>
      </c>
      <c r="CS732" s="424">
        <f t="shared" si="1849"/>
        <v>0</v>
      </c>
      <c r="CT732" s="424">
        <f t="shared" si="1849"/>
        <v>0</v>
      </c>
      <c r="CU732" s="424">
        <f t="shared" si="1849"/>
        <v>0</v>
      </c>
      <c r="CV732" s="424">
        <f t="shared" si="1849"/>
        <v>0</v>
      </c>
      <c r="CW732" s="424">
        <f t="shared" si="1849"/>
        <v>0</v>
      </c>
      <c r="CX732" s="424">
        <f t="shared" si="1849"/>
        <v>0</v>
      </c>
      <c r="CY732" s="424">
        <f t="shared" si="1849"/>
        <v>0</v>
      </c>
      <c r="CZ732" s="424">
        <f t="shared" si="1849"/>
        <v>0</v>
      </c>
      <c r="DA732" s="424">
        <f t="shared" si="1849"/>
        <v>0</v>
      </c>
      <c r="DB732" s="424">
        <f t="shared" ref="DB732:EG732" si="1850">DB362*DB$372</f>
        <v>0</v>
      </c>
      <c r="DC732" s="424">
        <f t="shared" si="1850"/>
        <v>0</v>
      </c>
      <c r="DD732" s="424">
        <f t="shared" si="1850"/>
        <v>0</v>
      </c>
      <c r="DE732" s="424">
        <f t="shared" si="1850"/>
        <v>0</v>
      </c>
      <c r="DF732" s="424">
        <f t="shared" si="1850"/>
        <v>0</v>
      </c>
      <c r="DG732" s="424">
        <f t="shared" si="1850"/>
        <v>0</v>
      </c>
      <c r="DH732" s="424">
        <f t="shared" si="1850"/>
        <v>0</v>
      </c>
      <c r="DI732" s="424">
        <f t="shared" si="1850"/>
        <v>0</v>
      </c>
      <c r="DJ732" s="424">
        <f t="shared" si="1850"/>
        <v>0</v>
      </c>
      <c r="DK732" s="424">
        <f t="shared" si="1850"/>
        <v>0</v>
      </c>
      <c r="DL732" s="424">
        <f t="shared" si="1850"/>
        <v>0</v>
      </c>
      <c r="DM732" s="424">
        <f t="shared" si="1850"/>
        <v>0</v>
      </c>
      <c r="DN732" s="424">
        <f t="shared" si="1850"/>
        <v>0</v>
      </c>
      <c r="DO732" s="424">
        <f t="shared" si="1850"/>
        <v>0</v>
      </c>
      <c r="DP732" s="424">
        <f t="shared" si="1850"/>
        <v>0</v>
      </c>
      <c r="DQ732" s="424">
        <f t="shared" si="1850"/>
        <v>0</v>
      </c>
      <c r="DR732" s="424">
        <f t="shared" si="1850"/>
        <v>0</v>
      </c>
      <c r="DS732" s="424">
        <f t="shared" si="1850"/>
        <v>0</v>
      </c>
      <c r="DT732" s="424">
        <f t="shared" si="1850"/>
        <v>0</v>
      </c>
      <c r="DU732" s="424">
        <f t="shared" si="1850"/>
        <v>0</v>
      </c>
      <c r="DV732" s="424">
        <f t="shared" si="1850"/>
        <v>0</v>
      </c>
      <c r="DW732" s="424">
        <f t="shared" si="1850"/>
        <v>0</v>
      </c>
      <c r="DX732" s="424">
        <f t="shared" si="1850"/>
        <v>0</v>
      </c>
      <c r="DY732" s="424">
        <f t="shared" si="1850"/>
        <v>0</v>
      </c>
      <c r="DZ732" s="424">
        <f t="shared" si="1850"/>
        <v>0</v>
      </c>
      <c r="EA732" s="424">
        <f t="shared" si="1850"/>
        <v>0</v>
      </c>
      <c r="EB732" s="424">
        <f t="shared" si="1850"/>
        <v>0</v>
      </c>
      <c r="EC732" s="424">
        <f t="shared" si="1850"/>
        <v>0</v>
      </c>
      <c r="ED732" s="424">
        <f t="shared" si="1850"/>
        <v>0</v>
      </c>
      <c r="EE732" s="424">
        <f t="shared" si="1850"/>
        <v>0</v>
      </c>
      <c r="EF732" s="424">
        <f t="shared" si="1850"/>
        <v>0</v>
      </c>
      <c r="EG732" s="424">
        <f t="shared" si="1850"/>
        <v>0</v>
      </c>
      <c r="EH732" s="424">
        <f t="shared" ref="EH732:EX732" si="1851">EH362*EH$372</f>
        <v>0</v>
      </c>
      <c r="EI732" s="424">
        <f t="shared" si="1851"/>
        <v>0</v>
      </c>
      <c r="EJ732" s="424">
        <f t="shared" si="1851"/>
        <v>0</v>
      </c>
      <c r="EK732" s="424">
        <f t="shared" si="1851"/>
        <v>0</v>
      </c>
      <c r="EL732" s="424">
        <f t="shared" si="1851"/>
        <v>0</v>
      </c>
      <c r="EM732" s="424">
        <f t="shared" si="1851"/>
        <v>15</v>
      </c>
      <c r="EN732" s="424">
        <f t="shared" si="1851"/>
        <v>0</v>
      </c>
      <c r="EO732" s="424">
        <f t="shared" si="1851"/>
        <v>0</v>
      </c>
      <c r="EP732" s="424">
        <f t="shared" si="1851"/>
        <v>0</v>
      </c>
      <c r="EQ732" s="424">
        <f t="shared" si="1851"/>
        <v>0</v>
      </c>
      <c r="ER732" s="424">
        <f t="shared" si="1851"/>
        <v>0</v>
      </c>
      <c r="ES732" s="424">
        <f t="shared" si="1851"/>
        <v>0</v>
      </c>
      <c r="ET732" s="424">
        <f t="shared" si="1851"/>
        <v>0</v>
      </c>
      <c r="EU732" s="424">
        <f t="shared" si="1851"/>
        <v>0</v>
      </c>
      <c r="EV732" s="424">
        <f t="shared" si="1851"/>
        <v>0</v>
      </c>
      <c r="EW732" s="424">
        <f t="shared" si="1851"/>
        <v>0</v>
      </c>
      <c r="EX732" s="424">
        <f t="shared" si="1851"/>
        <v>0</v>
      </c>
      <c r="EY732" s="425">
        <f t="shared" si="1776"/>
        <v>15</v>
      </c>
      <c r="EZ732" s="616"/>
      <c r="FA732" s="616"/>
      <c r="FB732" s="616"/>
      <c r="FC732" s="616"/>
      <c r="FD732" s="616"/>
      <c r="FE732" s="616"/>
      <c r="FF732" s="616"/>
      <c r="FG732" s="616"/>
      <c r="FH732" s="616"/>
      <c r="FI732" s="616"/>
      <c r="FJ732" s="616"/>
    </row>
    <row r="733" spans="1:166" s="851" customFormat="1" ht="14.7" customHeight="1" x14ac:dyDescent="0.25">
      <c r="A733" s="310">
        <v>359</v>
      </c>
      <c r="B733" s="311" t="str">
        <f t="shared" si="1657"/>
        <v>Конфеты ирис (Золотой ключик)</v>
      </c>
      <c r="C733" s="483">
        <f t="shared" si="1750"/>
        <v>8.25</v>
      </c>
      <c r="D733" s="888"/>
      <c r="E733" s="888"/>
      <c r="F733" s="888"/>
      <c r="G733" s="889"/>
      <c r="H733" s="680" t="str">
        <f t="shared" si="1664"/>
        <v>ПРОМ</v>
      </c>
      <c r="I733" s="1209">
        <f t="shared" si="1658"/>
        <v>0</v>
      </c>
      <c r="J733" s="424">
        <f t="shared" ref="J733:AO733" si="1852">J363*J$372</f>
        <v>0</v>
      </c>
      <c r="K733" s="424">
        <f t="shared" si="1852"/>
        <v>0</v>
      </c>
      <c r="L733" s="424">
        <f t="shared" si="1852"/>
        <v>0</v>
      </c>
      <c r="M733" s="424">
        <f t="shared" si="1852"/>
        <v>0</v>
      </c>
      <c r="N733" s="424">
        <f t="shared" si="1852"/>
        <v>0</v>
      </c>
      <c r="O733" s="424">
        <f t="shared" si="1852"/>
        <v>0</v>
      </c>
      <c r="P733" s="424">
        <f t="shared" si="1852"/>
        <v>0</v>
      </c>
      <c r="Q733" s="424">
        <f t="shared" si="1852"/>
        <v>0</v>
      </c>
      <c r="R733" s="424">
        <f t="shared" si="1852"/>
        <v>0</v>
      </c>
      <c r="S733" s="424">
        <f t="shared" si="1852"/>
        <v>0</v>
      </c>
      <c r="T733" s="424">
        <f t="shared" si="1852"/>
        <v>0</v>
      </c>
      <c r="U733" s="424">
        <f t="shared" si="1852"/>
        <v>0</v>
      </c>
      <c r="V733" s="424">
        <f t="shared" si="1852"/>
        <v>0</v>
      </c>
      <c r="W733" s="424">
        <f t="shared" si="1852"/>
        <v>0</v>
      </c>
      <c r="X733" s="424">
        <f t="shared" si="1852"/>
        <v>0</v>
      </c>
      <c r="Y733" s="424">
        <f t="shared" si="1852"/>
        <v>0</v>
      </c>
      <c r="Z733" s="424">
        <f t="shared" si="1852"/>
        <v>0</v>
      </c>
      <c r="AA733" s="424">
        <f t="shared" si="1852"/>
        <v>0</v>
      </c>
      <c r="AB733" s="424">
        <f t="shared" si="1852"/>
        <v>0</v>
      </c>
      <c r="AC733" s="424">
        <f t="shared" si="1852"/>
        <v>0</v>
      </c>
      <c r="AD733" s="424">
        <f t="shared" si="1852"/>
        <v>0</v>
      </c>
      <c r="AE733" s="424">
        <f t="shared" si="1852"/>
        <v>0</v>
      </c>
      <c r="AF733" s="424">
        <f t="shared" si="1852"/>
        <v>0</v>
      </c>
      <c r="AG733" s="424">
        <f t="shared" si="1852"/>
        <v>0</v>
      </c>
      <c r="AH733" s="424">
        <f t="shared" si="1852"/>
        <v>0</v>
      </c>
      <c r="AI733" s="424">
        <f t="shared" si="1852"/>
        <v>0</v>
      </c>
      <c r="AJ733" s="424">
        <f t="shared" si="1852"/>
        <v>0</v>
      </c>
      <c r="AK733" s="424">
        <f t="shared" si="1852"/>
        <v>0</v>
      </c>
      <c r="AL733" s="424">
        <f t="shared" si="1852"/>
        <v>0</v>
      </c>
      <c r="AM733" s="424">
        <f t="shared" si="1852"/>
        <v>0</v>
      </c>
      <c r="AN733" s="424">
        <f t="shared" si="1852"/>
        <v>0</v>
      </c>
      <c r="AO733" s="424">
        <f t="shared" si="1852"/>
        <v>0</v>
      </c>
      <c r="AP733" s="424">
        <f t="shared" ref="AP733:BU733" si="1853">AP363*AP$372</f>
        <v>0</v>
      </c>
      <c r="AQ733" s="424">
        <f t="shared" si="1853"/>
        <v>0</v>
      </c>
      <c r="AR733" s="424">
        <f t="shared" si="1853"/>
        <v>0</v>
      </c>
      <c r="AS733" s="424">
        <f t="shared" si="1853"/>
        <v>0</v>
      </c>
      <c r="AT733" s="424">
        <f t="shared" si="1853"/>
        <v>0</v>
      </c>
      <c r="AU733" s="424">
        <f t="shared" si="1853"/>
        <v>0</v>
      </c>
      <c r="AV733" s="424">
        <f t="shared" si="1853"/>
        <v>0</v>
      </c>
      <c r="AW733" s="424">
        <f t="shared" si="1853"/>
        <v>0</v>
      </c>
      <c r="AX733" s="424">
        <f t="shared" si="1853"/>
        <v>0</v>
      </c>
      <c r="AY733" s="424">
        <f t="shared" si="1853"/>
        <v>0</v>
      </c>
      <c r="AZ733" s="424">
        <f t="shared" si="1853"/>
        <v>0</v>
      </c>
      <c r="BA733" s="424">
        <f t="shared" si="1853"/>
        <v>0</v>
      </c>
      <c r="BB733" s="424">
        <f t="shared" si="1853"/>
        <v>0</v>
      </c>
      <c r="BC733" s="424">
        <f t="shared" si="1853"/>
        <v>0</v>
      </c>
      <c r="BD733" s="424">
        <f t="shared" si="1853"/>
        <v>0</v>
      </c>
      <c r="BE733" s="424">
        <f t="shared" si="1853"/>
        <v>0</v>
      </c>
      <c r="BF733" s="424">
        <f t="shared" si="1853"/>
        <v>0</v>
      </c>
      <c r="BG733" s="424">
        <f t="shared" si="1853"/>
        <v>0</v>
      </c>
      <c r="BH733" s="424">
        <f t="shared" si="1853"/>
        <v>0</v>
      </c>
      <c r="BI733" s="424">
        <f t="shared" si="1853"/>
        <v>0</v>
      </c>
      <c r="BJ733" s="424">
        <f t="shared" si="1853"/>
        <v>0</v>
      </c>
      <c r="BK733" s="424">
        <f t="shared" si="1853"/>
        <v>0</v>
      </c>
      <c r="BL733" s="424">
        <f t="shared" si="1853"/>
        <v>0</v>
      </c>
      <c r="BM733" s="424">
        <f t="shared" si="1853"/>
        <v>0</v>
      </c>
      <c r="BN733" s="424">
        <f t="shared" si="1853"/>
        <v>0</v>
      </c>
      <c r="BO733" s="424">
        <f t="shared" si="1853"/>
        <v>0</v>
      </c>
      <c r="BP733" s="424">
        <f t="shared" si="1853"/>
        <v>0</v>
      </c>
      <c r="BQ733" s="424">
        <f t="shared" si="1853"/>
        <v>0</v>
      </c>
      <c r="BR733" s="424">
        <f t="shared" si="1853"/>
        <v>0</v>
      </c>
      <c r="BS733" s="424">
        <f t="shared" si="1853"/>
        <v>0</v>
      </c>
      <c r="BT733" s="424">
        <f t="shared" si="1853"/>
        <v>0</v>
      </c>
      <c r="BU733" s="424">
        <f t="shared" si="1853"/>
        <v>0</v>
      </c>
      <c r="BV733" s="424">
        <f t="shared" ref="BV733:DA733" si="1854">BV363*BV$372</f>
        <v>0</v>
      </c>
      <c r="BW733" s="424">
        <f t="shared" si="1854"/>
        <v>0</v>
      </c>
      <c r="BX733" s="424">
        <f t="shared" si="1854"/>
        <v>0</v>
      </c>
      <c r="BY733" s="424">
        <f t="shared" si="1854"/>
        <v>0</v>
      </c>
      <c r="BZ733" s="424">
        <f t="shared" si="1854"/>
        <v>0</v>
      </c>
      <c r="CA733" s="424">
        <f t="shared" si="1854"/>
        <v>0</v>
      </c>
      <c r="CB733" s="424">
        <f t="shared" si="1854"/>
        <v>0</v>
      </c>
      <c r="CC733" s="424">
        <f t="shared" si="1854"/>
        <v>0</v>
      </c>
      <c r="CD733" s="424">
        <f t="shared" si="1854"/>
        <v>0</v>
      </c>
      <c r="CE733" s="424">
        <f t="shared" si="1854"/>
        <v>0</v>
      </c>
      <c r="CF733" s="424">
        <f t="shared" si="1854"/>
        <v>0</v>
      </c>
      <c r="CG733" s="424">
        <f t="shared" si="1854"/>
        <v>0</v>
      </c>
      <c r="CH733" s="424">
        <f t="shared" si="1854"/>
        <v>0</v>
      </c>
      <c r="CI733" s="424">
        <f t="shared" si="1854"/>
        <v>0</v>
      </c>
      <c r="CJ733" s="424">
        <f t="shared" si="1854"/>
        <v>0</v>
      </c>
      <c r="CK733" s="424">
        <f t="shared" si="1854"/>
        <v>0</v>
      </c>
      <c r="CL733" s="424">
        <f t="shared" si="1854"/>
        <v>0</v>
      </c>
      <c r="CM733" s="424">
        <f t="shared" si="1854"/>
        <v>0</v>
      </c>
      <c r="CN733" s="424">
        <f t="shared" si="1854"/>
        <v>0</v>
      </c>
      <c r="CO733" s="424">
        <f t="shared" si="1854"/>
        <v>0</v>
      </c>
      <c r="CP733" s="424">
        <f t="shared" si="1854"/>
        <v>0</v>
      </c>
      <c r="CQ733" s="424">
        <f t="shared" si="1854"/>
        <v>0</v>
      </c>
      <c r="CR733" s="424">
        <f t="shared" si="1854"/>
        <v>0</v>
      </c>
      <c r="CS733" s="424">
        <f t="shared" si="1854"/>
        <v>0</v>
      </c>
      <c r="CT733" s="424">
        <f t="shared" si="1854"/>
        <v>0</v>
      </c>
      <c r="CU733" s="424">
        <f t="shared" si="1854"/>
        <v>0</v>
      </c>
      <c r="CV733" s="424">
        <f t="shared" si="1854"/>
        <v>0</v>
      </c>
      <c r="CW733" s="424">
        <f t="shared" si="1854"/>
        <v>0</v>
      </c>
      <c r="CX733" s="424">
        <f t="shared" si="1854"/>
        <v>0</v>
      </c>
      <c r="CY733" s="424">
        <f t="shared" si="1854"/>
        <v>0</v>
      </c>
      <c r="CZ733" s="424">
        <f t="shared" si="1854"/>
        <v>0</v>
      </c>
      <c r="DA733" s="424">
        <f t="shared" si="1854"/>
        <v>0</v>
      </c>
      <c r="DB733" s="424">
        <f t="shared" ref="DB733:EG733" si="1855">DB363*DB$372</f>
        <v>0</v>
      </c>
      <c r="DC733" s="424">
        <f t="shared" si="1855"/>
        <v>0</v>
      </c>
      <c r="DD733" s="424">
        <f t="shared" si="1855"/>
        <v>0</v>
      </c>
      <c r="DE733" s="424">
        <f t="shared" si="1855"/>
        <v>0</v>
      </c>
      <c r="DF733" s="424">
        <f t="shared" si="1855"/>
        <v>0</v>
      </c>
      <c r="DG733" s="424">
        <f t="shared" si="1855"/>
        <v>0</v>
      </c>
      <c r="DH733" s="424">
        <f t="shared" si="1855"/>
        <v>0</v>
      </c>
      <c r="DI733" s="424">
        <f t="shared" si="1855"/>
        <v>0</v>
      </c>
      <c r="DJ733" s="424">
        <f t="shared" si="1855"/>
        <v>0</v>
      </c>
      <c r="DK733" s="424">
        <f t="shared" si="1855"/>
        <v>0</v>
      </c>
      <c r="DL733" s="424">
        <f t="shared" si="1855"/>
        <v>0</v>
      </c>
      <c r="DM733" s="424">
        <f t="shared" si="1855"/>
        <v>0</v>
      </c>
      <c r="DN733" s="424">
        <f t="shared" si="1855"/>
        <v>0</v>
      </c>
      <c r="DO733" s="424">
        <f t="shared" si="1855"/>
        <v>0</v>
      </c>
      <c r="DP733" s="424">
        <f t="shared" si="1855"/>
        <v>0</v>
      </c>
      <c r="DQ733" s="424">
        <f t="shared" si="1855"/>
        <v>0</v>
      </c>
      <c r="DR733" s="424">
        <f t="shared" si="1855"/>
        <v>0</v>
      </c>
      <c r="DS733" s="424">
        <f t="shared" si="1855"/>
        <v>0</v>
      </c>
      <c r="DT733" s="424">
        <f t="shared" si="1855"/>
        <v>0</v>
      </c>
      <c r="DU733" s="424">
        <f t="shared" si="1855"/>
        <v>0</v>
      </c>
      <c r="DV733" s="424">
        <f t="shared" si="1855"/>
        <v>0</v>
      </c>
      <c r="DW733" s="424">
        <f t="shared" si="1855"/>
        <v>0</v>
      </c>
      <c r="DX733" s="424">
        <f t="shared" si="1855"/>
        <v>0</v>
      </c>
      <c r="DY733" s="424">
        <f t="shared" si="1855"/>
        <v>0</v>
      </c>
      <c r="DZ733" s="424">
        <f t="shared" si="1855"/>
        <v>0</v>
      </c>
      <c r="EA733" s="424">
        <f t="shared" si="1855"/>
        <v>0</v>
      </c>
      <c r="EB733" s="424">
        <f t="shared" si="1855"/>
        <v>0</v>
      </c>
      <c r="EC733" s="424">
        <f t="shared" si="1855"/>
        <v>0</v>
      </c>
      <c r="ED733" s="424">
        <f t="shared" si="1855"/>
        <v>0</v>
      </c>
      <c r="EE733" s="424">
        <f t="shared" si="1855"/>
        <v>0</v>
      </c>
      <c r="EF733" s="424">
        <f t="shared" si="1855"/>
        <v>0</v>
      </c>
      <c r="EG733" s="424">
        <f t="shared" si="1855"/>
        <v>0</v>
      </c>
      <c r="EH733" s="424">
        <f t="shared" ref="EH733:EX733" si="1856">EH363*EH$372</f>
        <v>0</v>
      </c>
      <c r="EI733" s="424">
        <f t="shared" si="1856"/>
        <v>0</v>
      </c>
      <c r="EJ733" s="424">
        <f t="shared" si="1856"/>
        <v>0</v>
      </c>
      <c r="EK733" s="424">
        <f t="shared" si="1856"/>
        <v>0</v>
      </c>
      <c r="EL733" s="424">
        <f t="shared" si="1856"/>
        <v>0</v>
      </c>
      <c r="EM733" s="424">
        <f t="shared" si="1856"/>
        <v>0</v>
      </c>
      <c r="EN733" s="424">
        <f t="shared" si="1856"/>
        <v>0</v>
      </c>
      <c r="EO733" s="424">
        <f t="shared" si="1856"/>
        <v>0</v>
      </c>
      <c r="EP733" s="424">
        <f t="shared" si="1856"/>
        <v>0</v>
      </c>
      <c r="EQ733" s="424">
        <f t="shared" si="1856"/>
        <v>0</v>
      </c>
      <c r="ER733" s="424">
        <f t="shared" si="1856"/>
        <v>0</v>
      </c>
      <c r="ES733" s="424">
        <f t="shared" si="1856"/>
        <v>8.25</v>
      </c>
      <c r="ET733" s="424">
        <f t="shared" si="1856"/>
        <v>0</v>
      </c>
      <c r="EU733" s="424">
        <f t="shared" si="1856"/>
        <v>0</v>
      </c>
      <c r="EV733" s="424">
        <f t="shared" si="1856"/>
        <v>0</v>
      </c>
      <c r="EW733" s="424">
        <f t="shared" si="1856"/>
        <v>0</v>
      </c>
      <c r="EX733" s="424">
        <f t="shared" si="1856"/>
        <v>0</v>
      </c>
      <c r="EY733" s="425">
        <f t="shared" si="1776"/>
        <v>8.25</v>
      </c>
      <c r="EZ733" s="616"/>
      <c r="FA733" s="616"/>
      <c r="FB733" s="616"/>
      <c r="FC733" s="616"/>
      <c r="FD733" s="616"/>
      <c r="FE733" s="616"/>
      <c r="FF733" s="616"/>
      <c r="FG733" s="616"/>
      <c r="FH733" s="616"/>
      <c r="FI733" s="616"/>
      <c r="FJ733" s="616"/>
    </row>
    <row r="734" spans="1:166" s="851" customFormat="1" ht="14.7" customHeight="1" x14ac:dyDescent="0.25">
      <c r="A734" s="310">
        <v>360</v>
      </c>
      <c r="B734" s="311" t="str">
        <f t="shared" si="1657"/>
        <v>Огурцы консервированные</v>
      </c>
      <c r="C734" s="483">
        <f t="shared" si="1750"/>
        <v>7.2</v>
      </c>
      <c r="D734" s="888"/>
      <c r="E734" s="888"/>
      <c r="F734" s="888"/>
      <c r="G734" s="889"/>
      <c r="H734" s="680" t="str">
        <f t="shared" si="1664"/>
        <v>ПРОМ</v>
      </c>
      <c r="I734" s="1209">
        <f t="shared" si="1658"/>
        <v>0</v>
      </c>
      <c r="J734" s="424">
        <f t="shared" ref="J734:AO734" si="1857">J364*J$372</f>
        <v>0</v>
      </c>
      <c r="K734" s="424">
        <f t="shared" si="1857"/>
        <v>0</v>
      </c>
      <c r="L734" s="424">
        <f t="shared" si="1857"/>
        <v>0</v>
      </c>
      <c r="M734" s="424">
        <f t="shared" si="1857"/>
        <v>0</v>
      </c>
      <c r="N734" s="424">
        <f t="shared" si="1857"/>
        <v>0</v>
      </c>
      <c r="O734" s="424">
        <f t="shared" si="1857"/>
        <v>0</v>
      </c>
      <c r="P734" s="424">
        <f t="shared" si="1857"/>
        <v>0</v>
      </c>
      <c r="Q734" s="424">
        <f t="shared" si="1857"/>
        <v>0</v>
      </c>
      <c r="R734" s="424">
        <f t="shared" si="1857"/>
        <v>0</v>
      </c>
      <c r="S734" s="424">
        <f t="shared" si="1857"/>
        <v>0</v>
      </c>
      <c r="T734" s="424">
        <f t="shared" si="1857"/>
        <v>0</v>
      </c>
      <c r="U734" s="424">
        <f t="shared" si="1857"/>
        <v>0</v>
      </c>
      <c r="V734" s="424">
        <f t="shared" si="1857"/>
        <v>0</v>
      </c>
      <c r="W734" s="424">
        <f t="shared" si="1857"/>
        <v>0</v>
      </c>
      <c r="X734" s="424">
        <f t="shared" si="1857"/>
        <v>0</v>
      </c>
      <c r="Y734" s="424">
        <f t="shared" si="1857"/>
        <v>0</v>
      </c>
      <c r="Z734" s="424">
        <f t="shared" si="1857"/>
        <v>0</v>
      </c>
      <c r="AA734" s="424">
        <f t="shared" si="1857"/>
        <v>0</v>
      </c>
      <c r="AB734" s="424">
        <f t="shared" si="1857"/>
        <v>0</v>
      </c>
      <c r="AC734" s="424">
        <f t="shared" si="1857"/>
        <v>0</v>
      </c>
      <c r="AD734" s="424">
        <f t="shared" si="1857"/>
        <v>0</v>
      </c>
      <c r="AE734" s="424">
        <f t="shared" si="1857"/>
        <v>0</v>
      </c>
      <c r="AF734" s="424">
        <f t="shared" si="1857"/>
        <v>0</v>
      </c>
      <c r="AG734" s="424">
        <f t="shared" si="1857"/>
        <v>0</v>
      </c>
      <c r="AH734" s="424">
        <f t="shared" si="1857"/>
        <v>0</v>
      </c>
      <c r="AI734" s="424">
        <f t="shared" si="1857"/>
        <v>0</v>
      </c>
      <c r="AJ734" s="424">
        <f t="shared" si="1857"/>
        <v>0</v>
      </c>
      <c r="AK734" s="424">
        <f t="shared" si="1857"/>
        <v>0</v>
      </c>
      <c r="AL734" s="424">
        <f t="shared" si="1857"/>
        <v>0</v>
      </c>
      <c r="AM734" s="424">
        <f t="shared" si="1857"/>
        <v>0</v>
      </c>
      <c r="AN734" s="424">
        <f t="shared" si="1857"/>
        <v>0</v>
      </c>
      <c r="AO734" s="424">
        <f t="shared" si="1857"/>
        <v>0</v>
      </c>
      <c r="AP734" s="424">
        <f t="shared" ref="AP734:BU734" si="1858">AP364*AP$372</f>
        <v>0</v>
      </c>
      <c r="AQ734" s="424">
        <f t="shared" si="1858"/>
        <v>0</v>
      </c>
      <c r="AR734" s="424">
        <f t="shared" si="1858"/>
        <v>0</v>
      </c>
      <c r="AS734" s="424">
        <f t="shared" si="1858"/>
        <v>0</v>
      </c>
      <c r="AT734" s="424">
        <f t="shared" si="1858"/>
        <v>0</v>
      </c>
      <c r="AU734" s="424">
        <f t="shared" si="1858"/>
        <v>0</v>
      </c>
      <c r="AV734" s="424">
        <f t="shared" si="1858"/>
        <v>0</v>
      </c>
      <c r="AW734" s="424">
        <f t="shared" si="1858"/>
        <v>0</v>
      </c>
      <c r="AX734" s="424">
        <f t="shared" si="1858"/>
        <v>0</v>
      </c>
      <c r="AY734" s="424">
        <f t="shared" si="1858"/>
        <v>0</v>
      </c>
      <c r="AZ734" s="424">
        <f t="shared" si="1858"/>
        <v>0</v>
      </c>
      <c r="BA734" s="424">
        <f t="shared" si="1858"/>
        <v>0</v>
      </c>
      <c r="BB734" s="424">
        <f t="shared" si="1858"/>
        <v>0</v>
      </c>
      <c r="BC734" s="424">
        <f t="shared" si="1858"/>
        <v>0</v>
      </c>
      <c r="BD734" s="424">
        <f t="shared" si="1858"/>
        <v>0</v>
      </c>
      <c r="BE734" s="424">
        <f t="shared" si="1858"/>
        <v>0</v>
      </c>
      <c r="BF734" s="424">
        <f t="shared" si="1858"/>
        <v>0</v>
      </c>
      <c r="BG734" s="424">
        <f t="shared" si="1858"/>
        <v>0</v>
      </c>
      <c r="BH734" s="424">
        <f t="shared" si="1858"/>
        <v>0</v>
      </c>
      <c r="BI734" s="424">
        <f t="shared" si="1858"/>
        <v>0</v>
      </c>
      <c r="BJ734" s="424">
        <f t="shared" si="1858"/>
        <v>0</v>
      </c>
      <c r="BK734" s="424">
        <f t="shared" si="1858"/>
        <v>0</v>
      </c>
      <c r="BL734" s="424">
        <f t="shared" si="1858"/>
        <v>0</v>
      </c>
      <c r="BM734" s="424">
        <f t="shared" si="1858"/>
        <v>0</v>
      </c>
      <c r="BN734" s="424">
        <f t="shared" si="1858"/>
        <v>0</v>
      </c>
      <c r="BO734" s="424">
        <f t="shared" si="1858"/>
        <v>0</v>
      </c>
      <c r="BP734" s="424">
        <f t="shared" si="1858"/>
        <v>0</v>
      </c>
      <c r="BQ734" s="424">
        <f t="shared" si="1858"/>
        <v>0</v>
      </c>
      <c r="BR734" s="424">
        <f t="shared" si="1858"/>
        <v>0</v>
      </c>
      <c r="BS734" s="424">
        <f t="shared" si="1858"/>
        <v>0</v>
      </c>
      <c r="BT734" s="424">
        <f t="shared" si="1858"/>
        <v>0</v>
      </c>
      <c r="BU734" s="424">
        <f t="shared" si="1858"/>
        <v>0</v>
      </c>
      <c r="BV734" s="424">
        <f t="shared" ref="BV734:DA734" si="1859">BV364*BV$372</f>
        <v>0</v>
      </c>
      <c r="BW734" s="424">
        <f t="shared" si="1859"/>
        <v>0</v>
      </c>
      <c r="BX734" s="424">
        <f t="shared" si="1859"/>
        <v>0</v>
      </c>
      <c r="BY734" s="424">
        <f t="shared" si="1859"/>
        <v>0</v>
      </c>
      <c r="BZ734" s="424">
        <f t="shared" si="1859"/>
        <v>0</v>
      </c>
      <c r="CA734" s="424">
        <f t="shared" si="1859"/>
        <v>0</v>
      </c>
      <c r="CB734" s="424">
        <f t="shared" si="1859"/>
        <v>0</v>
      </c>
      <c r="CC734" s="424">
        <f t="shared" si="1859"/>
        <v>0</v>
      </c>
      <c r="CD734" s="424">
        <f t="shared" si="1859"/>
        <v>0</v>
      </c>
      <c r="CE734" s="424">
        <f t="shared" si="1859"/>
        <v>0</v>
      </c>
      <c r="CF734" s="424">
        <f t="shared" si="1859"/>
        <v>0</v>
      </c>
      <c r="CG734" s="424">
        <f t="shared" si="1859"/>
        <v>0</v>
      </c>
      <c r="CH734" s="424">
        <f t="shared" si="1859"/>
        <v>0</v>
      </c>
      <c r="CI734" s="424">
        <f t="shared" si="1859"/>
        <v>0</v>
      </c>
      <c r="CJ734" s="424">
        <f t="shared" si="1859"/>
        <v>0</v>
      </c>
      <c r="CK734" s="424">
        <f t="shared" si="1859"/>
        <v>0</v>
      </c>
      <c r="CL734" s="424">
        <f t="shared" si="1859"/>
        <v>0</v>
      </c>
      <c r="CM734" s="424">
        <f t="shared" si="1859"/>
        <v>0</v>
      </c>
      <c r="CN734" s="424">
        <f t="shared" si="1859"/>
        <v>0</v>
      </c>
      <c r="CO734" s="424">
        <f t="shared" si="1859"/>
        <v>0</v>
      </c>
      <c r="CP734" s="424">
        <f t="shared" si="1859"/>
        <v>0</v>
      </c>
      <c r="CQ734" s="424">
        <f t="shared" si="1859"/>
        <v>0</v>
      </c>
      <c r="CR734" s="424">
        <f t="shared" si="1859"/>
        <v>0</v>
      </c>
      <c r="CS734" s="424">
        <f t="shared" si="1859"/>
        <v>0</v>
      </c>
      <c r="CT734" s="424">
        <f t="shared" si="1859"/>
        <v>7.2</v>
      </c>
      <c r="CU734" s="424">
        <f t="shared" si="1859"/>
        <v>0</v>
      </c>
      <c r="CV734" s="424">
        <f t="shared" si="1859"/>
        <v>0</v>
      </c>
      <c r="CW734" s="424">
        <f t="shared" si="1859"/>
        <v>0</v>
      </c>
      <c r="CX734" s="424">
        <f t="shared" si="1859"/>
        <v>0</v>
      </c>
      <c r="CY734" s="424">
        <f t="shared" si="1859"/>
        <v>0</v>
      </c>
      <c r="CZ734" s="424">
        <f t="shared" si="1859"/>
        <v>0</v>
      </c>
      <c r="DA734" s="424">
        <f t="shared" si="1859"/>
        <v>0</v>
      </c>
      <c r="DB734" s="424">
        <f t="shared" ref="DB734:EG734" si="1860">DB364*DB$372</f>
        <v>0</v>
      </c>
      <c r="DC734" s="424">
        <f t="shared" si="1860"/>
        <v>0</v>
      </c>
      <c r="DD734" s="424">
        <f t="shared" si="1860"/>
        <v>0</v>
      </c>
      <c r="DE734" s="424">
        <f t="shared" si="1860"/>
        <v>0</v>
      </c>
      <c r="DF734" s="424">
        <f t="shared" si="1860"/>
        <v>0</v>
      </c>
      <c r="DG734" s="424">
        <f t="shared" si="1860"/>
        <v>0</v>
      </c>
      <c r="DH734" s="424">
        <f t="shared" si="1860"/>
        <v>0</v>
      </c>
      <c r="DI734" s="424">
        <f t="shared" si="1860"/>
        <v>0</v>
      </c>
      <c r="DJ734" s="424">
        <f t="shared" si="1860"/>
        <v>0</v>
      </c>
      <c r="DK734" s="424">
        <f t="shared" si="1860"/>
        <v>0</v>
      </c>
      <c r="DL734" s="424">
        <f t="shared" si="1860"/>
        <v>0</v>
      </c>
      <c r="DM734" s="424">
        <f t="shared" si="1860"/>
        <v>0</v>
      </c>
      <c r="DN734" s="424">
        <f t="shared" si="1860"/>
        <v>0</v>
      </c>
      <c r="DO734" s="424">
        <f t="shared" si="1860"/>
        <v>0</v>
      </c>
      <c r="DP734" s="424">
        <f t="shared" si="1860"/>
        <v>0</v>
      </c>
      <c r="DQ734" s="424">
        <f t="shared" si="1860"/>
        <v>0</v>
      </c>
      <c r="DR734" s="424">
        <f t="shared" si="1860"/>
        <v>0</v>
      </c>
      <c r="DS734" s="424">
        <f t="shared" si="1860"/>
        <v>0</v>
      </c>
      <c r="DT734" s="424">
        <f t="shared" si="1860"/>
        <v>0</v>
      </c>
      <c r="DU734" s="424">
        <f t="shared" si="1860"/>
        <v>0</v>
      </c>
      <c r="DV734" s="424">
        <f t="shared" si="1860"/>
        <v>0</v>
      </c>
      <c r="DW734" s="424">
        <f t="shared" si="1860"/>
        <v>0</v>
      </c>
      <c r="DX734" s="424">
        <f t="shared" si="1860"/>
        <v>0</v>
      </c>
      <c r="DY734" s="424">
        <f t="shared" si="1860"/>
        <v>0</v>
      </c>
      <c r="DZ734" s="424">
        <f t="shared" si="1860"/>
        <v>0</v>
      </c>
      <c r="EA734" s="424">
        <f t="shared" si="1860"/>
        <v>0</v>
      </c>
      <c r="EB734" s="424">
        <f t="shared" si="1860"/>
        <v>0</v>
      </c>
      <c r="EC734" s="424">
        <f t="shared" si="1860"/>
        <v>0</v>
      </c>
      <c r="ED734" s="424">
        <f t="shared" si="1860"/>
        <v>0</v>
      </c>
      <c r="EE734" s="424">
        <f t="shared" si="1860"/>
        <v>0</v>
      </c>
      <c r="EF734" s="424">
        <f t="shared" si="1860"/>
        <v>0</v>
      </c>
      <c r="EG734" s="424">
        <f t="shared" si="1860"/>
        <v>0</v>
      </c>
      <c r="EH734" s="424">
        <f t="shared" ref="EH734:EX734" si="1861">EH364*EH$372</f>
        <v>0</v>
      </c>
      <c r="EI734" s="424">
        <f t="shared" si="1861"/>
        <v>0</v>
      </c>
      <c r="EJ734" s="424">
        <f t="shared" si="1861"/>
        <v>0</v>
      </c>
      <c r="EK734" s="424">
        <f t="shared" si="1861"/>
        <v>0</v>
      </c>
      <c r="EL734" s="424">
        <f t="shared" si="1861"/>
        <v>0</v>
      </c>
      <c r="EM734" s="424">
        <f t="shared" si="1861"/>
        <v>0</v>
      </c>
      <c r="EN734" s="424">
        <f t="shared" si="1861"/>
        <v>0</v>
      </c>
      <c r="EO734" s="424">
        <f t="shared" si="1861"/>
        <v>0</v>
      </c>
      <c r="EP734" s="424">
        <f t="shared" si="1861"/>
        <v>0</v>
      </c>
      <c r="EQ734" s="424">
        <f t="shared" si="1861"/>
        <v>0</v>
      </c>
      <c r="ER734" s="424">
        <f t="shared" si="1861"/>
        <v>0</v>
      </c>
      <c r="ES734" s="424">
        <f t="shared" si="1861"/>
        <v>0</v>
      </c>
      <c r="ET734" s="424">
        <f t="shared" si="1861"/>
        <v>0</v>
      </c>
      <c r="EU734" s="424">
        <f t="shared" si="1861"/>
        <v>0</v>
      </c>
      <c r="EV734" s="424">
        <f t="shared" si="1861"/>
        <v>0</v>
      </c>
      <c r="EW734" s="424">
        <f t="shared" si="1861"/>
        <v>0</v>
      </c>
      <c r="EX734" s="424">
        <f t="shared" si="1861"/>
        <v>0</v>
      </c>
      <c r="EY734" s="425">
        <f t="shared" si="1776"/>
        <v>7.2</v>
      </c>
      <c r="EZ734" s="616"/>
      <c r="FA734" s="616"/>
      <c r="FB734" s="616"/>
      <c r="FC734" s="616"/>
      <c r="FD734" s="616"/>
      <c r="FE734" s="616"/>
      <c r="FF734" s="616"/>
      <c r="FG734" s="616"/>
      <c r="FH734" s="616"/>
      <c r="FI734" s="616"/>
      <c r="FJ734" s="616"/>
    </row>
    <row r="735" spans="1:166" s="851" customFormat="1" ht="14.7" customHeight="1" x14ac:dyDescent="0.25">
      <c r="A735" s="310">
        <v>361</v>
      </c>
      <c r="B735" s="311" t="str">
        <f t="shared" si="1657"/>
        <v>Сметана 20% жирности</v>
      </c>
      <c r="C735" s="483">
        <f t="shared" si="1750"/>
        <v>2.34</v>
      </c>
      <c r="D735" s="888"/>
      <c r="E735" s="888"/>
      <c r="F735" s="888"/>
      <c r="G735" s="889"/>
      <c r="H735" s="680" t="str">
        <f t="shared" si="1664"/>
        <v>ПРОМ</v>
      </c>
      <c r="I735" s="1209">
        <f t="shared" si="1658"/>
        <v>0</v>
      </c>
      <c r="J735" s="424">
        <f t="shared" ref="J735:AO735" si="1862">J365*J$372</f>
        <v>0</v>
      </c>
      <c r="K735" s="424">
        <f t="shared" si="1862"/>
        <v>0</v>
      </c>
      <c r="L735" s="424">
        <f t="shared" si="1862"/>
        <v>0</v>
      </c>
      <c r="M735" s="424">
        <f t="shared" si="1862"/>
        <v>0</v>
      </c>
      <c r="N735" s="424">
        <f t="shared" si="1862"/>
        <v>0</v>
      </c>
      <c r="O735" s="424">
        <f t="shared" si="1862"/>
        <v>0</v>
      </c>
      <c r="P735" s="424">
        <f t="shared" si="1862"/>
        <v>0</v>
      </c>
      <c r="Q735" s="424">
        <f t="shared" si="1862"/>
        <v>0</v>
      </c>
      <c r="R735" s="424">
        <f t="shared" si="1862"/>
        <v>0</v>
      </c>
      <c r="S735" s="424">
        <f t="shared" si="1862"/>
        <v>0</v>
      </c>
      <c r="T735" s="424">
        <f t="shared" si="1862"/>
        <v>0</v>
      </c>
      <c r="U735" s="424">
        <f t="shared" si="1862"/>
        <v>0</v>
      </c>
      <c r="V735" s="424">
        <f t="shared" si="1862"/>
        <v>0</v>
      </c>
      <c r="W735" s="424">
        <f t="shared" si="1862"/>
        <v>0</v>
      </c>
      <c r="X735" s="424">
        <f t="shared" si="1862"/>
        <v>0</v>
      </c>
      <c r="Y735" s="424">
        <f t="shared" si="1862"/>
        <v>2.34</v>
      </c>
      <c r="Z735" s="424">
        <f t="shared" si="1862"/>
        <v>0</v>
      </c>
      <c r="AA735" s="424">
        <f t="shared" si="1862"/>
        <v>0</v>
      </c>
      <c r="AB735" s="424">
        <f t="shared" si="1862"/>
        <v>0</v>
      </c>
      <c r="AC735" s="424">
        <f t="shared" si="1862"/>
        <v>0</v>
      </c>
      <c r="AD735" s="424">
        <f t="shared" si="1862"/>
        <v>0</v>
      </c>
      <c r="AE735" s="424">
        <f t="shared" si="1862"/>
        <v>0</v>
      </c>
      <c r="AF735" s="424">
        <f t="shared" si="1862"/>
        <v>0</v>
      </c>
      <c r="AG735" s="424">
        <f t="shared" si="1862"/>
        <v>0</v>
      </c>
      <c r="AH735" s="424">
        <f t="shared" si="1862"/>
        <v>0</v>
      </c>
      <c r="AI735" s="424">
        <f t="shared" si="1862"/>
        <v>0</v>
      </c>
      <c r="AJ735" s="424">
        <f t="shared" si="1862"/>
        <v>0</v>
      </c>
      <c r="AK735" s="424">
        <f t="shared" si="1862"/>
        <v>0</v>
      </c>
      <c r="AL735" s="424">
        <f t="shared" si="1862"/>
        <v>0</v>
      </c>
      <c r="AM735" s="424">
        <f t="shared" si="1862"/>
        <v>0</v>
      </c>
      <c r="AN735" s="424">
        <f t="shared" si="1862"/>
        <v>0</v>
      </c>
      <c r="AO735" s="424">
        <f t="shared" si="1862"/>
        <v>0</v>
      </c>
      <c r="AP735" s="424">
        <f t="shared" ref="AP735:BU735" si="1863">AP365*AP$372</f>
        <v>0</v>
      </c>
      <c r="AQ735" s="424">
        <f t="shared" si="1863"/>
        <v>0</v>
      </c>
      <c r="AR735" s="424">
        <f t="shared" si="1863"/>
        <v>0</v>
      </c>
      <c r="AS735" s="424">
        <f t="shared" si="1863"/>
        <v>0</v>
      </c>
      <c r="AT735" s="424">
        <f t="shared" si="1863"/>
        <v>0</v>
      </c>
      <c r="AU735" s="424">
        <f t="shared" si="1863"/>
        <v>0</v>
      </c>
      <c r="AV735" s="424">
        <f t="shared" si="1863"/>
        <v>0</v>
      </c>
      <c r="AW735" s="424">
        <f t="shared" si="1863"/>
        <v>0</v>
      </c>
      <c r="AX735" s="424">
        <f t="shared" si="1863"/>
        <v>0</v>
      </c>
      <c r="AY735" s="424">
        <f t="shared" si="1863"/>
        <v>0</v>
      </c>
      <c r="AZ735" s="424">
        <f t="shared" si="1863"/>
        <v>0</v>
      </c>
      <c r="BA735" s="424">
        <f t="shared" si="1863"/>
        <v>0</v>
      </c>
      <c r="BB735" s="424">
        <f t="shared" si="1863"/>
        <v>0</v>
      </c>
      <c r="BC735" s="424">
        <f t="shared" si="1863"/>
        <v>0</v>
      </c>
      <c r="BD735" s="424">
        <f t="shared" si="1863"/>
        <v>0</v>
      </c>
      <c r="BE735" s="424">
        <f t="shared" si="1863"/>
        <v>0</v>
      </c>
      <c r="BF735" s="424">
        <f t="shared" si="1863"/>
        <v>0</v>
      </c>
      <c r="BG735" s="424">
        <f t="shared" si="1863"/>
        <v>0</v>
      </c>
      <c r="BH735" s="424">
        <f t="shared" si="1863"/>
        <v>0</v>
      </c>
      <c r="BI735" s="424">
        <f t="shared" si="1863"/>
        <v>0</v>
      </c>
      <c r="BJ735" s="424">
        <f t="shared" si="1863"/>
        <v>0</v>
      </c>
      <c r="BK735" s="424">
        <f t="shared" si="1863"/>
        <v>0</v>
      </c>
      <c r="BL735" s="424">
        <f t="shared" si="1863"/>
        <v>0</v>
      </c>
      <c r="BM735" s="424">
        <f t="shared" si="1863"/>
        <v>0</v>
      </c>
      <c r="BN735" s="424">
        <f t="shared" si="1863"/>
        <v>0</v>
      </c>
      <c r="BO735" s="424">
        <f t="shared" si="1863"/>
        <v>0</v>
      </c>
      <c r="BP735" s="424">
        <f t="shared" si="1863"/>
        <v>0</v>
      </c>
      <c r="BQ735" s="424">
        <f t="shared" si="1863"/>
        <v>0</v>
      </c>
      <c r="BR735" s="424">
        <f t="shared" si="1863"/>
        <v>0</v>
      </c>
      <c r="BS735" s="424">
        <f t="shared" si="1863"/>
        <v>0</v>
      </c>
      <c r="BT735" s="424">
        <f t="shared" si="1863"/>
        <v>0</v>
      </c>
      <c r="BU735" s="424">
        <f t="shared" si="1863"/>
        <v>0</v>
      </c>
      <c r="BV735" s="424">
        <f t="shared" ref="BV735:DA735" si="1864">BV365*BV$372</f>
        <v>0</v>
      </c>
      <c r="BW735" s="424">
        <f t="shared" si="1864"/>
        <v>0</v>
      </c>
      <c r="BX735" s="424">
        <f t="shared" si="1864"/>
        <v>0</v>
      </c>
      <c r="BY735" s="424">
        <f t="shared" si="1864"/>
        <v>0</v>
      </c>
      <c r="BZ735" s="424">
        <f t="shared" si="1864"/>
        <v>0</v>
      </c>
      <c r="CA735" s="424">
        <f t="shared" si="1864"/>
        <v>0</v>
      </c>
      <c r="CB735" s="424">
        <f t="shared" si="1864"/>
        <v>0</v>
      </c>
      <c r="CC735" s="424">
        <f t="shared" si="1864"/>
        <v>0</v>
      </c>
      <c r="CD735" s="424">
        <f t="shared" si="1864"/>
        <v>0</v>
      </c>
      <c r="CE735" s="424">
        <f t="shared" si="1864"/>
        <v>0</v>
      </c>
      <c r="CF735" s="424">
        <f t="shared" si="1864"/>
        <v>0</v>
      </c>
      <c r="CG735" s="424">
        <f t="shared" si="1864"/>
        <v>0</v>
      </c>
      <c r="CH735" s="424">
        <f t="shared" si="1864"/>
        <v>0</v>
      </c>
      <c r="CI735" s="424">
        <f t="shared" si="1864"/>
        <v>0</v>
      </c>
      <c r="CJ735" s="424">
        <f t="shared" si="1864"/>
        <v>0</v>
      </c>
      <c r="CK735" s="424">
        <f t="shared" si="1864"/>
        <v>0</v>
      </c>
      <c r="CL735" s="424">
        <f t="shared" si="1864"/>
        <v>0</v>
      </c>
      <c r="CM735" s="424">
        <f t="shared" si="1864"/>
        <v>0</v>
      </c>
      <c r="CN735" s="424">
        <f t="shared" si="1864"/>
        <v>0</v>
      </c>
      <c r="CO735" s="424">
        <f t="shared" si="1864"/>
        <v>0</v>
      </c>
      <c r="CP735" s="424">
        <f t="shared" si="1864"/>
        <v>0</v>
      </c>
      <c r="CQ735" s="424">
        <f t="shared" si="1864"/>
        <v>0</v>
      </c>
      <c r="CR735" s="424">
        <f t="shared" si="1864"/>
        <v>0</v>
      </c>
      <c r="CS735" s="424">
        <f t="shared" si="1864"/>
        <v>0</v>
      </c>
      <c r="CT735" s="424">
        <f t="shared" si="1864"/>
        <v>0</v>
      </c>
      <c r="CU735" s="424">
        <f t="shared" si="1864"/>
        <v>0</v>
      </c>
      <c r="CV735" s="424">
        <f t="shared" si="1864"/>
        <v>0</v>
      </c>
      <c r="CW735" s="424">
        <f t="shared" si="1864"/>
        <v>0</v>
      </c>
      <c r="CX735" s="424">
        <f t="shared" si="1864"/>
        <v>0</v>
      </c>
      <c r="CY735" s="424">
        <f t="shared" si="1864"/>
        <v>0</v>
      </c>
      <c r="CZ735" s="424">
        <f t="shared" si="1864"/>
        <v>0</v>
      </c>
      <c r="DA735" s="424">
        <f t="shared" si="1864"/>
        <v>0</v>
      </c>
      <c r="DB735" s="424">
        <f t="shared" ref="DB735:EG735" si="1865">DB365*DB$372</f>
        <v>0</v>
      </c>
      <c r="DC735" s="424">
        <f t="shared" si="1865"/>
        <v>0</v>
      </c>
      <c r="DD735" s="424">
        <f t="shared" si="1865"/>
        <v>0</v>
      </c>
      <c r="DE735" s="424">
        <f t="shared" si="1865"/>
        <v>0</v>
      </c>
      <c r="DF735" s="424">
        <f t="shared" si="1865"/>
        <v>0</v>
      </c>
      <c r="DG735" s="424">
        <f t="shared" si="1865"/>
        <v>0</v>
      </c>
      <c r="DH735" s="424">
        <f t="shared" si="1865"/>
        <v>0</v>
      </c>
      <c r="DI735" s="424">
        <f t="shared" si="1865"/>
        <v>0</v>
      </c>
      <c r="DJ735" s="424">
        <f t="shared" si="1865"/>
        <v>0</v>
      </c>
      <c r="DK735" s="424">
        <f t="shared" si="1865"/>
        <v>0</v>
      </c>
      <c r="DL735" s="424">
        <f t="shared" si="1865"/>
        <v>0</v>
      </c>
      <c r="DM735" s="424">
        <f t="shared" si="1865"/>
        <v>0</v>
      </c>
      <c r="DN735" s="424">
        <f t="shared" si="1865"/>
        <v>0</v>
      </c>
      <c r="DO735" s="424">
        <f t="shared" si="1865"/>
        <v>0</v>
      </c>
      <c r="DP735" s="424">
        <f t="shared" si="1865"/>
        <v>0</v>
      </c>
      <c r="DQ735" s="424">
        <f t="shared" si="1865"/>
        <v>0</v>
      </c>
      <c r="DR735" s="424">
        <f t="shared" si="1865"/>
        <v>0</v>
      </c>
      <c r="DS735" s="424">
        <f t="shared" si="1865"/>
        <v>0</v>
      </c>
      <c r="DT735" s="424">
        <f t="shared" si="1865"/>
        <v>0</v>
      </c>
      <c r="DU735" s="424">
        <f t="shared" si="1865"/>
        <v>0</v>
      </c>
      <c r="DV735" s="424">
        <f t="shared" si="1865"/>
        <v>0</v>
      </c>
      <c r="DW735" s="424">
        <f t="shared" si="1865"/>
        <v>0</v>
      </c>
      <c r="DX735" s="424">
        <f t="shared" si="1865"/>
        <v>0</v>
      </c>
      <c r="DY735" s="424">
        <f t="shared" si="1865"/>
        <v>0</v>
      </c>
      <c r="DZ735" s="424">
        <f t="shared" si="1865"/>
        <v>0</v>
      </c>
      <c r="EA735" s="424">
        <f t="shared" si="1865"/>
        <v>0</v>
      </c>
      <c r="EB735" s="424">
        <f t="shared" si="1865"/>
        <v>0</v>
      </c>
      <c r="EC735" s="424">
        <f t="shared" si="1865"/>
        <v>0</v>
      </c>
      <c r="ED735" s="424">
        <f t="shared" si="1865"/>
        <v>0</v>
      </c>
      <c r="EE735" s="424">
        <f t="shared" si="1865"/>
        <v>0</v>
      </c>
      <c r="EF735" s="424">
        <f t="shared" si="1865"/>
        <v>0</v>
      </c>
      <c r="EG735" s="424">
        <f t="shared" si="1865"/>
        <v>0</v>
      </c>
      <c r="EH735" s="424">
        <f t="shared" ref="EH735:EX735" si="1866">EH365*EH$372</f>
        <v>0</v>
      </c>
      <c r="EI735" s="424">
        <f t="shared" si="1866"/>
        <v>0</v>
      </c>
      <c r="EJ735" s="424">
        <f t="shared" si="1866"/>
        <v>0</v>
      </c>
      <c r="EK735" s="424">
        <f t="shared" si="1866"/>
        <v>0</v>
      </c>
      <c r="EL735" s="424">
        <f t="shared" si="1866"/>
        <v>0</v>
      </c>
      <c r="EM735" s="424">
        <f t="shared" si="1866"/>
        <v>0</v>
      </c>
      <c r="EN735" s="424">
        <f t="shared" si="1866"/>
        <v>0</v>
      </c>
      <c r="EO735" s="424">
        <f t="shared" si="1866"/>
        <v>0</v>
      </c>
      <c r="EP735" s="424">
        <f t="shared" si="1866"/>
        <v>0</v>
      </c>
      <c r="EQ735" s="424">
        <f t="shared" si="1866"/>
        <v>0</v>
      </c>
      <c r="ER735" s="424">
        <f t="shared" si="1866"/>
        <v>0</v>
      </c>
      <c r="ES735" s="424">
        <f t="shared" si="1866"/>
        <v>0</v>
      </c>
      <c r="ET735" s="424">
        <f t="shared" si="1866"/>
        <v>0</v>
      </c>
      <c r="EU735" s="424">
        <f t="shared" si="1866"/>
        <v>0</v>
      </c>
      <c r="EV735" s="424">
        <f t="shared" si="1866"/>
        <v>0</v>
      </c>
      <c r="EW735" s="424">
        <f t="shared" si="1866"/>
        <v>0</v>
      </c>
      <c r="EX735" s="424">
        <f t="shared" si="1866"/>
        <v>0</v>
      </c>
      <c r="EY735" s="425">
        <f t="shared" si="1776"/>
        <v>2.34</v>
      </c>
      <c r="EZ735" s="616"/>
      <c r="FA735" s="616"/>
      <c r="FB735" s="616"/>
      <c r="FC735" s="616"/>
      <c r="FD735" s="616"/>
      <c r="FE735" s="616"/>
      <c r="FF735" s="616"/>
      <c r="FG735" s="616"/>
      <c r="FH735" s="616"/>
      <c r="FI735" s="616"/>
      <c r="FJ735" s="616"/>
    </row>
    <row r="736" spans="1:166" s="1202" customFormat="1" ht="14.7" customHeight="1" x14ac:dyDescent="0.25">
      <c r="A736" s="310">
        <v>362</v>
      </c>
      <c r="B736" s="311" t="str">
        <f t="shared" si="1657"/>
        <v>Зеленый горошек консервированный</v>
      </c>
      <c r="C736" s="483">
        <f t="shared" si="1750"/>
        <v>3.15</v>
      </c>
      <c r="D736" s="888"/>
      <c r="E736" s="888"/>
      <c r="F736" s="888"/>
      <c r="G736" s="889"/>
      <c r="H736" s="680" t="str">
        <f t="shared" si="1664"/>
        <v>ПРОМ</v>
      </c>
      <c r="I736" s="1209">
        <f t="shared" si="1658"/>
        <v>0</v>
      </c>
      <c r="J736" s="424">
        <f t="shared" ref="J736:AO736" si="1867">J366*J$372</f>
        <v>0</v>
      </c>
      <c r="K736" s="424">
        <f t="shared" si="1867"/>
        <v>0</v>
      </c>
      <c r="L736" s="424">
        <f t="shared" si="1867"/>
        <v>0</v>
      </c>
      <c r="M736" s="424">
        <f t="shared" si="1867"/>
        <v>0</v>
      </c>
      <c r="N736" s="424">
        <f t="shared" si="1867"/>
        <v>0</v>
      </c>
      <c r="O736" s="424">
        <f t="shared" si="1867"/>
        <v>0</v>
      </c>
      <c r="P736" s="424">
        <f t="shared" si="1867"/>
        <v>0</v>
      </c>
      <c r="Q736" s="424">
        <f t="shared" si="1867"/>
        <v>0</v>
      </c>
      <c r="R736" s="424">
        <f t="shared" si="1867"/>
        <v>0</v>
      </c>
      <c r="S736" s="424">
        <f t="shared" si="1867"/>
        <v>0</v>
      </c>
      <c r="T736" s="424">
        <f t="shared" si="1867"/>
        <v>0</v>
      </c>
      <c r="U736" s="424">
        <f t="shared" si="1867"/>
        <v>0</v>
      </c>
      <c r="V736" s="424">
        <f t="shared" si="1867"/>
        <v>0</v>
      </c>
      <c r="W736" s="424">
        <f t="shared" si="1867"/>
        <v>0</v>
      </c>
      <c r="X736" s="424">
        <f t="shared" si="1867"/>
        <v>0</v>
      </c>
      <c r="Y736" s="424">
        <f t="shared" si="1867"/>
        <v>0</v>
      </c>
      <c r="Z736" s="424">
        <f t="shared" si="1867"/>
        <v>0</v>
      </c>
      <c r="AA736" s="424">
        <f t="shared" si="1867"/>
        <v>0</v>
      </c>
      <c r="AB736" s="424">
        <f t="shared" si="1867"/>
        <v>0</v>
      </c>
      <c r="AC736" s="424">
        <f t="shared" si="1867"/>
        <v>0</v>
      </c>
      <c r="AD736" s="424">
        <f t="shared" si="1867"/>
        <v>0</v>
      </c>
      <c r="AE736" s="424">
        <f t="shared" si="1867"/>
        <v>0</v>
      </c>
      <c r="AF736" s="424">
        <f t="shared" si="1867"/>
        <v>0</v>
      </c>
      <c r="AG736" s="424">
        <f t="shared" si="1867"/>
        <v>0</v>
      </c>
      <c r="AH736" s="424">
        <f t="shared" si="1867"/>
        <v>0</v>
      </c>
      <c r="AI736" s="424">
        <f t="shared" si="1867"/>
        <v>0</v>
      </c>
      <c r="AJ736" s="424">
        <f t="shared" si="1867"/>
        <v>0</v>
      </c>
      <c r="AK736" s="424">
        <f t="shared" si="1867"/>
        <v>0</v>
      </c>
      <c r="AL736" s="424">
        <f t="shared" si="1867"/>
        <v>0</v>
      </c>
      <c r="AM736" s="424">
        <f t="shared" si="1867"/>
        <v>0</v>
      </c>
      <c r="AN736" s="424">
        <f t="shared" si="1867"/>
        <v>0</v>
      </c>
      <c r="AO736" s="424">
        <f t="shared" si="1867"/>
        <v>0</v>
      </c>
      <c r="AP736" s="424">
        <f t="shared" ref="AP736:BU736" si="1868">AP366*AP$372</f>
        <v>0</v>
      </c>
      <c r="AQ736" s="424">
        <f t="shared" si="1868"/>
        <v>0</v>
      </c>
      <c r="AR736" s="424">
        <f t="shared" si="1868"/>
        <v>0</v>
      </c>
      <c r="AS736" s="424">
        <f t="shared" si="1868"/>
        <v>0</v>
      </c>
      <c r="AT736" s="424">
        <f t="shared" si="1868"/>
        <v>0</v>
      </c>
      <c r="AU736" s="424">
        <f t="shared" si="1868"/>
        <v>0</v>
      </c>
      <c r="AV736" s="424">
        <f t="shared" si="1868"/>
        <v>0</v>
      </c>
      <c r="AW736" s="424">
        <f t="shared" si="1868"/>
        <v>0</v>
      </c>
      <c r="AX736" s="424">
        <f t="shared" si="1868"/>
        <v>0</v>
      </c>
      <c r="AY736" s="424">
        <f t="shared" si="1868"/>
        <v>0</v>
      </c>
      <c r="AZ736" s="424">
        <f t="shared" si="1868"/>
        <v>0</v>
      </c>
      <c r="BA736" s="424">
        <f t="shared" si="1868"/>
        <v>0</v>
      </c>
      <c r="BB736" s="424">
        <f t="shared" si="1868"/>
        <v>0</v>
      </c>
      <c r="BC736" s="424">
        <f t="shared" si="1868"/>
        <v>0</v>
      </c>
      <c r="BD736" s="424">
        <f t="shared" si="1868"/>
        <v>0</v>
      </c>
      <c r="BE736" s="424">
        <f t="shared" si="1868"/>
        <v>0</v>
      </c>
      <c r="BF736" s="424">
        <f t="shared" si="1868"/>
        <v>0</v>
      </c>
      <c r="BG736" s="424">
        <f t="shared" si="1868"/>
        <v>0</v>
      </c>
      <c r="BH736" s="424">
        <f t="shared" si="1868"/>
        <v>0</v>
      </c>
      <c r="BI736" s="424">
        <f t="shared" si="1868"/>
        <v>0</v>
      </c>
      <c r="BJ736" s="424">
        <f t="shared" si="1868"/>
        <v>0</v>
      </c>
      <c r="BK736" s="424">
        <f t="shared" si="1868"/>
        <v>0</v>
      </c>
      <c r="BL736" s="424">
        <f t="shared" si="1868"/>
        <v>0</v>
      </c>
      <c r="BM736" s="424">
        <f t="shared" si="1868"/>
        <v>0</v>
      </c>
      <c r="BN736" s="424">
        <f t="shared" si="1868"/>
        <v>0</v>
      </c>
      <c r="BO736" s="424">
        <f t="shared" si="1868"/>
        <v>0</v>
      </c>
      <c r="BP736" s="424">
        <f t="shared" si="1868"/>
        <v>0</v>
      </c>
      <c r="BQ736" s="424">
        <f t="shared" si="1868"/>
        <v>0</v>
      </c>
      <c r="BR736" s="424">
        <f t="shared" si="1868"/>
        <v>0</v>
      </c>
      <c r="BS736" s="424">
        <f t="shared" si="1868"/>
        <v>0</v>
      </c>
      <c r="BT736" s="424">
        <f t="shared" si="1868"/>
        <v>0</v>
      </c>
      <c r="BU736" s="424">
        <f t="shared" si="1868"/>
        <v>0</v>
      </c>
      <c r="BV736" s="424">
        <f t="shared" ref="BV736:DA736" si="1869">BV366*BV$372</f>
        <v>0</v>
      </c>
      <c r="BW736" s="424">
        <f t="shared" si="1869"/>
        <v>0</v>
      </c>
      <c r="BX736" s="424">
        <f t="shared" si="1869"/>
        <v>0</v>
      </c>
      <c r="BY736" s="424">
        <f t="shared" si="1869"/>
        <v>0</v>
      </c>
      <c r="BZ736" s="424">
        <f t="shared" si="1869"/>
        <v>0</v>
      </c>
      <c r="CA736" s="424">
        <f t="shared" si="1869"/>
        <v>0</v>
      </c>
      <c r="CB736" s="424">
        <f t="shared" si="1869"/>
        <v>0</v>
      </c>
      <c r="CC736" s="424">
        <f t="shared" si="1869"/>
        <v>0</v>
      </c>
      <c r="CD736" s="424">
        <f t="shared" si="1869"/>
        <v>0</v>
      </c>
      <c r="CE736" s="424">
        <f t="shared" si="1869"/>
        <v>0</v>
      </c>
      <c r="CF736" s="424">
        <f t="shared" si="1869"/>
        <v>0</v>
      </c>
      <c r="CG736" s="424">
        <f t="shared" si="1869"/>
        <v>0</v>
      </c>
      <c r="CH736" s="424">
        <f t="shared" si="1869"/>
        <v>0</v>
      </c>
      <c r="CI736" s="424">
        <f t="shared" si="1869"/>
        <v>0</v>
      </c>
      <c r="CJ736" s="424">
        <f t="shared" si="1869"/>
        <v>0</v>
      </c>
      <c r="CK736" s="424">
        <f t="shared" si="1869"/>
        <v>0</v>
      </c>
      <c r="CL736" s="424">
        <f t="shared" si="1869"/>
        <v>0</v>
      </c>
      <c r="CM736" s="424">
        <f t="shared" si="1869"/>
        <v>0</v>
      </c>
      <c r="CN736" s="424">
        <f t="shared" si="1869"/>
        <v>0</v>
      </c>
      <c r="CO736" s="424">
        <f t="shared" si="1869"/>
        <v>0</v>
      </c>
      <c r="CP736" s="424">
        <f t="shared" si="1869"/>
        <v>0</v>
      </c>
      <c r="CQ736" s="424">
        <f t="shared" si="1869"/>
        <v>0</v>
      </c>
      <c r="CR736" s="424">
        <f t="shared" si="1869"/>
        <v>0</v>
      </c>
      <c r="CS736" s="424">
        <f t="shared" si="1869"/>
        <v>0</v>
      </c>
      <c r="CT736" s="424">
        <f t="shared" si="1869"/>
        <v>0</v>
      </c>
      <c r="CU736" s="424">
        <f t="shared" si="1869"/>
        <v>0</v>
      </c>
      <c r="CV736" s="424">
        <f t="shared" si="1869"/>
        <v>0</v>
      </c>
      <c r="CW736" s="424">
        <f t="shared" si="1869"/>
        <v>0</v>
      </c>
      <c r="CX736" s="424">
        <f t="shared" si="1869"/>
        <v>0</v>
      </c>
      <c r="CY736" s="424">
        <f t="shared" si="1869"/>
        <v>0</v>
      </c>
      <c r="CZ736" s="424">
        <f t="shared" si="1869"/>
        <v>0</v>
      </c>
      <c r="DA736" s="424">
        <f t="shared" si="1869"/>
        <v>0</v>
      </c>
      <c r="DB736" s="424">
        <f t="shared" ref="DB736:EG736" si="1870">DB366*DB$372</f>
        <v>0</v>
      </c>
      <c r="DC736" s="424">
        <f t="shared" si="1870"/>
        <v>0</v>
      </c>
      <c r="DD736" s="424">
        <f t="shared" si="1870"/>
        <v>0</v>
      </c>
      <c r="DE736" s="424">
        <f t="shared" si="1870"/>
        <v>0</v>
      </c>
      <c r="DF736" s="424">
        <f t="shared" si="1870"/>
        <v>0</v>
      </c>
      <c r="DG736" s="424">
        <f t="shared" si="1870"/>
        <v>0</v>
      </c>
      <c r="DH736" s="424">
        <f t="shared" si="1870"/>
        <v>0</v>
      </c>
      <c r="DI736" s="424">
        <f t="shared" si="1870"/>
        <v>0</v>
      </c>
      <c r="DJ736" s="424">
        <f t="shared" si="1870"/>
        <v>0</v>
      </c>
      <c r="DK736" s="424">
        <f t="shared" si="1870"/>
        <v>0</v>
      </c>
      <c r="DL736" s="424">
        <f t="shared" si="1870"/>
        <v>0</v>
      </c>
      <c r="DM736" s="424">
        <f t="shared" si="1870"/>
        <v>0</v>
      </c>
      <c r="DN736" s="424">
        <f t="shared" si="1870"/>
        <v>0</v>
      </c>
      <c r="DO736" s="424">
        <f t="shared" si="1870"/>
        <v>0</v>
      </c>
      <c r="DP736" s="424">
        <f t="shared" si="1870"/>
        <v>0</v>
      </c>
      <c r="DQ736" s="424">
        <f t="shared" si="1870"/>
        <v>0</v>
      </c>
      <c r="DR736" s="424">
        <f t="shared" si="1870"/>
        <v>0</v>
      </c>
      <c r="DS736" s="424">
        <f t="shared" si="1870"/>
        <v>0</v>
      </c>
      <c r="DT736" s="424">
        <f t="shared" si="1870"/>
        <v>0</v>
      </c>
      <c r="DU736" s="424">
        <f t="shared" si="1870"/>
        <v>3.15</v>
      </c>
      <c r="DV736" s="424">
        <f t="shared" si="1870"/>
        <v>0</v>
      </c>
      <c r="DW736" s="424">
        <f t="shared" si="1870"/>
        <v>0</v>
      </c>
      <c r="DX736" s="424">
        <f t="shared" si="1870"/>
        <v>0</v>
      </c>
      <c r="DY736" s="424">
        <f t="shared" si="1870"/>
        <v>0</v>
      </c>
      <c r="DZ736" s="424">
        <f t="shared" si="1870"/>
        <v>0</v>
      </c>
      <c r="EA736" s="424">
        <f t="shared" si="1870"/>
        <v>0</v>
      </c>
      <c r="EB736" s="424">
        <f t="shared" si="1870"/>
        <v>0</v>
      </c>
      <c r="EC736" s="424">
        <f t="shared" si="1870"/>
        <v>0</v>
      </c>
      <c r="ED736" s="424">
        <f t="shared" si="1870"/>
        <v>0</v>
      </c>
      <c r="EE736" s="424">
        <f t="shared" si="1870"/>
        <v>0</v>
      </c>
      <c r="EF736" s="424">
        <f t="shared" si="1870"/>
        <v>0</v>
      </c>
      <c r="EG736" s="424">
        <f t="shared" si="1870"/>
        <v>0</v>
      </c>
      <c r="EH736" s="424">
        <f t="shared" ref="EH736:EX736" si="1871">EH366*EH$372</f>
        <v>0</v>
      </c>
      <c r="EI736" s="424">
        <f t="shared" si="1871"/>
        <v>0</v>
      </c>
      <c r="EJ736" s="424">
        <f t="shared" si="1871"/>
        <v>0</v>
      </c>
      <c r="EK736" s="424">
        <f t="shared" si="1871"/>
        <v>0</v>
      </c>
      <c r="EL736" s="424">
        <f t="shared" si="1871"/>
        <v>0</v>
      </c>
      <c r="EM736" s="424">
        <f t="shared" si="1871"/>
        <v>0</v>
      </c>
      <c r="EN736" s="424">
        <f t="shared" si="1871"/>
        <v>0</v>
      </c>
      <c r="EO736" s="424">
        <f t="shared" si="1871"/>
        <v>0</v>
      </c>
      <c r="EP736" s="424">
        <f t="shared" si="1871"/>
        <v>0</v>
      </c>
      <c r="EQ736" s="424">
        <f t="shared" si="1871"/>
        <v>0</v>
      </c>
      <c r="ER736" s="424">
        <f t="shared" si="1871"/>
        <v>0</v>
      </c>
      <c r="ES736" s="424">
        <f t="shared" si="1871"/>
        <v>0</v>
      </c>
      <c r="ET736" s="424">
        <f t="shared" si="1871"/>
        <v>0</v>
      </c>
      <c r="EU736" s="424">
        <f t="shared" si="1871"/>
        <v>0</v>
      </c>
      <c r="EV736" s="424">
        <f t="shared" si="1871"/>
        <v>0</v>
      </c>
      <c r="EW736" s="424">
        <f t="shared" si="1871"/>
        <v>0</v>
      </c>
      <c r="EX736" s="424">
        <f t="shared" si="1871"/>
        <v>0</v>
      </c>
      <c r="EY736" s="425">
        <f t="shared" si="1776"/>
        <v>3.15</v>
      </c>
      <c r="EZ736" s="616"/>
      <c r="FA736" s="616"/>
      <c r="FB736" s="616"/>
      <c r="FC736" s="616"/>
      <c r="FD736" s="616"/>
      <c r="FE736" s="616"/>
      <c r="FF736" s="616"/>
      <c r="FG736" s="616"/>
      <c r="FH736" s="616"/>
      <c r="FI736" s="616"/>
      <c r="FJ736" s="616"/>
    </row>
    <row r="737" spans="1:166" s="1335" customFormat="1" ht="14.7" customHeight="1" x14ac:dyDescent="0.25">
      <c r="A737" s="310">
        <v>363</v>
      </c>
      <c r="B737" s="311" t="str">
        <f t="shared" si="1657"/>
        <v>Кукуруза консервированная</v>
      </c>
      <c r="C737" s="483">
        <f t="shared" si="1750"/>
        <v>3.58</v>
      </c>
      <c r="D737" s="888"/>
      <c r="E737" s="888"/>
      <c r="F737" s="888"/>
      <c r="G737" s="889"/>
      <c r="H737" s="680" t="str">
        <f t="shared" si="1664"/>
        <v>ПРОМ</v>
      </c>
      <c r="I737" s="1209">
        <f t="shared" si="1658"/>
        <v>0</v>
      </c>
      <c r="J737" s="424">
        <f t="shared" ref="J737:BU737" si="1872">J367*J$372</f>
        <v>0</v>
      </c>
      <c r="K737" s="424">
        <f t="shared" si="1872"/>
        <v>0</v>
      </c>
      <c r="L737" s="424">
        <f t="shared" si="1872"/>
        <v>0</v>
      </c>
      <c r="M737" s="424">
        <f t="shared" si="1872"/>
        <v>0</v>
      </c>
      <c r="N737" s="424">
        <f t="shared" si="1872"/>
        <v>0</v>
      </c>
      <c r="O737" s="424">
        <f t="shared" si="1872"/>
        <v>0</v>
      </c>
      <c r="P737" s="424">
        <f t="shared" si="1872"/>
        <v>0</v>
      </c>
      <c r="Q737" s="424">
        <f t="shared" si="1872"/>
        <v>0</v>
      </c>
      <c r="R737" s="424">
        <f t="shared" si="1872"/>
        <v>0</v>
      </c>
      <c r="S737" s="424">
        <f t="shared" si="1872"/>
        <v>0</v>
      </c>
      <c r="T737" s="424">
        <f t="shared" si="1872"/>
        <v>0</v>
      </c>
      <c r="U737" s="424">
        <f t="shared" si="1872"/>
        <v>0</v>
      </c>
      <c r="V737" s="424">
        <f t="shared" si="1872"/>
        <v>0</v>
      </c>
      <c r="W737" s="424">
        <f t="shared" si="1872"/>
        <v>0</v>
      </c>
      <c r="X737" s="424">
        <f t="shared" si="1872"/>
        <v>0</v>
      </c>
      <c r="Y737" s="424">
        <f t="shared" si="1872"/>
        <v>0</v>
      </c>
      <c r="Z737" s="424">
        <f t="shared" si="1872"/>
        <v>0</v>
      </c>
      <c r="AA737" s="424">
        <f t="shared" si="1872"/>
        <v>0</v>
      </c>
      <c r="AB737" s="424">
        <f t="shared" si="1872"/>
        <v>0</v>
      </c>
      <c r="AC737" s="424">
        <f t="shared" si="1872"/>
        <v>0</v>
      </c>
      <c r="AD737" s="424">
        <f t="shared" si="1872"/>
        <v>0</v>
      </c>
      <c r="AE737" s="424">
        <f t="shared" si="1872"/>
        <v>0</v>
      </c>
      <c r="AF737" s="424">
        <f t="shared" si="1872"/>
        <v>0</v>
      </c>
      <c r="AG737" s="424">
        <f t="shared" si="1872"/>
        <v>0</v>
      </c>
      <c r="AH737" s="424">
        <f t="shared" si="1872"/>
        <v>0</v>
      </c>
      <c r="AI737" s="424">
        <f t="shared" si="1872"/>
        <v>0</v>
      </c>
      <c r="AJ737" s="424">
        <f t="shared" si="1872"/>
        <v>0</v>
      </c>
      <c r="AK737" s="424">
        <f t="shared" si="1872"/>
        <v>0</v>
      </c>
      <c r="AL737" s="424">
        <f t="shared" si="1872"/>
        <v>0</v>
      </c>
      <c r="AM737" s="424">
        <f t="shared" si="1872"/>
        <v>0</v>
      </c>
      <c r="AN737" s="424">
        <f t="shared" si="1872"/>
        <v>0</v>
      </c>
      <c r="AO737" s="424">
        <f t="shared" si="1872"/>
        <v>0</v>
      </c>
      <c r="AP737" s="424">
        <f t="shared" si="1872"/>
        <v>0</v>
      </c>
      <c r="AQ737" s="424">
        <f t="shared" si="1872"/>
        <v>0</v>
      </c>
      <c r="AR737" s="424">
        <f t="shared" si="1872"/>
        <v>0</v>
      </c>
      <c r="AS737" s="424">
        <f t="shared" si="1872"/>
        <v>0</v>
      </c>
      <c r="AT737" s="424">
        <f t="shared" si="1872"/>
        <v>0</v>
      </c>
      <c r="AU737" s="424">
        <f t="shared" si="1872"/>
        <v>0</v>
      </c>
      <c r="AV737" s="424">
        <f t="shared" si="1872"/>
        <v>0</v>
      </c>
      <c r="AW737" s="424">
        <f t="shared" si="1872"/>
        <v>0</v>
      </c>
      <c r="AX737" s="424">
        <f t="shared" si="1872"/>
        <v>0</v>
      </c>
      <c r="AY737" s="424">
        <f t="shared" si="1872"/>
        <v>0</v>
      </c>
      <c r="AZ737" s="424">
        <f t="shared" si="1872"/>
        <v>0</v>
      </c>
      <c r="BA737" s="424">
        <f t="shared" si="1872"/>
        <v>0</v>
      </c>
      <c r="BB737" s="424">
        <f t="shared" si="1872"/>
        <v>0</v>
      </c>
      <c r="BC737" s="424">
        <f t="shared" si="1872"/>
        <v>0</v>
      </c>
      <c r="BD737" s="424">
        <f t="shared" si="1872"/>
        <v>0</v>
      </c>
      <c r="BE737" s="424">
        <f t="shared" si="1872"/>
        <v>0</v>
      </c>
      <c r="BF737" s="424">
        <f t="shared" si="1872"/>
        <v>0</v>
      </c>
      <c r="BG737" s="424">
        <f t="shared" si="1872"/>
        <v>0</v>
      </c>
      <c r="BH737" s="424">
        <f t="shared" si="1872"/>
        <v>0</v>
      </c>
      <c r="BI737" s="424">
        <f t="shared" si="1872"/>
        <v>0</v>
      </c>
      <c r="BJ737" s="424">
        <f t="shared" si="1872"/>
        <v>0</v>
      </c>
      <c r="BK737" s="424">
        <f t="shared" si="1872"/>
        <v>0</v>
      </c>
      <c r="BL737" s="424">
        <f t="shared" si="1872"/>
        <v>0</v>
      </c>
      <c r="BM737" s="424">
        <f t="shared" si="1872"/>
        <v>0</v>
      </c>
      <c r="BN737" s="424">
        <f t="shared" si="1872"/>
        <v>0</v>
      </c>
      <c r="BO737" s="424">
        <f t="shared" si="1872"/>
        <v>0</v>
      </c>
      <c r="BP737" s="424">
        <f t="shared" si="1872"/>
        <v>0</v>
      </c>
      <c r="BQ737" s="424">
        <f t="shared" si="1872"/>
        <v>0</v>
      </c>
      <c r="BR737" s="424">
        <f t="shared" si="1872"/>
        <v>0</v>
      </c>
      <c r="BS737" s="424">
        <f t="shared" si="1872"/>
        <v>0</v>
      </c>
      <c r="BT737" s="424">
        <f t="shared" si="1872"/>
        <v>0</v>
      </c>
      <c r="BU737" s="424">
        <f t="shared" si="1872"/>
        <v>0</v>
      </c>
      <c r="BV737" s="424">
        <f t="shared" ref="BV737:DA737" si="1873">BV367*BV$372</f>
        <v>0</v>
      </c>
      <c r="BW737" s="424">
        <f t="shared" si="1873"/>
        <v>0</v>
      </c>
      <c r="BX737" s="424">
        <f t="shared" si="1873"/>
        <v>0</v>
      </c>
      <c r="BY737" s="424">
        <f t="shared" si="1873"/>
        <v>0</v>
      </c>
      <c r="BZ737" s="424">
        <f t="shared" si="1873"/>
        <v>0</v>
      </c>
      <c r="CA737" s="424">
        <f t="shared" si="1873"/>
        <v>0</v>
      </c>
      <c r="CB737" s="424">
        <f t="shared" si="1873"/>
        <v>0</v>
      </c>
      <c r="CC737" s="424">
        <f t="shared" si="1873"/>
        <v>0</v>
      </c>
      <c r="CD737" s="424">
        <f t="shared" si="1873"/>
        <v>0</v>
      </c>
      <c r="CE737" s="424">
        <f t="shared" si="1873"/>
        <v>0</v>
      </c>
      <c r="CF737" s="424">
        <f t="shared" si="1873"/>
        <v>0</v>
      </c>
      <c r="CG737" s="424">
        <f t="shared" si="1873"/>
        <v>0</v>
      </c>
      <c r="CH737" s="424">
        <f t="shared" si="1873"/>
        <v>0</v>
      </c>
      <c r="CI737" s="424">
        <f t="shared" si="1873"/>
        <v>0</v>
      </c>
      <c r="CJ737" s="424">
        <f t="shared" si="1873"/>
        <v>0</v>
      </c>
      <c r="CK737" s="424">
        <f t="shared" si="1873"/>
        <v>0</v>
      </c>
      <c r="CL737" s="424">
        <f t="shared" si="1873"/>
        <v>0</v>
      </c>
      <c r="CM737" s="424">
        <f t="shared" si="1873"/>
        <v>0</v>
      </c>
      <c r="CN737" s="424">
        <f t="shared" si="1873"/>
        <v>0</v>
      </c>
      <c r="CO737" s="424">
        <f t="shared" si="1873"/>
        <v>0</v>
      </c>
      <c r="CP737" s="424">
        <f t="shared" si="1873"/>
        <v>0</v>
      </c>
      <c r="CQ737" s="424">
        <f t="shared" si="1873"/>
        <v>0</v>
      </c>
      <c r="CR737" s="424">
        <f t="shared" si="1873"/>
        <v>0</v>
      </c>
      <c r="CS737" s="424">
        <f t="shared" si="1873"/>
        <v>0</v>
      </c>
      <c r="CT737" s="424">
        <f t="shared" si="1873"/>
        <v>0</v>
      </c>
      <c r="CU737" s="424">
        <f t="shared" si="1873"/>
        <v>0</v>
      </c>
      <c r="CV737" s="424">
        <f t="shared" si="1873"/>
        <v>0</v>
      </c>
      <c r="CW737" s="424">
        <f t="shared" si="1873"/>
        <v>0</v>
      </c>
      <c r="CX737" s="424">
        <f t="shared" si="1873"/>
        <v>0</v>
      </c>
      <c r="CY737" s="424">
        <f t="shared" si="1873"/>
        <v>0</v>
      </c>
      <c r="CZ737" s="424">
        <f t="shared" si="1873"/>
        <v>0</v>
      </c>
      <c r="DA737" s="424">
        <f t="shared" si="1873"/>
        <v>0</v>
      </c>
      <c r="DB737" s="424">
        <f t="shared" ref="DB737:EG737" si="1874">DB367*DB$372</f>
        <v>0</v>
      </c>
      <c r="DC737" s="424">
        <f t="shared" si="1874"/>
        <v>0</v>
      </c>
      <c r="DD737" s="424">
        <f t="shared" si="1874"/>
        <v>0</v>
      </c>
      <c r="DE737" s="424">
        <f t="shared" si="1874"/>
        <v>0</v>
      </c>
      <c r="DF737" s="424">
        <f t="shared" si="1874"/>
        <v>0</v>
      </c>
      <c r="DG737" s="424">
        <f t="shared" si="1874"/>
        <v>0</v>
      </c>
      <c r="DH737" s="424">
        <f t="shared" si="1874"/>
        <v>0</v>
      </c>
      <c r="DI737" s="424">
        <f t="shared" si="1874"/>
        <v>0</v>
      </c>
      <c r="DJ737" s="424">
        <f t="shared" si="1874"/>
        <v>0</v>
      </c>
      <c r="DK737" s="424">
        <f t="shared" si="1874"/>
        <v>0</v>
      </c>
      <c r="DL737" s="424">
        <f t="shared" si="1874"/>
        <v>0</v>
      </c>
      <c r="DM737" s="424">
        <f t="shared" si="1874"/>
        <v>0</v>
      </c>
      <c r="DN737" s="424">
        <f t="shared" si="1874"/>
        <v>0</v>
      </c>
      <c r="DO737" s="424">
        <f t="shared" si="1874"/>
        <v>0</v>
      </c>
      <c r="DP737" s="424">
        <f t="shared" si="1874"/>
        <v>0</v>
      </c>
      <c r="DQ737" s="424">
        <f t="shared" si="1874"/>
        <v>0</v>
      </c>
      <c r="DR737" s="424">
        <f t="shared" si="1874"/>
        <v>0</v>
      </c>
      <c r="DS737" s="424">
        <f t="shared" si="1874"/>
        <v>0</v>
      </c>
      <c r="DT737" s="424">
        <f t="shared" si="1874"/>
        <v>0</v>
      </c>
      <c r="DU737" s="424">
        <f t="shared" si="1874"/>
        <v>0</v>
      </c>
      <c r="DV737" s="424">
        <f t="shared" si="1874"/>
        <v>0</v>
      </c>
      <c r="DW737" s="424">
        <f t="shared" si="1874"/>
        <v>3.58</v>
      </c>
      <c r="DX737" s="424">
        <f t="shared" si="1874"/>
        <v>0</v>
      </c>
      <c r="DY737" s="424">
        <f t="shared" si="1874"/>
        <v>0</v>
      </c>
      <c r="DZ737" s="424">
        <f t="shared" si="1874"/>
        <v>0</v>
      </c>
      <c r="EA737" s="424">
        <f t="shared" si="1874"/>
        <v>0</v>
      </c>
      <c r="EB737" s="424">
        <f t="shared" si="1874"/>
        <v>0</v>
      </c>
      <c r="EC737" s="424">
        <f t="shared" si="1874"/>
        <v>0</v>
      </c>
      <c r="ED737" s="424">
        <f t="shared" si="1874"/>
        <v>0</v>
      </c>
      <c r="EE737" s="424">
        <f t="shared" si="1874"/>
        <v>0</v>
      </c>
      <c r="EF737" s="424">
        <f t="shared" si="1874"/>
        <v>0</v>
      </c>
      <c r="EG737" s="424">
        <f t="shared" si="1874"/>
        <v>0</v>
      </c>
      <c r="EH737" s="424">
        <f t="shared" ref="EH737:EX737" si="1875">EH367*EH$372</f>
        <v>0</v>
      </c>
      <c r="EI737" s="424">
        <f t="shared" si="1875"/>
        <v>0</v>
      </c>
      <c r="EJ737" s="424">
        <f t="shared" si="1875"/>
        <v>0</v>
      </c>
      <c r="EK737" s="424">
        <f t="shared" si="1875"/>
        <v>0</v>
      </c>
      <c r="EL737" s="424">
        <f t="shared" si="1875"/>
        <v>0</v>
      </c>
      <c r="EM737" s="424">
        <f t="shared" si="1875"/>
        <v>0</v>
      </c>
      <c r="EN737" s="424">
        <f t="shared" si="1875"/>
        <v>0</v>
      </c>
      <c r="EO737" s="424">
        <f t="shared" si="1875"/>
        <v>0</v>
      </c>
      <c r="EP737" s="424">
        <f t="shared" si="1875"/>
        <v>0</v>
      </c>
      <c r="EQ737" s="424">
        <f t="shared" si="1875"/>
        <v>0</v>
      </c>
      <c r="ER737" s="424">
        <f t="shared" si="1875"/>
        <v>0</v>
      </c>
      <c r="ES737" s="424">
        <f t="shared" si="1875"/>
        <v>0</v>
      </c>
      <c r="ET737" s="424">
        <f t="shared" si="1875"/>
        <v>0</v>
      </c>
      <c r="EU737" s="424">
        <f t="shared" si="1875"/>
        <v>0</v>
      </c>
      <c r="EV737" s="424">
        <f t="shared" si="1875"/>
        <v>0</v>
      </c>
      <c r="EW737" s="424">
        <f t="shared" si="1875"/>
        <v>0</v>
      </c>
      <c r="EX737" s="424">
        <f t="shared" si="1875"/>
        <v>0</v>
      </c>
      <c r="EY737" s="425">
        <f t="shared" si="1776"/>
        <v>3.58</v>
      </c>
      <c r="EZ737" s="616"/>
      <c r="FA737" s="616"/>
      <c r="FB737" s="616"/>
      <c r="FC737" s="616"/>
      <c r="FD737" s="616"/>
      <c r="FE737" s="616"/>
      <c r="FF737" s="616"/>
      <c r="FG737" s="616"/>
      <c r="FH737" s="616"/>
      <c r="FI737" s="616"/>
      <c r="FJ737" s="616"/>
    </row>
    <row r="738" spans="1:166" s="1354" customFormat="1" ht="14.7" customHeight="1" x14ac:dyDescent="0.25">
      <c r="A738" s="310">
        <v>364</v>
      </c>
      <c r="B738" s="311" t="str">
        <f t="shared" ref="B738:B740" si="1876">B368</f>
        <v>Помидоры свежие в нарезке</v>
      </c>
      <c r="C738" s="483">
        <f t="shared" si="1750"/>
        <v>6.36</v>
      </c>
      <c r="D738" s="888"/>
      <c r="E738" s="888"/>
      <c r="F738" s="888"/>
      <c r="G738" s="889"/>
      <c r="H738" s="680" t="str">
        <f t="shared" ref="H738:H740" si="1877">H368</f>
        <v>ПРОМ</v>
      </c>
      <c r="I738" s="1209">
        <f t="shared" si="1658"/>
        <v>0</v>
      </c>
      <c r="J738" s="424">
        <f t="shared" ref="J738:BU738" si="1878">J368*J$372</f>
        <v>0</v>
      </c>
      <c r="K738" s="424">
        <f t="shared" si="1878"/>
        <v>0</v>
      </c>
      <c r="L738" s="424">
        <f t="shared" si="1878"/>
        <v>0</v>
      </c>
      <c r="M738" s="424">
        <f t="shared" si="1878"/>
        <v>0</v>
      </c>
      <c r="N738" s="424">
        <f t="shared" si="1878"/>
        <v>0</v>
      </c>
      <c r="O738" s="424">
        <f t="shared" si="1878"/>
        <v>0</v>
      </c>
      <c r="P738" s="424">
        <f t="shared" si="1878"/>
        <v>0</v>
      </c>
      <c r="Q738" s="424">
        <f t="shared" si="1878"/>
        <v>0</v>
      </c>
      <c r="R738" s="424">
        <f t="shared" si="1878"/>
        <v>0</v>
      </c>
      <c r="S738" s="424">
        <f t="shared" si="1878"/>
        <v>0</v>
      </c>
      <c r="T738" s="424">
        <f t="shared" si="1878"/>
        <v>0</v>
      </c>
      <c r="U738" s="424">
        <f t="shared" si="1878"/>
        <v>0</v>
      </c>
      <c r="V738" s="424">
        <f t="shared" si="1878"/>
        <v>0</v>
      </c>
      <c r="W738" s="424">
        <f t="shared" si="1878"/>
        <v>0</v>
      </c>
      <c r="X738" s="424">
        <f t="shared" si="1878"/>
        <v>0</v>
      </c>
      <c r="Y738" s="424">
        <f t="shared" si="1878"/>
        <v>0</v>
      </c>
      <c r="Z738" s="424">
        <f t="shared" si="1878"/>
        <v>0</v>
      </c>
      <c r="AA738" s="424">
        <f t="shared" si="1878"/>
        <v>0</v>
      </c>
      <c r="AB738" s="424">
        <f t="shared" si="1878"/>
        <v>0</v>
      </c>
      <c r="AC738" s="424">
        <f t="shared" si="1878"/>
        <v>0</v>
      </c>
      <c r="AD738" s="424">
        <f t="shared" si="1878"/>
        <v>0</v>
      </c>
      <c r="AE738" s="424">
        <f t="shared" si="1878"/>
        <v>0</v>
      </c>
      <c r="AF738" s="424">
        <f t="shared" si="1878"/>
        <v>0</v>
      </c>
      <c r="AG738" s="424">
        <f t="shared" si="1878"/>
        <v>0</v>
      </c>
      <c r="AH738" s="424">
        <f t="shared" si="1878"/>
        <v>0</v>
      </c>
      <c r="AI738" s="424">
        <f t="shared" si="1878"/>
        <v>0</v>
      </c>
      <c r="AJ738" s="424">
        <f t="shared" si="1878"/>
        <v>0</v>
      </c>
      <c r="AK738" s="424">
        <f t="shared" si="1878"/>
        <v>0</v>
      </c>
      <c r="AL738" s="424">
        <f t="shared" si="1878"/>
        <v>0</v>
      </c>
      <c r="AM738" s="424">
        <f t="shared" si="1878"/>
        <v>0</v>
      </c>
      <c r="AN738" s="424">
        <f t="shared" si="1878"/>
        <v>6.36</v>
      </c>
      <c r="AO738" s="424">
        <f t="shared" si="1878"/>
        <v>0</v>
      </c>
      <c r="AP738" s="424">
        <f t="shared" si="1878"/>
        <v>0</v>
      </c>
      <c r="AQ738" s="424">
        <f t="shared" si="1878"/>
        <v>0</v>
      </c>
      <c r="AR738" s="424">
        <f t="shared" si="1878"/>
        <v>0</v>
      </c>
      <c r="AS738" s="424">
        <f t="shared" si="1878"/>
        <v>0</v>
      </c>
      <c r="AT738" s="424">
        <f t="shared" si="1878"/>
        <v>0</v>
      </c>
      <c r="AU738" s="424">
        <f t="shared" si="1878"/>
        <v>0</v>
      </c>
      <c r="AV738" s="424">
        <f t="shared" si="1878"/>
        <v>0</v>
      </c>
      <c r="AW738" s="424">
        <f t="shared" si="1878"/>
        <v>0</v>
      </c>
      <c r="AX738" s="424">
        <f t="shared" si="1878"/>
        <v>0</v>
      </c>
      <c r="AY738" s="424">
        <f t="shared" si="1878"/>
        <v>0</v>
      </c>
      <c r="AZ738" s="424">
        <f t="shared" si="1878"/>
        <v>0</v>
      </c>
      <c r="BA738" s="424">
        <f t="shared" si="1878"/>
        <v>0</v>
      </c>
      <c r="BB738" s="424">
        <f t="shared" si="1878"/>
        <v>0</v>
      </c>
      <c r="BC738" s="424">
        <f t="shared" si="1878"/>
        <v>0</v>
      </c>
      <c r="BD738" s="424">
        <f t="shared" si="1878"/>
        <v>0</v>
      </c>
      <c r="BE738" s="424">
        <f t="shared" si="1878"/>
        <v>0</v>
      </c>
      <c r="BF738" s="424">
        <f t="shared" si="1878"/>
        <v>0</v>
      </c>
      <c r="BG738" s="424">
        <f t="shared" si="1878"/>
        <v>0</v>
      </c>
      <c r="BH738" s="424">
        <f t="shared" si="1878"/>
        <v>0</v>
      </c>
      <c r="BI738" s="424">
        <f t="shared" si="1878"/>
        <v>0</v>
      </c>
      <c r="BJ738" s="424">
        <f t="shared" si="1878"/>
        <v>0</v>
      </c>
      <c r="BK738" s="424">
        <f t="shared" si="1878"/>
        <v>0</v>
      </c>
      <c r="BL738" s="424">
        <f t="shared" si="1878"/>
        <v>0</v>
      </c>
      <c r="BM738" s="424">
        <f t="shared" si="1878"/>
        <v>0</v>
      </c>
      <c r="BN738" s="424">
        <f t="shared" si="1878"/>
        <v>0</v>
      </c>
      <c r="BO738" s="424">
        <f t="shared" si="1878"/>
        <v>0</v>
      </c>
      <c r="BP738" s="424">
        <f t="shared" si="1878"/>
        <v>0</v>
      </c>
      <c r="BQ738" s="424">
        <f t="shared" si="1878"/>
        <v>0</v>
      </c>
      <c r="BR738" s="424">
        <f t="shared" si="1878"/>
        <v>0</v>
      </c>
      <c r="BS738" s="424">
        <f t="shared" si="1878"/>
        <v>0</v>
      </c>
      <c r="BT738" s="424">
        <f t="shared" si="1878"/>
        <v>0</v>
      </c>
      <c r="BU738" s="424">
        <f t="shared" si="1878"/>
        <v>0</v>
      </c>
      <c r="BV738" s="424">
        <f t="shared" ref="BV738:DA738" si="1879">BV368*BV$372</f>
        <v>0</v>
      </c>
      <c r="BW738" s="424">
        <f t="shared" si="1879"/>
        <v>0</v>
      </c>
      <c r="BX738" s="424">
        <f t="shared" si="1879"/>
        <v>0</v>
      </c>
      <c r="BY738" s="424">
        <f t="shared" si="1879"/>
        <v>0</v>
      </c>
      <c r="BZ738" s="424">
        <f t="shared" si="1879"/>
        <v>0</v>
      </c>
      <c r="CA738" s="424">
        <f t="shared" si="1879"/>
        <v>0</v>
      </c>
      <c r="CB738" s="424">
        <f t="shared" si="1879"/>
        <v>0</v>
      </c>
      <c r="CC738" s="424">
        <f t="shared" si="1879"/>
        <v>0</v>
      </c>
      <c r="CD738" s="424">
        <f t="shared" si="1879"/>
        <v>0</v>
      </c>
      <c r="CE738" s="424">
        <f t="shared" si="1879"/>
        <v>0</v>
      </c>
      <c r="CF738" s="424">
        <f t="shared" si="1879"/>
        <v>0</v>
      </c>
      <c r="CG738" s="424">
        <f t="shared" si="1879"/>
        <v>0</v>
      </c>
      <c r="CH738" s="424">
        <f t="shared" si="1879"/>
        <v>0</v>
      </c>
      <c r="CI738" s="424">
        <f t="shared" si="1879"/>
        <v>0</v>
      </c>
      <c r="CJ738" s="424">
        <f t="shared" si="1879"/>
        <v>0</v>
      </c>
      <c r="CK738" s="424">
        <f t="shared" si="1879"/>
        <v>0</v>
      </c>
      <c r="CL738" s="424">
        <f t="shared" si="1879"/>
        <v>0</v>
      </c>
      <c r="CM738" s="424">
        <f t="shared" si="1879"/>
        <v>0</v>
      </c>
      <c r="CN738" s="424">
        <f t="shared" si="1879"/>
        <v>0</v>
      </c>
      <c r="CO738" s="424">
        <f t="shared" si="1879"/>
        <v>0</v>
      </c>
      <c r="CP738" s="424">
        <f t="shared" si="1879"/>
        <v>0</v>
      </c>
      <c r="CQ738" s="424">
        <f t="shared" si="1879"/>
        <v>0</v>
      </c>
      <c r="CR738" s="424">
        <f t="shared" si="1879"/>
        <v>0</v>
      </c>
      <c r="CS738" s="424">
        <f t="shared" si="1879"/>
        <v>0</v>
      </c>
      <c r="CT738" s="424">
        <f t="shared" si="1879"/>
        <v>0</v>
      </c>
      <c r="CU738" s="424">
        <f t="shared" si="1879"/>
        <v>0</v>
      </c>
      <c r="CV738" s="424">
        <f t="shared" si="1879"/>
        <v>0</v>
      </c>
      <c r="CW738" s="424">
        <f t="shared" si="1879"/>
        <v>0</v>
      </c>
      <c r="CX738" s="424">
        <f t="shared" si="1879"/>
        <v>0</v>
      </c>
      <c r="CY738" s="424">
        <f t="shared" si="1879"/>
        <v>0</v>
      </c>
      <c r="CZ738" s="424">
        <f t="shared" si="1879"/>
        <v>0</v>
      </c>
      <c r="DA738" s="424">
        <f t="shared" si="1879"/>
        <v>0</v>
      </c>
      <c r="DB738" s="424">
        <f t="shared" ref="DB738:EG738" si="1880">DB368*DB$372</f>
        <v>0</v>
      </c>
      <c r="DC738" s="424">
        <f t="shared" si="1880"/>
        <v>0</v>
      </c>
      <c r="DD738" s="424">
        <f t="shared" si="1880"/>
        <v>0</v>
      </c>
      <c r="DE738" s="424">
        <f t="shared" si="1880"/>
        <v>0</v>
      </c>
      <c r="DF738" s="424">
        <f t="shared" si="1880"/>
        <v>0</v>
      </c>
      <c r="DG738" s="424">
        <f t="shared" si="1880"/>
        <v>0</v>
      </c>
      <c r="DH738" s="424">
        <f t="shared" si="1880"/>
        <v>0</v>
      </c>
      <c r="DI738" s="424">
        <f t="shared" si="1880"/>
        <v>0</v>
      </c>
      <c r="DJ738" s="424">
        <f t="shared" si="1880"/>
        <v>0</v>
      </c>
      <c r="DK738" s="424">
        <f t="shared" si="1880"/>
        <v>0</v>
      </c>
      <c r="DL738" s="424">
        <f t="shared" si="1880"/>
        <v>0</v>
      </c>
      <c r="DM738" s="424">
        <f t="shared" si="1880"/>
        <v>0</v>
      </c>
      <c r="DN738" s="424">
        <f t="shared" si="1880"/>
        <v>0</v>
      </c>
      <c r="DO738" s="424">
        <f t="shared" si="1880"/>
        <v>0</v>
      </c>
      <c r="DP738" s="424">
        <f t="shared" si="1880"/>
        <v>0</v>
      </c>
      <c r="DQ738" s="424">
        <f t="shared" si="1880"/>
        <v>0</v>
      </c>
      <c r="DR738" s="424">
        <f t="shared" si="1880"/>
        <v>0</v>
      </c>
      <c r="DS738" s="424">
        <f t="shared" si="1880"/>
        <v>0</v>
      </c>
      <c r="DT738" s="424">
        <f t="shared" si="1880"/>
        <v>0</v>
      </c>
      <c r="DU738" s="424">
        <f t="shared" si="1880"/>
        <v>0</v>
      </c>
      <c r="DV738" s="424">
        <f t="shared" si="1880"/>
        <v>0</v>
      </c>
      <c r="DW738" s="424">
        <f t="shared" si="1880"/>
        <v>0</v>
      </c>
      <c r="DX738" s="424">
        <f t="shared" si="1880"/>
        <v>0</v>
      </c>
      <c r="DY738" s="424">
        <f t="shared" si="1880"/>
        <v>0</v>
      </c>
      <c r="DZ738" s="424">
        <f t="shared" si="1880"/>
        <v>0</v>
      </c>
      <c r="EA738" s="424">
        <f t="shared" si="1880"/>
        <v>0</v>
      </c>
      <c r="EB738" s="424">
        <f t="shared" si="1880"/>
        <v>0</v>
      </c>
      <c r="EC738" s="424">
        <f t="shared" si="1880"/>
        <v>0</v>
      </c>
      <c r="ED738" s="424">
        <f t="shared" si="1880"/>
        <v>0</v>
      </c>
      <c r="EE738" s="424">
        <f t="shared" si="1880"/>
        <v>0</v>
      </c>
      <c r="EF738" s="424">
        <f t="shared" si="1880"/>
        <v>0</v>
      </c>
      <c r="EG738" s="424">
        <f t="shared" si="1880"/>
        <v>0</v>
      </c>
      <c r="EH738" s="424">
        <f t="shared" ref="EH738:EX738" si="1881">EH368*EH$372</f>
        <v>0</v>
      </c>
      <c r="EI738" s="424">
        <f t="shared" si="1881"/>
        <v>0</v>
      </c>
      <c r="EJ738" s="424">
        <f t="shared" si="1881"/>
        <v>0</v>
      </c>
      <c r="EK738" s="424">
        <f t="shared" si="1881"/>
        <v>0</v>
      </c>
      <c r="EL738" s="424">
        <f t="shared" si="1881"/>
        <v>0</v>
      </c>
      <c r="EM738" s="424">
        <f t="shared" si="1881"/>
        <v>0</v>
      </c>
      <c r="EN738" s="424">
        <f t="shared" si="1881"/>
        <v>0</v>
      </c>
      <c r="EO738" s="424">
        <f t="shared" si="1881"/>
        <v>0</v>
      </c>
      <c r="EP738" s="424">
        <f t="shared" si="1881"/>
        <v>0</v>
      </c>
      <c r="EQ738" s="424">
        <f t="shared" si="1881"/>
        <v>0</v>
      </c>
      <c r="ER738" s="424">
        <f t="shared" si="1881"/>
        <v>0</v>
      </c>
      <c r="ES738" s="424">
        <f t="shared" si="1881"/>
        <v>0</v>
      </c>
      <c r="ET738" s="424">
        <f t="shared" si="1881"/>
        <v>0</v>
      </c>
      <c r="EU738" s="424">
        <f t="shared" si="1881"/>
        <v>0</v>
      </c>
      <c r="EV738" s="424">
        <f t="shared" si="1881"/>
        <v>0</v>
      </c>
      <c r="EW738" s="424">
        <f t="shared" si="1881"/>
        <v>0</v>
      </c>
      <c r="EX738" s="424">
        <f t="shared" si="1881"/>
        <v>0</v>
      </c>
      <c r="EY738" s="425">
        <f t="shared" si="1776"/>
        <v>6.36</v>
      </c>
      <c r="EZ738" s="616"/>
      <c r="FA738" s="616"/>
      <c r="FB738" s="616"/>
      <c r="FC738" s="616"/>
      <c r="FD738" s="616"/>
      <c r="FE738" s="616"/>
      <c r="FF738" s="616"/>
      <c r="FG738" s="616"/>
      <c r="FH738" s="616"/>
      <c r="FI738" s="616"/>
      <c r="FJ738" s="616"/>
    </row>
    <row r="739" spans="1:166" s="1354" customFormat="1" ht="14.7" customHeight="1" x14ac:dyDescent="0.25">
      <c r="A739" s="310">
        <v>365</v>
      </c>
      <c r="B739" s="311" t="str">
        <f t="shared" si="1876"/>
        <v>Огурцы свежие в нарезке</v>
      </c>
      <c r="C739" s="483">
        <f t="shared" si="1750"/>
        <v>3.6</v>
      </c>
      <c r="D739" s="888"/>
      <c r="E739" s="888"/>
      <c r="F739" s="888"/>
      <c r="G739" s="889"/>
      <c r="H739" s="680" t="str">
        <f t="shared" si="1877"/>
        <v>ПРОМ</v>
      </c>
      <c r="I739" s="1209">
        <f t="shared" si="1658"/>
        <v>0</v>
      </c>
      <c r="J739" s="424">
        <f t="shared" ref="J739:BU740" si="1882">J369*J$372</f>
        <v>0</v>
      </c>
      <c r="K739" s="424">
        <f t="shared" si="1882"/>
        <v>0</v>
      </c>
      <c r="L739" s="424">
        <f t="shared" si="1882"/>
        <v>0</v>
      </c>
      <c r="M739" s="424">
        <f t="shared" si="1882"/>
        <v>0</v>
      </c>
      <c r="N739" s="424">
        <f t="shared" si="1882"/>
        <v>0</v>
      </c>
      <c r="O739" s="424">
        <f t="shared" si="1882"/>
        <v>0</v>
      </c>
      <c r="P739" s="424">
        <f t="shared" si="1882"/>
        <v>0</v>
      </c>
      <c r="Q739" s="424">
        <f t="shared" si="1882"/>
        <v>0</v>
      </c>
      <c r="R739" s="424">
        <f t="shared" si="1882"/>
        <v>0</v>
      </c>
      <c r="S739" s="424">
        <f t="shared" si="1882"/>
        <v>0</v>
      </c>
      <c r="T739" s="424">
        <f t="shared" si="1882"/>
        <v>0</v>
      </c>
      <c r="U739" s="424">
        <f t="shared" si="1882"/>
        <v>0</v>
      </c>
      <c r="V739" s="424">
        <f t="shared" si="1882"/>
        <v>0</v>
      </c>
      <c r="W739" s="424">
        <f t="shared" si="1882"/>
        <v>0</v>
      </c>
      <c r="X739" s="424">
        <f t="shared" si="1882"/>
        <v>0</v>
      </c>
      <c r="Y739" s="424">
        <f t="shared" si="1882"/>
        <v>0</v>
      </c>
      <c r="Z739" s="424">
        <f t="shared" si="1882"/>
        <v>0</v>
      </c>
      <c r="AA739" s="424">
        <f t="shared" si="1882"/>
        <v>0</v>
      </c>
      <c r="AB739" s="424">
        <f t="shared" si="1882"/>
        <v>0</v>
      </c>
      <c r="AC739" s="424">
        <f t="shared" si="1882"/>
        <v>0</v>
      </c>
      <c r="AD739" s="424">
        <f t="shared" si="1882"/>
        <v>0</v>
      </c>
      <c r="AE739" s="424">
        <f t="shared" si="1882"/>
        <v>0</v>
      </c>
      <c r="AF739" s="424">
        <f t="shared" si="1882"/>
        <v>0</v>
      </c>
      <c r="AG739" s="424">
        <f t="shared" si="1882"/>
        <v>0</v>
      </c>
      <c r="AH739" s="424">
        <f t="shared" si="1882"/>
        <v>0</v>
      </c>
      <c r="AI739" s="424">
        <f t="shared" si="1882"/>
        <v>0</v>
      </c>
      <c r="AJ739" s="424">
        <f t="shared" si="1882"/>
        <v>0</v>
      </c>
      <c r="AK739" s="424">
        <f t="shared" si="1882"/>
        <v>0</v>
      </c>
      <c r="AL739" s="424">
        <f t="shared" si="1882"/>
        <v>0</v>
      </c>
      <c r="AM739" s="424">
        <f t="shared" si="1882"/>
        <v>0</v>
      </c>
      <c r="AN739" s="424">
        <f t="shared" si="1882"/>
        <v>0</v>
      </c>
      <c r="AO739" s="424">
        <f t="shared" si="1882"/>
        <v>3.6</v>
      </c>
      <c r="AP739" s="424">
        <f t="shared" si="1882"/>
        <v>0</v>
      </c>
      <c r="AQ739" s="424">
        <f t="shared" si="1882"/>
        <v>0</v>
      </c>
      <c r="AR739" s="424">
        <f t="shared" si="1882"/>
        <v>0</v>
      </c>
      <c r="AS739" s="424">
        <f t="shared" si="1882"/>
        <v>0</v>
      </c>
      <c r="AT739" s="424">
        <f t="shared" si="1882"/>
        <v>0</v>
      </c>
      <c r="AU739" s="424">
        <f t="shared" si="1882"/>
        <v>0</v>
      </c>
      <c r="AV739" s="424">
        <f t="shared" si="1882"/>
        <v>0</v>
      </c>
      <c r="AW739" s="424">
        <f t="shared" si="1882"/>
        <v>0</v>
      </c>
      <c r="AX739" s="424">
        <f t="shared" si="1882"/>
        <v>0</v>
      </c>
      <c r="AY739" s="424">
        <f t="shared" si="1882"/>
        <v>0</v>
      </c>
      <c r="AZ739" s="424">
        <f t="shared" si="1882"/>
        <v>0</v>
      </c>
      <c r="BA739" s="424">
        <f t="shared" si="1882"/>
        <v>0</v>
      </c>
      <c r="BB739" s="424">
        <f t="shared" si="1882"/>
        <v>0</v>
      </c>
      <c r="BC739" s="424">
        <f t="shared" si="1882"/>
        <v>0</v>
      </c>
      <c r="BD739" s="424">
        <f t="shared" si="1882"/>
        <v>0</v>
      </c>
      <c r="BE739" s="424">
        <f t="shared" si="1882"/>
        <v>0</v>
      </c>
      <c r="BF739" s="424">
        <f t="shared" si="1882"/>
        <v>0</v>
      </c>
      <c r="BG739" s="424">
        <f t="shared" si="1882"/>
        <v>0</v>
      </c>
      <c r="BH739" s="424">
        <f t="shared" si="1882"/>
        <v>0</v>
      </c>
      <c r="BI739" s="424">
        <f t="shared" si="1882"/>
        <v>0</v>
      </c>
      <c r="BJ739" s="424">
        <f t="shared" si="1882"/>
        <v>0</v>
      </c>
      <c r="BK739" s="424">
        <f t="shared" si="1882"/>
        <v>0</v>
      </c>
      <c r="BL739" s="424">
        <f t="shared" si="1882"/>
        <v>0</v>
      </c>
      <c r="BM739" s="424">
        <f t="shared" si="1882"/>
        <v>0</v>
      </c>
      <c r="BN739" s="424">
        <f t="shared" si="1882"/>
        <v>0</v>
      </c>
      <c r="BO739" s="424">
        <f t="shared" si="1882"/>
        <v>0</v>
      </c>
      <c r="BP739" s="424">
        <f t="shared" si="1882"/>
        <v>0</v>
      </c>
      <c r="BQ739" s="424">
        <f t="shared" si="1882"/>
        <v>0</v>
      </c>
      <c r="BR739" s="424">
        <f t="shared" si="1882"/>
        <v>0</v>
      </c>
      <c r="BS739" s="424">
        <f t="shared" si="1882"/>
        <v>0</v>
      </c>
      <c r="BT739" s="424">
        <f t="shared" si="1882"/>
        <v>0</v>
      </c>
      <c r="BU739" s="424">
        <f t="shared" si="1882"/>
        <v>0</v>
      </c>
      <c r="BV739" s="424">
        <f t="shared" ref="BV739:DA739" si="1883">BV369*BV$372</f>
        <v>0</v>
      </c>
      <c r="BW739" s="424">
        <f t="shared" si="1883"/>
        <v>0</v>
      </c>
      <c r="BX739" s="424">
        <f t="shared" si="1883"/>
        <v>0</v>
      </c>
      <c r="BY739" s="424">
        <f t="shared" si="1883"/>
        <v>0</v>
      </c>
      <c r="BZ739" s="424">
        <f t="shared" si="1883"/>
        <v>0</v>
      </c>
      <c r="CA739" s="424">
        <f t="shared" si="1883"/>
        <v>0</v>
      </c>
      <c r="CB739" s="424">
        <f t="shared" si="1883"/>
        <v>0</v>
      </c>
      <c r="CC739" s="424">
        <f t="shared" si="1883"/>
        <v>0</v>
      </c>
      <c r="CD739" s="424">
        <f t="shared" si="1883"/>
        <v>0</v>
      </c>
      <c r="CE739" s="424">
        <f t="shared" si="1883"/>
        <v>0</v>
      </c>
      <c r="CF739" s="424">
        <f t="shared" si="1883"/>
        <v>0</v>
      </c>
      <c r="CG739" s="424">
        <f t="shared" si="1883"/>
        <v>0</v>
      </c>
      <c r="CH739" s="424">
        <f t="shared" si="1883"/>
        <v>0</v>
      </c>
      <c r="CI739" s="424">
        <f t="shared" si="1883"/>
        <v>0</v>
      </c>
      <c r="CJ739" s="424">
        <f t="shared" si="1883"/>
        <v>0</v>
      </c>
      <c r="CK739" s="424">
        <f t="shared" si="1883"/>
        <v>0</v>
      </c>
      <c r="CL739" s="424">
        <f t="shared" si="1883"/>
        <v>0</v>
      </c>
      <c r="CM739" s="424">
        <f t="shared" si="1883"/>
        <v>0</v>
      </c>
      <c r="CN739" s="424">
        <f t="shared" si="1883"/>
        <v>0</v>
      </c>
      <c r="CO739" s="424">
        <f t="shared" si="1883"/>
        <v>0</v>
      </c>
      <c r="CP739" s="424">
        <f t="shared" si="1883"/>
        <v>0</v>
      </c>
      <c r="CQ739" s="424">
        <f t="shared" si="1883"/>
        <v>0</v>
      </c>
      <c r="CR739" s="424">
        <f t="shared" si="1883"/>
        <v>0</v>
      </c>
      <c r="CS739" s="424">
        <f t="shared" si="1883"/>
        <v>0</v>
      </c>
      <c r="CT739" s="424">
        <f t="shared" si="1883"/>
        <v>0</v>
      </c>
      <c r="CU739" s="424">
        <f t="shared" si="1883"/>
        <v>0</v>
      </c>
      <c r="CV739" s="424">
        <f t="shared" si="1883"/>
        <v>0</v>
      </c>
      <c r="CW739" s="424">
        <f t="shared" si="1883"/>
        <v>0</v>
      </c>
      <c r="CX739" s="424">
        <f t="shared" si="1883"/>
        <v>0</v>
      </c>
      <c r="CY739" s="424">
        <f t="shared" si="1883"/>
        <v>0</v>
      </c>
      <c r="CZ739" s="424">
        <f t="shared" si="1883"/>
        <v>0</v>
      </c>
      <c r="DA739" s="424">
        <f t="shared" si="1883"/>
        <v>0</v>
      </c>
      <c r="DB739" s="424">
        <f t="shared" ref="DB739:EG739" si="1884">DB369*DB$372</f>
        <v>0</v>
      </c>
      <c r="DC739" s="424">
        <f t="shared" si="1884"/>
        <v>0</v>
      </c>
      <c r="DD739" s="424">
        <f t="shared" si="1884"/>
        <v>0</v>
      </c>
      <c r="DE739" s="424">
        <f t="shared" si="1884"/>
        <v>0</v>
      </c>
      <c r="DF739" s="424">
        <f t="shared" si="1884"/>
        <v>0</v>
      </c>
      <c r="DG739" s="424">
        <f t="shared" si="1884"/>
        <v>0</v>
      </c>
      <c r="DH739" s="424">
        <f t="shared" si="1884"/>
        <v>0</v>
      </c>
      <c r="DI739" s="424">
        <f t="shared" si="1884"/>
        <v>0</v>
      </c>
      <c r="DJ739" s="424">
        <f t="shared" si="1884"/>
        <v>0</v>
      </c>
      <c r="DK739" s="424">
        <f t="shared" si="1884"/>
        <v>0</v>
      </c>
      <c r="DL739" s="424">
        <f t="shared" si="1884"/>
        <v>0</v>
      </c>
      <c r="DM739" s="424">
        <f t="shared" si="1884"/>
        <v>0</v>
      </c>
      <c r="DN739" s="424">
        <f t="shared" si="1884"/>
        <v>0</v>
      </c>
      <c r="DO739" s="424">
        <f t="shared" si="1884"/>
        <v>0</v>
      </c>
      <c r="DP739" s="424">
        <f t="shared" si="1884"/>
        <v>0</v>
      </c>
      <c r="DQ739" s="424">
        <f t="shared" si="1884"/>
        <v>0</v>
      </c>
      <c r="DR739" s="424">
        <f t="shared" si="1884"/>
        <v>0</v>
      </c>
      <c r="DS739" s="424">
        <f t="shared" si="1884"/>
        <v>0</v>
      </c>
      <c r="DT739" s="424">
        <f t="shared" si="1884"/>
        <v>0</v>
      </c>
      <c r="DU739" s="424">
        <f t="shared" si="1884"/>
        <v>0</v>
      </c>
      <c r="DV739" s="424">
        <f t="shared" si="1884"/>
        <v>0</v>
      </c>
      <c r="DW739" s="424">
        <f t="shared" si="1884"/>
        <v>0</v>
      </c>
      <c r="DX739" s="424">
        <f t="shared" si="1884"/>
        <v>0</v>
      </c>
      <c r="DY739" s="424">
        <f t="shared" si="1884"/>
        <v>0</v>
      </c>
      <c r="DZ739" s="424">
        <f t="shared" si="1884"/>
        <v>0</v>
      </c>
      <c r="EA739" s="424">
        <f t="shared" si="1884"/>
        <v>0</v>
      </c>
      <c r="EB739" s="424">
        <f t="shared" si="1884"/>
        <v>0</v>
      </c>
      <c r="EC739" s="424">
        <f t="shared" si="1884"/>
        <v>0</v>
      </c>
      <c r="ED739" s="424">
        <f t="shared" si="1884"/>
        <v>0</v>
      </c>
      <c r="EE739" s="424">
        <f t="shared" si="1884"/>
        <v>0</v>
      </c>
      <c r="EF739" s="424">
        <f t="shared" si="1884"/>
        <v>0</v>
      </c>
      <c r="EG739" s="424">
        <f t="shared" si="1884"/>
        <v>0</v>
      </c>
      <c r="EH739" s="424">
        <f t="shared" ref="EH739:EX739" si="1885">EH369*EH$372</f>
        <v>0</v>
      </c>
      <c r="EI739" s="424">
        <f t="shared" si="1885"/>
        <v>0</v>
      </c>
      <c r="EJ739" s="424">
        <f t="shared" si="1885"/>
        <v>0</v>
      </c>
      <c r="EK739" s="424">
        <f t="shared" si="1885"/>
        <v>0</v>
      </c>
      <c r="EL739" s="424">
        <f t="shared" si="1885"/>
        <v>0</v>
      </c>
      <c r="EM739" s="424">
        <f t="shared" si="1885"/>
        <v>0</v>
      </c>
      <c r="EN739" s="424">
        <f t="shared" si="1885"/>
        <v>0</v>
      </c>
      <c r="EO739" s="424">
        <f t="shared" si="1885"/>
        <v>0</v>
      </c>
      <c r="EP739" s="424">
        <f t="shared" si="1885"/>
        <v>0</v>
      </c>
      <c r="EQ739" s="424">
        <f t="shared" si="1885"/>
        <v>0</v>
      </c>
      <c r="ER739" s="424">
        <f t="shared" si="1885"/>
        <v>0</v>
      </c>
      <c r="ES739" s="424">
        <f t="shared" si="1885"/>
        <v>0</v>
      </c>
      <c r="ET739" s="424">
        <f t="shared" si="1885"/>
        <v>0</v>
      </c>
      <c r="EU739" s="424">
        <f t="shared" si="1885"/>
        <v>0</v>
      </c>
      <c r="EV739" s="424">
        <f t="shared" si="1885"/>
        <v>0</v>
      </c>
      <c r="EW739" s="424">
        <f t="shared" si="1885"/>
        <v>0</v>
      </c>
      <c r="EX739" s="424">
        <f t="shared" si="1885"/>
        <v>0</v>
      </c>
      <c r="EY739" s="425">
        <f t="shared" si="1776"/>
        <v>3.6</v>
      </c>
      <c r="EZ739" s="616"/>
      <c r="FA739" s="616"/>
      <c r="FB739" s="616"/>
      <c r="FC739" s="616"/>
      <c r="FD739" s="616"/>
      <c r="FE739" s="616"/>
      <c r="FF739" s="616"/>
      <c r="FG739" s="616"/>
      <c r="FH739" s="616"/>
      <c r="FI739" s="616"/>
      <c r="FJ739" s="616"/>
    </row>
    <row r="740" spans="1:166" s="1354" customFormat="1" ht="14.7" customHeight="1" x14ac:dyDescent="0.25">
      <c r="A740" s="310">
        <v>366</v>
      </c>
      <c r="B740" s="311" t="str">
        <f t="shared" si="1876"/>
        <v>Апельсин</v>
      </c>
      <c r="C740" s="483">
        <f t="shared" si="1750"/>
        <v>18.600000000000001</v>
      </c>
      <c r="D740" s="888"/>
      <c r="E740" s="888"/>
      <c r="F740" s="888"/>
      <c r="G740" s="889"/>
      <c r="H740" s="680" t="str">
        <f t="shared" si="1877"/>
        <v>ПРОМ</v>
      </c>
      <c r="I740" s="1209">
        <f t="shared" si="1658"/>
        <v>0</v>
      </c>
      <c r="J740" s="424">
        <f t="shared" si="1882"/>
        <v>0</v>
      </c>
      <c r="K740" s="424">
        <f t="shared" si="1882"/>
        <v>0</v>
      </c>
      <c r="L740" s="424">
        <f t="shared" si="1882"/>
        <v>0</v>
      </c>
      <c r="M740" s="424">
        <f t="shared" si="1882"/>
        <v>0</v>
      </c>
      <c r="N740" s="424">
        <f t="shared" si="1882"/>
        <v>0</v>
      </c>
      <c r="O740" s="424">
        <f t="shared" si="1882"/>
        <v>0</v>
      </c>
      <c r="P740" s="424">
        <f t="shared" si="1882"/>
        <v>0</v>
      </c>
      <c r="Q740" s="424">
        <f t="shared" si="1882"/>
        <v>0</v>
      </c>
      <c r="R740" s="424">
        <f t="shared" si="1882"/>
        <v>0</v>
      </c>
      <c r="S740" s="424">
        <f t="shared" si="1882"/>
        <v>0</v>
      </c>
      <c r="T740" s="424">
        <f t="shared" si="1882"/>
        <v>0</v>
      </c>
      <c r="U740" s="424">
        <f t="shared" si="1882"/>
        <v>0</v>
      </c>
      <c r="V740" s="424">
        <f t="shared" si="1882"/>
        <v>0</v>
      </c>
      <c r="W740" s="424">
        <f t="shared" si="1882"/>
        <v>0</v>
      </c>
      <c r="X740" s="424">
        <f t="shared" si="1882"/>
        <v>0</v>
      </c>
      <c r="Y740" s="424">
        <f t="shared" si="1882"/>
        <v>0</v>
      </c>
      <c r="Z740" s="424">
        <f t="shared" si="1882"/>
        <v>0</v>
      </c>
      <c r="AA740" s="424">
        <f t="shared" si="1882"/>
        <v>0</v>
      </c>
      <c r="AB740" s="424">
        <f t="shared" si="1882"/>
        <v>0</v>
      </c>
      <c r="AC740" s="424">
        <f t="shared" si="1882"/>
        <v>0</v>
      </c>
      <c r="AD740" s="424">
        <f t="shared" si="1882"/>
        <v>0</v>
      </c>
      <c r="AE740" s="424">
        <f t="shared" si="1882"/>
        <v>0</v>
      </c>
      <c r="AF740" s="424">
        <f t="shared" si="1882"/>
        <v>0</v>
      </c>
      <c r="AG740" s="424">
        <f t="shared" si="1882"/>
        <v>0</v>
      </c>
      <c r="AH740" s="424">
        <f t="shared" si="1882"/>
        <v>0</v>
      </c>
      <c r="AI740" s="424">
        <f t="shared" si="1882"/>
        <v>0</v>
      </c>
      <c r="AJ740" s="424">
        <f t="shared" si="1882"/>
        <v>0</v>
      </c>
      <c r="AK740" s="424">
        <f t="shared" si="1882"/>
        <v>0</v>
      </c>
      <c r="AL740" s="424">
        <f t="shared" si="1882"/>
        <v>0</v>
      </c>
      <c r="AM740" s="424">
        <f t="shared" si="1882"/>
        <v>0</v>
      </c>
      <c r="AN740" s="424">
        <f t="shared" si="1882"/>
        <v>0</v>
      </c>
      <c r="AO740" s="424">
        <f t="shared" si="1882"/>
        <v>0</v>
      </c>
      <c r="AP740" s="424">
        <f t="shared" si="1882"/>
        <v>0</v>
      </c>
      <c r="AQ740" s="424">
        <f t="shared" si="1882"/>
        <v>0</v>
      </c>
      <c r="AR740" s="424">
        <f t="shared" si="1882"/>
        <v>0</v>
      </c>
      <c r="AS740" s="424">
        <f t="shared" si="1882"/>
        <v>0</v>
      </c>
      <c r="AT740" s="424">
        <f t="shared" si="1882"/>
        <v>0</v>
      </c>
      <c r="AU740" s="424">
        <f t="shared" si="1882"/>
        <v>0</v>
      </c>
      <c r="AV740" s="424">
        <f t="shared" si="1882"/>
        <v>0</v>
      </c>
      <c r="AW740" s="424">
        <f t="shared" si="1882"/>
        <v>0</v>
      </c>
      <c r="AX740" s="424">
        <f t="shared" si="1882"/>
        <v>0</v>
      </c>
      <c r="AY740" s="424">
        <f t="shared" si="1882"/>
        <v>0</v>
      </c>
      <c r="AZ740" s="424">
        <f t="shared" si="1882"/>
        <v>0</v>
      </c>
      <c r="BA740" s="424">
        <f t="shared" si="1882"/>
        <v>0</v>
      </c>
      <c r="BB740" s="424">
        <f t="shared" si="1882"/>
        <v>0</v>
      </c>
      <c r="BC740" s="424">
        <f t="shared" si="1882"/>
        <v>0</v>
      </c>
      <c r="BD740" s="424">
        <f t="shared" si="1882"/>
        <v>0</v>
      </c>
      <c r="BE740" s="424">
        <f t="shared" si="1882"/>
        <v>0</v>
      </c>
      <c r="BF740" s="424">
        <f t="shared" si="1882"/>
        <v>0</v>
      </c>
      <c r="BG740" s="424">
        <f t="shared" si="1882"/>
        <v>0</v>
      </c>
      <c r="BH740" s="424">
        <f t="shared" si="1882"/>
        <v>0</v>
      </c>
      <c r="BI740" s="424">
        <f t="shared" si="1882"/>
        <v>0</v>
      </c>
      <c r="BJ740" s="424">
        <f t="shared" si="1882"/>
        <v>0</v>
      </c>
      <c r="BK740" s="424">
        <f t="shared" si="1882"/>
        <v>18.600000000000001</v>
      </c>
      <c r="BL740" s="424">
        <f t="shared" si="1882"/>
        <v>0</v>
      </c>
      <c r="BM740" s="424">
        <f t="shared" si="1882"/>
        <v>0</v>
      </c>
      <c r="BN740" s="424">
        <f t="shared" si="1882"/>
        <v>0</v>
      </c>
      <c r="BO740" s="424">
        <f t="shared" si="1882"/>
        <v>0</v>
      </c>
      <c r="BP740" s="424">
        <f t="shared" si="1882"/>
        <v>0</v>
      </c>
      <c r="BQ740" s="424">
        <f t="shared" si="1882"/>
        <v>0</v>
      </c>
      <c r="BR740" s="424">
        <f t="shared" si="1882"/>
        <v>0</v>
      </c>
      <c r="BS740" s="424">
        <f t="shared" si="1882"/>
        <v>0</v>
      </c>
      <c r="BT740" s="424">
        <f t="shared" si="1882"/>
        <v>0</v>
      </c>
      <c r="BU740" s="424">
        <f t="shared" si="1882"/>
        <v>0</v>
      </c>
      <c r="BV740" s="424">
        <f t="shared" ref="BV740:EG740" si="1886">BV370*BV$372</f>
        <v>0</v>
      </c>
      <c r="BW740" s="424">
        <f t="shared" si="1886"/>
        <v>0</v>
      </c>
      <c r="BX740" s="424">
        <f t="shared" si="1886"/>
        <v>0</v>
      </c>
      <c r="BY740" s="424">
        <f t="shared" si="1886"/>
        <v>0</v>
      </c>
      <c r="BZ740" s="424">
        <f t="shared" si="1886"/>
        <v>0</v>
      </c>
      <c r="CA740" s="424">
        <f t="shared" si="1886"/>
        <v>0</v>
      </c>
      <c r="CB740" s="424">
        <f t="shared" si="1886"/>
        <v>0</v>
      </c>
      <c r="CC740" s="424">
        <f t="shared" si="1886"/>
        <v>0</v>
      </c>
      <c r="CD740" s="424">
        <f t="shared" si="1886"/>
        <v>0</v>
      </c>
      <c r="CE740" s="424">
        <f t="shared" si="1886"/>
        <v>0</v>
      </c>
      <c r="CF740" s="424">
        <f t="shared" si="1886"/>
        <v>0</v>
      </c>
      <c r="CG740" s="424">
        <f t="shared" si="1886"/>
        <v>0</v>
      </c>
      <c r="CH740" s="424">
        <f t="shared" si="1886"/>
        <v>0</v>
      </c>
      <c r="CI740" s="424">
        <f t="shared" si="1886"/>
        <v>0</v>
      </c>
      <c r="CJ740" s="424">
        <f t="shared" si="1886"/>
        <v>0</v>
      </c>
      <c r="CK740" s="424">
        <f t="shared" si="1886"/>
        <v>0</v>
      </c>
      <c r="CL740" s="424">
        <f t="shared" si="1886"/>
        <v>0</v>
      </c>
      <c r="CM740" s="424">
        <f t="shared" si="1886"/>
        <v>0</v>
      </c>
      <c r="CN740" s="424">
        <f t="shared" si="1886"/>
        <v>0</v>
      </c>
      <c r="CO740" s="424">
        <f t="shared" si="1886"/>
        <v>0</v>
      </c>
      <c r="CP740" s="424">
        <f t="shared" si="1886"/>
        <v>0</v>
      </c>
      <c r="CQ740" s="424">
        <f t="shared" si="1886"/>
        <v>0</v>
      </c>
      <c r="CR740" s="424">
        <f t="shared" si="1886"/>
        <v>0</v>
      </c>
      <c r="CS740" s="424">
        <f t="shared" si="1886"/>
        <v>0</v>
      </c>
      <c r="CT740" s="424">
        <f t="shared" si="1886"/>
        <v>0</v>
      </c>
      <c r="CU740" s="424">
        <f t="shared" si="1886"/>
        <v>0</v>
      </c>
      <c r="CV740" s="424">
        <f t="shared" si="1886"/>
        <v>0</v>
      </c>
      <c r="CW740" s="424">
        <f t="shared" si="1886"/>
        <v>0</v>
      </c>
      <c r="CX740" s="424">
        <f t="shared" si="1886"/>
        <v>0</v>
      </c>
      <c r="CY740" s="424">
        <f t="shared" si="1886"/>
        <v>0</v>
      </c>
      <c r="CZ740" s="424">
        <f t="shared" si="1886"/>
        <v>0</v>
      </c>
      <c r="DA740" s="424">
        <f t="shared" si="1886"/>
        <v>0</v>
      </c>
      <c r="DB740" s="424">
        <f t="shared" si="1886"/>
        <v>0</v>
      </c>
      <c r="DC740" s="424">
        <f t="shared" si="1886"/>
        <v>0</v>
      </c>
      <c r="DD740" s="424">
        <f t="shared" si="1886"/>
        <v>0</v>
      </c>
      <c r="DE740" s="424">
        <f t="shared" si="1886"/>
        <v>0</v>
      </c>
      <c r="DF740" s="424">
        <f t="shared" si="1886"/>
        <v>0</v>
      </c>
      <c r="DG740" s="424">
        <f t="shared" si="1886"/>
        <v>0</v>
      </c>
      <c r="DH740" s="424">
        <f t="shared" si="1886"/>
        <v>0</v>
      </c>
      <c r="DI740" s="424">
        <f t="shared" si="1886"/>
        <v>0</v>
      </c>
      <c r="DJ740" s="424">
        <f t="shared" si="1886"/>
        <v>0</v>
      </c>
      <c r="DK740" s="424">
        <f t="shared" si="1886"/>
        <v>0</v>
      </c>
      <c r="DL740" s="424">
        <f t="shared" si="1886"/>
        <v>0</v>
      </c>
      <c r="DM740" s="424">
        <f t="shared" si="1886"/>
        <v>0</v>
      </c>
      <c r="DN740" s="424">
        <f t="shared" si="1886"/>
        <v>0</v>
      </c>
      <c r="DO740" s="424">
        <f t="shared" si="1886"/>
        <v>0</v>
      </c>
      <c r="DP740" s="424">
        <f t="shared" si="1886"/>
        <v>0</v>
      </c>
      <c r="DQ740" s="424">
        <f t="shared" si="1886"/>
        <v>0</v>
      </c>
      <c r="DR740" s="424">
        <f t="shared" si="1886"/>
        <v>0</v>
      </c>
      <c r="DS740" s="424">
        <f t="shared" si="1886"/>
        <v>0</v>
      </c>
      <c r="DT740" s="424">
        <f t="shared" si="1886"/>
        <v>0</v>
      </c>
      <c r="DU740" s="424">
        <f t="shared" si="1886"/>
        <v>0</v>
      </c>
      <c r="DV740" s="424">
        <f t="shared" si="1886"/>
        <v>0</v>
      </c>
      <c r="DW740" s="424">
        <f t="shared" si="1886"/>
        <v>0</v>
      </c>
      <c r="DX740" s="424">
        <f t="shared" si="1886"/>
        <v>0</v>
      </c>
      <c r="DY740" s="424">
        <f t="shared" si="1886"/>
        <v>0</v>
      </c>
      <c r="DZ740" s="424">
        <f t="shared" si="1886"/>
        <v>0</v>
      </c>
      <c r="EA740" s="424">
        <f t="shared" si="1886"/>
        <v>0</v>
      </c>
      <c r="EB740" s="424">
        <f t="shared" si="1886"/>
        <v>0</v>
      </c>
      <c r="EC740" s="424">
        <f t="shared" si="1886"/>
        <v>0</v>
      </c>
      <c r="ED740" s="424">
        <f t="shared" si="1886"/>
        <v>0</v>
      </c>
      <c r="EE740" s="424">
        <f t="shared" si="1886"/>
        <v>0</v>
      </c>
      <c r="EF740" s="424">
        <f t="shared" si="1886"/>
        <v>0</v>
      </c>
      <c r="EG740" s="424">
        <f t="shared" si="1886"/>
        <v>0</v>
      </c>
      <c r="EH740" s="424">
        <f t="shared" ref="EH740:EX740" si="1887">EH370*EH$372</f>
        <v>0</v>
      </c>
      <c r="EI740" s="424">
        <f t="shared" si="1887"/>
        <v>0</v>
      </c>
      <c r="EJ740" s="424">
        <f t="shared" si="1887"/>
        <v>0</v>
      </c>
      <c r="EK740" s="424">
        <f t="shared" si="1887"/>
        <v>0</v>
      </c>
      <c r="EL740" s="424">
        <f t="shared" si="1887"/>
        <v>0</v>
      </c>
      <c r="EM740" s="424">
        <f t="shared" si="1887"/>
        <v>0</v>
      </c>
      <c r="EN740" s="424">
        <f t="shared" si="1887"/>
        <v>0</v>
      </c>
      <c r="EO740" s="424">
        <f t="shared" si="1887"/>
        <v>0</v>
      </c>
      <c r="EP740" s="424">
        <f t="shared" si="1887"/>
        <v>0</v>
      </c>
      <c r="EQ740" s="424">
        <f t="shared" si="1887"/>
        <v>0</v>
      </c>
      <c r="ER740" s="424">
        <f t="shared" si="1887"/>
        <v>0</v>
      </c>
      <c r="ES740" s="424">
        <f t="shared" si="1887"/>
        <v>0</v>
      </c>
      <c r="ET740" s="424">
        <f t="shared" si="1887"/>
        <v>0</v>
      </c>
      <c r="EU740" s="424">
        <f t="shared" si="1887"/>
        <v>0</v>
      </c>
      <c r="EV740" s="424">
        <f t="shared" si="1887"/>
        <v>0</v>
      </c>
      <c r="EW740" s="424">
        <f t="shared" si="1887"/>
        <v>0</v>
      </c>
      <c r="EX740" s="424">
        <f t="shared" si="1887"/>
        <v>0</v>
      </c>
      <c r="EY740" s="425">
        <f t="shared" si="1776"/>
        <v>18.600000000000001</v>
      </c>
      <c r="EZ740" s="616"/>
      <c r="FA740" s="616"/>
      <c r="FB740" s="616"/>
      <c r="FC740" s="616"/>
      <c r="FD740" s="616"/>
      <c r="FE740" s="616"/>
      <c r="FF740" s="616"/>
      <c r="FG740" s="616"/>
      <c r="FH740" s="616"/>
      <c r="FI740" s="616"/>
      <c r="FJ740" s="616"/>
    </row>
    <row r="741" spans="1:166" ht="14.7" customHeight="1" x14ac:dyDescent="0.25">
      <c r="A741" s="254"/>
      <c r="B741" s="254"/>
      <c r="C741" s="1218">
        <f>SUM(C375:C736)</f>
        <v>9479.61</v>
      </c>
      <c r="D741" s="1218">
        <f t="shared" ref="D741:BP741" si="1888">SUM(D375:D736)</f>
        <v>0</v>
      </c>
      <c r="E741" s="1218">
        <f t="shared" si="1888"/>
        <v>0</v>
      </c>
      <c r="F741" s="1218">
        <f t="shared" si="1888"/>
        <v>0</v>
      </c>
      <c r="G741" s="1218">
        <f t="shared" si="1888"/>
        <v>0</v>
      </c>
      <c r="H741" s="681"/>
      <c r="I741" s="1105">
        <f t="shared" ref="I741" si="1889">SUM(I375:I736)</f>
        <v>-0.33</v>
      </c>
      <c r="J741" s="1218">
        <f t="shared" si="1888"/>
        <v>2747.93</v>
      </c>
      <c r="K741" s="1218">
        <f t="shared" si="1888"/>
        <v>109.83</v>
      </c>
      <c r="L741" s="1218">
        <f t="shared" si="1888"/>
        <v>233.65</v>
      </c>
      <c r="M741" s="1218">
        <f t="shared" si="1888"/>
        <v>77.44</v>
      </c>
      <c r="N741" s="1218">
        <f t="shared" si="1888"/>
        <v>47.14</v>
      </c>
      <c r="O741" s="1218">
        <f t="shared" si="1888"/>
        <v>27.2</v>
      </c>
      <c r="P741" s="1218">
        <f t="shared" si="1888"/>
        <v>3.42</v>
      </c>
      <c r="Q741" s="1218">
        <f t="shared" si="1888"/>
        <v>438.41</v>
      </c>
      <c r="R741" s="1218">
        <f t="shared" si="1888"/>
        <v>29.6</v>
      </c>
      <c r="S741" s="1218">
        <f t="shared" si="1888"/>
        <v>78.75</v>
      </c>
      <c r="T741" s="1218">
        <f t="shared" si="1888"/>
        <v>9.36</v>
      </c>
      <c r="U741" s="1218">
        <f t="shared" si="1888"/>
        <v>483.29</v>
      </c>
      <c r="V741" s="1218">
        <f t="shared" si="1888"/>
        <v>625.14</v>
      </c>
      <c r="W741" s="1218">
        <f t="shared" si="1888"/>
        <v>120.56</v>
      </c>
      <c r="X741" s="1218">
        <f t="shared" si="1888"/>
        <v>528.17999999999995</v>
      </c>
      <c r="Y741" s="1218">
        <f t="shared" si="1888"/>
        <v>397.93</v>
      </c>
      <c r="Z741" s="1218">
        <f t="shared" si="1888"/>
        <v>77</v>
      </c>
      <c r="AA741" s="1218">
        <f t="shared" si="1888"/>
        <v>10.8</v>
      </c>
      <c r="AB741" s="1218">
        <f t="shared" si="1888"/>
        <v>12.5</v>
      </c>
      <c r="AC741" s="1218">
        <f t="shared" si="1888"/>
        <v>66</v>
      </c>
      <c r="AD741" s="1218">
        <f t="shared" si="1888"/>
        <v>4.8</v>
      </c>
      <c r="AE741" s="1218">
        <f t="shared" si="1888"/>
        <v>255.41</v>
      </c>
      <c r="AF741" s="1218">
        <f t="shared" si="1888"/>
        <v>142.35</v>
      </c>
      <c r="AG741" s="1218">
        <f t="shared" si="1888"/>
        <v>1.18</v>
      </c>
      <c r="AH741" s="1218">
        <f t="shared" si="1888"/>
        <v>306.42</v>
      </c>
      <c r="AI741" s="1218">
        <f t="shared" si="1888"/>
        <v>5.44</v>
      </c>
      <c r="AJ741" s="1218">
        <f t="shared" si="1888"/>
        <v>3.78</v>
      </c>
      <c r="AK741" s="1218">
        <f t="shared" si="1888"/>
        <v>132.52000000000001</v>
      </c>
      <c r="AL741" s="1218">
        <f t="shared" si="1888"/>
        <v>41.42</v>
      </c>
      <c r="AM741" s="1218">
        <f t="shared" si="1888"/>
        <v>0.2</v>
      </c>
      <c r="AN741" s="1218">
        <f t="shared" si="1888"/>
        <v>41.65</v>
      </c>
      <c r="AO741" s="1218">
        <f t="shared" si="1888"/>
        <v>26.66</v>
      </c>
      <c r="AP741" s="1218">
        <f t="shared" si="1888"/>
        <v>31.96</v>
      </c>
      <c r="AQ741" s="1218">
        <f t="shared" si="1888"/>
        <v>57.59</v>
      </c>
      <c r="AR741" s="1218">
        <f t="shared" si="1888"/>
        <v>0.88</v>
      </c>
      <c r="AS741" s="1218">
        <f t="shared" si="1888"/>
        <v>20</v>
      </c>
      <c r="AT741" s="1218">
        <f t="shared" si="1888"/>
        <v>19.48</v>
      </c>
      <c r="AU741" s="1218">
        <f t="shared" si="1888"/>
        <v>57.09</v>
      </c>
      <c r="AV741" s="1218">
        <f t="shared" si="1888"/>
        <v>37.64</v>
      </c>
      <c r="AW741" s="1218">
        <f t="shared" si="1888"/>
        <v>12.29</v>
      </c>
      <c r="AX741" s="1218">
        <f t="shared" si="1888"/>
        <v>18.079999999999998</v>
      </c>
      <c r="AY741" s="1218">
        <f t="shared" si="1888"/>
        <v>0</v>
      </c>
      <c r="AZ741" s="1218">
        <f t="shared" si="1888"/>
        <v>1.44</v>
      </c>
      <c r="BA741" s="1218">
        <f t="shared" si="1888"/>
        <v>1.89</v>
      </c>
      <c r="BB741" s="1218">
        <f t="shared" si="1888"/>
        <v>2.2200000000000002</v>
      </c>
      <c r="BC741" s="1218">
        <f t="shared" si="1888"/>
        <v>2.29</v>
      </c>
      <c r="BD741" s="1218">
        <f t="shared" si="1888"/>
        <v>16.8</v>
      </c>
      <c r="BE741" s="1218">
        <f t="shared" si="1888"/>
        <v>18.88</v>
      </c>
      <c r="BF741" s="1218">
        <f t="shared" si="1888"/>
        <v>7.5</v>
      </c>
      <c r="BG741" s="1218">
        <f t="shared" si="1888"/>
        <v>10.55</v>
      </c>
      <c r="BH741" s="1218">
        <f t="shared" si="1888"/>
        <v>86.75</v>
      </c>
      <c r="BI741" s="1218">
        <f t="shared" si="1888"/>
        <v>6.95</v>
      </c>
      <c r="BJ741" s="1218">
        <f t="shared" si="1888"/>
        <v>6.5</v>
      </c>
      <c r="BK741" s="1218">
        <f t="shared" si="1888"/>
        <v>28.35</v>
      </c>
      <c r="BL741" s="1218">
        <f t="shared" si="1888"/>
        <v>24.91</v>
      </c>
      <c r="BM741" s="1218">
        <f t="shared" si="1888"/>
        <v>29.9</v>
      </c>
      <c r="BN741" s="1218">
        <f t="shared" si="1888"/>
        <v>60</v>
      </c>
      <c r="BO741" s="1218">
        <f t="shared" si="1888"/>
        <v>134.21</v>
      </c>
      <c r="BP741" s="1218">
        <f t="shared" si="1888"/>
        <v>18</v>
      </c>
      <c r="BQ741" s="1218">
        <f t="shared" ref="BQ741:EB741" si="1890">SUM(BQ375:BQ736)</f>
        <v>26.25</v>
      </c>
      <c r="BR741" s="1218">
        <f t="shared" si="1890"/>
        <v>70.489999999999995</v>
      </c>
      <c r="BS741" s="1218">
        <f t="shared" si="1890"/>
        <v>226.01</v>
      </c>
      <c r="BT741" s="1218">
        <f t="shared" si="1890"/>
        <v>38.49</v>
      </c>
      <c r="BU741" s="1218">
        <f t="shared" si="1890"/>
        <v>8.2100000000000009</v>
      </c>
      <c r="BV741" s="1218">
        <f t="shared" si="1890"/>
        <v>9.92</v>
      </c>
      <c r="BW741" s="1218">
        <f t="shared" si="1890"/>
        <v>2.98</v>
      </c>
      <c r="BX741" s="1218">
        <f t="shared" si="1890"/>
        <v>2.42</v>
      </c>
      <c r="BY741" s="1218">
        <f t="shared" si="1890"/>
        <v>3.48</v>
      </c>
      <c r="BZ741" s="1218">
        <f t="shared" si="1890"/>
        <v>0.54</v>
      </c>
      <c r="CA741" s="1218">
        <f t="shared" si="1890"/>
        <v>22.46</v>
      </c>
      <c r="CB741" s="1218">
        <f t="shared" si="1890"/>
        <v>68.19</v>
      </c>
      <c r="CC741" s="1218">
        <f t="shared" si="1890"/>
        <v>1.64</v>
      </c>
      <c r="CD741" s="1218">
        <f t="shared" si="1890"/>
        <v>9.9</v>
      </c>
      <c r="CE741" s="1218">
        <f t="shared" si="1890"/>
        <v>34.33</v>
      </c>
      <c r="CF741" s="1218">
        <f t="shared" si="1890"/>
        <v>108.56</v>
      </c>
      <c r="CG741" s="1218">
        <f t="shared" si="1890"/>
        <v>33.700000000000003</v>
      </c>
      <c r="CH741" s="1218">
        <f t="shared" si="1890"/>
        <v>0.5</v>
      </c>
      <c r="CI741" s="1218">
        <f t="shared" si="1890"/>
        <v>4.8099999999999996</v>
      </c>
      <c r="CJ741" s="1218">
        <f t="shared" si="1890"/>
        <v>0</v>
      </c>
      <c r="CK741" s="1218">
        <f t="shared" si="1890"/>
        <v>0.03</v>
      </c>
      <c r="CL741" s="1218">
        <f t="shared" si="1890"/>
        <v>47.61</v>
      </c>
      <c r="CM741" s="1218">
        <f t="shared" si="1890"/>
        <v>24.17</v>
      </c>
      <c r="CN741" s="1218">
        <f t="shared" si="1890"/>
        <v>5</v>
      </c>
      <c r="CO741" s="1218">
        <f t="shared" si="1890"/>
        <v>4.3600000000000003</v>
      </c>
      <c r="CP741" s="1218">
        <f t="shared" si="1890"/>
        <v>1.5</v>
      </c>
      <c r="CQ741" s="1218">
        <f t="shared" si="1890"/>
        <v>5.33</v>
      </c>
      <c r="CR741" s="1218">
        <f t="shared" si="1890"/>
        <v>6.22</v>
      </c>
      <c r="CS741" s="1218">
        <f t="shared" si="1890"/>
        <v>5.1100000000000003</v>
      </c>
      <c r="CT741" s="1218">
        <f t="shared" si="1890"/>
        <v>25.56</v>
      </c>
      <c r="CU741" s="1218">
        <f t="shared" si="1890"/>
        <v>6.6</v>
      </c>
      <c r="CV741" s="1218">
        <f t="shared" si="1890"/>
        <v>11.09</v>
      </c>
      <c r="CW741" s="1218">
        <f t="shared" si="1890"/>
        <v>4.4800000000000004</v>
      </c>
      <c r="CX741" s="1218">
        <f t="shared" si="1890"/>
        <v>3.23</v>
      </c>
      <c r="CY741" s="1218">
        <f t="shared" si="1890"/>
        <v>14</v>
      </c>
      <c r="CZ741" s="1218">
        <f t="shared" si="1890"/>
        <v>239.79</v>
      </c>
      <c r="DA741" s="1218">
        <f t="shared" si="1890"/>
        <v>0.11</v>
      </c>
      <c r="DB741" s="1218">
        <f t="shared" si="1890"/>
        <v>0</v>
      </c>
      <c r="DC741" s="1218">
        <f t="shared" si="1890"/>
        <v>14.41</v>
      </c>
      <c r="DD741" s="1218">
        <f t="shared" si="1890"/>
        <v>12.16</v>
      </c>
      <c r="DE741" s="1218">
        <f t="shared" si="1890"/>
        <v>2.6</v>
      </c>
      <c r="DF741" s="1218">
        <f t="shared" si="1890"/>
        <v>114.62</v>
      </c>
      <c r="DG741" s="1218">
        <f t="shared" si="1890"/>
        <v>3.6</v>
      </c>
      <c r="DH741" s="1218">
        <f t="shared" si="1890"/>
        <v>2.8</v>
      </c>
      <c r="DI741" s="1218">
        <f t="shared" si="1890"/>
        <v>0.9</v>
      </c>
      <c r="DJ741" s="1218">
        <f t="shared" si="1890"/>
        <v>1.21</v>
      </c>
      <c r="DK741" s="1218">
        <f t="shared" si="1890"/>
        <v>0</v>
      </c>
      <c r="DL741" s="1218">
        <f t="shared" si="1890"/>
        <v>1.01</v>
      </c>
      <c r="DM741" s="1218">
        <f t="shared" si="1890"/>
        <v>6.94</v>
      </c>
      <c r="DN741" s="1218">
        <f t="shared" si="1890"/>
        <v>2.5299999999999998</v>
      </c>
      <c r="DO741" s="1218">
        <f t="shared" si="1890"/>
        <v>40</v>
      </c>
      <c r="DP741" s="1218">
        <f t="shared" si="1890"/>
        <v>7.5</v>
      </c>
      <c r="DQ741" s="1218">
        <f t="shared" si="1890"/>
        <v>5</v>
      </c>
      <c r="DR741" s="1218">
        <f t="shared" si="1890"/>
        <v>10.8</v>
      </c>
      <c r="DS741" s="1218">
        <f t="shared" si="1890"/>
        <v>1.56</v>
      </c>
      <c r="DT741" s="1218">
        <f t="shared" si="1890"/>
        <v>48.32</v>
      </c>
      <c r="DU741" s="1218">
        <f t="shared" si="1890"/>
        <v>11.02</v>
      </c>
      <c r="DV741" s="1218">
        <f t="shared" si="1890"/>
        <v>5.51</v>
      </c>
      <c r="DW741" s="1218">
        <f t="shared" si="1890"/>
        <v>7.15</v>
      </c>
      <c r="DX741" s="1218">
        <f t="shared" si="1890"/>
        <v>23.65</v>
      </c>
      <c r="DY741" s="1218">
        <f t="shared" si="1890"/>
        <v>0</v>
      </c>
      <c r="DZ741" s="1218">
        <f t="shared" si="1890"/>
        <v>0.03</v>
      </c>
      <c r="EA741" s="1218">
        <f t="shared" si="1890"/>
        <v>75</v>
      </c>
      <c r="EB741" s="1218">
        <f t="shared" si="1890"/>
        <v>2.9</v>
      </c>
      <c r="EC741" s="1218">
        <f t="shared" ref="EC741:EY741" si="1891">SUM(EC375:EC736)</f>
        <v>3.6</v>
      </c>
      <c r="ED741" s="1218">
        <f t="shared" si="1891"/>
        <v>2.16</v>
      </c>
      <c r="EE741" s="1218">
        <f t="shared" si="1891"/>
        <v>3.6</v>
      </c>
      <c r="EF741" s="1218">
        <f t="shared" si="1891"/>
        <v>21.5</v>
      </c>
      <c r="EG741" s="1218">
        <f t="shared" si="1891"/>
        <v>2.7</v>
      </c>
      <c r="EH741" s="1218">
        <f t="shared" si="1891"/>
        <v>2.99</v>
      </c>
      <c r="EI741" s="1218">
        <f t="shared" si="1891"/>
        <v>15</v>
      </c>
      <c r="EJ741" s="1218">
        <f t="shared" si="1891"/>
        <v>5.2</v>
      </c>
      <c r="EK741" s="1218">
        <f t="shared" si="1891"/>
        <v>11.55</v>
      </c>
      <c r="EL741" s="1218">
        <f t="shared" si="1891"/>
        <v>6</v>
      </c>
      <c r="EM741" s="1218">
        <f t="shared" si="1891"/>
        <v>15</v>
      </c>
      <c r="EN741" s="1218">
        <f t="shared" si="1891"/>
        <v>10.199999999999999</v>
      </c>
      <c r="EO741" s="1218">
        <f t="shared" si="1891"/>
        <v>18.899999999999999</v>
      </c>
      <c r="EP741" s="1218">
        <f t="shared" si="1891"/>
        <v>15.05</v>
      </c>
      <c r="EQ741" s="1218">
        <f t="shared" si="1891"/>
        <v>8.25</v>
      </c>
      <c r="ER741" s="1218">
        <f t="shared" si="1891"/>
        <v>10.5</v>
      </c>
      <c r="ES741" s="1218">
        <f t="shared" si="1891"/>
        <v>8.25</v>
      </c>
      <c r="ET741" s="1218">
        <f t="shared" si="1891"/>
        <v>0</v>
      </c>
      <c r="EU741" s="1218">
        <f t="shared" si="1891"/>
        <v>0</v>
      </c>
      <c r="EV741" s="1218">
        <f t="shared" si="1891"/>
        <v>25.91</v>
      </c>
      <c r="EW741" s="1218">
        <f t="shared" si="1891"/>
        <v>6.5</v>
      </c>
      <c r="EX741" s="1218">
        <f t="shared" si="1891"/>
        <v>10.35</v>
      </c>
      <c r="EY741" s="1218">
        <f t="shared" si="1891"/>
        <v>9479.61</v>
      </c>
    </row>
    <row r="742" spans="1:166" ht="14.7" customHeight="1" x14ac:dyDescent="0.25"/>
    <row r="743" spans="1:166" ht="14.7" customHeight="1" x14ac:dyDescent="0.25"/>
    <row r="744" spans="1:166" ht="14.7" customHeight="1" x14ac:dyDescent="0.25"/>
    <row r="745" spans="1:166" ht="14.7" customHeight="1" x14ac:dyDescent="0.25"/>
    <row r="746" spans="1:166" ht="14.7" customHeight="1" x14ac:dyDescent="0.25"/>
  </sheetData>
  <mergeCells count="15">
    <mergeCell ref="EZ2:FC2"/>
    <mergeCell ref="FD2:FJ2"/>
    <mergeCell ref="EV2:EX2"/>
    <mergeCell ref="EY2:EY3"/>
    <mergeCell ref="U2:Z2"/>
    <mergeCell ref="AF2:BR2"/>
    <mergeCell ref="J2:T2"/>
    <mergeCell ref="BS2:EK2"/>
    <mergeCell ref="A1:G1"/>
    <mergeCell ref="D2:F2"/>
    <mergeCell ref="G2:G3"/>
    <mergeCell ref="C2:C3"/>
    <mergeCell ref="A2:A3"/>
    <mergeCell ref="I2:I3"/>
    <mergeCell ref="H2:H3"/>
  </mergeCells>
  <conditionalFormatting sqref="J375:EX740">
    <cfRule type="cellIs" dxfId="170" priority="6" operator="greaterThan">
      <formula>0</formula>
    </cfRule>
  </conditionalFormatting>
  <conditionalFormatting sqref="J5:EX370">
    <cfRule type="cellIs" dxfId="169" priority="5" operator="greaterThan">
      <formula>0</formula>
    </cfRule>
  </conditionalFormatting>
  <conditionalFormatting sqref="I375:I740">
    <cfRule type="cellIs" dxfId="168" priority="3" operator="notBetween">
      <formula>-0.02</formula>
      <formula>0.02</formula>
    </cfRule>
  </conditionalFormatting>
  <conditionalFormatting sqref="I375:I740">
    <cfRule type="cellIs" dxfId="167" priority="1" operator="notBetween">
      <formula>-0.02</formula>
      <formula>0.02</formula>
    </cfRule>
  </conditionalFormatting>
  <pageMargins left="1.1023622047244095" right="0.51181102362204722" top="0.74803149606299213" bottom="0.74803149606299213" header="0.31496062992125984" footer="0.31496062992125984"/>
  <pageSetup paperSize="9" scale="56" orientation="portrait" r:id="rId1"/>
  <rowBreaks count="1" manualBreakCount="1">
    <brk id="373" max="102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M40"/>
  <sheetViews>
    <sheetView view="pageBreakPreview" topLeftCell="A19" zoomScaleNormal="100" zoomScaleSheetLayoutView="100" workbookViewId="0">
      <selection activeCell="A32" sqref="A32:J36"/>
    </sheetView>
  </sheetViews>
  <sheetFormatPr defaultRowHeight="13.8" x14ac:dyDescent="0.25"/>
  <cols>
    <col min="1" max="1" width="4.109375" customWidth="1"/>
    <col min="2" max="2" width="21" customWidth="1"/>
    <col min="3" max="3" width="8.88671875" customWidth="1"/>
    <col min="4" max="7" width="7.5546875" customWidth="1"/>
    <col min="8" max="8" width="7.44140625" customWidth="1"/>
    <col min="9" max="9" width="8.44140625" customWidth="1"/>
    <col min="10" max="10" width="9.109375" customWidth="1"/>
    <col min="11" max="11" width="6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25)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302"/>
      <c r="I6" s="302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34</v>
      </c>
    </row>
    <row r="8" spans="1:10" s="2" customFormat="1" ht="9.6" customHeight="1" x14ac:dyDescent="0.25">
      <c r="A8" s="303"/>
      <c r="B8" s="303"/>
      <c r="C8" s="303"/>
      <c r="D8" s="303"/>
      <c r="E8" s="303"/>
      <c r="F8" s="303"/>
      <c r="G8" s="303"/>
      <c r="H8" s="303"/>
      <c r="I8" s="303"/>
      <c r="J8" s="109"/>
    </row>
    <row r="9" spans="1:10" s="2" customFormat="1" ht="26.1" customHeight="1" x14ac:dyDescent="0.3">
      <c r="A9" s="1550" t="s">
        <v>562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'31-салат из редиса'!H14+1</f>
        <v>25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304" t="s">
        <v>92</v>
      </c>
      <c r="D17" s="304" t="s">
        <v>94</v>
      </c>
      <c r="E17" s="304" t="s">
        <v>93</v>
      </c>
      <c r="F17" s="304" t="s">
        <v>23</v>
      </c>
      <c r="G17" s="304" t="s">
        <v>92</v>
      </c>
      <c r="H17" s="304" t="s">
        <v>94</v>
      </c>
      <c r="I17" s="304" t="s">
        <v>92</v>
      </c>
      <c r="J17" s="304" t="s">
        <v>94</v>
      </c>
    </row>
    <row r="18" spans="1:13" ht="9.6" customHeight="1" x14ac:dyDescent="0.25">
      <c r="A18" s="304">
        <v>1</v>
      </c>
      <c r="B18" s="305">
        <v>2</v>
      </c>
      <c r="C18" s="304">
        <v>3</v>
      </c>
      <c r="D18" s="305">
        <v>4</v>
      </c>
      <c r="E18" s="304">
        <v>5</v>
      </c>
      <c r="F18" s="305">
        <v>6</v>
      </c>
      <c r="G18" s="304">
        <v>7</v>
      </c>
      <c r="H18" s="305">
        <v>8</v>
      </c>
      <c r="I18" s="304">
        <v>9</v>
      </c>
      <c r="J18" s="305">
        <v>10</v>
      </c>
    </row>
    <row r="19" spans="1:13" s="10" customFormat="1" ht="14.1" customHeight="1" x14ac:dyDescent="0.25">
      <c r="A19" s="180">
        <v>1</v>
      </c>
      <c r="B19" s="20" t="s">
        <v>556</v>
      </c>
      <c r="C19" s="21">
        <v>0.4</v>
      </c>
      <c r="D19" s="21">
        <v>0.32</v>
      </c>
      <c r="E19" s="13">
        <f>цены!F36</f>
        <v>25</v>
      </c>
      <c r="F19" s="13">
        <f t="shared" ref="F19:F25" si="0">C19*E19</f>
        <v>10</v>
      </c>
      <c r="G19" s="97">
        <f t="shared" ref="G19:H25" si="1">C19*10</f>
        <v>4</v>
      </c>
      <c r="H19" s="21">
        <f t="shared" si="1"/>
        <v>3.2</v>
      </c>
      <c r="I19" s="21">
        <f t="shared" ref="I19:J25" si="2">C19*100</f>
        <v>40</v>
      </c>
      <c r="J19" s="21">
        <f t="shared" si="2"/>
        <v>32</v>
      </c>
      <c r="L19" s="1015">
        <f>C19/C$30</f>
        <v>2.39995200095998E-2</v>
      </c>
      <c r="M19" s="1015">
        <f>F19/C$30</f>
        <v>0.59998800023999499</v>
      </c>
    </row>
    <row r="20" spans="1:13" s="10" customFormat="1" ht="14.1" customHeight="1" x14ac:dyDescent="0.25">
      <c r="A20" s="299">
        <v>2</v>
      </c>
      <c r="B20" s="20" t="s">
        <v>514</v>
      </c>
      <c r="C20" s="21">
        <v>0.315</v>
      </c>
      <c r="D20" s="21">
        <v>0.25</v>
      </c>
      <c r="E20" s="13">
        <f>цены!F42</f>
        <v>60</v>
      </c>
      <c r="F20" s="13">
        <f t="shared" si="0"/>
        <v>18.899999999999999</v>
      </c>
      <c r="G20" s="97">
        <f t="shared" si="1"/>
        <v>3.15</v>
      </c>
      <c r="H20" s="21">
        <f t="shared" si="1"/>
        <v>2.5</v>
      </c>
      <c r="I20" s="21">
        <f t="shared" si="2"/>
        <v>31.5</v>
      </c>
      <c r="J20" s="21">
        <f t="shared" si="2"/>
        <v>25</v>
      </c>
      <c r="L20" s="1015">
        <f t="shared" ref="L20:L25" si="3">C20/C$30</f>
        <v>1.8899622007559801E-2</v>
      </c>
      <c r="M20" s="1015">
        <f t="shared" ref="M20:M25" si="4">F20/C$30</f>
        <v>1.1339773204535899</v>
      </c>
    </row>
    <row r="21" spans="1:13" s="10" customFormat="1" ht="13.35" customHeight="1" x14ac:dyDescent="0.25">
      <c r="A21" s="180">
        <v>3</v>
      </c>
      <c r="B21" s="20" t="s">
        <v>516</v>
      </c>
      <c r="C21" s="21">
        <v>0.23499999999999999</v>
      </c>
      <c r="D21" s="21">
        <v>0.2</v>
      </c>
      <c r="E21" s="13">
        <f>цены!F41</f>
        <v>106</v>
      </c>
      <c r="F21" s="13">
        <f t="shared" si="0"/>
        <v>24.91</v>
      </c>
      <c r="G21" s="97">
        <f t="shared" si="1"/>
        <v>2.35</v>
      </c>
      <c r="H21" s="21">
        <f t="shared" si="1"/>
        <v>2</v>
      </c>
      <c r="I21" s="21">
        <f t="shared" si="2"/>
        <v>23.5</v>
      </c>
      <c r="J21" s="21">
        <f t="shared" si="2"/>
        <v>20</v>
      </c>
      <c r="L21" s="1015">
        <f t="shared" si="3"/>
        <v>1.4099718005639901E-2</v>
      </c>
      <c r="M21" s="1015">
        <f t="shared" si="4"/>
        <v>1.49457010859783</v>
      </c>
    </row>
    <row r="22" spans="1:13" s="10" customFormat="1" ht="13.35" customHeight="1" x14ac:dyDescent="0.25">
      <c r="A22" s="299">
        <v>4</v>
      </c>
      <c r="B22" s="20" t="s">
        <v>337</v>
      </c>
      <c r="C22" s="21">
        <v>0.125</v>
      </c>
      <c r="D22" s="21">
        <v>0.1</v>
      </c>
      <c r="E22" s="13">
        <f>цены!F39</f>
        <v>300</v>
      </c>
      <c r="F22" s="13">
        <f>C22*E22</f>
        <v>37.5</v>
      </c>
      <c r="G22" s="97">
        <f>C22*10</f>
        <v>1.25</v>
      </c>
      <c r="H22" s="21">
        <f>D22*10</f>
        <v>1</v>
      </c>
      <c r="I22" s="21">
        <f>C22*100</f>
        <v>12.5</v>
      </c>
      <c r="J22" s="21">
        <f>D22*100</f>
        <v>10</v>
      </c>
      <c r="L22" s="1015">
        <f t="shared" si="3"/>
        <v>7.4998500029999403E-3</v>
      </c>
      <c r="M22" s="1015">
        <f t="shared" si="4"/>
        <v>2.24995500089998</v>
      </c>
    </row>
    <row r="23" spans="1:13" s="10" customFormat="1" ht="13.35" customHeight="1" x14ac:dyDescent="0.25">
      <c r="A23" s="180">
        <v>5</v>
      </c>
      <c r="B23" s="20" t="s">
        <v>563</v>
      </c>
      <c r="C23" s="21">
        <v>0.115</v>
      </c>
      <c r="D23" s="21">
        <v>0.1</v>
      </c>
      <c r="E23" s="13">
        <f>цены!F30</f>
        <v>152.16999999999999</v>
      </c>
      <c r="F23" s="13">
        <f>C23*E23</f>
        <v>17.5</v>
      </c>
      <c r="G23" s="97">
        <f>C23*10</f>
        <v>1.1499999999999999</v>
      </c>
      <c r="H23" s="21">
        <f>D23*10</f>
        <v>1</v>
      </c>
      <c r="I23" s="21">
        <f>C23*100</f>
        <v>11.5</v>
      </c>
      <c r="J23" s="21">
        <f>D23*100</f>
        <v>10</v>
      </c>
      <c r="L23" s="1015">
        <f t="shared" si="3"/>
        <v>6.8998620027599404E-3</v>
      </c>
      <c r="M23" s="1015">
        <f t="shared" si="4"/>
        <v>1.04997900041999</v>
      </c>
    </row>
    <row r="24" spans="1:13" s="10" customFormat="1" ht="14.1" customHeight="1" x14ac:dyDescent="0.25">
      <c r="A24" s="299">
        <v>6</v>
      </c>
      <c r="B24" s="20" t="s">
        <v>74</v>
      </c>
      <c r="C24" s="21">
        <v>0.06</v>
      </c>
      <c r="D24" s="21">
        <v>0.06</v>
      </c>
      <c r="E24" s="13">
        <f>цены!F87</f>
        <v>120</v>
      </c>
      <c r="F24" s="13">
        <f t="shared" si="0"/>
        <v>7.2</v>
      </c>
      <c r="G24" s="97">
        <f t="shared" si="1"/>
        <v>0.6</v>
      </c>
      <c r="H24" s="21">
        <f t="shared" si="1"/>
        <v>0.6</v>
      </c>
      <c r="I24" s="21">
        <f t="shared" si="2"/>
        <v>6</v>
      </c>
      <c r="J24" s="21">
        <f t="shared" si="2"/>
        <v>6</v>
      </c>
      <c r="L24" s="1015">
        <f t="shared" si="3"/>
        <v>3.5999280014399702E-3</v>
      </c>
      <c r="M24" s="1015">
        <f t="shared" si="4"/>
        <v>0.43199136017279599</v>
      </c>
    </row>
    <row r="25" spans="1:13" s="10" customFormat="1" ht="14.1" customHeight="1" x14ac:dyDescent="0.25">
      <c r="A25" s="180">
        <v>7</v>
      </c>
      <c r="B25" s="20" t="s">
        <v>75</v>
      </c>
      <c r="C25" s="21">
        <f>0.002*C30</f>
        <v>3.3000000000000002E-2</v>
      </c>
      <c r="D25" s="21">
        <f>C25</f>
        <v>3.3000000000000002E-2</v>
      </c>
      <c r="E25" s="13">
        <f>цены!F110</f>
        <v>24</v>
      </c>
      <c r="F25" s="13">
        <f t="shared" si="0"/>
        <v>0.79</v>
      </c>
      <c r="G25" s="97">
        <f t="shared" si="1"/>
        <v>0.33</v>
      </c>
      <c r="H25" s="21">
        <f t="shared" si="1"/>
        <v>0.33</v>
      </c>
      <c r="I25" s="21">
        <f t="shared" si="2"/>
        <v>3.3</v>
      </c>
      <c r="J25" s="21">
        <f t="shared" si="2"/>
        <v>3.3</v>
      </c>
      <c r="L25" s="1015">
        <f t="shared" si="3"/>
        <v>1.9799604007919801E-3</v>
      </c>
      <c r="M25" s="1015">
        <f t="shared" si="4"/>
        <v>4.7399052018959602E-2</v>
      </c>
    </row>
    <row r="26" spans="1:13" s="10" customFormat="1" ht="12" customHeight="1" x14ac:dyDescent="0.25">
      <c r="A26" s="98"/>
      <c r="B26" s="93" t="s">
        <v>100</v>
      </c>
      <c r="C26" s="100"/>
      <c r="D26" s="100">
        <v>1</v>
      </c>
      <c r="E26" s="95"/>
      <c r="F26" s="95">
        <f>SUM(F19:F25)</f>
        <v>116.8</v>
      </c>
      <c r="G26" s="99"/>
      <c r="H26" s="100">
        <f>D26*10</f>
        <v>10</v>
      </c>
      <c r="I26" s="100"/>
      <c r="J26" s="100">
        <f>D26*100</f>
        <v>100</v>
      </c>
      <c r="L26" s="1015">
        <f>SUM(L19:L25)</f>
        <v>7.6978460430791304E-2</v>
      </c>
      <c r="M26" s="1015">
        <f>SUM(M19:M25)</f>
        <v>7.00785984280314</v>
      </c>
    </row>
    <row r="27" spans="1:13" s="10" customFormat="1" ht="27.6" customHeight="1" x14ac:dyDescent="0.25">
      <c r="A27" s="1536" t="s">
        <v>35</v>
      </c>
      <c r="B27" s="1536"/>
      <c r="C27" s="90"/>
      <c r="D27" s="90"/>
      <c r="E27" s="13"/>
      <c r="F27" s="13">
        <f>F26</f>
        <v>116.8</v>
      </c>
      <c r="G27" s="306"/>
      <c r="H27" s="306"/>
      <c r="I27" s="21"/>
      <c r="J27" s="13"/>
    </row>
    <row r="28" spans="1:13" s="10" customFormat="1" ht="25.35" customHeight="1" x14ac:dyDescent="0.25">
      <c r="A28" s="1536" t="s">
        <v>36</v>
      </c>
      <c r="B28" s="1536"/>
      <c r="C28" s="90">
        <v>1000</v>
      </c>
      <c r="D28" s="90"/>
      <c r="E28" s="13"/>
      <c r="F28" s="13"/>
      <c r="G28" s="13"/>
      <c r="H28" s="13"/>
      <c r="I28" s="21"/>
      <c r="J28" s="17"/>
    </row>
    <row r="29" spans="1:13" s="10" customFormat="1" ht="25.35" customHeight="1" x14ac:dyDescent="0.25">
      <c r="A29" s="1537" t="s">
        <v>37</v>
      </c>
      <c r="B29" s="1538"/>
      <c r="C29" s="91">
        <v>60</v>
      </c>
      <c r="D29" s="92"/>
      <c r="E29" s="305"/>
      <c r="F29" s="305"/>
      <c r="G29" s="305"/>
      <c r="H29" s="305"/>
      <c r="I29" s="21"/>
      <c r="J29" s="17"/>
    </row>
    <row r="30" spans="1:13" s="10" customFormat="1" ht="15" customHeight="1" x14ac:dyDescent="0.25">
      <c r="A30" s="1539" t="s">
        <v>38</v>
      </c>
      <c r="B30" s="1540"/>
      <c r="C30" s="92">
        <f>C28/C29</f>
        <v>16.667000000000002</v>
      </c>
      <c r="D30" s="92"/>
      <c r="E30" s="305"/>
      <c r="F30" s="305"/>
      <c r="G30" s="305"/>
      <c r="H30" s="305"/>
      <c r="I30" s="21"/>
      <c r="J30" s="17"/>
    </row>
    <row r="31" spans="1:13" ht="16.350000000000001" customHeight="1" x14ac:dyDescent="0.25">
      <c r="A31" s="1541" t="s">
        <v>39</v>
      </c>
      <c r="B31" s="1542"/>
      <c r="C31" s="15" t="s">
        <v>40</v>
      </c>
      <c r="D31" s="102"/>
      <c r="E31" s="102" t="s">
        <v>40</v>
      </c>
      <c r="F31" s="16">
        <f>F27/C30</f>
        <v>7.01</v>
      </c>
      <c r="G31" s="16"/>
      <c r="H31" s="16"/>
      <c r="I31" s="102" t="s">
        <v>40</v>
      </c>
      <c r="J31" s="102" t="s">
        <v>40</v>
      </c>
    </row>
    <row r="32" spans="1:13" ht="23.1" customHeight="1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193"/>
      <c r="B33" s="1194" t="s">
        <v>49</v>
      </c>
      <c r="C33" s="1198"/>
      <c r="D33" s="1198"/>
      <c r="E33" s="1198"/>
      <c r="F33" s="1198"/>
      <c r="G33" s="1193"/>
      <c r="H33" s="1557">
        <f>'1-бутерброд с маслом'!$H$28</f>
        <v>0</v>
      </c>
      <c r="I33" s="1557"/>
      <c r="J33" s="1557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545" t="s">
        <v>327</v>
      </c>
      <c r="B35" s="1545"/>
      <c r="C35" s="1546" t="s">
        <v>328</v>
      </c>
      <c r="D35" s="1546"/>
      <c r="E35" s="1546"/>
      <c r="F35" s="1546"/>
      <c r="G35" s="106"/>
      <c r="H35" s="1531"/>
      <c r="I35" s="1531"/>
      <c r="J35" s="1531"/>
    </row>
    <row r="36" spans="1:10" x14ac:dyDescent="0.25">
      <c r="A36" s="1193"/>
      <c r="B36" s="1193"/>
      <c r="C36" s="1546"/>
      <c r="D36" s="1546"/>
      <c r="E36" s="1546"/>
      <c r="F36" s="1546"/>
      <c r="G36" s="1193"/>
      <c r="H36" s="1531" t="s">
        <v>329</v>
      </c>
      <c r="I36" s="1531"/>
      <c r="J36" s="1531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5:B35"/>
    <mergeCell ref="C35:F36"/>
    <mergeCell ref="H35:J35"/>
    <mergeCell ref="H36:J36"/>
    <mergeCell ref="A28:B28"/>
    <mergeCell ref="A29:B29"/>
    <mergeCell ref="A30:B30"/>
    <mergeCell ref="A31:B31"/>
    <mergeCell ref="H33:J33"/>
    <mergeCell ref="A27:B27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40"/>
  <sheetViews>
    <sheetView view="pageBreakPreview" zoomScaleNormal="100" zoomScaleSheetLayoutView="100" workbookViewId="0">
      <selection activeCell="A11" sqref="A11:J11"/>
    </sheetView>
  </sheetViews>
  <sheetFormatPr defaultRowHeight="13.8" x14ac:dyDescent="0.25"/>
  <cols>
    <col min="1" max="1" width="4.109375" customWidth="1"/>
    <col min="2" max="2" width="24.44140625" customWidth="1"/>
    <col min="3" max="7" width="7.5546875" customWidth="1"/>
    <col min="8" max="8" width="8.44140625" customWidth="1"/>
    <col min="9" max="9" width="7.5546875" customWidth="1"/>
    <col min="10" max="10" width="9" customWidth="1"/>
    <col min="11" max="11" width="3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292)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396</v>
      </c>
    </row>
    <row r="8" spans="1:10" s="2" customFormat="1" ht="9.6" customHeight="1" x14ac:dyDescent="0.25">
      <c r="A8" s="401"/>
      <c r="B8" s="401"/>
      <c r="C8" s="401"/>
      <c r="D8" s="401"/>
      <c r="E8" s="401"/>
      <c r="F8" s="401"/>
      <c r="G8" s="401"/>
      <c r="H8" s="401"/>
      <c r="I8" s="401"/>
      <c r="J8" s="109"/>
    </row>
    <row r="9" spans="1:10" s="2" customFormat="1" ht="26.1" customHeight="1" x14ac:dyDescent="0.3">
      <c r="A9" s="1550" t="s">
        <v>686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'396-Блины с маслом '!H14+1</f>
        <v>292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402" t="s">
        <v>92</v>
      </c>
      <c r="D17" s="402" t="s">
        <v>94</v>
      </c>
      <c r="E17" s="402" t="s">
        <v>93</v>
      </c>
      <c r="F17" s="402" t="s">
        <v>23</v>
      </c>
      <c r="G17" s="402" t="s">
        <v>92</v>
      </c>
      <c r="H17" s="402" t="s">
        <v>94</v>
      </c>
      <c r="I17" s="402" t="s">
        <v>92</v>
      </c>
      <c r="J17" s="402" t="s">
        <v>94</v>
      </c>
    </row>
    <row r="18" spans="1:10" ht="9.6" customHeight="1" x14ac:dyDescent="0.25">
      <c r="A18" s="402">
        <v>1</v>
      </c>
      <c r="B18" s="403">
        <v>2</v>
      </c>
      <c r="C18" s="402">
        <v>3</v>
      </c>
      <c r="D18" s="403">
        <v>4</v>
      </c>
      <c r="E18" s="402">
        <v>5</v>
      </c>
      <c r="F18" s="403">
        <v>6</v>
      </c>
      <c r="G18" s="402">
        <v>7</v>
      </c>
      <c r="H18" s="403">
        <v>8</v>
      </c>
      <c r="I18" s="402">
        <v>9</v>
      </c>
      <c r="J18" s="403">
        <v>10</v>
      </c>
    </row>
    <row r="19" spans="1:10" s="10" customFormat="1" ht="12" customHeight="1" x14ac:dyDescent="0.25">
      <c r="A19" s="180">
        <v>1</v>
      </c>
      <c r="B19" s="20" t="s">
        <v>45</v>
      </c>
      <c r="C19" s="111">
        <v>7.4999999999999997E-2</v>
      </c>
      <c r="D19" s="111">
        <v>7.4999999999999997E-2</v>
      </c>
      <c r="E19" s="13">
        <f>цены!F74</f>
        <v>36</v>
      </c>
      <c r="F19" s="13">
        <f>C19*E19</f>
        <v>2.7</v>
      </c>
      <c r="G19" s="97">
        <f t="shared" ref="G19:H25" si="0">C19*10</f>
        <v>0.75</v>
      </c>
      <c r="H19" s="21">
        <f t="shared" si="0"/>
        <v>0.75</v>
      </c>
      <c r="I19" s="21">
        <f t="shared" ref="I19:J25" si="1">C19*100</f>
        <v>7.5</v>
      </c>
      <c r="J19" s="21">
        <f t="shared" si="1"/>
        <v>7.5</v>
      </c>
    </row>
    <row r="20" spans="1:10" s="10" customFormat="1" ht="12" customHeight="1" x14ac:dyDescent="0.25">
      <c r="A20" s="180">
        <v>2</v>
      </c>
      <c r="B20" s="20" t="s">
        <v>30</v>
      </c>
      <c r="C20" s="111">
        <v>3.0000000000000001E-3</v>
      </c>
      <c r="D20" s="111">
        <v>3.0000000000000001E-3</v>
      </c>
      <c r="E20" s="13">
        <f>цены!F107</f>
        <v>76</v>
      </c>
      <c r="F20" s="13">
        <f t="shared" ref="F20:F25" si="2">C20*E20</f>
        <v>0.23</v>
      </c>
      <c r="G20" s="97">
        <f t="shared" si="0"/>
        <v>0.03</v>
      </c>
      <c r="H20" s="21">
        <f t="shared" si="0"/>
        <v>0.03</v>
      </c>
      <c r="I20" s="21">
        <f t="shared" si="1"/>
        <v>0.3</v>
      </c>
      <c r="J20" s="21">
        <f t="shared" si="1"/>
        <v>0.3</v>
      </c>
    </row>
    <row r="21" spans="1:10" s="10" customFormat="1" ht="12" customHeight="1" x14ac:dyDescent="0.25">
      <c r="A21" s="180">
        <v>3</v>
      </c>
      <c r="B21" s="20" t="s">
        <v>34</v>
      </c>
      <c r="C21" s="111">
        <v>0.11799999999999999</v>
      </c>
      <c r="D21" s="111">
        <v>0.11799999999999999</v>
      </c>
      <c r="E21" s="13">
        <f>цены!F20</f>
        <v>80</v>
      </c>
      <c r="F21" s="13">
        <f t="shared" si="2"/>
        <v>9.44</v>
      </c>
      <c r="G21" s="97">
        <f t="shared" si="0"/>
        <v>1.18</v>
      </c>
      <c r="H21" s="21">
        <f t="shared" si="0"/>
        <v>1.18</v>
      </c>
      <c r="I21" s="21">
        <f t="shared" si="1"/>
        <v>11.8</v>
      </c>
      <c r="J21" s="21">
        <f t="shared" si="1"/>
        <v>11.8</v>
      </c>
    </row>
    <row r="22" spans="1:10" s="10" customFormat="1" ht="12" customHeight="1" x14ac:dyDescent="0.25">
      <c r="A22" s="180">
        <v>4</v>
      </c>
      <c r="B22" s="20" t="s">
        <v>435</v>
      </c>
      <c r="C22" s="111">
        <v>3.0000000000000001E-3</v>
      </c>
      <c r="D22" s="111">
        <v>3.0000000000000001E-3</v>
      </c>
      <c r="E22" s="13">
        <f>цены!F93</f>
        <v>455</v>
      </c>
      <c r="F22" s="13">
        <f t="shared" si="2"/>
        <v>1.37</v>
      </c>
      <c r="G22" s="97">
        <f t="shared" si="0"/>
        <v>0.03</v>
      </c>
      <c r="H22" s="21">
        <f t="shared" si="0"/>
        <v>0.03</v>
      </c>
      <c r="I22" s="21">
        <f t="shared" si="1"/>
        <v>0.3</v>
      </c>
      <c r="J22" s="21">
        <f t="shared" si="1"/>
        <v>0.3</v>
      </c>
    </row>
    <row r="23" spans="1:10" s="10" customFormat="1" ht="12" customHeight="1" x14ac:dyDescent="0.25">
      <c r="A23" s="180">
        <v>5</v>
      </c>
      <c r="B23" s="20" t="s">
        <v>33</v>
      </c>
      <c r="C23" s="113">
        <v>1.5E-3</v>
      </c>
      <c r="D23" s="113">
        <v>1.5E-3</v>
      </c>
      <c r="E23" s="13">
        <f>цены!F110</f>
        <v>24</v>
      </c>
      <c r="F23" s="13">
        <f t="shared" si="2"/>
        <v>0.04</v>
      </c>
      <c r="G23" s="97">
        <f t="shared" si="0"/>
        <v>1.4999999999999999E-2</v>
      </c>
      <c r="H23" s="21">
        <f t="shared" si="0"/>
        <v>1.4999999999999999E-2</v>
      </c>
      <c r="I23" s="21">
        <f t="shared" si="1"/>
        <v>0.15</v>
      </c>
      <c r="J23" s="21">
        <f t="shared" si="1"/>
        <v>0.15</v>
      </c>
    </row>
    <row r="24" spans="1:10" s="10" customFormat="1" ht="12" customHeight="1" x14ac:dyDescent="0.25">
      <c r="A24" s="416"/>
      <c r="B24" s="93" t="s">
        <v>436</v>
      </c>
      <c r="C24" s="238"/>
      <c r="D24" s="238">
        <v>0.19500000000000001</v>
      </c>
      <c r="E24" s="192"/>
      <c r="F24" s="192"/>
      <c r="G24" s="231"/>
      <c r="H24" s="232">
        <f t="shared" si="0"/>
        <v>1.95</v>
      </c>
      <c r="I24" s="232"/>
      <c r="J24" s="232">
        <f t="shared" si="1"/>
        <v>19.5</v>
      </c>
    </row>
    <row r="25" spans="1:10" s="10" customFormat="1" ht="12" customHeight="1" x14ac:dyDescent="0.25">
      <c r="A25" s="180">
        <v>6</v>
      </c>
      <c r="B25" s="20" t="s">
        <v>74</v>
      </c>
      <c r="C25" s="111">
        <v>5.0000000000000001E-3</v>
      </c>
      <c r="D25" s="111">
        <v>5.0000000000000001E-3</v>
      </c>
      <c r="E25" s="13">
        <f>цены!F87</f>
        <v>120</v>
      </c>
      <c r="F25" s="13">
        <f t="shared" si="2"/>
        <v>0.6</v>
      </c>
      <c r="G25" s="97">
        <f t="shared" si="0"/>
        <v>0.05</v>
      </c>
      <c r="H25" s="21">
        <f t="shared" si="0"/>
        <v>0.05</v>
      </c>
      <c r="I25" s="21">
        <f t="shared" si="1"/>
        <v>0.5</v>
      </c>
      <c r="J25" s="21">
        <f t="shared" si="1"/>
        <v>0.5</v>
      </c>
    </row>
    <row r="26" spans="1:10" s="10" customFormat="1" ht="12" customHeight="1" x14ac:dyDescent="0.25">
      <c r="A26" s="184"/>
      <c r="B26" s="93" t="s">
        <v>437</v>
      </c>
      <c r="C26" s="112"/>
      <c r="D26" s="112">
        <v>0.15</v>
      </c>
      <c r="E26" s="95"/>
      <c r="F26" s="95">
        <f>F19+F20+F21+F22+F23+F25</f>
        <v>14.38</v>
      </c>
      <c r="G26" s="99"/>
      <c r="H26" s="100"/>
      <c r="I26" s="100"/>
      <c r="J26" s="100"/>
    </row>
    <row r="27" spans="1:10" s="10" customFormat="1" ht="12" customHeight="1" x14ac:dyDescent="0.25">
      <c r="A27" s="180">
        <v>8</v>
      </c>
      <c r="B27" s="20" t="s">
        <v>687</v>
      </c>
      <c r="C27" s="111">
        <v>0.02</v>
      </c>
      <c r="D27" s="111">
        <v>0.02</v>
      </c>
      <c r="E27" s="13">
        <f>цены!F104</f>
        <v>140</v>
      </c>
      <c r="F27" s="206">
        <f>C27*E27</f>
        <v>2.8</v>
      </c>
      <c r="G27" s="207">
        <f>C27*10</f>
        <v>0.2</v>
      </c>
      <c r="H27" s="208">
        <f>D27*10</f>
        <v>0.2</v>
      </c>
      <c r="I27" s="208">
        <f>C27*100</f>
        <v>2</v>
      </c>
      <c r="J27" s="208">
        <f>D27*100</f>
        <v>2</v>
      </c>
    </row>
    <row r="28" spans="1:10" s="10" customFormat="1" ht="12" customHeight="1" x14ac:dyDescent="0.25">
      <c r="A28" s="184"/>
      <c r="B28" s="93" t="s">
        <v>438</v>
      </c>
      <c r="C28" s="191"/>
      <c r="D28" s="191">
        <v>0.16</v>
      </c>
      <c r="E28" s="192"/>
      <c r="F28" s="192">
        <f>F26+F27</f>
        <v>17.18</v>
      </c>
      <c r="G28" s="231"/>
      <c r="H28" s="232"/>
      <c r="I28" s="232"/>
      <c r="J28" s="232"/>
    </row>
    <row r="29" spans="1:10" s="10" customFormat="1" ht="26.4" customHeight="1" x14ac:dyDescent="0.25">
      <c r="A29" s="1536" t="s">
        <v>35</v>
      </c>
      <c r="B29" s="1536"/>
      <c r="C29" s="90"/>
      <c r="D29" s="90"/>
      <c r="E29" s="13"/>
      <c r="F29" s="13">
        <f>F28</f>
        <v>17.18</v>
      </c>
      <c r="G29" s="404"/>
      <c r="H29" s="404"/>
      <c r="I29" s="21"/>
      <c r="J29" s="13"/>
    </row>
    <row r="30" spans="1:10" s="10" customFormat="1" ht="22.35" customHeight="1" x14ac:dyDescent="0.25">
      <c r="A30" s="1536" t="s">
        <v>36</v>
      </c>
      <c r="B30" s="1536"/>
      <c r="C30" s="90">
        <v>170</v>
      </c>
      <c r="D30" s="90"/>
      <c r="E30" s="13"/>
      <c r="F30" s="13"/>
      <c r="G30" s="13"/>
      <c r="H30" s="13"/>
      <c r="I30" s="21"/>
      <c r="J30" s="17"/>
    </row>
    <row r="31" spans="1:10" s="10" customFormat="1" ht="25.35" customHeight="1" x14ac:dyDescent="0.25">
      <c r="A31" s="1539" t="s">
        <v>37</v>
      </c>
      <c r="B31" s="1562"/>
      <c r="C31" s="91">
        <v>170</v>
      </c>
      <c r="D31" s="92"/>
      <c r="E31" s="403"/>
      <c r="F31" s="403"/>
      <c r="G31" s="403"/>
      <c r="H31" s="403"/>
      <c r="I31" s="21"/>
      <c r="J31" s="17"/>
    </row>
    <row r="32" spans="1:10" s="10" customFormat="1" ht="15" customHeight="1" x14ac:dyDescent="0.25">
      <c r="A32" s="1539" t="s">
        <v>38</v>
      </c>
      <c r="B32" s="1540"/>
      <c r="C32" s="92">
        <f>C30/C31</f>
        <v>1</v>
      </c>
      <c r="D32" s="92"/>
      <c r="E32" s="403"/>
      <c r="F32" s="403"/>
      <c r="G32" s="403"/>
      <c r="H32" s="403"/>
      <c r="I32" s="21"/>
      <c r="J32" s="17"/>
    </row>
    <row r="33" spans="1:10" ht="16.350000000000001" customHeight="1" x14ac:dyDescent="0.25">
      <c r="A33" s="1541" t="s">
        <v>39</v>
      </c>
      <c r="B33" s="1542"/>
      <c r="C33" s="15" t="s">
        <v>40</v>
      </c>
      <c r="D33" s="102"/>
      <c r="E33" s="102" t="s">
        <v>40</v>
      </c>
      <c r="F33" s="16">
        <f>F29/C32</f>
        <v>17.18</v>
      </c>
      <c r="G33" s="16"/>
      <c r="H33" s="16"/>
      <c r="I33" s="102" t="s">
        <v>40</v>
      </c>
      <c r="J33" s="102" t="s">
        <v>40</v>
      </c>
    </row>
    <row r="34" spans="1:10" ht="23.1" customHeight="1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193"/>
      <c r="B35" s="1194" t="s">
        <v>49</v>
      </c>
      <c r="C35" s="1198"/>
      <c r="D35" s="1198"/>
      <c r="E35" s="1198"/>
      <c r="F35" s="1198"/>
      <c r="G35" s="1193"/>
      <c r="H35" s="1557">
        <f>'1-бутерброд с маслом'!$H$28</f>
        <v>0</v>
      </c>
      <c r="I35" s="1557"/>
      <c r="J35" s="1557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545" t="s">
        <v>327</v>
      </c>
      <c r="B37" s="1545"/>
      <c r="C37" s="1546" t="s">
        <v>328</v>
      </c>
      <c r="D37" s="1546"/>
      <c r="E37" s="1546"/>
      <c r="F37" s="1546"/>
      <c r="G37" s="106"/>
      <c r="H37" s="1531"/>
      <c r="I37" s="1531"/>
      <c r="J37" s="1531"/>
    </row>
    <row r="38" spans="1:10" x14ac:dyDescent="0.25">
      <c r="A38" s="1193"/>
      <c r="B38" s="1193"/>
      <c r="C38" s="1546"/>
      <c r="D38" s="1546"/>
      <c r="E38" s="1546"/>
      <c r="F38" s="1546"/>
      <c r="G38" s="1193"/>
      <c r="H38" s="1531" t="s">
        <v>329</v>
      </c>
      <c r="I38" s="1531"/>
      <c r="J38" s="1531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7:B37"/>
    <mergeCell ref="C37:F38"/>
    <mergeCell ref="H37:J37"/>
    <mergeCell ref="H38:J38"/>
    <mergeCell ref="A30:B30"/>
    <mergeCell ref="A31:B31"/>
    <mergeCell ref="A32:B32"/>
    <mergeCell ref="A33:B33"/>
    <mergeCell ref="H35:J35"/>
    <mergeCell ref="A29:B29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40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4.44140625" customWidth="1"/>
    <col min="3" max="7" width="7.5546875" customWidth="1"/>
    <col min="8" max="8" width="8.44140625" customWidth="1"/>
    <col min="9" max="9" width="7.5546875" customWidth="1"/>
    <col min="10" max="10" width="9" customWidth="1"/>
    <col min="11" max="11" width="3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293)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396</v>
      </c>
    </row>
    <row r="8" spans="1:10" s="2" customFormat="1" ht="9.6" customHeight="1" x14ac:dyDescent="0.25">
      <c r="A8" s="401"/>
      <c r="B8" s="401"/>
      <c r="C8" s="401"/>
      <c r="D8" s="401"/>
      <c r="E8" s="401"/>
      <c r="F8" s="401"/>
      <c r="G8" s="401"/>
      <c r="H8" s="401"/>
      <c r="I8" s="401"/>
      <c r="J8" s="109"/>
    </row>
    <row r="9" spans="1:10" s="2" customFormat="1" ht="26.1" customHeight="1" x14ac:dyDescent="0.3">
      <c r="A9" s="1550" t="s">
        <v>671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'396-Блины  с повидлом'!H14+1</f>
        <v>293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402" t="s">
        <v>92</v>
      </c>
      <c r="D17" s="402" t="s">
        <v>94</v>
      </c>
      <c r="E17" s="402" t="s">
        <v>93</v>
      </c>
      <c r="F17" s="402" t="s">
        <v>23</v>
      </c>
      <c r="G17" s="402" t="s">
        <v>92</v>
      </c>
      <c r="H17" s="402" t="s">
        <v>94</v>
      </c>
      <c r="I17" s="402" t="s">
        <v>92</v>
      </c>
      <c r="J17" s="402" t="s">
        <v>94</v>
      </c>
    </row>
    <row r="18" spans="1:10" ht="9.6" customHeight="1" x14ac:dyDescent="0.25">
      <c r="A18" s="402">
        <v>1</v>
      </c>
      <c r="B18" s="403">
        <v>2</v>
      </c>
      <c r="C18" s="402">
        <v>3</v>
      </c>
      <c r="D18" s="403">
        <v>4</v>
      </c>
      <c r="E18" s="402">
        <v>5</v>
      </c>
      <c r="F18" s="403">
        <v>6</v>
      </c>
      <c r="G18" s="402">
        <v>7</v>
      </c>
      <c r="H18" s="403">
        <v>8</v>
      </c>
      <c r="I18" s="402">
        <v>9</v>
      </c>
      <c r="J18" s="403">
        <v>10</v>
      </c>
    </row>
    <row r="19" spans="1:10" s="10" customFormat="1" ht="12" customHeight="1" x14ac:dyDescent="0.25">
      <c r="A19" s="180">
        <v>1</v>
      </c>
      <c r="B19" s="20" t="s">
        <v>45</v>
      </c>
      <c r="C19" s="111">
        <v>7.4999999999999997E-2</v>
      </c>
      <c r="D19" s="111">
        <v>7.4999999999999997E-2</v>
      </c>
      <c r="E19" s="13">
        <f>цены!F74</f>
        <v>36</v>
      </c>
      <c r="F19" s="13">
        <f>C19*E19</f>
        <v>2.7</v>
      </c>
      <c r="G19" s="97">
        <f t="shared" ref="G19:H25" si="0">C19*10</f>
        <v>0.75</v>
      </c>
      <c r="H19" s="21">
        <f t="shared" si="0"/>
        <v>0.75</v>
      </c>
      <c r="I19" s="21">
        <f t="shared" ref="I19:J25" si="1">C19*100</f>
        <v>7.5</v>
      </c>
      <c r="J19" s="21">
        <f t="shared" si="1"/>
        <v>7.5</v>
      </c>
    </row>
    <row r="20" spans="1:10" s="10" customFormat="1" ht="12" customHeight="1" x14ac:dyDescent="0.25">
      <c r="A20" s="180">
        <v>2</v>
      </c>
      <c r="B20" s="20" t="s">
        <v>30</v>
      </c>
      <c r="C20" s="111">
        <v>3.0000000000000001E-3</v>
      </c>
      <c r="D20" s="111">
        <v>3.0000000000000001E-3</v>
      </c>
      <c r="E20" s="13">
        <f>цены!F107</f>
        <v>76</v>
      </c>
      <c r="F20" s="13">
        <f t="shared" ref="F20:F27" si="2">C20*E20</f>
        <v>0.23</v>
      </c>
      <c r="G20" s="97">
        <f t="shared" si="0"/>
        <v>0.03</v>
      </c>
      <c r="H20" s="21">
        <f t="shared" si="0"/>
        <v>0.03</v>
      </c>
      <c r="I20" s="21">
        <f t="shared" si="1"/>
        <v>0.3</v>
      </c>
      <c r="J20" s="21">
        <f t="shared" si="1"/>
        <v>0.3</v>
      </c>
    </row>
    <row r="21" spans="1:10" s="10" customFormat="1" ht="12" customHeight="1" x14ac:dyDescent="0.25">
      <c r="A21" s="180">
        <v>3</v>
      </c>
      <c r="B21" s="20" t="s">
        <v>34</v>
      </c>
      <c r="C21" s="111">
        <v>0.11799999999999999</v>
      </c>
      <c r="D21" s="111">
        <v>0.11799999999999999</v>
      </c>
      <c r="E21" s="13">
        <f>цены!F20</f>
        <v>80</v>
      </c>
      <c r="F21" s="13">
        <f t="shared" si="2"/>
        <v>9.44</v>
      </c>
      <c r="G21" s="97">
        <f t="shared" si="0"/>
        <v>1.18</v>
      </c>
      <c r="H21" s="21">
        <f t="shared" si="0"/>
        <v>1.18</v>
      </c>
      <c r="I21" s="21">
        <f t="shared" si="1"/>
        <v>11.8</v>
      </c>
      <c r="J21" s="21">
        <f t="shared" si="1"/>
        <v>11.8</v>
      </c>
    </row>
    <row r="22" spans="1:10" s="10" customFormat="1" ht="12" customHeight="1" x14ac:dyDescent="0.25">
      <c r="A22" s="180">
        <v>4</v>
      </c>
      <c r="B22" s="20" t="s">
        <v>435</v>
      </c>
      <c r="C22" s="111">
        <v>3.0000000000000001E-3</v>
      </c>
      <c r="D22" s="111">
        <v>3.0000000000000001E-3</v>
      </c>
      <c r="E22" s="13">
        <f>цены!F93</f>
        <v>455</v>
      </c>
      <c r="F22" s="13">
        <f t="shared" si="2"/>
        <v>1.37</v>
      </c>
      <c r="G22" s="97">
        <f t="shared" si="0"/>
        <v>0.03</v>
      </c>
      <c r="H22" s="21">
        <f t="shared" si="0"/>
        <v>0.03</v>
      </c>
      <c r="I22" s="21">
        <f t="shared" si="1"/>
        <v>0.3</v>
      </c>
      <c r="J22" s="21">
        <f t="shared" si="1"/>
        <v>0.3</v>
      </c>
    </row>
    <row r="23" spans="1:10" s="10" customFormat="1" ht="12" customHeight="1" x14ac:dyDescent="0.25">
      <c r="A23" s="180">
        <v>5</v>
      </c>
      <c r="B23" s="20" t="s">
        <v>33</v>
      </c>
      <c r="C23" s="113">
        <v>1.5E-3</v>
      </c>
      <c r="D23" s="113">
        <v>1.5E-3</v>
      </c>
      <c r="E23" s="13">
        <f>цены!F110</f>
        <v>24</v>
      </c>
      <c r="F23" s="13">
        <f t="shared" si="2"/>
        <v>0.04</v>
      </c>
      <c r="G23" s="97">
        <f t="shared" si="0"/>
        <v>1.4999999999999999E-2</v>
      </c>
      <c r="H23" s="21">
        <f t="shared" si="0"/>
        <v>1.4999999999999999E-2</v>
      </c>
      <c r="I23" s="21">
        <f t="shared" si="1"/>
        <v>0.15</v>
      </c>
      <c r="J23" s="21">
        <f t="shared" si="1"/>
        <v>0.15</v>
      </c>
    </row>
    <row r="24" spans="1:10" s="10" customFormat="1" ht="12" customHeight="1" x14ac:dyDescent="0.25">
      <c r="A24" s="180"/>
      <c r="B24" s="93" t="s">
        <v>436</v>
      </c>
      <c r="C24" s="238"/>
      <c r="D24" s="238">
        <v>0.19500000000000001</v>
      </c>
      <c r="E24" s="192"/>
      <c r="F24" s="192"/>
      <c r="G24" s="231"/>
      <c r="H24" s="232">
        <f t="shared" si="0"/>
        <v>1.95</v>
      </c>
      <c r="I24" s="232"/>
      <c r="J24" s="232">
        <f t="shared" si="1"/>
        <v>19.5</v>
      </c>
    </row>
    <row r="25" spans="1:10" s="10" customFormat="1" ht="12" customHeight="1" x14ac:dyDescent="0.25">
      <c r="A25" s="180">
        <v>6</v>
      </c>
      <c r="B25" s="20" t="s">
        <v>74</v>
      </c>
      <c r="C25" s="111">
        <v>5.0000000000000001E-3</v>
      </c>
      <c r="D25" s="111">
        <v>5.0000000000000001E-3</v>
      </c>
      <c r="E25" s="13">
        <f>цены!F87</f>
        <v>120</v>
      </c>
      <c r="F25" s="13">
        <f t="shared" si="2"/>
        <v>0.6</v>
      </c>
      <c r="G25" s="97">
        <f t="shared" si="0"/>
        <v>0.05</v>
      </c>
      <c r="H25" s="21">
        <f t="shared" si="0"/>
        <v>0.05</v>
      </c>
      <c r="I25" s="21">
        <f t="shared" si="1"/>
        <v>0.5</v>
      </c>
      <c r="J25" s="21">
        <f t="shared" si="1"/>
        <v>0.5</v>
      </c>
    </row>
    <row r="26" spans="1:10" s="10" customFormat="1" ht="12" customHeight="1" x14ac:dyDescent="0.25">
      <c r="A26" s="184"/>
      <c r="B26" s="93" t="s">
        <v>437</v>
      </c>
      <c r="C26" s="112"/>
      <c r="D26" s="112">
        <v>0.15</v>
      </c>
      <c r="E26" s="95"/>
      <c r="F26" s="95"/>
      <c r="G26" s="99"/>
      <c r="H26" s="100"/>
      <c r="I26" s="100"/>
      <c r="J26" s="100"/>
    </row>
    <row r="27" spans="1:10" s="10" customFormat="1" ht="12" customHeight="1" x14ac:dyDescent="0.25">
      <c r="A27" s="180"/>
      <c r="B27" s="20" t="s">
        <v>672</v>
      </c>
      <c r="C27" s="111">
        <v>1.4999999999999999E-2</v>
      </c>
      <c r="D27" s="111">
        <v>1.4999999999999999E-2</v>
      </c>
      <c r="E27" s="13">
        <f>цены!F29</f>
        <v>320</v>
      </c>
      <c r="F27" s="408">
        <f t="shared" si="2"/>
        <v>4.8</v>
      </c>
      <c r="G27" s="207">
        <f>C27*10</f>
        <v>0.15</v>
      </c>
      <c r="H27" s="208">
        <f>D27*10</f>
        <v>0.15</v>
      </c>
      <c r="I27" s="208">
        <f>C27*100</f>
        <v>1.5</v>
      </c>
      <c r="J27" s="208">
        <f>D27*100</f>
        <v>1.5</v>
      </c>
    </row>
    <row r="28" spans="1:10" s="10" customFormat="1" ht="12" customHeight="1" x14ac:dyDescent="0.25">
      <c r="A28" s="190"/>
      <c r="B28" s="93" t="s">
        <v>673</v>
      </c>
      <c r="C28" s="191"/>
      <c r="D28" s="191">
        <v>0.16500000000000001</v>
      </c>
      <c r="E28" s="192"/>
      <c r="F28" s="192">
        <f>SUM(F19:F27)</f>
        <v>19.18</v>
      </c>
      <c r="G28" s="231"/>
      <c r="H28" s="232"/>
      <c r="I28" s="232"/>
      <c r="J28" s="232"/>
    </row>
    <row r="29" spans="1:10" s="10" customFormat="1" ht="26.4" customHeight="1" x14ac:dyDescent="0.25">
      <c r="A29" s="1536" t="s">
        <v>35</v>
      </c>
      <c r="B29" s="1536"/>
      <c r="C29" s="90"/>
      <c r="D29" s="90"/>
      <c r="E29" s="13"/>
      <c r="F29" s="13">
        <f>F28</f>
        <v>19.18</v>
      </c>
      <c r="G29" s="404"/>
      <c r="H29" s="404"/>
      <c r="I29" s="21"/>
      <c r="J29" s="13"/>
    </row>
    <row r="30" spans="1:10" s="10" customFormat="1" ht="22.35" customHeight="1" x14ac:dyDescent="0.25">
      <c r="A30" s="1536" t="s">
        <v>36</v>
      </c>
      <c r="B30" s="1536"/>
      <c r="C30" s="90">
        <v>165</v>
      </c>
      <c r="D30" s="90"/>
      <c r="E30" s="13"/>
      <c r="F30" s="13"/>
      <c r="G30" s="13"/>
      <c r="H30" s="13"/>
      <c r="I30" s="21"/>
      <c r="J30" s="17"/>
    </row>
    <row r="31" spans="1:10" s="10" customFormat="1" ht="25.35" customHeight="1" x14ac:dyDescent="0.25">
      <c r="A31" s="1539" t="s">
        <v>37</v>
      </c>
      <c r="B31" s="1562"/>
      <c r="C31" s="91">
        <v>165</v>
      </c>
      <c r="D31" s="92"/>
      <c r="E31" s="403"/>
      <c r="F31" s="403"/>
      <c r="G31" s="403"/>
      <c r="H31" s="403"/>
      <c r="I31" s="21"/>
      <c r="J31" s="17"/>
    </row>
    <row r="32" spans="1:10" s="10" customFormat="1" ht="15" customHeight="1" x14ac:dyDescent="0.25">
      <c r="A32" s="1539" t="s">
        <v>38</v>
      </c>
      <c r="B32" s="1540"/>
      <c r="C32" s="92">
        <f>C30/C31</f>
        <v>1</v>
      </c>
      <c r="D32" s="92"/>
      <c r="E32" s="403"/>
      <c r="F32" s="403"/>
      <c r="G32" s="403"/>
      <c r="H32" s="403"/>
      <c r="I32" s="21"/>
      <c r="J32" s="17"/>
    </row>
    <row r="33" spans="1:10" ht="16.350000000000001" customHeight="1" x14ac:dyDescent="0.25">
      <c r="A33" s="1541" t="s">
        <v>39</v>
      </c>
      <c r="B33" s="1542"/>
      <c r="C33" s="15" t="s">
        <v>40</v>
      </c>
      <c r="D33" s="102"/>
      <c r="E33" s="102" t="s">
        <v>40</v>
      </c>
      <c r="F33" s="16">
        <f>F29/C32</f>
        <v>19.18</v>
      </c>
      <c r="G33" s="16"/>
      <c r="H33" s="16"/>
      <c r="I33" s="102" t="s">
        <v>40</v>
      </c>
      <c r="J33" s="102" t="s">
        <v>40</v>
      </c>
    </row>
    <row r="34" spans="1:10" ht="23.1" customHeight="1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193"/>
      <c r="B35" s="1194" t="s">
        <v>49</v>
      </c>
      <c r="C35" s="1198"/>
      <c r="D35" s="1198"/>
      <c r="E35" s="1198"/>
      <c r="F35" s="1198"/>
      <c r="G35" s="1193"/>
      <c r="H35" s="1557">
        <f>'1-бутерброд с маслом'!$H$28</f>
        <v>0</v>
      </c>
      <c r="I35" s="1557"/>
      <c r="J35" s="1557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545" t="s">
        <v>327</v>
      </c>
      <c r="B37" s="1545"/>
      <c r="C37" s="1546" t="s">
        <v>328</v>
      </c>
      <c r="D37" s="1546"/>
      <c r="E37" s="1546"/>
      <c r="F37" s="1546"/>
      <c r="G37" s="106"/>
      <c r="H37" s="1531"/>
      <c r="I37" s="1531"/>
      <c r="J37" s="1531"/>
    </row>
    <row r="38" spans="1:10" x14ac:dyDescent="0.25">
      <c r="A38" s="1193"/>
      <c r="B38" s="1193"/>
      <c r="C38" s="1546"/>
      <c r="D38" s="1546"/>
      <c r="E38" s="1546"/>
      <c r="F38" s="1546"/>
      <c r="G38" s="1193"/>
      <c r="H38" s="1531" t="s">
        <v>329</v>
      </c>
      <c r="I38" s="1531"/>
      <c r="J38" s="1531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7:B37"/>
    <mergeCell ref="C37:F38"/>
    <mergeCell ref="H37:J37"/>
    <mergeCell ref="H38:J38"/>
    <mergeCell ref="A30:B30"/>
    <mergeCell ref="A31:B31"/>
    <mergeCell ref="A32:B32"/>
    <mergeCell ref="A33:B33"/>
    <mergeCell ref="H35:J35"/>
    <mergeCell ref="A29:B29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40"/>
  <sheetViews>
    <sheetView view="pageBreakPreview" zoomScaleNormal="100" zoomScaleSheetLayoutView="100" workbookViewId="0">
      <selection activeCell="A7" sqref="A7:I7"/>
    </sheetView>
  </sheetViews>
  <sheetFormatPr defaultRowHeight="13.8" x14ac:dyDescent="0.25"/>
  <cols>
    <col min="1" max="1" width="4.109375" customWidth="1"/>
    <col min="2" max="2" width="24.44140625" customWidth="1"/>
    <col min="3" max="7" width="7.5546875" customWidth="1"/>
    <col min="8" max="8" width="8.44140625" customWidth="1"/>
    <col min="9" max="9" width="7.5546875" customWidth="1"/>
    <col min="10" max="10" width="9" customWidth="1"/>
    <col min="11" max="11" width="3.5546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294)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396</v>
      </c>
    </row>
    <row r="8" spans="1:10" s="2" customFormat="1" ht="9.6" customHeight="1" x14ac:dyDescent="0.25">
      <c r="A8" s="401"/>
      <c r="B8" s="401"/>
      <c r="C8" s="401"/>
      <c r="D8" s="401"/>
      <c r="E8" s="401"/>
      <c r="F8" s="401"/>
      <c r="G8" s="401"/>
      <c r="H8" s="401"/>
      <c r="I8" s="401"/>
      <c r="J8" s="109"/>
    </row>
    <row r="9" spans="1:10" s="2" customFormat="1" ht="26.1" customHeight="1" x14ac:dyDescent="0.3">
      <c r="A9" s="1550" t="s">
        <v>677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'396-Блины  с медом'!H14+1</f>
        <v>294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402" t="s">
        <v>92</v>
      </c>
      <c r="D17" s="402" t="s">
        <v>94</v>
      </c>
      <c r="E17" s="402" t="s">
        <v>93</v>
      </c>
      <c r="F17" s="402" t="s">
        <v>23</v>
      </c>
      <c r="G17" s="402" t="s">
        <v>92</v>
      </c>
      <c r="H17" s="402" t="s">
        <v>94</v>
      </c>
      <c r="I17" s="402" t="s">
        <v>92</v>
      </c>
      <c r="J17" s="402" t="s">
        <v>94</v>
      </c>
    </row>
    <row r="18" spans="1:10" ht="9.6" customHeight="1" x14ac:dyDescent="0.25">
      <c r="A18" s="402">
        <v>1</v>
      </c>
      <c r="B18" s="403">
        <v>2</v>
      </c>
      <c r="C18" s="402">
        <v>3</v>
      </c>
      <c r="D18" s="403">
        <v>4</v>
      </c>
      <c r="E18" s="402">
        <v>5</v>
      </c>
      <c r="F18" s="403">
        <v>6</v>
      </c>
      <c r="G18" s="402">
        <v>7</v>
      </c>
      <c r="H18" s="403">
        <v>8</v>
      </c>
      <c r="I18" s="402">
        <v>9</v>
      </c>
      <c r="J18" s="403">
        <v>10</v>
      </c>
    </row>
    <row r="19" spans="1:10" s="10" customFormat="1" ht="12" customHeight="1" x14ac:dyDescent="0.25">
      <c r="A19" s="180">
        <v>1</v>
      </c>
      <c r="B19" s="20" t="s">
        <v>45</v>
      </c>
      <c r="C19" s="111">
        <v>7.4999999999999997E-2</v>
      </c>
      <c r="D19" s="111">
        <v>7.4999999999999997E-2</v>
      </c>
      <c r="E19" s="13">
        <f>цены!F74</f>
        <v>36</v>
      </c>
      <c r="F19" s="13">
        <f>C19*E19</f>
        <v>2.7</v>
      </c>
      <c r="G19" s="97">
        <f t="shared" ref="G19:H25" si="0">C19*10</f>
        <v>0.75</v>
      </c>
      <c r="H19" s="21">
        <f t="shared" si="0"/>
        <v>0.75</v>
      </c>
      <c r="I19" s="21">
        <f t="shared" ref="I19:J25" si="1">C19*100</f>
        <v>7.5</v>
      </c>
      <c r="J19" s="21">
        <f t="shared" si="1"/>
        <v>7.5</v>
      </c>
    </row>
    <row r="20" spans="1:10" s="10" customFormat="1" ht="12" customHeight="1" x14ac:dyDescent="0.25">
      <c r="A20" s="180">
        <v>2</v>
      </c>
      <c r="B20" s="20" t="s">
        <v>30</v>
      </c>
      <c r="C20" s="111">
        <v>3.0000000000000001E-3</v>
      </c>
      <c r="D20" s="111">
        <v>3.0000000000000001E-3</v>
      </c>
      <c r="E20" s="13">
        <f>цены!F107</f>
        <v>76</v>
      </c>
      <c r="F20" s="13">
        <f t="shared" ref="F20:F25" si="2">C20*E20</f>
        <v>0.23</v>
      </c>
      <c r="G20" s="97">
        <f t="shared" si="0"/>
        <v>0.03</v>
      </c>
      <c r="H20" s="21">
        <f t="shared" si="0"/>
        <v>0.03</v>
      </c>
      <c r="I20" s="21">
        <f t="shared" si="1"/>
        <v>0.3</v>
      </c>
      <c r="J20" s="21">
        <f t="shared" si="1"/>
        <v>0.3</v>
      </c>
    </row>
    <row r="21" spans="1:10" s="10" customFormat="1" ht="12" customHeight="1" x14ac:dyDescent="0.25">
      <c r="A21" s="180">
        <v>3</v>
      </c>
      <c r="B21" s="20" t="s">
        <v>34</v>
      </c>
      <c r="C21" s="111">
        <v>0.11799999999999999</v>
      </c>
      <c r="D21" s="111">
        <v>0.11799999999999999</v>
      </c>
      <c r="E21" s="13">
        <f>цены!F20</f>
        <v>80</v>
      </c>
      <c r="F21" s="13">
        <f t="shared" si="2"/>
        <v>9.44</v>
      </c>
      <c r="G21" s="97">
        <f t="shared" si="0"/>
        <v>1.18</v>
      </c>
      <c r="H21" s="21">
        <f t="shared" si="0"/>
        <v>1.18</v>
      </c>
      <c r="I21" s="21">
        <f t="shared" si="1"/>
        <v>11.8</v>
      </c>
      <c r="J21" s="21">
        <f t="shared" si="1"/>
        <v>11.8</v>
      </c>
    </row>
    <row r="22" spans="1:10" s="10" customFormat="1" ht="12" customHeight="1" x14ac:dyDescent="0.25">
      <c r="A22" s="180">
        <v>4</v>
      </c>
      <c r="B22" s="20" t="s">
        <v>435</v>
      </c>
      <c r="C22" s="111">
        <v>3.0000000000000001E-3</v>
      </c>
      <c r="D22" s="111">
        <v>3.0000000000000001E-3</v>
      </c>
      <c r="E22" s="13">
        <f>цены!F93</f>
        <v>455</v>
      </c>
      <c r="F22" s="13">
        <f t="shared" si="2"/>
        <v>1.37</v>
      </c>
      <c r="G22" s="97">
        <f t="shared" si="0"/>
        <v>0.03</v>
      </c>
      <c r="H22" s="21">
        <f t="shared" si="0"/>
        <v>0.03</v>
      </c>
      <c r="I22" s="21">
        <f t="shared" si="1"/>
        <v>0.3</v>
      </c>
      <c r="J22" s="21">
        <f t="shared" si="1"/>
        <v>0.3</v>
      </c>
    </row>
    <row r="23" spans="1:10" s="10" customFormat="1" ht="12" customHeight="1" x14ac:dyDescent="0.25">
      <c r="A23" s="180">
        <v>5</v>
      </c>
      <c r="B23" s="20" t="s">
        <v>33</v>
      </c>
      <c r="C23" s="113">
        <v>1.5E-3</v>
      </c>
      <c r="D23" s="113">
        <v>1.5E-3</v>
      </c>
      <c r="E23" s="13">
        <f>цены!F110</f>
        <v>24</v>
      </c>
      <c r="F23" s="13">
        <f t="shared" si="2"/>
        <v>0.04</v>
      </c>
      <c r="G23" s="97">
        <f t="shared" si="0"/>
        <v>1.4999999999999999E-2</v>
      </c>
      <c r="H23" s="21">
        <f t="shared" si="0"/>
        <v>1.4999999999999999E-2</v>
      </c>
      <c r="I23" s="21">
        <f t="shared" si="1"/>
        <v>0.15</v>
      </c>
      <c r="J23" s="21">
        <f t="shared" si="1"/>
        <v>0.15</v>
      </c>
    </row>
    <row r="24" spans="1:10" s="10" customFormat="1" ht="12" customHeight="1" x14ac:dyDescent="0.25">
      <c r="A24" s="416"/>
      <c r="B24" s="93" t="s">
        <v>436</v>
      </c>
      <c r="C24" s="238"/>
      <c r="D24" s="238">
        <v>0.19500000000000001</v>
      </c>
      <c r="E24" s="192"/>
      <c r="F24" s="192"/>
      <c r="G24" s="231"/>
      <c r="H24" s="232">
        <f t="shared" si="0"/>
        <v>1.95</v>
      </c>
      <c r="I24" s="232"/>
      <c r="J24" s="232">
        <f t="shared" si="1"/>
        <v>19.5</v>
      </c>
    </row>
    <row r="25" spans="1:10" s="10" customFormat="1" ht="12" customHeight="1" x14ac:dyDescent="0.25">
      <c r="A25" s="180">
        <v>6</v>
      </c>
      <c r="B25" s="20" t="s">
        <v>74</v>
      </c>
      <c r="C25" s="111">
        <v>5.0000000000000001E-3</v>
      </c>
      <c r="D25" s="111">
        <v>5.0000000000000001E-3</v>
      </c>
      <c r="E25" s="13">
        <f>цены!F87</f>
        <v>120</v>
      </c>
      <c r="F25" s="13">
        <f t="shared" si="2"/>
        <v>0.6</v>
      </c>
      <c r="G25" s="97">
        <f t="shared" si="0"/>
        <v>0.05</v>
      </c>
      <c r="H25" s="21">
        <f t="shared" si="0"/>
        <v>0.05</v>
      </c>
      <c r="I25" s="21">
        <f t="shared" si="1"/>
        <v>0.5</v>
      </c>
      <c r="J25" s="21">
        <f t="shared" si="1"/>
        <v>0.5</v>
      </c>
    </row>
    <row r="26" spans="1:10" s="10" customFormat="1" ht="12" customHeight="1" x14ac:dyDescent="0.25">
      <c r="A26" s="184"/>
      <c r="B26" s="93" t="s">
        <v>437</v>
      </c>
      <c r="C26" s="112"/>
      <c r="D26" s="112">
        <v>0.15</v>
      </c>
      <c r="E26" s="95"/>
      <c r="F26" s="95"/>
      <c r="G26" s="99"/>
      <c r="H26" s="100"/>
      <c r="I26" s="100"/>
      <c r="J26" s="100"/>
    </row>
    <row r="27" spans="1:10" s="10" customFormat="1" ht="12" customHeight="1" x14ac:dyDescent="0.25">
      <c r="A27" s="237">
        <v>7</v>
      </c>
      <c r="B27" s="20" t="s">
        <v>85</v>
      </c>
      <c r="C27" s="205">
        <v>0.02</v>
      </c>
      <c r="D27" s="205">
        <v>0.02</v>
      </c>
      <c r="E27" s="206">
        <f>цены!F25</f>
        <v>250</v>
      </c>
      <c r="F27" s="206">
        <f>C27*E27</f>
        <v>5</v>
      </c>
      <c r="G27" s="207">
        <f>C27*10</f>
        <v>0.2</v>
      </c>
      <c r="H27" s="208">
        <f>D27*10</f>
        <v>0.2</v>
      </c>
      <c r="I27" s="208">
        <f>C27*100</f>
        <v>2</v>
      </c>
      <c r="J27" s="208">
        <f>D27*100</f>
        <v>2</v>
      </c>
    </row>
    <row r="28" spans="1:10" s="10" customFormat="1" ht="19.95" customHeight="1" x14ac:dyDescent="0.25">
      <c r="A28" s="184"/>
      <c r="B28" s="93" t="s">
        <v>678</v>
      </c>
      <c r="C28" s="112"/>
      <c r="D28" s="112">
        <v>0.17</v>
      </c>
      <c r="E28" s="95"/>
      <c r="F28" s="95">
        <f>SUM(F19:F27)</f>
        <v>19.38</v>
      </c>
      <c r="G28" s="99"/>
      <c r="H28" s="100">
        <f>D28*10</f>
        <v>1.7</v>
      </c>
      <c r="I28" s="100"/>
      <c r="J28" s="100">
        <f>D28*100</f>
        <v>17</v>
      </c>
    </row>
    <row r="29" spans="1:10" s="10" customFormat="1" ht="26.4" customHeight="1" x14ac:dyDescent="0.25">
      <c r="A29" s="1536" t="s">
        <v>35</v>
      </c>
      <c r="B29" s="1536"/>
      <c r="C29" s="90"/>
      <c r="D29" s="90"/>
      <c r="E29" s="13"/>
      <c r="F29" s="13">
        <f>F28</f>
        <v>19.38</v>
      </c>
      <c r="G29" s="404"/>
      <c r="H29" s="404"/>
      <c r="I29" s="21"/>
      <c r="J29" s="13"/>
    </row>
    <row r="30" spans="1:10" s="10" customFormat="1" ht="22.35" customHeight="1" x14ac:dyDescent="0.25">
      <c r="A30" s="1536" t="s">
        <v>36</v>
      </c>
      <c r="B30" s="1536"/>
      <c r="C30" s="90">
        <v>170</v>
      </c>
      <c r="D30" s="90"/>
      <c r="E30" s="13"/>
      <c r="F30" s="13"/>
      <c r="G30" s="13"/>
      <c r="H30" s="13"/>
      <c r="I30" s="21"/>
      <c r="J30" s="17"/>
    </row>
    <row r="31" spans="1:10" s="10" customFormat="1" ht="25.35" customHeight="1" x14ac:dyDescent="0.25">
      <c r="A31" s="1539" t="s">
        <v>37</v>
      </c>
      <c r="B31" s="1562"/>
      <c r="C31" s="91">
        <v>170</v>
      </c>
      <c r="D31" s="92"/>
      <c r="E31" s="403"/>
      <c r="F31" s="403"/>
      <c r="G31" s="403"/>
      <c r="H31" s="403"/>
      <c r="I31" s="21"/>
      <c r="J31" s="17"/>
    </row>
    <row r="32" spans="1:10" s="10" customFormat="1" ht="15" customHeight="1" x14ac:dyDescent="0.25">
      <c r="A32" s="1539" t="s">
        <v>38</v>
      </c>
      <c r="B32" s="1540"/>
      <c r="C32" s="92">
        <f>C30/C31</f>
        <v>1</v>
      </c>
      <c r="D32" s="92"/>
      <c r="E32" s="403"/>
      <c r="F32" s="403"/>
      <c r="G32" s="403"/>
      <c r="H32" s="403"/>
      <c r="I32" s="21"/>
      <c r="J32" s="17"/>
    </row>
    <row r="33" spans="1:10" ht="16.350000000000001" customHeight="1" x14ac:dyDescent="0.25">
      <c r="A33" s="1541" t="s">
        <v>39</v>
      </c>
      <c r="B33" s="1542"/>
      <c r="C33" s="15" t="s">
        <v>40</v>
      </c>
      <c r="D33" s="102"/>
      <c r="E33" s="102" t="s">
        <v>40</v>
      </c>
      <c r="F33" s="16">
        <f>F29/C32</f>
        <v>19.38</v>
      </c>
      <c r="G33" s="16"/>
      <c r="H33" s="16"/>
      <c r="I33" s="102" t="s">
        <v>40</v>
      </c>
      <c r="J33" s="102" t="s">
        <v>40</v>
      </c>
    </row>
    <row r="34" spans="1:10" ht="23.1" customHeight="1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193"/>
      <c r="B35" s="1194" t="s">
        <v>49</v>
      </c>
      <c r="C35" s="1198"/>
      <c r="D35" s="1198"/>
      <c r="E35" s="1198"/>
      <c r="F35" s="1198"/>
      <c r="G35" s="1193"/>
      <c r="H35" s="1557">
        <f>'1-бутерброд с маслом'!$H$28</f>
        <v>0</v>
      </c>
      <c r="I35" s="1557"/>
      <c r="J35" s="1557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545" t="s">
        <v>327</v>
      </c>
      <c r="B37" s="1545"/>
      <c r="C37" s="1546" t="s">
        <v>328</v>
      </c>
      <c r="D37" s="1546"/>
      <c r="E37" s="1546"/>
      <c r="F37" s="1546"/>
      <c r="G37" s="106"/>
      <c r="H37" s="1531"/>
      <c r="I37" s="1531"/>
      <c r="J37" s="1531"/>
    </row>
    <row r="38" spans="1:10" x14ac:dyDescent="0.25">
      <c r="A38" s="1193"/>
      <c r="B38" s="1193"/>
      <c r="C38" s="1546"/>
      <c r="D38" s="1546"/>
      <c r="E38" s="1546"/>
      <c r="F38" s="1546"/>
      <c r="G38" s="1193"/>
      <c r="H38" s="1531" t="s">
        <v>329</v>
      </c>
      <c r="I38" s="1531"/>
      <c r="J38" s="1531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7:B37"/>
    <mergeCell ref="C37:F38"/>
    <mergeCell ref="H37:J37"/>
    <mergeCell ref="H38:J38"/>
    <mergeCell ref="A30:B30"/>
    <mergeCell ref="A31:B31"/>
    <mergeCell ref="A32:B32"/>
    <mergeCell ref="A33:B33"/>
    <mergeCell ref="H35:J35"/>
    <mergeCell ref="A29:B29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8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0.55468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88671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295)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400</v>
      </c>
    </row>
    <row r="8" spans="1:10" s="2" customFormat="1" ht="9.6" customHeight="1" x14ac:dyDescent="0.25">
      <c r="A8" s="303"/>
      <c r="B8" s="303"/>
      <c r="C8" s="303"/>
      <c r="D8" s="303"/>
      <c r="E8" s="303"/>
      <c r="F8" s="303"/>
      <c r="G8" s="303"/>
      <c r="H8" s="303"/>
      <c r="I8" s="303"/>
      <c r="J8" s="109"/>
    </row>
    <row r="9" spans="1:10" s="2" customFormat="1" ht="26.1" customHeight="1" x14ac:dyDescent="0.3">
      <c r="A9" s="1550" t="s">
        <v>559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'396-Блины  со сгущ.'!H14+1</f>
        <v>295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304" t="s">
        <v>92</v>
      </c>
      <c r="D17" s="304" t="s">
        <v>94</v>
      </c>
      <c r="E17" s="304" t="s">
        <v>93</v>
      </c>
      <c r="F17" s="304" t="s">
        <v>23</v>
      </c>
      <c r="G17" s="304" t="s">
        <v>92</v>
      </c>
      <c r="H17" s="304" t="s">
        <v>94</v>
      </c>
      <c r="I17" s="304" t="s">
        <v>92</v>
      </c>
      <c r="J17" s="304" t="s">
        <v>94</v>
      </c>
    </row>
    <row r="18" spans="1:10" ht="9.6" customHeight="1" x14ac:dyDescent="0.25">
      <c r="A18" s="304">
        <v>1</v>
      </c>
      <c r="B18" s="305">
        <v>2</v>
      </c>
      <c r="C18" s="304">
        <v>3</v>
      </c>
      <c r="D18" s="305">
        <v>4</v>
      </c>
      <c r="E18" s="304">
        <v>5</v>
      </c>
      <c r="F18" s="305">
        <v>6</v>
      </c>
      <c r="G18" s="304">
        <v>7</v>
      </c>
      <c r="H18" s="305">
        <v>8</v>
      </c>
      <c r="I18" s="304">
        <v>9</v>
      </c>
      <c r="J18" s="305">
        <v>10</v>
      </c>
    </row>
    <row r="19" spans="1:10" s="10" customFormat="1" ht="14.1" customHeight="1" x14ac:dyDescent="0.25">
      <c r="A19" s="180">
        <v>1</v>
      </c>
      <c r="B19" s="20" t="s">
        <v>45</v>
      </c>
      <c r="C19" s="21">
        <v>0.48099999999999998</v>
      </c>
      <c r="D19" s="21">
        <v>0.48099999999999998</v>
      </c>
      <c r="E19" s="13">
        <f>цены!F74</f>
        <v>36</v>
      </c>
      <c r="F19" s="13">
        <f t="shared" ref="F19:F25" si="0">C19*E19</f>
        <v>17.32</v>
      </c>
      <c r="G19" s="97">
        <f t="shared" ref="G19:H25" si="1">C19*10</f>
        <v>4.8099999999999996</v>
      </c>
      <c r="H19" s="21">
        <f t="shared" si="1"/>
        <v>4.8099999999999996</v>
      </c>
      <c r="I19" s="21">
        <f t="shared" ref="I19:J25" si="2">C19*100</f>
        <v>48.1</v>
      </c>
      <c r="J19" s="21">
        <f t="shared" si="2"/>
        <v>48.1</v>
      </c>
    </row>
    <row r="20" spans="1:10" s="10" customFormat="1" ht="12" customHeight="1" x14ac:dyDescent="0.25">
      <c r="A20" s="180">
        <v>2</v>
      </c>
      <c r="B20" s="20" t="s">
        <v>560</v>
      </c>
      <c r="C20" s="111">
        <v>2.76E-2</v>
      </c>
      <c r="D20" s="21">
        <v>2.4E-2</v>
      </c>
      <c r="E20" s="13">
        <f>цены!F30</f>
        <v>152.16999999999999</v>
      </c>
      <c r="F20" s="13">
        <f t="shared" si="0"/>
        <v>4.2</v>
      </c>
      <c r="G20" s="97">
        <f t="shared" si="1"/>
        <v>0.27600000000000002</v>
      </c>
      <c r="H20" s="21">
        <f t="shared" si="1"/>
        <v>0.24</v>
      </c>
      <c r="I20" s="21">
        <f t="shared" si="2"/>
        <v>2.76</v>
      </c>
      <c r="J20" s="21">
        <f t="shared" si="2"/>
        <v>2.4</v>
      </c>
    </row>
    <row r="21" spans="1:10" s="10" customFormat="1" ht="12" customHeight="1" x14ac:dyDescent="0.25">
      <c r="A21" s="180">
        <v>3</v>
      </c>
      <c r="B21" s="20" t="s">
        <v>34</v>
      </c>
      <c r="C21" s="21">
        <v>0.24</v>
      </c>
      <c r="D21" s="21">
        <v>0.24</v>
      </c>
      <c r="E21" s="13">
        <f>цены!F20</f>
        <v>80</v>
      </c>
      <c r="F21" s="13">
        <f t="shared" si="0"/>
        <v>19.2</v>
      </c>
      <c r="G21" s="97">
        <f t="shared" si="1"/>
        <v>2.4</v>
      </c>
      <c r="H21" s="21">
        <f t="shared" si="1"/>
        <v>2.4</v>
      </c>
      <c r="I21" s="21">
        <f t="shared" si="2"/>
        <v>24</v>
      </c>
      <c r="J21" s="21">
        <f t="shared" si="2"/>
        <v>24</v>
      </c>
    </row>
    <row r="22" spans="1:10" s="10" customFormat="1" ht="12" customHeight="1" x14ac:dyDescent="0.25">
      <c r="A22" s="180"/>
      <c r="B22" s="20" t="s">
        <v>28</v>
      </c>
      <c r="C22" s="21">
        <v>0.24099999999999999</v>
      </c>
      <c r="D22" s="21">
        <v>0.24099999999999999</v>
      </c>
      <c r="E22" s="13"/>
      <c r="F22" s="13"/>
      <c r="G22" s="97">
        <f>C22*10</f>
        <v>2.41</v>
      </c>
      <c r="H22" s="21">
        <f>D22*10</f>
        <v>2.41</v>
      </c>
      <c r="I22" s="21">
        <f>C22*100</f>
        <v>24.1</v>
      </c>
      <c r="J22" s="21">
        <f>D22*100</f>
        <v>24.1</v>
      </c>
    </row>
    <row r="23" spans="1:10" s="10" customFormat="1" ht="12" customHeight="1" x14ac:dyDescent="0.25">
      <c r="A23" s="180">
        <v>4</v>
      </c>
      <c r="B23" s="20" t="s">
        <v>126</v>
      </c>
      <c r="C23" s="21">
        <v>1.4E-2</v>
      </c>
      <c r="D23" s="21">
        <v>1.4E-2</v>
      </c>
      <c r="E23" s="13">
        <f>цены!F93</f>
        <v>455</v>
      </c>
      <c r="F23" s="13">
        <f t="shared" si="0"/>
        <v>6.37</v>
      </c>
      <c r="G23" s="97">
        <f t="shared" si="1"/>
        <v>0.14000000000000001</v>
      </c>
      <c r="H23" s="21">
        <f t="shared" si="1"/>
        <v>0.14000000000000001</v>
      </c>
      <c r="I23" s="21">
        <f t="shared" si="2"/>
        <v>1.4</v>
      </c>
      <c r="J23" s="21">
        <f t="shared" si="2"/>
        <v>1.4</v>
      </c>
    </row>
    <row r="24" spans="1:10" s="10" customFormat="1" ht="12" customHeight="1" x14ac:dyDescent="0.25">
      <c r="A24" s="180">
        <v>5</v>
      </c>
      <c r="B24" s="20" t="s">
        <v>30</v>
      </c>
      <c r="C24" s="21">
        <v>1.7000000000000001E-2</v>
      </c>
      <c r="D24" s="21">
        <v>1.7000000000000001E-2</v>
      </c>
      <c r="E24" s="13">
        <f>цены!F107</f>
        <v>76</v>
      </c>
      <c r="F24" s="13">
        <f t="shared" si="0"/>
        <v>1.29</v>
      </c>
      <c r="G24" s="97">
        <f t="shared" si="1"/>
        <v>0.17</v>
      </c>
      <c r="H24" s="21">
        <f t="shared" si="1"/>
        <v>0.17</v>
      </c>
      <c r="I24" s="21">
        <f t="shared" si="2"/>
        <v>1.7</v>
      </c>
      <c r="J24" s="21">
        <f t="shared" si="2"/>
        <v>1.7</v>
      </c>
    </row>
    <row r="25" spans="1:10" s="10" customFormat="1" ht="12" customHeight="1" x14ac:dyDescent="0.25">
      <c r="A25" s="180">
        <v>6</v>
      </c>
      <c r="B25" s="20" t="s">
        <v>33</v>
      </c>
      <c r="C25" s="21">
        <v>8.9999999999999993E-3</v>
      </c>
      <c r="D25" s="21">
        <v>8.9999999999999993E-3</v>
      </c>
      <c r="E25" s="13">
        <f>цены!F110</f>
        <v>24</v>
      </c>
      <c r="F25" s="13">
        <f t="shared" si="0"/>
        <v>0.22</v>
      </c>
      <c r="G25" s="97">
        <f t="shared" si="1"/>
        <v>0.09</v>
      </c>
      <c r="H25" s="21">
        <f t="shared" si="1"/>
        <v>0.09</v>
      </c>
      <c r="I25" s="21">
        <f t="shared" si="2"/>
        <v>0.9</v>
      </c>
      <c r="J25" s="21">
        <f t="shared" si="2"/>
        <v>0.9</v>
      </c>
    </row>
    <row r="26" spans="1:10" s="10" customFormat="1" ht="12" customHeight="1" x14ac:dyDescent="0.25">
      <c r="A26" s="98"/>
      <c r="B26" s="93" t="s">
        <v>100</v>
      </c>
      <c r="C26" s="100"/>
      <c r="D26" s="100">
        <v>1</v>
      </c>
      <c r="E26" s="95"/>
      <c r="F26" s="95">
        <f>SUM(F19:F25)</f>
        <v>48.6</v>
      </c>
      <c r="G26" s="99"/>
      <c r="H26" s="100">
        <f>D26*10</f>
        <v>10</v>
      </c>
      <c r="I26" s="100"/>
      <c r="J26" s="100">
        <f>D26*100</f>
        <v>100</v>
      </c>
    </row>
    <row r="27" spans="1:10" s="10" customFormat="1" ht="27.6" customHeight="1" x14ac:dyDescent="0.25">
      <c r="A27" s="1536" t="s">
        <v>35</v>
      </c>
      <c r="B27" s="1536"/>
      <c r="C27" s="90"/>
      <c r="D27" s="90"/>
      <c r="E27" s="13"/>
      <c r="F27" s="13">
        <f>F26</f>
        <v>48.6</v>
      </c>
      <c r="G27" s="306"/>
      <c r="H27" s="306"/>
      <c r="I27" s="21"/>
      <c r="J27" s="13"/>
    </row>
    <row r="28" spans="1:10" s="10" customFormat="1" ht="25.35" customHeight="1" x14ac:dyDescent="0.25">
      <c r="A28" s="1536" t="s">
        <v>36</v>
      </c>
      <c r="B28" s="1536"/>
      <c r="C28" s="90">
        <v>1000</v>
      </c>
      <c r="D28" s="90"/>
      <c r="E28" s="13"/>
      <c r="F28" s="13"/>
      <c r="G28" s="13"/>
      <c r="H28" s="13"/>
      <c r="I28" s="21"/>
      <c r="J28" s="17"/>
    </row>
    <row r="29" spans="1:10" s="10" customFormat="1" ht="25.35" customHeight="1" x14ac:dyDescent="0.25">
      <c r="A29" s="1537" t="s">
        <v>37</v>
      </c>
      <c r="B29" s="1538"/>
      <c r="C29" s="91">
        <v>1000</v>
      </c>
      <c r="D29" s="92"/>
      <c r="E29" s="305"/>
      <c r="F29" s="305"/>
      <c r="G29" s="305"/>
      <c r="H29" s="305"/>
      <c r="I29" s="21"/>
      <c r="J29" s="17"/>
    </row>
    <row r="30" spans="1:10" s="10" customFormat="1" ht="15" customHeight="1" x14ac:dyDescent="0.25">
      <c r="A30" s="1539" t="s">
        <v>38</v>
      </c>
      <c r="B30" s="1540"/>
      <c r="C30" s="92">
        <f>C28/C29</f>
        <v>1</v>
      </c>
      <c r="D30" s="92"/>
      <c r="E30" s="305"/>
      <c r="F30" s="305"/>
      <c r="G30" s="305"/>
      <c r="H30" s="305"/>
      <c r="I30" s="21"/>
      <c r="J30" s="17"/>
    </row>
    <row r="31" spans="1:10" ht="16.350000000000001" customHeight="1" x14ac:dyDescent="0.25">
      <c r="A31" s="1541" t="s">
        <v>39</v>
      </c>
      <c r="B31" s="1542"/>
      <c r="C31" s="15" t="s">
        <v>40</v>
      </c>
      <c r="D31" s="102"/>
      <c r="E31" s="102" t="s">
        <v>40</v>
      </c>
      <c r="F31" s="16">
        <f>F27/C30</f>
        <v>48.6</v>
      </c>
      <c r="G31" s="16"/>
      <c r="H31" s="16"/>
      <c r="I31" s="102" t="s">
        <v>40</v>
      </c>
      <c r="J31" s="102" t="s">
        <v>40</v>
      </c>
    </row>
    <row r="32" spans="1:10" ht="23.1" customHeight="1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193"/>
      <c r="B33" s="1194" t="s">
        <v>49</v>
      </c>
      <c r="C33" s="1198"/>
      <c r="D33" s="1198"/>
      <c r="E33" s="1198"/>
      <c r="F33" s="1198"/>
      <c r="G33" s="1193"/>
      <c r="H33" s="1557">
        <f>'1-бутерброд с маслом'!$H$28</f>
        <v>0</v>
      </c>
      <c r="I33" s="1557"/>
      <c r="J33" s="1557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545" t="s">
        <v>327</v>
      </c>
      <c r="B35" s="1545"/>
      <c r="C35" s="1546" t="s">
        <v>328</v>
      </c>
      <c r="D35" s="1546"/>
      <c r="E35" s="1546"/>
      <c r="F35" s="1546"/>
      <c r="G35" s="106"/>
      <c r="H35" s="1531"/>
      <c r="I35" s="1531"/>
      <c r="J35" s="1531"/>
    </row>
    <row r="36" spans="1:10" x14ac:dyDescent="0.25">
      <c r="A36" s="1193"/>
      <c r="B36" s="1193"/>
      <c r="C36" s="1546"/>
      <c r="D36" s="1546"/>
      <c r="E36" s="1546"/>
      <c r="F36" s="1546"/>
      <c r="G36" s="1193"/>
      <c r="H36" s="1531" t="s">
        <v>329</v>
      </c>
      <c r="I36" s="1531"/>
      <c r="J36" s="1531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5:B35"/>
    <mergeCell ref="C35:F36"/>
    <mergeCell ref="H35:J35"/>
    <mergeCell ref="H36:J36"/>
    <mergeCell ref="A28:B28"/>
    <mergeCell ref="A29:B29"/>
    <mergeCell ref="A30:B30"/>
    <mergeCell ref="A31:B31"/>
    <mergeCell ref="H33:J33"/>
    <mergeCell ref="A27:B27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5"/>
  <sheetViews>
    <sheetView view="pageBreakPreview" topLeftCell="A3" zoomScaleNormal="100" zoomScaleSheetLayoutView="100" workbookViewId="0">
      <selection activeCell="P21" sqref="P21"/>
    </sheetView>
  </sheetViews>
  <sheetFormatPr defaultColWidth="8.88671875" defaultRowHeight="13.8" x14ac:dyDescent="0.25"/>
  <cols>
    <col min="1" max="1" width="4.109375" style="564" customWidth="1"/>
    <col min="2" max="2" width="24.44140625" style="564" customWidth="1"/>
    <col min="3" max="7" width="7.5546875" style="564" customWidth="1"/>
    <col min="8" max="8" width="8.44140625" style="564" customWidth="1"/>
    <col min="9" max="9" width="7.5546875" style="564" customWidth="1"/>
    <col min="10" max="10" width="9" style="564" customWidth="1"/>
    <col min="11" max="11" width="5" style="564" customWidth="1"/>
    <col min="12" max="16384" width="8.88671875" style="564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296)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401</v>
      </c>
    </row>
    <row r="8" spans="1:10" s="2" customFormat="1" ht="9.6" customHeight="1" x14ac:dyDescent="0.25">
      <c r="A8" s="569"/>
      <c r="B8" s="569"/>
      <c r="C8" s="569"/>
      <c r="D8" s="569"/>
      <c r="E8" s="569"/>
      <c r="F8" s="569"/>
      <c r="G8" s="569"/>
      <c r="H8" s="569"/>
      <c r="I8" s="569"/>
      <c r="J8" s="109"/>
    </row>
    <row r="9" spans="1:10" s="2" customFormat="1" ht="26.1" customHeight="1" x14ac:dyDescent="0.3">
      <c r="A9" s="1550" t="s">
        <v>841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'400-тесто для оладий'!H14+1</f>
        <v>296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565" t="s">
        <v>92</v>
      </c>
      <c r="D17" s="565" t="s">
        <v>94</v>
      </c>
      <c r="E17" s="565" t="s">
        <v>93</v>
      </c>
      <c r="F17" s="565" t="s">
        <v>23</v>
      </c>
      <c r="G17" s="565" t="s">
        <v>92</v>
      </c>
      <c r="H17" s="565" t="s">
        <v>94</v>
      </c>
      <c r="I17" s="565" t="s">
        <v>92</v>
      </c>
      <c r="J17" s="565" t="s">
        <v>94</v>
      </c>
    </row>
    <row r="18" spans="1:10" ht="9.6" customHeight="1" x14ac:dyDescent="0.25">
      <c r="A18" s="565">
        <v>1</v>
      </c>
      <c r="B18" s="567">
        <v>2</v>
      </c>
      <c r="C18" s="565">
        <v>3</v>
      </c>
      <c r="D18" s="567">
        <v>4</v>
      </c>
      <c r="E18" s="565">
        <v>5</v>
      </c>
      <c r="F18" s="567">
        <v>6</v>
      </c>
      <c r="G18" s="565">
        <v>7</v>
      </c>
      <c r="H18" s="567">
        <v>8</v>
      </c>
      <c r="I18" s="565">
        <v>9</v>
      </c>
      <c r="J18" s="567">
        <v>10</v>
      </c>
    </row>
    <row r="19" spans="1:10" s="10" customFormat="1" ht="12" customHeight="1" x14ac:dyDescent="0.25">
      <c r="A19" s="180">
        <v>1</v>
      </c>
      <c r="B19" s="20" t="s">
        <v>558</v>
      </c>
      <c r="C19" s="111">
        <v>0.17599999999999999</v>
      </c>
      <c r="D19" s="111">
        <v>0.17599999999999999</v>
      </c>
      <c r="E19" s="408">
        <f>'400-тесто для оладий'!F31</f>
        <v>48.6</v>
      </c>
      <c r="F19" s="408">
        <f>C19*E19</f>
        <v>8.5500000000000007</v>
      </c>
      <c r="G19" s="97">
        <f>C19*10</f>
        <v>1.76</v>
      </c>
      <c r="H19" s="21">
        <f>D19*10</f>
        <v>1.76</v>
      </c>
      <c r="I19" s="21">
        <f>C19*100</f>
        <v>17.600000000000001</v>
      </c>
      <c r="J19" s="21">
        <f>D19*100</f>
        <v>17.600000000000001</v>
      </c>
    </row>
    <row r="20" spans="1:10" s="10" customFormat="1" ht="12" customHeight="1" x14ac:dyDescent="0.25">
      <c r="A20" s="180">
        <v>2</v>
      </c>
      <c r="B20" s="20" t="s">
        <v>74</v>
      </c>
      <c r="C20" s="111">
        <v>8.9999999999999993E-3</v>
      </c>
      <c r="D20" s="111">
        <v>8.9999999999999993E-3</v>
      </c>
      <c r="E20" s="408">
        <f>цены!F87</f>
        <v>120</v>
      </c>
      <c r="F20" s="408">
        <f>C20*E20</f>
        <v>1.08</v>
      </c>
      <c r="G20" s="97">
        <f>C20*10</f>
        <v>0.09</v>
      </c>
      <c r="H20" s="21">
        <f>D20*10</f>
        <v>0.09</v>
      </c>
      <c r="I20" s="21">
        <f>C20*100</f>
        <v>0.9</v>
      </c>
      <c r="J20" s="21">
        <f>D20*100</f>
        <v>0.9</v>
      </c>
    </row>
    <row r="21" spans="1:10" s="10" customFormat="1" ht="12" customHeight="1" x14ac:dyDescent="0.25">
      <c r="A21" s="184"/>
      <c r="B21" s="93" t="s">
        <v>391</v>
      </c>
      <c r="C21" s="112"/>
      <c r="D21" s="112">
        <v>0.15</v>
      </c>
      <c r="E21" s="95"/>
      <c r="F21" s="95"/>
      <c r="G21" s="99"/>
      <c r="H21" s="100"/>
      <c r="I21" s="100"/>
      <c r="J21" s="100"/>
    </row>
    <row r="22" spans="1:10" s="10" customFormat="1" ht="12" customHeight="1" x14ac:dyDescent="0.25">
      <c r="A22" s="237">
        <v>3</v>
      </c>
      <c r="B22" s="123" t="s">
        <v>840</v>
      </c>
      <c r="C22" s="205">
        <v>1.4999999999999999E-2</v>
      </c>
      <c r="D22" s="205">
        <v>1.4999999999999999E-2</v>
      </c>
      <c r="E22" s="206">
        <f>цены!F106</f>
        <v>400</v>
      </c>
      <c r="F22" s="206">
        <f>C22*E22</f>
        <v>6</v>
      </c>
      <c r="G22" s="207">
        <f>C22*10</f>
        <v>0.15</v>
      </c>
      <c r="H22" s="208">
        <f>D22*10</f>
        <v>0.15</v>
      </c>
      <c r="I22" s="208">
        <f>C22*100</f>
        <v>1.5</v>
      </c>
      <c r="J22" s="208">
        <f>D22*100</f>
        <v>1.5</v>
      </c>
    </row>
    <row r="23" spans="1:10" s="10" customFormat="1" ht="12" customHeight="1" x14ac:dyDescent="0.25">
      <c r="A23" s="184"/>
      <c r="B23" s="93" t="s">
        <v>438</v>
      </c>
      <c r="C23" s="191"/>
      <c r="D23" s="191">
        <v>0.16500000000000001</v>
      </c>
      <c r="E23" s="192"/>
      <c r="F23" s="192">
        <f>SUM(F19:F22)</f>
        <v>15.63</v>
      </c>
      <c r="G23" s="231"/>
      <c r="H23" s="232"/>
      <c r="I23" s="232"/>
      <c r="J23" s="232"/>
    </row>
    <row r="24" spans="1:10" s="10" customFormat="1" ht="26.4" customHeight="1" x14ac:dyDescent="0.25">
      <c r="A24" s="1536" t="s">
        <v>35</v>
      </c>
      <c r="B24" s="1536"/>
      <c r="C24" s="90"/>
      <c r="D24" s="90"/>
      <c r="E24" s="408"/>
      <c r="F24" s="408">
        <f>F23</f>
        <v>15.63</v>
      </c>
      <c r="G24" s="566"/>
      <c r="H24" s="566"/>
      <c r="I24" s="21"/>
      <c r="J24" s="408"/>
    </row>
    <row r="25" spans="1:10" s="10" customFormat="1" ht="22.35" customHeight="1" x14ac:dyDescent="0.25">
      <c r="A25" s="1536" t="s">
        <v>36</v>
      </c>
      <c r="B25" s="1536"/>
      <c r="C25" s="90">
        <v>165</v>
      </c>
      <c r="D25" s="90"/>
      <c r="E25" s="408"/>
      <c r="F25" s="408"/>
      <c r="G25" s="408"/>
      <c r="H25" s="408"/>
      <c r="I25" s="21"/>
      <c r="J25" s="17"/>
    </row>
    <row r="26" spans="1:10" s="10" customFormat="1" ht="25.35" customHeight="1" x14ac:dyDescent="0.25">
      <c r="A26" s="1539" t="s">
        <v>37</v>
      </c>
      <c r="B26" s="1562"/>
      <c r="C26" s="91">
        <v>165</v>
      </c>
      <c r="D26" s="92"/>
      <c r="E26" s="567"/>
      <c r="F26" s="567"/>
      <c r="G26" s="567"/>
      <c r="H26" s="567"/>
      <c r="I26" s="21"/>
      <c r="J26" s="17"/>
    </row>
    <row r="27" spans="1:10" s="10" customFormat="1" ht="15" customHeight="1" x14ac:dyDescent="0.25">
      <c r="A27" s="1539" t="s">
        <v>38</v>
      </c>
      <c r="B27" s="1540"/>
      <c r="C27" s="92">
        <f>C25/C26</f>
        <v>1</v>
      </c>
      <c r="D27" s="92"/>
      <c r="E27" s="567"/>
      <c r="F27" s="567"/>
      <c r="G27" s="567"/>
      <c r="H27" s="567"/>
      <c r="I27" s="21"/>
      <c r="J27" s="17"/>
    </row>
    <row r="28" spans="1:10" ht="16.350000000000001" customHeight="1" x14ac:dyDescent="0.25">
      <c r="A28" s="1541" t="s">
        <v>39</v>
      </c>
      <c r="B28" s="1542"/>
      <c r="C28" s="15" t="s">
        <v>40</v>
      </c>
      <c r="D28" s="102"/>
      <c r="E28" s="102" t="s">
        <v>40</v>
      </c>
      <c r="F28" s="16">
        <f>F24/C27</f>
        <v>15.63</v>
      </c>
      <c r="G28" s="16"/>
      <c r="H28" s="16"/>
      <c r="I28" s="102" t="s">
        <v>40</v>
      </c>
      <c r="J28" s="102" t="s">
        <v>40</v>
      </c>
    </row>
    <row r="29" spans="1:10" ht="23.1" customHeight="1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0" ht="13.95" customHeight="1" x14ac:dyDescent="0.25">
      <c r="A30" s="1193"/>
      <c r="B30" s="1194" t="s">
        <v>49</v>
      </c>
      <c r="C30" s="1198"/>
      <c r="D30" s="1198"/>
      <c r="E30" s="1198"/>
      <c r="F30" s="1198"/>
      <c r="G30" s="1193"/>
      <c r="H30" s="1557">
        <f>'1-бутерброд с маслом'!$H$28</f>
        <v>0</v>
      </c>
      <c r="I30" s="1557"/>
      <c r="J30" s="1557"/>
    </row>
    <row r="31" spans="1:10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ht="13.95" customHeight="1" x14ac:dyDescent="0.25">
      <c r="A32" s="1545" t="s">
        <v>327</v>
      </c>
      <c r="B32" s="1545"/>
      <c r="C32" s="1546" t="s">
        <v>328</v>
      </c>
      <c r="D32" s="1546"/>
      <c r="E32" s="1546"/>
      <c r="F32" s="1546"/>
      <c r="G32" s="106"/>
      <c r="H32" s="1531"/>
      <c r="I32" s="1531"/>
      <c r="J32" s="1531"/>
    </row>
    <row r="33" spans="1:10" x14ac:dyDescent="0.25">
      <c r="A33" s="1193"/>
      <c r="B33" s="1193"/>
      <c r="C33" s="1546"/>
      <c r="D33" s="1546"/>
      <c r="E33" s="1546"/>
      <c r="F33" s="1546"/>
      <c r="G33" s="1193"/>
      <c r="H33" s="1531" t="s">
        <v>329</v>
      </c>
      <c r="I33" s="1531"/>
      <c r="J33" s="1531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</sheetData>
  <mergeCells count="28">
    <mergeCell ref="H30:J30"/>
    <mergeCell ref="A13:G13"/>
    <mergeCell ref="A25:B25"/>
    <mergeCell ref="A26:B26"/>
    <mergeCell ref="A27:B27"/>
    <mergeCell ref="A28:B28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2:B32"/>
    <mergeCell ref="C32:F33"/>
    <mergeCell ref="H32:J32"/>
    <mergeCell ref="H33:J33"/>
    <mergeCell ref="H5:I5"/>
    <mergeCell ref="A6:G6"/>
    <mergeCell ref="A7:I7"/>
    <mergeCell ref="A24:B24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7"/>
  <sheetViews>
    <sheetView view="pageBreakPreview" topLeftCell="A6" zoomScaleNormal="100" zoomScaleSheetLayoutView="100" workbookViewId="0">
      <selection activeCell="O25" sqref="O25"/>
    </sheetView>
  </sheetViews>
  <sheetFormatPr defaultRowHeight="13.8" x14ac:dyDescent="0.25"/>
  <cols>
    <col min="1" max="1" width="4.109375" customWidth="1"/>
    <col min="2" max="2" width="24.44140625" customWidth="1"/>
    <col min="3" max="7" width="7.5546875" customWidth="1"/>
    <col min="8" max="8" width="8.44140625" customWidth="1"/>
    <col min="9" max="9" width="7.5546875" customWidth="1"/>
    <col min="10" max="10" width="9" customWidth="1"/>
    <col min="11" max="11" width="2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297)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404</v>
      </c>
    </row>
    <row r="8" spans="1:10" s="2" customFormat="1" ht="9.6" customHeight="1" x14ac:dyDescent="0.25">
      <c r="A8" s="303"/>
      <c r="B8" s="303"/>
      <c r="C8" s="303"/>
      <c r="D8" s="303"/>
      <c r="E8" s="303"/>
      <c r="F8" s="303"/>
      <c r="G8" s="303"/>
      <c r="H8" s="303"/>
      <c r="I8" s="303"/>
      <c r="J8" s="109"/>
    </row>
    <row r="9" spans="1:10" s="2" customFormat="1" ht="26.1" customHeight="1" x14ac:dyDescent="0.3">
      <c r="A9" s="1550" t="s">
        <v>1370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'401-оладьи варенье'!H14+1</f>
        <v>297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304" t="s">
        <v>92</v>
      </c>
      <c r="D17" s="304" t="s">
        <v>94</v>
      </c>
      <c r="E17" s="304" t="s">
        <v>93</v>
      </c>
      <c r="F17" s="304" t="s">
        <v>23</v>
      </c>
      <c r="G17" s="304" t="s">
        <v>92</v>
      </c>
      <c r="H17" s="304" t="s">
        <v>94</v>
      </c>
      <c r="I17" s="304" t="s">
        <v>92</v>
      </c>
      <c r="J17" s="304" t="s">
        <v>94</v>
      </c>
    </row>
    <row r="18" spans="1:10" ht="9.6" customHeight="1" x14ac:dyDescent="0.25">
      <c r="A18" s="304">
        <v>1</v>
      </c>
      <c r="B18" s="305">
        <v>2</v>
      </c>
      <c r="C18" s="304">
        <v>3</v>
      </c>
      <c r="D18" s="305">
        <v>4</v>
      </c>
      <c r="E18" s="304">
        <v>5</v>
      </c>
      <c r="F18" s="305">
        <v>6</v>
      </c>
      <c r="G18" s="304">
        <v>7</v>
      </c>
      <c r="H18" s="305">
        <v>8</v>
      </c>
      <c r="I18" s="304">
        <v>9</v>
      </c>
      <c r="J18" s="305">
        <v>10</v>
      </c>
    </row>
    <row r="19" spans="1:10" s="10" customFormat="1" ht="12" customHeight="1" x14ac:dyDescent="0.25">
      <c r="A19" s="180">
        <v>1</v>
      </c>
      <c r="B19" s="20" t="s">
        <v>558</v>
      </c>
      <c r="C19" s="111">
        <v>0.151</v>
      </c>
      <c r="D19" s="111">
        <v>0.151</v>
      </c>
      <c r="E19" s="13">
        <f>'400-тесто для оладий'!F31</f>
        <v>48.6</v>
      </c>
      <c r="F19" s="13">
        <f>C19*E19</f>
        <v>7.34</v>
      </c>
      <c r="G19" s="97">
        <f t="shared" ref="G19:H22" si="0">C19*10</f>
        <v>1.51</v>
      </c>
      <c r="H19" s="21">
        <f t="shared" si="0"/>
        <v>1.51</v>
      </c>
      <c r="I19" s="21">
        <f t="shared" ref="I19:J22" si="1">C19*100</f>
        <v>15.1</v>
      </c>
      <c r="J19" s="21">
        <f t="shared" si="1"/>
        <v>15.1</v>
      </c>
    </row>
    <row r="20" spans="1:10" s="10" customFormat="1" ht="12" customHeight="1" x14ac:dyDescent="0.25">
      <c r="A20" s="180">
        <v>2</v>
      </c>
      <c r="B20" s="20" t="s">
        <v>57</v>
      </c>
      <c r="C20" s="111">
        <v>2.53E-2</v>
      </c>
      <c r="D20" s="111">
        <v>2.5000000000000001E-2</v>
      </c>
      <c r="E20" s="13">
        <f>цены!F23</f>
        <v>350</v>
      </c>
      <c r="F20" s="13">
        <f>C20*E20</f>
        <v>8.86</v>
      </c>
      <c r="G20" s="97">
        <f t="shared" si="0"/>
        <v>0.253</v>
      </c>
      <c r="H20" s="21">
        <f t="shared" si="0"/>
        <v>0.25</v>
      </c>
      <c r="I20" s="21">
        <f t="shared" si="1"/>
        <v>2.5299999999999998</v>
      </c>
      <c r="J20" s="21">
        <f t="shared" si="1"/>
        <v>2.5</v>
      </c>
    </row>
    <row r="21" spans="1:10" s="10" customFormat="1" ht="12" customHeight="1" x14ac:dyDescent="0.25">
      <c r="A21" s="184"/>
      <c r="B21" s="93" t="s">
        <v>97</v>
      </c>
      <c r="C21" s="112"/>
      <c r="D21" s="112">
        <v>0.17599999999999999</v>
      </c>
      <c r="E21" s="95"/>
      <c r="F21" s="95"/>
      <c r="G21" s="99"/>
      <c r="H21" s="100"/>
      <c r="I21" s="100"/>
      <c r="J21" s="100"/>
    </row>
    <row r="22" spans="1:10" s="10" customFormat="1" ht="12" customHeight="1" x14ac:dyDescent="0.25">
      <c r="A22" s="180">
        <v>3</v>
      </c>
      <c r="B22" s="20" t="s">
        <v>74</v>
      </c>
      <c r="C22" s="111">
        <v>5.0000000000000001E-3</v>
      </c>
      <c r="D22" s="111">
        <v>5.0000000000000001E-3</v>
      </c>
      <c r="E22" s="13">
        <f>цены!F87</f>
        <v>120</v>
      </c>
      <c r="F22" s="13">
        <f>C22*E22</f>
        <v>0.6</v>
      </c>
      <c r="G22" s="97">
        <f t="shared" si="0"/>
        <v>0.05</v>
      </c>
      <c r="H22" s="21">
        <f t="shared" si="0"/>
        <v>0.05</v>
      </c>
      <c r="I22" s="21">
        <f t="shared" si="1"/>
        <v>0.5</v>
      </c>
      <c r="J22" s="21">
        <f t="shared" si="1"/>
        <v>0.5</v>
      </c>
    </row>
    <row r="23" spans="1:10" s="10" customFormat="1" ht="12" customHeight="1" x14ac:dyDescent="0.25">
      <c r="A23" s="184"/>
      <c r="B23" s="93" t="s">
        <v>391</v>
      </c>
      <c r="C23" s="112"/>
      <c r="D23" s="112">
        <v>0.15</v>
      </c>
      <c r="E23" s="95"/>
      <c r="F23" s="95"/>
      <c r="G23" s="99"/>
      <c r="H23" s="100"/>
      <c r="I23" s="100"/>
      <c r="J23" s="100"/>
    </row>
    <row r="24" spans="1:10" s="10" customFormat="1" ht="12" customHeight="1" x14ac:dyDescent="0.25">
      <c r="A24" s="237">
        <v>4</v>
      </c>
      <c r="B24" s="123" t="s">
        <v>31</v>
      </c>
      <c r="C24" s="205">
        <v>0.01</v>
      </c>
      <c r="D24" s="205">
        <v>0.01</v>
      </c>
      <c r="E24" s="206">
        <f>цены!F21</f>
        <v>710</v>
      </c>
      <c r="F24" s="206">
        <f>C24*E24</f>
        <v>7.1</v>
      </c>
      <c r="G24" s="207">
        <f>C24*10</f>
        <v>0.1</v>
      </c>
      <c r="H24" s="208">
        <f>D24*10</f>
        <v>0.1</v>
      </c>
      <c r="I24" s="208">
        <f>C24*100</f>
        <v>1</v>
      </c>
      <c r="J24" s="208">
        <f>D24*100</f>
        <v>1</v>
      </c>
    </row>
    <row r="25" spans="1:10" s="10" customFormat="1" ht="12" customHeight="1" x14ac:dyDescent="0.25">
      <c r="A25" s="184"/>
      <c r="B25" s="93" t="s">
        <v>1319</v>
      </c>
      <c r="C25" s="191"/>
      <c r="D25" s="191">
        <v>160</v>
      </c>
      <c r="E25" s="192"/>
      <c r="F25" s="192">
        <f>SUM(F19:F24)</f>
        <v>23.9</v>
      </c>
      <c r="G25" s="231"/>
      <c r="H25" s="232"/>
      <c r="I25" s="232"/>
      <c r="J25" s="232"/>
    </row>
    <row r="26" spans="1:10" s="10" customFormat="1" ht="26.4" customHeight="1" x14ac:dyDescent="0.25">
      <c r="A26" s="1536" t="s">
        <v>35</v>
      </c>
      <c r="B26" s="1536"/>
      <c r="C26" s="90"/>
      <c r="D26" s="90"/>
      <c r="E26" s="13"/>
      <c r="F26" s="13">
        <f>F25</f>
        <v>23.9</v>
      </c>
      <c r="G26" s="306"/>
      <c r="H26" s="306"/>
      <c r="I26" s="21"/>
      <c r="J26" s="13"/>
    </row>
    <row r="27" spans="1:10" s="10" customFormat="1" ht="22.35" customHeight="1" x14ac:dyDescent="0.25">
      <c r="A27" s="1536" t="s">
        <v>36</v>
      </c>
      <c r="B27" s="1536"/>
      <c r="C27" s="90">
        <v>160</v>
      </c>
      <c r="D27" s="90"/>
      <c r="E27" s="13"/>
      <c r="F27" s="13"/>
      <c r="G27" s="13"/>
      <c r="H27" s="13"/>
      <c r="I27" s="21"/>
      <c r="J27" s="17"/>
    </row>
    <row r="28" spans="1:10" s="10" customFormat="1" ht="25.35" customHeight="1" x14ac:dyDescent="0.25">
      <c r="A28" s="1539" t="s">
        <v>37</v>
      </c>
      <c r="B28" s="1562"/>
      <c r="C28" s="91">
        <v>160</v>
      </c>
      <c r="D28" s="92"/>
      <c r="E28" s="305"/>
      <c r="F28" s="305"/>
      <c r="G28" s="305"/>
      <c r="H28" s="305"/>
      <c r="I28" s="21"/>
      <c r="J28" s="17"/>
    </row>
    <row r="29" spans="1:10" s="10" customFormat="1" ht="15" customHeight="1" x14ac:dyDescent="0.25">
      <c r="A29" s="1539" t="s">
        <v>38</v>
      </c>
      <c r="B29" s="1540"/>
      <c r="C29" s="92">
        <f>C27/C28</f>
        <v>1</v>
      </c>
      <c r="D29" s="92"/>
      <c r="E29" s="305"/>
      <c r="F29" s="305"/>
      <c r="G29" s="305"/>
      <c r="H29" s="305"/>
      <c r="I29" s="21"/>
      <c r="J29" s="17"/>
    </row>
    <row r="30" spans="1:10" ht="16.350000000000001" customHeight="1" x14ac:dyDescent="0.25">
      <c r="A30" s="1541" t="s">
        <v>39</v>
      </c>
      <c r="B30" s="1542"/>
      <c r="C30" s="15" t="s">
        <v>40</v>
      </c>
      <c r="D30" s="102"/>
      <c r="E30" s="102" t="s">
        <v>40</v>
      </c>
      <c r="F30" s="16">
        <f>F26/C29</f>
        <v>23.9</v>
      </c>
      <c r="G30" s="16"/>
      <c r="H30" s="16"/>
      <c r="I30" s="102" t="s">
        <v>40</v>
      </c>
      <c r="J30" s="102" t="s">
        <v>40</v>
      </c>
    </row>
    <row r="31" spans="1:10" ht="23.1" customHeight="1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ht="13.95" customHeight="1" x14ac:dyDescent="0.25">
      <c r="A32" s="1193"/>
      <c r="B32" s="1194" t="s">
        <v>49</v>
      </c>
      <c r="C32" s="1198"/>
      <c r="D32" s="1198"/>
      <c r="E32" s="1198"/>
      <c r="F32" s="1198"/>
      <c r="G32" s="1193"/>
      <c r="H32" s="1557">
        <f>'1-бутерброд с маслом'!$H$28</f>
        <v>0</v>
      </c>
      <c r="I32" s="1557"/>
      <c r="J32" s="1557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545" t="s">
        <v>327</v>
      </c>
      <c r="B34" s="1545"/>
      <c r="C34" s="1546" t="s">
        <v>328</v>
      </c>
      <c r="D34" s="1546"/>
      <c r="E34" s="1546"/>
      <c r="F34" s="1546"/>
      <c r="G34" s="106"/>
      <c r="H34" s="1531"/>
      <c r="I34" s="1531"/>
      <c r="J34" s="1531"/>
    </row>
    <row r="35" spans="1:10" x14ac:dyDescent="0.25">
      <c r="A35" s="1193"/>
      <c r="B35" s="1193"/>
      <c r="C35" s="1546"/>
      <c r="D35" s="1546"/>
      <c r="E35" s="1546"/>
      <c r="F35" s="1546"/>
      <c r="G35" s="1193"/>
      <c r="H35" s="1531" t="s">
        <v>329</v>
      </c>
      <c r="I35" s="1531"/>
      <c r="J35" s="1531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4:B34"/>
    <mergeCell ref="C34:F35"/>
    <mergeCell ref="H34:J34"/>
    <mergeCell ref="H35:J35"/>
    <mergeCell ref="A27:B27"/>
    <mergeCell ref="A28:B28"/>
    <mergeCell ref="A29:B29"/>
    <mergeCell ref="A30:B30"/>
    <mergeCell ref="H32:J32"/>
    <mergeCell ref="A26:B26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8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0.55468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298)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405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161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'404-оладьи с маслом'!H14+1</f>
        <v>298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/>
      <c r="B19" s="20" t="s">
        <v>45</v>
      </c>
      <c r="C19" s="21">
        <v>0.63300000000000001</v>
      </c>
      <c r="D19" s="21">
        <v>0.63300000000000001</v>
      </c>
      <c r="E19" s="13">
        <f>цены!F74</f>
        <v>36</v>
      </c>
      <c r="F19" s="13">
        <f t="shared" ref="F19:F24" si="0">C19*E19</f>
        <v>22.79</v>
      </c>
      <c r="G19" s="97">
        <f t="shared" ref="G19:H24" si="1">C19*10</f>
        <v>6.33</v>
      </c>
      <c r="H19" s="21">
        <f t="shared" si="1"/>
        <v>6.33</v>
      </c>
      <c r="I19" s="21">
        <f t="shared" ref="I19:J24" si="2">C19*100</f>
        <v>63.3</v>
      </c>
      <c r="J19" s="21">
        <f t="shared" si="2"/>
        <v>63.3</v>
      </c>
    </row>
    <row r="20" spans="1:10" s="10" customFormat="1" ht="12" customHeight="1" x14ac:dyDescent="0.25">
      <c r="A20" s="180"/>
      <c r="B20" s="20" t="s">
        <v>30</v>
      </c>
      <c r="C20" s="21">
        <v>4.3999999999999997E-2</v>
      </c>
      <c r="D20" s="21">
        <v>4.3999999999999997E-2</v>
      </c>
      <c r="E20" s="13">
        <f>цены!F107</f>
        <v>76</v>
      </c>
      <c r="F20" s="13">
        <f t="shared" si="0"/>
        <v>3.34</v>
      </c>
      <c r="G20" s="97">
        <f t="shared" si="1"/>
        <v>0.44</v>
      </c>
      <c r="H20" s="21">
        <f t="shared" si="1"/>
        <v>0.44</v>
      </c>
      <c r="I20" s="21">
        <f t="shared" si="2"/>
        <v>4.4000000000000004</v>
      </c>
      <c r="J20" s="21">
        <f t="shared" si="2"/>
        <v>4.4000000000000004</v>
      </c>
    </row>
    <row r="21" spans="1:10" s="10" customFormat="1" ht="12" customHeight="1" x14ac:dyDescent="0.25">
      <c r="A21" s="180"/>
      <c r="B21" s="20" t="s">
        <v>125</v>
      </c>
      <c r="C21" s="21">
        <v>1.9E-2</v>
      </c>
      <c r="D21" s="21">
        <v>1.9E-2</v>
      </c>
      <c r="E21" s="13">
        <f>цены!F86</f>
        <v>198</v>
      </c>
      <c r="F21" s="13">
        <f t="shared" si="0"/>
        <v>3.76</v>
      </c>
      <c r="G21" s="97">
        <f t="shared" si="1"/>
        <v>0.19</v>
      </c>
      <c r="H21" s="21">
        <f t="shared" si="1"/>
        <v>0.19</v>
      </c>
      <c r="I21" s="21">
        <f t="shared" si="2"/>
        <v>1.9</v>
      </c>
      <c r="J21" s="21">
        <f t="shared" si="2"/>
        <v>1.9</v>
      </c>
    </row>
    <row r="22" spans="1:10" s="10" customFormat="1" ht="12" customHeight="1" x14ac:dyDescent="0.25">
      <c r="A22" s="180"/>
      <c r="B22" s="20" t="s">
        <v>33</v>
      </c>
      <c r="C22" s="21">
        <v>0.01</v>
      </c>
      <c r="D22" s="21">
        <v>0.01</v>
      </c>
      <c r="E22" s="13">
        <f>цены!F110</f>
        <v>24</v>
      </c>
      <c r="F22" s="13">
        <f t="shared" si="0"/>
        <v>0.24</v>
      </c>
      <c r="G22" s="97">
        <f t="shared" si="1"/>
        <v>0.1</v>
      </c>
      <c r="H22" s="21">
        <f t="shared" si="1"/>
        <v>0.1</v>
      </c>
      <c r="I22" s="21">
        <f t="shared" si="2"/>
        <v>1</v>
      </c>
      <c r="J22" s="21">
        <f t="shared" si="2"/>
        <v>1</v>
      </c>
    </row>
    <row r="23" spans="1:10" s="10" customFormat="1" ht="12" customHeight="1" x14ac:dyDescent="0.25">
      <c r="A23" s="180"/>
      <c r="B23" s="20" t="s">
        <v>126</v>
      </c>
      <c r="C23" s="21">
        <v>1.9E-2</v>
      </c>
      <c r="D23" s="21">
        <v>1.9E-2</v>
      </c>
      <c r="E23" s="13">
        <f>цены!F93</f>
        <v>455</v>
      </c>
      <c r="F23" s="13">
        <f t="shared" si="0"/>
        <v>8.65</v>
      </c>
      <c r="G23" s="97">
        <f t="shared" si="1"/>
        <v>0.19</v>
      </c>
      <c r="H23" s="21">
        <f t="shared" si="1"/>
        <v>0.19</v>
      </c>
      <c r="I23" s="21">
        <f t="shared" si="2"/>
        <v>1.9</v>
      </c>
      <c r="J23" s="21">
        <f t="shared" si="2"/>
        <v>1.9</v>
      </c>
    </row>
    <row r="24" spans="1:10" s="10" customFormat="1" ht="12" customHeight="1" x14ac:dyDescent="0.25">
      <c r="A24" s="180"/>
      <c r="B24" s="20" t="s">
        <v>28</v>
      </c>
      <c r="C24" s="21">
        <v>0.3</v>
      </c>
      <c r="D24" s="21">
        <v>0.3</v>
      </c>
      <c r="E24" s="13"/>
      <c r="F24" s="13">
        <f t="shared" si="0"/>
        <v>0</v>
      </c>
      <c r="G24" s="97">
        <f t="shared" si="1"/>
        <v>3</v>
      </c>
      <c r="H24" s="21">
        <f t="shared" si="1"/>
        <v>3</v>
      </c>
      <c r="I24" s="21">
        <f t="shared" si="2"/>
        <v>30</v>
      </c>
      <c r="J24" s="21">
        <f t="shared" si="2"/>
        <v>30</v>
      </c>
    </row>
    <row r="25" spans="1:10" s="10" customFormat="1" ht="12" customHeight="1" x14ac:dyDescent="0.25">
      <c r="A25" s="98"/>
      <c r="B25" s="93" t="s">
        <v>100</v>
      </c>
      <c r="C25" s="100"/>
      <c r="D25" s="100">
        <v>1</v>
      </c>
      <c r="E25" s="95"/>
      <c r="F25" s="95">
        <f>SUM(F19:F24)</f>
        <v>38.78</v>
      </c>
      <c r="G25" s="99"/>
      <c r="H25" s="100">
        <f>D25*10</f>
        <v>10</v>
      </c>
      <c r="I25" s="100"/>
      <c r="J25" s="100">
        <f>D25*100</f>
        <v>100</v>
      </c>
    </row>
    <row r="26" spans="1:10" s="10" customFormat="1" ht="12" customHeight="1" x14ac:dyDescent="0.25">
      <c r="A26" s="122"/>
      <c r="B26" s="123" t="s">
        <v>127</v>
      </c>
      <c r="C26" s="126"/>
      <c r="D26" s="129">
        <v>40</v>
      </c>
      <c r="E26" s="127"/>
      <c r="F26" s="127"/>
      <c r="G26" s="128"/>
      <c r="H26" s="126"/>
      <c r="I26" s="126"/>
      <c r="J26" s="126"/>
    </row>
    <row r="27" spans="1:10" s="10" customFormat="1" ht="27.6" customHeight="1" x14ac:dyDescent="0.25">
      <c r="A27" s="1536" t="s">
        <v>35</v>
      </c>
      <c r="B27" s="1536"/>
      <c r="C27" s="90"/>
      <c r="D27" s="90"/>
      <c r="E27" s="13"/>
      <c r="F27" s="13">
        <f>F25</f>
        <v>38.78</v>
      </c>
      <c r="G27" s="14"/>
      <c r="H27" s="14"/>
      <c r="I27" s="21"/>
      <c r="J27" s="13"/>
    </row>
    <row r="28" spans="1:10" s="10" customFormat="1" ht="25.35" customHeight="1" x14ac:dyDescent="0.25">
      <c r="A28" s="1536" t="s">
        <v>36</v>
      </c>
      <c r="B28" s="1536"/>
      <c r="C28" s="90">
        <v>1000</v>
      </c>
      <c r="D28" s="90"/>
      <c r="E28" s="13"/>
      <c r="F28" s="13"/>
      <c r="G28" s="13"/>
      <c r="H28" s="13"/>
      <c r="I28" s="21"/>
      <c r="J28" s="17"/>
    </row>
    <row r="29" spans="1:10" s="10" customFormat="1" ht="25.35" customHeight="1" x14ac:dyDescent="0.25">
      <c r="A29" s="1537" t="s">
        <v>37</v>
      </c>
      <c r="B29" s="1538"/>
      <c r="C29" s="91">
        <v>1000</v>
      </c>
      <c r="D29" s="92"/>
      <c r="E29" s="5"/>
      <c r="F29" s="5"/>
      <c r="G29" s="5"/>
      <c r="H29" s="5"/>
      <c r="I29" s="21"/>
      <c r="J29" s="17"/>
    </row>
    <row r="30" spans="1:10" s="10" customFormat="1" ht="15" customHeight="1" x14ac:dyDescent="0.25">
      <c r="A30" s="1539" t="s">
        <v>38</v>
      </c>
      <c r="B30" s="1540"/>
      <c r="C30" s="92">
        <f>C28/C29</f>
        <v>1</v>
      </c>
      <c r="D30" s="92"/>
      <c r="E30" s="5"/>
      <c r="F30" s="5"/>
      <c r="G30" s="5"/>
      <c r="H30" s="5"/>
      <c r="I30" s="21"/>
      <c r="J30" s="17"/>
    </row>
    <row r="31" spans="1:10" ht="16.350000000000001" customHeight="1" x14ac:dyDescent="0.25">
      <c r="A31" s="1541" t="s">
        <v>39</v>
      </c>
      <c r="B31" s="1542"/>
      <c r="C31" s="15" t="s">
        <v>40</v>
      </c>
      <c r="D31" s="102"/>
      <c r="E31" s="102" t="s">
        <v>40</v>
      </c>
      <c r="F31" s="16">
        <f>F27/C30</f>
        <v>38.78</v>
      </c>
      <c r="G31" s="16"/>
      <c r="H31" s="16"/>
      <c r="I31" s="102" t="s">
        <v>40</v>
      </c>
      <c r="J31" s="102" t="s">
        <v>40</v>
      </c>
    </row>
    <row r="32" spans="1:10" ht="23.1" customHeight="1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193"/>
      <c r="B33" s="1194" t="s">
        <v>49</v>
      </c>
      <c r="C33" s="1198"/>
      <c r="D33" s="1198"/>
      <c r="E33" s="1198"/>
      <c r="F33" s="1198"/>
      <c r="G33" s="1193"/>
      <c r="H33" s="1557">
        <f>'1-бутерброд с маслом'!$H$28</f>
        <v>0</v>
      </c>
      <c r="I33" s="1557"/>
      <c r="J33" s="1557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545" t="s">
        <v>327</v>
      </c>
      <c r="B35" s="1545"/>
      <c r="C35" s="1546" t="s">
        <v>328</v>
      </c>
      <c r="D35" s="1546"/>
      <c r="E35" s="1546"/>
      <c r="F35" s="1546"/>
      <c r="G35" s="106"/>
      <c r="H35" s="1531"/>
      <c r="I35" s="1531"/>
      <c r="J35" s="1531"/>
    </row>
    <row r="36" spans="1:10" x14ac:dyDescent="0.25">
      <c r="A36" s="1193"/>
      <c r="B36" s="1193"/>
      <c r="C36" s="1546"/>
      <c r="D36" s="1546"/>
      <c r="E36" s="1546"/>
      <c r="F36" s="1546"/>
      <c r="G36" s="1193"/>
      <c r="H36" s="1531" t="s">
        <v>329</v>
      </c>
      <c r="I36" s="1531"/>
      <c r="J36" s="1531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5:B35"/>
    <mergeCell ref="C35:F36"/>
    <mergeCell ref="H35:J35"/>
    <mergeCell ref="H36:J36"/>
    <mergeCell ref="A28:B28"/>
    <mergeCell ref="A29:B29"/>
    <mergeCell ref="A30:B30"/>
    <mergeCell ref="A31:B31"/>
    <mergeCell ref="H33:J33"/>
    <mergeCell ref="A27:B27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9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0.55468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2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299)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405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162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'405-тесто дрожжевое'!H14+1</f>
        <v>299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/>
      <c r="B19" s="20" t="s">
        <v>45</v>
      </c>
      <c r="C19" s="21">
        <v>0.64</v>
      </c>
      <c r="D19" s="21">
        <v>0.64</v>
      </c>
      <c r="E19" s="13">
        <f>цены!F74</f>
        <v>36</v>
      </c>
      <c r="F19" s="13">
        <f>C19*E19</f>
        <v>23.04</v>
      </c>
      <c r="G19" s="97">
        <f t="shared" ref="G19:H25" si="0">C19*10</f>
        <v>6.4</v>
      </c>
      <c r="H19" s="21">
        <f t="shared" si="0"/>
        <v>6.4</v>
      </c>
      <c r="I19" s="21">
        <f t="shared" ref="I19:J25" si="1">C19*100</f>
        <v>64</v>
      </c>
      <c r="J19" s="21">
        <f t="shared" si="1"/>
        <v>64</v>
      </c>
    </row>
    <row r="20" spans="1:10" s="10" customFormat="1" ht="12" customHeight="1" x14ac:dyDescent="0.25">
      <c r="A20" s="180"/>
      <c r="B20" s="20" t="s">
        <v>30</v>
      </c>
      <c r="C20" s="21">
        <v>4.5999999999999999E-2</v>
      </c>
      <c r="D20" s="21">
        <v>4.5999999999999999E-2</v>
      </c>
      <c r="E20" s="13">
        <f>цены!F107</f>
        <v>76</v>
      </c>
      <c r="F20" s="13">
        <f t="shared" ref="F20:F25" si="2">C20*E20</f>
        <v>3.5</v>
      </c>
      <c r="G20" s="97">
        <f t="shared" si="0"/>
        <v>0.46</v>
      </c>
      <c r="H20" s="21">
        <f t="shared" si="0"/>
        <v>0.46</v>
      </c>
      <c r="I20" s="21">
        <f t="shared" si="1"/>
        <v>4.5999999999999996</v>
      </c>
      <c r="J20" s="21">
        <f t="shared" si="1"/>
        <v>4.5999999999999996</v>
      </c>
    </row>
    <row r="21" spans="1:10" s="10" customFormat="1" ht="12" customHeight="1" x14ac:dyDescent="0.25">
      <c r="A21" s="180"/>
      <c r="B21" s="20" t="s">
        <v>125</v>
      </c>
      <c r="C21" s="21">
        <v>6.9000000000000006E-2</v>
      </c>
      <c r="D21" s="21">
        <v>6.9000000000000006E-2</v>
      </c>
      <c r="E21" s="13">
        <f>цены!F86</f>
        <v>198</v>
      </c>
      <c r="F21" s="13">
        <f t="shared" si="2"/>
        <v>13.66</v>
      </c>
      <c r="G21" s="97">
        <f t="shared" si="0"/>
        <v>0.69</v>
      </c>
      <c r="H21" s="21">
        <f t="shared" si="0"/>
        <v>0.69</v>
      </c>
      <c r="I21" s="21">
        <f t="shared" si="1"/>
        <v>6.9</v>
      </c>
      <c r="J21" s="21">
        <f t="shared" si="1"/>
        <v>6.9</v>
      </c>
    </row>
    <row r="22" spans="1:10" s="10" customFormat="1" ht="12" customHeight="1" x14ac:dyDescent="0.25">
      <c r="A22" s="180"/>
      <c r="B22" s="20" t="s">
        <v>309</v>
      </c>
      <c r="C22" s="21">
        <v>6.9000000000000006E-2</v>
      </c>
      <c r="D22" s="21">
        <v>6.9000000000000006E-2</v>
      </c>
      <c r="E22" s="13">
        <f>цены!F131</f>
        <v>180</v>
      </c>
      <c r="F22" s="13">
        <f>C22*E22</f>
        <v>12.42</v>
      </c>
      <c r="G22" s="97">
        <f t="shared" si="0"/>
        <v>0.69</v>
      </c>
      <c r="H22" s="21">
        <f t="shared" si="0"/>
        <v>0.69</v>
      </c>
      <c r="I22" s="21">
        <f t="shared" si="1"/>
        <v>6.9</v>
      </c>
      <c r="J22" s="21">
        <f t="shared" si="1"/>
        <v>6.9</v>
      </c>
    </row>
    <row r="23" spans="1:10" s="10" customFormat="1" ht="12" customHeight="1" x14ac:dyDescent="0.25">
      <c r="A23" s="180"/>
      <c r="B23" s="20" t="s">
        <v>33</v>
      </c>
      <c r="C23" s="21">
        <v>8.0000000000000002E-3</v>
      </c>
      <c r="D23" s="21">
        <v>8.0000000000000002E-3</v>
      </c>
      <c r="E23" s="13">
        <f>цены!F110</f>
        <v>24</v>
      </c>
      <c r="F23" s="13">
        <f t="shared" si="2"/>
        <v>0.19</v>
      </c>
      <c r="G23" s="97">
        <f t="shared" si="0"/>
        <v>0.08</v>
      </c>
      <c r="H23" s="21">
        <f t="shared" si="0"/>
        <v>0.08</v>
      </c>
      <c r="I23" s="21">
        <f t="shared" si="1"/>
        <v>0.8</v>
      </c>
      <c r="J23" s="21">
        <f t="shared" si="1"/>
        <v>0.8</v>
      </c>
    </row>
    <row r="24" spans="1:10" s="10" customFormat="1" ht="12" customHeight="1" x14ac:dyDescent="0.25">
      <c r="A24" s="180"/>
      <c r="B24" s="20" t="s">
        <v>126</v>
      </c>
      <c r="C24" s="21">
        <v>2.3E-2</v>
      </c>
      <c r="D24" s="21">
        <v>2.3E-2</v>
      </c>
      <c r="E24" s="13">
        <f>цены!F93</f>
        <v>455</v>
      </c>
      <c r="F24" s="13">
        <f t="shared" si="2"/>
        <v>10.47</v>
      </c>
      <c r="G24" s="97">
        <f t="shared" si="0"/>
        <v>0.23</v>
      </c>
      <c r="H24" s="21">
        <f t="shared" si="0"/>
        <v>0.23</v>
      </c>
      <c r="I24" s="21">
        <f t="shared" si="1"/>
        <v>2.2999999999999998</v>
      </c>
      <c r="J24" s="21">
        <f t="shared" si="1"/>
        <v>2.2999999999999998</v>
      </c>
    </row>
    <row r="25" spans="1:10" s="10" customFormat="1" ht="12" customHeight="1" x14ac:dyDescent="0.25">
      <c r="A25" s="180"/>
      <c r="B25" s="20" t="s">
        <v>28</v>
      </c>
      <c r="C25" s="21">
        <v>0.17</v>
      </c>
      <c r="D25" s="21">
        <v>0.17</v>
      </c>
      <c r="E25" s="13"/>
      <c r="F25" s="13">
        <f t="shared" si="2"/>
        <v>0</v>
      </c>
      <c r="G25" s="97">
        <f t="shared" si="0"/>
        <v>1.7</v>
      </c>
      <c r="H25" s="21">
        <f t="shared" si="0"/>
        <v>1.7</v>
      </c>
      <c r="I25" s="21">
        <f t="shared" si="1"/>
        <v>17</v>
      </c>
      <c r="J25" s="21">
        <f t="shared" si="1"/>
        <v>17</v>
      </c>
    </row>
    <row r="26" spans="1:10" s="10" customFormat="1" ht="12" customHeight="1" x14ac:dyDescent="0.25">
      <c r="A26" s="98"/>
      <c r="B26" s="93" t="s">
        <v>100</v>
      </c>
      <c r="C26" s="100"/>
      <c r="D26" s="100">
        <v>1</v>
      </c>
      <c r="E26" s="95"/>
      <c r="F26" s="95">
        <f>SUM(F19:F25)</f>
        <v>63.28</v>
      </c>
      <c r="G26" s="99"/>
      <c r="H26" s="100">
        <f>D26*10</f>
        <v>10</v>
      </c>
      <c r="I26" s="100"/>
      <c r="J26" s="100">
        <f>D26*100</f>
        <v>100</v>
      </c>
    </row>
    <row r="27" spans="1:10" s="10" customFormat="1" ht="12" customHeight="1" x14ac:dyDescent="0.25">
      <c r="A27" s="122"/>
      <c r="B27" s="123" t="s">
        <v>127</v>
      </c>
      <c r="C27" s="126"/>
      <c r="D27" s="129">
        <v>33</v>
      </c>
      <c r="E27" s="127"/>
      <c r="F27" s="127"/>
      <c r="G27" s="128"/>
      <c r="H27" s="126"/>
      <c r="I27" s="126"/>
      <c r="J27" s="126"/>
    </row>
    <row r="28" spans="1:10" s="10" customFormat="1" ht="27.6" customHeight="1" x14ac:dyDescent="0.25">
      <c r="A28" s="1536" t="s">
        <v>35</v>
      </c>
      <c r="B28" s="1536"/>
      <c r="C28" s="90"/>
      <c r="D28" s="90"/>
      <c r="E28" s="13"/>
      <c r="F28" s="13">
        <f>F26</f>
        <v>63.28</v>
      </c>
      <c r="G28" s="14"/>
      <c r="H28" s="14"/>
      <c r="I28" s="21"/>
      <c r="J28" s="13"/>
    </row>
    <row r="29" spans="1:10" s="10" customFormat="1" ht="25.35" customHeight="1" x14ac:dyDescent="0.25">
      <c r="A29" s="1536" t="s">
        <v>36</v>
      </c>
      <c r="B29" s="1536"/>
      <c r="C29" s="90">
        <v>1000</v>
      </c>
      <c r="D29" s="90"/>
      <c r="E29" s="13"/>
      <c r="F29" s="13"/>
      <c r="G29" s="13"/>
      <c r="H29" s="13"/>
      <c r="I29" s="21"/>
      <c r="J29" s="17"/>
    </row>
    <row r="30" spans="1:10" s="10" customFormat="1" ht="25.35" customHeight="1" x14ac:dyDescent="0.25">
      <c r="A30" s="1537" t="s">
        <v>37</v>
      </c>
      <c r="B30" s="1538"/>
      <c r="C30" s="91">
        <v>1000</v>
      </c>
      <c r="D30" s="92"/>
      <c r="E30" s="5"/>
      <c r="F30" s="5"/>
      <c r="G30" s="5"/>
      <c r="H30" s="5"/>
      <c r="I30" s="21"/>
      <c r="J30" s="17"/>
    </row>
    <row r="31" spans="1:10" s="10" customFormat="1" ht="15" customHeight="1" x14ac:dyDescent="0.25">
      <c r="A31" s="1539" t="s">
        <v>38</v>
      </c>
      <c r="B31" s="1540"/>
      <c r="C31" s="92">
        <f>C29/C30</f>
        <v>1</v>
      </c>
      <c r="D31" s="92"/>
      <c r="E31" s="5"/>
      <c r="F31" s="5"/>
      <c r="G31" s="5"/>
      <c r="H31" s="5"/>
      <c r="I31" s="21"/>
      <c r="J31" s="17"/>
    </row>
    <row r="32" spans="1:10" ht="16.350000000000001" customHeight="1" x14ac:dyDescent="0.25">
      <c r="A32" s="1541" t="s">
        <v>39</v>
      </c>
      <c r="B32" s="1542"/>
      <c r="C32" s="15" t="s">
        <v>40</v>
      </c>
      <c r="D32" s="102"/>
      <c r="E32" s="102" t="s">
        <v>40</v>
      </c>
      <c r="F32" s="16">
        <f>F28/C31</f>
        <v>63.28</v>
      </c>
      <c r="G32" s="16"/>
      <c r="H32" s="16"/>
      <c r="I32" s="102" t="s">
        <v>40</v>
      </c>
      <c r="J32" s="102" t="s">
        <v>40</v>
      </c>
    </row>
    <row r="33" spans="1:10" ht="23.1" customHeight="1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193"/>
      <c r="B34" s="1194" t="s">
        <v>49</v>
      </c>
      <c r="C34" s="1198"/>
      <c r="D34" s="1198"/>
      <c r="E34" s="1198"/>
      <c r="F34" s="1198"/>
      <c r="G34" s="1193"/>
      <c r="H34" s="1557">
        <f>'1-бутерброд с маслом'!$H$28</f>
        <v>0</v>
      </c>
      <c r="I34" s="1557"/>
      <c r="J34" s="1557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545" t="s">
        <v>327</v>
      </c>
      <c r="B36" s="1545"/>
      <c r="C36" s="1546" t="s">
        <v>328</v>
      </c>
      <c r="D36" s="1546"/>
      <c r="E36" s="1546"/>
      <c r="F36" s="1546"/>
      <c r="G36" s="106"/>
      <c r="H36" s="1531"/>
      <c r="I36" s="1531"/>
      <c r="J36" s="1531"/>
    </row>
    <row r="37" spans="1:10" x14ac:dyDescent="0.25">
      <c r="A37" s="1193"/>
      <c r="B37" s="1193"/>
      <c r="C37" s="1546"/>
      <c r="D37" s="1546"/>
      <c r="E37" s="1546"/>
      <c r="F37" s="1546"/>
      <c r="G37" s="1193"/>
      <c r="H37" s="1531" t="s">
        <v>329</v>
      </c>
      <c r="I37" s="1531"/>
      <c r="J37" s="1531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6:B36"/>
    <mergeCell ref="C36:F37"/>
    <mergeCell ref="H36:J36"/>
    <mergeCell ref="H37:J37"/>
    <mergeCell ref="A29:B29"/>
    <mergeCell ref="A30:B30"/>
    <mergeCell ref="A31:B31"/>
    <mergeCell ref="A32:B32"/>
    <mergeCell ref="H34:J34"/>
    <mergeCell ref="A28:B28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9"/>
  <sheetViews>
    <sheetView view="pageBreakPreview" zoomScaleNormal="100" zoomScaleSheetLayoutView="100" workbookViewId="0">
      <selection activeCell="A13" sqref="A13:G13"/>
    </sheetView>
  </sheetViews>
  <sheetFormatPr defaultRowHeight="13.8" x14ac:dyDescent="0.25"/>
  <cols>
    <col min="1" max="1" width="6.44140625" customWidth="1"/>
    <col min="2" max="2" width="20.5546875" customWidth="1"/>
    <col min="3" max="9" width="7.5546875" customWidth="1"/>
    <col min="10" max="10" width="8.109375" customWidth="1"/>
    <col min="11" max="11" width="3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300)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405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164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'405-тесто сдобное'!H14+1</f>
        <v>300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96">
        <v>3</v>
      </c>
      <c r="D18" s="5">
        <v>4</v>
      </c>
      <c r="E18" s="96">
        <v>5</v>
      </c>
      <c r="F18" s="5">
        <v>6</v>
      </c>
      <c r="G18" s="96">
        <v>7</v>
      </c>
      <c r="H18" s="5">
        <v>8</v>
      </c>
      <c r="I18" s="96">
        <v>9</v>
      </c>
      <c r="J18" s="5">
        <v>10</v>
      </c>
    </row>
    <row r="19" spans="1:10" s="10" customFormat="1" ht="14.1" customHeight="1" x14ac:dyDescent="0.25">
      <c r="A19" s="180"/>
      <c r="B19" s="20" t="s">
        <v>45</v>
      </c>
      <c r="C19" s="21">
        <v>0.64100000000000001</v>
      </c>
      <c r="D19" s="21">
        <v>0.64100000000000001</v>
      </c>
      <c r="E19" s="13">
        <f>цены!F74</f>
        <v>36</v>
      </c>
      <c r="F19" s="13">
        <f>C19*E19</f>
        <v>23.08</v>
      </c>
      <c r="G19" s="97">
        <f t="shared" ref="G19:H25" si="0">C19*10</f>
        <v>6.41</v>
      </c>
      <c r="H19" s="21">
        <f t="shared" si="0"/>
        <v>6.41</v>
      </c>
      <c r="I19" s="21">
        <f t="shared" ref="I19:J25" si="1">C19*100</f>
        <v>64.099999999999994</v>
      </c>
      <c r="J19" s="21">
        <f t="shared" si="1"/>
        <v>64.099999999999994</v>
      </c>
    </row>
    <row r="20" spans="1:10" s="10" customFormat="1" ht="12" customHeight="1" x14ac:dyDescent="0.25">
      <c r="A20" s="180"/>
      <c r="B20" s="20" t="s">
        <v>30</v>
      </c>
      <c r="C20" s="21">
        <v>3.4000000000000002E-2</v>
      </c>
      <c r="D20" s="21">
        <v>3.4000000000000002E-2</v>
      </c>
      <c r="E20" s="13">
        <f>цены!F107</f>
        <v>76</v>
      </c>
      <c r="F20" s="13">
        <f t="shared" ref="F20:F25" si="2">C20*E20</f>
        <v>2.58</v>
      </c>
      <c r="G20" s="97">
        <f t="shared" si="0"/>
        <v>0.34</v>
      </c>
      <c r="H20" s="21">
        <f t="shared" si="0"/>
        <v>0.34</v>
      </c>
      <c r="I20" s="21">
        <f t="shared" si="1"/>
        <v>3.4</v>
      </c>
      <c r="J20" s="21">
        <f t="shared" si="1"/>
        <v>3.4</v>
      </c>
    </row>
    <row r="21" spans="1:10" s="10" customFormat="1" ht="12" customHeight="1" x14ac:dyDescent="0.25">
      <c r="A21" s="180"/>
      <c r="B21" s="20" t="s">
        <v>125</v>
      </c>
      <c r="C21" s="21">
        <v>2.9000000000000001E-2</v>
      </c>
      <c r="D21" s="21">
        <v>2.9000000000000001E-2</v>
      </c>
      <c r="E21" s="13">
        <f>цены!F86</f>
        <v>198</v>
      </c>
      <c r="F21" s="13">
        <f t="shared" si="2"/>
        <v>5.74</v>
      </c>
      <c r="G21" s="97">
        <f t="shared" si="0"/>
        <v>0.28999999999999998</v>
      </c>
      <c r="H21" s="21">
        <f t="shared" si="0"/>
        <v>0.28999999999999998</v>
      </c>
      <c r="I21" s="21">
        <f t="shared" si="1"/>
        <v>2.9</v>
      </c>
      <c r="J21" s="21">
        <f t="shared" si="1"/>
        <v>2.9</v>
      </c>
    </row>
    <row r="22" spans="1:10" s="10" customFormat="1" ht="12" customHeight="1" x14ac:dyDescent="0.25">
      <c r="A22" s="180"/>
      <c r="B22" s="20" t="s">
        <v>540</v>
      </c>
      <c r="C22" s="21">
        <v>3.4000000000000002E-2</v>
      </c>
      <c r="D22" s="21">
        <v>3.4000000000000002E-2</v>
      </c>
      <c r="E22" s="13">
        <f>цены!F131</f>
        <v>180</v>
      </c>
      <c r="F22" s="13">
        <f t="shared" si="2"/>
        <v>6.12</v>
      </c>
      <c r="G22" s="97">
        <f t="shared" si="0"/>
        <v>0.34</v>
      </c>
      <c r="H22" s="21">
        <f t="shared" si="0"/>
        <v>0.34</v>
      </c>
      <c r="I22" s="21">
        <f t="shared" si="1"/>
        <v>3.4</v>
      </c>
      <c r="J22" s="21">
        <f t="shared" si="1"/>
        <v>3.4</v>
      </c>
    </row>
    <row r="23" spans="1:10" s="10" customFormat="1" ht="12" customHeight="1" x14ac:dyDescent="0.25">
      <c r="A23" s="180"/>
      <c r="B23" s="20" t="s">
        <v>33</v>
      </c>
      <c r="C23" s="21">
        <v>0.01</v>
      </c>
      <c r="D23" s="21">
        <v>0.01</v>
      </c>
      <c r="E23" s="13">
        <f>цены!F110</f>
        <v>24</v>
      </c>
      <c r="F23" s="13">
        <f t="shared" si="2"/>
        <v>0.24</v>
      </c>
      <c r="G23" s="97">
        <f t="shared" si="0"/>
        <v>0.1</v>
      </c>
      <c r="H23" s="21">
        <f t="shared" si="0"/>
        <v>0.1</v>
      </c>
      <c r="I23" s="21">
        <f t="shared" si="1"/>
        <v>1</v>
      </c>
      <c r="J23" s="21">
        <f t="shared" si="1"/>
        <v>1</v>
      </c>
    </row>
    <row r="24" spans="1:10" s="10" customFormat="1" ht="12" customHeight="1" x14ac:dyDescent="0.25">
      <c r="A24" s="180"/>
      <c r="B24" s="20" t="s">
        <v>126</v>
      </c>
      <c r="C24" s="21">
        <v>1.9E-2</v>
      </c>
      <c r="D24" s="21">
        <v>1.9E-2</v>
      </c>
      <c r="E24" s="13">
        <f>цены!F93</f>
        <v>455</v>
      </c>
      <c r="F24" s="13">
        <f t="shared" si="2"/>
        <v>8.65</v>
      </c>
      <c r="G24" s="97">
        <f t="shared" si="0"/>
        <v>0.19</v>
      </c>
      <c r="H24" s="21">
        <f t="shared" si="0"/>
        <v>0.19</v>
      </c>
      <c r="I24" s="21">
        <f t="shared" si="1"/>
        <v>1.9</v>
      </c>
      <c r="J24" s="21">
        <f t="shared" si="1"/>
        <v>1.9</v>
      </c>
    </row>
    <row r="25" spans="1:10" s="10" customFormat="1" ht="12" customHeight="1" x14ac:dyDescent="0.25">
      <c r="A25" s="180"/>
      <c r="B25" s="20" t="s">
        <v>28</v>
      </c>
      <c r="C25" s="21">
        <v>0.25800000000000001</v>
      </c>
      <c r="D25" s="21">
        <v>0.25800000000000001</v>
      </c>
      <c r="E25" s="13"/>
      <c r="F25" s="13">
        <f t="shared" si="2"/>
        <v>0</v>
      </c>
      <c r="G25" s="97">
        <f t="shared" si="0"/>
        <v>2.58</v>
      </c>
      <c r="H25" s="21">
        <f t="shared" si="0"/>
        <v>2.58</v>
      </c>
      <c r="I25" s="21">
        <f t="shared" si="1"/>
        <v>25.8</v>
      </c>
      <c r="J25" s="21">
        <f t="shared" si="1"/>
        <v>25.8</v>
      </c>
    </row>
    <row r="26" spans="1:10" s="10" customFormat="1" ht="12" customHeight="1" x14ac:dyDescent="0.25">
      <c r="A26" s="184"/>
      <c r="B26" s="93" t="s">
        <v>100</v>
      </c>
      <c r="C26" s="100"/>
      <c r="D26" s="100">
        <v>1</v>
      </c>
      <c r="E26" s="95"/>
      <c r="F26" s="95">
        <f>SUM(F19:F25)</f>
        <v>46.41</v>
      </c>
      <c r="G26" s="99"/>
      <c r="H26" s="100">
        <f>D26*10</f>
        <v>10</v>
      </c>
      <c r="I26" s="100"/>
      <c r="J26" s="100">
        <f>D26*100</f>
        <v>100</v>
      </c>
    </row>
    <row r="27" spans="1:10" s="10" customFormat="1" ht="12" customHeight="1" x14ac:dyDescent="0.25">
      <c r="A27" s="122"/>
      <c r="B27" s="123" t="s">
        <v>127</v>
      </c>
      <c r="C27" s="126"/>
      <c r="D27" s="129">
        <v>38</v>
      </c>
      <c r="E27" s="127"/>
      <c r="F27" s="127"/>
      <c r="G27" s="128"/>
      <c r="H27" s="126"/>
      <c r="I27" s="126"/>
      <c r="J27" s="126"/>
    </row>
    <row r="28" spans="1:10" s="10" customFormat="1" ht="27.6" customHeight="1" x14ac:dyDescent="0.25">
      <c r="A28" s="1536" t="s">
        <v>35</v>
      </c>
      <c r="B28" s="1536"/>
      <c r="C28" s="90"/>
      <c r="D28" s="90"/>
      <c r="E28" s="13"/>
      <c r="F28" s="13">
        <f>F26</f>
        <v>46.41</v>
      </c>
      <c r="G28" s="14"/>
      <c r="H28" s="14"/>
      <c r="I28" s="21"/>
      <c r="J28" s="13"/>
    </row>
    <row r="29" spans="1:10" s="10" customFormat="1" ht="25.35" customHeight="1" x14ac:dyDescent="0.25">
      <c r="A29" s="1536" t="s">
        <v>36</v>
      </c>
      <c r="B29" s="1536"/>
      <c r="C29" s="90">
        <v>1000</v>
      </c>
      <c r="D29" s="90"/>
      <c r="E29" s="13"/>
      <c r="F29" s="13"/>
      <c r="G29" s="13"/>
      <c r="H29" s="13"/>
      <c r="I29" s="21"/>
      <c r="J29" s="17"/>
    </row>
    <row r="30" spans="1:10" s="10" customFormat="1" ht="25.35" customHeight="1" x14ac:dyDescent="0.25">
      <c r="A30" s="1537" t="s">
        <v>37</v>
      </c>
      <c r="B30" s="1538"/>
      <c r="C30" s="91">
        <v>1000</v>
      </c>
      <c r="D30" s="92"/>
      <c r="E30" s="5"/>
      <c r="F30" s="5"/>
      <c r="G30" s="5"/>
      <c r="H30" s="5"/>
      <c r="I30" s="21"/>
      <c r="J30" s="17"/>
    </row>
    <row r="31" spans="1:10" s="10" customFormat="1" ht="15" customHeight="1" x14ac:dyDescent="0.25">
      <c r="A31" s="1539" t="s">
        <v>38</v>
      </c>
      <c r="B31" s="1540"/>
      <c r="C31" s="92">
        <f>C29/C30</f>
        <v>1</v>
      </c>
      <c r="D31" s="92"/>
      <c r="E31" s="5"/>
      <c r="F31" s="5"/>
      <c r="G31" s="5"/>
      <c r="H31" s="5"/>
      <c r="I31" s="21"/>
      <c r="J31" s="17"/>
    </row>
    <row r="32" spans="1:10" ht="16.350000000000001" customHeight="1" x14ac:dyDescent="0.25">
      <c r="A32" s="1541" t="s">
        <v>39</v>
      </c>
      <c r="B32" s="1542"/>
      <c r="C32" s="15" t="s">
        <v>40</v>
      </c>
      <c r="D32" s="102"/>
      <c r="E32" s="102" t="s">
        <v>40</v>
      </c>
      <c r="F32" s="16">
        <f>F28/C31</f>
        <v>46.41</v>
      </c>
      <c r="G32" s="16"/>
      <c r="H32" s="16"/>
      <c r="I32" s="102" t="s">
        <v>40</v>
      </c>
      <c r="J32" s="102" t="s">
        <v>40</v>
      </c>
    </row>
    <row r="33" spans="1:10" ht="23.1" customHeight="1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193"/>
      <c r="B34" s="1194" t="s">
        <v>49</v>
      </c>
      <c r="C34" s="1198"/>
      <c r="D34" s="1198"/>
      <c r="E34" s="1198"/>
      <c r="F34" s="1198"/>
      <c r="G34" s="1193"/>
      <c r="H34" s="1557">
        <f>'1-бутерброд с маслом'!$H$28</f>
        <v>0</v>
      </c>
      <c r="I34" s="1557"/>
      <c r="J34" s="1557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545" t="s">
        <v>327</v>
      </c>
      <c r="B36" s="1545"/>
      <c r="C36" s="1546" t="s">
        <v>328</v>
      </c>
      <c r="D36" s="1546"/>
      <c r="E36" s="1546"/>
      <c r="F36" s="1546"/>
      <c r="G36" s="106"/>
      <c r="H36" s="1531"/>
      <c r="I36" s="1531"/>
      <c r="J36" s="1531"/>
    </row>
    <row r="37" spans="1:10" x14ac:dyDescent="0.25">
      <c r="A37" s="1193"/>
      <c r="B37" s="1193"/>
      <c r="C37" s="1546"/>
      <c r="D37" s="1546"/>
      <c r="E37" s="1546"/>
      <c r="F37" s="1546"/>
      <c r="G37" s="1193"/>
      <c r="H37" s="1531" t="s">
        <v>329</v>
      </c>
      <c r="I37" s="1531"/>
      <c r="J37" s="1531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6:B36"/>
    <mergeCell ref="C36:F37"/>
    <mergeCell ref="H36:J36"/>
    <mergeCell ref="H37:J37"/>
    <mergeCell ref="A29:B29"/>
    <mergeCell ref="A30:B30"/>
    <mergeCell ref="A31:B31"/>
    <mergeCell ref="A32:B32"/>
    <mergeCell ref="H34:J34"/>
    <mergeCell ref="A28:B28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6"/>
  <sheetViews>
    <sheetView view="pageBreakPreview" zoomScaleNormal="100" zoomScaleSheetLayoutView="100" workbookViewId="0">
      <selection activeCell="C14" sqref="C14:G14"/>
    </sheetView>
  </sheetViews>
  <sheetFormatPr defaultRowHeight="13.8" x14ac:dyDescent="0.25"/>
  <cols>
    <col min="1" max="1" width="4.109375" customWidth="1"/>
    <col min="2" max="2" width="20.55468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301)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406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184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'405-тесто ватрушки'!H14+1</f>
        <v>301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/>
      <c r="B19" s="20" t="s">
        <v>168</v>
      </c>
      <c r="C19" s="21">
        <v>5.8</v>
      </c>
      <c r="D19" s="21">
        <v>5.8</v>
      </c>
      <c r="E19" s="13">
        <f>'405-тесто дрожжевое'!F31</f>
        <v>38.78</v>
      </c>
      <c r="F19" s="13">
        <f>C19*E19</f>
        <v>224.92</v>
      </c>
      <c r="G19" s="97">
        <f t="shared" ref="G19:H23" si="0">C19*10</f>
        <v>58</v>
      </c>
      <c r="H19" s="21">
        <f t="shared" si="0"/>
        <v>58</v>
      </c>
      <c r="I19" s="21">
        <f t="shared" ref="I19:J23" si="1">C19*100</f>
        <v>580</v>
      </c>
      <c r="J19" s="21">
        <f t="shared" si="1"/>
        <v>580</v>
      </c>
    </row>
    <row r="20" spans="1:10" s="10" customFormat="1" ht="14.1" customHeight="1" x14ac:dyDescent="0.25">
      <c r="A20" s="180"/>
      <c r="B20" s="20" t="s">
        <v>128</v>
      </c>
      <c r="C20" s="21">
        <v>0.17399999999999999</v>
      </c>
      <c r="D20" s="21">
        <v>0.17399999999999999</v>
      </c>
      <c r="E20" s="13">
        <f>цены!F74</f>
        <v>36</v>
      </c>
      <c r="F20" s="13">
        <f>C20*E20</f>
        <v>6.26</v>
      </c>
      <c r="G20" s="97">
        <f t="shared" si="0"/>
        <v>1.74</v>
      </c>
      <c r="H20" s="21">
        <f t="shared" si="0"/>
        <v>1.74</v>
      </c>
      <c r="I20" s="21">
        <f t="shared" si="1"/>
        <v>17.399999999999999</v>
      </c>
      <c r="J20" s="21">
        <f t="shared" si="1"/>
        <v>17.399999999999999</v>
      </c>
    </row>
    <row r="21" spans="1:10" s="10" customFormat="1" ht="12" customHeight="1" x14ac:dyDescent="0.25">
      <c r="A21" s="180"/>
      <c r="B21" s="20" t="s">
        <v>185</v>
      </c>
      <c r="C21" s="21">
        <v>2.5</v>
      </c>
      <c r="D21" s="21">
        <v>2.5</v>
      </c>
      <c r="E21" s="13">
        <f>'467-фарш картоф'!F29</f>
        <v>80.989999999999995</v>
      </c>
      <c r="F21" s="13">
        <f>C21*E21</f>
        <v>202.48</v>
      </c>
      <c r="G21" s="97">
        <f t="shared" si="0"/>
        <v>25</v>
      </c>
      <c r="H21" s="21">
        <f t="shared" si="0"/>
        <v>25</v>
      </c>
      <c r="I21" s="21">
        <f t="shared" si="1"/>
        <v>250</v>
      </c>
      <c r="J21" s="21">
        <f t="shared" si="1"/>
        <v>250</v>
      </c>
    </row>
    <row r="22" spans="1:10" s="10" customFormat="1" ht="12" customHeight="1" x14ac:dyDescent="0.25">
      <c r="A22" s="180"/>
      <c r="B22" s="20" t="s">
        <v>171</v>
      </c>
      <c r="C22" s="21">
        <v>2.5000000000000001E-2</v>
      </c>
      <c r="D22" s="21">
        <v>2.5000000000000001E-2</v>
      </c>
      <c r="E22" s="13">
        <f>цены!F13</f>
        <v>100</v>
      </c>
      <c r="F22" s="13">
        <f>C22*E22</f>
        <v>2.5</v>
      </c>
      <c r="G22" s="97">
        <f t="shared" si="0"/>
        <v>0.25</v>
      </c>
      <c r="H22" s="21">
        <f t="shared" si="0"/>
        <v>0.25</v>
      </c>
      <c r="I22" s="21">
        <f t="shared" si="1"/>
        <v>2.5</v>
      </c>
      <c r="J22" s="21">
        <f t="shared" si="1"/>
        <v>2.5</v>
      </c>
    </row>
    <row r="23" spans="1:10" s="10" customFormat="1" ht="23.1" customHeight="1" x14ac:dyDescent="0.25">
      <c r="A23" s="180"/>
      <c r="B23" s="20" t="s">
        <v>186</v>
      </c>
      <c r="C23" s="21">
        <v>0.15</v>
      </c>
      <c r="D23" s="21">
        <v>0.15</v>
      </c>
      <c r="E23" s="13">
        <f>цены!F131</f>
        <v>180</v>
      </c>
      <c r="F23" s="13">
        <f>C23*E23</f>
        <v>27</v>
      </c>
      <c r="G23" s="97">
        <f t="shared" si="0"/>
        <v>1.5</v>
      </c>
      <c r="H23" s="21">
        <f t="shared" si="0"/>
        <v>1.5</v>
      </c>
      <c r="I23" s="21">
        <f t="shared" si="1"/>
        <v>15</v>
      </c>
      <c r="J23" s="21">
        <f t="shared" si="1"/>
        <v>15</v>
      </c>
    </row>
    <row r="24" spans="1:10" s="10" customFormat="1" ht="12" customHeight="1" x14ac:dyDescent="0.25">
      <c r="A24" s="98"/>
      <c r="B24" s="93" t="s">
        <v>100</v>
      </c>
      <c r="C24" s="112"/>
      <c r="D24" s="112">
        <v>7.5</v>
      </c>
      <c r="E24" s="95"/>
      <c r="F24" s="95">
        <f>SUM(F19:F23)</f>
        <v>463.16</v>
      </c>
      <c r="G24" s="99"/>
      <c r="H24" s="100">
        <f>D24*10</f>
        <v>75</v>
      </c>
      <c r="I24" s="100"/>
      <c r="J24" s="100">
        <f>D24*100</f>
        <v>750</v>
      </c>
    </row>
    <row r="25" spans="1:10" s="10" customFormat="1" ht="27.6" customHeight="1" x14ac:dyDescent="0.25">
      <c r="A25" s="1536" t="s">
        <v>35</v>
      </c>
      <c r="B25" s="1536"/>
      <c r="C25" s="90"/>
      <c r="D25" s="90"/>
      <c r="E25" s="13"/>
      <c r="F25" s="13">
        <f>F24</f>
        <v>463.16</v>
      </c>
      <c r="G25" s="14"/>
      <c r="H25" s="14"/>
      <c r="I25" s="21"/>
      <c r="J25" s="13"/>
    </row>
    <row r="26" spans="1:10" s="10" customFormat="1" ht="25.35" customHeight="1" x14ac:dyDescent="0.25">
      <c r="A26" s="1536" t="s">
        <v>36</v>
      </c>
      <c r="B26" s="1536"/>
      <c r="C26" s="90">
        <v>7500</v>
      </c>
      <c r="D26" s="90"/>
      <c r="E26" s="13"/>
      <c r="F26" s="13"/>
      <c r="G26" s="13"/>
      <c r="H26" s="13"/>
      <c r="I26" s="21"/>
      <c r="J26" s="17"/>
    </row>
    <row r="27" spans="1:10" s="10" customFormat="1" ht="25.35" customHeight="1" x14ac:dyDescent="0.25">
      <c r="A27" s="1537" t="s">
        <v>37</v>
      </c>
      <c r="B27" s="1538"/>
      <c r="C27" s="91">
        <v>75</v>
      </c>
      <c r="D27" s="92"/>
      <c r="E27" s="5"/>
      <c r="F27" s="5"/>
      <c r="G27" s="5"/>
      <c r="H27" s="5"/>
      <c r="I27" s="21"/>
      <c r="J27" s="17"/>
    </row>
    <row r="28" spans="1:10" s="10" customFormat="1" ht="15" customHeight="1" x14ac:dyDescent="0.25">
      <c r="A28" s="1539" t="s">
        <v>38</v>
      </c>
      <c r="B28" s="1540"/>
      <c r="C28" s="92">
        <f>C26/C27</f>
        <v>100</v>
      </c>
      <c r="D28" s="92"/>
      <c r="E28" s="5"/>
      <c r="F28" s="5"/>
      <c r="G28" s="5"/>
      <c r="H28" s="5"/>
      <c r="I28" s="21"/>
      <c r="J28" s="17"/>
    </row>
    <row r="29" spans="1:10" ht="16.350000000000001" customHeight="1" x14ac:dyDescent="0.25">
      <c r="A29" s="1541" t="s">
        <v>39</v>
      </c>
      <c r="B29" s="1542"/>
      <c r="C29" s="15" t="s">
        <v>40</v>
      </c>
      <c r="D29" s="102"/>
      <c r="E29" s="102" t="s">
        <v>40</v>
      </c>
      <c r="F29" s="16">
        <f>F25/C28</f>
        <v>4.63</v>
      </c>
      <c r="G29" s="16"/>
      <c r="H29" s="16"/>
      <c r="I29" s="102" t="s">
        <v>40</v>
      </c>
      <c r="J29" s="102" t="s">
        <v>40</v>
      </c>
    </row>
    <row r="30" spans="1:10" ht="23.1" customHeight="1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0" ht="13.95" customHeight="1" x14ac:dyDescent="0.25">
      <c r="A31" s="1193"/>
      <c r="B31" s="1194" t="s">
        <v>49</v>
      </c>
      <c r="C31" s="1198"/>
      <c r="D31" s="1198"/>
      <c r="E31" s="1198"/>
      <c r="F31" s="1198"/>
      <c r="G31" s="1193"/>
      <c r="H31" s="1557">
        <f>'1-бутерброд с маслом'!$H$28</f>
        <v>0</v>
      </c>
      <c r="I31" s="1557"/>
      <c r="J31" s="1557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545" t="s">
        <v>327</v>
      </c>
      <c r="B33" s="1545"/>
      <c r="C33" s="1546" t="s">
        <v>328</v>
      </c>
      <c r="D33" s="1546"/>
      <c r="E33" s="1546"/>
      <c r="F33" s="1546"/>
      <c r="G33" s="106"/>
      <c r="H33" s="1531"/>
      <c r="I33" s="1531"/>
      <c r="J33" s="1531"/>
    </row>
    <row r="34" spans="1:10" x14ac:dyDescent="0.25">
      <c r="A34" s="1193"/>
      <c r="B34" s="1193"/>
      <c r="C34" s="1546"/>
      <c r="D34" s="1546"/>
      <c r="E34" s="1546"/>
      <c r="F34" s="1546"/>
      <c r="G34" s="1193"/>
      <c r="H34" s="1531" t="s">
        <v>329</v>
      </c>
      <c r="I34" s="1531"/>
      <c r="J34" s="1531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</sheetData>
  <mergeCells count="28">
    <mergeCell ref="A26:B26"/>
    <mergeCell ref="A13:G13"/>
    <mergeCell ref="A27:B27"/>
    <mergeCell ref="A28:B28"/>
    <mergeCell ref="A29:B29"/>
    <mergeCell ref="A16:A17"/>
    <mergeCell ref="B16:B17"/>
    <mergeCell ref="A25:B25"/>
    <mergeCell ref="A6:G6"/>
    <mergeCell ref="A7:I7"/>
    <mergeCell ref="C16:F16"/>
    <mergeCell ref="G16:H16"/>
    <mergeCell ref="I16:J16"/>
    <mergeCell ref="A9:J9"/>
    <mergeCell ref="A11:J11"/>
    <mergeCell ref="I13:J13"/>
    <mergeCell ref="C14:G14"/>
    <mergeCell ref="I14:J14"/>
    <mergeCell ref="G1:J1"/>
    <mergeCell ref="G2:J2"/>
    <mergeCell ref="G3:J3"/>
    <mergeCell ref="A5:G5"/>
    <mergeCell ref="H5:I5"/>
    <mergeCell ref="A33:B33"/>
    <mergeCell ref="C33:F34"/>
    <mergeCell ref="H33:J33"/>
    <mergeCell ref="H34:J34"/>
    <mergeCell ref="H31:J3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M39"/>
  <sheetViews>
    <sheetView view="pageBreakPreview" topLeftCell="A15" zoomScaleNormal="100" zoomScaleSheetLayoutView="100" workbookViewId="0">
      <selection activeCell="A31" sqref="A31:J35"/>
    </sheetView>
  </sheetViews>
  <sheetFormatPr defaultRowHeight="13.8" x14ac:dyDescent="0.25"/>
  <cols>
    <col min="1" max="1" width="4.109375" customWidth="1"/>
    <col min="2" max="2" width="21" customWidth="1"/>
    <col min="3" max="3" width="8.88671875" customWidth="1"/>
    <col min="4" max="7" width="7.5546875" customWidth="1"/>
    <col min="8" max="8" width="7.44140625" customWidth="1"/>
    <col min="9" max="9" width="8.44140625" customWidth="1"/>
    <col min="10" max="10" width="9.109375" customWidth="1"/>
    <col min="11" max="11" width="4.88671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26)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302"/>
      <c r="I6" s="302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39</v>
      </c>
    </row>
    <row r="8" spans="1:10" s="2" customFormat="1" ht="9.6" customHeight="1" x14ac:dyDescent="0.25">
      <c r="A8" s="303"/>
      <c r="B8" s="303"/>
      <c r="C8" s="303"/>
      <c r="D8" s="303"/>
      <c r="E8" s="303"/>
      <c r="F8" s="303"/>
      <c r="G8" s="303"/>
      <c r="H8" s="303"/>
      <c r="I8" s="303"/>
      <c r="J8" s="109"/>
    </row>
    <row r="9" spans="1:10" s="2" customFormat="1" ht="26.1" customHeight="1" x14ac:dyDescent="0.3">
      <c r="A9" s="1550" t="s">
        <v>564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'34-салат летний'!H14+1</f>
        <v>26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304" t="s">
        <v>92</v>
      </c>
      <c r="D17" s="304" t="s">
        <v>94</v>
      </c>
      <c r="E17" s="304" t="s">
        <v>93</v>
      </c>
      <c r="F17" s="304" t="s">
        <v>23</v>
      </c>
      <c r="G17" s="304" t="s">
        <v>92</v>
      </c>
      <c r="H17" s="304" t="s">
        <v>94</v>
      </c>
      <c r="I17" s="304" t="s">
        <v>92</v>
      </c>
      <c r="J17" s="304" t="s">
        <v>94</v>
      </c>
    </row>
    <row r="18" spans="1:13" ht="9.6" customHeight="1" x14ac:dyDescent="0.25">
      <c r="A18" s="304">
        <v>1</v>
      </c>
      <c r="B18" s="305">
        <v>2</v>
      </c>
      <c r="C18" s="304">
        <v>3</v>
      </c>
      <c r="D18" s="305">
        <v>4</v>
      </c>
      <c r="E18" s="304">
        <v>5</v>
      </c>
      <c r="F18" s="305">
        <v>6</v>
      </c>
      <c r="G18" s="304">
        <v>7</v>
      </c>
      <c r="H18" s="305">
        <v>8</v>
      </c>
      <c r="I18" s="304">
        <v>9</v>
      </c>
      <c r="J18" s="305">
        <v>10</v>
      </c>
    </row>
    <row r="19" spans="1:13" s="10" customFormat="1" ht="14.1" customHeight="1" x14ac:dyDescent="0.25">
      <c r="A19" s="180">
        <v>1</v>
      </c>
      <c r="B19" s="20" t="s">
        <v>565</v>
      </c>
      <c r="C19" s="21">
        <v>0.34699999999999998</v>
      </c>
      <c r="D19" s="21">
        <v>0.25</v>
      </c>
      <c r="E19" s="13">
        <f>цены!F35</f>
        <v>50</v>
      </c>
      <c r="F19" s="13">
        <f t="shared" ref="F19:F24" si="0">C19*E19</f>
        <v>17.350000000000001</v>
      </c>
      <c r="G19" s="97">
        <f t="shared" ref="G19:H24" si="1">C19*10</f>
        <v>3.47</v>
      </c>
      <c r="H19" s="21">
        <f t="shared" si="1"/>
        <v>2.5</v>
      </c>
      <c r="I19" s="21">
        <f t="shared" ref="I19:J24" si="2">C19*100</f>
        <v>34.700000000000003</v>
      </c>
      <c r="J19" s="21">
        <f t="shared" si="2"/>
        <v>25</v>
      </c>
      <c r="L19" s="1015">
        <f>C19/C$29</f>
        <v>2.08195836083278E-2</v>
      </c>
      <c r="M19" s="1015">
        <f>F19/C$29</f>
        <v>1.0409791804163899</v>
      </c>
    </row>
    <row r="20" spans="1:13" s="10" customFormat="1" ht="25.65" customHeight="1" x14ac:dyDescent="0.25">
      <c r="A20" s="299">
        <v>2</v>
      </c>
      <c r="B20" s="20" t="s">
        <v>566</v>
      </c>
      <c r="C20" s="21">
        <v>0.41599999999999998</v>
      </c>
      <c r="D20" s="21">
        <v>0.25</v>
      </c>
      <c r="E20" s="13">
        <f>цены!F130</f>
        <v>143</v>
      </c>
      <c r="F20" s="13">
        <f t="shared" si="0"/>
        <v>59.49</v>
      </c>
      <c r="G20" s="97">
        <f t="shared" si="1"/>
        <v>4.16</v>
      </c>
      <c r="H20" s="21">
        <f t="shared" si="1"/>
        <v>2.5</v>
      </c>
      <c r="I20" s="21">
        <f t="shared" si="2"/>
        <v>41.6</v>
      </c>
      <c r="J20" s="21">
        <f t="shared" si="2"/>
        <v>25</v>
      </c>
      <c r="L20" s="1015">
        <f t="shared" ref="L20:L24" si="3">C20/C$29</f>
        <v>2.4959500809983801E-2</v>
      </c>
      <c r="M20" s="1015">
        <f t="shared" ref="M20:M24" si="4">F20/C$29</f>
        <v>3.56932861342773</v>
      </c>
    </row>
    <row r="21" spans="1:13" s="10" customFormat="1" ht="13.35" customHeight="1" x14ac:dyDescent="0.25">
      <c r="A21" s="180">
        <v>3</v>
      </c>
      <c r="B21" s="20" t="s">
        <v>47</v>
      </c>
      <c r="C21" s="21">
        <v>0.314</v>
      </c>
      <c r="D21" s="21">
        <v>0.25</v>
      </c>
      <c r="E21" s="13">
        <f>цены!F44</f>
        <v>50</v>
      </c>
      <c r="F21" s="13">
        <f t="shared" si="0"/>
        <v>15.7</v>
      </c>
      <c r="G21" s="97">
        <f t="shared" si="1"/>
        <v>3.14</v>
      </c>
      <c r="H21" s="21">
        <f t="shared" si="1"/>
        <v>2.5</v>
      </c>
      <c r="I21" s="21">
        <f t="shared" si="2"/>
        <v>31.4</v>
      </c>
      <c r="J21" s="21">
        <f t="shared" si="2"/>
        <v>25</v>
      </c>
      <c r="L21" s="1015">
        <f t="shared" si="3"/>
        <v>1.8839623207535801E-2</v>
      </c>
      <c r="M21" s="1015">
        <f t="shared" si="4"/>
        <v>0.94198116037679203</v>
      </c>
    </row>
    <row r="22" spans="1:13" s="10" customFormat="1" ht="13.35" customHeight="1" x14ac:dyDescent="0.25">
      <c r="A22" s="299">
        <v>4</v>
      </c>
      <c r="B22" s="20" t="s">
        <v>514</v>
      </c>
      <c r="C22" s="21">
        <v>0.25</v>
      </c>
      <c r="D22" s="21">
        <v>0.2</v>
      </c>
      <c r="E22" s="13">
        <f>цены!F42</f>
        <v>60</v>
      </c>
      <c r="F22" s="13">
        <f t="shared" si="0"/>
        <v>15</v>
      </c>
      <c r="G22" s="97">
        <f t="shared" si="1"/>
        <v>2.5</v>
      </c>
      <c r="H22" s="21">
        <f t="shared" si="1"/>
        <v>2</v>
      </c>
      <c r="I22" s="21">
        <f t="shared" si="2"/>
        <v>25</v>
      </c>
      <c r="J22" s="21">
        <f t="shared" si="2"/>
        <v>20</v>
      </c>
      <c r="L22" s="1015">
        <f t="shared" si="3"/>
        <v>1.49997000059999E-2</v>
      </c>
      <c r="M22" s="1015">
        <f t="shared" si="4"/>
        <v>0.89998200035999298</v>
      </c>
    </row>
    <row r="23" spans="1:13" s="10" customFormat="1" ht="14.1" customHeight="1" x14ac:dyDescent="0.25">
      <c r="A23" s="180">
        <v>5</v>
      </c>
      <c r="B23" s="20" t="s">
        <v>74</v>
      </c>
      <c r="C23" s="21">
        <v>0.06</v>
      </c>
      <c r="D23" s="21">
        <v>0.06</v>
      </c>
      <c r="E23" s="13">
        <f>цены!F87</f>
        <v>120</v>
      </c>
      <c r="F23" s="13">
        <f t="shared" si="0"/>
        <v>7.2</v>
      </c>
      <c r="G23" s="97">
        <f t="shared" si="1"/>
        <v>0.6</v>
      </c>
      <c r="H23" s="21">
        <f t="shared" si="1"/>
        <v>0.6</v>
      </c>
      <c r="I23" s="21">
        <f t="shared" si="2"/>
        <v>6</v>
      </c>
      <c r="J23" s="21">
        <f t="shared" si="2"/>
        <v>6</v>
      </c>
      <c r="L23" s="1015">
        <f t="shared" si="3"/>
        <v>3.5999280014399702E-3</v>
      </c>
      <c r="M23" s="1015">
        <f t="shared" si="4"/>
        <v>0.43199136017279599</v>
      </c>
    </row>
    <row r="24" spans="1:13" s="10" customFormat="1" ht="14.1" customHeight="1" x14ac:dyDescent="0.25">
      <c r="A24" s="299">
        <v>6</v>
      </c>
      <c r="B24" s="20" t="s">
        <v>75</v>
      </c>
      <c r="C24" s="21">
        <f>0.002*C29</f>
        <v>3.3000000000000002E-2</v>
      </c>
      <c r="D24" s="21">
        <f>C24</f>
        <v>3.3000000000000002E-2</v>
      </c>
      <c r="E24" s="13">
        <f>цены!F110</f>
        <v>24</v>
      </c>
      <c r="F24" s="13">
        <f t="shared" si="0"/>
        <v>0.79</v>
      </c>
      <c r="G24" s="97">
        <f t="shared" si="1"/>
        <v>0.33</v>
      </c>
      <c r="H24" s="21">
        <f t="shared" si="1"/>
        <v>0.33</v>
      </c>
      <c r="I24" s="21">
        <f t="shared" si="2"/>
        <v>3.3</v>
      </c>
      <c r="J24" s="21">
        <f t="shared" si="2"/>
        <v>3.3</v>
      </c>
      <c r="L24" s="1015">
        <f t="shared" si="3"/>
        <v>1.9799604007919801E-3</v>
      </c>
      <c r="M24" s="1015">
        <f t="shared" si="4"/>
        <v>4.7399052018959602E-2</v>
      </c>
    </row>
    <row r="25" spans="1:13" s="10" customFormat="1" ht="12" customHeight="1" x14ac:dyDescent="0.25">
      <c r="A25" s="98"/>
      <c r="B25" s="93" t="s">
        <v>100</v>
      </c>
      <c r="C25" s="100"/>
      <c r="D25" s="100">
        <v>1</v>
      </c>
      <c r="E25" s="95"/>
      <c r="F25" s="95">
        <f>SUM(F19:F24)</f>
        <v>115.53</v>
      </c>
      <c r="G25" s="99"/>
      <c r="H25" s="100">
        <f>D25*10</f>
        <v>10</v>
      </c>
      <c r="I25" s="100"/>
      <c r="J25" s="100">
        <f>D25*100</f>
        <v>100</v>
      </c>
      <c r="L25" s="1015">
        <f>SUM(L19:L24)</f>
        <v>8.5198296034079302E-2</v>
      </c>
      <c r="M25" s="1015">
        <f>SUM(M19:M24)</f>
        <v>6.9316613667726603</v>
      </c>
    </row>
    <row r="26" spans="1:13" s="10" customFormat="1" ht="27.6" customHeight="1" x14ac:dyDescent="0.25">
      <c r="A26" s="1536" t="s">
        <v>35</v>
      </c>
      <c r="B26" s="1536"/>
      <c r="C26" s="90"/>
      <c r="D26" s="90"/>
      <c r="E26" s="13"/>
      <c r="F26" s="13">
        <f>F25</f>
        <v>115.53</v>
      </c>
      <c r="G26" s="306"/>
      <c r="H26" s="306"/>
      <c r="I26" s="21"/>
      <c r="J26" s="13"/>
    </row>
    <row r="27" spans="1:13" s="10" customFormat="1" ht="25.35" customHeight="1" x14ac:dyDescent="0.25">
      <c r="A27" s="1536" t="s">
        <v>36</v>
      </c>
      <c r="B27" s="1536"/>
      <c r="C27" s="90">
        <v>1000</v>
      </c>
      <c r="D27" s="90"/>
      <c r="E27" s="13"/>
      <c r="F27" s="13"/>
      <c r="G27" s="13"/>
      <c r="H27" s="13"/>
      <c r="I27" s="21"/>
      <c r="J27" s="17"/>
    </row>
    <row r="28" spans="1:13" s="10" customFormat="1" ht="25.35" customHeight="1" x14ac:dyDescent="0.25">
      <c r="A28" s="1537" t="s">
        <v>37</v>
      </c>
      <c r="B28" s="1538"/>
      <c r="C28" s="91">
        <v>60</v>
      </c>
      <c r="D28" s="92"/>
      <c r="E28" s="305"/>
      <c r="F28" s="305"/>
      <c r="G28" s="305"/>
      <c r="H28" s="305"/>
      <c r="I28" s="21"/>
      <c r="J28" s="17"/>
    </row>
    <row r="29" spans="1:13" s="10" customFormat="1" ht="15" customHeight="1" x14ac:dyDescent="0.25">
      <c r="A29" s="1539" t="s">
        <v>38</v>
      </c>
      <c r="B29" s="1540"/>
      <c r="C29" s="92">
        <f>C27/C28</f>
        <v>16.667000000000002</v>
      </c>
      <c r="D29" s="92"/>
      <c r="E29" s="305"/>
      <c r="F29" s="305"/>
      <c r="G29" s="305"/>
      <c r="H29" s="305"/>
      <c r="I29" s="21"/>
      <c r="J29" s="17"/>
    </row>
    <row r="30" spans="1:13" ht="16.350000000000001" customHeight="1" x14ac:dyDescent="0.25">
      <c r="A30" s="1541" t="s">
        <v>39</v>
      </c>
      <c r="B30" s="1542"/>
      <c r="C30" s="15" t="s">
        <v>40</v>
      </c>
      <c r="D30" s="102"/>
      <c r="E30" s="102" t="s">
        <v>40</v>
      </c>
      <c r="F30" s="16">
        <f>F26/C29</f>
        <v>6.93</v>
      </c>
      <c r="G30" s="16"/>
      <c r="H30" s="16"/>
      <c r="I30" s="102" t="s">
        <v>40</v>
      </c>
      <c r="J30" s="102" t="s">
        <v>40</v>
      </c>
    </row>
    <row r="31" spans="1:13" ht="23.1" customHeight="1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3" ht="13.95" customHeight="1" x14ac:dyDescent="0.25">
      <c r="A32" s="1193"/>
      <c r="B32" s="1194" t="s">
        <v>49</v>
      </c>
      <c r="C32" s="1198"/>
      <c r="D32" s="1198"/>
      <c r="E32" s="1198"/>
      <c r="F32" s="1198"/>
      <c r="G32" s="1193"/>
      <c r="H32" s="1557">
        <f>'1-бутерброд с маслом'!$H$28</f>
        <v>0</v>
      </c>
      <c r="I32" s="1557"/>
      <c r="J32" s="1557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545" t="s">
        <v>327</v>
      </c>
      <c r="B34" s="1545"/>
      <c r="C34" s="1546" t="s">
        <v>328</v>
      </c>
      <c r="D34" s="1546"/>
      <c r="E34" s="1546"/>
      <c r="F34" s="1546"/>
      <c r="G34" s="106"/>
      <c r="H34" s="1531"/>
      <c r="I34" s="1531"/>
      <c r="J34" s="1531"/>
    </row>
    <row r="35" spans="1:10" x14ac:dyDescent="0.25">
      <c r="A35" s="1193"/>
      <c r="B35" s="1193"/>
      <c r="C35" s="1546"/>
      <c r="D35" s="1546"/>
      <c r="E35" s="1546"/>
      <c r="F35" s="1546"/>
      <c r="G35" s="1193"/>
      <c r="H35" s="1531" t="s">
        <v>329</v>
      </c>
      <c r="I35" s="1531"/>
      <c r="J35" s="1531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4:B34"/>
    <mergeCell ref="C34:F35"/>
    <mergeCell ref="H34:J34"/>
    <mergeCell ref="H35:J35"/>
    <mergeCell ref="A27:B27"/>
    <mergeCell ref="A28:B28"/>
    <mergeCell ref="A29:B29"/>
    <mergeCell ref="A30:B30"/>
    <mergeCell ref="H32:J32"/>
    <mergeCell ref="A26:B26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6"/>
  <sheetViews>
    <sheetView view="pageBreakPreview" zoomScaleNormal="100" zoomScaleSheetLayoutView="100" workbookViewId="0">
      <selection activeCell="A11" sqref="A11:J11"/>
    </sheetView>
  </sheetViews>
  <sheetFormatPr defaultRowHeight="13.8" x14ac:dyDescent="0.25"/>
  <cols>
    <col min="1" max="1" width="4.109375" customWidth="1"/>
    <col min="2" max="2" width="20.55468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1093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302)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406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219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'406-пирожки картоф'!H14+1</f>
        <v>302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/>
      <c r="B19" s="20" t="s">
        <v>168</v>
      </c>
      <c r="C19" s="21">
        <v>5.8</v>
      </c>
      <c r="D19" s="21">
        <v>5.8</v>
      </c>
      <c r="E19" s="13">
        <f>'405-тесто дрожжевое'!F31</f>
        <v>38.78</v>
      </c>
      <c r="F19" s="13">
        <f>C19*E19</f>
        <v>224.92</v>
      </c>
      <c r="G19" s="97">
        <f t="shared" ref="G19:H23" si="0">C19*10</f>
        <v>58</v>
      </c>
      <c r="H19" s="21">
        <f t="shared" si="0"/>
        <v>58</v>
      </c>
      <c r="I19" s="21">
        <f t="shared" ref="I19:J23" si="1">C19*100</f>
        <v>580</v>
      </c>
      <c r="J19" s="21">
        <f t="shared" si="1"/>
        <v>580</v>
      </c>
    </row>
    <row r="20" spans="1:10" s="10" customFormat="1" ht="14.1" customHeight="1" x14ac:dyDescent="0.25">
      <c r="A20" s="180"/>
      <c r="B20" s="20" t="s">
        <v>128</v>
      </c>
      <c r="C20" s="21">
        <v>0.17399999999999999</v>
      </c>
      <c r="D20" s="21">
        <v>0.17399999999999999</v>
      </c>
      <c r="E20" s="13">
        <f>цены!F74</f>
        <v>36</v>
      </c>
      <c r="F20" s="13">
        <f>C20*E20</f>
        <v>6.26</v>
      </c>
      <c r="G20" s="97">
        <f t="shared" si="0"/>
        <v>1.74</v>
      </c>
      <c r="H20" s="21">
        <f t="shared" si="0"/>
        <v>1.74</v>
      </c>
      <c r="I20" s="21">
        <f t="shared" si="1"/>
        <v>17.399999999999999</v>
      </c>
      <c r="J20" s="21">
        <f t="shared" si="1"/>
        <v>17.399999999999999</v>
      </c>
    </row>
    <row r="21" spans="1:10" s="10" customFormat="1" ht="12" customHeight="1" x14ac:dyDescent="0.25">
      <c r="A21" s="180"/>
      <c r="B21" s="20" t="s">
        <v>191</v>
      </c>
      <c r="C21" s="21">
        <v>2.5</v>
      </c>
      <c r="D21" s="21">
        <v>2.5</v>
      </c>
      <c r="E21" s="13">
        <f>'461-фарш из капусты'!F32</f>
        <v>107.84</v>
      </c>
      <c r="F21" s="13">
        <f>C21*E21</f>
        <v>269.60000000000002</v>
      </c>
      <c r="G21" s="97">
        <f t="shared" si="0"/>
        <v>25</v>
      </c>
      <c r="H21" s="21">
        <f t="shared" si="0"/>
        <v>25</v>
      </c>
      <c r="I21" s="21">
        <f t="shared" si="1"/>
        <v>250</v>
      </c>
      <c r="J21" s="21">
        <f t="shared" si="1"/>
        <v>250</v>
      </c>
    </row>
    <row r="22" spans="1:10" s="10" customFormat="1" ht="12" customHeight="1" x14ac:dyDescent="0.25">
      <c r="A22" s="180"/>
      <c r="B22" s="20" t="s">
        <v>171</v>
      </c>
      <c r="C22" s="21">
        <v>2.5000000000000001E-2</v>
      </c>
      <c r="D22" s="21">
        <v>2.5000000000000001E-2</v>
      </c>
      <c r="E22" s="13">
        <f>цены!F13</f>
        <v>100</v>
      </c>
      <c r="F22" s="13">
        <f>C22*E22</f>
        <v>2.5</v>
      </c>
      <c r="G22" s="97">
        <f t="shared" si="0"/>
        <v>0.25</v>
      </c>
      <c r="H22" s="21">
        <f t="shared" si="0"/>
        <v>0.25</v>
      </c>
      <c r="I22" s="21">
        <f t="shared" si="1"/>
        <v>2.5</v>
      </c>
      <c r="J22" s="21">
        <f t="shared" si="1"/>
        <v>2.5</v>
      </c>
    </row>
    <row r="23" spans="1:10" s="10" customFormat="1" ht="23.1" customHeight="1" x14ac:dyDescent="0.25">
      <c r="A23" s="180"/>
      <c r="B23" s="20" t="s">
        <v>186</v>
      </c>
      <c r="C23" s="21">
        <v>0.15</v>
      </c>
      <c r="D23" s="21">
        <v>0.15</v>
      </c>
      <c r="E23" s="13">
        <f>цены!F131</f>
        <v>180</v>
      </c>
      <c r="F23" s="13">
        <f>C23*E23</f>
        <v>27</v>
      </c>
      <c r="G23" s="97">
        <f t="shared" si="0"/>
        <v>1.5</v>
      </c>
      <c r="H23" s="21">
        <f t="shared" si="0"/>
        <v>1.5</v>
      </c>
      <c r="I23" s="21">
        <f t="shared" si="1"/>
        <v>15</v>
      </c>
      <c r="J23" s="21">
        <f t="shared" si="1"/>
        <v>15</v>
      </c>
    </row>
    <row r="24" spans="1:10" s="10" customFormat="1" ht="12" customHeight="1" x14ac:dyDescent="0.25">
      <c r="A24" s="98"/>
      <c r="B24" s="93" t="s">
        <v>100</v>
      </c>
      <c r="C24" s="112"/>
      <c r="D24" s="112">
        <v>7.5</v>
      </c>
      <c r="E24" s="95"/>
      <c r="F24" s="95">
        <f>SUM(F19:F23)</f>
        <v>530.28</v>
      </c>
      <c r="G24" s="99"/>
      <c r="H24" s="100">
        <f>D24*10</f>
        <v>75</v>
      </c>
      <c r="I24" s="100"/>
      <c r="J24" s="100">
        <f>D24*100</f>
        <v>750</v>
      </c>
    </row>
    <row r="25" spans="1:10" s="10" customFormat="1" ht="27.6" customHeight="1" x14ac:dyDescent="0.25">
      <c r="A25" s="1536" t="s">
        <v>35</v>
      </c>
      <c r="B25" s="1536"/>
      <c r="C25" s="90"/>
      <c r="D25" s="90"/>
      <c r="E25" s="13"/>
      <c r="F25" s="13">
        <f>F24</f>
        <v>530.28</v>
      </c>
      <c r="G25" s="14"/>
      <c r="H25" s="14"/>
      <c r="I25" s="21"/>
      <c r="J25" s="13"/>
    </row>
    <row r="26" spans="1:10" s="10" customFormat="1" ht="25.35" customHeight="1" x14ac:dyDescent="0.25">
      <c r="A26" s="1536" t="s">
        <v>36</v>
      </c>
      <c r="B26" s="1536"/>
      <c r="C26" s="90">
        <v>7500</v>
      </c>
      <c r="D26" s="90"/>
      <c r="E26" s="13"/>
      <c r="F26" s="13"/>
      <c r="G26" s="13"/>
      <c r="H26" s="13"/>
      <c r="I26" s="21"/>
      <c r="J26" s="17"/>
    </row>
    <row r="27" spans="1:10" s="10" customFormat="1" ht="25.35" customHeight="1" x14ac:dyDescent="0.25">
      <c r="A27" s="1537" t="s">
        <v>37</v>
      </c>
      <c r="B27" s="1538"/>
      <c r="C27" s="91">
        <v>75</v>
      </c>
      <c r="D27" s="92"/>
      <c r="E27" s="5"/>
      <c r="F27" s="5"/>
      <c r="G27" s="5"/>
      <c r="H27" s="5"/>
      <c r="I27" s="21"/>
      <c r="J27" s="17"/>
    </row>
    <row r="28" spans="1:10" s="10" customFormat="1" ht="15" customHeight="1" x14ac:dyDescent="0.25">
      <c r="A28" s="1539" t="s">
        <v>38</v>
      </c>
      <c r="B28" s="1540"/>
      <c r="C28" s="92">
        <f>C26/C27</f>
        <v>100</v>
      </c>
      <c r="D28" s="92"/>
      <c r="E28" s="5"/>
      <c r="F28" s="5"/>
      <c r="G28" s="5"/>
      <c r="H28" s="5"/>
      <c r="I28" s="21"/>
      <c r="J28" s="17"/>
    </row>
    <row r="29" spans="1:10" ht="16.350000000000001" customHeight="1" x14ac:dyDescent="0.25">
      <c r="A29" s="1541" t="s">
        <v>39</v>
      </c>
      <c r="B29" s="1542"/>
      <c r="C29" s="15" t="s">
        <v>40</v>
      </c>
      <c r="D29" s="102"/>
      <c r="E29" s="102" t="s">
        <v>40</v>
      </c>
      <c r="F29" s="16">
        <f>F25/C28</f>
        <v>5.3</v>
      </c>
      <c r="G29" s="16"/>
      <c r="H29" s="16"/>
      <c r="I29" s="102" t="s">
        <v>40</v>
      </c>
      <c r="J29" s="102" t="s">
        <v>40</v>
      </c>
    </row>
    <row r="30" spans="1:10" ht="23.1" customHeight="1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0" ht="13.95" customHeight="1" x14ac:dyDescent="0.25">
      <c r="A31" s="1193"/>
      <c r="B31" s="1194" t="s">
        <v>49</v>
      </c>
      <c r="C31" s="1198"/>
      <c r="D31" s="1198"/>
      <c r="E31" s="1198"/>
      <c r="F31" s="1198"/>
      <c r="G31" s="1193"/>
      <c r="H31" s="1557">
        <f>'1-бутерброд с маслом'!$H$28</f>
        <v>0</v>
      </c>
      <c r="I31" s="1557"/>
      <c r="J31" s="1557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545" t="s">
        <v>327</v>
      </c>
      <c r="B33" s="1545"/>
      <c r="C33" s="1546" t="s">
        <v>328</v>
      </c>
      <c r="D33" s="1546"/>
      <c r="E33" s="1546"/>
      <c r="F33" s="1546"/>
      <c r="G33" s="106"/>
      <c r="H33" s="1531"/>
      <c r="I33" s="1531"/>
      <c r="J33" s="1531"/>
    </row>
    <row r="34" spans="1:10" x14ac:dyDescent="0.25">
      <c r="A34" s="1193"/>
      <c r="B34" s="1193"/>
      <c r="C34" s="1546"/>
      <c r="D34" s="1546"/>
      <c r="E34" s="1546"/>
      <c r="F34" s="1546"/>
      <c r="G34" s="1193"/>
      <c r="H34" s="1531" t="s">
        <v>329</v>
      </c>
      <c r="I34" s="1531"/>
      <c r="J34" s="1531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3:B33"/>
    <mergeCell ref="C33:F34"/>
    <mergeCell ref="H33:J33"/>
    <mergeCell ref="H34:J34"/>
    <mergeCell ref="A26:B26"/>
    <mergeCell ref="A27:B27"/>
    <mergeCell ref="A28:B28"/>
    <mergeCell ref="A29:B29"/>
    <mergeCell ref="H31:J31"/>
    <mergeCell ref="A25:B25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6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0.55468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303)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406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187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'406-пирожки капуст'!H14+1</f>
        <v>303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/>
      <c r="B19" s="20" t="s">
        <v>168</v>
      </c>
      <c r="C19" s="21">
        <v>5.8</v>
      </c>
      <c r="D19" s="21">
        <v>5.8</v>
      </c>
      <c r="E19" s="13">
        <f>'405-тесто дрожжевое'!F31</f>
        <v>38.78</v>
      </c>
      <c r="F19" s="13">
        <f>C19*E19</f>
        <v>224.92</v>
      </c>
      <c r="G19" s="97">
        <f t="shared" ref="G19:H23" si="0">C19*10</f>
        <v>58</v>
      </c>
      <c r="H19" s="21">
        <f t="shared" si="0"/>
        <v>58</v>
      </c>
      <c r="I19" s="21">
        <f t="shared" ref="I19:J23" si="1">C19*100</f>
        <v>580</v>
      </c>
      <c r="J19" s="21">
        <f t="shared" si="1"/>
        <v>580</v>
      </c>
    </row>
    <row r="20" spans="1:10" s="10" customFormat="1" ht="14.1" customHeight="1" x14ac:dyDescent="0.25">
      <c r="A20" s="180"/>
      <c r="B20" s="20" t="s">
        <v>128</v>
      </c>
      <c r="C20" s="21">
        <v>0.17399999999999999</v>
      </c>
      <c r="D20" s="21">
        <v>0.17399999999999999</v>
      </c>
      <c r="E20" s="13">
        <f>цены!F74</f>
        <v>36</v>
      </c>
      <c r="F20" s="13">
        <f>C20*E20</f>
        <v>6.26</v>
      </c>
      <c r="G20" s="97">
        <f t="shared" si="0"/>
        <v>1.74</v>
      </c>
      <c r="H20" s="21">
        <f t="shared" si="0"/>
        <v>1.74</v>
      </c>
      <c r="I20" s="21">
        <f t="shared" si="1"/>
        <v>17.399999999999999</v>
      </c>
      <c r="J20" s="21">
        <f t="shared" si="1"/>
        <v>17.399999999999999</v>
      </c>
    </row>
    <row r="21" spans="1:10" s="10" customFormat="1" ht="12" customHeight="1" x14ac:dyDescent="0.25">
      <c r="A21" s="180"/>
      <c r="B21" s="20" t="s">
        <v>188</v>
      </c>
      <c r="C21" s="21">
        <v>2.5</v>
      </c>
      <c r="D21" s="21">
        <v>2.5</v>
      </c>
      <c r="E21" s="13">
        <f>'457-фарш мясной'!F30</f>
        <v>968.39</v>
      </c>
      <c r="F21" s="13">
        <f>C21*E21</f>
        <v>2420.98</v>
      </c>
      <c r="G21" s="97">
        <f t="shared" si="0"/>
        <v>25</v>
      </c>
      <c r="H21" s="21">
        <f t="shared" si="0"/>
        <v>25</v>
      </c>
      <c r="I21" s="21">
        <f t="shared" si="1"/>
        <v>250</v>
      </c>
      <c r="J21" s="21">
        <f t="shared" si="1"/>
        <v>250</v>
      </c>
    </row>
    <row r="22" spans="1:10" s="10" customFormat="1" ht="12" customHeight="1" x14ac:dyDescent="0.25">
      <c r="A22" s="180"/>
      <c r="B22" s="20" t="s">
        <v>171</v>
      </c>
      <c r="C22" s="21">
        <v>2.5000000000000001E-2</v>
      </c>
      <c r="D22" s="21">
        <v>2.5000000000000001E-2</v>
      </c>
      <c r="E22" s="13">
        <f>цены!F13</f>
        <v>100</v>
      </c>
      <c r="F22" s="13">
        <f>C22*E22</f>
        <v>2.5</v>
      </c>
      <c r="G22" s="97">
        <f t="shared" si="0"/>
        <v>0.25</v>
      </c>
      <c r="H22" s="21">
        <f t="shared" si="0"/>
        <v>0.25</v>
      </c>
      <c r="I22" s="21">
        <f t="shared" si="1"/>
        <v>2.5</v>
      </c>
      <c r="J22" s="21">
        <f t="shared" si="1"/>
        <v>2.5</v>
      </c>
    </row>
    <row r="23" spans="1:10" s="10" customFormat="1" ht="23.1" customHeight="1" x14ac:dyDescent="0.25">
      <c r="A23" s="180"/>
      <c r="B23" s="20" t="s">
        <v>186</v>
      </c>
      <c r="C23" s="21">
        <v>0.15</v>
      </c>
      <c r="D23" s="21">
        <v>0.15</v>
      </c>
      <c r="E23" s="13">
        <f>цены!F131</f>
        <v>180</v>
      </c>
      <c r="F23" s="13">
        <f>C23*E23</f>
        <v>27</v>
      </c>
      <c r="G23" s="97">
        <f t="shared" si="0"/>
        <v>1.5</v>
      </c>
      <c r="H23" s="21">
        <f t="shared" si="0"/>
        <v>1.5</v>
      </c>
      <c r="I23" s="21">
        <f t="shared" si="1"/>
        <v>15</v>
      </c>
      <c r="J23" s="21">
        <f t="shared" si="1"/>
        <v>15</v>
      </c>
    </row>
    <row r="24" spans="1:10" s="10" customFormat="1" ht="12" customHeight="1" x14ac:dyDescent="0.25">
      <c r="A24" s="98"/>
      <c r="B24" s="93" t="s">
        <v>100</v>
      </c>
      <c r="C24" s="112"/>
      <c r="D24" s="112">
        <v>7.5</v>
      </c>
      <c r="E24" s="95"/>
      <c r="F24" s="95">
        <f>SUM(F19:F23)</f>
        <v>2681.66</v>
      </c>
      <c r="G24" s="99"/>
      <c r="H24" s="100">
        <f>D24*10</f>
        <v>75</v>
      </c>
      <c r="I24" s="100"/>
      <c r="J24" s="100">
        <f>D24*100</f>
        <v>750</v>
      </c>
    </row>
    <row r="25" spans="1:10" s="10" customFormat="1" ht="27.6" customHeight="1" x14ac:dyDescent="0.25">
      <c r="A25" s="1536" t="s">
        <v>35</v>
      </c>
      <c r="B25" s="1536"/>
      <c r="C25" s="90"/>
      <c r="D25" s="90"/>
      <c r="E25" s="13"/>
      <c r="F25" s="13">
        <f>F24</f>
        <v>2681.66</v>
      </c>
      <c r="G25" s="14"/>
      <c r="H25" s="14"/>
      <c r="I25" s="21"/>
      <c r="J25" s="13"/>
    </row>
    <row r="26" spans="1:10" s="10" customFormat="1" ht="25.35" customHeight="1" x14ac:dyDescent="0.25">
      <c r="A26" s="1536" t="s">
        <v>36</v>
      </c>
      <c r="B26" s="1536"/>
      <c r="C26" s="90">
        <v>7500</v>
      </c>
      <c r="D26" s="90"/>
      <c r="E26" s="13"/>
      <c r="F26" s="13"/>
      <c r="G26" s="13"/>
      <c r="H26" s="13"/>
      <c r="I26" s="21"/>
      <c r="J26" s="17"/>
    </row>
    <row r="27" spans="1:10" s="10" customFormat="1" ht="25.35" customHeight="1" x14ac:dyDescent="0.25">
      <c r="A27" s="1537" t="s">
        <v>37</v>
      </c>
      <c r="B27" s="1538"/>
      <c r="C27" s="91">
        <v>75</v>
      </c>
      <c r="D27" s="92"/>
      <c r="E27" s="5"/>
      <c r="F27" s="5"/>
      <c r="G27" s="5"/>
      <c r="H27" s="5"/>
      <c r="I27" s="21"/>
      <c r="J27" s="17"/>
    </row>
    <row r="28" spans="1:10" s="10" customFormat="1" ht="15" customHeight="1" x14ac:dyDescent="0.25">
      <c r="A28" s="1539" t="s">
        <v>38</v>
      </c>
      <c r="B28" s="1540"/>
      <c r="C28" s="92">
        <f>C26/C27</f>
        <v>100</v>
      </c>
      <c r="D28" s="92"/>
      <c r="E28" s="5"/>
      <c r="F28" s="5"/>
      <c r="G28" s="5"/>
      <c r="H28" s="5"/>
      <c r="I28" s="21"/>
      <c r="J28" s="17"/>
    </row>
    <row r="29" spans="1:10" ht="16.350000000000001" customHeight="1" x14ac:dyDescent="0.25">
      <c r="A29" s="1541" t="s">
        <v>39</v>
      </c>
      <c r="B29" s="1542"/>
      <c r="C29" s="15" t="s">
        <v>40</v>
      </c>
      <c r="D29" s="102"/>
      <c r="E29" s="102" t="s">
        <v>40</v>
      </c>
      <c r="F29" s="16">
        <f>F25/C28</f>
        <v>26.82</v>
      </c>
      <c r="G29" s="16"/>
      <c r="H29" s="16"/>
      <c r="I29" s="102" t="s">
        <v>40</v>
      </c>
      <c r="J29" s="102" t="s">
        <v>40</v>
      </c>
    </row>
    <row r="30" spans="1:10" ht="23.1" customHeight="1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0" ht="13.95" customHeight="1" x14ac:dyDescent="0.25">
      <c r="A31" s="1193"/>
      <c r="B31" s="1194" t="s">
        <v>49</v>
      </c>
      <c r="C31" s="1198"/>
      <c r="D31" s="1198"/>
      <c r="E31" s="1198"/>
      <c r="F31" s="1198"/>
      <c r="G31" s="1193"/>
      <c r="H31" s="1557">
        <f>'1-бутерброд с маслом'!$H$28</f>
        <v>0</v>
      </c>
      <c r="I31" s="1557"/>
      <c r="J31" s="1557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545" t="s">
        <v>327</v>
      </c>
      <c r="B33" s="1545"/>
      <c r="C33" s="1546" t="s">
        <v>328</v>
      </c>
      <c r="D33" s="1546"/>
      <c r="E33" s="1546"/>
      <c r="F33" s="1546"/>
      <c r="G33" s="106"/>
      <c r="H33" s="1531"/>
      <c r="I33" s="1531"/>
      <c r="J33" s="1531"/>
    </row>
    <row r="34" spans="1:10" x14ac:dyDescent="0.25">
      <c r="A34" s="1193"/>
      <c r="B34" s="1193"/>
      <c r="C34" s="1546"/>
      <c r="D34" s="1546"/>
      <c r="E34" s="1546"/>
      <c r="F34" s="1546"/>
      <c r="G34" s="1193"/>
      <c r="H34" s="1531" t="s">
        <v>329</v>
      </c>
      <c r="I34" s="1531"/>
      <c r="J34" s="1531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</sheetData>
  <mergeCells count="28">
    <mergeCell ref="A26:B26"/>
    <mergeCell ref="A13:G13"/>
    <mergeCell ref="A27:B27"/>
    <mergeCell ref="A28:B28"/>
    <mergeCell ref="A29:B29"/>
    <mergeCell ref="A16:A17"/>
    <mergeCell ref="B16:B17"/>
    <mergeCell ref="A25:B25"/>
    <mergeCell ref="A6:G6"/>
    <mergeCell ref="A7:I7"/>
    <mergeCell ref="C16:F16"/>
    <mergeCell ref="G16:H16"/>
    <mergeCell ref="I16:J16"/>
    <mergeCell ref="A9:J9"/>
    <mergeCell ref="A11:J11"/>
    <mergeCell ref="I13:J13"/>
    <mergeCell ref="C14:G14"/>
    <mergeCell ref="I14:J14"/>
    <mergeCell ref="G1:J1"/>
    <mergeCell ref="G2:J2"/>
    <mergeCell ref="G3:J3"/>
    <mergeCell ref="A5:G5"/>
    <mergeCell ref="H5:I5"/>
    <mergeCell ref="A33:B33"/>
    <mergeCell ref="C33:F34"/>
    <mergeCell ref="H33:J33"/>
    <mergeCell ref="H34:J34"/>
    <mergeCell ref="H31:J3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6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0.55468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441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304)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410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167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'406-пирожки мясные'!H14+1</f>
        <v>304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/>
      <c r="B19" s="20" t="s">
        <v>168</v>
      </c>
      <c r="C19" s="21">
        <v>5.8</v>
      </c>
      <c r="D19" s="21">
        <v>5.8</v>
      </c>
      <c r="E19" s="13">
        <f>'405-тесто ватрушки'!F32</f>
        <v>46.41</v>
      </c>
      <c r="F19" s="13">
        <f>C19*E19</f>
        <v>269.18</v>
      </c>
      <c r="G19" s="97">
        <f t="shared" ref="G19:H23" si="0">C19*10</f>
        <v>58</v>
      </c>
      <c r="H19" s="21">
        <f t="shared" si="0"/>
        <v>58</v>
      </c>
      <c r="I19" s="21">
        <f t="shared" ref="I19:J23" si="1">C19*100</f>
        <v>580</v>
      </c>
      <c r="J19" s="21">
        <f t="shared" si="1"/>
        <v>580</v>
      </c>
    </row>
    <row r="20" spans="1:10" s="10" customFormat="1" ht="24" customHeight="1" x14ac:dyDescent="0.25">
      <c r="A20" s="180"/>
      <c r="B20" s="20" t="s">
        <v>128</v>
      </c>
      <c r="C20" s="21">
        <v>0.17399999999999999</v>
      </c>
      <c r="D20" s="21">
        <v>0.17399999999999999</v>
      </c>
      <c r="E20" s="13">
        <f>цены!F74</f>
        <v>36</v>
      </c>
      <c r="F20" s="13">
        <f>C20*E20</f>
        <v>6.26</v>
      </c>
      <c r="G20" s="97">
        <f t="shared" si="0"/>
        <v>1.74</v>
      </c>
      <c r="H20" s="21">
        <f t="shared" si="0"/>
        <v>1.74</v>
      </c>
      <c r="I20" s="21">
        <f t="shared" si="1"/>
        <v>17.399999999999999</v>
      </c>
      <c r="J20" s="21">
        <f t="shared" si="1"/>
        <v>17.399999999999999</v>
      </c>
    </row>
    <row r="21" spans="1:10" s="10" customFormat="1" ht="12" customHeight="1" x14ac:dyDescent="0.25">
      <c r="A21" s="180"/>
      <c r="B21" s="20" t="s">
        <v>169</v>
      </c>
      <c r="C21" s="21">
        <v>3</v>
      </c>
      <c r="D21" s="21">
        <v>3</v>
      </c>
      <c r="E21" s="13">
        <f>'468-фарш творож'!F29</f>
        <v>334.49</v>
      </c>
      <c r="F21" s="13">
        <f>C21*E21</f>
        <v>1003.47</v>
      </c>
      <c r="G21" s="97">
        <f t="shared" si="0"/>
        <v>30</v>
      </c>
      <c r="H21" s="21">
        <f t="shared" si="0"/>
        <v>30</v>
      </c>
      <c r="I21" s="21">
        <f t="shared" si="1"/>
        <v>300</v>
      </c>
      <c r="J21" s="21">
        <f t="shared" si="1"/>
        <v>300</v>
      </c>
    </row>
    <row r="22" spans="1:10" s="10" customFormat="1" ht="23.1" customHeight="1" x14ac:dyDescent="0.25">
      <c r="A22" s="180"/>
      <c r="B22" s="20" t="s">
        <v>170</v>
      </c>
      <c r="C22" s="21">
        <v>0.15</v>
      </c>
      <c r="D22" s="21">
        <v>0.15</v>
      </c>
      <c r="E22" s="13">
        <f>цены!F131</f>
        <v>180</v>
      </c>
      <c r="F22" s="13">
        <f>C22*E22</f>
        <v>27</v>
      </c>
      <c r="G22" s="97">
        <f t="shared" si="0"/>
        <v>1.5</v>
      </c>
      <c r="H22" s="21">
        <f t="shared" si="0"/>
        <v>1.5</v>
      </c>
      <c r="I22" s="21">
        <f t="shared" si="1"/>
        <v>15</v>
      </c>
      <c r="J22" s="21">
        <f t="shared" si="1"/>
        <v>15</v>
      </c>
    </row>
    <row r="23" spans="1:10" s="10" customFormat="1" ht="12.6" customHeight="1" x14ac:dyDescent="0.25">
      <c r="A23" s="180"/>
      <c r="B23" s="20" t="s">
        <v>171</v>
      </c>
      <c r="C23" s="21">
        <v>2.5000000000000001E-2</v>
      </c>
      <c r="D23" s="21">
        <v>2.5000000000000001E-2</v>
      </c>
      <c r="E23" s="13">
        <f>цены!F13</f>
        <v>100</v>
      </c>
      <c r="F23" s="13">
        <f>C23*E23</f>
        <v>2.5</v>
      </c>
      <c r="G23" s="97">
        <f t="shared" si="0"/>
        <v>0.25</v>
      </c>
      <c r="H23" s="21">
        <f t="shared" si="0"/>
        <v>0.25</v>
      </c>
      <c r="I23" s="21">
        <f t="shared" si="1"/>
        <v>2.5</v>
      </c>
      <c r="J23" s="21">
        <f t="shared" si="1"/>
        <v>2.5</v>
      </c>
    </row>
    <row r="24" spans="1:10" s="10" customFormat="1" ht="12" customHeight="1" x14ac:dyDescent="0.25">
      <c r="A24" s="98"/>
      <c r="B24" s="93" t="s">
        <v>100</v>
      </c>
      <c r="C24" s="112"/>
      <c r="D24" s="112">
        <v>7.5</v>
      </c>
      <c r="E24" s="95"/>
      <c r="F24" s="95">
        <f>SUM(F19:F23)</f>
        <v>1308.4100000000001</v>
      </c>
      <c r="G24" s="99"/>
      <c r="H24" s="100">
        <f>D24*10</f>
        <v>75</v>
      </c>
      <c r="I24" s="100"/>
      <c r="J24" s="100">
        <f>D24*100</f>
        <v>750</v>
      </c>
    </row>
    <row r="25" spans="1:10" s="10" customFormat="1" ht="27.6" customHeight="1" x14ac:dyDescent="0.25">
      <c r="A25" s="1536" t="s">
        <v>35</v>
      </c>
      <c r="B25" s="1536"/>
      <c r="C25" s="90"/>
      <c r="D25" s="90"/>
      <c r="E25" s="13"/>
      <c r="F25" s="13">
        <f>F24</f>
        <v>1308.4100000000001</v>
      </c>
      <c r="G25" s="14"/>
      <c r="H25" s="14"/>
      <c r="I25" s="21"/>
      <c r="J25" s="13"/>
    </row>
    <row r="26" spans="1:10" s="10" customFormat="1" ht="25.35" customHeight="1" x14ac:dyDescent="0.25">
      <c r="A26" s="1536" t="s">
        <v>36</v>
      </c>
      <c r="B26" s="1536"/>
      <c r="C26" s="90">
        <v>7500</v>
      </c>
      <c r="D26" s="90"/>
      <c r="E26" s="13"/>
      <c r="F26" s="13"/>
      <c r="G26" s="13"/>
      <c r="H26" s="13"/>
      <c r="I26" s="21"/>
      <c r="J26" s="17"/>
    </row>
    <row r="27" spans="1:10" s="10" customFormat="1" ht="25.35" customHeight="1" x14ac:dyDescent="0.25">
      <c r="A27" s="1537" t="s">
        <v>37</v>
      </c>
      <c r="B27" s="1538"/>
      <c r="C27" s="91">
        <v>75</v>
      </c>
      <c r="D27" s="92"/>
      <c r="E27" s="5"/>
      <c r="F27" s="5"/>
      <c r="G27" s="5"/>
      <c r="H27" s="5"/>
      <c r="I27" s="21"/>
      <c r="J27" s="17"/>
    </row>
    <row r="28" spans="1:10" s="10" customFormat="1" ht="15" customHeight="1" x14ac:dyDescent="0.25">
      <c r="A28" s="1539" t="s">
        <v>38</v>
      </c>
      <c r="B28" s="1540"/>
      <c r="C28" s="92">
        <f>C26/C27</f>
        <v>100</v>
      </c>
      <c r="D28" s="92"/>
      <c r="E28" s="5"/>
      <c r="F28" s="5"/>
      <c r="G28" s="5"/>
      <c r="H28" s="5"/>
      <c r="I28" s="21"/>
      <c r="J28" s="17"/>
    </row>
    <row r="29" spans="1:10" ht="16.350000000000001" customHeight="1" x14ac:dyDescent="0.25">
      <c r="A29" s="1541" t="s">
        <v>39</v>
      </c>
      <c r="B29" s="1542"/>
      <c r="C29" s="15" t="s">
        <v>40</v>
      </c>
      <c r="D29" s="102"/>
      <c r="E29" s="102" t="s">
        <v>40</v>
      </c>
      <c r="F29" s="16">
        <f>F25/C28</f>
        <v>13.08</v>
      </c>
      <c r="G29" s="16"/>
      <c r="H29" s="16"/>
      <c r="I29" s="102" t="s">
        <v>40</v>
      </c>
      <c r="J29" s="102" t="s">
        <v>40</v>
      </c>
    </row>
    <row r="30" spans="1:10" ht="23.1" customHeight="1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0" ht="13.95" customHeight="1" x14ac:dyDescent="0.25">
      <c r="A31" s="1193"/>
      <c r="B31" s="1194" t="s">
        <v>49</v>
      </c>
      <c r="C31" s="1198"/>
      <c r="D31" s="1198"/>
      <c r="E31" s="1198"/>
      <c r="F31" s="1198"/>
      <c r="G31" s="1193"/>
      <c r="H31" s="1557">
        <f>'1-бутерброд с маслом'!$H$28</f>
        <v>0</v>
      </c>
      <c r="I31" s="1557"/>
      <c r="J31" s="1557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545" t="s">
        <v>327</v>
      </c>
      <c r="B33" s="1545"/>
      <c r="C33" s="1546" t="s">
        <v>328</v>
      </c>
      <c r="D33" s="1546"/>
      <c r="E33" s="1546"/>
      <c r="F33" s="1546"/>
      <c r="G33" s="106"/>
      <c r="H33" s="1531"/>
      <c r="I33" s="1531"/>
      <c r="J33" s="1531"/>
    </row>
    <row r="34" spans="1:10" x14ac:dyDescent="0.25">
      <c r="A34" s="1193"/>
      <c r="B34" s="1193"/>
      <c r="C34" s="1546"/>
      <c r="D34" s="1546"/>
      <c r="E34" s="1546"/>
      <c r="F34" s="1546"/>
      <c r="G34" s="1193"/>
      <c r="H34" s="1531" t="s">
        <v>329</v>
      </c>
      <c r="I34" s="1531"/>
      <c r="J34" s="1531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3:B33"/>
    <mergeCell ref="C33:F34"/>
    <mergeCell ref="H33:J33"/>
    <mergeCell ref="H34:J34"/>
    <mergeCell ref="A26:B26"/>
    <mergeCell ref="A27:B27"/>
    <mergeCell ref="A28:B28"/>
    <mergeCell ref="A29:B29"/>
    <mergeCell ref="H31:J31"/>
    <mergeCell ref="A25:B25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41"/>
  <sheetViews>
    <sheetView view="pageBreakPreview" zoomScaleNormal="100" zoomScaleSheetLayoutView="100" workbookViewId="0">
      <selection activeCell="A11" sqref="A11:J11"/>
    </sheetView>
  </sheetViews>
  <sheetFormatPr defaultRowHeight="13.8" x14ac:dyDescent="0.25"/>
  <cols>
    <col min="1" max="1" width="4.109375" customWidth="1"/>
    <col min="2" max="2" width="20.55468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2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305)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426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130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'410-ватрушка'!H14+1</f>
        <v>305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/>
      <c r="B19" s="20" t="s">
        <v>45</v>
      </c>
      <c r="C19" s="125">
        <v>6.1039999999999997E-2</v>
      </c>
      <c r="D19" s="125">
        <v>6.1039999999999997E-2</v>
      </c>
      <c r="E19" s="13">
        <f>цены!F74</f>
        <v>36</v>
      </c>
      <c r="F19" s="13">
        <f>C19*E19</f>
        <v>2.2000000000000002</v>
      </c>
      <c r="G19" s="97">
        <f t="shared" ref="G19:H27" si="0">C19*10</f>
        <v>0.61</v>
      </c>
      <c r="H19" s="21">
        <f t="shared" si="0"/>
        <v>0.61</v>
      </c>
      <c r="I19" s="21">
        <f t="shared" ref="I19:J27" si="1">C19*100</f>
        <v>6.1040000000000001</v>
      </c>
      <c r="J19" s="21">
        <f t="shared" si="1"/>
        <v>6.1040000000000001</v>
      </c>
    </row>
    <row r="20" spans="1:10" s="10" customFormat="1" ht="14.1" customHeight="1" x14ac:dyDescent="0.25">
      <c r="A20" s="180"/>
      <c r="B20" s="20" t="s">
        <v>128</v>
      </c>
      <c r="C20" s="111">
        <v>2E-3</v>
      </c>
      <c r="D20" s="111">
        <v>2E-3</v>
      </c>
      <c r="E20" s="13">
        <f>цены!F74</f>
        <v>36</v>
      </c>
      <c r="F20" s="13">
        <f t="shared" ref="F20:F27" si="2">C20*E20</f>
        <v>7.0000000000000007E-2</v>
      </c>
      <c r="G20" s="97">
        <f t="shared" si="0"/>
        <v>0.02</v>
      </c>
      <c r="H20" s="21">
        <f t="shared" si="0"/>
        <v>0.02</v>
      </c>
      <c r="I20" s="21">
        <f t="shared" si="1"/>
        <v>0.2</v>
      </c>
      <c r="J20" s="21">
        <f t="shared" si="1"/>
        <v>0.2</v>
      </c>
    </row>
    <row r="21" spans="1:10" s="10" customFormat="1" ht="12" customHeight="1" x14ac:dyDescent="0.25">
      <c r="A21" s="180"/>
      <c r="B21" s="20" t="s">
        <v>30</v>
      </c>
      <c r="C21" s="111">
        <v>1.2E-2</v>
      </c>
      <c r="D21" s="111">
        <v>1.2E-2</v>
      </c>
      <c r="E21" s="13">
        <f>цены!F107</f>
        <v>76</v>
      </c>
      <c r="F21" s="13">
        <f t="shared" si="2"/>
        <v>0.91</v>
      </c>
      <c r="G21" s="97">
        <f t="shared" si="0"/>
        <v>0.12</v>
      </c>
      <c r="H21" s="21">
        <f t="shared" si="0"/>
        <v>0.12</v>
      </c>
      <c r="I21" s="21">
        <f t="shared" si="1"/>
        <v>1.2</v>
      </c>
      <c r="J21" s="21">
        <f t="shared" si="1"/>
        <v>1.2</v>
      </c>
    </row>
    <row r="22" spans="1:10" s="10" customFormat="1" ht="12" customHeight="1" x14ac:dyDescent="0.25">
      <c r="A22" s="180"/>
      <c r="B22" s="20" t="s">
        <v>125</v>
      </c>
      <c r="C22" s="125">
        <v>1.502E-2</v>
      </c>
      <c r="D22" s="125">
        <v>1.502E-2</v>
      </c>
      <c r="E22" s="13">
        <f>цены!F86</f>
        <v>198</v>
      </c>
      <c r="F22" s="13">
        <f t="shared" si="2"/>
        <v>2.97</v>
      </c>
      <c r="G22" s="97">
        <f t="shared" si="0"/>
        <v>0.15</v>
      </c>
      <c r="H22" s="21">
        <f t="shared" si="0"/>
        <v>0.15</v>
      </c>
      <c r="I22" s="21">
        <f t="shared" si="1"/>
        <v>1.502</v>
      </c>
      <c r="J22" s="21">
        <f t="shared" si="1"/>
        <v>1.502</v>
      </c>
    </row>
    <row r="23" spans="1:10" s="10" customFormat="1" ht="12.6" customHeight="1" x14ac:dyDescent="0.25">
      <c r="A23" s="180"/>
      <c r="B23" s="20" t="s">
        <v>129</v>
      </c>
      <c r="C23" s="125">
        <v>2E-3</v>
      </c>
      <c r="D23" s="125">
        <v>2E-3</v>
      </c>
      <c r="E23" s="13">
        <f>цены!F86</f>
        <v>198</v>
      </c>
      <c r="F23" s="13">
        <f t="shared" si="2"/>
        <v>0.4</v>
      </c>
      <c r="G23" s="97">
        <f t="shared" si="0"/>
        <v>0.02</v>
      </c>
      <c r="H23" s="21">
        <f t="shared" si="0"/>
        <v>0.02</v>
      </c>
      <c r="I23" s="21">
        <f t="shared" si="1"/>
        <v>0.2</v>
      </c>
      <c r="J23" s="21">
        <f t="shared" si="1"/>
        <v>0.2</v>
      </c>
    </row>
    <row r="24" spans="1:10" s="10" customFormat="1" ht="12" customHeight="1" x14ac:dyDescent="0.25">
      <c r="A24" s="180"/>
      <c r="B24" s="20" t="s">
        <v>33</v>
      </c>
      <c r="C24" s="125">
        <v>5.9999999999999995E-4</v>
      </c>
      <c r="D24" s="125">
        <v>5.9999999999999995E-4</v>
      </c>
      <c r="E24" s="13">
        <f>цены!F110</f>
        <v>24</v>
      </c>
      <c r="F24" s="13">
        <f t="shared" si="2"/>
        <v>0.01</v>
      </c>
      <c r="G24" s="97">
        <f t="shared" si="0"/>
        <v>6.0000000000000001E-3</v>
      </c>
      <c r="H24" s="21">
        <f t="shared" si="0"/>
        <v>6.0000000000000001E-3</v>
      </c>
      <c r="I24" s="21">
        <f t="shared" si="1"/>
        <v>0.06</v>
      </c>
      <c r="J24" s="21">
        <f t="shared" si="1"/>
        <v>0.06</v>
      </c>
    </row>
    <row r="25" spans="1:10" s="10" customFormat="1" ht="12" customHeight="1" x14ac:dyDescent="0.25">
      <c r="A25" s="180"/>
      <c r="B25" s="20" t="s">
        <v>126</v>
      </c>
      <c r="C25" s="125">
        <v>1.5E-3</v>
      </c>
      <c r="D25" s="125">
        <v>1.5E-3</v>
      </c>
      <c r="E25" s="13">
        <f>цены!F93</f>
        <v>455</v>
      </c>
      <c r="F25" s="13">
        <f t="shared" si="2"/>
        <v>0.68</v>
      </c>
      <c r="G25" s="97">
        <f t="shared" si="0"/>
        <v>1.4999999999999999E-2</v>
      </c>
      <c r="H25" s="21">
        <f t="shared" si="0"/>
        <v>1.4999999999999999E-2</v>
      </c>
      <c r="I25" s="21">
        <f t="shared" si="1"/>
        <v>0.15</v>
      </c>
      <c r="J25" s="21">
        <f t="shared" si="1"/>
        <v>0.15</v>
      </c>
    </row>
    <row r="26" spans="1:10" s="10" customFormat="1" ht="12" customHeight="1" x14ac:dyDescent="0.25">
      <c r="A26" s="180"/>
      <c r="B26" s="20" t="s">
        <v>28</v>
      </c>
      <c r="C26" s="111">
        <v>3.0499999999999999E-2</v>
      </c>
      <c r="D26" s="111">
        <v>3.0499999999999999E-2</v>
      </c>
      <c r="E26" s="13"/>
      <c r="F26" s="13">
        <f t="shared" si="2"/>
        <v>0</v>
      </c>
      <c r="G26" s="97">
        <f t="shared" si="0"/>
        <v>0.30499999999999999</v>
      </c>
      <c r="H26" s="21">
        <f t="shared" si="0"/>
        <v>0.30499999999999999</v>
      </c>
      <c r="I26" s="21">
        <f t="shared" si="1"/>
        <v>3.05</v>
      </c>
      <c r="J26" s="21">
        <f t="shared" si="1"/>
        <v>3.05</v>
      </c>
    </row>
    <row r="27" spans="1:10" s="10" customFormat="1" ht="12" customHeight="1" x14ac:dyDescent="0.25">
      <c r="A27" s="180"/>
      <c r="B27" s="20" t="s">
        <v>244</v>
      </c>
      <c r="C27" s="111">
        <v>8.0000000000000002E-3</v>
      </c>
      <c r="D27" s="111">
        <v>8.0000000000000002E-3</v>
      </c>
      <c r="E27" s="13">
        <f>цены!F104</f>
        <v>140</v>
      </c>
      <c r="F27" s="13">
        <f t="shared" si="2"/>
        <v>1.1200000000000001</v>
      </c>
      <c r="G27" s="97">
        <f t="shared" si="0"/>
        <v>0.08</v>
      </c>
      <c r="H27" s="21">
        <f t="shared" si="0"/>
        <v>0.08</v>
      </c>
      <c r="I27" s="21">
        <f t="shared" si="1"/>
        <v>0.8</v>
      </c>
      <c r="J27" s="21">
        <f t="shared" si="1"/>
        <v>0.8</v>
      </c>
    </row>
    <row r="28" spans="1:10" s="10" customFormat="1" ht="12" customHeight="1" x14ac:dyDescent="0.25">
      <c r="A28" s="184"/>
      <c r="B28" s="93" t="s">
        <v>97</v>
      </c>
      <c r="C28" s="112"/>
      <c r="D28" s="112">
        <v>0.11799999999999999</v>
      </c>
      <c r="E28" s="95"/>
      <c r="F28" s="95">
        <f>SUM(F19:F27)</f>
        <v>8.36</v>
      </c>
      <c r="G28" s="99"/>
      <c r="H28" s="100">
        <f>D28*10</f>
        <v>1.18</v>
      </c>
      <c r="I28" s="100"/>
      <c r="J28" s="100">
        <f>D28*100</f>
        <v>11.8</v>
      </c>
    </row>
    <row r="29" spans="1:10" s="10" customFormat="1" ht="12" customHeight="1" x14ac:dyDescent="0.25">
      <c r="A29" s="98"/>
      <c r="B29" s="93" t="s">
        <v>100</v>
      </c>
      <c r="C29" s="112"/>
      <c r="D29" s="112">
        <v>0.1</v>
      </c>
      <c r="E29" s="95"/>
      <c r="F29" s="95">
        <f>F28</f>
        <v>8.36</v>
      </c>
      <c r="G29" s="99"/>
      <c r="H29" s="100">
        <f>D29*10</f>
        <v>1</v>
      </c>
      <c r="I29" s="100"/>
      <c r="J29" s="100">
        <f>D29*100</f>
        <v>10</v>
      </c>
    </row>
    <row r="30" spans="1:10" s="10" customFormat="1" ht="27.6" customHeight="1" x14ac:dyDescent="0.25">
      <c r="A30" s="1536" t="s">
        <v>35</v>
      </c>
      <c r="B30" s="1536"/>
      <c r="C30" s="90"/>
      <c r="D30" s="90"/>
      <c r="E30" s="13"/>
      <c r="F30" s="13">
        <f>F29</f>
        <v>8.36</v>
      </c>
      <c r="G30" s="14"/>
      <c r="H30" s="14"/>
      <c r="I30" s="21"/>
      <c r="J30" s="13"/>
    </row>
    <row r="31" spans="1:10" s="10" customFormat="1" ht="25.35" customHeight="1" x14ac:dyDescent="0.25">
      <c r="A31" s="1536" t="s">
        <v>36</v>
      </c>
      <c r="B31" s="1536"/>
      <c r="C31" s="90">
        <v>100</v>
      </c>
      <c r="D31" s="90"/>
      <c r="E31" s="13"/>
      <c r="F31" s="13"/>
      <c r="G31" s="13"/>
      <c r="H31" s="13"/>
      <c r="I31" s="21"/>
      <c r="J31" s="17"/>
    </row>
    <row r="32" spans="1:10" s="10" customFormat="1" ht="25.35" customHeight="1" x14ac:dyDescent="0.25">
      <c r="A32" s="1537" t="s">
        <v>37</v>
      </c>
      <c r="B32" s="1538"/>
      <c r="C32" s="91">
        <v>100</v>
      </c>
      <c r="D32" s="92"/>
      <c r="E32" s="5"/>
      <c r="F32" s="5"/>
      <c r="G32" s="5"/>
      <c r="H32" s="5"/>
      <c r="I32" s="21"/>
      <c r="J32" s="17"/>
    </row>
    <row r="33" spans="1:10" s="10" customFormat="1" ht="15" customHeight="1" x14ac:dyDescent="0.25">
      <c r="A33" s="1539" t="s">
        <v>38</v>
      </c>
      <c r="B33" s="1540"/>
      <c r="C33" s="92">
        <f>C31/C32</f>
        <v>1</v>
      </c>
      <c r="D33" s="92"/>
      <c r="E33" s="5"/>
      <c r="F33" s="5"/>
      <c r="G33" s="5"/>
      <c r="H33" s="5"/>
      <c r="I33" s="21"/>
      <c r="J33" s="17"/>
    </row>
    <row r="34" spans="1:10" ht="16.350000000000001" customHeight="1" x14ac:dyDescent="0.25">
      <c r="A34" s="1541" t="s">
        <v>39</v>
      </c>
      <c r="B34" s="1542"/>
      <c r="C34" s="15" t="s">
        <v>40</v>
      </c>
      <c r="D34" s="102"/>
      <c r="E34" s="102" t="s">
        <v>40</v>
      </c>
      <c r="F34" s="16">
        <f>F30/C33</f>
        <v>8.36</v>
      </c>
      <c r="G34" s="16"/>
      <c r="H34" s="16"/>
      <c r="I34" s="102" t="s">
        <v>40</v>
      </c>
      <c r="J34" s="102" t="s">
        <v>40</v>
      </c>
    </row>
    <row r="35" spans="1:10" ht="23.1" customHeight="1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193"/>
      <c r="B36" s="1194" t="s">
        <v>49</v>
      </c>
      <c r="C36" s="1198"/>
      <c r="D36" s="1198"/>
      <c r="E36" s="1198"/>
      <c r="F36" s="1198"/>
      <c r="G36" s="1193"/>
      <c r="H36" s="1557">
        <f>'1-бутерброд с маслом'!$H$28</f>
        <v>0</v>
      </c>
      <c r="I36" s="1557"/>
      <c r="J36" s="1557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545" t="s">
        <v>327</v>
      </c>
      <c r="B38" s="1545"/>
      <c r="C38" s="1546" t="s">
        <v>328</v>
      </c>
      <c r="D38" s="1546"/>
      <c r="E38" s="1546"/>
      <c r="F38" s="1546"/>
      <c r="G38" s="106"/>
      <c r="H38" s="1531"/>
      <c r="I38" s="1531"/>
      <c r="J38" s="1531"/>
    </row>
    <row r="39" spans="1:10" x14ac:dyDescent="0.25">
      <c r="A39" s="1193"/>
      <c r="B39" s="1193"/>
      <c r="C39" s="1546"/>
      <c r="D39" s="1546"/>
      <c r="E39" s="1546"/>
      <c r="F39" s="1546"/>
      <c r="G39" s="1193"/>
      <c r="H39" s="1531" t="s">
        <v>329</v>
      </c>
      <c r="I39" s="1531"/>
      <c r="J39" s="1531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8:B38"/>
    <mergeCell ref="C38:F39"/>
    <mergeCell ref="H38:J38"/>
    <mergeCell ref="H39:J39"/>
    <mergeCell ref="A31:B31"/>
    <mergeCell ref="A32:B32"/>
    <mergeCell ref="A33:B33"/>
    <mergeCell ref="A34:B34"/>
    <mergeCell ref="H36:J36"/>
    <mergeCell ref="A30:B30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41"/>
  <sheetViews>
    <sheetView view="pageBreakPreview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467" customWidth="1"/>
    <col min="2" max="2" width="20.5546875" style="467" customWidth="1"/>
    <col min="3" max="7" width="7.5546875" style="467" customWidth="1"/>
    <col min="8" max="8" width="8.88671875" style="467" customWidth="1"/>
    <col min="9" max="9" width="7.5546875" style="467" customWidth="1"/>
    <col min="10" max="10" width="9" style="467" customWidth="1"/>
    <col min="11" max="11" width="4.5546875" style="467" customWidth="1"/>
    <col min="12" max="16384" width="8.88671875" style="46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306)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426</v>
      </c>
    </row>
    <row r="8" spans="1:10" s="2" customFormat="1" ht="9.6" customHeight="1" x14ac:dyDescent="0.25">
      <c r="A8" s="471"/>
      <c r="B8" s="471"/>
      <c r="C8" s="471"/>
      <c r="D8" s="471"/>
      <c r="E8" s="471"/>
      <c r="F8" s="471"/>
      <c r="G8" s="471"/>
      <c r="H8" s="471"/>
      <c r="I8" s="471"/>
      <c r="J8" s="109"/>
    </row>
    <row r="9" spans="1:10" s="2" customFormat="1" ht="26.1" customHeight="1" x14ac:dyDescent="0.3">
      <c r="A9" s="1550" t="s">
        <v>752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'426-булочка с повидл'!H14+1</f>
        <v>306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468" t="s">
        <v>92</v>
      </c>
      <c r="D17" s="468" t="s">
        <v>94</v>
      </c>
      <c r="E17" s="468" t="s">
        <v>93</v>
      </c>
      <c r="F17" s="468" t="s">
        <v>23</v>
      </c>
      <c r="G17" s="468" t="s">
        <v>92</v>
      </c>
      <c r="H17" s="468" t="s">
        <v>94</v>
      </c>
      <c r="I17" s="468" t="s">
        <v>92</v>
      </c>
      <c r="J17" s="468" t="s">
        <v>94</v>
      </c>
    </row>
    <row r="18" spans="1:10" ht="9.6" customHeight="1" x14ac:dyDescent="0.25">
      <c r="A18" s="468">
        <v>1</v>
      </c>
      <c r="B18" s="470">
        <v>2</v>
      </c>
      <c r="C18" s="468">
        <v>3</v>
      </c>
      <c r="D18" s="470">
        <v>4</v>
      </c>
      <c r="E18" s="468">
        <v>5</v>
      </c>
      <c r="F18" s="470">
        <v>6</v>
      </c>
      <c r="G18" s="468">
        <v>7</v>
      </c>
      <c r="H18" s="470">
        <v>8</v>
      </c>
      <c r="I18" s="468">
        <v>9</v>
      </c>
      <c r="J18" s="470">
        <v>10</v>
      </c>
    </row>
    <row r="19" spans="1:10" s="10" customFormat="1" ht="14.1" customHeight="1" x14ac:dyDescent="0.25">
      <c r="A19" s="180"/>
      <c r="B19" s="20" t="s">
        <v>45</v>
      </c>
      <c r="C19" s="125">
        <v>3.0519999999999999E-2</v>
      </c>
      <c r="D19" s="125">
        <v>3.0519999999999999E-2</v>
      </c>
      <c r="E19" s="408">
        <f>цены!F74</f>
        <v>36</v>
      </c>
      <c r="F19" s="408">
        <f>C19*E19</f>
        <v>1.1000000000000001</v>
      </c>
      <c r="G19" s="97">
        <f t="shared" ref="G19:H27" si="0">C19*10</f>
        <v>0.30499999999999999</v>
      </c>
      <c r="H19" s="21">
        <f t="shared" si="0"/>
        <v>0.30499999999999999</v>
      </c>
      <c r="I19" s="21">
        <f t="shared" ref="I19:J27" si="1">C19*100</f>
        <v>3.052</v>
      </c>
      <c r="J19" s="21">
        <f t="shared" si="1"/>
        <v>3.052</v>
      </c>
    </row>
    <row r="20" spans="1:10" s="10" customFormat="1" ht="14.1" customHeight="1" x14ac:dyDescent="0.25">
      <c r="A20" s="180"/>
      <c r="B20" s="20" t="s">
        <v>128</v>
      </c>
      <c r="C20" s="111">
        <v>1E-3</v>
      </c>
      <c r="D20" s="111">
        <v>1E-3</v>
      </c>
      <c r="E20" s="408">
        <f>цены!F74</f>
        <v>36</v>
      </c>
      <c r="F20" s="408">
        <f t="shared" ref="F20:F27" si="2">C20*E20</f>
        <v>0.04</v>
      </c>
      <c r="G20" s="97">
        <f t="shared" si="0"/>
        <v>0.01</v>
      </c>
      <c r="H20" s="21">
        <f t="shared" si="0"/>
        <v>0.01</v>
      </c>
      <c r="I20" s="21">
        <f t="shared" si="1"/>
        <v>0.1</v>
      </c>
      <c r="J20" s="21">
        <f t="shared" si="1"/>
        <v>0.1</v>
      </c>
    </row>
    <row r="21" spans="1:10" s="10" customFormat="1" ht="12" customHeight="1" x14ac:dyDescent="0.25">
      <c r="A21" s="180"/>
      <c r="B21" s="20" t="s">
        <v>30</v>
      </c>
      <c r="C21" s="111">
        <v>6.0000000000000001E-3</v>
      </c>
      <c r="D21" s="111">
        <v>6.0000000000000001E-3</v>
      </c>
      <c r="E21" s="408">
        <f>цены!F107</f>
        <v>76</v>
      </c>
      <c r="F21" s="408">
        <f t="shared" si="2"/>
        <v>0.46</v>
      </c>
      <c r="G21" s="97">
        <f t="shared" si="0"/>
        <v>0.06</v>
      </c>
      <c r="H21" s="21">
        <f t="shared" si="0"/>
        <v>0.06</v>
      </c>
      <c r="I21" s="21">
        <f t="shared" si="1"/>
        <v>0.6</v>
      </c>
      <c r="J21" s="21">
        <f t="shared" si="1"/>
        <v>0.6</v>
      </c>
    </row>
    <row r="22" spans="1:10" s="10" customFormat="1" ht="12" customHeight="1" x14ac:dyDescent="0.25">
      <c r="A22" s="180"/>
      <c r="B22" s="20" t="s">
        <v>125</v>
      </c>
      <c r="C22" s="125">
        <v>7.5100000000000002E-3</v>
      </c>
      <c r="D22" s="125">
        <v>7.5100000000000002E-3</v>
      </c>
      <c r="E22" s="408">
        <f>цены!F86</f>
        <v>198</v>
      </c>
      <c r="F22" s="408">
        <f t="shared" si="2"/>
        <v>1.49</v>
      </c>
      <c r="G22" s="97">
        <f t="shared" si="0"/>
        <v>7.4999999999999997E-2</v>
      </c>
      <c r="H22" s="21">
        <f t="shared" si="0"/>
        <v>7.4999999999999997E-2</v>
      </c>
      <c r="I22" s="21">
        <f t="shared" si="1"/>
        <v>0.751</v>
      </c>
      <c r="J22" s="21">
        <f t="shared" si="1"/>
        <v>0.751</v>
      </c>
    </row>
    <row r="23" spans="1:10" s="10" customFormat="1" ht="12.6" customHeight="1" x14ac:dyDescent="0.25">
      <c r="A23" s="180"/>
      <c r="B23" s="20" t="s">
        <v>129</v>
      </c>
      <c r="C23" s="125">
        <v>1E-3</v>
      </c>
      <c r="D23" s="125">
        <v>1E-3</v>
      </c>
      <c r="E23" s="408">
        <f>цены!F86</f>
        <v>198</v>
      </c>
      <c r="F23" s="408">
        <f t="shared" si="2"/>
        <v>0.2</v>
      </c>
      <c r="G23" s="97">
        <f t="shared" si="0"/>
        <v>0.01</v>
      </c>
      <c r="H23" s="21">
        <f t="shared" si="0"/>
        <v>0.01</v>
      </c>
      <c r="I23" s="21">
        <f t="shared" si="1"/>
        <v>0.1</v>
      </c>
      <c r="J23" s="21">
        <f t="shared" si="1"/>
        <v>0.1</v>
      </c>
    </row>
    <row r="24" spans="1:10" s="10" customFormat="1" ht="12" customHeight="1" x14ac:dyDescent="0.25">
      <c r="A24" s="180"/>
      <c r="B24" s="20" t="s">
        <v>33</v>
      </c>
      <c r="C24" s="125">
        <v>5.9999999999999995E-4</v>
      </c>
      <c r="D24" s="125">
        <v>5.9999999999999995E-4</v>
      </c>
      <c r="E24" s="408">
        <f>цены!F110</f>
        <v>24</v>
      </c>
      <c r="F24" s="408">
        <f t="shared" si="2"/>
        <v>0.01</v>
      </c>
      <c r="G24" s="97">
        <f t="shared" si="0"/>
        <v>6.0000000000000001E-3</v>
      </c>
      <c r="H24" s="21">
        <f t="shared" si="0"/>
        <v>6.0000000000000001E-3</v>
      </c>
      <c r="I24" s="21">
        <f t="shared" si="1"/>
        <v>0.06</v>
      </c>
      <c r="J24" s="21">
        <f t="shared" si="1"/>
        <v>0.06</v>
      </c>
    </row>
    <row r="25" spans="1:10" s="10" customFormat="1" ht="12" customHeight="1" x14ac:dyDescent="0.25">
      <c r="A25" s="180"/>
      <c r="B25" s="20" t="s">
        <v>126</v>
      </c>
      <c r="C25" s="125">
        <v>7.5000000000000002E-4</v>
      </c>
      <c r="D25" s="125">
        <v>7.5000000000000002E-4</v>
      </c>
      <c r="E25" s="408">
        <f>цены!F93</f>
        <v>455</v>
      </c>
      <c r="F25" s="408">
        <f t="shared" si="2"/>
        <v>0.34</v>
      </c>
      <c r="G25" s="97">
        <f t="shared" si="0"/>
        <v>8.0000000000000002E-3</v>
      </c>
      <c r="H25" s="21">
        <f t="shared" si="0"/>
        <v>8.0000000000000002E-3</v>
      </c>
      <c r="I25" s="21">
        <f t="shared" si="1"/>
        <v>7.4999999999999997E-2</v>
      </c>
      <c r="J25" s="21">
        <f t="shared" si="1"/>
        <v>7.4999999999999997E-2</v>
      </c>
    </row>
    <row r="26" spans="1:10" s="10" customFormat="1" ht="12" customHeight="1" x14ac:dyDescent="0.25">
      <c r="A26" s="180"/>
      <c r="B26" s="20" t="s">
        <v>28</v>
      </c>
      <c r="C26" s="111">
        <v>1.5299999999999999E-2</v>
      </c>
      <c r="D26" s="111">
        <v>1.5299999999999999E-2</v>
      </c>
      <c r="E26" s="408"/>
      <c r="F26" s="408">
        <f t="shared" si="2"/>
        <v>0</v>
      </c>
      <c r="G26" s="97">
        <f t="shared" si="0"/>
        <v>0.153</v>
      </c>
      <c r="H26" s="21">
        <f t="shared" si="0"/>
        <v>0.153</v>
      </c>
      <c r="I26" s="21">
        <f t="shared" si="1"/>
        <v>1.53</v>
      </c>
      <c r="J26" s="21">
        <f t="shared" si="1"/>
        <v>1.53</v>
      </c>
    </row>
    <row r="27" spans="1:10" s="10" customFormat="1" ht="12" customHeight="1" x14ac:dyDescent="0.25">
      <c r="A27" s="180"/>
      <c r="B27" s="20" t="s">
        <v>244</v>
      </c>
      <c r="C27" s="111">
        <v>4.0000000000000001E-3</v>
      </c>
      <c r="D27" s="111">
        <v>4.0000000000000001E-3</v>
      </c>
      <c r="E27" s="408">
        <f>цены!F104</f>
        <v>140</v>
      </c>
      <c r="F27" s="408">
        <f t="shared" si="2"/>
        <v>0.56000000000000005</v>
      </c>
      <c r="G27" s="97">
        <f t="shared" si="0"/>
        <v>0.04</v>
      </c>
      <c r="H27" s="21">
        <f t="shared" si="0"/>
        <v>0.04</v>
      </c>
      <c r="I27" s="21">
        <f t="shared" si="1"/>
        <v>0.4</v>
      </c>
      <c r="J27" s="21">
        <f t="shared" si="1"/>
        <v>0.4</v>
      </c>
    </row>
    <row r="28" spans="1:10" s="10" customFormat="1" ht="12" customHeight="1" x14ac:dyDescent="0.25">
      <c r="A28" s="184"/>
      <c r="B28" s="93" t="s">
        <v>97</v>
      </c>
      <c r="C28" s="112"/>
      <c r="D28" s="112">
        <v>0.11799999999999999</v>
      </c>
      <c r="E28" s="95"/>
      <c r="F28" s="95">
        <f>SUM(F19:F27)</f>
        <v>4.2</v>
      </c>
      <c r="G28" s="99"/>
      <c r="H28" s="100">
        <f>D28*10</f>
        <v>1.18</v>
      </c>
      <c r="I28" s="100"/>
      <c r="J28" s="100">
        <f>D28*100</f>
        <v>11.8</v>
      </c>
    </row>
    <row r="29" spans="1:10" s="10" customFormat="1" ht="12" customHeight="1" x14ac:dyDescent="0.25">
      <c r="A29" s="98"/>
      <c r="B29" s="93" t="s">
        <v>100</v>
      </c>
      <c r="C29" s="112"/>
      <c r="D29" s="112">
        <v>0.1</v>
      </c>
      <c r="E29" s="95"/>
      <c r="F29" s="95">
        <f>F28</f>
        <v>4.2</v>
      </c>
      <c r="G29" s="99"/>
      <c r="H29" s="100">
        <f>D29*10</f>
        <v>1</v>
      </c>
      <c r="I29" s="100"/>
      <c r="J29" s="100">
        <f>D29*100</f>
        <v>10</v>
      </c>
    </row>
    <row r="30" spans="1:10" s="10" customFormat="1" ht="27.6" customHeight="1" x14ac:dyDescent="0.25">
      <c r="A30" s="1536" t="s">
        <v>35</v>
      </c>
      <c r="B30" s="1536"/>
      <c r="C30" s="90"/>
      <c r="D30" s="90"/>
      <c r="E30" s="408"/>
      <c r="F30" s="408">
        <f>F29</f>
        <v>4.2</v>
      </c>
      <c r="G30" s="469"/>
      <c r="H30" s="469"/>
      <c r="I30" s="21"/>
      <c r="J30" s="408"/>
    </row>
    <row r="31" spans="1:10" s="10" customFormat="1" ht="25.35" customHeight="1" x14ac:dyDescent="0.25">
      <c r="A31" s="1536" t="s">
        <v>36</v>
      </c>
      <c r="B31" s="1536"/>
      <c r="C31" s="90">
        <v>50</v>
      </c>
      <c r="D31" s="90"/>
      <c r="E31" s="408"/>
      <c r="F31" s="408"/>
      <c r="G31" s="408"/>
      <c r="H31" s="408"/>
      <c r="I31" s="21"/>
      <c r="J31" s="17"/>
    </row>
    <row r="32" spans="1:10" s="10" customFormat="1" ht="25.35" customHeight="1" x14ac:dyDescent="0.25">
      <c r="A32" s="1537" t="s">
        <v>37</v>
      </c>
      <c r="B32" s="1538"/>
      <c r="C32" s="91">
        <v>50</v>
      </c>
      <c r="D32" s="92"/>
      <c r="E32" s="470"/>
      <c r="F32" s="470"/>
      <c r="G32" s="470"/>
      <c r="H32" s="470"/>
      <c r="I32" s="21"/>
      <c r="J32" s="17"/>
    </row>
    <row r="33" spans="1:10" s="10" customFormat="1" ht="15" customHeight="1" x14ac:dyDescent="0.25">
      <c r="A33" s="1539" t="s">
        <v>38</v>
      </c>
      <c r="B33" s="1540"/>
      <c r="C33" s="92">
        <f>C31/C32</f>
        <v>1</v>
      </c>
      <c r="D33" s="92"/>
      <c r="E33" s="470"/>
      <c r="F33" s="470"/>
      <c r="G33" s="470"/>
      <c r="H33" s="470"/>
      <c r="I33" s="21"/>
      <c r="J33" s="17"/>
    </row>
    <row r="34" spans="1:10" ht="16.350000000000001" customHeight="1" x14ac:dyDescent="0.25">
      <c r="A34" s="1541" t="s">
        <v>39</v>
      </c>
      <c r="B34" s="1542"/>
      <c r="C34" s="15" t="s">
        <v>40</v>
      </c>
      <c r="D34" s="102"/>
      <c r="E34" s="102" t="s">
        <v>40</v>
      </c>
      <c r="F34" s="16">
        <f>F30/C33</f>
        <v>4.2</v>
      </c>
      <c r="G34" s="16"/>
      <c r="H34" s="16"/>
      <c r="I34" s="102" t="s">
        <v>40</v>
      </c>
      <c r="J34" s="102" t="s">
        <v>40</v>
      </c>
    </row>
    <row r="35" spans="1:10" ht="23.1" customHeight="1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193"/>
      <c r="B36" s="1194" t="s">
        <v>49</v>
      </c>
      <c r="C36" s="1198"/>
      <c r="D36" s="1198"/>
      <c r="E36" s="1198"/>
      <c r="F36" s="1198"/>
      <c r="G36" s="1193"/>
      <c r="H36" s="1557">
        <f>'1-бутерброд с маслом'!$H$28</f>
        <v>0</v>
      </c>
      <c r="I36" s="1557"/>
      <c r="J36" s="1557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545" t="s">
        <v>327</v>
      </c>
      <c r="B38" s="1545"/>
      <c r="C38" s="1546" t="s">
        <v>328</v>
      </c>
      <c r="D38" s="1546"/>
      <c r="E38" s="1546"/>
      <c r="F38" s="1546"/>
      <c r="G38" s="106"/>
      <c r="H38" s="1531"/>
      <c r="I38" s="1531"/>
      <c r="J38" s="1531"/>
    </row>
    <row r="39" spans="1:10" x14ac:dyDescent="0.25">
      <c r="A39" s="1193"/>
      <c r="B39" s="1193"/>
      <c r="C39" s="1546"/>
      <c r="D39" s="1546"/>
      <c r="E39" s="1546"/>
      <c r="F39" s="1546"/>
      <c r="G39" s="1193"/>
      <c r="H39" s="1531" t="s">
        <v>329</v>
      </c>
      <c r="I39" s="1531"/>
      <c r="J39" s="1531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</sheetData>
  <mergeCells count="28">
    <mergeCell ref="H36:J36"/>
    <mergeCell ref="A13:G13"/>
    <mergeCell ref="A31:B31"/>
    <mergeCell ref="A32:B32"/>
    <mergeCell ref="A33:B33"/>
    <mergeCell ref="A34:B34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8:B38"/>
    <mergeCell ref="C38:F39"/>
    <mergeCell ref="H38:J38"/>
    <mergeCell ref="H39:J39"/>
    <mergeCell ref="H5:I5"/>
    <mergeCell ref="A6:G6"/>
    <mergeCell ref="A7:I7"/>
    <mergeCell ref="A30:B30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J40"/>
  <sheetViews>
    <sheetView view="pageBreakPreview" zoomScaleNormal="100" zoomScaleSheetLayoutView="100" workbookViewId="0">
      <selection activeCell="C16" sqref="C16:F16"/>
    </sheetView>
  </sheetViews>
  <sheetFormatPr defaultRowHeight="13.8" x14ac:dyDescent="0.25"/>
  <cols>
    <col min="1" max="1" width="4.109375" customWidth="1"/>
    <col min="2" max="2" width="20.55468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307)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428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785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'426-булочка с повидл (2)'!H14+1</f>
        <v>307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>
        <v>1</v>
      </c>
      <c r="B19" s="20" t="s">
        <v>45</v>
      </c>
      <c r="C19" s="21">
        <v>4.6820000000000004</v>
      </c>
      <c r="D19" s="21">
        <v>4.6820000000000004</v>
      </c>
      <c r="E19" s="13">
        <f>цены!F74</f>
        <v>36</v>
      </c>
      <c r="F19" s="13">
        <f>C19*E19</f>
        <v>168.55</v>
      </c>
      <c r="G19" s="97">
        <f t="shared" ref="G19:H26" si="0">C19*10</f>
        <v>46.82</v>
      </c>
      <c r="H19" s="21">
        <f t="shared" si="0"/>
        <v>46.82</v>
      </c>
      <c r="I19" s="21">
        <f t="shared" ref="I19:J26" si="1">C19*100</f>
        <v>468.2</v>
      </c>
      <c r="J19" s="21">
        <f t="shared" si="1"/>
        <v>468.2</v>
      </c>
    </row>
    <row r="20" spans="1:10" s="10" customFormat="1" ht="14.1" customHeight="1" x14ac:dyDescent="0.25">
      <c r="A20" s="180">
        <v>2</v>
      </c>
      <c r="B20" s="20" t="s">
        <v>128</v>
      </c>
      <c r="C20" s="21">
        <v>0.23400000000000001</v>
      </c>
      <c r="D20" s="21">
        <v>0.23400000000000001</v>
      </c>
      <c r="E20" s="13">
        <f>цены!F74</f>
        <v>36</v>
      </c>
      <c r="F20" s="13">
        <f t="shared" ref="F20:F26" si="2">C20*E20</f>
        <v>8.42</v>
      </c>
      <c r="G20" s="97">
        <f t="shared" si="0"/>
        <v>2.34</v>
      </c>
      <c r="H20" s="21">
        <f t="shared" si="0"/>
        <v>2.34</v>
      </c>
      <c r="I20" s="21">
        <f t="shared" si="1"/>
        <v>23.4</v>
      </c>
      <c r="J20" s="21">
        <f t="shared" si="1"/>
        <v>23.4</v>
      </c>
    </row>
    <row r="21" spans="1:10" s="10" customFormat="1" ht="12" customHeight="1" x14ac:dyDescent="0.25">
      <c r="A21" s="180">
        <v>3</v>
      </c>
      <c r="B21" s="20" t="s">
        <v>30</v>
      </c>
      <c r="C21" s="21">
        <v>0.28100000000000003</v>
      </c>
      <c r="D21" s="21">
        <v>0.28100000000000003</v>
      </c>
      <c r="E21" s="13">
        <f>цены!F107</f>
        <v>76</v>
      </c>
      <c r="F21" s="13">
        <f t="shared" si="2"/>
        <v>21.36</v>
      </c>
      <c r="G21" s="97">
        <f t="shared" si="0"/>
        <v>2.81</v>
      </c>
      <c r="H21" s="21">
        <f t="shared" si="0"/>
        <v>2.81</v>
      </c>
      <c r="I21" s="21">
        <f t="shared" si="1"/>
        <v>28.1</v>
      </c>
      <c r="J21" s="21">
        <f t="shared" si="1"/>
        <v>28.1</v>
      </c>
    </row>
    <row r="22" spans="1:10" s="10" customFormat="1" ht="12" customHeight="1" x14ac:dyDescent="0.25">
      <c r="A22" s="180">
        <v>4</v>
      </c>
      <c r="B22" s="20" t="s">
        <v>125</v>
      </c>
      <c r="C22" s="21">
        <v>0.14099999999999999</v>
      </c>
      <c r="D22" s="21">
        <v>0.14099999999999999</v>
      </c>
      <c r="E22" s="13">
        <f>цены!F86</f>
        <v>198</v>
      </c>
      <c r="F22" s="13">
        <f t="shared" si="2"/>
        <v>27.92</v>
      </c>
      <c r="G22" s="97">
        <f t="shared" si="0"/>
        <v>1.41</v>
      </c>
      <c r="H22" s="21">
        <f t="shared" si="0"/>
        <v>1.41</v>
      </c>
      <c r="I22" s="21">
        <f t="shared" si="1"/>
        <v>14.1</v>
      </c>
      <c r="J22" s="21">
        <f t="shared" si="1"/>
        <v>14.1</v>
      </c>
    </row>
    <row r="23" spans="1:10" s="10" customFormat="1" ht="12.6" customHeight="1" x14ac:dyDescent="0.25">
      <c r="A23" s="180">
        <v>5</v>
      </c>
      <c r="B23" s="20" t="s">
        <v>74</v>
      </c>
      <c r="C23" s="21">
        <v>2.4E-2</v>
      </c>
      <c r="D23" s="21">
        <v>2.4E-2</v>
      </c>
      <c r="E23" s="13">
        <f>цены!F87</f>
        <v>120</v>
      </c>
      <c r="F23" s="13">
        <f t="shared" si="2"/>
        <v>2.88</v>
      </c>
      <c r="G23" s="97">
        <f t="shared" si="0"/>
        <v>0.24</v>
      </c>
      <c r="H23" s="21">
        <f t="shared" si="0"/>
        <v>0.24</v>
      </c>
      <c r="I23" s="21">
        <f t="shared" si="1"/>
        <v>2.4</v>
      </c>
      <c r="J23" s="21">
        <f t="shared" si="1"/>
        <v>2.4</v>
      </c>
    </row>
    <row r="24" spans="1:10" s="10" customFormat="1" ht="12" customHeight="1" x14ac:dyDescent="0.25">
      <c r="A24" s="180">
        <v>6</v>
      </c>
      <c r="B24" s="20" t="s">
        <v>126</v>
      </c>
      <c r="C24" s="21">
        <v>4.7E-2</v>
      </c>
      <c r="D24" s="21">
        <v>4.7E-2</v>
      </c>
      <c r="E24" s="13">
        <f>цены!F93</f>
        <v>455</v>
      </c>
      <c r="F24" s="13">
        <f t="shared" si="2"/>
        <v>21.39</v>
      </c>
      <c r="G24" s="97">
        <f t="shared" si="0"/>
        <v>0.47</v>
      </c>
      <c r="H24" s="21">
        <f t="shared" si="0"/>
        <v>0.47</v>
      </c>
      <c r="I24" s="21">
        <f t="shared" si="1"/>
        <v>4.7</v>
      </c>
      <c r="J24" s="21">
        <f t="shared" si="1"/>
        <v>4.7</v>
      </c>
    </row>
    <row r="25" spans="1:10" s="10" customFormat="1" ht="12" customHeight="1" x14ac:dyDescent="0.25">
      <c r="A25" s="180">
        <v>7</v>
      </c>
      <c r="B25" s="20" t="s">
        <v>33</v>
      </c>
      <c r="C25" s="21">
        <v>7.0999999999999994E-2</v>
      </c>
      <c r="D25" s="21">
        <v>7.0999999999999994E-2</v>
      </c>
      <c r="E25" s="13">
        <f>цены!F110</f>
        <v>24</v>
      </c>
      <c r="F25" s="13">
        <f t="shared" si="2"/>
        <v>1.7</v>
      </c>
      <c r="G25" s="97">
        <f t="shared" si="0"/>
        <v>0.71</v>
      </c>
      <c r="H25" s="21">
        <f t="shared" si="0"/>
        <v>0.71</v>
      </c>
      <c r="I25" s="21">
        <f t="shared" si="1"/>
        <v>7.1</v>
      </c>
      <c r="J25" s="21">
        <f t="shared" si="1"/>
        <v>7.1</v>
      </c>
    </row>
    <row r="26" spans="1:10" s="10" customFormat="1" ht="12" customHeight="1" x14ac:dyDescent="0.25">
      <c r="A26" s="180">
        <v>8</v>
      </c>
      <c r="B26" s="20" t="s">
        <v>28</v>
      </c>
      <c r="C26" s="21">
        <v>2.41</v>
      </c>
      <c r="D26" s="21">
        <v>2.41</v>
      </c>
      <c r="E26" s="13"/>
      <c r="F26" s="13">
        <f t="shared" si="2"/>
        <v>0</v>
      </c>
      <c r="G26" s="97">
        <f t="shared" si="0"/>
        <v>24.1</v>
      </c>
      <c r="H26" s="21">
        <f t="shared" si="0"/>
        <v>24.1</v>
      </c>
      <c r="I26" s="21">
        <f t="shared" si="1"/>
        <v>241</v>
      </c>
      <c r="J26" s="21">
        <f t="shared" si="1"/>
        <v>241</v>
      </c>
    </row>
    <row r="27" spans="1:10" s="10" customFormat="1" ht="12" customHeight="1" x14ac:dyDescent="0.25">
      <c r="A27" s="184"/>
      <c r="B27" s="93" t="s">
        <v>97</v>
      </c>
      <c r="C27" s="112"/>
      <c r="D27" s="112">
        <v>7.1</v>
      </c>
      <c r="E27" s="95"/>
      <c r="F27" s="95">
        <f>SUM(F19:F26)</f>
        <v>252.22</v>
      </c>
      <c r="G27" s="99"/>
      <c r="H27" s="100">
        <f>D27*10</f>
        <v>71</v>
      </c>
      <c r="I27" s="100"/>
      <c r="J27" s="100">
        <f>D27*100</f>
        <v>710</v>
      </c>
    </row>
    <row r="28" spans="1:10" s="10" customFormat="1" ht="12" customHeight="1" x14ac:dyDescent="0.25">
      <c r="A28" s="98"/>
      <c r="B28" s="93" t="s">
        <v>100</v>
      </c>
      <c r="C28" s="112"/>
      <c r="D28" s="112">
        <v>6</v>
      </c>
      <c r="E28" s="95"/>
      <c r="F28" s="95">
        <f>F27</f>
        <v>252.22</v>
      </c>
      <c r="G28" s="99"/>
      <c r="H28" s="100">
        <f>D28*10</f>
        <v>60</v>
      </c>
      <c r="I28" s="100"/>
      <c r="J28" s="100">
        <f>D28*100</f>
        <v>600</v>
      </c>
    </row>
    <row r="29" spans="1:10" s="10" customFormat="1" ht="27.6" customHeight="1" x14ac:dyDescent="0.25">
      <c r="A29" s="1536" t="s">
        <v>35</v>
      </c>
      <c r="B29" s="1536"/>
      <c r="C29" s="90"/>
      <c r="D29" s="90"/>
      <c r="E29" s="13"/>
      <c r="F29" s="13">
        <f>F28</f>
        <v>252.22</v>
      </c>
      <c r="G29" s="14"/>
      <c r="H29" s="14"/>
      <c r="I29" s="21"/>
      <c r="J29" s="13"/>
    </row>
    <row r="30" spans="1:10" s="10" customFormat="1" ht="25.35" customHeight="1" x14ac:dyDescent="0.25">
      <c r="A30" s="1536" t="s">
        <v>36</v>
      </c>
      <c r="B30" s="1536"/>
      <c r="C30" s="90">
        <v>6000</v>
      </c>
      <c r="D30" s="90"/>
      <c r="E30" s="13"/>
      <c r="F30" s="13"/>
      <c r="G30" s="13"/>
      <c r="H30" s="13"/>
      <c r="I30" s="21"/>
      <c r="J30" s="17"/>
    </row>
    <row r="31" spans="1:10" s="10" customFormat="1" ht="25.35" customHeight="1" x14ac:dyDescent="0.25">
      <c r="A31" s="1537" t="s">
        <v>37</v>
      </c>
      <c r="B31" s="1538"/>
      <c r="C31" s="91">
        <v>30</v>
      </c>
      <c r="D31" s="92"/>
      <c r="E31" s="5"/>
      <c r="F31" s="5"/>
      <c r="G31" s="5"/>
      <c r="H31" s="5"/>
      <c r="I31" s="21"/>
      <c r="J31" s="17"/>
    </row>
    <row r="32" spans="1:10" s="10" customFormat="1" ht="15" customHeight="1" x14ac:dyDescent="0.25">
      <c r="A32" s="1539" t="s">
        <v>38</v>
      </c>
      <c r="B32" s="1540"/>
      <c r="C32" s="92">
        <f>C30/C31</f>
        <v>200</v>
      </c>
      <c r="D32" s="92"/>
      <c r="E32" s="5"/>
      <c r="F32" s="5"/>
      <c r="G32" s="5"/>
      <c r="H32" s="5"/>
      <c r="I32" s="21"/>
      <c r="J32" s="17"/>
    </row>
    <row r="33" spans="1:10" ht="16.350000000000001" customHeight="1" x14ac:dyDescent="0.25">
      <c r="A33" s="1541" t="s">
        <v>39</v>
      </c>
      <c r="B33" s="1542"/>
      <c r="C33" s="15" t="s">
        <v>40</v>
      </c>
      <c r="D33" s="102"/>
      <c r="E33" s="214" t="s">
        <v>40</v>
      </c>
      <c r="F33" s="16">
        <f>F29/C32</f>
        <v>1.26</v>
      </c>
      <c r="G33" s="16"/>
      <c r="H33" s="16"/>
      <c r="I33" s="102" t="s">
        <v>40</v>
      </c>
      <c r="J33" s="102" t="s">
        <v>40</v>
      </c>
    </row>
    <row r="34" spans="1:10" ht="23.1" customHeight="1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193"/>
      <c r="B35" s="1194" t="s">
        <v>49</v>
      </c>
      <c r="C35" s="1198"/>
      <c r="D35" s="1198"/>
      <c r="E35" s="1198"/>
      <c r="F35" s="1198"/>
      <c r="G35" s="1193"/>
      <c r="H35" s="1557">
        <f>'1-бутерброд с маслом'!$H$28</f>
        <v>0</v>
      </c>
      <c r="I35" s="1557"/>
      <c r="J35" s="1557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545" t="s">
        <v>327</v>
      </c>
      <c r="B37" s="1545"/>
      <c r="C37" s="1546" t="s">
        <v>328</v>
      </c>
      <c r="D37" s="1546"/>
      <c r="E37" s="1546"/>
      <c r="F37" s="1546"/>
      <c r="G37" s="106"/>
      <c r="H37" s="1531"/>
      <c r="I37" s="1531"/>
      <c r="J37" s="1531"/>
    </row>
    <row r="38" spans="1:10" x14ac:dyDescent="0.25">
      <c r="A38" s="1193"/>
      <c r="B38" s="1193"/>
      <c r="C38" s="1546"/>
      <c r="D38" s="1546"/>
      <c r="E38" s="1546"/>
      <c r="F38" s="1546"/>
      <c r="G38" s="1193"/>
      <c r="H38" s="1531" t="s">
        <v>329</v>
      </c>
      <c r="I38" s="1531"/>
      <c r="J38" s="1531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7:B37"/>
    <mergeCell ref="C37:F38"/>
    <mergeCell ref="H37:J37"/>
    <mergeCell ref="H38:J38"/>
    <mergeCell ref="A30:B30"/>
    <mergeCell ref="A31:B31"/>
    <mergeCell ref="A32:B32"/>
    <mergeCell ref="A33:B33"/>
    <mergeCell ref="H35:J35"/>
    <mergeCell ref="A29:B29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J40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0.5546875" customWidth="1"/>
    <col min="3" max="7" width="7.5546875" customWidth="1"/>
    <col min="8" max="8" width="7.44140625" customWidth="1"/>
    <col min="9" max="9" width="7.5546875" customWidth="1"/>
    <col min="10" max="10" width="8.44140625" customWidth="1"/>
    <col min="11" max="11" width="2.5546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308)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428</v>
      </c>
    </row>
    <row r="8" spans="1:10" s="2" customFormat="1" ht="9.6" customHeight="1" x14ac:dyDescent="0.25">
      <c r="A8" s="281"/>
      <c r="B8" s="281"/>
      <c r="C8" s="281"/>
      <c r="D8" s="281"/>
      <c r="E8" s="281"/>
      <c r="F8" s="281"/>
      <c r="G8" s="281"/>
      <c r="H8" s="281"/>
      <c r="I8" s="281"/>
      <c r="J8" s="109"/>
    </row>
    <row r="9" spans="1:10" s="2" customFormat="1" ht="26.1" customHeight="1" x14ac:dyDescent="0.3">
      <c r="A9" s="1550" t="s">
        <v>786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'428-булочка школьная 30г'!H14+1</f>
        <v>308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78" t="s">
        <v>92</v>
      </c>
      <c r="D17" s="278" t="s">
        <v>94</v>
      </c>
      <c r="E17" s="278" t="s">
        <v>93</v>
      </c>
      <c r="F17" s="278" t="s">
        <v>23</v>
      </c>
      <c r="G17" s="278" t="s">
        <v>92</v>
      </c>
      <c r="H17" s="278" t="s">
        <v>94</v>
      </c>
      <c r="I17" s="278" t="s">
        <v>92</v>
      </c>
      <c r="J17" s="278" t="s">
        <v>94</v>
      </c>
    </row>
    <row r="18" spans="1:10" ht="9.6" customHeight="1" x14ac:dyDescent="0.25">
      <c r="A18" s="278">
        <v>1</v>
      </c>
      <c r="B18" s="280">
        <v>2</v>
      </c>
      <c r="C18" s="278">
        <v>3</v>
      </c>
      <c r="D18" s="280">
        <v>4</v>
      </c>
      <c r="E18" s="278">
        <v>5</v>
      </c>
      <c r="F18" s="280">
        <v>6</v>
      </c>
      <c r="G18" s="278">
        <v>7</v>
      </c>
      <c r="H18" s="280">
        <v>8</v>
      </c>
      <c r="I18" s="278">
        <v>9</v>
      </c>
      <c r="J18" s="280">
        <v>10</v>
      </c>
    </row>
    <row r="19" spans="1:10" s="10" customFormat="1" ht="14.1" customHeight="1" x14ac:dyDescent="0.25">
      <c r="A19" s="180">
        <v>1</v>
      </c>
      <c r="B19" s="20" t="s">
        <v>45</v>
      </c>
      <c r="C19" s="21">
        <v>4.6820000000000004</v>
      </c>
      <c r="D19" s="21">
        <v>4.6820000000000004</v>
      </c>
      <c r="E19" s="13">
        <f>цены!F74</f>
        <v>36</v>
      </c>
      <c r="F19" s="13">
        <f>C19*E19</f>
        <v>168.55</v>
      </c>
      <c r="G19" s="97">
        <f t="shared" ref="G19:H26" si="0">C19*10</f>
        <v>46.82</v>
      </c>
      <c r="H19" s="21">
        <f t="shared" si="0"/>
        <v>46.82</v>
      </c>
      <c r="I19" s="21">
        <f t="shared" ref="I19:J26" si="1">C19*100</f>
        <v>468.2</v>
      </c>
      <c r="J19" s="21">
        <f t="shared" si="1"/>
        <v>468.2</v>
      </c>
    </row>
    <row r="20" spans="1:10" s="10" customFormat="1" ht="14.1" customHeight="1" x14ac:dyDescent="0.25">
      <c r="A20" s="180">
        <v>2</v>
      </c>
      <c r="B20" s="20" t="s">
        <v>128</v>
      </c>
      <c r="C20" s="21">
        <v>0.23400000000000001</v>
      </c>
      <c r="D20" s="21">
        <v>0.23400000000000001</v>
      </c>
      <c r="E20" s="13">
        <f>цены!F74</f>
        <v>36</v>
      </c>
      <c r="F20" s="13">
        <f t="shared" ref="F20:F26" si="2">C20*E20</f>
        <v>8.42</v>
      </c>
      <c r="G20" s="97">
        <f t="shared" si="0"/>
        <v>2.34</v>
      </c>
      <c r="H20" s="21">
        <f t="shared" si="0"/>
        <v>2.34</v>
      </c>
      <c r="I20" s="21">
        <f t="shared" si="1"/>
        <v>23.4</v>
      </c>
      <c r="J20" s="21">
        <f t="shared" si="1"/>
        <v>23.4</v>
      </c>
    </row>
    <row r="21" spans="1:10" s="10" customFormat="1" ht="12" customHeight="1" x14ac:dyDescent="0.25">
      <c r="A21" s="180">
        <v>3</v>
      </c>
      <c r="B21" s="20" t="s">
        <v>30</v>
      </c>
      <c r="C21" s="21">
        <v>0.28100000000000003</v>
      </c>
      <c r="D21" s="21">
        <v>0.28100000000000003</v>
      </c>
      <c r="E21" s="13">
        <f>цены!F107</f>
        <v>76</v>
      </c>
      <c r="F21" s="13">
        <f t="shared" si="2"/>
        <v>21.36</v>
      </c>
      <c r="G21" s="97">
        <f t="shared" si="0"/>
        <v>2.81</v>
      </c>
      <c r="H21" s="21">
        <f t="shared" si="0"/>
        <v>2.81</v>
      </c>
      <c r="I21" s="21">
        <f t="shared" si="1"/>
        <v>28.1</v>
      </c>
      <c r="J21" s="21">
        <f t="shared" si="1"/>
        <v>28.1</v>
      </c>
    </row>
    <row r="22" spans="1:10" s="10" customFormat="1" ht="12" customHeight="1" x14ac:dyDescent="0.25">
      <c r="A22" s="180">
        <v>4</v>
      </c>
      <c r="B22" s="20" t="s">
        <v>125</v>
      </c>
      <c r="C22" s="21">
        <v>0.14099999999999999</v>
      </c>
      <c r="D22" s="21">
        <v>0.14099999999999999</v>
      </c>
      <c r="E22" s="13">
        <f>цены!F86</f>
        <v>198</v>
      </c>
      <c r="F22" s="13">
        <f t="shared" si="2"/>
        <v>27.92</v>
      </c>
      <c r="G22" s="97">
        <f t="shared" si="0"/>
        <v>1.41</v>
      </c>
      <c r="H22" s="21">
        <f t="shared" si="0"/>
        <v>1.41</v>
      </c>
      <c r="I22" s="21">
        <f t="shared" si="1"/>
        <v>14.1</v>
      </c>
      <c r="J22" s="21">
        <f t="shared" si="1"/>
        <v>14.1</v>
      </c>
    </row>
    <row r="23" spans="1:10" s="10" customFormat="1" ht="12.6" customHeight="1" x14ac:dyDescent="0.25">
      <c r="A23" s="180">
        <v>5</v>
      </c>
      <c r="B23" s="20" t="s">
        <v>74</v>
      </c>
      <c r="C23" s="21">
        <v>2.4E-2</v>
      </c>
      <c r="D23" s="21">
        <v>2.4E-2</v>
      </c>
      <c r="E23" s="13">
        <f>цены!F87</f>
        <v>120</v>
      </c>
      <c r="F23" s="13">
        <f t="shared" si="2"/>
        <v>2.88</v>
      </c>
      <c r="G23" s="97">
        <f t="shared" si="0"/>
        <v>0.24</v>
      </c>
      <c r="H23" s="21">
        <f t="shared" si="0"/>
        <v>0.24</v>
      </c>
      <c r="I23" s="21">
        <f t="shared" si="1"/>
        <v>2.4</v>
      </c>
      <c r="J23" s="21">
        <f t="shared" si="1"/>
        <v>2.4</v>
      </c>
    </row>
    <row r="24" spans="1:10" s="10" customFormat="1" ht="12" customHeight="1" x14ac:dyDescent="0.25">
      <c r="A24" s="180">
        <v>6</v>
      </c>
      <c r="B24" s="20" t="s">
        <v>126</v>
      </c>
      <c r="C24" s="21">
        <v>4.7E-2</v>
      </c>
      <c r="D24" s="21">
        <v>4.7E-2</v>
      </c>
      <c r="E24" s="13">
        <f>цены!F93</f>
        <v>455</v>
      </c>
      <c r="F24" s="13">
        <f t="shared" si="2"/>
        <v>21.39</v>
      </c>
      <c r="G24" s="97">
        <f t="shared" si="0"/>
        <v>0.47</v>
      </c>
      <c r="H24" s="21">
        <f t="shared" si="0"/>
        <v>0.47</v>
      </c>
      <c r="I24" s="21">
        <f t="shared" si="1"/>
        <v>4.7</v>
      </c>
      <c r="J24" s="21">
        <f t="shared" si="1"/>
        <v>4.7</v>
      </c>
    </row>
    <row r="25" spans="1:10" s="10" customFormat="1" ht="12" customHeight="1" x14ac:dyDescent="0.25">
      <c r="A25" s="180">
        <v>7</v>
      </c>
      <c r="B25" s="20" t="s">
        <v>33</v>
      </c>
      <c r="C25" s="21">
        <v>7.0999999999999994E-2</v>
      </c>
      <c r="D25" s="21">
        <v>7.0999999999999994E-2</v>
      </c>
      <c r="E25" s="13">
        <f>цены!F110</f>
        <v>24</v>
      </c>
      <c r="F25" s="13">
        <f t="shared" si="2"/>
        <v>1.7</v>
      </c>
      <c r="G25" s="97">
        <f t="shared" si="0"/>
        <v>0.71</v>
      </c>
      <c r="H25" s="21">
        <f t="shared" si="0"/>
        <v>0.71</v>
      </c>
      <c r="I25" s="21">
        <f t="shared" si="1"/>
        <v>7.1</v>
      </c>
      <c r="J25" s="21">
        <f t="shared" si="1"/>
        <v>7.1</v>
      </c>
    </row>
    <row r="26" spans="1:10" s="10" customFormat="1" ht="12" customHeight="1" x14ac:dyDescent="0.25">
      <c r="A26" s="180">
        <v>8</v>
      </c>
      <c r="B26" s="20" t="s">
        <v>28</v>
      </c>
      <c r="C26" s="21">
        <v>2.41</v>
      </c>
      <c r="D26" s="21">
        <v>2.41</v>
      </c>
      <c r="E26" s="13"/>
      <c r="F26" s="13">
        <f t="shared" si="2"/>
        <v>0</v>
      </c>
      <c r="G26" s="97">
        <f t="shared" si="0"/>
        <v>24.1</v>
      </c>
      <c r="H26" s="21">
        <f t="shared" si="0"/>
        <v>24.1</v>
      </c>
      <c r="I26" s="21">
        <f t="shared" si="1"/>
        <v>241</v>
      </c>
      <c r="J26" s="21">
        <f t="shared" si="1"/>
        <v>241</v>
      </c>
    </row>
    <row r="27" spans="1:10" s="10" customFormat="1" ht="12" customHeight="1" x14ac:dyDescent="0.25">
      <c r="A27" s="184"/>
      <c r="B27" s="93" t="s">
        <v>97</v>
      </c>
      <c r="C27" s="112"/>
      <c r="D27" s="112">
        <v>7.1</v>
      </c>
      <c r="E27" s="95"/>
      <c r="F27" s="95">
        <f>SUM(F19:F26)</f>
        <v>252.22</v>
      </c>
      <c r="G27" s="99"/>
      <c r="H27" s="100">
        <f>D27*10</f>
        <v>71</v>
      </c>
      <c r="I27" s="100"/>
      <c r="J27" s="100">
        <f>D27*100</f>
        <v>710</v>
      </c>
    </row>
    <row r="28" spans="1:10" s="10" customFormat="1" ht="12" customHeight="1" x14ac:dyDescent="0.25">
      <c r="A28" s="98"/>
      <c r="B28" s="93" t="s">
        <v>100</v>
      </c>
      <c r="C28" s="112"/>
      <c r="D28" s="112">
        <v>6</v>
      </c>
      <c r="E28" s="95"/>
      <c r="F28" s="95">
        <f>F27</f>
        <v>252.22</v>
      </c>
      <c r="G28" s="99"/>
      <c r="H28" s="100">
        <f>D28*10</f>
        <v>60</v>
      </c>
      <c r="I28" s="100"/>
      <c r="J28" s="100">
        <f>D28*100</f>
        <v>600</v>
      </c>
    </row>
    <row r="29" spans="1:10" s="10" customFormat="1" ht="27.6" customHeight="1" x14ac:dyDescent="0.25">
      <c r="A29" s="1536" t="s">
        <v>35</v>
      </c>
      <c r="B29" s="1536"/>
      <c r="C29" s="90"/>
      <c r="D29" s="90"/>
      <c r="E29" s="13"/>
      <c r="F29" s="13">
        <f>F28</f>
        <v>252.22</v>
      </c>
      <c r="G29" s="279"/>
      <c r="H29" s="279"/>
      <c r="I29" s="21"/>
      <c r="J29" s="13"/>
    </row>
    <row r="30" spans="1:10" s="10" customFormat="1" ht="25.35" customHeight="1" x14ac:dyDescent="0.25">
      <c r="A30" s="1536" t="s">
        <v>36</v>
      </c>
      <c r="B30" s="1536"/>
      <c r="C30" s="90">
        <v>6000</v>
      </c>
      <c r="D30" s="90"/>
      <c r="E30" s="13"/>
      <c r="F30" s="13"/>
      <c r="G30" s="13"/>
      <c r="H30" s="13"/>
      <c r="I30" s="21"/>
      <c r="J30" s="17"/>
    </row>
    <row r="31" spans="1:10" s="10" customFormat="1" ht="25.35" customHeight="1" x14ac:dyDescent="0.25">
      <c r="A31" s="1537" t="s">
        <v>37</v>
      </c>
      <c r="B31" s="1538"/>
      <c r="C31" s="91">
        <v>50</v>
      </c>
      <c r="D31" s="92"/>
      <c r="E31" s="280"/>
      <c r="F31" s="280"/>
      <c r="G31" s="280"/>
      <c r="H31" s="280"/>
      <c r="I31" s="21"/>
      <c r="J31" s="17"/>
    </row>
    <row r="32" spans="1:10" s="10" customFormat="1" ht="15" customHeight="1" x14ac:dyDescent="0.25">
      <c r="A32" s="1539" t="s">
        <v>38</v>
      </c>
      <c r="B32" s="1540"/>
      <c r="C32" s="92">
        <f>C30/C31</f>
        <v>120</v>
      </c>
      <c r="D32" s="92"/>
      <c r="E32" s="280"/>
      <c r="F32" s="280"/>
      <c r="G32" s="280"/>
      <c r="H32" s="280"/>
      <c r="I32" s="21"/>
      <c r="J32" s="17"/>
    </row>
    <row r="33" spans="1:10" ht="16.350000000000001" customHeight="1" x14ac:dyDescent="0.25">
      <c r="A33" s="1541" t="s">
        <v>39</v>
      </c>
      <c r="B33" s="1542"/>
      <c r="C33" s="15" t="s">
        <v>40</v>
      </c>
      <c r="D33" s="102"/>
      <c r="E33" s="214" t="s">
        <v>40</v>
      </c>
      <c r="F33" s="16">
        <f>F29/C32</f>
        <v>2.1</v>
      </c>
      <c r="G33" s="16"/>
      <c r="H33" s="16"/>
      <c r="I33" s="102" t="s">
        <v>40</v>
      </c>
      <c r="J33" s="102" t="s">
        <v>40</v>
      </c>
    </row>
    <row r="34" spans="1:10" ht="23.1" customHeight="1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193"/>
      <c r="B35" s="1194" t="s">
        <v>49</v>
      </c>
      <c r="C35" s="1198"/>
      <c r="D35" s="1198"/>
      <c r="E35" s="1198"/>
      <c r="F35" s="1198"/>
      <c r="G35" s="1193"/>
      <c r="H35" s="1557">
        <f>'1-бутерброд с маслом'!$H$28</f>
        <v>0</v>
      </c>
      <c r="I35" s="1557"/>
      <c r="J35" s="1557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545" t="s">
        <v>327</v>
      </c>
      <c r="B37" s="1545"/>
      <c r="C37" s="1546" t="s">
        <v>328</v>
      </c>
      <c r="D37" s="1546"/>
      <c r="E37" s="1546"/>
      <c r="F37" s="1546"/>
      <c r="G37" s="106"/>
      <c r="H37" s="1531"/>
      <c r="I37" s="1531"/>
      <c r="J37" s="1531"/>
    </row>
    <row r="38" spans="1:10" x14ac:dyDescent="0.25">
      <c r="A38" s="1193"/>
      <c r="B38" s="1193"/>
      <c r="C38" s="1546"/>
      <c r="D38" s="1546"/>
      <c r="E38" s="1546"/>
      <c r="F38" s="1546"/>
      <c r="G38" s="1193"/>
      <c r="H38" s="1531" t="s">
        <v>329</v>
      </c>
      <c r="I38" s="1531"/>
      <c r="J38" s="1531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</sheetData>
  <mergeCells count="28">
    <mergeCell ref="H35:J35"/>
    <mergeCell ref="A13:G13"/>
    <mergeCell ref="A30:B30"/>
    <mergeCell ref="A31:B31"/>
    <mergeCell ref="A32:B32"/>
    <mergeCell ref="A33:B33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7:B37"/>
    <mergeCell ref="C37:F38"/>
    <mergeCell ref="H37:J37"/>
    <mergeCell ref="H38:J38"/>
    <mergeCell ref="H5:I5"/>
    <mergeCell ref="A6:G6"/>
    <mergeCell ref="A7:I7"/>
    <mergeCell ref="A29:B29"/>
    <mergeCell ref="A9:J9"/>
    <mergeCell ref="A11:J11"/>
    <mergeCell ref="I13:J13"/>
    <mergeCell ref="C14:G14"/>
  </mergeCells>
  <printOptions headings="1"/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J40"/>
  <sheetViews>
    <sheetView view="pageBreakPreview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511" customWidth="1"/>
    <col min="2" max="2" width="20.5546875" style="511" customWidth="1"/>
    <col min="3" max="7" width="7.5546875" style="511" customWidth="1"/>
    <col min="8" max="8" width="7.44140625" style="511" customWidth="1"/>
    <col min="9" max="9" width="7.5546875" style="511" customWidth="1"/>
    <col min="10" max="10" width="8.44140625" style="511" customWidth="1"/>
    <col min="11" max="11" width="2.6640625" style="511" customWidth="1"/>
    <col min="12" max="16384" width="8.88671875" style="51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308)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428</v>
      </c>
    </row>
    <row r="8" spans="1:10" s="2" customFormat="1" ht="9.6" customHeight="1" x14ac:dyDescent="0.25">
      <c r="A8" s="515"/>
      <c r="B8" s="515"/>
      <c r="C8" s="515"/>
      <c r="D8" s="515"/>
      <c r="E8" s="515"/>
      <c r="F8" s="515"/>
      <c r="G8" s="515"/>
      <c r="H8" s="515"/>
      <c r="I8" s="515"/>
      <c r="J8" s="109"/>
    </row>
    <row r="9" spans="1:10" s="2" customFormat="1" ht="26.1" customHeight="1" x14ac:dyDescent="0.3">
      <c r="A9" s="1550" t="s">
        <v>784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'428-булочка школьная 30г'!H14+1</f>
        <v>308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512" t="s">
        <v>92</v>
      </c>
      <c r="D17" s="512" t="s">
        <v>94</v>
      </c>
      <c r="E17" s="512" t="s">
        <v>93</v>
      </c>
      <c r="F17" s="512" t="s">
        <v>23</v>
      </c>
      <c r="G17" s="512" t="s">
        <v>92</v>
      </c>
      <c r="H17" s="512" t="s">
        <v>94</v>
      </c>
      <c r="I17" s="512" t="s">
        <v>92</v>
      </c>
      <c r="J17" s="512" t="s">
        <v>94</v>
      </c>
    </row>
    <row r="18" spans="1:10" ht="9.6" customHeight="1" x14ac:dyDescent="0.25">
      <c r="A18" s="512">
        <v>1</v>
      </c>
      <c r="B18" s="514">
        <v>2</v>
      </c>
      <c r="C18" s="512">
        <v>3</v>
      </c>
      <c r="D18" s="514">
        <v>4</v>
      </c>
      <c r="E18" s="512">
        <v>5</v>
      </c>
      <c r="F18" s="514">
        <v>6</v>
      </c>
      <c r="G18" s="512">
        <v>7</v>
      </c>
      <c r="H18" s="514">
        <v>8</v>
      </c>
      <c r="I18" s="512">
        <v>9</v>
      </c>
      <c r="J18" s="514">
        <v>10</v>
      </c>
    </row>
    <row r="19" spans="1:10" s="10" customFormat="1" ht="14.1" customHeight="1" x14ac:dyDescent="0.25">
      <c r="A19" s="180">
        <v>1</v>
      </c>
      <c r="B19" s="20" t="s">
        <v>45</v>
      </c>
      <c r="C19" s="21">
        <v>4.6820000000000004</v>
      </c>
      <c r="D19" s="21">
        <v>4.6820000000000004</v>
      </c>
      <c r="E19" s="408">
        <f>цены!F74</f>
        <v>36</v>
      </c>
      <c r="F19" s="408">
        <f>C19*E19</f>
        <v>168.55</v>
      </c>
      <c r="G19" s="97">
        <f t="shared" ref="G19:H26" si="0">C19*10</f>
        <v>46.82</v>
      </c>
      <c r="H19" s="21">
        <f t="shared" si="0"/>
        <v>46.82</v>
      </c>
      <c r="I19" s="21">
        <f t="shared" ref="I19:J26" si="1">C19*100</f>
        <v>468.2</v>
      </c>
      <c r="J19" s="21">
        <f t="shared" si="1"/>
        <v>468.2</v>
      </c>
    </row>
    <row r="20" spans="1:10" s="10" customFormat="1" ht="14.1" customHeight="1" x14ac:dyDescent="0.25">
      <c r="A20" s="180">
        <v>2</v>
      </c>
      <c r="B20" s="20" t="s">
        <v>128</v>
      </c>
      <c r="C20" s="21">
        <v>0.23400000000000001</v>
      </c>
      <c r="D20" s="21">
        <v>0.23400000000000001</v>
      </c>
      <c r="E20" s="408">
        <f>цены!F74</f>
        <v>36</v>
      </c>
      <c r="F20" s="408">
        <f t="shared" ref="F20:F26" si="2">C20*E20</f>
        <v>8.42</v>
      </c>
      <c r="G20" s="97">
        <f t="shared" si="0"/>
        <v>2.34</v>
      </c>
      <c r="H20" s="21">
        <f t="shared" si="0"/>
        <v>2.34</v>
      </c>
      <c r="I20" s="21">
        <f t="shared" si="1"/>
        <v>23.4</v>
      </c>
      <c r="J20" s="21">
        <f t="shared" si="1"/>
        <v>23.4</v>
      </c>
    </row>
    <row r="21" spans="1:10" s="10" customFormat="1" ht="12" customHeight="1" x14ac:dyDescent="0.25">
      <c r="A21" s="180">
        <v>3</v>
      </c>
      <c r="B21" s="20" t="s">
        <v>30</v>
      </c>
      <c r="C21" s="21">
        <v>0.28100000000000003</v>
      </c>
      <c r="D21" s="21">
        <v>0.28100000000000003</v>
      </c>
      <c r="E21" s="408">
        <f>цены!F107</f>
        <v>76</v>
      </c>
      <c r="F21" s="408">
        <f t="shared" si="2"/>
        <v>21.36</v>
      </c>
      <c r="G21" s="97">
        <f t="shared" si="0"/>
        <v>2.81</v>
      </c>
      <c r="H21" s="21">
        <f t="shared" si="0"/>
        <v>2.81</v>
      </c>
      <c r="I21" s="21">
        <f t="shared" si="1"/>
        <v>28.1</v>
      </c>
      <c r="J21" s="21">
        <f t="shared" si="1"/>
        <v>28.1</v>
      </c>
    </row>
    <row r="22" spans="1:10" s="10" customFormat="1" ht="12" customHeight="1" x14ac:dyDescent="0.25">
      <c r="A22" s="180">
        <v>4</v>
      </c>
      <c r="B22" s="20" t="s">
        <v>125</v>
      </c>
      <c r="C22" s="21">
        <v>0.14099999999999999</v>
      </c>
      <c r="D22" s="21">
        <v>0.14099999999999999</v>
      </c>
      <c r="E22" s="408">
        <f>цены!F86</f>
        <v>198</v>
      </c>
      <c r="F22" s="408">
        <f t="shared" si="2"/>
        <v>27.92</v>
      </c>
      <c r="G22" s="97">
        <f t="shared" si="0"/>
        <v>1.41</v>
      </c>
      <c r="H22" s="21">
        <f t="shared" si="0"/>
        <v>1.41</v>
      </c>
      <c r="I22" s="21">
        <f t="shared" si="1"/>
        <v>14.1</v>
      </c>
      <c r="J22" s="21">
        <f t="shared" si="1"/>
        <v>14.1</v>
      </c>
    </row>
    <row r="23" spans="1:10" s="10" customFormat="1" ht="12.6" customHeight="1" x14ac:dyDescent="0.25">
      <c r="A23" s="180">
        <v>5</v>
      </c>
      <c r="B23" s="20" t="s">
        <v>74</v>
      </c>
      <c r="C23" s="21">
        <v>2.4E-2</v>
      </c>
      <c r="D23" s="21">
        <v>2.4E-2</v>
      </c>
      <c r="E23" s="408">
        <f>цены!F87</f>
        <v>120</v>
      </c>
      <c r="F23" s="408">
        <f t="shared" si="2"/>
        <v>2.88</v>
      </c>
      <c r="G23" s="97">
        <f t="shared" si="0"/>
        <v>0.24</v>
      </c>
      <c r="H23" s="21">
        <f t="shared" si="0"/>
        <v>0.24</v>
      </c>
      <c r="I23" s="21">
        <f t="shared" si="1"/>
        <v>2.4</v>
      </c>
      <c r="J23" s="21">
        <f t="shared" si="1"/>
        <v>2.4</v>
      </c>
    </row>
    <row r="24" spans="1:10" s="10" customFormat="1" ht="12" customHeight="1" x14ac:dyDescent="0.25">
      <c r="A24" s="180">
        <v>6</v>
      </c>
      <c r="B24" s="20" t="s">
        <v>126</v>
      </c>
      <c r="C24" s="21">
        <v>4.7E-2</v>
      </c>
      <c r="D24" s="21">
        <v>4.7E-2</v>
      </c>
      <c r="E24" s="408">
        <f>цены!F93</f>
        <v>455</v>
      </c>
      <c r="F24" s="408">
        <f t="shared" si="2"/>
        <v>21.39</v>
      </c>
      <c r="G24" s="97">
        <f t="shared" si="0"/>
        <v>0.47</v>
      </c>
      <c r="H24" s="21">
        <f t="shared" si="0"/>
        <v>0.47</v>
      </c>
      <c r="I24" s="21">
        <f t="shared" si="1"/>
        <v>4.7</v>
      </c>
      <c r="J24" s="21">
        <f t="shared" si="1"/>
        <v>4.7</v>
      </c>
    </row>
    <row r="25" spans="1:10" s="10" customFormat="1" ht="12" customHeight="1" x14ac:dyDescent="0.25">
      <c r="A25" s="180">
        <v>7</v>
      </c>
      <c r="B25" s="20" t="s">
        <v>33</v>
      </c>
      <c r="C25" s="21">
        <v>7.0999999999999994E-2</v>
      </c>
      <c r="D25" s="21">
        <v>7.0999999999999994E-2</v>
      </c>
      <c r="E25" s="408">
        <f>цены!F110</f>
        <v>24</v>
      </c>
      <c r="F25" s="408">
        <f t="shared" si="2"/>
        <v>1.7</v>
      </c>
      <c r="G25" s="97">
        <f t="shared" si="0"/>
        <v>0.71</v>
      </c>
      <c r="H25" s="21">
        <f t="shared" si="0"/>
        <v>0.71</v>
      </c>
      <c r="I25" s="21">
        <f t="shared" si="1"/>
        <v>7.1</v>
      </c>
      <c r="J25" s="21">
        <f t="shared" si="1"/>
        <v>7.1</v>
      </c>
    </row>
    <row r="26" spans="1:10" s="10" customFormat="1" ht="12" customHeight="1" x14ac:dyDescent="0.25">
      <c r="A26" s="180">
        <v>8</v>
      </c>
      <c r="B26" s="20" t="s">
        <v>28</v>
      </c>
      <c r="C26" s="21">
        <v>2.41</v>
      </c>
      <c r="D26" s="21">
        <v>2.41</v>
      </c>
      <c r="E26" s="408"/>
      <c r="F26" s="408">
        <f t="shared" si="2"/>
        <v>0</v>
      </c>
      <c r="G26" s="97">
        <f t="shared" si="0"/>
        <v>24.1</v>
      </c>
      <c r="H26" s="21">
        <f t="shared" si="0"/>
        <v>24.1</v>
      </c>
      <c r="I26" s="21">
        <f t="shared" si="1"/>
        <v>241</v>
      </c>
      <c r="J26" s="21">
        <f t="shared" si="1"/>
        <v>241</v>
      </c>
    </row>
    <row r="27" spans="1:10" s="10" customFormat="1" ht="12" customHeight="1" x14ac:dyDescent="0.25">
      <c r="A27" s="184"/>
      <c r="B27" s="93" t="s">
        <v>97</v>
      </c>
      <c r="C27" s="112"/>
      <c r="D27" s="112">
        <v>7.1</v>
      </c>
      <c r="E27" s="95"/>
      <c r="F27" s="95">
        <f>SUM(F19:F26)</f>
        <v>252.22</v>
      </c>
      <c r="G27" s="99"/>
      <c r="H27" s="100">
        <f>D27*10</f>
        <v>71</v>
      </c>
      <c r="I27" s="100"/>
      <c r="J27" s="100">
        <f>D27*100</f>
        <v>710</v>
      </c>
    </row>
    <row r="28" spans="1:10" s="10" customFormat="1" ht="12" customHeight="1" x14ac:dyDescent="0.25">
      <c r="A28" s="98"/>
      <c r="B28" s="93" t="s">
        <v>100</v>
      </c>
      <c r="C28" s="112"/>
      <c r="D28" s="112">
        <v>6</v>
      </c>
      <c r="E28" s="95"/>
      <c r="F28" s="95">
        <f>F27</f>
        <v>252.22</v>
      </c>
      <c r="G28" s="99"/>
      <c r="H28" s="100">
        <f>D28*10</f>
        <v>60</v>
      </c>
      <c r="I28" s="100"/>
      <c r="J28" s="100">
        <f>D28*100</f>
        <v>600</v>
      </c>
    </row>
    <row r="29" spans="1:10" s="10" customFormat="1" ht="27.6" customHeight="1" x14ac:dyDescent="0.25">
      <c r="A29" s="1536" t="s">
        <v>35</v>
      </c>
      <c r="B29" s="1536"/>
      <c r="C29" s="90"/>
      <c r="D29" s="90"/>
      <c r="E29" s="408"/>
      <c r="F29" s="408">
        <f>F28</f>
        <v>252.22</v>
      </c>
      <c r="G29" s="513"/>
      <c r="H29" s="513"/>
      <c r="I29" s="21"/>
      <c r="J29" s="408"/>
    </row>
    <row r="30" spans="1:10" s="10" customFormat="1" ht="25.35" customHeight="1" x14ac:dyDescent="0.25">
      <c r="A30" s="1536" t="s">
        <v>36</v>
      </c>
      <c r="B30" s="1536"/>
      <c r="C30" s="90">
        <v>6000</v>
      </c>
      <c r="D30" s="90"/>
      <c r="E30" s="408"/>
      <c r="F30" s="408"/>
      <c r="G30" s="408"/>
      <c r="H30" s="408"/>
      <c r="I30" s="21"/>
      <c r="J30" s="17"/>
    </row>
    <row r="31" spans="1:10" s="10" customFormat="1" ht="25.35" customHeight="1" x14ac:dyDescent="0.25">
      <c r="A31" s="1537" t="s">
        <v>37</v>
      </c>
      <c r="B31" s="1538"/>
      <c r="C31" s="91">
        <v>100</v>
      </c>
      <c r="D31" s="92"/>
      <c r="E31" s="514"/>
      <c r="F31" s="514"/>
      <c r="G31" s="514"/>
      <c r="H31" s="514"/>
      <c r="I31" s="21"/>
      <c r="J31" s="17"/>
    </row>
    <row r="32" spans="1:10" s="10" customFormat="1" ht="15" customHeight="1" x14ac:dyDescent="0.25">
      <c r="A32" s="1539" t="s">
        <v>38</v>
      </c>
      <c r="B32" s="1540"/>
      <c r="C32" s="92">
        <f>C30/C31</f>
        <v>60</v>
      </c>
      <c r="D32" s="92"/>
      <c r="E32" s="514"/>
      <c r="F32" s="514"/>
      <c r="G32" s="514"/>
      <c r="H32" s="514"/>
      <c r="I32" s="21"/>
      <c r="J32" s="17"/>
    </row>
    <row r="33" spans="1:10" ht="16.350000000000001" customHeight="1" x14ac:dyDescent="0.25">
      <c r="A33" s="1541" t="s">
        <v>39</v>
      </c>
      <c r="B33" s="1542"/>
      <c r="C33" s="15" t="s">
        <v>40</v>
      </c>
      <c r="D33" s="102"/>
      <c r="E33" s="214" t="s">
        <v>40</v>
      </c>
      <c r="F33" s="16">
        <f>F29/C32</f>
        <v>4.2</v>
      </c>
      <c r="G33" s="16"/>
      <c r="H33" s="16"/>
      <c r="I33" s="102" t="s">
        <v>40</v>
      </c>
      <c r="J33" s="102" t="s">
        <v>40</v>
      </c>
    </row>
    <row r="34" spans="1:10" ht="23.1" customHeight="1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193"/>
      <c r="B35" s="1194" t="s">
        <v>49</v>
      </c>
      <c r="C35" s="1198"/>
      <c r="D35" s="1198"/>
      <c r="E35" s="1198"/>
      <c r="F35" s="1198"/>
      <c r="G35" s="1193"/>
      <c r="H35" s="1557">
        <f>'1-бутерброд с маслом'!$H$28</f>
        <v>0</v>
      </c>
      <c r="I35" s="1557"/>
      <c r="J35" s="1557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545" t="s">
        <v>327</v>
      </c>
      <c r="B37" s="1545"/>
      <c r="C37" s="1546" t="s">
        <v>328</v>
      </c>
      <c r="D37" s="1546"/>
      <c r="E37" s="1546"/>
      <c r="F37" s="1546"/>
      <c r="G37" s="106"/>
      <c r="H37" s="1531"/>
      <c r="I37" s="1531"/>
      <c r="J37" s="1531"/>
    </row>
    <row r="38" spans="1:10" x14ac:dyDescent="0.25">
      <c r="A38" s="1193"/>
      <c r="B38" s="1193"/>
      <c r="C38" s="1546"/>
      <c r="D38" s="1546"/>
      <c r="E38" s="1546"/>
      <c r="F38" s="1546"/>
      <c r="G38" s="1193"/>
      <c r="H38" s="1531" t="s">
        <v>329</v>
      </c>
      <c r="I38" s="1531"/>
      <c r="J38" s="1531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</sheetData>
  <mergeCells count="28">
    <mergeCell ref="H35:J35"/>
    <mergeCell ref="A13:G13"/>
    <mergeCell ref="A30:B30"/>
    <mergeCell ref="A31:B31"/>
    <mergeCell ref="A32:B32"/>
    <mergeCell ref="A33:B33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7:B37"/>
    <mergeCell ref="C37:F38"/>
    <mergeCell ref="H37:J37"/>
    <mergeCell ref="H38:J38"/>
    <mergeCell ref="H5:I5"/>
    <mergeCell ref="A6:G6"/>
    <mergeCell ref="A7:I7"/>
    <mergeCell ref="A29:B29"/>
    <mergeCell ref="A9:J9"/>
    <mergeCell ref="A11:J11"/>
    <mergeCell ref="I13:J13"/>
    <mergeCell ref="C14:G14"/>
  </mergeCells>
  <printOptions headings="1"/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J40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0.55468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2.5546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309)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429</v>
      </c>
    </row>
    <row r="8" spans="1:10" s="2" customFormat="1" ht="9.6" customHeight="1" x14ac:dyDescent="0.25">
      <c r="A8" s="266"/>
      <c r="B8" s="266"/>
      <c r="C8" s="266"/>
      <c r="D8" s="266"/>
      <c r="E8" s="266"/>
      <c r="F8" s="266"/>
      <c r="G8" s="266"/>
      <c r="H8" s="266"/>
      <c r="I8" s="266"/>
      <c r="J8" s="109"/>
    </row>
    <row r="9" spans="1:10" s="2" customFormat="1" ht="26.1" customHeight="1" x14ac:dyDescent="0.3">
      <c r="A9" s="1550" t="s">
        <v>586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405">
        <f>'428-булочка школьная 50г'!H14+1</f>
        <v>309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63" t="s">
        <v>92</v>
      </c>
      <c r="D17" s="263" t="s">
        <v>94</v>
      </c>
      <c r="E17" s="263" t="s">
        <v>93</v>
      </c>
      <c r="F17" s="263" t="s">
        <v>23</v>
      </c>
      <c r="G17" s="263" t="s">
        <v>92</v>
      </c>
      <c r="H17" s="263" t="s">
        <v>94</v>
      </c>
      <c r="I17" s="263" t="s">
        <v>92</v>
      </c>
      <c r="J17" s="263" t="s">
        <v>94</v>
      </c>
    </row>
    <row r="18" spans="1:10" ht="9.6" customHeight="1" x14ac:dyDescent="0.25">
      <c r="A18" s="263">
        <v>1</v>
      </c>
      <c r="B18" s="265">
        <v>2</v>
      </c>
      <c r="C18" s="263">
        <v>3</v>
      </c>
      <c r="D18" s="265">
        <v>4</v>
      </c>
      <c r="E18" s="263">
        <v>5</v>
      </c>
      <c r="F18" s="265">
        <v>6</v>
      </c>
      <c r="G18" s="263">
        <v>7</v>
      </c>
      <c r="H18" s="265">
        <v>8</v>
      </c>
      <c r="I18" s="263">
        <v>9</v>
      </c>
      <c r="J18" s="265">
        <v>10</v>
      </c>
    </row>
    <row r="19" spans="1:10" s="10" customFormat="1" ht="14.1" customHeight="1" x14ac:dyDescent="0.25">
      <c r="A19" s="180"/>
      <c r="B19" s="20" t="s">
        <v>475</v>
      </c>
      <c r="C19" s="21">
        <v>3.5</v>
      </c>
      <c r="D19" s="21">
        <v>4.6820000000000004</v>
      </c>
      <c r="E19" s="13">
        <f>цены!F74</f>
        <v>36</v>
      </c>
      <c r="F19" s="13">
        <f>C19*E19</f>
        <v>126</v>
      </c>
      <c r="G19" s="97">
        <f t="shared" ref="G19:H26" si="0">C19*10</f>
        <v>35</v>
      </c>
      <c r="H19" s="21">
        <f t="shared" si="0"/>
        <v>46.82</v>
      </c>
      <c r="I19" s="21">
        <f t="shared" ref="I19:J26" si="1">C19*100</f>
        <v>350</v>
      </c>
      <c r="J19" s="21">
        <f t="shared" si="1"/>
        <v>468.2</v>
      </c>
    </row>
    <row r="20" spans="1:10" s="10" customFormat="1" ht="14.1" customHeight="1" x14ac:dyDescent="0.25">
      <c r="A20" s="180"/>
      <c r="B20" s="20" t="s">
        <v>128</v>
      </c>
      <c r="C20" s="21">
        <v>7.0999999999999994E-2</v>
      </c>
      <c r="D20" s="21">
        <v>0.23400000000000001</v>
      </c>
      <c r="E20" s="13">
        <f>цены!F74</f>
        <v>36</v>
      </c>
      <c r="F20" s="13">
        <f t="shared" ref="F20:F26" si="2">C20*E20</f>
        <v>2.56</v>
      </c>
      <c r="G20" s="97">
        <f t="shared" si="0"/>
        <v>0.71</v>
      </c>
      <c r="H20" s="21">
        <f t="shared" si="0"/>
        <v>2.34</v>
      </c>
      <c r="I20" s="21">
        <f t="shared" si="1"/>
        <v>7.1</v>
      </c>
      <c r="J20" s="21">
        <f t="shared" si="1"/>
        <v>23.4</v>
      </c>
    </row>
    <row r="21" spans="1:10" s="10" customFormat="1" ht="14.1" customHeight="1" x14ac:dyDescent="0.25">
      <c r="A21" s="180"/>
      <c r="B21" s="20" t="s">
        <v>126</v>
      </c>
      <c r="C21" s="21">
        <v>0.107</v>
      </c>
      <c r="D21" s="21">
        <v>0.107</v>
      </c>
      <c r="E21" s="13">
        <f>цены!F93</f>
        <v>455</v>
      </c>
      <c r="F21" s="13">
        <f t="shared" si="2"/>
        <v>48.69</v>
      </c>
      <c r="G21" s="97">
        <f>C21*10</f>
        <v>1.07</v>
      </c>
      <c r="H21" s="21">
        <f>D21*10</f>
        <v>1.07</v>
      </c>
      <c r="I21" s="21">
        <f>C21*100</f>
        <v>10.7</v>
      </c>
      <c r="J21" s="21">
        <f>D21*100</f>
        <v>10.7</v>
      </c>
    </row>
    <row r="22" spans="1:10" s="10" customFormat="1" ht="12" customHeight="1" x14ac:dyDescent="0.25">
      <c r="A22" s="180"/>
      <c r="B22" s="20" t="s">
        <v>33</v>
      </c>
      <c r="C22" s="21">
        <v>3.5999999999999997E-2</v>
      </c>
      <c r="D22" s="21">
        <v>3.5999999999999997E-2</v>
      </c>
      <c r="E22" s="13">
        <f>цены!F110</f>
        <v>24</v>
      </c>
      <c r="F22" s="13">
        <f t="shared" si="2"/>
        <v>0.86</v>
      </c>
      <c r="G22" s="97">
        <f t="shared" si="0"/>
        <v>0.36</v>
      </c>
      <c r="H22" s="21">
        <f t="shared" si="0"/>
        <v>0.36</v>
      </c>
      <c r="I22" s="21">
        <f t="shared" si="1"/>
        <v>3.6</v>
      </c>
      <c r="J22" s="21">
        <f t="shared" si="1"/>
        <v>3.6</v>
      </c>
    </row>
    <row r="23" spans="1:10" s="10" customFormat="1" ht="12" customHeight="1" x14ac:dyDescent="0.25">
      <c r="A23" s="180"/>
      <c r="B23" s="20" t="s">
        <v>134</v>
      </c>
      <c r="C23" s="21">
        <v>0.35699999999999998</v>
      </c>
      <c r="D23" s="21">
        <v>0.35699999999999998</v>
      </c>
      <c r="E23" s="13">
        <f>цены!F107</f>
        <v>76</v>
      </c>
      <c r="F23" s="13">
        <f t="shared" si="2"/>
        <v>27.13</v>
      </c>
      <c r="G23" s="97">
        <f t="shared" si="0"/>
        <v>3.57</v>
      </c>
      <c r="H23" s="21">
        <f t="shared" si="0"/>
        <v>3.57</v>
      </c>
      <c r="I23" s="21">
        <f t="shared" si="1"/>
        <v>35.700000000000003</v>
      </c>
      <c r="J23" s="21">
        <f t="shared" si="1"/>
        <v>35.700000000000003</v>
      </c>
    </row>
    <row r="24" spans="1:10" s="10" customFormat="1" ht="12.6" customHeight="1" x14ac:dyDescent="0.25">
      <c r="A24" s="180"/>
      <c r="B24" s="20" t="s">
        <v>476</v>
      </c>
      <c r="C24" s="21">
        <v>0.32100000000000001</v>
      </c>
      <c r="D24" s="21">
        <v>0.32100000000000001</v>
      </c>
      <c r="E24" s="13">
        <f>цены!F86</f>
        <v>198</v>
      </c>
      <c r="F24" s="13">
        <f t="shared" si="2"/>
        <v>63.56</v>
      </c>
      <c r="G24" s="97">
        <f t="shared" si="0"/>
        <v>3.21</v>
      </c>
      <c r="H24" s="21">
        <f t="shared" si="0"/>
        <v>3.21</v>
      </c>
      <c r="I24" s="21">
        <f t="shared" si="1"/>
        <v>32.1</v>
      </c>
      <c r="J24" s="21">
        <f t="shared" si="1"/>
        <v>32.1</v>
      </c>
    </row>
    <row r="25" spans="1:10" s="10" customFormat="1" ht="12" customHeight="1" x14ac:dyDescent="0.25">
      <c r="A25" s="180"/>
      <c r="B25" s="10" t="s">
        <v>477</v>
      </c>
      <c r="C25" s="21">
        <v>0.107</v>
      </c>
      <c r="D25" s="21">
        <v>0.107</v>
      </c>
      <c r="E25" s="13">
        <f>цены!F131</f>
        <v>180</v>
      </c>
      <c r="F25" s="13">
        <f t="shared" si="2"/>
        <v>19.260000000000002</v>
      </c>
      <c r="G25" s="97">
        <f t="shared" si="0"/>
        <v>1.07</v>
      </c>
      <c r="H25" s="21">
        <f t="shared" si="0"/>
        <v>1.07</v>
      </c>
      <c r="I25" s="21">
        <f t="shared" si="1"/>
        <v>10.7</v>
      </c>
      <c r="J25" s="21">
        <f t="shared" si="1"/>
        <v>10.7</v>
      </c>
    </row>
    <row r="26" spans="1:10" s="10" customFormat="1" ht="12" customHeight="1" x14ac:dyDescent="0.25">
      <c r="A26" s="180"/>
      <c r="B26" s="20" t="s">
        <v>200</v>
      </c>
      <c r="C26" s="21">
        <v>0.17899999999999999</v>
      </c>
      <c r="D26" s="21">
        <v>0.17899999999999999</v>
      </c>
      <c r="E26" s="13">
        <f>цены!F94</f>
        <v>400</v>
      </c>
      <c r="F26" s="13">
        <f t="shared" si="2"/>
        <v>71.599999999999994</v>
      </c>
      <c r="G26" s="97">
        <f t="shared" si="0"/>
        <v>1.79</v>
      </c>
      <c r="H26" s="21">
        <f t="shared" si="0"/>
        <v>1.79</v>
      </c>
      <c r="I26" s="21">
        <f t="shared" si="1"/>
        <v>17.899999999999999</v>
      </c>
      <c r="J26" s="21">
        <f t="shared" si="1"/>
        <v>17.899999999999999</v>
      </c>
    </row>
    <row r="27" spans="1:10" s="10" customFormat="1" ht="12" customHeight="1" x14ac:dyDescent="0.25">
      <c r="A27" s="184"/>
      <c r="B27" s="93" t="s">
        <v>97</v>
      </c>
      <c r="C27" s="112"/>
      <c r="D27" s="112">
        <v>5.85</v>
      </c>
      <c r="E27" s="95"/>
      <c r="F27" s="95">
        <f>SUM(F19:F26)</f>
        <v>359.66</v>
      </c>
      <c r="G27" s="99"/>
      <c r="H27" s="100">
        <f>D27*10</f>
        <v>58.5</v>
      </c>
      <c r="I27" s="100"/>
      <c r="J27" s="100">
        <f>D27*100</f>
        <v>585</v>
      </c>
    </row>
    <row r="28" spans="1:10" s="10" customFormat="1" ht="12" customHeight="1" x14ac:dyDescent="0.25">
      <c r="A28" s="98"/>
      <c r="B28" s="93" t="s">
        <v>100</v>
      </c>
      <c r="C28" s="112"/>
      <c r="D28" s="112">
        <v>5</v>
      </c>
      <c r="E28" s="95"/>
      <c r="F28" s="95">
        <f>F27</f>
        <v>359.66</v>
      </c>
      <c r="G28" s="99"/>
      <c r="H28" s="100">
        <f>D28*10</f>
        <v>50</v>
      </c>
      <c r="I28" s="100"/>
      <c r="J28" s="100">
        <f>D28*100</f>
        <v>500</v>
      </c>
    </row>
    <row r="29" spans="1:10" s="10" customFormat="1" ht="27.6" customHeight="1" x14ac:dyDescent="0.25">
      <c r="A29" s="1536" t="s">
        <v>35</v>
      </c>
      <c r="B29" s="1536"/>
      <c r="C29" s="90"/>
      <c r="D29" s="90"/>
      <c r="E29" s="13"/>
      <c r="F29" s="13">
        <f>F28</f>
        <v>359.66</v>
      </c>
      <c r="G29" s="264"/>
      <c r="H29" s="264"/>
      <c r="I29" s="21"/>
      <c r="J29" s="13"/>
    </row>
    <row r="30" spans="1:10" s="10" customFormat="1" ht="25.35" customHeight="1" x14ac:dyDescent="0.25">
      <c r="A30" s="1536" t="s">
        <v>36</v>
      </c>
      <c r="B30" s="1536"/>
      <c r="C30" s="90">
        <v>5000</v>
      </c>
      <c r="D30" s="90"/>
      <c r="E30" s="13"/>
      <c r="F30" s="13"/>
      <c r="G30" s="13"/>
      <c r="H30" s="13"/>
      <c r="I30" s="21"/>
      <c r="J30" s="17"/>
    </row>
    <row r="31" spans="1:10" s="10" customFormat="1" ht="25.35" customHeight="1" x14ac:dyDescent="0.25">
      <c r="A31" s="1537" t="s">
        <v>37</v>
      </c>
      <c r="B31" s="1538"/>
      <c r="C31" s="91">
        <v>50</v>
      </c>
      <c r="D31" s="92"/>
      <c r="E31" s="265"/>
      <c r="F31" s="265"/>
      <c r="G31" s="265"/>
      <c r="H31" s="265"/>
      <c r="I31" s="21"/>
      <c r="J31" s="17"/>
    </row>
    <row r="32" spans="1:10" s="10" customFormat="1" ht="15" customHeight="1" x14ac:dyDescent="0.25">
      <c r="A32" s="1539" t="s">
        <v>38</v>
      </c>
      <c r="B32" s="1540"/>
      <c r="C32" s="92">
        <f>C30/C31</f>
        <v>100</v>
      </c>
      <c r="D32" s="92"/>
      <c r="E32" s="265"/>
      <c r="F32" s="265"/>
      <c r="G32" s="265"/>
      <c r="H32" s="265"/>
      <c r="I32" s="21"/>
      <c r="J32" s="17"/>
    </row>
    <row r="33" spans="1:10" ht="16.350000000000001" customHeight="1" x14ac:dyDescent="0.25">
      <c r="A33" s="1541" t="s">
        <v>39</v>
      </c>
      <c r="B33" s="1542"/>
      <c r="C33" s="15" t="s">
        <v>40</v>
      </c>
      <c r="D33" s="102"/>
      <c r="E33" s="214" t="s">
        <v>40</v>
      </c>
      <c r="F33" s="16">
        <f>F29/C32</f>
        <v>3.6</v>
      </c>
      <c r="G33" s="16"/>
      <c r="H33" s="16"/>
      <c r="I33" s="102" t="s">
        <v>40</v>
      </c>
      <c r="J33" s="102" t="s">
        <v>40</v>
      </c>
    </row>
    <row r="34" spans="1:10" ht="23.1" customHeight="1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193"/>
      <c r="B35" s="1194" t="s">
        <v>49</v>
      </c>
      <c r="C35" s="1198"/>
      <c r="D35" s="1198"/>
      <c r="E35" s="1198"/>
      <c r="F35" s="1198"/>
      <c r="G35" s="1193"/>
      <c r="H35" s="1557">
        <f>'1-бутерброд с маслом'!$H$28</f>
        <v>0</v>
      </c>
      <c r="I35" s="1557"/>
      <c r="J35" s="1557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545" t="s">
        <v>327</v>
      </c>
      <c r="B37" s="1545"/>
      <c r="C37" s="1546" t="s">
        <v>328</v>
      </c>
      <c r="D37" s="1546"/>
      <c r="E37" s="1546"/>
      <c r="F37" s="1546"/>
      <c r="G37" s="106"/>
      <c r="H37" s="1531"/>
      <c r="I37" s="1531"/>
      <c r="J37" s="1531"/>
    </row>
    <row r="38" spans="1:10" x14ac:dyDescent="0.25">
      <c r="A38" s="1193"/>
      <c r="B38" s="1193"/>
      <c r="C38" s="1546"/>
      <c r="D38" s="1546"/>
      <c r="E38" s="1546"/>
      <c r="F38" s="1546"/>
      <c r="G38" s="1193"/>
      <c r="H38" s="1531" t="s">
        <v>329</v>
      </c>
      <c r="I38" s="1531"/>
      <c r="J38" s="1531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</sheetData>
  <mergeCells count="28">
    <mergeCell ref="H35:J35"/>
    <mergeCell ref="A13:G13"/>
    <mergeCell ref="A30:B30"/>
    <mergeCell ref="A31:B31"/>
    <mergeCell ref="A32:B32"/>
    <mergeCell ref="A33:B33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7:B37"/>
    <mergeCell ref="C37:F38"/>
    <mergeCell ref="H37:J37"/>
    <mergeCell ref="H38:J38"/>
    <mergeCell ref="H5:I5"/>
    <mergeCell ref="A6:G6"/>
    <mergeCell ref="A7:I7"/>
    <mergeCell ref="A29:B29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J40"/>
  <sheetViews>
    <sheetView view="pageBreakPreview" zoomScaleNormal="100" zoomScaleSheetLayoutView="100" workbookViewId="0">
      <selection activeCell="H15" sqref="H15"/>
    </sheetView>
  </sheetViews>
  <sheetFormatPr defaultColWidth="8.88671875" defaultRowHeight="13.8" x14ac:dyDescent="0.25"/>
  <cols>
    <col min="1" max="1" width="4.109375" style="511" customWidth="1"/>
    <col min="2" max="2" width="20.5546875" style="511" customWidth="1"/>
    <col min="3" max="7" width="7.5546875" style="511" customWidth="1"/>
    <col min="8" max="8" width="8.88671875" style="511" customWidth="1"/>
    <col min="9" max="9" width="7.5546875" style="511" customWidth="1"/>
    <col min="10" max="10" width="9" style="511" customWidth="1"/>
    <col min="11" max="11" width="2.6640625" style="511" customWidth="1"/>
    <col min="12" max="16384" width="8.88671875" style="51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309)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429</v>
      </c>
    </row>
    <row r="8" spans="1:10" s="2" customFormat="1" ht="9.6" customHeight="1" x14ac:dyDescent="0.25">
      <c r="A8" s="515"/>
      <c r="B8" s="515"/>
      <c r="C8" s="515"/>
      <c r="D8" s="515"/>
      <c r="E8" s="515"/>
      <c r="F8" s="515"/>
      <c r="G8" s="515"/>
      <c r="H8" s="515"/>
      <c r="I8" s="515"/>
      <c r="J8" s="109"/>
    </row>
    <row r="9" spans="1:10" s="2" customFormat="1" ht="26.1" customHeight="1" x14ac:dyDescent="0.3">
      <c r="A9" s="1550" t="s">
        <v>787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405">
        <f>'428-булочка школьная 50г'!H14+1</f>
        <v>309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512" t="s">
        <v>92</v>
      </c>
      <c r="D17" s="512" t="s">
        <v>94</v>
      </c>
      <c r="E17" s="512" t="s">
        <v>93</v>
      </c>
      <c r="F17" s="512" t="s">
        <v>23</v>
      </c>
      <c r="G17" s="512" t="s">
        <v>92</v>
      </c>
      <c r="H17" s="512" t="s">
        <v>94</v>
      </c>
      <c r="I17" s="512" t="s">
        <v>92</v>
      </c>
      <c r="J17" s="512" t="s">
        <v>94</v>
      </c>
    </row>
    <row r="18" spans="1:10" ht="9.6" customHeight="1" x14ac:dyDescent="0.25">
      <c r="A18" s="512">
        <v>1</v>
      </c>
      <c r="B18" s="514">
        <v>2</v>
      </c>
      <c r="C18" s="512">
        <v>3</v>
      </c>
      <c r="D18" s="514">
        <v>4</v>
      </c>
      <c r="E18" s="512">
        <v>5</v>
      </c>
      <c r="F18" s="514">
        <v>6</v>
      </c>
      <c r="G18" s="512">
        <v>7</v>
      </c>
      <c r="H18" s="514">
        <v>8</v>
      </c>
      <c r="I18" s="512">
        <v>9</v>
      </c>
      <c r="J18" s="514">
        <v>10</v>
      </c>
    </row>
    <row r="19" spans="1:10" s="10" customFormat="1" ht="14.1" customHeight="1" x14ac:dyDescent="0.25">
      <c r="A19" s="180"/>
      <c r="B19" s="20" t="s">
        <v>475</v>
      </c>
      <c r="C19" s="21">
        <v>3.5</v>
      </c>
      <c r="D19" s="21">
        <v>4.6820000000000004</v>
      </c>
      <c r="E19" s="408">
        <f>цены!F74</f>
        <v>36</v>
      </c>
      <c r="F19" s="408">
        <f>C19*E19</f>
        <v>126</v>
      </c>
      <c r="G19" s="97">
        <f t="shared" ref="G19:H26" si="0">C19*10</f>
        <v>35</v>
      </c>
      <c r="H19" s="21">
        <f t="shared" si="0"/>
        <v>46.82</v>
      </c>
      <c r="I19" s="21">
        <f t="shared" ref="I19:J26" si="1">C19*100</f>
        <v>350</v>
      </c>
      <c r="J19" s="21">
        <f t="shared" si="1"/>
        <v>468.2</v>
      </c>
    </row>
    <row r="20" spans="1:10" s="10" customFormat="1" ht="14.1" customHeight="1" x14ac:dyDescent="0.25">
      <c r="A20" s="180"/>
      <c r="B20" s="20" t="s">
        <v>128</v>
      </c>
      <c r="C20" s="21">
        <v>7.0999999999999994E-2</v>
      </c>
      <c r="D20" s="21">
        <v>0.23400000000000001</v>
      </c>
      <c r="E20" s="408">
        <f>цены!F74</f>
        <v>36</v>
      </c>
      <c r="F20" s="408">
        <f t="shared" ref="F20:F26" si="2">C20*E20</f>
        <v>2.56</v>
      </c>
      <c r="G20" s="97">
        <f t="shared" si="0"/>
        <v>0.71</v>
      </c>
      <c r="H20" s="21">
        <f t="shared" si="0"/>
        <v>2.34</v>
      </c>
      <c r="I20" s="21">
        <f t="shared" si="1"/>
        <v>7.1</v>
      </c>
      <c r="J20" s="21">
        <f t="shared" si="1"/>
        <v>23.4</v>
      </c>
    </row>
    <row r="21" spans="1:10" s="10" customFormat="1" ht="14.1" customHeight="1" x14ac:dyDescent="0.25">
      <c r="A21" s="180"/>
      <c r="B21" s="20" t="s">
        <v>126</v>
      </c>
      <c r="C21" s="21">
        <v>0.107</v>
      </c>
      <c r="D21" s="21">
        <v>0.107</v>
      </c>
      <c r="E21" s="408">
        <f>цены!F93</f>
        <v>455</v>
      </c>
      <c r="F21" s="408">
        <f t="shared" si="2"/>
        <v>48.69</v>
      </c>
      <c r="G21" s="97">
        <f t="shared" si="0"/>
        <v>1.07</v>
      </c>
      <c r="H21" s="21">
        <f t="shared" si="0"/>
        <v>1.07</v>
      </c>
      <c r="I21" s="21">
        <f t="shared" si="1"/>
        <v>10.7</v>
      </c>
      <c r="J21" s="21">
        <f t="shared" si="1"/>
        <v>10.7</v>
      </c>
    </row>
    <row r="22" spans="1:10" s="10" customFormat="1" ht="12" customHeight="1" x14ac:dyDescent="0.25">
      <c r="A22" s="180"/>
      <c r="B22" s="20" t="s">
        <v>33</v>
      </c>
      <c r="C22" s="21">
        <v>3.5999999999999997E-2</v>
      </c>
      <c r="D22" s="21">
        <v>3.5999999999999997E-2</v>
      </c>
      <c r="E22" s="408">
        <f>цены!F110</f>
        <v>24</v>
      </c>
      <c r="F22" s="408">
        <f t="shared" si="2"/>
        <v>0.86</v>
      </c>
      <c r="G22" s="97">
        <f t="shared" si="0"/>
        <v>0.36</v>
      </c>
      <c r="H22" s="21">
        <f t="shared" si="0"/>
        <v>0.36</v>
      </c>
      <c r="I22" s="21">
        <f t="shared" si="1"/>
        <v>3.6</v>
      </c>
      <c r="J22" s="21">
        <f t="shared" si="1"/>
        <v>3.6</v>
      </c>
    </row>
    <row r="23" spans="1:10" s="10" customFormat="1" ht="12" customHeight="1" x14ac:dyDescent="0.25">
      <c r="A23" s="180"/>
      <c r="B23" s="20" t="s">
        <v>134</v>
      </c>
      <c r="C23" s="21">
        <v>0.35699999999999998</v>
      </c>
      <c r="D23" s="21">
        <v>0.35699999999999998</v>
      </c>
      <c r="E23" s="408">
        <f>цены!F107</f>
        <v>76</v>
      </c>
      <c r="F23" s="408">
        <f t="shared" si="2"/>
        <v>27.13</v>
      </c>
      <c r="G23" s="97">
        <f t="shared" si="0"/>
        <v>3.57</v>
      </c>
      <c r="H23" s="21">
        <f t="shared" si="0"/>
        <v>3.57</v>
      </c>
      <c r="I23" s="21">
        <f t="shared" si="1"/>
        <v>35.700000000000003</v>
      </c>
      <c r="J23" s="21">
        <f t="shared" si="1"/>
        <v>35.700000000000003</v>
      </c>
    </row>
    <row r="24" spans="1:10" s="10" customFormat="1" ht="12.6" customHeight="1" x14ac:dyDescent="0.25">
      <c r="A24" s="180"/>
      <c r="B24" s="20" t="s">
        <v>476</v>
      </c>
      <c r="C24" s="21">
        <v>0.32100000000000001</v>
      </c>
      <c r="D24" s="21">
        <v>0.32100000000000001</v>
      </c>
      <c r="E24" s="408">
        <f>цены!F86</f>
        <v>198</v>
      </c>
      <c r="F24" s="408">
        <f t="shared" si="2"/>
        <v>63.56</v>
      </c>
      <c r="G24" s="97">
        <f t="shared" si="0"/>
        <v>3.21</v>
      </c>
      <c r="H24" s="21">
        <f t="shared" si="0"/>
        <v>3.21</v>
      </c>
      <c r="I24" s="21">
        <f t="shared" si="1"/>
        <v>32.1</v>
      </c>
      <c r="J24" s="21">
        <f t="shared" si="1"/>
        <v>32.1</v>
      </c>
    </row>
    <row r="25" spans="1:10" s="10" customFormat="1" ht="12" customHeight="1" x14ac:dyDescent="0.25">
      <c r="A25" s="180"/>
      <c r="B25" s="10" t="s">
        <v>477</v>
      </c>
      <c r="C25" s="21">
        <v>0.107</v>
      </c>
      <c r="D25" s="21">
        <v>0.107</v>
      </c>
      <c r="E25" s="408">
        <f>цены!F131</f>
        <v>180</v>
      </c>
      <c r="F25" s="408">
        <f t="shared" si="2"/>
        <v>19.260000000000002</v>
      </c>
      <c r="G25" s="97">
        <f t="shared" si="0"/>
        <v>1.07</v>
      </c>
      <c r="H25" s="21">
        <f t="shared" si="0"/>
        <v>1.07</v>
      </c>
      <c r="I25" s="21">
        <f t="shared" si="1"/>
        <v>10.7</v>
      </c>
      <c r="J25" s="21">
        <f t="shared" si="1"/>
        <v>10.7</v>
      </c>
    </row>
    <row r="26" spans="1:10" s="10" customFormat="1" ht="12" customHeight="1" x14ac:dyDescent="0.25">
      <c r="A26" s="180"/>
      <c r="B26" s="20" t="s">
        <v>200</v>
      </c>
      <c r="C26" s="21">
        <v>0.17899999999999999</v>
      </c>
      <c r="D26" s="21">
        <v>0.17899999999999999</v>
      </c>
      <c r="E26" s="408">
        <f>цены!F94</f>
        <v>400</v>
      </c>
      <c r="F26" s="408">
        <f t="shared" si="2"/>
        <v>71.599999999999994</v>
      </c>
      <c r="G26" s="97">
        <f t="shared" si="0"/>
        <v>1.79</v>
      </c>
      <c r="H26" s="21">
        <f t="shared" si="0"/>
        <v>1.79</v>
      </c>
      <c r="I26" s="21">
        <f t="shared" si="1"/>
        <v>17.899999999999999</v>
      </c>
      <c r="J26" s="21">
        <f t="shared" si="1"/>
        <v>17.899999999999999</v>
      </c>
    </row>
    <row r="27" spans="1:10" s="10" customFormat="1" ht="12" customHeight="1" x14ac:dyDescent="0.25">
      <c r="A27" s="184"/>
      <c r="B27" s="93" t="s">
        <v>97</v>
      </c>
      <c r="C27" s="112"/>
      <c r="D27" s="112">
        <v>5.85</v>
      </c>
      <c r="E27" s="95"/>
      <c r="F27" s="95">
        <f>SUM(F19:F26)</f>
        <v>359.66</v>
      </c>
      <c r="G27" s="99"/>
      <c r="H27" s="100">
        <f>D27*10</f>
        <v>58.5</v>
      </c>
      <c r="I27" s="100"/>
      <c r="J27" s="100">
        <f>D27*100</f>
        <v>585</v>
      </c>
    </row>
    <row r="28" spans="1:10" s="10" customFormat="1" ht="12" customHeight="1" x14ac:dyDescent="0.25">
      <c r="A28" s="98"/>
      <c r="B28" s="93" t="s">
        <v>100</v>
      </c>
      <c r="C28" s="112"/>
      <c r="D28" s="112">
        <v>5</v>
      </c>
      <c r="E28" s="95"/>
      <c r="F28" s="95">
        <f>F27</f>
        <v>359.66</v>
      </c>
      <c r="G28" s="99"/>
      <c r="H28" s="100">
        <f>D28*10</f>
        <v>50</v>
      </c>
      <c r="I28" s="100"/>
      <c r="J28" s="100">
        <f>D28*100</f>
        <v>500</v>
      </c>
    </row>
    <row r="29" spans="1:10" s="10" customFormat="1" ht="27.6" customHeight="1" x14ac:dyDescent="0.25">
      <c r="A29" s="1536" t="s">
        <v>35</v>
      </c>
      <c r="B29" s="1536"/>
      <c r="C29" s="90"/>
      <c r="D29" s="90"/>
      <c r="E29" s="408"/>
      <c r="F29" s="408">
        <f>F28</f>
        <v>359.66</v>
      </c>
      <c r="G29" s="513"/>
      <c r="H29" s="513"/>
      <c r="I29" s="21"/>
      <c r="J29" s="408"/>
    </row>
    <row r="30" spans="1:10" s="10" customFormat="1" ht="25.35" customHeight="1" x14ac:dyDescent="0.25">
      <c r="A30" s="1536" t="s">
        <v>36</v>
      </c>
      <c r="B30" s="1536"/>
      <c r="C30" s="90">
        <v>5000</v>
      </c>
      <c r="D30" s="90"/>
      <c r="E30" s="408"/>
      <c r="F30" s="408"/>
      <c r="G30" s="408"/>
      <c r="H30" s="408"/>
      <c r="I30" s="21"/>
      <c r="J30" s="17"/>
    </row>
    <row r="31" spans="1:10" s="10" customFormat="1" ht="25.35" customHeight="1" x14ac:dyDescent="0.25">
      <c r="A31" s="1537" t="s">
        <v>37</v>
      </c>
      <c r="B31" s="1538"/>
      <c r="C31" s="91">
        <v>100</v>
      </c>
      <c r="D31" s="92"/>
      <c r="E31" s="514"/>
      <c r="F31" s="514"/>
      <c r="G31" s="514"/>
      <c r="H31" s="514"/>
      <c r="I31" s="21"/>
      <c r="J31" s="17"/>
    </row>
    <row r="32" spans="1:10" s="10" customFormat="1" ht="15" customHeight="1" x14ac:dyDescent="0.25">
      <c r="A32" s="1539" t="s">
        <v>38</v>
      </c>
      <c r="B32" s="1540"/>
      <c r="C32" s="92">
        <f>C30/C31</f>
        <v>50</v>
      </c>
      <c r="D32" s="92"/>
      <c r="E32" s="514"/>
      <c r="F32" s="514"/>
      <c r="G32" s="514"/>
      <c r="H32" s="514"/>
      <c r="I32" s="21"/>
      <c r="J32" s="17"/>
    </row>
    <row r="33" spans="1:10" ht="16.350000000000001" customHeight="1" x14ac:dyDescent="0.25">
      <c r="A33" s="1541" t="s">
        <v>39</v>
      </c>
      <c r="B33" s="1542"/>
      <c r="C33" s="15" t="s">
        <v>40</v>
      </c>
      <c r="D33" s="102"/>
      <c r="E33" s="214" t="s">
        <v>40</v>
      </c>
      <c r="F33" s="16">
        <f>F29/C32</f>
        <v>7.19</v>
      </c>
      <c r="G33" s="16"/>
      <c r="H33" s="16"/>
      <c r="I33" s="102" t="s">
        <v>40</v>
      </c>
      <c r="J33" s="102" t="s">
        <v>40</v>
      </c>
    </row>
    <row r="34" spans="1:10" ht="23.1" customHeight="1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193"/>
      <c r="B35" s="1194" t="s">
        <v>49</v>
      </c>
      <c r="C35" s="1198"/>
      <c r="D35" s="1198"/>
      <c r="E35" s="1198"/>
      <c r="F35" s="1198"/>
      <c r="G35" s="1193"/>
      <c r="H35" s="1557">
        <f>'1-бутерброд с маслом'!$H$28</f>
        <v>0</v>
      </c>
      <c r="I35" s="1557"/>
      <c r="J35" s="1557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545" t="s">
        <v>327</v>
      </c>
      <c r="B37" s="1545"/>
      <c r="C37" s="1546" t="s">
        <v>328</v>
      </c>
      <c r="D37" s="1546"/>
      <c r="E37" s="1546"/>
      <c r="F37" s="1546"/>
      <c r="G37" s="106"/>
      <c r="H37" s="1531"/>
      <c r="I37" s="1531"/>
      <c r="J37" s="1531"/>
    </row>
    <row r="38" spans="1:10" x14ac:dyDescent="0.25">
      <c r="A38" s="1193"/>
      <c r="B38" s="1193"/>
      <c r="C38" s="1546"/>
      <c r="D38" s="1546"/>
      <c r="E38" s="1546"/>
      <c r="F38" s="1546"/>
      <c r="G38" s="1193"/>
      <c r="H38" s="1531" t="s">
        <v>329</v>
      </c>
      <c r="I38" s="1531"/>
      <c r="J38" s="1531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</sheetData>
  <mergeCells count="28">
    <mergeCell ref="H35:J35"/>
    <mergeCell ref="A13:G13"/>
    <mergeCell ref="A30:B30"/>
    <mergeCell ref="A31:B31"/>
    <mergeCell ref="A32:B32"/>
    <mergeCell ref="A33:B33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7:B37"/>
    <mergeCell ref="C37:F38"/>
    <mergeCell ref="H37:J37"/>
    <mergeCell ref="H38:J38"/>
    <mergeCell ref="H5:I5"/>
    <mergeCell ref="A6:G6"/>
    <mergeCell ref="A7:I7"/>
    <mergeCell ref="A29:B29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M39"/>
  <sheetViews>
    <sheetView view="pageBreakPreview" topLeftCell="A15" zoomScaleNormal="110" zoomScaleSheetLayoutView="100" workbookViewId="0">
      <selection activeCell="A31" sqref="A31:J35"/>
    </sheetView>
  </sheetViews>
  <sheetFormatPr defaultRowHeight="13.8" x14ac:dyDescent="0.25"/>
  <cols>
    <col min="1" max="1" width="4.109375" customWidth="1"/>
    <col min="2" max="2" width="21" customWidth="1"/>
    <col min="3" max="3" width="8.88671875" customWidth="1"/>
    <col min="4" max="7" width="7.5546875" customWidth="1"/>
    <col min="8" max="8" width="7.44140625" customWidth="1"/>
    <col min="9" max="9" width="8.44140625" customWidth="1"/>
    <col min="10" max="10" width="9.109375" customWidth="1"/>
    <col min="11" max="11" width="4.441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367"/>
      <c r="I6" s="367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40</v>
      </c>
    </row>
    <row r="8" spans="1:10" s="2" customFormat="1" ht="9.6" customHeight="1" x14ac:dyDescent="0.25">
      <c r="A8" s="368"/>
      <c r="B8" s="368"/>
      <c r="C8" s="368"/>
      <c r="D8" s="368"/>
      <c r="E8" s="368"/>
      <c r="F8" s="368"/>
      <c r="G8" s="368"/>
      <c r="H8" s="368"/>
      <c r="I8" s="368"/>
      <c r="J8" s="109"/>
    </row>
    <row r="9" spans="1:10" s="2" customFormat="1" ht="26.1" customHeight="1" x14ac:dyDescent="0.3">
      <c r="A9" s="1550" t="s">
        <v>605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'39-салат с кукурузой'!H14+1</f>
        <v>27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369" t="s">
        <v>92</v>
      </c>
      <c r="D17" s="369" t="s">
        <v>94</v>
      </c>
      <c r="E17" s="369" t="s">
        <v>93</v>
      </c>
      <c r="F17" s="369" t="s">
        <v>23</v>
      </c>
      <c r="G17" s="369" t="s">
        <v>92</v>
      </c>
      <c r="H17" s="369" t="s">
        <v>94</v>
      </c>
      <c r="I17" s="369" t="s">
        <v>92</v>
      </c>
      <c r="J17" s="369" t="s">
        <v>94</v>
      </c>
    </row>
    <row r="18" spans="1:13" ht="9.6" customHeight="1" x14ac:dyDescent="0.25">
      <c r="A18" s="369">
        <v>1</v>
      </c>
      <c r="B18" s="370">
        <v>2</v>
      </c>
      <c r="C18" s="369">
        <v>3</v>
      </c>
      <c r="D18" s="370">
        <v>4</v>
      </c>
      <c r="E18" s="369">
        <v>5</v>
      </c>
      <c r="F18" s="370">
        <v>6</v>
      </c>
      <c r="G18" s="369">
        <v>7</v>
      </c>
      <c r="H18" s="370">
        <v>8</v>
      </c>
      <c r="I18" s="369">
        <v>9</v>
      </c>
      <c r="J18" s="370">
        <v>10</v>
      </c>
    </row>
    <row r="19" spans="1:13" s="10" customFormat="1" ht="14.1" customHeight="1" x14ac:dyDescent="0.25">
      <c r="A19" s="180">
        <v>1</v>
      </c>
      <c r="B19" s="20" t="s">
        <v>565</v>
      </c>
      <c r="C19" s="21">
        <v>0.625</v>
      </c>
      <c r="D19" s="21">
        <v>0.45</v>
      </c>
      <c r="E19" s="13">
        <f>цены!F35</f>
        <v>50</v>
      </c>
      <c r="F19" s="13">
        <f t="shared" ref="F19:F24" si="0">C19*E19</f>
        <v>31.25</v>
      </c>
      <c r="G19" s="97">
        <f t="shared" ref="G19:H24" si="1">C19*10</f>
        <v>6.25</v>
      </c>
      <c r="H19" s="21">
        <f t="shared" si="1"/>
        <v>4.5</v>
      </c>
      <c r="I19" s="21">
        <f t="shared" ref="I19:J24" si="2">C19*100</f>
        <v>62.5</v>
      </c>
      <c r="J19" s="21">
        <f t="shared" si="2"/>
        <v>45</v>
      </c>
      <c r="L19" s="1015">
        <f>C19/C$29</f>
        <v>3.7492501499700098E-2</v>
      </c>
      <c r="M19" s="1015">
        <f>F19/C$29</f>
        <v>1.874625074985</v>
      </c>
    </row>
    <row r="20" spans="1:13" s="10" customFormat="1" ht="25.65" customHeight="1" x14ac:dyDescent="0.25">
      <c r="A20" s="299">
        <v>2</v>
      </c>
      <c r="B20" s="20" t="s">
        <v>606</v>
      </c>
      <c r="C20" s="21">
        <v>0.26200000000000001</v>
      </c>
      <c r="D20" s="21">
        <v>0.17</v>
      </c>
      <c r="E20" s="13">
        <f>цены!F128</f>
        <v>126</v>
      </c>
      <c r="F20" s="13">
        <f t="shared" si="0"/>
        <v>33.01</v>
      </c>
      <c r="G20" s="97">
        <f t="shared" si="1"/>
        <v>2.62</v>
      </c>
      <c r="H20" s="21">
        <f t="shared" si="1"/>
        <v>1.7</v>
      </c>
      <c r="I20" s="21">
        <f t="shared" si="2"/>
        <v>26.2</v>
      </c>
      <c r="J20" s="21">
        <f t="shared" si="2"/>
        <v>17</v>
      </c>
      <c r="L20" s="1015">
        <f t="shared" ref="L20:L24" si="3">C20/C$29</f>
        <v>1.5716856628674301E-2</v>
      </c>
      <c r="M20" s="1015">
        <f t="shared" ref="M20:M24" si="4">F20/C$29</f>
        <v>1.9802039592081599</v>
      </c>
    </row>
    <row r="21" spans="1:13" s="10" customFormat="1" ht="13.35" customHeight="1" x14ac:dyDescent="0.25">
      <c r="A21" s="180">
        <v>3</v>
      </c>
      <c r="B21" s="20" t="s">
        <v>47</v>
      </c>
      <c r="C21" s="21">
        <v>0.314</v>
      </c>
      <c r="D21" s="21">
        <v>0.25</v>
      </c>
      <c r="E21" s="13">
        <f>цены!F44</f>
        <v>50</v>
      </c>
      <c r="F21" s="13">
        <f t="shared" si="0"/>
        <v>15.7</v>
      </c>
      <c r="G21" s="97">
        <f t="shared" si="1"/>
        <v>3.14</v>
      </c>
      <c r="H21" s="21">
        <f t="shared" si="1"/>
        <v>2.5</v>
      </c>
      <c r="I21" s="21">
        <f t="shared" si="2"/>
        <v>31.4</v>
      </c>
      <c r="J21" s="21">
        <f t="shared" si="2"/>
        <v>25</v>
      </c>
      <c r="L21" s="1015">
        <f t="shared" si="3"/>
        <v>1.8836232753449301E-2</v>
      </c>
      <c r="M21" s="1015">
        <f t="shared" si="4"/>
        <v>0.94181163767246501</v>
      </c>
    </row>
    <row r="22" spans="1:13" s="10" customFormat="1" ht="13.35" customHeight="1" x14ac:dyDescent="0.25">
      <c r="A22" s="299">
        <v>4</v>
      </c>
      <c r="B22" s="20" t="s">
        <v>607</v>
      </c>
      <c r="C22" s="21">
        <v>9.1999999999999998E-2</v>
      </c>
      <c r="D22" s="21">
        <v>0.08</v>
      </c>
      <c r="E22" s="13">
        <f>цены!F30</f>
        <v>152.16999999999999</v>
      </c>
      <c r="F22" s="13">
        <f t="shared" si="0"/>
        <v>14</v>
      </c>
      <c r="G22" s="97">
        <f t="shared" si="1"/>
        <v>0.92</v>
      </c>
      <c r="H22" s="21">
        <f t="shared" si="1"/>
        <v>0.8</v>
      </c>
      <c r="I22" s="21">
        <f t="shared" si="2"/>
        <v>9.1999999999999993</v>
      </c>
      <c r="J22" s="21">
        <f t="shared" si="2"/>
        <v>8</v>
      </c>
      <c r="L22" s="1015">
        <f t="shared" si="3"/>
        <v>5.5188962207558499E-3</v>
      </c>
      <c r="M22" s="1015">
        <f t="shared" si="4"/>
        <v>0.83983203359328096</v>
      </c>
    </row>
    <row r="23" spans="1:13" s="10" customFormat="1" ht="14.1" customHeight="1" x14ac:dyDescent="0.25">
      <c r="A23" s="180">
        <v>5</v>
      </c>
      <c r="B23" s="20" t="s">
        <v>74</v>
      </c>
      <c r="C23" s="21">
        <v>0.06</v>
      </c>
      <c r="D23" s="21">
        <v>0.06</v>
      </c>
      <c r="E23" s="13">
        <f>цены!F87</f>
        <v>120</v>
      </c>
      <c r="F23" s="13">
        <f t="shared" si="0"/>
        <v>7.2</v>
      </c>
      <c r="G23" s="97">
        <f t="shared" si="1"/>
        <v>0.6</v>
      </c>
      <c r="H23" s="21">
        <f t="shared" si="1"/>
        <v>0.6</v>
      </c>
      <c r="I23" s="21">
        <f t="shared" si="2"/>
        <v>6</v>
      </c>
      <c r="J23" s="21">
        <f t="shared" si="2"/>
        <v>6</v>
      </c>
      <c r="L23" s="1015">
        <f t="shared" si="3"/>
        <v>3.5992801439712098E-3</v>
      </c>
      <c r="M23" s="1015">
        <f t="shared" si="4"/>
        <v>0.43191361727654498</v>
      </c>
    </row>
    <row r="24" spans="1:13" s="10" customFormat="1" ht="14.1" customHeight="1" x14ac:dyDescent="0.25">
      <c r="A24" s="299">
        <v>6</v>
      </c>
      <c r="B24" s="20" t="s">
        <v>75</v>
      </c>
      <c r="C24" s="21">
        <f>0.002*C29</f>
        <v>3.3000000000000002E-2</v>
      </c>
      <c r="D24" s="21">
        <f>C24</f>
        <v>3.3000000000000002E-2</v>
      </c>
      <c r="E24" s="13">
        <f>цены!F110</f>
        <v>24</v>
      </c>
      <c r="F24" s="13">
        <f t="shared" si="0"/>
        <v>0.79</v>
      </c>
      <c r="G24" s="97">
        <f t="shared" si="1"/>
        <v>0.33</v>
      </c>
      <c r="H24" s="21">
        <f t="shared" si="1"/>
        <v>0.33</v>
      </c>
      <c r="I24" s="21">
        <f t="shared" si="2"/>
        <v>3.3</v>
      </c>
      <c r="J24" s="21">
        <f t="shared" si="2"/>
        <v>3.3</v>
      </c>
      <c r="L24" s="1015">
        <f t="shared" si="3"/>
        <v>1.9796040791841599E-3</v>
      </c>
      <c r="M24" s="1015">
        <f t="shared" si="4"/>
        <v>4.7390521895620902E-2</v>
      </c>
    </row>
    <row r="25" spans="1:13" s="10" customFormat="1" ht="15" customHeight="1" x14ac:dyDescent="0.25">
      <c r="A25" s="98"/>
      <c r="B25" s="93" t="s">
        <v>100</v>
      </c>
      <c r="C25" s="100"/>
      <c r="D25" s="100">
        <v>1</v>
      </c>
      <c r="E25" s="95"/>
      <c r="F25" s="95">
        <f>SUM(F19:F24)</f>
        <v>101.95</v>
      </c>
      <c r="G25" s="99"/>
      <c r="H25" s="100">
        <f>D25*10</f>
        <v>10</v>
      </c>
      <c r="I25" s="100"/>
      <c r="J25" s="100">
        <f>D25*100</f>
        <v>100</v>
      </c>
      <c r="L25" s="1015">
        <f>SUM(L19:L24)</f>
        <v>8.3143371325734905E-2</v>
      </c>
      <c r="M25" s="1015">
        <f>SUM(M19:M24)</f>
        <v>6.1157768446310703</v>
      </c>
    </row>
    <row r="26" spans="1:13" s="10" customFormat="1" ht="27.6" customHeight="1" x14ac:dyDescent="0.25">
      <c r="A26" s="1536" t="s">
        <v>35</v>
      </c>
      <c r="B26" s="1536"/>
      <c r="C26" s="90"/>
      <c r="D26" s="90"/>
      <c r="E26" s="13"/>
      <c r="F26" s="13">
        <f>F25</f>
        <v>101.95</v>
      </c>
      <c r="G26" s="371"/>
      <c r="H26" s="371"/>
      <c r="I26" s="21"/>
      <c r="J26" s="13"/>
    </row>
    <row r="27" spans="1:13" s="10" customFormat="1" ht="25.35" customHeight="1" x14ac:dyDescent="0.25">
      <c r="A27" s="1536" t="s">
        <v>36</v>
      </c>
      <c r="B27" s="1536"/>
      <c r="C27" s="90">
        <v>1000</v>
      </c>
      <c r="D27" s="90"/>
      <c r="E27" s="13"/>
      <c r="F27" s="13"/>
      <c r="G27" s="13"/>
      <c r="H27" s="13"/>
      <c r="I27" s="21"/>
      <c r="J27" s="17"/>
    </row>
    <row r="28" spans="1:13" s="10" customFormat="1" ht="25.35" customHeight="1" x14ac:dyDescent="0.25">
      <c r="A28" s="1537" t="s">
        <v>37</v>
      </c>
      <c r="B28" s="1538"/>
      <c r="C28" s="91">
        <v>60</v>
      </c>
      <c r="D28" s="92"/>
      <c r="E28" s="370"/>
      <c r="F28" s="370"/>
      <c r="G28" s="370"/>
      <c r="H28" s="370"/>
      <c r="I28" s="21"/>
      <c r="J28" s="17"/>
    </row>
    <row r="29" spans="1:13" s="10" customFormat="1" ht="15" customHeight="1" x14ac:dyDescent="0.25">
      <c r="A29" s="1539" t="s">
        <v>38</v>
      </c>
      <c r="B29" s="1540"/>
      <c r="C29" s="249">
        <f>C27/C28</f>
        <v>16.670000000000002</v>
      </c>
      <c r="D29" s="92"/>
      <c r="E29" s="370"/>
      <c r="F29" s="370"/>
      <c r="G29" s="370"/>
      <c r="H29" s="370"/>
      <c r="I29" s="21"/>
      <c r="J29" s="17"/>
    </row>
    <row r="30" spans="1:13" ht="16.350000000000001" customHeight="1" x14ac:dyDescent="0.25">
      <c r="A30" s="1541" t="s">
        <v>39</v>
      </c>
      <c r="B30" s="1542"/>
      <c r="C30" s="15" t="s">
        <v>40</v>
      </c>
      <c r="D30" s="102"/>
      <c r="E30" s="102" t="s">
        <v>40</v>
      </c>
      <c r="F30" s="16">
        <f>F26/C29</f>
        <v>6.12</v>
      </c>
      <c r="G30" s="16"/>
      <c r="H30" s="16"/>
      <c r="I30" s="102" t="s">
        <v>40</v>
      </c>
      <c r="J30" s="102" t="s">
        <v>40</v>
      </c>
    </row>
    <row r="31" spans="1:13" ht="23.1" customHeight="1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3" ht="13.95" customHeight="1" x14ac:dyDescent="0.25">
      <c r="A32" s="1193"/>
      <c r="B32" s="1194" t="s">
        <v>49</v>
      </c>
      <c r="C32" s="1198"/>
      <c r="D32" s="1198"/>
      <c r="E32" s="1198"/>
      <c r="F32" s="1198"/>
      <c r="G32" s="1193"/>
      <c r="H32" s="1557">
        <f>'1-бутерброд с маслом'!$H$28</f>
        <v>0</v>
      </c>
      <c r="I32" s="1557"/>
      <c r="J32" s="1557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545" t="s">
        <v>327</v>
      </c>
      <c r="B34" s="1545"/>
      <c r="C34" s="1546" t="s">
        <v>328</v>
      </c>
      <c r="D34" s="1546"/>
      <c r="E34" s="1546"/>
      <c r="F34" s="1546"/>
      <c r="G34" s="106"/>
      <c r="H34" s="1531"/>
      <c r="I34" s="1531"/>
      <c r="J34" s="1531"/>
    </row>
    <row r="35" spans="1:10" x14ac:dyDescent="0.25">
      <c r="A35" s="1193"/>
      <c r="B35" s="1193"/>
      <c r="C35" s="1546"/>
      <c r="D35" s="1546"/>
      <c r="E35" s="1546"/>
      <c r="F35" s="1546"/>
      <c r="G35" s="1193"/>
      <c r="H35" s="1531" t="s">
        <v>329</v>
      </c>
      <c r="I35" s="1531"/>
      <c r="J35" s="1531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4:B34"/>
    <mergeCell ref="C34:F35"/>
    <mergeCell ref="H34:J34"/>
    <mergeCell ref="H35:J35"/>
    <mergeCell ref="A27:B27"/>
    <mergeCell ref="A28:B28"/>
    <mergeCell ref="A29:B29"/>
    <mergeCell ref="A30:B30"/>
    <mergeCell ref="H32:J32"/>
    <mergeCell ref="A26:B26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J42"/>
  <sheetViews>
    <sheetView view="pageBreakPreview" topLeftCell="A3" zoomScaleNormal="100" zoomScaleSheetLayoutView="100" workbookViewId="0">
      <selection activeCell="G4" sqref="G4"/>
    </sheetView>
  </sheetViews>
  <sheetFormatPr defaultColWidth="8.88671875" defaultRowHeight="13.8" x14ac:dyDescent="0.25"/>
  <cols>
    <col min="1" max="1" width="4.109375" style="1351" customWidth="1"/>
    <col min="2" max="2" width="20.5546875" style="1351" customWidth="1"/>
    <col min="3" max="7" width="7.5546875" style="1351" customWidth="1"/>
    <col min="8" max="8" width="8.88671875" style="1351" customWidth="1"/>
    <col min="9" max="9" width="7.5546875" style="1351" customWidth="1"/>
    <col min="10" max="10" width="9" style="1351" customWidth="1"/>
    <col min="11" max="11" width="2.6640625" style="1351" customWidth="1"/>
    <col min="12" max="16384" width="8.88671875" style="1351"/>
  </cols>
  <sheetData>
    <row r="1" spans="1:10" ht="15.6" x14ac:dyDescent="0.3">
      <c r="F1" s="1346"/>
      <c r="G1" s="1521" t="str">
        <f>"Приложение 3 (Лист"&amp;" "&amp;H14&amp;")"</f>
        <v>Приложение 3 (Лист 310)</v>
      </c>
      <c r="H1" s="1521"/>
      <c r="I1" s="1521"/>
      <c r="J1" s="1521"/>
    </row>
    <row r="2" spans="1:10" ht="15.6" x14ac:dyDescent="0.3">
      <c r="G2" s="1521" t="s">
        <v>1346</v>
      </c>
      <c r="H2" s="1521"/>
      <c r="I2" s="1521"/>
      <c r="J2" s="1521"/>
    </row>
    <row r="3" spans="1:10" ht="15.6" x14ac:dyDescent="0.3">
      <c r="G3" s="1554" t="str">
        <f>'1-бутерброд с маслом'!G3</f>
        <v>приказом от ______ 2023 N ____</v>
      </c>
      <c r="H3" s="1554"/>
      <c r="I3" s="1554"/>
      <c r="J3" s="1554"/>
    </row>
    <row r="4" spans="1:10" x14ac:dyDescent="0.25">
      <c r="J4" s="1200" t="s">
        <v>3</v>
      </c>
    </row>
    <row r="5" spans="1:10" s="2" customFormat="1" ht="19.350000000000001" customHeight="1" x14ac:dyDescent="0.25">
      <c r="A5" s="1567" t="str">
        <f>'1-бутерброд с маслом'!A5:G5</f>
        <v xml:space="preserve">МБОУ </v>
      </c>
      <c r="B5" s="1567"/>
      <c r="C5" s="1567"/>
      <c r="D5" s="1567"/>
      <c r="E5" s="1567"/>
      <c r="F5" s="1567"/>
      <c r="G5" s="1567"/>
      <c r="H5" s="1531" t="s">
        <v>5</v>
      </c>
      <c r="I5" s="1531"/>
      <c r="J5" s="180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347"/>
      <c r="I6" s="1347"/>
      <c r="J6" s="1353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353">
        <v>440</v>
      </c>
    </row>
    <row r="8" spans="1:10" s="2" customFormat="1" ht="9.6" customHeight="1" x14ac:dyDescent="0.25">
      <c r="A8" s="1348"/>
      <c r="B8" s="1348"/>
      <c r="C8" s="1348"/>
      <c r="D8" s="1348"/>
      <c r="E8" s="1348"/>
      <c r="F8" s="1348"/>
      <c r="G8" s="1348"/>
      <c r="H8" s="1348"/>
      <c r="I8" s="1348"/>
      <c r="J8" s="109"/>
    </row>
    <row r="9" spans="1:10" s="2" customFormat="1" ht="26.1" customHeight="1" x14ac:dyDescent="0.3">
      <c r="A9" s="1550" t="s">
        <v>1392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E12" s="101"/>
      <c r="F12" s="101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350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405">
        <f>'429-булочка веснушка 100г'!H14+1</f>
        <v>310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1349" t="s">
        <v>92</v>
      </c>
      <c r="D17" s="1349" t="s">
        <v>94</v>
      </c>
      <c r="E17" s="1349" t="s">
        <v>93</v>
      </c>
      <c r="F17" s="1349" t="s">
        <v>23</v>
      </c>
      <c r="G17" s="1349" t="s">
        <v>92</v>
      </c>
      <c r="H17" s="1349" t="s">
        <v>94</v>
      </c>
      <c r="I17" s="1349" t="s">
        <v>92</v>
      </c>
      <c r="J17" s="1349" t="s">
        <v>94</v>
      </c>
    </row>
    <row r="18" spans="1:10" ht="9.6" customHeight="1" x14ac:dyDescent="0.25">
      <c r="A18" s="1349">
        <v>1</v>
      </c>
      <c r="B18" s="1350">
        <v>2</v>
      </c>
      <c r="C18" s="1349">
        <v>3</v>
      </c>
      <c r="D18" s="1350">
        <v>4</v>
      </c>
      <c r="E18" s="1349">
        <v>5</v>
      </c>
      <c r="F18" s="1350">
        <v>6</v>
      </c>
      <c r="G18" s="1349">
        <v>7</v>
      </c>
      <c r="H18" s="1350">
        <v>8</v>
      </c>
      <c r="I18" s="1349">
        <v>9</v>
      </c>
      <c r="J18" s="1350">
        <v>10</v>
      </c>
    </row>
    <row r="19" spans="1:10" s="10" customFormat="1" ht="14.1" customHeight="1" x14ac:dyDescent="0.25">
      <c r="A19" s="180">
        <v>1</v>
      </c>
      <c r="B19" s="20" t="s">
        <v>475</v>
      </c>
      <c r="C19" s="111">
        <v>2.93E-2</v>
      </c>
      <c r="D19" s="111">
        <v>2.93E-2</v>
      </c>
      <c r="E19" s="408">
        <f>цены!F74</f>
        <v>36</v>
      </c>
      <c r="F19" s="408">
        <f>C19*E19</f>
        <v>1.05</v>
      </c>
      <c r="G19" s="97">
        <f t="shared" ref="G19:H20" si="0">C19*10</f>
        <v>0.29299999999999998</v>
      </c>
      <c r="H19" s="21">
        <f t="shared" si="0"/>
        <v>0.29299999999999998</v>
      </c>
      <c r="I19" s="21">
        <f t="shared" ref="I19:J20" si="1">C19*100</f>
        <v>2.93</v>
      </c>
      <c r="J19" s="21">
        <f t="shared" si="1"/>
        <v>2.93</v>
      </c>
    </row>
    <row r="20" spans="1:10" s="10" customFormat="1" ht="14.1" customHeight="1" x14ac:dyDescent="0.25">
      <c r="A20" s="180">
        <v>2</v>
      </c>
      <c r="B20" s="20" t="s">
        <v>128</v>
      </c>
      <c r="C20" s="111">
        <v>1.6000000000000001E-3</v>
      </c>
      <c r="D20" s="111">
        <v>1.6E-2</v>
      </c>
      <c r="E20" s="408">
        <f>цены!F74</f>
        <v>36</v>
      </c>
      <c r="F20" s="408">
        <f t="shared" ref="F20" si="2">C20*E20</f>
        <v>0.06</v>
      </c>
      <c r="G20" s="97">
        <f t="shared" si="0"/>
        <v>1.6E-2</v>
      </c>
      <c r="H20" s="21">
        <f t="shared" si="0"/>
        <v>0.16</v>
      </c>
      <c r="I20" s="21">
        <f t="shared" si="1"/>
        <v>0.16</v>
      </c>
      <c r="J20" s="21">
        <f t="shared" si="1"/>
        <v>1.6</v>
      </c>
    </row>
    <row r="21" spans="1:10" s="10" customFormat="1" ht="14.1" customHeight="1" x14ac:dyDescent="0.25">
      <c r="A21" s="180">
        <v>3</v>
      </c>
      <c r="B21" s="20" t="s">
        <v>134</v>
      </c>
      <c r="C21" s="111">
        <v>4.1999999999999997E-3</v>
      </c>
      <c r="D21" s="111">
        <v>4.1999999999999997E-3</v>
      </c>
      <c r="E21" s="408">
        <f>цены!F107</f>
        <v>76</v>
      </c>
      <c r="F21" s="408">
        <f t="shared" ref="F21:F29" si="3">C21*E21</f>
        <v>0.32</v>
      </c>
      <c r="G21" s="97">
        <f t="shared" ref="G21:G29" si="4">C21*10</f>
        <v>4.2000000000000003E-2</v>
      </c>
      <c r="H21" s="21">
        <f t="shared" ref="H21:H29" si="5">D21*10</f>
        <v>4.2000000000000003E-2</v>
      </c>
      <c r="I21" s="21">
        <f t="shared" ref="I21:I29" si="6">C21*100</f>
        <v>0.42</v>
      </c>
      <c r="J21" s="21">
        <f t="shared" ref="J21:J29" si="7">D21*100</f>
        <v>0.42</v>
      </c>
    </row>
    <row r="22" spans="1:10" s="10" customFormat="1" ht="14.1" customHeight="1" x14ac:dyDescent="0.25">
      <c r="A22" s="180">
        <v>4</v>
      </c>
      <c r="B22" s="20" t="s">
        <v>476</v>
      </c>
      <c r="C22" s="111">
        <v>1E-3</v>
      </c>
      <c r="D22" s="111">
        <v>1E-3</v>
      </c>
      <c r="E22" s="408">
        <f>цены!F86</f>
        <v>198</v>
      </c>
      <c r="F22" s="408">
        <f t="shared" si="3"/>
        <v>0.2</v>
      </c>
      <c r="G22" s="97">
        <f t="shared" si="4"/>
        <v>0.01</v>
      </c>
      <c r="H22" s="21">
        <f t="shared" si="5"/>
        <v>0.01</v>
      </c>
      <c r="I22" s="21">
        <f t="shared" si="6"/>
        <v>0.1</v>
      </c>
      <c r="J22" s="21">
        <f t="shared" si="7"/>
        <v>0.1</v>
      </c>
    </row>
    <row r="23" spans="1:10" s="10" customFormat="1" ht="14.1" customHeight="1" x14ac:dyDescent="0.25">
      <c r="A23" s="180">
        <v>5</v>
      </c>
      <c r="B23" s="1365" t="s">
        <v>477</v>
      </c>
      <c r="C23" s="111">
        <v>4.4999999999999997E-3</v>
      </c>
      <c r="D23" s="111">
        <v>4.4999999999999997E-3</v>
      </c>
      <c r="E23" s="408">
        <f>цены!F131</f>
        <v>180</v>
      </c>
      <c r="F23" s="408">
        <f t="shared" si="3"/>
        <v>0.81</v>
      </c>
      <c r="G23" s="97">
        <f t="shared" si="4"/>
        <v>4.4999999999999998E-2</v>
      </c>
      <c r="H23" s="21">
        <f t="shared" si="5"/>
        <v>4.4999999999999998E-2</v>
      </c>
      <c r="I23" s="21">
        <f t="shared" si="6"/>
        <v>0.45</v>
      </c>
      <c r="J23" s="21">
        <f t="shared" si="7"/>
        <v>0.45</v>
      </c>
    </row>
    <row r="24" spans="1:10" s="10" customFormat="1" ht="14.1" customHeight="1" x14ac:dyDescent="0.25">
      <c r="A24" s="180">
        <v>6</v>
      </c>
      <c r="B24" s="1365" t="s">
        <v>34</v>
      </c>
      <c r="C24" s="110">
        <v>8.6E-3</v>
      </c>
      <c r="D24" s="110">
        <v>8.6E-3</v>
      </c>
      <c r="E24" s="408">
        <f>цены!F20</f>
        <v>80</v>
      </c>
      <c r="F24" s="408">
        <f t="shared" si="3"/>
        <v>0.69</v>
      </c>
      <c r="G24" s="97">
        <f t="shared" si="4"/>
        <v>8.5999999999999993E-2</v>
      </c>
      <c r="H24" s="21">
        <f t="shared" si="5"/>
        <v>8.5999999999999993E-2</v>
      </c>
      <c r="I24" s="21">
        <f t="shared" si="6"/>
        <v>0.86</v>
      </c>
      <c r="J24" s="21">
        <f t="shared" si="7"/>
        <v>0.86</v>
      </c>
    </row>
    <row r="25" spans="1:10" s="10" customFormat="1" ht="14.1" customHeight="1" x14ac:dyDescent="0.25">
      <c r="A25" s="180">
        <v>7</v>
      </c>
      <c r="B25" s="1365" t="s">
        <v>57</v>
      </c>
      <c r="C25" s="502">
        <v>1.3270000000000001E-2</v>
      </c>
      <c r="D25" s="502">
        <v>1.3270000000000001E-2</v>
      </c>
      <c r="E25" s="408">
        <f>цены!F23</f>
        <v>350</v>
      </c>
      <c r="F25" s="408">
        <f t="shared" si="3"/>
        <v>4.6399999999999997</v>
      </c>
      <c r="G25" s="97">
        <f t="shared" si="4"/>
        <v>0.13300000000000001</v>
      </c>
      <c r="H25" s="21">
        <f t="shared" si="5"/>
        <v>0.13300000000000001</v>
      </c>
      <c r="I25" s="21">
        <f t="shared" si="6"/>
        <v>1.327</v>
      </c>
      <c r="J25" s="21">
        <f t="shared" si="7"/>
        <v>1.327</v>
      </c>
    </row>
    <row r="26" spans="1:10" s="10" customFormat="1" ht="14.1" customHeight="1" x14ac:dyDescent="0.25">
      <c r="A26" s="180">
        <v>8</v>
      </c>
      <c r="B26" s="20" t="s">
        <v>126</v>
      </c>
      <c r="C26" s="502">
        <v>1.25E-3</v>
      </c>
      <c r="D26" s="502">
        <v>1.25E-3</v>
      </c>
      <c r="E26" s="408">
        <f>цены!F93</f>
        <v>455</v>
      </c>
      <c r="F26" s="408">
        <f t="shared" si="3"/>
        <v>0.56999999999999995</v>
      </c>
      <c r="G26" s="97">
        <f t="shared" si="4"/>
        <v>1.2999999999999999E-2</v>
      </c>
      <c r="H26" s="21">
        <f t="shared" si="5"/>
        <v>1.2999999999999999E-2</v>
      </c>
      <c r="I26" s="21">
        <f t="shared" si="6"/>
        <v>0.125</v>
      </c>
      <c r="J26" s="21">
        <f t="shared" si="7"/>
        <v>0.125</v>
      </c>
    </row>
    <row r="27" spans="1:10" s="10" customFormat="1" ht="12" customHeight="1" x14ac:dyDescent="0.25">
      <c r="A27" s="180">
        <v>9</v>
      </c>
      <c r="B27" s="20" t="s">
        <v>33</v>
      </c>
      <c r="C27" s="110">
        <v>3.0000000000000001E-3</v>
      </c>
      <c r="D27" s="110">
        <v>3.0000000000000001E-3</v>
      </c>
      <c r="E27" s="408">
        <f>цены!F110</f>
        <v>24</v>
      </c>
      <c r="F27" s="408">
        <f t="shared" si="3"/>
        <v>7.0000000000000007E-2</v>
      </c>
      <c r="G27" s="97">
        <f t="shared" si="4"/>
        <v>0.03</v>
      </c>
      <c r="H27" s="21">
        <f t="shared" si="5"/>
        <v>0.03</v>
      </c>
      <c r="I27" s="21">
        <f t="shared" si="6"/>
        <v>0.3</v>
      </c>
      <c r="J27" s="21">
        <f t="shared" si="7"/>
        <v>0.3</v>
      </c>
    </row>
    <row r="28" spans="1:10" s="10" customFormat="1" ht="12" customHeight="1" x14ac:dyDescent="0.25">
      <c r="A28" s="180">
        <v>10</v>
      </c>
      <c r="B28" s="1365" t="s">
        <v>56</v>
      </c>
      <c r="C28" s="110">
        <v>2.9999999999999997E-4</v>
      </c>
      <c r="D28" s="110">
        <v>2.9999999999999997E-4</v>
      </c>
      <c r="E28" s="408">
        <f>цены!F90</f>
        <v>5000</v>
      </c>
      <c r="F28" s="408">
        <f t="shared" si="3"/>
        <v>1.5</v>
      </c>
      <c r="G28" s="97">
        <f t="shared" si="4"/>
        <v>3.0000000000000001E-3</v>
      </c>
      <c r="H28" s="21">
        <f t="shared" si="5"/>
        <v>3.0000000000000001E-3</v>
      </c>
      <c r="I28" s="21">
        <f t="shared" si="6"/>
        <v>0.03</v>
      </c>
      <c r="J28" s="21">
        <f t="shared" si="7"/>
        <v>0.03</v>
      </c>
    </row>
    <row r="29" spans="1:10" s="10" customFormat="1" ht="12.6" customHeight="1" x14ac:dyDescent="0.25">
      <c r="A29" s="180">
        <v>11</v>
      </c>
      <c r="B29" s="1365" t="s">
        <v>1393</v>
      </c>
      <c r="C29" s="110">
        <v>1E-3</v>
      </c>
      <c r="D29" s="110">
        <v>1E-3</v>
      </c>
      <c r="E29" s="408">
        <f>цены!F131</f>
        <v>180</v>
      </c>
      <c r="F29" s="408">
        <f t="shared" si="3"/>
        <v>0.18</v>
      </c>
      <c r="G29" s="97">
        <f t="shared" si="4"/>
        <v>0.01</v>
      </c>
      <c r="H29" s="21">
        <f t="shared" si="5"/>
        <v>0.01</v>
      </c>
      <c r="I29" s="21">
        <f t="shared" si="6"/>
        <v>0.1</v>
      </c>
      <c r="J29" s="21">
        <f t="shared" si="7"/>
        <v>0.1</v>
      </c>
    </row>
    <row r="30" spans="1:10" s="10" customFormat="1" ht="12" customHeight="1" x14ac:dyDescent="0.25">
      <c r="A30" s="184"/>
      <c r="B30" s="93" t="s">
        <v>1394</v>
      </c>
      <c r="C30" s="112"/>
      <c r="D30" s="112">
        <v>65.05</v>
      </c>
      <c r="E30" s="95"/>
      <c r="F30" s="95">
        <f>SUM(F19:F29)</f>
        <v>10.09</v>
      </c>
      <c r="G30" s="99"/>
      <c r="H30" s="100">
        <f>D30*10</f>
        <v>650.5</v>
      </c>
      <c r="I30" s="100"/>
      <c r="J30" s="100">
        <f>D30*100</f>
        <v>6505</v>
      </c>
    </row>
    <row r="31" spans="1:10" s="10" customFormat="1" ht="12" customHeight="1" x14ac:dyDescent="0.25">
      <c r="A31" s="184"/>
      <c r="B31" s="93" t="s">
        <v>97</v>
      </c>
      <c r="C31" s="112"/>
      <c r="D31" s="112">
        <v>59</v>
      </c>
      <c r="E31" s="95"/>
      <c r="F31" s="95"/>
      <c r="G31" s="99"/>
      <c r="H31" s="100">
        <f>D31*10</f>
        <v>590</v>
      </c>
      <c r="I31" s="100"/>
      <c r="J31" s="100">
        <f>D31*100</f>
        <v>5900</v>
      </c>
    </row>
    <row r="32" spans="1:10" s="10" customFormat="1" ht="12" customHeight="1" x14ac:dyDescent="0.25">
      <c r="A32" s="98"/>
      <c r="B32" s="93" t="s">
        <v>100</v>
      </c>
      <c r="C32" s="112"/>
      <c r="D32" s="112">
        <v>50</v>
      </c>
      <c r="E32" s="95"/>
      <c r="F32" s="95">
        <f>F30</f>
        <v>10.09</v>
      </c>
      <c r="G32" s="99"/>
      <c r="H32" s="100">
        <f>D32*10</f>
        <v>500</v>
      </c>
      <c r="I32" s="100"/>
      <c r="J32" s="100">
        <f>D32*100</f>
        <v>5000</v>
      </c>
    </row>
    <row r="33" spans="1:10" s="10" customFormat="1" ht="27.6" customHeight="1" x14ac:dyDescent="0.25">
      <c r="A33" s="1536" t="s">
        <v>35</v>
      </c>
      <c r="B33" s="1536"/>
      <c r="C33" s="90"/>
      <c r="D33" s="90"/>
      <c r="E33" s="408"/>
      <c r="F33" s="408">
        <f>F32</f>
        <v>10.09</v>
      </c>
      <c r="G33" s="1352"/>
      <c r="H33" s="1352"/>
      <c r="I33" s="21"/>
      <c r="J33" s="408"/>
    </row>
    <row r="34" spans="1:10" s="10" customFormat="1" ht="25.35" customHeight="1" x14ac:dyDescent="0.25">
      <c r="A34" s="1536" t="s">
        <v>36</v>
      </c>
      <c r="B34" s="1536"/>
      <c r="C34" s="90">
        <v>50</v>
      </c>
      <c r="D34" s="90"/>
      <c r="E34" s="408"/>
      <c r="F34" s="408"/>
      <c r="G34" s="408"/>
      <c r="H34" s="408"/>
      <c r="I34" s="21"/>
      <c r="J34" s="17"/>
    </row>
    <row r="35" spans="1:10" s="10" customFormat="1" ht="25.35" customHeight="1" x14ac:dyDescent="0.25">
      <c r="A35" s="1537" t="s">
        <v>37</v>
      </c>
      <c r="B35" s="1538"/>
      <c r="C35" s="91">
        <v>50</v>
      </c>
      <c r="D35" s="92"/>
      <c r="E35" s="1350"/>
      <c r="F35" s="1350"/>
      <c r="G35" s="1350"/>
      <c r="H35" s="1350"/>
      <c r="I35" s="21"/>
      <c r="J35" s="17"/>
    </row>
    <row r="36" spans="1:10" s="10" customFormat="1" ht="15" customHeight="1" x14ac:dyDescent="0.25">
      <c r="A36" s="1539" t="s">
        <v>38</v>
      </c>
      <c r="B36" s="1540"/>
      <c r="C36" s="92">
        <f>C34/C35</f>
        <v>1</v>
      </c>
      <c r="D36" s="92"/>
      <c r="E36" s="1350"/>
      <c r="F36" s="1350"/>
      <c r="G36" s="1350"/>
      <c r="H36" s="1350"/>
      <c r="I36" s="21"/>
      <c r="J36" s="17"/>
    </row>
    <row r="37" spans="1:10" ht="16.350000000000001" customHeight="1" x14ac:dyDescent="0.25">
      <c r="A37" s="1541" t="s">
        <v>39</v>
      </c>
      <c r="B37" s="1542"/>
      <c r="C37" s="15" t="s">
        <v>40</v>
      </c>
      <c r="D37" s="102"/>
      <c r="E37" s="1366" t="s">
        <v>40</v>
      </c>
      <c r="F37" s="16">
        <f>F33/C36</f>
        <v>10.09</v>
      </c>
      <c r="G37" s="16"/>
      <c r="H37" s="16"/>
      <c r="I37" s="102" t="s">
        <v>40</v>
      </c>
      <c r="J37" s="102" t="s">
        <v>40</v>
      </c>
    </row>
    <row r="38" spans="1:10" ht="23.1" customHeight="1" x14ac:dyDescent="0.25"/>
    <row r="39" spans="1:10" ht="13.95" customHeight="1" x14ac:dyDescent="0.25">
      <c r="B39" s="1346" t="s">
        <v>49</v>
      </c>
      <c r="C39" s="1198"/>
      <c r="D39" s="1198"/>
      <c r="E39" s="1198"/>
      <c r="F39" s="1198"/>
      <c r="H39" s="1568">
        <f>'1-бутерброд с маслом'!$H$28</f>
        <v>0</v>
      </c>
      <c r="I39" s="1568"/>
      <c r="J39" s="1568"/>
    </row>
    <row r="41" spans="1:10" ht="13.95" customHeight="1" x14ac:dyDescent="0.25">
      <c r="A41" s="1545" t="s">
        <v>327</v>
      </c>
      <c r="B41" s="1545"/>
      <c r="C41" s="1546" t="s">
        <v>328</v>
      </c>
      <c r="D41" s="1546"/>
      <c r="E41" s="1546"/>
      <c r="F41" s="1546"/>
      <c r="G41" s="106"/>
      <c r="H41" s="1531"/>
      <c r="I41" s="1531"/>
      <c r="J41" s="1531"/>
    </row>
    <row r="42" spans="1:10" x14ac:dyDescent="0.25">
      <c r="C42" s="1546"/>
      <c r="D42" s="1546"/>
      <c r="E42" s="1546"/>
      <c r="F42" s="1546"/>
      <c r="H42" s="1531" t="s">
        <v>329</v>
      </c>
      <c r="I42" s="1531"/>
      <c r="J42" s="1531"/>
    </row>
  </sheetData>
  <mergeCells count="28">
    <mergeCell ref="A41:B41"/>
    <mergeCell ref="C41:F42"/>
    <mergeCell ref="H41:J41"/>
    <mergeCell ref="H42:J42"/>
    <mergeCell ref="A16:A17"/>
    <mergeCell ref="B16:B17"/>
    <mergeCell ref="C16:F16"/>
    <mergeCell ref="G16:H16"/>
    <mergeCell ref="I16:J16"/>
    <mergeCell ref="A33:B33"/>
    <mergeCell ref="A34:B34"/>
    <mergeCell ref="A35:B35"/>
    <mergeCell ref="A36:B36"/>
    <mergeCell ref="A37:B37"/>
    <mergeCell ref="H39:J39"/>
    <mergeCell ref="C14:G14"/>
    <mergeCell ref="I14:J14"/>
    <mergeCell ref="G1:J1"/>
    <mergeCell ref="G2:J2"/>
    <mergeCell ref="G3:J3"/>
    <mergeCell ref="A5:G5"/>
    <mergeCell ref="H5:I5"/>
    <mergeCell ref="A6:G6"/>
    <mergeCell ref="A7:I7"/>
    <mergeCell ref="A9:J9"/>
    <mergeCell ref="A11:J11"/>
    <mergeCell ref="A13:G13"/>
    <mergeCell ref="I13:J13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41"/>
  <sheetViews>
    <sheetView view="pageBreakPreview" zoomScaleNormal="100" zoomScaleSheetLayoutView="100" workbookViewId="0">
      <selection activeCell="H15" sqref="H15"/>
    </sheetView>
  </sheetViews>
  <sheetFormatPr defaultRowHeight="13.8" x14ac:dyDescent="0.25"/>
  <cols>
    <col min="1" max="1" width="4.109375" customWidth="1"/>
    <col min="2" max="2" width="23.44140625" customWidth="1"/>
    <col min="3" max="6" width="7.5546875" customWidth="1"/>
    <col min="7" max="7" width="7.109375" customWidth="1"/>
    <col min="8" max="8" width="7.44140625" customWidth="1"/>
    <col min="9" max="9" width="7.5546875" customWidth="1"/>
    <col min="10" max="10" width="8.44140625" customWidth="1"/>
    <col min="11" max="11" width="3.1093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311)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446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204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'440-булочка творожная'!H14+1</f>
        <v>311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/>
      <c r="B19" s="20" t="s">
        <v>45</v>
      </c>
      <c r="C19" s="21">
        <v>2.339</v>
      </c>
      <c r="D19" s="21">
        <v>2.339</v>
      </c>
      <c r="E19" s="13">
        <f>цены!F74</f>
        <v>36</v>
      </c>
      <c r="F19" s="13">
        <f>C19*E19</f>
        <v>84.2</v>
      </c>
      <c r="G19" s="97">
        <f t="shared" ref="G19:H28" si="0">C19*10</f>
        <v>23.39</v>
      </c>
      <c r="H19" s="21">
        <f t="shared" si="0"/>
        <v>23.39</v>
      </c>
      <c r="I19" s="21">
        <f t="shared" ref="I19:J28" si="1">C19*100</f>
        <v>233.9</v>
      </c>
      <c r="J19" s="21">
        <f t="shared" si="1"/>
        <v>233.9</v>
      </c>
    </row>
    <row r="20" spans="1:10" s="10" customFormat="1" ht="14.1" customHeight="1" x14ac:dyDescent="0.25">
      <c r="A20" s="180"/>
      <c r="B20" s="20" t="s">
        <v>134</v>
      </c>
      <c r="C20" s="21">
        <v>1.7549999999999999</v>
      </c>
      <c r="D20" s="21">
        <v>1.7549999999999999</v>
      </c>
      <c r="E20" s="13">
        <f>цены!F107</f>
        <v>76</v>
      </c>
      <c r="F20" s="13">
        <f t="shared" ref="F20:F27" si="2">C20*E20</f>
        <v>133.38</v>
      </c>
      <c r="G20" s="97">
        <f t="shared" si="0"/>
        <v>17.55</v>
      </c>
      <c r="H20" s="21">
        <f t="shared" si="0"/>
        <v>17.55</v>
      </c>
      <c r="I20" s="21">
        <f t="shared" si="1"/>
        <v>175.5</v>
      </c>
      <c r="J20" s="21">
        <f t="shared" si="1"/>
        <v>175.5</v>
      </c>
    </row>
    <row r="21" spans="1:10" s="10" customFormat="1" ht="12" customHeight="1" x14ac:dyDescent="0.25">
      <c r="A21" s="180"/>
      <c r="B21" s="20" t="s">
        <v>31</v>
      </c>
      <c r="C21" s="21">
        <v>1.754</v>
      </c>
      <c r="D21" s="21">
        <v>1.754</v>
      </c>
      <c r="E21" s="13">
        <f>цены!F21</f>
        <v>710</v>
      </c>
      <c r="F21" s="13">
        <f t="shared" si="2"/>
        <v>1245.3399999999999</v>
      </c>
      <c r="G21" s="97">
        <f t="shared" si="0"/>
        <v>17.54</v>
      </c>
      <c r="H21" s="21">
        <f t="shared" si="0"/>
        <v>17.54</v>
      </c>
      <c r="I21" s="21">
        <f t="shared" si="1"/>
        <v>175.4</v>
      </c>
      <c r="J21" s="21">
        <f t="shared" si="1"/>
        <v>175.4</v>
      </c>
    </row>
    <row r="22" spans="1:10" s="10" customFormat="1" ht="12" customHeight="1" x14ac:dyDescent="0.25">
      <c r="A22" s="180"/>
      <c r="B22" s="20" t="s">
        <v>163</v>
      </c>
      <c r="C22" s="21">
        <v>1.4039999999999999</v>
      </c>
      <c r="D22" s="21">
        <v>1.4039999999999999</v>
      </c>
      <c r="E22" s="13">
        <f>цены!F131</f>
        <v>180</v>
      </c>
      <c r="F22" s="13">
        <f t="shared" si="2"/>
        <v>252.72</v>
      </c>
      <c r="G22" s="97">
        <f t="shared" si="0"/>
        <v>14.04</v>
      </c>
      <c r="H22" s="21">
        <f t="shared" si="0"/>
        <v>14.04</v>
      </c>
      <c r="I22" s="21">
        <f t="shared" si="1"/>
        <v>140.4</v>
      </c>
      <c r="J22" s="21">
        <f t="shared" si="1"/>
        <v>140.4</v>
      </c>
    </row>
    <row r="23" spans="1:10" s="10" customFormat="1" ht="12.6" customHeight="1" x14ac:dyDescent="0.25">
      <c r="A23" s="180"/>
      <c r="B23" s="20" t="s">
        <v>33</v>
      </c>
      <c r="C23" s="111">
        <v>7.1000000000000004E-3</v>
      </c>
      <c r="D23" s="21">
        <v>7.1</v>
      </c>
      <c r="E23" s="13">
        <f>цены!F110</f>
        <v>24</v>
      </c>
      <c r="F23" s="13">
        <f t="shared" si="2"/>
        <v>0.17</v>
      </c>
      <c r="G23" s="97">
        <f t="shared" si="0"/>
        <v>7.0999999999999994E-2</v>
      </c>
      <c r="H23" s="21">
        <f t="shared" si="0"/>
        <v>71</v>
      </c>
      <c r="I23" s="21">
        <f t="shared" si="1"/>
        <v>0.71</v>
      </c>
      <c r="J23" s="21">
        <f t="shared" si="1"/>
        <v>710</v>
      </c>
    </row>
    <row r="24" spans="1:10" s="10" customFormat="1" ht="12" customHeight="1" x14ac:dyDescent="0.25">
      <c r="A24" s="180"/>
      <c r="B24" s="20" t="s">
        <v>200</v>
      </c>
      <c r="C24" s="21">
        <v>1.754</v>
      </c>
      <c r="D24" s="21">
        <v>1.754</v>
      </c>
      <c r="E24" s="13">
        <f>цены!F94</f>
        <v>400</v>
      </c>
      <c r="F24" s="13">
        <f t="shared" si="2"/>
        <v>701.6</v>
      </c>
      <c r="G24" s="97">
        <f t="shared" si="0"/>
        <v>17.54</v>
      </c>
      <c r="H24" s="21">
        <f t="shared" si="0"/>
        <v>17.54</v>
      </c>
      <c r="I24" s="21">
        <f t="shared" si="1"/>
        <v>175.4</v>
      </c>
      <c r="J24" s="21">
        <f t="shared" si="1"/>
        <v>175.4</v>
      </c>
    </row>
    <row r="25" spans="1:10" s="10" customFormat="1" ht="12" customHeight="1" x14ac:dyDescent="0.25">
      <c r="A25" s="180"/>
      <c r="B25" s="20" t="s">
        <v>201</v>
      </c>
      <c r="C25" s="21">
        <v>8.2000000000000003E-2</v>
      </c>
      <c r="D25" s="21">
        <v>8.2000000000000003E-2</v>
      </c>
      <c r="E25" s="13">
        <f>цены!F108</f>
        <v>140</v>
      </c>
      <c r="F25" s="13">
        <f t="shared" si="2"/>
        <v>11.48</v>
      </c>
      <c r="G25" s="97">
        <f t="shared" si="0"/>
        <v>0.82</v>
      </c>
      <c r="H25" s="21">
        <f t="shared" si="0"/>
        <v>0.82</v>
      </c>
      <c r="I25" s="21">
        <f t="shared" si="1"/>
        <v>8.1999999999999993</v>
      </c>
      <c r="J25" s="21">
        <f t="shared" si="1"/>
        <v>8.1999999999999993</v>
      </c>
    </row>
    <row r="26" spans="1:10" s="10" customFormat="1" ht="12" customHeight="1" x14ac:dyDescent="0.25">
      <c r="A26" s="180"/>
      <c r="B26" s="20" t="s">
        <v>56</v>
      </c>
      <c r="C26" s="111">
        <v>7.1000000000000004E-3</v>
      </c>
      <c r="D26" s="111">
        <v>7.1000000000000004E-3</v>
      </c>
      <c r="E26" s="13">
        <f>цены!F90</f>
        <v>5000</v>
      </c>
      <c r="F26" s="13">
        <f t="shared" si="2"/>
        <v>35.5</v>
      </c>
      <c r="G26" s="97">
        <f t="shared" si="0"/>
        <v>7.0999999999999994E-2</v>
      </c>
      <c r="H26" s="21">
        <f t="shared" si="0"/>
        <v>7.0999999999999994E-2</v>
      </c>
      <c r="I26" s="21">
        <f t="shared" si="1"/>
        <v>0.71</v>
      </c>
      <c r="J26" s="21">
        <f t="shared" si="1"/>
        <v>0.71</v>
      </c>
    </row>
    <row r="27" spans="1:10" s="10" customFormat="1" ht="23.1" customHeight="1" x14ac:dyDescent="0.25">
      <c r="A27" s="180"/>
      <c r="B27" s="20" t="s">
        <v>203</v>
      </c>
      <c r="C27" s="111">
        <v>7.1000000000000004E-3</v>
      </c>
      <c r="D27" s="111">
        <v>7.1000000000000004E-3</v>
      </c>
      <c r="E27" s="13">
        <f>цены!F116</f>
        <v>2000</v>
      </c>
      <c r="F27" s="13">
        <f t="shared" si="2"/>
        <v>14.2</v>
      </c>
      <c r="G27" s="97">
        <f t="shared" si="0"/>
        <v>7.0999999999999994E-2</v>
      </c>
      <c r="H27" s="21">
        <f t="shared" si="0"/>
        <v>7.0999999999999994E-2</v>
      </c>
      <c r="I27" s="21">
        <f t="shared" si="1"/>
        <v>0.71</v>
      </c>
      <c r="J27" s="21">
        <f t="shared" si="1"/>
        <v>0.71</v>
      </c>
    </row>
    <row r="28" spans="1:10" s="10" customFormat="1" ht="12" customHeight="1" x14ac:dyDescent="0.25">
      <c r="A28" s="180"/>
      <c r="B28" s="20" t="s">
        <v>202</v>
      </c>
      <c r="C28" s="111">
        <v>9.1092999999999993</v>
      </c>
      <c r="D28" s="111">
        <v>9.1092999999999993</v>
      </c>
      <c r="E28" s="13"/>
      <c r="F28" s="13"/>
      <c r="G28" s="97">
        <f t="shared" si="0"/>
        <v>91.093000000000004</v>
      </c>
      <c r="H28" s="21">
        <f t="shared" si="0"/>
        <v>91.093000000000004</v>
      </c>
      <c r="I28" s="21">
        <f t="shared" si="1"/>
        <v>910.93</v>
      </c>
      <c r="J28" s="21">
        <f t="shared" si="1"/>
        <v>910.93</v>
      </c>
    </row>
    <row r="29" spans="1:10" s="10" customFormat="1" ht="12" customHeight="1" x14ac:dyDescent="0.25">
      <c r="A29" s="98"/>
      <c r="B29" s="93" t="s">
        <v>100</v>
      </c>
      <c r="C29" s="112"/>
      <c r="D29" s="112">
        <v>7.5</v>
      </c>
      <c r="E29" s="95"/>
      <c r="F29" s="95">
        <f>SUM(F19:F28)</f>
        <v>2478.59</v>
      </c>
      <c r="G29" s="99"/>
      <c r="H29" s="100">
        <f>D29*10</f>
        <v>75</v>
      </c>
      <c r="I29" s="100"/>
      <c r="J29" s="100">
        <f>D29*100</f>
        <v>750</v>
      </c>
    </row>
    <row r="30" spans="1:10" s="10" customFormat="1" ht="27.6" customHeight="1" x14ac:dyDescent="0.25">
      <c r="A30" s="1536" t="s">
        <v>35</v>
      </c>
      <c r="B30" s="1536"/>
      <c r="C30" s="90"/>
      <c r="D30" s="90"/>
      <c r="E30" s="13"/>
      <c r="F30" s="13">
        <f>F29</f>
        <v>2478.59</v>
      </c>
      <c r="G30" s="14"/>
      <c r="H30" s="14"/>
      <c r="I30" s="21"/>
      <c r="J30" s="13"/>
    </row>
    <row r="31" spans="1:10" s="10" customFormat="1" ht="25.35" customHeight="1" x14ac:dyDescent="0.25">
      <c r="A31" s="1536" t="s">
        <v>36</v>
      </c>
      <c r="B31" s="1536"/>
      <c r="C31" s="90">
        <v>7500</v>
      </c>
      <c r="D31" s="90"/>
      <c r="E31" s="13"/>
      <c r="F31" s="13"/>
      <c r="G31" s="13"/>
      <c r="H31" s="13"/>
      <c r="I31" s="21"/>
      <c r="J31" s="17"/>
    </row>
    <row r="32" spans="1:10" s="10" customFormat="1" ht="25.35" customHeight="1" x14ac:dyDescent="0.25">
      <c r="A32" s="1537" t="s">
        <v>37</v>
      </c>
      <c r="B32" s="1538"/>
      <c r="C32" s="91">
        <v>75</v>
      </c>
      <c r="D32" s="92"/>
      <c r="E32" s="5"/>
      <c r="F32" s="5"/>
      <c r="G32" s="5"/>
      <c r="H32" s="5"/>
      <c r="I32" s="21"/>
      <c r="J32" s="17"/>
    </row>
    <row r="33" spans="1:10" s="10" customFormat="1" ht="15" customHeight="1" x14ac:dyDescent="0.25">
      <c r="A33" s="1539" t="s">
        <v>38</v>
      </c>
      <c r="B33" s="1540"/>
      <c r="C33" s="92">
        <f>C31/C32</f>
        <v>100</v>
      </c>
      <c r="D33" s="92"/>
      <c r="E33" s="5"/>
      <c r="F33" s="5"/>
      <c r="G33" s="5"/>
      <c r="H33" s="5"/>
      <c r="I33" s="21"/>
      <c r="J33" s="17"/>
    </row>
    <row r="34" spans="1:10" ht="16.350000000000001" customHeight="1" x14ac:dyDescent="0.25">
      <c r="A34" s="1541" t="s">
        <v>39</v>
      </c>
      <c r="B34" s="1542"/>
      <c r="C34" s="15" t="s">
        <v>40</v>
      </c>
      <c r="D34" s="102"/>
      <c r="E34" s="102" t="s">
        <v>40</v>
      </c>
      <c r="F34" s="16">
        <f>F30/C33</f>
        <v>24.79</v>
      </c>
      <c r="G34" s="16"/>
      <c r="H34" s="16"/>
      <c r="I34" s="102" t="s">
        <v>40</v>
      </c>
      <c r="J34" s="102" t="s">
        <v>40</v>
      </c>
    </row>
    <row r="35" spans="1:10" ht="23.1" customHeight="1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193"/>
      <c r="B36" s="1194" t="s">
        <v>49</v>
      </c>
      <c r="C36" s="1198"/>
      <c r="D36" s="1198"/>
      <c r="E36" s="1198"/>
      <c r="F36" s="1198"/>
      <c r="G36" s="1193"/>
      <c r="H36" s="1557">
        <f>'1-бутерброд с маслом'!$H$28</f>
        <v>0</v>
      </c>
      <c r="I36" s="1557"/>
      <c r="J36" s="1557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545" t="s">
        <v>327</v>
      </c>
      <c r="B38" s="1545"/>
      <c r="C38" s="1546" t="s">
        <v>328</v>
      </c>
      <c r="D38" s="1546"/>
      <c r="E38" s="1546"/>
      <c r="F38" s="1546"/>
      <c r="G38" s="106"/>
      <c r="H38" s="1531"/>
      <c r="I38" s="1531"/>
      <c r="J38" s="1531"/>
    </row>
    <row r="39" spans="1:10" x14ac:dyDescent="0.25">
      <c r="A39" s="1193"/>
      <c r="B39" s="1193"/>
      <c r="C39" s="1546"/>
      <c r="D39" s="1546"/>
      <c r="E39" s="1546"/>
      <c r="F39" s="1546"/>
      <c r="G39" s="1193"/>
      <c r="H39" s="1531" t="s">
        <v>329</v>
      </c>
      <c r="I39" s="1531"/>
      <c r="J39" s="1531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</sheetData>
  <mergeCells count="28">
    <mergeCell ref="A31:B31"/>
    <mergeCell ref="A13:G13"/>
    <mergeCell ref="A32:B32"/>
    <mergeCell ref="A33:B33"/>
    <mergeCell ref="A34:B34"/>
    <mergeCell ref="A16:A17"/>
    <mergeCell ref="B16:B17"/>
    <mergeCell ref="A30:B30"/>
    <mergeCell ref="A6:G6"/>
    <mergeCell ref="A7:I7"/>
    <mergeCell ref="C16:F16"/>
    <mergeCell ref="G16:H16"/>
    <mergeCell ref="I16:J16"/>
    <mergeCell ref="A9:J9"/>
    <mergeCell ref="A11:J11"/>
    <mergeCell ref="I13:J13"/>
    <mergeCell ref="C14:G14"/>
    <mergeCell ref="I14:J14"/>
    <mergeCell ref="G1:J1"/>
    <mergeCell ref="G2:J2"/>
    <mergeCell ref="G3:J3"/>
    <mergeCell ref="A5:G5"/>
    <mergeCell ref="H5:I5"/>
    <mergeCell ref="A38:B38"/>
    <mergeCell ref="C38:F39"/>
    <mergeCell ref="H38:J38"/>
    <mergeCell ref="H39:J39"/>
    <mergeCell ref="H36:J36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42"/>
  <sheetViews>
    <sheetView view="pageBreakPreview" zoomScaleNormal="100" zoomScaleSheetLayoutView="100" workbookViewId="0">
      <selection activeCell="A11" sqref="A11:J11"/>
    </sheetView>
  </sheetViews>
  <sheetFormatPr defaultColWidth="8.88671875" defaultRowHeight="13.8" x14ac:dyDescent="0.25"/>
  <cols>
    <col min="1" max="1" width="4.109375" style="497" customWidth="1"/>
    <col min="2" max="2" width="23.44140625" style="497" customWidth="1"/>
    <col min="3" max="6" width="7.5546875" style="497" customWidth="1"/>
    <col min="7" max="7" width="7.109375" style="497" customWidth="1"/>
    <col min="8" max="8" width="7.44140625" style="497" customWidth="1"/>
    <col min="9" max="9" width="7.5546875" style="497" customWidth="1"/>
    <col min="10" max="10" width="8.44140625" style="497" customWidth="1"/>
    <col min="11" max="11" width="3.109375" style="497" customWidth="1"/>
    <col min="12" max="16384" width="8.88671875" style="497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312)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456</v>
      </c>
    </row>
    <row r="8" spans="1:10" s="2" customFormat="1" ht="9.6" customHeight="1" x14ac:dyDescent="0.25">
      <c r="A8" s="501"/>
      <c r="B8" s="501"/>
      <c r="C8" s="501"/>
      <c r="D8" s="501"/>
      <c r="E8" s="501"/>
      <c r="F8" s="501"/>
      <c r="G8" s="501"/>
      <c r="H8" s="501"/>
      <c r="I8" s="501"/>
      <c r="J8" s="109"/>
    </row>
    <row r="9" spans="1:10" s="2" customFormat="1" ht="26.1" customHeight="1" x14ac:dyDescent="0.3">
      <c r="A9" s="1550" t="s">
        <v>775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'446-кекс'!H14+1</f>
        <v>312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498" t="s">
        <v>92</v>
      </c>
      <c r="D17" s="498" t="s">
        <v>94</v>
      </c>
      <c r="E17" s="498" t="s">
        <v>93</v>
      </c>
      <c r="F17" s="498" t="s">
        <v>23</v>
      </c>
      <c r="G17" s="498" t="s">
        <v>92</v>
      </c>
      <c r="H17" s="498" t="s">
        <v>94</v>
      </c>
      <c r="I17" s="498" t="s">
        <v>92</v>
      </c>
      <c r="J17" s="498" t="s">
        <v>94</v>
      </c>
    </row>
    <row r="18" spans="1:10" ht="9.6" customHeight="1" x14ac:dyDescent="0.25">
      <c r="A18" s="498">
        <v>1</v>
      </c>
      <c r="B18" s="500">
        <v>2</v>
      </c>
      <c r="C18" s="498">
        <v>3</v>
      </c>
      <c r="D18" s="500">
        <v>4</v>
      </c>
      <c r="E18" s="498">
        <v>5</v>
      </c>
      <c r="F18" s="500">
        <v>6</v>
      </c>
      <c r="G18" s="498">
        <v>7</v>
      </c>
      <c r="H18" s="500">
        <v>8</v>
      </c>
      <c r="I18" s="498">
        <v>9</v>
      </c>
      <c r="J18" s="500">
        <v>10</v>
      </c>
    </row>
    <row r="19" spans="1:10" s="10" customFormat="1" ht="14.1" customHeight="1" x14ac:dyDescent="0.25">
      <c r="A19" s="180">
        <v>1</v>
      </c>
      <c r="B19" s="20" t="s">
        <v>45</v>
      </c>
      <c r="C19" s="21">
        <f>4</f>
        <v>4</v>
      </c>
      <c r="D19" s="21">
        <f>C19</f>
        <v>4</v>
      </c>
      <c r="E19" s="408">
        <f>цены!F74</f>
        <v>36</v>
      </c>
      <c r="F19" s="408">
        <f>C19*E19</f>
        <v>144</v>
      </c>
      <c r="G19" s="97">
        <f>C19*10</f>
        <v>40</v>
      </c>
      <c r="H19" s="21">
        <f>D19*10</f>
        <v>40</v>
      </c>
      <c r="I19" s="21">
        <f>C19*100</f>
        <v>400</v>
      </c>
      <c r="J19" s="21">
        <f>D19*100</f>
        <v>400</v>
      </c>
    </row>
    <row r="20" spans="1:10" s="10" customFormat="1" ht="14.1" customHeight="1" x14ac:dyDescent="0.25">
      <c r="A20" s="180">
        <v>2</v>
      </c>
      <c r="B20" s="20" t="s">
        <v>550</v>
      </c>
      <c r="C20" s="21">
        <f>0.23</f>
        <v>0.23</v>
      </c>
      <c r="D20" s="21">
        <f t="shared" ref="D20:D28" si="0">C20</f>
        <v>0.23</v>
      </c>
      <c r="E20" s="408">
        <f>цены!F74</f>
        <v>36</v>
      </c>
      <c r="F20" s="408">
        <f t="shared" ref="F20:F28" si="1">C20*E20</f>
        <v>8.2799999999999994</v>
      </c>
      <c r="G20" s="97">
        <f t="shared" ref="G20:G28" si="2">C20*10</f>
        <v>2.2999999999999998</v>
      </c>
      <c r="H20" s="21">
        <f t="shared" ref="H20:H28" si="3">D20*10</f>
        <v>2.2999999999999998</v>
      </c>
      <c r="I20" s="21">
        <f t="shared" ref="I20:I28" si="4">C20*100</f>
        <v>23</v>
      </c>
      <c r="J20" s="21">
        <f t="shared" ref="J20:J28" si="5">D20*100</f>
        <v>23</v>
      </c>
    </row>
    <row r="21" spans="1:10" s="10" customFormat="1" ht="14.1" customHeight="1" x14ac:dyDescent="0.25">
      <c r="A21" s="180">
        <v>3</v>
      </c>
      <c r="B21" s="20" t="s">
        <v>134</v>
      </c>
      <c r="C21" s="21">
        <f>2.115</f>
        <v>2.1150000000000002</v>
      </c>
      <c r="D21" s="21">
        <f t="shared" si="0"/>
        <v>2.1150000000000002</v>
      </c>
      <c r="E21" s="408">
        <f>цены!F107</f>
        <v>76</v>
      </c>
      <c r="F21" s="408">
        <f t="shared" si="1"/>
        <v>160.74</v>
      </c>
      <c r="G21" s="97">
        <f t="shared" si="2"/>
        <v>21.15</v>
      </c>
      <c r="H21" s="21">
        <f t="shared" si="3"/>
        <v>21.15</v>
      </c>
      <c r="I21" s="21">
        <f t="shared" si="4"/>
        <v>211.5</v>
      </c>
      <c r="J21" s="21">
        <f t="shared" si="5"/>
        <v>211.5</v>
      </c>
    </row>
    <row r="22" spans="1:10" s="10" customFormat="1" ht="14.1" customHeight="1" x14ac:dyDescent="0.25">
      <c r="A22" s="180">
        <v>4</v>
      </c>
      <c r="B22" s="20" t="s">
        <v>476</v>
      </c>
      <c r="C22" s="21">
        <v>0.96</v>
      </c>
      <c r="D22" s="21">
        <f t="shared" si="0"/>
        <v>0.96</v>
      </c>
      <c r="E22" s="408">
        <f>цены!F86</f>
        <v>198</v>
      </c>
      <c r="F22" s="408">
        <f t="shared" si="1"/>
        <v>190.08</v>
      </c>
      <c r="G22" s="97">
        <f t="shared" si="2"/>
        <v>9.6</v>
      </c>
      <c r="H22" s="21">
        <f t="shared" si="3"/>
        <v>9.6</v>
      </c>
      <c r="I22" s="21">
        <f t="shared" si="4"/>
        <v>96</v>
      </c>
      <c r="J22" s="21">
        <f t="shared" si="5"/>
        <v>96</v>
      </c>
    </row>
    <row r="23" spans="1:10" s="10" customFormat="1" ht="14.1" customHeight="1" x14ac:dyDescent="0.25">
      <c r="A23" s="180">
        <v>5</v>
      </c>
      <c r="B23" s="20" t="s">
        <v>163</v>
      </c>
      <c r="C23" s="21">
        <v>0.21</v>
      </c>
      <c r="D23" s="21">
        <f t="shared" si="0"/>
        <v>0.21</v>
      </c>
      <c r="E23" s="408">
        <f>цены!F131</f>
        <v>180</v>
      </c>
      <c r="F23" s="408">
        <f t="shared" si="1"/>
        <v>37.799999999999997</v>
      </c>
      <c r="G23" s="97">
        <f t="shared" si="2"/>
        <v>2.1</v>
      </c>
      <c r="H23" s="21">
        <f t="shared" si="3"/>
        <v>2.1</v>
      </c>
      <c r="I23" s="21">
        <f t="shared" si="4"/>
        <v>21</v>
      </c>
      <c r="J23" s="21">
        <f t="shared" si="5"/>
        <v>21</v>
      </c>
    </row>
    <row r="24" spans="1:10" s="10" customFormat="1" ht="14.1" customHeight="1" x14ac:dyDescent="0.25">
      <c r="A24" s="180">
        <v>6</v>
      </c>
      <c r="B24" s="20" t="s">
        <v>477</v>
      </c>
      <c r="C24" s="21">
        <v>8.9999999999999993E-3</v>
      </c>
      <c r="D24" s="21">
        <v>8.9999999999999993E-3</v>
      </c>
      <c r="E24" s="408">
        <f>цены!F131</f>
        <v>180</v>
      </c>
      <c r="F24" s="408">
        <f t="shared" si="1"/>
        <v>1.62</v>
      </c>
      <c r="G24" s="97">
        <f t="shared" si="2"/>
        <v>0.09</v>
      </c>
      <c r="H24" s="21">
        <f t="shared" si="3"/>
        <v>0.09</v>
      </c>
      <c r="I24" s="21">
        <f t="shared" si="4"/>
        <v>0.9</v>
      </c>
      <c r="J24" s="21">
        <f t="shared" si="5"/>
        <v>0.9</v>
      </c>
    </row>
    <row r="25" spans="1:10" s="10" customFormat="1" ht="14.1" customHeight="1" x14ac:dyDescent="0.25">
      <c r="A25" s="180">
        <v>7</v>
      </c>
      <c r="B25" s="20" t="s">
        <v>34</v>
      </c>
      <c r="C25" s="21">
        <v>0.755</v>
      </c>
      <c r="D25" s="21">
        <f t="shared" si="0"/>
        <v>0.755</v>
      </c>
      <c r="E25" s="408">
        <f>цены!F20</f>
        <v>80</v>
      </c>
      <c r="F25" s="408">
        <f t="shared" si="1"/>
        <v>60.4</v>
      </c>
      <c r="G25" s="97">
        <f t="shared" si="2"/>
        <v>7.55</v>
      </c>
      <c r="H25" s="21">
        <f t="shared" si="3"/>
        <v>7.55</v>
      </c>
      <c r="I25" s="21">
        <f t="shared" si="4"/>
        <v>75.5</v>
      </c>
      <c r="J25" s="21">
        <f t="shared" si="5"/>
        <v>75.5</v>
      </c>
    </row>
    <row r="26" spans="1:10" s="10" customFormat="1" ht="12" customHeight="1" x14ac:dyDescent="0.25">
      <c r="A26" s="180">
        <v>8</v>
      </c>
      <c r="B26" s="20" t="s">
        <v>776</v>
      </c>
      <c r="C26" s="502">
        <v>1.9099999999999999E-2</v>
      </c>
      <c r="D26" s="125">
        <f t="shared" si="0"/>
        <v>1.9099999999999999E-2</v>
      </c>
      <c r="E26" s="408">
        <f>цены!F92</f>
        <v>40</v>
      </c>
      <c r="F26" s="408">
        <f t="shared" si="1"/>
        <v>0.76</v>
      </c>
      <c r="G26" s="97">
        <f t="shared" si="2"/>
        <v>0.191</v>
      </c>
      <c r="H26" s="21">
        <f t="shared" si="3"/>
        <v>0.191</v>
      </c>
      <c r="I26" s="21">
        <f t="shared" si="4"/>
        <v>1.91</v>
      </c>
      <c r="J26" s="21">
        <f t="shared" si="5"/>
        <v>1.91</v>
      </c>
    </row>
    <row r="27" spans="1:10" s="10" customFormat="1" ht="24.6" customHeight="1" x14ac:dyDescent="0.25">
      <c r="A27" s="180">
        <v>9</v>
      </c>
      <c r="B27" s="20" t="s">
        <v>203</v>
      </c>
      <c r="C27" s="502">
        <v>3.8100000000000002E-2</v>
      </c>
      <c r="D27" s="125">
        <f t="shared" si="0"/>
        <v>3.8100000000000002E-2</v>
      </c>
      <c r="E27" s="408">
        <f>цены!F116</f>
        <v>2000</v>
      </c>
      <c r="F27" s="408">
        <f t="shared" si="1"/>
        <v>76.2</v>
      </c>
      <c r="G27" s="97">
        <f t="shared" si="2"/>
        <v>0.38100000000000001</v>
      </c>
      <c r="H27" s="21">
        <f t="shared" si="3"/>
        <v>0.38100000000000001</v>
      </c>
      <c r="I27" s="21">
        <f t="shared" si="4"/>
        <v>3.81</v>
      </c>
      <c r="J27" s="21">
        <f t="shared" si="5"/>
        <v>3.81</v>
      </c>
    </row>
    <row r="28" spans="1:10" s="10" customFormat="1" ht="12.6" customHeight="1" x14ac:dyDescent="0.25">
      <c r="A28" s="180">
        <v>10</v>
      </c>
      <c r="B28" s="20" t="s">
        <v>56</v>
      </c>
      <c r="C28" s="502">
        <v>1.9E-3</v>
      </c>
      <c r="D28" s="125">
        <f t="shared" si="0"/>
        <v>1.9E-3</v>
      </c>
      <c r="E28" s="408">
        <f>цены!F90</f>
        <v>5000</v>
      </c>
      <c r="F28" s="408">
        <f t="shared" si="1"/>
        <v>9.5</v>
      </c>
      <c r="G28" s="97">
        <f t="shared" si="2"/>
        <v>1.9E-2</v>
      </c>
      <c r="H28" s="21">
        <f t="shared" si="3"/>
        <v>1.9E-2</v>
      </c>
      <c r="I28" s="21">
        <f t="shared" si="4"/>
        <v>0.19</v>
      </c>
      <c r="J28" s="21">
        <f t="shared" si="5"/>
        <v>0.19</v>
      </c>
    </row>
    <row r="29" spans="1:10" s="10" customFormat="1" ht="12" customHeight="1" x14ac:dyDescent="0.25">
      <c r="A29" s="98"/>
      <c r="B29" s="93" t="s">
        <v>97</v>
      </c>
      <c r="C29" s="112"/>
      <c r="D29" s="112">
        <v>8.1999999999999993</v>
      </c>
      <c r="E29" s="95"/>
      <c r="F29" s="95"/>
      <c r="G29" s="99"/>
      <c r="H29" s="100">
        <f>D29*10</f>
        <v>82</v>
      </c>
      <c r="I29" s="100"/>
      <c r="J29" s="100">
        <f>D29*100</f>
        <v>820</v>
      </c>
    </row>
    <row r="30" spans="1:10" s="10" customFormat="1" ht="12" customHeight="1" x14ac:dyDescent="0.25">
      <c r="A30" s="98"/>
      <c r="B30" s="93" t="s">
        <v>100</v>
      </c>
      <c r="C30" s="112"/>
      <c r="D30" s="112">
        <v>7.5</v>
      </c>
      <c r="E30" s="95"/>
      <c r="F30" s="95">
        <f>SUM(F19:F28)</f>
        <v>689.38</v>
      </c>
      <c r="G30" s="99"/>
      <c r="H30" s="100">
        <f>D30*10</f>
        <v>75</v>
      </c>
      <c r="I30" s="100"/>
      <c r="J30" s="100">
        <f>D30*100</f>
        <v>750</v>
      </c>
    </row>
    <row r="31" spans="1:10" s="10" customFormat="1" ht="16.95" customHeight="1" x14ac:dyDescent="0.25">
      <c r="A31" s="1536" t="s">
        <v>35</v>
      </c>
      <c r="B31" s="1536"/>
      <c r="C31" s="90"/>
      <c r="D31" s="90"/>
      <c r="E31" s="408"/>
      <c r="F31" s="408">
        <f>F30</f>
        <v>689.38</v>
      </c>
      <c r="G31" s="499"/>
      <c r="H31" s="499"/>
      <c r="I31" s="21"/>
      <c r="J31" s="408"/>
    </row>
    <row r="32" spans="1:10" s="10" customFormat="1" ht="16.2" customHeight="1" x14ac:dyDescent="0.25">
      <c r="A32" s="1536" t="s">
        <v>36</v>
      </c>
      <c r="B32" s="1536"/>
      <c r="C32" s="90">
        <v>7500</v>
      </c>
      <c r="D32" s="90"/>
      <c r="E32" s="408"/>
      <c r="F32" s="408"/>
      <c r="G32" s="408"/>
      <c r="H32" s="408"/>
      <c r="I32" s="21"/>
      <c r="J32" s="17"/>
    </row>
    <row r="33" spans="1:10" s="10" customFormat="1" ht="25.35" customHeight="1" x14ac:dyDescent="0.25">
      <c r="A33" s="1537" t="s">
        <v>37</v>
      </c>
      <c r="B33" s="1538"/>
      <c r="C33" s="91">
        <v>75</v>
      </c>
      <c r="D33" s="92"/>
      <c r="E33" s="500"/>
      <c r="F33" s="500"/>
      <c r="G33" s="500"/>
      <c r="H33" s="500"/>
      <c r="I33" s="21"/>
      <c r="J33" s="17"/>
    </row>
    <row r="34" spans="1:10" s="10" customFormat="1" ht="15" customHeight="1" x14ac:dyDescent="0.25">
      <c r="A34" s="1539" t="s">
        <v>38</v>
      </c>
      <c r="B34" s="1540"/>
      <c r="C34" s="92">
        <f>C32/C33</f>
        <v>100</v>
      </c>
      <c r="D34" s="92"/>
      <c r="E34" s="500"/>
      <c r="F34" s="500"/>
      <c r="G34" s="500"/>
      <c r="H34" s="500"/>
      <c r="I34" s="21"/>
      <c r="J34" s="17"/>
    </row>
    <row r="35" spans="1:10" ht="16.350000000000001" customHeight="1" x14ac:dyDescent="0.25">
      <c r="A35" s="1541" t="s">
        <v>39</v>
      </c>
      <c r="B35" s="1542"/>
      <c r="C35" s="15" t="s">
        <v>40</v>
      </c>
      <c r="D35" s="102"/>
      <c r="E35" s="102" t="s">
        <v>40</v>
      </c>
      <c r="F35" s="16">
        <f>F31/C34</f>
        <v>6.89</v>
      </c>
      <c r="G35" s="16"/>
      <c r="H35" s="16"/>
      <c r="I35" s="102" t="s">
        <v>40</v>
      </c>
      <c r="J35" s="102" t="s">
        <v>40</v>
      </c>
    </row>
    <row r="36" spans="1:10" ht="23.1" customHeight="1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193"/>
      <c r="B37" s="1194" t="s">
        <v>49</v>
      </c>
      <c r="C37" s="1198"/>
      <c r="D37" s="1198"/>
      <c r="E37" s="1198"/>
      <c r="F37" s="1198"/>
      <c r="G37" s="1193"/>
      <c r="H37" s="1557">
        <f>'1-бутерброд с маслом'!$H$28</f>
        <v>0</v>
      </c>
      <c r="I37" s="1557"/>
      <c r="J37" s="1557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545" t="s">
        <v>327</v>
      </c>
      <c r="B39" s="1545"/>
      <c r="C39" s="1546" t="s">
        <v>328</v>
      </c>
      <c r="D39" s="1546"/>
      <c r="E39" s="1546"/>
      <c r="F39" s="1546"/>
      <c r="G39" s="106"/>
      <c r="H39" s="1531"/>
      <c r="I39" s="1531"/>
      <c r="J39" s="1531"/>
    </row>
    <row r="40" spans="1:10" x14ac:dyDescent="0.25">
      <c r="A40" s="1193"/>
      <c r="B40" s="1193"/>
      <c r="C40" s="1546"/>
      <c r="D40" s="1546"/>
      <c r="E40" s="1546"/>
      <c r="F40" s="1546"/>
      <c r="G40" s="1193"/>
      <c r="H40" s="1531" t="s">
        <v>329</v>
      </c>
      <c r="I40" s="1531"/>
      <c r="J40" s="1531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</sheetData>
  <mergeCells count="28">
    <mergeCell ref="H37:J37"/>
    <mergeCell ref="A13:G13"/>
    <mergeCell ref="A32:B32"/>
    <mergeCell ref="A33:B33"/>
    <mergeCell ref="A34:B34"/>
    <mergeCell ref="A35:B35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9:B39"/>
    <mergeCell ref="C39:F40"/>
    <mergeCell ref="H39:J39"/>
    <mergeCell ref="H40:J40"/>
    <mergeCell ref="H5:I5"/>
    <mergeCell ref="A6:G6"/>
    <mergeCell ref="A7:I7"/>
    <mergeCell ref="A31:B31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5"/>
  <sheetViews>
    <sheetView view="pageBreakPreview" zoomScaleNormal="100" zoomScaleSheetLayoutView="100" workbookViewId="0">
      <selection activeCell="A11" sqref="A11:J11"/>
    </sheetView>
  </sheetViews>
  <sheetFormatPr defaultRowHeight="13.8" x14ac:dyDescent="0.25"/>
  <cols>
    <col min="1" max="1" width="4.109375" customWidth="1"/>
    <col min="2" max="2" width="21.55468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441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313)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457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177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'456-корж'!H14+1</f>
        <v>313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/>
      <c r="B19" s="20" t="s">
        <v>54</v>
      </c>
      <c r="C19" s="21">
        <v>1.7090000000000001</v>
      </c>
      <c r="D19" s="21">
        <v>1.258</v>
      </c>
      <c r="E19" s="13">
        <f>цены!F7</f>
        <v>560</v>
      </c>
      <c r="F19" s="13">
        <f>C19*E19</f>
        <v>957.04</v>
      </c>
      <c r="G19" s="97">
        <f t="shared" ref="G19:H21" si="0">C19*10</f>
        <v>17.09</v>
      </c>
      <c r="H19" s="21">
        <f t="shared" si="0"/>
        <v>12.58</v>
      </c>
      <c r="I19" s="21">
        <f t="shared" ref="I19:J21" si="1">C19*100</f>
        <v>170.9</v>
      </c>
      <c r="J19" s="21">
        <f t="shared" si="1"/>
        <v>125.8</v>
      </c>
    </row>
    <row r="20" spans="1:10" s="10" customFormat="1" ht="14.1" customHeight="1" x14ac:dyDescent="0.25">
      <c r="A20" s="180"/>
      <c r="B20" s="20" t="s">
        <v>74</v>
      </c>
      <c r="C20" s="21">
        <v>0.04</v>
      </c>
      <c r="D20" s="21">
        <v>0.04</v>
      </c>
      <c r="E20" s="13">
        <f>цены!F87</f>
        <v>120</v>
      </c>
      <c r="F20" s="13">
        <f>C20*E20</f>
        <v>4.8</v>
      </c>
      <c r="G20" s="97">
        <f t="shared" si="0"/>
        <v>0.4</v>
      </c>
      <c r="H20" s="21">
        <f t="shared" si="0"/>
        <v>0.4</v>
      </c>
      <c r="I20" s="21">
        <f t="shared" si="1"/>
        <v>4</v>
      </c>
      <c r="J20" s="21">
        <f t="shared" si="1"/>
        <v>4</v>
      </c>
    </row>
    <row r="21" spans="1:10" s="10" customFormat="1" ht="14.1" customHeight="1" x14ac:dyDescent="0.25">
      <c r="A21" s="180"/>
      <c r="B21" s="20" t="s">
        <v>48</v>
      </c>
      <c r="C21" s="21">
        <v>0.11899999999999999</v>
      </c>
      <c r="D21" s="21">
        <v>0.1</v>
      </c>
      <c r="E21" s="13">
        <f>цены!F38</f>
        <v>50</v>
      </c>
      <c r="F21" s="13">
        <f>C21*E21</f>
        <v>5.95</v>
      </c>
      <c r="G21" s="97">
        <f t="shared" si="0"/>
        <v>1.19</v>
      </c>
      <c r="H21" s="21">
        <f t="shared" si="0"/>
        <v>1</v>
      </c>
      <c r="I21" s="21">
        <f t="shared" si="1"/>
        <v>11.9</v>
      </c>
      <c r="J21" s="21">
        <f t="shared" si="1"/>
        <v>10</v>
      </c>
    </row>
    <row r="22" spans="1:10" s="10" customFormat="1" ht="14.1" customHeight="1" x14ac:dyDescent="0.25">
      <c r="A22" s="184"/>
      <c r="B22" s="93" t="s">
        <v>178</v>
      </c>
      <c r="C22" s="100"/>
      <c r="D22" s="100">
        <v>0.05</v>
      </c>
      <c r="E22" s="95"/>
      <c r="F22" s="95">
        <f>SUM(F19:F21)</f>
        <v>967.79</v>
      </c>
      <c r="G22" s="99"/>
      <c r="H22" s="100">
        <f>D22*10</f>
        <v>0.5</v>
      </c>
      <c r="I22" s="100"/>
      <c r="J22" s="100">
        <f>D22*100</f>
        <v>5</v>
      </c>
    </row>
    <row r="23" spans="1:10" s="10" customFormat="1" ht="12" customHeight="1" x14ac:dyDescent="0.25">
      <c r="A23" s="180"/>
      <c r="B23" s="20" t="s">
        <v>45</v>
      </c>
      <c r="C23" s="21">
        <v>0.01</v>
      </c>
      <c r="D23" s="21">
        <v>0.01</v>
      </c>
      <c r="E23" s="13">
        <f>цены!F74</f>
        <v>36</v>
      </c>
      <c r="F23" s="13">
        <f>C23*E23</f>
        <v>0.36</v>
      </c>
      <c r="G23" s="97">
        <f>C23*10</f>
        <v>0.1</v>
      </c>
      <c r="H23" s="21">
        <f>D23*10</f>
        <v>0.1</v>
      </c>
      <c r="I23" s="21">
        <f>C23*100</f>
        <v>1</v>
      </c>
      <c r="J23" s="21">
        <f>D23*100</f>
        <v>1</v>
      </c>
    </row>
    <row r="24" spans="1:10" s="10" customFormat="1" ht="12" customHeight="1" x14ac:dyDescent="0.25">
      <c r="A24" s="180"/>
      <c r="B24" s="20" t="s">
        <v>33</v>
      </c>
      <c r="C24" s="21">
        <v>0.01</v>
      </c>
      <c r="D24" s="21">
        <v>0.01</v>
      </c>
      <c r="E24" s="13">
        <f>цены!F110</f>
        <v>24</v>
      </c>
      <c r="F24" s="13">
        <f>C24*E24</f>
        <v>0.24</v>
      </c>
      <c r="G24" s="97">
        <f>C24*10</f>
        <v>0.1</v>
      </c>
      <c r="H24" s="21">
        <f>D24*10</f>
        <v>0.1</v>
      </c>
      <c r="I24" s="21">
        <f>C24*100</f>
        <v>1</v>
      </c>
      <c r="J24" s="21">
        <f>D24*100</f>
        <v>1</v>
      </c>
    </row>
    <row r="25" spans="1:10" s="10" customFormat="1" ht="12" customHeight="1" x14ac:dyDescent="0.25">
      <c r="A25" s="184"/>
      <c r="B25" s="93" t="s">
        <v>100</v>
      </c>
      <c r="C25" s="100"/>
      <c r="D25" s="100">
        <v>1</v>
      </c>
      <c r="E25" s="95"/>
      <c r="F25" s="95">
        <f>F22+F23+F24</f>
        <v>968.39</v>
      </c>
      <c r="G25" s="99"/>
      <c r="H25" s="100">
        <f>D25*10</f>
        <v>10</v>
      </c>
      <c r="I25" s="100"/>
      <c r="J25" s="100">
        <f>D25*100</f>
        <v>100</v>
      </c>
    </row>
    <row r="26" spans="1:10" s="10" customFormat="1" ht="27.6" customHeight="1" x14ac:dyDescent="0.25">
      <c r="A26" s="1536" t="s">
        <v>35</v>
      </c>
      <c r="B26" s="1536"/>
      <c r="C26" s="90"/>
      <c r="D26" s="90"/>
      <c r="E26" s="13"/>
      <c r="F26" s="13">
        <f>F25</f>
        <v>968.39</v>
      </c>
      <c r="G26" s="14"/>
      <c r="H26" s="14"/>
      <c r="I26" s="21"/>
      <c r="J26" s="13"/>
    </row>
    <row r="27" spans="1:10" s="10" customFormat="1" ht="25.35" customHeight="1" x14ac:dyDescent="0.25">
      <c r="A27" s="1536" t="s">
        <v>36</v>
      </c>
      <c r="B27" s="1536"/>
      <c r="C27" s="90">
        <v>1000</v>
      </c>
      <c r="D27" s="90"/>
      <c r="E27" s="13"/>
      <c r="F27" s="13"/>
      <c r="G27" s="13"/>
      <c r="H27" s="13"/>
      <c r="I27" s="21"/>
      <c r="J27" s="17"/>
    </row>
    <row r="28" spans="1:10" s="10" customFormat="1" ht="25.35" customHeight="1" x14ac:dyDescent="0.25">
      <c r="A28" s="1537" t="s">
        <v>37</v>
      </c>
      <c r="B28" s="1538"/>
      <c r="C28" s="91">
        <v>1000</v>
      </c>
      <c r="D28" s="92"/>
      <c r="E28" s="5"/>
      <c r="F28" s="5"/>
      <c r="G28" s="5"/>
      <c r="H28" s="5"/>
      <c r="I28" s="21"/>
      <c r="J28" s="17"/>
    </row>
    <row r="29" spans="1:10" s="10" customFormat="1" ht="15" customHeight="1" x14ac:dyDescent="0.25">
      <c r="A29" s="1539" t="s">
        <v>38</v>
      </c>
      <c r="B29" s="1540"/>
      <c r="C29" s="92">
        <f>C27/C28</f>
        <v>1</v>
      </c>
      <c r="D29" s="92"/>
      <c r="E29" s="5"/>
      <c r="F29" s="5"/>
      <c r="G29" s="5"/>
      <c r="H29" s="5"/>
      <c r="I29" s="21"/>
      <c r="J29" s="17"/>
    </row>
    <row r="30" spans="1:10" ht="16.350000000000001" customHeight="1" x14ac:dyDescent="0.25">
      <c r="A30" s="1541" t="s">
        <v>39</v>
      </c>
      <c r="B30" s="1542"/>
      <c r="C30" s="15" t="s">
        <v>40</v>
      </c>
      <c r="D30" s="102"/>
      <c r="E30" s="102" t="s">
        <v>40</v>
      </c>
      <c r="F30" s="16">
        <f>F26/C29</f>
        <v>968.39</v>
      </c>
      <c r="G30" s="16"/>
      <c r="H30" s="16"/>
      <c r="I30" s="102" t="s">
        <v>40</v>
      </c>
      <c r="J30" s="102" t="s">
        <v>40</v>
      </c>
    </row>
    <row r="31" spans="1:10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ht="13.95" customHeight="1" x14ac:dyDescent="0.25">
      <c r="A32" s="1193"/>
      <c r="B32" s="1194" t="s">
        <v>49</v>
      </c>
      <c r="C32" s="1198"/>
      <c r="D32" s="1198"/>
      <c r="E32" s="1198"/>
      <c r="F32" s="1198"/>
      <c r="G32" s="1193"/>
      <c r="H32" s="1557">
        <f>'1-бутерброд с маслом'!$H$28</f>
        <v>0</v>
      </c>
      <c r="I32" s="1557"/>
      <c r="J32" s="1557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x14ac:dyDescent="0.25">
      <c r="A34" s="1545" t="s">
        <v>327</v>
      </c>
      <c r="B34" s="1545"/>
      <c r="C34" s="1546" t="s">
        <v>328</v>
      </c>
      <c r="D34" s="1546"/>
      <c r="E34" s="1546"/>
      <c r="F34" s="1546"/>
      <c r="G34" s="106"/>
      <c r="H34" s="1531"/>
      <c r="I34" s="1531"/>
      <c r="J34" s="1531"/>
    </row>
    <row r="35" spans="1:10" x14ac:dyDescent="0.25">
      <c r="A35" s="1193"/>
      <c r="B35" s="1193"/>
      <c r="C35" s="1546"/>
      <c r="D35" s="1546"/>
      <c r="E35" s="1546"/>
      <c r="F35" s="1546"/>
      <c r="G35" s="1193"/>
      <c r="H35" s="1531" t="s">
        <v>329</v>
      </c>
      <c r="I35" s="1531"/>
      <c r="J35" s="1531"/>
    </row>
  </sheetData>
  <mergeCells count="28">
    <mergeCell ref="A28:B28"/>
    <mergeCell ref="A29:B29"/>
    <mergeCell ref="A30:B30"/>
    <mergeCell ref="A16:A17"/>
    <mergeCell ref="B16:B17"/>
    <mergeCell ref="A26:B26"/>
    <mergeCell ref="A11:J11"/>
    <mergeCell ref="I13:J13"/>
    <mergeCell ref="C14:G14"/>
    <mergeCell ref="I14:J14"/>
    <mergeCell ref="A27:B27"/>
    <mergeCell ref="A13:G13"/>
    <mergeCell ref="G1:J1"/>
    <mergeCell ref="G2:J2"/>
    <mergeCell ref="G3:J3"/>
    <mergeCell ref="A5:G5"/>
    <mergeCell ref="A34:B34"/>
    <mergeCell ref="C34:F35"/>
    <mergeCell ref="H34:J34"/>
    <mergeCell ref="H35:J35"/>
    <mergeCell ref="H32:J32"/>
    <mergeCell ref="H5:I5"/>
    <mergeCell ref="A6:G6"/>
    <mergeCell ref="A7:I7"/>
    <mergeCell ref="C16:F16"/>
    <mergeCell ref="G16:H16"/>
    <mergeCell ref="I16:J16"/>
    <mergeCell ref="A9:J9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7"/>
  <sheetViews>
    <sheetView view="pageBreakPreview" zoomScaleNormal="100" zoomScaleSheetLayoutView="100" workbookViewId="0">
      <selection activeCell="C14" sqref="C14:G14"/>
    </sheetView>
  </sheetViews>
  <sheetFormatPr defaultRowHeight="13.8" x14ac:dyDescent="0.25"/>
  <cols>
    <col min="1" max="1" width="4.109375" customWidth="1"/>
    <col min="2" max="2" width="23" customWidth="1"/>
    <col min="3" max="7" width="7.5546875" customWidth="1"/>
    <col min="8" max="8" width="8.88671875" customWidth="1"/>
    <col min="9" max="9" width="7.5546875" customWidth="1"/>
    <col min="10" max="10" width="9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314)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461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688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'457-фарш мясной'!H14+1</f>
        <v>314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/>
      <c r="B19" s="20" t="s">
        <v>180</v>
      </c>
      <c r="C19" s="21">
        <v>1.5</v>
      </c>
      <c r="D19" s="21">
        <v>1.2</v>
      </c>
      <c r="E19" s="13">
        <f>цены!F33</f>
        <v>53</v>
      </c>
      <c r="F19" s="13">
        <f>C19*E19</f>
        <v>79.5</v>
      </c>
      <c r="G19" s="97">
        <f>C19*10</f>
        <v>15</v>
      </c>
      <c r="H19" s="21">
        <f>D19*10</f>
        <v>12</v>
      </c>
      <c r="I19" s="21">
        <f>C19*100</f>
        <v>150</v>
      </c>
      <c r="J19" s="21">
        <f>D19*100</f>
        <v>120</v>
      </c>
    </row>
    <row r="20" spans="1:10" s="10" customFormat="1" ht="14.1" customHeight="1" x14ac:dyDescent="0.25">
      <c r="A20" s="180"/>
      <c r="B20" s="20" t="s">
        <v>74</v>
      </c>
      <c r="C20" s="21">
        <v>7.0000000000000007E-2</v>
      </c>
      <c r="D20" s="21">
        <v>7.0000000000000007E-2</v>
      </c>
      <c r="E20" s="13">
        <f>цены!F87</f>
        <v>120</v>
      </c>
      <c r="F20" s="13">
        <f>C20*E20</f>
        <v>8.4</v>
      </c>
      <c r="G20" s="97">
        <f>C20*10</f>
        <v>0.7</v>
      </c>
      <c r="H20" s="21">
        <f>D20*10</f>
        <v>0.7</v>
      </c>
      <c r="I20" s="21">
        <f>C20*100</f>
        <v>7</v>
      </c>
      <c r="J20" s="21">
        <f>D20*100</f>
        <v>7</v>
      </c>
    </row>
    <row r="21" spans="1:10" s="10" customFormat="1" ht="14.1" customHeight="1" x14ac:dyDescent="0.25">
      <c r="A21" s="184"/>
      <c r="B21" s="93" t="s">
        <v>181</v>
      </c>
      <c r="C21" s="100"/>
      <c r="D21" s="100">
        <v>0.9</v>
      </c>
      <c r="E21" s="95"/>
      <c r="F21" s="95">
        <f>SUM(F19:F20)</f>
        <v>87.9</v>
      </c>
      <c r="G21" s="99"/>
      <c r="H21" s="100">
        <f t="shared" ref="H21:H27" si="0">D21*10</f>
        <v>9</v>
      </c>
      <c r="I21" s="100"/>
      <c r="J21" s="100">
        <f t="shared" ref="J21:J27" si="1">D21*100</f>
        <v>90</v>
      </c>
    </row>
    <row r="22" spans="1:10" s="10" customFormat="1" ht="14.1" customHeight="1" x14ac:dyDescent="0.25">
      <c r="A22" s="129"/>
      <c r="B22" s="123" t="s">
        <v>48</v>
      </c>
      <c r="C22" s="126">
        <v>0.23799999999999999</v>
      </c>
      <c r="D22" s="126">
        <v>0.2</v>
      </c>
      <c r="E22" s="127">
        <f>цены!F38</f>
        <v>50</v>
      </c>
      <c r="F22" s="13">
        <f>C22*E22</f>
        <v>11.9</v>
      </c>
      <c r="G22" s="97">
        <f>C22*10</f>
        <v>2.38</v>
      </c>
      <c r="H22" s="21">
        <f t="shared" si="0"/>
        <v>2</v>
      </c>
      <c r="I22" s="21">
        <f>C22*100</f>
        <v>23.8</v>
      </c>
      <c r="J22" s="21">
        <f t="shared" si="1"/>
        <v>20</v>
      </c>
    </row>
    <row r="23" spans="1:10" s="10" customFormat="1" ht="14.1" customHeight="1" x14ac:dyDescent="0.25">
      <c r="A23" s="129"/>
      <c r="B23" s="123" t="s">
        <v>74</v>
      </c>
      <c r="C23" s="126">
        <v>0.03</v>
      </c>
      <c r="D23" s="126">
        <v>0.03</v>
      </c>
      <c r="E23" s="127">
        <f>цены!F87</f>
        <v>120</v>
      </c>
      <c r="F23" s="13">
        <f>C23*E23</f>
        <v>3.6</v>
      </c>
      <c r="G23" s="97">
        <f>C23*10</f>
        <v>0.3</v>
      </c>
      <c r="H23" s="21">
        <f t="shared" si="0"/>
        <v>0.3</v>
      </c>
      <c r="I23" s="21">
        <f>C23*100</f>
        <v>3</v>
      </c>
      <c r="J23" s="21">
        <f t="shared" si="1"/>
        <v>3</v>
      </c>
    </row>
    <row r="24" spans="1:10" s="10" customFormat="1" ht="14.1" customHeight="1" x14ac:dyDescent="0.25">
      <c r="A24" s="184"/>
      <c r="B24" s="93" t="s">
        <v>182</v>
      </c>
      <c r="C24" s="100"/>
      <c r="D24" s="100">
        <v>0.1</v>
      </c>
      <c r="E24" s="95"/>
      <c r="F24" s="95">
        <f>SUM(F22:F23)</f>
        <v>15.5</v>
      </c>
      <c r="G24" s="99"/>
      <c r="H24" s="100">
        <f t="shared" si="0"/>
        <v>1</v>
      </c>
      <c r="I24" s="100"/>
      <c r="J24" s="100">
        <f t="shared" si="1"/>
        <v>10</v>
      </c>
    </row>
    <row r="25" spans="1:10" s="10" customFormat="1" ht="12" customHeight="1" x14ac:dyDescent="0.25">
      <c r="A25" s="180"/>
      <c r="B25" s="20" t="s">
        <v>179</v>
      </c>
      <c r="C25" s="21">
        <v>1.4E-2</v>
      </c>
      <c r="D25" s="21">
        <v>0.01</v>
      </c>
      <c r="E25" s="13">
        <f>цены!F48</f>
        <v>300</v>
      </c>
      <c r="F25" s="13">
        <f>C25*E25</f>
        <v>4.2</v>
      </c>
      <c r="G25" s="97">
        <f>C25*10</f>
        <v>0.14000000000000001</v>
      </c>
      <c r="H25" s="21">
        <f t="shared" si="0"/>
        <v>0.1</v>
      </c>
      <c r="I25" s="21">
        <f>C25*100</f>
        <v>1.4</v>
      </c>
      <c r="J25" s="21">
        <f t="shared" si="1"/>
        <v>1</v>
      </c>
    </row>
    <row r="26" spans="1:10" s="10" customFormat="1" ht="12" customHeight="1" x14ac:dyDescent="0.25">
      <c r="A26" s="180"/>
      <c r="B26" s="20" t="s">
        <v>33</v>
      </c>
      <c r="C26" s="21">
        <v>0.01</v>
      </c>
      <c r="D26" s="21">
        <v>0.01</v>
      </c>
      <c r="E26" s="13">
        <f>цены!F110</f>
        <v>24</v>
      </c>
      <c r="F26" s="13">
        <f>C26*E26</f>
        <v>0.24</v>
      </c>
      <c r="G26" s="97">
        <f>C26*10</f>
        <v>0.1</v>
      </c>
      <c r="H26" s="21">
        <f t="shared" si="0"/>
        <v>0.1</v>
      </c>
      <c r="I26" s="21">
        <f>C26*100</f>
        <v>1</v>
      </c>
      <c r="J26" s="21">
        <f t="shared" si="1"/>
        <v>1</v>
      </c>
    </row>
    <row r="27" spans="1:10" s="10" customFormat="1" ht="12" customHeight="1" x14ac:dyDescent="0.25">
      <c r="A27" s="98"/>
      <c r="B27" s="93" t="s">
        <v>100</v>
      </c>
      <c r="C27" s="100"/>
      <c r="D27" s="100">
        <v>1</v>
      </c>
      <c r="E27" s="95"/>
      <c r="F27" s="95">
        <f>F21+F22+F23+F25+F26</f>
        <v>107.84</v>
      </c>
      <c r="G27" s="99"/>
      <c r="H27" s="100">
        <f t="shared" si="0"/>
        <v>10</v>
      </c>
      <c r="I27" s="100"/>
      <c r="J27" s="100">
        <f t="shared" si="1"/>
        <v>100</v>
      </c>
    </row>
    <row r="28" spans="1:10" s="10" customFormat="1" ht="27.6" customHeight="1" x14ac:dyDescent="0.25">
      <c r="A28" s="1536" t="s">
        <v>35</v>
      </c>
      <c r="B28" s="1536"/>
      <c r="C28" s="90"/>
      <c r="D28" s="90"/>
      <c r="E28" s="13"/>
      <c r="F28" s="13">
        <f>F27</f>
        <v>107.84</v>
      </c>
      <c r="G28" s="14"/>
      <c r="H28" s="14"/>
      <c r="I28" s="21"/>
      <c r="J28" s="13"/>
    </row>
    <row r="29" spans="1:10" s="10" customFormat="1" ht="25.35" customHeight="1" x14ac:dyDescent="0.25">
      <c r="A29" s="1536" t="s">
        <v>36</v>
      </c>
      <c r="B29" s="1536"/>
      <c r="C29" s="90">
        <v>1000</v>
      </c>
      <c r="D29" s="90"/>
      <c r="E29" s="13"/>
      <c r="F29" s="13"/>
      <c r="G29" s="13"/>
      <c r="H29" s="13"/>
      <c r="I29" s="21"/>
      <c r="J29" s="17"/>
    </row>
    <row r="30" spans="1:10" s="10" customFormat="1" ht="25.35" customHeight="1" x14ac:dyDescent="0.25">
      <c r="A30" s="1537" t="s">
        <v>37</v>
      </c>
      <c r="B30" s="1538"/>
      <c r="C30" s="91">
        <v>1000</v>
      </c>
      <c r="D30" s="92"/>
      <c r="E30" s="5"/>
      <c r="F30" s="5"/>
      <c r="G30" s="5"/>
      <c r="H30" s="5"/>
      <c r="I30" s="21"/>
      <c r="J30" s="17"/>
    </row>
    <row r="31" spans="1:10" s="10" customFormat="1" ht="15" customHeight="1" x14ac:dyDescent="0.25">
      <c r="A31" s="1539" t="s">
        <v>38</v>
      </c>
      <c r="B31" s="1540"/>
      <c r="C31" s="92">
        <f>C29/C30</f>
        <v>1</v>
      </c>
      <c r="D31" s="92"/>
      <c r="E31" s="5"/>
      <c r="F31" s="5"/>
      <c r="G31" s="5"/>
      <c r="H31" s="5"/>
      <c r="I31" s="21"/>
      <c r="J31" s="17"/>
    </row>
    <row r="32" spans="1:10" ht="16.350000000000001" customHeight="1" x14ac:dyDescent="0.25">
      <c r="A32" s="1541" t="s">
        <v>39</v>
      </c>
      <c r="B32" s="1542"/>
      <c r="C32" s="15" t="s">
        <v>40</v>
      </c>
      <c r="D32" s="102"/>
      <c r="E32" s="102" t="s">
        <v>40</v>
      </c>
      <c r="F32" s="16">
        <f>F28/C31</f>
        <v>107.84</v>
      </c>
      <c r="G32" s="16"/>
      <c r="H32" s="16"/>
      <c r="I32" s="102" t="s">
        <v>40</v>
      </c>
      <c r="J32" s="102" t="s">
        <v>40</v>
      </c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193"/>
      <c r="B34" s="1194" t="s">
        <v>49</v>
      </c>
      <c r="C34" s="1198"/>
      <c r="D34" s="1198"/>
      <c r="E34" s="1198"/>
      <c r="F34" s="1198"/>
      <c r="G34" s="1193"/>
      <c r="H34" s="1557">
        <f>'1-бутерброд с маслом'!$H$28</f>
        <v>0</v>
      </c>
      <c r="I34" s="1557"/>
      <c r="J34" s="1557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545" t="s">
        <v>327</v>
      </c>
      <c r="B36" s="1545"/>
      <c r="C36" s="1546" t="s">
        <v>328</v>
      </c>
      <c r="D36" s="1546"/>
      <c r="E36" s="1546"/>
      <c r="F36" s="1546"/>
      <c r="G36" s="106"/>
      <c r="H36" s="1531"/>
      <c r="I36" s="1531"/>
      <c r="J36" s="1531"/>
    </row>
    <row r="37" spans="1:10" x14ac:dyDescent="0.25">
      <c r="A37" s="1193"/>
      <c r="B37" s="1193"/>
      <c r="C37" s="1546"/>
      <c r="D37" s="1546"/>
      <c r="E37" s="1546"/>
      <c r="F37" s="1546"/>
      <c r="G37" s="1193"/>
      <c r="H37" s="1531" t="s">
        <v>329</v>
      </c>
      <c r="I37" s="1531"/>
      <c r="J37" s="1531"/>
    </row>
  </sheetData>
  <mergeCells count="28">
    <mergeCell ref="A30:B30"/>
    <mergeCell ref="A31:B31"/>
    <mergeCell ref="A32:B32"/>
    <mergeCell ref="A16:A17"/>
    <mergeCell ref="B16:B17"/>
    <mergeCell ref="A28:B28"/>
    <mergeCell ref="A11:J11"/>
    <mergeCell ref="I13:J13"/>
    <mergeCell ref="C14:G14"/>
    <mergeCell ref="I14:J14"/>
    <mergeCell ref="A29:B29"/>
    <mergeCell ref="A13:G13"/>
    <mergeCell ref="G1:J1"/>
    <mergeCell ref="G2:J2"/>
    <mergeCell ref="G3:J3"/>
    <mergeCell ref="A5:G5"/>
    <mergeCell ref="A36:B36"/>
    <mergeCell ref="C36:F37"/>
    <mergeCell ref="H36:J36"/>
    <mergeCell ref="H37:J37"/>
    <mergeCell ref="H34:J34"/>
    <mergeCell ref="H5:I5"/>
    <mergeCell ref="A6:G6"/>
    <mergeCell ref="A7:I7"/>
    <mergeCell ref="C16:F16"/>
    <mergeCell ref="G16:H16"/>
    <mergeCell ref="I16:J16"/>
    <mergeCell ref="A9:J9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4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3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441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315)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467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183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'461-фарш из капусты'!H14+1</f>
        <v>315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/>
      <c r="B19" s="20" t="s">
        <v>50</v>
      </c>
      <c r="C19" s="21">
        <v>1.2090000000000001</v>
      </c>
      <c r="D19" s="21">
        <v>0.88</v>
      </c>
      <c r="E19" s="13">
        <f>цены!F35</f>
        <v>50</v>
      </c>
      <c r="F19" s="13">
        <f>C19*E19</f>
        <v>60.45</v>
      </c>
      <c r="G19" s="97">
        <f t="shared" ref="G19:H21" si="0">C19*10</f>
        <v>12.09</v>
      </c>
      <c r="H19" s="21">
        <f t="shared" si="0"/>
        <v>8.8000000000000007</v>
      </c>
      <c r="I19" s="21">
        <f t="shared" ref="I19:J21" si="1">C19*100</f>
        <v>120.9</v>
      </c>
      <c r="J19" s="21">
        <f t="shared" si="1"/>
        <v>88</v>
      </c>
    </row>
    <row r="20" spans="1:10" s="10" customFormat="1" ht="14.1" customHeight="1" x14ac:dyDescent="0.25">
      <c r="A20" s="180"/>
      <c r="B20" s="20" t="s">
        <v>48</v>
      </c>
      <c r="C20" s="21">
        <v>0.31</v>
      </c>
      <c r="D20" s="21">
        <v>0.26</v>
      </c>
      <c r="E20" s="13">
        <f>цены!F38</f>
        <v>50</v>
      </c>
      <c r="F20" s="13">
        <f>C20*E20</f>
        <v>15.5</v>
      </c>
      <c r="G20" s="97">
        <f t="shared" si="0"/>
        <v>3.1</v>
      </c>
      <c r="H20" s="21">
        <f t="shared" si="0"/>
        <v>2.6</v>
      </c>
      <c r="I20" s="21">
        <f t="shared" si="1"/>
        <v>31</v>
      </c>
      <c r="J20" s="21">
        <f t="shared" si="1"/>
        <v>26</v>
      </c>
    </row>
    <row r="21" spans="1:10" s="10" customFormat="1" ht="14.1" customHeight="1" x14ac:dyDescent="0.25">
      <c r="A21" s="180"/>
      <c r="B21" s="20" t="s">
        <v>74</v>
      </c>
      <c r="C21" s="21">
        <v>0.04</v>
      </c>
      <c r="D21" s="21">
        <v>0.04</v>
      </c>
      <c r="E21" s="13">
        <f>цены!F87</f>
        <v>120</v>
      </c>
      <c r="F21" s="13">
        <f>C21*E21</f>
        <v>4.8</v>
      </c>
      <c r="G21" s="97">
        <f t="shared" si="0"/>
        <v>0.4</v>
      </c>
      <c r="H21" s="21">
        <f t="shared" si="0"/>
        <v>0.4</v>
      </c>
      <c r="I21" s="21">
        <f t="shared" si="1"/>
        <v>4</v>
      </c>
      <c r="J21" s="21">
        <f t="shared" si="1"/>
        <v>4</v>
      </c>
    </row>
    <row r="22" spans="1:10" s="10" customFormat="1" ht="14.1" customHeight="1" x14ac:dyDescent="0.25">
      <c r="A22" s="184"/>
      <c r="B22" s="93" t="s">
        <v>182</v>
      </c>
      <c r="C22" s="100"/>
      <c r="D22" s="100">
        <v>0.13</v>
      </c>
      <c r="E22" s="95"/>
      <c r="F22" s="95">
        <f>SUM(F19:F21)</f>
        <v>80.75</v>
      </c>
      <c r="G22" s="99"/>
      <c r="H22" s="100">
        <f>D22*10</f>
        <v>1.3</v>
      </c>
      <c r="I22" s="100"/>
      <c r="J22" s="100">
        <f>D22*100</f>
        <v>13</v>
      </c>
    </row>
    <row r="23" spans="1:10" s="10" customFormat="1" ht="12" customHeight="1" x14ac:dyDescent="0.25">
      <c r="A23" s="180"/>
      <c r="B23" s="20" t="s">
        <v>33</v>
      </c>
      <c r="C23" s="21">
        <v>0.01</v>
      </c>
      <c r="D23" s="21">
        <v>0.01</v>
      </c>
      <c r="E23" s="13">
        <f>цены!F110</f>
        <v>24</v>
      </c>
      <c r="F23" s="13">
        <f>C23*E23</f>
        <v>0.24</v>
      </c>
      <c r="G23" s="97">
        <f>C23*10</f>
        <v>0.1</v>
      </c>
      <c r="H23" s="21">
        <f>D23*10</f>
        <v>0.1</v>
      </c>
      <c r="I23" s="21">
        <f>C23*100</f>
        <v>1</v>
      </c>
      <c r="J23" s="21">
        <f>D23*100</f>
        <v>1</v>
      </c>
    </row>
    <row r="24" spans="1:10" s="10" customFormat="1" ht="12" customHeight="1" x14ac:dyDescent="0.25">
      <c r="A24" s="98"/>
      <c r="B24" s="93" t="s">
        <v>100</v>
      </c>
      <c r="C24" s="100"/>
      <c r="D24" s="100">
        <v>1</v>
      </c>
      <c r="E24" s="95"/>
      <c r="F24" s="95">
        <f>F19+F20+F21+F23</f>
        <v>80.989999999999995</v>
      </c>
      <c r="G24" s="99"/>
      <c r="H24" s="100">
        <f>D24*10</f>
        <v>10</v>
      </c>
      <c r="I24" s="100"/>
      <c r="J24" s="100">
        <f>D24*100</f>
        <v>100</v>
      </c>
    </row>
    <row r="25" spans="1:10" s="10" customFormat="1" ht="27.6" customHeight="1" x14ac:dyDescent="0.25">
      <c r="A25" s="1536" t="s">
        <v>35</v>
      </c>
      <c r="B25" s="1536"/>
      <c r="C25" s="90"/>
      <c r="D25" s="90"/>
      <c r="E25" s="13"/>
      <c r="F25" s="13">
        <f>F24</f>
        <v>80.989999999999995</v>
      </c>
      <c r="G25" s="14"/>
      <c r="H25" s="14"/>
      <c r="I25" s="21"/>
      <c r="J25" s="13"/>
    </row>
    <row r="26" spans="1:10" s="10" customFormat="1" ht="25.35" customHeight="1" x14ac:dyDescent="0.25">
      <c r="A26" s="1536" t="s">
        <v>36</v>
      </c>
      <c r="B26" s="1536"/>
      <c r="C26" s="215">
        <v>1000</v>
      </c>
      <c r="D26" s="90"/>
      <c r="E26" s="13"/>
      <c r="F26" s="13"/>
      <c r="G26" s="13"/>
      <c r="H26" s="13"/>
      <c r="I26" s="21"/>
      <c r="J26" s="17"/>
    </row>
    <row r="27" spans="1:10" s="10" customFormat="1" ht="25.35" customHeight="1" x14ac:dyDescent="0.25">
      <c r="A27" s="1537" t="s">
        <v>37</v>
      </c>
      <c r="B27" s="1538"/>
      <c r="C27" s="216">
        <v>1000</v>
      </c>
      <c r="D27" s="92"/>
      <c r="E27" s="5"/>
      <c r="F27" s="5"/>
      <c r="G27" s="5"/>
      <c r="H27" s="5"/>
      <c r="I27" s="21"/>
      <c r="J27" s="17"/>
    </row>
    <row r="28" spans="1:10" s="10" customFormat="1" ht="15" customHeight="1" x14ac:dyDescent="0.25">
      <c r="A28" s="1539" t="s">
        <v>38</v>
      </c>
      <c r="B28" s="1540"/>
      <c r="C28" s="92">
        <f>C26/C27</f>
        <v>1</v>
      </c>
      <c r="D28" s="92"/>
      <c r="E28" s="5"/>
      <c r="F28" s="5"/>
      <c r="G28" s="5"/>
      <c r="H28" s="5"/>
      <c r="I28" s="21"/>
      <c r="J28" s="17"/>
    </row>
    <row r="29" spans="1:10" ht="16.350000000000001" customHeight="1" x14ac:dyDescent="0.25">
      <c r="A29" s="1541" t="s">
        <v>39</v>
      </c>
      <c r="B29" s="1542"/>
      <c r="C29" s="15" t="s">
        <v>40</v>
      </c>
      <c r="D29" s="102"/>
      <c r="E29" s="102" t="s">
        <v>40</v>
      </c>
      <c r="F29" s="16">
        <f>F25/C28</f>
        <v>80.989999999999995</v>
      </c>
      <c r="G29" s="16"/>
      <c r="H29" s="16"/>
      <c r="I29" s="102" t="s">
        <v>40</v>
      </c>
      <c r="J29" s="102" t="s">
        <v>40</v>
      </c>
    </row>
    <row r="30" spans="1:10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0" ht="13.95" customHeight="1" x14ac:dyDescent="0.25">
      <c r="A31" s="1193"/>
      <c r="B31" s="1194" t="s">
        <v>49</v>
      </c>
      <c r="C31" s="1198"/>
      <c r="D31" s="1198"/>
      <c r="E31" s="1198"/>
      <c r="F31" s="1198"/>
      <c r="G31" s="1193"/>
      <c r="H31" s="1557">
        <f>'1-бутерброд с маслом'!$H$28</f>
        <v>0</v>
      </c>
      <c r="I31" s="1557"/>
      <c r="J31" s="1557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x14ac:dyDescent="0.25">
      <c r="A33" s="1545" t="s">
        <v>327</v>
      </c>
      <c r="B33" s="1545"/>
      <c r="C33" s="1546" t="s">
        <v>328</v>
      </c>
      <c r="D33" s="1546"/>
      <c r="E33" s="1546"/>
      <c r="F33" s="1546"/>
      <c r="G33" s="106"/>
      <c r="H33" s="1531"/>
      <c r="I33" s="1531"/>
      <c r="J33" s="1531"/>
    </row>
    <row r="34" spans="1:10" x14ac:dyDescent="0.25">
      <c r="A34" s="1193"/>
      <c r="B34" s="1193"/>
      <c r="C34" s="1546"/>
      <c r="D34" s="1546"/>
      <c r="E34" s="1546"/>
      <c r="F34" s="1546"/>
      <c r="G34" s="1193"/>
      <c r="H34" s="1531" t="s">
        <v>329</v>
      </c>
      <c r="I34" s="1531"/>
      <c r="J34" s="1531"/>
    </row>
  </sheetData>
  <mergeCells count="28">
    <mergeCell ref="A27:B27"/>
    <mergeCell ref="A28:B28"/>
    <mergeCell ref="A29:B29"/>
    <mergeCell ref="A16:A17"/>
    <mergeCell ref="B16:B17"/>
    <mergeCell ref="A25:B25"/>
    <mergeCell ref="A11:J11"/>
    <mergeCell ref="I13:J13"/>
    <mergeCell ref="C14:G14"/>
    <mergeCell ref="I14:J14"/>
    <mergeCell ref="A26:B26"/>
    <mergeCell ref="A13:G13"/>
    <mergeCell ref="G1:J1"/>
    <mergeCell ref="G2:J2"/>
    <mergeCell ref="G3:J3"/>
    <mergeCell ref="A5:G5"/>
    <mergeCell ref="A33:B33"/>
    <mergeCell ref="C33:F34"/>
    <mergeCell ref="H33:J33"/>
    <mergeCell ref="H34:J34"/>
    <mergeCell ref="H31:J31"/>
    <mergeCell ref="H5:I5"/>
    <mergeCell ref="A6:G6"/>
    <mergeCell ref="A7:I7"/>
    <mergeCell ref="C16:F16"/>
    <mergeCell ref="G16:H16"/>
    <mergeCell ref="I16:J16"/>
    <mergeCell ref="A9:J9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34"/>
  <sheetViews>
    <sheetView view="pageBreakPreview" zoomScaleNormal="100" zoomScaleSheetLayoutView="100" workbookViewId="0">
      <selection activeCell="B14" sqref="B14"/>
    </sheetView>
  </sheetViews>
  <sheetFormatPr defaultRowHeight="13.8" x14ac:dyDescent="0.25"/>
  <cols>
    <col min="1" max="1" width="4.109375" customWidth="1"/>
    <col min="2" max="2" width="20.55468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2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316)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468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165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'467-фарш картоф'!H14+1</f>
        <v>316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86">
        <v>3</v>
      </c>
      <c r="D18" s="187">
        <v>4</v>
      </c>
      <c r="E18" s="186">
        <v>5</v>
      </c>
      <c r="F18" s="187">
        <v>6</v>
      </c>
      <c r="G18" s="186">
        <v>7</v>
      </c>
      <c r="H18" s="187">
        <v>8</v>
      </c>
      <c r="I18" s="186">
        <v>9</v>
      </c>
      <c r="J18" s="187">
        <v>10</v>
      </c>
    </row>
    <row r="19" spans="1:10" s="10" customFormat="1" ht="14.1" customHeight="1" x14ac:dyDescent="0.25">
      <c r="A19" s="180"/>
      <c r="B19" s="20" t="s">
        <v>57</v>
      </c>
      <c r="C19" s="21">
        <v>0.91500000000000004</v>
      </c>
      <c r="D19" s="21">
        <v>0.90600000000000003</v>
      </c>
      <c r="E19" s="13">
        <f>цены!F23</f>
        <v>350</v>
      </c>
      <c r="F19" s="13">
        <f>C19*E19</f>
        <v>320.25</v>
      </c>
      <c r="G19" s="97">
        <f t="shared" ref="G19:H23" si="0">C19*10</f>
        <v>9.15</v>
      </c>
      <c r="H19" s="21">
        <f t="shared" si="0"/>
        <v>9.06</v>
      </c>
      <c r="I19" s="21">
        <f t="shared" ref="I19:J23" si="1">C19*100</f>
        <v>91.5</v>
      </c>
      <c r="J19" s="21">
        <f t="shared" si="1"/>
        <v>90.6</v>
      </c>
    </row>
    <row r="20" spans="1:10" s="10" customFormat="1" ht="14.1" customHeight="1" x14ac:dyDescent="0.25">
      <c r="A20" s="180"/>
      <c r="B20" s="20" t="s">
        <v>166</v>
      </c>
      <c r="C20" s="21">
        <v>4.5999999999999999E-2</v>
      </c>
      <c r="D20" s="21">
        <v>0.04</v>
      </c>
      <c r="E20" s="13">
        <f>цены!F30</f>
        <v>152.16999999999999</v>
      </c>
      <c r="F20" s="13">
        <f>C20*E20</f>
        <v>7</v>
      </c>
      <c r="G20" s="97">
        <f t="shared" si="0"/>
        <v>0.46</v>
      </c>
      <c r="H20" s="21">
        <f t="shared" si="0"/>
        <v>0.4</v>
      </c>
      <c r="I20" s="21">
        <f t="shared" si="1"/>
        <v>4.5999999999999996</v>
      </c>
      <c r="J20" s="21">
        <f t="shared" si="1"/>
        <v>4</v>
      </c>
    </row>
    <row r="21" spans="1:10" s="10" customFormat="1" ht="12" customHeight="1" x14ac:dyDescent="0.25">
      <c r="A21" s="180"/>
      <c r="B21" s="20" t="s">
        <v>30</v>
      </c>
      <c r="C21" s="21">
        <v>0.05</v>
      </c>
      <c r="D21" s="21">
        <v>0.05</v>
      </c>
      <c r="E21" s="13">
        <f>цены!F107</f>
        <v>76</v>
      </c>
      <c r="F21" s="13">
        <f>C21*E21</f>
        <v>3.8</v>
      </c>
      <c r="G21" s="97">
        <f t="shared" si="0"/>
        <v>0.5</v>
      </c>
      <c r="H21" s="21">
        <f t="shared" si="0"/>
        <v>0.5</v>
      </c>
      <c r="I21" s="21">
        <f t="shared" si="1"/>
        <v>5</v>
      </c>
      <c r="J21" s="21">
        <f t="shared" si="1"/>
        <v>5</v>
      </c>
    </row>
    <row r="22" spans="1:10" s="10" customFormat="1" ht="12" customHeight="1" x14ac:dyDescent="0.25">
      <c r="A22" s="180"/>
      <c r="B22" s="20" t="s">
        <v>45</v>
      </c>
      <c r="C22" s="21">
        <v>0.04</v>
      </c>
      <c r="D22" s="21">
        <v>0.04</v>
      </c>
      <c r="E22" s="13">
        <f>цены!F74</f>
        <v>36</v>
      </c>
      <c r="F22" s="13">
        <f>C22*E22</f>
        <v>1.44</v>
      </c>
      <c r="G22" s="97">
        <f t="shared" si="0"/>
        <v>0.4</v>
      </c>
      <c r="H22" s="21">
        <f t="shared" si="0"/>
        <v>0.4</v>
      </c>
      <c r="I22" s="21">
        <f t="shared" si="1"/>
        <v>4</v>
      </c>
      <c r="J22" s="21">
        <f t="shared" si="1"/>
        <v>4</v>
      </c>
    </row>
    <row r="23" spans="1:10" s="10" customFormat="1" ht="12.6" customHeight="1" x14ac:dyDescent="0.25">
      <c r="A23" s="180"/>
      <c r="B23" s="20" t="s">
        <v>56</v>
      </c>
      <c r="C23" s="111">
        <v>4.0000000000000002E-4</v>
      </c>
      <c r="D23" s="111">
        <v>1E-4</v>
      </c>
      <c r="E23" s="13">
        <f>цены!F90</f>
        <v>5000</v>
      </c>
      <c r="F23" s="13">
        <f>C23*E23</f>
        <v>2</v>
      </c>
      <c r="G23" s="97">
        <f t="shared" si="0"/>
        <v>4.0000000000000001E-3</v>
      </c>
      <c r="H23" s="21">
        <f t="shared" si="0"/>
        <v>1E-3</v>
      </c>
      <c r="I23" s="21">
        <f t="shared" si="1"/>
        <v>0.04</v>
      </c>
      <c r="J23" s="21">
        <f t="shared" si="1"/>
        <v>0.01</v>
      </c>
    </row>
    <row r="24" spans="1:10" s="10" customFormat="1" ht="12" customHeight="1" x14ac:dyDescent="0.25">
      <c r="A24" s="98"/>
      <c r="B24" s="93" t="s">
        <v>100</v>
      </c>
      <c r="C24" s="100"/>
      <c r="D24" s="100">
        <v>1</v>
      </c>
      <c r="E24" s="95"/>
      <c r="F24" s="95">
        <f>SUM(F19:F23)</f>
        <v>334.49</v>
      </c>
      <c r="G24" s="99"/>
      <c r="H24" s="100">
        <f>D24*10</f>
        <v>10</v>
      </c>
      <c r="I24" s="100"/>
      <c r="J24" s="100">
        <f>D24*100</f>
        <v>100</v>
      </c>
    </row>
    <row r="25" spans="1:10" s="10" customFormat="1" ht="27.6" customHeight="1" x14ac:dyDescent="0.25">
      <c r="A25" s="1536" t="s">
        <v>35</v>
      </c>
      <c r="B25" s="1536"/>
      <c r="C25" s="90"/>
      <c r="D25" s="90"/>
      <c r="E25" s="13"/>
      <c r="F25" s="13">
        <f>F24</f>
        <v>334.49</v>
      </c>
      <c r="G25" s="14"/>
      <c r="H25" s="14"/>
      <c r="I25" s="21"/>
      <c r="J25" s="13"/>
    </row>
    <row r="26" spans="1:10" s="10" customFormat="1" ht="25.35" customHeight="1" x14ac:dyDescent="0.25">
      <c r="A26" s="1536" t="s">
        <v>36</v>
      </c>
      <c r="B26" s="1536"/>
      <c r="C26" s="90">
        <v>1000</v>
      </c>
      <c r="D26" s="90"/>
      <c r="E26" s="13"/>
      <c r="F26" s="13"/>
      <c r="G26" s="13"/>
      <c r="H26" s="13"/>
      <c r="I26" s="21"/>
      <c r="J26" s="17"/>
    </row>
    <row r="27" spans="1:10" s="10" customFormat="1" ht="25.35" customHeight="1" x14ac:dyDescent="0.25">
      <c r="A27" s="1537" t="s">
        <v>37</v>
      </c>
      <c r="B27" s="1538"/>
      <c r="C27" s="91">
        <v>1000</v>
      </c>
      <c r="D27" s="92"/>
      <c r="E27" s="5"/>
      <c r="F27" s="5"/>
      <c r="G27" s="5"/>
      <c r="H27" s="5"/>
      <c r="I27" s="21"/>
      <c r="J27" s="17"/>
    </row>
    <row r="28" spans="1:10" s="10" customFormat="1" ht="15" customHeight="1" x14ac:dyDescent="0.25">
      <c r="A28" s="1539" t="s">
        <v>38</v>
      </c>
      <c r="B28" s="1540"/>
      <c r="C28" s="92">
        <f>C26/C27</f>
        <v>1</v>
      </c>
      <c r="D28" s="92"/>
      <c r="E28" s="5"/>
      <c r="F28" s="5"/>
      <c r="G28" s="5"/>
      <c r="H28" s="5"/>
      <c r="I28" s="21"/>
      <c r="J28" s="17"/>
    </row>
    <row r="29" spans="1:10" ht="16.350000000000001" customHeight="1" x14ac:dyDescent="0.25">
      <c r="A29" s="1541" t="s">
        <v>39</v>
      </c>
      <c r="B29" s="1542"/>
      <c r="C29" s="15" t="s">
        <v>40</v>
      </c>
      <c r="D29" s="102"/>
      <c r="E29" s="102" t="s">
        <v>40</v>
      </c>
      <c r="F29" s="16">
        <f>F25/C28</f>
        <v>334.49</v>
      </c>
      <c r="G29" s="16"/>
      <c r="H29" s="16"/>
      <c r="I29" s="102" t="s">
        <v>40</v>
      </c>
      <c r="J29" s="102" t="s">
        <v>40</v>
      </c>
    </row>
    <row r="30" spans="1:10" ht="23.1" customHeight="1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0" ht="13.95" customHeight="1" x14ac:dyDescent="0.25">
      <c r="A31" s="1193"/>
      <c r="B31" s="1194" t="s">
        <v>49</v>
      </c>
      <c r="C31" s="1198"/>
      <c r="D31" s="1198"/>
      <c r="E31" s="1198"/>
      <c r="F31" s="1198"/>
      <c r="G31" s="1193"/>
      <c r="H31" s="1557">
        <f>'1-бутерброд с маслом'!$H$28</f>
        <v>0</v>
      </c>
      <c r="I31" s="1557"/>
      <c r="J31" s="1557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x14ac:dyDescent="0.25">
      <c r="A33" s="1545" t="s">
        <v>327</v>
      </c>
      <c r="B33" s="1545"/>
      <c r="C33" s="1546" t="s">
        <v>328</v>
      </c>
      <c r="D33" s="1546"/>
      <c r="E33" s="1546"/>
      <c r="F33" s="1546"/>
      <c r="G33" s="106"/>
      <c r="H33" s="1531"/>
      <c r="I33" s="1531"/>
      <c r="J33" s="1531"/>
    </row>
    <row r="34" spans="1:10" x14ac:dyDescent="0.25">
      <c r="A34" s="1193"/>
      <c r="B34" s="1193"/>
      <c r="C34" s="1546"/>
      <c r="D34" s="1546"/>
      <c r="E34" s="1546"/>
      <c r="F34" s="1546"/>
      <c r="G34" s="1193"/>
      <c r="H34" s="1531" t="s">
        <v>329</v>
      </c>
      <c r="I34" s="1531"/>
      <c r="J34" s="1531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3:B33"/>
    <mergeCell ref="C33:F34"/>
    <mergeCell ref="H33:J33"/>
    <mergeCell ref="H34:J34"/>
    <mergeCell ref="A26:B26"/>
    <mergeCell ref="A27:B27"/>
    <mergeCell ref="A28:B28"/>
    <mergeCell ref="A29:B29"/>
    <mergeCell ref="H31:J31"/>
    <mergeCell ref="A25:B25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0E428"/>
  </sheetPr>
  <dimension ref="A1:J36"/>
  <sheetViews>
    <sheetView view="pageBreakPreview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851" customWidth="1"/>
    <col min="2" max="2" width="22.109375" style="851" customWidth="1"/>
    <col min="3" max="7" width="7.5546875" style="851" customWidth="1"/>
    <col min="8" max="8" width="8.88671875" style="851" customWidth="1"/>
    <col min="9" max="9" width="7.5546875" style="851" customWidth="1"/>
    <col min="10" max="10" width="9" style="851" customWidth="1"/>
    <col min="11" max="11" width="3.88671875" style="851" customWidth="1"/>
    <col min="12" max="16384" width="8.88671875" style="85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317)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199" t="s">
        <v>1171</v>
      </c>
    </row>
    <row r="8" spans="1:10" s="2" customFormat="1" ht="9.6" customHeight="1" x14ac:dyDescent="0.25">
      <c r="A8" s="852"/>
      <c r="B8" s="852"/>
      <c r="C8" s="852"/>
      <c r="D8" s="852"/>
      <c r="E8" s="852"/>
      <c r="F8" s="852"/>
      <c r="G8" s="852"/>
      <c r="H8" s="852"/>
      <c r="I8" s="852"/>
      <c r="J8" s="109"/>
    </row>
    <row r="9" spans="1:10" s="2" customFormat="1" ht="26.1" customHeight="1" x14ac:dyDescent="0.3">
      <c r="A9" s="1550" t="s">
        <v>1175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1172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E12" s="101"/>
      <c r="F12" s="101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854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'468-фарш творож'!H14+1</f>
        <v>317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853" t="s">
        <v>92</v>
      </c>
      <c r="D17" s="853" t="s">
        <v>94</v>
      </c>
      <c r="E17" s="853" t="s">
        <v>93</v>
      </c>
      <c r="F17" s="853" t="s">
        <v>23</v>
      </c>
      <c r="G17" s="853" t="s">
        <v>92</v>
      </c>
      <c r="H17" s="853" t="s">
        <v>94</v>
      </c>
      <c r="I17" s="853" t="s">
        <v>92</v>
      </c>
      <c r="J17" s="853" t="s">
        <v>94</v>
      </c>
    </row>
    <row r="18" spans="1:10" ht="9.6" customHeight="1" x14ac:dyDescent="0.25">
      <c r="A18" s="853">
        <v>1</v>
      </c>
      <c r="B18" s="854">
        <v>2</v>
      </c>
      <c r="C18" s="853">
        <v>3</v>
      </c>
      <c r="D18" s="854">
        <v>4</v>
      </c>
      <c r="E18" s="853">
        <v>5</v>
      </c>
      <c r="F18" s="854">
        <v>6</v>
      </c>
      <c r="G18" s="853">
        <v>7</v>
      </c>
      <c r="H18" s="854">
        <v>8</v>
      </c>
      <c r="I18" s="853">
        <v>9</v>
      </c>
      <c r="J18" s="854">
        <v>10</v>
      </c>
    </row>
    <row r="19" spans="1:10" s="10" customFormat="1" ht="14.1" customHeight="1" x14ac:dyDescent="0.25">
      <c r="A19" s="180">
        <v>1</v>
      </c>
      <c r="B19" s="20" t="s">
        <v>68</v>
      </c>
      <c r="C19" s="90">
        <v>1.9E-2</v>
      </c>
      <c r="D19" s="90">
        <v>1.9E-2</v>
      </c>
      <c r="E19" s="408">
        <f>цены!F83</f>
        <v>98</v>
      </c>
      <c r="F19" s="408">
        <f>C19*E19</f>
        <v>1.86</v>
      </c>
      <c r="G19" s="97">
        <f>C19*10</f>
        <v>0.19</v>
      </c>
      <c r="H19" s="21">
        <f>D19*10</f>
        <v>0.19</v>
      </c>
      <c r="I19" s="21">
        <f>C19*100</f>
        <v>1.9</v>
      </c>
      <c r="J19" s="21">
        <f>D19*100</f>
        <v>1.9</v>
      </c>
    </row>
    <row r="20" spans="1:10" s="10" customFormat="1" ht="14.1" customHeight="1" x14ac:dyDescent="0.25">
      <c r="A20" s="180">
        <v>2</v>
      </c>
      <c r="B20" s="20" t="s">
        <v>379</v>
      </c>
      <c r="C20" s="90">
        <v>1.4E-2</v>
      </c>
      <c r="D20" s="90">
        <v>1.4E-2</v>
      </c>
      <c r="E20" s="408">
        <f>цены!F82</f>
        <v>60</v>
      </c>
      <c r="F20" s="408">
        <f t="shared" ref="F20:F25" si="0">C20*E20</f>
        <v>0.84</v>
      </c>
      <c r="G20" s="97">
        <f t="shared" ref="G20:G25" si="1">C20*10</f>
        <v>0.14000000000000001</v>
      </c>
      <c r="H20" s="21">
        <f t="shared" ref="H20:H25" si="2">D20*10</f>
        <v>0.14000000000000001</v>
      </c>
      <c r="I20" s="21">
        <f t="shared" ref="I20:I25" si="3">C20*100</f>
        <v>1.4</v>
      </c>
      <c r="J20" s="21">
        <f t="shared" ref="J20:J25" si="4">D20*100</f>
        <v>1.4</v>
      </c>
    </row>
    <row r="21" spans="1:10" s="10" customFormat="1" ht="14.1" customHeight="1" x14ac:dyDescent="0.25">
      <c r="A21" s="180"/>
      <c r="B21" s="20" t="s">
        <v>1173</v>
      </c>
      <c r="C21" s="90">
        <v>6.0000000000000001E-3</v>
      </c>
      <c r="D21" s="90">
        <v>6.0000000000000001E-3</v>
      </c>
      <c r="E21" s="408">
        <f>цены!F21</f>
        <v>710</v>
      </c>
      <c r="F21" s="408">
        <f t="shared" si="0"/>
        <v>4.26</v>
      </c>
      <c r="G21" s="97">
        <f t="shared" si="1"/>
        <v>0.06</v>
      </c>
      <c r="H21" s="21">
        <f t="shared" si="2"/>
        <v>0.06</v>
      </c>
      <c r="I21" s="21">
        <f t="shared" si="3"/>
        <v>0.6</v>
      </c>
      <c r="J21" s="21">
        <f t="shared" si="4"/>
        <v>0.6</v>
      </c>
    </row>
    <row r="22" spans="1:10" s="10" customFormat="1" ht="14.1" customHeight="1" x14ac:dyDescent="0.25">
      <c r="A22" s="180"/>
      <c r="B22" s="20" t="s">
        <v>1265</v>
      </c>
      <c r="C22" s="90">
        <v>0.128</v>
      </c>
      <c r="D22" s="90">
        <v>0.128</v>
      </c>
      <c r="E22" s="408">
        <f>цены!F20</f>
        <v>80</v>
      </c>
      <c r="F22" s="408">
        <f t="shared" si="0"/>
        <v>10.24</v>
      </c>
      <c r="G22" s="97">
        <f t="shared" si="1"/>
        <v>1.28</v>
      </c>
      <c r="H22" s="21">
        <f t="shared" si="2"/>
        <v>1.28</v>
      </c>
      <c r="I22" s="21">
        <f t="shared" si="3"/>
        <v>12.8</v>
      </c>
      <c r="J22" s="21">
        <f t="shared" si="4"/>
        <v>12.8</v>
      </c>
    </row>
    <row r="23" spans="1:10" s="10" customFormat="1" ht="14.1" customHeight="1" x14ac:dyDescent="0.25">
      <c r="A23" s="180">
        <v>3</v>
      </c>
      <c r="B23" s="20" t="s">
        <v>28</v>
      </c>
      <c r="C23" s="90">
        <v>8.7999999999999995E-2</v>
      </c>
      <c r="D23" s="90">
        <v>8.7999999999999995E-2</v>
      </c>
      <c r="E23" s="408"/>
      <c r="F23" s="408">
        <f t="shared" si="0"/>
        <v>0</v>
      </c>
      <c r="G23" s="97">
        <f t="shared" si="1"/>
        <v>0.88</v>
      </c>
      <c r="H23" s="21">
        <f t="shared" si="2"/>
        <v>0.88</v>
      </c>
      <c r="I23" s="21">
        <f t="shared" si="3"/>
        <v>8.8000000000000007</v>
      </c>
      <c r="J23" s="21">
        <f t="shared" si="4"/>
        <v>8.8000000000000007</v>
      </c>
    </row>
    <row r="24" spans="1:10" s="10" customFormat="1" ht="14.1" customHeight="1" x14ac:dyDescent="0.25">
      <c r="A24" s="180">
        <v>4</v>
      </c>
      <c r="B24" s="20" t="s">
        <v>30</v>
      </c>
      <c r="C24" s="90">
        <v>4.0000000000000001E-3</v>
      </c>
      <c r="D24" s="90">
        <v>4.0000000000000001E-3</v>
      </c>
      <c r="E24" s="408">
        <f>цены!F107</f>
        <v>76</v>
      </c>
      <c r="F24" s="408">
        <f t="shared" si="0"/>
        <v>0.3</v>
      </c>
      <c r="G24" s="97">
        <f t="shared" si="1"/>
        <v>0.04</v>
      </c>
      <c r="H24" s="21">
        <f t="shared" si="2"/>
        <v>0.04</v>
      </c>
      <c r="I24" s="21">
        <f t="shared" si="3"/>
        <v>0.4</v>
      </c>
      <c r="J24" s="21">
        <f t="shared" si="4"/>
        <v>0.4</v>
      </c>
    </row>
    <row r="25" spans="1:10" s="10" customFormat="1" ht="14.1" customHeight="1" x14ac:dyDescent="0.25">
      <c r="A25" s="180">
        <v>5</v>
      </c>
      <c r="B25" s="20" t="s">
        <v>33</v>
      </c>
      <c r="C25" s="110">
        <v>1E-3</v>
      </c>
      <c r="D25" s="110">
        <v>1E-3</v>
      </c>
      <c r="E25" s="408">
        <f>цены!F110</f>
        <v>24</v>
      </c>
      <c r="F25" s="408">
        <f t="shared" si="0"/>
        <v>0.02</v>
      </c>
      <c r="G25" s="97">
        <f t="shared" si="1"/>
        <v>0.01</v>
      </c>
      <c r="H25" s="21">
        <f t="shared" si="2"/>
        <v>0.01</v>
      </c>
      <c r="I25" s="21">
        <f t="shared" si="3"/>
        <v>0.1</v>
      </c>
      <c r="J25" s="21">
        <f t="shared" si="4"/>
        <v>0.1</v>
      </c>
    </row>
    <row r="26" spans="1:10" s="10" customFormat="1" ht="14.1" customHeight="1" x14ac:dyDescent="0.25">
      <c r="A26" s="98"/>
      <c r="B26" s="93" t="s">
        <v>117</v>
      </c>
      <c r="C26" s="94"/>
      <c r="D26" s="94">
        <v>250</v>
      </c>
      <c r="E26" s="95"/>
      <c r="F26" s="95">
        <f>SUM(F19:F25)</f>
        <v>17.52</v>
      </c>
      <c r="G26" s="99"/>
      <c r="H26" s="100">
        <f>D26*10</f>
        <v>2500</v>
      </c>
      <c r="I26" s="100"/>
      <c r="J26" s="100">
        <f>D26*100</f>
        <v>25000</v>
      </c>
    </row>
    <row r="27" spans="1:10" s="10" customFormat="1" ht="27.6" customHeight="1" x14ac:dyDescent="0.25">
      <c r="A27" s="1536" t="s">
        <v>35</v>
      </c>
      <c r="B27" s="1536"/>
      <c r="C27" s="90"/>
      <c r="D27" s="90"/>
      <c r="E27" s="408"/>
      <c r="F27" s="408">
        <f>F26</f>
        <v>17.52</v>
      </c>
      <c r="G27" s="855"/>
      <c r="H27" s="855"/>
      <c r="I27" s="21"/>
      <c r="J27" s="408"/>
    </row>
    <row r="28" spans="1:10" s="10" customFormat="1" ht="25.35" customHeight="1" x14ac:dyDescent="0.25">
      <c r="A28" s="1536" t="s">
        <v>36</v>
      </c>
      <c r="B28" s="1536"/>
      <c r="C28" s="90">
        <v>250</v>
      </c>
      <c r="D28" s="90"/>
      <c r="E28" s="408"/>
      <c r="F28" s="408"/>
      <c r="G28" s="408"/>
      <c r="H28" s="408"/>
      <c r="I28" s="21"/>
      <c r="J28" s="17"/>
    </row>
    <row r="29" spans="1:10" s="10" customFormat="1" ht="25.35" customHeight="1" x14ac:dyDescent="0.25">
      <c r="A29" s="1537" t="s">
        <v>37</v>
      </c>
      <c r="B29" s="1538"/>
      <c r="C29" s="91">
        <v>250</v>
      </c>
      <c r="D29" s="92"/>
      <c r="E29" s="854"/>
      <c r="F29" s="854"/>
      <c r="G29" s="854"/>
      <c r="H29" s="854"/>
      <c r="I29" s="21"/>
      <c r="J29" s="17"/>
    </row>
    <row r="30" spans="1:10" s="10" customFormat="1" ht="15" customHeight="1" x14ac:dyDescent="0.25">
      <c r="A30" s="1539" t="s">
        <v>38</v>
      </c>
      <c r="B30" s="1540"/>
      <c r="C30" s="92">
        <f>C28/C29</f>
        <v>1</v>
      </c>
      <c r="D30" s="92"/>
      <c r="E30" s="854"/>
      <c r="F30" s="854"/>
      <c r="G30" s="854"/>
      <c r="H30" s="854"/>
      <c r="I30" s="21"/>
      <c r="J30" s="17"/>
    </row>
    <row r="31" spans="1:10" ht="16.350000000000001" customHeight="1" x14ac:dyDescent="0.25">
      <c r="A31" s="1541" t="s">
        <v>39</v>
      </c>
      <c r="B31" s="1542"/>
      <c r="C31" s="15" t="s">
        <v>40</v>
      </c>
      <c r="D31" s="102"/>
      <c r="E31" s="102" t="s">
        <v>40</v>
      </c>
      <c r="F31" s="16">
        <f>F27/C30</f>
        <v>17.52</v>
      </c>
      <c r="G31" s="16"/>
      <c r="H31" s="16"/>
      <c r="I31" s="102" t="s">
        <v>40</v>
      </c>
      <c r="J31" s="102" t="s">
        <v>40</v>
      </c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193"/>
      <c r="B33" s="1194" t="s">
        <v>49</v>
      </c>
      <c r="C33" s="1198"/>
      <c r="D33" s="1198"/>
      <c r="E33" s="1198"/>
      <c r="F33" s="1198"/>
      <c r="G33" s="1193"/>
      <c r="H33" s="1557">
        <f>'1-бутерброд с маслом'!$H$28</f>
        <v>0</v>
      </c>
      <c r="I33" s="1557"/>
      <c r="J33" s="1557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545" t="s">
        <v>327</v>
      </c>
      <c r="B35" s="1545"/>
      <c r="C35" s="1546" t="s">
        <v>328</v>
      </c>
      <c r="D35" s="1546"/>
      <c r="E35" s="1546"/>
      <c r="F35" s="1546"/>
      <c r="G35" s="106"/>
      <c r="H35" s="1531"/>
      <c r="I35" s="1531"/>
      <c r="J35" s="1531"/>
    </row>
    <row r="36" spans="1:10" x14ac:dyDescent="0.25">
      <c r="A36" s="1193"/>
      <c r="B36" s="1193"/>
      <c r="C36" s="1546"/>
      <c r="D36" s="1546"/>
      <c r="E36" s="1546"/>
      <c r="F36" s="1546"/>
      <c r="G36" s="1193"/>
      <c r="H36" s="1531" t="s">
        <v>329</v>
      </c>
      <c r="I36" s="1531"/>
      <c r="J36" s="1531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5:B35"/>
    <mergeCell ref="C35:F36"/>
    <mergeCell ref="H35:J35"/>
    <mergeCell ref="H36:J36"/>
    <mergeCell ref="H33:J33"/>
    <mergeCell ref="A28:B28"/>
    <mergeCell ref="A29:B29"/>
    <mergeCell ref="A30:B30"/>
    <mergeCell ref="A31:B31"/>
    <mergeCell ref="A27:B27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2F030"/>
  </sheetPr>
  <dimension ref="A1:J41"/>
  <sheetViews>
    <sheetView view="pageBreakPreview" topLeftCell="A13" zoomScaleNormal="100" zoomScaleSheetLayoutView="100" workbookViewId="0">
      <selection activeCell="N3" sqref="N3"/>
    </sheetView>
  </sheetViews>
  <sheetFormatPr defaultColWidth="8.88671875" defaultRowHeight="13.8" x14ac:dyDescent="0.25"/>
  <cols>
    <col min="1" max="1" width="4.109375" style="899" customWidth="1"/>
    <col min="2" max="2" width="21.109375" style="899" customWidth="1"/>
    <col min="3" max="7" width="7.5546875" style="899" customWidth="1"/>
    <col min="8" max="8" width="8.88671875" style="899" customWidth="1"/>
    <col min="9" max="9" width="7.5546875" style="899" customWidth="1"/>
    <col min="10" max="10" width="9" style="899" customWidth="1"/>
    <col min="11" max="11" width="4.88671875" style="899" customWidth="1"/>
    <col min="12" max="16384" width="8.88671875" style="89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318)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69" t="s">
        <v>1206</v>
      </c>
      <c r="J7" s="1569"/>
    </row>
    <row r="8" spans="1:10" s="2" customFormat="1" ht="9.6" customHeight="1" x14ac:dyDescent="0.25">
      <c r="A8" s="903"/>
      <c r="B8" s="903"/>
      <c r="C8" s="903"/>
      <c r="D8" s="903"/>
      <c r="E8" s="903"/>
      <c r="F8" s="903"/>
      <c r="G8" s="903"/>
      <c r="H8" s="903"/>
      <c r="I8" s="903"/>
      <c r="J8" s="109"/>
    </row>
    <row r="9" spans="1:10" s="2" customFormat="1" ht="26.1" customHeight="1" x14ac:dyDescent="0.3">
      <c r="A9" s="1550" t="s">
        <v>793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56.4" customHeight="1" x14ac:dyDescent="0.25">
      <c r="A11" s="1551" t="s">
        <v>1207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E12" s="101"/>
      <c r="F12" s="101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902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'каша дружба 54-16к-2020'!H14+1</f>
        <v>318</v>
      </c>
      <c r="I14" s="1534">
        <v>44440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00" t="s">
        <v>92</v>
      </c>
      <c r="D17" s="900" t="s">
        <v>94</v>
      </c>
      <c r="E17" s="900" t="s">
        <v>93</v>
      </c>
      <c r="F17" s="900" t="s">
        <v>23</v>
      </c>
      <c r="G17" s="900" t="s">
        <v>92</v>
      </c>
      <c r="H17" s="900" t="s">
        <v>94</v>
      </c>
      <c r="I17" s="900" t="s">
        <v>92</v>
      </c>
      <c r="J17" s="900" t="s">
        <v>94</v>
      </c>
    </row>
    <row r="18" spans="1:10" ht="9.6" customHeight="1" x14ac:dyDescent="0.25">
      <c r="A18" s="900">
        <v>1</v>
      </c>
      <c r="B18" s="902">
        <v>2</v>
      </c>
      <c r="C18" s="900">
        <v>3</v>
      </c>
      <c r="D18" s="902">
        <v>4</v>
      </c>
      <c r="E18" s="900">
        <v>5</v>
      </c>
      <c r="F18" s="902">
        <v>6</v>
      </c>
      <c r="G18" s="900">
        <v>7</v>
      </c>
      <c r="H18" s="902">
        <v>8</v>
      </c>
      <c r="I18" s="900">
        <v>9</v>
      </c>
      <c r="J18" s="902">
        <v>10</v>
      </c>
    </row>
    <row r="19" spans="1:10" s="10" customFormat="1" ht="15" customHeight="1" x14ac:dyDescent="0.25">
      <c r="A19" s="180">
        <v>1</v>
      </c>
      <c r="B19" s="20" t="s">
        <v>791</v>
      </c>
      <c r="C19" s="111">
        <v>0.15820000000000001</v>
      </c>
      <c r="D19" s="111">
        <v>0.12180000000000001</v>
      </c>
      <c r="E19" s="408">
        <f>цены!F16</f>
        <v>332</v>
      </c>
      <c r="F19" s="408">
        <f>C19*E19</f>
        <v>52.52</v>
      </c>
      <c r="G19" s="97">
        <f t="shared" ref="G19:H27" si="0">C19*10</f>
        <v>1.5820000000000001</v>
      </c>
      <c r="H19" s="21">
        <f t="shared" si="0"/>
        <v>1.218</v>
      </c>
      <c r="I19" s="21">
        <f t="shared" ref="I19:J27" si="1">C19*100</f>
        <v>15.82</v>
      </c>
      <c r="J19" s="21">
        <f t="shared" si="1"/>
        <v>12.18</v>
      </c>
    </row>
    <row r="20" spans="1:10" s="10" customFormat="1" ht="14.4" customHeight="1" x14ac:dyDescent="0.25">
      <c r="A20" s="180">
        <v>2</v>
      </c>
      <c r="B20" s="20" t="s">
        <v>28</v>
      </c>
      <c r="C20" s="111">
        <v>3.4599999999999999E-2</v>
      </c>
      <c r="D20" s="111">
        <v>3.4599999999999999E-2</v>
      </c>
      <c r="E20" s="408"/>
      <c r="F20" s="408">
        <f>C20*E20</f>
        <v>0</v>
      </c>
      <c r="G20" s="97">
        <f t="shared" si="0"/>
        <v>0.34599999999999997</v>
      </c>
      <c r="H20" s="21">
        <f t="shared" si="0"/>
        <v>0.34599999999999997</v>
      </c>
      <c r="I20" s="21">
        <f t="shared" si="1"/>
        <v>3.46</v>
      </c>
      <c r="J20" s="21">
        <f t="shared" si="1"/>
        <v>3.46</v>
      </c>
    </row>
    <row r="21" spans="1:10" s="10" customFormat="1" ht="14.4" customHeight="1" x14ac:dyDescent="0.25">
      <c r="A21" s="180">
        <v>3</v>
      </c>
      <c r="B21" s="20" t="s">
        <v>47</v>
      </c>
      <c r="C21" s="111">
        <v>4.48E-2</v>
      </c>
      <c r="D21" s="111">
        <v>3.5000000000000003E-2</v>
      </c>
      <c r="E21" s="408">
        <f>цены!F44</f>
        <v>50</v>
      </c>
      <c r="F21" s="408">
        <f t="shared" ref="F21:F27" si="2">C21*E21</f>
        <v>2.2400000000000002</v>
      </c>
      <c r="G21" s="97">
        <f t="shared" si="0"/>
        <v>0.44800000000000001</v>
      </c>
      <c r="H21" s="21">
        <f t="shared" si="0"/>
        <v>0.35</v>
      </c>
      <c r="I21" s="21">
        <f t="shared" si="1"/>
        <v>4.4800000000000004</v>
      </c>
      <c r="J21" s="21">
        <f t="shared" si="1"/>
        <v>3.5</v>
      </c>
    </row>
    <row r="22" spans="1:10" s="10" customFormat="1" ht="14.4" customHeight="1" x14ac:dyDescent="0.25">
      <c r="A22" s="180">
        <v>4</v>
      </c>
      <c r="B22" s="20" t="s">
        <v>102</v>
      </c>
      <c r="C22" s="111">
        <v>7.0000000000000001E-3</v>
      </c>
      <c r="D22" s="111">
        <v>5.5999999999999999E-3</v>
      </c>
      <c r="E22" s="408">
        <f>цены!F47</f>
        <v>300</v>
      </c>
      <c r="F22" s="408">
        <f t="shared" si="2"/>
        <v>2.1</v>
      </c>
      <c r="G22" s="97">
        <f t="shared" si="0"/>
        <v>7.0000000000000007E-2</v>
      </c>
      <c r="H22" s="21">
        <f t="shared" si="0"/>
        <v>5.6000000000000001E-2</v>
      </c>
      <c r="I22" s="21">
        <f t="shared" si="1"/>
        <v>0.7</v>
      </c>
      <c r="J22" s="21">
        <f t="shared" si="1"/>
        <v>0.56000000000000005</v>
      </c>
    </row>
    <row r="23" spans="1:10" s="10" customFormat="1" ht="14.1" customHeight="1" x14ac:dyDescent="0.25">
      <c r="A23" s="180">
        <v>5</v>
      </c>
      <c r="B23" s="20" t="s">
        <v>48</v>
      </c>
      <c r="C23" s="111">
        <v>2.3800000000000002E-2</v>
      </c>
      <c r="D23" s="111">
        <v>1.9599999999999999E-2</v>
      </c>
      <c r="E23" s="408">
        <f>цены!F38</f>
        <v>50</v>
      </c>
      <c r="F23" s="408">
        <f t="shared" si="2"/>
        <v>1.19</v>
      </c>
      <c r="G23" s="97">
        <f t="shared" si="0"/>
        <v>0.23799999999999999</v>
      </c>
      <c r="H23" s="21">
        <f t="shared" si="0"/>
        <v>0.19600000000000001</v>
      </c>
      <c r="I23" s="21">
        <f t="shared" si="1"/>
        <v>2.38</v>
      </c>
      <c r="J23" s="21">
        <f t="shared" si="1"/>
        <v>1.96</v>
      </c>
    </row>
    <row r="24" spans="1:10" s="10" customFormat="1" ht="14.1" customHeight="1" x14ac:dyDescent="0.25">
      <c r="A24" s="180">
        <v>6</v>
      </c>
      <c r="B24" s="20" t="s">
        <v>46</v>
      </c>
      <c r="C24" s="111">
        <v>1.26E-2</v>
      </c>
      <c r="D24" s="111">
        <v>2.5999999999999999E-2</v>
      </c>
      <c r="E24" s="408">
        <f>цены!F113</f>
        <v>230</v>
      </c>
      <c r="F24" s="408">
        <f t="shared" si="2"/>
        <v>2.9</v>
      </c>
      <c r="G24" s="97">
        <f t="shared" si="0"/>
        <v>0.126</v>
      </c>
      <c r="H24" s="21">
        <f t="shared" si="0"/>
        <v>0.26</v>
      </c>
      <c r="I24" s="21">
        <f t="shared" si="1"/>
        <v>1.26</v>
      </c>
      <c r="J24" s="21">
        <f t="shared" si="1"/>
        <v>2.6</v>
      </c>
    </row>
    <row r="25" spans="1:10" s="10" customFormat="1" ht="14.1" customHeight="1" x14ac:dyDescent="0.25">
      <c r="A25" s="180">
        <v>7</v>
      </c>
      <c r="B25" s="20" t="s">
        <v>74</v>
      </c>
      <c r="C25" s="111">
        <v>1.06E-2</v>
      </c>
      <c r="D25" s="111">
        <v>1.06E-2</v>
      </c>
      <c r="E25" s="408">
        <f>цены!F87</f>
        <v>120</v>
      </c>
      <c r="F25" s="408">
        <f t="shared" si="2"/>
        <v>1.27</v>
      </c>
      <c r="G25" s="97">
        <f t="shared" si="0"/>
        <v>0.106</v>
      </c>
      <c r="H25" s="21">
        <f t="shared" si="0"/>
        <v>0.106</v>
      </c>
      <c r="I25" s="21">
        <f t="shared" si="1"/>
        <v>1.06</v>
      </c>
      <c r="J25" s="21">
        <f t="shared" si="1"/>
        <v>1.06</v>
      </c>
    </row>
    <row r="26" spans="1:10" s="10" customFormat="1" ht="14.1" customHeight="1" x14ac:dyDescent="0.25">
      <c r="A26" s="180">
        <v>8</v>
      </c>
      <c r="B26" s="20" t="s">
        <v>30</v>
      </c>
      <c r="C26" s="111">
        <v>3.5999999999999999E-3</v>
      </c>
      <c r="D26" s="111">
        <v>3.5999999999999999E-3</v>
      </c>
      <c r="E26" s="408">
        <f>цены!F107</f>
        <v>76</v>
      </c>
      <c r="F26" s="408">
        <f t="shared" si="2"/>
        <v>0.27</v>
      </c>
      <c r="G26" s="97">
        <f t="shared" si="0"/>
        <v>3.5999999999999997E-2</v>
      </c>
      <c r="H26" s="21">
        <f t="shared" si="0"/>
        <v>3.5999999999999997E-2</v>
      </c>
      <c r="I26" s="21">
        <f t="shared" si="1"/>
        <v>0.36</v>
      </c>
      <c r="J26" s="21">
        <f t="shared" si="1"/>
        <v>0.36</v>
      </c>
    </row>
    <row r="27" spans="1:10" s="10" customFormat="1" ht="14.1" customHeight="1" x14ac:dyDescent="0.25">
      <c r="A27" s="180">
        <v>9</v>
      </c>
      <c r="B27" s="20" t="s">
        <v>33</v>
      </c>
      <c r="C27" s="111">
        <v>4.0000000000000002E-4</v>
      </c>
      <c r="D27" s="111">
        <v>4.0000000000000002E-4</v>
      </c>
      <c r="E27" s="408">
        <f>цены!F110</f>
        <v>24</v>
      </c>
      <c r="F27" s="408">
        <f t="shared" si="2"/>
        <v>0.01</v>
      </c>
      <c r="G27" s="97">
        <f t="shared" si="0"/>
        <v>4.0000000000000001E-3</v>
      </c>
      <c r="H27" s="21">
        <f t="shared" si="0"/>
        <v>4.0000000000000001E-3</v>
      </c>
      <c r="I27" s="21">
        <f t="shared" si="1"/>
        <v>0.04</v>
      </c>
      <c r="J27" s="21">
        <f t="shared" si="1"/>
        <v>0.04</v>
      </c>
    </row>
    <row r="28" spans="1:10" s="10" customFormat="1" ht="14.1" customHeight="1" x14ac:dyDescent="0.25">
      <c r="A28" s="184"/>
      <c r="B28" s="93" t="s">
        <v>771</v>
      </c>
      <c r="C28" s="100"/>
      <c r="D28" s="100">
        <v>70</v>
      </c>
      <c r="E28" s="95"/>
      <c r="F28" s="95"/>
      <c r="G28" s="99"/>
      <c r="H28" s="100"/>
      <c r="I28" s="100"/>
      <c r="J28" s="100"/>
    </row>
    <row r="29" spans="1:10" s="10" customFormat="1" ht="36" customHeight="1" x14ac:dyDescent="0.25">
      <c r="A29" s="184"/>
      <c r="B29" s="93" t="s">
        <v>772</v>
      </c>
      <c r="C29" s="100"/>
      <c r="D29" s="100">
        <v>140</v>
      </c>
      <c r="E29" s="95"/>
      <c r="F29" s="95"/>
      <c r="G29" s="99"/>
      <c r="H29" s="100"/>
      <c r="I29" s="100"/>
      <c r="J29" s="100"/>
    </row>
    <row r="30" spans="1:10" s="10" customFormat="1" ht="17.399999999999999" customHeight="1" x14ac:dyDescent="0.25">
      <c r="A30" s="184"/>
      <c r="B30" s="93" t="s">
        <v>773</v>
      </c>
      <c r="C30" s="100"/>
      <c r="D30" s="100">
        <v>140</v>
      </c>
      <c r="E30" s="95"/>
      <c r="F30" s="95">
        <f>SUM(F19:F27)</f>
        <v>62.5</v>
      </c>
      <c r="G30" s="99"/>
      <c r="H30" s="100"/>
      <c r="I30" s="100"/>
      <c r="J30" s="100"/>
    </row>
    <row r="31" spans="1:10" s="10" customFormat="1" ht="12.6" customHeight="1" x14ac:dyDescent="0.25">
      <c r="A31" s="129">
        <v>8</v>
      </c>
      <c r="B31" s="123" t="s">
        <v>774</v>
      </c>
      <c r="C31" s="130"/>
      <c r="D31" s="130"/>
      <c r="E31" s="127"/>
      <c r="F31" s="408"/>
      <c r="G31" s="97"/>
      <c r="H31" s="21"/>
      <c r="I31" s="21"/>
      <c r="J31" s="21"/>
    </row>
    <row r="32" spans="1:10" s="10" customFormat="1" ht="27.6" customHeight="1" x14ac:dyDescent="0.25">
      <c r="A32" s="1536" t="s">
        <v>35</v>
      </c>
      <c r="B32" s="1536"/>
      <c r="C32" s="90"/>
      <c r="D32" s="90"/>
      <c r="E32" s="408"/>
      <c r="F32" s="408">
        <f>F30</f>
        <v>62.5</v>
      </c>
      <c r="G32" s="901"/>
      <c r="H32" s="901"/>
      <c r="I32" s="21"/>
      <c r="J32" s="408"/>
    </row>
    <row r="33" spans="1:10" s="10" customFormat="1" ht="25.35" customHeight="1" x14ac:dyDescent="0.25">
      <c r="A33" s="1536" t="s">
        <v>36</v>
      </c>
      <c r="B33" s="1536"/>
      <c r="C33" s="90">
        <v>140</v>
      </c>
      <c r="D33" s="90"/>
      <c r="E33" s="408"/>
      <c r="F33" s="408"/>
      <c r="G33" s="408"/>
      <c r="H33" s="408"/>
      <c r="I33" s="21"/>
      <c r="J33" s="17"/>
    </row>
    <row r="34" spans="1:10" s="10" customFormat="1" ht="25.35" customHeight="1" x14ac:dyDescent="0.25">
      <c r="A34" s="1537" t="s">
        <v>37</v>
      </c>
      <c r="B34" s="1538"/>
      <c r="C34" s="91">
        <v>140</v>
      </c>
      <c r="D34" s="92"/>
      <c r="E34" s="902"/>
      <c r="F34" s="902"/>
      <c r="G34" s="902"/>
      <c r="H34" s="902"/>
      <c r="I34" s="21"/>
      <c r="J34" s="17"/>
    </row>
    <row r="35" spans="1:10" s="10" customFormat="1" ht="15" customHeight="1" x14ac:dyDescent="0.25">
      <c r="A35" s="1539" t="s">
        <v>38</v>
      </c>
      <c r="B35" s="1540"/>
      <c r="C35" s="92">
        <f>C33/C34</f>
        <v>1</v>
      </c>
      <c r="D35" s="92"/>
      <c r="E35" s="902"/>
      <c r="F35" s="902"/>
      <c r="G35" s="902"/>
      <c r="H35" s="902"/>
      <c r="I35" s="21"/>
      <c r="J35" s="17"/>
    </row>
    <row r="36" spans="1:10" ht="16.350000000000001" customHeight="1" x14ac:dyDescent="0.25">
      <c r="A36" s="1541" t="s">
        <v>39</v>
      </c>
      <c r="B36" s="1542"/>
      <c r="C36" s="15" t="s">
        <v>40</v>
      </c>
      <c r="D36" s="102"/>
      <c r="E36" s="102" t="s">
        <v>40</v>
      </c>
      <c r="F36" s="16">
        <f>F32/C35</f>
        <v>62.5</v>
      </c>
      <c r="G36" s="16"/>
      <c r="H36" s="16"/>
      <c r="I36" s="102" t="s">
        <v>40</v>
      </c>
      <c r="J36" s="102" t="s">
        <v>40</v>
      </c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193"/>
      <c r="B38" s="1194" t="s">
        <v>49</v>
      </c>
      <c r="C38" s="1198"/>
      <c r="D38" s="1198"/>
      <c r="E38" s="1198"/>
      <c r="F38" s="1198"/>
      <c r="G38" s="1193"/>
      <c r="H38" s="1557">
        <f>'1-бутерброд с маслом'!$H$28</f>
        <v>0</v>
      </c>
      <c r="I38" s="1557"/>
      <c r="J38" s="1557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545" t="s">
        <v>327</v>
      </c>
      <c r="B40" s="1545"/>
      <c r="C40" s="1546" t="s">
        <v>328</v>
      </c>
      <c r="D40" s="1546"/>
      <c r="E40" s="1546"/>
      <c r="F40" s="1546"/>
      <c r="G40" s="106"/>
      <c r="H40" s="1531"/>
      <c r="I40" s="1531"/>
      <c r="J40" s="1531"/>
    </row>
    <row r="41" spans="1:10" x14ac:dyDescent="0.25">
      <c r="A41" s="1193"/>
      <c r="B41" s="1193"/>
      <c r="C41" s="1546"/>
      <c r="D41" s="1546"/>
      <c r="E41" s="1546"/>
      <c r="F41" s="1546"/>
      <c r="G41" s="1193"/>
      <c r="H41" s="1531" t="s">
        <v>329</v>
      </c>
      <c r="I41" s="1531"/>
      <c r="J41" s="1531"/>
    </row>
  </sheetData>
  <mergeCells count="29">
    <mergeCell ref="H38:J38"/>
    <mergeCell ref="A7:H7"/>
    <mergeCell ref="I7:J7"/>
    <mergeCell ref="A33:B33"/>
    <mergeCell ref="A34:B34"/>
    <mergeCell ref="A35:B35"/>
    <mergeCell ref="A36:B36"/>
    <mergeCell ref="A16:A17"/>
    <mergeCell ref="B16:B17"/>
    <mergeCell ref="C16:F16"/>
    <mergeCell ref="G16:H16"/>
    <mergeCell ref="I16:J16"/>
    <mergeCell ref="A32:B32"/>
    <mergeCell ref="A40:B40"/>
    <mergeCell ref="C40:F41"/>
    <mergeCell ref="H40:J40"/>
    <mergeCell ref="H41:J41"/>
    <mergeCell ref="G1:J1"/>
    <mergeCell ref="G2:J2"/>
    <mergeCell ref="G3:J3"/>
    <mergeCell ref="A5:G5"/>
    <mergeCell ref="H5:I5"/>
    <mergeCell ref="A6:G6"/>
    <mergeCell ref="A9:J9"/>
    <mergeCell ref="A11:J11"/>
    <mergeCell ref="I13:J13"/>
    <mergeCell ref="C14:G14"/>
    <mergeCell ref="I14:J14"/>
    <mergeCell ref="A13:G13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39"/>
  <sheetViews>
    <sheetView view="pageBreakPreview" zoomScaleNormal="100" zoomScaleSheetLayoutView="100" workbookViewId="0">
      <selection activeCell="O19" sqref="O19"/>
    </sheetView>
  </sheetViews>
  <sheetFormatPr defaultColWidth="8.88671875" defaultRowHeight="13.8" x14ac:dyDescent="0.25"/>
  <cols>
    <col min="1" max="1" width="4.109375" style="930" customWidth="1"/>
    <col min="2" max="2" width="21.109375" style="930" customWidth="1"/>
    <col min="3" max="7" width="7.5546875" style="930" customWidth="1"/>
    <col min="8" max="8" width="7.88671875" style="930" customWidth="1"/>
    <col min="9" max="9" width="7.5546875" style="930" customWidth="1"/>
    <col min="10" max="10" width="8.109375" style="930" customWidth="1"/>
    <col min="11" max="16384" width="8.88671875" style="930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319)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935">
        <v>463</v>
      </c>
    </row>
    <row r="8" spans="1:10" s="2" customFormat="1" ht="9.6" customHeight="1" x14ac:dyDescent="0.25">
      <c r="A8" s="934"/>
      <c r="B8" s="934"/>
      <c r="C8" s="934"/>
      <c r="D8" s="934"/>
      <c r="E8" s="934"/>
      <c r="F8" s="934"/>
      <c r="G8" s="934"/>
      <c r="H8" s="934"/>
      <c r="I8" s="934"/>
      <c r="J8" s="109"/>
    </row>
    <row r="9" spans="1:10" s="2" customFormat="1" ht="26.1" customHeight="1" x14ac:dyDescent="0.3">
      <c r="A9" s="1550" t="s">
        <v>1219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1217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E12" s="101"/>
      <c r="F12" s="101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933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'54-11р-рыба тушен. минтай филе'!H14+1</f>
        <v>319</v>
      </c>
      <c r="I14" s="1534">
        <v>44440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1" ht="26.4" customHeight="1" x14ac:dyDescent="0.25">
      <c r="A17" s="1543"/>
      <c r="B17" s="1543"/>
      <c r="C17" s="931" t="s">
        <v>92</v>
      </c>
      <c r="D17" s="931" t="s">
        <v>94</v>
      </c>
      <c r="E17" s="931" t="s">
        <v>93</v>
      </c>
      <c r="F17" s="931" t="s">
        <v>23</v>
      </c>
      <c r="G17" s="931" t="s">
        <v>92</v>
      </c>
      <c r="H17" s="931" t="s">
        <v>94</v>
      </c>
      <c r="I17" s="931" t="s">
        <v>92</v>
      </c>
      <c r="J17" s="931" t="s">
        <v>94</v>
      </c>
    </row>
    <row r="18" spans="1:11" ht="9.6" customHeight="1" x14ac:dyDescent="0.25">
      <c r="A18" s="931">
        <v>1</v>
      </c>
      <c r="B18" s="933">
        <v>2</v>
      </c>
      <c r="C18" s="931">
        <v>3</v>
      </c>
      <c r="D18" s="933">
        <v>4</v>
      </c>
      <c r="E18" s="931">
        <v>5</v>
      </c>
      <c r="F18" s="933">
        <v>6</v>
      </c>
      <c r="G18" s="931">
        <v>7</v>
      </c>
      <c r="H18" s="933">
        <v>8</v>
      </c>
      <c r="I18" s="931">
        <v>9</v>
      </c>
      <c r="J18" s="933">
        <v>10</v>
      </c>
    </row>
    <row r="19" spans="1:11" s="10" customFormat="1" ht="12" customHeight="1" x14ac:dyDescent="0.25">
      <c r="A19" s="180">
        <v>1</v>
      </c>
      <c r="B19" s="20" t="s">
        <v>141</v>
      </c>
      <c r="C19" s="111">
        <v>0.5</v>
      </c>
      <c r="D19" s="111">
        <v>0.5</v>
      </c>
      <c r="E19" s="408"/>
      <c r="F19" s="408">
        <f t="shared" ref="F19:F20" si="0">C19*E19</f>
        <v>0</v>
      </c>
      <c r="G19" s="97">
        <f t="shared" ref="G19:H20" si="1">C19*10</f>
        <v>5</v>
      </c>
      <c r="H19" s="21">
        <f t="shared" si="1"/>
        <v>5</v>
      </c>
      <c r="I19" s="21">
        <f t="shared" ref="I19:J20" si="2">C19*100</f>
        <v>50</v>
      </c>
      <c r="J19" s="21">
        <f t="shared" si="2"/>
        <v>50</v>
      </c>
    </row>
    <row r="20" spans="1:11" s="10" customFormat="1" ht="12" customHeight="1" x14ac:dyDescent="0.25">
      <c r="A20" s="180">
        <v>2</v>
      </c>
      <c r="B20" s="20" t="s">
        <v>1218</v>
      </c>
      <c r="C20" s="111">
        <v>0.05</v>
      </c>
      <c r="D20" s="111">
        <v>0.05</v>
      </c>
      <c r="E20" s="408">
        <f>цены!F21</f>
        <v>710</v>
      </c>
      <c r="F20" s="408">
        <f t="shared" si="0"/>
        <v>35.5</v>
      </c>
      <c r="G20" s="97">
        <f t="shared" si="1"/>
        <v>0.5</v>
      </c>
      <c r="H20" s="21">
        <f t="shared" si="1"/>
        <v>0.5</v>
      </c>
      <c r="I20" s="21">
        <f t="shared" si="2"/>
        <v>5</v>
      </c>
      <c r="J20" s="21">
        <f t="shared" si="2"/>
        <v>5</v>
      </c>
    </row>
    <row r="21" spans="1:11" s="10" customFormat="1" ht="12" customHeight="1" x14ac:dyDescent="0.25">
      <c r="A21" s="180">
        <v>3</v>
      </c>
      <c r="B21" s="20" t="s">
        <v>341</v>
      </c>
      <c r="C21" s="111">
        <v>2.5000000000000001E-2</v>
      </c>
      <c r="D21" s="111">
        <v>2.5000000000000001E-2</v>
      </c>
      <c r="E21" s="408">
        <f>цены!F74</f>
        <v>36</v>
      </c>
      <c r="F21" s="408">
        <f t="shared" ref="F21:F28" si="3">C21*E21</f>
        <v>0.9</v>
      </c>
      <c r="G21" s="97">
        <f t="shared" ref="G21:G27" si="4">C21*10</f>
        <v>0.25</v>
      </c>
      <c r="H21" s="21">
        <f t="shared" ref="H21:H27" si="5">D21*10</f>
        <v>0.25</v>
      </c>
      <c r="I21" s="21">
        <f t="shared" ref="I21:I27" si="6">C21*100</f>
        <v>2.5</v>
      </c>
      <c r="J21" s="21">
        <f t="shared" ref="J21:J27" si="7">D21*100</f>
        <v>2.5</v>
      </c>
    </row>
    <row r="22" spans="1:11" s="10" customFormat="1" ht="12" customHeight="1" x14ac:dyDescent="0.25">
      <c r="A22" s="180">
        <v>4</v>
      </c>
      <c r="B22" s="20" t="s">
        <v>47</v>
      </c>
      <c r="C22" s="111">
        <v>0.05</v>
      </c>
      <c r="D22" s="111">
        <v>0.04</v>
      </c>
      <c r="E22" s="408">
        <f>цены!F44</f>
        <v>50</v>
      </c>
      <c r="F22" s="408">
        <f t="shared" si="3"/>
        <v>2.5</v>
      </c>
      <c r="G22" s="97">
        <f t="shared" si="4"/>
        <v>0.5</v>
      </c>
      <c r="H22" s="21">
        <f t="shared" si="5"/>
        <v>0.4</v>
      </c>
      <c r="I22" s="21">
        <f t="shared" si="6"/>
        <v>5</v>
      </c>
      <c r="J22" s="21">
        <f t="shared" si="7"/>
        <v>4</v>
      </c>
      <c r="K22" s="936">
        <v>0.8</v>
      </c>
    </row>
    <row r="23" spans="1:11" s="10" customFormat="1" ht="12" customHeight="1" x14ac:dyDescent="0.25">
      <c r="A23" s="180">
        <v>5</v>
      </c>
      <c r="B23" s="20" t="s">
        <v>48</v>
      </c>
      <c r="C23" s="111">
        <v>4.8000000000000001E-2</v>
      </c>
      <c r="D23" s="111">
        <v>0.04</v>
      </c>
      <c r="E23" s="408">
        <f>цены!F38</f>
        <v>50</v>
      </c>
      <c r="F23" s="408">
        <f t="shared" si="3"/>
        <v>2.4</v>
      </c>
      <c r="G23" s="97">
        <f t="shared" si="4"/>
        <v>0.48</v>
      </c>
      <c r="H23" s="21">
        <f t="shared" si="5"/>
        <v>0.4</v>
      </c>
      <c r="I23" s="21">
        <f t="shared" si="6"/>
        <v>4.8</v>
      </c>
      <c r="J23" s="21">
        <f t="shared" si="7"/>
        <v>4</v>
      </c>
    </row>
    <row r="24" spans="1:11" s="10" customFormat="1" ht="12" customHeight="1" x14ac:dyDescent="0.25">
      <c r="A24" s="180">
        <v>6</v>
      </c>
      <c r="B24" s="20" t="s">
        <v>222</v>
      </c>
      <c r="C24" s="111">
        <v>0.04</v>
      </c>
      <c r="D24" s="111">
        <v>3.0800000000000001E-2</v>
      </c>
      <c r="E24" s="408">
        <f>цены!F47</f>
        <v>300</v>
      </c>
      <c r="F24" s="408">
        <f t="shared" si="3"/>
        <v>12</v>
      </c>
      <c r="G24" s="97">
        <f t="shared" si="4"/>
        <v>0.4</v>
      </c>
      <c r="H24" s="21">
        <f t="shared" si="5"/>
        <v>0.308</v>
      </c>
      <c r="I24" s="21">
        <f t="shared" si="6"/>
        <v>4</v>
      </c>
      <c r="J24" s="21">
        <f t="shared" si="7"/>
        <v>3.08</v>
      </c>
      <c r="K24" s="936">
        <v>0.77</v>
      </c>
    </row>
    <row r="25" spans="1:11" s="10" customFormat="1" ht="12" customHeight="1" x14ac:dyDescent="0.25">
      <c r="A25" s="180">
        <v>7</v>
      </c>
      <c r="B25" s="20" t="s">
        <v>46</v>
      </c>
      <c r="C25" s="111">
        <v>0.5</v>
      </c>
      <c r="D25" s="111">
        <v>0.5</v>
      </c>
      <c r="E25" s="408">
        <f>цены!F113</f>
        <v>230</v>
      </c>
      <c r="F25" s="408">
        <f t="shared" si="3"/>
        <v>115</v>
      </c>
      <c r="G25" s="97">
        <f t="shared" si="4"/>
        <v>5</v>
      </c>
      <c r="H25" s="21">
        <f t="shared" si="5"/>
        <v>5</v>
      </c>
      <c r="I25" s="21">
        <f t="shared" si="6"/>
        <v>50</v>
      </c>
      <c r="J25" s="21">
        <f t="shared" si="7"/>
        <v>50</v>
      </c>
    </row>
    <row r="26" spans="1:11" s="10" customFormat="1" ht="12" customHeight="1" x14ac:dyDescent="0.25">
      <c r="A26" s="180">
        <v>8</v>
      </c>
      <c r="B26" s="20" t="s">
        <v>30</v>
      </c>
      <c r="C26" s="111">
        <v>0.01</v>
      </c>
      <c r="D26" s="111">
        <v>0.01</v>
      </c>
      <c r="E26" s="408">
        <f>цены!F107</f>
        <v>76</v>
      </c>
      <c r="F26" s="408">
        <f t="shared" si="3"/>
        <v>0.76</v>
      </c>
      <c r="G26" s="97">
        <f t="shared" si="4"/>
        <v>0.1</v>
      </c>
      <c r="H26" s="21">
        <f t="shared" si="5"/>
        <v>0.1</v>
      </c>
      <c r="I26" s="21">
        <f t="shared" si="6"/>
        <v>1</v>
      </c>
      <c r="J26" s="21">
        <f t="shared" si="7"/>
        <v>1</v>
      </c>
    </row>
    <row r="27" spans="1:11" s="10" customFormat="1" ht="12" customHeight="1" x14ac:dyDescent="0.25">
      <c r="A27" s="180">
        <v>9</v>
      </c>
      <c r="B27" s="20" t="s">
        <v>33</v>
      </c>
      <c r="C27" s="111">
        <v>8.0000000000000002E-3</v>
      </c>
      <c r="D27" s="111">
        <v>8.0000000000000002E-3</v>
      </c>
      <c r="E27" s="408">
        <f>цены!F110</f>
        <v>24</v>
      </c>
      <c r="F27" s="408">
        <f t="shared" si="3"/>
        <v>0.19</v>
      </c>
      <c r="G27" s="97">
        <f t="shared" si="4"/>
        <v>0.08</v>
      </c>
      <c r="H27" s="21">
        <f t="shared" si="5"/>
        <v>0.08</v>
      </c>
      <c r="I27" s="21">
        <f t="shared" si="6"/>
        <v>0.8</v>
      </c>
      <c r="J27" s="21">
        <f t="shared" si="7"/>
        <v>0.8</v>
      </c>
    </row>
    <row r="28" spans="1:11" s="10" customFormat="1" ht="12" customHeight="1" x14ac:dyDescent="0.25">
      <c r="A28" s="180">
        <v>10</v>
      </c>
      <c r="B28" s="20" t="s">
        <v>84</v>
      </c>
      <c r="C28" s="113">
        <v>2.0000000000000002E-5</v>
      </c>
      <c r="D28" s="113">
        <v>2.0000000000000002E-5</v>
      </c>
      <c r="E28" s="408">
        <f>цены!F100</f>
        <v>1000</v>
      </c>
      <c r="F28" s="408">
        <f t="shared" si="3"/>
        <v>0.02</v>
      </c>
      <c r="G28" s="97">
        <f t="shared" ref="G28" si="8">C28*10</f>
        <v>0</v>
      </c>
      <c r="H28" s="21">
        <f t="shared" ref="H28" si="9">D28*10</f>
        <v>0</v>
      </c>
      <c r="I28" s="21">
        <f t="shared" ref="I28" si="10">C28*100</f>
        <v>2E-3</v>
      </c>
      <c r="J28" s="21">
        <f t="shared" ref="J28" si="11">D28*100</f>
        <v>2E-3</v>
      </c>
    </row>
    <row r="29" spans="1:11" s="10" customFormat="1" ht="12" customHeight="1" x14ac:dyDescent="0.25">
      <c r="A29" s="98"/>
      <c r="B29" s="93" t="s">
        <v>100</v>
      </c>
      <c r="C29" s="112"/>
      <c r="D29" s="112">
        <v>1</v>
      </c>
      <c r="E29" s="95"/>
      <c r="F29" s="95">
        <f>SUM(F19:F28)</f>
        <v>169.27</v>
      </c>
      <c r="G29" s="99"/>
      <c r="H29" s="100">
        <f>D29*10</f>
        <v>10</v>
      </c>
      <c r="I29" s="100"/>
      <c r="J29" s="100">
        <f>D29*100</f>
        <v>100</v>
      </c>
    </row>
    <row r="30" spans="1:11" s="10" customFormat="1" ht="27.6" customHeight="1" x14ac:dyDescent="0.25">
      <c r="A30" s="1536" t="s">
        <v>35</v>
      </c>
      <c r="B30" s="1536"/>
      <c r="C30" s="90"/>
      <c r="D30" s="90"/>
      <c r="E30" s="408"/>
      <c r="F30" s="408">
        <f>F29</f>
        <v>169.27</v>
      </c>
      <c r="G30" s="932"/>
      <c r="H30" s="932"/>
      <c r="I30" s="21"/>
      <c r="J30" s="408"/>
    </row>
    <row r="31" spans="1:11" s="10" customFormat="1" ht="25.35" customHeight="1" x14ac:dyDescent="0.25">
      <c r="A31" s="1536" t="s">
        <v>36</v>
      </c>
      <c r="B31" s="1536"/>
      <c r="C31" s="90">
        <v>1000</v>
      </c>
      <c r="D31" s="90"/>
      <c r="E31" s="408"/>
      <c r="F31" s="408"/>
      <c r="G31" s="408"/>
      <c r="H31" s="408"/>
      <c r="I31" s="21"/>
      <c r="J31" s="17"/>
    </row>
    <row r="32" spans="1:11" s="10" customFormat="1" ht="25.35" customHeight="1" x14ac:dyDescent="0.25">
      <c r="A32" s="1537" t="s">
        <v>37</v>
      </c>
      <c r="B32" s="1538"/>
      <c r="C32" s="91">
        <v>30</v>
      </c>
      <c r="D32" s="92"/>
      <c r="E32" s="933"/>
      <c r="F32" s="933"/>
      <c r="G32" s="933"/>
      <c r="H32" s="933"/>
      <c r="I32" s="21"/>
      <c r="J32" s="17"/>
    </row>
    <row r="33" spans="1:10" s="10" customFormat="1" ht="15" customHeight="1" x14ac:dyDescent="0.25">
      <c r="A33" s="1539" t="s">
        <v>38</v>
      </c>
      <c r="B33" s="1540"/>
      <c r="C33" s="92">
        <f>C31/C32</f>
        <v>33.332999999999998</v>
      </c>
      <c r="D33" s="92"/>
      <c r="E33" s="933"/>
      <c r="F33" s="933"/>
      <c r="G33" s="933"/>
      <c r="H33" s="933"/>
      <c r="I33" s="21"/>
      <c r="J33" s="17"/>
    </row>
    <row r="34" spans="1:10" ht="16.350000000000001" customHeight="1" x14ac:dyDescent="0.25">
      <c r="A34" s="1541" t="s">
        <v>39</v>
      </c>
      <c r="B34" s="1542"/>
      <c r="C34" s="15" t="s">
        <v>40</v>
      </c>
      <c r="D34" s="102"/>
      <c r="E34" s="102" t="s">
        <v>40</v>
      </c>
      <c r="F34" s="16">
        <f>F30/C33</f>
        <v>5.08</v>
      </c>
      <c r="G34" s="16"/>
      <c r="H34" s="16"/>
      <c r="I34" s="102" t="s">
        <v>40</v>
      </c>
      <c r="J34" s="102" t="s">
        <v>40</v>
      </c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193"/>
      <c r="B36" s="1194" t="s">
        <v>49</v>
      </c>
      <c r="C36" s="1198"/>
      <c r="D36" s="1198"/>
      <c r="E36" s="1198"/>
      <c r="F36" s="1198"/>
      <c r="G36" s="1193"/>
      <c r="H36" s="1557">
        <f>'1-бутерброд с маслом'!$H$28</f>
        <v>0</v>
      </c>
      <c r="I36" s="1557"/>
      <c r="J36" s="1557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545" t="s">
        <v>327</v>
      </c>
      <c r="B38" s="1545"/>
      <c r="C38" s="1546" t="s">
        <v>328</v>
      </c>
      <c r="D38" s="1546"/>
      <c r="E38" s="1546"/>
      <c r="F38" s="1546"/>
      <c r="G38" s="106"/>
      <c r="H38" s="1531"/>
      <c r="I38" s="1531"/>
      <c r="J38" s="1531"/>
    </row>
    <row r="39" spans="1:10" x14ac:dyDescent="0.25">
      <c r="A39" s="1193"/>
      <c r="B39" s="1193"/>
      <c r="C39" s="1546"/>
      <c r="D39" s="1546"/>
      <c r="E39" s="1546"/>
      <c r="F39" s="1546"/>
      <c r="G39" s="1193"/>
      <c r="H39" s="1531" t="s">
        <v>329</v>
      </c>
      <c r="I39" s="1531"/>
      <c r="J39" s="1531"/>
    </row>
  </sheetData>
  <mergeCells count="28">
    <mergeCell ref="A13:G13"/>
    <mergeCell ref="H36:J36"/>
    <mergeCell ref="A31:B31"/>
    <mergeCell ref="A32:B32"/>
    <mergeCell ref="A33:B33"/>
    <mergeCell ref="A34:B34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8:B38"/>
    <mergeCell ref="C38:F39"/>
    <mergeCell ref="H38:J38"/>
    <mergeCell ref="H39:J39"/>
    <mergeCell ref="H5:I5"/>
    <mergeCell ref="A6:G6"/>
    <mergeCell ref="A7:I7"/>
    <mergeCell ref="A30:B30"/>
    <mergeCell ref="A9:J9"/>
    <mergeCell ref="A11:J11"/>
    <mergeCell ref="I13:J13"/>
    <mergeCell ref="C14:G14"/>
  </mergeCells>
  <printOptions headings="1"/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M38"/>
  <sheetViews>
    <sheetView view="pageBreakPreview" topLeftCell="A20" zoomScaleNormal="100" zoomScaleSheetLayoutView="100" workbookViewId="0">
      <selection activeCell="A30" sqref="A30:J34"/>
    </sheetView>
  </sheetViews>
  <sheetFormatPr defaultRowHeight="13.8" x14ac:dyDescent="0.25"/>
  <cols>
    <col min="1" max="1" width="4.109375" customWidth="1"/>
    <col min="2" max="2" width="26" customWidth="1"/>
    <col min="3" max="3" width="7.6640625" customWidth="1"/>
    <col min="4" max="4" width="7.5546875" customWidth="1"/>
    <col min="5" max="5" width="7" customWidth="1"/>
    <col min="6" max="6" width="6.44140625" customWidth="1"/>
    <col min="7" max="7" width="7.5546875" customWidth="1"/>
    <col min="8" max="8" width="7.44140625" customWidth="1"/>
    <col min="9" max="9" width="8.44140625" customWidth="1"/>
    <col min="10" max="10" width="8.33203125" customWidth="1"/>
    <col min="11" max="11" width="5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367"/>
      <c r="I6" s="367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41</v>
      </c>
    </row>
    <row r="8" spans="1:10" s="2" customFormat="1" ht="9.6" customHeight="1" x14ac:dyDescent="0.25">
      <c r="A8" s="368"/>
      <c r="B8" s="368"/>
      <c r="C8" s="368"/>
      <c r="D8" s="368"/>
      <c r="E8" s="368"/>
      <c r="F8" s="368"/>
      <c r="G8" s="368"/>
      <c r="H8" s="368"/>
      <c r="I8" s="368"/>
      <c r="J8" s="109"/>
    </row>
    <row r="9" spans="1:10" s="2" customFormat="1" ht="26.1" customHeight="1" x14ac:dyDescent="0.3">
      <c r="A9" s="1550" t="s">
        <v>608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'40-салат картоф. с морк. и гор.'!H14+1</f>
        <v>28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34.950000000000003" customHeight="1" x14ac:dyDescent="0.25">
      <c r="A17" s="1543"/>
      <c r="B17" s="1543"/>
      <c r="C17" s="369" t="s">
        <v>92</v>
      </c>
      <c r="D17" s="369" t="s">
        <v>94</v>
      </c>
      <c r="E17" s="369" t="s">
        <v>93</v>
      </c>
      <c r="F17" s="369" t="s">
        <v>23</v>
      </c>
      <c r="G17" s="369" t="s">
        <v>92</v>
      </c>
      <c r="H17" s="369" t="s">
        <v>94</v>
      </c>
      <c r="I17" s="369" t="s">
        <v>92</v>
      </c>
      <c r="J17" s="369" t="s">
        <v>94</v>
      </c>
    </row>
    <row r="18" spans="1:13" ht="9.6" customHeight="1" x14ac:dyDescent="0.25">
      <c r="A18" s="369">
        <v>1</v>
      </c>
      <c r="B18" s="370">
        <v>2</v>
      </c>
      <c r="C18" s="369">
        <v>3</v>
      </c>
      <c r="D18" s="370">
        <v>4</v>
      </c>
      <c r="E18" s="369">
        <v>5</v>
      </c>
      <c r="F18" s="370">
        <v>6</v>
      </c>
      <c r="G18" s="369">
        <v>7</v>
      </c>
      <c r="H18" s="370">
        <v>8</v>
      </c>
      <c r="I18" s="369">
        <v>9</v>
      </c>
      <c r="J18" s="370">
        <v>10</v>
      </c>
    </row>
    <row r="19" spans="1:13" s="10" customFormat="1" ht="14.1" customHeight="1" x14ac:dyDescent="0.25">
      <c r="A19" s="180">
        <v>1</v>
      </c>
      <c r="B19" s="20" t="s">
        <v>565</v>
      </c>
      <c r="C19" s="21">
        <v>0.48599999999999999</v>
      </c>
      <c r="D19" s="21">
        <v>0.35</v>
      </c>
      <c r="E19" s="13">
        <f>цены!F35</f>
        <v>50</v>
      </c>
      <c r="F19" s="13">
        <f>C19*E19</f>
        <v>24.3</v>
      </c>
      <c r="G19" s="97">
        <f t="shared" ref="G19:H23" si="0">C19*10</f>
        <v>4.8600000000000003</v>
      </c>
      <c r="H19" s="21">
        <f t="shared" si="0"/>
        <v>3.5</v>
      </c>
      <c r="I19" s="21">
        <f t="shared" ref="I19:J23" si="1">C19*100</f>
        <v>48.6</v>
      </c>
      <c r="J19" s="21">
        <f t="shared" si="1"/>
        <v>35</v>
      </c>
      <c r="L19" s="1015">
        <f>C19/C$28</f>
        <v>2.91541691661668E-2</v>
      </c>
      <c r="M19" s="1015">
        <f>F19/C$28</f>
        <v>1.4577084583083399</v>
      </c>
    </row>
    <row r="20" spans="1:13" s="10" customFormat="1" ht="13.95" customHeight="1" x14ac:dyDescent="0.25">
      <c r="A20" s="299">
        <v>2</v>
      </c>
      <c r="B20" s="20" t="s">
        <v>180</v>
      </c>
      <c r="C20" s="21">
        <v>0.438</v>
      </c>
      <c r="D20" s="21">
        <v>0.35</v>
      </c>
      <c r="E20" s="13">
        <f>цены!F33</f>
        <v>53</v>
      </c>
      <c r="F20" s="13">
        <f>C20*E20</f>
        <v>23.21</v>
      </c>
      <c r="G20" s="97">
        <f t="shared" si="0"/>
        <v>4.38</v>
      </c>
      <c r="H20" s="21">
        <f t="shared" si="0"/>
        <v>3.5</v>
      </c>
      <c r="I20" s="21">
        <f t="shared" si="1"/>
        <v>43.8</v>
      </c>
      <c r="J20" s="21">
        <f t="shared" si="1"/>
        <v>35</v>
      </c>
      <c r="L20" s="1015">
        <f t="shared" ref="L20:L23" si="2">C20/C$28</f>
        <v>2.6274745050989801E-2</v>
      </c>
      <c r="M20" s="1015">
        <f t="shared" ref="M20:M23" si="3">F20/C$28</f>
        <v>1.39232153569286</v>
      </c>
    </row>
    <row r="21" spans="1:13" s="10" customFormat="1" ht="22.95" customHeight="1" x14ac:dyDescent="0.25">
      <c r="A21" s="180">
        <v>3</v>
      </c>
      <c r="B21" s="20" t="s">
        <v>609</v>
      </c>
      <c r="C21" s="21">
        <v>0.41699999999999998</v>
      </c>
      <c r="D21" s="21">
        <v>0.25</v>
      </c>
      <c r="E21" s="13">
        <f>цены!F130</f>
        <v>143</v>
      </c>
      <c r="F21" s="13">
        <f>C21*E21</f>
        <v>59.63</v>
      </c>
      <c r="G21" s="97">
        <f t="shared" si="0"/>
        <v>4.17</v>
      </c>
      <c r="H21" s="21">
        <f t="shared" si="0"/>
        <v>2.5</v>
      </c>
      <c r="I21" s="21">
        <f t="shared" si="1"/>
        <v>41.7</v>
      </c>
      <c r="J21" s="21">
        <f t="shared" si="1"/>
        <v>25</v>
      </c>
      <c r="L21" s="1015">
        <f t="shared" si="2"/>
        <v>2.5014997000599899E-2</v>
      </c>
      <c r="M21" s="1015">
        <f t="shared" si="3"/>
        <v>3.57708458308338</v>
      </c>
    </row>
    <row r="22" spans="1:13" s="10" customFormat="1" ht="14.1" customHeight="1" x14ac:dyDescent="0.25">
      <c r="A22" s="299">
        <v>4</v>
      </c>
      <c r="B22" s="20" t="s">
        <v>74</v>
      </c>
      <c r="C22" s="21">
        <v>0.06</v>
      </c>
      <c r="D22" s="21">
        <v>0.06</v>
      </c>
      <c r="E22" s="13">
        <f>цены!F87</f>
        <v>120</v>
      </c>
      <c r="F22" s="13">
        <f>C22*E22</f>
        <v>7.2</v>
      </c>
      <c r="G22" s="97">
        <f t="shared" si="0"/>
        <v>0.6</v>
      </c>
      <c r="H22" s="21">
        <f t="shared" si="0"/>
        <v>0.6</v>
      </c>
      <c r="I22" s="21">
        <f t="shared" si="1"/>
        <v>6</v>
      </c>
      <c r="J22" s="21">
        <f t="shared" si="1"/>
        <v>6</v>
      </c>
      <c r="L22" s="1015">
        <f t="shared" si="2"/>
        <v>3.5992801439712098E-3</v>
      </c>
      <c r="M22" s="1015">
        <f t="shared" si="3"/>
        <v>0.43191361727654498</v>
      </c>
    </row>
    <row r="23" spans="1:13" s="10" customFormat="1" ht="14.1" customHeight="1" x14ac:dyDescent="0.25">
      <c r="A23" s="180">
        <v>5</v>
      </c>
      <c r="B23" s="20" t="s">
        <v>75</v>
      </c>
      <c r="C23" s="21">
        <f>0.002*C28</f>
        <v>3.3000000000000002E-2</v>
      </c>
      <c r="D23" s="21">
        <f>C23</f>
        <v>3.3000000000000002E-2</v>
      </c>
      <c r="E23" s="13">
        <f>цены!F110</f>
        <v>24</v>
      </c>
      <c r="F23" s="13">
        <f>C23*E23</f>
        <v>0.79</v>
      </c>
      <c r="G23" s="97">
        <f t="shared" si="0"/>
        <v>0.33</v>
      </c>
      <c r="H23" s="21">
        <f t="shared" si="0"/>
        <v>0.33</v>
      </c>
      <c r="I23" s="21">
        <f t="shared" si="1"/>
        <v>3.3</v>
      </c>
      <c r="J23" s="21">
        <f t="shared" si="1"/>
        <v>3.3</v>
      </c>
      <c r="L23" s="1015">
        <f t="shared" si="2"/>
        <v>1.9796040791841599E-3</v>
      </c>
      <c r="M23" s="1015">
        <f t="shared" si="3"/>
        <v>4.7390521895620902E-2</v>
      </c>
    </row>
    <row r="24" spans="1:13" s="10" customFormat="1" ht="15" customHeight="1" x14ac:dyDescent="0.25">
      <c r="A24" s="98"/>
      <c r="B24" s="93" t="s">
        <v>100</v>
      </c>
      <c r="C24" s="100"/>
      <c r="D24" s="100">
        <v>1</v>
      </c>
      <c r="E24" s="95"/>
      <c r="F24" s="95">
        <f>SUM(F19:F23)</f>
        <v>115.13</v>
      </c>
      <c r="G24" s="99"/>
      <c r="H24" s="100">
        <f>D24*10</f>
        <v>10</v>
      </c>
      <c r="I24" s="100"/>
      <c r="J24" s="100">
        <f>D24*100</f>
        <v>100</v>
      </c>
      <c r="L24" s="1015">
        <f>SUM(L19:L23)</f>
        <v>8.6022795440911903E-2</v>
      </c>
      <c r="M24" s="1015">
        <f>SUM(M19:M23)</f>
        <v>6.9064187162567503</v>
      </c>
    </row>
    <row r="25" spans="1:13" s="10" customFormat="1" ht="27.6" customHeight="1" x14ac:dyDescent="0.25">
      <c r="A25" s="1536" t="s">
        <v>35</v>
      </c>
      <c r="B25" s="1536"/>
      <c r="C25" s="90"/>
      <c r="D25" s="90"/>
      <c r="E25" s="13"/>
      <c r="F25" s="13">
        <f>F24</f>
        <v>115.13</v>
      </c>
      <c r="G25" s="371"/>
      <c r="H25" s="371"/>
      <c r="I25" s="21"/>
      <c r="J25" s="13"/>
    </row>
    <row r="26" spans="1:13" s="10" customFormat="1" ht="25.35" customHeight="1" x14ac:dyDescent="0.25">
      <c r="A26" s="1536" t="s">
        <v>36</v>
      </c>
      <c r="B26" s="1536"/>
      <c r="C26" s="90">
        <v>1000</v>
      </c>
      <c r="D26" s="90"/>
      <c r="E26" s="13"/>
      <c r="F26" s="13"/>
      <c r="G26" s="13"/>
      <c r="H26" s="13"/>
      <c r="I26" s="21"/>
      <c r="J26" s="17"/>
    </row>
    <row r="27" spans="1:13" s="10" customFormat="1" ht="25.35" customHeight="1" x14ac:dyDescent="0.25">
      <c r="A27" s="1537" t="s">
        <v>37</v>
      </c>
      <c r="B27" s="1538"/>
      <c r="C27" s="91">
        <v>60</v>
      </c>
      <c r="D27" s="92"/>
      <c r="E27" s="370"/>
      <c r="F27" s="370"/>
      <c r="G27" s="370"/>
      <c r="H27" s="370"/>
      <c r="I27" s="21"/>
      <c r="J27" s="17"/>
    </row>
    <row r="28" spans="1:13" s="10" customFormat="1" ht="15" customHeight="1" x14ac:dyDescent="0.25">
      <c r="A28" s="1539" t="s">
        <v>38</v>
      </c>
      <c r="B28" s="1540"/>
      <c r="C28" s="249">
        <f>C26/C27</f>
        <v>16.670000000000002</v>
      </c>
      <c r="D28" s="92"/>
      <c r="E28" s="370"/>
      <c r="F28" s="370"/>
      <c r="G28" s="370"/>
      <c r="H28" s="370"/>
      <c r="I28" s="21"/>
      <c r="J28" s="17"/>
    </row>
    <row r="29" spans="1:13" ht="16.350000000000001" customHeight="1" x14ac:dyDescent="0.25">
      <c r="A29" s="1541" t="s">
        <v>39</v>
      </c>
      <c r="B29" s="1542"/>
      <c r="C29" s="15" t="s">
        <v>40</v>
      </c>
      <c r="D29" s="102"/>
      <c r="E29" s="102" t="s">
        <v>40</v>
      </c>
      <c r="F29" s="16">
        <f>F25/C28</f>
        <v>6.91</v>
      </c>
      <c r="G29" s="16"/>
      <c r="H29" s="16"/>
      <c r="I29" s="102" t="s">
        <v>40</v>
      </c>
      <c r="J29" s="102" t="s">
        <v>40</v>
      </c>
    </row>
    <row r="30" spans="1:13" ht="23.1" customHeight="1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3" ht="13.95" customHeight="1" x14ac:dyDescent="0.25">
      <c r="A31" s="1193"/>
      <c r="B31" s="1194" t="s">
        <v>49</v>
      </c>
      <c r="C31" s="1198"/>
      <c r="D31" s="1198"/>
      <c r="E31" s="1198"/>
      <c r="F31" s="1198"/>
      <c r="G31" s="1193"/>
      <c r="H31" s="1557">
        <f>'1-бутерброд с маслом'!$H$28</f>
        <v>0</v>
      </c>
      <c r="I31" s="1557"/>
      <c r="J31" s="1557"/>
    </row>
    <row r="32" spans="1:13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545" t="s">
        <v>327</v>
      </c>
      <c r="B33" s="1545"/>
      <c r="C33" s="1546" t="s">
        <v>328</v>
      </c>
      <c r="D33" s="1546"/>
      <c r="E33" s="1546"/>
      <c r="F33" s="1546"/>
      <c r="G33" s="106"/>
      <c r="H33" s="1531"/>
      <c r="I33" s="1531"/>
      <c r="J33" s="1531"/>
    </row>
    <row r="34" spans="1:10" x14ac:dyDescent="0.25">
      <c r="A34" s="1193"/>
      <c r="B34" s="1193"/>
      <c r="C34" s="1546"/>
      <c r="D34" s="1546"/>
      <c r="E34" s="1546"/>
      <c r="F34" s="1546"/>
      <c r="G34" s="1193"/>
      <c r="H34" s="1531" t="s">
        <v>329</v>
      </c>
      <c r="I34" s="1531"/>
      <c r="J34" s="1531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3:B33"/>
    <mergeCell ref="C33:F34"/>
    <mergeCell ref="H33:J33"/>
    <mergeCell ref="H34:J34"/>
    <mergeCell ref="A26:B26"/>
    <mergeCell ref="A27:B27"/>
    <mergeCell ref="A28:B28"/>
    <mergeCell ref="A29:B29"/>
    <mergeCell ref="H31:J31"/>
    <mergeCell ref="A25:B25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16" sqref="N16"/>
    </sheetView>
  </sheetViews>
  <sheetFormatPr defaultRowHeight="13.8" x14ac:dyDescent="0.25"/>
  <sheetData/>
  <pageMargins left="0.7" right="0.7" top="0.75" bottom="0.75" header="0.3" footer="0.3"/>
  <pageSetup paperSize="9" orientation="portrait" r:id="rId1"/>
  <drawing r:id="rId2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"/>
  <sheetViews>
    <sheetView topLeftCell="A2" workbookViewId="0">
      <selection activeCell="H14" sqref="H14"/>
    </sheetView>
  </sheetViews>
  <sheetFormatPr defaultRowHeight="13.8" x14ac:dyDescent="0.25"/>
  <cols>
    <col min="1" max="1" width="39" customWidth="1"/>
    <col min="2" max="2" width="16.88671875" customWidth="1"/>
    <col min="3" max="3" width="16" customWidth="1"/>
    <col min="4" max="4" width="16.44140625" customWidth="1"/>
    <col min="5" max="5" width="23.6640625" customWidth="1"/>
  </cols>
  <sheetData>
    <row r="1" spans="1:6" ht="24.6" x14ac:dyDescent="0.25">
      <c r="A1" s="906" t="s">
        <v>1176</v>
      </c>
    </row>
    <row r="2" spans="1:6" ht="17.399999999999999" x14ac:dyDescent="0.25">
      <c r="A2" s="906" t="s">
        <v>1177</v>
      </c>
    </row>
    <row r="3" spans="1:6" ht="17.399999999999999" x14ac:dyDescent="0.25">
      <c r="A3" s="906" t="s">
        <v>1178</v>
      </c>
    </row>
    <row r="4" spans="1:6" ht="42.6" customHeight="1" x14ac:dyDescent="0.25">
      <c r="A4" s="1570" t="s">
        <v>1179</v>
      </c>
      <c r="B4" s="1570"/>
      <c r="C4" s="1570"/>
      <c r="D4" s="1570"/>
      <c r="E4" s="1570"/>
    </row>
    <row r="5" spans="1:6" ht="16.2" thickBot="1" x14ac:dyDescent="0.3">
      <c r="A5" s="907"/>
    </row>
    <row r="6" spans="1:6" ht="16.2" thickBot="1" x14ac:dyDescent="0.3">
      <c r="A6" s="1573" t="s">
        <v>1180</v>
      </c>
      <c r="B6" s="1575" t="s">
        <v>1181</v>
      </c>
      <c r="C6" s="1576"/>
      <c r="D6" s="1576"/>
      <c r="E6" s="1577"/>
    </row>
    <row r="7" spans="1:6" ht="16.2" thickBot="1" x14ac:dyDescent="0.3">
      <c r="A7" s="1574"/>
      <c r="B7" s="1575" t="s">
        <v>1182</v>
      </c>
      <c r="C7" s="1577"/>
      <c r="D7" s="1575" t="s">
        <v>1182</v>
      </c>
      <c r="E7" s="1577"/>
    </row>
    <row r="8" spans="1:6" ht="16.2" thickBot="1" x14ac:dyDescent="0.3">
      <c r="A8" s="1574"/>
      <c r="B8" s="1575" t="s">
        <v>1183</v>
      </c>
      <c r="C8" s="1577"/>
      <c r="D8" s="1575" t="s">
        <v>1184</v>
      </c>
      <c r="E8" s="1577"/>
    </row>
    <row r="9" spans="1:6" ht="15.6" x14ac:dyDescent="0.25">
      <c r="A9" s="1574"/>
      <c r="B9" s="918" t="s">
        <v>1203</v>
      </c>
      <c r="C9" s="918" t="s">
        <v>1204</v>
      </c>
      <c r="D9" s="918" t="s">
        <v>1203</v>
      </c>
      <c r="E9" s="918" t="s">
        <v>1204</v>
      </c>
    </row>
    <row r="10" spans="1:6" ht="15.6" x14ac:dyDescent="0.25">
      <c r="A10" s="914" t="s">
        <v>1185</v>
      </c>
      <c r="B10" s="915">
        <v>81</v>
      </c>
      <c r="C10" s="915">
        <v>94</v>
      </c>
      <c r="D10" s="915">
        <v>37</v>
      </c>
      <c r="E10" s="915">
        <v>43</v>
      </c>
      <c r="F10">
        <f>E10*2</f>
        <v>86</v>
      </c>
    </row>
    <row r="11" spans="1:6" ht="15.6" x14ac:dyDescent="0.25">
      <c r="A11" s="914" t="s">
        <v>1186</v>
      </c>
      <c r="B11" s="915">
        <v>89</v>
      </c>
      <c r="C11" s="915">
        <v>102</v>
      </c>
      <c r="D11" s="915">
        <v>37</v>
      </c>
      <c r="E11" s="915">
        <v>43</v>
      </c>
      <c r="F11" s="899">
        <f t="shared" ref="F11:F22" si="0">E11*2</f>
        <v>86</v>
      </c>
    </row>
    <row r="12" spans="1:6" ht="15.6" x14ac:dyDescent="0.25">
      <c r="A12" s="914" t="s">
        <v>1187</v>
      </c>
      <c r="B12" s="915">
        <v>41</v>
      </c>
      <c r="C12" s="915">
        <v>46</v>
      </c>
      <c r="D12" s="915">
        <v>37</v>
      </c>
      <c r="E12" s="915">
        <v>43</v>
      </c>
      <c r="F12" s="899">
        <f t="shared" si="0"/>
        <v>86</v>
      </c>
    </row>
    <row r="13" spans="1:6" ht="15.6" x14ac:dyDescent="0.25">
      <c r="A13" s="914" t="s">
        <v>28</v>
      </c>
      <c r="B13" s="915">
        <v>13</v>
      </c>
      <c r="C13" s="915">
        <v>15</v>
      </c>
      <c r="D13" s="915">
        <v>13</v>
      </c>
      <c r="E13" s="915">
        <v>15</v>
      </c>
      <c r="F13" s="899">
        <f t="shared" si="0"/>
        <v>30</v>
      </c>
    </row>
    <row r="14" spans="1:6" ht="15.6" x14ac:dyDescent="0.25">
      <c r="A14" s="914" t="s">
        <v>47</v>
      </c>
      <c r="B14" s="915">
        <v>21</v>
      </c>
      <c r="C14" s="915">
        <v>24</v>
      </c>
      <c r="D14" s="915">
        <v>17</v>
      </c>
      <c r="E14" s="915">
        <v>19</v>
      </c>
      <c r="F14" s="899">
        <f t="shared" si="0"/>
        <v>38</v>
      </c>
    </row>
    <row r="15" spans="1:6" ht="15.6" x14ac:dyDescent="0.25">
      <c r="A15" s="914" t="s">
        <v>1188</v>
      </c>
      <c r="B15" s="915">
        <v>22.6</v>
      </c>
      <c r="C15" s="915">
        <v>25.3</v>
      </c>
      <c r="D15" s="915">
        <v>17</v>
      </c>
      <c r="E15" s="915">
        <v>19</v>
      </c>
      <c r="F15" s="899">
        <f t="shared" si="0"/>
        <v>38</v>
      </c>
    </row>
    <row r="16" spans="1:6" ht="15.6" x14ac:dyDescent="0.25">
      <c r="A16" s="914" t="s">
        <v>46</v>
      </c>
      <c r="B16" s="915">
        <v>1.7</v>
      </c>
      <c r="C16" s="915">
        <v>1.7</v>
      </c>
      <c r="D16" s="915">
        <v>1.7</v>
      </c>
      <c r="E16" s="915">
        <v>1.7</v>
      </c>
      <c r="F16" s="899">
        <f t="shared" si="0"/>
        <v>3.4</v>
      </c>
    </row>
    <row r="17" spans="1:8" ht="15.6" x14ac:dyDescent="0.25">
      <c r="A17" s="914" t="s">
        <v>48</v>
      </c>
      <c r="B17" s="915">
        <v>8</v>
      </c>
      <c r="C17" s="915">
        <v>10</v>
      </c>
      <c r="D17" s="915">
        <v>7</v>
      </c>
      <c r="E17" s="915">
        <v>8</v>
      </c>
      <c r="F17" s="899">
        <f t="shared" si="0"/>
        <v>16</v>
      </c>
    </row>
    <row r="18" spans="1:8" ht="15.6" x14ac:dyDescent="0.25">
      <c r="A18" s="914" t="s">
        <v>74</v>
      </c>
      <c r="B18" s="915">
        <v>3</v>
      </c>
      <c r="C18" s="915">
        <v>3.5</v>
      </c>
      <c r="D18" s="915">
        <v>3</v>
      </c>
      <c r="E18" s="915">
        <v>35</v>
      </c>
      <c r="F18" s="899">
        <f t="shared" si="0"/>
        <v>70</v>
      </c>
    </row>
    <row r="19" spans="1:8" ht="15.6" x14ac:dyDescent="0.25">
      <c r="A19" s="914" t="s">
        <v>771</v>
      </c>
      <c r="B19" s="915"/>
      <c r="C19" s="915"/>
      <c r="D19" s="915">
        <v>30</v>
      </c>
      <c r="E19" s="915">
        <v>35</v>
      </c>
      <c r="F19" s="899">
        <f t="shared" si="0"/>
        <v>70</v>
      </c>
    </row>
    <row r="20" spans="1:8" ht="15.6" x14ac:dyDescent="0.25">
      <c r="A20" s="914" t="s">
        <v>1189</v>
      </c>
      <c r="B20" s="915"/>
      <c r="C20" s="915"/>
      <c r="D20" s="915">
        <v>60</v>
      </c>
      <c r="E20" s="915">
        <v>70</v>
      </c>
      <c r="F20" s="899">
        <f t="shared" si="0"/>
        <v>140</v>
      </c>
    </row>
    <row r="21" spans="1:8" ht="15.6" x14ac:dyDescent="0.25">
      <c r="A21" s="914"/>
      <c r="B21" s="915"/>
      <c r="C21" s="915"/>
      <c r="D21" s="915"/>
      <c r="E21" s="915"/>
      <c r="F21" s="899">
        <f t="shared" si="0"/>
        <v>0</v>
      </c>
    </row>
    <row r="22" spans="1:8" ht="21" x14ac:dyDescent="0.25">
      <c r="A22" s="916" t="s">
        <v>634</v>
      </c>
      <c r="B22" s="917"/>
      <c r="C22" s="917"/>
      <c r="D22" s="917">
        <v>60</v>
      </c>
      <c r="E22" s="917">
        <v>70</v>
      </c>
      <c r="F22" s="899">
        <f t="shared" si="0"/>
        <v>140</v>
      </c>
    </row>
    <row r="23" spans="1:8" ht="15.6" x14ac:dyDescent="0.25">
      <c r="A23" s="909"/>
    </row>
    <row r="24" spans="1:8" ht="16.8" thickBot="1" x14ac:dyDescent="0.3">
      <c r="A24" s="910" t="s">
        <v>1190</v>
      </c>
    </row>
    <row r="25" spans="1:8" ht="16.2" thickBot="1" x14ac:dyDescent="0.3">
      <c r="A25" s="1575" t="s">
        <v>1191</v>
      </c>
      <c r="B25" s="1576"/>
      <c r="C25" s="1576"/>
      <c r="D25" s="1577"/>
      <c r="E25" s="1573" t="s">
        <v>1192</v>
      </c>
    </row>
    <row r="26" spans="1:8" ht="31.8" thickBot="1" x14ac:dyDescent="0.3">
      <c r="A26" s="911" t="s">
        <v>1193</v>
      </c>
      <c r="B26" s="908" t="s">
        <v>1194</v>
      </c>
      <c r="C26" s="908" t="s">
        <v>1195</v>
      </c>
      <c r="D26" s="908" t="s">
        <v>1196</v>
      </c>
      <c r="E26" s="1578"/>
    </row>
    <row r="27" spans="1:8" ht="16.2" thickBot="1" x14ac:dyDescent="0.3">
      <c r="A27" s="911">
        <v>6.7</v>
      </c>
      <c r="B27" s="908">
        <v>3.47</v>
      </c>
      <c r="C27" s="908">
        <v>30.32</v>
      </c>
      <c r="D27" s="908">
        <v>70.88</v>
      </c>
      <c r="E27" s="908">
        <v>2.77</v>
      </c>
    </row>
    <row r="28" spans="1:8" ht="16.2" thickBot="1" x14ac:dyDescent="0.3">
      <c r="A28" s="911">
        <v>7.66</v>
      </c>
      <c r="B28" s="908">
        <v>3.97</v>
      </c>
      <c r="C28" s="908">
        <v>34.65</v>
      </c>
      <c r="D28" s="908">
        <v>81</v>
      </c>
      <c r="E28" s="908">
        <v>3.17</v>
      </c>
    </row>
    <row r="29" spans="1:8" ht="15.6" x14ac:dyDescent="0.25">
      <c r="A29" s="912"/>
    </row>
    <row r="30" spans="1:8" ht="90.6" customHeight="1" x14ac:dyDescent="0.25">
      <c r="A30" s="1571" t="s">
        <v>1205</v>
      </c>
      <c r="B30" s="1571"/>
      <c r="C30" s="1571"/>
      <c r="D30" s="1571"/>
      <c r="E30" s="1571"/>
    </row>
    <row r="31" spans="1:8" ht="15.6" x14ac:dyDescent="0.25">
      <c r="A31" s="913" t="s">
        <v>1197</v>
      </c>
    </row>
    <row r="32" spans="1:8" ht="16.2" x14ac:dyDescent="0.25">
      <c r="B32" s="1572" t="s">
        <v>1198</v>
      </c>
      <c r="C32" s="1572"/>
      <c r="D32" s="1572"/>
      <c r="E32" s="1572"/>
      <c r="F32" s="1572"/>
      <c r="G32" s="1572"/>
      <c r="H32" s="1572"/>
    </row>
    <row r="33" spans="2:8" ht="16.2" x14ac:dyDescent="0.25">
      <c r="B33" s="1572" t="s">
        <v>1199</v>
      </c>
      <c r="C33" s="1572"/>
      <c r="D33" s="1572"/>
      <c r="E33" s="1572"/>
      <c r="F33" s="1572"/>
      <c r="G33" s="1572"/>
      <c r="H33" s="1572"/>
    </row>
    <row r="34" spans="2:8" ht="16.2" x14ac:dyDescent="0.25">
      <c r="B34" s="1572" t="s">
        <v>1200</v>
      </c>
      <c r="C34" s="1572"/>
      <c r="D34" s="1572"/>
      <c r="E34" s="1572"/>
      <c r="F34" s="1572"/>
      <c r="G34" s="1572"/>
      <c r="H34" s="1572"/>
    </row>
    <row r="35" spans="2:8" ht="16.2" x14ac:dyDescent="0.25">
      <c r="B35" s="1572" t="s">
        <v>1201</v>
      </c>
      <c r="C35" s="1572"/>
      <c r="D35" s="1572"/>
      <c r="E35" s="1572"/>
      <c r="F35" s="1572"/>
      <c r="G35" s="1572"/>
      <c r="H35" s="1572"/>
    </row>
    <row r="36" spans="2:8" ht="16.2" x14ac:dyDescent="0.25">
      <c r="B36" s="1572" t="s">
        <v>1202</v>
      </c>
      <c r="C36" s="1572"/>
      <c r="D36" s="1572"/>
      <c r="E36" s="1572"/>
      <c r="F36" s="1572"/>
      <c r="G36" s="1572"/>
      <c r="H36" s="1572"/>
    </row>
  </sheetData>
  <mergeCells count="15">
    <mergeCell ref="B34:H34"/>
    <mergeCell ref="B35:H35"/>
    <mergeCell ref="B36:H36"/>
    <mergeCell ref="A25:D25"/>
    <mergeCell ref="E25:E26"/>
    <mergeCell ref="A4:E4"/>
    <mergeCell ref="A30:E30"/>
    <mergeCell ref="B32:H32"/>
    <mergeCell ref="B33:H33"/>
    <mergeCell ref="A6:A9"/>
    <mergeCell ref="B6:E6"/>
    <mergeCell ref="B7:C7"/>
    <mergeCell ref="D7:E7"/>
    <mergeCell ref="B8:C8"/>
    <mergeCell ref="D8:E8"/>
  </mergeCells>
  <pageMargins left="0.7" right="0.7" top="0.75" bottom="0.75" header="0.3" footer="0.3"/>
  <pageSetup paperSize="9" orientation="portrait" r:id="rId1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8"/>
  <sheetViews>
    <sheetView topLeftCell="A10" workbookViewId="0">
      <selection activeCell="T34" sqref="T34"/>
    </sheetView>
  </sheetViews>
  <sheetFormatPr defaultColWidth="9.109375" defaultRowHeight="13.8" x14ac:dyDescent="0.25"/>
  <cols>
    <col min="1" max="1" width="4.109375" style="22" customWidth="1"/>
    <col min="2" max="2" width="22.109375" style="22" customWidth="1"/>
    <col min="3" max="3" width="4.5546875" style="22" customWidth="1"/>
    <col min="4" max="6" width="7.5546875" style="22" customWidth="1"/>
    <col min="7" max="7" width="5.5546875" style="22" customWidth="1"/>
    <col min="8" max="8" width="18.5546875" style="22" customWidth="1"/>
    <col min="9" max="9" width="5" style="22" customWidth="1"/>
    <col min="10" max="10" width="7.5546875" style="22" customWidth="1"/>
    <col min="11" max="12" width="5.88671875" style="22" customWidth="1"/>
    <col min="13" max="13" width="6.44140625" style="22" customWidth="1"/>
    <col min="14" max="17" width="6.5546875" style="22" customWidth="1"/>
    <col min="18" max="18" width="8.5546875" style="22" customWidth="1"/>
    <col min="19" max="16384" width="9.109375" style="22"/>
  </cols>
  <sheetData>
    <row r="1" spans="1:18" s="80" customFormat="1" ht="9" customHeight="1" x14ac:dyDescent="0.25">
      <c r="L1" s="1637" t="s">
        <v>0</v>
      </c>
      <c r="M1" s="1637"/>
      <c r="N1" s="1637"/>
      <c r="O1" s="1637"/>
      <c r="P1" s="1637"/>
      <c r="Q1" s="1637"/>
      <c r="R1" s="1637"/>
    </row>
    <row r="2" spans="1:18" s="80" customFormat="1" ht="9" customHeight="1" x14ac:dyDescent="0.25">
      <c r="L2" s="1637" t="s">
        <v>1</v>
      </c>
      <c r="M2" s="1637"/>
      <c r="N2" s="1637"/>
      <c r="O2" s="1637"/>
      <c r="P2" s="1637"/>
      <c r="Q2" s="1637"/>
      <c r="R2" s="1637"/>
    </row>
    <row r="3" spans="1:18" s="80" customFormat="1" ht="9" customHeight="1" x14ac:dyDescent="0.25">
      <c r="L3" s="1637" t="s">
        <v>2</v>
      </c>
      <c r="M3" s="1637"/>
      <c r="N3" s="1637"/>
      <c r="O3" s="1637"/>
      <c r="P3" s="1637"/>
      <c r="Q3" s="1637"/>
      <c r="R3" s="1637"/>
    </row>
    <row r="4" spans="1:18" ht="14.1" customHeight="1" x14ac:dyDescent="0.25">
      <c r="Q4" s="1638" t="s">
        <v>3</v>
      </c>
      <c r="R4" s="1639"/>
    </row>
    <row r="5" spans="1:18" s="75" customFormat="1" ht="15.9" customHeight="1" x14ac:dyDescent="0.25">
      <c r="M5" s="1640" t="s">
        <v>4</v>
      </c>
      <c r="N5" s="1640"/>
      <c r="O5" s="1640"/>
      <c r="P5" s="1629"/>
      <c r="Q5" s="1641" t="s">
        <v>59</v>
      </c>
      <c r="R5" s="1642"/>
    </row>
    <row r="6" spans="1:18" s="75" customFormat="1" ht="15.9" customHeight="1" x14ac:dyDescent="0.25">
      <c r="A6" s="1628"/>
      <c r="B6" s="1628"/>
      <c r="C6" s="1628"/>
      <c r="D6" s="1628"/>
      <c r="E6" s="1628"/>
      <c r="F6" s="1628"/>
      <c r="G6" s="1628"/>
      <c r="H6" s="1628"/>
      <c r="I6" s="1628"/>
      <c r="J6" s="1628"/>
      <c r="K6" s="1628"/>
      <c r="L6" s="1628"/>
      <c r="M6" s="1626" t="s">
        <v>5</v>
      </c>
      <c r="N6" s="1626"/>
      <c r="O6" s="1626"/>
      <c r="P6" s="1629"/>
      <c r="Q6" s="1630"/>
      <c r="R6" s="1630"/>
    </row>
    <row r="7" spans="1:18" s="75" customFormat="1" ht="8.25" customHeight="1" x14ac:dyDescent="0.25">
      <c r="A7" s="1631" t="s">
        <v>6</v>
      </c>
      <c r="B7" s="1631"/>
      <c r="C7" s="1631"/>
      <c r="D7" s="1631"/>
      <c r="E7" s="1631"/>
      <c r="F7" s="1631"/>
      <c r="G7" s="1631"/>
      <c r="H7" s="1631"/>
      <c r="I7" s="1631"/>
      <c r="J7" s="1631"/>
      <c r="K7" s="1631"/>
      <c r="L7" s="1631"/>
      <c r="M7" s="78"/>
      <c r="N7" s="78"/>
      <c r="O7" s="78"/>
      <c r="P7" s="82"/>
      <c r="Q7" s="1632"/>
      <c r="R7" s="1632"/>
    </row>
    <row r="8" spans="1:18" s="85" customFormat="1" ht="11.1" customHeight="1" x14ac:dyDescent="0.25">
      <c r="A8" s="1628"/>
      <c r="B8" s="1628"/>
      <c r="C8" s="1628"/>
      <c r="D8" s="1628"/>
      <c r="E8" s="1628"/>
      <c r="F8" s="1628"/>
      <c r="G8" s="1628"/>
      <c r="H8" s="1628"/>
      <c r="I8" s="1628"/>
      <c r="J8" s="1628"/>
      <c r="K8" s="1628"/>
      <c r="L8" s="1628"/>
      <c r="M8" s="83"/>
      <c r="N8" s="83"/>
      <c r="O8" s="83"/>
      <c r="P8" s="83"/>
      <c r="Q8" s="1632"/>
      <c r="R8" s="1632"/>
    </row>
    <row r="9" spans="1:18" s="85" customFormat="1" ht="15.9" customHeight="1" x14ac:dyDescent="0.25">
      <c r="A9" s="1624" t="s">
        <v>7</v>
      </c>
      <c r="B9" s="1624"/>
      <c r="C9" s="1624"/>
      <c r="D9" s="1624"/>
      <c r="E9" s="1624"/>
      <c r="F9" s="1624"/>
      <c r="G9" s="1624"/>
      <c r="H9" s="1624"/>
      <c r="I9" s="1624"/>
      <c r="J9" s="1624"/>
      <c r="K9" s="1624"/>
      <c r="L9" s="1624"/>
      <c r="M9" s="1626" t="s">
        <v>8</v>
      </c>
      <c r="N9" s="1626"/>
      <c r="O9" s="1626"/>
      <c r="P9" s="1626"/>
      <c r="Q9" s="1633">
        <v>8021010</v>
      </c>
      <c r="R9" s="1634"/>
    </row>
    <row r="10" spans="1:18" s="75" customFormat="1" ht="15.9" customHeight="1" x14ac:dyDescent="0.25">
      <c r="A10" s="1635" t="s">
        <v>65</v>
      </c>
      <c r="B10" s="1635"/>
      <c r="C10" s="1635"/>
      <c r="D10" s="1635"/>
      <c r="E10" s="1635"/>
      <c r="F10" s="1635"/>
      <c r="G10" s="1635"/>
      <c r="H10" s="1635"/>
      <c r="I10" s="1635"/>
      <c r="J10" s="1635"/>
      <c r="K10" s="1635"/>
      <c r="L10" s="1635"/>
      <c r="M10" s="84"/>
      <c r="N10" s="84"/>
      <c r="O10" s="84"/>
      <c r="P10" s="83"/>
      <c r="Q10" s="1636"/>
      <c r="R10" s="1636"/>
    </row>
    <row r="11" spans="1:18" s="75" customFormat="1" ht="15.9" customHeight="1" x14ac:dyDescent="0.25">
      <c r="A11" s="1624" t="s">
        <v>9</v>
      </c>
      <c r="B11" s="1624"/>
      <c r="C11" s="1624"/>
      <c r="D11" s="1624"/>
      <c r="E11" s="1624"/>
      <c r="F11" s="1624"/>
      <c r="G11" s="1624"/>
      <c r="H11" s="1624"/>
      <c r="I11" s="1624"/>
      <c r="J11" s="1625" t="s">
        <v>10</v>
      </c>
      <c r="K11" s="1625"/>
      <c r="L11" s="1625"/>
      <c r="M11" s="1626"/>
      <c r="N11" s="1626"/>
      <c r="O11" s="1626"/>
      <c r="P11" s="1626"/>
      <c r="Q11" s="1627" t="s">
        <v>64</v>
      </c>
      <c r="R11" s="1627"/>
    </row>
    <row r="12" spans="1:18" ht="15.9" customHeight="1" x14ac:dyDescent="0.25">
      <c r="N12" s="82" t="s">
        <v>11</v>
      </c>
      <c r="O12" s="82"/>
      <c r="P12" s="82"/>
      <c r="Q12" s="1616"/>
      <c r="R12" s="1616"/>
    </row>
    <row r="13" spans="1:18" s="80" customFormat="1" ht="14.25" customHeight="1" x14ac:dyDescent="0.25">
      <c r="I13" s="1617" t="s">
        <v>12</v>
      </c>
      <c r="J13" s="1617"/>
      <c r="K13" s="1618" t="s">
        <v>13</v>
      </c>
      <c r="L13" s="1619"/>
      <c r="P13" s="81"/>
      <c r="Q13" s="81"/>
      <c r="R13" s="81"/>
    </row>
    <row r="14" spans="1:18" s="80" customFormat="1" ht="15.75" customHeight="1" x14ac:dyDescent="0.25">
      <c r="C14" s="1552" t="s">
        <v>58</v>
      </c>
      <c r="D14" s="1552"/>
      <c r="E14" s="1552"/>
      <c r="F14" s="1552"/>
      <c r="G14" s="1552"/>
      <c r="H14" s="1553"/>
      <c r="I14" s="1620" t="s">
        <v>61</v>
      </c>
      <c r="J14" s="1621"/>
      <c r="K14" s="1622" t="s">
        <v>67</v>
      </c>
      <c r="L14" s="1623"/>
      <c r="P14" s="81"/>
      <c r="Q14" s="81"/>
      <c r="R14" s="81"/>
    </row>
    <row r="15" spans="1:18" s="75" customFormat="1" ht="9.75" customHeight="1" x14ac:dyDescent="0.25"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8"/>
      <c r="Q15" s="78"/>
      <c r="R15" s="78"/>
    </row>
    <row r="16" spans="1:18" s="75" customFormat="1" ht="15" customHeight="1" x14ac:dyDescent="0.25">
      <c r="A16" s="1610" t="s">
        <v>15</v>
      </c>
      <c r="B16" s="1611"/>
      <c r="C16" s="1611"/>
      <c r="D16" s="1610" t="s">
        <v>16</v>
      </c>
      <c r="E16" s="1611"/>
      <c r="F16" s="1611"/>
      <c r="G16" s="1610" t="s">
        <v>15</v>
      </c>
      <c r="H16" s="1611"/>
      <c r="I16" s="1611"/>
      <c r="J16" s="1604" t="s">
        <v>17</v>
      </c>
      <c r="K16" s="1605"/>
      <c r="L16" s="1606"/>
      <c r="M16" s="1604" t="s">
        <v>17</v>
      </c>
      <c r="N16" s="1605"/>
      <c r="O16" s="1606"/>
      <c r="P16" s="1604" t="s">
        <v>17</v>
      </c>
      <c r="Q16" s="1605"/>
      <c r="R16" s="1606"/>
    </row>
    <row r="17" spans="1:18" s="75" customFormat="1" ht="10.5" customHeight="1" x14ac:dyDescent="0.25">
      <c r="A17" s="1612"/>
      <c r="B17" s="1613"/>
      <c r="C17" s="1613"/>
      <c r="D17" s="1612"/>
      <c r="E17" s="1613"/>
      <c r="F17" s="1613"/>
      <c r="G17" s="1612"/>
      <c r="H17" s="1613"/>
      <c r="I17" s="1613"/>
      <c r="J17" s="1607" t="s">
        <v>18</v>
      </c>
      <c r="K17" s="1608"/>
      <c r="L17" s="1608"/>
      <c r="M17" s="1607" t="s">
        <v>18</v>
      </c>
      <c r="N17" s="1608"/>
      <c r="O17" s="1608"/>
      <c r="P17" s="1607" t="s">
        <v>18</v>
      </c>
      <c r="Q17" s="1608"/>
      <c r="R17" s="1608"/>
    </row>
    <row r="18" spans="1:18" s="75" customFormat="1" ht="9" customHeight="1" x14ac:dyDescent="0.25">
      <c r="A18" s="1614"/>
      <c r="B18" s="1615"/>
      <c r="C18" s="1615"/>
      <c r="D18" s="1614"/>
      <c r="E18" s="1615"/>
      <c r="F18" s="1615"/>
      <c r="G18" s="1614"/>
      <c r="H18" s="1615"/>
      <c r="I18" s="1615"/>
      <c r="J18" s="77"/>
      <c r="K18" s="76"/>
      <c r="L18" s="76"/>
      <c r="M18" s="77"/>
      <c r="N18" s="76"/>
      <c r="O18" s="76"/>
      <c r="P18" s="77"/>
      <c r="Q18" s="76"/>
      <c r="R18" s="76"/>
    </row>
    <row r="19" spans="1:18" ht="17.25" customHeight="1" x14ac:dyDescent="0.25">
      <c r="A19" s="1609" t="s">
        <v>19</v>
      </c>
      <c r="B19" s="1592" t="s">
        <v>20</v>
      </c>
      <c r="C19" s="1593"/>
      <c r="D19" s="1587" t="s">
        <v>21</v>
      </c>
      <c r="E19" s="1587" t="s">
        <v>22</v>
      </c>
      <c r="F19" s="1587" t="s">
        <v>23</v>
      </c>
      <c r="G19" s="1609" t="s">
        <v>19</v>
      </c>
      <c r="H19" s="1592" t="s">
        <v>20</v>
      </c>
      <c r="I19" s="1593"/>
      <c r="J19" s="1587" t="s">
        <v>21</v>
      </c>
      <c r="K19" s="1587" t="s">
        <v>22</v>
      </c>
      <c r="L19" s="1587" t="s">
        <v>23</v>
      </c>
      <c r="M19" s="1587" t="s">
        <v>21</v>
      </c>
      <c r="N19" s="1587" t="s">
        <v>22</v>
      </c>
      <c r="O19" s="1587" t="s">
        <v>23</v>
      </c>
      <c r="P19" s="1587" t="s">
        <v>21</v>
      </c>
      <c r="Q19" s="1587" t="s">
        <v>22</v>
      </c>
      <c r="R19" s="1587" t="s">
        <v>23</v>
      </c>
    </row>
    <row r="20" spans="1:18" ht="20.25" customHeight="1" x14ac:dyDescent="0.25">
      <c r="A20" s="1609"/>
      <c r="B20" s="74" t="s">
        <v>24</v>
      </c>
      <c r="C20" s="26" t="s">
        <v>25</v>
      </c>
      <c r="D20" s="1587"/>
      <c r="E20" s="1587"/>
      <c r="F20" s="1587"/>
      <c r="G20" s="1609"/>
      <c r="H20" s="74" t="s">
        <v>24</v>
      </c>
      <c r="I20" s="26" t="s">
        <v>25</v>
      </c>
      <c r="J20" s="1587"/>
      <c r="K20" s="1587"/>
      <c r="L20" s="1587"/>
      <c r="M20" s="1587"/>
      <c r="N20" s="1587"/>
      <c r="O20" s="1587"/>
      <c r="P20" s="1587"/>
      <c r="Q20" s="1587"/>
      <c r="R20" s="1587"/>
    </row>
    <row r="21" spans="1:18" ht="13.5" customHeight="1" thickBot="1" x14ac:dyDescent="0.3">
      <c r="A21" s="73">
        <v>1</v>
      </c>
      <c r="B21" s="70">
        <v>2</v>
      </c>
      <c r="C21" s="73">
        <v>3</v>
      </c>
      <c r="D21" s="70">
        <v>4</v>
      </c>
      <c r="E21" s="72">
        <v>5</v>
      </c>
      <c r="F21" s="70">
        <v>6</v>
      </c>
      <c r="G21" s="71">
        <v>7</v>
      </c>
      <c r="H21" s="70">
        <v>8</v>
      </c>
      <c r="I21" s="72">
        <v>9</v>
      </c>
      <c r="J21" s="70">
        <v>10</v>
      </c>
      <c r="K21" s="72">
        <v>11</v>
      </c>
      <c r="L21" s="70">
        <v>12</v>
      </c>
      <c r="M21" s="72">
        <v>13</v>
      </c>
      <c r="N21" s="70">
        <v>14</v>
      </c>
      <c r="O21" s="72">
        <v>15</v>
      </c>
      <c r="P21" s="70">
        <v>16</v>
      </c>
      <c r="Q21" s="71">
        <v>17</v>
      </c>
      <c r="R21" s="70">
        <v>18</v>
      </c>
    </row>
    <row r="22" spans="1:18" s="29" customFormat="1" ht="12" customHeight="1" x14ac:dyDescent="0.25">
      <c r="A22" s="56" t="s">
        <v>14</v>
      </c>
      <c r="B22" s="18" t="s">
        <v>60</v>
      </c>
      <c r="C22" s="7"/>
      <c r="D22" s="8">
        <v>0.17</v>
      </c>
      <c r="E22" s="9">
        <v>55</v>
      </c>
      <c r="F22" s="9">
        <f>D22*E22</f>
        <v>9.35</v>
      </c>
      <c r="G22" s="38"/>
      <c r="H22" s="69"/>
      <c r="I22" s="64"/>
      <c r="J22" s="68"/>
      <c r="K22" s="42"/>
      <c r="L22" s="42"/>
      <c r="M22" s="43"/>
      <c r="N22" s="42"/>
      <c r="O22" s="42"/>
      <c r="P22" s="43"/>
      <c r="Q22" s="43"/>
      <c r="R22" s="43"/>
    </row>
    <row r="23" spans="1:18" s="29" customFormat="1" ht="12" customHeight="1" x14ac:dyDescent="0.25">
      <c r="A23" s="56" t="s">
        <v>27</v>
      </c>
      <c r="B23" s="19" t="s">
        <v>30</v>
      </c>
      <c r="C23" s="11"/>
      <c r="D23" s="12">
        <v>0.1</v>
      </c>
      <c r="E23" s="13">
        <v>32</v>
      </c>
      <c r="F23" s="9">
        <f>D23*E23</f>
        <v>3.2</v>
      </c>
      <c r="G23" s="38"/>
      <c r="H23" s="66"/>
      <c r="I23" s="64"/>
      <c r="J23" s="58"/>
      <c r="K23" s="57"/>
      <c r="L23" s="42"/>
      <c r="M23" s="24"/>
      <c r="N23" s="57"/>
      <c r="O23" s="42"/>
      <c r="P23" s="24"/>
      <c r="Q23" s="24"/>
      <c r="R23" s="24"/>
    </row>
    <row r="24" spans="1:18" s="29" customFormat="1" ht="12" customHeight="1" x14ac:dyDescent="0.25">
      <c r="A24" s="56" t="s">
        <v>29</v>
      </c>
      <c r="B24" s="3" t="s">
        <v>63</v>
      </c>
      <c r="C24" s="67"/>
      <c r="D24" s="12">
        <v>0.04</v>
      </c>
      <c r="E24" s="13">
        <v>120</v>
      </c>
      <c r="F24" s="9">
        <f>D24*E24</f>
        <v>4.8</v>
      </c>
      <c r="G24" s="38"/>
      <c r="H24" s="66"/>
      <c r="I24" s="64"/>
      <c r="J24" s="58"/>
      <c r="K24" s="57"/>
      <c r="L24" s="42"/>
      <c r="M24" s="24"/>
      <c r="N24" s="57"/>
      <c r="O24" s="42"/>
      <c r="P24" s="24"/>
      <c r="Q24" s="24"/>
      <c r="R24" s="24"/>
    </row>
    <row r="25" spans="1:18" s="29" customFormat="1" ht="11.25" customHeight="1" x14ac:dyDescent="0.25">
      <c r="A25" s="56" t="s">
        <v>32</v>
      </c>
      <c r="B25" s="19" t="s">
        <v>62</v>
      </c>
      <c r="C25" s="11"/>
      <c r="D25" s="12">
        <v>1E-3</v>
      </c>
      <c r="E25" s="13">
        <v>240</v>
      </c>
      <c r="F25" s="9">
        <f>D25*E25</f>
        <v>0.24</v>
      </c>
      <c r="G25" s="38"/>
      <c r="H25" s="66"/>
      <c r="I25" s="64"/>
      <c r="J25" s="58"/>
      <c r="K25" s="57"/>
      <c r="L25" s="42"/>
      <c r="M25" s="24"/>
      <c r="N25" s="57"/>
      <c r="O25" s="42"/>
      <c r="P25" s="24"/>
      <c r="Q25" s="24"/>
      <c r="R25" s="24"/>
    </row>
    <row r="26" spans="1:18" s="29" customFormat="1" ht="11.25" customHeight="1" x14ac:dyDescent="0.25">
      <c r="A26" s="56" t="s">
        <v>43</v>
      </c>
      <c r="B26" s="19" t="s">
        <v>28</v>
      </c>
      <c r="C26" s="11"/>
      <c r="D26" s="12">
        <v>0.98499999999999999</v>
      </c>
      <c r="E26" s="13"/>
      <c r="F26" s="9">
        <f>D26*E26</f>
        <v>0</v>
      </c>
      <c r="G26" s="38"/>
      <c r="H26" s="65"/>
      <c r="I26" s="64"/>
      <c r="J26" s="58"/>
      <c r="K26" s="57"/>
      <c r="L26" s="42"/>
      <c r="M26" s="24"/>
      <c r="N26" s="24"/>
      <c r="O26" s="24"/>
      <c r="P26" s="24"/>
      <c r="Q26" s="24"/>
      <c r="R26" s="24"/>
    </row>
    <row r="27" spans="1:18" s="29" customFormat="1" ht="11.25" customHeight="1" x14ac:dyDescent="0.25">
      <c r="A27" s="56" t="s">
        <v>44</v>
      </c>
      <c r="B27" s="19"/>
      <c r="C27" s="11"/>
      <c r="D27" s="12"/>
      <c r="E27" s="13"/>
      <c r="F27" s="9"/>
      <c r="G27" s="38"/>
      <c r="H27" s="65"/>
      <c r="I27" s="64"/>
      <c r="J27" s="58"/>
      <c r="K27" s="57"/>
      <c r="L27" s="42"/>
      <c r="M27" s="24"/>
      <c r="N27" s="24"/>
      <c r="O27" s="24"/>
      <c r="P27" s="24"/>
      <c r="Q27" s="24"/>
      <c r="R27" s="24"/>
    </row>
    <row r="28" spans="1:18" s="29" customFormat="1" ht="11.25" customHeight="1" x14ac:dyDescent="0.25">
      <c r="A28" s="56"/>
      <c r="B28" s="19"/>
      <c r="C28" s="11"/>
      <c r="D28" s="12"/>
      <c r="E28" s="13"/>
      <c r="F28" s="9"/>
      <c r="G28" s="38"/>
      <c r="H28" s="65"/>
      <c r="I28" s="64"/>
      <c r="J28" s="58"/>
      <c r="K28" s="57"/>
      <c r="L28" s="42"/>
      <c r="M28" s="24"/>
      <c r="N28" s="24"/>
      <c r="O28" s="24"/>
      <c r="P28" s="24"/>
      <c r="Q28" s="24"/>
      <c r="R28" s="24"/>
    </row>
    <row r="29" spans="1:18" s="29" customFormat="1" ht="11.25" customHeight="1" x14ac:dyDescent="0.25">
      <c r="A29" s="56"/>
      <c r="B29" s="1588"/>
      <c r="C29" s="1589"/>
      <c r="D29" s="63"/>
      <c r="E29" s="62"/>
      <c r="F29" s="9"/>
      <c r="G29" s="61"/>
      <c r="H29" s="60"/>
      <c r="I29" s="59"/>
      <c r="J29" s="58"/>
      <c r="K29" s="57"/>
      <c r="L29" s="42"/>
      <c r="M29" s="24"/>
      <c r="N29" s="24"/>
      <c r="O29" s="24"/>
      <c r="P29" s="24"/>
      <c r="Q29" s="24"/>
      <c r="R29" s="24"/>
    </row>
    <row r="30" spans="1:18" s="29" customFormat="1" ht="11.25" customHeight="1" thickBot="1" x14ac:dyDescent="0.3">
      <c r="A30" s="56"/>
      <c r="B30" s="55"/>
      <c r="C30" s="54"/>
      <c r="D30" s="53"/>
      <c r="E30" s="52"/>
      <c r="F30" s="9"/>
      <c r="G30" s="51"/>
      <c r="H30" s="50"/>
      <c r="I30" s="49"/>
      <c r="J30" s="48"/>
      <c r="K30" s="47"/>
      <c r="L30" s="47"/>
      <c r="M30" s="46"/>
      <c r="N30" s="46"/>
      <c r="O30" s="46"/>
      <c r="P30" s="46"/>
      <c r="Q30" s="46"/>
      <c r="R30" s="45"/>
    </row>
    <row r="31" spans="1:18" s="29" customFormat="1" ht="24" customHeight="1" x14ac:dyDescent="0.25">
      <c r="A31" s="1590" t="s">
        <v>35</v>
      </c>
      <c r="B31" s="1591"/>
      <c r="C31" s="1591"/>
      <c r="D31" s="44"/>
      <c r="E31" s="39"/>
      <c r="F31" s="39">
        <f>SUM(F22:F30)</f>
        <v>17.59</v>
      </c>
      <c r="G31" s="39"/>
      <c r="H31" s="39"/>
      <c r="I31" s="39"/>
      <c r="J31" s="43"/>
      <c r="K31" s="43"/>
      <c r="L31" s="42"/>
      <c r="M31" s="43"/>
      <c r="N31" s="43"/>
      <c r="O31" s="42"/>
      <c r="P31" s="41"/>
      <c r="Q31" s="41"/>
      <c r="R31" s="41"/>
    </row>
    <row r="32" spans="1:18" s="29" customFormat="1" ht="21" customHeight="1" x14ac:dyDescent="0.25">
      <c r="A32" s="1583" t="s">
        <v>36</v>
      </c>
      <c r="B32" s="1584"/>
      <c r="C32" s="1584"/>
      <c r="D32" s="40">
        <v>1000</v>
      </c>
      <c r="E32" s="38"/>
      <c r="F32" s="39"/>
      <c r="G32" s="38"/>
      <c r="H32" s="38"/>
      <c r="I32" s="38"/>
      <c r="J32" s="37"/>
      <c r="K32" s="24"/>
      <c r="L32" s="24"/>
      <c r="M32" s="33"/>
      <c r="N32" s="24"/>
      <c r="O32" s="24"/>
      <c r="P32" s="32"/>
      <c r="Q32" s="31"/>
      <c r="R32" s="30"/>
    </row>
    <row r="33" spans="1:18" s="29" customFormat="1" ht="21" customHeight="1" x14ac:dyDescent="0.25">
      <c r="A33" s="1583" t="s">
        <v>37</v>
      </c>
      <c r="B33" s="1584"/>
      <c r="C33" s="1584"/>
      <c r="D33" s="36">
        <v>200</v>
      </c>
      <c r="E33" s="35"/>
      <c r="F33" s="35"/>
      <c r="G33" s="34"/>
      <c r="H33" s="34"/>
      <c r="I33" s="34"/>
      <c r="J33" s="37"/>
      <c r="K33" s="24"/>
      <c r="L33" s="24"/>
      <c r="M33" s="33"/>
      <c r="N33" s="24"/>
      <c r="O33" s="24"/>
      <c r="P33" s="32"/>
      <c r="Q33" s="31"/>
      <c r="R33" s="30"/>
    </row>
    <row r="34" spans="1:18" s="29" customFormat="1" ht="15" customHeight="1" x14ac:dyDescent="0.25">
      <c r="A34" s="1583" t="s">
        <v>38</v>
      </c>
      <c r="B34" s="1584"/>
      <c r="C34" s="1584"/>
      <c r="D34" s="36">
        <f>D32/D33</f>
        <v>5</v>
      </c>
      <c r="E34" s="35"/>
      <c r="F34" s="35"/>
      <c r="G34" s="34"/>
      <c r="H34" s="34"/>
      <c r="I34" s="34"/>
      <c r="J34" s="33"/>
      <c r="K34" s="24"/>
      <c r="L34" s="24"/>
      <c r="M34" s="33"/>
      <c r="N34" s="24"/>
      <c r="O34" s="24"/>
      <c r="P34" s="32"/>
      <c r="Q34" s="31"/>
      <c r="R34" s="30"/>
    </row>
    <row r="35" spans="1:18" ht="14.25" customHeight="1" x14ac:dyDescent="0.25">
      <c r="A35" s="1585" t="s">
        <v>39</v>
      </c>
      <c r="B35" s="1586"/>
      <c r="C35" s="1586"/>
      <c r="D35" s="28" t="s">
        <v>40</v>
      </c>
      <c r="E35" s="28" t="s">
        <v>40</v>
      </c>
      <c r="F35" s="16">
        <f>F31/D34</f>
        <v>3.52</v>
      </c>
      <c r="G35" s="27"/>
      <c r="H35" s="27"/>
      <c r="I35" s="27"/>
      <c r="J35" s="28" t="s">
        <v>40</v>
      </c>
      <c r="K35" s="28" t="s">
        <v>40</v>
      </c>
      <c r="L35" s="27"/>
      <c r="M35" s="28" t="s">
        <v>40</v>
      </c>
      <c r="N35" s="28" t="s">
        <v>40</v>
      </c>
      <c r="O35" s="27"/>
      <c r="P35" s="1603"/>
      <c r="Q35" s="1603"/>
      <c r="R35" s="1603"/>
    </row>
    <row r="36" spans="1:18" ht="18" customHeight="1" x14ac:dyDescent="0.25">
      <c r="A36" s="1583" t="s">
        <v>49</v>
      </c>
      <c r="B36" s="1590"/>
      <c r="C36" s="1599" t="s">
        <v>70</v>
      </c>
      <c r="D36" s="1581"/>
      <c r="E36" s="1581"/>
      <c r="F36" s="1581"/>
      <c r="G36" s="23"/>
      <c r="H36" s="23"/>
      <c r="I36" s="23"/>
      <c r="J36" s="1602"/>
      <c r="K36" s="1602"/>
      <c r="L36" s="1602"/>
      <c r="M36" s="1582"/>
      <c r="N36" s="1582"/>
      <c r="O36" s="1582"/>
      <c r="P36" s="1582"/>
      <c r="Q36" s="1582"/>
      <c r="R36" s="1582"/>
    </row>
    <row r="37" spans="1:18" ht="18" customHeight="1" x14ac:dyDescent="0.25">
      <c r="A37" s="1594" t="s">
        <v>41</v>
      </c>
      <c r="B37" s="1595"/>
      <c r="C37" s="1600"/>
      <c r="D37" s="1596"/>
      <c r="E37" s="1596"/>
      <c r="F37" s="1596"/>
      <c r="G37" s="25"/>
      <c r="H37" s="25"/>
      <c r="I37" s="25"/>
      <c r="J37" s="1597"/>
      <c r="K37" s="1597"/>
      <c r="L37" s="1597"/>
      <c r="M37" s="1598"/>
      <c r="N37" s="1598"/>
      <c r="O37" s="1598"/>
      <c r="P37" s="1598"/>
      <c r="Q37" s="1598"/>
      <c r="R37" s="1598"/>
    </row>
    <row r="38" spans="1:18" ht="30" customHeight="1" x14ac:dyDescent="0.25">
      <c r="A38" s="1579" t="s">
        <v>42</v>
      </c>
      <c r="B38" s="1580"/>
      <c r="C38" s="1601"/>
      <c r="D38" s="1581"/>
      <c r="E38" s="1581"/>
      <c r="F38" s="1581"/>
      <c r="G38" s="23"/>
      <c r="H38" s="23"/>
      <c r="I38" s="23"/>
      <c r="J38" s="1582"/>
      <c r="K38" s="1582"/>
      <c r="L38" s="1582"/>
      <c r="M38" s="1582"/>
      <c r="N38" s="1582"/>
      <c r="O38" s="1582"/>
      <c r="P38" s="1582"/>
      <c r="Q38" s="1582"/>
      <c r="R38" s="1582"/>
    </row>
  </sheetData>
  <mergeCells count="74">
    <mergeCell ref="L1:R1"/>
    <mergeCell ref="L2:R2"/>
    <mergeCell ref="L3:R3"/>
    <mergeCell ref="Q4:R4"/>
    <mergeCell ref="M5:P5"/>
    <mergeCell ref="Q5:R5"/>
    <mergeCell ref="A11:I11"/>
    <mergeCell ref="J11:P11"/>
    <mergeCell ref="Q11:R11"/>
    <mergeCell ref="A6:L6"/>
    <mergeCell ref="M6:P6"/>
    <mergeCell ref="Q6:R6"/>
    <mergeCell ref="A7:L7"/>
    <mergeCell ref="Q7:R8"/>
    <mergeCell ref="A8:L8"/>
    <mergeCell ref="A9:L9"/>
    <mergeCell ref="M9:P9"/>
    <mergeCell ref="Q9:R9"/>
    <mergeCell ref="A10:L10"/>
    <mergeCell ref="Q10:R10"/>
    <mergeCell ref="Q12:R12"/>
    <mergeCell ref="I13:J13"/>
    <mergeCell ref="K13:L13"/>
    <mergeCell ref="I14:J14"/>
    <mergeCell ref="K14:L14"/>
    <mergeCell ref="P16:R16"/>
    <mergeCell ref="J17:L17"/>
    <mergeCell ref="M17:O17"/>
    <mergeCell ref="P17:R17"/>
    <mergeCell ref="A19:A20"/>
    <mergeCell ref="B19:C19"/>
    <mergeCell ref="D19:D20"/>
    <mergeCell ref="E19:E20"/>
    <mergeCell ref="F19:F20"/>
    <mergeCell ref="G19:G20"/>
    <mergeCell ref="A16:C18"/>
    <mergeCell ref="D16:F18"/>
    <mergeCell ref="G16:I18"/>
    <mergeCell ref="J16:L16"/>
    <mergeCell ref="M16:O16"/>
    <mergeCell ref="P19:P20"/>
    <mergeCell ref="Q19:Q20"/>
    <mergeCell ref="R19:R20"/>
    <mergeCell ref="M19:M20"/>
    <mergeCell ref="N19:N20"/>
    <mergeCell ref="P35:R35"/>
    <mergeCell ref="P38:R38"/>
    <mergeCell ref="P36:R36"/>
    <mergeCell ref="A37:B37"/>
    <mergeCell ref="D37:F37"/>
    <mergeCell ref="J37:L37"/>
    <mergeCell ref="M37:O37"/>
    <mergeCell ref="P37:R37"/>
    <mergeCell ref="A36:B36"/>
    <mergeCell ref="C36:C38"/>
    <mergeCell ref="D36:F36"/>
    <mergeCell ref="J36:L36"/>
    <mergeCell ref="M36:O36"/>
    <mergeCell ref="C14:H14"/>
    <mergeCell ref="A38:B38"/>
    <mergeCell ref="D38:F38"/>
    <mergeCell ref="J38:L38"/>
    <mergeCell ref="M38:O38"/>
    <mergeCell ref="A32:C32"/>
    <mergeCell ref="A33:C33"/>
    <mergeCell ref="A34:C34"/>
    <mergeCell ref="A35:C35"/>
    <mergeCell ref="O19:O20"/>
    <mergeCell ref="B29:C29"/>
    <mergeCell ref="A31:C31"/>
    <mergeCell ref="H19:I19"/>
    <mergeCell ref="J19:J20"/>
    <mergeCell ref="K19:K20"/>
    <mergeCell ref="L19:L20"/>
  </mergeCells>
  <pageMargins left="0.19685039370078741" right="0.19685039370078741" top="0.19685039370078741" bottom="0.19685039370078741" header="0.19685039370078741" footer="0.19685039370078741"/>
  <pageSetup paperSize="9" orientation="landscape" r:id="rId1"/>
  <headerFooter alignWithMargins="0"/>
  <rowBreaks count="1" manualBreakCount="1">
    <brk id="38" max="57" man="1"/>
  </rowBreaks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J20"/>
  <sheetViews>
    <sheetView showGridLines="0" showRowColHeaders="0" workbookViewId="0">
      <selection activeCell="E23" sqref="E23"/>
    </sheetView>
  </sheetViews>
  <sheetFormatPr defaultColWidth="8.88671875" defaultRowHeight="14.4" x14ac:dyDescent="0.3"/>
  <cols>
    <col min="1" max="1" width="12.109375" style="948" customWidth="1"/>
    <col min="2" max="2" width="11.5546875" style="948" customWidth="1"/>
    <col min="3" max="3" width="8" style="948" customWidth="1"/>
    <col min="4" max="4" width="41.5546875" style="948" customWidth="1"/>
    <col min="5" max="5" width="10.109375" style="948" customWidth="1"/>
    <col min="6" max="6" width="8.88671875" style="948"/>
    <col min="7" max="7" width="13.44140625" style="948" customWidth="1"/>
    <col min="8" max="8" width="7.6640625" style="948" customWidth="1"/>
    <col min="9" max="9" width="7.88671875" style="948" customWidth="1"/>
    <col min="10" max="10" width="10.44140625" style="948" customWidth="1"/>
    <col min="11" max="16384" width="8.88671875" style="948"/>
  </cols>
  <sheetData>
    <row r="1" spans="1:10" x14ac:dyDescent="0.3">
      <c r="A1" s="948" t="s">
        <v>1252</v>
      </c>
      <c r="B1" s="1643" t="s">
        <v>1251</v>
      </c>
      <c r="C1" s="1644"/>
      <c r="D1" s="1645"/>
      <c r="E1" s="948" t="s">
        <v>1250</v>
      </c>
      <c r="F1" s="985"/>
      <c r="I1" s="948" t="s">
        <v>1249</v>
      </c>
      <c r="J1" s="984"/>
    </row>
    <row r="2" spans="1:10" ht="7.5" customHeight="1" thickBot="1" x14ac:dyDescent="0.35"/>
    <row r="3" spans="1:10" ht="15" thickBot="1" x14ac:dyDescent="0.35">
      <c r="A3" s="983" t="s">
        <v>1049</v>
      </c>
      <c r="B3" s="982" t="s">
        <v>1248</v>
      </c>
      <c r="C3" s="982" t="s">
        <v>1247</v>
      </c>
      <c r="D3" s="982" t="s">
        <v>1007</v>
      </c>
      <c r="E3" s="982" t="s">
        <v>1246</v>
      </c>
      <c r="F3" s="982" t="s">
        <v>904</v>
      </c>
      <c r="G3" s="982" t="s">
        <v>1245</v>
      </c>
      <c r="H3" s="982" t="s">
        <v>587</v>
      </c>
      <c r="I3" s="982" t="s">
        <v>588</v>
      </c>
      <c r="J3" s="981" t="s">
        <v>589</v>
      </c>
    </row>
    <row r="4" spans="1:10" x14ac:dyDescent="0.3">
      <c r="A4" s="979" t="s">
        <v>1039</v>
      </c>
      <c r="B4" s="980" t="s">
        <v>1244</v>
      </c>
      <c r="C4" s="977"/>
      <c r="D4" s="976"/>
      <c r="E4" s="974"/>
      <c r="F4" s="975"/>
      <c r="G4" s="974"/>
      <c r="H4" s="974"/>
      <c r="I4" s="974"/>
      <c r="J4" s="973"/>
    </row>
    <row r="5" spans="1:10" x14ac:dyDescent="0.3">
      <c r="A5" s="960"/>
      <c r="B5" s="966" t="s">
        <v>1243</v>
      </c>
      <c r="C5" s="965"/>
      <c r="D5" s="964"/>
      <c r="E5" s="962"/>
      <c r="F5" s="963"/>
      <c r="G5" s="962"/>
      <c r="H5" s="962"/>
      <c r="I5" s="962"/>
      <c r="J5" s="961"/>
    </row>
    <row r="6" spans="1:10" x14ac:dyDescent="0.3">
      <c r="A6" s="960"/>
      <c r="B6" s="966" t="s">
        <v>1242</v>
      </c>
      <c r="C6" s="965"/>
      <c r="D6" s="964"/>
      <c r="E6" s="962"/>
      <c r="F6" s="963"/>
      <c r="G6" s="962"/>
      <c r="H6" s="962"/>
      <c r="I6" s="962"/>
      <c r="J6" s="961"/>
    </row>
    <row r="7" spans="1:10" x14ac:dyDescent="0.3">
      <c r="A7" s="960"/>
      <c r="B7" s="965"/>
      <c r="C7" s="965"/>
      <c r="D7" s="964"/>
      <c r="E7" s="962"/>
      <c r="F7" s="963"/>
      <c r="G7" s="962"/>
      <c r="H7" s="962"/>
      <c r="I7" s="962"/>
      <c r="J7" s="961"/>
    </row>
    <row r="8" spans="1:10" ht="15" thickBot="1" x14ac:dyDescent="0.35">
      <c r="A8" s="954"/>
      <c r="B8" s="953"/>
      <c r="C8" s="953"/>
      <c r="D8" s="952"/>
      <c r="E8" s="950"/>
      <c r="F8" s="951"/>
      <c r="G8" s="950"/>
      <c r="H8" s="950"/>
      <c r="I8" s="950"/>
      <c r="J8" s="949"/>
    </row>
    <row r="9" spans="1:10" x14ac:dyDescent="0.3">
      <c r="A9" s="979" t="s">
        <v>1241</v>
      </c>
      <c r="B9" s="978" t="s">
        <v>1240</v>
      </c>
      <c r="C9" s="977"/>
      <c r="D9" s="976"/>
      <c r="E9" s="974"/>
      <c r="F9" s="975"/>
      <c r="G9" s="974"/>
      <c r="H9" s="974"/>
      <c r="I9" s="974"/>
      <c r="J9" s="973"/>
    </row>
    <row r="10" spans="1:10" x14ac:dyDescent="0.3">
      <c r="A10" s="960"/>
      <c r="B10" s="965"/>
      <c r="C10" s="965"/>
      <c r="D10" s="964"/>
      <c r="E10" s="962"/>
      <c r="F10" s="963"/>
      <c r="G10" s="962"/>
      <c r="H10" s="962"/>
      <c r="I10" s="962"/>
      <c r="J10" s="961"/>
    </row>
    <row r="11" spans="1:10" ht="15" thickBot="1" x14ac:dyDescent="0.35">
      <c r="A11" s="954"/>
      <c r="B11" s="953"/>
      <c r="C11" s="953"/>
      <c r="D11" s="952"/>
      <c r="E11" s="950"/>
      <c r="F11" s="951"/>
      <c r="G11" s="950"/>
      <c r="H11" s="950"/>
      <c r="I11" s="950"/>
      <c r="J11" s="949"/>
    </row>
    <row r="12" spans="1:10" x14ac:dyDescent="0.3">
      <c r="A12" s="960" t="s">
        <v>112</v>
      </c>
      <c r="B12" s="972" t="s">
        <v>1239</v>
      </c>
      <c r="C12" s="971"/>
      <c r="D12" s="970"/>
      <c r="E12" s="968"/>
      <c r="F12" s="969"/>
      <c r="G12" s="968"/>
      <c r="H12" s="968"/>
      <c r="I12" s="968"/>
      <c r="J12" s="967"/>
    </row>
    <row r="13" spans="1:10" x14ac:dyDescent="0.3">
      <c r="A13" s="960"/>
      <c r="B13" s="966" t="s">
        <v>1238</v>
      </c>
      <c r="C13" s="965"/>
      <c r="D13" s="964"/>
      <c r="E13" s="962"/>
      <c r="F13" s="963"/>
      <c r="G13" s="962"/>
      <c r="H13" s="962"/>
      <c r="I13" s="962"/>
      <c r="J13" s="961"/>
    </row>
    <row r="14" spans="1:10" x14ac:dyDescent="0.3">
      <c r="A14" s="960"/>
      <c r="B14" s="966" t="s">
        <v>1237</v>
      </c>
      <c r="C14" s="965"/>
      <c r="D14" s="964"/>
      <c r="E14" s="962"/>
      <c r="F14" s="963"/>
      <c r="G14" s="962"/>
      <c r="H14" s="962"/>
      <c r="I14" s="962"/>
      <c r="J14" s="961"/>
    </row>
    <row r="15" spans="1:10" x14ac:dyDescent="0.3">
      <c r="A15" s="960"/>
      <c r="B15" s="966" t="s">
        <v>1236</v>
      </c>
      <c r="C15" s="965"/>
      <c r="D15" s="964"/>
      <c r="E15" s="962"/>
      <c r="F15" s="963"/>
      <c r="G15" s="962"/>
      <c r="H15" s="962"/>
      <c r="I15" s="962"/>
      <c r="J15" s="961"/>
    </row>
    <row r="16" spans="1:10" x14ac:dyDescent="0.3">
      <c r="A16" s="960"/>
      <c r="B16" s="966" t="s">
        <v>1235</v>
      </c>
      <c r="C16" s="965"/>
      <c r="D16" s="964"/>
      <c r="E16" s="962"/>
      <c r="F16" s="963"/>
      <c r="G16" s="962"/>
      <c r="H16" s="962"/>
      <c r="I16" s="962"/>
      <c r="J16" s="961"/>
    </row>
    <row r="17" spans="1:10" x14ac:dyDescent="0.3">
      <c r="A17" s="960"/>
      <c r="B17" s="966" t="s">
        <v>1234</v>
      </c>
      <c r="C17" s="965"/>
      <c r="D17" s="964"/>
      <c r="E17" s="962"/>
      <c r="F17" s="963"/>
      <c r="G17" s="962"/>
      <c r="H17" s="962"/>
      <c r="I17" s="962"/>
      <c r="J17" s="961"/>
    </row>
    <row r="18" spans="1:10" x14ac:dyDescent="0.3">
      <c r="A18" s="960"/>
      <c r="B18" s="966" t="s">
        <v>1233</v>
      </c>
      <c r="C18" s="965"/>
      <c r="D18" s="964"/>
      <c r="E18" s="962"/>
      <c r="F18" s="963"/>
      <c r="G18" s="962"/>
      <c r="H18" s="962"/>
      <c r="I18" s="962"/>
      <c r="J18" s="961"/>
    </row>
    <row r="19" spans="1:10" x14ac:dyDescent="0.3">
      <c r="A19" s="960"/>
      <c r="B19" s="959"/>
      <c r="C19" s="959"/>
      <c r="D19" s="958"/>
      <c r="E19" s="956"/>
      <c r="F19" s="957"/>
      <c r="G19" s="956"/>
      <c r="H19" s="956"/>
      <c r="I19" s="956"/>
      <c r="J19" s="955"/>
    </row>
    <row r="20" spans="1:10" ht="15" thickBot="1" x14ac:dyDescent="0.35">
      <c r="A20" s="954"/>
      <c r="B20" s="953"/>
      <c r="C20" s="953"/>
      <c r="D20" s="952"/>
      <c r="E20" s="950"/>
      <c r="F20" s="951"/>
      <c r="G20" s="950"/>
      <c r="H20" s="950"/>
      <c r="I20" s="950"/>
      <c r="J20" s="949"/>
    </row>
  </sheetData>
  <mergeCells count="1">
    <mergeCell ref="B1:D1"/>
  </mergeCells>
  <pageMargins left="0.25" right="0.25" top="0.75" bottom="0.75" header="0.3" footer="0.3"/>
  <pageSetup paperSize="9" orientation="landscape" r:id="rId1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topLeftCell="A4" zoomScaleNormal="100" zoomScaleSheetLayoutView="100" workbookViewId="0">
      <selection activeCell="K12" sqref="K12"/>
    </sheetView>
  </sheetViews>
  <sheetFormatPr defaultRowHeight="13.8" x14ac:dyDescent="0.25"/>
  <cols>
    <col min="1" max="1" width="23.109375" customWidth="1"/>
    <col min="2" max="2" width="14.5546875" customWidth="1"/>
    <col min="3" max="3" width="16" customWidth="1"/>
    <col min="4" max="4" width="16.109375" customWidth="1"/>
    <col min="5" max="5" width="18.33203125" customWidth="1"/>
  </cols>
  <sheetData>
    <row r="1" spans="1:5" s="1160" customFormat="1" ht="91.2" customHeight="1" x14ac:dyDescent="0.25">
      <c r="A1" s="1648" t="s">
        <v>1306</v>
      </c>
      <c r="B1" s="1648"/>
      <c r="C1" s="1648"/>
      <c r="D1" s="1648"/>
      <c r="E1" s="1648"/>
    </row>
    <row r="2" spans="1:5" ht="18" x14ac:dyDescent="0.25">
      <c r="A2" s="1647" t="s">
        <v>1033</v>
      </c>
      <c r="B2" s="1647"/>
      <c r="C2" s="1647"/>
      <c r="D2" s="1647"/>
      <c r="E2" s="1647"/>
    </row>
    <row r="3" spans="1:5" ht="18" x14ac:dyDescent="0.25">
      <c r="A3" s="1168"/>
    </row>
    <row r="4" spans="1:5" ht="17.399999999999999" x14ac:dyDescent="0.25">
      <c r="A4" s="1646" t="s">
        <v>1304</v>
      </c>
      <c r="B4" s="1646"/>
      <c r="C4" s="1646"/>
      <c r="D4" s="1646"/>
      <c r="E4" s="1646"/>
    </row>
    <row r="5" spans="1:5" ht="17.399999999999999" x14ac:dyDescent="0.25">
      <c r="A5" s="1646" t="s">
        <v>1305</v>
      </c>
      <c r="B5" s="1646"/>
      <c r="C5" s="1646"/>
      <c r="D5" s="1646"/>
      <c r="E5" s="1646"/>
    </row>
    <row r="6" spans="1:5" ht="18" x14ac:dyDescent="0.25">
      <c r="A6" s="1168"/>
    </row>
    <row r="7" spans="1:5" ht="36" x14ac:dyDescent="0.25">
      <c r="A7" s="1161" t="s">
        <v>1035</v>
      </c>
      <c r="B7" s="1161" t="s">
        <v>1036</v>
      </c>
      <c r="C7" s="1161" t="s">
        <v>1037</v>
      </c>
      <c r="D7" s="1161" t="s">
        <v>1038</v>
      </c>
      <c r="E7" s="1161" t="s">
        <v>999</v>
      </c>
    </row>
    <row r="8" spans="1:5" ht="30" customHeight="1" x14ac:dyDescent="0.25">
      <c r="A8" s="835" t="s">
        <v>1039</v>
      </c>
      <c r="B8" s="1161">
        <v>350</v>
      </c>
      <c r="C8" s="1161">
        <v>400</v>
      </c>
      <c r="D8" s="1161">
        <v>500</v>
      </c>
      <c r="E8" s="1161">
        <v>550</v>
      </c>
    </row>
    <row r="9" spans="1:5" ht="30" customHeight="1" x14ac:dyDescent="0.25">
      <c r="A9" s="835" t="s">
        <v>1040</v>
      </c>
      <c r="B9" s="1161">
        <v>100</v>
      </c>
      <c r="C9" s="1161">
        <v>100</v>
      </c>
      <c r="D9" s="1161">
        <v>200</v>
      </c>
      <c r="E9" s="1161">
        <v>200</v>
      </c>
    </row>
    <row r="10" spans="1:5" ht="30" customHeight="1" x14ac:dyDescent="0.25">
      <c r="A10" s="835" t="s">
        <v>112</v>
      </c>
      <c r="B10" s="1161">
        <v>450</v>
      </c>
      <c r="C10" s="1161">
        <v>600</v>
      </c>
      <c r="D10" s="1161">
        <v>700</v>
      </c>
      <c r="E10" s="1161">
        <v>800</v>
      </c>
    </row>
    <row r="11" spans="1:5" ht="30" customHeight="1" x14ac:dyDescent="0.25">
      <c r="A11" s="835" t="s">
        <v>800</v>
      </c>
      <c r="B11" s="1161">
        <v>200</v>
      </c>
      <c r="C11" s="1161">
        <v>250</v>
      </c>
      <c r="D11" s="1161">
        <v>300</v>
      </c>
      <c r="E11" s="1161">
        <v>350</v>
      </c>
    </row>
    <row r="12" spans="1:5" ht="30" customHeight="1" x14ac:dyDescent="0.25">
      <c r="A12" s="835" t="s">
        <v>1041</v>
      </c>
      <c r="B12" s="1161">
        <v>400</v>
      </c>
      <c r="C12" s="1161">
        <v>450</v>
      </c>
      <c r="D12" s="1161">
        <v>500</v>
      </c>
      <c r="E12" s="1161">
        <v>600</v>
      </c>
    </row>
    <row r="13" spans="1:5" ht="30" customHeight="1" x14ac:dyDescent="0.25">
      <c r="A13" s="835" t="s">
        <v>1042</v>
      </c>
      <c r="B13" s="1161">
        <v>100</v>
      </c>
      <c r="C13" s="1161">
        <v>150</v>
      </c>
      <c r="D13" s="1161">
        <v>200</v>
      </c>
      <c r="E13" s="1161">
        <v>200</v>
      </c>
    </row>
    <row r="14" spans="1:5" ht="18" x14ac:dyDescent="0.35">
      <c r="A14" s="1169"/>
    </row>
    <row r="15" spans="1:5" ht="115.95" customHeight="1" x14ac:dyDescent="0.25"/>
  </sheetData>
  <mergeCells count="4">
    <mergeCell ref="A4:E4"/>
    <mergeCell ref="A5:E5"/>
    <mergeCell ref="A2:E2"/>
    <mergeCell ref="A1:E1"/>
  </mergeCells>
  <pageMargins left="0.7" right="0.7" top="0.75" bottom="0.75" header="0.3" footer="0.3"/>
  <pageSetup paperSize="9" orientation="portrait" r:id="rId1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3"/>
  <sheetViews>
    <sheetView workbookViewId="0">
      <selection activeCell="B21" sqref="B21"/>
    </sheetView>
  </sheetViews>
  <sheetFormatPr defaultColWidth="8.88671875" defaultRowHeight="13.8" x14ac:dyDescent="0.25"/>
  <cols>
    <col min="1" max="1" width="8.88671875" style="699"/>
    <col min="2" max="2" width="47.6640625" style="699" customWidth="1"/>
    <col min="3" max="3" width="14.109375" style="699" customWidth="1"/>
    <col min="4" max="4" width="12.88671875" style="699" customWidth="1"/>
    <col min="5" max="5" width="13.88671875" style="699" customWidth="1"/>
    <col min="6" max="6" width="14.109375" style="699" customWidth="1"/>
    <col min="7" max="16384" width="8.88671875" style="699"/>
  </cols>
  <sheetData>
    <row r="1" spans="2:6" ht="18" x14ac:dyDescent="0.25">
      <c r="B1" s="1647" t="s">
        <v>1006</v>
      </c>
      <c r="C1" s="1647"/>
      <c r="D1" s="1647"/>
      <c r="E1" s="1647"/>
      <c r="F1" s="1647"/>
    </row>
    <row r="2" spans="2:6" ht="18" x14ac:dyDescent="0.25">
      <c r="B2" s="1647" t="s">
        <v>976</v>
      </c>
      <c r="C2" s="1647"/>
      <c r="D2" s="1647"/>
      <c r="E2" s="1647"/>
      <c r="F2" s="1647"/>
    </row>
    <row r="3" spans="2:6" ht="18" x14ac:dyDescent="0.25">
      <c r="B3" s="1647" t="s">
        <v>1033</v>
      </c>
      <c r="C3" s="1647"/>
      <c r="D3" s="1647"/>
      <c r="E3" s="1647"/>
      <c r="F3" s="1647"/>
    </row>
    <row r="4" spans="2:6" x14ac:dyDescent="0.25">
      <c r="B4" s="1527"/>
      <c r="C4" s="1527"/>
      <c r="D4" s="1527"/>
      <c r="E4" s="1527"/>
      <c r="F4" s="1527"/>
    </row>
    <row r="5" spans="2:6" ht="17.399999999999999" x14ac:dyDescent="0.25">
      <c r="B5" s="1649" t="s">
        <v>1034</v>
      </c>
      <c r="C5" s="1646"/>
      <c r="D5" s="1646"/>
      <c r="E5" s="1646"/>
      <c r="F5" s="1646"/>
    </row>
    <row r="7" spans="2:6" ht="36" x14ac:dyDescent="0.25">
      <c r="B7" s="834" t="s">
        <v>1035</v>
      </c>
      <c r="C7" s="834" t="s">
        <v>1036</v>
      </c>
      <c r="D7" s="834" t="s">
        <v>1037</v>
      </c>
      <c r="E7" s="834" t="s">
        <v>1038</v>
      </c>
      <c r="F7" s="834" t="s">
        <v>999</v>
      </c>
    </row>
    <row r="8" spans="2:6" ht="18" x14ac:dyDescent="0.25">
      <c r="B8" s="835" t="s">
        <v>1039</v>
      </c>
      <c r="C8" s="834">
        <v>350</v>
      </c>
      <c r="D8" s="834">
        <v>400</v>
      </c>
      <c r="E8" s="834">
        <v>500</v>
      </c>
      <c r="F8" s="834">
        <v>550</v>
      </c>
    </row>
    <row r="9" spans="2:6" ht="18" x14ac:dyDescent="0.25">
      <c r="B9" s="835" t="s">
        <v>1040</v>
      </c>
      <c r="C9" s="834">
        <v>100</v>
      </c>
      <c r="D9" s="834">
        <v>100</v>
      </c>
      <c r="E9" s="834">
        <v>200</v>
      </c>
      <c r="F9" s="834">
        <v>200</v>
      </c>
    </row>
    <row r="10" spans="2:6" ht="18" x14ac:dyDescent="0.25">
      <c r="B10" s="835" t="s">
        <v>112</v>
      </c>
      <c r="C10" s="834">
        <v>450</v>
      </c>
      <c r="D10" s="834">
        <v>600</v>
      </c>
      <c r="E10" s="834">
        <v>700</v>
      </c>
      <c r="F10" s="834">
        <v>800</v>
      </c>
    </row>
    <row r="11" spans="2:6" ht="18" x14ac:dyDescent="0.25">
      <c r="B11" s="835" t="s">
        <v>800</v>
      </c>
      <c r="C11" s="834">
        <v>200</v>
      </c>
      <c r="D11" s="834">
        <v>250</v>
      </c>
      <c r="E11" s="834">
        <v>300</v>
      </c>
      <c r="F11" s="834">
        <v>350</v>
      </c>
    </row>
    <row r="12" spans="2:6" ht="18" x14ac:dyDescent="0.25">
      <c r="B12" s="835" t="s">
        <v>1041</v>
      </c>
      <c r="C12" s="834">
        <v>400</v>
      </c>
      <c r="D12" s="834">
        <v>450</v>
      </c>
      <c r="E12" s="834">
        <v>500</v>
      </c>
      <c r="F12" s="834">
        <v>600</v>
      </c>
    </row>
    <row r="13" spans="2:6" ht="18" x14ac:dyDescent="0.25">
      <c r="B13" s="835" t="s">
        <v>1042</v>
      </c>
      <c r="C13" s="834">
        <v>100</v>
      </c>
      <c r="D13" s="834">
        <v>150</v>
      </c>
      <c r="E13" s="834">
        <v>200</v>
      </c>
      <c r="F13" s="834">
        <v>200</v>
      </c>
    </row>
  </sheetData>
  <mergeCells count="5">
    <mergeCell ref="B1:F1"/>
    <mergeCell ref="B2:F2"/>
    <mergeCell ref="B3:F3"/>
    <mergeCell ref="B4:F4"/>
    <mergeCell ref="B5:F5"/>
  </mergeCells>
  <pageMargins left="0.7" right="0.7" top="0.75" bottom="0.75" header="0.3" footer="0.3"/>
  <pageSetup paperSize="9" orientation="portrait" r:id="rId1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workbookViewId="0">
      <selection activeCell="I8" sqref="I8"/>
    </sheetView>
  </sheetViews>
  <sheetFormatPr defaultRowHeight="13.8" x14ac:dyDescent="0.25"/>
  <cols>
    <col min="1" max="1" width="21.33203125" customWidth="1"/>
    <col min="2" max="2" width="19.88671875" customWidth="1"/>
    <col min="3" max="3" width="19.109375" customWidth="1"/>
    <col min="4" max="4" width="17.33203125" customWidth="1"/>
    <col min="5" max="5" width="24.88671875" customWidth="1"/>
    <col min="6" max="6" width="25.5546875" customWidth="1"/>
  </cols>
  <sheetData>
    <row r="1" spans="1:6" ht="35.4" customHeight="1" x14ac:dyDescent="0.25">
      <c r="A1" s="1649" t="s">
        <v>1045</v>
      </c>
      <c r="B1" s="1649"/>
      <c r="C1" s="1649"/>
      <c r="D1" s="1649"/>
      <c r="E1" s="1649"/>
      <c r="F1" s="1649"/>
    </row>
    <row r="2" spans="1:6" ht="15" customHeight="1" x14ac:dyDescent="0.35">
      <c r="A2" s="836"/>
      <c r="B2" s="836"/>
      <c r="C2" s="836"/>
      <c r="D2" s="836"/>
      <c r="E2" s="836"/>
      <c r="F2" s="836"/>
    </row>
    <row r="3" spans="1:6" x14ac:dyDescent="0.25">
      <c r="A3" t="s">
        <v>978</v>
      </c>
    </row>
    <row r="4" spans="1:6" ht="20.399999999999999" x14ac:dyDescent="0.25">
      <c r="A4" s="1651" t="s">
        <v>1046</v>
      </c>
      <c r="B4" s="1651"/>
      <c r="C4" s="1651"/>
      <c r="D4" s="1651"/>
      <c r="E4" s="1651"/>
      <c r="F4" s="1651"/>
    </row>
    <row r="6" spans="1:6" ht="18" x14ac:dyDescent="0.25">
      <c r="A6" s="1650" t="s">
        <v>1047</v>
      </c>
      <c r="B6" s="1650"/>
      <c r="C6" s="1650"/>
      <c r="D6" s="1650" t="s">
        <v>1048</v>
      </c>
      <c r="E6" s="1650"/>
      <c r="F6" s="1650"/>
    </row>
    <row r="7" spans="1:6" ht="36" x14ac:dyDescent="0.25">
      <c r="A7" s="834" t="s">
        <v>1049</v>
      </c>
      <c r="B7" s="834" t="s">
        <v>1050</v>
      </c>
      <c r="C7" s="834" t="s">
        <v>1051</v>
      </c>
      <c r="D7" s="834" t="s">
        <v>1049</v>
      </c>
      <c r="E7" s="834" t="s">
        <v>1050</v>
      </c>
      <c r="F7" s="834" t="s">
        <v>1051</v>
      </c>
    </row>
    <row r="8" spans="1:6" ht="18" x14ac:dyDescent="0.25">
      <c r="A8" s="834" t="s">
        <v>1039</v>
      </c>
      <c r="B8" s="834" t="s">
        <v>1052</v>
      </c>
      <c r="C8" s="834" t="s">
        <v>1053</v>
      </c>
      <c r="D8" s="834" t="s">
        <v>1039</v>
      </c>
      <c r="E8" s="834" t="s">
        <v>1054</v>
      </c>
      <c r="F8" s="834" t="s">
        <v>1053</v>
      </c>
    </row>
    <row r="9" spans="1:6" ht="18" x14ac:dyDescent="0.25">
      <c r="A9" s="834" t="s">
        <v>112</v>
      </c>
      <c r="B9" s="834" t="s">
        <v>1055</v>
      </c>
      <c r="C9" s="834">
        <v>35</v>
      </c>
      <c r="D9" s="834" t="s">
        <v>112</v>
      </c>
      <c r="E9" s="834" t="s">
        <v>1056</v>
      </c>
      <c r="F9" s="834" t="s">
        <v>1057</v>
      </c>
    </row>
    <row r="10" spans="1:6" ht="18" x14ac:dyDescent="0.25">
      <c r="A10" s="834" t="s">
        <v>800</v>
      </c>
      <c r="B10" s="834" t="s">
        <v>1058</v>
      </c>
      <c r="C10" s="837">
        <v>42278</v>
      </c>
      <c r="D10" s="834" t="s">
        <v>800</v>
      </c>
      <c r="E10" s="834" t="s">
        <v>1058</v>
      </c>
      <c r="F10" s="837">
        <v>42278</v>
      </c>
    </row>
    <row r="11" spans="1:6" ht="18" x14ac:dyDescent="0.25">
      <c r="A11" s="834" t="s">
        <v>1041</v>
      </c>
      <c r="B11" s="834" t="s">
        <v>1059</v>
      </c>
      <c r="C11" s="834" t="s">
        <v>1053</v>
      </c>
      <c r="D11" s="834" t="s">
        <v>1041</v>
      </c>
      <c r="E11" s="834" t="s">
        <v>1059</v>
      </c>
      <c r="F11" s="834" t="s">
        <v>1053</v>
      </c>
    </row>
  </sheetData>
  <mergeCells count="4">
    <mergeCell ref="A6:C6"/>
    <mergeCell ref="D6:F6"/>
    <mergeCell ref="A1:F1"/>
    <mergeCell ref="A4:F4"/>
  </mergeCells>
  <pageMargins left="0.7" right="0.7" top="0.75" bottom="0.75" header="0.3" footer="0.3"/>
  <pageSetup paperSize="9" orientation="portrait" r:id="rId1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7"/>
  <sheetViews>
    <sheetView topLeftCell="A45" workbookViewId="0">
      <selection activeCell="K30" sqref="K30"/>
    </sheetView>
  </sheetViews>
  <sheetFormatPr defaultRowHeight="13.8" x14ac:dyDescent="0.25"/>
  <cols>
    <col min="1" max="1" width="47.33203125" customWidth="1"/>
    <col min="2" max="2" width="14.5546875" customWidth="1"/>
    <col min="3" max="3" width="15.33203125" customWidth="1"/>
    <col min="5" max="5" width="40.5546875" customWidth="1"/>
    <col min="6" max="6" width="17.44140625" customWidth="1"/>
    <col min="7" max="7" width="18.6640625" customWidth="1"/>
  </cols>
  <sheetData>
    <row r="1" spans="1:7" ht="17.399999999999999" x14ac:dyDescent="0.25">
      <c r="A1" s="833" t="s">
        <v>1060</v>
      </c>
    </row>
    <row r="2" spans="1:7" ht="17.399999999999999" x14ac:dyDescent="0.25">
      <c r="A2" s="833" t="s">
        <v>1111</v>
      </c>
    </row>
    <row r="3" spans="1:7" ht="17.399999999999999" x14ac:dyDescent="0.25">
      <c r="A3" s="833" t="s">
        <v>1062</v>
      </c>
    </row>
    <row r="5" spans="1:7" ht="18" x14ac:dyDescent="0.25">
      <c r="A5" s="1650" t="s">
        <v>1063</v>
      </c>
      <c r="B5" s="834" t="s">
        <v>1064</v>
      </c>
      <c r="C5" s="834" t="s">
        <v>1065</v>
      </c>
      <c r="E5" s="1650" t="s">
        <v>1063</v>
      </c>
      <c r="F5" s="834" t="s">
        <v>1064</v>
      </c>
      <c r="G5" s="834" t="s">
        <v>1065</v>
      </c>
    </row>
    <row r="6" spans="1:7" ht="36" x14ac:dyDescent="0.25">
      <c r="A6" s="1650"/>
      <c r="B6" s="834" t="s">
        <v>1066</v>
      </c>
      <c r="C6" s="834" t="s">
        <v>1066</v>
      </c>
      <c r="E6" s="1650"/>
      <c r="F6" s="834" t="s">
        <v>1066</v>
      </c>
      <c r="G6" s="834" t="s">
        <v>1066</v>
      </c>
    </row>
    <row r="7" spans="1:7" ht="18" x14ac:dyDescent="0.25">
      <c r="A7" s="1650"/>
      <c r="B7" s="834" t="s">
        <v>1067</v>
      </c>
      <c r="C7" s="834" t="s">
        <v>1067</v>
      </c>
      <c r="E7" s="1650"/>
      <c r="F7" s="834" t="s">
        <v>1067</v>
      </c>
      <c r="G7" s="834" t="s">
        <v>1067</v>
      </c>
    </row>
    <row r="8" spans="1:7" ht="18" x14ac:dyDescent="0.25">
      <c r="A8" s="834" t="s">
        <v>1068</v>
      </c>
      <c r="B8" s="835"/>
      <c r="C8" s="835"/>
      <c r="E8" s="834" t="s">
        <v>1068</v>
      </c>
      <c r="F8" s="835"/>
      <c r="G8" s="835"/>
    </row>
    <row r="9" spans="1:7" ht="18" x14ac:dyDescent="0.25">
      <c r="A9" s="834" t="s">
        <v>1069</v>
      </c>
      <c r="B9" s="835"/>
      <c r="C9" s="835"/>
      <c r="E9" s="834" t="s">
        <v>1145</v>
      </c>
      <c r="F9" s="835"/>
      <c r="G9" s="835"/>
    </row>
    <row r="10" spans="1:7" ht="18" x14ac:dyDescent="0.25">
      <c r="A10" s="835" t="s">
        <v>1112</v>
      </c>
      <c r="B10" s="834">
        <v>60</v>
      </c>
      <c r="C10" s="834">
        <v>60</v>
      </c>
      <c r="E10" s="835" t="s">
        <v>1146</v>
      </c>
      <c r="F10" s="834">
        <v>60</v>
      </c>
      <c r="G10" s="834">
        <v>60</v>
      </c>
    </row>
    <row r="11" spans="1:7" ht="18" x14ac:dyDescent="0.25">
      <c r="A11" s="835" t="s">
        <v>1113</v>
      </c>
      <c r="B11" s="834">
        <v>250</v>
      </c>
      <c r="C11" s="834">
        <v>250</v>
      </c>
      <c r="E11" s="835" t="s">
        <v>1147</v>
      </c>
      <c r="F11" s="834">
        <v>250</v>
      </c>
      <c r="G11" s="834">
        <v>250</v>
      </c>
    </row>
    <row r="12" spans="1:7" ht="18" x14ac:dyDescent="0.25">
      <c r="A12" s="835" t="s">
        <v>1114</v>
      </c>
      <c r="B12" s="834">
        <v>80</v>
      </c>
      <c r="C12" s="834">
        <v>100</v>
      </c>
      <c r="E12" s="835" t="s">
        <v>1123</v>
      </c>
      <c r="F12" s="834">
        <v>80</v>
      </c>
      <c r="G12" s="834">
        <v>100</v>
      </c>
    </row>
    <row r="13" spans="1:7" ht="18" x14ac:dyDescent="0.25">
      <c r="A13" s="835" t="s">
        <v>1115</v>
      </c>
      <c r="B13" s="834">
        <v>150</v>
      </c>
      <c r="C13" s="834">
        <v>180</v>
      </c>
      <c r="E13" s="835" t="s">
        <v>354</v>
      </c>
      <c r="F13" s="834">
        <v>150</v>
      </c>
      <c r="G13" s="834">
        <v>180</v>
      </c>
    </row>
    <row r="14" spans="1:7" ht="18" x14ac:dyDescent="0.25">
      <c r="A14" s="835" t="s">
        <v>1102</v>
      </c>
      <c r="B14" s="834">
        <v>200</v>
      </c>
      <c r="C14" s="834">
        <v>200</v>
      </c>
      <c r="E14" s="835" t="s">
        <v>1102</v>
      </c>
      <c r="F14" s="834">
        <v>200</v>
      </c>
      <c r="G14" s="834">
        <v>200</v>
      </c>
    </row>
    <row r="15" spans="1:7" ht="18" x14ac:dyDescent="0.25">
      <c r="A15" s="835" t="s">
        <v>96</v>
      </c>
      <c r="B15" s="834">
        <v>20</v>
      </c>
      <c r="C15" s="834">
        <v>20</v>
      </c>
      <c r="E15" s="835" t="s">
        <v>96</v>
      </c>
      <c r="F15" s="834">
        <v>20</v>
      </c>
      <c r="G15" s="834">
        <v>20</v>
      </c>
    </row>
    <row r="16" spans="1:7" ht="18" x14ac:dyDescent="0.25">
      <c r="A16" s="835" t="s">
        <v>1116</v>
      </c>
      <c r="B16" s="834">
        <v>30</v>
      </c>
      <c r="C16" s="834">
        <v>30</v>
      </c>
      <c r="E16" s="835" t="s">
        <v>1116</v>
      </c>
      <c r="F16" s="834">
        <v>30</v>
      </c>
      <c r="G16" s="834">
        <v>30</v>
      </c>
    </row>
    <row r="17" spans="1:7" ht="18" x14ac:dyDescent="0.25">
      <c r="A17" s="835" t="s">
        <v>202</v>
      </c>
      <c r="B17" s="834">
        <v>790</v>
      </c>
      <c r="C17" s="834">
        <v>840</v>
      </c>
      <c r="E17" s="835" t="s">
        <v>202</v>
      </c>
      <c r="F17" s="834">
        <v>790</v>
      </c>
      <c r="G17" s="834">
        <v>840</v>
      </c>
    </row>
    <row r="18" spans="1:7" ht="18" x14ac:dyDescent="0.25">
      <c r="A18" s="834" t="s">
        <v>1074</v>
      </c>
      <c r="B18" s="835"/>
      <c r="C18" s="835"/>
      <c r="E18" s="834" t="s">
        <v>1074</v>
      </c>
      <c r="F18" s="835"/>
      <c r="G18" s="835"/>
    </row>
    <row r="19" spans="1:7" ht="18" x14ac:dyDescent="0.25">
      <c r="A19" s="835" t="s">
        <v>1117</v>
      </c>
      <c r="B19" s="834">
        <v>60</v>
      </c>
      <c r="C19" s="834">
        <v>60</v>
      </c>
      <c r="E19" s="835" t="s">
        <v>474</v>
      </c>
      <c r="F19" s="834">
        <v>60</v>
      </c>
      <c r="G19" s="834">
        <v>60</v>
      </c>
    </row>
    <row r="20" spans="1:7" ht="36" x14ac:dyDescent="0.25">
      <c r="A20" s="835" t="s">
        <v>1118</v>
      </c>
      <c r="B20" s="834" t="s">
        <v>1119</v>
      </c>
      <c r="C20" s="834" t="s">
        <v>1119</v>
      </c>
      <c r="E20" s="835" t="s">
        <v>1148</v>
      </c>
      <c r="F20" s="834">
        <v>250</v>
      </c>
      <c r="G20" s="834">
        <v>250</v>
      </c>
    </row>
    <row r="21" spans="1:7" ht="18" x14ac:dyDescent="0.25">
      <c r="A21" s="835" t="s">
        <v>1078</v>
      </c>
      <c r="B21" s="834">
        <v>80</v>
      </c>
      <c r="C21" s="834">
        <v>100</v>
      </c>
      <c r="E21" s="835" t="s">
        <v>1078</v>
      </c>
      <c r="F21" s="834">
        <v>80</v>
      </c>
      <c r="G21" s="834">
        <v>100</v>
      </c>
    </row>
    <row r="22" spans="1:7" ht="18" x14ac:dyDescent="0.25">
      <c r="A22" s="835" t="s">
        <v>1120</v>
      </c>
      <c r="B22" s="834">
        <v>150</v>
      </c>
      <c r="C22" s="834">
        <v>180</v>
      </c>
      <c r="E22" s="835" t="s">
        <v>1079</v>
      </c>
      <c r="F22" s="834">
        <v>150</v>
      </c>
      <c r="G22" s="834">
        <v>180</v>
      </c>
    </row>
    <row r="23" spans="1:7" ht="36" x14ac:dyDescent="0.25">
      <c r="A23" s="835" t="s">
        <v>1098</v>
      </c>
      <c r="B23" s="834">
        <v>200</v>
      </c>
      <c r="C23" s="834">
        <v>200</v>
      </c>
      <c r="E23" s="835" t="s">
        <v>1098</v>
      </c>
      <c r="F23" s="834">
        <v>200</v>
      </c>
      <c r="G23" s="834">
        <v>200</v>
      </c>
    </row>
    <row r="24" spans="1:7" ht="18" x14ac:dyDescent="0.25">
      <c r="A24" s="835" t="s">
        <v>96</v>
      </c>
      <c r="B24" s="834">
        <v>20</v>
      </c>
      <c r="C24" s="834">
        <v>20</v>
      </c>
      <c r="E24" s="835" t="s">
        <v>96</v>
      </c>
      <c r="F24" s="834">
        <v>20</v>
      </c>
      <c r="G24" s="834">
        <v>20</v>
      </c>
    </row>
    <row r="25" spans="1:7" ht="18" x14ac:dyDescent="0.25">
      <c r="A25" s="835" t="s">
        <v>1116</v>
      </c>
      <c r="B25" s="834">
        <v>30</v>
      </c>
      <c r="C25" s="834">
        <v>30</v>
      </c>
      <c r="E25" s="835" t="s">
        <v>1116</v>
      </c>
      <c r="F25" s="834">
        <v>30</v>
      </c>
      <c r="G25" s="834">
        <v>30</v>
      </c>
    </row>
    <row r="26" spans="1:7" ht="18" x14ac:dyDescent="0.25">
      <c r="A26" s="835" t="s">
        <v>202</v>
      </c>
      <c r="B26" s="834">
        <v>800</v>
      </c>
      <c r="C26" s="834">
        <v>850</v>
      </c>
      <c r="E26" s="835" t="s">
        <v>202</v>
      </c>
      <c r="F26" s="834">
        <v>790</v>
      </c>
      <c r="G26" s="834">
        <v>840</v>
      </c>
    </row>
    <row r="27" spans="1:7" ht="18" x14ac:dyDescent="0.25">
      <c r="A27" s="834" t="s">
        <v>1077</v>
      </c>
      <c r="B27" s="835"/>
      <c r="C27" s="835"/>
      <c r="E27" s="834" t="s">
        <v>1077</v>
      </c>
      <c r="F27" s="835"/>
      <c r="G27" s="835"/>
    </row>
    <row r="28" spans="1:7" ht="18" x14ac:dyDescent="0.25">
      <c r="A28" s="835" t="s">
        <v>1121</v>
      </c>
      <c r="B28" s="834">
        <v>60</v>
      </c>
      <c r="C28" s="834">
        <v>60</v>
      </c>
      <c r="E28" s="835" t="s">
        <v>528</v>
      </c>
      <c r="F28" s="834">
        <v>60</v>
      </c>
      <c r="G28" s="834">
        <v>60</v>
      </c>
    </row>
    <row r="29" spans="1:7" ht="36" x14ac:dyDescent="0.25">
      <c r="A29" s="835" t="s">
        <v>1122</v>
      </c>
      <c r="B29" s="834">
        <v>250</v>
      </c>
      <c r="C29" s="834">
        <v>250</v>
      </c>
      <c r="E29" s="835" t="s">
        <v>346</v>
      </c>
      <c r="F29" s="834">
        <v>250</v>
      </c>
      <c r="G29" s="834">
        <v>250</v>
      </c>
    </row>
    <row r="30" spans="1:7" ht="18" x14ac:dyDescent="0.25">
      <c r="A30" s="835" t="s">
        <v>1123</v>
      </c>
      <c r="B30" s="834">
        <v>80</v>
      </c>
      <c r="C30" s="834">
        <v>100</v>
      </c>
      <c r="E30" s="835" t="s">
        <v>1149</v>
      </c>
      <c r="F30" s="834">
        <v>80</v>
      </c>
      <c r="G30" s="834">
        <v>100</v>
      </c>
    </row>
    <row r="31" spans="1:7" ht="18" x14ac:dyDescent="0.25">
      <c r="A31" s="835" t="s">
        <v>196</v>
      </c>
      <c r="B31" s="834">
        <v>150</v>
      </c>
      <c r="C31" s="834">
        <v>180</v>
      </c>
      <c r="E31" s="835" t="s">
        <v>1107</v>
      </c>
      <c r="F31" s="834">
        <v>150</v>
      </c>
      <c r="G31" s="834">
        <v>180</v>
      </c>
    </row>
    <row r="32" spans="1:7" ht="18" x14ac:dyDescent="0.25">
      <c r="A32" s="838" t="s">
        <v>1124</v>
      </c>
      <c r="B32" s="834">
        <v>200</v>
      </c>
      <c r="C32" s="834">
        <v>200</v>
      </c>
      <c r="E32" s="838" t="s">
        <v>1124</v>
      </c>
      <c r="F32" s="834">
        <v>200</v>
      </c>
      <c r="G32" s="834">
        <v>200</v>
      </c>
    </row>
    <row r="33" spans="1:7" ht="18" x14ac:dyDescent="0.25">
      <c r="A33" s="835" t="s">
        <v>96</v>
      </c>
      <c r="B33" s="834">
        <v>20</v>
      </c>
      <c r="C33" s="834">
        <v>20</v>
      </c>
      <c r="E33" s="835" t="s">
        <v>96</v>
      </c>
      <c r="F33" s="834">
        <v>20</v>
      </c>
      <c r="G33" s="834">
        <v>20</v>
      </c>
    </row>
    <row r="34" spans="1:7" ht="18" x14ac:dyDescent="0.25">
      <c r="A34" s="835" t="s">
        <v>1116</v>
      </c>
      <c r="B34" s="834">
        <v>30</v>
      </c>
      <c r="C34" s="834">
        <v>30</v>
      </c>
      <c r="E34" s="835" t="s">
        <v>1116</v>
      </c>
      <c r="F34" s="834">
        <v>30</v>
      </c>
      <c r="G34" s="834">
        <v>30</v>
      </c>
    </row>
    <row r="35" spans="1:7" ht="18" x14ac:dyDescent="0.25">
      <c r="A35" s="835" t="s">
        <v>202</v>
      </c>
      <c r="B35" s="834">
        <v>790</v>
      </c>
      <c r="C35" s="834">
        <v>840</v>
      </c>
      <c r="E35" s="835" t="s">
        <v>202</v>
      </c>
      <c r="F35" s="834">
        <v>790</v>
      </c>
      <c r="G35" s="834">
        <v>840</v>
      </c>
    </row>
    <row r="36" spans="1:7" ht="18" x14ac:dyDescent="0.25">
      <c r="A36" s="834" t="s">
        <v>1082</v>
      </c>
      <c r="B36" s="835"/>
      <c r="C36" s="835"/>
      <c r="E36" s="834" t="s">
        <v>1082</v>
      </c>
      <c r="F36" s="835"/>
      <c r="G36" s="835"/>
    </row>
    <row r="37" spans="1:7" ht="36" x14ac:dyDescent="0.25">
      <c r="A37" s="835" t="s">
        <v>1125</v>
      </c>
      <c r="B37" s="834">
        <v>60</v>
      </c>
      <c r="C37" s="834">
        <v>60</v>
      </c>
      <c r="E37" s="835" t="s">
        <v>1150</v>
      </c>
      <c r="F37" s="834">
        <v>60</v>
      </c>
      <c r="G37" s="834">
        <v>60</v>
      </c>
    </row>
    <row r="38" spans="1:7" ht="18" x14ac:dyDescent="0.25">
      <c r="A38" s="835" t="s">
        <v>847</v>
      </c>
      <c r="B38" s="834">
        <v>250</v>
      </c>
      <c r="C38" s="834">
        <v>250</v>
      </c>
      <c r="E38" s="835" t="s">
        <v>1151</v>
      </c>
      <c r="F38" s="834">
        <v>250</v>
      </c>
      <c r="G38" s="834">
        <v>250</v>
      </c>
    </row>
    <row r="39" spans="1:7" ht="18" x14ac:dyDescent="0.25">
      <c r="A39" s="835" t="s">
        <v>1126</v>
      </c>
      <c r="B39" s="834">
        <v>200</v>
      </c>
      <c r="C39" s="834">
        <v>250</v>
      </c>
      <c r="E39" s="835" t="s">
        <v>1152</v>
      </c>
      <c r="F39" s="834">
        <v>200</v>
      </c>
      <c r="G39" s="834">
        <v>250</v>
      </c>
    </row>
    <row r="40" spans="1:7" ht="18" x14ac:dyDescent="0.25">
      <c r="A40" s="835" t="s">
        <v>1127</v>
      </c>
      <c r="B40" s="834">
        <v>200</v>
      </c>
      <c r="C40" s="834">
        <v>200</v>
      </c>
      <c r="E40" s="835" t="s">
        <v>1153</v>
      </c>
      <c r="F40" s="834">
        <v>200</v>
      </c>
      <c r="G40" s="834">
        <v>200</v>
      </c>
    </row>
    <row r="41" spans="1:7" ht="18" x14ac:dyDescent="0.25">
      <c r="A41" s="835" t="s">
        <v>96</v>
      </c>
      <c r="B41" s="834">
        <v>20</v>
      </c>
      <c r="C41" s="834">
        <v>20</v>
      </c>
      <c r="E41" s="835" t="s">
        <v>96</v>
      </c>
      <c r="F41" s="834">
        <v>20</v>
      </c>
      <c r="G41" s="834">
        <v>20</v>
      </c>
    </row>
    <row r="42" spans="1:7" ht="18" x14ac:dyDescent="0.25">
      <c r="A42" s="835" t="s">
        <v>1116</v>
      </c>
      <c r="B42" s="834">
        <v>30</v>
      </c>
      <c r="C42" s="834">
        <v>30</v>
      </c>
      <c r="E42" s="835" t="s">
        <v>1116</v>
      </c>
      <c r="F42" s="834">
        <v>30</v>
      </c>
      <c r="G42" s="834">
        <v>30</v>
      </c>
    </row>
    <row r="43" spans="1:7" ht="18" x14ac:dyDescent="0.25">
      <c r="A43" s="835" t="s">
        <v>202</v>
      </c>
      <c r="B43" s="834">
        <v>760</v>
      </c>
      <c r="C43" s="834">
        <v>810</v>
      </c>
      <c r="E43" s="835" t="s">
        <v>202</v>
      </c>
      <c r="F43" s="834">
        <v>760</v>
      </c>
      <c r="G43" s="834">
        <v>810</v>
      </c>
    </row>
    <row r="44" spans="1:7" ht="18" x14ac:dyDescent="0.25">
      <c r="A44" s="834" t="s">
        <v>1086</v>
      </c>
      <c r="B44" s="835"/>
      <c r="C44" s="835"/>
      <c r="E44" s="834" t="s">
        <v>1086</v>
      </c>
      <c r="F44" s="835"/>
      <c r="G44" s="835"/>
    </row>
    <row r="45" spans="1:7" ht="18" x14ac:dyDescent="0.25">
      <c r="A45" s="835" t="s">
        <v>1128</v>
      </c>
      <c r="B45" s="834">
        <v>60</v>
      </c>
      <c r="C45" s="834">
        <v>60</v>
      </c>
      <c r="E45" s="835" t="s">
        <v>1154</v>
      </c>
      <c r="F45" s="834">
        <v>60</v>
      </c>
      <c r="G45" s="834">
        <v>60</v>
      </c>
    </row>
    <row r="46" spans="1:7" ht="36" x14ac:dyDescent="0.25">
      <c r="A46" s="835" t="s">
        <v>1129</v>
      </c>
      <c r="B46" s="834">
        <v>250</v>
      </c>
      <c r="C46" s="834">
        <v>250</v>
      </c>
      <c r="E46" s="835" t="s">
        <v>1155</v>
      </c>
      <c r="F46" s="834" t="s">
        <v>1156</v>
      </c>
      <c r="G46" s="834" t="s">
        <v>1156</v>
      </c>
    </row>
    <row r="47" spans="1:7" ht="18" x14ac:dyDescent="0.25">
      <c r="A47" s="835" t="s">
        <v>1130</v>
      </c>
      <c r="B47" s="834">
        <v>80</v>
      </c>
      <c r="C47" s="834">
        <v>100</v>
      </c>
      <c r="E47" s="835" t="s">
        <v>1157</v>
      </c>
      <c r="F47" s="834">
        <v>80</v>
      </c>
      <c r="G47" s="834">
        <v>100</v>
      </c>
    </row>
    <row r="48" spans="1:7" ht="18" x14ac:dyDescent="0.25">
      <c r="A48" s="835" t="s">
        <v>1079</v>
      </c>
      <c r="B48" s="834">
        <v>150</v>
      </c>
      <c r="C48" s="834">
        <v>180</v>
      </c>
      <c r="E48" s="835" t="s">
        <v>347</v>
      </c>
      <c r="F48" s="834">
        <v>150</v>
      </c>
      <c r="G48" s="834">
        <v>180</v>
      </c>
    </row>
    <row r="49" spans="1:7" ht="36" x14ac:dyDescent="0.25">
      <c r="A49" s="835" t="s">
        <v>1098</v>
      </c>
      <c r="B49" s="834">
        <v>200</v>
      </c>
      <c r="C49" s="834">
        <v>200</v>
      </c>
      <c r="E49" s="835" t="s">
        <v>1098</v>
      </c>
      <c r="F49" s="834">
        <v>200</v>
      </c>
      <c r="G49" s="834">
        <v>200</v>
      </c>
    </row>
    <row r="50" spans="1:7" ht="18" x14ac:dyDescent="0.25">
      <c r="A50" s="835" t="s">
        <v>96</v>
      </c>
      <c r="B50" s="834">
        <v>20</v>
      </c>
      <c r="C50" s="834">
        <v>20</v>
      </c>
      <c r="E50" s="835" t="s">
        <v>96</v>
      </c>
      <c r="F50" s="834">
        <v>20</v>
      </c>
      <c r="G50" s="834">
        <v>20</v>
      </c>
    </row>
    <row r="51" spans="1:7" ht="18" x14ac:dyDescent="0.25">
      <c r="A51" s="835" t="s">
        <v>990</v>
      </c>
      <c r="B51" s="834">
        <v>30</v>
      </c>
      <c r="C51" s="834">
        <v>30</v>
      </c>
      <c r="E51" s="835" t="s">
        <v>1116</v>
      </c>
      <c r="F51" s="834">
        <v>30</v>
      </c>
      <c r="G51" s="834">
        <v>30</v>
      </c>
    </row>
    <row r="52" spans="1:7" ht="18" x14ac:dyDescent="0.25">
      <c r="A52" s="835" t="s">
        <v>202</v>
      </c>
      <c r="B52" s="834">
        <v>790</v>
      </c>
      <c r="C52" s="834">
        <v>840</v>
      </c>
      <c r="E52" s="835" t="s">
        <v>202</v>
      </c>
      <c r="F52" s="834">
        <v>810</v>
      </c>
      <c r="G52" s="834">
        <v>860</v>
      </c>
    </row>
    <row r="53" spans="1:7" ht="18" x14ac:dyDescent="0.25">
      <c r="A53" s="834" t="s">
        <v>1088</v>
      </c>
      <c r="B53" s="835"/>
      <c r="C53" s="835"/>
      <c r="E53" s="834" t="s">
        <v>1088</v>
      </c>
      <c r="F53" s="835"/>
      <c r="G53" s="835"/>
    </row>
    <row r="54" spans="1:7" ht="18" x14ac:dyDescent="0.25">
      <c r="A54" s="834" t="s">
        <v>1069</v>
      </c>
      <c r="B54" s="835"/>
      <c r="C54" s="835"/>
      <c r="E54" s="834" t="s">
        <v>1069</v>
      </c>
      <c r="F54" s="835"/>
      <c r="G54" s="835"/>
    </row>
    <row r="55" spans="1:7" ht="36" x14ac:dyDescent="0.25">
      <c r="A55" s="835" t="s">
        <v>1131</v>
      </c>
      <c r="B55" s="834">
        <v>60</v>
      </c>
      <c r="C55" s="834">
        <v>60</v>
      </c>
      <c r="E55" s="835" t="s">
        <v>1158</v>
      </c>
      <c r="F55" s="834">
        <v>60</v>
      </c>
      <c r="G55" s="834">
        <v>60</v>
      </c>
    </row>
    <row r="56" spans="1:7" ht="18" x14ac:dyDescent="0.25">
      <c r="A56" s="835" t="s">
        <v>1132</v>
      </c>
      <c r="B56" s="834" t="s">
        <v>1119</v>
      </c>
      <c r="C56" s="834" t="s">
        <v>1119</v>
      </c>
      <c r="E56" s="835" t="s">
        <v>1118</v>
      </c>
      <c r="F56" s="834" t="s">
        <v>1119</v>
      </c>
      <c r="G56" s="834" t="s">
        <v>1119</v>
      </c>
    </row>
    <row r="57" spans="1:7" ht="18" x14ac:dyDescent="0.25">
      <c r="A57" s="835" t="s">
        <v>1133</v>
      </c>
      <c r="B57" s="834">
        <v>80</v>
      </c>
      <c r="C57" s="834">
        <v>100</v>
      </c>
      <c r="E57" s="835" t="s">
        <v>1133</v>
      </c>
      <c r="F57" s="834">
        <v>80</v>
      </c>
      <c r="G57" s="834">
        <v>100</v>
      </c>
    </row>
    <row r="58" spans="1:7" ht="18" x14ac:dyDescent="0.25">
      <c r="A58" s="835" t="s">
        <v>1134</v>
      </c>
      <c r="B58" s="834">
        <v>150</v>
      </c>
      <c r="C58" s="834">
        <v>180</v>
      </c>
      <c r="E58" s="835" t="s">
        <v>1159</v>
      </c>
      <c r="F58" s="834">
        <v>150</v>
      </c>
      <c r="G58" s="834">
        <v>180</v>
      </c>
    </row>
    <row r="59" spans="1:7" ht="36" x14ac:dyDescent="0.25">
      <c r="A59" s="835" t="s">
        <v>1127</v>
      </c>
      <c r="B59" s="834">
        <v>200</v>
      </c>
      <c r="C59" s="834">
        <v>200</v>
      </c>
      <c r="E59" s="835" t="s">
        <v>1160</v>
      </c>
      <c r="F59" s="834">
        <v>200</v>
      </c>
      <c r="G59" s="834">
        <v>200</v>
      </c>
    </row>
    <row r="60" spans="1:7" ht="18" x14ac:dyDescent="0.25">
      <c r="A60" s="835" t="s">
        <v>96</v>
      </c>
      <c r="B60" s="834">
        <v>20</v>
      </c>
      <c r="C60" s="834">
        <v>20</v>
      </c>
      <c r="E60" s="835" t="s">
        <v>96</v>
      </c>
      <c r="F60" s="834">
        <v>20</v>
      </c>
      <c r="G60" s="834">
        <v>20</v>
      </c>
    </row>
    <row r="61" spans="1:7" ht="18" x14ac:dyDescent="0.25">
      <c r="A61" s="835" t="s">
        <v>990</v>
      </c>
      <c r="B61" s="834">
        <v>30</v>
      </c>
      <c r="C61" s="834">
        <v>30</v>
      </c>
      <c r="E61" s="835" t="s">
        <v>990</v>
      </c>
      <c r="F61" s="834">
        <v>30</v>
      </c>
      <c r="G61" s="834">
        <v>30</v>
      </c>
    </row>
    <row r="62" spans="1:7" ht="18" x14ac:dyDescent="0.25">
      <c r="A62" s="835" t="s">
        <v>202</v>
      </c>
      <c r="B62" s="834">
        <v>800</v>
      </c>
      <c r="C62" s="834">
        <v>850</v>
      </c>
      <c r="E62" s="835" t="s">
        <v>202</v>
      </c>
      <c r="F62" s="834">
        <v>800</v>
      </c>
      <c r="G62" s="834">
        <v>850</v>
      </c>
    </row>
    <row r="63" spans="1:7" ht="18" x14ac:dyDescent="0.25">
      <c r="A63" s="834" t="s">
        <v>1074</v>
      </c>
      <c r="B63" s="835"/>
      <c r="C63" s="835"/>
      <c r="E63" s="834" t="s">
        <v>1074</v>
      </c>
      <c r="F63" s="835"/>
      <c r="G63" s="835"/>
    </row>
    <row r="64" spans="1:7" ht="18" x14ac:dyDescent="0.25">
      <c r="A64" s="835" t="s">
        <v>1135</v>
      </c>
      <c r="B64" s="834">
        <v>60</v>
      </c>
      <c r="C64" s="834">
        <v>60</v>
      </c>
      <c r="E64" s="835" t="s">
        <v>1146</v>
      </c>
      <c r="F64" s="834">
        <v>60</v>
      </c>
      <c r="G64" s="834">
        <v>60</v>
      </c>
    </row>
    <row r="65" spans="1:7" ht="18" x14ac:dyDescent="0.25">
      <c r="A65" s="835" t="s">
        <v>1136</v>
      </c>
      <c r="B65" s="834">
        <v>250</v>
      </c>
      <c r="C65" s="834">
        <v>250</v>
      </c>
      <c r="E65" s="835" t="s">
        <v>1143</v>
      </c>
      <c r="F65" s="834">
        <v>250</v>
      </c>
      <c r="G65" s="834">
        <v>250</v>
      </c>
    </row>
    <row r="66" spans="1:7" ht="36" x14ac:dyDescent="0.25">
      <c r="A66" s="835" t="s">
        <v>1137</v>
      </c>
      <c r="B66" s="834">
        <v>200</v>
      </c>
      <c r="C66" s="834">
        <v>250</v>
      </c>
      <c r="E66" s="835" t="s">
        <v>1161</v>
      </c>
      <c r="F66" s="834">
        <v>80</v>
      </c>
      <c r="G66" s="834">
        <v>100</v>
      </c>
    </row>
    <row r="67" spans="1:7" ht="18" x14ac:dyDescent="0.25">
      <c r="A67" s="835" t="s">
        <v>1138</v>
      </c>
      <c r="B67" s="834">
        <v>200</v>
      </c>
      <c r="C67" s="834">
        <v>200</v>
      </c>
      <c r="E67" s="835" t="s">
        <v>1134</v>
      </c>
      <c r="F67" s="834">
        <v>150</v>
      </c>
      <c r="G67" s="834">
        <v>180</v>
      </c>
    </row>
    <row r="68" spans="1:7" ht="18" x14ac:dyDescent="0.25">
      <c r="A68" s="835" t="s">
        <v>96</v>
      </c>
      <c r="B68" s="834">
        <v>20</v>
      </c>
      <c r="C68" s="834">
        <v>20</v>
      </c>
      <c r="E68" s="838" t="s">
        <v>1162</v>
      </c>
      <c r="F68" s="834">
        <v>200</v>
      </c>
      <c r="G68" s="834">
        <v>200</v>
      </c>
    </row>
    <row r="69" spans="1:7" ht="18" x14ac:dyDescent="0.25">
      <c r="A69" s="835" t="s">
        <v>990</v>
      </c>
      <c r="B69" s="834">
        <v>30</v>
      </c>
      <c r="C69" s="834">
        <v>30</v>
      </c>
      <c r="E69" s="835" t="s">
        <v>96</v>
      </c>
      <c r="F69" s="834">
        <v>20</v>
      </c>
      <c r="G69" s="834">
        <v>20</v>
      </c>
    </row>
    <row r="70" spans="1:7" ht="18" x14ac:dyDescent="0.25">
      <c r="A70" s="835" t="s">
        <v>202</v>
      </c>
      <c r="B70" s="834">
        <v>760</v>
      </c>
      <c r="C70" s="834">
        <v>810</v>
      </c>
      <c r="E70" s="835" t="s">
        <v>1116</v>
      </c>
      <c r="F70" s="834">
        <v>30</v>
      </c>
      <c r="G70" s="834">
        <v>30</v>
      </c>
    </row>
    <row r="71" spans="1:7" ht="18" x14ac:dyDescent="0.25">
      <c r="A71" s="834" t="s">
        <v>1077</v>
      </c>
      <c r="B71" s="835"/>
      <c r="C71" s="835"/>
      <c r="E71" s="835" t="s">
        <v>202</v>
      </c>
      <c r="F71" s="834">
        <v>790</v>
      </c>
      <c r="G71" s="834">
        <v>840</v>
      </c>
    </row>
    <row r="72" spans="1:7" ht="18" x14ac:dyDescent="0.25">
      <c r="A72" s="835" t="s">
        <v>1139</v>
      </c>
      <c r="B72" s="834">
        <v>60</v>
      </c>
      <c r="C72" s="834">
        <v>60</v>
      </c>
      <c r="E72" s="834" t="s">
        <v>1077</v>
      </c>
      <c r="F72" s="835"/>
      <c r="G72" s="835"/>
    </row>
    <row r="73" spans="1:7" ht="36" x14ac:dyDescent="0.25">
      <c r="A73" s="835" t="s">
        <v>1140</v>
      </c>
      <c r="B73" s="834">
        <v>250</v>
      </c>
      <c r="C73" s="834">
        <v>250</v>
      </c>
      <c r="E73" s="835" t="s">
        <v>1163</v>
      </c>
      <c r="F73" s="834">
        <v>60</v>
      </c>
      <c r="G73" s="834">
        <v>60</v>
      </c>
    </row>
    <row r="74" spans="1:7" ht="18" x14ac:dyDescent="0.25">
      <c r="A74" s="835" t="s">
        <v>1141</v>
      </c>
      <c r="B74" s="834">
        <v>80</v>
      </c>
      <c r="C74" s="834">
        <v>100</v>
      </c>
      <c r="E74" s="835" t="s">
        <v>1164</v>
      </c>
      <c r="F74" s="834">
        <v>250</v>
      </c>
      <c r="G74" s="834">
        <v>250</v>
      </c>
    </row>
    <row r="75" spans="1:7" ht="18" x14ac:dyDescent="0.25">
      <c r="A75" s="835" t="s">
        <v>55</v>
      </c>
      <c r="B75" s="834">
        <v>150</v>
      </c>
      <c r="C75" s="834">
        <v>180</v>
      </c>
      <c r="E75" s="835" t="s">
        <v>410</v>
      </c>
      <c r="F75" s="834">
        <v>200</v>
      </c>
      <c r="G75" s="834">
        <v>250</v>
      </c>
    </row>
    <row r="76" spans="1:7" ht="18" x14ac:dyDescent="0.25">
      <c r="A76" s="835" t="s">
        <v>1102</v>
      </c>
      <c r="B76" s="834">
        <v>200</v>
      </c>
      <c r="C76" s="834">
        <v>200</v>
      </c>
      <c r="E76" s="835" t="s">
        <v>1102</v>
      </c>
      <c r="F76" s="834">
        <v>200</v>
      </c>
      <c r="G76" s="834">
        <v>200</v>
      </c>
    </row>
    <row r="77" spans="1:7" ht="18" x14ac:dyDescent="0.25">
      <c r="A77" s="835" t="s">
        <v>96</v>
      </c>
      <c r="B77" s="834">
        <v>20</v>
      </c>
      <c r="C77" s="834">
        <v>20</v>
      </c>
      <c r="E77" s="835" t="s">
        <v>96</v>
      </c>
      <c r="F77" s="834">
        <v>20</v>
      </c>
      <c r="G77" s="834">
        <v>20</v>
      </c>
    </row>
    <row r="78" spans="1:7" ht="18" x14ac:dyDescent="0.25">
      <c r="A78" s="835" t="s">
        <v>990</v>
      </c>
      <c r="B78" s="834">
        <v>30</v>
      </c>
      <c r="C78" s="834">
        <v>30</v>
      </c>
      <c r="E78" s="835" t="s">
        <v>1116</v>
      </c>
      <c r="F78" s="834">
        <v>30</v>
      </c>
      <c r="G78" s="834">
        <v>30</v>
      </c>
    </row>
    <row r="79" spans="1:7" ht="18" x14ac:dyDescent="0.25">
      <c r="A79" s="835" t="s">
        <v>202</v>
      </c>
      <c r="B79" s="834">
        <v>790</v>
      </c>
      <c r="C79" s="834">
        <v>840</v>
      </c>
      <c r="E79" s="835" t="s">
        <v>202</v>
      </c>
      <c r="F79" s="834">
        <v>760</v>
      </c>
      <c r="G79" s="834">
        <v>810</v>
      </c>
    </row>
    <row r="80" spans="1:7" ht="18" x14ac:dyDescent="0.25">
      <c r="A80" s="834" t="s">
        <v>1082</v>
      </c>
      <c r="B80" s="835"/>
      <c r="C80" s="835"/>
      <c r="E80" s="834" t="s">
        <v>1082</v>
      </c>
      <c r="F80" s="835"/>
      <c r="G80" s="835"/>
    </row>
    <row r="81" spans="1:7" ht="18" x14ac:dyDescent="0.25">
      <c r="A81" s="835" t="s">
        <v>1125</v>
      </c>
      <c r="B81" s="834">
        <v>60</v>
      </c>
      <c r="C81" s="834">
        <v>60</v>
      </c>
      <c r="E81" s="835" t="s">
        <v>1165</v>
      </c>
      <c r="F81" s="834">
        <v>60</v>
      </c>
      <c r="G81" s="834">
        <v>60</v>
      </c>
    </row>
    <row r="82" spans="1:7" ht="18" x14ac:dyDescent="0.25">
      <c r="A82" s="835" t="s">
        <v>1118</v>
      </c>
      <c r="B82" s="834" t="s">
        <v>1119</v>
      </c>
      <c r="C82" s="834" t="s">
        <v>1119</v>
      </c>
      <c r="E82" s="835" t="s">
        <v>1136</v>
      </c>
      <c r="F82" s="834">
        <v>250</v>
      </c>
      <c r="G82" s="834">
        <v>250</v>
      </c>
    </row>
    <row r="83" spans="1:7" ht="18" x14ac:dyDescent="0.25">
      <c r="A83" s="835" t="s">
        <v>410</v>
      </c>
      <c r="B83" s="834">
        <v>200</v>
      </c>
      <c r="C83" s="834">
        <v>250</v>
      </c>
      <c r="E83" s="835" t="s">
        <v>1166</v>
      </c>
      <c r="F83" s="834">
        <v>200</v>
      </c>
      <c r="G83" s="834">
        <v>250</v>
      </c>
    </row>
    <row r="84" spans="1:7" ht="36" x14ac:dyDescent="0.25">
      <c r="A84" s="835" t="s">
        <v>1098</v>
      </c>
      <c r="B84" s="834">
        <v>200</v>
      </c>
      <c r="C84" s="834">
        <v>200</v>
      </c>
      <c r="E84" s="835" t="s">
        <v>1098</v>
      </c>
      <c r="F84" s="834">
        <v>200</v>
      </c>
      <c r="G84" s="834">
        <v>200</v>
      </c>
    </row>
    <row r="85" spans="1:7" ht="18" x14ac:dyDescent="0.25">
      <c r="A85" s="835" t="s">
        <v>96</v>
      </c>
      <c r="B85" s="834">
        <v>20</v>
      </c>
      <c r="C85" s="834">
        <v>20</v>
      </c>
      <c r="E85" s="835" t="s">
        <v>96</v>
      </c>
      <c r="F85" s="834">
        <v>20</v>
      </c>
      <c r="G85" s="834">
        <v>20</v>
      </c>
    </row>
    <row r="86" spans="1:7" ht="18" x14ac:dyDescent="0.25">
      <c r="A86" s="835" t="s">
        <v>990</v>
      </c>
      <c r="B86" s="834">
        <v>30</v>
      </c>
      <c r="C86" s="834">
        <v>30</v>
      </c>
      <c r="E86" s="835" t="s">
        <v>1116</v>
      </c>
      <c r="F86" s="834">
        <v>30</v>
      </c>
      <c r="G86" s="834">
        <v>30</v>
      </c>
    </row>
    <row r="87" spans="1:7" ht="18" x14ac:dyDescent="0.25">
      <c r="A87" s="835" t="s">
        <v>202</v>
      </c>
      <c r="B87" s="834">
        <v>770</v>
      </c>
      <c r="C87" s="834">
        <v>820</v>
      </c>
      <c r="E87" s="835" t="s">
        <v>202</v>
      </c>
      <c r="F87" s="834">
        <v>760</v>
      </c>
      <c r="G87" s="834">
        <v>810</v>
      </c>
    </row>
    <row r="88" spans="1:7" ht="18" x14ac:dyDescent="0.25">
      <c r="A88" s="834" t="s">
        <v>1086</v>
      </c>
      <c r="B88" s="835"/>
      <c r="C88" s="835"/>
      <c r="E88" s="834" t="s">
        <v>1086</v>
      </c>
      <c r="F88" s="835"/>
      <c r="G88" s="835"/>
    </row>
    <row r="89" spans="1:7" ht="18" x14ac:dyDescent="0.25">
      <c r="A89" s="835" t="s">
        <v>1142</v>
      </c>
      <c r="B89" s="834">
        <v>60</v>
      </c>
      <c r="C89" s="834">
        <v>60</v>
      </c>
      <c r="E89" s="835" t="s">
        <v>1167</v>
      </c>
      <c r="F89" s="834">
        <v>60</v>
      </c>
      <c r="G89" s="834">
        <v>60</v>
      </c>
    </row>
    <row r="90" spans="1:7" ht="18" x14ac:dyDescent="0.25">
      <c r="A90" s="835" t="s">
        <v>1143</v>
      </c>
      <c r="B90" s="834">
        <v>250</v>
      </c>
      <c r="C90" s="834">
        <v>250</v>
      </c>
      <c r="E90" s="835" t="s">
        <v>1118</v>
      </c>
      <c r="F90" s="834" t="s">
        <v>1119</v>
      </c>
      <c r="G90" s="834" t="s">
        <v>1119</v>
      </c>
    </row>
    <row r="91" spans="1:7" ht="36" x14ac:dyDescent="0.25">
      <c r="A91" s="835" t="s">
        <v>1144</v>
      </c>
      <c r="B91" s="834">
        <v>100</v>
      </c>
      <c r="C91" s="834">
        <v>120</v>
      </c>
      <c r="E91" s="835" t="s">
        <v>1095</v>
      </c>
      <c r="F91" s="834">
        <v>80</v>
      </c>
      <c r="G91" s="834">
        <v>100</v>
      </c>
    </row>
    <row r="92" spans="1:7" ht="18" x14ac:dyDescent="0.25">
      <c r="A92" s="835" t="s">
        <v>1107</v>
      </c>
      <c r="B92" s="834">
        <v>150</v>
      </c>
      <c r="C92" s="834">
        <v>180</v>
      </c>
      <c r="E92" s="835" t="s">
        <v>1168</v>
      </c>
      <c r="F92" s="834">
        <v>150</v>
      </c>
      <c r="G92" s="834">
        <v>180</v>
      </c>
    </row>
    <row r="93" spans="1:7" ht="18" x14ac:dyDescent="0.25">
      <c r="A93" s="838" t="s">
        <v>1124</v>
      </c>
      <c r="B93" s="834">
        <v>200</v>
      </c>
      <c r="C93" s="834">
        <v>200</v>
      </c>
      <c r="E93" s="835" t="s">
        <v>1153</v>
      </c>
      <c r="F93" s="834">
        <v>200</v>
      </c>
      <c r="G93" s="834">
        <v>200</v>
      </c>
    </row>
    <row r="94" spans="1:7" ht="18" x14ac:dyDescent="0.25">
      <c r="A94" s="835" t="s">
        <v>96</v>
      </c>
      <c r="B94" s="834">
        <v>20</v>
      </c>
      <c r="C94" s="834">
        <v>20</v>
      </c>
      <c r="E94" s="835" t="s">
        <v>96</v>
      </c>
      <c r="F94" s="834">
        <v>20</v>
      </c>
      <c r="G94" s="834">
        <v>20</v>
      </c>
    </row>
    <row r="95" spans="1:7" ht="18" x14ac:dyDescent="0.25">
      <c r="A95" s="835" t="s">
        <v>990</v>
      </c>
      <c r="B95" s="834">
        <v>30</v>
      </c>
      <c r="C95" s="834">
        <v>30</v>
      </c>
      <c r="E95" s="835" t="s">
        <v>1116</v>
      </c>
      <c r="F95" s="834">
        <v>30</v>
      </c>
      <c r="G95" s="834">
        <v>30</v>
      </c>
    </row>
    <row r="96" spans="1:7" ht="18" x14ac:dyDescent="0.25">
      <c r="A96" s="835" t="s">
        <v>202</v>
      </c>
      <c r="B96" s="834">
        <v>810</v>
      </c>
      <c r="C96" s="834">
        <v>860</v>
      </c>
      <c r="E96" s="835" t="s">
        <v>202</v>
      </c>
      <c r="F96" s="834">
        <v>800</v>
      </c>
      <c r="G96" s="834">
        <v>850</v>
      </c>
    </row>
    <row r="97" spans="1:3" ht="18" x14ac:dyDescent="0.25">
      <c r="A97" s="835"/>
      <c r="B97" s="835"/>
      <c r="C97" s="835"/>
    </row>
  </sheetData>
  <mergeCells count="2">
    <mergeCell ref="A5:A7"/>
    <mergeCell ref="E5:E7"/>
  </mergeCells>
  <hyperlinks>
    <hyperlink ref="A32" location="P1088" display="P1088"/>
    <hyperlink ref="A93" location="P1088" display="P1088"/>
    <hyperlink ref="E32" location="P1370" display="P1370"/>
    <hyperlink ref="E68" location="P1370" display="P1370"/>
  </hyperlinks>
  <pageMargins left="0.7" right="0.7" top="0.75" bottom="0.75" header="0.3" footer="0.3"/>
  <pageSetup paperSize="9" orientation="portrait" r:id="rId1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9"/>
  <sheetViews>
    <sheetView workbookViewId="0">
      <selection activeCell="A17" sqref="A17"/>
    </sheetView>
  </sheetViews>
  <sheetFormatPr defaultRowHeight="13.8" x14ac:dyDescent="0.25"/>
  <cols>
    <col min="1" max="1" width="50.6640625" customWidth="1"/>
    <col min="2" max="2" width="15.33203125" customWidth="1"/>
    <col min="3" max="3" width="17" customWidth="1"/>
    <col min="5" max="5" width="32.109375" customWidth="1"/>
    <col min="6" max="6" width="19.6640625" customWidth="1"/>
    <col min="7" max="7" width="22.33203125" customWidth="1"/>
  </cols>
  <sheetData>
    <row r="1" spans="1:7" x14ac:dyDescent="0.25">
      <c r="A1" t="s">
        <v>1043</v>
      </c>
    </row>
    <row r="2" spans="1:7" x14ac:dyDescent="0.25">
      <c r="A2" t="s">
        <v>1044</v>
      </c>
    </row>
    <row r="3" spans="1:7" x14ac:dyDescent="0.25">
      <c r="A3" t="s">
        <v>1060</v>
      </c>
    </row>
    <row r="4" spans="1:7" x14ac:dyDescent="0.25">
      <c r="A4" t="s">
        <v>1061</v>
      </c>
      <c r="E4" s="839" t="s">
        <v>1110</v>
      </c>
    </row>
    <row r="5" spans="1:7" x14ac:dyDescent="0.25">
      <c r="A5" t="s">
        <v>1062</v>
      </c>
    </row>
    <row r="7" spans="1:7" ht="18" x14ac:dyDescent="0.25">
      <c r="A7" s="1650" t="s">
        <v>1063</v>
      </c>
      <c r="B7" s="834" t="s">
        <v>1064</v>
      </c>
      <c r="C7" s="834" t="s">
        <v>1065</v>
      </c>
      <c r="E7" s="1650" t="s">
        <v>1063</v>
      </c>
      <c r="F7" s="834" t="s">
        <v>1064</v>
      </c>
      <c r="G7" s="834" t="s">
        <v>1065</v>
      </c>
    </row>
    <row r="8" spans="1:7" ht="36" x14ac:dyDescent="0.25">
      <c r="A8" s="1650"/>
      <c r="B8" s="834" t="s">
        <v>1066</v>
      </c>
      <c r="C8" s="834" t="s">
        <v>1066</v>
      </c>
      <c r="E8" s="1650"/>
      <c r="F8" s="834" t="s">
        <v>1066</v>
      </c>
      <c r="G8" s="834" t="s">
        <v>1066</v>
      </c>
    </row>
    <row r="9" spans="1:7" ht="18" x14ac:dyDescent="0.25">
      <c r="A9" s="1650"/>
      <c r="B9" s="834" t="s">
        <v>1067</v>
      </c>
      <c r="C9" s="834" t="s">
        <v>1067</v>
      </c>
      <c r="E9" s="1650"/>
      <c r="F9" s="834" t="s">
        <v>1067</v>
      </c>
      <c r="G9" s="834" t="s">
        <v>1067</v>
      </c>
    </row>
    <row r="10" spans="1:7" ht="18" x14ac:dyDescent="0.25">
      <c r="A10" s="834" t="s">
        <v>1068</v>
      </c>
      <c r="B10" s="835"/>
      <c r="C10" s="835"/>
      <c r="E10" s="834" t="s">
        <v>1068</v>
      </c>
      <c r="F10" s="835"/>
      <c r="G10" s="835"/>
    </row>
    <row r="11" spans="1:7" ht="18" x14ac:dyDescent="0.25">
      <c r="A11" s="834" t="s">
        <v>1069</v>
      </c>
      <c r="B11" s="835"/>
      <c r="C11" s="835"/>
      <c r="E11" s="834" t="s">
        <v>1069</v>
      </c>
      <c r="F11" s="835"/>
      <c r="G11" s="835"/>
    </row>
    <row r="12" spans="1:7" ht="36" x14ac:dyDescent="0.25">
      <c r="A12" s="835" t="s">
        <v>1070</v>
      </c>
      <c r="B12" s="834">
        <v>200</v>
      </c>
      <c r="C12" s="834">
        <v>220</v>
      </c>
      <c r="E12" s="835" t="s">
        <v>633</v>
      </c>
      <c r="F12" s="834">
        <v>200</v>
      </c>
      <c r="G12" s="834">
        <v>220</v>
      </c>
    </row>
    <row r="13" spans="1:7" ht="18" x14ac:dyDescent="0.25">
      <c r="A13" s="838" t="s">
        <v>1071</v>
      </c>
      <c r="B13" s="834">
        <v>200</v>
      </c>
      <c r="C13" s="834">
        <v>200</v>
      </c>
      <c r="E13" s="838" t="s">
        <v>1071</v>
      </c>
      <c r="F13" s="834">
        <v>200</v>
      </c>
      <c r="G13" s="834">
        <v>200</v>
      </c>
    </row>
    <row r="14" spans="1:7" ht="18" x14ac:dyDescent="0.25">
      <c r="A14" s="838" t="s">
        <v>1072</v>
      </c>
      <c r="B14" s="834">
        <v>30</v>
      </c>
      <c r="C14" s="834">
        <v>30</v>
      </c>
      <c r="E14" s="835" t="s">
        <v>1073</v>
      </c>
      <c r="F14" s="834">
        <v>15</v>
      </c>
      <c r="G14" s="834">
        <v>15</v>
      </c>
    </row>
    <row r="15" spans="1:7" ht="18" x14ac:dyDescent="0.25">
      <c r="A15" s="835" t="s">
        <v>31</v>
      </c>
      <c r="B15" s="834">
        <v>10</v>
      </c>
      <c r="C15" s="834">
        <v>10</v>
      </c>
      <c r="E15" s="835" t="s">
        <v>31</v>
      </c>
      <c r="F15" s="834">
        <v>10</v>
      </c>
      <c r="G15" s="834">
        <v>10</v>
      </c>
    </row>
    <row r="16" spans="1:7" ht="18" x14ac:dyDescent="0.25">
      <c r="A16" s="835" t="s">
        <v>1073</v>
      </c>
      <c r="B16" s="834">
        <v>15</v>
      </c>
      <c r="C16" s="834">
        <v>15</v>
      </c>
      <c r="E16" s="838" t="s">
        <v>1072</v>
      </c>
      <c r="F16" s="834">
        <v>30</v>
      </c>
      <c r="G16" s="834">
        <v>30</v>
      </c>
    </row>
    <row r="17" spans="1:7" ht="18" x14ac:dyDescent="0.25">
      <c r="A17" s="835" t="s">
        <v>202</v>
      </c>
      <c r="B17" s="834">
        <v>455</v>
      </c>
      <c r="C17" s="834">
        <v>475</v>
      </c>
      <c r="E17" s="835" t="s">
        <v>202</v>
      </c>
      <c r="F17" s="834">
        <v>455</v>
      </c>
      <c r="G17" s="834">
        <v>475</v>
      </c>
    </row>
    <row r="18" spans="1:7" ht="18" x14ac:dyDescent="0.25">
      <c r="A18" s="834" t="s">
        <v>1074</v>
      </c>
      <c r="B18" s="835"/>
      <c r="C18" s="835"/>
      <c r="E18" s="834" t="s">
        <v>1074</v>
      </c>
      <c r="F18" s="835"/>
      <c r="G18" s="835"/>
    </row>
    <row r="19" spans="1:7" ht="18" x14ac:dyDescent="0.25">
      <c r="A19" s="835" t="s">
        <v>1075</v>
      </c>
      <c r="B19" s="834">
        <v>140</v>
      </c>
      <c r="C19" s="834">
        <v>160</v>
      </c>
      <c r="E19" s="835" t="s">
        <v>1075</v>
      </c>
      <c r="F19" s="834">
        <v>140</v>
      </c>
      <c r="G19" s="834">
        <v>160</v>
      </c>
    </row>
    <row r="20" spans="1:7" ht="36" x14ac:dyDescent="0.25">
      <c r="A20" s="835" t="s">
        <v>1076</v>
      </c>
      <c r="B20" s="834">
        <v>25</v>
      </c>
      <c r="C20" s="834">
        <v>30</v>
      </c>
      <c r="E20" s="835" t="s">
        <v>1096</v>
      </c>
      <c r="F20" s="834">
        <v>60</v>
      </c>
      <c r="G20" s="834">
        <v>80</v>
      </c>
    </row>
    <row r="21" spans="1:7" ht="18" x14ac:dyDescent="0.25">
      <c r="A21" s="835" t="s">
        <v>143</v>
      </c>
      <c r="B21" s="834">
        <v>200</v>
      </c>
      <c r="C21" s="834">
        <v>200</v>
      </c>
      <c r="E21" s="835" t="s">
        <v>143</v>
      </c>
      <c r="F21" s="834">
        <v>200</v>
      </c>
      <c r="G21" s="834">
        <v>200</v>
      </c>
    </row>
    <row r="22" spans="1:7" ht="18" x14ac:dyDescent="0.25">
      <c r="A22" s="838" t="s">
        <v>1072</v>
      </c>
      <c r="B22" s="834">
        <v>30</v>
      </c>
      <c r="C22" s="834">
        <v>30</v>
      </c>
      <c r="E22" s="838" t="s">
        <v>1072</v>
      </c>
      <c r="F22" s="834">
        <v>30</v>
      </c>
      <c r="G22" s="834">
        <v>30</v>
      </c>
    </row>
    <row r="23" spans="1:7" ht="18" x14ac:dyDescent="0.25">
      <c r="A23" s="835" t="s">
        <v>31</v>
      </c>
      <c r="B23" s="834">
        <v>10</v>
      </c>
      <c r="C23" s="834">
        <v>10</v>
      </c>
      <c r="E23" s="835" t="s">
        <v>31</v>
      </c>
      <c r="F23" s="834">
        <v>10</v>
      </c>
      <c r="G23" s="834">
        <v>10</v>
      </c>
    </row>
    <row r="24" spans="1:7" ht="18" x14ac:dyDescent="0.25">
      <c r="A24" s="835" t="s">
        <v>202</v>
      </c>
      <c r="B24" s="834">
        <v>405</v>
      </c>
      <c r="C24" s="834">
        <v>430</v>
      </c>
      <c r="E24" s="835" t="s">
        <v>1073</v>
      </c>
      <c r="F24" s="834">
        <v>15</v>
      </c>
      <c r="G24" s="834">
        <v>15</v>
      </c>
    </row>
    <row r="25" spans="1:7" ht="18" x14ac:dyDescent="0.25">
      <c r="A25" s="834" t="s">
        <v>1077</v>
      </c>
      <c r="B25" s="835"/>
      <c r="C25" s="835"/>
      <c r="E25" s="835" t="s">
        <v>202</v>
      </c>
      <c r="F25" s="834">
        <v>430</v>
      </c>
      <c r="G25" s="834">
        <v>495</v>
      </c>
    </row>
    <row r="26" spans="1:7" ht="18" x14ac:dyDescent="0.25">
      <c r="A26" s="835" t="s">
        <v>1078</v>
      </c>
      <c r="B26" s="834">
        <v>80</v>
      </c>
      <c r="C26" s="834">
        <v>100</v>
      </c>
      <c r="E26" s="834" t="s">
        <v>1077</v>
      </c>
      <c r="F26" s="835"/>
      <c r="G26" s="835"/>
    </row>
    <row r="27" spans="1:7" ht="18" x14ac:dyDescent="0.25">
      <c r="A27" s="835" t="s">
        <v>1079</v>
      </c>
      <c r="B27" s="834">
        <v>150</v>
      </c>
      <c r="C27" s="834">
        <v>180</v>
      </c>
      <c r="E27" s="835" t="s">
        <v>1097</v>
      </c>
      <c r="F27" s="834">
        <v>200</v>
      </c>
      <c r="G27" s="834">
        <v>220</v>
      </c>
    </row>
    <row r="28" spans="1:7" ht="54" x14ac:dyDescent="0.25">
      <c r="A28" s="838" t="s">
        <v>1080</v>
      </c>
      <c r="B28" s="834" t="s">
        <v>1081</v>
      </c>
      <c r="C28" s="834" t="s">
        <v>1081</v>
      </c>
      <c r="E28" s="835" t="s">
        <v>1098</v>
      </c>
      <c r="F28" s="834">
        <v>200</v>
      </c>
      <c r="G28" s="834">
        <v>200</v>
      </c>
    </row>
    <row r="29" spans="1:7" ht="18" x14ac:dyDescent="0.25">
      <c r="A29" s="838" t="s">
        <v>1072</v>
      </c>
      <c r="B29" s="834">
        <v>30</v>
      </c>
      <c r="C29" s="834">
        <v>30</v>
      </c>
      <c r="E29" s="835" t="s">
        <v>1099</v>
      </c>
      <c r="F29" s="834">
        <v>125</v>
      </c>
      <c r="G29" s="834">
        <v>125</v>
      </c>
    </row>
    <row r="30" spans="1:7" ht="18" x14ac:dyDescent="0.25">
      <c r="A30" s="835" t="s">
        <v>31</v>
      </c>
      <c r="B30" s="834">
        <v>10</v>
      </c>
      <c r="C30" s="834">
        <v>10</v>
      </c>
      <c r="E30" s="838" t="s">
        <v>1072</v>
      </c>
      <c r="F30" s="834">
        <v>30</v>
      </c>
      <c r="G30" s="834">
        <v>30</v>
      </c>
    </row>
    <row r="31" spans="1:7" ht="18" x14ac:dyDescent="0.25">
      <c r="A31" s="835" t="s">
        <v>202</v>
      </c>
      <c r="B31" s="834">
        <v>477</v>
      </c>
      <c r="C31" s="834">
        <v>527</v>
      </c>
      <c r="E31" s="835" t="s">
        <v>202</v>
      </c>
      <c r="F31" s="834">
        <v>555</v>
      </c>
      <c r="G31" s="834">
        <v>575</v>
      </c>
    </row>
    <row r="32" spans="1:7" ht="18" x14ac:dyDescent="0.25">
      <c r="A32" s="834" t="s">
        <v>1082</v>
      </c>
      <c r="B32" s="835"/>
      <c r="C32" s="835"/>
      <c r="E32" s="834" t="s">
        <v>1082</v>
      </c>
      <c r="F32" s="835"/>
      <c r="G32" s="835"/>
    </row>
    <row r="33" spans="1:7" ht="54" x14ac:dyDescent="0.25">
      <c r="A33" s="835" t="s">
        <v>1083</v>
      </c>
      <c r="B33" s="834" t="s">
        <v>1084</v>
      </c>
      <c r="C33" s="834" t="s">
        <v>1085</v>
      </c>
      <c r="E33" s="835" t="s">
        <v>1100</v>
      </c>
      <c r="F33" s="834" t="s">
        <v>1084</v>
      </c>
      <c r="G33" s="834" t="s">
        <v>1085</v>
      </c>
    </row>
    <row r="34" spans="1:7" ht="18" x14ac:dyDescent="0.25">
      <c r="A34" s="835" t="s">
        <v>115</v>
      </c>
      <c r="B34" s="834">
        <v>200</v>
      </c>
      <c r="C34" s="834">
        <v>200</v>
      </c>
      <c r="E34" s="835" t="s">
        <v>115</v>
      </c>
      <c r="F34" s="834">
        <v>200</v>
      </c>
      <c r="G34" s="834">
        <v>200</v>
      </c>
    </row>
    <row r="35" spans="1:7" ht="18" x14ac:dyDescent="0.25">
      <c r="A35" s="838" t="s">
        <v>1072</v>
      </c>
      <c r="B35" s="834">
        <v>30</v>
      </c>
      <c r="C35" s="834">
        <v>30</v>
      </c>
      <c r="E35" s="838" t="s">
        <v>1072</v>
      </c>
      <c r="F35" s="834">
        <v>30</v>
      </c>
      <c r="G35" s="834">
        <v>30</v>
      </c>
    </row>
    <row r="36" spans="1:7" ht="18" x14ac:dyDescent="0.25">
      <c r="A36" s="835" t="s">
        <v>31</v>
      </c>
      <c r="B36" s="834">
        <v>10</v>
      </c>
      <c r="C36" s="834">
        <v>10</v>
      </c>
      <c r="E36" s="835" t="s">
        <v>31</v>
      </c>
      <c r="F36" s="834">
        <v>10</v>
      </c>
      <c r="G36" s="834">
        <v>10</v>
      </c>
    </row>
    <row r="37" spans="1:7" ht="18" x14ac:dyDescent="0.25">
      <c r="A37" s="835" t="s">
        <v>202</v>
      </c>
      <c r="B37" s="834">
        <v>455</v>
      </c>
      <c r="C37" s="834">
        <v>480</v>
      </c>
      <c r="E37" s="835" t="s">
        <v>202</v>
      </c>
      <c r="F37" s="834">
        <v>455</v>
      </c>
      <c r="G37" s="834">
        <v>480</v>
      </c>
    </row>
    <row r="38" spans="1:7" ht="18" x14ac:dyDescent="0.25">
      <c r="A38" s="834" t="s">
        <v>1086</v>
      </c>
      <c r="B38" s="835"/>
      <c r="C38" s="835"/>
      <c r="E38" s="834" t="s">
        <v>1086</v>
      </c>
      <c r="F38" s="835"/>
      <c r="G38" s="835"/>
    </row>
    <row r="39" spans="1:7" ht="18" x14ac:dyDescent="0.25">
      <c r="A39" s="835" t="s">
        <v>1087</v>
      </c>
      <c r="B39" s="834">
        <v>180</v>
      </c>
      <c r="C39" s="834">
        <v>200</v>
      </c>
      <c r="E39" s="835" t="s">
        <v>1101</v>
      </c>
      <c r="F39" s="834">
        <v>80</v>
      </c>
      <c r="G39" s="834">
        <v>100</v>
      </c>
    </row>
    <row r="40" spans="1:7" ht="18" x14ac:dyDescent="0.25">
      <c r="A40" s="838" t="s">
        <v>1071</v>
      </c>
      <c r="B40" s="834">
        <v>200</v>
      </c>
      <c r="C40" s="834">
        <v>200</v>
      </c>
      <c r="E40" s="835" t="s">
        <v>1079</v>
      </c>
      <c r="F40" s="834">
        <v>150</v>
      </c>
      <c r="G40" s="834">
        <v>180</v>
      </c>
    </row>
    <row r="41" spans="1:7" ht="18" x14ac:dyDescent="0.25">
      <c r="A41" s="838" t="s">
        <v>1072</v>
      </c>
      <c r="B41" s="834">
        <v>30</v>
      </c>
      <c r="C41" s="834">
        <v>30</v>
      </c>
      <c r="E41" s="835" t="s">
        <v>1102</v>
      </c>
      <c r="F41" s="834">
        <v>200</v>
      </c>
      <c r="G41" s="834">
        <v>200</v>
      </c>
    </row>
    <row r="42" spans="1:7" ht="18" x14ac:dyDescent="0.25">
      <c r="A42" s="835" t="s">
        <v>31</v>
      </c>
      <c r="B42" s="834">
        <v>10</v>
      </c>
      <c r="C42" s="834">
        <v>10</v>
      </c>
      <c r="E42" s="838" t="s">
        <v>1072</v>
      </c>
      <c r="F42" s="834">
        <v>30</v>
      </c>
      <c r="G42" s="834">
        <v>30</v>
      </c>
    </row>
    <row r="43" spans="1:7" ht="18" x14ac:dyDescent="0.25">
      <c r="A43" s="835" t="s">
        <v>202</v>
      </c>
      <c r="B43" s="834">
        <v>420</v>
      </c>
      <c r="C43" s="834">
        <v>440</v>
      </c>
      <c r="E43" s="835" t="s">
        <v>202</v>
      </c>
      <c r="F43" s="834">
        <v>460</v>
      </c>
      <c r="G43" s="834">
        <v>510</v>
      </c>
    </row>
    <row r="44" spans="1:7" ht="18" x14ac:dyDescent="0.25">
      <c r="A44" s="834" t="s">
        <v>1088</v>
      </c>
      <c r="B44" s="835"/>
      <c r="C44" s="835"/>
      <c r="E44" s="834" t="s">
        <v>1088</v>
      </c>
      <c r="F44" s="835"/>
      <c r="G44" s="835"/>
    </row>
    <row r="45" spans="1:7" ht="18" x14ac:dyDescent="0.25">
      <c r="A45" s="834" t="s">
        <v>1069</v>
      </c>
      <c r="B45" s="835"/>
      <c r="C45" s="835"/>
      <c r="E45" s="834" t="s">
        <v>1069</v>
      </c>
      <c r="F45" s="835"/>
      <c r="G45" s="835"/>
    </row>
    <row r="46" spans="1:7" ht="18" x14ac:dyDescent="0.25">
      <c r="A46" s="835" t="s">
        <v>1089</v>
      </c>
      <c r="B46" s="834">
        <v>200</v>
      </c>
      <c r="C46" s="834">
        <v>220</v>
      </c>
      <c r="E46" s="835" t="s">
        <v>1103</v>
      </c>
      <c r="F46" s="834">
        <v>200</v>
      </c>
      <c r="G46" s="834">
        <v>220</v>
      </c>
    </row>
    <row r="47" spans="1:7" ht="18" x14ac:dyDescent="0.25">
      <c r="A47" s="838" t="s">
        <v>1090</v>
      </c>
      <c r="B47" s="834">
        <v>200</v>
      </c>
      <c r="C47" s="834">
        <v>200</v>
      </c>
      <c r="E47" s="835" t="s">
        <v>1073</v>
      </c>
      <c r="F47" s="834">
        <v>15</v>
      </c>
      <c r="G47" s="834">
        <v>15</v>
      </c>
    </row>
    <row r="48" spans="1:7" ht="18" x14ac:dyDescent="0.25">
      <c r="A48" s="838" t="s">
        <v>1072</v>
      </c>
      <c r="B48" s="834">
        <v>30</v>
      </c>
      <c r="C48" s="834">
        <v>30</v>
      </c>
      <c r="E48" s="838" t="s">
        <v>1080</v>
      </c>
      <c r="F48" s="834" t="s">
        <v>1081</v>
      </c>
      <c r="G48" s="834" t="s">
        <v>1081</v>
      </c>
    </row>
    <row r="49" spans="1:7" ht="18" x14ac:dyDescent="0.25">
      <c r="A49" s="835" t="s">
        <v>31</v>
      </c>
      <c r="B49" s="834">
        <v>10</v>
      </c>
      <c r="C49" s="834">
        <v>10</v>
      </c>
      <c r="E49" s="838" t="s">
        <v>1072</v>
      </c>
      <c r="F49" s="834">
        <v>30</v>
      </c>
      <c r="G49" s="834">
        <v>30</v>
      </c>
    </row>
    <row r="50" spans="1:7" ht="18" x14ac:dyDescent="0.25">
      <c r="A50" s="835" t="s">
        <v>1073</v>
      </c>
      <c r="B50" s="834">
        <v>15</v>
      </c>
      <c r="C50" s="834">
        <v>15</v>
      </c>
      <c r="E50" s="835" t="s">
        <v>31</v>
      </c>
      <c r="F50" s="834">
        <v>10</v>
      </c>
      <c r="G50" s="834">
        <v>10</v>
      </c>
    </row>
    <row r="51" spans="1:7" ht="18" x14ac:dyDescent="0.25">
      <c r="A51" s="835" t="s">
        <v>202</v>
      </c>
      <c r="B51" s="834">
        <v>455</v>
      </c>
      <c r="C51" s="834">
        <v>475</v>
      </c>
      <c r="E51" s="835" t="s">
        <v>202</v>
      </c>
      <c r="F51" s="834">
        <v>462</v>
      </c>
      <c r="G51" s="834">
        <v>482</v>
      </c>
    </row>
    <row r="52" spans="1:7" ht="18" x14ac:dyDescent="0.25">
      <c r="A52" s="834" t="s">
        <v>1074</v>
      </c>
      <c r="B52" s="835"/>
      <c r="C52" s="835"/>
      <c r="E52" s="834" t="s">
        <v>1074</v>
      </c>
      <c r="F52" s="835"/>
      <c r="G52" s="835"/>
    </row>
    <row r="53" spans="1:7" ht="18" x14ac:dyDescent="0.25">
      <c r="A53" s="835" t="s">
        <v>1091</v>
      </c>
      <c r="B53" s="834" t="s">
        <v>1084</v>
      </c>
      <c r="C53" s="834" t="s">
        <v>1085</v>
      </c>
      <c r="E53" s="835" t="s">
        <v>1095</v>
      </c>
      <c r="F53" s="834">
        <v>80</v>
      </c>
      <c r="G53" s="834">
        <v>100</v>
      </c>
    </row>
    <row r="54" spans="1:7" ht="36" x14ac:dyDescent="0.25">
      <c r="A54" s="835" t="s">
        <v>115</v>
      </c>
      <c r="B54" s="834">
        <v>200</v>
      </c>
      <c r="C54" s="834">
        <v>200</v>
      </c>
      <c r="E54" s="835" t="s">
        <v>196</v>
      </c>
      <c r="F54" s="834">
        <v>150</v>
      </c>
      <c r="G54" s="834">
        <v>180</v>
      </c>
    </row>
    <row r="55" spans="1:7" ht="18" x14ac:dyDescent="0.25">
      <c r="A55" s="838" t="s">
        <v>1072</v>
      </c>
      <c r="B55" s="834">
        <v>30</v>
      </c>
      <c r="C55" s="834">
        <v>30</v>
      </c>
      <c r="E55" s="835" t="s">
        <v>115</v>
      </c>
      <c r="F55" s="834">
        <v>200</v>
      </c>
      <c r="G55" s="834">
        <v>200</v>
      </c>
    </row>
    <row r="56" spans="1:7" ht="18" x14ac:dyDescent="0.25">
      <c r="A56" s="835" t="s">
        <v>31</v>
      </c>
      <c r="B56" s="834">
        <v>10</v>
      </c>
      <c r="C56" s="834">
        <v>10</v>
      </c>
      <c r="E56" s="838" t="s">
        <v>1072</v>
      </c>
      <c r="F56" s="834">
        <v>30</v>
      </c>
      <c r="G56" s="834">
        <v>30</v>
      </c>
    </row>
    <row r="57" spans="1:7" ht="18" x14ac:dyDescent="0.25">
      <c r="A57" s="835" t="s">
        <v>202</v>
      </c>
      <c r="B57" s="834">
        <v>455</v>
      </c>
      <c r="C57" s="834">
        <v>480</v>
      </c>
      <c r="E57" s="835" t="s">
        <v>31</v>
      </c>
      <c r="F57" s="834">
        <v>10</v>
      </c>
      <c r="G57" s="834">
        <v>10</v>
      </c>
    </row>
    <row r="58" spans="1:7" ht="18" x14ac:dyDescent="0.25">
      <c r="A58" s="834" t="s">
        <v>1077</v>
      </c>
      <c r="B58" s="835"/>
      <c r="C58" s="835"/>
      <c r="E58" s="835" t="s">
        <v>202</v>
      </c>
      <c r="F58" s="834">
        <v>470</v>
      </c>
      <c r="G58" s="834">
        <v>520</v>
      </c>
    </row>
    <row r="59" spans="1:7" ht="18" x14ac:dyDescent="0.25">
      <c r="A59" s="835" t="s">
        <v>1092</v>
      </c>
      <c r="B59" s="834">
        <v>200</v>
      </c>
      <c r="C59" s="834">
        <v>220</v>
      </c>
      <c r="E59" s="834" t="s">
        <v>1077</v>
      </c>
      <c r="F59" s="835"/>
      <c r="G59" s="835"/>
    </row>
    <row r="60" spans="1:7" ht="36" x14ac:dyDescent="0.25">
      <c r="A60" s="838" t="s">
        <v>1071</v>
      </c>
      <c r="B60" s="834">
        <v>200</v>
      </c>
      <c r="C60" s="834">
        <v>200</v>
      </c>
      <c r="E60" s="835" t="s">
        <v>1104</v>
      </c>
      <c r="F60" s="834">
        <v>25</v>
      </c>
      <c r="G60" s="834">
        <v>30</v>
      </c>
    </row>
    <row r="61" spans="1:7" ht="18" x14ac:dyDescent="0.25">
      <c r="A61" s="838" t="s">
        <v>1072</v>
      </c>
      <c r="B61" s="834">
        <v>30</v>
      </c>
      <c r="C61" s="834">
        <v>30</v>
      </c>
      <c r="E61" s="835" t="s">
        <v>1075</v>
      </c>
      <c r="F61" s="834">
        <v>140</v>
      </c>
      <c r="G61" s="834">
        <v>160</v>
      </c>
    </row>
    <row r="62" spans="1:7" ht="18" x14ac:dyDescent="0.25">
      <c r="A62" s="835" t="s">
        <v>31</v>
      </c>
      <c r="B62" s="834">
        <v>10</v>
      </c>
      <c r="C62" s="834">
        <v>10</v>
      </c>
      <c r="E62" s="835" t="s">
        <v>143</v>
      </c>
      <c r="F62" s="834">
        <v>200</v>
      </c>
      <c r="G62" s="834">
        <v>200</v>
      </c>
    </row>
    <row r="63" spans="1:7" ht="18" x14ac:dyDescent="0.25">
      <c r="A63" s="835" t="s">
        <v>1073</v>
      </c>
      <c r="B63" s="834">
        <v>15</v>
      </c>
      <c r="C63" s="834">
        <v>15</v>
      </c>
      <c r="E63" s="838" t="s">
        <v>1072</v>
      </c>
      <c r="F63" s="834">
        <v>30</v>
      </c>
      <c r="G63" s="834">
        <v>30</v>
      </c>
    </row>
    <row r="64" spans="1:7" ht="18" x14ac:dyDescent="0.25">
      <c r="A64" s="835" t="s">
        <v>202</v>
      </c>
      <c r="B64" s="834">
        <v>455</v>
      </c>
      <c r="C64" s="834">
        <v>475</v>
      </c>
      <c r="E64" s="835" t="s">
        <v>1073</v>
      </c>
      <c r="F64" s="834">
        <v>15</v>
      </c>
      <c r="G64" s="834">
        <v>15</v>
      </c>
    </row>
    <row r="65" spans="1:7" ht="18" x14ac:dyDescent="0.25">
      <c r="A65" s="834" t="s">
        <v>1082</v>
      </c>
      <c r="B65" s="835"/>
      <c r="C65" s="835"/>
      <c r="E65" s="835" t="s">
        <v>202</v>
      </c>
      <c r="F65" s="834">
        <v>410</v>
      </c>
      <c r="G65" s="834">
        <v>435</v>
      </c>
    </row>
    <row r="66" spans="1:7" ht="18" x14ac:dyDescent="0.25">
      <c r="A66" s="835" t="s">
        <v>1093</v>
      </c>
      <c r="B66" s="834">
        <v>200</v>
      </c>
      <c r="C66" s="834">
        <v>220</v>
      </c>
      <c r="E66" s="834" t="s">
        <v>1082</v>
      </c>
      <c r="F66" s="835"/>
      <c r="G66" s="835"/>
    </row>
    <row r="67" spans="1:7" ht="36" x14ac:dyDescent="0.25">
      <c r="A67" s="835" t="s">
        <v>1094</v>
      </c>
      <c r="B67" s="834">
        <v>15</v>
      </c>
      <c r="C67" s="834">
        <v>20</v>
      </c>
      <c r="E67" s="835" t="s">
        <v>1105</v>
      </c>
      <c r="F67" s="834">
        <v>200</v>
      </c>
      <c r="G67" s="834">
        <v>220</v>
      </c>
    </row>
    <row r="68" spans="1:7" ht="18" x14ac:dyDescent="0.25">
      <c r="A68" s="835" t="s">
        <v>143</v>
      </c>
      <c r="B68" s="834">
        <v>200</v>
      </c>
      <c r="C68" s="834">
        <v>200</v>
      </c>
      <c r="E68" s="838" t="s">
        <v>1071</v>
      </c>
      <c r="F68" s="834">
        <v>200</v>
      </c>
      <c r="G68" s="834">
        <v>200</v>
      </c>
    </row>
    <row r="69" spans="1:7" ht="18" x14ac:dyDescent="0.25">
      <c r="A69" s="838" t="s">
        <v>1072</v>
      </c>
      <c r="B69" s="834">
        <v>30</v>
      </c>
      <c r="C69" s="834">
        <v>30</v>
      </c>
      <c r="E69" s="838" t="s">
        <v>1072</v>
      </c>
      <c r="F69" s="834">
        <v>30</v>
      </c>
      <c r="G69" s="834">
        <v>30</v>
      </c>
    </row>
    <row r="70" spans="1:7" ht="18" x14ac:dyDescent="0.25">
      <c r="A70" s="835" t="s">
        <v>31</v>
      </c>
      <c r="B70" s="834">
        <v>10</v>
      </c>
      <c r="C70" s="834">
        <v>10</v>
      </c>
      <c r="E70" s="835" t="s">
        <v>31</v>
      </c>
      <c r="F70" s="834">
        <v>10</v>
      </c>
      <c r="G70" s="834">
        <v>10</v>
      </c>
    </row>
    <row r="71" spans="1:7" ht="18" x14ac:dyDescent="0.25">
      <c r="A71" s="835" t="s">
        <v>202</v>
      </c>
      <c r="B71" s="834">
        <v>455</v>
      </c>
      <c r="C71" s="834">
        <v>480</v>
      </c>
      <c r="E71" s="835" t="s">
        <v>1073</v>
      </c>
      <c r="F71" s="834">
        <v>15</v>
      </c>
      <c r="G71" s="834">
        <v>15</v>
      </c>
    </row>
    <row r="72" spans="1:7" ht="18" x14ac:dyDescent="0.25">
      <c r="A72" s="834" t="s">
        <v>1086</v>
      </c>
      <c r="B72" s="835"/>
      <c r="C72" s="835"/>
      <c r="E72" s="835" t="s">
        <v>202</v>
      </c>
      <c r="F72" s="834">
        <v>455</v>
      </c>
      <c r="G72" s="834">
        <v>475</v>
      </c>
    </row>
    <row r="73" spans="1:7" ht="18" x14ac:dyDescent="0.25">
      <c r="A73" s="835" t="s">
        <v>1095</v>
      </c>
      <c r="B73" s="834">
        <v>80</v>
      </c>
      <c r="C73" s="834">
        <v>100</v>
      </c>
      <c r="E73" s="834" t="s">
        <v>1086</v>
      </c>
      <c r="F73" s="835"/>
      <c r="G73" s="835"/>
    </row>
    <row r="74" spans="1:7" ht="18" x14ac:dyDescent="0.25">
      <c r="A74" s="835" t="s">
        <v>55</v>
      </c>
      <c r="B74" s="834">
        <v>150</v>
      </c>
      <c r="C74" s="834">
        <v>180</v>
      </c>
      <c r="E74" s="835" t="s">
        <v>1106</v>
      </c>
      <c r="F74" s="834">
        <v>80</v>
      </c>
      <c r="G74" s="834">
        <v>100</v>
      </c>
    </row>
    <row r="75" spans="1:7" ht="36" x14ac:dyDescent="0.25">
      <c r="A75" s="838" t="s">
        <v>1080</v>
      </c>
      <c r="B75" s="834" t="s">
        <v>1081</v>
      </c>
      <c r="C75" s="834" t="s">
        <v>1081</v>
      </c>
      <c r="E75" s="835" t="s">
        <v>1107</v>
      </c>
      <c r="F75" s="834">
        <v>150</v>
      </c>
      <c r="G75" s="834">
        <v>180</v>
      </c>
    </row>
    <row r="76" spans="1:7" ht="18" x14ac:dyDescent="0.25">
      <c r="A76" s="838" t="s">
        <v>1072</v>
      </c>
      <c r="B76" s="834">
        <v>30</v>
      </c>
      <c r="C76" s="834">
        <v>30</v>
      </c>
      <c r="E76" s="835" t="s">
        <v>1108</v>
      </c>
      <c r="F76" s="834">
        <v>60</v>
      </c>
      <c r="G76" s="834">
        <v>80</v>
      </c>
    </row>
    <row r="77" spans="1:7" ht="18" x14ac:dyDescent="0.25">
      <c r="A77" s="835" t="s">
        <v>31</v>
      </c>
      <c r="B77" s="834">
        <v>10</v>
      </c>
      <c r="C77" s="834">
        <v>10</v>
      </c>
      <c r="E77" s="835" t="s">
        <v>1109</v>
      </c>
      <c r="F77" s="834">
        <v>200</v>
      </c>
      <c r="G77" s="834">
        <v>200</v>
      </c>
    </row>
    <row r="78" spans="1:7" ht="18" x14ac:dyDescent="0.25">
      <c r="A78" s="835" t="s">
        <v>202</v>
      </c>
      <c r="B78" s="834">
        <v>477</v>
      </c>
      <c r="C78" s="834">
        <v>527</v>
      </c>
      <c r="E78" s="838" t="s">
        <v>1072</v>
      </c>
      <c r="F78" s="834">
        <v>30</v>
      </c>
      <c r="G78" s="834">
        <v>30</v>
      </c>
    </row>
    <row r="79" spans="1:7" ht="18" x14ac:dyDescent="0.25">
      <c r="E79" s="835" t="s">
        <v>202</v>
      </c>
      <c r="F79" s="834">
        <v>520</v>
      </c>
      <c r="G79" s="834">
        <v>590</v>
      </c>
    </row>
  </sheetData>
  <mergeCells count="2">
    <mergeCell ref="A7:A9"/>
    <mergeCell ref="E7:E9"/>
  </mergeCells>
  <hyperlinks>
    <hyperlink ref="A13" location="P802" display="P802"/>
    <hyperlink ref="A14" location="P803" display="P803"/>
    <hyperlink ref="A22" location="P803" display="P803"/>
    <hyperlink ref="A28" location="P802" display="P802"/>
    <hyperlink ref="A29" location="P803" display="P803"/>
    <hyperlink ref="A35" location="P803" display="P803"/>
    <hyperlink ref="A40" location="P802" display="P802"/>
    <hyperlink ref="A41" location="P803" display="P803"/>
    <hyperlink ref="A47" location="P802" display="P802"/>
    <hyperlink ref="A48" location="P803" display="P803"/>
    <hyperlink ref="A55" location="P803" display="P803"/>
    <hyperlink ref="A60" location="P802" display="P802"/>
    <hyperlink ref="A61" location="P803" display="P803"/>
    <hyperlink ref="A69" location="P803" display="P803"/>
    <hyperlink ref="A75" location="P802" display="P802"/>
    <hyperlink ref="A76" location="P803" display="P803"/>
    <hyperlink ref="E13" location="P802" display="P802"/>
    <hyperlink ref="E16" location="P803" display="P803"/>
    <hyperlink ref="E22" location="P803" display="P803"/>
    <hyperlink ref="E30" location="P803" display="P803"/>
    <hyperlink ref="E35" location="P803" display="P803"/>
    <hyperlink ref="E42" location="P803" display="P803"/>
    <hyperlink ref="E48" location="P802" display="P802"/>
    <hyperlink ref="E49" location="P803" display="P803"/>
    <hyperlink ref="E56" location="P803" display="P803"/>
    <hyperlink ref="E63" location="P803" display="P803"/>
    <hyperlink ref="E68" location="P802" display="P802"/>
    <hyperlink ref="E69" location="P803" display="P803"/>
    <hyperlink ref="E78" location="P803" display="P803"/>
  </hyperlinks>
  <pageMargins left="0.7" right="0.7" top="0.75" bottom="0.75" header="0.3" footer="0.3"/>
  <pageSetup paperSize="9" orientation="portrait" r:id="rId1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"/>
  <sheetViews>
    <sheetView workbookViewId="0">
      <selection activeCell="B18" sqref="B18"/>
    </sheetView>
  </sheetViews>
  <sheetFormatPr defaultRowHeight="13.8" x14ac:dyDescent="0.25"/>
  <cols>
    <col min="1" max="1" width="8.88671875" style="699"/>
    <col min="2" max="2" width="78.44140625" customWidth="1"/>
    <col min="3" max="3" width="14.109375" customWidth="1"/>
    <col min="4" max="4" width="12.88671875" customWidth="1"/>
    <col min="5" max="5" width="13.88671875" customWidth="1"/>
    <col min="6" max="6" width="14.109375" customWidth="1"/>
  </cols>
  <sheetData>
    <row r="1" spans="2:6" ht="18" x14ac:dyDescent="0.25">
      <c r="B1" s="1647" t="s">
        <v>1006</v>
      </c>
      <c r="C1" s="1647"/>
      <c r="D1" s="1647"/>
      <c r="E1" s="1647"/>
      <c r="F1" s="1647"/>
    </row>
    <row r="2" spans="2:6" ht="18" x14ac:dyDescent="0.25">
      <c r="B2" s="1647" t="s">
        <v>976</v>
      </c>
      <c r="C2" s="1647"/>
      <c r="D2" s="1647"/>
      <c r="E2" s="1647"/>
      <c r="F2" s="1647"/>
    </row>
    <row r="3" spans="2:6" ht="18" x14ac:dyDescent="0.25">
      <c r="B3" s="1647" t="s">
        <v>978</v>
      </c>
      <c r="C3" s="1647"/>
      <c r="D3" s="1647"/>
      <c r="E3" s="1647"/>
      <c r="F3" s="1647"/>
    </row>
    <row r="4" spans="2:6" x14ac:dyDescent="0.25">
      <c r="B4" s="1527"/>
      <c r="C4" s="1527"/>
      <c r="D4" s="1527"/>
      <c r="E4" s="1527"/>
      <c r="F4" s="1527"/>
    </row>
    <row r="5" spans="2:6" ht="17.399999999999999" x14ac:dyDescent="0.25">
      <c r="B5" s="1646" t="s">
        <v>1032</v>
      </c>
      <c r="C5" s="1646"/>
      <c r="D5" s="1646"/>
      <c r="E5" s="1646"/>
      <c r="F5" s="1646"/>
    </row>
    <row r="7" spans="2:6" ht="18" x14ac:dyDescent="0.25">
      <c r="B7" s="1650" t="s">
        <v>1007</v>
      </c>
      <c r="C7" s="1650" t="s">
        <v>1008</v>
      </c>
      <c r="D7" s="1650"/>
      <c r="E7" s="1650"/>
      <c r="F7" s="1650"/>
    </row>
    <row r="8" spans="2:6" ht="36" x14ac:dyDescent="0.25">
      <c r="B8" s="1650"/>
      <c r="C8" s="834" t="s">
        <v>1009</v>
      </c>
      <c r="D8" s="834" t="s">
        <v>982</v>
      </c>
      <c r="E8" s="834" t="s">
        <v>998</v>
      </c>
      <c r="F8" s="834" t="s">
        <v>999</v>
      </c>
    </row>
    <row r="9" spans="2:6" ht="72" x14ac:dyDescent="0.25">
      <c r="B9" s="835" t="s">
        <v>1010</v>
      </c>
      <c r="C9" s="834" t="s">
        <v>1011</v>
      </c>
      <c r="D9" s="834" t="s">
        <v>1012</v>
      </c>
      <c r="E9" s="834" t="s">
        <v>1012</v>
      </c>
      <c r="F9" s="834" t="s">
        <v>1013</v>
      </c>
    </row>
    <row r="10" spans="2:6" ht="18" x14ac:dyDescent="0.25">
      <c r="B10" s="835" t="s">
        <v>1014</v>
      </c>
      <c r="C10" s="834" t="s">
        <v>1015</v>
      </c>
      <c r="D10" s="834" t="s">
        <v>1016</v>
      </c>
      <c r="E10" s="834" t="s">
        <v>1017</v>
      </c>
      <c r="F10" s="834" t="s">
        <v>1018</v>
      </c>
    </row>
    <row r="11" spans="2:6" ht="18" x14ac:dyDescent="0.25">
      <c r="B11" s="835" t="s">
        <v>1019</v>
      </c>
      <c r="C11" s="834" t="s">
        <v>1020</v>
      </c>
      <c r="D11" s="834" t="s">
        <v>1021</v>
      </c>
      <c r="E11" s="834" t="s">
        <v>1013</v>
      </c>
      <c r="F11" s="834" t="s">
        <v>1022</v>
      </c>
    </row>
    <row r="12" spans="2:6" ht="18" x14ac:dyDescent="0.25">
      <c r="B12" s="835" t="s">
        <v>1023</v>
      </c>
      <c r="C12" s="834" t="s">
        <v>1016</v>
      </c>
      <c r="D12" s="834" t="s">
        <v>1024</v>
      </c>
      <c r="E12" s="834" t="s">
        <v>1025</v>
      </c>
      <c r="F12" s="834" t="s">
        <v>1026</v>
      </c>
    </row>
    <row r="13" spans="2:6" ht="18" x14ac:dyDescent="0.25">
      <c r="B13" s="835" t="s">
        <v>1027</v>
      </c>
      <c r="C13" s="834" t="s">
        <v>1028</v>
      </c>
      <c r="D13" s="834" t="s">
        <v>1011</v>
      </c>
      <c r="E13" s="834" t="s">
        <v>1012</v>
      </c>
      <c r="F13" s="834" t="s">
        <v>1029</v>
      </c>
    </row>
    <row r="14" spans="2:6" ht="36" x14ac:dyDescent="0.25">
      <c r="B14" s="835" t="s">
        <v>1030</v>
      </c>
      <c r="C14" s="834" t="s">
        <v>1020</v>
      </c>
      <c r="D14" s="834" t="s">
        <v>1021</v>
      </c>
      <c r="E14" s="834" t="s">
        <v>1021</v>
      </c>
      <c r="F14" s="834" t="s">
        <v>1021</v>
      </c>
    </row>
    <row r="15" spans="2:6" ht="18" x14ac:dyDescent="0.25">
      <c r="B15" s="835" t="s">
        <v>1031</v>
      </c>
      <c r="C15" s="834">
        <v>95</v>
      </c>
      <c r="D15" s="834">
        <v>100</v>
      </c>
      <c r="E15" s="834">
        <v>100</v>
      </c>
      <c r="F15" s="834">
        <v>100</v>
      </c>
    </row>
  </sheetData>
  <mergeCells count="7">
    <mergeCell ref="B7:B8"/>
    <mergeCell ref="C7:F7"/>
    <mergeCell ref="B1:F1"/>
    <mergeCell ref="B2:F2"/>
    <mergeCell ref="B3:F3"/>
    <mergeCell ref="B4:F4"/>
    <mergeCell ref="B5:F5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M39"/>
  <sheetViews>
    <sheetView view="pageBreakPreview" topLeftCell="A17" zoomScaleNormal="100" zoomScaleSheetLayoutView="100" workbookViewId="0">
      <selection activeCell="A31" sqref="A31:J35"/>
    </sheetView>
  </sheetViews>
  <sheetFormatPr defaultRowHeight="13.8" x14ac:dyDescent="0.25"/>
  <cols>
    <col min="1" max="1" width="4.109375" customWidth="1"/>
    <col min="2" max="2" width="25.88671875" customWidth="1"/>
    <col min="3" max="3" width="7.44140625" customWidth="1"/>
    <col min="4" max="5" width="7.5546875" customWidth="1"/>
    <col min="6" max="6" width="6.5546875" customWidth="1"/>
    <col min="7" max="7" width="7.5546875" customWidth="1"/>
    <col min="8" max="8" width="7.44140625" customWidth="1"/>
    <col min="9" max="9" width="7.33203125" customWidth="1"/>
    <col min="10" max="10" width="7" customWidth="1"/>
    <col min="11" max="11" width="4.88671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29)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367"/>
      <c r="I6" s="367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43</v>
      </c>
    </row>
    <row r="8" spans="1:10" s="2" customFormat="1" ht="9.6" customHeight="1" x14ac:dyDescent="0.25">
      <c r="A8" s="368"/>
      <c r="B8" s="368"/>
      <c r="C8" s="368"/>
      <c r="D8" s="368"/>
      <c r="E8" s="368"/>
      <c r="F8" s="368"/>
      <c r="G8" s="368"/>
      <c r="H8" s="368"/>
      <c r="I8" s="368"/>
      <c r="J8" s="109"/>
    </row>
    <row r="9" spans="1:10" s="2" customFormat="1" ht="26.1" customHeight="1" x14ac:dyDescent="0.3">
      <c r="A9" s="1550" t="s">
        <v>610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'41-салат картоф. с капустой'!H14+1</f>
        <v>29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369" t="s">
        <v>92</v>
      </c>
      <c r="D17" s="369" t="s">
        <v>94</v>
      </c>
      <c r="E17" s="369" t="s">
        <v>93</v>
      </c>
      <c r="F17" s="369" t="s">
        <v>23</v>
      </c>
      <c r="G17" s="369" t="s">
        <v>92</v>
      </c>
      <c r="H17" s="369" t="s">
        <v>94</v>
      </c>
      <c r="I17" s="369" t="s">
        <v>92</v>
      </c>
      <c r="J17" s="369" t="s">
        <v>94</v>
      </c>
    </row>
    <row r="18" spans="1:13" ht="9.6" customHeight="1" x14ac:dyDescent="0.25">
      <c r="A18" s="369">
        <v>1</v>
      </c>
      <c r="B18" s="370">
        <v>2</v>
      </c>
      <c r="C18" s="369">
        <v>3</v>
      </c>
      <c r="D18" s="370">
        <v>4</v>
      </c>
      <c r="E18" s="369">
        <v>5</v>
      </c>
      <c r="F18" s="370">
        <v>6</v>
      </c>
      <c r="G18" s="369">
        <v>7</v>
      </c>
      <c r="H18" s="370">
        <v>8</v>
      </c>
      <c r="I18" s="369">
        <v>9</v>
      </c>
      <c r="J18" s="370">
        <v>10</v>
      </c>
    </row>
    <row r="19" spans="1:13" s="10" customFormat="1" ht="13.95" customHeight="1" x14ac:dyDescent="0.25">
      <c r="A19" s="299">
        <v>1</v>
      </c>
      <c r="B19" s="20" t="s">
        <v>180</v>
      </c>
      <c r="C19" s="21">
        <v>0.51400000000000001</v>
      </c>
      <c r="D19" s="21">
        <v>0.37</v>
      </c>
      <c r="E19" s="13">
        <f>цены!F33</f>
        <v>53</v>
      </c>
      <c r="F19" s="13">
        <f t="shared" ref="F19:F24" si="0">C19*E19</f>
        <v>27.24</v>
      </c>
      <c r="G19" s="97">
        <f t="shared" ref="G19:H24" si="1">C19*10</f>
        <v>5.14</v>
      </c>
      <c r="H19" s="21">
        <f t="shared" si="1"/>
        <v>3.7</v>
      </c>
      <c r="I19" s="21">
        <f t="shared" ref="I19:J24" si="2">C19*100</f>
        <v>51.4</v>
      </c>
      <c r="J19" s="21">
        <f t="shared" si="2"/>
        <v>37</v>
      </c>
      <c r="L19" s="1015">
        <f>C19/C$29</f>
        <v>3.08338332333533E-2</v>
      </c>
      <c r="M19" s="1015">
        <f>F19/C$29</f>
        <v>1.63407318536293</v>
      </c>
    </row>
    <row r="20" spans="1:13" s="10" customFormat="1" ht="13.95" customHeight="1" x14ac:dyDescent="0.25">
      <c r="A20" s="180">
        <v>2</v>
      </c>
      <c r="B20" s="20" t="s">
        <v>516</v>
      </c>
      <c r="C20" s="21">
        <v>0.27100000000000002</v>
      </c>
      <c r="D20" s="21">
        <v>0.23</v>
      </c>
      <c r="E20" s="13">
        <f>цены!F41</f>
        <v>106</v>
      </c>
      <c r="F20" s="13">
        <f t="shared" si="0"/>
        <v>28.73</v>
      </c>
      <c r="G20" s="97">
        <f t="shared" si="1"/>
        <v>2.71</v>
      </c>
      <c r="H20" s="21">
        <f t="shared" si="1"/>
        <v>2.2999999999999998</v>
      </c>
      <c r="I20" s="21">
        <f t="shared" si="2"/>
        <v>27.1</v>
      </c>
      <c r="J20" s="21">
        <f t="shared" si="2"/>
        <v>23</v>
      </c>
      <c r="L20" s="1015">
        <f t="shared" ref="L20:L24" si="3">C20/C$29</f>
        <v>1.6256748650269898E-2</v>
      </c>
      <c r="M20" s="1015">
        <f t="shared" ref="M20:M24" si="4">F20/C$29</f>
        <v>1.7234553089382101</v>
      </c>
    </row>
    <row r="21" spans="1:13" s="10" customFormat="1" ht="13.95" customHeight="1" x14ac:dyDescent="0.25">
      <c r="A21" s="299">
        <v>3</v>
      </c>
      <c r="B21" s="20" t="s">
        <v>514</v>
      </c>
      <c r="C21" s="21">
        <v>0.28799999999999998</v>
      </c>
      <c r="D21" s="21">
        <v>0.23</v>
      </c>
      <c r="E21" s="13">
        <f>цены!F42</f>
        <v>60</v>
      </c>
      <c r="F21" s="13">
        <f t="shared" si="0"/>
        <v>17.28</v>
      </c>
      <c r="G21" s="97">
        <f t="shared" ref="G21:H23" si="5">C21*10</f>
        <v>2.88</v>
      </c>
      <c r="H21" s="21">
        <f t="shared" si="5"/>
        <v>2.2999999999999998</v>
      </c>
      <c r="I21" s="21">
        <f t="shared" ref="I21:J23" si="6">C21*100</f>
        <v>28.8</v>
      </c>
      <c r="J21" s="21">
        <f t="shared" si="6"/>
        <v>23</v>
      </c>
      <c r="L21" s="1015">
        <f t="shared" si="3"/>
        <v>1.7276544691061799E-2</v>
      </c>
      <c r="M21" s="1015">
        <f t="shared" si="4"/>
        <v>1.0365926814637101</v>
      </c>
    </row>
    <row r="22" spans="1:13" s="10" customFormat="1" ht="13.95" customHeight="1" x14ac:dyDescent="0.25">
      <c r="A22" s="180">
        <v>4</v>
      </c>
      <c r="B22" s="20" t="s">
        <v>611</v>
      </c>
      <c r="C22" s="21">
        <v>0.13800000000000001</v>
      </c>
      <c r="D22" s="21">
        <v>0.12</v>
      </c>
      <c r="E22" s="13">
        <f>цены!F30</f>
        <v>152.16999999999999</v>
      </c>
      <c r="F22" s="13">
        <f t="shared" si="0"/>
        <v>21</v>
      </c>
      <c r="G22" s="97">
        <f t="shared" si="5"/>
        <v>1.38</v>
      </c>
      <c r="H22" s="21">
        <f t="shared" si="5"/>
        <v>1.2</v>
      </c>
      <c r="I22" s="21">
        <f t="shared" si="6"/>
        <v>13.8</v>
      </c>
      <c r="J22" s="21">
        <f t="shared" si="6"/>
        <v>12</v>
      </c>
      <c r="L22" s="1015">
        <f t="shared" si="3"/>
        <v>8.2783443311337697E-3</v>
      </c>
      <c r="M22" s="1015">
        <f t="shared" si="4"/>
        <v>1.2597480503899201</v>
      </c>
    </row>
    <row r="23" spans="1:13" s="10" customFormat="1" ht="13.95" customHeight="1" x14ac:dyDescent="0.25">
      <c r="A23" s="299">
        <v>5</v>
      </c>
      <c r="B23" s="20" t="s">
        <v>74</v>
      </c>
      <c r="C23" s="21">
        <v>0.06</v>
      </c>
      <c r="D23" s="21">
        <v>0.06</v>
      </c>
      <c r="E23" s="13">
        <f>цены!F87</f>
        <v>120</v>
      </c>
      <c r="F23" s="13">
        <f t="shared" si="0"/>
        <v>7.2</v>
      </c>
      <c r="G23" s="97">
        <f t="shared" si="5"/>
        <v>0.6</v>
      </c>
      <c r="H23" s="21">
        <f t="shared" si="5"/>
        <v>0.6</v>
      </c>
      <c r="I23" s="21">
        <f t="shared" si="6"/>
        <v>6</v>
      </c>
      <c r="J23" s="21">
        <f t="shared" si="6"/>
        <v>6</v>
      </c>
      <c r="L23" s="1015">
        <f t="shared" si="3"/>
        <v>3.5992801439712098E-3</v>
      </c>
      <c r="M23" s="1015">
        <f t="shared" si="4"/>
        <v>0.43191361727654498</v>
      </c>
    </row>
    <row r="24" spans="1:13" s="10" customFormat="1" ht="13.95" customHeight="1" x14ac:dyDescent="0.25">
      <c r="A24" s="180">
        <v>6</v>
      </c>
      <c r="B24" s="20" t="s">
        <v>75</v>
      </c>
      <c r="C24" s="21">
        <f>0.002*C29</f>
        <v>3.3000000000000002E-2</v>
      </c>
      <c r="D24" s="21">
        <f>C24</f>
        <v>3.3000000000000002E-2</v>
      </c>
      <c r="E24" s="13">
        <f>цены!F110</f>
        <v>24</v>
      </c>
      <c r="F24" s="13">
        <f t="shared" si="0"/>
        <v>0.79</v>
      </c>
      <c r="G24" s="97">
        <f t="shared" si="1"/>
        <v>0.33</v>
      </c>
      <c r="H24" s="21">
        <f t="shared" si="1"/>
        <v>0.33</v>
      </c>
      <c r="I24" s="21">
        <f t="shared" si="2"/>
        <v>3.3</v>
      </c>
      <c r="J24" s="21">
        <f t="shared" si="2"/>
        <v>3.3</v>
      </c>
      <c r="L24" s="1015">
        <f t="shared" si="3"/>
        <v>1.9796040791841599E-3</v>
      </c>
      <c r="M24" s="1015">
        <f t="shared" si="4"/>
        <v>4.7390521895620902E-2</v>
      </c>
    </row>
    <row r="25" spans="1:13" s="10" customFormat="1" ht="15" customHeight="1" x14ac:dyDescent="0.25">
      <c r="A25" s="98"/>
      <c r="B25" s="93" t="s">
        <v>100</v>
      </c>
      <c r="C25" s="100"/>
      <c r="D25" s="100">
        <v>1</v>
      </c>
      <c r="E25" s="95"/>
      <c r="F25" s="95">
        <f>SUM(F19:F24)</f>
        <v>102.24</v>
      </c>
      <c r="G25" s="99"/>
      <c r="H25" s="100">
        <f>D25*10</f>
        <v>10</v>
      </c>
      <c r="I25" s="100"/>
      <c r="J25" s="100">
        <f>D25*100</f>
        <v>100</v>
      </c>
      <c r="L25" s="1015">
        <f>SUM(L19:L24)</f>
        <v>7.8224355128974105E-2</v>
      </c>
      <c r="M25" s="1015">
        <f>SUM(M19:M24)</f>
        <v>6.1331733653269396</v>
      </c>
    </row>
    <row r="26" spans="1:13" s="10" customFormat="1" ht="27.6" customHeight="1" x14ac:dyDescent="0.25">
      <c r="A26" s="1536" t="s">
        <v>35</v>
      </c>
      <c r="B26" s="1536"/>
      <c r="C26" s="90"/>
      <c r="D26" s="90"/>
      <c r="E26" s="13"/>
      <c r="F26" s="13">
        <f>F25</f>
        <v>102.24</v>
      </c>
      <c r="G26" s="371"/>
      <c r="H26" s="371"/>
      <c r="I26" s="21"/>
      <c r="J26" s="13"/>
    </row>
    <row r="27" spans="1:13" s="10" customFormat="1" ht="25.35" customHeight="1" x14ac:dyDescent="0.25">
      <c r="A27" s="1536" t="s">
        <v>36</v>
      </c>
      <c r="B27" s="1536"/>
      <c r="C27" s="90">
        <v>1000</v>
      </c>
      <c r="D27" s="90"/>
      <c r="E27" s="13"/>
      <c r="F27" s="13"/>
      <c r="G27" s="13"/>
      <c r="H27" s="13"/>
      <c r="I27" s="21"/>
      <c r="J27" s="17"/>
    </row>
    <row r="28" spans="1:13" s="10" customFormat="1" ht="25.35" customHeight="1" x14ac:dyDescent="0.25">
      <c r="A28" s="1537" t="s">
        <v>37</v>
      </c>
      <c r="B28" s="1538"/>
      <c r="C28" s="91">
        <v>60</v>
      </c>
      <c r="D28" s="92"/>
      <c r="E28" s="370"/>
      <c r="F28" s="370"/>
      <c r="G28" s="370"/>
      <c r="H28" s="370"/>
      <c r="I28" s="21"/>
      <c r="J28" s="17"/>
    </row>
    <row r="29" spans="1:13" s="10" customFormat="1" ht="15" customHeight="1" x14ac:dyDescent="0.25">
      <c r="A29" s="1539" t="s">
        <v>38</v>
      </c>
      <c r="B29" s="1540"/>
      <c r="C29" s="249">
        <f>C27/C28</f>
        <v>16.670000000000002</v>
      </c>
      <c r="D29" s="92"/>
      <c r="E29" s="370"/>
      <c r="F29" s="370"/>
      <c r="G29" s="370"/>
      <c r="H29" s="370"/>
      <c r="I29" s="21"/>
      <c r="J29" s="17"/>
    </row>
    <row r="30" spans="1:13" ht="16.350000000000001" customHeight="1" x14ac:dyDescent="0.25">
      <c r="A30" s="1541" t="s">
        <v>39</v>
      </c>
      <c r="B30" s="1542"/>
      <c r="C30" s="15" t="s">
        <v>40</v>
      </c>
      <c r="D30" s="102"/>
      <c r="E30" s="102" t="s">
        <v>40</v>
      </c>
      <c r="F30" s="16">
        <f>F26/C29</f>
        <v>6.13</v>
      </c>
      <c r="G30" s="16"/>
      <c r="H30" s="16"/>
      <c r="I30" s="102" t="s">
        <v>40</v>
      </c>
      <c r="J30" s="102" t="s">
        <v>40</v>
      </c>
    </row>
    <row r="31" spans="1:13" ht="23.1" customHeight="1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3" ht="13.95" customHeight="1" x14ac:dyDescent="0.25">
      <c r="A32" s="1193"/>
      <c r="B32" s="1194" t="s">
        <v>49</v>
      </c>
      <c r="C32" s="1198"/>
      <c r="D32" s="1198"/>
      <c r="E32" s="1198"/>
      <c r="F32" s="1198"/>
      <c r="G32" s="1193"/>
      <c r="H32" s="1557">
        <f>'1-бутерброд с маслом'!$H$28</f>
        <v>0</v>
      </c>
      <c r="I32" s="1557"/>
      <c r="J32" s="1557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545" t="s">
        <v>327</v>
      </c>
      <c r="B34" s="1545"/>
      <c r="C34" s="1546" t="s">
        <v>328</v>
      </c>
      <c r="D34" s="1546"/>
      <c r="E34" s="1546"/>
      <c r="F34" s="1546"/>
      <c r="G34" s="106"/>
      <c r="H34" s="1531"/>
      <c r="I34" s="1531"/>
      <c r="J34" s="1531"/>
    </row>
    <row r="35" spans="1:10" x14ac:dyDescent="0.25">
      <c r="A35" s="1193"/>
      <c r="B35" s="1193"/>
      <c r="C35" s="1546"/>
      <c r="D35" s="1546"/>
      <c r="E35" s="1546"/>
      <c r="F35" s="1546"/>
      <c r="G35" s="1193"/>
      <c r="H35" s="1531" t="s">
        <v>329</v>
      </c>
      <c r="I35" s="1531"/>
      <c r="J35" s="1531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4:B34"/>
    <mergeCell ref="C34:F35"/>
    <mergeCell ref="H34:J34"/>
    <mergeCell ref="H35:J35"/>
    <mergeCell ref="A27:B27"/>
    <mergeCell ref="A28:B28"/>
    <mergeCell ref="A29:B29"/>
    <mergeCell ref="A30:B30"/>
    <mergeCell ref="H32:J32"/>
    <mergeCell ref="A26:B26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"/>
  <sheetViews>
    <sheetView workbookViewId="0">
      <selection activeCell="I8" sqref="I8"/>
    </sheetView>
  </sheetViews>
  <sheetFormatPr defaultRowHeight="13.8" x14ac:dyDescent="0.25"/>
  <cols>
    <col min="2" max="2" width="53.6640625" customWidth="1"/>
    <col min="3" max="3" width="13.33203125" customWidth="1"/>
    <col min="4" max="4" width="15.44140625" customWidth="1"/>
  </cols>
  <sheetData>
    <row r="1" spans="1:4" ht="18" x14ac:dyDescent="0.25">
      <c r="A1" s="1652" t="s">
        <v>975</v>
      </c>
      <c r="B1" s="1652"/>
      <c r="C1" s="1652"/>
      <c r="D1" s="1652"/>
    </row>
    <row r="2" spans="1:4" ht="25.95" customHeight="1" x14ac:dyDescent="0.25">
      <c r="A2" s="1652" t="s">
        <v>976</v>
      </c>
      <c r="B2" s="1652"/>
      <c r="C2" s="1652"/>
      <c r="D2" s="1652"/>
    </row>
    <row r="3" spans="1:4" ht="46.2" customHeight="1" x14ac:dyDescent="0.25">
      <c r="A3" s="1649" t="s">
        <v>977</v>
      </c>
      <c r="B3" s="1649"/>
      <c r="C3" s="1649"/>
      <c r="D3" s="1649"/>
    </row>
    <row r="4" spans="1:4" ht="18" x14ac:dyDescent="0.25">
      <c r="A4" s="1652" t="s">
        <v>997</v>
      </c>
      <c r="B4" s="1652"/>
      <c r="C4" s="1652"/>
      <c r="D4" s="1652"/>
    </row>
    <row r="5" spans="1:4" ht="57" customHeight="1" x14ac:dyDescent="0.25">
      <c r="A5" s="1649" t="s">
        <v>1005</v>
      </c>
      <c r="B5" s="1649"/>
      <c r="C5" s="1649"/>
      <c r="D5" s="1649"/>
    </row>
    <row r="7" spans="1:4" ht="31.2" customHeight="1" x14ac:dyDescent="0.25">
      <c r="A7" s="1650" t="s">
        <v>979</v>
      </c>
      <c r="B7" s="1650" t="s">
        <v>980</v>
      </c>
      <c r="C7" s="1650" t="s">
        <v>981</v>
      </c>
      <c r="D7" s="1650"/>
    </row>
    <row r="8" spans="1:4" ht="36" x14ac:dyDescent="0.25">
      <c r="A8" s="1650"/>
      <c r="B8" s="1650"/>
      <c r="C8" s="834" t="s">
        <v>998</v>
      </c>
      <c r="D8" s="834" t="s">
        <v>999</v>
      </c>
    </row>
    <row r="9" spans="1:4" ht="18" x14ac:dyDescent="0.25">
      <c r="A9" s="834">
        <v>1</v>
      </c>
      <c r="B9" s="835" t="s">
        <v>990</v>
      </c>
      <c r="C9" s="834">
        <v>80</v>
      </c>
      <c r="D9" s="834">
        <v>120</v>
      </c>
    </row>
    <row r="10" spans="1:4" ht="18" x14ac:dyDescent="0.25">
      <c r="A10" s="834">
        <v>2</v>
      </c>
      <c r="B10" s="835" t="s">
        <v>96</v>
      </c>
      <c r="C10" s="834">
        <v>150</v>
      </c>
      <c r="D10" s="834">
        <v>200</v>
      </c>
    </row>
    <row r="11" spans="1:4" ht="18" x14ac:dyDescent="0.25">
      <c r="A11" s="834">
        <v>3</v>
      </c>
      <c r="B11" s="835" t="s">
        <v>45</v>
      </c>
      <c r="C11" s="834">
        <v>15</v>
      </c>
      <c r="D11" s="834">
        <v>20</v>
      </c>
    </row>
    <row r="12" spans="1:4" ht="18" x14ac:dyDescent="0.25">
      <c r="A12" s="834">
        <v>4</v>
      </c>
      <c r="B12" s="835" t="s">
        <v>991</v>
      </c>
      <c r="C12" s="834">
        <v>45</v>
      </c>
      <c r="D12" s="834">
        <v>50</v>
      </c>
    </row>
    <row r="13" spans="1:4" ht="18" x14ac:dyDescent="0.25">
      <c r="A13" s="834">
        <v>5</v>
      </c>
      <c r="B13" s="835" t="s">
        <v>55</v>
      </c>
      <c r="C13" s="834">
        <v>15</v>
      </c>
      <c r="D13" s="834">
        <v>20</v>
      </c>
    </row>
    <row r="14" spans="1:4" ht="18" x14ac:dyDescent="0.25">
      <c r="A14" s="834">
        <v>6</v>
      </c>
      <c r="B14" s="835" t="s">
        <v>50</v>
      </c>
      <c r="C14" s="834">
        <v>187</v>
      </c>
      <c r="D14" s="834">
        <v>187</v>
      </c>
    </row>
    <row r="15" spans="1:4" ht="72" x14ac:dyDescent="0.25">
      <c r="A15" s="834">
        <v>7</v>
      </c>
      <c r="B15" s="835" t="s">
        <v>1000</v>
      </c>
      <c r="C15" s="834">
        <v>280</v>
      </c>
      <c r="D15" s="834">
        <v>320</v>
      </c>
    </row>
    <row r="16" spans="1:4" ht="18" x14ac:dyDescent="0.25">
      <c r="A16" s="834">
        <v>8</v>
      </c>
      <c r="B16" s="835" t="s">
        <v>988</v>
      </c>
      <c r="C16" s="834">
        <v>185</v>
      </c>
      <c r="D16" s="834">
        <v>185</v>
      </c>
    </row>
    <row r="17" spans="1:4" ht="18" x14ac:dyDescent="0.25">
      <c r="A17" s="834">
        <v>9</v>
      </c>
      <c r="B17" s="835" t="s">
        <v>989</v>
      </c>
      <c r="C17" s="834">
        <v>15</v>
      </c>
      <c r="D17" s="834">
        <v>20</v>
      </c>
    </row>
    <row r="18" spans="1:4" ht="36" x14ac:dyDescent="0.25">
      <c r="A18" s="834">
        <v>10</v>
      </c>
      <c r="B18" s="835" t="s">
        <v>1001</v>
      </c>
      <c r="C18" s="834">
        <v>200</v>
      </c>
      <c r="D18" s="834">
        <v>200</v>
      </c>
    </row>
    <row r="19" spans="1:4" ht="18" x14ac:dyDescent="0.25">
      <c r="A19" s="834">
        <v>11</v>
      </c>
      <c r="B19" s="835" t="s">
        <v>984</v>
      </c>
      <c r="C19" s="834">
        <v>70</v>
      </c>
      <c r="D19" s="834">
        <v>78</v>
      </c>
    </row>
    <row r="20" spans="1:4" ht="18" x14ac:dyDescent="0.25">
      <c r="A20" s="834">
        <v>12</v>
      </c>
      <c r="B20" s="835" t="s">
        <v>985</v>
      </c>
      <c r="C20" s="834">
        <v>30</v>
      </c>
      <c r="D20" s="834">
        <v>40</v>
      </c>
    </row>
    <row r="21" spans="1:4" ht="18" x14ac:dyDescent="0.25">
      <c r="A21" s="834">
        <v>13</v>
      </c>
      <c r="B21" s="835" t="s">
        <v>1002</v>
      </c>
      <c r="C21" s="834">
        <v>35</v>
      </c>
      <c r="D21" s="834">
        <v>53</v>
      </c>
    </row>
    <row r="22" spans="1:4" ht="36" x14ac:dyDescent="0.25">
      <c r="A22" s="834">
        <v>14</v>
      </c>
      <c r="B22" s="835" t="s">
        <v>986</v>
      </c>
      <c r="C22" s="834">
        <v>58</v>
      </c>
      <c r="D22" s="834">
        <v>77</v>
      </c>
    </row>
    <row r="23" spans="1:4" ht="18" x14ac:dyDescent="0.25">
      <c r="A23" s="834">
        <v>15</v>
      </c>
      <c r="B23" s="835" t="s">
        <v>34</v>
      </c>
      <c r="C23" s="834">
        <v>300</v>
      </c>
      <c r="D23" s="834">
        <v>350</v>
      </c>
    </row>
    <row r="24" spans="1:4" ht="18" x14ac:dyDescent="0.25">
      <c r="A24" s="834">
        <v>16</v>
      </c>
      <c r="B24" s="835" t="s">
        <v>1003</v>
      </c>
      <c r="C24" s="834">
        <v>150</v>
      </c>
      <c r="D24" s="834">
        <v>180</v>
      </c>
    </row>
    <row r="25" spans="1:4" ht="18" x14ac:dyDescent="0.25">
      <c r="A25" s="834">
        <v>17</v>
      </c>
      <c r="B25" s="835" t="s">
        <v>983</v>
      </c>
      <c r="C25" s="834">
        <v>50</v>
      </c>
      <c r="D25" s="834">
        <v>60</v>
      </c>
    </row>
    <row r="26" spans="1:4" ht="18" x14ac:dyDescent="0.25">
      <c r="A26" s="834">
        <v>18</v>
      </c>
      <c r="B26" s="835" t="s">
        <v>459</v>
      </c>
      <c r="C26" s="834">
        <v>10</v>
      </c>
      <c r="D26" s="834">
        <v>15</v>
      </c>
    </row>
    <row r="27" spans="1:4" ht="18" x14ac:dyDescent="0.25">
      <c r="A27" s="834">
        <v>19</v>
      </c>
      <c r="B27" s="835" t="s">
        <v>51</v>
      </c>
      <c r="C27" s="834">
        <v>10</v>
      </c>
      <c r="D27" s="834">
        <v>10</v>
      </c>
    </row>
    <row r="28" spans="1:4" ht="18" x14ac:dyDescent="0.25">
      <c r="A28" s="834">
        <v>20</v>
      </c>
      <c r="B28" s="835" t="s">
        <v>31</v>
      </c>
      <c r="C28" s="834">
        <v>30</v>
      </c>
      <c r="D28" s="834">
        <v>35</v>
      </c>
    </row>
    <row r="29" spans="1:4" ht="18" x14ac:dyDescent="0.25">
      <c r="A29" s="834">
        <v>21</v>
      </c>
      <c r="B29" s="835" t="s">
        <v>74</v>
      </c>
      <c r="C29" s="834">
        <v>15</v>
      </c>
      <c r="D29" s="834">
        <v>18</v>
      </c>
    </row>
    <row r="30" spans="1:4" ht="18" x14ac:dyDescent="0.25">
      <c r="A30" s="834">
        <v>22</v>
      </c>
      <c r="B30" s="835" t="s">
        <v>987</v>
      </c>
      <c r="C30" s="834">
        <v>1</v>
      </c>
      <c r="D30" s="834">
        <v>1</v>
      </c>
    </row>
    <row r="31" spans="1:4" ht="108" x14ac:dyDescent="0.25">
      <c r="A31" s="834">
        <v>23</v>
      </c>
      <c r="B31" s="835" t="s">
        <v>994</v>
      </c>
      <c r="C31" s="834">
        <v>30</v>
      </c>
      <c r="D31" s="834">
        <v>35</v>
      </c>
    </row>
    <row r="32" spans="1:4" ht="18" x14ac:dyDescent="0.25">
      <c r="A32" s="834">
        <v>24</v>
      </c>
      <c r="B32" s="835" t="s">
        <v>992</v>
      </c>
      <c r="C32" s="834">
        <v>10</v>
      </c>
      <c r="D32" s="834">
        <v>15</v>
      </c>
    </row>
    <row r="33" spans="1:4" ht="18" x14ac:dyDescent="0.25">
      <c r="A33" s="834">
        <v>25</v>
      </c>
      <c r="B33" s="835" t="s">
        <v>993</v>
      </c>
      <c r="C33" s="834">
        <v>1</v>
      </c>
      <c r="D33" s="834">
        <v>2</v>
      </c>
    </row>
    <row r="34" spans="1:4" ht="18" x14ac:dyDescent="0.25">
      <c r="A34" s="834">
        <v>26</v>
      </c>
      <c r="B34" s="835" t="s">
        <v>154</v>
      </c>
      <c r="C34" s="834">
        <v>1</v>
      </c>
      <c r="D34" s="834">
        <v>1.2</v>
      </c>
    </row>
    <row r="35" spans="1:4" ht="18" x14ac:dyDescent="0.25">
      <c r="A35" s="834">
        <v>27</v>
      </c>
      <c r="B35" s="835" t="s">
        <v>143</v>
      </c>
      <c r="C35" s="834">
        <v>2</v>
      </c>
      <c r="D35" s="834">
        <v>2</v>
      </c>
    </row>
    <row r="36" spans="1:4" ht="18" x14ac:dyDescent="0.25">
      <c r="A36" s="834">
        <v>28</v>
      </c>
      <c r="B36" s="835" t="s">
        <v>231</v>
      </c>
      <c r="C36" s="834">
        <v>0.2</v>
      </c>
      <c r="D36" s="834">
        <v>0.3</v>
      </c>
    </row>
    <row r="37" spans="1:4" ht="18" x14ac:dyDescent="0.25">
      <c r="A37" s="834">
        <v>29</v>
      </c>
      <c r="B37" s="835" t="s">
        <v>995</v>
      </c>
      <c r="C37" s="834">
        <v>3</v>
      </c>
      <c r="D37" s="834">
        <v>4</v>
      </c>
    </row>
    <row r="38" spans="1:4" ht="18" x14ac:dyDescent="0.25">
      <c r="A38" s="834">
        <v>30</v>
      </c>
      <c r="B38" s="835" t="s">
        <v>996</v>
      </c>
      <c r="C38" s="834">
        <v>3</v>
      </c>
      <c r="D38" s="834">
        <v>5</v>
      </c>
    </row>
    <row r="39" spans="1:4" ht="18" x14ac:dyDescent="0.25">
      <c r="A39" s="834">
        <v>31</v>
      </c>
      <c r="B39" s="835" t="s">
        <v>1004</v>
      </c>
      <c r="C39" s="834">
        <v>2</v>
      </c>
      <c r="D39" s="834">
        <v>2</v>
      </c>
    </row>
  </sheetData>
  <mergeCells count="8">
    <mergeCell ref="A7:A8"/>
    <mergeCell ref="B7:B8"/>
    <mergeCell ref="C7:D7"/>
    <mergeCell ref="A1:D1"/>
    <mergeCell ref="A2:D2"/>
    <mergeCell ref="A3:D3"/>
    <mergeCell ref="A4:D4"/>
    <mergeCell ref="A5:D5"/>
  </mergeCells>
  <pageMargins left="0.7" right="0.7" top="0.75" bottom="0.75" header="0.3" footer="0.3"/>
  <pageSetup paperSize="9" orientation="portrait" verticalDpi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M41"/>
  <sheetViews>
    <sheetView view="pageBreakPreview" topLeftCell="A18" zoomScaleNormal="100" zoomScaleSheetLayoutView="100" workbookViewId="0">
      <selection activeCell="A33" sqref="A33:J37"/>
    </sheetView>
  </sheetViews>
  <sheetFormatPr defaultRowHeight="13.8" x14ac:dyDescent="0.25"/>
  <cols>
    <col min="1" max="1" width="4.109375" customWidth="1"/>
    <col min="2" max="2" width="24.6640625" customWidth="1"/>
    <col min="3" max="3" width="8.44140625" customWidth="1"/>
    <col min="4" max="7" width="7.5546875" customWidth="1"/>
    <col min="8" max="8" width="7.44140625" customWidth="1"/>
    <col min="9" max="9" width="6.88671875" customWidth="1"/>
    <col min="10" max="10" width="7.6640625" customWidth="1"/>
    <col min="11" max="11" width="3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30)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367"/>
      <c r="I6" s="367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45</v>
      </c>
    </row>
    <row r="8" spans="1:10" s="2" customFormat="1" ht="9.6" customHeight="1" x14ac:dyDescent="0.25">
      <c r="A8" s="368"/>
      <c r="B8" s="368"/>
      <c r="C8" s="368"/>
      <c r="D8" s="368"/>
      <c r="E8" s="368"/>
      <c r="F8" s="368"/>
      <c r="G8" s="368"/>
      <c r="H8" s="368"/>
      <c r="I8" s="368"/>
      <c r="J8" s="109"/>
    </row>
    <row r="9" spans="1:10" s="2" customFormat="1" ht="26.1" customHeight="1" x14ac:dyDescent="0.3">
      <c r="A9" s="1550" t="s">
        <v>639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'43-салат из овощей'!H14+1</f>
        <v>30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41.25" customHeight="1" x14ac:dyDescent="0.25">
      <c r="A17" s="1543"/>
      <c r="B17" s="1543"/>
      <c r="C17" s="369" t="s">
        <v>92</v>
      </c>
      <c r="D17" s="369" t="s">
        <v>94</v>
      </c>
      <c r="E17" s="369" t="s">
        <v>93</v>
      </c>
      <c r="F17" s="369" t="s">
        <v>23</v>
      </c>
      <c r="G17" s="369" t="s">
        <v>92</v>
      </c>
      <c r="H17" s="369" t="s">
        <v>94</v>
      </c>
      <c r="I17" s="369" t="s">
        <v>92</v>
      </c>
      <c r="J17" s="369" t="s">
        <v>94</v>
      </c>
    </row>
    <row r="18" spans="1:13" ht="15" customHeight="1" x14ac:dyDescent="0.25">
      <c r="A18" s="369">
        <v>1</v>
      </c>
      <c r="B18" s="370">
        <v>2</v>
      </c>
      <c r="C18" s="369">
        <v>3</v>
      </c>
      <c r="D18" s="370">
        <v>4</v>
      </c>
      <c r="E18" s="369">
        <v>5</v>
      </c>
      <c r="F18" s="370">
        <v>6</v>
      </c>
      <c r="G18" s="369">
        <v>7</v>
      </c>
      <c r="H18" s="370">
        <v>8</v>
      </c>
      <c r="I18" s="369">
        <v>9</v>
      </c>
      <c r="J18" s="370">
        <v>10</v>
      </c>
    </row>
    <row r="19" spans="1:13" s="10" customFormat="1" ht="13.95" customHeight="1" x14ac:dyDescent="0.25">
      <c r="A19" s="180">
        <v>1</v>
      </c>
      <c r="B19" s="20" t="s">
        <v>180</v>
      </c>
      <c r="C19" s="21">
        <v>0.98599999999999999</v>
      </c>
      <c r="D19" s="21">
        <v>0.78900000000000003</v>
      </c>
      <c r="E19" s="13">
        <f>цены!F33</f>
        <v>53</v>
      </c>
      <c r="F19" s="13">
        <f>C19*E19</f>
        <v>52.26</v>
      </c>
      <c r="G19" s="97">
        <f t="shared" ref="G19:H21" si="0">C19*10</f>
        <v>9.86</v>
      </c>
      <c r="H19" s="21">
        <f t="shared" si="0"/>
        <v>7.89</v>
      </c>
      <c r="I19" s="21">
        <f t="shared" ref="I19:J21" si="1">C19*100</f>
        <v>98.6</v>
      </c>
      <c r="J19" s="21">
        <f t="shared" si="1"/>
        <v>78.900000000000006</v>
      </c>
      <c r="L19" s="1015">
        <f>C19/C$31</f>
        <v>5.9148170365926803E-2</v>
      </c>
      <c r="M19" s="1015">
        <f>F19/C$31</f>
        <v>3.13497300539892</v>
      </c>
    </row>
    <row r="20" spans="1:13" s="10" customFormat="1" ht="13.95" customHeight="1" x14ac:dyDescent="0.25">
      <c r="A20" s="379"/>
      <c r="B20" s="93" t="s">
        <v>612</v>
      </c>
      <c r="C20" s="100"/>
      <c r="D20" s="100">
        <v>0.71</v>
      </c>
      <c r="E20" s="95"/>
      <c r="F20" s="95"/>
      <c r="G20" s="99">
        <f t="shared" si="0"/>
        <v>0</v>
      </c>
      <c r="H20" s="100">
        <f t="shared" si="0"/>
        <v>7.1</v>
      </c>
      <c r="I20" s="100">
        <f t="shared" si="1"/>
        <v>0</v>
      </c>
      <c r="J20" s="100">
        <f t="shared" si="1"/>
        <v>71</v>
      </c>
      <c r="L20" s="1015">
        <f t="shared" ref="L20:L26" si="2">C20/C$31</f>
        <v>0</v>
      </c>
      <c r="M20" s="1015">
        <f t="shared" ref="M20:M26" si="3">F20/C$31</f>
        <v>0</v>
      </c>
    </row>
    <row r="21" spans="1:13" s="10" customFormat="1" ht="13.95" customHeight="1" x14ac:dyDescent="0.25">
      <c r="A21" s="180">
        <v>2</v>
      </c>
      <c r="B21" s="20" t="s">
        <v>47</v>
      </c>
      <c r="C21" s="21">
        <v>0.41699999999999998</v>
      </c>
      <c r="D21" s="21">
        <v>0.25</v>
      </c>
      <c r="E21" s="13">
        <f>цены!F44</f>
        <v>50</v>
      </c>
      <c r="F21" s="13">
        <f t="shared" ref="F21:F26" si="4">C21*E21</f>
        <v>20.85</v>
      </c>
      <c r="G21" s="97">
        <f t="shared" si="0"/>
        <v>4.17</v>
      </c>
      <c r="H21" s="21">
        <f t="shared" si="0"/>
        <v>2.5</v>
      </c>
      <c r="I21" s="21">
        <f t="shared" si="1"/>
        <v>41.7</v>
      </c>
      <c r="J21" s="21">
        <f t="shared" si="1"/>
        <v>25</v>
      </c>
      <c r="L21" s="1015">
        <f t="shared" si="2"/>
        <v>2.5014997000599899E-2</v>
      </c>
      <c r="M21" s="1015">
        <f t="shared" si="3"/>
        <v>1.2507498500299901</v>
      </c>
    </row>
    <row r="22" spans="1:13" s="10" customFormat="1" ht="13.95" customHeight="1" x14ac:dyDescent="0.25">
      <c r="A22" s="299">
        <v>3</v>
      </c>
      <c r="B22" s="20" t="s">
        <v>135</v>
      </c>
      <c r="C22" s="21">
        <v>3.0000000000000001E-3</v>
      </c>
      <c r="D22" s="21">
        <v>3.0000000000000001E-3</v>
      </c>
      <c r="E22" s="13">
        <f>цены!F98</f>
        <v>290</v>
      </c>
      <c r="F22" s="13">
        <f t="shared" si="4"/>
        <v>0.87</v>
      </c>
      <c r="G22" s="97">
        <f t="shared" ref="G22:H26" si="5">C22*10</f>
        <v>0.03</v>
      </c>
      <c r="H22" s="21">
        <f t="shared" si="5"/>
        <v>0.03</v>
      </c>
      <c r="I22" s="21">
        <f t="shared" ref="I22:J26" si="6">C22*100</f>
        <v>0.3</v>
      </c>
      <c r="J22" s="21">
        <f t="shared" si="6"/>
        <v>0.3</v>
      </c>
      <c r="L22" s="1015">
        <f t="shared" si="2"/>
        <v>1.7996400719856001E-4</v>
      </c>
      <c r="M22" s="1015">
        <f t="shared" si="3"/>
        <v>5.2189562087582499E-2</v>
      </c>
    </row>
    <row r="23" spans="1:13" s="10" customFormat="1" ht="13.95" customHeight="1" x14ac:dyDescent="0.25">
      <c r="A23" s="180">
        <v>5</v>
      </c>
      <c r="B23" s="20" t="s">
        <v>613</v>
      </c>
      <c r="C23" s="21">
        <v>9.7000000000000003E-2</v>
      </c>
      <c r="D23" s="21">
        <v>9.7000000000000003E-2</v>
      </c>
      <c r="E23" s="13"/>
      <c r="F23" s="13">
        <f t="shared" si="4"/>
        <v>0</v>
      </c>
      <c r="G23" s="97">
        <f t="shared" si="5"/>
        <v>0.97</v>
      </c>
      <c r="H23" s="21">
        <f t="shared" si="5"/>
        <v>0.97</v>
      </c>
      <c r="I23" s="21">
        <f t="shared" si="6"/>
        <v>9.6999999999999993</v>
      </c>
      <c r="J23" s="21">
        <f t="shared" si="6"/>
        <v>9.6999999999999993</v>
      </c>
      <c r="L23" s="1015">
        <f t="shared" si="2"/>
        <v>5.8188362327534502E-3</v>
      </c>
      <c r="M23" s="1015">
        <f t="shared" si="3"/>
        <v>0</v>
      </c>
    </row>
    <row r="24" spans="1:13" s="10" customFormat="1" ht="13.95" customHeight="1" x14ac:dyDescent="0.25">
      <c r="A24" s="299">
        <v>6</v>
      </c>
      <c r="B24" s="20" t="s">
        <v>30</v>
      </c>
      <c r="C24" s="21">
        <v>0.05</v>
      </c>
      <c r="D24" s="21">
        <v>0.05</v>
      </c>
      <c r="E24" s="13">
        <f>цены!F107</f>
        <v>76</v>
      </c>
      <c r="F24" s="13">
        <f t="shared" si="4"/>
        <v>3.8</v>
      </c>
      <c r="G24" s="97">
        <f t="shared" si="5"/>
        <v>0.5</v>
      </c>
      <c r="H24" s="21">
        <f t="shared" si="5"/>
        <v>0.5</v>
      </c>
      <c r="I24" s="21">
        <f t="shared" si="6"/>
        <v>5</v>
      </c>
      <c r="J24" s="21">
        <f t="shared" si="6"/>
        <v>5</v>
      </c>
      <c r="L24" s="1015">
        <f t="shared" si="2"/>
        <v>2.9994001199760002E-3</v>
      </c>
      <c r="M24" s="1015">
        <f t="shared" si="3"/>
        <v>0.22795440911817599</v>
      </c>
    </row>
    <row r="25" spans="1:13" s="10" customFormat="1" ht="13.95" customHeight="1" x14ac:dyDescent="0.25">
      <c r="A25" s="180">
        <v>7</v>
      </c>
      <c r="B25" s="20" t="s">
        <v>74</v>
      </c>
      <c r="C25" s="21">
        <v>0.05</v>
      </c>
      <c r="D25" s="21">
        <v>0.05</v>
      </c>
      <c r="E25" s="13">
        <f>цены!F87</f>
        <v>120</v>
      </c>
      <c r="F25" s="13">
        <f t="shared" si="4"/>
        <v>6</v>
      </c>
      <c r="G25" s="97">
        <f t="shared" si="5"/>
        <v>0.5</v>
      </c>
      <c r="H25" s="21">
        <f t="shared" si="5"/>
        <v>0.5</v>
      </c>
      <c r="I25" s="21">
        <f t="shared" si="6"/>
        <v>5</v>
      </c>
      <c r="J25" s="21">
        <f t="shared" si="6"/>
        <v>5</v>
      </c>
      <c r="L25" s="1015">
        <f t="shared" si="2"/>
        <v>2.9994001199760002E-3</v>
      </c>
      <c r="M25" s="1015">
        <f t="shared" si="3"/>
        <v>0.35992801439712102</v>
      </c>
    </row>
    <row r="26" spans="1:13" s="10" customFormat="1" ht="13.95" customHeight="1" x14ac:dyDescent="0.25">
      <c r="A26" s="299">
        <v>8</v>
      </c>
      <c r="B26" s="20" t="s">
        <v>75</v>
      </c>
      <c r="C26" s="21">
        <f>0.015/1*D19</f>
        <v>1.2E-2</v>
      </c>
      <c r="D26" s="21">
        <f>C26</f>
        <v>1.2E-2</v>
      </c>
      <c r="E26" s="13">
        <f>цены!F110</f>
        <v>24</v>
      </c>
      <c r="F26" s="13">
        <f t="shared" si="4"/>
        <v>0.28999999999999998</v>
      </c>
      <c r="G26" s="97">
        <f t="shared" si="5"/>
        <v>0.12</v>
      </c>
      <c r="H26" s="21">
        <f t="shared" si="5"/>
        <v>0.12</v>
      </c>
      <c r="I26" s="21">
        <f t="shared" si="6"/>
        <v>1.2</v>
      </c>
      <c r="J26" s="21">
        <f t="shared" si="6"/>
        <v>1.2</v>
      </c>
      <c r="L26" s="1015">
        <f t="shared" si="2"/>
        <v>7.1985602879424103E-4</v>
      </c>
      <c r="M26" s="1015">
        <f t="shared" si="3"/>
        <v>1.7396520695860802E-2</v>
      </c>
    </row>
    <row r="27" spans="1:13" s="10" customFormat="1" ht="15" customHeight="1" x14ac:dyDescent="0.25">
      <c r="A27" s="98"/>
      <c r="B27" s="93" t="s">
        <v>100</v>
      </c>
      <c r="C27" s="100"/>
      <c r="D27" s="100">
        <v>1</v>
      </c>
      <c r="E27" s="95"/>
      <c r="F27" s="95">
        <f>SUM(F19:F26)</f>
        <v>84.07</v>
      </c>
      <c r="G27" s="99"/>
      <c r="H27" s="100">
        <f>D27*10</f>
        <v>10</v>
      </c>
      <c r="I27" s="100"/>
      <c r="J27" s="100">
        <f>D27*100</f>
        <v>100</v>
      </c>
      <c r="L27" s="1015">
        <f>SUM(L19:L26)</f>
        <v>9.6880623875225003E-2</v>
      </c>
      <c r="M27" s="1015">
        <f>SUM(M19:M26)</f>
        <v>5.0431913617276498</v>
      </c>
    </row>
    <row r="28" spans="1:13" s="10" customFormat="1" ht="27.6" customHeight="1" x14ac:dyDescent="0.25">
      <c r="A28" s="1536" t="s">
        <v>35</v>
      </c>
      <c r="B28" s="1536"/>
      <c r="C28" s="90"/>
      <c r="D28" s="90"/>
      <c r="E28" s="13"/>
      <c r="F28" s="13">
        <f>F27</f>
        <v>84.07</v>
      </c>
      <c r="G28" s="371"/>
      <c r="H28" s="371"/>
      <c r="I28" s="21"/>
      <c r="J28" s="13"/>
    </row>
    <row r="29" spans="1:13" s="10" customFormat="1" ht="25.35" customHeight="1" x14ac:dyDescent="0.25">
      <c r="A29" s="1536" t="s">
        <v>36</v>
      </c>
      <c r="B29" s="1536"/>
      <c r="C29" s="90">
        <v>1000</v>
      </c>
      <c r="D29" s="90"/>
      <c r="E29" s="13"/>
      <c r="F29" s="13"/>
      <c r="G29" s="13"/>
      <c r="H29" s="13"/>
      <c r="I29" s="21"/>
      <c r="J29" s="17"/>
    </row>
    <row r="30" spans="1:13" s="10" customFormat="1" ht="25.35" customHeight="1" x14ac:dyDescent="0.25">
      <c r="A30" s="1537" t="s">
        <v>37</v>
      </c>
      <c r="B30" s="1538"/>
      <c r="C30" s="91">
        <v>60</v>
      </c>
      <c r="D30" s="92"/>
      <c r="E30" s="370"/>
      <c r="F30" s="370"/>
      <c r="G30" s="370"/>
      <c r="H30" s="370"/>
      <c r="I30" s="21"/>
      <c r="J30" s="17"/>
    </row>
    <row r="31" spans="1:13" s="10" customFormat="1" ht="15" customHeight="1" x14ac:dyDescent="0.25">
      <c r="A31" s="1539" t="s">
        <v>38</v>
      </c>
      <c r="B31" s="1540"/>
      <c r="C31" s="249">
        <f>C29/C30</f>
        <v>16.670000000000002</v>
      </c>
      <c r="D31" s="92"/>
      <c r="E31" s="370"/>
      <c r="F31" s="370"/>
      <c r="G31" s="370"/>
      <c r="H31" s="370"/>
      <c r="I31" s="21"/>
      <c r="J31" s="17"/>
    </row>
    <row r="32" spans="1:13" ht="16.350000000000001" customHeight="1" x14ac:dyDescent="0.25">
      <c r="A32" s="1541" t="s">
        <v>39</v>
      </c>
      <c r="B32" s="1542"/>
      <c r="C32" s="15" t="s">
        <v>40</v>
      </c>
      <c r="D32" s="102"/>
      <c r="E32" s="102" t="s">
        <v>40</v>
      </c>
      <c r="F32" s="16">
        <f>F28/C31</f>
        <v>5.04</v>
      </c>
      <c r="G32" s="16"/>
      <c r="H32" s="16"/>
      <c r="I32" s="102" t="s">
        <v>40</v>
      </c>
      <c r="J32" s="102" t="s">
        <v>40</v>
      </c>
    </row>
    <row r="33" spans="1:10" ht="23.1" customHeight="1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193"/>
      <c r="B34" s="1194" t="s">
        <v>49</v>
      </c>
      <c r="C34" s="1198"/>
      <c r="D34" s="1198"/>
      <c r="E34" s="1198"/>
      <c r="F34" s="1198"/>
      <c r="G34" s="1193"/>
      <c r="H34" s="1557">
        <f>'1-бутерброд с маслом'!$H$28</f>
        <v>0</v>
      </c>
      <c r="I34" s="1557"/>
      <c r="J34" s="1557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545" t="s">
        <v>327</v>
      </c>
      <c r="B36" s="1545"/>
      <c r="C36" s="1546" t="s">
        <v>328</v>
      </c>
      <c r="D36" s="1546"/>
      <c r="E36" s="1546"/>
      <c r="F36" s="1546"/>
      <c r="G36" s="106"/>
      <c r="H36" s="1531"/>
      <c r="I36" s="1531"/>
      <c r="J36" s="1531"/>
    </row>
    <row r="37" spans="1:10" x14ac:dyDescent="0.25">
      <c r="A37" s="1193"/>
      <c r="B37" s="1193"/>
      <c r="C37" s="1546"/>
      <c r="D37" s="1546"/>
      <c r="E37" s="1546"/>
      <c r="F37" s="1546"/>
      <c r="G37" s="1193"/>
      <c r="H37" s="1531" t="s">
        <v>329</v>
      </c>
      <c r="I37" s="1531"/>
      <c r="J37" s="1531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6:B36"/>
    <mergeCell ref="C36:F37"/>
    <mergeCell ref="H36:J36"/>
    <mergeCell ref="H37:J37"/>
    <mergeCell ref="A29:B29"/>
    <mergeCell ref="A30:B30"/>
    <mergeCell ref="A31:B31"/>
    <mergeCell ref="A32:B32"/>
    <mergeCell ref="H34:J34"/>
    <mergeCell ref="A28:B28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M41"/>
  <sheetViews>
    <sheetView view="pageBreakPreview" topLeftCell="A19" zoomScaleNormal="100" zoomScaleSheetLayoutView="100" workbookViewId="0">
      <selection activeCell="A33" sqref="A33:J37"/>
    </sheetView>
  </sheetViews>
  <sheetFormatPr defaultColWidth="8.88671875" defaultRowHeight="13.8" x14ac:dyDescent="0.25"/>
  <cols>
    <col min="1" max="1" width="4.109375" style="564" customWidth="1"/>
    <col min="2" max="2" width="24.6640625" style="564" customWidth="1"/>
    <col min="3" max="3" width="9.5546875" style="564" customWidth="1"/>
    <col min="4" max="7" width="7.5546875" style="564" customWidth="1"/>
    <col min="8" max="8" width="7.44140625" style="564" customWidth="1"/>
    <col min="9" max="9" width="6.88671875" style="564" customWidth="1"/>
    <col min="10" max="10" width="8.6640625" style="564" customWidth="1"/>
    <col min="11" max="11" width="4.33203125" style="564" customWidth="1"/>
    <col min="12" max="16384" width="8.88671875" style="564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31)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568"/>
      <c r="I6" s="568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45</v>
      </c>
    </row>
    <row r="8" spans="1:10" s="2" customFormat="1" ht="9.6" customHeight="1" x14ac:dyDescent="0.25">
      <c r="A8" s="569"/>
      <c r="B8" s="569"/>
      <c r="C8" s="569"/>
      <c r="D8" s="569"/>
      <c r="E8" s="569"/>
      <c r="F8" s="569"/>
      <c r="G8" s="569"/>
      <c r="H8" s="569"/>
      <c r="I8" s="569"/>
      <c r="J8" s="109"/>
    </row>
    <row r="9" spans="1:10" s="2" customFormat="1" ht="26.1" customHeight="1" x14ac:dyDescent="0.3">
      <c r="A9" s="1550" t="s">
        <v>835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'45-салат из капусты'!H14+1</f>
        <v>31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42" customHeight="1" x14ac:dyDescent="0.25">
      <c r="A17" s="1543"/>
      <c r="B17" s="1543"/>
      <c r="C17" s="565" t="s">
        <v>92</v>
      </c>
      <c r="D17" s="565" t="s">
        <v>94</v>
      </c>
      <c r="E17" s="565" t="s">
        <v>93</v>
      </c>
      <c r="F17" s="565" t="s">
        <v>23</v>
      </c>
      <c r="G17" s="565" t="s">
        <v>92</v>
      </c>
      <c r="H17" s="565" t="s">
        <v>94</v>
      </c>
      <c r="I17" s="565" t="s">
        <v>92</v>
      </c>
      <c r="J17" s="565" t="s">
        <v>94</v>
      </c>
    </row>
    <row r="18" spans="1:13" ht="15" customHeight="1" x14ac:dyDescent="0.25">
      <c r="A18" s="565">
        <v>1</v>
      </c>
      <c r="B18" s="567">
        <v>2</v>
      </c>
      <c r="C18" s="565">
        <v>3</v>
      </c>
      <c r="D18" s="567">
        <v>4</v>
      </c>
      <c r="E18" s="565">
        <v>5</v>
      </c>
      <c r="F18" s="567">
        <v>6</v>
      </c>
      <c r="G18" s="565">
        <v>7</v>
      </c>
      <c r="H18" s="567">
        <v>8</v>
      </c>
      <c r="I18" s="565">
        <v>9</v>
      </c>
      <c r="J18" s="567">
        <v>10</v>
      </c>
    </row>
    <row r="19" spans="1:13" s="10" customFormat="1" ht="13.95" customHeight="1" x14ac:dyDescent="0.25">
      <c r="A19" s="180">
        <v>1</v>
      </c>
      <c r="B19" s="20" t="s">
        <v>836</v>
      </c>
      <c r="C19" s="21">
        <v>0.98599999999999999</v>
      </c>
      <c r="D19" s="21">
        <v>0.78900000000000003</v>
      </c>
      <c r="E19" s="408">
        <f>цены!F34</f>
        <v>20</v>
      </c>
      <c r="F19" s="408">
        <f t="shared" ref="F19:F26" si="0">C19*E19</f>
        <v>19.72</v>
      </c>
      <c r="G19" s="97">
        <f t="shared" ref="G19:H26" si="1">C19*10</f>
        <v>9.86</v>
      </c>
      <c r="H19" s="21">
        <f t="shared" si="1"/>
        <v>7.89</v>
      </c>
      <c r="I19" s="21">
        <f t="shared" ref="I19:J26" si="2">C19*100</f>
        <v>98.6</v>
      </c>
      <c r="J19" s="21">
        <f t="shared" si="2"/>
        <v>78.900000000000006</v>
      </c>
      <c r="L19" s="1015">
        <f>C19/C$31</f>
        <v>5.9148170365926803E-2</v>
      </c>
      <c r="M19" s="1015">
        <f>F19/C$31</f>
        <v>1.18296340731854</v>
      </c>
    </row>
    <row r="20" spans="1:13" s="10" customFormat="1" ht="13.95" customHeight="1" x14ac:dyDescent="0.25">
      <c r="A20" s="379"/>
      <c r="B20" s="93" t="s">
        <v>612</v>
      </c>
      <c r="C20" s="100"/>
      <c r="D20" s="100">
        <v>0.71</v>
      </c>
      <c r="E20" s="95"/>
      <c r="F20" s="95"/>
      <c r="G20" s="99">
        <f t="shared" si="1"/>
        <v>0</v>
      </c>
      <c r="H20" s="100">
        <f t="shared" si="1"/>
        <v>7.1</v>
      </c>
      <c r="I20" s="100">
        <f t="shared" si="2"/>
        <v>0</v>
      </c>
      <c r="J20" s="100">
        <f t="shared" si="2"/>
        <v>71</v>
      </c>
      <c r="L20" s="1015">
        <f t="shared" ref="L20:L26" si="3">C20/C$31</f>
        <v>0</v>
      </c>
      <c r="M20" s="1015">
        <f t="shared" ref="M20:M26" si="4">F20/C$31</f>
        <v>0</v>
      </c>
    </row>
    <row r="21" spans="1:13" s="10" customFormat="1" ht="13.95" customHeight="1" x14ac:dyDescent="0.25">
      <c r="A21" s="180">
        <v>2</v>
      </c>
      <c r="B21" s="20" t="s">
        <v>837</v>
      </c>
      <c r="C21" s="21">
        <v>0.41699999999999998</v>
      </c>
      <c r="D21" s="21">
        <v>0.25</v>
      </c>
      <c r="E21" s="408">
        <f>цены!F45</f>
        <v>35</v>
      </c>
      <c r="F21" s="408">
        <f t="shared" si="0"/>
        <v>14.6</v>
      </c>
      <c r="G21" s="97">
        <f t="shared" si="1"/>
        <v>4.17</v>
      </c>
      <c r="H21" s="21">
        <f t="shared" si="1"/>
        <v>2.5</v>
      </c>
      <c r="I21" s="21">
        <f t="shared" si="2"/>
        <v>41.7</v>
      </c>
      <c r="J21" s="21">
        <f t="shared" si="2"/>
        <v>25</v>
      </c>
      <c r="L21" s="1015">
        <f t="shared" si="3"/>
        <v>2.5014997000599899E-2</v>
      </c>
      <c r="M21" s="1015">
        <f t="shared" si="4"/>
        <v>0.87582483503299302</v>
      </c>
    </row>
    <row r="22" spans="1:13" s="10" customFormat="1" ht="13.95" customHeight="1" x14ac:dyDescent="0.25">
      <c r="A22" s="299">
        <v>3</v>
      </c>
      <c r="B22" s="20" t="s">
        <v>135</v>
      </c>
      <c r="C22" s="21">
        <v>3.0000000000000001E-3</v>
      </c>
      <c r="D22" s="21">
        <v>3.0000000000000001E-3</v>
      </c>
      <c r="E22" s="408">
        <f>цены!F98</f>
        <v>290</v>
      </c>
      <c r="F22" s="408">
        <f t="shared" si="0"/>
        <v>0.87</v>
      </c>
      <c r="G22" s="97">
        <f t="shared" si="1"/>
        <v>0.03</v>
      </c>
      <c r="H22" s="21">
        <f t="shared" si="1"/>
        <v>0.03</v>
      </c>
      <c r="I22" s="21">
        <f t="shared" si="2"/>
        <v>0.3</v>
      </c>
      <c r="J22" s="21">
        <f t="shared" si="2"/>
        <v>0.3</v>
      </c>
      <c r="L22" s="1015">
        <f t="shared" si="3"/>
        <v>1.7996400719856001E-4</v>
      </c>
      <c r="M22" s="1015">
        <f t="shared" si="4"/>
        <v>5.2189562087582499E-2</v>
      </c>
    </row>
    <row r="23" spans="1:13" s="10" customFormat="1" ht="13.95" customHeight="1" x14ac:dyDescent="0.25">
      <c r="A23" s="180">
        <v>5</v>
      </c>
      <c r="B23" s="20" t="s">
        <v>613</v>
      </c>
      <c r="C23" s="21">
        <v>9.7000000000000003E-2</v>
      </c>
      <c r="D23" s="21">
        <v>9.7000000000000003E-2</v>
      </c>
      <c r="E23" s="408"/>
      <c r="F23" s="408">
        <f t="shared" si="0"/>
        <v>0</v>
      </c>
      <c r="G23" s="97">
        <f t="shared" si="1"/>
        <v>0.97</v>
      </c>
      <c r="H23" s="21">
        <f t="shared" si="1"/>
        <v>0.97</v>
      </c>
      <c r="I23" s="21">
        <f t="shared" si="2"/>
        <v>9.6999999999999993</v>
      </c>
      <c r="J23" s="21">
        <f t="shared" si="2"/>
        <v>9.6999999999999993</v>
      </c>
      <c r="L23" s="1015">
        <f t="shared" si="3"/>
        <v>5.8188362327534502E-3</v>
      </c>
      <c r="M23" s="1015">
        <f t="shared" si="4"/>
        <v>0</v>
      </c>
    </row>
    <row r="24" spans="1:13" s="10" customFormat="1" ht="13.95" customHeight="1" x14ac:dyDescent="0.25">
      <c r="A24" s="299">
        <v>6</v>
      </c>
      <c r="B24" s="20" t="s">
        <v>30</v>
      </c>
      <c r="C24" s="21">
        <v>0.05</v>
      </c>
      <c r="D24" s="21">
        <v>0.05</v>
      </c>
      <c r="E24" s="408">
        <f>цены!F107</f>
        <v>76</v>
      </c>
      <c r="F24" s="408">
        <f t="shared" si="0"/>
        <v>3.8</v>
      </c>
      <c r="G24" s="97">
        <f t="shared" si="1"/>
        <v>0.5</v>
      </c>
      <c r="H24" s="21">
        <f t="shared" si="1"/>
        <v>0.5</v>
      </c>
      <c r="I24" s="21">
        <f t="shared" si="2"/>
        <v>5</v>
      </c>
      <c r="J24" s="21">
        <f t="shared" si="2"/>
        <v>5</v>
      </c>
      <c r="L24" s="1015">
        <f t="shared" si="3"/>
        <v>2.9994001199760002E-3</v>
      </c>
      <c r="M24" s="1015">
        <f t="shared" si="4"/>
        <v>0.22795440911817599</v>
      </c>
    </row>
    <row r="25" spans="1:13" s="10" customFormat="1" ht="13.95" customHeight="1" x14ac:dyDescent="0.25">
      <c r="A25" s="180">
        <v>7</v>
      </c>
      <c r="B25" s="20" t="s">
        <v>74</v>
      </c>
      <c r="C25" s="21">
        <v>0.05</v>
      </c>
      <c r="D25" s="21">
        <v>0.05</v>
      </c>
      <c r="E25" s="408">
        <f>цены!F87</f>
        <v>120</v>
      </c>
      <c r="F25" s="408">
        <f t="shared" si="0"/>
        <v>6</v>
      </c>
      <c r="G25" s="97">
        <f t="shared" si="1"/>
        <v>0.5</v>
      </c>
      <c r="H25" s="21">
        <f t="shared" si="1"/>
        <v>0.5</v>
      </c>
      <c r="I25" s="21">
        <f t="shared" si="2"/>
        <v>5</v>
      </c>
      <c r="J25" s="21">
        <f t="shared" si="2"/>
        <v>5</v>
      </c>
      <c r="L25" s="1015">
        <f t="shared" si="3"/>
        <v>2.9994001199760002E-3</v>
      </c>
      <c r="M25" s="1015">
        <f t="shared" si="4"/>
        <v>0.35992801439712102</v>
      </c>
    </row>
    <row r="26" spans="1:13" s="10" customFormat="1" ht="13.95" customHeight="1" x14ac:dyDescent="0.25">
      <c r="A26" s="299">
        <v>8</v>
      </c>
      <c r="B26" s="20" t="s">
        <v>75</v>
      </c>
      <c r="C26" s="21">
        <f>0.015/1*D19</f>
        <v>1.2E-2</v>
      </c>
      <c r="D26" s="21">
        <f>C26</f>
        <v>1.2E-2</v>
      </c>
      <c r="E26" s="408">
        <f>цены!F110</f>
        <v>24</v>
      </c>
      <c r="F26" s="408">
        <f t="shared" si="0"/>
        <v>0.28999999999999998</v>
      </c>
      <c r="G26" s="97">
        <f t="shared" si="1"/>
        <v>0.12</v>
      </c>
      <c r="H26" s="21">
        <f t="shared" si="1"/>
        <v>0.12</v>
      </c>
      <c r="I26" s="21">
        <f t="shared" si="2"/>
        <v>1.2</v>
      </c>
      <c r="J26" s="21">
        <f t="shared" si="2"/>
        <v>1.2</v>
      </c>
      <c r="L26" s="1015">
        <f t="shared" si="3"/>
        <v>7.1985602879424103E-4</v>
      </c>
      <c r="M26" s="1015">
        <f t="shared" si="4"/>
        <v>1.7396520695860802E-2</v>
      </c>
    </row>
    <row r="27" spans="1:13" s="10" customFormat="1" ht="15" customHeight="1" x14ac:dyDescent="0.25">
      <c r="A27" s="98"/>
      <c r="B27" s="93" t="s">
        <v>100</v>
      </c>
      <c r="C27" s="100"/>
      <c r="D27" s="100">
        <v>1</v>
      </c>
      <c r="E27" s="95"/>
      <c r="F27" s="95">
        <f>SUM(F19:F26)</f>
        <v>45.28</v>
      </c>
      <c r="G27" s="99"/>
      <c r="H27" s="100">
        <f>D27*10</f>
        <v>10</v>
      </c>
      <c r="I27" s="100"/>
      <c r="J27" s="100">
        <f>D27*100</f>
        <v>100</v>
      </c>
      <c r="L27" s="1015">
        <f>SUM(L19:L26)</f>
        <v>9.6880623875225003E-2</v>
      </c>
      <c r="M27" s="1015">
        <f>SUM(M19:M26)</f>
        <v>2.7162567486502698</v>
      </c>
    </row>
    <row r="28" spans="1:13" s="10" customFormat="1" ht="27.6" customHeight="1" x14ac:dyDescent="0.25">
      <c r="A28" s="1536" t="s">
        <v>35</v>
      </c>
      <c r="B28" s="1536"/>
      <c r="C28" s="90"/>
      <c r="D28" s="90"/>
      <c r="E28" s="408"/>
      <c r="F28" s="408">
        <f>F27</f>
        <v>45.28</v>
      </c>
      <c r="G28" s="566"/>
      <c r="H28" s="566"/>
      <c r="I28" s="21"/>
      <c r="J28" s="408"/>
    </row>
    <row r="29" spans="1:13" s="10" customFormat="1" ht="25.35" customHeight="1" x14ac:dyDescent="0.25">
      <c r="A29" s="1536" t="s">
        <v>36</v>
      </c>
      <c r="B29" s="1536"/>
      <c r="C29" s="90">
        <v>1000</v>
      </c>
      <c r="D29" s="90"/>
      <c r="E29" s="408"/>
      <c r="F29" s="408"/>
      <c r="G29" s="408"/>
      <c r="H29" s="408"/>
      <c r="I29" s="21"/>
      <c r="J29" s="17"/>
    </row>
    <row r="30" spans="1:13" s="10" customFormat="1" ht="25.35" customHeight="1" x14ac:dyDescent="0.25">
      <c r="A30" s="1537" t="s">
        <v>37</v>
      </c>
      <c r="B30" s="1538"/>
      <c r="C30" s="91">
        <v>60</v>
      </c>
      <c r="D30" s="92"/>
      <c r="E30" s="567"/>
      <c r="F30" s="567"/>
      <c r="G30" s="567"/>
      <c r="H30" s="567"/>
      <c r="I30" s="21"/>
      <c r="J30" s="17"/>
    </row>
    <row r="31" spans="1:13" s="10" customFormat="1" ht="15" customHeight="1" x14ac:dyDescent="0.25">
      <c r="A31" s="1539" t="s">
        <v>38</v>
      </c>
      <c r="B31" s="1540"/>
      <c r="C31" s="249">
        <f>C29/C30</f>
        <v>16.670000000000002</v>
      </c>
      <c r="D31" s="92"/>
      <c r="E31" s="567"/>
      <c r="F31" s="567"/>
      <c r="G31" s="567"/>
      <c r="H31" s="567"/>
      <c r="I31" s="21"/>
      <c r="J31" s="17"/>
    </row>
    <row r="32" spans="1:13" ht="16.350000000000001" customHeight="1" x14ac:dyDescent="0.25">
      <c r="A32" s="1541" t="s">
        <v>39</v>
      </c>
      <c r="B32" s="1542"/>
      <c r="C32" s="15" t="s">
        <v>40</v>
      </c>
      <c r="D32" s="102"/>
      <c r="E32" s="102" t="s">
        <v>40</v>
      </c>
      <c r="F32" s="16">
        <f>F28/C31</f>
        <v>2.72</v>
      </c>
      <c r="G32" s="16"/>
      <c r="H32" s="16"/>
      <c r="I32" s="102" t="s">
        <v>40</v>
      </c>
      <c r="J32" s="102" t="s">
        <v>40</v>
      </c>
    </row>
    <row r="33" spans="1:10" ht="23.1" customHeight="1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193"/>
      <c r="B34" s="1194" t="s">
        <v>49</v>
      </c>
      <c r="C34" s="1198"/>
      <c r="D34" s="1198"/>
      <c r="E34" s="1198"/>
      <c r="F34" s="1198"/>
      <c r="G34" s="1193"/>
      <c r="H34" s="1557">
        <f>'1-бутерброд с маслом'!$H$28</f>
        <v>0</v>
      </c>
      <c r="I34" s="1557"/>
      <c r="J34" s="1557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545" t="s">
        <v>327</v>
      </c>
      <c r="B36" s="1545"/>
      <c r="C36" s="1546" t="s">
        <v>328</v>
      </c>
      <c r="D36" s="1546"/>
      <c r="E36" s="1546"/>
      <c r="F36" s="1546"/>
      <c r="G36" s="106"/>
      <c r="H36" s="1531"/>
      <c r="I36" s="1531"/>
      <c r="J36" s="1531"/>
    </row>
    <row r="37" spans="1:10" x14ac:dyDescent="0.25">
      <c r="A37" s="1193"/>
      <c r="B37" s="1193"/>
      <c r="C37" s="1546"/>
      <c r="D37" s="1546"/>
      <c r="E37" s="1546"/>
      <c r="F37" s="1546"/>
      <c r="G37" s="1193"/>
      <c r="H37" s="1531" t="s">
        <v>329</v>
      </c>
      <c r="I37" s="1531"/>
      <c r="J37" s="1531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</sheetData>
  <mergeCells count="28">
    <mergeCell ref="H34:J34"/>
    <mergeCell ref="A13:G13"/>
    <mergeCell ref="A29:B29"/>
    <mergeCell ref="A30:B30"/>
    <mergeCell ref="A31:B31"/>
    <mergeCell ref="A32:B32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6:B36"/>
    <mergeCell ref="C36:F37"/>
    <mergeCell ref="H36:J36"/>
    <mergeCell ref="H37:J37"/>
    <mergeCell ref="H5:I5"/>
    <mergeCell ref="A6:G6"/>
    <mergeCell ref="A7:I7"/>
    <mergeCell ref="A28:B28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M40"/>
  <sheetViews>
    <sheetView view="pageBreakPreview" topLeftCell="A20" zoomScaleNormal="100" zoomScaleSheetLayoutView="100" workbookViewId="0">
      <selection activeCell="A32" sqref="A32:J36"/>
    </sheetView>
  </sheetViews>
  <sheetFormatPr defaultRowHeight="13.8" x14ac:dyDescent="0.25"/>
  <cols>
    <col min="1" max="1" width="4.109375" customWidth="1"/>
    <col min="2" max="2" width="24.6640625" customWidth="1"/>
    <col min="3" max="3" width="7.88671875" customWidth="1"/>
    <col min="4" max="7" width="7.5546875" customWidth="1"/>
    <col min="8" max="8" width="7.44140625" customWidth="1"/>
    <col min="9" max="9" width="6.88671875" customWidth="1"/>
    <col min="10" max="10" width="7.6640625" customWidth="1"/>
    <col min="11" max="11" width="3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32)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367"/>
      <c r="I6" s="367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48</v>
      </c>
    </row>
    <row r="8" spans="1:10" s="2" customFormat="1" ht="9.6" customHeight="1" x14ac:dyDescent="0.25">
      <c r="A8" s="368"/>
      <c r="B8" s="368"/>
      <c r="C8" s="368"/>
      <c r="D8" s="368"/>
      <c r="E8" s="368"/>
      <c r="F8" s="368"/>
      <c r="G8" s="368"/>
      <c r="H8" s="368"/>
      <c r="I8" s="368"/>
      <c r="J8" s="109"/>
    </row>
    <row r="9" spans="1:10" s="2" customFormat="1" ht="26.1" customHeight="1" x14ac:dyDescent="0.3">
      <c r="A9" s="1550" t="s">
        <v>614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'45-салат из капусты новой 30'!H14+1</f>
        <v>32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369" t="s">
        <v>92</v>
      </c>
      <c r="D17" s="369" t="s">
        <v>94</v>
      </c>
      <c r="E17" s="369" t="s">
        <v>93</v>
      </c>
      <c r="F17" s="369" t="s">
        <v>23</v>
      </c>
      <c r="G17" s="369" t="s">
        <v>92</v>
      </c>
      <c r="H17" s="369" t="s">
        <v>94</v>
      </c>
      <c r="I17" s="369" t="s">
        <v>92</v>
      </c>
      <c r="J17" s="369" t="s">
        <v>94</v>
      </c>
    </row>
    <row r="18" spans="1:13" ht="9.6" customHeight="1" x14ac:dyDescent="0.25">
      <c r="A18" s="369">
        <v>1</v>
      </c>
      <c r="B18" s="370">
        <v>2</v>
      </c>
      <c r="C18" s="369">
        <v>3</v>
      </c>
      <c r="D18" s="370">
        <v>4</v>
      </c>
      <c r="E18" s="369">
        <v>5</v>
      </c>
      <c r="F18" s="370">
        <v>6</v>
      </c>
      <c r="G18" s="369">
        <v>7</v>
      </c>
      <c r="H18" s="370">
        <v>8</v>
      </c>
      <c r="I18" s="369">
        <v>9</v>
      </c>
      <c r="J18" s="370">
        <v>10</v>
      </c>
    </row>
    <row r="19" spans="1:13" s="10" customFormat="1" ht="13.95" customHeight="1" x14ac:dyDescent="0.25">
      <c r="A19" s="180">
        <v>1</v>
      </c>
      <c r="B19" s="20" t="s">
        <v>60</v>
      </c>
      <c r="C19" s="21">
        <v>0.34300000000000003</v>
      </c>
      <c r="D19" s="21">
        <v>0.24</v>
      </c>
      <c r="E19" s="13">
        <f>цены!F71</f>
        <v>91</v>
      </c>
      <c r="F19" s="13">
        <f t="shared" ref="F19:F25" si="0">C19*E19</f>
        <v>31.21</v>
      </c>
      <c r="G19" s="97">
        <f t="shared" ref="G19:H25" si="1">C19*10</f>
        <v>3.43</v>
      </c>
      <c r="H19" s="21">
        <f t="shared" si="1"/>
        <v>2.4</v>
      </c>
      <c r="I19" s="21">
        <f t="shared" ref="I19:J25" si="2">C19*100</f>
        <v>34.299999999999997</v>
      </c>
      <c r="J19" s="21">
        <f t="shared" si="2"/>
        <v>24</v>
      </c>
      <c r="L19" s="1015">
        <f>C19/C$30</f>
        <v>2.0575884823035399E-2</v>
      </c>
      <c r="M19" s="1015">
        <f>F19/C$30</f>
        <v>1.8722255548890201</v>
      </c>
    </row>
    <row r="20" spans="1:13" s="10" customFormat="1" ht="13.95" customHeight="1" x14ac:dyDescent="0.25">
      <c r="A20" s="180">
        <v>2</v>
      </c>
      <c r="B20" s="20" t="s">
        <v>376</v>
      </c>
      <c r="C20" s="21">
        <v>0.29399999999999998</v>
      </c>
      <c r="D20" s="21">
        <v>0.25</v>
      </c>
      <c r="E20" s="13">
        <f>цены!F41</f>
        <v>106</v>
      </c>
      <c r="F20" s="13">
        <f t="shared" si="0"/>
        <v>31.16</v>
      </c>
      <c r="G20" s="97">
        <f t="shared" si="1"/>
        <v>2.94</v>
      </c>
      <c r="H20" s="21">
        <f t="shared" si="1"/>
        <v>2.5</v>
      </c>
      <c r="I20" s="21">
        <f t="shared" si="2"/>
        <v>29.4</v>
      </c>
      <c r="J20" s="21">
        <f t="shared" si="2"/>
        <v>25</v>
      </c>
      <c r="L20" s="1015">
        <f t="shared" ref="L20:L25" si="3">C20/C$30</f>
        <v>1.76364727054589E-2</v>
      </c>
      <c r="M20" s="1015">
        <f t="shared" ref="M20:M25" si="4">F20/C$30</f>
        <v>1.8692261547690501</v>
      </c>
    </row>
    <row r="21" spans="1:13" s="10" customFormat="1" ht="13.95" customHeight="1" x14ac:dyDescent="0.25">
      <c r="A21" s="180">
        <v>3</v>
      </c>
      <c r="B21" s="20" t="s">
        <v>514</v>
      </c>
      <c r="C21" s="21">
        <v>0.312</v>
      </c>
      <c r="D21" s="21">
        <v>0.25</v>
      </c>
      <c r="E21" s="13">
        <f>цены!F42</f>
        <v>60</v>
      </c>
      <c r="F21" s="13">
        <f t="shared" si="0"/>
        <v>18.72</v>
      </c>
      <c r="G21" s="97">
        <f t="shared" si="1"/>
        <v>3.12</v>
      </c>
      <c r="H21" s="21">
        <f t="shared" si="1"/>
        <v>2.5</v>
      </c>
      <c r="I21" s="21">
        <f t="shared" si="2"/>
        <v>31.2</v>
      </c>
      <c r="J21" s="21">
        <f t="shared" si="2"/>
        <v>25</v>
      </c>
      <c r="L21" s="1015">
        <f t="shared" si="3"/>
        <v>1.8716256748650299E-2</v>
      </c>
      <c r="M21" s="1015">
        <f t="shared" si="4"/>
        <v>1.1229754049190199</v>
      </c>
    </row>
    <row r="22" spans="1:13" s="10" customFormat="1" ht="13.95" customHeight="1" x14ac:dyDescent="0.25">
      <c r="A22" s="180">
        <v>4</v>
      </c>
      <c r="B22" s="20" t="s">
        <v>47</v>
      </c>
      <c r="C22" s="21">
        <v>0.25</v>
      </c>
      <c r="D22" s="21">
        <v>0.2</v>
      </c>
      <c r="E22" s="13">
        <f>цены!F44</f>
        <v>50</v>
      </c>
      <c r="F22" s="13">
        <f t="shared" si="0"/>
        <v>12.5</v>
      </c>
      <c r="G22" s="97">
        <f t="shared" si="1"/>
        <v>2.5</v>
      </c>
      <c r="H22" s="21">
        <f t="shared" si="1"/>
        <v>2</v>
      </c>
      <c r="I22" s="21">
        <f t="shared" si="2"/>
        <v>25</v>
      </c>
      <c r="J22" s="21">
        <f t="shared" si="2"/>
        <v>20</v>
      </c>
      <c r="L22" s="1015">
        <f t="shared" si="3"/>
        <v>1.499700059988E-2</v>
      </c>
      <c r="M22" s="1015">
        <f t="shared" si="4"/>
        <v>0.74985002999400097</v>
      </c>
    </row>
    <row r="23" spans="1:13" s="10" customFormat="1" ht="13.95" customHeight="1" x14ac:dyDescent="0.25">
      <c r="A23" s="180">
        <v>5</v>
      </c>
      <c r="B23" s="20" t="s">
        <v>615</v>
      </c>
      <c r="C23" s="21">
        <v>2.4E-2</v>
      </c>
      <c r="D23" s="21">
        <v>0.01</v>
      </c>
      <c r="E23" s="13">
        <f>цены!F37</f>
        <v>180</v>
      </c>
      <c r="F23" s="13">
        <f t="shared" si="0"/>
        <v>4.32</v>
      </c>
      <c r="G23" s="97">
        <f t="shared" si="1"/>
        <v>0.24</v>
      </c>
      <c r="H23" s="21">
        <f t="shared" si="1"/>
        <v>0.1</v>
      </c>
      <c r="I23" s="21">
        <f t="shared" si="2"/>
        <v>2.4</v>
      </c>
      <c r="J23" s="21">
        <f t="shared" si="2"/>
        <v>1</v>
      </c>
      <c r="L23" s="1015">
        <f t="shared" si="3"/>
        <v>1.4397120575884801E-3</v>
      </c>
      <c r="M23" s="1015">
        <f t="shared" si="4"/>
        <v>0.25914817036592702</v>
      </c>
    </row>
    <row r="24" spans="1:13" s="10" customFormat="1" ht="13.95" customHeight="1" x14ac:dyDescent="0.25">
      <c r="A24" s="180">
        <v>6</v>
      </c>
      <c r="B24" s="20" t="s">
        <v>74</v>
      </c>
      <c r="C24" s="21">
        <v>0.06</v>
      </c>
      <c r="D24" s="21">
        <v>0.06</v>
      </c>
      <c r="E24" s="13">
        <f>цены!F87</f>
        <v>120</v>
      </c>
      <c r="F24" s="13">
        <f t="shared" si="0"/>
        <v>7.2</v>
      </c>
      <c r="G24" s="97">
        <f t="shared" si="1"/>
        <v>0.6</v>
      </c>
      <c r="H24" s="21">
        <f t="shared" si="1"/>
        <v>0.6</v>
      </c>
      <c r="I24" s="21">
        <f t="shared" si="2"/>
        <v>6</v>
      </c>
      <c r="J24" s="21">
        <f t="shared" si="2"/>
        <v>6</v>
      </c>
      <c r="L24" s="1015">
        <f t="shared" si="3"/>
        <v>3.5992801439712098E-3</v>
      </c>
      <c r="M24" s="1015">
        <f t="shared" si="4"/>
        <v>0.43191361727654498</v>
      </c>
    </row>
    <row r="25" spans="1:13" s="10" customFormat="1" ht="13.95" customHeight="1" x14ac:dyDescent="0.25">
      <c r="A25" s="180">
        <v>7</v>
      </c>
      <c r="B25" s="20" t="s">
        <v>75</v>
      </c>
      <c r="C25" s="21">
        <f>0.002*C30</f>
        <v>3.3000000000000002E-2</v>
      </c>
      <c r="D25" s="21">
        <f>C25</f>
        <v>3.3000000000000002E-2</v>
      </c>
      <c r="E25" s="13">
        <f>цены!F110</f>
        <v>24</v>
      </c>
      <c r="F25" s="13">
        <f t="shared" si="0"/>
        <v>0.79</v>
      </c>
      <c r="G25" s="97">
        <f t="shared" si="1"/>
        <v>0.33</v>
      </c>
      <c r="H25" s="21">
        <f t="shared" si="1"/>
        <v>0.33</v>
      </c>
      <c r="I25" s="21">
        <f t="shared" si="2"/>
        <v>3.3</v>
      </c>
      <c r="J25" s="21">
        <f t="shared" si="2"/>
        <v>3.3</v>
      </c>
      <c r="L25" s="1015">
        <f t="shared" si="3"/>
        <v>1.9796040791841599E-3</v>
      </c>
      <c r="M25" s="1015">
        <f t="shared" si="4"/>
        <v>4.7390521895620902E-2</v>
      </c>
    </row>
    <row r="26" spans="1:13" s="10" customFormat="1" ht="15" customHeight="1" x14ac:dyDescent="0.25">
      <c r="A26" s="98"/>
      <c r="B26" s="93" t="s">
        <v>100</v>
      </c>
      <c r="C26" s="100"/>
      <c r="D26" s="100">
        <v>1</v>
      </c>
      <c r="E26" s="95"/>
      <c r="F26" s="95">
        <f>SUM(F19:F25)</f>
        <v>105.9</v>
      </c>
      <c r="G26" s="99"/>
      <c r="H26" s="100">
        <f>D26*10</f>
        <v>10</v>
      </c>
      <c r="I26" s="100"/>
      <c r="J26" s="100">
        <f>D26*100</f>
        <v>100</v>
      </c>
      <c r="L26" s="1015">
        <f>SUM(L19:L25)</f>
        <v>7.8944211157768507E-2</v>
      </c>
      <c r="M26" s="1015">
        <f>SUM(M19:M25)</f>
        <v>6.3527294541091797</v>
      </c>
    </row>
    <row r="27" spans="1:13" s="10" customFormat="1" ht="27.6" customHeight="1" x14ac:dyDescent="0.25">
      <c r="A27" s="1536" t="s">
        <v>35</v>
      </c>
      <c r="B27" s="1536"/>
      <c r="C27" s="90"/>
      <c r="D27" s="90"/>
      <c r="E27" s="13"/>
      <c r="F27" s="13">
        <f>F26</f>
        <v>105.9</v>
      </c>
      <c r="G27" s="371"/>
      <c r="H27" s="371"/>
      <c r="I27" s="21"/>
      <c r="J27" s="13"/>
    </row>
    <row r="28" spans="1:13" s="10" customFormat="1" ht="25.35" customHeight="1" x14ac:dyDescent="0.25">
      <c r="A28" s="1536" t="s">
        <v>36</v>
      </c>
      <c r="B28" s="1536"/>
      <c r="C28" s="90">
        <v>1000</v>
      </c>
      <c r="D28" s="90"/>
      <c r="E28" s="13"/>
      <c r="F28" s="13"/>
      <c r="G28" s="13"/>
      <c r="H28" s="13"/>
      <c r="I28" s="21"/>
      <c r="J28" s="17"/>
    </row>
    <row r="29" spans="1:13" s="10" customFormat="1" ht="25.35" customHeight="1" x14ac:dyDescent="0.25">
      <c r="A29" s="1537" t="s">
        <v>37</v>
      </c>
      <c r="B29" s="1538"/>
      <c r="C29" s="91">
        <v>60</v>
      </c>
      <c r="D29" s="92"/>
      <c r="E29" s="370"/>
      <c r="F29" s="370"/>
      <c r="G29" s="370"/>
      <c r="H29" s="370"/>
      <c r="I29" s="21"/>
      <c r="J29" s="17"/>
    </row>
    <row r="30" spans="1:13" s="10" customFormat="1" ht="15" customHeight="1" x14ac:dyDescent="0.25">
      <c r="A30" s="1539" t="s">
        <v>38</v>
      </c>
      <c r="B30" s="1540"/>
      <c r="C30" s="249">
        <f>C28/C29</f>
        <v>16.670000000000002</v>
      </c>
      <c r="D30" s="92"/>
      <c r="E30" s="370"/>
      <c r="F30" s="370"/>
      <c r="G30" s="370"/>
      <c r="H30" s="370"/>
      <c r="I30" s="21"/>
      <c r="J30" s="17"/>
    </row>
    <row r="31" spans="1:13" ht="16.350000000000001" customHeight="1" x14ac:dyDescent="0.25">
      <c r="A31" s="1541" t="s">
        <v>39</v>
      </c>
      <c r="B31" s="1542"/>
      <c r="C31" s="15" t="s">
        <v>40</v>
      </c>
      <c r="D31" s="102"/>
      <c r="E31" s="102" t="s">
        <v>40</v>
      </c>
      <c r="F31" s="16">
        <f>F27/C30</f>
        <v>6.35</v>
      </c>
      <c r="G31" s="16"/>
      <c r="H31" s="16"/>
      <c r="I31" s="102" t="s">
        <v>40</v>
      </c>
      <c r="J31" s="102" t="s">
        <v>40</v>
      </c>
    </row>
    <row r="32" spans="1:13" ht="23.1" customHeight="1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193"/>
      <c r="B33" s="1194" t="s">
        <v>49</v>
      </c>
      <c r="C33" s="1198"/>
      <c r="D33" s="1198"/>
      <c r="E33" s="1198"/>
      <c r="F33" s="1198"/>
      <c r="G33" s="1193"/>
      <c r="H33" s="1557">
        <f>'1-бутерброд с маслом'!$H$28</f>
        <v>0</v>
      </c>
      <c r="I33" s="1557"/>
      <c r="J33" s="1557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545" t="s">
        <v>327</v>
      </c>
      <c r="B35" s="1545"/>
      <c r="C35" s="1546" t="s">
        <v>328</v>
      </c>
      <c r="D35" s="1546"/>
      <c r="E35" s="1546"/>
      <c r="F35" s="1546"/>
      <c r="G35" s="106"/>
      <c r="H35" s="1531"/>
      <c r="I35" s="1531"/>
      <c r="J35" s="1531"/>
    </row>
    <row r="36" spans="1:10" x14ac:dyDescent="0.25">
      <c r="A36" s="1193"/>
      <c r="B36" s="1193"/>
      <c r="C36" s="1546"/>
      <c r="D36" s="1546"/>
      <c r="E36" s="1546"/>
      <c r="F36" s="1546"/>
      <c r="G36" s="1193"/>
      <c r="H36" s="1531" t="s">
        <v>329</v>
      </c>
      <c r="I36" s="1531"/>
      <c r="J36" s="1531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5:B35"/>
    <mergeCell ref="C35:F36"/>
    <mergeCell ref="H35:J35"/>
    <mergeCell ref="H36:J36"/>
    <mergeCell ref="A28:B28"/>
    <mergeCell ref="A29:B29"/>
    <mergeCell ref="A30:B30"/>
    <mergeCell ref="A31:B31"/>
    <mergeCell ref="H33:J33"/>
    <mergeCell ref="A27:B27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M36"/>
  <sheetViews>
    <sheetView view="pageBreakPreview" topLeftCell="A21" zoomScaleNormal="100" zoomScaleSheetLayoutView="100" workbookViewId="0">
      <selection activeCell="A28" sqref="A28:J32"/>
    </sheetView>
  </sheetViews>
  <sheetFormatPr defaultRowHeight="13.8" x14ac:dyDescent="0.25"/>
  <cols>
    <col min="1" max="1" width="4.109375" customWidth="1"/>
    <col min="2" max="2" width="24.6640625" customWidth="1"/>
    <col min="3" max="3" width="7.6640625" customWidth="1"/>
    <col min="4" max="7" width="7.5546875" customWidth="1"/>
    <col min="8" max="8" width="7.44140625" customWidth="1"/>
    <col min="9" max="9" width="6.88671875" customWidth="1"/>
    <col min="10" max="10" width="7.6640625" customWidth="1"/>
    <col min="11" max="11" width="5.1093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33)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367"/>
      <c r="I6" s="367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52</v>
      </c>
    </row>
    <row r="8" spans="1:10" s="2" customFormat="1" ht="9.6" customHeight="1" x14ac:dyDescent="0.25">
      <c r="A8" s="368"/>
      <c r="B8" s="368"/>
      <c r="C8" s="368"/>
      <c r="D8" s="368"/>
      <c r="E8" s="368"/>
      <c r="F8" s="368"/>
      <c r="G8" s="368"/>
      <c r="H8" s="368"/>
      <c r="I8" s="368"/>
      <c r="J8" s="109"/>
    </row>
    <row r="9" spans="1:10" s="2" customFormat="1" ht="26.1" customHeight="1" x14ac:dyDescent="0.3">
      <c r="A9" s="1550" t="s">
        <v>616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'48-салат витаминный'!H14+1</f>
        <v>33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369" t="s">
        <v>92</v>
      </c>
      <c r="D17" s="369" t="s">
        <v>94</v>
      </c>
      <c r="E17" s="369" t="s">
        <v>93</v>
      </c>
      <c r="F17" s="369" t="s">
        <v>23</v>
      </c>
      <c r="G17" s="369" t="s">
        <v>92</v>
      </c>
      <c r="H17" s="369" t="s">
        <v>94</v>
      </c>
      <c r="I17" s="369" t="s">
        <v>92</v>
      </c>
      <c r="J17" s="369" t="s">
        <v>94</v>
      </c>
    </row>
    <row r="18" spans="1:13" ht="9.6" customHeight="1" x14ac:dyDescent="0.25">
      <c r="A18" s="369">
        <v>1</v>
      </c>
      <c r="B18" s="370">
        <v>2</v>
      </c>
      <c r="C18" s="369">
        <v>3</v>
      </c>
      <c r="D18" s="370">
        <v>4</v>
      </c>
      <c r="E18" s="369">
        <v>5</v>
      </c>
      <c r="F18" s="370">
        <v>6</v>
      </c>
      <c r="G18" s="369">
        <v>7</v>
      </c>
      <c r="H18" s="370">
        <v>8</v>
      </c>
      <c r="I18" s="369">
        <v>9</v>
      </c>
      <c r="J18" s="370">
        <v>10</v>
      </c>
    </row>
    <row r="19" spans="1:13" s="10" customFormat="1" ht="13.95" customHeight="1" x14ac:dyDescent="0.25">
      <c r="A19" s="180">
        <v>1</v>
      </c>
      <c r="B19" s="20" t="s">
        <v>52</v>
      </c>
      <c r="C19" s="21">
        <v>1.212</v>
      </c>
      <c r="D19" s="21">
        <v>0.95</v>
      </c>
      <c r="E19" s="13">
        <f>цены!F51</f>
        <v>30</v>
      </c>
      <c r="F19" s="13">
        <f>C19*E19</f>
        <v>36.36</v>
      </c>
      <c r="G19" s="97">
        <f t="shared" ref="G19:H21" si="0">C19*10</f>
        <v>12.12</v>
      </c>
      <c r="H19" s="21">
        <f t="shared" si="0"/>
        <v>9.5</v>
      </c>
      <c r="I19" s="21">
        <f t="shared" ref="I19:J21" si="1">C19*100</f>
        <v>121.2</v>
      </c>
      <c r="J19" s="21">
        <f t="shared" si="1"/>
        <v>95</v>
      </c>
      <c r="L19" s="1015">
        <f>C19/C$26</f>
        <v>7.2705458908218307E-2</v>
      </c>
      <c r="M19" s="1015">
        <f>F19/C$26</f>
        <v>2.18116376724655</v>
      </c>
    </row>
    <row r="20" spans="1:13" s="10" customFormat="1" ht="13.95" customHeight="1" x14ac:dyDescent="0.25">
      <c r="A20" s="180">
        <v>2</v>
      </c>
      <c r="B20" s="20" t="s">
        <v>74</v>
      </c>
      <c r="C20" s="21">
        <v>0.06</v>
      </c>
      <c r="D20" s="21">
        <v>0.06</v>
      </c>
      <c r="E20" s="13">
        <f>цены!F87</f>
        <v>120</v>
      </c>
      <c r="F20" s="13">
        <f>C20*E20</f>
        <v>7.2</v>
      </c>
      <c r="G20" s="97">
        <f t="shared" si="0"/>
        <v>0.6</v>
      </c>
      <c r="H20" s="21">
        <f t="shared" si="0"/>
        <v>0.6</v>
      </c>
      <c r="I20" s="21">
        <f t="shared" si="1"/>
        <v>6</v>
      </c>
      <c r="J20" s="21">
        <f t="shared" si="1"/>
        <v>6</v>
      </c>
      <c r="L20" s="1015">
        <f t="shared" ref="L20:L21" si="2">C20/C$26</f>
        <v>3.5992801439712098E-3</v>
      </c>
      <c r="M20" s="1015">
        <f t="shared" ref="M20:M21" si="3">F20/C$26</f>
        <v>0.43191361727654498</v>
      </c>
    </row>
    <row r="21" spans="1:13" s="10" customFormat="1" ht="13.95" customHeight="1" x14ac:dyDescent="0.25">
      <c r="A21" s="180">
        <v>3</v>
      </c>
      <c r="B21" s="20" t="s">
        <v>75</v>
      </c>
      <c r="C21" s="21">
        <f>0.002*C26</f>
        <v>3.3000000000000002E-2</v>
      </c>
      <c r="D21" s="21">
        <f>C21</f>
        <v>3.3000000000000002E-2</v>
      </c>
      <c r="E21" s="13">
        <f>цены!F110</f>
        <v>24</v>
      </c>
      <c r="F21" s="13">
        <f>C21*E21</f>
        <v>0.79</v>
      </c>
      <c r="G21" s="97">
        <f t="shared" si="0"/>
        <v>0.33</v>
      </c>
      <c r="H21" s="21">
        <f t="shared" si="0"/>
        <v>0.33</v>
      </c>
      <c r="I21" s="21">
        <f t="shared" si="1"/>
        <v>3.3</v>
      </c>
      <c r="J21" s="21">
        <f t="shared" si="1"/>
        <v>3.3</v>
      </c>
      <c r="L21" s="1015">
        <f t="shared" si="2"/>
        <v>1.9796040791841599E-3</v>
      </c>
      <c r="M21" s="1015">
        <f t="shared" si="3"/>
        <v>4.7390521895620902E-2</v>
      </c>
    </row>
    <row r="22" spans="1:13" s="10" customFormat="1" ht="15" customHeight="1" x14ac:dyDescent="0.25">
      <c r="A22" s="98"/>
      <c r="B22" s="93" t="s">
        <v>100</v>
      </c>
      <c r="C22" s="100"/>
      <c r="D22" s="100">
        <v>1</v>
      </c>
      <c r="E22" s="95"/>
      <c r="F22" s="95">
        <f>SUM(F19:F21)</f>
        <v>44.35</v>
      </c>
      <c r="G22" s="99"/>
      <c r="H22" s="100">
        <f>D22*10</f>
        <v>10</v>
      </c>
      <c r="I22" s="100"/>
      <c r="J22" s="100">
        <f>D22*100</f>
        <v>100</v>
      </c>
      <c r="L22" s="1015">
        <f>SUM(L19:L21)</f>
        <v>7.8284343131373696E-2</v>
      </c>
      <c r="M22" s="1015">
        <f>SUM(M19:M21)</f>
        <v>2.6604679064187202</v>
      </c>
    </row>
    <row r="23" spans="1:13" s="10" customFormat="1" ht="27.6" customHeight="1" x14ac:dyDescent="0.25">
      <c r="A23" s="1536" t="s">
        <v>35</v>
      </c>
      <c r="B23" s="1536"/>
      <c r="C23" s="90"/>
      <c r="D23" s="90"/>
      <c r="E23" s="13"/>
      <c r="F23" s="13">
        <f>F22</f>
        <v>44.35</v>
      </c>
      <c r="G23" s="371"/>
      <c r="H23" s="371"/>
      <c r="I23" s="21"/>
      <c r="J23" s="13"/>
    </row>
    <row r="24" spans="1:13" s="10" customFormat="1" ht="25.35" customHeight="1" x14ac:dyDescent="0.25">
      <c r="A24" s="1536" t="s">
        <v>36</v>
      </c>
      <c r="B24" s="1536"/>
      <c r="C24" s="90">
        <v>1000</v>
      </c>
      <c r="D24" s="90"/>
      <c r="E24" s="13"/>
      <c r="F24" s="13"/>
      <c r="G24" s="13"/>
      <c r="H24" s="13"/>
      <c r="I24" s="21"/>
      <c r="J24" s="17"/>
    </row>
    <row r="25" spans="1:13" s="10" customFormat="1" ht="25.35" customHeight="1" x14ac:dyDescent="0.25">
      <c r="A25" s="1537" t="s">
        <v>37</v>
      </c>
      <c r="B25" s="1538"/>
      <c r="C25" s="91">
        <v>60</v>
      </c>
      <c r="D25" s="92"/>
      <c r="E25" s="370"/>
      <c r="F25" s="370"/>
      <c r="G25" s="370"/>
      <c r="H25" s="370"/>
      <c r="I25" s="21"/>
      <c r="J25" s="17"/>
    </row>
    <row r="26" spans="1:13" s="10" customFormat="1" ht="15" customHeight="1" x14ac:dyDescent="0.25">
      <c r="A26" s="1539" t="s">
        <v>38</v>
      </c>
      <c r="B26" s="1540"/>
      <c r="C26" s="249">
        <f>C24/C25</f>
        <v>16.670000000000002</v>
      </c>
      <c r="D26" s="92"/>
      <c r="E26" s="370"/>
      <c r="F26" s="370"/>
      <c r="G26" s="370"/>
      <c r="H26" s="370"/>
      <c r="I26" s="21"/>
      <c r="J26" s="17"/>
    </row>
    <row r="27" spans="1:13" ht="16.350000000000001" customHeight="1" x14ac:dyDescent="0.25">
      <c r="A27" s="1541" t="s">
        <v>39</v>
      </c>
      <c r="B27" s="1542"/>
      <c r="C27" s="15" t="s">
        <v>40</v>
      </c>
      <c r="D27" s="102"/>
      <c r="E27" s="102" t="s">
        <v>40</v>
      </c>
      <c r="F27" s="16">
        <f>F23/C26</f>
        <v>2.66</v>
      </c>
      <c r="G27" s="16"/>
      <c r="H27" s="16"/>
      <c r="I27" s="102" t="s">
        <v>40</v>
      </c>
      <c r="J27" s="102" t="s">
        <v>40</v>
      </c>
    </row>
    <row r="28" spans="1:13" ht="23.1" customHeight="1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3" ht="13.95" customHeight="1" x14ac:dyDescent="0.25">
      <c r="A29" s="1193"/>
      <c r="B29" s="1194" t="s">
        <v>49</v>
      </c>
      <c r="C29" s="1198"/>
      <c r="D29" s="1198"/>
      <c r="E29" s="1198"/>
      <c r="F29" s="1198"/>
      <c r="G29" s="1193"/>
      <c r="H29" s="1557">
        <f>'1-бутерброд с маслом'!$H$28</f>
        <v>0</v>
      </c>
      <c r="I29" s="1557"/>
      <c r="J29" s="1557"/>
    </row>
    <row r="30" spans="1:13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3" ht="13.95" customHeight="1" x14ac:dyDescent="0.25">
      <c r="A31" s="1545" t="s">
        <v>327</v>
      </c>
      <c r="B31" s="1545"/>
      <c r="C31" s="1546" t="s">
        <v>328</v>
      </c>
      <c r="D31" s="1546"/>
      <c r="E31" s="1546"/>
      <c r="F31" s="1546"/>
      <c r="G31" s="106"/>
      <c r="H31" s="1531"/>
      <c r="I31" s="1531"/>
      <c r="J31" s="1531"/>
    </row>
    <row r="32" spans="1:13" x14ac:dyDescent="0.25">
      <c r="A32" s="1193"/>
      <c r="B32" s="1193"/>
      <c r="C32" s="1546"/>
      <c r="D32" s="1546"/>
      <c r="E32" s="1546"/>
      <c r="F32" s="1546"/>
      <c r="G32" s="1193"/>
      <c r="H32" s="1531" t="s">
        <v>329</v>
      </c>
      <c r="I32" s="1531"/>
      <c r="J32" s="1531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1:B31"/>
    <mergeCell ref="C31:F32"/>
    <mergeCell ref="H31:J31"/>
    <mergeCell ref="H32:J32"/>
    <mergeCell ref="A24:B24"/>
    <mergeCell ref="A25:B25"/>
    <mergeCell ref="A26:B26"/>
    <mergeCell ref="A27:B27"/>
    <mergeCell ref="H29:J29"/>
    <mergeCell ref="A23:B23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M39"/>
  <sheetViews>
    <sheetView view="pageBreakPreview" topLeftCell="A22" zoomScaleNormal="100" zoomScaleSheetLayoutView="100" workbookViewId="0">
      <selection activeCell="A31" sqref="A31:J35"/>
    </sheetView>
  </sheetViews>
  <sheetFormatPr defaultColWidth="8.88671875" defaultRowHeight="13.8" x14ac:dyDescent="0.25"/>
  <cols>
    <col min="1" max="1" width="4.109375" style="699" customWidth="1"/>
    <col min="2" max="2" width="24.6640625" style="699" customWidth="1"/>
    <col min="3" max="3" width="7.6640625" style="699" customWidth="1"/>
    <col min="4" max="7" width="7.5546875" style="699" customWidth="1"/>
    <col min="8" max="8" width="7.44140625" style="699" customWidth="1"/>
    <col min="9" max="9" width="6.88671875" style="699" customWidth="1"/>
    <col min="10" max="10" width="7.6640625" style="699" customWidth="1"/>
    <col min="11" max="11" width="4.5546875" style="699" customWidth="1"/>
    <col min="12" max="16384" width="8.88671875" style="69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34)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723"/>
      <c r="I6" s="723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53</v>
      </c>
    </row>
    <row r="8" spans="1:10" s="2" customFormat="1" ht="9.6" customHeight="1" x14ac:dyDescent="0.25">
      <c r="A8" s="724"/>
      <c r="B8" s="724"/>
      <c r="C8" s="724"/>
      <c r="D8" s="724"/>
      <c r="E8" s="724"/>
      <c r="F8" s="724"/>
      <c r="G8" s="724"/>
      <c r="H8" s="724"/>
      <c r="I8" s="724"/>
      <c r="J8" s="109"/>
    </row>
    <row r="9" spans="1:10" s="2" customFormat="1" ht="26.1" customHeight="1" x14ac:dyDescent="0.3">
      <c r="A9" s="1550" t="s">
        <v>918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'52-салат из свеклы отварной'!H14+1</f>
        <v>34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720" t="s">
        <v>92</v>
      </c>
      <c r="D17" s="720" t="s">
        <v>94</v>
      </c>
      <c r="E17" s="720" t="s">
        <v>93</v>
      </c>
      <c r="F17" s="720" t="s">
        <v>23</v>
      </c>
      <c r="G17" s="720" t="s">
        <v>92</v>
      </c>
      <c r="H17" s="720" t="s">
        <v>94</v>
      </c>
      <c r="I17" s="720" t="s">
        <v>92</v>
      </c>
      <c r="J17" s="720" t="s">
        <v>94</v>
      </c>
    </row>
    <row r="18" spans="1:13" ht="9.6" customHeight="1" x14ac:dyDescent="0.25">
      <c r="A18" s="720">
        <v>1</v>
      </c>
      <c r="B18" s="722">
        <v>2</v>
      </c>
      <c r="C18" s="720">
        <v>3</v>
      </c>
      <c r="D18" s="722">
        <v>4</v>
      </c>
      <c r="E18" s="720">
        <v>5</v>
      </c>
      <c r="F18" s="722">
        <v>6</v>
      </c>
      <c r="G18" s="720">
        <v>7</v>
      </c>
      <c r="H18" s="722">
        <v>8</v>
      </c>
      <c r="I18" s="720">
        <v>9</v>
      </c>
      <c r="J18" s="722">
        <v>10</v>
      </c>
    </row>
    <row r="19" spans="1:13" s="10" customFormat="1" ht="13.95" customHeight="1" x14ac:dyDescent="0.25">
      <c r="A19" s="180">
        <v>1</v>
      </c>
      <c r="B19" s="20" t="s">
        <v>52</v>
      </c>
      <c r="C19" s="21">
        <v>0.63900000000000001</v>
      </c>
      <c r="D19" s="21">
        <v>0.5</v>
      </c>
      <c r="E19" s="408">
        <f>цены!F51</f>
        <v>30</v>
      </c>
      <c r="F19" s="408">
        <f t="shared" ref="F19:F24" si="0">C19*E19</f>
        <v>19.170000000000002</v>
      </c>
      <c r="G19" s="97">
        <f t="shared" ref="G19:H24" si="1">C19*10</f>
        <v>6.39</v>
      </c>
      <c r="H19" s="21">
        <f t="shared" si="1"/>
        <v>5</v>
      </c>
      <c r="I19" s="21">
        <f t="shared" ref="I19:J24" si="2">C19*100</f>
        <v>63.9</v>
      </c>
      <c r="J19" s="21">
        <f t="shared" si="2"/>
        <v>50</v>
      </c>
      <c r="L19" s="1015">
        <f>C19/C$29</f>
        <v>3.8332333533293302E-2</v>
      </c>
      <c r="M19" s="1015">
        <f>F19/C$29</f>
        <v>1.1499700059988001</v>
      </c>
    </row>
    <row r="20" spans="1:13" s="10" customFormat="1" ht="24.6" customHeight="1" x14ac:dyDescent="0.25">
      <c r="A20" s="180">
        <v>2</v>
      </c>
      <c r="B20" s="20" t="s">
        <v>487</v>
      </c>
      <c r="C20" s="21">
        <v>0.38500000000000001</v>
      </c>
      <c r="D20" s="21">
        <v>0.25</v>
      </c>
      <c r="E20" s="408">
        <f>цены!F128</f>
        <v>126</v>
      </c>
      <c r="F20" s="408">
        <f t="shared" si="0"/>
        <v>48.51</v>
      </c>
      <c r="G20" s="97">
        <f t="shared" ref="G20:H22" si="3">C20*10</f>
        <v>3.85</v>
      </c>
      <c r="H20" s="21">
        <f t="shared" si="3"/>
        <v>2.5</v>
      </c>
      <c r="I20" s="21">
        <f t="shared" ref="I20:J22" si="4">C20*100</f>
        <v>38.5</v>
      </c>
      <c r="J20" s="21">
        <f t="shared" si="4"/>
        <v>25</v>
      </c>
      <c r="L20" s="1015">
        <f t="shared" ref="L20:L24" si="5">C20/C$29</f>
        <v>2.30953809238152E-2</v>
      </c>
      <c r="M20" s="1015">
        <f t="shared" ref="M20:M24" si="6">F20/C$29</f>
        <v>2.91001799640072</v>
      </c>
    </row>
    <row r="21" spans="1:13" s="10" customFormat="1" ht="13.95" customHeight="1" x14ac:dyDescent="0.25">
      <c r="A21" s="180">
        <v>3</v>
      </c>
      <c r="B21" s="20" t="s">
        <v>60</v>
      </c>
      <c r="C21" s="21">
        <v>0.25700000000000001</v>
      </c>
      <c r="D21" s="21">
        <v>0.18</v>
      </c>
      <c r="E21" s="408">
        <f>цены!F71</f>
        <v>91</v>
      </c>
      <c r="F21" s="408">
        <f t="shared" si="0"/>
        <v>23.39</v>
      </c>
      <c r="G21" s="97">
        <f t="shared" si="3"/>
        <v>2.57</v>
      </c>
      <c r="H21" s="21">
        <f t="shared" si="3"/>
        <v>1.8</v>
      </c>
      <c r="I21" s="21">
        <f t="shared" si="4"/>
        <v>25.7</v>
      </c>
      <c r="J21" s="21">
        <f t="shared" si="4"/>
        <v>18</v>
      </c>
      <c r="L21" s="1015">
        <f t="shared" si="5"/>
        <v>1.54169166166767E-2</v>
      </c>
      <c r="M21" s="1015">
        <f t="shared" si="6"/>
        <v>1.40311937612477</v>
      </c>
    </row>
    <row r="22" spans="1:13" s="10" customFormat="1" ht="13.95" customHeight="1" x14ac:dyDescent="0.25">
      <c r="A22" s="180">
        <v>4</v>
      </c>
      <c r="B22" s="20" t="s">
        <v>48</v>
      </c>
      <c r="C22" s="21">
        <v>0.06</v>
      </c>
      <c r="D22" s="21">
        <v>0.05</v>
      </c>
      <c r="E22" s="408">
        <f>цены!F38</f>
        <v>50</v>
      </c>
      <c r="F22" s="408">
        <f t="shared" si="0"/>
        <v>3</v>
      </c>
      <c r="G22" s="97">
        <f t="shared" si="3"/>
        <v>0.6</v>
      </c>
      <c r="H22" s="21">
        <f t="shared" si="3"/>
        <v>0.5</v>
      </c>
      <c r="I22" s="21">
        <f t="shared" si="4"/>
        <v>6</v>
      </c>
      <c r="J22" s="21">
        <f t="shared" si="4"/>
        <v>5</v>
      </c>
      <c r="L22" s="1015">
        <f t="shared" si="5"/>
        <v>3.5992801439712098E-3</v>
      </c>
      <c r="M22" s="1015">
        <f t="shared" si="6"/>
        <v>0.17996400719856001</v>
      </c>
    </row>
    <row r="23" spans="1:13" s="10" customFormat="1" ht="13.95" customHeight="1" x14ac:dyDescent="0.25">
      <c r="A23" s="180">
        <v>5</v>
      </c>
      <c r="B23" s="20" t="s">
        <v>74</v>
      </c>
      <c r="C23" s="21">
        <v>0.06</v>
      </c>
      <c r="D23" s="21">
        <v>0.06</v>
      </c>
      <c r="E23" s="408">
        <f>цены!F87</f>
        <v>120</v>
      </c>
      <c r="F23" s="408">
        <f t="shared" si="0"/>
        <v>7.2</v>
      </c>
      <c r="G23" s="97">
        <f t="shared" si="1"/>
        <v>0.6</v>
      </c>
      <c r="H23" s="21">
        <f t="shared" si="1"/>
        <v>0.6</v>
      </c>
      <c r="I23" s="21">
        <f t="shared" si="2"/>
        <v>6</v>
      </c>
      <c r="J23" s="21">
        <f t="shared" si="2"/>
        <v>6</v>
      </c>
      <c r="L23" s="1015">
        <f t="shared" si="5"/>
        <v>3.5992801439712098E-3</v>
      </c>
      <c r="M23" s="1015">
        <f t="shared" si="6"/>
        <v>0.43191361727654498</v>
      </c>
    </row>
    <row r="24" spans="1:13" s="10" customFormat="1" ht="13.95" customHeight="1" x14ac:dyDescent="0.25">
      <c r="A24" s="180">
        <v>6</v>
      </c>
      <c r="B24" s="20" t="s">
        <v>75</v>
      </c>
      <c r="C24" s="21">
        <f>0.002*C29</f>
        <v>3.3000000000000002E-2</v>
      </c>
      <c r="D24" s="21">
        <f>C24</f>
        <v>3.3000000000000002E-2</v>
      </c>
      <c r="E24" s="408">
        <f>цены!F110</f>
        <v>24</v>
      </c>
      <c r="F24" s="408">
        <f t="shared" si="0"/>
        <v>0.79</v>
      </c>
      <c r="G24" s="97">
        <f t="shared" si="1"/>
        <v>0.33</v>
      </c>
      <c r="H24" s="21">
        <f t="shared" si="1"/>
        <v>0.33</v>
      </c>
      <c r="I24" s="21">
        <f t="shared" si="2"/>
        <v>3.3</v>
      </c>
      <c r="J24" s="21">
        <f t="shared" si="2"/>
        <v>3.3</v>
      </c>
      <c r="L24" s="1015">
        <f t="shared" si="5"/>
        <v>1.9796040791841599E-3</v>
      </c>
      <c r="M24" s="1015">
        <f t="shared" si="6"/>
        <v>4.7390521895620902E-2</v>
      </c>
    </row>
    <row r="25" spans="1:13" s="10" customFormat="1" ht="15" customHeight="1" x14ac:dyDescent="0.25">
      <c r="A25" s="98"/>
      <c r="B25" s="93" t="s">
        <v>100</v>
      </c>
      <c r="C25" s="100"/>
      <c r="D25" s="100">
        <v>1</v>
      </c>
      <c r="E25" s="95"/>
      <c r="F25" s="95">
        <f>SUM(F19:F24)</f>
        <v>102.06</v>
      </c>
      <c r="G25" s="99"/>
      <c r="H25" s="100">
        <f>D25*10</f>
        <v>10</v>
      </c>
      <c r="I25" s="100"/>
      <c r="J25" s="100">
        <f>D25*100</f>
        <v>100</v>
      </c>
      <c r="L25" s="1015">
        <f>SUM(L19:L24)</f>
        <v>8.6022795440911806E-2</v>
      </c>
      <c r="M25" s="1015">
        <f>SUM(M19:M24)</f>
        <v>6.1223755248950198</v>
      </c>
    </row>
    <row r="26" spans="1:13" s="10" customFormat="1" ht="27.6" customHeight="1" x14ac:dyDescent="0.25">
      <c r="A26" s="1536" t="s">
        <v>35</v>
      </c>
      <c r="B26" s="1536"/>
      <c r="C26" s="90"/>
      <c r="D26" s="90"/>
      <c r="E26" s="408"/>
      <c r="F26" s="408">
        <f>F25</f>
        <v>102.06</v>
      </c>
      <c r="G26" s="721"/>
      <c r="H26" s="721"/>
      <c r="I26" s="21"/>
      <c r="J26" s="408"/>
    </row>
    <row r="27" spans="1:13" s="10" customFormat="1" ht="25.35" customHeight="1" x14ac:dyDescent="0.25">
      <c r="A27" s="1536" t="s">
        <v>36</v>
      </c>
      <c r="B27" s="1536"/>
      <c r="C27" s="90">
        <v>1000</v>
      </c>
      <c r="D27" s="90"/>
      <c r="E27" s="408"/>
      <c r="F27" s="408"/>
      <c r="G27" s="408"/>
      <c r="H27" s="408"/>
      <c r="I27" s="21"/>
      <c r="J27" s="17"/>
    </row>
    <row r="28" spans="1:13" s="10" customFormat="1" ht="25.35" customHeight="1" x14ac:dyDescent="0.25">
      <c r="A28" s="1537" t="s">
        <v>37</v>
      </c>
      <c r="B28" s="1538"/>
      <c r="C28" s="91">
        <v>60</v>
      </c>
      <c r="D28" s="92"/>
      <c r="E28" s="722"/>
      <c r="F28" s="722"/>
      <c r="G28" s="722"/>
      <c r="H28" s="722"/>
      <c r="I28" s="21"/>
      <c r="J28" s="17"/>
    </row>
    <row r="29" spans="1:13" s="10" customFormat="1" ht="15" customHeight="1" x14ac:dyDescent="0.25">
      <c r="A29" s="1539" t="s">
        <v>38</v>
      </c>
      <c r="B29" s="1540"/>
      <c r="C29" s="249">
        <f>C27/C28</f>
        <v>16.670000000000002</v>
      </c>
      <c r="D29" s="92"/>
      <c r="E29" s="722"/>
      <c r="F29" s="722"/>
      <c r="G29" s="722"/>
      <c r="H29" s="722"/>
      <c r="I29" s="21"/>
      <c r="J29" s="17"/>
    </row>
    <row r="30" spans="1:13" ht="16.350000000000001" customHeight="1" x14ac:dyDescent="0.25">
      <c r="A30" s="1541" t="s">
        <v>39</v>
      </c>
      <c r="B30" s="1542"/>
      <c r="C30" s="15" t="s">
        <v>40</v>
      </c>
      <c r="D30" s="102"/>
      <c r="E30" s="102" t="s">
        <v>40</v>
      </c>
      <c r="F30" s="16">
        <f>F26/C29</f>
        <v>6.12</v>
      </c>
      <c r="G30" s="16"/>
      <c r="H30" s="16"/>
      <c r="I30" s="102" t="s">
        <v>40</v>
      </c>
      <c r="J30" s="102" t="s">
        <v>40</v>
      </c>
    </row>
    <row r="31" spans="1:13" ht="23.1" customHeight="1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3" ht="13.95" customHeight="1" x14ac:dyDescent="0.25">
      <c r="A32" s="1193"/>
      <c r="B32" s="1194" t="s">
        <v>49</v>
      </c>
      <c r="C32" s="1198"/>
      <c r="D32" s="1198"/>
      <c r="E32" s="1198"/>
      <c r="F32" s="1198"/>
      <c r="G32" s="1193"/>
      <c r="H32" s="1557">
        <f>'1-бутерброд с маслом'!$H$28</f>
        <v>0</v>
      </c>
      <c r="I32" s="1557"/>
      <c r="J32" s="1557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545" t="s">
        <v>327</v>
      </c>
      <c r="B34" s="1545"/>
      <c r="C34" s="1546" t="s">
        <v>328</v>
      </c>
      <c r="D34" s="1546"/>
      <c r="E34" s="1546"/>
      <c r="F34" s="1546"/>
      <c r="G34" s="106"/>
      <c r="H34" s="1531"/>
      <c r="I34" s="1531"/>
      <c r="J34" s="1531"/>
    </row>
    <row r="35" spans="1:10" x14ac:dyDescent="0.25">
      <c r="A35" s="1193"/>
      <c r="B35" s="1193"/>
      <c r="C35" s="1546"/>
      <c r="D35" s="1546"/>
      <c r="E35" s="1546"/>
      <c r="F35" s="1546"/>
      <c r="G35" s="1193"/>
      <c r="H35" s="1531" t="s">
        <v>329</v>
      </c>
      <c r="I35" s="1531"/>
      <c r="J35" s="1531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</sheetData>
  <mergeCells count="28">
    <mergeCell ref="H32:J32"/>
    <mergeCell ref="A13:G13"/>
    <mergeCell ref="A27:B27"/>
    <mergeCell ref="A28:B28"/>
    <mergeCell ref="A29:B29"/>
    <mergeCell ref="A30:B30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4:B34"/>
    <mergeCell ref="C34:F35"/>
    <mergeCell ref="H34:J34"/>
    <mergeCell ref="H35:J35"/>
    <mergeCell ref="H5:I5"/>
    <mergeCell ref="A6:G6"/>
    <mergeCell ref="A7:I7"/>
    <mergeCell ref="A26:B26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M1267"/>
  <sheetViews>
    <sheetView view="pageBreakPreview" topLeftCell="A213" zoomScaleNormal="120" zoomScaleSheetLayoutView="100" workbookViewId="0">
      <selection activeCell="D330" sqref="D330"/>
    </sheetView>
  </sheetViews>
  <sheetFormatPr defaultColWidth="8.88671875" defaultRowHeight="13.8" x14ac:dyDescent="0.25"/>
  <cols>
    <col min="1" max="1" width="10.88671875" style="1007" customWidth="1"/>
    <col min="2" max="2" width="44.5546875" style="616" customWidth="1"/>
    <col min="3" max="3" width="11.6640625" style="744" customWidth="1"/>
    <col min="4" max="4" width="9.6640625" style="744" customWidth="1"/>
    <col min="5" max="5" width="9.88671875" style="668" customWidth="1"/>
    <col min="6" max="6" width="10.33203125" style="668" customWidth="1"/>
    <col min="7" max="7" width="10.6640625" style="668" customWidth="1"/>
    <col min="8" max="8" width="10.88671875" style="636" customWidth="1"/>
    <col min="9" max="9" width="8.88671875" style="668" customWidth="1"/>
    <col min="10" max="10" width="12.6640625" style="697" customWidth="1"/>
    <col min="11" max="152" width="12.6640625" style="697" hidden="1" customWidth="1"/>
    <col min="153" max="155" width="12.6640625" style="697" customWidth="1"/>
    <col min="156" max="156" width="5.6640625" style="636" customWidth="1"/>
    <col min="157" max="160" width="0.33203125" style="636" hidden="1" customWidth="1"/>
    <col min="161" max="167" width="0.33203125" style="636" customWidth="1"/>
    <col min="168" max="168" width="6.33203125" style="636" customWidth="1"/>
    <col min="169" max="16384" width="8.88671875" style="1007"/>
  </cols>
  <sheetData>
    <row r="1" spans="1:168" ht="18" x14ac:dyDescent="0.3">
      <c r="A1" s="1225"/>
      <c r="B1" s="1225"/>
      <c r="D1" s="1290"/>
      <c r="E1" s="1456" t="s">
        <v>1360</v>
      </c>
      <c r="F1" s="1456"/>
      <c r="G1" s="1456"/>
      <c r="H1" s="1456"/>
      <c r="I1" s="1237"/>
      <c r="EZ1" s="1095"/>
      <c r="FA1" s="1095"/>
      <c r="FB1" s="1095"/>
      <c r="FC1" s="1095"/>
      <c r="FD1" s="1095"/>
      <c r="FE1" s="1095"/>
      <c r="FF1" s="1095"/>
      <c r="FG1" s="1095"/>
      <c r="FH1" s="1095"/>
      <c r="FI1" s="1095"/>
      <c r="FJ1" s="1095"/>
      <c r="FK1" s="1095"/>
      <c r="FL1" s="1095"/>
    </row>
    <row r="2" spans="1:168" ht="18" x14ac:dyDescent="0.3">
      <c r="A2" s="1226"/>
      <c r="B2" s="1226"/>
      <c r="D2" s="1290"/>
      <c r="E2" s="1456" t="s">
        <v>1329</v>
      </c>
      <c r="F2" s="1456"/>
      <c r="G2" s="1456"/>
      <c r="H2" s="1456"/>
      <c r="I2" s="1237"/>
      <c r="EZ2" s="1093"/>
      <c r="FA2" s="1093"/>
      <c r="FB2" s="1093"/>
      <c r="FC2" s="1093"/>
      <c r="FD2" s="1093"/>
      <c r="FE2" s="1093"/>
      <c r="FF2" s="1093"/>
      <c r="FG2" s="1093"/>
      <c r="FH2" s="1093"/>
      <c r="FI2" s="1093"/>
      <c r="FJ2" s="1093"/>
      <c r="FK2" s="1093"/>
      <c r="FL2" s="1093"/>
    </row>
    <row r="3" spans="1:168" ht="18" x14ac:dyDescent="0.35">
      <c r="A3" s="1226"/>
      <c r="B3" s="452"/>
      <c r="D3" s="1225"/>
      <c r="E3" s="1457" t="s">
        <v>1399</v>
      </c>
      <c r="F3" s="1457"/>
      <c r="G3" s="1457"/>
      <c r="H3" s="1457"/>
      <c r="I3" s="1238"/>
      <c r="EZ3" s="1093"/>
      <c r="FA3" s="1093"/>
      <c r="FB3" s="1093"/>
      <c r="FC3" s="1093"/>
      <c r="FD3" s="1093"/>
      <c r="FE3" s="1093"/>
      <c r="FF3" s="1093"/>
      <c r="FG3" s="1093"/>
      <c r="FH3" s="1093"/>
      <c r="FI3" s="1093"/>
      <c r="FJ3" s="1093"/>
      <c r="FK3" s="1093"/>
      <c r="FL3" s="1093"/>
    </row>
    <row r="4" spans="1:168" ht="18" x14ac:dyDescent="0.35">
      <c r="A4" s="1226"/>
      <c r="B4" s="1226"/>
      <c r="C4" s="1226"/>
      <c r="D4" s="1226"/>
      <c r="E4" s="1227"/>
      <c r="F4" s="1227"/>
      <c r="G4" s="1227"/>
      <c r="H4" s="1227"/>
      <c r="I4" s="1238"/>
      <c r="EZ4" s="1094"/>
      <c r="FA4" s="1094"/>
      <c r="FB4" s="1094"/>
      <c r="FC4" s="1094"/>
      <c r="FD4" s="1094"/>
      <c r="FE4" s="1094"/>
      <c r="FF4" s="1094"/>
      <c r="FG4" s="1094"/>
      <c r="FH4" s="1094"/>
      <c r="FI4" s="1094"/>
      <c r="FJ4" s="1094"/>
      <c r="FK4" s="1094"/>
      <c r="FL4" s="1094"/>
    </row>
    <row r="5" spans="1:168" ht="90.6" customHeight="1" x14ac:dyDescent="0.35">
      <c r="A5" s="1458" t="s">
        <v>1400</v>
      </c>
      <c r="B5" s="1458"/>
      <c r="C5" s="1458"/>
      <c r="D5" s="1458"/>
      <c r="E5" s="1458"/>
      <c r="F5" s="1458"/>
      <c r="G5" s="1458"/>
      <c r="H5" s="1458"/>
      <c r="I5" s="1239"/>
      <c r="EZ5" s="1180"/>
      <c r="FA5" s="1180"/>
      <c r="FB5" s="1180"/>
      <c r="FC5" s="1180"/>
      <c r="FD5" s="1180"/>
      <c r="FE5" s="1180"/>
      <c r="FF5" s="1180"/>
      <c r="FG5" s="1180"/>
      <c r="FH5" s="1180"/>
      <c r="FI5" s="1180"/>
      <c r="FJ5" s="1180"/>
      <c r="FK5" s="1180"/>
      <c r="FL5" s="1180"/>
    </row>
    <row r="6" spans="1:168" s="1230" customFormat="1" ht="20.399999999999999" x14ac:dyDescent="0.35">
      <c r="A6" s="1458" t="s">
        <v>1385</v>
      </c>
      <c r="B6" s="1458"/>
      <c r="C6" s="1458"/>
      <c r="D6" s="1458"/>
      <c r="E6" s="1458"/>
      <c r="F6" s="1458"/>
      <c r="G6" s="1362" t="s">
        <v>1391</v>
      </c>
      <c r="H6" s="1363"/>
      <c r="I6" s="642"/>
      <c r="J6" s="697"/>
      <c r="K6" s="697"/>
      <c r="L6" s="697"/>
      <c r="M6" s="697"/>
      <c r="N6" s="697"/>
      <c r="O6" s="697"/>
      <c r="P6" s="697"/>
      <c r="Q6" s="697"/>
      <c r="R6" s="697"/>
      <c r="S6" s="697"/>
      <c r="T6" s="697"/>
      <c r="U6" s="697"/>
      <c r="V6" s="697"/>
      <c r="W6" s="697"/>
      <c r="X6" s="697"/>
      <c r="Y6" s="697"/>
      <c r="Z6" s="697"/>
      <c r="AA6" s="697"/>
      <c r="AB6" s="697"/>
      <c r="AC6" s="697"/>
      <c r="AD6" s="697"/>
      <c r="AE6" s="697"/>
      <c r="AF6" s="697"/>
      <c r="AG6" s="697"/>
      <c r="AH6" s="697"/>
      <c r="AI6" s="697"/>
      <c r="AJ6" s="697"/>
      <c r="AK6" s="697"/>
      <c r="AL6" s="697"/>
      <c r="AM6" s="697"/>
      <c r="AN6" s="697"/>
      <c r="AO6" s="697"/>
      <c r="AP6" s="697"/>
      <c r="AQ6" s="697"/>
      <c r="AR6" s="697"/>
      <c r="AS6" s="697"/>
      <c r="AT6" s="697"/>
      <c r="AU6" s="697"/>
      <c r="AV6" s="697"/>
      <c r="AW6" s="697"/>
      <c r="AX6" s="697"/>
      <c r="AY6" s="697"/>
      <c r="AZ6" s="697"/>
      <c r="BA6" s="697"/>
      <c r="BB6" s="697"/>
      <c r="BC6" s="697"/>
      <c r="BD6" s="697"/>
      <c r="BE6" s="697"/>
      <c r="BF6" s="697"/>
      <c r="BG6" s="697"/>
      <c r="BH6" s="697"/>
      <c r="BI6" s="697"/>
      <c r="BJ6" s="697"/>
      <c r="BK6" s="697"/>
      <c r="BL6" s="697"/>
      <c r="BM6" s="697"/>
      <c r="BN6" s="697"/>
      <c r="BO6" s="697"/>
      <c r="BP6" s="697"/>
      <c r="BQ6" s="697"/>
      <c r="BR6" s="697"/>
      <c r="BS6" s="697"/>
      <c r="BT6" s="697"/>
      <c r="BU6" s="697"/>
      <c r="BV6" s="697"/>
      <c r="BW6" s="697"/>
      <c r="BX6" s="697"/>
      <c r="BY6" s="697"/>
      <c r="BZ6" s="697"/>
      <c r="CA6" s="697"/>
      <c r="CB6" s="697"/>
      <c r="CC6" s="697"/>
      <c r="CD6" s="697"/>
      <c r="CE6" s="697"/>
      <c r="CF6" s="697"/>
      <c r="CG6" s="697"/>
      <c r="CH6" s="697"/>
      <c r="CI6" s="697"/>
      <c r="CJ6" s="697"/>
      <c r="CK6" s="697"/>
      <c r="CL6" s="697"/>
      <c r="CM6" s="697"/>
      <c r="CN6" s="697"/>
      <c r="CO6" s="697"/>
      <c r="CP6" s="697"/>
      <c r="CQ6" s="697"/>
      <c r="CR6" s="697"/>
      <c r="CS6" s="697"/>
      <c r="CT6" s="697"/>
      <c r="CU6" s="697"/>
      <c r="CV6" s="697"/>
      <c r="CW6" s="697"/>
      <c r="CX6" s="697"/>
      <c r="CY6" s="697"/>
      <c r="CZ6" s="697"/>
      <c r="DA6" s="697"/>
      <c r="DB6" s="697"/>
      <c r="DC6" s="697"/>
      <c r="DD6" s="697"/>
      <c r="DE6" s="697"/>
      <c r="DF6" s="697"/>
      <c r="DG6" s="697"/>
      <c r="DH6" s="697"/>
      <c r="DI6" s="697"/>
      <c r="DJ6" s="697"/>
      <c r="DK6" s="697"/>
      <c r="DL6" s="697"/>
      <c r="DM6" s="697"/>
      <c r="DN6" s="697"/>
      <c r="DO6" s="697"/>
      <c r="DP6" s="697"/>
      <c r="DQ6" s="697"/>
      <c r="DR6" s="697"/>
      <c r="DS6" s="697"/>
      <c r="DT6" s="697"/>
      <c r="DU6" s="697"/>
      <c r="DV6" s="697"/>
      <c r="DW6" s="697"/>
      <c r="DX6" s="697"/>
      <c r="DY6" s="697"/>
      <c r="DZ6" s="697"/>
      <c r="EA6" s="697"/>
      <c r="EB6" s="697"/>
      <c r="EC6" s="697"/>
      <c r="ED6" s="697"/>
      <c r="EE6" s="697"/>
      <c r="EF6" s="697"/>
      <c r="EG6" s="697"/>
      <c r="EH6" s="697"/>
      <c r="EI6" s="697"/>
      <c r="EJ6" s="697"/>
      <c r="EK6" s="697"/>
      <c r="EL6" s="697"/>
      <c r="EM6" s="697"/>
      <c r="EN6" s="697"/>
      <c r="EO6" s="697"/>
      <c r="EP6" s="697"/>
      <c r="EQ6" s="697"/>
      <c r="ER6" s="697"/>
      <c r="ES6" s="697"/>
      <c r="ET6" s="697"/>
      <c r="EU6" s="697"/>
      <c r="EV6" s="697"/>
      <c r="EW6" s="697"/>
      <c r="EX6" s="697"/>
      <c r="EY6" s="697"/>
      <c r="EZ6" s="1229"/>
      <c r="FA6" s="1229"/>
      <c r="FB6" s="1229"/>
      <c r="FC6" s="1229"/>
      <c r="FD6" s="1229"/>
      <c r="FE6" s="1229"/>
      <c r="FF6" s="1229"/>
      <c r="FG6" s="1229"/>
      <c r="FH6" s="1229"/>
      <c r="FI6" s="1229"/>
      <c r="FJ6" s="1229"/>
      <c r="FK6" s="1229"/>
      <c r="FL6" s="1229"/>
    </row>
    <row r="7" spans="1:168" ht="18" x14ac:dyDescent="0.35">
      <c r="A7" s="1073"/>
      <c r="B7" s="1375" t="str">
        <f>цены!D4</f>
        <v>Вводится 5 июня 2023 г.</v>
      </c>
      <c r="C7" s="1074"/>
      <c r="D7" s="1074"/>
      <c r="E7" s="1073"/>
      <c r="F7" s="1073"/>
      <c r="G7" s="1073"/>
      <c r="H7" s="1073"/>
      <c r="I7" s="642"/>
      <c r="EZ7" s="669"/>
      <c r="FA7" s="669"/>
      <c r="FB7" s="669"/>
      <c r="FC7" s="669"/>
      <c r="FD7" s="669"/>
      <c r="FE7" s="669"/>
      <c r="FF7" s="669"/>
      <c r="FG7" s="669"/>
      <c r="FH7" s="669"/>
      <c r="FI7" s="669"/>
      <c r="FJ7" s="669"/>
      <c r="FK7" s="669"/>
      <c r="FL7" s="669"/>
    </row>
    <row r="8" spans="1:168" s="1076" customFormat="1" ht="18" x14ac:dyDescent="0.35">
      <c r="A8" s="1073"/>
      <c r="B8" s="1375" t="s">
        <v>1299</v>
      </c>
      <c r="C8" s="1074"/>
      <c r="D8" s="1074"/>
      <c r="E8" s="390"/>
      <c r="F8" s="390"/>
      <c r="G8" s="390"/>
      <c r="H8" s="1073"/>
      <c r="I8" s="642"/>
      <c r="J8" s="697"/>
      <c r="K8" s="697"/>
      <c r="L8" s="697"/>
      <c r="M8" s="697"/>
      <c r="N8" s="697"/>
      <c r="O8" s="697"/>
      <c r="P8" s="697"/>
      <c r="Q8" s="697"/>
      <c r="R8" s="697"/>
      <c r="S8" s="697"/>
      <c r="T8" s="697"/>
      <c r="U8" s="697"/>
      <c r="V8" s="697"/>
      <c r="W8" s="697"/>
      <c r="X8" s="697"/>
      <c r="Y8" s="697"/>
      <c r="Z8" s="697"/>
      <c r="AA8" s="697"/>
      <c r="AB8" s="697"/>
      <c r="AC8" s="697"/>
      <c r="AD8" s="697"/>
      <c r="AE8" s="697"/>
      <c r="AF8" s="697"/>
      <c r="AG8" s="697"/>
      <c r="AH8" s="697"/>
      <c r="AI8" s="697"/>
      <c r="AJ8" s="697"/>
      <c r="AK8" s="697"/>
      <c r="AL8" s="697"/>
      <c r="AM8" s="697"/>
      <c r="AN8" s="697"/>
      <c r="AO8" s="697"/>
      <c r="AP8" s="697"/>
      <c r="AQ8" s="697"/>
      <c r="AR8" s="697"/>
      <c r="AS8" s="697"/>
      <c r="AT8" s="697"/>
      <c r="AU8" s="697"/>
      <c r="AV8" s="697"/>
      <c r="AW8" s="697"/>
      <c r="AX8" s="697"/>
      <c r="AY8" s="697"/>
      <c r="AZ8" s="697"/>
      <c r="BA8" s="697"/>
      <c r="BB8" s="697"/>
      <c r="BC8" s="697"/>
      <c r="BD8" s="697"/>
      <c r="BE8" s="697"/>
      <c r="BF8" s="697"/>
      <c r="BG8" s="697"/>
      <c r="BH8" s="697"/>
      <c r="BI8" s="697"/>
      <c r="BJ8" s="697"/>
      <c r="BK8" s="697"/>
      <c r="BL8" s="697"/>
      <c r="BM8" s="697"/>
      <c r="BN8" s="697"/>
      <c r="BO8" s="697"/>
      <c r="BP8" s="697"/>
      <c r="BQ8" s="697"/>
      <c r="BR8" s="697"/>
      <c r="BS8" s="697"/>
      <c r="BT8" s="697"/>
      <c r="BU8" s="697"/>
      <c r="BV8" s="697"/>
      <c r="BW8" s="697"/>
      <c r="BX8" s="697"/>
      <c r="BY8" s="697"/>
      <c r="BZ8" s="697"/>
      <c r="CA8" s="697"/>
      <c r="CB8" s="697"/>
      <c r="CC8" s="697"/>
      <c r="CD8" s="697"/>
      <c r="CE8" s="697"/>
      <c r="CF8" s="697"/>
      <c r="CG8" s="697"/>
      <c r="CH8" s="697"/>
      <c r="CI8" s="697"/>
      <c r="CJ8" s="697"/>
      <c r="CK8" s="697"/>
      <c r="CL8" s="697"/>
      <c r="CM8" s="697"/>
      <c r="CN8" s="697"/>
      <c r="CO8" s="697"/>
      <c r="CP8" s="697"/>
      <c r="CQ8" s="697"/>
      <c r="CR8" s="697"/>
      <c r="CS8" s="697"/>
      <c r="CT8" s="697"/>
      <c r="CU8" s="697"/>
      <c r="CV8" s="697"/>
      <c r="CW8" s="697"/>
      <c r="CX8" s="697"/>
      <c r="CY8" s="697"/>
      <c r="CZ8" s="697"/>
      <c r="DA8" s="697"/>
      <c r="DB8" s="697"/>
      <c r="DC8" s="697"/>
      <c r="DD8" s="697"/>
      <c r="DE8" s="697"/>
      <c r="DF8" s="697"/>
      <c r="DG8" s="697"/>
      <c r="DH8" s="697"/>
      <c r="DI8" s="697"/>
      <c r="DJ8" s="697"/>
      <c r="DK8" s="697"/>
      <c r="DL8" s="697"/>
      <c r="DM8" s="697"/>
      <c r="DN8" s="697"/>
      <c r="DO8" s="697"/>
      <c r="DP8" s="697"/>
      <c r="DQ8" s="697"/>
      <c r="DR8" s="697"/>
      <c r="DS8" s="697"/>
      <c r="DT8" s="697"/>
      <c r="DU8" s="697"/>
      <c r="DV8" s="697"/>
      <c r="DW8" s="697"/>
      <c r="DX8" s="697"/>
      <c r="DY8" s="697"/>
      <c r="DZ8" s="697"/>
      <c r="EA8" s="697"/>
      <c r="EB8" s="697"/>
      <c r="EC8" s="697"/>
      <c r="ED8" s="697"/>
      <c r="EE8" s="697"/>
      <c r="EF8" s="697"/>
      <c r="EG8" s="697"/>
      <c r="EH8" s="697"/>
      <c r="EI8" s="697"/>
      <c r="EJ8" s="697"/>
      <c r="EK8" s="697"/>
      <c r="EL8" s="697"/>
      <c r="EM8" s="697"/>
      <c r="EN8" s="697"/>
      <c r="EO8" s="697"/>
      <c r="EP8" s="697"/>
      <c r="EQ8" s="697"/>
      <c r="ER8" s="697"/>
      <c r="ES8" s="697"/>
      <c r="ET8" s="697"/>
      <c r="EU8" s="697"/>
      <c r="EV8" s="697"/>
      <c r="EW8" s="697"/>
      <c r="EX8" s="697"/>
      <c r="EY8" s="697"/>
      <c r="EZ8" s="669"/>
      <c r="FA8" s="669"/>
      <c r="FB8" s="669"/>
      <c r="FC8" s="669"/>
      <c r="FD8" s="669"/>
      <c r="FE8" s="669"/>
      <c r="FF8" s="669"/>
      <c r="FG8" s="669"/>
      <c r="FH8" s="669"/>
      <c r="FI8" s="669"/>
      <c r="FJ8" s="669"/>
      <c r="FK8" s="669"/>
      <c r="FL8" s="669"/>
    </row>
    <row r="9" spans="1:168" ht="18" x14ac:dyDescent="0.35">
      <c r="A9" s="1006"/>
      <c r="B9" s="1375" t="s">
        <v>1403</v>
      </c>
      <c r="C9" s="1074"/>
      <c r="D9" s="1074"/>
      <c r="E9" s="642"/>
      <c r="F9" s="642"/>
      <c r="G9" s="642"/>
      <c r="H9" s="669"/>
      <c r="I9" s="642"/>
      <c r="EZ9" s="669"/>
      <c r="FA9" s="669"/>
      <c r="FB9" s="669"/>
      <c r="FC9" s="669"/>
      <c r="FD9" s="669"/>
      <c r="FE9" s="669"/>
      <c r="FF9" s="669"/>
      <c r="FG9" s="669"/>
      <c r="FH9" s="669"/>
      <c r="FI9" s="669"/>
      <c r="FJ9" s="669"/>
      <c r="FK9" s="669"/>
      <c r="FL9" s="669"/>
    </row>
    <row r="10" spans="1:168" ht="9" customHeight="1" x14ac:dyDescent="0.35">
      <c r="A10" s="410"/>
      <c r="B10" s="890"/>
      <c r="E10" s="643"/>
      <c r="F10" s="643"/>
      <c r="G10" s="643"/>
      <c r="H10" s="670"/>
      <c r="I10" s="1240"/>
      <c r="EZ10" s="670"/>
      <c r="FA10" s="670"/>
      <c r="FB10" s="670"/>
      <c r="FC10" s="670"/>
      <c r="FD10" s="670"/>
      <c r="FE10" s="670"/>
      <c r="FF10" s="670"/>
      <c r="FG10" s="670"/>
      <c r="FH10" s="670"/>
      <c r="FI10" s="670"/>
      <c r="FJ10" s="670"/>
      <c r="FK10" s="670"/>
      <c r="FL10" s="670"/>
    </row>
    <row r="11" spans="1:168" ht="51.6" customHeight="1" x14ac:dyDescent="0.3">
      <c r="A11" s="1455" t="s">
        <v>632</v>
      </c>
      <c r="B11" s="1455"/>
      <c r="C11" s="1455"/>
      <c r="D11" s="1455"/>
      <c r="E11" s="1455"/>
      <c r="F11" s="1455"/>
      <c r="G11" s="1455"/>
      <c r="H11" s="1455"/>
      <c r="I11" s="1241"/>
      <c r="EZ11" s="1179"/>
      <c r="FA11" s="1179"/>
      <c r="FB11" s="1179"/>
      <c r="FC11" s="1179"/>
      <c r="FD11" s="1179"/>
      <c r="FE11" s="1179"/>
      <c r="FF11" s="1179"/>
      <c r="FG11" s="1179"/>
      <c r="FH11" s="1179"/>
      <c r="FI11" s="1179"/>
      <c r="FJ11" s="1179"/>
      <c r="FK11" s="1179"/>
      <c r="FL11" s="1179"/>
    </row>
    <row r="12" spans="1:168" x14ac:dyDescent="0.25">
      <c r="A12" s="1005"/>
      <c r="B12" s="1005"/>
      <c r="C12" s="745"/>
      <c r="D12" s="745"/>
      <c r="E12" s="667"/>
      <c r="F12" s="667"/>
      <c r="G12" s="667"/>
      <c r="H12" s="641"/>
      <c r="I12" s="667"/>
      <c r="EZ12" s="641"/>
      <c r="FA12" s="641"/>
      <c r="FB12" s="641"/>
      <c r="FC12" s="641"/>
      <c r="FD12" s="641"/>
      <c r="FE12" s="641"/>
      <c r="FF12" s="641"/>
      <c r="FG12" s="641"/>
      <c r="FH12" s="641"/>
      <c r="FI12" s="641"/>
      <c r="FJ12" s="641"/>
      <c r="FK12" s="641"/>
      <c r="FL12" s="641"/>
    </row>
    <row r="13" spans="1:168" x14ac:dyDescent="0.25">
      <c r="A13" s="1486" t="s">
        <v>1049</v>
      </c>
      <c r="B13" s="1487" t="s">
        <v>106</v>
      </c>
      <c r="C13" s="1488" t="s">
        <v>1352</v>
      </c>
      <c r="D13" s="1490" t="s">
        <v>1353</v>
      </c>
      <c r="E13" s="1490"/>
      <c r="F13" s="1490"/>
      <c r="G13" s="1483" t="s">
        <v>1355</v>
      </c>
      <c r="H13" s="1477" t="s">
        <v>1354</v>
      </c>
      <c r="I13" s="1489" t="s">
        <v>904</v>
      </c>
      <c r="J13" s="1478" t="s">
        <v>425</v>
      </c>
      <c r="K13" s="1479"/>
      <c r="L13" s="1479"/>
      <c r="M13" s="1479"/>
      <c r="N13" s="1479"/>
      <c r="O13" s="1479"/>
      <c r="P13" s="1479"/>
      <c r="Q13" s="1479"/>
      <c r="R13" s="1479"/>
      <c r="S13" s="1479"/>
      <c r="T13" s="1480"/>
      <c r="U13" s="1481" t="s">
        <v>424</v>
      </c>
      <c r="V13" s="1481"/>
      <c r="W13" s="1481"/>
      <c r="X13" s="1481"/>
      <c r="Y13" s="1481"/>
      <c r="Z13" s="1481"/>
      <c r="AA13" s="1481"/>
      <c r="AB13" s="1481"/>
      <c r="AC13" s="1481"/>
      <c r="AD13" s="1481"/>
      <c r="AE13" s="1482"/>
      <c r="AF13" s="1484" t="s">
        <v>274</v>
      </c>
      <c r="AG13" s="1485"/>
      <c r="AH13" s="1485"/>
      <c r="AI13" s="1485"/>
      <c r="AJ13" s="1485"/>
      <c r="AK13" s="1485"/>
      <c r="AL13" s="1485"/>
      <c r="AM13" s="1485"/>
      <c r="AN13" s="1485"/>
      <c r="AO13" s="1485"/>
      <c r="AP13" s="1485"/>
      <c r="AQ13" s="1485"/>
      <c r="AR13" s="1485"/>
      <c r="AS13" s="1485"/>
      <c r="AT13" s="1485"/>
      <c r="AU13" s="1485"/>
      <c r="AV13" s="1485"/>
      <c r="AW13" s="1485"/>
      <c r="AX13" s="1485"/>
      <c r="AY13" s="1003"/>
      <c r="AZ13" s="1003"/>
      <c r="BA13" s="1003"/>
      <c r="BB13" s="1003"/>
      <c r="BC13" s="1003"/>
      <c r="BD13" s="1003"/>
      <c r="BE13" s="1003"/>
      <c r="BF13" s="1003"/>
      <c r="BG13" s="1003"/>
      <c r="BH13" s="1003"/>
      <c r="BI13" s="1003"/>
      <c r="BJ13" s="1003"/>
      <c r="BK13" s="1003"/>
      <c r="BL13" s="1003"/>
      <c r="BM13" s="1003"/>
      <c r="BN13" s="1003"/>
      <c r="BO13" s="1003"/>
      <c r="BP13" s="1003"/>
      <c r="BQ13" s="1003"/>
      <c r="BR13" s="1003"/>
      <c r="BS13" s="1475" t="s">
        <v>276</v>
      </c>
      <c r="BT13" s="1476"/>
      <c r="BU13" s="1476"/>
      <c r="BV13" s="1476"/>
      <c r="BW13" s="1476"/>
      <c r="BX13" s="1476"/>
      <c r="BY13" s="1476"/>
      <c r="BZ13" s="1476"/>
      <c r="CA13" s="1476"/>
      <c r="CB13" s="1476"/>
      <c r="CC13" s="1476"/>
      <c r="CD13" s="1476"/>
      <c r="CE13" s="1476"/>
      <c r="CF13" s="1476"/>
      <c r="CG13" s="1476"/>
      <c r="CH13" s="1476"/>
      <c r="CI13" s="1476"/>
      <c r="CJ13" s="1476"/>
      <c r="CK13" s="1476"/>
      <c r="CL13" s="1476"/>
      <c r="CM13" s="1476"/>
      <c r="CN13" s="1476"/>
      <c r="CO13" s="1476"/>
      <c r="CP13" s="1476"/>
      <c r="CQ13" s="1476"/>
      <c r="CR13" s="1476"/>
      <c r="CS13" s="1476"/>
      <c r="CT13" s="1476"/>
      <c r="CU13" s="1476"/>
      <c r="CV13" s="1476"/>
      <c r="CW13" s="1476"/>
      <c r="CX13" s="1476"/>
      <c r="CY13" s="1476"/>
      <c r="CZ13" s="1476"/>
      <c r="DA13" s="1476"/>
      <c r="DB13" s="1476"/>
      <c r="DC13" s="1476"/>
      <c r="DD13" s="1476"/>
      <c r="DE13" s="1476"/>
      <c r="DF13" s="1476"/>
      <c r="DG13" s="1476"/>
      <c r="DH13" s="1476"/>
      <c r="DI13" s="1476"/>
      <c r="DJ13" s="1476"/>
      <c r="DK13" s="1476"/>
      <c r="DL13" s="1476"/>
      <c r="DM13" s="1476"/>
      <c r="DN13" s="1476"/>
      <c r="DO13" s="1476"/>
      <c r="DP13" s="1476"/>
      <c r="DQ13" s="1476"/>
      <c r="DR13" s="1476"/>
      <c r="DS13" s="1004"/>
      <c r="DT13" s="1004"/>
      <c r="DU13" s="1004"/>
      <c r="DV13" s="1004"/>
      <c r="DW13" s="1004"/>
      <c r="DX13" s="1004"/>
      <c r="DY13" s="1004"/>
      <c r="DZ13" s="1004"/>
      <c r="EA13" s="1004"/>
      <c r="EB13" s="1004"/>
      <c r="EC13" s="1004"/>
      <c r="ED13" s="1004"/>
      <c r="EE13" s="1004"/>
      <c r="EF13" s="1004"/>
      <c r="EG13" s="1004"/>
      <c r="EH13" s="1004"/>
      <c r="EI13" s="1004"/>
      <c r="EJ13" s="1004"/>
      <c r="EK13" s="1004"/>
      <c r="EL13" s="1004"/>
      <c r="EM13" s="1004"/>
      <c r="EN13" s="1004"/>
      <c r="EO13" s="1004"/>
      <c r="EP13" s="1004"/>
      <c r="EQ13" s="1004"/>
      <c r="ER13" s="1004"/>
      <c r="ES13" s="1004"/>
      <c r="ET13" s="1004"/>
      <c r="EU13" s="1004"/>
      <c r="EV13" s="698"/>
      <c r="EW13" s="698"/>
      <c r="EX13" s="698"/>
      <c r="EY13" s="696"/>
      <c r="EZ13" s="1500" t="s">
        <v>962</v>
      </c>
      <c r="FA13" s="1501"/>
      <c r="FB13" s="1501"/>
      <c r="FC13" s="1501"/>
      <c r="FD13" s="1502"/>
      <c r="FE13" s="1500" t="s">
        <v>963</v>
      </c>
      <c r="FF13" s="1501"/>
      <c r="FG13" s="1501"/>
      <c r="FH13" s="1501"/>
      <c r="FI13" s="1501"/>
      <c r="FJ13" s="1501"/>
      <c r="FK13" s="1501"/>
      <c r="FL13" s="1501"/>
    </row>
    <row r="14" spans="1:168" ht="69" customHeight="1" x14ac:dyDescent="0.25">
      <c r="A14" s="1486"/>
      <c r="B14" s="1487"/>
      <c r="C14" s="1488"/>
      <c r="D14" s="1220" t="s">
        <v>587</v>
      </c>
      <c r="E14" s="1220" t="s">
        <v>588</v>
      </c>
      <c r="F14" s="1220" t="s">
        <v>589</v>
      </c>
      <c r="G14" s="1483"/>
      <c r="H14" s="1477"/>
      <c r="I14" s="1489"/>
      <c r="J14" s="692" t="s">
        <v>235</v>
      </c>
      <c r="K14" s="692" t="s">
        <v>682</v>
      </c>
      <c r="L14" s="692" t="s">
        <v>676</v>
      </c>
      <c r="M14" s="692" t="s">
        <v>781</v>
      </c>
      <c r="N14" s="692" t="s">
        <v>922</v>
      </c>
      <c r="O14" s="692" t="s">
        <v>330</v>
      </c>
      <c r="P14" s="692" t="s">
        <v>249</v>
      </c>
      <c r="Q14" s="692" t="s">
        <v>248</v>
      </c>
      <c r="R14" s="692" t="s">
        <v>790</v>
      </c>
      <c r="S14" s="692" t="s">
        <v>791</v>
      </c>
      <c r="T14" s="692" t="s">
        <v>537</v>
      </c>
      <c r="U14" s="692" t="s">
        <v>236</v>
      </c>
      <c r="V14" s="692" t="s">
        <v>246</v>
      </c>
      <c r="W14" s="692" t="s">
        <v>324</v>
      </c>
      <c r="X14" s="692" t="s">
        <v>714</v>
      </c>
      <c r="Y14" s="692" t="s">
        <v>79</v>
      </c>
      <c r="Z14" s="692" t="s">
        <v>259</v>
      </c>
      <c r="AA14" s="692" t="s">
        <v>712</v>
      </c>
      <c r="AB14" s="692" t="s">
        <v>713</v>
      </c>
      <c r="AC14" s="692" t="s">
        <v>933</v>
      </c>
      <c r="AD14" s="692" t="s">
        <v>675</v>
      </c>
      <c r="AE14" s="692" t="s">
        <v>932</v>
      </c>
      <c r="AF14" s="692" t="s">
        <v>53</v>
      </c>
      <c r="AG14" s="692" t="s">
        <v>820</v>
      </c>
      <c r="AH14" s="692" t="s">
        <v>50</v>
      </c>
      <c r="AI14" s="692" t="s">
        <v>556</v>
      </c>
      <c r="AJ14" s="692" t="s">
        <v>265</v>
      </c>
      <c r="AK14" s="692" t="s">
        <v>48</v>
      </c>
      <c r="AL14" s="692" t="s">
        <v>337</v>
      </c>
      <c r="AM14" s="692" t="s">
        <v>335</v>
      </c>
      <c r="AN14" s="692" t="s">
        <v>376</v>
      </c>
      <c r="AO14" s="692" t="s">
        <v>377</v>
      </c>
      <c r="AP14" s="692" t="s">
        <v>508</v>
      </c>
      <c r="AQ14" s="692" t="s">
        <v>237</v>
      </c>
      <c r="AR14" s="692" t="s">
        <v>819</v>
      </c>
      <c r="AS14" s="692" t="s">
        <v>373</v>
      </c>
      <c r="AT14" s="692" t="s">
        <v>269</v>
      </c>
      <c r="AU14" s="692" t="s">
        <v>78</v>
      </c>
      <c r="AV14" s="692" t="s">
        <v>542</v>
      </c>
      <c r="AW14" s="692" t="s">
        <v>543</v>
      </c>
      <c r="AX14" s="692" t="s">
        <v>230</v>
      </c>
      <c r="AY14" s="692" t="s">
        <v>821</v>
      </c>
      <c r="AZ14" s="692" t="s">
        <v>466</v>
      </c>
      <c r="BA14" s="692" t="s">
        <v>659</v>
      </c>
      <c r="BB14" s="692" t="s">
        <v>224</v>
      </c>
      <c r="BC14" s="692" t="s">
        <v>522</v>
      </c>
      <c r="BD14" s="692" t="s">
        <v>502</v>
      </c>
      <c r="BE14" s="692" t="s">
        <v>811</v>
      </c>
      <c r="BF14" s="818" t="s">
        <v>935</v>
      </c>
      <c r="BG14" s="818" t="s">
        <v>936</v>
      </c>
      <c r="BH14" s="818" t="s">
        <v>937</v>
      </c>
      <c r="BI14" s="692" t="s">
        <v>504</v>
      </c>
      <c r="BJ14" s="692" t="s">
        <v>505</v>
      </c>
      <c r="BK14" s="692" t="s">
        <v>229</v>
      </c>
      <c r="BL14" s="692" t="s">
        <v>818</v>
      </c>
      <c r="BM14" s="692" t="s">
        <v>494</v>
      </c>
      <c r="BN14" s="692" t="s">
        <v>495</v>
      </c>
      <c r="BO14" s="692" t="s">
        <v>500</v>
      </c>
      <c r="BP14" s="692" t="s">
        <v>501</v>
      </c>
      <c r="BQ14" s="692" t="s">
        <v>496</v>
      </c>
      <c r="BR14" s="692" t="s">
        <v>273</v>
      </c>
      <c r="BS14" s="692" t="s">
        <v>234</v>
      </c>
      <c r="BT14" s="692" t="s">
        <v>279</v>
      </c>
      <c r="BU14" s="692" t="s">
        <v>66</v>
      </c>
      <c r="BV14" s="692" t="s">
        <v>340</v>
      </c>
      <c r="BW14" s="692" t="s">
        <v>700</v>
      </c>
      <c r="BX14" s="692" t="s">
        <v>701</v>
      </c>
      <c r="BY14" s="692" t="s">
        <v>857</v>
      </c>
      <c r="BZ14" s="692" t="s">
        <v>886</v>
      </c>
      <c r="CA14" s="692" t="s">
        <v>322</v>
      </c>
      <c r="CB14" s="692" t="s">
        <v>472</v>
      </c>
      <c r="CC14" s="692" t="s">
        <v>813</v>
      </c>
      <c r="CD14" s="692" t="s">
        <v>915</v>
      </c>
      <c r="CE14" s="692" t="s">
        <v>125</v>
      </c>
      <c r="CF14" s="692" t="s">
        <v>245</v>
      </c>
      <c r="CG14" s="692" t="s">
        <v>285</v>
      </c>
      <c r="CH14" s="692" t="s">
        <v>638</v>
      </c>
      <c r="CI14" s="692" t="s">
        <v>56</v>
      </c>
      <c r="CJ14" s="692" t="s">
        <v>697</v>
      </c>
      <c r="CK14" s="692" t="s">
        <v>390</v>
      </c>
      <c r="CL14" s="692" t="s">
        <v>240</v>
      </c>
      <c r="CM14" s="692" t="s">
        <v>289</v>
      </c>
      <c r="CN14" s="692" t="s">
        <v>247</v>
      </c>
      <c r="CO14" s="692" t="s">
        <v>143</v>
      </c>
      <c r="CP14" s="692" t="s">
        <v>815</v>
      </c>
      <c r="CQ14" s="692" t="s">
        <v>135</v>
      </c>
      <c r="CR14" s="692" t="s">
        <v>63</v>
      </c>
      <c r="CS14" s="692" t="s">
        <v>242</v>
      </c>
      <c r="CT14" s="692" t="s">
        <v>159</v>
      </c>
      <c r="CU14" s="692" t="s">
        <v>532</v>
      </c>
      <c r="CV14" s="692" t="s">
        <v>528</v>
      </c>
      <c r="CW14" s="692" t="s">
        <v>244</v>
      </c>
      <c r="CX14" s="692" t="s">
        <v>814</v>
      </c>
      <c r="CY14" s="692" t="s">
        <v>839</v>
      </c>
      <c r="CZ14" s="692" t="s">
        <v>239</v>
      </c>
      <c r="DA14" s="692" t="s">
        <v>426</v>
      </c>
      <c r="DB14" s="692" t="s">
        <v>930</v>
      </c>
      <c r="DC14" s="692" t="s">
        <v>75</v>
      </c>
      <c r="DD14" s="692" t="s">
        <v>72</v>
      </c>
      <c r="DE14" s="692" t="s">
        <v>243</v>
      </c>
      <c r="DF14" s="692" t="s">
        <v>241</v>
      </c>
      <c r="DG14" s="692" t="s">
        <v>474</v>
      </c>
      <c r="DH14" s="692" t="s">
        <v>146</v>
      </c>
      <c r="DI14" s="692" t="s">
        <v>698</v>
      </c>
      <c r="DJ14" s="692" t="s">
        <v>816</v>
      </c>
      <c r="DK14" s="692" t="s">
        <v>817</v>
      </c>
      <c r="DL14" s="692" t="s">
        <v>336</v>
      </c>
      <c r="DM14" s="692" t="s">
        <v>334</v>
      </c>
      <c r="DN14" s="692" t="s">
        <v>856</v>
      </c>
      <c r="DO14" s="692" t="s">
        <v>807</v>
      </c>
      <c r="DP14" s="692" t="s">
        <v>808</v>
      </c>
      <c r="DQ14" s="692" t="s">
        <v>809</v>
      </c>
      <c r="DR14" s="692" t="s">
        <v>238</v>
      </c>
      <c r="DS14" s="692" t="s">
        <v>194</v>
      </c>
      <c r="DT14" s="692" t="s">
        <v>473</v>
      </c>
      <c r="DU14" s="692" t="s">
        <v>487</v>
      </c>
      <c r="DV14" s="692" t="s">
        <v>530</v>
      </c>
      <c r="DW14" s="692" t="s">
        <v>567</v>
      </c>
      <c r="DX14" s="692" t="s">
        <v>163</v>
      </c>
      <c r="DY14" s="692" t="s">
        <v>486</v>
      </c>
      <c r="DZ14" s="692" t="s">
        <v>485</v>
      </c>
      <c r="EA14" s="692" t="s">
        <v>705</v>
      </c>
      <c r="EB14" s="692" t="s">
        <v>706</v>
      </c>
      <c r="EC14" s="692" t="s">
        <v>931</v>
      </c>
      <c r="ED14" s="692" t="s">
        <v>803</v>
      </c>
      <c r="EE14" s="692" t="s">
        <v>804</v>
      </c>
      <c r="EF14" s="692" t="s">
        <v>810</v>
      </c>
      <c r="EG14" s="692" t="s">
        <v>806</v>
      </c>
      <c r="EH14" s="692" t="s">
        <v>707</v>
      </c>
      <c r="EI14" s="692" t="s">
        <v>822</v>
      </c>
      <c r="EJ14" s="692" t="s">
        <v>708</v>
      </c>
      <c r="EK14" s="692" t="s">
        <v>710</v>
      </c>
      <c r="EL14" s="692" t="s">
        <v>711</v>
      </c>
      <c r="EM14" s="692" t="s">
        <v>824</v>
      </c>
      <c r="EN14" s="692" t="s">
        <v>802</v>
      </c>
      <c r="EO14" s="692" t="s">
        <v>854</v>
      </c>
      <c r="EP14" s="692" t="s">
        <v>855</v>
      </c>
      <c r="EQ14" s="692" t="s">
        <v>805</v>
      </c>
      <c r="ER14" s="692" t="s">
        <v>812</v>
      </c>
      <c r="ES14" s="692" t="s">
        <v>823</v>
      </c>
      <c r="ET14" s="736">
        <v>0</v>
      </c>
      <c r="EU14" s="736">
        <v>0</v>
      </c>
      <c r="EV14" s="692" t="s">
        <v>916</v>
      </c>
      <c r="EW14" s="692" t="s">
        <v>917</v>
      </c>
      <c r="EX14" s="692" t="s">
        <v>325</v>
      </c>
      <c r="EY14" s="693" t="s">
        <v>202</v>
      </c>
      <c r="EZ14" s="821" t="s">
        <v>959</v>
      </c>
      <c r="FA14" s="1177" t="s">
        <v>960</v>
      </c>
      <c r="FB14" s="828" t="s">
        <v>957</v>
      </c>
      <c r="FC14" s="828" t="s">
        <v>958</v>
      </c>
      <c r="FD14" s="828" t="s">
        <v>964</v>
      </c>
      <c r="FE14" s="1177" t="s">
        <v>972</v>
      </c>
      <c r="FF14" s="1177" t="s">
        <v>971</v>
      </c>
      <c r="FG14" s="1177" t="s">
        <v>970</v>
      </c>
      <c r="FH14" s="1177" t="s">
        <v>969</v>
      </c>
      <c r="FI14" s="1177" t="s">
        <v>968</v>
      </c>
      <c r="FJ14" s="1177" t="s">
        <v>967</v>
      </c>
      <c r="FK14" s="1177" t="s">
        <v>973</v>
      </c>
      <c r="FL14" s="1177" t="s">
        <v>974</v>
      </c>
    </row>
    <row r="15" spans="1:168" s="633" customFormat="1" x14ac:dyDescent="0.25">
      <c r="A15" s="701"/>
      <c r="B15" s="251"/>
      <c r="C15" s="251"/>
      <c r="D15" s="251"/>
      <c r="E15" s="644"/>
      <c r="F15" s="644"/>
      <c r="G15" s="644"/>
      <c r="H15" s="671"/>
      <c r="I15" s="1242"/>
      <c r="J15" s="702">
        <v>1</v>
      </c>
      <c r="K15" s="702">
        <v>2</v>
      </c>
      <c r="L15" s="702">
        <v>3</v>
      </c>
      <c r="M15" s="702">
        <v>4</v>
      </c>
      <c r="N15" s="702">
        <v>5</v>
      </c>
      <c r="O15" s="702">
        <v>6</v>
      </c>
      <c r="P15" s="702">
        <v>7</v>
      </c>
      <c r="Q15" s="702">
        <v>8</v>
      </c>
      <c r="R15" s="702">
        <v>9</v>
      </c>
      <c r="S15" s="702">
        <v>10</v>
      </c>
      <c r="T15" s="702">
        <v>11</v>
      </c>
      <c r="U15" s="702">
        <v>12</v>
      </c>
      <c r="V15" s="702">
        <v>13</v>
      </c>
      <c r="W15" s="702">
        <v>14</v>
      </c>
      <c r="X15" s="702">
        <v>15</v>
      </c>
      <c r="Y15" s="702">
        <v>16</v>
      </c>
      <c r="Z15" s="702">
        <v>17</v>
      </c>
      <c r="AA15" s="702">
        <v>18</v>
      </c>
      <c r="AB15" s="702">
        <v>19</v>
      </c>
      <c r="AC15" s="702">
        <v>20</v>
      </c>
      <c r="AD15" s="702">
        <v>21</v>
      </c>
      <c r="AE15" s="702">
        <v>22</v>
      </c>
      <c r="AF15" s="702">
        <v>23</v>
      </c>
      <c r="AG15" s="702">
        <v>24</v>
      </c>
      <c r="AH15" s="702">
        <v>25</v>
      </c>
      <c r="AI15" s="702">
        <v>26</v>
      </c>
      <c r="AJ15" s="702">
        <v>27</v>
      </c>
      <c r="AK15" s="702">
        <v>28</v>
      </c>
      <c r="AL15" s="702">
        <v>29</v>
      </c>
      <c r="AM15" s="702">
        <v>30</v>
      </c>
      <c r="AN15" s="702">
        <v>31</v>
      </c>
      <c r="AO15" s="702">
        <v>32</v>
      </c>
      <c r="AP15" s="702">
        <v>33</v>
      </c>
      <c r="AQ15" s="702">
        <v>34</v>
      </c>
      <c r="AR15" s="702">
        <v>35</v>
      </c>
      <c r="AS15" s="702">
        <v>36</v>
      </c>
      <c r="AT15" s="702">
        <v>37</v>
      </c>
      <c r="AU15" s="702">
        <v>38</v>
      </c>
      <c r="AV15" s="702">
        <v>39</v>
      </c>
      <c r="AW15" s="702">
        <v>40</v>
      </c>
      <c r="AX15" s="702">
        <v>41</v>
      </c>
      <c r="AY15" s="702">
        <v>42</v>
      </c>
      <c r="AZ15" s="702">
        <v>43</v>
      </c>
      <c r="BA15" s="702">
        <v>44</v>
      </c>
      <c r="BB15" s="702">
        <v>45</v>
      </c>
      <c r="BC15" s="702">
        <v>46</v>
      </c>
      <c r="BD15" s="702">
        <v>47</v>
      </c>
      <c r="BE15" s="702">
        <v>48</v>
      </c>
      <c r="BF15" s="702">
        <v>49</v>
      </c>
      <c r="BG15" s="702">
        <v>50</v>
      </c>
      <c r="BH15" s="702">
        <v>51</v>
      </c>
      <c r="BI15" s="702">
        <v>52</v>
      </c>
      <c r="BJ15" s="702">
        <v>53</v>
      </c>
      <c r="BK15" s="702">
        <v>54</v>
      </c>
      <c r="BL15" s="702">
        <v>55</v>
      </c>
      <c r="BM15" s="702">
        <v>56</v>
      </c>
      <c r="BN15" s="702">
        <v>57</v>
      </c>
      <c r="BO15" s="702">
        <v>58</v>
      </c>
      <c r="BP15" s="702">
        <v>59</v>
      </c>
      <c r="BQ15" s="702">
        <v>60</v>
      </c>
      <c r="BR15" s="702">
        <v>61</v>
      </c>
      <c r="BS15" s="702">
        <v>62</v>
      </c>
      <c r="BT15" s="702">
        <v>63</v>
      </c>
      <c r="BU15" s="702">
        <v>64</v>
      </c>
      <c r="BV15" s="702">
        <v>65</v>
      </c>
      <c r="BW15" s="702">
        <v>66</v>
      </c>
      <c r="BX15" s="702">
        <v>67</v>
      </c>
      <c r="BY15" s="702">
        <v>68</v>
      </c>
      <c r="BZ15" s="702">
        <v>69</v>
      </c>
      <c r="CA15" s="702">
        <v>70</v>
      </c>
      <c r="CB15" s="702">
        <v>71</v>
      </c>
      <c r="CC15" s="702">
        <v>72</v>
      </c>
      <c r="CD15" s="702">
        <v>73</v>
      </c>
      <c r="CE15" s="702">
        <v>74</v>
      </c>
      <c r="CF15" s="702">
        <v>75</v>
      </c>
      <c r="CG15" s="702">
        <v>76</v>
      </c>
      <c r="CH15" s="702">
        <v>77</v>
      </c>
      <c r="CI15" s="702">
        <v>78</v>
      </c>
      <c r="CJ15" s="702">
        <v>79</v>
      </c>
      <c r="CK15" s="702">
        <v>80</v>
      </c>
      <c r="CL15" s="702">
        <v>81</v>
      </c>
      <c r="CM15" s="702">
        <v>82</v>
      </c>
      <c r="CN15" s="702">
        <v>83</v>
      </c>
      <c r="CO15" s="702">
        <v>84</v>
      </c>
      <c r="CP15" s="702">
        <v>85</v>
      </c>
      <c r="CQ15" s="702">
        <v>86</v>
      </c>
      <c r="CR15" s="702">
        <v>87</v>
      </c>
      <c r="CS15" s="702">
        <v>88</v>
      </c>
      <c r="CT15" s="702">
        <v>89</v>
      </c>
      <c r="CU15" s="702">
        <v>90</v>
      </c>
      <c r="CV15" s="702">
        <v>91</v>
      </c>
      <c r="CW15" s="702">
        <v>92</v>
      </c>
      <c r="CX15" s="702">
        <v>93</v>
      </c>
      <c r="CY15" s="702">
        <v>94</v>
      </c>
      <c r="CZ15" s="702">
        <v>95</v>
      </c>
      <c r="DA15" s="702">
        <v>96</v>
      </c>
      <c r="DB15" s="702">
        <v>97</v>
      </c>
      <c r="DC15" s="702">
        <v>98</v>
      </c>
      <c r="DD15" s="702">
        <v>99</v>
      </c>
      <c r="DE15" s="702">
        <v>100</v>
      </c>
      <c r="DF15" s="702">
        <v>101</v>
      </c>
      <c r="DG15" s="702">
        <v>102</v>
      </c>
      <c r="DH15" s="702">
        <v>103</v>
      </c>
      <c r="DI15" s="702">
        <v>104</v>
      </c>
      <c r="DJ15" s="702">
        <v>105</v>
      </c>
      <c r="DK15" s="702">
        <v>106</v>
      </c>
      <c r="DL15" s="702">
        <v>107</v>
      </c>
      <c r="DM15" s="702">
        <v>108</v>
      </c>
      <c r="DN15" s="702">
        <v>109</v>
      </c>
      <c r="DO15" s="702">
        <v>110</v>
      </c>
      <c r="DP15" s="702">
        <v>111</v>
      </c>
      <c r="DQ15" s="702">
        <v>112</v>
      </c>
      <c r="DR15" s="702">
        <v>113</v>
      </c>
      <c r="DS15" s="702">
        <v>114</v>
      </c>
      <c r="DT15" s="702">
        <v>115</v>
      </c>
      <c r="DU15" s="702">
        <v>116</v>
      </c>
      <c r="DV15" s="702">
        <v>117</v>
      </c>
      <c r="DW15" s="702">
        <v>118</v>
      </c>
      <c r="DX15" s="702">
        <v>119</v>
      </c>
      <c r="DY15" s="702">
        <v>120</v>
      </c>
      <c r="DZ15" s="702">
        <v>121</v>
      </c>
      <c r="EA15" s="702">
        <v>122</v>
      </c>
      <c r="EB15" s="702">
        <v>123</v>
      </c>
      <c r="EC15" s="702">
        <v>124</v>
      </c>
      <c r="ED15" s="702">
        <v>125</v>
      </c>
      <c r="EE15" s="702">
        <v>126</v>
      </c>
      <c r="EF15" s="702">
        <v>127</v>
      </c>
      <c r="EG15" s="702">
        <v>128</v>
      </c>
      <c r="EH15" s="702">
        <v>129</v>
      </c>
      <c r="EI15" s="702">
        <v>130</v>
      </c>
      <c r="EJ15" s="702">
        <v>131</v>
      </c>
      <c r="EK15" s="702">
        <v>132</v>
      </c>
      <c r="EL15" s="702">
        <v>133</v>
      </c>
      <c r="EM15" s="702">
        <v>134</v>
      </c>
      <c r="EN15" s="702">
        <v>135</v>
      </c>
      <c r="EO15" s="702">
        <v>136</v>
      </c>
      <c r="EP15" s="702">
        <v>137</v>
      </c>
      <c r="EQ15" s="702">
        <v>138</v>
      </c>
      <c r="ER15" s="702">
        <v>139</v>
      </c>
      <c r="ES15" s="702">
        <v>140</v>
      </c>
      <c r="ET15" s="702">
        <v>141</v>
      </c>
      <c r="EU15" s="702">
        <v>142</v>
      </c>
      <c r="EV15" s="702">
        <v>143</v>
      </c>
      <c r="EW15" s="702">
        <v>144</v>
      </c>
      <c r="EX15" s="702">
        <v>145</v>
      </c>
      <c r="EY15" s="702"/>
      <c r="EZ15" s="826"/>
      <c r="FA15" s="826"/>
      <c r="FB15" s="826"/>
      <c r="FC15" s="826"/>
      <c r="FD15" s="826"/>
      <c r="FE15" s="826"/>
      <c r="FF15" s="826"/>
      <c r="FG15" s="826"/>
      <c r="FH15" s="826"/>
      <c r="FI15" s="826"/>
      <c r="FJ15" s="826"/>
      <c r="FK15" s="826"/>
      <c r="FL15" s="826"/>
    </row>
    <row r="16" spans="1:168" ht="18" customHeight="1" x14ac:dyDescent="0.25">
      <c r="A16" s="556"/>
      <c r="B16" s="555" t="s">
        <v>1223</v>
      </c>
      <c r="C16" s="634"/>
      <c r="D16" s="634"/>
      <c r="E16" s="645"/>
      <c r="F16" s="645"/>
      <c r="G16" s="645"/>
      <c r="H16" s="672"/>
      <c r="I16" s="1243"/>
      <c r="J16" s="765"/>
      <c r="K16" s="765"/>
      <c r="L16" s="765"/>
      <c r="M16" s="765"/>
      <c r="N16" s="765"/>
      <c r="O16" s="765"/>
      <c r="P16" s="766"/>
      <c r="Q16" s="766"/>
      <c r="R16" s="766"/>
      <c r="S16" s="766"/>
      <c r="T16" s="766"/>
      <c r="U16" s="766"/>
      <c r="V16" s="766"/>
      <c r="W16" s="766"/>
      <c r="X16" s="766"/>
      <c r="Y16" s="766"/>
      <c r="Z16" s="766"/>
      <c r="AA16" s="766"/>
      <c r="AB16" s="766"/>
      <c r="AC16" s="766"/>
      <c r="AD16" s="766"/>
      <c r="AE16" s="766"/>
      <c r="AF16" s="766"/>
      <c r="AG16" s="766"/>
      <c r="AH16" s="766"/>
      <c r="AI16" s="766"/>
      <c r="AJ16" s="766"/>
      <c r="AK16" s="766"/>
      <c r="AL16" s="766"/>
      <c r="AM16" s="766"/>
      <c r="AN16" s="766"/>
      <c r="AO16" s="766"/>
      <c r="AP16" s="766"/>
      <c r="AQ16" s="766"/>
      <c r="AR16" s="766"/>
      <c r="AS16" s="766"/>
      <c r="AT16" s="766"/>
      <c r="AU16" s="766"/>
      <c r="AV16" s="766"/>
      <c r="AW16" s="766"/>
      <c r="AX16" s="766"/>
      <c r="AY16" s="766"/>
      <c r="AZ16" s="766"/>
      <c r="BA16" s="766"/>
      <c r="BB16" s="766"/>
      <c r="BC16" s="766"/>
      <c r="BD16" s="766"/>
      <c r="BE16" s="766"/>
      <c r="BF16" s="766"/>
      <c r="BG16" s="766"/>
      <c r="BH16" s="766"/>
      <c r="BI16" s="766"/>
      <c r="BJ16" s="766"/>
      <c r="BK16" s="766"/>
      <c r="BL16" s="766"/>
      <c r="BM16" s="766"/>
      <c r="BN16" s="766"/>
      <c r="BO16" s="766"/>
      <c r="BP16" s="766"/>
      <c r="BQ16" s="766"/>
      <c r="BR16" s="766"/>
      <c r="BS16" s="766"/>
      <c r="BT16" s="766"/>
      <c r="BU16" s="766"/>
      <c r="BV16" s="766"/>
      <c r="BW16" s="766"/>
      <c r="BX16" s="766"/>
      <c r="BY16" s="766"/>
      <c r="BZ16" s="766"/>
      <c r="CA16" s="766"/>
      <c r="CB16" s="766"/>
      <c r="CC16" s="766"/>
      <c r="CD16" s="766"/>
      <c r="CE16" s="766"/>
      <c r="CF16" s="766"/>
      <c r="CG16" s="766"/>
      <c r="CH16" s="766"/>
      <c r="CI16" s="766"/>
      <c r="CJ16" s="766"/>
      <c r="CK16" s="766"/>
      <c r="CL16" s="766"/>
      <c r="CM16" s="766"/>
      <c r="CN16" s="766"/>
      <c r="CO16" s="766"/>
      <c r="CP16" s="766"/>
      <c r="CQ16" s="766"/>
      <c r="CR16" s="766"/>
      <c r="CS16" s="766"/>
      <c r="CT16" s="766"/>
      <c r="CU16" s="766"/>
      <c r="CV16" s="766"/>
      <c r="CW16" s="766"/>
      <c r="CX16" s="766"/>
      <c r="CY16" s="766"/>
      <c r="CZ16" s="766"/>
      <c r="DA16" s="766"/>
      <c r="DB16" s="766"/>
      <c r="DC16" s="766"/>
      <c r="DD16" s="766"/>
      <c r="DE16" s="766"/>
      <c r="DF16" s="766"/>
      <c r="DG16" s="766"/>
      <c r="DH16" s="766"/>
      <c r="DI16" s="766"/>
      <c r="DJ16" s="766"/>
      <c r="DK16" s="766"/>
      <c r="DL16" s="766"/>
      <c r="DM16" s="766"/>
      <c r="DN16" s="766"/>
      <c r="DO16" s="766"/>
      <c r="DP16" s="766"/>
      <c r="DQ16" s="766"/>
      <c r="DR16" s="766"/>
      <c r="DS16" s="766"/>
      <c r="DT16" s="766"/>
      <c r="DU16" s="766"/>
      <c r="DV16" s="766"/>
      <c r="DW16" s="766"/>
      <c r="DX16" s="766"/>
      <c r="DY16" s="766"/>
      <c r="DZ16" s="766"/>
      <c r="EA16" s="766"/>
      <c r="EB16" s="766"/>
      <c r="EC16" s="766"/>
      <c r="ED16" s="766"/>
      <c r="EE16" s="766"/>
      <c r="EF16" s="766"/>
      <c r="EG16" s="766"/>
      <c r="EH16" s="766"/>
      <c r="EI16" s="766"/>
      <c r="EJ16" s="766"/>
      <c r="EK16" s="766"/>
      <c r="EL16" s="766"/>
      <c r="EM16" s="766"/>
      <c r="EN16" s="766"/>
      <c r="EO16" s="766"/>
      <c r="EP16" s="766"/>
      <c r="EQ16" s="766"/>
      <c r="ER16" s="766"/>
      <c r="ES16" s="766"/>
      <c r="ET16" s="766"/>
      <c r="EU16" s="766"/>
      <c r="EV16" s="766"/>
      <c r="EW16" s="766"/>
      <c r="EX16" s="766"/>
      <c r="EY16" s="694"/>
      <c r="EZ16" s="827"/>
      <c r="FA16" s="827"/>
      <c r="FB16" s="827"/>
      <c r="FC16" s="827"/>
      <c r="FD16" s="827"/>
      <c r="FE16" s="827"/>
      <c r="FF16" s="827"/>
      <c r="FG16" s="827"/>
      <c r="FH16" s="827"/>
      <c r="FI16" s="827"/>
      <c r="FJ16" s="827"/>
      <c r="FK16" s="827"/>
      <c r="FL16" s="827"/>
    </row>
    <row r="17" spans="1:168" ht="26.4" x14ac:dyDescent="0.25">
      <c r="A17" s="1462" t="s">
        <v>109</v>
      </c>
      <c r="B17" s="1009" t="str">
        <f>блюда!B136</f>
        <v>Каша жидкая молочная из гречневой крупы с маслом и сахаром</v>
      </c>
      <c r="C17" s="704">
        <f>блюда!C136</f>
        <v>220</v>
      </c>
      <c r="D17" s="117">
        <f>блюда!D136</f>
        <v>9.09</v>
      </c>
      <c r="E17" s="117">
        <f>блюда!E136</f>
        <v>12.99</v>
      </c>
      <c r="F17" s="117">
        <f>блюда!F136</f>
        <v>45.16</v>
      </c>
      <c r="G17" s="704">
        <f>блюда!G136</f>
        <v>335</v>
      </c>
      <c r="H17" s="704">
        <f>блюда!H136</f>
        <v>183</v>
      </c>
      <c r="I17" s="117">
        <f>блюда!I136</f>
        <v>23.56</v>
      </c>
      <c r="J17" s="703">
        <f>блюда!J136</f>
        <v>0</v>
      </c>
      <c r="K17" s="703">
        <f>блюда!K136</f>
        <v>0</v>
      </c>
      <c r="L17" s="703">
        <f>блюда!L136</f>
        <v>0</v>
      </c>
      <c r="M17" s="703">
        <f>блюда!M136</f>
        <v>0</v>
      </c>
      <c r="N17" s="703">
        <f>блюда!N136</f>
        <v>0</v>
      </c>
      <c r="O17" s="703">
        <f>блюда!O136</f>
        <v>0</v>
      </c>
      <c r="P17" s="703">
        <f>блюда!P136</f>
        <v>0</v>
      </c>
      <c r="Q17" s="703">
        <f>блюда!Q136</f>
        <v>0</v>
      </c>
      <c r="R17" s="703">
        <f>блюда!R136</f>
        <v>0</v>
      </c>
      <c r="S17" s="703">
        <f>блюда!S136</f>
        <v>0</v>
      </c>
      <c r="T17" s="703">
        <f>блюда!T136</f>
        <v>0</v>
      </c>
      <c r="U17" s="703">
        <f>блюда!U136</f>
        <v>0.14000000000000001</v>
      </c>
      <c r="V17" s="703">
        <f>блюда!V136</f>
        <v>0.01</v>
      </c>
      <c r="W17" s="703">
        <f>блюда!W136</f>
        <v>0</v>
      </c>
      <c r="X17" s="703">
        <f>блюда!X136</f>
        <v>0</v>
      </c>
      <c r="Y17" s="703">
        <f>блюда!Y136</f>
        <v>0</v>
      </c>
      <c r="Z17" s="703">
        <f>блюда!Z136</f>
        <v>0</v>
      </c>
      <c r="AA17" s="703">
        <f>блюда!AA136</f>
        <v>0</v>
      </c>
      <c r="AB17" s="703">
        <f>блюда!AB136</f>
        <v>0</v>
      </c>
      <c r="AC17" s="703">
        <f>блюда!AC136</f>
        <v>0</v>
      </c>
      <c r="AD17" s="703">
        <f>блюда!AD136</f>
        <v>0</v>
      </c>
      <c r="AE17" s="703">
        <f>блюда!AE136</f>
        <v>0</v>
      </c>
      <c r="AF17" s="703">
        <f>блюда!AF136</f>
        <v>0</v>
      </c>
      <c r="AG17" s="703">
        <f>блюда!AG136</f>
        <v>0</v>
      </c>
      <c r="AH17" s="703">
        <f>блюда!AH136</f>
        <v>0</v>
      </c>
      <c r="AI17" s="703">
        <f>блюда!AI136</f>
        <v>0</v>
      </c>
      <c r="AJ17" s="703">
        <f>блюда!AJ136</f>
        <v>0</v>
      </c>
      <c r="AK17" s="703">
        <f>блюда!AK136</f>
        <v>0</v>
      </c>
      <c r="AL17" s="703">
        <f>блюда!AL136</f>
        <v>0</v>
      </c>
      <c r="AM17" s="703">
        <f>блюда!AM136</f>
        <v>0</v>
      </c>
      <c r="AN17" s="703">
        <f>блюда!AN136</f>
        <v>0</v>
      </c>
      <c r="AO17" s="703">
        <f>блюда!AO136</f>
        <v>0</v>
      </c>
      <c r="AP17" s="703">
        <f>блюда!AP136</f>
        <v>0</v>
      </c>
      <c r="AQ17" s="703">
        <f>блюда!AQ136</f>
        <v>0</v>
      </c>
      <c r="AR17" s="703">
        <f>блюда!AR136</f>
        <v>0</v>
      </c>
      <c r="AS17" s="703">
        <f>блюда!AS136</f>
        <v>0</v>
      </c>
      <c r="AT17" s="703">
        <f>блюда!AT136</f>
        <v>0</v>
      </c>
      <c r="AU17" s="703">
        <f>блюда!AU136</f>
        <v>0</v>
      </c>
      <c r="AV17" s="703">
        <f>блюда!AV136</f>
        <v>0</v>
      </c>
      <c r="AW17" s="703">
        <f>блюда!AW136</f>
        <v>0</v>
      </c>
      <c r="AX17" s="703">
        <f>блюда!AX136</f>
        <v>0</v>
      </c>
      <c r="AY17" s="703">
        <f>блюда!AY136</f>
        <v>0</v>
      </c>
      <c r="AZ17" s="703">
        <f>блюда!AZ136</f>
        <v>0</v>
      </c>
      <c r="BA17" s="703">
        <f>блюда!BA136</f>
        <v>0</v>
      </c>
      <c r="BB17" s="703">
        <f>блюда!BB136</f>
        <v>0</v>
      </c>
      <c r="BC17" s="703">
        <f>блюда!BC136</f>
        <v>0</v>
      </c>
      <c r="BD17" s="703">
        <f>блюда!BD136</f>
        <v>0</v>
      </c>
      <c r="BE17" s="703">
        <f>блюда!BE136</f>
        <v>0</v>
      </c>
      <c r="BF17" s="703">
        <f>блюда!BF136</f>
        <v>0</v>
      </c>
      <c r="BG17" s="703">
        <f>блюда!BG136</f>
        <v>0</v>
      </c>
      <c r="BH17" s="703">
        <f>блюда!BH136</f>
        <v>0</v>
      </c>
      <c r="BI17" s="703">
        <f>блюда!BI136</f>
        <v>0</v>
      </c>
      <c r="BJ17" s="703">
        <f>блюда!BJ136</f>
        <v>0</v>
      </c>
      <c r="BK17" s="703">
        <f>блюда!BK136</f>
        <v>0</v>
      </c>
      <c r="BL17" s="703">
        <f>блюда!BL136</f>
        <v>0</v>
      </c>
      <c r="BM17" s="703">
        <f>блюда!BM136</f>
        <v>0</v>
      </c>
      <c r="BN17" s="703">
        <f>блюда!BN136</f>
        <v>0</v>
      </c>
      <c r="BO17" s="703">
        <f>блюда!BO136</f>
        <v>0</v>
      </c>
      <c r="BP17" s="703">
        <f>блюда!BP136</f>
        <v>0</v>
      </c>
      <c r="BQ17" s="703">
        <f>блюда!BQ136</f>
        <v>0</v>
      </c>
      <c r="BR17" s="703">
        <f>блюда!BR136</f>
        <v>0</v>
      </c>
      <c r="BS17" s="703">
        <f>блюда!BS136</f>
        <v>0</v>
      </c>
      <c r="BT17" s="703">
        <f>блюда!BT136</f>
        <v>0.04</v>
      </c>
      <c r="BU17" s="703">
        <f>блюда!BU136</f>
        <v>0</v>
      </c>
      <c r="BV17" s="703">
        <f>блюда!BV136</f>
        <v>0</v>
      </c>
      <c r="BW17" s="703">
        <f>блюда!BW136</f>
        <v>0</v>
      </c>
      <c r="BX17" s="703">
        <f>блюда!BX136</f>
        <v>0</v>
      </c>
      <c r="BY17" s="703">
        <f>блюда!BY136</f>
        <v>0</v>
      </c>
      <c r="BZ17" s="703">
        <f>блюда!BZ136</f>
        <v>0</v>
      </c>
      <c r="CA17" s="703">
        <f>блюда!CA136</f>
        <v>0</v>
      </c>
      <c r="CB17" s="703">
        <f>блюда!CB136</f>
        <v>0</v>
      </c>
      <c r="CC17" s="703">
        <f>блюда!CC136</f>
        <v>0</v>
      </c>
      <c r="CD17" s="703">
        <f>блюда!CD136</f>
        <v>0</v>
      </c>
      <c r="CE17" s="703">
        <f>блюда!CE136</f>
        <v>0</v>
      </c>
      <c r="CF17" s="703">
        <f>блюда!CF136</f>
        <v>0</v>
      </c>
      <c r="CG17" s="703">
        <f>блюда!CG136</f>
        <v>0</v>
      </c>
      <c r="CH17" s="703">
        <f>блюда!CH136</f>
        <v>0</v>
      </c>
      <c r="CI17" s="703">
        <f>блюда!CI136</f>
        <v>0</v>
      </c>
      <c r="CJ17" s="703">
        <f>блюда!CJ136</f>
        <v>0</v>
      </c>
      <c r="CK17" s="703">
        <f>блюда!CK136</f>
        <v>0</v>
      </c>
      <c r="CL17" s="703">
        <f>блюда!CL136</f>
        <v>0</v>
      </c>
      <c r="CM17" s="703">
        <f>блюда!CM136</f>
        <v>0</v>
      </c>
      <c r="CN17" s="703">
        <f>блюда!CN136</f>
        <v>0</v>
      </c>
      <c r="CO17" s="703">
        <f>блюда!CO136</f>
        <v>0</v>
      </c>
      <c r="CP17" s="703">
        <f>блюда!CP136</f>
        <v>0</v>
      </c>
      <c r="CQ17" s="703">
        <f>блюда!CQ136</f>
        <v>0</v>
      </c>
      <c r="CR17" s="703">
        <f>блюда!CR136</f>
        <v>0</v>
      </c>
      <c r="CS17" s="703">
        <f>блюда!CS136</f>
        <v>0</v>
      </c>
      <c r="CT17" s="703">
        <f>блюда!CT136</f>
        <v>0</v>
      </c>
      <c r="CU17" s="703">
        <f>блюда!CU136</f>
        <v>0</v>
      </c>
      <c r="CV17" s="703">
        <f>блюда!CV136</f>
        <v>0</v>
      </c>
      <c r="CW17" s="703">
        <f>блюда!CW136</f>
        <v>0</v>
      </c>
      <c r="CX17" s="703">
        <f>блюда!CX136</f>
        <v>0</v>
      </c>
      <c r="CY17" s="703">
        <f>блюда!CY136</f>
        <v>0</v>
      </c>
      <c r="CZ17" s="703">
        <f>блюда!CZ136</f>
        <v>1.6E-2</v>
      </c>
      <c r="DA17" s="703">
        <f>блюда!DA136</f>
        <v>0</v>
      </c>
      <c r="DB17" s="703">
        <f>блюда!DB136</f>
        <v>0</v>
      </c>
      <c r="DC17" s="703">
        <f>блюда!DC136</f>
        <v>1.6000000000000001E-3</v>
      </c>
      <c r="DD17" s="703">
        <f>блюда!DD136</f>
        <v>0</v>
      </c>
      <c r="DE17" s="703">
        <f>блюда!DE136</f>
        <v>0</v>
      </c>
      <c r="DF17" s="703">
        <f>блюда!DF136</f>
        <v>0</v>
      </c>
      <c r="DG17" s="703">
        <f>блюда!DG136</f>
        <v>0</v>
      </c>
      <c r="DH17" s="703">
        <f>блюда!DH136</f>
        <v>0</v>
      </c>
      <c r="DI17" s="703">
        <f>блюда!DI136</f>
        <v>0</v>
      </c>
      <c r="DJ17" s="703">
        <f>блюда!DJ136</f>
        <v>0</v>
      </c>
      <c r="DK17" s="703">
        <f>блюда!DK136</f>
        <v>0</v>
      </c>
      <c r="DL17" s="703">
        <f>блюда!DL136</f>
        <v>0</v>
      </c>
      <c r="DM17" s="703">
        <f>блюда!DM136</f>
        <v>0</v>
      </c>
      <c r="DN17" s="703">
        <f>блюда!DN136</f>
        <v>0</v>
      </c>
      <c r="DO17" s="703">
        <f>блюда!DO136</f>
        <v>0</v>
      </c>
      <c r="DP17" s="703">
        <f>блюда!DP136</f>
        <v>0</v>
      </c>
      <c r="DQ17" s="703">
        <f>блюда!DQ136</f>
        <v>0</v>
      </c>
      <c r="DR17" s="703">
        <f>блюда!DR136</f>
        <v>0</v>
      </c>
      <c r="DS17" s="703">
        <f>блюда!DS136</f>
        <v>0</v>
      </c>
      <c r="DT17" s="703">
        <f>блюда!DT136</f>
        <v>0</v>
      </c>
      <c r="DU17" s="703">
        <f>блюда!DU136</f>
        <v>0</v>
      </c>
      <c r="DV17" s="703">
        <f>блюда!DV136</f>
        <v>0</v>
      </c>
      <c r="DW17" s="703">
        <f>блюда!DW136</f>
        <v>0</v>
      </c>
      <c r="DX17" s="703">
        <f>блюда!DX136</f>
        <v>0</v>
      </c>
      <c r="DY17" s="703">
        <f>блюда!DY136</f>
        <v>0</v>
      </c>
      <c r="DZ17" s="703">
        <f>блюда!DZ136</f>
        <v>0</v>
      </c>
      <c r="EA17" s="703">
        <f>блюда!EA136</f>
        <v>0</v>
      </c>
      <c r="EB17" s="703">
        <f>блюда!EB136</f>
        <v>0</v>
      </c>
      <c r="EC17" s="703">
        <f>блюда!EC136</f>
        <v>0</v>
      </c>
      <c r="ED17" s="703">
        <f>блюда!ED136</f>
        <v>0</v>
      </c>
      <c r="EE17" s="703">
        <f>блюда!EE136</f>
        <v>0</v>
      </c>
      <c r="EF17" s="703">
        <f>блюда!EF136</f>
        <v>0</v>
      </c>
      <c r="EG17" s="703">
        <f>блюда!EG136</f>
        <v>0</v>
      </c>
      <c r="EH17" s="703">
        <f>блюда!EH136</f>
        <v>0</v>
      </c>
      <c r="EI17" s="703">
        <f>блюда!EI136</f>
        <v>0</v>
      </c>
      <c r="EJ17" s="703">
        <f>блюда!EJ136</f>
        <v>0</v>
      </c>
      <c r="EK17" s="703">
        <f>блюда!EK136</f>
        <v>0</v>
      </c>
      <c r="EL17" s="703">
        <f>блюда!EL136</f>
        <v>0</v>
      </c>
      <c r="EM17" s="703">
        <f>блюда!EM136</f>
        <v>0</v>
      </c>
      <c r="EN17" s="703">
        <f>блюда!EN136</f>
        <v>0</v>
      </c>
      <c r="EO17" s="703">
        <f>блюда!EO136</f>
        <v>0</v>
      </c>
      <c r="EP17" s="703">
        <f>блюда!EP136</f>
        <v>0</v>
      </c>
      <c r="EQ17" s="703">
        <f>блюда!EQ136</f>
        <v>0</v>
      </c>
      <c r="ER17" s="703">
        <f>блюда!ER136</f>
        <v>0</v>
      </c>
      <c r="ES17" s="703">
        <f>блюда!ES136</f>
        <v>0</v>
      </c>
      <c r="ET17" s="703">
        <f>блюда!ET136</f>
        <v>0</v>
      </c>
      <c r="EU17" s="703">
        <f>блюда!EU136</f>
        <v>0</v>
      </c>
      <c r="EV17" s="703">
        <f>блюда!EV136</f>
        <v>0</v>
      </c>
      <c r="EW17" s="703">
        <f>блюда!EW136</f>
        <v>0</v>
      </c>
      <c r="EX17" s="703">
        <f>блюда!EX136</f>
        <v>0</v>
      </c>
      <c r="EY17" s="927">
        <f>SUM(J17:EX17)</f>
        <v>0.20760000000000001</v>
      </c>
      <c r="EZ17" s="117">
        <f>блюда!EZ136</f>
        <v>0</v>
      </c>
      <c r="FA17" s="117">
        <f>блюда!FA136</f>
        <v>0</v>
      </c>
      <c r="FB17" s="117">
        <f>блюда!FB136</f>
        <v>0</v>
      </c>
      <c r="FC17" s="117">
        <f>блюда!FC136</f>
        <v>0</v>
      </c>
      <c r="FD17" s="117">
        <f>блюда!FD136</f>
        <v>0</v>
      </c>
      <c r="FE17" s="117">
        <f>блюда!FE136</f>
        <v>0</v>
      </c>
      <c r="FF17" s="117">
        <f>блюда!FF136</f>
        <v>0</v>
      </c>
      <c r="FG17" s="117">
        <f>блюда!FG136</f>
        <v>0</v>
      </c>
      <c r="FH17" s="117">
        <f>блюда!FH136</f>
        <v>0</v>
      </c>
      <c r="FI17" s="117">
        <f>блюда!FI136</f>
        <v>0</v>
      </c>
      <c r="FJ17" s="117">
        <f>блюда!FJ136</f>
        <v>0</v>
      </c>
      <c r="FK17" s="117">
        <f>блюда!FK136</f>
        <v>0</v>
      </c>
      <c r="FL17" s="117">
        <f>блюда!FL136</f>
        <v>0</v>
      </c>
    </row>
    <row r="18" spans="1:168" x14ac:dyDescent="0.25">
      <c r="A18" s="1463"/>
      <c r="B18" s="576" t="str">
        <f>блюда!B286</f>
        <v>Чай с сахаром</v>
      </c>
      <c r="C18" s="704">
        <f>блюда!C286</f>
        <v>200</v>
      </c>
      <c r="D18" s="117">
        <f>блюда!D286</f>
        <v>7.0000000000000007E-2</v>
      </c>
      <c r="E18" s="117">
        <f>блюда!E286</f>
        <v>0.02</v>
      </c>
      <c r="F18" s="117">
        <f>блюда!F286</f>
        <v>13.95</v>
      </c>
      <c r="G18" s="704">
        <f>блюда!G286</f>
        <v>56</v>
      </c>
      <c r="H18" s="704">
        <f>блюда!H286</f>
        <v>376</v>
      </c>
      <c r="I18" s="117">
        <f>блюда!I286</f>
        <v>1.59</v>
      </c>
      <c r="J18" s="703">
        <f>блюда!J286</f>
        <v>0</v>
      </c>
      <c r="K18" s="703">
        <f>блюда!K286</f>
        <v>0</v>
      </c>
      <c r="L18" s="703">
        <f>блюда!L286</f>
        <v>0</v>
      </c>
      <c r="M18" s="703">
        <f>блюда!M286</f>
        <v>0</v>
      </c>
      <c r="N18" s="703">
        <f>блюда!N286</f>
        <v>0</v>
      </c>
      <c r="O18" s="703">
        <f>блюда!O286</f>
        <v>0</v>
      </c>
      <c r="P18" s="703">
        <f>блюда!P286</f>
        <v>0</v>
      </c>
      <c r="Q18" s="703">
        <f>блюда!Q286</f>
        <v>0</v>
      </c>
      <c r="R18" s="703">
        <f>блюда!R286</f>
        <v>0</v>
      </c>
      <c r="S18" s="703">
        <f>блюда!S286</f>
        <v>0</v>
      </c>
      <c r="T18" s="703">
        <f>блюда!T286</f>
        <v>0</v>
      </c>
      <c r="U18" s="703">
        <f>блюда!U286</f>
        <v>0</v>
      </c>
      <c r="V18" s="703">
        <f>блюда!V286</f>
        <v>0</v>
      </c>
      <c r="W18" s="703">
        <f>блюда!W286</f>
        <v>0</v>
      </c>
      <c r="X18" s="703">
        <f>блюда!X286</f>
        <v>0</v>
      </c>
      <c r="Y18" s="703">
        <f>блюда!Y286</f>
        <v>0</v>
      </c>
      <c r="Z18" s="703">
        <f>блюда!Z286</f>
        <v>0</v>
      </c>
      <c r="AA18" s="703">
        <f>блюда!AA286</f>
        <v>0</v>
      </c>
      <c r="AB18" s="703">
        <f>блюда!AB286</f>
        <v>0</v>
      </c>
      <c r="AC18" s="703">
        <f>блюда!AC286</f>
        <v>0</v>
      </c>
      <c r="AD18" s="703">
        <f>блюда!AD286</f>
        <v>0</v>
      </c>
      <c r="AE18" s="703">
        <f>блюда!AE286</f>
        <v>0</v>
      </c>
      <c r="AF18" s="703">
        <f>блюда!AF286</f>
        <v>0</v>
      </c>
      <c r="AG18" s="703">
        <f>блюда!AG286</f>
        <v>0</v>
      </c>
      <c r="AH18" s="703">
        <f>блюда!AH286</f>
        <v>0</v>
      </c>
      <c r="AI18" s="703">
        <f>блюда!AI286</f>
        <v>0</v>
      </c>
      <c r="AJ18" s="703">
        <f>блюда!AJ286</f>
        <v>0</v>
      </c>
      <c r="AK18" s="703">
        <f>блюда!AK286</f>
        <v>0</v>
      </c>
      <c r="AL18" s="703">
        <f>блюда!AL286</f>
        <v>0</v>
      </c>
      <c r="AM18" s="703">
        <f>блюда!AM286</f>
        <v>0</v>
      </c>
      <c r="AN18" s="703">
        <f>блюда!AN286</f>
        <v>0</v>
      </c>
      <c r="AO18" s="703">
        <f>блюда!AO286</f>
        <v>0</v>
      </c>
      <c r="AP18" s="703">
        <f>блюда!AP286</f>
        <v>0</v>
      </c>
      <c r="AQ18" s="703">
        <f>блюда!AQ286</f>
        <v>0</v>
      </c>
      <c r="AR18" s="703">
        <f>блюда!AR286</f>
        <v>0</v>
      </c>
      <c r="AS18" s="703">
        <f>блюда!AS286</f>
        <v>0</v>
      </c>
      <c r="AT18" s="703">
        <f>блюда!AT286</f>
        <v>0</v>
      </c>
      <c r="AU18" s="703">
        <f>блюда!AU286</f>
        <v>0</v>
      </c>
      <c r="AV18" s="703">
        <f>блюда!AV286</f>
        <v>0</v>
      </c>
      <c r="AW18" s="703">
        <f>блюда!AW286</f>
        <v>0</v>
      </c>
      <c r="AX18" s="703">
        <f>блюда!AX286</f>
        <v>0</v>
      </c>
      <c r="AY18" s="703">
        <f>блюда!AY286</f>
        <v>0</v>
      </c>
      <c r="AZ18" s="703">
        <f>блюда!AZ286</f>
        <v>0</v>
      </c>
      <c r="BA18" s="703">
        <f>блюда!BA286</f>
        <v>0</v>
      </c>
      <c r="BB18" s="703">
        <f>блюда!BB286</f>
        <v>0</v>
      </c>
      <c r="BC18" s="703">
        <f>блюда!BC286</f>
        <v>0</v>
      </c>
      <c r="BD18" s="703">
        <f>блюда!BD286</f>
        <v>0</v>
      </c>
      <c r="BE18" s="703">
        <f>блюда!BE286</f>
        <v>0</v>
      </c>
      <c r="BF18" s="703">
        <f>блюда!BF286</f>
        <v>0</v>
      </c>
      <c r="BG18" s="703">
        <f>блюда!BG286</f>
        <v>0</v>
      </c>
      <c r="BH18" s="703">
        <f>блюда!BH286</f>
        <v>0</v>
      </c>
      <c r="BI18" s="703">
        <f>блюда!BI286</f>
        <v>0</v>
      </c>
      <c r="BJ18" s="703">
        <f>блюда!BJ286</f>
        <v>0</v>
      </c>
      <c r="BK18" s="703">
        <f>блюда!BK286</f>
        <v>0</v>
      </c>
      <c r="BL18" s="703">
        <f>блюда!BL286</f>
        <v>0</v>
      </c>
      <c r="BM18" s="703">
        <f>блюда!BM286</f>
        <v>0</v>
      </c>
      <c r="BN18" s="703">
        <f>блюда!BN286</f>
        <v>0</v>
      </c>
      <c r="BO18" s="703">
        <f>блюда!BO286</f>
        <v>0</v>
      </c>
      <c r="BP18" s="703">
        <f>блюда!BP286</f>
        <v>0</v>
      </c>
      <c r="BQ18" s="703">
        <f>блюда!BQ286</f>
        <v>0</v>
      </c>
      <c r="BR18" s="703">
        <f>блюда!BR286</f>
        <v>0</v>
      </c>
      <c r="BS18" s="703">
        <f>блюда!BS286</f>
        <v>0</v>
      </c>
      <c r="BT18" s="703">
        <f>блюда!BT286</f>
        <v>0</v>
      </c>
      <c r="BU18" s="703">
        <f>блюда!BU286</f>
        <v>0</v>
      </c>
      <c r="BV18" s="703">
        <f>блюда!BV286</f>
        <v>0</v>
      </c>
      <c r="BW18" s="703">
        <f>блюда!BW286</f>
        <v>0</v>
      </c>
      <c r="BX18" s="703">
        <f>блюда!BX286</f>
        <v>0</v>
      </c>
      <c r="BY18" s="703">
        <f>блюда!BY286</f>
        <v>0</v>
      </c>
      <c r="BZ18" s="703">
        <f>блюда!BZ286</f>
        <v>0</v>
      </c>
      <c r="CA18" s="703">
        <f>блюда!CA286</f>
        <v>0</v>
      </c>
      <c r="CB18" s="703">
        <f>блюда!CB286</f>
        <v>0</v>
      </c>
      <c r="CC18" s="703">
        <f>блюда!CC286</f>
        <v>0</v>
      </c>
      <c r="CD18" s="703">
        <f>блюда!CD286</f>
        <v>0</v>
      </c>
      <c r="CE18" s="703">
        <f>блюда!CE286</f>
        <v>0</v>
      </c>
      <c r="CF18" s="703">
        <f>блюда!CF286</f>
        <v>0</v>
      </c>
      <c r="CG18" s="703">
        <f>блюда!CG286</f>
        <v>0</v>
      </c>
      <c r="CH18" s="703">
        <f>блюда!CH286</f>
        <v>0</v>
      </c>
      <c r="CI18" s="703">
        <f>блюда!CI286</f>
        <v>0</v>
      </c>
      <c r="CJ18" s="703">
        <f>блюда!CJ286</f>
        <v>0</v>
      </c>
      <c r="CK18" s="703">
        <f>блюда!CK286</f>
        <v>0</v>
      </c>
      <c r="CL18" s="703">
        <f>блюда!CL286</f>
        <v>0</v>
      </c>
      <c r="CM18" s="703">
        <f>блюда!CM286</f>
        <v>0</v>
      </c>
      <c r="CN18" s="703">
        <f>блюда!CN286</f>
        <v>0</v>
      </c>
      <c r="CO18" s="703">
        <f>блюда!CO286</f>
        <v>0</v>
      </c>
      <c r="CP18" s="703">
        <f>блюда!CP286</f>
        <v>0</v>
      </c>
      <c r="CQ18" s="703">
        <f>блюда!CQ286</f>
        <v>0</v>
      </c>
      <c r="CR18" s="703">
        <f>блюда!CR286</f>
        <v>0</v>
      </c>
      <c r="CS18" s="703">
        <f>блюда!CS286</f>
        <v>0</v>
      </c>
      <c r="CT18" s="703">
        <f>блюда!CT286</f>
        <v>0</v>
      </c>
      <c r="CU18" s="703">
        <f>блюда!CU286</f>
        <v>0</v>
      </c>
      <c r="CV18" s="703">
        <f>блюда!CV286</f>
        <v>0</v>
      </c>
      <c r="CW18" s="703">
        <f>блюда!CW286</f>
        <v>0</v>
      </c>
      <c r="CX18" s="703">
        <f>блюда!CX286</f>
        <v>0</v>
      </c>
      <c r="CY18" s="703">
        <f>блюда!CY286</f>
        <v>0</v>
      </c>
      <c r="CZ18" s="703">
        <f>блюда!CZ286</f>
        <v>1.4999999999999999E-2</v>
      </c>
      <c r="DA18" s="703">
        <f>блюда!DA286</f>
        <v>0</v>
      </c>
      <c r="DB18" s="703">
        <f>блюда!DB286</f>
        <v>0</v>
      </c>
      <c r="DC18" s="703">
        <f>блюда!DC286</f>
        <v>0</v>
      </c>
      <c r="DD18" s="703">
        <f>блюда!DD286</f>
        <v>0</v>
      </c>
      <c r="DE18" s="703">
        <f>блюда!DE286</f>
        <v>0</v>
      </c>
      <c r="DF18" s="703">
        <f>блюда!DF286</f>
        <v>0</v>
      </c>
      <c r="DG18" s="703">
        <f>блюда!DG286</f>
        <v>0</v>
      </c>
      <c r="DH18" s="703">
        <f>блюда!DH286</f>
        <v>0</v>
      </c>
      <c r="DI18" s="703">
        <f>блюда!DI286</f>
        <v>0</v>
      </c>
      <c r="DJ18" s="703">
        <f>блюда!DJ286</f>
        <v>0</v>
      </c>
      <c r="DK18" s="703">
        <f>блюда!DK286</f>
        <v>0</v>
      </c>
      <c r="DL18" s="703">
        <f>блюда!DL286</f>
        <v>0</v>
      </c>
      <c r="DM18" s="703">
        <f>блюда!DM286</f>
        <v>0</v>
      </c>
      <c r="DN18" s="703">
        <f>блюда!DN286</f>
        <v>0</v>
      </c>
      <c r="DO18" s="703">
        <f>блюда!DO286</f>
        <v>0</v>
      </c>
      <c r="DP18" s="703">
        <f>блюда!DP286</f>
        <v>0</v>
      </c>
      <c r="DQ18" s="703">
        <f>блюда!DQ286</f>
        <v>0</v>
      </c>
      <c r="DR18" s="703">
        <f>блюда!DR286</f>
        <v>5.0000000000000001E-4</v>
      </c>
      <c r="DS18" s="703">
        <f>блюда!DS286</f>
        <v>0</v>
      </c>
      <c r="DT18" s="703">
        <f>блюда!DT286</f>
        <v>0</v>
      </c>
      <c r="DU18" s="703">
        <f>блюда!DU286</f>
        <v>0</v>
      </c>
      <c r="DV18" s="703">
        <f>блюда!DV286</f>
        <v>0</v>
      </c>
      <c r="DW18" s="703">
        <f>блюда!DW286</f>
        <v>0</v>
      </c>
      <c r="DX18" s="703">
        <f>блюда!DX286</f>
        <v>0</v>
      </c>
      <c r="DY18" s="703">
        <f>блюда!DY286</f>
        <v>0</v>
      </c>
      <c r="DZ18" s="703">
        <f>блюда!DZ286</f>
        <v>0</v>
      </c>
      <c r="EA18" s="703">
        <f>блюда!EA286</f>
        <v>0</v>
      </c>
      <c r="EB18" s="703">
        <f>блюда!EB286</f>
        <v>0</v>
      </c>
      <c r="EC18" s="703">
        <f>блюда!EC286</f>
        <v>0</v>
      </c>
      <c r="ED18" s="703">
        <f>блюда!ED286</f>
        <v>0</v>
      </c>
      <c r="EE18" s="703">
        <f>блюда!EE286</f>
        <v>0</v>
      </c>
      <c r="EF18" s="703">
        <f>блюда!EF286</f>
        <v>0</v>
      </c>
      <c r="EG18" s="703">
        <f>блюда!EG286</f>
        <v>0</v>
      </c>
      <c r="EH18" s="703">
        <f>блюда!EH286</f>
        <v>0</v>
      </c>
      <c r="EI18" s="703">
        <f>блюда!EI286</f>
        <v>0</v>
      </c>
      <c r="EJ18" s="703">
        <f>блюда!EJ286</f>
        <v>0</v>
      </c>
      <c r="EK18" s="703">
        <f>блюда!EK286</f>
        <v>0</v>
      </c>
      <c r="EL18" s="703">
        <f>блюда!EL286</f>
        <v>0</v>
      </c>
      <c r="EM18" s="703">
        <f>блюда!EM286</f>
        <v>0</v>
      </c>
      <c r="EN18" s="703">
        <f>блюда!EN286</f>
        <v>0</v>
      </c>
      <c r="EO18" s="703">
        <f>блюда!EO286</f>
        <v>0</v>
      </c>
      <c r="EP18" s="703">
        <f>блюда!EP286</f>
        <v>0</v>
      </c>
      <c r="EQ18" s="703">
        <f>блюда!EQ286</f>
        <v>0</v>
      </c>
      <c r="ER18" s="703">
        <f>блюда!ER286</f>
        <v>0</v>
      </c>
      <c r="ES18" s="703">
        <f>блюда!ES286</f>
        <v>0</v>
      </c>
      <c r="ET18" s="703">
        <f>блюда!ET286</f>
        <v>0</v>
      </c>
      <c r="EU18" s="703">
        <f>блюда!EU286</f>
        <v>0</v>
      </c>
      <c r="EV18" s="703">
        <f>блюда!EV286</f>
        <v>0</v>
      </c>
      <c r="EW18" s="703">
        <f>блюда!EW286</f>
        <v>0</v>
      </c>
      <c r="EX18" s="703">
        <f>блюда!EX286</f>
        <v>0</v>
      </c>
      <c r="EY18" s="927">
        <f t="shared" ref="EY18:EY25" si="0">SUM(J18:EX18)</f>
        <v>1.55E-2</v>
      </c>
      <c r="EZ18" s="117">
        <f>блюда!EZ286</f>
        <v>0</v>
      </c>
      <c r="FA18" s="117">
        <f>блюда!FA286</f>
        <v>0</v>
      </c>
      <c r="FB18" s="117">
        <f>блюда!FB286</f>
        <v>0</v>
      </c>
      <c r="FC18" s="117">
        <f>блюда!FC286</f>
        <v>0</v>
      </c>
      <c r="FD18" s="117">
        <f>блюда!FD286</f>
        <v>0</v>
      </c>
      <c r="FE18" s="117">
        <f>блюда!FE286</f>
        <v>0</v>
      </c>
      <c r="FF18" s="117">
        <f>блюда!FF286</f>
        <v>0</v>
      </c>
      <c r="FG18" s="117">
        <f>блюда!FG286</f>
        <v>0</v>
      </c>
      <c r="FH18" s="117">
        <f>блюда!FH286</f>
        <v>0</v>
      </c>
      <c r="FI18" s="117">
        <f>блюда!FI286</f>
        <v>0</v>
      </c>
      <c r="FJ18" s="117">
        <f>блюда!FJ286</f>
        <v>0</v>
      </c>
      <c r="FK18" s="117">
        <f>блюда!FK286</f>
        <v>0</v>
      </c>
      <c r="FL18" s="117">
        <f>блюда!FL286</f>
        <v>0</v>
      </c>
    </row>
    <row r="19" spans="1:168" x14ac:dyDescent="0.25">
      <c r="A19" s="1463"/>
      <c r="B19" s="576" t="str">
        <f>блюда!B13</f>
        <v>Масло сливочное (порциями)</v>
      </c>
      <c r="C19" s="704">
        <f>блюда!C13</f>
        <v>10</v>
      </c>
      <c r="D19" s="117">
        <f>блюда!D13</f>
        <v>0.08</v>
      </c>
      <c r="E19" s="117">
        <f>блюда!E13</f>
        <v>7.25</v>
      </c>
      <c r="F19" s="117">
        <f>блюда!F13</f>
        <v>0.13</v>
      </c>
      <c r="G19" s="704">
        <f>блюда!G13</f>
        <v>66</v>
      </c>
      <c r="H19" s="704">
        <f>блюда!H13</f>
        <v>14</v>
      </c>
      <c r="I19" s="117">
        <f>блюда!I13</f>
        <v>7.1</v>
      </c>
      <c r="J19" s="703">
        <f>блюда!J13</f>
        <v>0</v>
      </c>
      <c r="K19" s="703">
        <f>блюда!K13</f>
        <v>0</v>
      </c>
      <c r="L19" s="703">
        <f>блюда!L13</f>
        <v>0</v>
      </c>
      <c r="M19" s="703">
        <f>блюда!M13</f>
        <v>0</v>
      </c>
      <c r="N19" s="703">
        <f>блюда!N13</f>
        <v>0</v>
      </c>
      <c r="O19" s="703">
        <f>блюда!O13</f>
        <v>0</v>
      </c>
      <c r="P19" s="703">
        <f>блюда!P13</f>
        <v>0</v>
      </c>
      <c r="Q19" s="703">
        <f>блюда!Q13</f>
        <v>0</v>
      </c>
      <c r="R19" s="703">
        <f>блюда!R13</f>
        <v>0</v>
      </c>
      <c r="S19" s="703">
        <f>блюда!S13</f>
        <v>0</v>
      </c>
      <c r="T19" s="703">
        <f>блюда!T13</f>
        <v>0</v>
      </c>
      <c r="U19" s="703">
        <f>блюда!U13</f>
        <v>0</v>
      </c>
      <c r="V19" s="703">
        <f>блюда!V13</f>
        <v>0.01</v>
      </c>
      <c r="W19" s="703">
        <f>блюда!W13</f>
        <v>0</v>
      </c>
      <c r="X19" s="703">
        <f>блюда!X13</f>
        <v>0</v>
      </c>
      <c r="Y19" s="703">
        <f>блюда!Y13</f>
        <v>0</v>
      </c>
      <c r="Z19" s="703">
        <f>блюда!Z13</f>
        <v>0</v>
      </c>
      <c r="AA19" s="703">
        <f>блюда!AA13</f>
        <v>0</v>
      </c>
      <c r="AB19" s="703">
        <f>блюда!AB13</f>
        <v>0</v>
      </c>
      <c r="AC19" s="703">
        <f>блюда!AC13</f>
        <v>0</v>
      </c>
      <c r="AD19" s="703">
        <f>блюда!AD13</f>
        <v>0</v>
      </c>
      <c r="AE19" s="703">
        <f>блюда!AE13</f>
        <v>0</v>
      </c>
      <c r="AF19" s="703">
        <f>блюда!AF13</f>
        <v>0</v>
      </c>
      <c r="AG19" s="703">
        <f>блюда!AG13</f>
        <v>0</v>
      </c>
      <c r="AH19" s="703">
        <f>блюда!AH13</f>
        <v>0</v>
      </c>
      <c r="AI19" s="703">
        <f>блюда!AI13</f>
        <v>0</v>
      </c>
      <c r="AJ19" s="703">
        <f>блюда!AJ13</f>
        <v>0</v>
      </c>
      <c r="AK19" s="703">
        <f>блюда!AK13</f>
        <v>0</v>
      </c>
      <c r="AL19" s="703">
        <f>блюда!AL13</f>
        <v>0</v>
      </c>
      <c r="AM19" s="703">
        <f>блюда!AM13</f>
        <v>0</v>
      </c>
      <c r="AN19" s="703">
        <f>блюда!AN13</f>
        <v>0</v>
      </c>
      <c r="AO19" s="703">
        <f>блюда!AO13</f>
        <v>0</v>
      </c>
      <c r="AP19" s="703">
        <f>блюда!AP13</f>
        <v>0</v>
      </c>
      <c r="AQ19" s="703">
        <f>блюда!AQ13</f>
        <v>0</v>
      </c>
      <c r="AR19" s="703">
        <f>блюда!AR13</f>
        <v>0</v>
      </c>
      <c r="AS19" s="703">
        <f>блюда!AS13</f>
        <v>0</v>
      </c>
      <c r="AT19" s="703">
        <f>блюда!AT13</f>
        <v>0</v>
      </c>
      <c r="AU19" s="703">
        <f>блюда!AU13</f>
        <v>0</v>
      </c>
      <c r="AV19" s="703">
        <f>блюда!AV13</f>
        <v>0</v>
      </c>
      <c r="AW19" s="703">
        <f>блюда!AW13</f>
        <v>0</v>
      </c>
      <c r="AX19" s="703">
        <f>блюда!AX13</f>
        <v>0</v>
      </c>
      <c r="AY19" s="703">
        <f>блюда!AY13</f>
        <v>0</v>
      </c>
      <c r="AZ19" s="703">
        <f>блюда!AZ13</f>
        <v>0</v>
      </c>
      <c r="BA19" s="703">
        <f>блюда!BA13</f>
        <v>0</v>
      </c>
      <c r="BB19" s="703">
        <f>блюда!BB13</f>
        <v>0</v>
      </c>
      <c r="BC19" s="703">
        <f>блюда!BC13</f>
        <v>0</v>
      </c>
      <c r="BD19" s="703">
        <f>блюда!BD13</f>
        <v>0</v>
      </c>
      <c r="BE19" s="703">
        <f>блюда!BE13</f>
        <v>0</v>
      </c>
      <c r="BF19" s="703">
        <f>блюда!BF13</f>
        <v>0</v>
      </c>
      <c r="BG19" s="703">
        <f>блюда!BG13</f>
        <v>0</v>
      </c>
      <c r="BH19" s="703">
        <f>блюда!BH13</f>
        <v>0</v>
      </c>
      <c r="BI19" s="703">
        <f>блюда!BI13</f>
        <v>0</v>
      </c>
      <c r="BJ19" s="703">
        <f>блюда!BJ13</f>
        <v>0</v>
      </c>
      <c r="BK19" s="703">
        <f>блюда!BK13</f>
        <v>0</v>
      </c>
      <c r="BL19" s="703">
        <f>блюда!BL13</f>
        <v>0</v>
      </c>
      <c r="BM19" s="703">
        <f>блюда!BM13</f>
        <v>0</v>
      </c>
      <c r="BN19" s="703">
        <f>блюда!BN13</f>
        <v>0</v>
      </c>
      <c r="BO19" s="703">
        <f>блюда!BO13</f>
        <v>0</v>
      </c>
      <c r="BP19" s="703">
        <f>блюда!BP13</f>
        <v>0</v>
      </c>
      <c r="BQ19" s="703">
        <f>блюда!BQ13</f>
        <v>0</v>
      </c>
      <c r="BR19" s="703">
        <f>блюда!BR13</f>
        <v>0</v>
      </c>
      <c r="BS19" s="703">
        <f>блюда!BS13</f>
        <v>0</v>
      </c>
      <c r="BT19" s="703">
        <f>блюда!BT13</f>
        <v>0</v>
      </c>
      <c r="BU19" s="703">
        <f>блюда!BU13</f>
        <v>0</v>
      </c>
      <c r="BV19" s="703">
        <f>блюда!BV13</f>
        <v>0</v>
      </c>
      <c r="BW19" s="703">
        <f>блюда!BW13</f>
        <v>0</v>
      </c>
      <c r="BX19" s="703">
        <f>блюда!BX13</f>
        <v>0</v>
      </c>
      <c r="BY19" s="703">
        <f>блюда!BY13</f>
        <v>0</v>
      </c>
      <c r="BZ19" s="703">
        <f>блюда!BZ13</f>
        <v>0</v>
      </c>
      <c r="CA19" s="703">
        <f>блюда!CA13</f>
        <v>0</v>
      </c>
      <c r="CB19" s="703">
        <f>блюда!CB13</f>
        <v>0</v>
      </c>
      <c r="CC19" s="703">
        <f>блюда!CC13</f>
        <v>0</v>
      </c>
      <c r="CD19" s="703">
        <f>блюда!CD13</f>
        <v>0</v>
      </c>
      <c r="CE19" s="703">
        <f>блюда!CE13</f>
        <v>0</v>
      </c>
      <c r="CF19" s="703">
        <f>блюда!CF13</f>
        <v>0</v>
      </c>
      <c r="CG19" s="703">
        <f>блюда!CG13</f>
        <v>0</v>
      </c>
      <c r="CH19" s="703">
        <f>блюда!CH13</f>
        <v>0</v>
      </c>
      <c r="CI19" s="703">
        <f>блюда!CI13</f>
        <v>0</v>
      </c>
      <c r="CJ19" s="703">
        <f>блюда!CJ13</f>
        <v>0</v>
      </c>
      <c r="CK19" s="703">
        <f>блюда!CK13</f>
        <v>0</v>
      </c>
      <c r="CL19" s="703">
        <f>блюда!CL13</f>
        <v>0</v>
      </c>
      <c r="CM19" s="703">
        <f>блюда!CM13</f>
        <v>0</v>
      </c>
      <c r="CN19" s="703">
        <f>блюда!CN13</f>
        <v>0</v>
      </c>
      <c r="CO19" s="703">
        <f>блюда!CO13</f>
        <v>0</v>
      </c>
      <c r="CP19" s="703">
        <f>блюда!CP13</f>
        <v>0</v>
      </c>
      <c r="CQ19" s="703">
        <f>блюда!CQ13</f>
        <v>0</v>
      </c>
      <c r="CR19" s="703">
        <f>блюда!CR13</f>
        <v>0</v>
      </c>
      <c r="CS19" s="703">
        <f>блюда!CS13</f>
        <v>0</v>
      </c>
      <c r="CT19" s="703">
        <f>блюда!CT13</f>
        <v>0</v>
      </c>
      <c r="CU19" s="703">
        <f>блюда!CU13</f>
        <v>0</v>
      </c>
      <c r="CV19" s="703">
        <f>блюда!CV13</f>
        <v>0</v>
      </c>
      <c r="CW19" s="703">
        <f>блюда!CW13</f>
        <v>0</v>
      </c>
      <c r="CX19" s="703">
        <f>блюда!CX13</f>
        <v>0</v>
      </c>
      <c r="CY19" s="703">
        <f>блюда!CY13</f>
        <v>0</v>
      </c>
      <c r="CZ19" s="703">
        <f>блюда!CZ13</f>
        <v>0</v>
      </c>
      <c r="DA19" s="703">
        <f>блюда!DA13</f>
        <v>0</v>
      </c>
      <c r="DB19" s="703">
        <f>блюда!DB13</f>
        <v>0</v>
      </c>
      <c r="DC19" s="703">
        <f>блюда!DC13</f>
        <v>0</v>
      </c>
      <c r="DD19" s="703">
        <f>блюда!DD13</f>
        <v>0</v>
      </c>
      <c r="DE19" s="703">
        <f>блюда!DE13</f>
        <v>0</v>
      </c>
      <c r="DF19" s="703">
        <f>блюда!DF13</f>
        <v>0</v>
      </c>
      <c r="DG19" s="703">
        <f>блюда!DG13</f>
        <v>0</v>
      </c>
      <c r="DH19" s="703">
        <f>блюда!DH13</f>
        <v>0</v>
      </c>
      <c r="DI19" s="703">
        <f>блюда!DI13</f>
        <v>0</v>
      </c>
      <c r="DJ19" s="703">
        <f>блюда!DJ13</f>
        <v>0</v>
      </c>
      <c r="DK19" s="703">
        <f>блюда!DK13</f>
        <v>0</v>
      </c>
      <c r="DL19" s="703">
        <f>блюда!DL13</f>
        <v>0</v>
      </c>
      <c r="DM19" s="703">
        <f>блюда!DM13</f>
        <v>0</v>
      </c>
      <c r="DN19" s="703">
        <f>блюда!DN13</f>
        <v>0</v>
      </c>
      <c r="DO19" s="703">
        <f>блюда!DO13</f>
        <v>0</v>
      </c>
      <c r="DP19" s="703">
        <f>блюда!DP13</f>
        <v>0</v>
      </c>
      <c r="DQ19" s="703">
        <f>блюда!DQ13</f>
        <v>0</v>
      </c>
      <c r="DR19" s="703">
        <f>блюда!DR13</f>
        <v>0</v>
      </c>
      <c r="DS19" s="703">
        <f>блюда!DS13</f>
        <v>0</v>
      </c>
      <c r="DT19" s="703">
        <f>блюда!DT13</f>
        <v>0</v>
      </c>
      <c r="DU19" s="703">
        <f>блюда!DU13</f>
        <v>0</v>
      </c>
      <c r="DV19" s="703">
        <f>блюда!DV13</f>
        <v>0</v>
      </c>
      <c r="DW19" s="703">
        <f>блюда!DW13</f>
        <v>0</v>
      </c>
      <c r="DX19" s="703">
        <f>блюда!DX13</f>
        <v>0</v>
      </c>
      <c r="DY19" s="703">
        <f>блюда!DY13</f>
        <v>0</v>
      </c>
      <c r="DZ19" s="703">
        <f>блюда!DZ13</f>
        <v>0</v>
      </c>
      <c r="EA19" s="703">
        <f>блюда!EA13</f>
        <v>0</v>
      </c>
      <c r="EB19" s="703">
        <f>блюда!EB13</f>
        <v>0</v>
      </c>
      <c r="EC19" s="703">
        <f>блюда!EC13</f>
        <v>0</v>
      </c>
      <c r="ED19" s="703">
        <f>блюда!ED13</f>
        <v>0</v>
      </c>
      <c r="EE19" s="703">
        <f>блюда!EE13</f>
        <v>0</v>
      </c>
      <c r="EF19" s="703">
        <f>блюда!EF13</f>
        <v>0</v>
      </c>
      <c r="EG19" s="703">
        <f>блюда!EG13</f>
        <v>0</v>
      </c>
      <c r="EH19" s="703">
        <f>блюда!EH13</f>
        <v>0</v>
      </c>
      <c r="EI19" s="703">
        <f>блюда!EI13</f>
        <v>0</v>
      </c>
      <c r="EJ19" s="703">
        <f>блюда!EJ13</f>
        <v>0</v>
      </c>
      <c r="EK19" s="703">
        <f>блюда!EK13</f>
        <v>0</v>
      </c>
      <c r="EL19" s="703">
        <f>блюда!EL13</f>
        <v>0</v>
      </c>
      <c r="EM19" s="703">
        <f>блюда!EM13</f>
        <v>0</v>
      </c>
      <c r="EN19" s="703">
        <f>блюда!EN13</f>
        <v>0</v>
      </c>
      <c r="EO19" s="703">
        <f>блюда!EO13</f>
        <v>0</v>
      </c>
      <c r="EP19" s="703">
        <f>блюда!EP13</f>
        <v>0</v>
      </c>
      <c r="EQ19" s="703">
        <f>блюда!EQ13</f>
        <v>0</v>
      </c>
      <c r="ER19" s="703">
        <f>блюда!ER13</f>
        <v>0</v>
      </c>
      <c r="ES19" s="703">
        <f>блюда!ES13</f>
        <v>0</v>
      </c>
      <c r="ET19" s="703">
        <f>блюда!ET13</f>
        <v>0</v>
      </c>
      <c r="EU19" s="703">
        <f>блюда!EU13</f>
        <v>0</v>
      </c>
      <c r="EV19" s="703">
        <f>блюда!EV13</f>
        <v>0</v>
      </c>
      <c r="EW19" s="703">
        <f>блюда!EW13</f>
        <v>0</v>
      </c>
      <c r="EX19" s="703">
        <f>блюда!EX13</f>
        <v>0</v>
      </c>
      <c r="EY19" s="927">
        <f t="shared" si="0"/>
        <v>0.01</v>
      </c>
      <c r="EZ19" s="117">
        <f>блюда!EZ332</f>
        <v>0</v>
      </c>
      <c r="FA19" s="117">
        <f>блюда!FA332</f>
        <v>0</v>
      </c>
      <c r="FB19" s="117">
        <f>блюда!FB332</f>
        <v>0</v>
      </c>
      <c r="FC19" s="117">
        <f>блюда!FC332</f>
        <v>0</v>
      </c>
      <c r="FD19" s="117">
        <f>блюда!FD332</f>
        <v>0</v>
      </c>
      <c r="FE19" s="117">
        <f>блюда!FE332</f>
        <v>0</v>
      </c>
      <c r="FF19" s="117">
        <f>блюда!FF332</f>
        <v>0</v>
      </c>
      <c r="FG19" s="117">
        <f>блюда!FG332</f>
        <v>0</v>
      </c>
      <c r="FH19" s="117">
        <f>блюда!FH332</f>
        <v>0</v>
      </c>
      <c r="FI19" s="117">
        <f>блюда!FI332</f>
        <v>0</v>
      </c>
      <c r="FJ19" s="117">
        <f>блюда!FJ332</f>
        <v>0</v>
      </c>
      <c r="FK19" s="117">
        <f>блюда!FK332</f>
        <v>0</v>
      </c>
      <c r="FL19" s="117">
        <f>блюда!FL332</f>
        <v>0</v>
      </c>
    </row>
    <row r="20" spans="1:168" x14ac:dyDescent="0.25">
      <c r="A20" s="1463"/>
      <c r="B20" s="576" t="str">
        <f>блюда!B332</f>
        <v>Хлеб пшеничный нарезной</v>
      </c>
      <c r="C20" s="704">
        <f>блюда!C332</f>
        <v>30</v>
      </c>
      <c r="D20" s="117">
        <f>блюда!D332</f>
        <v>3.21</v>
      </c>
      <c r="E20" s="117">
        <f>блюда!E332</f>
        <v>1.35</v>
      </c>
      <c r="F20" s="117">
        <f>блюда!F332</f>
        <v>13.05</v>
      </c>
      <c r="G20" s="704">
        <f>блюда!G332</f>
        <v>82</v>
      </c>
      <c r="H20" s="704" t="str">
        <f>блюда!H332</f>
        <v>ПРОМ</v>
      </c>
      <c r="I20" s="117">
        <f>блюда!I332</f>
        <v>1.95</v>
      </c>
      <c r="J20" s="703">
        <f>блюда!J332</f>
        <v>0</v>
      </c>
      <c r="K20" s="703">
        <f>блюда!K332</f>
        <v>0</v>
      </c>
      <c r="L20" s="703">
        <f>блюда!L332</f>
        <v>0</v>
      </c>
      <c r="M20" s="703">
        <f>блюда!M332</f>
        <v>0</v>
      </c>
      <c r="N20" s="703">
        <f>блюда!N332</f>
        <v>0</v>
      </c>
      <c r="O20" s="703">
        <f>блюда!O332</f>
        <v>0</v>
      </c>
      <c r="P20" s="703">
        <f>блюда!P332</f>
        <v>0</v>
      </c>
      <c r="Q20" s="703">
        <f>блюда!Q332</f>
        <v>0</v>
      </c>
      <c r="R20" s="703">
        <f>блюда!R332</f>
        <v>0</v>
      </c>
      <c r="S20" s="703">
        <f>блюда!S332</f>
        <v>0</v>
      </c>
      <c r="T20" s="703">
        <f>блюда!T332</f>
        <v>0</v>
      </c>
      <c r="U20" s="703">
        <f>блюда!U332</f>
        <v>0</v>
      </c>
      <c r="V20" s="703">
        <f>блюда!V332</f>
        <v>0</v>
      </c>
      <c r="W20" s="703">
        <f>блюда!W332</f>
        <v>0</v>
      </c>
      <c r="X20" s="703">
        <f>блюда!X332</f>
        <v>0</v>
      </c>
      <c r="Y20" s="703">
        <f>блюда!Y332</f>
        <v>0</v>
      </c>
      <c r="Z20" s="703">
        <f>блюда!Z332</f>
        <v>0</v>
      </c>
      <c r="AA20" s="703">
        <f>блюда!AA332</f>
        <v>0</v>
      </c>
      <c r="AB20" s="703">
        <f>блюда!AB332</f>
        <v>0</v>
      </c>
      <c r="AC20" s="703">
        <f>блюда!AC332</f>
        <v>0</v>
      </c>
      <c r="AD20" s="703">
        <f>блюда!AD332</f>
        <v>0</v>
      </c>
      <c r="AE20" s="703">
        <f>блюда!AE332</f>
        <v>0</v>
      </c>
      <c r="AF20" s="703">
        <f>блюда!AF332</f>
        <v>0</v>
      </c>
      <c r="AG20" s="703">
        <f>блюда!AG332</f>
        <v>0</v>
      </c>
      <c r="AH20" s="703">
        <f>блюда!AH332</f>
        <v>0</v>
      </c>
      <c r="AI20" s="703">
        <f>блюда!AI332</f>
        <v>0</v>
      </c>
      <c r="AJ20" s="703">
        <f>блюда!AJ332</f>
        <v>0</v>
      </c>
      <c r="AK20" s="703">
        <f>блюда!AK332</f>
        <v>0</v>
      </c>
      <c r="AL20" s="703">
        <f>блюда!AL332</f>
        <v>0</v>
      </c>
      <c r="AM20" s="703">
        <f>блюда!AM332</f>
        <v>0</v>
      </c>
      <c r="AN20" s="703">
        <f>блюда!AN332</f>
        <v>0</v>
      </c>
      <c r="AO20" s="703">
        <f>блюда!AO332</f>
        <v>0</v>
      </c>
      <c r="AP20" s="703">
        <f>блюда!AP332</f>
        <v>0</v>
      </c>
      <c r="AQ20" s="703">
        <f>блюда!AQ332</f>
        <v>0</v>
      </c>
      <c r="AR20" s="703">
        <f>блюда!AR332</f>
        <v>0</v>
      </c>
      <c r="AS20" s="703">
        <f>блюда!AS332</f>
        <v>0</v>
      </c>
      <c r="AT20" s="703">
        <f>блюда!AT332</f>
        <v>0</v>
      </c>
      <c r="AU20" s="703">
        <f>блюда!AU332</f>
        <v>0</v>
      </c>
      <c r="AV20" s="703">
        <f>блюда!AV332</f>
        <v>0</v>
      </c>
      <c r="AW20" s="703">
        <f>блюда!AW332</f>
        <v>0</v>
      </c>
      <c r="AX20" s="703">
        <f>блюда!AX332</f>
        <v>0</v>
      </c>
      <c r="AY20" s="703">
        <f>блюда!AY332</f>
        <v>0</v>
      </c>
      <c r="AZ20" s="703">
        <f>блюда!AZ332</f>
        <v>0</v>
      </c>
      <c r="BA20" s="703">
        <f>блюда!BA332</f>
        <v>0</v>
      </c>
      <c r="BB20" s="703">
        <f>блюда!BB332</f>
        <v>0</v>
      </c>
      <c r="BC20" s="703">
        <f>блюда!BC332</f>
        <v>0</v>
      </c>
      <c r="BD20" s="703">
        <f>блюда!BD332</f>
        <v>0</v>
      </c>
      <c r="BE20" s="703">
        <f>блюда!BE332</f>
        <v>0</v>
      </c>
      <c r="BF20" s="703">
        <f>блюда!BF332</f>
        <v>0</v>
      </c>
      <c r="BG20" s="703">
        <f>блюда!BG332</f>
        <v>0</v>
      </c>
      <c r="BH20" s="703">
        <f>блюда!BH332</f>
        <v>0</v>
      </c>
      <c r="BI20" s="703">
        <f>блюда!BI332</f>
        <v>0</v>
      </c>
      <c r="BJ20" s="703">
        <f>блюда!BJ332</f>
        <v>0</v>
      </c>
      <c r="BK20" s="703">
        <f>блюда!BK332</f>
        <v>0</v>
      </c>
      <c r="BL20" s="703">
        <f>блюда!BL332</f>
        <v>0</v>
      </c>
      <c r="BM20" s="703">
        <f>блюда!BM332</f>
        <v>0</v>
      </c>
      <c r="BN20" s="703">
        <f>блюда!BN332</f>
        <v>0</v>
      </c>
      <c r="BO20" s="703">
        <f>блюда!BO332</f>
        <v>0</v>
      </c>
      <c r="BP20" s="703">
        <f>блюда!BP332</f>
        <v>0</v>
      </c>
      <c r="BQ20" s="703">
        <f>блюда!BQ332</f>
        <v>0</v>
      </c>
      <c r="BR20" s="703">
        <f>блюда!BR332</f>
        <v>0</v>
      </c>
      <c r="BS20" s="703">
        <f>блюда!BS332</f>
        <v>0</v>
      </c>
      <c r="BT20" s="703">
        <f>блюда!BT332</f>
        <v>0</v>
      </c>
      <c r="BU20" s="703">
        <f>блюда!BU332</f>
        <v>0</v>
      </c>
      <c r="BV20" s="703">
        <f>блюда!BV332</f>
        <v>0</v>
      </c>
      <c r="BW20" s="703">
        <f>блюда!BW332</f>
        <v>0</v>
      </c>
      <c r="BX20" s="703">
        <f>блюда!BX332</f>
        <v>0</v>
      </c>
      <c r="BY20" s="703">
        <f>блюда!BY332</f>
        <v>0</v>
      </c>
      <c r="BZ20" s="703">
        <f>блюда!BZ332</f>
        <v>0</v>
      </c>
      <c r="CA20" s="703">
        <f>блюда!CA332</f>
        <v>0</v>
      </c>
      <c r="CB20" s="703">
        <f>блюда!CB332</f>
        <v>0</v>
      </c>
      <c r="CC20" s="703">
        <f>блюда!CC332</f>
        <v>0</v>
      </c>
      <c r="CD20" s="703">
        <f>блюда!CD332</f>
        <v>0</v>
      </c>
      <c r="CE20" s="703">
        <f>блюда!CE332</f>
        <v>0</v>
      </c>
      <c r="CF20" s="703">
        <f>блюда!CF332</f>
        <v>0</v>
      </c>
      <c r="CG20" s="703">
        <f>блюда!CG332</f>
        <v>0</v>
      </c>
      <c r="CH20" s="703">
        <f>блюда!CH332</f>
        <v>0</v>
      </c>
      <c r="CI20" s="703">
        <f>блюда!CI332</f>
        <v>0</v>
      </c>
      <c r="CJ20" s="703">
        <f>блюда!CJ332</f>
        <v>0</v>
      </c>
      <c r="CK20" s="703">
        <f>блюда!CK332</f>
        <v>0</v>
      </c>
      <c r="CL20" s="703">
        <f>блюда!CL332</f>
        <v>0</v>
      </c>
      <c r="CM20" s="703">
        <f>блюда!CM332</f>
        <v>0</v>
      </c>
      <c r="CN20" s="703">
        <f>блюда!CN332</f>
        <v>0</v>
      </c>
      <c r="CO20" s="703">
        <f>блюда!CO332</f>
        <v>0</v>
      </c>
      <c r="CP20" s="703">
        <f>блюда!CP332</f>
        <v>0</v>
      </c>
      <c r="CQ20" s="703">
        <f>блюда!CQ332</f>
        <v>0</v>
      </c>
      <c r="CR20" s="703">
        <f>блюда!CR332</f>
        <v>0</v>
      </c>
      <c r="CS20" s="703">
        <f>блюда!CS332</f>
        <v>0</v>
      </c>
      <c r="CT20" s="703">
        <f>блюда!CT332</f>
        <v>0</v>
      </c>
      <c r="CU20" s="703">
        <f>блюда!CU332</f>
        <v>0</v>
      </c>
      <c r="CV20" s="703">
        <f>блюда!CV332</f>
        <v>0</v>
      </c>
      <c r="CW20" s="703">
        <f>блюда!CW332</f>
        <v>0</v>
      </c>
      <c r="CX20" s="703">
        <f>блюда!CX332</f>
        <v>0</v>
      </c>
      <c r="CY20" s="703">
        <f>блюда!CY332</f>
        <v>0</v>
      </c>
      <c r="CZ20" s="703">
        <f>блюда!CZ332</f>
        <v>0</v>
      </c>
      <c r="DA20" s="703">
        <f>блюда!DA332</f>
        <v>0</v>
      </c>
      <c r="DB20" s="703">
        <f>блюда!DB332</f>
        <v>0</v>
      </c>
      <c r="DC20" s="703">
        <f>блюда!DC332</f>
        <v>0</v>
      </c>
      <c r="DD20" s="703">
        <f>блюда!DD332</f>
        <v>0</v>
      </c>
      <c r="DE20" s="703">
        <f>блюда!DE332</f>
        <v>0</v>
      </c>
      <c r="DF20" s="703">
        <f>блюда!DF332</f>
        <v>0</v>
      </c>
      <c r="DG20" s="703">
        <f>блюда!DG332</f>
        <v>0</v>
      </c>
      <c r="DH20" s="703">
        <f>блюда!DH332</f>
        <v>0</v>
      </c>
      <c r="DI20" s="703">
        <f>блюда!DI332</f>
        <v>0</v>
      </c>
      <c r="DJ20" s="703">
        <f>блюда!DJ332</f>
        <v>0</v>
      </c>
      <c r="DK20" s="703">
        <f>блюда!DK332</f>
        <v>0</v>
      </c>
      <c r="DL20" s="703">
        <f>блюда!DL332</f>
        <v>0</v>
      </c>
      <c r="DM20" s="703">
        <f>блюда!DM332</f>
        <v>0</v>
      </c>
      <c r="DN20" s="703">
        <f>блюда!DN332</f>
        <v>0</v>
      </c>
      <c r="DO20" s="703">
        <f>блюда!DO332</f>
        <v>0</v>
      </c>
      <c r="DP20" s="703">
        <f>блюда!DP332</f>
        <v>0</v>
      </c>
      <c r="DQ20" s="703">
        <f>блюда!DQ332</f>
        <v>0</v>
      </c>
      <c r="DR20" s="703">
        <f>блюда!DR332</f>
        <v>0</v>
      </c>
      <c r="DS20" s="703">
        <f>блюда!DS332</f>
        <v>0</v>
      </c>
      <c r="DT20" s="703">
        <f>блюда!DT332</f>
        <v>0</v>
      </c>
      <c r="DU20" s="703">
        <f>блюда!DU332</f>
        <v>0</v>
      </c>
      <c r="DV20" s="703">
        <f>блюда!DV332</f>
        <v>0</v>
      </c>
      <c r="DW20" s="703">
        <f>блюда!DW332</f>
        <v>0</v>
      </c>
      <c r="DX20" s="703">
        <f>блюда!DX332</f>
        <v>0</v>
      </c>
      <c r="DY20" s="703">
        <f>блюда!DY332</f>
        <v>0</v>
      </c>
      <c r="DZ20" s="703">
        <f>блюда!DZ332</f>
        <v>0</v>
      </c>
      <c r="EA20" s="703">
        <f>блюда!EA332</f>
        <v>0</v>
      </c>
      <c r="EB20" s="703">
        <f>блюда!EB332</f>
        <v>0</v>
      </c>
      <c r="EC20" s="703">
        <f>блюда!EC332</f>
        <v>0</v>
      </c>
      <c r="ED20" s="703">
        <f>блюда!ED332</f>
        <v>0</v>
      </c>
      <c r="EE20" s="703">
        <f>блюда!EE332</f>
        <v>0</v>
      </c>
      <c r="EF20" s="703">
        <f>блюда!EF332</f>
        <v>0</v>
      </c>
      <c r="EG20" s="703">
        <f>блюда!EG332</f>
        <v>0</v>
      </c>
      <c r="EH20" s="703">
        <f>блюда!EH332</f>
        <v>0</v>
      </c>
      <c r="EI20" s="703">
        <f>блюда!EI332</f>
        <v>0</v>
      </c>
      <c r="EJ20" s="703">
        <f>блюда!EJ332</f>
        <v>0</v>
      </c>
      <c r="EK20" s="703">
        <f>блюда!EK332</f>
        <v>0</v>
      </c>
      <c r="EL20" s="703">
        <f>блюда!EL332</f>
        <v>0</v>
      </c>
      <c r="EM20" s="703">
        <f>блюда!EM332</f>
        <v>0</v>
      </c>
      <c r="EN20" s="703">
        <f>блюда!EN332</f>
        <v>0</v>
      </c>
      <c r="EO20" s="703">
        <f>блюда!EO332</f>
        <v>0</v>
      </c>
      <c r="EP20" s="703">
        <f>блюда!EP332</f>
        <v>0</v>
      </c>
      <c r="EQ20" s="703">
        <f>блюда!EQ332</f>
        <v>0</v>
      </c>
      <c r="ER20" s="703">
        <f>блюда!ER332</f>
        <v>0</v>
      </c>
      <c r="ES20" s="703">
        <f>блюда!ES332</f>
        <v>0</v>
      </c>
      <c r="ET20" s="703">
        <f>блюда!ET332</f>
        <v>0</v>
      </c>
      <c r="EU20" s="703">
        <f>блюда!EU332</f>
        <v>0</v>
      </c>
      <c r="EV20" s="703">
        <f>блюда!EV332</f>
        <v>0.03</v>
      </c>
      <c r="EW20" s="703">
        <f>блюда!EW332</f>
        <v>0</v>
      </c>
      <c r="EX20" s="703">
        <f>блюда!EX332</f>
        <v>0</v>
      </c>
      <c r="EY20" s="927">
        <f t="shared" si="0"/>
        <v>0.03</v>
      </c>
      <c r="EZ20" s="117">
        <f>блюда!EZ13</f>
        <v>0</v>
      </c>
      <c r="FA20" s="117">
        <f>блюда!FA13</f>
        <v>0</v>
      </c>
      <c r="FB20" s="117">
        <f>блюда!FB13</f>
        <v>0</v>
      </c>
      <c r="FC20" s="117">
        <f>блюда!FC13</f>
        <v>0</v>
      </c>
      <c r="FD20" s="117">
        <f>блюда!FD13</f>
        <v>0</v>
      </c>
      <c r="FE20" s="117">
        <f>блюда!FE13</f>
        <v>0</v>
      </c>
      <c r="FF20" s="117">
        <f>блюда!FF13</f>
        <v>0</v>
      </c>
      <c r="FG20" s="117">
        <f>блюда!FG13</f>
        <v>0</v>
      </c>
      <c r="FH20" s="117">
        <f>блюда!FH13</f>
        <v>0</v>
      </c>
      <c r="FI20" s="117">
        <f>блюда!FI13</f>
        <v>0</v>
      </c>
      <c r="FJ20" s="117">
        <f>блюда!FJ13</f>
        <v>0</v>
      </c>
      <c r="FK20" s="117">
        <f>блюда!FK13</f>
        <v>0</v>
      </c>
      <c r="FL20" s="117">
        <f>блюда!FL13</f>
        <v>0</v>
      </c>
    </row>
    <row r="21" spans="1:168" x14ac:dyDescent="0.25">
      <c r="A21" s="1463"/>
      <c r="B21" s="585" t="str">
        <f>блюда!B336</f>
        <v>Хлеб пшенично-ржаной нарезной</v>
      </c>
      <c r="C21" s="704">
        <f>блюда!C336</f>
        <v>20</v>
      </c>
      <c r="D21" s="117">
        <f>блюда!D336</f>
        <v>1.5</v>
      </c>
      <c r="E21" s="117">
        <f>блюда!E336</f>
        <v>0.4</v>
      </c>
      <c r="F21" s="117">
        <f>блюда!F336</f>
        <v>10.4</v>
      </c>
      <c r="G21" s="704">
        <f>блюда!G336</f>
        <v>50</v>
      </c>
      <c r="H21" s="704" t="str">
        <f>блюда!H336</f>
        <v>ПРОМ</v>
      </c>
      <c r="I21" s="117">
        <f>блюда!I336</f>
        <v>1.3</v>
      </c>
      <c r="J21" s="703">
        <f>блюда!J336</f>
        <v>0</v>
      </c>
      <c r="K21" s="703">
        <f>блюда!K336</f>
        <v>0</v>
      </c>
      <c r="L21" s="703">
        <f>блюда!L336</f>
        <v>0</v>
      </c>
      <c r="M21" s="703">
        <f>блюда!M336</f>
        <v>0</v>
      </c>
      <c r="N21" s="703">
        <f>блюда!N336</f>
        <v>0</v>
      </c>
      <c r="O21" s="703">
        <f>блюда!O336</f>
        <v>0</v>
      </c>
      <c r="P21" s="703">
        <f>блюда!P336</f>
        <v>0</v>
      </c>
      <c r="Q21" s="703">
        <f>блюда!Q336</f>
        <v>0</v>
      </c>
      <c r="R21" s="703">
        <f>блюда!R336</f>
        <v>0</v>
      </c>
      <c r="S21" s="703">
        <f>блюда!S336</f>
        <v>0</v>
      </c>
      <c r="T21" s="703">
        <f>блюда!T336</f>
        <v>0</v>
      </c>
      <c r="U21" s="703">
        <f>блюда!U336</f>
        <v>0</v>
      </c>
      <c r="V21" s="703">
        <f>блюда!V336</f>
        <v>0</v>
      </c>
      <c r="W21" s="703">
        <f>блюда!W336</f>
        <v>0</v>
      </c>
      <c r="X21" s="703">
        <f>блюда!X336</f>
        <v>0</v>
      </c>
      <c r="Y21" s="703">
        <f>блюда!Y336</f>
        <v>0</v>
      </c>
      <c r="Z21" s="703">
        <f>блюда!Z336</f>
        <v>0</v>
      </c>
      <c r="AA21" s="703">
        <f>блюда!AA336</f>
        <v>0</v>
      </c>
      <c r="AB21" s="703">
        <f>блюда!AB336</f>
        <v>0</v>
      </c>
      <c r="AC21" s="703">
        <f>блюда!AC336</f>
        <v>0</v>
      </c>
      <c r="AD21" s="703">
        <f>блюда!AD336</f>
        <v>0</v>
      </c>
      <c r="AE21" s="703">
        <f>блюда!AE336</f>
        <v>0</v>
      </c>
      <c r="AF21" s="703">
        <f>блюда!AF336</f>
        <v>0</v>
      </c>
      <c r="AG21" s="703">
        <f>блюда!AG336</f>
        <v>0</v>
      </c>
      <c r="AH21" s="703">
        <f>блюда!AH336</f>
        <v>0</v>
      </c>
      <c r="AI21" s="703">
        <f>блюда!AI336</f>
        <v>0</v>
      </c>
      <c r="AJ21" s="703">
        <f>блюда!AJ336</f>
        <v>0</v>
      </c>
      <c r="AK21" s="703">
        <f>блюда!AK336</f>
        <v>0</v>
      </c>
      <c r="AL21" s="703">
        <f>блюда!AL336</f>
        <v>0</v>
      </c>
      <c r="AM21" s="703">
        <f>блюда!AM336</f>
        <v>0</v>
      </c>
      <c r="AN21" s="703">
        <f>блюда!AN336</f>
        <v>0</v>
      </c>
      <c r="AO21" s="703">
        <f>блюда!AO336</f>
        <v>0</v>
      </c>
      <c r="AP21" s="703">
        <f>блюда!AP336</f>
        <v>0</v>
      </c>
      <c r="AQ21" s="703">
        <f>блюда!AQ336</f>
        <v>0</v>
      </c>
      <c r="AR21" s="703">
        <f>блюда!AR336</f>
        <v>0</v>
      </c>
      <c r="AS21" s="703">
        <f>блюда!AS336</f>
        <v>0</v>
      </c>
      <c r="AT21" s="703">
        <f>блюда!AT336</f>
        <v>0</v>
      </c>
      <c r="AU21" s="703">
        <f>блюда!AU336</f>
        <v>0</v>
      </c>
      <c r="AV21" s="703">
        <f>блюда!AV336</f>
        <v>0</v>
      </c>
      <c r="AW21" s="703">
        <f>блюда!AW336</f>
        <v>0</v>
      </c>
      <c r="AX21" s="703">
        <f>блюда!AX336</f>
        <v>0</v>
      </c>
      <c r="AY21" s="703">
        <f>блюда!AY336</f>
        <v>0</v>
      </c>
      <c r="AZ21" s="703">
        <f>блюда!AZ336</f>
        <v>0</v>
      </c>
      <c r="BA21" s="703">
        <f>блюда!BA336</f>
        <v>0</v>
      </c>
      <c r="BB21" s="703">
        <f>блюда!BB336</f>
        <v>0</v>
      </c>
      <c r="BC21" s="703">
        <f>блюда!BC336</f>
        <v>0</v>
      </c>
      <c r="BD21" s="703">
        <f>блюда!BD336</f>
        <v>0</v>
      </c>
      <c r="BE21" s="703">
        <f>блюда!BE336</f>
        <v>0</v>
      </c>
      <c r="BF21" s="703">
        <f>блюда!BF336</f>
        <v>0</v>
      </c>
      <c r="BG21" s="703">
        <f>блюда!BG336</f>
        <v>0</v>
      </c>
      <c r="BH21" s="703">
        <f>блюда!BH336</f>
        <v>0</v>
      </c>
      <c r="BI21" s="703">
        <f>блюда!BI336</f>
        <v>0</v>
      </c>
      <c r="BJ21" s="703">
        <f>блюда!BJ336</f>
        <v>0</v>
      </c>
      <c r="BK21" s="703">
        <f>блюда!BK336</f>
        <v>0</v>
      </c>
      <c r="BL21" s="703">
        <f>блюда!BL336</f>
        <v>0</v>
      </c>
      <c r="BM21" s="703">
        <f>блюда!BM336</f>
        <v>0</v>
      </c>
      <c r="BN21" s="703">
        <f>блюда!BN336</f>
        <v>0</v>
      </c>
      <c r="BO21" s="703">
        <f>блюда!BO336</f>
        <v>0</v>
      </c>
      <c r="BP21" s="703">
        <f>блюда!BP336</f>
        <v>0</v>
      </c>
      <c r="BQ21" s="703">
        <f>блюда!BQ336</f>
        <v>0</v>
      </c>
      <c r="BR21" s="703">
        <f>блюда!BR336</f>
        <v>0</v>
      </c>
      <c r="BS21" s="703">
        <f>блюда!BS336</f>
        <v>0</v>
      </c>
      <c r="BT21" s="703">
        <f>блюда!BT336</f>
        <v>0</v>
      </c>
      <c r="BU21" s="703">
        <f>блюда!BU336</f>
        <v>0</v>
      </c>
      <c r="BV21" s="703">
        <f>блюда!BV336</f>
        <v>0</v>
      </c>
      <c r="BW21" s="703">
        <f>блюда!BW336</f>
        <v>0</v>
      </c>
      <c r="BX21" s="703">
        <f>блюда!BX336</f>
        <v>0</v>
      </c>
      <c r="BY21" s="703">
        <f>блюда!BY336</f>
        <v>0</v>
      </c>
      <c r="BZ21" s="703">
        <f>блюда!BZ336</f>
        <v>0</v>
      </c>
      <c r="CA21" s="703">
        <f>блюда!CA336</f>
        <v>0</v>
      </c>
      <c r="CB21" s="703">
        <f>блюда!CB336</f>
        <v>0</v>
      </c>
      <c r="CC21" s="703">
        <f>блюда!CC336</f>
        <v>0</v>
      </c>
      <c r="CD21" s="703">
        <f>блюда!CD336</f>
        <v>0</v>
      </c>
      <c r="CE21" s="703">
        <f>блюда!CE336</f>
        <v>0</v>
      </c>
      <c r="CF21" s="703">
        <f>блюда!CF336</f>
        <v>0</v>
      </c>
      <c r="CG21" s="703">
        <f>блюда!CG336</f>
        <v>0</v>
      </c>
      <c r="CH21" s="703">
        <f>блюда!CH336</f>
        <v>0</v>
      </c>
      <c r="CI21" s="703">
        <f>блюда!CI336</f>
        <v>0</v>
      </c>
      <c r="CJ21" s="703">
        <f>блюда!CJ336</f>
        <v>0</v>
      </c>
      <c r="CK21" s="703">
        <f>блюда!CK336</f>
        <v>0</v>
      </c>
      <c r="CL21" s="703">
        <f>блюда!CL336</f>
        <v>0</v>
      </c>
      <c r="CM21" s="703">
        <f>блюда!CM336</f>
        <v>0</v>
      </c>
      <c r="CN21" s="703">
        <f>блюда!CN336</f>
        <v>0</v>
      </c>
      <c r="CO21" s="703">
        <f>блюда!CO336</f>
        <v>0</v>
      </c>
      <c r="CP21" s="703">
        <f>блюда!CP336</f>
        <v>0</v>
      </c>
      <c r="CQ21" s="703">
        <f>блюда!CQ336</f>
        <v>0</v>
      </c>
      <c r="CR21" s="703">
        <f>блюда!CR336</f>
        <v>0</v>
      </c>
      <c r="CS21" s="703">
        <f>блюда!CS336</f>
        <v>0</v>
      </c>
      <c r="CT21" s="703">
        <f>блюда!CT336</f>
        <v>0</v>
      </c>
      <c r="CU21" s="703">
        <f>блюда!CU336</f>
        <v>0</v>
      </c>
      <c r="CV21" s="703">
        <f>блюда!CV336</f>
        <v>0</v>
      </c>
      <c r="CW21" s="703">
        <f>блюда!CW336</f>
        <v>0</v>
      </c>
      <c r="CX21" s="703">
        <f>блюда!CX336</f>
        <v>0</v>
      </c>
      <c r="CY21" s="703">
        <f>блюда!CY336</f>
        <v>0</v>
      </c>
      <c r="CZ21" s="703">
        <f>блюда!CZ336</f>
        <v>0</v>
      </c>
      <c r="DA21" s="703">
        <f>блюда!DA336</f>
        <v>0</v>
      </c>
      <c r="DB21" s="703">
        <f>блюда!DB336</f>
        <v>0</v>
      </c>
      <c r="DC21" s="703">
        <f>блюда!DC336</f>
        <v>0</v>
      </c>
      <c r="DD21" s="703">
        <f>блюда!DD336</f>
        <v>0</v>
      </c>
      <c r="DE21" s="703">
        <f>блюда!DE336</f>
        <v>0</v>
      </c>
      <c r="DF21" s="703">
        <f>блюда!DF336</f>
        <v>0</v>
      </c>
      <c r="DG21" s="703">
        <f>блюда!DG336</f>
        <v>0</v>
      </c>
      <c r="DH21" s="703">
        <f>блюда!DH336</f>
        <v>0</v>
      </c>
      <c r="DI21" s="703">
        <f>блюда!DI336</f>
        <v>0</v>
      </c>
      <c r="DJ21" s="703">
        <f>блюда!DJ336</f>
        <v>0</v>
      </c>
      <c r="DK21" s="703">
        <f>блюда!DK336</f>
        <v>0</v>
      </c>
      <c r="DL21" s="703">
        <f>блюда!DL336</f>
        <v>0</v>
      </c>
      <c r="DM21" s="703">
        <f>блюда!DM336</f>
        <v>0</v>
      </c>
      <c r="DN21" s="703">
        <f>блюда!DN336</f>
        <v>0</v>
      </c>
      <c r="DO21" s="703">
        <f>блюда!DO336</f>
        <v>0</v>
      </c>
      <c r="DP21" s="703">
        <f>блюда!DP336</f>
        <v>0</v>
      </c>
      <c r="DQ21" s="703">
        <f>блюда!DQ336</f>
        <v>0</v>
      </c>
      <c r="DR21" s="703">
        <f>блюда!DR336</f>
        <v>0</v>
      </c>
      <c r="DS21" s="703">
        <f>блюда!DS336</f>
        <v>0</v>
      </c>
      <c r="DT21" s="703">
        <f>блюда!DT336</f>
        <v>0</v>
      </c>
      <c r="DU21" s="703">
        <f>блюда!DU336</f>
        <v>0</v>
      </c>
      <c r="DV21" s="703">
        <f>блюда!DV336</f>
        <v>0</v>
      </c>
      <c r="DW21" s="703">
        <f>блюда!DW336</f>
        <v>0</v>
      </c>
      <c r="DX21" s="703">
        <f>блюда!DX336</f>
        <v>0</v>
      </c>
      <c r="DY21" s="703">
        <f>блюда!DY336</f>
        <v>0</v>
      </c>
      <c r="DZ21" s="703">
        <f>блюда!DZ336</f>
        <v>0</v>
      </c>
      <c r="EA21" s="703">
        <f>блюда!EA336</f>
        <v>0</v>
      </c>
      <c r="EB21" s="703">
        <f>блюда!EB336</f>
        <v>0</v>
      </c>
      <c r="EC21" s="703">
        <f>блюда!EC336</f>
        <v>0</v>
      </c>
      <c r="ED21" s="703">
        <f>блюда!ED336</f>
        <v>0</v>
      </c>
      <c r="EE21" s="703">
        <f>блюда!EE336</f>
        <v>0</v>
      </c>
      <c r="EF21" s="703">
        <f>блюда!EF336</f>
        <v>0</v>
      </c>
      <c r="EG21" s="703">
        <f>блюда!EG336</f>
        <v>0</v>
      </c>
      <c r="EH21" s="703">
        <f>блюда!EH336</f>
        <v>0</v>
      </c>
      <c r="EI21" s="703">
        <f>блюда!EI336</f>
        <v>0</v>
      </c>
      <c r="EJ21" s="703">
        <f>блюда!EJ336</f>
        <v>0</v>
      </c>
      <c r="EK21" s="703">
        <f>блюда!EK336</f>
        <v>0</v>
      </c>
      <c r="EL21" s="703">
        <f>блюда!EL336</f>
        <v>0</v>
      </c>
      <c r="EM21" s="703">
        <f>блюда!EM336</f>
        <v>0</v>
      </c>
      <c r="EN21" s="703">
        <f>блюда!EN336</f>
        <v>0</v>
      </c>
      <c r="EO21" s="703">
        <f>блюда!EO336</f>
        <v>0</v>
      </c>
      <c r="EP21" s="703">
        <f>блюда!EP336</f>
        <v>0</v>
      </c>
      <c r="EQ21" s="703">
        <f>блюда!EQ336</f>
        <v>0</v>
      </c>
      <c r="ER21" s="703">
        <f>блюда!ER336</f>
        <v>0</v>
      </c>
      <c r="ES21" s="703">
        <f>блюда!ES336</f>
        <v>0</v>
      </c>
      <c r="ET21" s="703">
        <f>блюда!ET336</f>
        <v>0</v>
      </c>
      <c r="EU21" s="703">
        <f>блюда!EU336</f>
        <v>0</v>
      </c>
      <c r="EV21" s="703">
        <f>блюда!EV336</f>
        <v>0</v>
      </c>
      <c r="EW21" s="703">
        <f>блюда!EW336</f>
        <v>0.02</v>
      </c>
      <c r="EX21" s="703">
        <f>блюда!EX336</f>
        <v>0</v>
      </c>
      <c r="EY21" s="927">
        <f t="shared" si="0"/>
        <v>0.02</v>
      </c>
      <c r="EZ21" s="117">
        <f>блюда!EZ16</f>
        <v>0</v>
      </c>
      <c r="FA21" s="117">
        <f>блюда!FA16</f>
        <v>0</v>
      </c>
      <c r="FB21" s="117">
        <f>блюда!FB16</f>
        <v>0</v>
      </c>
      <c r="FC21" s="117">
        <f>блюда!FC16</f>
        <v>0</v>
      </c>
      <c r="FD21" s="117">
        <f>блюда!FD16</f>
        <v>0</v>
      </c>
      <c r="FE21" s="117">
        <f>блюда!FE16</f>
        <v>0</v>
      </c>
      <c r="FF21" s="117">
        <f>блюда!FF16</f>
        <v>0</v>
      </c>
      <c r="FG21" s="117">
        <f>блюда!FG16</f>
        <v>0</v>
      </c>
      <c r="FH21" s="117">
        <f>блюда!FH16</f>
        <v>0</v>
      </c>
      <c r="FI21" s="117">
        <f>блюда!FI16</f>
        <v>0</v>
      </c>
      <c r="FJ21" s="117">
        <f>блюда!FJ16</f>
        <v>0</v>
      </c>
      <c r="FK21" s="117">
        <f>блюда!FK16</f>
        <v>0</v>
      </c>
      <c r="FL21" s="117">
        <f>блюда!FL16</f>
        <v>0</v>
      </c>
    </row>
    <row r="22" spans="1:168" x14ac:dyDescent="0.25">
      <c r="A22" s="1463"/>
      <c r="B22" s="585" t="str">
        <f>блюда!B258</f>
        <v>Яблоки свежие</v>
      </c>
      <c r="C22" s="704">
        <f>блюда!C258</f>
        <v>200</v>
      </c>
      <c r="D22" s="117">
        <f>блюда!D258</f>
        <v>0.8</v>
      </c>
      <c r="E22" s="117">
        <f>блюда!E258</f>
        <v>0.8</v>
      </c>
      <c r="F22" s="117">
        <f>блюда!F258</f>
        <v>19.600000000000001</v>
      </c>
      <c r="G22" s="704">
        <f>блюда!G258</f>
        <v>94</v>
      </c>
      <c r="H22" s="704">
        <f>блюда!H258</f>
        <v>338</v>
      </c>
      <c r="I22" s="117">
        <f>блюда!I258</f>
        <v>18.2</v>
      </c>
      <c r="J22" s="703">
        <f>блюда!J258</f>
        <v>0</v>
      </c>
      <c r="K22" s="703">
        <f>блюда!K258</f>
        <v>0</v>
      </c>
      <c r="L22" s="703">
        <f>блюда!L258</f>
        <v>0</v>
      </c>
      <c r="M22" s="703">
        <f>блюда!M258</f>
        <v>0</v>
      </c>
      <c r="N22" s="703">
        <f>блюда!N258</f>
        <v>0</v>
      </c>
      <c r="O22" s="703">
        <f>блюда!O258</f>
        <v>0</v>
      </c>
      <c r="P22" s="703">
        <f>блюда!P258</f>
        <v>0</v>
      </c>
      <c r="Q22" s="703">
        <f>блюда!Q258</f>
        <v>0</v>
      </c>
      <c r="R22" s="703">
        <f>блюда!R258</f>
        <v>0</v>
      </c>
      <c r="S22" s="703">
        <f>блюда!S258</f>
        <v>0</v>
      </c>
      <c r="T22" s="703">
        <f>блюда!T258</f>
        <v>0</v>
      </c>
      <c r="U22" s="703">
        <f>блюда!U258</f>
        <v>0</v>
      </c>
      <c r="V22" s="703">
        <f>блюда!V258</f>
        <v>0</v>
      </c>
      <c r="W22" s="703">
        <f>блюда!W258</f>
        <v>0</v>
      </c>
      <c r="X22" s="703">
        <f>блюда!X258</f>
        <v>0</v>
      </c>
      <c r="Y22" s="703">
        <f>блюда!Y258</f>
        <v>0</v>
      </c>
      <c r="Z22" s="703">
        <f>блюда!Z258</f>
        <v>0</v>
      </c>
      <c r="AA22" s="703">
        <f>блюда!AA258</f>
        <v>0</v>
      </c>
      <c r="AB22" s="703">
        <f>блюда!AB258</f>
        <v>0</v>
      </c>
      <c r="AC22" s="703">
        <f>блюда!AC258</f>
        <v>0</v>
      </c>
      <c r="AD22" s="703">
        <f>блюда!AD258</f>
        <v>0</v>
      </c>
      <c r="AE22" s="703">
        <f>блюда!AE258</f>
        <v>0</v>
      </c>
      <c r="AF22" s="703">
        <f>блюда!AF258</f>
        <v>0</v>
      </c>
      <c r="AG22" s="703">
        <f>блюда!AG258</f>
        <v>0</v>
      </c>
      <c r="AH22" s="703">
        <f>блюда!AH258</f>
        <v>0</v>
      </c>
      <c r="AI22" s="703">
        <f>блюда!AI258</f>
        <v>0</v>
      </c>
      <c r="AJ22" s="703">
        <f>блюда!AJ258</f>
        <v>0</v>
      </c>
      <c r="AK22" s="703">
        <f>блюда!AK258</f>
        <v>0</v>
      </c>
      <c r="AL22" s="703">
        <f>блюда!AL258</f>
        <v>0</v>
      </c>
      <c r="AM22" s="703">
        <f>блюда!AM258</f>
        <v>0</v>
      </c>
      <c r="AN22" s="703">
        <f>блюда!AN258</f>
        <v>0</v>
      </c>
      <c r="AO22" s="703">
        <f>блюда!AO258</f>
        <v>0</v>
      </c>
      <c r="AP22" s="703">
        <f>блюда!AP258</f>
        <v>0</v>
      </c>
      <c r="AQ22" s="703">
        <f>блюда!AQ258</f>
        <v>0</v>
      </c>
      <c r="AR22" s="703">
        <f>блюда!AR258</f>
        <v>0</v>
      </c>
      <c r="AS22" s="703">
        <f>блюда!AS258</f>
        <v>0</v>
      </c>
      <c r="AT22" s="703">
        <f>блюда!AT258</f>
        <v>0</v>
      </c>
      <c r="AU22" s="703">
        <f>блюда!AU258</f>
        <v>0</v>
      </c>
      <c r="AV22" s="703">
        <f>блюда!AV258</f>
        <v>0</v>
      </c>
      <c r="AW22" s="703">
        <f>блюда!AW258</f>
        <v>0</v>
      </c>
      <c r="AX22" s="703">
        <f>блюда!AX258</f>
        <v>0</v>
      </c>
      <c r="AY22" s="703">
        <f>блюда!AY258</f>
        <v>0</v>
      </c>
      <c r="AZ22" s="703">
        <f>блюда!AZ258</f>
        <v>0</v>
      </c>
      <c r="BA22" s="703">
        <f>блюда!BA258</f>
        <v>0</v>
      </c>
      <c r="BB22" s="703">
        <f>блюда!BB258</f>
        <v>0</v>
      </c>
      <c r="BC22" s="703">
        <f>блюда!BC258</f>
        <v>0</v>
      </c>
      <c r="BD22" s="703">
        <f>блюда!BD258</f>
        <v>0</v>
      </c>
      <c r="BE22" s="703">
        <f>блюда!BE258</f>
        <v>0</v>
      </c>
      <c r="BF22" s="703">
        <f>блюда!BF258</f>
        <v>0</v>
      </c>
      <c r="BG22" s="703">
        <f>блюда!BG258</f>
        <v>0</v>
      </c>
      <c r="BH22" s="703">
        <f>блюда!BH258</f>
        <v>0</v>
      </c>
      <c r="BI22" s="703">
        <f>блюда!BI258</f>
        <v>0</v>
      </c>
      <c r="BJ22" s="703">
        <f>блюда!BJ258</f>
        <v>0</v>
      </c>
      <c r="BK22" s="703">
        <f>блюда!BK258</f>
        <v>0</v>
      </c>
      <c r="BL22" s="703">
        <f>блюда!BL258</f>
        <v>0</v>
      </c>
      <c r="BM22" s="703">
        <f>блюда!BM258</f>
        <v>0</v>
      </c>
      <c r="BN22" s="703">
        <f>блюда!BN258</f>
        <v>0</v>
      </c>
      <c r="BO22" s="703">
        <f>блюда!BO258</f>
        <v>0</v>
      </c>
      <c r="BP22" s="703">
        <f>блюда!BP258</f>
        <v>0</v>
      </c>
      <c r="BQ22" s="703">
        <f>блюда!BQ258</f>
        <v>0</v>
      </c>
      <c r="BR22" s="703">
        <f>блюда!BR258</f>
        <v>0.2</v>
      </c>
      <c r="BS22" s="703">
        <f>блюда!BS258</f>
        <v>0</v>
      </c>
      <c r="BT22" s="703">
        <f>блюда!BT258</f>
        <v>0</v>
      </c>
      <c r="BU22" s="703">
        <f>блюда!BU258</f>
        <v>0</v>
      </c>
      <c r="BV22" s="703">
        <f>блюда!BV258</f>
        <v>0</v>
      </c>
      <c r="BW22" s="703">
        <f>блюда!BW258</f>
        <v>0</v>
      </c>
      <c r="BX22" s="703">
        <f>блюда!BX258</f>
        <v>0</v>
      </c>
      <c r="BY22" s="703">
        <f>блюда!BY258</f>
        <v>0</v>
      </c>
      <c r="BZ22" s="703">
        <f>блюда!BZ258</f>
        <v>0</v>
      </c>
      <c r="CA22" s="703">
        <f>блюда!CA258</f>
        <v>0</v>
      </c>
      <c r="CB22" s="703">
        <f>блюда!CB258</f>
        <v>0</v>
      </c>
      <c r="CC22" s="703">
        <f>блюда!CC258</f>
        <v>0</v>
      </c>
      <c r="CD22" s="703">
        <f>блюда!CD258</f>
        <v>0</v>
      </c>
      <c r="CE22" s="703">
        <f>блюда!CE258</f>
        <v>0</v>
      </c>
      <c r="CF22" s="703">
        <f>блюда!CF258</f>
        <v>0</v>
      </c>
      <c r="CG22" s="703">
        <f>блюда!CG258</f>
        <v>0</v>
      </c>
      <c r="CH22" s="703">
        <f>блюда!CH258</f>
        <v>0</v>
      </c>
      <c r="CI22" s="703">
        <f>блюда!CI258</f>
        <v>0</v>
      </c>
      <c r="CJ22" s="703">
        <f>блюда!CJ258</f>
        <v>0</v>
      </c>
      <c r="CK22" s="703">
        <f>блюда!CK258</f>
        <v>0</v>
      </c>
      <c r="CL22" s="703">
        <f>блюда!CL258</f>
        <v>0</v>
      </c>
      <c r="CM22" s="703">
        <f>блюда!CM258</f>
        <v>0</v>
      </c>
      <c r="CN22" s="703">
        <f>блюда!CN258</f>
        <v>0</v>
      </c>
      <c r="CO22" s="703">
        <f>блюда!CO258</f>
        <v>0</v>
      </c>
      <c r="CP22" s="703">
        <f>блюда!CP258</f>
        <v>0</v>
      </c>
      <c r="CQ22" s="703">
        <f>блюда!CQ258</f>
        <v>0</v>
      </c>
      <c r="CR22" s="703">
        <f>блюда!CR258</f>
        <v>0</v>
      </c>
      <c r="CS22" s="703">
        <f>блюда!CS258</f>
        <v>0</v>
      </c>
      <c r="CT22" s="703">
        <f>блюда!CT258</f>
        <v>0</v>
      </c>
      <c r="CU22" s="703">
        <f>блюда!CU258</f>
        <v>0</v>
      </c>
      <c r="CV22" s="703">
        <f>блюда!CV258</f>
        <v>0</v>
      </c>
      <c r="CW22" s="703">
        <f>блюда!CW258</f>
        <v>0</v>
      </c>
      <c r="CX22" s="703">
        <f>блюда!CX258</f>
        <v>0</v>
      </c>
      <c r="CY22" s="703">
        <f>блюда!CY258</f>
        <v>0</v>
      </c>
      <c r="CZ22" s="703">
        <f>блюда!CZ258</f>
        <v>0</v>
      </c>
      <c r="DA22" s="703">
        <f>блюда!DA258</f>
        <v>0</v>
      </c>
      <c r="DB22" s="703">
        <f>блюда!DB258</f>
        <v>0</v>
      </c>
      <c r="DC22" s="703">
        <f>блюда!DC258</f>
        <v>0</v>
      </c>
      <c r="DD22" s="703">
        <f>блюда!DD258</f>
        <v>0</v>
      </c>
      <c r="DE22" s="703">
        <f>блюда!DE258</f>
        <v>0</v>
      </c>
      <c r="DF22" s="703">
        <f>блюда!DF258</f>
        <v>0</v>
      </c>
      <c r="DG22" s="703">
        <f>блюда!DG258</f>
        <v>0</v>
      </c>
      <c r="DH22" s="703">
        <f>блюда!DH258</f>
        <v>0</v>
      </c>
      <c r="DI22" s="703">
        <f>блюда!DI258</f>
        <v>0</v>
      </c>
      <c r="DJ22" s="703">
        <f>блюда!DJ258</f>
        <v>0</v>
      </c>
      <c r="DK22" s="703">
        <f>блюда!DK258</f>
        <v>0</v>
      </c>
      <c r="DL22" s="703">
        <f>блюда!DL258</f>
        <v>0</v>
      </c>
      <c r="DM22" s="703">
        <f>блюда!DM258</f>
        <v>0</v>
      </c>
      <c r="DN22" s="703">
        <f>блюда!DN258</f>
        <v>0</v>
      </c>
      <c r="DO22" s="703">
        <f>блюда!DO258</f>
        <v>0</v>
      </c>
      <c r="DP22" s="703">
        <f>блюда!DP258</f>
        <v>0</v>
      </c>
      <c r="DQ22" s="703">
        <f>блюда!DQ258</f>
        <v>0</v>
      </c>
      <c r="DR22" s="703">
        <f>блюда!DR258</f>
        <v>0</v>
      </c>
      <c r="DS22" s="703">
        <f>блюда!DS258</f>
        <v>0</v>
      </c>
      <c r="DT22" s="703">
        <f>блюда!DT258</f>
        <v>0</v>
      </c>
      <c r="DU22" s="703">
        <f>блюда!DU258</f>
        <v>0</v>
      </c>
      <c r="DV22" s="703">
        <f>блюда!DV258</f>
        <v>0</v>
      </c>
      <c r="DW22" s="703">
        <f>блюда!DW258</f>
        <v>0</v>
      </c>
      <c r="DX22" s="703">
        <f>блюда!DX258</f>
        <v>0</v>
      </c>
      <c r="DY22" s="703">
        <f>блюда!DY258</f>
        <v>0</v>
      </c>
      <c r="DZ22" s="703">
        <f>блюда!DZ258</f>
        <v>0</v>
      </c>
      <c r="EA22" s="703">
        <f>блюда!EA258</f>
        <v>0</v>
      </c>
      <c r="EB22" s="703">
        <f>блюда!EB258</f>
        <v>0</v>
      </c>
      <c r="EC22" s="703">
        <f>блюда!EC258</f>
        <v>0</v>
      </c>
      <c r="ED22" s="703">
        <f>блюда!ED258</f>
        <v>0</v>
      </c>
      <c r="EE22" s="703">
        <f>блюда!EE258</f>
        <v>0</v>
      </c>
      <c r="EF22" s="703">
        <f>блюда!EF258</f>
        <v>0</v>
      </c>
      <c r="EG22" s="703">
        <f>блюда!EG258</f>
        <v>0</v>
      </c>
      <c r="EH22" s="703">
        <f>блюда!EH258</f>
        <v>0</v>
      </c>
      <c r="EI22" s="703">
        <f>блюда!EI258</f>
        <v>0</v>
      </c>
      <c r="EJ22" s="703">
        <f>блюда!EJ258</f>
        <v>0</v>
      </c>
      <c r="EK22" s="703">
        <f>блюда!EK258</f>
        <v>0</v>
      </c>
      <c r="EL22" s="703">
        <f>блюда!EL258</f>
        <v>0</v>
      </c>
      <c r="EM22" s="703">
        <f>блюда!EM258</f>
        <v>0</v>
      </c>
      <c r="EN22" s="703">
        <f>блюда!EN258</f>
        <v>0</v>
      </c>
      <c r="EO22" s="703">
        <f>блюда!EO258</f>
        <v>0</v>
      </c>
      <c r="EP22" s="703">
        <f>блюда!EP258</f>
        <v>0</v>
      </c>
      <c r="EQ22" s="703">
        <f>блюда!EQ258</f>
        <v>0</v>
      </c>
      <c r="ER22" s="703">
        <f>блюда!ER258</f>
        <v>0</v>
      </c>
      <c r="ES22" s="703">
        <f>блюда!ES258</f>
        <v>0</v>
      </c>
      <c r="ET22" s="703">
        <f>блюда!ET258</f>
        <v>0</v>
      </c>
      <c r="EU22" s="703">
        <f>блюда!EU258</f>
        <v>0</v>
      </c>
      <c r="EV22" s="703">
        <f>блюда!EV258</f>
        <v>0</v>
      </c>
      <c r="EW22" s="703">
        <f>блюда!EW258</f>
        <v>0</v>
      </c>
      <c r="EX22" s="703">
        <f>блюда!EX258</f>
        <v>0</v>
      </c>
      <c r="EY22" s="927">
        <f t="shared" si="0"/>
        <v>0.2</v>
      </c>
      <c r="EZ22" s="117">
        <f>блюда!EZ258</f>
        <v>0</v>
      </c>
      <c r="FA22" s="117">
        <f>блюда!FA258</f>
        <v>0</v>
      </c>
      <c r="FB22" s="117">
        <f>блюда!FB258</f>
        <v>0</v>
      </c>
      <c r="FC22" s="117">
        <f>блюда!FC258</f>
        <v>0</v>
      </c>
      <c r="FD22" s="117">
        <f>блюда!FD258</f>
        <v>0</v>
      </c>
      <c r="FE22" s="117">
        <f>блюда!FE258</f>
        <v>0</v>
      </c>
      <c r="FF22" s="117">
        <f>блюда!FF258</f>
        <v>0</v>
      </c>
      <c r="FG22" s="117">
        <f>блюда!FG258</f>
        <v>0</v>
      </c>
      <c r="FH22" s="117">
        <f>блюда!FH258</f>
        <v>0</v>
      </c>
      <c r="FI22" s="117">
        <f>блюда!FI258</f>
        <v>0</v>
      </c>
      <c r="FJ22" s="117">
        <f>блюда!FJ258</f>
        <v>0</v>
      </c>
      <c r="FK22" s="117">
        <f>блюда!FK258</f>
        <v>0</v>
      </c>
      <c r="FL22" s="117">
        <f>блюда!FL258</f>
        <v>0</v>
      </c>
    </row>
    <row r="23" spans="1:168" x14ac:dyDescent="0.25">
      <c r="A23" s="1463"/>
      <c r="B23" s="576" t="str">
        <f>блюда!B343</f>
        <v>Вода питьевая 19 л</v>
      </c>
      <c r="C23" s="704">
        <f>блюда!C343</f>
        <v>500</v>
      </c>
      <c r="D23" s="117">
        <f>блюда!D343</f>
        <v>0</v>
      </c>
      <c r="E23" s="117">
        <f>блюда!E343</f>
        <v>0</v>
      </c>
      <c r="F23" s="117">
        <f>блюда!F343</f>
        <v>0</v>
      </c>
      <c r="G23" s="704">
        <f>блюда!G343</f>
        <v>0</v>
      </c>
      <c r="H23" s="703" t="str">
        <f>блюда!H343</f>
        <v>ПРОМ</v>
      </c>
      <c r="I23" s="117">
        <f>блюда!I343</f>
        <v>2.9</v>
      </c>
      <c r="J23" s="703">
        <f>блюда!J343</f>
        <v>0</v>
      </c>
      <c r="K23" s="703">
        <f>блюда!K343</f>
        <v>0</v>
      </c>
      <c r="L23" s="703">
        <f>блюда!L343</f>
        <v>0</v>
      </c>
      <c r="M23" s="703">
        <f>блюда!M343</f>
        <v>0</v>
      </c>
      <c r="N23" s="703">
        <f>блюда!N343</f>
        <v>0</v>
      </c>
      <c r="O23" s="703">
        <f>блюда!O343</f>
        <v>0</v>
      </c>
      <c r="P23" s="703">
        <f>блюда!P343</f>
        <v>0</v>
      </c>
      <c r="Q23" s="703">
        <f>блюда!Q343</f>
        <v>0</v>
      </c>
      <c r="R23" s="703">
        <f>блюда!R343</f>
        <v>0</v>
      </c>
      <c r="S23" s="703">
        <f>блюда!S343</f>
        <v>0</v>
      </c>
      <c r="T23" s="703">
        <f>блюда!T343</f>
        <v>0</v>
      </c>
      <c r="U23" s="703">
        <f>блюда!U343</f>
        <v>0</v>
      </c>
      <c r="V23" s="703">
        <f>блюда!V343</f>
        <v>0</v>
      </c>
      <c r="W23" s="703">
        <f>блюда!W343</f>
        <v>0</v>
      </c>
      <c r="X23" s="703">
        <f>блюда!X343</f>
        <v>0</v>
      </c>
      <c r="Y23" s="703">
        <f>блюда!Y343</f>
        <v>0</v>
      </c>
      <c r="Z23" s="703">
        <f>блюда!Z343</f>
        <v>0</v>
      </c>
      <c r="AA23" s="703">
        <f>блюда!AA343</f>
        <v>0</v>
      </c>
      <c r="AB23" s="703">
        <f>блюда!AB343</f>
        <v>0</v>
      </c>
      <c r="AC23" s="703">
        <f>блюда!AC343</f>
        <v>0</v>
      </c>
      <c r="AD23" s="703">
        <f>блюда!AD343</f>
        <v>0</v>
      </c>
      <c r="AE23" s="703">
        <f>блюда!AE343</f>
        <v>0</v>
      </c>
      <c r="AF23" s="703">
        <f>блюда!AF343</f>
        <v>0</v>
      </c>
      <c r="AG23" s="703">
        <f>блюда!AG343</f>
        <v>0</v>
      </c>
      <c r="AH23" s="703">
        <f>блюда!AH343</f>
        <v>0</v>
      </c>
      <c r="AI23" s="703">
        <f>блюда!AI343</f>
        <v>0</v>
      </c>
      <c r="AJ23" s="703">
        <f>блюда!AJ343</f>
        <v>0</v>
      </c>
      <c r="AK23" s="703">
        <f>блюда!AK343</f>
        <v>0</v>
      </c>
      <c r="AL23" s="703">
        <f>блюда!AL343</f>
        <v>0</v>
      </c>
      <c r="AM23" s="703">
        <f>блюда!AM343</f>
        <v>0</v>
      </c>
      <c r="AN23" s="703">
        <f>блюда!AN343</f>
        <v>0</v>
      </c>
      <c r="AO23" s="703">
        <f>блюда!AO343</f>
        <v>0</v>
      </c>
      <c r="AP23" s="703">
        <f>блюда!AP343</f>
        <v>0</v>
      </c>
      <c r="AQ23" s="703">
        <f>блюда!AQ343</f>
        <v>0</v>
      </c>
      <c r="AR23" s="703">
        <f>блюда!AR343</f>
        <v>0</v>
      </c>
      <c r="AS23" s="703">
        <f>блюда!AS343</f>
        <v>0</v>
      </c>
      <c r="AT23" s="703">
        <f>блюда!AT343</f>
        <v>0</v>
      </c>
      <c r="AU23" s="703">
        <f>блюда!AU343</f>
        <v>0</v>
      </c>
      <c r="AV23" s="703">
        <f>блюда!AV343</f>
        <v>0</v>
      </c>
      <c r="AW23" s="703">
        <f>блюда!AW343</f>
        <v>0</v>
      </c>
      <c r="AX23" s="703">
        <f>блюда!AX343</f>
        <v>0</v>
      </c>
      <c r="AY23" s="703">
        <f>блюда!AY343</f>
        <v>0</v>
      </c>
      <c r="AZ23" s="703">
        <f>блюда!AZ343</f>
        <v>0</v>
      </c>
      <c r="BA23" s="703">
        <f>блюда!BA343</f>
        <v>0</v>
      </c>
      <c r="BB23" s="703">
        <f>блюда!BB343</f>
        <v>0</v>
      </c>
      <c r="BC23" s="703">
        <f>блюда!BC343</f>
        <v>0</v>
      </c>
      <c r="BD23" s="703">
        <f>блюда!BD343</f>
        <v>0</v>
      </c>
      <c r="BE23" s="703">
        <f>блюда!BE343</f>
        <v>0</v>
      </c>
      <c r="BF23" s="703">
        <f>блюда!BF343</f>
        <v>0</v>
      </c>
      <c r="BG23" s="703">
        <f>блюда!BG343</f>
        <v>0</v>
      </c>
      <c r="BH23" s="703">
        <f>блюда!BH343</f>
        <v>0</v>
      </c>
      <c r="BI23" s="703">
        <f>блюда!BI343</f>
        <v>0</v>
      </c>
      <c r="BJ23" s="703">
        <f>блюда!BJ343</f>
        <v>0</v>
      </c>
      <c r="BK23" s="703">
        <f>блюда!BK343</f>
        <v>0</v>
      </c>
      <c r="BL23" s="703">
        <f>блюда!BL343</f>
        <v>0</v>
      </c>
      <c r="BM23" s="703">
        <f>блюда!BM343</f>
        <v>0</v>
      </c>
      <c r="BN23" s="703">
        <f>блюда!BN343</f>
        <v>0</v>
      </c>
      <c r="BO23" s="703">
        <f>блюда!BO343</f>
        <v>0</v>
      </c>
      <c r="BP23" s="703">
        <f>блюда!BP343</f>
        <v>0</v>
      </c>
      <c r="BQ23" s="703">
        <f>блюда!BQ343</f>
        <v>0</v>
      </c>
      <c r="BR23" s="703">
        <f>блюда!BR343</f>
        <v>0</v>
      </c>
      <c r="BS23" s="703">
        <f>блюда!BS343</f>
        <v>0</v>
      </c>
      <c r="BT23" s="703">
        <f>блюда!BT343</f>
        <v>0</v>
      </c>
      <c r="BU23" s="703">
        <f>блюда!BU343</f>
        <v>0</v>
      </c>
      <c r="BV23" s="703">
        <f>блюда!BV343</f>
        <v>0</v>
      </c>
      <c r="BW23" s="703">
        <f>блюда!BW343</f>
        <v>0</v>
      </c>
      <c r="BX23" s="703">
        <f>блюда!BX343</f>
        <v>0</v>
      </c>
      <c r="BY23" s="703">
        <f>блюда!BY343</f>
        <v>0</v>
      </c>
      <c r="BZ23" s="703">
        <f>блюда!BZ343</f>
        <v>0</v>
      </c>
      <c r="CA23" s="703">
        <f>блюда!CA343</f>
        <v>0</v>
      </c>
      <c r="CB23" s="703">
        <f>блюда!CB343</f>
        <v>0</v>
      </c>
      <c r="CC23" s="703">
        <f>блюда!CC343</f>
        <v>0</v>
      </c>
      <c r="CD23" s="703">
        <f>блюда!CD343</f>
        <v>0</v>
      </c>
      <c r="CE23" s="703">
        <f>блюда!CE343</f>
        <v>0</v>
      </c>
      <c r="CF23" s="703">
        <f>блюда!CF343</f>
        <v>0</v>
      </c>
      <c r="CG23" s="703">
        <f>блюда!CG343</f>
        <v>0</v>
      </c>
      <c r="CH23" s="703">
        <f>блюда!CH343</f>
        <v>0</v>
      </c>
      <c r="CI23" s="703">
        <f>блюда!CI343</f>
        <v>0</v>
      </c>
      <c r="CJ23" s="703">
        <f>блюда!CJ343</f>
        <v>0</v>
      </c>
      <c r="CK23" s="703">
        <f>блюда!CK343</f>
        <v>0</v>
      </c>
      <c r="CL23" s="703">
        <f>блюда!CL343</f>
        <v>0</v>
      </c>
      <c r="CM23" s="703">
        <f>блюда!CM343</f>
        <v>0</v>
      </c>
      <c r="CN23" s="703">
        <f>блюда!CN343</f>
        <v>0</v>
      </c>
      <c r="CO23" s="703">
        <f>блюда!CO343</f>
        <v>0</v>
      </c>
      <c r="CP23" s="703">
        <f>блюда!CP343</f>
        <v>0</v>
      </c>
      <c r="CQ23" s="703">
        <f>блюда!CQ343</f>
        <v>0</v>
      </c>
      <c r="CR23" s="703">
        <f>блюда!CR343</f>
        <v>0</v>
      </c>
      <c r="CS23" s="703">
        <f>блюда!CS343</f>
        <v>0</v>
      </c>
      <c r="CT23" s="703">
        <f>блюда!CT343</f>
        <v>0</v>
      </c>
      <c r="CU23" s="703">
        <f>блюда!CU343</f>
        <v>0</v>
      </c>
      <c r="CV23" s="703">
        <f>блюда!CV343</f>
        <v>0</v>
      </c>
      <c r="CW23" s="703">
        <f>блюда!CW343</f>
        <v>0</v>
      </c>
      <c r="CX23" s="703">
        <f>блюда!CX343</f>
        <v>0</v>
      </c>
      <c r="CY23" s="703">
        <f>блюда!CY343</f>
        <v>0</v>
      </c>
      <c r="CZ23" s="703">
        <f>блюда!CZ343</f>
        <v>0</v>
      </c>
      <c r="DA23" s="703">
        <f>блюда!DA343</f>
        <v>0</v>
      </c>
      <c r="DB23" s="703">
        <f>блюда!DB343</f>
        <v>0</v>
      </c>
      <c r="DC23" s="703">
        <f>блюда!DC343</f>
        <v>0</v>
      </c>
      <c r="DD23" s="703">
        <f>блюда!DD343</f>
        <v>0</v>
      </c>
      <c r="DE23" s="703">
        <f>блюда!DE343</f>
        <v>0</v>
      </c>
      <c r="DF23" s="703">
        <f>блюда!DF343</f>
        <v>0</v>
      </c>
      <c r="DG23" s="703">
        <f>блюда!DG343</f>
        <v>0</v>
      </c>
      <c r="DH23" s="703">
        <f>блюда!DH343</f>
        <v>0</v>
      </c>
      <c r="DI23" s="703">
        <f>блюда!DI343</f>
        <v>0</v>
      </c>
      <c r="DJ23" s="703">
        <f>блюда!DJ343</f>
        <v>0</v>
      </c>
      <c r="DK23" s="703">
        <f>блюда!DK343</f>
        <v>0</v>
      </c>
      <c r="DL23" s="703">
        <f>блюда!DL343</f>
        <v>0</v>
      </c>
      <c r="DM23" s="703">
        <f>блюда!DM343</f>
        <v>0</v>
      </c>
      <c r="DN23" s="703">
        <f>блюда!DN343</f>
        <v>0</v>
      </c>
      <c r="DO23" s="703">
        <f>блюда!DO343</f>
        <v>0</v>
      </c>
      <c r="DP23" s="703">
        <f>блюда!DP343</f>
        <v>0</v>
      </c>
      <c r="DQ23" s="703">
        <f>блюда!DQ343</f>
        <v>0</v>
      </c>
      <c r="DR23" s="703">
        <f>блюда!DR343</f>
        <v>0</v>
      </c>
      <c r="DS23" s="703">
        <f>блюда!DS343</f>
        <v>0</v>
      </c>
      <c r="DT23" s="703">
        <f>блюда!DT343</f>
        <v>0</v>
      </c>
      <c r="DU23" s="703">
        <f>блюда!DU343</f>
        <v>0</v>
      </c>
      <c r="DV23" s="703">
        <f>блюда!DV343</f>
        <v>0</v>
      </c>
      <c r="DW23" s="703">
        <f>блюда!DW343</f>
        <v>0</v>
      </c>
      <c r="DX23" s="703">
        <f>блюда!DX343</f>
        <v>0</v>
      </c>
      <c r="DY23" s="703">
        <f>блюда!DY343</f>
        <v>0</v>
      </c>
      <c r="DZ23" s="703">
        <f>блюда!DZ343</f>
        <v>0</v>
      </c>
      <c r="EA23" s="703">
        <f>блюда!EA343</f>
        <v>0</v>
      </c>
      <c r="EB23" s="703">
        <f>блюда!EB343</f>
        <v>0.5</v>
      </c>
      <c r="EC23" s="703">
        <f>блюда!EC343</f>
        <v>0</v>
      </c>
      <c r="ED23" s="703">
        <f>блюда!ED343</f>
        <v>0</v>
      </c>
      <c r="EE23" s="703">
        <f>блюда!EE343</f>
        <v>0</v>
      </c>
      <c r="EF23" s="703">
        <f>блюда!EF343</f>
        <v>0</v>
      </c>
      <c r="EG23" s="703">
        <f>блюда!EG343</f>
        <v>0</v>
      </c>
      <c r="EH23" s="703">
        <f>блюда!EH343</f>
        <v>0</v>
      </c>
      <c r="EI23" s="703">
        <f>блюда!EI343</f>
        <v>0</v>
      </c>
      <c r="EJ23" s="703">
        <f>блюда!EJ343</f>
        <v>0</v>
      </c>
      <c r="EK23" s="703">
        <f>блюда!EK343</f>
        <v>0</v>
      </c>
      <c r="EL23" s="703">
        <f>блюда!EL343</f>
        <v>0</v>
      </c>
      <c r="EM23" s="703">
        <f>блюда!EM343</f>
        <v>0</v>
      </c>
      <c r="EN23" s="703">
        <f>блюда!EN343</f>
        <v>0</v>
      </c>
      <c r="EO23" s="703">
        <f>блюда!EO343</f>
        <v>0</v>
      </c>
      <c r="EP23" s="703">
        <f>блюда!EP343</f>
        <v>0</v>
      </c>
      <c r="EQ23" s="703">
        <f>блюда!EQ343</f>
        <v>0</v>
      </c>
      <c r="ER23" s="703">
        <f>блюда!ER343</f>
        <v>0</v>
      </c>
      <c r="ES23" s="703">
        <f>блюда!ES343</f>
        <v>0</v>
      </c>
      <c r="ET23" s="703">
        <f>блюда!ET343</f>
        <v>0</v>
      </c>
      <c r="EU23" s="703">
        <f>блюда!EU343</f>
        <v>0</v>
      </c>
      <c r="EV23" s="703">
        <f>блюда!EV343</f>
        <v>0</v>
      </c>
      <c r="EW23" s="703">
        <f>блюда!EW343</f>
        <v>0</v>
      </c>
      <c r="EX23" s="703">
        <f>блюда!EX343</f>
        <v>0</v>
      </c>
      <c r="EY23" s="927">
        <f t="shared" si="0"/>
        <v>0.5</v>
      </c>
      <c r="EZ23" s="423"/>
      <c r="FA23" s="423"/>
      <c r="FB23" s="423"/>
      <c r="FC23" s="423"/>
      <c r="FD23" s="423"/>
      <c r="FE23" s="423"/>
      <c r="FF23" s="423"/>
      <c r="FG23" s="423"/>
      <c r="FH23" s="423"/>
      <c r="FI23" s="423"/>
      <c r="FJ23" s="423"/>
      <c r="FK23" s="423"/>
      <c r="FL23" s="423"/>
    </row>
    <row r="24" spans="1:168" x14ac:dyDescent="0.25">
      <c r="A24" s="1463"/>
      <c r="B24" s="576"/>
      <c r="C24" s="704"/>
      <c r="D24" s="117"/>
      <c r="E24" s="117"/>
      <c r="F24" s="117"/>
      <c r="G24" s="704"/>
      <c r="H24" s="704"/>
      <c r="I24" s="117"/>
      <c r="J24" s="703"/>
      <c r="K24" s="703"/>
      <c r="L24" s="703"/>
      <c r="M24" s="703"/>
      <c r="N24" s="703"/>
      <c r="O24" s="703"/>
      <c r="P24" s="703"/>
      <c r="Q24" s="703"/>
      <c r="R24" s="703"/>
      <c r="S24" s="703"/>
      <c r="T24" s="703"/>
      <c r="U24" s="703"/>
      <c r="V24" s="703"/>
      <c r="W24" s="703"/>
      <c r="X24" s="703"/>
      <c r="Y24" s="703"/>
      <c r="Z24" s="703"/>
      <c r="AA24" s="703"/>
      <c r="AB24" s="703"/>
      <c r="AC24" s="703"/>
      <c r="AD24" s="703"/>
      <c r="AE24" s="703"/>
      <c r="AF24" s="703"/>
      <c r="AG24" s="703"/>
      <c r="AH24" s="703"/>
      <c r="AI24" s="703"/>
      <c r="AJ24" s="703"/>
      <c r="AK24" s="703"/>
      <c r="AL24" s="703"/>
      <c r="AM24" s="703"/>
      <c r="AN24" s="703"/>
      <c r="AO24" s="703"/>
      <c r="AP24" s="703"/>
      <c r="AQ24" s="703"/>
      <c r="AR24" s="703"/>
      <c r="AS24" s="703"/>
      <c r="AT24" s="703"/>
      <c r="AU24" s="703"/>
      <c r="AV24" s="703"/>
      <c r="AW24" s="703"/>
      <c r="AX24" s="703"/>
      <c r="AY24" s="703"/>
      <c r="AZ24" s="703"/>
      <c r="BA24" s="703"/>
      <c r="BB24" s="703"/>
      <c r="BC24" s="703"/>
      <c r="BD24" s="703"/>
      <c r="BE24" s="703"/>
      <c r="BF24" s="703"/>
      <c r="BG24" s="703"/>
      <c r="BH24" s="703"/>
      <c r="BI24" s="703"/>
      <c r="BJ24" s="703"/>
      <c r="BK24" s="703"/>
      <c r="BL24" s="703"/>
      <c r="BM24" s="703"/>
      <c r="BN24" s="703"/>
      <c r="BO24" s="703"/>
      <c r="BP24" s="703"/>
      <c r="BQ24" s="703"/>
      <c r="BR24" s="703"/>
      <c r="BS24" s="703"/>
      <c r="BT24" s="703"/>
      <c r="BU24" s="703"/>
      <c r="BV24" s="703"/>
      <c r="BW24" s="703"/>
      <c r="BX24" s="703"/>
      <c r="BY24" s="703"/>
      <c r="BZ24" s="703"/>
      <c r="CA24" s="703"/>
      <c r="CB24" s="703"/>
      <c r="CC24" s="703"/>
      <c r="CD24" s="703"/>
      <c r="CE24" s="703"/>
      <c r="CF24" s="703"/>
      <c r="CG24" s="703"/>
      <c r="CH24" s="703"/>
      <c r="CI24" s="703"/>
      <c r="CJ24" s="703"/>
      <c r="CK24" s="703"/>
      <c r="CL24" s="703"/>
      <c r="CM24" s="703"/>
      <c r="CN24" s="703"/>
      <c r="CO24" s="703"/>
      <c r="CP24" s="703"/>
      <c r="CQ24" s="703"/>
      <c r="CR24" s="703"/>
      <c r="CS24" s="703"/>
      <c r="CT24" s="703"/>
      <c r="CU24" s="703"/>
      <c r="CV24" s="703"/>
      <c r="CW24" s="703"/>
      <c r="CX24" s="703"/>
      <c r="CY24" s="703"/>
      <c r="CZ24" s="703"/>
      <c r="DA24" s="703"/>
      <c r="DB24" s="703"/>
      <c r="DC24" s="703"/>
      <c r="DD24" s="703"/>
      <c r="DE24" s="703"/>
      <c r="DF24" s="703"/>
      <c r="DG24" s="703"/>
      <c r="DH24" s="703"/>
      <c r="DI24" s="703"/>
      <c r="DJ24" s="703"/>
      <c r="DK24" s="703"/>
      <c r="DL24" s="703"/>
      <c r="DM24" s="703"/>
      <c r="DN24" s="703"/>
      <c r="DO24" s="703"/>
      <c r="DP24" s="703"/>
      <c r="DQ24" s="703"/>
      <c r="DR24" s="703"/>
      <c r="DS24" s="703"/>
      <c r="DT24" s="703"/>
      <c r="DU24" s="703"/>
      <c r="DV24" s="703"/>
      <c r="DW24" s="703"/>
      <c r="DX24" s="703"/>
      <c r="DY24" s="703"/>
      <c r="DZ24" s="703"/>
      <c r="EA24" s="703"/>
      <c r="EB24" s="703"/>
      <c r="EC24" s="703"/>
      <c r="ED24" s="703"/>
      <c r="EE24" s="703"/>
      <c r="EF24" s="703"/>
      <c r="EG24" s="703"/>
      <c r="EH24" s="703"/>
      <c r="EI24" s="703"/>
      <c r="EJ24" s="703"/>
      <c r="EK24" s="703"/>
      <c r="EL24" s="703"/>
      <c r="EM24" s="703"/>
      <c r="EN24" s="703"/>
      <c r="EO24" s="703"/>
      <c r="EP24" s="703"/>
      <c r="EQ24" s="703"/>
      <c r="ER24" s="703"/>
      <c r="ES24" s="703"/>
      <c r="ET24" s="703"/>
      <c r="EU24" s="703"/>
      <c r="EV24" s="703"/>
      <c r="EW24" s="703"/>
      <c r="EX24" s="703"/>
      <c r="EY24" s="927">
        <f t="shared" si="0"/>
        <v>0</v>
      </c>
      <c r="EZ24" s="423"/>
      <c r="FA24" s="423"/>
      <c r="FB24" s="423"/>
      <c r="FC24" s="423"/>
      <c r="FD24" s="423"/>
      <c r="FE24" s="423"/>
      <c r="FF24" s="423"/>
      <c r="FG24" s="423"/>
      <c r="FH24" s="423"/>
      <c r="FI24" s="423"/>
      <c r="FJ24" s="423"/>
      <c r="FK24" s="423"/>
      <c r="FL24" s="423"/>
    </row>
    <row r="25" spans="1:168" x14ac:dyDescent="0.25">
      <c r="A25" s="1464"/>
      <c r="B25" s="576"/>
      <c r="C25" s="704"/>
      <c r="D25" s="117"/>
      <c r="E25" s="117"/>
      <c r="F25" s="117"/>
      <c r="G25" s="704"/>
      <c r="H25" s="704"/>
      <c r="I25" s="117"/>
      <c r="J25" s="703"/>
      <c r="K25" s="703"/>
      <c r="L25" s="703"/>
      <c r="M25" s="703"/>
      <c r="N25" s="703"/>
      <c r="O25" s="703"/>
      <c r="P25" s="703"/>
      <c r="Q25" s="703"/>
      <c r="R25" s="703"/>
      <c r="S25" s="703"/>
      <c r="T25" s="703"/>
      <c r="U25" s="703"/>
      <c r="V25" s="703"/>
      <c r="W25" s="703"/>
      <c r="X25" s="703"/>
      <c r="Y25" s="703"/>
      <c r="Z25" s="703"/>
      <c r="AA25" s="703"/>
      <c r="AB25" s="703"/>
      <c r="AC25" s="703"/>
      <c r="AD25" s="703"/>
      <c r="AE25" s="703"/>
      <c r="AF25" s="703"/>
      <c r="AG25" s="703"/>
      <c r="AH25" s="703"/>
      <c r="AI25" s="703"/>
      <c r="AJ25" s="703"/>
      <c r="AK25" s="703"/>
      <c r="AL25" s="703"/>
      <c r="AM25" s="703"/>
      <c r="AN25" s="703"/>
      <c r="AO25" s="703"/>
      <c r="AP25" s="703"/>
      <c r="AQ25" s="703"/>
      <c r="AR25" s="703"/>
      <c r="AS25" s="703"/>
      <c r="AT25" s="703"/>
      <c r="AU25" s="703"/>
      <c r="AV25" s="703"/>
      <c r="AW25" s="703"/>
      <c r="AX25" s="703"/>
      <c r="AY25" s="703"/>
      <c r="AZ25" s="703"/>
      <c r="BA25" s="703"/>
      <c r="BB25" s="703"/>
      <c r="BC25" s="703"/>
      <c r="BD25" s="703"/>
      <c r="BE25" s="703"/>
      <c r="BF25" s="703"/>
      <c r="BG25" s="703"/>
      <c r="BH25" s="703"/>
      <c r="BI25" s="703"/>
      <c r="BJ25" s="703"/>
      <c r="BK25" s="703"/>
      <c r="BL25" s="703"/>
      <c r="BM25" s="703"/>
      <c r="BN25" s="703"/>
      <c r="BO25" s="703"/>
      <c r="BP25" s="703"/>
      <c r="BQ25" s="703"/>
      <c r="BR25" s="703"/>
      <c r="BS25" s="703"/>
      <c r="BT25" s="703"/>
      <c r="BU25" s="703"/>
      <c r="BV25" s="703"/>
      <c r="BW25" s="703"/>
      <c r="BX25" s="703"/>
      <c r="BY25" s="703"/>
      <c r="BZ25" s="703"/>
      <c r="CA25" s="703"/>
      <c r="CB25" s="703"/>
      <c r="CC25" s="703"/>
      <c r="CD25" s="703"/>
      <c r="CE25" s="703"/>
      <c r="CF25" s="703"/>
      <c r="CG25" s="703"/>
      <c r="CH25" s="703"/>
      <c r="CI25" s="703"/>
      <c r="CJ25" s="703"/>
      <c r="CK25" s="703"/>
      <c r="CL25" s="703"/>
      <c r="CM25" s="703"/>
      <c r="CN25" s="703"/>
      <c r="CO25" s="703"/>
      <c r="CP25" s="703"/>
      <c r="CQ25" s="703"/>
      <c r="CR25" s="703"/>
      <c r="CS25" s="703"/>
      <c r="CT25" s="703"/>
      <c r="CU25" s="703"/>
      <c r="CV25" s="703"/>
      <c r="CW25" s="703"/>
      <c r="CX25" s="703"/>
      <c r="CY25" s="703"/>
      <c r="CZ25" s="703"/>
      <c r="DA25" s="703"/>
      <c r="DB25" s="703"/>
      <c r="DC25" s="703"/>
      <c r="DD25" s="703"/>
      <c r="DE25" s="703"/>
      <c r="DF25" s="703"/>
      <c r="DG25" s="703"/>
      <c r="DH25" s="703"/>
      <c r="DI25" s="703"/>
      <c r="DJ25" s="703"/>
      <c r="DK25" s="703"/>
      <c r="DL25" s="703"/>
      <c r="DM25" s="703"/>
      <c r="DN25" s="703"/>
      <c r="DO25" s="703"/>
      <c r="DP25" s="703"/>
      <c r="DQ25" s="703"/>
      <c r="DR25" s="703"/>
      <c r="DS25" s="703"/>
      <c r="DT25" s="703"/>
      <c r="DU25" s="703"/>
      <c r="DV25" s="703"/>
      <c r="DW25" s="703"/>
      <c r="DX25" s="703"/>
      <c r="DY25" s="703"/>
      <c r="DZ25" s="703"/>
      <c r="EA25" s="703"/>
      <c r="EB25" s="703"/>
      <c r="EC25" s="703"/>
      <c r="ED25" s="703"/>
      <c r="EE25" s="703"/>
      <c r="EF25" s="703"/>
      <c r="EG25" s="703"/>
      <c r="EH25" s="703"/>
      <c r="EI25" s="703"/>
      <c r="EJ25" s="703"/>
      <c r="EK25" s="703"/>
      <c r="EL25" s="703"/>
      <c r="EM25" s="703"/>
      <c r="EN25" s="703"/>
      <c r="EO25" s="703"/>
      <c r="EP25" s="703"/>
      <c r="EQ25" s="703"/>
      <c r="ER25" s="703"/>
      <c r="ES25" s="703"/>
      <c r="ET25" s="703"/>
      <c r="EU25" s="703"/>
      <c r="EV25" s="703"/>
      <c r="EW25" s="703"/>
      <c r="EX25" s="703"/>
      <c r="EY25" s="927">
        <f t="shared" si="0"/>
        <v>0</v>
      </c>
      <c r="EZ25" s="423"/>
      <c r="FA25" s="423"/>
      <c r="FB25" s="423"/>
      <c r="FC25" s="423"/>
      <c r="FD25" s="423"/>
      <c r="FE25" s="423"/>
      <c r="FF25" s="423"/>
      <c r="FG25" s="423"/>
      <c r="FH25" s="423"/>
      <c r="FI25" s="423"/>
      <c r="FJ25" s="423"/>
      <c r="FK25" s="423"/>
      <c r="FL25" s="423"/>
    </row>
    <row r="26" spans="1:168" x14ac:dyDescent="0.25">
      <c r="A26" s="120"/>
      <c r="B26" s="118" t="s">
        <v>111</v>
      </c>
      <c r="C26" s="840">
        <f>SUM(C17:C25)</f>
        <v>1180</v>
      </c>
      <c r="D26" s="534">
        <f>SUM(D17:D25)</f>
        <v>14.75</v>
      </c>
      <c r="E26" s="534">
        <f t="shared" ref="E26:BD26" si="1">SUM(E17:E25)</f>
        <v>22.81</v>
      </c>
      <c r="F26" s="534">
        <f t="shared" si="1"/>
        <v>102.29</v>
      </c>
      <c r="G26" s="840">
        <f t="shared" si="1"/>
        <v>683</v>
      </c>
      <c r="H26" s="840"/>
      <c r="I26" s="534">
        <f t="shared" ref="I26" si="2">SUM(I17:I25)</f>
        <v>56.6</v>
      </c>
      <c r="J26" s="847">
        <f t="shared" si="1"/>
        <v>0</v>
      </c>
      <c r="K26" s="847">
        <f t="shared" si="1"/>
        <v>0</v>
      </c>
      <c r="L26" s="847">
        <f t="shared" si="1"/>
        <v>0</v>
      </c>
      <c r="M26" s="847">
        <f t="shared" si="1"/>
        <v>0</v>
      </c>
      <c r="N26" s="847">
        <f t="shared" si="1"/>
        <v>0</v>
      </c>
      <c r="O26" s="847">
        <f t="shared" si="1"/>
        <v>0</v>
      </c>
      <c r="P26" s="847">
        <f t="shared" si="1"/>
        <v>0</v>
      </c>
      <c r="Q26" s="847">
        <f t="shared" si="1"/>
        <v>0</v>
      </c>
      <c r="R26" s="847">
        <f t="shared" si="1"/>
        <v>0</v>
      </c>
      <c r="S26" s="847">
        <f t="shared" si="1"/>
        <v>0</v>
      </c>
      <c r="T26" s="847">
        <f t="shared" si="1"/>
        <v>0</v>
      </c>
      <c r="U26" s="847">
        <f t="shared" si="1"/>
        <v>0.14000000000000001</v>
      </c>
      <c r="V26" s="847">
        <f t="shared" si="1"/>
        <v>0.02</v>
      </c>
      <c r="W26" s="847">
        <f t="shared" si="1"/>
        <v>0</v>
      </c>
      <c r="X26" s="847">
        <f t="shared" si="1"/>
        <v>0</v>
      </c>
      <c r="Y26" s="847">
        <f t="shared" si="1"/>
        <v>0</v>
      </c>
      <c r="Z26" s="847">
        <f t="shared" si="1"/>
        <v>0</v>
      </c>
      <c r="AA26" s="847">
        <f t="shared" si="1"/>
        <v>0</v>
      </c>
      <c r="AB26" s="847">
        <f t="shared" si="1"/>
        <v>0</v>
      </c>
      <c r="AC26" s="847">
        <f t="shared" si="1"/>
        <v>0</v>
      </c>
      <c r="AD26" s="847">
        <f t="shared" si="1"/>
        <v>0</v>
      </c>
      <c r="AE26" s="847">
        <f t="shared" si="1"/>
        <v>0</v>
      </c>
      <c r="AF26" s="847">
        <f t="shared" si="1"/>
        <v>0</v>
      </c>
      <c r="AG26" s="847">
        <f t="shared" si="1"/>
        <v>0</v>
      </c>
      <c r="AH26" s="847">
        <f t="shared" si="1"/>
        <v>0</v>
      </c>
      <c r="AI26" s="847">
        <f t="shared" si="1"/>
        <v>0</v>
      </c>
      <c r="AJ26" s="847">
        <f t="shared" si="1"/>
        <v>0</v>
      </c>
      <c r="AK26" s="847">
        <f t="shared" si="1"/>
        <v>0</v>
      </c>
      <c r="AL26" s="847">
        <f t="shared" si="1"/>
        <v>0</v>
      </c>
      <c r="AM26" s="847">
        <f t="shared" si="1"/>
        <v>0</v>
      </c>
      <c r="AN26" s="847">
        <f t="shared" si="1"/>
        <v>0</v>
      </c>
      <c r="AO26" s="847">
        <f t="shared" si="1"/>
        <v>0</v>
      </c>
      <c r="AP26" s="847">
        <f t="shared" si="1"/>
        <v>0</v>
      </c>
      <c r="AQ26" s="847">
        <f t="shared" si="1"/>
        <v>0</v>
      </c>
      <c r="AR26" s="847">
        <f t="shared" si="1"/>
        <v>0</v>
      </c>
      <c r="AS26" s="847">
        <f t="shared" si="1"/>
        <v>0</v>
      </c>
      <c r="AT26" s="847">
        <f t="shared" si="1"/>
        <v>0</v>
      </c>
      <c r="AU26" s="847">
        <f t="shared" si="1"/>
        <v>0</v>
      </c>
      <c r="AV26" s="847">
        <f t="shared" si="1"/>
        <v>0</v>
      </c>
      <c r="AW26" s="847">
        <f t="shared" si="1"/>
        <v>0</v>
      </c>
      <c r="AX26" s="847">
        <f t="shared" si="1"/>
        <v>0</v>
      </c>
      <c r="AY26" s="847">
        <f t="shared" si="1"/>
        <v>0</v>
      </c>
      <c r="AZ26" s="847">
        <f t="shared" si="1"/>
        <v>0</v>
      </c>
      <c r="BA26" s="847">
        <f t="shared" si="1"/>
        <v>0</v>
      </c>
      <c r="BB26" s="847">
        <f t="shared" si="1"/>
        <v>0</v>
      </c>
      <c r="BC26" s="847">
        <f t="shared" si="1"/>
        <v>0</v>
      </c>
      <c r="BD26" s="847">
        <f t="shared" si="1"/>
        <v>0</v>
      </c>
      <c r="BE26" s="847">
        <f t="shared" ref="BE26:DP26" si="3">SUM(BE17:BE25)</f>
        <v>0</v>
      </c>
      <c r="BF26" s="847">
        <f t="shared" si="3"/>
        <v>0</v>
      </c>
      <c r="BG26" s="847">
        <f t="shared" si="3"/>
        <v>0</v>
      </c>
      <c r="BH26" s="847">
        <f t="shared" si="3"/>
        <v>0</v>
      </c>
      <c r="BI26" s="847">
        <f t="shared" si="3"/>
        <v>0</v>
      </c>
      <c r="BJ26" s="847">
        <f t="shared" si="3"/>
        <v>0</v>
      </c>
      <c r="BK26" s="847">
        <f t="shared" si="3"/>
        <v>0</v>
      </c>
      <c r="BL26" s="847">
        <f t="shared" si="3"/>
        <v>0</v>
      </c>
      <c r="BM26" s="847">
        <f t="shared" si="3"/>
        <v>0</v>
      </c>
      <c r="BN26" s="847">
        <f t="shared" si="3"/>
        <v>0</v>
      </c>
      <c r="BO26" s="847">
        <f t="shared" si="3"/>
        <v>0</v>
      </c>
      <c r="BP26" s="847">
        <f t="shared" si="3"/>
        <v>0</v>
      </c>
      <c r="BQ26" s="847">
        <f t="shared" si="3"/>
        <v>0</v>
      </c>
      <c r="BR26" s="847">
        <f t="shared" si="3"/>
        <v>0.2</v>
      </c>
      <c r="BS26" s="847">
        <f t="shared" si="3"/>
        <v>0</v>
      </c>
      <c r="BT26" s="847">
        <f t="shared" si="3"/>
        <v>0.04</v>
      </c>
      <c r="BU26" s="847">
        <f t="shared" si="3"/>
        <v>0</v>
      </c>
      <c r="BV26" s="847">
        <f t="shared" si="3"/>
        <v>0</v>
      </c>
      <c r="BW26" s="847">
        <f t="shared" si="3"/>
        <v>0</v>
      </c>
      <c r="BX26" s="847">
        <f t="shared" si="3"/>
        <v>0</v>
      </c>
      <c r="BY26" s="847">
        <f t="shared" si="3"/>
        <v>0</v>
      </c>
      <c r="BZ26" s="847">
        <f t="shared" si="3"/>
        <v>0</v>
      </c>
      <c r="CA26" s="847">
        <f t="shared" si="3"/>
        <v>0</v>
      </c>
      <c r="CB26" s="847">
        <f t="shared" si="3"/>
        <v>0</v>
      </c>
      <c r="CC26" s="847">
        <f t="shared" si="3"/>
        <v>0</v>
      </c>
      <c r="CD26" s="847">
        <f t="shared" si="3"/>
        <v>0</v>
      </c>
      <c r="CE26" s="847">
        <f t="shared" si="3"/>
        <v>0</v>
      </c>
      <c r="CF26" s="847">
        <f t="shared" si="3"/>
        <v>0</v>
      </c>
      <c r="CG26" s="847">
        <f t="shared" si="3"/>
        <v>0</v>
      </c>
      <c r="CH26" s="847">
        <f t="shared" si="3"/>
        <v>0</v>
      </c>
      <c r="CI26" s="847">
        <f t="shared" si="3"/>
        <v>0</v>
      </c>
      <c r="CJ26" s="847">
        <f t="shared" si="3"/>
        <v>0</v>
      </c>
      <c r="CK26" s="847">
        <f t="shared" si="3"/>
        <v>0</v>
      </c>
      <c r="CL26" s="847">
        <f t="shared" si="3"/>
        <v>0</v>
      </c>
      <c r="CM26" s="847">
        <f t="shared" si="3"/>
        <v>0</v>
      </c>
      <c r="CN26" s="847">
        <f t="shared" si="3"/>
        <v>0</v>
      </c>
      <c r="CO26" s="847">
        <f t="shared" si="3"/>
        <v>0</v>
      </c>
      <c r="CP26" s="847">
        <f t="shared" si="3"/>
        <v>0</v>
      </c>
      <c r="CQ26" s="847">
        <f t="shared" si="3"/>
        <v>0</v>
      </c>
      <c r="CR26" s="847">
        <f t="shared" si="3"/>
        <v>0</v>
      </c>
      <c r="CS26" s="847">
        <f t="shared" si="3"/>
        <v>0</v>
      </c>
      <c r="CT26" s="847">
        <f t="shared" si="3"/>
        <v>0</v>
      </c>
      <c r="CU26" s="847">
        <f t="shared" si="3"/>
        <v>0</v>
      </c>
      <c r="CV26" s="847">
        <f t="shared" si="3"/>
        <v>0</v>
      </c>
      <c r="CW26" s="847">
        <f t="shared" si="3"/>
        <v>0</v>
      </c>
      <c r="CX26" s="847">
        <f t="shared" si="3"/>
        <v>0</v>
      </c>
      <c r="CY26" s="847">
        <f t="shared" si="3"/>
        <v>0</v>
      </c>
      <c r="CZ26" s="847">
        <f t="shared" si="3"/>
        <v>3.1E-2</v>
      </c>
      <c r="DA26" s="847">
        <f t="shared" si="3"/>
        <v>0</v>
      </c>
      <c r="DB26" s="847">
        <f t="shared" si="3"/>
        <v>0</v>
      </c>
      <c r="DC26" s="847">
        <f t="shared" si="3"/>
        <v>1.6000000000000001E-3</v>
      </c>
      <c r="DD26" s="847">
        <f t="shared" si="3"/>
        <v>0</v>
      </c>
      <c r="DE26" s="847">
        <f t="shared" si="3"/>
        <v>0</v>
      </c>
      <c r="DF26" s="847">
        <f t="shared" si="3"/>
        <v>0</v>
      </c>
      <c r="DG26" s="847">
        <f t="shared" si="3"/>
        <v>0</v>
      </c>
      <c r="DH26" s="847">
        <f t="shared" si="3"/>
        <v>0</v>
      </c>
      <c r="DI26" s="847">
        <f t="shared" si="3"/>
        <v>0</v>
      </c>
      <c r="DJ26" s="847">
        <f t="shared" si="3"/>
        <v>0</v>
      </c>
      <c r="DK26" s="847">
        <f t="shared" si="3"/>
        <v>0</v>
      </c>
      <c r="DL26" s="847">
        <f t="shared" si="3"/>
        <v>0</v>
      </c>
      <c r="DM26" s="847">
        <f t="shared" si="3"/>
        <v>0</v>
      </c>
      <c r="DN26" s="847">
        <f t="shared" si="3"/>
        <v>0</v>
      </c>
      <c r="DO26" s="847">
        <f t="shared" si="3"/>
        <v>0</v>
      </c>
      <c r="DP26" s="847">
        <f t="shared" si="3"/>
        <v>0</v>
      </c>
      <c r="DQ26" s="847">
        <f t="shared" ref="DQ26:FL26" si="4">SUM(DQ17:DQ25)</f>
        <v>0</v>
      </c>
      <c r="DR26" s="847">
        <f t="shared" si="4"/>
        <v>5.0000000000000001E-4</v>
      </c>
      <c r="DS26" s="847">
        <f t="shared" si="4"/>
        <v>0</v>
      </c>
      <c r="DT26" s="847">
        <f t="shared" si="4"/>
        <v>0</v>
      </c>
      <c r="DU26" s="847">
        <f t="shared" si="4"/>
        <v>0</v>
      </c>
      <c r="DV26" s="847">
        <f t="shared" si="4"/>
        <v>0</v>
      </c>
      <c r="DW26" s="847">
        <f t="shared" si="4"/>
        <v>0</v>
      </c>
      <c r="DX26" s="847">
        <f t="shared" si="4"/>
        <v>0</v>
      </c>
      <c r="DY26" s="847">
        <f t="shared" si="4"/>
        <v>0</v>
      </c>
      <c r="DZ26" s="847">
        <f t="shared" si="4"/>
        <v>0</v>
      </c>
      <c r="EA26" s="847">
        <f t="shared" si="4"/>
        <v>0</v>
      </c>
      <c r="EB26" s="847">
        <f t="shared" si="4"/>
        <v>0.5</v>
      </c>
      <c r="EC26" s="847">
        <f t="shared" si="4"/>
        <v>0</v>
      </c>
      <c r="ED26" s="847">
        <f t="shared" si="4"/>
        <v>0</v>
      </c>
      <c r="EE26" s="847">
        <f t="shared" si="4"/>
        <v>0</v>
      </c>
      <c r="EF26" s="847">
        <f t="shared" si="4"/>
        <v>0</v>
      </c>
      <c r="EG26" s="847">
        <f t="shared" si="4"/>
        <v>0</v>
      </c>
      <c r="EH26" s="847">
        <f t="shared" si="4"/>
        <v>0</v>
      </c>
      <c r="EI26" s="847">
        <f t="shared" si="4"/>
        <v>0</v>
      </c>
      <c r="EJ26" s="847">
        <f t="shared" si="4"/>
        <v>0</v>
      </c>
      <c r="EK26" s="847">
        <f t="shared" si="4"/>
        <v>0</v>
      </c>
      <c r="EL26" s="847">
        <f t="shared" si="4"/>
        <v>0</v>
      </c>
      <c r="EM26" s="847">
        <f t="shared" si="4"/>
        <v>0</v>
      </c>
      <c r="EN26" s="847">
        <f t="shared" si="4"/>
        <v>0</v>
      </c>
      <c r="EO26" s="847">
        <f t="shared" si="4"/>
        <v>0</v>
      </c>
      <c r="EP26" s="847">
        <f t="shared" si="4"/>
        <v>0</v>
      </c>
      <c r="EQ26" s="847">
        <f t="shared" si="4"/>
        <v>0</v>
      </c>
      <c r="ER26" s="847">
        <f t="shared" si="4"/>
        <v>0</v>
      </c>
      <c r="ES26" s="847">
        <f t="shared" si="4"/>
        <v>0</v>
      </c>
      <c r="ET26" s="847">
        <f t="shared" si="4"/>
        <v>0</v>
      </c>
      <c r="EU26" s="847">
        <f t="shared" si="4"/>
        <v>0</v>
      </c>
      <c r="EV26" s="847">
        <f t="shared" si="4"/>
        <v>0.03</v>
      </c>
      <c r="EW26" s="847">
        <f t="shared" si="4"/>
        <v>0.02</v>
      </c>
      <c r="EX26" s="847">
        <f t="shared" si="4"/>
        <v>0</v>
      </c>
      <c r="EY26" s="847">
        <f t="shared" si="4"/>
        <v>0.98309999999999997</v>
      </c>
      <c r="EZ26" s="534">
        <f t="shared" si="4"/>
        <v>0</v>
      </c>
      <c r="FA26" s="534">
        <f t="shared" si="4"/>
        <v>0</v>
      </c>
      <c r="FB26" s="534">
        <f t="shared" si="4"/>
        <v>0</v>
      </c>
      <c r="FC26" s="534">
        <f t="shared" si="4"/>
        <v>0</v>
      </c>
      <c r="FD26" s="534">
        <f t="shared" si="4"/>
        <v>0</v>
      </c>
      <c r="FE26" s="534">
        <f t="shared" si="4"/>
        <v>0</v>
      </c>
      <c r="FF26" s="534">
        <f t="shared" si="4"/>
        <v>0</v>
      </c>
      <c r="FG26" s="534">
        <f t="shared" si="4"/>
        <v>0</v>
      </c>
      <c r="FH26" s="534">
        <f t="shared" si="4"/>
        <v>0</v>
      </c>
      <c r="FI26" s="534">
        <f t="shared" si="4"/>
        <v>0</v>
      </c>
      <c r="FJ26" s="534">
        <f t="shared" si="4"/>
        <v>0</v>
      </c>
      <c r="FK26" s="534">
        <f t="shared" si="4"/>
        <v>0</v>
      </c>
      <c r="FL26" s="534">
        <f t="shared" si="4"/>
        <v>0</v>
      </c>
    </row>
    <row r="27" spans="1:168" x14ac:dyDescent="0.25">
      <c r="A27" s="1459" t="s">
        <v>112</v>
      </c>
      <c r="B27" s="585" t="str">
        <f>блюда!B22</f>
        <v>Салат из свежих помидоров с луком зеленым</v>
      </c>
      <c r="C27" s="704">
        <f>блюда!C22</f>
        <v>60</v>
      </c>
      <c r="D27" s="117">
        <f>блюда!D22</f>
        <v>0.65</v>
      </c>
      <c r="E27" s="117">
        <f>блюда!E22</f>
        <v>3.65</v>
      </c>
      <c r="F27" s="117">
        <f>блюда!F22</f>
        <v>2.06</v>
      </c>
      <c r="G27" s="704">
        <f>блюда!G22</f>
        <v>44</v>
      </c>
      <c r="H27" s="704">
        <f>блюда!H22</f>
        <v>23</v>
      </c>
      <c r="I27" s="117">
        <f>блюда!I22</f>
        <v>11.05</v>
      </c>
      <c r="J27" s="703">
        <f>блюда!J22</f>
        <v>0</v>
      </c>
      <c r="K27" s="703">
        <f>блюда!K22</f>
        <v>0</v>
      </c>
      <c r="L27" s="703">
        <f>блюда!L22</f>
        <v>0</v>
      </c>
      <c r="M27" s="703">
        <f>блюда!M22</f>
        <v>0</v>
      </c>
      <c r="N27" s="703">
        <f>блюда!N22</f>
        <v>0</v>
      </c>
      <c r="O27" s="703">
        <f>блюда!O22</f>
        <v>0</v>
      </c>
      <c r="P27" s="703">
        <f>блюда!P22</f>
        <v>0</v>
      </c>
      <c r="Q27" s="703">
        <f>блюда!Q22</f>
        <v>0</v>
      </c>
      <c r="R27" s="703">
        <f>блюда!R22</f>
        <v>0</v>
      </c>
      <c r="S27" s="703">
        <f>блюда!S22</f>
        <v>0</v>
      </c>
      <c r="T27" s="703">
        <f>блюда!T22</f>
        <v>0</v>
      </c>
      <c r="U27" s="703">
        <f>блюда!U22</f>
        <v>0</v>
      </c>
      <c r="V27" s="703">
        <f>блюда!V22</f>
        <v>0</v>
      </c>
      <c r="W27" s="703">
        <f>блюда!W22</f>
        <v>0</v>
      </c>
      <c r="X27" s="703">
        <f>блюда!X22</f>
        <v>0</v>
      </c>
      <c r="Y27" s="703">
        <f>блюда!Y22</f>
        <v>0</v>
      </c>
      <c r="Z27" s="703">
        <f>блюда!Z22</f>
        <v>0</v>
      </c>
      <c r="AA27" s="703">
        <f>блюда!AA22</f>
        <v>0</v>
      </c>
      <c r="AB27" s="703">
        <f>блюда!AB22</f>
        <v>0</v>
      </c>
      <c r="AC27" s="703">
        <f>блюда!AC22</f>
        <v>0</v>
      </c>
      <c r="AD27" s="703">
        <f>блюда!AD22</f>
        <v>0</v>
      </c>
      <c r="AE27" s="703">
        <f>блюда!AE22</f>
        <v>0</v>
      </c>
      <c r="AF27" s="703">
        <f>блюда!AF22</f>
        <v>0</v>
      </c>
      <c r="AG27" s="703">
        <f>блюда!AG22</f>
        <v>0</v>
      </c>
      <c r="AH27" s="703">
        <f>блюда!AH22</f>
        <v>0</v>
      </c>
      <c r="AI27" s="703">
        <f>блюда!AI22</f>
        <v>0</v>
      </c>
      <c r="AJ27" s="703">
        <f>блюда!AJ22</f>
        <v>0</v>
      </c>
      <c r="AK27" s="703">
        <f>блюда!AK22</f>
        <v>0</v>
      </c>
      <c r="AL27" s="703">
        <f>блюда!AL22</f>
        <v>1.728E-2</v>
      </c>
      <c r="AM27" s="703">
        <f>блюда!AM22</f>
        <v>0</v>
      </c>
      <c r="AN27" s="703">
        <f>блюда!AN22</f>
        <v>5.0819999999999997E-2</v>
      </c>
      <c r="AO27" s="703">
        <f>блюда!AO22</f>
        <v>0</v>
      </c>
      <c r="AP27" s="703">
        <f>блюда!AP22</f>
        <v>0</v>
      </c>
      <c r="AQ27" s="703">
        <f>блюда!AQ22</f>
        <v>0</v>
      </c>
      <c r="AR27" s="703">
        <f>блюда!AR22</f>
        <v>0</v>
      </c>
      <c r="AS27" s="703">
        <f>блюда!AS22</f>
        <v>0</v>
      </c>
      <c r="AT27" s="703">
        <f>блюда!AT22</f>
        <v>0</v>
      </c>
      <c r="AU27" s="703">
        <f>блюда!AU22</f>
        <v>0</v>
      </c>
      <c r="AV27" s="703">
        <f>блюда!AV22</f>
        <v>0</v>
      </c>
      <c r="AW27" s="703">
        <f>блюда!AW22</f>
        <v>0</v>
      </c>
      <c r="AX27" s="703">
        <f>блюда!AX22</f>
        <v>0</v>
      </c>
      <c r="AY27" s="703">
        <f>блюда!AY22</f>
        <v>0</v>
      </c>
      <c r="AZ27" s="703">
        <f>блюда!AZ22</f>
        <v>0</v>
      </c>
      <c r="BA27" s="703">
        <f>блюда!BA22</f>
        <v>0</v>
      </c>
      <c r="BB27" s="703">
        <f>блюда!BB22</f>
        <v>0</v>
      </c>
      <c r="BC27" s="703">
        <f>блюда!BC22</f>
        <v>0</v>
      </c>
      <c r="BD27" s="703">
        <f>блюда!BD22</f>
        <v>0</v>
      </c>
      <c r="BE27" s="703">
        <f>блюда!BE22</f>
        <v>0</v>
      </c>
      <c r="BF27" s="703">
        <f>блюда!BF22</f>
        <v>0</v>
      </c>
      <c r="BG27" s="703">
        <f>блюда!BG22</f>
        <v>0</v>
      </c>
      <c r="BH27" s="703">
        <f>блюда!BH22</f>
        <v>0</v>
      </c>
      <c r="BI27" s="703">
        <f>блюда!BI22</f>
        <v>0</v>
      </c>
      <c r="BJ27" s="703">
        <f>блюда!BJ22</f>
        <v>0</v>
      </c>
      <c r="BK27" s="703">
        <f>блюда!BK22</f>
        <v>0</v>
      </c>
      <c r="BL27" s="703">
        <f>блюда!BL22</f>
        <v>0</v>
      </c>
      <c r="BM27" s="703">
        <f>блюда!BM22</f>
        <v>0</v>
      </c>
      <c r="BN27" s="703">
        <f>блюда!BN22</f>
        <v>0</v>
      </c>
      <c r="BO27" s="703">
        <f>блюда!BO22</f>
        <v>0</v>
      </c>
      <c r="BP27" s="703">
        <f>блюда!BP22</f>
        <v>0</v>
      </c>
      <c r="BQ27" s="703">
        <f>блюда!BQ22</f>
        <v>0</v>
      </c>
      <c r="BR27" s="703">
        <f>блюда!BR22</f>
        <v>0</v>
      </c>
      <c r="BS27" s="703">
        <f>блюда!BS22</f>
        <v>0</v>
      </c>
      <c r="BT27" s="703">
        <f>блюда!BT22</f>
        <v>0</v>
      </c>
      <c r="BU27" s="703">
        <f>блюда!BU22</f>
        <v>0</v>
      </c>
      <c r="BV27" s="703">
        <f>блюда!BV22</f>
        <v>0</v>
      </c>
      <c r="BW27" s="703">
        <f>блюда!BW22</f>
        <v>0</v>
      </c>
      <c r="BX27" s="703">
        <f>блюда!BX22</f>
        <v>0</v>
      </c>
      <c r="BY27" s="703">
        <f>блюда!BY22</f>
        <v>0</v>
      </c>
      <c r="BZ27" s="703">
        <f>блюда!BZ22</f>
        <v>0</v>
      </c>
      <c r="CA27" s="703">
        <f>блюда!CA22</f>
        <v>0</v>
      </c>
      <c r="CB27" s="703">
        <f>блюда!CB22</f>
        <v>0</v>
      </c>
      <c r="CC27" s="703">
        <f>блюда!CC22</f>
        <v>0</v>
      </c>
      <c r="CD27" s="703">
        <f>блюда!CD22</f>
        <v>0</v>
      </c>
      <c r="CE27" s="703">
        <f>блюда!CE22</f>
        <v>0</v>
      </c>
      <c r="CF27" s="703">
        <f>блюда!CF22</f>
        <v>3.5999999999999999E-3</v>
      </c>
      <c r="CG27" s="703">
        <f>блюда!CG22</f>
        <v>0</v>
      </c>
      <c r="CH27" s="703">
        <f>блюда!CH22</f>
        <v>0</v>
      </c>
      <c r="CI27" s="703">
        <f>блюда!CI22</f>
        <v>0</v>
      </c>
      <c r="CJ27" s="703">
        <f>блюда!CJ22</f>
        <v>0</v>
      </c>
      <c r="CK27" s="703">
        <f>блюда!CK22</f>
        <v>0</v>
      </c>
      <c r="CL27" s="703">
        <f>блюда!CL22</f>
        <v>0</v>
      </c>
      <c r="CM27" s="703">
        <f>блюда!CM22</f>
        <v>0</v>
      </c>
      <c r="CN27" s="703">
        <f>блюда!CN22</f>
        <v>0</v>
      </c>
      <c r="CO27" s="703">
        <f>блюда!CO22</f>
        <v>0</v>
      </c>
      <c r="CP27" s="703">
        <f>блюда!CP22</f>
        <v>0</v>
      </c>
      <c r="CQ27" s="703">
        <f>блюда!CQ22</f>
        <v>0</v>
      </c>
      <c r="CR27" s="703">
        <f>блюда!CR22</f>
        <v>0</v>
      </c>
      <c r="CS27" s="703">
        <f>блюда!CS22</f>
        <v>0</v>
      </c>
      <c r="CT27" s="703">
        <f>блюда!CT22</f>
        <v>0</v>
      </c>
      <c r="CU27" s="703">
        <f>блюда!CU22</f>
        <v>0</v>
      </c>
      <c r="CV27" s="703">
        <f>блюда!CV22</f>
        <v>0</v>
      </c>
      <c r="CW27" s="703">
        <f>блюда!CW22</f>
        <v>0</v>
      </c>
      <c r="CX27" s="703">
        <f>блюда!CX22</f>
        <v>0</v>
      </c>
      <c r="CY27" s="703">
        <f>блюда!CY22</f>
        <v>0</v>
      </c>
      <c r="CZ27" s="703">
        <f>блюда!CZ22</f>
        <v>0</v>
      </c>
      <c r="DA27" s="703">
        <f>блюда!DA22</f>
        <v>0</v>
      </c>
      <c r="DB27" s="703">
        <f>блюда!DB22</f>
        <v>0</v>
      </c>
      <c r="DC27" s="703">
        <f>блюда!DC22</f>
        <v>1.98E-3</v>
      </c>
      <c r="DD27" s="703">
        <f>блюда!DD22</f>
        <v>0</v>
      </c>
      <c r="DE27" s="703">
        <f>блюда!DE22</f>
        <v>0</v>
      </c>
      <c r="DF27" s="703">
        <f>блюда!DF22</f>
        <v>0</v>
      </c>
      <c r="DG27" s="703">
        <f>блюда!DG22</f>
        <v>0</v>
      </c>
      <c r="DH27" s="703">
        <f>блюда!DH22</f>
        <v>0</v>
      </c>
      <c r="DI27" s="703">
        <f>блюда!DI22</f>
        <v>0</v>
      </c>
      <c r="DJ27" s="703">
        <f>блюда!DJ22</f>
        <v>0</v>
      </c>
      <c r="DK27" s="703">
        <f>блюда!DK22</f>
        <v>0</v>
      </c>
      <c r="DL27" s="703">
        <f>блюда!DL22</f>
        <v>0</v>
      </c>
      <c r="DM27" s="703">
        <f>блюда!DM22</f>
        <v>0</v>
      </c>
      <c r="DN27" s="703">
        <f>блюда!DN22</f>
        <v>0</v>
      </c>
      <c r="DO27" s="703">
        <f>блюда!DO22</f>
        <v>0</v>
      </c>
      <c r="DP27" s="703">
        <f>блюда!DP22</f>
        <v>0</v>
      </c>
      <c r="DQ27" s="703">
        <f>блюда!DQ22</f>
        <v>0</v>
      </c>
      <c r="DR27" s="703">
        <f>блюда!DR22</f>
        <v>0</v>
      </c>
      <c r="DS27" s="703">
        <f>блюда!DS22</f>
        <v>0</v>
      </c>
      <c r="DT27" s="703">
        <f>блюда!DT22</f>
        <v>0</v>
      </c>
      <c r="DU27" s="703">
        <f>блюда!DU22</f>
        <v>0</v>
      </c>
      <c r="DV27" s="703">
        <f>блюда!DV22</f>
        <v>0</v>
      </c>
      <c r="DW27" s="703">
        <f>блюда!DW22</f>
        <v>0</v>
      </c>
      <c r="DX27" s="703">
        <f>блюда!DX22</f>
        <v>0</v>
      </c>
      <c r="DY27" s="703">
        <f>блюда!DY22</f>
        <v>0</v>
      </c>
      <c r="DZ27" s="703">
        <f>блюда!DZ22</f>
        <v>0</v>
      </c>
      <c r="EA27" s="703">
        <f>блюда!EA22</f>
        <v>0</v>
      </c>
      <c r="EB27" s="703">
        <f>блюда!EB22</f>
        <v>0</v>
      </c>
      <c r="EC27" s="703">
        <f>блюда!EC22</f>
        <v>0</v>
      </c>
      <c r="ED27" s="703">
        <f>блюда!ED22</f>
        <v>0</v>
      </c>
      <c r="EE27" s="703">
        <f>блюда!EE22</f>
        <v>0</v>
      </c>
      <c r="EF27" s="703">
        <f>блюда!EF22</f>
        <v>0</v>
      </c>
      <c r="EG27" s="703">
        <f>блюда!EG22</f>
        <v>0</v>
      </c>
      <c r="EH27" s="703">
        <f>блюда!EH22</f>
        <v>0</v>
      </c>
      <c r="EI27" s="703">
        <f>блюда!EI22</f>
        <v>0</v>
      </c>
      <c r="EJ27" s="703">
        <f>блюда!EJ22</f>
        <v>0</v>
      </c>
      <c r="EK27" s="703">
        <f>блюда!EK22</f>
        <v>0</v>
      </c>
      <c r="EL27" s="703">
        <f>блюда!EL22</f>
        <v>0</v>
      </c>
      <c r="EM27" s="703">
        <f>блюда!EM22</f>
        <v>0</v>
      </c>
      <c r="EN27" s="703">
        <f>блюда!EN22</f>
        <v>0</v>
      </c>
      <c r="EO27" s="703">
        <f>блюда!EO22</f>
        <v>0</v>
      </c>
      <c r="EP27" s="703">
        <f>блюда!EP22</f>
        <v>0</v>
      </c>
      <c r="EQ27" s="703">
        <f>блюда!EQ22</f>
        <v>0</v>
      </c>
      <c r="ER27" s="703">
        <f>блюда!ER22</f>
        <v>0</v>
      </c>
      <c r="ES27" s="703">
        <f>блюда!ES22</f>
        <v>0</v>
      </c>
      <c r="ET27" s="703">
        <f>блюда!ET22</f>
        <v>0</v>
      </c>
      <c r="EU27" s="703">
        <f>блюда!EU22</f>
        <v>0</v>
      </c>
      <c r="EV27" s="703">
        <f>блюда!EV22</f>
        <v>0</v>
      </c>
      <c r="EW27" s="703">
        <f>блюда!EW22</f>
        <v>0</v>
      </c>
      <c r="EX27" s="703">
        <f>блюда!EX22</f>
        <v>0</v>
      </c>
      <c r="EY27" s="927">
        <f t="shared" ref="EY27:EY90" si="5">SUM(J27:EX27)</f>
        <v>7.3679999999999995E-2</v>
      </c>
      <c r="EZ27" s="117">
        <f>блюда!EZ22</f>
        <v>0</v>
      </c>
      <c r="FA27" s="117">
        <f>блюда!FA22</f>
        <v>0</v>
      </c>
      <c r="FB27" s="117">
        <f>блюда!FB22</f>
        <v>0</v>
      </c>
      <c r="FC27" s="117">
        <f>блюда!FC22</f>
        <v>0</v>
      </c>
      <c r="FD27" s="117">
        <f>блюда!FD22</f>
        <v>0</v>
      </c>
      <c r="FE27" s="117">
        <f>блюда!FE22</f>
        <v>0</v>
      </c>
      <c r="FF27" s="117">
        <f>блюда!FF22</f>
        <v>0</v>
      </c>
      <c r="FG27" s="117">
        <f>блюда!FG22</f>
        <v>0</v>
      </c>
      <c r="FH27" s="117">
        <f>блюда!FH22</f>
        <v>0</v>
      </c>
      <c r="FI27" s="117">
        <f>блюда!FI22</f>
        <v>0</v>
      </c>
      <c r="FJ27" s="117">
        <f>блюда!FJ22</f>
        <v>0</v>
      </c>
      <c r="FK27" s="117">
        <f>блюда!FK22</f>
        <v>0</v>
      </c>
      <c r="FL27" s="117">
        <f>блюда!FL22</f>
        <v>0</v>
      </c>
    </row>
    <row r="28" spans="1:168" x14ac:dyDescent="0.25">
      <c r="A28" s="1460"/>
      <c r="B28" s="576" t="str">
        <f>блюда!B77</f>
        <v>Суп картофельный с горохом</v>
      </c>
      <c r="C28" s="704">
        <f>блюда!C77</f>
        <v>250</v>
      </c>
      <c r="D28" s="117">
        <f>блюда!D77</f>
        <v>5.49</v>
      </c>
      <c r="E28" s="117">
        <f>блюда!E77</f>
        <v>5.27</v>
      </c>
      <c r="F28" s="117">
        <f>блюда!F77</f>
        <v>16.54</v>
      </c>
      <c r="G28" s="704">
        <f>блюда!G77</f>
        <v>148</v>
      </c>
      <c r="H28" s="704">
        <f>блюда!H77</f>
        <v>102</v>
      </c>
      <c r="I28" s="117">
        <f>блюда!I77</f>
        <v>8.99</v>
      </c>
      <c r="J28" s="703">
        <f>блюда!J77</f>
        <v>0</v>
      </c>
      <c r="K28" s="703">
        <f>блюда!K77</f>
        <v>0</v>
      </c>
      <c r="L28" s="703">
        <f>блюда!L77</f>
        <v>0</v>
      </c>
      <c r="M28" s="703">
        <f>блюда!M77</f>
        <v>0</v>
      </c>
      <c r="N28" s="703">
        <f>блюда!N77</f>
        <v>0</v>
      </c>
      <c r="O28" s="703">
        <f>блюда!O77</f>
        <v>0</v>
      </c>
      <c r="P28" s="703">
        <f>блюда!P77</f>
        <v>0</v>
      </c>
      <c r="Q28" s="703">
        <f>блюда!Q77</f>
        <v>0</v>
      </c>
      <c r="R28" s="703">
        <f>блюда!R77</f>
        <v>0</v>
      </c>
      <c r="S28" s="703">
        <f>блюда!S77</f>
        <v>0</v>
      </c>
      <c r="T28" s="703">
        <f>блюда!T77</f>
        <v>0</v>
      </c>
      <c r="U28" s="703">
        <f>блюда!U77</f>
        <v>0</v>
      </c>
      <c r="V28" s="703">
        <f>блюда!V77</f>
        <v>0</v>
      </c>
      <c r="W28" s="703">
        <f>блюда!W77</f>
        <v>0</v>
      </c>
      <c r="X28" s="703">
        <f>блюда!X77</f>
        <v>0</v>
      </c>
      <c r="Y28" s="703">
        <f>блюда!Y77</f>
        <v>5.0000000000000001E-3</v>
      </c>
      <c r="Z28" s="703">
        <f>блюда!Z77</f>
        <v>0</v>
      </c>
      <c r="AA28" s="703">
        <f>блюда!AA77</f>
        <v>0</v>
      </c>
      <c r="AB28" s="703">
        <f>блюда!AB77</f>
        <v>0</v>
      </c>
      <c r="AC28" s="703">
        <f>блюда!AC77</f>
        <v>0</v>
      </c>
      <c r="AD28" s="703">
        <f>блюда!AD77</f>
        <v>0</v>
      </c>
      <c r="AE28" s="703">
        <f>блюда!AE77</f>
        <v>0</v>
      </c>
      <c r="AF28" s="703">
        <f>блюда!AF77</f>
        <v>0</v>
      </c>
      <c r="AG28" s="703">
        <f>блюда!AG77</f>
        <v>0</v>
      </c>
      <c r="AH28" s="703">
        <f>блюда!AH77</f>
        <v>6.6750000000000004E-2</v>
      </c>
      <c r="AI28" s="703">
        <f>блюда!AI77</f>
        <v>0</v>
      </c>
      <c r="AJ28" s="703">
        <f>блюда!AJ77</f>
        <v>0</v>
      </c>
      <c r="AK28" s="703">
        <f>блюда!AK77</f>
        <v>1.2E-2</v>
      </c>
      <c r="AL28" s="703">
        <f>блюда!AL77</f>
        <v>0</v>
      </c>
      <c r="AM28" s="703">
        <f>блюда!AM77</f>
        <v>0</v>
      </c>
      <c r="AN28" s="703">
        <f>блюда!AN77</f>
        <v>0</v>
      </c>
      <c r="AO28" s="703">
        <f>блюда!AO77</f>
        <v>0</v>
      </c>
      <c r="AP28" s="703">
        <f>блюда!AP77</f>
        <v>0</v>
      </c>
      <c r="AQ28" s="703">
        <f>блюда!AQ77</f>
        <v>1.2500000000000001E-2</v>
      </c>
      <c r="AR28" s="703">
        <f>блюда!AR77</f>
        <v>0</v>
      </c>
      <c r="AS28" s="703">
        <f>блюда!AS77</f>
        <v>0</v>
      </c>
      <c r="AT28" s="703">
        <f>блюда!AT77</f>
        <v>3.2499999999999999E-3</v>
      </c>
      <c r="AU28" s="703">
        <f>блюда!AU77</f>
        <v>1.5E-3</v>
      </c>
      <c r="AV28" s="703">
        <f>блюда!AV77</f>
        <v>0</v>
      </c>
      <c r="AW28" s="703">
        <f>блюда!AW77</f>
        <v>0</v>
      </c>
      <c r="AX28" s="703">
        <f>блюда!AX77</f>
        <v>0</v>
      </c>
      <c r="AY28" s="703">
        <f>блюда!AY77</f>
        <v>0</v>
      </c>
      <c r="AZ28" s="703">
        <f>блюда!AZ77</f>
        <v>0</v>
      </c>
      <c r="BA28" s="703">
        <f>блюда!BA77</f>
        <v>0</v>
      </c>
      <c r="BB28" s="703">
        <f>блюда!BB77</f>
        <v>0</v>
      </c>
      <c r="BC28" s="703">
        <f>блюда!BC77</f>
        <v>0</v>
      </c>
      <c r="BD28" s="703">
        <f>блюда!BD77</f>
        <v>0</v>
      </c>
      <c r="BE28" s="703">
        <f>блюда!BE77</f>
        <v>0</v>
      </c>
      <c r="BF28" s="703">
        <f>блюда!BF77</f>
        <v>0</v>
      </c>
      <c r="BG28" s="703">
        <f>блюда!BG77</f>
        <v>0</v>
      </c>
      <c r="BH28" s="703">
        <f>блюда!BH77</f>
        <v>0</v>
      </c>
      <c r="BI28" s="703">
        <f>блюда!BI77</f>
        <v>0</v>
      </c>
      <c r="BJ28" s="703">
        <f>блюда!BJ77</f>
        <v>0</v>
      </c>
      <c r="BK28" s="703">
        <f>блюда!BK77</f>
        <v>0</v>
      </c>
      <c r="BL28" s="703">
        <f>блюда!BL77</f>
        <v>0</v>
      </c>
      <c r="BM28" s="703">
        <f>блюда!BM77</f>
        <v>0</v>
      </c>
      <c r="BN28" s="703">
        <f>блюда!BN77</f>
        <v>0</v>
      </c>
      <c r="BO28" s="703">
        <f>блюда!BO77</f>
        <v>0</v>
      </c>
      <c r="BP28" s="703">
        <f>блюда!BP77</f>
        <v>0</v>
      </c>
      <c r="BQ28" s="703">
        <f>блюда!BQ77</f>
        <v>0</v>
      </c>
      <c r="BR28" s="703">
        <f>блюда!BR77</f>
        <v>0</v>
      </c>
      <c r="BS28" s="703">
        <f>блюда!BS77</f>
        <v>0</v>
      </c>
      <c r="BT28" s="703">
        <f>блюда!BT77</f>
        <v>0</v>
      </c>
      <c r="BU28" s="703">
        <f>блюда!BU77</f>
        <v>0</v>
      </c>
      <c r="BV28" s="703">
        <f>блюда!BV77</f>
        <v>0</v>
      </c>
      <c r="BW28" s="703">
        <f>блюда!BW77</f>
        <v>0</v>
      </c>
      <c r="BX28" s="703">
        <f>блюда!BX77</f>
        <v>0</v>
      </c>
      <c r="BY28" s="703">
        <f>блюда!BY77</f>
        <v>0</v>
      </c>
      <c r="BZ28" s="703">
        <f>блюда!BZ77</f>
        <v>0</v>
      </c>
      <c r="CA28" s="703">
        <f>блюда!CA77</f>
        <v>0</v>
      </c>
      <c r="CB28" s="703">
        <f>блюда!CB77</f>
        <v>0</v>
      </c>
      <c r="CC28" s="703">
        <f>блюда!CC77</f>
        <v>0</v>
      </c>
      <c r="CD28" s="703">
        <f>блюда!CD77</f>
        <v>0</v>
      </c>
      <c r="CE28" s="703">
        <f>блюда!CE77</f>
        <v>0</v>
      </c>
      <c r="CF28" s="703">
        <f>блюда!CF77</f>
        <v>5.0000000000000001E-3</v>
      </c>
      <c r="CG28" s="703">
        <f>блюда!CG77</f>
        <v>0</v>
      </c>
      <c r="CH28" s="703">
        <f>блюда!CH77</f>
        <v>0</v>
      </c>
      <c r="CI28" s="703">
        <f>блюда!CI77</f>
        <v>0</v>
      </c>
      <c r="CJ28" s="703">
        <f>блюда!CJ77</f>
        <v>0</v>
      </c>
      <c r="CK28" s="703">
        <f>блюда!CK77</f>
        <v>0</v>
      </c>
      <c r="CL28" s="703">
        <f>блюда!CL77</f>
        <v>0</v>
      </c>
      <c r="CM28" s="703">
        <f>блюда!CM77</f>
        <v>0</v>
      </c>
      <c r="CN28" s="703">
        <f>блюда!CN77</f>
        <v>0</v>
      </c>
      <c r="CO28" s="703">
        <f>блюда!CO77</f>
        <v>0</v>
      </c>
      <c r="CP28" s="703">
        <f>блюда!CP77</f>
        <v>0</v>
      </c>
      <c r="CQ28" s="703">
        <f>блюда!CQ77</f>
        <v>0</v>
      </c>
      <c r="CR28" s="703">
        <f>блюда!CR77</f>
        <v>0</v>
      </c>
      <c r="CS28" s="703">
        <f>блюда!CS77</f>
        <v>1.8000000000000001E-4</v>
      </c>
      <c r="CT28" s="703">
        <f>блюда!CT77</f>
        <v>0</v>
      </c>
      <c r="CU28" s="703">
        <f>блюда!CU77</f>
        <v>0</v>
      </c>
      <c r="CV28" s="703">
        <f>блюда!CV77</f>
        <v>0</v>
      </c>
      <c r="CW28" s="703">
        <f>блюда!CW77</f>
        <v>0</v>
      </c>
      <c r="CX28" s="703">
        <f>блюда!CX77</f>
        <v>0</v>
      </c>
      <c r="CY28" s="703">
        <f>блюда!CY77</f>
        <v>0</v>
      </c>
      <c r="CZ28" s="703">
        <f>блюда!CZ77</f>
        <v>0</v>
      </c>
      <c r="DA28" s="703">
        <f>блюда!DA77</f>
        <v>0</v>
      </c>
      <c r="DB28" s="703">
        <f>блюда!DB77</f>
        <v>0</v>
      </c>
      <c r="DC28" s="703">
        <f>блюда!DC77</f>
        <v>2E-3</v>
      </c>
      <c r="DD28" s="703">
        <f>блюда!DD77</f>
        <v>0</v>
      </c>
      <c r="DE28" s="703">
        <f>блюда!DE77</f>
        <v>0</v>
      </c>
      <c r="DF28" s="703">
        <f>блюда!DF77</f>
        <v>0</v>
      </c>
      <c r="DG28" s="703">
        <f>блюда!DG77</f>
        <v>0</v>
      </c>
      <c r="DH28" s="703">
        <f>блюда!DH77</f>
        <v>0</v>
      </c>
      <c r="DI28" s="703">
        <f>блюда!DI77</f>
        <v>0</v>
      </c>
      <c r="DJ28" s="703">
        <f>блюда!DJ77</f>
        <v>0</v>
      </c>
      <c r="DK28" s="703">
        <f>блюда!DK77</f>
        <v>0</v>
      </c>
      <c r="DL28" s="703">
        <f>блюда!DL77</f>
        <v>2.0250000000000001E-2</v>
      </c>
      <c r="DM28" s="703">
        <f>блюда!DM77</f>
        <v>0</v>
      </c>
      <c r="DN28" s="703">
        <f>блюда!DN77</f>
        <v>0</v>
      </c>
      <c r="DO28" s="703">
        <f>блюда!DO77</f>
        <v>0</v>
      </c>
      <c r="DP28" s="703">
        <f>блюда!DP77</f>
        <v>0</v>
      </c>
      <c r="DQ28" s="703">
        <f>блюда!DQ77</f>
        <v>0</v>
      </c>
      <c r="DR28" s="703">
        <f>блюда!DR77</f>
        <v>0</v>
      </c>
      <c r="DS28" s="703">
        <f>блюда!DS77</f>
        <v>0</v>
      </c>
      <c r="DT28" s="703">
        <f>блюда!DT77</f>
        <v>0</v>
      </c>
      <c r="DU28" s="703">
        <f>блюда!DU77</f>
        <v>0</v>
      </c>
      <c r="DV28" s="703">
        <f>блюда!DV77</f>
        <v>0</v>
      </c>
      <c r="DW28" s="703">
        <f>блюда!DW77</f>
        <v>0</v>
      </c>
      <c r="DX28" s="703">
        <f>блюда!DX77</f>
        <v>0</v>
      </c>
      <c r="DY28" s="703">
        <f>блюда!DY77</f>
        <v>0</v>
      </c>
      <c r="DZ28" s="703">
        <f>блюда!DZ77</f>
        <v>0</v>
      </c>
      <c r="EA28" s="703">
        <f>блюда!EA77</f>
        <v>0</v>
      </c>
      <c r="EB28" s="703">
        <f>блюда!EB77</f>
        <v>0</v>
      </c>
      <c r="EC28" s="703">
        <f>блюда!EC77</f>
        <v>0</v>
      </c>
      <c r="ED28" s="703">
        <f>блюда!ED77</f>
        <v>0</v>
      </c>
      <c r="EE28" s="703">
        <f>блюда!EE77</f>
        <v>0</v>
      </c>
      <c r="EF28" s="703">
        <f>блюда!EF77</f>
        <v>0</v>
      </c>
      <c r="EG28" s="703">
        <f>блюда!EG77</f>
        <v>0</v>
      </c>
      <c r="EH28" s="703">
        <f>блюда!EH77</f>
        <v>0</v>
      </c>
      <c r="EI28" s="703">
        <f>блюда!EI77</f>
        <v>0</v>
      </c>
      <c r="EJ28" s="703">
        <f>блюда!EJ77</f>
        <v>0</v>
      </c>
      <c r="EK28" s="703">
        <f>блюда!EK77</f>
        <v>0</v>
      </c>
      <c r="EL28" s="703">
        <f>блюда!EL77</f>
        <v>0</v>
      </c>
      <c r="EM28" s="703">
        <f>блюда!EM77</f>
        <v>0</v>
      </c>
      <c r="EN28" s="703">
        <f>блюда!EN77</f>
        <v>0</v>
      </c>
      <c r="EO28" s="703">
        <f>блюда!EO77</f>
        <v>0</v>
      </c>
      <c r="EP28" s="703">
        <f>блюда!EP77</f>
        <v>0</v>
      </c>
      <c r="EQ28" s="703">
        <f>блюда!EQ77</f>
        <v>0</v>
      </c>
      <c r="ER28" s="703">
        <f>блюда!ER77</f>
        <v>0</v>
      </c>
      <c r="ES28" s="703">
        <f>блюда!ES77</f>
        <v>0</v>
      </c>
      <c r="ET28" s="703">
        <f>блюда!ET77</f>
        <v>0</v>
      </c>
      <c r="EU28" s="703">
        <f>блюда!EU77</f>
        <v>0</v>
      </c>
      <c r="EV28" s="703">
        <f>блюда!EV77</f>
        <v>0</v>
      </c>
      <c r="EW28" s="703">
        <f>блюда!EW77</f>
        <v>0</v>
      </c>
      <c r="EX28" s="703">
        <f>блюда!EX77</f>
        <v>0</v>
      </c>
      <c r="EY28" s="927">
        <f t="shared" si="5"/>
        <v>0.12842999999999999</v>
      </c>
      <c r="EZ28" s="117">
        <f>блюда!EZ77</f>
        <v>0</v>
      </c>
      <c r="FA28" s="117">
        <f>блюда!FA77</f>
        <v>0</v>
      </c>
      <c r="FB28" s="117">
        <f>блюда!FB77</f>
        <v>0</v>
      </c>
      <c r="FC28" s="117">
        <f>блюда!FC77</f>
        <v>0</v>
      </c>
      <c r="FD28" s="117">
        <f>блюда!FD77</f>
        <v>0</v>
      </c>
      <c r="FE28" s="117">
        <f>блюда!FE77</f>
        <v>0</v>
      </c>
      <c r="FF28" s="117">
        <f>блюда!FF77</f>
        <v>0</v>
      </c>
      <c r="FG28" s="117">
        <f>блюда!FG77</f>
        <v>0</v>
      </c>
      <c r="FH28" s="117">
        <f>блюда!FH77</f>
        <v>0</v>
      </c>
      <c r="FI28" s="117">
        <f>блюда!FI77</f>
        <v>0</v>
      </c>
      <c r="FJ28" s="117">
        <f>блюда!FJ77</f>
        <v>0</v>
      </c>
      <c r="FK28" s="117">
        <f>блюда!FK77</f>
        <v>0</v>
      </c>
      <c r="FL28" s="117">
        <f>блюда!FL77</f>
        <v>0</v>
      </c>
    </row>
    <row r="29" spans="1:168" ht="26.4" x14ac:dyDescent="0.25">
      <c r="A29" s="1460"/>
      <c r="B29" s="576" t="str">
        <f>блюда!B192</f>
        <v>Котлеты (биточки, шницели) из говядины с томатным соусом</v>
      </c>
      <c r="C29" s="704">
        <f>блюда!C192</f>
        <v>80</v>
      </c>
      <c r="D29" s="117">
        <f>блюда!D192</f>
        <v>8.3800000000000008</v>
      </c>
      <c r="E29" s="117">
        <f>блюда!E192</f>
        <v>10.02</v>
      </c>
      <c r="F29" s="117">
        <f>блюда!F192</f>
        <v>9.15</v>
      </c>
      <c r="G29" s="704">
        <f>блюда!G192</f>
        <v>162</v>
      </c>
      <c r="H29" s="704">
        <f>блюда!H192</f>
        <v>268</v>
      </c>
      <c r="I29" s="117">
        <f>блюда!I192</f>
        <v>32.619999999999997</v>
      </c>
      <c r="J29" s="703">
        <f>блюда!J192</f>
        <v>0.05</v>
      </c>
      <c r="K29" s="703">
        <f>блюда!K192</f>
        <v>0</v>
      </c>
      <c r="L29" s="703">
        <f>блюда!L192</f>
        <v>0</v>
      </c>
      <c r="M29" s="703">
        <f>блюда!M192</f>
        <v>0</v>
      </c>
      <c r="N29" s="703">
        <f>блюда!N192</f>
        <v>0</v>
      </c>
      <c r="O29" s="703">
        <f>блюда!O192</f>
        <v>0</v>
      </c>
      <c r="P29" s="703">
        <f>блюда!P192</f>
        <v>0</v>
      </c>
      <c r="Q29" s="703">
        <f>блюда!Q192</f>
        <v>0</v>
      </c>
      <c r="R29" s="703">
        <f>блюда!R192</f>
        <v>0</v>
      </c>
      <c r="S29" s="703">
        <f>блюда!S192</f>
        <v>0</v>
      </c>
      <c r="T29" s="703">
        <f>блюда!T192</f>
        <v>0</v>
      </c>
      <c r="U29" s="703">
        <f>блюда!U192</f>
        <v>6.0000000000000001E-3</v>
      </c>
      <c r="V29" s="703">
        <f>блюда!V192</f>
        <v>0</v>
      </c>
      <c r="W29" s="703">
        <f>блюда!W192</f>
        <v>0</v>
      </c>
      <c r="X29" s="703">
        <f>блюда!X192</f>
        <v>0</v>
      </c>
      <c r="Y29" s="703">
        <f>блюда!Y192</f>
        <v>7.4999999999999997E-3</v>
      </c>
      <c r="Z29" s="703">
        <f>блюда!Z192</f>
        <v>0</v>
      </c>
      <c r="AA29" s="703">
        <f>блюда!AA192</f>
        <v>0</v>
      </c>
      <c r="AB29" s="703">
        <f>блюда!AB192</f>
        <v>0</v>
      </c>
      <c r="AC29" s="703">
        <f>блюда!AC192</f>
        <v>0</v>
      </c>
      <c r="AD29" s="703">
        <f>блюда!AD192</f>
        <v>0</v>
      </c>
      <c r="AE29" s="703">
        <f>блюда!AE192</f>
        <v>0</v>
      </c>
      <c r="AF29" s="703">
        <f>блюда!AF192</f>
        <v>0</v>
      </c>
      <c r="AG29" s="703">
        <f>блюда!AG192</f>
        <v>0</v>
      </c>
      <c r="AH29" s="703">
        <f>блюда!AH192</f>
        <v>0</v>
      </c>
      <c r="AI29" s="703">
        <f>блюда!AI192</f>
        <v>0</v>
      </c>
      <c r="AJ29" s="703">
        <f>блюда!AJ192</f>
        <v>0</v>
      </c>
      <c r="AK29" s="703">
        <f>блюда!AK192</f>
        <v>0</v>
      </c>
      <c r="AL29" s="703">
        <f>блюда!AL192</f>
        <v>0</v>
      </c>
      <c r="AM29" s="703">
        <f>блюда!AM192</f>
        <v>0</v>
      </c>
      <c r="AN29" s="703">
        <f>блюда!AN192</f>
        <v>0</v>
      </c>
      <c r="AO29" s="703">
        <f>блюда!AO192</f>
        <v>0</v>
      </c>
      <c r="AP29" s="703">
        <f>блюда!AP192</f>
        <v>0</v>
      </c>
      <c r="AQ29" s="703">
        <f>блюда!AQ192</f>
        <v>0</v>
      </c>
      <c r="AR29" s="703">
        <f>блюда!AR192</f>
        <v>0</v>
      </c>
      <c r="AS29" s="703">
        <f>блюда!AS192</f>
        <v>0</v>
      </c>
      <c r="AT29" s="703">
        <f>блюда!AT192</f>
        <v>0</v>
      </c>
      <c r="AU29" s="703">
        <f>блюда!AU192</f>
        <v>0</v>
      </c>
      <c r="AV29" s="703">
        <f>блюда!AV192</f>
        <v>0</v>
      </c>
      <c r="AW29" s="703">
        <f>блюда!AW192</f>
        <v>0</v>
      </c>
      <c r="AX29" s="703">
        <f>блюда!AX192</f>
        <v>0</v>
      </c>
      <c r="AY29" s="703">
        <f>блюда!AY192</f>
        <v>0</v>
      </c>
      <c r="AZ29" s="703">
        <f>блюда!AZ192</f>
        <v>0</v>
      </c>
      <c r="BA29" s="703">
        <f>блюда!BA192</f>
        <v>0</v>
      </c>
      <c r="BB29" s="703">
        <f>блюда!BB192</f>
        <v>0</v>
      </c>
      <c r="BC29" s="703">
        <f>блюда!BC192</f>
        <v>0</v>
      </c>
      <c r="BD29" s="703">
        <f>блюда!BD192</f>
        <v>0</v>
      </c>
      <c r="BE29" s="703">
        <f>блюда!BE192</f>
        <v>0</v>
      </c>
      <c r="BF29" s="703">
        <f>блюда!BF192</f>
        <v>0</v>
      </c>
      <c r="BG29" s="703">
        <f>блюда!BG192</f>
        <v>0</v>
      </c>
      <c r="BH29" s="703">
        <f>блюда!BH192</f>
        <v>0</v>
      </c>
      <c r="BI29" s="703">
        <f>блюда!BI192</f>
        <v>0</v>
      </c>
      <c r="BJ29" s="703">
        <f>блюда!BJ192</f>
        <v>0</v>
      </c>
      <c r="BK29" s="703">
        <f>блюда!BK192</f>
        <v>0</v>
      </c>
      <c r="BL29" s="703">
        <f>блюда!BL192</f>
        <v>0</v>
      </c>
      <c r="BM29" s="703">
        <f>блюда!BM192</f>
        <v>0</v>
      </c>
      <c r="BN29" s="703">
        <f>блюда!BN192</f>
        <v>0</v>
      </c>
      <c r="BO29" s="703">
        <f>блюда!BO192</f>
        <v>0</v>
      </c>
      <c r="BP29" s="703">
        <f>блюда!BP192</f>
        <v>0</v>
      </c>
      <c r="BQ29" s="703">
        <f>блюда!BQ192</f>
        <v>0</v>
      </c>
      <c r="BR29" s="703">
        <f>блюда!BR192</f>
        <v>0</v>
      </c>
      <c r="BS29" s="703">
        <f>блюда!BS192</f>
        <v>2.2499999999999998E-3</v>
      </c>
      <c r="BT29" s="703">
        <f>блюда!BT192</f>
        <v>0</v>
      </c>
      <c r="BU29" s="703">
        <f>блюда!BU192</f>
        <v>0</v>
      </c>
      <c r="BV29" s="703">
        <f>блюда!BV192</f>
        <v>0</v>
      </c>
      <c r="BW29" s="703">
        <f>блюда!BW192</f>
        <v>0</v>
      </c>
      <c r="BX29" s="703">
        <f>блюда!BX192</f>
        <v>0</v>
      </c>
      <c r="BY29" s="703">
        <f>блюда!BY192</f>
        <v>0</v>
      </c>
      <c r="BZ29" s="703">
        <f>блюда!BZ192</f>
        <v>0</v>
      </c>
      <c r="CA29" s="703">
        <f>блюда!CA192</f>
        <v>0</v>
      </c>
      <c r="CB29" s="703">
        <f>блюда!CB192</f>
        <v>0</v>
      </c>
      <c r="CC29" s="703">
        <f>блюда!CC192</f>
        <v>0</v>
      </c>
      <c r="CD29" s="703">
        <f>блюда!CD192</f>
        <v>0</v>
      </c>
      <c r="CE29" s="703">
        <f>блюда!CE192</f>
        <v>0</v>
      </c>
      <c r="CF29" s="703">
        <f>блюда!CF192</f>
        <v>3.0000000000000001E-3</v>
      </c>
      <c r="CG29" s="703">
        <f>блюда!CG192</f>
        <v>0</v>
      </c>
      <c r="CH29" s="703">
        <f>блюда!CH192</f>
        <v>0</v>
      </c>
      <c r="CI29" s="703">
        <f>блюда!CI192</f>
        <v>0</v>
      </c>
      <c r="CJ29" s="703">
        <f>блюда!CJ192</f>
        <v>0</v>
      </c>
      <c r="CK29" s="703">
        <f>блюда!CK192</f>
        <v>0</v>
      </c>
      <c r="CL29" s="703">
        <f>блюда!CL192</f>
        <v>0</v>
      </c>
      <c r="CM29" s="703">
        <f>блюда!CM192</f>
        <v>0</v>
      </c>
      <c r="CN29" s="703">
        <f>блюда!CN192</f>
        <v>0</v>
      </c>
      <c r="CO29" s="703">
        <f>блюда!CO192</f>
        <v>0</v>
      </c>
      <c r="CP29" s="703">
        <f>блюда!CP192</f>
        <v>0</v>
      </c>
      <c r="CQ29" s="703">
        <f>блюда!CQ192</f>
        <v>0</v>
      </c>
      <c r="CR29" s="703">
        <f>блюда!CR192</f>
        <v>0</v>
      </c>
      <c r="CS29" s="703">
        <f>блюда!CS192</f>
        <v>0</v>
      </c>
      <c r="CT29" s="703">
        <f>блюда!CT192</f>
        <v>0</v>
      </c>
      <c r="CU29" s="703">
        <f>блюда!CU192</f>
        <v>0</v>
      </c>
      <c r="CV29" s="703">
        <f>блюда!CV192</f>
        <v>0</v>
      </c>
      <c r="CW29" s="703">
        <f>блюда!CW192</f>
        <v>0</v>
      </c>
      <c r="CX29" s="703">
        <f>блюда!CX192</f>
        <v>0</v>
      </c>
      <c r="CY29" s="703">
        <f>блюда!CY192</f>
        <v>0</v>
      </c>
      <c r="CZ29" s="703">
        <f>блюда!CZ192</f>
        <v>0</v>
      </c>
      <c r="DA29" s="703">
        <f>блюда!DA192</f>
        <v>0</v>
      </c>
      <c r="DB29" s="703">
        <f>блюда!DB192</f>
        <v>0</v>
      </c>
      <c r="DC29" s="703">
        <f>блюда!DC192</f>
        <v>3.2399999999999998E-3</v>
      </c>
      <c r="DD29" s="703">
        <f>блюда!DD192</f>
        <v>5.0000000000000001E-3</v>
      </c>
      <c r="DE29" s="703">
        <f>блюда!DE192</f>
        <v>0</v>
      </c>
      <c r="DF29" s="703">
        <f>блюда!DF192</f>
        <v>3.0000000000000001E-3</v>
      </c>
      <c r="DG29" s="703">
        <f>блюда!DG192</f>
        <v>0</v>
      </c>
      <c r="DH29" s="703">
        <f>блюда!DH192</f>
        <v>0</v>
      </c>
      <c r="DI29" s="703">
        <f>блюда!DI192</f>
        <v>0</v>
      </c>
      <c r="DJ29" s="703">
        <f>блюда!DJ192</f>
        <v>0</v>
      </c>
      <c r="DK29" s="703">
        <f>блюда!DK192</f>
        <v>0</v>
      </c>
      <c r="DL29" s="703">
        <f>блюда!DL192</f>
        <v>0</v>
      </c>
      <c r="DM29" s="703">
        <f>блюда!DM192</f>
        <v>0</v>
      </c>
      <c r="DN29" s="703">
        <f>блюда!DN192</f>
        <v>0</v>
      </c>
      <c r="DO29" s="703">
        <f>блюда!DO192</f>
        <v>0</v>
      </c>
      <c r="DP29" s="703">
        <f>блюда!DP192</f>
        <v>0</v>
      </c>
      <c r="DQ29" s="703">
        <f>блюда!DQ192</f>
        <v>0</v>
      </c>
      <c r="DR29" s="703">
        <f>блюда!DR192</f>
        <v>0</v>
      </c>
      <c r="DS29" s="703">
        <f>блюда!DS192</f>
        <v>0</v>
      </c>
      <c r="DT29" s="703">
        <f>блюда!DT192</f>
        <v>0</v>
      </c>
      <c r="DU29" s="703">
        <f>блюда!DU192</f>
        <v>0</v>
      </c>
      <c r="DV29" s="703">
        <f>блюда!DV192</f>
        <v>0</v>
      </c>
      <c r="DW29" s="703">
        <f>блюда!DW192</f>
        <v>0</v>
      </c>
      <c r="DX29" s="703">
        <f>блюда!DX192</f>
        <v>0</v>
      </c>
      <c r="DY29" s="703">
        <f>блюда!DY192</f>
        <v>0</v>
      </c>
      <c r="DZ29" s="703">
        <f>блюда!DZ192</f>
        <v>0</v>
      </c>
      <c r="EA29" s="703">
        <f>блюда!EA192</f>
        <v>0</v>
      </c>
      <c r="EB29" s="703">
        <f>блюда!EB192</f>
        <v>0</v>
      </c>
      <c r="EC29" s="703">
        <f>блюда!EC192</f>
        <v>0</v>
      </c>
      <c r="ED29" s="703">
        <f>блюда!ED192</f>
        <v>0</v>
      </c>
      <c r="EE29" s="703">
        <f>блюда!EE192</f>
        <v>0</v>
      </c>
      <c r="EF29" s="703">
        <f>блюда!EF192</f>
        <v>0</v>
      </c>
      <c r="EG29" s="703">
        <f>блюда!EG192</f>
        <v>0</v>
      </c>
      <c r="EH29" s="703">
        <f>блюда!EH192</f>
        <v>0</v>
      </c>
      <c r="EI29" s="703">
        <f>блюда!EI192</f>
        <v>0</v>
      </c>
      <c r="EJ29" s="703">
        <f>блюда!EJ192</f>
        <v>0</v>
      </c>
      <c r="EK29" s="703">
        <f>блюда!EK192</f>
        <v>0</v>
      </c>
      <c r="EL29" s="703">
        <f>блюда!EL192</f>
        <v>0</v>
      </c>
      <c r="EM29" s="703">
        <f>блюда!EM192</f>
        <v>0</v>
      </c>
      <c r="EN29" s="703">
        <f>блюда!EN192</f>
        <v>0</v>
      </c>
      <c r="EO29" s="703">
        <f>блюда!EO192</f>
        <v>0</v>
      </c>
      <c r="EP29" s="703">
        <f>блюда!EP192</f>
        <v>0</v>
      </c>
      <c r="EQ29" s="703">
        <f>блюда!EQ192</f>
        <v>0</v>
      </c>
      <c r="ER29" s="703">
        <f>блюда!ER192</f>
        <v>0</v>
      </c>
      <c r="ES29" s="703">
        <f>блюда!ES192</f>
        <v>0</v>
      </c>
      <c r="ET29" s="703">
        <f>блюда!ET192</f>
        <v>0</v>
      </c>
      <c r="EU29" s="703">
        <f>блюда!EU192</f>
        <v>0</v>
      </c>
      <c r="EV29" s="703">
        <f>блюда!EV192</f>
        <v>8.9999999999999993E-3</v>
      </c>
      <c r="EW29" s="703">
        <f>блюда!EW192</f>
        <v>0</v>
      </c>
      <c r="EX29" s="703">
        <f>блюда!EX192</f>
        <v>0</v>
      </c>
      <c r="EY29" s="927">
        <f t="shared" si="5"/>
        <v>8.899E-2</v>
      </c>
      <c r="EZ29" s="117">
        <f>блюда!EZ219</f>
        <v>0</v>
      </c>
      <c r="FA29" s="117">
        <f>блюда!FA219</f>
        <v>0</v>
      </c>
      <c r="FB29" s="117">
        <f>блюда!FB219</f>
        <v>0</v>
      </c>
      <c r="FC29" s="117">
        <f>блюда!FC219</f>
        <v>0</v>
      </c>
      <c r="FD29" s="117">
        <f>блюда!FD219</f>
        <v>0</v>
      </c>
      <c r="FE29" s="117">
        <f>блюда!FE219</f>
        <v>0</v>
      </c>
      <c r="FF29" s="117">
        <f>блюда!FF219</f>
        <v>0</v>
      </c>
      <c r="FG29" s="117">
        <f>блюда!FG219</f>
        <v>0</v>
      </c>
      <c r="FH29" s="117">
        <f>блюда!FH219</f>
        <v>0</v>
      </c>
      <c r="FI29" s="117">
        <f>блюда!FI219</f>
        <v>0</v>
      </c>
      <c r="FJ29" s="117">
        <f>блюда!FJ219</f>
        <v>0</v>
      </c>
      <c r="FK29" s="117">
        <f>блюда!FK219</f>
        <v>0</v>
      </c>
      <c r="FL29" s="117">
        <f>блюда!FL219</f>
        <v>0</v>
      </c>
    </row>
    <row r="30" spans="1:168" x14ac:dyDescent="0.25">
      <c r="A30" s="1460"/>
      <c r="B30" s="576" t="str">
        <f>блюда!B111</f>
        <v>Рагу из овощей</v>
      </c>
      <c r="C30" s="704">
        <f>блюда!C111</f>
        <v>160</v>
      </c>
      <c r="D30" s="117">
        <f>блюда!D111</f>
        <v>2.7</v>
      </c>
      <c r="E30" s="117">
        <f>блюда!E111</f>
        <v>16.75</v>
      </c>
      <c r="F30" s="117">
        <f>блюда!F111</f>
        <v>13.1</v>
      </c>
      <c r="G30" s="704">
        <f>блюда!G111</f>
        <v>216</v>
      </c>
      <c r="H30" s="704">
        <f>блюда!H111</f>
        <v>143</v>
      </c>
      <c r="I30" s="117">
        <f>блюда!I111</f>
        <v>19.18</v>
      </c>
      <c r="J30" s="703">
        <f>блюда!J111</f>
        <v>0</v>
      </c>
      <c r="K30" s="703">
        <f>блюда!K111</f>
        <v>0</v>
      </c>
      <c r="L30" s="703">
        <f>блюда!L111</f>
        <v>0</v>
      </c>
      <c r="M30" s="703">
        <f>блюда!M111</f>
        <v>0</v>
      </c>
      <c r="N30" s="703">
        <f>блюда!N111</f>
        <v>0</v>
      </c>
      <c r="O30" s="703">
        <f>блюда!O111</f>
        <v>0</v>
      </c>
      <c r="P30" s="703">
        <f>блюда!P111</f>
        <v>0</v>
      </c>
      <c r="Q30" s="703">
        <f>блюда!Q111</f>
        <v>0</v>
      </c>
      <c r="R30" s="703">
        <f>блюда!R111</f>
        <v>0</v>
      </c>
      <c r="S30" s="703">
        <f>блюда!S111</f>
        <v>0</v>
      </c>
      <c r="T30" s="703">
        <f>блюда!T111</f>
        <v>0</v>
      </c>
      <c r="U30" s="703">
        <f>блюда!U111</f>
        <v>0</v>
      </c>
      <c r="V30" s="703">
        <f>блюда!V111</f>
        <v>8.0000000000000002E-3</v>
      </c>
      <c r="W30" s="703">
        <f>блюда!W111</f>
        <v>0</v>
      </c>
      <c r="X30" s="703">
        <f>блюда!X111</f>
        <v>0</v>
      </c>
      <c r="Y30" s="703">
        <f>блюда!Y111</f>
        <v>1.125E-2</v>
      </c>
      <c r="Z30" s="703">
        <f>блюда!Z111</f>
        <v>0</v>
      </c>
      <c r="AA30" s="703">
        <f>блюда!AA111</f>
        <v>0</v>
      </c>
      <c r="AB30" s="703">
        <f>блюда!AB111</f>
        <v>0</v>
      </c>
      <c r="AC30" s="703">
        <f>блюда!AC111</f>
        <v>0</v>
      </c>
      <c r="AD30" s="703">
        <f>блюда!AD111</f>
        <v>0</v>
      </c>
      <c r="AE30" s="703">
        <f>блюда!AE111</f>
        <v>0</v>
      </c>
      <c r="AF30" s="703">
        <f>блюда!AF111</f>
        <v>3.7499999999999999E-2</v>
      </c>
      <c r="AG30" s="703">
        <f>блюда!AG111</f>
        <v>0</v>
      </c>
      <c r="AH30" s="703">
        <f>блюда!AH111</f>
        <v>6.4500000000000002E-2</v>
      </c>
      <c r="AI30" s="703">
        <f>блюда!AI111</f>
        <v>0</v>
      </c>
      <c r="AJ30" s="703">
        <f>блюда!AJ111</f>
        <v>0</v>
      </c>
      <c r="AK30" s="703">
        <f>блюда!AK111</f>
        <v>1.4999999999999999E-2</v>
      </c>
      <c r="AL30" s="703">
        <f>блюда!AL111</f>
        <v>0</v>
      </c>
      <c r="AM30" s="703">
        <f>блюда!AM111</f>
        <v>0</v>
      </c>
      <c r="AN30" s="703">
        <f>блюда!AN111</f>
        <v>0</v>
      </c>
      <c r="AO30" s="703">
        <f>блюда!AO111</f>
        <v>0</v>
      </c>
      <c r="AP30" s="703">
        <f>блюда!AP111</f>
        <v>0</v>
      </c>
      <c r="AQ30" s="703">
        <f>блюда!AQ111</f>
        <v>0.03</v>
      </c>
      <c r="AR30" s="703">
        <f>блюда!AR111</f>
        <v>0</v>
      </c>
      <c r="AS30" s="703">
        <f>блюда!AS111</f>
        <v>0</v>
      </c>
      <c r="AT30" s="703">
        <f>блюда!AT111</f>
        <v>0</v>
      </c>
      <c r="AU30" s="703">
        <f>блюда!AU111</f>
        <v>2E-3</v>
      </c>
      <c r="AV30" s="703">
        <f>блюда!AV111</f>
        <v>0</v>
      </c>
      <c r="AW30" s="703">
        <f>блюда!AW111</f>
        <v>0</v>
      </c>
      <c r="AX30" s="703">
        <f>блюда!AX111</f>
        <v>0</v>
      </c>
      <c r="AY30" s="703">
        <f>блюда!AY111</f>
        <v>0</v>
      </c>
      <c r="AZ30" s="703">
        <f>блюда!AZ111</f>
        <v>0</v>
      </c>
      <c r="BA30" s="703">
        <f>блюда!BA111</f>
        <v>3.15E-2</v>
      </c>
      <c r="BB30" s="703">
        <f>блюда!BB111</f>
        <v>0</v>
      </c>
      <c r="BC30" s="703">
        <f>блюда!BC111</f>
        <v>0</v>
      </c>
      <c r="BD30" s="703">
        <f>блюда!BD111</f>
        <v>0</v>
      </c>
      <c r="BE30" s="703">
        <f>блюда!BE111</f>
        <v>0</v>
      </c>
      <c r="BF30" s="703">
        <f>блюда!BF111</f>
        <v>0</v>
      </c>
      <c r="BG30" s="703">
        <f>блюда!BG111</f>
        <v>0</v>
      </c>
      <c r="BH30" s="703">
        <f>блюда!BH111</f>
        <v>0</v>
      </c>
      <c r="BI30" s="703">
        <f>блюда!BI111</f>
        <v>0</v>
      </c>
      <c r="BJ30" s="703">
        <f>блюда!BJ111</f>
        <v>0</v>
      </c>
      <c r="BK30" s="703">
        <f>блюда!BK111</f>
        <v>0</v>
      </c>
      <c r="BL30" s="703">
        <f>блюда!BL111</f>
        <v>0</v>
      </c>
      <c r="BM30" s="703">
        <f>блюда!BM111</f>
        <v>0</v>
      </c>
      <c r="BN30" s="703">
        <f>блюда!BN111</f>
        <v>0</v>
      </c>
      <c r="BO30" s="703">
        <f>блюда!BO111</f>
        <v>0</v>
      </c>
      <c r="BP30" s="703">
        <f>блюда!BP111</f>
        <v>0</v>
      </c>
      <c r="BQ30" s="703">
        <f>блюда!BQ111</f>
        <v>0</v>
      </c>
      <c r="BR30" s="703">
        <f>блюда!BR111</f>
        <v>0</v>
      </c>
      <c r="BS30" s="703">
        <f>блюда!BS111</f>
        <v>3.3800000000000002E-3</v>
      </c>
      <c r="BT30" s="703">
        <f>блюда!BT111</f>
        <v>0</v>
      </c>
      <c r="BU30" s="703">
        <f>блюда!BU111</f>
        <v>0</v>
      </c>
      <c r="BV30" s="703">
        <f>блюда!BV111</f>
        <v>0</v>
      </c>
      <c r="BW30" s="703">
        <f>блюда!BW111</f>
        <v>0</v>
      </c>
      <c r="BX30" s="703">
        <f>блюда!BX111</f>
        <v>0</v>
      </c>
      <c r="BY30" s="703">
        <f>блюда!BY111</f>
        <v>0</v>
      </c>
      <c r="BZ30" s="703">
        <f>блюда!BZ111</f>
        <v>0</v>
      </c>
      <c r="CA30" s="703">
        <f>блюда!CA111</f>
        <v>0</v>
      </c>
      <c r="CB30" s="703">
        <f>блюда!CB111</f>
        <v>0</v>
      </c>
      <c r="CC30" s="703">
        <f>блюда!CC111</f>
        <v>0</v>
      </c>
      <c r="CD30" s="703">
        <f>блюда!CD111</f>
        <v>0</v>
      </c>
      <c r="CE30" s="703">
        <f>блюда!CE111</f>
        <v>0</v>
      </c>
      <c r="CF30" s="703">
        <f>блюда!CF111</f>
        <v>6.0000000000000001E-3</v>
      </c>
      <c r="CG30" s="703">
        <f>блюда!CG111</f>
        <v>0</v>
      </c>
      <c r="CH30" s="703">
        <f>блюда!CH111</f>
        <v>0</v>
      </c>
      <c r="CI30" s="703">
        <f>блюда!CI111</f>
        <v>0</v>
      </c>
      <c r="CJ30" s="703">
        <f>блюда!CJ111</f>
        <v>0</v>
      </c>
      <c r="CK30" s="703">
        <f>блюда!CK111</f>
        <v>0</v>
      </c>
      <c r="CL30" s="703">
        <f>блюда!CL111</f>
        <v>0</v>
      </c>
      <c r="CM30" s="703">
        <f>блюда!CM111</f>
        <v>0</v>
      </c>
      <c r="CN30" s="703">
        <f>блюда!CN111</f>
        <v>0</v>
      </c>
      <c r="CO30" s="703">
        <f>блюда!CO111</f>
        <v>0</v>
      </c>
      <c r="CP30" s="703">
        <f>блюда!CP111</f>
        <v>0</v>
      </c>
      <c r="CQ30" s="703">
        <f>блюда!CQ111</f>
        <v>0</v>
      </c>
      <c r="CR30" s="703">
        <f>блюда!CR111</f>
        <v>0</v>
      </c>
      <c r="CS30" s="703">
        <f>блюда!CS111</f>
        <v>2.0000000000000002E-5</v>
      </c>
      <c r="CT30" s="703">
        <f>блюда!CT111</f>
        <v>0</v>
      </c>
      <c r="CU30" s="703">
        <f>блюда!CU111</f>
        <v>0</v>
      </c>
      <c r="CV30" s="703">
        <f>блюда!CV111</f>
        <v>0</v>
      </c>
      <c r="CW30" s="703">
        <f>блюда!CW111</f>
        <v>0</v>
      </c>
      <c r="CX30" s="703">
        <f>блюда!CX111</f>
        <v>0</v>
      </c>
      <c r="CY30" s="703">
        <f>блюда!CY111</f>
        <v>0</v>
      </c>
      <c r="CZ30" s="703">
        <f>блюда!CZ111</f>
        <v>0</v>
      </c>
      <c r="DA30" s="703">
        <f>блюда!DA111</f>
        <v>0</v>
      </c>
      <c r="DB30" s="703">
        <f>блюда!DB111</f>
        <v>0</v>
      </c>
      <c r="DC30" s="703">
        <f>блюда!DC111</f>
        <v>1.8600000000000001E-3</v>
      </c>
      <c r="DD30" s="703">
        <f>блюда!DD111</f>
        <v>0</v>
      </c>
      <c r="DE30" s="703">
        <f>блюда!DE111</f>
        <v>0</v>
      </c>
      <c r="DF30" s="703">
        <f>блюда!DF111</f>
        <v>0</v>
      </c>
      <c r="DG30" s="703">
        <f>блюда!DG111</f>
        <v>0</v>
      </c>
      <c r="DH30" s="703">
        <f>блюда!DH111</f>
        <v>0</v>
      </c>
      <c r="DI30" s="703">
        <f>блюда!DI111</f>
        <v>0</v>
      </c>
      <c r="DJ30" s="703">
        <f>блюда!DJ111</f>
        <v>0</v>
      </c>
      <c r="DK30" s="703">
        <f>блюда!DK111</f>
        <v>0</v>
      </c>
      <c r="DL30" s="703">
        <f>блюда!DL111</f>
        <v>0</v>
      </c>
      <c r="DM30" s="703">
        <f>блюда!DM111</f>
        <v>0</v>
      </c>
      <c r="DN30" s="703">
        <f>блюда!DN111</f>
        <v>0</v>
      </c>
      <c r="DO30" s="703">
        <f>блюда!DO111</f>
        <v>0</v>
      </c>
      <c r="DP30" s="703">
        <f>блюда!DP111</f>
        <v>0</v>
      </c>
      <c r="DQ30" s="703">
        <f>блюда!DQ111</f>
        <v>0</v>
      </c>
      <c r="DR30" s="703">
        <f>блюда!DR111</f>
        <v>0</v>
      </c>
      <c r="DS30" s="703">
        <f>блюда!DS111</f>
        <v>0</v>
      </c>
      <c r="DT30" s="703">
        <f>блюда!DT111</f>
        <v>0</v>
      </c>
      <c r="DU30" s="703">
        <f>блюда!DU111</f>
        <v>0</v>
      </c>
      <c r="DV30" s="703">
        <f>блюда!DV111</f>
        <v>0</v>
      </c>
      <c r="DW30" s="703">
        <f>блюда!DW111</f>
        <v>0</v>
      </c>
      <c r="DX30" s="703">
        <f>блюда!DX111</f>
        <v>0</v>
      </c>
      <c r="DY30" s="703">
        <f>блюда!DY111</f>
        <v>0</v>
      </c>
      <c r="DZ30" s="703">
        <f>блюда!DZ111</f>
        <v>0</v>
      </c>
      <c r="EA30" s="703">
        <f>блюда!EA111</f>
        <v>0</v>
      </c>
      <c r="EB30" s="703">
        <f>блюда!EB111</f>
        <v>0</v>
      </c>
      <c r="EC30" s="703">
        <f>блюда!EC111</f>
        <v>0</v>
      </c>
      <c r="ED30" s="703">
        <f>блюда!ED111</f>
        <v>0</v>
      </c>
      <c r="EE30" s="703">
        <f>блюда!EE111</f>
        <v>0</v>
      </c>
      <c r="EF30" s="703">
        <f>блюда!EF111</f>
        <v>0</v>
      </c>
      <c r="EG30" s="703">
        <f>блюда!EG111</f>
        <v>0</v>
      </c>
      <c r="EH30" s="703">
        <f>блюда!EH111</f>
        <v>0</v>
      </c>
      <c r="EI30" s="703">
        <f>блюда!EI111</f>
        <v>0</v>
      </c>
      <c r="EJ30" s="703">
        <f>блюда!EJ111</f>
        <v>0</v>
      </c>
      <c r="EK30" s="703">
        <f>блюда!EK111</f>
        <v>0</v>
      </c>
      <c r="EL30" s="703">
        <f>блюда!EL111</f>
        <v>0</v>
      </c>
      <c r="EM30" s="703">
        <f>блюда!EM111</f>
        <v>0</v>
      </c>
      <c r="EN30" s="703">
        <f>блюда!EN111</f>
        <v>0</v>
      </c>
      <c r="EO30" s="703">
        <f>блюда!EO111</f>
        <v>0</v>
      </c>
      <c r="EP30" s="703">
        <f>блюда!EP111</f>
        <v>0</v>
      </c>
      <c r="EQ30" s="703">
        <f>блюда!EQ111</f>
        <v>0</v>
      </c>
      <c r="ER30" s="703">
        <f>блюда!ER111</f>
        <v>0</v>
      </c>
      <c r="ES30" s="703">
        <f>блюда!ES111</f>
        <v>0</v>
      </c>
      <c r="ET30" s="703">
        <f>блюда!ET111</f>
        <v>0</v>
      </c>
      <c r="EU30" s="703">
        <f>блюда!EU111</f>
        <v>0</v>
      </c>
      <c r="EV30" s="703">
        <f>блюда!EV111</f>
        <v>0</v>
      </c>
      <c r="EW30" s="703">
        <f>блюда!EW111</f>
        <v>0</v>
      </c>
      <c r="EX30" s="703">
        <f>блюда!EX111</f>
        <v>0</v>
      </c>
      <c r="EY30" s="927">
        <f t="shared" si="5"/>
        <v>0.21101</v>
      </c>
      <c r="EZ30" s="117">
        <f>блюда!EZ111</f>
        <v>0</v>
      </c>
      <c r="FA30" s="117">
        <f>блюда!FA111</f>
        <v>0</v>
      </c>
      <c r="FB30" s="117">
        <f>блюда!FB111</f>
        <v>0</v>
      </c>
      <c r="FC30" s="117">
        <f>блюда!FC111</f>
        <v>0</v>
      </c>
      <c r="FD30" s="117">
        <f>блюда!FD111</f>
        <v>0</v>
      </c>
      <c r="FE30" s="117">
        <f>блюда!FE111</f>
        <v>0</v>
      </c>
      <c r="FF30" s="117">
        <f>блюда!FF111</f>
        <v>0</v>
      </c>
      <c r="FG30" s="117">
        <f>блюда!FG111</f>
        <v>0</v>
      </c>
      <c r="FH30" s="117">
        <f>блюда!FH111</f>
        <v>0</v>
      </c>
      <c r="FI30" s="117">
        <f>блюда!FI111</f>
        <v>0</v>
      </c>
      <c r="FJ30" s="117">
        <f>блюда!FJ111</f>
        <v>0</v>
      </c>
      <c r="FK30" s="117">
        <f>блюда!FK111</f>
        <v>0</v>
      </c>
      <c r="FL30" s="117">
        <f>блюда!FL111</f>
        <v>0</v>
      </c>
    </row>
    <row r="31" spans="1:168" x14ac:dyDescent="0.25">
      <c r="A31" s="1460"/>
      <c r="B31" s="576" t="str">
        <f>блюда!B281</f>
        <v>Компот из смеси сухофруктов</v>
      </c>
      <c r="C31" s="704">
        <f>блюда!C281</f>
        <v>200</v>
      </c>
      <c r="D31" s="117">
        <f>блюда!D281</f>
        <v>0.66</v>
      </c>
      <c r="E31" s="117">
        <f>блюда!E281</f>
        <v>0.09</v>
      </c>
      <c r="F31" s="117">
        <f>блюда!F281</f>
        <v>32.01</v>
      </c>
      <c r="G31" s="704">
        <f>блюда!G281</f>
        <v>133</v>
      </c>
      <c r="H31" s="704">
        <f>блюда!H281</f>
        <v>349</v>
      </c>
      <c r="I31" s="117">
        <f>блюда!I281</f>
        <v>4.18</v>
      </c>
      <c r="J31" s="703">
        <f>блюда!J281</f>
        <v>0</v>
      </c>
      <c r="K31" s="703">
        <f>блюда!K281</f>
        <v>0</v>
      </c>
      <c r="L31" s="703">
        <f>блюда!L281</f>
        <v>0</v>
      </c>
      <c r="M31" s="703">
        <f>блюда!M281</f>
        <v>0</v>
      </c>
      <c r="N31" s="703">
        <f>блюда!N281</f>
        <v>0</v>
      </c>
      <c r="O31" s="703">
        <f>блюда!O281</f>
        <v>0</v>
      </c>
      <c r="P31" s="703">
        <f>блюда!P281</f>
        <v>0</v>
      </c>
      <c r="Q31" s="703">
        <f>блюда!Q281</f>
        <v>0</v>
      </c>
      <c r="R31" s="703">
        <f>блюда!R281</f>
        <v>0</v>
      </c>
      <c r="S31" s="703">
        <f>блюда!S281</f>
        <v>0</v>
      </c>
      <c r="T31" s="703">
        <f>блюда!T281</f>
        <v>0</v>
      </c>
      <c r="U31" s="703">
        <f>блюда!U281</f>
        <v>0</v>
      </c>
      <c r="V31" s="703">
        <f>блюда!V281</f>
        <v>0</v>
      </c>
      <c r="W31" s="703">
        <f>блюда!W281</f>
        <v>0</v>
      </c>
      <c r="X31" s="703">
        <f>блюда!X281</f>
        <v>0</v>
      </c>
      <c r="Y31" s="703">
        <f>блюда!Y281</f>
        <v>0</v>
      </c>
      <c r="Z31" s="703">
        <f>блюда!Z281</f>
        <v>0</v>
      </c>
      <c r="AA31" s="703">
        <f>блюда!AA281</f>
        <v>0</v>
      </c>
      <c r="AB31" s="703">
        <f>блюда!AB281</f>
        <v>0</v>
      </c>
      <c r="AC31" s="703">
        <f>блюда!AC281</f>
        <v>0</v>
      </c>
      <c r="AD31" s="703">
        <f>блюда!AD281</f>
        <v>0</v>
      </c>
      <c r="AE31" s="703">
        <f>блюда!AE281</f>
        <v>0</v>
      </c>
      <c r="AF31" s="703">
        <f>блюда!AF281</f>
        <v>0</v>
      </c>
      <c r="AG31" s="703">
        <f>блюда!AG281</f>
        <v>0</v>
      </c>
      <c r="AH31" s="703">
        <f>блюда!AH281</f>
        <v>0</v>
      </c>
      <c r="AI31" s="703">
        <f>блюда!AI281</f>
        <v>0</v>
      </c>
      <c r="AJ31" s="703">
        <f>блюда!AJ281</f>
        <v>0</v>
      </c>
      <c r="AK31" s="703">
        <f>блюда!AK281</f>
        <v>0</v>
      </c>
      <c r="AL31" s="703">
        <f>блюда!AL281</f>
        <v>0</v>
      </c>
      <c r="AM31" s="703">
        <f>блюда!AM281</f>
        <v>0</v>
      </c>
      <c r="AN31" s="703">
        <f>блюда!AN281</f>
        <v>0</v>
      </c>
      <c r="AO31" s="703">
        <f>блюда!AO281</f>
        <v>0</v>
      </c>
      <c r="AP31" s="703">
        <f>блюда!AP281</f>
        <v>0</v>
      </c>
      <c r="AQ31" s="703">
        <f>блюда!AQ281</f>
        <v>0</v>
      </c>
      <c r="AR31" s="703">
        <f>блюда!AR281</f>
        <v>0</v>
      </c>
      <c r="AS31" s="703">
        <f>блюда!AS281</f>
        <v>0</v>
      </c>
      <c r="AT31" s="703">
        <f>блюда!AT281</f>
        <v>0</v>
      </c>
      <c r="AU31" s="703">
        <f>блюда!AU281</f>
        <v>0</v>
      </c>
      <c r="AV31" s="703">
        <f>блюда!AV281</f>
        <v>0</v>
      </c>
      <c r="AW31" s="703">
        <f>блюда!AW281</f>
        <v>0</v>
      </c>
      <c r="AX31" s="703">
        <f>блюда!AX281</f>
        <v>0</v>
      </c>
      <c r="AY31" s="703">
        <f>блюда!AY281</f>
        <v>0</v>
      </c>
      <c r="AZ31" s="703">
        <f>блюда!AZ281</f>
        <v>0</v>
      </c>
      <c r="BA31" s="703">
        <f>блюда!BA281</f>
        <v>0</v>
      </c>
      <c r="BB31" s="703">
        <f>блюда!BB281</f>
        <v>0</v>
      </c>
      <c r="BC31" s="703">
        <f>блюда!BC281</f>
        <v>0</v>
      </c>
      <c r="BD31" s="703">
        <f>блюда!BD281</f>
        <v>0</v>
      </c>
      <c r="BE31" s="703">
        <f>блюда!BE281</f>
        <v>0</v>
      </c>
      <c r="BF31" s="703">
        <f>блюда!BF281</f>
        <v>0</v>
      </c>
      <c r="BG31" s="703">
        <f>блюда!BG281</f>
        <v>0</v>
      </c>
      <c r="BH31" s="703">
        <f>блюда!BH281</f>
        <v>0</v>
      </c>
      <c r="BI31" s="703">
        <f>блюда!BI281</f>
        <v>0</v>
      </c>
      <c r="BJ31" s="703">
        <f>блюда!BJ281</f>
        <v>0</v>
      </c>
      <c r="BK31" s="703">
        <f>блюда!BK281</f>
        <v>0</v>
      </c>
      <c r="BL31" s="703">
        <f>блюда!BL281</f>
        <v>0</v>
      </c>
      <c r="BM31" s="703">
        <f>блюда!BM281</f>
        <v>0</v>
      </c>
      <c r="BN31" s="703">
        <f>блюда!BN281</f>
        <v>0</v>
      </c>
      <c r="BO31" s="703">
        <f>блюда!BO281</f>
        <v>0</v>
      </c>
      <c r="BP31" s="703">
        <f>блюда!BP281</f>
        <v>0</v>
      </c>
      <c r="BQ31" s="703">
        <f>блюда!BQ281</f>
        <v>0</v>
      </c>
      <c r="BR31" s="703">
        <f>блюда!BR281</f>
        <v>0</v>
      </c>
      <c r="BS31" s="703">
        <f>блюда!BS281</f>
        <v>0</v>
      </c>
      <c r="BT31" s="703">
        <f>блюда!BT281</f>
        <v>0</v>
      </c>
      <c r="BU31" s="703">
        <f>блюда!BU281</f>
        <v>0</v>
      </c>
      <c r="BV31" s="703">
        <f>блюда!BV281</f>
        <v>0</v>
      </c>
      <c r="BW31" s="703">
        <f>блюда!BW281</f>
        <v>0</v>
      </c>
      <c r="BX31" s="703">
        <f>блюда!BX281</f>
        <v>0</v>
      </c>
      <c r="BY31" s="703">
        <f>блюда!BY281</f>
        <v>0</v>
      </c>
      <c r="BZ31" s="703">
        <f>блюда!BZ281</f>
        <v>0</v>
      </c>
      <c r="CA31" s="703">
        <f>блюда!CA281</f>
        <v>0</v>
      </c>
      <c r="CB31" s="703">
        <f>блюда!CB281</f>
        <v>0</v>
      </c>
      <c r="CC31" s="703">
        <f>блюда!CC281</f>
        <v>0</v>
      </c>
      <c r="CD31" s="703">
        <f>блюда!CD281</f>
        <v>0</v>
      </c>
      <c r="CE31" s="703">
        <f>блюда!CE281</f>
        <v>0</v>
      </c>
      <c r="CF31" s="703">
        <f>блюда!CF281</f>
        <v>0</v>
      </c>
      <c r="CG31" s="703">
        <f>блюда!CG281</f>
        <v>0</v>
      </c>
      <c r="CH31" s="703">
        <f>блюда!CH281</f>
        <v>0</v>
      </c>
      <c r="CI31" s="703">
        <f>блюда!CI281</f>
        <v>0</v>
      </c>
      <c r="CJ31" s="703">
        <f>блюда!CJ281</f>
        <v>0</v>
      </c>
      <c r="CK31" s="703">
        <f>блюда!CK281</f>
        <v>0</v>
      </c>
      <c r="CL31" s="703">
        <f>блюда!CL281</f>
        <v>0</v>
      </c>
      <c r="CM31" s="703">
        <f>блюда!CM281</f>
        <v>0</v>
      </c>
      <c r="CN31" s="703">
        <f>блюда!CN281</f>
        <v>0</v>
      </c>
      <c r="CO31" s="703">
        <f>блюда!CO281</f>
        <v>0</v>
      </c>
      <c r="CP31" s="703">
        <f>блюда!CP281</f>
        <v>0</v>
      </c>
      <c r="CQ31" s="703">
        <f>блюда!CQ281</f>
        <v>2.0000000000000001E-4</v>
      </c>
      <c r="CR31" s="703">
        <f>блюда!CR281</f>
        <v>0</v>
      </c>
      <c r="CS31" s="703">
        <f>блюда!CS281</f>
        <v>0</v>
      </c>
      <c r="CT31" s="703">
        <f>блюда!CT281</f>
        <v>0</v>
      </c>
      <c r="CU31" s="703">
        <f>блюда!CU281</f>
        <v>0</v>
      </c>
      <c r="CV31" s="703">
        <f>блюда!CV281</f>
        <v>0</v>
      </c>
      <c r="CW31" s="703">
        <f>блюда!CW281</f>
        <v>0</v>
      </c>
      <c r="CX31" s="703">
        <f>блюда!CX281</f>
        <v>0</v>
      </c>
      <c r="CY31" s="703">
        <f>блюда!CY281</f>
        <v>0</v>
      </c>
      <c r="CZ31" s="703">
        <f>блюда!CZ281</f>
        <v>0.02</v>
      </c>
      <c r="DA31" s="703">
        <f>блюда!DA281</f>
        <v>0</v>
      </c>
      <c r="DB31" s="703">
        <f>блюда!DB281</f>
        <v>0</v>
      </c>
      <c r="DC31" s="703">
        <f>блюда!DC281</f>
        <v>0</v>
      </c>
      <c r="DD31" s="703">
        <f>блюда!DD281</f>
        <v>0</v>
      </c>
      <c r="DE31" s="703">
        <f>блюда!DE281</f>
        <v>0.02</v>
      </c>
      <c r="DF31" s="703">
        <f>блюда!DF281</f>
        <v>0</v>
      </c>
      <c r="DG31" s="703">
        <f>блюда!DG281</f>
        <v>0</v>
      </c>
      <c r="DH31" s="703">
        <f>блюда!DH281</f>
        <v>0</v>
      </c>
      <c r="DI31" s="703">
        <f>блюда!DI281</f>
        <v>0</v>
      </c>
      <c r="DJ31" s="703">
        <f>блюда!DJ281</f>
        <v>0</v>
      </c>
      <c r="DK31" s="703">
        <f>блюда!DK281</f>
        <v>0</v>
      </c>
      <c r="DL31" s="703">
        <f>блюда!DL281</f>
        <v>0</v>
      </c>
      <c r="DM31" s="703">
        <f>блюда!DM281</f>
        <v>0</v>
      </c>
      <c r="DN31" s="703">
        <f>блюда!DN281</f>
        <v>0</v>
      </c>
      <c r="DO31" s="703">
        <f>блюда!DO281</f>
        <v>0</v>
      </c>
      <c r="DP31" s="703">
        <f>блюда!DP281</f>
        <v>0</v>
      </c>
      <c r="DQ31" s="703">
        <f>блюда!DQ281</f>
        <v>0</v>
      </c>
      <c r="DR31" s="703">
        <f>блюда!DR281</f>
        <v>0</v>
      </c>
      <c r="DS31" s="703">
        <f>блюда!DS281</f>
        <v>0</v>
      </c>
      <c r="DT31" s="703">
        <f>блюда!DT281</f>
        <v>0</v>
      </c>
      <c r="DU31" s="703">
        <f>блюда!DU281</f>
        <v>0</v>
      </c>
      <c r="DV31" s="703">
        <f>блюда!DV281</f>
        <v>0</v>
      </c>
      <c r="DW31" s="703">
        <f>блюда!DW281</f>
        <v>0</v>
      </c>
      <c r="DX31" s="703">
        <f>блюда!DX281</f>
        <v>0</v>
      </c>
      <c r="DY31" s="703">
        <f>блюда!DY281</f>
        <v>0</v>
      </c>
      <c r="DZ31" s="703">
        <f>блюда!DZ281</f>
        <v>0</v>
      </c>
      <c r="EA31" s="703">
        <f>блюда!EA281</f>
        <v>0</v>
      </c>
      <c r="EB31" s="703">
        <f>блюда!EB281</f>
        <v>0</v>
      </c>
      <c r="EC31" s="703">
        <f>блюда!EC281</f>
        <v>0</v>
      </c>
      <c r="ED31" s="703">
        <f>блюда!ED281</f>
        <v>0</v>
      </c>
      <c r="EE31" s="703">
        <f>блюда!EE281</f>
        <v>0</v>
      </c>
      <c r="EF31" s="703">
        <f>блюда!EF281</f>
        <v>0</v>
      </c>
      <c r="EG31" s="703">
        <f>блюда!EG281</f>
        <v>0</v>
      </c>
      <c r="EH31" s="703">
        <f>блюда!EH281</f>
        <v>0</v>
      </c>
      <c r="EI31" s="703">
        <f>блюда!EI281</f>
        <v>0</v>
      </c>
      <c r="EJ31" s="703">
        <f>блюда!EJ281</f>
        <v>0</v>
      </c>
      <c r="EK31" s="703">
        <f>блюда!EK281</f>
        <v>0</v>
      </c>
      <c r="EL31" s="703">
        <f>блюда!EL281</f>
        <v>0</v>
      </c>
      <c r="EM31" s="703">
        <f>блюда!EM281</f>
        <v>0</v>
      </c>
      <c r="EN31" s="703">
        <f>блюда!EN281</f>
        <v>0</v>
      </c>
      <c r="EO31" s="703">
        <f>блюда!EO281</f>
        <v>0</v>
      </c>
      <c r="EP31" s="703">
        <f>блюда!EP281</f>
        <v>0</v>
      </c>
      <c r="EQ31" s="703">
        <f>блюда!EQ281</f>
        <v>0</v>
      </c>
      <c r="ER31" s="703">
        <f>блюда!ER281</f>
        <v>0</v>
      </c>
      <c r="ES31" s="703">
        <f>блюда!ES281</f>
        <v>0</v>
      </c>
      <c r="ET31" s="703">
        <f>блюда!ET281</f>
        <v>0</v>
      </c>
      <c r="EU31" s="703">
        <f>блюда!EU281</f>
        <v>0</v>
      </c>
      <c r="EV31" s="703">
        <f>блюда!EV281</f>
        <v>0</v>
      </c>
      <c r="EW31" s="703">
        <f>блюда!EW281</f>
        <v>0</v>
      </c>
      <c r="EX31" s="703">
        <f>блюда!EX281</f>
        <v>0</v>
      </c>
      <c r="EY31" s="927">
        <f t="shared" si="5"/>
        <v>4.02E-2</v>
      </c>
      <c r="EZ31" s="117">
        <f>блюда!EZ281</f>
        <v>0</v>
      </c>
      <c r="FA31" s="117">
        <f>блюда!FA281</f>
        <v>0</v>
      </c>
      <c r="FB31" s="117">
        <f>блюда!FB281</f>
        <v>0</v>
      </c>
      <c r="FC31" s="117">
        <f>блюда!FC281</f>
        <v>0</v>
      </c>
      <c r="FD31" s="117">
        <f>блюда!FD281</f>
        <v>0</v>
      </c>
      <c r="FE31" s="117">
        <f>блюда!FE281</f>
        <v>0</v>
      </c>
      <c r="FF31" s="117">
        <f>блюда!FF281</f>
        <v>0</v>
      </c>
      <c r="FG31" s="117">
        <f>блюда!FG281</f>
        <v>0</v>
      </c>
      <c r="FH31" s="117">
        <f>блюда!FH281</f>
        <v>0</v>
      </c>
      <c r="FI31" s="117">
        <f>блюда!FI281</f>
        <v>0</v>
      </c>
      <c r="FJ31" s="117">
        <f>блюда!FJ281</f>
        <v>0</v>
      </c>
      <c r="FK31" s="117">
        <f>блюда!FK281</f>
        <v>0</v>
      </c>
      <c r="FL31" s="117">
        <f>блюда!FL281</f>
        <v>0</v>
      </c>
    </row>
    <row r="32" spans="1:168" x14ac:dyDescent="0.25">
      <c r="A32" s="1460"/>
      <c r="B32" s="576" t="str">
        <f>блюда!B333</f>
        <v>Хлеб пшеничный нарезной</v>
      </c>
      <c r="C32" s="704">
        <f>блюда!C333</f>
        <v>20</v>
      </c>
      <c r="D32" s="117">
        <f>блюда!D333</f>
        <v>2.14</v>
      </c>
      <c r="E32" s="117">
        <f>блюда!E333</f>
        <v>0.9</v>
      </c>
      <c r="F32" s="117">
        <f>блюда!F333</f>
        <v>8.6999999999999993</v>
      </c>
      <c r="G32" s="704">
        <f>блюда!G333</f>
        <v>55</v>
      </c>
      <c r="H32" s="704" t="str">
        <f>блюда!H333</f>
        <v>ПРОМ</v>
      </c>
      <c r="I32" s="117">
        <f>блюда!I333</f>
        <v>1.3</v>
      </c>
      <c r="J32" s="703">
        <f>блюда!J333</f>
        <v>0</v>
      </c>
      <c r="K32" s="703">
        <f>блюда!K333</f>
        <v>0</v>
      </c>
      <c r="L32" s="703">
        <f>блюда!L333</f>
        <v>0</v>
      </c>
      <c r="M32" s="703">
        <f>блюда!M333</f>
        <v>0</v>
      </c>
      <c r="N32" s="703">
        <f>блюда!N333</f>
        <v>0</v>
      </c>
      <c r="O32" s="703">
        <f>блюда!O333</f>
        <v>0</v>
      </c>
      <c r="P32" s="703">
        <f>блюда!P333</f>
        <v>0</v>
      </c>
      <c r="Q32" s="703">
        <f>блюда!Q333</f>
        <v>0</v>
      </c>
      <c r="R32" s="703">
        <f>блюда!R333</f>
        <v>0</v>
      </c>
      <c r="S32" s="703">
        <f>блюда!S333</f>
        <v>0</v>
      </c>
      <c r="T32" s="703">
        <f>блюда!T333</f>
        <v>0</v>
      </c>
      <c r="U32" s="703">
        <f>блюда!U333</f>
        <v>0</v>
      </c>
      <c r="V32" s="703">
        <f>блюда!V333</f>
        <v>0</v>
      </c>
      <c r="W32" s="703">
        <f>блюда!W333</f>
        <v>0</v>
      </c>
      <c r="X32" s="703">
        <f>блюда!X333</f>
        <v>0</v>
      </c>
      <c r="Y32" s="703">
        <f>блюда!Y333</f>
        <v>0</v>
      </c>
      <c r="Z32" s="703">
        <f>блюда!Z333</f>
        <v>0</v>
      </c>
      <c r="AA32" s="703">
        <f>блюда!AA333</f>
        <v>0</v>
      </c>
      <c r="AB32" s="703">
        <f>блюда!AB333</f>
        <v>0</v>
      </c>
      <c r="AC32" s="703">
        <f>блюда!AC333</f>
        <v>0</v>
      </c>
      <c r="AD32" s="703">
        <f>блюда!AD333</f>
        <v>0</v>
      </c>
      <c r="AE32" s="703">
        <f>блюда!AE333</f>
        <v>0</v>
      </c>
      <c r="AF32" s="703">
        <f>блюда!AF333</f>
        <v>0</v>
      </c>
      <c r="AG32" s="703">
        <f>блюда!AG333</f>
        <v>0</v>
      </c>
      <c r="AH32" s="703">
        <f>блюда!AH333</f>
        <v>0</v>
      </c>
      <c r="AI32" s="703">
        <f>блюда!AI333</f>
        <v>0</v>
      </c>
      <c r="AJ32" s="703">
        <f>блюда!AJ333</f>
        <v>0</v>
      </c>
      <c r="AK32" s="703">
        <f>блюда!AK333</f>
        <v>0</v>
      </c>
      <c r="AL32" s="703">
        <f>блюда!AL333</f>
        <v>0</v>
      </c>
      <c r="AM32" s="703">
        <f>блюда!AM333</f>
        <v>0</v>
      </c>
      <c r="AN32" s="703">
        <f>блюда!AN333</f>
        <v>0</v>
      </c>
      <c r="AO32" s="703">
        <f>блюда!AO333</f>
        <v>0</v>
      </c>
      <c r="AP32" s="703">
        <f>блюда!AP333</f>
        <v>0</v>
      </c>
      <c r="AQ32" s="703">
        <f>блюда!AQ333</f>
        <v>0</v>
      </c>
      <c r="AR32" s="703">
        <f>блюда!AR333</f>
        <v>0</v>
      </c>
      <c r="AS32" s="703">
        <f>блюда!AS333</f>
        <v>0</v>
      </c>
      <c r="AT32" s="703">
        <f>блюда!AT333</f>
        <v>0</v>
      </c>
      <c r="AU32" s="703">
        <f>блюда!AU333</f>
        <v>0</v>
      </c>
      <c r="AV32" s="703">
        <f>блюда!AV333</f>
        <v>0</v>
      </c>
      <c r="AW32" s="703">
        <f>блюда!AW333</f>
        <v>0</v>
      </c>
      <c r="AX32" s="703">
        <f>блюда!AX333</f>
        <v>0</v>
      </c>
      <c r="AY32" s="703">
        <f>блюда!AY333</f>
        <v>0</v>
      </c>
      <c r="AZ32" s="703">
        <f>блюда!AZ333</f>
        <v>0</v>
      </c>
      <c r="BA32" s="703">
        <f>блюда!BA333</f>
        <v>0</v>
      </c>
      <c r="BB32" s="703">
        <f>блюда!BB333</f>
        <v>0</v>
      </c>
      <c r="BC32" s="703">
        <f>блюда!BC333</f>
        <v>0</v>
      </c>
      <c r="BD32" s="703">
        <f>блюда!BD333</f>
        <v>0</v>
      </c>
      <c r="BE32" s="703">
        <f>блюда!BE333</f>
        <v>0</v>
      </c>
      <c r="BF32" s="703">
        <f>блюда!BF333</f>
        <v>0</v>
      </c>
      <c r="BG32" s="703">
        <f>блюда!BG333</f>
        <v>0</v>
      </c>
      <c r="BH32" s="703">
        <f>блюда!BH333</f>
        <v>0</v>
      </c>
      <c r="BI32" s="703">
        <f>блюда!BI333</f>
        <v>0</v>
      </c>
      <c r="BJ32" s="703">
        <f>блюда!BJ333</f>
        <v>0</v>
      </c>
      <c r="BK32" s="703">
        <f>блюда!BK333</f>
        <v>0</v>
      </c>
      <c r="BL32" s="703">
        <f>блюда!BL333</f>
        <v>0</v>
      </c>
      <c r="BM32" s="703">
        <f>блюда!BM333</f>
        <v>0</v>
      </c>
      <c r="BN32" s="703">
        <f>блюда!BN333</f>
        <v>0</v>
      </c>
      <c r="BO32" s="703">
        <f>блюда!BO333</f>
        <v>0</v>
      </c>
      <c r="BP32" s="703">
        <f>блюда!BP333</f>
        <v>0</v>
      </c>
      <c r="BQ32" s="703">
        <f>блюда!BQ333</f>
        <v>0</v>
      </c>
      <c r="BR32" s="703">
        <f>блюда!BR333</f>
        <v>0</v>
      </c>
      <c r="BS32" s="703">
        <f>блюда!BS333</f>
        <v>0</v>
      </c>
      <c r="BT32" s="703">
        <f>блюда!BT333</f>
        <v>0</v>
      </c>
      <c r="BU32" s="703">
        <f>блюда!BU333</f>
        <v>0</v>
      </c>
      <c r="BV32" s="703">
        <f>блюда!BV333</f>
        <v>0</v>
      </c>
      <c r="BW32" s="703">
        <f>блюда!BW333</f>
        <v>0</v>
      </c>
      <c r="BX32" s="703">
        <f>блюда!BX333</f>
        <v>0</v>
      </c>
      <c r="BY32" s="703">
        <f>блюда!BY333</f>
        <v>0</v>
      </c>
      <c r="BZ32" s="703">
        <f>блюда!BZ333</f>
        <v>0</v>
      </c>
      <c r="CA32" s="703">
        <f>блюда!CA333</f>
        <v>0</v>
      </c>
      <c r="CB32" s="703">
        <f>блюда!CB333</f>
        <v>0</v>
      </c>
      <c r="CC32" s="703">
        <f>блюда!CC333</f>
        <v>0</v>
      </c>
      <c r="CD32" s="703">
        <f>блюда!CD333</f>
        <v>0</v>
      </c>
      <c r="CE32" s="703">
        <f>блюда!CE333</f>
        <v>0</v>
      </c>
      <c r="CF32" s="703">
        <f>блюда!CF333</f>
        <v>0</v>
      </c>
      <c r="CG32" s="703">
        <f>блюда!CG333</f>
        <v>0</v>
      </c>
      <c r="CH32" s="703">
        <f>блюда!CH333</f>
        <v>0</v>
      </c>
      <c r="CI32" s="703">
        <f>блюда!CI333</f>
        <v>0</v>
      </c>
      <c r="CJ32" s="703">
        <f>блюда!CJ333</f>
        <v>0</v>
      </c>
      <c r="CK32" s="703">
        <f>блюда!CK333</f>
        <v>0</v>
      </c>
      <c r="CL32" s="703">
        <f>блюда!CL333</f>
        <v>0</v>
      </c>
      <c r="CM32" s="703">
        <f>блюда!CM333</f>
        <v>0</v>
      </c>
      <c r="CN32" s="703">
        <f>блюда!CN333</f>
        <v>0</v>
      </c>
      <c r="CO32" s="703">
        <f>блюда!CO333</f>
        <v>0</v>
      </c>
      <c r="CP32" s="703">
        <f>блюда!CP333</f>
        <v>0</v>
      </c>
      <c r="CQ32" s="703">
        <f>блюда!CQ333</f>
        <v>0</v>
      </c>
      <c r="CR32" s="703">
        <f>блюда!CR333</f>
        <v>0</v>
      </c>
      <c r="CS32" s="703">
        <f>блюда!CS333</f>
        <v>0</v>
      </c>
      <c r="CT32" s="703">
        <f>блюда!CT333</f>
        <v>0</v>
      </c>
      <c r="CU32" s="703">
        <f>блюда!CU333</f>
        <v>0</v>
      </c>
      <c r="CV32" s="703">
        <f>блюда!CV333</f>
        <v>0</v>
      </c>
      <c r="CW32" s="703">
        <f>блюда!CW333</f>
        <v>0</v>
      </c>
      <c r="CX32" s="703">
        <f>блюда!CX333</f>
        <v>0</v>
      </c>
      <c r="CY32" s="703">
        <f>блюда!CY333</f>
        <v>0</v>
      </c>
      <c r="CZ32" s="703">
        <f>блюда!CZ333</f>
        <v>0</v>
      </c>
      <c r="DA32" s="703">
        <f>блюда!DA333</f>
        <v>0</v>
      </c>
      <c r="DB32" s="703">
        <f>блюда!DB333</f>
        <v>0</v>
      </c>
      <c r="DC32" s="703">
        <f>блюда!DC333</f>
        <v>0</v>
      </c>
      <c r="DD32" s="703">
        <f>блюда!DD333</f>
        <v>0</v>
      </c>
      <c r="DE32" s="703">
        <f>блюда!DE333</f>
        <v>0</v>
      </c>
      <c r="DF32" s="703">
        <f>блюда!DF333</f>
        <v>0</v>
      </c>
      <c r="DG32" s="703">
        <f>блюда!DG333</f>
        <v>0</v>
      </c>
      <c r="DH32" s="703">
        <f>блюда!DH333</f>
        <v>0</v>
      </c>
      <c r="DI32" s="703">
        <f>блюда!DI333</f>
        <v>0</v>
      </c>
      <c r="DJ32" s="703">
        <f>блюда!DJ333</f>
        <v>0</v>
      </c>
      <c r="DK32" s="703">
        <f>блюда!DK333</f>
        <v>0</v>
      </c>
      <c r="DL32" s="703">
        <f>блюда!DL333</f>
        <v>0</v>
      </c>
      <c r="DM32" s="703">
        <f>блюда!DM333</f>
        <v>0</v>
      </c>
      <c r="DN32" s="703">
        <f>блюда!DN333</f>
        <v>0</v>
      </c>
      <c r="DO32" s="703">
        <f>блюда!DO333</f>
        <v>0</v>
      </c>
      <c r="DP32" s="703">
        <f>блюда!DP333</f>
        <v>0</v>
      </c>
      <c r="DQ32" s="703">
        <f>блюда!DQ333</f>
        <v>0</v>
      </c>
      <c r="DR32" s="703">
        <f>блюда!DR333</f>
        <v>0</v>
      </c>
      <c r="DS32" s="703">
        <f>блюда!DS333</f>
        <v>0</v>
      </c>
      <c r="DT32" s="703">
        <f>блюда!DT333</f>
        <v>0</v>
      </c>
      <c r="DU32" s="703">
        <f>блюда!DU333</f>
        <v>0</v>
      </c>
      <c r="DV32" s="703">
        <f>блюда!DV333</f>
        <v>0</v>
      </c>
      <c r="DW32" s="703">
        <f>блюда!DW333</f>
        <v>0</v>
      </c>
      <c r="DX32" s="703">
        <f>блюда!DX333</f>
        <v>0</v>
      </c>
      <c r="DY32" s="703">
        <f>блюда!DY333</f>
        <v>0</v>
      </c>
      <c r="DZ32" s="703">
        <f>блюда!DZ333</f>
        <v>0</v>
      </c>
      <c r="EA32" s="703">
        <f>блюда!EA333</f>
        <v>0</v>
      </c>
      <c r="EB32" s="703">
        <f>блюда!EB333</f>
        <v>0</v>
      </c>
      <c r="EC32" s="703">
        <f>блюда!EC333</f>
        <v>0</v>
      </c>
      <c r="ED32" s="703">
        <f>блюда!ED333</f>
        <v>0</v>
      </c>
      <c r="EE32" s="703">
        <f>блюда!EE333</f>
        <v>0</v>
      </c>
      <c r="EF32" s="703">
        <f>блюда!EF333</f>
        <v>0</v>
      </c>
      <c r="EG32" s="703">
        <f>блюда!EG333</f>
        <v>0</v>
      </c>
      <c r="EH32" s="703">
        <f>блюда!EH333</f>
        <v>0</v>
      </c>
      <c r="EI32" s="703">
        <f>блюда!EI333</f>
        <v>0</v>
      </c>
      <c r="EJ32" s="703">
        <f>блюда!EJ333</f>
        <v>0</v>
      </c>
      <c r="EK32" s="703">
        <f>блюда!EK333</f>
        <v>0</v>
      </c>
      <c r="EL32" s="703">
        <f>блюда!EL333</f>
        <v>0</v>
      </c>
      <c r="EM32" s="703">
        <f>блюда!EM333</f>
        <v>0</v>
      </c>
      <c r="EN32" s="703">
        <f>блюда!EN333</f>
        <v>0</v>
      </c>
      <c r="EO32" s="703">
        <f>блюда!EO333</f>
        <v>0</v>
      </c>
      <c r="EP32" s="703">
        <f>блюда!EP333</f>
        <v>0</v>
      </c>
      <c r="EQ32" s="703">
        <f>блюда!EQ333</f>
        <v>0</v>
      </c>
      <c r="ER32" s="703">
        <f>блюда!ER333</f>
        <v>0</v>
      </c>
      <c r="ES32" s="703">
        <f>блюда!ES333</f>
        <v>0</v>
      </c>
      <c r="ET32" s="703">
        <f>блюда!ET333</f>
        <v>0</v>
      </c>
      <c r="EU32" s="703">
        <f>блюда!EU333</f>
        <v>0</v>
      </c>
      <c r="EV32" s="703">
        <f>блюда!EV333</f>
        <v>0.02</v>
      </c>
      <c r="EW32" s="703">
        <f>блюда!EW333</f>
        <v>0</v>
      </c>
      <c r="EX32" s="703">
        <f>блюда!EX333</f>
        <v>0</v>
      </c>
      <c r="EY32" s="927">
        <f t="shared" si="5"/>
        <v>0.02</v>
      </c>
      <c r="EZ32" s="117">
        <f>блюда!EZ333</f>
        <v>0</v>
      </c>
      <c r="FA32" s="117">
        <f>блюда!FA333</f>
        <v>0</v>
      </c>
      <c r="FB32" s="117">
        <f>блюда!FB333</f>
        <v>0</v>
      </c>
      <c r="FC32" s="117">
        <f>блюда!FC333</f>
        <v>0</v>
      </c>
      <c r="FD32" s="117">
        <f>блюда!FD333</f>
        <v>0</v>
      </c>
      <c r="FE32" s="117">
        <f>блюда!FE333</f>
        <v>0</v>
      </c>
      <c r="FF32" s="117">
        <f>блюда!FF333</f>
        <v>0</v>
      </c>
      <c r="FG32" s="117">
        <f>блюда!FG333</f>
        <v>0</v>
      </c>
      <c r="FH32" s="117">
        <f>блюда!FH333</f>
        <v>0</v>
      </c>
      <c r="FI32" s="117">
        <f>блюда!FI333</f>
        <v>0</v>
      </c>
      <c r="FJ32" s="117">
        <f>блюда!FJ333</f>
        <v>0</v>
      </c>
      <c r="FK32" s="117">
        <f>блюда!FK333</f>
        <v>0</v>
      </c>
      <c r="FL32" s="117">
        <f>блюда!FL333</f>
        <v>0</v>
      </c>
    </row>
    <row r="33" spans="1:168" x14ac:dyDescent="0.25">
      <c r="A33" s="1460"/>
      <c r="B33" s="576" t="str">
        <f>блюда!B335</f>
        <v>Хлеб пшенично-ржаной нарезной</v>
      </c>
      <c r="C33" s="703">
        <f>блюда!C335</f>
        <v>30</v>
      </c>
      <c r="D33" s="117">
        <f>блюда!D335</f>
        <v>2.25</v>
      </c>
      <c r="E33" s="117">
        <f>блюда!E335</f>
        <v>0.6</v>
      </c>
      <c r="F33" s="117">
        <f>блюда!F335</f>
        <v>15.6</v>
      </c>
      <c r="G33" s="704">
        <f>блюда!G335</f>
        <v>75</v>
      </c>
      <c r="H33" s="704" t="str">
        <f>блюда!H335</f>
        <v>ПРОМ</v>
      </c>
      <c r="I33" s="117">
        <f>блюда!I335</f>
        <v>1.95</v>
      </c>
      <c r="J33" s="703">
        <f>блюда!J335</f>
        <v>0</v>
      </c>
      <c r="K33" s="703">
        <f>блюда!K335</f>
        <v>0</v>
      </c>
      <c r="L33" s="703">
        <f>блюда!L335</f>
        <v>0</v>
      </c>
      <c r="M33" s="703">
        <f>блюда!M335</f>
        <v>0</v>
      </c>
      <c r="N33" s="703">
        <f>блюда!N335</f>
        <v>0</v>
      </c>
      <c r="O33" s="703">
        <f>блюда!O335</f>
        <v>0</v>
      </c>
      <c r="P33" s="703">
        <f>блюда!P335</f>
        <v>0</v>
      </c>
      <c r="Q33" s="703">
        <f>блюда!Q335</f>
        <v>0</v>
      </c>
      <c r="R33" s="703">
        <f>блюда!R335</f>
        <v>0</v>
      </c>
      <c r="S33" s="703">
        <f>блюда!S335</f>
        <v>0</v>
      </c>
      <c r="T33" s="703">
        <f>блюда!T335</f>
        <v>0</v>
      </c>
      <c r="U33" s="703">
        <f>блюда!U335</f>
        <v>0</v>
      </c>
      <c r="V33" s="703">
        <f>блюда!V335</f>
        <v>0</v>
      </c>
      <c r="W33" s="703">
        <f>блюда!W335</f>
        <v>0</v>
      </c>
      <c r="X33" s="703">
        <f>блюда!X335</f>
        <v>0</v>
      </c>
      <c r="Y33" s="703">
        <f>блюда!Y335</f>
        <v>0</v>
      </c>
      <c r="Z33" s="703">
        <f>блюда!Z335</f>
        <v>0</v>
      </c>
      <c r="AA33" s="703">
        <f>блюда!AA335</f>
        <v>0</v>
      </c>
      <c r="AB33" s="703">
        <f>блюда!AB335</f>
        <v>0</v>
      </c>
      <c r="AC33" s="703">
        <f>блюда!AC335</f>
        <v>0</v>
      </c>
      <c r="AD33" s="703">
        <f>блюда!AD335</f>
        <v>0</v>
      </c>
      <c r="AE33" s="703">
        <f>блюда!AE335</f>
        <v>0</v>
      </c>
      <c r="AF33" s="703">
        <f>блюда!AF335</f>
        <v>0</v>
      </c>
      <c r="AG33" s="703">
        <f>блюда!AG335</f>
        <v>0</v>
      </c>
      <c r="AH33" s="703">
        <f>блюда!AH335</f>
        <v>0</v>
      </c>
      <c r="AI33" s="703">
        <f>блюда!AI335</f>
        <v>0</v>
      </c>
      <c r="AJ33" s="703">
        <f>блюда!AJ335</f>
        <v>0</v>
      </c>
      <c r="AK33" s="703">
        <f>блюда!AK335</f>
        <v>0</v>
      </c>
      <c r="AL33" s="703">
        <f>блюда!AL335</f>
        <v>0</v>
      </c>
      <c r="AM33" s="703">
        <f>блюда!AM335</f>
        <v>0</v>
      </c>
      <c r="AN33" s="703">
        <f>блюда!AN335</f>
        <v>0</v>
      </c>
      <c r="AO33" s="703">
        <f>блюда!AO335</f>
        <v>0</v>
      </c>
      <c r="AP33" s="703">
        <f>блюда!AP335</f>
        <v>0</v>
      </c>
      <c r="AQ33" s="703">
        <f>блюда!AQ335</f>
        <v>0</v>
      </c>
      <c r="AR33" s="703">
        <f>блюда!AR335</f>
        <v>0</v>
      </c>
      <c r="AS33" s="703">
        <f>блюда!AS335</f>
        <v>0</v>
      </c>
      <c r="AT33" s="703">
        <f>блюда!AT335</f>
        <v>0</v>
      </c>
      <c r="AU33" s="703">
        <f>блюда!AU335</f>
        <v>0</v>
      </c>
      <c r="AV33" s="703">
        <f>блюда!AV335</f>
        <v>0</v>
      </c>
      <c r="AW33" s="703">
        <f>блюда!AW335</f>
        <v>0</v>
      </c>
      <c r="AX33" s="703">
        <f>блюда!AX335</f>
        <v>0</v>
      </c>
      <c r="AY33" s="703">
        <f>блюда!AY335</f>
        <v>0</v>
      </c>
      <c r="AZ33" s="703">
        <f>блюда!AZ335</f>
        <v>0</v>
      </c>
      <c r="BA33" s="703">
        <f>блюда!BA335</f>
        <v>0</v>
      </c>
      <c r="BB33" s="703">
        <f>блюда!BB335</f>
        <v>0</v>
      </c>
      <c r="BC33" s="703">
        <f>блюда!BC335</f>
        <v>0</v>
      </c>
      <c r="BD33" s="703">
        <f>блюда!BD335</f>
        <v>0</v>
      </c>
      <c r="BE33" s="703">
        <f>блюда!BE335</f>
        <v>0</v>
      </c>
      <c r="BF33" s="703">
        <f>блюда!BF335</f>
        <v>0</v>
      </c>
      <c r="BG33" s="703">
        <f>блюда!BG335</f>
        <v>0</v>
      </c>
      <c r="BH33" s="703">
        <f>блюда!BH335</f>
        <v>0</v>
      </c>
      <c r="BI33" s="703">
        <f>блюда!BI335</f>
        <v>0</v>
      </c>
      <c r="BJ33" s="703">
        <f>блюда!BJ335</f>
        <v>0</v>
      </c>
      <c r="BK33" s="703">
        <f>блюда!BK335</f>
        <v>0</v>
      </c>
      <c r="BL33" s="703">
        <f>блюда!BL335</f>
        <v>0</v>
      </c>
      <c r="BM33" s="703">
        <f>блюда!BM335</f>
        <v>0</v>
      </c>
      <c r="BN33" s="703">
        <f>блюда!BN335</f>
        <v>0</v>
      </c>
      <c r="BO33" s="703">
        <f>блюда!BO335</f>
        <v>0</v>
      </c>
      <c r="BP33" s="703">
        <f>блюда!BP335</f>
        <v>0</v>
      </c>
      <c r="BQ33" s="703">
        <f>блюда!BQ335</f>
        <v>0</v>
      </c>
      <c r="BR33" s="703">
        <f>блюда!BR335</f>
        <v>0</v>
      </c>
      <c r="BS33" s="703">
        <f>блюда!BS335</f>
        <v>0</v>
      </c>
      <c r="BT33" s="703">
        <f>блюда!BT335</f>
        <v>0</v>
      </c>
      <c r="BU33" s="703">
        <f>блюда!BU335</f>
        <v>0</v>
      </c>
      <c r="BV33" s="703">
        <f>блюда!BV335</f>
        <v>0</v>
      </c>
      <c r="BW33" s="703">
        <f>блюда!BW335</f>
        <v>0</v>
      </c>
      <c r="BX33" s="703">
        <f>блюда!BX335</f>
        <v>0</v>
      </c>
      <c r="BY33" s="703">
        <f>блюда!BY335</f>
        <v>0</v>
      </c>
      <c r="BZ33" s="703">
        <f>блюда!BZ335</f>
        <v>0</v>
      </c>
      <c r="CA33" s="703">
        <f>блюда!CA335</f>
        <v>0</v>
      </c>
      <c r="CB33" s="703">
        <f>блюда!CB335</f>
        <v>0</v>
      </c>
      <c r="CC33" s="703">
        <f>блюда!CC335</f>
        <v>0</v>
      </c>
      <c r="CD33" s="703">
        <f>блюда!CD335</f>
        <v>0</v>
      </c>
      <c r="CE33" s="703">
        <f>блюда!CE335</f>
        <v>0</v>
      </c>
      <c r="CF33" s="703">
        <f>блюда!CF335</f>
        <v>0</v>
      </c>
      <c r="CG33" s="703">
        <f>блюда!CG335</f>
        <v>0</v>
      </c>
      <c r="CH33" s="703">
        <f>блюда!CH335</f>
        <v>0</v>
      </c>
      <c r="CI33" s="703">
        <f>блюда!CI335</f>
        <v>0</v>
      </c>
      <c r="CJ33" s="703">
        <f>блюда!CJ335</f>
        <v>0</v>
      </c>
      <c r="CK33" s="703">
        <f>блюда!CK335</f>
        <v>0</v>
      </c>
      <c r="CL33" s="703">
        <f>блюда!CL335</f>
        <v>0</v>
      </c>
      <c r="CM33" s="703">
        <f>блюда!CM335</f>
        <v>0</v>
      </c>
      <c r="CN33" s="703">
        <f>блюда!CN335</f>
        <v>0</v>
      </c>
      <c r="CO33" s="703">
        <f>блюда!CO335</f>
        <v>0</v>
      </c>
      <c r="CP33" s="703">
        <f>блюда!CP335</f>
        <v>0</v>
      </c>
      <c r="CQ33" s="703">
        <f>блюда!CQ335</f>
        <v>0</v>
      </c>
      <c r="CR33" s="703">
        <f>блюда!CR335</f>
        <v>0</v>
      </c>
      <c r="CS33" s="703">
        <f>блюда!CS335</f>
        <v>0</v>
      </c>
      <c r="CT33" s="703">
        <f>блюда!CT335</f>
        <v>0</v>
      </c>
      <c r="CU33" s="703">
        <f>блюда!CU335</f>
        <v>0</v>
      </c>
      <c r="CV33" s="703">
        <f>блюда!CV335</f>
        <v>0</v>
      </c>
      <c r="CW33" s="703">
        <f>блюда!CW335</f>
        <v>0</v>
      </c>
      <c r="CX33" s="703">
        <f>блюда!CX335</f>
        <v>0</v>
      </c>
      <c r="CY33" s="703">
        <f>блюда!CY335</f>
        <v>0</v>
      </c>
      <c r="CZ33" s="703">
        <f>блюда!CZ335</f>
        <v>0</v>
      </c>
      <c r="DA33" s="703">
        <f>блюда!DA335</f>
        <v>0</v>
      </c>
      <c r="DB33" s="703">
        <f>блюда!DB335</f>
        <v>0</v>
      </c>
      <c r="DC33" s="703">
        <f>блюда!DC335</f>
        <v>0</v>
      </c>
      <c r="DD33" s="703">
        <f>блюда!DD335</f>
        <v>0</v>
      </c>
      <c r="DE33" s="703">
        <f>блюда!DE335</f>
        <v>0</v>
      </c>
      <c r="DF33" s="703">
        <f>блюда!DF335</f>
        <v>0</v>
      </c>
      <c r="DG33" s="703">
        <f>блюда!DG335</f>
        <v>0</v>
      </c>
      <c r="DH33" s="703">
        <f>блюда!DH335</f>
        <v>0</v>
      </c>
      <c r="DI33" s="703">
        <f>блюда!DI335</f>
        <v>0</v>
      </c>
      <c r="DJ33" s="703">
        <f>блюда!DJ335</f>
        <v>0</v>
      </c>
      <c r="DK33" s="703">
        <f>блюда!DK335</f>
        <v>0</v>
      </c>
      <c r="DL33" s="703">
        <f>блюда!DL335</f>
        <v>0</v>
      </c>
      <c r="DM33" s="703">
        <f>блюда!DM335</f>
        <v>0</v>
      </c>
      <c r="DN33" s="703">
        <f>блюда!DN335</f>
        <v>0</v>
      </c>
      <c r="DO33" s="703">
        <f>блюда!DO335</f>
        <v>0</v>
      </c>
      <c r="DP33" s="703">
        <f>блюда!DP335</f>
        <v>0</v>
      </c>
      <c r="DQ33" s="703">
        <f>блюда!DQ335</f>
        <v>0</v>
      </c>
      <c r="DR33" s="703">
        <f>блюда!DR335</f>
        <v>0</v>
      </c>
      <c r="DS33" s="703">
        <f>блюда!DS335</f>
        <v>0</v>
      </c>
      <c r="DT33" s="703">
        <f>блюда!DT335</f>
        <v>0</v>
      </c>
      <c r="DU33" s="703">
        <f>блюда!DU335</f>
        <v>0</v>
      </c>
      <c r="DV33" s="703">
        <f>блюда!DV335</f>
        <v>0</v>
      </c>
      <c r="DW33" s="703">
        <f>блюда!DW335</f>
        <v>0</v>
      </c>
      <c r="DX33" s="703">
        <f>блюда!DX335</f>
        <v>0</v>
      </c>
      <c r="DY33" s="703">
        <f>блюда!DY335</f>
        <v>0</v>
      </c>
      <c r="DZ33" s="703">
        <f>блюда!DZ335</f>
        <v>0</v>
      </c>
      <c r="EA33" s="703">
        <f>блюда!EA335</f>
        <v>0</v>
      </c>
      <c r="EB33" s="703">
        <f>блюда!EB335</f>
        <v>0</v>
      </c>
      <c r="EC33" s="703">
        <f>блюда!EC335</f>
        <v>0</v>
      </c>
      <c r="ED33" s="703">
        <f>блюда!ED335</f>
        <v>0</v>
      </c>
      <c r="EE33" s="703">
        <f>блюда!EE335</f>
        <v>0</v>
      </c>
      <c r="EF33" s="703">
        <f>блюда!EF335</f>
        <v>0</v>
      </c>
      <c r="EG33" s="703">
        <f>блюда!EG335</f>
        <v>0</v>
      </c>
      <c r="EH33" s="703">
        <f>блюда!EH335</f>
        <v>0</v>
      </c>
      <c r="EI33" s="703">
        <f>блюда!EI335</f>
        <v>0</v>
      </c>
      <c r="EJ33" s="703">
        <f>блюда!EJ335</f>
        <v>0</v>
      </c>
      <c r="EK33" s="703">
        <f>блюда!EK335</f>
        <v>0</v>
      </c>
      <c r="EL33" s="703">
        <f>блюда!EL335</f>
        <v>0</v>
      </c>
      <c r="EM33" s="703">
        <f>блюда!EM335</f>
        <v>0</v>
      </c>
      <c r="EN33" s="703">
        <f>блюда!EN335</f>
        <v>0</v>
      </c>
      <c r="EO33" s="703">
        <f>блюда!EO335</f>
        <v>0</v>
      </c>
      <c r="EP33" s="703">
        <f>блюда!EP335</f>
        <v>0</v>
      </c>
      <c r="EQ33" s="703">
        <f>блюда!EQ335</f>
        <v>0</v>
      </c>
      <c r="ER33" s="703">
        <f>блюда!ER335</f>
        <v>0</v>
      </c>
      <c r="ES33" s="703">
        <f>блюда!ES335</f>
        <v>0</v>
      </c>
      <c r="ET33" s="703">
        <f>блюда!ET335</f>
        <v>0</v>
      </c>
      <c r="EU33" s="703">
        <f>блюда!EU335</f>
        <v>0</v>
      </c>
      <c r="EV33" s="703">
        <f>блюда!EV335</f>
        <v>0</v>
      </c>
      <c r="EW33" s="703">
        <f>блюда!EW335</f>
        <v>0.03</v>
      </c>
      <c r="EX33" s="703">
        <f>блюда!EX335</f>
        <v>0</v>
      </c>
      <c r="EY33" s="927">
        <f t="shared" si="5"/>
        <v>0.03</v>
      </c>
      <c r="EZ33" s="117">
        <f>блюда!EZ335</f>
        <v>0</v>
      </c>
      <c r="FA33" s="117">
        <f>блюда!FA335</f>
        <v>0</v>
      </c>
      <c r="FB33" s="117">
        <f>блюда!FB335</f>
        <v>0</v>
      </c>
      <c r="FC33" s="117">
        <f>блюда!FC335</f>
        <v>0</v>
      </c>
      <c r="FD33" s="117">
        <f>блюда!FD335</f>
        <v>0</v>
      </c>
      <c r="FE33" s="117">
        <f>блюда!FE335</f>
        <v>0</v>
      </c>
      <c r="FF33" s="117">
        <f>блюда!FF335</f>
        <v>0</v>
      </c>
      <c r="FG33" s="117">
        <f>блюда!FG335</f>
        <v>0</v>
      </c>
      <c r="FH33" s="117">
        <f>блюда!FH335</f>
        <v>0</v>
      </c>
      <c r="FI33" s="117">
        <f>блюда!FI335</f>
        <v>0</v>
      </c>
      <c r="FJ33" s="117">
        <f>блюда!FJ335</f>
        <v>0</v>
      </c>
      <c r="FK33" s="117">
        <f>блюда!FK335</f>
        <v>0</v>
      </c>
      <c r="FL33" s="117">
        <f>блюда!FL335</f>
        <v>0</v>
      </c>
    </row>
    <row r="34" spans="1:168" ht="13.95" customHeight="1" x14ac:dyDescent="0.25">
      <c r="A34" s="1460"/>
      <c r="B34" s="576"/>
      <c r="C34" s="703"/>
      <c r="D34" s="117"/>
      <c r="E34" s="117"/>
      <c r="F34" s="117"/>
      <c r="G34" s="704"/>
      <c r="H34" s="704"/>
      <c r="I34" s="117"/>
      <c r="J34" s="703"/>
      <c r="K34" s="703"/>
      <c r="L34" s="703"/>
      <c r="M34" s="703"/>
      <c r="N34" s="703"/>
      <c r="O34" s="703"/>
      <c r="P34" s="703"/>
      <c r="Q34" s="703"/>
      <c r="R34" s="703"/>
      <c r="S34" s="703"/>
      <c r="T34" s="703"/>
      <c r="U34" s="703"/>
      <c r="V34" s="703"/>
      <c r="W34" s="703"/>
      <c r="X34" s="703"/>
      <c r="Y34" s="703"/>
      <c r="Z34" s="703"/>
      <c r="AA34" s="703"/>
      <c r="AB34" s="703"/>
      <c r="AC34" s="703"/>
      <c r="AD34" s="703"/>
      <c r="AE34" s="703"/>
      <c r="AF34" s="703"/>
      <c r="AG34" s="703"/>
      <c r="AH34" s="703"/>
      <c r="AI34" s="703"/>
      <c r="AJ34" s="703"/>
      <c r="AK34" s="703"/>
      <c r="AL34" s="703"/>
      <c r="AM34" s="703"/>
      <c r="AN34" s="703"/>
      <c r="AO34" s="703"/>
      <c r="AP34" s="703"/>
      <c r="AQ34" s="703"/>
      <c r="AR34" s="703"/>
      <c r="AS34" s="703"/>
      <c r="AT34" s="703"/>
      <c r="AU34" s="703"/>
      <c r="AV34" s="703"/>
      <c r="AW34" s="703"/>
      <c r="AX34" s="703"/>
      <c r="AY34" s="703"/>
      <c r="AZ34" s="703"/>
      <c r="BA34" s="703"/>
      <c r="BB34" s="703"/>
      <c r="BC34" s="703"/>
      <c r="BD34" s="703"/>
      <c r="BE34" s="703"/>
      <c r="BF34" s="703"/>
      <c r="BG34" s="703"/>
      <c r="BH34" s="703"/>
      <c r="BI34" s="703"/>
      <c r="BJ34" s="703"/>
      <c r="BK34" s="703"/>
      <c r="BL34" s="703"/>
      <c r="BM34" s="703"/>
      <c r="BN34" s="703"/>
      <c r="BO34" s="703"/>
      <c r="BP34" s="703"/>
      <c r="BQ34" s="703"/>
      <c r="BR34" s="703"/>
      <c r="BS34" s="703"/>
      <c r="BT34" s="703"/>
      <c r="BU34" s="703"/>
      <c r="BV34" s="703"/>
      <c r="BW34" s="703"/>
      <c r="BX34" s="703"/>
      <c r="BY34" s="703"/>
      <c r="BZ34" s="703"/>
      <c r="CA34" s="703"/>
      <c r="CB34" s="703"/>
      <c r="CC34" s="703"/>
      <c r="CD34" s="703"/>
      <c r="CE34" s="703"/>
      <c r="CF34" s="703"/>
      <c r="CG34" s="703"/>
      <c r="CH34" s="703"/>
      <c r="CI34" s="703"/>
      <c r="CJ34" s="703"/>
      <c r="CK34" s="703"/>
      <c r="CL34" s="703"/>
      <c r="CM34" s="703"/>
      <c r="CN34" s="703"/>
      <c r="CO34" s="703"/>
      <c r="CP34" s="703"/>
      <c r="CQ34" s="703"/>
      <c r="CR34" s="703"/>
      <c r="CS34" s="703"/>
      <c r="CT34" s="703"/>
      <c r="CU34" s="703"/>
      <c r="CV34" s="703"/>
      <c r="CW34" s="703"/>
      <c r="CX34" s="703"/>
      <c r="CY34" s="703"/>
      <c r="CZ34" s="703"/>
      <c r="DA34" s="703"/>
      <c r="DB34" s="703"/>
      <c r="DC34" s="703"/>
      <c r="DD34" s="703"/>
      <c r="DE34" s="703"/>
      <c r="DF34" s="703"/>
      <c r="DG34" s="703"/>
      <c r="DH34" s="703"/>
      <c r="DI34" s="703"/>
      <c r="DJ34" s="703"/>
      <c r="DK34" s="703"/>
      <c r="DL34" s="703"/>
      <c r="DM34" s="703"/>
      <c r="DN34" s="703"/>
      <c r="DO34" s="703"/>
      <c r="DP34" s="703"/>
      <c r="DQ34" s="703"/>
      <c r="DR34" s="703"/>
      <c r="DS34" s="703"/>
      <c r="DT34" s="703"/>
      <c r="DU34" s="703"/>
      <c r="DV34" s="703"/>
      <c r="DW34" s="703"/>
      <c r="DX34" s="703"/>
      <c r="DY34" s="703"/>
      <c r="DZ34" s="703"/>
      <c r="EA34" s="703"/>
      <c r="EB34" s="703"/>
      <c r="EC34" s="703"/>
      <c r="ED34" s="703"/>
      <c r="EE34" s="703"/>
      <c r="EF34" s="703"/>
      <c r="EG34" s="703"/>
      <c r="EH34" s="703"/>
      <c r="EI34" s="703"/>
      <c r="EJ34" s="703"/>
      <c r="EK34" s="703"/>
      <c r="EL34" s="703"/>
      <c r="EM34" s="703"/>
      <c r="EN34" s="703"/>
      <c r="EO34" s="703"/>
      <c r="EP34" s="703"/>
      <c r="EQ34" s="703"/>
      <c r="ER34" s="703"/>
      <c r="ES34" s="703"/>
      <c r="ET34" s="703"/>
      <c r="EU34" s="703"/>
      <c r="EV34" s="703"/>
      <c r="EW34" s="703"/>
      <c r="EX34" s="703"/>
      <c r="EY34" s="927">
        <f t="shared" si="5"/>
        <v>0</v>
      </c>
      <c r="EZ34" s="117"/>
      <c r="FA34" s="117"/>
      <c r="FB34" s="117"/>
      <c r="FC34" s="117"/>
      <c r="FD34" s="117"/>
      <c r="FE34" s="117"/>
      <c r="FF34" s="117"/>
      <c r="FG34" s="117"/>
      <c r="FH34" s="117"/>
      <c r="FI34" s="117"/>
      <c r="FJ34" s="117"/>
      <c r="FK34" s="117"/>
      <c r="FL34" s="117"/>
    </row>
    <row r="35" spans="1:168" ht="13.95" customHeight="1" x14ac:dyDescent="0.25">
      <c r="A35" s="1461"/>
      <c r="B35" s="576"/>
      <c r="C35" s="703"/>
      <c r="D35" s="117"/>
      <c r="E35" s="117"/>
      <c r="F35" s="117"/>
      <c r="G35" s="704"/>
      <c r="H35" s="704"/>
      <c r="I35" s="703"/>
      <c r="J35" s="703"/>
      <c r="K35" s="703"/>
      <c r="L35" s="703"/>
      <c r="M35" s="703"/>
      <c r="N35" s="703"/>
      <c r="O35" s="703"/>
      <c r="P35" s="703"/>
      <c r="Q35" s="703"/>
      <c r="R35" s="703"/>
      <c r="S35" s="703"/>
      <c r="T35" s="703"/>
      <c r="U35" s="703"/>
      <c r="V35" s="703"/>
      <c r="W35" s="703"/>
      <c r="X35" s="703"/>
      <c r="Y35" s="703"/>
      <c r="Z35" s="703"/>
      <c r="AA35" s="703"/>
      <c r="AB35" s="703"/>
      <c r="AC35" s="703"/>
      <c r="AD35" s="703"/>
      <c r="AE35" s="703"/>
      <c r="AF35" s="703"/>
      <c r="AG35" s="703"/>
      <c r="AH35" s="703"/>
      <c r="AI35" s="703"/>
      <c r="AJ35" s="703"/>
      <c r="AK35" s="703"/>
      <c r="AL35" s="703"/>
      <c r="AM35" s="703"/>
      <c r="AN35" s="703"/>
      <c r="AO35" s="703"/>
      <c r="AP35" s="703"/>
      <c r="AQ35" s="703"/>
      <c r="AR35" s="703"/>
      <c r="AS35" s="703"/>
      <c r="AT35" s="703"/>
      <c r="AU35" s="703"/>
      <c r="AV35" s="703"/>
      <c r="AW35" s="703"/>
      <c r="AX35" s="703"/>
      <c r="AY35" s="703"/>
      <c r="AZ35" s="703"/>
      <c r="BA35" s="703"/>
      <c r="BB35" s="703"/>
      <c r="BC35" s="703"/>
      <c r="BD35" s="703"/>
      <c r="BE35" s="703"/>
      <c r="BF35" s="703"/>
      <c r="BG35" s="703"/>
      <c r="BH35" s="703"/>
      <c r="BI35" s="703"/>
      <c r="BJ35" s="703"/>
      <c r="BK35" s="703"/>
      <c r="BL35" s="703"/>
      <c r="BM35" s="703"/>
      <c r="BN35" s="703"/>
      <c r="BO35" s="703"/>
      <c r="BP35" s="703"/>
      <c r="BQ35" s="703"/>
      <c r="BR35" s="703"/>
      <c r="BS35" s="703"/>
      <c r="BT35" s="703"/>
      <c r="BU35" s="703"/>
      <c r="BV35" s="703"/>
      <c r="BW35" s="703"/>
      <c r="BX35" s="703"/>
      <c r="BY35" s="703"/>
      <c r="BZ35" s="703"/>
      <c r="CA35" s="703"/>
      <c r="CB35" s="703"/>
      <c r="CC35" s="703"/>
      <c r="CD35" s="703"/>
      <c r="CE35" s="703"/>
      <c r="CF35" s="703"/>
      <c r="CG35" s="703"/>
      <c r="CH35" s="703"/>
      <c r="CI35" s="703"/>
      <c r="CJ35" s="703"/>
      <c r="CK35" s="703"/>
      <c r="CL35" s="703"/>
      <c r="CM35" s="703"/>
      <c r="CN35" s="703"/>
      <c r="CO35" s="703"/>
      <c r="CP35" s="703"/>
      <c r="CQ35" s="703"/>
      <c r="CR35" s="703"/>
      <c r="CS35" s="703"/>
      <c r="CT35" s="703"/>
      <c r="CU35" s="703"/>
      <c r="CV35" s="703"/>
      <c r="CW35" s="703"/>
      <c r="CX35" s="703"/>
      <c r="CY35" s="703"/>
      <c r="CZ35" s="703"/>
      <c r="DA35" s="703"/>
      <c r="DB35" s="703"/>
      <c r="DC35" s="703"/>
      <c r="DD35" s="703"/>
      <c r="DE35" s="703"/>
      <c r="DF35" s="703"/>
      <c r="DG35" s="703"/>
      <c r="DH35" s="703"/>
      <c r="DI35" s="703"/>
      <c r="DJ35" s="703"/>
      <c r="DK35" s="703"/>
      <c r="DL35" s="703"/>
      <c r="DM35" s="703"/>
      <c r="DN35" s="703"/>
      <c r="DO35" s="703"/>
      <c r="DP35" s="703"/>
      <c r="DQ35" s="703"/>
      <c r="DR35" s="703"/>
      <c r="DS35" s="703"/>
      <c r="DT35" s="703"/>
      <c r="DU35" s="703"/>
      <c r="DV35" s="703"/>
      <c r="DW35" s="703"/>
      <c r="DX35" s="703"/>
      <c r="DY35" s="703"/>
      <c r="DZ35" s="703"/>
      <c r="EA35" s="703"/>
      <c r="EB35" s="703"/>
      <c r="EC35" s="703"/>
      <c r="ED35" s="703"/>
      <c r="EE35" s="703"/>
      <c r="EF35" s="703"/>
      <c r="EG35" s="703"/>
      <c r="EH35" s="703"/>
      <c r="EI35" s="703"/>
      <c r="EJ35" s="703"/>
      <c r="EK35" s="703"/>
      <c r="EL35" s="703"/>
      <c r="EM35" s="703"/>
      <c r="EN35" s="703"/>
      <c r="EO35" s="703"/>
      <c r="EP35" s="703"/>
      <c r="EQ35" s="703"/>
      <c r="ER35" s="703"/>
      <c r="ES35" s="703"/>
      <c r="ET35" s="703"/>
      <c r="EU35" s="703"/>
      <c r="EV35" s="703"/>
      <c r="EW35" s="703"/>
      <c r="EX35" s="703"/>
      <c r="EY35" s="927">
        <f t="shared" si="5"/>
        <v>0</v>
      </c>
      <c r="EZ35" s="117"/>
      <c r="FA35" s="117"/>
      <c r="FB35" s="117"/>
      <c r="FC35" s="117"/>
      <c r="FD35" s="117"/>
      <c r="FE35" s="117"/>
      <c r="FF35" s="117"/>
      <c r="FG35" s="117"/>
      <c r="FH35" s="117"/>
      <c r="FI35" s="117"/>
      <c r="FJ35" s="117"/>
      <c r="FK35" s="117"/>
      <c r="FL35" s="117"/>
    </row>
    <row r="36" spans="1:168" ht="13.95" customHeight="1" x14ac:dyDescent="0.25">
      <c r="A36" s="120"/>
      <c r="B36" s="118" t="s">
        <v>113</v>
      </c>
      <c r="C36" s="840">
        <f>SUM(C27:C35)</f>
        <v>800</v>
      </c>
      <c r="D36" s="534">
        <f>SUM(D27:D35)</f>
        <v>22.27</v>
      </c>
      <c r="E36" s="534">
        <f t="shared" ref="E36:BC36" si="6">SUM(E27:E35)</f>
        <v>37.28</v>
      </c>
      <c r="F36" s="534">
        <f t="shared" si="6"/>
        <v>97.16</v>
      </c>
      <c r="G36" s="840">
        <f t="shared" si="6"/>
        <v>833</v>
      </c>
      <c r="H36" s="840"/>
      <c r="I36" s="534">
        <f t="shared" ref="I36" si="7">SUM(I27:I35)</f>
        <v>79.27</v>
      </c>
      <c r="J36" s="847">
        <f t="shared" si="6"/>
        <v>0.05</v>
      </c>
      <c r="K36" s="847">
        <f t="shared" si="6"/>
        <v>0</v>
      </c>
      <c r="L36" s="847">
        <f t="shared" si="6"/>
        <v>0</v>
      </c>
      <c r="M36" s="847">
        <f t="shared" si="6"/>
        <v>0</v>
      </c>
      <c r="N36" s="847">
        <f t="shared" si="6"/>
        <v>0</v>
      </c>
      <c r="O36" s="847">
        <f t="shared" si="6"/>
        <v>0</v>
      </c>
      <c r="P36" s="847">
        <f t="shared" si="6"/>
        <v>0</v>
      </c>
      <c r="Q36" s="847">
        <f t="shared" si="6"/>
        <v>0</v>
      </c>
      <c r="R36" s="847">
        <f t="shared" si="6"/>
        <v>0</v>
      </c>
      <c r="S36" s="847">
        <f t="shared" si="6"/>
        <v>0</v>
      </c>
      <c r="T36" s="847">
        <f t="shared" si="6"/>
        <v>0</v>
      </c>
      <c r="U36" s="847">
        <f t="shared" si="6"/>
        <v>6.0000000000000001E-3</v>
      </c>
      <c r="V36" s="847">
        <f t="shared" si="6"/>
        <v>8.0000000000000002E-3</v>
      </c>
      <c r="W36" s="847">
        <f t="shared" si="6"/>
        <v>0</v>
      </c>
      <c r="X36" s="847">
        <f t="shared" si="6"/>
        <v>0</v>
      </c>
      <c r="Y36" s="847">
        <f t="shared" si="6"/>
        <v>2.375E-2</v>
      </c>
      <c r="Z36" s="847">
        <f t="shared" si="6"/>
        <v>0</v>
      </c>
      <c r="AA36" s="847">
        <f t="shared" si="6"/>
        <v>0</v>
      </c>
      <c r="AB36" s="847">
        <f t="shared" si="6"/>
        <v>0</v>
      </c>
      <c r="AC36" s="847">
        <f t="shared" si="6"/>
        <v>0</v>
      </c>
      <c r="AD36" s="847">
        <f t="shared" si="6"/>
        <v>0</v>
      </c>
      <c r="AE36" s="847">
        <f t="shared" si="6"/>
        <v>0</v>
      </c>
      <c r="AF36" s="847">
        <f t="shared" si="6"/>
        <v>3.7499999999999999E-2</v>
      </c>
      <c r="AG36" s="847">
        <f t="shared" si="6"/>
        <v>0</v>
      </c>
      <c r="AH36" s="847">
        <f t="shared" si="6"/>
        <v>0.13125000000000001</v>
      </c>
      <c r="AI36" s="847">
        <f t="shared" si="6"/>
        <v>0</v>
      </c>
      <c r="AJ36" s="847">
        <f t="shared" si="6"/>
        <v>0</v>
      </c>
      <c r="AK36" s="847">
        <f t="shared" si="6"/>
        <v>2.7E-2</v>
      </c>
      <c r="AL36" s="847">
        <f t="shared" si="6"/>
        <v>1.728E-2</v>
      </c>
      <c r="AM36" s="847">
        <f t="shared" si="6"/>
        <v>0</v>
      </c>
      <c r="AN36" s="847">
        <f t="shared" si="6"/>
        <v>5.0819999999999997E-2</v>
      </c>
      <c r="AO36" s="847">
        <f t="shared" si="6"/>
        <v>0</v>
      </c>
      <c r="AP36" s="847">
        <f t="shared" si="6"/>
        <v>0</v>
      </c>
      <c r="AQ36" s="847">
        <f t="shared" si="6"/>
        <v>4.2500000000000003E-2</v>
      </c>
      <c r="AR36" s="847">
        <f t="shared" si="6"/>
        <v>0</v>
      </c>
      <c r="AS36" s="847">
        <f t="shared" si="6"/>
        <v>0</v>
      </c>
      <c r="AT36" s="847">
        <f t="shared" si="6"/>
        <v>3.2499999999999999E-3</v>
      </c>
      <c r="AU36" s="847">
        <f t="shared" si="6"/>
        <v>3.5000000000000001E-3</v>
      </c>
      <c r="AV36" s="847">
        <f t="shared" si="6"/>
        <v>0</v>
      </c>
      <c r="AW36" s="847">
        <f t="shared" si="6"/>
        <v>0</v>
      </c>
      <c r="AX36" s="847">
        <f t="shared" si="6"/>
        <v>0</v>
      </c>
      <c r="AY36" s="847">
        <f t="shared" si="6"/>
        <v>0</v>
      </c>
      <c r="AZ36" s="847">
        <f t="shared" si="6"/>
        <v>0</v>
      </c>
      <c r="BA36" s="847">
        <f t="shared" si="6"/>
        <v>3.15E-2</v>
      </c>
      <c r="BB36" s="847">
        <f t="shared" si="6"/>
        <v>0</v>
      </c>
      <c r="BC36" s="847">
        <f t="shared" si="6"/>
        <v>0</v>
      </c>
      <c r="BD36" s="847">
        <f t="shared" ref="BD36:DO36" si="8">SUM(BD27:BD35)</f>
        <v>0</v>
      </c>
      <c r="BE36" s="847">
        <f t="shared" si="8"/>
        <v>0</v>
      </c>
      <c r="BF36" s="847">
        <f t="shared" si="8"/>
        <v>0</v>
      </c>
      <c r="BG36" s="847">
        <f t="shared" si="8"/>
        <v>0</v>
      </c>
      <c r="BH36" s="847">
        <f t="shared" si="8"/>
        <v>0</v>
      </c>
      <c r="BI36" s="847">
        <f t="shared" si="8"/>
        <v>0</v>
      </c>
      <c r="BJ36" s="847">
        <f t="shared" si="8"/>
        <v>0</v>
      </c>
      <c r="BK36" s="847">
        <f t="shared" si="8"/>
        <v>0</v>
      </c>
      <c r="BL36" s="847">
        <f t="shared" si="8"/>
        <v>0</v>
      </c>
      <c r="BM36" s="847">
        <f t="shared" si="8"/>
        <v>0</v>
      </c>
      <c r="BN36" s="847">
        <f t="shared" si="8"/>
        <v>0</v>
      </c>
      <c r="BO36" s="847">
        <f t="shared" si="8"/>
        <v>0</v>
      </c>
      <c r="BP36" s="847">
        <f t="shared" si="8"/>
        <v>0</v>
      </c>
      <c r="BQ36" s="847">
        <f t="shared" si="8"/>
        <v>0</v>
      </c>
      <c r="BR36" s="847">
        <f t="shared" si="8"/>
        <v>0</v>
      </c>
      <c r="BS36" s="847">
        <f t="shared" si="8"/>
        <v>5.6299999999999996E-3</v>
      </c>
      <c r="BT36" s="847">
        <f t="shared" si="8"/>
        <v>0</v>
      </c>
      <c r="BU36" s="847">
        <f t="shared" si="8"/>
        <v>0</v>
      </c>
      <c r="BV36" s="847">
        <f t="shared" si="8"/>
        <v>0</v>
      </c>
      <c r="BW36" s="847">
        <f t="shared" si="8"/>
        <v>0</v>
      </c>
      <c r="BX36" s="847">
        <f t="shared" si="8"/>
        <v>0</v>
      </c>
      <c r="BY36" s="847">
        <f t="shared" si="8"/>
        <v>0</v>
      </c>
      <c r="BZ36" s="847">
        <f t="shared" si="8"/>
        <v>0</v>
      </c>
      <c r="CA36" s="847">
        <f t="shared" si="8"/>
        <v>0</v>
      </c>
      <c r="CB36" s="847">
        <f t="shared" si="8"/>
        <v>0</v>
      </c>
      <c r="CC36" s="847">
        <f t="shared" si="8"/>
        <v>0</v>
      </c>
      <c r="CD36" s="847">
        <f t="shared" si="8"/>
        <v>0</v>
      </c>
      <c r="CE36" s="847">
        <f t="shared" si="8"/>
        <v>0</v>
      </c>
      <c r="CF36" s="847">
        <f t="shared" si="8"/>
        <v>1.7600000000000001E-2</v>
      </c>
      <c r="CG36" s="847">
        <f t="shared" si="8"/>
        <v>0</v>
      </c>
      <c r="CH36" s="847">
        <f t="shared" si="8"/>
        <v>0</v>
      </c>
      <c r="CI36" s="847">
        <f t="shared" si="8"/>
        <v>0</v>
      </c>
      <c r="CJ36" s="847">
        <f t="shared" si="8"/>
        <v>0</v>
      </c>
      <c r="CK36" s="847">
        <f t="shared" si="8"/>
        <v>0</v>
      </c>
      <c r="CL36" s="847">
        <f t="shared" si="8"/>
        <v>0</v>
      </c>
      <c r="CM36" s="847">
        <f t="shared" si="8"/>
        <v>0</v>
      </c>
      <c r="CN36" s="847">
        <f t="shared" si="8"/>
        <v>0</v>
      </c>
      <c r="CO36" s="847">
        <f t="shared" si="8"/>
        <v>0</v>
      </c>
      <c r="CP36" s="847">
        <f t="shared" si="8"/>
        <v>0</v>
      </c>
      <c r="CQ36" s="847">
        <f t="shared" si="8"/>
        <v>2.0000000000000001E-4</v>
      </c>
      <c r="CR36" s="847">
        <f t="shared" si="8"/>
        <v>0</v>
      </c>
      <c r="CS36" s="847">
        <f t="shared" si="8"/>
        <v>2.0000000000000001E-4</v>
      </c>
      <c r="CT36" s="847">
        <f t="shared" si="8"/>
        <v>0</v>
      </c>
      <c r="CU36" s="847">
        <f t="shared" si="8"/>
        <v>0</v>
      </c>
      <c r="CV36" s="847">
        <f t="shared" si="8"/>
        <v>0</v>
      </c>
      <c r="CW36" s="847">
        <f t="shared" si="8"/>
        <v>0</v>
      </c>
      <c r="CX36" s="847">
        <f t="shared" si="8"/>
        <v>0</v>
      </c>
      <c r="CY36" s="847">
        <f t="shared" si="8"/>
        <v>0</v>
      </c>
      <c r="CZ36" s="847">
        <f t="shared" si="8"/>
        <v>0.02</v>
      </c>
      <c r="DA36" s="847">
        <f t="shared" si="8"/>
        <v>0</v>
      </c>
      <c r="DB36" s="847">
        <f t="shared" si="8"/>
        <v>0</v>
      </c>
      <c r="DC36" s="847">
        <f t="shared" si="8"/>
        <v>9.0799999999999995E-3</v>
      </c>
      <c r="DD36" s="847">
        <f t="shared" si="8"/>
        <v>5.0000000000000001E-3</v>
      </c>
      <c r="DE36" s="847">
        <f t="shared" si="8"/>
        <v>0.02</v>
      </c>
      <c r="DF36" s="847">
        <f t="shared" si="8"/>
        <v>3.0000000000000001E-3</v>
      </c>
      <c r="DG36" s="847">
        <f t="shared" si="8"/>
        <v>0</v>
      </c>
      <c r="DH36" s="847">
        <f t="shared" si="8"/>
        <v>0</v>
      </c>
      <c r="DI36" s="847">
        <f t="shared" si="8"/>
        <v>0</v>
      </c>
      <c r="DJ36" s="847">
        <f t="shared" si="8"/>
        <v>0</v>
      </c>
      <c r="DK36" s="847">
        <f t="shared" si="8"/>
        <v>0</v>
      </c>
      <c r="DL36" s="847">
        <f t="shared" si="8"/>
        <v>2.0250000000000001E-2</v>
      </c>
      <c r="DM36" s="847">
        <f t="shared" si="8"/>
        <v>0</v>
      </c>
      <c r="DN36" s="847">
        <f t="shared" si="8"/>
        <v>0</v>
      </c>
      <c r="DO36" s="847">
        <f t="shared" si="8"/>
        <v>0</v>
      </c>
      <c r="DP36" s="847">
        <f t="shared" ref="DP36:FL36" si="9">SUM(DP27:DP35)</f>
        <v>0</v>
      </c>
      <c r="DQ36" s="847">
        <f t="shared" si="9"/>
        <v>0</v>
      </c>
      <c r="DR36" s="847">
        <f t="shared" si="9"/>
        <v>0</v>
      </c>
      <c r="DS36" s="847">
        <f t="shared" si="9"/>
        <v>0</v>
      </c>
      <c r="DT36" s="847">
        <f t="shared" si="9"/>
        <v>0</v>
      </c>
      <c r="DU36" s="847">
        <f t="shared" si="9"/>
        <v>0</v>
      </c>
      <c r="DV36" s="847">
        <f t="shared" si="9"/>
        <v>0</v>
      </c>
      <c r="DW36" s="847">
        <f t="shared" si="9"/>
        <v>0</v>
      </c>
      <c r="DX36" s="847">
        <f t="shared" si="9"/>
        <v>0</v>
      </c>
      <c r="DY36" s="847">
        <f t="shared" si="9"/>
        <v>0</v>
      </c>
      <c r="DZ36" s="847">
        <f t="shared" si="9"/>
        <v>0</v>
      </c>
      <c r="EA36" s="847">
        <f t="shared" si="9"/>
        <v>0</v>
      </c>
      <c r="EB36" s="847">
        <f t="shared" si="9"/>
        <v>0</v>
      </c>
      <c r="EC36" s="847">
        <f t="shared" si="9"/>
        <v>0</v>
      </c>
      <c r="ED36" s="847">
        <f t="shared" si="9"/>
        <v>0</v>
      </c>
      <c r="EE36" s="847">
        <f t="shared" si="9"/>
        <v>0</v>
      </c>
      <c r="EF36" s="847">
        <f t="shared" si="9"/>
        <v>0</v>
      </c>
      <c r="EG36" s="847">
        <f t="shared" si="9"/>
        <v>0</v>
      </c>
      <c r="EH36" s="847">
        <f t="shared" si="9"/>
        <v>0</v>
      </c>
      <c r="EI36" s="847">
        <f t="shared" si="9"/>
        <v>0</v>
      </c>
      <c r="EJ36" s="847">
        <f t="shared" si="9"/>
        <v>0</v>
      </c>
      <c r="EK36" s="847">
        <f t="shared" si="9"/>
        <v>0</v>
      </c>
      <c r="EL36" s="847">
        <f t="shared" si="9"/>
        <v>0</v>
      </c>
      <c r="EM36" s="847">
        <f t="shared" si="9"/>
        <v>0</v>
      </c>
      <c r="EN36" s="847">
        <f t="shared" si="9"/>
        <v>0</v>
      </c>
      <c r="EO36" s="847">
        <f t="shared" si="9"/>
        <v>0</v>
      </c>
      <c r="EP36" s="847">
        <f t="shared" si="9"/>
        <v>0</v>
      </c>
      <c r="EQ36" s="847">
        <f t="shared" si="9"/>
        <v>0</v>
      </c>
      <c r="ER36" s="847">
        <f t="shared" si="9"/>
        <v>0</v>
      </c>
      <c r="ES36" s="847">
        <f t="shared" si="9"/>
        <v>0</v>
      </c>
      <c r="ET36" s="847">
        <f t="shared" si="9"/>
        <v>0</v>
      </c>
      <c r="EU36" s="847">
        <f t="shared" si="9"/>
        <v>0</v>
      </c>
      <c r="EV36" s="847">
        <f t="shared" si="9"/>
        <v>2.9000000000000001E-2</v>
      </c>
      <c r="EW36" s="847">
        <f t="shared" si="9"/>
        <v>0.03</v>
      </c>
      <c r="EX36" s="847">
        <f t="shared" si="9"/>
        <v>0</v>
      </c>
      <c r="EY36" s="861">
        <f t="shared" si="9"/>
        <v>0.59230000000000005</v>
      </c>
      <c r="EZ36" s="534">
        <f t="shared" si="9"/>
        <v>0</v>
      </c>
      <c r="FA36" s="534">
        <f t="shared" si="9"/>
        <v>0</v>
      </c>
      <c r="FB36" s="534">
        <f t="shared" si="9"/>
        <v>0</v>
      </c>
      <c r="FC36" s="534">
        <f t="shared" si="9"/>
        <v>0</v>
      </c>
      <c r="FD36" s="534">
        <f t="shared" si="9"/>
        <v>0</v>
      </c>
      <c r="FE36" s="534">
        <f t="shared" si="9"/>
        <v>0</v>
      </c>
      <c r="FF36" s="534">
        <f t="shared" si="9"/>
        <v>0</v>
      </c>
      <c r="FG36" s="534">
        <f t="shared" si="9"/>
        <v>0</v>
      </c>
      <c r="FH36" s="534">
        <f t="shared" si="9"/>
        <v>0</v>
      </c>
      <c r="FI36" s="534">
        <f t="shared" si="9"/>
        <v>0</v>
      </c>
      <c r="FJ36" s="534">
        <f t="shared" si="9"/>
        <v>0</v>
      </c>
      <c r="FK36" s="534">
        <f t="shared" si="9"/>
        <v>0</v>
      </c>
      <c r="FL36" s="534">
        <f t="shared" si="9"/>
        <v>0</v>
      </c>
    </row>
    <row r="37" spans="1:168" ht="13.95" hidden="1" customHeight="1" x14ac:dyDescent="0.25">
      <c r="A37" s="1459" t="s">
        <v>800</v>
      </c>
      <c r="B37" s="115"/>
      <c r="C37" s="704"/>
      <c r="D37" s="117"/>
      <c r="E37" s="117"/>
      <c r="F37" s="117"/>
      <c r="G37" s="117"/>
      <c r="H37" s="704"/>
      <c r="I37" s="117"/>
      <c r="J37" s="703"/>
      <c r="K37" s="703"/>
      <c r="L37" s="703"/>
      <c r="M37" s="703"/>
      <c r="N37" s="703"/>
      <c r="O37" s="703"/>
      <c r="P37" s="703"/>
      <c r="Q37" s="703"/>
      <c r="R37" s="703"/>
      <c r="S37" s="703"/>
      <c r="T37" s="703"/>
      <c r="U37" s="703"/>
      <c r="V37" s="703"/>
      <c r="W37" s="703"/>
      <c r="X37" s="703"/>
      <c r="Y37" s="703"/>
      <c r="Z37" s="703"/>
      <c r="AA37" s="703"/>
      <c r="AB37" s="703"/>
      <c r="AC37" s="703"/>
      <c r="AD37" s="703"/>
      <c r="AE37" s="703"/>
      <c r="AF37" s="703"/>
      <c r="AG37" s="703"/>
      <c r="AH37" s="703"/>
      <c r="AI37" s="703"/>
      <c r="AJ37" s="703"/>
      <c r="AK37" s="703"/>
      <c r="AL37" s="703"/>
      <c r="AM37" s="703"/>
      <c r="AN37" s="703"/>
      <c r="AO37" s="703"/>
      <c r="AP37" s="703"/>
      <c r="AQ37" s="703"/>
      <c r="AR37" s="703"/>
      <c r="AS37" s="703"/>
      <c r="AT37" s="703"/>
      <c r="AU37" s="703"/>
      <c r="AV37" s="703"/>
      <c r="AW37" s="703"/>
      <c r="AX37" s="703"/>
      <c r="AY37" s="703"/>
      <c r="AZ37" s="703"/>
      <c r="BA37" s="703"/>
      <c r="BB37" s="703"/>
      <c r="BC37" s="703"/>
      <c r="BD37" s="703"/>
      <c r="BE37" s="703"/>
      <c r="BF37" s="703"/>
      <c r="BG37" s="703"/>
      <c r="BH37" s="703"/>
      <c r="BI37" s="703"/>
      <c r="BJ37" s="703"/>
      <c r="BK37" s="703"/>
      <c r="BL37" s="703"/>
      <c r="BM37" s="703"/>
      <c r="BN37" s="703"/>
      <c r="BO37" s="703"/>
      <c r="BP37" s="703"/>
      <c r="BQ37" s="703"/>
      <c r="BR37" s="703"/>
      <c r="BS37" s="703"/>
      <c r="BT37" s="703"/>
      <c r="BU37" s="703"/>
      <c r="BV37" s="703"/>
      <c r="BW37" s="703"/>
      <c r="BX37" s="703"/>
      <c r="BY37" s="703"/>
      <c r="BZ37" s="703"/>
      <c r="CA37" s="703"/>
      <c r="CB37" s="703"/>
      <c r="CC37" s="703"/>
      <c r="CD37" s="703"/>
      <c r="CE37" s="703"/>
      <c r="CF37" s="703"/>
      <c r="CG37" s="703"/>
      <c r="CH37" s="703"/>
      <c r="CI37" s="703"/>
      <c r="CJ37" s="703"/>
      <c r="CK37" s="703"/>
      <c r="CL37" s="703"/>
      <c r="CM37" s="703"/>
      <c r="CN37" s="703"/>
      <c r="CO37" s="703"/>
      <c r="CP37" s="703"/>
      <c r="CQ37" s="703"/>
      <c r="CR37" s="703"/>
      <c r="CS37" s="703"/>
      <c r="CT37" s="703"/>
      <c r="CU37" s="703"/>
      <c r="CV37" s="703"/>
      <c r="CW37" s="703"/>
      <c r="CX37" s="703"/>
      <c r="CY37" s="703"/>
      <c r="CZ37" s="703"/>
      <c r="DA37" s="703"/>
      <c r="DB37" s="703"/>
      <c r="DC37" s="703"/>
      <c r="DD37" s="703"/>
      <c r="DE37" s="703"/>
      <c r="DF37" s="703"/>
      <c r="DG37" s="703"/>
      <c r="DH37" s="703"/>
      <c r="DI37" s="703"/>
      <c r="DJ37" s="703"/>
      <c r="DK37" s="703"/>
      <c r="DL37" s="703"/>
      <c r="DM37" s="703"/>
      <c r="DN37" s="703"/>
      <c r="DO37" s="703"/>
      <c r="DP37" s="703"/>
      <c r="DQ37" s="703"/>
      <c r="DR37" s="703"/>
      <c r="DS37" s="703"/>
      <c r="DT37" s="703"/>
      <c r="DU37" s="703"/>
      <c r="DV37" s="703"/>
      <c r="DW37" s="703"/>
      <c r="DX37" s="703"/>
      <c r="DY37" s="703"/>
      <c r="DZ37" s="703"/>
      <c r="EA37" s="703"/>
      <c r="EB37" s="703"/>
      <c r="EC37" s="703"/>
      <c r="ED37" s="703"/>
      <c r="EE37" s="703"/>
      <c r="EF37" s="703"/>
      <c r="EG37" s="703"/>
      <c r="EH37" s="703"/>
      <c r="EI37" s="703"/>
      <c r="EJ37" s="703"/>
      <c r="EK37" s="703"/>
      <c r="EL37" s="703"/>
      <c r="EM37" s="703"/>
      <c r="EN37" s="703"/>
      <c r="EO37" s="703"/>
      <c r="EP37" s="703"/>
      <c r="EQ37" s="703"/>
      <c r="ER37" s="703"/>
      <c r="ES37" s="703"/>
      <c r="ET37" s="703"/>
      <c r="EU37" s="703"/>
      <c r="EV37" s="703"/>
      <c r="EW37" s="703"/>
      <c r="EX37" s="703"/>
      <c r="EY37" s="927">
        <f t="shared" si="5"/>
        <v>0</v>
      </c>
      <c r="EZ37" s="117"/>
      <c r="FA37" s="117"/>
      <c r="FB37" s="117"/>
      <c r="FC37" s="117"/>
      <c r="FD37" s="117"/>
      <c r="FE37" s="117"/>
      <c r="FF37" s="117"/>
      <c r="FG37" s="117"/>
      <c r="FH37" s="117"/>
      <c r="FI37" s="117"/>
      <c r="FJ37" s="117"/>
      <c r="FK37" s="117"/>
      <c r="FL37" s="117"/>
    </row>
    <row r="38" spans="1:168" ht="13.95" hidden="1" customHeight="1" x14ac:dyDescent="0.25">
      <c r="A38" s="1460"/>
      <c r="B38" s="943"/>
      <c r="C38" s="704"/>
      <c r="D38" s="117"/>
      <c r="E38" s="117"/>
      <c r="F38" s="117"/>
      <c r="G38" s="117"/>
      <c r="H38" s="704"/>
      <c r="I38" s="117"/>
      <c r="J38" s="703"/>
      <c r="K38" s="703"/>
      <c r="L38" s="703"/>
      <c r="M38" s="703"/>
      <c r="N38" s="703"/>
      <c r="O38" s="703"/>
      <c r="P38" s="703"/>
      <c r="Q38" s="703"/>
      <c r="R38" s="703"/>
      <c r="S38" s="703"/>
      <c r="T38" s="703"/>
      <c r="U38" s="703"/>
      <c r="V38" s="703"/>
      <c r="W38" s="703"/>
      <c r="X38" s="703"/>
      <c r="Y38" s="703"/>
      <c r="Z38" s="703"/>
      <c r="AA38" s="703"/>
      <c r="AB38" s="703"/>
      <c r="AC38" s="703"/>
      <c r="AD38" s="703"/>
      <c r="AE38" s="703"/>
      <c r="AF38" s="703"/>
      <c r="AG38" s="703"/>
      <c r="AH38" s="703"/>
      <c r="AI38" s="703"/>
      <c r="AJ38" s="703"/>
      <c r="AK38" s="703"/>
      <c r="AL38" s="703"/>
      <c r="AM38" s="703"/>
      <c r="AN38" s="703"/>
      <c r="AO38" s="703"/>
      <c r="AP38" s="703"/>
      <c r="AQ38" s="703"/>
      <c r="AR38" s="703"/>
      <c r="AS38" s="703"/>
      <c r="AT38" s="703"/>
      <c r="AU38" s="703"/>
      <c r="AV38" s="703"/>
      <c r="AW38" s="703"/>
      <c r="AX38" s="703"/>
      <c r="AY38" s="703"/>
      <c r="AZ38" s="703"/>
      <c r="BA38" s="703"/>
      <c r="BB38" s="703"/>
      <c r="BC38" s="703"/>
      <c r="BD38" s="703"/>
      <c r="BE38" s="703"/>
      <c r="BF38" s="703"/>
      <c r="BG38" s="703"/>
      <c r="BH38" s="703"/>
      <c r="BI38" s="703"/>
      <c r="BJ38" s="703"/>
      <c r="BK38" s="703"/>
      <c r="BL38" s="703"/>
      <c r="BM38" s="703"/>
      <c r="BN38" s="703"/>
      <c r="BO38" s="703"/>
      <c r="BP38" s="703"/>
      <c r="BQ38" s="703"/>
      <c r="BR38" s="703"/>
      <c r="BS38" s="703"/>
      <c r="BT38" s="703"/>
      <c r="BU38" s="703"/>
      <c r="BV38" s="703"/>
      <c r="BW38" s="703"/>
      <c r="BX38" s="703"/>
      <c r="BY38" s="703"/>
      <c r="BZ38" s="703"/>
      <c r="CA38" s="703"/>
      <c r="CB38" s="703"/>
      <c r="CC38" s="703"/>
      <c r="CD38" s="703"/>
      <c r="CE38" s="703"/>
      <c r="CF38" s="703"/>
      <c r="CG38" s="703"/>
      <c r="CH38" s="703"/>
      <c r="CI38" s="703"/>
      <c r="CJ38" s="703"/>
      <c r="CK38" s="703"/>
      <c r="CL38" s="703"/>
      <c r="CM38" s="703"/>
      <c r="CN38" s="703"/>
      <c r="CO38" s="703"/>
      <c r="CP38" s="703"/>
      <c r="CQ38" s="703"/>
      <c r="CR38" s="703"/>
      <c r="CS38" s="703"/>
      <c r="CT38" s="703"/>
      <c r="CU38" s="703"/>
      <c r="CV38" s="703"/>
      <c r="CW38" s="703"/>
      <c r="CX38" s="703"/>
      <c r="CY38" s="703"/>
      <c r="CZ38" s="703"/>
      <c r="DA38" s="703"/>
      <c r="DB38" s="703"/>
      <c r="DC38" s="703"/>
      <c r="DD38" s="703"/>
      <c r="DE38" s="703"/>
      <c r="DF38" s="703"/>
      <c r="DG38" s="703"/>
      <c r="DH38" s="703"/>
      <c r="DI38" s="703"/>
      <c r="DJ38" s="703"/>
      <c r="DK38" s="703"/>
      <c r="DL38" s="703"/>
      <c r="DM38" s="703"/>
      <c r="DN38" s="703"/>
      <c r="DO38" s="703"/>
      <c r="DP38" s="703"/>
      <c r="DQ38" s="703"/>
      <c r="DR38" s="703"/>
      <c r="DS38" s="703"/>
      <c r="DT38" s="703"/>
      <c r="DU38" s="703"/>
      <c r="DV38" s="703"/>
      <c r="DW38" s="703"/>
      <c r="DX38" s="703"/>
      <c r="DY38" s="703"/>
      <c r="DZ38" s="703"/>
      <c r="EA38" s="703"/>
      <c r="EB38" s="703"/>
      <c r="EC38" s="703"/>
      <c r="ED38" s="703"/>
      <c r="EE38" s="703"/>
      <c r="EF38" s="703"/>
      <c r="EG38" s="703"/>
      <c r="EH38" s="703"/>
      <c r="EI38" s="703"/>
      <c r="EJ38" s="703"/>
      <c r="EK38" s="703"/>
      <c r="EL38" s="703"/>
      <c r="EM38" s="703"/>
      <c r="EN38" s="703"/>
      <c r="EO38" s="703"/>
      <c r="EP38" s="703"/>
      <c r="EQ38" s="703"/>
      <c r="ER38" s="703"/>
      <c r="ES38" s="703"/>
      <c r="ET38" s="703"/>
      <c r="EU38" s="703"/>
      <c r="EV38" s="703"/>
      <c r="EW38" s="703"/>
      <c r="EX38" s="703"/>
      <c r="EY38" s="927">
        <f t="shared" si="5"/>
        <v>0</v>
      </c>
      <c r="EZ38" s="117"/>
      <c r="FA38" s="117"/>
      <c r="FB38" s="117"/>
      <c r="FC38" s="117"/>
      <c r="FD38" s="117"/>
      <c r="FE38" s="117"/>
      <c r="FF38" s="117"/>
      <c r="FG38" s="117"/>
      <c r="FH38" s="117"/>
      <c r="FI38" s="117"/>
      <c r="FJ38" s="117"/>
      <c r="FK38" s="117"/>
      <c r="FL38" s="117"/>
    </row>
    <row r="39" spans="1:168" ht="13.95" hidden="1" customHeight="1" x14ac:dyDescent="0.25">
      <c r="A39" s="1460"/>
      <c r="B39" s="115"/>
      <c r="C39" s="426"/>
      <c r="D39" s="423"/>
      <c r="E39" s="423"/>
      <c r="F39" s="423"/>
      <c r="G39" s="423"/>
      <c r="H39" s="426"/>
      <c r="I39" s="423"/>
      <c r="J39" s="849"/>
      <c r="K39" s="849"/>
      <c r="L39" s="849"/>
      <c r="M39" s="849"/>
      <c r="N39" s="849"/>
      <c r="O39" s="849"/>
      <c r="P39" s="849"/>
      <c r="Q39" s="849"/>
      <c r="R39" s="849"/>
      <c r="S39" s="849"/>
      <c r="T39" s="849"/>
      <c r="U39" s="849"/>
      <c r="V39" s="849"/>
      <c r="W39" s="849"/>
      <c r="X39" s="849"/>
      <c r="Y39" s="849"/>
      <c r="Z39" s="849"/>
      <c r="AA39" s="849"/>
      <c r="AB39" s="849"/>
      <c r="AC39" s="849"/>
      <c r="AD39" s="849"/>
      <c r="AE39" s="849"/>
      <c r="AF39" s="849"/>
      <c r="AG39" s="849"/>
      <c r="AH39" s="849"/>
      <c r="AI39" s="849"/>
      <c r="AJ39" s="849"/>
      <c r="AK39" s="849"/>
      <c r="AL39" s="849"/>
      <c r="AM39" s="849"/>
      <c r="AN39" s="849"/>
      <c r="AO39" s="849"/>
      <c r="AP39" s="849"/>
      <c r="AQ39" s="849"/>
      <c r="AR39" s="849"/>
      <c r="AS39" s="849"/>
      <c r="AT39" s="849"/>
      <c r="AU39" s="849"/>
      <c r="AV39" s="849"/>
      <c r="AW39" s="849"/>
      <c r="AX39" s="849"/>
      <c r="AY39" s="849"/>
      <c r="AZ39" s="849"/>
      <c r="BA39" s="849"/>
      <c r="BB39" s="849"/>
      <c r="BC39" s="849"/>
      <c r="BD39" s="849"/>
      <c r="BE39" s="849"/>
      <c r="BF39" s="849"/>
      <c r="BG39" s="849"/>
      <c r="BH39" s="849"/>
      <c r="BI39" s="849"/>
      <c r="BJ39" s="849"/>
      <c r="BK39" s="849"/>
      <c r="BL39" s="849"/>
      <c r="BM39" s="849"/>
      <c r="BN39" s="849"/>
      <c r="BO39" s="849"/>
      <c r="BP39" s="849"/>
      <c r="BQ39" s="849"/>
      <c r="BR39" s="849"/>
      <c r="BS39" s="849"/>
      <c r="BT39" s="849"/>
      <c r="BU39" s="849"/>
      <c r="BV39" s="849"/>
      <c r="BW39" s="849"/>
      <c r="BX39" s="849"/>
      <c r="BY39" s="849"/>
      <c r="BZ39" s="849"/>
      <c r="CA39" s="849"/>
      <c r="CB39" s="849"/>
      <c r="CC39" s="849"/>
      <c r="CD39" s="849"/>
      <c r="CE39" s="849"/>
      <c r="CF39" s="849"/>
      <c r="CG39" s="849"/>
      <c r="CH39" s="849"/>
      <c r="CI39" s="849"/>
      <c r="CJ39" s="849"/>
      <c r="CK39" s="849"/>
      <c r="CL39" s="849"/>
      <c r="CM39" s="849"/>
      <c r="CN39" s="849"/>
      <c r="CO39" s="849"/>
      <c r="CP39" s="849"/>
      <c r="CQ39" s="849"/>
      <c r="CR39" s="849"/>
      <c r="CS39" s="849"/>
      <c r="CT39" s="849"/>
      <c r="CU39" s="849"/>
      <c r="CV39" s="849"/>
      <c r="CW39" s="849"/>
      <c r="CX39" s="849"/>
      <c r="CY39" s="849"/>
      <c r="CZ39" s="849"/>
      <c r="DA39" s="849"/>
      <c r="DB39" s="849"/>
      <c r="DC39" s="849"/>
      <c r="DD39" s="849"/>
      <c r="DE39" s="849"/>
      <c r="DF39" s="849"/>
      <c r="DG39" s="849"/>
      <c r="DH39" s="849"/>
      <c r="DI39" s="849"/>
      <c r="DJ39" s="849"/>
      <c r="DK39" s="849"/>
      <c r="DL39" s="849"/>
      <c r="DM39" s="849"/>
      <c r="DN39" s="849"/>
      <c r="DO39" s="849"/>
      <c r="DP39" s="849"/>
      <c r="DQ39" s="849"/>
      <c r="DR39" s="849"/>
      <c r="DS39" s="849"/>
      <c r="DT39" s="849"/>
      <c r="DU39" s="849"/>
      <c r="DV39" s="849"/>
      <c r="DW39" s="849"/>
      <c r="DX39" s="849"/>
      <c r="DY39" s="849"/>
      <c r="DZ39" s="849"/>
      <c r="EA39" s="849"/>
      <c r="EB39" s="849"/>
      <c r="EC39" s="849"/>
      <c r="ED39" s="849"/>
      <c r="EE39" s="849"/>
      <c r="EF39" s="849"/>
      <c r="EG39" s="849"/>
      <c r="EH39" s="849"/>
      <c r="EI39" s="849"/>
      <c r="EJ39" s="849"/>
      <c r="EK39" s="849"/>
      <c r="EL39" s="849"/>
      <c r="EM39" s="849"/>
      <c r="EN39" s="849"/>
      <c r="EO39" s="849"/>
      <c r="EP39" s="849"/>
      <c r="EQ39" s="849"/>
      <c r="ER39" s="849"/>
      <c r="ES39" s="849"/>
      <c r="ET39" s="849"/>
      <c r="EU39" s="849"/>
      <c r="EV39" s="849"/>
      <c r="EW39" s="849"/>
      <c r="EX39" s="849"/>
      <c r="EY39" s="927">
        <f t="shared" si="5"/>
        <v>0</v>
      </c>
      <c r="EZ39" s="423"/>
      <c r="FA39" s="423"/>
      <c r="FB39" s="423"/>
      <c r="FC39" s="423"/>
      <c r="FD39" s="423"/>
      <c r="FE39" s="423"/>
      <c r="FF39" s="423"/>
      <c r="FG39" s="423"/>
      <c r="FH39" s="423"/>
      <c r="FI39" s="423"/>
      <c r="FJ39" s="423"/>
      <c r="FK39" s="423"/>
      <c r="FL39" s="423"/>
    </row>
    <row r="40" spans="1:168" ht="13.95" hidden="1" customHeight="1" x14ac:dyDescent="0.25">
      <c r="A40" s="1460"/>
      <c r="B40" s="115"/>
      <c r="C40" s="426"/>
      <c r="D40" s="423"/>
      <c r="E40" s="423"/>
      <c r="F40" s="423"/>
      <c r="G40" s="423"/>
      <c r="H40" s="426"/>
      <c r="I40" s="423"/>
      <c r="J40" s="849"/>
      <c r="K40" s="849"/>
      <c r="L40" s="849"/>
      <c r="M40" s="849"/>
      <c r="N40" s="849"/>
      <c r="O40" s="849"/>
      <c r="P40" s="849"/>
      <c r="Q40" s="849"/>
      <c r="R40" s="849"/>
      <c r="S40" s="849"/>
      <c r="T40" s="849"/>
      <c r="U40" s="849"/>
      <c r="V40" s="849"/>
      <c r="W40" s="849"/>
      <c r="X40" s="849"/>
      <c r="Y40" s="849"/>
      <c r="Z40" s="849"/>
      <c r="AA40" s="849"/>
      <c r="AB40" s="849"/>
      <c r="AC40" s="849"/>
      <c r="AD40" s="849"/>
      <c r="AE40" s="849"/>
      <c r="AF40" s="849"/>
      <c r="AG40" s="849"/>
      <c r="AH40" s="849"/>
      <c r="AI40" s="849"/>
      <c r="AJ40" s="849"/>
      <c r="AK40" s="849"/>
      <c r="AL40" s="849"/>
      <c r="AM40" s="849"/>
      <c r="AN40" s="849"/>
      <c r="AO40" s="849"/>
      <c r="AP40" s="849"/>
      <c r="AQ40" s="849"/>
      <c r="AR40" s="849"/>
      <c r="AS40" s="849"/>
      <c r="AT40" s="849"/>
      <c r="AU40" s="849"/>
      <c r="AV40" s="849"/>
      <c r="AW40" s="849"/>
      <c r="AX40" s="849"/>
      <c r="AY40" s="849"/>
      <c r="AZ40" s="849"/>
      <c r="BA40" s="849"/>
      <c r="BB40" s="849"/>
      <c r="BC40" s="849"/>
      <c r="BD40" s="849"/>
      <c r="BE40" s="849"/>
      <c r="BF40" s="849"/>
      <c r="BG40" s="849"/>
      <c r="BH40" s="849"/>
      <c r="BI40" s="849"/>
      <c r="BJ40" s="849"/>
      <c r="BK40" s="849"/>
      <c r="BL40" s="849"/>
      <c r="BM40" s="849"/>
      <c r="BN40" s="849"/>
      <c r="BO40" s="849"/>
      <c r="BP40" s="849"/>
      <c r="BQ40" s="849"/>
      <c r="BR40" s="849"/>
      <c r="BS40" s="849"/>
      <c r="BT40" s="849"/>
      <c r="BU40" s="849"/>
      <c r="BV40" s="849"/>
      <c r="BW40" s="849"/>
      <c r="BX40" s="849"/>
      <c r="BY40" s="849"/>
      <c r="BZ40" s="849"/>
      <c r="CA40" s="849"/>
      <c r="CB40" s="849"/>
      <c r="CC40" s="849"/>
      <c r="CD40" s="849"/>
      <c r="CE40" s="849"/>
      <c r="CF40" s="849"/>
      <c r="CG40" s="849"/>
      <c r="CH40" s="849"/>
      <c r="CI40" s="849"/>
      <c r="CJ40" s="849"/>
      <c r="CK40" s="849"/>
      <c r="CL40" s="849"/>
      <c r="CM40" s="849"/>
      <c r="CN40" s="849"/>
      <c r="CO40" s="849"/>
      <c r="CP40" s="849"/>
      <c r="CQ40" s="849"/>
      <c r="CR40" s="849"/>
      <c r="CS40" s="849"/>
      <c r="CT40" s="849"/>
      <c r="CU40" s="849"/>
      <c r="CV40" s="849"/>
      <c r="CW40" s="849"/>
      <c r="CX40" s="849"/>
      <c r="CY40" s="849"/>
      <c r="CZ40" s="849"/>
      <c r="DA40" s="849"/>
      <c r="DB40" s="849"/>
      <c r="DC40" s="849"/>
      <c r="DD40" s="849"/>
      <c r="DE40" s="849"/>
      <c r="DF40" s="849"/>
      <c r="DG40" s="849"/>
      <c r="DH40" s="849"/>
      <c r="DI40" s="849"/>
      <c r="DJ40" s="849"/>
      <c r="DK40" s="849"/>
      <c r="DL40" s="849"/>
      <c r="DM40" s="849"/>
      <c r="DN40" s="849"/>
      <c r="DO40" s="849"/>
      <c r="DP40" s="849"/>
      <c r="DQ40" s="849"/>
      <c r="DR40" s="849"/>
      <c r="DS40" s="849"/>
      <c r="DT40" s="849"/>
      <c r="DU40" s="849"/>
      <c r="DV40" s="849"/>
      <c r="DW40" s="849"/>
      <c r="DX40" s="849"/>
      <c r="DY40" s="849"/>
      <c r="DZ40" s="849"/>
      <c r="EA40" s="849"/>
      <c r="EB40" s="849"/>
      <c r="EC40" s="849"/>
      <c r="ED40" s="849"/>
      <c r="EE40" s="849"/>
      <c r="EF40" s="849"/>
      <c r="EG40" s="849"/>
      <c r="EH40" s="849"/>
      <c r="EI40" s="849"/>
      <c r="EJ40" s="849"/>
      <c r="EK40" s="849"/>
      <c r="EL40" s="849"/>
      <c r="EM40" s="849"/>
      <c r="EN40" s="849"/>
      <c r="EO40" s="849"/>
      <c r="EP40" s="849"/>
      <c r="EQ40" s="849"/>
      <c r="ER40" s="849"/>
      <c r="ES40" s="849"/>
      <c r="ET40" s="849"/>
      <c r="EU40" s="849"/>
      <c r="EV40" s="849"/>
      <c r="EW40" s="849"/>
      <c r="EX40" s="849"/>
      <c r="EY40" s="927">
        <f t="shared" si="5"/>
        <v>0</v>
      </c>
      <c r="EZ40" s="423"/>
      <c r="FA40" s="423"/>
      <c r="FB40" s="423"/>
      <c r="FC40" s="423"/>
      <c r="FD40" s="423"/>
      <c r="FE40" s="423"/>
      <c r="FF40" s="423"/>
      <c r="FG40" s="423"/>
      <c r="FH40" s="423"/>
      <c r="FI40" s="423"/>
      <c r="FJ40" s="423"/>
      <c r="FK40" s="423"/>
      <c r="FL40" s="423"/>
    </row>
    <row r="41" spans="1:168" ht="13.95" hidden="1" customHeight="1" x14ac:dyDescent="0.25">
      <c r="A41" s="1461"/>
      <c r="B41" s="115"/>
      <c r="C41" s="426"/>
      <c r="D41" s="423"/>
      <c r="E41" s="423"/>
      <c r="F41" s="423"/>
      <c r="G41" s="423"/>
      <c r="H41" s="426"/>
      <c r="I41" s="423"/>
      <c r="J41" s="849"/>
      <c r="K41" s="849"/>
      <c r="L41" s="849"/>
      <c r="M41" s="849"/>
      <c r="N41" s="849"/>
      <c r="O41" s="849"/>
      <c r="P41" s="849"/>
      <c r="Q41" s="849"/>
      <c r="R41" s="849"/>
      <c r="S41" s="849"/>
      <c r="T41" s="849"/>
      <c r="U41" s="849"/>
      <c r="V41" s="849"/>
      <c r="W41" s="849"/>
      <c r="X41" s="849"/>
      <c r="Y41" s="849"/>
      <c r="Z41" s="849"/>
      <c r="AA41" s="849"/>
      <c r="AB41" s="849"/>
      <c r="AC41" s="849"/>
      <c r="AD41" s="849"/>
      <c r="AE41" s="849"/>
      <c r="AF41" s="849"/>
      <c r="AG41" s="849"/>
      <c r="AH41" s="849"/>
      <c r="AI41" s="849"/>
      <c r="AJ41" s="849"/>
      <c r="AK41" s="849"/>
      <c r="AL41" s="849"/>
      <c r="AM41" s="849"/>
      <c r="AN41" s="849"/>
      <c r="AO41" s="849"/>
      <c r="AP41" s="849"/>
      <c r="AQ41" s="849"/>
      <c r="AR41" s="849"/>
      <c r="AS41" s="849"/>
      <c r="AT41" s="849"/>
      <c r="AU41" s="849"/>
      <c r="AV41" s="849"/>
      <c r="AW41" s="849"/>
      <c r="AX41" s="849"/>
      <c r="AY41" s="849"/>
      <c r="AZ41" s="849"/>
      <c r="BA41" s="849"/>
      <c r="BB41" s="849"/>
      <c r="BC41" s="849"/>
      <c r="BD41" s="849"/>
      <c r="BE41" s="849"/>
      <c r="BF41" s="849"/>
      <c r="BG41" s="849"/>
      <c r="BH41" s="849"/>
      <c r="BI41" s="849"/>
      <c r="BJ41" s="849"/>
      <c r="BK41" s="849"/>
      <c r="BL41" s="849"/>
      <c r="BM41" s="849"/>
      <c r="BN41" s="849"/>
      <c r="BO41" s="849"/>
      <c r="BP41" s="849"/>
      <c r="BQ41" s="849"/>
      <c r="BR41" s="849"/>
      <c r="BS41" s="849"/>
      <c r="BT41" s="849"/>
      <c r="BU41" s="849"/>
      <c r="BV41" s="849"/>
      <c r="BW41" s="849"/>
      <c r="BX41" s="849"/>
      <c r="BY41" s="849"/>
      <c r="BZ41" s="849"/>
      <c r="CA41" s="849"/>
      <c r="CB41" s="849"/>
      <c r="CC41" s="849"/>
      <c r="CD41" s="849"/>
      <c r="CE41" s="849"/>
      <c r="CF41" s="849"/>
      <c r="CG41" s="849"/>
      <c r="CH41" s="849"/>
      <c r="CI41" s="849"/>
      <c r="CJ41" s="849"/>
      <c r="CK41" s="849"/>
      <c r="CL41" s="849"/>
      <c r="CM41" s="849"/>
      <c r="CN41" s="849"/>
      <c r="CO41" s="849"/>
      <c r="CP41" s="849"/>
      <c r="CQ41" s="849"/>
      <c r="CR41" s="849"/>
      <c r="CS41" s="849"/>
      <c r="CT41" s="849"/>
      <c r="CU41" s="849"/>
      <c r="CV41" s="849"/>
      <c r="CW41" s="849"/>
      <c r="CX41" s="849"/>
      <c r="CY41" s="849"/>
      <c r="CZ41" s="849"/>
      <c r="DA41" s="849"/>
      <c r="DB41" s="849"/>
      <c r="DC41" s="849"/>
      <c r="DD41" s="849"/>
      <c r="DE41" s="849"/>
      <c r="DF41" s="849"/>
      <c r="DG41" s="849"/>
      <c r="DH41" s="849"/>
      <c r="DI41" s="849"/>
      <c r="DJ41" s="849"/>
      <c r="DK41" s="849"/>
      <c r="DL41" s="849"/>
      <c r="DM41" s="849"/>
      <c r="DN41" s="849"/>
      <c r="DO41" s="849"/>
      <c r="DP41" s="849"/>
      <c r="DQ41" s="849"/>
      <c r="DR41" s="849"/>
      <c r="DS41" s="849"/>
      <c r="DT41" s="849"/>
      <c r="DU41" s="849"/>
      <c r="DV41" s="849"/>
      <c r="DW41" s="849"/>
      <c r="DX41" s="849"/>
      <c r="DY41" s="849"/>
      <c r="DZ41" s="849"/>
      <c r="EA41" s="849"/>
      <c r="EB41" s="849"/>
      <c r="EC41" s="849"/>
      <c r="ED41" s="849"/>
      <c r="EE41" s="849"/>
      <c r="EF41" s="849"/>
      <c r="EG41" s="849"/>
      <c r="EH41" s="849"/>
      <c r="EI41" s="849"/>
      <c r="EJ41" s="849"/>
      <c r="EK41" s="849"/>
      <c r="EL41" s="849"/>
      <c r="EM41" s="849"/>
      <c r="EN41" s="849"/>
      <c r="EO41" s="849"/>
      <c r="EP41" s="849"/>
      <c r="EQ41" s="849"/>
      <c r="ER41" s="849"/>
      <c r="ES41" s="849"/>
      <c r="ET41" s="849"/>
      <c r="EU41" s="849"/>
      <c r="EV41" s="849"/>
      <c r="EW41" s="849"/>
      <c r="EX41" s="849"/>
      <c r="EY41" s="927">
        <f t="shared" si="5"/>
        <v>0</v>
      </c>
      <c r="EZ41" s="423"/>
      <c r="FA41" s="423"/>
      <c r="FB41" s="423"/>
      <c r="FC41" s="423"/>
      <c r="FD41" s="423"/>
      <c r="FE41" s="423"/>
      <c r="FF41" s="423"/>
      <c r="FG41" s="423"/>
      <c r="FH41" s="423"/>
      <c r="FI41" s="423"/>
      <c r="FJ41" s="423"/>
      <c r="FK41" s="423"/>
      <c r="FL41" s="423"/>
    </row>
    <row r="42" spans="1:168" ht="13.95" hidden="1" customHeight="1" x14ac:dyDescent="0.25">
      <c r="A42" s="120"/>
      <c r="B42" s="118" t="s">
        <v>801</v>
      </c>
      <c r="C42" s="840">
        <f>SUM(C37:C41)</f>
        <v>0</v>
      </c>
      <c r="D42" s="534">
        <f>SUM(D37:D41)</f>
        <v>0</v>
      </c>
      <c r="E42" s="534">
        <f t="shared" ref="E42:BC42" si="10">SUM(E37:E41)</f>
        <v>0</v>
      </c>
      <c r="F42" s="534">
        <f t="shared" si="10"/>
        <v>0</v>
      </c>
      <c r="G42" s="840">
        <f t="shared" si="10"/>
        <v>0</v>
      </c>
      <c r="H42" s="840"/>
      <c r="I42" s="534">
        <f t="shared" ref="I42" si="11">SUM(I37:I41)</f>
        <v>0</v>
      </c>
      <c r="J42" s="847">
        <f t="shared" si="10"/>
        <v>0</v>
      </c>
      <c r="K42" s="847">
        <f t="shared" si="10"/>
        <v>0</v>
      </c>
      <c r="L42" s="847">
        <f t="shared" si="10"/>
        <v>0</v>
      </c>
      <c r="M42" s="847">
        <f t="shared" si="10"/>
        <v>0</v>
      </c>
      <c r="N42" s="847">
        <f t="shared" si="10"/>
        <v>0</v>
      </c>
      <c r="O42" s="847">
        <f t="shared" si="10"/>
        <v>0</v>
      </c>
      <c r="P42" s="847">
        <f t="shared" si="10"/>
        <v>0</v>
      </c>
      <c r="Q42" s="847">
        <f t="shared" si="10"/>
        <v>0</v>
      </c>
      <c r="R42" s="847">
        <f t="shared" si="10"/>
        <v>0</v>
      </c>
      <c r="S42" s="847">
        <f t="shared" si="10"/>
        <v>0</v>
      </c>
      <c r="T42" s="847">
        <f t="shared" si="10"/>
        <v>0</v>
      </c>
      <c r="U42" s="847">
        <f t="shared" si="10"/>
        <v>0</v>
      </c>
      <c r="V42" s="847">
        <f t="shared" si="10"/>
        <v>0</v>
      </c>
      <c r="W42" s="847">
        <f t="shared" si="10"/>
        <v>0</v>
      </c>
      <c r="X42" s="847">
        <f t="shared" si="10"/>
        <v>0</v>
      </c>
      <c r="Y42" s="847">
        <f t="shared" si="10"/>
        <v>0</v>
      </c>
      <c r="Z42" s="847">
        <f t="shared" si="10"/>
        <v>0</v>
      </c>
      <c r="AA42" s="847">
        <f t="shared" si="10"/>
        <v>0</v>
      </c>
      <c r="AB42" s="847">
        <f t="shared" si="10"/>
        <v>0</v>
      </c>
      <c r="AC42" s="847">
        <f t="shared" si="10"/>
        <v>0</v>
      </c>
      <c r="AD42" s="847">
        <f t="shared" si="10"/>
        <v>0</v>
      </c>
      <c r="AE42" s="847">
        <f t="shared" si="10"/>
        <v>0</v>
      </c>
      <c r="AF42" s="847">
        <f t="shared" si="10"/>
        <v>0</v>
      </c>
      <c r="AG42" s="847">
        <f t="shared" si="10"/>
        <v>0</v>
      </c>
      <c r="AH42" s="847">
        <f t="shared" si="10"/>
        <v>0</v>
      </c>
      <c r="AI42" s="847">
        <f t="shared" si="10"/>
        <v>0</v>
      </c>
      <c r="AJ42" s="847">
        <f t="shared" si="10"/>
        <v>0</v>
      </c>
      <c r="AK42" s="847">
        <f t="shared" si="10"/>
        <v>0</v>
      </c>
      <c r="AL42" s="847">
        <f t="shared" si="10"/>
        <v>0</v>
      </c>
      <c r="AM42" s="847">
        <f t="shared" si="10"/>
        <v>0</v>
      </c>
      <c r="AN42" s="847">
        <f t="shared" si="10"/>
        <v>0</v>
      </c>
      <c r="AO42" s="847">
        <f t="shared" si="10"/>
        <v>0</v>
      </c>
      <c r="AP42" s="847">
        <f t="shared" si="10"/>
        <v>0</v>
      </c>
      <c r="AQ42" s="847">
        <f t="shared" si="10"/>
        <v>0</v>
      </c>
      <c r="AR42" s="847">
        <f t="shared" si="10"/>
        <v>0</v>
      </c>
      <c r="AS42" s="847">
        <f t="shared" si="10"/>
        <v>0</v>
      </c>
      <c r="AT42" s="847">
        <f t="shared" si="10"/>
        <v>0</v>
      </c>
      <c r="AU42" s="847">
        <f t="shared" si="10"/>
        <v>0</v>
      </c>
      <c r="AV42" s="847">
        <f t="shared" si="10"/>
        <v>0</v>
      </c>
      <c r="AW42" s="847">
        <f t="shared" si="10"/>
        <v>0</v>
      </c>
      <c r="AX42" s="847">
        <f t="shared" si="10"/>
        <v>0</v>
      </c>
      <c r="AY42" s="847">
        <f t="shared" si="10"/>
        <v>0</v>
      </c>
      <c r="AZ42" s="847">
        <f t="shared" si="10"/>
        <v>0</v>
      </c>
      <c r="BA42" s="847">
        <f t="shared" si="10"/>
        <v>0</v>
      </c>
      <c r="BB42" s="847">
        <f t="shared" si="10"/>
        <v>0</v>
      </c>
      <c r="BC42" s="847">
        <f t="shared" si="10"/>
        <v>0</v>
      </c>
      <c r="BD42" s="847">
        <f t="shared" ref="BD42:DO42" si="12">SUM(BD37:BD41)</f>
        <v>0</v>
      </c>
      <c r="BE42" s="847">
        <f t="shared" si="12"/>
        <v>0</v>
      </c>
      <c r="BF42" s="847">
        <f t="shared" si="12"/>
        <v>0</v>
      </c>
      <c r="BG42" s="847">
        <f t="shared" si="12"/>
        <v>0</v>
      </c>
      <c r="BH42" s="847">
        <f t="shared" si="12"/>
        <v>0</v>
      </c>
      <c r="BI42" s="847">
        <f t="shared" si="12"/>
        <v>0</v>
      </c>
      <c r="BJ42" s="847">
        <f t="shared" si="12"/>
        <v>0</v>
      </c>
      <c r="BK42" s="847">
        <f t="shared" si="12"/>
        <v>0</v>
      </c>
      <c r="BL42" s="847">
        <f t="shared" si="12"/>
        <v>0</v>
      </c>
      <c r="BM42" s="847">
        <f t="shared" si="12"/>
        <v>0</v>
      </c>
      <c r="BN42" s="847">
        <f t="shared" si="12"/>
        <v>0</v>
      </c>
      <c r="BO42" s="847">
        <f t="shared" si="12"/>
        <v>0</v>
      </c>
      <c r="BP42" s="847">
        <f t="shared" si="12"/>
        <v>0</v>
      </c>
      <c r="BQ42" s="847">
        <f t="shared" si="12"/>
        <v>0</v>
      </c>
      <c r="BR42" s="847">
        <f t="shared" si="12"/>
        <v>0</v>
      </c>
      <c r="BS42" s="847">
        <f t="shared" si="12"/>
        <v>0</v>
      </c>
      <c r="BT42" s="847">
        <f t="shared" si="12"/>
        <v>0</v>
      </c>
      <c r="BU42" s="847">
        <f t="shared" si="12"/>
        <v>0</v>
      </c>
      <c r="BV42" s="847">
        <f t="shared" si="12"/>
        <v>0</v>
      </c>
      <c r="BW42" s="847">
        <f t="shared" si="12"/>
        <v>0</v>
      </c>
      <c r="BX42" s="847">
        <f t="shared" si="12"/>
        <v>0</v>
      </c>
      <c r="BY42" s="847">
        <f t="shared" si="12"/>
        <v>0</v>
      </c>
      <c r="BZ42" s="847">
        <f t="shared" si="12"/>
        <v>0</v>
      </c>
      <c r="CA42" s="847">
        <f t="shared" si="12"/>
        <v>0</v>
      </c>
      <c r="CB42" s="847">
        <f t="shared" si="12"/>
        <v>0</v>
      </c>
      <c r="CC42" s="847">
        <f t="shared" si="12"/>
        <v>0</v>
      </c>
      <c r="CD42" s="847">
        <f t="shared" si="12"/>
        <v>0</v>
      </c>
      <c r="CE42" s="847">
        <f t="shared" si="12"/>
        <v>0</v>
      </c>
      <c r="CF42" s="847">
        <f t="shared" si="12"/>
        <v>0</v>
      </c>
      <c r="CG42" s="847">
        <f t="shared" si="12"/>
        <v>0</v>
      </c>
      <c r="CH42" s="847">
        <f t="shared" si="12"/>
        <v>0</v>
      </c>
      <c r="CI42" s="847">
        <f t="shared" si="12"/>
        <v>0</v>
      </c>
      <c r="CJ42" s="847">
        <f t="shared" si="12"/>
        <v>0</v>
      </c>
      <c r="CK42" s="847">
        <f t="shared" si="12"/>
        <v>0</v>
      </c>
      <c r="CL42" s="847">
        <f t="shared" si="12"/>
        <v>0</v>
      </c>
      <c r="CM42" s="847">
        <f t="shared" si="12"/>
        <v>0</v>
      </c>
      <c r="CN42" s="847">
        <f t="shared" si="12"/>
        <v>0</v>
      </c>
      <c r="CO42" s="847">
        <f t="shared" si="12"/>
        <v>0</v>
      </c>
      <c r="CP42" s="847">
        <f t="shared" si="12"/>
        <v>0</v>
      </c>
      <c r="CQ42" s="847">
        <f t="shared" si="12"/>
        <v>0</v>
      </c>
      <c r="CR42" s="847">
        <f t="shared" si="12"/>
        <v>0</v>
      </c>
      <c r="CS42" s="847">
        <f t="shared" si="12"/>
        <v>0</v>
      </c>
      <c r="CT42" s="847">
        <f t="shared" si="12"/>
        <v>0</v>
      </c>
      <c r="CU42" s="847">
        <f t="shared" si="12"/>
        <v>0</v>
      </c>
      <c r="CV42" s="847">
        <f t="shared" si="12"/>
        <v>0</v>
      </c>
      <c r="CW42" s="847">
        <f t="shared" si="12"/>
        <v>0</v>
      </c>
      <c r="CX42" s="847">
        <f t="shared" si="12"/>
        <v>0</v>
      </c>
      <c r="CY42" s="847">
        <f t="shared" si="12"/>
        <v>0</v>
      </c>
      <c r="CZ42" s="847">
        <f t="shared" si="12"/>
        <v>0</v>
      </c>
      <c r="DA42" s="847">
        <f t="shared" si="12"/>
        <v>0</v>
      </c>
      <c r="DB42" s="847">
        <f t="shared" si="12"/>
        <v>0</v>
      </c>
      <c r="DC42" s="847">
        <f t="shared" si="12"/>
        <v>0</v>
      </c>
      <c r="DD42" s="847">
        <f t="shared" si="12"/>
        <v>0</v>
      </c>
      <c r="DE42" s="847">
        <f t="shared" si="12"/>
        <v>0</v>
      </c>
      <c r="DF42" s="847">
        <f t="shared" si="12"/>
        <v>0</v>
      </c>
      <c r="DG42" s="847">
        <f t="shared" si="12"/>
        <v>0</v>
      </c>
      <c r="DH42" s="847">
        <f t="shared" si="12"/>
        <v>0</v>
      </c>
      <c r="DI42" s="847">
        <f t="shared" si="12"/>
        <v>0</v>
      </c>
      <c r="DJ42" s="847">
        <f t="shared" si="12"/>
        <v>0</v>
      </c>
      <c r="DK42" s="847">
        <f t="shared" si="12"/>
        <v>0</v>
      </c>
      <c r="DL42" s="847">
        <f t="shared" si="12"/>
        <v>0</v>
      </c>
      <c r="DM42" s="847">
        <f t="shared" si="12"/>
        <v>0</v>
      </c>
      <c r="DN42" s="847">
        <f t="shared" si="12"/>
        <v>0</v>
      </c>
      <c r="DO42" s="847">
        <f t="shared" si="12"/>
        <v>0</v>
      </c>
      <c r="DP42" s="847">
        <f t="shared" ref="DP42:FL42" si="13">SUM(DP37:DP41)</f>
        <v>0</v>
      </c>
      <c r="DQ42" s="847">
        <f t="shared" si="13"/>
        <v>0</v>
      </c>
      <c r="DR42" s="847">
        <f t="shared" si="13"/>
        <v>0</v>
      </c>
      <c r="DS42" s="847">
        <f t="shared" si="13"/>
        <v>0</v>
      </c>
      <c r="DT42" s="847">
        <f t="shared" si="13"/>
        <v>0</v>
      </c>
      <c r="DU42" s="847">
        <f t="shared" si="13"/>
        <v>0</v>
      </c>
      <c r="DV42" s="847">
        <f t="shared" si="13"/>
        <v>0</v>
      </c>
      <c r="DW42" s="847">
        <f t="shared" si="13"/>
        <v>0</v>
      </c>
      <c r="DX42" s="847">
        <f t="shared" si="13"/>
        <v>0</v>
      </c>
      <c r="DY42" s="847">
        <f t="shared" si="13"/>
        <v>0</v>
      </c>
      <c r="DZ42" s="847">
        <f t="shared" si="13"/>
        <v>0</v>
      </c>
      <c r="EA42" s="847">
        <f t="shared" si="13"/>
        <v>0</v>
      </c>
      <c r="EB42" s="847">
        <f t="shared" si="13"/>
        <v>0</v>
      </c>
      <c r="EC42" s="847">
        <f t="shared" si="13"/>
        <v>0</v>
      </c>
      <c r="ED42" s="847">
        <f t="shared" si="13"/>
        <v>0</v>
      </c>
      <c r="EE42" s="847">
        <f t="shared" si="13"/>
        <v>0</v>
      </c>
      <c r="EF42" s="847">
        <f t="shared" si="13"/>
        <v>0</v>
      </c>
      <c r="EG42" s="847">
        <f t="shared" si="13"/>
        <v>0</v>
      </c>
      <c r="EH42" s="847">
        <f t="shared" si="13"/>
        <v>0</v>
      </c>
      <c r="EI42" s="847">
        <f t="shared" si="13"/>
        <v>0</v>
      </c>
      <c r="EJ42" s="847">
        <f t="shared" si="13"/>
        <v>0</v>
      </c>
      <c r="EK42" s="847">
        <f t="shared" si="13"/>
        <v>0</v>
      </c>
      <c r="EL42" s="847">
        <f t="shared" si="13"/>
        <v>0</v>
      </c>
      <c r="EM42" s="847">
        <f t="shared" si="13"/>
        <v>0</v>
      </c>
      <c r="EN42" s="847">
        <f t="shared" si="13"/>
        <v>0</v>
      </c>
      <c r="EO42" s="847">
        <f t="shared" si="13"/>
        <v>0</v>
      </c>
      <c r="EP42" s="847">
        <f t="shared" si="13"/>
        <v>0</v>
      </c>
      <c r="EQ42" s="847">
        <f t="shared" si="13"/>
        <v>0</v>
      </c>
      <c r="ER42" s="847">
        <f t="shared" si="13"/>
        <v>0</v>
      </c>
      <c r="ES42" s="847">
        <f t="shared" si="13"/>
        <v>0</v>
      </c>
      <c r="ET42" s="847">
        <f t="shared" si="13"/>
        <v>0</v>
      </c>
      <c r="EU42" s="847">
        <f t="shared" si="13"/>
        <v>0</v>
      </c>
      <c r="EV42" s="847">
        <f t="shared" si="13"/>
        <v>0</v>
      </c>
      <c r="EW42" s="847">
        <f t="shared" si="13"/>
        <v>0</v>
      </c>
      <c r="EX42" s="847">
        <f t="shared" si="13"/>
        <v>0</v>
      </c>
      <c r="EY42" s="863">
        <f t="shared" si="13"/>
        <v>0</v>
      </c>
      <c r="EZ42" s="534">
        <f t="shared" si="13"/>
        <v>0</v>
      </c>
      <c r="FA42" s="534">
        <f t="shared" si="13"/>
        <v>0</v>
      </c>
      <c r="FB42" s="534">
        <f t="shared" si="13"/>
        <v>0</v>
      </c>
      <c r="FC42" s="534">
        <f t="shared" si="13"/>
        <v>0</v>
      </c>
      <c r="FD42" s="534">
        <f t="shared" si="13"/>
        <v>0</v>
      </c>
      <c r="FE42" s="534">
        <f t="shared" si="13"/>
        <v>0</v>
      </c>
      <c r="FF42" s="534">
        <f t="shared" si="13"/>
        <v>0</v>
      </c>
      <c r="FG42" s="534">
        <f t="shared" si="13"/>
        <v>0</v>
      </c>
      <c r="FH42" s="534">
        <f t="shared" si="13"/>
        <v>0</v>
      </c>
      <c r="FI42" s="534">
        <f t="shared" si="13"/>
        <v>0</v>
      </c>
      <c r="FJ42" s="534">
        <f t="shared" si="13"/>
        <v>0</v>
      </c>
      <c r="FK42" s="534">
        <f t="shared" si="13"/>
        <v>0</v>
      </c>
      <c r="FL42" s="534">
        <f t="shared" si="13"/>
        <v>0</v>
      </c>
    </row>
    <row r="43" spans="1:168" ht="13.95" customHeight="1" x14ac:dyDescent="0.25">
      <c r="A43" s="391"/>
      <c r="B43" s="461" t="s">
        <v>1209</v>
      </c>
      <c r="C43" s="841">
        <f>C26+C36+C42</f>
        <v>1980</v>
      </c>
      <c r="D43" s="791">
        <f>D26+D36+D42</f>
        <v>37.020000000000003</v>
      </c>
      <c r="E43" s="791">
        <f t="shared" ref="E43:BC43" si="14">E26+E36+E42</f>
        <v>60.09</v>
      </c>
      <c r="F43" s="791">
        <f t="shared" si="14"/>
        <v>199.45</v>
      </c>
      <c r="G43" s="841">
        <f t="shared" si="14"/>
        <v>1516</v>
      </c>
      <c r="H43" s="841"/>
      <c r="I43" s="791">
        <f t="shared" ref="I43" si="15">I26+I36+I42</f>
        <v>135.87</v>
      </c>
      <c r="J43" s="848">
        <f t="shared" si="14"/>
        <v>0.05</v>
      </c>
      <c r="K43" s="848">
        <f t="shared" si="14"/>
        <v>0</v>
      </c>
      <c r="L43" s="848">
        <f t="shared" si="14"/>
        <v>0</v>
      </c>
      <c r="M43" s="848">
        <f t="shared" si="14"/>
        <v>0</v>
      </c>
      <c r="N43" s="848">
        <f t="shared" si="14"/>
        <v>0</v>
      </c>
      <c r="O43" s="848">
        <f t="shared" si="14"/>
        <v>0</v>
      </c>
      <c r="P43" s="848">
        <f t="shared" si="14"/>
        <v>0</v>
      </c>
      <c r="Q43" s="848">
        <f t="shared" si="14"/>
        <v>0</v>
      </c>
      <c r="R43" s="848">
        <f t="shared" si="14"/>
        <v>0</v>
      </c>
      <c r="S43" s="848">
        <f t="shared" si="14"/>
        <v>0</v>
      </c>
      <c r="T43" s="848">
        <f t="shared" si="14"/>
        <v>0</v>
      </c>
      <c r="U43" s="848">
        <f t="shared" si="14"/>
        <v>0.14599999999999999</v>
      </c>
      <c r="V43" s="848">
        <f t="shared" si="14"/>
        <v>2.8000000000000001E-2</v>
      </c>
      <c r="W43" s="848">
        <f t="shared" si="14"/>
        <v>0</v>
      </c>
      <c r="X43" s="848">
        <f t="shared" si="14"/>
        <v>0</v>
      </c>
      <c r="Y43" s="848">
        <f t="shared" si="14"/>
        <v>2.375E-2</v>
      </c>
      <c r="Z43" s="848">
        <f t="shared" si="14"/>
        <v>0</v>
      </c>
      <c r="AA43" s="848">
        <f t="shared" si="14"/>
        <v>0</v>
      </c>
      <c r="AB43" s="848">
        <f t="shared" si="14"/>
        <v>0</v>
      </c>
      <c r="AC43" s="848">
        <f t="shared" si="14"/>
        <v>0</v>
      </c>
      <c r="AD43" s="848">
        <f t="shared" si="14"/>
        <v>0</v>
      </c>
      <c r="AE43" s="848">
        <f t="shared" si="14"/>
        <v>0</v>
      </c>
      <c r="AF43" s="848">
        <f t="shared" si="14"/>
        <v>3.7499999999999999E-2</v>
      </c>
      <c r="AG43" s="848">
        <f t="shared" si="14"/>
        <v>0</v>
      </c>
      <c r="AH43" s="848">
        <f t="shared" si="14"/>
        <v>0.13125000000000001</v>
      </c>
      <c r="AI43" s="848">
        <f t="shared" si="14"/>
        <v>0</v>
      </c>
      <c r="AJ43" s="848">
        <f t="shared" si="14"/>
        <v>0</v>
      </c>
      <c r="AK43" s="848">
        <f t="shared" si="14"/>
        <v>2.7E-2</v>
      </c>
      <c r="AL43" s="848">
        <f t="shared" si="14"/>
        <v>1.728E-2</v>
      </c>
      <c r="AM43" s="848">
        <f t="shared" si="14"/>
        <v>0</v>
      </c>
      <c r="AN43" s="848">
        <f t="shared" si="14"/>
        <v>5.0819999999999997E-2</v>
      </c>
      <c r="AO43" s="848">
        <f t="shared" si="14"/>
        <v>0</v>
      </c>
      <c r="AP43" s="848">
        <f t="shared" si="14"/>
        <v>0</v>
      </c>
      <c r="AQ43" s="848">
        <f t="shared" si="14"/>
        <v>4.2500000000000003E-2</v>
      </c>
      <c r="AR43" s="848">
        <f t="shared" si="14"/>
        <v>0</v>
      </c>
      <c r="AS43" s="848">
        <f t="shared" si="14"/>
        <v>0</v>
      </c>
      <c r="AT43" s="848">
        <f t="shared" si="14"/>
        <v>3.2499999999999999E-3</v>
      </c>
      <c r="AU43" s="848">
        <f t="shared" si="14"/>
        <v>3.5000000000000001E-3</v>
      </c>
      <c r="AV43" s="848">
        <f t="shared" si="14"/>
        <v>0</v>
      </c>
      <c r="AW43" s="848">
        <f t="shared" si="14"/>
        <v>0</v>
      </c>
      <c r="AX43" s="848">
        <f t="shared" si="14"/>
        <v>0</v>
      </c>
      <c r="AY43" s="848">
        <f t="shared" si="14"/>
        <v>0</v>
      </c>
      <c r="AZ43" s="848">
        <f t="shared" si="14"/>
        <v>0</v>
      </c>
      <c r="BA43" s="848">
        <f t="shared" si="14"/>
        <v>3.15E-2</v>
      </c>
      <c r="BB43" s="848">
        <f t="shared" si="14"/>
        <v>0</v>
      </c>
      <c r="BC43" s="848">
        <f t="shared" si="14"/>
        <v>0</v>
      </c>
      <c r="BD43" s="848">
        <f t="shared" ref="BD43:DO43" si="16">BD26+BD36+BD42</f>
        <v>0</v>
      </c>
      <c r="BE43" s="848">
        <f t="shared" si="16"/>
        <v>0</v>
      </c>
      <c r="BF43" s="848">
        <f t="shared" si="16"/>
        <v>0</v>
      </c>
      <c r="BG43" s="848">
        <f t="shared" si="16"/>
        <v>0</v>
      </c>
      <c r="BH43" s="848">
        <f t="shared" si="16"/>
        <v>0</v>
      </c>
      <c r="BI43" s="848">
        <f t="shared" si="16"/>
        <v>0</v>
      </c>
      <c r="BJ43" s="848">
        <f t="shared" si="16"/>
        <v>0</v>
      </c>
      <c r="BK43" s="848">
        <f t="shared" si="16"/>
        <v>0</v>
      </c>
      <c r="BL43" s="848">
        <f t="shared" si="16"/>
        <v>0</v>
      </c>
      <c r="BM43" s="848">
        <f t="shared" si="16"/>
        <v>0</v>
      </c>
      <c r="BN43" s="848">
        <f t="shared" si="16"/>
        <v>0</v>
      </c>
      <c r="BO43" s="848">
        <f t="shared" si="16"/>
        <v>0</v>
      </c>
      <c r="BP43" s="848">
        <f t="shared" si="16"/>
        <v>0</v>
      </c>
      <c r="BQ43" s="848">
        <f t="shared" si="16"/>
        <v>0</v>
      </c>
      <c r="BR43" s="848">
        <f t="shared" si="16"/>
        <v>0.2</v>
      </c>
      <c r="BS43" s="848">
        <f t="shared" si="16"/>
        <v>5.6299999999999996E-3</v>
      </c>
      <c r="BT43" s="848">
        <f t="shared" si="16"/>
        <v>0.04</v>
      </c>
      <c r="BU43" s="848">
        <f t="shared" si="16"/>
        <v>0</v>
      </c>
      <c r="BV43" s="848">
        <f t="shared" si="16"/>
        <v>0</v>
      </c>
      <c r="BW43" s="848">
        <f t="shared" si="16"/>
        <v>0</v>
      </c>
      <c r="BX43" s="848">
        <f t="shared" si="16"/>
        <v>0</v>
      </c>
      <c r="BY43" s="848">
        <f t="shared" si="16"/>
        <v>0</v>
      </c>
      <c r="BZ43" s="848">
        <f t="shared" si="16"/>
        <v>0</v>
      </c>
      <c r="CA43" s="848">
        <f t="shared" si="16"/>
        <v>0</v>
      </c>
      <c r="CB43" s="848">
        <f t="shared" si="16"/>
        <v>0</v>
      </c>
      <c r="CC43" s="848">
        <f t="shared" si="16"/>
        <v>0</v>
      </c>
      <c r="CD43" s="848">
        <f t="shared" si="16"/>
        <v>0</v>
      </c>
      <c r="CE43" s="848">
        <f t="shared" si="16"/>
        <v>0</v>
      </c>
      <c r="CF43" s="848">
        <f t="shared" si="16"/>
        <v>1.7600000000000001E-2</v>
      </c>
      <c r="CG43" s="848">
        <f t="shared" si="16"/>
        <v>0</v>
      </c>
      <c r="CH43" s="848">
        <f t="shared" si="16"/>
        <v>0</v>
      </c>
      <c r="CI43" s="848">
        <f t="shared" si="16"/>
        <v>0</v>
      </c>
      <c r="CJ43" s="848">
        <f t="shared" si="16"/>
        <v>0</v>
      </c>
      <c r="CK43" s="848">
        <f t="shared" si="16"/>
        <v>0</v>
      </c>
      <c r="CL43" s="848">
        <f t="shared" si="16"/>
        <v>0</v>
      </c>
      <c r="CM43" s="848">
        <f t="shared" si="16"/>
        <v>0</v>
      </c>
      <c r="CN43" s="848">
        <f t="shared" si="16"/>
        <v>0</v>
      </c>
      <c r="CO43" s="848">
        <f t="shared" si="16"/>
        <v>0</v>
      </c>
      <c r="CP43" s="848">
        <f t="shared" si="16"/>
        <v>0</v>
      </c>
      <c r="CQ43" s="848">
        <f t="shared" si="16"/>
        <v>2.0000000000000001E-4</v>
      </c>
      <c r="CR43" s="848">
        <f t="shared" si="16"/>
        <v>0</v>
      </c>
      <c r="CS43" s="848">
        <f t="shared" si="16"/>
        <v>2.0000000000000001E-4</v>
      </c>
      <c r="CT43" s="848">
        <f t="shared" si="16"/>
        <v>0</v>
      </c>
      <c r="CU43" s="848">
        <f t="shared" si="16"/>
        <v>0</v>
      </c>
      <c r="CV43" s="848">
        <f t="shared" si="16"/>
        <v>0</v>
      </c>
      <c r="CW43" s="848">
        <f t="shared" si="16"/>
        <v>0</v>
      </c>
      <c r="CX43" s="848">
        <f t="shared" si="16"/>
        <v>0</v>
      </c>
      <c r="CY43" s="848">
        <f t="shared" si="16"/>
        <v>0</v>
      </c>
      <c r="CZ43" s="848">
        <f t="shared" si="16"/>
        <v>5.0999999999999997E-2</v>
      </c>
      <c r="DA43" s="848">
        <f t="shared" si="16"/>
        <v>0</v>
      </c>
      <c r="DB43" s="848">
        <f t="shared" si="16"/>
        <v>0</v>
      </c>
      <c r="DC43" s="848">
        <f t="shared" si="16"/>
        <v>1.068E-2</v>
      </c>
      <c r="DD43" s="848">
        <f t="shared" si="16"/>
        <v>5.0000000000000001E-3</v>
      </c>
      <c r="DE43" s="848">
        <f t="shared" si="16"/>
        <v>0.02</v>
      </c>
      <c r="DF43" s="848">
        <f t="shared" si="16"/>
        <v>3.0000000000000001E-3</v>
      </c>
      <c r="DG43" s="848">
        <f t="shared" si="16"/>
        <v>0</v>
      </c>
      <c r="DH43" s="848">
        <f t="shared" si="16"/>
        <v>0</v>
      </c>
      <c r="DI43" s="848">
        <f t="shared" si="16"/>
        <v>0</v>
      </c>
      <c r="DJ43" s="848">
        <f t="shared" si="16"/>
        <v>0</v>
      </c>
      <c r="DK43" s="848">
        <f t="shared" si="16"/>
        <v>0</v>
      </c>
      <c r="DL43" s="848">
        <f t="shared" si="16"/>
        <v>2.0250000000000001E-2</v>
      </c>
      <c r="DM43" s="848">
        <f t="shared" si="16"/>
        <v>0</v>
      </c>
      <c r="DN43" s="848">
        <f t="shared" si="16"/>
        <v>0</v>
      </c>
      <c r="DO43" s="848">
        <f t="shared" si="16"/>
        <v>0</v>
      </c>
      <c r="DP43" s="848">
        <f t="shared" ref="DP43:FL43" si="17">DP26+DP36+DP42</f>
        <v>0</v>
      </c>
      <c r="DQ43" s="848">
        <f t="shared" si="17"/>
        <v>0</v>
      </c>
      <c r="DR43" s="848">
        <f t="shared" si="17"/>
        <v>5.0000000000000001E-4</v>
      </c>
      <c r="DS43" s="848">
        <f t="shared" si="17"/>
        <v>0</v>
      </c>
      <c r="DT43" s="848">
        <f t="shared" si="17"/>
        <v>0</v>
      </c>
      <c r="DU43" s="848">
        <f t="shared" si="17"/>
        <v>0</v>
      </c>
      <c r="DV43" s="848">
        <f t="shared" si="17"/>
        <v>0</v>
      </c>
      <c r="DW43" s="848">
        <f t="shared" si="17"/>
        <v>0</v>
      </c>
      <c r="DX43" s="848">
        <f t="shared" si="17"/>
        <v>0</v>
      </c>
      <c r="DY43" s="848">
        <f t="shared" si="17"/>
        <v>0</v>
      </c>
      <c r="DZ43" s="848">
        <f t="shared" si="17"/>
        <v>0</v>
      </c>
      <c r="EA43" s="848">
        <f t="shared" si="17"/>
        <v>0</v>
      </c>
      <c r="EB43" s="848">
        <f t="shared" si="17"/>
        <v>0.5</v>
      </c>
      <c r="EC43" s="848">
        <f t="shared" si="17"/>
        <v>0</v>
      </c>
      <c r="ED43" s="848">
        <f t="shared" si="17"/>
        <v>0</v>
      </c>
      <c r="EE43" s="848">
        <f t="shared" si="17"/>
        <v>0</v>
      </c>
      <c r="EF43" s="848">
        <f t="shared" si="17"/>
        <v>0</v>
      </c>
      <c r="EG43" s="848">
        <f t="shared" si="17"/>
        <v>0</v>
      </c>
      <c r="EH43" s="848">
        <f t="shared" si="17"/>
        <v>0</v>
      </c>
      <c r="EI43" s="848">
        <f t="shared" si="17"/>
        <v>0</v>
      </c>
      <c r="EJ43" s="848">
        <f t="shared" si="17"/>
        <v>0</v>
      </c>
      <c r="EK43" s="848">
        <f t="shared" si="17"/>
        <v>0</v>
      </c>
      <c r="EL43" s="848">
        <f t="shared" si="17"/>
        <v>0</v>
      </c>
      <c r="EM43" s="848">
        <f t="shared" si="17"/>
        <v>0</v>
      </c>
      <c r="EN43" s="848">
        <f t="shared" si="17"/>
        <v>0</v>
      </c>
      <c r="EO43" s="848">
        <f t="shared" si="17"/>
        <v>0</v>
      </c>
      <c r="EP43" s="848">
        <f t="shared" si="17"/>
        <v>0</v>
      </c>
      <c r="EQ43" s="848">
        <f t="shared" si="17"/>
        <v>0</v>
      </c>
      <c r="ER43" s="848">
        <f t="shared" si="17"/>
        <v>0</v>
      </c>
      <c r="ES43" s="848">
        <f t="shared" si="17"/>
        <v>0</v>
      </c>
      <c r="ET43" s="848">
        <f t="shared" si="17"/>
        <v>0</v>
      </c>
      <c r="EU43" s="848">
        <f t="shared" si="17"/>
        <v>0</v>
      </c>
      <c r="EV43" s="848">
        <f t="shared" si="17"/>
        <v>5.8999999999999997E-2</v>
      </c>
      <c r="EW43" s="848">
        <f t="shared" si="17"/>
        <v>0.05</v>
      </c>
      <c r="EX43" s="848">
        <f t="shared" si="17"/>
        <v>0</v>
      </c>
      <c r="EY43" s="767">
        <f t="shared" si="17"/>
        <v>1.5753999999999999</v>
      </c>
      <c r="EZ43" s="791">
        <f t="shared" si="17"/>
        <v>0</v>
      </c>
      <c r="FA43" s="791">
        <f t="shared" si="17"/>
        <v>0</v>
      </c>
      <c r="FB43" s="791">
        <f t="shared" si="17"/>
        <v>0</v>
      </c>
      <c r="FC43" s="791">
        <f t="shared" si="17"/>
        <v>0</v>
      </c>
      <c r="FD43" s="791">
        <f t="shared" si="17"/>
        <v>0</v>
      </c>
      <c r="FE43" s="791">
        <f t="shared" si="17"/>
        <v>0</v>
      </c>
      <c r="FF43" s="791">
        <f t="shared" si="17"/>
        <v>0</v>
      </c>
      <c r="FG43" s="791">
        <f t="shared" si="17"/>
        <v>0</v>
      </c>
      <c r="FH43" s="791">
        <f t="shared" si="17"/>
        <v>0</v>
      </c>
      <c r="FI43" s="791">
        <f t="shared" si="17"/>
        <v>0</v>
      </c>
      <c r="FJ43" s="791">
        <f t="shared" si="17"/>
        <v>0</v>
      </c>
      <c r="FK43" s="791">
        <f t="shared" si="17"/>
        <v>0</v>
      </c>
      <c r="FL43" s="791">
        <f t="shared" si="17"/>
        <v>0</v>
      </c>
    </row>
    <row r="44" spans="1:168" hidden="1" x14ac:dyDescent="0.25">
      <c r="A44" s="829"/>
      <c r="B44" s="830" t="s">
        <v>1389</v>
      </c>
      <c r="C44" s="846"/>
      <c r="D44" s="856">
        <v>77</v>
      </c>
      <c r="E44" s="856">
        <v>79</v>
      </c>
      <c r="F44" s="856">
        <v>335</v>
      </c>
      <c r="G44" s="846">
        <v>2350</v>
      </c>
      <c r="H44" s="846"/>
      <c r="I44" s="856"/>
      <c r="J44" s="857"/>
      <c r="K44" s="857"/>
      <c r="L44" s="857"/>
      <c r="M44" s="857"/>
      <c r="N44" s="857"/>
      <c r="O44" s="857"/>
      <c r="P44" s="857"/>
      <c r="Q44" s="857"/>
      <c r="R44" s="857"/>
      <c r="S44" s="857"/>
      <c r="T44" s="857"/>
      <c r="U44" s="857"/>
      <c r="V44" s="857"/>
      <c r="W44" s="857"/>
      <c r="X44" s="857"/>
      <c r="Y44" s="857"/>
      <c r="Z44" s="857"/>
      <c r="AA44" s="857"/>
      <c r="AB44" s="857"/>
      <c r="AC44" s="857"/>
      <c r="AD44" s="857"/>
      <c r="AE44" s="857"/>
      <c r="AF44" s="857"/>
      <c r="AG44" s="857"/>
      <c r="AH44" s="857"/>
      <c r="AI44" s="857"/>
      <c r="AJ44" s="857"/>
      <c r="AK44" s="857"/>
      <c r="AL44" s="857"/>
      <c r="AM44" s="857"/>
      <c r="AN44" s="857"/>
      <c r="AO44" s="857"/>
      <c r="AP44" s="857"/>
      <c r="AQ44" s="857"/>
      <c r="AR44" s="857"/>
      <c r="AS44" s="857"/>
      <c r="AT44" s="857"/>
      <c r="AU44" s="857"/>
      <c r="AV44" s="857"/>
      <c r="AW44" s="857"/>
      <c r="AX44" s="857"/>
      <c r="AY44" s="857"/>
      <c r="AZ44" s="857"/>
      <c r="BA44" s="857"/>
      <c r="BB44" s="857"/>
      <c r="BC44" s="857"/>
      <c r="BD44" s="857"/>
      <c r="BE44" s="857"/>
      <c r="BF44" s="857"/>
      <c r="BG44" s="857"/>
      <c r="BH44" s="857"/>
      <c r="BI44" s="857"/>
      <c r="BJ44" s="857"/>
      <c r="BK44" s="857"/>
      <c r="BL44" s="857"/>
      <c r="BM44" s="857"/>
      <c r="BN44" s="857"/>
      <c r="BO44" s="857"/>
      <c r="BP44" s="857"/>
      <c r="BQ44" s="857"/>
      <c r="BR44" s="857"/>
      <c r="BS44" s="857"/>
      <c r="BT44" s="857"/>
      <c r="BU44" s="857"/>
      <c r="BV44" s="857"/>
      <c r="BW44" s="857"/>
      <c r="BX44" s="857"/>
      <c r="BY44" s="857"/>
      <c r="BZ44" s="857"/>
      <c r="CA44" s="857"/>
      <c r="CB44" s="857"/>
      <c r="CC44" s="857"/>
      <c r="CD44" s="857"/>
      <c r="CE44" s="857"/>
      <c r="CF44" s="857"/>
      <c r="CG44" s="857"/>
      <c r="CH44" s="857"/>
      <c r="CI44" s="857"/>
      <c r="CJ44" s="857"/>
      <c r="CK44" s="857"/>
      <c r="CL44" s="857"/>
      <c r="CM44" s="857"/>
      <c r="CN44" s="857"/>
      <c r="CO44" s="857"/>
      <c r="CP44" s="857"/>
      <c r="CQ44" s="857"/>
      <c r="CR44" s="857"/>
      <c r="CS44" s="857"/>
      <c r="CT44" s="857"/>
      <c r="CU44" s="857"/>
      <c r="CV44" s="857"/>
      <c r="CW44" s="857"/>
      <c r="CX44" s="857"/>
      <c r="CY44" s="857"/>
      <c r="CZ44" s="857"/>
      <c r="DA44" s="857"/>
      <c r="DB44" s="857"/>
      <c r="DC44" s="857"/>
      <c r="DD44" s="857"/>
      <c r="DE44" s="857"/>
      <c r="DF44" s="857"/>
      <c r="DG44" s="857"/>
      <c r="DH44" s="857"/>
      <c r="DI44" s="857"/>
      <c r="DJ44" s="857"/>
      <c r="DK44" s="857"/>
      <c r="DL44" s="857"/>
      <c r="DM44" s="857"/>
      <c r="DN44" s="857"/>
      <c r="DO44" s="857"/>
      <c r="DP44" s="857"/>
      <c r="DQ44" s="857"/>
      <c r="DR44" s="857"/>
      <c r="DS44" s="857"/>
      <c r="DT44" s="857"/>
      <c r="DU44" s="857"/>
      <c r="DV44" s="857"/>
      <c r="DW44" s="857"/>
      <c r="DX44" s="857"/>
      <c r="DY44" s="857"/>
      <c r="DZ44" s="857"/>
      <c r="EA44" s="857"/>
      <c r="EB44" s="857"/>
      <c r="EC44" s="857"/>
      <c r="ED44" s="857"/>
      <c r="EE44" s="857"/>
      <c r="EF44" s="857"/>
      <c r="EG44" s="857"/>
      <c r="EH44" s="857"/>
      <c r="EI44" s="857"/>
      <c r="EJ44" s="857"/>
      <c r="EK44" s="857"/>
      <c r="EL44" s="857"/>
      <c r="EM44" s="857"/>
      <c r="EN44" s="857"/>
      <c r="EO44" s="857"/>
      <c r="EP44" s="857"/>
      <c r="EQ44" s="857"/>
      <c r="ER44" s="857"/>
      <c r="ES44" s="857"/>
      <c r="ET44" s="857"/>
      <c r="EU44" s="857"/>
      <c r="EV44" s="857"/>
      <c r="EW44" s="857"/>
      <c r="EX44" s="857"/>
      <c r="EY44" s="862"/>
      <c r="EZ44" s="856">
        <v>1.2</v>
      </c>
      <c r="FA44" s="856">
        <v>1.4</v>
      </c>
      <c r="FB44" s="856">
        <v>60</v>
      </c>
      <c r="FC44" s="856">
        <v>700</v>
      </c>
      <c r="FD44" s="856">
        <v>10</v>
      </c>
      <c r="FE44" s="856">
        <v>1100</v>
      </c>
      <c r="FF44" s="856">
        <v>1100</v>
      </c>
      <c r="FG44" s="856">
        <v>250</v>
      </c>
      <c r="FH44" s="856">
        <v>1100</v>
      </c>
      <c r="FI44" s="856">
        <v>12</v>
      </c>
      <c r="FJ44" s="856">
        <v>10</v>
      </c>
      <c r="FK44" s="856">
        <v>0.1</v>
      </c>
      <c r="FL44" s="856">
        <v>0.02</v>
      </c>
    </row>
    <row r="45" spans="1:168" hidden="1" x14ac:dyDescent="0.25">
      <c r="A45" s="829"/>
      <c r="B45" s="830" t="s">
        <v>965</v>
      </c>
      <c r="C45" s="846"/>
      <c r="D45" s="856">
        <f>D43-D44</f>
        <v>-39.979999999999997</v>
      </c>
      <c r="E45" s="856">
        <f>E43-E44</f>
        <v>-18.91</v>
      </c>
      <c r="F45" s="856">
        <f t="shared" ref="F45:G45" si="18">F43-F44</f>
        <v>-135.55000000000001</v>
      </c>
      <c r="G45" s="846">
        <f t="shared" si="18"/>
        <v>-834</v>
      </c>
      <c r="H45" s="846"/>
      <c r="I45" s="869"/>
      <c r="J45" s="857"/>
      <c r="K45" s="857"/>
      <c r="L45" s="857"/>
      <c r="M45" s="857"/>
      <c r="N45" s="857"/>
      <c r="O45" s="857"/>
      <c r="P45" s="857"/>
      <c r="Q45" s="857"/>
      <c r="R45" s="857"/>
      <c r="S45" s="857"/>
      <c r="T45" s="857"/>
      <c r="U45" s="857"/>
      <c r="V45" s="857"/>
      <c r="W45" s="857"/>
      <c r="X45" s="857"/>
      <c r="Y45" s="857"/>
      <c r="Z45" s="857"/>
      <c r="AA45" s="857"/>
      <c r="AB45" s="857"/>
      <c r="AC45" s="857"/>
      <c r="AD45" s="857"/>
      <c r="AE45" s="857"/>
      <c r="AF45" s="857"/>
      <c r="AG45" s="857"/>
      <c r="AH45" s="857"/>
      <c r="AI45" s="857"/>
      <c r="AJ45" s="857"/>
      <c r="AK45" s="857"/>
      <c r="AL45" s="857"/>
      <c r="AM45" s="857"/>
      <c r="AN45" s="857"/>
      <c r="AO45" s="857"/>
      <c r="AP45" s="857"/>
      <c r="AQ45" s="857"/>
      <c r="AR45" s="857"/>
      <c r="AS45" s="857"/>
      <c r="AT45" s="857"/>
      <c r="AU45" s="857"/>
      <c r="AV45" s="857"/>
      <c r="AW45" s="857"/>
      <c r="AX45" s="857"/>
      <c r="AY45" s="857"/>
      <c r="AZ45" s="857"/>
      <c r="BA45" s="857"/>
      <c r="BB45" s="857"/>
      <c r="BC45" s="857"/>
      <c r="BD45" s="857"/>
      <c r="BE45" s="857"/>
      <c r="BF45" s="857"/>
      <c r="BG45" s="857"/>
      <c r="BH45" s="857"/>
      <c r="BI45" s="857"/>
      <c r="BJ45" s="857"/>
      <c r="BK45" s="857"/>
      <c r="BL45" s="857"/>
      <c r="BM45" s="857"/>
      <c r="BN45" s="857"/>
      <c r="BO45" s="857"/>
      <c r="BP45" s="857"/>
      <c r="BQ45" s="857"/>
      <c r="BR45" s="857"/>
      <c r="BS45" s="857"/>
      <c r="BT45" s="857"/>
      <c r="BU45" s="857"/>
      <c r="BV45" s="857"/>
      <c r="BW45" s="857"/>
      <c r="BX45" s="857"/>
      <c r="BY45" s="857"/>
      <c r="BZ45" s="857"/>
      <c r="CA45" s="857"/>
      <c r="CB45" s="857"/>
      <c r="CC45" s="857"/>
      <c r="CD45" s="857"/>
      <c r="CE45" s="857"/>
      <c r="CF45" s="857"/>
      <c r="CG45" s="857"/>
      <c r="CH45" s="857"/>
      <c r="CI45" s="857"/>
      <c r="CJ45" s="857"/>
      <c r="CK45" s="857"/>
      <c r="CL45" s="857"/>
      <c r="CM45" s="857"/>
      <c r="CN45" s="857"/>
      <c r="CO45" s="857"/>
      <c r="CP45" s="857"/>
      <c r="CQ45" s="857"/>
      <c r="CR45" s="857"/>
      <c r="CS45" s="857"/>
      <c r="CT45" s="857"/>
      <c r="CU45" s="857"/>
      <c r="CV45" s="857"/>
      <c r="CW45" s="857"/>
      <c r="CX45" s="857"/>
      <c r="CY45" s="857"/>
      <c r="CZ45" s="857"/>
      <c r="DA45" s="857"/>
      <c r="DB45" s="857"/>
      <c r="DC45" s="857"/>
      <c r="DD45" s="857"/>
      <c r="DE45" s="857"/>
      <c r="DF45" s="857"/>
      <c r="DG45" s="857"/>
      <c r="DH45" s="857"/>
      <c r="DI45" s="857"/>
      <c r="DJ45" s="857"/>
      <c r="DK45" s="857"/>
      <c r="DL45" s="857"/>
      <c r="DM45" s="857"/>
      <c r="DN45" s="857"/>
      <c r="DO45" s="857"/>
      <c r="DP45" s="857"/>
      <c r="DQ45" s="857"/>
      <c r="DR45" s="857"/>
      <c r="DS45" s="857"/>
      <c r="DT45" s="857"/>
      <c r="DU45" s="857"/>
      <c r="DV45" s="857"/>
      <c r="DW45" s="857"/>
      <c r="DX45" s="857"/>
      <c r="DY45" s="857"/>
      <c r="DZ45" s="857"/>
      <c r="EA45" s="857"/>
      <c r="EB45" s="857"/>
      <c r="EC45" s="857"/>
      <c r="ED45" s="857"/>
      <c r="EE45" s="857"/>
      <c r="EF45" s="857"/>
      <c r="EG45" s="857"/>
      <c r="EH45" s="857"/>
      <c r="EI45" s="857"/>
      <c r="EJ45" s="857"/>
      <c r="EK45" s="857"/>
      <c r="EL45" s="857"/>
      <c r="EM45" s="857"/>
      <c r="EN45" s="857"/>
      <c r="EO45" s="857"/>
      <c r="EP45" s="857"/>
      <c r="EQ45" s="857"/>
      <c r="ER45" s="857"/>
      <c r="ES45" s="857"/>
      <c r="ET45" s="857"/>
      <c r="EU45" s="857"/>
      <c r="EV45" s="857"/>
      <c r="EW45" s="857"/>
      <c r="EX45" s="857"/>
      <c r="EY45" s="862"/>
      <c r="EZ45" s="856">
        <f t="shared" ref="EZ45:FL45" si="19">EZ43-EZ44</f>
        <v>-1.2</v>
      </c>
      <c r="FA45" s="856">
        <f t="shared" si="19"/>
        <v>-1.4</v>
      </c>
      <c r="FB45" s="856">
        <f t="shared" si="19"/>
        <v>-60</v>
      </c>
      <c r="FC45" s="856">
        <f t="shared" si="19"/>
        <v>-700</v>
      </c>
      <c r="FD45" s="856">
        <f t="shared" si="19"/>
        <v>-10</v>
      </c>
      <c r="FE45" s="856">
        <f t="shared" si="19"/>
        <v>-1100</v>
      </c>
      <c r="FF45" s="856">
        <f t="shared" si="19"/>
        <v>-1100</v>
      </c>
      <c r="FG45" s="856">
        <f t="shared" si="19"/>
        <v>-250</v>
      </c>
      <c r="FH45" s="856">
        <f t="shared" si="19"/>
        <v>-1100</v>
      </c>
      <c r="FI45" s="856">
        <f t="shared" si="19"/>
        <v>-12</v>
      </c>
      <c r="FJ45" s="856">
        <f t="shared" si="19"/>
        <v>-10</v>
      </c>
      <c r="FK45" s="856">
        <f t="shared" si="19"/>
        <v>-0.1</v>
      </c>
      <c r="FL45" s="856">
        <f t="shared" si="19"/>
        <v>-0.02</v>
      </c>
    </row>
    <row r="46" spans="1:168" ht="17.399999999999999" customHeight="1" x14ac:dyDescent="0.25">
      <c r="A46" s="557"/>
      <c r="B46" s="555" t="s">
        <v>1224</v>
      </c>
      <c r="C46" s="858"/>
      <c r="D46" s="377"/>
      <c r="E46" s="579"/>
      <c r="F46" s="579"/>
      <c r="G46" s="579"/>
      <c r="H46" s="859"/>
      <c r="I46" s="868"/>
      <c r="J46" s="860"/>
      <c r="K46" s="860"/>
      <c r="L46" s="860"/>
      <c r="M46" s="860"/>
      <c r="N46" s="860"/>
      <c r="O46" s="860"/>
      <c r="P46" s="860"/>
      <c r="Q46" s="860"/>
      <c r="R46" s="860"/>
      <c r="S46" s="860"/>
      <c r="T46" s="860"/>
      <c r="U46" s="860"/>
      <c r="V46" s="860"/>
      <c r="W46" s="860"/>
      <c r="X46" s="860"/>
      <c r="Y46" s="860"/>
      <c r="Z46" s="860"/>
      <c r="AA46" s="860"/>
      <c r="AB46" s="860"/>
      <c r="AC46" s="860"/>
      <c r="AD46" s="860"/>
      <c r="AE46" s="860"/>
      <c r="AF46" s="860"/>
      <c r="AG46" s="860"/>
      <c r="AH46" s="860"/>
      <c r="AI46" s="860"/>
      <c r="AJ46" s="860"/>
      <c r="AK46" s="860"/>
      <c r="AL46" s="860"/>
      <c r="AM46" s="860"/>
      <c r="AN46" s="860"/>
      <c r="AO46" s="860"/>
      <c r="AP46" s="860"/>
      <c r="AQ46" s="860"/>
      <c r="AR46" s="860"/>
      <c r="AS46" s="860"/>
      <c r="AT46" s="860"/>
      <c r="AU46" s="860"/>
      <c r="AV46" s="860"/>
      <c r="AW46" s="860"/>
      <c r="AX46" s="860"/>
      <c r="AY46" s="860"/>
      <c r="AZ46" s="860"/>
      <c r="BA46" s="860"/>
      <c r="BB46" s="860"/>
      <c r="BC46" s="860"/>
      <c r="BD46" s="860"/>
      <c r="BE46" s="860"/>
      <c r="BF46" s="860"/>
      <c r="BG46" s="860"/>
      <c r="BH46" s="860"/>
      <c r="BI46" s="860"/>
      <c r="BJ46" s="860"/>
      <c r="BK46" s="860"/>
      <c r="BL46" s="860"/>
      <c r="BM46" s="860"/>
      <c r="BN46" s="860"/>
      <c r="BO46" s="860"/>
      <c r="BP46" s="860"/>
      <c r="BQ46" s="860"/>
      <c r="BR46" s="860"/>
      <c r="BS46" s="860"/>
      <c r="BT46" s="860"/>
      <c r="BU46" s="860"/>
      <c r="BV46" s="860"/>
      <c r="BW46" s="860"/>
      <c r="BX46" s="860"/>
      <c r="BY46" s="860"/>
      <c r="BZ46" s="860"/>
      <c r="CA46" s="860"/>
      <c r="CB46" s="860"/>
      <c r="CC46" s="860"/>
      <c r="CD46" s="860"/>
      <c r="CE46" s="860"/>
      <c r="CF46" s="860"/>
      <c r="CG46" s="860"/>
      <c r="CH46" s="860"/>
      <c r="CI46" s="860"/>
      <c r="CJ46" s="860"/>
      <c r="CK46" s="860"/>
      <c r="CL46" s="860"/>
      <c r="CM46" s="860"/>
      <c r="CN46" s="860"/>
      <c r="CO46" s="860"/>
      <c r="CP46" s="860"/>
      <c r="CQ46" s="860"/>
      <c r="CR46" s="860"/>
      <c r="CS46" s="860"/>
      <c r="CT46" s="860"/>
      <c r="CU46" s="860"/>
      <c r="CV46" s="860"/>
      <c r="CW46" s="860"/>
      <c r="CX46" s="860"/>
      <c r="CY46" s="860"/>
      <c r="CZ46" s="860"/>
      <c r="DA46" s="860"/>
      <c r="DB46" s="860"/>
      <c r="DC46" s="860"/>
      <c r="DD46" s="860"/>
      <c r="DE46" s="860"/>
      <c r="DF46" s="860"/>
      <c r="DG46" s="860"/>
      <c r="DH46" s="860"/>
      <c r="DI46" s="860"/>
      <c r="DJ46" s="860"/>
      <c r="DK46" s="860"/>
      <c r="DL46" s="860"/>
      <c r="DM46" s="860"/>
      <c r="DN46" s="860"/>
      <c r="DO46" s="860"/>
      <c r="DP46" s="860"/>
      <c r="DQ46" s="860"/>
      <c r="DR46" s="860"/>
      <c r="DS46" s="860"/>
      <c r="DT46" s="860"/>
      <c r="DU46" s="860"/>
      <c r="DV46" s="860"/>
      <c r="DW46" s="860"/>
      <c r="DX46" s="860"/>
      <c r="DY46" s="860"/>
      <c r="DZ46" s="860"/>
      <c r="EA46" s="860"/>
      <c r="EB46" s="860"/>
      <c r="EC46" s="860"/>
      <c r="ED46" s="860"/>
      <c r="EE46" s="860"/>
      <c r="EF46" s="860"/>
      <c r="EG46" s="860"/>
      <c r="EH46" s="860"/>
      <c r="EI46" s="860"/>
      <c r="EJ46" s="860"/>
      <c r="EK46" s="860"/>
      <c r="EL46" s="860"/>
      <c r="EM46" s="860"/>
      <c r="EN46" s="860"/>
      <c r="EO46" s="860"/>
      <c r="EP46" s="860"/>
      <c r="EQ46" s="860"/>
      <c r="ER46" s="860"/>
      <c r="ES46" s="860"/>
      <c r="ET46" s="860"/>
      <c r="EU46" s="860"/>
      <c r="EV46" s="860"/>
      <c r="EW46" s="860"/>
      <c r="EX46" s="860"/>
      <c r="EY46" s="694"/>
      <c r="EZ46" s="815"/>
      <c r="FA46" s="815"/>
      <c r="FB46" s="815"/>
      <c r="FC46" s="815"/>
      <c r="FD46" s="815"/>
      <c r="FE46" s="815"/>
      <c r="FF46" s="815"/>
      <c r="FG46" s="815"/>
      <c r="FH46" s="815"/>
      <c r="FI46" s="815"/>
      <c r="FJ46" s="815"/>
      <c r="FK46" s="815"/>
      <c r="FL46" s="815"/>
    </row>
    <row r="47" spans="1:168" x14ac:dyDescent="0.25">
      <c r="A47" s="1459" t="s">
        <v>109</v>
      </c>
      <c r="B47" s="115" t="str">
        <f>блюда!B152</f>
        <v>Омлет натуральный с маслом</v>
      </c>
      <c r="C47" s="116">
        <f>блюда!C152</f>
        <v>140</v>
      </c>
      <c r="D47" s="431">
        <f>блюда!D152</f>
        <v>13.01</v>
      </c>
      <c r="E47" s="431">
        <f>блюда!E152</f>
        <v>23.17</v>
      </c>
      <c r="F47" s="431">
        <f>блюда!F152</f>
        <v>2.46</v>
      </c>
      <c r="G47" s="116">
        <f>блюда!G152</f>
        <v>270</v>
      </c>
      <c r="H47" s="116">
        <f>блюда!H152</f>
        <v>210</v>
      </c>
      <c r="I47" s="431">
        <f>блюда!I152</f>
        <v>27.56</v>
      </c>
      <c r="J47" s="473">
        <f>блюда!J152</f>
        <v>0</v>
      </c>
      <c r="K47" s="473">
        <f>блюда!K152</f>
        <v>0</v>
      </c>
      <c r="L47" s="473">
        <f>блюда!L152</f>
        <v>0</v>
      </c>
      <c r="M47" s="473">
        <f>блюда!M152</f>
        <v>0</v>
      </c>
      <c r="N47" s="473">
        <f>блюда!N152</f>
        <v>0</v>
      </c>
      <c r="O47" s="473">
        <f>блюда!O152</f>
        <v>0</v>
      </c>
      <c r="P47" s="473">
        <f>блюда!P152</f>
        <v>0</v>
      </c>
      <c r="Q47" s="473">
        <f>блюда!Q152</f>
        <v>0</v>
      </c>
      <c r="R47" s="473">
        <f>блюда!R152</f>
        <v>0</v>
      </c>
      <c r="S47" s="473">
        <f>блюда!S152</f>
        <v>0</v>
      </c>
      <c r="T47" s="473">
        <f>блюда!T152</f>
        <v>0</v>
      </c>
      <c r="U47" s="473">
        <f>блюда!U152</f>
        <v>3.4099999999999998E-2</v>
      </c>
      <c r="V47" s="473">
        <f>блюда!V152</f>
        <v>0.01</v>
      </c>
      <c r="W47" s="473">
        <f>блюда!W152</f>
        <v>0</v>
      </c>
      <c r="X47" s="473">
        <f>блюда!X152</f>
        <v>0</v>
      </c>
      <c r="Y47" s="473">
        <f>блюда!Y152</f>
        <v>0</v>
      </c>
      <c r="Z47" s="473">
        <f>блюда!Z152</f>
        <v>0</v>
      </c>
      <c r="AA47" s="473">
        <f>блюда!AA152</f>
        <v>0</v>
      </c>
      <c r="AB47" s="473">
        <f>блюда!AB152</f>
        <v>0</v>
      </c>
      <c r="AC47" s="473">
        <f>блюда!AC152</f>
        <v>0</v>
      </c>
      <c r="AD47" s="473">
        <f>блюда!AD152</f>
        <v>0</v>
      </c>
      <c r="AE47" s="473">
        <f>блюда!AE152</f>
        <v>0.1045</v>
      </c>
      <c r="AF47" s="473">
        <f>блюда!AF152</f>
        <v>0</v>
      </c>
      <c r="AG47" s="473">
        <f>блюда!AG152</f>
        <v>0</v>
      </c>
      <c r="AH47" s="473">
        <f>блюда!AH152</f>
        <v>0</v>
      </c>
      <c r="AI47" s="473">
        <f>блюда!AI152</f>
        <v>0</v>
      </c>
      <c r="AJ47" s="473">
        <f>блюда!AJ152</f>
        <v>0</v>
      </c>
      <c r="AK47" s="473">
        <f>блюда!AK152</f>
        <v>0</v>
      </c>
      <c r="AL47" s="473">
        <f>блюда!AL152</f>
        <v>2E-3</v>
      </c>
      <c r="AM47" s="473">
        <f>блюда!AM152</f>
        <v>0</v>
      </c>
      <c r="AN47" s="473">
        <f>блюда!AN152</f>
        <v>0</v>
      </c>
      <c r="AO47" s="473">
        <f>блюда!AO152</f>
        <v>0</v>
      </c>
      <c r="AP47" s="473">
        <f>блюда!AP152</f>
        <v>0</v>
      </c>
      <c r="AQ47" s="473">
        <f>блюда!AQ152</f>
        <v>0</v>
      </c>
      <c r="AR47" s="473">
        <f>блюда!AR152</f>
        <v>0</v>
      </c>
      <c r="AS47" s="473">
        <f>блюда!AS152</f>
        <v>0</v>
      </c>
      <c r="AT47" s="473">
        <f>блюда!AT152</f>
        <v>0</v>
      </c>
      <c r="AU47" s="473">
        <f>блюда!AU152</f>
        <v>4.0000000000000001E-3</v>
      </c>
      <c r="AV47" s="473">
        <f>блюда!AV152</f>
        <v>0</v>
      </c>
      <c r="AW47" s="473">
        <f>блюда!AW152</f>
        <v>0</v>
      </c>
      <c r="AX47" s="473">
        <f>блюда!AX152</f>
        <v>0</v>
      </c>
      <c r="AY47" s="473">
        <f>блюда!AY152</f>
        <v>0</v>
      </c>
      <c r="AZ47" s="473">
        <f>блюда!AZ152</f>
        <v>0</v>
      </c>
      <c r="BA47" s="473">
        <f>блюда!BA152</f>
        <v>0</v>
      </c>
      <c r="BB47" s="473">
        <f>блюда!BB152</f>
        <v>0</v>
      </c>
      <c r="BC47" s="473">
        <f>блюда!BC152</f>
        <v>0</v>
      </c>
      <c r="BD47" s="473">
        <f>блюда!BD152</f>
        <v>0</v>
      </c>
      <c r="BE47" s="473">
        <f>блюда!BE152</f>
        <v>0</v>
      </c>
      <c r="BF47" s="473">
        <f>блюда!BF152</f>
        <v>0</v>
      </c>
      <c r="BG47" s="473">
        <f>блюда!BG152</f>
        <v>0</v>
      </c>
      <c r="BH47" s="473">
        <f>блюда!BH152</f>
        <v>0</v>
      </c>
      <c r="BI47" s="473">
        <f>блюда!BI152</f>
        <v>0</v>
      </c>
      <c r="BJ47" s="473">
        <f>блюда!BJ152</f>
        <v>0</v>
      </c>
      <c r="BK47" s="473">
        <f>блюда!BK152</f>
        <v>0</v>
      </c>
      <c r="BL47" s="473">
        <f>блюда!BL152</f>
        <v>0</v>
      </c>
      <c r="BM47" s="473">
        <f>блюда!BM152</f>
        <v>0</v>
      </c>
      <c r="BN47" s="473">
        <f>блюда!BN152</f>
        <v>0</v>
      </c>
      <c r="BO47" s="473">
        <f>блюда!BO152</f>
        <v>0</v>
      </c>
      <c r="BP47" s="473">
        <f>блюда!BP152</f>
        <v>0</v>
      </c>
      <c r="BQ47" s="473">
        <f>блюда!BQ152</f>
        <v>0</v>
      </c>
      <c r="BR47" s="473">
        <f>блюда!BR152</f>
        <v>0</v>
      </c>
      <c r="BS47" s="473">
        <f>блюда!BS152</f>
        <v>0</v>
      </c>
      <c r="BT47" s="473">
        <f>блюда!BT152</f>
        <v>0</v>
      </c>
      <c r="BU47" s="473">
        <f>блюда!BU152</f>
        <v>0</v>
      </c>
      <c r="BV47" s="473">
        <f>блюда!BV152</f>
        <v>0</v>
      </c>
      <c r="BW47" s="473">
        <f>блюда!BW152</f>
        <v>0</v>
      </c>
      <c r="BX47" s="473">
        <f>блюда!BX152</f>
        <v>0</v>
      </c>
      <c r="BY47" s="473">
        <f>блюда!BY152</f>
        <v>0</v>
      </c>
      <c r="BZ47" s="473">
        <f>блюда!BZ152</f>
        <v>0</v>
      </c>
      <c r="CA47" s="473">
        <f>блюда!CA152</f>
        <v>0</v>
      </c>
      <c r="CB47" s="473">
        <f>блюда!CB152</f>
        <v>0</v>
      </c>
      <c r="CC47" s="473">
        <f>блюда!CC152</f>
        <v>0</v>
      </c>
      <c r="CD47" s="473">
        <f>блюда!CD152</f>
        <v>0</v>
      </c>
      <c r="CE47" s="473">
        <f>блюда!CE152</f>
        <v>0</v>
      </c>
      <c r="CF47" s="473">
        <f>блюда!CF152</f>
        <v>0</v>
      </c>
      <c r="CG47" s="473">
        <f>блюда!CG152</f>
        <v>0</v>
      </c>
      <c r="CH47" s="473">
        <f>блюда!CH152</f>
        <v>0</v>
      </c>
      <c r="CI47" s="473">
        <f>блюда!CI152</f>
        <v>0</v>
      </c>
      <c r="CJ47" s="473">
        <f>блюда!CJ152</f>
        <v>0</v>
      </c>
      <c r="CK47" s="473">
        <f>блюда!CK152</f>
        <v>0</v>
      </c>
      <c r="CL47" s="473">
        <f>блюда!CL152</f>
        <v>0</v>
      </c>
      <c r="CM47" s="473">
        <f>блюда!CM152</f>
        <v>0</v>
      </c>
      <c r="CN47" s="473">
        <f>блюда!CN152</f>
        <v>0</v>
      </c>
      <c r="CO47" s="473">
        <f>блюда!CO152</f>
        <v>0</v>
      </c>
      <c r="CP47" s="473">
        <f>блюда!CP152</f>
        <v>0</v>
      </c>
      <c r="CQ47" s="473">
        <f>блюда!CQ152</f>
        <v>0</v>
      </c>
      <c r="CR47" s="473">
        <f>блюда!CR152</f>
        <v>0</v>
      </c>
      <c r="CS47" s="473">
        <f>блюда!CS152</f>
        <v>0</v>
      </c>
      <c r="CT47" s="473">
        <f>блюда!CT152</f>
        <v>0</v>
      </c>
      <c r="CU47" s="473">
        <f>блюда!CU152</f>
        <v>0</v>
      </c>
      <c r="CV47" s="473">
        <f>блюда!CV152</f>
        <v>0</v>
      </c>
      <c r="CW47" s="473">
        <f>блюда!CW152</f>
        <v>0</v>
      </c>
      <c r="CX47" s="473">
        <f>блюда!CX152</f>
        <v>0</v>
      </c>
      <c r="CY47" s="473">
        <f>блюда!CY152</f>
        <v>0</v>
      </c>
      <c r="CZ47" s="473">
        <f>блюда!CZ152</f>
        <v>0</v>
      </c>
      <c r="DA47" s="473">
        <f>блюда!DA152</f>
        <v>0</v>
      </c>
      <c r="DB47" s="473">
        <f>блюда!DB152</f>
        <v>0</v>
      </c>
      <c r="DC47" s="473">
        <f>блюда!DC152</f>
        <v>1.1000000000000001E-3</v>
      </c>
      <c r="DD47" s="473">
        <f>блюда!DD152</f>
        <v>0</v>
      </c>
      <c r="DE47" s="473">
        <f>блюда!DE152</f>
        <v>0</v>
      </c>
      <c r="DF47" s="473">
        <f>блюда!DF152</f>
        <v>0</v>
      </c>
      <c r="DG47" s="473">
        <f>блюда!DG152</f>
        <v>0</v>
      </c>
      <c r="DH47" s="473">
        <f>блюда!DH152</f>
        <v>0</v>
      </c>
      <c r="DI47" s="473">
        <f>блюда!DI152</f>
        <v>0</v>
      </c>
      <c r="DJ47" s="473">
        <f>блюда!DJ152</f>
        <v>0</v>
      </c>
      <c r="DK47" s="473">
        <f>блюда!DK152</f>
        <v>0</v>
      </c>
      <c r="DL47" s="473">
        <f>блюда!DL152</f>
        <v>0</v>
      </c>
      <c r="DM47" s="473">
        <f>блюда!DM152</f>
        <v>0</v>
      </c>
      <c r="DN47" s="473">
        <f>блюда!DN152</f>
        <v>0</v>
      </c>
      <c r="DO47" s="473">
        <f>блюда!DO152</f>
        <v>0</v>
      </c>
      <c r="DP47" s="473">
        <f>блюда!DP152</f>
        <v>0</v>
      </c>
      <c r="DQ47" s="473">
        <f>блюда!DQ152</f>
        <v>0</v>
      </c>
      <c r="DR47" s="473">
        <f>блюда!DR152</f>
        <v>0</v>
      </c>
      <c r="DS47" s="473">
        <f>блюда!DS152</f>
        <v>0</v>
      </c>
      <c r="DT47" s="473">
        <f>блюда!DT152</f>
        <v>0</v>
      </c>
      <c r="DU47" s="473">
        <f>блюда!DU152</f>
        <v>0</v>
      </c>
      <c r="DV47" s="473">
        <f>блюда!DV152</f>
        <v>0</v>
      </c>
      <c r="DW47" s="473">
        <f>блюда!DW152</f>
        <v>0</v>
      </c>
      <c r="DX47" s="473">
        <f>блюда!DX152</f>
        <v>0</v>
      </c>
      <c r="DY47" s="473">
        <f>блюда!DY152</f>
        <v>0</v>
      </c>
      <c r="DZ47" s="473">
        <f>блюда!DZ152</f>
        <v>0</v>
      </c>
      <c r="EA47" s="473">
        <f>блюда!EA152</f>
        <v>0</v>
      </c>
      <c r="EB47" s="473">
        <f>блюда!EB152</f>
        <v>0</v>
      </c>
      <c r="EC47" s="473">
        <f>блюда!EC152</f>
        <v>0</v>
      </c>
      <c r="ED47" s="473">
        <f>блюда!ED152</f>
        <v>0</v>
      </c>
      <c r="EE47" s="473">
        <f>блюда!EE152</f>
        <v>0</v>
      </c>
      <c r="EF47" s="473">
        <f>блюда!EF152</f>
        <v>0</v>
      </c>
      <c r="EG47" s="473">
        <f>блюда!EG152</f>
        <v>0</v>
      </c>
      <c r="EH47" s="473">
        <f>блюда!EH152</f>
        <v>0</v>
      </c>
      <c r="EI47" s="473">
        <f>блюда!EI152</f>
        <v>0</v>
      </c>
      <c r="EJ47" s="473">
        <f>блюда!EJ152</f>
        <v>0</v>
      </c>
      <c r="EK47" s="473">
        <f>блюда!EK152</f>
        <v>0</v>
      </c>
      <c r="EL47" s="473">
        <f>блюда!EL152</f>
        <v>0</v>
      </c>
      <c r="EM47" s="473">
        <f>блюда!EM152</f>
        <v>0</v>
      </c>
      <c r="EN47" s="473">
        <f>блюда!EN152</f>
        <v>0</v>
      </c>
      <c r="EO47" s="473">
        <f>блюда!EO152</f>
        <v>0</v>
      </c>
      <c r="EP47" s="473">
        <f>блюда!EP152</f>
        <v>0</v>
      </c>
      <c r="EQ47" s="473">
        <f>блюда!EQ152</f>
        <v>0</v>
      </c>
      <c r="ER47" s="473">
        <f>блюда!ER152</f>
        <v>0</v>
      </c>
      <c r="ES47" s="473">
        <f>блюда!ES152</f>
        <v>0</v>
      </c>
      <c r="ET47" s="473">
        <f>блюда!ET152</f>
        <v>0</v>
      </c>
      <c r="EU47" s="473">
        <f>блюда!EU152</f>
        <v>0</v>
      </c>
      <c r="EV47" s="473">
        <f>блюда!EV152</f>
        <v>0</v>
      </c>
      <c r="EW47" s="473">
        <f>блюда!EW152</f>
        <v>0</v>
      </c>
      <c r="EX47" s="473">
        <f>блюда!EX152</f>
        <v>0</v>
      </c>
      <c r="EY47" s="927">
        <f>SUM(J47:EX47)</f>
        <v>0.15570000000000001</v>
      </c>
      <c r="EZ47" s="117">
        <f>блюда!EZ152</f>
        <v>0</v>
      </c>
      <c r="FA47" s="117">
        <f>блюда!FA152</f>
        <v>0</v>
      </c>
      <c r="FB47" s="117">
        <f>блюда!FB152</f>
        <v>0</v>
      </c>
      <c r="FC47" s="117">
        <f>блюда!FC152</f>
        <v>0</v>
      </c>
      <c r="FD47" s="117">
        <f>блюда!FD152</f>
        <v>0</v>
      </c>
      <c r="FE47" s="117">
        <f>блюда!FE152</f>
        <v>0</v>
      </c>
      <c r="FF47" s="117">
        <f>блюда!FF152</f>
        <v>0</v>
      </c>
      <c r="FG47" s="117">
        <f>блюда!FG152</f>
        <v>0</v>
      </c>
      <c r="FH47" s="117">
        <f>блюда!FH152</f>
        <v>0</v>
      </c>
      <c r="FI47" s="117">
        <f>блюда!FI152</f>
        <v>0</v>
      </c>
      <c r="FJ47" s="117">
        <f>блюда!FJ152</f>
        <v>0</v>
      </c>
      <c r="FK47" s="117">
        <f>блюда!FK152</f>
        <v>0</v>
      </c>
      <c r="FL47" s="117">
        <f>блюда!FL152</f>
        <v>0</v>
      </c>
    </row>
    <row r="48" spans="1:168" x14ac:dyDescent="0.25">
      <c r="A48" s="1460"/>
      <c r="B48" s="115" t="str">
        <f>блюда!B366</f>
        <v>Зеленый горошек консервированный</v>
      </c>
      <c r="C48" s="116">
        <f>блюда!C366</f>
        <v>25</v>
      </c>
      <c r="D48" s="431">
        <f>блюда!D366</f>
        <v>0.75</v>
      </c>
      <c r="E48" s="431">
        <f>блюда!E366</f>
        <v>0.13</v>
      </c>
      <c r="F48" s="431">
        <f>блюда!F366</f>
        <v>1.83</v>
      </c>
      <c r="G48" s="116">
        <f>блюда!G366</f>
        <v>15</v>
      </c>
      <c r="H48" s="116" t="str">
        <f>блюда!H366</f>
        <v>ПРОМ</v>
      </c>
      <c r="I48" s="431">
        <f>блюда!I366</f>
        <v>3.15</v>
      </c>
      <c r="J48" s="473">
        <f>блюда!J366</f>
        <v>0</v>
      </c>
      <c r="K48" s="473">
        <f>блюда!K366</f>
        <v>0</v>
      </c>
      <c r="L48" s="473">
        <f>блюда!L366</f>
        <v>0</v>
      </c>
      <c r="M48" s="473">
        <f>блюда!M366</f>
        <v>0</v>
      </c>
      <c r="N48" s="473">
        <f>блюда!N366</f>
        <v>0</v>
      </c>
      <c r="O48" s="473">
        <f>блюда!O366</f>
        <v>0</v>
      </c>
      <c r="P48" s="473">
        <f>блюда!P366</f>
        <v>0</v>
      </c>
      <c r="Q48" s="473">
        <f>блюда!Q366</f>
        <v>0</v>
      </c>
      <c r="R48" s="473">
        <f>блюда!R366</f>
        <v>0</v>
      </c>
      <c r="S48" s="473">
        <f>блюда!S366</f>
        <v>0</v>
      </c>
      <c r="T48" s="473">
        <f>блюда!T366</f>
        <v>0</v>
      </c>
      <c r="U48" s="473">
        <f>блюда!U366</f>
        <v>0</v>
      </c>
      <c r="V48" s="473">
        <f>блюда!V366</f>
        <v>0</v>
      </c>
      <c r="W48" s="473">
        <f>блюда!W366</f>
        <v>0</v>
      </c>
      <c r="X48" s="473">
        <f>блюда!X366</f>
        <v>0</v>
      </c>
      <c r="Y48" s="473">
        <f>блюда!Y366</f>
        <v>0</v>
      </c>
      <c r="Z48" s="473">
        <f>блюда!Z366</f>
        <v>0</v>
      </c>
      <c r="AA48" s="473">
        <f>блюда!AA366</f>
        <v>0</v>
      </c>
      <c r="AB48" s="473">
        <f>блюда!AB366</f>
        <v>0</v>
      </c>
      <c r="AC48" s="473">
        <f>блюда!AC366</f>
        <v>0</v>
      </c>
      <c r="AD48" s="473">
        <f>блюда!AD366</f>
        <v>0</v>
      </c>
      <c r="AE48" s="473">
        <f>блюда!AE366</f>
        <v>0</v>
      </c>
      <c r="AF48" s="473">
        <f>блюда!AF366</f>
        <v>0</v>
      </c>
      <c r="AG48" s="473">
        <f>блюда!AG366</f>
        <v>0</v>
      </c>
      <c r="AH48" s="473">
        <f>блюда!AH366</f>
        <v>0</v>
      </c>
      <c r="AI48" s="473">
        <f>блюда!AI366</f>
        <v>0</v>
      </c>
      <c r="AJ48" s="473">
        <f>блюда!AJ366</f>
        <v>0</v>
      </c>
      <c r="AK48" s="473">
        <f>блюда!AK366</f>
        <v>0</v>
      </c>
      <c r="AL48" s="473">
        <f>блюда!AL366</f>
        <v>0</v>
      </c>
      <c r="AM48" s="473">
        <f>блюда!AM366</f>
        <v>0</v>
      </c>
      <c r="AN48" s="473">
        <f>блюда!AN366</f>
        <v>0</v>
      </c>
      <c r="AO48" s="473">
        <f>блюда!AO366</f>
        <v>0</v>
      </c>
      <c r="AP48" s="473">
        <f>блюда!AP366</f>
        <v>0</v>
      </c>
      <c r="AQ48" s="473">
        <f>блюда!AQ366</f>
        <v>0</v>
      </c>
      <c r="AR48" s="473">
        <f>блюда!AR366</f>
        <v>0</v>
      </c>
      <c r="AS48" s="473">
        <f>блюда!AS366</f>
        <v>0</v>
      </c>
      <c r="AT48" s="473">
        <f>блюда!AT366</f>
        <v>0</v>
      </c>
      <c r="AU48" s="473">
        <f>блюда!AU366</f>
        <v>0</v>
      </c>
      <c r="AV48" s="473">
        <f>блюда!AV366</f>
        <v>0</v>
      </c>
      <c r="AW48" s="473">
        <f>блюда!AW366</f>
        <v>0</v>
      </c>
      <c r="AX48" s="473">
        <f>блюда!AX366</f>
        <v>0</v>
      </c>
      <c r="AY48" s="473">
        <f>блюда!AY366</f>
        <v>0</v>
      </c>
      <c r="AZ48" s="473">
        <f>блюда!AZ366</f>
        <v>0</v>
      </c>
      <c r="BA48" s="473">
        <f>блюда!BA366</f>
        <v>0</v>
      </c>
      <c r="BB48" s="473">
        <f>блюда!BB366</f>
        <v>0</v>
      </c>
      <c r="BC48" s="473">
        <f>блюда!BC366</f>
        <v>0</v>
      </c>
      <c r="BD48" s="473">
        <f>блюда!BD366</f>
        <v>0</v>
      </c>
      <c r="BE48" s="473">
        <f>блюда!BE366</f>
        <v>0</v>
      </c>
      <c r="BF48" s="473">
        <f>блюда!BF366</f>
        <v>0</v>
      </c>
      <c r="BG48" s="473">
        <f>блюда!BG366</f>
        <v>0</v>
      </c>
      <c r="BH48" s="473">
        <f>блюда!BH366</f>
        <v>0</v>
      </c>
      <c r="BI48" s="473">
        <f>блюда!BI366</f>
        <v>0</v>
      </c>
      <c r="BJ48" s="473">
        <f>блюда!BJ366</f>
        <v>0</v>
      </c>
      <c r="BK48" s="473">
        <f>блюда!BK366</f>
        <v>0</v>
      </c>
      <c r="BL48" s="473">
        <f>блюда!BL366</f>
        <v>0</v>
      </c>
      <c r="BM48" s="473">
        <f>блюда!BM366</f>
        <v>0</v>
      </c>
      <c r="BN48" s="473">
        <f>блюда!BN366</f>
        <v>0</v>
      </c>
      <c r="BO48" s="473">
        <f>блюда!BO366</f>
        <v>0</v>
      </c>
      <c r="BP48" s="473">
        <f>блюда!BP366</f>
        <v>0</v>
      </c>
      <c r="BQ48" s="473">
        <f>блюда!BQ366</f>
        <v>0</v>
      </c>
      <c r="BR48" s="473">
        <f>блюда!BR366</f>
        <v>0</v>
      </c>
      <c r="BS48" s="473">
        <f>блюда!BS366</f>
        <v>0</v>
      </c>
      <c r="BT48" s="473">
        <f>блюда!BT366</f>
        <v>0</v>
      </c>
      <c r="BU48" s="473">
        <f>блюда!BU366</f>
        <v>0</v>
      </c>
      <c r="BV48" s="473">
        <f>блюда!BV366</f>
        <v>0</v>
      </c>
      <c r="BW48" s="473">
        <f>блюда!BW366</f>
        <v>0</v>
      </c>
      <c r="BX48" s="473">
        <f>блюда!BX366</f>
        <v>0</v>
      </c>
      <c r="BY48" s="473">
        <f>блюда!BY366</f>
        <v>0</v>
      </c>
      <c r="BZ48" s="473">
        <f>блюда!BZ366</f>
        <v>0</v>
      </c>
      <c r="CA48" s="473">
        <f>блюда!CA366</f>
        <v>0</v>
      </c>
      <c r="CB48" s="473">
        <f>блюда!CB366</f>
        <v>0</v>
      </c>
      <c r="CC48" s="473">
        <f>блюда!CC366</f>
        <v>0</v>
      </c>
      <c r="CD48" s="473">
        <f>блюда!CD366</f>
        <v>0</v>
      </c>
      <c r="CE48" s="473">
        <f>блюда!CE366</f>
        <v>0</v>
      </c>
      <c r="CF48" s="473">
        <f>блюда!CF366</f>
        <v>0</v>
      </c>
      <c r="CG48" s="473">
        <f>блюда!CG366</f>
        <v>0</v>
      </c>
      <c r="CH48" s="473">
        <f>блюда!CH366</f>
        <v>0</v>
      </c>
      <c r="CI48" s="473">
        <f>блюда!CI366</f>
        <v>0</v>
      </c>
      <c r="CJ48" s="473">
        <f>блюда!CJ366</f>
        <v>0</v>
      </c>
      <c r="CK48" s="473">
        <f>блюда!CK366</f>
        <v>0</v>
      </c>
      <c r="CL48" s="473">
        <f>блюда!CL366</f>
        <v>0</v>
      </c>
      <c r="CM48" s="473">
        <f>блюда!CM366</f>
        <v>0</v>
      </c>
      <c r="CN48" s="473">
        <f>блюда!CN366</f>
        <v>0</v>
      </c>
      <c r="CO48" s="473">
        <f>блюда!CO366</f>
        <v>0</v>
      </c>
      <c r="CP48" s="473">
        <f>блюда!CP366</f>
        <v>0</v>
      </c>
      <c r="CQ48" s="473">
        <f>блюда!CQ366</f>
        <v>0</v>
      </c>
      <c r="CR48" s="473">
        <f>блюда!CR366</f>
        <v>0</v>
      </c>
      <c r="CS48" s="473">
        <f>блюда!CS366</f>
        <v>0</v>
      </c>
      <c r="CT48" s="473">
        <f>блюда!CT366</f>
        <v>0</v>
      </c>
      <c r="CU48" s="473">
        <f>блюда!CU366</f>
        <v>0</v>
      </c>
      <c r="CV48" s="473">
        <f>блюда!CV366</f>
        <v>0</v>
      </c>
      <c r="CW48" s="473">
        <f>блюда!CW366</f>
        <v>0</v>
      </c>
      <c r="CX48" s="473">
        <f>блюда!CX366</f>
        <v>0</v>
      </c>
      <c r="CY48" s="473">
        <f>блюда!CY366</f>
        <v>0</v>
      </c>
      <c r="CZ48" s="473">
        <f>блюда!CZ366</f>
        <v>0</v>
      </c>
      <c r="DA48" s="473">
        <f>блюда!DA366</f>
        <v>0</v>
      </c>
      <c r="DB48" s="473">
        <f>блюда!DB366</f>
        <v>0</v>
      </c>
      <c r="DC48" s="473">
        <f>блюда!DC366</f>
        <v>0</v>
      </c>
      <c r="DD48" s="473">
        <f>блюда!DD366</f>
        <v>0</v>
      </c>
      <c r="DE48" s="473">
        <f>блюда!DE366</f>
        <v>0</v>
      </c>
      <c r="DF48" s="473">
        <f>блюда!DF366</f>
        <v>0</v>
      </c>
      <c r="DG48" s="473">
        <f>блюда!DG366</f>
        <v>0</v>
      </c>
      <c r="DH48" s="473">
        <f>блюда!DH366</f>
        <v>0</v>
      </c>
      <c r="DI48" s="473">
        <f>блюда!DI366</f>
        <v>0</v>
      </c>
      <c r="DJ48" s="473">
        <f>блюда!DJ366</f>
        <v>0</v>
      </c>
      <c r="DK48" s="473">
        <f>блюда!DK366</f>
        <v>0</v>
      </c>
      <c r="DL48" s="473">
        <f>блюда!DL366</f>
        <v>0</v>
      </c>
      <c r="DM48" s="473">
        <f>блюда!DM366</f>
        <v>0</v>
      </c>
      <c r="DN48" s="473">
        <f>блюда!DN366</f>
        <v>0</v>
      </c>
      <c r="DO48" s="473">
        <f>блюда!DO366</f>
        <v>0</v>
      </c>
      <c r="DP48" s="473">
        <f>блюда!DP366</f>
        <v>0</v>
      </c>
      <c r="DQ48" s="473">
        <f>блюда!DQ366</f>
        <v>0</v>
      </c>
      <c r="DR48" s="473">
        <f>блюда!DR366</f>
        <v>0</v>
      </c>
      <c r="DS48" s="473">
        <f>блюда!DS366</f>
        <v>0</v>
      </c>
      <c r="DT48" s="473">
        <f>блюда!DT366</f>
        <v>0</v>
      </c>
      <c r="DU48" s="473">
        <f>блюда!DU366</f>
        <v>2.5000000000000001E-2</v>
      </c>
      <c r="DV48" s="473">
        <f>блюда!DV366</f>
        <v>0</v>
      </c>
      <c r="DW48" s="473">
        <f>блюда!DW366</f>
        <v>0</v>
      </c>
      <c r="DX48" s="473">
        <f>блюда!DX366</f>
        <v>0</v>
      </c>
      <c r="DY48" s="473">
        <f>блюда!DY366</f>
        <v>0</v>
      </c>
      <c r="DZ48" s="473">
        <f>блюда!DZ366</f>
        <v>0</v>
      </c>
      <c r="EA48" s="473">
        <f>блюда!EA366</f>
        <v>0</v>
      </c>
      <c r="EB48" s="473">
        <f>блюда!EB366</f>
        <v>0</v>
      </c>
      <c r="EC48" s="473">
        <f>блюда!EC366</f>
        <v>0</v>
      </c>
      <c r="ED48" s="473">
        <f>блюда!ED366</f>
        <v>0</v>
      </c>
      <c r="EE48" s="473">
        <f>блюда!EE366</f>
        <v>0</v>
      </c>
      <c r="EF48" s="473">
        <f>блюда!EF366</f>
        <v>0</v>
      </c>
      <c r="EG48" s="473">
        <f>блюда!EG366</f>
        <v>0</v>
      </c>
      <c r="EH48" s="473">
        <f>блюда!EH366</f>
        <v>0</v>
      </c>
      <c r="EI48" s="473">
        <f>блюда!EI366</f>
        <v>0</v>
      </c>
      <c r="EJ48" s="473">
        <f>блюда!EJ366</f>
        <v>0</v>
      </c>
      <c r="EK48" s="473">
        <f>блюда!EK366</f>
        <v>0</v>
      </c>
      <c r="EL48" s="473">
        <f>блюда!EL366</f>
        <v>0</v>
      </c>
      <c r="EM48" s="473">
        <f>блюда!EM366</f>
        <v>0</v>
      </c>
      <c r="EN48" s="473">
        <f>блюда!EN366</f>
        <v>0</v>
      </c>
      <c r="EO48" s="473">
        <f>блюда!EO366</f>
        <v>0</v>
      </c>
      <c r="EP48" s="473">
        <f>блюда!EP366</f>
        <v>0</v>
      </c>
      <c r="EQ48" s="473">
        <f>блюда!EQ366</f>
        <v>0</v>
      </c>
      <c r="ER48" s="473">
        <f>блюда!ER366</f>
        <v>0</v>
      </c>
      <c r="ES48" s="473">
        <f>блюда!ES366</f>
        <v>0</v>
      </c>
      <c r="ET48" s="473">
        <f>блюда!ET366</f>
        <v>0</v>
      </c>
      <c r="EU48" s="473">
        <f>блюда!EU366</f>
        <v>0</v>
      </c>
      <c r="EV48" s="473">
        <f>блюда!EV366</f>
        <v>0</v>
      </c>
      <c r="EW48" s="473">
        <f>блюда!EW366</f>
        <v>0</v>
      </c>
      <c r="EX48" s="473">
        <f>блюда!EX366</f>
        <v>0</v>
      </c>
      <c r="EY48" s="927">
        <f t="shared" ref="EY48:EY55" si="20">SUM(J48:EX48)</f>
        <v>2.5000000000000001E-2</v>
      </c>
      <c r="EZ48" s="117">
        <f>блюда!EZ366</f>
        <v>0</v>
      </c>
      <c r="FA48" s="117">
        <f>блюда!FA366</f>
        <v>0</v>
      </c>
      <c r="FB48" s="117">
        <f>блюда!FB366</f>
        <v>0</v>
      </c>
      <c r="FC48" s="117">
        <f>блюда!FC366</f>
        <v>0</v>
      </c>
      <c r="FD48" s="117">
        <f>блюда!FD366</f>
        <v>0</v>
      </c>
      <c r="FE48" s="117">
        <f>блюда!FE366</f>
        <v>0</v>
      </c>
      <c r="FF48" s="117">
        <f>блюда!FF366</f>
        <v>0</v>
      </c>
      <c r="FG48" s="117">
        <f>блюда!FG366</f>
        <v>0</v>
      </c>
      <c r="FH48" s="117">
        <f>блюда!FH366</f>
        <v>0</v>
      </c>
      <c r="FI48" s="117">
        <f>блюда!FI366</f>
        <v>0</v>
      </c>
      <c r="FJ48" s="117">
        <f>блюда!FJ366</f>
        <v>0</v>
      </c>
      <c r="FK48" s="117">
        <f>блюда!FK366</f>
        <v>0</v>
      </c>
      <c r="FL48" s="117">
        <f>блюда!FL366</f>
        <v>0</v>
      </c>
    </row>
    <row r="49" spans="1:168" x14ac:dyDescent="0.25">
      <c r="A49" s="1460"/>
      <c r="B49" s="115" t="str">
        <f>блюда!B286</f>
        <v>Чай с сахаром</v>
      </c>
      <c r="C49" s="116">
        <f>блюда!C286</f>
        <v>200</v>
      </c>
      <c r="D49" s="431">
        <f>блюда!D286</f>
        <v>7.0000000000000007E-2</v>
      </c>
      <c r="E49" s="431">
        <f>блюда!E286</f>
        <v>0.02</v>
      </c>
      <c r="F49" s="431">
        <f>блюда!F286</f>
        <v>13.95</v>
      </c>
      <c r="G49" s="116">
        <f>блюда!G286</f>
        <v>56</v>
      </c>
      <c r="H49" s="116">
        <f>блюда!H286</f>
        <v>376</v>
      </c>
      <c r="I49" s="431">
        <f>блюда!I286</f>
        <v>1.59</v>
      </c>
      <c r="J49" s="473">
        <f>блюда!J286</f>
        <v>0</v>
      </c>
      <c r="K49" s="473">
        <f>блюда!K286</f>
        <v>0</v>
      </c>
      <c r="L49" s="473">
        <f>блюда!L286</f>
        <v>0</v>
      </c>
      <c r="M49" s="473">
        <f>блюда!M286</f>
        <v>0</v>
      </c>
      <c r="N49" s="473">
        <f>блюда!N286</f>
        <v>0</v>
      </c>
      <c r="O49" s="473">
        <f>блюда!O286</f>
        <v>0</v>
      </c>
      <c r="P49" s="473">
        <f>блюда!P286</f>
        <v>0</v>
      </c>
      <c r="Q49" s="473">
        <f>блюда!Q286</f>
        <v>0</v>
      </c>
      <c r="R49" s="473">
        <f>блюда!R286</f>
        <v>0</v>
      </c>
      <c r="S49" s="473">
        <f>блюда!S286</f>
        <v>0</v>
      </c>
      <c r="T49" s="473">
        <f>блюда!T286</f>
        <v>0</v>
      </c>
      <c r="U49" s="473">
        <f>блюда!U286</f>
        <v>0</v>
      </c>
      <c r="V49" s="473">
        <f>блюда!V286</f>
        <v>0</v>
      </c>
      <c r="W49" s="473">
        <f>блюда!W286</f>
        <v>0</v>
      </c>
      <c r="X49" s="473">
        <f>блюда!X286</f>
        <v>0</v>
      </c>
      <c r="Y49" s="473">
        <f>блюда!Y286</f>
        <v>0</v>
      </c>
      <c r="Z49" s="473">
        <f>блюда!Z286</f>
        <v>0</v>
      </c>
      <c r="AA49" s="473">
        <f>блюда!AA286</f>
        <v>0</v>
      </c>
      <c r="AB49" s="473">
        <f>блюда!AB286</f>
        <v>0</v>
      </c>
      <c r="AC49" s="473">
        <f>блюда!AC286</f>
        <v>0</v>
      </c>
      <c r="AD49" s="473">
        <f>блюда!AD286</f>
        <v>0</v>
      </c>
      <c r="AE49" s="473">
        <f>блюда!AE286</f>
        <v>0</v>
      </c>
      <c r="AF49" s="473">
        <f>блюда!AF286</f>
        <v>0</v>
      </c>
      <c r="AG49" s="473">
        <f>блюда!AG286</f>
        <v>0</v>
      </c>
      <c r="AH49" s="473">
        <f>блюда!AH286</f>
        <v>0</v>
      </c>
      <c r="AI49" s="473">
        <f>блюда!AI286</f>
        <v>0</v>
      </c>
      <c r="AJ49" s="473">
        <f>блюда!AJ286</f>
        <v>0</v>
      </c>
      <c r="AK49" s="473">
        <f>блюда!AK286</f>
        <v>0</v>
      </c>
      <c r="AL49" s="473">
        <f>блюда!AL286</f>
        <v>0</v>
      </c>
      <c r="AM49" s="473">
        <f>блюда!AM286</f>
        <v>0</v>
      </c>
      <c r="AN49" s="473">
        <f>блюда!AN286</f>
        <v>0</v>
      </c>
      <c r="AO49" s="473">
        <f>блюда!AO286</f>
        <v>0</v>
      </c>
      <c r="AP49" s="473">
        <f>блюда!AP286</f>
        <v>0</v>
      </c>
      <c r="AQ49" s="473">
        <f>блюда!AQ286</f>
        <v>0</v>
      </c>
      <c r="AR49" s="473">
        <f>блюда!AR286</f>
        <v>0</v>
      </c>
      <c r="AS49" s="473">
        <f>блюда!AS286</f>
        <v>0</v>
      </c>
      <c r="AT49" s="473">
        <f>блюда!AT286</f>
        <v>0</v>
      </c>
      <c r="AU49" s="473">
        <f>блюда!AU286</f>
        <v>0</v>
      </c>
      <c r="AV49" s="473">
        <f>блюда!AV286</f>
        <v>0</v>
      </c>
      <c r="AW49" s="473">
        <f>блюда!AW286</f>
        <v>0</v>
      </c>
      <c r="AX49" s="473">
        <f>блюда!AX286</f>
        <v>0</v>
      </c>
      <c r="AY49" s="473">
        <f>блюда!AY286</f>
        <v>0</v>
      </c>
      <c r="AZ49" s="473">
        <f>блюда!AZ286</f>
        <v>0</v>
      </c>
      <c r="BA49" s="473">
        <f>блюда!BA286</f>
        <v>0</v>
      </c>
      <c r="BB49" s="473">
        <f>блюда!BB286</f>
        <v>0</v>
      </c>
      <c r="BC49" s="473">
        <f>блюда!BC286</f>
        <v>0</v>
      </c>
      <c r="BD49" s="473">
        <f>блюда!BD286</f>
        <v>0</v>
      </c>
      <c r="BE49" s="473">
        <f>блюда!BE286</f>
        <v>0</v>
      </c>
      <c r="BF49" s="473">
        <f>блюда!BF286</f>
        <v>0</v>
      </c>
      <c r="BG49" s="473">
        <f>блюда!BG286</f>
        <v>0</v>
      </c>
      <c r="BH49" s="473">
        <f>блюда!BH286</f>
        <v>0</v>
      </c>
      <c r="BI49" s="473">
        <f>блюда!BI286</f>
        <v>0</v>
      </c>
      <c r="BJ49" s="473">
        <f>блюда!BJ286</f>
        <v>0</v>
      </c>
      <c r="BK49" s="473">
        <f>блюда!BK286</f>
        <v>0</v>
      </c>
      <c r="BL49" s="473">
        <f>блюда!BL286</f>
        <v>0</v>
      </c>
      <c r="BM49" s="473">
        <f>блюда!BM286</f>
        <v>0</v>
      </c>
      <c r="BN49" s="473">
        <f>блюда!BN286</f>
        <v>0</v>
      </c>
      <c r="BO49" s="473">
        <f>блюда!BO286</f>
        <v>0</v>
      </c>
      <c r="BP49" s="473">
        <f>блюда!BP286</f>
        <v>0</v>
      </c>
      <c r="BQ49" s="473">
        <f>блюда!BQ286</f>
        <v>0</v>
      </c>
      <c r="BR49" s="473">
        <f>блюда!BR286</f>
        <v>0</v>
      </c>
      <c r="BS49" s="473">
        <f>блюда!BS286</f>
        <v>0</v>
      </c>
      <c r="BT49" s="473">
        <f>блюда!BT286</f>
        <v>0</v>
      </c>
      <c r="BU49" s="473">
        <f>блюда!BU286</f>
        <v>0</v>
      </c>
      <c r="BV49" s="473">
        <f>блюда!BV286</f>
        <v>0</v>
      </c>
      <c r="BW49" s="473">
        <f>блюда!BW286</f>
        <v>0</v>
      </c>
      <c r="BX49" s="473">
        <f>блюда!BX286</f>
        <v>0</v>
      </c>
      <c r="BY49" s="473">
        <f>блюда!BY286</f>
        <v>0</v>
      </c>
      <c r="BZ49" s="473">
        <f>блюда!BZ286</f>
        <v>0</v>
      </c>
      <c r="CA49" s="473">
        <f>блюда!CA286</f>
        <v>0</v>
      </c>
      <c r="CB49" s="473">
        <f>блюда!CB286</f>
        <v>0</v>
      </c>
      <c r="CC49" s="473">
        <f>блюда!CC286</f>
        <v>0</v>
      </c>
      <c r="CD49" s="473">
        <f>блюда!CD286</f>
        <v>0</v>
      </c>
      <c r="CE49" s="473">
        <f>блюда!CE286</f>
        <v>0</v>
      </c>
      <c r="CF49" s="473">
        <f>блюда!CF286</f>
        <v>0</v>
      </c>
      <c r="CG49" s="473">
        <f>блюда!CG286</f>
        <v>0</v>
      </c>
      <c r="CH49" s="473">
        <f>блюда!CH286</f>
        <v>0</v>
      </c>
      <c r="CI49" s="473">
        <f>блюда!CI286</f>
        <v>0</v>
      </c>
      <c r="CJ49" s="473">
        <f>блюда!CJ286</f>
        <v>0</v>
      </c>
      <c r="CK49" s="473">
        <f>блюда!CK286</f>
        <v>0</v>
      </c>
      <c r="CL49" s="473">
        <f>блюда!CL286</f>
        <v>0</v>
      </c>
      <c r="CM49" s="473">
        <f>блюда!CM286</f>
        <v>0</v>
      </c>
      <c r="CN49" s="473">
        <f>блюда!CN286</f>
        <v>0</v>
      </c>
      <c r="CO49" s="473">
        <f>блюда!CO286</f>
        <v>0</v>
      </c>
      <c r="CP49" s="473">
        <f>блюда!CP286</f>
        <v>0</v>
      </c>
      <c r="CQ49" s="473">
        <f>блюда!CQ286</f>
        <v>0</v>
      </c>
      <c r="CR49" s="473">
        <f>блюда!CR286</f>
        <v>0</v>
      </c>
      <c r="CS49" s="473">
        <f>блюда!CS286</f>
        <v>0</v>
      </c>
      <c r="CT49" s="473">
        <f>блюда!CT286</f>
        <v>0</v>
      </c>
      <c r="CU49" s="473">
        <f>блюда!CU286</f>
        <v>0</v>
      </c>
      <c r="CV49" s="473">
        <f>блюда!CV286</f>
        <v>0</v>
      </c>
      <c r="CW49" s="473">
        <f>блюда!CW286</f>
        <v>0</v>
      </c>
      <c r="CX49" s="473">
        <f>блюда!CX286</f>
        <v>0</v>
      </c>
      <c r="CY49" s="473">
        <f>блюда!CY286</f>
        <v>0</v>
      </c>
      <c r="CZ49" s="473">
        <f>блюда!CZ286</f>
        <v>1.4999999999999999E-2</v>
      </c>
      <c r="DA49" s="473">
        <f>блюда!DA286</f>
        <v>0</v>
      </c>
      <c r="DB49" s="473">
        <f>блюда!DB286</f>
        <v>0</v>
      </c>
      <c r="DC49" s="473">
        <f>блюда!DC286</f>
        <v>0</v>
      </c>
      <c r="DD49" s="473">
        <f>блюда!DD286</f>
        <v>0</v>
      </c>
      <c r="DE49" s="473">
        <f>блюда!DE286</f>
        <v>0</v>
      </c>
      <c r="DF49" s="473">
        <f>блюда!DF286</f>
        <v>0</v>
      </c>
      <c r="DG49" s="473">
        <f>блюда!DG286</f>
        <v>0</v>
      </c>
      <c r="DH49" s="473">
        <f>блюда!DH286</f>
        <v>0</v>
      </c>
      <c r="DI49" s="473">
        <f>блюда!DI286</f>
        <v>0</v>
      </c>
      <c r="DJ49" s="473">
        <f>блюда!DJ286</f>
        <v>0</v>
      </c>
      <c r="DK49" s="473">
        <f>блюда!DK286</f>
        <v>0</v>
      </c>
      <c r="DL49" s="473">
        <f>блюда!DL286</f>
        <v>0</v>
      </c>
      <c r="DM49" s="473">
        <f>блюда!DM286</f>
        <v>0</v>
      </c>
      <c r="DN49" s="473">
        <f>блюда!DN286</f>
        <v>0</v>
      </c>
      <c r="DO49" s="473">
        <f>блюда!DO286</f>
        <v>0</v>
      </c>
      <c r="DP49" s="473">
        <f>блюда!DP286</f>
        <v>0</v>
      </c>
      <c r="DQ49" s="473">
        <f>блюда!DQ286</f>
        <v>0</v>
      </c>
      <c r="DR49" s="473">
        <f>блюда!DR286</f>
        <v>5.0000000000000001E-4</v>
      </c>
      <c r="DS49" s="473">
        <f>блюда!DS286</f>
        <v>0</v>
      </c>
      <c r="DT49" s="473">
        <f>блюда!DT286</f>
        <v>0</v>
      </c>
      <c r="DU49" s="473">
        <f>блюда!DU286</f>
        <v>0</v>
      </c>
      <c r="DV49" s="473">
        <f>блюда!DV286</f>
        <v>0</v>
      </c>
      <c r="DW49" s="473">
        <f>блюда!DW286</f>
        <v>0</v>
      </c>
      <c r="DX49" s="473">
        <f>блюда!DX286</f>
        <v>0</v>
      </c>
      <c r="DY49" s="473">
        <f>блюда!DY286</f>
        <v>0</v>
      </c>
      <c r="DZ49" s="473">
        <f>блюда!DZ286</f>
        <v>0</v>
      </c>
      <c r="EA49" s="473">
        <f>блюда!EA286</f>
        <v>0</v>
      </c>
      <c r="EB49" s="473">
        <f>блюда!EB286</f>
        <v>0</v>
      </c>
      <c r="EC49" s="473">
        <f>блюда!EC286</f>
        <v>0</v>
      </c>
      <c r="ED49" s="473">
        <f>блюда!ED286</f>
        <v>0</v>
      </c>
      <c r="EE49" s="473">
        <f>блюда!EE286</f>
        <v>0</v>
      </c>
      <c r="EF49" s="473">
        <f>блюда!EF286</f>
        <v>0</v>
      </c>
      <c r="EG49" s="473">
        <f>блюда!EG286</f>
        <v>0</v>
      </c>
      <c r="EH49" s="473">
        <f>блюда!EH286</f>
        <v>0</v>
      </c>
      <c r="EI49" s="473">
        <f>блюда!EI286</f>
        <v>0</v>
      </c>
      <c r="EJ49" s="473">
        <f>блюда!EJ286</f>
        <v>0</v>
      </c>
      <c r="EK49" s="473">
        <f>блюда!EK286</f>
        <v>0</v>
      </c>
      <c r="EL49" s="473">
        <f>блюда!EL286</f>
        <v>0</v>
      </c>
      <c r="EM49" s="473">
        <f>блюда!EM286</f>
        <v>0</v>
      </c>
      <c r="EN49" s="473">
        <f>блюда!EN286</f>
        <v>0</v>
      </c>
      <c r="EO49" s="473">
        <f>блюда!EO286</f>
        <v>0</v>
      </c>
      <c r="EP49" s="473">
        <f>блюда!EP286</f>
        <v>0</v>
      </c>
      <c r="EQ49" s="473">
        <f>блюда!EQ286</f>
        <v>0</v>
      </c>
      <c r="ER49" s="473">
        <f>блюда!ER286</f>
        <v>0</v>
      </c>
      <c r="ES49" s="473">
        <f>блюда!ES286</f>
        <v>0</v>
      </c>
      <c r="ET49" s="473">
        <f>блюда!ET286</f>
        <v>0</v>
      </c>
      <c r="EU49" s="473">
        <f>блюда!EU286</f>
        <v>0</v>
      </c>
      <c r="EV49" s="473">
        <f>блюда!EV286</f>
        <v>0</v>
      </c>
      <c r="EW49" s="473">
        <f>блюда!EW286</f>
        <v>0</v>
      </c>
      <c r="EX49" s="473">
        <f>блюда!EX286</f>
        <v>0</v>
      </c>
      <c r="EY49" s="927">
        <f t="shared" si="20"/>
        <v>1.55E-2</v>
      </c>
      <c r="EZ49" s="117">
        <f>блюда!EZ291</f>
        <v>0</v>
      </c>
      <c r="FA49" s="117">
        <f>блюда!FA291</f>
        <v>0</v>
      </c>
      <c r="FB49" s="117">
        <f>блюда!FB291</f>
        <v>0</v>
      </c>
      <c r="FC49" s="117">
        <f>блюда!FC291</f>
        <v>0</v>
      </c>
      <c r="FD49" s="117">
        <f>блюда!FD291</f>
        <v>0</v>
      </c>
      <c r="FE49" s="117">
        <f>блюда!FE291</f>
        <v>0</v>
      </c>
      <c r="FF49" s="117">
        <f>блюда!FF291</f>
        <v>0</v>
      </c>
      <c r="FG49" s="117">
        <f>блюда!FG291</f>
        <v>0</v>
      </c>
      <c r="FH49" s="117">
        <f>блюда!FH291</f>
        <v>0</v>
      </c>
      <c r="FI49" s="117">
        <f>блюда!FI291</f>
        <v>0</v>
      </c>
      <c r="FJ49" s="117">
        <f>блюда!FJ291</f>
        <v>0</v>
      </c>
      <c r="FK49" s="117">
        <f>блюда!FK291</f>
        <v>0</v>
      </c>
      <c r="FL49" s="117">
        <f>блюда!FL291</f>
        <v>0</v>
      </c>
    </row>
    <row r="50" spans="1:168" x14ac:dyDescent="0.25">
      <c r="A50" s="1460"/>
      <c r="B50" s="115" t="str">
        <f>блюда!B332</f>
        <v>Хлеб пшеничный нарезной</v>
      </c>
      <c r="C50" s="116">
        <f>блюда!C332</f>
        <v>30</v>
      </c>
      <c r="D50" s="431">
        <f>блюда!D332</f>
        <v>3.21</v>
      </c>
      <c r="E50" s="431">
        <f>блюда!E332</f>
        <v>1.35</v>
      </c>
      <c r="F50" s="431">
        <f>блюда!F332</f>
        <v>13.05</v>
      </c>
      <c r="G50" s="116">
        <f>блюда!G332</f>
        <v>82</v>
      </c>
      <c r="H50" s="116" t="str">
        <f>блюда!H332</f>
        <v>ПРОМ</v>
      </c>
      <c r="I50" s="431">
        <f>блюда!I332</f>
        <v>1.95</v>
      </c>
      <c r="J50" s="473">
        <f>блюда!J332</f>
        <v>0</v>
      </c>
      <c r="K50" s="473">
        <f>блюда!K332</f>
        <v>0</v>
      </c>
      <c r="L50" s="473">
        <f>блюда!L332</f>
        <v>0</v>
      </c>
      <c r="M50" s="473">
        <f>блюда!M332</f>
        <v>0</v>
      </c>
      <c r="N50" s="473">
        <f>блюда!N332</f>
        <v>0</v>
      </c>
      <c r="O50" s="473">
        <f>блюда!O332</f>
        <v>0</v>
      </c>
      <c r="P50" s="473">
        <f>блюда!P332</f>
        <v>0</v>
      </c>
      <c r="Q50" s="473">
        <f>блюда!Q332</f>
        <v>0</v>
      </c>
      <c r="R50" s="473">
        <f>блюда!R332</f>
        <v>0</v>
      </c>
      <c r="S50" s="473">
        <f>блюда!S332</f>
        <v>0</v>
      </c>
      <c r="T50" s="473">
        <f>блюда!T332</f>
        <v>0</v>
      </c>
      <c r="U50" s="473">
        <f>блюда!U332</f>
        <v>0</v>
      </c>
      <c r="V50" s="473">
        <f>блюда!V332</f>
        <v>0</v>
      </c>
      <c r="W50" s="473">
        <f>блюда!W332</f>
        <v>0</v>
      </c>
      <c r="X50" s="473">
        <f>блюда!X332</f>
        <v>0</v>
      </c>
      <c r="Y50" s="473">
        <f>блюда!Y332</f>
        <v>0</v>
      </c>
      <c r="Z50" s="473">
        <f>блюда!Z332</f>
        <v>0</v>
      </c>
      <c r="AA50" s="473">
        <f>блюда!AA332</f>
        <v>0</v>
      </c>
      <c r="AB50" s="473">
        <f>блюда!AB332</f>
        <v>0</v>
      </c>
      <c r="AC50" s="473">
        <f>блюда!AC332</f>
        <v>0</v>
      </c>
      <c r="AD50" s="473">
        <f>блюда!AD332</f>
        <v>0</v>
      </c>
      <c r="AE50" s="473">
        <f>блюда!AE332</f>
        <v>0</v>
      </c>
      <c r="AF50" s="473">
        <f>блюда!AF332</f>
        <v>0</v>
      </c>
      <c r="AG50" s="473">
        <f>блюда!AG332</f>
        <v>0</v>
      </c>
      <c r="AH50" s="473">
        <f>блюда!AH332</f>
        <v>0</v>
      </c>
      <c r="AI50" s="473">
        <f>блюда!AI332</f>
        <v>0</v>
      </c>
      <c r="AJ50" s="473">
        <f>блюда!AJ332</f>
        <v>0</v>
      </c>
      <c r="AK50" s="473">
        <f>блюда!AK332</f>
        <v>0</v>
      </c>
      <c r="AL50" s="473">
        <f>блюда!AL332</f>
        <v>0</v>
      </c>
      <c r="AM50" s="473">
        <f>блюда!AM332</f>
        <v>0</v>
      </c>
      <c r="AN50" s="473">
        <f>блюда!AN332</f>
        <v>0</v>
      </c>
      <c r="AO50" s="473">
        <f>блюда!AO332</f>
        <v>0</v>
      </c>
      <c r="AP50" s="473">
        <f>блюда!AP332</f>
        <v>0</v>
      </c>
      <c r="AQ50" s="473">
        <f>блюда!AQ332</f>
        <v>0</v>
      </c>
      <c r="AR50" s="473">
        <f>блюда!AR332</f>
        <v>0</v>
      </c>
      <c r="AS50" s="473">
        <f>блюда!AS332</f>
        <v>0</v>
      </c>
      <c r="AT50" s="473">
        <f>блюда!AT332</f>
        <v>0</v>
      </c>
      <c r="AU50" s="473">
        <f>блюда!AU332</f>
        <v>0</v>
      </c>
      <c r="AV50" s="473">
        <f>блюда!AV332</f>
        <v>0</v>
      </c>
      <c r="AW50" s="473">
        <f>блюда!AW332</f>
        <v>0</v>
      </c>
      <c r="AX50" s="473">
        <f>блюда!AX332</f>
        <v>0</v>
      </c>
      <c r="AY50" s="473">
        <f>блюда!AY332</f>
        <v>0</v>
      </c>
      <c r="AZ50" s="473">
        <f>блюда!AZ332</f>
        <v>0</v>
      </c>
      <c r="BA50" s="473">
        <f>блюда!BA332</f>
        <v>0</v>
      </c>
      <c r="BB50" s="473">
        <f>блюда!BB332</f>
        <v>0</v>
      </c>
      <c r="BC50" s="473">
        <f>блюда!BC332</f>
        <v>0</v>
      </c>
      <c r="BD50" s="473">
        <f>блюда!BD332</f>
        <v>0</v>
      </c>
      <c r="BE50" s="473">
        <f>блюда!BE332</f>
        <v>0</v>
      </c>
      <c r="BF50" s="473">
        <f>блюда!BF332</f>
        <v>0</v>
      </c>
      <c r="BG50" s="473">
        <f>блюда!BG332</f>
        <v>0</v>
      </c>
      <c r="BH50" s="473">
        <f>блюда!BH332</f>
        <v>0</v>
      </c>
      <c r="BI50" s="473">
        <f>блюда!BI332</f>
        <v>0</v>
      </c>
      <c r="BJ50" s="473">
        <f>блюда!BJ332</f>
        <v>0</v>
      </c>
      <c r="BK50" s="473">
        <f>блюда!BK332</f>
        <v>0</v>
      </c>
      <c r="BL50" s="473">
        <f>блюда!BL332</f>
        <v>0</v>
      </c>
      <c r="BM50" s="473">
        <f>блюда!BM332</f>
        <v>0</v>
      </c>
      <c r="BN50" s="473">
        <f>блюда!BN332</f>
        <v>0</v>
      </c>
      <c r="BO50" s="473">
        <f>блюда!BO332</f>
        <v>0</v>
      </c>
      <c r="BP50" s="473">
        <f>блюда!BP332</f>
        <v>0</v>
      </c>
      <c r="BQ50" s="473">
        <f>блюда!BQ332</f>
        <v>0</v>
      </c>
      <c r="BR50" s="473">
        <f>блюда!BR332</f>
        <v>0</v>
      </c>
      <c r="BS50" s="473">
        <f>блюда!BS332</f>
        <v>0</v>
      </c>
      <c r="BT50" s="473">
        <f>блюда!BT332</f>
        <v>0</v>
      </c>
      <c r="BU50" s="473">
        <f>блюда!BU332</f>
        <v>0</v>
      </c>
      <c r="BV50" s="473">
        <f>блюда!BV332</f>
        <v>0</v>
      </c>
      <c r="BW50" s="473">
        <f>блюда!BW332</f>
        <v>0</v>
      </c>
      <c r="BX50" s="473">
        <f>блюда!BX332</f>
        <v>0</v>
      </c>
      <c r="BY50" s="473">
        <f>блюда!BY332</f>
        <v>0</v>
      </c>
      <c r="BZ50" s="473">
        <f>блюда!BZ332</f>
        <v>0</v>
      </c>
      <c r="CA50" s="473">
        <f>блюда!CA332</f>
        <v>0</v>
      </c>
      <c r="CB50" s="473">
        <f>блюда!CB332</f>
        <v>0</v>
      </c>
      <c r="CC50" s="473">
        <f>блюда!CC332</f>
        <v>0</v>
      </c>
      <c r="CD50" s="473">
        <f>блюда!CD332</f>
        <v>0</v>
      </c>
      <c r="CE50" s="473">
        <f>блюда!CE332</f>
        <v>0</v>
      </c>
      <c r="CF50" s="473">
        <f>блюда!CF332</f>
        <v>0</v>
      </c>
      <c r="CG50" s="473">
        <f>блюда!CG332</f>
        <v>0</v>
      </c>
      <c r="CH50" s="473">
        <f>блюда!CH332</f>
        <v>0</v>
      </c>
      <c r="CI50" s="473">
        <f>блюда!CI332</f>
        <v>0</v>
      </c>
      <c r="CJ50" s="473">
        <f>блюда!CJ332</f>
        <v>0</v>
      </c>
      <c r="CK50" s="473">
        <f>блюда!CK332</f>
        <v>0</v>
      </c>
      <c r="CL50" s="473">
        <f>блюда!CL332</f>
        <v>0</v>
      </c>
      <c r="CM50" s="473">
        <f>блюда!CM332</f>
        <v>0</v>
      </c>
      <c r="CN50" s="473">
        <f>блюда!CN332</f>
        <v>0</v>
      </c>
      <c r="CO50" s="473">
        <f>блюда!CO332</f>
        <v>0</v>
      </c>
      <c r="CP50" s="473">
        <f>блюда!CP332</f>
        <v>0</v>
      </c>
      <c r="CQ50" s="473">
        <f>блюда!CQ332</f>
        <v>0</v>
      </c>
      <c r="CR50" s="473">
        <f>блюда!CR332</f>
        <v>0</v>
      </c>
      <c r="CS50" s="473">
        <f>блюда!CS332</f>
        <v>0</v>
      </c>
      <c r="CT50" s="473">
        <f>блюда!CT332</f>
        <v>0</v>
      </c>
      <c r="CU50" s="473">
        <f>блюда!CU332</f>
        <v>0</v>
      </c>
      <c r="CV50" s="473">
        <f>блюда!CV332</f>
        <v>0</v>
      </c>
      <c r="CW50" s="473">
        <f>блюда!CW332</f>
        <v>0</v>
      </c>
      <c r="CX50" s="473">
        <f>блюда!CX332</f>
        <v>0</v>
      </c>
      <c r="CY50" s="473">
        <f>блюда!CY332</f>
        <v>0</v>
      </c>
      <c r="CZ50" s="473">
        <f>блюда!CZ332</f>
        <v>0</v>
      </c>
      <c r="DA50" s="473">
        <f>блюда!DA332</f>
        <v>0</v>
      </c>
      <c r="DB50" s="473">
        <f>блюда!DB332</f>
        <v>0</v>
      </c>
      <c r="DC50" s="473">
        <f>блюда!DC332</f>
        <v>0</v>
      </c>
      <c r="DD50" s="473">
        <f>блюда!DD332</f>
        <v>0</v>
      </c>
      <c r="DE50" s="473">
        <f>блюда!DE332</f>
        <v>0</v>
      </c>
      <c r="DF50" s="473">
        <f>блюда!DF332</f>
        <v>0</v>
      </c>
      <c r="DG50" s="473">
        <f>блюда!DG332</f>
        <v>0</v>
      </c>
      <c r="DH50" s="473">
        <f>блюда!DH332</f>
        <v>0</v>
      </c>
      <c r="DI50" s="473">
        <f>блюда!DI332</f>
        <v>0</v>
      </c>
      <c r="DJ50" s="473">
        <f>блюда!DJ332</f>
        <v>0</v>
      </c>
      <c r="DK50" s="473">
        <f>блюда!DK332</f>
        <v>0</v>
      </c>
      <c r="DL50" s="473">
        <f>блюда!DL332</f>
        <v>0</v>
      </c>
      <c r="DM50" s="473">
        <f>блюда!DM332</f>
        <v>0</v>
      </c>
      <c r="DN50" s="473">
        <f>блюда!DN332</f>
        <v>0</v>
      </c>
      <c r="DO50" s="473">
        <f>блюда!DO332</f>
        <v>0</v>
      </c>
      <c r="DP50" s="473">
        <f>блюда!DP332</f>
        <v>0</v>
      </c>
      <c r="DQ50" s="473">
        <f>блюда!DQ332</f>
        <v>0</v>
      </c>
      <c r="DR50" s="473">
        <f>блюда!DR332</f>
        <v>0</v>
      </c>
      <c r="DS50" s="473">
        <f>блюда!DS332</f>
        <v>0</v>
      </c>
      <c r="DT50" s="473">
        <f>блюда!DT332</f>
        <v>0</v>
      </c>
      <c r="DU50" s="473">
        <f>блюда!DU332</f>
        <v>0</v>
      </c>
      <c r="DV50" s="473">
        <f>блюда!DV332</f>
        <v>0</v>
      </c>
      <c r="DW50" s="473">
        <f>блюда!DW332</f>
        <v>0</v>
      </c>
      <c r="DX50" s="473">
        <f>блюда!DX332</f>
        <v>0</v>
      </c>
      <c r="DY50" s="473">
        <f>блюда!DY332</f>
        <v>0</v>
      </c>
      <c r="DZ50" s="473">
        <f>блюда!DZ332</f>
        <v>0</v>
      </c>
      <c r="EA50" s="473">
        <f>блюда!EA332</f>
        <v>0</v>
      </c>
      <c r="EB50" s="473">
        <f>блюда!EB332</f>
        <v>0</v>
      </c>
      <c r="EC50" s="473">
        <f>блюда!EC332</f>
        <v>0</v>
      </c>
      <c r="ED50" s="473">
        <f>блюда!ED332</f>
        <v>0</v>
      </c>
      <c r="EE50" s="473">
        <f>блюда!EE332</f>
        <v>0</v>
      </c>
      <c r="EF50" s="473">
        <f>блюда!EF332</f>
        <v>0</v>
      </c>
      <c r="EG50" s="473">
        <f>блюда!EG332</f>
        <v>0</v>
      </c>
      <c r="EH50" s="473">
        <f>блюда!EH332</f>
        <v>0</v>
      </c>
      <c r="EI50" s="473">
        <f>блюда!EI332</f>
        <v>0</v>
      </c>
      <c r="EJ50" s="473">
        <f>блюда!EJ332</f>
        <v>0</v>
      </c>
      <c r="EK50" s="473">
        <f>блюда!EK332</f>
        <v>0</v>
      </c>
      <c r="EL50" s="473">
        <f>блюда!EL332</f>
        <v>0</v>
      </c>
      <c r="EM50" s="473">
        <f>блюда!EM332</f>
        <v>0</v>
      </c>
      <c r="EN50" s="473">
        <f>блюда!EN332</f>
        <v>0</v>
      </c>
      <c r="EO50" s="473">
        <f>блюда!EO332</f>
        <v>0</v>
      </c>
      <c r="EP50" s="473">
        <f>блюда!EP332</f>
        <v>0</v>
      </c>
      <c r="EQ50" s="473">
        <f>блюда!EQ332</f>
        <v>0</v>
      </c>
      <c r="ER50" s="473">
        <f>блюда!ER332</f>
        <v>0</v>
      </c>
      <c r="ES50" s="473">
        <f>блюда!ES332</f>
        <v>0</v>
      </c>
      <c r="ET50" s="473">
        <f>блюда!ET332</f>
        <v>0</v>
      </c>
      <c r="EU50" s="473">
        <f>блюда!EU332</f>
        <v>0</v>
      </c>
      <c r="EV50" s="473">
        <f>блюда!EV332</f>
        <v>0.03</v>
      </c>
      <c r="EW50" s="473">
        <f>блюда!EW332</f>
        <v>0</v>
      </c>
      <c r="EX50" s="473">
        <f>блюда!EX332</f>
        <v>0</v>
      </c>
      <c r="EY50" s="927">
        <f t="shared" si="20"/>
        <v>0.03</v>
      </c>
      <c r="EZ50" s="117">
        <f>блюда!EZ332</f>
        <v>0</v>
      </c>
      <c r="FA50" s="117">
        <f>блюда!FA332</f>
        <v>0</v>
      </c>
      <c r="FB50" s="117">
        <f>блюда!FB332</f>
        <v>0</v>
      </c>
      <c r="FC50" s="117">
        <f>блюда!FC332</f>
        <v>0</v>
      </c>
      <c r="FD50" s="117">
        <f>блюда!FD332</f>
        <v>0</v>
      </c>
      <c r="FE50" s="117">
        <f>блюда!FE332</f>
        <v>0</v>
      </c>
      <c r="FF50" s="117">
        <f>блюда!FF332</f>
        <v>0</v>
      </c>
      <c r="FG50" s="117">
        <f>блюда!FG332</f>
        <v>0</v>
      </c>
      <c r="FH50" s="117">
        <f>блюда!FH332</f>
        <v>0</v>
      </c>
      <c r="FI50" s="117">
        <f>блюда!FI332</f>
        <v>0</v>
      </c>
      <c r="FJ50" s="117">
        <f>блюда!FJ332</f>
        <v>0</v>
      </c>
      <c r="FK50" s="117">
        <f>блюда!FK332</f>
        <v>0</v>
      </c>
      <c r="FL50" s="117">
        <f>блюда!FL332</f>
        <v>0</v>
      </c>
    </row>
    <row r="51" spans="1:168" x14ac:dyDescent="0.25">
      <c r="A51" s="1460"/>
      <c r="B51" s="115" t="str">
        <f>блюда!B336</f>
        <v>Хлеб пшенично-ржаной нарезной</v>
      </c>
      <c r="C51" s="116">
        <f>блюда!C336</f>
        <v>20</v>
      </c>
      <c r="D51" s="431">
        <f>блюда!D336</f>
        <v>1.5</v>
      </c>
      <c r="E51" s="431">
        <f>блюда!E336</f>
        <v>0.4</v>
      </c>
      <c r="F51" s="431">
        <f>блюда!F336</f>
        <v>10.4</v>
      </c>
      <c r="G51" s="116">
        <f>блюда!G336</f>
        <v>50</v>
      </c>
      <c r="H51" s="116" t="str">
        <f>блюда!H336</f>
        <v>ПРОМ</v>
      </c>
      <c r="I51" s="431">
        <f>блюда!I336</f>
        <v>1.3</v>
      </c>
      <c r="J51" s="473">
        <f>блюда!J336</f>
        <v>0</v>
      </c>
      <c r="K51" s="473">
        <f>блюда!K336</f>
        <v>0</v>
      </c>
      <c r="L51" s="473">
        <f>блюда!L336</f>
        <v>0</v>
      </c>
      <c r="M51" s="473">
        <f>блюда!M336</f>
        <v>0</v>
      </c>
      <c r="N51" s="473">
        <f>блюда!N336</f>
        <v>0</v>
      </c>
      <c r="O51" s="473">
        <f>блюда!O336</f>
        <v>0</v>
      </c>
      <c r="P51" s="473">
        <f>блюда!P336</f>
        <v>0</v>
      </c>
      <c r="Q51" s="473">
        <f>блюда!Q336</f>
        <v>0</v>
      </c>
      <c r="R51" s="473">
        <f>блюда!R336</f>
        <v>0</v>
      </c>
      <c r="S51" s="473">
        <f>блюда!S336</f>
        <v>0</v>
      </c>
      <c r="T51" s="473">
        <f>блюда!T336</f>
        <v>0</v>
      </c>
      <c r="U51" s="473">
        <f>блюда!U336</f>
        <v>0</v>
      </c>
      <c r="V51" s="473">
        <f>блюда!V336</f>
        <v>0</v>
      </c>
      <c r="W51" s="473">
        <f>блюда!W336</f>
        <v>0</v>
      </c>
      <c r="X51" s="473">
        <f>блюда!X336</f>
        <v>0</v>
      </c>
      <c r="Y51" s="473">
        <f>блюда!Y336</f>
        <v>0</v>
      </c>
      <c r="Z51" s="473">
        <f>блюда!Z336</f>
        <v>0</v>
      </c>
      <c r="AA51" s="473">
        <f>блюда!AA336</f>
        <v>0</v>
      </c>
      <c r="AB51" s="473">
        <f>блюда!AB336</f>
        <v>0</v>
      </c>
      <c r="AC51" s="473">
        <f>блюда!AC336</f>
        <v>0</v>
      </c>
      <c r="AD51" s="473">
        <f>блюда!AD336</f>
        <v>0</v>
      </c>
      <c r="AE51" s="473">
        <f>блюда!AE336</f>
        <v>0</v>
      </c>
      <c r="AF51" s="473">
        <f>блюда!AF336</f>
        <v>0</v>
      </c>
      <c r="AG51" s="473">
        <f>блюда!AG336</f>
        <v>0</v>
      </c>
      <c r="AH51" s="473">
        <f>блюда!AH336</f>
        <v>0</v>
      </c>
      <c r="AI51" s="473">
        <f>блюда!AI336</f>
        <v>0</v>
      </c>
      <c r="AJ51" s="473">
        <f>блюда!AJ336</f>
        <v>0</v>
      </c>
      <c r="AK51" s="473">
        <f>блюда!AK336</f>
        <v>0</v>
      </c>
      <c r="AL51" s="473">
        <f>блюда!AL336</f>
        <v>0</v>
      </c>
      <c r="AM51" s="473">
        <f>блюда!AM336</f>
        <v>0</v>
      </c>
      <c r="AN51" s="473">
        <f>блюда!AN336</f>
        <v>0</v>
      </c>
      <c r="AO51" s="473">
        <f>блюда!AO336</f>
        <v>0</v>
      </c>
      <c r="AP51" s="473">
        <f>блюда!AP336</f>
        <v>0</v>
      </c>
      <c r="AQ51" s="473">
        <f>блюда!AQ336</f>
        <v>0</v>
      </c>
      <c r="AR51" s="473">
        <f>блюда!AR336</f>
        <v>0</v>
      </c>
      <c r="AS51" s="473">
        <f>блюда!AS336</f>
        <v>0</v>
      </c>
      <c r="AT51" s="473">
        <f>блюда!AT336</f>
        <v>0</v>
      </c>
      <c r="AU51" s="473">
        <f>блюда!AU336</f>
        <v>0</v>
      </c>
      <c r="AV51" s="473">
        <f>блюда!AV336</f>
        <v>0</v>
      </c>
      <c r="AW51" s="473">
        <f>блюда!AW336</f>
        <v>0</v>
      </c>
      <c r="AX51" s="473">
        <f>блюда!AX336</f>
        <v>0</v>
      </c>
      <c r="AY51" s="473">
        <f>блюда!AY336</f>
        <v>0</v>
      </c>
      <c r="AZ51" s="473">
        <f>блюда!AZ336</f>
        <v>0</v>
      </c>
      <c r="BA51" s="473">
        <f>блюда!BA336</f>
        <v>0</v>
      </c>
      <c r="BB51" s="473">
        <f>блюда!BB336</f>
        <v>0</v>
      </c>
      <c r="BC51" s="473">
        <f>блюда!BC336</f>
        <v>0</v>
      </c>
      <c r="BD51" s="473">
        <f>блюда!BD336</f>
        <v>0</v>
      </c>
      <c r="BE51" s="473">
        <f>блюда!BE336</f>
        <v>0</v>
      </c>
      <c r="BF51" s="473">
        <f>блюда!BF336</f>
        <v>0</v>
      </c>
      <c r="BG51" s="473">
        <f>блюда!BG336</f>
        <v>0</v>
      </c>
      <c r="BH51" s="473">
        <f>блюда!BH336</f>
        <v>0</v>
      </c>
      <c r="BI51" s="473">
        <f>блюда!BI336</f>
        <v>0</v>
      </c>
      <c r="BJ51" s="473">
        <f>блюда!BJ336</f>
        <v>0</v>
      </c>
      <c r="BK51" s="473">
        <f>блюда!BK336</f>
        <v>0</v>
      </c>
      <c r="BL51" s="473">
        <f>блюда!BL336</f>
        <v>0</v>
      </c>
      <c r="BM51" s="473">
        <f>блюда!BM336</f>
        <v>0</v>
      </c>
      <c r="BN51" s="473">
        <f>блюда!BN336</f>
        <v>0</v>
      </c>
      <c r="BO51" s="473">
        <f>блюда!BO336</f>
        <v>0</v>
      </c>
      <c r="BP51" s="473">
        <f>блюда!BP336</f>
        <v>0</v>
      </c>
      <c r="BQ51" s="473">
        <f>блюда!BQ336</f>
        <v>0</v>
      </c>
      <c r="BR51" s="473">
        <f>блюда!BR336</f>
        <v>0</v>
      </c>
      <c r="BS51" s="473">
        <f>блюда!BS336</f>
        <v>0</v>
      </c>
      <c r="BT51" s="473">
        <f>блюда!BT336</f>
        <v>0</v>
      </c>
      <c r="BU51" s="473">
        <f>блюда!BU336</f>
        <v>0</v>
      </c>
      <c r="BV51" s="473">
        <f>блюда!BV336</f>
        <v>0</v>
      </c>
      <c r="BW51" s="473">
        <f>блюда!BW336</f>
        <v>0</v>
      </c>
      <c r="BX51" s="473">
        <f>блюда!BX336</f>
        <v>0</v>
      </c>
      <c r="BY51" s="473">
        <f>блюда!BY336</f>
        <v>0</v>
      </c>
      <c r="BZ51" s="473">
        <f>блюда!BZ336</f>
        <v>0</v>
      </c>
      <c r="CA51" s="473">
        <f>блюда!CA336</f>
        <v>0</v>
      </c>
      <c r="CB51" s="473">
        <f>блюда!CB336</f>
        <v>0</v>
      </c>
      <c r="CC51" s="473">
        <f>блюда!CC336</f>
        <v>0</v>
      </c>
      <c r="CD51" s="473">
        <f>блюда!CD336</f>
        <v>0</v>
      </c>
      <c r="CE51" s="473">
        <f>блюда!CE336</f>
        <v>0</v>
      </c>
      <c r="CF51" s="473">
        <f>блюда!CF336</f>
        <v>0</v>
      </c>
      <c r="CG51" s="473">
        <f>блюда!CG336</f>
        <v>0</v>
      </c>
      <c r="CH51" s="473">
        <f>блюда!CH336</f>
        <v>0</v>
      </c>
      <c r="CI51" s="473">
        <f>блюда!CI336</f>
        <v>0</v>
      </c>
      <c r="CJ51" s="473">
        <f>блюда!CJ336</f>
        <v>0</v>
      </c>
      <c r="CK51" s="473">
        <f>блюда!CK336</f>
        <v>0</v>
      </c>
      <c r="CL51" s="473">
        <f>блюда!CL336</f>
        <v>0</v>
      </c>
      <c r="CM51" s="473">
        <f>блюда!CM336</f>
        <v>0</v>
      </c>
      <c r="CN51" s="473">
        <f>блюда!CN336</f>
        <v>0</v>
      </c>
      <c r="CO51" s="473">
        <f>блюда!CO336</f>
        <v>0</v>
      </c>
      <c r="CP51" s="473">
        <f>блюда!CP336</f>
        <v>0</v>
      </c>
      <c r="CQ51" s="473">
        <f>блюда!CQ336</f>
        <v>0</v>
      </c>
      <c r="CR51" s="473">
        <f>блюда!CR336</f>
        <v>0</v>
      </c>
      <c r="CS51" s="473">
        <f>блюда!CS336</f>
        <v>0</v>
      </c>
      <c r="CT51" s="473">
        <f>блюда!CT336</f>
        <v>0</v>
      </c>
      <c r="CU51" s="473">
        <f>блюда!CU336</f>
        <v>0</v>
      </c>
      <c r="CV51" s="473">
        <f>блюда!CV336</f>
        <v>0</v>
      </c>
      <c r="CW51" s="473">
        <f>блюда!CW336</f>
        <v>0</v>
      </c>
      <c r="CX51" s="473">
        <f>блюда!CX336</f>
        <v>0</v>
      </c>
      <c r="CY51" s="473">
        <f>блюда!CY336</f>
        <v>0</v>
      </c>
      <c r="CZ51" s="473">
        <f>блюда!CZ336</f>
        <v>0</v>
      </c>
      <c r="DA51" s="473">
        <f>блюда!DA336</f>
        <v>0</v>
      </c>
      <c r="DB51" s="473">
        <f>блюда!DB336</f>
        <v>0</v>
      </c>
      <c r="DC51" s="473">
        <f>блюда!DC336</f>
        <v>0</v>
      </c>
      <c r="DD51" s="473">
        <f>блюда!DD336</f>
        <v>0</v>
      </c>
      <c r="DE51" s="473">
        <f>блюда!DE336</f>
        <v>0</v>
      </c>
      <c r="DF51" s="473">
        <f>блюда!DF336</f>
        <v>0</v>
      </c>
      <c r="DG51" s="473">
        <f>блюда!DG336</f>
        <v>0</v>
      </c>
      <c r="DH51" s="473">
        <f>блюда!DH336</f>
        <v>0</v>
      </c>
      <c r="DI51" s="473">
        <f>блюда!DI336</f>
        <v>0</v>
      </c>
      <c r="DJ51" s="473">
        <f>блюда!DJ336</f>
        <v>0</v>
      </c>
      <c r="DK51" s="473">
        <f>блюда!DK336</f>
        <v>0</v>
      </c>
      <c r="DL51" s="473">
        <f>блюда!DL336</f>
        <v>0</v>
      </c>
      <c r="DM51" s="473">
        <f>блюда!DM336</f>
        <v>0</v>
      </c>
      <c r="DN51" s="473">
        <f>блюда!DN336</f>
        <v>0</v>
      </c>
      <c r="DO51" s="473">
        <f>блюда!DO336</f>
        <v>0</v>
      </c>
      <c r="DP51" s="473">
        <f>блюда!DP336</f>
        <v>0</v>
      </c>
      <c r="DQ51" s="473">
        <f>блюда!DQ336</f>
        <v>0</v>
      </c>
      <c r="DR51" s="473">
        <f>блюда!DR336</f>
        <v>0</v>
      </c>
      <c r="DS51" s="473">
        <f>блюда!DS336</f>
        <v>0</v>
      </c>
      <c r="DT51" s="473">
        <f>блюда!DT336</f>
        <v>0</v>
      </c>
      <c r="DU51" s="473">
        <f>блюда!DU336</f>
        <v>0</v>
      </c>
      <c r="DV51" s="473">
        <f>блюда!DV336</f>
        <v>0</v>
      </c>
      <c r="DW51" s="473">
        <f>блюда!DW336</f>
        <v>0</v>
      </c>
      <c r="DX51" s="473">
        <f>блюда!DX336</f>
        <v>0</v>
      </c>
      <c r="DY51" s="473">
        <f>блюда!DY336</f>
        <v>0</v>
      </c>
      <c r="DZ51" s="473">
        <f>блюда!DZ336</f>
        <v>0</v>
      </c>
      <c r="EA51" s="473">
        <f>блюда!EA336</f>
        <v>0</v>
      </c>
      <c r="EB51" s="473">
        <f>блюда!EB336</f>
        <v>0</v>
      </c>
      <c r="EC51" s="473">
        <f>блюда!EC336</f>
        <v>0</v>
      </c>
      <c r="ED51" s="473">
        <f>блюда!ED336</f>
        <v>0</v>
      </c>
      <c r="EE51" s="473">
        <f>блюда!EE336</f>
        <v>0</v>
      </c>
      <c r="EF51" s="473">
        <f>блюда!EF336</f>
        <v>0</v>
      </c>
      <c r="EG51" s="473">
        <f>блюда!EG336</f>
        <v>0</v>
      </c>
      <c r="EH51" s="473">
        <f>блюда!EH336</f>
        <v>0</v>
      </c>
      <c r="EI51" s="473">
        <f>блюда!EI336</f>
        <v>0</v>
      </c>
      <c r="EJ51" s="473">
        <f>блюда!EJ336</f>
        <v>0</v>
      </c>
      <c r="EK51" s="473">
        <f>блюда!EK336</f>
        <v>0</v>
      </c>
      <c r="EL51" s="473">
        <f>блюда!EL336</f>
        <v>0</v>
      </c>
      <c r="EM51" s="473">
        <f>блюда!EM336</f>
        <v>0</v>
      </c>
      <c r="EN51" s="473">
        <f>блюда!EN336</f>
        <v>0</v>
      </c>
      <c r="EO51" s="473">
        <f>блюда!EO336</f>
        <v>0</v>
      </c>
      <c r="EP51" s="473">
        <f>блюда!EP336</f>
        <v>0</v>
      </c>
      <c r="EQ51" s="473">
        <f>блюда!EQ336</f>
        <v>0</v>
      </c>
      <c r="ER51" s="473">
        <f>блюда!ER336</f>
        <v>0</v>
      </c>
      <c r="ES51" s="473">
        <f>блюда!ES336</f>
        <v>0</v>
      </c>
      <c r="ET51" s="473">
        <f>блюда!ET336</f>
        <v>0</v>
      </c>
      <c r="EU51" s="473">
        <f>блюда!EU336</f>
        <v>0</v>
      </c>
      <c r="EV51" s="473">
        <f>блюда!EV336</f>
        <v>0</v>
      </c>
      <c r="EW51" s="473">
        <f>блюда!EW336</f>
        <v>0.02</v>
      </c>
      <c r="EX51" s="473">
        <f>блюда!EX336</f>
        <v>0</v>
      </c>
      <c r="EY51" s="927">
        <f t="shared" si="20"/>
        <v>0.02</v>
      </c>
      <c r="EZ51" s="431">
        <f>блюда!EZ258</f>
        <v>0</v>
      </c>
      <c r="FA51" s="431">
        <f>блюда!FA258</f>
        <v>0</v>
      </c>
      <c r="FB51" s="431">
        <f>блюда!FB258</f>
        <v>0</v>
      </c>
      <c r="FC51" s="431">
        <f>блюда!FC258</f>
        <v>0</v>
      </c>
      <c r="FD51" s="431">
        <f>блюда!FD258</f>
        <v>0</v>
      </c>
      <c r="FE51" s="431">
        <f>блюда!FE258</f>
        <v>0</v>
      </c>
      <c r="FF51" s="431">
        <f>блюда!FF258</f>
        <v>0</v>
      </c>
      <c r="FG51" s="431">
        <f>блюда!FG258</f>
        <v>0</v>
      </c>
      <c r="FH51" s="431">
        <f>блюда!FH258</f>
        <v>0</v>
      </c>
      <c r="FI51" s="431">
        <f>блюда!FI258</f>
        <v>0</v>
      </c>
      <c r="FJ51" s="431">
        <f>блюда!FJ258</f>
        <v>0</v>
      </c>
      <c r="FK51" s="431">
        <f>блюда!FK258</f>
        <v>0</v>
      </c>
      <c r="FL51" s="431">
        <f>блюда!FL258</f>
        <v>0</v>
      </c>
    </row>
    <row r="52" spans="1:168" x14ac:dyDescent="0.25">
      <c r="A52" s="1460"/>
      <c r="B52" s="115" t="str">
        <f>блюда!B13</f>
        <v>Масло сливочное (порциями)</v>
      </c>
      <c r="C52" s="116">
        <f>блюда!C13</f>
        <v>10</v>
      </c>
      <c r="D52" s="431">
        <f>блюда!D13</f>
        <v>0.08</v>
      </c>
      <c r="E52" s="431">
        <f>блюда!E13</f>
        <v>7.25</v>
      </c>
      <c r="F52" s="431">
        <f>блюда!F13</f>
        <v>0.13</v>
      </c>
      <c r="G52" s="116">
        <f>блюда!G13</f>
        <v>66</v>
      </c>
      <c r="H52" s="116">
        <f>блюда!H13</f>
        <v>14</v>
      </c>
      <c r="I52" s="431">
        <f>блюда!I13</f>
        <v>7.1</v>
      </c>
      <c r="J52" s="473">
        <f>блюда!J13</f>
        <v>0</v>
      </c>
      <c r="K52" s="473">
        <f>блюда!K13</f>
        <v>0</v>
      </c>
      <c r="L52" s="473">
        <f>блюда!L13</f>
        <v>0</v>
      </c>
      <c r="M52" s="473">
        <f>блюда!M13</f>
        <v>0</v>
      </c>
      <c r="N52" s="473">
        <f>блюда!N13</f>
        <v>0</v>
      </c>
      <c r="O52" s="473">
        <f>блюда!O13</f>
        <v>0</v>
      </c>
      <c r="P52" s="473">
        <f>блюда!P13</f>
        <v>0</v>
      </c>
      <c r="Q52" s="473">
        <f>блюда!Q13</f>
        <v>0</v>
      </c>
      <c r="R52" s="473">
        <f>блюда!R13</f>
        <v>0</v>
      </c>
      <c r="S52" s="473">
        <f>блюда!S13</f>
        <v>0</v>
      </c>
      <c r="T52" s="473">
        <f>блюда!T13</f>
        <v>0</v>
      </c>
      <c r="U52" s="473">
        <f>блюда!U13</f>
        <v>0</v>
      </c>
      <c r="V52" s="473">
        <f>блюда!V13</f>
        <v>0.01</v>
      </c>
      <c r="W52" s="473">
        <f>блюда!W13</f>
        <v>0</v>
      </c>
      <c r="X52" s="473">
        <f>блюда!X13</f>
        <v>0</v>
      </c>
      <c r="Y52" s="473">
        <f>блюда!Y13</f>
        <v>0</v>
      </c>
      <c r="Z52" s="473">
        <f>блюда!Z13</f>
        <v>0</v>
      </c>
      <c r="AA52" s="473">
        <f>блюда!AA13</f>
        <v>0</v>
      </c>
      <c r="AB52" s="473">
        <f>блюда!AB13</f>
        <v>0</v>
      </c>
      <c r="AC52" s="473">
        <f>блюда!AC13</f>
        <v>0</v>
      </c>
      <c r="AD52" s="473">
        <f>блюда!AD13</f>
        <v>0</v>
      </c>
      <c r="AE52" s="473">
        <f>блюда!AE13</f>
        <v>0</v>
      </c>
      <c r="AF52" s="473">
        <f>блюда!AF13</f>
        <v>0</v>
      </c>
      <c r="AG52" s="473">
        <f>блюда!AG13</f>
        <v>0</v>
      </c>
      <c r="AH52" s="473">
        <f>блюда!AH13</f>
        <v>0</v>
      </c>
      <c r="AI52" s="473">
        <f>блюда!AI13</f>
        <v>0</v>
      </c>
      <c r="AJ52" s="473">
        <f>блюда!AJ13</f>
        <v>0</v>
      </c>
      <c r="AK52" s="473">
        <f>блюда!AK13</f>
        <v>0</v>
      </c>
      <c r="AL52" s="473">
        <f>блюда!AL13</f>
        <v>0</v>
      </c>
      <c r="AM52" s="473">
        <f>блюда!AM13</f>
        <v>0</v>
      </c>
      <c r="AN52" s="473">
        <f>блюда!AN13</f>
        <v>0</v>
      </c>
      <c r="AO52" s="473">
        <f>блюда!AO13</f>
        <v>0</v>
      </c>
      <c r="AP52" s="473">
        <f>блюда!AP13</f>
        <v>0</v>
      </c>
      <c r="AQ52" s="473">
        <f>блюда!AQ13</f>
        <v>0</v>
      </c>
      <c r="AR52" s="473">
        <f>блюда!AR13</f>
        <v>0</v>
      </c>
      <c r="AS52" s="473">
        <f>блюда!AS13</f>
        <v>0</v>
      </c>
      <c r="AT52" s="473">
        <f>блюда!AT13</f>
        <v>0</v>
      </c>
      <c r="AU52" s="473">
        <f>блюда!AU13</f>
        <v>0</v>
      </c>
      <c r="AV52" s="473">
        <f>блюда!AV13</f>
        <v>0</v>
      </c>
      <c r="AW52" s="473">
        <f>блюда!AW13</f>
        <v>0</v>
      </c>
      <c r="AX52" s="473">
        <f>блюда!AX13</f>
        <v>0</v>
      </c>
      <c r="AY52" s="473">
        <f>блюда!AY13</f>
        <v>0</v>
      </c>
      <c r="AZ52" s="473">
        <f>блюда!AZ13</f>
        <v>0</v>
      </c>
      <c r="BA52" s="473">
        <f>блюда!BA13</f>
        <v>0</v>
      </c>
      <c r="BB52" s="473">
        <f>блюда!BB13</f>
        <v>0</v>
      </c>
      <c r="BC52" s="473">
        <f>блюда!BC13</f>
        <v>0</v>
      </c>
      <c r="BD52" s="473">
        <f>блюда!BD13</f>
        <v>0</v>
      </c>
      <c r="BE52" s="473">
        <f>блюда!BE13</f>
        <v>0</v>
      </c>
      <c r="BF52" s="473">
        <f>блюда!BF13</f>
        <v>0</v>
      </c>
      <c r="BG52" s="473">
        <f>блюда!BG13</f>
        <v>0</v>
      </c>
      <c r="BH52" s="473">
        <f>блюда!BH13</f>
        <v>0</v>
      </c>
      <c r="BI52" s="473">
        <f>блюда!BI13</f>
        <v>0</v>
      </c>
      <c r="BJ52" s="473">
        <f>блюда!BJ13</f>
        <v>0</v>
      </c>
      <c r="BK52" s="473">
        <f>блюда!BK13</f>
        <v>0</v>
      </c>
      <c r="BL52" s="473">
        <f>блюда!BL13</f>
        <v>0</v>
      </c>
      <c r="BM52" s="473">
        <f>блюда!BM13</f>
        <v>0</v>
      </c>
      <c r="BN52" s="473">
        <f>блюда!BN13</f>
        <v>0</v>
      </c>
      <c r="BO52" s="473">
        <f>блюда!BO13</f>
        <v>0</v>
      </c>
      <c r="BP52" s="473">
        <f>блюда!BP13</f>
        <v>0</v>
      </c>
      <c r="BQ52" s="473">
        <f>блюда!BQ13</f>
        <v>0</v>
      </c>
      <c r="BR52" s="473">
        <f>блюда!BR13</f>
        <v>0</v>
      </c>
      <c r="BS52" s="473">
        <f>блюда!BS13</f>
        <v>0</v>
      </c>
      <c r="BT52" s="473">
        <f>блюда!BT13</f>
        <v>0</v>
      </c>
      <c r="BU52" s="473">
        <f>блюда!BU13</f>
        <v>0</v>
      </c>
      <c r="BV52" s="473">
        <f>блюда!BV13</f>
        <v>0</v>
      </c>
      <c r="BW52" s="473">
        <f>блюда!BW13</f>
        <v>0</v>
      </c>
      <c r="BX52" s="473">
        <f>блюда!BX13</f>
        <v>0</v>
      </c>
      <c r="BY52" s="473">
        <f>блюда!BY13</f>
        <v>0</v>
      </c>
      <c r="BZ52" s="473">
        <f>блюда!BZ13</f>
        <v>0</v>
      </c>
      <c r="CA52" s="473">
        <f>блюда!CA13</f>
        <v>0</v>
      </c>
      <c r="CB52" s="473">
        <f>блюда!CB13</f>
        <v>0</v>
      </c>
      <c r="CC52" s="473">
        <f>блюда!CC13</f>
        <v>0</v>
      </c>
      <c r="CD52" s="473">
        <f>блюда!CD13</f>
        <v>0</v>
      </c>
      <c r="CE52" s="473">
        <f>блюда!CE13</f>
        <v>0</v>
      </c>
      <c r="CF52" s="473">
        <f>блюда!CF13</f>
        <v>0</v>
      </c>
      <c r="CG52" s="473">
        <f>блюда!CG13</f>
        <v>0</v>
      </c>
      <c r="CH52" s="473">
        <f>блюда!CH13</f>
        <v>0</v>
      </c>
      <c r="CI52" s="473">
        <f>блюда!CI13</f>
        <v>0</v>
      </c>
      <c r="CJ52" s="473">
        <f>блюда!CJ13</f>
        <v>0</v>
      </c>
      <c r="CK52" s="473">
        <f>блюда!CK13</f>
        <v>0</v>
      </c>
      <c r="CL52" s="473">
        <f>блюда!CL13</f>
        <v>0</v>
      </c>
      <c r="CM52" s="473">
        <f>блюда!CM13</f>
        <v>0</v>
      </c>
      <c r="CN52" s="473">
        <f>блюда!CN13</f>
        <v>0</v>
      </c>
      <c r="CO52" s="473">
        <f>блюда!CO13</f>
        <v>0</v>
      </c>
      <c r="CP52" s="473">
        <f>блюда!CP13</f>
        <v>0</v>
      </c>
      <c r="CQ52" s="473">
        <f>блюда!CQ13</f>
        <v>0</v>
      </c>
      <c r="CR52" s="473">
        <f>блюда!CR13</f>
        <v>0</v>
      </c>
      <c r="CS52" s="473">
        <f>блюда!CS13</f>
        <v>0</v>
      </c>
      <c r="CT52" s="473">
        <f>блюда!CT13</f>
        <v>0</v>
      </c>
      <c r="CU52" s="473">
        <f>блюда!CU13</f>
        <v>0</v>
      </c>
      <c r="CV52" s="473">
        <f>блюда!CV13</f>
        <v>0</v>
      </c>
      <c r="CW52" s="473">
        <f>блюда!CW13</f>
        <v>0</v>
      </c>
      <c r="CX52" s="473">
        <f>блюда!CX13</f>
        <v>0</v>
      </c>
      <c r="CY52" s="473">
        <f>блюда!CY13</f>
        <v>0</v>
      </c>
      <c r="CZ52" s="473">
        <f>блюда!CZ13</f>
        <v>0</v>
      </c>
      <c r="DA52" s="473">
        <f>блюда!DA13</f>
        <v>0</v>
      </c>
      <c r="DB52" s="473">
        <f>блюда!DB13</f>
        <v>0</v>
      </c>
      <c r="DC52" s="473">
        <f>блюда!DC13</f>
        <v>0</v>
      </c>
      <c r="DD52" s="473">
        <f>блюда!DD13</f>
        <v>0</v>
      </c>
      <c r="DE52" s="473">
        <f>блюда!DE13</f>
        <v>0</v>
      </c>
      <c r="DF52" s="473">
        <f>блюда!DF13</f>
        <v>0</v>
      </c>
      <c r="DG52" s="473">
        <f>блюда!DG13</f>
        <v>0</v>
      </c>
      <c r="DH52" s="473">
        <f>блюда!DH13</f>
        <v>0</v>
      </c>
      <c r="DI52" s="473">
        <f>блюда!DI13</f>
        <v>0</v>
      </c>
      <c r="DJ52" s="473">
        <f>блюда!DJ13</f>
        <v>0</v>
      </c>
      <c r="DK52" s="473">
        <f>блюда!DK13</f>
        <v>0</v>
      </c>
      <c r="DL52" s="473">
        <f>блюда!DL13</f>
        <v>0</v>
      </c>
      <c r="DM52" s="473">
        <f>блюда!DM13</f>
        <v>0</v>
      </c>
      <c r="DN52" s="473">
        <f>блюда!DN13</f>
        <v>0</v>
      </c>
      <c r="DO52" s="473">
        <f>блюда!DO13</f>
        <v>0</v>
      </c>
      <c r="DP52" s="473">
        <f>блюда!DP13</f>
        <v>0</v>
      </c>
      <c r="DQ52" s="473">
        <f>блюда!DQ13</f>
        <v>0</v>
      </c>
      <c r="DR52" s="473">
        <f>блюда!DR13</f>
        <v>0</v>
      </c>
      <c r="DS52" s="473">
        <f>блюда!DS13</f>
        <v>0</v>
      </c>
      <c r="DT52" s="473">
        <f>блюда!DT13</f>
        <v>0</v>
      </c>
      <c r="DU52" s="473">
        <f>блюда!DU13</f>
        <v>0</v>
      </c>
      <c r="DV52" s="473">
        <f>блюда!DV13</f>
        <v>0</v>
      </c>
      <c r="DW52" s="473">
        <f>блюда!DW13</f>
        <v>0</v>
      </c>
      <c r="DX52" s="473">
        <f>блюда!DX13</f>
        <v>0</v>
      </c>
      <c r="DY52" s="473">
        <f>блюда!DY13</f>
        <v>0</v>
      </c>
      <c r="DZ52" s="473">
        <f>блюда!DZ13</f>
        <v>0</v>
      </c>
      <c r="EA52" s="473">
        <f>блюда!EA13</f>
        <v>0</v>
      </c>
      <c r="EB52" s="473">
        <f>блюда!EB13</f>
        <v>0</v>
      </c>
      <c r="EC52" s="473">
        <f>блюда!EC13</f>
        <v>0</v>
      </c>
      <c r="ED52" s="473">
        <f>блюда!ED13</f>
        <v>0</v>
      </c>
      <c r="EE52" s="473">
        <f>блюда!EE13</f>
        <v>0</v>
      </c>
      <c r="EF52" s="473">
        <f>блюда!EF13</f>
        <v>0</v>
      </c>
      <c r="EG52" s="473">
        <f>блюда!EG13</f>
        <v>0</v>
      </c>
      <c r="EH52" s="473">
        <f>блюда!EH13</f>
        <v>0</v>
      </c>
      <c r="EI52" s="473">
        <f>блюда!EI13</f>
        <v>0</v>
      </c>
      <c r="EJ52" s="473">
        <f>блюда!EJ13</f>
        <v>0</v>
      </c>
      <c r="EK52" s="473">
        <f>блюда!EK13</f>
        <v>0</v>
      </c>
      <c r="EL52" s="473">
        <f>блюда!EL13</f>
        <v>0</v>
      </c>
      <c r="EM52" s="473">
        <f>блюда!EM13</f>
        <v>0</v>
      </c>
      <c r="EN52" s="473">
        <f>блюда!EN13</f>
        <v>0</v>
      </c>
      <c r="EO52" s="473">
        <f>блюда!EO13</f>
        <v>0</v>
      </c>
      <c r="EP52" s="473">
        <f>блюда!EP13</f>
        <v>0</v>
      </c>
      <c r="EQ52" s="473">
        <f>блюда!EQ13</f>
        <v>0</v>
      </c>
      <c r="ER52" s="473">
        <f>блюда!ER13</f>
        <v>0</v>
      </c>
      <c r="ES52" s="473">
        <f>блюда!ES13</f>
        <v>0</v>
      </c>
      <c r="ET52" s="473">
        <f>блюда!ET13</f>
        <v>0</v>
      </c>
      <c r="EU52" s="473">
        <f>блюда!EU13</f>
        <v>0</v>
      </c>
      <c r="EV52" s="473">
        <f>блюда!EV13</f>
        <v>0</v>
      </c>
      <c r="EW52" s="473">
        <f>блюда!EW13</f>
        <v>0</v>
      </c>
      <c r="EX52" s="473">
        <f>блюда!EX13</f>
        <v>0</v>
      </c>
      <c r="EY52" s="927">
        <f t="shared" si="20"/>
        <v>0.01</v>
      </c>
      <c r="EZ52" s="117"/>
      <c r="FA52" s="117"/>
      <c r="FB52" s="117"/>
      <c r="FC52" s="117"/>
      <c r="FD52" s="117"/>
      <c r="FE52" s="117"/>
      <c r="FF52" s="117"/>
      <c r="FG52" s="117"/>
      <c r="FH52" s="117"/>
      <c r="FI52" s="117"/>
      <c r="FJ52" s="117"/>
      <c r="FK52" s="117"/>
      <c r="FL52" s="117"/>
    </row>
    <row r="53" spans="1:168" x14ac:dyDescent="0.25">
      <c r="A53" s="1460"/>
      <c r="B53" s="115" t="str">
        <f>блюда!B343</f>
        <v>Вода питьевая 19 л</v>
      </c>
      <c r="C53" s="116">
        <f>блюда!C343</f>
        <v>500</v>
      </c>
      <c r="D53" s="431">
        <f>блюда!D343</f>
        <v>0</v>
      </c>
      <c r="E53" s="431">
        <f>блюда!E343</f>
        <v>0</v>
      </c>
      <c r="F53" s="431">
        <f>блюда!F343</f>
        <v>0</v>
      </c>
      <c r="G53" s="116">
        <f>блюда!G343</f>
        <v>0</v>
      </c>
      <c r="H53" s="116" t="str">
        <f>блюда!H343</f>
        <v>ПРОМ</v>
      </c>
      <c r="I53" s="431">
        <f>блюда!I343</f>
        <v>2.9</v>
      </c>
      <c r="J53" s="473">
        <f>блюда!J343</f>
        <v>0</v>
      </c>
      <c r="K53" s="473">
        <f>блюда!K343</f>
        <v>0</v>
      </c>
      <c r="L53" s="473">
        <f>блюда!L343</f>
        <v>0</v>
      </c>
      <c r="M53" s="473">
        <f>блюда!M343</f>
        <v>0</v>
      </c>
      <c r="N53" s="473">
        <f>блюда!N343</f>
        <v>0</v>
      </c>
      <c r="O53" s="473">
        <f>блюда!O343</f>
        <v>0</v>
      </c>
      <c r="P53" s="473">
        <f>блюда!P343</f>
        <v>0</v>
      </c>
      <c r="Q53" s="473">
        <f>блюда!Q343</f>
        <v>0</v>
      </c>
      <c r="R53" s="473">
        <f>блюда!R343</f>
        <v>0</v>
      </c>
      <c r="S53" s="473">
        <f>блюда!S343</f>
        <v>0</v>
      </c>
      <c r="T53" s="473">
        <f>блюда!T343</f>
        <v>0</v>
      </c>
      <c r="U53" s="473">
        <f>блюда!U343</f>
        <v>0</v>
      </c>
      <c r="V53" s="473">
        <f>блюда!V343</f>
        <v>0</v>
      </c>
      <c r="W53" s="473">
        <f>блюда!W343</f>
        <v>0</v>
      </c>
      <c r="X53" s="473">
        <f>блюда!X343</f>
        <v>0</v>
      </c>
      <c r="Y53" s="473">
        <f>блюда!Y343</f>
        <v>0</v>
      </c>
      <c r="Z53" s="473">
        <f>блюда!Z343</f>
        <v>0</v>
      </c>
      <c r="AA53" s="473">
        <f>блюда!AA343</f>
        <v>0</v>
      </c>
      <c r="AB53" s="473">
        <f>блюда!AB343</f>
        <v>0</v>
      </c>
      <c r="AC53" s="473">
        <f>блюда!AC343</f>
        <v>0</v>
      </c>
      <c r="AD53" s="473">
        <f>блюда!AD343</f>
        <v>0</v>
      </c>
      <c r="AE53" s="473">
        <f>блюда!AE343</f>
        <v>0</v>
      </c>
      <c r="AF53" s="473">
        <f>блюда!AF343</f>
        <v>0</v>
      </c>
      <c r="AG53" s="473">
        <f>блюда!AG343</f>
        <v>0</v>
      </c>
      <c r="AH53" s="473">
        <f>блюда!AH343</f>
        <v>0</v>
      </c>
      <c r="AI53" s="473">
        <f>блюда!AI343</f>
        <v>0</v>
      </c>
      <c r="AJ53" s="473">
        <f>блюда!AJ343</f>
        <v>0</v>
      </c>
      <c r="AK53" s="473">
        <f>блюда!AK343</f>
        <v>0</v>
      </c>
      <c r="AL53" s="473">
        <f>блюда!AL343</f>
        <v>0</v>
      </c>
      <c r="AM53" s="473">
        <f>блюда!AM343</f>
        <v>0</v>
      </c>
      <c r="AN53" s="473">
        <f>блюда!AN343</f>
        <v>0</v>
      </c>
      <c r="AO53" s="473">
        <f>блюда!AO343</f>
        <v>0</v>
      </c>
      <c r="AP53" s="473">
        <f>блюда!AP343</f>
        <v>0</v>
      </c>
      <c r="AQ53" s="473">
        <f>блюда!AQ343</f>
        <v>0</v>
      </c>
      <c r="AR53" s="473">
        <f>блюда!AR343</f>
        <v>0</v>
      </c>
      <c r="AS53" s="473">
        <f>блюда!AS343</f>
        <v>0</v>
      </c>
      <c r="AT53" s="473">
        <f>блюда!AT343</f>
        <v>0</v>
      </c>
      <c r="AU53" s="473">
        <f>блюда!AU343</f>
        <v>0</v>
      </c>
      <c r="AV53" s="473">
        <f>блюда!AV343</f>
        <v>0</v>
      </c>
      <c r="AW53" s="473">
        <f>блюда!AW343</f>
        <v>0</v>
      </c>
      <c r="AX53" s="473">
        <f>блюда!AX343</f>
        <v>0</v>
      </c>
      <c r="AY53" s="473">
        <f>блюда!AY343</f>
        <v>0</v>
      </c>
      <c r="AZ53" s="473">
        <f>блюда!AZ343</f>
        <v>0</v>
      </c>
      <c r="BA53" s="473">
        <f>блюда!BA343</f>
        <v>0</v>
      </c>
      <c r="BB53" s="473">
        <f>блюда!BB343</f>
        <v>0</v>
      </c>
      <c r="BC53" s="473">
        <f>блюда!BC343</f>
        <v>0</v>
      </c>
      <c r="BD53" s="473">
        <f>блюда!BD343</f>
        <v>0</v>
      </c>
      <c r="BE53" s="473">
        <f>блюда!BE343</f>
        <v>0</v>
      </c>
      <c r="BF53" s="473">
        <f>блюда!BF343</f>
        <v>0</v>
      </c>
      <c r="BG53" s="473">
        <f>блюда!BG343</f>
        <v>0</v>
      </c>
      <c r="BH53" s="473">
        <f>блюда!BH343</f>
        <v>0</v>
      </c>
      <c r="BI53" s="473">
        <f>блюда!BI343</f>
        <v>0</v>
      </c>
      <c r="BJ53" s="473">
        <f>блюда!BJ343</f>
        <v>0</v>
      </c>
      <c r="BK53" s="473">
        <f>блюда!BK343</f>
        <v>0</v>
      </c>
      <c r="BL53" s="473">
        <f>блюда!BL343</f>
        <v>0</v>
      </c>
      <c r="BM53" s="473">
        <f>блюда!BM343</f>
        <v>0</v>
      </c>
      <c r="BN53" s="473">
        <f>блюда!BN343</f>
        <v>0</v>
      </c>
      <c r="BO53" s="473">
        <f>блюда!BO343</f>
        <v>0</v>
      </c>
      <c r="BP53" s="473">
        <f>блюда!BP343</f>
        <v>0</v>
      </c>
      <c r="BQ53" s="473">
        <f>блюда!BQ343</f>
        <v>0</v>
      </c>
      <c r="BR53" s="473">
        <f>блюда!BR343</f>
        <v>0</v>
      </c>
      <c r="BS53" s="473">
        <f>блюда!BS343</f>
        <v>0</v>
      </c>
      <c r="BT53" s="473">
        <f>блюда!BT343</f>
        <v>0</v>
      </c>
      <c r="BU53" s="473">
        <f>блюда!BU343</f>
        <v>0</v>
      </c>
      <c r="BV53" s="473">
        <f>блюда!BV343</f>
        <v>0</v>
      </c>
      <c r="BW53" s="473">
        <f>блюда!BW343</f>
        <v>0</v>
      </c>
      <c r="BX53" s="473">
        <f>блюда!BX343</f>
        <v>0</v>
      </c>
      <c r="BY53" s="473">
        <f>блюда!BY343</f>
        <v>0</v>
      </c>
      <c r="BZ53" s="473">
        <f>блюда!BZ343</f>
        <v>0</v>
      </c>
      <c r="CA53" s="473">
        <f>блюда!CA343</f>
        <v>0</v>
      </c>
      <c r="CB53" s="473">
        <f>блюда!CB343</f>
        <v>0</v>
      </c>
      <c r="CC53" s="473">
        <f>блюда!CC343</f>
        <v>0</v>
      </c>
      <c r="CD53" s="473">
        <f>блюда!CD343</f>
        <v>0</v>
      </c>
      <c r="CE53" s="473">
        <f>блюда!CE343</f>
        <v>0</v>
      </c>
      <c r="CF53" s="473">
        <f>блюда!CF343</f>
        <v>0</v>
      </c>
      <c r="CG53" s="473">
        <f>блюда!CG343</f>
        <v>0</v>
      </c>
      <c r="CH53" s="473">
        <f>блюда!CH343</f>
        <v>0</v>
      </c>
      <c r="CI53" s="473">
        <f>блюда!CI343</f>
        <v>0</v>
      </c>
      <c r="CJ53" s="473">
        <f>блюда!CJ343</f>
        <v>0</v>
      </c>
      <c r="CK53" s="473">
        <f>блюда!CK343</f>
        <v>0</v>
      </c>
      <c r="CL53" s="473">
        <f>блюда!CL343</f>
        <v>0</v>
      </c>
      <c r="CM53" s="473">
        <f>блюда!CM343</f>
        <v>0</v>
      </c>
      <c r="CN53" s="473">
        <f>блюда!CN343</f>
        <v>0</v>
      </c>
      <c r="CO53" s="473">
        <f>блюда!CO343</f>
        <v>0</v>
      </c>
      <c r="CP53" s="473">
        <f>блюда!CP343</f>
        <v>0</v>
      </c>
      <c r="CQ53" s="473">
        <f>блюда!CQ343</f>
        <v>0</v>
      </c>
      <c r="CR53" s="473">
        <f>блюда!CR343</f>
        <v>0</v>
      </c>
      <c r="CS53" s="473">
        <f>блюда!CS343</f>
        <v>0</v>
      </c>
      <c r="CT53" s="473">
        <f>блюда!CT343</f>
        <v>0</v>
      </c>
      <c r="CU53" s="473">
        <f>блюда!CU343</f>
        <v>0</v>
      </c>
      <c r="CV53" s="473">
        <f>блюда!CV343</f>
        <v>0</v>
      </c>
      <c r="CW53" s="473">
        <f>блюда!CW343</f>
        <v>0</v>
      </c>
      <c r="CX53" s="473">
        <f>блюда!CX343</f>
        <v>0</v>
      </c>
      <c r="CY53" s="473">
        <f>блюда!CY343</f>
        <v>0</v>
      </c>
      <c r="CZ53" s="473">
        <f>блюда!CZ343</f>
        <v>0</v>
      </c>
      <c r="DA53" s="473">
        <f>блюда!DA343</f>
        <v>0</v>
      </c>
      <c r="DB53" s="473">
        <f>блюда!DB343</f>
        <v>0</v>
      </c>
      <c r="DC53" s="473">
        <f>блюда!DC343</f>
        <v>0</v>
      </c>
      <c r="DD53" s="473">
        <f>блюда!DD343</f>
        <v>0</v>
      </c>
      <c r="DE53" s="473">
        <f>блюда!DE343</f>
        <v>0</v>
      </c>
      <c r="DF53" s="473">
        <f>блюда!DF343</f>
        <v>0</v>
      </c>
      <c r="DG53" s="473">
        <f>блюда!DG343</f>
        <v>0</v>
      </c>
      <c r="DH53" s="473">
        <f>блюда!DH343</f>
        <v>0</v>
      </c>
      <c r="DI53" s="473">
        <f>блюда!DI343</f>
        <v>0</v>
      </c>
      <c r="DJ53" s="473">
        <f>блюда!DJ343</f>
        <v>0</v>
      </c>
      <c r="DK53" s="473">
        <f>блюда!DK343</f>
        <v>0</v>
      </c>
      <c r="DL53" s="473">
        <f>блюда!DL343</f>
        <v>0</v>
      </c>
      <c r="DM53" s="473">
        <f>блюда!DM343</f>
        <v>0</v>
      </c>
      <c r="DN53" s="473">
        <f>блюда!DN343</f>
        <v>0</v>
      </c>
      <c r="DO53" s="473">
        <f>блюда!DO343</f>
        <v>0</v>
      </c>
      <c r="DP53" s="473">
        <f>блюда!DP343</f>
        <v>0</v>
      </c>
      <c r="DQ53" s="473">
        <f>блюда!DQ343</f>
        <v>0</v>
      </c>
      <c r="DR53" s="473">
        <f>блюда!DR343</f>
        <v>0</v>
      </c>
      <c r="DS53" s="473">
        <f>блюда!DS343</f>
        <v>0</v>
      </c>
      <c r="DT53" s="473">
        <f>блюда!DT343</f>
        <v>0</v>
      </c>
      <c r="DU53" s="473">
        <f>блюда!DU343</f>
        <v>0</v>
      </c>
      <c r="DV53" s="473">
        <f>блюда!DV343</f>
        <v>0</v>
      </c>
      <c r="DW53" s="473">
        <f>блюда!DW343</f>
        <v>0</v>
      </c>
      <c r="DX53" s="473">
        <f>блюда!DX343</f>
        <v>0</v>
      </c>
      <c r="DY53" s="473">
        <f>блюда!DY343</f>
        <v>0</v>
      </c>
      <c r="DZ53" s="473">
        <f>блюда!DZ343</f>
        <v>0</v>
      </c>
      <c r="EA53" s="473">
        <f>блюда!EA343</f>
        <v>0</v>
      </c>
      <c r="EB53" s="473">
        <f>блюда!EB343</f>
        <v>0.5</v>
      </c>
      <c r="EC53" s="473">
        <f>блюда!EC343</f>
        <v>0</v>
      </c>
      <c r="ED53" s="473">
        <f>блюда!ED343</f>
        <v>0</v>
      </c>
      <c r="EE53" s="473">
        <f>блюда!EE343</f>
        <v>0</v>
      </c>
      <c r="EF53" s="473">
        <f>блюда!EF343</f>
        <v>0</v>
      </c>
      <c r="EG53" s="473">
        <f>блюда!EG343</f>
        <v>0</v>
      </c>
      <c r="EH53" s="473">
        <f>блюда!EH343</f>
        <v>0</v>
      </c>
      <c r="EI53" s="473">
        <f>блюда!EI343</f>
        <v>0</v>
      </c>
      <c r="EJ53" s="473">
        <f>блюда!EJ343</f>
        <v>0</v>
      </c>
      <c r="EK53" s="473">
        <f>блюда!EK343</f>
        <v>0</v>
      </c>
      <c r="EL53" s="473">
        <f>блюда!EL343</f>
        <v>0</v>
      </c>
      <c r="EM53" s="473">
        <f>блюда!EM343</f>
        <v>0</v>
      </c>
      <c r="EN53" s="473">
        <f>блюда!EN343</f>
        <v>0</v>
      </c>
      <c r="EO53" s="473">
        <f>блюда!EO343</f>
        <v>0</v>
      </c>
      <c r="EP53" s="473">
        <f>блюда!EP343</f>
        <v>0</v>
      </c>
      <c r="EQ53" s="473">
        <f>блюда!EQ343</f>
        <v>0</v>
      </c>
      <c r="ER53" s="473">
        <f>блюда!ER343</f>
        <v>0</v>
      </c>
      <c r="ES53" s="473">
        <f>блюда!ES343</f>
        <v>0</v>
      </c>
      <c r="ET53" s="473">
        <f>блюда!ET343</f>
        <v>0</v>
      </c>
      <c r="EU53" s="473">
        <f>блюда!EU343</f>
        <v>0</v>
      </c>
      <c r="EV53" s="473">
        <f>блюда!EV343</f>
        <v>0</v>
      </c>
      <c r="EW53" s="473">
        <f>блюда!EW343</f>
        <v>0</v>
      </c>
      <c r="EX53" s="473">
        <f>блюда!EX343</f>
        <v>0</v>
      </c>
      <c r="EY53" s="927">
        <f t="shared" si="20"/>
        <v>0.5</v>
      </c>
      <c r="EZ53" s="117"/>
      <c r="FA53" s="117"/>
      <c r="FB53" s="117"/>
      <c r="FC53" s="117"/>
      <c r="FD53" s="117"/>
      <c r="FE53" s="117"/>
      <c r="FF53" s="117"/>
      <c r="FG53" s="117"/>
      <c r="FH53" s="117"/>
      <c r="FI53" s="117"/>
      <c r="FJ53" s="117"/>
      <c r="FK53" s="117"/>
      <c r="FL53" s="117"/>
    </row>
    <row r="54" spans="1:168" x14ac:dyDescent="0.25">
      <c r="A54" s="1460"/>
      <c r="B54" s="115"/>
      <c r="C54" s="116"/>
      <c r="D54" s="431"/>
      <c r="E54" s="431"/>
      <c r="F54" s="431"/>
      <c r="G54" s="116"/>
      <c r="H54" s="116"/>
      <c r="I54" s="431"/>
      <c r="J54" s="473"/>
      <c r="K54" s="473"/>
      <c r="L54" s="473"/>
      <c r="M54" s="473"/>
      <c r="N54" s="473"/>
      <c r="O54" s="473"/>
      <c r="P54" s="473"/>
      <c r="Q54" s="473"/>
      <c r="R54" s="473"/>
      <c r="S54" s="473"/>
      <c r="T54" s="473"/>
      <c r="U54" s="473"/>
      <c r="V54" s="473"/>
      <c r="W54" s="473"/>
      <c r="X54" s="473"/>
      <c r="Y54" s="473"/>
      <c r="Z54" s="473"/>
      <c r="AA54" s="473"/>
      <c r="AB54" s="473"/>
      <c r="AC54" s="473"/>
      <c r="AD54" s="473"/>
      <c r="AE54" s="473"/>
      <c r="AF54" s="473"/>
      <c r="AG54" s="473"/>
      <c r="AH54" s="473"/>
      <c r="AI54" s="473"/>
      <c r="AJ54" s="473"/>
      <c r="AK54" s="473"/>
      <c r="AL54" s="473"/>
      <c r="AM54" s="473"/>
      <c r="AN54" s="473"/>
      <c r="AO54" s="473"/>
      <c r="AP54" s="473"/>
      <c r="AQ54" s="473"/>
      <c r="AR54" s="473"/>
      <c r="AS54" s="473"/>
      <c r="AT54" s="473"/>
      <c r="AU54" s="473"/>
      <c r="AV54" s="473"/>
      <c r="AW54" s="473"/>
      <c r="AX54" s="473"/>
      <c r="AY54" s="473"/>
      <c r="AZ54" s="473"/>
      <c r="BA54" s="473"/>
      <c r="BB54" s="473"/>
      <c r="BC54" s="473"/>
      <c r="BD54" s="473"/>
      <c r="BE54" s="473"/>
      <c r="BF54" s="473"/>
      <c r="BG54" s="473"/>
      <c r="BH54" s="473"/>
      <c r="BI54" s="473"/>
      <c r="BJ54" s="473"/>
      <c r="BK54" s="473"/>
      <c r="BL54" s="473"/>
      <c r="BM54" s="473"/>
      <c r="BN54" s="473"/>
      <c r="BO54" s="473"/>
      <c r="BP54" s="473"/>
      <c r="BQ54" s="473"/>
      <c r="BR54" s="473"/>
      <c r="BS54" s="473"/>
      <c r="BT54" s="473"/>
      <c r="BU54" s="473"/>
      <c r="BV54" s="473"/>
      <c r="BW54" s="473"/>
      <c r="BX54" s="473"/>
      <c r="BY54" s="473"/>
      <c r="BZ54" s="473"/>
      <c r="CA54" s="473"/>
      <c r="CB54" s="473"/>
      <c r="CC54" s="473"/>
      <c r="CD54" s="473"/>
      <c r="CE54" s="473"/>
      <c r="CF54" s="473"/>
      <c r="CG54" s="473"/>
      <c r="CH54" s="473"/>
      <c r="CI54" s="473"/>
      <c r="CJ54" s="473"/>
      <c r="CK54" s="473"/>
      <c r="CL54" s="473"/>
      <c r="CM54" s="473"/>
      <c r="CN54" s="473"/>
      <c r="CO54" s="473"/>
      <c r="CP54" s="473"/>
      <c r="CQ54" s="473"/>
      <c r="CR54" s="473"/>
      <c r="CS54" s="473"/>
      <c r="CT54" s="473"/>
      <c r="CU54" s="473"/>
      <c r="CV54" s="473"/>
      <c r="CW54" s="473"/>
      <c r="CX54" s="473"/>
      <c r="CY54" s="473"/>
      <c r="CZ54" s="473"/>
      <c r="DA54" s="473"/>
      <c r="DB54" s="473"/>
      <c r="DC54" s="473"/>
      <c r="DD54" s="473"/>
      <c r="DE54" s="473"/>
      <c r="DF54" s="473"/>
      <c r="DG54" s="473"/>
      <c r="DH54" s="473"/>
      <c r="DI54" s="473"/>
      <c r="DJ54" s="473"/>
      <c r="DK54" s="473"/>
      <c r="DL54" s="473"/>
      <c r="DM54" s="473"/>
      <c r="DN54" s="473"/>
      <c r="DO54" s="473"/>
      <c r="DP54" s="473"/>
      <c r="DQ54" s="473"/>
      <c r="DR54" s="473"/>
      <c r="DS54" s="473"/>
      <c r="DT54" s="473"/>
      <c r="DU54" s="473"/>
      <c r="DV54" s="473"/>
      <c r="DW54" s="473"/>
      <c r="DX54" s="473"/>
      <c r="DY54" s="473"/>
      <c r="DZ54" s="473"/>
      <c r="EA54" s="473"/>
      <c r="EB54" s="473"/>
      <c r="EC54" s="473"/>
      <c r="ED54" s="473"/>
      <c r="EE54" s="473"/>
      <c r="EF54" s="473"/>
      <c r="EG54" s="473"/>
      <c r="EH54" s="473"/>
      <c r="EI54" s="473"/>
      <c r="EJ54" s="473"/>
      <c r="EK54" s="473"/>
      <c r="EL54" s="473"/>
      <c r="EM54" s="473"/>
      <c r="EN54" s="473"/>
      <c r="EO54" s="473"/>
      <c r="EP54" s="473"/>
      <c r="EQ54" s="473"/>
      <c r="ER54" s="473"/>
      <c r="ES54" s="473"/>
      <c r="ET54" s="473"/>
      <c r="EU54" s="473"/>
      <c r="EV54" s="473"/>
      <c r="EW54" s="473"/>
      <c r="EX54" s="473"/>
      <c r="EY54" s="927">
        <f t="shared" si="20"/>
        <v>0</v>
      </c>
      <c r="EZ54" s="117"/>
      <c r="FA54" s="117"/>
      <c r="FB54" s="117"/>
      <c r="FC54" s="117"/>
      <c r="FD54" s="117"/>
      <c r="FE54" s="117"/>
      <c r="FF54" s="117"/>
      <c r="FG54" s="117"/>
      <c r="FH54" s="117"/>
      <c r="FI54" s="117"/>
      <c r="FJ54" s="117"/>
      <c r="FK54" s="117"/>
      <c r="FL54" s="117"/>
    </row>
    <row r="55" spans="1:168" x14ac:dyDescent="0.25">
      <c r="A55" s="1461"/>
      <c r="B55" s="576"/>
      <c r="C55" s="703"/>
      <c r="D55" s="431"/>
      <c r="E55" s="431"/>
      <c r="F55" s="431"/>
      <c r="G55" s="250"/>
      <c r="H55" s="703"/>
      <c r="I55" s="431"/>
      <c r="J55" s="473"/>
      <c r="K55" s="473"/>
      <c r="L55" s="473"/>
      <c r="M55" s="473"/>
      <c r="N55" s="473"/>
      <c r="O55" s="473"/>
      <c r="P55" s="473"/>
      <c r="Q55" s="473"/>
      <c r="R55" s="473"/>
      <c r="S55" s="473"/>
      <c r="T55" s="473"/>
      <c r="U55" s="473"/>
      <c r="V55" s="473"/>
      <c r="W55" s="473"/>
      <c r="X55" s="473"/>
      <c r="Y55" s="473"/>
      <c r="Z55" s="473"/>
      <c r="AA55" s="473"/>
      <c r="AB55" s="473"/>
      <c r="AC55" s="473"/>
      <c r="AD55" s="473"/>
      <c r="AE55" s="473"/>
      <c r="AF55" s="473"/>
      <c r="AG55" s="473"/>
      <c r="AH55" s="473"/>
      <c r="AI55" s="473"/>
      <c r="AJ55" s="473"/>
      <c r="AK55" s="473"/>
      <c r="AL55" s="473"/>
      <c r="AM55" s="473"/>
      <c r="AN55" s="473"/>
      <c r="AO55" s="473"/>
      <c r="AP55" s="473"/>
      <c r="AQ55" s="473"/>
      <c r="AR55" s="473"/>
      <c r="AS55" s="473"/>
      <c r="AT55" s="473"/>
      <c r="AU55" s="473"/>
      <c r="AV55" s="473"/>
      <c r="AW55" s="473"/>
      <c r="AX55" s="473"/>
      <c r="AY55" s="473"/>
      <c r="AZ55" s="473"/>
      <c r="BA55" s="473"/>
      <c r="BB55" s="473"/>
      <c r="BC55" s="473"/>
      <c r="BD55" s="473"/>
      <c r="BE55" s="473"/>
      <c r="BF55" s="473"/>
      <c r="BG55" s="473"/>
      <c r="BH55" s="473"/>
      <c r="BI55" s="473"/>
      <c r="BJ55" s="473"/>
      <c r="BK55" s="473"/>
      <c r="BL55" s="473"/>
      <c r="BM55" s="473"/>
      <c r="BN55" s="473"/>
      <c r="BO55" s="473"/>
      <c r="BP55" s="473"/>
      <c r="BQ55" s="473"/>
      <c r="BR55" s="473"/>
      <c r="BS55" s="473"/>
      <c r="BT55" s="473"/>
      <c r="BU55" s="473"/>
      <c r="BV55" s="473"/>
      <c r="BW55" s="473"/>
      <c r="BX55" s="473"/>
      <c r="BY55" s="473"/>
      <c r="BZ55" s="473"/>
      <c r="CA55" s="473"/>
      <c r="CB55" s="473"/>
      <c r="CC55" s="473"/>
      <c r="CD55" s="473"/>
      <c r="CE55" s="473"/>
      <c r="CF55" s="473"/>
      <c r="CG55" s="473"/>
      <c r="CH55" s="473"/>
      <c r="CI55" s="473"/>
      <c r="CJ55" s="473"/>
      <c r="CK55" s="473"/>
      <c r="CL55" s="473"/>
      <c r="CM55" s="473"/>
      <c r="CN55" s="473"/>
      <c r="CO55" s="473"/>
      <c r="CP55" s="473"/>
      <c r="CQ55" s="473"/>
      <c r="CR55" s="473"/>
      <c r="CS55" s="473"/>
      <c r="CT55" s="473"/>
      <c r="CU55" s="473"/>
      <c r="CV55" s="473"/>
      <c r="CW55" s="473"/>
      <c r="CX55" s="473"/>
      <c r="CY55" s="473"/>
      <c r="CZ55" s="473"/>
      <c r="DA55" s="473"/>
      <c r="DB55" s="473"/>
      <c r="DC55" s="473"/>
      <c r="DD55" s="473"/>
      <c r="DE55" s="473"/>
      <c r="DF55" s="473"/>
      <c r="DG55" s="473"/>
      <c r="DH55" s="473"/>
      <c r="DI55" s="473"/>
      <c r="DJ55" s="473"/>
      <c r="DK55" s="473"/>
      <c r="DL55" s="473"/>
      <c r="DM55" s="473"/>
      <c r="DN55" s="473"/>
      <c r="DO55" s="473"/>
      <c r="DP55" s="473"/>
      <c r="DQ55" s="473"/>
      <c r="DR55" s="473"/>
      <c r="DS55" s="473"/>
      <c r="DT55" s="473"/>
      <c r="DU55" s="473"/>
      <c r="DV55" s="473"/>
      <c r="DW55" s="473"/>
      <c r="DX55" s="473"/>
      <c r="DY55" s="473"/>
      <c r="DZ55" s="473"/>
      <c r="EA55" s="473"/>
      <c r="EB55" s="473"/>
      <c r="EC55" s="473"/>
      <c r="ED55" s="473"/>
      <c r="EE55" s="473"/>
      <c r="EF55" s="473"/>
      <c r="EG55" s="473"/>
      <c r="EH55" s="473"/>
      <c r="EI55" s="473"/>
      <c r="EJ55" s="473"/>
      <c r="EK55" s="473"/>
      <c r="EL55" s="473"/>
      <c r="EM55" s="473"/>
      <c r="EN55" s="473"/>
      <c r="EO55" s="473"/>
      <c r="EP55" s="473"/>
      <c r="EQ55" s="473"/>
      <c r="ER55" s="473"/>
      <c r="ES55" s="473"/>
      <c r="ET55" s="473"/>
      <c r="EU55" s="473"/>
      <c r="EV55" s="473"/>
      <c r="EW55" s="473"/>
      <c r="EX55" s="473"/>
      <c r="EY55" s="927">
        <f t="shared" si="20"/>
        <v>0</v>
      </c>
      <c r="EZ55" s="117"/>
      <c r="FA55" s="117"/>
      <c r="FB55" s="117"/>
      <c r="FC55" s="117"/>
      <c r="FD55" s="117"/>
      <c r="FE55" s="117"/>
      <c r="FF55" s="117"/>
      <c r="FG55" s="117"/>
      <c r="FH55" s="117"/>
      <c r="FI55" s="117"/>
      <c r="FJ55" s="117"/>
      <c r="FK55" s="117"/>
      <c r="FL55" s="117"/>
    </row>
    <row r="56" spans="1:168" x14ac:dyDescent="0.25">
      <c r="A56" s="411"/>
      <c r="B56" s="118" t="s">
        <v>111</v>
      </c>
      <c r="C56" s="840">
        <f>SUM(C47:C55)</f>
        <v>925</v>
      </c>
      <c r="D56" s="842">
        <f>SUM(D47:D55)</f>
        <v>18.62</v>
      </c>
      <c r="E56" s="842">
        <f t="shared" ref="E56:BD56" si="21">SUM(E47:E55)</f>
        <v>32.32</v>
      </c>
      <c r="F56" s="842">
        <f t="shared" si="21"/>
        <v>41.82</v>
      </c>
      <c r="G56" s="422">
        <f t="shared" si="21"/>
        <v>539</v>
      </c>
      <c r="H56" s="840"/>
      <c r="I56" s="842">
        <f t="shared" ref="I56" si="22">SUM(I47:I55)</f>
        <v>45.55</v>
      </c>
      <c r="J56" s="844">
        <f t="shared" si="21"/>
        <v>0</v>
      </c>
      <c r="K56" s="844">
        <f t="shared" si="21"/>
        <v>0</v>
      </c>
      <c r="L56" s="844">
        <f t="shared" si="21"/>
        <v>0</v>
      </c>
      <c r="M56" s="844">
        <f t="shared" si="21"/>
        <v>0</v>
      </c>
      <c r="N56" s="844">
        <f t="shared" si="21"/>
        <v>0</v>
      </c>
      <c r="O56" s="844">
        <f t="shared" si="21"/>
        <v>0</v>
      </c>
      <c r="P56" s="844">
        <f t="shared" si="21"/>
        <v>0</v>
      </c>
      <c r="Q56" s="844">
        <f t="shared" si="21"/>
        <v>0</v>
      </c>
      <c r="R56" s="844">
        <f t="shared" si="21"/>
        <v>0</v>
      </c>
      <c r="S56" s="844">
        <f t="shared" si="21"/>
        <v>0</v>
      </c>
      <c r="T56" s="844">
        <f t="shared" si="21"/>
        <v>0</v>
      </c>
      <c r="U56" s="844">
        <f t="shared" si="21"/>
        <v>3.4099999999999998E-2</v>
      </c>
      <c r="V56" s="844">
        <f t="shared" si="21"/>
        <v>0.02</v>
      </c>
      <c r="W56" s="844">
        <f t="shared" si="21"/>
        <v>0</v>
      </c>
      <c r="X56" s="844">
        <f t="shared" si="21"/>
        <v>0</v>
      </c>
      <c r="Y56" s="844">
        <f t="shared" si="21"/>
        <v>0</v>
      </c>
      <c r="Z56" s="844">
        <f t="shared" si="21"/>
        <v>0</v>
      </c>
      <c r="AA56" s="844">
        <f t="shared" si="21"/>
        <v>0</v>
      </c>
      <c r="AB56" s="844">
        <f t="shared" si="21"/>
        <v>0</v>
      </c>
      <c r="AC56" s="844">
        <f t="shared" si="21"/>
        <v>0</v>
      </c>
      <c r="AD56" s="844">
        <f t="shared" si="21"/>
        <v>0</v>
      </c>
      <c r="AE56" s="844">
        <f t="shared" si="21"/>
        <v>0.1045</v>
      </c>
      <c r="AF56" s="844">
        <f t="shared" si="21"/>
        <v>0</v>
      </c>
      <c r="AG56" s="844">
        <f t="shared" si="21"/>
        <v>0</v>
      </c>
      <c r="AH56" s="844">
        <f t="shared" si="21"/>
        <v>0</v>
      </c>
      <c r="AI56" s="844">
        <f t="shared" si="21"/>
        <v>0</v>
      </c>
      <c r="AJ56" s="844">
        <f t="shared" si="21"/>
        <v>0</v>
      </c>
      <c r="AK56" s="844">
        <f t="shared" si="21"/>
        <v>0</v>
      </c>
      <c r="AL56" s="844">
        <f t="shared" si="21"/>
        <v>2E-3</v>
      </c>
      <c r="AM56" s="844">
        <f t="shared" si="21"/>
        <v>0</v>
      </c>
      <c r="AN56" s="844">
        <f t="shared" si="21"/>
        <v>0</v>
      </c>
      <c r="AO56" s="844">
        <f t="shared" si="21"/>
        <v>0</v>
      </c>
      <c r="AP56" s="844">
        <f t="shared" si="21"/>
        <v>0</v>
      </c>
      <c r="AQ56" s="844">
        <f t="shared" si="21"/>
        <v>0</v>
      </c>
      <c r="AR56" s="844">
        <f t="shared" si="21"/>
        <v>0</v>
      </c>
      <c r="AS56" s="844">
        <f t="shared" si="21"/>
        <v>0</v>
      </c>
      <c r="AT56" s="844">
        <f t="shared" si="21"/>
        <v>0</v>
      </c>
      <c r="AU56" s="844">
        <f t="shared" si="21"/>
        <v>4.0000000000000001E-3</v>
      </c>
      <c r="AV56" s="844">
        <f t="shared" si="21"/>
        <v>0</v>
      </c>
      <c r="AW56" s="844">
        <f t="shared" si="21"/>
        <v>0</v>
      </c>
      <c r="AX56" s="844">
        <f t="shared" si="21"/>
        <v>0</v>
      </c>
      <c r="AY56" s="844">
        <f t="shared" si="21"/>
        <v>0</v>
      </c>
      <c r="AZ56" s="844">
        <f t="shared" si="21"/>
        <v>0</v>
      </c>
      <c r="BA56" s="844">
        <f t="shared" si="21"/>
        <v>0</v>
      </c>
      <c r="BB56" s="844">
        <f t="shared" si="21"/>
        <v>0</v>
      </c>
      <c r="BC56" s="844">
        <f t="shared" si="21"/>
        <v>0</v>
      </c>
      <c r="BD56" s="844">
        <f t="shared" si="21"/>
        <v>0</v>
      </c>
      <c r="BE56" s="844">
        <f t="shared" ref="BE56:DP56" si="23">SUM(BE47:BE55)</f>
        <v>0</v>
      </c>
      <c r="BF56" s="844">
        <f t="shared" si="23"/>
        <v>0</v>
      </c>
      <c r="BG56" s="844">
        <f t="shared" si="23"/>
        <v>0</v>
      </c>
      <c r="BH56" s="844">
        <f t="shared" si="23"/>
        <v>0</v>
      </c>
      <c r="BI56" s="844">
        <f t="shared" si="23"/>
        <v>0</v>
      </c>
      <c r="BJ56" s="844">
        <f t="shared" si="23"/>
        <v>0</v>
      </c>
      <c r="BK56" s="844">
        <f t="shared" si="23"/>
        <v>0</v>
      </c>
      <c r="BL56" s="844">
        <f t="shared" si="23"/>
        <v>0</v>
      </c>
      <c r="BM56" s="844">
        <f t="shared" si="23"/>
        <v>0</v>
      </c>
      <c r="BN56" s="844">
        <f t="shared" si="23"/>
        <v>0</v>
      </c>
      <c r="BO56" s="844">
        <f t="shared" si="23"/>
        <v>0</v>
      </c>
      <c r="BP56" s="844">
        <f t="shared" si="23"/>
        <v>0</v>
      </c>
      <c r="BQ56" s="844">
        <f t="shared" si="23"/>
        <v>0</v>
      </c>
      <c r="BR56" s="844">
        <f t="shared" si="23"/>
        <v>0</v>
      </c>
      <c r="BS56" s="844">
        <f t="shared" si="23"/>
        <v>0</v>
      </c>
      <c r="BT56" s="844">
        <f t="shared" si="23"/>
        <v>0</v>
      </c>
      <c r="BU56" s="844">
        <f t="shared" si="23"/>
        <v>0</v>
      </c>
      <c r="BV56" s="844">
        <f t="shared" si="23"/>
        <v>0</v>
      </c>
      <c r="BW56" s="844">
        <f t="shared" si="23"/>
        <v>0</v>
      </c>
      <c r="BX56" s="844">
        <f t="shared" si="23"/>
        <v>0</v>
      </c>
      <c r="BY56" s="844">
        <f t="shared" si="23"/>
        <v>0</v>
      </c>
      <c r="BZ56" s="844">
        <f t="shared" si="23"/>
        <v>0</v>
      </c>
      <c r="CA56" s="844">
        <f t="shared" si="23"/>
        <v>0</v>
      </c>
      <c r="CB56" s="844">
        <f t="shared" si="23"/>
        <v>0</v>
      </c>
      <c r="CC56" s="844">
        <f t="shared" si="23"/>
        <v>0</v>
      </c>
      <c r="CD56" s="844">
        <f t="shared" si="23"/>
        <v>0</v>
      </c>
      <c r="CE56" s="844">
        <f t="shared" si="23"/>
        <v>0</v>
      </c>
      <c r="CF56" s="844">
        <f t="shared" si="23"/>
        <v>0</v>
      </c>
      <c r="CG56" s="844">
        <f t="shared" si="23"/>
        <v>0</v>
      </c>
      <c r="CH56" s="844">
        <f t="shared" si="23"/>
        <v>0</v>
      </c>
      <c r="CI56" s="844">
        <f t="shared" si="23"/>
        <v>0</v>
      </c>
      <c r="CJ56" s="844">
        <f t="shared" si="23"/>
        <v>0</v>
      </c>
      <c r="CK56" s="844">
        <f t="shared" si="23"/>
        <v>0</v>
      </c>
      <c r="CL56" s="844">
        <f t="shared" si="23"/>
        <v>0</v>
      </c>
      <c r="CM56" s="844">
        <f t="shared" si="23"/>
        <v>0</v>
      </c>
      <c r="CN56" s="844">
        <f t="shared" si="23"/>
        <v>0</v>
      </c>
      <c r="CO56" s="844">
        <f t="shared" si="23"/>
        <v>0</v>
      </c>
      <c r="CP56" s="844">
        <f t="shared" si="23"/>
        <v>0</v>
      </c>
      <c r="CQ56" s="844">
        <f t="shared" si="23"/>
        <v>0</v>
      </c>
      <c r="CR56" s="844">
        <f t="shared" si="23"/>
        <v>0</v>
      </c>
      <c r="CS56" s="844">
        <f t="shared" si="23"/>
        <v>0</v>
      </c>
      <c r="CT56" s="844">
        <f t="shared" si="23"/>
        <v>0</v>
      </c>
      <c r="CU56" s="844">
        <f t="shared" si="23"/>
        <v>0</v>
      </c>
      <c r="CV56" s="844">
        <f t="shared" si="23"/>
        <v>0</v>
      </c>
      <c r="CW56" s="844">
        <f t="shared" si="23"/>
        <v>0</v>
      </c>
      <c r="CX56" s="844">
        <f t="shared" si="23"/>
        <v>0</v>
      </c>
      <c r="CY56" s="844">
        <f t="shared" si="23"/>
        <v>0</v>
      </c>
      <c r="CZ56" s="844">
        <f t="shared" si="23"/>
        <v>1.4999999999999999E-2</v>
      </c>
      <c r="DA56" s="844">
        <f t="shared" si="23"/>
        <v>0</v>
      </c>
      <c r="DB56" s="844">
        <f t="shared" si="23"/>
        <v>0</v>
      </c>
      <c r="DC56" s="844">
        <f t="shared" si="23"/>
        <v>1.1000000000000001E-3</v>
      </c>
      <c r="DD56" s="844">
        <f t="shared" si="23"/>
        <v>0</v>
      </c>
      <c r="DE56" s="844">
        <f t="shared" si="23"/>
        <v>0</v>
      </c>
      <c r="DF56" s="844">
        <f t="shared" si="23"/>
        <v>0</v>
      </c>
      <c r="DG56" s="844">
        <f t="shared" si="23"/>
        <v>0</v>
      </c>
      <c r="DH56" s="844">
        <f t="shared" si="23"/>
        <v>0</v>
      </c>
      <c r="DI56" s="844">
        <f t="shared" si="23"/>
        <v>0</v>
      </c>
      <c r="DJ56" s="844">
        <f t="shared" si="23"/>
        <v>0</v>
      </c>
      <c r="DK56" s="844">
        <f t="shared" si="23"/>
        <v>0</v>
      </c>
      <c r="DL56" s="844">
        <f t="shared" si="23"/>
        <v>0</v>
      </c>
      <c r="DM56" s="844">
        <f t="shared" si="23"/>
        <v>0</v>
      </c>
      <c r="DN56" s="844">
        <f t="shared" si="23"/>
        <v>0</v>
      </c>
      <c r="DO56" s="844">
        <f t="shared" si="23"/>
        <v>0</v>
      </c>
      <c r="DP56" s="844">
        <f t="shared" si="23"/>
        <v>0</v>
      </c>
      <c r="DQ56" s="844">
        <f t="shared" ref="DQ56:EX56" si="24">SUM(DQ47:DQ55)</f>
        <v>0</v>
      </c>
      <c r="DR56" s="844">
        <f t="shared" si="24"/>
        <v>5.0000000000000001E-4</v>
      </c>
      <c r="DS56" s="844">
        <f t="shared" si="24"/>
        <v>0</v>
      </c>
      <c r="DT56" s="844">
        <f t="shared" si="24"/>
        <v>0</v>
      </c>
      <c r="DU56" s="844">
        <f t="shared" si="24"/>
        <v>2.5000000000000001E-2</v>
      </c>
      <c r="DV56" s="844">
        <f t="shared" si="24"/>
        <v>0</v>
      </c>
      <c r="DW56" s="844">
        <f t="shared" si="24"/>
        <v>0</v>
      </c>
      <c r="DX56" s="844">
        <f t="shared" si="24"/>
        <v>0</v>
      </c>
      <c r="DY56" s="844">
        <f t="shared" si="24"/>
        <v>0</v>
      </c>
      <c r="DZ56" s="844">
        <f t="shared" si="24"/>
        <v>0</v>
      </c>
      <c r="EA56" s="844">
        <f t="shared" si="24"/>
        <v>0</v>
      </c>
      <c r="EB56" s="844">
        <f t="shared" si="24"/>
        <v>0.5</v>
      </c>
      <c r="EC56" s="844">
        <f t="shared" si="24"/>
        <v>0</v>
      </c>
      <c r="ED56" s="844">
        <f t="shared" si="24"/>
        <v>0</v>
      </c>
      <c r="EE56" s="844">
        <f t="shared" si="24"/>
        <v>0</v>
      </c>
      <c r="EF56" s="844">
        <f t="shared" si="24"/>
        <v>0</v>
      </c>
      <c r="EG56" s="844">
        <f t="shared" si="24"/>
        <v>0</v>
      </c>
      <c r="EH56" s="844">
        <f t="shared" si="24"/>
        <v>0</v>
      </c>
      <c r="EI56" s="844">
        <f t="shared" si="24"/>
        <v>0</v>
      </c>
      <c r="EJ56" s="844">
        <f t="shared" si="24"/>
        <v>0</v>
      </c>
      <c r="EK56" s="844">
        <f t="shared" si="24"/>
        <v>0</v>
      </c>
      <c r="EL56" s="844">
        <f t="shared" si="24"/>
        <v>0</v>
      </c>
      <c r="EM56" s="844">
        <f t="shared" si="24"/>
        <v>0</v>
      </c>
      <c r="EN56" s="844">
        <f t="shared" si="24"/>
        <v>0</v>
      </c>
      <c r="EO56" s="844">
        <f t="shared" si="24"/>
        <v>0</v>
      </c>
      <c r="EP56" s="844">
        <f t="shared" si="24"/>
        <v>0</v>
      </c>
      <c r="EQ56" s="844">
        <f t="shared" si="24"/>
        <v>0</v>
      </c>
      <c r="ER56" s="844">
        <f t="shared" si="24"/>
        <v>0</v>
      </c>
      <c r="ES56" s="844">
        <f t="shared" si="24"/>
        <v>0</v>
      </c>
      <c r="ET56" s="844">
        <f t="shared" si="24"/>
        <v>0</v>
      </c>
      <c r="EU56" s="844">
        <f t="shared" si="24"/>
        <v>0</v>
      </c>
      <c r="EV56" s="844">
        <f t="shared" si="24"/>
        <v>0.03</v>
      </c>
      <c r="EW56" s="844">
        <f t="shared" si="24"/>
        <v>0.02</v>
      </c>
      <c r="EX56" s="844">
        <f t="shared" si="24"/>
        <v>0</v>
      </c>
      <c r="EY56" s="847">
        <f t="shared" ref="EY56:FL56" si="25">SUM(EY47:EY55)</f>
        <v>0.75619999999999998</v>
      </c>
      <c r="EZ56" s="534">
        <f t="shared" si="25"/>
        <v>0</v>
      </c>
      <c r="FA56" s="534">
        <f t="shared" si="25"/>
        <v>0</v>
      </c>
      <c r="FB56" s="534">
        <f t="shared" si="25"/>
        <v>0</v>
      </c>
      <c r="FC56" s="534">
        <f t="shared" si="25"/>
        <v>0</v>
      </c>
      <c r="FD56" s="534">
        <f t="shared" si="25"/>
        <v>0</v>
      </c>
      <c r="FE56" s="534">
        <f t="shared" si="25"/>
        <v>0</v>
      </c>
      <c r="FF56" s="534">
        <f t="shared" si="25"/>
        <v>0</v>
      </c>
      <c r="FG56" s="534">
        <f t="shared" si="25"/>
        <v>0</v>
      </c>
      <c r="FH56" s="534">
        <f t="shared" si="25"/>
        <v>0</v>
      </c>
      <c r="FI56" s="534">
        <f t="shared" si="25"/>
        <v>0</v>
      </c>
      <c r="FJ56" s="534">
        <f t="shared" si="25"/>
        <v>0</v>
      </c>
      <c r="FK56" s="534">
        <f t="shared" si="25"/>
        <v>0</v>
      </c>
      <c r="FL56" s="534">
        <f t="shared" si="25"/>
        <v>0</v>
      </c>
    </row>
    <row r="57" spans="1:168" x14ac:dyDescent="0.25">
      <c r="A57" s="1459" t="s">
        <v>112</v>
      </c>
      <c r="B57" s="115" t="str">
        <f>блюда!B368</f>
        <v>Помидоры свежие в нарезке</v>
      </c>
      <c r="C57" s="116">
        <f>блюда!C368</f>
        <v>60</v>
      </c>
      <c r="D57" s="431">
        <f>блюда!D368</f>
        <v>0.6</v>
      </c>
      <c r="E57" s="431">
        <f>блюда!E368</f>
        <v>0.12</v>
      </c>
      <c r="F57" s="431">
        <f>блюда!F368</f>
        <v>3</v>
      </c>
      <c r="G57" s="250">
        <f>блюда!G368</f>
        <v>13</v>
      </c>
      <c r="H57" s="116" t="str">
        <f>блюда!H368</f>
        <v>ПРОМ</v>
      </c>
      <c r="I57" s="431">
        <f>блюда!I368</f>
        <v>6.36</v>
      </c>
      <c r="J57" s="473">
        <f>блюда!J368</f>
        <v>0</v>
      </c>
      <c r="K57" s="473">
        <f>блюда!K368</f>
        <v>0</v>
      </c>
      <c r="L57" s="473">
        <f>блюда!L368</f>
        <v>0</v>
      </c>
      <c r="M57" s="473">
        <f>блюда!M368</f>
        <v>0</v>
      </c>
      <c r="N57" s="473">
        <f>блюда!N368</f>
        <v>0</v>
      </c>
      <c r="O57" s="473">
        <f>блюда!O368</f>
        <v>0</v>
      </c>
      <c r="P57" s="473">
        <f>блюда!P368</f>
        <v>0</v>
      </c>
      <c r="Q57" s="473">
        <f>блюда!Q368</f>
        <v>0</v>
      </c>
      <c r="R57" s="473">
        <f>блюда!R368</f>
        <v>0</v>
      </c>
      <c r="S57" s="473">
        <f>блюда!S368</f>
        <v>0</v>
      </c>
      <c r="T57" s="473">
        <f>блюда!T368</f>
        <v>0</v>
      </c>
      <c r="U57" s="473">
        <f>блюда!U368</f>
        <v>0</v>
      </c>
      <c r="V57" s="473">
        <f>блюда!V368</f>
        <v>0</v>
      </c>
      <c r="W57" s="473">
        <f>блюда!W368</f>
        <v>0</v>
      </c>
      <c r="X57" s="473">
        <f>блюда!X368</f>
        <v>0</v>
      </c>
      <c r="Y57" s="473">
        <f>блюда!Y368</f>
        <v>0</v>
      </c>
      <c r="Z57" s="473">
        <f>блюда!Z368</f>
        <v>0</v>
      </c>
      <c r="AA57" s="473">
        <f>блюда!AA368</f>
        <v>0</v>
      </c>
      <c r="AB57" s="473">
        <f>блюда!AB368</f>
        <v>0</v>
      </c>
      <c r="AC57" s="473">
        <f>блюда!AC368</f>
        <v>0</v>
      </c>
      <c r="AD57" s="473">
        <f>блюда!AD368</f>
        <v>0</v>
      </c>
      <c r="AE57" s="473">
        <f>блюда!AE368</f>
        <v>0</v>
      </c>
      <c r="AF57" s="473">
        <f>блюда!AF368</f>
        <v>0</v>
      </c>
      <c r="AG57" s="473">
        <f>блюда!AG368</f>
        <v>0</v>
      </c>
      <c r="AH57" s="473">
        <f>блюда!AH368</f>
        <v>0</v>
      </c>
      <c r="AI57" s="473">
        <f>блюда!AI368</f>
        <v>0</v>
      </c>
      <c r="AJ57" s="473">
        <f>блюда!AJ368</f>
        <v>0</v>
      </c>
      <c r="AK57" s="473">
        <f>блюда!AK368</f>
        <v>0</v>
      </c>
      <c r="AL57" s="473">
        <f>блюда!AL368</f>
        <v>0</v>
      </c>
      <c r="AM57" s="473">
        <f>блюда!AM368</f>
        <v>0</v>
      </c>
      <c r="AN57" s="473">
        <f>блюда!AN368</f>
        <v>0.06</v>
      </c>
      <c r="AO57" s="473">
        <f>блюда!AO368</f>
        <v>0</v>
      </c>
      <c r="AP57" s="473">
        <f>блюда!AP368</f>
        <v>0</v>
      </c>
      <c r="AQ57" s="473">
        <f>блюда!AQ368</f>
        <v>0</v>
      </c>
      <c r="AR57" s="473">
        <f>блюда!AR368</f>
        <v>0</v>
      </c>
      <c r="AS57" s="473">
        <f>блюда!AS368</f>
        <v>0</v>
      </c>
      <c r="AT57" s="473">
        <f>блюда!AT368</f>
        <v>0</v>
      </c>
      <c r="AU57" s="473">
        <f>блюда!AU368</f>
        <v>0</v>
      </c>
      <c r="AV57" s="473">
        <f>блюда!AV368</f>
        <v>0</v>
      </c>
      <c r="AW57" s="473">
        <f>блюда!AW368</f>
        <v>0</v>
      </c>
      <c r="AX57" s="473">
        <f>блюда!AX368</f>
        <v>0</v>
      </c>
      <c r="AY57" s="473">
        <f>блюда!AY368</f>
        <v>0</v>
      </c>
      <c r="AZ57" s="473">
        <f>блюда!AZ368</f>
        <v>0</v>
      </c>
      <c r="BA57" s="473">
        <f>блюда!BA368</f>
        <v>0</v>
      </c>
      <c r="BB57" s="473">
        <f>блюда!BB368</f>
        <v>0</v>
      </c>
      <c r="BC57" s="473">
        <f>блюда!BC368</f>
        <v>0</v>
      </c>
      <c r="BD57" s="473">
        <f>блюда!BD368</f>
        <v>0</v>
      </c>
      <c r="BE57" s="473">
        <f>блюда!BE368</f>
        <v>0</v>
      </c>
      <c r="BF57" s="473">
        <f>блюда!BF368</f>
        <v>0</v>
      </c>
      <c r="BG57" s="473">
        <f>блюда!BG368</f>
        <v>0</v>
      </c>
      <c r="BH57" s="473">
        <f>блюда!BH368</f>
        <v>0</v>
      </c>
      <c r="BI57" s="473">
        <f>блюда!BI368</f>
        <v>0</v>
      </c>
      <c r="BJ57" s="473">
        <f>блюда!BJ368</f>
        <v>0</v>
      </c>
      <c r="BK57" s="473">
        <f>блюда!BK368</f>
        <v>0</v>
      </c>
      <c r="BL57" s="473">
        <f>блюда!BL368</f>
        <v>0</v>
      </c>
      <c r="BM57" s="473">
        <f>блюда!BM368</f>
        <v>0</v>
      </c>
      <c r="BN57" s="473">
        <f>блюда!BN368</f>
        <v>0</v>
      </c>
      <c r="BO57" s="473">
        <f>блюда!BO368</f>
        <v>0</v>
      </c>
      <c r="BP57" s="473">
        <f>блюда!BP368</f>
        <v>0</v>
      </c>
      <c r="BQ57" s="473">
        <f>блюда!BQ368</f>
        <v>0</v>
      </c>
      <c r="BR57" s="473">
        <f>блюда!BR368</f>
        <v>0</v>
      </c>
      <c r="BS57" s="473">
        <f>блюда!BS368</f>
        <v>0</v>
      </c>
      <c r="BT57" s="473">
        <f>блюда!BT368</f>
        <v>0</v>
      </c>
      <c r="BU57" s="473">
        <f>блюда!BU368</f>
        <v>0</v>
      </c>
      <c r="BV57" s="473">
        <f>блюда!BV368</f>
        <v>0</v>
      </c>
      <c r="BW57" s="473">
        <f>блюда!BW368</f>
        <v>0</v>
      </c>
      <c r="BX57" s="473">
        <f>блюда!BX368</f>
        <v>0</v>
      </c>
      <c r="BY57" s="473">
        <f>блюда!BY368</f>
        <v>0</v>
      </c>
      <c r="BZ57" s="473">
        <f>блюда!BZ368</f>
        <v>0</v>
      </c>
      <c r="CA57" s="473">
        <f>блюда!CA368</f>
        <v>0</v>
      </c>
      <c r="CB57" s="473">
        <f>блюда!CB368</f>
        <v>0</v>
      </c>
      <c r="CC57" s="473">
        <f>блюда!CC368</f>
        <v>0</v>
      </c>
      <c r="CD57" s="473">
        <f>блюда!CD368</f>
        <v>0</v>
      </c>
      <c r="CE57" s="473">
        <f>блюда!CE368</f>
        <v>0</v>
      </c>
      <c r="CF57" s="473">
        <f>блюда!CF368</f>
        <v>0</v>
      </c>
      <c r="CG57" s="473">
        <f>блюда!CG368</f>
        <v>0</v>
      </c>
      <c r="CH57" s="473">
        <f>блюда!CH368</f>
        <v>0</v>
      </c>
      <c r="CI57" s="473">
        <f>блюда!CI368</f>
        <v>0</v>
      </c>
      <c r="CJ57" s="473">
        <f>блюда!CJ368</f>
        <v>0</v>
      </c>
      <c r="CK57" s="473">
        <f>блюда!CK368</f>
        <v>0</v>
      </c>
      <c r="CL57" s="473">
        <f>блюда!CL368</f>
        <v>0</v>
      </c>
      <c r="CM57" s="473">
        <f>блюда!CM368</f>
        <v>0</v>
      </c>
      <c r="CN57" s="473">
        <f>блюда!CN368</f>
        <v>0</v>
      </c>
      <c r="CO57" s="473">
        <f>блюда!CO368</f>
        <v>0</v>
      </c>
      <c r="CP57" s="473">
        <f>блюда!CP368</f>
        <v>0</v>
      </c>
      <c r="CQ57" s="473">
        <f>блюда!CQ368</f>
        <v>0</v>
      </c>
      <c r="CR57" s="473">
        <f>блюда!CR368</f>
        <v>0</v>
      </c>
      <c r="CS57" s="473">
        <f>блюда!CS368</f>
        <v>0</v>
      </c>
      <c r="CT57" s="473">
        <f>блюда!CT368</f>
        <v>0</v>
      </c>
      <c r="CU57" s="473">
        <f>блюда!CU368</f>
        <v>0</v>
      </c>
      <c r="CV57" s="473">
        <f>блюда!CV368</f>
        <v>0</v>
      </c>
      <c r="CW57" s="473">
        <f>блюда!CW368</f>
        <v>0</v>
      </c>
      <c r="CX57" s="473">
        <f>блюда!CX368</f>
        <v>0</v>
      </c>
      <c r="CY57" s="473">
        <f>блюда!CY368</f>
        <v>0</v>
      </c>
      <c r="CZ57" s="473">
        <f>блюда!CZ368</f>
        <v>0</v>
      </c>
      <c r="DA57" s="473">
        <f>блюда!DA368</f>
        <v>0</v>
      </c>
      <c r="DB57" s="473">
        <f>блюда!DB368</f>
        <v>0</v>
      </c>
      <c r="DC57" s="473">
        <f>блюда!DC368</f>
        <v>0</v>
      </c>
      <c r="DD57" s="473">
        <f>блюда!DD368</f>
        <v>0</v>
      </c>
      <c r="DE57" s="473">
        <f>блюда!DE368</f>
        <v>0</v>
      </c>
      <c r="DF57" s="473">
        <f>блюда!DF368</f>
        <v>0</v>
      </c>
      <c r="DG57" s="473">
        <f>блюда!DG368</f>
        <v>0</v>
      </c>
      <c r="DH57" s="473">
        <f>блюда!DH368</f>
        <v>0</v>
      </c>
      <c r="DI57" s="473">
        <f>блюда!DI368</f>
        <v>0</v>
      </c>
      <c r="DJ57" s="473">
        <f>блюда!DJ368</f>
        <v>0</v>
      </c>
      <c r="DK57" s="473">
        <f>блюда!DK368</f>
        <v>0</v>
      </c>
      <c r="DL57" s="473">
        <f>блюда!DL368</f>
        <v>0</v>
      </c>
      <c r="DM57" s="473">
        <f>блюда!DM368</f>
        <v>0</v>
      </c>
      <c r="DN57" s="473">
        <f>блюда!DN368</f>
        <v>0</v>
      </c>
      <c r="DO57" s="473">
        <f>блюда!DO368</f>
        <v>0</v>
      </c>
      <c r="DP57" s="473">
        <f>блюда!DP368</f>
        <v>0</v>
      </c>
      <c r="DQ57" s="473">
        <f>блюда!DQ368</f>
        <v>0</v>
      </c>
      <c r="DR57" s="473">
        <f>блюда!DR368</f>
        <v>0</v>
      </c>
      <c r="DS57" s="473">
        <f>блюда!DS368</f>
        <v>0</v>
      </c>
      <c r="DT57" s="473">
        <f>блюда!DT368</f>
        <v>0</v>
      </c>
      <c r="DU57" s="473">
        <f>блюда!DU368</f>
        <v>0</v>
      </c>
      <c r="DV57" s="473">
        <f>блюда!DV368</f>
        <v>0</v>
      </c>
      <c r="DW57" s="473">
        <f>блюда!DW368</f>
        <v>0</v>
      </c>
      <c r="DX57" s="473">
        <f>блюда!DX368</f>
        <v>0</v>
      </c>
      <c r="DY57" s="473">
        <f>блюда!DY368</f>
        <v>0</v>
      </c>
      <c r="DZ57" s="473">
        <f>блюда!DZ368</f>
        <v>0</v>
      </c>
      <c r="EA57" s="473">
        <f>блюда!EA368</f>
        <v>0</v>
      </c>
      <c r="EB57" s="473">
        <f>блюда!EB368</f>
        <v>0</v>
      </c>
      <c r="EC57" s="473">
        <f>блюда!EC368</f>
        <v>0</v>
      </c>
      <c r="ED57" s="473">
        <f>блюда!ED368</f>
        <v>0</v>
      </c>
      <c r="EE57" s="473">
        <f>блюда!EE368</f>
        <v>0</v>
      </c>
      <c r="EF57" s="473">
        <f>блюда!EF368</f>
        <v>0</v>
      </c>
      <c r="EG57" s="473">
        <f>блюда!EG368</f>
        <v>0</v>
      </c>
      <c r="EH57" s="473">
        <f>блюда!EH368</f>
        <v>0</v>
      </c>
      <c r="EI57" s="473">
        <f>блюда!EI368</f>
        <v>0</v>
      </c>
      <c r="EJ57" s="473">
        <f>блюда!EJ368</f>
        <v>0</v>
      </c>
      <c r="EK57" s="473">
        <f>блюда!EK368</f>
        <v>0</v>
      </c>
      <c r="EL57" s="473">
        <f>блюда!EL368</f>
        <v>0</v>
      </c>
      <c r="EM57" s="473">
        <f>блюда!EM368</f>
        <v>0</v>
      </c>
      <c r="EN57" s="473">
        <f>блюда!EN368</f>
        <v>0</v>
      </c>
      <c r="EO57" s="473">
        <f>блюда!EO368</f>
        <v>0</v>
      </c>
      <c r="EP57" s="473">
        <f>блюда!EP368</f>
        <v>0</v>
      </c>
      <c r="EQ57" s="473">
        <f>блюда!EQ368</f>
        <v>0</v>
      </c>
      <c r="ER57" s="473">
        <f>блюда!ER368</f>
        <v>0</v>
      </c>
      <c r="ES57" s="473">
        <f>блюда!ES368</f>
        <v>0</v>
      </c>
      <c r="ET57" s="473">
        <f>блюда!ET368</f>
        <v>0</v>
      </c>
      <c r="EU57" s="473">
        <f>блюда!EU368</f>
        <v>0</v>
      </c>
      <c r="EV57" s="473">
        <f>блюда!EV368</f>
        <v>0</v>
      </c>
      <c r="EW57" s="473">
        <f>блюда!EW368</f>
        <v>0</v>
      </c>
      <c r="EX57" s="473">
        <f>блюда!EX368</f>
        <v>0</v>
      </c>
      <c r="EY57" s="927">
        <f t="shared" si="5"/>
        <v>0.06</v>
      </c>
      <c r="EZ57" s="117">
        <f>блюда!EZ42</f>
        <v>0</v>
      </c>
      <c r="FA57" s="117">
        <f>блюда!FA42</f>
        <v>0</v>
      </c>
      <c r="FB57" s="117">
        <f>блюда!FB42</f>
        <v>0</v>
      </c>
      <c r="FC57" s="117">
        <f>блюда!FC42</f>
        <v>0</v>
      </c>
      <c r="FD57" s="117">
        <f>блюда!FD42</f>
        <v>0</v>
      </c>
      <c r="FE57" s="117">
        <f>блюда!FE42</f>
        <v>0</v>
      </c>
      <c r="FF57" s="117">
        <f>блюда!FF42</f>
        <v>0</v>
      </c>
      <c r="FG57" s="117">
        <f>блюда!FG42</f>
        <v>0</v>
      </c>
      <c r="FH57" s="117">
        <f>блюда!FH42</f>
        <v>0</v>
      </c>
      <c r="FI57" s="117">
        <f>блюда!FI42</f>
        <v>0</v>
      </c>
      <c r="FJ57" s="117">
        <f>блюда!FJ42</f>
        <v>0</v>
      </c>
      <c r="FK57" s="117">
        <f>блюда!FK42</f>
        <v>0</v>
      </c>
      <c r="FL57" s="117">
        <f>блюда!FL42</f>
        <v>0</v>
      </c>
    </row>
    <row r="58" spans="1:168" x14ac:dyDescent="0.25">
      <c r="A58" s="1460"/>
      <c r="B58" s="115" t="str">
        <f>блюда!B64</f>
        <v>Суп крестьянский с рисом</v>
      </c>
      <c r="C58" s="116">
        <f>блюда!C64</f>
        <v>250</v>
      </c>
      <c r="D58" s="431">
        <f>блюда!D64</f>
        <v>1.48</v>
      </c>
      <c r="E58" s="431">
        <f>блюда!E64</f>
        <v>4.92</v>
      </c>
      <c r="F58" s="431">
        <f>блюда!F64</f>
        <v>6.09</v>
      </c>
      <c r="G58" s="250">
        <f>блюда!G64</f>
        <v>76</v>
      </c>
      <c r="H58" s="116">
        <f>блюда!H64</f>
        <v>98</v>
      </c>
      <c r="I58" s="431">
        <f>блюда!I64</f>
        <v>8.3000000000000007</v>
      </c>
      <c r="J58" s="473">
        <f>блюда!J64</f>
        <v>0</v>
      </c>
      <c r="K58" s="473">
        <f>блюда!K64</f>
        <v>0</v>
      </c>
      <c r="L58" s="473">
        <f>блюда!L64</f>
        <v>0</v>
      </c>
      <c r="M58" s="473">
        <f>блюда!M64</f>
        <v>0</v>
      </c>
      <c r="N58" s="473">
        <f>блюда!N64</f>
        <v>0</v>
      </c>
      <c r="O58" s="473">
        <f>блюда!O64</f>
        <v>0</v>
      </c>
      <c r="P58" s="473">
        <f>блюда!P64</f>
        <v>0</v>
      </c>
      <c r="Q58" s="473">
        <f>блюда!Q64</f>
        <v>0</v>
      </c>
      <c r="R58" s="473">
        <f>блюда!R64</f>
        <v>0</v>
      </c>
      <c r="S58" s="473">
        <f>блюда!S64</f>
        <v>0</v>
      </c>
      <c r="T58" s="473">
        <f>блюда!T64</f>
        <v>0</v>
      </c>
      <c r="U58" s="473">
        <f>блюда!U64</f>
        <v>0</v>
      </c>
      <c r="V58" s="473">
        <f>блюда!V64</f>
        <v>0</v>
      </c>
      <c r="W58" s="473">
        <f>блюда!W64</f>
        <v>0</v>
      </c>
      <c r="X58" s="473">
        <f>блюда!X64</f>
        <v>0</v>
      </c>
      <c r="Y58" s="473">
        <f>блюда!Y64</f>
        <v>5.0000000000000001E-3</v>
      </c>
      <c r="Z58" s="473">
        <f>блюда!Z64</f>
        <v>0</v>
      </c>
      <c r="AA58" s="473">
        <f>блюда!AA64</f>
        <v>0</v>
      </c>
      <c r="AB58" s="473">
        <f>блюда!AB64</f>
        <v>0</v>
      </c>
      <c r="AC58" s="473">
        <f>блюда!AC64</f>
        <v>0</v>
      </c>
      <c r="AD58" s="473">
        <f>блюда!AD64</f>
        <v>0</v>
      </c>
      <c r="AE58" s="473">
        <f>блюда!AE64</f>
        <v>0</v>
      </c>
      <c r="AF58" s="473">
        <f>блюда!AF64</f>
        <v>3.7499999999999999E-2</v>
      </c>
      <c r="AG58" s="473">
        <f>блюда!AG64</f>
        <v>0</v>
      </c>
      <c r="AH58" s="473">
        <f>блюда!AH64</f>
        <v>3.3250000000000002E-2</v>
      </c>
      <c r="AI58" s="473">
        <f>блюда!AI64</f>
        <v>0</v>
      </c>
      <c r="AJ58" s="473">
        <f>блюда!AJ64</f>
        <v>0</v>
      </c>
      <c r="AK58" s="473">
        <f>блюда!AK64</f>
        <v>1.2E-2</v>
      </c>
      <c r="AL58" s="473">
        <f>блюда!AL64</f>
        <v>0</v>
      </c>
      <c r="AM58" s="473">
        <f>блюда!AM64</f>
        <v>0</v>
      </c>
      <c r="AN58" s="473">
        <f>блюда!AN64</f>
        <v>0</v>
      </c>
      <c r="AO58" s="473">
        <f>блюда!AO64</f>
        <v>0</v>
      </c>
      <c r="AP58" s="473">
        <f>блюда!AP64</f>
        <v>0</v>
      </c>
      <c r="AQ58" s="473">
        <f>блюда!AQ64</f>
        <v>1.2500000000000001E-2</v>
      </c>
      <c r="AR58" s="473">
        <f>блюда!AR64</f>
        <v>0</v>
      </c>
      <c r="AS58" s="473">
        <f>блюда!AS64</f>
        <v>0</v>
      </c>
      <c r="AT58" s="473">
        <f>блюда!AT64</f>
        <v>0</v>
      </c>
      <c r="AU58" s="473">
        <f>блюда!AU64</f>
        <v>2E-3</v>
      </c>
      <c r="AV58" s="473">
        <f>блюда!AV64</f>
        <v>0</v>
      </c>
      <c r="AW58" s="473">
        <f>блюда!AW64</f>
        <v>0</v>
      </c>
      <c r="AX58" s="473">
        <f>блюда!AX64</f>
        <v>0</v>
      </c>
      <c r="AY58" s="473">
        <f>блюда!AY64</f>
        <v>0</v>
      </c>
      <c r="AZ58" s="473">
        <f>блюда!AZ64</f>
        <v>0</v>
      </c>
      <c r="BA58" s="473">
        <f>блюда!BA64</f>
        <v>0</v>
      </c>
      <c r="BB58" s="473">
        <f>блюда!BB64</f>
        <v>0</v>
      </c>
      <c r="BC58" s="473">
        <f>блюда!BC64</f>
        <v>0</v>
      </c>
      <c r="BD58" s="473">
        <f>блюда!BD64</f>
        <v>0</v>
      </c>
      <c r="BE58" s="473">
        <f>блюда!BE64</f>
        <v>0</v>
      </c>
      <c r="BF58" s="473">
        <f>блюда!BF64</f>
        <v>0</v>
      </c>
      <c r="BG58" s="473">
        <f>блюда!BG64</f>
        <v>0</v>
      </c>
      <c r="BH58" s="473">
        <f>блюда!BH64</f>
        <v>0</v>
      </c>
      <c r="BI58" s="473">
        <f>блюда!BI64</f>
        <v>0</v>
      </c>
      <c r="BJ58" s="473">
        <f>блюда!BJ64</f>
        <v>0</v>
      </c>
      <c r="BK58" s="473">
        <f>блюда!BK64</f>
        <v>0</v>
      </c>
      <c r="BL58" s="473">
        <f>блюда!BL64</f>
        <v>0</v>
      </c>
      <c r="BM58" s="473">
        <f>блюда!BM64</f>
        <v>0</v>
      </c>
      <c r="BN58" s="473">
        <f>блюда!BN64</f>
        <v>0</v>
      </c>
      <c r="BO58" s="473">
        <f>блюда!BO64</f>
        <v>0</v>
      </c>
      <c r="BP58" s="473">
        <f>блюда!BP64</f>
        <v>0</v>
      </c>
      <c r="BQ58" s="473">
        <f>блюда!BQ64</f>
        <v>0</v>
      </c>
      <c r="BR58" s="473">
        <f>блюда!BR64</f>
        <v>0</v>
      </c>
      <c r="BS58" s="473">
        <f>блюда!BS64</f>
        <v>0</v>
      </c>
      <c r="BT58" s="473">
        <f>блюда!BT64</f>
        <v>0</v>
      </c>
      <c r="BU58" s="473">
        <f>блюда!BU64</f>
        <v>0</v>
      </c>
      <c r="BV58" s="473">
        <f>блюда!BV64</f>
        <v>0</v>
      </c>
      <c r="BW58" s="473">
        <f>блюда!BW64</f>
        <v>0</v>
      </c>
      <c r="BX58" s="473">
        <f>блюда!BX64</f>
        <v>0</v>
      </c>
      <c r="BY58" s="473">
        <f>блюда!BY64</f>
        <v>0</v>
      </c>
      <c r="BZ58" s="473">
        <f>блюда!BZ64</f>
        <v>0</v>
      </c>
      <c r="CA58" s="473">
        <f>блюда!CA64</f>
        <v>0</v>
      </c>
      <c r="CB58" s="473">
        <f>блюда!CB64</f>
        <v>0.01</v>
      </c>
      <c r="CC58" s="473">
        <f>блюда!CC64</f>
        <v>0</v>
      </c>
      <c r="CD58" s="473">
        <f>блюда!CD64</f>
        <v>0</v>
      </c>
      <c r="CE58" s="473">
        <f>блюда!CE64</f>
        <v>0</v>
      </c>
      <c r="CF58" s="473">
        <f>блюда!CF64</f>
        <v>5.0000000000000001E-3</v>
      </c>
      <c r="CG58" s="473">
        <f>блюда!CG64</f>
        <v>0</v>
      </c>
      <c r="CH58" s="473">
        <f>блюда!CH64</f>
        <v>0</v>
      </c>
      <c r="CI58" s="473">
        <f>блюда!CI64</f>
        <v>0</v>
      </c>
      <c r="CJ58" s="473">
        <f>блюда!CJ64</f>
        <v>0</v>
      </c>
      <c r="CK58" s="473">
        <f>блюда!CK64</f>
        <v>0</v>
      </c>
      <c r="CL58" s="473">
        <f>блюда!CL64</f>
        <v>0</v>
      </c>
      <c r="CM58" s="473">
        <f>блюда!CM64</f>
        <v>0</v>
      </c>
      <c r="CN58" s="473">
        <f>блюда!CN64</f>
        <v>0</v>
      </c>
      <c r="CO58" s="473">
        <f>блюда!CO64</f>
        <v>0</v>
      </c>
      <c r="CP58" s="473">
        <f>блюда!CP64</f>
        <v>0</v>
      </c>
      <c r="CQ58" s="473">
        <f>блюда!CQ64</f>
        <v>0</v>
      </c>
      <c r="CR58" s="473">
        <f>блюда!CR64</f>
        <v>0</v>
      </c>
      <c r="CS58" s="473">
        <f>блюда!CS64</f>
        <v>1.0000000000000001E-5</v>
      </c>
      <c r="CT58" s="473">
        <f>блюда!CT64</f>
        <v>0</v>
      </c>
      <c r="CU58" s="473">
        <f>блюда!CU64</f>
        <v>0</v>
      </c>
      <c r="CV58" s="473">
        <f>блюда!CV64</f>
        <v>0</v>
      </c>
      <c r="CW58" s="473">
        <f>блюда!CW64</f>
        <v>0</v>
      </c>
      <c r="CX58" s="473">
        <f>блюда!CX64</f>
        <v>0</v>
      </c>
      <c r="CY58" s="473">
        <f>блюда!CY64</f>
        <v>0</v>
      </c>
      <c r="CZ58" s="473">
        <f>блюда!CZ64</f>
        <v>0</v>
      </c>
      <c r="DA58" s="473">
        <f>блюда!DA64</f>
        <v>0</v>
      </c>
      <c r="DB58" s="473">
        <f>блюда!DB64</f>
        <v>0</v>
      </c>
      <c r="DC58" s="473">
        <f>блюда!DC64</f>
        <v>2.5000000000000001E-3</v>
      </c>
      <c r="DD58" s="473">
        <f>блюда!DD64</f>
        <v>0</v>
      </c>
      <c r="DE58" s="473">
        <f>блюда!DE64</f>
        <v>0</v>
      </c>
      <c r="DF58" s="473">
        <f>блюда!DF64</f>
        <v>0</v>
      </c>
      <c r="DG58" s="473">
        <f>блюда!DG64</f>
        <v>0</v>
      </c>
      <c r="DH58" s="473">
        <f>блюда!DH64</f>
        <v>0</v>
      </c>
      <c r="DI58" s="473">
        <f>блюда!DI64</f>
        <v>0</v>
      </c>
      <c r="DJ58" s="473">
        <f>блюда!DJ64</f>
        <v>0</v>
      </c>
      <c r="DK58" s="473">
        <f>блюда!DK64</f>
        <v>0</v>
      </c>
      <c r="DL58" s="473">
        <f>блюда!DL64</f>
        <v>0</v>
      </c>
      <c r="DM58" s="473">
        <f>блюда!DM64</f>
        <v>0</v>
      </c>
      <c r="DN58" s="473">
        <f>блюда!DN64</f>
        <v>0</v>
      </c>
      <c r="DO58" s="473">
        <f>блюда!DO64</f>
        <v>0</v>
      </c>
      <c r="DP58" s="473">
        <f>блюда!DP64</f>
        <v>0</v>
      </c>
      <c r="DQ58" s="473">
        <f>блюда!DQ64</f>
        <v>0</v>
      </c>
      <c r="DR58" s="473">
        <f>блюда!DR64</f>
        <v>0</v>
      </c>
      <c r="DS58" s="473">
        <f>блюда!DS64</f>
        <v>0</v>
      </c>
      <c r="DT58" s="473">
        <f>блюда!DT64</f>
        <v>0</v>
      </c>
      <c r="DU58" s="473">
        <f>блюда!DU64</f>
        <v>0</v>
      </c>
      <c r="DV58" s="473">
        <f>блюда!DV64</f>
        <v>0</v>
      </c>
      <c r="DW58" s="473">
        <f>блюда!DW64</f>
        <v>0</v>
      </c>
      <c r="DX58" s="473">
        <f>блюда!DX64</f>
        <v>0</v>
      </c>
      <c r="DY58" s="473">
        <f>блюда!DY64</f>
        <v>0</v>
      </c>
      <c r="DZ58" s="473">
        <f>блюда!DZ64</f>
        <v>0</v>
      </c>
      <c r="EA58" s="473">
        <f>блюда!EA64</f>
        <v>0</v>
      </c>
      <c r="EB58" s="473">
        <f>блюда!EB64</f>
        <v>0</v>
      </c>
      <c r="EC58" s="473">
        <f>блюда!EC64</f>
        <v>0</v>
      </c>
      <c r="ED58" s="473">
        <f>блюда!ED64</f>
        <v>0</v>
      </c>
      <c r="EE58" s="473">
        <f>блюда!EE64</f>
        <v>0</v>
      </c>
      <c r="EF58" s="473">
        <f>блюда!EF64</f>
        <v>0</v>
      </c>
      <c r="EG58" s="473">
        <f>блюда!EG64</f>
        <v>0</v>
      </c>
      <c r="EH58" s="473">
        <f>блюда!EH64</f>
        <v>0</v>
      </c>
      <c r="EI58" s="473">
        <f>блюда!EI64</f>
        <v>0</v>
      </c>
      <c r="EJ58" s="473">
        <f>блюда!EJ64</f>
        <v>0</v>
      </c>
      <c r="EK58" s="473">
        <f>блюда!EK64</f>
        <v>0</v>
      </c>
      <c r="EL58" s="473">
        <f>блюда!EL64</f>
        <v>0</v>
      </c>
      <c r="EM58" s="473">
        <f>блюда!EM64</f>
        <v>0</v>
      </c>
      <c r="EN58" s="473">
        <f>блюда!EN64</f>
        <v>0</v>
      </c>
      <c r="EO58" s="473">
        <f>блюда!EO64</f>
        <v>0</v>
      </c>
      <c r="EP58" s="473">
        <f>блюда!EP64</f>
        <v>0</v>
      </c>
      <c r="EQ58" s="473">
        <f>блюда!EQ64</f>
        <v>0</v>
      </c>
      <c r="ER58" s="473">
        <f>блюда!ER64</f>
        <v>0</v>
      </c>
      <c r="ES58" s="473">
        <f>блюда!ES64</f>
        <v>0</v>
      </c>
      <c r="ET58" s="473">
        <f>блюда!ET64</f>
        <v>0</v>
      </c>
      <c r="EU58" s="473">
        <f>блюда!EU64</f>
        <v>0</v>
      </c>
      <c r="EV58" s="473">
        <f>блюда!EV64</f>
        <v>0</v>
      </c>
      <c r="EW58" s="473">
        <f>блюда!EW64</f>
        <v>0</v>
      </c>
      <c r="EX58" s="473">
        <f>блюда!EX64</f>
        <v>0</v>
      </c>
      <c r="EY58" s="927">
        <f t="shared" si="5"/>
        <v>0.11976000000000001</v>
      </c>
      <c r="EZ58" s="117">
        <f>блюда!EZ80</f>
        <v>0</v>
      </c>
      <c r="FA58" s="117">
        <f>блюда!FA80</f>
        <v>0</v>
      </c>
      <c r="FB58" s="117">
        <f>блюда!FB80</f>
        <v>0</v>
      </c>
      <c r="FC58" s="117">
        <f>блюда!FC80</f>
        <v>0</v>
      </c>
      <c r="FD58" s="117">
        <f>блюда!FD80</f>
        <v>0</v>
      </c>
      <c r="FE58" s="117">
        <f>блюда!FE80</f>
        <v>0</v>
      </c>
      <c r="FF58" s="117">
        <f>блюда!FF80</f>
        <v>0</v>
      </c>
      <c r="FG58" s="117">
        <f>блюда!FG80</f>
        <v>0</v>
      </c>
      <c r="FH58" s="117">
        <f>блюда!FH80</f>
        <v>0</v>
      </c>
      <c r="FI58" s="117">
        <f>блюда!FI80</f>
        <v>0</v>
      </c>
      <c r="FJ58" s="117">
        <f>блюда!FJ80</f>
        <v>0</v>
      </c>
      <c r="FK58" s="117">
        <f>блюда!FK80</f>
        <v>0</v>
      </c>
      <c r="FL58" s="117">
        <f>блюда!FL80</f>
        <v>0</v>
      </c>
    </row>
    <row r="59" spans="1:168" ht="26.4" x14ac:dyDescent="0.25">
      <c r="A59" s="1460"/>
      <c r="B59" s="115" t="str">
        <f>блюда!B219</f>
        <v>Котлеты рубленные из филе птицы со сметанным соусом с томатом и луком</v>
      </c>
      <c r="C59" s="116">
        <f>блюда!C219</f>
        <v>110</v>
      </c>
      <c r="D59" s="431">
        <f>блюда!D219</f>
        <v>10.33</v>
      </c>
      <c r="E59" s="431">
        <f>блюда!E219</f>
        <v>12.04</v>
      </c>
      <c r="F59" s="431">
        <f>блюда!F219</f>
        <v>12.66</v>
      </c>
      <c r="G59" s="250">
        <f>блюда!G219</f>
        <v>200</v>
      </c>
      <c r="H59" s="116">
        <f>блюда!H219</f>
        <v>294</v>
      </c>
      <c r="I59" s="431">
        <f>блюда!I219</f>
        <v>35.04</v>
      </c>
      <c r="J59" s="473">
        <f>блюда!J219</f>
        <v>0</v>
      </c>
      <c r="K59" s="473">
        <f>блюда!K219</f>
        <v>0</v>
      </c>
      <c r="L59" s="473">
        <f>блюда!L219</f>
        <v>0</v>
      </c>
      <c r="M59" s="473">
        <f>блюда!M219</f>
        <v>8.5000000000000006E-2</v>
      </c>
      <c r="N59" s="473">
        <f>блюда!N219</f>
        <v>0</v>
      </c>
      <c r="O59" s="473">
        <f>блюда!O219</f>
        <v>0</v>
      </c>
      <c r="P59" s="473">
        <f>блюда!P219</f>
        <v>3.0000000000000001E-3</v>
      </c>
      <c r="Q59" s="473">
        <f>блюда!Q219</f>
        <v>0</v>
      </c>
      <c r="R59" s="473">
        <f>блюда!R219</f>
        <v>0</v>
      </c>
      <c r="S59" s="473">
        <f>блюда!S219</f>
        <v>0</v>
      </c>
      <c r="T59" s="473">
        <f>блюда!T219</f>
        <v>0</v>
      </c>
      <c r="U59" s="473">
        <f>блюда!U219</f>
        <v>2.3E-2</v>
      </c>
      <c r="V59" s="473">
        <f>блюда!V219</f>
        <v>5.9999999999999995E-4</v>
      </c>
      <c r="W59" s="473">
        <f>блюда!W219</f>
        <v>0</v>
      </c>
      <c r="X59" s="473">
        <f>блюда!X219</f>
        <v>0</v>
      </c>
      <c r="Y59" s="473">
        <f>блюда!Y219</f>
        <v>6.7499999999999999E-3</v>
      </c>
      <c r="Z59" s="473">
        <f>блюда!Z219</f>
        <v>0</v>
      </c>
      <c r="AA59" s="473">
        <f>блюда!AA219</f>
        <v>0</v>
      </c>
      <c r="AB59" s="473">
        <f>блюда!AB219</f>
        <v>0</v>
      </c>
      <c r="AC59" s="473">
        <f>блюда!AC219</f>
        <v>0</v>
      </c>
      <c r="AD59" s="473">
        <f>блюда!AD219</f>
        <v>0</v>
      </c>
      <c r="AE59" s="473">
        <f>блюда!AE219</f>
        <v>0</v>
      </c>
      <c r="AF59" s="473">
        <f>блюда!AF219</f>
        <v>0</v>
      </c>
      <c r="AG59" s="473">
        <f>блюда!AG219</f>
        <v>0</v>
      </c>
      <c r="AH59" s="473">
        <f>блюда!AH219</f>
        <v>0</v>
      </c>
      <c r="AI59" s="473">
        <f>блюда!AI219</f>
        <v>0</v>
      </c>
      <c r="AJ59" s="473">
        <f>блюда!AJ219</f>
        <v>0</v>
      </c>
      <c r="AK59" s="473">
        <f>блюда!AK219</f>
        <v>7.1399999999999996E-3</v>
      </c>
      <c r="AL59" s="473">
        <f>блюда!AL219</f>
        <v>0</v>
      </c>
      <c r="AM59" s="473">
        <f>блюда!AM219</f>
        <v>0</v>
      </c>
      <c r="AN59" s="473">
        <f>блюда!AN219</f>
        <v>0</v>
      </c>
      <c r="AO59" s="473">
        <f>блюда!AO219</f>
        <v>0</v>
      </c>
      <c r="AP59" s="473">
        <f>блюда!AP219</f>
        <v>0</v>
      </c>
      <c r="AQ59" s="473">
        <f>блюда!AQ219</f>
        <v>0</v>
      </c>
      <c r="AR59" s="473">
        <f>блюда!AR219</f>
        <v>0</v>
      </c>
      <c r="AS59" s="473">
        <f>блюда!AS219</f>
        <v>0</v>
      </c>
      <c r="AT59" s="473">
        <f>блюда!AT219</f>
        <v>0</v>
      </c>
      <c r="AU59" s="473">
        <f>блюда!AU219</f>
        <v>0</v>
      </c>
      <c r="AV59" s="473">
        <f>блюда!AV219</f>
        <v>0</v>
      </c>
      <c r="AW59" s="473">
        <f>блюда!AW219</f>
        <v>0</v>
      </c>
      <c r="AX59" s="473">
        <f>блюда!AX219</f>
        <v>0</v>
      </c>
      <c r="AY59" s="473">
        <f>блюда!AY219</f>
        <v>0</v>
      </c>
      <c r="AZ59" s="473">
        <f>блюда!AZ219</f>
        <v>0</v>
      </c>
      <c r="BA59" s="473">
        <f>блюда!BA219</f>
        <v>0</v>
      </c>
      <c r="BB59" s="473">
        <f>блюда!BB219</f>
        <v>0</v>
      </c>
      <c r="BC59" s="473">
        <f>блюда!BC219</f>
        <v>0</v>
      </c>
      <c r="BD59" s="473">
        <f>блюда!BD219</f>
        <v>0</v>
      </c>
      <c r="BE59" s="473">
        <f>блюда!BE219</f>
        <v>0</v>
      </c>
      <c r="BF59" s="473">
        <f>блюда!BF219</f>
        <v>0</v>
      </c>
      <c r="BG59" s="473">
        <f>блюда!BG219</f>
        <v>0</v>
      </c>
      <c r="BH59" s="473">
        <f>блюда!BH219</f>
        <v>0</v>
      </c>
      <c r="BI59" s="473">
        <f>блюда!BI219</f>
        <v>0</v>
      </c>
      <c r="BJ59" s="473">
        <f>блюда!BJ219</f>
        <v>0</v>
      </c>
      <c r="BK59" s="473">
        <f>блюда!BK219</f>
        <v>0</v>
      </c>
      <c r="BL59" s="473">
        <f>блюда!BL219</f>
        <v>0</v>
      </c>
      <c r="BM59" s="473">
        <f>блюда!BM219</f>
        <v>0</v>
      </c>
      <c r="BN59" s="473">
        <f>блюда!BN219</f>
        <v>0</v>
      </c>
      <c r="BO59" s="473">
        <f>блюда!BO219</f>
        <v>0</v>
      </c>
      <c r="BP59" s="473">
        <f>блюда!BP219</f>
        <v>0</v>
      </c>
      <c r="BQ59" s="473">
        <f>блюда!BQ219</f>
        <v>0</v>
      </c>
      <c r="BR59" s="473">
        <f>блюда!BR219</f>
        <v>0</v>
      </c>
      <c r="BS59" s="473">
        <f>блюда!BS219</f>
        <v>2.0300000000000001E-3</v>
      </c>
      <c r="BT59" s="473">
        <f>блюда!BT219</f>
        <v>0</v>
      </c>
      <c r="BU59" s="473">
        <f>блюда!BU219</f>
        <v>0</v>
      </c>
      <c r="BV59" s="473">
        <f>блюда!BV219</f>
        <v>0</v>
      </c>
      <c r="BW59" s="473">
        <f>блюда!BW219</f>
        <v>0</v>
      </c>
      <c r="BX59" s="473">
        <f>блюда!BX219</f>
        <v>0</v>
      </c>
      <c r="BY59" s="473">
        <f>блюда!BY219</f>
        <v>0</v>
      </c>
      <c r="BZ59" s="473">
        <f>блюда!BZ219</f>
        <v>0</v>
      </c>
      <c r="CA59" s="473">
        <f>блюда!CA219</f>
        <v>0</v>
      </c>
      <c r="CB59" s="473">
        <f>блюда!CB219</f>
        <v>0</v>
      </c>
      <c r="CC59" s="473">
        <f>блюда!CC219</f>
        <v>0</v>
      </c>
      <c r="CD59" s="473">
        <f>блюда!CD219</f>
        <v>0</v>
      </c>
      <c r="CE59" s="473">
        <f>блюда!CE219</f>
        <v>0</v>
      </c>
      <c r="CF59" s="473">
        <f>блюда!CF219</f>
        <v>5.0000000000000001E-3</v>
      </c>
      <c r="CG59" s="473">
        <f>блюда!CG219</f>
        <v>0</v>
      </c>
      <c r="CH59" s="473">
        <f>блюда!CH219</f>
        <v>0</v>
      </c>
      <c r="CI59" s="473">
        <f>блюда!CI219</f>
        <v>0</v>
      </c>
      <c r="CJ59" s="473">
        <f>блюда!CJ219</f>
        <v>0</v>
      </c>
      <c r="CK59" s="473">
        <f>блюда!CK219</f>
        <v>0</v>
      </c>
      <c r="CL59" s="473">
        <f>блюда!CL219</f>
        <v>0</v>
      </c>
      <c r="CM59" s="473">
        <f>блюда!CM219</f>
        <v>0</v>
      </c>
      <c r="CN59" s="473">
        <f>блюда!CN219</f>
        <v>0</v>
      </c>
      <c r="CO59" s="473">
        <f>блюда!CO219</f>
        <v>0</v>
      </c>
      <c r="CP59" s="473">
        <f>блюда!CP219</f>
        <v>0</v>
      </c>
      <c r="CQ59" s="473">
        <f>блюда!CQ219</f>
        <v>0</v>
      </c>
      <c r="CR59" s="473">
        <f>блюда!CR219</f>
        <v>0</v>
      </c>
      <c r="CS59" s="473">
        <f>блюда!CS219</f>
        <v>0</v>
      </c>
      <c r="CT59" s="473">
        <f>блюда!CT219</f>
        <v>0</v>
      </c>
      <c r="CU59" s="473">
        <f>блюда!CU219</f>
        <v>0</v>
      </c>
      <c r="CV59" s="473">
        <f>блюда!CV219</f>
        <v>0</v>
      </c>
      <c r="CW59" s="473">
        <f>блюда!CW219</f>
        <v>0</v>
      </c>
      <c r="CX59" s="473">
        <f>блюда!CX219</f>
        <v>0</v>
      </c>
      <c r="CY59" s="473">
        <f>блюда!CY219</f>
        <v>0</v>
      </c>
      <c r="CZ59" s="473">
        <f>блюда!CZ219</f>
        <v>0</v>
      </c>
      <c r="DA59" s="473">
        <f>блюда!DA219</f>
        <v>0</v>
      </c>
      <c r="DB59" s="473">
        <f>блюда!DB219</f>
        <v>0</v>
      </c>
      <c r="DC59" s="473">
        <f>блюда!DC219</f>
        <v>5.2199999999999998E-3</v>
      </c>
      <c r="DD59" s="473">
        <f>блюда!DD219</f>
        <v>8.0000000000000002E-3</v>
      </c>
      <c r="DE59" s="473">
        <f>блюда!DE219</f>
        <v>0</v>
      </c>
      <c r="DF59" s="473">
        <f>блюда!DF219</f>
        <v>3.0000000000000001E-3</v>
      </c>
      <c r="DG59" s="473">
        <f>блюда!DG219</f>
        <v>0</v>
      </c>
      <c r="DH59" s="473">
        <f>блюда!DH219</f>
        <v>0</v>
      </c>
      <c r="DI59" s="473">
        <f>блюда!DI219</f>
        <v>0</v>
      </c>
      <c r="DJ59" s="473">
        <f>блюда!DJ219</f>
        <v>0</v>
      </c>
      <c r="DK59" s="473">
        <f>блюда!DK219</f>
        <v>0</v>
      </c>
      <c r="DL59" s="473">
        <f>блюда!DL219</f>
        <v>0</v>
      </c>
      <c r="DM59" s="473">
        <f>блюда!DM219</f>
        <v>0</v>
      </c>
      <c r="DN59" s="473">
        <f>блюда!DN219</f>
        <v>0</v>
      </c>
      <c r="DO59" s="473">
        <f>блюда!DO219</f>
        <v>0</v>
      </c>
      <c r="DP59" s="473">
        <f>блюда!DP219</f>
        <v>0</v>
      </c>
      <c r="DQ59" s="473">
        <f>блюда!DQ219</f>
        <v>0</v>
      </c>
      <c r="DR59" s="473">
        <f>блюда!DR219</f>
        <v>0</v>
      </c>
      <c r="DS59" s="473">
        <f>блюда!DS219</f>
        <v>0</v>
      </c>
      <c r="DT59" s="473">
        <f>блюда!DT219</f>
        <v>0</v>
      </c>
      <c r="DU59" s="473">
        <f>блюда!DU219</f>
        <v>0</v>
      </c>
      <c r="DV59" s="473">
        <f>блюда!DV219</f>
        <v>0</v>
      </c>
      <c r="DW59" s="473">
        <f>блюда!DW219</f>
        <v>0</v>
      </c>
      <c r="DX59" s="473">
        <f>блюда!DX219</f>
        <v>0</v>
      </c>
      <c r="DY59" s="473">
        <f>блюда!DY219</f>
        <v>0</v>
      </c>
      <c r="DZ59" s="473">
        <f>блюда!DZ219</f>
        <v>0</v>
      </c>
      <c r="EA59" s="473">
        <f>блюда!EA219</f>
        <v>0</v>
      </c>
      <c r="EB59" s="473">
        <f>блюда!EB219</f>
        <v>0</v>
      </c>
      <c r="EC59" s="473">
        <f>блюда!EC219</f>
        <v>0</v>
      </c>
      <c r="ED59" s="473">
        <f>блюда!ED219</f>
        <v>0</v>
      </c>
      <c r="EE59" s="473">
        <f>блюда!EE219</f>
        <v>0</v>
      </c>
      <c r="EF59" s="473">
        <f>блюда!EF219</f>
        <v>0</v>
      </c>
      <c r="EG59" s="473">
        <f>блюда!EG219</f>
        <v>0</v>
      </c>
      <c r="EH59" s="473">
        <f>блюда!EH219</f>
        <v>0</v>
      </c>
      <c r="EI59" s="473">
        <f>блюда!EI219</f>
        <v>0</v>
      </c>
      <c r="EJ59" s="473">
        <f>блюда!EJ219</f>
        <v>0</v>
      </c>
      <c r="EK59" s="473">
        <f>блюда!EK219</f>
        <v>0</v>
      </c>
      <c r="EL59" s="473">
        <f>блюда!EL219</f>
        <v>0</v>
      </c>
      <c r="EM59" s="473">
        <f>блюда!EM219</f>
        <v>0</v>
      </c>
      <c r="EN59" s="473">
        <f>блюда!EN219</f>
        <v>0</v>
      </c>
      <c r="EO59" s="473">
        <f>блюда!EO219</f>
        <v>0</v>
      </c>
      <c r="EP59" s="473">
        <f>блюда!EP219</f>
        <v>0</v>
      </c>
      <c r="EQ59" s="473">
        <f>блюда!EQ219</f>
        <v>0</v>
      </c>
      <c r="ER59" s="473">
        <f>блюда!ER219</f>
        <v>0</v>
      </c>
      <c r="ES59" s="473">
        <f>блюда!ES219</f>
        <v>0</v>
      </c>
      <c r="ET59" s="473">
        <f>блюда!ET219</f>
        <v>0</v>
      </c>
      <c r="EU59" s="473">
        <f>блюда!EU219</f>
        <v>0</v>
      </c>
      <c r="EV59" s="473">
        <f>блюда!EV219</f>
        <v>1.4E-2</v>
      </c>
      <c r="EW59" s="473">
        <f>блюда!EW219</f>
        <v>0</v>
      </c>
      <c r="EX59" s="473">
        <f>блюда!EX219</f>
        <v>0</v>
      </c>
      <c r="EY59" s="927">
        <f t="shared" si="5"/>
        <v>0.16274</v>
      </c>
      <c r="EZ59" s="117">
        <f>блюда!EZ199</f>
        <v>0</v>
      </c>
      <c r="FA59" s="117">
        <f>блюда!FA199</f>
        <v>0</v>
      </c>
      <c r="FB59" s="117">
        <f>блюда!FB199</f>
        <v>0</v>
      </c>
      <c r="FC59" s="117">
        <f>блюда!FC199</f>
        <v>0</v>
      </c>
      <c r="FD59" s="117">
        <f>блюда!FD199</f>
        <v>0</v>
      </c>
      <c r="FE59" s="117">
        <f>блюда!FE199</f>
        <v>0</v>
      </c>
      <c r="FF59" s="117">
        <f>блюда!FF199</f>
        <v>0</v>
      </c>
      <c r="FG59" s="117">
        <f>блюда!FG199</f>
        <v>0</v>
      </c>
      <c r="FH59" s="117">
        <f>блюда!FH199</f>
        <v>0</v>
      </c>
      <c r="FI59" s="117">
        <f>блюда!FI199</f>
        <v>0</v>
      </c>
      <c r="FJ59" s="117">
        <f>блюда!FJ199</f>
        <v>0</v>
      </c>
      <c r="FK59" s="117">
        <f>блюда!FK199</f>
        <v>0</v>
      </c>
      <c r="FL59" s="117">
        <f>блюда!FL199</f>
        <v>0</v>
      </c>
    </row>
    <row r="60" spans="1:168" x14ac:dyDescent="0.25">
      <c r="A60" s="1460"/>
      <c r="B60" s="115" t="str">
        <f>блюда!B233</f>
        <v>Пюре картофельное</v>
      </c>
      <c r="C60" s="116">
        <f>блюда!C233</f>
        <v>150</v>
      </c>
      <c r="D60" s="431">
        <f>блюда!D233</f>
        <v>3.06</v>
      </c>
      <c r="E60" s="431">
        <f>блюда!E233</f>
        <v>4.32</v>
      </c>
      <c r="F60" s="431">
        <f>блюда!F233</f>
        <v>23.01</v>
      </c>
      <c r="G60" s="250">
        <f>блюда!G233</f>
        <v>142</v>
      </c>
      <c r="H60" s="116">
        <f>блюда!H233</f>
        <v>312</v>
      </c>
      <c r="I60" s="431">
        <f>блюда!I233</f>
        <v>14.17</v>
      </c>
      <c r="J60" s="473">
        <f>блюда!J233</f>
        <v>0</v>
      </c>
      <c r="K60" s="473">
        <f>блюда!K233</f>
        <v>0</v>
      </c>
      <c r="L60" s="473">
        <f>блюда!L233</f>
        <v>0</v>
      </c>
      <c r="M60" s="473">
        <f>блюда!M233</f>
        <v>0</v>
      </c>
      <c r="N60" s="473">
        <f>блюда!N233</f>
        <v>0</v>
      </c>
      <c r="O60" s="473">
        <f>блюда!O233</f>
        <v>0</v>
      </c>
      <c r="P60" s="473">
        <f>блюда!P233</f>
        <v>0</v>
      </c>
      <c r="Q60" s="473">
        <f>блюда!Q233</f>
        <v>0</v>
      </c>
      <c r="R60" s="473">
        <f>блюда!R233</f>
        <v>0</v>
      </c>
      <c r="S60" s="473">
        <f>блюда!S233</f>
        <v>0</v>
      </c>
      <c r="T60" s="473">
        <f>блюда!T233</f>
        <v>0</v>
      </c>
      <c r="U60" s="473">
        <f>блюда!U233</f>
        <v>2.3699999999999999E-2</v>
      </c>
      <c r="V60" s="473">
        <f>блюда!V233</f>
        <v>5.2500000000000003E-3</v>
      </c>
      <c r="W60" s="473">
        <f>блюда!W233</f>
        <v>0</v>
      </c>
      <c r="X60" s="473">
        <f>блюда!X233</f>
        <v>0</v>
      </c>
      <c r="Y60" s="473">
        <f>блюда!Y233</f>
        <v>0</v>
      </c>
      <c r="Z60" s="473">
        <f>блюда!Z233</f>
        <v>0</v>
      </c>
      <c r="AA60" s="473">
        <f>блюда!AA233</f>
        <v>0</v>
      </c>
      <c r="AB60" s="473">
        <f>блюда!AB233</f>
        <v>0</v>
      </c>
      <c r="AC60" s="473">
        <f>блюда!AC233</f>
        <v>0</v>
      </c>
      <c r="AD60" s="473">
        <f>блюда!AD233</f>
        <v>0</v>
      </c>
      <c r="AE60" s="473">
        <f>блюда!AE233</f>
        <v>0</v>
      </c>
      <c r="AF60" s="473">
        <f>блюда!AF233</f>
        <v>0</v>
      </c>
      <c r="AG60" s="473">
        <f>блюда!AG233</f>
        <v>0</v>
      </c>
      <c r="AH60" s="473">
        <f>блюда!AH233</f>
        <v>0.17100000000000001</v>
      </c>
      <c r="AI60" s="473">
        <f>блюда!AI233</f>
        <v>0</v>
      </c>
      <c r="AJ60" s="473">
        <f>блюда!AJ233</f>
        <v>0</v>
      </c>
      <c r="AK60" s="473">
        <f>блюда!AK233</f>
        <v>0</v>
      </c>
      <c r="AL60" s="473">
        <f>блюда!AL233</f>
        <v>0</v>
      </c>
      <c r="AM60" s="473">
        <f>блюда!AM233</f>
        <v>0</v>
      </c>
      <c r="AN60" s="473">
        <f>блюда!AN233</f>
        <v>0</v>
      </c>
      <c r="AO60" s="473">
        <f>блюда!AO233</f>
        <v>0</v>
      </c>
      <c r="AP60" s="473">
        <f>блюда!AP233</f>
        <v>0</v>
      </c>
      <c r="AQ60" s="473">
        <f>блюда!AQ233</f>
        <v>0</v>
      </c>
      <c r="AR60" s="473">
        <f>блюда!AR233</f>
        <v>0</v>
      </c>
      <c r="AS60" s="473">
        <f>блюда!AS233</f>
        <v>0</v>
      </c>
      <c r="AT60" s="473">
        <f>блюда!AT233</f>
        <v>0</v>
      </c>
      <c r="AU60" s="473">
        <f>блюда!AU233</f>
        <v>0</v>
      </c>
      <c r="AV60" s="473">
        <f>блюда!AV233</f>
        <v>0</v>
      </c>
      <c r="AW60" s="473">
        <f>блюда!AW233</f>
        <v>0</v>
      </c>
      <c r="AX60" s="473">
        <f>блюда!AX233</f>
        <v>0</v>
      </c>
      <c r="AY60" s="473">
        <f>блюда!AY233</f>
        <v>0</v>
      </c>
      <c r="AZ60" s="473">
        <f>блюда!AZ233</f>
        <v>0</v>
      </c>
      <c r="BA60" s="473">
        <f>блюда!BA233</f>
        <v>0</v>
      </c>
      <c r="BB60" s="473">
        <f>блюда!BB233</f>
        <v>0</v>
      </c>
      <c r="BC60" s="473">
        <f>блюда!BC233</f>
        <v>0</v>
      </c>
      <c r="BD60" s="473">
        <f>блюда!BD233</f>
        <v>0</v>
      </c>
      <c r="BE60" s="473">
        <f>блюда!BE233</f>
        <v>0</v>
      </c>
      <c r="BF60" s="473">
        <f>блюда!BF233</f>
        <v>0</v>
      </c>
      <c r="BG60" s="473">
        <f>блюда!BG233</f>
        <v>0</v>
      </c>
      <c r="BH60" s="473">
        <f>блюда!BH233</f>
        <v>0</v>
      </c>
      <c r="BI60" s="473">
        <f>блюда!BI233</f>
        <v>0</v>
      </c>
      <c r="BJ60" s="473">
        <f>блюда!BJ233</f>
        <v>0</v>
      </c>
      <c r="BK60" s="473">
        <f>блюда!BK233</f>
        <v>0</v>
      </c>
      <c r="BL60" s="473">
        <f>блюда!BL233</f>
        <v>0</v>
      </c>
      <c r="BM60" s="473">
        <f>блюда!BM233</f>
        <v>0</v>
      </c>
      <c r="BN60" s="473">
        <f>блюда!BN233</f>
        <v>0</v>
      </c>
      <c r="BO60" s="473">
        <f>блюда!BO233</f>
        <v>0</v>
      </c>
      <c r="BP60" s="473">
        <f>блюда!BP233</f>
        <v>0</v>
      </c>
      <c r="BQ60" s="473">
        <f>блюда!BQ233</f>
        <v>0</v>
      </c>
      <c r="BR60" s="473">
        <f>блюда!BR233</f>
        <v>0</v>
      </c>
      <c r="BS60" s="473">
        <f>блюда!BS233</f>
        <v>0</v>
      </c>
      <c r="BT60" s="473">
        <f>блюда!BT233</f>
        <v>0</v>
      </c>
      <c r="BU60" s="473">
        <f>блюда!BU233</f>
        <v>0</v>
      </c>
      <c r="BV60" s="473">
        <f>блюда!BV233</f>
        <v>0</v>
      </c>
      <c r="BW60" s="473">
        <f>блюда!BW233</f>
        <v>0</v>
      </c>
      <c r="BX60" s="473">
        <f>блюда!BX233</f>
        <v>0</v>
      </c>
      <c r="BY60" s="473">
        <f>блюда!BY233</f>
        <v>0</v>
      </c>
      <c r="BZ60" s="473">
        <f>блюда!BZ233</f>
        <v>0</v>
      </c>
      <c r="CA60" s="473">
        <f>блюда!CA233</f>
        <v>0</v>
      </c>
      <c r="CB60" s="473">
        <f>блюда!CB233</f>
        <v>0</v>
      </c>
      <c r="CC60" s="473">
        <f>блюда!CC233</f>
        <v>0</v>
      </c>
      <c r="CD60" s="473">
        <f>блюда!CD233</f>
        <v>0</v>
      </c>
      <c r="CE60" s="473">
        <f>блюда!CE233</f>
        <v>0</v>
      </c>
      <c r="CF60" s="473">
        <f>блюда!CF233</f>
        <v>0</v>
      </c>
      <c r="CG60" s="473">
        <f>блюда!CG233</f>
        <v>0</v>
      </c>
      <c r="CH60" s="473">
        <f>блюда!CH233</f>
        <v>0</v>
      </c>
      <c r="CI60" s="473">
        <f>блюда!CI233</f>
        <v>0</v>
      </c>
      <c r="CJ60" s="473">
        <f>блюда!CJ233</f>
        <v>0</v>
      </c>
      <c r="CK60" s="473">
        <f>блюда!CK233</f>
        <v>0</v>
      </c>
      <c r="CL60" s="473">
        <f>блюда!CL233</f>
        <v>0</v>
      </c>
      <c r="CM60" s="473">
        <f>блюда!CM233</f>
        <v>0</v>
      </c>
      <c r="CN60" s="473">
        <f>блюда!CN233</f>
        <v>0</v>
      </c>
      <c r="CO60" s="473">
        <f>блюда!CO233</f>
        <v>0</v>
      </c>
      <c r="CP60" s="473">
        <f>блюда!CP233</f>
        <v>0</v>
      </c>
      <c r="CQ60" s="473">
        <f>блюда!CQ233</f>
        <v>0</v>
      </c>
      <c r="CR60" s="473">
        <f>блюда!CR233</f>
        <v>0</v>
      </c>
      <c r="CS60" s="473">
        <f>блюда!CS233</f>
        <v>0</v>
      </c>
      <c r="CT60" s="473">
        <f>блюда!CT233</f>
        <v>0</v>
      </c>
      <c r="CU60" s="473">
        <f>блюда!CU233</f>
        <v>0</v>
      </c>
      <c r="CV60" s="473">
        <f>блюда!CV233</f>
        <v>0</v>
      </c>
      <c r="CW60" s="473">
        <f>блюда!CW233</f>
        <v>0</v>
      </c>
      <c r="CX60" s="473">
        <f>блюда!CX233</f>
        <v>0</v>
      </c>
      <c r="CY60" s="473">
        <f>блюда!CY233</f>
        <v>0</v>
      </c>
      <c r="CZ60" s="473">
        <f>блюда!CZ233</f>
        <v>0</v>
      </c>
      <c r="DA60" s="473">
        <f>блюда!DA233</f>
        <v>0</v>
      </c>
      <c r="DB60" s="473">
        <f>блюда!DB233</f>
        <v>0</v>
      </c>
      <c r="DC60" s="473">
        <f>блюда!DC233</f>
        <v>0</v>
      </c>
      <c r="DD60" s="473">
        <f>блюда!DD233</f>
        <v>0</v>
      </c>
      <c r="DE60" s="473">
        <f>блюда!DE233</f>
        <v>0</v>
      </c>
      <c r="DF60" s="473">
        <f>блюда!DF233</f>
        <v>0</v>
      </c>
      <c r="DG60" s="473">
        <f>блюда!DG233</f>
        <v>0</v>
      </c>
      <c r="DH60" s="473">
        <f>блюда!DH233</f>
        <v>0</v>
      </c>
      <c r="DI60" s="473">
        <f>блюда!DI233</f>
        <v>0</v>
      </c>
      <c r="DJ60" s="473">
        <f>блюда!DJ233</f>
        <v>0</v>
      </c>
      <c r="DK60" s="473">
        <f>блюда!DK233</f>
        <v>0</v>
      </c>
      <c r="DL60" s="473">
        <f>блюда!DL233</f>
        <v>0</v>
      </c>
      <c r="DM60" s="473">
        <f>блюда!DM233</f>
        <v>0</v>
      </c>
      <c r="DN60" s="473">
        <f>блюда!DN233</f>
        <v>0</v>
      </c>
      <c r="DO60" s="473">
        <f>блюда!DO233</f>
        <v>0</v>
      </c>
      <c r="DP60" s="473">
        <f>блюда!DP233</f>
        <v>0</v>
      </c>
      <c r="DQ60" s="473">
        <f>блюда!DQ233</f>
        <v>0</v>
      </c>
      <c r="DR60" s="473">
        <f>блюда!DR233</f>
        <v>0</v>
      </c>
      <c r="DS60" s="473">
        <f>блюда!DS233</f>
        <v>0</v>
      </c>
      <c r="DT60" s="473">
        <f>блюда!DT233</f>
        <v>0</v>
      </c>
      <c r="DU60" s="473">
        <f>блюда!DU233</f>
        <v>0</v>
      </c>
      <c r="DV60" s="473">
        <f>блюда!DV233</f>
        <v>0</v>
      </c>
      <c r="DW60" s="473">
        <f>блюда!DW233</f>
        <v>0</v>
      </c>
      <c r="DX60" s="473">
        <f>блюда!DX233</f>
        <v>0</v>
      </c>
      <c r="DY60" s="473">
        <f>блюда!DY233</f>
        <v>0</v>
      </c>
      <c r="DZ60" s="473">
        <f>блюда!DZ233</f>
        <v>0</v>
      </c>
      <c r="EA60" s="473">
        <f>блюда!EA233</f>
        <v>0</v>
      </c>
      <c r="EB60" s="473">
        <f>блюда!EB233</f>
        <v>0</v>
      </c>
      <c r="EC60" s="473">
        <f>блюда!EC233</f>
        <v>0</v>
      </c>
      <c r="ED60" s="473">
        <f>блюда!ED233</f>
        <v>0</v>
      </c>
      <c r="EE60" s="473">
        <f>блюда!EE233</f>
        <v>0</v>
      </c>
      <c r="EF60" s="473">
        <f>блюда!EF233</f>
        <v>0</v>
      </c>
      <c r="EG60" s="473">
        <f>блюда!EG233</f>
        <v>0</v>
      </c>
      <c r="EH60" s="473">
        <f>блюда!EH233</f>
        <v>0</v>
      </c>
      <c r="EI60" s="473">
        <f>блюда!EI233</f>
        <v>0</v>
      </c>
      <c r="EJ60" s="473">
        <f>блюда!EJ233</f>
        <v>0</v>
      </c>
      <c r="EK60" s="473">
        <f>блюда!EK233</f>
        <v>0</v>
      </c>
      <c r="EL60" s="473">
        <f>блюда!EL233</f>
        <v>0</v>
      </c>
      <c r="EM60" s="473">
        <f>блюда!EM233</f>
        <v>0</v>
      </c>
      <c r="EN60" s="473">
        <f>блюда!EN233</f>
        <v>0</v>
      </c>
      <c r="EO60" s="473">
        <f>блюда!EO233</f>
        <v>0</v>
      </c>
      <c r="EP60" s="473">
        <f>блюда!EP233</f>
        <v>0</v>
      </c>
      <c r="EQ60" s="473">
        <f>блюда!EQ233</f>
        <v>0</v>
      </c>
      <c r="ER60" s="473">
        <f>блюда!ER233</f>
        <v>0</v>
      </c>
      <c r="ES60" s="473">
        <f>блюда!ES233</f>
        <v>0</v>
      </c>
      <c r="ET60" s="473">
        <f>блюда!ET233</f>
        <v>0</v>
      </c>
      <c r="EU60" s="473">
        <f>блюда!EU233</f>
        <v>0</v>
      </c>
      <c r="EV60" s="473">
        <f>блюда!EV233</f>
        <v>0</v>
      </c>
      <c r="EW60" s="473">
        <f>блюда!EW233</f>
        <v>0</v>
      </c>
      <c r="EX60" s="473">
        <f>блюда!EX233</f>
        <v>0</v>
      </c>
      <c r="EY60" s="927">
        <f t="shared" si="5"/>
        <v>0.19994999999999999</v>
      </c>
      <c r="EZ60" s="117">
        <f>блюда!EZ233</f>
        <v>0</v>
      </c>
      <c r="FA60" s="117">
        <f>блюда!FA233</f>
        <v>0</v>
      </c>
      <c r="FB60" s="117">
        <f>блюда!FB233</f>
        <v>0</v>
      </c>
      <c r="FC60" s="117">
        <f>блюда!FC233</f>
        <v>0</v>
      </c>
      <c r="FD60" s="117">
        <f>блюда!FD233</f>
        <v>0</v>
      </c>
      <c r="FE60" s="117">
        <f>блюда!FE233</f>
        <v>0</v>
      </c>
      <c r="FF60" s="117">
        <f>блюда!FF233</f>
        <v>0</v>
      </c>
      <c r="FG60" s="117">
        <f>блюда!FG233</f>
        <v>0</v>
      </c>
      <c r="FH60" s="117">
        <f>блюда!FH233</f>
        <v>0</v>
      </c>
      <c r="FI60" s="117">
        <f>блюда!FI233</f>
        <v>0</v>
      </c>
      <c r="FJ60" s="117">
        <f>блюда!FJ233</f>
        <v>0</v>
      </c>
      <c r="FK60" s="117">
        <f>блюда!FK233</f>
        <v>0</v>
      </c>
      <c r="FL60" s="117">
        <f>блюда!FL233</f>
        <v>0</v>
      </c>
    </row>
    <row r="61" spans="1:168" x14ac:dyDescent="0.25">
      <c r="A61" s="1460"/>
      <c r="B61" s="115" t="str">
        <f>блюда!B272</f>
        <v xml:space="preserve">Компот из яблок </v>
      </c>
      <c r="C61" s="116">
        <f>блюда!C272</f>
        <v>200</v>
      </c>
      <c r="D61" s="431">
        <f>блюда!D272</f>
        <v>0.16</v>
      </c>
      <c r="E61" s="431">
        <f>блюда!E272</f>
        <v>0.16</v>
      </c>
      <c r="F61" s="431">
        <f>блюда!F272</f>
        <v>27.88</v>
      </c>
      <c r="G61" s="250">
        <f>блюда!G272</f>
        <v>115</v>
      </c>
      <c r="H61" s="116">
        <f>блюда!H272</f>
        <v>342</v>
      </c>
      <c r="I61" s="431">
        <f>блюда!I272</f>
        <v>6.01</v>
      </c>
      <c r="J61" s="473">
        <f>блюда!J272</f>
        <v>0</v>
      </c>
      <c r="K61" s="473">
        <f>блюда!K272</f>
        <v>0</v>
      </c>
      <c r="L61" s="473">
        <f>блюда!L272</f>
        <v>0</v>
      </c>
      <c r="M61" s="473">
        <f>блюда!M272</f>
        <v>0</v>
      </c>
      <c r="N61" s="473">
        <f>блюда!N272</f>
        <v>0</v>
      </c>
      <c r="O61" s="473">
        <f>блюда!O272</f>
        <v>0</v>
      </c>
      <c r="P61" s="473">
        <f>блюда!P272</f>
        <v>0</v>
      </c>
      <c r="Q61" s="473">
        <f>блюда!Q272</f>
        <v>0</v>
      </c>
      <c r="R61" s="473">
        <f>блюда!R272</f>
        <v>0</v>
      </c>
      <c r="S61" s="473">
        <f>блюда!S272</f>
        <v>0</v>
      </c>
      <c r="T61" s="473">
        <f>блюда!T272</f>
        <v>0</v>
      </c>
      <c r="U61" s="473">
        <f>блюда!U272</f>
        <v>0</v>
      </c>
      <c r="V61" s="473">
        <f>блюда!V272</f>
        <v>0</v>
      </c>
      <c r="W61" s="473">
        <f>блюда!W272</f>
        <v>0</v>
      </c>
      <c r="X61" s="473">
        <f>блюда!X272</f>
        <v>0</v>
      </c>
      <c r="Y61" s="473">
        <f>блюда!Y272</f>
        <v>0</v>
      </c>
      <c r="Z61" s="473">
        <f>блюда!Z272</f>
        <v>0</v>
      </c>
      <c r="AA61" s="473">
        <f>блюда!AA272</f>
        <v>0</v>
      </c>
      <c r="AB61" s="473">
        <f>блюда!AB272</f>
        <v>0</v>
      </c>
      <c r="AC61" s="473">
        <f>блюда!AC272</f>
        <v>0</v>
      </c>
      <c r="AD61" s="473">
        <f>блюда!AD272</f>
        <v>0</v>
      </c>
      <c r="AE61" s="473">
        <f>блюда!AE272</f>
        <v>0</v>
      </c>
      <c r="AF61" s="473">
        <f>блюда!AF272</f>
        <v>0</v>
      </c>
      <c r="AG61" s="473">
        <f>блюда!AG272</f>
        <v>0</v>
      </c>
      <c r="AH61" s="473">
        <f>блюда!AH272</f>
        <v>0</v>
      </c>
      <c r="AI61" s="473">
        <f>блюда!AI272</f>
        <v>0</v>
      </c>
      <c r="AJ61" s="473">
        <f>блюда!AJ272</f>
        <v>0</v>
      </c>
      <c r="AK61" s="473">
        <f>блюда!AK272</f>
        <v>0</v>
      </c>
      <c r="AL61" s="473">
        <f>блюда!AL272</f>
        <v>0</v>
      </c>
      <c r="AM61" s="473">
        <f>блюда!AM272</f>
        <v>0</v>
      </c>
      <c r="AN61" s="473">
        <f>блюда!AN272</f>
        <v>0</v>
      </c>
      <c r="AO61" s="473">
        <f>блюда!AO272</f>
        <v>0</v>
      </c>
      <c r="AP61" s="473">
        <f>блюда!AP272</f>
        <v>0</v>
      </c>
      <c r="AQ61" s="473">
        <f>блюда!AQ272</f>
        <v>0</v>
      </c>
      <c r="AR61" s="473">
        <f>блюда!AR272</f>
        <v>0</v>
      </c>
      <c r="AS61" s="473">
        <f>блюда!AS272</f>
        <v>0</v>
      </c>
      <c r="AT61" s="473">
        <f>блюда!AT272</f>
        <v>0</v>
      </c>
      <c r="AU61" s="473">
        <f>блюда!AU272</f>
        <v>0</v>
      </c>
      <c r="AV61" s="473">
        <f>блюда!AV272</f>
        <v>0</v>
      </c>
      <c r="AW61" s="473">
        <f>блюда!AW272</f>
        <v>0</v>
      </c>
      <c r="AX61" s="473">
        <f>блюда!AX272</f>
        <v>0</v>
      </c>
      <c r="AY61" s="473">
        <f>блюда!AY272</f>
        <v>0</v>
      </c>
      <c r="AZ61" s="473">
        <f>блюда!AZ272</f>
        <v>0</v>
      </c>
      <c r="BA61" s="473">
        <f>блюда!BA272</f>
        <v>0</v>
      </c>
      <c r="BB61" s="473">
        <f>блюда!BB272</f>
        <v>0</v>
      </c>
      <c r="BC61" s="473">
        <f>блюда!BC272</f>
        <v>0</v>
      </c>
      <c r="BD61" s="473">
        <f>блюда!BD272</f>
        <v>0</v>
      </c>
      <c r="BE61" s="473">
        <f>блюда!BE272</f>
        <v>0</v>
      </c>
      <c r="BF61" s="473">
        <f>блюда!BF272</f>
        <v>0</v>
      </c>
      <c r="BG61" s="473">
        <f>блюда!BG272</f>
        <v>0</v>
      </c>
      <c r="BH61" s="473">
        <f>блюда!BH272</f>
        <v>0</v>
      </c>
      <c r="BI61" s="473">
        <f>блюда!BI272</f>
        <v>0</v>
      </c>
      <c r="BJ61" s="473">
        <f>блюда!BJ272</f>
        <v>0</v>
      </c>
      <c r="BK61" s="473">
        <f>блюда!BK272</f>
        <v>0</v>
      </c>
      <c r="BL61" s="473">
        <f>блюда!BL272</f>
        <v>0</v>
      </c>
      <c r="BM61" s="473">
        <f>блюда!BM272</f>
        <v>0</v>
      </c>
      <c r="BN61" s="473">
        <f>блюда!BN272</f>
        <v>0</v>
      </c>
      <c r="BO61" s="473">
        <f>блюда!BO272</f>
        <v>0</v>
      </c>
      <c r="BP61" s="473">
        <f>блюда!BP272</f>
        <v>0</v>
      </c>
      <c r="BQ61" s="473">
        <f>блюда!BQ272</f>
        <v>0</v>
      </c>
      <c r="BR61" s="473">
        <f>блюда!BR272</f>
        <v>4.5400000000000003E-2</v>
      </c>
      <c r="BS61" s="473">
        <f>блюда!BS272</f>
        <v>0</v>
      </c>
      <c r="BT61" s="473">
        <f>блюда!BT272</f>
        <v>0</v>
      </c>
      <c r="BU61" s="473">
        <f>блюда!BU272</f>
        <v>0</v>
      </c>
      <c r="BV61" s="473">
        <f>блюда!BV272</f>
        <v>0</v>
      </c>
      <c r="BW61" s="473">
        <f>блюда!BW272</f>
        <v>0</v>
      </c>
      <c r="BX61" s="473">
        <f>блюда!BX272</f>
        <v>0</v>
      </c>
      <c r="BY61" s="473">
        <f>блюда!BY272</f>
        <v>0</v>
      </c>
      <c r="BZ61" s="473">
        <f>блюда!BZ272</f>
        <v>0</v>
      </c>
      <c r="CA61" s="473">
        <f>блюда!CA272</f>
        <v>0</v>
      </c>
      <c r="CB61" s="473">
        <f>блюда!CB272</f>
        <v>0</v>
      </c>
      <c r="CC61" s="473">
        <f>блюда!CC272</f>
        <v>0</v>
      </c>
      <c r="CD61" s="473">
        <f>блюда!CD272</f>
        <v>0</v>
      </c>
      <c r="CE61" s="473">
        <f>блюда!CE272</f>
        <v>0</v>
      </c>
      <c r="CF61" s="473">
        <f>блюда!CF272</f>
        <v>0</v>
      </c>
      <c r="CG61" s="473">
        <f>блюда!CG272</f>
        <v>0</v>
      </c>
      <c r="CH61" s="473">
        <f>блюда!CH272</f>
        <v>0</v>
      </c>
      <c r="CI61" s="473">
        <f>блюда!CI272</f>
        <v>0</v>
      </c>
      <c r="CJ61" s="473">
        <f>блюда!CJ272</f>
        <v>0</v>
      </c>
      <c r="CK61" s="473">
        <f>блюда!CK272</f>
        <v>0</v>
      </c>
      <c r="CL61" s="473">
        <f>блюда!CL272</f>
        <v>0</v>
      </c>
      <c r="CM61" s="473">
        <f>блюда!CM272</f>
        <v>0</v>
      </c>
      <c r="CN61" s="473">
        <f>блюда!CN272</f>
        <v>0</v>
      </c>
      <c r="CO61" s="473">
        <f>блюда!CO272</f>
        <v>0</v>
      </c>
      <c r="CP61" s="473">
        <f>блюда!CP272</f>
        <v>0</v>
      </c>
      <c r="CQ61" s="473">
        <f>блюда!CQ272</f>
        <v>2.0000000000000001E-4</v>
      </c>
      <c r="CR61" s="473">
        <f>блюда!CR272</f>
        <v>0</v>
      </c>
      <c r="CS61" s="473">
        <f>блюда!CS272</f>
        <v>0</v>
      </c>
      <c r="CT61" s="473">
        <f>блюда!CT272</f>
        <v>0</v>
      </c>
      <c r="CU61" s="473">
        <f>блюда!CU272</f>
        <v>0</v>
      </c>
      <c r="CV61" s="473">
        <f>блюда!CV272</f>
        <v>0</v>
      </c>
      <c r="CW61" s="473">
        <f>блюда!CW272</f>
        <v>0</v>
      </c>
      <c r="CX61" s="473">
        <f>блюда!CX272</f>
        <v>0</v>
      </c>
      <c r="CY61" s="473">
        <f>блюда!CY272</f>
        <v>0</v>
      </c>
      <c r="CZ61" s="473">
        <f>блюда!CZ272</f>
        <v>2.4E-2</v>
      </c>
      <c r="DA61" s="473">
        <f>блюда!DA272</f>
        <v>0</v>
      </c>
      <c r="DB61" s="473">
        <f>блюда!DB272</f>
        <v>0</v>
      </c>
      <c r="DC61" s="473">
        <f>блюда!DC272</f>
        <v>0</v>
      </c>
      <c r="DD61" s="473">
        <f>блюда!DD272</f>
        <v>0</v>
      </c>
      <c r="DE61" s="473">
        <f>блюда!DE272</f>
        <v>0</v>
      </c>
      <c r="DF61" s="473">
        <f>блюда!DF272</f>
        <v>0</v>
      </c>
      <c r="DG61" s="473">
        <f>блюда!DG272</f>
        <v>0</v>
      </c>
      <c r="DH61" s="473">
        <f>блюда!DH272</f>
        <v>0</v>
      </c>
      <c r="DI61" s="473">
        <f>блюда!DI272</f>
        <v>0</v>
      </c>
      <c r="DJ61" s="473">
        <f>блюда!DJ272</f>
        <v>0</v>
      </c>
      <c r="DK61" s="473">
        <f>блюда!DK272</f>
        <v>0</v>
      </c>
      <c r="DL61" s="473">
        <f>блюда!DL272</f>
        <v>0</v>
      </c>
      <c r="DM61" s="473">
        <f>блюда!DM272</f>
        <v>0</v>
      </c>
      <c r="DN61" s="473">
        <f>блюда!DN272</f>
        <v>0</v>
      </c>
      <c r="DO61" s="473">
        <f>блюда!DO272</f>
        <v>0</v>
      </c>
      <c r="DP61" s="473">
        <f>блюда!DP272</f>
        <v>0</v>
      </c>
      <c r="DQ61" s="473">
        <f>блюда!DQ272</f>
        <v>0</v>
      </c>
      <c r="DR61" s="473">
        <f>блюда!DR272</f>
        <v>0</v>
      </c>
      <c r="DS61" s="473">
        <f>блюда!DS272</f>
        <v>0</v>
      </c>
      <c r="DT61" s="473">
        <f>блюда!DT272</f>
        <v>0</v>
      </c>
      <c r="DU61" s="473">
        <f>блюда!DU272</f>
        <v>0</v>
      </c>
      <c r="DV61" s="473">
        <f>блюда!DV272</f>
        <v>0</v>
      </c>
      <c r="DW61" s="473">
        <f>блюда!DW272</f>
        <v>0</v>
      </c>
      <c r="DX61" s="473">
        <f>блюда!DX272</f>
        <v>0</v>
      </c>
      <c r="DY61" s="473">
        <f>блюда!DY272</f>
        <v>0</v>
      </c>
      <c r="DZ61" s="473">
        <f>блюда!DZ272</f>
        <v>0</v>
      </c>
      <c r="EA61" s="473">
        <f>блюда!EA272</f>
        <v>0</v>
      </c>
      <c r="EB61" s="473">
        <f>блюда!EB272</f>
        <v>0</v>
      </c>
      <c r="EC61" s="473">
        <f>блюда!EC272</f>
        <v>0</v>
      </c>
      <c r="ED61" s="473">
        <f>блюда!ED272</f>
        <v>0</v>
      </c>
      <c r="EE61" s="473">
        <f>блюда!EE272</f>
        <v>0</v>
      </c>
      <c r="EF61" s="473">
        <f>блюда!EF272</f>
        <v>0</v>
      </c>
      <c r="EG61" s="473">
        <f>блюда!EG272</f>
        <v>0</v>
      </c>
      <c r="EH61" s="473">
        <f>блюда!EH272</f>
        <v>0</v>
      </c>
      <c r="EI61" s="473">
        <f>блюда!EI272</f>
        <v>0</v>
      </c>
      <c r="EJ61" s="473">
        <f>блюда!EJ272</f>
        <v>0</v>
      </c>
      <c r="EK61" s="473">
        <f>блюда!EK272</f>
        <v>0</v>
      </c>
      <c r="EL61" s="473">
        <f>блюда!EL272</f>
        <v>0</v>
      </c>
      <c r="EM61" s="473">
        <f>блюда!EM272</f>
        <v>0</v>
      </c>
      <c r="EN61" s="473">
        <f>блюда!EN272</f>
        <v>0</v>
      </c>
      <c r="EO61" s="473">
        <f>блюда!EO272</f>
        <v>0</v>
      </c>
      <c r="EP61" s="473">
        <f>блюда!EP272</f>
        <v>0</v>
      </c>
      <c r="EQ61" s="473">
        <f>блюда!EQ272</f>
        <v>0</v>
      </c>
      <c r="ER61" s="473">
        <f>блюда!ER272</f>
        <v>0</v>
      </c>
      <c r="ES61" s="473">
        <f>блюда!ES272</f>
        <v>0</v>
      </c>
      <c r="ET61" s="473">
        <f>блюда!ET272</f>
        <v>0</v>
      </c>
      <c r="EU61" s="473">
        <f>блюда!EU272</f>
        <v>0</v>
      </c>
      <c r="EV61" s="473">
        <f>блюда!EV272</f>
        <v>0</v>
      </c>
      <c r="EW61" s="473">
        <f>блюда!EW272</f>
        <v>0</v>
      </c>
      <c r="EX61" s="473">
        <f>блюда!EX272</f>
        <v>0</v>
      </c>
      <c r="EY61" s="927">
        <f t="shared" si="5"/>
        <v>6.9599999999999995E-2</v>
      </c>
      <c r="EZ61" s="117">
        <f>блюда!EZ282</f>
        <v>0</v>
      </c>
      <c r="FA61" s="117">
        <f>блюда!FA282</f>
        <v>0</v>
      </c>
      <c r="FB61" s="117">
        <f>блюда!FB282</f>
        <v>0</v>
      </c>
      <c r="FC61" s="117">
        <f>блюда!FC282</f>
        <v>0</v>
      </c>
      <c r="FD61" s="117">
        <f>блюда!FD282</f>
        <v>0</v>
      </c>
      <c r="FE61" s="117">
        <f>блюда!FE282</f>
        <v>0</v>
      </c>
      <c r="FF61" s="117">
        <f>блюда!FF282</f>
        <v>0</v>
      </c>
      <c r="FG61" s="117">
        <f>блюда!FG282</f>
        <v>0</v>
      </c>
      <c r="FH61" s="117">
        <f>блюда!FH282</f>
        <v>0</v>
      </c>
      <c r="FI61" s="117">
        <f>блюда!FI282</f>
        <v>0</v>
      </c>
      <c r="FJ61" s="117">
        <f>блюда!FJ282</f>
        <v>0</v>
      </c>
      <c r="FK61" s="117">
        <f>блюда!FK282</f>
        <v>0</v>
      </c>
      <c r="FL61" s="117">
        <f>блюда!FL282</f>
        <v>0</v>
      </c>
    </row>
    <row r="62" spans="1:168" x14ac:dyDescent="0.25">
      <c r="A62" s="1460"/>
      <c r="B62" s="115" t="str">
        <f>блюда!B333</f>
        <v>Хлеб пшеничный нарезной</v>
      </c>
      <c r="C62" s="116">
        <f>блюда!C333</f>
        <v>20</v>
      </c>
      <c r="D62" s="431">
        <f>блюда!D333</f>
        <v>2.14</v>
      </c>
      <c r="E62" s="431">
        <f>блюда!E333</f>
        <v>0.9</v>
      </c>
      <c r="F62" s="431">
        <f>блюда!F333</f>
        <v>8.6999999999999993</v>
      </c>
      <c r="G62" s="250">
        <f>блюда!G333</f>
        <v>55</v>
      </c>
      <c r="H62" s="116" t="str">
        <f>блюда!H333</f>
        <v>ПРОМ</v>
      </c>
      <c r="I62" s="431">
        <f>блюда!I333</f>
        <v>1.3</v>
      </c>
      <c r="J62" s="473">
        <f>блюда!J333</f>
        <v>0</v>
      </c>
      <c r="K62" s="473">
        <f>блюда!K333</f>
        <v>0</v>
      </c>
      <c r="L62" s="473">
        <f>блюда!L333</f>
        <v>0</v>
      </c>
      <c r="M62" s="473">
        <f>блюда!M333</f>
        <v>0</v>
      </c>
      <c r="N62" s="473">
        <f>блюда!N333</f>
        <v>0</v>
      </c>
      <c r="O62" s="473">
        <f>блюда!O333</f>
        <v>0</v>
      </c>
      <c r="P62" s="473">
        <f>блюда!P333</f>
        <v>0</v>
      </c>
      <c r="Q62" s="473">
        <f>блюда!Q333</f>
        <v>0</v>
      </c>
      <c r="R62" s="473">
        <f>блюда!R333</f>
        <v>0</v>
      </c>
      <c r="S62" s="473">
        <f>блюда!S333</f>
        <v>0</v>
      </c>
      <c r="T62" s="473">
        <f>блюда!T333</f>
        <v>0</v>
      </c>
      <c r="U62" s="473">
        <f>блюда!U333</f>
        <v>0</v>
      </c>
      <c r="V62" s="473">
        <f>блюда!V333</f>
        <v>0</v>
      </c>
      <c r="W62" s="473">
        <f>блюда!W333</f>
        <v>0</v>
      </c>
      <c r="X62" s="473">
        <f>блюда!X333</f>
        <v>0</v>
      </c>
      <c r="Y62" s="473">
        <f>блюда!Y333</f>
        <v>0</v>
      </c>
      <c r="Z62" s="473">
        <f>блюда!Z333</f>
        <v>0</v>
      </c>
      <c r="AA62" s="473">
        <f>блюда!AA333</f>
        <v>0</v>
      </c>
      <c r="AB62" s="473">
        <f>блюда!AB333</f>
        <v>0</v>
      </c>
      <c r="AC62" s="473">
        <f>блюда!AC333</f>
        <v>0</v>
      </c>
      <c r="AD62" s="473">
        <f>блюда!AD333</f>
        <v>0</v>
      </c>
      <c r="AE62" s="473">
        <f>блюда!AE333</f>
        <v>0</v>
      </c>
      <c r="AF62" s="473">
        <f>блюда!AF333</f>
        <v>0</v>
      </c>
      <c r="AG62" s="473">
        <f>блюда!AG333</f>
        <v>0</v>
      </c>
      <c r="AH62" s="473">
        <f>блюда!AH333</f>
        <v>0</v>
      </c>
      <c r="AI62" s="473">
        <f>блюда!AI333</f>
        <v>0</v>
      </c>
      <c r="AJ62" s="473">
        <f>блюда!AJ333</f>
        <v>0</v>
      </c>
      <c r="AK62" s="473">
        <f>блюда!AK333</f>
        <v>0</v>
      </c>
      <c r="AL62" s="473">
        <f>блюда!AL333</f>
        <v>0</v>
      </c>
      <c r="AM62" s="473">
        <f>блюда!AM333</f>
        <v>0</v>
      </c>
      <c r="AN62" s="473">
        <f>блюда!AN333</f>
        <v>0</v>
      </c>
      <c r="AO62" s="473">
        <f>блюда!AO333</f>
        <v>0</v>
      </c>
      <c r="AP62" s="473">
        <f>блюда!AP333</f>
        <v>0</v>
      </c>
      <c r="AQ62" s="473">
        <f>блюда!AQ333</f>
        <v>0</v>
      </c>
      <c r="AR62" s="473">
        <f>блюда!AR333</f>
        <v>0</v>
      </c>
      <c r="AS62" s="473">
        <f>блюда!AS333</f>
        <v>0</v>
      </c>
      <c r="AT62" s="473">
        <f>блюда!AT333</f>
        <v>0</v>
      </c>
      <c r="AU62" s="473">
        <f>блюда!AU333</f>
        <v>0</v>
      </c>
      <c r="AV62" s="473">
        <f>блюда!AV333</f>
        <v>0</v>
      </c>
      <c r="AW62" s="473">
        <f>блюда!AW333</f>
        <v>0</v>
      </c>
      <c r="AX62" s="473">
        <f>блюда!AX333</f>
        <v>0</v>
      </c>
      <c r="AY62" s="473">
        <f>блюда!AY333</f>
        <v>0</v>
      </c>
      <c r="AZ62" s="473">
        <f>блюда!AZ333</f>
        <v>0</v>
      </c>
      <c r="BA62" s="473">
        <f>блюда!BA333</f>
        <v>0</v>
      </c>
      <c r="BB62" s="473">
        <f>блюда!BB333</f>
        <v>0</v>
      </c>
      <c r="BC62" s="473">
        <f>блюда!BC333</f>
        <v>0</v>
      </c>
      <c r="BD62" s="473">
        <f>блюда!BD333</f>
        <v>0</v>
      </c>
      <c r="BE62" s="473">
        <f>блюда!BE333</f>
        <v>0</v>
      </c>
      <c r="BF62" s="473">
        <f>блюда!BF333</f>
        <v>0</v>
      </c>
      <c r="BG62" s="473">
        <f>блюда!BG333</f>
        <v>0</v>
      </c>
      <c r="BH62" s="473">
        <f>блюда!BH333</f>
        <v>0</v>
      </c>
      <c r="BI62" s="473">
        <f>блюда!BI333</f>
        <v>0</v>
      </c>
      <c r="BJ62" s="473">
        <f>блюда!BJ333</f>
        <v>0</v>
      </c>
      <c r="BK62" s="473">
        <f>блюда!BK333</f>
        <v>0</v>
      </c>
      <c r="BL62" s="473">
        <f>блюда!BL333</f>
        <v>0</v>
      </c>
      <c r="BM62" s="473">
        <f>блюда!BM333</f>
        <v>0</v>
      </c>
      <c r="BN62" s="473">
        <f>блюда!BN333</f>
        <v>0</v>
      </c>
      <c r="BO62" s="473">
        <f>блюда!BO333</f>
        <v>0</v>
      </c>
      <c r="BP62" s="473">
        <f>блюда!BP333</f>
        <v>0</v>
      </c>
      <c r="BQ62" s="473">
        <f>блюда!BQ333</f>
        <v>0</v>
      </c>
      <c r="BR62" s="473">
        <f>блюда!BR333</f>
        <v>0</v>
      </c>
      <c r="BS62" s="473">
        <f>блюда!BS333</f>
        <v>0</v>
      </c>
      <c r="BT62" s="473">
        <f>блюда!BT333</f>
        <v>0</v>
      </c>
      <c r="BU62" s="473">
        <f>блюда!BU333</f>
        <v>0</v>
      </c>
      <c r="BV62" s="473">
        <f>блюда!BV333</f>
        <v>0</v>
      </c>
      <c r="BW62" s="473">
        <f>блюда!BW333</f>
        <v>0</v>
      </c>
      <c r="BX62" s="473">
        <f>блюда!BX333</f>
        <v>0</v>
      </c>
      <c r="BY62" s="473">
        <f>блюда!BY333</f>
        <v>0</v>
      </c>
      <c r="BZ62" s="473">
        <f>блюда!BZ333</f>
        <v>0</v>
      </c>
      <c r="CA62" s="473">
        <f>блюда!CA333</f>
        <v>0</v>
      </c>
      <c r="CB62" s="473">
        <f>блюда!CB333</f>
        <v>0</v>
      </c>
      <c r="CC62" s="473">
        <f>блюда!CC333</f>
        <v>0</v>
      </c>
      <c r="CD62" s="473">
        <f>блюда!CD333</f>
        <v>0</v>
      </c>
      <c r="CE62" s="473">
        <f>блюда!CE333</f>
        <v>0</v>
      </c>
      <c r="CF62" s="473">
        <f>блюда!CF333</f>
        <v>0</v>
      </c>
      <c r="CG62" s="473">
        <f>блюда!CG333</f>
        <v>0</v>
      </c>
      <c r="CH62" s="473">
        <f>блюда!CH333</f>
        <v>0</v>
      </c>
      <c r="CI62" s="473">
        <f>блюда!CI333</f>
        <v>0</v>
      </c>
      <c r="CJ62" s="473">
        <f>блюда!CJ333</f>
        <v>0</v>
      </c>
      <c r="CK62" s="473">
        <f>блюда!CK333</f>
        <v>0</v>
      </c>
      <c r="CL62" s="473">
        <f>блюда!CL333</f>
        <v>0</v>
      </c>
      <c r="CM62" s="473">
        <f>блюда!CM333</f>
        <v>0</v>
      </c>
      <c r="CN62" s="473">
        <f>блюда!CN333</f>
        <v>0</v>
      </c>
      <c r="CO62" s="473">
        <f>блюда!CO333</f>
        <v>0</v>
      </c>
      <c r="CP62" s="473">
        <f>блюда!CP333</f>
        <v>0</v>
      </c>
      <c r="CQ62" s="473">
        <f>блюда!CQ333</f>
        <v>0</v>
      </c>
      <c r="CR62" s="473">
        <f>блюда!CR333</f>
        <v>0</v>
      </c>
      <c r="CS62" s="473">
        <f>блюда!CS333</f>
        <v>0</v>
      </c>
      <c r="CT62" s="473">
        <f>блюда!CT333</f>
        <v>0</v>
      </c>
      <c r="CU62" s="473">
        <f>блюда!CU333</f>
        <v>0</v>
      </c>
      <c r="CV62" s="473">
        <f>блюда!CV333</f>
        <v>0</v>
      </c>
      <c r="CW62" s="473">
        <f>блюда!CW333</f>
        <v>0</v>
      </c>
      <c r="CX62" s="473">
        <f>блюда!CX333</f>
        <v>0</v>
      </c>
      <c r="CY62" s="473">
        <f>блюда!CY333</f>
        <v>0</v>
      </c>
      <c r="CZ62" s="473">
        <f>блюда!CZ333</f>
        <v>0</v>
      </c>
      <c r="DA62" s="473">
        <f>блюда!DA333</f>
        <v>0</v>
      </c>
      <c r="DB62" s="473">
        <f>блюда!DB333</f>
        <v>0</v>
      </c>
      <c r="DC62" s="473">
        <f>блюда!DC333</f>
        <v>0</v>
      </c>
      <c r="DD62" s="473">
        <f>блюда!DD333</f>
        <v>0</v>
      </c>
      <c r="DE62" s="473">
        <f>блюда!DE333</f>
        <v>0</v>
      </c>
      <c r="DF62" s="473">
        <f>блюда!DF333</f>
        <v>0</v>
      </c>
      <c r="DG62" s="473">
        <f>блюда!DG333</f>
        <v>0</v>
      </c>
      <c r="DH62" s="473">
        <f>блюда!DH333</f>
        <v>0</v>
      </c>
      <c r="DI62" s="473">
        <f>блюда!DI333</f>
        <v>0</v>
      </c>
      <c r="DJ62" s="473">
        <f>блюда!DJ333</f>
        <v>0</v>
      </c>
      <c r="DK62" s="473">
        <f>блюда!DK333</f>
        <v>0</v>
      </c>
      <c r="DL62" s="473">
        <f>блюда!DL333</f>
        <v>0</v>
      </c>
      <c r="DM62" s="473">
        <f>блюда!DM333</f>
        <v>0</v>
      </c>
      <c r="DN62" s="473">
        <f>блюда!DN333</f>
        <v>0</v>
      </c>
      <c r="DO62" s="473">
        <f>блюда!DO333</f>
        <v>0</v>
      </c>
      <c r="DP62" s="473">
        <f>блюда!DP333</f>
        <v>0</v>
      </c>
      <c r="DQ62" s="473">
        <f>блюда!DQ333</f>
        <v>0</v>
      </c>
      <c r="DR62" s="473">
        <f>блюда!DR333</f>
        <v>0</v>
      </c>
      <c r="DS62" s="473">
        <f>блюда!DS333</f>
        <v>0</v>
      </c>
      <c r="DT62" s="473">
        <f>блюда!DT333</f>
        <v>0</v>
      </c>
      <c r="DU62" s="473">
        <f>блюда!DU333</f>
        <v>0</v>
      </c>
      <c r="DV62" s="473">
        <f>блюда!DV333</f>
        <v>0</v>
      </c>
      <c r="DW62" s="473">
        <f>блюда!DW333</f>
        <v>0</v>
      </c>
      <c r="DX62" s="473">
        <f>блюда!DX333</f>
        <v>0</v>
      </c>
      <c r="DY62" s="473">
        <f>блюда!DY333</f>
        <v>0</v>
      </c>
      <c r="DZ62" s="473">
        <f>блюда!DZ333</f>
        <v>0</v>
      </c>
      <c r="EA62" s="473">
        <f>блюда!EA333</f>
        <v>0</v>
      </c>
      <c r="EB62" s="473">
        <f>блюда!EB333</f>
        <v>0</v>
      </c>
      <c r="EC62" s="473">
        <f>блюда!EC333</f>
        <v>0</v>
      </c>
      <c r="ED62" s="473">
        <f>блюда!ED333</f>
        <v>0</v>
      </c>
      <c r="EE62" s="473">
        <f>блюда!EE333</f>
        <v>0</v>
      </c>
      <c r="EF62" s="473">
        <f>блюда!EF333</f>
        <v>0</v>
      </c>
      <c r="EG62" s="473">
        <f>блюда!EG333</f>
        <v>0</v>
      </c>
      <c r="EH62" s="473">
        <f>блюда!EH333</f>
        <v>0</v>
      </c>
      <c r="EI62" s="473">
        <f>блюда!EI333</f>
        <v>0</v>
      </c>
      <c r="EJ62" s="473">
        <f>блюда!EJ333</f>
        <v>0</v>
      </c>
      <c r="EK62" s="473">
        <f>блюда!EK333</f>
        <v>0</v>
      </c>
      <c r="EL62" s="473">
        <f>блюда!EL333</f>
        <v>0</v>
      </c>
      <c r="EM62" s="473">
        <f>блюда!EM333</f>
        <v>0</v>
      </c>
      <c r="EN62" s="473">
        <f>блюда!EN333</f>
        <v>0</v>
      </c>
      <c r="EO62" s="473">
        <f>блюда!EO333</f>
        <v>0</v>
      </c>
      <c r="EP62" s="473">
        <f>блюда!EP333</f>
        <v>0</v>
      </c>
      <c r="EQ62" s="473">
        <f>блюда!EQ333</f>
        <v>0</v>
      </c>
      <c r="ER62" s="473">
        <f>блюда!ER333</f>
        <v>0</v>
      </c>
      <c r="ES62" s="473">
        <f>блюда!ES333</f>
        <v>0</v>
      </c>
      <c r="ET62" s="473">
        <f>блюда!ET333</f>
        <v>0</v>
      </c>
      <c r="EU62" s="473">
        <f>блюда!EU333</f>
        <v>0</v>
      </c>
      <c r="EV62" s="473">
        <f>блюда!EV333</f>
        <v>0.02</v>
      </c>
      <c r="EW62" s="473">
        <f>блюда!EW333</f>
        <v>0</v>
      </c>
      <c r="EX62" s="473">
        <f>блюда!EX333</f>
        <v>0</v>
      </c>
      <c r="EY62" s="927">
        <f t="shared" si="5"/>
        <v>0.02</v>
      </c>
      <c r="EZ62" s="117">
        <f>блюда!EZ333</f>
        <v>0</v>
      </c>
      <c r="FA62" s="117">
        <f>блюда!FA333</f>
        <v>0</v>
      </c>
      <c r="FB62" s="117">
        <f>блюда!FB333</f>
        <v>0</v>
      </c>
      <c r="FC62" s="117">
        <f>блюда!FC333</f>
        <v>0</v>
      </c>
      <c r="FD62" s="117">
        <f>блюда!FD333</f>
        <v>0</v>
      </c>
      <c r="FE62" s="117">
        <f>блюда!FE333</f>
        <v>0</v>
      </c>
      <c r="FF62" s="117">
        <f>блюда!FF333</f>
        <v>0</v>
      </c>
      <c r="FG62" s="117">
        <f>блюда!FG333</f>
        <v>0</v>
      </c>
      <c r="FH62" s="117">
        <f>блюда!FH333</f>
        <v>0</v>
      </c>
      <c r="FI62" s="117">
        <f>блюда!FI333</f>
        <v>0</v>
      </c>
      <c r="FJ62" s="117">
        <f>блюда!FJ333</f>
        <v>0</v>
      </c>
      <c r="FK62" s="117">
        <f>блюда!FK333</f>
        <v>0</v>
      </c>
      <c r="FL62" s="117">
        <f>блюда!FL333</f>
        <v>0</v>
      </c>
    </row>
    <row r="63" spans="1:168" x14ac:dyDescent="0.25">
      <c r="A63" s="1460"/>
      <c r="B63" s="115" t="str">
        <f>блюда!B335</f>
        <v>Хлеб пшенично-ржаной нарезной</v>
      </c>
      <c r="C63" s="116">
        <f>блюда!C335</f>
        <v>30</v>
      </c>
      <c r="D63" s="431">
        <f>блюда!D335</f>
        <v>2.25</v>
      </c>
      <c r="E63" s="431">
        <f>блюда!E335</f>
        <v>0.6</v>
      </c>
      <c r="F63" s="431">
        <f>блюда!F335</f>
        <v>15.6</v>
      </c>
      <c r="G63" s="250">
        <f>блюда!G335</f>
        <v>75</v>
      </c>
      <c r="H63" s="116" t="str">
        <f>блюда!H335</f>
        <v>ПРОМ</v>
      </c>
      <c r="I63" s="431">
        <f>блюда!I335</f>
        <v>1.95</v>
      </c>
      <c r="J63" s="473">
        <f>блюда!J335</f>
        <v>0</v>
      </c>
      <c r="K63" s="473">
        <f>блюда!K335</f>
        <v>0</v>
      </c>
      <c r="L63" s="473">
        <f>блюда!L335</f>
        <v>0</v>
      </c>
      <c r="M63" s="473">
        <f>блюда!M335</f>
        <v>0</v>
      </c>
      <c r="N63" s="473">
        <f>блюда!N335</f>
        <v>0</v>
      </c>
      <c r="O63" s="473">
        <f>блюда!O335</f>
        <v>0</v>
      </c>
      <c r="P63" s="473">
        <f>блюда!P335</f>
        <v>0</v>
      </c>
      <c r="Q63" s="473">
        <f>блюда!Q335</f>
        <v>0</v>
      </c>
      <c r="R63" s="473">
        <f>блюда!R335</f>
        <v>0</v>
      </c>
      <c r="S63" s="473">
        <f>блюда!S335</f>
        <v>0</v>
      </c>
      <c r="T63" s="473">
        <f>блюда!T335</f>
        <v>0</v>
      </c>
      <c r="U63" s="473">
        <f>блюда!U335</f>
        <v>0</v>
      </c>
      <c r="V63" s="473">
        <f>блюда!V335</f>
        <v>0</v>
      </c>
      <c r="W63" s="473">
        <f>блюда!W335</f>
        <v>0</v>
      </c>
      <c r="X63" s="473">
        <f>блюда!X335</f>
        <v>0</v>
      </c>
      <c r="Y63" s="473">
        <f>блюда!Y335</f>
        <v>0</v>
      </c>
      <c r="Z63" s="473">
        <f>блюда!Z335</f>
        <v>0</v>
      </c>
      <c r="AA63" s="473">
        <f>блюда!AA335</f>
        <v>0</v>
      </c>
      <c r="AB63" s="473">
        <f>блюда!AB335</f>
        <v>0</v>
      </c>
      <c r="AC63" s="473">
        <f>блюда!AC335</f>
        <v>0</v>
      </c>
      <c r="AD63" s="473">
        <f>блюда!AD335</f>
        <v>0</v>
      </c>
      <c r="AE63" s="473">
        <f>блюда!AE335</f>
        <v>0</v>
      </c>
      <c r="AF63" s="473">
        <f>блюда!AF335</f>
        <v>0</v>
      </c>
      <c r="AG63" s="473">
        <f>блюда!AG335</f>
        <v>0</v>
      </c>
      <c r="AH63" s="473">
        <f>блюда!AH335</f>
        <v>0</v>
      </c>
      <c r="AI63" s="473">
        <f>блюда!AI335</f>
        <v>0</v>
      </c>
      <c r="AJ63" s="473">
        <f>блюда!AJ335</f>
        <v>0</v>
      </c>
      <c r="AK63" s="473">
        <f>блюда!AK335</f>
        <v>0</v>
      </c>
      <c r="AL63" s="473">
        <f>блюда!AL335</f>
        <v>0</v>
      </c>
      <c r="AM63" s="473">
        <f>блюда!AM335</f>
        <v>0</v>
      </c>
      <c r="AN63" s="473">
        <f>блюда!AN335</f>
        <v>0</v>
      </c>
      <c r="AO63" s="473">
        <f>блюда!AO335</f>
        <v>0</v>
      </c>
      <c r="AP63" s="473">
        <f>блюда!AP335</f>
        <v>0</v>
      </c>
      <c r="AQ63" s="473">
        <f>блюда!AQ335</f>
        <v>0</v>
      </c>
      <c r="AR63" s="473">
        <f>блюда!AR335</f>
        <v>0</v>
      </c>
      <c r="AS63" s="473">
        <f>блюда!AS335</f>
        <v>0</v>
      </c>
      <c r="AT63" s="473">
        <f>блюда!AT335</f>
        <v>0</v>
      </c>
      <c r="AU63" s="473">
        <f>блюда!AU335</f>
        <v>0</v>
      </c>
      <c r="AV63" s="473">
        <f>блюда!AV335</f>
        <v>0</v>
      </c>
      <c r="AW63" s="473">
        <f>блюда!AW335</f>
        <v>0</v>
      </c>
      <c r="AX63" s="473">
        <f>блюда!AX335</f>
        <v>0</v>
      </c>
      <c r="AY63" s="473">
        <f>блюда!AY335</f>
        <v>0</v>
      </c>
      <c r="AZ63" s="473">
        <f>блюда!AZ335</f>
        <v>0</v>
      </c>
      <c r="BA63" s="473">
        <f>блюда!BA335</f>
        <v>0</v>
      </c>
      <c r="BB63" s="473">
        <f>блюда!BB335</f>
        <v>0</v>
      </c>
      <c r="BC63" s="473">
        <f>блюда!BC335</f>
        <v>0</v>
      </c>
      <c r="BD63" s="473">
        <f>блюда!BD335</f>
        <v>0</v>
      </c>
      <c r="BE63" s="473">
        <f>блюда!BE335</f>
        <v>0</v>
      </c>
      <c r="BF63" s="473">
        <f>блюда!BF335</f>
        <v>0</v>
      </c>
      <c r="BG63" s="473">
        <f>блюда!BG335</f>
        <v>0</v>
      </c>
      <c r="BH63" s="473">
        <f>блюда!BH335</f>
        <v>0</v>
      </c>
      <c r="BI63" s="473">
        <f>блюда!BI335</f>
        <v>0</v>
      </c>
      <c r="BJ63" s="473">
        <f>блюда!BJ335</f>
        <v>0</v>
      </c>
      <c r="BK63" s="473">
        <f>блюда!BK335</f>
        <v>0</v>
      </c>
      <c r="BL63" s="473">
        <f>блюда!BL335</f>
        <v>0</v>
      </c>
      <c r="BM63" s="473">
        <f>блюда!BM335</f>
        <v>0</v>
      </c>
      <c r="BN63" s="473">
        <f>блюда!BN335</f>
        <v>0</v>
      </c>
      <c r="BO63" s="473">
        <f>блюда!BO335</f>
        <v>0</v>
      </c>
      <c r="BP63" s="473">
        <f>блюда!BP335</f>
        <v>0</v>
      </c>
      <c r="BQ63" s="473">
        <f>блюда!BQ335</f>
        <v>0</v>
      </c>
      <c r="BR63" s="473">
        <f>блюда!BR335</f>
        <v>0</v>
      </c>
      <c r="BS63" s="473">
        <f>блюда!BS335</f>
        <v>0</v>
      </c>
      <c r="BT63" s="473">
        <f>блюда!BT335</f>
        <v>0</v>
      </c>
      <c r="BU63" s="473">
        <f>блюда!BU335</f>
        <v>0</v>
      </c>
      <c r="BV63" s="473">
        <f>блюда!BV335</f>
        <v>0</v>
      </c>
      <c r="BW63" s="473">
        <f>блюда!BW335</f>
        <v>0</v>
      </c>
      <c r="BX63" s="473">
        <f>блюда!BX335</f>
        <v>0</v>
      </c>
      <c r="BY63" s="473">
        <f>блюда!BY335</f>
        <v>0</v>
      </c>
      <c r="BZ63" s="473">
        <f>блюда!BZ335</f>
        <v>0</v>
      </c>
      <c r="CA63" s="473">
        <f>блюда!CA335</f>
        <v>0</v>
      </c>
      <c r="CB63" s="473">
        <f>блюда!CB335</f>
        <v>0</v>
      </c>
      <c r="CC63" s="473">
        <f>блюда!CC335</f>
        <v>0</v>
      </c>
      <c r="CD63" s="473">
        <f>блюда!CD335</f>
        <v>0</v>
      </c>
      <c r="CE63" s="473">
        <f>блюда!CE335</f>
        <v>0</v>
      </c>
      <c r="CF63" s="473">
        <f>блюда!CF335</f>
        <v>0</v>
      </c>
      <c r="CG63" s="473">
        <f>блюда!CG335</f>
        <v>0</v>
      </c>
      <c r="CH63" s="473">
        <f>блюда!CH335</f>
        <v>0</v>
      </c>
      <c r="CI63" s="473">
        <f>блюда!CI335</f>
        <v>0</v>
      </c>
      <c r="CJ63" s="473">
        <f>блюда!CJ335</f>
        <v>0</v>
      </c>
      <c r="CK63" s="473">
        <f>блюда!CK335</f>
        <v>0</v>
      </c>
      <c r="CL63" s="473">
        <f>блюда!CL335</f>
        <v>0</v>
      </c>
      <c r="CM63" s="473">
        <f>блюда!CM335</f>
        <v>0</v>
      </c>
      <c r="CN63" s="473">
        <f>блюда!CN335</f>
        <v>0</v>
      </c>
      <c r="CO63" s="473">
        <f>блюда!CO335</f>
        <v>0</v>
      </c>
      <c r="CP63" s="473">
        <f>блюда!CP335</f>
        <v>0</v>
      </c>
      <c r="CQ63" s="473">
        <f>блюда!CQ335</f>
        <v>0</v>
      </c>
      <c r="CR63" s="473">
        <f>блюда!CR335</f>
        <v>0</v>
      </c>
      <c r="CS63" s="473">
        <f>блюда!CS335</f>
        <v>0</v>
      </c>
      <c r="CT63" s="473">
        <f>блюда!CT335</f>
        <v>0</v>
      </c>
      <c r="CU63" s="473">
        <f>блюда!CU335</f>
        <v>0</v>
      </c>
      <c r="CV63" s="473">
        <f>блюда!CV335</f>
        <v>0</v>
      </c>
      <c r="CW63" s="473">
        <f>блюда!CW335</f>
        <v>0</v>
      </c>
      <c r="CX63" s="473">
        <f>блюда!CX335</f>
        <v>0</v>
      </c>
      <c r="CY63" s="473">
        <f>блюда!CY335</f>
        <v>0</v>
      </c>
      <c r="CZ63" s="473">
        <f>блюда!CZ335</f>
        <v>0</v>
      </c>
      <c r="DA63" s="473">
        <f>блюда!DA335</f>
        <v>0</v>
      </c>
      <c r="DB63" s="473">
        <f>блюда!DB335</f>
        <v>0</v>
      </c>
      <c r="DC63" s="473">
        <f>блюда!DC335</f>
        <v>0</v>
      </c>
      <c r="DD63" s="473">
        <f>блюда!DD335</f>
        <v>0</v>
      </c>
      <c r="DE63" s="473">
        <f>блюда!DE335</f>
        <v>0</v>
      </c>
      <c r="DF63" s="473">
        <f>блюда!DF335</f>
        <v>0</v>
      </c>
      <c r="DG63" s="473">
        <f>блюда!DG335</f>
        <v>0</v>
      </c>
      <c r="DH63" s="473">
        <f>блюда!DH335</f>
        <v>0</v>
      </c>
      <c r="DI63" s="473">
        <f>блюда!DI335</f>
        <v>0</v>
      </c>
      <c r="DJ63" s="473">
        <f>блюда!DJ335</f>
        <v>0</v>
      </c>
      <c r="DK63" s="473">
        <f>блюда!DK335</f>
        <v>0</v>
      </c>
      <c r="DL63" s="473">
        <f>блюда!DL335</f>
        <v>0</v>
      </c>
      <c r="DM63" s="473">
        <f>блюда!DM335</f>
        <v>0</v>
      </c>
      <c r="DN63" s="473">
        <f>блюда!DN335</f>
        <v>0</v>
      </c>
      <c r="DO63" s="473">
        <f>блюда!DO335</f>
        <v>0</v>
      </c>
      <c r="DP63" s="473">
        <f>блюда!DP335</f>
        <v>0</v>
      </c>
      <c r="DQ63" s="473">
        <f>блюда!DQ335</f>
        <v>0</v>
      </c>
      <c r="DR63" s="473">
        <f>блюда!DR335</f>
        <v>0</v>
      </c>
      <c r="DS63" s="473">
        <f>блюда!DS335</f>
        <v>0</v>
      </c>
      <c r="DT63" s="473">
        <f>блюда!DT335</f>
        <v>0</v>
      </c>
      <c r="DU63" s="473">
        <f>блюда!DU335</f>
        <v>0</v>
      </c>
      <c r="DV63" s="473">
        <f>блюда!DV335</f>
        <v>0</v>
      </c>
      <c r="DW63" s="473">
        <f>блюда!DW335</f>
        <v>0</v>
      </c>
      <c r="DX63" s="473">
        <f>блюда!DX335</f>
        <v>0</v>
      </c>
      <c r="DY63" s="473">
        <f>блюда!DY335</f>
        <v>0</v>
      </c>
      <c r="DZ63" s="473">
        <f>блюда!DZ335</f>
        <v>0</v>
      </c>
      <c r="EA63" s="473">
        <f>блюда!EA335</f>
        <v>0</v>
      </c>
      <c r="EB63" s="473">
        <f>блюда!EB335</f>
        <v>0</v>
      </c>
      <c r="EC63" s="473">
        <f>блюда!EC335</f>
        <v>0</v>
      </c>
      <c r="ED63" s="473">
        <f>блюда!ED335</f>
        <v>0</v>
      </c>
      <c r="EE63" s="473">
        <f>блюда!EE335</f>
        <v>0</v>
      </c>
      <c r="EF63" s="473">
        <f>блюда!EF335</f>
        <v>0</v>
      </c>
      <c r="EG63" s="473">
        <f>блюда!EG335</f>
        <v>0</v>
      </c>
      <c r="EH63" s="473">
        <f>блюда!EH335</f>
        <v>0</v>
      </c>
      <c r="EI63" s="473">
        <f>блюда!EI335</f>
        <v>0</v>
      </c>
      <c r="EJ63" s="473">
        <f>блюда!EJ335</f>
        <v>0</v>
      </c>
      <c r="EK63" s="473">
        <f>блюда!EK335</f>
        <v>0</v>
      </c>
      <c r="EL63" s="473">
        <f>блюда!EL335</f>
        <v>0</v>
      </c>
      <c r="EM63" s="473">
        <f>блюда!EM335</f>
        <v>0</v>
      </c>
      <c r="EN63" s="473">
        <f>блюда!EN335</f>
        <v>0</v>
      </c>
      <c r="EO63" s="473">
        <f>блюда!EO335</f>
        <v>0</v>
      </c>
      <c r="EP63" s="473">
        <f>блюда!EP335</f>
        <v>0</v>
      </c>
      <c r="EQ63" s="473">
        <f>блюда!EQ335</f>
        <v>0</v>
      </c>
      <c r="ER63" s="473">
        <f>блюда!ER335</f>
        <v>0</v>
      </c>
      <c r="ES63" s="473">
        <f>блюда!ES335</f>
        <v>0</v>
      </c>
      <c r="ET63" s="473">
        <f>блюда!ET335</f>
        <v>0</v>
      </c>
      <c r="EU63" s="473">
        <f>блюда!EU335</f>
        <v>0</v>
      </c>
      <c r="EV63" s="473">
        <f>блюда!EV335</f>
        <v>0</v>
      </c>
      <c r="EW63" s="473">
        <f>блюда!EW335</f>
        <v>0.03</v>
      </c>
      <c r="EX63" s="473">
        <f>блюда!EX335</f>
        <v>0</v>
      </c>
      <c r="EY63" s="927">
        <f t="shared" si="5"/>
        <v>0.03</v>
      </c>
      <c r="EZ63" s="117">
        <f>блюда!EZ335</f>
        <v>0</v>
      </c>
      <c r="FA63" s="117">
        <f>блюда!FA335</f>
        <v>0</v>
      </c>
      <c r="FB63" s="117">
        <f>блюда!FB335</f>
        <v>0</v>
      </c>
      <c r="FC63" s="117">
        <f>блюда!FC335</f>
        <v>0</v>
      </c>
      <c r="FD63" s="117">
        <f>блюда!FD335</f>
        <v>0</v>
      </c>
      <c r="FE63" s="117">
        <f>блюда!FE335</f>
        <v>0</v>
      </c>
      <c r="FF63" s="117">
        <f>блюда!FF335</f>
        <v>0</v>
      </c>
      <c r="FG63" s="117">
        <f>блюда!FG335</f>
        <v>0</v>
      </c>
      <c r="FH63" s="117">
        <f>блюда!FH335</f>
        <v>0</v>
      </c>
      <c r="FI63" s="117">
        <f>блюда!FI335</f>
        <v>0</v>
      </c>
      <c r="FJ63" s="117">
        <f>блюда!FJ335</f>
        <v>0</v>
      </c>
      <c r="FK63" s="117">
        <f>блюда!FK335</f>
        <v>0</v>
      </c>
      <c r="FL63" s="117">
        <f>блюда!FL335</f>
        <v>0</v>
      </c>
    </row>
    <row r="64" spans="1:168" ht="13.95" customHeight="1" x14ac:dyDescent="0.25">
      <c r="A64" s="1460"/>
      <c r="B64" s="115" t="str">
        <f>блюда!B342</f>
        <v>Мороженое пломбир Кореновское</v>
      </c>
      <c r="C64" s="116">
        <f>блюда!C342</f>
        <v>100</v>
      </c>
      <c r="D64" s="431">
        <f>блюда!D342</f>
        <v>3.7</v>
      </c>
      <c r="E64" s="431">
        <f>блюда!E342</f>
        <v>15</v>
      </c>
      <c r="F64" s="431">
        <f>блюда!F342</f>
        <v>20.399999999999999</v>
      </c>
      <c r="G64" s="116">
        <f>блюда!G342</f>
        <v>232</v>
      </c>
      <c r="H64" s="116" t="str">
        <f>блюда!H342</f>
        <v>ПРОМ</v>
      </c>
      <c r="I64" s="431">
        <f>блюда!I342</f>
        <v>75</v>
      </c>
      <c r="J64" s="473">
        <f>блюда!J342</f>
        <v>0</v>
      </c>
      <c r="K64" s="473">
        <f>блюда!K342</f>
        <v>0</v>
      </c>
      <c r="L64" s="473">
        <f>блюда!L342</f>
        <v>0</v>
      </c>
      <c r="M64" s="473">
        <f>блюда!M342</f>
        <v>0</v>
      </c>
      <c r="N64" s="473">
        <f>блюда!N342</f>
        <v>0</v>
      </c>
      <c r="O64" s="473">
        <f>блюда!O342</f>
        <v>0</v>
      </c>
      <c r="P64" s="473">
        <f>блюда!P342</f>
        <v>0</v>
      </c>
      <c r="Q64" s="473">
        <f>блюда!Q342</f>
        <v>0</v>
      </c>
      <c r="R64" s="473">
        <f>блюда!R342</f>
        <v>0</v>
      </c>
      <c r="S64" s="473">
        <f>блюда!S342</f>
        <v>0</v>
      </c>
      <c r="T64" s="473">
        <f>блюда!T342</f>
        <v>0</v>
      </c>
      <c r="U64" s="473">
        <f>блюда!U342</f>
        <v>0</v>
      </c>
      <c r="V64" s="473">
        <f>блюда!V342</f>
        <v>0</v>
      </c>
      <c r="W64" s="473">
        <f>блюда!W342</f>
        <v>0</v>
      </c>
      <c r="X64" s="473">
        <f>блюда!X342</f>
        <v>0</v>
      </c>
      <c r="Y64" s="473">
        <f>блюда!Y342</f>
        <v>0</v>
      </c>
      <c r="Z64" s="473">
        <f>блюда!Z342</f>
        <v>0</v>
      </c>
      <c r="AA64" s="473">
        <f>блюда!AA342</f>
        <v>0</v>
      </c>
      <c r="AB64" s="473">
        <f>блюда!AB342</f>
        <v>0</v>
      </c>
      <c r="AC64" s="473">
        <f>блюда!AC342</f>
        <v>0</v>
      </c>
      <c r="AD64" s="473">
        <f>блюда!AD342</f>
        <v>0</v>
      </c>
      <c r="AE64" s="473">
        <f>блюда!AE342</f>
        <v>0</v>
      </c>
      <c r="AF64" s="473">
        <f>блюда!AF342</f>
        <v>0</v>
      </c>
      <c r="AG64" s="473">
        <f>блюда!AG342</f>
        <v>0</v>
      </c>
      <c r="AH64" s="473">
        <f>блюда!AH342</f>
        <v>0</v>
      </c>
      <c r="AI64" s="473">
        <f>блюда!AI342</f>
        <v>0</v>
      </c>
      <c r="AJ64" s="473">
        <f>блюда!AJ342</f>
        <v>0</v>
      </c>
      <c r="AK64" s="473">
        <f>блюда!AK342</f>
        <v>0</v>
      </c>
      <c r="AL64" s="473">
        <f>блюда!AL342</f>
        <v>0</v>
      </c>
      <c r="AM64" s="473">
        <f>блюда!AM342</f>
        <v>0</v>
      </c>
      <c r="AN64" s="473">
        <f>блюда!AN342</f>
        <v>0</v>
      </c>
      <c r="AO64" s="473">
        <f>блюда!AO342</f>
        <v>0</v>
      </c>
      <c r="AP64" s="473">
        <f>блюда!AP342</f>
        <v>0</v>
      </c>
      <c r="AQ64" s="473">
        <f>блюда!AQ342</f>
        <v>0</v>
      </c>
      <c r="AR64" s="473">
        <f>блюда!AR342</f>
        <v>0</v>
      </c>
      <c r="AS64" s="473">
        <f>блюда!AS342</f>
        <v>0</v>
      </c>
      <c r="AT64" s="473">
        <f>блюда!AT342</f>
        <v>0</v>
      </c>
      <c r="AU64" s="473">
        <f>блюда!AU342</f>
        <v>0</v>
      </c>
      <c r="AV64" s="473">
        <f>блюда!AV342</f>
        <v>0</v>
      </c>
      <c r="AW64" s="473">
        <f>блюда!AW342</f>
        <v>0</v>
      </c>
      <c r="AX64" s="473">
        <f>блюда!AX342</f>
        <v>0</v>
      </c>
      <c r="AY64" s="473">
        <f>блюда!AY342</f>
        <v>0</v>
      </c>
      <c r="AZ64" s="473">
        <f>блюда!AZ342</f>
        <v>0</v>
      </c>
      <c r="BA64" s="473">
        <f>блюда!BA342</f>
        <v>0</v>
      </c>
      <c r="BB64" s="473">
        <f>блюда!BB342</f>
        <v>0</v>
      </c>
      <c r="BC64" s="473">
        <f>блюда!BC342</f>
        <v>0</v>
      </c>
      <c r="BD64" s="473">
        <f>блюда!BD342</f>
        <v>0</v>
      </c>
      <c r="BE64" s="473">
        <f>блюда!BE342</f>
        <v>0</v>
      </c>
      <c r="BF64" s="473">
        <f>блюда!BF342</f>
        <v>0</v>
      </c>
      <c r="BG64" s="473">
        <f>блюда!BG342</f>
        <v>0</v>
      </c>
      <c r="BH64" s="473">
        <f>блюда!BH342</f>
        <v>0</v>
      </c>
      <c r="BI64" s="473">
        <f>блюда!BI342</f>
        <v>0</v>
      </c>
      <c r="BJ64" s="473">
        <f>блюда!BJ342</f>
        <v>0</v>
      </c>
      <c r="BK64" s="473">
        <f>блюда!BK342</f>
        <v>0</v>
      </c>
      <c r="BL64" s="473">
        <f>блюда!BL342</f>
        <v>0</v>
      </c>
      <c r="BM64" s="473">
        <f>блюда!BM342</f>
        <v>0</v>
      </c>
      <c r="BN64" s="473">
        <f>блюда!BN342</f>
        <v>0</v>
      </c>
      <c r="BO64" s="473">
        <f>блюда!BO342</f>
        <v>0</v>
      </c>
      <c r="BP64" s="473">
        <f>блюда!BP342</f>
        <v>0</v>
      </c>
      <c r="BQ64" s="473">
        <f>блюда!BQ342</f>
        <v>0</v>
      </c>
      <c r="BR64" s="473">
        <f>блюда!BR342</f>
        <v>0</v>
      </c>
      <c r="BS64" s="473">
        <f>блюда!BS342</f>
        <v>0</v>
      </c>
      <c r="BT64" s="473">
        <f>блюда!BT342</f>
        <v>0</v>
      </c>
      <c r="BU64" s="473">
        <f>блюда!BU342</f>
        <v>0</v>
      </c>
      <c r="BV64" s="473">
        <f>блюда!BV342</f>
        <v>0</v>
      </c>
      <c r="BW64" s="473">
        <f>блюда!BW342</f>
        <v>0</v>
      </c>
      <c r="BX64" s="473">
        <f>блюда!BX342</f>
        <v>0</v>
      </c>
      <c r="BY64" s="473">
        <f>блюда!BY342</f>
        <v>0</v>
      </c>
      <c r="BZ64" s="473">
        <f>блюда!BZ342</f>
        <v>0</v>
      </c>
      <c r="CA64" s="473">
        <f>блюда!CA342</f>
        <v>0</v>
      </c>
      <c r="CB64" s="473">
        <f>блюда!CB342</f>
        <v>0</v>
      </c>
      <c r="CC64" s="473">
        <f>блюда!CC342</f>
        <v>0</v>
      </c>
      <c r="CD64" s="473">
        <f>блюда!CD342</f>
        <v>0</v>
      </c>
      <c r="CE64" s="473">
        <f>блюда!CE342</f>
        <v>0</v>
      </c>
      <c r="CF64" s="473">
        <f>блюда!CF342</f>
        <v>0</v>
      </c>
      <c r="CG64" s="473">
        <f>блюда!CG342</f>
        <v>0</v>
      </c>
      <c r="CH64" s="473">
        <f>блюда!CH342</f>
        <v>0</v>
      </c>
      <c r="CI64" s="473">
        <f>блюда!CI342</f>
        <v>0</v>
      </c>
      <c r="CJ64" s="473">
        <f>блюда!CJ342</f>
        <v>0</v>
      </c>
      <c r="CK64" s="473">
        <f>блюда!CK342</f>
        <v>0</v>
      </c>
      <c r="CL64" s="473">
        <f>блюда!CL342</f>
        <v>0</v>
      </c>
      <c r="CM64" s="473">
        <f>блюда!CM342</f>
        <v>0</v>
      </c>
      <c r="CN64" s="473">
        <f>блюда!CN342</f>
        <v>0</v>
      </c>
      <c r="CO64" s="473">
        <f>блюда!CO342</f>
        <v>0</v>
      </c>
      <c r="CP64" s="473">
        <f>блюда!CP342</f>
        <v>0</v>
      </c>
      <c r="CQ64" s="473">
        <f>блюда!CQ342</f>
        <v>0</v>
      </c>
      <c r="CR64" s="473">
        <f>блюда!CR342</f>
        <v>0</v>
      </c>
      <c r="CS64" s="473">
        <f>блюда!CS342</f>
        <v>0</v>
      </c>
      <c r="CT64" s="473">
        <f>блюда!CT342</f>
        <v>0</v>
      </c>
      <c r="CU64" s="473">
        <f>блюда!CU342</f>
        <v>0</v>
      </c>
      <c r="CV64" s="473">
        <f>блюда!CV342</f>
        <v>0</v>
      </c>
      <c r="CW64" s="473">
        <f>блюда!CW342</f>
        <v>0</v>
      </c>
      <c r="CX64" s="473">
        <f>блюда!CX342</f>
        <v>0</v>
      </c>
      <c r="CY64" s="473">
        <f>блюда!CY342</f>
        <v>0</v>
      </c>
      <c r="CZ64" s="473">
        <f>блюда!CZ342</f>
        <v>0</v>
      </c>
      <c r="DA64" s="473">
        <f>блюда!DA342</f>
        <v>0</v>
      </c>
      <c r="DB64" s="473">
        <f>блюда!DB342</f>
        <v>0</v>
      </c>
      <c r="DC64" s="473">
        <f>блюда!DC342</f>
        <v>0</v>
      </c>
      <c r="DD64" s="473">
        <f>блюда!DD342</f>
        <v>0</v>
      </c>
      <c r="DE64" s="473">
        <f>блюда!DE342</f>
        <v>0</v>
      </c>
      <c r="DF64" s="473">
        <f>блюда!DF342</f>
        <v>0</v>
      </c>
      <c r="DG64" s="473">
        <f>блюда!DG342</f>
        <v>0</v>
      </c>
      <c r="DH64" s="473">
        <f>блюда!DH342</f>
        <v>0</v>
      </c>
      <c r="DI64" s="473">
        <f>блюда!DI342</f>
        <v>0</v>
      </c>
      <c r="DJ64" s="473">
        <f>блюда!DJ342</f>
        <v>0</v>
      </c>
      <c r="DK64" s="473">
        <f>блюда!DK342</f>
        <v>0</v>
      </c>
      <c r="DL64" s="473">
        <f>блюда!DL342</f>
        <v>0</v>
      </c>
      <c r="DM64" s="473">
        <f>блюда!DM342</f>
        <v>0</v>
      </c>
      <c r="DN64" s="473">
        <f>блюда!DN342</f>
        <v>0</v>
      </c>
      <c r="DO64" s="473">
        <f>блюда!DO342</f>
        <v>0</v>
      </c>
      <c r="DP64" s="473">
        <f>блюда!DP342</f>
        <v>0</v>
      </c>
      <c r="DQ64" s="473">
        <f>блюда!DQ342</f>
        <v>0</v>
      </c>
      <c r="DR64" s="473">
        <f>блюда!DR342</f>
        <v>0</v>
      </c>
      <c r="DS64" s="473">
        <f>блюда!DS342</f>
        <v>0</v>
      </c>
      <c r="DT64" s="473">
        <f>блюда!DT342</f>
        <v>0</v>
      </c>
      <c r="DU64" s="473">
        <f>блюда!DU342</f>
        <v>0</v>
      </c>
      <c r="DV64" s="473">
        <f>блюда!DV342</f>
        <v>0</v>
      </c>
      <c r="DW64" s="473">
        <f>блюда!DW342</f>
        <v>0</v>
      </c>
      <c r="DX64" s="473">
        <f>блюда!DX342</f>
        <v>0</v>
      </c>
      <c r="DY64" s="473">
        <f>блюда!DY342</f>
        <v>0</v>
      </c>
      <c r="DZ64" s="473">
        <f>блюда!DZ342</f>
        <v>0</v>
      </c>
      <c r="EA64" s="473">
        <f>блюда!EA342</f>
        <v>0.1</v>
      </c>
      <c r="EB64" s="473">
        <f>блюда!EB342</f>
        <v>0</v>
      </c>
      <c r="EC64" s="473">
        <f>блюда!EC342</f>
        <v>0</v>
      </c>
      <c r="ED64" s="473">
        <f>блюда!ED342</f>
        <v>0</v>
      </c>
      <c r="EE64" s="473">
        <f>блюда!EE342</f>
        <v>0</v>
      </c>
      <c r="EF64" s="473">
        <f>блюда!EF342</f>
        <v>0</v>
      </c>
      <c r="EG64" s="473">
        <f>блюда!EG342</f>
        <v>0</v>
      </c>
      <c r="EH64" s="473">
        <f>блюда!EH342</f>
        <v>0</v>
      </c>
      <c r="EI64" s="473">
        <f>блюда!EI342</f>
        <v>0</v>
      </c>
      <c r="EJ64" s="473">
        <f>блюда!EJ342</f>
        <v>0</v>
      </c>
      <c r="EK64" s="473">
        <f>блюда!EK342</f>
        <v>0</v>
      </c>
      <c r="EL64" s="473">
        <f>блюда!EL342</f>
        <v>0</v>
      </c>
      <c r="EM64" s="473">
        <f>блюда!EM342</f>
        <v>0</v>
      </c>
      <c r="EN64" s="473">
        <f>блюда!EN342</f>
        <v>0</v>
      </c>
      <c r="EO64" s="473">
        <f>блюда!EO342</f>
        <v>0</v>
      </c>
      <c r="EP64" s="473">
        <f>блюда!EP342</f>
        <v>0</v>
      </c>
      <c r="EQ64" s="473">
        <f>блюда!EQ342</f>
        <v>0</v>
      </c>
      <c r="ER64" s="473">
        <f>блюда!ER342</f>
        <v>0</v>
      </c>
      <c r="ES64" s="473">
        <f>блюда!ES342</f>
        <v>0</v>
      </c>
      <c r="ET64" s="473">
        <f>блюда!ET342</f>
        <v>0</v>
      </c>
      <c r="EU64" s="473">
        <f>блюда!EU342</f>
        <v>0</v>
      </c>
      <c r="EV64" s="473">
        <f>блюда!EV342</f>
        <v>0</v>
      </c>
      <c r="EW64" s="473">
        <f>блюда!EW342</f>
        <v>0</v>
      </c>
      <c r="EX64" s="473">
        <f>блюда!EX342</f>
        <v>0</v>
      </c>
      <c r="EY64" s="927">
        <f t="shared" si="5"/>
        <v>0.1</v>
      </c>
      <c r="EZ64" s="117"/>
      <c r="FA64" s="117"/>
      <c r="FB64" s="117"/>
      <c r="FC64" s="117"/>
      <c r="FD64" s="117"/>
      <c r="FE64" s="117"/>
      <c r="FF64" s="117"/>
      <c r="FG64" s="117"/>
      <c r="FH64" s="117"/>
      <c r="FI64" s="117"/>
      <c r="FJ64" s="117"/>
      <c r="FK64" s="117"/>
      <c r="FL64" s="117"/>
    </row>
    <row r="65" spans="1:169" x14ac:dyDescent="0.25">
      <c r="A65" s="1461"/>
      <c r="B65" s="576"/>
      <c r="C65" s="703"/>
      <c r="D65" s="431"/>
      <c r="E65" s="431"/>
      <c r="F65" s="431"/>
      <c r="G65" s="704"/>
      <c r="H65" s="703"/>
      <c r="I65" s="431"/>
      <c r="J65" s="473"/>
      <c r="K65" s="473"/>
      <c r="L65" s="473"/>
      <c r="M65" s="473"/>
      <c r="N65" s="473"/>
      <c r="O65" s="473"/>
      <c r="P65" s="473"/>
      <c r="Q65" s="473"/>
      <c r="R65" s="473"/>
      <c r="S65" s="473"/>
      <c r="T65" s="473"/>
      <c r="U65" s="473"/>
      <c r="V65" s="473"/>
      <c r="W65" s="473"/>
      <c r="X65" s="473"/>
      <c r="Y65" s="473"/>
      <c r="Z65" s="473"/>
      <c r="AA65" s="473"/>
      <c r="AB65" s="473"/>
      <c r="AC65" s="473"/>
      <c r="AD65" s="473"/>
      <c r="AE65" s="473"/>
      <c r="AF65" s="473"/>
      <c r="AG65" s="473"/>
      <c r="AH65" s="473"/>
      <c r="AI65" s="473"/>
      <c r="AJ65" s="473"/>
      <c r="AK65" s="473"/>
      <c r="AL65" s="473"/>
      <c r="AM65" s="473"/>
      <c r="AN65" s="473"/>
      <c r="AO65" s="473"/>
      <c r="AP65" s="473"/>
      <c r="AQ65" s="473"/>
      <c r="AR65" s="473"/>
      <c r="AS65" s="473"/>
      <c r="AT65" s="473"/>
      <c r="AU65" s="473"/>
      <c r="AV65" s="473"/>
      <c r="AW65" s="473"/>
      <c r="AX65" s="473"/>
      <c r="AY65" s="473"/>
      <c r="AZ65" s="473"/>
      <c r="BA65" s="473"/>
      <c r="BB65" s="473"/>
      <c r="BC65" s="473"/>
      <c r="BD65" s="473"/>
      <c r="BE65" s="473"/>
      <c r="BF65" s="473"/>
      <c r="BG65" s="473"/>
      <c r="BH65" s="473"/>
      <c r="BI65" s="473"/>
      <c r="BJ65" s="473"/>
      <c r="BK65" s="473"/>
      <c r="BL65" s="473"/>
      <c r="BM65" s="473"/>
      <c r="BN65" s="473"/>
      <c r="BO65" s="473"/>
      <c r="BP65" s="473"/>
      <c r="BQ65" s="473"/>
      <c r="BR65" s="473"/>
      <c r="BS65" s="473"/>
      <c r="BT65" s="473"/>
      <c r="BU65" s="473"/>
      <c r="BV65" s="473"/>
      <c r="BW65" s="473"/>
      <c r="BX65" s="473"/>
      <c r="BY65" s="473"/>
      <c r="BZ65" s="473"/>
      <c r="CA65" s="473"/>
      <c r="CB65" s="473"/>
      <c r="CC65" s="473"/>
      <c r="CD65" s="473"/>
      <c r="CE65" s="473"/>
      <c r="CF65" s="473"/>
      <c r="CG65" s="473"/>
      <c r="CH65" s="473"/>
      <c r="CI65" s="473"/>
      <c r="CJ65" s="473"/>
      <c r="CK65" s="473"/>
      <c r="CL65" s="473"/>
      <c r="CM65" s="473"/>
      <c r="CN65" s="473"/>
      <c r="CO65" s="473"/>
      <c r="CP65" s="473"/>
      <c r="CQ65" s="473"/>
      <c r="CR65" s="473"/>
      <c r="CS65" s="473"/>
      <c r="CT65" s="473"/>
      <c r="CU65" s="473"/>
      <c r="CV65" s="473"/>
      <c r="CW65" s="473"/>
      <c r="CX65" s="473"/>
      <c r="CY65" s="473"/>
      <c r="CZ65" s="473"/>
      <c r="DA65" s="473"/>
      <c r="DB65" s="473"/>
      <c r="DC65" s="473"/>
      <c r="DD65" s="473"/>
      <c r="DE65" s="473"/>
      <c r="DF65" s="473"/>
      <c r="DG65" s="473"/>
      <c r="DH65" s="473"/>
      <c r="DI65" s="473"/>
      <c r="DJ65" s="473"/>
      <c r="DK65" s="473"/>
      <c r="DL65" s="473"/>
      <c r="DM65" s="473"/>
      <c r="DN65" s="473"/>
      <c r="DO65" s="473"/>
      <c r="DP65" s="473"/>
      <c r="DQ65" s="473"/>
      <c r="DR65" s="473"/>
      <c r="DS65" s="473"/>
      <c r="DT65" s="473"/>
      <c r="DU65" s="473"/>
      <c r="DV65" s="473"/>
      <c r="DW65" s="473"/>
      <c r="DX65" s="473"/>
      <c r="DY65" s="473"/>
      <c r="DZ65" s="473"/>
      <c r="EA65" s="473"/>
      <c r="EB65" s="473"/>
      <c r="EC65" s="473"/>
      <c r="ED65" s="473"/>
      <c r="EE65" s="473"/>
      <c r="EF65" s="473"/>
      <c r="EG65" s="473"/>
      <c r="EH65" s="473"/>
      <c r="EI65" s="473"/>
      <c r="EJ65" s="473"/>
      <c r="EK65" s="473"/>
      <c r="EL65" s="473"/>
      <c r="EM65" s="473"/>
      <c r="EN65" s="473"/>
      <c r="EO65" s="473"/>
      <c r="EP65" s="473"/>
      <c r="EQ65" s="473"/>
      <c r="ER65" s="473"/>
      <c r="ES65" s="473"/>
      <c r="ET65" s="473"/>
      <c r="EU65" s="473"/>
      <c r="EV65" s="473"/>
      <c r="EW65" s="473"/>
      <c r="EX65" s="473"/>
      <c r="EY65" s="927">
        <f t="shared" si="5"/>
        <v>0</v>
      </c>
      <c r="EZ65" s="117"/>
      <c r="FA65" s="117"/>
      <c r="FB65" s="117"/>
      <c r="FC65" s="117"/>
      <c r="FD65" s="117"/>
      <c r="FE65" s="117"/>
      <c r="FF65" s="117"/>
      <c r="FG65" s="117"/>
      <c r="FH65" s="117"/>
      <c r="FI65" s="117"/>
      <c r="FJ65" s="117"/>
      <c r="FK65" s="117"/>
      <c r="FL65" s="117"/>
    </row>
    <row r="66" spans="1:169" ht="14.4" thickBot="1" x14ac:dyDescent="0.3">
      <c r="A66" s="411"/>
      <c r="B66" s="118" t="s">
        <v>113</v>
      </c>
      <c r="C66" s="840">
        <f>SUM(C57:C65)</f>
        <v>920</v>
      </c>
      <c r="D66" s="534">
        <f>SUM(D57:D65)</f>
        <v>23.72</v>
      </c>
      <c r="E66" s="534">
        <f t="shared" ref="E66:BC66" si="26">SUM(E57:E65)</f>
        <v>38.06</v>
      </c>
      <c r="F66" s="534">
        <f t="shared" si="26"/>
        <v>117.34</v>
      </c>
      <c r="G66" s="840">
        <f t="shared" si="26"/>
        <v>908</v>
      </c>
      <c r="H66" s="840"/>
      <c r="I66" s="842">
        <f t="shared" ref="I66" si="27">SUM(I57:I65)</f>
        <v>148.13</v>
      </c>
      <c r="J66" s="847">
        <f t="shared" si="26"/>
        <v>0</v>
      </c>
      <c r="K66" s="847">
        <f t="shared" si="26"/>
        <v>0</v>
      </c>
      <c r="L66" s="847">
        <f t="shared" si="26"/>
        <v>0</v>
      </c>
      <c r="M66" s="847">
        <f t="shared" si="26"/>
        <v>8.5000000000000006E-2</v>
      </c>
      <c r="N66" s="847">
        <f t="shared" si="26"/>
        <v>0</v>
      </c>
      <c r="O66" s="847">
        <f t="shared" si="26"/>
        <v>0</v>
      </c>
      <c r="P66" s="847">
        <f t="shared" si="26"/>
        <v>3.0000000000000001E-3</v>
      </c>
      <c r="Q66" s="847">
        <f t="shared" si="26"/>
        <v>0</v>
      </c>
      <c r="R66" s="847">
        <f t="shared" si="26"/>
        <v>0</v>
      </c>
      <c r="S66" s="847">
        <f t="shared" si="26"/>
        <v>0</v>
      </c>
      <c r="T66" s="847">
        <f t="shared" si="26"/>
        <v>0</v>
      </c>
      <c r="U66" s="847">
        <f t="shared" si="26"/>
        <v>4.6699999999999998E-2</v>
      </c>
      <c r="V66" s="847">
        <f t="shared" si="26"/>
        <v>5.8500000000000002E-3</v>
      </c>
      <c r="W66" s="847">
        <f t="shared" si="26"/>
        <v>0</v>
      </c>
      <c r="X66" s="847">
        <f t="shared" si="26"/>
        <v>0</v>
      </c>
      <c r="Y66" s="847">
        <f t="shared" si="26"/>
        <v>1.175E-2</v>
      </c>
      <c r="Z66" s="847">
        <f t="shared" si="26"/>
        <v>0</v>
      </c>
      <c r="AA66" s="847">
        <f t="shared" si="26"/>
        <v>0</v>
      </c>
      <c r="AB66" s="847">
        <f t="shared" si="26"/>
        <v>0</v>
      </c>
      <c r="AC66" s="847">
        <f t="shared" si="26"/>
        <v>0</v>
      </c>
      <c r="AD66" s="847">
        <f t="shared" si="26"/>
        <v>0</v>
      </c>
      <c r="AE66" s="847">
        <f t="shared" si="26"/>
        <v>0</v>
      </c>
      <c r="AF66" s="847">
        <f t="shared" si="26"/>
        <v>3.7499999999999999E-2</v>
      </c>
      <c r="AG66" s="847">
        <f t="shared" si="26"/>
        <v>0</v>
      </c>
      <c r="AH66" s="847">
        <f t="shared" si="26"/>
        <v>0.20424999999999999</v>
      </c>
      <c r="AI66" s="847">
        <f t="shared" si="26"/>
        <v>0</v>
      </c>
      <c r="AJ66" s="847">
        <f t="shared" si="26"/>
        <v>0</v>
      </c>
      <c r="AK66" s="847">
        <f t="shared" si="26"/>
        <v>1.9140000000000001E-2</v>
      </c>
      <c r="AL66" s="847">
        <f t="shared" si="26"/>
        <v>0</v>
      </c>
      <c r="AM66" s="847">
        <f t="shared" si="26"/>
        <v>0</v>
      </c>
      <c r="AN66" s="847">
        <f t="shared" si="26"/>
        <v>0.06</v>
      </c>
      <c r="AO66" s="847">
        <f t="shared" si="26"/>
        <v>0</v>
      </c>
      <c r="AP66" s="847">
        <f t="shared" si="26"/>
        <v>0</v>
      </c>
      <c r="AQ66" s="847">
        <f t="shared" si="26"/>
        <v>1.2500000000000001E-2</v>
      </c>
      <c r="AR66" s="847">
        <f t="shared" si="26"/>
        <v>0</v>
      </c>
      <c r="AS66" s="847">
        <f t="shared" si="26"/>
        <v>0</v>
      </c>
      <c r="AT66" s="847">
        <f t="shared" si="26"/>
        <v>0</v>
      </c>
      <c r="AU66" s="847">
        <f t="shared" si="26"/>
        <v>2E-3</v>
      </c>
      <c r="AV66" s="847">
        <f t="shared" si="26"/>
        <v>0</v>
      </c>
      <c r="AW66" s="847">
        <f t="shared" si="26"/>
        <v>0</v>
      </c>
      <c r="AX66" s="847">
        <f t="shared" si="26"/>
        <v>0</v>
      </c>
      <c r="AY66" s="847">
        <f t="shared" si="26"/>
        <v>0</v>
      </c>
      <c r="AZ66" s="847">
        <f t="shared" si="26"/>
        <v>0</v>
      </c>
      <c r="BA66" s="847">
        <f t="shared" si="26"/>
        <v>0</v>
      </c>
      <c r="BB66" s="847">
        <f t="shared" si="26"/>
        <v>0</v>
      </c>
      <c r="BC66" s="847">
        <f t="shared" si="26"/>
        <v>0</v>
      </c>
      <c r="BD66" s="847">
        <f t="shared" ref="BD66:DO66" si="28">SUM(BD57:BD65)</f>
        <v>0</v>
      </c>
      <c r="BE66" s="847">
        <f t="shared" si="28"/>
        <v>0</v>
      </c>
      <c r="BF66" s="847">
        <f t="shared" si="28"/>
        <v>0</v>
      </c>
      <c r="BG66" s="847">
        <f t="shared" si="28"/>
        <v>0</v>
      </c>
      <c r="BH66" s="847">
        <f t="shared" si="28"/>
        <v>0</v>
      </c>
      <c r="BI66" s="847">
        <f t="shared" si="28"/>
        <v>0</v>
      </c>
      <c r="BJ66" s="847">
        <f t="shared" si="28"/>
        <v>0</v>
      </c>
      <c r="BK66" s="847">
        <f t="shared" si="28"/>
        <v>0</v>
      </c>
      <c r="BL66" s="847">
        <f t="shared" si="28"/>
        <v>0</v>
      </c>
      <c r="BM66" s="847">
        <f t="shared" si="28"/>
        <v>0</v>
      </c>
      <c r="BN66" s="847">
        <f t="shared" si="28"/>
        <v>0</v>
      </c>
      <c r="BO66" s="847">
        <f t="shared" si="28"/>
        <v>0</v>
      </c>
      <c r="BP66" s="847">
        <f t="shared" si="28"/>
        <v>0</v>
      </c>
      <c r="BQ66" s="847">
        <f t="shared" si="28"/>
        <v>0</v>
      </c>
      <c r="BR66" s="847">
        <f t="shared" si="28"/>
        <v>4.5400000000000003E-2</v>
      </c>
      <c r="BS66" s="847">
        <f t="shared" si="28"/>
        <v>2.0300000000000001E-3</v>
      </c>
      <c r="BT66" s="847">
        <f t="shared" si="28"/>
        <v>0</v>
      </c>
      <c r="BU66" s="847">
        <f t="shared" si="28"/>
        <v>0</v>
      </c>
      <c r="BV66" s="847">
        <f t="shared" si="28"/>
        <v>0</v>
      </c>
      <c r="BW66" s="847">
        <f t="shared" si="28"/>
        <v>0</v>
      </c>
      <c r="BX66" s="847">
        <f t="shared" si="28"/>
        <v>0</v>
      </c>
      <c r="BY66" s="847">
        <f t="shared" si="28"/>
        <v>0</v>
      </c>
      <c r="BZ66" s="847">
        <f t="shared" si="28"/>
        <v>0</v>
      </c>
      <c r="CA66" s="847">
        <f t="shared" si="28"/>
        <v>0</v>
      </c>
      <c r="CB66" s="847">
        <f t="shared" si="28"/>
        <v>0.01</v>
      </c>
      <c r="CC66" s="847">
        <f t="shared" si="28"/>
        <v>0</v>
      </c>
      <c r="CD66" s="847">
        <f t="shared" si="28"/>
        <v>0</v>
      </c>
      <c r="CE66" s="847">
        <f t="shared" si="28"/>
        <v>0</v>
      </c>
      <c r="CF66" s="847">
        <f t="shared" si="28"/>
        <v>0.01</v>
      </c>
      <c r="CG66" s="847">
        <f t="shared" si="28"/>
        <v>0</v>
      </c>
      <c r="CH66" s="847">
        <f t="shared" si="28"/>
        <v>0</v>
      </c>
      <c r="CI66" s="847">
        <f t="shared" si="28"/>
        <v>0</v>
      </c>
      <c r="CJ66" s="847">
        <f t="shared" si="28"/>
        <v>0</v>
      </c>
      <c r="CK66" s="847">
        <f t="shared" si="28"/>
        <v>0</v>
      </c>
      <c r="CL66" s="847">
        <f t="shared" si="28"/>
        <v>0</v>
      </c>
      <c r="CM66" s="847">
        <f t="shared" si="28"/>
        <v>0</v>
      </c>
      <c r="CN66" s="847">
        <f t="shared" si="28"/>
        <v>0</v>
      </c>
      <c r="CO66" s="847">
        <f t="shared" si="28"/>
        <v>0</v>
      </c>
      <c r="CP66" s="847">
        <f t="shared" si="28"/>
        <v>0</v>
      </c>
      <c r="CQ66" s="847">
        <f t="shared" si="28"/>
        <v>2.0000000000000001E-4</v>
      </c>
      <c r="CR66" s="847">
        <f t="shared" si="28"/>
        <v>0</v>
      </c>
      <c r="CS66" s="847">
        <f t="shared" si="28"/>
        <v>1.0000000000000001E-5</v>
      </c>
      <c r="CT66" s="847">
        <f t="shared" si="28"/>
        <v>0</v>
      </c>
      <c r="CU66" s="847">
        <f t="shared" si="28"/>
        <v>0</v>
      </c>
      <c r="CV66" s="847">
        <f t="shared" si="28"/>
        <v>0</v>
      </c>
      <c r="CW66" s="847">
        <f t="shared" si="28"/>
        <v>0</v>
      </c>
      <c r="CX66" s="847">
        <f t="shared" si="28"/>
        <v>0</v>
      </c>
      <c r="CY66" s="847">
        <f t="shared" si="28"/>
        <v>0</v>
      </c>
      <c r="CZ66" s="847">
        <f t="shared" si="28"/>
        <v>2.4E-2</v>
      </c>
      <c r="DA66" s="847">
        <f t="shared" si="28"/>
        <v>0</v>
      </c>
      <c r="DB66" s="847">
        <f t="shared" si="28"/>
        <v>0</v>
      </c>
      <c r="DC66" s="847">
        <f t="shared" si="28"/>
        <v>7.7200000000000003E-3</v>
      </c>
      <c r="DD66" s="847">
        <f t="shared" si="28"/>
        <v>8.0000000000000002E-3</v>
      </c>
      <c r="DE66" s="847">
        <f t="shared" si="28"/>
        <v>0</v>
      </c>
      <c r="DF66" s="847">
        <f t="shared" si="28"/>
        <v>3.0000000000000001E-3</v>
      </c>
      <c r="DG66" s="847">
        <f t="shared" si="28"/>
        <v>0</v>
      </c>
      <c r="DH66" s="847">
        <f t="shared" si="28"/>
        <v>0</v>
      </c>
      <c r="DI66" s="847">
        <f t="shared" si="28"/>
        <v>0</v>
      </c>
      <c r="DJ66" s="847">
        <f t="shared" si="28"/>
        <v>0</v>
      </c>
      <c r="DK66" s="847">
        <f t="shared" si="28"/>
        <v>0</v>
      </c>
      <c r="DL66" s="847">
        <f t="shared" si="28"/>
        <v>0</v>
      </c>
      <c r="DM66" s="847">
        <f t="shared" si="28"/>
        <v>0</v>
      </c>
      <c r="DN66" s="847">
        <f t="shared" si="28"/>
        <v>0</v>
      </c>
      <c r="DO66" s="847">
        <f t="shared" si="28"/>
        <v>0</v>
      </c>
      <c r="DP66" s="847">
        <f t="shared" ref="DP66:EX66" si="29">SUM(DP57:DP65)</f>
        <v>0</v>
      </c>
      <c r="DQ66" s="847">
        <f t="shared" si="29"/>
        <v>0</v>
      </c>
      <c r="DR66" s="847">
        <f t="shared" si="29"/>
        <v>0</v>
      </c>
      <c r="DS66" s="847">
        <f t="shared" si="29"/>
        <v>0</v>
      </c>
      <c r="DT66" s="847">
        <f t="shared" si="29"/>
        <v>0</v>
      </c>
      <c r="DU66" s="847">
        <f t="shared" si="29"/>
        <v>0</v>
      </c>
      <c r="DV66" s="847">
        <f t="shared" si="29"/>
        <v>0</v>
      </c>
      <c r="DW66" s="847">
        <f t="shared" si="29"/>
        <v>0</v>
      </c>
      <c r="DX66" s="847">
        <f t="shared" si="29"/>
        <v>0</v>
      </c>
      <c r="DY66" s="847">
        <f t="shared" si="29"/>
        <v>0</v>
      </c>
      <c r="DZ66" s="847">
        <f t="shared" si="29"/>
        <v>0</v>
      </c>
      <c r="EA66" s="847">
        <f t="shared" si="29"/>
        <v>0.1</v>
      </c>
      <c r="EB66" s="847">
        <f t="shared" si="29"/>
        <v>0</v>
      </c>
      <c r="EC66" s="847">
        <f t="shared" si="29"/>
        <v>0</v>
      </c>
      <c r="ED66" s="847">
        <f t="shared" si="29"/>
        <v>0</v>
      </c>
      <c r="EE66" s="847">
        <f t="shared" si="29"/>
        <v>0</v>
      </c>
      <c r="EF66" s="847">
        <f t="shared" si="29"/>
        <v>0</v>
      </c>
      <c r="EG66" s="847">
        <f t="shared" si="29"/>
        <v>0</v>
      </c>
      <c r="EH66" s="847">
        <f t="shared" si="29"/>
        <v>0</v>
      </c>
      <c r="EI66" s="847">
        <f t="shared" si="29"/>
        <v>0</v>
      </c>
      <c r="EJ66" s="847">
        <f t="shared" si="29"/>
        <v>0</v>
      </c>
      <c r="EK66" s="847">
        <f t="shared" si="29"/>
        <v>0</v>
      </c>
      <c r="EL66" s="847">
        <f t="shared" si="29"/>
        <v>0</v>
      </c>
      <c r="EM66" s="847">
        <f t="shared" si="29"/>
        <v>0</v>
      </c>
      <c r="EN66" s="847">
        <f t="shared" si="29"/>
        <v>0</v>
      </c>
      <c r="EO66" s="847">
        <f t="shared" si="29"/>
        <v>0</v>
      </c>
      <c r="EP66" s="847">
        <f t="shared" si="29"/>
        <v>0</v>
      </c>
      <c r="EQ66" s="847">
        <f t="shared" si="29"/>
        <v>0</v>
      </c>
      <c r="ER66" s="847">
        <f t="shared" si="29"/>
        <v>0</v>
      </c>
      <c r="ES66" s="847">
        <f t="shared" si="29"/>
        <v>0</v>
      </c>
      <c r="ET66" s="847">
        <f t="shared" si="29"/>
        <v>0</v>
      </c>
      <c r="EU66" s="847">
        <f t="shared" si="29"/>
        <v>0</v>
      </c>
      <c r="EV66" s="847">
        <f t="shared" si="29"/>
        <v>3.4000000000000002E-2</v>
      </c>
      <c r="EW66" s="847">
        <f t="shared" si="29"/>
        <v>0.03</v>
      </c>
      <c r="EX66" s="847">
        <f t="shared" si="29"/>
        <v>0</v>
      </c>
      <c r="EY66" s="861">
        <f t="shared" ref="EY66:FL66" si="30">SUM(EY57:EY65)</f>
        <v>0.7621</v>
      </c>
      <c r="EZ66" s="534">
        <f t="shared" si="30"/>
        <v>0</v>
      </c>
      <c r="FA66" s="534">
        <f t="shared" si="30"/>
        <v>0</v>
      </c>
      <c r="FB66" s="534">
        <f t="shared" si="30"/>
        <v>0</v>
      </c>
      <c r="FC66" s="534">
        <f t="shared" si="30"/>
        <v>0</v>
      </c>
      <c r="FD66" s="534">
        <f t="shared" si="30"/>
        <v>0</v>
      </c>
      <c r="FE66" s="534">
        <f t="shared" si="30"/>
        <v>0</v>
      </c>
      <c r="FF66" s="534">
        <f t="shared" si="30"/>
        <v>0</v>
      </c>
      <c r="FG66" s="534">
        <f t="shared" si="30"/>
        <v>0</v>
      </c>
      <c r="FH66" s="534">
        <f t="shared" si="30"/>
        <v>0</v>
      </c>
      <c r="FI66" s="534">
        <f t="shared" si="30"/>
        <v>0</v>
      </c>
      <c r="FJ66" s="534">
        <f t="shared" si="30"/>
        <v>0</v>
      </c>
      <c r="FK66" s="534">
        <f t="shared" si="30"/>
        <v>0</v>
      </c>
      <c r="FL66" s="534">
        <f t="shared" si="30"/>
        <v>0</v>
      </c>
    </row>
    <row r="67" spans="1:169" hidden="1" x14ac:dyDescent="0.25">
      <c r="A67" s="1459" t="s">
        <v>800</v>
      </c>
      <c r="B67" s="115"/>
      <c r="C67" s="704"/>
      <c r="D67" s="117"/>
      <c r="E67" s="117"/>
      <c r="F67" s="117"/>
      <c r="G67" s="704"/>
      <c r="H67" s="704"/>
      <c r="I67" s="431"/>
      <c r="J67" s="703"/>
      <c r="K67" s="703"/>
      <c r="L67" s="703"/>
      <c r="M67" s="703"/>
      <c r="N67" s="703"/>
      <c r="O67" s="703"/>
      <c r="P67" s="703"/>
      <c r="Q67" s="703"/>
      <c r="R67" s="703"/>
      <c r="S67" s="703"/>
      <c r="T67" s="703"/>
      <c r="U67" s="703"/>
      <c r="V67" s="703"/>
      <c r="W67" s="703"/>
      <c r="X67" s="703"/>
      <c r="Y67" s="703"/>
      <c r="Z67" s="703"/>
      <c r="AA67" s="703"/>
      <c r="AB67" s="703"/>
      <c r="AC67" s="703"/>
      <c r="AD67" s="703"/>
      <c r="AE67" s="703"/>
      <c r="AF67" s="703"/>
      <c r="AG67" s="703"/>
      <c r="AH67" s="703"/>
      <c r="AI67" s="703"/>
      <c r="AJ67" s="703"/>
      <c r="AK67" s="703"/>
      <c r="AL67" s="703"/>
      <c r="AM67" s="703"/>
      <c r="AN67" s="703"/>
      <c r="AO67" s="703"/>
      <c r="AP67" s="703"/>
      <c r="AQ67" s="703"/>
      <c r="AR67" s="703"/>
      <c r="AS67" s="703"/>
      <c r="AT67" s="703"/>
      <c r="AU67" s="703"/>
      <c r="AV67" s="703"/>
      <c r="AW67" s="703"/>
      <c r="AX67" s="703"/>
      <c r="AY67" s="703"/>
      <c r="AZ67" s="703"/>
      <c r="BA67" s="703"/>
      <c r="BB67" s="703"/>
      <c r="BC67" s="703"/>
      <c r="BD67" s="703"/>
      <c r="BE67" s="703"/>
      <c r="BF67" s="703"/>
      <c r="BG67" s="703"/>
      <c r="BH67" s="703"/>
      <c r="BI67" s="703"/>
      <c r="BJ67" s="703"/>
      <c r="BK67" s="703"/>
      <c r="BL67" s="703"/>
      <c r="BM67" s="703"/>
      <c r="BN67" s="703"/>
      <c r="BO67" s="703"/>
      <c r="BP67" s="703"/>
      <c r="BQ67" s="703"/>
      <c r="BR67" s="703"/>
      <c r="BS67" s="703"/>
      <c r="BT67" s="703"/>
      <c r="BU67" s="703"/>
      <c r="BV67" s="703"/>
      <c r="BW67" s="703"/>
      <c r="BX67" s="703"/>
      <c r="BY67" s="703"/>
      <c r="BZ67" s="703"/>
      <c r="CA67" s="703"/>
      <c r="CB67" s="703"/>
      <c r="CC67" s="703"/>
      <c r="CD67" s="703"/>
      <c r="CE67" s="703"/>
      <c r="CF67" s="703"/>
      <c r="CG67" s="703"/>
      <c r="CH67" s="703"/>
      <c r="CI67" s="703"/>
      <c r="CJ67" s="703"/>
      <c r="CK67" s="703"/>
      <c r="CL67" s="703"/>
      <c r="CM67" s="703"/>
      <c r="CN67" s="703"/>
      <c r="CO67" s="703"/>
      <c r="CP67" s="703"/>
      <c r="CQ67" s="703"/>
      <c r="CR67" s="703"/>
      <c r="CS67" s="703"/>
      <c r="CT67" s="703"/>
      <c r="CU67" s="703"/>
      <c r="CV67" s="703"/>
      <c r="CW67" s="703"/>
      <c r="CX67" s="703"/>
      <c r="CY67" s="703"/>
      <c r="CZ67" s="703"/>
      <c r="DA67" s="703"/>
      <c r="DB67" s="703"/>
      <c r="DC67" s="703"/>
      <c r="DD67" s="703"/>
      <c r="DE67" s="703"/>
      <c r="DF67" s="703"/>
      <c r="DG67" s="703"/>
      <c r="DH67" s="703"/>
      <c r="DI67" s="703"/>
      <c r="DJ67" s="703"/>
      <c r="DK67" s="703"/>
      <c r="DL67" s="703"/>
      <c r="DM67" s="703"/>
      <c r="DN67" s="703"/>
      <c r="DO67" s="703"/>
      <c r="DP67" s="703"/>
      <c r="DQ67" s="703"/>
      <c r="DR67" s="703"/>
      <c r="DS67" s="703"/>
      <c r="DT67" s="703"/>
      <c r="DU67" s="703"/>
      <c r="DV67" s="703"/>
      <c r="DW67" s="703"/>
      <c r="DX67" s="703"/>
      <c r="DY67" s="703"/>
      <c r="DZ67" s="703"/>
      <c r="EA67" s="703"/>
      <c r="EB67" s="703"/>
      <c r="EC67" s="703"/>
      <c r="ED67" s="703"/>
      <c r="EE67" s="703"/>
      <c r="EF67" s="703"/>
      <c r="EG67" s="703"/>
      <c r="EH67" s="703"/>
      <c r="EI67" s="703"/>
      <c r="EJ67" s="703"/>
      <c r="EK67" s="703"/>
      <c r="EL67" s="703"/>
      <c r="EM67" s="703"/>
      <c r="EN67" s="703"/>
      <c r="EO67" s="703"/>
      <c r="EP67" s="703"/>
      <c r="EQ67" s="703"/>
      <c r="ER67" s="703"/>
      <c r="ES67" s="703"/>
      <c r="ET67" s="703"/>
      <c r="EU67" s="703"/>
      <c r="EV67" s="703"/>
      <c r="EW67" s="703"/>
      <c r="EX67" s="703"/>
      <c r="EY67" s="927">
        <f t="shared" si="5"/>
        <v>0</v>
      </c>
      <c r="EZ67" s="117"/>
      <c r="FA67" s="117"/>
      <c r="FB67" s="117"/>
      <c r="FC67" s="117"/>
      <c r="FD67" s="117"/>
      <c r="FE67" s="117"/>
      <c r="FF67" s="117"/>
      <c r="FG67" s="117"/>
      <c r="FH67" s="117"/>
      <c r="FI67" s="117"/>
      <c r="FJ67" s="117"/>
      <c r="FK67" s="117"/>
      <c r="FL67" s="117"/>
    </row>
    <row r="68" spans="1:169" hidden="1" x14ac:dyDescent="0.25">
      <c r="A68" s="1460"/>
      <c r="B68" s="115"/>
      <c r="C68" s="704"/>
      <c r="D68" s="117"/>
      <c r="E68" s="117"/>
      <c r="F68" s="117"/>
      <c r="G68" s="704"/>
      <c r="H68" s="704"/>
      <c r="I68" s="431"/>
      <c r="J68" s="703"/>
      <c r="K68" s="703"/>
      <c r="L68" s="703"/>
      <c r="M68" s="703"/>
      <c r="N68" s="703"/>
      <c r="O68" s="703"/>
      <c r="P68" s="703"/>
      <c r="Q68" s="703"/>
      <c r="R68" s="703"/>
      <c r="S68" s="703"/>
      <c r="T68" s="703"/>
      <c r="U68" s="703"/>
      <c r="V68" s="703"/>
      <c r="W68" s="703"/>
      <c r="X68" s="703"/>
      <c r="Y68" s="703"/>
      <c r="Z68" s="703"/>
      <c r="AA68" s="703"/>
      <c r="AB68" s="703"/>
      <c r="AC68" s="703"/>
      <c r="AD68" s="703"/>
      <c r="AE68" s="703"/>
      <c r="AF68" s="703"/>
      <c r="AG68" s="703"/>
      <c r="AH68" s="703"/>
      <c r="AI68" s="703"/>
      <c r="AJ68" s="703"/>
      <c r="AK68" s="703"/>
      <c r="AL68" s="703"/>
      <c r="AM68" s="703"/>
      <c r="AN68" s="703"/>
      <c r="AO68" s="703"/>
      <c r="AP68" s="703"/>
      <c r="AQ68" s="703"/>
      <c r="AR68" s="703"/>
      <c r="AS68" s="703"/>
      <c r="AT68" s="703"/>
      <c r="AU68" s="703"/>
      <c r="AV68" s="703"/>
      <c r="AW68" s="703"/>
      <c r="AX68" s="703"/>
      <c r="AY68" s="703"/>
      <c r="AZ68" s="703"/>
      <c r="BA68" s="703"/>
      <c r="BB68" s="703"/>
      <c r="BC68" s="703"/>
      <c r="BD68" s="703"/>
      <c r="BE68" s="703"/>
      <c r="BF68" s="703"/>
      <c r="BG68" s="703"/>
      <c r="BH68" s="703"/>
      <c r="BI68" s="703"/>
      <c r="BJ68" s="703"/>
      <c r="BK68" s="703"/>
      <c r="BL68" s="703"/>
      <c r="BM68" s="703"/>
      <c r="BN68" s="703"/>
      <c r="BO68" s="703"/>
      <c r="BP68" s="703"/>
      <c r="BQ68" s="703"/>
      <c r="BR68" s="703"/>
      <c r="BS68" s="703"/>
      <c r="BT68" s="703"/>
      <c r="BU68" s="703"/>
      <c r="BV68" s="703"/>
      <c r="BW68" s="703"/>
      <c r="BX68" s="703"/>
      <c r="BY68" s="703"/>
      <c r="BZ68" s="703"/>
      <c r="CA68" s="703"/>
      <c r="CB68" s="703"/>
      <c r="CC68" s="703"/>
      <c r="CD68" s="703"/>
      <c r="CE68" s="703"/>
      <c r="CF68" s="703"/>
      <c r="CG68" s="703"/>
      <c r="CH68" s="703"/>
      <c r="CI68" s="703"/>
      <c r="CJ68" s="703"/>
      <c r="CK68" s="703"/>
      <c r="CL68" s="703"/>
      <c r="CM68" s="703"/>
      <c r="CN68" s="703"/>
      <c r="CO68" s="703"/>
      <c r="CP68" s="703"/>
      <c r="CQ68" s="703"/>
      <c r="CR68" s="703"/>
      <c r="CS68" s="703"/>
      <c r="CT68" s="703"/>
      <c r="CU68" s="703"/>
      <c r="CV68" s="703"/>
      <c r="CW68" s="703"/>
      <c r="CX68" s="703"/>
      <c r="CY68" s="703"/>
      <c r="CZ68" s="703"/>
      <c r="DA68" s="703"/>
      <c r="DB68" s="703"/>
      <c r="DC68" s="703"/>
      <c r="DD68" s="703"/>
      <c r="DE68" s="703"/>
      <c r="DF68" s="703"/>
      <c r="DG68" s="703"/>
      <c r="DH68" s="703"/>
      <c r="DI68" s="703"/>
      <c r="DJ68" s="703"/>
      <c r="DK68" s="703"/>
      <c r="DL68" s="703"/>
      <c r="DM68" s="703"/>
      <c r="DN68" s="703"/>
      <c r="DO68" s="703"/>
      <c r="DP68" s="703"/>
      <c r="DQ68" s="703"/>
      <c r="DR68" s="703"/>
      <c r="DS68" s="703"/>
      <c r="DT68" s="703"/>
      <c r="DU68" s="703"/>
      <c r="DV68" s="703"/>
      <c r="DW68" s="703"/>
      <c r="DX68" s="703"/>
      <c r="DY68" s="703"/>
      <c r="DZ68" s="703"/>
      <c r="EA68" s="703"/>
      <c r="EB68" s="703"/>
      <c r="EC68" s="703"/>
      <c r="ED68" s="703"/>
      <c r="EE68" s="703"/>
      <c r="EF68" s="703"/>
      <c r="EG68" s="703"/>
      <c r="EH68" s="703"/>
      <c r="EI68" s="703"/>
      <c r="EJ68" s="703"/>
      <c r="EK68" s="703"/>
      <c r="EL68" s="703"/>
      <c r="EM68" s="703"/>
      <c r="EN68" s="703"/>
      <c r="EO68" s="703"/>
      <c r="EP68" s="703"/>
      <c r="EQ68" s="703"/>
      <c r="ER68" s="703"/>
      <c r="ES68" s="703"/>
      <c r="ET68" s="703"/>
      <c r="EU68" s="703"/>
      <c r="EV68" s="703"/>
      <c r="EW68" s="703"/>
      <c r="EX68" s="703"/>
      <c r="EY68" s="927">
        <f t="shared" si="5"/>
        <v>0</v>
      </c>
      <c r="EZ68" s="117"/>
      <c r="FA68" s="117"/>
      <c r="FB68" s="117"/>
      <c r="FC68" s="117"/>
      <c r="FD68" s="117"/>
      <c r="FE68" s="117"/>
      <c r="FF68" s="117"/>
      <c r="FG68" s="117"/>
      <c r="FH68" s="117"/>
      <c r="FI68" s="117"/>
      <c r="FJ68" s="117"/>
      <c r="FK68" s="117"/>
      <c r="FL68" s="117"/>
    </row>
    <row r="69" spans="1:169" hidden="1" x14ac:dyDescent="0.25">
      <c r="A69" s="1460"/>
      <c r="B69" s="115"/>
      <c r="C69" s="704"/>
      <c r="D69" s="117"/>
      <c r="E69" s="117"/>
      <c r="F69" s="117"/>
      <c r="G69" s="704"/>
      <c r="H69" s="704"/>
      <c r="I69" s="431"/>
      <c r="J69" s="703"/>
      <c r="K69" s="703"/>
      <c r="L69" s="703"/>
      <c r="M69" s="703"/>
      <c r="N69" s="703"/>
      <c r="O69" s="703"/>
      <c r="P69" s="703"/>
      <c r="Q69" s="703"/>
      <c r="R69" s="703"/>
      <c r="S69" s="703"/>
      <c r="T69" s="703"/>
      <c r="U69" s="703"/>
      <c r="V69" s="703"/>
      <c r="W69" s="703"/>
      <c r="X69" s="703"/>
      <c r="Y69" s="703"/>
      <c r="Z69" s="703"/>
      <c r="AA69" s="703"/>
      <c r="AB69" s="703"/>
      <c r="AC69" s="703"/>
      <c r="AD69" s="703"/>
      <c r="AE69" s="703"/>
      <c r="AF69" s="703"/>
      <c r="AG69" s="703"/>
      <c r="AH69" s="703"/>
      <c r="AI69" s="703"/>
      <c r="AJ69" s="703"/>
      <c r="AK69" s="703"/>
      <c r="AL69" s="703"/>
      <c r="AM69" s="703"/>
      <c r="AN69" s="703"/>
      <c r="AO69" s="703"/>
      <c r="AP69" s="703"/>
      <c r="AQ69" s="703"/>
      <c r="AR69" s="703"/>
      <c r="AS69" s="703"/>
      <c r="AT69" s="703"/>
      <c r="AU69" s="703"/>
      <c r="AV69" s="703"/>
      <c r="AW69" s="703"/>
      <c r="AX69" s="703"/>
      <c r="AY69" s="703"/>
      <c r="AZ69" s="703"/>
      <c r="BA69" s="703"/>
      <c r="BB69" s="703"/>
      <c r="BC69" s="703"/>
      <c r="BD69" s="703"/>
      <c r="BE69" s="703"/>
      <c r="BF69" s="703"/>
      <c r="BG69" s="703"/>
      <c r="BH69" s="703"/>
      <c r="BI69" s="703"/>
      <c r="BJ69" s="703"/>
      <c r="BK69" s="703"/>
      <c r="BL69" s="703"/>
      <c r="BM69" s="703"/>
      <c r="BN69" s="703"/>
      <c r="BO69" s="703"/>
      <c r="BP69" s="703"/>
      <c r="BQ69" s="703"/>
      <c r="BR69" s="703"/>
      <c r="BS69" s="703"/>
      <c r="BT69" s="703"/>
      <c r="BU69" s="703"/>
      <c r="BV69" s="703"/>
      <c r="BW69" s="703"/>
      <c r="BX69" s="703"/>
      <c r="BY69" s="703"/>
      <c r="BZ69" s="703"/>
      <c r="CA69" s="703"/>
      <c r="CB69" s="703"/>
      <c r="CC69" s="703"/>
      <c r="CD69" s="703"/>
      <c r="CE69" s="703"/>
      <c r="CF69" s="703"/>
      <c r="CG69" s="703"/>
      <c r="CH69" s="703"/>
      <c r="CI69" s="703"/>
      <c r="CJ69" s="703"/>
      <c r="CK69" s="703"/>
      <c r="CL69" s="703"/>
      <c r="CM69" s="703"/>
      <c r="CN69" s="703"/>
      <c r="CO69" s="703"/>
      <c r="CP69" s="703"/>
      <c r="CQ69" s="703"/>
      <c r="CR69" s="703"/>
      <c r="CS69" s="703"/>
      <c r="CT69" s="703"/>
      <c r="CU69" s="703"/>
      <c r="CV69" s="703"/>
      <c r="CW69" s="703"/>
      <c r="CX69" s="703"/>
      <c r="CY69" s="703"/>
      <c r="CZ69" s="703"/>
      <c r="DA69" s="703"/>
      <c r="DB69" s="703"/>
      <c r="DC69" s="703"/>
      <c r="DD69" s="703"/>
      <c r="DE69" s="703"/>
      <c r="DF69" s="703"/>
      <c r="DG69" s="703"/>
      <c r="DH69" s="703"/>
      <c r="DI69" s="703"/>
      <c r="DJ69" s="703"/>
      <c r="DK69" s="703"/>
      <c r="DL69" s="703"/>
      <c r="DM69" s="703"/>
      <c r="DN69" s="703"/>
      <c r="DO69" s="703"/>
      <c r="DP69" s="703"/>
      <c r="DQ69" s="703"/>
      <c r="DR69" s="703"/>
      <c r="DS69" s="703"/>
      <c r="DT69" s="703"/>
      <c r="DU69" s="703"/>
      <c r="DV69" s="703"/>
      <c r="DW69" s="703"/>
      <c r="DX69" s="703"/>
      <c r="DY69" s="703"/>
      <c r="DZ69" s="703"/>
      <c r="EA69" s="703"/>
      <c r="EB69" s="703"/>
      <c r="EC69" s="703"/>
      <c r="ED69" s="703"/>
      <c r="EE69" s="703"/>
      <c r="EF69" s="703"/>
      <c r="EG69" s="703"/>
      <c r="EH69" s="703"/>
      <c r="EI69" s="703"/>
      <c r="EJ69" s="703"/>
      <c r="EK69" s="703"/>
      <c r="EL69" s="703"/>
      <c r="EM69" s="703"/>
      <c r="EN69" s="703"/>
      <c r="EO69" s="703"/>
      <c r="EP69" s="703"/>
      <c r="EQ69" s="703"/>
      <c r="ER69" s="703"/>
      <c r="ES69" s="703"/>
      <c r="ET69" s="703"/>
      <c r="EU69" s="703"/>
      <c r="EV69" s="703"/>
      <c r="EW69" s="703"/>
      <c r="EX69" s="703"/>
      <c r="EY69" s="927">
        <f t="shared" si="5"/>
        <v>0</v>
      </c>
      <c r="EZ69" s="117"/>
      <c r="FA69" s="117"/>
      <c r="FB69" s="117"/>
      <c r="FC69" s="117"/>
      <c r="FD69" s="117"/>
      <c r="FE69" s="117"/>
      <c r="FF69" s="117"/>
      <c r="FG69" s="117"/>
      <c r="FH69" s="117"/>
      <c r="FI69" s="117"/>
      <c r="FJ69" s="117"/>
      <c r="FK69" s="117"/>
      <c r="FL69" s="117"/>
    </row>
    <row r="70" spans="1:169" hidden="1" x14ac:dyDescent="0.25">
      <c r="A70" s="1460"/>
      <c r="B70" s="115"/>
      <c r="C70" s="704"/>
      <c r="D70" s="117"/>
      <c r="E70" s="117"/>
      <c r="F70" s="117"/>
      <c r="G70" s="704"/>
      <c r="H70" s="704"/>
      <c r="I70" s="431"/>
      <c r="J70" s="703"/>
      <c r="K70" s="703"/>
      <c r="L70" s="703"/>
      <c r="M70" s="703"/>
      <c r="N70" s="703"/>
      <c r="O70" s="703"/>
      <c r="P70" s="703"/>
      <c r="Q70" s="703"/>
      <c r="R70" s="703"/>
      <c r="S70" s="703"/>
      <c r="T70" s="703"/>
      <c r="U70" s="703"/>
      <c r="V70" s="703"/>
      <c r="W70" s="703"/>
      <c r="X70" s="703"/>
      <c r="Y70" s="703"/>
      <c r="Z70" s="703"/>
      <c r="AA70" s="703"/>
      <c r="AB70" s="703"/>
      <c r="AC70" s="703"/>
      <c r="AD70" s="703"/>
      <c r="AE70" s="703"/>
      <c r="AF70" s="703"/>
      <c r="AG70" s="703"/>
      <c r="AH70" s="703"/>
      <c r="AI70" s="703"/>
      <c r="AJ70" s="703"/>
      <c r="AK70" s="703"/>
      <c r="AL70" s="703"/>
      <c r="AM70" s="703"/>
      <c r="AN70" s="703"/>
      <c r="AO70" s="703"/>
      <c r="AP70" s="703"/>
      <c r="AQ70" s="703"/>
      <c r="AR70" s="703"/>
      <c r="AS70" s="703"/>
      <c r="AT70" s="703"/>
      <c r="AU70" s="703"/>
      <c r="AV70" s="703"/>
      <c r="AW70" s="703"/>
      <c r="AX70" s="703"/>
      <c r="AY70" s="703"/>
      <c r="AZ70" s="703"/>
      <c r="BA70" s="703"/>
      <c r="BB70" s="703"/>
      <c r="BC70" s="703"/>
      <c r="BD70" s="703"/>
      <c r="BE70" s="703"/>
      <c r="BF70" s="703"/>
      <c r="BG70" s="703"/>
      <c r="BH70" s="703"/>
      <c r="BI70" s="703"/>
      <c r="BJ70" s="703"/>
      <c r="BK70" s="703"/>
      <c r="BL70" s="703"/>
      <c r="BM70" s="703"/>
      <c r="BN70" s="703"/>
      <c r="BO70" s="703"/>
      <c r="BP70" s="703"/>
      <c r="BQ70" s="703"/>
      <c r="BR70" s="703"/>
      <c r="BS70" s="703"/>
      <c r="BT70" s="703"/>
      <c r="BU70" s="703"/>
      <c r="BV70" s="703"/>
      <c r="BW70" s="703"/>
      <c r="BX70" s="703"/>
      <c r="BY70" s="703"/>
      <c r="BZ70" s="703"/>
      <c r="CA70" s="703"/>
      <c r="CB70" s="703"/>
      <c r="CC70" s="703"/>
      <c r="CD70" s="703"/>
      <c r="CE70" s="703"/>
      <c r="CF70" s="703"/>
      <c r="CG70" s="703"/>
      <c r="CH70" s="703"/>
      <c r="CI70" s="703"/>
      <c r="CJ70" s="703"/>
      <c r="CK70" s="703"/>
      <c r="CL70" s="703"/>
      <c r="CM70" s="703"/>
      <c r="CN70" s="703"/>
      <c r="CO70" s="703"/>
      <c r="CP70" s="703"/>
      <c r="CQ70" s="703"/>
      <c r="CR70" s="703"/>
      <c r="CS70" s="703"/>
      <c r="CT70" s="703"/>
      <c r="CU70" s="703"/>
      <c r="CV70" s="703"/>
      <c r="CW70" s="703"/>
      <c r="CX70" s="703"/>
      <c r="CY70" s="703"/>
      <c r="CZ70" s="703"/>
      <c r="DA70" s="703"/>
      <c r="DB70" s="703"/>
      <c r="DC70" s="703"/>
      <c r="DD70" s="703"/>
      <c r="DE70" s="703"/>
      <c r="DF70" s="703"/>
      <c r="DG70" s="703"/>
      <c r="DH70" s="703"/>
      <c r="DI70" s="703"/>
      <c r="DJ70" s="703"/>
      <c r="DK70" s="703"/>
      <c r="DL70" s="703"/>
      <c r="DM70" s="703"/>
      <c r="DN70" s="703"/>
      <c r="DO70" s="703"/>
      <c r="DP70" s="703"/>
      <c r="DQ70" s="703"/>
      <c r="DR70" s="703"/>
      <c r="DS70" s="703"/>
      <c r="DT70" s="703"/>
      <c r="DU70" s="703"/>
      <c r="DV70" s="703"/>
      <c r="DW70" s="703"/>
      <c r="DX70" s="703"/>
      <c r="DY70" s="703"/>
      <c r="DZ70" s="703"/>
      <c r="EA70" s="703"/>
      <c r="EB70" s="703"/>
      <c r="EC70" s="703"/>
      <c r="ED70" s="703"/>
      <c r="EE70" s="703"/>
      <c r="EF70" s="703"/>
      <c r="EG70" s="703"/>
      <c r="EH70" s="703"/>
      <c r="EI70" s="703"/>
      <c r="EJ70" s="703"/>
      <c r="EK70" s="703"/>
      <c r="EL70" s="703"/>
      <c r="EM70" s="703"/>
      <c r="EN70" s="703"/>
      <c r="EO70" s="703"/>
      <c r="EP70" s="703"/>
      <c r="EQ70" s="703"/>
      <c r="ER70" s="703"/>
      <c r="ES70" s="703"/>
      <c r="ET70" s="703"/>
      <c r="EU70" s="703"/>
      <c r="EV70" s="703"/>
      <c r="EW70" s="703"/>
      <c r="EX70" s="703"/>
      <c r="EY70" s="927">
        <f t="shared" si="5"/>
        <v>0</v>
      </c>
      <c r="EZ70" s="117"/>
      <c r="FA70" s="117"/>
      <c r="FB70" s="117"/>
      <c r="FC70" s="117"/>
      <c r="FD70" s="117"/>
      <c r="FE70" s="117"/>
      <c r="FF70" s="117"/>
      <c r="FG70" s="117"/>
      <c r="FH70" s="117"/>
      <c r="FI70" s="117"/>
      <c r="FJ70" s="117"/>
      <c r="FK70" s="117"/>
      <c r="FL70" s="117"/>
    </row>
    <row r="71" spans="1:169" hidden="1" x14ac:dyDescent="0.25">
      <c r="A71" s="1461"/>
      <c r="B71" s="115"/>
      <c r="C71" s="704"/>
      <c r="D71" s="117"/>
      <c r="E71" s="117"/>
      <c r="F71" s="117"/>
      <c r="G71" s="704"/>
      <c r="H71" s="704"/>
      <c r="I71" s="431"/>
      <c r="J71" s="703"/>
      <c r="K71" s="703"/>
      <c r="L71" s="703"/>
      <c r="M71" s="703"/>
      <c r="N71" s="703"/>
      <c r="O71" s="703"/>
      <c r="P71" s="703"/>
      <c r="Q71" s="703"/>
      <c r="R71" s="703"/>
      <c r="S71" s="703"/>
      <c r="T71" s="703"/>
      <c r="U71" s="703"/>
      <c r="V71" s="703"/>
      <c r="W71" s="703"/>
      <c r="X71" s="703"/>
      <c r="Y71" s="703"/>
      <c r="Z71" s="703"/>
      <c r="AA71" s="703"/>
      <c r="AB71" s="703"/>
      <c r="AC71" s="703"/>
      <c r="AD71" s="703"/>
      <c r="AE71" s="703"/>
      <c r="AF71" s="703"/>
      <c r="AG71" s="703"/>
      <c r="AH71" s="703"/>
      <c r="AI71" s="703"/>
      <c r="AJ71" s="703"/>
      <c r="AK71" s="703"/>
      <c r="AL71" s="703"/>
      <c r="AM71" s="703"/>
      <c r="AN71" s="703"/>
      <c r="AO71" s="703"/>
      <c r="AP71" s="703"/>
      <c r="AQ71" s="703"/>
      <c r="AR71" s="703"/>
      <c r="AS71" s="703"/>
      <c r="AT71" s="703"/>
      <c r="AU71" s="703"/>
      <c r="AV71" s="703"/>
      <c r="AW71" s="703"/>
      <c r="AX71" s="703"/>
      <c r="AY71" s="703"/>
      <c r="AZ71" s="703"/>
      <c r="BA71" s="703"/>
      <c r="BB71" s="703"/>
      <c r="BC71" s="703"/>
      <c r="BD71" s="703"/>
      <c r="BE71" s="703"/>
      <c r="BF71" s="703"/>
      <c r="BG71" s="703"/>
      <c r="BH71" s="703"/>
      <c r="BI71" s="703"/>
      <c r="BJ71" s="703"/>
      <c r="BK71" s="703"/>
      <c r="BL71" s="703"/>
      <c r="BM71" s="703"/>
      <c r="BN71" s="703"/>
      <c r="BO71" s="703"/>
      <c r="BP71" s="703"/>
      <c r="BQ71" s="703"/>
      <c r="BR71" s="703"/>
      <c r="BS71" s="703"/>
      <c r="BT71" s="703"/>
      <c r="BU71" s="703"/>
      <c r="BV71" s="703"/>
      <c r="BW71" s="703"/>
      <c r="BX71" s="703"/>
      <c r="BY71" s="703"/>
      <c r="BZ71" s="703"/>
      <c r="CA71" s="703"/>
      <c r="CB71" s="703"/>
      <c r="CC71" s="703"/>
      <c r="CD71" s="703"/>
      <c r="CE71" s="703"/>
      <c r="CF71" s="703"/>
      <c r="CG71" s="703"/>
      <c r="CH71" s="703"/>
      <c r="CI71" s="703"/>
      <c r="CJ71" s="703"/>
      <c r="CK71" s="703"/>
      <c r="CL71" s="703"/>
      <c r="CM71" s="703"/>
      <c r="CN71" s="703"/>
      <c r="CO71" s="703"/>
      <c r="CP71" s="703"/>
      <c r="CQ71" s="703"/>
      <c r="CR71" s="703"/>
      <c r="CS71" s="703"/>
      <c r="CT71" s="703"/>
      <c r="CU71" s="703"/>
      <c r="CV71" s="703"/>
      <c r="CW71" s="703"/>
      <c r="CX71" s="703"/>
      <c r="CY71" s="703"/>
      <c r="CZ71" s="703"/>
      <c r="DA71" s="703"/>
      <c r="DB71" s="703"/>
      <c r="DC71" s="703"/>
      <c r="DD71" s="703"/>
      <c r="DE71" s="703"/>
      <c r="DF71" s="703"/>
      <c r="DG71" s="703"/>
      <c r="DH71" s="703"/>
      <c r="DI71" s="703"/>
      <c r="DJ71" s="703"/>
      <c r="DK71" s="703"/>
      <c r="DL71" s="703"/>
      <c r="DM71" s="703"/>
      <c r="DN71" s="703"/>
      <c r="DO71" s="703"/>
      <c r="DP71" s="703"/>
      <c r="DQ71" s="703"/>
      <c r="DR71" s="703"/>
      <c r="DS71" s="703"/>
      <c r="DT71" s="703"/>
      <c r="DU71" s="703"/>
      <c r="DV71" s="703"/>
      <c r="DW71" s="703"/>
      <c r="DX71" s="703"/>
      <c r="DY71" s="703"/>
      <c r="DZ71" s="703"/>
      <c r="EA71" s="703"/>
      <c r="EB71" s="703"/>
      <c r="EC71" s="703"/>
      <c r="ED71" s="703"/>
      <c r="EE71" s="703"/>
      <c r="EF71" s="703"/>
      <c r="EG71" s="703"/>
      <c r="EH71" s="703"/>
      <c r="EI71" s="703"/>
      <c r="EJ71" s="703"/>
      <c r="EK71" s="703"/>
      <c r="EL71" s="703"/>
      <c r="EM71" s="703"/>
      <c r="EN71" s="703"/>
      <c r="EO71" s="703"/>
      <c r="EP71" s="703"/>
      <c r="EQ71" s="703"/>
      <c r="ER71" s="703"/>
      <c r="ES71" s="703"/>
      <c r="ET71" s="703"/>
      <c r="EU71" s="703"/>
      <c r="EV71" s="703"/>
      <c r="EW71" s="703"/>
      <c r="EX71" s="703"/>
      <c r="EY71" s="927">
        <f t="shared" si="5"/>
        <v>0</v>
      </c>
      <c r="EZ71" s="117"/>
      <c r="FA71" s="117"/>
      <c r="FB71" s="117"/>
      <c r="FC71" s="117"/>
      <c r="FD71" s="117"/>
      <c r="FE71" s="117"/>
      <c r="FF71" s="117"/>
      <c r="FG71" s="117"/>
      <c r="FH71" s="117"/>
      <c r="FI71" s="117"/>
      <c r="FJ71" s="117"/>
      <c r="FK71" s="117"/>
      <c r="FL71" s="117"/>
    </row>
    <row r="72" spans="1:169" hidden="1" x14ac:dyDescent="0.25">
      <c r="A72" s="120"/>
      <c r="B72" s="118" t="s">
        <v>801</v>
      </c>
      <c r="C72" s="840">
        <f>SUM(C67:C71)</f>
        <v>0</v>
      </c>
      <c r="D72" s="534">
        <f>SUM(D67:D71)</f>
        <v>0</v>
      </c>
      <c r="E72" s="534">
        <f t="shared" ref="E72:BC72" si="31">SUM(E67:E71)</f>
        <v>0</v>
      </c>
      <c r="F72" s="534">
        <f t="shared" si="31"/>
        <v>0</v>
      </c>
      <c r="G72" s="840">
        <f t="shared" si="31"/>
        <v>0</v>
      </c>
      <c r="H72" s="840"/>
      <c r="I72" s="842">
        <f t="shared" ref="I72" si="32">SUM(I67:I71)</f>
        <v>0</v>
      </c>
      <c r="J72" s="847">
        <f t="shared" si="31"/>
        <v>0</v>
      </c>
      <c r="K72" s="847">
        <f t="shared" si="31"/>
        <v>0</v>
      </c>
      <c r="L72" s="847">
        <f t="shared" si="31"/>
        <v>0</v>
      </c>
      <c r="M72" s="847">
        <f t="shared" si="31"/>
        <v>0</v>
      </c>
      <c r="N72" s="847">
        <f t="shared" si="31"/>
        <v>0</v>
      </c>
      <c r="O72" s="847">
        <f t="shared" si="31"/>
        <v>0</v>
      </c>
      <c r="P72" s="847">
        <f t="shared" si="31"/>
        <v>0</v>
      </c>
      <c r="Q72" s="847">
        <f t="shared" si="31"/>
        <v>0</v>
      </c>
      <c r="R72" s="847">
        <f t="shared" si="31"/>
        <v>0</v>
      </c>
      <c r="S72" s="847">
        <f t="shared" si="31"/>
        <v>0</v>
      </c>
      <c r="T72" s="847">
        <f t="shared" si="31"/>
        <v>0</v>
      </c>
      <c r="U72" s="847">
        <f t="shared" si="31"/>
        <v>0</v>
      </c>
      <c r="V72" s="847">
        <f t="shared" si="31"/>
        <v>0</v>
      </c>
      <c r="W72" s="847">
        <f t="shared" si="31"/>
        <v>0</v>
      </c>
      <c r="X72" s="847">
        <f t="shared" si="31"/>
        <v>0</v>
      </c>
      <c r="Y72" s="847">
        <f t="shared" si="31"/>
        <v>0</v>
      </c>
      <c r="Z72" s="847">
        <f t="shared" si="31"/>
        <v>0</v>
      </c>
      <c r="AA72" s="847">
        <f t="shared" si="31"/>
        <v>0</v>
      </c>
      <c r="AB72" s="847">
        <f t="shared" si="31"/>
        <v>0</v>
      </c>
      <c r="AC72" s="847">
        <f t="shared" si="31"/>
        <v>0</v>
      </c>
      <c r="AD72" s="847">
        <f t="shared" si="31"/>
        <v>0</v>
      </c>
      <c r="AE72" s="847">
        <f t="shared" si="31"/>
        <v>0</v>
      </c>
      <c r="AF72" s="847">
        <f t="shared" si="31"/>
        <v>0</v>
      </c>
      <c r="AG72" s="847">
        <f t="shared" si="31"/>
        <v>0</v>
      </c>
      <c r="AH72" s="847">
        <f t="shared" si="31"/>
        <v>0</v>
      </c>
      <c r="AI72" s="847">
        <f t="shared" si="31"/>
        <v>0</v>
      </c>
      <c r="AJ72" s="847">
        <f t="shared" si="31"/>
        <v>0</v>
      </c>
      <c r="AK72" s="847">
        <f t="shared" si="31"/>
        <v>0</v>
      </c>
      <c r="AL72" s="847">
        <f t="shared" si="31"/>
        <v>0</v>
      </c>
      <c r="AM72" s="847">
        <f t="shared" si="31"/>
        <v>0</v>
      </c>
      <c r="AN72" s="847">
        <f t="shared" si="31"/>
        <v>0</v>
      </c>
      <c r="AO72" s="847">
        <f t="shared" si="31"/>
        <v>0</v>
      </c>
      <c r="AP72" s="847">
        <f t="shared" si="31"/>
        <v>0</v>
      </c>
      <c r="AQ72" s="847">
        <f t="shared" si="31"/>
        <v>0</v>
      </c>
      <c r="AR72" s="847">
        <f t="shared" si="31"/>
        <v>0</v>
      </c>
      <c r="AS72" s="847">
        <f t="shared" si="31"/>
        <v>0</v>
      </c>
      <c r="AT72" s="847">
        <f t="shared" si="31"/>
        <v>0</v>
      </c>
      <c r="AU72" s="847">
        <f t="shared" si="31"/>
        <v>0</v>
      </c>
      <c r="AV72" s="847">
        <f t="shared" si="31"/>
        <v>0</v>
      </c>
      <c r="AW72" s="847">
        <f t="shared" si="31"/>
        <v>0</v>
      </c>
      <c r="AX72" s="847">
        <f t="shared" si="31"/>
        <v>0</v>
      </c>
      <c r="AY72" s="847">
        <f t="shared" si="31"/>
        <v>0</v>
      </c>
      <c r="AZ72" s="847">
        <f t="shared" si="31"/>
        <v>0</v>
      </c>
      <c r="BA72" s="847">
        <f t="shared" si="31"/>
        <v>0</v>
      </c>
      <c r="BB72" s="847">
        <f t="shared" si="31"/>
        <v>0</v>
      </c>
      <c r="BC72" s="847">
        <f t="shared" si="31"/>
        <v>0</v>
      </c>
      <c r="BD72" s="847">
        <f t="shared" ref="BD72:DO72" si="33">SUM(BD67:BD71)</f>
        <v>0</v>
      </c>
      <c r="BE72" s="847">
        <f t="shared" si="33"/>
        <v>0</v>
      </c>
      <c r="BF72" s="847">
        <f t="shared" si="33"/>
        <v>0</v>
      </c>
      <c r="BG72" s="847">
        <f t="shared" si="33"/>
        <v>0</v>
      </c>
      <c r="BH72" s="847">
        <f t="shared" si="33"/>
        <v>0</v>
      </c>
      <c r="BI72" s="847">
        <f t="shared" si="33"/>
        <v>0</v>
      </c>
      <c r="BJ72" s="847">
        <f t="shared" si="33"/>
        <v>0</v>
      </c>
      <c r="BK72" s="847">
        <f t="shared" si="33"/>
        <v>0</v>
      </c>
      <c r="BL72" s="847">
        <f t="shared" si="33"/>
        <v>0</v>
      </c>
      <c r="BM72" s="847">
        <f t="shared" si="33"/>
        <v>0</v>
      </c>
      <c r="BN72" s="847">
        <f t="shared" si="33"/>
        <v>0</v>
      </c>
      <c r="BO72" s="847">
        <f t="shared" si="33"/>
        <v>0</v>
      </c>
      <c r="BP72" s="847">
        <f t="shared" si="33"/>
        <v>0</v>
      </c>
      <c r="BQ72" s="847">
        <f t="shared" si="33"/>
        <v>0</v>
      </c>
      <c r="BR72" s="847">
        <f t="shared" si="33"/>
        <v>0</v>
      </c>
      <c r="BS72" s="847">
        <f t="shared" si="33"/>
        <v>0</v>
      </c>
      <c r="BT72" s="847">
        <f t="shared" si="33"/>
        <v>0</v>
      </c>
      <c r="BU72" s="847">
        <f t="shared" si="33"/>
        <v>0</v>
      </c>
      <c r="BV72" s="847">
        <f t="shared" si="33"/>
        <v>0</v>
      </c>
      <c r="BW72" s="847">
        <f t="shared" si="33"/>
        <v>0</v>
      </c>
      <c r="BX72" s="847">
        <f t="shared" si="33"/>
        <v>0</v>
      </c>
      <c r="BY72" s="847">
        <f t="shared" si="33"/>
        <v>0</v>
      </c>
      <c r="BZ72" s="847">
        <f t="shared" si="33"/>
        <v>0</v>
      </c>
      <c r="CA72" s="847">
        <f t="shared" si="33"/>
        <v>0</v>
      </c>
      <c r="CB72" s="847">
        <f t="shared" si="33"/>
        <v>0</v>
      </c>
      <c r="CC72" s="847">
        <f t="shared" si="33"/>
        <v>0</v>
      </c>
      <c r="CD72" s="847">
        <f t="shared" si="33"/>
        <v>0</v>
      </c>
      <c r="CE72" s="847">
        <f t="shared" si="33"/>
        <v>0</v>
      </c>
      <c r="CF72" s="847">
        <f t="shared" si="33"/>
        <v>0</v>
      </c>
      <c r="CG72" s="847">
        <f t="shared" si="33"/>
        <v>0</v>
      </c>
      <c r="CH72" s="847">
        <f t="shared" si="33"/>
        <v>0</v>
      </c>
      <c r="CI72" s="847">
        <f t="shared" si="33"/>
        <v>0</v>
      </c>
      <c r="CJ72" s="847">
        <f t="shared" si="33"/>
        <v>0</v>
      </c>
      <c r="CK72" s="847">
        <f t="shared" si="33"/>
        <v>0</v>
      </c>
      <c r="CL72" s="847">
        <f t="shared" si="33"/>
        <v>0</v>
      </c>
      <c r="CM72" s="847">
        <f t="shared" si="33"/>
        <v>0</v>
      </c>
      <c r="CN72" s="847">
        <f t="shared" si="33"/>
        <v>0</v>
      </c>
      <c r="CO72" s="847">
        <f t="shared" si="33"/>
        <v>0</v>
      </c>
      <c r="CP72" s="847">
        <f t="shared" si="33"/>
        <v>0</v>
      </c>
      <c r="CQ72" s="847">
        <f t="shared" si="33"/>
        <v>0</v>
      </c>
      <c r="CR72" s="847">
        <f t="shared" si="33"/>
        <v>0</v>
      </c>
      <c r="CS72" s="847">
        <f t="shared" si="33"/>
        <v>0</v>
      </c>
      <c r="CT72" s="847">
        <f t="shared" si="33"/>
        <v>0</v>
      </c>
      <c r="CU72" s="847">
        <f t="shared" si="33"/>
        <v>0</v>
      </c>
      <c r="CV72" s="847">
        <f t="shared" si="33"/>
        <v>0</v>
      </c>
      <c r="CW72" s="847">
        <f t="shared" si="33"/>
        <v>0</v>
      </c>
      <c r="CX72" s="847">
        <f t="shared" si="33"/>
        <v>0</v>
      </c>
      <c r="CY72" s="847">
        <f t="shared" si="33"/>
        <v>0</v>
      </c>
      <c r="CZ72" s="847">
        <f t="shared" si="33"/>
        <v>0</v>
      </c>
      <c r="DA72" s="847">
        <f t="shared" si="33"/>
        <v>0</v>
      </c>
      <c r="DB72" s="847">
        <f t="shared" si="33"/>
        <v>0</v>
      </c>
      <c r="DC72" s="847">
        <f t="shared" si="33"/>
        <v>0</v>
      </c>
      <c r="DD72" s="847">
        <f t="shared" si="33"/>
        <v>0</v>
      </c>
      <c r="DE72" s="847">
        <f t="shared" si="33"/>
        <v>0</v>
      </c>
      <c r="DF72" s="847">
        <f t="shared" si="33"/>
        <v>0</v>
      </c>
      <c r="DG72" s="847">
        <f t="shared" si="33"/>
        <v>0</v>
      </c>
      <c r="DH72" s="847">
        <f t="shared" si="33"/>
        <v>0</v>
      </c>
      <c r="DI72" s="847">
        <f t="shared" si="33"/>
        <v>0</v>
      </c>
      <c r="DJ72" s="847">
        <f t="shared" si="33"/>
        <v>0</v>
      </c>
      <c r="DK72" s="847">
        <f t="shared" si="33"/>
        <v>0</v>
      </c>
      <c r="DL72" s="847">
        <f t="shared" si="33"/>
        <v>0</v>
      </c>
      <c r="DM72" s="847">
        <f t="shared" si="33"/>
        <v>0</v>
      </c>
      <c r="DN72" s="847">
        <f t="shared" si="33"/>
        <v>0</v>
      </c>
      <c r="DO72" s="847">
        <f t="shared" si="33"/>
        <v>0</v>
      </c>
      <c r="DP72" s="847">
        <f t="shared" ref="DP72:EX72" si="34">SUM(DP67:DP71)</f>
        <v>0</v>
      </c>
      <c r="DQ72" s="847">
        <f t="shared" si="34"/>
        <v>0</v>
      </c>
      <c r="DR72" s="847">
        <f t="shared" si="34"/>
        <v>0</v>
      </c>
      <c r="DS72" s="847">
        <f t="shared" si="34"/>
        <v>0</v>
      </c>
      <c r="DT72" s="847">
        <f t="shared" si="34"/>
        <v>0</v>
      </c>
      <c r="DU72" s="847">
        <f t="shared" si="34"/>
        <v>0</v>
      </c>
      <c r="DV72" s="847">
        <f t="shared" si="34"/>
        <v>0</v>
      </c>
      <c r="DW72" s="847">
        <f t="shared" si="34"/>
        <v>0</v>
      </c>
      <c r="DX72" s="847">
        <f t="shared" si="34"/>
        <v>0</v>
      </c>
      <c r="DY72" s="847">
        <f t="shared" si="34"/>
        <v>0</v>
      </c>
      <c r="DZ72" s="847">
        <f t="shared" si="34"/>
        <v>0</v>
      </c>
      <c r="EA72" s="847">
        <f t="shared" si="34"/>
        <v>0</v>
      </c>
      <c r="EB72" s="847">
        <f t="shared" si="34"/>
        <v>0</v>
      </c>
      <c r="EC72" s="847">
        <f t="shared" si="34"/>
        <v>0</v>
      </c>
      <c r="ED72" s="847">
        <f t="shared" si="34"/>
        <v>0</v>
      </c>
      <c r="EE72" s="847">
        <f t="shared" si="34"/>
        <v>0</v>
      </c>
      <c r="EF72" s="847">
        <f t="shared" si="34"/>
        <v>0</v>
      </c>
      <c r="EG72" s="847">
        <f t="shared" si="34"/>
        <v>0</v>
      </c>
      <c r="EH72" s="847">
        <f t="shared" si="34"/>
        <v>0</v>
      </c>
      <c r="EI72" s="847">
        <f t="shared" si="34"/>
        <v>0</v>
      </c>
      <c r="EJ72" s="847">
        <f t="shared" si="34"/>
        <v>0</v>
      </c>
      <c r="EK72" s="847">
        <f t="shared" si="34"/>
        <v>0</v>
      </c>
      <c r="EL72" s="847">
        <f t="shared" si="34"/>
        <v>0</v>
      </c>
      <c r="EM72" s="847">
        <f t="shared" si="34"/>
        <v>0</v>
      </c>
      <c r="EN72" s="847">
        <f t="shared" si="34"/>
        <v>0</v>
      </c>
      <c r="EO72" s="847">
        <f t="shared" si="34"/>
        <v>0</v>
      </c>
      <c r="EP72" s="847">
        <f t="shared" si="34"/>
        <v>0</v>
      </c>
      <c r="EQ72" s="847">
        <f t="shared" si="34"/>
        <v>0</v>
      </c>
      <c r="ER72" s="847">
        <f t="shared" si="34"/>
        <v>0</v>
      </c>
      <c r="ES72" s="847">
        <f t="shared" si="34"/>
        <v>0</v>
      </c>
      <c r="ET72" s="847">
        <f t="shared" si="34"/>
        <v>0</v>
      </c>
      <c r="EU72" s="847">
        <f t="shared" si="34"/>
        <v>0</v>
      </c>
      <c r="EV72" s="847">
        <f t="shared" si="34"/>
        <v>0</v>
      </c>
      <c r="EW72" s="847">
        <f t="shared" si="34"/>
        <v>0</v>
      </c>
      <c r="EX72" s="847">
        <f t="shared" si="34"/>
        <v>0</v>
      </c>
      <c r="EY72" s="863">
        <f t="shared" ref="EY72:FL72" si="35">SUM(EY67:EY71)</f>
        <v>0</v>
      </c>
      <c r="EZ72" s="534">
        <f t="shared" si="35"/>
        <v>0</v>
      </c>
      <c r="FA72" s="534">
        <f t="shared" si="35"/>
        <v>0</v>
      </c>
      <c r="FB72" s="534">
        <f t="shared" si="35"/>
        <v>0</v>
      </c>
      <c r="FC72" s="534">
        <f t="shared" si="35"/>
        <v>0</v>
      </c>
      <c r="FD72" s="534">
        <f t="shared" si="35"/>
        <v>0</v>
      </c>
      <c r="FE72" s="534">
        <f t="shared" si="35"/>
        <v>0</v>
      </c>
      <c r="FF72" s="534">
        <f t="shared" si="35"/>
        <v>0</v>
      </c>
      <c r="FG72" s="534">
        <f t="shared" si="35"/>
        <v>0</v>
      </c>
      <c r="FH72" s="534">
        <f t="shared" si="35"/>
        <v>0</v>
      </c>
      <c r="FI72" s="534">
        <f t="shared" si="35"/>
        <v>0</v>
      </c>
      <c r="FJ72" s="534">
        <f t="shared" si="35"/>
        <v>0</v>
      </c>
      <c r="FK72" s="534">
        <f t="shared" si="35"/>
        <v>0</v>
      </c>
      <c r="FL72" s="534">
        <f t="shared" si="35"/>
        <v>0</v>
      </c>
    </row>
    <row r="73" spans="1:169" ht="14.4" thickBot="1" x14ac:dyDescent="0.3">
      <c r="A73" s="411"/>
      <c r="B73" s="461" t="s">
        <v>1210</v>
      </c>
      <c r="C73" s="841">
        <f>C56+C66+C72</f>
        <v>1845</v>
      </c>
      <c r="D73" s="791">
        <f>D56+D66+D72</f>
        <v>42.34</v>
      </c>
      <c r="E73" s="791">
        <f t="shared" ref="E73:BC73" si="36">E56+E66+E72</f>
        <v>70.38</v>
      </c>
      <c r="F73" s="791">
        <f t="shared" si="36"/>
        <v>159.16</v>
      </c>
      <c r="G73" s="841">
        <f t="shared" si="36"/>
        <v>1447</v>
      </c>
      <c r="H73" s="841"/>
      <c r="I73" s="843">
        <f t="shared" ref="I73" si="37">I56+I66+I72</f>
        <v>193.68</v>
      </c>
      <c r="J73" s="848">
        <f t="shared" si="36"/>
        <v>0</v>
      </c>
      <c r="K73" s="848">
        <f t="shared" si="36"/>
        <v>0</v>
      </c>
      <c r="L73" s="848">
        <f t="shared" si="36"/>
        <v>0</v>
      </c>
      <c r="M73" s="848">
        <f t="shared" si="36"/>
        <v>8.5000000000000006E-2</v>
      </c>
      <c r="N73" s="848">
        <f t="shared" si="36"/>
        <v>0</v>
      </c>
      <c r="O73" s="848">
        <f t="shared" si="36"/>
        <v>0</v>
      </c>
      <c r="P73" s="848">
        <f t="shared" si="36"/>
        <v>3.0000000000000001E-3</v>
      </c>
      <c r="Q73" s="848">
        <f t="shared" si="36"/>
        <v>0</v>
      </c>
      <c r="R73" s="848">
        <f t="shared" si="36"/>
        <v>0</v>
      </c>
      <c r="S73" s="848">
        <f t="shared" si="36"/>
        <v>0</v>
      </c>
      <c r="T73" s="848">
        <f t="shared" si="36"/>
        <v>0</v>
      </c>
      <c r="U73" s="848">
        <f t="shared" si="36"/>
        <v>8.0799999999999997E-2</v>
      </c>
      <c r="V73" s="848">
        <f t="shared" si="36"/>
        <v>2.5850000000000001E-2</v>
      </c>
      <c r="W73" s="848">
        <f t="shared" si="36"/>
        <v>0</v>
      </c>
      <c r="X73" s="848">
        <f t="shared" si="36"/>
        <v>0</v>
      </c>
      <c r="Y73" s="848">
        <f t="shared" si="36"/>
        <v>1.175E-2</v>
      </c>
      <c r="Z73" s="848">
        <f t="shared" si="36"/>
        <v>0</v>
      </c>
      <c r="AA73" s="848">
        <f t="shared" si="36"/>
        <v>0</v>
      </c>
      <c r="AB73" s="848">
        <f t="shared" si="36"/>
        <v>0</v>
      </c>
      <c r="AC73" s="848">
        <f t="shared" si="36"/>
        <v>0</v>
      </c>
      <c r="AD73" s="848">
        <f t="shared" si="36"/>
        <v>0</v>
      </c>
      <c r="AE73" s="848">
        <f t="shared" si="36"/>
        <v>0.1045</v>
      </c>
      <c r="AF73" s="848">
        <f t="shared" si="36"/>
        <v>3.7499999999999999E-2</v>
      </c>
      <c r="AG73" s="848">
        <f t="shared" si="36"/>
        <v>0</v>
      </c>
      <c r="AH73" s="848">
        <f t="shared" si="36"/>
        <v>0.20424999999999999</v>
      </c>
      <c r="AI73" s="848">
        <f t="shared" si="36"/>
        <v>0</v>
      </c>
      <c r="AJ73" s="848">
        <f t="shared" si="36"/>
        <v>0</v>
      </c>
      <c r="AK73" s="848">
        <f t="shared" si="36"/>
        <v>1.9140000000000001E-2</v>
      </c>
      <c r="AL73" s="848">
        <f t="shared" si="36"/>
        <v>2E-3</v>
      </c>
      <c r="AM73" s="848">
        <f t="shared" si="36"/>
        <v>0</v>
      </c>
      <c r="AN73" s="848">
        <f t="shared" si="36"/>
        <v>0.06</v>
      </c>
      <c r="AO73" s="848">
        <f t="shared" si="36"/>
        <v>0</v>
      </c>
      <c r="AP73" s="848">
        <f t="shared" si="36"/>
        <v>0</v>
      </c>
      <c r="AQ73" s="848">
        <f t="shared" si="36"/>
        <v>1.2500000000000001E-2</v>
      </c>
      <c r="AR73" s="848">
        <f t="shared" si="36"/>
        <v>0</v>
      </c>
      <c r="AS73" s="848">
        <f t="shared" si="36"/>
        <v>0</v>
      </c>
      <c r="AT73" s="848">
        <f t="shared" si="36"/>
        <v>0</v>
      </c>
      <c r="AU73" s="848">
        <f t="shared" si="36"/>
        <v>6.0000000000000001E-3</v>
      </c>
      <c r="AV73" s="848">
        <f t="shared" si="36"/>
        <v>0</v>
      </c>
      <c r="AW73" s="848">
        <f t="shared" si="36"/>
        <v>0</v>
      </c>
      <c r="AX73" s="848">
        <f t="shared" si="36"/>
        <v>0</v>
      </c>
      <c r="AY73" s="848">
        <f t="shared" si="36"/>
        <v>0</v>
      </c>
      <c r="AZ73" s="848">
        <f t="shared" si="36"/>
        <v>0</v>
      </c>
      <c r="BA73" s="848">
        <f t="shared" si="36"/>
        <v>0</v>
      </c>
      <c r="BB73" s="848">
        <f t="shared" si="36"/>
        <v>0</v>
      </c>
      <c r="BC73" s="848">
        <f t="shared" si="36"/>
        <v>0</v>
      </c>
      <c r="BD73" s="848">
        <f t="shared" ref="BD73:DO73" si="38">BD56+BD66+BD72</f>
        <v>0</v>
      </c>
      <c r="BE73" s="848">
        <f t="shared" si="38"/>
        <v>0</v>
      </c>
      <c r="BF73" s="848">
        <f t="shared" si="38"/>
        <v>0</v>
      </c>
      <c r="BG73" s="848">
        <f t="shared" si="38"/>
        <v>0</v>
      </c>
      <c r="BH73" s="848">
        <f t="shared" si="38"/>
        <v>0</v>
      </c>
      <c r="BI73" s="848">
        <f t="shared" si="38"/>
        <v>0</v>
      </c>
      <c r="BJ73" s="848">
        <f t="shared" si="38"/>
        <v>0</v>
      </c>
      <c r="BK73" s="848">
        <f t="shared" si="38"/>
        <v>0</v>
      </c>
      <c r="BL73" s="848">
        <f t="shared" si="38"/>
        <v>0</v>
      </c>
      <c r="BM73" s="848">
        <f t="shared" si="38"/>
        <v>0</v>
      </c>
      <c r="BN73" s="848">
        <f t="shared" si="38"/>
        <v>0</v>
      </c>
      <c r="BO73" s="848">
        <f t="shared" si="38"/>
        <v>0</v>
      </c>
      <c r="BP73" s="848">
        <f t="shared" si="38"/>
        <v>0</v>
      </c>
      <c r="BQ73" s="848">
        <f t="shared" si="38"/>
        <v>0</v>
      </c>
      <c r="BR73" s="848">
        <f t="shared" si="38"/>
        <v>4.5400000000000003E-2</v>
      </c>
      <c r="BS73" s="848">
        <f t="shared" si="38"/>
        <v>2.0300000000000001E-3</v>
      </c>
      <c r="BT73" s="848">
        <f t="shared" si="38"/>
        <v>0</v>
      </c>
      <c r="BU73" s="848">
        <f t="shared" si="38"/>
        <v>0</v>
      </c>
      <c r="BV73" s="848">
        <f t="shared" si="38"/>
        <v>0</v>
      </c>
      <c r="BW73" s="848">
        <f t="shared" si="38"/>
        <v>0</v>
      </c>
      <c r="BX73" s="848">
        <f t="shared" si="38"/>
        <v>0</v>
      </c>
      <c r="BY73" s="848">
        <f t="shared" si="38"/>
        <v>0</v>
      </c>
      <c r="BZ73" s="848">
        <f t="shared" si="38"/>
        <v>0</v>
      </c>
      <c r="CA73" s="848">
        <f t="shared" si="38"/>
        <v>0</v>
      </c>
      <c r="CB73" s="848">
        <f t="shared" si="38"/>
        <v>0.01</v>
      </c>
      <c r="CC73" s="848">
        <f t="shared" si="38"/>
        <v>0</v>
      </c>
      <c r="CD73" s="848">
        <f t="shared" si="38"/>
        <v>0</v>
      </c>
      <c r="CE73" s="848">
        <f t="shared" si="38"/>
        <v>0</v>
      </c>
      <c r="CF73" s="848">
        <f t="shared" si="38"/>
        <v>0.01</v>
      </c>
      <c r="CG73" s="848">
        <f t="shared" si="38"/>
        <v>0</v>
      </c>
      <c r="CH73" s="848">
        <f t="shared" si="38"/>
        <v>0</v>
      </c>
      <c r="CI73" s="848">
        <f t="shared" si="38"/>
        <v>0</v>
      </c>
      <c r="CJ73" s="848">
        <f t="shared" si="38"/>
        <v>0</v>
      </c>
      <c r="CK73" s="848">
        <f t="shared" si="38"/>
        <v>0</v>
      </c>
      <c r="CL73" s="848">
        <f t="shared" si="38"/>
        <v>0</v>
      </c>
      <c r="CM73" s="848">
        <f t="shared" si="38"/>
        <v>0</v>
      </c>
      <c r="CN73" s="848">
        <f t="shared" si="38"/>
        <v>0</v>
      </c>
      <c r="CO73" s="848">
        <f t="shared" si="38"/>
        <v>0</v>
      </c>
      <c r="CP73" s="848">
        <f t="shared" si="38"/>
        <v>0</v>
      </c>
      <c r="CQ73" s="848">
        <f t="shared" si="38"/>
        <v>2.0000000000000001E-4</v>
      </c>
      <c r="CR73" s="848">
        <f t="shared" si="38"/>
        <v>0</v>
      </c>
      <c r="CS73" s="848">
        <f t="shared" si="38"/>
        <v>1.0000000000000001E-5</v>
      </c>
      <c r="CT73" s="848">
        <f t="shared" si="38"/>
        <v>0</v>
      </c>
      <c r="CU73" s="848">
        <f t="shared" si="38"/>
        <v>0</v>
      </c>
      <c r="CV73" s="848">
        <f t="shared" si="38"/>
        <v>0</v>
      </c>
      <c r="CW73" s="848">
        <f t="shared" si="38"/>
        <v>0</v>
      </c>
      <c r="CX73" s="848">
        <f t="shared" si="38"/>
        <v>0</v>
      </c>
      <c r="CY73" s="848">
        <f t="shared" si="38"/>
        <v>0</v>
      </c>
      <c r="CZ73" s="848">
        <f t="shared" si="38"/>
        <v>3.9E-2</v>
      </c>
      <c r="DA73" s="848">
        <f t="shared" si="38"/>
        <v>0</v>
      </c>
      <c r="DB73" s="848">
        <f t="shared" si="38"/>
        <v>0</v>
      </c>
      <c r="DC73" s="848">
        <f t="shared" si="38"/>
        <v>8.8199999999999997E-3</v>
      </c>
      <c r="DD73" s="848">
        <f t="shared" si="38"/>
        <v>8.0000000000000002E-3</v>
      </c>
      <c r="DE73" s="848">
        <f t="shared" si="38"/>
        <v>0</v>
      </c>
      <c r="DF73" s="848">
        <f t="shared" si="38"/>
        <v>3.0000000000000001E-3</v>
      </c>
      <c r="DG73" s="848">
        <f t="shared" si="38"/>
        <v>0</v>
      </c>
      <c r="DH73" s="848">
        <f t="shared" si="38"/>
        <v>0</v>
      </c>
      <c r="DI73" s="848">
        <f t="shared" si="38"/>
        <v>0</v>
      </c>
      <c r="DJ73" s="848">
        <f t="shared" si="38"/>
        <v>0</v>
      </c>
      <c r="DK73" s="848">
        <f t="shared" si="38"/>
        <v>0</v>
      </c>
      <c r="DL73" s="848">
        <f t="shared" si="38"/>
        <v>0</v>
      </c>
      <c r="DM73" s="848">
        <f t="shared" si="38"/>
        <v>0</v>
      </c>
      <c r="DN73" s="848">
        <f t="shared" si="38"/>
        <v>0</v>
      </c>
      <c r="DO73" s="848">
        <f t="shared" si="38"/>
        <v>0</v>
      </c>
      <c r="DP73" s="848">
        <f t="shared" ref="DP73:FL73" si="39">DP56+DP66+DP72</f>
        <v>0</v>
      </c>
      <c r="DQ73" s="848">
        <f t="shared" si="39"/>
        <v>0</v>
      </c>
      <c r="DR73" s="848">
        <f t="shared" si="39"/>
        <v>5.0000000000000001E-4</v>
      </c>
      <c r="DS73" s="848">
        <f t="shared" si="39"/>
        <v>0</v>
      </c>
      <c r="DT73" s="848">
        <f t="shared" si="39"/>
        <v>0</v>
      </c>
      <c r="DU73" s="848">
        <f t="shared" si="39"/>
        <v>2.5000000000000001E-2</v>
      </c>
      <c r="DV73" s="848">
        <f t="shared" si="39"/>
        <v>0</v>
      </c>
      <c r="DW73" s="848">
        <f t="shared" si="39"/>
        <v>0</v>
      </c>
      <c r="DX73" s="848">
        <f t="shared" si="39"/>
        <v>0</v>
      </c>
      <c r="DY73" s="848">
        <f t="shared" si="39"/>
        <v>0</v>
      </c>
      <c r="DZ73" s="848">
        <f t="shared" si="39"/>
        <v>0</v>
      </c>
      <c r="EA73" s="848">
        <f t="shared" si="39"/>
        <v>0.1</v>
      </c>
      <c r="EB73" s="848">
        <f t="shared" si="39"/>
        <v>0.5</v>
      </c>
      <c r="EC73" s="848">
        <f t="shared" si="39"/>
        <v>0</v>
      </c>
      <c r="ED73" s="848">
        <f t="shared" si="39"/>
        <v>0</v>
      </c>
      <c r="EE73" s="848">
        <f t="shared" si="39"/>
        <v>0</v>
      </c>
      <c r="EF73" s="848">
        <f t="shared" si="39"/>
        <v>0</v>
      </c>
      <c r="EG73" s="848">
        <f t="shared" si="39"/>
        <v>0</v>
      </c>
      <c r="EH73" s="848">
        <f t="shared" si="39"/>
        <v>0</v>
      </c>
      <c r="EI73" s="848">
        <f t="shared" si="39"/>
        <v>0</v>
      </c>
      <c r="EJ73" s="848">
        <f t="shared" si="39"/>
        <v>0</v>
      </c>
      <c r="EK73" s="848">
        <f t="shared" si="39"/>
        <v>0</v>
      </c>
      <c r="EL73" s="848">
        <f t="shared" si="39"/>
        <v>0</v>
      </c>
      <c r="EM73" s="848">
        <f t="shared" si="39"/>
        <v>0</v>
      </c>
      <c r="EN73" s="848">
        <f t="shared" si="39"/>
        <v>0</v>
      </c>
      <c r="EO73" s="848">
        <f t="shared" si="39"/>
        <v>0</v>
      </c>
      <c r="EP73" s="848">
        <f t="shared" si="39"/>
        <v>0</v>
      </c>
      <c r="EQ73" s="848">
        <f t="shared" si="39"/>
        <v>0</v>
      </c>
      <c r="ER73" s="848">
        <f t="shared" si="39"/>
        <v>0</v>
      </c>
      <c r="ES73" s="848">
        <f t="shared" si="39"/>
        <v>0</v>
      </c>
      <c r="ET73" s="848">
        <f t="shared" si="39"/>
        <v>0</v>
      </c>
      <c r="EU73" s="848">
        <f t="shared" si="39"/>
        <v>0</v>
      </c>
      <c r="EV73" s="848">
        <f t="shared" si="39"/>
        <v>6.4000000000000001E-2</v>
      </c>
      <c r="EW73" s="848">
        <f t="shared" si="39"/>
        <v>0.05</v>
      </c>
      <c r="EX73" s="848">
        <f t="shared" si="39"/>
        <v>0</v>
      </c>
      <c r="EY73" s="767">
        <f t="shared" si="39"/>
        <v>1.5183</v>
      </c>
      <c r="EZ73" s="791">
        <f t="shared" si="39"/>
        <v>0</v>
      </c>
      <c r="FA73" s="791">
        <f t="shared" si="39"/>
        <v>0</v>
      </c>
      <c r="FB73" s="791">
        <f t="shared" si="39"/>
        <v>0</v>
      </c>
      <c r="FC73" s="791">
        <f t="shared" si="39"/>
        <v>0</v>
      </c>
      <c r="FD73" s="791">
        <f t="shared" si="39"/>
        <v>0</v>
      </c>
      <c r="FE73" s="791">
        <f t="shared" si="39"/>
        <v>0</v>
      </c>
      <c r="FF73" s="791">
        <f t="shared" si="39"/>
        <v>0</v>
      </c>
      <c r="FG73" s="791">
        <f t="shared" si="39"/>
        <v>0</v>
      </c>
      <c r="FH73" s="791">
        <f t="shared" si="39"/>
        <v>0</v>
      </c>
      <c r="FI73" s="791">
        <f t="shared" si="39"/>
        <v>0</v>
      </c>
      <c r="FJ73" s="791">
        <f t="shared" si="39"/>
        <v>0</v>
      </c>
      <c r="FK73" s="791">
        <f t="shared" si="39"/>
        <v>0</v>
      </c>
      <c r="FL73" s="1377">
        <f t="shared" si="39"/>
        <v>0</v>
      </c>
      <c r="FM73" s="1378">
        <f>(I43+I73)/2</f>
        <v>164.78</v>
      </c>
    </row>
    <row r="74" spans="1:169" hidden="1" x14ac:dyDescent="0.25">
      <c r="A74" s="829"/>
      <c r="B74" s="830" t="s">
        <v>966</v>
      </c>
      <c r="C74" s="831"/>
      <c r="D74" s="856">
        <v>77</v>
      </c>
      <c r="E74" s="856">
        <v>79</v>
      </c>
      <c r="F74" s="856">
        <v>335</v>
      </c>
      <c r="G74" s="846">
        <v>2350</v>
      </c>
      <c r="H74" s="831"/>
      <c r="I74" s="648"/>
      <c r="J74" s="986"/>
      <c r="K74" s="986"/>
      <c r="L74" s="986"/>
      <c r="M74" s="986"/>
      <c r="N74" s="986"/>
      <c r="O74" s="986"/>
      <c r="P74" s="986"/>
      <c r="Q74" s="986"/>
      <c r="R74" s="986"/>
      <c r="S74" s="986"/>
      <c r="T74" s="986"/>
      <c r="U74" s="986"/>
      <c r="V74" s="986"/>
      <c r="W74" s="986"/>
      <c r="X74" s="986"/>
      <c r="Y74" s="986"/>
      <c r="Z74" s="986"/>
      <c r="AA74" s="986"/>
      <c r="AB74" s="986"/>
      <c r="AC74" s="986"/>
      <c r="AD74" s="986"/>
      <c r="AE74" s="986"/>
      <c r="AF74" s="986"/>
      <c r="AG74" s="986"/>
      <c r="AH74" s="986"/>
      <c r="AI74" s="986"/>
      <c r="AJ74" s="986"/>
      <c r="AK74" s="986"/>
      <c r="AL74" s="986"/>
      <c r="AM74" s="986"/>
      <c r="AN74" s="986"/>
      <c r="AO74" s="986"/>
      <c r="AP74" s="986"/>
      <c r="AQ74" s="986"/>
      <c r="AR74" s="986"/>
      <c r="AS74" s="986"/>
      <c r="AT74" s="986"/>
      <c r="AU74" s="986"/>
      <c r="AV74" s="986"/>
      <c r="AW74" s="986"/>
      <c r="AX74" s="986"/>
      <c r="AY74" s="986"/>
      <c r="AZ74" s="986"/>
      <c r="BA74" s="986"/>
      <c r="BB74" s="986"/>
      <c r="BC74" s="986"/>
      <c r="BD74" s="986"/>
      <c r="BE74" s="986"/>
      <c r="BF74" s="986"/>
      <c r="BG74" s="986"/>
      <c r="BH74" s="986"/>
      <c r="BI74" s="986"/>
      <c r="BJ74" s="986"/>
      <c r="BK74" s="986"/>
      <c r="BL74" s="986"/>
      <c r="BM74" s="986"/>
      <c r="BN74" s="986"/>
      <c r="BO74" s="986"/>
      <c r="BP74" s="986"/>
      <c r="BQ74" s="986"/>
      <c r="BR74" s="986"/>
      <c r="BS74" s="986"/>
      <c r="BT74" s="986"/>
      <c r="BU74" s="986"/>
      <c r="BV74" s="986"/>
      <c r="BW74" s="986"/>
      <c r="BX74" s="986"/>
      <c r="BY74" s="986"/>
      <c r="BZ74" s="986"/>
      <c r="CA74" s="986"/>
      <c r="CB74" s="986"/>
      <c r="CC74" s="986"/>
      <c r="CD74" s="986"/>
      <c r="CE74" s="986"/>
      <c r="CF74" s="986"/>
      <c r="CG74" s="986"/>
      <c r="CH74" s="986"/>
      <c r="CI74" s="986"/>
      <c r="CJ74" s="986"/>
      <c r="CK74" s="986"/>
      <c r="CL74" s="986"/>
      <c r="CM74" s="986"/>
      <c r="CN74" s="986"/>
      <c r="CO74" s="986"/>
      <c r="CP74" s="986"/>
      <c r="CQ74" s="986"/>
      <c r="CR74" s="986"/>
      <c r="CS74" s="986"/>
      <c r="CT74" s="986"/>
      <c r="CU74" s="986"/>
      <c r="CV74" s="986"/>
      <c r="CW74" s="986"/>
      <c r="CX74" s="986"/>
      <c r="CY74" s="986"/>
      <c r="CZ74" s="986"/>
      <c r="DA74" s="986"/>
      <c r="DB74" s="986"/>
      <c r="DC74" s="986"/>
      <c r="DD74" s="986"/>
      <c r="DE74" s="986"/>
      <c r="DF74" s="986"/>
      <c r="DG74" s="986"/>
      <c r="DH74" s="986"/>
      <c r="DI74" s="986"/>
      <c r="DJ74" s="986"/>
      <c r="DK74" s="986"/>
      <c r="DL74" s="986"/>
      <c r="DM74" s="986"/>
      <c r="DN74" s="986"/>
      <c r="DO74" s="986"/>
      <c r="DP74" s="986"/>
      <c r="DQ74" s="986"/>
      <c r="DR74" s="986"/>
      <c r="DS74" s="986"/>
      <c r="DT74" s="986"/>
      <c r="DU74" s="986"/>
      <c r="DV74" s="986"/>
      <c r="DW74" s="986"/>
      <c r="DX74" s="986"/>
      <c r="DY74" s="986"/>
      <c r="DZ74" s="986"/>
      <c r="EA74" s="986"/>
      <c r="EB74" s="986"/>
      <c r="EC74" s="986"/>
      <c r="ED74" s="986"/>
      <c r="EE74" s="986"/>
      <c r="EF74" s="986"/>
      <c r="EG74" s="986"/>
      <c r="EH74" s="986"/>
      <c r="EI74" s="986"/>
      <c r="EJ74" s="986"/>
      <c r="EK74" s="986"/>
      <c r="EL74" s="986"/>
      <c r="EM74" s="986"/>
      <c r="EN74" s="986"/>
      <c r="EO74" s="986"/>
      <c r="EP74" s="986"/>
      <c r="EQ74" s="986"/>
      <c r="ER74" s="986"/>
      <c r="ES74" s="986"/>
      <c r="ET74" s="986"/>
      <c r="EU74" s="986"/>
      <c r="EV74" s="986"/>
      <c r="EW74" s="986"/>
      <c r="EX74" s="986"/>
      <c r="EY74" s="864"/>
      <c r="EZ74" s="832">
        <v>1.2</v>
      </c>
      <c r="FA74" s="832">
        <v>1.4</v>
      </c>
      <c r="FB74" s="832">
        <v>60</v>
      </c>
      <c r="FC74" s="832">
        <v>700</v>
      </c>
      <c r="FD74" s="832">
        <v>10</v>
      </c>
      <c r="FE74" s="832">
        <v>1100</v>
      </c>
      <c r="FF74" s="832">
        <v>1100</v>
      </c>
      <c r="FG74" s="832">
        <v>250</v>
      </c>
      <c r="FH74" s="832">
        <v>1100</v>
      </c>
      <c r="FI74" s="832">
        <v>12</v>
      </c>
      <c r="FJ74" s="832">
        <v>10</v>
      </c>
      <c r="FK74" s="832">
        <v>0.1</v>
      </c>
      <c r="FL74" s="832">
        <v>0.02</v>
      </c>
    </row>
    <row r="75" spans="1:169" hidden="1" x14ac:dyDescent="0.25">
      <c r="A75" s="829"/>
      <c r="B75" s="830" t="s">
        <v>965</v>
      </c>
      <c r="C75" s="831"/>
      <c r="D75" s="856">
        <f>D73-D74</f>
        <v>-34.659999999999997</v>
      </c>
      <c r="E75" s="856">
        <f>E73-E74</f>
        <v>-8.6199999999999992</v>
      </c>
      <c r="F75" s="856">
        <f t="shared" ref="F75:G75" si="40">F73-F74</f>
        <v>-175.84</v>
      </c>
      <c r="G75" s="846">
        <f t="shared" si="40"/>
        <v>-903</v>
      </c>
      <c r="H75" s="831"/>
      <c r="I75" s="648"/>
      <c r="J75" s="986"/>
      <c r="K75" s="986"/>
      <c r="L75" s="986"/>
      <c r="M75" s="986"/>
      <c r="N75" s="986"/>
      <c r="O75" s="986"/>
      <c r="P75" s="986"/>
      <c r="Q75" s="986"/>
      <c r="R75" s="986"/>
      <c r="S75" s="986"/>
      <c r="T75" s="986"/>
      <c r="U75" s="986"/>
      <c r="V75" s="986"/>
      <c r="W75" s="986"/>
      <c r="X75" s="986"/>
      <c r="Y75" s="986"/>
      <c r="Z75" s="986"/>
      <c r="AA75" s="986"/>
      <c r="AB75" s="986"/>
      <c r="AC75" s="986"/>
      <c r="AD75" s="986"/>
      <c r="AE75" s="986"/>
      <c r="AF75" s="986"/>
      <c r="AG75" s="986"/>
      <c r="AH75" s="986"/>
      <c r="AI75" s="986"/>
      <c r="AJ75" s="986"/>
      <c r="AK75" s="986"/>
      <c r="AL75" s="986"/>
      <c r="AM75" s="986"/>
      <c r="AN75" s="986"/>
      <c r="AO75" s="986"/>
      <c r="AP75" s="986"/>
      <c r="AQ75" s="986"/>
      <c r="AR75" s="986"/>
      <c r="AS75" s="986"/>
      <c r="AT75" s="986"/>
      <c r="AU75" s="986"/>
      <c r="AV75" s="986"/>
      <c r="AW75" s="986"/>
      <c r="AX75" s="986"/>
      <c r="AY75" s="986"/>
      <c r="AZ75" s="986"/>
      <c r="BA75" s="986"/>
      <c r="BB75" s="986"/>
      <c r="BC75" s="986"/>
      <c r="BD75" s="986"/>
      <c r="BE75" s="986"/>
      <c r="BF75" s="986"/>
      <c r="BG75" s="986"/>
      <c r="BH75" s="986"/>
      <c r="BI75" s="986"/>
      <c r="BJ75" s="986"/>
      <c r="BK75" s="986"/>
      <c r="BL75" s="986"/>
      <c r="BM75" s="986"/>
      <c r="BN75" s="986"/>
      <c r="BO75" s="986"/>
      <c r="BP75" s="986"/>
      <c r="BQ75" s="986"/>
      <c r="BR75" s="986"/>
      <c r="BS75" s="986"/>
      <c r="BT75" s="986"/>
      <c r="BU75" s="986"/>
      <c r="BV75" s="986"/>
      <c r="BW75" s="986"/>
      <c r="BX75" s="986"/>
      <c r="BY75" s="986"/>
      <c r="BZ75" s="986"/>
      <c r="CA75" s="986"/>
      <c r="CB75" s="986"/>
      <c r="CC75" s="986"/>
      <c r="CD75" s="986"/>
      <c r="CE75" s="986"/>
      <c r="CF75" s="986"/>
      <c r="CG75" s="986"/>
      <c r="CH75" s="986"/>
      <c r="CI75" s="986"/>
      <c r="CJ75" s="986"/>
      <c r="CK75" s="986"/>
      <c r="CL75" s="986"/>
      <c r="CM75" s="986"/>
      <c r="CN75" s="986"/>
      <c r="CO75" s="986"/>
      <c r="CP75" s="986"/>
      <c r="CQ75" s="986"/>
      <c r="CR75" s="986"/>
      <c r="CS75" s="986"/>
      <c r="CT75" s="986"/>
      <c r="CU75" s="986"/>
      <c r="CV75" s="986"/>
      <c r="CW75" s="986"/>
      <c r="CX75" s="986"/>
      <c r="CY75" s="986"/>
      <c r="CZ75" s="986"/>
      <c r="DA75" s="986"/>
      <c r="DB75" s="986"/>
      <c r="DC75" s="986"/>
      <c r="DD75" s="986"/>
      <c r="DE75" s="986"/>
      <c r="DF75" s="986"/>
      <c r="DG75" s="986"/>
      <c r="DH75" s="986"/>
      <c r="DI75" s="986"/>
      <c r="DJ75" s="986"/>
      <c r="DK75" s="986"/>
      <c r="DL75" s="986"/>
      <c r="DM75" s="986"/>
      <c r="DN75" s="986"/>
      <c r="DO75" s="986"/>
      <c r="DP75" s="986"/>
      <c r="DQ75" s="986"/>
      <c r="DR75" s="986"/>
      <c r="DS75" s="986"/>
      <c r="DT75" s="986"/>
      <c r="DU75" s="986"/>
      <c r="DV75" s="986"/>
      <c r="DW75" s="986"/>
      <c r="DX75" s="986"/>
      <c r="DY75" s="986"/>
      <c r="DZ75" s="986"/>
      <c r="EA75" s="986"/>
      <c r="EB75" s="986"/>
      <c r="EC75" s="986"/>
      <c r="ED75" s="986"/>
      <c r="EE75" s="986"/>
      <c r="EF75" s="986"/>
      <c r="EG75" s="986"/>
      <c r="EH75" s="986"/>
      <c r="EI75" s="986"/>
      <c r="EJ75" s="986"/>
      <c r="EK75" s="986"/>
      <c r="EL75" s="986"/>
      <c r="EM75" s="986"/>
      <c r="EN75" s="986"/>
      <c r="EO75" s="986"/>
      <c r="EP75" s="986"/>
      <c r="EQ75" s="986"/>
      <c r="ER75" s="986"/>
      <c r="ES75" s="986"/>
      <c r="ET75" s="986"/>
      <c r="EU75" s="986"/>
      <c r="EV75" s="986"/>
      <c r="EW75" s="986"/>
      <c r="EX75" s="986"/>
      <c r="EY75" s="864"/>
      <c r="EZ75" s="832">
        <f t="shared" ref="EZ75:FL75" si="41">EZ73-EZ74</f>
        <v>-1.2</v>
      </c>
      <c r="FA75" s="832">
        <f t="shared" si="41"/>
        <v>-1.4</v>
      </c>
      <c r="FB75" s="832">
        <f t="shared" si="41"/>
        <v>-60</v>
      </c>
      <c r="FC75" s="832">
        <f t="shared" si="41"/>
        <v>-700</v>
      </c>
      <c r="FD75" s="832">
        <f t="shared" si="41"/>
        <v>-10</v>
      </c>
      <c r="FE75" s="832">
        <f t="shared" si="41"/>
        <v>-1100</v>
      </c>
      <c r="FF75" s="832">
        <f t="shared" si="41"/>
        <v>-1100</v>
      </c>
      <c r="FG75" s="832">
        <f t="shared" si="41"/>
        <v>-250</v>
      </c>
      <c r="FH75" s="832">
        <f t="shared" si="41"/>
        <v>-1100</v>
      </c>
      <c r="FI75" s="832">
        <f t="shared" si="41"/>
        <v>-12</v>
      </c>
      <c r="FJ75" s="832">
        <f t="shared" si="41"/>
        <v>-10</v>
      </c>
      <c r="FK75" s="832">
        <f t="shared" si="41"/>
        <v>-0.1</v>
      </c>
      <c r="FL75" s="832">
        <f t="shared" si="41"/>
        <v>-0.02</v>
      </c>
    </row>
    <row r="76" spans="1:169" ht="19.2" customHeight="1" x14ac:dyDescent="0.25">
      <c r="A76" s="557"/>
      <c r="B76" s="555" t="s">
        <v>1225</v>
      </c>
      <c r="C76" s="814"/>
      <c r="D76" s="814"/>
      <c r="E76" s="815"/>
      <c r="F76" s="815"/>
      <c r="G76" s="815"/>
      <c r="H76" s="816"/>
      <c r="I76" s="645"/>
      <c r="J76" s="768"/>
      <c r="K76" s="768"/>
      <c r="L76" s="768"/>
      <c r="M76" s="768"/>
      <c r="N76" s="768"/>
      <c r="O76" s="768"/>
      <c r="P76" s="768"/>
      <c r="Q76" s="768"/>
      <c r="R76" s="768"/>
      <c r="S76" s="768"/>
      <c r="T76" s="768"/>
      <c r="U76" s="768"/>
      <c r="V76" s="768"/>
      <c r="W76" s="768"/>
      <c r="X76" s="768"/>
      <c r="Y76" s="768"/>
      <c r="Z76" s="768"/>
      <c r="AA76" s="768"/>
      <c r="AB76" s="768"/>
      <c r="AC76" s="768"/>
      <c r="AD76" s="768"/>
      <c r="AE76" s="768"/>
      <c r="AF76" s="768"/>
      <c r="AG76" s="768"/>
      <c r="AH76" s="768"/>
      <c r="AI76" s="768"/>
      <c r="AJ76" s="768"/>
      <c r="AK76" s="768"/>
      <c r="AL76" s="768"/>
      <c r="AM76" s="768"/>
      <c r="AN76" s="768"/>
      <c r="AO76" s="768"/>
      <c r="AP76" s="768"/>
      <c r="AQ76" s="768"/>
      <c r="AR76" s="768"/>
      <c r="AS76" s="768"/>
      <c r="AT76" s="768"/>
      <c r="AU76" s="768"/>
      <c r="AV76" s="768"/>
      <c r="AW76" s="768"/>
      <c r="AX76" s="768"/>
      <c r="AY76" s="768"/>
      <c r="AZ76" s="768"/>
      <c r="BA76" s="768"/>
      <c r="BB76" s="768"/>
      <c r="BC76" s="768"/>
      <c r="BD76" s="768"/>
      <c r="BE76" s="768"/>
      <c r="BF76" s="768"/>
      <c r="BG76" s="768"/>
      <c r="BH76" s="768"/>
      <c r="BI76" s="768"/>
      <c r="BJ76" s="768"/>
      <c r="BK76" s="768"/>
      <c r="BL76" s="768"/>
      <c r="BM76" s="768"/>
      <c r="BN76" s="768"/>
      <c r="BO76" s="768"/>
      <c r="BP76" s="768"/>
      <c r="BQ76" s="768"/>
      <c r="BR76" s="768"/>
      <c r="BS76" s="768"/>
      <c r="BT76" s="768"/>
      <c r="BU76" s="768"/>
      <c r="BV76" s="768"/>
      <c r="BW76" s="768"/>
      <c r="BX76" s="768"/>
      <c r="BY76" s="768"/>
      <c r="BZ76" s="768"/>
      <c r="CA76" s="768"/>
      <c r="CB76" s="768"/>
      <c r="CC76" s="768"/>
      <c r="CD76" s="768"/>
      <c r="CE76" s="768"/>
      <c r="CF76" s="768"/>
      <c r="CG76" s="768"/>
      <c r="CH76" s="768"/>
      <c r="CI76" s="768"/>
      <c r="CJ76" s="768"/>
      <c r="CK76" s="768"/>
      <c r="CL76" s="768"/>
      <c r="CM76" s="768"/>
      <c r="CN76" s="768"/>
      <c r="CO76" s="768"/>
      <c r="CP76" s="768"/>
      <c r="CQ76" s="768"/>
      <c r="CR76" s="768"/>
      <c r="CS76" s="768"/>
      <c r="CT76" s="768"/>
      <c r="CU76" s="768"/>
      <c r="CV76" s="768"/>
      <c r="CW76" s="768"/>
      <c r="CX76" s="768"/>
      <c r="CY76" s="768"/>
      <c r="CZ76" s="768"/>
      <c r="DA76" s="768"/>
      <c r="DB76" s="768"/>
      <c r="DC76" s="768"/>
      <c r="DD76" s="768"/>
      <c r="DE76" s="768"/>
      <c r="DF76" s="768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768"/>
      <c r="EH76" s="768"/>
      <c r="EI76" s="768"/>
      <c r="EJ76" s="768"/>
      <c r="EK76" s="768"/>
      <c r="EL76" s="768"/>
      <c r="EM76" s="768"/>
      <c r="EN76" s="768"/>
      <c r="EO76" s="768"/>
      <c r="EP76" s="768"/>
      <c r="EQ76" s="768"/>
      <c r="ER76" s="768"/>
      <c r="ES76" s="768"/>
      <c r="ET76" s="768"/>
      <c r="EU76" s="768"/>
      <c r="EV76" s="768"/>
      <c r="EW76" s="768"/>
      <c r="EX76" s="768"/>
      <c r="EY76" s="694"/>
      <c r="EZ76" s="815"/>
      <c r="FA76" s="815"/>
      <c r="FB76" s="815"/>
      <c r="FC76" s="815"/>
      <c r="FD76" s="815"/>
      <c r="FE76" s="815"/>
      <c r="FF76" s="815"/>
      <c r="FG76" s="815"/>
      <c r="FH76" s="815"/>
      <c r="FI76" s="815"/>
      <c r="FJ76" s="815"/>
      <c r="FK76" s="815"/>
      <c r="FL76" s="815"/>
    </row>
    <row r="77" spans="1:169" ht="13.95" customHeight="1" x14ac:dyDescent="0.25">
      <c r="A77" s="1459" t="s">
        <v>109</v>
      </c>
      <c r="B77" s="115" t="str">
        <f>блюда!B96</f>
        <v>Суп молочный с макаронными изделиями</v>
      </c>
      <c r="C77" s="116">
        <f>блюда!C96</f>
        <v>250</v>
      </c>
      <c r="D77" s="431">
        <f>блюда!D96</f>
        <v>5.47</v>
      </c>
      <c r="E77" s="431">
        <f>блюда!E96</f>
        <v>4.75</v>
      </c>
      <c r="F77" s="431">
        <f>блюда!F96</f>
        <v>17.96</v>
      </c>
      <c r="G77" s="116">
        <f>блюда!G96</f>
        <v>150</v>
      </c>
      <c r="H77" s="116">
        <f>блюда!H96</f>
        <v>120</v>
      </c>
      <c r="I77" s="431">
        <f>блюда!I96</f>
        <v>12.54</v>
      </c>
      <c r="J77" s="473">
        <f>блюда!J96</f>
        <v>0</v>
      </c>
      <c r="K77" s="473">
        <f>блюда!K96</f>
        <v>0</v>
      </c>
      <c r="L77" s="473">
        <f>блюда!L96</f>
        <v>0</v>
      </c>
      <c r="M77" s="473">
        <f>блюда!M96</f>
        <v>0</v>
      </c>
      <c r="N77" s="473">
        <f>блюда!N96</f>
        <v>0</v>
      </c>
      <c r="O77" s="473">
        <f>блюда!O96</f>
        <v>0</v>
      </c>
      <c r="P77" s="473">
        <f>блюда!P96</f>
        <v>0</v>
      </c>
      <c r="Q77" s="473">
        <f>блюда!Q96</f>
        <v>0</v>
      </c>
      <c r="R77" s="473">
        <f>блюда!R96</f>
        <v>0</v>
      </c>
      <c r="S77" s="473">
        <f>блюда!S96</f>
        <v>0</v>
      </c>
      <c r="T77" s="473">
        <f>блюда!T96</f>
        <v>0</v>
      </c>
      <c r="U77" s="473">
        <f>блюда!U96</f>
        <v>0.125</v>
      </c>
      <c r="V77" s="473">
        <f>блюда!V96</f>
        <v>2E-3</v>
      </c>
      <c r="W77" s="473">
        <f>блюда!W96</f>
        <v>0</v>
      </c>
      <c r="X77" s="473">
        <f>блюда!X96</f>
        <v>0</v>
      </c>
      <c r="Y77" s="473">
        <f>блюда!Y96</f>
        <v>0</v>
      </c>
      <c r="Z77" s="473">
        <f>блюда!Z96</f>
        <v>0</v>
      </c>
      <c r="AA77" s="473">
        <f>блюда!AA96</f>
        <v>0</v>
      </c>
      <c r="AB77" s="473">
        <f>блюда!AB96</f>
        <v>0</v>
      </c>
      <c r="AC77" s="473">
        <f>блюда!AC96</f>
        <v>0</v>
      </c>
      <c r="AD77" s="473">
        <f>блюда!AD96</f>
        <v>0</v>
      </c>
      <c r="AE77" s="473">
        <f>блюда!AE96</f>
        <v>0</v>
      </c>
      <c r="AF77" s="473">
        <f>блюда!AF96</f>
        <v>0</v>
      </c>
      <c r="AG77" s="473">
        <f>блюда!AG96</f>
        <v>0</v>
      </c>
      <c r="AH77" s="473">
        <f>блюда!AH96</f>
        <v>0</v>
      </c>
      <c r="AI77" s="473">
        <f>блюда!AI96</f>
        <v>0</v>
      </c>
      <c r="AJ77" s="473">
        <f>блюда!AJ96</f>
        <v>0</v>
      </c>
      <c r="AK77" s="473">
        <f>блюда!AK96</f>
        <v>0</v>
      </c>
      <c r="AL77" s="473">
        <f>блюда!AL96</f>
        <v>0</v>
      </c>
      <c r="AM77" s="473">
        <f>блюда!AM96</f>
        <v>0</v>
      </c>
      <c r="AN77" s="473">
        <f>блюда!AN96</f>
        <v>0</v>
      </c>
      <c r="AO77" s="473">
        <f>блюда!AO96</f>
        <v>0</v>
      </c>
      <c r="AP77" s="473">
        <f>блюда!AP96</f>
        <v>0</v>
      </c>
      <c r="AQ77" s="473">
        <f>блюда!AQ96</f>
        <v>0</v>
      </c>
      <c r="AR77" s="473">
        <f>блюда!AR96</f>
        <v>0</v>
      </c>
      <c r="AS77" s="473">
        <f>блюда!AS96</f>
        <v>0</v>
      </c>
      <c r="AT77" s="473">
        <f>блюда!AT96</f>
        <v>0</v>
      </c>
      <c r="AU77" s="473">
        <f>блюда!AU96</f>
        <v>0</v>
      </c>
      <c r="AV77" s="473">
        <f>блюда!AV96</f>
        <v>0</v>
      </c>
      <c r="AW77" s="473">
        <f>блюда!AW96</f>
        <v>0</v>
      </c>
      <c r="AX77" s="473">
        <f>блюда!AX96</f>
        <v>0</v>
      </c>
      <c r="AY77" s="473">
        <f>блюда!AY96</f>
        <v>0</v>
      </c>
      <c r="AZ77" s="473">
        <f>блюда!AZ96</f>
        <v>0</v>
      </c>
      <c r="BA77" s="473">
        <f>блюда!BA96</f>
        <v>0</v>
      </c>
      <c r="BB77" s="473">
        <f>блюда!BB96</f>
        <v>0</v>
      </c>
      <c r="BC77" s="473">
        <f>блюда!BC96</f>
        <v>0</v>
      </c>
      <c r="BD77" s="473">
        <f>блюда!BD96</f>
        <v>0</v>
      </c>
      <c r="BE77" s="473">
        <f>блюда!BE96</f>
        <v>0</v>
      </c>
      <c r="BF77" s="473">
        <f>блюда!BF96</f>
        <v>0</v>
      </c>
      <c r="BG77" s="473">
        <f>блюда!BG96</f>
        <v>0</v>
      </c>
      <c r="BH77" s="473">
        <f>блюда!BH96</f>
        <v>0</v>
      </c>
      <c r="BI77" s="473">
        <f>блюда!BI96</f>
        <v>0</v>
      </c>
      <c r="BJ77" s="473">
        <f>блюда!BJ96</f>
        <v>0</v>
      </c>
      <c r="BK77" s="473">
        <f>блюда!BK96</f>
        <v>0</v>
      </c>
      <c r="BL77" s="473">
        <f>блюда!BL96</f>
        <v>0</v>
      </c>
      <c r="BM77" s="473">
        <f>блюда!BM96</f>
        <v>0</v>
      </c>
      <c r="BN77" s="473">
        <f>блюда!BN96</f>
        <v>0</v>
      </c>
      <c r="BO77" s="473">
        <f>блюда!BO96</f>
        <v>0</v>
      </c>
      <c r="BP77" s="473">
        <f>блюда!BP96</f>
        <v>0</v>
      </c>
      <c r="BQ77" s="473">
        <f>блюда!BQ96</f>
        <v>0</v>
      </c>
      <c r="BR77" s="473">
        <f>блюда!BR96</f>
        <v>0</v>
      </c>
      <c r="BS77" s="473">
        <f>блюда!BS96</f>
        <v>0</v>
      </c>
      <c r="BT77" s="473">
        <f>блюда!BT96</f>
        <v>0</v>
      </c>
      <c r="BU77" s="473">
        <f>блюда!BU96</f>
        <v>0</v>
      </c>
      <c r="BV77" s="473">
        <f>блюда!BV96</f>
        <v>0</v>
      </c>
      <c r="BW77" s="473">
        <f>блюда!BW96</f>
        <v>0</v>
      </c>
      <c r="BX77" s="473">
        <f>блюда!BX96</f>
        <v>0</v>
      </c>
      <c r="BY77" s="473">
        <f>блюда!BY96</f>
        <v>0</v>
      </c>
      <c r="BZ77" s="473">
        <f>блюда!BZ96</f>
        <v>0</v>
      </c>
      <c r="CA77" s="473">
        <f>блюда!CA96</f>
        <v>0</v>
      </c>
      <c r="CB77" s="473">
        <f>блюда!CB96</f>
        <v>0</v>
      </c>
      <c r="CC77" s="473">
        <f>блюда!CC96</f>
        <v>0</v>
      </c>
      <c r="CD77" s="473">
        <f>блюда!CD96</f>
        <v>0</v>
      </c>
      <c r="CE77" s="473">
        <f>блюда!CE96</f>
        <v>0</v>
      </c>
      <c r="CF77" s="473">
        <f>блюда!CF96</f>
        <v>0</v>
      </c>
      <c r="CG77" s="473">
        <f>блюда!CG96</f>
        <v>0.02</v>
      </c>
      <c r="CH77" s="473">
        <f>блюда!CH96</f>
        <v>0</v>
      </c>
      <c r="CI77" s="473">
        <f>блюда!CI96</f>
        <v>0</v>
      </c>
      <c r="CJ77" s="473">
        <f>блюда!CJ96</f>
        <v>0</v>
      </c>
      <c r="CK77" s="473">
        <f>блюда!CK96</f>
        <v>0</v>
      </c>
      <c r="CL77" s="473">
        <f>блюда!CL96</f>
        <v>0</v>
      </c>
      <c r="CM77" s="473">
        <f>блюда!CM96</f>
        <v>0</v>
      </c>
      <c r="CN77" s="473">
        <f>блюда!CN96</f>
        <v>0</v>
      </c>
      <c r="CO77" s="473">
        <f>блюда!CO96</f>
        <v>0</v>
      </c>
      <c r="CP77" s="473">
        <f>блюда!CP96</f>
        <v>0</v>
      </c>
      <c r="CQ77" s="473">
        <f>блюда!CQ96</f>
        <v>0</v>
      </c>
      <c r="CR77" s="473">
        <f>блюда!CR96</f>
        <v>0</v>
      </c>
      <c r="CS77" s="473">
        <f>блюда!CS96</f>
        <v>0</v>
      </c>
      <c r="CT77" s="473">
        <f>блюда!CT96</f>
        <v>0</v>
      </c>
      <c r="CU77" s="473">
        <f>блюда!CU96</f>
        <v>0</v>
      </c>
      <c r="CV77" s="473">
        <f>блюда!CV96</f>
        <v>0</v>
      </c>
      <c r="CW77" s="473">
        <f>блюда!CW96</f>
        <v>0</v>
      </c>
      <c r="CX77" s="473">
        <f>блюда!CX96</f>
        <v>0</v>
      </c>
      <c r="CY77" s="473">
        <f>блюда!CY96</f>
        <v>0</v>
      </c>
      <c r="CZ77" s="473">
        <f>блюда!CZ96</f>
        <v>1.5E-3</v>
      </c>
      <c r="DA77" s="473">
        <f>блюда!DA96</f>
        <v>0</v>
      </c>
      <c r="DB77" s="473">
        <f>блюда!DB96</f>
        <v>0</v>
      </c>
      <c r="DC77" s="473">
        <f>блюда!DC96</f>
        <v>0</v>
      </c>
      <c r="DD77" s="473">
        <f>блюда!DD96</f>
        <v>0</v>
      </c>
      <c r="DE77" s="473">
        <f>блюда!DE96</f>
        <v>0</v>
      </c>
      <c r="DF77" s="473">
        <f>блюда!DF96</f>
        <v>0</v>
      </c>
      <c r="DG77" s="473">
        <f>блюда!DG96</f>
        <v>0</v>
      </c>
      <c r="DH77" s="473">
        <f>блюда!DH96</f>
        <v>0</v>
      </c>
      <c r="DI77" s="473">
        <f>блюда!DI96</f>
        <v>0</v>
      </c>
      <c r="DJ77" s="473">
        <f>блюда!DJ96</f>
        <v>0</v>
      </c>
      <c r="DK77" s="473">
        <f>блюда!DK96</f>
        <v>0</v>
      </c>
      <c r="DL77" s="473">
        <f>блюда!DL96</f>
        <v>0</v>
      </c>
      <c r="DM77" s="473">
        <f>блюда!DM96</f>
        <v>0</v>
      </c>
      <c r="DN77" s="473">
        <f>блюда!DN96</f>
        <v>0</v>
      </c>
      <c r="DO77" s="473">
        <f>блюда!DO96</f>
        <v>0</v>
      </c>
      <c r="DP77" s="473">
        <f>блюда!DP96</f>
        <v>0</v>
      </c>
      <c r="DQ77" s="473">
        <f>блюда!DQ96</f>
        <v>0</v>
      </c>
      <c r="DR77" s="473">
        <f>блюда!DR96</f>
        <v>0</v>
      </c>
      <c r="DS77" s="473">
        <f>блюда!DS96</f>
        <v>0</v>
      </c>
      <c r="DT77" s="473">
        <f>блюда!DT96</f>
        <v>0</v>
      </c>
      <c r="DU77" s="473">
        <f>блюда!DU96</f>
        <v>0</v>
      </c>
      <c r="DV77" s="473">
        <f>блюда!DV96</f>
        <v>0</v>
      </c>
      <c r="DW77" s="473">
        <f>блюда!DW96</f>
        <v>0</v>
      </c>
      <c r="DX77" s="473">
        <f>блюда!DX96</f>
        <v>0</v>
      </c>
      <c r="DY77" s="473">
        <f>блюда!DY96</f>
        <v>0</v>
      </c>
      <c r="DZ77" s="473">
        <f>блюда!DZ96</f>
        <v>0</v>
      </c>
      <c r="EA77" s="473">
        <f>блюда!EA96</f>
        <v>0</v>
      </c>
      <c r="EB77" s="473">
        <f>блюда!EB96</f>
        <v>0</v>
      </c>
      <c r="EC77" s="473">
        <f>блюда!EC96</f>
        <v>0</v>
      </c>
      <c r="ED77" s="473">
        <f>блюда!ED96</f>
        <v>0</v>
      </c>
      <c r="EE77" s="473">
        <f>блюда!EE96</f>
        <v>0</v>
      </c>
      <c r="EF77" s="473">
        <f>блюда!EF96</f>
        <v>0</v>
      </c>
      <c r="EG77" s="473">
        <f>блюда!EG96</f>
        <v>0</v>
      </c>
      <c r="EH77" s="473">
        <f>блюда!EH96</f>
        <v>0</v>
      </c>
      <c r="EI77" s="473">
        <f>блюда!EI96</f>
        <v>0</v>
      </c>
      <c r="EJ77" s="473">
        <f>блюда!EJ96</f>
        <v>0</v>
      </c>
      <c r="EK77" s="473">
        <f>блюда!EK96</f>
        <v>0</v>
      </c>
      <c r="EL77" s="473">
        <f>блюда!EL96</f>
        <v>0</v>
      </c>
      <c r="EM77" s="473">
        <f>блюда!EM96</f>
        <v>0</v>
      </c>
      <c r="EN77" s="473">
        <f>блюда!EN96</f>
        <v>0</v>
      </c>
      <c r="EO77" s="473">
        <f>блюда!EO96</f>
        <v>0</v>
      </c>
      <c r="EP77" s="473">
        <f>блюда!EP96</f>
        <v>0</v>
      </c>
      <c r="EQ77" s="473">
        <f>блюда!EQ96</f>
        <v>0</v>
      </c>
      <c r="ER77" s="473">
        <f>блюда!ER96</f>
        <v>0</v>
      </c>
      <c r="ES77" s="473">
        <f>блюда!ES96</f>
        <v>0</v>
      </c>
      <c r="ET77" s="473">
        <f>блюда!ET96</f>
        <v>0</v>
      </c>
      <c r="EU77" s="473">
        <f>блюда!EU96</f>
        <v>0</v>
      </c>
      <c r="EV77" s="473">
        <f>блюда!EV96</f>
        <v>0</v>
      </c>
      <c r="EW77" s="473">
        <f>блюда!EW96</f>
        <v>0</v>
      </c>
      <c r="EX77" s="473">
        <f>блюда!EX96</f>
        <v>0</v>
      </c>
      <c r="EY77" s="927">
        <f>SUM(J77:EX77)</f>
        <v>0.14849999999999999</v>
      </c>
      <c r="EZ77" s="431">
        <f>блюда!EZ159</f>
        <v>0</v>
      </c>
      <c r="FA77" s="431">
        <f>блюда!FA159</f>
        <v>0</v>
      </c>
      <c r="FB77" s="431">
        <f>блюда!FB159</f>
        <v>0</v>
      </c>
      <c r="FC77" s="431">
        <f>блюда!FC159</f>
        <v>0</v>
      </c>
      <c r="FD77" s="431">
        <f>блюда!FD159</f>
        <v>0</v>
      </c>
      <c r="FE77" s="431">
        <f>блюда!FE159</f>
        <v>0</v>
      </c>
      <c r="FF77" s="431">
        <f>блюда!FF159</f>
        <v>0</v>
      </c>
      <c r="FG77" s="431">
        <f>блюда!FG159</f>
        <v>0</v>
      </c>
      <c r="FH77" s="431">
        <f>блюда!FH159</f>
        <v>0</v>
      </c>
      <c r="FI77" s="431">
        <f>блюда!FI159</f>
        <v>0</v>
      </c>
      <c r="FJ77" s="431">
        <f>блюда!FJ159</f>
        <v>0</v>
      </c>
      <c r="FK77" s="431">
        <f>блюда!FK159</f>
        <v>0</v>
      </c>
      <c r="FL77" s="431">
        <f>блюда!FL159</f>
        <v>0</v>
      </c>
    </row>
    <row r="78" spans="1:169" ht="13.95" customHeight="1" x14ac:dyDescent="0.25">
      <c r="A78" s="1460"/>
      <c r="B78" s="115" t="str">
        <f>блюда!B15</f>
        <v xml:space="preserve">Сыр российский (порциями) </v>
      </c>
      <c r="C78" s="116">
        <f>блюда!C15</f>
        <v>15</v>
      </c>
      <c r="D78" s="431">
        <f>блюда!D15</f>
        <v>3.48</v>
      </c>
      <c r="E78" s="431">
        <f>блюда!E15</f>
        <v>4.43</v>
      </c>
      <c r="F78" s="431">
        <f>блюда!F15</f>
        <v>1</v>
      </c>
      <c r="G78" s="116">
        <f>блюда!G15</f>
        <v>54</v>
      </c>
      <c r="H78" s="116">
        <f>блюда!H15</f>
        <v>15</v>
      </c>
      <c r="I78" s="431">
        <f>блюда!I15</f>
        <v>11.5</v>
      </c>
      <c r="J78" s="473">
        <f>блюда!J15</f>
        <v>0</v>
      </c>
      <c r="K78" s="473">
        <f>блюда!K15</f>
        <v>0</v>
      </c>
      <c r="L78" s="473">
        <f>блюда!L15</f>
        <v>0</v>
      </c>
      <c r="M78" s="473">
        <f>блюда!M15</f>
        <v>0</v>
      </c>
      <c r="N78" s="473">
        <f>блюда!N15</f>
        <v>0</v>
      </c>
      <c r="O78" s="473">
        <f>блюда!O15</f>
        <v>0</v>
      </c>
      <c r="P78" s="473">
        <f>блюда!P15</f>
        <v>0</v>
      </c>
      <c r="Q78" s="473">
        <f>блюда!Q15</f>
        <v>0</v>
      </c>
      <c r="R78" s="473">
        <f>блюда!R15</f>
        <v>0</v>
      </c>
      <c r="S78" s="473">
        <f>блюда!S15</f>
        <v>0</v>
      </c>
      <c r="T78" s="473">
        <f>блюда!T15</f>
        <v>0</v>
      </c>
      <c r="U78" s="473">
        <f>блюда!U15</f>
        <v>0</v>
      </c>
      <c r="V78" s="473">
        <f>блюда!V15</f>
        <v>0</v>
      </c>
      <c r="W78" s="473">
        <f>блюда!W15</f>
        <v>1.6E-2</v>
      </c>
      <c r="X78" s="473">
        <f>блюда!X15</f>
        <v>0</v>
      </c>
      <c r="Y78" s="473">
        <f>блюда!Y15</f>
        <v>0</v>
      </c>
      <c r="Z78" s="473">
        <f>блюда!Z15</f>
        <v>0</v>
      </c>
      <c r="AA78" s="473">
        <f>блюда!AA15</f>
        <v>0</v>
      </c>
      <c r="AB78" s="473">
        <f>блюда!AB15</f>
        <v>0</v>
      </c>
      <c r="AC78" s="473">
        <f>блюда!AC15</f>
        <v>0</v>
      </c>
      <c r="AD78" s="473">
        <f>блюда!AD15</f>
        <v>0</v>
      </c>
      <c r="AE78" s="473">
        <f>блюда!AE15</f>
        <v>0</v>
      </c>
      <c r="AF78" s="473">
        <f>блюда!AF15</f>
        <v>0</v>
      </c>
      <c r="AG78" s="473">
        <f>блюда!AG15</f>
        <v>0</v>
      </c>
      <c r="AH78" s="473">
        <f>блюда!AH15</f>
        <v>0</v>
      </c>
      <c r="AI78" s="473">
        <f>блюда!AI15</f>
        <v>0</v>
      </c>
      <c r="AJ78" s="473">
        <f>блюда!AJ15</f>
        <v>0</v>
      </c>
      <c r="AK78" s="473">
        <f>блюда!AK15</f>
        <v>0</v>
      </c>
      <c r="AL78" s="473">
        <f>блюда!AL15</f>
        <v>0</v>
      </c>
      <c r="AM78" s="473">
        <f>блюда!AM15</f>
        <v>0</v>
      </c>
      <c r="AN78" s="473">
        <f>блюда!AN15</f>
        <v>0</v>
      </c>
      <c r="AO78" s="473">
        <f>блюда!AO15</f>
        <v>0</v>
      </c>
      <c r="AP78" s="473">
        <f>блюда!AP15</f>
        <v>0</v>
      </c>
      <c r="AQ78" s="473">
        <f>блюда!AQ15</f>
        <v>0</v>
      </c>
      <c r="AR78" s="473">
        <f>блюда!AR15</f>
        <v>0</v>
      </c>
      <c r="AS78" s="473">
        <f>блюда!AS15</f>
        <v>0</v>
      </c>
      <c r="AT78" s="473">
        <f>блюда!AT15</f>
        <v>0</v>
      </c>
      <c r="AU78" s="473">
        <f>блюда!AU15</f>
        <v>0</v>
      </c>
      <c r="AV78" s="473">
        <f>блюда!AV15</f>
        <v>0</v>
      </c>
      <c r="AW78" s="473">
        <f>блюда!AW15</f>
        <v>0</v>
      </c>
      <c r="AX78" s="473">
        <f>блюда!AX15</f>
        <v>0</v>
      </c>
      <c r="AY78" s="473">
        <f>блюда!AY15</f>
        <v>0</v>
      </c>
      <c r="AZ78" s="473">
        <f>блюда!AZ15</f>
        <v>0</v>
      </c>
      <c r="BA78" s="473">
        <f>блюда!BA15</f>
        <v>0</v>
      </c>
      <c r="BB78" s="473">
        <f>блюда!BB15</f>
        <v>0</v>
      </c>
      <c r="BC78" s="473">
        <f>блюда!BC15</f>
        <v>0</v>
      </c>
      <c r="BD78" s="473">
        <f>блюда!BD15</f>
        <v>0</v>
      </c>
      <c r="BE78" s="473">
        <f>блюда!BE15</f>
        <v>0</v>
      </c>
      <c r="BF78" s="473">
        <f>блюда!BF15</f>
        <v>0</v>
      </c>
      <c r="BG78" s="473">
        <f>блюда!BG15</f>
        <v>0</v>
      </c>
      <c r="BH78" s="473">
        <f>блюда!BH15</f>
        <v>0</v>
      </c>
      <c r="BI78" s="473">
        <f>блюда!BI15</f>
        <v>0</v>
      </c>
      <c r="BJ78" s="473">
        <f>блюда!BJ15</f>
        <v>0</v>
      </c>
      <c r="BK78" s="473">
        <f>блюда!BK15</f>
        <v>0</v>
      </c>
      <c r="BL78" s="473">
        <f>блюда!BL15</f>
        <v>0</v>
      </c>
      <c r="BM78" s="473">
        <f>блюда!BM15</f>
        <v>0</v>
      </c>
      <c r="BN78" s="473">
        <f>блюда!BN15</f>
        <v>0</v>
      </c>
      <c r="BO78" s="473">
        <f>блюда!BO15</f>
        <v>0</v>
      </c>
      <c r="BP78" s="473">
        <f>блюда!BP15</f>
        <v>0</v>
      </c>
      <c r="BQ78" s="473">
        <f>блюда!BQ15</f>
        <v>0</v>
      </c>
      <c r="BR78" s="473">
        <f>блюда!BR15</f>
        <v>0</v>
      </c>
      <c r="BS78" s="473">
        <f>блюда!BS15</f>
        <v>0</v>
      </c>
      <c r="BT78" s="473">
        <f>блюда!BT15</f>
        <v>0</v>
      </c>
      <c r="BU78" s="473">
        <f>блюда!BU15</f>
        <v>0</v>
      </c>
      <c r="BV78" s="473">
        <f>блюда!BV15</f>
        <v>0</v>
      </c>
      <c r="BW78" s="473">
        <f>блюда!BW15</f>
        <v>0</v>
      </c>
      <c r="BX78" s="473">
        <f>блюда!BX15</f>
        <v>0</v>
      </c>
      <c r="BY78" s="473">
        <f>блюда!BY15</f>
        <v>0</v>
      </c>
      <c r="BZ78" s="473">
        <f>блюда!BZ15</f>
        <v>0</v>
      </c>
      <c r="CA78" s="473">
        <f>блюда!CA15</f>
        <v>0</v>
      </c>
      <c r="CB78" s="473">
        <f>блюда!CB15</f>
        <v>0</v>
      </c>
      <c r="CC78" s="473">
        <f>блюда!CC15</f>
        <v>0</v>
      </c>
      <c r="CD78" s="473">
        <f>блюда!CD15</f>
        <v>0</v>
      </c>
      <c r="CE78" s="473">
        <f>блюда!CE15</f>
        <v>0</v>
      </c>
      <c r="CF78" s="473">
        <f>блюда!CF15</f>
        <v>0</v>
      </c>
      <c r="CG78" s="473">
        <f>блюда!CG15</f>
        <v>0</v>
      </c>
      <c r="CH78" s="473">
        <f>блюда!CH15</f>
        <v>0</v>
      </c>
      <c r="CI78" s="473">
        <f>блюда!CI15</f>
        <v>0</v>
      </c>
      <c r="CJ78" s="473">
        <f>блюда!CJ15</f>
        <v>0</v>
      </c>
      <c r="CK78" s="473">
        <f>блюда!CK15</f>
        <v>0</v>
      </c>
      <c r="CL78" s="473">
        <f>блюда!CL15</f>
        <v>0</v>
      </c>
      <c r="CM78" s="473">
        <f>блюда!CM15</f>
        <v>0</v>
      </c>
      <c r="CN78" s="473">
        <f>блюда!CN15</f>
        <v>0</v>
      </c>
      <c r="CO78" s="473">
        <f>блюда!CO15</f>
        <v>0</v>
      </c>
      <c r="CP78" s="473">
        <f>блюда!CP15</f>
        <v>0</v>
      </c>
      <c r="CQ78" s="473">
        <f>блюда!CQ15</f>
        <v>0</v>
      </c>
      <c r="CR78" s="473">
        <f>блюда!CR15</f>
        <v>0</v>
      </c>
      <c r="CS78" s="473">
        <f>блюда!CS15</f>
        <v>0</v>
      </c>
      <c r="CT78" s="473">
        <f>блюда!CT15</f>
        <v>0</v>
      </c>
      <c r="CU78" s="473">
        <f>блюда!CU15</f>
        <v>0</v>
      </c>
      <c r="CV78" s="473">
        <f>блюда!CV15</f>
        <v>0</v>
      </c>
      <c r="CW78" s="473">
        <f>блюда!CW15</f>
        <v>0</v>
      </c>
      <c r="CX78" s="473">
        <f>блюда!CX15</f>
        <v>0</v>
      </c>
      <c r="CY78" s="473">
        <f>блюда!CY15</f>
        <v>0</v>
      </c>
      <c r="CZ78" s="473">
        <f>блюда!CZ15</f>
        <v>0</v>
      </c>
      <c r="DA78" s="473">
        <f>блюда!DA15</f>
        <v>0</v>
      </c>
      <c r="DB78" s="473">
        <f>блюда!DB15</f>
        <v>0</v>
      </c>
      <c r="DC78" s="473">
        <f>блюда!DC15</f>
        <v>0</v>
      </c>
      <c r="DD78" s="473">
        <f>блюда!DD15</f>
        <v>0</v>
      </c>
      <c r="DE78" s="473">
        <f>блюда!DE15</f>
        <v>0</v>
      </c>
      <c r="DF78" s="473">
        <f>блюда!DF15</f>
        <v>0</v>
      </c>
      <c r="DG78" s="473">
        <f>блюда!DG15</f>
        <v>0</v>
      </c>
      <c r="DH78" s="473">
        <f>блюда!DH15</f>
        <v>0</v>
      </c>
      <c r="DI78" s="473">
        <f>блюда!DI15</f>
        <v>0</v>
      </c>
      <c r="DJ78" s="473">
        <f>блюда!DJ15</f>
        <v>0</v>
      </c>
      <c r="DK78" s="473">
        <f>блюда!DK15</f>
        <v>0</v>
      </c>
      <c r="DL78" s="473">
        <f>блюда!DL15</f>
        <v>0</v>
      </c>
      <c r="DM78" s="473">
        <f>блюда!DM15</f>
        <v>0</v>
      </c>
      <c r="DN78" s="473">
        <f>блюда!DN15</f>
        <v>0</v>
      </c>
      <c r="DO78" s="473">
        <f>блюда!DO15</f>
        <v>0</v>
      </c>
      <c r="DP78" s="473">
        <f>блюда!DP15</f>
        <v>0</v>
      </c>
      <c r="DQ78" s="473">
        <f>блюда!DQ15</f>
        <v>0</v>
      </c>
      <c r="DR78" s="473">
        <f>блюда!DR15</f>
        <v>0</v>
      </c>
      <c r="DS78" s="473">
        <f>блюда!DS15</f>
        <v>0</v>
      </c>
      <c r="DT78" s="473">
        <f>блюда!DT15</f>
        <v>0</v>
      </c>
      <c r="DU78" s="473">
        <f>блюда!DU15</f>
        <v>0</v>
      </c>
      <c r="DV78" s="473">
        <f>блюда!DV15</f>
        <v>0</v>
      </c>
      <c r="DW78" s="473">
        <f>блюда!DW15</f>
        <v>0</v>
      </c>
      <c r="DX78" s="473">
        <f>блюда!DX15</f>
        <v>0</v>
      </c>
      <c r="DY78" s="473">
        <f>блюда!DY15</f>
        <v>0</v>
      </c>
      <c r="DZ78" s="473">
        <f>блюда!DZ15</f>
        <v>0</v>
      </c>
      <c r="EA78" s="473">
        <f>блюда!EA15</f>
        <v>0</v>
      </c>
      <c r="EB78" s="473">
        <f>блюда!EB15</f>
        <v>0</v>
      </c>
      <c r="EC78" s="473">
        <f>блюда!EC15</f>
        <v>0</v>
      </c>
      <c r="ED78" s="473">
        <f>блюда!ED15</f>
        <v>0</v>
      </c>
      <c r="EE78" s="473">
        <f>блюда!EE15</f>
        <v>0</v>
      </c>
      <c r="EF78" s="473">
        <f>блюда!EF15</f>
        <v>0</v>
      </c>
      <c r="EG78" s="473">
        <f>блюда!EG15</f>
        <v>0</v>
      </c>
      <c r="EH78" s="473">
        <f>блюда!EH15</f>
        <v>0</v>
      </c>
      <c r="EI78" s="473">
        <f>блюда!EI15</f>
        <v>0</v>
      </c>
      <c r="EJ78" s="473">
        <f>блюда!EJ15</f>
        <v>0</v>
      </c>
      <c r="EK78" s="473">
        <f>блюда!EK15</f>
        <v>0</v>
      </c>
      <c r="EL78" s="473">
        <f>блюда!EL15</f>
        <v>0</v>
      </c>
      <c r="EM78" s="473">
        <f>блюда!EM15</f>
        <v>0</v>
      </c>
      <c r="EN78" s="473">
        <f>блюда!EN15</f>
        <v>0</v>
      </c>
      <c r="EO78" s="473">
        <f>блюда!EO15</f>
        <v>0</v>
      </c>
      <c r="EP78" s="473">
        <f>блюда!EP15</f>
        <v>0</v>
      </c>
      <c r="EQ78" s="473">
        <f>блюда!EQ15</f>
        <v>0</v>
      </c>
      <c r="ER78" s="473">
        <f>блюда!ER15</f>
        <v>0</v>
      </c>
      <c r="ES78" s="473">
        <f>блюда!ES15</f>
        <v>0</v>
      </c>
      <c r="ET78" s="473">
        <f>блюда!ET15</f>
        <v>0</v>
      </c>
      <c r="EU78" s="473">
        <f>блюда!EU15</f>
        <v>0</v>
      </c>
      <c r="EV78" s="473">
        <f>блюда!EV15</f>
        <v>0</v>
      </c>
      <c r="EW78" s="473">
        <f>блюда!EW15</f>
        <v>0</v>
      </c>
      <c r="EX78" s="473">
        <f>блюда!EX15</f>
        <v>0</v>
      </c>
      <c r="EY78" s="927">
        <f t="shared" ref="EY78:EY85" si="42">SUM(J78:EX78)</f>
        <v>1.6E-2</v>
      </c>
      <c r="EZ78" s="431">
        <f>блюда!EZ292</f>
        <v>0</v>
      </c>
      <c r="FA78" s="431">
        <f>блюда!FA292</f>
        <v>0</v>
      </c>
      <c r="FB78" s="431">
        <f>блюда!FB292</f>
        <v>0</v>
      </c>
      <c r="FC78" s="431">
        <f>блюда!FC292</f>
        <v>0</v>
      </c>
      <c r="FD78" s="431">
        <f>блюда!FD292</f>
        <v>0</v>
      </c>
      <c r="FE78" s="431">
        <f>блюда!FE292</f>
        <v>0</v>
      </c>
      <c r="FF78" s="431">
        <f>блюда!FF292</f>
        <v>0</v>
      </c>
      <c r="FG78" s="431">
        <f>блюда!FG292</f>
        <v>0</v>
      </c>
      <c r="FH78" s="431">
        <f>блюда!FH292</f>
        <v>0</v>
      </c>
      <c r="FI78" s="431">
        <f>блюда!FI292</f>
        <v>0</v>
      </c>
      <c r="FJ78" s="431">
        <f>блюда!FJ292</f>
        <v>0</v>
      </c>
      <c r="FK78" s="431">
        <f>блюда!FK292</f>
        <v>0</v>
      </c>
      <c r="FL78" s="431">
        <f>блюда!FL292</f>
        <v>0</v>
      </c>
    </row>
    <row r="79" spans="1:169" ht="13.95" customHeight="1" x14ac:dyDescent="0.25">
      <c r="A79" s="1460"/>
      <c r="B79" s="115" t="str">
        <f>блюда!B13</f>
        <v>Масло сливочное (порциями)</v>
      </c>
      <c r="C79" s="116">
        <f>блюда!C13</f>
        <v>10</v>
      </c>
      <c r="D79" s="431">
        <f>блюда!D13</f>
        <v>0.08</v>
      </c>
      <c r="E79" s="431">
        <f>блюда!E13</f>
        <v>7.25</v>
      </c>
      <c r="F79" s="431">
        <f>блюда!F13</f>
        <v>0.13</v>
      </c>
      <c r="G79" s="116">
        <f>блюда!G13</f>
        <v>66</v>
      </c>
      <c r="H79" s="116">
        <f>блюда!H13</f>
        <v>14</v>
      </c>
      <c r="I79" s="431">
        <f>блюда!I13</f>
        <v>7.1</v>
      </c>
      <c r="J79" s="473">
        <f>блюда!J13</f>
        <v>0</v>
      </c>
      <c r="K79" s="473">
        <f>блюда!K13</f>
        <v>0</v>
      </c>
      <c r="L79" s="473">
        <f>блюда!L13</f>
        <v>0</v>
      </c>
      <c r="M79" s="473">
        <f>блюда!M13</f>
        <v>0</v>
      </c>
      <c r="N79" s="473">
        <f>блюда!N13</f>
        <v>0</v>
      </c>
      <c r="O79" s="473">
        <f>блюда!O13</f>
        <v>0</v>
      </c>
      <c r="P79" s="473">
        <f>блюда!P13</f>
        <v>0</v>
      </c>
      <c r="Q79" s="473">
        <f>блюда!Q13</f>
        <v>0</v>
      </c>
      <c r="R79" s="473">
        <f>блюда!R13</f>
        <v>0</v>
      </c>
      <c r="S79" s="473">
        <f>блюда!S13</f>
        <v>0</v>
      </c>
      <c r="T79" s="473">
        <f>блюда!T13</f>
        <v>0</v>
      </c>
      <c r="U79" s="473">
        <f>блюда!U13</f>
        <v>0</v>
      </c>
      <c r="V79" s="473">
        <f>блюда!V13</f>
        <v>0.01</v>
      </c>
      <c r="W79" s="473">
        <f>блюда!W13</f>
        <v>0</v>
      </c>
      <c r="X79" s="473">
        <f>блюда!X13</f>
        <v>0</v>
      </c>
      <c r="Y79" s="473">
        <f>блюда!Y13</f>
        <v>0</v>
      </c>
      <c r="Z79" s="473">
        <f>блюда!Z13</f>
        <v>0</v>
      </c>
      <c r="AA79" s="473">
        <f>блюда!AA13</f>
        <v>0</v>
      </c>
      <c r="AB79" s="473">
        <f>блюда!AB13</f>
        <v>0</v>
      </c>
      <c r="AC79" s="473">
        <f>блюда!AC13</f>
        <v>0</v>
      </c>
      <c r="AD79" s="473">
        <f>блюда!AD13</f>
        <v>0</v>
      </c>
      <c r="AE79" s="473">
        <f>блюда!AE13</f>
        <v>0</v>
      </c>
      <c r="AF79" s="473">
        <f>блюда!AF13</f>
        <v>0</v>
      </c>
      <c r="AG79" s="473">
        <f>блюда!AG13</f>
        <v>0</v>
      </c>
      <c r="AH79" s="473">
        <f>блюда!AH13</f>
        <v>0</v>
      </c>
      <c r="AI79" s="473">
        <f>блюда!AI13</f>
        <v>0</v>
      </c>
      <c r="AJ79" s="473">
        <f>блюда!AJ13</f>
        <v>0</v>
      </c>
      <c r="AK79" s="473">
        <f>блюда!AK13</f>
        <v>0</v>
      </c>
      <c r="AL79" s="473">
        <f>блюда!AL13</f>
        <v>0</v>
      </c>
      <c r="AM79" s="473">
        <f>блюда!AM13</f>
        <v>0</v>
      </c>
      <c r="AN79" s="473">
        <f>блюда!AN13</f>
        <v>0</v>
      </c>
      <c r="AO79" s="473">
        <f>блюда!AO13</f>
        <v>0</v>
      </c>
      <c r="AP79" s="473">
        <f>блюда!AP13</f>
        <v>0</v>
      </c>
      <c r="AQ79" s="473">
        <f>блюда!AQ13</f>
        <v>0</v>
      </c>
      <c r="AR79" s="473">
        <f>блюда!AR13</f>
        <v>0</v>
      </c>
      <c r="AS79" s="473">
        <f>блюда!AS13</f>
        <v>0</v>
      </c>
      <c r="AT79" s="473">
        <f>блюда!AT13</f>
        <v>0</v>
      </c>
      <c r="AU79" s="473">
        <f>блюда!AU13</f>
        <v>0</v>
      </c>
      <c r="AV79" s="473">
        <f>блюда!AV13</f>
        <v>0</v>
      </c>
      <c r="AW79" s="473">
        <f>блюда!AW13</f>
        <v>0</v>
      </c>
      <c r="AX79" s="473">
        <f>блюда!AX13</f>
        <v>0</v>
      </c>
      <c r="AY79" s="473">
        <f>блюда!AY13</f>
        <v>0</v>
      </c>
      <c r="AZ79" s="473">
        <f>блюда!AZ13</f>
        <v>0</v>
      </c>
      <c r="BA79" s="473">
        <f>блюда!BA13</f>
        <v>0</v>
      </c>
      <c r="BB79" s="473">
        <f>блюда!BB13</f>
        <v>0</v>
      </c>
      <c r="BC79" s="473">
        <f>блюда!BC13</f>
        <v>0</v>
      </c>
      <c r="BD79" s="473">
        <f>блюда!BD13</f>
        <v>0</v>
      </c>
      <c r="BE79" s="473">
        <f>блюда!BE13</f>
        <v>0</v>
      </c>
      <c r="BF79" s="473">
        <f>блюда!BF13</f>
        <v>0</v>
      </c>
      <c r="BG79" s="473">
        <f>блюда!BG13</f>
        <v>0</v>
      </c>
      <c r="BH79" s="473">
        <f>блюда!BH13</f>
        <v>0</v>
      </c>
      <c r="BI79" s="473">
        <f>блюда!BI13</f>
        <v>0</v>
      </c>
      <c r="BJ79" s="473">
        <f>блюда!BJ13</f>
        <v>0</v>
      </c>
      <c r="BK79" s="473">
        <f>блюда!BK13</f>
        <v>0</v>
      </c>
      <c r="BL79" s="473">
        <f>блюда!BL13</f>
        <v>0</v>
      </c>
      <c r="BM79" s="473">
        <f>блюда!BM13</f>
        <v>0</v>
      </c>
      <c r="BN79" s="473">
        <f>блюда!BN13</f>
        <v>0</v>
      </c>
      <c r="BO79" s="473">
        <f>блюда!BO13</f>
        <v>0</v>
      </c>
      <c r="BP79" s="473">
        <f>блюда!BP13</f>
        <v>0</v>
      </c>
      <c r="BQ79" s="473">
        <f>блюда!BQ13</f>
        <v>0</v>
      </c>
      <c r="BR79" s="473">
        <f>блюда!BR13</f>
        <v>0</v>
      </c>
      <c r="BS79" s="473">
        <f>блюда!BS13</f>
        <v>0</v>
      </c>
      <c r="BT79" s="473">
        <f>блюда!BT13</f>
        <v>0</v>
      </c>
      <c r="BU79" s="473">
        <f>блюда!BU13</f>
        <v>0</v>
      </c>
      <c r="BV79" s="473">
        <f>блюда!BV13</f>
        <v>0</v>
      </c>
      <c r="BW79" s="473">
        <f>блюда!BW13</f>
        <v>0</v>
      </c>
      <c r="BX79" s="473">
        <f>блюда!BX13</f>
        <v>0</v>
      </c>
      <c r="BY79" s="473">
        <f>блюда!BY13</f>
        <v>0</v>
      </c>
      <c r="BZ79" s="473">
        <f>блюда!BZ13</f>
        <v>0</v>
      </c>
      <c r="CA79" s="473">
        <f>блюда!CA13</f>
        <v>0</v>
      </c>
      <c r="CB79" s="473">
        <f>блюда!CB13</f>
        <v>0</v>
      </c>
      <c r="CC79" s="473">
        <f>блюда!CC13</f>
        <v>0</v>
      </c>
      <c r="CD79" s="473">
        <f>блюда!CD13</f>
        <v>0</v>
      </c>
      <c r="CE79" s="473">
        <f>блюда!CE13</f>
        <v>0</v>
      </c>
      <c r="CF79" s="473">
        <f>блюда!CF13</f>
        <v>0</v>
      </c>
      <c r="CG79" s="473">
        <f>блюда!CG13</f>
        <v>0</v>
      </c>
      <c r="CH79" s="473">
        <f>блюда!CH13</f>
        <v>0</v>
      </c>
      <c r="CI79" s="473">
        <f>блюда!CI13</f>
        <v>0</v>
      </c>
      <c r="CJ79" s="473">
        <f>блюда!CJ13</f>
        <v>0</v>
      </c>
      <c r="CK79" s="473">
        <f>блюда!CK13</f>
        <v>0</v>
      </c>
      <c r="CL79" s="473">
        <f>блюда!CL13</f>
        <v>0</v>
      </c>
      <c r="CM79" s="473">
        <f>блюда!CM13</f>
        <v>0</v>
      </c>
      <c r="CN79" s="473">
        <f>блюда!CN13</f>
        <v>0</v>
      </c>
      <c r="CO79" s="473">
        <f>блюда!CO13</f>
        <v>0</v>
      </c>
      <c r="CP79" s="473">
        <f>блюда!CP13</f>
        <v>0</v>
      </c>
      <c r="CQ79" s="473">
        <f>блюда!CQ13</f>
        <v>0</v>
      </c>
      <c r="CR79" s="473">
        <f>блюда!CR13</f>
        <v>0</v>
      </c>
      <c r="CS79" s="473">
        <f>блюда!CS13</f>
        <v>0</v>
      </c>
      <c r="CT79" s="473">
        <f>блюда!CT13</f>
        <v>0</v>
      </c>
      <c r="CU79" s="473">
        <f>блюда!CU13</f>
        <v>0</v>
      </c>
      <c r="CV79" s="473">
        <f>блюда!CV13</f>
        <v>0</v>
      </c>
      <c r="CW79" s="473">
        <f>блюда!CW13</f>
        <v>0</v>
      </c>
      <c r="CX79" s="473">
        <f>блюда!CX13</f>
        <v>0</v>
      </c>
      <c r="CY79" s="473">
        <f>блюда!CY13</f>
        <v>0</v>
      </c>
      <c r="CZ79" s="473">
        <f>блюда!CZ13</f>
        <v>0</v>
      </c>
      <c r="DA79" s="473">
        <f>блюда!DA13</f>
        <v>0</v>
      </c>
      <c r="DB79" s="473">
        <f>блюда!DB13</f>
        <v>0</v>
      </c>
      <c r="DC79" s="473">
        <f>блюда!DC13</f>
        <v>0</v>
      </c>
      <c r="DD79" s="473">
        <f>блюда!DD13</f>
        <v>0</v>
      </c>
      <c r="DE79" s="473">
        <f>блюда!DE13</f>
        <v>0</v>
      </c>
      <c r="DF79" s="473">
        <f>блюда!DF13</f>
        <v>0</v>
      </c>
      <c r="DG79" s="473">
        <f>блюда!DG13</f>
        <v>0</v>
      </c>
      <c r="DH79" s="473">
        <f>блюда!DH13</f>
        <v>0</v>
      </c>
      <c r="DI79" s="473">
        <f>блюда!DI13</f>
        <v>0</v>
      </c>
      <c r="DJ79" s="473">
        <f>блюда!DJ13</f>
        <v>0</v>
      </c>
      <c r="DK79" s="473">
        <f>блюда!DK13</f>
        <v>0</v>
      </c>
      <c r="DL79" s="473">
        <f>блюда!DL13</f>
        <v>0</v>
      </c>
      <c r="DM79" s="473">
        <f>блюда!DM13</f>
        <v>0</v>
      </c>
      <c r="DN79" s="473">
        <f>блюда!DN13</f>
        <v>0</v>
      </c>
      <c r="DO79" s="473">
        <f>блюда!DO13</f>
        <v>0</v>
      </c>
      <c r="DP79" s="473">
        <f>блюда!DP13</f>
        <v>0</v>
      </c>
      <c r="DQ79" s="473">
        <f>блюда!DQ13</f>
        <v>0</v>
      </c>
      <c r="DR79" s="473">
        <f>блюда!DR13</f>
        <v>0</v>
      </c>
      <c r="DS79" s="473">
        <f>блюда!DS13</f>
        <v>0</v>
      </c>
      <c r="DT79" s="473">
        <f>блюда!DT13</f>
        <v>0</v>
      </c>
      <c r="DU79" s="473">
        <f>блюда!DU13</f>
        <v>0</v>
      </c>
      <c r="DV79" s="473">
        <f>блюда!DV13</f>
        <v>0</v>
      </c>
      <c r="DW79" s="473">
        <f>блюда!DW13</f>
        <v>0</v>
      </c>
      <c r="DX79" s="473">
        <f>блюда!DX13</f>
        <v>0</v>
      </c>
      <c r="DY79" s="473">
        <f>блюда!DY13</f>
        <v>0</v>
      </c>
      <c r="DZ79" s="473">
        <f>блюда!DZ13</f>
        <v>0</v>
      </c>
      <c r="EA79" s="473">
        <f>блюда!EA13</f>
        <v>0</v>
      </c>
      <c r="EB79" s="473">
        <f>блюда!EB13</f>
        <v>0</v>
      </c>
      <c r="EC79" s="473">
        <f>блюда!EC13</f>
        <v>0</v>
      </c>
      <c r="ED79" s="473">
        <f>блюда!ED13</f>
        <v>0</v>
      </c>
      <c r="EE79" s="473">
        <f>блюда!EE13</f>
        <v>0</v>
      </c>
      <c r="EF79" s="473">
        <f>блюда!EF13</f>
        <v>0</v>
      </c>
      <c r="EG79" s="473">
        <f>блюда!EG13</f>
        <v>0</v>
      </c>
      <c r="EH79" s="473">
        <f>блюда!EH13</f>
        <v>0</v>
      </c>
      <c r="EI79" s="473">
        <f>блюда!EI13</f>
        <v>0</v>
      </c>
      <c r="EJ79" s="473">
        <f>блюда!EJ13</f>
        <v>0</v>
      </c>
      <c r="EK79" s="473">
        <f>блюда!EK13</f>
        <v>0</v>
      </c>
      <c r="EL79" s="473">
        <f>блюда!EL13</f>
        <v>0</v>
      </c>
      <c r="EM79" s="473">
        <f>блюда!EM13</f>
        <v>0</v>
      </c>
      <c r="EN79" s="473">
        <f>блюда!EN13</f>
        <v>0</v>
      </c>
      <c r="EO79" s="473">
        <f>блюда!EO13</f>
        <v>0</v>
      </c>
      <c r="EP79" s="473">
        <f>блюда!EP13</f>
        <v>0</v>
      </c>
      <c r="EQ79" s="473">
        <f>блюда!EQ13</f>
        <v>0</v>
      </c>
      <c r="ER79" s="473">
        <f>блюда!ER13</f>
        <v>0</v>
      </c>
      <c r="ES79" s="473">
        <f>блюда!ES13</f>
        <v>0</v>
      </c>
      <c r="ET79" s="473">
        <f>блюда!ET13</f>
        <v>0</v>
      </c>
      <c r="EU79" s="473">
        <f>блюда!EU13</f>
        <v>0</v>
      </c>
      <c r="EV79" s="473">
        <f>блюда!EV13</f>
        <v>0</v>
      </c>
      <c r="EW79" s="473">
        <f>блюда!EW13</f>
        <v>0</v>
      </c>
      <c r="EX79" s="473">
        <f>блюда!EX13</f>
        <v>0</v>
      </c>
      <c r="EY79" s="927">
        <f t="shared" si="42"/>
        <v>0.01</v>
      </c>
      <c r="EZ79" s="431">
        <f>блюда!EZ332</f>
        <v>0</v>
      </c>
      <c r="FA79" s="431">
        <f>блюда!FA332</f>
        <v>0</v>
      </c>
      <c r="FB79" s="431">
        <f>блюда!FB332</f>
        <v>0</v>
      </c>
      <c r="FC79" s="431">
        <f>блюда!FC332</f>
        <v>0</v>
      </c>
      <c r="FD79" s="431">
        <f>блюда!FD332</f>
        <v>0</v>
      </c>
      <c r="FE79" s="431">
        <f>блюда!FE332</f>
        <v>0</v>
      </c>
      <c r="FF79" s="431">
        <f>блюда!FF332</f>
        <v>0</v>
      </c>
      <c r="FG79" s="431">
        <f>блюда!FG332</f>
        <v>0</v>
      </c>
      <c r="FH79" s="431">
        <f>блюда!FH332</f>
        <v>0</v>
      </c>
      <c r="FI79" s="431">
        <f>блюда!FI332</f>
        <v>0</v>
      </c>
      <c r="FJ79" s="431">
        <f>блюда!FJ332</f>
        <v>0</v>
      </c>
      <c r="FK79" s="431">
        <f>блюда!FK332</f>
        <v>0</v>
      </c>
      <c r="FL79" s="431">
        <f>блюда!FL332</f>
        <v>0</v>
      </c>
    </row>
    <row r="80" spans="1:169" ht="13.95" customHeight="1" x14ac:dyDescent="0.25">
      <c r="A80" s="1460"/>
      <c r="B80" s="115" t="str">
        <f>блюда!B334</f>
        <v>Хлеб пшенично-ржаной нарезной</v>
      </c>
      <c r="C80" s="116">
        <f>блюда!C334</f>
        <v>40</v>
      </c>
      <c r="D80" s="431">
        <f>блюда!D334</f>
        <v>3</v>
      </c>
      <c r="E80" s="431">
        <f>блюда!E334</f>
        <v>0.8</v>
      </c>
      <c r="F80" s="431">
        <f>блюда!F334</f>
        <v>20.8</v>
      </c>
      <c r="G80" s="116">
        <f>блюда!G334</f>
        <v>100</v>
      </c>
      <c r="H80" s="116" t="str">
        <f>блюда!H334</f>
        <v>ПРОМ</v>
      </c>
      <c r="I80" s="431">
        <f>блюда!I334</f>
        <v>2.6</v>
      </c>
      <c r="J80" s="473">
        <f>блюда!J334</f>
        <v>0</v>
      </c>
      <c r="K80" s="473">
        <f>блюда!K334</f>
        <v>0</v>
      </c>
      <c r="L80" s="473">
        <f>блюда!L334</f>
        <v>0</v>
      </c>
      <c r="M80" s="473">
        <f>блюда!M334</f>
        <v>0</v>
      </c>
      <c r="N80" s="473">
        <f>блюда!N334</f>
        <v>0</v>
      </c>
      <c r="O80" s="473">
        <f>блюда!O334</f>
        <v>0</v>
      </c>
      <c r="P80" s="473">
        <f>блюда!P334</f>
        <v>0</v>
      </c>
      <c r="Q80" s="473">
        <f>блюда!Q334</f>
        <v>0</v>
      </c>
      <c r="R80" s="473">
        <f>блюда!R334</f>
        <v>0</v>
      </c>
      <c r="S80" s="473">
        <f>блюда!S334</f>
        <v>0</v>
      </c>
      <c r="T80" s="473">
        <f>блюда!T334</f>
        <v>0</v>
      </c>
      <c r="U80" s="473">
        <f>блюда!U334</f>
        <v>0</v>
      </c>
      <c r="V80" s="473">
        <f>блюда!V334</f>
        <v>0</v>
      </c>
      <c r="W80" s="473">
        <f>блюда!W334</f>
        <v>0</v>
      </c>
      <c r="X80" s="473">
        <f>блюда!X334</f>
        <v>0</v>
      </c>
      <c r="Y80" s="473">
        <f>блюда!Y334</f>
        <v>0</v>
      </c>
      <c r="Z80" s="473">
        <f>блюда!Z334</f>
        <v>0</v>
      </c>
      <c r="AA80" s="473">
        <f>блюда!AA334</f>
        <v>0</v>
      </c>
      <c r="AB80" s="473">
        <f>блюда!AB334</f>
        <v>0</v>
      </c>
      <c r="AC80" s="473">
        <f>блюда!AC334</f>
        <v>0</v>
      </c>
      <c r="AD80" s="473">
        <f>блюда!AD334</f>
        <v>0</v>
      </c>
      <c r="AE80" s="473">
        <f>блюда!AE334</f>
        <v>0</v>
      </c>
      <c r="AF80" s="473">
        <f>блюда!AF334</f>
        <v>0</v>
      </c>
      <c r="AG80" s="473">
        <f>блюда!AG334</f>
        <v>0</v>
      </c>
      <c r="AH80" s="473">
        <f>блюда!AH334</f>
        <v>0</v>
      </c>
      <c r="AI80" s="473">
        <f>блюда!AI334</f>
        <v>0</v>
      </c>
      <c r="AJ80" s="473">
        <f>блюда!AJ334</f>
        <v>0</v>
      </c>
      <c r="AK80" s="473">
        <f>блюда!AK334</f>
        <v>0</v>
      </c>
      <c r="AL80" s="473">
        <f>блюда!AL334</f>
        <v>0</v>
      </c>
      <c r="AM80" s="473">
        <f>блюда!AM334</f>
        <v>0</v>
      </c>
      <c r="AN80" s="473">
        <f>блюда!AN334</f>
        <v>0</v>
      </c>
      <c r="AO80" s="473">
        <f>блюда!AO334</f>
        <v>0</v>
      </c>
      <c r="AP80" s="473">
        <f>блюда!AP334</f>
        <v>0</v>
      </c>
      <c r="AQ80" s="473">
        <f>блюда!AQ334</f>
        <v>0</v>
      </c>
      <c r="AR80" s="473">
        <f>блюда!AR334</f>
        <v>0</v>
      </c>
      <c r="AS80" s="473">
        <f>блюда!AS334</f>
        <v>0</v>
      </c>
      <c r="AT80" s="473">
        <f>блюда!AT334</f>
        <v>0</v>
      </c>
      <c r="AU80" s="473">
        <f>блюда!AU334</f>
        <v>0</v>
      </c>
      <c r="AV80" s="473">
        <f>блюда!AV334</f>
        <v>0</v>
      </c>
      <c r="AW80" s="473">
        <f>блюда!AW334</f>
        <v>0</v>
      </c>
      <c r="AX80" s="473">
        <f>блюда!AX334</f>
        <v>0</v>
      </c>
      <c r="AY80" s="473">
        <f>блюда!AY334</f>
        <v>0</v>
      </c>
      <c r="AZ80" s="473">
        <f>блюда!AZ334</f>
        <v>0</v>
      </c>
      <c r="BA80" s="473">
        <f>блюда!BA334</f>
        <v>0</v>
      </c>
      <c r="BB80" s="473">
        <f>блюда!BB334</f>
        <v>0</v>
      </c>
      <c r="BC80" s="473">
        <f>блюда!BC334</f>
        <v>0</v>
      </c>
      <c r="BD80" s="473">
        <f>блюда!BD334</f>
        <v>0</v>
      </c>
      <c r="BE80" s="473">
        <f>блюда!BE334</f>
        <v>0</v>
      </c>
      <c r="BF80" s="473">
        <f>блюда!BF334</f>
        <v>0</v>
      </c>
      <c r="BG80" s="473">
        <f>блюда!BG334</f>
        <v>0</v>
      </c>
      <c r="BH80" s="473">
        <f>блюда!BH334</f>
        <v>0</v>
      </c>
      <c r="BI80" s="473">
        <f>блюда!BI334</f>
        <v>0</v>
      </c>
      <c r="BJ80" s="473">
        <f>блюда!BJ334</f>
        <v>0</v>
      </c>
      <c r="BK80" s="473">
        <f>блюда!BK334</f>
        <v>0</v>
      </c>
      <c r="BL80" s="473">
        <f>блюда!BL334</f>
        <v>0</v>
      </c>
      <c r="BM80" s="473">
        <f>блюда!BM334</f>
        <v>0</v>
      </c>
      <c r="BN80" s="473">
        <f>блюда!BN334</f>
        <v>0</v>
      </c>
      <c r="BO80" s="473">
        <f>блюда!BO334</f>
        <v>0</v>
      </c>
      <c r="BP80" s="473">
        <f>блюда!BP334</f>
        <v>0</v>
      </c>
      <c r="BQ80" s="473">
        <f>блюда!BQ334</f>
        <v>0</v>
      </c>
      <c r="BR80" s="473">
        <f>блюда!BR334</f>
        <v>0</v>
      </c>
      <c r="BS80" s="473">
        <f>блюда!BS334</f>
        <v>0</v>
      </c>
      <c r="BT80" s="473">
        <f>блюда!BT334</f>
        <v>0</v>
      </c>
      <c r="BU80" s="473">
        <f>блюда!BU334</f>
        <v>0</v>
      </c>
      <c r="BV80" s="473">
        <f>блюда!BV334</f>
        <v>0</v>
      </c>
      <c r="BW80" s="473">
        <f>блюда!BW334</f>
        <v>0</v>
      </c>
      <c r="BX80" s="473">
        <f>блюда!BX334</f>
        <v>0</v>
      </c>
      <c r="BY80" s="473">
        <f>блюда!BY334</f>
        <v>0</v>
      </c>
      <c r="BZ80" s="473">
        <f>блюда!BZ334</f>
        <v>0</v>
      </c>
      <c r="CA80" s="473">
        <f>блюда!CA334</f>
        <v>0</v>
      </c>
      <c r="CB80" s="473">
        <f>блюда!CB334</f>
        <v>0</v>
      </c>
      <c r="CC80" s="473">
        <f>блюда!CC334</f>
        <v>0</v>
      </c>
      <c r="CD80" s="473">
        <f>блюда!CD334</f>
        <v>0</v>
      </c>
      <c r="CE80" s="473">
        <f>блюда!CE334</f>
        <v>0</v>
      </c>
      <c r="CF80" s="473">
        <f>блюда!CF334</f>
        <v>0</v>
      </c>
      <c r="CG80" s="473">
        <f>блюда!CG334</f>
        <v>0</v>
      </c>
      <c r="CH80" s="473">
        <f>блюда!CH334</f>
        <v>0</v>
      </c>
      <c r="CI80" s="473">
        <f>блюда!CI334</f>
        <v>0</v>
      </c>
      <c r="CJ80" s="473">
        <f>блюда!CJ334</f>
        <v>0</v>
      </c>
      <c r="CK80" s="473">
        <f>блюда!CK334</f>
        <v>0</v>
      </c>
      <c r="CL80" s="473">
        <f>блюда!CL334</f>
        <v>0</v>
      </c>
      <c r="CM80" s="473">
        <f>блюда!CM334</f>
        <v>0</v>
      </c>
      <c r="CN80" s="473">
        <f>блюда!CN334</f>
        <v>0</v>
      </c>
      <c r="CO80" s="473">
        <f>блюда!CO334</f>
        <v>0</v>
      </c>
      <c r="CP80" s="473">
        <f>блюда!CP334</f>
        <v>0</v>
      </c>
      <c r="CQ80" s="473">
        <f>блюда!CQ334</f>
        <v>0</v>
      </c>
      <c r="CR80" s="473">
        <f>блюда!CR334</f>
        <v>0</v>
      </c>
      <c r="CS80" s="473">
        <f>блюда!CS334</f>
        <v>0</v>
      </c>
      <c r="CT80" s="473">
        <f>блюда!CT334</f>
        <v>0</v>
      </c>
      <c r="CU80" s="473">
        <f>блюда!CU334</f>
        <v>0</v>
      </c>
      <c r="CV80" s="473">
        <f>блюда!CV334</f>
        <v>0</v>
      </c>
      <c r="CW80" s="473">
        <f>блюда!CW334</f>
        <v>0</v>
      </c>
      <c r="CX80" s="473">
        <f>блюда!CX334</f>
        <v>0</v>
      </c>
      <c r="CY80" s="473">
        <f>блюда!CY334</f>
        <v>0</v>
      </c>
      <c r="CZ80" s="473">
        <f>блюда!CZ334</f>
        <v>0</v>
      </c>
      <c r="DA80" s="473">
        <f>блюда!DA334</f>
        <v>0</v>
      </c>
      <c r="DB80" s="473">
        <f>блюда!DB334</f>
        <v>0</v>
      </c>
      <c r="DC80" s="473">
        <f>блюда!DC334</f>
        <v>0</v>
      </c>
      <c r="DD80" s="473">
        <f>блюда!DD334</f>
        <v>0</v>
      </c>
      <c r="DE80" s="473">
        <f>блюда!DE334</f>
        <v>0</v>
      </c>
      <c r="DF80" s="473">
        <f>блюда!DF334</f>
        <v>0</v>
      </c>
      <c r="DG80" s="473">
        <f>блюда!DG334</f>
        <v>0</v>
      </c>
      <c r="DH80" s="473">
        <f>блюда!DH334</f>
        <v>0</v>
      </c>
      <c r="DI80" s="473">
        <f>блюда!DI334</f>
        <v>0</v>
      </c>
      <c r="DJ80" s="473">
        <f>блюда!DJ334</f>
        <v>0</v>
      </c>
      <c r="DK80" s="473">
        <f>блюда!DK334</f>
        <v>0</v>
      </c>
      <c r="DL80" s="473">
        <f>блюда!DL334</f>
        <v>0</v>
      </c>
      <c r="DM80" s="473">
        <f>блюда!DM334</f>
        <v>0</v>
      </c>
      <c r="DN80" s="473">
        <f>блюда!DN334</f>
        <v>0</v>
      </c>
      <c r="DO80" s="473">
        <f>блюда!DO334</f>
        <v>0</v>
      </c>
      <c r="DP80" s="473">
        <f>блюда!DP334</f>
        <v>0</v>
      </c>
      <c r="DQ80" s="473">
        <f>блюда!DQ334</f>
        <v>0</v>
      </c>
      <c r="DR80" s="473">
        <f>блюда!DR334</f>
        <v>0</v>
      </c>
      <c r="DS80" s="473">
        <f>блюда!DS334</f>
        <v>0</v>
      </c>
      <c r="DT80" s="473">
        <f>блюда!DT334</f>
        <v>0</v>
      </c>
      <c r="DU80" s="473">
        <f>блюда!DU334</f>
        <v>0</v>
      </c>
      <c r="DV80" s="473">
        <f>блюда!DV334</f>
        <v>0</v>
      </c>
      <c r="DW80" s="473">
        <f>блюда!DW334</f>
        <v>0</v>
      </c>
      <c r="DX80" s="473">
        <f>блюда!DX334</f>
        <v>0</v>
      </c>
      <c r="DY80" s="473">
        <f>блюда!DY334</f>
        <v>0</v>
      </c>
      <c r="DZ80" s="473">
        <f>блюда!DZ334</f>
        <v>0</v>
      </c>
      <c r="EA80" s="473">
        <f>блюда!EA334</f>
        <v>0</v>
      </c>
      <c r="EB80" s="473">
        <f>блюда!EB334</f>
        <v>0</v>
      </c>
      <c r="EC80" s="473">
        <f>блюда!EC334</f>
        <v>0</v>
      </c>
      <c r="ED80" s="473">
        <f>блюда!ED334</f>
        <v>0</v>
      </c>
      <c r="EE80" s="473">
        <f>блюда!EE334</f>
        <v>0</v>
      </c>
      <c r="EF80" s="473">
        <f>блюда!EF334</f>
        <v>0</v>
      </c>
      <c r="EG80" s="473">
        <f>блюда!EG334</f>
        <v>0</v>
      </c>
      <c r="EH80" s="473">
        <f>блюда!EH334</f>
        <v>0</v>
      </c>
      <c r="EI80" s="473">
        <f>блюда!EI334</f>
        <v>0</v>
      </c>
      <c r="EJ80" s="473">
        <f>блюда!EJ334</f>
        <v>0</v>
      </c>
      <c r="EK80" s="473">
        <f>блюда!EK334</f>
        <v>0</v>
      </c>
      <c r="EL80" s="473">
        <f>блюда!EL334</f>
        <v>0</v>
      </c>
      <c r="EM80" s="473">
        <f>блюда!EM334</f>
        <v>0</v>
      </c>
      <c r="EN80" s="473">
        <f>блюда!EN334</f>
        <v>0</v>
      </c>
      <c r="EO80" s="473">
        <f>блюда!EO334</f>
        <v>0</v>
      </c>
      <c r="EP80" s="473">
        <f>блюда!EP334</f>
        <v>0</v>
      </c>
      <c r="EQ80" s="473">
        <f>блюда!EQ334</f>
        <v>0</v>
      </c>
      <c r="ER80" s="473">
        <f>блюда!ER334</f>
        <v>0</v>
      </c>
      <c r="ES80" s="473">
        <f>блюда!ES334</f>
        <v>0</v>
      </c>
      <c r="ET80" s="473">
        <f>блюда!ET334</f>
        <v>0</v>
      </c>
      <c r="EU80" s="473">
        <f>блюда!EU334</f>
        <v>0</v>
      </c>
      <c r="EV80" s="473">
        <f>блюда!EV334</f>
        <v>0</v>
      </c>
      <c r="EW80" s="473">
        <f>блюда!EW334</f>
        <v>0.04</v>
      </c>
      <c r="EX80" s="473">
        <f>блюда!EX334</f>
        <v>0</v>
      </c>
      <c r="EY80" s="927">
        <f t="shared" si="42"/>
        <v>0.04</v>
      </c>
      <c r="EZ80" s="431">
        <f>блюда!EZ13</f>
        <v>0</v>
      </c>
      <c r="FA80" s="431">
        <f>блюда!FA13</f>
        <v>0</v>
      </c>
      <c r="FB80" s="431">
        <f>блюда!FB13</f>
        <v>0</v>
      </c>
      <c r="FC80" s="431">
        <f>блюда!FC13</f>
        <v>0</v>
      </c>
      <c r="FD80" s="431">
        <f>блюда!FD13</f>
        <v>0</v>
      </c>
      <c r="FE80" s="431">
        <f>блюда!FE13</f>
        <v>0</v>
      </c>
      <c r="FF80" s="431">
        <f>блюда!FF13</f>
        <v>0</v>
      </c>
      <c r="FG80" s="431">
        <f>блюда!FG13</f>
        <v>0</v>
      </c>
      <c r="FH80" s="431">
        <f>блюда!FH13</f>
        <v>0</v>
      </c>
      <c r="FI80" s="431">
        <f>блюда!FI13</f>
        <v>0</v>
      </c>
      <c r="FJ80" s="431">
        <f>блюда!FJ13</f>
        <v>0</v>
      </c>
      <c r="FK80" s="431">
        <f>блюда!FK13</f>
        <v>0</v>
      </c>
      <c r="FL80" s="431">
        <f>блюда!FL13</f>
        <v>0</v>
      </c>
    </row>
    <row r="81" spans="1:168" ht="13.95" customHeight="1" x14ac:dyDescent="0.25">
      <c r="A81" s="1460"/>
      <c r="B81" s="115" t="str">
        <f>блюда!B286</f>
        <v>Чай с сахаром</v>
      </c>
      <c r="C81" s="116">
        <f>блюда!C286</f>
        <v>200</v>
      </c>
      <c r="D81" s="431">
        <f>блюда!D286</f>
        <v>7.0000000000000007E-2</v>
      </c>
      <c r="E81" s="431">
        <f>блюда!E286</f>
        <v>0.02</v>
      </c>
      <c r="F81" s="431">
        <f>блюда!F286</f>
        <v>13.95</v>
      </c>
      <c r="G81" s="116">
        <f>блюда!G286</f>
        <v>56</v>
      </c>
      <c r="H81" s="116">
        <f>блюда!H286</f>
        <v>376</v>
      </c>
      <c r="I81" s="431">
        <f>блюда!I286</f>
        <v>1.59</v>
      </c>
      <c r="J81" s="473">
        <f>блюда!J286</f>
        <v>0</v>
      </c>
      <c r="K81" s="473">
        <f>блюда!K286</f>
        <v>0</v>
      </c>
      <c r="L81" s="473">
        <f>блюда!L286</f>
        <v>0</v>
      </c>
      <c r="M81" s="473">
        <f>блюда!M286</f>
        <v>0</v>
      </c>
      <c r="N81" s="473">
        <f>блюда!N286</f>
        <v>0</v>
      </c>
      <c r="O81" s="473">
        <f>блюда!O286</f>
        <v>0</v>
      </c>
      <c r="P81" s="473">
        <f>блюда!P286</f>
        <v>0</v>
      </c>
      <c r="Q81" s="473">
        <f>блюда!Q286</f>
        <v>0</v>
      </c>
      <c r="R81" s="473">
        <f>блюда!R286</f>
        <v>0</v>
      </c>
      <c r="S81" s="473">
        <f>блюда!S286</f>
        <v>0</v>
      </c>
      <c r="T81" s="473">
        <f>блюда!T286</f>
        <v>0</v>
      </c>
      <c r="U81" s="473">
        <f>блюда!U286</f>
        <v>0</v>
      </c>
      <c r="V81" s="473">
        <f>блюда!V286</f>
        <v>0</v>
      </c>
      <c r="W81" s="473">
        <f>блюда!W286</f>
        <v>0</v>
      </c>
      <c r="X81" s="473">
        <f>блюда!X286</f>
        <v>0</v>
      </c>
      <c r="Y81" s="473">
        <f>блюда!Y286</f>
        <v>0</v>
      </c>
      <c r="Z81" s="473">
        <f>блюда!Z286</f>
        <v>0</v>
      </c>
      <c r="AA81" s="473">
        <f>блюда!AA286</f>
        <v>0</v>
      </c>
      <c r="AB81" s="473">
        <f>блюда!AB286</f>
        <v>0</v>
      </c>
      <c r="AC81" s="473">
        <f>блюда!AC286</f>
        <v>0</v>
      </c>
      <c r="AD81" s="473">
        <f>блюда!AD286</f>
        <v>0</v>
      </c>
      <c r="AE81" s="473">
        <f>блюда!AE286</f>
        <v>0</v>
      </c>
      <c r="AF81" s="473">
        <f>блюда!AF286</f>
        <v>0</v>
      </c>
      <c r="AG81" s="473">
        <f>блюда!AG286</f>
        <v>0</v>
      </c>
      <c r="AH81" s="473">
        <f>блюда!AH286</f>
        <v>0</v>
      </c>
      <c r="AI81" s="473">
        <f>блюда!AI286</f>
        <v>0</v>
      </c>
      <c r="AJ81" s="473">
        <f>блюда!AJ286</f>
        <v>0</v>
      </c>
      <c r="AK81" s="473">
        <f>блюда!AK286</f>
        <v>0</v>
      </c>
      <c r="AL81" s="473">
        <f>блюда!AL286</f>
        <v>0</v>
      </c>
      <c r="AM81" s="473">
        <f>блюда!AM286</f>
        <v>0</v>
      </c>
      <c r="AN81" s="473">
        <f>блюда!AN286</f>
        <v>0</v>
      </c>
      <c r="AO81" s="473">
        <f>блюда!AO286</f>
        <v>0</v>
      </c>
      <c r="AP81" s="473">
        <f>блюда!AP286</f>
        <v>0</v>
      </c>
      <c r="AQ81" s="473">
        <f>блюда!AQ286</f>
        <v>0</v>
      </c>
      <c r="AR81" s="473">
        <f>блюда!AR286</f>
        <v>0</v>
      </c>
      <c r="AS81" s="473">
        <f>блюда!AS286</f>
        <v>0</v>
      </c>
      <c r="AT81" s="473">
        <f>блюда!AT286</f>
        <v>0</v>
      </c>
      <c r="AU81" s="473">
        <f>блюда!AU286</f>
        <v>0</v>
      </c>
      <c r="AV81" s="473">
        <f>блюда!AV286</f>
        <v>0</v>
      </c>
      <c r="AW81" s="473">
        <f>блюда!AW286</f>
        <v>0</v>
      </c>
      <c r="AX81" s="473">
        <f>блюда!AX286</f>
        <v>0</v>
      </c>
      <c r="AY81" s="473">
        <f>блюда!AY286</f>
        <v>0</v>
      </c>
      <c r="AZ81" s="473">
        <f>блюда!AZ286</f>
        <v>0</v>
      </c>
      <c r="BA81" s="473">
        <f>блюда!BA286</f>
        <v>0</v>
      </c>
      <c r="BB81" s="473">
        <f>блюда!BB286</f>
        <v>0</v>
      </c>
      <c r="BC81" s="473">
        <f>блюда!BC286</f>
        <v>0</v>
      </c>
      <c r="BD81" s="473">
        <f>блюда!BD286</f>
        <v>0</v>
      </c>
      <c r="BE81" s="473">
        <f>блюда!BE286</f>
        <v>0</v>
      </c>
      <c r="BF81" s="473">
        <f>блюда!BF286</f>
        <v>0</v>
      </c>
      <c r="BG81" s="473">
        <f>блюда!BG286</f>
        <v>0</v>
      </c>
      <c r="BH81" s="473">
        <f>блюда!BH286</f>
        <v>0</v>
      </c>
      <c r="BI81" s="473">
        <f>блюда!BI286</f>
        <v>0</v>
      </c>
      <c r="BJ81" s="473">
        <f>блюда!BJ286</f>
        <v>0</v>
      </c>
      <c r="BK81" s="473">
        <f>блюда!BK286</f>
        <v>0</v>
      </c>
      <c r="BL81" s="473">
        <f>блюда!BL286</f>
        <v>0</v>
      </c>
      <c r="BM81" s="473">
        <f>блюда!BM286</f>
        <v>0</v>
      </c>
      <c r="BN81" s="473">
        <f>блюда!BN286</f>
        <v>0</v>
      </c>
      <c r="BO81" s="473">
        <f>блюда!BO286</f>
        <v>0</v>
      </c>
      <c r="BP81" s="473">
        <f>блюда!BP286</f>
        <v>0</v>
      </c>
      <c r="BQ81" s="473">
        <f>блюда!BQ286</f>
        <v>0</v>
      </c>
      <c r="BR81" s="473">
        <f>блюда!BR286</f>
        <v>0</v>
      </c>
      <c r="BS81" s="473">
        <f>блюда!BS286</f>
        <v>0</v>
      </c>
      <c r="BT81" s="473">
        <f>блюда!BT286</f>
        <v>0</v>
      </c>
      <c r="BU81" s="473">
        <f>блюда!BU286</f>
        <v>0</v>
      </c>
      <c r="BV81" s="473">
        <f>блюда!BV286</f>
        <v>0</v>
      </c>
      <c r="BW81" s="473">
        <f>блюда!BW286</f>
        <v>0</v>
      </c>
      <c r="BX81" s="473">
        <f>блюда!BX286</f>
        <v>0</v>
      </c>
      <c r="BY81" s="473">
        <f>блюда!BY286</f>
        <v>0</v>
      </c>
      <c r="BZ81" s="473">
        <f>блюда!BZ286</f>
        <v>0</v>
      </c>
      <c r="CA81" s="473">
        <f>блюда!CA286</f>
        <v>0</v>
      </c>
      <c r="CB81" s="473">
        <f>блюда!CB286</f>
        <v>0</v>
      </c>
      <c r="CC81" s="473">
        <f>блюда!CC286</f>
        <v>0</v>
      </c>
      <c r="CD81" s="473">
        <f>блюда!CD286</f>
        <v>0</v>
      </c>
      <c r="CE81" s="473">
        <f>блюда!CE286</f>
        <v>0</v>
      </c>
      <c r="CF81" s="473">
        <f>блюда!CF286</f>
        <v>0</v>
      </c>
      <c r="CG81" s="473">
        <f>блюда!CG286</f>
        <v>0</v>
      </c>
      <c r="CH81" s="473">
        <f>блюда!CH286</f>
        <v>0</v>
      </c>
      <c r="CI81" s="473">
        <f>блюда!CI286</f>
        <v>0</v>
      </c>
      <c r="CJ81" s="473">
        <f>блюда!CJ286</f>
        <v>0</v>
      </c>
      <c r="CK81" s="473">
        <f>блюда!CK286</f>
        <v>0</v>
      </c>
      <c r="CL81" s="473">
        <f>блюда!CL286</f>
        <v>0</v>
      </c>
      <c r="CM81" s="473">
        <f>блюда!CM286</f>
        <v>0</v>
      </c>
      <c r="CN81" s="473">
        <f>блюда!CN286</f>
        <v>0</v>
      </c>
      <c r="CO81" s="473">
        <f>блюда!CO286</f>
        <v>0</v>
      </c>
      <c r="CP81" s="473">
        <f>блюда!CP286</f>
        <v>0</v>
      </c>
      <c r="CQ81" s="473">
        <f>блюда!CQ286</f>
        <v>0</v>
      </c>
      <c r="CR81" s="473">
        <f>блюда!CR286</f>
        <v>0</v>
      </c>
      <c r="CS81" s="473">
        <f>блюда!CS286</f>
        <v>0</v>
      </c>
      <c r="CT81" s="473">
        <f>блюда!CT286</f>
        <v>0</v>
      </c>
      <c r="CU81" s="473">
        <f>блюда!CU286</f>
        <v>0</v>
      </c>
      <c r="CV81" s="473">
        <f>блюда!CV286</f>
        <v>0</v>
      </c>
      <c r="CW81" s="473">
        <f>блюда!CW286</f>
        <v>0</v>
      </c>
      <c r="CX81" s="473">
        <f>блюда!CX286</f>
        <v>0</v>
      </c>
      <c r="CY81" s="473">
        <f>блюда!CY286</f>
        <v>0</v>
      </c>
      <c r="CZ81" s="473">
        <f>блюда!CZ286</f>
        <v>1.4999999999999999E-2</v>
      </c>
      <c r="DA81" s="473">
        <f>блюда!DA286</f>
        <v>0</v>
      </c>
      <c r="DB81" s="473">
        <f>блюда!DB286</f>
        <v>0</v>
      </c>
      <c r="DC81" s="473">
        <f>блюда!DC286</f>
        <v>0</v>
      </c>
      <c r="DD81" s="473">
        <f>блюда!DD286</f>
        <v>0</v>
      </c>
      <c r="DE81" s="473">
        <f>блюда!DE286</f>
        <v>0</v>
      </c>
      <c r="DF81" s="473">
        <f>блюда!DF286</f>
        <v>0</v>
      </c>
      <c r="DG81" s="473">
        <f>блюда!DG286</f>
        <v>0</v>
      </c>
      <c r="DH81" s="473">
        <f>блюда!DH286</f>
        <v>0</v>
      </c>
      <c r="DI81" s="473">
        <f>блюда!DI286</f>
        <v>0</v>
      </c>
      <c r="DJ81" s="473">
        <f>блюда!DJ286</f>
        <v>0</v>
      </c>
      <c r="DK81" s="473">
        <f>блюда!DK286</f>
        <v>0</v>
      </c>
      <c r="DL81" s="473">
        <f>блюда!DL286</f>
        <v>0</v>
      </c>
      <c r="DM81" s="473">
        <f>блюда!DM286</f>
        <v>0</v>
      </c>
      <c r="DN81" s="473">
        <f>блюда!DN286</f>
        <v>0</v>
      </c>
      <c r="DO81" s="473">
        <f>блюда!DO286</f>
        <v>0</v>
      </c>
      <c r="DP81" s="473">
        <f>блюда!DP286</f>
        <v>0</v>
      </c>
      <c r="DQ81" s="473">
        <f>блюда!DQ286</f>
        <v>0</v>
      </c>
      <c r="DR81" s="473">
        <f>блюда!DR286</f>
        <v>5.0000000000000001E-4</v>
      </c>
      <c r="DS81" s="473">
        <f>блюда!DS286</f>
        <v>0</v>
      </c>
      <c r="DT81" s="473">
        <f>блюда!DT286</f>
        <v>0</v>
      </c>
      <c r="DU81" s="473">
        <f>блюда!DU286</f>
        <v>0</v>
      </c>
      <c r="DV81" s="473">
        <f>блюда!DV286</f>
        <v>0</v>
      </c>
      <c r="DW81" s="473">
        <f>блюда!DW286</f>
        <v>0</v>
      </c>
      <c r="DX81" s="473">
        <f>блюда!DX286</f>
        <v>0</v>
      </c>
      <c r="DY81" s="473">
        <f>блюда!DY286</f>
        <v>0</v>
      </c>
      <c r="DZ81" s="473">
        <f>блюда!DZ286</f>
        <v>0</v>
      </c>
      <c r="EA81" s="473">
        <f>блюда!EA286</f>
        <v>0</v>
      </c>
      <c r="EB81" s="473">
        <f>блюда!EB286</f>
        <v>0</v>
      </c>
      <c r="EC81" s="473">
        <f>блюда!EC286</f>
        <v>0</v>
      </c>
      <c r="ED81" s="473">
        <f>блюда!ED286</f>
        <v>0</v>
      </c>
      <c r="EE81" s="473">
        <f>блюда!EE286</f>
        <v>0</v>
      </c>
      <c r="EF81" s="473">
        <f>блюда!EF286</f>
        <v>0</v>
      </c>
      <c r="EG81" s="473">
        <f>блюда!EG286</f>
        <v>0</v>
      </c>
      <c r="EH81" s="473">
        <f>блюда!EH286</f>
        <v>0</v>
      </c>
      <c r="EI81" s="473">
        <f>блюда!EI286</f>
        <v>0</v>
      </c>
      <c r="EJ81" s="473">
        <f>блюда!EJ286</f>
        <v>0</v>
      </c>
      <c r="EK81" s="473">
        <f>блюда!EK286</f>
        <v>0</v>
      </c>
      <c r="EL81" s="473">
        <f>блюда!EL286</f>
        <v>0</v>
      </c>
      <c r="EM81" s="473">
        <f>блюда!EM286</f>
        <v>0</v>
      </c>
      <c r="EN81" s="473">
        <f>блюда!EN286</f>
        <v>0</v>
      </c>
      <c r="EO81" s="473">
        <f>блюда!EO286</f>
        <v>0</v>
      </c>
      <c r="EP81" s="473">
        <f>блюда!EP286</f>
        <v>0</v>
      </c>
      <c r="EQ81" s="473">
        <f>блюда!EQ286</f>
        <v>0</v>
      </c>
      <c r="ER81" s="473">
        <f>блюда!ER286</f>
        <v>0</v>
      </c>
      <c r="ES81" s="473">
        <f>блюда!ES286</f>
        <v>0</v>
      </c>
      <c r="ET81" s="473">
        <f>блюда!ET286</f>
        <v>0</v>
      </c>
      <c r="EU81" s="473">
        <f>блюда!EU286</f>
        <v>0</v>
      </c>
      <c r="EV81" s="473">
        <f>блюда!EV286</f>
        <v>0</v>
      </c>
      <c r="EW81" s="473">
        <f>блюда!EW286</f>
        <v>0</v>
      </c>
      <c r="EX81" s="473">
        <f>блюда!EX286</f>
        <v>0</v>
      </c>
      <c r="EY81" s="927">
        <f t="shared" si="42"/>
        <v>1.55E-2</v>
      </c>
      <c r="EZ81" s="431">
        <f>блюда!EZ14</f>
        <v>0</v>
      </c>
      <c r="FA81" s="431">
        <f>блюда!FA14</f>
        <v>0</v>
      </c>
      <c r="FB81" s="431">
        <f>блюда!FB14</f>
        <v>0</v>
      </c>
      <c r="FC81" s="431">
        <f>блюда!FC14</f>
        <v>0</v>
      </c>
      <c r="FD81" s="431">
        <f>блюда!FD14</f>
        <v>0</v>
      </c>
      <c r="FE81" s="431">
        <f>блюда!FE14</f>
        <v>0</v>
      </c>
      <c r="FF81" s="431">
        <f>блюда!FF14</f>
        <v>0</v>
      </c>
      <c r="FG81" s="431">
        <f>блюда!FG14</f>
        <v>0</v>
      </c>
      <c r="FH81" s="431">
        <f>блюда!FH14</f>
        <v>0</v>
      </c>
      <c r="FI81" s="431">
        <f>блюда!FI14</f>
        <v>0</v>
      </c>
      <c r="FJ81" s="431">
        <f>блюда!FJ14</f>
        <v>0</v>
      </c>
      <c r="FK81" s="431">
        <f>блюда!FK14</f>
        <v>0</v>
      </c>
      <c r="FL81" s="431">
        <f>блюда!FL14</f>
        <v>0</v>
      </c>
    </row>
    <row r="82" spans="1:168" ht="13.95" customHeight="1" x14ac:dyDescent="0.25">
      <c r="A82" s="1460"/>
      <c r="B82" s="115" t="str">
        <f>блюда!B258</f>
        <v>Яблоки свежие</v>
      </c>
      <c r="C82" s="116">
        <f>блюда!C258</f>
        <v>200</v>
      </c>
      <c r="D82" s="431">
        <f>блюда!D258</f>
        <v>0.8</v>
      </c>
      <c r="E82" s="431">
        <f>блюда!E258</f>
        <v>0.8</v>
      </c>
      <c r="F82" s="431">
        <f>блюда!F258</f>
        <v>19.600000000000001</v>
      </c>
      <c r="G82" s="116">
        <f>блюда!G258</f>
        <v>94</v>
      </c>
      <c r="H82" s="116">
        <f>блюда!H258</f>
        <v>338</v>
      </c>
      <c r="I82" s="431">
        <f>блюда!I258</f>
        <v>18.2</v>
      </c>
      <c r="J82" s="473">
        <f>блюда!J258</f>
        <v>0</v>
      </c>
      <c r="K82" s="473">
        <f>блюда!K258</f>
        <v>0</v>
      </c>
      <c r="L82" s="473">
        <f>блюда!L258</f>
        <v>0</v>
      </c>
      <c r="M82" s="473">
        <f>блюда!M258</f>
        <v>0</v>
      </c>
      <c r="N82" s="473">
        <f>блюда!N258</f>
        <v>0</v>
      </c>
      <c r="O82" s="473">
        <f>блюда!O258</f>
        <v>0</v>
      </c>
      <c r="P82" s="473">
        <f>блюда!P258</f>
        <v>0</v>
      </c>
      <c r="Q82" s="473">
        <f>блюда!Q258</f>
        <v>0</v>
      </c>
      <c r="R82" s="473">
        <f>блюда!R258</f>
        <v>0</v>
      </c>
      <c r="S82" s="473">
        <f>блюда!S258</f>
        <v>0</v>
      </c>
      <c r="T82" s="473">
        <f>блюда!T258</f>
        <v>0</v>
      </c>
      <c r="U82" s="473">
        <f>блюда!U258</f>
        <v>0</v>
      </c>
      <c r="V82" s="473">
        <f>блюда!V258</f>
        <v>0</v>
      </c>
      <c r="W82" s="473">
        <f>блюда!W258</f>
        <v>0</v>
      </c>
      <c r="X82" s="473">
        <f>блюда!X258</f>
        <v>0</v>
      </c>
      <c r="Y82" s="473">
        <f>блюда!Y258</f>
        <v>0</v>
      </c>
      <c r="Z82" s="473">
        <f>блюда!Z258</f>
        <v>0</v>
      </c>
      <c r="AA82" s="473">
        <f>блюда!AA258</f>
        <v>0</v>
      </c>
      <c r="AB82" s="473">
        <f>блюда!AB258</f>
        <v>0</v>
      </c>
      <c r="AC82" s="473">
        <f>блюда!AC258</f>
        <v>0</v>
      </c>
      <c r="AD82" s="473">
        <f>блюда!AD258</f>
        <v>0</v>
      </c>
      <c r="AE82" s="473">
        <f>блюда!AE258</f>
        <v>0</v>
      </c>
      <c r="AF82" s="473">
        <f>блюда!AF258</f>
        <v>0</v>
      </c>
      <c r="AG82" s="473">
        <f>блюда!AG258</f>
        <v>0</v>
      </c>
      <c r="AH82" s="473">
        <f>блюда!AH258</f>
        <v>0</v>
      </c>
      <c r="AI82" s="473">
        <f>блюда!AI258</f>
        <v>0</v>
      </c>
      <c r="AJ82" s="473">
        <f>блюда!AJ258</f>
        <v>0</v>
      </c>
      <c r="AK82" s="473">
        <f>блюда!AK258</f>
        <v>0</v>
      </c>
      <c r="AL82" s="473">
        <f>блюда!AL258</f>
        <v>0</v>
      </c>
      <c r="AM82" s="473">
        <f>блюда!AM258</f>
        <v>0</v>
      </c>
      <c r="AN82" s="473">
        <f>блюда!AN258</f>
        <v>0</v>
      </c>
      <c r="AO82" s="473">
        <f>блюда!AO258</f>
        <v>0</v>
      </c>
      <c r="AP82" s="473">
        <f>блюда!AP258</f>
        <v>0</v>
      </c>
      <c r="AQ82" s="473">
        <f>блюда!AQ258</f>
        <v>0</v>
      </c>
      <c r="AR82" s="473">
        <f>блюда!AR258</f>
        <v>0</v>
      </c>
      <c r="AS82" s="473">
        <f>блюда!AS258</f>
        <v>0</v>
      </c>
      <c r="AT82" s="473">
        <f>блюда!AT258</f>
        <v>0</v>
      </c>
      <c r="AU82" s="473">
        <f>блюда!AU258</f>
        <v>0</v>
      </c>
      <c r="AV82" s="473">
        <f>блюда!AV258</f>
        <v>0</v>
      </c>
      <c r="AW82" s="473">
        <f>блюда!AW258</f>
        <v>0</v>
      </c>
      <c r="AX82" s="473">
        <f>блюда!AX258</f>
        <v>0</v>
      </c>
      <c r="AY82" s="473">
        <f>блюда!AY258</f>
        <v>0</v>
      </c>
      <c r="AZ82" s="473">
        <f>блюда!AZ258</f>
        <v>0</v>
      </c>
      <c r="BA82" s="473">
        <f>блюда!BA258</f>
        <v>0</v>
      </c>
      <c r="BB82" s="473">
        <f>блюда!BB258</f>
        <v>0</v>
      </c>
      <c r="BC82" s="473">
        <f>блюда!BC258</f>
        <v>0</v>
      </c>
      <c r="BD82" s="473">
        <f>блюда!BD258</f>
        <v>0</v>
      </c>
      <c r="BE82" s="473">
        <f>блюда!BE258</f>
        <v>0</v>
      </c>
      <c r="BF82" s="473">
        <f>блюда!BF258</f>
        <v>0</v>
      </c>
      <c r="BG82" s="473">
        <f>блюда!BG258</f>
        <v>0</v>
      </c>
      <c r="BH82" s="473">
        <f>блюда!BH258</f>
        <v>0</v>
      </c>
      <c r="BI82" s="473">
        <f>блюда!BI258</f>
        <v>0</v>
      </c>
      <c r="BJ82" s="473">
        <f>блюда!BJ258</f>
        <v>0</v>
      </c>
      <c r="BK82" s="473">
        <f>блюда!BK258</f>
        <v>0</v>
      </c>
      <c r="BL82" s="473">
        <f>блюда!BL258</f>
        <v>0</v>
      </c>
      <c r="BM82" s="473">
        <f>блюда!BM258</f>
        <v>0</v>
      </c>
      <c r="BN82" s="473">
        <f>блюда!BN258</f>
        <v>0</v>
      </c>
      <c r="BO82" s="473">
        <f>блюда!BO258</f>
        <v>0</v>
      </c>
      <c r="BP82" s="473">
        <f>блюда!BP258</f>
        <v>0</v>
      </c>
      <c r="BQ82" s="473">
        <f>блюда!BQ258</f>
        <v>0</v>
      </c>
      <c r="BR82" s="473">
        <f>блюда!BR258</f>
        <v>0.2</v>
      </c>
      <c r="BS82" s="473">
        <f>блюда!BS258</f>
        <v>0</v>
      </c>
      <c r="BT82" s="473">
        <f>блюда!BT258</f>
        <v>0</v>
      </c>
      <c r="BU82" s="473">
        <f>блюда!BU258</f>
        <v>0</v>
      </c>
      <c r="BV82" s="473">
        <f>блюда!BV258</f>
        <v>0</v>
      </c>
      <c r="BW82" s="473">
        <f>блюда!BW258</f>
        <v>0</v>
      </c>
      <c r="BX82" s="473">
        <f>блюда!BX258</f>
        <v>0</v>
      </c>
      <c r="BY82" s="473">
        <f>блюда!BY258</f>
        <v>0</v>
      </c>
      <c r="BZ82" s="473">
        <f>блюда!BZ258</f>
        <v>0</v>
      </c>
      <c r="CA82" s="473">
        <f>блюда!CA258</f>
        <v>0</v>
      </c>
      <c r="CB82" s="473">
        <f>блюда!CB258</f>
        <v>0</v>
      </c>
      <c r="CC82" s="473">
        <f>блюда!CC258</f>
        <v>0</v>
      </c>
      <c r="CD82" s="473">
        <f>блюда!CD258</f>
        <v>0</v>
      </c>
      <c r="CE82" s="473">
        <f>блюда!CE258</f>
        <v>0</v>
      </c>
      <c r="CF82" s="473">
        <f>блюда!CF258</f>
        <v>0</v>
      </c>
      <c r="CG82" s="473">
        <f>блюда!CG258</f>
        <v>0</v>
      </c>
      <c r="CH82" s="473">
        <f>блюда!CH258</f>
        <v>0</v>
      </c>
      <c r="CI82" s="473">
        <f>блюда!CI258</f>
        <v>0</v>
      </c>
      <c r="CJ82" s="473">
        <f>блюда!CJ258</f>
        <v>0</v>
      </c>
      <c r="CK82" s="473">
        <f>блюда!CK258</f>
        <v>0</v>
      </c>
      <c r="CL82" s="473">
        <f>блюда!CL258</f>
        <v>0</v>
      </c>
      <c r="CM82" s="473">
        <f>блюда!CM258</f>
        <v>0</v>
      </c>
      <c r="CN82" s="473">
        <f>блюда!CN258</f>
        <v>0</v>
      </c>
      <c r="CO82" s="473">
        <f>блюда!CO258</f>
        <v>0</v>
      </c>
      <c r="CP82" s="473">
        <f>блюда!CP258</f>
        <v>0</v>
      </c>
      <c r="CQ82" s="473">
        <f>блюда!CQ258</f>
        <v>0</v>
      </c>
      <c r="CR82" s="473">
        <f>блюда!CR258</f>
        <v>0</v>
      </c>
      <c r="CS82" s="473">
        <f>блюда!CS258</f>
        <v>0</v>
      </c>
      <c r="CT82" s="473">
        <f>блюда!CT258</f>
        <v>0</v>
      </c>
      <c r="CU82" s="473">
        <f>блюда!CU258</f>
        <v>0</v>
      </c>
      <c r="CV82" s="473">
        <f>блюда!CV258</f>
        <v>0</v>
      </c>
      <c r="CW82" s="473">
        <f>блюда!CW258</f>
        <v>0</v>
      </c>
      <c r="CX82" s="473">
        <f>блюда!CX258</f>
        <v>0</v>
      </c>
      <c r="CY82" s="473">
        <f>блюда!CY258</f>
        <v>0</v>
      </c>
      <c r="CZ82" s="473">
        <f>блюда!CZ258</f>
        <v>0</v>
      </c>
      <c r="DA82" s="473">
        <f>блюда!DA258</f>
        <v>0</v>
      </c>
      <c r="DB82" s="473">
        <f>блюда!DB258</f>
        <v>0</v>
      </c>
      <c r="DC82" s="473">
        <f>блюда!DC258</f>
        <v>0</v>
      </c>
      <c r="DD82" s="473">
        <f>блюда!DD258</f>
        <v>0</v>
      </c>
      <c r="DE82" s="473">
        <f>блюда!DE258</f>
        <v>0</v>
      </c>
      <c r="DF82" s="473">
        <f>блюда!DF258</f>
        <v>0</v>
      </c>
      <c r="DG82" s="473">
        <f>блюда!DG258</f>
        <v>0</v>
      </c>
      <c r="DH82" s="473">
        <f>блюда!DH258</f>
        <v>0</v>
      </c>
      <c r="DI82" s="473">
        <f>блюда!DI258</f>
        <v>0</v>
      </c>
      <c r="DJ82" s="473">
        <f>блюда!DJ258</f>
        <v>0</v>
      </c>
      <c r="DK82" s="473">
        <f>блюда!DK258</f>
        <v>0</v>
      </c>
      <c r="DL82" s="473">
        <f>блюда!DL258</f>
        <v>0</v>
      </c>
      <c r="DM82" s="473">
        <f>блюда!DM258</f>
        <v>0</v>
      </c>
      <c r="DN82" s="473">
        <f>блюда!DN258</f>
        <v>0</v>
      </c>
      <c r="DO82" s="473">
        <f>блюда!DO258</f>
        <v>0</v>
      </c>
      <c r="DP82" s="473">
        <f>блюда!DP258</f>
        <v>0</v>
      </c>
      <c r="DQ82" s="473">
        <f>блюда!DQ258</f>
        <v>0</v>
      </c>
      <c r="DR82" s="473">
        <f>блюда!DR258</f>
        <v>0</v>
      </c>
      <c r="DS82" s="473">
        <f>блюда!DS258</f>
        <v>0</v>
      </c>
      <c r="DT82" s="473">
        <f>блюда!DT258</f>
        <v>0</v>
      </c>
      <c r="DU82" s="473">
        <f>блюда!DU258</f>
        <v>0</v>
      </c>
      <c r="DV82" s="473">
        <f>блюда!DV258</f>
        <v>0</v>
      </c>
      <c r="DW82" s="473">
        <f>блюда!DW258</f>
        <v>0</v>
      </c>
      <c r="DX82" s="473">
        <f>блюда!DX258</f>
        <v>0</v>
      </c>
      <c r="DY82" s="473">
        <f>блюда!DY258</f>
        <v>0</v>
      </c>
      <c r="DZ82" s="473">
        <f>блюда!DZ258</f>
        <v>0</v>
      </c>
      <c r="EA82" s="473">
        <f>блюда!EA258</f>
        <v>0</v>
      </c>
      <c r="EB82" s="473">
        <f>блюда!EB258</f>
        <v>0</v>
      </c>
      <c r="EC82" s="473">
        <f>блюда!EC258</f>
        <v>0</v>
      </c>
      <c r="ED82" s="473">
        <f>блюда!ED258</f>
        <v>0</v>
      </c>
      <c r="EE82" s="473">
        <f>блюда!EE258</f>
        <v>0</v>
      </c>
      <c r="EF82" s="473">
        <f>блюда!EF258</f>
        <v>0</v>
      </c>
      <c r="EG82" s="473">
        <f>блюда!EG258</f>
        <v>0</v>
      </c>
      <c r="EH82" s="473">
        <f>блюда!EH258</f>
        <v>0</v>
      </c>
      <c r="EI82" s="473">
        <f>блюда!EI258</f>
        <v>0</v>
      </c>
      <c r="EJ82" s="473">
        <f>блюда!EJ258</f>
        <v>0</v>
      </c>
      <c r="EK82" s="473">
        <f>блюда!EK258</f>
        <v>0</v>
      </c>
      <c r="EL82" s="473">
        <f>блюда!EL258</f>
        <v>0</v>
      </c>
      <c r="EM82" s="473">
        <f>блюда!EM258</f>
        <v>0</v>
      </c>
      <c r="EN82" s="473">
        <f>блюда!EN258</f>
        <v>0</v>
      </c>
      <c r="EO82" s="473">
        <f>блюда!EO258</f>
        <v>0</v>
      </c>
      <c r="EP82" s="473">
        <f>блюда!EP258</f>
        <v>0</v>
      </c>
      <c r="EQ82" s="473">
        <f>блюда!EQ258</f>
        <v>0</v>
      </c>
      <c r="ER82" s="473">
        <f>блюда!ER258</f>
        <v>0</v>
      </c>
      <c r="ES82" s="473">
        <f>блюда!ES258</f>
        <v>0</v>
      </c>
      <c r="ET82" s="473">
        <f>блюда!ET258</f>
        <v>0</v>
      </c>
      <c r="EU82" s="473">
        <f>блюда!EU258</f>
        <v>0</v>
      </c>
      <c r="EV82" s="473">
        <f>блюда!EV258</f>
        <v>0</v>
      </c>
      <c r="EW82" s="473">
        <f>блюда!EW258</f>
        <v>0</v>
      </c>
      <c r="EX82" s="473">
        <f>блюда!EX258</f>
        <v>0</v>
      </c>
      <c r="EY82" s="927">
        <f t="shared" si="42"/>
        <v>0.2</v>
      </c>
      <c r="EZ82" s="431">
        <f>блюда!EZ264</f>
        <v>0</v>
      </c>
      <c r="FA82" s="431">
        <f>блюда!FA264</f>
        <v>0</v>
      </c>
      <c r="FB82" s="431">
        <f>блюда!FB264</f>
        <v>0</v>
      </c>
      <c r="FC82" s="431">
        <f>блюда!FC264</f>
        <v>0</v>
      </c>
      <c r="FD82" s="431">
        <f>блюда!FD264</f>
        <v>0</v>
      </c>
      <c r="FE82" s="431">
        <f>блюда!FE264</f>
        <v>0</v>
      </c>
      <c r="FF82" s="431">
        <f>блюда!FF264</f>
        <v>0</v>
      </c>
      <c r="FG82" s="431">
        <f>блюда!FG264</f>
        <v>0</v>
      </c>
      <c r="FH82" s="431">
        <f>блюда!FH264</f>
        <v>0</v>
      </c>
      <c r="FI82" s="431">
        <f>блюда!FI264</f>
        <v>0</v>
      </c>
      <c r="FJ82" s="431">
        <f>блюда!FJ264</f>
        <v>0</v>
      </c>
      <c r="FK82" s="431">
        <f>блюда!FK264</f>
        <v>0</v>
      </c>
      <c r="FL82" s="431">
        <f>блюда!FL264</f>
        <v>0</v>
      </c>
    </row>
    <row r="83" spans="1:168" ht="13.95" customHeight="1" x14ac:dyDescent="0.25">
      <c r="A83" s="1460"/>
      <c r="B83" s="115" t="str">
        <f>блюда!B343</f>
        <v>Вода питьевая 19 л</v>
      </c>
      <c r="C83" s="116">
        <f>блюда!C343</f>
        <v>500</v>
      </c>
      <c r="D83" s="431">
        <f>блюда!D343</f>
        <v>0</v>
      </c>
      <c r="E83" s="431">
        <f>блюда!E343</f>
        <v>0</v>
      </c>
      <c r="F83" s="431">
        <f>блюда!F343</f>
        <v>0</v>
      </c>
      <c r="G83" s="116">
        <f>блюда!G343</f>
        <v>0</v>
      </c>
      <c r="H83" s="116" t="str">
        <f>блюда!H343</f>
        <v>ПРОМ</v>
      </c>
      <c r="I83" s="431">
        <f>блюда!I343</f>
        <v>2.9</v>
      </c>
      <c r="J83" s="473">
        <f>блюда!J343</f>
        <v>0</v>
      </c>
      <c r="K83" s="473">
        <f>блюда!K343</f>
        <v>0</v>
      </c>
      <c r="L83" s="473">
        <f>блюда!L343</f>
        <v>0</v>
      </c>
      <c r="M83" s="473">
        <f>блюда!M343</f>
        <v>0</v>
      </c>
      <c r="N83" s="473">
        <f>блюда!N343</f>
        <v>0</v>
      </c>
      <c r="O83" s="473">
        <f>блюда!O343</f>
        <v>0</v>
      </c>
      <c r="P83" s="473">
        <f>блюда!P343</f>
        <v>0</v>
      </c>
      <c r="Q83" s="473">
        <f>блюда!Q343</f>
        <v>0</v>
      </c>
      <c r="R83" s="473">
        <f>блюда!R343</f>
        <v>0</v>
      </c>
      <c r="S83" s="473">
        <f>блюда!S343</f>
        <v>0</v>
      </c>
      <c r="T83" s="473">
        <f>блюда!T343</f>
        <v>0</v>
      </c>
      <c r="U83" s="473">
        <f>блюда!U343</f>
        <v>0</v>
      </c>
      <c r="V83" s="473">
        <f>блюда!V343</f>
        <v>0</v>
      </c>
      <c r="W83" s="473">
        <f>блюда!W343</f>
        <v>0</v>
      </c>
      <c r="X83" s="473">
        <f>блюда!X343</f>
        <v>0</v>
      </c>
      <c r="Y83" s="473">
        <f>блюда!Y343</f>
        <v>0</v>
      </c>
      <c r="Z83" s="473">
        <f>блюда!Z343</f>
        <v>0</v>
      </c>
      <c r="AA83" s="473">
        <f>блюда!AA343</f>
        <v>0</v>
      </c>
      <c r="AB83" s="473">
        <f>блюда!AB343</f>
        <v>0</v>
      </c>
      <c r="AC83" s="473">
        <f>блюда!AC343</f>
        <v>0</v>
      </c>
      <c r="AD83" s="473">
        <f>блюда!AD343</f>
        <v>0</v>
      </c>
      <c r="AE83" s="473">
        <f>блюда!AE343</f>
        <v>0</v>
      </c>
      <c r="AF83" s="473">
        <f>блюда!AF343</f>
        <v>0</v>
      </c>
      <c r="AG83" s="473">
        <f>блюда!AG343</f>
        <v>0</v>
      </c>
      <c r="AH83" s="473">
        <f>блюда!AH343</f>
        <v>0</v>
      </c>
      <c r="AI83" s="473">
        <f>блюда!AI343</f>
        <v>0</v>
      </c>
      <c r="AJ83" s="473">
        <f>блюда!AJ343</f>
        <v>0</v>
      </c>
      <c r="AK83" s="473">
        <f>блюда!AK343</f>
        <v>0</v>
      </c>
      <c r="AL83" s="473">
        <f>блюда!AL343</f>
        <v>0</v>
      </c>
      <c r="AM83" s="473">
        <f>блюда!AM343</f>
        <v>0</v>
      </c>
      <c r="AN83" s="473">
        <f>блюда!AN343</f>
        <v>0</v>
      </c>
      <c r="AO83" s="473">
        <f>блюда!AO343</f>
        <v>0</v>
      </c>
      <c r="AP83" s="473">
        <f>блюда!AP343</f>
        <v>0</v>
      </c>
      <c r="AQ83" s="473">
        <f>блюда!AQ343</f>
        <v>0</v>
      </c>
      <c r="AR83" s="473">
        <f>блюда!AR343</f>
        <v>0</v>
      </c>
      <c r="AS83" s="473">
        <f>блюда!AS343</f>
        <v>0</v>
      </c>
      <c r="AT83" s="473">
        <f>блюда!AT343</f>
        <v>0</v>
      </c>
      <c r="AU83" s="473">
        <f>блюда!AU343</f>
        <v>0</v>
      </c>
      <c r="AV83" s="473">
        <f>блюда!AV343</f>
        <v>0</v>
      </c>
      <c r="AW83" s="473">
        <f>блюда!AW343</f>
        <v>0</v>
      </c>
      <c r="AX83" s="473">
        <f>блюда!AX343</f>
        <v>0</v>
      </c>
      <c r="AY83" s="473">
        <f>блюда!AY343</f>
        <v>0</v>
      </c>
      <c r="AZ83" s="473">
        <f>блюда!AZ343</f>
        <v>0</v>
      </c>
      <c r="BA83" s="473">
        <f>блюда!BA343</f>
        <v>0</v>
      </c>
      <c r="BB83" s="473">
        <f>блюда!BB343</f>
        <v>0</v>
      </c>
      <c r="BC83" s="473">
        <f>блюда!BC343</f>
        <v>0</v>
      </c>
      <c r="BD83" s="473">
        <f>блюда!BD343</f>
        <v>0</v>
      </c>
      <c r="BE83" s="473">
        <f>блюда!BE343</f>
        <v>0</v>
      </c>
      <c r="BF83" s="473">
        <f>блюда!BF343</f>
        <v>0</v>
      </c>
      <c r="BG83" s="473">
        <f>блюда!BG343</f>
        <v>0</v>
      </c>
      <c r="BH83" s="473">
        <f>блюда!BH343</f>
        <v>0</v>
      </c>
      <c r="BI83" s="473">
        <f>блюда!BI343</f>
        <v>0</v>
      </c>
      <c r="BJ83" s="473">
        <f>блюда!BJ343</f>
        <v>0</v>
      </c>
      <c r="BK83" s="473">
        <f>блюда!BK343</f>
        <v>0</v>
      </c>
      <c r="BL83" s="473">
        <f>блюда!BL343</f>
        <v>0</v>
      </c>
      <c r="BM83" s="473">
        <f>блюда!BM343</f>
        <v>0</v>
      </c>
      <c r="BN83" s="473">
        <f>блюда!BN343</f>
        <v>0</v>
      </c>
      <c r="BO83" s="473">
        <f>блюда!BO343</f>
        <v>0</v>
      </c>
      <c r="BP83" s="473">
        <f>блюда!BP343</f>
        <v>0</v>
      </c>
      <c r="BQ83" s="473">
        <f>блюда!BQ343</f>
        <v>0</v>
      </c>
      <c r="BR83" s="473">
        <f>блюда!BR343</f>
        <v>0</v>
      </c>
      <c r="BS83" s="473">
        <f>блюда!BS343</f>
        <v>0</v>
      </c>
      <c r="BT83" s="473">
        <f>блюда!BT343</f>
        <v>0</v>
      </c>
      <c r="BU83" s="473">
        <f>блюда!BU343</f>
        <v>0</v>
      </c>
      <c r="BV83" s="473">
        <f>блюда!BV343</f>
        <v>0</v>
      </c>
      <c r="BW83" s="473">
        <f>блюда!BW343</f>
        <v>0</v>
      </c>
      <c r="BX83" s="473">
        <f>блюда!BX343</f>
        <v>0</v>
      </c>
      <c r="BY83" s="473">
        <f>блюда!BY343</f>
        <v>0</v>
      </c>
      <c r="BZ83" s="473">
        <f>блюда!BZ343</f>
        <v>0</v>
      </c>
      <c r="CA83" s="473">
        <f>блюда!CA343</f>
        <v>0</v>
      </c>
      <c r="CB83" s="473">
        <f>блюда!CB343</f>
        <v>0</v>
      </c>
      <c r="CC83" s="473">
        <f>блюда!CC343</f>
        <v>0</v>
      </c>
      <c r="CD83" s="473">
        <f>блюда!CD343</f>
        <v>0</v>
      </c>
      <c r="CE83" s="473">
        <f>блюда!CE343</f>
        <v>0</v>
      </c>
      <c r="CF83" s="473">
        <f>блюда!CF343</f>
        <v>0</v>
      </c>
      <c r="CG83" s="473">
        <f>блюда!CG343</f>
        <v>0</v>
      </c>
      <c r="CH83" s="473">
        <f>блюда!CH343</f>
        <v>0</v>
      </c>
      <c r="CI83" s="473">
        <f>блюда!CI343</f>
        <v>0</v>
      </c>
      <c r="CJ83" s="473">
        <f>блюда!CJ343</f>
        <v>0</v>
      </c>
      <c r="CK83" s="473">
        <f>блюда!CK343</f>
        <v>0</v>
      </c>
      <c r="CL83" s="473">
        <f>блюда!CL343</f>
        <v>0</v>
      </c>
      <c r="CM83" s="473">
        <f>блюда!CM343</f>
        <v>0</v>
      </c>
      <c r="CN83" s="473">
        <f>блюда!CN343</f>
        <v>0</v>
      </c>
      <c r="CO83" s="473">
        <f>блюда!CO343</f>
        <v>0</v>
      </c>
      <c r="CP83" s="473">
        <f>блюда!CP343</f>
        <v>0</v>
      </c>
      <c r="CQ83" s="473">
        <f>блюда!CQ343</f>
        <v>0</v>
      </c>
      <c r="CR83" s="473">
        <f>блюда!CR343</f>
        <v>0</v>
      </c>
      <c r="CS83" s="473">
        <f>блюда!CS343</f>
        <v>0</v>
      </c>
      <c r="CT83" s="473">
        <f>блюда!CT343</f>
        <v>0</v>
      </c>
      <c r="CU83" s="473">
        <f>блюда!CU343</f>
        <v>0</v>
      </c>
      <c r="CV83" s="473">
        <f>блюда!CV343</f>
        <v>0</v>
      </c>
      <c r="CW83" s="473">
        <f>блюда!CW343</f>
        <v>0</v>
      </c>
      <c r="CX83" s="473">
        <f>блюда!CX343</f>
        <v>0</v>
      </c>
      <c r="CY83" s="473">
        <f>блюда!CY343</f>
        <v>0</v>
      </c>
      <c r="CZ83" s="473">
        <f>блюда!CZ343</f>
        <v>0</v>
      </c>
      <c r="DA83" s="473">
        <f>блюда!DA343</f>
        <v>0</v>
      </c>
      <c r="DB83" s="473">
        <f>блюда!DB343</f>
        <v>0</v>
      </c>
      <c r="DC83" s="473">
        <f>блюда!DC343</f>
        <v>0</v>
      </c>
      <c r="DD83" s="473">
        <f>блюда!DD343</f>
        <v>0</v>
      </c>
      <c r="DE83" s="473">
        <f>блюда!DE343</f>
        <v>0</v>
      </c>
      <c r="DF83" s="473">
        <f>блюда!DF343</f>
        <v>0</v>
      </c>
      <c r="DG83" s="473">
        <f>блюда!DG343</f>
        <v>0</v>
      </c>
      <c r="DH83" s="473">
        <f>блюда!DH343</f>
        <v>0</v>
      </c>
      <c r="DI83" s="473">
        <f>блюда!DI343</f>
        <v>0</v>
      </c>
      <c r="DJ83" s="473">
        <f>блюда!DJ343</f>
        <v>0</v>
      </c>
      <c r="DK83" s="473">
        <f>блюда!DK343</f>
        <v>0</v>
      </c>
      <c r="DL83" s="473">
        <f>блюда!DL343</f>
        <v>0</v>
      </c>
      <c r="DM83" s="473">
        <f>блюда!DM343</f>
        <v>0</v>
      </c>
      <c r="DN83" s="473">
        <f>блюда!DN343</f>
        <v>0</v>
      </c>
      <c r="DO83" s="473">
        <f>блюда!DO343</f>
        <v>0</v>
      </c>
      <c r="DP83" s="473">
        <f>блюда!DP343</f>
        <v>0</v>
      </c>
      <c r="DQ83" s="473">
        <f>блюда!DQ343</f>
        <v>0</v>
      </c>
      <c r="DR83" s="473">
        <f>блюда!DR343</f>
        <v>0</v>
      </c>
      <c r="DS83" s="473">
        <f>блюда!DS343</f>
        <v>0</v>
      </c>
      <c r="DT83" s="473">
        <f>блюда!DT343</f>
        <v>0</v>
      </c>
      <c r="DU83" s="473">
        <f>блюда!DU343</f>
        <v>0</v>
      </c>
      <c r="DV83" s="473">
        <f>блюда!DV343</f>
        <v>0</v>
      </c>
      <c r="DW83" s="473">
        <f>блюда!DW343</f>
        <v>0</v>
      </c>
      <c r="DX83" s="473">
        <f>блюда!DX343</f>
        <v>0</v>
      </c>
      <c r="DY83" s="473">
        <f>блюда!DY343</f>
        <v>0</v>
      </c>
      <c r="DZ83" s="473">
        <f>блюда!DZ343</f>
        <v>0</v>
      </c>
      <c r="EA83" s="473">
        <f>блюда!EA343</f>
        <v>0</v>
      </c>
      <c r="EB83" s="473">
        <f>блюда!EB343</f>
        <v>0.5</v>
      </c>
      <c r="EC83" s="473">
        <f>блюда!EC343</f>
        <v>0</v>
      </c>
      <c r="ED83" s="473">
        <f>блюда!ED343</f>
        <v>0</v>
      </c>
      <c r="EE83" s="473">
        <f>блюда!EE343</f>
        <v>0</v>
      </c>
      <c r="EF83" s="473">
        <f>блюда!EF343</f>
        <v>0</v>
      </c>
      <c r="EG83" s="473">
        <f>блюда!EG343</f>
        <v>0</v>
      </c>
      <c r="EH83" s="473">
        <f>блюда!EH343</f>
        <v>0</v>
      </c>
      <c r="EI83" s="473">
        <f>блюда!EI343</f>
        <v>0</v>
      </c>
      <c r="EJ83" s="473">
        <f>блюда!EJ343</f>
        <v>0</v>
      </c>
      <c r="EK83" s="473">
        <f>блюда!EK343</f>
        <v>0</v>
      </c>
      <c r="EL83" s="473">
        <f>блюда!EL343</f>
        <v>0</v>
      </c>
      <c r="EM83" s="473">
        <f>блюда!EM343</f>
        <v>0</v>
      </c>
      <c r="EN83" s="473">
        <f>блюда!EN343</f>
        <v>0</v>
      </c>
      <c r="EO83" s="473">
        <f>блюда!EO343</f>
        <v>0</v>
      </c>
      <c r="EP83" s="473">
        <f>блюда!EP343</f>
        <v>0</v>
      </c>
      <c r="EQ83" s="473">
        <f>блюда!EQ343</f>
        <v>0</v>
      </c>
      <c r="ER83" s="473">
        <f>блюда!ER343</f>
        <v>0</v>
      </c>
      <c r="ES83" s="473">
        <f>блюда!ES343</f>
        <v>0</v>
      </c>
      <c r="ET83" s="473">
        <f>блюда!ET343</f>
        <v>0</v>
      </c>
      <c r="EU83" s="473">
        <f>блюда!EU343</f>
        <v>0</v>
      </c>
      <c r="EV83" s="473">
        <f>блюда!EV343</f>
        <v>0</v>
      </c>
      <c r="EW83" s="473">
        <f>блюда!EW343</f>
        <v>0</v>
      </c>
      <c r="EX83" s="473">
        <f>блюда!EX343</f>
        <v>0</v>
      </c>
      <c r="EY83" s="927">
        <f t="shared" si="42"/>
        <v>0.5</v>
      </c>
      <c r="EZ83" s="117"/>
      <c r="FA83" s="117"/>
      <c r="FB83" s="117"/>
      <c r="FC83" s="117"/>
      <c r="FD83" s="117"/>
      <c r="FE83" s="117"/>
      <c r="FF83" s="117"/>
      <c r="FG83" s="117"/>
      <c r="FH83" s="117"/>
      <c r="FI83" s="117"/>
      <c r="FJ83" s="117"/>
      <c r="FK83" s="117"/>
      <c r="FL83" s="117"/>
    </row>
    <row r="84" spans="1:168" x14ac:dyDescent="0.25">
      <c r="A84" s="1460"/>
      <c r="B84" s="115"/>
      <c r="C84" s="116"/>
      <c r="D84" s="431"/>
      <c r="E84" s="431"/>
      <c r="F84" s="431"/>
      <c r="G84" s="250"/>
      <c r="H84" s="116"/>
      <c r="I84" s="431"/>
      <c r="J84" s="473"/>
      <c r="K84" s="473"/>
      <c r="L84" s="473"/>
      <c r="M84" s="473"/>
      <c r="N84" s="473"/>
      <c r="O84" s="473"/>
      <c r="P84" s="473"/>
      <c r="Q84" s="473"/>
      <c r="R84" s="473"/>
      <c r="S84" s="473"/>
      <c r="T84" s="473"/>
      <c r="U84" s="473"/>
      <c r="V84" s="473"/>
      <c r="W84" s="473"/>
      <c r="X84" s="473"/>
      <c r="Y84" s="473"/>
      <c r="Z84" s="473"/>
      <c r="AA84" s="473"/>
      <c r="AB84" s="473"/>
      <c r="AC84" s="473"/>
      <c r="AD84" s="473"/>
      <c r="AE84" s="473"/>
      <c r="AF84" s="473"/>
      <c r="AG84" s="473"/>
      <c r="AH84" s="473"/>
      <c r="AI84" s="473"/>
      <c r="AJ84" s="473"/>
      <c r="AK84" s="473"/>
      <c r="AL84" s="473"/>
      <c r="AM84" s="473"/>
      <c r="AN84" s="473"/>
      <c r="AO84" s="473"/>
      <c r="AP84" s="473"/>
      <c r="AQ84" s="473"/>
      <c r="AR84" s="473"/>
      <c r="AS84" s="473"/>
      <c r="AT84" s="473"/>
      <c r="AU84" s="473"/>
      <c r="AV84" s="473"/>
      <c r="AW84" s="473"/>
      <c r="AX84" s="473"/>
      <c r="AY84" s="473"/>
      <c r="AZ84" s="473"/>
      <c r="BA84" s="473"/>
      <c r="BB84" s="473"/>
      <c r="BC84" s="473"/>
      <c r="BD84" s="473"/>
      <c r="BE84" s="473"/>
      <c r="BF84" s="473"/>
      <c r="BG84" s="473"/>
      <c r="BH84" s="473"/>
      <c r="BI84" s="473"/>
      <c r="BJ84" s="473"/>
      <c r="BK84" s="473"/>
      <c r="BL84" s="473"/>
      <c r="BM84" s="473"/>
      <c r="BN84" s="473"/>
      <c r="BO84" s="473"/>
      <c r="BP84" s="473"/>
      <c r="BQ84" s="473"/>
      <c r="BR84" s="473"/>
      <c r="BS84" s="473"/>
      <c r="BT84" s="473"/>
      <c r="BU84" s="473"/>
      <c r="BV84" s="473"/>
      <c r="BW84" s="473"/>
      <c r="BX84" s="473"/>
      <c r="BY84" s="473"/>
      <c r="BZ84" s="473"/>
      <c r="CA84" s="473"/>
      <c r="CB84" s="473"/>
      <c r="CC84" s="473"/>
      <c r="CD84" s="473"/>
      <c r="CE84" s="473"/>
      <c r="CF84" s="473"/>
      <c r="CG84" s="473"/>
      <c r="CH84" s="473"/>
      <c r="CI84" s="473"/>
      <c r="CJ84" s="473"/>
      <c r="CK84" s="473"/>
      <c r="CL84" s="473"/>
      <c r="CM84" s="473"/>
      <c r="CN84" s="473"/>
      <c r="CO84" s="473"/>
      <c r="CP84" s="473"/>
      <c r="CQ84" s="473"/>
      <c r="CR84" s="473"/>
      <c r="CS84" s="473"/>
      <c r="CT84" s="473"/>
      <c r="CU84" s="473"/>
      <c r="CV84" s="473"/>
      <c r="CW84" s="473"/>
      <c r="CX84" s="473"/>
      <c r="CY84" s="473"/>
      <c r="CZ84" s="473"/>
      <c r="DA84" s="473"/>
      <c r="DB84" s="473"/>
      <c r="DC84" s="473"/>
      <c r="DD84" s="473"/>
      <c r="DE84" s="473"/>
      <c r="DF84" s="473"/>
      <c r="DG84" s="473"/>
      <c r="DH84" s="473"/>
      <c r="DI84" s="473"/>
      <c r="DJ84" s="473"/>
      <c r="DK84" s="473"/>
      <c r="DL84" s="473"/>
      <c r="DM84" s="473"/>
      <c r="DN84" s="473"/>
      <c r="DO84" s="473"/>
      <c r="DP84" s="473"/>
      <c r="DQ84" s="473"/>
      <c r="DR84" s="473"/>
      <c r="DS84" s="473"/>
      <c r="DT84" s="473"/>
      <c r="DU84" s="473"/>
      <c r="DV84" s="473"/>
      <c r="DW84" s="473"/>
      <c r="DX84" s="473"/>
      <c r="DY84" s="473"/>
      <c r="DZ84" s="473"/>
      <c r="EA84" s="473"/>
      <c r="EB84" s="473"/>
      <c r="EC84" s="473"/>
      <c r="ED84" s="473"/>
      <c r="EE84" s="473"/>
      <c r="EF84" s="473"/>
      <c r="EG84" s="473"/>
      <c r="EH84" s="473"/>
      <c r="EI84" s="473"/>
      <c r="EJ84" s="473"/>
      <c r="EK84" s="473"/>
      <c r="EL84" s="473"/>
      <c r="EM84" s="473"/>
      <c r="EN84" s="473"/>
      <c r="EO84" s="473"/>
      <c r="EP84" s="473"/>
      <c r="EQ84" s="473"/>
      <c r="ER84" s="473"/>
      <c r="ES84" s="473"/>
      <c r="ET84" s="473"/>
      <c r="EU84" s="473"/>
      <c r="EV84" s="473"/>
      <c r="EW84" s="473"/>
      <c r="EX84" s="473"/>
      <c r="EY84" s="927">
        <f t="shared" si="42"/>
        <v>0</v>
      </c>
      <c r="EZ84" s="117"/>
      <c r="FA84" s="117"/>
      <c r="FB84" s="117"/>
      <c r="FC84" s="117"/>
      <c r="FD84" s="117"/>
      <c r="FE84" s="117"/>
      <c r="FF84" s="117"/>
      <c r="FG84" s="117"/>
      <c r="FH84" s="117"/>
      <c r="FI84" s="117"/>
      <c r="FJ84" s="117"/>
      <c r="FK84" s="117"/>
      <c r="FL84" s="117"/>
    </row>
    <row r="85" spans="1:168" x14ac:dyDescent="0.25">
      <c r="A85" s="1461"/>
      <c r="B85" s="115"/>
      <c r="C85" s="116"/>
      <c r="D85" s="431"/>
      <c r="E85" s="431"/>
      <c r="F85" s="431"/>
      <c r="G85" s="250"/>
      <c r="H85" s="116"/>
      <c r="I85" s="431"/>
      <c r="J85" s="473"/>
      <c r="K85" s="473"/>
      <c r="L85" s="473"/>
      <c r="M85" s="473"/>
      <c r="N85" s="473"/>
      <c r="O85" s="473"/>
      <c r="P85" s="473"/>
      <c r="Q85" s="473"/>
      <c r="R85" s="473"/>
      <c r="S85" s="473"/>
      <c r="T85" s="473"/>
      <c r="U85" s="473"/>
      <c r="V85" s="473"/>
      <c r="W85" s="473"/>
      <c r="X85" s="473"/>
      <c r="Y85" s="473"/>
      <c r="Z85" s="473"/>
      <c r="AA85" s="473"/>
      <c r="AB85" s="473"/>
      <c r="AC85" s="473"/>
      <c r="AD85" s="473"/>
      <c r="AE85" s="473"/>
      <c r="AF85" s="473"/>
      <c r="AG85" s="473"/>
      <c r="AH85" s="473"/>
      <c r="AI85" s="473"/>
      <c r="AJ85" s="473"/>
      <c r="AK85" s="473"/>
      <c r="AL85" s="473"/>
      <c r="AM85" s="473"/>
      <c r="AN85" s="473"/>
      <c r="AO85" s="473"/>
      <c r="AP85" s="473"/>
      <c r="AQ85" s="473"/>
      <c r="AR85" s="473"/>
      <c r="AS85" s="473"/>
      <c r="AT85" s="473"/>
      <c r="AU85" s="473"/>
      <c r="AV85" s="473"/>
      <c r="AW85" s="473"/>
      <c r="AX85" s="473"/>
      <c r="AY85" s="473"/>
      <c r="AZ85" s="473"/>
      <c r="BA85" s="473"/>
      <c r="BB85" s="473"/>
      <c r="BC85" s="473"/>
      <c r="BD85" s="473"/>
      <c r="BE85" s="473"/>
      <c r="BF85" s="473"/>
      <c r="BG85" s="473"/>
      <c r="BH85" s="473"/>
      <c r="BI85" s="473"/>
      <c r="BJ85" s="473"/>
      <c r="BK85" s="473"/>
      <c r="BL85" s="473"/>
      <c r="BM85" s="473"/>
      <c r="BN85" s="473"/>
      <c r="BO85" s="473"/>
      <c r="BP85" s="473"/>
      <c r="BQ85" s="473"/>
      <c r="BR85" s="473"/>
      <c r="BS85" s="473"/>
      <c r="BT85" s="473"/>
      <c r="BU85" s="473"/>
      <c r="BV85" s="473"/>
      <c r="BW85" s="473"/>
      <c r="BX85" s="473"/>
      <c r="BY85" s="473"/>
      <c r="BZ85" s="473"/>
      <c r="CA85" s="473"/>
      <c r="CB85" s="473"/>
      <c r="CC85" s="473"/>
      <c r="CD85" s="473"/>
      <c r="CE85" s="473"/>
      <c r="CF85" s="473"/>
      <c r="CG85" s="473"/>
      <c r="CH85" s="473"/>
      <c r="CI85" s="473"/>
      <c r="CJ85" s="473"/>
      <c r="CK85" s="473"/>
      <c r="CL85" s="473"/>
      <c r="CM85" s="473"/>
      <c r="CN85" s="473"/>
      <c r="CO85" s="473"/>
      <c r="CP85" s="473"/>
      <c r="CQ85" s="473"/>
      <c r="CR85" s="473"/>
      <c r="CS85" s="473"/>
      <c r="CT85" s="473"/>
      <c r="CU85" s="473"/>
      <c r="CV85" s="473"/>
      <c r="CW85" s="473"/>
      <c r="CX85" s="473"/>
      <c r="CY85" s="473"/>
      <c r="CZ85" s="473"/>
      <c r="DA85" s="473"/>
      <c r="DB85" s="473"/>
      <c r="DC85" s="473"/>
      <c r="DD85" s="473"/>
      <c r="DE85" s="473"/>
      <c r="DF85" s="473"/>
      <c r="DG85" s="473"/>
      <c r="DH85" s="473"/>
      <c r="DI85" s="473"/>
      <c r="DJ85" s="473"/>
      <c r="DK85" s="473"/>
      <c r="DL85" s="473"/>
      <c r="DM85" s="473"/>
      <c r="DN85" s="473"/>
      <c r="DO85" s="473"/>
      <c r="DP85" s="473"/>
      <c r="DQ85" s="473"/>
      <c r="DR85" s="473"/>
      <c r="DS85" s="473"/>
      <c r="DT85" s="473"/>
      <c r="DU85" s="473"/>
      <c r="DV85" s="473"/>
      <c r="DW85" s="473"/>
      <c r="DX85" s="473"/>
      <c r="DY85" s="473"/>
      <c r="DZ85" s="473"/>
      <c r="EA85" s="473"/>
      <c r="EB85" s="473"/>
      <c r="EC85" s="473"/>
      <c r="ED85" s="473"/>
      <c r="EE85" s="473"/>
      <c r="EF85" s="473"/>
      <c r="EG85" s="473"/>
      <c r="EH85" s="473"/>
      <c r="EI85" s="473"/>
      <c r="EJ85" s="473"/>
      <c r="EK85" s="473"/>
      <c r="EL85" s="473"/>
      <c r="EM85" s="473"/>
      <c r="EN85" s="473"/>
      <c r="EO85" s="473"/>
      <c r="EP85" s="473"/>
      <c r="EQ85" s="473"/>
      <c r="ER85" s="473"/>
      <c r="ES85" s="473"/>
      <c r="ET85" s="473"/>
      <c r="EU85" s="473"/>
      <c r="EV85" s="473"/>
      <c r="EW85" s="473"/>
      <c r="EX85" s="473"/>
      <c r="EY85" s="927">
        <f t="shared" si="42"/>
        <v>0</v>
      </c>
      <c r="EZ85" s="117"/>
      <c r="FA85" s="117"/>
      <c r="FB85" s="117"/>
      <c r="FC85" s="117"/>
      <c r="FD85" s="117"/>
      <c r="FE85" s="117"/>
      <c r="FF85" s="117"/>
      <c r="FG85" s="117"/>
      <c r="FH85" s="117"/>
      <c r="FI85" s="117"/>
      <c r="FJ85" s="117"/>
      <c r="FK85" s="117"/>
      <c r="FL85" s="117"/>
    </row>
    <row r="86" spans="1:168" x14ac:dyDescent="0.25">
      <c r="A86" s="411"/>
      <c r="B86" s="118" t="s">
        <v>111</v>
      </c>
      <c r="C86" s="840">
        <f>SUM(C77:C85)</f>
        <v>1215</v>
      </c>
      <c r="D86" s="842">
        <f>SUM(D77:D85)</f>
        <v>12.9</v>
      </c>
      <c r="E86" s="842">
        <f t="shared" ref="E86:BD86" si="43">SUM(E77:E85)</f>
        <v>18.05</v>
      </c>
      <c r="F86" s="842">
        <f t="shared" si="43"/>
        <v>73.44</v>
      </c>
      <c r="G86" s="422">
        <f t="shared" si="43"/>
        <v>520</v>
      </c>
      <c r="H86" s="840"/>
      <c r="I86" s="842">
        <f t="shared" ref="I86" si="44">SUM(I77:I85)</f>
        <v>56.43</v>
      </c>
      <c r="J86" s="844">
        <f t="shared" si="43"/>
        <v>0</v>
      </c>
      <c r="K86" s="844">
        <f t="shared" si="43"/>
        <v>0</v>
      </c>
      <c r="L86" s="844">
        <f t="shared" si="43"/>
        <v>0</v>
      </c>
      <c r="M86" s="844">
        <f t="shared" si="43"/>
        <v>0</v>
      </c>
      <c r="N86" s="844">
        <f t="shared" si="43"/>
        <v>0</v>
      </c>
      <c r="O86" s="844">
        <f t="shared" si="43"/>
        <v>0</v>
      </c>
      <c r="P86" s="844">
        <f t="shared" si="43"/>
        <v>0</v>
      </c>
      <c r="Q86" s="844">
        <f t="shared" si="43"/>
        <v>0</v>
      </c>
      <c r="R86" s="844">
        <f t="shared" si="43"/>
        <v>0</v>
      </c>
      <c r="S86" s="844">
        <f t="shared" si="43"/>
        <v>0</v>
      </c>
      <c r="T86" s="844">
        <f t="shared" si="43"/>
        <v>0</v>
      </c>
      <c r="U86" s="844">
        <f t="shared" si="43"/>
        <v>0.125</v>
      </c>
      <c r="V86" s="844">
        <f t="shared" si="43"/>
        <v>1.2E-2</v>
      </c>
      <c r="W86" s="844">
        <f t="shared" si="43"/>
        <v>1.6E-2</v>
      </c>
      <c r="X86" s="844">
        <f t="shared" si="43"/>
        <v>0</v>
      </c>
      <c r="Y86" s="844">
        <f t="shared" si="43"/>
        <v>0</v>
      </c>
      <c r="Z86" s="844">
        <f t="shared" si="43"/>
        <v>0</v>
      </c>
      <c r="AA86" s="844">
        <f t="shared" si="43"/>
        <v>0</v>
      </c>
      <c r="AB86" s="844">
        <f t="shared" si="43"/>
        <v>0</v>
      </c>
      <c r="AC86" s="844">
        <f t="shared" si="43"/>
        <v>0</v>
      </c>
      <c r="AD86" s="844">
        <f t="shared" si="43"/>
        <v>0</v>
      </c>
      <c r="AE86" s="844">
        <f t="shared" si="43"/>
        <v>0</v>
      </c>
      <c r="AF86" s="844">
        <f t="shared" si="43"/>
        <v>0</v>
      </c>
      <c r="AG86" s="844">
        <f t="shared" si="43"/>
        <v>0</v>
      </c>
      <c r="AH86" s="844">
        <f t="shared" si="43"/>
        <v>0</v>
      </c>
      <c r="AI86" s="844">
        <f t="shared" si="43"/>
        <v>0</v>
      </c>
      <c r="AJ86" s="844">
        <f t="shared" si="43"/>
        <v>0</v>
      </c>
      <c r="AK86" s="844">
        <f t="shared" si="43"/>
        <v>0</v>
      </c>
      <c r="AL86" s="844">
        <f t="shared" si="43"/>
        <v>0</v>
      </c>
      <c r="AM86" s="844">
        <f t="shared" si="43"/>
        <v>0</v>
      </c>
      <c r="AN86" s="844">
        <f t="shared" si="43"/>
        <v>0</v>
      </c>
      <c r="AO86" s="844">
        <f t="shared" si="43"/>
        <v>0</v>
      </c>
      <c r="AP86" s="844">
        <f t="shared" si="43"/>
        <v>0</v>
      </c>
      <c r="AQ86" s="844">
        <f t="shared" si="43"/>
        <v>0</v>
      </c>
      <c r="AR86" s="844">
        <f t="shared" si="43"/>
        <v>0</v>
      </c>
      <c r="AS86" s="844">
        <f t="shared" si="43"/>
        <v>0</v>
      </c>
      <c r="AT86" s="844">
        <f t="shared" si="43"/>
        <v>0</v>
      </c>
      <c r="AU86" s="844">
        <f t="shared" si="43"/>
        <v>0</v>
      </c>
      <c r="AV86" s="844">
        <f t="shared" si="43"/>
        <v>0</v>
      </c>
      <c r="AW86" s="844">
        <f t="shared" si="43"/>
        <v>0</v>
      </c>
      <c r="AX86" s="844">
        <f t="shared" si="43"/>
        <v>0</v>
      </c>
      <c r="AY86" s="844">
        <f t="shared" si="43"/>
        <v>0</v>
      </c>
      <c r="AZ86" s="844">
        <f t="shared" si="43"/>
        <v>0</v>
      </c>
      <c r="BA86" s="844">
        <f t="shared" si="43"/>
        <v>0</v>
      </c>
      <c r="BB86" s="844">
        <f t="shared" si="43"/>
        <v>0</v>
      </c>
      <c r="BC86" s="844">
        <f t="shared" si="43"/>
        <v>0</v>
      </c>
      <c r="BD86" s="844">
        <f t="shared" si="43"/>
        <v>0</v>
      </c>
      <c r="BE86" s="844">
        <f t="shared" ref="BE86:DP86" si="45">SUM(BE77:BE85)</f>
        <v>0</v>
      </c>
      <c r="BF86" s="844">
        <f t="shared" si="45"/>
        <v>0</v>
      </c>
      <c r="BG86" s="844">
        <f t="shared" si="45"/>
        <v>0</v>
      </c>
      <c r="BH86" s="844">
        <f t="shared" si="45"/>
        <v>0</v>
      </c>
      <c r="BI86" s="844">
        <f t="shared" si="45"/>
        <v>0</v>
      </c>
      <c r="BJ86" s="844">
        <f t="shared" si="45"/>
        <v>0</v>
      </c>
      <c r="BK86" s="844">
        <f t="shared" si="45"/>
        <v>0</v>
      </c>
      <c r="BL86" s="844">
        <f t="shared" si="45"/>
        <v>0</v>
      </c>
      <c r="BM86" s="844">
        <f t="shared" si="45"/>
        <v>0</v>
      </c>
      <c r="BN86" s="844">
        <f t="shared" si="45"/>
        <v>0</v>
      </c>
      <c r="BO86" s="844">
        <f t="shared" si="45"/>
        <v>0</v>
      </c>
      <c r="BP86" s="844">
        <f t="shared" si="45"/>
        <v>0</v>
      </c>
      <c r="BQ86" s="844">
        <f t="shared" si="45"/>
        <v>0</v>
      </c>
      <c r="BR86" s="844">
        <f t="shared" si="45"/>
        <v>0.2</v>
      </c>
      <c r="BS86" s="844">
        <f t="shared" si="45"/>
        <v>0</v>
      </c>
      <c r="BT86" s="844">
        <f t="shared" si="45"/>
        <v>0</v>
      </c>
      <c r="BU86" s="844">
        <f t="shared" si="45"/>
        <v>0</v>
      </c>
      <c r="BV86" s="844">
        <f t="shared" si="45"/>
        <v>0</v>
      </c>
      <c r="BW86" s="844">
        <f t="shared" si="45"/>
        <v>0</v>
      </c>
      <c r="BX86" s="844">
        <f t="shared" si="45"/>
        <v>0</v>
      </c>
      <c r="BY86" s="844">
        <f t="shared" si="45"/>
        <v>0</v>
      </c>
      <c r="BZ86" s="844">
        <f t="shared" si="45"/>
        <v>0</v>
      </c>
      <c r="CA86" s="844">
        <f t="shared" si="45"/>
        <v>0</v>
      </c>
      <c r="CB86" s="844">
        <f t="shared" si="45"/>
        <v>0</v>
      </c>
      <c r="CC86" s="844">
        <f t="shared" si="45"/>
        <v>0</v>
      </c>
      <c r="CD86" s="844">
        <f t="shared" si="45"/>
        <v>0</v>
      </c>
      <c r="CE86" s="844">
        <f t="shared" si="45"/>
        <v>0</v>
      </c>
      <c r="CF86" s="844">
        <f t="shared" si="45"/>
        <v>0</v>
      </c>
      <c r="CG86" s="844">
        <f t="shared" si="45"/>
        <v>0.02</v>
      </c>
      <c r="CH86" s="844">
        <f t="shared" si="45"/>
        <v>0</v>
      </c>
      <c r="CI86" s="844">
        <f t="shared" si="45"/>
        <v>0</v>
      </c>
      <c r="CJ86" s="844">
        <f t="shared" si="45"/>
        <v>0</v>
      </c>
      <c r="CK86" s="844">
        <f t="shared" si="45"/>
        <v>0</v>
      </c>
      <c r="CL86" s="844">
        <f t="shared" si="45"/>
        <v>0</v>
      </c>
      <c r="CM86" s="844">
        <f t="shared" si="45"/>
        <v>0</v>
      </c>
      <c r="CN86" s="844">
        <f t="shared" si="45"/>
        <v>0</v>
      </c>
      <c r="CO86" s="844">
        <f t="shared" si="45"/>
        <v>0</v>
      </c>
      <c r="CP86" s="844">
        <f t="shared" si="45"/>
        <v>0</v>
      </c>
      <c r="CQ86" s="844">
        <f t="shared" si="45"/>
        <v>0</v>
      </c>
      <c r="CR86" s="844">
        <f t="shared" si="45"/>
        <v>0</v>
      </c>
      <c r="CS86" s="844">
        <f t="shared" si="45"/>
        <v>0</v>
      </c>
      <c r="CT86" s="844">
        <f t="shared" si="45"/>
        <v>0</v>
      </c>
      <c r="CU86" s="844">
        <f t="shared" si="45"/>
        <v>0</v>
      </c>
      <c r="CV86" s="844">
        <f t="shared" si="45"/>
        <v>0</v>
      </c>
      <c r="CW86" s="844">
        <f t="shared" si="45"/>
        <v>0</v>
      </c>
      <c r="CX86" s="844">
        <f t="shared" si="45"/>
        <v>0</v>
      </c>
      <c r="CY86" s="844">
        <f t="shared" si="45"/>
        <v>0</v>
      </c>
      <c r="CZ86" s="844">
        <f t="shared" si="45"/>
        <v>1.6500000000000001E-2</v>
      </c>
      <c r="DA86" s="844">
        <f t="shared" si="45"/>
        <v>0</v>
      </c>
      <c r="DB86" s="844">
        <f t="shared" si="45"/>
        <v>0</v>
      </c>
      <c r="DC86" s="844">
        <f t="shared" si="45"/>
        <v>0</v>
      </c>
      <c r="DD86" s="844">
        <f t="shared" si="45"/>
        <v>0</v>
      </c>
      <c r="DE86" s="844">
        <f t="shared" si="45"/>
        <v>0</v>
      </c>
      <c r="DF86" s="844">
        <f t="shared" si="45"/>
        <v>0</v>
      </c>
      <c r="DG86" s="844">
        <f t="shared" si="45"/>
        <v>0</v>
      </c>
      <c r="DH86" s="844">
        <f t="shared" si="45"/>
        <v>0</v>
      </c>
      <c r="DI86" s="844">
        <f t="shared" si="45"/>
        <v>0</v>
      </c>
      <c r="DJ86" s="844">
        <f t="shared" si="45"/>
        <v>0</v>
      </c>
      <c r="DK86" s="844">
        <f t="shared" si="45"/>
        <v>0</v>
      </c>
      <c r="DL86" s="844">
        <f t="shared" si="45"/>
        <v>0</v>
      </c>
      <c r="DM86" s="844">
        <f t="shared" si="45"/>
        <v>0</v>
      </c>
      <c r="DN86" s="844">
        <f t="shared" si="45"/>
        <v>0</v>
      </c>
      <c r="DO86" s="844">
        <f t="shared" si="45"/>
        <v>0</v>
      </c>
      <c r="DP86" s="844">
        <f t="shared" si="45"/>
        <v>0</v>
      </c>
      <c r="DQ86" s="844">
        <f t="shared" ref="DQ86:EX86" si="46">SUM(DQ77:DQ85)</f>
        <v>0</v>
      </c>
      <c r="DR86" s="844">
        <f t="shared" si="46"/>
        <v>5.0000000000000001E-4</v>
      </c>
      <c r="DS86" s="844">
        <f t="shared" si="46"/>
        <v>0</v>
      </c>
      <c r="DT86" s="844">
        <f t="shared" si="46"/>
        <v>0</v>
      </c>
      <c r="DU86" s="844">
        <f t="shared" si="46"/>
        <v>0</v>
      </c>
      <c r="DV86" s="844">
        <f t="shared" si="46"/>
        <v>0</v>
      </c>
      <c r="DW86" s="844">
        <f t="shared" si="46"/>
        <v>0</v>
      </c>
      <c r="DX86" s="844">
        <f t="shared" si="46"/>
        <v>0</v>
      </c>
      <c r="DY86" s="844">
        <f t="shared" si="46"/>
        <v>0</v>
      </c>
      <c r="DZ86" s="844">
        <f t="shared" si="46"/>
        <v>0</v>
      </c>
      <c r="EA86" s="844">
        <f t="shared" si="46"/>
        <v>0</v>
      </c>
      <c r="EB86" s="844">
        <f t="shared" si="46"/>
        <v>0.5</v>
      </c>
      <c r="EC86" s="844">
        <f t="shared" si="46"/>
        <v>0</v>
      </c>
      <c r="ED86" s="844">
        <f t="shared" si="46"/>
        <v>0</v>
      </c>
      <c r="EE86" s="844">
        <f t="shared" si="46"/>
        <v>0</v>
      </c>
      <c r="EF86" s="844">
        <f t="shared" si="46"/>
        <v>0</v>
      </c>
      <c r="EG86" s="844">
        <f t="shared" si="46"/>
        <v>0</v>
      </c>
      <c r="EH86" s="844">
        <f t="shared" si="46"/>
        <v>0</v>
      </c>
      <c r="EI86" s="844">
        <f t="shared" si="46"/>
        <v>0</v>
      </c>
      <c r="EJ86" s="844">
        <f t="shared" si="46"/>
        <v>0</v>
      </c>
      <c r="EK86" s="844">
        <f t="shared" si="46"/>
        <v>0</v>
      </c>
      <c r="EL86" s="844">
        <f t="shared" si="46"/>
        <v>0</v>
      </c>
      <c r="EM86" s="844">
        <f t="shared" si="46"/>
        <v>0</v>
      </c>
      <c r="EN86" s="844">
        <f t="shared" si="46"/>
        <v>0</v>
      </c>
      <c r="EO86" s="844">
        <f t="shared" si="46"/>
        <v>0</v>
      </c>
      <c r="EP86" s="844">
        <f t="shared" si="46"/>
        <v>0</v>
      </c>
      <c r="EQ86" s="844">
        <f t="shared" si="46"/>
        <v>0</v>
      </c>
      <c r="ER86" s="844">
        <f t="shared" si="46"/>
        <v>0</v>
      </c>
      <c r="ES86" s="844">
        <f t="shared" si="46"/>
        <v>0</v>
      </c>
      <c r="ET86" s="844">
        <f t="shared" si="46"/>
        <v>0</v>
      </c>
      <c r="EU86" s="844">
        <f t="shared" si="46"/>
        <v>0</v>
      </c>
      <c r="EV86" s="844">
        <f t="shared" si="46"/>
        <v>0</v>
      </c>
      <c r="EW86" s="844">
        <f t="shared" si="46"/>
        <v>0.04</v>
      </c>
      <c r="EX86" s="844">
        <f t="shared" si="46"/>
        <v>0</v>
      </c>
      <c r="EY86" s="847">
        <f t="shared" ref="EY86:FL86" si="47">SUM(EY77:EY85)</f>
        <v>0.93</v>
      </c>
      <c r="EZ86" s="534">
        <f t="shared" si="47"/>
        <v>0</v>
      </c>
      <c r="FA86" s="534">
        <f t="shared" si="47"/>
        <v>0</v>
      </c>
      <c r="FB86" s="534">
        <f t="shared" si="47"/>
        <v>0</v>
      </c>
      <c r="FC86" s="534">
        <f t="shared" si="47"/>
        <v>0</v>
      </c>
      <c r="FD86" s="534">
        <f t="shared" si="47"/>
        <v>0</v>
      </c>
      <c r="FE86" s="534">
        <f t="shared" si="47"/>
        <v>0</v>
      </c>
      <c r="FF86" s="534">
        <f t="shared" si="47"/>
        <v>0</v>
      </c>
      <c r="FG86" s="534">
        <f t="shared" si="47"/>
        <v>0</v>
      </c>
      <c r="FH86" s="534">
        <f t="shared" si="47"/>
        <v>0</v>
      </c>
      <c r="FI86" s="534">
        <f t="shared" si="47"/>
        <v>0</v>
      </c>
      <c r="FJ86" s="534">
        <f t="shared" si="47"/>
        <v>0</v>
      </c>
      <c r="FK86" s="534">
        <f t="shared" si="47"/>
        <v>0</v>
      </c>
      <c r="FL86" s="534">
        <f t="shared" si="47"/>
        <v>0</v>
      </c>
    </row>
    <row r="87" spans="1:168" x14ac:dyDescent="0.25">
      <c r="A87" s="1459" t="s">
        <v>112</v>
      </c>
      <c r="B87" s="115" t="str">
        <f>блюда!B50</f>
        <v>Огурцы, помидоры в нарезке</v>
      </c>
      <c r="C87" s="250">
        <f>блюда!C50</f>
        <v>60</v>
      </c>
      <c r="D87" s="431">
        <f>блюда!D50</f>
        <v>0.42</v>
      </c>
      <c r="E87" s="431">
        <f>блюда!E50</f>
        <v>0.06</v>
      </c>
      <c r="F87" s="431">
        <f>блюда!F50</f>
        <v>1.1399999999999999</v>
      </c>
      <c r="G87" s="250">
        <f>блюда!G50</f>
        <v>7</v>
      </c>
      <c r="H87" s="250">
        <f>блюда!H50</f>
        <v>71</v>
      </c>
      <c r="I87" s="116">
        <f>блюда!I50</f>
        <v>5.66</v>
      </c>
      <c r="J87" s="473">
        <f>блюда!J50</f>
        <v>0</v>
      </c>
      <c r="K87" s="473">
        <f>блюда!K50</f>
        <v>0</v>
      </c>
      <c r="L87" s="473">
        <f>блюда!L50</f>
        <v>0</v>
      </c>
      <c r="M87" s="473">
        <f>блюда!M50</f>
        <v>0</v>
      </c>
      <c r="N87" s="473">
        <f>блюда!N50</f>
        <v>0</v>
      </c>
      <c r="O87" s="473">
        <f>блюда!O50</f>
        <v>0</v>
      </c>
      <c r="P87" s="473">
        <f>блюда!P50</f>
        <v>0</v>
      </c>
      <c r="Q87" s="473">
        <f>блюда!Q50</f>
        <v>0</v>
      </c>
      <c r="R87" s="473">
        <f>блюда!R50</f>
        <v>0</v>
      </c>
      <c r="S87" s="473">
        <f>блюда!S50</f>
        <v>0</v>
      </c>
      <c r="T87" s="473">
        <f>блюда!T50</f>
        <v>0</v>
      </c>
      <c r="U87" s="473">
        <f>блюда!U50</f>
        <v>0</v>
      </c>
      <c r="V87" s="473">
        <f>блюда!V50</f>
        <v>0</v>
      </c>
      <c r="W87" s="473">
        <f>блюда!W50</f>
        <v>0</v>
      </c>
      <c r="X87" s="473">
        <f>блюда!X50</f>
        <v>0</v>
      </c>
      <c r="Y87" s="473">
        <f>блюда!Y50</f>
        <v>0</v>
      </c>
      <c r="Z87" s="473">
        <f>блюда!Z50</f>
        <v>0</v>
      </c>
      <c r="AA87" s="473">
        <f>блюда!AA50</f>
        <v>0</v>
      </c>
      <c r="AB87" s="473">
        <f>блюда!AB50</f>
        <v>0</v>
      </c>
      <c r="AC87" s="473">
        <f>блюда!AC50</f>
        <v>0</v>
      </c>
      <c r="AD87" s="473">
        <f>блюда!AD50</f>
        <v>0</v>
      </c>
      <c r="AE87" s="473">
        <f>блюда!AE50</f>
        <v>0</v>
      </c>
      <c r="AF87" s="473">
        <f>блюда!AF50</f>
        <v>0</v>
      </c>
      <c r="AG87" s="473">
        <f>блюда!AG50</f>
        <v>0</v>
      </c>
      <c r="AH87" s="473">
        <f>блюда!AH50</f>
        <v>0</v>
      </c>
      <c r="AI87" s="473">
        <f>блюда!AI50</f>
        <v>0</v>
      </c>
      <c r="AJ87" s="473">
        <f>блюда!AJ50</f>
        <v>0</v>
      </c>
      <c r="AK87" s="473">
        <f>блюда!AK50</f>
        <v>0</v>
      </c>
      <c r="AL87" s="473">
        <f>блюда!AL50</f>
        <v>0</v>
      </c>
      <c r="AM87" s="473">
        <f>блюда!AM50</f>
        <v>0</v>
      </c>
      <c r="AN87" s="473">
        <f>блюда!AN50</f>
        <v>3.5499999999999997E-2</v>
      </c>
      <c r="AO87" s="473">
        <f>блюда!AO50</f>
        <v>3.1600000000000003E-2</v>
      </c>
      <c r="AP87" s="473">
        <f>блюда!AP50</f>
        <v>0</v>
      </c>
      <c r="AQ87" s="473">
        <f>блюда!AQ50</f>
        <v>0</v>
      </c>
      <c r="AR87" s="473">
        <f>блюда!AR50</f>
        <v>0</v>
      </c>
      <c r="AS87" s="473">
        <f>блюда!AS50</f>
        <v>0</v>
      </c>
      <c r="AT87" s="473">
        <f>блюда!AT50</f>
        <v>0</v>
      </c>
      <c r="AU87" s="473">
        <f>блюда!AU50</f>
        <v>0</v>
      </c>
      <c r="AV87" s="473">
        <f>блюда!AV50</f>
        <v>0</v>
      </c>
      <c r="AW87" s="473">
        <f>блюда!AW50</f>
        <v>0</v>
      </c>
      <c r="AX87" s="473">
        <f>блюда!AX50</f>
        <v>0</v>
      </c>
      <c r="AY87" s="473">
        <f>блюда!AY50</f>
        <v>0</v>
      </c>
      <c r="AZ87" s="473">
        <f>блюда!AZ50</f>
        <v>0</v>
      </c>
      <c r="BA87" s="473">
        <f>блюда!BA50</f>
        <v>0</v>
      </c>
      <c r="BB87" s="473">
        <f>блюда!BB50</f>
        <v>0</v>
      </c>
      <c r="BC87" s="473">
        <f>блюда!BC50</f>
        <v>0</v>
      </c>
      <c r="BD87" s="473">
        <f>блюда!BD50</f>
        <v>0</v>
      </c>
      <c r="BE87" s="473">
        <f>блюда!BE50</f>
        <v>0</v>
      </c>
      <c r="BF87" s="473">
        <f>блюда!BF50</f>
        <v>0</v>
      </c>
      <c r="BG87" s="473">
        <f>блюда!BG50</f>
        <v>0</v>
      </c>
      <c r="BH87" s="473">
        <f>блюда!BH50</f>
        <v>0</v>
      </c>
      <c r="BI87" s="473">
        <f>блюда!BI50</f>
        <v>0</v>
      </c>
      <c r="BJ87" s="473">
        <f>блюда!BJ50</f>
        <v>0</v>
      </c>
      <c r="BK87" s="473">
        <f>блюда!BK50</f>
        <v>0</v>
      </c>
      <c r="BL87" s="473">
        <f>блюда!BL50</f>
        <v>0</v>
      </c>
      <c r="BM87" s="473">
        <f>блюда!BM50</f>
        <v>0</v>
      </c>
      <c r="BN87" s="473">
        <f>блюда!BN50</f>
        <v>0</v>
      </c>
      <c r="BO87" s="473">
        <f>блюда!BO50</f>
        <v>0</v>
      </c>
      <c r="BP87" s="473">
        <f>блюда!BP50</f>
        <v>0</v>
      </c>
      <c r="BQ87" s="473">
        <f>блюда!BQ50</f>
        <v>0</v>
      </c>
      <c r="BR87" s="473">
        <f>блюда!BR50</f>
        <v>0</v>
      </c>
      <c r="BS87" s="473">
        <f>блюда!BS50</f>
        <v>0</v>
      </c>
      <c r="BT87" s="473">
        <f>блюда!BT50</f>
        <v>0</v>
      </c>
      <c r="BU87" s="473">
        <f>блюда!BU50</f>
        <v>0</v>
      </c>
      <c r="BV87" s="473">
        <f>блюда!BV50</f>
        <v>0</v>
      </c>
      <c r="BW87" s="473">
        <f>блюда!BW50</f>
        <v>0</v>
      </c>
      <c r="BX87" s="473">
        <f>блюда!BX50</f>
        <v>0</v>
      </c>
      <c r="BY87" s="473">
        <f>блюда!BY50</f>
        <v>0</v>
      </c>
      <c r="BZ87" s="473">
        <f>блюда!BZ50</f>
        <v>0</v>
      </c>
      <c r="CA87" s="473">
        <f>блюда!CA50</f>
        <v>0</v>
      </c>
      <c r="CB87" s="473">
        <f>блюда!CB50</f>
        <v>0</v>
      </c>
      <c r="CC87" s="473">
        <f>блюда!CC50</f>
        <v>0</v>
      </c>
      <c r="CD87" s="473">
        <f>блюда!CD50</f>
        <v>0</v>
      </c>
      <c r="CE87" s="473">
        <f>блюда!CE50</f>
        <v>0</v>
      </c>
      <c r="CF87" s="473">
        <f>блюда!CF50</f>
        <v>0</v>
      </c>
      <c r="CG87" s="473">
        <f>блюда!CG50</f>
        <v>0</v>
      </c>
      <c r="CH87" s="473">
        <f>блюда!CH50</f>
        <v>0</v>
      </c>
      <c r="CI87" s="473">
        <f>блюда!CI50</f>
        <v>0</v>
      </c>
      <c r="CJ87" s="473">
        <f>блюда!CJ50</f>
        <v>0</v>
      </c>
      <c r="CK87" s="473">
        <f>блюда!CK50</f>
        <v>0</v>
      </c>
      <c r="CL87" s="473">
        <f>блюда!CL50</f>
        <v>0</v>
      </c>
      <c r="CM87" s="473">
        <f>блюда!CM50</f>
        <v>0</v>
      </c>
      <c r="CN87" s="473">
        <f>блюда!CN50</f>
        <v>0</v>
      </c>
      <c r="CO87" s="473">
        <f>блюда!CO50</f>
        <v>0</v>
      </c>
      <c r="CP87" s="473">
        <f>блюда!CP50</f>
        <v>0</v>
      </c>
      <c r="CQ87" s="473">
        <f>блюда!CQ50</f>
        <v>0</v>
      </c>
      <c r="CR87" s="473">
        <f>блюда!CR50</f>
        <v>0</v>
      </c>
      <c r="CS87" s="473">
        <f>блюда!CS50</f>
        <v>0</v>
      </c>
      <c r="CT87" s="473">
        <f>блюда!CT50</f>
        <v>0</v>
      </c>
      <c r="CU87" s="473">
        <f>блюда!CU50</f>
        <v>0</v>
      </c>
      <c r="CV87" s="473">
        <f>блюда!CV50</f>
        <v>0</v>
      </c>
      <c r="CW87" s="473">
        <f>блюда!CW50</f>
        <v>0</v>
      </c>
      <c r="CX87" s="473">
        <f>блюда!CX50</f>
        <v>0</v>
      </c>
      <c r="CY87" s="473">
        <f>блюда!CY50</f>
        <v>0</v>
      </c>
      <c r="CZ87" s="473">
        <f>блюда!CZ50</f>
        <v>0</v>
      </c>
      <c r="DA87" s="473">
        <f>блюда!DA50</f>
        <v>0</v>
      </c>
      <c r="DB87" s="473">
        <f>блюда!DB50</f>
        <v>0</v>
      </c>
      <c r="DC87" s="473">
        <f>блюда!DC50</f>
        <v>0</v>
      </c>
      <c r="DD87" s="473">
        <f>блюда!DD50</f>
        <v>0</v>
      </c>
      <c r="DE87" s="473">
        <f>блюда!DE50</f>
        <v>0</v>
      </c>
      <c r="DF87" s="473">
        <f>блюда!DF50</f>
        <v>0</v>
      </c>
      <c r="DG87" s="473">
        <f>блюда!DG50</f>
        <v>0</v>
      </c>
      <c r="DH87" s="473">
        <f>блюда!DH50</f>
        <v>0</v>
      </c>
      <c r="DI87" s="473">
        <f>блюда!DI50</f>
        <v>0</v>
      </c>
      <c r="DJ87" s="473">
        <f>блюда!DJ50</f>
        <v>0</v>
      </c>
      <c r="DK87" s="473">
        <f>блюда!DK50</f>
        <v>0</v>
      </c>
      <c r="DL87" s="473">
        <f>блюда!DL50</f>
        <v>0</v>
      </c>
      <c r="DM87" s="473">
        <f>блюда!DM50</f>
        <v>0</v>
      </c>
      <c r="DN87" s="473">
        <f>блюда!DN50</f>
        <v>0</v>
      </c>
      <c r="DO87" s="473">
        <f>блюда!DO50</f>
        <v>0</v>
      </c>
      <c r="DP87" s="473">
        <f>блюда!DP50</f>
        <v>0</v>
      </c>
      <c r="DQ87" s="473">
        <f>блюда!DQ50</f>
        <v>0</v>
      </c>
      <c r="DR87" s="473">
        <f>блюда!DR50</f>
        <v>0</v>
      </c>
      <c r="DS87" s="473">
        <f>блюда!DS50</f>
        <v>0</v>
      </c>
      <c r="DT87" s="473">
        <f>блюда!DT50</f>
        <v>0</v>
      </c>
      <c r="DU87" s="473">
        <f>блюда!DU50</f>
        <v>0</v>
      </c>
      <c r="DV87" s="473">
        <f>блюда!DV50</f>
        <v>0</v>
      </c>
      <c r="DW87" s="473">
        <f>блюда!DW50</f>
        <v>0</v>
      </c>
      <c r="DX87" s="473">
        <f>блюда!DX50</f>
        <v>0</v>
      </c>
      <c r="DY87" s="473">
        <f>блюда!DY50</f>
        <v>0</v>
      </c>
      <c r="DZ87" s="473">
        <f>блюда!DZ50</f>
        <v>0</v>
      </c>
      <c r="EA87" s="473">
        <f>блюда!EA50</f>
        <v>0</v>
      </c>
      <c r="EB87" s="473">
        <f>блюда!EB50</f>
        <v>0</v>
      </c>
      <c r="EC87" s="473">
        <f>блюда!EC50</f>
        <v>0</v>
      </c>
      <c r="ED87" s="473">
        <f>блюда!ED50</f>
        <v>0</v>
      </c>
      <c r="EE87" s="473">
        <f>блюда!EE50</f>
        <v>0</v>
      </c>
      <c r="EF87" s="473">
        <f>блюда!EF50</f>
        <v>0</v>
      </c>
      <c r="EG87" s="473">
        <f>блюда!EG50</f>
        <v>0</v>
      </c>
      <c r="EH87" s="473">
        <f>блюда!EH50</f>
        <v>0</v>
      </c>
      <c r="EI87" s="473">
        <f>блюда!EI50</f>
        <v>0</v>
      </c>
      <c r="EJ87" s="473">
        <f>блюда!EJ50</f>
        <v>0</v>
      </c>
      <c r="EK87" s="473">
        <f>блюда!EK50</f>
        <v>0</v>
      </c>
      <c r="EL87" s="473">
        <f>блюда!EL50</f>
        <v>0</v>
      </c>
      <c r="EM87" s="473">
        <f>блюда!EM50</f>
        <v>0</v>
      </c>
      <c r="EN87" s="473">
        <f>блюда!EN50</f>
        <v>0</v>
      </c>
      <c r="EO87" s="473">
        <f>блюда!EO50</f>
        <v>0</v>
      </c>
      <c r="EP87" s="473">
        <f>блюда!EP50</f>
        <v>0</v>
      </c>
      <c r="EQ87" s="473">
        <f>блюда!EQ50</f>
        <v>0</v>
      </c>
      <c r="ER87" s="473">
        <f>блюда!ER50</f>
        <v>0</v>
      </c>
      <c r="ES87" s="473">
        <f>блюда!ES50</f>
        <v>0</v>
      </c>
      <c r="ET87" s="473">
        <f>блюда!ET50</f>
        <v>0</v>
      </c>
      <c r="EU87" s="473">
        <f>блюда!EU50</f>
        <v>0</v>
      </c>
      <c r="EV87" s="473">
        <f>блюда!EV50</f>
        <v>0</v>
      </c>
      <c r="EW87" s="473">
        <f>блюда!EW50</f>
        <v>0</v>
      </c>
      <c r="EX87" s="473">
        <f>блюда!EX50</f>
        <v>0</v>
      </c>
      <c r="EY87" s="927">
        <f t="shared" si="5"/>
        <v>6.7100000000000007E-2</v>
      </c>
      <c r="EZ87" s="431">
        <f>блюда!EZ24</f>
        <v>0</v>
      </c>
      <c r="FA87" s="431">
        <f>блюда!FA24</f>
        <v>0</v>
      </c>
      <c r="FB87" s="431">
        <f>блюда!FB24</f>
        <v>0</v>
      </c>
      <c r="FC87" s="431">
        <f>блюда!FC24</f>
        <v>0</v>
      </c>
      <c r="FD87" s="431">
        <f>блюда!FD24</f>
        <v>0</v>
      </c>
      <c r="FE87" s="431">
        <f>блюда!FE24</f>
        <v>0</v>
      </c>
      <c r="FF87" s="431">
        <f>блюда!FF24</f>
        <v>0</v>
      </c>
      <c r="FG87" s="431">
        <f>блюда!FG24</f>
        <v>0</v>
      </c>
      <c r="FH87" s="431">
        <f>блюда!FH24</f>
        <v>0</v>
      </c>
      <c r="FI87" s="431">
        <f>блюда!FI24</f>
        <v>0</v>
      </c>
      <c r="FJ87" s="431">
        <f>блюда!FJ24</f>
        <v>0</v>
      </c>
      <c r="FK87" s="431">
        <f>блюда!FK24</f>
        <v>0</v>
      </c>
      <c r="FL87" s="431">
        <f>блюда!FL24</f>
        <v>0</v>
      </c>
    </row>
    <row r="88" spans="1:168" x14ac:dyDescent="0.25">
      <c r="A88" s="1460"/>
      <c r="B88" s="115" t="str">
        <f>блюда!B54</f>
        <v>Борщ с фасолью и картофелем</v>
      </c>
      <c r="C88" s="116">
        <f>блюда!C54</f>
        <v>250</v>
      </c>
      <c r="D88" s="431">
        <f>блюда!D54</f>
        <v>3.56</v>
      </c>
      <c r="E88" s="431">
        <f>блюда!E54</f>
        <v>5.12</v>
      </c>
      <c r="F88" s="431">
        <f>блюда!F54</f>
        <v>14.17</v>
      </c>
      <c r="G88" s="116">
        <f>блюда!G54</f>
        <v>128</v>
      </c>
      <c r="H88" s="116">
        <f>блюда!H54</f>
        <v>84</v>
      </c>
      <c r="I88" s="116">
        <f>блюда!I54</f>
        <v>11.72</v>
      </c>
      <c r="J88" s="116">
        <f>блюда!J54</f>
        <v>0</v>
      </c>
      <c r="K88" s="116">
        <f>блюда!K54</f>
        <v>0</v>
      </c>
      <c r="L88" s="116">
        <f>блюда!L54</f>
        <v>0</v>
      </c>
      <c r="M88" s="116">
        <f>блюда!M54</f>
        <v>0</v>
      </c>
      <c r="N88" s="116">
        <f>блюда!N54</f>
        <v>0</v>
      </c>
      <c r="O88" s="116">
        <f>блюда!O54</f>
        <v>0</v>
      </c>
      <c r="P88" s="116">
        <f>блюда!P54</f>
        <v>0</v>
      </c>
      <c r="Q88" s="116">
        <f>блюда!Q54</f>
        <v>0</v>
      </c>
      <c r="R88" s="116">
        <f>блюда!R54</f>
        <v>0</v>
      </c>
      <c r="S88" s="116">
        <f>блюда!S54</f>
        <v>0</v>
      </c>
      <c r="T88" s="116">
        <f>блюда!T54</f>
        <v>0</v>
      </c>
      <c r="U88" s="116">
        <f>блюда!U54</f>
        <v>0</v>
      </c>
      <c r="V88" s="116">
        <f>блюда!V54</f>
        <v>0</v>
      </c>
      <c r="W88" s="116">
        <f>блюда!W54</f>
        <v>0</v>
      </c>
      <c r="X88" s="116">
        <f>блюда!X54</f>
        <v>0</v>
      </c>
      <c r="Y88" s="116">
        <f>блюда!Y54</f>
        <v>5.0000000000000001E-3</v>
      </c>
      <c r="Z88" s="116">
        <f>блюда!Z54</f>
        <v>0</v>
      </c>
      <c r="AA88" s="116">
        <f>блюда!AA54</f>
        <v>0</v>
      </c>
      <c r="AB88" s="116">
        <f>блюда!AB54</f>
        <v>0</v>
      </c>
      <c r="AC88" s="116">
        <f>блюда!AC54</f>
        <v>0</v>
      </c>
      <c r="AD88" s="116">
        <f>блюда!AD54</f>
        <v>0</v>
      </c>
      <c r="AE88" s="116">
        <f>блюда!AE54</f>
        <v>0</v>
      </c>
      <c r="AF88" s="116">
        <f>блюда!AF54</f>
        <v>0</v>
      </c>
      <c r="AG88" s="116">
        <f>блюда!AG54</f>
        <v>0</v>
      </c>
      <c r="AH88" s="116">
        <f>блюда!AH54</f>
        <v>3.3250000000000002E-2</v>
      </c>
      <c r="AI88" s="116">
        <f>блюда!AI54</f>
        <v>0</v>
      </c>
      <c r="AJ88" s="116">
        <f>блюда!AJ54</f>
        <v>0</v>
      </c>
      <c r="AK88" s="116">
        <f>блюда!AK54</f>
        <v>1.2E-2</v>
      </c>
      <c r="AL88" s="116">
        <f>блюда!AL54</f>
        <v>0</v>
      </c>
      <c r="AM88" s="116">
        <f>блюда!AM54</f>
        <v>1E-3</v>
      </c>
      <c r="AN88" s="116">
        <f>блюда!AN54</f>
        <v>0</v>
      </c>
      <c r="AO88" s="116">
        <f>блюда!AO54</f>
        <v>0</v>
      </c>
      <c r="AP88" s="116">
        <f>блюда!AP54</f>
        <v>0</v>
      </c>
      <c r="AQ88" s="116">
        <f>блюда!AQ54</f>
        <v>1.2500000000000001E-2</v>
      </c>
      <c r="AR88" s="116">
        <f>блюда!AR54</f>
        <v>0</v>
      </c>
      <c r="AS88" s="116">
        <f>блюда!AS54</f>
        <v>0</v>
      </c>
      <c r="AT88" s="116">
        <f>блюда!AT54</f>
        <v>3.2499999999999999E-3</v>
      </c>
      <c r="AU88" s="116">
        <f>блюда!AU54</f>
        <v>2E-3</v>
      </c>
      <c r="AV88" s="116">
        <f>блюда!AV54</f>
        <v>0</v>
      </c>
      <c r="AW88" s="116">
        <f>блюда!AW54</f>
        <v>0</v>
      </c>
      <c r="AX88" s="116">
        <f>блюда!AX54</f>
        <v>0.05</v>
      </c>
      <c r="AY88" s="116">
        <f>блюда!AY54</f>
        <v>0</v>
      </c>
      <c r="AZ88" s="116">
        <f>блюда!AZ54</f>
        <v>0</v>
      </c>
      <c r="BA88" s="116">
        <f>блюда!BA54</f>
        <v>0</v>
      </c>
      <c r="BB88" s="116">
        <f>блюда!BB54</f>
        <v>0</v>
      </c>
      <c r="BC88" s="116">
        <f>блюда!BC54</f>
        <v>0</v>
      </c>
      <c r="BD88" s="116">
        <f>блюда!BD54</f>
        <v>0</v>
      </c>
      <c r="BE88" s="116">
        <f>блюда!BE54</f>
        <v>0</v>
      </c>
      <c r="BF88" s="116">
        <f>блюда!BF54</f>
        <v>0</v>
      </c>
      <c r="BG88" s="116">
        <f>блюда!BG54</f>
        <v>0</v>
      </c>
      <c r="BH88" s="116">
        <f>блюда!BH54</f>
        <v>0</v>
      </c>
      <c r="BI88" s="116">
        <f>блюда!BI54</f>
        <v>0</v>
      </c>
      <c r="BJ88" s="116">
        <f>блюда!BJ54</f>
        <v>0</v>
      </c>
      <c r="BK88" s="116">
        <f>блюда!BK54</f>
        <v>0</v>
      </c>
      <c r="BL88" s="116">
        <f>блюда!BL54</f>
        <v>0</v>
      </c>
      <c r="BM88" s="116">
        <f>блюда!BM54</f>
        <v>0</v>
      </c>
      <c r="BN88" s="116">
        <f>блюда!BN54</f>
        <v>0</v>
      </c>
      <c r="BO88" s="116">
        <f>блюда!BO54</f>
        <v>0</v>
      </c>
      <c r="BP88" s="116">
        <f>блюда!BP54</f>
        <v>0</v>
      </c>
      <c r="BQ88" s="116">
        <f>блюда!BQ54</f>
        <v>0</v>
      </c>
      <c r="BR88" s="116">
        <f>блюда!BR54</f>
        <v>0</v>
      </c>
      <c r="BS88" s="116">
        <f>блюда!BS54</f>
        <v>2.5000000000000001E-3</v>
      </c>
      <c r="BT88" s="116">
        <f>блюда!BT54</f>
        <v>0</v>
      </c>
      <c r="BU88" s="116">
        <f>блюда!BU54</f>
        <v>0</v>
      </c>
      <c r="BV88" s="116">
        <f>блюда!BV54</f>
        <v>0</v>
      </c>
      <c r="BW88" s="116">
        <f>блюда!BW54</f>
        <v>0</v>
      </c>
      <c r="BX88" s="116">
        <f>блюда!BX54</f>
        <v>0</v>
      </c>
      <c r="BY88" s="116">
        <f>блюда!BY54</f>
        <v>0</v>
      </c>
      <c r="BZ88" s="116">
        <f>блюда!BZ54</f>
        <v>0</v>
      </c>
      <c r="CA88" s="116">
        <f>блюда!CA54</f>
        <v>0</v>
      </c>
      <c r="CB88" s="116">
        <f>блюда!CB54</f>
        <v>0</v>
      </c>
      <c r="CC88" s="116">
        <f>блюда!CC54</f>
        <v>0</v>
      </c>
      <c r="CD88" s="116">
        <f>блюда!CD54</f>
        <v>0</v>
      </c>
      <c r="CE88" s="116">
        <f>блюда!CE54</f>
        <v>0</v>
      </c>
      <c r="CF88" s="116">
        <f>блюда!CF54</f>
        <v>5.0000000000000001E-3</v>
      </c>
      <c r="CG88" s="116">
        <f>блюда!CG54</f>
        <v>0</v>
      </c>
      <c r="CH88" s="116">
        <f>блюда!CH54</f>
        <v>0</v>
      </c>
      <c r="CI88" s="116">
        <f>блюда!CI54</f>
        <v>0</v>
      </c>
      <c r="CJ88" s="116">
        <f>блюда!CJ54</f>
        <v>0</v>
      </c>
      <c r="CK88" s="116">
        <f>блюда!CK54</f>
        <v>0</v>
      </c>
      <c r="CL88" s="116">
        <f>блюда!CL54</f>
        <v>0</v>
      </c>
      <c r="CM88" s="116">
        <f>блюда!CM54</f>
        <v>0</v>
      </c>
      <c r="CN88" s="116">
        <f>блюда!CN54</f>
        <v>0</v>
      </c>
      <c r="CO88" s="116">
        <f>блюда!CO54</f>
        <v>0</v>
      </c>
      <c r="CP88" s="116">
        <f>блюда!CP54</f>
        <v>0</v>
      </c>
      <c r="CQ88" s="116">
        <f>блюда!CQ54</f>
        <v>0</v>
      </c>
      <c r="CR88" s="116">
        <f>блюда!CR54</f>
        <v>0</v>
      </c>
      <c r="CS88" s="116">
        <f>блюда!CS54</f>
        <v>0</v>
      </c>
      <c r="CT88" s="116">
        <f>блюда!CT54</f>
        <v>0</v>
      </c>
      <c r="CU88" s="116">
        <f>блюда!CU54</f>
        <v>0</v>
      </c>
      <c r="CV88" s="116">
        <f>блюда!CV54</f>
        <v>0</v>
      </c>
      <c r="CW88" s="116">
        <f>блюда!CW54</f>
        <v>0</v>
      </c>
      <c r="CX88" s="116">
        <f>блюда!CX54</f>
        <v>0</v>
      </c>
      <c r="CY88" s="116">
        <f>блюда!CY54</f>
        <v>0</v>
      </c>
      <c r="CZ88" s="116">
        <f>блюда!CZ54</f>
        <v>1.5E-3</v>
      </c>
      <c r="DA88" s="116">
        <f>блюда!DA54</f>
        <v>0</v>
      </c>
      <c r="DB88" s="116">
        <f>блюда!DB54</f>
        <v>0</v>
      </c>
      <c r="DC88" s="116">
        <f>блюда!DC54</f>
        <v>2.5000000000000001E-3</v>
      </c>
      <c r="DD88" s="116">
        <f>блюда!DD54</f>
        <v>0</v>
      </c>
      <c r="DE88" s="116">
        <f>блюда!DE54</f>
        <v>0</v>
      </c>
      <c r="DF88" s="116">
        <f>блюда!DF54</f>
        <v>7.4999999999999997E-3</v>
      </c>
      <c r="DG88" s="116">
        <f>блюда!DG54</f>
        <v>0</v>
      </c>
      <c r="DH88" s="116">
        <f>блюда!DH54</f>
        <v>0</v>
      </c>
      <c r="DI88" s="116">
        <f>блюда!DI54</f>
        <v>0</v>
      </c>
      <c r="DJ88" s="116">
        <f>блюда!DJ54</f>
        <v>0</v>
      </c>
      <c r="DK88" s="116">
        <f>блюда!DK54</f>
        <v>0</v>
      </c>
      <c r="DL88" s="116">
        <f>блюда!DL54</f>
        <v>0</v>
      </c>
      <c r="DM88" s="116">
        <f>блюда!DM54</f>
        <v>0.01</v>
      </c>
      <c r="DN88" s="116">
        <f>блюда!DN54</f>
        <v>0</v>
      </c>
      <c r="DO88" s="116">
        <f>блюда!DO54</f>
        <v>0</v>
      </c>
      <c r="DP88" s="116">
        <f>блюда!DP54</f>
        <v>0</v>
      </c>
      <c r="DQ88" s="116">
        <f>блюда!DQ54</f>
        <v>0</v>
      </c>
      <c r="DR88" s="116">
        <f>блюда!DR54</f>
        <v>0</v>
      </c>
      <c r="DS88" s="116">
        <f>блюда!DS54</f>
        <v>0</v>
      </c>
      <c r="DT88" s="116">
        <f>блюда!DT54</f>
        <v>0</v>
      </c>
      <c r="DU88" s="116">
        <f>блюда!DU54</f>
        <v>0</v>
      </c>
      <c r="DV88" s="116">
        <f>блюда!DV54</f>
        <v>0</v>
      </c>
      <c r="DW88" s="116">
        <f>блюда!DW54</f>
        <v>0</v>
      </c>
      <c r="DX88" s="116">
        <f>блюда!DX54</f>
        <v>0</v>
      </c>
      <c r="DY88" s="116">
        <f>блюда!DY54</f>
        <v>0</v>
      </c>
      <c r="DZ88" s="116">
        <f>блюда!DZ54</f>
        <v>0</v>
      </c>
      <c r="EA88" s="116">
        <f>блюда!EA54</f>
        <v>0</v>
      </c>
      <c r="EB88" s="116">
        <f>блюда!EB54</f>
        <v>0</v>
      </c>
      <c r="EC88" s="116">
        <f>блюда!EC54</f>
        <v>0</v>
      </c>
      <c r="ED88" s="116">
        <f>блюда!ED54</f>
        <v>0</v>
      </c>
      <c r="EE88" s="116">
        <f>блюда!EE54</f>
        <v>0</v>
      </c>
      <c r="EF88" s="116">
        <f>блюда!EF54</f>
        <v>0</v>
      </c>
      <c r="EG88" s="116">
        <f>блюда!EG54</f>
        <v>0</v>
      </c>
      <c r="EH88" s="116">
        <f>блюда!EH54</f>
        <v>0</v>
      </c>
      <c r="EI88" s="116">
        <f>блюда!EI54</f>
        <v>0</v>
      </c>
      <c r="EJ88" s="116">
        <f>блюда!EJ54</f>
        <v>0</v>
      </c>
      <c r="EK88" s="116">
        <f>блюда!EK54</f>
        <v>0</v>
      </c>
      <c r="EL88" s="116">
        <f>блюда!EL54</f>
        <v>0</v>
      </c>
      <c r="EM88" s="116">
        <f>блюда!EM54</f>
        <v>0</v>
      </c>
      <c r="EN88" s="116">
        <f>блюда!EN54</f>
        <v>0</v>
      </c>
      <c r="EO88" s="116">
        <f>блюда!EO54</f>
        <v>0</v>
      </c>
      <c r="EP88" s="116">
        <f>блюда!EP54</f>
        <v>0</v>
      </c>
      <c r="EQ88" s="116">
        <f>блюда!EQ54</f>
        <v>0</v>
      </c>
      <c r="ER88" s="116">
        <f>блюда!ER54</f>
        <v>0</v>
      </c>
      <c r="ES88" s="116">
        <f>блюда!ES54</f>
        <v>0</v>
      </c>
      <c r="ET88" s="116">
        <f>блюда!ET54</f>
        <v>0</v>
      </c>
      <c r="EU88" s="116">
        <f>блюда!EU54</f>
        <v>0</v>
      </c>
      <c r="EV88" s="116">
        <f>блюда!EV54</f>
        <v>0</v>
      </c>
      <c r="EW88" s="116">
        <f>блюда!EW54</f>
        <v>0</v>
      </c>
      <c r="EX88" s="116">
        <f>блюда!EX54</f>
        <v>0</v>
      </c>
      <c r="EY88" s="927">
        <f t="shared" si="5"/>
        <v>0.14799999999999999</v>
      </c>
      <c r="EZ88" s="117">
        <f>блюда!EZ88</f>
        <v>0</v>
      </c>
      <c r="FA88" s="117">
        <f>блюда!FA88</f>
        <v>0</v>
      </c>
      <c r="FB88" s="117">
        <f>блюда!FB88</f>
        <v>0</v>
      </c>
      <c r="FC88" s="117">
        <f>блюда!FC88</f>
        <v>0</v>
      </c>
      <c r="FD88" s="117">
        <f>блюда!FD88</f>
        <v>0</v>
      </c>
      <c r="FE88" s="117">
        <f>блюда!FE88</f>
        <v>0</v>
      </c>
      <c r="FF88" s="117">
        <f>блюда!FF88</f>
        <v>0</v>
      </c>
      <c r="FG88" s="117">
        <f>блюда!FG88</f>
        <v>0</v>
      </c>
      <c r="FH88" s="117">
        <f>блюда!FH88</f>
        <v>0</v>
      </c>
      <c r="FI88" s="117">
        <f>блюда!FI88</f>
        <v>0</v>
      </c>
      <c r="FJ88" s="117">
        <f>блюда!FJ88</f>
        <v>0</v>
      </c>
      <c r="FK88" s="117">
        <f>блюда!FK88</f>
        <v>0</v>
      </c>
      <c r="FL88" s="117">
        <f>блюда!FL88</f>
        <v>0</v>
      </c>
    </row>
    <row r="89" spans="1:168" ht="26.4" x14ac:dyDescent="0.25">
      <c r="A89" s="1460"/>
      <c r="B89" s="943" t="str">
        <f>блюда!B197</f>
        <v>Тефтели из говядины 2-й вариант (с рисом (2 шт) и соусом сметанным с томатом)</v>
      </c>
      <c r="C89" s="250">
        <f>блюда!C197</f>
        <v>170</v>
      </c>
      <c r="D89" s="431">
        <f>блюда!D197</f>
        <v>11.53</v>
      </c>
      <c r="E89" s="431">
        <f>блюда!E197</f>
        <v>12.81</v>
      </c>
      <c r="F89" s="431">
        <f>блюда!F197</f>
        <v>14.59</v>
      </c>
      <c r="G89" s="250">
        <f>блюда!G197</f>
        <v>219</v>
      </c>
      <c r="H89" s="250">
        <f>блюда!H197</f>
        <v>279</v>
      </c>
      <c r="I89" s="431">
        <f>блюда!I197</f>
        <v>68.63</v>
      </c>
      <c r="J89" s="473">
        <f>блюда!J197</f>
        <v>0.104</v>
      </c>
      <c r="K89" s="473">
        <f>блюда!K197</f>
        <v>0</v>
      </c>
      <c r="L89" s="473">
        <f>блюда!L197</f>
        <v>0</v>
      </c>
      <c r="M89" s="473">
        <f>блюда!M197</f>
        <v>0</v>
      </c>
      <c r="N89" s="473">
        <f>блюда!N197</f>
        <v>0</v>
      </c>
      <c r="O89" s="473">
        <f>блюда!O197</f>
        <v>0</v>
      </c>
      <c r="P89" s="473">
        <f>блюда!P197</f>
        <v>0</v>
      </c>
      <c r="Q89" s="473">
        <f>блюда!Q197</f>
        <v>0</v>
      </c>
      <c r="R89" s="473">
        <f>блюда!R197</f>
        <v>0</v>
      </c>
      <c r="S89" s="473">
        <f>блюда!S197</f>
        <v>0</v>
      </c>
      <c r="T89" s="473">
        <f>блюда!T197</f>
        <v>0</v>
      </c>
      <c r="U89" s="473">
        <f>блюда!U197</f>
        <v>0</v>
      </c>
      <c r="V89" s="473">
        <f>блюда!V197</f>
        <v>0</v>
      </c>
      <c r="W89" s="473">
        <f>блюда!W197</f>
        <v>0</v>
      </c>
      <c r="X89" s="473">
        <f>блюда!X197</f>
        <v>0</v>
      </c>
      <c r="Y89" s="473">
        <f>блюда!Y197</f>
        <v>1.2500000000000001E-2</v>
      </c>
      <c r="Z89" s="473">
        <f>блюда!Z197</f>
        <v>0</v>
      </c>
      <c r="AA89" s="473">
        <f>блюда!AA197</f>
        <v>0</v>
      </c>
      <c r="AB89" s="473">
        <f>блюда!AB197</f>
        <v>0</v>
      </c>
      <c r="AC89" s="473">
        <f>блюда!AC197</f>
        <v>0</v>
      </c>
      <c r="AD89" s="473">
        <f>блюда!AD197</f>
        <v>0</v>
      </c>
      <c r="AE89" s="473">
        <f>блюда!AE197</f>
        <v>0</v>
      </c>
      <c r="AF89" s="473">
        <f>блюда!AF197</f>
        <v>0</v>
      </c>
      <c r="AG89" s="473">
        <f>блюда!AG197</f>
        <v>0</v>
      </c>
      <c r="AH89" s="473">
        <f>блюда!AH197</f>
        <v>0</v>
      </c>
      <c r="AI89" s="473">
        <f>блюда!AI197</f>
        <v>0</v>
      </c>
      <c r="AJ89" s="473">
        <f>блюда!AJ197</f>
        <v>0</v>
      </c>
      <c r="AK89" s="473">
        <f>блюда!AK197</f>
        <v>4.2000000000000003E-2</v>
      </c>
      <c r="AL89" s="473">
        <f>блюда!AL197</f>
        <v>0</v>
      </c>
      <c r="AM89" s="473">
        <f>блюда!AM197</f>
        <v>0</v>
      </c>
      <c r="AN89" s="473">
        <f>блюда!AN197</f>
        <v>0</v>
      </c>
      <c r="AO89" s="473">
        <f>блюда!AO197</f>
        <v>0</v>
      </c>
      <c r="AP89" s="473">
        <f>блюда!AP197</f>
        <v>0</v>
      </c>
      <c r="AQ89" s="473">
        <f>блюда!AQ197</f>
        <v>0</v>
      </c>
      <c r="AR89" s="473">
        <f>блюда!AR197</f>
        <v>0</v>
      </c>
      <c r="AS89" s="473">
        <f>блюда!AS197</f>
        <v>0</v>
      </c>
      <c r="AT89" s="473">
        <f>блюда!AT197</f>
        <v>0</v>
      </c>
      <c r="AU89" s="473">
        <f>блюда!AU197</f>
        <v>4.0000000000000001E-3</v>
      </c>
      <c r="AV89" s="473">
        <f>блюда!AV197</f>
        <v>0</v>
      </c>
      <c r="AW89" s="473">
        <f>блюда!AW197</f>
        <v>0</v>
      </c>
      <c r="AX89" s="473">
        <f>блюда!AX197</f>
        <v>0</v>
      </c>
      <c r="AY89" s="473">
        <f>блюда!AY197</f>
        <v>0</v>
      </c>
      <c r="AZ89" s="473">
        <f>блюда!AZ197</f>
        <v>0</v>
      </c>
      <c r="BA89" s="473">
        <f>блюда!BA197</f>
        <v>0</v>
      </c>
      <c r="BB89" s="473">
        <f>блюда!BB197</f>
        <v>0</v>
      </c>
      <c r="BC89" s="473">
        <f>блюда!BC197</f>
        <v>0</v>
      </c>
      <c r="BD89" s="473">
        <f>блюда!BD197</f>
        <v>0</v>
      </c>
      <c r="BE89" s="473">
        <f>блюда!BE197</f>
        <v>0</v>
      </c>
      <c r="BF89" s="473">
        <f>блюда!BF197</f>
        <v>0</v>
      </c>
      <c r="BG89" s="473">
        <f>блюда!BG197</f>
        <v>0</v>
      </c>
      <c r="BH89" s="473">
        <f>блюда!BH197</f>
        <v>0</v>
      </c>
      <c r="BI89" s="473">
        <f>блюда!BI197</f>
        <v>0</v>
      </c>
      <c r="BJ89" s="473">
        <f>блюда!BJ197</f>
        <v>0</v>
      </c>
      <c r="BK89" s="473">
        <f>блюда!BK197</f>
        <v>0</v>
      </c>
      <c r="BL89" s="473">
        <f>блюда!BL197</f>
        <v>0</v>
      </c>
      <c r="BM89" s="473">
        <f>блюда!BM197</f>
        <v>0</v>
      </c>
      <c r="BN89" s="473">
        <f>блюда!BN197</f>
        <v>0</v>
      </c>
      <c r="BO89" s="473">
        <f>блюда!BO197</f>
        <v>0</v>
      </c>
      <c r="BP89" s="473">
        <f>блюда!BP197</f>
        <v>0</v>
      </c>
      <c r="BQ89" s="473">
        <f>блюда!BQ197</f>
        <v>0</v>
      </c>
      <c r="BR89" s="473">
        <f>блюда!BR197</f>
        <v>0</v>
      </c>
      <c r="BS89" s="473">
        <f>блюда!BS197</f>
        <v>1.175E-2</v>
      </c>
      <c r="BT89" s="473">
        <f>блюда!BT197</f>
        <v>0</v>
      </c>
      <c r="BU89" s="473">
        <f>блюда!BU197</f>
        <v>0</v>
      </c>
      <c r="BV89" s="473">
        <f>блюда!BV197</f>
        <v>0</v>
      </c>
      <c r="BW89" s="473">
        <f>блюда!BW197</f>
        <v>0</v>
      </c>
      <c r="BX89" s="473">
        <f>блюда!BX197</f>
        <v>0</v>
      </c>
      <c r="BY89" s="473">
        <f>блюда!BY197</f>
        <v>0</v>
      </c>
      <c r="BZ89" s="473">
        <f>блюда!BZ197</f>
        <v>0</v>
      </c>
      <c r="CA89" s="473">
        <f>блюда!CA197</f>
        <v>0</v>
      </c>
      <c r="CB89" s="473">
        <f>блюда!CB197</f>
        <v>0.01</v>
      </c>
      <c r="CC89" s="473">
        <f>блюда!CC197</f>
        <v>0</v>
      </c>
      <c r="CD89" s="473">
        <f>блюда!CD197</f>
        <v>0</v>
      </c>
      <c r="CE89" s="473">
        <f>блюда!CE197</f>
        <v>0</v>
      </c>
      <c r="CF89" s="473">
        <f>блюда!CF197</f>
        <v>1.2E-2</v>
      </c>
      <c r="CG89" s="473">
        <f>блюда!CG197</f>
        <v>0</v>
      </c>
      <c r="CH89" s="473">
        <f>блюда!CH197</f>
        <v>0</v>
      </c>
      <c r="CI89" s="473">
        <f>блюда!CI197</f>
        <v>0</v>
      </c>
      <c r="CJ89" s="473">
        <f>блюда!CJ197</f>
        <v>0</v>
      </c>
      <c r="CK89" s="473">
        <f>блюда!CK197</f>
        <v>0</v>
      </c>
      <c r="CL89" s="473">
        <f>блюда!CL197</f>
        <v>0</v>
      </c>
      <c r="CM89" s="473">
        <f>блюда!CM197</f>
        <v>0</v>
      </c>
      <c r="CN89" s="473">
        <f>блюда!CN197</f>
        <v>0</v>
      </c>
      <c r="CO89" s="473">
        <f>блюда!CO197</f>
        <v>0</v>
      </c>
      <c r="CP89" s="473">
        <f>блюда!CP197</f>
        <v>0</v>
      </c>
      <c r="CQ89" s="473">
        <f>блюда!CQ197</f>
        <v>0</v>
      </c>
      <c r="CR89" s="473">
        <f>блюда!CR197</f>
        <v>0</v>
      </c>
      <c r="CS89" s="473">
        <f>блюда!CS197</f>
        <v>4.0000000000000003E-5</v>
      </c>
      <c r="CT89" s="473">
        <f>блюда!CT197</f>
        <v>0</v>
      </c>
      <c r="CU89" s="473">
        <f>блюда!CU197</f>
        <v>0</v>
      </c>
      <c r="CV89" s="473">
        <f>блюда!CV197</f>
        <v>0</v>
      </c>
      <c r="CW89" s="473">
        <f>блюда!CW197</f>
        <v>0</v>
      </c>
      <c r="CX89" s="473">
        <f>блюда!CX197</f>
        <v>0</v>
      </c>
      <c r="CY89" s="473">
        <f>блюда!CY197</f>
        <v>0</v>
      </c>
      <c r="CZ89" s="473">
        <f>блюда!CZ197</f>
        <v>0</v>
      </c>
      <c r="DA89" s="473">
        <f>блюда!DA197</f>
        <v>0</v>
      </c>
      <c r="DB89" s="473">
        <f>блюда!DB197</f>
        <v>0</v>
      </c>
      <c r="DC89" s="473">
        <f>блюда!DC197</f>
        <v>5.4000000000000003E-3</v>
      </c>
      <c r="DD89" s="473">
        <f>блюда!DD197</f>
        <v>0</v>
      </c>
      <c r="DE89" s="473">
        <f>блюда!DE197</f>
        <v>0</v>
      </c>
      <c r="DF89" s="473">
        <f>блюда!DF197</f>
        <v>5.0000000000000001E-3</v>
      </c>
      <c r="DG89" s="473">
        <f>блюда!DG197</f>
        <v>0</v>
      </c>
      <c r="DH89" s="473">
        <f>блюда!DH197</f>
        <v>0</v>
      </c>
      <c r="DI89" s="473">
        <f>блюда!DI197</f>
        <v>0</v>
      </c>
      <c r="DJ89" s="473">
        <f>блюда!DJ197</f>
        <v>0</v>
      </c>
      <c r="DK89" s="473">
        <f>блюда!DK197</f>
        <v>0</v>
      </c>
      <c r="DL89" s="473">
        <f>блюда!DL197</f>
        <v>0</v>
      </c>
      <c r="DM89" s="473">
        <f>блюда!DM197</f>
        <v>0</v>
      </c>
      <c r="DN89" s="473">
        <f>блюда!DN197</f>
        <v>0</v>
      </c>
      <c r="DO89" s="473">
        <f>блюда!DO197</f>
        <v>0</v>
      </c>
      <c r="DP89" s="473">
        <f>блюда!DP197</f>
        <v>0</v>
      </c>
      <c r="DQ89" s="473">
        <f>блюда!DQ197</f>
        <v>0</v>
      </c>
      <c r="DR89" s="473">
        <f>блюда!DR197</f>
        <v>0</v>
      </c>
      <c r="DS89" s="473">
        <f>блюда!DS197</f>
        <v>0</v>
      </c>
      <c r="DT89" s="473">
        <f>блюда!DT197</f>
        <v>0</v>
      </c>
      <c r="DU89" s="473">
        <f>блюда!DU197</f>
        <v>0</v>
      </c>
      <c r="DV89" s="473">
        <f>блюда!DV197</f>
        <v>0</v>
      </c>
      <c r="DW89" s="473">
        <f>блюда!DW197</f>
        <v>0</v>
      </c>
      <c r="DX89" s="473">
        <f>блюда!DX197</f>
        <v>0</v>
      </c>
      <c r="DY89" s="473">
        <f>блюда!DY197</f>
        <v>0</v>
      </c>
      <c r="DZ89" s="473">
        <f>блюда!DZ197</f>
        <v>0</v>
      </c>
      <c r="EA89" s="473">
        <f>блюда!EA197</f>
        <v>0</v>
      </c>
      <c r="EB89" s="473">
        <f>блюда!EB197</f>
        <v>0</v>
      </c>
      <c r="EC89" s="473">
        <f>блюда!EC197</f>
        <v>0</v>
      </c>
      <c r="ED89" s="473">
        <f>блюда!ED197</f>
        <v>0</v>
      </c>
      <c r="EE89" s="473">
        <f>блюда!EE197</f>
        <v>0</v>
      </c>
      <c r="EF89" s="473">
        <f>блюда!EF197</f>
        <v>0</v>
      </c>
      <c r="EG89" s="473">
        <f>блюда!EG197</f>
        <v>0</v>
      </c>
      <c r="EH89" s="473">
        <f>блюда!EH197</f>
        <v>0</v>
      </c>
      <c r="EI89" s="473">
        <f>блюда!EI197</f>
        <v>0</v>
      </c>
      <c r="EJ89" s="473">
        <f>блюда!EJ197</f>
        <v>0</v>
      </c>
      <c r="EK89" s="473">
        <f>блюда!EK197</f>
        <v>0</v>
      </c>
      <c r="EL89" s="473">
        <f>блюда!EL197</f>
        <v>0</v>
      </c>
      <c r="EM89" s="473">
        <f>блюда!EM197</f>
        <v>0</v>
      </c>
      <c r="EN89" s="473">
        <f>блюда!EN197</f>
        <v>0</v>
      </c>
      <c r="EO89" s="473">
        <f>блюда!EO197</f>
        <v>0</v>
      </c>
      <c r="EP89" s="473">
        <f>блюда!EP197</f>
        <v>0</v>
      </c>
      <c r="EQ89" s="473">
        <f>блюда!EQ197</f>
        <v>0</v>
      </c>
      <c r="ER89" s="473">
        <f>блюда!ER197</f>
        <v>0</v>
      </c>
      <c r="ES89" s="473">
        <f>блюда!ES197</f>
        <v>0</v>
      </c>
      <c r="ET89" s="473">
        <f>блюда!ET197</f>
        <v>0</v>
      </c>
      <c r="EU89" s="473">
        <f>блюда!EU197</f>
        <v>0</v>
      </c>
      <c r="EV89" s="473">
        <f>блюда!EV197</f>
        <v>0</v>
      </c>
      <c r="EW89" s="473">
        <f>блюда!EW197</f>
        <v>0</v>
      </c>
      <c r="EX89" s="473">
        <f>блюда!EX197</f>
        <v>0</v>
      </c>
      <c r="EY89" s="927">
        <f t="shared" si="5"/>
        <v>0.20669000000000001</v>
      </c>
      <c r="EZ89" s="117">
        <f>блюда!EZ210</f>
        <v>0</v>
      </c>
      <c r="FA89" s="117">
        <f>блюда!FA210</f>
        <v>0</v>
      </c>
      <c r="FB89" s="117">
        <f>блюда!FB210</f>
        <v>0</v>
      </c>
      <c r="FC89" s="117">
        <f>блюда!FC210</f>
        <v>0</v>
      </c>
      <c r="FD89" s="117">
        <f>блюда!FD210</f>
        <v>0</v>
      </c>
      <c r="FE89" s="117">
        <f>блюда!FE210</f>
        <v>0</v>
      </c>
      <c r="FF89" s="117">
        <f>блюда!FF210</f>
        <v>0</v>
      </c>
      <c r="FG89" s="117">
        <f>блюда!FG210</f>
        <v>0</v>
      </c>
      <c r="FH89" s="117">
        <f>блюда!FH210</f>
        <v>0</v>
      </c>
      <c r="FI89" s="117">
        <f>блюда!FI210</f>
        <v>0</v>
      </c>
      <c r="FJ89" s="117">
        <f>блюда!FJ210</f>
        <v>0</v>
      </c>
      <c r="FK89" s="117">
        <f>блюда!FK210</f>
        <v>0</v>
      </c>
      <c r="FL89" s="117">
        <f>блюда!FL210</f>
        <v>0</v>
      </c>
    </row>
    <row r="90" spans="1:168" x14ac:dyDescent="0.25">
      <c r="A90" s="1460"/>
      <c r="B90" s="115" t="str">
        <f>блюда!B231</f>
        <v>Картофель отварной</v>
      </c>
      <c r="C90" s="250">
        <f>блюда!C231</f>
        <v>150</v>
      </c>
      <c r="D90" s="431">
        <f>блюда!D231</f>
        <v>2.86</v>
      </c>
      <c r="E90" s="431">
        <f>блюда!E231</f>
        <v>4.32</v>
      </c>
      <c r="F90" s="431">
        <f>блюда!F231</f>
        <v>23.01</v>
      </c>
      <c r="G90" s="250">
        <f>блюда!G231</f>
        <v>142</v>
      </c>
      <c r="H90" s="250">
        <f>блюда!H231</f>
        <v>310</v>
      </c>
      <c r="I90" s="431">
        <f>блюда!I231</f>
        <v>13.72</v>
      </c>
      <c r="J90" s="473">
        <f>блюда!J231</f>
        <v>0</v>
      </c>
      <c r="K90" s="473">
        <f>блюда!K231</f>
        <v>0</v>
      </c>
      <c r="L90" s="473">
        <f>блюда!L231</f>
        <v>0</v>
      </c>
      <c r="M90" s="473">
        <f>блюда!M231</f>
        <v>0</v>
      </c>
      <c r="N90" s="473">
        <f>блюда!N231</f>
        <v>0</v>
      </c>
      <c r="O90" s="473">
        <f>блюда!O231</f>
        <v>0</v>
      </c>
      <c r="P90" s="473">
        <f>блюда!P231</f>
        <v>0</v>
      </c>
      <c r="Q90" s="473">
        <f>блюда!Q231</f>
        <v>0</v>
      </c>
      <c r="R90" s="473">
        <f>блюда!R231</f>
        <v>0</v>
      </c>
      <c r="S90" s="473">
        <f>блюда!S231</f>
        <v>0</v>
      </c>
      <c r="T90" s="473">
        <f>блюда!T231</f>
        <v>0</v>
      </c>
      <c r="U90" s="473">
        <f>блюда!U231</f>
        <v>0</v>
      </c>
      <c r="V90" s="473">
        <f>блюда!V231</f>
        <v>5.2500000000000003E-3</v>
      </c>
      <c r="W90" s="473">
        <f>блюда!W231</f>
        <v>0</v>
      </c>
      <c r="X90" s="473">
        <f>блюда!X231</f>
        <v>0</v>
      </c>
      <c r="Y90" s="473">
        <f>блюда!Y231</f>
        <v>0</v>
      </c>
      <c r="Z90" s="473">
        <f>блюда!Z231</f>
        <v>0</v>
      </c>
      <c r="AA90" s="473">
        <f>блюда!AA231</f>
        <v>0</v>
      </c>
      <c r="AB90" s="473">
        <f>блюда!AB231</f>
        <v>0</v>
      </c>
      <c r="AC90" s="473">
        <f>блюда!AC231</f>
        <v>0</v>
      </c>
      <c r="AD90" s="473">
        <f>блюда!AD231</f>
        <v>0</v>
      </c>
      <c r="AE90" s="473">
        <f>блюда!AE231</f>
        <v>0</v>
      </c>
      <c r="AF90" s="473">
        <f>блюда!AF231</f>
        <v>0</v>
      </c>
      <c r="AG90" s="473">
        <f>блюда!AG231</f>
        <v>0</v>
      </c>
      <c r="AH90" s="473">
        <f>блюда!AH231</f>
        <v>0.19994999999999999</v>
      </c>
      <c r="AI90" s="473">
        <f>блюда!AI231</f>
        <v>0</v>
      </c>
      <c r="AJ90" s="473">
        <f>блюда!AJ231</f>
        <v>0</v>
      </c>
      <c r="AK90" s="473">
        <f>блюда!AK231</f>
        <v>0</v>
      </c>
      <c r="AL90" s="473">
        <f>блюда!AL231</f>
        <v>0</v>
      </c>
      <c r="AM90" s="473">
        <f>блюда!AM231</f>
        <v>0</v>
      </c>
      <c r="AN90" s="473">
        <f>блюда!AN231</f>
        <v>0</v>
      </c>
      <c r="AO90" s="473">
        <f>блюда!AO231</f>
        <v>0</v>
      </c>
      <c r="AP90" s="473">
        <f>блюда!AP231</f>
        <v>0</v>
      </c>
      <c r="AQ90" s="473">
        <f>блюда!AQ231</f>
        <v>0</v>
      </c>
      <c r="AR90" s="473">
        <f>блюда!AR231</f>
        <v>0</v>
      </c>
      <c r="AS90" s="473">
        <f>блюда!AS231</f>
        <v>0</v>
      </c>
      <c r="AT90" s="473">
        <f>блюда!AT231</f>
        <v>0</v>
      </c>
      <c r="AU90" s="473">
        <f>блюда!AU231</f>
        <v>0</v>
      </c>
      <c r="AV90" s="473">
        <f>блюда!AV231</f>
        <v>0</v>
      </c>
      <c r="AW90" s="473">
        <f>блюда!AW231</f>
        <v>0</v>
      </c>
      <c r="AX90" s="473">
        <f>блюда!AX231</f>
        <v>0</v>
      </c>
      <c r="AY90" s="473">
        <f>блюда!AY231</f>
        <v>0</v>
      </c>
      <c r="AZ90" s="473">
        <f>блюда!AZ231</f>
        <v>0</v>
      </c>
      <c r="BA90" s="473">
        <f>блюда!BA231</f>
        <v>0</v>
      </c>
      <c r="BB90" s="473">
        <f>блюда!BB231</f>
        <v>0</v>
      </c>
      <c r="BC90" s="473">
        <f>блюда!BC231</f>
        <v>0</v>
      </c>
      <c r="BD90" s="473">
        <f>блюда!BD231</f>
        <v>0</v>
      </c>
      <c r="BE90" s="473">
        <f>блюда!BE231</f>
        <v>0</v>
      </c>
      <c r="BF90" s="473">
        <f>блюда!BF231</f>
        <v>0</v>
      </c>
      <c r="BG90" s="473">
        <f>блюда!BG231</f>
        <v>0</v>
      </c>
      <c r="BH90" s="473">
        <f>блюда!BH231</f>
        <v>0</v>
      </c>
      <c r="BI90" s="473">
        <f>блюда!BI231</f>
        <v>0</v>
      </c>
      <c r="BJ90" s="473">
        <f>блюда!BJ231</f>
        <v>0</v>
      </c>
      <c r="BK90" s="473">
        <f>блюда!BK231</f>
        <v>0</v>
      </c>
      <c r="BL90" s="473">
        <f>блюда!BL231</f>
        <v>0</v>
      </c>
      <c r="BM90" s="473">
        <f>блюда!BM231</f>
        <v>0</v>
      </c>
      <c r="BN90" s="473">
        <f>блюда!BN231</f>
        <v>0</v>
      </c>
      <c r="BO90" s="473">
        <f>блюда!BO231</f>
        <v>0</v>
      </c>
      <c r="BP90" s="473">
        <f>блюда!BP231</f>
        <v>0</v>
      </c>
      <c r="BQ90" s="473">
        <f>блюда!BQ231</f>
        <v>0</v>
      </c>
      <c r="BR90" s="473">
        <f>блюда!BR231</f>
        <v>0</v>
      </c>
      <c r="BS90" s="473">
        <f>блюда!BS231</f>
        <v>0</v>
      </c>
      <c r="BT90" s="473">
        <f>блюда!BT231</f>
        <v>0</v>
      </c>
      <c r="BU90" s="473">
        <f>блюда!BU231</f>
        <v>0</v>
      </c>
      <c r="BV90" s="473">
        <f>блюда!BV231</f>
        <v>0</v>
      </c>
      <c r="BW90" s="473">
        <f>блюда!BW231</f>
        <v>0</v>
      </c>
      <c r="BX90" s="473">
        <f>блюда!BX231</f>
        <v>0</v>
      </c>
      <c r="BY90" s="473">
        <f>блюда!BY231</f>
        <v>0</v>
      </c>
      <c r="BZ90" s="473">
        <f>блюда!BZ231</f>
        <v>0</v>
      </c>
      <c r="CA90" s="473">
        <f>блюда!CA231</f>
        <v>0</v>
      </c>
      <c r="CB90" s="473">
        <f>блюда!CB231</f>
        <v>0</v>
      </c>
      <c r="CC90" s="473">
        <f>блюда!CC231</f>
        <v>0</v>
      </c>
      <c r="CD90" s="473">
        <f>блюда!CD231</f>
        <v>0</v>
      </c>
      <c r="CE90" s="473">
        <f>блюда!CE231</f>
        <v>0</v>
      </c>
      <c r="CF90" s="473">
        <f>блюда!CF231</f>
        <v>0</v>
      </c>
      <c r="CG90" s="473">
        <f>блюда!CG231</f>
        <v>0</v>
      </c>
      <c r="CH90" s="473">
        <f>блюда!CH231</f>
        <v>0</v>
      </c>
      <c r="CI90" s="473">
        <f>блюда!CI231</f>
        <v>0</v>
      </c>
      <c r="CJ90" s="473">
        <f>блюда!CJ231</f>
        <v>0</v>
      </c>
      <c r="CK90" s="473">
        <f>блюда!CK231</f>
        <v>0</v>
      </c>
      <c r="CL90" s="473">
        <f>блюда!CL231</f>
        <v>0</v>
      </c>
      <c r="CM90" s="473">
        <f>блюда!CM231</f>
        <v>0</v>
      </c>
      <c r="CN90" s="473">
        <f>блюда!CN231</f>
        <v>0</v>
      </c>
      <c r="CO90" s="473">
        <f>блюда!CO231</f>
        <v>0</v>
      </c>
      <c r="CP90" s="473">
        <f>блюда!CP231</f>
        <v>0</v>
      </c>
      <c r="CQ90" s="473">
        <f>блюда!CQ231</f>
        <v>0</v>
      </c>
      <c r="CR90" s="473">
        <f>блюда!CR231</f>
        <v>0</v>
      </c>
      <c r="CS90" s="473">
        <f>блюда!CS231</f>
        <v>0</v>
      </c>
      <c r="CT90" s="473">
        <f>блюда!CT231</f>
        <v>0</v>
      </c>
      <c r="CU90" s="473">
        <f>блюда!CU231</f>
        <v>0</v>
      </c>
      <c r="CV90" s="473">
        <f>блюда!CV231</f>
        <v>0</v>
      </c>
      <c r="CW90" s="473">
        <f>блюда!CW231</f>
        <v>0</v>
      </c>
      <c r="CX90" s="473">
        <f>блюда!CX231</f>
        <v>0</v>
      </c>
      <c r="CY90" s="473">
        <f>блюда!CY231</f>
        <v>0</v>
      </c>
      <c r="CZ90" s="473">
        <f>блюда!CZ231</f>
        <v>0</v>
      </c>
      <c r="DA90" s="473">
        <f>блюда!DA231</f>
        <v>0</v>
      </c>
      <c r="DB90" s="473">
        <f>блюда!DB231</f>
        <v>0</v>
      </c>
      <c r="DC90" s="473">
        <f>блюда!DC231</f>
        <v>0</v>
      </c>
      <c r="DD90" s="473">
        <f>блюда!DD231</f>
        <v>0</v>
      </c>
      <c r="DE90" s="473">
        <f>блюда!DE231</f>
        <v>0</v>
      </c>
      <c r="DF90" s="473">
        <f>блюда!DF231</f>
        <v>0</v>
      </c>
      <c r="DG90" s="473">
        <f>блюда!DG231</f>
        <v>0</v>
      </c>
      <c r="DH90" s="473">
        <f>блюда!DH231</f>
        <v>0</v>
      </c>
      <c r="DI90" s="473">
        <f>блюда!DI231</f>
        <v>0</v>
      </c>
      <c r="DJ90" s="473">
        <f>блюда!DJ231</f>
        <v>0</v>
      </c>
      <c r="DK90" s="473">
        <f>блюда!DK231</f>
        <v>0</v>
      </c>
      <c r="DL90" s="473">
        <f>блюда!DL231</f>
        <v>0</v>
      </c>
      <c r="DM90" s="473">
        <f>блюда!DM231</f>
        <v>0</v>
      </c>
      <c r="DN90" s="473">
        <f>блюда!DN231</f>
        <v>0</v>
      </c>
      <c r="DO90" s="473">
        <f>блюда!DO231</f>
        <v>0</v>
      </c>
      <c r="DP90" s="473">
        <f>блюда!DP231</f>
        <v>0</v>
      </c>
      <c r="DQ90" s="473">
        <f>блюда!DQ231</f>
        <v>0</v>
      </c>
      <c r="DR90" s="473">
        <f>блюда!DR231</f>
        <v>0</v>
      </c>
      <c r="DS90" s="473">
        <f>блюда!DS231</f>
        <v>0</v>
      </c>
      <c r="DT90" s="473">
        <f>блюда!DT231</f>
        <v>0</v>
      </c>
      <c r="DU90" s="473">
        <f>блюда!DU231</f>
        <v>0</v>
      </c>
      <c r="DV90" s="473">
        <f>блюда!DV231</f>
        <v>0</v>
      </c>
      <c r="DW90" s="473">
        <f>блюда!DW231</f>
        <v>0</v>
      </c>
      <c r="DX90" s="473">
        <f>блюда!DX231</f>
        <v>0</v>
      </c>
      <c r="DY90" s="473">
        <f>блюда!DY231</f>
        <v>0</v>
      </c>
      <c r="DZ90" s="473">
        <f>блюда!DZ231</f>
        <v>0</v>
      </c>
      <c r="EA90" s="473">
        <f>блюда!EA231</f>
        <v>0</v>
      </c>
      <c r="EB90" s="473">
        <f>блюда!EB231</f>
        <v>0</v>
      </c>
      <c r="EC90" s="473">
        <f>блюда!EC231</f>
        <v>0</v>
      </c>
      <c r="ED90" s="473">
        <f>блюда!ED231</f>
        <v>0</v>
      </c>
      <c r="EE90" s="473">
        <f>блюда!EE231</f>
        <v>0</v>
      </c>
      <c r="EF90" s="473">
        <f>блюда!EF231</f>
        <v>0</v>
      </c>
      <c r="EG90" s="473">
        <f>блюда!EG231</f>
        <v>0</v>
      </c>
      <c r="EH90" s="473">
        <f>блюда!EH231</f>
        <v>0</v>
      </c>
      <c r="EI90" s="473">
        <f>блюда!EI231</f>
        <v>0</v>
      </c>
      <c r="EJ90" s="473">
        <f>блюда!EJ231</f>
        <v>0</v>
      </c>
      <c r="EK90" s="473">
        <f>блюда!EK231</f>
        <v>0</v>
      </c>
      <c r="EL90" s="473">
        <f>блюда!EL231</f>
        <v>0</v>
      </c>
      <c r="EM90" s="473">
        <f>блюда!EM231</f>
        <v>0</v>
      </c>
      <c r="EN90" s="473">
        <f>блюда!EN231</f>
        <v>0</v>
      </c>
      <c r="EO90" s="473">
        <f>блюда!EO231</f>
        <v>0</v>
      </c>
      <c r="EP90" s="473">
        <f>блюда!EP231</f>
        <v>0</v>
      </c>
      <c r="EQ90" s="473">
        <f>блюда!EQ231</f>
        <v>0</v>
      </c>
      <c r="ER90" s="473">
        <f>блюда!ER231</f>
        <v>0</v>
      </c>
      <c r="ES90" s="473">
        <f>блюда!ES231</f>
        <v>0</v>
      </c>
      <c r="ET90" s="473">
        <f>блюда!ET231</f>
        <v>0</v>
      </c>
      <c r="EU90" s="473">
        <f>блюда!EU231</f>
        <v>0</v>
      </c>
      <c r="EV90" s="473">
        <f>блюда!EV231</f>
        <v>0</v>
      </c>
      <c r="EW90" s="473">
        <f>блюда!EW231</f>
        <v>0</v>
      </c>
      <c r="EX90" s="473">
        <f>блюда!EX231</f>
        <v>0</v>
      </c>
      <c r="EY90" s="927">
        <f t="shared" si="5"/>
        <v>0.20519999999999999</v>
      </c>
      <c r="EZ90" s="117">
        <f>блюда!EZ230</f>
        <v>0</v>
      </c>
      <c r="FA90" s="117">
        <f>блюда!FA230</f>
        <v>0</v>
      </c>
      <c r="FB90" s="117">
        <f>блюда!FB230</f>
        <v>0</v>
      </c>
      <c r="FC90" s="117">
        <f>блюда!FC230</f>
        <v>0</v>
      </c>
      <c r="FD90" s="117">
        <f>блюда!FD230</f>
        <v>0</v>
      </c>
      <c r="FE90" s="117">
        <f>блюда!FE230</f>
        <v>0</v>
      </c>
      <c r="FF90" s="117">
        <f>блюда!FF230</f>
        <v>0</v>
      </c>
      <c r="FG90" s="117">
        <f>блюда!FG230</f>
        <v>0</v>
      </c>
      <c r="FH90" s="117">
        <f>блюда!FH230</f>
        <v>0</v>
      </c>
      <c r="FI90" s="117">
        <f>блюда!FI230</f>
        <v>0</v>
      </c>
      <c r="FJ90" s="117">
        <f>блюда!FJ230</f>
        <v>0</v>
      </c>
      <c r="FK90" s="117">
        <f>блюда!FK230</f>
        <v>0</v>
      </c>
      <c r="FL90" s="117">
        <f>блюда!FL230</f>
        <v>0</v>
      </c>
    </row>
    <row r="91" spans="1:168" x14ac:dyDescent="0.25">
      <c r="A91" s="1460"/>
      <c r="B91" s="115" t="str">
        <f>блюда!B272</f>
        <v xml:space="preserve">Компот из яблок </v>
      </c>
      <c r="C91" s="250">
        <f>блюда!C272</f>
        <v>200</v>
      </c>
      <c r="D91" s="431">
        <f>блюда!D272</f>
        <v>0.16</v>
      </c>
      <c r="E91" s="431">
        <f>блюда!E272</f>
        <v>0.16</v>
      </c>
      <c r="F91" s="431">
        <f>блюда!F272</f>
        <v>27.88</v>
      </c>
      <c r="G91" s="250">
        <f>блюда!G272</f>
        <v>115</v>
      </c>
      <c r="H91" s="250">
        <f>блюда!H272</f>
        <v>342</v>
      </c>
      <c r="I91" s="431">
        <f>блюда!I272</f>
        <v>6.01</v>
      </c>
      <c r="J91" s="473">
        <f>блюда!J272</f>
        <v>0</v>
      </c>
      <c r="K91" s="473">
        <f>блюда!K272</f>
        <v>0</v>
      </c>
      <c r="L91" s="473">
        <f>блюда!L272</f>
        <v>0</v>
      </c>
      <c r="M91" s="473">
        <f>блюда!M272</f>
        <v>0</v>
      </c>
      <c r="N91" s="473">
        <f>блюда!N272</f>
        <v>0</v>
      </c>
      <c r="O91" s="473">
        <f>блюда!O272</f>
        <v>0</v>
      </c>
      <c r="P91" s="473">
        <f>блюда!P272</f>
        <v>0</v>
      </c>
      <c r="Q91" s="473">
        <f>блюда!Q272</f>
        <v>0</v>
      </c>
      <c r="R91" s="473">
        <f>блюда!R272</f>
        <v>0</v>
      </c>
      <c r="S91" s="473">
        <f>блюда!S272</f>
        <v>0</v>
      </c>
      <c r="T91" s="473">
        <f>блюда!T272</f>
        <v>0</v>
      </c>
      <c r="U91" s="473">
        <f>блюда!U272</f>
        <v>0</v>
      </c>
      <c r="V91" s="473">
        <f>блюда!V272</f>
        <v>0</v>
      </c>
      <c r="W91" s="473">
        <f>блюда!W272</f>
        <v>0</v>
      </c>
      <c r="X91" s="473">
        <f>блюда!X272</f>
        <v>0</v>
      </c>
      <c r="Y91" s="473">
        <f>блюда!Y272</f>
        <v>0</v>
      </c>
      <c r="Z91" s="473">
        <f>блюда!Z272</f>
        <v>0</v>
      </c>
      <c r="AA91" s="473">
        <f>блюда!AA272</f>
        <v>0</v>
      </c>
      <c r="AB91" s="473">
        <f>блюда!AB272</f>
        <v>0</v>
      </c>
      <c r="AC91" s="473">
        <f>блюда!AC272</f>
        <v>0</v>
      </c>
      <c r="AD91" s="473">
        <f>блюда!AD272</f>
        <v>0</v>
      </c>
      <c r="AE91" s="473">
        <f>блюда!AE272</f>
        <v>0</v>
      </c>
      <c r="AF91" s="473">
        <f>блюда!AF272</f>
        <v>0</v>
      </c>
      <c r="AG91" s="473">
        <f>блюда!AG272</f>
        <v>0</v>
      </c>
      <c r="AH91" s="473">
        <f>блюда!AH272</f>
        <v>0</v>
      </c>
      <c r="AI91" s="473">
        <f>блюда!AI272</f>
        <v>0</v>
      </c>
      <c r="AJ91" s="473">
        <f>блюда!AJ272</f>
        <v>0</v>
      </c>
      <c r="AK91" s="473">
        <f>блюда!AK272</f>
        <v>0</v>
      </c>
      <c r="AL91" s="473">
        <f>блюда!AL272</f>
        <v>0</v>
      </c>
      <c r="AM91" s="473">
        <f>блюда!AM272</f>
        <v>0</v>
      </c>
      <c r="AN91" s="473">
        <f>блюда!AN272</f>
        <v>0</v>
      </c>
      <c r="AO91" s="473">
        <f>блюда!AO272</f>
        <v>0</v>
      </c>
      <c r="AP91" s="473">
        <f>блюда!AP272</f>
        <v>0</v>
      </c>
      <c r="AQ91" s="473">
        <f>блюда!AQ272</f>
        <v>0</v>
      </c>
      <c r="AR91" s="473">
        <f>блюда!AR272</f>
        <v>0</v>
      </c>
      <c r="AS91" s="473">
        <f>блюда!AS272</f>
        <v>0</v>
      </c>
      <c r="AT91" s="473">
        <f>блюда!AT272</f>
        <v>0</v>
      </c>
      <c r="AU91" s="473">
        <f>блюда!AU272</f>
        <v>0</v>
      </c>
      <c r="AV91" s="473">
        <f>блюда!AV272</f>
        <v>0</v>
      </c>
      <c r="AW91" s="473">
        <f>блюда!AW272</f>
        <v>0</v>
      </c>
      <c r="AX91" s="473">
        <f>блюда!AX272</f>
        <v>0</v>
      </c>
      <c r="AY91" s="473">
        <f>блюда!AY272</f>
        <v>0</v>
      </c>
      <c r="AZ91" s="473">
        <f>блюда!AZ272</f>
        <v>0</v>
      </c>
      <c r="BA91" s="473">
        <f>блюда!BA272</f>
        <v>0</v>
      </c>
      <c r="BB91" s="473">
        <f>блюда!BB272</f>
        <v>0</v>
      </c>
      <c r="BC91" s="473">
        <f>блюда!BC272</f>
        <v>0</v>
      </c>
      <c r="BD91" s="473">
        <f>блюда!BD272</f>
        <v>0</v>
      </c>
      <c r="BE91" s="473">
        <f>блюда!BE272</f>
        <v>0</v>
      </c>
      <c r="BF91" s="473">
        <f>блюда!BF272</f>
        <v>0</v>
      </c>
      <c r="BG91" s="473">
        <f>блюда!BG272</f>
        <v>0</v>
      </c>
      <c r="BH91" s="473">
        <f>блюда!BH272</f>
        <v>0</v>
      </c>
      <c r="BI91" s="473">
        <f>блюда!BI272</f>
        <v>0</v>
      </c>
      <c r="BJ91" s="473">
        <f>блюда!BJ272</f>
        <v>0</v>
      </c>
      <c r="BK91" s="473">
        <f>блюда!BK272</f>
        <v>0</v>
      </c>
      <c r="BL91" s="473">
        <f>блюда!BL272</f>
        <v>0</v>
      </c>
      <c r="BM91" s="473">
        <f>блюда!BM272</f>
        <v>0</v>
      </c>
      <c r="BN91" s="473">
        <f>блюда!BN272</f>
        <v>0</v>
      </c>
      <c r="BO91" s="473">
        <f>блюда!BO272</f>
        <v>0</v>
      </c>
      <c r="BP91" s="473">
        <f>блюда!BP272</f>
        <v>0</v>
      </c>
      <c r="BQ91" s="473">
        <f>блюда!BQ272</f>
        <v>0</v>
      </c>
      <c r="BR91" s="473">
        <f>блюда!BR272</f>
        <v>4.5400000000000003E-2</v>
      </c>
      <c r="BS91" s="473">
        <f>блюда!BS272</f>
        <v>0</v>
      </c>
      <c r="BT91" s="473">
        <f>блюда!BT272</f>
        <v>0</v>
      </c>
      <c r="BU91" s="473">
        <f>блюда!BU272</f>
        <v>0</v>
      </c>
      <c r="BV91" s="473">
        <f>блюда!BV272</f>
        <v>0</v>
      </c>
      <c r="BW91" s="473">
        <f>блюда!BW272</f>
        <v>0</v>
      </c>
      <c r="BX91" s="473">
        <f>блюда!BX272</f>
        <v>0</v>
      </c>
      <c r="BY91" s="473">
        <f>блюда!BY272</f>
        <v>0</v>
      </c>
      <c r="BZ91" s="473">
        <f>блюда!BZ272</f>
        <v>0</v>
      </c>
      <c r="CA91" s="473">
        <f>блюда!CA272</f>
        <v>0</v>
      </c>
      <c r="CB91" s="473">
        <f>блюда!CB272</f>
        <v>0</v>
      </c>
      <c r="CC91" s="473">
        <f>блюда!CC272</f>
        <v>0</v>
      </c>
      <c r="CD91" s="473">
        <f>блюда!CD272</f>
        <v>0</v>
      </c>
      <c r="CE91" s="473">
        <f>блюда!CE272</f>
        <v>0</v>
      </c>
      <c r="CF91" s="473">
        <f>блюда!CF272</f>
        <v>0</v>
      </c>
      <c r="CG91" s="473">
        <f>блюда!CG272</f>
        <v>0</v>
      </c>
      <c r="CH91" s="473">
        <f>блюда!CH272</f>
        <v>0</v>
      </c>
      <c r="CI91" s="473">
        <f>блюда!CI272</f>
        <v>0</v>
      </c>
      <c r="CJ91" s="473">
        <f>блюда!CJ272</f>
        <v>0</v>
      </c>
      <c r="CK91" s="473">
        <f>блюда!CK272</f>
        <v>0</v>
      </c>
      <c r="CL91" s="473">
        <f>блюда!CL272</f>
        <v>0</v>
      </c>
      <c r="CM91" s="473">
        <f>блюда!CM272</f>
        <v>0</v>
      </c>
      <c r="CN91" s="473">
        <f>блюда!CN272</f>
        <v>0</v>
      </c>
      <c r="CO91" s="473">
        <f>блюда!CO272</f>
        <v>0</v>
      </c>
      <c r="CP91" s="473">
        <f>блюда!CP272</f>
        <v>0</v>
      </c>
      <c r="CQ91" s="473">
        <f>блюда!CQ272</f>
        <v>2.0000000000000001E-4</v>
      </c>
      <c r="CR91" s="473">
        <f>блюда!CR272</f>
        <v>0</v>
      </c>
      <c r="CS91" s="473">
        <f>блюда!CS272</f>
        <v>0</v>
      </c>
      <c r="CT91" s="473">
        <f>блюда!CT272</f>
        <v>0</v>
      </c>
      <c r="CU91" s="473">
        <f>блюда!CU272</f>
        <v>0</v>
      </c>
      <c r="CV91" s="473">
        <f>блюда!CV272</f>
        <v>0</v>
      </c>
      <c r="CW91" s="473">
        <f>блюда!CW272</f>
        <v>0</v>
      </c>
      <c r="CX91" s="473">
        <f>блюда!CX272</f>
        <v>0</v>
      </c>
      <c r="CY91" s="473">
        <f>блюда!CY272</f>
        <v>0</v>
      </c>
      <c r="CZ91" s="473">
        <f>блюда!CZ272</f>
        <v>2.4E-2</v>
      </c>
      <c r="DA91" s="473">
        <f>блюда!DA272</f>
        <v>0</v>
      </c>
      <c r="DB91" s="473">
        <f>блюда!DB272</f>
        <v>0</v>
      </c>
      <c r="DC91" s="473">
        <f>блюда!DC272</f>
        <v>0</v>
      </c>
      <c r="DD91" s="473">
        <f>блюда!DD272</f>
        <v>0</v>
      </c>
      <c r="DE91" s="473">
        <f>блюда!DE272</f>
        <v>0</v>
      </c>
      <c r="DF91" s="473">
        <f>блюда!DF272</f>
        <v>0</v>
      </c>
      <c r="DG91" s="473">
        <f>блюда!DG272</f>
        <v>0</v>
      </c>
      <c r="DH91" s="473">
        <f>блюда!DH272</f>
        <v>0</v>
      </c>
      <c r="DI91" s="473">
        <f>блюда!DI272</f>
        <v>0</v>
      </c>
      <c r="DJ91" s="473">
        <f>блюда!DJ272</f>
        <v>0</v>
      </c>
      <c r="DK91" s="473">
        <f>блюда!DK272</f>
        <v>0</v>
      </c>
      <c r="DL91" s="473">
        <f>блюда!DL272</f>
        <v>0</v>
      </c>
      <c r="DM91" s="473">
        <f>блюда!DM272</f>
        <v>0</v>
      </c>
      <c r="DN91" s="473">
        <f>блюда!DN272</f>
        <v>0</v>
      </c>
      <c r="DO91" s="473">
        <f>блюда!DO272</f>
        <v>0</v>
      </c>
      <c r="DP91" s="473">
        <f>блюда!DP272</f>
        <v>0</v>
      </c>
      <c r="DQ91" s="473">
        <f>блюда!DQ272</f>
        <v>0</v>
      </c>
      <c r="DR91" s="473">
        <f>блюда!DR272</f>
        <v>0</v>
      </c>
      <c r="DS91" s="473">
        <f>блюда!DS272</f>
        <v>0</v>
      </c>
      <c r="DT91" s="473">
        <f>блюда!DT272</f>
        <v>0</v>
      </c>
      <c r="DU91" s="473">
        <f>блюда!DU272</f>
        <v>0</v>
      </c>
      <c r="DV91" s="473">
        <f>блюда!DV272</f>
        <v>0</v>
      </c>
      <c r="DW91" s="473">
        <f>блюда!DW272</f>
        <v>0</v>
      </c>
      <c r="DX91" s="473">
        <f>блюда!DX272</f>
        <v>0</v>
      </c>
      <c r="DY91" s="473">
        <f>блюда!DY272</f>
        <v>0</v>
      </c>
      <c r="DZ91" s="473">
        <f>блюда!DZ272</f>
        <v>0</v>
      </c>
      <c r="EA91" s="473">
        <f>блюда!EA272</f>
        <v>0</v>
      </c>
      <c r="EB91" s="473">
        <f>блюда!EB272</f>
        <v>0</v>
      </c>
      <c r="EC91" s="473">
        <f>блюда!EC272</f>
        <v>0</v>
      </c>
      <c r="ED91" s="473">
        <f>блюда!ED272</f>
        <v>0</v>
      </c>
      <c r="EE91" s="473">
        <f>блюда!EE272</f>
        <v>0</v>
      </c>
      <c r="EF91" s="473">
        <f>блюда!EF272</f>
        <v>0</v>
      </c>
      <c r="EG91" s="473">
        <f>блюда!EG272</f>
        <v>0</v>
      </c>
      <c r="EH91" s="473">
        <f>блюда!EH272</f>
        <v>0</v>
      </c>
      <c r="EI91" s="473">
        <f>блюда!EI272</f>
        <v>0</v>
      </c>
      <c r="EJ91" s="473">
        <f>блюда!EJ272</f>
        <v>0</v>
      </c>
      <c r="EK91" s="473">
        <f>блюда!EK272</f>
        <v>0</v>
      </c>
      <c r="EL91" s="473">
        <f>блюда!EL272</f>
        <v>0</v>
      </c>
      <c r="EM91" s="473">
        <f>блюда!EM272</f>
        <v>0</v>
      </c>
      <c r="EN91" s="473">
        <f>блюда!EN272</f>
        <v>0</v>
      </c>
      <c r="EO91" s="473">
        <f>блюда!EO272</f>
        <v>0</v>
      </c>
      <c r="EP91" s="473">
        <f>блюда!EP272</f>
        <v>0</v>
      </c>
      <c r="EQ91" s="473">
        <f>блюда!EQ272</f>
        <v>0</v>
      </c>
      <c r="ER91" s="473">
        <f>блюда!ER272</f>
        <v>0</v>
      </c>
      <c r="ES91" s="473">
        <f>блюда!ES272</f>
        <v>0</v>
      </c>
      <c r="ET91" s="473">
        <f>блюда!ET272</f>
        <v>0</v>
      </c>
      <c r="EU91" s="473">
        <f>блюда!EU272</f>
        <v>0</v>
      </c>
      <c r="EV91" s="473">
        <f>блюда!EV272</f>
        <v>0</v>
      </c>
      <c r="EW91" s="473">
        <f>блюда!EW272</f>
        <v>0</v>
      </c>
      <c r="EX91" s="473">
        <f>блюда!EX272</f>
        <v>0</v>
      </c>
      <c r="EY91" s="927">
        <f t="shared" ref="EY91:EY101" si="48">SUM(J91:EX91)</f>
        <v>6.9599999999999995E-2</v>
      </c>
      <c r="EZ91" s="117">
        <f>блюда!EZ272</f>
        <v>0</v>
      </c>
      <c r="FA91" s="117">
        <f>блюда!FA272</f>
        <v>0</v>
      </c>
      <c r="FB91" s="117">
        <f>блюда!FB272</f>
        <v>0</v>
      </c>
      <c r="FC91" s="117">
        <f>блюда!FC272</f>
        <v>0</v>
      </c>
      <c r="FD91" s="117">
        <f>блюда!FD272</f>
        <v>0</v>
      </c>
      <c r="FE91" s="117">
        <f>блюда!FE272</f>
        <v>0</v>
      </c>
      <c r="FF91" s="117">
        <f>блюда!FF272</f>
        <v>0</v>
      </c>
      <c r="FG91" s="117">
        <f>блюда!FG272</f>
        <v>0</v>
      </c>
      <c r="FH91" s="117">
        <f>блюда!FH272</f>
        <v>0</v>
      </c>
      <c r="FI91" s="117">
        <f>блюда!FI272</f>
        <v>0</v>
      </c>
      <c r="FJ91" s="117">
        <f>блюда!FJ272</f>
        <v>0</v>
      </c>
      <c r="FK91" s="117">
        <f>блюда!FK272</f>
        <v>0</v>
      </c>
      <c r="FL91" s="117">
        <f>блюда!FL272</f>
        <v>0</v>
      </c>
    </row>
    <row r="92" spans="1:168" x14ac:dyDescent="0.25">
      <c r="A92" s="1460"/>
      <c r="B92" s="115" t="str">
        <f>блюда!B333</f>
        <v>Хлеб пшеничный нарезной</v>
      </c>
      <c r="C92" s="250">
        <f>блюда!C333</f>
        <v>20</v>
      </c>
      <c r="D92" s="431">
        <f>блюда!D333</f>
        <v>2.14</v>
      </c>
      <c r="E92" s="431">
        <f>блюда!E333</f>
        <v>0.9</v>
      </c>
      <c r="F92" s="431">
        <f>блюда!F333</f>
        <v>8.6999999999999993</v>
      </c>
      <c r="G92" s="250">
        <f>блюда!G333</f>
        <v>55</v>
      </c>
      <c r="H92" s="250" t="str">
        <f>блюда!H333</f>
        <v>ПРОМ</v>
      </c>
      <c r="I92" s="431">
        <f>блюда!I333</f>
        <v>1.3</v>
      </c>
      <c r="J92" s="473">
        <f>блюда!J333</f>
        <v>0</v>
      </c>
      <c r="K92" s="473">
        <f>блюда!K333</f>
        <v>0</v>
      </c>
      <c r="L92" s="473">
        <f>блюда!L333</f>
        <v>0</v>
      </c>
      <c r="M92" s="473">
        <f>блюда!M333</f>
        <v>0</v>
      </c>
      <c r="N92" s="473">
        <f>блюда!N333</f>
        <v>0</v>
      </c>
      <c r="O92" s="473">
        <f>блюда!O333</f>
        <v>0</v>
      </c>
      <c r="P92" s="473">
        <f>блюда!P333</f>
        <v>0</v>
      </c>
      <c r="Q92" s="473">
        <f>блюда!Q333</f>
        <v>0</v>
      </c>
      <c r="R92" s="473">
        <f>блюда!R333</f>
        <v>0</v>
      </c>
      <c r="S92" s="473">
        <f>блюда!S333</f>
        <v>0</v>
      </c>
      <c r="T92" s="473">
        <f>блюда!T333</f>
        <v>0</v>
      </c>
      <c r="U92" s="473">
        <f>блюда!U333</f>
        <v>0</v>
      </c>
      <c r="V92" s="473">
        <f>блюда!V333</f>
        <v>0</v>
      </c>
      <c r="W92" s="473">
        <f>блюда!W333</f>
        <v>0</v>
      </c>
      <c r="X92" s="473">
        <f>блюда!X333</f>
        <v>0</v>
      </c>
      <c r="Y92" s="473">
        <f>блюда!Y333</f>
        <v>0</v>
      </c>
      <c r="Z92" s="473">
        <f>блюда!Z333</f>
        <v>0</v>
      </c>
      <c r="AA92" s="473">
        <f>блюда!AA333</f>
        <v>0</v>
      </c>
      <c r="AB92" s="473">
        <f>блюда!AB333</f>
        <v>0</v>
      </c>
      <c r="AC92" s="473">
        <f>блюда!AC333</f>
        <v>0</v>
      </c>
      <c r="AD92" s="473">
        <f>блюда!AD333</f>
        <v>0</v>
      </c>
      <c r="AE92" s="473">
        <f>блюда!AE333</f>
        <v>0</v>
      </c>
      <c r="AF92" s="473">
        <f>блюда!AF333</f>
        <v>0</v>
      </c>
      <c r="AG92" s="473">
        <f>блюда!AG333</f>
        <v>0</v>
      </c>
      <c r="AH92" s="473">
        <f>блюда!AH333</f>
        <v>0</v>
      </c>
      <c r="AI92" s="473">
        <f>блюда!AI333</f>
        <v>0</v>
      </c>
      <c r="AJ92" s="473">
        <f>блюда!AJ333</f>
        <v>0</v>
      </c>
      <c r="AK92" s="473">
        <f>блюда!AK333</f>
        <v>0</v>
      </c>
      <c r="AL92" s="473">
        <f>блюда!AL333</f>
        <v>0</v>
      </c>
      <c r="AM92" s="473">
        <f>блюда!AM333</f>
        <v>0</v>
      </c>
      <c r="AN92" s="473">
        <f>блюда!AN333</f>
        <v>0</v>
      </c>
      <c r="AO92" s="473">
        <f>блюда!AO333</f>
        <v>0</v>
      </c>
      <c r="AP92" s="473">
        <f>блюда!AP333</f>
        <v>0</v>
      </c>
      <c r="AQ92" s="473">
        <f>блюда!AQ333</f>
        <v>0</v>
      </c>
      <c r="AR92" s="473">
        <f>блюда!AR333</f>
        <v>0</v>
      </c>
      <c r="AS92" s="473">
        <f>блюда!AS333</f>
        <v>0</v>
      </c>
      <c r="AT92" s="473">
        <f>блюда!AT333</f>
        <v>0</v>
      </c>
      <c r="AU92" s="473">
        <f>блюда!AU333</f>
        <v>0</v>
      </c>
      <c r="AV92" s="473">
        <f>блюда!AV333</f>
        <v>0</v>
      </c>
      <c r="AW92" s="473">
        <f>блюда!AW333</f>
        <v>0</v>
      </c>
      <c r="AX92" s="473">
        <f>блюда!AX333</f>
        <v>0</v>
      </c>
      <c r="AY92" s="473">
        <f>блюда!AY333</f>
        <v>0</v>
      </c>
      <c r="AZ92" s="473">
        <f>блюда!AZ333</f>
        <v>0</v>
      </c>
      <c r="BA92" s="473">
        <f>блюда!BA333</f>
        <v>0</v>
      </c>
      <c r="BB92" s="473">
        <f>блюда!BB333</f>
        <v>0</v>
      </c>
      <c r="BC92" s="473">
        <f>блюда!BC333</f>
        <v>0</v>
      </c>
      <c r="BD92" s="473">
        <f>блюда!BD333</f>
        <v>0</v>
      </c>
      <c r="BE92" s="473">
        <f>блюда!BE333</f>
        <v>0</v>
      </c>
      <c r="BF92" s="473">
        <f>блюда!BF333</f>
        <v>0</v>
      </c>
      <c r="BG92" s="473">
        <f>блюда!BG333</f>
        <v>0</v>
      </c>
      <c r="BH92" s="473">
        <f>блюда!BH333</f>
        <v>0</v>
      </c>
      <c r="BI92" s="473">
        <f>блюда!BI333</f>
        <v>0</v>
      </c>
      <c r="BJ92" s="473">
        <f>блюда!BJ333</f>
        <v>0</v>
      </c>
      <c r="BK92" s="473">
        <f>блюда!BK333</f>
        <v>0</v>
      </c>
      <c r="BL92" s="473">
        <f>блюда!BL333</f>
        <v>0</v>
      </c>
      <c r="BM92" s="473">
        <f>блюда!BM333</f>
        <v>0</v>
      </c>
      <c r="BN92" s="473">
        <f>блюда!BN333</f>
        <v>0</v>
      </c>
      <c r="BO92" s="473">
        <f>блюда!BO333</f>
        <v>0</v>
      </c>
      <c r="BP92" s="473">
        <f>блюда!BP333</f>
        <v>0</v>
      </c>
      <c r="BQ92" s="473">
        <f>блюда!BQ333</f>
        <v>0</v>
      </c>
      <c r="BR92" s="473">
        <f>блюда!BR333</f>
        <v>0</v>
      </c>
      <c r="BS92" s="473">
        <f>блюда!BS333</f>
        <v>0</v>
      </c>
      <c r="BT92" s="473">
        <f>блюда!BT333</f>
        <v>0</v>
      </c>
      <c r="BU92" s="473">
        <f>блюда!BU333</f>
        <v>0</v>
      </c>
      <c r="BV92" s="473">
        <f>блюда!BV333</f>
        <v>0</v>
      </c>
      <c r="BW92" s="473">
        <f>блюда!BW333</f>
        <v>0</v>
      </c>
      <c r="BX92" s="473">
        <f>блюда!BX333</f>
        <v>0</v>
      </c>
      <c r="BY92" s="473">
        <f>блюда!BY333</f>
        <v>0</v>
      </c>
      <c r="BZ92" s="473">
        <f>блюда!BZ333</f>
        <v>0</v>
      </c>
      <c r="CA92" s="473">
        <f>блюда!CA333</f>
        <v>0</v>
      </c>
      <c r="CB92" s="473">
        <f>блюда!CB333</f>
        <v>0</v>
      </c>
      <c r="CC92" s="473">
        <f>блюда!CC333</f>
        <v>0</v>
      </c>
      <c r="CD92" s="473">
        <f>блюда!CD333</f>
        <v>0</v>
      </c>
      <c r="CE92" s="473">
        <f>блюда!CE333</f>
        <v>0</v>
      </c>
      <c r="CF92" s="473">
        <f>блюда!CF333</f>
        <v>0</v>
      </c>
      <c r="CG92" s="473">
        <f>блюда!CG333</f>
        <v>0</v>
      </c>
      <c r="CH92" s="473">
        <f>блюда!CH333</f>
        <v>0</v>
      </c>
      <c r="CI92" s="473">
        <f>блюда!CI333</f>
        <v>0</v>
      </c>
      <c r="CJ92" s="473">
        <f>блюда!CJ333</f>
        <v>0</v>
      </c>
      <c r="CK92" s="473">
        <f>блюда!CK333</f>
        <v>0</v>
      </c>
      <c r="CL92" s="473">
        <f>блюда!CL333</f>
        <v>0</v>
      </c>
      <c r="CM92" s="473">
        <f>блюда!CM333</f>
        <v>0</v>
      </c>
      <c r="CN92" s="473">
        <f>блюда!CN333</f>
        <v>0</v>
      </c>
      <c r="CO92" s="473">
        <f>блюда!CO333</f>
        <v>0</v>
      </c>
      <c r="CP92" s="473">
        <f>блюда!CP333</f>
        <v>0</v>
      </c>
      <c r="CQ92" s="473">
        <f>блюда!CQ333</f>
        <v>0</v>
      </c>
      <c r="CR92" s="473">
        <f>блюда!CR333</f>
        <v>0</v>
      </c>
      <c r="CS92" s="473">
        <f>блюда!CS333</f>
        <v>0</v>
      </c>
      <c r="CT92" s="473">
        <f>блюда!CT333</f>
        <v>0</v>
      </c>
      <c r="CU92" s="473">
        <f>блюда!CU333</f>
        <v>0</v>
      </c>
      <c r="CV92" s="473">
        <f>блюда!CV333</f>
        <v>0</v>
      </c>
      <c r="CW92" s="473">
        <f>блюда!CW333</f>
        <v>0</v>
      </c>
      <c r="CX92" s="473">
        <f>блюда!CX333</f>
        <v>0</v>
      </c>
      <c r="CY92" s="473">
        <f>блюда!CY333</f>
        <v>0</v>
      </c>
      <c r="CZ92" s="473">
        <f>блюда!CZ333</f>
        <v>0</v>
      </c>
      <c r="DA92" s="473">
        <f>блюда!DA333</f>
        <v>0</v>
      </c>
      <c r="DB92" s="473">
        <f>блюда!DB333</f>
        <v>0</v>
      </c>
      <c r="DC92" s="473">
        <f>блюда!DC333</f>
        <v>0</v>
      </c>
      <c r="DD92" s="473">
        <f>блюда!DD333</f>
        <v>0</v>
      </c>
      <c r="DE92" s="473">
        <f>блюда!DE333</f>
        <v>0</v>
      </c>
      <c r="DF92" s="473">
        <f>блюда!DF333</f>
        <v>0</v>
      </c>
      <c r="DG92" s="473">
        <f>блюда!DG333</f>
        <v>0</v>
      </c>
      <c r="DH92" s="473">
        <f>блюда!DH333</f>
        <v>0</v>
      </c>
      <c r="DI92" s="473">
        <f>блюда!DI333</f>
        <v>0</v>
      </c>
      <c r="DJ92" s="473">
        <f>блюда!DJ333</f>
        <v>0</v>
      </c>
      <c r="DK92" s="473">
        <f>блюда!DK333</f>
        <v>0</v>
      </c>
      <c r="DL92" s="473">
        <f>блюда!DL333</f>
        <v>0</v>
      </c>
      <c r="DM92" s="473">
        <f>блюда!DM333</f>
        <v>0</v>
      </c>
      <c r="DN92" s="473">
        <f>блюда!DN333</f>
        <v>0</v>
      </c>
      <c r="DO92" s="473">
        <f>блюда!DO333</f>
        <v>0</v>
      </c>
      <c r="DP92" s="473">
        <f>блюда!DP333</f>
        <v>0</v>
      </c>
      <c r="DQ92" s="473">
        <f>блюда!DQ333</f>
        <v>0</v>
      </c>
      <c r="DR92" s="473">
        <f>блюда!DR333</f>
        <v>0</v>
      </c>
      <c r="DS92" s="473">
        <f>блюда!DS333</f>
        <v>0</v>
      </c>
      <c r="DT92" s="473">
        <f>блюда!DT333</f>
        <v>0</v>
      </c>
      <c r="DU92" s="473">
        <f>блюда!DU333</f>
        <v>0</v>
      </c>
      <c r="DV92" s="473">
        <f>блюда!DV333</f>
        <v>0</v>
      </c>
      <c r="DW92" s="473">
        <f>блюда!DW333</f>
        <v>0</v>
      </c>
      <c r="DX92" s="473">
        <f>блюда!DX333</f>
        <v>0</v>
      </c>
      <c r="DY92" s="473">
        <f>блюда!DY333</f>
        <v>0</v>
      </c>
      <c r="DZ92" s="473">
        <f>блюда!DZ333</f>
        <v>0</v>
      </c>
      <c r="EA92" s="473">
        <f>блюда!EA333</f>
        <v>0</v>
      </c>
      <c r="EB92" s="473">
        <f>блюда!EB333</f>
        <v>0</v>
      </c>
      <c r="EC92" s="473">
        <f>блюда!EC333</f>
        <v>0</v>
      </c>
      <c r="ED92" s="473">
        <f>блюда!ED333</f>
        <v>0</v>
      </c>
      <c r="EE92" s="473">
        <f>блюда!EE333</f>
        <v>0</v>
      </c>
      <c r="EF92" s="473">
        <f>блюда!EF333</f>
        <v>0</v>
      </c>
      <c r="EG92" s="473">
        <f>блюда!EG333</f>
        <v>0</v>
      </c>
      <c r="EH92" s="473">
        <f>блюда!EH333</f>
        <v>0</v>
      </c>
      <c r="EI92" s="473">
        <f>блюда!EI333</f>
        <v>0</v>
      </c>
      <c r="EJ92" s="473">
        <f>блюда!EJ333</f>
        <v>0</v>
      </c>
      <c r="EK92" s="473">
        <f>блюда!EK333</f>
        <v>0</v>
      </c>
      <c r="EL92" s="473">
        <f>блюда!EL333</f>
        <v>0</v>
      </c>
      <c r="EM92" s="473">
        <f>блюда!EM333</f>
        <v>0</v>
      </c>
      <c r="EN92" s="473">
        <f>блюда!EN333</f>
        <v>0</v>
      </c>
      <c r="EO92" s="473">
        <f>блюда!EO333</f>
        <v>0</v>
      </c>
      <c r="EP92" s="473">
        <f>блюда!EP333</f>
        <v>0</v>
      </c>
      <c r="EQ92" s="473">
        <f>блюда!EQ333</f>
        <v>0</v>
      </c>
      <c r="ER92" s="473">
        <f>блюда!ER333</f>
        <v>0</v>
      </c>
      <c r="ES92" s="473">
        <f>блюда!ES333</f>
        <v>0</v>
      </c>
      <c r="ET92" s="473">
        <f>блюда!ET333</f>
        <v>0</v>
      </c>
      <c r="EU92" s="473">
        <f>блюда!EU333</f>
        <v>0</v>
      </c>
      <c r="EV92" s="473">
        <f>блюда!EV333</f>
        <v>0.02</v>
      </c>
      <c r="EW92" s="473">
        <f>блюда!EW333</f>
        <v>0</v>
      </c>
      <c r="EX92" s="473">
        <f>блюда!EX333</f>
        <v>0</v>
      </c>
      <c r="EY92" s="927">
        <f t="shared" si="48"/>
        <v>0.02</v>
      </c>
      <c r="EZ92" s="117">
        <f>блюда!EZ333</f>
        <v>0</v>
      </c>
      <c r="FA92" s="117">
        <f>блюда!FA333</f>
        <v>0</v>
      </c>
      <c r="FB92" s="117">
        <f>блюда!FB333</f>
        <v>0</v>
      </c>
      <c r="FC92" s="117">
        <f>блюда!FC333</f>
        <v>0</v>
      </c>
      <c r="FD92" s="117">
        <f>блюда!FD333</f>
        <v>0</v>
      </c>
      <c r="FE92" s="117">
        <f>блюда!FE333</f>
        <v>0</v>
      </c>
      <c r="FF92" s="117">
        <f>блюда!FF333</f>
        <v>0</v>
      </c>
      <c r="FG92" s="117">
        <f>блюда!FG333</f>
        <v>0</v>
      </c>
      <c r="FH92" s="117">
        <f>блюда!FH333</f>
        <v>0</v>
      </c>
      <c r="FI92" s="117">
        <f>блюда!FI333</f>
        <v>0</v>
      </c>
      <c r="FJ92" s="117">
        <f>блюда!FJ333</f>
        <v>0</v>
      </c>
      <c r="FK92" s="117">
        <f>блюда!FK333</f>
        <v>0</v>
      </c>
      <c r="FL92" s="117">
        <f>блюда!FL333</f>
        <v>0</v>
      </c>
    </row>
    <row r="93" spans="1:168" x14ac:dyDescent="0.25">
      <c r="A93" s="1460"/>
      <c r="B93" s="115" t="str">
        <f>блюда!B335</f>
        <v>Хлеб пшенично-ржаной нарезной</v>
      </c>
      <c r="C93" s="250">
        <f>блюда!C335</f>
        <v>30</v>
      </c>
      <c r="D93" s="431">
        <f>блюда!D335</f>
        <v>2.25</v>
      </c>
      <c r="E93" s="431">
        <f>блюда!E335</f>
        <v>0.6</v>
      </c>
      <c r="F93" s="431">
        <f>блюда!F335</f>
        <v>15.6</v>
      </c>
      <c r="G93" s="250">
        <f>блюда!G335</f>
        <v>75</v>
      </c>
      <c r="H93" s="250" t="str">
        <f>блюда!H335</f>
        <v>ПРОМ</v>
      </c>
      <c r="I93" s="431">
        <f>блюда!I335</f>
        <v>1.95</v>
      </c>
      <c r="J93" s="473">
        <f>блюда!J335</f>
        <v>0</v>
      </c>
      <c r="K93" s="473">
        <f>блюда!K335</f>
        <v>0</v>
      </c>
      <c r="L93" s="473">
        <f>блюда!L335</f>
        <v>0</v>
      </c>
      <c r="M93" s="473">
        <f>блюда!M335</f>
        <v>0</v>
      </c>
      <c r="N93" s="473">
        <f>блюда!N335</f>
        <v>0</v>
      </c>
      <c r="O93" s="473">
        <f>блюда!O335</f>
        <v>0</v>
      </c>
      <c r="P93" s="473">
        <f>блюда!P335</f>
        <v>0</v>
      </c>
      <c r="Q93" s="473">
        <f>блюда!Q335</f>
        <v>0</v>
      </c>
      <c r="R93" s="473">
        <f>блюда!R335</f>
        <v>0</v>
      </c>
      <c r="S93" s="473">
        <f>блюда!S335</f>
        <v>0</v>
      </c>
      <c r="T93" s="473">
        <f>блюда!T335</f>
        <v>0</v>
      </c>
      <c r="U93" s="473">
        <f>блюда!U335</f>
        <v>0</v>
      </c>
      <c r="V93" s="473">
        <f>блюда!V335</f>
        <v>0</v>
      </c>
      <c r="W93" s="473">
        <f>блюда!W335</f>
        <v>0</v>
      </c>
      <c r="X93" s="473">
        <f>блюда!X335</f>
        <v>0</v>
      </c>
      <c r="Y93" s="473">
        <f>блюда!Y335</f>
        <v>0</v>
      </c>
      <c r="Z93" s="473">
        <f>блюда!Z335</f>
        <v>0</v>
      </c>
      <c r="AA93" s="473">
        <f>блюда!AA335</f>
        <v>0</v>
      </c>
      <c r="AB93" s="473">
        <f>блюда!AB335</f>
        <v>0</v>
      </c>
      <c r="AC93" s="473">
        <f>блюда!AC335</f>
        <v>0</v>
      </c>
      <c r="AD93" s="473">
        <f>блюда!AD335</f>
        <v>0</v>
      </c>
      <c r="AE93" s="473">
        <f>блюда!AE335</f>
        <v>0</v>
      </c>
      <c r="AF93" s="473">
        <f>блюда!AF335</f>
        <v>0</v>
      </c>
      <c r="AG93" s="473">
        <f>блюда!AG335</f>
        <v>0</v>
      </c>
      <c r="AH93" s="473">
        <f>блюда!AH335</f>
        <v>0</v>
      </c>
      <c r="AI93" s="473">
        <f>блюда!AI335</f>
        <v>0</v>
      </c>
      <c r="AJ93" s="473">
        <f>блюда!AJ335</f>
        <v>0</v>
      </c>
      <c r="AK93" s="473">
        <f>блюда!AK335</f>
        <v>0</v>
      </c>
      <c r="AL93" s="473">
        <f>блюда!AL335</f>
        <v>0</v>
      </c>
      <c r="AM93" s="473">
        <f>блюда!AM335</f>
        <v>0</v>
      </c>
      <c r="AN93" s="473">
        <f>блюда!AN335</f>
        <v>0</v>
      </c>
      <c r="AO93" s="473">
        <f>блюда!AO335</f>
        <v>0</v>
      </c>
      <c r="AP93" s="473">
        <f>блюда!AP335</f>
        <v>0</v>
      </c>
      <c r="AQ93" s="473">
        <f>блюда!AQ335</f>
        <v>0</v>
      </c>
      <c r="AR93" s="473">
        <f>блюда!AR335</f>
        <v>0</v>
      </c>
      <c r="AS93" s="473">
        <f>блюда!AS335</f>
        <v>0</v>
      </c>
      <c r="AT93" s="473">
        <f>блюда!AT335</f>
        <v>0</v>
      </c>
      <c r="AU93" s="473">
        <f>блюда!AU335</f>
        <v>0</v>
      </c>
      <c r="AV93" s="473">
        <f>блюда!AV335</f>
        <v>0</v>
      </c>
      <c r="AW93" s="473">
        <f>блюда!AW335</f>
        <v>0</v>
      </c>
      <c r="AX93" s="473">
        <f>блюда!AX335</f>
        <v>0</v>
      </c>
      <c r="AY93" s="473">
        <f>блюда!AY335</f>
        <v>0</v>
      </c>
      <c r="AZ93" s="473">
        <f>блюда!AZ335</f>
        <v>0</v>
      </c>
      <c r="BA93" s="473">
        <f>блюда!BA335</f>
        <v>0</v>
      </c>
      <c r="BB93" s="473">
        <f>блюда!BB335</f>
        <v>0</v>
      </c>
      <c r="BC93" s="473">
        <f>блюда!BC335</f>
        <v>0</v>
      </c>
      <c r="BD93" s="473">
        <f>блюда!BD335</f>
        <v>0</v>
      </c>
      <c r="BE93" s="473">
        <f>блюда!BE335</f>
        <v>0</v>
      </c>
      <c r="BF93" s="473">
        <f>блюда!BF335</f>
        <v>0</v>
      </c>
      <c r="BG93" s="473">
        <f>блюда!BG335</f>
        <v>0</v>
      </c>
      <c r="BH93" s="473">
        <f>блюда!BH335</f>
        <v>0</v>
      </c>
      <c r="BI93" s="473">
        <f>блюда!BI335</f>
        <v>0</v>
      </c>
      <c r="BJ93" s="473">
        <f>блюда!BJ335</f>
        <v>0</v>
      </c>
      <c r="BK93" s="473">
        <f>блюда!BK335</f>
        <v>0</v>
      </c>
      <c r="BL93" s="473">
        <f>блюда!BL335</f>
        <v>0</v>
      </c>
      <c r="BM93" s="473">
        <f>блюда!BM335</f>
        <v>0</v>
      </c>
      <c r="BN93" s="473">
        <f>блюда!BN335</f>
        <v>0</v>
      </c>
      <c r="BO93" s="473">
        <f>блюда!BO335</f>
        <v>0</v>
      </c>
      <c r="BP93" s="473">
        <f>блюда!BP335</f>
        <v>0</v>
      </c>
      <c r="BQ93" s="473">
        <f>блюда!BQ335</f>
        <v>0</v>
      </c>
      <c r="BR93" s="473">
        <f>блюда!BR335</f>
        <v>0</v>
      </c>
      <c r="BS93" s="473">
        <f>блюда!BS335</f>
        <v>0</v>
      </c>
      <c r="BT93" s="473">
        <f>блюда!BT335</f>
        <v>0</v>
      </c>
      <c r="BU93" s="473">
        <f>блюда!BU335</f>
        <v>0</v>
      </c>
      <c r="BV93" s="473">
        <f>блюда!BV335</f>
        <v>0</v>
      </c>
      <c r="BW93" s="473">
        <f>блюда!BW335</f>
        <v>0</v>
      </c>
      <c r="BX93" s="473">
        <f>блюда!BX335</f>
        <v>0</v>
      </c>
      <c r="BY93" s="473">
        <f>блюда!BY335</f>
        <v>0</v>
      </c>
      <c r="BZ93" s="473">
        <f>блюда!BZ335</f>
        <v>0</v>
      </c>
      <c r="CA93" s="473">
        <f>блюда!CA335</f>
        <v>0</v>
      </c>
      <c r="CB93" s="473">
        <f>блюда!CB335</f>
        <v>0</v>
      </c>
      <c r="CC93" s="473">
        <f>блюда!CC335</f>
        <v>0</v>
      </c>
      <c r="CD93" s="473">
        <f>блюда!CD335</f>
        <v>0</v>
      </c>
      <c r="CE93" s="473">
        <f>блюда!CE335</f>
        <v>0</v>
      </c>
      <c r="CF93" s="473">
        <f>блюда!CF335</f>
        <v>0</v>
      </c>
      <c r="CG93" s="473">
        <f>блюда!CG335</f>
        <v>0</v>
      </c>
      <c r="CH93" s="473">
        <f>блюда!CH335</f>
        <v>0</v>
      </c>
      <c r="CI93" s="473">
        <f>блюда!CI335</f>
        <v>0</v>
      </c>
      <c r="CJ93" s="473">
        <f>блюда!CJ335</f>
        <v>0</v>
      </c>
      <c r="CK93" s="473">
        <f>блюда!CK335</f>
        <v>0</v>
      </c>
      <c r="CL93" s="473">
        <f>блюда!CL335</f>
        <v>0</v>
      </c>
      <c r="CM93" s="473">
        <f>блюда!CM335</f>
        <v>0</v>
      </c>
      <c r="CN93" s="473">
        <f>блюда!CN335</f>
        <v>0</v>
      </c>
      <c r="CO93" s="473">
        <f>блюда!CO335</f>
        <v>0</v>
      </c>
      <c r="CP93" s="473">
        <f>блюда!CP335</f>
        <v>0</v>
      </c>
      <c r="CQ93" s="473">
        <f>блюда!CQ335</f>
        <v>0</v>
      </c>
      <c r="CR93" s="473">
        <f>блюда!CR335</f>
        <v>0</v>
      </c>
      <c r="CS93" s="473">
        <f>блюда!CS335</f>
        <v>0</v>
      </c>
      <c r="CT93" s="473">
        <f>блюда!CT335</f>
        <v>0</v>
      </c>
      <c r="CU93" s="473">
        <f>блюда!CU335</f>
        <v>0</v>
      </c>
      <c r="CV93" s="473">
        <f>блюда!CV335</f>
        <v>0</v>
      </c>
      <c r="CW93" s="473">
        <f>блюда!CW335</f>
        <v>0</v>
      </c>
      <c r="CX93" s="473">
        <f>блюда!CX335</f>
        <v>0</v>
      </c>
      <c r="CY93" s="473">
        <f>блюда!CY335</f>
        <v>0</v>
      </c>
      <c r="CZ93" s="473">
        <f>блюда!CZ335</f>
        <v>0</v>
      </c>
      <c r="DA93" s="473">
        <f>блюда!DA335</f>
        <v>0</v>
      </c>
      <c r="DB93" s="473">
        <f>блюда!DB335</f>
        <v>0</v>
      </c>
      <c r="DC93" s="473">
        <f>блюда!DC335</f>
        <v>0</v>
      </c>
      <c r="DD93" s="473">
        <f>блюда!DD335</f>
        <v>0</v>
      </c>
      <c r="DE93" s="473">
        <f>блюда!DE335</f>
        <v>0</v>
      </c>
      <c r="DF93" s="473">
        <f>блюда!DF335</f>
        <v>0</v>
      </c>
      <c r="DG93" s="473">
        <f>блюда!DG335</f>
        <v>0</v>
      </c>
      <c r="DH93" s="473">
        <f>блюда!DH335</f>
        <v>0</v>
      </c>
      <c r="DI93" s="473">
        <f>блюда!DI335</f>
        <v>0</v>
      </c>
      <c r="DJ93" s="473">
        <f>блюда!DJ335</f>
        <v>0</v>
      </c>
      <c r="DK93" s="473">
        <f>блюда!DK335</f>
        <v>0</v>
      </c>
      <c r="DL93" s="473">
        <f>блюда!DL335</f>
        <v>0</v>
      </c>
      <c r="DM93" s="473">
        <f>блюда!DM335</f>
        <v>0</v>
      </c>
      <c r="DN93" s="473">
        <f>блюда!DN335</f>
        <v>0</v>
      </c>
      <c r="DO93" s="473">
        <f>блюда!DO335</f>
        <v>0</v>
      </c>
      <c r="DP93" s="473">
        <f>блюда!DP335</f>
        <v>0</v>
      </c>
      <c r="DQ93" s="473">
        <f>блюда!DQ335</f>
        <v>0</v>
      </c>
      <c r="DR93" s="473">
        <f>блюда!DR335</f>
        <v>0</v>
      </c>
      <c r="DS93" s="473">
        <f>блюда!DS335</f>
        <v>0</v>
      </c>
      <c r="DT93" s="473">
        <f>блюда!DT335</f>
        <v>0</v>
      </c>
      <c r="DU93" s="473">
        <f>блюда!DU335</f>
        <v>0</v>
      </c>
      <c r="DV93" s="473">
        <f>блюда!DV335</f>
        <v>0</v>
      </c>
      <c r="DW93" s="473">
        <f>блюда!DW335</f>
        <v>0</v>
      </c>
      <c r="DX93" s="473">
        <f>блюда!DX335</f>
        <v>0</v>
      </c>
      <c r="DY93" s="473">
        <f>блюда!DY335</f>
        <v>0</v>
      </c>
      <c r="DZ93" s="473">
        <f>блюда!DZ335</f>
        <v>0</v>
      </c>
      <c r="EA93" s="473">
        <f>блюда!EA335</f>
        <v>0</v>
      </c>
      <c r="EB93" s="473">
        <f>блюда!EB335</f>
        <v>0</v>
      </c>
      <c r="EC93" s="473">
        <f>блюда!EC335</f>
        <v>0</v>
      </c>
      <c r="ED93" s="473">
        <f>блюда!ED335</f>
        <v>0</v>
      </c>
      <c r="EE93" s="473">
        <f>блюда!EE335</f>
        <v>0</v>
      </c>
      <c r="EF93" s="473">
        <f>блюда!EF335</f>
        <v>0</v>
      </c>
      <c r="EG93" s="473">
        <f>блюда!EG335</f>
        <v>0</v>
      </c>
      <c r="EH93" s="473">
        <f>блюда!EH335</f>
        <v>0</v>
      </c>
      <c r="EI93" s="473">
        <f>блюда!EI335</f>
        <v>0</v>
      </c>
      <c r="EJ93" s="473">
        <f>блюда!EJ335</f>
        <v>0</v>
      </c>
      <c r="EK93" s="473">
        <f>блюда!EK335</f>
        <v>0</v>
      </c>
      <c r="EL93" s="473">
        <f>блюда!EL335</f>
        <v>0</v>
      </c>
      <c r="EM93" s="473">
        <f>блюда!EM335</f>
        <v>0</v>
      </c>
      <c r="EN93" s="473">
        <f>блюда!EN335</f>
        <v>0</v>
      </c>
      <c r="EO93" s="473">
        <f>блюда!EO335</f>
        <v>0</v>
      </c>
      <c r="EP93" s="473">
        <f>блюда!EP335</f>
        <v>0</v>
      </c>
      <c r="EQ93" s="473">
        <f>блюда!EQ335</f>
        <v>0</v>
      </c>
      <c r="ER93" s="473">
        <f>блюда!ER335</f>
        <v>0</v>
      </c>
      <c r="ES93" s="473">
        <f>блюда!ES335</f>
        <v>0</v>
      </c>
      <c r="ET93" s="473">
        <f>блюда!ET335</f>
        <v>0</v>
      </c>
      <c r="EU93" s="473">
        <f>блюда!EU335</f>
        <v>0</v>
      </c>
      <c r="EV93" s="473">
        <f>блюда!EV335</f>
        <v>0</v>
      </c>
      <c r="EW93" s="473">
        <f>блюда!EW335</f>
        <v>0.03</v>
      </c>
      <c r="EX93" s="473">
        <f>блюда!EX335</f>
        <v>0</v>
      </c>
      <c r="EY93" s="927">
        <f t="shared" si="48"/>
        <v>0.03</v>
      </c>
      <c r="EZ93" s="117">
        <f>блюда!EZ335</f>
        <v>0</v>
      </c>
      <c r="FA93" s="117">
        <f>блюда!FA335</f>
        <v>0</v>
      </c>
      <c r="FB93" s="117">
        <f>блюда!FB335</f>
        <v>0</v>
      </c>
      <c r="FC93" s="117">
        <f>блюда!FC335</f>
        <v>0</v>
      </c>
      <c r="FD93" s="117">
        <f>блюда!FD335</f>
        <v>0</v>
      </c>
      <c r="FE93" s="117">
        <f>блюда!FE335</f>
        <v>0</v>
      </c>
      <c r="FF93" s="117">
        <f>блюда!FF335</f>
        <v>0</v>
      </c>
      <c r="FG93" s="117">
        <f>блюда!FG335</f>
        <v>0</v>
      </c>
      <c r="FH93" s="117">
        <f>блюда!FH335</f>
        <v>0</v>
      </c>
      <c r="FI93" s="117">
        <f>блюда!FI335</f>
        <v>0</v>
      </c>
      <c r="FJ93" s="117">
        <f>блюда!FJ335</f>
        <v>0</v>
      </c>
      <c r="FK93" s="117">
        <f>блюда!FK335</f>
        <v>0</v>
      </c>
      <c r="FL93" s="117">
        <f>блюда!FL335</f>
        <v>0</v>
      </c>
    </row>
    <row r="94" spans="1:168" x14ac:dyDescent="0.25">
      <c r="A94" s="1460"/>
      <c r="B94" s="115"/>
      <c r="C94" s="115"/>
      <c r="D94" s="115"/>
      <c r="E94" s="115"/>
      <c r="F94" s="115"/>
      <c r="G94" s="115"/>
      <c r="H94" s="115"/>
      <c r="I94" s="115"/>
      <c r="J94" s="115"/>
      <c r="K94" s="115"/>
      <c r="L94" s="115"/>
      <c r="M94" s="115"/>
      <c r="N94" s="115"/>
      <c r="O94" s="115"/>
      <c r="P94" s="115"/>
      <c r="Q94" s="115"/>
      <c r="R94" s="115"/>
      <c r="S94" s="115"/>
      <c r="T94" s="115"/>
      <c r="U94" s="115"/>
      <c r="V94" s="115"/>
      <c r="W94" s="115"/>
      <c r="X94" s="115"/>
      <c r="Y94" s="115"/>
      <c r="Z94" s="115"/>
      <c r="AA94" s="115"/>
      <c r="AB94" s="115"/>
      <c r="AC94" s="115"/>
      <c r="AD94" s="115"/>
      <c r="AE94" s="115"/>
      <c r="AF94" s="115"/>
      <c r="AG94" s="115"/>
      <c r="AH94" s="115"/>
      <c r="AI94" s="115"/>
      <c r="AJ94" s="115"/>
      <c r="AK94" s="115"/>
      <c r="AL94" s="115"/>
      <c r="AM94" s="115"/>
      <c r="AN94" s="115"/>
      <c r="AO94" s="115"/>
      <c r="AP94" s="115"/>
      <c r="AQ94" s="115"/>
      <c r="AR94" s="115"/>
      <c r="AS94" s="115"/>
      <c r="AT94" s="115"/>
      <c r="AU94" s="115"/>
      <c r="AV94" s="115"/>
      <c r="AW94" s="115"/>
      <c r="AX94" s="115"/>
      <c r="AY94" s="115"/>
      <c r="AZ94" s="115"/>
      <c r="BA94" s="115"/>
      <c r="BB94" s="115"/>
      <c r="BC94" s="115"/>
      <c r="BD94" s="115"/>
      <c r="BE94" s="115"/>
      <c r="BF94" s="115"/>
      <c r="BG94" s="115"/>
      <c r="BH94" s="115"/>
      <c r="BI94" s="115"/>
      <c r="BJ94" s="115"/>
      <c r="BK94" s="115"/>
      <c r="BL94" s="115"/>
      <c r="BM94" s="115"/>
      <c r="BN94" s="115"/>
      <c r="BO94" s="115"/>
      <c r="BP94" s="115"/>
      <c r="BQ94" s="115"/>
      <c r="BR94" s="115"/>
      <c r="BS94" s="115"/>
      <c r="BT94" s="115"/>
      <c r="BU94" s="115"/>
      <c r="BV94" s="115"/>
      <c r="BW94" s="115"/>
      <c r="BX94" s="115"/>
      <c r="BY94" s="115"/>
      <c r="BZ94" s="115"/>
      <c r="CA94" s="115"/>
      <c r="CB94" s="115"/>
      <c r="CC94" s="115"/>
      <c r="CD94" s="115"/>
      <c r="CE94" s="115"/>
      <c r="CF94" s="115"/>
      <c r="CG94" s="115"/>
      <c r="CH94" s="115"/>
      <c r="CI94" s="115"/>
      <c r="CJ94" s="115"/>
      <c r="CK94" s="115"/>
      <c r="CL94" s="115"/>
      <c r="CM94" s="115"/>
      <c r="CN94" s="115"/>
      <c r="CO94" s="115"/>
      <c r="CP94" s="115"/>
      <c r="CQ94" s="115"/>
      <c r="CR94" s="115"/>
      <c r="CS94" s="115"/>
      <c r="CT94" s="115"/>
      <c r="CU94" s="115"/>
      <c r="CV94" s="115"/>
      <c r="CW94" s="115"/>
      <c r="CX94" s="115"/>
      <c r="CY94" s="115"/>
      <c r="CZ94" s="115"/>
      <c r="DA94" s="115"/>
      <c r="DB94" s="115"/>
      <c r="DC94" s="115"/>
      <c r="DD94" s="115"/>
      <c r="DE94" s="115"/>
      <c r="DF94" s="115"/>
      <c r="DG94" s="115"/>
      <c r="DH94" s="115"/>
      <c r="DI94" s="115"/>
      <c r="DJ94" s="115"/>
      <c r="DK94" s="115"/>
      <c r="DL94" s="115"/>
      <c r="DM94" s="115"/>
      <c r="DN94" s="115"/>
      <c r="DO94" s="115"/>
      <c r="DP94" s="115"/>
      <c r="DQ94" s="115"/>
      <c r="DR94" s="115"/>
      <c r="DS94" s="115"/>
      <c r="DT94" s="115"/>
      <c r="DU94" s="115"/>
      <c r="DV94" s="115"/>
      <c r="DW94" s="115"/>
      <c r="DX94" s="115"/>
      <c r="DY94" s="115"/>
      <c r="DZ94" s="115"/>
      <c r="EA94" s="115"/>
      <c r="EB94" s="115"/>
      <c r="EC94" s="115"/>
      <c r="ED94" s="115"/>
      <c r="EE94" s="115"/>
      <c r="EF94" s="115"/>
      <c r="EG94" s="115"/>
      <c r="EH94" s="115"/>
      <c r="EI94" s="115"/>
      <c r="EJ94" s="115"/>
      <c r="EK94" s="115"/>
      <c r="EL94" s="115"/>
      <c r="EM94" s="115"/>
      <c r="EN94" s="115"/>
      <c r="EO94" s="115"/>
      <c r="EP94" s="115"/>
      <c r="EQ94" s="115"/>
      <c r="ER94" s="115"/>
      <c r="ES94" s="115"/>
      <c r="ET94" s="115"/>
      <c r="EU94" s="115"/>
      <c r="EV94" s="115"/>
      <c r="EW94" s="115"/>
      <c r="EX94" s="115"/>
      <c r="EY94" s="927">
        <f t="shared" si="48"/>
        <v>0</v>
      </c>
      <c r="EZ94" s="117"/>
      <c r="FA94" s="117"/>
      <c r="FB94" s="117"/>
      <c r="FC94" s="117"/>
      <c r="FD94" s="117"/>
      <c r="FE94" s="117"/>
      <c r="FF94" s="117"/>
      <c r="FG94" s="117"/>
      <c r="FH94" s="117"/>
      <c r="FI94" s="117"/>
      <c r="FJ94" s="117"/>
      <c r="FK94" s="117"/>
      <c r="FL94" s="117"/>
    </row>
    <row r="95" spans="1:168" ht="13.95" customHeight="1" x14ac:dyDescent="0.25">
      <c r="A95" s="1461"/>
      <c r="B95" s="576"/>
      <c r="C95" s="703"/>
      <c r="D95" s="703"/>
      <c r="E95" s="703"/>
      <c r="F95" s="703"/>
      <c r="G95" s="703"/>
      <c r="H95" s="703"/>
      <c r="I95" s="431"/>
      <c r="J95" s="473"/>
      <c r="K95" s="473"/>
      <c r="L95" s="473"/>
      <c r="M95" s="473"/>
      <c r="N95" s="473"/>
      <c r="O95" s="473"/>
      <c r="P95" s="473"/>
      <c r="Q95" s="473"/>
      <c r="R95" s="473"/>
      <c r="S95" s="473"/>
      <c r="T95" s="473"/>
      <c r="U95" s="473"/>
      <c r="V95" s="473"/>
      <c r="W95" s="473"/>
      <c r="X95" s="473"/>
      <c r="Y95" s="473"/>
      <c r="Z95" s="473"/>
      <c r="AA95" s="473"/>
      <c r="AB95" s="473"/>
      <c r="AC95" s="473"/>
      <c r="AD95" s="473"/>
      <c r="AE95" s="473"/>
      <c r="AF95" s="473"/>
      <c r="AG95" s="473"/>
      <c r="AH95" s="473"/>
      <c r="AI95" s="473"/>
      <c r="AJ95" s="473"/>
      <c r="AK95" s="473"/>
      <c r="AL95" s="473"/>
      <c r="AM95" s="473"/>
      <c r="AN95" s="473"/>
      <c r="AO95" s="473"/>
      <c r="AP95" s="473"/>
      <c r="AQ95" s="473"/>
      <c r="AR95" s="473"/>
      <c r="AS95" s="473"/>
      <c r="AT95" s="473"/>
      <c r="AU95" s="473"/>
      <c r="AV95" s="473"/>
      <c r="AW95" s="473"/>
      <c r="AX95" s="473"/>
      <c r="AY95" s="473"/>
      <c r="AZ95" s="473"/>
      <c r="BA95" s="473"/>
      <c r="BB95" s="473"/>
      <c r="BC95" s="473"/>
      <c r="BD95" s="473"/>
      <c r="BE95" s="473"/>
      <c r="BF95" s="473"/>
      <c r="BG95" s="473"/>
      <c r="BH95" s="473"/>
      <c r="BI95" s="473"/>
      <c r="BJ95" s="473"/>
      <c r="BK95" s="473"/>
      <c r="BL95" s="473"/>
      <c r="BM95" s="473"/>
      <c r="BN95" s="473"/>
      <c r="BO95" s="473"/>
      <c r="BP95" s="473"/>
      <c r="BQ95" s="473"/>
      <c r="BR95" s="473"/>
      <c r="BS95" s="473"/>
      <c r="BT95" s="473"/>
      <c r="BU95" s="473"/>
      <c r="BV95" s="473"/>
      <c r="BW95" s="473"/>
      <c r="BX95" s="473"/>
      <c r="BY95" s="473"/>
      <c r="BZ95" s="473"/>
      <c r="CA95" s="473"/>
      <c r="CB95" s="473"/>
      <c r="CC95" s="473"/>
      <c r="CD95" s="473"/>
      <c r="CE95" s="473"/>
      <c r="CF95" s="473"/>
      <c r="CG95" s="473"/>
      <c r="CH95" s="473"/>
      <c r="CI95" s="473"/>
      <c r="CJ95" s="473"/>
      <c r="CK95" s="473"/>
      <c r="CL95" s="473"/>
      <c r="CM95" s="473"/>
      <c r="CN95" s="473"/>
      <c r="CO95" s="473"/>
      <c r="CP95" s="473"/>
      <c r="CQ95" s="473"/>
      <c r="CR95" s="473"/>
      <c r="CS95" s="473"/>
      <c r="CT95" s="473"/>
      <c r="CU95" s="473"/>
      <c r="CV95" s="473"/>
      <c r="CW95" s="473"/>
      <c r="CX95" s="473"/>
      <c r="CY95" s="473"/>
      <c r="CZ95" s="473"/>
      <c r="DA95" s="473"/>
      <c r="DB95" s="473"/>
      <c r="DC95" s="473"/>
      <c r="DD95" s="473"/>
      <c r="DE95" s="473"/>
      <c r="DF95" s="473"/>
      <c r="DG95" s="473"/>
      <c r="DH95" s="473"/>
      <c r="DI95" s="473"/>
      <c r="DJ95" s="473"/>
      <c r="DK95" s="473"/>
      <c r="DL95" s="473"/>
      <c r="DM95" s="473"/>
      <c r="DN95" s="473"/>
      <c r="DO95" s="473"/>
      <c r="DP95" s="473"/>
      <c r="DQ95" s="473"/>
      <c r="DR95" s="473"/>
      <c r="DS95" s="473"/>
      <c r="DT95" s="473"/>
      <c r="DU95" s="473"/>
      <c r="DV95" s="473"/>
      <c r="DW95" s="473"/>
      <c r="DX95" s="473"/>
      <c r="DY95" s="473"/>
      <c r="DZ95" s="473"/>
      <c r="EA95" s="473"/>
      <c r="EB95" s="473"/>
      <c r="EC95" s="473"/>
      <c r="ED95" s="473"/>
      <c r="EE95" s="473"/>
      <c r="EF95" s="473"/>
      <c r="EG95" s="473"/>
      <c r="EH95" s="473"/>
      <c r="EI95" s="473"/>
      <c r="EJ95" s="473"/>
      <c r="EK95" s="473"/>
      <c r="EL95" s="473"/>
      <c r="EM95" s="473"/>
      <c r="EN95" s="473"/>
      <c r="EO95" s="473"/>
      <c r="EP95" s="473"/>
      <c r="EQ95" s="473"/>
      <c r="ER95" s="473"/>
      <c r="ES95" s="473"/>
      <c r="ET95" s="473"/>
      <c r="EU95" s="473"/>
      <c r="EV95" s="473"/>
      <c r="EW95" s="473"/>
      <c r="EX95" s="473"/>
      <c r="EY95" s="927">
        <f t="shared" si="48"/>
        <v>0</v>
      </c>
      <c r="EZ95" s="423"/>
      <c r="FA95" s="423"/>
      <c r="FB95" s="423"/>
      <c r="FC95" s="423"/>
      <c r="FD95" s="423"/>
      <c r="FE95" s="423"/>
      <c r="FF95" s="423"/>
      <c r="FG95" s="423"/>
      <c r="FH95" s="423"/>
      <c r="FI95" s="423"/>
      <c r="FJ95" s="423"/>
      <c r="FK95" s="423"/>
      <c r="FL95" s="423"/>
    </row>
    <row r="96" spans="1:168" x14ac:dyDescent="0.25">
      <c r="A96" s="411"/>
      <c r="B96" s="118" t="s">
        <v>113</v>
      </c>
      <c r="C96" s="840">
        <f>SUM(C87:C95)</f>
        <v>880</v>
      </c>
      <c r="D96" s="842">
        <f>SUM(D87:D95)</f>
        <v>22.92</v>
      </c>
      <c r="E96" s="842">
        <f t="shared" ref="E96:BC96" si="49">SUM(E87:E95)</f>
        <v>23.97</v>
      </c>
      <c r="F96" s="842">
        <f t="shared" si="49"/>
        <v>105.09</v>
      </c>
      <c r="G96" s="422">
        <f t="shared" si="49"/>
        <v>741</v>
      </c>
      <c r="H96" s="840"/>
      <c r="I96" s="842">
        <f t="shared" ref="I96" si="50">SUM(I87:I95)</f>
        <v>108.99</v>
      </c>
      <c r="J96" s="844">
        <f t="shared" si="49"/>
        <v>0.104</v>
      </c>
      <c r="K96" s="844">
        <f t="shared" si="49"/>
        <v>0</v>
      </c>
      <c r="L96" s="844">
        <f t="shared" si="49"/>
        <v>0</v>
      </c>
      <c r="M96" s="844">
        <f t="shared" si="49"/>
        <v>0</v>
      </c>
      <c r="N96" s="844">
        <f t="shared" si="49"/>
        <v>0</v>
      </c>
      <c r="O96" s="844">
        <f t="shared" si="49"/>
        <v>0</v>
      </c>
      <c r="P96" s="844">
        <f t="shared" si="49"/>
        <v>0</v>
      </c>
      <c r="Q96" s="844">
        <f t="shared" si="49"/>
        <v>0</v>
      </c>
      <c r="R96" s="844">
        <f t="shared" si="49"/>
        <v>0</v>
      </c>
      <c r="S96" s="844">
        <f t="shared" si="49"/>
        <v>0</v>
      </c>
      <c r="T96" s="844">
        <f t="shared" si="49"/>
        <v>0</v>
      </c>
      <c r="U96" s="844">
        <f t="shared" si="49"/>
        <v>0</v>
      </c>
      <c r="V96" s="844">
        <f t="shared" si="49"/>
        <v>5.2500000000000003E-3</v>
      </c>
      <c r="W96" s="844">
        <f t="shared" si="49"/>
        <v>0</v>
      </c>
      <c r="X96" s="844">
        <f t="shared" si="49"/>
        <v>0</v>
      </c>
      <c r="Y96" s="844">
        <f t="shared" si="49"/>
        <v>1.7500000000000002E-2</v>
      </c>
      <c r="Z96" s="844">
        <f t="shared" si="49"/>
        <v>0</v>
      </c>
      <c r="AA96" s="844">
        <f t="shared" si="49"/>
        <v>0</v>
      </c>
      <c r="AB96" s="844">
        <f t="shared" si="49"/>
        <v>0</v>
      </c>
      <c r="AC96" s="844">
        <f t="shared" si="49"/>
        <v>0</v>
      </c>
      <c r="AD96" s="844">
        <f t="shared" si="49"/>
        <v>0</v>
      </c>
      <c r="AE96" s="844">
        <f t="shared" si="49"/>
        <v>0</v>
      </c>
      <c r="AF96" s="844">
        <f t="shared" si="49"/>
        <v>0</v>
      </c>
      <c r="AG96" s="844">
        <f t="shared" si="49"/>
        <v>0</v>
      </c>
      <c r="AH96" s="844">
        <f t="shared" si="49"/>
        <v>0.23319999999999999</v>
      </c>
      <c r="AI96" s="844">
        <f t="shared" si="49"/>
        <v>0</v>
      </c>
      <c r="AJ96" s="844">
        <f t="shared" si="49"/>
        <v>0</v>
      </c>
      <c r="AK96" s="844">
        <f t="shared" si="49"/>
        <v>5.3999999999999999E-2</v>
      </c>
      <c r="AL96" s="844">
        <f t="shared" si="49"/>
        <v>0</v>
      </c>
      <c r="AM96" s="844">
        <f t="shared" si="49"/>
        <v>1E-3</v>
      </c>
      <c r="AN96" s="844">
        <f t="shared" si="49"/>
        <v>3.5499999999999997E-2</v>
      </c>
      <c r="AO96" s="844">
        <f t="shared" si="49"/>
        <v>3.1600000000000003E-2</v>
      </c>
      <c r="AP96" s="844">
        <f t="shared" si="49"/>
        <v>0</v>
      </c>
      <c r="AQ96" s="844">
        <f t="shared" si="49"/>
        <v>1.2500000000000001E-2</v>
      </c>
      <c r="AR96" s="844">
        <f t="shared" si="49"/>
        <v>0</v>
      </c>
      <c r="AS96" s="844">
        <f t="shared" si="49"/>
        <v>0</v>
      </c>
      <c r="AT96" s="844">
        <f t="shared" si="49"/>
        <v>3.2499999999999999E-3</v>
      </c>
      <c r="AU96" s="844">
        <f t="shared" si="49"/>
        <v>6.0000000000000001E-3</v>
      </c>
      <c r="AV96" s="844">
        <f t="shared" si="49"/>
        <v>0</v>
      </c>
      <c r="AW96" s="844">
        <f t="shared" si="49"/>
        <v>0</v>
      </c>
      <c r="AX96" s="844">
        <f t="shared" si="49"/>
        <v>0.05</v>
      </c>
      <c r="AY96" s="844">
        <f t="shared" si="49"/>
        <v>0</v>
      </c>
      <c r="AZ96" s="844">
        <f t="shared" si="49"/>
        <v>0</v>
      </c>
      <c r="BA96" s="844">
        <f t="shared" si="49"/>
        <v>0</v>
      </c>
      <c r="BB96" s="844">
        <f t="shared" si="49"/>
        <v>0</v>
      </c>
      <c r="BC96" s="844">
        <f t="shared" si="49"/>
        <v>0</v>
      </c>
      <c r="BD96" s="844">
        <f t="shared" ref="BD96:DO96" si="51">SUM(BD87:BD95)</f>
        <v>0</v>
      </c>
      <c r="BE96" s="844">
        <f t="shared" si="51"/>
        <v>0</v>
      </c>
      <c r="BF96" s="844">
        <f t="shared" si="51"/>
        <v>0</v>
      </c>
      <c r="BG96" s="844">
        <f t="shared" si="51"/>
        <v>0</v>
      </c>
      <c r="BH96" s="844">
        <f t="shared" si="51"/>
        <v>0</v>
      </c>
      <c r="BI96" s="844">
        <f t="shared" si="51"/>
        <v>0</v>
      </c>
      <c r="BJ96" s="844">
        <f t="shared" si="51"/>
        <v>0</v>
      </c>
      <c r="BK96" s="844">
        <f t="shared" si="51"/>
        <v>0</v>
      </c>
      <c r="BL96" s="844">
        <f t="shared" si="51"/>
        <v>0</v>
      </c>
      <c r="BM96" s="844">
        <f t="shared" si="51"/>
        <v>0</v>
      </c>
      <c r="BN96" s="844">
        <f t="shared" si="51"/>
        <v>0</v>
      </c>
      <c r="BO96" s="844">
        <f t="shared" si="51"/>
        <v>0</v>
      </c>
      <c r="BP96" s="844">
        <f t="shared" si="51"/>
        <v>0</v>
      </c>
      <c r="BQ96" s="844">
        <f t="shared" si="51"/>
        <v>0</v>
      </c>
      <c r="BR96" s="844">
        <f t="shared" si="51"/>
        <v>4.5400000000000003E-2</v>
      </c>
      <c r="BS96" s="844">
        <f t="shared" si="51"/>
        <v>1.4250000000000001E-2</v>
      </c>
      <c r="BT96" s="844">
        <f t="shared" si="51"/>
        <v>0</v>
      </c>
      <c r="BU96" s="844">
        <f t="shared" si="51"/>
        <v>0</v>
      </c>
      <c r="BV96" s="844">
        <f t="shared" si="51"/>
        <v>0</v>
      </c>
      <c r="BW96" s="844">
        <f t="shared" si="51"/>
        <v>0</v>
      </c>
      <c r="BX96" s="844">
        <f t="shared" si="51"/>
        <v>0</v>
      </c>
      <c r="BY96" s="844">
        <f t="shared" si="51"/>
        <v>0</v>
      </c>
      <c r="BZ96" s="844">
        <f t="shared" si="51"/>
        <v>0</v>
      </c>
      <c r="CA96" s="844">
        <f t="shared" si="51"/>
        <v>0</v>
      </c>
      <c r="CB96" s="844">
        <f t="shared" si="51"/>
        <v>0.01</v>
      </c>
      <c r="CC96" s="844">
        <f t="shared" si="51"/>
        <v>0</v>
      </c>
      <c r="CD96" s="844">
        <f t="shared" si="51"/>
        <v>0</v>
      </c>
      <c r="CE96" s="844">
        <f t="shared" si="51"/>
        <v>0</v>
      </c>
      <c r="CF96" s="844">
        <f t="shared" si="51"/>
        <v>1.7000000000000001E-2</v>
      </c>
      <c r="CG96" s="844">
        <f t="shared" si="51"/>
        <v>0</v>
      </c>
      <c r="CH96" s="844">
        <f t="shared" si="51"/>
        <v>0</v>
      </c>
      <c r="CI96" s="844">
        <f t="shared" si="51"/>
        <v>0</v>
      </c>
      <c r="CJ96" s="844">
        <f t="shared" si="51"/>
        <v>0</v>
      </c>
      <c r="CK96" s="844">
        <f t="shared" si="51"/>
        <v>0</v>
      </c>
      <c r="CL96" s="844">
        <f t="shared" si="51"/>
        <v>0</v>
      </c>
      <c r="CM96" s="844">
        <f t="shared" si="51"/>
        <v>0</v>
      </c>
      <c r="CN96" s="844">
        <f t="shared" si="51"/>
        <v>0</v>
      </c>
      <c r="CO96" s="844">
        <f t="shared" si="51"/>
        <v>0</v>
      </c>
      <c r="CP96" s="844">
        <f t="shared" si="51"/>
        <v>0</v>
      </c>
      <c r="CQ96" s="844">
        <f t="shared" si="51"/>
        <v>2.0000000000000001E-4</v>
      </c>
      <c r="CR96" s="844">
        <f t="shared" si="51"/>
        <v>0</v>
      </c>
      <c r="CS96" s="844">
        <f t="shared" si="51"/>
        <v>4.0000000000000003E-5</v>
      </c>
      <c r="CT96" s="844">
        <f t="shared" si="51"/>
        <v>0</v>
      </c>
      <c r="CU96" s="844">
        <f t="shared" si="51"/>
        <v>0</v>
      </c>
      <c r="CV96" s="844">
        <f t="shared" si="51"/>
        <v>0</v>
      </c>
      <c r="CW96" s="844">
        <f t="shared" si="51"/>
        <v>0</v>
      </c>
      <c r="CX96" s="844">
        <f t="shared" si="51"/>
        <v>0</v>
      </c>
      <c r="CY96" s="844">
        <f t="shared" si="51"/>
        <v>0</v>
      </c>
      <c r="CZ96" s="844">
        <f t="shared" si="51"/>
        <v>2.5499999999999998E-2</v>
      </c>
      <c r="DA96" s="844">
        <f t="shared" si="51"/>
        <v>0</v>
      </c>
      <c r="DB96" s="844">
        <f t="shared" si="51"/>
        <v>0</v>
      </c>
      <c r="DC96" s="844">
        <f t="shared" si="51"/>
        <v>7.9000000000000008E-3</v>
      </c>
      <c r="DD96" s="844">
        <f t="shared" si="51"/>
        <v>0</v>
      </c>
      <c r="DE96" s="844">
        <f t="shared" si="51"/>
        <v>0</v>
      </c>
      <c r="DF96" s="844">
        <f t="shared" si="51"/>
        <v>1.2500000000000001E-2</v>
      </c>
      <c r="DG96" s="844">
        <f t="shared" si="51"/>
        <v>0</v>
      </c>
      <c r="DH96" s="844">
        <f t="shared" si="51"/>
        <v>0</v>
      </c>
      <c r="DI96" s="844">
        <f t="shared" si="51"/>
        <v>0</v>
      </c>
      <c r="DJ96" s="844">
        <f t="shared" si="51"/>
        <v>0</v>
      </c>
      <c r="DK96" s="844">
        <f t="shared" si="51"/>
        <v>0</v>
      </c>
      <c r="DL96" s="844">
        <f t="shared" si="51"/>
        <v>0</v>
      </c>
      <c r="DM96" s="844">
        <f t="shared" si="51"/>
        <v>0.01</v>
      </c>
      <c r="DN96" s="844">
        <f t="shared" si="51"/>
        <v>0</v>
      </c>
      <c r="DO96" s="844">
        <f t="shared" si="51"/>
        <v>0</v>
      </c>
      <c r="DP96" s="844">
        <f t="shared" ref="DP96:EX96" si="52">SUM(DP87:DP95)</f>
        <v>0</v>
      </c>
      <c r="DQ96" s="844">
        <f t="shared" si="52"/>
        <v>0</v>
      </c>
      <c r="DR96" s="844">
        <f t="shared" si="52"/>
        <v>0</v>
      </c>
      <c r="DS96" s="844">
        <f t="shared" si="52"/>
        <v>0</v>
      </c>
      <c r="DT96" s="844">
        <f t="shared" si="52"/>
        <v>0</v>
      </c>
      <c r="DU96" s="844">
        <f t="shared" si="52"/>
        <v>0</v>
      </c>
      <c r="DV96" s="844">
        <f t="shared" si="52"/>
        <v>0</v>
      </c>
      <c r="DW96" s="844">
        <f t="shared" si="52"/>
        <v>0</v>
      </c>
      <c r="DX96" s="844">
        <f t="shared" si="52"/>
        <v>0</v>
      </c>
      <c r="DY96" s="844">
        <f t="shared" si="52"/>
        <v>0</v>
      </c>
      <c r="DZ96" s="844">
        <f t="shared" si="52"/>
        <v>0</v>
      </c>
      <c r="EA96" s="844">
        <f t="shared" si="52"/>
        <v>0</v>
      </c>
      <c r="EB96" s="844">
        <f t="shared" si="52"/>
        <v>0</v>
      </c>
      <c r="EC96" s="844">
        <f t="shared" si="52"/>
        <v>0</v>
      </c>
      <c r="ED96" s="844">
        <f t="shared" si="52"/>
        <v>0</v>
      </c>
      <c r="EE96" s="844">
        <f t="shared" si="52"/>
        <v>0</v>
      </c>
      <c r="EF96" s="844">
        <f t="shared" si="52"/>
        <v>0</v>
      </c>
      <c r="EG96" s="844">
        <f t="shared" si="52"/>
        <v>0</v>
      </c>
      <c r="EH96" s="844">
        <f t="shared" si="52"/>
        <v>0</v>
      </c>
      <c r="EI96" s="844">
        <f t="shared" si="52"/>
        <v>0</v>
      </c>
      <c r="EJ96" s="844">
        <f t="shared" si="52"/>
        <v>0</v>
      </c>
      <c r="EK96" s="844">
        <f t="shared" si="52"/>
        <v>0</v>
      </c>
      <c r="EL96" s="844">
        <f t="shared" si="52"/>
        <v>0</v>
      </c>
      <c r="EM96" s="844">
        <f t="shared" si="52"/>
        <v>0</v>
      </c>
      <c r="EN96" s="844">
        <f t="shared" si="52"/>
        <v>0</v>
      </c>
      <c r="EO96" s="844">
        <f t="shared" si="52"/>
        <v>0</v>
      </c>
      <c r="EP96" s="844">
        <f t="shared" si="52"/>
        <v>0</v>
      </c>
      <c r="EQ96" s="844">
        <f t="shared" si="52"/>
        <v>0</v>
      </c>
      <c r="ER96" s="844">
        <f t="shared" si="52"/>
        <v>0</v>
      </c>
      <c r="ES96" s="844">
        <f t="shared" si="52"/>
        <v>0</v>
      </c>
      <c r="ET96" s="844">
        <f t="shared" si="52"/>
        <v>0</v>
      </c>
      <c r="EU96" s="844">
        <f t="shared" si="52"/>
        <v>0</v>
      </c>
      <c r="EV96" s="844">
        <f t="shared" si="52"/>
        <v>0.02</v>
      </c>
      <c r="EW96" s="844">
        <f t="shared" si="52"/>
        <v>0.03</v>
      </c>
      <c r="EX96" s="844">
        <f t="shared" si="52"/>
        <v>0</v>
      </c>
      <c r="EY96" s="861">
        <f t="shared" ref="EY96:FL96" si="53">SUM(EY87:EY95)</f>
        <v>0.74660000000000004</v>
      </c>
      <c r="EZ96" s="534">
        <f t="shared" si="53"/>
        <v>0</v>
      </c>
      <c r="FA96" s="534">
        <f t="shared" si="53"/>
        <v>0</v>
      </c>
      <c r="FB96" s="534">
        <f t="shared" si="53"/>
        <v>0</v>
      </c>
      <c r="FC96" s="534">
        <f t="shared" si="53"/>
        <v>0</v>
      </c>
      <c r="FD96" s="534">
        <f t="shared" si="53"/>
        <v>0</v>
      </c>
      <c r="FE96" s="534">
        <f t="shared" si="53"/>
        <v>0</v>
      </c>
      <c r="FF96" s="534">
        <f t="shared" si="53"/>
        <v>0</v>
      </c>
      <c r="FG96" s="534">
        <f t="shared" si="53"/>
        <v>0</v>
      </c>
      <c r="FH96" s="534">
        <f t="shared" si="53"/>
        <v>0</v>
      </c>
      <c r="FI96" s="534">
        <f t="shared" si="53"/>
        <v>0</v>
      </c>
      <c r="FJ96" s="534">
        <f t="shared" si="53"/>
        <v>0</v>
      </c>
      <c r="FK96" s="534">
        <f t="shared" si="53"/>
        <v>0</v>
      </c>
      <c r="FL96" s="534">
        <f t="shared" si="53"/>
        <v>0</v>
      </c>
    </row>
    <row r="97" spans="1:168" hidden="1" x14ac:dyDescent="0.25">
      <c r="A97" s="1459" t="s">
        <v>800</v>
      </c>
      <c r="B97" s="115"/>
      <c r="C97" s="704"/>
      <c r="D97" s="431"/>
      <c r="E97" s="431"/>
      <c r="F97" s="431"/>
      <c r="G97" s="250"/>
      <c r="H97" s="704"/>
      <c r="I97" s="431"/>
      <c r="J97" s="703"/>
      <c r="K97" s="703"/>
      <c r="L97" s="703"/>
      <c r="M97" s="703"/>
      <c r="N97" s="703"/>
      <c r="O97" s="703"/>
      <c r="P97" s="703"/>
      <c r="Q97" s="703"/>
      <c r="R97" s="703"/>
      <c r="S97" s="703"/>
      <c r="T97" s="703"/>
      <c r="U97" s="703"/>
      <c r="V97" s="703"/>
      <c r="W97" s="703"/>
      <c r="X97" s="703"/>
      <c r="Y97" s="703"/>
      <c r="Z97" s="703"/>
      <c r="AA97" s="703"/>
      <c r="AB97" s="703"/>
      <c r="AC97" s="703"/>
      <c r="AD97" s="703"/>
      <c r="AE97" s="703"/>
      <c r="AF97" s="703"/>
      <c r="AG97" s="703"/>
      <c r="AH97" s="703"/>
      <c r="AI97" s="703"/>
      <c r="AJ97" s="703"/>
      <c r="AK97" s="703"/>
      <c r="AL97" s="703"/>
      <c r="AM97" s="703"/>
      <c r="AN97" s="703"/>
      <c r="AO97" s="703"/>
      <c r="AP97" s="703"/>
      <c r="AQ97" s="703"/>
      <c r="AR97" s="703"/>
      <c r="AS97" s="703"/>
      <c r="AT97" s="703"/>
      <c r="AU97" s="703"/>
      <c r="AV97" s="703"/>
      <c r="AW97" s="703"/>
      <c r="AX97" s="703"/>
      <c r="AY97" s="703"/>
      <c r="AZ97" s="703"/>
      <c r="BA97" s="703"/>
      <c r="BB97" s="703"/>
      <c r="BC97" s="703"/>
      <c r="BD97" s="703"/>
      <c r="BE97" s="703"/>
      <c r="BF97" s="703"/>
      <c r="BG97" s="703"/>
      <c r="BH97" s="703"/>
      <c r="BI97" s="703"/>
      <c r="BJ97" s="703"/>
      <c r="BK97" s="703"/>
      <c r="BL97" s="703"/>
      <c r="BM97" s="703"/>
      <c r="BN97" s="703"/>
      <c r="BO97" s="703"/>
      <c r="BP97" s="703"/>
      <c r="BQ97" s="703"/>
      <c r="BR97" s="703"/>
      <c r="BS97" s="703"/>
      <c r="BT97" s="703"/>
      <c r="BU97" s="703"/>
      <c r="BV97" s="703"/>
      <c r="BW97" s="703"/>
      <c r="BX97" s="703"/>
      <c r="BY97" s="703"/>
      <c r="BZ97" s="703"/>
      <c r="CA97" s="703"/>
      <c r="CB97" s="703"/>
      <c r="CC97" s="703"/>
      <c r="CD97" s="703"/>
      <c r="CE97" s="703"/>
      <c r="CF97" s="703"/>
      <c r="CG97" s="703"/>
      <c r="CH97" s="703"/>
      <c r="CI97" s="703"/>
      <c r="CJ97" s="703"/>
      <c r="CK97" s="703"/>
      <c r="CL97" s="703"/>
      <c r="CM97" s="703"/>
      <c r="CN97" s="703"/>
      <c r="CO97" s="703"/>
      <c r="CP97" s="703"/>
      <c r="CQ97" s="703"/>
      <c r="CR97" s="703"/>
      <c r="CS97" s="703"/>
      <c r="CT97" s="703"/>
      <c r="CU97" s="703"/>
      <c r="CV97" s="703"/>
      <c r="CW97" s="703"/>
      <c r="CX97" s="703"/>
      <c r="CY97" s="703"/>
      <c r="CZ97" s="703"/>
      <c r="DA97" s="703"/>
      <c r="DB97" s="703"/>
      <c r="DC97" s="703"/>
      <c r="DD97" s="703"/>
      <c r="DE97" s="703"/>
      <c r="DF97" s="703"/>
      <c r="DG97" s="703"/>
      <c r="DH97" s="703"/>
      <c r="DI97" s="703"/>
      <c r="DJ97" s="703"/>
      <c r="DK97" s="703"/>
      <c r="DL97" s="703"/>
      <c r="DM97" s="703"/>
      <c r="DN97" s="703"/>
      <c r="DO97" s="703"/>
      <c r="DP97" s="703"/>
      <c r="DQ97" s="703"/>
      <c r="DR97" s="703"/>
      <c r="DS97" s="703"/>
      <c r="DT97" s="703"/>
      <c r="DU97" s="703"/>
      <c r="DV97" s="703"/>
      <c r="DW97" s="703"/>
      <c r="DX97" s="703"/>
      <c r="DY97" s="703"/>
      <c r="DZ97" s="703"/>
      <c r="EA97" s="703"/>
      <c r="EB97" s="703"/>
      <c r="EC97" s="703"/>
      <c r="ED97" s="703"/>
      <c r="EE97" s="703"/>
      <c r="EF97" s="703"/>
      <c r="EG97" s="703"/>
      <c r="EH97" s="703"/>
      <c r="EI97" s="703"/>
      <c r="EJ97" s="703"/>
      <c r="EK97" s="703"/>
      <c r="EL97" s="703"/>
      <c r="EM97" s="703"/>
      <c r="EN97" s="703"/>
      <c r="EO97" s="703"/>
      <c r="EP97" s="703"/>
      <c r="EQ97" s="703"/>
      <c r="ER97" s="703"/>
      <c r="ES97" s="703"/>
      <c r="ET97" s="703"/>
      <c r="EU97" s="703"/>
      <c r="EV97" s="703"/>
      <c r="EW97" s="703"/>
      <c r="EX97" s="703"/>
      <c r="EY97" s="927">
        <f t="shared" si="48"/>
        <v>0</v>
      </c>
      <c r="EZ97" s="117"/>
      <c r="FA97" s="117"/>
      <c r="FB97" s="117"/>
      <c r="FC97" s="117"/>
      <c r="FD97" s="117"/>
      <c r="FE97" s="117"/>
      <c r="FF97" s="117"/>
      <c r="FG97" s="117"/>
      <c r="FH97" s="117"/>
      <c r="FI97" s="117"/>
      <c r="FJ97" s="117"/>
      <c r="FK97" s="117"/>
      <c r="FL97" s="117"/>
    </row>
    <row r="98" spans="1:168" hidden="1" x14ac:dyDescent="0.25">
      <c r="A98" s="1460"/>
      <c r="B98" s="115"/>
      <c r="C98" s="704"/>
      <c r="D98" s="431"/>
      <c r="E98" s="431"/>
      <c r="F98" s="431"/>
      <c r="G98" s="250"/>
      <c r="H98" s="704"/>
      <c r="I98" s="431"/>
      <c r="J98" s="703"/>
      <c r="K98" s="703"/>
      <c r="L98" s="703"/>
      <c r="M98" s="703"/>
      <c r="N98" s="703"/>
      <c r="O98" s="703"/>
      <c r="P98" s="703"/>
      <c r="Q98" s="703"/>
      <c r="R98" s="703"/>
      <c r="S98" s="703"/>
      <c r="T98" s="703"/>
      <c r="U98" s="703"/>
      <c r="V98" s="703"/>
      <c r="W98" s="703"/>
      <c r="X98" s="703"/>
      <c r="Y98" s="703"/>
      <c r="Z98" s="703"/>
      <c r="AA98" s="703"/>
      <c r="AB98" s="703"/>
      <c r="AC98" s="703"/>
      <c r="AD98" s="703"/>
      <c r="AE98" s="703"/>
      <c r="AF98" s="703"/>
      <c r="AG98" s="703"/>
      <c r="AH98" s="703"/>
      <c r="AI98" s="703"/>
      <c r="AJ98" s="703"/>
      <c r="AK98" s="703"/>
      <c r="AL98" s="703"/>
      <c r="AM98" s="703"/>
      <c r="AN98" s="703"/>
      <c r="AO98" s="703"/>
      <c r="AP98" s="703"/>
      <c r="AQ98" s="703"/>
      <c r="AR98" s="703"/>
      <c r="AS98" s="703"/>
      <c r="AT98" s="703"/>
      <c r="AU98" s="703"/>
      <c r="AV98" s="703"/>
      <c r="AW98" s="703"/>
      <c r="AX98" s="703"/>
      <c r="AY98" s="703"/>
      <c r="AZ98" s="703"/>
      <c r="BA98" s="703"/>
      <c r="BB98" s="703"/>
      <c r="BC98" s="703"/>
      <c r="BD98" s="703"/>
      <c r="BE98" s="703"/>
      <c r="BF98" s="703"/>
      <c r="BG98" s="703"/>
      <c r="BH98" s="703"/>
      <c r="BI98" s="703"/>
      <c r="BJ98" s="703"/>
      <c r="BK98" s="703"/>
      <c r="BL98" s="703"/>
      <c r="BM98" s="703"/>
      <c r="BN98" s="703"/>
      <c r="BO98" s="703"/>
      <c r="BP98" s="703"/>
      <c r="BQ98" s="703"/>
      <c r="BR98" s="703"/>
      <c r="BS98" s="703"/>
      <c r="BT98" s="703"/>
      <c r="BU98" s="703"/>
      <c r="BV98" s="703"/>
      <c r="BW98" s="703"/>
      <c r="BX98" s="703"/>
      <c r="BY98" s="703"/>
      <c r="BZ98" s="703"/>
      <c r="CA98" s="703"/>
      <c r="CB98" s="703"/>
      <c r="CC98" s="703"/>
      <c r="CD98" s="703"/>
      <c r="CE98" s="703"/>
      <c r="CF98" s="703"/>
      <c r="CG98" s="703"/>
      <c r="CH98" s="703"/>
      <c r="CI98" s="703"/>
      <c r="CJ98" s="703"/>
      <c r="CK98" s="703"/>
      <c r="CL98" s="703"/>
      <c r="CM98" s="703"/>
      <c r="CN98" s="703"/>
      <c r="CO98" s="703"/>
      <c r="CP98" s="703"/>
      <c r="CQ98" s="703"/>
      <c r="CR98" s="703"/>
      <c r="CS98" s="703"/>
      <c r="CT98" s="703"/>
      <c r="CU98" s="703"/>
      <c r="CV98" s="703"/>
      <c r="CW98" s="703"/>
      <c r="CX98" s="703"/>
      <c r="CY98" s="703"/>
      <c r="CZ98" s="703"/>
      <c r="DA98" s="703"/>
      <c r="DB98" s="703"/>
      <c r="DC98" s="703"/>
      <c r="DD98" s="703"/>
      <c r="DE98" s="703"/>
      <c r="DF98" s="703"/>
      <c r="DG98" s="703"/>
      <c r="DH98" s="703"/>
      <c r="DI98" s="703"/>
      <c r="DJ98" s="703"/>
      <c r="DK98" s="703"/>
      <c r="DL98" s="703"/>
      <c r="DM98" s="703"/>
      <c r="DN98" s="703"/>
      <c r="DO98" s="703"/>
      <c r="DP98" s="703"/>
      <c r="DQ98" s="703"/>
      <c r="DR98" s="703"/>
      <c r="DS98" s="703"/>
      <c r="DT98" s="703"/>
      <c r="DU98" s="703"/>
      <c r="DV98" s="703"/>
      <c r="DW98" s="703"/>
      <c r="DX98" s="703"/>
      <c r="DY98" s="703"/>
      <c r="DZ98" s="703"/>
      <c r="EA98" s="703"/>
      <c r="EB98" s="703"/>
      <c r="EC98" s="703"/>
      <c r="ED98" s="703"/>
      <c r="EE98" s="703"/>
      <c r="EF98" s="703"/>
      <c r="EG98" s="703"/>
      <c r="EH98" s="703"/>
      <c r="EI98" s="703"/>
      <c r="EJ98" s="703"/>
      <c r="EK98" s="703"/>
      <c r="EL98" s="703"/>
      <c r="EM98" s="703"/>
      <c r="EN98" s="703"/>
      <c r="EO98" s="703"/>
      <c r="EP98" s="703"/>
      <c r="EQ98" s="703"/>
      <c r="ER98" s="703"/>
      <c r="ES98" s="703"/>
      <c r="ET98" s="703"/>
      <c r="EU98" s="703"/>
      <c r="EV98" s="703"/>
      <c r="EW98" s="703"/>
      <c r="EX98" s="703"/>
      <c r="EY98" s="927">
        <f t="shared" si="48"/>
        <v>0</v>
      </c>
      <c r="EZ98" s="117"/>
      <c r="FA98" s="117"/>
      <c r="FB98" s="117"/>
      <c r="FC98" s="117"/>
      <c r="FD98" s="117"/>
      <c r="FE98" s="117"/>
      <c r="FF98" s="117"/>
      <c r="FG98" s="117"/>
      <c r="FH98" s="117"/>
      <c r="FI98" s="117"/>
      <c r="FJ98" s="117"/>
      <c r="FK98" s="117"/>
      <c r="FL98" s="117"/>
    </row>
    <row r="99" spans="1:168" hidden="1" x14ac:dyDescent="0.25">
      <c r="A99" s="1460"/>
      <c r="B99" s="115"/>
      <c r="C99" s="704"/>
      <c r="D99" s="431"/>
      <c r="E99" s="431"/>
      <c r="F99" s="431"/>
      <c r="G99" s="250"/>
      <c r="H99" s="704"/>
      <c r="I99" s="431"/>
      <c r="J99" s="703"/>
      <c r="K99" s="703"/>
      <c r="L99" s="703"/>
      <c r="M99" s="703"/>
      <c r="N99" s="703"/>
      <c r="O99" s="703"/>
      <c r="P99" s="703"/>
      <c r="Q99" s="703"/>
      <c r="R99" s="703"/>
      <c r="S99" s="703"/>
      <c r="T99" s="703"/>
      <c r="U99" s="703"/>
      <c r="V99" s="703"/>
      <c r="W99" s="703"/>
      <c r="X99" s="703"/>
      <c r="Y99" s="703"/>
      <c r="Z99" s="703"/>
      <c r="AA99" s="703"/>
      <c r="AB99" s="703"/>
      <c r="AC99" s="703"/>
      <c r="AD99" s="703"/>
      <c r="AE99" s="703"/>
      <c r="AF99" s="703"/>
      <c r="AG99" s="703"/>
      <c r="AH99" s="703"/>
      <c r="AI99" s="703"/>
      <c r="AJ99" s="703"/>
      <c r="AK99" s="703"/>
      <c r="AL99" s="703"/>
      <c r="AM99" s="703"/>
      <c r="AN99" s="703"/>
      <c r="AO99" s="703"/>
      <c r="AP99" s="703"/>
      <c r="AQ99" s="703"/>
      <c r="AR99" s="703"/>
      <c r="AS99" s="703"/>
      <c r="AT99" s="703"/>
      <c r="AU99" s="703"/>
      <c r="AV99" s="703"/>
      <c r="AW99" s="703"/>
      <c r="AX99" s="703"/>
      <c r="AY99" s="703"/>
      <c r="AZ99" s="703"/>
      <c r="BA99" s="703"/>
      <c r="BB99" s="703"/>
      <c r="BC99" s="703"/>
      <c r="BD99" s="703"/>
      <c r="BE99" s="703"/>
      <c r="BF99" s="703"/>
      <c r="BG99" s="703"/>
      <c r="BH99" s="703"/>
      <c r="BI99" s="703"/>
      <c r="BJ99" s="703"/>
      <c r="BK99" s="703"/>
      <c r="BL99" s="703"/>
      <c r="BM99" s="703"/>
      <c r="BN99" s="703"/>
      <c r="BO99" s="703"/>
      <c r="BP99" s="703"/>
      <c r="BQ99" s="703"/>
      <c r="BR99" s="703"/>
      <c r="BS99" s="703"/>
      <c r="BT99" s="703"/>
      <c r="BU99" s="703"/>
      <c r="BV99" s="703"/>
      <c r="BW99" s="703"/>
      <c r="BX99" s="703"/>
      <c r="BY99" s="703"/>
      <c r="BZ99" s="703"/>
      <c r="CA99" s="703"/>
      <c r="CB99" s="703"/>
      <c r="CC99" s="703"/>
      <c r="CD99" s="703"/>
      <c r="CE99" s="703"/>
      <c r="CF99" s="703"/>
      <c r="CG99" s="703"/>
      <c r="CH99" s="703"/>
      <c r="CI99" s="703"/>
      <c r="CJ99" s="703"/>
      <c r="CK99" s="703"/>
      <c r="CL99" s="703"/>
      <c r="CM99" s="703"/>
      <c r="CN99" s="703"/>
      <c r="CO99" s="703"/>
      <c r="CP99" s="703"/>
      <c r="CQ99" s="703"/>
      <c r="CR99" s="703"/>
      <c r="CS99" s="703"/>
      <c r="CT99" s="703"/>
      <c r="CU99" s="703"/>
      <c r="CV99" s="703"/>
      <c r="CW99" s="703"/>
      <c r="CX99" s="703"/>
      <c r="CY99" s="703"/>
      <c r="CZ99" s="703"/>
      <c r="DA99" s="703"/>
      <c r="DB99" s="703"/>
      <c r="DC99" s="703"/>
      <c r="DD99" s="703"/>
      <c r="DE99" s="703"/>
      <c r="DF99" s="703"/>
      <c r="DG99" s="703"/>
      <c r="DH99" s="703"/>
      <c r="DI99" s="703"/>
      <c r="DJ99" s="703"/>
      <c r="DK99" s="703"/>
      <c r="DL99" s="703"/>
      <c r="DM99" s="703"/>
      <c r="DN99" s="703"/>
      <c r="DO99" s="703"/>
      <c r="DP99" s="703"/>
      <c r="DQ99" s="703"/>
      <c r="DR99" s="703"/>
      <c r="DS99" s="703"/>
      <c r="DT99" s="703"/>
      <c r="DU99" s="703"/>
      <c r="DV99" s="703"/>
      <c r="DW99" s="703"/>
      <c r="DX99" s="703"/>
      <c r="DY99" s="703"/>
      <c r="DZ99" s="703"/>
      <c r="EA99" s="703"/>
      <c r="EB99" s="703"/>
      <c r="EC99" s="703"/>
      <c r="ED99" s="703"/>
      <c r="EE99" s="703"/>
      <c r="EF99" s="703"/>
      <c r="EG99" s="703"/>
      <c r="EH99" s="703"/>
      <c r="EI99" s="703"/>
      <c r="EJ99" s="703"/>
      <c r="EK99" s="703"/>
      <c r="EL99" s="703"/>
      <c r="EM99" s="703"/>
      <c r="EN99" s="703"/>
      <c r="EO99" s="703"/>
      <c r="EP99" s="703"/>
      <c r="EQ99" s="703"/>
      <c r="ER99" s="703"/>
      <c r="ES99" s="703"/>
      <c r="ET99" s="703"/>
      <c r="EU99" s="703"/>
      <c r="EV99" s="703"/>
      <c r="EW99" s="703"/>
      <c r="EX99" s="703"/>
      <c r="EY99" s="927">
        <f t="shared" si="48"/>
        <v>0</v>
      </c>
      <c r="EZ99" s="117"/>
      <c r="FA99" s="117"/>
      <c r="FB99" s="117"/>
      <c r="FC99" s="117"/>
      <c r="FD99" s="117"/>
      <c r="FE99" s="117"/>
      <c r="FF99" s="117"/>
      <c r="FG99" s="117"/>
      <c r="FH99" s="117"/>
      <c r="FI99" s="117"/>
      <c r="FJ99" s="117"/>
      <c r="FK99" s="117"/>
      <c r="FL99" s="117"/>
    </row>
    <row r="100" spans="1:168" hidden="1" x14ac:dyDescent="0.25">
      <c r="A100" s="1460"/>
      <c r="B100" s="115"/>
      <c r="C100" s="426"/>
      <c r="D100" s="420"/>
      <c r="E100" s="420"/>
      <c r="F100" s="420"/>
      <c r="G100" s="419"/>
      <c r="H100" s="426"/>
      <c r="I100" s="420"/>
      <c r="J100" s="849"/>
      <c r="K100" s="849"/>
      <c r="L100" s="849"/>
      <c r="M100" s="849"/>
      <c r="N100" s="849"/>
      <c r="O100" s="849"/>
      <c r="P100" s="849"/>
      <c r="Q100" s="849"/>
      <c r="R100" s="849"/>
      <c r="S100" s="849"/>
      <c r="T100" s="849"/>
      <c r="U100" s="849"/>
      <c r="V100" s="849"/>
      <c r="W100" s="849"/>
      <c r="X100" s="849"/>
      <c r="Y100" s="849"/>
      <c r="Z100" s="849"/>
      <c r="AA100" s="849"/>
      <c r="AB100" s="849"/>
      <c r="AC100" s="849"/>
      <c r="AD100" s="849"/>
      <c r="AE100" s="849"/>
      <c r="AF100" s="849"/>
      <c r="AG100" s="849"/>
      <c r="AH100" s="849"/>
      <c r="AI100" s="849"/>
      <c r="AJ100" s="849"/>
      <c r="AK100" s="849"/>
      <c r="AL100" s="849"/>
      <c r="AM100" s="849"/>
      <c r="AN100" s="849"/>
      <c r="AO100" s="849"/>
      <c r="AP100" s="849"/>
      <c r="AQ100" s="849"/>
      <c r="AR100" s="849"/>
      <c r="AS100" s="849"/>
      <c r="AT100" s="849"/>
      <c r="AU100" s="849"/>
      <c r="AV100" s="849"/>
      <c r="AW100" s="849"/>
      <c r="AX100" s="849"/>
      <c r="AY100" s="849"/>
      <c r="AZ100" s="849"/>
      <c r="BA100" s="849"/>
      <c r="BB100" s="849"/>
      <c r="BC100" s="849"/>
      <c r="BD100" s="849"/>
      <c r="BE100" s="849"/>
      <c r="BF100" s="849"/>
      <c r="BG100" s="849"/>
      <c r="BH100" s="849"/>
      <c r="BI100" s="849"/>
      <c r="BJ100" s="849"/>
      <c r="BK100" s="849"/>
      <c r="BL100" s="849"/>
      <c r="BM100" s="849"/>
      <c r="BN100" s="849"/>
      <c r="BO100" s="849"/>
      <c r="BP100" s="849"/>
      <c r="BQ100" s="849"/>
      <c r="BR100" s="849"/>
      <c r="BS100" s="849"/>
      <c r="BT100" s="849"/>
      <c r="BU100" s="849"/>
      <c r="BV100" s="849"/>
      <c r="BW100" s="849"/>
      <c r="BX100" s="849"/>
      <c r="BY100" s="849"/>
      <c r="BZ100" s="849"/>
      <c r="CA100" s="849"/>
      <c r="CB100" s="849"/>
      <c r="CC100" s="849"/>
      <c r="CD100" s="849"/>
      <c r="CE100" s="849"/>
      <c r="CF100" s="849"/>
      <c r="CG100" s="849"/>
      <c r="CH100" s="849"/>
      <c r="CI100" s="849"/>
      <c r="CJ100" s="849"/>
      <c r="CK100" s="849"/>
      <c r="CL100" s="849"/>
      <c r="CM100" s="849"/>
      <c r="CN100" s="849"/>
      <c r="CO100" s="849"/>
      <c r="CP100" s="849"/>
      <c r="CQ100" s="849"/>
      <c r="CR100" s="849"/>
      <c r="CS100" s="849"/>
      <c r="CT100" s="849"/>
      <c r="CU100" s="849"/>
      <c r="CV100" s="849"/>
      <c r="CW100" s="849"/>
      <c r="CX100" s="849"/>
      <c r="CY100" s="849"/>
      <c r="CZ100" s="849"/>
      <c r="DA100" s="849"/>
      <c r="DB100" s="849"/>
      <c r="DC100" s="849"/>
      <c r="DD100" s="849"/>
      <c r="DE100" s="849"/>
      <c r="DF100" s="849"/>
      <c r="DG100" s="849"/>
      <c r="DH100" s="849"/>
      <c r="DI100" s="849"/>
      <c r="DJ100" s="849"/>
      <c r="DK100" s="849"/>
      <c r="DL100" s="849"/>
      <c r="DM100" s="849"/>
      <c r="DN100" s="849"/>
      <c r="DO100" s="849"/>
      <c r="DP100" s="849"/>
      <c r="DQ100" s="849"/>
      <c r="DR100" s="849"/>
      <c r="DS100" s="849"/>
      <c r="DT100" s="849"/>
      <c r="DU100" s="849"/>
      <c r="DV100" s="849"/>
      <c r="DW100" s="849"/>
      <c r="DX100" s="849"/>
      <c r="DY100" s="849"/>
      <c r="DZ100" s="849"/>
      <c r="EA100" s="849"/>
      <c r="EB100" s="849"/>
      <c r="EC100" s="849"/>
      <c r="ED100" s="849"/>
      <c r="EE100" s="849"/>
      <c r="EF100" s="849"/>
      <c r="EG100" s="849"/>
      <c r="EH100" s="849"/>
      <c r="EI100" s="849"/>
      <c r="EJ100" s="849"/>
      <c r="EK100" s="849"/>
      <c r="EL100" s="849"/>
      <c r="EM100" s="849"/>
      <c r="EN100" s="849"/>
      <c r="EO100" s="849"/>
      <c r="EP100" s="849"/>
      <c r="EQ100" s="849"/>
      <c r="ER100" s="849"/>
      <c r="ES100" s="849"/>
      <c r="ET100" s="849"/>
      <c r="EU100" s="849"/>
      <c r="EV100" s="849"/>
      <c r="EW100" s="849"/>
      <c r="EX100" s="849"/>
      <c r="EY100" s="927">
        <f t="shared" si="48"/>
        <v>0</v>
      </c>
      <c r="EZ100" s="423"/>
      <c r="FA100" s="423"/>
      <c r="FB100" s="423"/>
      <c r="FC100" s="423"/>
      <c r="FD100" s="423"/>
      <c r="FE100" s="423"/>
      <c r="FF100" s="423"/>
      <c r="FG100" s="423"/>
      <c r="FH100" s="423"/>
      <c r="FI100" s="423"/>
      <c r="FJ100" s="423"/>
      <c r="FK100" s="423"/>
      <c r="FL100" s="423"/>
    </row>
    <row r="101" spans="1:168" hidden="1" x14ac:dyDescent="0.25">
      <c r="A101" s="1461"/>
      <c r="B101" s="115"/>
      <c r="C101" s="426"/>
      <c r="D101" s="420"/>
      <c r="E101" s="420"/>
      <c r="F101" s="420"/>
      <c r="G101" s="419"/>
      <c r="H101" s="426"/>
      <c r="I101" s="420"/>
      <c r="J101" s="849"/>
      <c r="K101" s="849"/>
      <c r="L101" s="849"/>
      <c r="M101" s="849"/>
      <c r="N101" s="849"/>
      <c r="O101" s="849"/>
      <c r="P101" s="849"/>
      <c r="Q101" s="849"/>
      <c r="R101" s="849"/>
      <c r="S101" s="849"/>
      <c r="T101" s="849"/>
      <c r="U101" s="849"/>
      <c r="V101" s="849"/>
      <c r="W101" s="849"/>
      <c r="X101" s="849"/>
      <c r="Y101" s="849"/>
      <c r="Z101" s="849"/>
      <c r="AA101" s="849"/>
      <c r="AB101" s="849"/>
      <c r="AC101" s="849"/>
      <c r="AD101" s="849"/>
      <c r="AE101" s="849"/>
      <c r="AF101" s="849"/>
      <c r="AG101" s="849"/>
      <c r="AH101" s="849"/>
      <c r="AI101" s="849"/>
      <c r="AJ101" s="849"/>
      <c r="AK101" s="849"/>
      <c r="AL101" s="849"/>
      <c r="AM101" s="849"/>
      <c r="AN101" s="849"/>
      <c r="AO101" s="849"/>
      <c r="AP101" s="849"/>
      <c r="AQ101" s="849"/>
      <c r="AR101" s="849"/>
      <c r="AS101" s="849"/>
      <c r="AT101" s="849"/>
      <c r="AU101" s="849"/>
      <c r="AV101" s="849"/>
      <c r="AW101" s="849"/>
      <c r="AX101" s="849"/>
      <c r="AY101" s="849"/>
      <c r="AZ101" s="849"/>
      <c r="BA101" s="849"/>
      <c r="BB101" s="849"/>
      <c r="BC101" s="849"/>
      <c r="BD101" s="849"/>
      <c r="BE101" s="849"/>
      <c r="BF101" s="849"/>
      <c r="BG101" s="849"/>
      <c r="BH101" s="849"/>
      <c r="BI101" s="849"/>
      <c r="BJ101" s="849"/>
      <c r="BK101" s="849"/>
      <c r="BL101" s="849"/>
      <c r="BM101" s="849"/>
      <c r="BN101" s="849"/>
      <c r="BO101" s="849"/>
      <c r="BP101" s="849"/>
      <c r="BQ101" s="849"/>
      <c r="BR101" s="849"/>
      <c r="BS101" s="849"/>
      <c r="BT101" s="849"/>
      <c r="BU101" s="849"/>
      <c r="BV101" s="849"/>
      <c r="BW101" s="849"/>
      <c r="BX101" s="849"/>
      <c r="BY101" s="849"/>
      <c r="BZ101" s="849"/>
      <c r="CA101" s="849"/>
      <c r="CB101" s="849"/>
      <c r="CC101" s="849"/>
      <c r="CD101" s="849"/>
      <c r="CE101" s="849"/>
      <c r="CF101" s="849"/>
      <c r="CG101" s="849"/>
      <c r="CH101" s="849"/>
      <c r="CI101" s="849"/>
      <c r="CJ101" s="849"/>
      <c r="CK101" s="849"/>
      <c r="CL101" s="849"/>
      <c r="CM101" s="849"/>
      <c r="CN101" s="849"/>
      <c r="CO101" s="849"/>
      <c r="CP101" s="849"/>
      <c r="CQ101" s="849"/>
      <c r="CR101" s="849"/>
      <c r="CS101" s="849"/>
      <c r="CT101" s="849"/>
      <c r="CU101" s="849"/>
      <c r="CV101" s="849"/>
      <c r="CW101" s="849"/>
      <c r="CX101" s="849"/>
      <c r="CY101" s="849"/>
      <c r="CZ101" s="849"/>
      <c r="DA101" s="849"/>
      <c r="DB101" s="849"/>
      <c r="DC101" s="849"/>
      <c r="DD101" s="849"/>
      <c r="DE101" s="849"/>
      <c r="DF101" s="849"/>
      <c r="DG101" s="849"/>
      <c r="DH101" s="849"/>
      <c r="DI101" s="849"/>
      <c r="DJ101" s="849"/>
      <c r="DK101" s="849"/>
      <c r="DL101" s="849"/>
      <c r="DM101" s="849"/>
      <c r="DN101" s="849"/>
      <c r="DO101" s="849"/>
      <c r="DP101" s="849"/>
      <c r="DQ101" s="849"/>
      <c r="DR101" s="849"/>
      <c r="DS101" s="849"/>
      <c r="DT101" s="849"/>
      <c r="DU101" s="849"/>
      <c r="DV101" s="849"/>
      <c r="DW101" s="849"/>
      <c r="DX101" s="849"/>
      <c r="DY101" s="849"/>
      <c r="DZ101" s="849"/>
      <c r="EA101" s="849"/>
      <c r="EB101" s="849"/>
      <c r="EC101" s="849"/>
      <c r="ED101" s="849"/>
      <c r="EE101" s="849"/>
      <c r="EF101" s="849"/>
      <c r="EG101" s="849"/>
      <c r="EH101" s="849"/>
      <c r="EI101" s="849"/>
      <c r="EJ101" s="849"/>
      <c r="EK101" s="849"/>
      <c r="EL101" s="849"/>
      <c r="EM101" s="849"/>
      <c r="EN101" s="849"/>
      <c r="EO101" s="849"/>
      <c r="EP101" s="849"/>
      <c r="EQ101" s="849"/>
      <c r="ER101" s="849"/>
      <c r="ES101" s="849"/>
      <c r="ET101" s="849"/>
      <c r="EU101" s="849"/>
      <c r="EV101" s="849"/>
      <c r="EW101" s="849"/>
      <c r="EX101" s="849"/>
      <c r="EY101" s="927">
        <f t="shared" si="48"/>
        <v>0</v>
      </c>
      <c r="EZ101" s="423"/>
      <c r="FA101" s="423"/>
      <c r="FB101" s="423"/>
      <c r="FC101" s="423"/>
      <c r="FD101" s="423"/>
      <c r="FE101" s="423"/>
      <c r="FF101" s="423"/>
      <c r="FG101" s="423"/>
      <c r="FH101" s="423"/>
      <c r="FI101" s="423"/>
      <c r="FJ101" s="423"/>
      <c r="FK101" s="423"/>
      <c r="FL101" s="423"/>
    </row>
    <row r="102" spans="1:168" hidden="1" x14ac:dyDescent="0.25">
      <c r="A102" s="120"/>
      <c r="B102" s="118" t="s">
        <v>801</v>
      </c>
      <c r="C102" s="840">
        <f>SUM(C97:C101)</f>
        <v>0</v>
      </c>
      <c r="D102" s="842">
        <f>SUM(D97:D101)</f>
        <v>0</v>
      </c>
      <c r="E102" s="842">
        <f t="shared" ref="E102:BC102" si="54">SUM(E97:E101)</f>
        <v>0</v>
      </c>
      <c r="F102" s="842">
        <f t="shared" si="54"/>
        <v>0</v>
      </c>
      <c r="G102" s="422">
        <f t="shared" si="54"/>
        <v>0</v>
      </c>
      <c r="H102" s="840"/>
      <c r="I102" s="842">
        <f t="shared" ref="I102" si="55">SUM(I97:I101)</f>
        <v>0</v>
      </c>
      <c r="J102" s="847">
        <f t="shared" si="54"/>
        <v>0</v>
      </c>
      <c r="K102" s="847">
        <f t="shared" si="54"/>
        <v>0</v>
      </c>
      <c r="L102" s="847">
        <f t="shared" si="54"/>
        <v>0</v>
      </c>
      <c r="M102" s="847">
        <f t="shared" si="54"/>
        <v>0</v>
      </c>
      <c r="N102" s="847">
        <f t="shared" si="54"/>
        <v>0</v>
      </c>
      <c r="O102" s="847">
        <f t="shared" si="54"/>
        <v>0</v>
      </c>
      <c r="P102" s="847">
        <f t="shared" si="54"/>
        <v>0</v>
      </c>
      <c r="Q102" s="847">
        <f t="shared" si="54"/>
        <v>0</v>
      </c>
      <c r="R102" s="847">
        <f t="shared" si="54"/>
        <v>0</v>
      </c>
      <c r="S102" s="847">
        <f t="shared" si="54"/>
        <v>0</v>
      </c>
      <c r="T102" s="847">
        <f t="shared" si="54"/>
        <v>0</v>
      </c>
      <c r="U102" s="847">
        <f t="shared" si="54"/>
        <v>0</v>
      </c>
      <c r="V102" s="847">
        <f t="shared" si="54"/>
        <v>0</v>
      </c>
      <c r="W102" s="847">
        <f t="shared" si="54"/>
        <v>0</v>
      </c>
      <c r="X102" s="847">
        <f t="shared" si="54"/>
        <v>0</v>
      </c>
      <c r="Y102" s="847">
        <f t="shared" si="54"/>
        <v>0</v>
      </c>
      <c r="Z102" s="847">
        <f t="shared" si="54"/>
        <v>0</v>
      </c>
      <c r="AA102" s="847">
        <f t="shared" si="54"/>
        <v>0</v>
      </c>
      <c r="AB102" s="847">
        <f t="shared" si="54"/>
        <v>0</v>
      </c>
      <c r="AC102" s="847">
        <f t="shared" si="54"/>
        <v>0</v>
      </c>
      <c r="AD102" s="847">
        <f t="shared" si="54"/>
        <v>0</v>
      </c>
      <c r="AE102" s="847">
        <f t="shared" si="54"/>
        <v>0</v>
      </c>
      <c r="AF102" s="847">
        <f t="shared" si="54"/>
        <v>0</v>
      </c>
      <c r="AG102" s="847">
        <f t="shared" si="54"/>
        <v>0</v>
      </c>
      <c r="AH102" s="847">
        <f t="shared" si="54"/>
        <v>0</v>
      </c>
      <c r="AI102" s="847">
        <f t="shared" si="54"/>
        <v>0</v>
      </c>
      <c r="AJ102" s="847">
        <f t="shared" si="54"/>
        <v>0</v>
      </c>
      <c r="AK102" s="847">
        <f t="shared" si="54"/>
        <v>0</v>
      </c>
      <c r="AL102" s="847">
        <f t="shared" si="54"/>
        <v>0</v>
      </c>
      <c r="AM102" s="847">
        <f t="shared" si="54"/>
        <v>0</v>
      </c>
      <c r="AN102" s="847">
        <f t="shared" si="54"/>
        <v>0</v>
      </c>
      <c r="AO102" s="847">
        <f t="shared" si="54"/>
        <v>0</v>
      </c>
      <c r="AP102" s="847">
        <f t="shared" si="54"/>
        <v>0</v>
      </c>
      <c r="AQ102" s="847">
        <f t="shared" si="54"/>
        <v>0</v>
      </c>
      <c r="AR102" s="847">
        <f t="shared" si="54"/>
        <v>0</v>
      </c>
      <c r="AS102" s="847">
        <f t="shared" si="54"/>
        <v>0</v>
      </c>
      <c r="AT102" s="847">
        <f t="shared" si="54"/>
        <v>0</v>
      </c>
      <c r="AU102" s="847">
        <f t="shared" si="54"/>
        <v>0</v>
      </c>
      <c r="AV102" s="847">
        <f t="shared" si="54"/>
        <v>0</v>
      </c>
      <c r="AW102" s="847">
        <f t="shared" si="54"/>
        <v>0</v>
      </c>
      <c r="AX102" s="847">
        <f t="shared" si="54"/>
        <v>0</v>
      </c>
      <c r="AY102" s="847">
        <f t="shared" si="54"/>
        <v>0</v>
      </c>
      <c r="AZ102" s="847">
        <f t="shared" si="54"/>
        <v>0</v>
      </c>
      <c r="BA102" s="847">
        <f t="shared" si="54"/>
        <v>0</v>
      </c>
      <c r="BB102" s="847">
        <f t="shared" si="54"/>
        <v>0</v>
      </c>
      <c r="BC102" s="847">
        <f t="shared" si="54"/>
        <v>0</v>
      </c>
      <c r="BD102" s="847">
        <f t="shared" ref="BD102:DO102" si="56">SUM(BD97:BD101)</f>
        <v>0</v>
      </c>
      <c r="BE102" s="847">
        <f t="shared" si="56"/>
        <v>0</v>
      </c>
      <c r="BF102" s="847">
        <f t="shared" si="56"/>
        <v>0</v>
      </c>
      <c r="BG102" s="847">
        <f t="shared" si="56"/>
        <v>0</v>
      </c>
      <c r="BH102" s="847">
        <f t="shared" si="56"/>
        <v>0</v>
      </c>
      <c r="BI102" s="847">
        <f t="shared" si="56"/>
        <v>0</v>
      </c>
      <c r="BJ102" s="847">
        <f t="shared" si="56"/>
        <v>0</v>
      </c>
      <c r="BK102" s="847">
        <f t="shared" si="56"/>
        <v>0</v>
      </c>
      <c r="BL102" s="847">
        <f t="shared" si="56"/>
        <v>0</v>
      </c>
      <c r="BM102" s="847">
        <f t="shared" si="56"/>
        <v>0</v>
      </c>
      <c r="BN102" s="847">
        <f t="shared" si="56"/>
        <v>0</v>
      </c>
      <c r="BO102" s="847">
        <f t="shared" si="56"/>
        <v>0</v>
      </c>
      <c r="BP102" s="847">
        <f t="shared" si="56"/>
        <v>0</v>
      </c>
      <c r="BQ102" s="847">
        <f t="shared" si="56"/>
        <v>0</v>
      </c>
      <c r="BR102" s="847">
        <f t="shared" si="56"/>
        <v>0</v>
      </c>
      <c r="BS102" s="847">
        <f t="shared" si="56"/>
        <v>0</v>
      </c>
      <c r="BT102" s="847">
        <f t="shared" si="56"/>
        <v>0</v>
      </c>
      <c r="BU102" s="847">
        <f t="shared" si="56"/>
        <v>0</v>
      </c>
      <c r="BV102" s="847">
        <f t="shared" si="56"/>
        <v>0</v>
      </c>
      <c r="BW102" s="847">
        <f t="shared" si="56"/>
        <v>0</v>
      </c>
      <c r="BX102" s="847">
        <f t="shared" si="56"/>
        <v>0</v>
      </c>
      <c r="BY102" s="847">
        <f t="shared" si="56"/>
        <v>0</v>
      </c>
      <c r="BZ102" s="847">
        <f t="shared" si="56"/>
        <v>0</v>
      </c>
      <c r="CA102" s="847">
        <f t="shared" si="56"/>
        <v>0</v>
      </c>
      <c r="CB102" s="847">
        <f t="shared" si="56"/>
        <v>0</v>
      </c>
      <c r="CC102" s="847">
        <f t="shared" si="56"/>
        <v>0</v>
      </c>
      <c r="CD102" s="847">
        <f t="shared" si="56"/>
        <v>0</v>
      </c>
      <c r="CE102" s="847">
        <f t="shared" si="56"/>
        <v>0</v>
      </c>
      <c r="CF102" s="847">
        <f t="shared" si="56"/>
        <v>0</v>
      </c>
      <c r="CG102" s="847">
        <f t="shared" si="56"/>
        <v>0</v>
      </c>
      <c r="CH102" s="847">
        <f t="shared" si="56"/>
        <v>0</v>
      </c>
      <c r="CI102" s="847">
        <f t="shared" si="56"/>
        <v>0</v>
      </c>
      <c r="CJ102" s="847">
        <f t="shared" si="56"/>
        <v>0</v>
      </c>
      <c r="CK102" s="847">
        <f t="shared" si="56"/>
        <v>0</v>
      </c>
      <c r="CL102" s="847">
        <f t="shared" si="56"/>
        <v>0</v>
      </c>
      <c r="CM102" s="847">
        <f t="shared" si="56"/>
        <v>0</v>
      </c>
      <c r="CN102" s="847">
        <f t="shared" si="56"/>
        <v>0</v>
      </c>
      <c r="CO102" s="847">
        <f t="shared" si="56"/>
        <v>0</v>
      </c>
      <c r="CP102" s="847">
        <f t="shared" si="56"/>
        <v>0</v>
      </c>
      <c r="CQ102" s="847">
        <f t="shared" si="56"/>
        <v>0</v>
      </c>
      <c r="CR102" s="847">
        <f t="shared" si="56"/>
        <v>0</v>
      </c>
      <c r="CS102" s="847">
        <f t="shared" si="56"/>
        <v>0</v>
      </c>
      <c r="CT102" s="847">
        <f t="shared" si="56"/>
        <v>0</v>
      </c>
      <c r="CU102" s="847">
        <f t="shared" si="56"/>
        <v>0</v>
      </c>
      <c r="CV102" s="847">
        <f t="shared" si="56"/>
        <v>0</v>
      </c>
      <c r="CW102" s="847">
        <f t="shared" si="56"/>
        <v>0</v>
      </c>
      <c r="CX102" s="847">
        <f t="shared" si="56"/>
        <v>0</v>
      </c>
      <c r="CY102" s="847">
        <f t="shared" si="56"/>
        <v>0</v>
      </c>
      <c r="CZ102" s="847">
        <f t="shared" si="56"/>
        <v>0</v>
      </c>
      <c r="DA102" s="847">
        <f t="shared" si="56"/>
        <v>0</v>
      </c>
      <c r="DB102" s="847">
        <f t="shared" si="56"/>
        <v>0</v>
      </c>
      <c r="DC102" s="847">
        <f t="shared" si="56"/>
        <v>0</v>
      </c>
      <c r="DD102" s="847">
        <f t="shared" si="56"/>
        <v>0</v>
      </c>
      <c r="DE102" s="847">
        <f t="shared" si="56"/>
        <v>0</v>
      </c>
      <c r="DF102" s="847">
        <f t="shared" si="56"/>
        <v>0</v>
      </c>
      <c r="DG102" s="847">
        <f t="shared" si="56"/>
        <v>0</v>
      </c>
      <c r="DH102" s="847">
        <f t="shared" si="56"/>
        <v>0</v>
      </c>
      <c r="DI102" s="847">
        <f t="shared" si="56"/>
        <v>0</v>
      </c>
      <c r="DJ102" s="847">
        <f t="shared" si="56"/>
        <v>0</v>
      </c>
      <c r="DK102" s="847">
        <f t="shared" si="56"/>
        <v>0</v>
      </c>
      <c r="DL102" s="847">
        <f t="shared" si="56"/>
        <v>0</v>
      </c>
      <c r="DM102" s="847">
        <f t="shared" si="56"/>
        <v>0</v>
      </c>
      <c r="DN102" s="847">
        <f t="shared" si="56"/>
        <v>0</v>
      </c>
      <c r="DO102" s="847">
        <f t="shared" si="56"/>
        <v>0</v>
      </c>
      <c r="DP102" s="847">
        <f t="shared" ref="DP102:EX102" si="57">SUM(DP97:DP101)</f>
        <v>0</v>
      </c>
      <c r="DQ102" s="847">
        <f t="shared" si="57"/>
        <v>0</v>
      </c>
      <c r="DR102" s="847">
        <f t="shared" si="57"/>
        <v>0</v>
      </c>
      <c r="DS102" s="847">
        <f t="shared" si="57"/>
        <v>0</v>
      </c>
      <c r="DT102" s="847">
        <f t="shared" si="57"/>
        <v>0</v>
      </c>
      <c r="DU102" s="847">
        <f t="shared" si="57"/>
        <v>0</v>
      </c>
      <c r="DV102" s="847">
        <f t="shared" si="57"/>
        <v>0</v>
      </c>
      <c r="DW102" s="847">
        <f t="shared" si="57"/>
        <v>0</v>
      </c>
      <c r="DX102" s="847">
        <f t="shared" si="57"/>
        <v>0</v>
      </c>
      <c r="DY102" s="847">
        <f t="shared" si="57"/>
        <v>0</v>
      </c>
      <c r="DZ102" s="847">
        <f t="shared" si="57"/>
        <v>0</v>
      </c>
      <c r="EA102" s="847">
        <f t="shared" si="57"/>
        <v>0</v>
      </c>
      <c r="EB102" s="847">
        <f t="shared" si="57"/>
        <v>0</v>
      </c>
      <c r="EC102" s="847">
        <f t="shared" si="57"/>
        <v>0</v>
      </c>
      <c r="ED102" s="847">
        <f t="shared" si="57"/>
        <v>0</v>
      </c>
      <c r="EE102" s="847">
        <f t="shared" si="57"/>
        <v>0</v>
      </c>
      <c r="EF102" s="847">
        <f t="shared" si="57"/>
        <v>0</v>
      </c>
      <c r="EG102" s="847">
        <f t="shared" si="57"/>
        <v>0</v>
      </c>
      <c r="EH102" s="847">
        <f t="shared" si="57"/>
        <v>0</v>
      </c>
      <c r="EI102" s="847">
        <f t="shared" si="57"/>
        <v>0</v>
      </c>
      <c r="EJ102" s="847">
        <f t="shared" si="57"/>
        <v>0</v>
      </c>
      <c r="EK102" s="847">
        <f t="shared" si="57"/>
        <v>0</v>
      </c>
      <c r="EL102" s="847">
        <f t="shared" si="57"/>
        <v>0</v>
      </c>
      <c r="EM102" s="847">
        <f t="shared" si="57"/>
        <v>0</v>
      </c>
      <c r="EN102" s="847">
        <f t="shared" si="57"/>
        <v>0</v>
      </c>
      <c r="EO102" s="847">
        <f t="shared" si="57"/>
        <v>0</v>
      </c>
      <c r="EP102" s="847">
        <f t="shared" si="57"/>
        <v>0</v>
      </c>
      <c r="EQ102" s="847">
        <f t="shared" si="57"/>
        <v>0</v>
      </c>
      <c r="ER102" s="847">
        <f t="shared" si="57"/>
        <v>0</v>
      </c>
      <c r="ES102" s="847">
        <f t="shared" si="57"/>
        <v>0</v>
      </c>
      <c r="ET102" s="847">
        <f t="shared" si="57"/>
        <v>0</v>
      </c>
      <c r="EU102" s="847">
        <f t="shared" si="57"/>
        <v>0</v>
      </c>
      <c r="EV102" s="847">
        <f t="shared" si="57"/>
        <v>0</v>
      </c>
      <c r="EW102" s="847">
        <f t="shared" si="57"/>
        <v>0</v>
      </c>
      <c r="EX102" s="847">
        <f t="shared" si="57"/>
        <v>0</v>
      </c>
      <c r="EY102" s="863">
        <f t="shared" ref="EY102:FL102" si="58">SUM(EY97:EY101)</f>
        <v>0</v>
      </c>
      <c r="EZ102" s="534">
        <f t="shared" si="58"/>
        <v>0</v>
      </c>
      <c r="FA102" s="534">
        <f t="shared" si="58"/>
        <v>0</v>
      </c>
      <c r="FB102" s="534">
        <f t="shared" si="58"/>
        <v>0</v>
      </c>
      <c r="FC102" s="534">
        <f t="shared" si="58"/>
        <v>0</v>
      </c>
      <c r="FD102" s="534">
        <f t="shared" si="58"/>
        <v>0</v>
      </c>
      <c r="FE102" s="534">
        <f t="shared" si="58"/>
        <v>0</v>
      </c>
      <c r="FF102" s="534">
        <f t="shared" si="58"/>
        <v>0</v>
      </c>
      <c r="FG102" s="534">
        <f t="shared" si="58"/>
        <v>0</v>
      </c>
      <c r="FH102" s="534">
        <f t="shared" si="58"/>
        <v>0</v>
      </c>
      <c r="FI102" s="534">
        <f t="shared" si="58"/>
        <v>0</v>
      </c>
      <c r="FJ102" s="534">
        <f t="shared" si="58"/>
        <v>0</v>
      </c>
      <c r="FK102" s="534">
        <f t="shared" si="58"/>
        <v>0</v>
      </c>
      <c r="FL102" s="534">
        <f t="shared" si="58"/>
        <v>0</v>
      </c>
    </row>
    <row r="103" spans="1:168" x14ac:dyDescent="0.25">
      <c r="A103" s="411"/>
      <c r="B103" s="461" t="s">
        <v>1211</v>
      </c>
      <c r="C103" s="841">
        <f>C86+C96+C102</f>
        <v>2095</v>
      </c>
      <c r="D103" s="843">
        <f>D86+D96+D102</f>
        <v>35.82</v>
      </c>
      <c r="E103" s="843">
        <f t="shared" ref="E103:BC103" si="59">E86+E96+E102</f>
        <v>42.02</v>
      </c>
      <c r="F103" s="843">
        <f t="shared" si="59"/>
        <v>178.53</v>
      </c>
      <c r="G103" s="392">
        <f t="shared" si="59"/>
        <v>1261</v>
      </c>
      <c r="H103" s="841"/>
      <c r="I103" s="843">
        <f t="shared" ref="I103" si="60">I86+I96+I102</f>
        <v>165.42</v>
      </c>
      <c r="J103" s="848">
        <f t="shared" si="59"/>
        <v>0.104</v>
      </c>
      <c r="K103" s="848">
        <f t="shared" si="59"/>
        <v>0</v>
      </c>
      <c r="L103" s="848">
        <f t="shared" si="59"/>
        <v>0</v>
      </c>
      <c r="M103" s="848">
        <f t="shared" si="59"/>
        <v>0</v>
      </c>
      <c r="N103" s="848">
        <f t="shared" si="59"/>
        <v>0</v>
      </c>
      <c r="O103" s="848">
        <f t="shared" si="59"/>
        <v>0</v>
      </c>
      <c r="P103" s="848">
        <f t="shared" si="59"/>
        <v>0</v>
      </c>
      <c r="Q103" s="848">
        <f t="shared" si="59"/>
        <v>0</v>
      </c>
      <c r="R103" s="848">
        <f t="shared" si="59"/>
        <v>0</v>
      </c>
      <c r="S103" s="848">
        <f t="shared" si="59"/>
        <v>0</v>
      </c>
      <c r="T103" s="848">
        <f t="shared" si="59"/>
        <v>0</v>
      </c>
      <c r="U103" s="848">
        <f t="shared" si="59"/>
        <v>0.125</v>
      </c>
      <c r="V103" s="848">
        <f t="shared" si="59"/>
        <v>1.7250000000000001E-2</v>
      </c>
      <c r="W103" s="848">
        <f t="shared" si="59"/>
        <v>1.6E-2</v>
      </c>
      <c r="X103" s="848">
        <f t="shared" si="59"/>
        <v>0</v>
      </c>
      <c r="Y103" s="848">
        <f t="shared" si="59"/>
        <v>1.7500000000000002E-2</v>
      </c>
      <c r="Z103" s="848">
        <f t="shared" si="59"/>
        <v>0</v>
      </c>
      <c r="AA103" s="848">
        <f t="shared" si="59"/>
        <v>0</v>
      </c>
      <c r="AB103" s="848">
        <f t="shared" si="59"/>
        <v>0</v>
      </c>
      <c r="AC103" s="848">
        <f t="shared" si="59"/>
        <v>0</v>
      </c>
      <c r="AD103" s="848">
        <f t="shared" si="59"/>
        <v>0</v>
      </c>
      <c r="AE103" s="848">
        <f t="shared" si="59"/>
        <v>0</v>
      </c>
      <c r="AF103" s="848">
        <f t="shared" si="59"/>
        <v>0</v>
      </c>
      <c r="AG103" s="848">
        <f t="shared" si="59"/>
        <v>0</v>
      </c>
      <c r="AH103" s="848">
        <f t="shared" si="59"/>
        <v>0.23319999999999999</v>
      </c>
      <c r="AI103" s="848">
        <f t="shared" si="59"/>
        <v>0</v>
      </c>
      <c r="AJ103" s="848">
        <f t="shared" si="59"/>
        <v>0</v>
      </c>
      <c r="AK103" s="848">
        <f t="shared" si="59"/>
        <v>5.3999999999999999E-2</v>
      </c>
      <c r="AL103" s="848">
        <f t="shared" si="59"/>
        <v>0</v>
      </c>
      <c r="AM103" s="848">
        <f t="shared" si="59"/>
        <v>1E-3</v>
      </c>
      <c r="AN103" s="848">
        <f t="shared" si="59"/>
        <v>3.5499999999999997E-2</v>
      </c>
      <c r="AO103" s="848">
        <f t="shared" si="59"/>
        <v>3.1600000000000003E-2</v>
      </c>
      <c r="AP103" s="848">
        <f t="shared" si="59"/>
        <v>0</v>
      </c>
      <c r="AQ103" s="848">
        <f t="shared" si="59"/>
        <v>1.2500000000000001E-2</v>
      </c>
      <c r="AR103" s="848">
        <f t="shared" si="59"/>
        <v>0</v>
      </c>
      <c r="AS103" s="848">
        <f t="shared" si="59"/>
        <v>0</v>
      </c>
      <c r="AT103" s="848">
        <f t="shared" si="59"/>
        <v>3.2499999999999999E-3</v>
      </c>
      <c r="AU103" s="848">
        <f t="shared" si="59"/>
        <v>6.0000000000000001E-3</v>
      </c>
      <c r="AV103" s="848">
        <f t="shared" si="59"/>
        <v>0</v>
      </c>
      <c r="AW103" s="848">
        <f t="shared" si="59"/>
        <v>0</v>
      </c>
      <c r="AX103" s="848">
        <f t="shared" si="59"/>
        <v>0.05</v>
      </c>
      <c r="AY103" s="848">
        <f t="shared" si="59"/>
        <v>0</v>
      </c>
      <c r="AZ103" s="848">
        <f t="shared" si="59"/>
        <v>0</v>
      </c>
      <c r="BA103" s="848">
        <f t="shared" si="59"/>
        <v>0</v>
      </c>
      <c r="BB103" s="848">
        <f t="shared" si="59"/>
        <v>0</v>
      </c>
      <c r="BC103" s="848">
        <f t="shared" si="59"/>
        <v>0</v>
      </c>
      <c r="BD103" s="848">
        <f t="shared" ref="BD103:DO103" si="61">BD86+BD96+BD102</f>
        <v>0</v>
      </c>
      <c r="BE103" s="848">
        <f t="shared" si="61"/>
        <v>0</v>
      </c>
      <c r="BF103" s="848">
        <f t="shared" si="61"/>
        <v>0</v>
      </c>
      <c r="BG103" s="848">
        <f t="shared" si="61"/>
        <v>0</v>
      </c>
      <c r="BH103" s="848">
        <f t="shared" si="61"/>
        <v>0</v>
      </c>
      <c r="BI103" s="848">
        <f t="shared" si="61"/>
        <v>0</v>
      </c>
      <c r="BJ103" s="848">
        <f t="shared" si="61"/>
        <v>0</v>
      </c>
      <c r="BK103" s="848">
        <f t="shared" si="61"/>
        <v>0</v>
      </c>
      <c r="BL103" s="848">
        <f t="shared" si="61"/>
        <v>0</v>
      </c>
      <c r="BM103" s="848">
        <f t="shared" si="61"/>
        <v>0</v>
      </c>
      <c r="BN103" s="848">
        <f t="shared" si="61"/>
        <v>0</v>
      </c>
      <c r="BO103" s="848">
        <f t="shared" si="61"/>
        <v>0</v>
      </c>
      <c r="BP103" s="848">
        <f t="shared" si="61"/>
        <v>0</v>
      </c>
      <c r="BQ103" s="848">
        <f t="shared" si="61"/>
        <v>0</v>
      </c>
      <c r="BR103" s="848">
        <f t="shared" si="61"/>
        <v>0.24540000000000001</v>
      </c>
      <c r="BS103" s="848">
        <f t="shared" si="61"/>
        <v>1.4250000000000001E-2</v>
      </c>
      <c r="BT103" s="848">
        <f t="shared" si="61"/>
        <v>0</v>
      </c>
      <c r="BU103" s="848">
        <f t="shared" si="61"/>
        <v>0</v>
      </c>
      <c r="BV103" s="848">
        <f t="shared" si="61"/>
        <v>0</v>
      </c>
      <c r="BW103" s="848">
        <f t="shared" si="61"/>
        <v>0</v>
      </c>
      <c r="BX103" s="848">
        <f t="shared" si="61"/>
        <v>0</v>
      </c>
      <c r="BY103" s="848">
        <f t="shared" si="61"/>
        <v>0</v>
      </c>
      <c r="BZ103" s="848">
        <f t="shared" si="61"/>
        <v>0</v>
      </c>
      <c r="CA103" s="848">
        <f t="shared" si="61"/>
        <v>0</v>
      </c>
      <c r="CB103" s="848">
        <f t="shared" si="61"/>
        <v>0.01</v>
      </c>
      <c r="CC103" s="848">
        <f t="shared" si="61"/>
        <v>0</v>
      </c>
      <c r="CD103" s="848">
        <f t="shared" si="61"/>
        <v>0</v>
      </c>
      <c r="CE103" s="848">
        <f t="shared" si="61"/>
        <v>0</v>
      </c>
      <c r="CF103" s="848">
        <f t="shared" si="61"/>
        <v>1.7000000000000001E-2</v>
      </c>
      <c r="CG103" s="848">
        <f t="shared" si="61"/>
        <v>0.02</v>
      </c>
      <c r="CH103" s="848">
        <f t="shared" si="61"/>
        <v>0</v>
      </c>
      <c r="CI103" s="848">
        <f t="shared" si="61"/>
        <v>0</v>
      </c>
      <c r="CJ103" s="848">
        <f t="shared" si="61"/>
        <v>0</v>
      </c>
      <c r="CK103" s="848">
        <f t="shared" si="61"/>
        <v>0</v>
      </c>
      <c r="CL103" s="848">
        <f t="shared" si="61"/>
        <v>0</v>
      </c>
      <c r="CM103" s="848">
        <f t="shared" si="61"/>
        <v>0</v>
      </c>
      <c r="CN103" s="848">
        <f t="shared" si="61"/>
        <v>0</v>
      </c>
      <c r="CO103" s="848">
        <f t="shared" si="61"/>
        <v>0</v>
      </c>
      <c r="CP103" s="848">
        <f t="shared" si="61"/>
        <v>0</v>
      </c>
      <c r="CQ103" s="848">
        <f t="shared" si="61"/>
        <v>2.0000000000000001E-4</v>
      </c>
      <c r="CR103" s="848">
        <f t="shared" si="61"/>
        <v>0</v>
      </c>
      <c r="CS103" s="848">
        <f t="shared" si="61"/>
        <v>4.0000000000000003E-5</v>
      </c>
      <c r="CT103" s="848">
        <f t="shared" si="61"/>
        <v>0</v>
      </c>
      <c r="CU103" s="848">
        <f t="shared" si="61"/>
        <v>0</v>
      </c>
      <c r="CV103" s="848">
        <f t="shared" si="61"/>
        <v>0</v>
      </c>
      <c r="CW103" s="848">
        <f t="shared" si="61"/>
        <v>0</v>
      </c>
      <c r="CX103" s="848">
        <f t="shared" si="61"/>
        <v>0</v>
      </c>
      <c r="CY103" s="848">
        <f t="shared" si="61"/>
        <v>0</v>
      </c>
      <c r="CZ103" s="848">
        <f t="shared" si="61"/>
        <v>4.2000000000000003E-2</v>
      </c>
      <c r="DA103" s="848">
        <f t="shared" si="61"/>
        <v>0</v>
      </c>
      <c r="DB103" s="848">
        <f t="shared" si="61"/>
        <v>0</v>
      </c>
      <c r="DC103" s="848">
        <f t="shared" si="61"/>
        <v>7.9000000000000008E-3</v>
      </c>
      <c r="DD103" s="848">
        <f t="shared" si="61"/>
        <v>0</v>
      </c>
      <c r="DE103" s="848">
        <f t="shared" si="61"/>
        <v>0</v>
      </c>
      <c r="DF103" s="848">
        <f t="shared" si="61"/>
        <v>1.2500000000000001E-2</v>
      </c>
      <c r="DG103" s="848">
        <f t="shared" si="61"/>
        <v>0</v>
      </c>
      <c r="DH103" s="848">
        <f t="shared" si="61"/>
        <v>0</v>
      </c>
      <c r="DI103" s="848">
        <f t="shared" si="61"/>
        <v>0</v>
      </c>
      <c r="DJ103" s="848">
        <f t="shared" si="61"/>
        <v>0</v>
      </c>
      <c r="DK103" s="848">
        <f t="shared" si="61"/>
        <v>0</v>
      </c>
      <c r="DL103" s="848">
        <f t="shared" si="61"/>
        <v>0</v>
      </c>
      <c r="DM103" s="848">
        <f t="shared" si="61"/>
        <v>0.01</v>
      </c>
      <c r="DN103" s="848">
        <f t="shared" si="61"/>
        <v>0</v>
      </c>
      <c r="DO103" s="848">
        <f t="shared" si="61"/>
        <v>0</v>
      </c>
      <c r="DP103" s="848">
        <f t="shared" ref="DP103:FL103" si="62">DP86+DP96+DP102</f>
        <v>0</v>
      </c>
      <c r="DQ103" s="848">
        <f t="shared" si="62"/>
        <v>0</v>
      </c>
      <c r="DR103" s="848">
        <f t="shared" si="62"/>
        <v>5.0000000000000001E-4</v>
      </c>
      <c r="DS103" s="848">
        <f t="shared" si="62"/>
        <v>0</v>
      </c>
      <c r="DT103" s="848">
        <f t="shared" si="62"/>
        <v>0</v>
      </c>
      <c r="DU103" s="848">
        <f t="shared" si="62"/>
        <v>0</v>
      </c>
      <c r="DV103" s="848">
        <f t="shared" si="62"/>
        <v>0</v>
      </c>
      <c r="DW103" s="848">
        <f t="shared" si="62"/>
        <v>0</v>
      </c>
      <c r="DX103" s="848">
        <f t="shared" si="62"/>
        <v>0</v>
      </c>
      <c r="DY103" s="848">
        <f t="shared" si="62"/>
        <v>0</v>
      </c>
      <c r="DZ103" s="848">
        <f t="shared" si="62"/>
        <v>0</v>
      </c>
      <c r="EA103" s="848">
        <f t="shared" si="62"/>
        <v>0</v>
      </c>
      <c r="EB103" s="848">
        <f t="shared" si="62"/>
        <v>0.5</v>
      </c>
      <c r="EC103" s="848">
        <f t="shared" si="62"/>
        <v>0</v>
      </c>
      <c r="ED103" s="848">
        <f t="shared" si="62"/>
        <v>0</v>
      </c>
      <c r="EE103" s="848">
        <f t="shared" si="62"/>
        <v>0</v>
      </c>
      <c r="EF103" s="848">
        <f t="shared" si="62"/>
        <v>0</v>
      </c>
      <c r="EG103" s="848">
        <f t="shared" si="62"/>
        <v>0</v>
      </c>
      <c r="EH103" s="848">
        <f t="shared" si="62"/>
        <v>0</v>
      </c>
      <c r="EI103" s="848">
        <f t="shared" si="62"/>
        <v>0</v>
      </c>
      <c r="EJ103" s="848">
        <f t="shared" si="62"/>
        <v>0</v>
      </c>
      <c r="EK103" s="848">
        <f t="shared" si="62"/>
        <v>0</v>
      </c>
      <c r="EL103" s="848">
        <f t="shared" si="62"/>
        <v>0</v>
      </c>
      <c r="EM103" s="848">
        <f t="shared" si="62"/>
        <v>0</v>
      </c>
      <c r="EN103" s="848">
        <f t="shared" si="62"/>
        <v>0</v>
      </c>
      <c r="EO103" s="848">
        <f t="shared" si="62"/>
        <v>0</v>
      </c>
      <c r="EP103" s="848">
        <f t="shared" si="62"/>
        <v>0</v>
      </c>
      <c r="EQ103" s="848">
        <f t="shared" si="62"/>
        <v>0</v>
      </c>
      <c r="ER103" s="848">
        <f t="shared" si="62"/>
        <v>0</v>
      </c>
      <c r="ES103" s="848">
        <f t="shared" si="62"/>
        <v>0</v>
      </c>
      <c r="ET103" s="848">
        <f t="shared" si="62"/>
        <v>0</v>
      </c>
      <c r="EU103" s="848">
        <f t="shared" si="62"/>
        <v>0</v>
      </c>
      <c r="EV103" s="848">
        <f t="shared" si="62"/>
        <v>0.02</v>
      </c>
      <c r="EW103" s="848">
        <f t="shared" si="62"/>
        <v>7.0000000000000007E-2</v>
      </c>
      <c r="EX103" s="848">
        <f t="shared" si="62"/>
        <v>0</v>
      </c>
      <c r="EY103" s="767">
        <f t="shared" si="62"/>
        <v>1.6766000000000001</v>
      </c>
      <c r="EZ103" s="791">
        <f t="shared" si="62"/>
        <v>0</v>
      </c>
      <c r="FA103" s="791">
        <f t="shared" si="62"/>
        <v>0</v>
      </c>
      <c r="FB103" s="791">
        <f t="shared" si="62"/>
        <v>0</v>
      </c>
      <c r="FC103" s="791">
        <f t="shared" si="62"/>
        <v>0</v>
      </c>
      <c r="FD103" s="791">
        <f t="shared" si="62"/>
        <v>0</v>
      </c>
      <c r="FE103" s="791">
        <f t="shared" si="62"/>
        <v>0</v>
      </c>
      <c r="FF103" s="791">
        <f t="shared" si="62"/>
        <v>0</v>
      </c>
      <c r="FG103" s="791">
        <f t="shared" si="62"/>
        <v>0</v>
      </c>
      <c r="FH103" s="791">
        <f t="shared" si="62"/>
        <v>0</v>
      </c>
      <c r="FI103" s="791">
        <f t="shared" si="62"/>
        <v>0</v>
      </c>
      <c r="FJ103" s="791">
        <f t="shared" si="62"/>
        <v>0</v>
      </c>
      <c r="FK103" s="791">
        <f t="shared" si="62"/>
        <v>0</v>
      </c>
      <c r="FL103" s="791">
        <f t="shared" si="62"/>
        <v>0</v>
      </c>
    </row>
    <row r="104" spans="1:168" hidden="1" x14ac:dyDescent="0.25">
      <c r="A104" s="829"/>
      <c r="B104" s="830" t="s">
        <v>966</v>
      </c>
      <c r="C104" s="846"/>
      <c r="D104" s="856">
        <v>77</v>
      </c>
      <c r="E104" s="856">
        <v>79</v>
      </c>
      <c r="F104" s="856">
        <v>335</v>
      </c>
      <c r="G104" s="846">
        <v>2350</v>
      </c>
      <c r="H104" s="831"/>
      <c r="I104" s="648"/>
      <c r="J104" s="986"/>
      <c r="K104" s="986"/>
      <c r="L104" s="986"/>
      <c r="M104" s="986"/>
      <c r="N104" s="986"/>
      <c r="O104" s="986"/>
      <c r="P104" s="986"/>
      <c r="Q104" s="986"/>
      <c r="R104" s="986"/>
      <c r="S104" s="986"/>
      <c r="T104" s="986"/>
      <c r="U104" s="986"/>
      <c r="V104" s="986"/>
      <c r="W104" s="986"/>
      <c r="X104" s="986"/>
      <c r="Y104" s="986"/>
      <c r="Z104" s="986"/>
      <c r="AA104" s="986"/>
      <c r="AB104" s="986"/>
      <c r="AC104" s="986"/>
      <c r="AD104" s="986"/>
      <c r="AE104" s="986"/>
      <c r="AF104" s="986"/>
      <c r="AG104" s="986"/>
      <c r="AH104" s="986"/>
      <c r="AI104" s="986"/>
      <c r="AJ104" s="986"/>
      <c r="AK104" s="986"/>
      <c r="AL104" s="986"/>
      <c r="AM104" s="986"/>
      <c r="AN104" s="986"/>
      <c r="AO104" s="986"/>
      <c r="AP104" s="986"/>
      <c r="AQ104" s="986"/>
      <c r="AR104" s="986"/>
      <c r="AS104" s="986"/>
      <c r="AT104" s="986"/>
      <c r="AU104" s="986"/>
      <c r="AV104" s="986"/>
      <c r="AW104" s="986"/>
      <c r="AX104" s="986"/>
      <c r="AY104" s="986"/>
      <c r="AZ104" s="986"/>
      <c r="BA104" s="986"/>
      <c r="BB104" s="986"/>
      <c r="BC104" s="986"/>
      <c r="BD104" s="986"/>
      <c r="BE104" s="986"/>
      <c r="BF104" s="986"/>
      <c r="BG104" s="986"/>
      <c r="BH104" s="986"/>
      <c r="BI104" s="986"/>
      <c r="BJ104" s="986"/>
      <c r="BK104" s="986"/>
      <c r="BL104" s="986"/>
      <c r="BM104" s="986"/>
      <c r="BN104" s="986"/>
      <c r="BO104" s="986"/>
      <c r="BP104" s="986"/>
      <c r="BQ104" s="986"/>
      <c r="BR104" s="986"/>
      <c r="BS104" s="986"/>
      <c r="BT104" s="986"/>
      <c r="BU104" s="986"/>
      <c r="BV104" s="986"/>
      <c r="BW104" s="986"/>
      <c r="BX104" s="986"/>
      <c r="BY104" s="986"/>
      <c r="BZ104" s="986"/>
      <c r="CA104" s="986"/>
      <c r="CB104" s="986"/>
      <c r="CC104" s="986"/>
      <c r="CD104" s="986"/>
      <c r="CE104" s="986"/>
      <c r="CF104" s="986"/>
      <c r="CG104" s="986"/>
      <c r="CH104" s="986"/>
      <c r="CI104" s="986"/>
      <c r="CJ104" s="986"/>
      <c r="CK104" s="986"/>
      <c r="CL104" s="986"/>
      <c r="CM104" s="986"/>
      <c r="CN104" s="986"/>
      <c r="CO104" s="986"/>
      <c r="CP104" s="986"/>
      <c r="CQ104" s="986"/>
      <c r="CR104" s="986"/>
      <c r="CS104" s="986"/>
      <c r="CT104" s="986"/>
      <c r="CU104" s="986"/>
      <c r="CV104" s="986"/>
      <c r="CW104" s="986"/>
      <c r="CX104" s="986"/>
      <c r="CY104" s="986"/>
      <c r="CZ104" s="986"/>
      <c r="DA104" s="986"/>
      <c r="DB104" s="986"/>
      <c r="DC104" s="986"/>
      <c r="DD104" s="986"/>
      <c r="DE104" s="986"/>
      <c r="DF104" s="986"/>
      <c r="DG104" s="986"/>
      <c r="DH104" s="986"/>
      <c r="DI104" s="986"/>
      <c r="DJ104" s="986"/>
      <c r="DK104" s="986"/>
      <c r="DL104" s="986"/>
      <c r="DM104" s="986"/>
      <c r="DN104" s="986"/>
      <c r="DO104" s="986"/>
      <c r="DP104" s="986"/>
      <c r="DQ104" s="986"/>
      <c r="DR104" s="986"/>
      <c r="DS104" s="986"/>
      <c r="DT104" s="986"/>
      <c r="DU104" s="986"/>
      <c r="DV104" s="986"/>
      <c r="DW104" s="986"/>
      <c r="DX104" s="986"/>
      <c r="DY104" s="986"/>
      <c r="DZ104" s="986"/>
      <c r="EA104" s="986"/>
      <c r="EB104" s="986"/>
      <c r="EC104" s="986"/>
      <c r="ED104" s="986"/>
      <c r="EE104" s="986"/>
      <c r="EF104" s="986"/>
      <c r="EG104" s="986"/>
      <c r="EH104" s="986"/>
      <c r="EI104" s="986"/>
      <c r="EJ104" s="986"/>
      <c r="EK104" s="986"/>
      <c r="EL104" s="986"/>
      <c r="EM104" s="986"/>
      <c r="EN104" s="986"/>
      <c r="EO104" s="986"/>
      <c r="EP104" s="986"/>
      <c r="EQ104" s="986"/>
      <c r="ER104" s="986"/>
      <c r="ES104" s="986"/>
      <c r="ET104" s="986"/>
      <c r="EU104" s="986"/>
      <c r="EV104" s="986"/>
      <c r="EW104" s="986"/>
      <c r="EX104" s="986"/>
      <c r="EY104" s="867"/>
      <c r="EZ104" s="832">
        <v>1.2</v>
      </c>
      <c r="FA104" s="832">
        <v>1.4</v>
      </c>
      <c r="FB104" s="832">
        <v>60</v>
      </c>
      <c r="FC104" s="832">
        <v>700</v>
      </c>
      <c r="FD104" s="832">
        <v>10</v>
      </c>
      <c r="FE104" s="832">
        <v>1100</v>
      </c>
      <c r="FF104" s="832">
        <v>1100</v>
      </c>
      <c r="FG104" s="832">
        <v>250</v>
      </c>
      <c r="FH104" s="832">
        <v>1100</v>
      </c>
      <c r="FI104" s="832">
        <v>12</v>
      </c>
      <c r="FJ104" s="832">
        <v>10</v>
      </c>
      <c r="FK104" s="832">
        <v>0.1</v>
      </c>
      <c r="FL104" s="832">
        <v>0</v>
      </c>
    </row>
    <row r="105" spans="1:168" hidden="1" x14ac:dyDescent="0.25">
      <c r="A105" s="829"/>
      <c r="B105" s="830" t="s">
        <v>965</v>
      </c>
      <c r="C105" s="846"/>
      <c r="D105" s="856">
        <f>D103-D104</f>
        <v>-41.18</v>
      </c>
      <c r="E105" s="856">
        <f>E103-E104</f>
        <v>-36.979999999999997</v>
      </c>
      <c r="F105" s="856">
        <f t="shared" ref="F105:G105" si="63">F103-F104</f>
        <v>-156.47</v>
      </c>
      <c r="G105" s="846">
        <f t="shared" si="63"/>
        <v>-1089</v>
      </c>
      <c r="H105" s="831"/>
      <c r="I105" s="648"/>
      <c r="J105" s="986"/>
      <c r="K105" s="986"/>
      <c r="L105" s="986"/>
      <c r="M105" s="986"/>
      <c r="N105" s="986"/>
      <c r="O105" s="986"/>
      <c r="P105" s="986"/>
      <c r="Q105" s="986"/>
      <c r="R105" s="986"/>
      <c r="S105" s="986"/>
      <c r="T105" s="986"/>
      <c r="U105" s="986"/>
      <c r="V105" s="986"/>
      <c r="W105" s="986"/>
      <c r="X105" s="986"/>
      <c r="Y105" s="986"/>
      <c r="Z105" s="986"/>
      <c r="AA105" s="986"/>
      <c r="AB105" s="986"/>
      <c r="AC105" s="986"/>
      <c r="AD105" s="986"/>
      <c r="AE105" s="986"/>
      <c r="AF105" s="986"/>
      <c r="AG105" s="986"/>
      <c r="AH105" s="986"/>
      <c r="AI105" s="986"/>
      <c r="AJ105" s="986"/>
      <c r="AK105" s="986"/>
      <c r="AL105" s="986"/>
      <c r="AM105" s="986"/>
      <c r="AN105" s="986"/>
      <c r="AO105" s="986"/>
      <c r="AP105" s="986"/>
      <c r="AQ105" s="986"/>
      <c r="AR105" s="986"/>
      <c r="AS105" s="986"/>
      <c r="AT105" s="986"/>
      <c r="AU105" s="986"/>
      <c r="AV105" s="986"/>
      <c r="AW105" s="986"/>
      <c r="AX105" s="986"/>
      <c r="AY105" s="986"/>
      <c r="AZ105" s="986"/>
      <c r="BA105" s="986"/>
      <c r="BB105" s="986"/>
      <c r="BC105" s="986"/>
      <c r="BD105" s="986"/>
      <c r="BE105" s="986"/>
      <c r="BF105" s="986"/>
      <c r="BG105" s="986"/>
      <c r="BH105" s="986"/>
      <c r="BI105" s="986"/>
      <c r="BJ105" s="986"/>
      <c r="BK105" s="986"/>
      <c r="BL105" s="986"/>
      <c r="BM105" s="986"/>
      <c r="BN105" s="986"/>
      <c r="BO105" s="986"/>
      <c r="BP105" s="986"/>
      <c r="BQ105" s="986"/>
      <c r="BR105" s="986"/>
      <c r="BS105" s="986"/>
      <c r="BT105" s="986"/>
      <c r="BU105" s="986"/>
      <c r="BV105" s="986"/>
      <c r="BW105" s="986"/>
      <c r="BX105" s="986"/>
      <c r="BY105" s="986"/>
      <c r="BZ105" s="986"/>
      <c r="CA105" s="986"/>
      <c r="CB105" s="986"/>
      <c r="CC105" s="986"/>
      <c r="CD105" s="986"/>
      <c r="CE105" s="986"/>
      <c r="CF105" s="986"/>
      <c r="CG105" s="986"/>
      <c r="CH105" s="986"/>
      <c r="CI105" s="986"/>
      <c r="CJ105" s="986"/>
      <c r="CK105" s="986"/>
      <c r="CL105" s="986"/>
      <c r="CM105" s="986"/>
      <c r="CN105" s="986"/>
      <c r="CO105" s="986"/>
      <c r="CP105" s="986"/>
      <c r="CQ105" s="986"/>
      <c r="CR105" s="986"/>
      <c r="CS105" s="986"/>
      <c r="CT105" s="986"/>
      <c r="CU105" s="986"/>
      <c r="CV105" s="986"/>
      <c r="CW105" s="986"/>
      <c r="CX105" s="986"/>
      <c r="CY105" s="986"/>
      <c r="CZ105" s="986"/>
      <c r="DA105" s="986"/>
      <c r="DB105" s="986"/>
      <c r="DC105" s="986"/>
      <c r="DD105" s="986"/>
      <c r="DE105" s="986"/>
      <c r="DF105" s="986"/>
      <c r="DG105" s="986"/>
      <c r="DH105" s="986"/>
      <c r="DI105" s="986"/>
      <c r="DJ105" s="986"/>
      <c r="DK105" s="986"/>
      <c r="DL105" s="986"/>
      <c r="DM105" s="986"/>
      <c r="DN105" s="986"/>
      <c r="DO105" s="986"/>
      <c r="DP105" s="986"/>
      <c r="DQ105" s="986"/>
      <c r="DR105" s="986"/>
      <c r="DS105" s="986"/>
      <c r="DT105" s="986"/>
      <c r="DU105" s="986"/>
      <c r="DV105" s="986"/>
      <c r="DW105" s="986"/>
      <c r="DX105" s="986"/>
      <c r="DY105" s="986"/>
      <c r="DZ105" s="986"/>
      <c r="EA105" s="986"/>
      <c r="EB105" s="986"/>
      <c r="EC105" s="986"/>
      <c r="ED105" s="986"/>
      <c r="EE105" s="986"/>
      <c r="EF105" s="986"/>
      <c r="EG105" s="986"/>
      <c r="EH105" s="986"/>
      <c r="EI105" s="986"/>
      <c r="EJ105" s="986"/>
      <c r="EK105" s="986"/>
      <c r="EL105" s="986"/>
      <c r="EM105" s="986"/>
      <c r="EN105" s="986"/>
      <c r="EO105" s="986"/>
      <c r="EP105" s="986"/>
      <c r="EQ105" s="986"/>
      <c r="ER105" s="986"/>
      <c r="ES105" s="986"/>
      <c r="ET105" s="986"/>
      <c r="EU105" s="986"/>
      <c r="EV105" s="986"/>
      <c r="EW105" s="986"/>
      <c r="EX105" s="986"/>
      <c r="EY105" s="832"/>
      <c r="EZ105" s="832">
        <f t="shared" ref="EZ105:FL105" si="64">EZ103-EZ104</f>
        <v>-1.2</v>
      </c>
      <c r="FA105" s="832">
        <f t="shared" si="64"/>
        <v>-1.4</v>
      </c>
      <c r="FB105" s="832">
        <f t="shared" si="64"/>
        <v>-60</v>
      </c>
      <c r="FC105" s="832">
        <f t="shared" si="64"/>
        <v>-700</v>
      </c>
      <c r="FD105" s="832">
        <f t="shared" si="64"/>
        <v>-10</v>
      </c>
      <c r="FE105" s="832">
        <f t="shared" si="64"/>
        <v>-1100</v>
      </c>
      <c r="FF105" s="832">
        <f t="shared" si="64"/>
        <v>-1100</v>
      </c>
      <c r="FG105" s="832">
        <f t="shared" si="64"/>
        <v>-250</v>
      </c>
      <c r="FH105" s="832">
        <f t="shared" si="64"/>
        <v>-1100</v>
      </c>
      <c r="FI105" s="832">
        <f t="shared" si="64"/>
        <v>-12</v>
      </c>
      <c r="FJ105" s="832">
        <f t="shared" si="64"/>
        <v>-10</v>
      </c>
      <c r="FK105" s="832">
        <f t="shared" si="64"/>
        <v>-0.1</v>
      </c>
      <c r="FL105" s="832">
        <f t="shared" si="64"/>
        <v>0</v>
      </c>
    </row>
    <row r="106" spans="1:168" ht="19.2" customHeight="1" x14ac:dyDescent="0.25">
      <c r="A106" s="557"/>
      <c r="B106" s="555" t="s">
        <v>1226</v>
      </c>
      <c r="C106" s="814"/>
      <c r="D106" s="814"/>
      <c r="E106" s="815"/>
      <c r="F106" s="815"/>
      <c r="G106" s="815"/>
      <c r="H106" s="816"/>
      <c r="I106" s="645"/>
      <c r="J106" s="768"/>
      <c r="K106" s="768"/>
      <c r="L106" s="768"/>
      <c r="M106" s="768"/>
      <c r="N106" s="768"/>
      <c r="O106" s="768"/>
      <c r="P106" s="768"/>
      <c r="Q106" s="768"/>
      <c r="R106" s="768"/>
      <c r="S106" s="768"/>
      <c r="T106" s="768"/>
      <c r="U106" s="768"/>
      <c r="V106" s="768"/>
      <c r="W106" s="768"/>
      <c r="X106" s="768"/>
      <c r="Y106" s="768"/>
      <c r="Z106" s="768"/>
      <c r="AA106" s="768"/>
      <c r="AB106" s="768"/>
      <c r="AC106" s="768"/>
      <c r="AD106" s="768"/>
      <c r="AE106" s="768"/>
      <c r="AF106" s="768"/>
      <c r="AG106" s="768"/>
      <c r="AH106" s="768"/>
      <c r="AI106" s="768"/>
      <c r="AJ106" s="768"/>
      <c r="AK106" s="768"/>
      <c r="AL106" s="768"/>
      <c r="AM106" s="768"/>
      <c r="AN106" s="768"/>
      <c r="AO106" s="768"/>
      <c r="AP106" s="768"/>
      <c r="AQ106" s="768"/>
      <c r="AR106" s="768"/>
      <c r="AS106" s="768"/>
      <c r="AT106" s="768"/>
      <c r="AU106" s="768"/>
      <c r="AV106" s="768"/>
      <c r="AW106" s="768"/>
      <c r="AX106" s="768"/>
      <c r="AY106" s="768"/>
      <c r="AZ106" s="768"/>
      <c r="BA106" s="768"/>
      <c r="BB106" s="768"/>
      <c r="BC106" s="768"/>
      <c r="BD106" s="768"/>
      <c r="BE106" s="768"/>
      <c r="BF106" s="768"/>
      <c r="BG106" s="768"/>
      <c r="BH106" s="768"/>
      <c r="BI106" s="768"/>
      <c r="BJ106" s="768"/>
      <c r="BK106" s="768"/>
      <c r="BL106" s="768"/>
      <c r="BM106" s="768"/>
      <c r="BN106" s="768"/>
      <c r="BO106" s="768"/>
      <c r="BP106" s="768"/>
      <c r="BQ106" s="768"/>
      <c r="BR106" s="768"/>
      <c r="BS106" s="768"/>
      <c r="BT106" s="768"/>
      <c r="BU106" s="768"/>
      <c r="BV106" s="768"/>
      <c r="BW106" s="768"/>
      <c r="BX106" s="768"/>
      <c r="BY106" s="768"/>
      <c r="BZ106" s="768"/>
      <c r="CA106" s="768"/>
      <c r="CB106" s="768"/>
      <c r="CC106" s="768"/>
      <c r="CD106" s="768"/>
      <c r="CE106" s="768"/>
      <c r="CF106" s="768"/>
      <c r="CG106" s="768"/>
      <c r="CH106" s="768"/>
      <c r="CI106" s="768"/>
      <c r="CJ106" s="768"/>
      <c r="CK106" s="768"/>
      <c r="CL106" s="768"/>
      <c r="CM106" s="768"/>
      <c r="CN106" s="768"/>
      <c r="CO106" s="768"/>
      <c r="CP106" s="768"/>
      <c r="CQ106" s="768"/>
      <c r="CR106" s="768"/>
      <c r="CS106" s="768"/>
      <c r="CT106" s="768"/>
      <c r="CU106" s="768"/>
      <c r="CV106" s="768"/>
      <c r="CW106" s="768"/>
      <c r="CX106" s="768"/>
      <c r="CY106" s="768"/>
      <c r="CZ106" s="768"/>
      <c r="DA106" s="768"/>
      <c r="DB106" s="768"/>
      <c r="DC106" s="768"/>
      <c r="DD106" s="768"/>
      <c r="DE106" s="768"/>
      <c r="DF106" s="768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  <c r="EJ106" s="768"/>
      <c r="EK106" s="768"/>
      <c r="EL106" s="768"/>
      <c r="EM106" s="768"/>
      <c r="EN106" s="768"/>
      <c r="EO106" s="768"/>
      <c r="EP106" s="768"/>
      <c r="EQ106" s="768"/>
      <c r="ER106" s="768"/>
      <c r="ES106" s="768"/>
      <c r="ET106" s="768"/>
      <c r="EU106" s="768"/>
      <c r="EV106" s="768"/>
      <c r="EW106" s="768"/>
      <c r="EX106" s="768"/>
      <c r="EY106" s="694"/>
      <c r="EZ106" s="815"/>
      <c r="FA106" s="815"/>
      <c r="FB106" s="815"/>
      <c r="FC106" s="815"/>
      <c r="FD106" s="815"/>
      <c r="FE106" s="815"/>
      <c r="FF106" s="815"/>
      <c r="FG106" s="815"/>
      <c r="FH106" s="815"/>
      <c r="FI106" s="815"/>
      <c r="FJ106" s="815"/>
      <c r="FK106" s="815"/>
      <c r="FL106" s="815"/>
    </row>
    <row r="107" spans="1:168" ht="26.4" x14ac:dyDescent="0.25">
      <c r="A107" s="1459" t="s">
        <v>109</v>
      </c>
      <c r="B107" s="115" t="str">
        <f>блюда!B131</f>
        <v>Каша жидкая молочная из крупы пшенной с маслом и сахаром</v>
      </c>
      <c r="C107" s="250">
        <f>блюда!C131</f>
        <v>220</v>
      </c>
      <c r="D107" s="431">
        <f>блюда!D131</f>
        <v>7.51</v>
      </c>
      <c r="E107" s="431">
        <f>блюда!E131</f>
        <v>11.72</v>
      </c>
      <c r="F107" s="431">
        <f>блюда!F131</f>
        <v>47.03</v>
      </c>
      <c r="G107" s="250">
        <f>блюда!G131</f>
        <v>325</v>
      </c>
      <c r="H107" s="250">
        <f>блюда!H131</f>
        <v>182</v>
      </c>
      <c r="I107" s="431">
        <f>блюда!I131</f>
        <v>18.72</v>
      </c>
      <c r="J107" s="473">
        <f>блюда!J131</f>
        <v>0</v>
      </c>
      <c r="K107" s="473">
        <f>блюда!K131</f>
        <v>0</v>
      </c>
      <c r="L107" s="473">
        <f>блюда!L131</f>
        <v>0</v>
      </c>
      <c r="M107" s="473">
        <f>блюда!M131</f>
        <v>0</v>
      </c>
      <c r="N107" s="473">
        <f>блюда!N131</f>
        <v>0</v>
      </c>
      <c r="O107" s="473">
        <f>блюда!O131</f>
        <v>0</v>
      </c>
      <c r="P107" s="473">
        <f>блюда!P131</f>
        <v>0</v>
      </c>
      <c r="Q107" s="473">
        <f>блюда!Q131</f>
        <v>0</v>
      </c>
      <c r="R107" s="473">
        <f>блюда!R131</f>
        <v>0</v>
      </c>
      <c r="S107" s="473">
        <f>блюда!S131</f>
        <v>0</v>
      </c>
      <c r="T107" s="473">
        <f>блюда!T131</f>
        <v>0</v>
      </c>
      <c r="U107" s="473">
        <f>блюда!U131</f>
        <v>0.1</v>
      </c>
      <c r="V107" s="473">
        <f>блюда!V131</f>
        <v>0.01</v>
      </c>
      <c r="W107" s="473">
        <f>блюда!W131</f>
        <v>0</v>
      </c>
      <c r="X107" s="473">
        <f>блюда!X131</f>
        <v>0</v>
      </c>
      <c r="Y107" s="473">
        <f>блюда!Y131</f>
        <v>0</v>
      </c>
      <c r="Z107" s="473">
        <f>блюда!Z131</f>
        <v>0</v>
      </c>
      <c r="AA107" s="473">
        <f>блюда!AA131</f>
        <v>0</v>
      </c>
      <c r="AB107" s="473">
        <f>блюда!AB131</f>
        <v>0</v>
      </c>
      <c r="AC107" s="473">
        <f>блюда!AC131</f>
        <v>0</v>
      </c>
      <c r="AD107" s="473">
        <f>блюда!AD131</f>
        <v>0</v>
      </c>
      <c r="AE107" s="473">
        <f>блюда!AE131</f>
        <v>0</v>
      </c>
      <c r="AF107" s="473">
        <f>блюда!AF131</f>
        <v>0</v>
      </c>
      <c r="AG107" s="473">
        <f>блюда!AG131</f>
        <v>0</v>
      </c>
      <c r="AH107" s="473">
        <f>блюда!AH131</f>
        <v>0</v>
      </c>
      <c r="AI107" s="473">
        <f>блюда!AI131</f>
        <v>0</v>
      </c>
      <c r="AJ107" s="473">
        <f>блюда!AJ131</f>
        <v>0</v>
      </c>
      <c r="AK107" s="473">
        <f>блюда!AK131</f>
        <v>0</v>
      </c>
      <c r="AL107" s="473">
        <f>блюда!AL131</f>
        <v>0</v>
      </c>
      <c r="AM107" s="473">
        <f>блюда!AM131</f>
        <v>0</v>
      </c>
      <c r="AN107" s="473">
        <f>блюда!AN131</f>
        <v>0</v>
      </c>
      <c r="AO107" s="473">
        <f>блюда!AO131</f>
        <v>0</v>
      </c>
      <c r="AP107" s="473">
        <f>блюда!AP131</f>
        <v>0</v>
      </c>
      <c r="AQ107" s="473">
        <f>блюда!AQ131</f>
        <v>0</v>
      </c>
      <c r="AR107" s="473">
        <f>блюда!AR131</f>
        <v>0</v>
      </c>
      <c r="AS107" s="473">
        <f>блюда!AS131</f>
        <v>0</v>
      </c>
      <c r="AT107" s="473">
        <f>блюда!AT131</f>
        <v>0</v>
      </c>
      <c r="AU107" s="473">
        <f>блюда!AU131</f>
        <v>0</v>
      </c>
      <c r="AV107" s="473">
        <f>блюда!AV131</f>
        <v>0</v>
      </c>
      <c r="AW107" s="473">
        <f>блюда!AW131</f>
        <v>0</v>
      </c>
      <c r="AX107" s="473">
        <f>блюда!AX131</f>
        <v>0</v>
      </c>
      <c r="AY107" s="473">
        <f>блюда!AY131</f>
        <v>0</v>
      </c>
      <c r="AZ107" s="473">
        <f>блюда!AZ131</f>
        <v>0</v>
      </c>
      <c r="BA107" s="473">
        <f>блюда!BA131</f>
        <v>0</v>
      </c>
      <c r="BB107" s="473">
        <f>блюда!BB131</f>
        <v>0</v>
      </c>
      <c r="BC107" s="473">
        <f>блюда!BC131</f>
        <v>0</v>
      </c>
      <c r="BD107" s="473">
        <f>блюда!BD131</f>
        <v>0</v>
      </c>
      <c r="BE107" s="473">
        <f>блюда!BE131</f>
        <v>0</v>
      </c>
      <c r="BF107" s="473">
        <f>блюда!BF131</f>
        <v>0</v>
      </c>
      <c r="BG107" s="473">
        <f>блюда!BG131</f>
        <v>0</v>
      </c>
      <c r="BH107" s="473">
        <f>блюда!BH131</f>
        <v>0</v>
      </c>
      <c r="BI107" s="473">
        <f>блюда!BI131</f>
        <v>0</v>
      </c>
      <c r="BJ107" s="473">
        <f>блюда!BJ131</f>
        <v>0</v>
      </c>
      <c r="BK107" s="473">
        <f>блюда!BK131</f>
        <v>0</v>
      </c>
      <c r="BL107" s="473">
        <f>блюда!BL131</f>
        <v>0</v>
      </c>
      <c r="BM107" s="473">
        <f>блюда!BM131</f>
        <v>0</v>
      </c>
      <c r="BN107" s="473">
        <f>блюда!BN131</f>
        <v>0</v>
      </c>
      <c r="BO107" s="473">
        <f>блюда!BO131</f>
        <v>0</v>
      </c>
      <c r="BP107" s="473">
        <f>блюда!BP131</f>
        <v>0</v>
      </c>
      <c r="BQ107" s="473">
        <f>блюда!BQ131</f>
        <v>0</v>
      </c>
      <c r="BR107" s="473">
        <f>блюда!BR131</f>
        <v>0</v>
      </c>
      <c r="BS107" s="473">
        <f>блюда!BS131</f>
        <v>0</v>
      </c>
      <c r="BT107" s="473">
        <f>блюда!BT131</f>
        <v>0</v>
      </c>
      <c r="BU107" s="473">
        <f>блюда!BU131</f>
        <v>0</v>
      </c>
      <c r="BV107" s="473">
        <f>блюда!BV131</f>
        <v>0</v>
      </c>
      <c r="BW107" s="473">
        <f>блюда!BW131</f>
        <v>0</v>
      </c>
      <c r="BX107" s="473">
        <f>блюда!BX131</f>
        <v>0</v>
      </c>
      <c r="BY107" s="473">
        <f>блюда!BY131</f>
        <v>0</v>
      </c>
      <c r="BZ107" s="473">
        <f>блюда!BZ131</f>
        <v>0</v>
      </c>
      <c r="CA107" s="473">
        <f>блюда!CA131</f>
        <v>0.04</v>
      </c>
      <c r="CB107" s="473">
        <f>блюда!CB131</f>
        <v>0</v>
      </c>
      <c r="CC107" s="473">
        <f>блюда!CC131</f>
        <v>0</v>
      </c>
      <c r="CD107" s="473">
        <f>блюда!CD131</f>
        <v>0</v>
      </c>
      <c r="CE107" s="473">
        <f>блюда!CE131</f>
        <v>0</v>
      </c>
      <c r="CF107" s="473">
        <f>блюда!CF131</f>
        <v>0</v>
      </c>
      <c r="CG107" s="473">
        <f>блюда!CG131</f>
        <v>0</v>
      </c>
      <c r="CH107" s="473">
        <f>блюда!CH131</f>
        <v>0</v>
      </c>
      <c r="CI107" s="473">
        <f>блюда!CI131</f>
        <v>0</v>
      </c>
      <c r="CJ107" s="473">
        <f>блюда!CJ131</f>
        <v>0</v>
      </c>
      <c r="CK107" s="473">
        <f>блюда!CK131</f>
        <v>0</v>
      </c>
      <c r="CL107" s="473">
        <f>блюда!CL131</f>
        <v>0</v>
      </c>
      <c r="CM107" s="473">
        <f>блюда!CM131</f>
        <v>0</v>
      </c>
      <c r="CN107" s="473">
        <f>блюда!CN131</f>
        <v>0</v>
      </c>
      <c r="CO107" s="473">
        <f>блюда!CO131</f>
        <v>0</v>
      </c>
      <c r="CP107" s="473">
        <f>блюда!CP131</f>
        <v>0</v>
      </c>
      <c r="CQ107" s="473">
        <f>блюда!CQ131</f>
        <v>0</v>
      </c>
      <c r="CR107" s="473">
        <f>блюда!CR131</f>
        <v>0</v>
      </c>
      <c r="CS107" s="473">
        <f>блюда!CS131</f>
        <v>0</v>
      </c>
      <c r="CT107" s="473">
        <f>блюда!CT131</f>
        <v>0</v>
      </c>
      <c r="CU107" s="473">
        <f>блюда!CU131</f>
        <v>0</v>
      </c>
      <c r="CV107" s="473">
        <f>блюда!CV131</f>
        <v>0</v>
      </c>
      <c r="CW107" s="473">
        <f>блюда!CW131</f>
        <v>0</v>
      </c>
      <c r="CX107" s="473">
        <f>блюда!CX131</f>
        <v>0</v>
      </c>
      <c r="CY107" s="473">
        <f>блюда!CY131</f>
        <v>0</v>
      </c>
      <c r="CZ107" s="473">
        <f>блюда!CZ131</f>
        <v>1.6E-2</v>
      </c>
      <c r="DA107" s="473">
        <f>блюда!DA131</f>
        <v>0</v>
      </c>
      <c r="DB107" s="473">
        <f>блюда!DB131</f>
        <v>0</v>
      </c>
      <c r="DC107" s="473">
        <f>блюда!DC131</f>
        <v>0</v>
      </c>
      <c r="DD107" s="473">
        <f>блюда!DD131</f>
        <v>0</v>
      </c>
      <c r="DE107" s="473">
        <f>блюда!DE131</f>
        <v>0</v>
      </c>
      <c r="DF107" s="473">
        <f>блюда!DF131</f>
        <v>0</v>
      </c>
      <c r="DG107" s="473">
        <f>блюда!DG131</f>
        <v>0</v>
      </c>
      <c r="DH107" s="473">
        <f>блюда!DH131</f>
        <v>0</v>
      </c>
      <c r="DI107" s="473">
        <f>блюда!DI131</f>
        <v>0</v>
      </c>
      <c r="DJ107" s="473">
        <f>блюда!DJ131</f>
        <v>0</v>
      </c>
      <c r="DK107" s="473">
        <f>блюда!DK131</f>
        <v>0</v>
      </c>
      <c r="DL107" s="473">
        <f>блюда!DL131</f>
        <v>0</v>
      </c>
      <c r="DM107" s="473">
        <f>блюда!DM131</f>
        <v>0</v>
      </c>
      <c r="DN107" s="473">
        <f>блюда!DN131</f>
        <v>0</v>
      </c>
      <c r="DO107" s="473">
        <f>блюда!DO131</f>
        <v>0</v>
      </c>
      <c r="DP107" s="473">
        <f>блюда!DP131</f>
        <v>0</v>
      </c>
      <c r="DQ107" s="473">
        <f>блюда!DQ131</f>
        <v>0</v>
      </c>
      <c r="DR107" s="473">
        <f>блюда!DR131</f>
        <v>0</v>
      </c>
      <c r="DS107" s="473">
        <f>блюда!DS131</f>
        <v>0</v>
      </c>
      <c r="DT107" s="473">
        <f>блюда!DT131</f>
        <v>0</v>
      </c>
      <c r="DU107" s="473">
        <f>блюда!DU131</f>
        <v>0</v>
      </c>
      <c r="DV107" s="473">
        <f>блюда!DV131</f>
        <v>0</v>
      </c>
      <c r="DW107" s="473">
        <f>блюда!DW131</f>
        <v>0</v>
      </c>
      <c r="DX107" s="473">
        <f>блюда!DX131</f>
        <v>0</v>
      </c>
      <c r="DY107" s="473">
        <f>блюда!DY131</f>
        <v>0</v>
      </c>
      <c r="DZ107" s="473">
        <f>блюда!DZ131</f>
        <v>0</v>
      </c>
      <c r="EA107" s="473">
        <f>блюда!EA131</f>
        <v>0</v>
      </c>
      <c r="EB107" s="473">
        <f>блюда!EB131</f>
        <v>0</v>
      </c>
      <c r="EC107" s="473">
        <f>блюда!EC131</f>
        <v>0</v>
      </c>
      <c r="ED107" s="473">
        <f>блюда!ED131</f>
        <v>0</v>
      </c>
      <c r="EE107" s="473">
        <f>блюда!EE131</f>
        <v>0</v>
      </c>
      <c r="EF107" s="473">
        <f>блюда!EF131</f>
        <v>0</v>
      </c>
      <c r="EG107" s="473">
        <f>блюда!EG131</f>
        <v>0</v>
      </c>
      <c r="EH107" s="473">
        <f>блюда!EH131</f>
        <v>0</v>
      </c>
      <c r="EI107" s="473">
        <f>блюда!EI131</f>
        <v>0</v>
      </c>
      <c r="EJ107" s="473">
        <f>блюда!EJ131</f>
        <v>0</v>
      </c>
      <c r="EK107" s="473">
        <f>блюда!EK131</f>
        <v>0</v>
      </c>
      <c r="EL107" s="473">
        <f>блюда!EL131</f>
        <v>0</v>
      </c>
      <c r="EM107" s="473">
        <f>блюда!EM131</f>
        <v>0</v>
      </c>
      <c r="EN107" s="473">
        <f>блюда!EN131</f>
        <v>0</v>
      </c>
      <c r="EO107" s="473">
        <f>блюда!EO131</f>
        <v>0</v>
      </c>
      <c r="EP107" s="473">
        <f>блюда!EP131</f>
        <v>0</v>
      </c>
      <c r="EQ107" s="473">
        <f>блюда!EQ131</f>
        <v>0</v>
      </c>
      <c r="ER107" s="473">
        <f>блюда!ER131</f>
        <v>0</v>
      </c>
      <c r="ES107" s="473">
        <f>блюда!ES131</f>
        <v>0</v>
      </c>
      <c r="ET107" s="473">
        <f>блюда!ET131</f>
        <v>0</v>
      </c>
      <c r="EU107" s="473">
        <f>блюда!EU131</f>
        <v>0</v>
      </c>
      <c r="EV107" s="473">
        <f>блюда!EV131</f>
        <v>0</v>
      </c>
      <c r="EW107" s="473">
        <f>блюда!EW131</f>
        <v>0</v>
      </c>
      <c r="EX107" s="473">
        <f>блюда!EX131</f>
        <v>0</v>
      </c>
      <c r="EY107" s="927">
        <f>SUM(J107:EX107)</f>
        <v>0.16600000000000001</v>
      </c>
      <c r="EZ107" s="117">
        <f>блюда!EZ127</f>
        <v>0</v>
      </c>
      <c r="FA107" s="117">
        <f>блюда!FA127</f>
        <v>0</v>
      </c>
      <c r="FB107" s="117">
        <f>блюда!FB127</f>
        <v>0</v>
      </c>
      <c r="FC107" s="117">
        <f>блюда!FC127</f>
        <v>0</v>
      </c>
      <c r="FD107" s="117">
        <f>блюда!FD127</f>
        <v>0</v>
      </c>
      <c r="FE107" s="117">
        <f>блюда!FE127</f>
        <v>0</v>
      </c>
      <c r="FF107" s="117">
        <f>блюда!FF127</f>
        <v>0</v>
      </c>
      <c r="FG107" s="117">
        <f>блюда!FG127</f>
        <v>0</v>
      </c>
      <c r="FH107" s="117">
        <f>блюда!FH127</f>
        <v>0</v>
      </c>
      <c r="FI107" s="117">
        <f>блюда!FI127</f>
        <v>0</v>
      </c>
      <c r="FJ107" s="117">
        <f>блюда!FJ127</f>
        <v>0</v>
      </c>
      <c r="FK107" s="117">
        <f>блюда!FK127</f>
        <v>0</v>
      </c>
      <c r="FL107" s="117">
        <f>блюда!FL127</f>
        <v>0</v>
      </c>
    </row>
    <row r="108" spans="1:168" x14ac:dyDescent="0.25">
      <c r="A108" s="1460"/>
      <c r="B108" s="115" t="str">
        <f>блюда!B13</f>
        <v>Масло сливочное (порциями)</v>
      </c>
      <c r="C108" s="250">
        <f>блюда!C13</f>
        <v>10</v>
      </c>
      <c r="D108" s="431">
        <f>блюда!D13</f>
        <v>0.08</v>
      </c>
      <c r="E108" s="431">
        <f>блюда!E13</f>
        <v>7.25</v>
      </c>
      <c r="F108" s="431">
        <f>блюда!F13</f>
        <v>0.13</v>
      </c>
      <c r="G108" s="250">
        <f>блюда!G13</f>
        <v>66</v>
      </c>
      <c r="H108" s="250">
        <f>блюда!H13</f>
        <v>14</v>
      </c>
      <c r="I108" s="431">
        <f>блюда!I13</f>
        <v>7.1</v>
      </c>
      <c r="J108" s="473">
        <f>блюда!J13</f>
        <v>0</v>
      </c>
      <c r="K108" s="473">
        <f>блюда!K13</f>
        <v>0</v>
      </c>
      <c r="L108" s="473">
        <f>блюда!L13</f>
        <v>0</v>
      </c>
      <c r="M108" s="473">
        <f>блюда!M13</f>
        <v>0</v>
      </c>
      <c r="N108" s="473">
        <f>блюда!N13</f>
        <v>0</v>
      </c>
      <c r="O108" s="473">
        <f>блюда!O13</f>
        <v>0</v>
      </c>
      <c r="P108" s="473">
        <f>блюда!P13</f>
        <v>0</v>
      </c>
      <c r="Q108" s="473">
        <f>блюда!Q13</f>
        <v>0</v>
      </c>
      <c r="R108" s="473">
        <f>блюда!R13</f>
        <v>0</v>
      </c>
      <c r="S108" s="473">
        <f>блюда!S13</f>
        <v>0</v>
      </c>
      <c r="T108" s="473">
        <f>блюда!T13</f>
        <v>0</v>
      </c>
      <c r="U108" s="473">
        <f>блюда!U13</f>
        <v>0</v>
      </c>
      <c r="V108" s="473">
        <f>блюда!V13</f>
        <v>0.01</v>
      </c>
      <c r="W108" s="473">
        <f>блюда!W13</f>
        <v>0</v>
      </c>
      <c r="X108" s="473">
        <f>блюда!X13</f>
        <v>0</v>
      </c>
      <c r="Y108" s="473">
        <f>блюда!Y13</f>
        <v>0</v>
      </c>
      <c r="Z108" s="473">
        <f>блюда!Z13</f>
        <v>0</v>
      </c>
      <c r="AA108" s="473">
        <f>блюда!AA13</f>
        <v>0</v>
      </c>
      <c r="AB108" s="473">
        <f>блюда!AB13</f>
        <v>0</v>
      </c>
      <c r="AC108" s="473">
        <f>блюда!AC13</f>
        <v>0</v>
      </c>
      <c r="AD108" s="473">
        <f>блюда!AD13</f>
        <v>0</v>
      </c>
      <c r="AE108" s="473">
        <f>блюда!AE13</f>
        <v>0</v>
      </c>
      <c r="AF108" s="473">
        <f>блюда!AF13</f>
        <v>0</v>
      </c>
      <c r="AG108" s="473">
        <f>блюда!AG13</f>
        <v>0</v>
      </c>
      <c r="AH108" s="473">
        <f>блюда!AH13</f>
        <v>0</v>
      </c>
      <c r="AI108" s="473">
        <f>блюда!AI13</f>
        <v>0</v>
      </c>
      <c r="AJ108" s="473">
        <f>блюда!AJ13</f>
        <v>0</v>
      </c>
      <c r="AK108" s="473">
        <f>блюда!AK13</f>
        <v>0</v>
      </c>
      <c r="AL108" s="473">
        <f>блюда!AL13</f>
        <v>0</v>
      </c>
      <c r="AM108" s="473">
        <f>блюда!AM13</f>
        <v>0</v>
      </c>
      <c r="AN108" s="473">
        <f>блюда!AN13</f>
        <v>0</v>
      </c>
      <c r="AO108" s="473">
        <f>блюда!AO13</f>
        <v>0</v>
      </c>
      <c r="AP108" s="473">
        <f>блюда!AP13</f>
        <v>0</v>
      </c>
      <c r="AQ108" s="473">
        <f>блюда!AQ13</f>
        <v>0</v>
      </c>
      <c r="AR108" s="473">
        <f>блюда!AR13</f>
        <v>0</v>
      </c>
      <c r="AS108" s="473">
        <f>блюда!AS13</f>
        <v>0</v>
      </c>
      <c r="AT108" s="473">
        <f>блюда!AT13</f>
        <v>0</v>
      </c>
      <c r="AU108" s="473">
        <f>блюда!AU13</f>
        <v>0</v>
      </c>
      <c r="AV108" s="473">
        <f>блюда!AV13</f>
        <v>0</v>
      </c>
      <c r="AW108" s="473">
        <f>блюда!AW13</f>
        <v>0</v>
      </c>
      <c r="AX108" s="473">
        <f>блюда!AX13</f>
        <v>0</v>
      </c>
      <c r="AY108" s="473">
        <f>блюда!AY13</f>
        <v>0</v>
      </c>
      <c r="AZ108" s="473">
        <f>блюда!AZ13</f>
        <v>0</v>
      </c>
      <c r="BA108" s="473">
        <f>блюда!BA13</f>
        <v>0</v>
      </c>
      <c r="BB108" s="473">
        <f>блюда!BB13</f>
        <v>0</v>
      </c>
      <c r="BC108" s="473">
        <f>блюда!BC13</f>
        <v>0</v>
      </c>
      <c r="BD108" s="473">
        <f>блюда!BD13</f>
        <v>0</v>
      </c>
      <c r="BE108" s="473">
        <f>блюда!BE13</f>
        <v>0</v>
      </c>
      <c r="BF108" s="473">
        <f>блюда!BF13</f>
        <v>0</v>
      </c>
      <c r="BG108" s="473">
        <f>блюда!BG13</f>
        <v>0</v>
      </c>
      <c r="BH108" s="473">
        <f>блюда!BH13</f>
        <v>0</v>
      </c>
      <c r="BI108" s="473">
        <f>блюда!BI13</f>
        <v>0</v>
      </c>
      <c r="BJ108" s="473">
        <f>блюда!BJ13</f>
        <v>0</v>
      </c>
      <c r="BK108" s="473">
        <f>блюда!BK13</f>
        <v>0</v>
      </c>
      <c r="BL108" s="473">
        <f>блюда!BL13</f>
        <v>0</v>
      </c>
      <c r="BM108" s="473">
        <f>блюда!BM13</f>
        <v>0</v>
      </c>
      <c r="BN108" s="473">
        <f>блюда!BN13</f>
        <v>0</v>
      </c>
      <c r="BO108" s="473">
        <f>блюда!BO13</f>
        <v>0</v>
      </c>
      <c r="BP108" s="473">
        <f>блюда!BP13</f>
        <v>0</v>
      </c>
      <c r="BQ108" s="473">
        <f>блюда!BQ13</f>
        <v>0</v>
      </c>
      <c r="BR108" s="473">
        <f>блюда!BR13</f>
        <v>0</v>
      </c>
      <c r="BS108" s="473">
        <f>блюда!BS13</f>
        <v>0</v>
      </c>
      <c r="BT108" s="473">
        <f>блюда!BT13</f>
        <v>0</v>
      </c>
      <c r="BU108" s="473">
        <f>блюда!BU13</f>
        <v>0</v>
      </c>
      <c r="BV108" s="473">
        <f>блюда!BV13</f>
        <v>0</v>
      </c>
      <c r="BW108" s="473">
        <f>блюда!BW13</f>
        <v>0</v>
      </c>
      <c r="BX108" s="473">
        <f>блюда!BX13</f>
        <v>0</v>
      </c>
      <c r="BY108" s="473">
        <f>блюда!BY13</f>
        <v>0</v>
      </c>
      <c r="BZ108" s="473">
        <f>блюда!BZ13</f>
        <v>0</v>
      </c>
      <c r="CA108" s="473">
        <f>блюда!CA13</f>
        <v>0</v>
      </c>
      <c r="CB108" s="473">
        <f>блюда!CB13</f>
        <v>0</v>
      </c>
      <c r="CC108" s="473">
        <f>блюда!CC13</f>
        <v>0</v>
      </c>
      <c r="CD108" s="473">
        <f>блюда!CD13</f>
        <v>0</v>
      </c>
      <c r="CE108" s="473">
        <f>блюда!CE13</f>
        <v>0</v>
      </c>
      <c r="CF108" s="473">
        <f>блюда!CF13</f>
        <v>0</v>
      </c>
      <c r="CG108" s="473">
        <f>блюда!CG13</f>
        <v>0</v>
      </c>
      <c r="CH108" s="473">
        <f>блюда!CH13</f>
        <v>0</v>
      </c>
      <c r="CI108" s="473">
        <f>блюда!CI13</f>
        <v>0</v>
      </c>
      <c r="CJ108" s="473">
        <f>блюда!CJ13</f>
        <v>0</v>
      </c>
      <c r="CK108" s="473">
        <f>блюда!CK13</f>
        <v>0</v>
      </c>
      <c r="CL108" s="473">
        <f>блюда!CL13</f>
        <v>0</v>
      </c>
      <c r="CM108" s="473">
        <f>блюда!CM13</f>
        <v>0</v>
      </c>
      <c r="CN108" s="473">
        <f>блюда!CN13</f>
        <v>0</v>
      </c>
      <c r="CO108" s="473">
        <f>блюда!CO13</f>
        <v>0</v>
      </c>
      <c r="CP108" s="473">
        <f>блюда!CP13</f>
        <v>0</v>
      </c>
      <c r="CQ108" s="473">
        <f>блюда!CQ13</f>
        <v>0</v>
      </c>
      <c r="CR108" s="473">
        <f>блюда!CR13</f>
        <v>0</v>
      </c>
      <c r="CS108" s="473">
        <f>блюда!CS13</f>
        <v>0</v>
      </c>
      <c r="CT108" s="473">
        <f>блюда!CT13</f>
        <v>0</v>
      </c>
      <c r="CU108" s="473">
        <f>блюда!CU13</f>
        <v>0</v>
      </c>
      <c r="CV108" s="473">
        <f>блюда!CV13</f>
        <v>0</v>
      </c>
      <c r="CW108" s="473">
        <f>блюда!CW13</f>
        <v>0</v>
      </c>
      <c r="CX108" s="473">
        <f>блюда!CX13</f>
        <v>0</v>
      </c>
      <c r="CY108" s="473">
        <f>блюда!CY13</f>
        <v>0</v>
      </c>
      <c r="CZ108" s="473">
        <f>блюда!CZ13</f>
        <v>0</v>
      </c>
      <c r="DA108" s="473">
        <f>блюда!DA13</f>
        <v>0</v>
      </c>
      <c r="DB108" s="473">
        <f>блюда!DB13</f>
        <v>0</v>
      </c>
      <c r="DC108" s="473">
        <f>блюда!DC13</f>
        <v>0</v>
      </c>
      <c r="DD108" s="473">
        <f>блюда!DD13</f>
        <v>0</v>
      </c>
      <c r="DE108" s="473">
        <f>блюда!DE13</f>
        <v>0</v>
      </c>
      <c r="DF108" s="473">
        <f>блюда!DF13</f>
        <v>0</v>
      </c>
      <c r="DG108" s="473">
        <f>блюда!DG13</f>
        <v>0</v>
      </c>
      <c r="DH108" s="473">
        <f>блюда!DH13</f>
        <v>0</v>
      </c>
      <c r="DI108" s="473">
        <f>блюда!DI13</f>
        <v>0</v>
      </c>
      <c r="DJ108" s="473">
        <f>блюда!DJ13</f>
        <v>0</v>
      </c>
      <c r="DK108" s="473">
        <f>блюда!DK13</f>
        <v>0</v>
      </c>
      <c r="DL108" s="473">
        <f>блюда!DL13</f>
        <v>0</v>
      </c>
      <c r="DM108" s="473">
        <f>блюда!DM13</f>
        <v>0</v>
      </c>
      <c r="DN108" s="473">
        <f>блюда!DN13</f>
        <v>0</v>
      </c>
      <c r="DO108" s="473">
        <f>блюда!DO13</f>
        <v>0</v>
      </c>
      <c r="DP108" s="473">
        <f>блюда!DP13</f>
        <v>0</v>
      </c>
      <c r="DQ108" s="473">
        <f>блюда!DQ13</f>
        <v>0</v>
      </c>
      <c r="DR108" s="473">
        <f>блюда!DR13</f>
        <v>0</v>
      </c>
      <c r="DS108" s="473">
        <f>блюда!DS13</f>
        <v>0</v>
      </c>
      <c r="DT108" s="473">
        <f>блюда!DT13</f>
        <v>0</v>
      </c>
      <c r="DU108" s="473">
        <f>блюда!DU13</f>
        <v>0</v>
      </c>
      <c r="DV108" s="473">
        <f>блюда!DV13</f>
        <v>0</v>
      </c>
      <c r="DW108" s="473">
        <f>блюда!DW13</f>
        <v>0</v>
      </c>
      <c r="DX108" s="473">
        <f>блюда!DX13</f>
        <v>0</v>
      </c>
      <c r="DY108" s="473">
        <f>блюда!DY13</f>
        <v>0</v>
      </c>
      <c r="DZ108" s="473">
        <f>блюда!DZ13</f>
        <v>0</v>
      </c>
      <c r="EA108" s="473">
        <f>блюда!EA13</f>
        <v>0</v>
      </c>
      <c r="EB108" s="473">
        <f>блюда!EB13</f>
        <v>0</v>
      </c>
      <c r="EC108" s="473">
        <f>блюда!EC13</f>
        <v>0</v>
      </c>
      <c r="ED108" s="473">
        <f>блюда!ED13</f>
        <v>0</v>
      </c>
      <c r="EE108" s="473">
        <f>блюда!EE13</f>
        <v>0</v>
      </c>
      <c r="EF108" s="473">
        <f>блюда!EF13</f>
        <v>0</v>
      </c>
      <c r="EG108" s="473">
        <f>блюда!EG13</f>
        <v>0</v>
      </c>
      <c r="EH108" s="473">
        <f>блюда!EH13</f>
        <v>0</v>
      </c>
      <c r="EI108" s="473">
        <f>блюда!EI13</f>
        <v>0</v>
      </c>
      <c r="EJ108" s="473">
        <f>блюда!EJ13</f>
        <v>0</v>
      </c>
      <c r="EK108" s="473">
        <f>блюда!EK13</f>
        <v>0</v>
      </c>
      <c r="EL108" s="473">
        <f>блюда!EL13</f>
        <v>0</v>
      </c>
      <c r="EM108" s="473">
        <f>блюда!EM13</f>
        <v>0</v>
      </c>
      <c r="EN108" s="473">
        <f>блюда!EN13</f>
        <v>0</v>
      </c>
      <c r="EO108" s="473">
        <f>блюда!EO13</f>
        <v>0</v>
      </c>
      <c r="EP108" s="473">
        <f>блюда!EP13</f>
        <v>0</v>
      </c>
      <c r="EQ108" s="473">
        <f>блюда!EQ13</f>
        <v>0</v>
      </c>
      <c r="ER108" s="473">
        <f>блюда!ER13</f>
        <v>0</v>
      </c>
      <c r="ES108" s="473">
        <f>блюда!ES13</f>
        <v>0</v>
      </c>
      <c r="ET108" s="473">
        <f>блюда!ET13</f>
        <v>0</v>
      </c>
      <c r="EU108" s="473">
        <f>блюда!EU13</f>
        <v>0</v>
      </c>
      <c r="EV108" s="473">
        <f>блюда!EV13</f>
        <v>0</v>
      </c>
      <c r="EW108" s="473">
        <f>блюда!EW13</f>
        <v>0</v>
      </c>
      <c r="EX108" s="473">
        <f>блюда!EX13</f>
        <v>0</v>
      </c>
      <c r="EY108" s="927">
        <f t="shared" ref="EY108:EY115" si="65">SUM(J108:EX108)</f>
        <v>0.01</v>
      </c>
      <c r="EZ108" s="117">
        <f>блюда!EZ233</f>
        <v>0</v>
      </c>
      <c r="FA108" s="117">
        <f>блюда!FA233</f>
        <v>0</v>
      </c>
      <c r="FB108" s="117">
        <f>блюда!FB233</f>
        <v>0</v>
      </c>
      <c r="FC108" s="117">
        <f>блюда!FC233</f>
        <v>0</v>
      </c>
      <c r="FD108" s="117">
        <f>блюда!FD233</f>
        <v>0</v>
      </c>
      <c r="FE108" s="117">
        <f>блюда!FE233</f>
        <v>0</v>
      </c>
      <c r="FF108" s="117">
        <f>блюда!FF233</f>
        <v>0</v>
      </c>
      <c r="FG108" s="117">
        <f>блюда!FG233</f>
        <v>0</v>
      </c>
      <c r="FH108" s="117">
        <f>блюда!FH233</f>
        <v>0</v>
      </c>
      <c r="FI108" s="117">
        <f>блюда!FI233</f>
        <v>0</v>
      </c>
      <c r="FJ108" s="117">
        <f>блюда!FJ233</f>
        <v>0</v>
      </c>
      <c r="FK108" s="117">
        <f>блюда!FK233</f>
        <v>0</v>
      </c>
      <c r="FL108" s="117">
        <f>блюда!FL233</f>
        <v>0</v>
      </c>
    </row>
    <row r="109" spans="1:168" x14ac:dyDescent="0.25">
      <c r="A109" s="1460"/>
      <c r="B109" s="115" t="str">
        <f>блюда!B334</f>
        <v>Хлеб пшенично-ржаной нарезной</v>
      </c>
      <c r="C109" s="250">
        <f>блюда!C334</f>
        <v>40</v>
      </c>
      <c r="D109" s="431">
        <f>блюда!D334</f>
        <v>3</v>
      </c>
      <c r="E109" s="431">
        <f>блюда!E334</f>
        <v>0.8</v>
      </c>
      <c r="F109" s="431">
        <f>блюда!F334</f>
        <v>20.8</v>
      </c>
      <c r="G109" s="250">
        <f>блюда!G334</f>
        <v>100</v>
      </c>
      <c r="H109" s="250" t="str">
        <f>блюда!H334</f>
        <v>ПРОМ</v>
      </c>
      <c r="I109" s="431">
        <f>блюда!I334</f>
        <v>2.6</v>
      </c>
      <c r="J109" s="473">
        <f>блюда!J334</f>
        <v>0</v>
      </c>
      <c r="K109" s="473">
        <f>блюда!K334</f>
        <v>0</v>
      </c>
      <c r="L109" s="473">
        <f>блюда!L334</f>
        <v>0</v>
      </c>
      <c r="M109" s="473">
        <f>блюда!M334</f>
        <v>0</v>
      </c>
      <c r="N109" s="473">
        <f>блюда!N334</f>
        <v>0</v>
      </c>
      <c r="O109" s="473">
        <f>блюда!O334</f>
        <v>0</v>
      </c>
      <c r="P109" s="473">
        <f>блюда!P334</f>
        <v>0</v>
      </c>
      <c r="Q109" s="473">
        <f>блюда!Q334</f>
        <v>0</v>
      </c>
      <c r="R109" s="473">
        <f>блюда!R334</f>
        <v>0</v>
      </c>
      <c r="S109" s="473">
        <f>блюда!S334</f>
        <v>0</v>
      </c>
      <c r="T109" s="473">
        <f>блюда!T334</f>
        <v>0</v>
      </c>
      <c r="U109" s="473">
        <f>блюда!U334</f>
        <v>0</v>
      </c>
      <c r="V109" s="473">
        <f>блюда!V334</f>
        <v>0</v>
      </c>
      <c r="W109" s="473">
        <f>блюда!W334</f>
        <v>0</v>
      </c>
      <c r="X109" s="473">
        <f>блюда!X334</f>
        <v>0</v>
      </c>
      <c r="Y109" s="473">
        <f>блюда!Y334</f>
        <v>0</v>
      </c>
      <c r="Z109" s="473">
        <f>блюда!Z334</f>
        <v>0</v>
      </c>
      <c r="AA109" s="473">
        <f>блюда!AA334</f>
        <v>0</v>
      </c>
      <c r="AB109" s="473">
        <f>блюда!AB334</f>
        <v>0</v>
      </c>
      <c r="AC109" s="473">
        <f>блюда!AC334</f>
        <v>0</v>
      </c>
      <c r="AD109" s="473">
        <f>блюда!AD334</f>
        <v>0</v>
      </c>
      <c r="AE109" s="473">
        <f>блюда!AE334</f>
        <v>0</v>
      </c>
      <c r="AF109" s="473">
        <f>блюда!AF334</f>
        <v>0</v>
      </c>
      <c r="AG109" s="473">
        <f>блюда!AG334</f>
        <v>0</v>
      </c>
      <c r="AH109" s="473">
        <f>блюда!AH334</f>
        <v>0</v>
      </c>
      <c r="AI109" s="473">
        <f>блюда!AI334</f>
        <v>0</v>
      </c>
      <c r="AJ109" s="473">
        <f>блюда!AJ334</f>
        <v>0</v>
      </c>
      <c r="AK109" s="473">
        <f>блюда!AK334</f>
        <v>0</v>
      </c>
      <c r="AL109" s="473">
        <f>блюда!AL334</f>
        <v>0</v>
      </c>
      <c r="AM109" s="473">
        <f>блюда!AM334</f>
        <v>0</v>
      </c>
      <c r="AN109" s="473">
        <f>блюда!AN334</f>
        <v>0</v>
      </c>
      <c r="AO109" s="473">
        <f>блюда!AO334</f>
        <v>0</v>
      </c>
      <c r="AP109" s="473">
        <f>блюда!AP334</f>
        <v>0</v>
      </c>
      <c r="AQ109" s="473">
        <f>блюда!AQ334</f>
        <v>0</v>
      </c>
      <c r="AR109" s="473">
        <f>блюда!AR334</f>
        <v>0</v>
      </c>
      <c r="AS109" s="473">
        <f>блюда!AS334</f>
        <v>0</v>
      </c>
      <c r="AT109" s="473">
        <f>блюда!AT334</f>
        <v>0</v>
      </c>
      <c r="AU109" s="473">
        <f>блюда!AU334</f>
        <v>0</v>
      </c>
      <c r="AV109" s="473">
        <f>блюда!AV334</f>
        <v>0</v>
      </c>
      <c r="AW109" s="473">
        <f>блюда!AW334</f>
        <v>0</v>
      </c>
      <c r="AX109" s="473">
        <f>блюда!AX334</f>
        <v>0</v>
      </c>
      <c r="AY109" s="473">
        <f>блюда!AY334</f>
        <v>0</v>
      </c>
      <c r="AZ109" s="473">
        <f>блюда!AZ334</f>
        <v>0</v>
      </c>
      <c r="BA109" s="473">
        <f>блюда!BA334</f>
        <v>0</v>
      </c>
      <c r="BB109" s="473">
        <f>блюда!BB334</f>
        <v>0</v>
      </c>
      <c r="BC109" s="473">
        <f>блюда!BC334</f>
        <v>0</v>
      </c>
      <c r="BD109" s="473">
        <f>блюда!BD334</f>
        <v>0</v>
      </c>
      <c r="BE109" s="473">
        <f>блюда!BE334</f>
        <v>0</v>
      </c>
      <c r="BF109" s="473">
        <f>блюда!BF334</f>
        <v>0</v>
      </c>
      <c r="BG109" s="473">
        <f>блюда!BG334</f>
        <v>0</v>
      </c>
      <c r="BH109" s="473">
        <f>блюда!BH334</f>
        <v>0</v>
      </c>
      <c r="BI109" s="473">
        <f>блюда!BI334</f>
        <v>0</v>
      </c>
      <c r="BJ109" s="473">
        <f>блюда!BJ334</f>
        <v>0</v>
      </c>
      <c r="BK109" s="473">
        <f>блюда!BK334</f>
        <v>0</v>
      </c>
      <c r="BL109" s="473">
        <f>блюда!BL334</f>
        <v>0</v>
      </c>
      <c r="BM109" s="473">
        <f>блюда!BM334</f>
        <v>0</v>
      </c>
      <c r="BN109" s="473">
        <f>блюда!BN334</f>
        <v>0</v>
      </c>
      <c r="BO109" s="473">
        <f>блюда!BO334</f>
        <v>0</v>
      </c>
      <c r="BP109" s="473">
        <f>блюда!BP334</f>
        <v>0</v>
      </c>
      <c r="BQ109" s="473">
        <f>блюда!BQ334</f>
        <v>0</v>
      </c>
      <c r="BR109" s="473">
        <f>блюда!BR334</f>
        <v>0</v>
      </c>
      <c r="BS109" s="473">
        <f>блюда!BS334</f>
        <v>0</v>
      </c>
      <c r="BT109" s="473">
        <f>блюда!BT334</f>
        <v>0</v>
      </c>
      <c r="BU109" s="473">
        <f>блюда!BU334</f>
        <v>0</v>
      </c>
      <c r="BV109" s="473">
        <f>блюда!BV334</f>
        <v>0</v>
      </c>
      <c r="BW109" s="473">
        <f>блюда!BW334</f>
        <v>0</v>
      </c>
      <c r="BX109" s="473">
        <f>блюда!BX334</f>
        <v>0</v>
      </c>
      <c r="BY109" s="473">
        <f>блюда!BY334</f>
        <v>0</v>
      </c>
      <c r="BZ109" s="473">
        <f>блюда!BZ334</f>
        <v>0</v>
      </c>
      <c r="CA109" s="473">
        <f>блюда!CA334</f>
        <v>0</v>
      </c>
      <c r="CB109" s="473">
        <f>блюда!CB334</f>
        <v>0</v>
      </c>
      <c r="CC109" s="473">
        <f>блюда!CC334</f>
        <v>0</v>
      </c>
      <c r="CD109" s="473">
        <f>блюда!CD334</f>
        <v>0</v>
      </c>
      <c r="CE109" s="473">
        <f>блюда!CE334</f>
        <v>0</v>
      </c>
      <c r="CF109" s="473">
        <f>блюда!CF334</f>
        <v>0</v>
      </c>
      <c r="CG109" s="473">
        <f>блюда!CG334</f>
        <v>0</v>
      </c>
      <c r="CH109" s="473">
        <f>блюда!CH334</f>
        <v>0</v>
      </c>
      <c r="CI109" s="473">
        <f>блюда!CI334</f>
        <v>0</v>
      </c>
      <c r="CJ109" s="473">
        <f>блюда!CJ334</f>
        <v>0</v>
      </c>
      <c r="CK109" s="473">
        <f>блюда!CK334</f>
        <v>0</v>
      </c>
      <c r="CL109" s="473">
        <f>блюда!CL334</f>
        <v>0</v>
      </c>
      <c r="CM109" s="473">
        <f>блюда!CM334</f>
        <v>0</v>
      </c>
      <c r="CN109" s="473">
        <f>блюда!CN334</f>
        <v>0</v>
      </c>
      <c r="CO109" s="473">
        <f>блюда!CO334</f>
        <v>0</v>
      </c>
      <c r="CP109" s="473">
        <f>блюда!CP334</f>
        <v>0</v>
      </c>
      <c r="CQ109" s="473">
        <f>блюда!CQ334</f>
        <v>0</v>
      </c>
      <c r="CR109" s="473">
        <f>блюда!CR334</f>
        <v>0</v>
      </c>
      <c r="CS109" s="473">
        <f>блюда!CS334</f>
        <v>0</v>
      </c>
      <c r="CT109" s="473">
        <f>блюда!CT334</f>
        <v>0</v>
      </c>
      <c r="CU109" s="473">
        <f>блюда!CU334</f>
        <v>0</v>
      </c>
      <c r="CV109" s="473">
        <f>блюда!CV334</f>
        <v>0</v>
      </c>
      <c r="CW109" s="473">
        <f>блюда!CW334</f>
        <v>0</v>
      </c>
      <c r="CX109" s="473">
        <f>блюда!CX334</f>
        <v>0</v>
      </c>
      <c r="CY109" s="473">
        <f>блюда!CY334</f>
        <v>0</v>
      </c>
      <c r="CZ109" s="473">
        <f>блюда!CZ334</f>
        <v>0</v>
      </c>
      <c r="DA109" s="473">
        <f>блюда!DA334</f>
        <v>0</v>
      </c>
      <c r="DB109" s="473">
        <f>блюда!DB334</f>
        <v>0</v>
      </c>
      <c r="DC109" s="473">
        <f>блюда!DC334</f>
        <v>0</v>
      </c>
      <c r="DD109" s="473">
        <f>блюда!DD334</f>
        <v>0</v>
      </c>
      <c r="DE109" s="473">
        <f>блюда!DE334</f>
        <v>0</v>
      </c>
      <c r="DF109" s="473">
        <f>блюда!DF334</f>
        <v>0</v>
      </c>
      <c r="DG109" s="473">
        <f>блюда!DG334</f>
        <v>0</v>
      </c>
      <c r="DH109" s="473">
        <f>блюда!DH334</f>
        <v>0</v>
      </c>
      <c r="DI109" s="473">
        <f>блюда!DI334</f>
        <v>0</v>
      </c>
      <c r="DJ109" s="473">
        <f>блюда!DJ334</f>
        <v>0</v>
      </c>
      <c r="DK109" s="473">
        <f>блюда!DK334</f>
        <v>0</v>
      </c>
      <c r="DL109" s="473">
        <f>блюда!DL334</f>
        <v>0</v>
      </c>
      <c r="DM109" s="473">
        <f>блюда!DM334</f>
        <v>0</v>
      </c>
      <c r="DN109" s="473">
        <f>блюда!DN334</f>
        <v>0</v>
      </c>
      <c r="DO109" s="473">
        <f>блюда!DO334</f>
        <v>0</v>
      </c>
      <c r="DP109" s="473">
        <f>блюда!DP334</f>
        <v>0</v>
      </c>
      <c r="DQ109" s="473">
        <f>блюда!DQ334</f>
        <v>0</v>
      </c>
      <c r="DR109" s="473">
        <f>блюда!DR334</f>
        <v>0</v>
      </c>
      <c r="DS109" s="473">
        <f>блюда!DS334</f>
        <v>0</v>
      </c>
      <c r="DT109" s="473">
        <f>блюда!DT334</f>
        <v>0</v>
      </c>
      <c r="DU109" s="473">
        <f>блюда!DU334</f>
        <v>0</v>
      </c>
      <c r="DV109" s="473">
        <f>блюда!DV334</f>
        <v>0</v>
      </c>
      <c r="DW109" s="473">
        <f>блюда!DW334</f>
        <v>0</v>
      </c>
      <c r="DX109" s="473">
        <f>блюда!DX334</f>
        <v>0</v>
      </c>
      <c r="DY109" s="473">
        <f>блюда!DY334</f>
        <v>0</v>
      </c>
      <c r="DZ109" s="473">
        <f>блюда!DZ334</f>
        <v>0</v>
      </c>
      <c r="EA109" s="473">
        <f>блюда!EA334</f>
        <v>0</v>
      </c>
      <c r="EB109" s="473">
        <f>блюда!EB334</f>
        <v>0</v>
      </c>
      <c r="EC109" s="473">
        <f>блюда!EC334</f>
        <v>0</v>
      </c>
      <c r="ED109" s="473">
        <f>блюда!ED334</f>
        <v>0</v>
      </c>
      <c r="EE109" s="473">
        <f>блюда!EE334</f>
        <v>0</v>
      </c>
      <c r="EF109" s="473">
        <f>блюда!EF334</f>
        <v>0</v>
      </c>
      <c r="EG109" s="473">
        <f>блюда!EG334</f>
        <v>0</v>
      </c>
      <c r="EH109" s="473">
        <f>блюда!EH334</f>
        <v>0</v>
      </c>
      <c r="EI109" s="473">
        <f>блюда!EI334</f>
        <v>0</v>
      </c>
      <c r="EJ109" s="473">
        <f>блюда!EJ334</f>
        <v>0</v>
      </c>
      <c r="EK109" s="473">
        <f>блюда!EK334</f>
        <v>0</v>
      </c>
      <c r="EL109" s="473">
        <f>блюда!EL334</f>
        <v>0</v>
      </c>
      <c r="EM109" s="473">
        <f>блюда!EM334</f>
        <v>0</v>
      </c>
      <c r="EN109" s="473">
        <f>блюда!EN334</f>
        <v>0</v>
      </c>
      <c r="EO109" s="473">
        <f>блюда!EO334</f>
        <v>0</v>
      </c>
      <c r="EP109" s="473">
        <f>блюда!EP334</f>
        <v>0</v>
      </c>
      <c r="EQ109" s="473">
        <f>блюда!EQ334</f>
        <v>0</v>
      </c>
      <c r="ER109" s="473">
        <f>блюда!ER334</f>
        <v>0</v>
      </c>
      <c r="ES109" s="473">
        <f>блюда!ES334</f>
        <v>0</v>
      </c>
      <c r="ET109" s="473">
        <f>блюда!ET334</f>
        <v>0</v>
      </c>
      <c r="EU109" s="473">
        <f>блюда!EU334</f>
        <v>0</v>
      </c>
      <c r="EV109" s="473">
        <f>блюда!EV334</f>
        <v>0</v>
      </c>
      <c r="EW109" s="473">
        <f>блюда!EW334</f>
        <v>0.04</v>
      </c>
      <c r="EX109" s="473">
        <f>блюда!EX334</f>
        <v>0</v>
      </c>
      <c r="EY109" s="927">
        <f t="shared" si="65"/>
        <v>0.04</v>
      </c>
      <c r="EZ109" s="117">
        <f>блюда!EZ288</f>
        <v>0</v>
      </c>
      <c r="FA109" s="117">
        <f>блюда!FA288</f>
        <v>0</v>
      </c>
      <c r="FB109" s="117">
        <f>блюда!FB288</f>
        <v>0</v>
      </c>
      <c r="FC109" s="117">
        <f>блюда!FC288</f>
        <v>0</v>
      </c>
      <c r="FD109" s="117">
        <f>блюда!FD288</f>
        <v>0</v>
      </c>
      <c r="FE109" s="117">
        <f>блюда!FE288</f>
        <v>0</v>
      </c>
      <c r="FF109" s="117">
        <f>блюда!FF288</f>
        <v>0</v>
      </c>
      <c r="FG109" s="117">
        <f>блюда!FG288</f>
        <v>0</v>
      </c>
      <c r="FH109" s="117">
        <f>блюда!FH288</f>
        <v>0</v>
      </c>
      <c r="FI109" s="117">
        <f>блюда!FI288</f>
        <v>0</v>
      </c>
      <c r="FJ109" s="117">
        <f>блюда!FJ288</f>
        <v>0</v>
      </c>
      <c r="FK109" s="117">
        <f>блюда!FK288</f>
        <v>0</v>
      </c>
      <c r="FL109" s="117">
        <f>блюда!FL288</f>
        <v>0</v>
      </c>
    </row>
    <row r="110" spans="1:168" x14ac:dyDescent="0.25">
      <c r="A110" s="1460"/>
      <c r="B110" s="115" t="str">
        <f>блюда!B286</f>
        <v>Чай с сахаром</v>
      </c>
      <c r="C110" s="250">
        <f>блюда!C286</f>
        <v>200</v>
      </c>
      <c r="D110" s="431">
        <f>блюда!D286</f>
        <v>7.0000000000000007E-2</v>
      </c>
      <c r="E110" s="431">
        <f>блюда!E286</f>
        <v>0.02</v>
      </c>
      <c r="F110" s="431">
        <f>блюда!F286</f>
        <v>13.95</v>
      </c>
      <c r="G110" s="250">
        <f>блюда!G286</f>
        <v>56</v>
      </c>
      <c r="H110" s="250">
        <f>блюда!H286</f>
        <v>376</v>
      </c>
      <c r="I110" s="431">
        <f>блюда!I286</f>
        <v>1.59</v>
      </c>
      <c r="J110" s="473">
        <f>блюда!J286</f>
        <v>0</v>
      </c>
      <c r="K110" s="473">
        <f>блюда!K286</f>
        <v>0</v>
      </c>
      <c r="L110" s="473">
        <f>блюда!L286</f>
        <v>0</v>
      </c>
      <c r="M110" s="473">
        <f>блюда!M286</f>
        <v>0</v>
      </c>
      <c r="N110" s="473">
        <f>блюда!N286</f>
        <v>0</v>
      </c>
      <c r="O110" s="473">
        <f>блюда!O286</f>
        <v>0</v>
      </c>
      <c r="P110" s="473">
        <f>блюда!P286</f>
        <v>0</v>
      </c>
      <c r="Q110" s="473">
        <f>блюда!Q286</f>
        <v>0</v>
      </c>
      <c r="R110" s="473">
        <f>блюда!R286</f>
        <v>0</v>
      </c>
      <c r="S110" s="473">
        <f>блюда!S286</f>
        <v>0</v>
      </c>
      <c r="T110" s="473">
        <f>блюда!T286</f>
        <v>0</v>
      </c>
      <c r="U110" s="473">
        <f>блюда!U286</f>
        <v>0</v>
      </c>
      <c r="V110" s="473">
        <f>блюда!V286</f>
        <v>0</v>
      </c>
      <c r="W110" s="473">
        <f>блюда!W286</f>
        <v>0</v>
      </c>
      <c r="X110" s="473">
        <f>блюда!X286</f>
        <v>0</v>
      </c>
      <c r="Y110" s="473">
        <f>блюда!Y286</f>
        <v>0</v>
      </c>
      <c r="Z110" s="473">
        <f>блюда!Z286</f>
        <v>0</v>
      </c>
      <c r="AA110" s="473">
        <f>блюда!AA286</f>
        <v>0</v>
      </c>
      <c r="AB110" s="473">
        <f>блюда!AB286</f>
        <v>0</v>
      </c>
      <c r="AC110" s="473">
        <f>блюда!AC286</f>
        <v>0</v>
      </c>
      <c r="AD110" s="473">
        <f>блюда!AD286</f>
        <v>0</v>
      </c>
      <c r="AE110" s="473">
        <f>блюда!AE286</f>
        <v>0</v>
      </c>
      <c r="AF110" s="473">
        <f>блюда!AF286</f>
        <v>0</v>
      </c>
      <c r="AG110" s="473">
        <f>блюда!AG286</f>
        <v>0</v>
      </c>
      <c r="AH110" s="473">
        <f>блюда!AH286</f>
        <v>0</v>
      </c>
      <c r="AI110" s="473">
        <f>блюда!AI286</f>
        <v>0</v>
      </c>
      <c r="AJ110" s="473">
        <f>блюда!AJ286</f>
        <v>0</v>
      </c>
      <c r="AK110" s="473">
        <f>блюда!AK286</f>
        <v>0</v>
      </c>
      <c r="AL110" s="473">
        <f>блюда!AL286</f>
        <v>0</v>
      </c>
      <c r="AM110" s="473">
        <f>блюда!AM286</f>
        <v>0</v>
      </c>
      <c r="AN110" s="473">
        <f>блюда!AN286</f>
        <v>0</v>
      </c>
      <c r="AO110" s="473">
        <f>блюда!AO286</f>
        <v>0</v>
      </c>
      <c r="AP110" s="473">
        <f>блюда!AP286</f>
        <v>0</v>
      </c>
      <c r="AQ110" s="473">
        <f>блюда!AQ286</f>
        <v>0</v>
      </c>
      <c r="AR110" s="473">
        <f>блюда!AR286</f>
        <v>0</v>
      </c>
      <c r="AS110" s="473">
        <f>блюда!AS286</f>
        <v>0</v>
      </c>
      <c r="AT110" s="473">
        <f>блюда!AT286</f>
        <v>0</v>
      </c>
      <c r="AU110" s="473">
        <f>блюда!AU286</f>
        <v>0</v>
      </c>
      <c r="AV110" s="473">
        <f>блюда!AV286</f>
        <v>0</v>
      </c>
      <c r="AW110" s="473">
        <f>блюда!AW286</f>
        <v>0</v>
      </c>
      <c r="AX110" s="473">
        <f>блюда!AX286</f>
        <v>0</v>
      </c>
      <c r="AY110" s="473">
        <f>блюда!AY286</f>
        <v>0</v>
      </c>
      <c r="AZ110" s="473">
        <f>блюда!AZ286</f>
        <v>0</v>
      </c>
      <c r="BA110" s="473">
        <f>блюда!BA286</f>
        <v>0</v>
      </c>
      <c r="BB110" s="473">
        <f>блюда!BB286</f>
        <v>0</v>
      </c>
      <c r="BC110" s="473">
        <f>блюда!BC286</f>
        <v>0</v>
      </c>
      <c r="BD110" s="473">
        <f>блюда!BD286</f>
        <v>0</v>
      </c>
      <c r="BE110" s="473">
        <f>блюда!BE286</f>
        <v>0</v>
      </c>
      <c r="BF110" s="473">
        <f>блюда!BF286</f>
        <v>0</v>
      </c>
      <c r="BG110" s="473">
        <f>блюда!BG286</f>
        <v>0</v>
      </c>
      <c r="BH110" s="473">
        <f>блюда!BH286</f>
        <v>0</v>
      </c>
      <c r="BI110" s="473">
        <f>блюда!BI286</f>
        <v>0</v>
      </c>
      <c r="BJ110" s="473">
        <f>блюда!BJ286</f>
        <v>0</v>
      </c>
      <c r="BK110" s="473">
        <f>блюда!BK286</f>
        <v>0</v>
      </c>
      <c r="BL110" s="473">
        <f>блюда!BL286</f>
        <v>0</v>
      </c>
      <c r="BM110" s="473">
        <f>блюда!BM286</f>
        <v>0</v>
      </c>
      <c r="BN110" s="473">
        <f>блюда!BN286</f>
        <v>0</v>
      </c>
      <c r="BO110" s="473">
        <f>блюда!BO286</f>
        <v>0</v>
      </c>
      <c r="BP110" s="473">
        <f>блюда!BP286</f>
        <v>0</v>
      </c>
      <c r="BQ110" s="473">
        <f>блюда!BQ286</f>
        <v>0</v>
      </c>
      <c r="BR110" s="473">
        <f>блюда!BR286</f>
        <v>0</v>
      </c>
      <c r="BS110" s="473">
        <f>блюда!BS286</f>
        <v>0</v>
      </c>
      <c r="BT110" s="473">
        <f>блюда!BT286</f>
        <v>0</v>
      </c>
      <c r="BU110" s="473">
        <f>блюда!BU286</f>
        <v>0</v>
      </c>
      <c r="BV110" s="473">
        <f>блюда!BV286</f>
        <v>0</v>
      </c>
      <c r="BW110" s="473">
        <f>блюда!BW286</f>
        <v>0</v>
      </c>
      <c r="BX110" s="473">
        <f>блюда!BX286</f>
        <v>0</v>
      </c>
      <c r="BY110" s="473">
        <f>блюда!BY286</f>
        <v>0</v>
      </c>
      <c r="BZ110" s="473">
        <f>блюда!BZ286</f>
        <v>0</v>
      </c>
      <c r="CA110" s="473">
        <f>блюда!CA286</f>
        <v>0</v>
      </c>
      <c r="CB110" s="473">
        <f>блюда!CB286</f>
        <v>0</v>
      </c>
      <c r="CC110" s="473">
        <f>блюда!CC286</f>
        <v>0</v>
      </c>
      <c r="CD110" s="473">
        <f>блюда!CD286</f>
        <v>0</v>
      </c>
      <c r="CE110" s="473">
        <f>блюда!CE286</f>
        <v>0</v>
      </c>
      <c r="CF110" s="473">
        <f>блюда!CF286</f>
        <v>0</v>
      </c>
      <c r="CG110" s="473">
        <f>блюда!CG286</f>
        <v>0</v>
      </c>
      <c r="CH110" s="473">
        <f>блюда!CH286</f>
        <v>0</v>
      </c>
      <c r="CI110" s="473">
        <f>блюда!CI286</f>
        <v>0</v>
      </c>
      <c r="CJ110" s="473">
        <f>блюда!CJ286</f>
        <v>0</v>
      </c>
      <c r="CK110" s="473">
        <f>блюда!CK286</f>
        <v>0</v>
      </c>
      <c r="CL110" s="473">
        <f>блюда!CL286</f>
        <v>0</v>
      </c>
      <c r="CM110" s="473">
        <f>блюда!CM286</f>
        <v>0</v>
      </c>
      <c r="CN110" s="473">
        <f>блюда!CN286</f>
        <v>0</v>
      </c>
      <c r="CO110" s="473">
        <f>блюда!CO286</f>
        <v>0</v>
      </c>
      <c r="CP110" s="473">
        <f>блюда!CP286</f>
        <v>0</v>
      </c>
      <c r="CQ110" s="473">
        <f>блюда!CQ286</f>
        <v>0</v>
      </c>
      <c r="CR110" s="473">
        <f>блюда!CR286</f>
        <v>0</v>
      </c>
      <c r="CS110" s="473">
        <f>блюда!CS286</f>
        <v>0</v>
      </c>
      <c r="CT110" s="473">
        <f>блюда!CT286</f>
        <v>0</v>
      </c>
      <c r="CU110" s="473">
        <f>блюда!CU286</f>
        <v>0</v>
      </c>
      <c r="CV110" s="473">
        <f>блюда!CV286</f>
        <v>0</v>
      </c>
      <c r="CW110" s="473">
        <f>блюда!CW286</f>
        <v>0</v>
      </c>
      <c r="CX110" s="473">
        <f>блюда!CX286</f>
        <v>0</v>
      </c>
      <c r="CY110" s="473">
        <f>блюда!CY286</f>
        <v>0</v>
      </c>
      <c r="CZ110" s="473">
        <f>блюда!CZ286</f>
        <v>1.4999999999999999E-2</v>
      </c>
      <c r="DA110" s="473">
        <f>блюда!DA286</f>
        <v>0</v>
      </c>
      <c r="DB110" s="473">
        <f>блюда!DB286</f>
        <v>0</v>
      </c>
      <c r="DC110" s="473">
        <f>блюда!DC286</f>
        <v>0</v>
      </c>
      <c r="DD110" s="473">
        <f>блюда!DD286</f>
        <v>0</v>
      </c>
      <c r="DE110" s="473">
        <f>блюда!DE286</f>
        <v>0</v>
      </c>
      <c r="DF110" s="473">
        <f>блюда!DF286</f>
        <v>0</v>
      </c>
      <c r="DG110" s="473">
        <f>блюда!DG286</f>
        <v>0</v>
      </c>
      <c r="DH110" s="473">
        <f>блюда!DH286</f>
        <v>0</v>
      </c>
      <c r="DI110" s="473">
        <f>блюда!DI286</f>
        <v>0</v>
      </c>
      <c r="DJ110" s="473">
        <f>блюда!DJ286</f>
        <v>0</v>
      </c>
      <c r="DK110" s="473">
        <f>блюда!DK286</f>
        <v>0</v>
      </c>
      <c r="DL110" s="473">
        <f>блюда!DL286</f>
        <v>0</v>
      </c>
      <c r="DM110" s="473">
        <f>блюда!DM286</f>
        <v>0</v>
      </c>
      <c r="DN110" s="473">
        <f>блюда!DN286</f>
        <v>0</v>
      </c>
      <c r="DO110" s="473">
        <f>блюда!DO286</f>
        <v>0</v>
      </c>
      <c r="DP110" s="473">
        <f>блюда!DP286</f>
        <v>0</v>
      </c>
      <c r="DQ110" s="473">
        <f>блюда!DQ286</f>
        <v>0</v>
      </c>
      <c r="DR110" s="473">
        <f>блюда!DR286</f>
        <v>5.0000000000000001E-4</v>
      </c>
      <c r="DS110" s="473">
        <f>блюда!DS286</f>
        <v>0</v>
      </c>
      <c r="DT110" s="473">
        <f>блюда!DT286</f>
        <v>0</v>
      </c>
      <c r="DU110" s="473">
        <f>блюда!DU286</f>
        <v>0</v>
      </c>
      <c r="DV110" s="473">
        <f>блюда!DV286</f>
        <v>0</v>
      </c>
      <c r="DW110" s="473">
        <f>блюда!DW286</f>
        <v>0</v>
      </c>
      <c r="DX110" s="473">
        <f>блюда!DX286</f>
        <v>0</v>
      </c>
      <c r="DY110" s="473">
        <f>блюда!DY286</f>
        <v>0</v>
      </c>
      <c r="DZ110" s="473">
        <f>блюда!DZ286</f>
        <v>0</v>
      </c>
      <c r="EA110" s="473">
        <f>блюда!EA286</f>
        <v>0</v>
      </c>
      <c r="EB110" s="473">
        <f>блюда!EB286</f>
        <v>0</v>
      </c>
      <c r="EC110" s="473">
        <f>блюда!EC286</f>
        <v>0</v>
      </c>
      <c r="ED110" s="473">
        <f>блюда!ED286</f>
        <v>0</v>
      </c>
      <c r="EE110" s="473">
        <f>блюда!EE286</f>
        <v>0</v>
      </c>
      <c r="EF110" s="473">
        <f>блюда!EF286</f>
        <v>0</v>
      </c>
      <c r="EG110" s="473">
        <f>блюда!EG286</f>
        <v>0</v>
      </c>
      <c r="EH110" s="473">
        <f>блюда!EH286</f>
        <v>0</v>
      </c>
      <c r="EI110" s="473">
        <f>блюда!EI286</f>
        <v>0</v>
      </c>
      <c r="EJ110" s="473">
        <f>блюда!EJ286</f>
        <v>0</v>
      </c>
      <c r="EK110" s="473">
        <f>блюда!EK286</f>
        <v>0</v>
      </c>
      <c r="EL110" s="473">
        <f>блюда!EL286</f>
        <v>0</v>
      </c>
      <c r="EM110" s="473">
        <f>блюда!EM286</f>
        <v>0</v>
      </c>
      <c r="EN110" s="473">
        <f>блюда!EN286</f>
        <v>0</v>
      </c>
      <c r="EO110" s="473">
        <f>блюда!EO286</f>
        <v>0</v>
      </c>
      <c r="EP110" s="473">
        <f>блюда!EP286</f>
        <v>0</v>
      </c>
      <c r="EQ110" s="473">
        <f>блюда!EQ286</f>
        <v>0</v>
      </c>
      <c r="ER110" s="473">
        <f>блюда!ER286</f>
        <v>0</v>
      </c>
      <c r="ES110" s="473">
        <f>блюда!ES286</f>
        <v>0</v>
      </c>
      <c r="ET110" s="473">
        <f>блюда!ET286</f>
        <v>0</v>
      </c>
      <c r="EU110" s="473">
        <f>блюда!EU286</f>
        <v>0</v>
      </c>
      <c r="EV110" s="473">
        <f>блюда!EV286</f>
        <v>0</v>
      </c>
      <c r="EW110" s="473">
        <f>блюда!EW286</f>
        <v>0</v>
      </c>
      <c r="EX110" s="473">
        <f>блюда!EX286</f>
        <v>0</v>
      </c>
      <c r="EY110" s="927">
        <f t="shared" si="65"/>
        <v>1.55E-2</v>
      </c>
      <c r="EZ110" s="117">
        <f>блюда!EZ332</f>
        <v>0</v>
      </c>
      <c r="FA110" s="117">
        <f>блюда!FA332</f>
        <v>0</v>
      </c>
      <c r="FB110" s="117">
        <f>блюда!FB332</f>
        <v>0</v>
      </c>
      <c r="FC110" s="117">
        <f>блюда!FC332</f>
        <v>0</v>
      </c>
      <c r="FD110" s="117">
        <f>блюда!FD332</f>
        <v>0</v>
      </c>
      <c r="FE110" s="117">
        <f>блюда!FE332</f>
        <v>0</v>
      </c>
      <c r="FF110" s="117">
        <f>блюда!FF332</f>
        <v>0</v>
      </c>
      <c r="FG110" s="117">
        <f>блюда!FG332</f>
        <v>0</v>
      </c>
      <c r="FH110" s="117">
        <f>блюда!FH332</f>
        <v>0</v>
      </c>
      <c r="FI110" s="117">
        <f>блюда!FI332</f>
        <v>0</v>
      </c>
      <c r="FJ110" s="117">
        <f>блюда!FJ332</f>
        <v>0</v>
      </c>
      <c r="FK110" s="117">
        <f>блюда!FK332</f>
        <v>0</v>
      </c>
      <c r="FL110" s="117">
        <f>блюда!FL332</f>
        <v>0</v>
      </c>
    </row>
    <row r="111" spans="1:168" x14ac:dyDescent="0.25">
      <c r="A111" s="1460"/>
      <c r="B111" s="115" t="str">
        <f>блюда!B343</f>
        <v>Вода питьевая 19 л</v>
      </c>
      <c r="C111" s="250">
        <f>блюда!C343</f>
        <v>500</v>
      </c>
      <c r="D111" s="431">
        <f>блюда!D343</f>
        <v>0</v>
      </c>
      <c r="E111" s="431">
        <f>блюда!E343</f>
        <v>0</v>
      </c>
      <c r="F111" s="431">
        <f>блюда!F343</f>
        <v>0</v>
      </c>
      <c r="G111" s="250">
        <f>блюда!G343</f>
        <v>0</v>
      </c>
      <c r="H111" s="250" t="str">
        <f>блюда!H343</f>
        <v>ПРОМ</v>
      </c>
      <c r="I111" s="431">
        <f>блюда!I343</f>
        <v>2.9</v>
      </c>
      <c r="J111" s="473">
        <f>блюда!J343</f>
        <v>0</v>
      </c>
      <c r="K111" s="473">
        <f>блюда!K343</f>
        <v>0</v>
      </c>
      <c r="L111" s="473">
        <f>блюда!L343</f>
        <v>0</v>
      </c>
      <c r="M111" s="473">
        <f>блюда!M343</f>
        <v>0</v>
      </c>
      <c r="N111" s="473">
        <f>блюда!N343</f>
        <v>0</v>
      </c>
      <c r="O111" s="473">
        <f>блюда!O343</f>
        <v>0</v>
      </c>
      <c r="P111" s="473">
        <f>блюда!P343</f>
        <v>0</v>
      </c>
      <c r="Q111" s="473">
        <f>блюда!Q343</f>
        <v>0</v>
      </c>
      <c r="R111" s="473">
        <f>блюда!R343</f>
        <v>0</v>
      </c>
      <c r="S111" s="473">
        <f>блюда!S343</f>
        <v>0</v>
      </c>
      <c r="T111" s="473">
        <f>блюда!T343</f>
        <v>0</v>
      </c>
      <c r="U111" s="473">
        <f>блюда!U343</f>
        <v>0</v>
      </c>
      <c r="V111" s="473">
        <f>блюда!V343</f>
        <v>0</v>
      </c>
      <c r="W111" s="473">
        <f>блюда!W343</f>
        <v>0</v>
      </c>
      <c r="X111" s="473">
        <f>блюда!X343</f>
        <v>0</v>
      </c>
      <c r="Y111" s="473">
        <f>блюда!Y343</f>
        <v>0</v>
      </c>
      <c r="Z111" s="473">
        <f>блюда!Z343</f>
        <v>0</v>
      </c>
      <c r="AA111" s="473">
        <f>блюда!AA343</f>
        <v>0</v>
      </c>
      <c r="AB111" s="473">
        <f>блюда!AB343</f>
        <v>0</v>
      </c>
      <c r="AC111" s="473">
        <f>блюда!AC343</f>
        <v>0</v>
      </c>
      <c r="AD111" s="473">
        <f>блюда!AD343</f>
        <v>0</v>
      </c>
      <c r="AE111" s="473">
        <f>блюда!AE343</f>
        <v>0</v>
      </c>
      <c r="AF111" s="473">
        <f>блюда!AF343</f>
        <v>0</v>
      </c>
      <c r="AG111" s="473">
        <f>блюда!AG343</f>
        <v>0</v>
      </c>
      <c r="AH111" s="473">
        <f>блюда!AH343</f>
        <v>0</v>
      </c>
      <c r="AI111" s="473">
        <f>блюда!AI343</f>
        <v>0</v>
      </c>
      <c r="AJ111" s="473">
        <f>блюда!AJ343</f>
        <v>0</v>
      </c>
      <c r="AK111" s="473">
        <f>блюда!AK343</f>
        <v>0</v>
      </c>
      <c r="AL111" s="473">
        <f>блюда!AL343</f>
        <v>0</v>
      </c>
      <c r="AM111" s="473">
        <f>блюда!AM343</f>
        <v>0</v>
      </c>
      <c r="AN111" s="473">
        <f>блюда!AN343</f>
        <v>0</v>
      </c>
      <c r="AO111" s="473">
        <f>блюда!AO343</f>
        <v>0</v>
      </c>
      <c r="AP111" s="473">
        <f>блюда!AP343</f>
        <v>0</v>
      </c>
      <c r="AQ111" s="473">
        <f>блюда!AQ343</f>
        <v>0</v>
      </c>
      <c r="AR111" s="473">
        <f>блюда!AR343</f>
        <v>0</v>
      </c>
      <c r="AS111" s="473">
        <f>блюда!AS343</f>
        <v>0</v>
      </c>
      <c r="AT111" s="473">
        <f>блюда!AT343</f>
        <v>0</v>
      </c>
      <c r="AU111" s="473">
        <f>блюда!AU343</f>
        <v>0</v>
      </c>
      <c r="AV111" s="473">
        <f>блюда!AV343</f>
        <v>0</v>
      </c>
      <c r="AW111" s="473">
        <f>блюда!AW343</f>
        <v>0</v>
      </c>
      <c r="AX111" s="473">
        <f>блюда!AX343</f>
        <v>0</v>
      </c>
      <c r="AY111" s="473">
        <f>блюда!AY343</f>
        <v>0</v>
      </c>
      <c r="AZ111" s="473">
        <f>блюда!AZ343</f>
        <v>0</v>
      </c>
      <c r="BA111" s="473">
        <f>блюда!BA343</f>
        <v>0</v>
      </c>
      <c r="BB111" s="473">
        <f>блюда!BB343</f>
        <v>0</v>
      </c>
      <c r="BC111" s="473">
        <f>блюда!BC343</f>
        <v>0</v>
      </c>
      <c r="BD111" s="473">
        <f>блюда!BD343</f>
        <v>0</v>
      </c>
      <c r="BE111" s="473">
        <f>блюда!BE343</f>
        <v>0</v>
      </c>
      <c r="BF111" s="473">
        <f>блюда!BF343</f>
        <v>0</v>
      </c>
      <c r="BG111" s="473">
        <f>блюда!BG343</f>
        <v>0</v>
      </c>
      <c r="BH111" s="473">
        <f>блюда!BH343</f>
        <v>0</v>
      </c>
      <c r="BI111" s="473">
        <f>блюда!BI343</f>
        <v>0</v>
      </c>
      <c r="BJ111" s="473">
        <f>блюда!BJ343</f>
        <v>0</v>
      </c>
      <c r="BK111" s="473">
        <f>блюда!BK343</f>
        <v>0</v>
      </c>
      <c r="BL111" s="473">
        <f>блюда!BL343</f>
        <v>0</v>
      </c>
      <c r="BM111" s="473">
        <f>блюда!BM343</f>
        <v>0</v>
      </c>
      <c r="BN111" s="473">
        <f>блюда!BN343</f>
        <v>0</v>
      </c>
      <c r="BO111" s="473">
        <f>блюда!BO343</f>
        <v>0</v>
      </c>
      <c r="BP111" s="473">
        <f>блюда!BP343</f>
        <v>0</v>
      </c>
      <c r="BQ111" s="473">
        <f>блюда!BQ343</f>
        <v>0</v>
      </c>
      <c r="BR111" s="473">
        <f>блюда!BR343</f>
        <v>0</v>
      </c>
      <c r="BS111" s="473">
        <f>блюда!BS343</f>
        <v>0</v>
      </c>
      <c r="BT111" s="473">
        <f>блюда!BT343</f>
        <v>0</v>
      </c>
      <c r="BU111" s="473">
        <f>блюда!BU343</f>
        <v>0</v>
      </c>
      <c r="BV111" s="473">
        <f>блюда!BV343</f>
        <v>0</v>
      </c>
      <c r="BW111" s="473">
        <f>блюда!BW343</f>
        <v>0</v>
      </c>
      <c r="BX111" s="473">
        <f>блюда!BX343</f>
        <v>0</v>
      </c>
      <c r="BY111" s="473">
        <f>блюда!BY343</f>
        <v>0</v>
      </c>
      <c r="BZ111" s="473">
        <f>блюда!BZ343</f>
        <v>0</v>
      </c>
      <c r="CA111" s="473">
        <f>блюда!CA343</f>
        <v>0</v>
      </c>
      <c r="CB111" s="473">
        <f>блюда!CB343</f>
        <v>0</v>
      </c>
      <c r="CC111" s="473">
        <f>блюда!CC343</f>
        <v>0</v>
      </c>
      <c r="CD111" s="473">
        <f>блюда!CD343</f>
        <v>0</v>
      </c>
      <c r="CE111" s="473">
        <f>блюда!CE343</f>
        <v>0</v>
      </c>
      <c r="CF111" s="473">
        <f>блюда!CF343</f>
        <v>0</v>
      </c>
      <c r="CG111" s="473">
        <f>блюда!CG343</f>
        <v>0</v>
      </c>
      <c r="CH111" s="473">
        <f>блюда!CH343</f>
        <v>0</v>
      </c>
      <c r="CI111" s="473">
        <f>блюда!CI343</f>
        <v>0</v>
      </c>
      <c r="CJ111" s="473">
        <f>блюда!CJ343</f>
        <v>0</v>
      </c>
      <c r="CK111" s="473">
        <f>блюда!CK343</f>
        <v>0</v>
      </c>
      <c r="CL111" s="473">
        <f>блюда!CL343</f>
        <v>0</v>
      </c>
      <c r="CM111" s="473">
        <f>блюда!CM343</f>
        <v>0</v>
      </c>
      <c r="CN111" s="473">
        <f>блюда!CN343</f>
        <v>0</v>
      </c>
      <c r="CO111" s="473">
        <f>блюда!CO343</f>
        <v>0</v>
      </c>
      <c r="CP111" s="473">
        <f>блюда!CP343</f>
        <v>0</v>
      </c>
      <c r="CQ111" s="473">
        <f>блюда!CQ343</f>
        <v>0</v>
      </c>
      <c r="CR111" s="473">
        <f>блюда!CR343</f>
        <v>0</v>
      </c>
      <c r="CS111" s="473">
        <f>блюда!CS343</f>
        <v>0</v>
      </c>
      <c r="CT111" s="473">
        <f>блюда!CT343</f>
        <v>0</v>
      </c>
      <c r="CU111" s="473">
        <f>блюда!CU343</f>
        <v>0</v>
      </c>
      <c r="CV111" s="473">
        <f>блюда!CV343</f>
        <v>0</v>
      </c>
      <c r="CW111" s="473">
        <f>блюда!CW343</f>
        <v>0</v>
      </c>
      <c r="CX111" s="473">
        <f>блюда!CX343</f>
        <v>0</v>
      </c>
      <c r="CY111" s="473">
        <f>блюда!CY343</f>
        <v>0</v>
      </c>
      <c r="CZ111" s="473">
        <f>блюда!CZ343</f>
        <v>0</v>
      </c>
      <c r="DA111" s="473">
        <f>блюда!DA343</f>
        <v>0</v>
      </c>
      <c r="DB111" s="473">
        <f>блюда!DB343</f>
        <v>0</v>
      </c>
      <c r="DC111" s="473">
        <f>блюда!DC343</f>
        <v>0</v>
      </c>
      <c r="DD111" s="473">
        <f>блюда!DD343</f>
        <v>0</v>
      </c>
      <c r="DE111" s="473">
        <f>блюда!DE343</f>
        <v>0</v>
      </c>
      <c r="DF111" s="473">
        <f>блюда!DF343</f>
        <v>0</v>
      </c>
      <c r="DG111" s="473">
        <f>блюда!DG343</f>
        <v>0</v>
      </c>
      <c r="DH111" s="473">
        <f>блюда!DH343</f>
        <v>0</v>
      </c>
      <c r="DI111" s="473">
        <f>блюда!DI343</f>
        <v>0</v>
      </c>
      <c r="DJ111" s="473">
        <f>блюда!DJ343</f>
        <v>0</v>
      </c>
      <c r="DK111" s="473">
        <f>блюда!DK343</f>
        <v>0</v>
      </c>
      <c r="DL111" s="473">
        <f>блюда!DL343</f>
        <v>0</v>
      </c>
      <c r="DM111" s="473">
        <f>блюда!DM343</f>
        <v>0</v>
      </c>
      <c r="DN111" s="473">
        <f>блюда!DN343</f>
        <v>0</v>
      </c>
      <c r="DO111" s="473">
        <f>блюда!DO343</f>
        <v>0</v>
      </c>
      <c r="DP111" s="473">
        <f>блюда!DP343</f>
        <v>0</v>
      </c>
      <c r="DQ111" s="473">
        <f>блюда!DQ343</f>
        <v>0</v>
      </c>
      <c r="DR111" s="473">
        <f>блюда!DR343</f>
        <v>0</v>
      </c>
      <c r="DS111" s="473">
        <f>блюда!DS343</f>
        <v>0</v>
      </c>
      <c r="DT111" s="473">
        <f>блюда!DT343</f>
        <v>0</v>
      </c>
      <c r="DU111" s="473">
        <f>блюда!DU343</f>
        <v>0</v>
      </c>
      <c r="DV111" s="473">
        <f>блюда!DV343</f>
        <v>0</v>
      </c>
      <c r="DW111" s="473">
        <f>блюда!DW343</f>
        <v>0</v>
      </c>
      <c r="DX111" s="473">
        <f>блюда!DX343</f>
        <v>0</v>
      </c>
      <c r="DY111" s="473">
        <f>блюда!DY343</f>
        <v>0</v>
      </c>
      <c r="DZ111" s="473">
        <f>блюда!DZ343</f>
        <v>0</v>
      </c>
      <c r="EA111" s="473">
        <f>блюда!EA343</f>
        <v>0</v>
      </c>
      <c r="EB111" s="473">
        <f>блюда!EB343</f>
        <v>0.5</v>
      </c>
      <c r="EC111" s="473">
        <f>блюда!EC343</f>
        <v>0</v>
      </c>
      <c r="ED111" s="473">
        <f>блюда!ED343</f>
        <v>0</v>
      </c>
      <c r="EE111" s="473">
        <f>блюда!EE343</f>
        <v>0</v>
      </c>
      <c r="EF111" s="473">
        <f>блюда!EF343</f>
        <v>0</v>
      </c>
      <c r="EG111" s="473">
        <f>блюда!EG343</f>
        <v>0</v>
      </c>
      <c r="EH111" s="473">
        <f>блюда!EH343</f>
        <v>0</v>
      </c>
      <c r="EI111" s="473">
        <f>блюда!EI343</f>
        <v>0</v>
      </c>
      <c r="EJ111" s="473">
        <f>блюда!EJ343</f>
        <v>0</v>
      </c>
      <c r="EK111" s="473">
        <f>блюда!EK343</f>
        <v>0</v>
      </c>
      <c r="EL111" s="473">
        <f>блюда!EL343</f>
        <v>0</v>
      </c>
      <c r="EM111" s="473">
        <f>блюда!EM343</f>
        <v>0</v>
      </c>
      <c r="EN111" s="473">
        <f>блюда!EN343</f>
        <v>0</v>
      </c>
      <c r="EO111" s="473">
        <f>блюда!EO343</f>
        <v>0</v>
      </c>
      <c r="EP111" s="473">
        <f>блюда!EP343</f>
        <v>0</v>
      </c>
      <c r="EQ111" s="473">
        <f>блюда!EQ343</f>
        <v>0</v>
      </c>
      <c r="ER111" s="473">
        <f>блюда!ER343</f>
        <v>0</v>
      </c>
      <c r="ES111" s="473">
        <f>блюда!ES343</f>
        <v>0</v>
      </c>
      <c r="ET111" s="473">
        <f>блюда!ET343</f>
        <v>0</v>
      </c>
      <c r="EU111" s="473">
        <f>блюда!EU343</f>
        <v>0</v>
      </c>
      <c r="EV111" s="473">
        <f>блюда!EV343</f>
        <v>0</v>
      </c>
      <c r="EW111" s="473">
        <f>блюда!EW343</f>
        <v>0</v>
      </c>
      <c r="EX111" s="473">
        <f>блюда!EX343</f>
        <v>0</v>
      </c>
      <c r="EY111" s="927">
        <f t="shared" si="65"/>
        <v>0.5</v>
      </c>
      <c r="EZ111" s="117">
        <f>блюда!EZ13</f>
        <v>0</v>
      </c>
      <c r="FA111" s="117">
        <f>блюда!FA13</f>
        <v>0</v>
      </c>
      <c r="FB111" s="117">
        <f>блюда!FB13</f>
        <v>0</v>
      </c>
      <c r="FC111" s="117">
        <f>блюда!FC13</f>
        <v>0</v>
      </c>
      <c r="FD111" s="117">
        <f>блюда!FD13</f>
        <v>0</v>
      </c>
      <c r="FE111" s="117">
        <f>блюда!FE13</f>
        <v>0</v>
      </c>
      <c r="FF111" s="117">
        <f>блюда!FF13</f>
        <v>0</v>
      </c>
      <c r="FG111" s="117">
        <f>блюда!FG13</f>
        <v>0</v>
      </c>
      <c r="FH111" s="117">
        <f>блюда!FH13</f>
        <v>0</v>
      </c>
      <c r="FI111" s="117">
        <f>блюда!FI13</f>
        <v>0</v>
      </c>
      <c r="FJ111" s="117">
        <f>блюда!FJ13</f>
        <v>0</v>
      </c>
      <c r="FK111" s="117">
        <f>блюда!FK13</f>
        <v>0</v>
      </c>
      <c r="FL111" s="117">
        <f>блюда!FL13</f>
        <v>0</v>
      </c>
    </row>
    <row r="112" spans="1:168" x14ac:dyDescent="0.25">
      <c r="A112" s="1460"/>
      <c r="B112" s="115"/>
      <c r="C112" s="250"/>
      <c r="D112" s="431"/>
      <c r="E112" s="431"/>
      <c r="F112" s="431"/>
      <c r="G112" s="250"/>
      <c r="H112" s="250"/>
      <c r="I112" s="431"/>
      <c r="J112" s="473"/>
      <c r="K112" s="473"/>
      <c r="L112" s="473"/>
      <c r="M112" s="473"/>
      <c r="N112" s="473"/>
      <c r="O112" s="473"/>
      <c r="P112" s="473"/>
      <c r="Q112" s="473"/>
      <c r="R112" s="473"/>
      <c r="S112" s="473"/>
      <c r="T112" s="473"/>
      <c r="U112" s="473"/>
      <c r="V112" s="473"/>
      <c r="W112" s="473"/>
      <c r="X112" s="473"/>
      <c r="Y112" s="473"/>
      <c r="Z112" s="473"/>
      <c r="AA112" s="473"/>
      <c r="AB112" s="473"/>
      <c r="AC112" s="473"/>
      <c r="AD112" s="473"/>
      <c r="AE112" s="473"/>
      <c r="AF112" s="473"/>
      <c r="AG112" s="473"/>
      <c r="AH112" s="473"/>
      <c r="AI112" s="473"/>
      <c r="AJ112" s="473"/>
      <c r="AK112" s="473"/>
      <c r="AL112" s="473"/>
      <c r="AM112" s="473"/>
      <c r="AN112" s="473"/>
      <c r="AO112" s="473"/>
      <c r="AP112" s="473"/>
      <c r="AQ112" s="473"/>
      <c r="AR112" s="473"/>
      <c r="AS112" s="473"/>
      <c r="AT112" s="473"/>
      <c r="AU112" s="473"/>
      <c r="AV112" s="473"/>
      <c r="AW112" s="473"/>
      <c r="AX112" s="473"/>
      <c r="AY112" s="473"/>
      <c r="AZ112" s="473"/>
      <c r="BA112" s="473"/>
      <c r="BB112" s="473"/>
      <c r="BC112" s="473"/>
      <c r="BD112" s="473"/>
      <c r="BE112" s="473"/>
      <c r="BF112" s="473"/>
      <c r="BG112" s="473"/>
      <c r="BH112" s="473"/>
      <c r="BI112" s="473"/>
      <c r="BJ112" s="473"/>
      <c r="BK112" s="473"/>
      <c r="BL112" s="473"/>
      <c r="BM112" s="473"/>
      <c r="BN112" s="473"/>
      <c r="BO112" s="473"/>
      <c r="BP112" s="473"/>
      <c r="BQ112" s="473"/>
      <c r="BR112" s="473"/>
      <c r="BS112" s="473"/>
      <c r="BT112" s="473"/>
      <c r="BU112" s="473"/>
      <c r="BV112" s="473"/>
      <c r="BW112" s="473"/>
      <c r="BX112" s="473"/>
      <c r="BY112" s="473"/>
      <c r="BZ112" s="473"/>
      <c r="CA112" s="473"/>
      <c r="CB112" s="473"/>
      <c r="CC112" s="473"/>
      <c r="CD112" s="473"/>
      <c r="CE112" s="473"/>
      <c r="CF112" s="473"/>
      <c r="CG112" s="473"/>
      <c r="CH112" s="473"/>
      <c r="CI112" s="473"/>
      <c r="CJ112" s="473"/>
      <c r="CK112" s="473"/>
      <c r="CL112" s="473"/>
      <c r="CM112" s="473"/>
      <c r="CN112" s="473"/>
      <c r="CO112" s="473"/>
      <c r="CP112" s="473"/>
      <c r="CQ112" s="473"/>
      <c r="CR112" s="473"/>
      <c r="CS112" s="473"/>
      <c r="CT112" s="473"/>
      <c r="CU112" s="473"/>
      <c r="CV112" s="473"/>
      <c r="CW112" s="473"/>
      <c r="CX112" s="473"/>
      <c r="CY112" s="473"/>
      <c r="CZ112" s="473"/>
      <c r="DA112" s="473"/>
      <c r="DB112" s="473"/>
      <c r="DC112" s="473"/>
      <c r="DD112" s="473"/>
      <c r="DE112" s="473"/>
      <c r="DF112" s="473"/>
      <c r="DG112" s="473"/>
      <c r="DH112" s="473"/>
      <c r="DI112" s="473"/>
      <c r="DJ112" s="473"/>
      <c r="DK112" s="473"/>
      <c r="DL112" s="473"/>
      <c r="DM112" s="473"/>
      <c r="DN112" s="473"/>
      <c r="DO112" s="473"/>
      <c r="DP112" s="473"/>
      <c r="DQ112" s="473"/>
      <c r="DR112" s="473"/>
      <c r="DS112" s="473"/>
      <c r="DT112" s="473"/>
      <c r="DU112" s="473"/>
      <c r="DV112" s="473"/>
      <c r="DW112" s="473"/>
      <c r="DX112" s="473"/>
      <c r="DY112" s="473"/>
      <c r="DZ112" s="473"/>
      <c r="EA112" s="473"/>
      <c r="EB112" s="473"/>
      <c r="EC112" s="473"/>
      <c r="ED112" s="473"/>
      <c r="EE112" s="473"/>
      <c r="EF112" s="473"/>
      <c r="EG112" s="473"/>
      <c r="EH112" s="473"/>
      <c r="EI112" s="473"/>
      <c r="EJ112" s="473"/>
      <c r="EK112" s="473"/>
      <c r="EL112" s="473"/>
      <c r="EM112" s="473"/>
      <c r="EN112" s="473"/>
      <c r="EO112" s="473"/>
      <c r="EP112" s="473"/>
      <c r="EQ112" s="473"/>
      <c r="ER112" s="473"/>
      <c r="ES112" s="473"/>
      <c r="ET112" s="473"/>
      <c r="EU112" s="473"/>
      <c r="EV112" s="473"/>
      <c r="EW112" s="473"/>
      <c r="EX112" s="473"/>
      <c r="EY112" s="927">
        <f t="shared" si="65"/>
        <v>0</v>
      </c>
      <c r="EZ112" s="431">
        <f>блюда!EZ258</f>
        <v>0</v>
      </c>
      <c r="FA112" s="431">
        <f>блюда!FA258</f>
        <v>0</v>
      </c>
      <c r="FB112" s="431">
        <f>блюда!FB258</f>
        <v>0</v>
      </c>
      <c r="FC112" s="431">
        <f>блюда!FC258</f>
        <v>0</v>
      </c>
      <c r="FD112" s="431">
        <f>блюда!FD258</f>
        <v>0</v>
      </c>
      <c r="FE112" s="431">
        <f>блюда!FE258</f>
        <v>0</v>
      </c>
      <c r="FF112" s="431">
        <f>блюда!FF258</f>
        <v>0</v>
      </c>
      <c r="FG112" s="431">
        <f>блюда!FG258</f>
        <v>0</v>
      </c>
      <c r="FH112" s="431">
        <f>блюда!FH258</f>
        <v>0</v>
      </c>
      <c r="FI112" s="431">
        <f>блюда!FI258</f>
        <v>0</v>
      </c>
      <c r="FJ112" s="431">
        <f>блюда!FJ258</f>
        <v>0</v>
      </c>
      <c r="FK112" s="431">
        <f>блюда!FK258</f>
        <v>0</v>
      </c>
      <c r="FL112" s="431">
        <f>блюда!FL258</f>
        <v>0</v>
      </c>
    </row>
    <row r="113" spans="1:168" x14ac:dyDescent="0.25">
      <c r="A113" s="1460"/>
      <c r="B113" s="115"/>
      <c r="C113" s="250"/>
      <c r="D113" s="431"/>
      <c r="E113" s="431"/>
      <c r="F113" s="431"/>
      <c r="G113" s="250"/>
      <c r="H113" s="250"/>
      <c r="I113" s="431"/>
      <c r="J113" s="473"/>
      <c r="K113" s="473"/>
      <c r="L113" s="473"/>
      <c r="M113" s="473"/>
      <c r="N113" s="473"/>
      <c r="O113" s="473"/>
      <c r="P113" s="473"/>
      <c r="Q113" s="473"/>
      <c r="R113" s="473"/>
      <c r="S113" s="473"/>
      <c r="T113" s="473"/>
      <c r="U113" s="473"/>
      <c r="V113" s="473"/>
      <c r="W113" s="473"/>
      <c r="X113" s="473"/>
      <c r="Y113" s="473"/>
      <c r="Z113" s="473"/>
      <c r="AA113" s="473"/>
      <c r="AB113" s="473"/>
      <c r="AC113" s="473"/>
      <c r="AD113" s="473"/>
      <c r="AE113" s="473"/>
      <c r="AF113" s="473"/>
      <c r="AG113" s="473"/>
      <c r="AH113" s="473"/>
      <c r="AI113" s="473"/>
      <c r="AJ113" s="473"/>
      <c r="AK113" s="473"/>
      <c r="AL113" s="473"/>
      <c r="AM113" s="473"/>
      <c r="AN113" s="473"/>
      <c r="AO113" s="473"/>
      <c r="AP113" s="473"/>
      <c r="AQ113" s="473"/>
      <c r="AR113" s="473"/>
      <c r="AS113" s="473"/>
      <c r="AT113" s="473"/>
      <c r="AU113" s="473"/>
      <c r="AV113" s="473"/>
      <c r="AW113" s="473"/>
      <c r="AX113" s="473"/>
      <c r="AY113" s="473"/>
      <c r="AZ113" s="473"/>
      <c r="BA113" s="473"/>
      <c r="BB113" s="473"/>
      <c r="BC113" s="473"/>
      <c r="BD113" s="473"/>
      <c r="BE113" s="473"/>
      <c r="BF113" s="473"/>
      <c r="BG113" s="473"/>
      <c r="BH113" s="473"/>
      <c r="BI113" s="473"/>
      <c r="BJ113" s="473"/>
      <c r="BK113" s="473"/>
      <c r="BL113" s="473"/>
      <c r="BM113" s="473"/>
      <c r="BN113" s="473"/>
      <c r="BO113" s="473"/>
      <c r="BP113" s="473"/>
      <c r="BQ113" s="473"/>
      <c r="BR113" s="473"/>
      <c r="BS113" s="473"/>
      <c r="BT113" s="473"/>
      <c r="BU113" s="473"/>
      <c r="BV113" s="473"/>
      <c r="BW113" s="473"/>
      <c r="BX113" s="473"/>
      <c r="BY113" s="473"/>
      <c r="BZ113" s="473"/>
      <c r="CA113" s="473"/>
      <c r="CB113" s="473"/>
      <c r="CC113" s="473"/>
      <c r="CD113" s="473"/>
      <c r="CE113" s="473"/>
      <c r="CF113" s="473"/>
      <c r="CG113" s="473"/>
      <c r="CH113" s="473"/>
      <c r="CI113" s="473"/>
      <c r="CJ113" s="473"/>
      <c r="CK113" s="473"/>
      <c r="CL113" s="473"/>
      <c r="CM113" s="473"/>
      <c r="CN113" s="473"/>
      <c r="CO113" s="473"/>
      <c r="CP113" s="473"/>
      <c r="CQ113" s="473"/>
      <c r="CR113" s="473"/>
      <c r="CS113" s="473"/>
      <c r="CT113" s="473"/>
      <c r="CU113" s="473"/>
      <c r="CV113" s="473"/>
      <c r="CW113" s="473"/>
      <c r="CX113" s="473"/>
      <c r="CY113" s="473"/>
      <c r="CZ113" s="473"/>
      <c r="DA113" s="473"/>
      <c r="DB113" s="473"/>
      <c r="DC113" s="473"/>
      <c r="DD113" s="473"/>
      <c r="DE113" s="473"/>
      <c r="DF113" s="473"/>
      <c r="DG113" s="473"/>
      <c r="DH113" s="473"/>
      <c r="DI113" s="473"/>
      <c r="DJ113" s="473"/>
      <c r="DK113" s="473"/>
      <c r="DL113" s="473"/>
      <c r="DM113" s="473"/>
      <c r="DN113" s="473"/>
      <c r="DO113" s="473"/>
      <c r="DP113" s="473"/>
      <c r="DQ113" s="473"/>
      <c r="DR113" s="473"/>
      <c r="DS113" s="473"/>
      <c r="DT113" s="473"/>
      <c r="DU113" s="473"/>
      <c r="DV113" s="473"/>
      <c r="DW113" s="473"/>
      <c r="DX113" s="473"/>
      <c r="DY113" s="473"/>
      <c r="DZ113" s="473"/>
      <c r="EA113" s="473"/>
      <c r="EB113" s="473"/>
      <c r="EC113" s="473"/>
      <c r="ED113" s="473"/>
      <c r="EE113" s="473"/>
      <c r="EF113" s="473"/>
      <c r="EG113" s="473"/>
      <c r="EH113" s="473"/>
      <c r="EI113" s="473"/>
      <c r="EJ113" s="473"/>
      <c r="EK113" s="473"/>
      <c r="EL113" s="473"/>
      <c r="EM113" s="473"/>
      <c r="EN113" s="473"/>
      <c r="EO113" s="473"/>
      <c r="EP113" s="473"/>
      <c r="EQ113" s="473"/>
      <c r="ER113" s="473"/>
      <c r="ES113" s="473"/>
      <c r="ET113" s="473"/>
      <c r="EU113" s="473"/>
      <c r="EV113" s="473"/>
      <c r="EW113" s="473"/>
      <c r="EX113" s="473"/>
      <c r="EY113" s="927">
        <f t="shared" si="65"/>
        <v>0</v>
      </c>
      <c r="EZ113" s="117"/>
      <c r="FA113" s="117"/>
      <c r="FB113" s="117"/>
      <c r="FC113" s="117"/>
      <c r="FD113" s="117"/>
      <c r="FE113" s="117"/>
      <c r="FF113" s="117"/>
      <c r="FG113" s="117"/>
      <c r="FH113" s="117"/>
      <c r="FI113" s="117"/>
      <c r="FJ113" s="117"/>
      <c r="FK113" s="117"/>
      <c r="FL113" s="117"/>
    </row>
    <row r="114" spans="1:168" x14ac:dyDescent="0.25">
      <c r="A114" s="1460"/>
      <c r="B114" s="576"/>
      <c r="C114" s="250"/>
      <c r="D114" s="431"/>
      <c r="E114" s="431"/>
      <c r="F114" s="431"/>
      <c r="G114" s="250"/>
      <c r="H114" s="250"/>
      <c r="I114" s="431"/>
      <c r="J114" s="473"/>
      <c r="K114" s="473"/>
      <c r="L114" s="473"/>
      <c r="M114" s="473"/>
      <c r="N114" s="473"/>
      <c r="O114" s="473"/>
      <c r="P114" s="473"/>
      <c r="Q114" s="473"/>
      <c r="R114" s="473"/>
      <c r="S114" s="473"/>
      <c r="T114" s="473"/>
      <c r="U114" s="473"/>
      <c r="V114" s="473"/>
      <c r="W114" s="473"/>
      <c r="X114" s="473"/>
      <c r="Y114" s="473"/>
      <c r="Z114" s="473"/>
      <c r="AA114" s="473"/>
      <c r="AB114" s="473"/>
      <c r="AC114" s="473"/>
      <c r="AD114" s="473"/>
      <c r="AE114" s="473"/>
      <c r="AF114" s="473"/>
      <c r="AG114" s="473"/>
      <c r="AH114" s="473"/>
      <c r="AI114" s="473"/>
      <c r="AJ114" s="473"/>
      <c r="AK114" s="473"/>
      <c r="AL114" s="473"/>
      <c r="AM114" s="473"/>
      <c r="AN114" s="473"/>
      <c r="AO114" s="473"/>
      <c r="AP114" s="473"/>
      <c r="AQ114" s="473"/>
      <c r="AR114" s="473"/>
      <c r="AS114" s="473"/>
      <c r="AT114" s="473"/>
      <c r="AU114" s="473"/>
      <c r="AV114" s="473"/>
      <c r="AW114" s="473"/>
      <c r="AX114" s="473"/>
      <c r="AY114" s="473"/>
      <c r="AZ114" s="473"/>
      <c r="BA114" s="473"/>
      <c r="BB114" s="473"/>
      <c r="BC114" s="473"/>
      <c r="BD114" s="473"/>
      <c r="BE114" s="473"/>
      <c r="BF114" s="473"/>
      <c r="BG114" s="473"/>
      <c r="BH114" s="473"/>
      <c r="BI114" s="473"/>
      <c r="BJ114" s="473"/>
      <c r="BK114" s="473"/>
      <c r="BL114" s="473"/>
      <c r="BM114" s="473"/>
      <c r="BN114" s="473"/>
      <c r="BO114" s="473"/>
      <c r="BP114" s="473"/>
      <c r="BQ114" s="473"/>
      <c r="BR114" s="473"/>
      <c r="BS114" s="473"/>
      <c r="BT114" s="473"/>
      <c r="BU114" s="473"/>
      <c r="BV114" s="473"/>
      <c r="BW114" s="473"/>
      <c r="BX114" s="473"/>
      <c r="BY114" s="473"/>
      <c r="BZ114" s="473"/>
      <c r="CA114" s="473"/>
      <c r="CB114" s="473"/>
      <c r="CC114" s="473"/>
      <c r="CD114" s="473"/>
      <c r="CE114" s="473"/>
      <c r="CF114" s="473"/>
      <c r="CG114" s="473"/>
      <c r="CH114" s="473"/>
      <c r="CI114" s="473"/>
      <c r="CJ114" s="473"/>
      <c r="CK114" s="473"/>
      <c r="CL114" s="473"/>
      <c r="CM114" s="473"/>
      <c r="CN114" s="473"/>
      <c r="CO114" s="473"/>
      <c r="CP114" s="473"/>
      <c r="CQ114" s="473"/>
      <c r="CR114" s="473"/>
      <c r="CS114" s="473"/>
      <c r="CT114" s="473"/>
      <c r="CU114" s="473"/>
      <c r="CV114" s="473"/>
      <c r="CW114" s="473"/>
      <c r="CX114" s="473"/>
      <c r="CY114" s="473"/>
      <c r="CZ114" s="473"/>
      <c r="DA114" s="473"/>
      <c r="DB114" s="473"/>
      <c r="DC114" s="473"/>
      <c r="DD114" s="473"/>
      <c r="DE114" s="473"/>
      <c r="DF114" s="473"/>
      <c r="DG114" s="473"/>
      <c r="DH114" s="473"/>
      <c r="DI114" s="473"/>
      <c r="DJ114" s="473"/>
      <c r="DK114" s="473"/>
      <c r="DL114" s="473"/>
      <c r="DM114" s="473"/>
      <c r="DN114" s="473"/>
      <c r="DO114" s="473"/>
      <c r="DP114" s="473"/>
      <c r="DQ114" s="473"/>
      <c r="DR114" s="473"/>
      <c r="DS114" s="473"/>
      <c r="DT114" s="473"/>
      <c r="DU114" s="473"/>
      <c r="DV114" s="473"/>
      <c r="DW114" s="473"/>
      <c r="DX114" s="473"/>
      <c r="DY114" s="473"/>
      <c r="DZ114" s="473"/>
      <c r="EA114" s="473"/>
      <c r="EB114" s="473"/>
      <c r="EC114" s="473"/>
      <c r="ED114" s="473"/>
      <c r="EE114" s="473"/>
      <c r="EF114" s="473"/>
      <c r="EG114" s="473"/>
      <c r="EH114" s="473"/>
      <c r="EI114" s="473"/>
      <c r="EJ114" s="473"/>
      <c r="EK114" s="473"/>
      <c r="EL114" s="473"/>
      <c r="EM114" s="473"/>
      <c r="EN114" s="473"/>
      <c r="EO114" s="473"/>
      <c r="EP114" s="473"/>
      <c r="EQ114" s="473"/>
      <c r="ER114" s="473"/>
      <c r="ES114" s="473"/>
      <c r="ET114" s="473"/>
      <c r="EU114" s="473"/>
      <c r="EV114" s="473"/>
      <c r="EW114" s="473"/>
      <c r="EX114" s="473"/>
      <c r="EY114" s="927">
        <f t="shared" si="65"/>
        <v>0</v>
      </c>
      <c r="EZ114" s="117"/>
      <c r="FA114" s="117"/>
      <c r="FB114" s="117"/>
      <c r="FC114" s="117"/>
      <c r="FD114" s="117"/>
      <c r="FE114" s="117"/>
      <c r="FF114" s="117"/>
      <c r="FG114" s="117"/>
      <c r="FH114" s="117"/>
      <c r="FI114" s="117"/>
      <c r="FJ114" s="117"/>
      <c r="FK114" s="117"/>
      <c r="FL114" s="117"/>
    </row>
    <row r="115" spans="1:168" x14ac:dyDescent="0.25">
      <c r="A115" s="1461"/>
      <c r="B115" s="576"/>
      <c r="C115" s="250"/>
      <c r="D115" s="431"/>
      <c r="E115" s="431"/>
      <c r="F115" s="431"/>
      <c r="G115" s="250"/>
      <c r="H115" s="250"/>
      <c r="I115" s="431"/>
      <c r="J115" s="473"/>
      <c r="K115" s="473"/>
      <c r="L115" s="473"/>
      <c r="M115" s="473"/>
      <c r="N115" s="473"/>
      <c r="O115" s="473"/>
      <c r="P115" s="473"/>
      <c r="Q115" s="473"/>
      <c r="R115" s="473"/>
      <c r="S115" s="473"/>
      <c r="T115" s="473"/>
      <c r="U115" s="473"/>
      <c r="V115" s="473"/>
      <c r="W115" s="473"/>
      <c r="X115" s="473"/>
      <c r="Y115" s="473"/>
      <c r="Z115" s="473"/>
      <c r="AA115" s="473"/>
      <c r="AB115" s="473"/>
      <c r="AC115" s="473"/>
      <c r="AD115" s="473"/>
      <c r="AE115" s="473"/>
      <c r="AF115" s="473"/>
      <c r="AG115" s="473"/>
      <c r="AH115" s="473"/>
      <c r="AI115" s="473"/>
      <c r="AJ115" s="473"/>
      <c r="AK115" s="473"/>
      <c r="AL115" s="473"/>
      <c r="AM115" s="473"/>
      <c r="AN115" s="473"/>
      <c r="AO115" s="473"/>
      <c r="AP115" s="473"/>
      <c r="AQ115" s="473"/>
      <c r="AR115" s="473"/>
      <c r="AS115" s="473"/>
      <c r="AT115" s="473"/>
      <c r="AU115" s="473"/>
      <c r="AV115" s="473"/>
      <c r="AW115" s="473"/>
      <c r="AX115" s="473"/>
      <c r="AY115" s="473"/>
      <c r="AZ115" s="473"/>
      <c r="BA115" s="473"/>
      <c r="BB115" s="473"/>
      <c r="BC115" s="473"/>
      <c r="BD115" s="473"/>
      <c r="BE115" s="473"/>
      <c r="BF115" s="473"/>
      <c r="BG115" s="473"/>
      <c r="BH115" s="473"/>
      <c r="BI115" s="473"/>
      <c r="BJ115" s="473"/>
      <c r="BK115" s="473"/>
      <c r="BL115" s="473"/>
      <c r="BM115" s="473"/>
      <c r="BN115" s="473"/>
      <c r="BO115" s="473"/>
      <c r="BP115" s="473"/>
      <c r="BQ115" s="473"/>
      <c r="BR115" s="473"/>
      <c r="BS115" s="473"/>
      <c r="BT115" s="473"/>
      <c r="BU115" s="473"/>
      <c r="BV115" s="473"/>
      <c r="BW115" s="473"/>
      <c r="BX115" s="473"/>
      <c r="BY115" s="473"/>
      <c r="BZ115" s="473"/>
      <c r="CA115" s="473"/>
      <c r="CB115" s="473"/>
      <c r="CC115" s="473"/>
      <c r="CD115" s="473"/>
      <c r="CE115" s="473"/>
      <c r="CF115" s="473"/>
      <c r="CG115" s="473"/>
      <c r="CH115" s="473"/>
      <c r="CI115" s="473"/>
      <c r="CJ115" s="473"/>
      <c r="CK115" s="473"/>
      <c r="CL115" s="473"/>
      <c r="CM115" s="473"/>
      <c r="CN115" s="473"/>
      <c r="CO115" s="473"/>
      <c r="CP115" s="473"/>
      <c r="CQ115" s="473"/>
      <c r="CR115" s="473"/>
      <c r="CS115" s="473"/>
      <c r="CT115" s="473"/>
      <c r="CU115" s="473"/>
      <c r="CV115" s="473"/>
      <c r="CW115" s="473"/>
      <c r="CX115" s="473"/>
      <c r="CY115" s="473"/>
      <c r="CZ115" s="473"/>
      <c r="DA115" s="473"/>
      <c r="DB115" s="473"/>
      <c r="DC115" s="473"/>
      <c r="DD115" s="473"/>
      <c r="DE115" s="473"/>
      <c r="DF115" s="473"/>
      <c r="DG115" s="473"/>
      <c r="DH115" s="473"/>
      <c r="DI115" s="473"/>
      <c r="DJ115" s="473"/>
      <c r="DK115" s="473"/>
      <c r="DL115" s="473"/>
      <c r="DM115" s="473"/>
      <c r="DN115" s="473"/>
      <c r="DO115" s="473"/>
      <c r="DP115" s="473"/>
      <c r="DQ115" s="473"/>
      <c r="DR115" s="473"/>
      <c r="DS115" s="473"/>
      <c r="DT115" s="473"/>
      <c r="DU115" s="473"/>
      <c r="DV115" s="473"/>
      <c r="DW115" s="473"/>
      <c r="DX115" s="473"/>
      <c r="DY115" s="473"/>
      <c r="DZ115" s="473"/>
      <c r="EA115" s="473"/>
      <c r="EB115" s="473"/>
      <c r="EC115" s="473"/>
      <c r="ED115" s="473"/>
      <c r="EE115" s="473"/>
      <c r="EF115" s="473"/>
      <c r="EG115" s="473"/>
      <c r="EH115" s="473"/>
      <c r="EI115" s="473"/>
      <c r="EJ115" s="473"/>
      <c r="EK115" s="473"/>
      <c r="EL115" s="473"/>
      <c r="EM115" s="473"/>
      <c r="EN115" s="473"/>
      <c r="EO115" s="473"/>
      <c r="EP115" s="473"/>
      <c r="EQ115" s="473"/>
      <c r="ER115" s="473"/>
      <c r="ES115" s="473"/>
      <c r="ET115" s="473"/>
      <c r="EU115" s="473"/>
      <c r="EV115" s="473"/>
      <c r="EW115" s="473"/>
      <c r="EX115" s="473"/>
      <c r="EY115" s="927">
        <f t="shared" si="65"/>
        <v>0</v>
      </c>
      <c r="EZ115" s="117"/>
      <c r="FA115" s="117"/>
      <c r="FB115" s="117"/>
      <c r="FC115" s="117"/>
      <c r="FD115" s="117"/>
      <c r="FE115" s="117"/>
      <c r="FF115" s="117"/>
      <c r="FG115" s="117"/>
      <c r="FH115" s="117"/>
      <c r="FI115" s="117"/>
      <c r="FJ115" s="117"/>
      <c r="FK115" s="117"/>
      <c r="FL115" s="117"/>
    </row>
    <row r="116" spans="1:168" x14ac:dyDescent="0.25">
      <c r="A116" s="411"/>
      <c r="B116" s="118" t="s">
        <v>111</v>
      </c>
      <c r="C116" s="422">
        <f>SUM(C107:C115)</f>
        <v>970</v>
      </c>
      <c r="D116" s="842">
        <f>SUM(D107:D115)</f>
        <v>10.66</v>
      </c>
      <c r="E116" s="842">
        <f t="shared" ref="E116:BD116" si="66">SUM(E107:E115)</f>
        <v>19.79</v>
      </c>
      <c r="F116" s="842">
        <f t="shared" si="66"/>
        <v>81.91</v>
      </c>
      <c r="G116" s="422">
        <f t="shared" si="66"/>
        <v>547</v>
      </c>
      <c r="H116" s="422">
        <f t="shared" si="66"/>
        <v>572</v>
      </c>
      <c r="I116" s="842">
        <f t="shared" ref="I116" si="67">SUM(I107:I115)</f>
        <v>32.909999999999997</v>
      </c>
      <c r="J116" s="844">
        <f t="shared" si="66"/>
        <v>0</v>
      </c>
      <c r="K116" s="844">
        <f t="shared" si="66"/>
        <v>0</v>
      </c>
      <c r="L116" s="844">
        <f t="shared" si="66"/>
        <v>0</v>
      </c>
      <c r="M116" s="844">
        <f t="shared" si="66"/>
        <v>0</v>
      </c>
      <c r="N116" s="844">
        <f t="shared" si="66"/>
        <v>0</v>
      </c>
      <c r="O116" s="844">
        <f t="shared" si="66"/>
        <v>0</v>
      </c>
      <c r="P116" s="844">
        <f t="shared" si="66"/>
        <v>0</v>
      </c>
      <c r="Q116" s="844">
        <f t="shared" si="66"/>
        <v>0</v>
      </c>
      <c r="R116" s="844">
        <f t="shared" si="66"/>
        <v>0</v>
      </c>
      <c r="S116" s="844">
        <f t="shared" si="66"/>
        <v>0</v>
      </c>
      <c r="T116" s="844">
        <f t="shared" si="66"/>
        <v>0</v>
      </c>
      <c r="U116" s="844">
        <f t="shared" si="66"/>
        <v>0.1</v>
      </c>
      <c r="V116" s="844">
        <f t="shared" si="66"/>
        <v>0.02</v>
      </c>
      <c r="W116" s="844">
        <f t="shared" si="66"/>
        <v>0</v>
      </c>
      <c r="X116" s="844">
        <f t="shared" si="66"/>
        <v>0</v>
      </c>
      <c r="Y116" s="844">
        <f t="shared" si="66"/>
        <v>0</v>
      </c>
      <c r="Z116" s="844">
        <f t="shared" si="66"/>
        <v>0</v>
      </c>
      <c r="AA116" s="844">
        <f t="shared" si="66"/>
        <v>0</v>
      </c>
      <c r="AB116" s="844">
        <f t="shared" si="66"/>
        <v>0</v>
      </c>
      <c r="AC116" s="844">
        <f t="shared" si="66"/>
        <v>0</v>
      </c>
      <c r="AD116" s="844">
        <f t="shared" si="66"/>
        <v>0</v>
      </c>
      <c r="AE116" s="844">
        <f t="shared" si="66"/>
        <v>0</v>
      </c>
      <c r="AF116" s="844">
        <f t="shared" si="66"/>
        <v>0</v>
      </c>
      <c r="AG116" s="844">
        <f t="shared" si="66"/>
        <v>0</v>
      </c>
      <c r="AH116" s="844">
        <f t="shared" si="66"/>
        <v>0</v>
      </c>
      <c r="AI116" s="844">
        <f t="shared" si="66"/>
        <v>0</v>
      </c>
      <c r="AJ116" s="844">
        <f t="shared" si="66"/>
        <v>0</v>
      </c>
      <c r="AK116" s="844">
        <f t="shared" si="66"/>
        <v>0</v>
      </c>
      <c r="AL116" s="844">
        <f t="shared" si="66"/>
        <v>0</v>
      </c>
      <c r="AM116" s="844">
        <f t="shared" si="66"/>
        <v>0</v>
      </c>
      <c r="AN116" s="844">
        <f t="shared" si="66"/>
        <v>0</v>
      </c>
      <c r="AO116" s="844">
        <f t="shared" si="66"/>
        <v>0</v>
      </c>
      <c r="AP116" s="844">
        <f t="shared" si="66"/>
        <v>0</v>
      </c>
      <c r="AQ116" s="844">
        <f t="shared" si="66"/>
        <v>0</v>
      </c>
      <c r="AR116" s="844">
        <f t="shared" si="66"/>
        <v>0</v>
      </c>
      <c r="AS116" s="844">
        <f t="shared" si="66"/>
        <v>0</v>
      </c>
      <c r="AT116" s="844">
        <f t="shared" si="66"/>
        <v>0</v>
      </c>
      <c r="AU116" s="844">
        <f t="shared" si="66"/>
        <v>0</v>
      </c>
      <c r="AV116" s="844">
        <f t="shared" si="66"/>
        <v>0</v>
      </c>
      <c r="AW116" s="844">
        <f t="shared" si="66"/>
        <v>0</v>
      </c>
      <c r="AX116" s="844">
        <f t="shared" si="66"/>
        <v>0</v>
      </c>
      <c r="AY116" s="844">
        <f t="shared" si="66"/>
        <v>0</v>
      </c>
      <c r="AZ116" s="844">
        <f t="shared" si="66"/>
        <v>0</v>
      </c>
      <c r="BA116" s="844">
        <f t="shared" si="66"/>
        <v>0</v>
      </c>
      <c r="BB116" s="844">
        <f t="shared" si="66"/>
        <v>0</v>
      </c>
      <c r="BC116" s="844">
        <f t="shared" si="66"/>
        <v>0</v>
      </c>
      <c r="BD116" s="844">
        <f t="shared" si="66"/>
        <v>0</v>
      </c>
      <c r="BE116" s="844">
        <f t="shared" ref="BE116:DP116" si="68">SUM(BE107:BE115)</f>
        <v>0</v>
      </c>
      <c r="BF116" s="844">
        <f t="shared" si="68"/>
        <v>0</v>
      </c>
      <c r="BG116" s="844">
        <f t="shared" si="68"/>
        <v>0</v>
      </c>
      <c r="BH116" s="844">
        <f t="shared" si="68"/>
        <v>0</v>
      </c>
      <c r="BI116" s="844">
        <f t="shared" si="68"/>
        <v>0</v>
      </c>
      <c r="BJ116" s="844">
        <f t="shared" si="68"/>
        <v>0</v>
      </c>
      <c r="BK116" s="844">
        <f t="shared" si="68"/>
        <v>0</v>
      </c>
      <c r="BL116" s="844">
        <f t="shared" si="68"/>
        <v>0</v>
      </c>
      <c r="BM116" s="844">
        <f t="shared" si="68"/>
        <v>0</v>
      </c>
      <c r="BN116" s="844">
        <f t="shared" si="68"/>
        <v>0</v>
      </c>
      <c r="BO116" s="844">
        <f t="shared" si="68"/>
        <v>0</v>
      </c>
      <c r="BP116" s="844">
        <f t="shared" si="68"/>
        <v>0</v>
      </c>
      <c r="BQ116" s="844">
        <f t="shared" si="68"/>
        <v>0</v>
      </c>
      <c r="BR116" s="844">
        <f t="shared" si="68"/>
        <v>0</v>
      </c>
      <c r="BS116" s="844">
        <f t="shared" si="68"/>
        <v>0</v>
      </c>
      <c r="BT116" s="844">
        <f t="shared" si="68"/>
        <v>0</v>
      </c>
      <c r="BU116" s="844">
        <f t="shared" si="68"/>
        <v>0</v>
      </c>
      <c r="BV116" s="844">
        <f t="shared" si="68"/>
        <v>0</v>
      </c>
      <c r="BW116" s="844">
        <f t="shared" si="68"/>
        <v>0</v>
      </c>
      <c r="BX116" s="844">
        <f t="shared" si="68"/>
        <v>0</v>
      </c>
      <c r="BY116" s="844">
        <f t="shared" si="68"/>
        <v>0</v>
      </c>
      <c r="BZ116" s="844">
        <f t="shared" si="68"/>
        <v>0</v>
      </c>
      <c r="CA116" s="844">
        <f t="shared" si="68"/>
        <v>0.04</v>
      </c>
      <c r="CB116" s="844">
        <f t="shared" si="68"/>
        <v>0</v>
      </c>
      <c r="CC116" s="844">
        <f t="shared" si="68"/>
        <v>0</v>
      </c>
      <c r="CD116" s="844">
        <f t="shared" si="68"/>
        <v>0</v>
      </c>
      <c r="CE116" s="844">
        <f t="shared" si="68"/>
        <v>0</v>
      </c>
      <c r="CF116" s="844">
        <f t="shared" si="68"/>
        <v>0</v>
      </c>
      <c r="CG116" s="844">
        <f t="shared" si="68"/>
        <v>0</v>
      </c>
      <c r="CH116" s="844">
        <f t="shared" si="68"/>
        <v>0</v>
      </c>
      <c r="CI116" s="844">
        <f t="shared" si="68"/>
        <v>0</v>
      </c>
      <c r="CJ116" s="844">
        <f t="shared" si="68"/>
        <v>0</v>
      </c>
      <c r="CK116" s="844">
        <f t="shared" si="68"/>
        <v>0</v>
      </c>
      <c r="CL116" s="844">
        <f t="shared" si="68"/>
        <v>0</v>
      </c>
      <c r="CM116" s="844">
        <f t="shared" si="68"/>
        <v>0</v>
      </c>
      <c r="CN116" s="844">
        <f t="shared" si="68"/>
        <v>0</v>
      </c>
      <c r="CO116" s="844">
        <f t="shared" si="68"/>
        <v>0</v>
      </c>
      <c r="CP116" s="844">
        <f t="shared" si="68"/>
        <v>0</v>
      </c>
      <c r="CQ116" s="844">
        <f t="shared" si="68"/>
        <v>0</v>
      </c>
      <c r="CR116" s="844">
        <f t="shared" si="68"/>
        <v>0</v>
      </c>
      <c r="CS116" s="844">
        <f t="shared" si="68"/>
        <v>0</v>
      </c>
      <c r="CT116" s="844">
        <f t="shared" si="68"/>
        <v>0</v>
      </c>
      <c r="CU116" s="844">
        <f t="shared" si="68"/>
        <v>0</v>
      </c>
      <c r="CV116" s="844">
        <f t="shared" si="68"/>
        <v>0</v>
      </c>
      <c r="CW116" s="844">
        <f t="shared" si="68"/>
        <v>0</v>
      </c>
      <c r="CX116" s="844">
        <f t="shared" si="68"/>
        <v>0</v>
      </c>
      <c r="CY116" s="844">
        <f t="shared" si="68"/>
        <v>0</v>
      </c>
      <c r="CZ116" s="844">
        <f t="shared" si="68"/>
        <v>3.1E-2</v>
      </c>
      <c r="DA116" s="844">
        <f t="shared" si="68"/>
        <v>0</v>
      </c>
      <c r="DB116" s="844">
        <f t="shared" si="68"/>
        <v>0</v>
      </c>
      <c r="DC116" s="844">
        <f t="shared" si="68"/>
        <v>0</v>
      </c>
      <c r="DD116" s="844">
        <f t="shared" si="68"/>
        <v>0</v>
      </c>
      <c r="DE116" s="844">
        <f t="shared" si="68"/>
        <v>0</v>
      </c>
      <c r="DF116" s="844">
        <f t="shared" si="68"/>
        <v>0</v>
      </c>
      <c r="DG116" s="844">
        <f t="shared" si="68"/>
        <v>0</v>
      </c>
      <c r="DH116" s="844">
        <f t="shared" si="68"/>
        <v>0</v>
      </c>
      <c r="DI116" s="844">
        <f t="shared" si="68"/>
        <v>0</v>
      </c>
      <c r="DJ116" s="844">
        <f t="shared" si="68"/>
        <v>0</v>
      </c>
      <c r="DK116" s="844">
        <f t="shared" si="68"/>
        <v>0</v>
      </c>
      <c r="DL116" s="844">
        <f t="shared" si="68"/>
        <v>0</v>
      </c>
      <c r="DM116" s="844">
        <f t="shared" si="68"/>
        <v>0</v>
      </c>
      <c r="DN116" s="844">
        <f t="shared" si="68"/>
        <v>0</v>
      </c>
      <c r="DO116" s="844">
        <f t="shared" si="68"/>
        <v>0</v>
      </c>
      <c r="DP116" s="844">
        <f t="shared" si="68"/>
        <v>0</v>
      </c>
      <c r="DQ116" s="844">
        <f t="shared" ref="DQ116:EX116" si="69">SUM(DQ107:DQ115)</f>
        <v>0</v>
      </c>
      <c r="DR116" s="844">
        <f t="shared" si="69"/>
        <v>5.0000000000000001E-4</v>
      </c>
      <c r="DS116" s="844">
        <f t="shared" si="69"/>
        <v>0</v>
      </c>
      <c r="DT116" s="844">
        <f t="shared" si="69"/>
        <v>0</v>
      </c>
      <c r="DU116" s="844">
        <f t="shared" si="69"/>
        <v>0</v>
      </c>
      <c r="DV116" s="844">
        <f t="shared" si="69"/>
        <v>0</v>
      </c>
      <c r="DW116" s="844">
        <f t="shared" si="69"/>
        <v>0</v>
      </c>
      <c r="DX116" s="844">
        <f t="shared" si="69"/>
        <v>0</v>
      </c>
      <c r="DY116" s="844">
        <f t="shared" si="69"/>
        <v>0</v>
      </c>
      <c r="DZ116" s="844">
        <f t="shared" si="69"/>
        <v>0</v>
      </c>
      <c r="EA116" s="844">
        <f t="shared" si="69"/>
        <v>0</v>
      </c>
      <c r="EB116" s="844">
        <f t="shared" si="69"/>
        <v>0.5</v>
      </c>
      <c r="EC116" s="844">
        <f t="shared" si="69"/>
        <v>0</v>
      </c>
      <c r="ED116" s="844">
        <f t="shared" si="69"/>
        <v>0</v>
      </c>
      <c r="EE116" s="844">
        <f t="shared" si="69"/>
        <v>0</v>
      </c>
      <c r="EF116" s="844">
        <f t="shared" si="69"/>
        <v>0</v>
      </c>
      <c r="EG116" s="844">
        <f t="shared" si="69"/>
        <v>0</v>
      </c>
      <c r="EH116" s="844">
        <f t="shared" si="69"/>
        <v>0</v>
      </c>
      <c r="EI116" s="844">
        <f t="shared" si="69"/>
        <v>0</v>
      </c>
      <c r="EJ116" s="844">
        <f t="shared" si="69"/>
        <v>0</v>
      </c>
      <c r="EK116" s="844">
        <f t="shared" si="69"/>
        <v>0</v>
      </c>
      <c r="EL116" s="844">
        <f t="shared" si="69"/>
        <v>0</v>
      </c>
      <c r="EM116" s="844">
        <f t="shared" si="69"/>
        <v>0</v>
      </c>
      <c r="EN116" s="844">
        <f t="shared" si="69"/>
        <v>0</v>
      </c>
      <c r="EO116" s="844">
        <f t="shared" si="69"/>
        <v>0</v>
      </c>
      <c r="EP116" s="844">
        <f t="shared" si="69"/>
        <v>0</v>
      </c>
      <c r="EQ116" s="844">
        <f t="shared" si="69"/>
        <v>0</v>
      </c>
      <c r="ER116" s="844">
        <f t="shared" si="69"/>
        <v>0</v>
      </c>
      <c r="ES116" s="844">
        <f t="shared" si="69"/>
        <v>0</v>
      </c>
      <c r="ET116" s="844">
        <f t="shared" si="69"/>
        <v>0</v>
      </c>
      <c r="EU116" s="844">
        <f t="shared" si="69"/>
        <v>0</v>
      </c>
      <c r="EV116" s="844">
        <f t="shared" si="69"/>
        <v>0</v>
      </c>
      <c r="EW116" s="844">
        <f t="shared" si="69"/>
        <v>0.04</v>
      </c>
      <c r="EX116" s="844">
        <f t="shared" si="69"/>
        <v>0</v>
      </c>
      <c r="EY116" s="847">
        <f t="shared" ref="EY116:FL116" si="70">SUM(EY107:EY115)</f>
        <v>0.73150000000000004</v>
      </c>
      <c r="EZ116" s="534">
        <f t="shared" si="70"/>
        <v>0</v>
      </c>
      <c r="FA116" s="534">
        <f t="shared" si="70"/>
        <v>0</v>
      </c>
      <c r="FB116" s="534">
        <f t="shared" si="70"/>
        <v>0</v>
      </c>
      <c r="FC116" s="534">
        <f t="shared" si="70"/>
        <v>0</v>
      </c>
      <c r="FD116" s="534">
        <f t="shared" si="70"/>
        <v>0</v>
      </c>
      <c r="FE116" s="534">
        <f t="shared" si="70"/>
        <v>0</v>
      </c>
      <c r="FF116" s="534">
        <f t="shared" si="70"/>
        <v>0</v>
      </c>
      <c r="FG116" s="534">
        <f t="shared" si="70"/>
        <v>0</v>
      </c>
      <c r="FH116" s="534">
        <f t="shared" si="70"/>
        <v>0</v>
      </c>
      <c r="FI116" s="534">
        <f t="shared" si="70"/>
        <v>0</v>
      </c>
      <c r="FJ116" s="534">
        <f t="shared" si="70"/>
        <v>0</v>
      </c>
      <c r="FK116" s="534">
        <f t="shared" si="70"/>
        <v>0</v>
      </c>
      <c r="FL116" s="534">
        <f t="shared" si="70"/>
        <v>0</v>
      </c>
    </row>
    <row r="117" spans="1:168" ht="13.95" customHeight="1" x14ac:dyDescent="0.25">
      <c r="A117" s="1459" t="s">
        <v>112</v>
      </c>
      <c r="B117" s="115" t="str">
        <f>блюда!B34</f>
        <v>Салат из белокачанной капусты с морковью</v>
      </c>
      <c r="C117" s="250">
        <f>блюда!C34</f>
        <v>60</v>
      </c>
      <c r="D117" s="431">
        <f>блюда!D34</f>
        <v>0.79</v>
      </c>
      <c r="E117" s="431">
        <f>блюда!E34</f>
        <v>1.95</v>
      </c>
      <c r="F117" s="431">
        <f>блюда!F34</f>
        <v>3.88</v>
      </c>
      <c r="G117" s="250">
        <f>блюда!G34</f>
        <v>36</v>
      </c>
      <c r="H117" s="250">
        <f>блюда!H34</f>
        <v>45</v>
      </c>
      <c r="I117" s="431">
        <f>блюда!I34</f>
        <v>5.04</v>
      </c>
      <c r="J117" s="473">
        <f>блюда!J34</f>
        <v>0</v>
      </c>
      <c r="K117" s="473">
        <f>блюда!K34</f>
        <v>0</v>
      </c>
      <c r="L117" s="473">
        <f>блюда!L34</f>
        <v>0</v>
      </c>
      <c r="M117" s="473">
        <f>блюда!M34</f>
        <v>0</v>
      </c>
      <c r="N117" s="473">
        <f>блюда!N34</f>
        <v>0</v>
      </c>
      <c r="O117" s="473">
        <f>блюда!O34</f>
        <v>0</v>
      </c>
      <c r="P117" s="473">
        <f>блюда!P34</f>
        <v>0</v>
      </c>
      <c r="Q117" s="473">
        <f>блюда!Q34</f>
        <v>0</v>
      </c>
      <c r="R117" s="473">
        <f>блюда!R34</f>
        <v>0</v>
      </c>
      <c r="S117" s="473">
        <f>блюда!S34</f>
        <v>0</v>
      </c>
      <c r="T117" s="473">
        <f>блюда!T34</f>
        <v>0</v>
      </c>
      <c r="U117" s="473">
        <f>блюда!U34</f>
        <v>0</v>
      </c>
      <c r="V117" s="473">
        <f>блюда!V34</f>
        <v>0</v>
      </c>
      <c r="W117" s="473">
        <f>блюда!W34</f>
        <v>0</v>
      </c>
      <c r="X117" s="473">
        <f>блюда!X34</f>
        <v>0</v>
      </c>
      <c r="Y117" s="473">
        <f>блюда!Y34</f>
        <v>0</v>
      </c>
      <c r="Z117" s="473">
        <f>блюда!Z34</f>
        <v>0</v>
      </c>
      <c r="AA117" s="473">
        <f>блюда!AA34</f>
        <v>0</v>
      </c>
      <c r="AB117" s="473">
        <f>блюда!AB34</f>
        <v>0</v>
      </c>
      <c r="AC117" s="473">
        <f>блюда!AC34</f>
        <v>0</v>
      </c>
      <c r="AD117" s="473">
        <f>блюда!AD34</f>
        <v>0</v>
      </c>
      <c r="AE117" s="473">
        <f>блюда!AE34</f>
        <v>0</v>
      </c>
      <c r="AF117" s="473">
        <f>блюда!AF34</f>
        <v>5.9159999999999997E-2</v>
      </c>
      <c r="AG117" s="473">
        <f>блюда!AG34</f>
        <v>0</v>
      </c>
      <c r="AH117" s="473">
        <f>блюда!AH34</f>
        <v>0</v>
      </c>
      <c r="AI117" s="473">
        <f>блюда!AI34</f>
        <v>0</v>
      </c>
      <c r="AJ117" s="473">
        <f>блюда!AJ34</f>
        <v>0</v>
      </c>
      <c r="AK117" s="473">
        <f>блюда!AK34</f>
        <v>0</v>
      </c>
      <c r="AL117" s="473">
        <f>блюда!AL34</f>
        <v>0</v>
      </c>
      <c r="AM117" s="473">
        <f>блюда!AM34</f>
        <v>0</v>
      </c>
      <c r="AN117" s="473">
        <f>блюда!AN34</f>
        <v>0</v>
      </c>
      <c r="AO117" s="473">
        <f>блюда!AO34</f>
        <v>0</v>
      </c>
      <c r="AP117" s="473">
        <f>блюда!AP34</f>
        <v>0</v>
      </c>
      <c r="AQ117" s="473">
        <f>блюда!AQ34</f>
        <v>2.5020000000000001E-2</v>
      </c>
      <c r="AR117" s="473">
        <f>блюда!AR34</f>
        <v>0</v>
      </c>
      <c r="AS117" s="473">
        <f>блюда!AS34</f>
        <v>0</v>
      </c>
      <c r="AT117" s="473">
        <f>блюда!AT34</f>
        <v>0</v>
      </c>
      <c r="AU117" s="473">
        <f>блюда!AU34</f>
        <v>0</v>
      </c>
      <c r="AV117" s="473">
        <f>блюда!AV34</f>
        <v>0</v>
      </c>
      <c r="AW117" s="473">
        <f>блюда!AW34</f>
        <v>0</v>
      </c>
      <c r="AX117" s="473">
        <f>блюда!AX34</f>
        <v>0</v>
      </c>
      <c r="AY117" s="473">
        <f>блюда!AY34</f>
        <v>0</v>
      </c>
      <c r="AZ117" s="473">
        <f>блюда!AZ34</f>
        <v>0</v>
      </c>
      <c r="BA117" s="473">
        <f>блюда!BA34</f>
        <v>0</v>
      </c>
      <c r="BB117" s="473">
        <f>блюда!BB34</f>
        <v>0</v>
      </c>
      <c r="BC117" s="473">
        <f>блюда!BC34</f>
        <v>0</v>
      </c>
      <c r="BD117" s="473">
        <f>блюда!BD34</f>
        <v>0</v>
      </c>
      <c r="BE117" s="473">
        <f>блюда!BE34</f>
        <v>0</v>
      </c>
      <c r="BF117" s="473">
        <f>блюда!BF34</f>
        <v>0</v>
      </c>
      <c r="BG117" s="473">
        <f>блюда!BG34</f>
        <v>0</v>
      </c>
      <c r="BH117" s="473">
        <f>блюда!BH34</f>
        <v>0</v>
      </c>
      <c r="BI117" s="473">
        <f>блюда!BI34</f>
        <v>0</v>
      </c>
      <c r="BJ117" s="473">
        <f>блюда!BJ34</f>
        <v>0</v>
      </c>
      <c r="BK117" s="473">
        <f>блюда!BK34</f>
        <v>0</v>
      </c>
      <c r="BL117" s="473">
        <f>блюда!BL34</f>
        <v>0</v>
      </c>
      <c r="BM117" s="473">
        <f>блюда!BM34</f>
        <v>0</v>
      </c>
      <c r="BN117" s="473">
        <f>блюда!BN34</f>
        <v>0</v>
      </c>
      <c r="BO117" s="473">
        <f>блюда!BO34</f>
        <v>0</v>
      </c>
      <c r="BP117" s="473">
        <f>блюда!BP34</f>
        <v>0</v>
      </c>
      <c r="BQ117" s="473">
        <f>блюда!BQ34</f>
        <v>0</v>
      </c>
      <c r="BR117" s="473">
        <f>блюда!BR34</f>
        <v>0</v>
      </c>
      <c r="BS117" s="473">
        <f>блюда!BS34</f>
        <v>0</v>
      </c>
      <c r="BT117" s="473">
        <f>блюда!BT34</f>
        <v>0</v>
      </c>
      <c r="BU117" s="473">
        <f>блюда!BU34</f>
        <v>0</v>
      </c>
      <c r="BV117" s="473">
        <f>блюда!BV34</f>
        <v>0</v>
      </c>
      <c r="BW117" s="473">
        <f>блюда!BW34</f>
        <v>0</v>
      </c>
      <c r="BX117" s="473">
        <f>блюда!BX34</f>
        <v>0</v>
      </c>
      <c r="BY117" s="473">
        <f>блюда!BY34</f>
        <v>0</v>
      </c>
      <c r="BZ117" s="473">
        <f>блюда!BZ34</f>
        <v>0</v>
      </c>
      <c r="CA117" s="473">
        <f>блюда!CA34</f>
        <v>0</v>
      </c>
      <c r="CB117" s="473">
        <f>блюда!CB34</f>
        <v>0</v>
      </c>
      <c r="CC117" s="473">
        <f>блюда!CC34</f>
        <v>0</v>
      </c>
      <c r="CD117" s="473">
        <f>блюда!CD34</f>
        <v>0</v>
      </c>
      <c r="CE117" s="473">
        <f>блюда!CE34</f>
        <v>0</v>
      </c>
      <c r="CF117" s="473">
        <f>блюда!CF34</f>
        <v>3.0000000000000001E-3</v>
      </c>
      <c r="CG117" s="473">
        <f>блюда!CG34</f>
        <v>0</v>
      </c>
      <c r="CH117" s="473">
        <f>блюда!CH34</f>
        <v>0</v>
      </c>
      <c r="CI117" s="473">
        <f>блюда!CI34</f>
        <v>0</v>
      </c>
      <c r="CJ117" s="473">
        <f>блюда!CJ34</f>
        <v>0</v>
      </c>
      <c r="CK117" s="473">
        <f>блюда!CK34</f>
        <v>0</v>
      </c>
      <c r="CL117" s="473">
        <f>блюда!CL34</f>
        <v>0</v>
      </c>
      <c r="CM117" s="473">
        <f>блюда!CM34</f>
        <v>0</v>
      </c>
      <c r="CN117" s="473">
        <f>блюда!CN34</f>
        <v>0</v>
      </c>
      <c r="CO117" s="473">
        <f>блюда!CO34</f>
        <v>0</v>
      </c>
      <c r="CP117" s="473">
        <f>блюда!CP34</f>
        <v>0</v>
      </c>
      <c r="CQ117" s="473">
        <f>блюда!CQ34</f>
        <v>1.8000000000000001E-4</v>
      </c>
      <c r="CR117" s="473">
        <f>блюда!CR34</f>
        <v>0</v>
      </c>
      <c r="CS117" s="473">
        <f>блюда!CS34</f>
        <v>0</v>
      </c>
      <c r="CT117" s="473">
        <f>блюда!CT34</f>
        <v>0</v>
      </c>
      <c r="CU117" s="473">
        <f>блюда!CU34</f>
        <v>0</v>
      </c>
      <c r="CV117" s="473">
        <f>блюда!CV34</f>
        <v>0</v>
      </c>
      <c r="CW117" s="473">
        <f>блюда!CW34</f>
        <v>0</v>
      </c>
      <c r="CX117" s="473">
        <f>блюда!CX34</f>
        <v>0</v>
      </c>
      <c r="CY117" s="473">
        <f>блюда!CY34</f>
        <v>0</v>
      </c>
      <c r="CZ117" s="473">
        <f>блюда!CZ34</f>
        <v>3.0000000000000001E-3</v>
      </c>
      <c r="DA117" s="473">
        <f>блюда!DA34</f>
        <v>0</v>
      </c>
      <c r="DB117" s="473">
        <f>блюда!DB34</f>
        <v>0</v>
      </c>
      <c r="DC117" s="473">
        <f>блюда!DC34</f>
        <v>7.2000000000000005E-4</v>
      </c>
      <c r="DD117" s="473">
        <f>блюда!DD34</f>
        <v>0</v>
      </c>
      <c r="DE117" s="473">
        <f>блюда!DE34</f>
        <v>0</v>
      </c>
      <c r="DF117" s="473">
        <f>блюда!DF34</f>
        <v>0</v>
      </c>
      <c r="DG117" s="473">
        <f>блюда!DG34</f>
        <v>0</v>
      </c>
      <c r="DH117" s="473">
        <f>блюда!DH34</f>
        <v>0</v>
      </c>
      <c r="DI117" s="473">
        <f>блюда!DI34</f>
        <v>0</v>
      </c>
      <c r="DJ117" s="473">
        <f>блюда!DJ34</f>
        <v>0</v>
      </c>
      <c r="DK117" s="473">
        <f>блюда!DK34</f>
        <v>0</v>
      </c>
      <c r="DL117" s="473">
        <f>блюда!DL34</f>
        <v>0</v>
      </c>
      <c r="DM117" s="473">
        <f>блюда!DM34</f>
        <v>0</v>
      </c>
      <c r="DN117" s="473">
        <f>блюда!DN34</f>
        <v>0</v>
      </c>
      <c r="DO117" s="473">
        <f>блюда!DO34</f>
        <v>0</v>
      </c>
      <c r="DP117" s="473">
        <f>блюда!DP34</f>
        <v>0</v>
      </c>
      <c r="DQ117" s="473">
        <f>блюда!DQ34</f>
        <v>0</v>
      </c>
      <c r="DR117" s="473">
        <f>блюда!DR34</f>
        <v>0</v>
      </c>
      <c r="DS117" s="473">
        <f>блюда!DS34</f>
        <v>0</v>
      </c>
      <c r="DT117" s="473">
        <f>блюда!DT34</f>
        <v>0</v>
      </c>
      <c r="DU117" s="473">
        <f>блюда!DU34</f>
        <v>0</v>
      </c>
      <c r="DV117" s="473">
        <f>блюда!DV34</f>
        <v>0</v>
      </c>
      <c r="DW117" s="473">
        <f>блюда!DW34</f>
        <v>0</v>
      </c>
      <c r="DX117" s="473">
        <f>блюда!DX34</f>
        <v>0</v>
      </c>
      <c r="DY117" s="473">
        <f>блюда!DY34</f>
        <v>0</v>
      </c>
      <c r="DZ117" s="473">
        <f>блюда!DZ34</f>
        <v>0</v>
      </c>
      <c r="EA117" s="473">
        <f>блюда!EA34</f>
        <v>0</v>
      </c>
      <c r="EB117" s="473">
        <f>блюда!EB34</f>
        <v>0</v>
      </c>
      <c r="EC117" s="473">
        <f>блюда!EC34</f>
        <v>0</v>
      </c>
      <c r="ED117" s="473">
        <f>блюда!ED34</f>
        <v>0</v>
      </c>
      <c r="EE117" s="473">
        <f>блюда!EE34</f>
        <v>0</v>
      </c>
      <c r="EF117" s="473">
        <f>блюда!EF34</f>
        <v>0</v>
      </c>
      <c r="EG117" s="473">
        <f>блюда!EG34</f>
        <v>0</v>
      </c>
      <c r="EH117" s="473">
        <f>блюда!EH34</f>
        <v>0</v>
      </c>
      <c r="EI117" s="473">
        <f>блюда!EI34</f>
        <v>0</v>
      </c>
      <c r="EJ117" s="473">
        <f>блюда!EJ34</f>
        <v>0</v>
      </c>
      <c r="EK117" s="473">
        <f>блюда!EK34</f>
        <v>0</v>
      </c>
      <c r="EL117" s="473">
        <f>блюда!EL34</f>
        <v>0</v>
      </c>
      <c r="EM117" s="473">
        <f>блюда!EM34</f>
        <v>0</v>
      </c>
      <c r="EN117" s="473">
        <f>блюда!EN34</f>
        <v>0</v>
      </c>
      <c r="EO117" s="473">
        <f>блюда!EO34</f>
        <v>0</v>
      </c>
      <c r="EP117" s="473">
        <f>блюда!EP34</f>
        <v>0</v>
      </c>
      <c r="EQ117" s="473">
        <f>блюда!EQ34</f>
        <v>0</v>
      </c>
      <c r="ER117" s="473">
        <f>блюда!ER34</f>
        <v>0</v>
      </c>
      <c r="ES117" s="473">
        <f>блюда!ES34</f>
        <v>0</v>
      </c>
      <c r="ET117" s="473">
        <f>блюда!ET34</f>
        <v>0</v>
      </c>
      <c r="EU117" s="473">
        <f>блюда!EU34</f>
        <v>0</v>
      </c>
      <c r="EV117" s="473">
        <f>блюда!EV34</f>
        <v>0</v>
      </c>
      <c r="EW117" s="473">
        <f>блюда!EW34</f>
        <v>0</v>
      </c>
      <c r="EX117" s="473">
        <f>блюда!EX34</f>
        <v>0</v>
      </c>
      <c r="EY117" s="927">
        <f t="shared" ref="EY117:EY131" si="71">SUM(J117:EX117)</f>
        <v>9.1079999999999994E-2</v>
      </c>
      <c r="EZ117" s="117">
        <f>блюда!EZ49</f>
        <v>0</v>
      </c>
      <c r="FA117" s="117">
        <f>блюда!FA49</f>
        <v>0</v>
      </c>
      <c r="FB117" s="117">
        <f>блюда!FB49</f>
        <v>0</v>
      </c>
      <c r="FC117" s="117">
        <f>блюда!FC49</f>
        <v>0</v>
      </c>
      <c r="FD117" s="117">
        <f>блюда!FD49</f>
        <v>0</v>
      </c>
      <c r="FE117" s="117">
        <f>блюда!FE49</f>
        <v>0</v>
      </c>
      <c r="FF117" s="117">
        <f>блюда!FF49</f>
        <v>0</v>
      </c>
      <c r="FG117" s="117">
        <f>блюда!FG49</f>
        <v>0</v>
      </c>
      <c r="FH117" s="117">
        <f>блюда!FH49</f>
        <v>0</v>
      </c>
      <c r="FI117" s="117">
        <f>блюда!FI49</f>
        <v>0</v>
      </c>
      <c r="FJ117" s="117">
        <f>блюда!FJ49</f>
        <v>0</v>
      </c>
      <c r="FK117" s="117">
        <f>блюда!FK49</f>
        <v>0</v>
      </c>
      <c r="FL117" s="117">
        <f>блюда!FL49</f>
        <v>0</v>
      </c>
    </row>
    <row r="118" spans="1:168" ht="13.95" customHeight="1" x14ac:dyDescent="0.25">
      <c r="A118" s="1460"/>
      <c r="B118" s="115" t="str">
        <f>блюда!B62</f>
        <v>Рассольник ленинградский</v>
      </c>
      <c r="C118" s="250">
        <f>блюда!C62</f>
        <v>250</v>
      </c>
      <c r="D118" s="431">
        <f>блюда!D62</f>
        <v>2.02</v>
      </c>
      <c r="E118" s="431">
        <f>блюда!E62</f>
        <v>5.09</v>
      </c>
      <c r="F118" s="431">
        <f>блюда!F62</f>
        <v>11.98</v>
      </c>
      <c r="G118" s="250">
        <f>блюда!G62</f>
        <v>107</v>
      </c>
      <c r="H118" s="250">
        <f>блюда!H62</f>
        <v>96</v>
      </c>
      <c r="I118" s="431">
        <f>блюда!I62</f>
        <v>10.199999999999999</v>
      </c>
      <c r="J118" s="473">
        <f>блюда!J62</f>
        <v>0</v>
      </c>
      <c r="K118" s="473">
        <f>блюда!K62</f>
        <v>0</v>
      </c>
      <c r="L118" s="473">
        <f>блюда!L62</f>
        <v>0</v>
      </c>
      <c r="M118" s="473">
        <f>блюда!M62</f>
        <v>0</v>
      </c>
      <c r="N118" s="473">
        <f>блюда!N62</f>
        <v>0</v>
      </c>
      <c r="O118" s="473">
        <f>блюда!O62</f>
        <v>0</v>
      </c>
      <c r="P118" s="473">
        <f>блюда!P62</f>
        <v>0</v>
      </c>
      <c r="Q118" s="473">
        <f>блюда!Q62</f>
        <v>0</v>
      </c>
      <c r="R118" s="473">
        <f>блюда!R62</f>
        <v>0</v>
      </c>
      <c r="S118" s="473">
        <f>блюда!S62</f>
        <v>0</v>
      </c>
      <c r="T118" s="473">
        <f>блюда!T62</f>
        <v>0</v>
      </c>
      <c r="U118" s="473">
        <f>блюда!U62</f>
        <v>0</v>
      </c>
      <c r="V118" s="473">
        <f>блюда!V62</f>
        <v>0</v>
      </c>
      <c r="W118" s="473">
        <f>блюда!W62</f>
        <v>0</v>
      </c>
      <c r="X118" s="473">
        <f>блюда!X62</f>
        <v>0</v>
      </c>
      <c r="Y118" s="473">
        <f>блюда!Y62</f>
        <v>5.0000000000000001E-3</v>
      </c>
      <c r="Z118" s="473">
        <f>блюда!Z62</f>
        <v>0</v>
      </c>
      <c r="AA118" s="473">
        <f>блюда!AA62</f>
        <v>0</v>
      </c>
      <c r="AB118" s="473">
        <f>блюда!AB62</f>
        <v>0</v>
      </c>
      <c r="AC118" s="473">
        <f>блюда!AC62</f>
        <v>0</v>
      </c>
      <c r="AD118" s="473">
        <f>блюда!AD62</f>
        <v>0</v>
      </c>
      <c r="AE118" s="473">
        <f>блюда!AE62</f>
        <v>0</v>
      </c>
      <c r="AF118" s="473">
        <f>блюда!AF62</f>
        <v>0</v>
      </c>
      <c r="AG118" s="473">
        <f>блюда!AG62</f>
        <v>0</v>
      </c>
      <c r="AH118" s="473">
        <f>блюда!AH62</f>
        <v>0.1</v>
      </c>
      <c r="AI118" s="473">
        <f>блюда!AI62</f>
        <v>0</v>
      </c>
      <c r="AJ118" s="473">
        <f>блюда!AJ62</f>
        <v>0</v>
      </c>
      <c r="AK118" s="473">
        <f>блюда!AK62</f>
        <v>6.0000000000000001E-3</v>
      </c>
      <c r="AL118" s="473">
        <f>блюда!AL62</f>
        <v>0</v>
      </c>
      <c r="AM118" s="473">
        <f>блюда!AM62</f>
        <v>0</v>
      </c>
      <c r="AN118" s="473">
        <f>блюда!AN62</f>
        <v>0</v>
      </c>
      <c r="AO118" s="473">
        <f>блюда!AO62</f>
        <v>0</v>
      </c>
      <c r="AP118" s="473">
        <f>блюда!AP62</f>
        <v>0</v>
      </c>
      <c r="AQ118" s="473">
        <f>блюда!AQ62</f>
        <v>1.2500000000000001E-2</v>
      </c>
      <c r="AR118" s="473">
        <f>блюда!AR62</f>
        <v>0</v>
      </c>
      <c r="AS118" s="473">
        <f>блюда!AS62</f>
        <v>0</v>
      </c>
      <c r="AT118" s="473">
        <f>блюда!AT62</f>
        <v>0</v>
      </c>
      <c r="AU118" s="473">
        <f>блюда!AU62</f>
        <v>0</v>
      </c>
      <c r="AV118" s="473">
        <f>блюда!AV62</f>
        <v>0</v>
      </c>
      <c r="AW118" s="473">
        <f>блюда!AW62</f>
        <v>0</v>
      </c>
      <c r="AX118" s="473">
        <f>блюда!AX62</f>
        <v>0</v>
      </c>
      <c r="AY118" s="473">
        <f>блюда!AY62</f>
        <v>0</v>
      </c>
      <c r="AZ118" s="473">
        <f>блюда!AZ62</f>
        <v>0</v>
      </c>
      <c r="BA118" s="473">
        <f>блюда!BA62</f>
        <v>0</v>
      </c>
      <c r="BB118" s="473">
        <f>блюда!BB62</f>
        <v>0</v>
      </c>
      <c r="BC118" s="473">
        <f>блюда!BC62</f>
        <v>0</v>
      </c>
      <c r="BD118" s="473">
        <f>блюда!BD62</f>
        <v>0</v>
      </c>
      <c r="BE118" s="473">
        <f>блюда!BE62</f>
        <v>0</v>
      </c>
      <c r="BF118" s="473">
        <f>блюда!BF62</f>
        <v>0</v>
      </c>
      <c r="BG118" s="473">
        <f>блюда!BG62</f>
        <v>0</v>
      </c>
      <c r="BH118" s="473">
        <f>блюда!BH62</f>
        <v>0</v>
      </c>
      <c r="BI118" s="473">
        <f>блюда!BI62</f>
        <v>0</v>
      </c>
      <c r="BJ118" s="473">
        <f>блюда!BJ62</f>
        <v>0</v>
      </c>
      <c r="BK118" s="473">
        <f>блюда!BK62</f>
        <v>0</v>
      </c>
      <c r="BL118" s="473">
        <f>блюда!BL62</f>
        <v>0</v>
      </c>
      <c r="BM118" s="473">
        <f>блюда!BM62</f>
        <v>0</v>
      </c>
      <c r="BN118" s="473">
        <f>блюда!BN62</f>
        <v>0</v>
      </c>
      <c r="BO118" s="473">
        <f>блюда!BO62</f>
        <v>0</v>
      </c>
      <c r="BP118" s="473">
        <f>блюда!BP62</f>
        <v>0</v>
      </c>
      <c r="BQ118" s="473">
        <f>блюда!BQ62</f>
        <v>0</v>
      </c>
      <c r="BR118" s="473">
        <f>блюда!BR62</f>
        <v>0</v>
      </c>
      <c r="BS118" s="473">
        <f>блюда!BS62</f>
        <v>0</v>
      </c>
      <c r="BT118" s="473">
        <f>блюда!BT62</f>
        <v>0</v>
      </c>
      <c r="BU118" s="473">
        <f>блюда!BU62</f>
        <v>0</v>
      </c>
      <c r="BV118" s="473">
        <f>блюда!BV62</f>
        <v>0</v>
      </c>
      <c r="BW118" s="473">
        <f>блюда!BW62</f>
        <v>0</v>
      </c>
      <c r="BX118" s="473">
        <f>блюда!BX62</f>
        <v>0</v>
      </c>
      <c r="BY118" s="473">
        <f>блюда!BY62</f>
        <v>0</v>
      </c>
      <c r="BZ118" s="473">
        <f>блюда!BZ62</f>
        <v>0</v>
      </c>
      <c r="CA118" s="473">
        <f>блюда!CA62</f>
        <v>0</v>
      </c>
      <c r="CB118" s="473">
        <f>блюда!CB62</f>
        <v>5.0000000000000001E-3</v>
      </c>
      <c r="CC118" s="473">
        <f>блюда!CC62</f>
        <v>0</v>
      </c>
      <c r="CD118" s="473">
        <f>блюда!CD62</f>
        <v>0</v>
      </c>
      <c r="CE118" s="473">
        <f>блюда!CE62</f>
        <v>0</v>
      </c>
      <c r="CF118" s="473">
        <f>блюда!CF62</f>
        <v>5.0000000000000001E-3</v>
      </c>
      <c r="CG118" s="473">
        <f>блюда!CG62</f>
        <v>0</v>
      </c>
      <c r="CH118" s="473">
        <f>блюда!CH62</f>
        <v>0</v>
      </c>
      <c r="CI118" s="473">
        <f>блюда!CI62</f>
        <v>0</v>
      </c>
      <c r="CJ118" s="473">
        <f>блюда!CJ62</f>
        <v>0</v>
      </c>
      <c r="CK118" s="473">
        <f>блюда!CK62</f>
        <v>0</v>
      </c>
      <c r="CL118" s="473">
        <f>блюда!CL62</f>
        <v>0</v>
      </c>
      <c r="CM118" s="473">
        <f>блюда!CM62</f>
        <v>0</v>
      </c>
      <c r="CN118" s="473">
        <f>блюда!CN62</f>
        <v>0</v>
      </c>
      <c r="CO118" s="473">
        <f>блюда!CO62</f>
        <v>0</v>
      </c>
      <c r="CP118" s="473">
        <f>блюда!CP62</f>
        <v>0</v>
      </c>
      <c r="CQ118" s="473">
        <f>блюда!CQ62</f>
        <v>0</v>
      </c>
      <c r="CR118" s="473">
        <f>блюда!CR62</f>
        <v>0</v>
      </c>
      <c r="CS118" s="473">
        <f>блюда!CS62</f>
        <v>0</v>
      </c>
      <c r="CT118" s="473">
        <f>блюда!CT62</f>
        <v>1.6750000000000001E-2</v>
      </c>
      <c r="CU118" s="473">
        <f>блюда!CU62</f>
        <v>0</v>
      </c>
      <c r="CV118" s="473">
        <f>блюда!CV62</f>
        <v>0</v>
      </c>
      <c r="CW118" s="473">
        <f>блюда!CW62</f>
        <v>0</v>
      </c>
      <c r="CX118" s="473">
        <f>блюда!CX62</f>
        <v>0</v>
      </c>
      <c r="CY118" s="473">
        <f>блюда!CY62</f>
        <v>0</v>
      </c>
      <c r="CZ118" s="473">
        <f>блюда!CZ62</f>
        <v>0</v>
      </c>
      <c r="DA118" s="473">
        <f>блюда!DA62</f>
        <v>0</v>
      </c>
      <c r="DB118" s="473">
        <f>блюда!DB62</f>
        <v>0</v>
      </c>
      <c r="DC118" s="473">
        <f>блюда!DC62</f>
        <v>0</v>
      </c>
      <c r="DD118" s="473">
        <f>блюда!DD62</f>
        <v>0</v>
      </c>
      <c r="DE118" s="473">
        <f>блюда!DE62</f>
        <v>0</v>
      </c>
      <c r="DF118" s="473">
        <f>блюда!DF62</f>
        <v>0</v>
      </c>
      <c r="DG118" s="473">
        <f>блюда!DG62</f>
        <v>0</v>
      </c>
      <c r="DH118" s="473">
        <f>блюда!DH62</f>
        <v>0</v>
      </c>
      <c r="DI118" s="473">
        <f>блюда!DI62</f>
        <v>0</v>
      </c>
      <c r="DJ118" s="473">
        <f>блюда!DJ62</f>
        <v>0</v>
      </c>
      <c r="DK118" s="473">
        <f>блюда!DK62</f>
        <v>0</v>
      </c>
      <c r="DL118" s="473">
        <f>блюда!DL62</f>
        <v>0</v>
      </c>
      <c r="DM118" s="473">
        <f>блюда!DM62</f>
        <v>0</v>
      </c>
      <c r="DN118" s="473">
        <f>блюда!DN62</f>
        <v>0</v>
      </c>
      <c r="DO118" s="473">
        <f>блюда!DO62</f>
        <v>0</v>
      </c>
      <c r="DP118" s="473">
        <f>блюда!DP62</f>
        <v>0</v>
      </c>
      <c r="DQ118" s="473">
        <f>блюда!DQ62</f>
        <v>0</v>
      </c>
      <c r="DR118" s="473">
        <f>блюда!DR62</f>
        <v>0</v>
      </c>
      <c r="DS118" s="473">
        <f>блюда!DS62</f>
        <v>0</v>
      </c>
      <c r="DT118" s="473">
        <f>блюда!DT62</f>
        <v>0</v>
      </c>
      <c r="DU118" s="473">
        <f>блюда!DU62</f>
        <v>0</v>
      </c>
      <c r="DV118" s="473">
        <f>блюда!DV62</f>
        <v>0</v>
      </c>
      <c r="DW118" s="473">
        <f>блюда!DW62</f>
        <v>0</v>
      </c>
      <c r="DX118" s="473">
        <f>блюда!DX62</f>
        <v>0</v>
      </c>
      <c r="DY118" s="473">
        <f>блюда!DY62</f>
        <v>0</v>
      </c>
      <c r="DZ118" s="473">
        <f>блюда!DZ62</f>
        <v>0</v>
      </c>
      <c r="EA118" s="473">
        <f>блюда!EA62</f>
        <v>0</v>
      </c>
      <c r="EB118" s="473">
        <f>блюда!EB62</f>
        <v>0</v>
      </c>
      <c r="EC118" s="473">
        <f>блюда!EC62</f>
        <v>0</v>
      </c>
      <c r="ED118" s="473">
        <f>блюда!ED62</f>
        <v>0</v>
      </c>
      <c r="EE118" s="473">
        <f>блюда!EE62</f>
        <v>0</v>
      </c>
      <c r="EF118" s="473">
        <f>блюда!EF62</f>
        <v>0</v>
      </c>
      <c r="EG118" s="473">
        <f>блюда!EG62</f>
        <v>0</v>
      </c>
      <c r="EH118" s="473">
        <f>блюда!EH62</f>
        <v>0</v>
      </c>
      <c r="EI118" s="473">
        <f>блюда!EI62</f>
        <v>0</v>
      </c>
      <c r="EJ118" s="473">
        <f>блюда!EJ62</f>
        <v>0</v>
      </c>
      <c r="EK118" s="473">
        <f>блюда!EK62</f>
        <v>0</v>
      </c>
      <c r="EL118" s="473">
        <f>блюда!EL62</f>
        <v>0</v>
      </c>
      <c r="EM118" s="473">
        <f>блюда!EM62</f>
        <v>0</v>
      </c>
      <c r="EN118" s="473">
        <f>блюда!EN62</f>
        <v>0</v>
      </c>
      <c r="EO118" s="473">
        <f>блюда!EO62</f>
        <v>0</v>
      </c>
      <c r="EP118" s="473">
        <f>блюда!EP62</f>
        <v>0</v>
      </c>
      <c r="EQ118" s="473">
        <f>блюда!EQ62</f>
        <v>0</v>
      </c>
      <c r="ER118" s="473">
        <f>блюда!ER62</f>
        <v>0</v>
      </c>
      <c r="ES118" s="473">
        <f>блюда!ES62</f>
        <v>0</v>
      </c>
      <c r="ET118" s="473">
        <f>блюда!ET62</f>
        <v>0</v>
      </c>
      <c r="EU118" s="473">
        <f>блюда!EU62</f>
        <v>0</v>
      </c>
      <c r="EV118" s="473">
        <f>блюда!EV62</f>
        <v>0</v>
      </c>
      <c r="EW118" s="473">
        <f>блюда!EW62</f>
        <v>0</v>
      </c>
      <c r="EX118" s="473">
        <f>блюда!EX62</f>
        <v>0</v>
      </c>
      <c r="EY118" s="927">
        <f t="shared" si="71"/>
        <v>0.15024999999999999</v>
      </c>
      <c r="EZ118" s="117">
        <f>блюда!EZ55</f>
        <v>0</v>
      </c>
      <c r="FA118" s="117">
        <f>блюда!FA55</f>
        <v>0</v>
      </c>
      <c r="FB118" s="117">
        <f>блюда!FB55</f>
        <v>0</v>
      </c>
      <c r="FC118" s="117">
        <f>блюда!FC55</f>
        <v>0</v>
      </c>
      <c r="FD118" s="117">
        <f>блюда!FD55</f>
        <v>0</v>
      </c>
      <c r="FE118" s="117">
        <f>блюда!FE55</f>
        <v>0</v>
      </c>
      <c r="FF118" s="117">
        <f>блюда!FF55</f>
        <v>0</v>
      </c>
      <c r="FG118" s="117">
        <f>блюда!FG55</f>
        <v>0</v>
      </c>
      <c r="FH118" s="117">
        <f>блюда!FH55</f>
        <v>0</v>
      </c>
      <c r="FI118" s="117">
        <f>блюда!FI55</f>
        <v>0</v>
      </c>
      <c r="FJ118" s="117">
        <f>блюда!FJ55</f>
        <v>0</v>
      </c>
      <c r="FK118" s="117">
        <f>блюда!FK55</f>
        <v>0</v>
      </c>
      <c r="FL118" s="117">
        <f>блюда!FL55</f>
        <v>0</v>
      </c>
    </row>
    <row r="119" spans="1:168" ht="13.95" customHeight="1" x14ac:dyDescent="0.25">
      <c r="A119" s="1460"/>
      <c r="B119" s="943" t="str">
        <f>блюда!B327</f>
        <v>Рыба минтай (филе), тушенная в томате с овощами</v>
      </c>
      <c r="C119" s="250">
        <f>блюда!C327</f>
        <v>140</v>
      </c>
      <c r="D119" s="431">
        <f>блюда!D327</f>
        <v>19.399999999999999</v>
      </c>
      <c r="E119" s="431">
        <f>блюда!E327</f>
        <v>10</v>
      </c>
      <c r="F119" s="431">
        <f>блюда!F327</f>
        <v>9</v>
      </c>
      <c r="G119" s="250">
        <f>блюда!G327</f>
        <v>204</v>
      </c>
      <c r="H119" s="1380" t="str">
        <f>блюда!H327</f>
        <v>54-11р-2020</v>
      </c>
      <c r="I119" s="431">
        <f>блюда!I327</f>
        <v>62.5</v>
      </c>
      <c r="J119" s="473">
        <f>блюда!J327</f>
        <v>0</v>
      </c>
      <c r="K119" s="473">
        <f>блюда!K327</f>
        <v>0</v>
      </c>
      <c r="L119" s="473">
        <f>блюда!L327</f>
        <v>0</v>
      </c>
      <c r="M119" s="473">
        <f>блюда!M327</f>
        <v>0</v>
      </c>
      <c r="N119" s="473">
        <f>блюда!N327</f>
        <v>0</v>
      </c>
      <c r="O119" s="473">
        <f>блюда!O327</f>
        <v>0</v>
      </c>
      <c r="P119" s="473">
        <f>блюда!P327</f>
        <v>0</v>
      </c>
      <c r="Q119" s="473">
        <f>блюда!Q327</f>
        <v>0</v>
      </c>
      <c r="R119" s="473">
        <f>блюда!R327</f>
        <v>0</v>
      </c>
      <c r="S119" s="473">
        <f>блюда!S327</f>
        <v>0.15820000000000001</v>
      </c>
      <c r="T119" s="473">
        <f>блюда!T327</f>
        <v>0</v>
      </c>
      <c r="U119" s="473">
        <f>блюда!U327</f>
        <v>0</v>
      </c>
      <c r="V119" s="473">
        <f>блюда!V327</f>
        <v>0</v>
      </c>
      <c r="W119" s="473">
        <f>блюда!W327</f>
        <v>0</v>
      </c>
      <c r="X119" s="473">
        <f>блюда!X327</f>
        <v>0</v>
      </c>
      <c r="Y119" s="473">
        <f>блюда!Y327</f>
        <v>0</v>
      </c>
      <c r="Z119" s="473">
        <f>блюда!Z327</f>
        <v>0</v>
      </c>
      <c r="AA119" s="473">
        <f>блюда!AA327</f>
        <v>0</v>
      </c>
      <c r="AB119" s="473">
        <f>блюда!AB327</f>
        <v>0</v>
      </c>
      <c r="AC119" s="473">
        <f>блюда!AC327</f>
        <v>0</v>
      </c>
      <c r="AD119" s="473">
        <f>блюда!AD327</f>
        <v>0</v>
      </c>
      <c r="AE119" s="473">
        <f>блюда!AE327</f>
        <v>0</v>
      </c>
      <c r="AF119" s="473">
        <f>блюда!AF327</f>
        <v>0</v>
      </c>
      <c r="AG119" s="473">
        <f>блюда!AG327</f>
        <v>0</v>
      </c>
      <c r="AH119" s="473">
        <f>блюда!AH327</f>
        <v>0</v>
      </c>
      <c r="AI119" s="473">
        <f>блюда!AI327</f>
        <v>0</v>
      </c>
      <c r="AJ119" s="473">
        <f>блюда!AJ327</f>
        <v>0</v>
      </c>
      <c r="AK119" s="473">
        <f>блюда!AK327</f>
        <v>2.3800000000000002E-2</v>
      </c>
      <c r="AL119" s="473">
        <f>блюда!AL327</f>
        <v>0</v>
      </c>
      <c r="AM119" s="473">
        <f>блюда!AM327</f>
        <v>0</v>
      </c>
      <c r="AN119" s="473">
        <f>блюда!AN327</f>
        <v>0</v>
      </c>
      <c r="AO119" s="473">
        <f>блюда!AO327</f>
        <v>0</v>
      </c>
      <c r="AP119" s="473">
        <f>блюда!AP327</f>
        <v>0</v>
      </c>
      <c r="AQ119" s="473">
        <f>блюда!AQ327</f>
        <v>4.48E-2</v>
      </c>
      <c r="AR119" s="473">
        <f>блюда!AR327</f>
        <v>0</v>
      </c>
      <c r="AS119" s="473">
        <f>блюда!AS327</f>
        <v>0</v>
      </c>
      <c r="AT119" s="473">
        <f>блюда!AT327</f>
        <v>7.0000000000000001E-3</v>
      </c>
      <c r="AU119" s="473">
        <f>блюда!AU327</f>
        <v>0</v>
      </c>
      <c r="AV119" s="473">
        <f>блюда!AV327</f>
        <v>0</v>
      </c>
      <c r="AW119" s="473">
        <f>блюда!AW327</f>
        <v>0</v>
      </c>
      <c r="AX119" s="473">
        <f>блюда!AX327</f>
        <v>0</v>
      </c>
      <c r="AY119" s="473">
        <f>блюда!AY327</f>
        <v>0</v>
      </c>
      <c r="AZ119" s="473">
        <f>блюда!AZ327</f>
        <v>0</v>
      </c>
      <c r="BA119" s="473">
        <f>блюда!BA327</f>
        <v>0</v>
      </c>
      <c r="BB119" s="473">
        <f>блюда!BB327</f>
        <v>0</v>
      </c>
      <c r="BC119" s="473">
        <f>блюда!BC327</f>
        <v>0</v>
      </c>
      <c r="BD119" s="473">
        <f>блюда!BD327</f>
        <v>0</v>
      </c>
      <c r="BE119" s="473">
        <f>блюда!BE327</f>
        <v>0</v>
      </c>
      <c r="BF119" s="473">
        <f>блюда!BF327</f>
        <v>0</v>
      </c>
      <c r="BG119" s="473">
        <f>блюда!BG327</f>
        <v>0</v>
      </c>
      <c r="BH119" s="473">
        <f>блюда!BH327</f>
        <v>0</v>
      </c>
      <c r="BI119" s="473">
        <f>блюда!BI327</f>
        <v>0</v>
      </c>
      <c r="BJ119" s="473">
        <f>блюда!BJ327</f>
        <v>0</v>
      </c>
      <c r="BK119" s="473">
        <f>блюда!BK327</f>
        <v>0</v>
      </c>
      <c r="BL119" s="473">
        <f>блюда!BL327</f>
        <v>0</v>
      </c>
      <c r="BM119" s="473">
        <f>блюда!BM327</f>
        <v>0</v>
      </c>
      <c r="BN119" s="473">
        <f>блюда!BN327</f>
        <v>0</v>
      </c>
      <c r="BO119" s="473">
        <f>блюда!BO327</f>
        <v>0</v>
      </c>
      <c r="BP119" s="473">
        <f>блюда!BP327</f>
        <v>0</v>
      </c>
      <c r="BQ119" s="473">
        <f>блюда!BQ327</f>
        <v>0</v>
      </c>
      <c r="BR119" s="473">
        <f>блюда!BR327</f>
        <v>0</v>
      </c>
      <c r="BS119" s="473">
        <f>блюда!BS327</f>
        <v>0</v>
      </c>
      <c r="BT119" s="473">
        <f>блюда!BT327</f>
        <v>0</v>
      </c>
      <c r="BU119" s="473">
        <f>блюда!BU327</f>
        <v>0</v>
      </c>
      <c r="BV119" s="473">
        <f>блюда!BV327</f>
        <v>0</v>
      </c>
      <c r="BW119" s="473">
        <f>блюда!BW327</f>
        <v>0</v>
      </c>
      <c r="BX119" s="473">
        <f>блюда!BX327</f>
        <v>0</v>
      </c>
      <c r="BY119" s="473">
        <f>блюда!BY327</f>
        <v>0</v>
      </c>
      <c r="BZ119" s="473">
        <f>блюда!BZ327</f>
        <v>0</v>
      </c>
      <c r="CA119" s="473">
        <f>блюда!CA327</f>
        <v>0</v>
      </c>
      <c r="CB119" s="473">
        <f>блюда!CB327</f>
        <v>0</v>
      </c>
      <c r="CC119" s="473">
        <f>блюда!CC327</f>
        <v>0</v>
      </c>
      <c r="CD119" s="473">
        <f>блюда!CD327</f>
        <v>0</v>
      </c>
      <c r="CE119" s="473">
        <f>блюда!CE327</f>
        <v>0</v>
      </c>
      <c r="CF119" s="473">
        <f>блюда!CF327</f>
        <v>1.06E-2</v>
      </c>
      <c r="CG119" s="473">
        <f>блюда!CG327</f>
        <v>0</v>
      </c>
      <c r="CH119" s="473">
        <f>блюда!CH327</f>
        <v>0</v>
      </c>
      <c r="CI119" s="473">
        <f>блюда!CI327</f>
        <v>0</v>
      </c>
      <c r="CJ119" s="473">
        <f>блюда!CJ327</f>
        <v>0</v>
      </c>
      <c r="CK119" s="473">
        <f>блюда!CK327</f>
        <v>0</v>
      </c>
      <c r="CL119" s="473">
        <f>блюда!CL327</f>
        <v>0</v>
      </c>
      <c r="CM119" s="473">
        <f>блюда!CM327</f>
        <v>0</v>
      </c>
      <c r="CN119" s="473">
        <f>блюда!CN327</f>
        <v>0</v>
      </c>
      <c r="CO119" s="473">
        <f>блюда!CO327</f>
        <v>0</v>
      </c>
      <c r="CP119" s="473">
        <f>блюда!CP327</f>
        <v>0</v>
      </c>
      <c r="CQ119" s="473">
        <f>блюда!CQ327</f>
        <v>0</v>
      </c>
      <c r="CR119" s="473">
        <f>блюда!CR327</f>
        <v>0</v>
      </c>
      <c r="CS119" s="473">
        <f>блюда!CS327</f>
        <v>0</v>
      </c>
      <c r="CT119" s="473">
        <f>блюда!CT327</f>
        <v>0</v>
      </c>
      <c r="CU119" s="473">
        <f>блюда!CU327</f>
        <v>0</v>
      </c>
      <c r="CV119" s="473">
        <f>блюда!CV327</f>
        <v>0</v>
      </c>
      <c r="CW119" s="473">
        <f>блюда!CW327</f>
        <v>0</v>
      </c>
      <c r="CX119" s="473">
        <f>блюда!CX327</f>
        <v>0</v>
      </c>
      <c r="CY119" s="473">
        <f>блюда!CY327</f>
        <v>0</v>
      </c>
      <c r="CZ119" s="473">
        <f>блюда!CZ327</f>
        <v>3.5999999999999999E-3</v>
      </c>
      <c r="DA119" s="473">
        <f>блюда!DA327</f>
        <v>0</v>
      </c>
      <c r="DB119" s="473">
        <f>блюда!DB327</f>
        <v>0</v>
      </c>
      <c r="DC119" s="473">
        <f>блюда!DC327</f>
        <v>4.0000000000000002E-4</v>
      </c>
      <c r="DD119" s="473">
        <f>блюда!DD327</f>
        <v>0</v>
      </c>
      <c r="DE119" s="473">
        <f>блюда!DE327</f>
        <v>0</v>
      </c>
      <c r="DF119" s="473">
        <f>блюда!DF327</f>
        <v>1.26E-2</v>
      </c>
      <c r="DG119" s="473">
        <f>блюда!DG327</f>
        <v>0</v>
      </c>
      <c r="DH119" s="473">
        <f>блюда!DH327</f>
        <v>0</v>
      </c>
      <c r="DI119" s="473">
        <f>блюда!DI327</f>
        <v>0</v>
      </c>
      <c r="DJ119" s="473">
        <f>блюда!DJ327</f>
        <v>0</v>
      </c>
      <c r="DK119" s="473">
        <f>блюда!DK327</f>
        <v>0</v>
      </c>
      <c r="DL119" s="473">
        <f>блюда!DL327</f>
        <v>0</v>
      </c>
      <c r="DM119" s="473">
        <f>блюда!DM327</f>
        <v>0</v>
      </c>
      <c r="DN119" s="473">
        <f>блюда!DN327</f>
        <v>0</v>
      </c>
      <c r="DO119" s="473">
        <f>блюда!DO327</f>
        <v>0</v>
      </c>
      <c r="DP119" s="473">
        <f>блюда!DP327</f>
        <v>0</v>
      </c>
      <c r="DQ119" s="473">
        <f>блюда!DQ327</f>
        <v>0</v>
      </c>
      <c r="DR119" s="473">
        <f>блюда!DR327</f>
        <v>0</v>
      </c>
      <c r="DS119" s="473">
        <f>блюда!DS327</f>
        <v>0</v>
      </c>
      <c r="DT119" s="473">
        <f>блюда!DT327</f>
        <v>0</v>
      </c>
      <c r="DU119" s="473">
        <f>блюда!DU327</f>
        <v>0</v>
      </c>
      <c r="DV119" s="473">
        <f>блюда!DV327</f>
        <v>0</v>
      </c>
      <c r="DW119" s="473">
        <f>блюда!DW327</f>
        <v>0</v>
      </c>
      <c r="DX119" s="473">
        <f>блюда!DX327</f>
        <v>0</v>
      </c>
      <c r="DY119" s="473">
        <f>блюда!DY327</f>
        <v>0</v>
      </c>
      <c r="DZ119" s="473">
        <f>блюда!DZ327</f>
        <v>0</v>
      </c>
      <c r="EA119" s="473">
        <f>блюда!EA327</f>
        <v>0</v>
      </c>
      <c r="EB119" s="473">
        <f>блюда!EB327</f>
        <v>0</v>
      </c>
      <c r="EC119" s="473">
        <f>блюда!EC327</f>
        <v>0</v>
      </c>
      <c r="ED119" s="473">
        <f>блюда!ED327</f>
        <v>0</v>
      </c>
      <c r="EE119" s="473">
        <f>блюда!EE327</f>
        <v>0</v>
      </c>
      <c r="EF119" s="473">
        <f>блюда!EF327</f>
        <v>0</v>
      </c>
      <c r="EG119" s="473">
        <f>блюда!EG327</f>
        <v>0</v>
      </c>
      <c r="EH119" s="473">
        <f>блюда!EH327</f>
        <v>0</v>
      </c>
      <c r="EI119" s="473">
        <f>блюда!EI327</f>
        <v>0</v>
      </c>
      <c r="EJ119" s="473">
        <f>блюда!EJ327</f>
        <v>0</v>
      </c>
      <c r="EK119" s="473">
        <f>блюда!EK327</f>
        <v>0</v>
      </c>
      <c r="EL119" s="473">
        <f>блюда!EL327</f>
        <v>0</v>
      </c>
      <c r="EM119" s="473">
        <f>блюда!EM327</f>
        <v>0</v>
      </c>
      <c r="EN119" s="473">
        <f>блюда!EN327</f>
        <v>0</v>
      </c>
      <c r="EO119" s="473">
        <f>блюда!EO327</f>
        <v>0</v>
      </c>
      <c r="EP119" s="473">
        <f>блюда!EP327</f>
        <v>0</v>
      </c>
      <c r="EQ119" s="473">
        <f>блюда!EQ327</f>
        <v>0</v>
      </c>
      <c r="ER119" s="473">
        <f>блюда!ER327</f>
        <v>0</v>
      </c>
      <c r="ES119" s="473">
        <f>блюда!ES327</f>
        <v>0</v>
      </c>
      <c r="ET119" s="473">
        <f>блюда!ET327</f>
        <v>0</v>
      </c>
      <c r="EU119" s="473">
        <f>блюда!EU327</f>
        <v>0</v>
      </c>
      <c r="EV119" s="473">
        <f>блюда!EV327</f>
        <v>0</v>
      </c>
      <c r="EW119" s="473">
        <f>блюда!EW327</f>
        <v>0</v>
      </c>
      <c r="EX119" s="473">
        <f>блюда!EX327</f>
        <v>0</v>
      </c>
      <c r="EY119" s="927">
        <f t="shared" si="71"/>
        <v>0.26100000000000001</v>
      </c>
      <c r="EZ119" s="117">
        <f>блюда!EZ164</f>
        <v>0</v>
      </c>
      <c r="FA119" s="117">
        <f>блюда!FA164</f>
        <v>0</v>
      </c>
      <c r="FB119" s="117">
        <f>блюда!FB164</f>
        <v>0</v>
      </c>
      <c r="FC119" s="117">
        <f>блюда!FC164</f>
        <v>0</v>
      </c>
      <c r="FD119" s="117">
        <f>блюда!FD164</f>
        <v>0</v>
      </c>
      <c r="FE119" s="117">
        <f>блюда!FE164</f>
        <v>0</v>
      </c>
      <c r="FF119" s="117">
        <f>блюда!FF164</f>
        <v>0</v>
      </c>
      <c r="FG119" s="117">
        <f>блюда!FG164</f>
        <v>0</v>
      </c>
      <c r="FH119" s="117">
        <f>блюда!FH164</f>
        <v>0</v>
      </c>
      <c r="FI119" s="117">
        <f>блюда!FI164</f>
        <v>0</v>
      </c>
      <c r="FJ119" s="117">
        <f>блюда!FJ164</f>
        <v>0</v>
      </c>
      <c r="FK119" s="117">
        <f>блюда!FK164</f>
        <v>0</v>
      </c>
      <c r="FL119" s="117">
        <f>блюда!FL164</f>
        <v>0</v>
      </c>
    </row>
    <row r="120" spans="1:168" ht="13.95" customHeight="1" x14ac:dyDescent="0.25">
      <c r="A120" s="1460"/>
      <c r="B120" s="115" t="str">
        <f>блюда!B233</f>
        <v>Пюре картофельное</v>
      </c>
      <c r="C120" s="250">
        <f>блюда!C233</f>
        <v>150</v>
      </c>
      <c r="D120" s="431">
        <f>блюда!D233</f>
        <v>3.06</v>
      </c>
      <c r="E120" s="431">
        <f>блюда!E233</f>
        <v>4.32</v>
      </c>
      <c r="F120" s="431">
        <f>блюда!F233</f>
        <v>23.01</v>
      </c>
      <c r="G120" s="250">
        <f>блюда!G233</f>
        <v>142</v>
      </c>
      <c r="H120" s="250">
        <f>блюда!H233</f>
        <v>312</v>
      </c>
      <c r="I120" s="431">
        <f>блюда!I233</f>
        <v>14.17</v>
      </c>
      <c r="J120" s="473">
        <f>блюда!J233</f>
        <v>0</v>
      </c>
      <c r="K120" s="473">
        <f>блюда!K233</f>
        <v>0</v>
      </c>
      <c r="L120" s="473">
        <f>блюда!L233</f>
        <v>0</v>
      </c>
      <c r="M120" s="473">
        <f>блюда!M233</f>
        <v>0</v>
      </c>
      <c r="N120" s="473">
        <f>блюда!N233</f>
        <v>0</v>
      </c>
      <c r="O120" s="473">
        <f>блюда!O233</f>
        <v>0</v>
      </c>
      <c r="P120" s="473">
        <f>блюда!P233</f>
        <v>0</v>
      </c>
      <c r="Q120" s="473">
        <f>блюда!Q233</f>
        <v>0</v>
      </c>
      <c r="R120" s="473">
        <f>блюда!R233</f>
        <v>0</v>
      </c>
      <c r="S120" s="473">
        <f>блюда!S233</f>
        <v>0</v>
      </c>
      <c r="T120" s="473">
        <f>блюда!T233</f>
        <v>0</v>
      </c>
      <c r="U120" s="473">
        <f>блюда!U233</f>
        <v>2.3699999999999999E-2</v>
      </c>
      <c r="V120" s="473">
        <f>блюда!V233</f>
        <v>5.2500000000000003E-3</v>
      </c>
      <c r="W120" s="473">
        <f>блюда!W233</f>
        <v>0</v>
      </c>
      <c r="X120" s="473">
        <f>блюда!X233</f>
        <v>0</v>
      </c>
      <c r="Y120" s="473">
        <f>блюда!Y233</f>
        <v>0</v>
      </c>
      <c r="Z120" s="473">
        <f>блюда!Z233</f>
        <v>0</v>
      </c>
      <c r="AA120" s="473">
        <f>блюда!AA233</f>
        <v>0</v>
      </c>
      <c r="AB120" s="473">
        <f>блюда!AB233</f>
        <v>0</v>
      </c>
      <c r="AC120" s="473">
        <f>блюда!AC233</f>
        <v>0</v>
      </c>
      <c r="AD120" s="473">
        <f>блюда!AD233</f>
        <v>0</v>
      </c>
      <c r="AE120" s="473">
        <f>блюда!AE233</f>
        <v>0</v>
      </c>
      <c r="AF120" s="473">
        <f>блюда!AF233</f>
        <v>0</v>
      </c>
      <c r="AG120" s="473">
        <f>блюда!AG233</f>
        <v>0</v>
      </c>
      <c r="AH120" s="473">
        <f>блюда!AH233</f>
        <v>0.17100000000000001</v>
      </c>
      <c r="AI120" s="473">
        <f>блюда!AI233</f>
        <v>0</v>
      </c>
      <c r="AJ120" s="473">
        <f>блюда!AJ233</f>
        <v>0</v>
      </c>
      <c r="AK120" s="473">
        <f>блюда!AK233</f>
        <v>0</v>
      </c>
      <c r="AL120" s="473">
        <f>блюда!AL233</f>
        <v>0</v>
      </c>
      <c r="AM120" s="473">
        <f>блюда!AM233</f>
        <v>0</v>
      </c>
      <c r="AN120" s="473">
        <f>блюда!AN233</f>
        <v>0</v>
      </c>
      <c r="AO120" s="473">
        <f>блюда!AO233</f>
        <v>0</v>
      </c>
      <c r="AP120" s="473">
        <f>блюда!AP233</f>
        <v>0</v>
      </c>
      <c r="AQ120" s="473">
        <f>блюда!AQ233</f>
        <v>0</v>
      </c>
      <c r="AR120" s="473">
        <f>блюда!AR233</f>
        <v>0</v>
      </c>
      <c r="AS120" s="473">
        <f>блюда!AS233</f>
        <v>0</v>
      </c>
      <c r="AT120" s="473">
        <f>блюда!AT233</f>
        <v>0</v>
      </c>
      <c r="AU120" s="473">
        <f>блюда!AU233</f>
        <v>0</v>
      </c>
      <c r="AV120" s="473">
        <f>блюда!AV233</f>
        <v>0</v>
      </c>
      <c r="AW120" s="473">
        <f>блюда!AW233</f>
        <v>0</v>
      </c>
      <c r="AX120" s="473">
        <f>блюда!AX233</f>
        <v>0</v>
      </c>
      <c r="AY120" s="473">
        <f>блюда!AY233</f>
        <v>0</v>
      </c>
      <c r="AZ120" s="473">
        <f>блюда!AZ233</f>
        <v>0</v>
      </c>
      <c r="BA120" s="473">
        <f>блюда!BA233</f>
        <v>0</v>
      </c>
      <c r="BB120" s="473">
        <f>блюда!BB233</f>
        <v>0</v>
      </c>
      <c r="BC120" s="473">
        <f>блюда!BC233</f>
        <v>0</v>
      </c>
      <c r="BD120" s="473">
        <f>блюда!BD233</f>
        <v>0</v>
      </c>
      <c r="BE120" s="473">
        <f>блюда!BE233</f>
        <v>0</v>
      </c>
      <c r="BF120" s="473">
        <f>блюда!BF233</f>
        <v>0</v>
      </c>
      <c r="BG120" s="473">
        <f>блюда!BG233</f>
        <v>0</v>
      </c>
      <c r="BH120" s="473">
        <f>блюда!BH233</f>
        <v>0</v>
      </c>
      <c r="BI120" s="473">
        <f>блюда!BI233</f>
        <v>0</v>
      </c>
      <c r="BJ120" s="473">
        <f>блюда!BJ233</f>
        <v>0</v>
      </c>
      <c r="BK120" s="473">
        <f>блюда!BK233</f>
        <v>0</v>
      </c>
      <c r="BL120" s="473">
        <f>блюда!BL233</f>
        <v>0</v>
      </c>
      <c r="BM120" s="473">
        <f>блюда!BM233</f>
        <v>0</v>
      </c>
      <c r="BN120" s="473">
        <f>блюда!BN233</f>
        <v>0</v>
      </c>
      <c r="BO120" s="473">
        <f>блюда!BO233</f>
        <v>0</v>
      </c>
      <c r="BP120" s="473">
        <f>блюда!BP233</f>
        <v>0</v>
      </c>
      <c r="BQ120" s="473">
        <f>блюда!BQ233</f>
        <v>0</v>
      </c>
      <c r="BR120" s="473">
        <f>блюда!BR233</f>
        <v>0</v>
      </c>
      <c r="BS120" s="473">
        <f>блюда!BS233</f>
        <v>0</v>
      </c>
      <c r="BT120" s="473">
        <f>блюда!BT233</f>
        <v>0</v>
      </c>
      <c r="BU120" s="473">
        <f>блюда!BU233</f>
        <v>0</v>
      </c>
      <c r="BV120" s="473">
        <f>блюда!BV233</f>
        <v>0</v>
      </c>
      <c r="BW120" s="473">
        <f>блюда!BW233</f>
        <v>0</v>
      </c>
      <c r="BX120" s="473">
        <f>блюда!BX233</f>
        <v>0</v>
      </c>
      <c r="BY120" s="473">
        <f>блюда!BY233</f>
        <v>0</v>
      </c>
      <c r="BZ120" s="473">
        <f>блюда!BZ233</f>
        <v>0</v>
      </c>
      <c r="CA120" s="473">
        <f>блюда!CA233</f>
        <v>0</v>
      </c>
      <c r="CB120" s="473">
        <f>блюда!CB233</f>
        <v>0</v>
      </c>
      <c r="CC120" s="473">
        <f>блюда!CC233</f>
        <v>0</v>
      </c>
      <c r="CD120" s="473">
        <f>блюда!CD233</f>
        <v>0</v>
      </c>
      <c r="CE120" s="473">
        <f>блюда!CE233</f>
        <v>0</v>
      </c>
      <c r="CF120" s="473">
        <f>блюда!CF233</f>
        <v>0</v>
      </c>
      <c r="CG120" s="473">
        <f>блюда!CG233</f>
        <v>0</v>
      </c>
      <c r="CH120" s="473">
        <f>блюда!CH233</f>
        <v>0</v>
      </c>
      <c r="CI120" s="473">
        <f>блюда!CI233</f>
        <v>0</v>
      </c>
      <c r="CJ120" s="473">
        <f>блюда!CJ233</f>
        <v>0</v>
      </c>
      <c r="CK120" s="473">
        <f>блюда!CK233</f>
        <v>0</v>
      </c>
      <c r="CL120" s="473">
        <f>блюда!CL233</f>
        <v>0</v>
      </c>
      <c r="CM120" s="473">
        <f>блюда!CM233</f>
        <v>0</v>
      </c>
      <c r="CN120" s="473">
        <f>блюда!CN233</f>
        <v>0</v>
      </c>
      <c r="CO120" s="473">
        <f>блюда!CO233</f>
        <v>0</v>
      </c>
      <c r="CP120" s="473">
        <f>блюда!CP233</f>
        <v>0</v>
      </c>
      <c r="CQ120" s="473">
        <f>блюда!CQ233</f>
        <v>0</v>
      </c>
      <c r="CR120" s="473">
        <f>блюда!CR233</f>
        <v>0</v>
      </c>
      <c r="CS120" s="473">
        <f>блюда!CS233</f>
        <v>0</v>
      </c>
      <c r="CT120" s="473">
        <f>блюда!CT233</f>
        <v>0</v>
      </c>
      <c r="CU120" s="473">
        <f>блюда!CU233</f>
        <v>0</v>
      </c>
      <c r="CV120" s="473">
        <f>блюда!CV233</f>
        <v>0</v>
      </c>
      <c r="CW120" s="473">
        <f>блюда!CW233</f>
        <v>0</v>
      </c>
      <c r="CX120" s="473">
        <f>блюда!CX233</f>
        <v>0</v>
      </c>
      <c r="CY120" s="473">
        <f>блюда!CY233</f>
        <v>0</v>
      </c>
      <c r="CZ120" s="473">
        <f>блюда!CZ233</f>
        <v>0</v>
      </c>
      <c r="DA120" s="473">
        <f>блюда!DA233</f>
        <v>0</v>
      </c>
      <c r="DB120" s="473">
        <f>блюда!DB233</f>
        <v>0</v>
      </c>
      <c r="DC120" s="473">
        <f>блюда!DC233</f>
        <v>0</v>
      </c>
      <c r="DD120" s="473">
        <f>блюда!DD233</f>
        <v>0</v>
      </c>
      <c r="DE120" s="473">
        <f>блюда!DE233</f>
        <v>0</v>
      </c>
      <c r="DF120" s="473">
        <f>блюда!DF233</f>
        <v>0</v>
      </c>
      <c r="DG120" s="473">
        <f>блюда!DG233</f>
        <v>0</v>
      </c>
      <c r="DH120" s="473">
        <f>блюда!DH233</f>
        <v>0</v>
      </c>
      <c r="DI120" s="473">
        <f>блюда!DI233</f>
        <v>0</v>
      </c>
      <c r="DJ120" s="473">
        <f>блюда!DJ233</f>
        <v>0</v>
      </c>
      <c r="DK120" s="473">
        <f>блюда!DK233</f>
        <v>0</v>
      </c>
      <c r="DL120" s="473">
        <f>блюда!DL233</f>
        <v>0</v>
      </c>
      <c r="DM120" s="473">
        <f>блюда!DM233</f>
        <v>0</v>
      </c>
      <c r="DN120" s="473">
        <f>блюда!DN233</f>
        <v>0</v>
      </c>
      <c r="DO120" s="473">
        <f>блюда!DO233</f>
        <v>0</v>
      </c>
      <c r="DP120" s="473">
        <f>блюда!DP233</f>
        <v>0</v>
      </c>
      <c r="DQ120" s="473">
        <f>блюда!DQ233</f>
        <v>0</v>
      </c>
      <c r="DR120" s="473">
        <f>блюда!DR233</f>
        <v>0</v>
      </c>
      <c r="DS120" s="473">
        <f>блюда!DS233</f>
        <v>0</v>
      </c>
      <c r="DT120" s="473">
        <f>блюда!DT233</f>
        <v>0</v>
      </c>
      <c r="DU120" s="473">
        <f>блюда!DU233</f>
        <v>0</v>
      </c>
      <c r="DV120" s="473">
        <f>блюда!DV233</f>
        <v>0</v>
      </c>
      <c r="DW120" s="473">
        <f>блюда!DW233</f>
        <v>0</v>
      </c>
      <c r="DX120" s="473">
        <f>блюда!DX233</f>
        <v>0</v>
      </c>
      <c r="DY120" s="473">
        <f>блюда!DY233</f>
        <v>0</v>
      </c>
      <c r="DZ120" s="473">
        <f>блюда!DZ233</f>
        <v>0</v>
      </c>
      <c r="EA120" s="473">
        <f>блюда!EA233</f>
        <v>0</v>
      </c>
      <c r="EB120" s="473">
        <f>блюда!EB233</f>
        <v>0</v>
      </c>
      <c r="EC120" s="473">
        <f>блюда!EC233</f>
        <v>0</v>
      </c>
      <c r="ED120" s="473">
        <f>блюда!ED233</f>
        <v>0</v>
      </c>
      <c r="EE120" s="473">
        <f>блюда!EE233</f>
        <v>0</v>
      </c>
      <c r="EF120" s="473">
        <f>блюда!EF233</f>
        <v>0</v>
      </c>
      <c r="EG120" s="473">
        <f>блюда!EG233</f>
        <v>0</v>
      </c>
      <c r="EH120" s="473">
        <f>блюда!EH233</f>
        <v>0</v>
      </c>
      <c r="EI120" s="473">
        <f>блюда!EI233</f>
        <v>0</v>
      </c>
      <c r="EJ120" s="473">
        <f>блюда!EJ233</f>
        <v>0</v>
      </c>
      <c r="EK120" s="473">
        <f>блюда!EK233</f>
        <v>0</v>
      </c>
      <c r="EL120" s="473">
        <f>блюда!EL233</f>
        <v>0</v>
      </c>
      <c r="EM120" s="473">
        <f>блюда!EM233</f>
        <v>0</v>
      </c>
      <c r="EN120" s="473">
        <f>блюда!EN233</f>
        <v>0</v>
      </c>
      <c r="EO120" s="473">
        <f>блюда!EO233</f>
        <v>0</v>
      </c>
      <c r="EP120" s="473">
        <f>блюда!EP233</f>
        <v>0</v>
      </c>
      <c r="EQ120" s="473">
        <f>блюда!EQ233</f>
        <v>0</v>
      </c>
      <c r="ER120" s="473">
        <f>блюда!ER233</f>
        <v>0</v>
      </c>
      <c r="ES120" s="473">
        <f>блюда!ES233</f>
        <v>0</v>
      </c>
      <c r="ET120" s="473">
        <f>блюда!ET233</f>
        <v>0</v>
      </c>
      <c r="EU120" s="473">
        <f>блюда!EU233</f>
        <v>0</v>
      </c>
      <c r="EV120" s="473">
        <f>блюда!EV233</f>
        <v>0</v>
      </c>
      <c r="EW120" s="473">
        <f>блюда!EW233</f>
        <v>0</v>
      </c>
      <c r="EX120" s="473">
        <f>блюда!EX233</f>
        <v>0</v>
      </c>
      <c r="EY120" s="927">
        <f t="shared" si="71"/>
        <v>0.19994999999999999</v>
      </c>
      <c r="EZ120" s="431">
        <f>блюда!EZ233</f>
        <v>0</v>
      </c>
      <c r="FA120" s="431">
        <f>блюда!FA233</f>
        <v>0</v>
      </c>
      <c r="FB120" s="431">
        <f>блюда!FB233</f>
        <v>0</v>
      </c>
      <c r="FC120" s="431">
        <f>блюда!FC233</f>
        <v>0</v>
      </c>
      <c r="FD120" s="431">
        <f>блюда!FD233</f>
        <v>0</v>
      </c>
      <c r="FE120" s="431">
        <f>блюда!FE233</f>
        <v>0</v>
      </c>
      <c r="FF120" s="431">
        <f>блюда!FF233</f>
        <v>0</v>
      </c>
      <c r="FG120" s="431">
        <f>блюда!FG233</f>
        <v>0</v>
      </c>
      <c r="FH120" s="431">
        <f>блюда!FH233</f>
        <v>0</v>
      </c>
      <c r="FI120" s="431">
        <f>блюда!FI233</f>
        <v>0</v>
      </c>
      <c r="FJ120" s="431">
        <f>блюда!FJ233</f>
        <v>0</v>
      </c>
      <c r="FK120" s="431">
        <f>блюда!FK233</f>
        <v>0</v>
      </c>
      <c r="FL120" s="431">
        <f>блюда!FL233</f>
        <v>0</v>
      </c>
    </row>
    <row r="121" spans="1:168" ht="13.95" customHeight="1" x14ac:dyDescent="0.25">
      <c r="A121" s="1460"/>
      <c r="B121" s="115" t="str">
        <f>блюда!B281</f>
        <v>Компот из смеси сухофруктов</v>
      </c>
      <c r="C121" s="250">
        <f>блюда!C281</f>
        <v>200</v>
      </c>
      <c r="D121" s="431">
        <f>блюда!D281</f>
        <v>0.66</v>
      </c>
      <c r="E121" s="431">
        <f>блюда!E281</f>
        <v>0.09</v>
      </c>
      <c r="F121" s="431">
        <f>блюда!F281</f>
        <v>32.01</v>
      </c>
      <c r="G121" s="250">
        <f>блюда!G281</f>
        <v>133</v>
      </c>
      <c r="H121" s="250">
        <f>блюда!H281</f>
        <v>349</v>
      </c>
      <c r="I121" s="431">
        <f>блюда!I281</f>
        <v>4.18</v>
      </c>
      <c r="J121" s="473">
        <f>блюда!J281</f>
        <v>0</v>
      </c>
      <c r="K121" s="473">
        <f>блюда!K281</f>
        <v>0</v>
      </c>
      <c r="L121" s="473">
        <f>блюда!L281</f>
        <v>0</v>
      </c>
      <c r="M121" s="473">
        <f>блюда!M281</f>
        <v>0</v>
      </c>
      <c r="N121" s="473">
        <f>блюда!N281</f>
        <v>0</v>
      </c>
      <c r="O121" s="473">
        <f>блюда!O281</f>
        <v>0</v>
      </c>
      <c r="P121" s="473">
        <f>блюда!P281</f>
        <v>0</v>
      </c>
      <c r="Q121" s="473">
        <f>блюда!Q281</f>
        <v>0</v>
      </c>
      <c r="R121" s="473">
        <f>блюда!R281</f>
        <v>0</v>
      </c>
      <c r="S121" s="473">
        <f>блюда!S281</f>
        <v>0</v>
      </c>
      <c r="T121" s="473">
        <f>блюда!T281</f>
        <v>0</v>
      </c>
      <c r="U121" s="473">
        <f>блюда!U281</f>
        <v>0</v>
      </c>
      <c r="V121" s="473">
        <f>блюда!V281</f>
        <v>0</v>
      </c>
      <c r="W121" s="473">
        <f>блюда!W281</f>
        <v>0</v>
      </c>
      <c r="X121" s="473">
        <f>блюда!X281</f>
        <v>0</v>
      </c>
      <c r="Y121" s="473">
        <f>блюда!Y281</f>
        <v>0</v>
      </c>
      <c r="Z121" s="473">
        <f>блюда!Z281</f>
        <v>0</v>
      </c>
      <c r="AA121" s="473">
        <f>блюда!AA281</f>
        <v>0</v>
      </c>
      <c r="AB121" s="473">
        <f>блюда!AB281</f>
        <v>0</v>
      </c>
      <c r="AC121" s="473">
        <f>блюда!AC281</f>
        <v>0</v>
      </c>
      <c r="AD121" s="473">
        <f>блюда!AD281</f>
        <v>0</v>
      </c>
      <c r="AE121" s="473">
        <f>блюда!AE281</f>
        <v>0</v>
      </c>
      <c r="AF121" s="473">
        <f>блюда!AF281</f>
        <v>0</v>
      </c>
      <c r="AG121" s="473">
        <f>блюда!AG281</f>
        <v>0</v>
      </c>
      <c r="AH121" s="473">
        <f>блюда!AH281</f>
        <v>0</v>
      </c>
      <c r="AI121" s="473">
        <f>блюда!AI281</f>
        <v>0</v>
      </c>
      <c r="AJ121" s="473">
        <f>блюда!AJ281</f>
        <v>0</v>
      </c>
      <c r="AK121" s="473">
        <f>блюда!AK281</f>
        <v>0</v>
      </c>
      <c r="AL121" s="473">
        <f>блюда!AL281</f>
        <v>0</v>
      </c>
      <c r="AM121" s="473">
        <f>блюда!AM281</f>
        <v>0</v>
      </c>
      <c r="AN121" s="473">
        <f>блюда!AN281</f>
        <v>0</v>
      </c>
      <c r="AO121" s="473">
        <f>блюда!AO281</f>
        <v>0</v>
      </c>
      <c r="AP121" s="473">
        <f>блюда!AP281</f>
        <v>0</v>
      </c>
      <c r="AQ121" s="473">
        <f>блюда!AQ281</f>
        <v>0</v>
      </c>
      <c r="AR121" s="473">
        <f>блюда!AR281</f>
        <v>0</v>
      </c>
      <c r="AS121" s="473">
        <f>блюда!AS281</f>
        <v>0</v>
      </c>
      <c r="AT121" s="473">
        <f>блюда!AT281</f>
        <v>0</v>
      </c>
      <c r="AU121" s="473">
        <f>блюда!AU281</f>
        <v>0</v>
      </c>
      <c r="AV121" s="473">
        <f>блюда!AV281</f>
        <v>0</v>
      </c>
      <c r="AW121" s="473">
        <f>блюда!AW281</f>
        <v>0</v>
      </c>
      <c r="AX121" s="473">
        <f>блюда!AX281</f>
        <v>0</v>
      </c>
      <c r="AY121" s="473">
        <f>блюда!AY281</f>
        <v>0</v>
      </c>
      <c r="AZ121" s="473">
        <f>блюда!AZ281</f>
        <v>0</v>
      </c>
      <c r="BA121" s="473">
        <f>блюда!BA281</f>
        <v>0</v>
      </c>
      <c r="BB121" s="473">
        <f>блюда!BB281</f>
        <v>0</v>
      </c>
      <c r="BC121" s="473">
        <f>блюда!BC281</f>
        <v>0</v>
      </c>
      <c r="BD121" s="473">
        <f>блюда!BD281</f>
        <v>0</v>
      </c>
      <c r="BE121" s="473">
        <f>блюда!BE281</f>
        <v>0</v>
      </c>
      <c r="BF121" s="473">
        <f>блюда!BF281</f>
        <v>0</v>
      </c>
      <c r="BG121" s="473">
        <f>блюда!BG281</f>
        <v>0</v>
      </c>
      <c r="BH121" s="473">
        <f>блюда!BH281</f>
        <v>0</v>
      </c>
      <c r="BI121" s="473">
        <f>блюда!BI281</f>
        <v>0</v>
      </c>
      <c r="BJ121" s="473">
        <f>блюда!BJ281</f>
        <v>0</v>
      </c>
      <c r="BK121" s="473">
        <f>блюда!BK281</f>
        <v>0</v>
      </c>
      <c r="BL121" s="473">
        <f>блюда!BL281</f>
        <v>0</v>
      </c>
      <c r="BM121" s="473">
        <f>блюда!BM281</f>
        <v>0</v>
      </c>
      <c r="BN121" s="473">
        <f>блюда!BN281</f>
        <v>0</v>
      </c>
      <c r="BO121" s="473">
        <f>блюда!BO281</f>
        <v>0</v>
      </c>
      <c r="BP121" s="473">
        <f>блюда!BP281</f>
        <v>0</v>
      </c>
      <c r="BQ121" s="473">
        <f>блюда!BQ281</f>
        <v>0</v>
      </c>
      <c r="BR121" s="473">
        <f>блюда!BR281</f>
        <v>0</v>
      </c>
      <c r="BS121" s="473">
        <f>блюда!BS281</f>
        <v>0</v>
      </c>
      <c r="BT121" s="473">
        <f>блюда!BT281</f>
        <v>0</v>
      </c>
      <c r="BU121" s="473">
        <f>блюда!BU281</f>
        <v>0</v>
      </c>
      <c r="BV121" s="473">
        <f>блюда!BV281</f>
        <v>0</v>
      </c>
      <c r="BW121" s="473">
        <f>блюда!BW281</f>
        <v>0</v>
      </c>
      <c r="BX121" s="473">
        <f>блюда!BX281</f>
        <v>0</v>
      </c>
      <c r="BY121" s="473">
        <f>блюда!BY281</f>
        <v>0</v>
      </c>
      <c r="BZ121" s="473">
        <f>блюда!BZ281</f>
        <v>0</v>
      </c>
      <c r="CA121" s="473">
        <f>блюда!CA281</f>
        <v>0</v>
      </c>
      <c r="CB121" s="473">
        <f>блюда!CB281</f>
        <v>0</v>
      </c>
      <c r="CC121" s="473">
        <f>блюда!CC281</f>
        <v>0</v>
      </c>
      <c r="CD121" s="473">
        <f>блюда!CD281</f>
        <v>0</v>
      </c>
      <c r="CE121" s="473">
        <f>блюда!CE281</f>
        <v>0</v>
      </c>
      <c r="CF121" s="473">
        <f>блюда!CF281</f>
        <v>0</v>
      </c>
      <c r="CG121" s="473">
        <f>блюда!CG281</f>
        <v>0</v>
      </c>
      <c r="CH121" s="473">
        <f>блюда!CH281</f>
        <v>0</v>
      </c>
      <c r="CI121" s="473">
        <f>блюда!CI281</f>
        <v>0</v>
      </c>
      <c r="CJ121" s="473">
        <f>блюда!CJ281</f>
        <v>0</v>
      </c>
      <c r="CK121" s="473">
        <f>блюда!CK281</f>
        <v>0</v>
      </c>
      <c r="CL121" s="473">
        <f>блюда!CL281</f>
        <v>0</v>
      </c>
      <c r="CM121" s="473">
        <f>блюда!CM281</f>
        <v>0</v>
      </c>
      <c r="CN121" s="473">
        <f>блюда!CN281</f>
        <v>0</v>
      </c>
      <c r="CO121" s="473">
        <f>блюда!CO281</f>
        <v>0</v>
      </c>
      <c r="CP121" s="473">
        <f>блюда!CP281</f>
        <v>0</v>
      </c>
      <c r="CQ121" s="473">
        <f>блюда!CQ281</f>
        <v>2.0000000000000001E-4</v>
      </c>
      <c r="CR121" s="473">
        <f>блюда!CR281</f>
        <v>0</v>
      </c>
      <c r="CS121" s="473">
        <f>блюда!CS281</f>
        <v>0</v>
      </c>
      <c r="CT121" s="473">
        <f>блюда!CT281</f>
        <v>0</v>
      </c>
      <c r="CU121" s="473">
        <f>блюда!CU281</f>
        <v>0</v>
      </c>
      <c r="CV121" s="473">
        <f>блюда!CV281</f>
        <v>0</v>
      </c>
      <c r="CW121" s="473">
        <f>блюда!CW281</f>
        <v>0</v>
      </c>
      <c r="CX121" s="473">
        <f>блюда!CX281</f>
        <v>0</v>
      </c>
      <c r="CY121" s="473">
        <f>блюда!CY281</f>
        <v>0</v>
      </c>
      <c r="CZ121" s="473">
        <f>блюда!CZ281</f>
        <v>0.02</v>
      </c>
      <c r="DA121" s="473">
        <f>блюда!DA281</f>
        <v>0</v>
      </c>
      <c r="DB121" s="473">
        <f>блюда!DB281</f>
        <v>0</v>
      </c>
      <c r="DC121" s="473">
        <f>блюда!DC281</f>
        <v>0</v>
      </c>
      <c r="DD121" s="473">
        <f>блюда!DD281</f>
        <v>0</v>
      </c>
      <c r="DE121" s="473">
        <f>блюда!DE281</f>
        <v>0.02</v>
      </c>
      <c r="DF121" s="473">
        <f>блюда!DF281</f>
        <v>0</v>
      </c>
      <c r="DG121" s="473">
        <f>блюда!DG281</f>
        <v>0</v>
      </c>
      <c r="DH121" s="473">
        <f>блюда!DH281</f>
        <v>0</v>
      </c>
      <c r="DI121" s="473">
        <f>блюда!DI281</f>
        <v>0</v>
      </c>
      <c r="DJ121" s="473">
        <f>блюда!DJ281</f>
        <v>0</v>
      </c>
      <c r="DK121" s="473">
        <f>блюда!DK281</f>
        <v>0</v>
      </c>
      <c r="DL121" s="473">
        <f>блюда!DL281</f>
        <v>0</v>
      </c>
      <c r="DM121" s="473">
        <f>блюда!DM281</f>
        <v>0</v>
      </c>
      <c r="DN121" s="473">
        <f>блюда!DN281</f>
        <v>0</v>
      </c>
      <c r="DO121" s="473">
        <f>блюда!DO281</f>
        <v>0</v>
      </c>
      <c r="DP121" s="473">
        <f>блюда!DP281</f>
        <v>0</v>
      </c>
      <c r="DQ121" s="473">
        <f>блюда!DQ281</f>
        <v>0</v>
      </c>
      <c r="DR121" s="473">
        <f>блюда!DR281</f>
        <v>0</v>
      </c>
      <c r="DS121" s="473">
        <f>блюда!DS281</f>
        <v>0</v>
      </c>
      <c r="DT121" s="473">
        <f>блюда!DT281</f>
        <v>0</v>
      </c>
      <c r="DU121" s="473">
        <f>блюда!DU281</f>
        <v>0</v>
      </c>
      <c r="DV121" s="473">
        <f>блюда!DV281</f>
        <v>0</v>
      </c>
      <c r="DW121" s="473">
        <f>блюда!DW281</f>
        <v>0</v>
      </c>
      <c r="DX121" s="473">
        <f>блюда!DX281</f>
        <v>0</v>
      </c>
      <c r="DY121" s="473">
        <f>блюда!DY281</f>
        <v>0</v>
      </c>
      <c r="DZ121" s="473">
        <f>блюда!DZ281</f>
        <v>0</v>
      </c>
      <c r="EA121" s="473">
        <f>блюда!EA281</f>
        <v>0</v>
      </c>
      <c r="EB121" s="473">
        <f>блюда!EB281</f>
        <v>0</v>
      </c>
      <c r="EC121" s="473">
        <f>блюда!EC281</f>
        <v>0</v>
      </c>
      <c r="ED121" s="473">
        <f>блюда!ED281</f>
        <v>0</v>
      </c>
      <c r="EE121" s="473">
        <f>блюда!EE281</f>
        <v>0</v>
      </c>
      <c r="EF121" s="473">
        <f>блюда!EF281</f>
        <v>0</v>
      </c>
      <c r="EG121" s="473">
        <f>блюда!EG281</f>
        <v>0</v>
      </c>
      <c r="EH121" s="473">
        <f>блюда!EH281</f>
        <v>0</v>
      </c>
      <c r="EI121" s="473">
        <f>блюда!EI281</f>
        <v>0</v>
      </c>
      <c r="EJ121" s="473">
        <f>блюда!EJ281</f>
        <v>0</v>
      </c>
      <c r="EK121" s="473">
        <f>блюда!EK281</f>
        <v>0</v>
      </c>
      <c r="EL121" s="473">
        <f>блюда!EL281</f>
        <v>0</v>
      </c>
      <c r="EM121" s="473">
        <f>блюда!EM281</f>
        <v>0</v>
      </c>
      <c r="EN121" s="473">
        <f>блюда!EN281</f>
        <v>0</v>
      </c>
      <c r="EO121" s="473">
        <f>блюда!EO281</f>
        <v>0</v>
      </c>
      <c r="EP121" s="473">
        <f>блюда!EP281</f>
        <v>0</v>
      </c>
      <c r="EQ121" s="473">
        <f>блюда!EQ281</f>
        <v>0</v>
      </c>
      <c r="ER121" s="473">
        <f>блюда!ER281</f>
        <v>0</v>
      </c>
      <c r="ES121" s="473">
        <f>блюда!ES281</f>
        <v>0</v>
      </c>
      <c r="ET121" s="473">
        <f>блюда!ET281</f>
        <v>0</v>
      </c>
      <c r="EU121" s="473">
        <f>блюда!EU281</f>
        <v>0</v>
      </c>
      <c r="EV121" s="473">
        <f>блюда!EV281</f>
        <v>0</v>
      </c>
      <c r="EW121" s="473">
        <f>блюда!EW281</f>
        <v>0</v>
      </c>
      <c r="EX121" s="473">
        <f>блюда!EX281</f>
        <v>0</v>
      </c>
      <c r="EY121" s="927">
        <f t="shared" si="71"/>
        <v>4.02E-2</v>
      </c>
      <c r="EZ121" s="117">
        <f>блюда!EZ282</f>
        <v>0</v>
      </c>
      <c r="FA121" s="117">
        <f>блюда!FA282</f>
        <v>0</v>
      </c>
      <c r="FB121" s="117">
        <f>блюда!FB282</f>
        <v>0</v>
      </c>
      <c r="FC121" s="117">
        <f>блюда!FC282</f>
        <v>0</v>
      </c>
      <c r="FD121" s="117">
        <f>блюда!FD282</f>
        <v>0</v>
      </c>
      <c r="FE121" s="117">
        <f>блюда!FE282</f>
        <v>0</v>
      </c>
      <c r="FF121" s="117">
        <f>блюда!FF282</f>
        <v>0</v>
      </c>
      <c r="FG121" s="117">
        <f>блюда!FG282</f>
        <v>0</v>
      </c>
      <c r="FH121" s="117">
        <f>блюда!FH282</f>
        <v>0</v>
      </c>
      <c r="FI121" s="117">
        <f>блюда!FI282</f>
        <v>0</v>
      </c>
      <c r="FJ121" s="117">
        <f>блюда!FJ282</f>
        <v>0</v>
      </c>
      <c r="FK121" s="117">
        <f>блюда!FK282</f>
        <v>0</v>
      </c>
      <c r="FL121" s="117">
        <f>блюда!FL282</f>
        <v>0</v>
      </c>
    </row>
    <row r="122" spans="1:168" ht="13.95" customHeight="1" x14ac:dyDescent="0.25">
      <c r="A122" s="1460"/>
      <c r="B122" s="115" t="str">
        <f>блюда!B333</f>
        <v>Хлеб пшеничный нарезной</v>
      </c>
      <c r="C122" s="250">
        <f>блюда!C333</f>
        <v>20</v>
      </c>
      <c r="D122" s="431">
        <f>блюда!D333</f>
        <v>2.14</v>
      </c>
      <c r="E122" s="431">
        <f>блюда!E333</f>
        <v>0.9</v>
      </c>
      <c r="F122" s="431">
        <f>блюда!F333</f>
        <v>8.6999999999999993</v>
      </c>
      <c r="G122" s="250">
        <f>блюда!G333</f>
        <v>55</v>
      </c>
      <c r="H122" s="250" t="str">
        <f>блюда!H333</f>
        <v>ПРОМ</v>
      </c>
      <c r="I122" s="431">
        <f>блюда!I333</f>
        <v>1.3</v>
      </c>
      <c r="J122" s="473">
        <f>блюда!J333</f>
        <v>0</v>
      </c>
      <c r="K122" s="473">
        <f>блюда!K333</f>
        <v>0</v>
      </c>
      <c r="L122" s="473">
        <f>блюда!L333</f>
        <v>0</v>
      </c>
      <c r="M122" s="473">
        <f>блюда!M333</f>
        <v>0</v>
      </c>
      <c r="N122" s="473">
        <f>блюда!N333</f>
        <v>0</v>
      </c>
      <c r="O122" s="473">
        <f>блюда!O333</f>
        <v>0</v>
      </c>
      <c r="P122" s="473">
        <f>блюда!P333</f>
        <v>0</v>
      </c>
      <c r="Q122" s="473">
        <f>блюда!Q333</f>
        <v>0</v>
      </c>
      <c r="R122" s="473">
        <f>блюда!R333</f>
        <v>0</v>
      </c>
      <c r="S122" s="473">
        <f>блюда!S333</f>
        <v>0</v>
      </c>
      <c r="T122" s="473">
        <f>блюда!T333</f>
        <v>0</v>
      </c>
      <c r="U122" s="473">
        <f>блюда!U333</f>
        <v>0</v>
      </c>
      <c r="V122" s="473">
        <f>блюда!V333</f>
        <v>0</v>
      </c>
      <c r="W122" s="473">
        <f>блюда!W333</f>
        <v>0</v>
      </c>
      <c r="X122" s="473">
        <f>блюда!X333</f>
        <v>0</v>
      </c>
      <c r="Y122" s="473">
        <f>блюда!Y333</f>
        <v>0</v>
      </c>
      <c r="Z122" s="473">
        <f>блюда!Z333</f>
        <v>0</v>
      </c>
      <c r="AA122" s="473">
        <f>блюда!AA333</f>
        <v>0</v>
      </c>
      <c r="AB122" s="473">
        <f>блюда!AB333</f>
        <v>0</v>
      </c>
      <c r="AC122" s="473">
        <f>блюда!AC333</f>
        <v>0</v>
      </c>
      <c r="AD122" s="473">
        <f>блюда!AD333</f>
        <v>0</v>
      </c>
      <c r="AE122" s="473">
        <f>блюда!AE333</f>
        <v>0</v>
      </c>
      <c r="AF122" s="473">
        <f>блюда!AF333</f>
        <v>0</v>
      </c>
      <c r="AG122" s="473">
        <f>блюда!AG333</f>
        <v>0</v>
      </c>
      <c r="AH122" s="473">
        <f>блюда!AH333</f>
        <v>0</v>
      </c>
      <c r="AI122" s="473">
        <f>блюда!AI333</f>
        <v>0</v>
      </c>
      <c r="AJ122" s="473">
        <f>блюда!AJ333</f>
        <v>0</v>
      </c>
      <c r="AK122" s="473">
        <f>блюда!AK333</f>
        <v>0</v>
      </c>
      <c r="AL122" s="473">
        <f>блюда!AL333</f>
        <v>0</v>
      </c>
      <c r="AM122" s="473">
        <f>блюда!AM333</f>
        <v>0</v>
      </c>
      <c r="AN122" s="473">
        <f>блюда!AN333</f>
        <v>0</v>
      </c>
      <c r="AO122" s="473">
        <f>блюда!AO333</f>
        <v>0</v>
      </c>
      <c r="AP122" s="473">
        <f>блюда!AP333</f>
        <v>0</v>
      </c>
      <c r="AQ122" s="473">
        <f>блюда!AQ333</f>
        <v>0</v>
      </c>
      <c r="AR122" s="473">
        <f>блюда!AR333</f>
        <v>0</v>
      </c>
      <c r="AS122" s="473">
        <f>блюда!AS333</f>
        <v>0</v>
      </c>
      <c r="AT122" s="473">
        <f>блюда!AT333</f>
        <v>0</v>
      </c>
      <c r="AU122" s="473">
        <f>блюда!AU333</f>
        <v>0</v>
      </c>
      <c r="AV122" s="473">
        <f>блюда!AV333</f>
        <v>0</v>
      </c>
      <c r="AW122" s="473">
        <f>блюда!AW333</f>
        <v>0</v>
      </c>
      <c r="AX122" s="473">
        <f>блюда!AX333</f>
        <v>0</v>
      </c>
      <c r="AY122" s="473">
        <f>блюда!AY333</f>
        <v>0</v>
      </c>
      <c r="AZ122" s="473">
        <f>блюда!AZ333</f>
        <v>0</v>
      </c>
      <c r="BA122" s="473">
        <f>блюда!BA333</f>
        <v>0</v>
      </c>
      <c r="BB122" s="473">
        <f>блюда!BB333</f>
        <v>0</v>
      </c>
      <c r="BC122" s="473">
        <f>блюда!BC333</f>
        <v>0</v>
      </c>
      <c r="BD122" s="473">
        <f>блюда!BD333</f>
        <v>0</v>
      </c>
      <c r="BE122" s="473">
        <f>блюда!BE333</f>
        <v>0</v>
      </c>
      <c r="BF122" s="473">
        <f>блюда!BF333</f>
        <v>0</v>
      </c>
      <c r="BG122" s="473">
        <f>блюда!BG333</f>
        <v>0</v>
      </c>
      <c r="BH122" s="473">
        <f>блюда!BH333</f>
        <v>0</v>
      </c>
      <c r="BI122" s="473">
        <f>блюда!BI333</f>
        <v>0</v>
      </c>
      <c r="BJ122" s="473">
        <f>блюда!BJ333</f>
        <v>0</v>
      </c>
      <c r="BK122" s="473">
        <f>блюда!BK333</f>
        <v>0</v>
      </c>
      <c r="BL122" s="473">
        <f>блюда!BL333</f>
        <v>0</v>
      </c>
      <c r="BM122" s="473">
        <f>блюда!BM333</f>
        <v>0</v>
      </c>
      <c r="BN122" s="473">
        <f>блюда!BN333</f>
        <v>0</v>
      </c>
      <c r="BO122" s="473">
        <f>блюда!BO333</f>
        <v>0</v>
      </c>
      <c r="BP122" s="473">
        <f>блюда!BP333</f>
        <v>0</v>
      </c>
      <c r="BQ122" s="473">
        <f>блюда!BQ333</f>
        <v>0</v>
      </c>
      <c r="BR122" s="473">
        <f>блюда!BR333</f>
        <v>0</v>
      </c>
      <c r="BS122" s="473">
        <f>блюда!BS333</f>
        <v>0</v>
      </c>
      <c r="BT122" s="473">
        <f>блюда!BT333</f>
        <v>0</v>
      </c>
      <c r="BU122" s="473">
        <f>блюда!BU333</f>
        <v>0</v>
      </c>
      <c r="BV122" s="473">
        <f>блюда!BV333</f>
        <v>0</v>
      </c>
      <c r="BW122" s="473">
        <f>блюда!BW333</f>
        <v>0</v>
      </c>
      <c r="BX122" s="473">
        <f>блюда!BX333</f>
        <v>0</v>
      </c>
      <c r="BY122" s="473">
        <f>блюда!BY333</f>
        <v>0</v>
      </c>
      <c r="BZ122" s="473">
        <f>блюда!BZ333</f>
        <v>0</v>
      </c>
      <c r="CA122" s="473">
        <f>блюда!CA333</f>
        <v>0</v>
      </c>
      <c r="CB122" s="473">
        <f>блюда!CB333</f>
        <v>0</v>
      </c>
      <c r="CC122" s="473">
        <f>блюда!CC333</f>
        <v>0</v>
      </c>
      <c r="CD122" s="473">
        <f>блюда!CD333</f>
        <v>0</v>
      </c>
      <c r="CE122" s="473">
        <f>блюда!CE333</f>
        <v>0</v>
      </c>
      <c r="CF122" s="473">
        <f>блюда!CF333</f>
        <v>0</v>
      </c>
      <c r="CG122" s="473">
        <f>блюда!CG333</f>
        <v>0</v>
      </c>
      <c r="CH122" s="473">
        <f>блюда!CH333</f>
        <v>0</v>
      </c>
      <c r="CI122" s="473">
        <f>блюда!CI333</f>
        <v>0</v>
      </c>
      <c r="CJ122" s="473">
        <f>блюда!CJ333</f>
        <v>0</v>
      </c>
      <c r="CK122" s="473">
        <f>блюда!CK333</f>
        <v>0</v>
      </c>
      <c r="CL122" s="473">
        <f>блюда!CL333</f>
        <v>0</v>
      </c>
      <c r="CM122" s="473">
        <f>блюда!CM333</f>
        <v>0</v>
      </c>
      <c r="CN122" s="473">
        <f>блюда!CN333</f>
        <v>0</v>
      </c>
      <c r="CO122" s="473">
        <f>блюда!CO333</f>
        <v>0</v>
      </c>
      <c r="CP122" s="473">
        <f>блюда!CP333</f>
        <v>0</v>
      </c>
      <c r="CQ122" s="473">
        <f>блюда!CQ333</f>
        <v>0</v>
      </c>
      <c r="CR122" s="473">
        <f>блюда!CR333</f>
        <v>0</v>
      </c>
      <c r="CS122" s="473">
        <f>блюда!CS333</f>
        <v>0</v>
      </c>
      <c r="CT122" s="473">
        <f>блюда!CT333</f>
        <v>0</v>
      </c>
      <c r="CU122" s="473">
        <f>блюда!CU333</f>
        <v>0</v>
      </c>
      <c r="CV122" s="473">
        <f>блюда!CV333</f>
        <v>0</v>
      </c>
      <c r="CW122" s="473">
        <f>блюда!CW333</f>
        <v>0</v>
      </c>
      <c r="CX122" s="473">
        <f>блюда!CX333</f>
        <v>0</v>
      </c>
      <c r="CY122" s="473">
        <f>блюда!CY333</f>
        <v>0</v>
      </c>
      <c r="CZ122" s="473">
        <f>блюда!CZ333</f>
        <v>0</v>
      </c>
      <c r="DA122" s="473">
        <f>блюда!DA333</f>
        <v>0</v>
      </c>
      <c r="DB122" s="473">
        <f>блюда!DB333</f>
        <v>0</v>
      </c>
      <c r="DC122" s="473">
        <f>блюда!DC333</f>
        <v>0</v>
      </c>
      <c r="DD122" s="473">
        <f>блюда!DD333</f>
        <v>0</v>
      </c>
      <c r="DE122" s="473">
        <f>блюда!DE333</f>
        <v>0</v>
      </c>
      <c r="DF122" s="473">
        <f>блюда!DF333</f>
        <v>0</v>
      </c>
      <c r="DG122" s="473">
        <f>блюда!DG333</f>
        <v>0</v>
      </c>
      <c r="DH122" s="473">
        <f>блюда!DH333</f>
        <v>0</v>
      </c>
      <c r="DI122" s="473">
        <f>блюда!DI333</f>
        <v>0</v>
      </c>
      <c r="DJ122" s="473">
        <f>блюда!DJ333</f>
        <v>0</v>
      </c>
      <c r="DK122" s="473">
        <f>блюда!DK333</f>
        <v>0</v>
      </c>
      <c r="DL122" s="473">
        <f>блюда!DL333</f>
        <v>0</v>
      </c>
      <c r="DM122" s="473">
        <f>блюда!DM333</f>
        <v>0</v>
      </c>
      <c r="DN122" s="473">
        <f>блюда!DN333</f>
        <v>0</v>
      </c>
      <c r="DO122" s="473">
        <f>блюда!DO333</f>
        <v>0</v>
      </c>
      <c r="DP122" s="473">
        <f>блюда!DP333</f>
        <v>0</v>
      </c>
      <c r="DQ122" s="473">
        <f>блюда!DQ333</f>
        <v>0</v>
      </c>
      <c r="DR122" s="473">
        <f>блюда!DR333</f>
        <v>0</v>
      </c>
      <c r="DS122" s="473">
        <f>блюда!DS333</f>
        <v>0</v>
      </c>
      <c r="DT122" s="473">
        <f>блюда!DT333</f>
        <v>0</v>
      </c>
      <c r="DU122" s="473">
        <f>блюда!DU333</f>
        <v>0</v>
      </c>
      <c r="DV122" s="473">
        <f>блюда!DV333</f>
        <v>0</v>
      </c>
      <c r="DW122" s="473">
        <f>блюда!DW333</f>
        <v>0</v>
      </c>
      <c r="DX122" s="473">
        <f>блюда!DX333</f>
        <v>0</v>
      </c>
      <c r="DY122" s="473">
        <f>блюда!DY333</f>
        <v>0</v>
      </c>
      <c r="DZ122" s="473">
        <f>блюда!DZ333</f>
        <v>0</v>
      </c>
      <c r="EA122" s="473">
        <f>блюда!EA333</f>
        <v>0</v>
      </c>
      <c r="EB122" s="473">
        <f>блюда!EB333</f>
        <v>0</v>
      </c>
      <c r="EC122" s="473">
        <f>блюда!EC333</f>
        <v>0</v>
      </c>
      <c r="ED122" s="473">
        <f>блюда!ED333</f>
        <v>0</v>
      </c>
      <c r="EE122" s="473">
        <f>блюда!EE333</f>
        <v>0</v>
      </c>
      <c r="EF122" s="473">
        <f>блюда!EF333</f>
        <v>0</v>
      </c>
      <c r="EG122" s="473">
        <f>блюда!EG333</f>
        <v>0</v>
      </c>
      <c r="EH122" s="473">
        <f>блюда!EH333</f>
        <v>0</v>
      </c>
      <c r="EI122" s="473">
        <f>блюда!EI333</f>
        <v>0</v>
      </c>
      <c r="EJ122" s="473">
        <f>блюда!EJ333</f>
        <v>0</v>
      </c>
      <c r="EK122" s="473">
        <f>блюда!EK333</f>
        <v>0</v>
      </c>
      <c r="EL122" s="473">
        <f>блюда!EL333</f>
        <v>0</v>
      </c>
      <c r="EM122" s="473">
        <f>блюда!EM333</f>
        <v>0</v>
      </c>
      <c r="EN122" s="473">
        <f>блюда!EN333</f>
        <v>0</v>
      </c>
      <c r="EO122" s="473">
        <f>блюда!EO333</f>
        <v>0</v>
      </c>
      <c r="EP122" s="473">
        <f>блюда!EP333</f>
        <v>0</v>
      </c>
      <c r="EQ122" s="473">
        <f>блюда!EQ333</f>
        <v>0</v>
      </c>
      <c r="ER122" s="473">
        <f>блюда!ER333</f>
        <v>0</v>
      </c>
      <c r="ES122" s="473">
        <f>блюда!ES333</f>
        <v>0</v>
      </c>
      <c r="ET122" s="473">
        <f>блюда!ET333</f>
        <v>0</v>
      </c>
      <c r="EU122" s="473">
        <f>блюда!EU333</f>
        <v>0</v>
      </c>
      <c r="EV122" s="473">
        <f>блюда!EV333</f>
        <v>0.02</v>
      </c>
      <c r="EW122" s="473">
        <f>блюда!EW333</f>
        <v>0</v>
      </c>
      <c r="EX122" s="473">
        <f>блюда!EX333</f>
        <v>0</v>
      </c>
      <c r="EY122" s="927">
        <f t="shared" si="71"/>
        <v>0.02</v>
      </c>
      <c r="EZ122" s="117">
        <f>блюда!EZ333</f>
        <v>0</v>
      </c>
      <c r="FA122" s="117">
        <f>блюда!FA333</f>
        <v>0</v>
      </c>
      <c r="FB122" s="117">
        <f>блюда!FB333</f>
        <v>0</v>
      </c>
      <c r="FC122" s="117">
        <f>блюда!FC333</f>
        <v>0</v>
      </c>
      <c r="FD122" s="117">
        <f>блюда!FD333</f>
        <v>0</v>
      </c>
      <c r="FE122" s="117">
        <f>блюда!FE333</f>
        <v>0</v>
      </c>
      <c r="FF122" s="117">
        <f>блюда!FF333</f>
        <v>0</v>
      </c>
      <c r="FG122" s="117">
        <f>блюда!FG333</f>
        <v>0</v>
      </c>
      <c r="FH122" s="117">
        <f>блюда!FH333</f>
        <v>0</v>
      </c>
      <c r="FI122" s="117">
        <f>блюда!FI333</f>
        <v>0</v>
      </c>
      <c r="FJ122" s="117">
        <f>блюда!FJ333</f>
        <v>0</v>
      </c>
      <c r="FK122" s="117">
        <f>блюда!FK333</f>
        <v>0</v>
      </c>
      <c r="FL122" s="117">
        <f>блюда!FL333</f>
        <v>0</v>
      </c>
    </row>
    <row r="123" spans="1:168" ht="13.95" customHeight="1" x14ac:dyDescent="0.25">
      <c r="A123" s="1460"/>
      <c r="B123" s="115" t="str">
        <f>блюда!B335</f>
        <v>Хлеб пшенично-ржаной нарезной</v>
      </c>
      <c r="C123" s="250">
        <f>блюда!C335</f>
        <v>30</v>
      </c>
      <c r="D123" s="431">
        <f>блюда!D335</f>
        <v>2.25</v>
      </c>
      <c r="E123" s="431">
        <f>блюда!E335</f>
        <v>0.6</v>
      </c>
      <c r="F123" s="431">
        <f>блюда!F335</f>
        <v>15.6</v>
      </c>
      <c r="G123" s="250">
        <f>блюда!G335</f>
        <v>75</v>
      </c>
      <c r="H123" s="250" t="str">
        <f>блюда!H335</f>
        <v>ПРОМ</v>
      </c>
      <c r="I123" s="431">
        <f>блюда!I335</f>
        <v>1.95</v>
      </c>
      <c r="J123" s="473">
        <f>блюда!J335</f>
        <v>0</v>
      </c>
      <c r="K123" s="473">
        <f>блюда!K335</f>
        <v>0</v>
      </c>
      <c r="L123" s="473">
        <f>блюда!L335</f>
        <v>0</v>
      </c>
      <c r="M123" s="473">
        <f>блюда!M335</f>
        <v>0</v>
      </c>
      <c r="N123" s="473">
        <f>блюда!N335</f>
        <v>0</v>
      </c>
      <c r="O123" s="473">
        <f>блюда!O335</f>
        <v>0</v>
      </c>
      <c r="P123" s="473">
        <f>блюда!P335</f>
        <v>0</v>
      </c>
      <c r="Q123" s="473">
        <f>блюда!Q335</f>
        <v>0</v>
      </c>
      <c r="R123" s="473">
        <f>блюда!R335</f>
        <v>0</v>
      </c>
      <c r="S123" s="473">
        <f>блюда!S335</f>
        <v>0</v>
      </c>
      <c r="T123" s="473">
        <f>блюда!T335</f>
        <v>0</v>
      </c>
      <c r="U123" s="473">
        <f>блюда!U335</f>
        <v>0</v>
      </c>
      <c r="V123" s="473">
        <f>блюда!V335</f>
        <v>0</v>
      </c>
      <c r="W123" s="473">
        <f>блюда!W335</f>
        <v>0</v>
      </c>
      <c r="X123" s="473">
        <f>блюда!X335</f>
        <v>0</v>
      </c>
      <c r="Y123" s="473">
        <f>блюда!Y335</f>
        <v>0</v>
      </c>
      <c r="Z123" s="473">
        <f>блюда!Z335</f>
        <v>0</v>
      </c>
      <c r="AA123" s="473">
        <f>блюда!AA335</f>
        <v>0</v>
      </c>
      <c r="AB123" s="473">
        <f>блюда!AB335</f>
        <v>0</v>
      </c>
      <c r="AC123" s="473">
        <f>блюда!AC335</f>
        <v>0</v>
      </c>
      <c r="AD123" s="473">
        <f>блюда!AD335</f>
        <v>0</v>
      </c>
      <c r="AE123" s="473">
        <f>блюда!AE335</f>
        <v>0</v>
      </c>
      <c r="AF123" s="473">
        <f>блюда!AF335</f>
        <v>0</v>
      </c>
      <c r="AG123" s="473">
        <f>блюда!AG335</f>
        <v>0</v>
      </c>
      <c r="AH123" s="473">
        <f>блюда!AH335</f>
        <v>0</v>
      </c>
      <c r="AI123" s="473">
        <f>блюда!AI335</f>
        <v>0</v>
      </c>
      <c r="AJ123" s="473">
        <f>блюда!AJ335</f>
        <v>0</v>
      </c>
      <c r="AK123" s="473">
        <f>блюда!AK335</f>
        <v>0</v>
      </c>
      <c r="AL123" s="473">
        <f>блюда!AL335</f>
        <v>0</v>
      </c>
      <c r="AM123" s="473">
        <f>блюда!AM335</f>
        <v>0</v>
      </c>
      <c r="AN123" s="473">
        <f>блюда!AN335</f>
        <v>0</v>
      </c>
      <c r="AO123" s="473">
        <f>блюда!AO335</f>
        <v>0</v>
      </c>
      <c r="AP123" s="473">
        <f>блюда!AP335</f>
        <v>0</v>
      </c>
      <c r="AQ123" s="473">
        <f>блюда!AQ335</f>
        <v>0</v>
      </c>
      <c r="AR123" s="473">
        <f>блюда!AR335</f>
        <v>0</v>
      </c>
      <c r="AS123" s="473">
        <f>блюда!AS335</f>
        <v>0</v>
      </c>
      <c r="AT123" s="473">
        <f>блюда!AT335</f>
        <v>0</v>
      </c>
      <c r="AU123" s="473">
        <f>блюда!AU335</f>
        <v>0</v>
      </c>
      <c r="AV123" s="473">
        <f>блюда!AV335</f>
        <v>0</v>
      </c>
      <c r="AW123" s="473">
        <f>блюда!AW335</f>
        <v>0</v>
      </c>
      <c r="AX123" s="473">
        <f>блюда!AX335</f>
        <v>0</v>
      </c>
      <c r="AY123" s="473">
        <f>блюда!AY335</f>
        <v>0</v>
      </c>
      <c r="AZ123" s="473">
        <f>блюда!AZ335</f>
        <v>0</v>
      </c>
      <c r="BA123" s="473">
        <f>блюда!BA335</f>
        <v>0</v>
      </c>
      <c r="BB123" s="473">
        <f>блюда!BB335</f>
        <v>0</v>
      </c>
      <c r="BC123" s="473">
        <f>блюда!BC335</f>
        <v>0</v>
      </c>
      <c r="BD123" s="473">
        <f>блюда!BD335</f>
        <v>0</v>
      </c>
      <c r="BE123" s="473">
        <f>блюда!BE335</f>
        <v>0</v>
      </c>
      <c r="BF123" s="473">
        <f>блюда!BF335</f>
        <v>0</v>
      </c>
      <c r="BG123" s="473">
        <f>блюда!BG335</f>
        <v>0</v>
      </c>
      <c r="BH123" s="473">
        <f>блюда!BH335</f>
        <v>0</v>
      </c>
      <c r="BI123" s="473">
        <f>блюда!BI335</f>
        <v>0</v>
      </c>
      <c r="BJ123" s="473">
        <f>блюда!BJ335</f>
        <v>0</v>
      </c>
      <c r="BK123" s="473">
        <f>блюда!BK335</f>
        <v>0</v>
      </c>
      <c r="BL123" s="473">
        <f>блюда!BL335</f>
        <v>0</v>
      </c>
      <c r="BM123" s="473">
        <f>блюда!BM335</f>
        <v>0</v>
      </c>
      <c r="BN123" s="473">
        <f>блюда!BN335</f>
        <v>0</v>
      </c>
      <c r="BO123" s="473">
        <f>блюда!BO335</f>
        <v>0</v>
      </c>
      <c r="BP123" s="473">
        <f>блюда!BP335</f>
        <v>0</v>
      </c>
      <c r="BQ123" s="473">
        <f>блюда!BQ335</f>
        <v>0</v>
      </c>
      <c r="BR123" s="473">
        <f>блюда!BR335</f>
        <v>0</v>
      </c>
      <c r="BS123" s="473">
        <f>блюда!BS335</f>
        <v>0</v>
      </c>
      <c r="BT123" s="473">
        <f>блюда!BT335</f>
        <v>0</v>
      </c>
      <c r="BU123" s="473">
        <f>блюда!BU335</f>
        <v>0</v>
      </c>
      <c r="BV123" s="473">
        <f>блюда!BV335</f>
        <v>0</v>
      </c>
      <c r="BW123" s="473">
        <f>блюда!BW335</f>
        <v>0</v>
      </c>
      <c r="BX123" s="473">
        <f>блюда!BX335</f>
        <v>0</v>
      </c>
      <c r="BY123" s="473">
        <f>блюда!BY335</f>
        <v>0</v>
      </c>
      <c r="BZ123" s="473">
        <f>блюда!BZ335</f>
        <v>0</v>
      </c>
      <c r="CA123" s="473">
        <f>блюда!CA335</f>
        <v>0</v>
      </c>
      <c r="CB123" s="473">
        <f>блюда!CB335</f>
        <v>0</v>
      </c>
      <c r="CC123" s="473">
        <f>блюда!CC335</f>
        <v>0</v>
      </c>
      <c r="CD123" s="473">
        <f>блюда!CD335</f>
        <v>0</v>
      </c>
      <c r="CE123" s="473">
        <f>блюда!CE335</f>
        <v>0</v>
      </c>
      <c r="CF123" s="473">
        <f>блюда!CF335</f>
        <v>0</v>
      </c>
      <c r="CG123" s="473">
        <f>блюда!CG335</f>
        <v>0</v>
      </c>
      <c r="CH123" s="473">
        <f>блюда!CH335</f>
        <v>0</v>
      </c>
      <c r="CI123" s="473">
        <f>блюда!CI335</f>
        <v>0</v>
      </c>
      <c r="CJ123" s="473">
        <f>блюда!CJ335</f>
        <v>0</v>
      </c>
      <c r="CK123" s="473">
        <f>блюда!CK335</f>
        <v>0</v>
      </c>
      <c r="CL123" s="473">
        <f>блюда!CL335</f>
        <v>0</v>
      </c>
      <c r="CM123" s="473">
        <f>блюда!CM335</f>
        <v>0</v>
      </c>
      <c r="CN123" s="473">
        <f>блюда!CN335</f>
        <v>0</v>
      </c>
      <c r="CO123" s="473">
        <f>блюда!CO335</f>
        <v>0</v>
      </c>
      <c r="CP123" s="473">
        <f>блюда!CP335</f>
        <v>0</v>
      </c>
      <c r="CQ123" s="473">
        <f>блюда!CQ335</f>
        <v>0</v>
      </c>
      <c r="CR123" s="473">
        <f>блюда!CR335</f>
        <v>0</v>
      </c>
      <c r="CS123" s="473">
        <f>блюда!CS335</f>
        <v>0</v>
      </c>
      <c r="CT123" s="473">
        <f>блюда!CT335</f>
        <v>0</v>
      </c>
      <c r="CU123" s="473">
        <f>блюда!CU335</f>
        <v>0</v>
      </c>
      <c r="CV123" s="473">
        <f>блюда!CV335</f>
        <v>0</v>
      </c>
      <c r="CW123" s="473">
        <f>блюда!CW335</f>
        <v>0</v>
      </c>
      <c r="CX123" s="473">
        <f>блюда!CX335</f>
        <v>0</v>
      </c>
      <c r="CY123" s="473">
        <f>блюда!CY335</f>
        <v>0</v>
      </c>
      <c r="CZ123" s="473">
        <f>блюда!CZ335</f>
        <v>0</v>
      </c>
      <c r="DA123" s="473">
        <f>блюда!DA335</f>
        <v>0</v>
      </c>
      <c r="DB123" s="473">
        <f>блюда!DB335</f>
        <v>0</v>
      </c>
      <c r="DC123" s="473">
        <f>блюда!DC335</f>
        <v>0</v>
      </c>
      <c r="DD123" s="473">
        <f>блюда!DD335</f>
        <v>0</v>
      </c>
      <c r="DE123" s="473">
        <f>блюда!DE335</f>
        <v>0</v>
      </c>
      <c r="DF123" s="473">
        <f>блюда!DF335</f>
        <v>0</v>
      </c>
      <c r="DG123" s="473">
        <f>блюда!DG335</f>
        <v>0</v>
      </c>
      <c r="DH123" s="473">
        <f>блюда!DH335</f>
        <v>0</v>
      </c>
      <c r="DI123" s="473">
        <f>блюда!DI335</f>
        <v>0</v>
      </c>
      <c r="DJ123" s="473">
        <f>блюда!DJ335</f>
        <v>0</v>
      </c>
      <c r="DK123" s="473">
        <f>блюда!DK335</f>
        <v>0</v>
      </c>
      <c r="DL123" s="473">
        <f>блюда!DL335</f>
        <v>0</v>
      </c>
      <c r="DM123" s="473">
        <f>блюда!DM335</f>
        <v>0</v>
      </c>
      <c r="DN123" s="473">
        <f>блюда!DN335</f>
        <v>0</v>
      </c>
      <c r="DO123" s="473">
        <f>блюда!DO335</f>
        <v>0</v>
      </c>
      <c r="DP123" s="473">
        <f>блюда!DP335</f>
        <v>0</v>
      </c>
      <c r="DQ123" s="473">
        <f>блюда!DQ335</f>
        <v>0</v>
      </c>
      <c r="DR123" s="473">
        <f>блюда!DR335</f>
        <v>0</v>
      </c>
      <c r="DS123" s="473">
        <f>блюда!DS335</f>
        <v>0</v>
      </c>
      <c r="DT123" s="473">
        <f>блюда!DT335</f>
        <v>0</v>
      </c>
      <c r="DU123" s="473">
        <f>блюда!DU335</f>
        <v>0</v>
      </c>
      <c r="DV123" s="473">
        <f>блюда!DV335</f>
        <v>0</v>
      </c>
      <c r="DW123" s="473">
        <f>блюда!DW335</f>
        <v>0</v>
      </c>
      <c r="DX123" s="473">
        <f>блюда!DX335</f>
        <v>0</v>
      </c>
      <c r="DY123" s="473">
        <f>блюда!DY335</f>
        <v>0</v>
      </c>
      <c r="DZ123" s="473">
        <f>блюда!DZ335</f>
        <v>0</v>
      </c>
      <c r="EA123" s="473">
        <f>блюда!EA335</f>
        <v>0</v>
      </c>
      <c r="EB123" s="473">
        <f>блюда!EB335</f>
        <v>0</v>
      </c>
      <c r="EC123" s="473">
        <f>блюда!EC335</f>
        <v>0</v>
      </c>
      <c r="ED123" s="473">
        <f>блюда!ED335</f>
        <v>0</v>
      </c>
      <c r="EE123" s="473">
        <f>блюда!EE335</f>
        <v>0</v>
      </c>
      <c r="EF123" s="473">
        <f>блюда!EF335</f>
        <v>0</v>
      </c>
      <c r="EG123" s="473">
        <f>блюда!EG335</f>
        <v>0</v>
      </c>
      <c r="EH123" s="473">
        <f>блюда!EH335</f>
        <v>0</v>
      </c>
      <c r="EI123" s="473">
        <f>блюда!EI335</f>
        <v>0</v>
      </c>
      <c r="EJ123" s="473">
        <f>блюда!EJ335</f>
        <v>0</v>
      </c>
      <c r="EK123" s="473">
        <f>блюда!EK335</f>
        <v>0</v>
      </c>
      <c r="EL123" s="473">
        <f>блюда!EL335</f>
        <v>0</v>
      </c>
      <c r="EM123" s="473">
        <f>блюда!EM335</f>
        <v>0</v>
      </c>
      <c r="EN123" s="473">
        <f>блюда!EN335</f>
        <v>0</v>
      </c>
      <c r="EO123" s="473">
        <f>блюда!EO335</f>
        <v>0</v>
      </c>
      <c r="EP123" s="473">
        <f>блюда!EP335</f>
        <v>0</v>
      </c>
      <c r="EQ123" s="473">
        <f>блюда!EQ335</f>
        <v>0</v>
      </c>
      <c r="ER123" s="473">
        <f>блюда!ER335</f>
        <v>0</v>
      </c>
      <c r="ES123" s="473">
        <f>блюда!ES335</f>
        <v>0</v>
      </c>
      <c r="ET123" s="473">
        <f>блюда!ET335</f>
        <v>0</v>
      </c>
      <c r="EU123" s="473">
        <f>блюда!EU335</f>
        <v>0</v>
      </c>
      <c r="EV123" s="473">
        <f>блюда!EV335</f>
        <v>0</v>
      </c>
      <c r="EW123" s="473">
        <f>блюда!EW335</f>
        <v>0.03</v>
      </c>
      <c r="EX123" s="473">
        <f>блюда!EX335</f>
        <v>0</v>
      </c>
      <c r="EY123" s="927">
        <f t="shared" si="71"/>
        <v>0.03</v>
      </c>
      <c r="EZ123" s="117">
        <f>блюда!EZ335</f>
        <v>0</v>
      </c>
      <c r="FA123" s="117">
        <f>блюда!FA335</f>
        <v>0</v>
      </c>
      <c r="FB123" s="117">
        <f>блюда!FB335</f>
        <v>0</v>
      </c>
      <c r="FC123" s="117">
        <f>блюда!FC335</f>
        <v>0</v>
      </c>
      <c r="FD123" s="117">
        <f>блюда!FD335</f>
        <v>0</v>
      </c>
      <c r="FE123" s="117">
        <f>блюда!FE335</f>
        <v>0</v>
      </c>
      <c r="FF123" s="117">
        <f>блюда!FF335</f>
        <v>0</v>
      </c>
      <c r="FG123" s="117">
        <f>блюда!FG335</f>
        <v>0</v>
      </c>
      <c r="FH123" s="117">
        <f>блюда!FH335</f>
        <v>0</v>
      </c>
      <c r="FI123" s="117">
        <f>блюда!FI335</f>
        <v>0</v>
      </c>
      <c r="FJ123" s="117">
        <f>блюда!FJ335</f>
        <v>0</v>
      </c>
      <c r="FK123" s="117">
        <f>блюда!FK335</f>
        <v>0</v>
      </c>
      <c r="FL123" s="117">
        <f>блюда!FL335</f>
        <v>0</v>
      </c>
    </row>
    <row r="124" spans="1:168" ht="13.95" customHeight="1" x14ac:dyDescent="0.25">
      <c r="A124" s="1460"/>
      <c r="B124" s="115" t="str">
        <f>блюда!B342</f>
        <v>Мороженое пломбир Кореновское</v>
      </c>
      <c r="C124" s="250">
        <f>блюда!C342</f>
        <v>100</v>
      </c>
      <c r="D124" s="431">
        <f>блюда!D342</f>
        <v>3.7</v>
      </c>
      <c r="E124" s="431">
        <f>блюда!E342</f>
        <v>15</v>
      </c>
      <c r="F124" s="431">
        <f>блюда!F342</f>
        <v>20.399999999999999</v>
      </c>
      <c r="G124" s="250">
        <f>блюда!G342</f>
        <v>232</v>
      </c>
      <c r="H124" s="250" t="str">
        <f>блюда!H342</f>
        <v>ПРОМ</v>
      </c>
      <c r="I124" s="431">
        <f>блюда!I342</f>
        <v>75</v>
      </c>
      <c r="J124" s="473">
        <f>блюда!J342</f>
        <v>0</v>
      </c>
      <c r="K124" s="473">
        <f>блюда!K342</f>
        <v>0</v>
      </c>
      <c r="L124" s="473">
        <f>блюда!L342</f>
        <v>0</v>
      </c>
      <c r="M124" s="473">
        <f>блюда!M342</f>
        <v>0</v>
      </c>
      <c r="N124" s="473">
        <f>блюда!N342</f>
        <v>0</v>
      </c>
      <c r="O124" s="473">
        <f>блюда!O342</f>
        <v>0</v>
      </c>
      <c r="P124" s="473">
        <f>блюда!P342</f>
        <v>0</v>
      </c>
      <c r="Q124" s="473">
        <f>блюда!Q342</f>
        <v>0</v>
      </c>
      <c r="R124" s="473">
        <f>блюда!R342</f>
        <v>0</v>
      </c>
      <c r="S124" s="473">
        <f>блюда!S342</f>
        <v>0</v>
      </c>
      <c r="T124" s="473">
        <f>блюда!T342</f>
        <v>0</v>
      </c>
      <c r="U124" s="473">
        <f>блюда!U342</f>
        <v>0</v>
      </c>
      <c r="V124" s="473">
        <f>блюда!V342</f>
        <v>0</v>
      </c>
      <c r="W124" s="473">
        <f>блюда!W342</f>
        <v>0</v>
      </c>
      <c r="X124" s="473">
        <f>блюда!X342</f>
        <v>0</v>
      </c>
      <c r="Y124" s="473">
        <f>блюда!Y342</f>
        <v>0</v>
      </c>
      <c r="Z124" s="473">
        <f>блюда!Z342</f>
        <v>0</v>
      </c>
      <c r="AA124" s="473">
        <f>блюда!AA342</f>
        <v>0</v>
      </c>
      <c r="AB124" s="473">
        <f>блюда!AB342</f>
        <v>0</v>
      </c>
      <c r="AC124" s="473">
        <f>блюда!AC342</f>
        <v>0</v>
      </c>
      <c r="AD124" s="473">
        <f>блюда!AD342</f>
        <v>0</v>
      </c>
      <c r="AE124" s="473">
        <f>блюда!AE342</f>
        <v>0</v>
      </c>
      <c r="AF124" s="473">
        <f>блюда!AF342</f>
        <v>0</v>
      </c>
      <c r="AG124" s="473">
        <f>блюда!AG342</f>
        <v>0</v>
      </c>
      <c r="AH124" s="473">
        <f>блюда!AH342</f>
        <v>0</v>
      </c>
      <c r="AI124" s="473">
        <f>блюда!AI342</f>
        <v>0</v>
      </c>
      <c r="AJ124" s="473">
        <f>блюда!AJ342</f>
        <v>0</v>
      </c>
      <c r="AK124" s="473">
        <f>блюда!AK342</f>
        <v>0</v>
      </c>
      <c r="AL124" s="473">
        <f>блюда!AL342</f>
        <v>0</v>
      </c>
      <c r="AM124" s="473">
        <f>блюда!AM342</f>
        <v>0</v>
      </c>
      <c r="AN124" s="473">
        <f>блюда!AN342</f>
        <v>0</v>
      </c>
      <c r="AO124" s="473">
        <f>блюда!AO342</f>
        <v>0</v>
      </c>
      <c r="AP124" s="473">
        <f>блюда!AP342</f>
        <v>0</v>
      </c>
      <c r="AQ124" s="473">
        <f>блюда!AQ342</f>
        <v>0</v>
      </c>
      <c r="AR124" s="473">
        <f>блюда!AR342</f>
        <v>0</v>
      </c>
      <c r="AS124" s="473">
        <f>блюда!AS342</f>
        <v>0</v>
      </c>
      <c r="AT124" s="473">
        <f>блюда!AT342</f>
        <v>0</v>
      </c>
      <c r="AU124" s="473">
        <f>блюда!AU342</f>
        <v>0</v>
      </c>
      <c r="AV124" s="473">
        <f>блюда!AV342</f>
        <v>0</v>
      </c>
      <c r="AW124" s="473">
        <f>блюда!AW342</f>
        <v>0</v>
      </c>
      <c r="AX124" s="473">
        <f>блюда!AX342</f>
        <v>0</v>
      </c>
      <c r="AY124" s="473">
        <f>блюда!AY342</f>
        <v>0</v>
      </c>
      <c r="AZ124" s="473">
        <f>блюда!AZ342</f>
        <v>0</v>
      </c>
      <c r="BA124" s="473">
        <f>блюда!BA342</f>
        <v>0</v>
      </c>
      <c r="BB124" s="473">
        <f>блюда!BB342</f>
        <v>0</v>
      </c>
      <c r="BC124" s="473">
        <f>блюда!BC342</f>
        <v>0</v>
      </c>
      <c r="BD124" s="473">
        <f>блюда!BD342</f>
        <v>0</v>
      </c>
      <c r="BE124" s="473">
        <f>блюда!BE342</f>
        <v>0</v>
      </c>
      <c r="BF124" s="473">
        <f>блюда!BF342</f>
        <v>0</v>
      </c>
      <c r="BG124" s="473">
        <f>блюда!BG342</f>
        <v>0</v>
      </c>
      <c r="BH124" s="473">
        <f>блюда!BH342</f>
        <v>0</v>
      </c>
      <c r="BI124" s="473">
        <f>блюда!BI342</f>
        <v>0</v>
      </c>
      <c r="BJ124" s="473">
        <f>блюда!BJ342</f>
        <v>0</v>
      </c>
      <c r="BK124" s="473">
        <f>блюда!BK342</f>
        <v>0</v>
      </c>
      <c r="BL124" s="473">
        <f>блюда!BL342</f>
        <v>0</v>
      </c>
      <c r="BM124" s="473">
        <f>блюда!BM342</f>
        <v>0</v>
      </c>
      <c r="BN124" s="473">
        <f>блюда!BN342</f>
        <v>0</v>
      </c>
      <c r="BO124" s="473">
        <f>блюда!BO342</f>
        <v>0</v>
      </c>
      <c r="BP124" s="473">
        <f>блюда!BP342</f>
        <v>0</v>
      </c>
      <c r="BQ124" s="473">
        <f>блюда!BQ342</f>
        <v>0</v>
      </c>
      <c r="BR124" s="473">
        <f>блюда!BR342</f>
        <v>0</v>
      </c>
      <c r="BS124" s="473">
        <f>блюда!BS342</f>
        <v>0</v>
      </c>
      <c r="BT124" s="473">
        <f>блюда!BT342</f>
        <v>0</v>
      </c>
      <c r="BU124" s="473">
        <f>блюда!BU342</f>
        <v>0</v>
      </c>
      <c r="BV124" s="473">
        <f>блюда!BV342</f>
        <v>0</v>
      </c>
      <c r="BW124" s="473">
        <f>блюда!BW342</f>
        <v>0</v>
      </c>
      <c r="BX124" s="473">
        <f>блюда!BX342</f>
        <v>0</v>
      </c>
      <c r="BY124" s="473">
        <f>блюда!BY342</f>
        <v>0</v>
      </c>
      <c r="BZ124" s="473">
        <f>блюда!BZ342</f>
        <v>0</v>
      </c>
      <c r="CA124" s="473">
        <f>блюда!CA342</f>
        <v>0</v>
      </c>
      <c r="CB124" s="473">
        <f>блюда!CB342</f>
        <v>0</v>
      </c>
      <c r="CC124" s="473">
        <f>блюда!CC342</f>
        <v>0</v>
      </c>
      <c r="CD124" s="473">
        <f>блюда!CD342</f>
        <v>0</v>
      </c>
      <c r="CE124" s="473">
        <f>блюда!CE342</f>
        <v>0</v>
      </c>
      <c r="CF124" s="473">
        <f>блюда!CF342</f>
        <v>0</v>
      </c>
      <c r="CG124" s="473">
        <f>блюда!CG342</f>
        <v>0</v>
      </c>
      <c r="CH124" s="473">
        <f>блюда!CH342</f>
        <v>0</v>
      </c>
      <c r="CI124" s="473">
        <f>блюда!CI342</f>
        <v>0</v>
      </c>
      <c r="CJ124" s="473">
        <f>блюда!CJ342</f>
        <v>0</v>
      </c>
      <c r="CK124" s="473">
        <f>блюда!CK342</f>
        <v>0</v>
      </c>
      <c r="CL124" s="473">
        <f>блюда!CL342</f>
        <v>0</v>
      </c>
      <c r="CM124" s="473">
        <f>блюда!CM342</f>
        <v>0</v>
      </c>
      <c r="CN124" s="473">
        <f>блюда!CN342</f>
        <v>0</v>
      </c>
      <c r="CO124" s="473">
        <f>блюда!CO342</f>
        <v>0</v>
      </c>
      <c r="CP124" s="473">
        <f>блюда!CP342</f>
        <v>0</v>
      </c>
      <c r="CQ124" s="473">
        <f>блюда!CQ342</f>
        <v>0</v>
      </c>
      <c r="CR124" s="473">
        <f>блюда!CR342</f>
        <v>0</v>
      </c>
      <c r="CS124" s="473">
        <f>блюда!CS342</f>
        <v>0</v>
      </c>
      <c r="CT124" s="473">
        <f>блюда!CT342</f>
        <v>0</v>
      </c>
      <c r="CU124" s="473">
        <f>блюда!CU342</f>
        <v>0</v>
      </c>
      <c r="CV124" s="473">
        <f>блюда!CV342</f>
        <v>0</v>
      </c>
      <c r="CW124" s="473">
        <f>блюда!CW342</f>
        <v>0</v>
      </c>
      <c r="CX124" s="473">
        <f>блюда!CX342</f>
        <v>0</v>
      </c>
      <c r="CY124" s="473">
        <f>блюда!CY342</f>
        <v>0</v>
      </c>
      <c r="CZ124" s="473">
        <f>блюда!CZ342</f>
        <v>0</v>
      </c>
      <c r="DA124" s="473">
        <f>блюда!DA342</f>
        <v>0</v>
      </c>
      <c r="DB124" s="473">
        <f>блюда!DB342</f>
        <v>0</v>
      </c>
      <c r="DC124" s="473">
        <f>блюда!DC342</f>
        <v>0</v>
      </c>
      <c r="DD124" s="473">
        <f>блюда!DD342</f>
        <v>0</v>
      </c>
      <c r="DE124" s="473">
        <f>блюда!DE342</f>
        <v>0</v>
      </c>
      <c r="DF124" s="473">
        <f>блюда!DF342</f>
        <v>0</v>
      </c>
      <c r="DG124" s="473">
        <f>блюда!DG342</f>
        <v>0</v>
      </c>
      <c r="DH124" s="473">
        <f>блюда!DH342</f>
        <v>0</v>
      </c>
      <c r="DI124" s="473">
        <f>блюда!DI342</f>
        <v>0</v>
      </c>
      <c r="DJ124" s="473">
        <f>блюда!DJ342</f>
        <v>0</v>
      </c>
      <c r="DK124" s="473">
        <f>блюда!DK342</f>
        <v>0</v>
      </c>
      <c r="DL124" s="473">
        <f>блюда!DL342</f>
        <v>0</v>
      </c>
      <c r="DM124" s="473">
        <f>блюда!DM342</f>
        <v>0</v>
      </c>
      <c r="DN124" s="473">
        <f>блюда!DN342</f>
        <v>0</v>
      </c>
      <c r="DO124" s="473">
        <f>блюда!DO342</f>
        <v>0</v>
      </c>
      <c r="DP124" s="473">
        <f>блюда!DP342</f>
        <v>0</v>
      </c>
      <c r="DQ124" s="473">
        <f>блюда!DQ342</f>
        <v>0</v>
      </c>
      <c r="DR124" s="473">
        <f>блюда!DR342</f>
        <v>0</v>
      </c>
      <c r="DS124" s="473">
        <f>блюда!DS342</f>
        <v>0</v>
      </c>
      <c r="DT124" s="473">
        <f>блюда!DT342</f>
        <v>0</v>
      </c>
      <c r="DU124" s="473">
        <f>блюда!DU342</f>
        <v>0</v>
      </c>
      <c r="DV124" s="473">
        <f>блюда!DV342</f>
        <v>0</v>
      </c>
      <c r="DW124" s="473">
        <f>блюда!DW342</f>
        <v>0</v>
      </c>
      <c r="DX124" s="473">
        <f>блюда!DX342</f>
        <v>0</v>
      </c>
      <c r="DY124" s="473">
        <f>блюда!DY342</f>
        <v>0</v>
      </c>
      <c r="DZ124" s="473">
        <f>блюда!DZ342</f>
        <v>0</v>
      </c>
      <c r="EA124" s="473">
        <f>блюда!EA342</f>
        <v>0.1</v>
      </c>
      <c r="EB124" s="473">
        <f>блюда!EB342</f>
        <v>0</v>
      </c>
      <c r="EC124" s="473">
        <f>блюда!EC342</f>
        <v>0</v>
      </c>
      <c r="ED124" s="473">
        <f>блюда!ED342</f>
        <v>0</v>
      </c>
      <c r="EE124" s="473">
        <f>блюда!EE342</f>
        <v>0</v>
      </c>
      <c r="EF124" s="473">
        <f>блюда!EF342</f>
        <v>0</v>
      </c>
      <c r="EG124" s="473">
        <f>блюда!EG342</f>
        <v>0</v>
      </c>
      <c r="EH124" s="473">
        <f>блюда!EH342</f>
        <v>0</v>
      </c>
      <c r="EI124" s="473">
        <f>блюда!EI342</f>
        <v>0</v>
      </c>
      <c r="EJ124" s="473">
        <f>блюда!EJ342</f>
        <v>0</v>
      </c>
      <c r="EK124" s="473">
        <f>блюда!EK342</f>
        <v>0</v>
      </c>
      <c r="EL124" s="473">
        <f>блюда!EL342</f>
        <v>0</v>
      </c>
      <c r="EM124" s="473">
        <f>блюда!EM342</f>
        <v>0</v>
      </c>
      <c r="EN124" s="473">
        <f>блюда!EN342</f>
        <v>0</v>
      </c>
      <c r="EO124" s="473">
        <f>блюда!EO342</f>
        <v>0</v>
      </c>
      <c r="EP124" s="473">
        <f>блюда!EP342</f>
        <v>0</v>
      </c>
      <c r="EQ124" s="473">
        <f>блюда!EQ342</f>
        <v>0</v>
      </c>
      <c r="ER124" s="473">
        <f>блюда!ER342</f>
        <v>0</v>
      </c>
      <c r="ES124" s="473">
        <f>блюда!ES342</f>
        <v>0</v>
      </c>
      <c r="ET124" s="473">
        <f>блюда!ET342</f>
        <v>0</v>
      </c>
      <c r="EU124" s="473">
        <f>блюда!EU342</f>
        <v>0</v>
      </c>
      <c r="EV124" s="473">
        <f>блюда!EV342</f>
        <v>0</v>
      </c>
      <c r="EW124" s="473">
        <f>блюда!EW342</f>
        <v>0</v>
      </c>
      <c r="EX124" s="473">
        <f>блюда!EX342</f>
        <v>0</v>
      </c>
      <c r="EY124" s="927">
        <f t="shared" si="71"/>
        <v>0.1</v>
      </c>
      <c r="EZ124" s="117"/>
      <c r="FA124" s="117"/>
      <c r="FB124" s="117"/>
      <c r="FC124" s="117"/>
      <c r="FD124" s="117"/>
      <c r="FE124" s="117"/>
      <c r="FF124" s="117"/>
      <c r="FG124" s="117"/>
      <c r="FH124" s="117"/>
      <c r="FI124" s="117"/>
      <c r="FJ124" s="117"/>
      <c r="FK124" s="117"/>
      <c r="FL124" s="117"/>
    </row>
    <row r="125" spans="1:168" x14ac:dyDescent="0.25">
      <c r="A125" s="1461"/>
      <c r="B125" s="576"/>
      <c r="C125" s="250"/>
      <c r="D125" s="431"/>
      <c r="E125" s="431"/>
      <c r="F125" s="431"/>
      <c r="G125" s="250"/>
      <c r="H125" s="250"/>
      <c r="I125" s="431"/>
      <c r="J125" s="473"/>
      <c r="K125" s="473"/>
      <c r="L125" s="473"/>
      <c r="M125" s="473"/>
      <c r="N125" s="473"/>
      <c r="O125" s="473"/>
      <c r="P125" s="473"/>
      <c r="Q125" s="473"/>
      <c r="R125" s="473"/>
      <c r="S125" s="473"/>
      <c r="T125" s="473"/>
      <c r="U125" s="473"/>
      <c r="V125" s="473"/>
      <c r="W125" s="473"/>
      <c r="X125" s="473"/>
      <c r="Y125" s="473"/>
      <c r="Z125" s="473"/>
      <c r="AA125" s="473"/>
      <c r="AB125" s="473"/>
      <c r="AC125" s="473"/>
      <c r="AD125" s="473"/>
      <c r="AE125" s="473"/>
      <c r="AF125" s="473"/>
      <c r="AG125" s="473"/>
      <c r="AH125" s="473"/>
      <c r="AI125" s="473"/>
      <c r="AJ125" s="473"/>
      <c r="AK125" s="473"/>
      <c r="AL125" s="473"/>
      <c r="AM125" s="473"/>
      <c r="AN125" s="473"/>
      <c r="AO125" s="473"/>
      <c r="AP125" s="473"/>
      <c r="AQ125" s="473"/>
      <c r="AR125" s="473"/>
      <c r="AS125" s="473"/>
      <c r="AT125" s="473"/>
      <c r="AU125" s="473"/>
      <c r="AV125" s="473"/>
      <c r="AW125" s="473"/>
      <c r="AX125" s="473"/>
      <c r="AY125" s="473"/>
      <c r="AZ125" s="473"/>
      <c r="BA125" s="473"/>
      <c r="BB125" s="473"/>
      <c r="BC125" s="473"/>
      <c r="BD125" s="473"/>
      <c r="BE125" s="473"/>
      <c r="BF125" s="473"/>
      <c r="BG125" s="473"/>
      <c r="BH125" s="473"/>
      <c r="BI125" s="473"/>
      <c r="BJ125" s="473"/>
      <c r="BK125" s="473"/>
      <c r="BL125" s="473"/>
      <c r="BM125" s="473"/>
      <c r="BN125" s="473"/>
      <c r="BO125" s="473"/>
      <c r="BP125" s="473"/>
      <c r="BQ125" s="473"/>
      <c r="BR125" s="473"/>
      <c r="BS125" s="473"/>
      <c r="BT125" s="473"/>
      <c r="BU125" s="473"/>
      <c r="BV125" s="473"/>
      <c r="BW125" s="473"/>
      <c r="BX125" s="473"/>
      <c r="BY125" s="473"/>
      <c r="BZ125" s="473"/>
      <c r="CA125" s="473"/>
      <c r="CB125" s="473"/>
      <c r="CC125" s="473"/>
      <c r="CD125" s="473"/>
      <c r="CE125" s="473"/>
      <c r="CF125" s="473"/>
      <c r="CG125" s="473"/>
      <c r="CH125" s="473"/>
      <c r="CI125" s="473"/>
      <c r="CJ125" s="473"/>
      <c r="CK125" s="473"/>
      <c r="CL125" s="473"/>
      <c r="CM125" s="473"/>
      <c r="CN125" s="473"/>
      <c r="CO125" s="473"/>
      <c r="CP125" s="473"/>
      <c r="CQ125" s="473"/>
      <c r="CR125" s="473"/>
      <c r="CS125" s="473"/>
      <c r="CT125" s="473"/>
      <c r="CU125" s="473"/>
      <c r="CV125" s="473"/>
      <c r="CW125" s="473"/>
      <c r="CX125" s="473"/>
      <c r="CY125" s="473"/>
      <c r="CZ125" s="473"/>
      <c r="DA125" s="473"/>
      <c r="DB125" s="473"/>
      <c r="DC125" s="473"/>
      <c r="DD125" s="473"/>
      <c r="DE125" s="473"/>
      <c r="DF125" s="473"/>
      <c r="DG125" s="473"/>
      <c r="DH125" s="473"/>
      <c r="DI125" s="473"/>
      <c r="DJ125" s="473"/>
      <c r="DK125" s="473"/>
      <c r="DL125" s="473"/>
      <c r="DM125" s="473"/>
      <c r="DN125" s="473"/>
      <c r="DO125" s="473"/>
      <c r="DP125" s="473"/>
      <c r="DQ125" s="473"/>
      <c r="DR125" s="473"/>
      <c r="DS125" s="473"/>
      <c r="DT125" s="473"/>
      <c r="DU125" s="473"/>
      <c r="DV125" s="473"/>
      <c r="DW125" s="473"/>
      <c r="DX125" s="473"/>
      <c r="DY125" s="473"/>
      <c r="DZ125" s="473"/>
      <c r="EA125" s="473"/>
      <c r="EB125" s="473"/>
      <c r="EC125" s="473"/>
      <c r="ED125" s="473"/>
      <c r="EE125" s="473"/>
      <c r="EF125" s="473"/>
      <c r="EG125" s="473"/>
      <c r="EH125" s="473"/>
      <c r="EI125" s="473"/>
      <c r="EJ125" s="473"/>
      <c r="EK125" s="473"/>
      <c r="EL125" s="473"/>
      <c r="EM125" s="473"/>
      <c r="EN125" s="473"/>
      <c r="EO125" s="473"/>
      <c r="EP125" s="473"/>
      <c r="EQ125" s="473"/>
      <c r="ER125" s="473"/>
      <c r="ES125" s="473"/>
      <c r="ET125" s="473"/>
      <c r="EU125" s="473"/>
      <c r="EV125" s="473"/>
      <c r="EW125" s="473"/>
      <c r="EX125" s="473"/>
      <c r="EY125" s="927">
        <f t="shared" si="71"/>
        <v>0</v>
      </c>
      <c r="EZ125" s="423"/>
      <c r="FA125" s="423"/>
      <c r="FB125" s="423"/>
      <c r="FC125" s="423"/>
      <c r="FD125" s="423"/>
      <c r="FE125" s="423"/>
      <c r="FF125" s="423"/>
      <c r="FG125" s="423"/>
      <c r="FH125" s="423"/>
      <c r="FI125" s="423"/>
      <c r="FJ125" s="423"/>
      <c r="FK125" s="423"/>
      <c r="FL125" s="423"/>
    </row>
    <row r="126" spans="1:168" ht="14.4" thickBot="1" x14ac:dyDescent="0.3">
      <c r="A126" s="411"/>
      <c r="B126" s="118" t="s">
        <v>113</v>
      </c>
      <c r="C126" s="840">
        <f>SUM(C117:C125)</f>
        <v>950</v>
      </c>
      <c r="D126" s="842">
        <f>SUM(D117:D125)</f>
        <v>34.020000000000003</v>
      </c>
      <c r="E126" s="842">
        <f t="shared" ref="E126:BC126" si="72">SUM(E117:E125)</f>
        <v>37.950000000000003</v>
      </c>
      <c r="F126" s="842">
        <f t="shared" si="72"/>
        <v>124.58</v>
      </c>
      <c r="G126" s="422">
        <f t="shared" si="72"/>
        <v>984</v>
      </c>
      <c r="H126" s="840">
        <f t="shared" si="72"/>
        <v>802</v>
      </c>
      <c r="I126" s="842">
        <f t="shared" ref="I126" si="73">SUM(I117:I125)</f>
        <v>174.34</v>
      </c>
      <c r="J126" s="844">
        <f t="shared" si="72"/>
        <v>0</v>
      </c>
      <c r="K126" s="844">
        <f t="shared" si="72"/>
        <v>0</v>
      </c>
      <c r="L126" s="844">
        <f t="shared" si="72"/>
        <v>0</v>
      </c>
      <c r="M126" s="844">
        <f t="shared" si="72"/>
        <v>0</v>
      </c>
      <c r="N126" s="844">
        <f t="shared" si="72"/>
        <v>0</v>
      </c>
      <c r="O126" s="844">
        <f t="shared" si="72"/>
        <v>0</v>
      </c>
      <c r="P126" s="844">
        <f t="shared" si="72"/>
        <v>0</v>
      </c>
      <c r="Q126" s="844">
        <f t="shared" si="72"/>
        <v>0</v>
      </c>
      <c r="R126" s="844">
        <f t="shared" si="72"/>
        <v>0</v>
      </c>
      <c r="S126" s="844">
        <f t="shared" si="72"/>
        <v>0.15820000000000001</v>
      </c>
      <c r="T126" s="844">
        <f t="shared" si="72"/>
        <v>0</v>
      </c>
      <c r="U126" s="844">
        <f t="shared" si="72"/>
        <v>2.3699999999999999E-2</v>
      </c>
      <c r="V126" s="844">
        <f t="shared" si="72"/>
        <v>5.2500000000000003E-3</v>
      </c>
      <c r="W126" s="844">
        <f t="shared" si="72"/>
        <v>0</v>
      </c>
      <c r="X126" s="844">
        <f t="shared" si="72"/>
        <v>0</v>
      </c>
      <c r="Y126" s="844">
        <f t="shared" si="72"/>
        <v>5.0000000000000001E-3</v>
      </c>
      <c r="Z126" s="844">
        <f t="shared" si="72"/>
        <v>0</v>
      </c>
      <c r="AA126" s="844">
        <f t="shared" si="72"/>
        <v>0</v>
      </c>
      <c r="AB126" s="844">
        <f t="shared" si="72"/>
        <v>0</v>
      </c>
      <c r="AC126" s="844">
        <f t="shared" si="72"/>
        <v>0</v>
      </c>
      <c r="AD126" s="844">
        <f t="shared" si="72"/>
        <v>0</v>
      </c>
      <c r="AE126" s="844">
        <f t="shared" si="72"/>
        <v>0</v>
      </c>
      <c r="AF126" s="844">
        <f t="shared" si="72"/>
        <v>5.9159999999999997E-2</v>
      </c>
      <c r="AG126" s="844">
        <f t="shared" si="72"/>
        <v>0</v>
      </c>
      <c r="AH126" s="844">
        <f t="shared" si="72"/>
        <v>0.27100000000000002</v>
      </c>
      <c r="AI126" s="844">
        <f t="shared" si="72"/>
        <v>0</v>
      </c>
      <c r="AJ126" s="844">
        <f t="shared" si="72"/>
        <v>0</v>
      </c>
      <c r="AK126" s="844">
        <f t="shared" si="72"/>
        <v>2.98E-2</v>
      </c>
      <c r="AL126" s="844">
        <f t="shared" si="72"/>
        <v>0</v>
      </c>
      <c r="AM126" s="844">
        <f t="shared" si="72"/>
        <v>0</v>
      </c>
      <c r="AN126" s="844">
        <f t="shared" si="72"/>
        <v>0</v>
      </c>
      <c r="AO126" s="844">
        <f t="shared" si="72"/>
        <v>0</v>
      </c>
      <c r="AP126" s="844">
        <f t="shared" si="72"/>
        <v>0</v>
      </c>
      <c r="AQ126" s="844">
        <f t="shared" si="72"/>
        <v>8.2320000000000004E-2</v>
      </c>
      <c r="AR126" s="844">
        <f t="shared" si="72"/>
        <v>0</v>
      </c>
      <c r="AS126" s="844">
        <f t="shared" si="72"/>
        <v>0</v>
      </c>
      <c r="AT126" s="844">
        <f t="shared" si="72"/>
        <v>7.0000000000000001E-3</v>
      </c>
      <c r="AU126" s="844">
        <f t="shared" si="72"/>
        <v>0</v>
      </c>
      <c r="AV126" s="844">
        <f t="shared" si="72"/>
        <v>0</v>
      </c>
      <c r="AW126" s="844">
        <f t="shared" si="72"/>
        <v>0</v>
      </c>
      <c r="AX126" s="844">
        <f t="shared" si="72"/>
        <v>0</v>
      </c>
      <c r="AY126" s="844">
        <f t="shared" si="72"/>
        <v>0</v>
      </c>
      <c r="AZ126" s="844">
        <f t="shared" si="72"/>
        <v>0</v>
      </c>
      <c r="BA126" s="844">
        <f t="shared" si="72"/>
        <v>0</v>
      </c>
      <c r="BB126" s="844">
        <f t="shared" si="72"/>
        <v>0</v>
      </c>
      <c r="BC126" s="844">
        <f t="shared" si="72"/>
        <v>0</v>
      </c>
      <c r="BD126" s="844">
        <f t="shared" ref="BD126:DO126" si="74">SUM(BD117:BD125)</f>
        <v>0</v>
      </c>
      <c r="BE126" s="844">
        <f t="shared" si="74"/>
        <v>0</v>
      </c>
      <c r="BF126" s="844">
        <f t="shared" si="74"/>
        <v>0</v>
      </c>
      <c r="BG126" s="844">
        <f t="shared" si="74"/>
        <v>0</v>
      </c>
      <c r="BH126" s="844">
        <f t="shared" si="74"/>
        <v>0</v>
      </c>
      <c r="BI126" s="844">
        <f t="shared" si="74"/>
        <v>0</v>
      </c>
      <c r="BJ126" s="844">
        <f t="shared" si="74"/>
        <v>0</v>
      </c>
      <c r="BK126" s="844">
        <f t="shared" si="74"/>
        <v>0</v>
      </c>
      <c r="BL126" s="844">
        <f t="shared" si="74"/>
        <v>0</v>
      </c>
      <c r="BM126" s="844">
        <f t="shared" si="74"/>
        <v>0</v>
      </c>
      <c r="BN126" s="844">
        <f t="shared" si="74"/>
        <v>0</v>
      </c>
      <c r="BO126" s="844">
        <f t="shared" si="74"/>
        <v>0</v>
      </c>
      <c r="BP126" s="844">
        <f t="shared" si="74"/>
        <v>0</v>
      </c>
      <c r="BQ126" s="844">
        <f t="shared" si="74"/>
        <v>0</v>
      </c>
      <c r="BR126" s="844">
        <f t="shared" si="74"/>
        <v>0</v>
      </c>
      <c r="BS126" s="844">
        <f t="shared" si="74"/>
        <v>0</v>
      </c>
      <c r="BT126" s="844">
        <f t="shared" si="74"/>
        <v>0</v>
      </c>
      <c r="BU126" s="844">
        <f t="shared" si="74"/>
        <v>0</v>
      </c>
      <c r="BV126" s="844">
        <f t="shared" si="74"/>
        <v>0</v>
      </c>
      <c r="BW126" s="844">
        <f t="shared" si="74"/>
        <v>0</v>
      </c>
      <c r="BX126" s="844">
        <f t="shared" si="74"/>
        <v>0</v>
      </c>
      <c r="BY126" s="844">
        <f t="shared" si="74"/>
        <v>0</v>
      </c>
      <c r="BZ126" s="844">
        <f t="shared" si="74"/>
        <v>0</v>
      </c>
      <c r="CA126" s="844">
        <f t="shared" si="74"/>
        <v>0</v>
      </c>
      <c r="CB126" s="844">
        <f t="shared" si="74"/>
        <v>5.0000000000000001E-3</v>
      </c>
      <c r="CC126" s="844">
        <f t="shared" si="74"/>
        <v>0</v>
      </c>
      <c r="CD126" s="844">
        <f t="shared" si="74"/>
        <v>0</v>
      </c>
      <c r="CE126" s="844">
        <f t="shared" si="74"/>
        <v>0</v>
      </c>
      <c r="CF126" s="844">
        <f t="shared" si="74"/>
        <v>1.8599999999999998E-2</v>
      </c>
      <c r="CG126" s="844">
        <f t="shared" si="74"/>
        <v>0</v>
      </c>
      <c r="CH126" s="844">
        <f t="shared" si="74"/>
        <v>0</v>
      </c>
      <c r="CI126" s="844">
        <f t="shared" si="74"/>
        <v>0</v>
      </c>
      <c r="CJ126" s="844">
        <f t="shared" si="74"/>
        <v>0</v>
      </c>
      <c r="CK126" s="844">
        <f t="shared" si="74"/>
        <v>0</v>
      </c>
      <c r="CL126" s="844">
        <f t="shared" si="74"/>
        <v>0</v>
      </c>
      <c r="CM126" s="844">
        <f t="shared" si="74"/>
        <v>0</v>
      </c>
      <c r="CN126" s="844">
        <f t="shared" si="74"/>
        <v>0</v>
      </c>
      <c r="CO126" s="844">
        <f t="shared" si="74"/>
        <v>0</v>
      </c>
      <c r="CP126" s="844">
        <f t="shared" si="74"/>
        <v>0</v>
      </c>
      <c r="CQ126" s="844">
        <f t="shared" si="74"/>
        <v>3.8000000000000002E-4</v>
      </c>
      <c r="CR126" s="844">
        <f t="shared" si="74"/>
        <v>0</v>
      </c>
      <c r="CS126" s="844">
        <f t="shared" si="74"/>
        <v>0</v>
      </c>
      <c r="CT126" s="844">
        <f t="shared" si="74"/>
        <v>1.6750000000000001E-2</v>
      </c>
      <c r="CU126" s="844">
        <f t="shared" si="74"/>
        <v>0</v>
      </c>
      <c r="CV126" s="844">
        <f t="shared" si="74"/>
        <v>0</v>
      </c>
      <c r="CW126" s="844">
        <f t="shared" si="74"/>
        <v>0</v>
      </c>
      <c r="CX126" s="844">
        <f t="shared" si="74"/>
        <v>0</v>
      </c>
      <c r="CY126" s="844">
        <f t="shared" si="74"/>
        <v>0</v>
      </c>
      <c r="CZ126" s="844">
        <f t="shared" si="74"/>
        <v>2.6599999999999999E-2</v>
      </c>
      <c r="DA126" s="844">
        <f t="shared" si="74"/>
        <v>0</v>
      </c>
      <c r="DB126" s="844">
        <f t="shared" si="74"/>
        <v>0</v>
      </c>
      <c r="DC126" s="844">
        <f t="shared" si="74"/>
        <v>1.1199999999999999E-3</v>
      </c>
      <c r="DD126" s="844">
        <f t="shared" si="74"/>
        <v>0</v>
      </c>
      <c r="DE126" s="844">
        <f t="shared" si="74"/>
        <v>0.02</v>
      </c>
      <c r="DF126" s="844">
        <f t="shared" si="74"/>
        <v>1.26E-2</v>
      </c>
      <c r="DG126" s="844">
        <f t="shared" si="74"/>
        <v>0</v>
      </c>
      <c r="DH126" s="844">
        <f t="shared" si="74"/>
        <v>0</v>
      </c>
      <c r="DI126" s="844">
        <f t="shared" si="74"/>
        <v>0</v>
      </c>
      <c r="DJ126" s="844">
        <f t="shared" si="74"/>
        <v>0</v>
      </c>
      <c r="DK126" s="844">
        <f t="shared" si="74"/>
        <v>0</v>
      </c>
      <c r="DL126" s="844">
        <f t="shared" si="74"/>
        <v>0</v>
      </c>
      <c r="DM126" s="844">
        <f t="shared" si="74"/>
        <v>0</v>
      </c>
      <c r="DN126" s="844">
        <f t="shared" si="74"/>
        <v>0</v>
      </c>
      <c r="DO126" s="844">
        <f t="shared" si="74"/>
        <v>0</v>
      </c>
      <c r="DP126" s="844">
        <f t="shared" ref="DP126:EX126" si="75">SUM(DP117:DP125)</f>
        <v>0</v>
      </c>
      <c r="DQ126" s="844">
        <f t="shared" si="75"/>
        <v>0</v>
      </c>
      <c r="DR126" s="844">
        <f t="shared" si="75"/>
        <v>0</v>
      </c>
      <c r="DS126" s="844">
        <f t="shared" si="75"/>
        <v>0</v>
      </c>
      <c r="DT126" s="844">
        <f t="shared" si="75"/>
        <v>0</v>
      </c>
      <c r="DU126" s="844">
        <f t="shared" si="75"/>
        <v>0</v>
      </c>
      <c r="DV126" s="844">
        <f t="shared" si="75"/>
        <v>0</v>
      </c>
      <c r="DW126" s="844">
        <f t="shared" si="75"/>
        <v>0</v>
      </c>
      <c r="DX126" s="844">
        <f t="shared" si="75"/>
        <v>0</v>
      </c>
      <c r="DY126" s="844">
        <f t="shared" si="75"/>
        <v>0</v>
      </c>
      <c r="DZ126" s="844">
        <f t="shared" si="75"/>
        <v>0</v>
      </c>
      <c r="EA126" s="844">
        <f t="shared" si="75"/>
        <v>0.1</v>
      </c>
      <c r="EB126" s="844">
        <f t="shared" si="75"/>
        <v>0</v>
      </c>
      <c r="EC126" s="844">
        <f t="shared" si="75"/>
        <v>0</v>
      </c>
      <c r="ED126" s="844">
        <f t="shared" si="75"/>
        <v>0</v>
      </c>
      <c r="EE126" s="844">
        <f t="shared" si="75"/>
        <v>0</v>
      </c>
      <c r="EF126" s="844">
        <f t="shared" si="75"/>
        <v>0</v>
      </c>
      <c r="EG126" s="844">
        <f t="shared" si="75"/>
        <v>0</v>
      </c>
      <c r="EH126" s="844">
        <f t="shared" si="75"/>
        <v>0</v>
      </c>
      <c r="EI126" s="844">
        <f t="shared" si="75"/>
        <v>0</v>
      </c>
      <c r="EJ126" s="844">
        <f t="shared" si="75"/>
        <v>0</v>
      </c>
      <c r="EK126" s="844">
        <f t="shared" si="75"/>
        <v>0</v>
      </c>
      <c r="EL126" s="844">
        <f t="shared" si="75"/>
        <v>0</v>
      </c>
      <c r="EM126" s="844">
        <f t="shared" si="75"/>
        <v>0</v>
      </c>
      <c r="EN126" s="844">
        <f t="shared" si="75"/>
        <v>0</v>
      </c>
      <c r="EO126" s="844">
        <f t="shared" si="75"/>
        <v>0</v>
      </c>
      <c r="EP126" s="844">
        <f t="shared" si="75"/>
        <v>0</v>
      </c>
      <c r="EQ126" s="844">
        <f t="shared" si="75"/>
        <v>0</v>
      </c>
      <c r="ER126" s="844">
        <f t="shared" si="75"/>
        <v>0</v>
      </c>
      <c r="ES126" s="844">
        <f t="shared" si="75"/>
        <v>0</v>
      </c>
      <c r="ET126" s="844">
        <f t="shared" si="75"/>
        <v>0</v>
      </c>
      <c r="EU126" s="844">
        <f t="shared" si="75"/>
        <v>0</v>
      </c>
      <c r="EV126" s="844">
        <f t="shared" si="75"/>
        <v>0.02</v>
      </c>
      <c r="EW126" s="844">
        <f t="shared" si="75"/>
        <v>0.03</v>
      </c>
      <c r="EX126" s="844">
        <f t="shared" si="75"/>
        <v>0</v>
      </c>
      <c r="EY126" s="861">
        <f t="shared" ref="EY126:FL126" si="76">SUM(EY117:EY125)</f>
        <v>0.89249999999999996</v>
      </c>
      <c r="EZ126" s="534">
        <f t="shared" si="76"/>
        <v>0</v>
      </c>
      <c r="FA126" s="534">
        <f t="shared" si="76"/>
        <v>0</v>
      </c>
      <c r="FB126" s="534">
        <f t="shared" si="76"/>
        <v>0</v>
      </c>
      <c r="FC126" s="534">
        <f t="shared" si="76"/>
        <v>0</v>
      </c>
      <c r="FD126" s="534">
        <f t="shared" si="76"/>
        <v>0</v>
      </c>
      <c r="FE126" s="534">
        <f t="shared" si="76"/>
        <v>0</v>
      </c>
      <c r="FF126" s="534">
        <f t="shared" si="76"/>
        <v>0</v>
      </c>
      <c r="FG126" s="534">
        <f t="shared" si="76"/>
        <v>0</v>
      </c>
      <c r="FH126" s="534">
        <f t="shared" si="76"/>
        <v>0</v>
      </c>
      <c r="FI126" s="534">
        <f t="shared" si="76"/>
        <v>0</v>
      </c>
      <c r="FJ126" s="534">
        <f t="shared" si="76"/>
        <v>0</v>
      </c>
      <c r="FK126" s="534">
        <f t="shared" si="76"/>
        <v>0</v>
      </c>
      <c r="FL126" s="534">
        <f t="shared" si="76"/>
        <v>0</v>
      </c>
    </row>
    <row r="127" spans="1:168" hidden="1" x14ac:dyDescent="0.25">
      <c r="A127" s="1459" t="s">
        <v>800</v>
      </c>
      <c r="B127" s="115"/>
      <c r="C127" s="704"/>
      <c r="D127" s="431"/>
      <c r="E127" s="431"/>
      <c r="F127" s="431"/>
      <c r="G127" s="250"/>
      <c r="H127" s="704"/>
      <c r="I127" s="431"/>
      <c r="J127" s="473"/>
      <c r="K127" s="473"/>
      <c r="L127" s="473"/>
      <c r="M127" s="473"/>
      <c r="N127" s="473"/>
      <c r="O127" s="473"/>
      <c r="P127" s="473"/>
      <c r="Q127" s="473"/>
      <c r="R127" s="473"/>
      <c r="S127" s="473"/>
      <c r="T127" s="473"/>
      <c r="U127" s="473"/>
      <c r="V127" s="473"/>
      <c r="W127" s="473"/>
      <c r="X127" s="473"/>
      <c r="Y127" s="473"/>
      <c r="Z127" s="473"/>
      <c r="AA127" s="473"/>
      <c r="AB127" s="473"/>
      <c r="AC127" s="473"/>
      <c r="AD127" s="473"/>
      <c r="AE127" s="473"/>
      <c r="AF127" s="473"/>
      <c r="AG127" s="473"/>
      <c r="AH127" s="473"/>
      <c r="AI127" s="473"/>
      <c r="AJ127" s="473"/>
      <c r="AK127" s="473"/>
      <c r="AL127" s="473"/>
      <c r="AM127" s="473"/>
      <c r="AN127" s="473"/>
      <c r="AO127" s="473"/>
      <c r="AP127" s="473"/>
      <c r="AQ127" s="473"/>
      <c r="AR127" s="473"/>
      <c r="AS127" s="473"/>
      <c r="AT127" s="473"/>
      <c r="AU127" s="473"/>
      <c r="AV127" s="473"/>
      <c r="AW127" s="473"/>
      <c r="AX127" s="473"/>
      <c r="AY127" s="473"/>
      <c r="AZ127" s="473"/>
      <c r="BA127" s="473"/>
      <c r="BB127" s="473"/>
      <c r="BC127" s="473"/>
      <c r="BD127" s="473"/>
      <c r="BE127" s="473"/>
      <c r="BF127" s="473"/>
      <c r="BG127" s="473"/>
      <c r="BH127" s="473"/>
      <c r="BI127" s="473"/>
      <c r="BJ127" s="473"/>
      <c r="BK127" s="473"/>
      <c r="BL127" s="473"/>
      <c r="BM127" s="473"/>
      <c r="BN127" s="473"/>
      <c r="BO127" s="473"/>
      <c r="BP127" s="473"/>
      <c r="BQ127" s="473"/>
      <c r="BR127" s="473"/>
      <c r="BS127" s="473"/>
      <c r="BT127" s="473"/>
      <c r="BU127" s="473"/>
      <c r="BV127" s="473"/>
      <c r="BW127" s="473"/>
      <c r="BX127" s="473"/>
      <c r="BY127" s="473"/>
      <c r="BZ127" s="473"/>
      <c r="CA127" s="473"/>
      <c r="CB127" s="473"/>
      <c r="CC127" s="473"/>
      <c r="CD127" s="473"/>
      <c r="CE127" s="473"/>
      <c r="CF127" s="473"/>
      <c r="CG127" s="473"/>
      <c r="CH127" s="473"/>
      <c r="CI127" s="473"/>
      <c r="CJ127" s="473"/>
      <c r="CK127" s="473"/>
      <c r="CL127" s="473"/>
      <c r="CM127" s="473"/>
      <c r="CN127" s="473"/>
      <c r="CO127" s="473"/>
      <c r="CP127" s="473"/>
      <c r="CQ127" s="473"/>
      <c r="CR127" s="473"/>
      <c r="CS127" s="473"/>
      <c r="CT127" s="473"/>
      <c r="CU127" s="473"/>
      <c r="CV127" s="473"/>
      <c r="CW127" s="473"/>
      <c r="CX127" s="473"/>
      <c r="CY127" s="473"/>
      <c r="CZ127" s="473"/>
      <c r="DA127" s="473"/>
      <c r="DB127" s="473"/>
      <c r="DC127" s="473"/>
      <c r="DD127" s="473"/>
      <c r="DE127" s="473"/>
      <c r="DF127" s="473"/>
      <c r="DG127" s="473"/>
      <c r="DH127" s="473"/>
      <c r="DI127" s="473"/>
      <c r="DJ127" s="473"/>
      <c r="DK127" s="473"/>
      <c r="DL127" s="473"/>
      <c r="DM127" s="473"/>
      <c r="DN127" s="473"/>
      <c r="DO127" s="473"/>
      <c r="DP127" s="473"/>
      <c r="DQ127" s="473"/>
      <c r="DR127" s="473"/>
      <c r="DS127" s="473"/>
      <c r="DT127" s="473"/>
      <c r="DU127" s="473"/>
      <c r="DV127" s="473"/>
      <c r="DW127" s="473"/>
      <c r="DX127" s="473"/>
      <c r="DY127" s="473"/>
      <c r="DZ127" s="473"/>
      <c r="EA127" s="473"/>
      <c r="EB127" s="473"/>
      <c r="EC127" s="473"/>
      <c r="ED127" s="473"/>
      <c r="EE127" s="473"/>
      <c r="EF127" s="473"/>
      <c r="EG127" s="473"/>
      <c r="EH127" s="473"/>
      <c r="EI127" s="473"/>
      <c r="EJ127" s="473"/>
      <c r="EK127" s="473"/>
      <c r="EL127" s="473"/>
      <c r="EM127" s="473"/>
      <c r="EN127" s="473"/>
      <c r="EO127" s="473"/>
      <c r="EP127" s="473"/>
      <c r="EQ127" s="473"/>
      <c r="ER127" s="473"/>
      <c r="ES127" s="473"/>
      <c r="ET127" s="473"/>
      <c r="EU127" s="473"/>
      <c r="EV127" s="473"/>
      <c r="EW127" s="473"/>
      <c r="EX127" s="473"/>
      <c r="EY127" s="927">
        <f t="shared" si="71"/>
        <v>0</v>
      </c>
      <c r="EZ127" s="117"/>
      <c r="FA127" s="117"/>
      <c r="FB127" s="117"/>
      <c r="FC127" s="117"/>
      <c r="FD127" s="117"/>
      <c r="FE127" s="117"/>
      <c r="FF127" s="117"/>
      <c r="FG127" s="117"/>
      <c r="FH127" s="117"/>
      <c r="FI127" s="117"/>
      <c r="FJ127" s="117"/>
      <c r="FK127" s="117"/>
      <c r="FL127" s="117"/>
    </row>
    <row r="128" spans="1:168" hidden="1" x14ac:dyDescent="0.25">
      <c r="A128" s="1460"/>
      <c r="B128" s="115"/>
      <c r="C128" s="704"/>
      <c r="D128" s="704"/>
      <c r="E128" s="117"/>
      <c r="F128" s="117"/>
      <c r="G128" s="250"/>
      <c r="H128" s="704"/>
      <c r="I128" s="431"/>
      <c r="J128" s="473"/>
      <c r="K128" s="473"/>
      <c r="L128" s="473"/>
      <c r="M128" s="473"/>
      <c r="N128" s="473"/>
      <c r="O128" s="473"/>
      <c r="P128" s="473"/>
      <c r="Q128" s="473"/>
      <c r="R128" s="473"/>
      <c r="S128" s="473"/>
      <c r="T128" s="473"/>
      <c r="U128" s="473"/>
      <c r="V128" s="473"/>
      <c r="W128" s="473"/>
      <c r="X128" s="473"/>
      <c r="Y128" s="473"/>
      <c r="Z128" s="473"/>
      <c r="AA128" s="473"/>
      <c r="AB128" s="473"/>
      <c r="AC128" s="473"/>
      <c r="AD128" s="473"/>
      <c r="AE128" s="473"/>
      <c r="AF128" s="473"/>
      <c r="AG128" s="473"/>
      <c r="AH128" s="473"/>
      <c r="AI128" s="473"/>
      <c r="AJ128" s="473"/>
      <c r="AK128" s="473"/>
      <c r="AL128" s="473"/>
      <c r="AM128" s="473"/>
      <c r="AN128" s="473"/>
      <c r="AO128" s="473"/>
      <c r="AP128" s="473"/>
      <c r="AQ128" s="473"/>
      <c r="AR128" s="473"/>
      <c r="AS128" s="473"/>
      <c r="AT128" s="473"/>
      <c r="AU128" s="473"/>
      <c r="AV128" s="473"/>
      <c r="AW128" s="473"/>
      <c r="AX128" s="473"/>
      <c r="AY128" s="473"/>
      <c r="AZ128" s="473"/>
      <c r="BA128" s="473"/>
      <c r="BB128" s="473"/>
      <c r="BC128" s="473"/>
      <c r="BD128" s="473"/>
      <c r="BE128" s="473"/>
      <c r="BF128" s="473"/>
      <c r="BG128" s="473"/>
      <c r="BH128" s="473"/>
      <c r="BI128" s="473"/>
      <c r="BJ128" s="473"/>
      <c r="BK128" s="473"/>
      <c r="BL128" s="473"/>
      <c r="BM128" s="473"/>
      <c r="BN128" s="473"/>
      <c r="BO128" s="473"/>
      <c r="BP128" s="473"/>
      <c r="BQ128" s="473"/>
      <c r="BR128" s="473"/>
      <c r="BS128" s="473"/>
      <c r="BT128" s="473"/>
      <c r="BU128" s="473"/>
      <c r="BV128" s="473"/>
      <c r="BW128" s="473"/>
      <c r="BX128" s="473"/>
      <c r="BY128" s="473"/>
      <c r="BZ128" s="473"/>
      <c r="CA128" s="473"/>
      <c r="CB128" s="473"/>
      <c r="CC128" s="473"/>
      <c r="CD128" s="473"/>
      <c r="CE128" s="473"/>
      <c r="CF128" s="473"/>
      <c r="CG128" s="473"/>
      <c r="CH128" s="473"/>
      <c r="CI128" s="473"/>
      <c r="CJ128" s="473"/>
      <c r="CK128" s="473"/>
      <c r="CL128" s="473"/>
      <c r="CM128" s="473"/>
      <c r="CN128" s="473"/>
      <c r="CO128" s="473"/>
      <c r="CP128" s="473"/>
      <c r="CQ128" s="473"/>
      <c r="CR128" s="473"/>
      <c r="CS128" s="473"/>
      <c r="CT128" s="473"/>
      <c r="CU128" s="473"/>
      <c r="CV128" s="473"/>
      <c r="CW128" s="473"/>
      <c r="CX128" s="473"/>
      <c r="CY128" s="473"/>
      <c r="CZ128" s="473"/>
      <c r="DA128" s="473"/>
      <c r="DB128" s="473"/>
      <c r="DC128" s="473"/>
      <c r="DD128" s="473"/>
      <c r="DE128" s="473"/>
      <c r="DF128" s="473"/>
      <c r="DG128" s="473"/>
      <c r="DH128" s="473"/>
      <c r="DI128" s="473"/>
      <c r="DJ128" s="473"/>
      <c r="DK128" s="473"/>
      <c r="DL128" s="473"/>
      <c r="DM128" s="473"/>
      <c r="DN128" s="473"/>
      <c r="DO128" s="473"/>
      <c r="DP128" s="473"/>
      <c r="DQ128" s="473"/>
      <c r="DR128" s="473"/>
      <c r="DS128" s="473"/>
      <c r="DT128" s="473"/>
      <c r="DU128" s="473"/>
      <c r="DV128" s="473"/>
      <c r="DW128" s="473"/>
      <c r="DX128" s="473"/>
      <c r="DY128" s="473"/>
      <c r="DZ128" s="473"/>
      <c r="EA128" s="473"/>
      <c r="EB128" s="473"/>
      <c r="EC128" s="473"/>
      <c r="ED128" s="473"/>
      <c r="EE128" s="473"/>
      <c r="EF128" s="473"/>
      <c r="EG128" s="473"/>
      <c r="EH128" s="473"/>
      <c r="EI128" s="473"/>
      <c r="EJ128" s="473"/>
      <c r="EK128" s="473"/>
      <c r="EL128" s="473"/>
      <c r="EM128" s="473"/>
      <c r="EN128" s="473"/>
      <c r="EO128" s="473"/>
      <c r="EP128" s="473"/>
      <c r="EQ128" s="473"/>
      <c r="ER128" s="473"/>
      <c r="ES128" s="473"/>
      <c r="ET128" s="473"/>
      <c r="EU128" s="473"/>
      <c r="EV128" s="473"/>
      <c r="EW128" s="473"/>
      <c r="EX128" s="473"/>
      <c r="EY128" s="927">
        <f t="shared" si="71"/>
        <v>0</v>
      </c>
      <c r="EZ128" s="117"/>
      <c r="FA128" s="117"/>
      <c r="FB128" s="117"/>
      <c r="FC128" s="117"/>
      <c r="FD128" s="117"/>
      <c r="FE128" s="117"/>
      <c r="FF128" s="117"/>
      <c r="FG128" s="117"/>
      <c r="FH128" s="117"/>
      <c r="FI128" s="117"/>
      <c r="FJ128" s="117"/>
      <c r="FK128" s="117"/>
      <c r="FL128" s="117"/>
    </row>
    <row r="129" spans="1:169" hidden="1" x14ac:dyDescent="0.25">
      <c r="A129" s="1460"/>
      <c r="B129" s="115"/>
      <c r="C129" s="704"/>
      <c r="D129" s="704"/>
      <c r="E129" s="117"/>
      <c r="F129" s="117"/>
      <c r="G129" s="250"/>
      <c r="H129" s="704"/>
      <c r="I129" s="431"/>
      <c r="J129" s="473"/>
      <c r="K129" s="473"/>
      <c r="L129" s="473"/>
      <c r="M129" s="473"/>
      <c r="N129" s="473"/>
      <c r="O129" s="473"/>
      <c r="P129" s="473"/>
      <c r="Q129" s="473"/>
      <c r="R129" s="473"/>
      <c r="S129" s="473"/>
      <c r="T129" s="473"/>
      <c r="U129" s="473"/>
      <c r="V129" s="473"/>
      <c r="W129" s="473"/>
      <c r="X129" s="473"/>
      <c r="Y129" s="473"/>
      <c r="Z129" s="473"/>
      <c r="AA129" s="473"/>
      <c r="AB129" s="473"/>
      <c r="AC129" s="473"/>
      <c r="AD129" s="473"/>
      <c r="AE129" s="473"/>
      <c r="AF129" s="473"/>
      <c r="AG129" s="473"/>
      <c r="AH129" s="473"/>
      <c r="AI129" s="473"/>
      <c r="AJ129" s="473"/>
      <c r="AK129" s="473"/>
      <c r="AL129" s="473"/>
      <c r="AM129" s="473"/>
      <c r="AN129" s="473"/>
      <c r="AO129" s="473"/>
      <c r="AP129" s="473"/>
      <c r="AQ129" s="473"/>
      <c r="AR129" s="473"/>
      <c r="AS129" s="473"/>
      <c r="AT129" s="473"/>
      <c r="AU129" s="473"/>
      <c r="AV129" s="473"/>
      <c r="AW129" s="473"/>
      <c r="AX129" s="473"/>
      <c r="AY129" s="473"/>
      <c r="AZ129" s="473"/>
      <c r="BA129" s="473"/>
      <c r="BB129" s="473"/>
      <c r="BC129" s="473"/>
      <c r="BD129" s="473"/>
      <c r="BE129" s="473"/>
      <c r="BF129" s="473"/>
      <c r="BG129" s="473"/>
      <c r="BH129" s="473"/>
      <c r="BI129" s="473"/>
      <c r="BJ129" s="473"/>
      <c r="BK129" s="473"/>
      <c r="BL129" s="473"/>
      <c r="BM129" s="473"/>
      <c r="BN129" s="473"/>
      <c r="BO129" s="473"/>
      <c r="BP129" s="473"/>
      <c r="BQ129" s="473"/>
      <c r="BR129" s="473"/>
      <c r="BS129" s="473"/>
      <c r="BT129" s="473"/>
      <c r="BU129" s="473"/>
      <c r="BV129" s="473"/>
      <c r="BW129" s="473"/>
      <c r="BX129" s="473"/>
      <c r="BY129" s="473"/>
      <c r="BZ129" s="473"/>
      <c r="CA129" s="473"/>
      <c r="CB129" s="473"/>
      <c r="CC129" s="473"/>
      <c r="CD129" s="473"/>
      <c r="CE129" s="473"/>
      <c r="CF129" s="473"/>
      <c r="CG129" s="473"/>
      <c r="CH129" s="473"/>
      <c r="CI129" s="473"/>
      <c r="CJ129" s="473"/>
      <c r="CK129" s="473"/>
      <c r="CL129" s="473"/>
      <c r="CM129" s="473"/>
      <c r="CN129" s="473"/>
      <c r="CO129" s="473"/>
      <c r="CP129" s="473"/>
      <c r="CQ129" s="473"/>
      <c r="CR129" s="473"/>
      <c r="CS129" s="473"/>
      <c r="CT129" s="473"/>
      <c r="CU129" s="473"/>
      <c r="CV129" s="473"/>
      <c r="CW129" s="473"/>
      <c r="CX129" s="473"/>
      <c r="CY129" s="473"/>
      <c r="CZ129" s="473"/>
      <c r="DA129" s="473"/>
      <c r="DB129" s="473"/>
      <c r="DC129" s="473"/>
      <c r="DD129" s="473"/>
      <c r="DE129" s="473"/>
      <c r="DF129" s="473"/>
      <c r="DG129" s="473"/>
      <c r="DH129" s="473"/>
      <c r="DI129" s="473"/>
      <c r="DJ129" s="473"/>
      <c r="DK129" s="473"/>
      <c r="DL129" s="473"/>
      <c r="DM129" s="473"/>
      <c r="DN129" s="473"/>
      <c r="DO129" s="473"/>
      <c r="DP129" s="473"/>
      <c r="DQ129" s="473"/>
      <c r="DR129" s="473"/>
      <c r="DS129" s="473"/>
      <c r="DT129" s="473"/>
      <c r="DU129" s="473"/>
      <c r="DV129" s="473"/>
      <c r="DW129" s="473"/>
      <c r="DX129" s="473"/>
      <c r="DY129" s="473"/>
      <c r="DZ129" s="473"/>
      <c r="EA129" s="473"/>
      <c r="EB129" s="473"/>
      <c r="EC129" s="473"/>
      <c r="ED129" s="473"/>
      <c r="EE129" s="473"/>
      <c r="EF129" s="473"/>
      <c r="EG129" s="473"/>
      <c r="EH129" s="473"/>
      <c r="EI129" s="473"/>
      <c r="EJ129" s="473"/>
      <c r="EK129" s="473"/>
      <c r="EL129" s="473"/>
      <c r="EM129" s="473"/>
      <c r="EN129" s="473"/>
      <c r="EO129" s="473"/>
      <c r="EP129" s="473"/>
      <c r="EQ129" s="473"/>
      <c r="ER129" s="473"/>
      <c r="ES129" s="473"/>
      <c r="ET129" s="473"/>
      <c r="EU129" s="473"/>
      <c r="EV129" s="473"/>
      <c r="EW129" s="473"/>
      <c r="EX129" s="473"/>
      <c r="EY129" s="927">
        <f t="shared" si="71"/>
        <v>0</v>
      </c>
      <c r="EZ129" s="117"/>
      <c r="FA129" s="117"/>
      <c r="FB129" s="117"/>
      <c r="FC129" s="117"/>
      <c r="FD129" s="117"/>
      <c r="FE129" s="117"/>
      <c r="FF129" s="117"/>
      <c r="FG129" s="117"/>
      <c r="FH129" s="117"/>
      <c r="FI129" s="117"/>
      <c r="FJ129" s="117"/>
      <c r="FK129" s="117"/>
      <c r="FL129" s="117"/>
    </row>
    <row r="130" spans="1:169" hidden="1" x14ac:dyDescent="0.25">
      <c r="A130" s="1460"/>
      <c r="B130" s="115"/>
      <c r="C130" s="704"/>
      <c r="D130" s="704"/>
      <c r="E130" s="117"/>
      <c r="F130" s="117"/>
      <c r="G130" s="250"/>
      <c r="H130" s="704"/>
      <c r="I130" s="431"/>
      <c r="J130" s="473"/>
      <c r="K130" s="473"/>
      <c r="L130" s="473"/>
      <c r="M130" s="473"/>
      <c r="N130" s="473"/>
      <c r="O130" s="473"/>
      <c r="P130" s="473"/>
      <c r="Q130" s="473"/>
      <c r="R130" s="473"/>
      <c r="S130" s="473"/>
      <c r="T130" s="473"/>
      <c r="U130" s="473"/>
      <c r="V130" s="473"/>
      <c r="W130" s="473"/>
      <c r="X130" s="473"/>
      <c r="Y130" s="473"/>
      <c r="Z130" s="473"/>
      <c r="AA130" s="473"/>
      <c r="AB130" s="473"/>
      <c r="AC130" s="473"/>
      <c r="AD130" s="473"/>
      <c r="AE130" s="473"/>
      <c r="AF130" s="473"/>
      <c r="AG130" s="473"/>
      <c r="AH130" s="473"/>
      <c r="AI130" s="473"/>
      <c r="AJ130" s="473"/>
      <c r="AK130" s="473"/>
      <c r="AL130" s="473"/>
      <c r="AM130" s="473"/>
      <c r="AN130" s="473"/>
      <c r="AO130" s="473"/>
      <c r="AP130" s="473"/>
      <c r="AQ130" s="473"/>
      <c r="AR130" s="473"/>
      <c r="AS130" s="473"/>
      <c r="AT130" s="473"/>
      <c r="AU130" s="473"/>
      <c r="AV130" s="473"/>
      <c r="AW130" s="473"/>
      <c r="AX130" s="473"/>
      <c r="AY130" s="473"/>
      <c r="AZ130" s="473"/>
      <c r="BA130" s="473"/>
      <c r="BB130" s="473"/>
      <c r="BC130" s="473"/>
      <c r="BD130" s="473"/>
      <c r="BE130" s="473"/>
      <c r="BF130" s="473"/>
      <c r="BG130" s="473"/>
      <c r="BH130" s="473"/>
      <c r="BI130" s="473"/>
      <c r="BJ130" s="473"/>
      <c r="BK130" s="473"/>
      <c r="BL130" s="473"/>
      <c r="BM130" s="473"/>
      <c r="BN130" s="473"/>
      <c r="BO130" s="473"/>
      <c r="BP130" s="473"/>
      <c r="BQ130" s="473"/>
      <c r="BR130" s="473"/>
      <c r="BS130" s="473"/>
      <c r="BT130" s="473"/>
      <c r="BU130" s="473"/>
      <c r="BV130" s="473"/>
      <c r="BW130" s="473"/>
      <c r="BX130" s="473"/>
      <c r="BY130" s="473"/>
      <c r="BZ130" s="473"/>
      <c r="CA130" s="473"/>
      <c r="CB130" s="473"/>
      <c r="CC130" s="473"/>
      <c r="CD130" s="473"/>
      <c r="CE130" s="473"/>
      <c r="CF130" s="473"/>
      <c r="CG130" s="473"/>
      <c r="CH130" s="473"/>
      <c r="CI130" s="473"/>
      <c r="CJ130" s="473"/>
      <c r="CK130" s="473"/>
      <c r="CL130" s="473"/>
      <c r="CM130" s="473"/>
      <c r="CN130" s="473"/>
      <c r="CO130" s="473"/>
      <c r="CP130" s="473"/>
      <c r="CQ130" s="473"/>
      <c r="CR130" s="473"/>
      <c r="CS130" s="473"/>
      <c r="CT130" s="473"/>
      <c r="CU130" s="473"/>
      <c r="CV130" s="473"/>
      <c r="CW130" s="473"/>
      <c r="CX130" s="473"/>
      <c r="CY130" s="473"/>
      <c r="CZ130" s="473"/>
      <c r="DA130" s="473"/>
      <c r="DB130" s="473"/>
      <c r="DC130" s="473"/>
      <c r="DD130" s="473"/>
      <c r="DE130" s="473"/>
      <c r="DF130" s="473"/>
      <c r="DG130" s="473"/>
      <c r="DH130" s="473"/>
      <c r="DI130" s="473"/>
      <c r="DJ130" s="473"/>
      <c r="DK130" s="473"/>
      <c r="DL130" s="473"/>
      <c r="DM130" s="473"/>
      <c r="DN130" s="473"/>
      <c r="DO130" s="473"/>
      <c r="DP130" s="473"/>
      <c r="DQ130" s="473"/>
      <c r="DR130" s="473"/>
      <c r="DS130" s="473"/>
      <c r="DT130" s="473"/>
      <c r="DU130" s="473"/>
      <c r="DV130" s="473"/>
      <c r="DW130" s="473"/>
      <c r="DX130" s="473"/>
      <c r="DY130" s="473"/>
      <c r="DZ130" s="473"/>
      <c r="EA130" s="473"/>
      <c r="EB130" s="473"/>
      <c r="EC130" s="473"/>
      <c r="ED130" s="473"/>
      <c r="EE130" s="473"/>
      <c r="EF130" s="473"/>
      <c r="EG130" s="473"/>
      <c r="EH130" s="473"/>
      <c r="EI130" s="473"/>
      <c r="EJ130" s="473"/>
      <c r="EK130" s="473"/>
      <c r="EL130" s="473"/>
      <c r="EM130" s="473"/>
      <c r="EN130" s="473"/>
      <c r="EO130" s="473"/>
      <c r="EP130" s="473"/>
      <c r="EQ130" s="473"/>
      <c r="ER130" s="473"/>
      <c r="ES130" s="473"/>
      <c r="ET130" s="473"/>
      <c r="EU130" s="473"/>
      <c r="EV130" s="473"/>
      <c r="EW130" s="473"/>
      <c r="EX130" s="473"/>
      <c r="EY130" s="927">
        <f t="shared" si="71"/>
        <v>0</v>
      </c>
      <c r="EZ130" s="117"/>
      <c r="FA130" s="117"/>
      <c r="FB130" s="117"/>
      <c r="FC130" s="117"/>
      <c r="FD130" s="117"/>
      <c r="FE130" s="117"/>
      <c r="FF130" s="117"/>
      <c r="FG130" s="117"/>
      <c r="FH130" s="117"/>
      <c r="FI130" s="117"/>
      <c r="FJ130" s="117"/>
      <c r="FK130" s="117"/>
      <c r="FL130" s="117"/>
    </row>
    <row r="131" spans="1:169" hidden="1" x14ac:dyDescent="0.25">
      <c r="A131" s="1461"/>
      <c r="B131" s="115"/>
      <c r="C131" s="426"/>
      <c r="D131" s="426"/>
      <c r="E131" s="423"/>
      <c r="F131" s="423"/>
      <c r="G131" s="419"/>
      <c r="H131" s="426"/>
      <c r="I131" s="420"/>
      <c r="J131" s="482"/>
      <c r="K131" s="482"/>
      <c r="L131" s="482"/>
      <c r="M131" s="482"/>
      <c r="N131" s="482"/>
      <c r="O131" s="482"/>
      <c r="P131" s="482"/>
      <c r="Q131" s="482"/>
      <c r="R131" s="482"/>
      <c r="S131" s="482"/>
      <c r="T131" s="482"/>
      <c r="U131" s="482"/>
      <c r="V131" s="482"/>
      <c r="W131" s="482"/>
      <c r="X131" s="482"/>
      <c r="Y131" s="482"/>
      <c r="Z131" s="482"/>
      <c r="AA131" s="482"/>
      <c r="AB131" s="482"/>
      <c r="AC131" s="482"/>
      <c r="AD131" s="482"/>
      <c r="AE131" s="482"/>
      <c r="AF131" s="482"/>
      <c r="AG131" s="482"/>
      <c r="AH131" s="482"/>
      <c r="AI131" s="482"/>
      <c r="AJ131" s="482"/>
      <c r="AK131" s="482"/>
      <c r="AL131" s="482"/>
      <c r="AM131" s="482"/>
      <c r="AN131" s="482"/>
      <c r="AO131" s="482"/>
      <c r="AP131" s="482"/>
      <c r="AQ131" s="482"/>
      <c r="AR131" s="482"/>
      <c r="AS131" s="482"/>
      <c r="AT131" s="482"/>
      <c r="AU131" s="482"/>
      <c r="AV131" s="482"/>
      <c r="AW131" s="482"/>
      <c r="AX131" s="482"/>
      <c r="AY131" s="482"/>
      <c r="AZ131" s="482"/>
      <c r="BA131" s="482"/>
      <c r="BB131" s="482"/>
      <c r="BC131" s="482"/>
      <c r="BD131" s="482"/>
      <c r="BE131" s="482"/>
      <c r="BF131" s="482"/>
      <c r="BG131" s="482"/>
      <c r="BH131" s="482"/>
      <c r="BI131" s="482"/>
      <c r="BJ131" s="482"/>
      <c r="BK131" s="482"/>
      <c r="BL131" s="482"/>
      <c r="BM131" s="482"/>
      <c r="BN131" s="482"/>
      <c r="BO131" s="482"/>
      <c r="BP131" s="482"/>
      <c r="BQ131" s="482"/>
      <c r="BR131" s="482"/>
      <c r="BS131" s="482"/>
      <c r="BT131" s="482"/>
      <c r="BU131" s="482"/>
      <c r="BV131" s="482"/>
      <c r="BW131" s="482"/>
      <c r="BX131" s="482"/>
      <c r="BY131" s="482"/>
      <c r="BZ131" s="482"/>
      <c r="CA131" s="482"/>
      <c r="CB131" s="482"/>
      <c r="CC131" s="482"/>
      <c r="CD131" s="482"/>
      <c r="CE131" s="482"/>
      <c r="CF131" s="482"/>
      <c r="CG131" s="482"/>
      <c r="CH131" s="482"/>
      <c r="CI131" s="482"/>
      <c r="CJ131" s="482"/>
      <c r="CK131" s="482"/>
      <c r="CL131" s="482"/>
      <c r="CM131" s="482"/>
      <c r="CN131" s="482"/>
      <c r="CO131" s="482"/>
      <c r="CP131" s="482"/>
      <c r="CQ131" s="482"/>
      <c r="CR131" s="482"/>
      <c r="CS131" s="482"/>
      <c r="CT131" s="482"/>
      <c r="CU131" s="482"/>
      <c r="CV131" s="482"/>
      <c r="CW131" s="482"/>
      <c r="CX131" s="482"/>
      <c r="CY131" s="482"/>
      <c r="CZ131" s="482"/>
      <c r="DA131" s="482"/>
      <c r="DB131" s="482"/>
      <c r="DC131" s="482"/>
      <c r="DD131" s="482"/>
      <c r="DE131" s="482"/>
      <c r="DF131" s="482"/>
      <c r="DG131" s="482"/>
      <c r="DH131" s="482"/>
      <c r="DI131" s="482"/>
      <c r="DJ131" s="482"/>
      <c r="DK131" s="482"/>
      <c r="DL131" s="482"/>
      <c r="DM131" s="482"/>
      <c r="DN131" s="482"/>
      <c r="DO131" s="482"/>
      <c r="DP131" s="482"/>
      <c r="DQ131" s="482"/>
      <c r="DR131" s="482"/>
      <c r="DS131" s="482"/>
      <c r="DT131" s="482"/>
      <c r="DU131" s="482"/>
      <c r="DV131" s="482"/>
      <c r="DW131" s="482"/>
      <c r="DX131" s="482"/>
      <c r="DY131" s="482"/>
      <c r="DZ131" s="482"/>
      <c r="EA131" s="482"/>
      <c r="EB131" s="482"/>
      <c r="EC131" s="482"/>
      <c r="ED131" s="482"/>
      <c r="EE131" s="482"/>
      <c r="EF131" s="482"/>
      <c r="EG131" s="482"/>
      <c r="EH131" s="482"/>
      <c r="EI131" s="482"/>
      <c r="EJ131" s="482"/>
      <c r="EK131" s="482"/>
      <c r="EL131" s="482"/>
      <c r="EM131" s="482"/>
      <c r="EN131" s="482"/>
      <c r="EO131" s="482"/>
      <c r="EP131" s="482"/>
      <c r="EQ131" s="482"/>
      <c r="ER131" s="482"/>
      <c r="ES131" s="482"/>
      <c r="ET131" s="482"/>
      <c r="EU131" s="482"/>
      <c r="EV131" s="482"/>
      <c r="EW131" s="482"/>
      <c r="EX131" s="482"/>
      <c r="EY131" s="927">
        <f t="shared" si="71"/>
        <v>0</v>
      </c>
      <c r="EZ131" s="423"/>
      <c r="FA131" s="423"/>
      <c r="FB131" s="423"/>
      <c r="FC131" s="423"/>
      <c r="FD131" s="423"/>
      <c r="FE131" s="423"/>
      <c r="FF131" s="423"/>
      <c r="FG131" s="423"/>
      <c r="FH131" s="423"/>
      <c r="FI131" s="423"/>
      <c r="FJ131" s="423"/>
      <c r="FK131" s="423"/>
      <c r="FL131" s="423"/>
    </row>
    <row r="132" spans="1:169" hidden="1" x14ac:dyDescent="0.25">
      <c r="A132" s="120"/>
      <c r="B132" s="118" t="s">
        <v>801</v>
      </c>
      <c r="C132" s="840">
        <f>SUM(C127:C131)</f>
        <v>0</v>
      </c>
      <c r="D132" s="840">
        <f>SUM(D127:D131)</f>
        <v>0</v>
      </c>
      <c r="E132" s="534">
        <f t="shared" ref="E132:BC132" si="77">SUM(E127:E131)</f>
        <v>0</v>
      </c>
      <c r="F132" s="534">
        <f t="shared" si="77"/>
        <v>0</v>
      </c>
      <c r="G132" s="422">
        <f t="shared" si="77"/>
        <v>0</v>
      </c>
      <c r="H132" s="840"/>
      <c r="I132" s="842">
        <f t="shared" ref="I132" si="78">SUM(I127:I131)</f>
        <v>0</v>
      </c>
      <c r="J132" s="844">
        <f t="shared" si="77"/>
        <v>0</v>
      </c>
      <c r="K132" s="844">
        <f t="shared" si="77"/>
        <v>0</v>
      </c>
      <c r="L132" s="844">
        <f t="shared" si="77"/>
        <v>0</v>
      </c>
      <c r="M132" s="844">
        <f t="shared" si="77"/>
        <v>0</v>
      </c>
      <c r="N132" s="844">
        <f t="shared" si="77"/>
        <v>0</v>
      </c>
      <c r="O132" s="844">
        <f t="shared" si="77"/>
        <v>0</v>
      </c>
      <c r="P132" s="844">
        <f t="shared" si="77"/>
        <v>0</v>
      </c>
      <c r="Q132" s="844">
        <f t="shared" si="77"/>
        <v>0</v>
      </c>
      <c r="R132" s="844">
        <f t="shared" si="77"/>
        <v>0</v>
      </c>
      <c r="S132" s="844">
        <f t="shared" si="77"/>
        <v>0</v>
      </c>
      <c r="T132" s="844">
        <f t="shared" si="77"/>
        <v>0</v>
      </c>
      <c r="U132" s="844">
        <f t="shared" si="77"/>
        <v>0</v>
      </c>
      <c r="V132" s="844">
        <f t="shared" si="77"/>
        <v>0</v>
      </c>
      <c r="W132" s="844">
        <f t="shared" si="77"/>
        <v>0</v>
      </c>
      <c r="X132" s="844">
        <f t="shared" si="77"/>
        <v>0</v>
      </c>
      <c r="Y132" s="844">
        <f t="shared" si="77"/>
        <v>0</v>
      </c>
      <c r="Z132" s="844">
        <f t="shared" si="77"/>
        <v>0</v>
      </c>
      <c r="AA132" s="844">
        <f t="shared" si="77"/>
        <v>0</v>
      </c>
      <c r="AB132" s="844">
        <f t="shared" si="77"/>
        <v>0</v>
      </c>
      <c r="AC132" s="844">
        <f t="shared" si="77"/>
        <v>0</v>
      </c>
      <c r="AD132" s="844">
        <f t="shared" si="77"/>
        <v>0</v>
      </c>
      <c r="AE132" s="844">
        <f t="shared" si="77"/>
        <v>0</v>
      </c>
      <c r="AF132" s="844">
        <f t="shared" si="77"/>
        <v>0</v>
      </c>
      <c r="AG132" s="844">
        <f t="shared" si="77"/>
        <v>0</v>
      </c>
      <c r="AH132" s="844">
        <f t="shared" si="77"/>
        <v>0</v>
      </c>
      <c r="AI132" s="844">
        <f t="shared" si="77"/>
        <v>0</v>
      </c>
      <c r="AJ132" s="844">
        <f t="shared" si="77"/>
        <v>0</v>
      </c>
      <c r="AK132" s="844">
        <f t="shared" si="77"/>
        <v>0</v>
      </c>
      <c r="AL132" s="844">
        <f t="shared" si="77"/>
        <v>0</v>
      </c>
      <c r="AM132" s="844">
        <f t="shared" si="77"/>
        <v>0</v>
      </c>
      <c r="AN132" s="844">
        <f t="shared" si="77"/>
        <v>0</v>
      </c>
      <c r="AO132" s="844">
        <f t="shared" si="77"/>
        <v>0</v>
      </c>
      <c r="AP132" s="844">
        <f t="shared" si="77"/>
        <v>0</v>
      </c>
      <c r="AQ132" s="844">
        <f t="shared" si="77"/>
        <v>0</v>
      </c>
      <c r="AR132" s="844">
        <f t="shared" si="77"/>
        <v>0</v>
      </c>
      <c r="AS132" s="844">
        <f t="shared" si="77"/>
        <v>0</v>
      </c>
      <c r="AT132" s="844">
        <f t="shared" si="77"/>
        <v>0</v>
      </c>
      <c r="AU132" s="844">
        <f t="shared" si="77"/>
        <v>0</v>
      </c>
      <c r="AV132" s="844">
        <f t="shared" si="77"/>
        <v>0</v>
      </c>
      <c r="AW132" s="844">
        <f t="shared" si="77"/>
        <v>0</v>
      </c>
      <c r="AX132" s="844">
        <f t="shared" si="77"/>
        <v>0</v>
      </c>
      <c r="AY132" s="844">
        <f t="shared" si="77"/>
        <v>0</v>
      </c>
      <c r="AZ132" s="844">
        <f t="shared" si="77"/>
        <v>0</v>
      </c>
      <c r="BA132" s="844">
        <f t="shared" si="77"/>
        <v>0</v>
      </c>
      <c r="BB132" s="844">
        <f t="shared" si="77"/>
        <v>0</v>
      </c>
      <c r="BC132" s="844">
        <f t="shared" si="77"/>
        <v>0</v>
      </c>
      <c r="BD132" s="844">
        <f t="shared" ref="BD132:DO132" si="79">SUM(BD127:BD131)</f>
        <v>0</v>
      </c>
      <c r="BE132" s="844">
        <f t="shared" si="79"/>
        <v>0</v>
      </c>
      <c r="BF132" s="844">
        <f t="shared" si="79"/>
        <v>0</v>
      </c>
      <c r="BG132" s="844">
        <f t="shared" si="79"/>
        <v>0</v>
      </c>
      <c r="BH132" s="844">
        <f t="shared" si="79"/>
        <v>0</v>
      </c>
      <c r="BI132" s="844">
        <f t="shared" si="79"/>
        <v>0</v>
      </c>
      <c r="BJ132" s="844">
        <f t="shared" si="79"/>
        <v>0</v>
      </c>
      <c r="BK132" s="844">
        <f t="shared" si="79"/>
        <v>0</v>
      </c>
      <c r="BL132" s="844">
        <f t="shared" si="79"/>
        <v>0</v>
      </c>
      <c r="BM132" s="844">
        <f t="shared" si="79"/>
        <v>0</v>
      </c>
      <c r="BN132" s="844">
        <f t="shared" si="79"/>
        <v>0</v>
      </c>
      <c r="BO132" s="844">
        <f t="shared" si="79"/>
        <v>0</v>
      </c>
      <c r="BP132" s="844">
        <f t="shared" si="79"/>
        <v>0</v>
      </c>
      <c r="BQ132" s="844">
        <f t="shared" si="79"/>
        <v>0</v>
      </c>
      <c r="BR132" s="844">
        <f t="shared" si="79"/>
        <v>0</v>
      </c>
      <c r="BS132" s="844">
        <f t="shared" si="79"/>
        <v>0</v>
      </c>
      <c r="BT132" s="844">
        <f t="shared" si="79"/>
        <v>0</v>
      </c>
      <c r="BU132" s="844">
        <f t="shared" si="79"/>
        <v>0</v>
      </c>
      <c r="BV132" s="844">
        <f t="shared" si="79"/>
        <v>0</v>
      </c>
      <c r="BW132" s="844">
        <f t="shared" si="79"/>
        <v>0</v>
      </c>
      <c r="BX132" s="844">
        <f t="shared" si="79"/>
        <v>0</v>
      </c>
      <c r="BY132" s="844">
        <f t="shared" si="79"/>
        <v>0</v>
      </c>
      <c r="BZ132" s="844">
        <f t="shared" si="79"/>
        <v>0</v>
      </c>
      <c r="CA132" s="844">
        <f t="shared" si="79"/>
        <v>0</v>
      </c>
      <c r="CB132" s="844">
        <f t="shared" si="79"/>
        <v>0</v>
      </c>
      <c r="CC132" s="844">
        <f t="shared" si="79"/>
        <v>0</v>
      </c>
      <c r="CD132" s="844">
        <f t="shared" si="79"/>
        <v>0</v>
      </c>
      <c r="CE132" s="844">
        <f t="shared" si="79"/>
        <v>0</v>
      </c>
      <c r="CF132" s="844">
        <f t="shared" si="79"/>
        <v>0</v>
      </c>
      <c r="CG132" s="844">
        <f t="shared" si="79"/>
        <v>0</v>
      </c>
      <c r="CH132" s="844">
        <f t="shared" si="79"/>
        <v>0</v>
      </c>
      <c r="CI132" s="844">
        <f t="shared" si="79"/>
        <v>0</v>
      </c>
      <c r="CJ132" s="844">
        <f t="shared" si="79"/>
        <v>0</v>
      </c>
      <c r="CK132" s="844">
        <f t="shared" si="79"/>
        <v>0</v>
      </c>
      <c r="CL132" s="844">
        <f t="shared" si="79"/>
        <v>0</v>
      </c>
      <c r="CM132" s="844">
        <f t="shared" si="79"/>
        <v>0</v>
      </c>
      <c r="CN132" s="844">
        <f t="shared" si="79"/>
        <v>0</v>
      </c>
      <c r="CO132" s="844">
        <f t="shared" si="79"/>
        <v>0</v>
      </c>
      <c r="CP132" s="844">
        <f t="shared" si="79"/>
        <v>0</v>
      </c>
      <c r="CQ132" s="844">
        <f t="shared" si="79"/>
        <v>0</v>
      </c>
      <c r="CR132" s="844">
        <f t="shared" si="79"/>
        <v>0</v>
      </c>
      <c r="CS132" s="844">
        <f t="shared" si="79"/>
        <v>0</v>
      </c>
      <c r="CT132" s="844">
        <f t="shared" si="79"/>
        <v>0</v>
      </c>
      <c r="CU132" s="844">
        <f t="shared" si="79"/>
        <v>0</v>
      </c>
      <c r="CV132" s="844">
        <f t="shared" si="79"/>
        <v>0</v>
      </c>
      <c r="CW132" s="844">
        <f t="shared" si="79"/>
        <v>0</v>
      </c>
      <c r="CX132" s="844">
        <f t="shared" si="79"/>
        <v>0</v>
      </c>
      <c r="CY132" s="844">
        <f t="shared" si="79"/>
        <v>0</v>
      </c>
      <c r="CZ132" s="844">
        <f t="shared" si="79"/>
        <v>0</v>
      </c>
      <c r="DA132" s="844">
        <f t="shared" si="79"/>
        <v>0</v>
      </c>
      <c r="DB132" s="844">
        <f t="shared" si="79"/>
        <v>0</v>
      </c>
      <c r="DC132" s="844">
        <f t="shared" si="79"/>
        <v>0</v>
      </c>
      <c r="DD132" s="844">
        <f t="shared" si="79"/>
        <v>0</v>
      </c>
      <c r="DE132" s="844">
        <f t="shared" si="79"/>
        <v>0</v>
      </c>
      <c r="DF132" s="844">
        <f t="shared" si="79"/>
        <v>0</v>
      </c>
      <c r="DG132" s="844">
        <f t="shared" si="79"/>
        <v>0</v>
      </c>
      <c r="DH132" s="844">
        <f t="shared" si="79"/>
        <v>0</v>
      </c>
      <c r="DI132" s="844">
        <f t="shared" si="79"/>
        <v>0</v>
      </c>
      <c r="DJ132" s="844">
        <f t="shared" si="79"/>
        <v>0</v>
      </c>
      <c r="DK132" s="844">
        <f t="shared" si="79"/>
        <v>0</v>
      </c>
      <c r="DL132" s="844">
        <f t="shared" si="79"/>
        <v>0</v>
      </c>
      <c r="DM132" s="844">
        <f t="shared" si="79"/>
        <v>0</v>
      </c>
      <c r="DN132" s="844">
        <f t="shared" si="79"/>
        <v>0</v>
      </c>
      <c r="DO132" s="844">
        <f t="shared" si="79"/>
        <v>0</v>
      </c>
      <c r="DP132" s="844">
        <f t="shared" ref="DP132:EX132" si="80">SUM(DP127:DP131)</f>
        <v>0</v>
      </c>
      <c r="DQ132" s="844">
        <f t="shared" si="80"/>
        <v>0</v>
      </c>
      <c r="DR132" s="844">
        <f t="shared" si="80"/>
        <v>0</v>
      </c>
      <c r="DS132" s="844">
        <f t="shared" si="80"/>
        <v>0</v>
      </c>
      <c r="DT132" s="844">
        <f t="shared" si="80"/>
        <v>0</v>
      </c>
      <c r="DU132" s="844">
        <f t="shared" si="80"/>
        <v>0</v>
      </c>
      <c r="DV132" s="844">
        <f t="shared" si="80"/>
        <v>0</v>
      </c>
      <c r="DW132" s="844">
        <f t="shared" si="80"/>
        <v>0</v>
      </c>
      <c r="DX132" s="844">
        <f t="shared" si="80"/>
        <v>0</v>
      </c>
      <c r="DY132" s="844">
        <f t="shared" si="80"/>
        <v>0</v>
      </c>
      <c r="DZ132" s="844">
        <f t="shared" si="80"/>
        <v>0</v>
      </c>
      <c r="EA132" s="844">
        <f t="shared" si="80"/>
        <v>0</v>
      </c>
      <c r="EB132" s="844">
        <f t="shared" si="80"/>
        <v>0</v>
      </c>
      <c r="EC132" s="844">
        <f t="shared" si="80"/>
        <v>0</v>
      </c>
      <c r="ED132" s="844">
        <f t="shared" si="80"/>
        <v>0</v>
      </c>
      <c r="EE132" s="844">
        <f t="shared" si="80"/>
        <v>0</v>
      </c>
      <c r="EF132" s="844">
        <f t="shared" si="80"/>
        <v>0</v>
      </c>
      <c r="EG132" s="844">
        <f t="shared" si="80"/>
        <v>0</v>
      </c>
      <c r="EH132" s="844">
        <f t="shared" si="80"/>
        <v>0</v>
      </c>
      <c r="EI132" s="844">
        <f t="shared" si="80"/>
        <v>0</v>
      </c>
      <c r="EJ132" s="844">
        <f t="shared" si="80"/>
        <v>0</v>
      </c>
      <c r="EK132" s="844">
        <f t="shared" si="80"/>
        <v>0</v>
      </c>
      <c r="EL132" s="844">
        <f t="shared" si="80"/>
        <v>0</v>
      </c>
      <c r="EM132" s="844">
        <f t="shared" si="80"/>
        <v>0</v>
      </c>
      <c r="EN132" s="844">
        <f t="shared" si="80"/>
        <v>0</v>
      </c>
      <c r="EO132" s="844">
        <f t="shared" si="80"/>
        <v>0</v>
      </c>
      <c r="EP132" s="844">
        <f t="shared" si="80"/>
        <v>0</v>
      </c>
      <c r="EQ132" s="844">
        <f t="shared" si="80"/>
        <v>0</v>
      </c>
      <c r="ER132" s="844">
        <f t="shared" si="80"/>
        <v>0</v>
      </c>
      <c r="ES132" s="844">
        <f t="shared" si="80"/>
        <v>0</v>
      </c>
      <c r="ET132" s="844">
        <f t="shared" si="80"/>
        <v>0</v>
      </c>
      <c r="EU132" s="844">
        <f t="shared" si="80"/>
        <v>0</v>
      </c>
      <c r="EV132" s="844">
        <f t="shared" si="80"/>
        <v>0</v>
      </c>
      <c r="EW132" s="844">
        <f t="shared" si="80"/>
        <v>0</v>
      </c>
      <c r="EX132" s="844">
        <f t="shared" si="80"/>
        <v>0</v>
      </c>
      <c r="EY132" s="863">
        <f t="shared" ref="EY132:FL132" si="81">SUM(EY127:EY131)</f>
        <v>0</v>
      </c>
      <c r="EZ132" s="534">
        <f t="shared" si="81"/>
        <v>0</v>
      </c>
      <c r="FA132" s="534">
        <f t="shared" si="81"/>
        <v>0</v>
      </c>
      <c r="FB132" s="534">
        <f t="shared" si="81"/>
        <v>0</v>
      </c>
      <c r="FC132" s="534">
        <f t="shared" si="81"/>
        <v>0</v>
      </c>
      <c r="FD132" s="534">
        <f t="shared" si="81"/>
        <v>0</v>
      </c>
      <c r="FE132" s="534">
        <f t="shared" si="81"/>
        <v>0</v>
      </c>
      <c r="FF132" s="534">
        <f t="shared" si="81"/>
        <v>0</v>
      </c>
      <c r="FG132" s="534">
        <f t="shared" si="81"/>
        <v>0</v>
      </c>
      <c r="FH132" s="534">
        <f t="shared" si="81"/>
        <v>0</v>
      </c>
      <c r="FI132" s="534">
        <f t="shared" si="81"/>
        <v>0</v>
      </c>
      <c r="FJ132" s="534">
        <f t="shared" si="81"/>
        <v>0</v>
      </c>
      <c r="FK132" s="534">
        <f t="shared" si="81"/>
        <v>0</v>
      </c>
      <c r="FL132" s="534">
        <f t="shared" si="81"/>
        <v>0</v>
      </c>
    </row>
    <row r="133" spans="1:169" ht="14.4" thickBot="1" x14ac:dyDescent="0.3">
      <c r="A133" s="411"/>
      <c r="B133" s="461" t="s">
        <v>1212</v>
      </c>
      <c r="C133" s="841">
        <f>C116+C126+C132</f>
        <v>1920</v>
      </c>
      <c r="D133" s="841">
        <f>D116+D126+D132</f>
        <v>45</v>
      </c>
      <c r="E133" s="791">
        <f t="shared" ref="E133:BC133" si="82">E116+E126+E132</f>
        <v>57.74</v>
      </c>
      <c r="F133" s="791">
        <f t="shared" si="82"/>
        <v>206.49</v>
      </c>
      <c r="G133" s="392">
        <f t="shared" si="82"/>
        <v>1531</v>
      </c>
      <c r="H133" s="841"/>
      <c r="I133" s="843">
        <f t="shared" ref="I133" si="83">I116+I126+I132</f>
        <v>207.25</v>
      </c>
      <c r="J133" s="845">
        <f t="shared" si="82"/>
        <v>0</v>
      </c>
      <c r="K133" s="845">
        <f t="shared" si="82"/>
        <v>0</v>
      </c>
      <c r="L133" s="845">
        <f t="shared" si="82"/>
        <v>0</v>
      </c>
      <c r="M133" s="845">
        <f t="shared" si="82"/>
        <v>0</v>
      </c>
      <c r="N133" s="845">
        <f t="shared" si="82"/>
        <v>0</v>
      </c>
      <c r="O133" s="845">
        <f t="shared" si="82"/>
        <v>0</v>
      </c>
      <c r="P133" s="845">
        <f t="shared" si="82"/>
        <v>0</v>
      </c>
      <c r="Q133" s="845">
        <f t="shared" si="82"/>
        <v>0</v>
      </c>
      <c r="R133" s="845">
        <f t="shared" si="82"/>
        <v>0</v>
      </c>
      <c r="S133" s="845">
        <f t="shared" si="82"/>
        <v>0.15820000000000001</v>
      </c>
      <c r="T133" s="845">
        <f t="shared" si="82"/>
        <v>0</v>
      </c>
      <c r="U133" s="845">
        <f t="shared" si="82"/>
        <v>0.1237</v>
      </c>
      <c r="V133" s="845">
        <f t="shared" si="82"/>
        <v>2.5250000000000002E-2</v>
      </c>
      <c r="W133" s="845">
        <f t="shared" si="82"/>
        <v>0</v>
      </c>
      <c r="X133" s="845">
        <f t="shared" si="82"/>
        <v>0</v>
      </c>
      <c r="Y133" s="845">
        <f t="shared" si="82"/>
        <v>5.0000000000000001E-3</v>
      </c>
      <c r="Z133" s="845">
        <f t="shared" si="82"/>
        <v>0</v>
      </c>
      <c r="AA133" s="845">
        <f t="shared" si="82"/>
        <v>0</v>
      </c>
      <c r="AB133" s="845">
        <f t="shared" si="82"/>
        <v>0</v>
      </c>
      <c r="AC133" s="845">
        <f t="shared" si="82"/>
        <v>0</v>
      </c>
      <c r="AD133" s="845">
        <f t="shared" si="82"/>
        <v>0</v>
      </c>
      <c r="AE133" s="845">
        <f t="shared" si="82"/>
        <v>0</v>
      </c>
      <c r="AF133" s="845">
        <f t="shared" si="82"/>
        <v>5.9159999999999997E-2</v>
      </c>
      <c r="AG133" s="845">
        <f t="shared" si="82"/>
        <v>0</v>
      </c>
      <c r="AH133" s="845">
        <f t="shared" si="82"/>
        <v>0.27100000000000002</v>
      </c>
      <c r="AI133" s="845">
        <f t="shared" si="82"/>
        <v>0</v>
      </c>
      <c r="AJ133" s="845">
        <f t="shared" si="82"/>
        <v>0</v>
      </c>
      <c r="AK133" s="845">
        <f t="shared" si="82"/>
        <v>2.98E-2</v>
      </c>
      <c r="AL133" s="845">
        <f t="shared" si="82"/>
        <v>0</v>
      </c>
      <c r="AM133" s="845">
        <f t="shared" si="82"/>
        <v>0</v>
      </c>
      <c r="AN133" s="845">
        <f t="shared" si="82"/>
        <v>0</v>
      </c>
      <c r="AO133" s="845">
        <f t="shared" si="82"/>
        <v>0</v>
      </c>
      <c r="AP133" s="845">
        <f t="shared" si="82"/>
        <v>0</v>
      </c>
      <c r="AQ133" s="845">
        <f t="shared" si="82"/>
        <v>8.2320000000000004E-2</v>
      </c>
      <c r="AR133" s="845">
        <f t="shared" si="82"/>
        <v>0</v>
      </c>
      <c r="AS133" s="845">
        <f t="shared" si="82"/>
        <v>0</v>
      </c>
      <c r="AT133" s="845">
        <f t="shared" si="82"/>
        <v>7.0000000000000001E-3</v>
      </c>
      <c r="AU133" s="845">
        <f t="shared" si="82"/>
        <v>0</v>
      </c>
      <c r="AV133" s="845">
        <f t="shared" si="82"/>
        <v>0</v>
      </c>
      <c r="AW133" s="845">
        <f t="shared" si="82"/>
        <v>0</v>
      </c>
      <c r="AX133" s="845">
        <f t="shared" si="82"/>
        <v>0</v>
      </c>
      <c r="AY133" s="845">
        <f t="shared" si="82"/>
        <v>0</v>
      </c>
      <c r="AZ133" s="845">
        <f t="shared" si="82"/>
        <v>0</v>
      </c>
      <c r="BA133" s="845">
        <f t="shared" si="82"/>
        <v>0</v>
      </c>
      <c r="BB133" s="845">
        <f t="shared" si="82"/>
        <v>0</v>
      </c>
      <c r="BC133" s="845">
        <f t="shared" si="82"/>
        <v>0</v>
      </c>
      <c r="BD133" s="845">
        <f t="shared" ref="BD133:DO133" si="84">BD116+BD126+BD132</f>
        <v>0</v>
      </c>
      <c r="BE133" s="845">
        <f t="shared" si="84"/>
        <v>0</v>
      </c>
      <c r="BF133" s="845">
        <f t="shared" si="84"/>
        <v>0</v>
      </c>
      <c r="BG133" s="845">
        <f t="shared" si="84"/>
        <v>0</v>
      </c>
      <c r="BH133" s="845">
        <f t="shared" si="84"/>
        <v>0</v>
      </c>
      <c r="BI133" s="845">
        <f t="shared" si="84"/>
        <v>0</v>
      </c>
      <c r="BJ133" s="845">
        <f t="shared" si="84"/>
        <v>0</v>
      </c>
      <c r="BK133" s="845">
        <f t="shared" si="84"/>
        <v>0</v>
      </c>
      <c r="BL133" s="845">
        <f t="shared" si="84"/>
        <v>0</v>
      </c>
      <c r="BM133" s="845">
        <f t="shared" si="84"/>
        <v>0</v>
      </c>
      <c r="BN133" s="845">
        <f t="shared" si="84"/>
        <v>0</v>
      </c>
      <c r="BO133" s="845">
        <f t="shared" si="84"/>
        <v>0</v>
      </c>
      <c r="BP133" s="845">
        <f t="shared" si="84"/>
        <v>0</v>
      </c>
      <c r="BQ133" s="845">
        <f t="shared" si="84"/>
        <v>0</v>
      </c>
      <c r="BR133" s="845">
        <f t="shared" si="84"/>
        <v>0</v>
      </c>
      <c r="BS133" s="845">
        <f t="shared" si="84"/>
        <v>0</v>
      </c>
      <c r="BT133" s="845">
        <f t="shared" si="84"/>
        <v>0</v>
      </c>
      <c r="BU133" s="845">
        <f t="shared" si="84"/>
        <v>0</v>
      </c>
      <c r="BV133" s="845">
        <f t="shared" si="84"/>
        <v>0</v>
      </c>
      <c r="BW133" s="845">
        <f t="shared" si="84"/>
        <v>0</v>
      </c>
      <c r="BX133" s="845">
        <f t="shared" si="84"/>
        <v>0</v>
      </c>
      <c r="BY133" s="845">
        <f t="shared" si="84"/>
        <v>0</v>
      </c>
      <c r="BZ133" s="845">
        <f t="shared" si="84"/>
        <v>0</v>
      </c>
      <c r="CA133" s="845">
        <f t="shared" si="84"/>
        <v>0.04</v>
      </c>
      <c r="CB133" s="845">
        <f t="shared" si="84"/>
        <v>5.0000000000000001E-3</v>
      </c>
      <c r="CC133" s="845">
        <f t="shared" si="84"/>
        <v>0</v>
      </c>
      <c r="CD133" s="845">
        <f t="shared" si="84"/>
        <v>0</v>
      </c>
      <c r="CE133" s="845">
        <f t="shared" si="84"/>
        <v>0</v>
      </c>
      <c r="CF133" s="845">
        <f t="shared" si="84"/>
        <v>1.8599999999999998E-2</v>
      </c>
      <c r="CG133" s="845">
        <f t="shared" si="84"/>
        <v>0</v>
      </c>
      <c r="CH133" s="845">
        <f t="shared" si="84"/>
        <v>0</v>
      </c>
      <c r="CI133" s="845">
        <f t="shared" si="84"/>
        <v>0</v>
      </c>
      <c r="CJ133" s="845">
        <f t="shared" si="84"/>
        <v>0</v>
      </c>
      <c r="CK133" s="845">
        <f t="shared" si="84"/>
        <v>0</v>
      </c>
      <c r="CL133" s="845">
        <f t="shared" si="84"/>
        <v>0</v>
      </c>
      <c r="CM133" s="845">
        <f t="shared" si="84"/>
        <v>0</v>
      </c>
      <c r="CN133" s="845">
        <f t="shared" si="84"/>
        <v>0</v>
      </c>
      <c r="CO133" s="845">
        <f t="shared" si="84"/>
        <v>0</v>
      </c>
      <c r="CP133" s="845">
        <f t="shared" si="84"/>
        <v>0</v>
      </c>
      <c r="CQ133" s="845">
        <f t="shared" si="84"/>
        <v>3.8000000000000002E-4</v>
      </c>
      <c r="CR133" s="845">
        <f t="shared" si="84"/>
        <v>0</v>
      </c>
      <c r="CS133" s="845">
        <f t="shared" si="84"/>
        <v>0</v>
      </c>
      <c r="CT133" s="845">
        <f t="shared" si="84"/>
        <v>1.6750000000000001E-2</v>
      </c>
      <c r="CU133" s="845">
        <f t="shared" si="84"/>
        <v>0</v>
      </c>
      <c r="CV133" s="845">
        <f t="shared" si="84"/>
        <v>0</v>
      </c>
      <c r="CW133" s="845">
        <f t="shared" si="84"/>
        <v>0</v>
      </c>
      <c r="CX133" s="845">
        <f t="shared" si="84"/>
        <v>0</v>
      </c>
      <c r="CY133" s="845">
        <f t="shared" si="84"/>
        <v>0</v>
      </c>
      <c r="CZ133" s="845">
        <f t="shared" si="84"/>
        <v>5.7599999999999998E-2</v>
      </c>
      <c r="DA133" s="845">
        <f t="shared" si="84"/>
        <v>0</v>
      </c>
      <c r="DB133" s="845">
        <f t="shared" si="84"/>
        <v>0</v>
      </c>
      <c r="DC133" s="845">
        <f t="shared" si="84"/>
        <v>1.1199999999999999E-3</v>
      </c>
      <c r="DD133" s="845">
        <f t="shared" si="84"/>
        <v>0</v>
      </c>
      <c r="DE133" s="845">
        <f t="shared" si="84"/>
        <v>0.02</v>
      </c>
      <c r="DF133" s="845">
        <f t="shared" si="84"/>
        <v>1.26E-2</v>
      </c>
      <c r="DG133" s="845">
        <f t="shared" si="84"/>
        <v>0</v>
      </c>
      <c r="DH133" s="845">
        <f t="shared" si="84"/>
        <v>0</v>
      </c>
      <c r="DI133" s="845">
        <f t="shared" si="84"/>
        <v>0</v>
      </c>
      <c r="DJ133" s="845">
        <f t="shared" si="84"/>
        <v>0</v>
      </c>
      <c r="DK133" s="845">
        <f t="shared" si="84"/>
        <v>0</v>
      </c>
      <c r="DL133" s="845">
        <f t="shared" si="84"/>
        <v>0</v>
      </c>
      <c r="DM133" s="845">
        <f t="shared" si="84"/>
        <v>0</v>
      </c>
      <c r="DN133" s="845">
        <f t="shared" si="84"/>
        <v>0</v>
      </c>
      <c r="DO133" s="845">
        <f t="shared" si="84"/>
        <v>0</v>
      </c>
      <c r="DP133" s="845">
        <f t="shared" ref="DP133:FL133" si="85">DP116+DP126+DP132</f>
        <v>0</v>
      </c>
      <c r="DQ133" s="845">
        <f t="shared" si="85"/>
        <v>0</v>
      </c>
      <c r="DR133" s="845">
        <f t="shared" si="85"/>
        <v>5.0000000000000001E-4</v>
      </c>
      <c r="DS133" s="845">
        <f t="shared" si="85"/>
        <v>0</v>
      </c>
      <c r="DT133" s="845">
        <f t="shared" si="85"/>
        <v>0</v>
      </c>
      <c r="DU133" s="845">
        <f t="shared" si="85"/>
        <v>0</v>
      </c>
      <c r="DV133" s="845">
        <f t="shared" si="85"/>
        <v>0</v>
      </c>
      <c r="DW133" s="845">
        <f t="shared" si="85"/>
        <v>0</v>
      </c>
      <c r="DX133" s="845">
        <f t="shared" si="85"/>
        <v>0</v>
      </c>
      <c r="DY133" s="845">
        <f t="shared" si="85"/>
        <v>0</v>
      </c>
      <c r="DZ133" s="845">
        <f t="shared" si="85"/>
        <v>0</v>
      </c>
      <c r="EA133" s="845">
        <f t="shared" si="85"/>
        <v>0.1</v>
      </c>
      <c r="EB133" s="845">
        <f t="shared" si="85"/>
        <v>0.5</v>
      </c>
      <c r="EC133" s="845">
        <f t="shared" si="85"/>
        <v>0</v>
      </c>
      <c r="ED133" s="845">
        <f t="shared" si="85"/>
        <v>0</v>
      </c>
      <c r="EE133" s="845">
        <f t="shared" si="85"/>
        <v>0</v>
      </c>
      <c r="EF133" s="845">
        <f t="shared" si="85"/>
        <v>0</v>
      </c>
      <c r="EG133" s="845">
        <f t="shared" si="85"/>
        <v>0</v>
      </c>
      <c r="EH133" s="845">
        <f t="shared" si="85"/>
        <v>0</v>
      </c>
      <c r="EI133" s="845">
        <f t="shared" si="85"/>
        <v>0</v>
      </c>
      <c r="EJ133" s="845">
        <f t="shared" si="85"/>
        <v>0</v>
      </c>
      <c r="EK133" s="845">
        <f t="shared" si="85"/>
        <v>0</v>
      </c>
      <c r="EL133" s="845">
        <f t="shared" si="85"/>
        <v>0</v>
      </c>
      <c r="EM133" s="845">
        <f t="shared" si="85"/>
        <v>0</v>
      </c>
      <c r="EN133" s="845">
        <f t="shared" si="85"/>
        <v>0</v>
      </c>
      <c r="EO133" s="845">
        <f t="shared" si="85"/>
        <v>0</v>
      </c>
      <c r="EP133" s="845">
        <f t="shared" si="85"/>
        <v>0</v>
      </c>
      <c r="EQ133" s="845">
        <f t="shared" si="85"/>
        <v>0</v>
      </c>
      <c r="ER133" s="845">
        <f t="shared" si="85"/>
        <v>0</v>
      </c>
      <c r="ES133" s="845">
        <f t="shared" si="85"/>
        <v>0</v>
      </c>
      <c r="ET133" s="845">
        <f t="shared" si="85"/>
        <v>0</v>
      </c>
      <c r="EU133" s="845">
        <f t="shared" si="85"/>
        <v>0</v>
      </c>
      <c r="EV133" s="845">
        <f t="shared" si="85"/>
        <v>0.02</v>
      </c>
      <c r="EW133" s="845">
        <f t="shared" si="85"/>
        <v>7.0000000000000007E-2</v>
      </c>
      <c r="EX133" s="845">
        <f t="shared" si="85"/>
        <v>0</v>
      </c>
      <c r="EY133" s="767">
        <f t="shared" si="85"/>
        <v>1.6240000000000001</v>
      </c>
      <c r="EZ133" s="791">
        <f t="shared" si="85"/>
        <v>0</v>
      </c>
      <c r="FA133" s="791">
        <f t="shared" si="85"/>
        <v>0</v>
      </c>
      <c r="FB133" s="791">
        <f t="shared" si="85"/>
        <v>0</v>
      </c>
      <c r="FC133" s="791">
        <f t="shared" si="85"/>
        <v>0</v>
      </c>
      <c r="FD133" s="791">
        <f t="shared" si="85"/>
        <v>0</v>
      </c>
      <c r="FE133" s="791">
        <f t="shared" si="85"/>
        <v>0</v>
      </c>
      <c r="FF133" s="791">
        <f t="shared" si="85"/>
        <v>0</v>
      </c>
      <c r="FG133" s="791">
        <f t="shared" si="85"/>
        <v>0</v>
      </c>
      <c r="FH133" s="791">
        <f t="shared" si="85"/>
        <v>0</v>
      </c>
      <c r="FI133" s="791">
        <f t="shared" si="85"/>
        <v>0</v>
      </c>
      <c r="FJ133" s="791">
        <f t="shared" si="85"/>
        <v>0</v>
      </c>
      <c r="FK133" s="791">
        <f t="shared" si="85"/>
        <v>0</v>
      </c>
      <c r="FL133" s="1377">
        <f t="shared" si="85"/>
        <v>0</v>
      </c>
      <c r="FM133" s="1379">
        <f>(I103+I133)/2</f>
        <v>186.33500000000001</v>
      </c>
    </row>
    <row r="134" spans="1:169" hidden="1" x14ac:dyDescent="0.25">
      <c r="A134" s="829"/>
      <c r="B134" s="830" t="s">
        <v>966</v>
      </c>
      <c r="C134" s="846"/>
      <c r="D134" s="856">
        <v>77</v>
      </c>
      <c r="E134" s="856">
        <v>79</v>
      </c>
      <c r="F134" s="856">
        <v>335</v>
      </c>
      <c r="G134" s="846">
        <v>2350</v>
      </c>
      <c r="H134" s="857"/>
      <c r="I134" s="869"/>
      <c r="J134" s="871"/>
      <c r="K134" s="871"/>
      <c r="L134" s="871"/>
      <c r="M134" s="871"/>
      <c r="N134" s="871"/>
      <c r="O134" s="871"/>
      <c r="P134" s="871"/>
      <c r="Q134" s="871"/>
      <c r="R134" s="871"/>
      <c r="S134" s="871"/>
      <c r="T134" s="871"/>
      <c r="U134" s="871"/>
      <c r="V134" s="871"/>
      <c r="W134" s="871"/>
      <c r="X134" s="871"/>
      <c r="Y134" s="871"/>
      <c r="Z134" s="871"/>
      <c r="AA134" s="871"/>
      <c r="AB134" s="871"/>
      <c r="AC134" s="871"/>
      <c r="AD134" s="871"/>
      <c r="AE134" s="871"/>
      <c r="AF134" s="871"/>
      <c r="AG134" s="871"/>
      <c r="AH134" s="871"/>
      <c r="AI134" s="871"/>
      <c r="AJ134" s="871"/>
      <c r="AK134" s="871"/>
      <c r="AL134" s="871"/>
      <c r="AM134" s="871"/>
      <c r="AN134" s="871"/>
      <c r="AO134" s="871"/>
      <c r="AP134" s="871"/>
      <c r="AQ134" s="871"/>
      <c r="AR134" s="871"/>
      <c r="AS134" s="871"/>
      <c r="AT134" s="871"/>
      <c r="AU134" s="871"/>
      <c r="AV134" s="871"/>
      <c r="AW134" s="871"/>
      <c r="AX134" s="871"/>
      <c r="AY134" s="871"/>
      <c r="AZ134" s="871"/>
      <c r="BA134" s="871"/>
      <c r="BB134" s="871"/>
      <c r="BC134" s="871"/>
      <c r="BD134" s="871"/>
      <c r="BE134" s="871"/>
      <c r="BF134" s="871"/>
      <c r="BG134" s="871"/>
      <c r="BH134" s="871"/>
      <c r="BI134" s="871"/>
      <c r="BJ134" s="871"/>
      <c r="BK134" s="871"/>
      <c r="BL134" s="871"/>
      <c r="BM134" s="871"/>
      <c r="BN134" s="871"/>
      <c r="BO134" s="871"/>
      <c r="BP134" s="871"/>
      <c r="BQ134" s="871"/>
      <c r="BR134" s="871"/>
      <c r="BS134" s="871"/>
      <c r="BT134" s="871"/>
      <c r="BU134" s="871"/>
      <c r="BV134" s="871"/>
      <c r="BW134" s="871"/>
      <c r="BX134" s="871"/>
      <c r="BY134" s="871"/>
      <c r="BZ134" s="871"/>
      <c r="CA134" s="871"/>
      <c r="CB134" s="871"/>
      <c r="CC134" s="871"/>
      <c r="CD134" s="871"/>
      <c r="CE134" s="871"/>
      <c r="CF134" s="871"/>
      <c r="CG134" s="871"/>
      <c r="CH134" s="871"/>
      <c r="CI134" s="871"/>
      <c r="CJ134" s="871"/>
      <c r="CK134" s="871"/>
      <c r="CL134" s="871"/>
      <c r="CM134" s="871"/>
      <c r="CN134" s="871"/>
      <c r="CO134" s="871"/>
      <c r="CP134" s="871"/>
      <c r="CQ134" s="871"/>
      <c r="CR134" s="871"/>
      <c r="CS134" s="871"/>
      <c r="CT134" s="871"/>
      <c r="CU134" s="871"/>
      <c r="CV134" s="871"/>
      <c r="CW134" s="871"/>
      <c r="CX134" s="871"/>
      <c r="CY134" s="871"/>
      <c r="CZ134" s="871"/>
      <c r="DA134" s="871"/>
      <c r="DB134" s="871"/>
      <c r="DC134" s="871"/>
      <c r="DD134" s="871"/>
      <c r="DE134" s="871"/>
      <c r="DF134" s="871"/>
      <c r="DG134" s="871"/>
      <c r="DH134" s="871"/>
      <c r="DI134" s="871"/>
      <c r="DJ134" s="871"/>
      <c r="DK134" s="871"/>
      <c r="DL134" s="871"/>
      <c r="DM134" s="871"/>
      <c r="DN134" s="871"/>
      <c r="DO134" s="871"/>
      <c r="DP134" s="871"/>
      <c r="DQ134" s="871"/>
      <c r="DR134" s="871"/>
      <c r="DS134" s="871"/>
      <c r="DT134" s="871"/>
      <c r="DU134" s="871"/>
      <c r="DV134" s="871"/>
      <c r="DW134" s="871"/>
      <c r="DX134" s="871"/>
      <c r="DY134" s="871"/>
      <c r="DZ134" s="871"/>
      <c r="EA134" s="871"/>
      <c r="EB134" s="871"/>
      <c r="EC134" s="871"/>
      <c r="ED134" s="871"/>
      <c r="EE134" s="871"/>
      <c r="EF134" s="871"/>
      <c r="EG134" s="871"/>
      <c r="EH134" s="871"/>
      <c r="EI134" s="871"/>
      <c r="EJ134" s="871"/>
      <c r="EK134" s="871"/>
      <c r="EL134" s="871"/>
      <c r="EM134" s="871"/>
      <c r="EN134" s="871"/>
      <c r="EO134" s="871"/>
      <c r="EP134" s="871"/>
      <c r="EQ134" s="871"/>
      <c r="ER134" s="871"/>
      <c r="ES134" s="871"/>
      <c r="ET134" s="871"/>
      <c r="EU134" s="871"/>
      <c r="EV134" s="871"/>
      <c r="EW134" s="871"/>
      <c r="EX134" s="871"/>
      <c r="EY134" s="871"/>
      <c r="EZ134" s="856">
        <v>1.2</v>
      </c>
      <c r="FA134" s="856">
        <v>1.4</v>
      </c>
      <c r="FB134" s="856">
        <v>60</v>
      </c>
      <c r="FC134" s="856">
        <v>700</v>
      </c>
      <c r="FD134" s="856">
        <v>10</v>
      </c>
      <c r="FE134" s="856">
        <v>1100</v>
      </c>
      <c r="FF134" s="856">
        <v>1100</v>
      </c>
      <c r="FG134" s="856">
        <v>250</v>
      </c>
      <c r="FH134" s="856">
        <v>1100</v>
      </c>
      <c r="FI134" s="856">
        <v>12</v>
      </c>
      <c r="FJ134" s="856">
        <v>10</v>
      </c>
      <c r="FK134" s="856">
        <v>0.1</v>
      </c>
      <c r="FL134" s="856">
        <v>0</v>
      </c>
    </row>
    <row r="135" spans="1:169" hidden="1" x14ac:dyDescent="0.25">
      <c r="A135" s="829"/>
      <c r="B135" s="830" t="s">
        <v>965</v>
      </c>
      <c r="C135" s="846"/>
      <c r="D135" s="856">
        <f>D133-D134</f>
        <v>-32</v>
      </c>
      <c r="E135" s="856">
        <f>E133-E134</f>
        <v>-21.26</v>
      </c>
      <c r="F135" s="856">
        <f t="shared" ref="F135:G135" si="86">F133-F134</f>
        <v>-128.51</v>
      </c>
      <c r="G135" s="846">
        <f t="shared" si="86"/>
        <v>-819</v>
      </c>
      <c r="H135" s="857"/>
      <c r="I135" s="857"/>
      <c r="J135" s="857"/>
      <c r="K135" s="857"/>
      <c r="L135" s="857"/>
      <c r="M135" s="857"/>
      <c r="N135" s="857"/>
      <c r="O135" s="857"/>
      <c r="P135" s="857"/>
      <c r="Q135" s="857"/>
      <c r="R135" s="857"/>
      <c r="S135" s="857"/>
      <c r="T135" s="857"/>
      <c r="U135" s="857"/>
      <c r="V135" s="857"/>
      <c r="W135" s="857"/>
      <c r="X135" s="857"/>
      <c r="Y135" s="857"/>
      <c r="Z135" s="857"/>
      <c r="AA135" s="857"/>
      <c r="AB135" s="857"/>
      <c r="AC135" s="857"/>
      <c r="AD135" s="857"/>
      <c r="AE135" s="857"/>
      <c r="AF135" s="857"/>
      <c r="AG135" s="857"/>
      <c r="AH135" s="857"/>
      <c r="AI135" s="857"/>
      <c r="AJ135" s="857"/>
      <c r="AK135" s="857"/>
      <c r="AL135" s="857"/>
      <c r="AM135" s="857"/>
      <c r="AN135" s="857"/>
      <c r="AO135" s="857"/>
      <c r="AP135" s="857"/>
      <c r="AQ135" s="857"/>
      <c r="AR135" s="857"/>
      <c r="AS135" s="857"/>
      <c r="AT135" s="857"/>
      <c r="AU135" s="857"/>
      <c r="AV135" s="857"/>
      <c r="AW135" s="857"/>
      <c r="AX135" s="857"/>
      <c r="AY135" s="857"/>
      <c r="AZ135" s="857"/>
      <c r="BA135" s="857"/>
      <c r="BB135" s="857"/>
      <c r="BC135" s="857"/>
      <c r="BD135" s="857"/>
      <c r="BE135" s="857"/>
      <c r="BF135" s="857"/>
      <c r="BG135" s="857"/>
      <c r="BH135" s="857"/>
      <c r="BI135" s="857"/>
      <c r="BJ135" s="857"/>
      <c r="BK135" s="857"/>
      <c r="BL135" s="857"/>
      <c r="BM135" s="857"/>
      <c r="BN135" s="857"/>
      <c r="BO135" s="857"/>
      <c r="BP135" s="857"/>
      <c r="BQ135" s="857"/>
      <c r="BR135" s="857"/>
      <c r="BS135" s="857"/>
      <c r="BT135" s="857"/>
      <c r="BU135" s="857"/>
      <c r="BV135" s="857"/>
      <c r="BW135" s="857"/>
      <c r="BX135" s="857"/>
      <c r="BY135" s="857"/>
      <c r="BZ135" s="857"/>
      <c r="CA135" s="857"/>
      <c r="CB135" s="857"/>
      <c r="CC135" s="857"/>
      <c r="CD135" s="857"/>
      <c r="CE135" s="857"/>
      <c r="CF135" s="857"/>
      <c r="CG135" s="857"/>
      <c r="CH135" s="857"/>
      <c r="CI135" s="857"/>
      <c r="CJ135" s="857"/>
      <c r="CK135" s="857"/>
      <c r="CL135" s="857"/>
      <c r="CM135" s="857"/>
      <c r="CN135" s="857"/>
      <c r="CO135" s="857"/>
      <c r="CP135" s="857"/>
      <c r="CQ135" s="857"/>
      <c r="CR135" s="857"/>
      <c r="CS135" s="857"/>
      <c r="CT135" s="857"/>
      <c r="CU135" s="857"/>
      <c r="CV135" s="857"/>
      <c r="CW135" s="857"/>
      <c r="CX135" s="857"/>
      <c r="CY135" s="857"/>
      <c r="CZ135" s="857"/>
      <c r="DA135" s="857"/>
      <c r="DB135" s="857"/>
      <c r="DC135" s="857"/>
      <c r="DD135" s="857"/>
      <c r="DE135" s="857"/>
      <c r="DF135" s="857"/>
      <c r="DG135" s="857"/>
      <c r="DH135" s="857"/>
      <c r="DI135" s="857"/>
      <c r="DJ135" s="857"/>
      <c r="DK135" s="857"/>
      <c r="DL135" s="857"/>
      <c r="DM135" s="857"/>
      <c r="DN135" s="857"/>
      <c r="DO135" s="857"/>
      <c r="DP135" s="857"/>
      <c r="DQ135" s="857"/>
      <c r="DR135" s="857"/>
      <c r="DS135" s="857"/>
      <c r="DT135" s="857"/>
      <c r="DU135" s="857"/>
      <c r="DV135" s="857"/>
      <c r="DW135" s="857"/>
      <c r="DX135" s="857"/>
      <c r="DY135" s="857"/>
      <c r="DZ135" s="857"/>
      <c r="EA135" s="857"/>
      <c r="EB135" s="857"/>
      <c r="EC135" s="857"/>
      <c r="ED135" s="857"/>
      <c r="EE135" s="857"/>
      <c r="EF135" s="857"/>
      <c r="EG135" s="857"/>
      <c r="EH135" s="857"/>
      <c r="EI135" s="857"/>
      <c r="EJ135" s="857"/>
      <c r="EK135" s="857"/>
      <c r="EL135" s="857"/>
      <c r="EM135" s="857"/>
      <c r="EN135" s="857"/>
      <c r="EO135" s="857"/>
      <c r="EP135" s="857"/>
      <c r="EQ135" s="857"/>
      <c r="ER135" s="857"/>
      <c r="ES135" s="857"/>
      <c r="ET135" s="857"/>
      <c r="EU135" s="857"/>
      <c r="EV135" s="857"/>
      <c r="EW135" s="857"/>
      <c r="EX135" s="857"/>
      <c r="EY135" s="871"/>
      <c r="EZ135" s="856">
        <f t="shared" ref="EZ135:FL135" si="87">EZ133-EZ134</f>
        <v>-1.2</v>
      </c>
      <c r="FA135" s="856">
        <f t="shared" si="87"/>
        <v>-1.4</v>
      </c>
      <c r="FB135" s="856">
        <f t="shared" si="87"/>
        <v>-60</v>
      </c>
      <c r="FC135" s="856">
        <f t="shared" si="87"/>
        <v>-700</v>
      </c>
      <c r="FD135" s="856">
        <f t="shared" si="87"/>
        <v>-10</v>
      </c>
      <c r="FE135" s="856">
        <f t="shared" si="87"/>
        <v>-1100</v>
      </c>
      <c r="FF135" s="856">
        <f t="shared" si="87"/>
        <v>-1100</v>
      </c>
      <c r="FG135" s="856">
        <f t="shared" si="87"/>
        <v>-250</v>
      </c>
      <c r="FH135" s="856">
        <f t="shared" si="87"/>
        <v>-1100</v>
      </c>
      <c r="FI135" s="856">
        <f t="shared" si="87"/>
        <v>-12</v>
      </c>
      <c r="FJ135" s="856">
        <f t="shared" si="87"/>
        <v>-10</v>
      </c>
      <c r="FK135" s="856">
        <f t="shared" si="87"/>
        <v>-0.1</v>
      </c>
      <c r="FL135" s="856">
        <f t="shared" si="87"/>
        <v>0</v>
      </c>
    </row>
    <row r="136" spans="1:169" ht="19.95" customHeight="1" x14ac:dyDescent="0.25">
      <c r="A136" s="557"/>
      <c r="B136" s="555" t="s">
        <v>1227</v>
      </c>
      <c r="C136" s="858"/>
      <c r="D136" s="858"/>
      <c r="E136" s="377"/>
      <c r="F136" s="377"/>
      <c r="G136" s="377"/>
      <c r="H136" s="858"/>
      <c r="I136" s="688"/>
      <c r="J136" s="872"/>
      <c r="K136" s="872"/>
      <c r="L136" s="872"/>
      <c r="M136" s="872"/>
      <c r="N136" s="872"/>
      <c r="O136" s="872"/>
      <c r="P136" s="872"/>
      <c r="Q136" s="872"/>
      <c r="R136" s="872"/>
      <c r="S136" s="872"/>
      <c r="T136" s="872"/>
      <c r="U136" s="872"/>
      <c r="V136" s="872"/>
      <c r="W136" s="872"/>
      <c r="X136" s="872"/>
      <c r="Y136" s="872"/>
      <c r="Z136" s="872"/>
      <c r="AA136" s="872"/>
      <c r="AB136" s="872"/>
      <c r="AC136" s="872"/>
      <c r="AD136" s="872"/>
      <c r="AE136" s="872"/>
      <c r="AF136" s="872"/>
      <c r="AG136" s="872"/>
      <c r="AH136" s="872"/>
      <c r="AI136" s="872"/>
      <c r="AJ136" s="872"/>
      <c r="AK136" s="872"/>
      <c r="AL136" s="872"/>
      <c r="AM136" s="872"/>
      <c r="AN136" s="872"/>
      <c r="AO136" s="872"/>
      <c r="AP136" s="872"/>
      <c r="AQ136" s="872"/>
      <c r="AR136" s="872"/>
      <c r="AS136" s="872"/>
      <c r="AT136" s="872"/>
      <c r="AU136" s="872"/>
      <c r="AV136" s="872"/>
      <c r="AW136" s="872"/>
      <c r="AX136" s="872"/>
      <c r="AY136" s="872"/>
      <c r="AZ136" s="872"/>
      <c r="BA136" s="872"/>
      <c r="BB136" s="872"/>
      <c r="BC136" s="872"/>
      <c r="BD136" s="872"/>
      <c r="BE136" s="872"/>
      <c r="BF136" s="872"/>
      <c r="BG136" s="872"/>
      <c r="BH136" s="872"/>
      <c r="BI136" s="872"/>
      <c r="BJ136" s="872"/>
      <c r="BK136" s="872"/>
      <c r="BL136" s="872"/>
      <c r="BM136" s="872"/>
      <c r="BN136" s="872"/>
      <c r="BO136" s="872"/>
      <c r="BP136" s="872"/>
      <c r="BQ136" s="872"/>
      <c r="BR136" s="872"/>
      <c r="BS136" s="872"/>
      <c r="BT136" s="872"/>
      <c r="BU136" s="872"/>
      <c r="BV136" s="872"/>
      <c r="BW136" s="872"/>
      <c r="BX136" s="872"/>
      <c r="BY136" s="872"/>
      <c r="BZ136" s="872"/>
      <c r="CA136" s="872"/>
      <c r="CB136" s="872"/>
      <c r="CC136" s="872"/>
      <c r="CD136" s="872"/>
      <c r="CE136" s="872"/>
      <c r="CF136" s="872"/>
      <c r="CG136" s="872"/>
      <c r="CH136" s="872"/>
      <c r="CI136" s="872"/>
      <c r="CJ136" s="872"/>
      <c r="CK136" s="872"/>
      <c r="CL136" s="872"/>
      <c r="CM136" s="872"/>
      <c r="CN136" s="872"/>
      <c r="CO136" s="872"/>
      <c r="CP136" s="872"/>
      <c r="CQ136" s="872"/>
      <c r="CR136" s="872"/>
      <c r="CS136" s="872"/>
      <c r="CT136" s="872"/>
      <c r="CU136" s="872"/>
      <c r="CV136" s="872"/>
      <c r="CW136" s="872"/>
      <c r="CX136" s="872"/>
      <c r="CY136" s="872"/>
      <c r="CZ136" s="872"/>
      <c r="DA136" s="872"/>
      <c r="DB136" s="872"/>
      <c r="DC136" s="872"/>
      <c r="DD136" s="872"/>
      <c r="DE136" s="872"/>
      <c r="DF136" s="872"/>
      <c r="DG136" s="872"/>
      <c r="DH136" s="872"/>
      <c r="DI136" s="872"/>
      <c r="DJ136" s="872"/>
      <c r="DK136" s="872"/>
      <c r="DL136" s="872"/>
      <c r="DM136" s="872"/>
      <c r="DN136" s="872"/>
      <c r="DO136" s="872"/>
      <c r="DP136" s="872"/>
      <c r="DQ136" s="872"/>
      <c r="DR136" s="872"/>
      <c r="DS136" s="872"/>
      <c r="DT136" s="872"/>
      <c r="DU136" s="872"/>
      <c r="DV136" s="872"/>
      <c r="DW136" s="872"/>
      <c r="DX136" s="872"/>
      <c r="DY136" s="872"/>
      <c r="DZ136" s="872"/>
      <c r="EA136" s="872"/>
      <c r="EB136" s="872"/>
      <c r="EC136" s="872"/>
      <c r="ED136" s="872"/>
      <c r="EE136" s="872"/>
      <c r="EF136" s="872"/>
      <c r="EG136" s="872"/>
      <c r="EH136" s="872"/>
      <c r="EI136" s="872"/>
      <c r="EJ136" s="872"/>
      <c r="EK136" s="872"/>
      <c r="EL136" s="872"/>
      <c r="EM136" s="872"/>
      <c r="EN136" s="872"/>
      <c r="EO136" s="872"/>
      <c r="EP136" s="872"/>
      <c r="EQ136" s="872"/>
      <c r="ER136" s="872"/>
      <c r="ES136" s="872"/>
      <c r="ET136" s="872"/>
      <c r="EU136" s="872"/>
      <c r="EV136" s="872"/>
      <c r="EW136" s="872"/>
      <c r="EX136" s="872"/>
      <c r="EY136" s="694"/>
      <c r="EZ136" s="377"/>
      <c r="FA136" s="377"/>
      <c r="FB136" s="377"/>
      <c r="FC136" s="377"/>
      <c r="FD136" s="377"/>
      <c r="FE136" s="377"/>
      <c r="FF136" s="377"/>
      <c r="FG136" s="377"/>
      <c r="FH136" s="377"/>
      <c r="FI136" s="377"/>
      <c r="FJ136" s="377"/>
      <c r="FK136" s="377"/>
      <c r="FL136" s="377"/>
    </row>
    <row r="137" spans="1:169" ht="13.95" customHeight="1" x14ac:dyDescent="0.25">
      <c r="A137" s="1459" t="s">
        <v>109</v>
      </c>
      <c r="B137" s="115" t="str">
        <f>блюда!B326</f>
        <v>Каша молочная "Дружба"</v>
      </c>
      <c r="C137" s="250">
        <f>блюда!C326</f>
        <v>250</v>
      </c>
      <c r="D137" s="431">
        <f>блюда!D326</f>
        <v>6.38</v>
      </c>
      <c r="E137" s="431">
        <f>блюда!E326</f>
        <v>13.63</v>
      </c>
      <c r="F137" s="431">
        <f>блюда!F326</f>
        <v>31.25</v>
      </c>
      <c r="G137" s="250">
        <f>блюда!G326</f>
        <v>271</v>
      </c>
      <c r="H137" s="1380" t="str">
        <f>блюда!H326</f>
        <v>54-16к-2020</v>
      </c>
      <c r="I137" s="431">
        <f>блюда!I326</f>
        <v>17.52</v>
      </c>
      <c r="J137" s="473">
        <f>блюда!J326</f>
        <v>0</v>
      </c>
      <c r="K137" s="473">
        <f>блюда!K326</f>
        <v>0</v>
      </c>
      <c r="L137" s="473">
        <f>блюда!L326</f>
        <v>0</v>
      </c>
      <c r="M137" s="473">
        <f>блюда!M326</f>
        <v>0</v>
      </c>
      <c r="N137" s="473">
        <f>блюда!N326</f>
        <v>0</v>
      </c>
      <c r="O137" s="473">
        <f>блюда!O326</f>
        <v>0</v>
      </c>
      <c r="P137" s="473">
        <f>блюда!P326</f>
        <v>0</v>
      </c>
      <c r="Q137" s="473">
        <f>блюда!Q326</f>
        <v>0</v>
      </c>
      <c r="R137" s="473">
        <f>блюда!R326</f>
        <v>0</v>
      </c>
      <c r="S137" s="473">
        <f>блюда!S326</f>
        <v>0</v>
      </c>
      <c r="T137" s="473">
        <f>блюда!T326</f>
        <v>0</v>
      </c>
      <c r="U137" s="473">
        <f>блюда!U326</f>
        <v>0.128</v>
      </c>
      <c r="V137" s="473">
        <f>блюда!V326</f>
        <v>6.0000000000000001E-3</v>
      </c>
      <c r="W137" s="473">
        <f>блюда!W326</f>
        <v>0</v>
      </c>
      <c r="X137" s="473">
        <f>блюда!X326</f>
        <v>0</v>
      </c>
      <c r="Y137" s="473">
        <f>блюда!Y326</f>
        <v>0</v>
      </c>
      <c r="Z137" s="473">
        <f>блюда!Z326</f>
        <v>0</v>
      </c>
      <c r="AA137" s="473">
        <f>блюда!AA326</f>
        <v>0</v>
      </c>
      <c r="AB137" s="473">
        <f>блюда!AB326</f>
        <v>0</v>
      </c>
      <c r="AC137" s="473">
        <f>блюда!AC326</f>
        <v>0</v>
      </c>
      <c r="AD137" s="473">
        <f>блюда!AD326</f>
        <v>0</v>
      </c>
      <c r="AE137" s="473">
        <f>блюда!AE326</f>
        <v>0</v>
      </c>
      <c r="AF137" s="473">
        <f>блюда!AF326</f>
        <v>0</v>
      </c>
      <c r="AG137" s="473">
        <f>блюда!AG326</f>
        <v>0</v>
      </c>
      <c r="AH137" s="473">
        <f>блюда!AH326</f>
        <v>0</v>
      </c>
      <c r="AI137" s="473">
        <f>блюда!AI326</f>
        <v>0</v>
      </c>
      <c r="AJ137" s="473">
        <f>блюда!AJ326</f>
        <v>0</v>
      </c>
      <c r="AK137" s="473">
        <f>блюда!AK326</f>
        <v>0</v>
      </c>
      <c r="AL137" s="473">
        <f>блюда!AL326</f>
        <v>0</v>
      </c>
      <c r="AM137" s="473">
        <f>блюда!AM326</f>
        <v>0</v>
      </c>
      <c r="AN137" s="473">
        <f>блюда!AN326</f>
        <v>0</v>
      </c>
      <c r="AO137" s="473">
        <f>блюда!AO326</f>
        <v>0</v>
      </c>
      <c r="AP137" s="473">
        <f>блюда!AP326</f>
        <v>0</v>
      </c>
      <c r="AQ137" s="473">
        <f>блюда!AQ326</f>
        <v>0</v>
      </c>
      <c r="AR137" s="473">
        <f>блюда!AR326</f>
        <v>0</v>
      </c>
      <c r="AS137" s="473">
        <f>блюда!AS326</f>
        <v>0</v>
      </c>
      <c r="AT137" s="473">
        <f>блюда!AT326</f>
        <v>0</v>
      </c>
      <c r="AU137" s="473">
        <f>блюда!AU326</f>
        <v>0</v>
      </c>
      <c r="AV137" s="473">
        <f>блюда!AV326</f>
        <v>0</v>
      </c>
      <c r="AW137" s="473">
        <f>блюда!AW326</f>
        <v>0</v>
      </c>
      <c r="AX137" s="473">
        <f>блюда!AX326</f>
        <v>0</v>
      </c>
      <c r="AY137" s="473">
        <f>блюда!AY326</f>
        <v>0</v>
      </c>
      <c r="AZ137" s="473">
        <f>блюда!AZ326</f>
        <v>0</v>
      </c>
      <c r="BA137" s="473">
        <f>блюда!BA326</f>
        <v>0</v>
      </c>
      <c r="BB137" s="473">
        <f>блюда!BB326</f>
        <v>0</v>
      </c>
      <c r="BC137" s="473">
        <f>блюда!BC326</f>
        <v>0</v>
      </c>
      <c r="BD137" s="473">
        <f>блюда!BD326</f>
        <v>0</v>
      </c>
      <c r="BE137" s="473">
        <f>блюда!BE326</f>
        <v>0</v>
      </c>
      <c r="BF137" s="473">
        <f>блюда!BF326</f>
        <v>0</v>
      </c>
      <c r="BG137" s="473">
        <f>блюда!BG326</f>
        <v>0</v>
      </c>
      <c r="BH137" s="473">
        <f>блюда!BH326</f>
        <v>0</v>
      </c>
      <c r="BI137" s="473">
        <f>блюда!BI326</f>
        <v>0</v>
      </c>
      <c r="BJ137" s="473">
        <f>блюда!BJ326</f>
        <v>0</v>
      </c>
      <c r="BK137" s="473">
        <f>блюда!BK326</f>
        <v>0</v>
      </c>
      <c r="BL137" s="473">
        <f>блюда!BL326</f>
        <v>0</v>
      </c>
      <c r="BM137" s="473">
        <f>блюда!BM326</f>
        <v>0</v>
      </c>
      <c r="BN137" s="473">
        <f>блюда!BN326</f>
        <v>0</v>
      </c>
      <c r="BO137" s="473">
        <f>блюда!BO326</f>
        <v>0</v>
      </c>
      <c r="BP137" s="473">
        <f>блюда!BP326</f>
        <v>0</v>
      </c>
      <c r="BQ137" s="473">
        <f>блюда!BQ326</f>
        <v>0</v>
      </c>
      <c r="BR137" s="473">
        <f>блюда!BR326</f>
        <v>0</v>
      </c>
      <c r="BS137" s="473">
        <f>блюда!BS326</f>
        <v>0</v>
      </c>
      <c r="BT137" s="473">
        <f>блюда!BT326</f>
        <v>0</v>
      </c>
      <c r="BU137" s="473">
        <f>блюда!BU326</f>
        <v>0</v>
      </c>
      <c r="BV137" s="473">
        <f>блюда!BV326</f>
        <v>0</v>
      </c>
      <c r="BW137" s="473">
        <f>блюда!BW326</f>
        <v>0</v>
      </c>
      <c r="BX137" s="473">
        <f>блюда!BX326</f>
        <v>0</v>
      </c>
      <c r="BY137" s="473">
        <f>блюда!BY326</f>
        <v>0</v>
      </c>
      <c r="BZ137" s="473">
        <f>блюда!BZ326</f>
        <v>0</v>
      </c>
      <c r="CA137" s="473">
        <f>блюда!CA326</f>
        <v>1.4E-2</v>
      </c>
      <c r="CB137" s="473">
        <f>блюда!CB326</f>
        <v>1.9E-2</v>
      </c>
      <c r="CC137" s="473">
        <f>блюда!CC326</f>
        <v>0</v>
      </c>
      <c r="CD137" s="473">
        <f>блюда!CD326</f>
        <v>0</v>
      </c>
      <c r="CE137" s="473">
        <f>блюда!CE326</f>
        <v>0</v>
      </c>
      <c r="CF137" s="473">
        <f>блюда!CF326</f>
        <v>0</v>
      </c>
      <c r="CG137" s="473">
        <f>блюда!CG326</f>
        <v>0</v>
      </c>
      <c r="CH137" s="473">
        <f>блюда!CH326</f>
        <v>0</v>
      </c>
      <c r="CI137" s="473">
        <f>блюда!CI326</f>
        <v>0</v>
      </c>
      <c r="CJ137" s="473">
        <f>блюда!CJ326</f>
        <v>0</v>
      </c>
      <c r="CK137" s="473">
        <f>блюда!CK326</f>
        <v>0</v>
      </c>
      <c r="CL137" s="473">
        <f>блюда!CL326</f>
        <v>0</v>
      </c>
      <c r="CM137" s="473">
        <f>блюда!CM326</f>
        <v>0</v>
      </c>
      <c r="CN137" s="473">
        <f>блюда!CN326</f>
        <v>0</v>
      </c>
      <c r="CO137" s="473">
        <f>блюда!CO326</f>
        <v>0</v>
      </c>
      <c r="CP137" s="473">
        <f>блюда!CP326</f>
        <v>0</v>
      </c>
      <c r="CQ137" s="473">
        <f>блюда!CQ326</f>
        <v>0</v>
      </c>
      <c r="CR137" s="473">
        <f>блюда!CR326</f>
        <v>0</v>
      </c>
      <c r="CS137" s="473">
        <f>блюда!CS326</f>
        <v>0</v>
      </c>
      <c r="CT137" s="473">
        <f>блюда!CT326</f>
        <v>0</v>
      </c>
      <c r="CU137" s="473">
        <f>блюда!CU326</f>
        <v>0</v>
      </c>
      <c r="CV137" s="473">
        <f>блюда!CV326</f>
        <v>0</v>
      </c>
      <c r="CW137" s="473">
        <f>блюда!CW326</f>
        <v>0</v>
      </c>
      <c r="CX137" s="473">
        <f>блюда!CX326</f>
        <v>0</v>
      </c>
      <c r="CY137" s="473">
        <f>блюда!CY326</f>
        <v>0</v>
      </c>
      <c r="CZ137" s="473">
        <f>блюда!CZ326</f>
        <v>4.0000000000000001E-3</v>
      </c>
      <c r="DA137" s="473">
        <f>блюда!DA326</f>
        <v>0</v>
      </c>
      <c r="DB137" s="473">
        <f>блюда!DB326</f>
        <v>0</v>
      </c>
      <c r="DC137" s="473">
        <f>блюда!DC326</f>
        <v>1E-3</v>
      </c>
      <c r="DD137" s="473">
        <f>блюда!DD326</f>
        <v>0</v>
      </c>
      <c r="DE137" s="473">
        <f>блюда!DE326</f>
        <v>0</v>
      </c>
      <c r="DF137" s="473">
        <f>блюда!DF326</f>
        <v>0</v>
      </c>
      <c r="DG137" s="473">
        <f>блюда!DG326</f>
        <v>0</v>
      </c>
      <c r="DH137" s="473">
        <f>блюда!DH326</f>
        <v>0</v>
      </c>
      <c r="DI137" s="473">
        <f>блюда!DI326</f>
        <v>0</v>
      </c>
      <c r="DJ137" s="473">
        <f>блюда!DJ326</f>
        <v>0</v>
      </c>
      <c r="DK137" s="473">
        <f>блюда!DK326</f>
        <v>0</v>
      </c>
      <c r="DL137" s="473">
        <f>блюда!DL326</f>
        <v>0</v>
      </c>
      <c r="DM137" s="473">
        <f>блюда!DM326</f>
        <v>0</v>
      </c>
      <c r="DN137" s="473">
        <f>блюда!DN326</f>
        <v>0</v>
      </c>
      <c r="DO137" s="473">
        <f>блюда!DO326</f>
        <v>0</v>
      </c>
      <c r="DP137" s="473">
        <f>блюда!DP326</f>
        <v>0</v>
      </c>
      <c r="DQ137" s="473">
        <f>блюда!DQ326</f>
        <v>0</v>
      </c>
      <c r="DR137" s="473">
        <f>блюда!DR326</f>
        <v>0</v>
      </c>
      <c r="DS137" s="473">
        <f>блюда!DS326</f>
        <v>0</v>
      </c>
      <c r="DT137" s="473">
        <f>блюда!DT326</f>
        <v>0</v>
      </c>
      <c r="DU137" s="473">
        <f>блюда!DU326</f>
        <v>0</v>
      </c>
      <c r="DV137" s="473">
        <f>блюда!DV326</f>
        <v>0</v>
      </c>
      <c r="DW137" s="473">
        <f>блюда!DW326</f>
        <v>0</v>
      </c>
      <c r="DX137" s="473">
        <f>блюда!DX326</f>
        <v>0</v>
      </c>
      <c r="DY137" s="473">
        <f>блюда!DY326</f>
        <v>0</v>
      </c>
      <c r="DZ137" s="473">
        <f>блюда!DZ326</f>
        <v>0</v>
      </c>
      <c r="EA137" s="473">
        <f>блюда!EA326</f>
        <v>0</v>
      </c>
      <c r="EB137" s="473">
        <f>блюда!EB326</f>
        <v>0</v>
      </c>
      <c r="EC137" s="473">
        <f>блюда!EC326</f>
        <v>0</v>
      </c>
      <c r="ED137" s="473">
        <f>блюда!ED326</f>
        <v>0</v>
      </c>
      <c r="EE137" s="473">
        <f>блюда!EE326</f>
        <v>0</v>
      </c>
      <c r="EF137" s="473">
        <f>блюда!EF326</f>
        <v>0</v>
      </c>
      <c r="EG137" s="473">
        <f>блюда!EG326</f>
        <v>0</v>
      </c>
      <c r="EH137" s="473">
        <f>блюда!EH326</f>
        <v>0</v>
      </c>
      <c r="EI137" s="473">
        <f>блюда!EI326</f>
        <v>0</v>
      </c>
      <c r="EJ137" s="473">
        <f>блюда!EJ326</f>
        <v>0</v>
      </c>
      <c r="EK137" s="473">
        <f>блюда!EK326</f>
        <v>0</v>
      </c>
      <c r="EL137" s="473">
        <f>блюда!EL326</f>
        <v>0</v>
      </c>
      <c r="EM137" s="473">
        <f>блюда!EM326</f>
        <v>0</v>
      </c>
      <c r="EN137" s="473">
        <f>блюда!EN326</f>
        <v>0</v>
      </c>
      <c r="EO137" s="473">
        <f>блюда!EO326</f>
        <v>0</v>
      </c>
      <c r="EP137" s="473">
        <f>блюда!EP326</f>
        <v>0</v>
      </c>
      <c r="EQ137" s="473">
        <f>блюда!EQ326</f>
        <v>0</v>
      </c>
      <c r="ER137" s="473">
        <f>блюда!ER326</f>
        <v>0</v>
      </c>
      <c r="ES137" s="473">
        <f>блюда!ES326</f>
        <v>0</v>
      </c>
      <c r="ET137" s="473">
        <f>блюда!ET326</f>
        <v>0</v>
      </c>
      <c r="EU137" s="473">
        <f>блюда!EU326</f>
        <v>0</v>
      </c>
      <c r="EV137" s="473">
        <f>блюда!EV326</f>
        <v>0</v>
      </c>
      <c r="EW137" s="473">
        <f>блюда!EW326</f>
        <v>0</v>
      </c>
      <c r="EX137" s="473">
        <f>блюда!EX326</f>
        <v>0</v>
      </c>
      <c r="EY137" s="927">
        <f>SUM(J137:EX137)</f>
        <v>0.17199999999999999</v>
      </c>
      <c r="EZ137" s="431">
        <f>блюда!EZ149</f>
        <v>0</v>
      </c>
      <c r="FA137" s="431">
        <f>блюда!FA149</f>
        <v>0</v>
      </c>
      <c r="FB137" s="431">
        <f>блюда!FB149</f>
        <v>0</v>
      </c>
      <c r="FC137" s="431">
        <f>блюда!FC149</f>
        <v>0</v>
      </c>
      <c r="FD137" s="431">
        <f>блюда!FD149</f>
        <v>0</v>
      </c>
      <c r="FE137" s="431">
        <f>блюда!FE149</f>
        <v>0</v>
      </c>
      <c r="FF137" s="431">
        <f>блюда!FF149</f>
        <v>0</v>
      </c>
      <c r="FG137" s="431">
        <f>блюда!FG149</f>
        <v>0</v>
      </c>
      <c r="FH137" s="431">
        <f>блюда!FH149</f>
        <v>0</v>
      </c>
      <c r="FI137" s="431">
        <f>блюда!FI149</f>
        <v>0</v>
      </c>
      <c r="FJ137" s="431">
        <f>блюда!FJ149</f>
        <v>0</v>
      </c>
      <c r="FK137" s="431">
        <f>блюда!FK149</f>
        <v>0</v>
      </c>
      <c r="FL137" s="431">
        <f>блюда!FL149</f>
        <v>0</v>
      </c>
    </row>
    <row r="138" spans="1:169" ht="13.95" customHeight="1" x14ac:dyDescent="0.25">
      <c r="A138" s="1460"/>
      <c r="B138" s="115" t="str">
        <f>блюда!B13</f>
        <v>Масло сливочное (порциями)</v>
      </c>
      <c r="C138" s="250">
        <f>блюда!C13</f>
        <v>10</v>
      </c>
      <c r="D138" s="431">
        <f>блюда!D13</f>
        <v>0.08</v>
      </c>
      <c r="E138" s="431">
        <f>блюда!E13</f>
        <v>7.25</v>
      </c>
      <c r="F138" s="431">
        <f>блюда!F13</f>
        <v>0.13</v>
      </c>
      <c r="G138" s="250">
        <f>блюда!G13</f>
        <v>66</v>
      </c>
      <c r="H138" s="250">
        <f>блюда!H13</f>
        <v>14</v>
      </c>
      <c r="I138" s="431">
        <f>блюда!I13</f>
        <v>7.1</v>
      </c>
      <c r="J138" s="473">
        <f>блюда!J13</f>
        <v>0</v>
      </c>
      <c r="K138" s="473">
        <f>блюда!K13</f>
        <v>0</v>
      </c>
      <c r="L138" s="473">
        <f>блюда!L13</f>
        <v>0</v>
      </c>
      <c r="M138" s="473">
        <f>блюда!M13</f>
        <v>0</v>
      </c>
      <c r="N138" s="473">
        <f>блюда!N13</f>
        <v>0</v>
      </c>
      <c r="O138" s="473">
        <f>блюда!O13</f>
        <v>0</v>
      </c>
      <c r="P138" s="473">
        <f>блюда!P13</f>
        <v>0</v>
      </c>
      <c r="Q138" s="473">
        <f>блюда!Q13</f>
        <v>0</v>
      </c>
      <c r="R138" s="473">
        <f>блюда!R13</f>
        <v>0</v>
      </c>
      <c r="S138" s="473">
        <f>блюда!S13</f>
        <v>0</v>
      </c>
      <c r="T138" s="473">
        <f>блюда!T13</f>
        <v>0</v>
      </c>
      <c r="U138" s="473">
        <f>блюда!U13</f>
        <v>0</v>
      </c>
      <c r="V138" s="473">
        <f>блюда!V13</f>
        <v>0.01</v>
      </c>
      <c r="W138" s="473">
        <f>блюда!W13</f>
        <v>0</v>
      </c>
      <c r="X138" s="473">
        <f>блюда!X13</f>
        <v>0</v>
      </c>
      <c r="Y138" s="473">
        <f>блюда!Y13</f>
        <v>0</v>
      </c>
      <c r="Z138" s="473">
        <f>блюда!Z13</f>
        <v>0</v>
      </c>
      <c r="AA138" s="473">
        <f>блюда!AA13</f>
        <v>0</v>
      </c>
      <c r="AB138" s="473">
        <f>блюда!AB13</f>
        <v>0</v>
      </c>
      <c r="AC138" s="473">
        <f>блюда!AC13</f>
        <v>0</v>
      </c>
      <c r="AD138" s="473">
        <f>блюда!AD13</f>
        <v>0</v>
      </c>
      <c r="AE138" s="473">
        <f>блюда!AE13</f>
        <v>0</v>
      </c>
      <c r="AF138" s="473">
        <f>блюда!AF13</f>
        <v>0</v>
      </c>
      <c r="AG138" s="473">
        <f>блюда!AG13</f>
        <v>0</v>
      </c>
      <c r="AH138" s="473">
        <f>блюда!AH13</f>
        <v>0</v>
      </c>
      <c r="AI138" s="473">
        <f>блюда!AI13</f>
        <v>0</v>
      </c>
      <c r="AJ138" s="473">
        <f>блюда!AJ13</f>
        <v>0</v>
      </c>
      <c r="AK138" s="473">
        <f>блюда!AK13</f>
        <v>0</v>
      </c>
      <c r="AL138" s="473">
        <f>блюда!AL13</f>
        <v>0</v>
      </c>
      <c r="AM138" s="473">
        <f>блюда!AM13</f>
        <v>0</v>
      </c>
      <c r="AN138" s="473">
        <f>блюда!AN13</f>
        <v>0</v>
      </c>
      <c r="AO138" s="473">
        <f>блюда!AO13</f>
        <v>0</v>
      </c>
      <c r="AP138" s="473">
        <f>блюда!AP13</f>
        <v>0</v>
      </c>
      <c r="AQ138" s="473">
        <f>блюда!AQ13</f>
        <v>0</v>
      </c>
      <c r="AR138" s="473">
        <f>блюда!AR13</f>
        <v>0</v>
      </c>
      <c r="AS138" s="473">
        <f>блюда!AS13</f>
        <v>0</v>
      </c>
      <c r="AT138" s="473">
        <f>блюда!AT13</f>
        <v>0</v>
      </c>
      <c r="AU138" s="473">
        <f>блюда!AU13</f>
        <v>0</v>
      </c>
      <c r="AV138" s="473">
        <f>блюда!AV13</f>
        <v>0</v>
      </c>
      <c r="AW138" s="473">
        <f>блюда!AW13</f>
        <v>0</v>
      </c>
      <c r="AX138" s="473">
        <f>блюда!AX13</f>
        <v>0</v>
      </c>
      <c r="AY138" s="473">
        <f>блюда!AY13</f>
        <v>0</v>
      </c>
      <c r="AZ138" s="473">
        <f>блюда!AZ13</f>
        <v>0</v>
      </c>
      <c r="BA138" s="473">
        <f>блюда!BA13</f>
        <v>0</v>
      </c>
      <c r="BB138" s="473">
        <f>блюда!BB13</f>
        <v>0</v>
      </c>
      <c r="BC138" s="473">
        <f>блюда!BC13</f>
        <v>0</v>
      </c>
      <c r="BD138" s="473">
        <f>блюда!BD13</f>
        <v>0</v>
      </c>
      <c r="BE138" s="473">
        <f>блюда!BE13</f>
        <v>0</v>
      </c>
      <c r="BF138" s="473">
        <f>блюда!BF13</f>
        <v>0</v>
      </c>
      <c r="BG138" s="473">
        <f>блюда!BG13</f>
        <v>0</v>
      </c>
      <c r="BH138" s="473">
        <f>блюда!BH13</f>
        <v>0</v>
      </c>
      <c r="BI138" s="473">
        <f>блюда!BI13</f>
        <v>0</v>
      </c>
      <c r="BJ138" s="473">
        <f>блюда!BJ13</f>
        <v>0</v>
      </c>
      <c r="BK138" s="473">
        <f>блюда!BK13</f>
        <v>0</v>
      </c>
      <c r="BL138" s="473">
        <f>блюда!BL13</f>
        <v>0</v>
      </c>
      <c r="BM138" s="473">
        <f>блюда!BM13</f>
        <v>0</v>
      </c>
      <c r="BN138" s="473">
        <f>блюда!BN13</f>
        <v>0</v>
      </c>
      <c r="BO138" s="473">
        <f>блюда!BO13</f>
        <v>0</v>
      </c>
      <c r="BP138" s="473">
        <f>блюда!BP13</f>
        <v>0</v>
      </c>
      <c r="BQ138" s="473">
        <f>блюда!BQ13</f>
        <v>0</v>
      </c>
      <c r="BR138" s="473">
        <f>блюда!BR13</f>
        <v>0</v>
      </c>
      <c r="BS138" s="473">
        <f>блюда!BS13</f>
        <v>0</v>
      </c>
      <c r="BT138" s="473">
        <f>блюда!BT13</f>
        <v>0</v>
      </c>
      <c r="BU138" s="473">
        <f>блюда!BU13</f>
        <v>0</v>
      </c>
      <c r="BV138" s="473">
        <f>блюда!BV13</f>
        <v>0</v>
      </c>
      <c r="BW138" s="473">
        <f>блюда!BW13</f>
        <v>0</v>
      </c>
      <c r="BX138" s="473">
        <f>блюда!BX13</f>
        <v>0</v>
      </c>
      <c r="BY138" s="473">
        <f>блюда!BY13</f>
        <v>0</v>
      </c>
      <c r="BZ138" s="473">
        <f>блюда!BZ13</f>
        <v>0</v>
      </c>
      <c r="CA138" s="473">
        <f>блюда!CA13</f>
        <v>0</v>
      </c>
      <c r="CB138" s="473">
        <f>блюда!CB13</f>
        <v>0</v>
      </c>
      <c r="CC138" s="473">
        <f>блюда!CC13</f>
        <v>0</v>
      </c>
      <c r="CD138" s="473">
        <f>блюда!CD13</f>
        <v>0</v>
      </c>
      <c r="CE138" s="473">
        <f>блюда!CE13</f>
        <v>0</v>
      </c>
      <c r="CF138" s="473">
        <f>блюда!CF13</f>
        <v>0</v>
      </c>
      <c r="CG138" s="473">
        <f>блюда!CG13</f>
        <v>0</v>
      </c>
      <c r="CH138" s="473">
        <f>блюда!CH13</f>
        <v>0</v>
      </c>
      <c r="CI138" s="473">
        <f>блюда!CI13</f>
        <v>0</v>
      </c>
      <c r="CJ138" s="473">
        <f>блюда!CJ13</f>
        <v>0</v>
      </c>
      <c r="CK138" s="473">
        <f>блюда!CK13</f>
        <v>0</v>
      </c>
      <c r="CL138" s="473">
        <f>блюда!CL13</f>
        <v>0</v>
      </c>
      <c r="CM138" s="473">
        <f>блюда!CM13</f>
        <v>0</v>
      </c>
      <c r="CN138" s="473">
        <f>блюда!CN13</f>
        <v>0</v>
      </c>
      <c r="CO138" s="473">
        <f>блюда!CO13</f>
        <v>0</v>
      </c>
      <c r="CP138" s="473">
        <f>блюда!CP13</f>
        <v>0</v>
      </c>
      <c r="CQ138" s="473">
        <f>блюда!CQ13</f>
        <v>0</v>
      </c>
      <c r="CR138" s="473">
        <f>блюда!CR13</f>
        <v>0</v>
      </c>
      <c r="CS138" s="473">
        <f>блюда!CS13</f>
        <v>0</v>
      </c>
      <c r="CT138" s="473">
        <f>блюда!CT13</f>
        <v>0</v>
      </c>
      <c r="CU138" s="473">
        <f>блюда!CU13</f>
        <v>0</v>
      </c>
      <c r="CV138" s="473">
        <f>блюда!CV13</f>
        <v>0</v>
      </c>
      <c r="CW138" s="473">
        <f>блюда!CW13</f>
        <v>0</v>
      </c>
      <c r="CX138" s="473">
        <f>блюда!CX13</f>
        <v>0</v>
      </c>
      <c r="CY138" s="473">
        <f>блюда!CY13</f>
        <v>0</v>
      </c>
      <c r="CZ138" s="473">
        <f>блюда!CZ13</f>
        <v>0</v>
      </c>
      <c r="DA138" s="473">
        <f>блюда!DA13</f>
        <v>0</v>
      </c>
      <c r="DB138" s="473">
        <f>блюда!DB13</f>
        <v>0</v>
      </c>
      <c r="DC138" s="473">
        <f>блюда!DC13</f>
        <v>0</v>
      </c>
      <c r="DD138" s="473">
        <f>блюда!DD13</f>
        <v>0</v>
      </c>
      <c r="DE138" s="473">
        <f>блюда!DE13</f>
        <v>0</v>
      </c>
      <c r="DF138" s="473">
        <f>блюда!DF13</f>
        <v>0</v>
      </c>
      <c r="DG138" s="473">
        <f>блюда!DG13</f>
        <v>0</v>
      </c>
      <c r="DH138" s="473">
        <f>блюда!DH13</f>
        <v>0</v>
      </c>
      <c r="DI138" s="473">
        <f>блюда!DI13</f>
        <v>0</v>
      </c>
      <c r="DJ138" s="473">
        <f>блюда!DJ13</f>
        <v>0</v>
      </c>
      <c r="DK138" s="473">
        <f>блюда!DK13</f>
        <v>0</v>
      </c>
      <c r="DL138" s="473">
        <f>блюда!DL13</f>
        <v>0</v>
      </c>
      <c r="DM138" s="473">
        <f>блюда!DM13</f>
        <v>0</v>
      </c>
      <c r="DN138" s="473">
        <f>блюда!DN13</f>
        <v>0</v>
      </c>
      <c r="DO138" s="473">
        <f>блюда!DO13</f>
        <v>0</v>
      </c>
      <c r="DP138" s="473">
        <f>блюда!DP13</f>
        <v>0</v>
      </c>
      <c r="DQ138" s="473">
        <f>блюда!DQ13</f>
        <v>0</v>
      </c>
      <c r="DR138" s="473">
        <f>блюда!DR13</f>
        <v>0</v>
      </c>
      <c r="DS138" s="473">
        <f>блюда!DS13</f>
        <v>0</v>
      </c>
      <c r="DT138" s="473">
        <f>блюда!DT13</f>
        <v>0</v>
      </c>
      <c r="DU138" s="473">
        <f>блюда!DU13</f>
        <v>0</v>
      </c>
      <c r="DV138" s="473">
        <f>блюда!DV13</f>
        <v>0</v>
      </c>
      <c r="DW138" s="473">
        <f>блюда!DW13</f>
        <v>0</v>
      </c>
      <c r="DX138" s="473">
        <f>блюда!DX13</f>
        <v>0</v>
      </c>
      <c r="DY138" s="473">
        <f>блюда!DY13</f>
        <v>0</v>
      </c>
      <c r="DZ138" s="473">
        <f>блюда!DZ13</f>
        <v>0</v>
      </c>
      <c r="EA138" s="473">
        <f>блюда!EA13</f>
        <v>0</v>
      </c>
      <c r="EB138" s="473">
        <f>блюда!EB13</f>
        <v>0</v>
      </c>
      <c r="EC138" s="473">
        <f>блюда!EC13</f>
        <v>0</v>
      </c>
      <c r="ED138" s="473">
        <f>блюда!ED13</f>
        <v>0</v>
      </c>
      <c r="EE138" s="473">
        <f>блюда!EE13</f>
        <v>0</v>
      </c>
      <c r="EF138" s="473">
        <f>блюда!EF13</f>
        <v>0</v>
      </c>
      <c r="EG138" s="473">
        <f>блюда!EG13</f>
        <v>0</v>
      </c>
      <c r="EH138" s="473">
        <f>блюда!EH13</f>
        <v>0</v>
      </c>
      <c r="EI138" s="473">
        <f>блюда!EI13</f>
        <v>0</v>
      </c>
      <c r="EJ138" s="473">
        <f>блюда!EJ13</f>
        <v>0</v>
      </c>
      <c r="EK138" s="473">
        <f>блюда!EK13</f>
        <v>0</v>
      </c>
      <c r="EL138" s="473">
        <f>блюда!EL13</f>
        <v>0</v>
      </c>
      <c r="EM138" s="473">
        <f>блюда!EM13</f>
        <v>0</v>
      </c>
      <c r="EN138" s="473">
        <f>блюда!EN13</f>
        <v>0</v>
      </c>
      <c r="EO138" s="473">
        <f>блюда!EO13</f>
        <v>0</v>
      </c>
      <c r="EP138" s="473">
        <f>блюда!EP13</f>
        <v>0</v>
      </c>
      <c r="EQ138" s="473">
        <f>блюда!EQ13</f>
        <v>0</v>
      </c>
      <c r="ER138" s="473">
        <f>блюда!ER13</f>
        <v>0</v>
      </c>
      <c r="ES138" s="473">
        <f>блюда!ES13</f>
        <v>0</v>
      </c>
      <c r="ET138" s="473">
        <f>блюда!ET13</f>
        <v>0</v>
      </c>
      <c r="EU138" s="473">
        <f>блюда!EU13</f>
        <v>0</v>
      </c>
      <c r="EV138" s="473">
        <f>блюда!EV13</f>
        <v>0</v>
      </c>
      <c r="EW138" s="473">
        <f>блюда!EW13</f>
        <v>0</v>
      </c>
      <c r="EX138" s="473">
        <f>блюда!EX13</f>
        <v>0</v>
      </c>
      <c r="EY138" s="927">
        <f t="shared" ref="EY138:EY145" si="88">SUM(J138:EX138)</f>
        <v>0.01</v>
      </c>
      <c r="EZ138" s="431">
        <f>блюда!EZ293</f>
        <v>0</v>
      </c>
      <c r="FA138" s="431">
        <f>блюда!FA293</f>
        <v>0</v>
      </c>
      <c r="FB138" s="431">
        <f>блюда!FB293</f>
        <v>0</v>
      </c>
      <c r="FC138" s="431">
        <f>блюда!FC293</f>
        <v>0</v>
      </c>
      <c r="FD138" s="431">
        <f>блюда!FD293</f>
        <v>0</v>
      </c>
      <c r="FE138" s="431">
        <f>блюда!FE293</f>
        <v>0</v>
      </c>
      <c r="FF138" s="431">
        <f>блюда!FF293</f>
        <v>0</v>
      </c>
      <c r="FG138" s="431">
        <f>блюда!FG293</f>
        <v>0</v>
      </c>
      <c r="FH138" s="431">
        <f>блюда!FH293</f>
        <v>0</v>
      </c>
      <c r="FI138" s="431">
        <f>блюда!FI293</f>
        <v>0</v>
      </c>
      <c r="FJ138" s="431">
        <f>блюда!FJ293</f>
        <v>0</v>
      </c>
      <c r="FK138" s="431">
        <f>блюда!FK293</f>
        <v>0</v>
      </c>
      <c r="FL138" s="431">
        <f>блюда!FL293</f>
        <v>0</v>
      </c>
    </row>
    <row r="139" spans="1:169" ht="13.95" customHeight="1" x14ac:dyDescent="0.25">
      <c r="A139" s="1460"/>
      <c r="B139" s="115" t="str">
        <f>блюда!B15</f>
        <v xml:space="preserve">Сыр российский (порциями) </v>
      </c>
      <c r="C139" s="116">
        <f>блюда!C15</f>
        <v>15</v>
      </c>
      <c r="D139" s="431">
        <f>блюда!D15</f>
        <v>3.48</v>
      </c>
      <c r="E139" s="431">
        <f>блюда!E15</f>
        <v>4.43</v>
      </c>
      <c r="F139" s="431">
        <f>блюда!F15</f>
        <v>1</v>
      </c>
      <c r="G139" s="116">
        <f>блюда!G15</f>
        <v>54</v>
      </c>
      <c r="H139" s="116">
        <f>блюда!H15</f>
        <v>15</v>
      </c>
      <c r="I139" s="431">
        <f>блюда!I15</f>
        <v>11.5</v>
      </c>
      <c r="J139" s="473">
        <f>блюда!J15</f>
        <v>0</v>
      </c>
      <c r="K139" s="473">
        <f>блюда!K15</f>
        <v>0</v>
      </c>
      <c r="L139" s="473">
        <f>блюда!L15</f>
        <v>0</v>
      </c>
      <c r="M139" s="473">
        <f>блюда!M15</f>
        <v>0</v>
      </c>
      <c r="N139" s="473">
        <f>блюда!N15</f>
        <v>0</v>
      </c>
      <c r="O139" s="473">
        <f>блюда!O15</f>
        <v>0</v>
      </c>
      <c r="P139" s="473">
        <f>блюда!P15</f>
        <v>0</v>
      </c>
      <c r="Q139" s="473">
        <f>блюда!Q15</f>
        <v>0</v>
      </c>
      <c r="R139" s="473">
        <f>блюда!R15</f>
        <v>0</v>
      </c>
      <c r="S139" s="473">
        <f>блюда!S15</f>
        <v>0</v>
      </c>
      <c r="T139" s="473">
        <f>блюда!T15</f>
        <v>0</v>
      </c>
      <c r="U139" s="473">
        <f>блюда!U15</f>
        <v>0</v>
      </c>
      <c r="V139" s="473">
        <f>блюда!V15</f>
        <v>0</v>
      </c>
      <c r="W139" s="473">
        <f>блюда!W15</f>
        <v>1.6E-2</v>
      </c>
      <c r="X139" s="473">
        <f>блюда!X15</f>
        <v>0</v>
      </c>
      <c r="Y139" s="473">
        <f>блюда!Y15</f>
        <v>0</v>
      </c>
      <c r="Z139" s="473">
        <f>блюда!Z15</f>
        <v>0</v>
      </c>
      <c r="AA139" s="473">
        <f>блюда!AA15</f>
        <v>0</v>
      </c>
      <c r="AB139" s="473">
        <f>блюда!AB15</f>
        <v>0</v>
      </c>
      <c r="AC139" s="473">
        <f>блюда!AC15</f>
        <v>0</v>
      </c>
      <c r="AD139" s="473">
        <f>блюда!AD15</f>
        <v>0</v>
      </c>
      <c r="AE139" s="473">
        <f>блюда!AE15</f>
        <v>0</v>
      </c>
      <c r="AF139" s="473">
        <f>блюда!AF15</f>
        <v>0</v>
      </c>
      <c r="AG139" s="473">
        <f>блюда!AG15</f>
        <v>0</v>
      </c>
      <c r="AH139" s="473">
        <f>блюда!AH15</f>
        <v>0</v>
      </c>
      <c r="AI139" s="473">
        <f>блюда!AI15</f>
        <v>0</v>
      </c>
      <c r="AJ139" s="473">
        <f>блюда!AJ15</f>
        <v>0</v>
      </c>
      <c r="AK139" s="473">
        <f>блюда!AK15</f>
        <v>0</v>
      </c>
      <c r="AL139" s="473">
        <f>блюда!AL15</f>
        <v>0</v>
      </c>
      <c r="AM139" s="473">
        <f>блюда!AM15</f>
        <v>0</v>
      </c>
      <c r="AN139" s="473">
        <f>блюда!AN15</f>
        <v>0</v>
      </c>
      <c r="AO139" s="473">
        <f>блюда!AO15</f>
        <v>0</v>
      </c>
      <c r="AP139" s="473">
        <f>блюда!AP15</f>
        <v>0</v>
      </c>
      <c r="AQ139" s="473">
        <f>блюда!AQ15</f>
        <v>0</v>
      </c>
      <c r="AR139" s="473">
        <f>блюда!AR15</f>
        <v>0</v>
      </c>
      <c r="AS139" s="473">
        <f>блюда!AS15</f>
        <v>0</v>
      </c>
      <c r="AT139" s="473">
        <f>блюда!AT15</f>
        <v>0</v>
      </c>
      <c r="AU139" s="473">
        <f>блюда!AU15</f>
        <v>0</v>
      </c>
      <c r="AV139" s="473">
        <f>блюда!AV15</f>
        <v>0</v>
      </c>
      <c r="AW139" s="473">
        <f>блюда!AW15</f>
        <v>0</v>
      </c>
      <c r="AX139" s="473">
        <f>блюда!AX15</f>
        <v>0</v>
      </c>
      <c r="AY139" s="473">
        <f>блюда!AY15</f>
        <v>0</v>
      </c>
      <c r="AZ139" s="473">
        <f>блюда!AZ15</f>
        <v>0</v>
      </c>
      <c r="BA139" s="473">
        <f>блюда!BA15</f>
        <v>0</v>
      </c>
      <c r="BB139" s="473">
        <f>блюда!BB15</f>
        <v>0</v>
      </c>
      <c r="BC139" s="473">
        <f>блюда!BC15</f>
        <v>0</v>
      </c>
      <c r="BD139" s="473">
        <f>блюда!BD15</f>
        <v>0</v>
      </c>
      <c r="BE139" s="473">
        <f>блюда!BE15</f>
        <v>0</v>
      </c>
      <c r="BF139" s="473">
        <f>блюда!BF15</f>
        <v>0</v>
      </c>
      <c r="BG139" s="473">
        <f>блюда!BG15</f>
        <v>0</v>
      </c>
      <c r="BH139" s="473">
        <f>блюда!BH15</f>
        <v>0</v>
      </c>
      <c r="BI139" s="473">
        <f>блюда!BI15</f>
        <v>0</v>
      </c>
      <c r="BJ139" s="473">
        <f>блюда!BJ15</f>
        <v>0</v>
      </c>
      <c r="BK139" s="473">
        <f>блюда!BK15</f>
        <v>0</v>
      </c>
      <c r="BL139" s="473">
        <f>блюда!BL15</f>
        <v>0</v>
      </c>
      <c r="BM139" s="473">
        <f>блюда!BM15</f>
        <v>0</v>
      </c>
      <c r="BN139" s="473">
        <f>блюда!BN15</f>
        <v>0</v>
      </c>
      <c r="BO139" s="473">
        <f>блюда!BO15</f>
        <v>0</v>
      </c>
      <c r="BP139" s="473">
        <f>блюда!BP15</f>
        <v>0</v>
      </c>
      <c r="BQ139" s="473">
        <f>блюда!BQ15</f>
        <v>0</v>
      </c>
      <c r="BR139" s="473">
        <f>блюда!BR15</f>
        <v>0</v>
      </c>
      <c r="BS139" s="473">
        <f>блюда!BS15</f>
        <v>0</v>
      </c>
      <c r="BT139" s="473">
        <f>блюда!BT15</f>
        <v>0</v>
      </c>
      <c r="BU139" s="473">
        <f>блюда!BU15</f>
        <v>0</v>
      </c>
      <c r="BV139" s="473">
        <f>блюда!BV15</f>
        <v>0</v>
      </c>
      <c r="BW139" s="473">
        <f>блюда!BW15</f>
        <v>0</v>
      </c>
      <c r="BX139" s="473">
        <f>блюда!BX15</f>
        <v>0</v>
      </c>
      <c r="BY139" s="473">
        <f>блюда!BY15</f>
        <v>0</v>
      </c>
      <c r="BZ139" s="473">
        <f>блюда!BZ15</f>
        <v>0</v>
      </c>
      <c r="CA139" s="473">
        <f>блюда!CA15</f>
        <v>0</v>
      </c>
      <c r="CB139" s="473">
        <f>блюда!CB15</f>
        <v>0</v>
      </c>
      <c r="CC139" s="473">
        <f>блюда!CC15</f>
        <v>0</v>
      </c>
      <c r="CD139" s="473">
        <f>блюда!CD15</f>
        <v>0</v>
      </c>
      <c r="CE139" s="473">
        <f>блюда!CE15</f>
        <v>0</v>
      </c>
      <c r="CF139" s="473">
        <f>блюда!CF15</f>
        <v>0</v>
      </c>
      <c r="CG139" s="473">
        <f>блюда!CG15</f>
        <v>0</v>
      </c>
      <c r="CH139" s="473">
        <f>блюда!CH15</f>
        <v>0</v>
      </c>
      <c r="CI139" s="473">
        <f>блюда!CI15</f>
        <v>0</v>
      </c>
      <c r="CJ139" s="473">
        <f>блюда!CJ15</f>
        <v>0</v>
      </c>
      <c r="CK139" s="473">
        <f>блюда!CK15</f>
        <v>0</v>
      </c>
      <c r="CL139" s="473">
        <f>блюда!CL15</f>
        <v>0</v>
      </c>
      <c r="CM139" s="473">
        <f>блюда!CM15</f>
        <v>0</v>
      </c>
      <c r="CN139" s="473">
        <f>блюда!CN15</f>
        <v>0</v>
      </c>
      <c r="CO139" s="473">
        <f>блюда!CO15</f>
        <v>0</v>
      </c>
      <c r="CP139" s="473">
        <f>блюда!CP15</f>
        <v>0</v>
      </c>
      <c r="CQ139" s="473">
        <f>блюда!CQ15</f>
        <v>0</v>
      </c>
      <c r="CR139" s="473">
        <f>блюда!CR15</f>
        <v>0</v>
      </c>
      <c r="CS139" s="473">
        <f>блюда!CS15</f>
        <v>0</v>
      </c>
      <c r="CT139" s="473">
        <f>блюда!CT15</f>
        <v>0</v>
      </c>
      <c r="CU139" s="473">
        <f>блюда!CU15</f>
        <v>0</v>
      </c>
      <c r="CV139" s="473">
        <f>блюда!CV15</f>
        <v>0</v>
      </c>
      <c r="CW139" s="473">
        <f>блюда!CW15</f>
        <v>0</v>
      </c>
      <c r="CX139" s="473">
        <f>блюда!CX15</f>
        <v>0</v>
      </c>
      <c r="CY139" s="473">
        <f>блюда!CY15</f>
        <v>0</v>
      </c>
      <c r="CZ139" s="473">
        <f>блюда!CZ15</f>
        <v>0</v>
      </c>
      <c r="DA139" s="473">
        <f>блюда!DA15</f>
        <v>0</v>
      </c>
      <c r="DB139" s="473">
        <f>блюда!DB15</f>
        <v>0</v>
      </c>
      <c r="DC139" s="473">
        <f>блюда!DC15</f>
        <v>0</v>
      </c>
      <c r="DD139" s="473">
        <f>блюда!DD15</f>
        <v>0</v>
      </c>
      <c r="DE139" s="473">
        <f>блюда!DE15</f>
        <v>0</v>
      </c>
      <c r="DF139" s="473">
        <f>блюда!DF15</f>
        <v>0</v>
      </c>
      <c r="DG139" s="473">
        <f>блюда!DG15</f>
        <v>0</v>
      </c>
      <c r="DH139" s="473">
        <f>блюда!DH15</f>
        <v>0</v>
      </c>
      <c r="DI139" s="473">
        <f>блюда!DI15</f>
        <v>0</v>
      </c>
      <c r="DJ139" s="473">
        <f>блюда!DJ15</f>
        <v>0</v>
      </c>
      <c r="DK139" s="473">
        <f>блюда!DK15</f>
        <v>0</v>
      </c>
      <c r="DL139" s="473">
        <f>блюда!DL15</f>
        <v>0</v>
      </c>
      <c r="DM139" s="473">
        <f>блюда!DM15</f>
        <v>0</v>
      </c>
      <c r="DN139" s="473">
        <f>блюда!DN15</f>
        <v>0</v>
      </c>
      <c r="DO139" s="473">
        <f>блюда!DO15</f>
        <v>0</v>
      </c>
      <c r="DP139" s="473">
        <f>блюда!DP15</f>
        <v>0</v>
      </c>
      <c r="DQ139" s="473">
        <f>блюда!DQ15</f>
        <v>0</v>
      </c>
      <c r="DR139" s="473">
        <f>блюда!DR15</f>
        <v>0</v>
      </c>
      <c r="DS139" s="473">
        <f>блюда!DS15</f>
        <v>0</v>
      </c>
      <c r="DT139" s="473">
        <f>блюда!DT15</f>
        <v>0</v>
      </c>
      <c r="DU139" s="473">
        <f>блюда!DU15</f>
        <v>0</v>
      </c>
      <c r="DV139" s="473">
        <f>блюда!DV15</f>
        <v>0</v>
      </c>
      <c r="DW139" s="473">
        <f>блюда!DW15</f>
        <v>0</v>
      </c>
      <c r="DX139" s="473">
        <f>блюда!DX15</f>
        <v>0</v>
      </c>
      <c r="DY139" s="473">
        <f>блюда!DY15</f>
        <v>0</v>
      </c>
      <c r="DZ139" s="473">
        <f>блюда!DZ15</f>
        <v>0</v>
      </c>
      <c r="EA139" s="473">
        <f>блюда!EA15</f>
        <v>0</v>
      </c>
      <c r="EB139" s="473">
        <f>блюда!EB15</f>
        <v>0</v>
      </c>
      <c r="EC139" s="473">
        <f>блюда!EC15</f>
        <v>0</v>
      </c>
      <c r="ED139" s="473">
        <f>блюда!ED15</f>
        <v>0</v>
      </c>
      <c r="EE139" s="473">
        <f>блюда!EE15</f>
        <v>0</v>
      </c>
      <c r="EF139" s="473">
        <f>блюда!EF15</f>
        <v>0</v>
      </c>
      <c r="EG139" s="473">
        <f>блюда!EG15</f>
        <v>0</v>
      </c>
      <c r="EH139" s="473">
        <f>блюда!EH15</f>
        <v>0</v>
      </c>
      <c r="EI139" s="473">
        <f>блюда!EI15</f>
        <v>0</v>
      </c>
      <c r="EJ139" s="473">
        <f>блюда!EJ15</f>
        <v>0</v>
      </c>
      <c r="EK139" s="473">
        <f>блюда!EK15</f>
        <v>0</v>
      </c>
      <c r="EL139" s="473">
        <f>блюда!EL15</f>
        <v>0</v>
      </c>
      <c r="EM139" s="473">
        <f>блюда!EM15</f>
        <v>0</v>
      </c>
      <c r="EN139" s="473">
        <f>блюда!EN15</f>
        <v>0</v>
      </c>
      <c r="EO139" s="473">
        <f>блюда!EO15</f>
        <v>0</v>
      </c>
      <c r="EP139" s="473">
        <f>блюда!EP15</f>
        <v>0</v>
      </c>
      <c r="EQ139" s="473">
        <f>блюда!EQ15</f>
        <v>0</v>
      </c>
      <c r="ER139" s="473">
        <f>блюда!ER15</f>
        <v>0</v>
      </c>
      <c r="ES139" s="473">
        <f>блюда!ES15</f>
        <v>0</v>
      </c>
      <c r="ET139" s="473">
        <f>блюда!ET15</f>
        <v>0</v>
      </c>
      <c r="EU139" s="473">
        <f>блюда!EU15</f>
        <v>0</v>
      </c>
      <c r="EV139" s="473">
        <f>блюда!EV15</f>
        <v>0</v>
      </c>
      <c r="EW139" s="473">
        <f>блюда!EW15</f>
        <v>0</v>
      </c>
      <c r="EX139" s="473">
        <f>блюда!EX15</f>
        <v>0</v>
      </c>
      <c r="EY139" s="927">
        <f t="shared" si="88"/>
        <v>1.6E-2</v>
      </c>
      <c r="EZ139" s="431">
        <f>блюда!EZ333</f>
        <v>0</v>
      </c>
      <c r="FA139" s="431">
        <f>блюда!FA333</f>
        <v>0</v>
      </c>
      <c r="FB139" s="431">
        <f>блюда!FB333</f>
        <v>0</v>
      </c>
      <c r="FC139" s="431">
        <f>блюда!FC333</f>
        <v>0</v>
      </c>
      <c r="FD139" s="431">
        <f>блюда!FD333</f>
        <v>0</v>
      </c>
      <c r="FE139" s="431">
        <f>блюда!FE333</f>
        <v>0</v>
      </c>
      <c r="FF139" s="431">
        <f>блюда!FF333</f>
        <v>0</v>
      </c>
      <c r="FG139" s="431">
        <f>блюда!FG333</f>
        <v>0</v>
      </c>
      <c r="FH139" s="431">
        <f>блюда!FH333</f>
        <v>0</v>
      </c>
      <c r="FI139" s="431">
        <f>блюда!FI333</f>
        <v>0</v>
      </c>
      <c r="FJ139" s="431">
        <f>блюда!FJ333</f>
        <v>0</v>
      </c>
      <c r="FK139" s="431">
        <f>блюда!FK333</f>
        <v>0</v>
      </c>
      <c r="FL139" s="431">
        <f>блюда!FL333</f>
        <v>0</v>
      </c>
    </row>
    <row r="140" spans="1:169" ht="13.95" customHeight="1" x14ac:dyDescent="0.25">
      <c r="A140" s="1460"/>
      <c r="B140" s="115" t="str">
        <f>блюда!B334</f>
        <v>Хлеб пшенично-ржаной нарезной</v>
      </c>
      <c r="C140" s="116">
        <f>блюда!C334</f>
        <v>40</v>
      </c>
      <c r="D140" s="431">
        <f>блюда!D334</f>
        <v>3</v>
      </c>
      <c r="E140" s="431">
        <f>блюда!E334</f>
        <v>0.8</v>
      </c>
      <c r="F140" s="431">
        <f>блюда!F334</f>
        <v>20.8</v>
      </c>
      <c r="G140" s="116">
        <f>блюда!G334</f>
        <v>100</v>
      </c>
      <c r="H140" s="116" t="str">
        <f>блюда!H334</f>
        <v>ПРОМ</v>
      </c>
      <c r="I140" s="431">
        <f>блюда!I334</f>
        <v>2.6</v>
      </c>
      <c r="J140" s="473">
        <f>блюда!J334</f>
        <v>0</v>
      </c>
      <c r="K140" s="473">
        <f>блюда!K334</f>
        <v>0</v>
      </c>
      <c r="L140" s="473">
        <f>блюда!L334</f>
        <v>0</v>
      </c>
      <c r="M140" s="473">
        <f>блюда!M334</f>
        <v>0</v>
      </c>
      <c r="N140" s="473">
        <f>блюда!N334</f>
        <v>0</v>
      </c>
      <c r="O140" s="473">
        <f>блюда!O334</f>
        <v>0</v>
      </c>
      <c r="P140" s="473">
        <f>блюда!P334</f>
        <v>0</v>
      </c>
      <c r="Q140" s="473">
        <f>блюда!Q334</f>
        <v>0</v>
      </c>
      <c r="R140" s="473">
        <f>блюда!R334</f>
        <v>0</v>
      </c>
      <c r="S140" s="473">
        <f>блюда!S334</f>
        <v>0</v>
      </c>
      <c r="T140" s="473">
        <f>блюда!T334</f>
        <v>0</v>
      </c>
      <c r="U140" s="473">
        <f>блюда!U334</f>
        <v>0</v>
      </c>
      <c r="V140" s="473">
        <f>блюда!V334</f>
        <v>0</v>
      </c>
      <c r="W140" s="473">
        <f>блюда!W334</f>
        <v>0</v>
      </c>
      <c r="X140" s="473">
        <f>блюда!X334</f>
        <v>0</v>
      </c>
      <c r="Y140" s="473">
        <f>блюда!Y334</f>
        <v>0</v>
      </c>
      <c r="Z140" s="473">
        <f>блюда!Z334</f>
        <v>0</v>
      </c>
      <c r="AA140" s="473">
        <f>блюда!AA334</f>
        <v>0</v>
      </c>
      <c r="AB140" s="473">
        <f>блюда!AB334</f>
        <v>0</v>
      </c>
      <c r="AC140" s="473">
        <f>блюда!AC334</f>
        <v>0</v>
      </c>
      <c r="AD140" s="473">
        <f>блюда!AD334</f>
        <v>0</v>
      </c>
      <c r="AE140" s="473">
        <f>блюда!AE334</f>
        <v>0</v>
      </c>
      <c r="AF140" s="473">
        <f>блюда!AF334</f>
        <v>0</v>
      </c>
      <c r="AG140" s="473">
        <f>блюда!AG334</f>
        <v>0</v>
      </c>
      <c r="AH140" s="473">
        <f>блюда!AH334</f>
        <v>0</v>
      </c>
      <c r="AI140" s="473">
        <f>блюда!AI334</f>
        <v>0</v>
      </c>
      <c r="AJ140" s="473">
        <f>блюда!AJ334</f>
        <v>0</v>
      </c>
      <c r="AK140" s="473">
        <f>блюда!AK334</f>
        <v>0</v>
      </c>
      <c r="AL140" s="473">
        <f>блюда!AL334</f>
        <v>0</v>
      </c>
      <c r="AM140" s="473">
        <f>блюда!AM334</f>
        <v>0</v>
      </c>
      <c r="AN140" s="473">
        <f>блюда!AN334</f>
        <v>0</v>
      </c>
      <c r="AO140" s="473">
        <f>блюда!AO334</f>
        <v>0</v>
      </c>
      <c r="AP140" s="473">
        <f>блюда!AP334</f>
        <v>0</v>
      </c>
      <c r="AQ140" s="473">
        <f>блюда!AQ334</f>
        <v>0</v>
      </c>
      <c r="AR140" s="473">
        <f>блюда!AR334</f>
        <v>0</v>
      </c>
      <c r="AS140" s="473">
        <f>блюда!AS334</f>
        <v>0</v>
      </c>
      <c r="AT140" s="473">
        <f>блюда!AT334</f>
        <v>0</v>
      </c>
      <c r="AU140" s="473">
        <f>блюда!AU334</f>
        <v>0</v>
      </c>
      <c r="AV140" s="473">
        <f>блюда!AV334</f>
        <v>0</v>
      </c>
      <c r="AW140" s="473">
        <f>блюда!AW334</f>
        <v>0</v>
      </c>
      <c r="AX140" s="473">
        <f>блюда!AX334</f>
        <v>0</v>
      </c>
      <c r="AY140" s="473">
        <f>блюда!AY334</f>
        <v>0</v>
      </c>
      <c r="AZ140" s="473">
        <f>блюда!AZ334</f>
        <v>0</v>
      </c>
      <c r="BA140" s="473">
        <f>блюда!BA334</f>
        <v>0</v>
      </c>
      <c r="BB140" s="473">
        <f>блюда!BB334</f>
        <v>0</v>
      </c>
      <c r="BC140" s="473">
        <f>блюда!BC334</f>
        <v>0</v>
      </c>
      <c r="BD140" s="473">
        <f>блюда!BD334</f>
        <v>0</v>
      </c>
      <c r="BE140" s="473">
        <f>блюда!BE334</f>
        <v>0</v>
      </c>
      <c r="BF140" s="473">
        <f>блюда!BF334</f>
        <v>0</v>
      </c>
      <c r="BG140" s="473">
        <f>блюда!BG334</f>
        <v>0</v>
      </c>
      <c r="BH140" s="473">
        <f>блюда!BH334</f>
        <v>0</v>
      </c>
      <c r="BI140" s="473">
        <f>блюда!BI334</f>
        <v>0</v>
      </c>
      <c r="BJ140" s="473">
        <f>блюда!BJ334</f>
        <v>0</v>
      </c>
      <c r="BK140" s="473">
        <f>блюда!BK334</f>
        <v>0</v>
      </c>
      <c r="BL140" s="473">
        <f>блюда!BL334</f>
        <v>0</v>
      </c>
      <c r="BM140" s="473">
        <f>блюда!BM334</f>
        <v>0</v>
      </c>
      <c r="BN140" s="473">
        <f>блюда!BN334</f>
        <v>0</v>
      </c>
      <c r="BO140" s="473">
        <f>блюда!BO334</f>
        <v>0</v>
      </c>
      <c r="BP140" s="473">
        <f>блюда!BP334</f>
        <v>0</v>
      </c>
      <c r="BQ140" s="473">
        <f>блюда!BQ334</f>
        <v>0</v>
      </c>
      <c r="BR140" s="473">
        <f>блюда!BR334</f>
        <v>0</v>
      </c>
      <c r="BS140" s="473">
        <f>блюда!BS334</f>
        <v>0</v>
      </c>
      <c r="BT140" s="473">
        <f>блюда!BT334</f>
        <v>0</v>
      </c>
      <c r="BU140" s="473">
        <f>блюда!BU334</f>
        <v>0</v>
      </c>
      <c r="BV140" s="473">
        <f>блюда!BV334</f>
        <v>0</v>
      </c>
      <c r="BW140" s="473">
        <f>блюда!BW334</f>
        <v>0</v>
      </c>
      <c r="BX140" s="473">
        <f>блюда!BX334</f>
        <v>0</v>
      </c>
      <c r="BY140" s="473">
        <f>блюда!BY334</f>
        <v>0</v>
      </c>
      <c r="BZ140" s="473">
        <f>блюда!BZ334</f>
        <v>0</v>
      </c>
      <c r="CA140" s="473">
        <f>блюда!CA334</f>
        <v>0</v>
      </c>
      <c r="CB140" s="473">
        <f>блюда!CB334</f>
        <v>0</v>
      </c>
      <c r="CC140" s="473">
        <f>блюда!CC334</f>
        <v>0</v>
      </c>
      <c r="CD140" s="473">
        <f>блюда!CD334</f>
        <v>0</v>
      </c>
      <c r="CE140" s="473">
        <f>блюда!CE334</f>
        <v>0</v>
      </c>
      <c r="CF140" s="473">
        <f>блюда!CF334</f>
        <v>0</v>
      </c>
      <c r="CG140" s="473">
        <f>блюда!CG334</f>
        <v>0</v>
      </c>
      <c r="CH140" s="473">
        <f>блюда!CH334</f>
        <v>0</v>
      </c>
      <c r="CI140" s="473">
        <f>блюда!CI334</f>
        <v>0</v>
      </c>
      <c r="CJ140" s="473">
        <f>блюда!CJ334</f>
        <v>0</v>
      </c>
      <c r="CK140" s="473">
        <f>блюда!CK334</f>
        <v>0</v>
      </c>
      <c r="CL140" s="473">
        <f>блюда!CL334</f>
        <v>0</v>
      </c>
      <c r="CM140" s="473">
        <f>блюда!CM334</f>
        <v>0</v>
      </c>
      <c r="CN140" s="473">
        <f>блюда!CN334</f>
        <v>0</v>
      </c>
      <c r="CO140" s="473">
        <f>блюда!CO334</f>
        <v>0</v>
      </c>
      <c r="CP140" s="473">
        <f>блюда!CP334</f>
        <v>0</v>
      </c>
      <c r="CQ140" s="473">
        <f>блюда!CQ334</f>
        <v>0</v>
      </c>
      <c r="CR140" s="473">
        <f>блюда!CR334</f>
        <v>0</v>
      </c>
      <c r="CS140" s="473">
        <f>блюда!CS334</f>
        <v>0</v>
      </c>
      <c r="CT140" s="473">
        <f>блюда!CT334</f>
        <v>0</v>
      </c>
      <c r="CU140" s="473">
        <f>блюда!CU334</f>
        <v>0</v>
      </c>
      <c r="CV140" s="473">
        <f>блюда!CV334</f>
        <v>0</v>
      </c>
      <c r="CW140" s="473">
        <f>блюда!CW334</f>
        <v>0</v>
      </c>
      <c r="CX140" s="473">
        <f>блюда!CX334</f>
        <v>0</v>
      </c>
      <c r="CY140" s="473">
        <f>блюда!CY334</f>
        <v>0</v>
      </c>
      <c r="CZ140" s="473">
        <f>блюда!CZ334</f>
        <v>0</v>
      </c>
      <c r="DA140" s="473">
        <f>блюда!DA334</f>
        <v>0</v>
      </c>
      <c r="DB140" s="473">
        <f>блюда!DB334</f>
        <v>0</v>
      </c>
      <c r="DC140" s="473">
        <f>блюда!DC334</f>
        <v>0</v>
      </c>
      <c r="DD140" s="473">
        <f>блюда!DD334</f>
        <v>0</v>
      </c>
      <c r="DE140" s="473">
        <f>блюда!DE334</f>
        <v>0</v>
      </c>
      <c r="DF140" s="473">
        <f>блюда!DF334</f>
        <v>0</v>
      </c>
      <c r="DG140" s="473">
        <f>блюда!DG334</f>
        <v>0</v>
      </c>
      <c r="DH140" s="473">
        <f>блюда!DH334</f>
        <v>0</v>
      </c>
      <c r="DI140" s="473">
        <f>блюда!DI334</f>
        <v>0</v>
      </c>
      <c r="DJ140" s="473">
        <f>блюда!DJ334</f>
        <v>0</v>
      </c>
      <c r="DK140" s="473">
        <f>блюда!DK334</f>
        <v>0</v>
      </c>
      <c r="DL140" s="473">
        <f>блюда!DL334</f>
        <v>0</v>
      </c>
      <c r="DM140" s="473">
        <f>блюда!DM334</f>
        <v>0</v>
      </c>
      <c r="DN140" s="473">
        <f>блюда!DN334</f>
        <v>0</v>
      </c>
      <c r="DO140" s="473">
        <f>блюда!DO334</f>
        <v>0</v>
      </c>
      <c r="DP140" s="473">
        <f>блюда!DP334</f>
        <v>0</v>
      </c>
      <c r="DQ140" s="473">
        <f>блюда!DQ334</f>
        <v>0</v>
      </c>
      <c r="DR140" s="473">
        <f>блюда!DR334</f>
        <v>0</v>
      </c>
      <c r="DS140" s="473">
        <f>блюда!DS334</f>
        <v>0</v>
      </c>
      <c r="DT140" s="473">
        <f>блюда!DT334</f>
        <v>0</v>
      </c>
      <c r="DU140" s="473">
        <f>блюда!DU334</f>
        <v>0</v>
      </c>
      <c r="DV140" s="473">
        <f>блюда!DV334</f>
        <v>0</v>
      </c>
      <c r="DW140" s="473">
        <f>блюда!DW334</f>
        <v>0</v>
      </c>
      <c r="DX140" s="473">
        <f>блюда!DX334</f>
        <v>0</v>
      </c>
      <c r="DY140" s="473">
        <f>блюда!DY334</f>
        <v>0</v>
      </c>
      <c r="DZ140" s="473">
        <f>блюда!DZ334</f>
        <v>0</v>
      </c>
      <c r="EA140" s="473">
        <f>блюда!EA334</f>
        <v>0</v>
      </c>
      <c r="EB140" s="473">
        <f>блюда!EB334</f>
        <v>0</v>
      </c>
      <c r="EC140" s="473">
        <f>блюда!EC334</f>
        <v>0</v>
      </c>
      <c r="ED140" s="473">
        <f>блюда!ED334</f>
        <v>0</v>
      </c>
      <c r="EE140" s="473">
        <f>блюда!EE334</f>
        <v>0</v>
      </c>
      <c r="EF140" s="473">
        <f>блюда!EF334</f>
        <v>0</v>
      </c>
      <c r="EG140" s="473">
        <f>блюда!EG334</f>
        <v>0</v>
      </c>
      <c r="EH140" s="473">
        <f>блюда!EH334</f>
        <v>0</v>
      </c>
      <c r="EI140" s="473">
        <f>блюда!EI334</f>
        <v>0</v>
      </c>
      <c r="EJ140" s="473">
        <f>блюда!EJ334</f>
        <v>0</v>
      </c>
      <c r="EK140" s="473">
        <f>блюда!EK334</f>
        <v>0</v>
      </c>
      <c r="EL140" s="473">
        <f>блюда!EL334</f>
        <v>0</v>
      </c>
      <c r="EM140" s="473">
        <f>блюда!EM334</f>
        <v>0</v>
      </c>
      <c r="EN140" s="473">
        <f>блюда!EN334</f>
        <v>0</v>
      </c>
      <c r="EO140" s="473">
        <f>блюда!EO334</f>
        <v>0</v>
      </c>
      <c r="EP140" s="473">
        <f>блюда!EP334</f>
        <v>0</v>
      </c>
      <c r="EQ140" s="473">
        <f>блюда!EQ334</f>
        <v>0</v>
      </c>
      <c r="ER140" s="473">
        <f>блюда!ER334</f>
        <v>0</v>
      </c>
      <c r="ES140" s="473">
        <f>блюда!ES334</f>
        <v>0</v>
      </c>
      <c r="ET140" s="473">
        <f>блюда!ET334</f>
        <v>0</v>
      </c>
      <c r="EU140" s="473">
        <f>блюда!EU334</f>
        <v>0</v>
      </c>
      <c r="EV140" s="473">
        <f>блюда!EV334</f>
        <v>0</v>
      </c>
      <c r="EW140" s="473">
        <f>блюда!EW334</f>
        <v>0.04</v>
      </c>
      <c r="EX140" s="473">
        <f>блюда!EX334</f>
        <v>0</v>
      </c>
      <c r="EY140" s="927">
        <f t="shared" si="88"/>
        <v>0.04</v>
      </c>
      <c r="EZ140" s="431">
        <f>блюда!EZ13</f>
        <v>0</v>
      </c>
      <c r="FA140" s="431">
        <f>блюда!FA13</f>
        <v>0</v>
      </c>
      <c r="FB140" s="431">
        <f>блюда!FB13</f>
        <v>0</v>
      </c>
      <c r="FC140" s="431">
        <f>блюда!FC13</f>
        <v>0</v>
      </c>
      <c r="FD140" s="431">
        <f>блюда!FD13</f>
        <v>0</v>
      </c>
      <c r="FE140" s="431">
        <f>блюда!FE13</f>
        <v>0</v>
      </c>
      <c r="FF140" s="431">
        <f>блюда!FF13</f>
        <v>0</v>
      </c>
      <c r="FG140" s="431">
        <f>блюда!FG13</f>
        <v>0</v>
      </c>
      <c r="FH140" s="431">
        <f>блюда!FH13</f>
        <v>0</v>
      </c>
      <c r="FI140" s="431">
        <f>блюда!FI13</f>
        <v>0</v>
      </c>
      <c r="FJ140" s="431">
        <f>блюда!FJ13</f>
        <v>0</v>
      </c>
      <c r="FK140" s="431">
        <f>блюда!FK13</f>
        <v>0</v>
      </c>
      <c r="FL140" s="431">
        <f>блюда!FL13</f>
        <v>0</v>
      </c>
    </row>
    <row r="141" spans="1:169" ht="13.95" customHeight="1" x14ac:dyDescent="0.25">
      <c r="A141" s="1460"/>
      <c r="B141" s="115" t="str">
        <f>блюда!B286</f>
        <v>Чай с сахаром</v>
      </c>
      <c r="C141" s="116">
        <f>блюда!C286</f>
        <v>200</v>
      </c>
      <c r="D141" s="431">
        <f>блюда!D286</f>
        <v>7.0000000000000007E-2</v>
      </c>
      <c r="E141" s="431">
        <f>блюда!E286</f>
        <v>0.02</v>
      </c>
      <c r="F141" s="431">
        <f>блюда!F286</f>
        <v>13.95</v>
      </c>
      <c r="G141" s="116">
        <f>блюда!G286</f>
        <v>56</v>
      </c>
      <c r="H141" s="116">
        <f>блюда!H286</f>
        <v>376</v>
      </c>
      <c r="I141" s="431">
        <f>блюда!I286</f>
        <v>1.59</v>
      </c>
      <c r="J141" s="473">
        <f>блюда!J286</f>
        <v>0</v>
      </c>
      <c r="K141" s="473">
        <f>блюда!K286</f>
        <v>0</v>
      </c>
      <c r="L141" s="473">
        <f>блюда!L286</f>
        <v>0</v>
      </c>
      <c r="M141" s="473">
        <f>блюда!M286</f>
        <v>0</v>
      </c>
      <c r="N141" s="473">
        <f>блюда!N286</f>
        <v>0</v>
      </c>
      <c r="O141" s="473">
        <f>блюда!O286</f>
        <v>0</v>
      </c>
      <c r="P141" s="473">
        <f>блюда!P286</f>
        <v>0</v>
      </c>
      <c r="Q141" s="473">
        <f>блюда!Q286</f>
        <v>0</v>
      </c>
      <c r="R141" s="473">
        <f>блюда!R286</f>
        <v>0</v>
      </c>
      <c r="S141" s="473">
        <f>блюда!S286</f>
        <v>0</v>
      </c>
      <c r="T141" s="473">
        <f>блюда!T286</f>
        <v>0</v>
      </c>
      <c r="U141" s="473">
        <f>блюда!U286</f>
        <v>0</v>
      </c>
      <c r="V141" s="473">
        <f>блюда!V286</f>
        <v>0</v>
      </c>
      <c r="W141" s="473">
        <f>блюда!W286</f>
        <v>0</v>
      </c>
      <c r="X141" s="473">
        <f>блюда!X286</f>
        <v>0</v>
      </c>
      <c r="Y141" s="473">
        <f>блюда!Y286</f>
        <v>0</v>
      </c>
      <c r="Z141" s="473">
        <f>блюда!Z286</f>
        <v>0</v>
      </c>
      <c r="AA141" s="473">
        <f>блюда!AA286</f>
        <v>0</v>
      </c>
      <c r="AB141" s="473">
        <f>блюда!AB286</f>
        <v>0</v>
      </c>
      <c r="AC141" s="473">
        <f>блюда!AC286</f>
        <v>0</v>
      </c>
      <c r="AD141" s="473">
        <f>блюда!AD286</f>
        <v>0</v>
      </c>
      <c r="AE141" s="473">
        <f>блюда!AE286</f>
        <v>0</v>
      </c>
      <c r="AF141" s="473">
        <f>блюда!AF286</f>
        <v>0</v>
      </c>
      <c r="AG141" s="473">
        <f>блюда!AG286</f>
        <v>0</v>
      </c>
      <c r="AH141" s="473">
        <f>блюда!AH286</f>
        <v>0</v>
      </c>
      <c r="AI141" s="473">
        <f>блюда!AI286</f>
        <v>0</v>
      </c>
      <c r="AJ141" s="473">
        <f>блюда!AJ286</f>
        <v>0</v>
      </c>
      <c r="AK141" s="473">
        <f>блюда!AK286</f>
        <v>0</v>
      </c>
      <c r="AL141" s="473">
        <f>блюда!AL286</f>
        <v>0</v>
      </c>
      <c r="AM141" s="473">
        <f>блюда!AM286</f>
        <v>0</v>
      </c>
      <c r="AN141" s="473">
        <f>блюда!AN286</f>
        <v>0</v>
      </c>
      <c r="AO141" s="473">
        <f>блюда!AO286</f>
        <v>0</v>
      </c>
      <c r="AP141" s="473">
        <f>блюда!AP286</f>
        <v>0</v>
      </c>
      <c r="AQ141" s="473">
        <f>блюда!AQ286</f>
        <v>0</v>
      </c>
      <c r="AR141" s="473">
        <f>блюда!AR286</f>
        <v>0</v>
      </c>
      <c r="AS141" s="473">
        <f>блюда!AS286</f>
        <v>0</v>
      </c>
      <c r="AT141" s="473">
        <f>блюда!AT286</f>
        <v>0</v>
      </c>
      <c r="AU141" s="473">
        <f>блюда!AU286</f>
        <v>0</v>
      </c>
      <c r="AV141" s="473">
        <f>блюда!AV286</f>
        <v>0</v>
      </c>
      <c r="AW141" s="473">
        <f>блюда!AW286</f>
        <v>0</v>
      </c>
      <c r="AX141" s="473">
        <f>блюда!AX286</f>
        <v>0</v>
      </c>
      <c r="AY141" s="473">
        <f>блюда!AY286</f>
        <v>0</v>
      </c>
      <c r="AZ141" s="473">
        <f>блюда!AZ286</f>
        <v>0</v>
      </c>
      <c r="BA141" s="473">
        <f>блюда!BA286</f>
        <v>0</v>
      </c>
      <c r="BB141" s="473">
        <f>блюда!BB286</f>
        <v>0</v>
      </c>
      <c r="BC141" s="473">
        <f>блюда!BC286</f>
        <v>0</v>
      </c>
      <c r="BD141" s="473">
        <f>блюда!BD286</f>
        <v>0</v>
      </c>
      <c r="BE141" s="473">
        <f>блюда!BE286</f>
        <v>0</v>
      </c>
      <c r="BF141" s="473">
        <f>блюда!BF286</f>
        <v>0</v>
      </c>
      <c r="BG141" s="473">
        <f>блюда!BG286</f>
        <v>0</v>
      </c>
      <c r="BH141" s="473">
        <f>блюда!BH286</f>
        <v>0</v>
      </c>
      <c r="BI141" s="473">
        <f>блюда!BI286</f>
        <v>0</v>
      </c>
      <c r="BJ141" s="473">
        <f>блюда!BJ286</f>
        <v>0</v>
      </c>
      <c r="BK141" s="473">
        <f>блюда!BK286</f>
        <v>0</v>
      </c>
      <c r="BL141" s="473">
        <f>блюда!BL286</f>
        <v>0</v>
      </c>
      <c r="BM141" s="473">
        <f>блюда!BM286</f>
        <v>0</v>
      </c>
      <c r="BN141" s="473">
        <f>блюда!BN286</f>
        <v>0</v>
      </c>
      <c r="BO141" s="473">
        <f>блюда!BO286</f>
        <v>0</v>
      </c>
      <c r="BP141" s="473">
        <f>блюда!BP286</f>
        <v>0</v>
      </c>
      <c r="BQ141" s="473">
        <f>блюда!BQ286</f>
        <v>0</v>
      </c>
      <c r="BR141" s="473">
        <f>блюда!BR286</f>
        <v>0</v>
      </c>
      <c r="BS141" s="473">
        <f>блюда!BS286</f>
        <v>0</v>
      </c>
      <c r="BT141" s="473">
        <f>блюда!BT286</f>
        <v>0</v>
      </c>
      <c r="BU141" s="473">
        <f>блюда!BU286</f>
        <v>0</v>
      </c>
      <c r="BV141" s="473">
        <f>блюда!BV286</f>
        <v>0</v>
      </c>
      <c r="BW141" s="473">
        <f>блюда!BW286</f>
        <v>0</v>
      </c>
      <c r="BX141" s="473">
        <f>блюда!BX286</f>
        <v>0</v>
      </c>
      <c r="BY141" s="473">
        <f>блюда!BY286</f>
        <v>0</v>
      </c>
      <c r="BZ141" s="473">
        <f>блюда!BZ286</f>
        <v>0</v>
      </c>
      <c r="CA141" s="473">
        <f>блюда!CA286</f>
        <v>0</v>
      </c>
      <c r="CB141" s="473">
        <f>блюда!CB286</f>
        <v>0</v>
      </c>
      <c r="CC141" s="473">
        <f>блюда!CC286</f>
        <v>0</v>
      </c>
      <c r="CD141" s="473">
        <f>блюда!CD286</f>
        <v>0</v>
      </c>
      <c r="CE141" s="473">
        <f>блюда!CE286</f>
        <v>0</v>
      </c>
      <c r="CF141" s="473">
        <f>блюда!CF286</f>
        <v>0</v>
      </c>
      <c r="CG141" s="473">
        <f>блюда!CG286</f>
        <v>0</v>
      </c>
      <c r="CH141" s="473">
        <f>блюда!CH286</f>
        <v>0</v>
      </c>
      <c r="CI141" s="473">
        <f>блюда!CI286</f>
        <v>0</v>
      </c>
      <c r="CJ141" s="473">
        <f>блюда!CJ286</f>
        <v>0</v>
      </c>
      <c r="CK141" s="473">
        <f>блюда!CK286</f>
        <v>0</v>
      </c>
      <c r="CL141" s="473">
        <f>блюда!CL286</f>
        <v>0</v>
      </c>
      <c r="CM141" s="473">
        <f>блюда!CM286</f>
        <v>0</v>
      </c>
      <c r="CN141" s="473">
        <f>блюда!CN286</f>
        <v>0</v>
      </c>
      <c r="CO141" s="473">
        <f>блюда!CO286</f>
        <v>0</v>
      </c>
      <c r="CP141" s="473">
        <f>блюда!CP286</f>
        <v>0</v>
      </c>
      <c r="CQ141" s="473">
        <f>блюда!CQ286</f>
        <v>0</v>
      </c>
      <c r="CR141" s="473">
        <f>блюда!CR286</f>
        <v>0</v>
      </c>
      <c r="CS141" s="473">
        <f>блюда!CS286</f>
        <v>0</v>
      </c>
      <c r="CT141" s="473">
        <f>блюда!CT286</f>
        <v>0</v>
      </c>
      <c r="CU141" s="473">
        <f>блюда!CU286</f>
        <v>0</v>
      </c>
      <c r="CV141" s="473">
        <f>блюда!CV286</f>
        <v>0</v>
      </c>
      <c r="CW141" s="473">
        <f>блюда!CW286</f>
        <v>0</v>
      </c>
      <c r="CX141" s="473">
        <f>блюда!CX286</f>
        <v>0</v>
      </c>
      <c r="CY141" s="473">
        <f>блюда!CY286</f>
        <v>0</v>
      </c>
      <c r="CZ141" s="473">
        <f>блюда!CZ286</f>
        <v>1.4999999999999999E-2</v>
      </c>
      <c r="DA141" s="473">
        <f>блюда!DA286</f>
        <v>0</v>
      </c>
      <c r="DB141" s="473">
        <f>блюда!DB286</f>
        <v>0</v>
      </c>
      <c r="DC141" s="473">
        <f>блюда!DC286</f>
        <v>0</v>
      </c>
      <c r="DD141" s="473">
        <f>блюда!DD286</f>
        <v>0</v>
      </c>
      <c r="DE141" s="473">
        <f>блюда!DE286</f>
        <v>0</v>
      </c>
      <c r="DF141" s="473">
        <f>блюда!DF286</f>
        <v>0</v>
      </c>
      <c r="DG141" s="473">
        <f>блюда!DG286</f>
        <v>0</v>
      </c>
      <c r="DH141" s="473">
        <f>блюда!DH286</f>
        <v>0</v>
      </c>
      <c r="DI141" s="473">
        <f>блюда!DI286</f>
        <v>0</v>
      </c>
      <c r="DJ141" s="473">
        <f>блюда!DJ286</f>
        <v>0</v>
      </c>
      <c r="DK141" s="473">
        <f>блюда!DK286</f>
        <v>0</v>
      </c>
      <c r="DL141" s="473">
        <f>блюда!DL286</f>
        <v>0</v>
      </c>
      <c r="DM141" s="473">
        <f>блюда!DM286</f>
        <v>0</v>
      </c>
      <c r="DN141" s="473">
        <f>блюда!DN286</f>
        <v>0</v>
      </c>
      <c r="DO141" s="473">
        <f>блюда!DO286</f>
        <v>0</v>
      </c>
      <c r="DP141" s="473">
        <f>блюда!DP286</f>
        <v>0</v>
      </c>
      <c r="DQ141" s="473">
        <f>блюда!DQ286</f>
        <v>0</v>
      </c>
      <c r="DR141" s="473">
        <f>блюда!DR286</f>
        <v>5.0000000000000001E-4</v>
      </c>
      <c r="DS141" s="473">
        <f>блюда!DS286</f>
        <v>0</v>
      </c>
      <c r="DT141" s="473">
        <f>блюда!DT286</f>
        <v>0</v>
      </c>
      <c r="DU141" s="473">
        <f>блюда!DU286</f>
        <v>0</v>
      </c>
      <c r="DV141" s="473">
        <f>блюда!DV286</f>
        <v>0</v>
      </c>
      <c r="DW141" s="473">
        <f>блюда!DW286</f>
        <v>0</v>
      </c>
      <c r="DX141" s="473">
        <f>блюда!DX286</f>
        <v>0</v>
      </c>
      <c r="DY141" s="473">
        <f>блюда!DY286</f>
        <v>0</v>
      </c>
      <c r="DZ141" s="473">
        <f>блюда!DZ286</f>
        <v>0</v>
      </c>
      <c r="EA141" s="473">
        <f>блюда!EA286</f>
        <v>0</v>
      </c>
      <c r="EB141" s="473">
        <f>блюда!EB286</f>
        <v>0</v>
      </c>
      <c r="EC141" s="473">
        <f>блюда!EC286</f>
        <v>0</v>
      </c>
      <c r="ED141" s="473">
        <f>блюда!ED286</f>
        <v>0</v>
      </c>
      <c r="EE141" s="473">
        <f>блюда!EE286</f>
        <v>0</v>
      </c>
      <c r="EF141" s="473">
        <f>блюда!EF286</f>
        <v>0</v>
      </c>
      <c r="EG141" s="473">
        <f>блюда!EG286</f>
        <v>0</v>
      </c>
      <c r="EH141" s="473">
        <f>блюда!EH286</f>
        <v>0</v>
      </c>
      <c r="EI141" s="473">
        <f>блюда!EI286</f>
        <v>0</v>
      </c>
      <c r="EJ141" s="473">
        <f>блюда!EJ286</f>
        <v>0</v>
      </c>
      <c r="EK141" s="473">
        <f>блюда!EK286</f>
        <v>0</v>
      </c>
      <c r="EL141" s="473">
        <f>блюда!EL286</f>
        <v>0</v>
      </c>
      <c r="EM141" s="473">
        <f>блюда!EM286</f>
        <v>0</v>
      </c>
      <c r="EN141" s="473">
        <f>блюда!EN286</f>
        <v>0</v>
      </c>
      <c r="EO141" s="473">
        <f>блюда!EO286</f>
        <v>0</v>
      </c>
      <c r="EP141" s="473">
        <f>блюда!EP286</f>
        <v>0</v>
      </c>
      <c r="EQ141" s="473">
        <f>блюда!EQ286</f>
        <v>0</v>
      </c>
      <c r="ER141" s="473">
        <f>блюда!ER286</f>
        <v>0</v>
      </c>
      <c r="ES141" s="473">
        <f>блюда!ES286</f>
        <v>0</v>
      </c>
      <c r="ET141" s="473">
        <f>блюда!ET286</f>
        <v>0</v>
      </c>
      <c r="EU141" s="473">
        <f>блюда!EU286</f>
        <v>0</v>
      </c>
      <c r="EV141" s="473">
        <f>блюда!EV286</f>
        <v>0</v>
      </c>
      <c r="EW141" s="473">
        <f>блюда!EW286</f>
        <v>0</v>
      </c>
      <c r="EX141" s="473">
        <f>блюда!EX286</f>
        <v>0</v>
      </c>
      <c r="EY141" s="927">
        <f t="shared" si="88"/>
        <v>1.55E-2</v>
      </c>
      <c r="EZ141" s="431">
        <f>блюда!EZ259</f>
        <v>0</v>
      </c>
      <c r="FA141" s="431">
        <f>блюда!FA259</f>
        <v>0</v>
      </c>
      <c r="FB141" s="431">
        <f>блюда!FB259</f>
        <v>0</v>
      </c>
      <c r="FC141" s="431">
        <f>блюда!FC259</f>
        <v>0</v>
      </c>
      <c r="FD141" s="431">
        <f>блюда!FD259</f>
        <v>0</v>
      </c>
      <c r="FE141" s="431">
        <f>блюда!FE259</f>
        <v>0</v>
      </c>
      <c r="FF141" s="431">
        <f>блюда!FF259</f>
        <v>0</v>
      </c>
      <c r="FG141" s="431">
        <f>блюда!FG259</f>
        <v>0</v>
      </c>
      <c r="FH141" s="431">
        <f>блюда!FH259</f>
        <v>0</v>
      </c>
      <c r="FI141" s="431">
        <f>блюда!FI259</f>
        <v>0</v>
      </c>
      <c r="FJ141" s="431">
        <f>блюда!FJ259</f>
        <v>0</v>
      </c>
      <c r="FK141" s="431">
        <f>блюда!FK259</f>
        <v>0</v>
      </c>
      <c r="FL141" s="431">
        <f>блюда!FL259</f>
        <v>0</v>
      </c>
    </row>
    <row r="142" spans="1:169" ht="13.95" customHeight="1" x14ac:dyDescent="0.25">
      <c r="A142" s="1460"/>
      <c r="B142" s="115" t="str">
        <f>блюда!B343</f>
        <v>Вода питьевая 19 л</v>
      </c>
      <c r="C142" s="116">
        <f>блюда!C343</f>
        <v>500</v>
      </c>
      <c r="D142" s="431">
        <f>блюда!D343</f>
        <v>0</v>
      </c>
      <c r="E142" s="431">
        <f>блюда!E343</f>
        <v>0</v>
      </c>
      <c r="F142" s="431">
        <f>блюда!F343</f>
        <v>0</v>
      </c>
      <c r="G142" s="116">
        <f>блюда!G343</f>
        <v>0</v>
      </c>
      <c r="H142" s="116" t="str">
        <f>блюда!H343</f>
        <v>ПРОМ</v>
      </c>
      <c r="I142" s="431">
        <f>блюда!I343</f>
        <v>2.9</v>
      </c>
      <c r="J142" s="473">
        <f>блюда!J343</f>
        <v>0</v>
      </c>
      <c r="K142" s="473">
        <f>блюда!K343</f>
        <v>0</v>
      </c>
      <c r="L142" s="473">
        <f>блюда!L343</f>
        <v>0</v>
      </c>
      <c r="M142" s="473">
        <f>блюда!M343</f>
        <v>0</v>
      </c>
      <c r="N142" s="473">
        <f>блюда!N343</f>
        <v>0</v>
      </c>
      <c r="O142" s="473">
        <f>блюда!O343</f>
        <v>0</v>
      </c>
      <c r="P142" s="473">
        <f>блюда!P343</f>
        <v>0</v>
      </c>
      <c r="Q142" s="473">
        <f>блюда!Q343</f>
        <v>0</v>
      </c>
      <c r="R142" s="473">
        <f>блюда!R343</f>
        <v>0</v>
      </c>
      <c r="S142" s="473">
        <f>блюда!S343</f>
        <v>0</v>
      </c>
      <c r="T142" s="473">
        <f>блюда!T343</f>
        <v>0</v>
      </c>
      <c r="U142" s="473">
        <f>блюда!U343</f>
        <v>0</v>
      </c>
      <c r="V142" s="473">
        <f>блюда!V343</f>
        <v>0</v>
      </c>
      <c r="W142" s="473">
        <f>блюда!W343</f>
        <v>0</v>
      </c>
      <c r="X142" s="473">
        <f>блюда!X343</f>
        <v>0</v>
      </c>
      <c r="Y142" s="473">
        <f>блюда!Y343</f>
        <v>0</v>
      </c>
      <c r="Z142" s="473">
        <f>блюда!Z343</f>
        <v>0</v>
      </c>
      <c r="AA142" s="473">
        <f>блюда!AA343</f>
        <v>0</v>
      </c>
      <c r="AB142" s="473">
        <f>блюда!AB343</f>
        <v>0</v>
      </c>
      <c r="AC142" s="473">
        <f>блюда!AC343</f>
        <v>0</v>
      </c>
      <c r="AD142" s="473">
        <f>блюда!AD343</f>
        <v>0</v>
      </c>
      <c r="AE142" s="473">
        <f>блюда!AE343</f>
        <v>0</v>
      </c>
      <c r="AF142" s="473">
        <f>блюда!AF343</f>
        <v>0</v>
      </c>
      <c r="AG142" s="473">
        <f>блюда!AG343</f>
        <v>0</v>
      </c>
      <c r="AH142" s="473">
        <f>блюда!AH343</f>
        <v>0</v>
      </c>
      <c r="AI142" s="473">
        <f>блюда!AI343</f>
        <v>0</v>
      </c>
      <c r="AJ142" s="473">
        <f>блюда!AJ343</f>
        <v>0</v>
      </c>
      <c r="AK142" s="473">
        <f>блюда!AK343</f>
        <v>0</v>
      </c>
      <c r="AL142" s="473">
        <f>блюда!AL343</f>
        <v>0</v>
      </c>
      <c r="AM142" s="473">
        <f>блюда!AM343</f>
        <v>0</v>
      </c>
      <c r="AN142" s="473">
        <f>блюда!AN343</f>
        <v>0</v>
      </c>
      <c r="AO142" s="473">
        <f>блюда!AO343</f>
        <v>0</v>
      </c>
      <c r="AP142" s="473">
        <f>блюда!AP343</f>
        <v>0</v>
      </c>
      <c r="AQ142" s="473">
        <f>блюда!AQ343</f>
        <v>0</v>
      </c>
      <c r="AR142" s="473">
        <f>блюда!AR343</f>
        <v>0</v>
      </c>
      <c r="AS142" s="473">
        <f>блюда!AS343</f>
        <v>0</v>
      </c>
      <c r="AT142" s="473">
        <f>блюда!AT343</f>
        <v>0</v>
      </c>
      <c r="AU142" s="473">
        <f>блюда!AU343</f>
        <v>0</v>
      </c>
      <c r="AV142" s="473">
        <f>блюда!AV343</f>
        <v>0</v>
      </c>
      <c r="AW142" s="473">
        <f>блюда!AW343</f>
        <v>0</v>
      </c>
      <c r="AX142" s="473">
        <f>блюда!AX343</f>
        <v>0</v>
      </c>
      <c r="AY142" s="473">
        <f>блюда!AY343</f>
        <v>0</v>
      </c>
      <c r="AZ142" s="473">
        <f>блюда!AZ343</f>
        <v>0</v>
      </c>
      <c r="BA142" s="473">
        <f>блюда!BA343</f>
        <v>0</v>
      </c>
      <c r="BB142" s="473">
        <f>блюда!BB343</f>
        <v>0</v>
      </c>
      <c r="BC142" s="473">
        <f>блюда!BC343</f>
        <v>0</v>
      </c>
      <c r="BD142" s="473">
        <f>блюда!BD343</f>
        <v>0</v>
      </c>
      <c r="BE142" s="473">
        <f>блюда!BE343</f>
        <v>0</v>
      </c>
      <c r="BF142" s="473">
        <f>блюда!BF343</f>
        <v>0</v>
      </c>
      <c r="BG142" s="473">
        <f>блюда!BG343</f>
        <v>0</v>
      </c>
      <c r="BH142" s="473">
        <f>блюда!BH343</f>
        <v>0</v>
      </c>
      <c r="BI142" s="473">
        <f>блюда!BI343</f>
        <v>0</v>
      </c>
      <c r="BJ142" s="473">
        <f>блюда!BJ343</f>
        <v>0</v>
      </c>
      <c r="BK142" s="473">
        <f>блюда!BK343</f>
        <v>0</v>
      </c>
      <c r="BL142" s="473">
        <f>блюда!BL343</f>
        <v>0</v>
      </c>
      <c r="BM142" s="473">
        <f>блюда!BM343</f>
        <v>0</v>
      </c>
      <c r="BN142" s="473">
        <f>блюда!BN343</f>
        <v>0</v>
      </c>
      <c r="BO142" s="473">
        <f>блюда!BO343</f>
        <v>0</v>
      </c>
      <c r="BP142" s="473">
        <f>блюда!BP343</f>
        <v>0</v>
      </c>
      <c r="BQ142" s="473">
        <f>блюда!BQ343</f>
        <v>0</v>
      </c>
      <c r="BR142" s="473">
        <f>блюда!BR343</f>
        <v>0</v>
      </c>
      <c r="BS142" s="473">
        <f>блюда!BS343</f>
        <v>0</v>
      </c>
      <c r="BT142" s="473">
        <f>блюда!BT343</f>
        <v>0</v>
      </c>
      <c r="BU142" s="473">
        <f>блюда!BU343</f>
        <v>0</v>
      </c>
      <c r="BV142" s="473">
        <f>блюда!BV343</f>
        <v>0</v>
      </c>
      <c r="BW142" s="473">
        <f>блюда!BW343</f>
        <v>0</v>
      </c>
      <c r="BX142" s="473">
        <f>блюда!BX343</f>
        <v>0</v>
      </c>
      <c r="BY142" s="473">
        <f>блюда!BY343</f>
        <v>0</v>
      </c>
      <c r="BZ142" s="473">
        <f>блюда!BZ343</f>
        <v>0</v>
      </c>
      <c r="CA142" s="473">
        <f>блюда!CA343</f>
        <v>0</v>
      </c>
      <c r="CB142" s="473">
        <f>блюда!CB343</f>
        <v>0</v>
      </c>
      <c r="CC142" s="473">
        <f>блюда!CC343</f>
        <v>0</v>
      </c>
      <c r="CD142" s="473">
        <f>блюда!CD343</f>
        <v>0</v>
      </c>
      <c r="CE142" s="473">
        <f>блюда!CE343</f>
        <v>0</v>
      </c>
      <c r="CF142" s="473">
        <f>блюда!CF343</f>
        <v>0</v>
      </c>
      <c r="CG142" s="473">
        <f>блюда!CG343</f>
        <v>0</v>
      </c>
      <c r="CH142" s="473">
        <f>блюда!CH343</f>
        <v>0</v>
      </c>
      <c r="CI142" s="473">
        <f>блюда!CI343</f>
        <v>0</v>
      </c>
      <c r="CJ142" s="473">
        <f>блюда!CJ343</f>
        <v>0</v>
      </c>
      <c r="CK142" s="473">
        <f>блюда!CK343</f>
        <v>0</v>
      </c>
      <c r="CL142" s="473">
        <f>блюда!CL343</f>
        <v>0</v>
      </c>
      <c r="CM142" s="473">
        <f>блюда!CM343</f>
        <v>0</v>
      </c>
      <c r="CN142" s="473">
        <f>блюда!CN343</f>
        <v>0</v>
      </c>
      <c r="CO142" s="473">
        <f>блюда!CO343</f>
        <v>0</v>
      </c>
      <c r="CP142" s="473">
        <f>блюда!CP343</f>
        <v>0</v>
      </c>
      <c r="CQ142" s="473">
        <f>блюда!CQ343</f>
        <v>0</v>
      </c>
      <c r="CR142" s="473">
        <f>блюда!CR343</f>
        <v>0</v>
      </c>
      <c r="CS142" s="473">
        <f>блюда!CS343</f>
        <v>0</v>
      </c>
      <c r="CT142" s="473">
        <f>блюда!CT343</f>
        <v>0</v>
      </c>
      <c r="CU142" s="473">
        <f>блюда!CU343</f>
        <v>0</v>
      </c>
      <c r="CV142" s="473">
        <f>блюда!CV343</f>
        <v>0</v>
      </c>
      <c r="CW142" s="473">
        <f>блюда!CW343</f>
        <v>0</v>
      </c>
      <c r="CX142" s="473">
        <f>блюда!CX343</f>
        <v>0</v>
      </c>
      <c r="CY142" s="473">
        <f>блюда!CY343</f>
        <v>0</v>
      </c>
      <c r="CZ142" s="473">
        <f>блюда!CZ343</f>
        <v>0</v>
      </c>
      <c r="DA142" s="473">
        <f>блюда!DA343</f>
        <v>0</v>
      </c>
      <c r="DB142" s="473">
        <f>блюда!DB343</f>
        <v>0</v>
      </c>
      <c r="DC142" s="473">
        <f>блюда!DC343</f>
        <v>0</v>
      </c>
      <c r="DD142" s="473">
        <f>блюда!DD343</f>
        <v>0</v>
      </c>
      <c r="DE142" s="473">
        <f>блюда!DE343</f>
        <v>0</v>
      </c>
      <c r="DF142" s="473">
        <f>блюда!DF343</f>
        <v>0</v>
      </c>
      <c r="DG142" s="473">
        <f>блюда!DG343</f>
        <v>0</v>
      </c>
      <c r="DH142" s="473">
        <f>блюда!DH343</f>
        <v>0</v>
      </c>
      <c r="DI142" s="473">
        <f>блюда!DI343</f>
        <v>0</v>
      </c>
      <c r="DJ142" s="473">
        <f>блюда!DJ343</f>
        <v>0</v>
      </c>
      <c r="DK142" s="473">
        <f>блюда!DK343</f>
        <v>0</v>
      </c>
      <c r="DL142" s="473">
        <f>блюда!DL343</f>
        <v>0</v>
      </c>
      <c r="DM142" s="473">
        <f>блюда!DM343</f>
        <v>0</v>
      </c>
      <c r="DN142" s="473">
        <f>блюда!DN343</f>
        <v>0</v>
      </c>
      <c r="DO142" s="473">
        <f>блюда!DO343</f>
        <v>0</v>
      </c>
      <c r="DP142" s="473">
        <f>блюда!DP343</f>
        <v>0</v>
      </c>
      <c r="DQ142" s="473">
        <f>блюда!DQ343</f>
        <v>0</v>
      </c>
      <c r="DR142" s="473">
        <f>блюда!DR343</f>
        <v>0</v>
      </c>
      <c r="DS142" s="473">
        <f>блюда!DS343</f>
        <v>0</v>
      </c>
      <c r="DT142" s="473">
        <f>блюда!DT343</f>
        <v>0</v>
      </c>
      <c r="DU142" s="473">
        <f>блюда!DU343</f>
        <v>0</v>
      </c>
      <c r="DV142" s="473">
        <f>блюда!DV343</f>
        <v>0</v>
      </c>
      <c r="DW142" s="473">
        <f>блюда!DW343</f>
        <v>0</v>
      </c>
      <c r="DX142" s="473">
        <f>блюда!DX343</f>
        <v>0</v>
      </c>
      <c r="DY142" s="473">
        <f>блюда!DY343</f>
        <v>0</v>
      </c>
      <c r="DZ142" s="473">
        <f>блюда!DZ343</f>
        <v>0</v>
      </c>
      <c r="EA142" s="473">
        <f>блюда!EA343</f>
        <v>0</v>
      </c>
      <c r="EB142" s="473">
        <f>блюда!EB343</f>
        <v>0.5</v>
      </c>
      <c r="EC142" s="473">
        <f>блюда!EC343</f>
        <v>0</v>
      </c>
      <c r="ED142" s="473">
        <f>блюда!ED343</f>
        <v>0</v>
      </c>
      <c r="EE142" s="473">
        <f>блюда!EE343</f>
        <v>0</v>
      </c>
      <c r="EF142" s="473">
        <f>блюда!EF343</f>
        <v>0</v>
      </c>
      <c r="EG142" s="473">
        <f>блюда!EG343</f>
        <v>0</v>
      </c>
      <c r="EH142" s="473">
        <f>блюда!EH343</f>
        <v>0</v>
      </c>
      <c r="EI142" s="473">
        <f>блюда!EI343</f>
        <v>0</v>
      </c>
      <c r="EJ142" s="473">
        <f>блюда!EJ343</f>
        <v>0</v>
      </c>
      <c r="EK142" s="473">
        <f>блюда!EK343</f>
        <v>0</v>
      </c>
      <c r="EL142" s="473">
        <f>блюда!EL343</f>
        <v>0</v>
      </c>
      <c r="EM142" s="473">
        <f>блюда!EM343</f>
        <v>0</v>
      </c>
      <c r="EN142" s="473">
        <f>блюда!EN343</f>
        <v>0</v>
      </c>
      <c r="EO142" s="473">
        <f>блюда!EO343</f>
        <v>0</v>
      </c>
      <c r="EP142" s="473">
        <f>блюда!EP343</f>
        <v>0</v>
      </c>
      <c r="EQ142" s="473">
        <f>блюда!EQ343</f>
        <v>0</v>
      </c>
      <c r="ER142" s="473">
        <f>блюда!ER343</f>
        <v>0</v>
      </c>
      <c r="ES142" s="473">
        <f>блюда!ES343</f>
        <v>0</v>
      </c>
      <c r="ET142" s="473">
        <f>блюда!ET343</f>
        <v>0</v>
      </c>
      <c r="EU142" s="473">
        <f>блюда!EU343</f>
        <v>0</v>
      </c>
      <c r="EV142" s="473">
        <f>блюда!EV343</f>
        <v>0</v>
      </c>
      <c r="EW142" s="473">
        <f>блюда!EW343</f>
        <v>0</v>
      </c>
      <c r="EX142" s="473">
        <f>блюда!EX343</f>
        <v>0</v>
      </c>
      <c r="EY142" s="927">
        <f t="shared" si="88"/>
        <v>0.5</v>
      </c>
      <c r="EZ142" s="117"/>
      <c r="FA142" s="117"/>
      <c r="FB142" s="117"/>
      <c r="FC142" s="117"/>
      <c r="FD142" s="117"/>
      <c r="FE142" s="117"/>
      <c r="FF142" s="117"/>
      <c r="FG142" s="117"/>
      <c r="FH142" s="117"/>
      <c r="FI142" s="117"/>
      <c r="FJ142" s="117"/>
      <c r="FK142" s="117"/>
      <c r="FL142" s="117"/>
    </row>
    <row r="143" spans="1:169" ht="13.95" customHeight="1" x14ac:dyDescent="0.25">
      <c r="A143" s="1460"/>
      <c r="B143" s="115"/>
      <c r="C143" s="250"/>
      <c r="D143" s="431"/>
      <c r="E143" s="431"/>
      <c r="F143" s="431"/>
      <c r="G143" s="250"/>
      <c r="H143" s="250"/>
      <c r="I143" s="431"/>
      <c r="J143" s="473"/>
      <c r="K143" s="473"/>
      <c r="L143" s="473"/>
      <c r="M143" s="473"/>
      <c r="N143" s="473"/>
      <c r="O143" s="473"/>
      <c r="P143" s="473"/>
      <c r="Q143" s="473"/>
      <c r="R143" s="473"/>
      <c r="S143" s="473"/>
      <c r="T143" s="473"/>
      <c r="U143" s="473"/>
      <c r="V143" s="473"/>
      <c r="W143" s="473"/>
      <c r="X143" s="473"/>
      <c r="Y143" s="473"/>
      <c r="Z143" s="473"/>
      <c r="AA143" s="473"/>
      <c r="AB143" s="473"/>
      <c r="AC143" s="473"/>
      <c r="AD143" s="473"/>
      <c r="AE143" s="473"/>
      <c r="AF143" s="473"/>
      <c r="AG143" s="473"/>
      <c r="AH143" s="473"/>
      <c r="AI143" s="473"/>
      <c r="AJ143" s="473"/>
      <c r="AK143" s="473"/>
      <c r="AL143" s="473"/>
      <c r="AM143" s="473"/>
      <c r="AN143" s="473"/>
      <c r="AO143" s="473"/>
      <c r="AP143" s="473"/>
      <c r="AQ143" s="473"/>
      <c r="AR143" s="473"/>
      <c r="AS143" s="473"/>
      <c r="AT143" s="473"/>
      <c r="AU143" s="473"/>
      <c r="AV143" s="473"/>
      <c r="AW143" s="473"/>
      <c r="AX143" s="473"/>
      <c r="AY143" s="473"/>
      <c r="AZ143" s="473"/>
      <c r="BA143" s="473"/>
      <c r="BB143" s="473"/>
      <c r="BC143" s="473"/>
      <c r="BD143" s="473"/>
      <c r="BE143" s="473"/>
      <c r="BF143" s="473"/>
      <c r="BG143" s="473"/>
      <c r="BH143" s="473"/>
      <c r="BI143" s="473"/>
      <c r="BJ143" s="473"/>
      <c r="BK143" s="473"/>
      <c r="BL143" s="473"/>
      <c r="BM143" s="473"/>
      <c r="BN143" s="473"/>
      <c r="BO143" s="473"/>
      <c r="BP143" s="473"/>
      <c r="BQ143" s="473"/>
      <c r="BR143" s="473"/>
      <c r="BS143" s="473"/>
      <c r="BT143" s="473"/>
      <c r="BU143" s="473"/>
      <c r="BV143" s="473"/>
      <c r="BW143" s="473"/>
      <c r="BX143" s="473"/>
      <c r="BY143" s="473"/>
      <c r="BZ143" s="473"/>
      <c r="CA143" s="473"/>
      <c r="CB143" s="473"/>
      <c r="CC143" s="473"/>
      <c r="CD143" s="473"/>
      <c r="CE143" s="473"/>
      <c r="CF143" s="473"/>
      <c r="CG143" s="473"/>
      <c r="CH143" s="473"/>
      <c r="CI143" s="473"/>
      <c r="CJ143" s="473"/>
      <c r="CK143" s="473"/>
      <c r="CL143" s="473"/>
      <c r="CM143" s="473"/>
      <c r="CN143" s="473"/>
      <c r="CO143" s="473"/>
      <c r="CP143" s="473"/>
      <c r="CQ143" s="473"/>
      <c r="CR143" s="473"/>
      <c r="CS143" s="473"/>
      <c r="CT143" s="473"/>
      <c r="CU143" s="473"/>
      <c r="CV143" s="473"/>
      <c r="CW143" s="473"/>
      <c r="CX143" s="473"/>
      <c r="CY143" s="473"/>
      <c r="CZ143" s="473"/>
      <c r="DA143" s="473"/>
      <c r="DB143" s="473"/>
      <c r="DC143" s="473"/>
      <c r="DD143" s="473"/>
      <c r="DE143" s="473"/>
      <c r="DF143" s="473"/>
      <c r="DG143" s="473"/>
      <c r="DH143" s="473"/>
      <c r="DI143" s="473"/>
      <c r="DJ143" s="473"/>
      <c r="DK143" s="473"/>
      <c r="DL143" s="473"/>
      <c r="DM143" s="473"/>
      <c r="DN143" s="473"/>
      <c r="DO143" s="473"/>
      <c r="DP143" s="473"/>
      <c r="DQ143" s="473"/>
      <c r="DR143" s="473"/>
      <c r="DS143" s="473"/>
      <c r="DT143" s="473"/>
      <c r="DU143" s="473"/>
      <c r="DV143" s="473"/>
      <c r="DW143" s="473"/>
      <c r="DX143" s="473"/>
      <c r="DY143" s="473"/>
      <c r="DZ143" s="473"/>
      <c r="EA143" s="473"/>
      <c r="EB143" s="473"/>
      <c r="EC143" s="473"/>
      <c r="ED143" s="473"/>
      <c r="EE143" s="473"/>
      <c r="EF143" s="473"/>
      <c r="EG143" s="473"/>
      <c r="EH143" s="473"/>
      <c r="EI143" s="473"/>
      <c r="EJ143" s="473"/>
      <c r="EK143" s="473"/>
      <c r="EL143" s="473"/>
      <c r="EM143" s="473"/>
      <c r="EN143" s="473"/>
      <c r="EO143" s="473"/>
      <c r="EP143" s="473"/>
      <c r="EQ143" s="473"/>
      <c r="ER143" s="473"/>
      <c r="ES143" s="473"/>
      <c r="ET143" s="473"/>
      <c r="EU143" s="473"/>
      <c r="EV143" s="473"/>
      <c r="EW143" s="473"/>
      <c r="EX143" s="473"/>
      <c r="EY143" s="927">
        <f t="shared" si="88"/>
        <v>0</v>
      </c>
      <c r="EZ143" s="117"/>
      <c r="FA143" s="117"/>
      <c r="FB143" s="117"/>
      <c r="FC143" s="117"/>
      <c r="FD143" s="117"/>
      <c r="FE143" s="117"/>
      <c r="FF143" s="117"/>
      <c r="FG143" s="117"/>
      <c r="FH143" s="117"/>
      <c r="FI143" s="117"/>
      <c r="FJ143" s="117"/>
      <c r="FK143" s="117"/>
      <c r="FL143" s="117"/>
    </row>
    <row r="144" spans="1:169" ht="13.95" customHeight="1" x14ac:dyDescent="0.25">
      <c r="A144" s="1460"/>
      <c r="B144" s="943"/>
      <c r="C144" s="250"/>
      <c r="D144" s="431"/>
      <c r="E144" s="431"/>
      <c r="F144" s="431"/>
      <c r="G144" s="250"/>
      <c r="H144" s="250"/>
      <c r="I144" s="431"/>
      <c r="J144" s="473"/>
      <c r="K144" s="473"/>
      <c r="L144" s="473"/>
      <c r="M144" s="473"/>
      <c r="N144" s="473"/>
      <c r="O144" s="473"/>
      <c r="P144" s="473"/>
      <c r="Q144" s="473"/>
      <c r="R144" s="473"/>
      <c r="S144" s="473"/>
      <c r="T144" s="473"/>
      <c r="U144" s="473"/>
      <c r="V144" s="473"/>
      <c r="W144" s="473"/>
      <c r="X144" s="473"/>
      <c r="Y144" s="473"/>
      <c r="Z144" s="473"/>
      <c r="AA144" s="473"/>
      <c r="AB144" s="473"/>
      <c r="AC144" s="473"/>
      <c r="AD144" s="473"/>
      <c r="AE144" s="473"/>
      <c r="AF144" s="473"/>
      <c r="AG144" s="473"/>
      <c r="AH144" s="473"/>
      <c r="AI144" s="473"/>
      <c r="AJ144" s="473"/>
      <c r="AK144" s="473"/>
      <c r="AL144" s="473"/>
      <c r="AM144" s="473"/>
      <c r="AN144" s="473"/>
      <c r="AO144" s="473"/>
      <c r="AP144" s="473"/>
      <c r="AQ144" s="473"/>
      <c r="AR144" s="473"/>
      <c r="AS144" s="473"/>
      <c r="AT144" s="473"/>
      <c r="AU144" s="473"/>
      <c r="AV144" s="473"/>
      <c r="AW144" s="473"/>
      <c r="AX144" s="473"/>
      <c r="AY144" s="473"/>
      <c r="AZ144" s="473"/>
      <c r="BA144" s="473"/>
      <c r="BB144" s="473"/>
      <c r="BC144" s="473"/>
      <c r="BD144" s="473"/>
      <c r="BE144" s="473"/>
      <c r="BF144" s="473"/>
      <c r="BG144" s="473"/>
      <c r="BH144" s="473"/>
      <c r="BI144" s="473"/>
      <c r="BJ144" s="473"/>
      <c r="BK144" s="473"/>
      <c r="BL144" s="473"/>
      <c r="BM144" s="473"/>
      <c r="BN144" s="473"/>
      <c r="BO144" s="473"/>
      <c r="BP144" s="473"/>
      <c r="BQ144" s="473"/>
      <c r="BR144" s="473"/>
      <c r="BS144" s="473"/>
      <c r="BT144" s="473"/>
      <c r="BU144" s="473"/>
      <c r="BV144" s="473"/>
      <c r="BW144" s="473"/>
      <c r="BX144" s="473"/>
      <c r="BY144" s="473"/>
      <c r="BZ144" s="473"/>
      <c r="CA144" s="473"/>
      <c r="CB144" s="473"/>
      <c r="CC144" s="473"/>
      <c r="CD144" s="473"/>
      <c r="CE144" s="473"/>
      <c r="CF144" s="473"/>
      <c r="CG144" s="473"/>
      <c r="CH144" s="473"/>
      <c r="CI144" s="473"/>
      <c r="CJ144" s="473"/>
      <c r="CK144" s="473"/>
      <c r="CL144" s="473"/>
      <c r="CM144" s="473"/>
      <c r="CN144" s="473"/>
      <c r="CO144" s="473"/>
      <c r="CP144" s="473"/>
      <c r="CQ144" s="473"/>
      <c r="CR144" s="473"/>
      <c r="CS144" s="473"/>
      <c r="CT144" s="473"/>
      <c r="CU144" s="473"/>
      <c r="CV144" s="473"/>
      <c r="CW144" s="473"/>
      <c r="CX144" s="473"/>
      <c r="CY144" s="473"/>
      <c r="CZ144" s="473"/>
      <c r="DA144" s="473"/>
      <c r="DB144" s="473"/>
      <c r="DC144" s="473"/>
      <c r="DD144" s="473"/>
      <c r="DE144" s="473"/>
      <c r="DF144" s="473"/>
      <c r="DG144" s="473"/>
      <c r="DH144" s="473"/>
      <c r="DI144" s="473"/>
      <c r="DJ144" s="473"/>
      <c r="DK144" s="473"/>
      <c r="DL144" s="473"/>
      <c r="DM144" s="473"/>
      <c r="DN144" s="473"/>
      <c r="DO144" s="473"/>
      <c r="DP144" s="473"/>
      <c r="DQ144" s="473"/>
      <c r="DR144" s="473"/>
      <c r="DS144" s="473"/>
      <c r="DT144" s="473"/>
      <c r="DU144" s="473"/>
      <c r="DV144" s="473"/>
      <c r="DW144" s="473"/>
      <c r="DX144" s="473"/>
      <c r="DY144" s="473"/>
      <c r="DZ144" s="473"/>
      <c r="EA144" s="473"/>
      <c r="EB144" s="473"/>
      <c r="EC144" s="473"/>
      <c r="ED144" s="473"/>
      <c r="EE144" s="473"/>
      <c r="EF144" s="473"/>
      <c r="EG144" s="473"/>
      <c r="EH144" s="473"/>
      <c r="EI144" s="473"/>
      <c r="EJ144" s="473"/>
      <c r="EK144" s="473"/>
      <c r="EL144" s="473"/>
      <c r="EM144" s="473"/>
      <c r="EN144" s="473"/>
      <c r="EO144" s="473"/>
      <c r="EP144" s="473"/>
      <c r="EQ144" s="473"/>
      <c r="ER144" s="473"/>
      <c r="ES144" s="473"/>
      <c r="ET144" s="473"/>
      <c r="EU144" s="473"/>
      <c r="EV144" s="473"/>
      <c r="EW144" s="473"/>
      <c r="EX144" s="473"/>
      <c r="EY144" s="927">
        <f t="shared" si="88"/>
        <v>0</v>
      </c>
      <c r="EZ144" s="117"/>
      <c r="FA144" s="117"/>
      <c r="FB144" s="117"/>
      <c r="FC144" s="117"/>
      <c r="FD144" s="117"/>
      <c r="FE144" s="117"/>
      <c r="FF144" s="117"/>
      <c r="FG144" s="117"/>
      <c r="FH144" s="117"/>
      <c r="FI144" s="117"/>
      <c r="FJ144" s="117"/>
      <c r="FK144" s="117"/>
      <c r="FL144" s="117"/>
    </row>
    <row r="145" spans="1:168" ht="13.95" customHeight="1" x14ac:dyDescent="0.25">
      <c r="A145" s="1461"/>
      <c r="B145" s="943"/>
      <c r="C145" s="250"/>
      <c r="D145" s="431"/>
      <c r="E145" s="431"/>
      <c r="F145" s="431"/>
      <c r="G145" s="250"/>
      <c r="H145" s="250"/>
      <c r="I145" s="431"/>
      <c r="J145" s="473"/>
      <c r="K145" s="473"/>
      <c r="L145" s="473"/>
      <c r="M145" s="473"/>
      <c r="N145" s="473"/>
      <c r="O145" s="473"/>
      <c r="P145" s="473"/>
      <c r="Q145" s="473"/>
      <c r="R145" s="473"/>
      <c r="S145" s="473"/>
      <c r="T145" s="473"/>
      <c r="U145" s="473"/>
      <c r="V145" s="473"/>
      <c r="W145" s="473"/>
      <c r="X145" s="473"/>
      <c r="Y145" s="473"/>
      <c r="Z145" s="473"/>
      <c r="AA145" s="473"/>
      <c r="AB145" s="473"/>
      <c r="AC145" s="473"/>
      <c r="AD145" s="473"/>
      <c r="AE145" s="473"/>
      <c r="AF145" s="473"/>
      <c r="AG145" s="473"/>
      <c r="AH145" s="473"/>
      <c r="AI145" s="473"/>
      <c r="AJ145" s="473"/>
      <c r="AK145" s="473"/>
      <c r="AL145" s="473"/>
      <c r="AM145" s="473"/>
      <c r="AN145" s="473"/>
      <c r="AO145" s="473"/>
      <c r="AP145" s="473"/>
      <c r="AQ145" s="473"/>
      <c r="AR145" s="473"/>
      <c r="AS145" s="473"/>
      <c r="AT145" s="473"/>
      <c r="AU145" s="473"/>
      <c r="AV145" s="473"/>
      <c r="AW145" s="473"/>
      <c r="AX145" s="473"/>
      <c r="AY145" s="473"/>
      <c r="AZ145" s="473"/>
      <c r="BA145" s="473"/>
      <c r="BB145" s="473"/>
      <c r="BC145" s="473"/>
      <c r="BD145" s="473"/>
      <c r="BE145" s="473"/>
      <c r="BF145" s="473"/>
      <c r="BG145" s="473"/>
      <c r="BH145" s="473"/>
      <c r="BI145" s="473"/>
      <c r="BJ145" s="473"/>
      <c r="BK145" s="473"/>
      <c r="BL145" s="473"/>
      <c r="BM145" s="473"/>
      <c r="BN145" s="473"/>
      <c r="BO145" s="473"/>
      <c r="BP145" s="473"/>
      <c r="BQ145" s="473"/>
      <c r="BR145" s="473"/>
      <c r="BS145" s="473"/>
      <c r="BT145" s="473"/>
      <c r="BU145" s="473"/>
      <c r="BV145" s="473"/>
      <c r="BW145" s="473"/>
      <c r="BX145" s="473"/>
      <c r="BY145" s="473"/>
      <c r="BZ145" s="473"/>
      <c r="CA145" s="473"/>
      <c r="CB145" s="473"/>
      <c r="CC145" s="473"/>
      <c r="CD145" s="473"/>
      <c r="CE145" s="473"/>
      <c r="CF145" s="473"/>
      <c r="CG145" s="473"/>
      <c r="CH145" s="473"/>
      <c r="CI145" s="473"/>
      <c r="CJ145" s="473"/>
      <c r="CK145" s="473"/>
      <c r="CL145" s="473"/>
      <c r="CM145" s="473"/>
      <c r="CN145" s="473"/>
      <c r="CO145" s="473"/>
      <c r="CP145" s="473"/>
      <c r="CQ145" s="473"/>
      <c r="CR145" s="473"/>
      <c r="CS145" s="473"/>
      <c r="CT145" s="473"/>
      <c r="CU145" s="473"/>
      <c r="CV145" s="473"/>
      <c r="CW145" s="473"/>
      <c r="CX145" s="473"/>
      <c r="CY145" s="473"/>
      <c r="CZ145" s="473"/>
      <c r="DA145" s="473"/>
      <c r="DB145" s="473"/>
      <c r="DC145" s="473"/>
      <c r="DD145" s="473"/>
      <c r="DE145" s="473"/>
      <c r="DF145" s="473"/>
      <c r="DG145" s="473"/>
      <c r="DH145" s="473"/>
      <c r="DI145" s="473"/>
      <c r="DJ145" s="473"/>
      <c r="DK145" s="473"/>
      <c r="DL145" s="473"/>
      <c r="DM145" s="473"/>
      <c r="DN145" s="473"/>
      <c r="DO145" s="473"/>
      <c r="DP145" s="473"/>
      <c r="DQ145" s="473"/>
      <c r="DR145" s="473"/>
      <c r="DS145" s="473"/>
      <c r="DT145" s="473"/>
      <c r="DU145" s="473"/>
      <c r="DV145" s="473"/>
      <c r="DW145" s="473"/>
      <c r="DX145" s="473"/>
      <c r="DY145" s="473"/>
      <c r="DZ145" s="473"/>
      <c r="EA145" s="473"/>
      <c r="EB145" s="473"/>
      <c r="EC145" s="473"/>
      <c r="ED145" s="473"/>
      <c r="EE145" s="473"/>
      <c r="EF145" s="473"/>
      <c r="EG145" s="473"/>
      <c r="EH145" s="473"/>
      <c r="EI145" s="473"/>
      <c r="EJ145" s="473"/>
      <c r="EK145" s="473"/>
      <c r="EL145" s="473"/>
      <c r="EM145" s="473"/>
      <c r="EN145" s="473"/>
      <c r="EO145" s="473"/>
      <c r="EP145" s="473"/>
      <c r="EQ145" s="473"/>
      <c r="ER145" s="473"/>
      <c r="ES145" s="473"/>
      <c r="ET145" s="473"/>
      <c r="EU145" s="473"/>
      <c r="EV145" s="473"/>
      <c r="EW145" s="473"/>
      <c r="EX145" s="473"/>
      <c r="EY145" s="927">
        <f t="shared" si="88"/>
        <v>0</v>
      </c>
      <c r="EZ145" s="117"/>
      <c r="FA145" s="117"/>
      <c r="FB145" s="117"/>
      <c r="FC145" s="117"/>
      <c r="FD145" s="117"/>
      <c r="FE145" s="117"/>
      <c r="FF145" s="117"/>
      <c r="FG145" s="117"/>
      <c r="FH145" s="117"/>
      <c r="FI145" s="117"/>
      <c r="FJ145" s="117"/>
      <c r="FK145" s="117"/>
      <c r="FL145" s="117"/>
    </row>
    <row r="146" spans="1:168" x14ac:dyDescent="0.25">
      <c r="A146" s="411"/>
      <c r="B146" s="118" t="s">
        <v>111</v>
      </c>
      <c r="C146" s="422">
        <f>SUM(C137:C145)</f>
        <v>1015</v>
      </c>
      <c r="D146" s="842">
        <f>SUM(D137:D145)</f>
        <v>13.01</v>
      </c>
      <c r="E146" s="842">
        <f t="shared" ref="E146:BC146" si="89">SUM(E137:E145)</f>
        <v>26.13</v>
      </c>
      <c r="F146" s="842">
        <f t="shared" si="89"/>
        <v>67.13</v>
      </c>
      <c r="G146" s="422">
        <f t="shared" si="89"/>
        <v>547</v>
      </c>
      <c r="H146" s="422"/>
      <c r="I146" s="842">
        <f t="shared" ref="I146" si="90">SUM(I137:I145)</f>
        <v>43.21</v>
      </c>
      <c r="J146" s="844">
        <f t="shared" si="89"/>
        <v>0</v>
      </c>
      <c r="K146" s="844">
        <f t="shared" si="89"/>
        <v>0</v>
      </c>
      <c r="L146" s="844">
        <f t="shared" si="89"/>
        <v>0</v>
      </c>
      <c r="M146" s="844">
        <f t="shared" si="89"/>
        <v>0</v>
      </c>
      <c r="N146" s="844">
        <f t="shared" si="89"/>
        <v>0</v>
      </c>
      <c r="O146" s="844">
        <f t="shared" si="89"/>
        <v>0</v>
      </c>
      <c r="P146" s="844">
        <f t="shared" si="89"/>
        <v>0</v>
      </c>
      <c r="Q146" s="844">
        <f t="shared" si="89"/>
        <v>0</v>
      </c>
      <c r="R146" s="844">
        <f t="shared" si="89"/>
        <v>0</v>
      </c>
      <c r="S146" s="844">
        <f t="shared" si="89"/>
        <v>0</v>
      </c>
      <c r="T146" s="844">
        <f t="shared" si="89"/>
        <v>0</v>
      </c>
      <c r="U146" s="844">
        <f t="shared" si="89"/>
        <v>0.128</v>
      </c>
      <c r="V146" s="844">
        <f t="shared" si="89"/>
        <v>1.6E-2</v>
      </c>
      <c r="W146" s="844">
        <f t="shared" si="89"/>
        <v>1.6E-2</v>
      </c>
      <c r="X146" s="844">
        <f t="shared" si="89"/>
        <v>0</v>
      </c>
      <c r="Y146" s="844">
        <f t="shared" si="89"/>
        <v>0</v>
      </c>
      <c r="Z146" s="844">
        <f t="shared" si="89"/>
        <v>0</v>
      </c>
      <c r="AA146" s="844">
        <f t="shared" si="89"/>
        <v>0</v>
      </c>
      <c r="AB146" s="844">
        <f t="shared" si="89"/>
        <v>0</v>
      </c>
      <c r="AC146" s="844">
        <f t="shared" si="89"/>
        <v>0</v>
      </c>
      <c r="AD146" s="844">
        <f t="shared" si="89"/>
        <v>0</v>
      </c>
      <c r="AE146" s="844">
        <f t="shared" si="89"/>
        <v>0</v>
      </c>
      <c r="AF146" s="844">
        <f t="shared" si="89"/>
        <v>0</v>
      </c>
      <c r="AG146" s="844">
        <f t="shared" si="89"/>
        <v>0</v>
      </c>
      <c r="AH146" s="844">
        <f t="shared" si="89"/>
        <v>0</v>
      </c>
      <c r="AI146" s="844">
        <f t="shared" si="89"/>
        <v>0</v>
      </c>
      <c r="AJ146" s="844">
        <f t="shared" si="89"/>
        <v>0</v>
      </c>
      <c r="AK146" s="844">
        <f t="shared" si="89"/>
        <v>0</v>
      </c>
      <c r="AL146" s="844">
        <f t="shared" si="89"/>
        <v>0</v>
      </c>
      <c r="AM146" s="844">
        <f t="shared" si="89"/>
        <v>0</v>
      </c>
      <c r="AN146" s="844">
        <f t="shared" si="89"/>
        <v>0</v>
      </c>
      <c r="AO146" s="844">
        <f t="shared" si="89"/>
        <v>0</v>
      </c>
      <c r="AP146" s="844">
        <f t="shared" si="89"/>
        <v>0</v>
      </c>
      <c r="AQ146" s="844">
        <f t="shared" si="89"/>
        <v>0</v>
      </c>
      <c r="AR146" s="844">
        <f t="shared" si="89"/>
        <v>0</v>
      </c>
      <c r="AS146" s="844">
        <f t="shared" si="89"/>
        <v>0</v>
      </c>
      <c r="AT146" s="844">
        <f t="shared" si="89"/>
        <v>0</v>
      </c>
      <c r="AU146" s="844">
        <f t="shared" si="89"/>
        <v>0</v>
      </c>
      <c r="AV146" s="844">
        <f t="shared" si="89"/>
        <v>0</v>
      </c>
      <c r="AW146" s="844">
        <f t="shared" si="89"/>
        <v>0</v>
      </c>
      <c r="AX146" s="844">
        <f t="shared" si="89"/>
        <v>0</v>
      </c>
      <c r="AY146" s="844">
        <f t="shared" si="89"/>
        <v>0</v>
      </c>
      <c r="AZ146" s="844">
        <f t="shared" si="89"/>
        <v>0</v>
      </c>
      <c r="BA146" s="844">
        <f t="shared" si="89"/>
        <v>0</v>
      </c>
      <c r="BB146" s="844">
        <f t="shared" si="89"/>
        <v>0</v>
      </c>
      <c r="BC146" s="844">
        <f t="shared" si="89"/>
        <v>0</v>
      </c>
      <c r="BD146" s="844">
        <f t="shared" ref="BD146:DO146" si="91">SUM(BD137:BD145)</f>
        <v>0</v>
      </c>
      <c r="BE146" s="844">
        <f t="shared" si="91"/>
        <v>0</v>
      </c>
      <c r="BF146" s="844">
        <f t="shared" si="91"/>
        <v>0</v>
      </c>
      <c r="BG146" s="844">
        <f t="shared" si="91"/>
        <v>0</v>
      </c>
      <c r="BH146" s="844">
        <f t="shared" si="91"/>
        <v>0</v>
      </c>
      <c r="BI146" s="844">
        <f t="shared" si="91"/>
        <v>0</v>
      </c>
      <c r="BJ146" s="844">
        <f t="shared" si="91"/>
        <v>0</v>
      </c>
      <c r="BK146" s="844">
        <f t="shared" si="91"/>
        <v>0</v>
      </c>
      <c r="BL146" s="844">
        <f t="shared" si="91"/>
        <v>0</v>
      </c>
      <c r="BM146" s="844">
        <f t="shared" si="91"/>
        <v>0</v>
      </c>
      <c r="BN146" s="844">
        <f t="shared" si="91"/>
        <v>0</v>
      </c>
      <c r="BO146" s="844">
        <f t="shared" si="91"/>
        <v>0</v>
      </c>
      <c r="BP146" s="844">
        <f t="shared" si="91"/>
        <v>0</v>
      </c>
      <c r="BQ146" s="844">
        <f t="shared" si="91"/>
        <v>0</v>
      </c>
      <c r="BR146" s="844">
        <f t="shared" si="91"/>
        <v>0</v>
      </c>
      <c r="BS146" s="844">
        <f t="shared" si="91"/>
        <v>0</v>
      </c>
      <c r="BT146" s="844">
        <f t="shared" si="91"/>
        <v>0</v>
      </c>
      <c r="BU146" s="844">
        <f t="shared" si="91"/>
        <v>0</v>
      </c>
      <c r="BV146" s="844">
        <f t="shared" si="91"/>
        <v>0</v>
      </c>
      <c r="BW146" s="844">
        <f t="shared" si="91"/>
        <v>0</v>
      </c>
      <c r="BX146" s="844">
        <f t="shared" si="91"/>
        <v>0</v>
      </c>
      <c r="BY146" s="844">
        <f t="shared" si="91"/>
        <v>0</v>
      </c>
      <c r="BZ146" s="844">
        <f t="shared" si="91"/>
        <v>0</v>
      </c>
      <c r="CA146" s="844">
        <f t="shared" si="91"/>
        <v>1.4E-2</v>
      </c>
      <c r="CB146" s="844">
        <f t="shared" si="91"/>
        <v>1.9E-2</v>
      </c>
      <c r="CC146" s="844">
        <f t="shared" si="91"/>
        <v>0</v>
      </c>
      <c r="CD146" s="844">
        <f t="shared" si="91"/>
        <v>0</v>
      </c>
      <c r="CE146" s="844">
        <f t="shared" si="91"/>
        <v>0</v>
      </c>
      <c r="CF146" s="844">
        <f t="shared" si="91"/>
        <v>0</v>
      </c>
      <c r="CG146" s="844">
        <f t="shared" si="91"/>
        <v>0</v>
      </c>
      <c r="CH146" s="844">
        <f t="shared" si="91"/>
        <v>0</v>
      </c>
      <c r="CI146" s="844">
        <f t="shared" si="91"/>
        <v>0</v>
      </c>
      <c r="CJ146" s="844">
        <f t="shared" si="91"/>
        <v>0</v>
      </c>
      <c r="CK146" s="844">
        <f t="shared" si="91"/>
        <v>0</v>
      </c>
      <c r="CL146" s="844">
        <f t="shared" si="91"/>
        <v>0</v>
      </c>
      <c r="CM146" s="844">
        <f t="shared" si="91"/>
        <v>0</v>
      </c>
      <c r="CN146" s="844">
        <f t="shared" si="91"/>
        <v>0</v>
      </c>
      <c r="CO146" s="844">
        <f t="shared" si="91"/>
        <v>0</v>
      </c>
      <c r="CP146" s="844">
        <f t="shared" si="91"/>
        <v>0</v>
      </c>
      <c r="CQ146" s="844">
        <f t="shared" si="91"/>
        <v>0</v>
      </c>
      <c r="CR146" s="844">
        <f t="shared" si="91"/>
        <v>0</v>
      </c>
      <c r="CS146" s="844">
        <f t="shared" si="91"/>
        <v>0</v>
      </c>
      <c r="CT146" s="844">
        <f t="shared" si="91"/>
        <v>0</v>
      </c>
      <c r="CU146" s="844">
        <f t="shared" si="91"/>
        <v>0</v>
      </c>
      <c r="CV146" s="844">
        <f t="shared" si="91"/>
        <v>0</v>
      </c>
      <c r="CW146" s="844">
        <f t="shared" si="91"/>
        <v>0</v>
      </c>
      <c r="CX146" s="844">
        <f t="shared" si="91"/>
        <v>0</v>
      </c>
      <c r="CY146" s="844">
        <f t="shared" si="91"/>
        <v>0</v>
      </c>
      <c r="CZ146" s="844">
        <f t="shared" si="91"/>
        <v>1.9E-2</v>
      </c>
      <c r="DA146" s="844">
        <f t="shared" si="91"/>
        <v>0</v>
      </c>
      <c r="DB146" s="844">
        <f t="shared" si="91"/>
        <v>0</v>
      </c>
      <c r="DC146" s="844">
        <f t="shared" si="91"/>
        <v>1E-3</v>
      </c>
      <c r="DD146" s="844">
        <f t="shared" si="91"/>
        <v>0</v>
      </c>
      <c r="DE146" s="844">
        <f t="shared" si="91"/>
        <v>0</v>
      </c>
      <c r="DF146" s="844">
        <f t="shared" si="91"/>
        <v>0</v>
      </c>
      <c r="DG146" s="844">
        <f t="shared" si="91"/>
        <v>0</v>
      </c>
      <c r="DH146" s="844">
        <f t="shared" si="91"/>
        <v>0</v>
      </c>
      <c r="DI146" s="844">
        <f t="shared" si="91"/>
        <v>0</v>
      </c>
      <c r="DJ146" s="844">
        <f t="shared" si="91"/>
        <v>0</v>
      </c>
      <c r="DK146" s="844">
        <f t="shared" si="91"/>
        <v>0</v>
      </c>
      <c r="DL146" s="844">
        <f t="shared" si="91"/>
        <v>0</v>
      </c>
      <c r="DM146" s="844">
        <f t="shared" si="91"/>
        <v>0</v>
      </c>
      <c r="DN146" s="844">
        <f t="shared" si="91"/>
        <v>0</v>
      </c>
      <c r="DO146" s="844">
        <f t="shared" si="91"/>
        <v>0</v>
      </c>
      <c r="DP146" s="844">
        <f t="shared" ref="DP146:EX146" si="92">SUM(DP137:DP145)</f>
        <v>0</v>
      </c>
      <c r="DQ146" s="844">
        <f t="shared" si="92"/>
        <v>0</v>
      </c>
      <c r="DR146" s="844">
        <f t="shared" si="92"/>
        <v>5.0000000000000001E-4</v>
      </c>
      <c r="DS146" s="844">
        <f t="shared" si="92"/>
        <v>0</v>
      </c>
      <c r="DT146" s="844">
        <f t="shared" si="92"/>
        <v>0</v>
      </c>
      <c r="DU146" s="844">
        <f t="shared" si="92"/>
        <v>0</v>
      </c>
      <c r="DV146" s="844">
        <f t="shared" si="92"/>
        <v>0</v>
      </c>
      <c r="DW146" s="844">
        <f t="shared" si="92"/>
        <v>0</v>
      </c>
      <c r="DX146" s="844">
        <f t="shared" si="92"/>
        <v>0</v>
      </c>
      <c r="DY146" s="844">
        <f t="shared" si="92"/>
        <v>0</v>
      </c>
      <c r="DZ146" s="844">
        <f t="shared" si="92"/>
        <v>0</v>
      </c>
      <c r="EA146" s="844">
        <f t="shared" si="92"/>
        <v>0</v>
      </c>
      <c r="EB146" s="844">
        <f t="shared" si="92"/>
        <v>0.5</v>
      </c>
      <c r="EC146" s="844">
        <f t="shared" si="92"/>
        <v>0</v>
      </c>
      <c r="ED146" s="844">
        <f t="shared" si="92"/>
        <v>0</v>
      </c>
      <c r="EE146" s="844">
        <f t="shared" si="92"/>
        <v>0</v>
      </c>
      <c r="EF146" s="844">
        <f t="shared" si="92"/>
        <v>0</v>
      </c>
      <c r="EG146" s="844">
        <f t="shared" si="92"/>
        <v>0</v>
      </c>
      <c r="EH146" s="844">
        <f t="shared" si="92"/>
        <v>0</v>
      </c>
      <c r="EI146" s="844">
        <f t="shared" si="92"/>
        <v>0</v>
      </c>
      <c r="EJ146" s="844">
        <f t="shared" si="92"/>
        <v>0</v>
      </c>
      <c r="EK146" s="844">
        <f t="shared" si="92"/>
        <v>0</v>
      </c>
      <c r="EL146" s="844">
        <f t="shared" si="92"/>
        <v>0</v>
      </c>
      <c r="EM146" s="844">
        <f t="shared" si="92"/>
        <v>0</v>
      </c>
      <c r="EN146" s="844">
        <f t="shared" si="92"/>
        <v>0</v>
      </c>
      <c r="EO146" s="844">
        <f t="shared" si="92"/>
        <v>0</v>
      </c>
      <c r="EP146" s="844">
        <f t="shared" si="92"/>
        <v>0</v>
      </c>
      <c r="EQ146" s="844">
        <f t="shared" si="92"/>
        <v>0</v>
      </c>
      <c r="ER146" s="844">
        <f t="shared" si="92"/>
        <v>0</v>
      </c>
      <c r="ES146" s="844">
        <f t="shared" si="92"/>
        <v>0</v>
      </c>
      <c r="ET146" s="844">
        <f t="shared" si="92"/>
        <v>0</v>
      </c>
      <c r="EU146" s="844">
        <f t="shared" si="92"/>
        <v>0</v>
      </c>
      <c r="EV146" s="844">
        <f t="shared" si="92"/>
        <v>0</v>
      </c>
      <c r="EW146" s="844">
        <f t="shared" si="92"/>
        <v>0.04</v>
      </c>
      <c r="EX146" s="844">
        <f t="shared" si="92"/>
        <v>0</v>
      </c>
      <c r="EY146" s="847">
        <f t="shared" ref="EY146:FL146" si="93">SUM(EY137:EY145)</f>
        <v>0.75349999999999995</v>
      </c>
      <c r="EZ146" s="534">
        <f t="shared" si="93"/>
        <v>0</v>
      </c>
      <c r="FA146" s="534">
        <f t="shared" si="93"/>
        <v>0</v>
      </c>
      <c r="FB146" s="534">
        <f t="shared" si="93"/>
        <v>0</v>
      </c>
      <c r="FC146" s="534">
        <f t="shared" si="93"/>
        <v>0</v>
      </c>
      <c r="FD146" s="534">
        <f t="shared" si="93"/>
        <v>0</v>
      </c>
      <c r="FE146" s="534">
        <f t="shared" si="93"/>
        <v>0</v>
      </c>
      <c r="FF146" s="534">
        <f t="shared" si="93"/>
        <v>0</v>
      </c>
      <c r="FG146" s="534">
        <f t="shared" si="93"/>
        <v>0</v>
      </c>
      <c r="FH146" s="534">
        <f t="shared" si="93"/>
        <v>0</v>
      </c>
      <c r="FI146" s="534">
        <f t="shared" si="93"/>
        <v>0</v>
      </c>
      <c r="FJ146" s="534">
        <f t="shared" si="93"/>
        <v>0</v>
      </c>
      <c r="FK146" s="534">
        <f t="shared" si="93"/>
        <v>0</v>
      </c>
      <c r="FL146" s="534">
        <f t="shared" si="93"/>
        <v>0</v>
      </c>
    </row>
    <row r="147" spans="1:168" ht="13.95" customHeight="1" x14ac:dyDescent="0.25">
      <c r="A147" s="1459" t="s">
        <v>112</v>
      </c>
      <c r="B147" s="115" t="str">
        <f>блюда!B21</f>
        <v>Салат из свежих огурцов</v>
      </c>
      <c r="C147" s="250">
        <f>блюда!C21</f>
        <v>60</v>
      </c>
      <c r="D147" s="431">
        <f>блюда!D21</f>
        <v>0.45</v>
      </c>
      <c r="E147" s="431">
        <f>блюда!E21</f>
        <v>3.61</v>
      </c>
      <c r="F147" s="431">
        <f>блюда!F21</f>
        <v>1.41</v>
      </c>
      <c r="G147" s="250">
        <f>блюда!G21</f>
        <v>40</v>
      </c>
      <c r="H147" s="250">
        <f>блюда!H21</f>
        <v>20</v>
      </c>
      <c r="I147" s="431">
        <f>блюда!I21</f>
        <v>4.76</v>
      </c>
      <c r="J147" s="473">
        <f>блюда!J21</f>
        <v>0</v>
      </c>
      <c r="K147" s="473">
        <f>блюда!K21</f>
        <v>0</v>
      </c>
      <c r="L147" s="473">
        <f>блюда!L21</f>
        <v>0</v>
      </c>
      <c r="M147" s="473">
        <f>блюда!M21</f>
        <v>0</v>
      </c>
      <c r="N147" s="473">
        <f>блюда!N21</f>
        <v>0</v>
      </c>
      <c r="O147" s="473">
        <f>блюда!O21</f>
        <v>0</v>
      </c>
      <c r="P147" s="473">
        <f>блюда!P21</f>
        <v>0</v>
      </c>
      <c r="Q147" s="473">
        <f>блюда!Q21</f>
        <v>0</v>
      </c>
      <c r="R147" s="473">
        <f>блюда!R21</f>
        <v>0</v>
      </c>
      <c r="S147" s="473">
        <f>блюда!S21</f>
        <v>0</v>
      </c>
      <c r="T147" s="473">
        <f>блюда!T21</f>
        <v>0</v>
      </c>
      <c r="U147" s="473">
        <f>блюда!U21</f>
        <v>0</v>
      </c>
      <c r="V147" s="473">
        <f>блюда!V21</f>
        <v>0</v>
      </c>
      <c r="W147" s="473">
        <f>блюда!W21</f>
        <v>0</v>
      </c>
      <c r="X147" s="473">
        <f>блюда!X21</f>
        <v>0</v>
      </c>
      <c r="Y147" s="473">
        <f>блюда!Y21</f>
        <v>0</v>
      </c>
      <c r="Z147" s="473">
        <f>блюда!Z21</f>
        <v>0</v>
      </c>
      <c r="AA147" s="473">
        <f>блюда!AA21</f>
        <v>0</v>
      </c>
      <c r="AB147" s="473">
        <f>блюда!AB21</f>
        <v>0</v>
      </c>
      <c r="AC147" s="473">
        <f>блюда!AC21</f>
        <v>0</v>
      </c>
      <c r="AD147" s="473">
        <f>блюда!AD21</f>
        <v>0</v>
      </c>
      <c r="AE147" s="473">
        <f>блюда!AE21</f>
        <v>0</v>
      </c>
      <c r="AF147" s="473">
        <f>блюда!AF21</f>
        <v>0</v>
      </c>
      <c r="AG147" s="473">
        <f>блюда!AG21</f>
        <v>0</v>
      </c>
      <c r="AH147" s="473">
        <f>блюда!AH21</f>
        <v>0</v>
      </c>
      <c r="AI147" s="473">
        <f>блюда!AI21</f>
        <v>0</v>
      </c>
      <c r="AJ147" s="473">
        <f>блюда!AJ21</f>
        <v>0</v>
      </c>
      <c r="AK147" s="473">
        <f>блюда!AK21</f>
        <v>0</v>
      </c>
      <c r="AL147" s="473">
        <f>блюда!AL21</f>
        <v>0</v>
      </c>
      <c r="AM147" s="473">
        <f>блюда!AM21</f>
        <v>0</v>
      </c>
      <c r="AN147" s="473">
        <f>блюда!AN21</f>
        <v>0</v>
      </c>
      <c r="AO147" s="473">
        <f>блюда!AO21</f>
        <v>7.1279999999999996E-2</v>
      </c>
      <c r="AP147" s="473">
        <f>блюда!AP21</f>
        <v>0</v>
      </c>
      <c r="AQ147" s="473">
        <f>блюда!AQ21</f>
        <v>0</v>
      </c>
      <c r="AR147" s="473">
        <f>блюда!AR21</f>
        <v>0</v>
      </c>
      <c r="AS147" s="473">
        <f>блюда!AS21</f>
        <v>0</v>
      </c>
      <c r="AT147" s="473">
        <f>блюда!AT21</f>
        <v>0</v>
      </c>
      <c r="AU147" s="473">
        <f>блюда!AU21</f>
        <v>0</v>
      </c>
      <c r="AV147" s="473">
        <f>блюда!AV21</f>
        <v>0</v>
      </c>
      <c r="AW147" s="473">
        <f>блюда!AW21</f>
        <v>0</v>
      </c>
      <c r="AX147" s="473">
        <f>блюда!AX21</f>
        <v>0</v>
      </c>
      <c r="AY147" s="473">
        <f>блюда!AY21</f>
        <v>0</v>
      </c>
      <c r="AZ147" s="473">
        <f>блюда!AZ21</f>
        <v>0</v>
      </c>
      <c r="BA147" s="473">
        <f>блюда!BA21</f>
        <v>0</v>
      </c>
      <c r="BB147" s="473">
        <f>блюда!BB21</f>
        <v>0</v>
      </c>
      <c r="BC147" s="473">
        <f>блюда!BC21</f>
        <v>0</v>
      </c>
      <c r="BD147" s="473">
        <f>блюда!BD21</f>
        <v>0</v>
      </c>
      <c r="BE147" s="473">
        <f>блюда!BE21</f>
        <v>0</v>
      </c>
      <c r="BF147" s="473">
        <f>блюда!BF21</f>
        <v>0</v>
      </c>
      <c r="BG147" s="473">
        <f>блюда!BG21</f>
        <v>0</v>
      </c>
      <c r="BH147" s="473">
        <f>блюда!BH21</f>
        <v>0</v>
      </c>
      <c r="BI147" s="473">
        <f>блюда!BI21</f>
        <v>0</v>
      </c>
      <c r="BJ147" s="473">
        <f>блюда!BJ21</f>
        <v>0</v>
      </c>
      <c r="BK147" s="473">
        <f>блюда!BK21</f>
        <v>0</v>
      </c>
      <c r="BL147" s="473">
        <f>блюда!BL21</f>
        <v>0</v>
      </c>
      <c r="BM147" s="473">
        <f>блюда!BM21</f>
        <v>0</v>
      </c>
      <c r="BN147" s="473">
        <f>блюда!BN21</f>
        <v>0</v>
      </c>
      <c r="BO147" s="473">
        <f>блюда!BO21</f>
        <v>0</v>
      </c>
      <c r="BP147" s="473">
        <f>блюда!BP21</f>
        <v>0</v>
      </c>
      <c r="BQ147" s="473">
        <f>блюда!BQ21</f>
        <v>0</v>
      </c>
      <c r="BR147" s="473">
        <f>блюда!BR21</f>
        <v>0</v>
      </c>
      <c r="BS147" s="473">
        <f>блюда!BS21</f>
        <v>0</v>
      </c>
      <c r="BT147" s="473">
        <f>блюда!BT21</f>
        <v>0</v>
      </c>
      <c r="BU147" s="473">
        <f>блюда!BU21</f>
        <v>0</v>
      </c>
      <c r="BV147" s="473">
        <f>блюда!BV21</f>
        <v>0</v>
      </c>
      <c r="BW147" s="473">
        <f>блюда!BW21</f>
        <v>0</v>
      </c>
      <c r="BX147" s="473">
        <f>блюда!BX21</f>
        <v>0</v>
      </c>
      <c r="BY147" s="473">
        <f>блюда!BY21</f>
        <v>0</v>
      </c>
      <c r="BZ147" s="473">
        <f>блюда!BZ21</f>
        <v>0</v>
      </c>
      <c r="CA147" s="473">
        <f>блюда!CA21</f>
        <v>0</v>
      </c>
      <c r="CB147" s="473">
        <f>блюда!CB21</f>
        <v>0</v>
      </c>
      <c r="CC147" s="473">
        <f>блюда!CC21</f>
        <v>0</v>
      </c>
      <c r="CD147" s="473">
        <f>блюда!CD21</f>
        <v>0</v>
      </c>
      <c r="CE147" s="473">
        <f>блюда!CE21</f>
        <v>0</v>
      </c>
      <c r="CF147" s="473">
        <f>блюда!CF21</f>
        <v>3.5999999999999999E-3</v>
      </c>
      <c r="CG147" s="473">
        <f>блюда!CG21</f>
        <v>0</v>
      </c>
      <c r="CH147" s="473">
        <f>блюда!CH21</f>
        <v>0</v>
      </c>
      <c r="CI147" s="473">
        <f>блюда!CI21</f>
        <v>0</v>
      </c>
      <c r="CJ147" s="473">
        <f>блюда!CJ21</f>
        <v>0</v>
      </c>
      <c r="CK147" s="473">
        <f>блюда!CK21</f>
        <v>0</v>
      </c>
      <c r="CL147" s="473">
        <f>блюда!CL21</f>
        <v>0</v>
      </c>
      <c r="CM147" s="473">
        <f>блюда!CM21</f>
        <v>0</v>
      </c>
      <c r="CN147" s="473">
        <f>блюда!CN21</f>
        <v>0</v>
      </c>
      <c r="CO147" s="473">
        <f>блюда!CO21</f>
        <v>0</v>
      </c>
      <c r="CP147" s="473">
        <f>блюда!CP21</f>
        <v>0</v>
      </c>
      <c r="CQ147" s="473">
        <f>блюда!CQ21</f>
        <v>0</v>
      </c>
      <c r="CR147" s="473">
        <f>блюда!CR21</f>
        <v>0</v>
      </c>
      <c r="CS147" s="473">
        <f>блюда!CS21</f>
        <v>0</v>
      </c>
      <c r="CT147" s="473">
        <f>блюда!CT21</f>
        <v>0</v>
      </c>
      <c r="CU147" s="473">
        <f>блюда!CU21</f>
        <v>0</v>
      </c>
      <c r="CV147" s="473">
        <f>блюда!CV21</f>
        <v>0</v>
      </c>
      <c r="CW147" s="473">
        <f>блюда!CW21</f>
        <v>0</v>
      </c>
      <c r="CX147" s="473">
        <f>блюда!CX21</f>
        <v>0</v>
      </c>
      <c r="CY147" s="473">
        <f>блюда!CY21</f>
        <v>0</v>
      </c>
      <c r="CZ147" s="473">
        <f>блюда!CZ21</f>
        <v>0</v>
      </c>
      <c r="DA147" s="473">
        <f>блюда!DA21</f>
        <v>0</v>
      </c>
      <c r="DB147" s="473">
        <f>блюда!DB21</f>
        <v>0</v>
      </c>
      <c r="DC147" s="473">
        <f>блюда!DC21</f>
        <v>1.98E-3</v>
      </c>
      <c r="DD147" s="473">
        <f>блюда!DD21</f>
        <v>0</v>
      </c>
      <c r="DE147" s="473">
        <f>блюда!DE21</f>
        <v>0</v>
      </c>
      <c r="DF147" s="473">
        <f>блюда!DF21</f>
        <v>0</v>
      </c>
      <c r="DG147" s="473">
        <f>блюда!DG21</f>
        <v>0</v>
      </c>
      <c r="DH147" s="473">
        <f>блюда!DH21</f>
        <v>0</v>
      </c>
      <c r="DI147" s="473">
        <f>блюда!DI21</f>
        <v>0</v>
      </c>
      <c r="DJ147" s="473">
        <f>блюда!DJ21</f>
        <v>0</v>
      </c>
      <c r="DK147" s="473">
        <f>блюда!DK21</f>
        <v>0</v>
      </c>
      <c r="DL147" s="473">
        <f>блюда!DL21</f>
        <v>0</v>
      </c>
      <c r="DM147" s="473">
        <f>блюда!DM21</f>
        <v>0</v>
      </c>
      <c r="DN147" s="473">
        <f>блюда!DN21</f>
        <v>0</v>
      </c>
      <c r="DO147" s="473">
        <f>блюда!DO21</f>
        <v>0</v>
      </c>
      <c r="DP147" s="473">
        <f>блюда!DP21</f>
        <v>0</v>
      </c>
      <c r="DQ147" s="473">
        <f>блюда!DQ21</f>
        <v>0</v>
      </c>
      <c r="DR147" s="473">
        <f>блюда!DR21</f>
        <v>0</v>
      </c>
      <c r="DS147" s="473">
        <f>блюда!DS21</f>
        <v>0</v>
      </c>
      <c r="DT147" s="473">
        <f>блюда!DT21</f>
        <v>0</v>
      </c>
      <c r="DU147" s="473">
        <f>блюда!DU21</f>
        <v>0</v>
      </c>
      <c r="DV147" s="473">
        <f>блюда!DV21</f>
        <v>0</v>
      </c>
      <c r="DW147" s="473">
        <f>блюда!DW21</f>
        <v>0</v>
      </c>
      <c r="DX147" s="473">
        <f>блюда!DX21</f>
        <v>0</v>
      </c>
      <c r="DY147" s="473">
        <f>блюда!DY21</f>
        <v>0</v>
      </c>
      <c r="DZ147" s="473">
        <f>блюда!DZ21</f>
        <v>0</v>
      </c>
      <c r="EA147" s="473">
        <f>блюда!EA21</f>
        <v>0</v>
      </c>
      <c r="EB147" s="473">
        <f>блюда!EB21</f>
        <v>0</v>
      </c>
      <c r="EC147" s="473">
        <f>блюда!EC21</f>
        <v>0</v>
      </c>
      <c r="ED147" s="473">
        <f>блюда!ED21</f>
        <v>0</v>
      </c>
      <c r="EE147" s="473">
        <f>блюда!EE21</f>
        <v>0</v>
      </c>
      <c r="EF147" s="473">
        <f>блюда!EF21</f>
        <v>0</v>
      </c>
      <c r="EG147" s="473">
        <f>блюда!EG21</f>
        <v>0</v>
      </c>
      <c r="EH147" s="473">
        <f>блюда!EH21</f>
        <v>0</v>
      </c>
      <c r="EI147" s="473">
        <f>блюда!EI21</f>
        <v>0</v>
      </c>
      <c r="EJ147" s="473">
        <f>блюда!EJ21</f>
        <v>0</v>
      </c>
      <c r="EK147" s="473">
        <f>блюда!EK21</f>
        <v>0</v>
      </c>
      <c r="EL147" s="473">
        <f>блюда!EL21</f>
        <v>0</v>
      </c>
      <c r="EM147" s="473">
        <f>блюда!EM21</f>
        <v>0</v>
      </c>
      <c r="EN147" s="473">
        <f>блюда!EN21</f>
        <v>0</v>
      </c>
      <c r="EO147" s="473">
        <f>блюда!EO21</f>
        <v>0</v>
      </c>
      <c r="EP147" s="473">
        <f>блюда!EP21</f>
        <v>0</v>
      </c>
      <c r="EQ147" s="473">
        <f>блюда!EQ21</f>
        <v>0</v>
      </c>
      <c r="ER147" s="473">
        <f>блюда!ER21</f>
        <v>0</v>
      </c>
      <c r="ES147" s="473">
        <f>блюда!ES21</f>
        <v>0</v>
      </c>
      <c r="ET147" s="473">
        <f>блюда!ET21</f>
        <v>0</v>
      </c>
      <c r="EU147" s="473">
        <f>блюда!EU21</f>
        <v>0</v>
      </c>
      <c r="EV147" s="473">
        <f>блюда!EV21</f>
        <v>0</v>
      </c>
      <c r="EW147" s="473">
        <f>блюда!EW21</f>
        <v>0</v>
      </c>
      <c r="EX147" s="473">
        <f>блюда!EX21</f>
        <v>0</v>
      </c>
      <c r="EY147" s="927">
        <f t="shared" ref="EY147:EY161" si="94">SUM(J147:EX147)</f>
        <v>7.6859999999999998E-2</v>
      </c>
      <c r="EZ147" s="117">
        <f>блюда!EZ34</f>
        <v>0</v>
      </c>
      <c r="FA147" s="117">
        <f>блюда!FA34</f>
        <v>0</v>
      </c>
      <c r="FB147" s="117">
        <f>блюда!FB34</f>
        <v>0</v>
      </c>
      <c r="FC147" s="117">
        <f>блюда!FC34</f>
        <v>0</v>
      </c>
      <c r="FD147" s="117">
        <f>блюда!FD34</f>
        <v>0</v>
      </c>
      <c r="FE147" s="117">
        <f>блюда!FE34</f>
        <v>0</v>
      </c>
      <c r="FF147" s="117">
        <f>блюда!FF34</f>
        <v>0</v>
      </c>
      <c r="FG147" s="117">
        <f>блюда!FG34</f>
        <v>0</v>
      </c>
      <c r="FH147" s="117">
        <f>блюда!FH34</f>
        <v>0</v>
      </c>
      <c r="FI147" s="117">
        <f>блюда!FI34</f>
        <v>0</v>
      </c>
      <c r="FJ147" s="117">
        <f>блюда!FJ34</f>
        <v>0</v>
      </c>
      <c r="FK147" s="117">
        <f>блюда!FK34</f>
        <v>0</v>
      </c>
      <c r="FL147" s="117">
        <f>блюда!FL34</f>
        <v>0</v>
      </c>
    </row>
    <row r="148" spans="1:168" ht="13.95" customHeight="1" x14ac:dyDescent="0.25">
      <c r="A148" s="1460"/>
      <c r="B148" s="115" t="str">
        <f>блюда!B56</f>
        <v>Свекольник со сметаной и яйцом</v>
      </c>
      <c r="C148" s="250">
        <f>блюда!C56</f>
        <v>250</v>
      </c>
      <c r="D148" s="431">
        <f>блюда!D56</f>
        <v>2.27</v>
      </c>
      <c r="E148" s="431">
        <f>блюда!E56</f>
        <v>5.38</v>
      </c>
      <c r="F148" s="431">
        <f>блюда!F56</f>
        <v>10.98</v>
      </c>
      <c r="G148" s="250">
        <f>блюда!G56</f>
        <v>99</v>
      </c>
      <c r="H148" s="250">
        <f>блюда!H56</f>
        <v>0</v>
      </c>
      <c r="I148" s="431">
        <f>блюда!I56</f>
        <v>10.02</v>
      </c>
      <c r="J148" s="473">
        <f>блюда!J56</f>
        <v>0</v>
      </c>
      <c r="K148" s="473">
        <f>блюда!K56</f>
        <v>0</v>
      </c>
      <c r="L148" s="473">
        <f>блюда!L56</f>
        <v>0</v>
      </c>
      <c r="M148" s="473">
        <f>блюда!M56</f>
        <v>0</v>
      </c>
      <c r="N148" s="473">
        <f>блюда!N56</f>
        <v>0</v>
      </c>
      <c r="O148" s="473">
        <f>блюда!O56</f>
        <v>0</v>
      </c>
      <c r="P148" s="473">
        <f>блюда!P56</f>
        <v>0</v>
      </c>
      <c r="Q148" s="473">
        <f>блюда!Q56</f>
        <v>0</v>
      </c>
      <c r="R148" s="473">
        <f>блюда!R56</f>
        <v>0</v>
      </c>
      <c r="S148" s="473">
        <f>блюда!S56</f>
        <v>0</v>
      </c>
      <c r="T148" s="473">
        <f>блюда!T56</f>
        <v>0</v>
      </c>
      <c r="U148" s="473">
        <f>блюда!U56</f>
        <v>0</v>
      </c>
      <c r="V148" s="473">
        <f>блюда!V56</f>
        <v>2E-3</v>
      </c>
      <c r="W148" s="473">
        <f>блюда!W56</f>
        <v>0</v>
      </c>
      <c r="X148" s="473">
        <f>блюда!X56</f>
        <v>0</v>
      </c>
      <c r="Y148" s="473">
        <f>блюда!Y56</f>
        <v>5.0000000000000001E-3</v>
      </c>
      <c r="Z148" s="473">
        <f>блюда!Z56</f>
        <v>0</v>
      </c>
      <c r="AA148" s="473">
        <f>блюда!AA56</f>
        <v>0</v>
      </c>
      <c r="AB148" s="473">
        <f>блюда!AB56</f>
        <v>0</v>
      </c>
      <c r="AC148" s="473">
        <f>блюда!AC56</f>
        <v>0</v>
      </c>
      <c r="AD148" s="473">
        <f>блюда!AD56</f>
        <v>0</v>
      </c>
      <c r="AE148" s="473">
        <f>блюда!AE56</f>
        <v>8.9999999999999993E-3</v>
      </c>
      <c r="AF148" s="473">
        <f>блюда!AF56</f>
        <v>0</v>
      </c>
      <c r="AG148" s="473">
        <f>блюда!AG56</f>
        <v>0</v>
      </c>
      <c r="AH148" s="473">
        <f>блюда!AH56</f>
        <v>0.04</v>
      </c>
      <c r="AI148" s="473">
        <f>блюда!AI56</f>
        <v>0</v>
      </c>
      <c r="AJ148" s="473">
        <f>блюда!AJ56</f>
        <v>0</v>
      </c>
      <c r="AK148" s="473">
        <f>блюда!AK56</f>
        <v>0.01</v>
      </c>
      <c r="AL148" s="473">
        <f>блюда!AL56</f>
        <v>0</v>
      </c>
      <c r="AM148" s="473">
        <f>блюда!AM56</f>
        <v>0</v>
      </c>
      <c r="AN148" s="473">
        <f>блюда!AN56</f>
        <v>0</v>
      </c>
      <c r="AO148" s="473">
        <f>блюда!AO56</f>
        <v>0</v>
      </c>
      <c r="AP148" s="473">
        <f>блюда!AP56</f>
        <v>0</v>
      </c>
      <c r="AQ148" s="473">
        <f>блюда!AQ56</f>
        <v>0.01</v>
      </c>
      <c r="AR148" s="473">
        <f>блюда!AR56</f>
        <v>0</v>
      </c>
      <c r="AS148" s="473">
        <f>блюда!AS56</f>
        <v>0</v>
      </c>
      <c r="AT148" s="473">
        <f>блюда!AT56</f>
        <v>0</v>
      </c>
      <c r="AU148" s="473">
        <f>блюда!AU56</f>
        <v>2E-3</v>
      </c>
      <c r="AV148" s="473">
        <f>блюда!AV56</f>
        <v>0</v>
      </c>
      <c r="AW148" s="473">
        <f>блюда!AW56</f>
        <v>0</v>
      </c>
      <c r="AX148" s="473">
        <f>блюда!AX56</f>
        <v>6.5000000000000002E-2</v>
      </c>
      <c r="AY148" s="473">
        <f>блюда!AY56</f>
        <v>0</v>
      </c>
      <c r="AZ148" s="473">
        <f>блюда!AZ56</f>
        <v>0</v>
      </c>
      <c r="BA148" s="473">
        <f>блюда!BA56</f>
        <v>0</v>
      </c>
      <c r="BB148" s="473">
        <f>блюда!BB56</f>
        <v>0</v>
      </c>
      <c r="BC148" s="473">
        <f>блюда!BC56</f>
        <v>0</v>
      </c>
      <c r="BD148" s="473">
        <f>блюда!BD56</f>
        <v>0</v>
      </c>
      <c r="BE148" s="473">
        <f>блюда!BE56</f>
        <v>0</v>
      </c>
      <c r="BF148" s="473">
        <f>блюда!BF56</f>
        <v>0</v>
      </c>
      <c r="BG148" s="473">
        <f>блюда!BG56</f>
        <v>0</v>
      </c>
      <c r="BH148" s="473">
        <f>блюда!BH56</f>
        <v>0</v>
      </c>
      <c r="BI148" s="473">
        <f>блюда!BI56</f>
        <v>0</v>
      </c>
      <c r="BJ148" s="473">
        <f>блюда!BJ56</f>
        <v>0</v>
      </c>
      <c r="BK148" s="473">
        <f>блюда!BK56</f>
        <v>0</v>
      </c>
      <c r="BL148" s="473">
        <f>блюда!BL56</f>
        <v>0</v>
      </c>
      <c r="BM148" s="473">
        <f>блюда!BM56</f>
        <v>0</v>
      </c>
      <c r="BN148" s="473">
        <f>блюда!BN56</f>
        <v>0</v>
      </c>
      <c r="BO148" s="473">
        <f>блюда!BO56</f>
        <v>0</v>
      </c>
      <c r="BP148" s="473">
        <f>блюда!BP56</f>
        <v>0</v>
      </c>
      <c r="BQ148" s="473">
        <f>блюда!BQ56</f>
        <v>0</v>
      </c>
      <c r="BR148" s="473">
        <f>блюда!BR56</f>
        <v>0</v>
      </c>
      <c r="BS148" s="473">
        <f>блюда!BS56</f>
        <v>0</v>
      </c>
      <c r="BT148" s="473">
        <f>блюда!BT56</f>
        <v>0</v>
      </c>
      <c r="BU148" s="473">
        <f>блюда!BU56</f>
        <v>0</v>
      </c>
      <c r="BV148" s="473">
        <f>блюда!BV56</f>
        <v>0</v>
      </c>
      <c r="BW148" s="473">
        <f>блюда!BW56</f>
        <v>0</v>
      </c>
      <c r="BX148" s="473">
        <f>блюда!BX56</f>
        <v>0</v>
      </c>
      <c r="BY148" s="473">
        <f>блюда!BY56</f>
        <v>0</v>
      </c>
      <c r="BZ148" s="473">
        <f>блюда!BZ56</f>
        <v>0</v>
      </c>
      <c r="CA148" s="473">
        <f>блюда!CA56</f>
        <v>0</v>
      </c>
      <c r="CB148" s="473">
        <f>блюда!CB56</f>
        <v>0</v>
      </c>
      <c r="CC148" s="473">
        <f>блюда!CC56</f>
        <v>0</v>
      </c>
      <c r="CD148" s="473">
        <f>блюда!CD56</f>
        <v>0</v>
      </c>
      <c r="CE148" s="473">
        <f>блюда!CE56</f>
        <v>0</v>
      </c>
      <c r="CF148" s="473">
        <f>блюда!CF56</f>
        <v>0</v>
      </c>
      <c r="CG148" s="473">
        <f>блюда!CG56</f>
        <v>0</v>
      </c>
      <c r="CH148" s="473">
        <f>блюда!CH56</f>
        <v>0</v>
      </c>
      <c r="CI148" s="473">
        <f>блюда!CI56</f>
        <v>0</v>
      </c>
      <c r="CJ148" s="473">
        <f>блюда!CJ56</f>
        <v>0</v>
      </c>
      <c r="CK148" s="473">
        <f>блюда!CK56</f>
        <v>0</v>
      </c>
      <c r="CL148" s="473">
        <f>блюда!CL56</f>
        <v>0</v>
      </c>
      <c r="CM148" s="473">
        <f>блюда!CM56</f>
        <v>0</v>
      </c>
      <c r="CN148" s="473">
        <f>блюда!CN56</f>
        <v>0</v>
      </c>
      <c r="CO148" s="473">
        <f>блюда!CO56</f>
        <v>0</v>
      </c>
      <c r="CP148" s="473">
        <f>блюда!CP56</f>
        <v>0</v>
      </c>
      <c r="CQ148" s="473">
        <f>блюда!CQ56</f>
        <v>0</v>
      </c>
      <c r="CR148" s="473">
        <f>блюда!CR56</f>
        <v>0</v>
      </c>
      <c r="CS148" s="473">
        <f>блюда!CS56</f>
        <v>0</v>
      </c>
      <c r="CT148" s="473">
        <f>блюда!CT56</f>
        <v>0</v>
      </c>
      <c r="CU148" s="473">
        <f>блюда!CU56</f>
        <v>0</v>
      </c>
      <c r="CV148" s="473">
        <f>блюда!CV56</f>
        <v>0</v>
      </c>
      <c r="CW148" s="473">
        <f>блюда!CW56</f>
        <v>0</v>
      </c>
      <c r="CX148" s="473">
        <f>блюда!CX56</f>
        <v>0</v>
      </c>
      <c r="CY148" s="473">
        <f>блюда!CY56</f>
        <v>0</v>
      </c>
      <c r="CZ148" s="473">
        <f>блюда!CZ56</f>
        <v>0</v>
      </c>
      <c r="DA148" s="473">
        <f>блюда!DA56</f>
        <v>0</v>
      </c>
      <c r="DB148" s="473">
        <f>блюда!DB56</f>
        <v>0</v>
      </c>
      <c r="DC148" s="473">
        <f>блюда!DC56</f>
        <v>2E-3</v>
      </c>
      <c r="DD148" s="473">
        <f>блюда!DD56</f>
        <v>0</v>
      </c>
      <c r="DE148" s="473">
        <f>блюда!DE56</f>
        <v>0</v>
      </c>
      <c r="DF148" s="473">
        <f>блюда!DF56</f>
        <v>2E-3</v>
      </c>
      <c r="DG148" s="473">
        <f>блюда!DG56</f>
        <v>0</v>
      </c>
      <c r="DH148" s="473">
        <f>блюда!DH56</f>
        <v>0</v>
      </c>
      <c r="DI148" s="473">
        <f>блюда!DI56</f>
        <v>0</v>
      </c>
      <c r="DJ148" s="473">
        <f>блюда!DJ56</f>
        <v>0</v>
      </c>
      <c r="DK148" s="473">
        <f>блюда!DK56</f>
        <v>0</v>
      </c>
      <c r="DL148" s="473">
        <f>блюда!DL56</f>
        <v>0</v>
      </c>
      <c r="DM148" s="473">
        <f>блюда!DM56</f>
        <v>0</v>
      </c>
      <c r="DN148" s="473">
        <f>блюда!DN56</f>
        <v>0</v>
      </c>
      <c r="DO148" s="473">
        <f>блюда!DO56</f>
        <v>0</v>
      </c>
      <c r="DP148" s="473">
        <f>блюда!DP56</f>
        <v>0</v>
      </c>
      <c r="DQ148" s="473">
        <f>блюда!DQ56</f>
        <v>0</v>
      </c>
      <c r="DR148" s="473">
        <f>блюда!DR56</f>
        <v>0</v>
      </c>
      <c r="DS148" s="473">
        <f>блюда!DS56</f>
        <v>0</v>
      </c>
      <c r="DT148" s="473">
        <f>блюда!DT56</f>
        <v>0</v>
      </c>
      <c r="DU148" s="473">
        <f>блюда!DU56</f>
        <v>0</v>
      </c>
      <c r="DV148" s="473">
        <f>блюда!DV56</f>
        <v>0</v>
      </c>
      <c r="DW148" s="473">
        <f>блюда!DW56</f>
        <v>0</v>
      </c>
      <c r="DX148" s="473">
        <f>блюда!DX56</f>
        <v>0</v>
      </c>
      <c r="DY148" s="473">
        <f>блюда!DY56</f>
        <v>0</v>
      </c>
      <c r="DZ148" s="473">
        <f>блюда!DZ56</f>
        <v>0</v>
      </c>
      <c r="EA148" s="473">
        <f>блюда!EA56</f>
        <v>0</v>
      </c>
      <c r="EB148" s="473">
        <f>блюда!EB56</f>
        <v>0</v>
      </c>
      <c r="EC148" s="473">
        <f>блюда!EC56</f>
        <v>0</v>
      </c>
      <c r="ED148" s="473">
        <f>блюда!ED56</f>
        <v>0</v>
      </c>
      <c r="EE148" s="473">
        <f>блюда!EE56</f>
        <v>0</v>
      </c>
      <c r="EF148" s="473">
        <f>блюда!EF56</f>
        <v>0</v>
      </c>
      <c r="EG148" s="473">
        <f>блюда!EG56</f>
        <v>0</v>
      </c>
      <c r="EH148" s="473">
        <f>блюда!EH56</f>
        <v>0</v>
      </c>
      <c r="EI148" s="473">
        <f>блюда!EI56</f>
        <v>0</v>
      </c>
      <c r="EJ148" s="473">
        <f>блюда!EJ56</f>
        <v>0</v>
      </c>
      <c r="EK148" s="473">
        <f>блюда!EK56</f>
        <v>0</v>
      </c>
      <c r="EL148" s="473">
        <f>блюда!EL56</f>
        <v>0</v>
      </c>
      <c r="EM148" s="473">
        <f>блюда!EM56</f>
        <v>0</v>
      </c>
      <c r="EN148" s="473">
        <f>блюда!EN56</f>
        <v>0</v>
      </c>
      <c r="EO148" s="473">
        <f>блюда!EO56</f>
        <v>0</v>
      </c>
      <c r="EP148" s="473">
        <f>блюда!EP56</f>
        <v>0</v>
      </c>
      <c r="EQ148" s="473">
        <f>блюда!EQ56</f>
        <v>0</v>
      </c>
      <c r="ER148" s="473">
        <f>блюда!ER56</f>
        <v>0</v>
      </c>
      <c r="ES148" s="473">
        <f>блюда!ES56</f>
        <v>0</v>
      </c>
      <c r="ET148" s="473">
        <f>блюда!ET56</f>
        <v>0</v>
      </c>
      <c r="EU148" s="473">
        <f>блюда!EU56</f>
        <v>0</v>
      </c>
      <c r="EV148" s="473">
        <f>блюда!EV56</f>
        <v>0</v>
      </c>
      <c r="EW148" s="473">
        <f>блюда!EW56</f>
        <v>0</v>
      </c>
      <c r="EX148" s="473">
        <f>блюда!EX56</f>
        <v>0</v>
      </c>
      <c r="EY148" s="927">
        <f t="shared" si="94"/>
        <v>0.14699999999999999</v>
      </c>
      <c r="EZ148" s="117">
        <f>блюда!EZ79</f>
        <v>0</v>
      </c>
      <c r="FA148" s="117">
        <f>блюда!FA79</f>
        <v>0</v>
      </c>
      <c r="FB148" s="117">
        <f>блюда!FB79</f>
        <v>0</v>
      </c>
      <c r="FC148" s="117">
        <f>блюда!FC79</f>
        <v>0</v>
      </c>
      <c r="FD148" s="117">
        <f>блюда!FD79</f>
        <v>0</v>
      </c>
      <c r="FE148" s="117">
        <f>блюда!FE79</f>
        <v>0</v>
      </c>
      <c r="FF148" s="117">
        <f>блюда!FF79</f>
        <v>0</v>
      </c>
      <c r="FG148" s="117">
        <f>блюда!FG79</f>
        <v>0</v>
      </c>
      <c r="FH148" s="117">
        <f>блюда!FH79</f>
        <v>0</v>
      </c>
      <c r="FI148" s="117">
        <f>блюда!FI79</f>
        <v>0</v>
      </c>
      <c r="FJ148" s="117">
        <f>блюда!FJ79</f>
        <v>0</v>
      </c>
      <c r="FK148" s="117">
        <f>блюда!FK79</f>
        <v>0</v>
      </c>
      <c r="FL148" s="117">
        <f>блюда!FL79</f>
        <v>0</v>
      </c>
    </row>
    <row r="149" spans="1:168" ht="13.95" customHeight="1" x14ac:dyDescent="0.25">
      <c r="A149" s="1460"/>
      <c r="B149" s="1367" t="str">
        <f>блюда!B211</f>
        <v>Плов из куриных окорочков</v>
      </c>
      <c r="C149" s="1382">
        <f>блюда!C211</f>
        <v>150</v>
      </c>
      <c r="D149" s="1368">
        <f>блюда!D211</f>
        <v>12.67</v>
      </c>
      <c r="E149" s="1368">
        <f>блюда!E211</f>
        <v>7.4</v>
      </c>
      <c r="F149" s="1368">
        <f>блюда!F211</f>
        <v>27.34</v>
      </c>
      <c r="G149" s="1382">
        <f>блюда!G211</f>
        <v>227</v>
      </c>
      <c r="H149" s="1382">
        <f>блюда!H211</f>
        <v>291</v>
      </c>
      <c r="I149" s="1368">
        <f>блюда!I211</f>
        <v>21.06</v>
      </c>
      <c r="J149" s="1376">
        <f>блюда!J211</f>
        <v>0</v>
      </c>
      <c r="K149" s="1376">
        <f>блюда!K211</f>
        <v>7.5999999999999998E-2</v>
      </c>
      <c r="L149" s="1376">
        <f>блюда!L211</f>
        <v>0</v>
      </c>
      <c r="M149" s="1376">
        <f>блюда!M211</f>
        <v>0</v>
      </c>
      <c r="N149" s="1376">
        <f>блюда!N211</f>
        <v>0</v>
      </c>
      <c r="O149" s="1376">
        <f>блюда!O211</f>
        <v>0</v>
      </c>
      <c r="P149" s="1376">
        <f>блюда!P211</f>
        <v>0</v>
      </c>
      <c r="Q149" s="1376">
        <f>блюда!Q211</f>
        <v>0</v>
      </c>
      <c r="R149" s="1376">
        <f>блюда!R211</f>
        <v>0</v>
      </c>
      <c r="S149" s="1376">
        <f>блюда!S211</f>
        <v>0</v>
      </c>
      <c r="T149" s="1376">
        <f>блюда!T211</f>
        <v>0</v>
      </c>
      <c r="U149" s="1376">
        <f>блюда!U211</f>
        <v>0</v>
      </c>
      <c r="V149" s="1376">
        <f>блюда!V211</f>
        <v>0</v>
      </c>
      <c r="W149" s="1376">
        <f>блюда!W211</f>
        <v>0</v>
      </c>
      <c r="X149" s="1376">
        <f>блюда!X211</f>
        <v>0</v>
      </c>
      <c r="Y149" s="1376">
        <f>блюда!Y211</f>
        <v>0</v>
      </c>
      <c r="Z149" s="1376">
        <f>блюда!Z211</f>
        <v>0</v>
      </c>
      <c r="AA149" s="1376">
        <f>блюда!AA211</f>
        <v>0</v>
      </c>
      <c r="AB149" s="1376">
        <f>блюда!AB211</f>
        <v>0</v>
      </c>
      <c r="AC149" s="1376">
        <f>блюда!AC211</f>
        <v>0</v>
      </c>
      <c r="AD149" s="1376">
        <f>блюда!AD211</f>
        <v>0</v>
      </c>
      <c r="AE149" s="1376">
        <f>блюда!AE211</f>
        <v>0</v>
      </c>
      <c r="AF149" s="1376">
        <f>блюда!AF211</f>
        <v>0</v>
      </c>
      <c r="AG149" s="1376">
        <f>блюда!AG211</f>
        <v>0</v>
      </c>
      <c r="AH149" s="1376">
        <f>блюда!AH211</f>
        <v>0</v>
      </c>
      <c r="AI149" s="1376">
        <f>блюда!AI211</f>
        <v>0</v>
      </c>
      <c r="AJ149" s="1376">
        <f>блюда!AJ211</f>
        <v>0</v>
      </c>
      <c r="AK149" s="1376">
        <f>блюда!AK211</f>
        <v>8.0000000000000002E-3</v>
      </c>
      <c r="AL149" s="1376">
        <f>блюда!AL211</f>
        <v>0</v>
      </c>
      <c r="AM149" s="1376">
        <f>блюда!AM211</f>
        <v>0</v>
      </c>
      <c r="AN149" s="1376">
        <f>блюда!AN211</f>
        <v>0</v>
      </c>
      <c r="AO149" s="1376">
        <f>блюда!AO211</f>
        <v>0</v>
      </c>
      <c r="AP149" s="1376">
        <f>блюда!AP211</f>
        <v>0</v>
      </c>
      <c r="AQ149" s="1376">
        <f>блюда!AQ211</f>
        <v>0.01</v>
      </c>
      <c r="AR149" s="1376">
        <f>блюда!AR211</f>
        <v>0</v>
      </c>
      <c r="AS149" s="1376">
        <f>блюда!AS211</f>
        <v>0</v>
      </c>
      <c r="AT149" s="1376">
        <f>блюда!AT211</f>
        <v>0</v>
      </c>
      <c r="AU149" s="1376">
        <f>блюда!AU211</f>
        <v>0</v>
      </c>
      <c r="AV149" s="1376">
        <f>блюда!AV211</f>
        <v>0</v>
      </c>
      <c r="AW149" s="1376">
        <f>блюда!AW211</f>
        <v>0</v>
      </c>
      <c r="AX149" s="1376">
        <f>блюда!AX211</f>
        <v>0</v>
      </c>
      <c r="AY149" s="1376">
        <f>блюда!AY211</f>
        <v>0</v>
      </c>
      <c r="AZ149" s="1376">
        <f>блюда!AZ211</f>
        <v>0</v>
      </c>
      <c r="BA149" s="1376">
        <f>блюда!BA211</f>
        <v>0</v>
      </c>
      <c r="BB149" s="1376">
        <f>блюда!BB211</f>
        <v>0</v>
      </c>
      <c r="BC149" s="1376">
        <f>блюда!BC211</f>
        <v>0</v>
      </c>
      <c r="BD149" s="1376">
        <f>блюда!BD211</f>
        <v>0</v>
      </c>
      <c r="BE149" s="1376">
        <f>блюда!BE211</f>
        <v>0</v>
      </c>
      <c r="BF149" s="1376">
        <f>блюда!BF211</f>
        <v>0</v>
      </c>
      <c r="BG149" s="1376">
        <f>блюда!BG211</f>
        <v>0</v>
      </c>
      <c r="BH149" s="1376">
        <f>блюда!BH211</f>
        <v>0</v>
      </c>
      <c r="BI149" s="1376">
        <f>блюда!BI211</f>
        <v>0</v>
      </c>
      <c r="BJ149" s="1376">
        <f>блюда!BJ211</f>
        <v>0</v>
      </c>
      <c r="BK149" s="1376">
        <f>блюда!BK211</f>
        <v>0</v>
      </c>
      <c r="BL149" s="1376">
        <f>блюда!BL211</f>
        <v>0</v>
      </c>
      <c r="BM149" s="1376">
        <f>блюда!BM211</f>
        <v>0</v>
      </c>
      <c r="BN149" s="1376">
        <f>блюда!BN211</f>
        <v>0</v>
      </c>
      <c r="BO149" s="1376">
        <f>блюда!BO211</f>
        <v>0</v>
      </c>
      <c r="BP149" s="1376">
        <f>блюда!BP211</f>
        <v>0</v>
      </c>
      <c r="BQ149" s="1376">
        <f>блюда!BQ211</f>
        <v>0</v>
      </c>
      <c r="BR149" s="1376">
        <f>блюда!BR211</f>
        <v>0</v>
      </c>
      <c r="BS149" s="1376">
        <f>блюда!BS211</f>
        <v>0</v>
      </c>
      <c r="BT149" s="1376">
        <f>блюда!BT211</f>
        <v>0</v>
      </c>
      <c r="BU149" s="1376">
        <f>блюда!BU211</f>
        <v>0</v>
      </c>
      <c r="BV149" s="1376">
        <f>блюда!BV211</f>
        <v>0</v>
      </c>
      <c r="BW149" s="1376">
        <f>блюда!BW211</f>
        <v>0</v>
      </c>
      <c r="BX149" s="1376">
        <f>блюда!BX211</f>
        <v>0</v>
      </c>
      <c r="BY149" s="1376">
        <f>блюда!BY211</f>
        <v>0</v>
      </c>
      <c r="BZ149" s="1376">
        <f>блюда!BZ211</f>
        <v>0</v>
      </c>
      <c r="CA149" s="1376">
        <f>блюда!CA211</f>
        <v>0</v>
      </c>
      <c r="CB149" s="1376">
        <f>блюда!CB211</f>
        <v>3.5000000000000003E-2</v>
      </c>
      <c r="CC149" s="1376">
        <f>блюда!CC211</f>
        <v>0</v>
      </c>
      <c r="CD149" s="1376">
        <f>блюда!CD211</f>
        <v>0</v>
      </c>
      <c r="CE149" s="1376">
        <f>блюда!CE211</f>
        <v>0</v>
      </c>
      <c r="CF149" s="1376">
        <f>блюда!CF211</f>
        <v>7.0000000000000001E-3</v>
      </c>
      <c r="CG149" s="1376">
        <f>блюда!CG211</f>
        <v>0</v>
      </c>
      <c r="CH149" s="1376">
        <f>блюда!CH211</f>
        <v>0</v>
      </c>
      <c r="CI149" s="1376">
        <f>блюда!CI211</f>
        <v>0</v>
      </c>
      <c r="CJ149" s="1376">
        <f>блюда!CJ211</f>
        <v>0</v>
      </c>
      <c r="CK149" s="1376">
        <f>блюда!CK211</f>
        <v>0</v>
      </c>
      <c r="CL149" s="1376">
        <f>блюда!CL211</f>
        <v>0</v>
      </c>
      <c r="CM149" s="1376">
        <f>блюда!CM211</f>
        <v>0</v>
      </c>
      <c r="CN149" s="1376">
        <f>блюда!CN211</f>
        <v>0</v>
      </c>
      <c r="CO149" s="1376">
        <f>блюда!CO211</f>
        <v>0</v>
      </c>
      <c r="CP149" s="1376">
        <f>блюда!CP211</f>
        <v>0</v>
      </c>
      <c r="CQ149" s="1376">
        <f>блюда!CQ211</f>
        <v>0</v>
      </c>
      <c r="CR149" s="1376">
        <f>блюда!CR211</f>
        <v>0</v>
      </c>
      <c r="CS149" s="1376">
        <f>блюда!CS211</f>
        <v>0</v>
      </c>
      <c r="CT149" s="1376">
        <f>блюда!CT211</f>
        <v>0</v>
      </c>
      <c r="CU149" s="1376">
        <f>блюда!CU211</f>
        <v>0</v>
      </c>
      <c r="CV149" s="1376">
        <f>блюда!CV211</f>
        <v>0</v>
      </c>
      <c r="CW149" s="1376">
        <f>блюда!CW211</f>
        <v>0</v>
      </c>
      <c r="CX149" s="1376">
        <f>блюда!CX211</f>
        <v>0</v>
      </c>
      <c r="CY149" s="1376">
        <f>блюда!CY211</f>
        <v>0</v>
      </c>
      <c r="CZ149" s="1376">
        <f>блюда!CZ211</f>
        <v>0</v>
      </c>
      <c r="DA149" s="1376">
        <f>блюда!DA211</f>
        <v>0</v>
      </c>
      <c r="DB149" s="1376">
        <f>блюда!DB211</f>
        <v>0</v>
      </c>
      <c r="DC149" s="1376">
        <f>блюда!DC211</f>
        <v>3.0000000000000001E-3</v>
      </c>
      <c r="DD149" s="1376">
        <f>блюда!DD211</f>
        <v>0</v>
      </c>
      <c r="DE149" s="1376">
        <f>блюда!DE211</f>
        <v>0</v>
      </c>
      <c r="DF149" s="1376">
        <f>блюда!DF211</f>
        <v>5.0000000000000001E-3</v>
      </c>
      <c r="DG149" s="1376">
        <f>блюда!DG211</f>
        <v>0</v>
      </c>
      <c r="DH149" s="1376">
        <f>блюда!DH211</f>
        <v>0</v>
      </c>
      <c r="DI149" s="1376">
        <f>блюда!DI211</f>
        <v>0</v>
      </c>
      <c r="DJ149" s="1376">
        <f>блюда!DJ211</f>
        <v>0</v>
      </c>
      <c r="DK149" s="1376">
        <f>блюда!DK211</f>
        <v>0</v>
      </c>
      <c r="DL149" s="1376">
        <f>блюда!DL211</f>
        <v>0</v>
      </c>
      <c r="DM149" s="1376">
        <f>блюда!DM211</f>
        <v>0</v>
      </c>
      <c r="DN149" s="1376">
        <f>блюда!DN211</f>
        <v>0</v>
      </c>
      <c r="DO149" s="1376">
        <f>блюда!DO211</f>
        <v>0</v>
      </c>
      <c r="DP149" s="1376">
        <f>блюда!DP211</f>
        <v>0</v>
      </c>
      <c r="DQ149" s="1376">
        <f>блюда!DQ211</f>
        <v>0</v>
      </c>
      <c r="DR149" s="1376">
        <f>блюда!DR211</f>
        <v>0</v>
      </c>
      <c r="DS149" s="1376">
        <f>блюда!DS211</f>
        <v>0</v>
      </c>
      <c r="DT149" s="1376">
        <f>блюда!DT211</f>
        <v>0</v>
      </c>
      <c r="DU149" s="1376">
        <f>блюда!DU211</f>
        <v>0</v>
      </c>
      <c r="DV149" s="1376">
        <f>блюда!DV211</f>
        <v>0</v>
      </c>
      <c r="DW149" s="1376">
        <f>блюда!DW211</f>
        <v>0</v>
      </c>
      <c r="DX149" s="1376">
        <f>блюда!DX211</f>
        <v>0</v>
      </c>
      <c r="DY149" s="1376">
        <f>блюда!DY211</f>
        <v>0</v>
      </c>
      <c r="DZ149" s="1376">
        <f>блюда!DZ211</f>
        <v>0</v>
      </c>
      <c r="EA149" s="1376">
        <f>блюда!EA211</f>
        <v>0</v>
      </c>
      <c r="EB149" s="1376">
        <f>блюда!EB211</f>
        <v>0</v>
      </c>
      <c r="EC149" s="1376">
        <f>блюда!EC211</f>
        <v>0</v>
      </c>
      <c r="ED149" s="1376">
        <f>блюда!ED211</f>
        <v>0</v>
      </c>
      <c r="EE149" s="1376">
        <f>блюда!EE211</f>
        <v>0</v>
      </c>
      <c r="EF149" s="1376">
        <f>блюда!EF211</f>
        <v>0</v>
      </c>
      <c r="EG149" s="1376">
        <f>блюда!EG211</f>
        <v>0</v>
      </c>
      <c r="EH149" s="1376">
        <f>блюда!EH211</f>
        <v>0</v>
      </c>
      <c r="EI149" s="1376">
        <f>блюда!EI211</f>
        <v>0</v>
      </c>
      <c r="EJ149" s="1376">
        <f>блюда!EJ211</f>
        <v>0</v>
      </c>
      <c r="EK149" s="1376">
        <f>блюда!EK211</f>
        <v>0</v>
      </c>
      <c r="EL149" s="1376">
        <f>блюда!EL211</f>
        <v>0</v>
      </c>
      <c r="EM149" s="1376">
        <f>блюда!EM211</f>
        <v>0</v>
      </c>
      <c r="EN149" s="1376">
        <f>блюда!EN211</f>
        <v>0</v>
      </c>
      <c r="EO149" s="1376">
        <f>блюда!EO211</f>
        <v>0</v>
      </c>
      <c r="EP149" s="1376">
        <f>блюда!EP211</f>
        <v>0</v>
      </c>
      <c r="EQ149" s="1376">
        <f>блюда!EQ211</f>
        <v>0</v>
      </c>
      <c r="ER149" s="1376">
        <f>блюда!ER211</f>
        <v>0</v>
      </c>
      <c r="ES149" s="1376">
        <f>блюда!ES211</f>
        <v>0</v>
      </c>
      <c r="ET149" s="1376">
        <f>блюда!ET211</f>
        <v>0</v>
      </c>
      <c r="EU149" s="1376">
        <f>блюда!EU211</f>
        <v>0</v>
      </c>
      <c r="EV149" s="1376">
        <f>блюда!EV211</f>
        <v>0</v>
      </c>
      <c r="EW149" s="1376">
        <f>блюда!EW211</f>
        <v>0</v>
      </c>
      <c r="EX149" s="1376">
        <f>блюда!EX211</f>
        <v>0</v>
      </c>
      <c r="EY149" s="927">
        <f t="shared" si="94"/>
        <v>0.14399999999999999</v>
      </c>
      <c r="EZ149" s="431">
        <f>блюда!EZ185</f>
        <v>0</v>
      </c>
      <c r="FA149" s="431">
        <f>блюда!FA185</f>
        <v>0</v>
      </c>
      <c r="FB149" s="431">
        <f>блюда!FB185</f>
        <v>0</v>
      </c>
      <c r="FC149" s="431">
        <f>блюда!FC185</f>
        <v>0</v>
      </c>
      <c r="FD149" s="431">
        <f>блюда!FD185</f>
        <v>0</v>
      </c>
      <c r="FE149" s="431">
        <f>блюда!FE185</f>
        <v>0</v>
      </c>
      <c r="FF149" s="431">
        <f>блюда!FF185</f>
        <v>0</v>
      </c>
      <c r="FG149" s="431">
        <f>блюда!FG185</f>
        <v>0</v>
      </c>
      <c r="FH149" s="431">
        <f>блюда!FH185</f>
        <v>0</v>
      </c>
      <c r="FI149" s="431">
        <f>блюда!FI185</f>
        <v>0</v>
      </c>
      <c r="FJ149" s="431">
        <f>блюда!FJ185</f>
        <v>0</v>
      </c>
      <c r="FK149" s="431">
        <f>блюда!FK185</f>
        <v>0</v>
      </c>
      <c r="FL149" s="431">
        <f>блюда!FL185</f>
        <v>0</v>
      </c>
    </row>
    <row r="150" spans="1:168" ht="13.95" customHeight="1" x14ac:dyDescent="0.25">
      <c r="A150" s="1460"/>
      <c r="B150" s="115" t="str">
        <f>блюда!B281</f>
        <v>Компот из смеси сухофруктов</v>
      </c>
      <c r="C150" s="250">
        <f>блюда!C281</f>
        <v>200</v>
      </c>
      <c r="D150" s="431">
        <f>блюда!D281</f>
        <v>0.66</v>
      </c>
      <c r="E150" s="431">
        <f>блюда!E281</f>
        <v>0.09</v>
      </c>
      <c r="F150" s="431">
        <f>блюда!F281</f>
        <v>32.01</v>
      </c>
      <c r="G150" s="250">
        <f>блюда!G281</f>
        <v>133</v>
      </c>
      <c r="H150" s="250">
        <f>блюда!H281</f>
        <v>349</v>
      </c>
      <c r="I150" s="431">
        <f>блюда!I281</f>
        <v>4.18</v>
      </c>
      <c r="J150" s="473">
        <f>блюда!J281</f>
        <v>0</v>
      </c>
      <c r="K150" s="473">
        <f>блюда!K281</f>
        <v>0</v>
      </c>
      <c r="L150" s="473">
        <f>блюда!L281</f>
        <v>0</v>
      </c>
      <c r="M150" s="473">
        <f>блюда!M281</f>
        <v>0</v>
      </c>
      <c r="N150" s="473">
        <f>блюда!N281</f>
        <v>0</v>
      </c>
      <c r="O150" s="473">
        <f>блюда!O281</f>
        <v>0</v>
      </c>
      <c r="P150" s="473">
        <f>блюда!P281</f>
        <v>0</v>
      </c>
      <c r="Q150" s="473">
        <f>блюда!Q281</f>
        <v>0</v>
      </c>
      <c r="R150" s="473">
        <f>блюда!R281</f>
        <v>0</v>
      </c>
      <c r="S150" s="473">
        <f>блюда!S281</f>
        <v>0</v>
      </c>
      <c r="T150" s="473">
        <f>блюда!T281</f>
        <v>0</v>
      </c>
      <c r="U150" s="473">
        <f>блюда!U281</f>
        <v>0</v>
      </c>
      <c r="V150" s="473">
        <f>блюда!V281</f>
        <v>0</v>
      </c>
      <c r="W150" s="473">
        <f>блюда!W281</f>
        <v>0</v>
      </c>
      <c r="X150" s="473">
        <f>блюда!X281</f>
        <v>0</v>
      </c>
      <c r="Y150" s="473">
        <f>блюда!Y281</f>
        <v>0</v>
      </c>
      <c r="Z150" s="473">
        <f>блюда!Z281</f>
        <v>0</v>
      </c>
      <c r="AA150" s="473">
        <f>блюда!AA281</f>
        <v>0</v>
      </c>
      <c r="AB150" s="473">
        <f>блюда!AB281</f>
        <v>0</v>
      </c>
      <c r="AC150" s="473">
        <f>блюда!AC281</f>
        <v>0</v>
      </c>
      <c r="AD150" s="473">
        <f>блюда!AD281</f>
        <v>0</v>
      </c>
      <c r="AE150" s="473">
        <f>блюда!AE281</f>
        <v>0</v>
      </c>
      <c r="AF150" s="473">
        <f>блюда!AF281</f>
        <v>0</v>
      </c>
      <c r="AG150" s="473">
        <f>блюда!AG281</f>
        <v>0</v>
      </c>
      <c r="AH150" s="473">
        <f>блюда!AH281</f>
        <v>0</v>
      </c>
      <c r="AI150" s="473">
        <f>блюда!AI281</f>
        <v>0</v>
      </c>
      <c r="AJ150" s="473">
        <f>блюда!AJ281</f>
        <v>0</v>
      </c>
      <c r="AK150" s="473">
        <f>блюда!AK281</f>
        <v>0</v>
      </c>
      <c r="AL150" s="473">
        <f>блюда!AL281</f>
        <v>0</v>
      </c>
      <c r="AM150" s="473">
        <f>блюда!AM281</f>
        <v>0</v>
      </c>
      <c r="AN150" s="473">
        <f>блюда!AN281</f>
        <v>0</v>
      </c>
      <c r="AO150" s="473">
        <f>блюда!AO281</f>
        <v>0</v>
      </c>
      <c r="AP150" s="473">
        <f>блюда!AP281</f>
        <v>0</v>
      </c>
      <c r="AQ150" s="473">
        <f>блюда!AQ281</f>
        <v>0</v>
      </c>
      <c r="AR150" s="473">
        <f>блюда!AR281</f>
        <v>0</v>
      </c>
      <c r="AS150" s="473">
        <f>блюда!AS281</f>
        <v>0</v>
      </c>
      <c r="AT150" s="473">
        <f>блюда!AT281</f>
        <v>0</v>
      </c>
      <c r="AU150" s="473">
        <f>блюда!AU281</f>
        <v>0</v>
      </c>
      <c r="AV150" s="473">
        <f>блюда!AV281</f>
        <v>0</v>
      </c>
      <c r="AW150" s="473">
        <f>блюда!AW281</f>
        <v>0</v>
      </c>
      <c r="AX150" s="473">
        <f>блюда!AX281</f>
        <v>0</v>
      </c>
      <c r="AY150" s="473">
        <f>блюда!AY281</f>
        <v>0</v>
      </c>
      <c r="AZ150" s="473">
        <f>блюда!AZ281</f>
        <v>0</v>
      </c>
      <c r="BA150" s="473">
        <f>блюда!BA281</f>
        <v>0</v>
      </c>
      <c r="BB150" s="473">
        <f>блюда!BB281</f>
        <v>0</v>
      </c>
      <c r="BC150" s="473">
        <f>блюда!BC281</f>
        <v>0</v>
      </c>
      <c r="BD150" s="473">
        <f>блюда!BD281</f>
        <v>0</v>
      </c>
      <c r="BE150" s="473">
        <f>блюда!BE281</f>
        <v>0</v>
      </c>
      <c r="BF150" s="473">
        <f>блюда!BF281</f>
        <v>0</v>
      </c>
      <c r="BG150" s="473">
        <f>блюда!BG281</f>
        <v>0</v>
      </c>
      <c r="BH150" s="473">
        <f>блюда!BH281</f>
        <v>0</v>
      </c>
      <c r="BI150" s="473">
        <f>блюда!BI281</f>
        <v>0</v>
      </c>
      <c r="BJ150" s="473">
        <f>блюда!BJ281</f>
        <v>0</v>
      </c>
      <c r="BK150" s="473">
        <f>блюда!BK281</f>
        <v>0</v>
      </c>
      <c r="BL150" s="473">
        <f>блюда!BL281</f>
        <v>0</v>
      </c>
      <c r="BM150" s="473">
        <f>блюда!BM281</f>
        <v>0</v>
      </c>
      <c r="BN150" s="473">
        <f>блюда!BN281</f>
        <v>0</v>
      </c>
      <c r="BO150" s="473">
        <f>блюда!BO281</f>
        <v>0</v>
      </c>
      <c r="BP150" s="473">
        <f>блюда!BP281</f>
        <v>0</v>
      </c>
      <c r="BQ150" s="473">
        <f>блюда!BQ281</f>
        <v>0</v>
      </c>
      <c r="BR150" s="473">
        <f>блюда!BR281</f>
        <v>0</v>
      </c>
      <c r="BS150" s="473">
        <f>блюда!BS281</f>
        <v>0</v>
      </c>
      <c r="BT150" s="473">
        <f>блюда!BT281</f>
        <v>0</v>
      </c>
      <c r="BU150" s="473">
        <f>блюда!BU281</f>
        <v>0</v>
      </c>
      <c r="BV150" s="473">
        <f>блюда!BV281</f>
        <v>0</v>
      </c>
      <c r="BW150" s="473">
        <f>блюда!BW281</f>
        <v>0</v>
      </c>
      <c r="BX150" s="473">
        <f>блюда!BX281</f>
        <v>0</v>
      </c>
      <c r="BY150" s="473">
        <f>блюда!BY281</f>
        <v>0</v>
      </c>
      <c r="BZ150" s="473">
        <f>блюда!BZ281</f>
        <v>0</v>
      </c>
      <c r="CA150" s="473">
        <f>блюда!CA281</f>
        <v>0</v>
      </c>
      <c r="CB150" s="473">
        <f>блюда!CB281</f>
        <v>0</v>
      </c>
      <c r="CC150" s="473">
        <f>блюда!CC281</f>
        <v>0</v>
      </c>
      <c r="CD150" s="473">
        <f>блюда!CD281</f>
        <v>0</v>
      </c>
      <c r="CE150" s="473">
        <f>блюда!CE281</f>
        <v>0</v>
      </c>
      <c r="CF150" s="473">
        <f>блюда!CF281</f>
        <v>0</v>
      </c>
      <c r="CG150" s="473">
        <f>блюда!CG281</f>
        <v>0</v>
      </c>
      <c r="CH150" s="473">
        <f>блюда!CH281</f>
        <v>0</v>
      </c>
      <c r="CI150" s="473">
        <f>блюда!CI281</f>
        <v>0</v>
      </c>
      <c r="CJ150" s="473">
        <f>блюда!CJ281</f>
        <v>0</v>
      </c>
      <c r="CK150" s="473">
        <f>блюда!CK281</f>
        <v>0</v>
      </c>
      <c r="CL150" s="473">
        <f>блюда!CL281</f>
        <v>0</v>
      </c>
      <c r="CM150" s="473">
        <f>блюда!CM281</f>
        <v>0</v>
      </c>
      <c r="CN150" s="473">
        <f>блюда!CN281</f>
        <v>0</v>
      </c>
      <c r="CO150" s="473">
        <f>блюда!CO281</f>
        <v>0</v>
      </c>
      <c r="CP150" s="473">
        <f>блюда!CP281</f>
        <v>0</v>
      </c>
      <c r="CQ150" s="473">
        <f>блюда!CQ281</f>
        <v>2.0000000000000001E-4</v>
      </c>
      <c r="CR150" s="473">
        <f>блюда!CR281</f>
        <v>0</v>
      </c>
      <c r="CS150" s="473">
        <f>блюда!CS281</f>
        <v>0</v>
      </c>
      <c r="CT150" s="473">
        <f>блюда!CT281</f>
        <v>0</v>
      </c>
      <c r="CU150" s="473">
        <f>блюда!CU281</f>
        <v>0</v>
      </c>
      <c r="CV150" s="473">
        <f>блюда!CV281</f>
        <v>0</v>
      </c>
      <c r="CW150" s="473">
        <f>блюда!CW281</f>
        <v>0</v>
      </c>
      <c r="CX150" s="473">
        <f>блюда!CX281</f>
        <v>0</v>
      </c>
      <c r="CY150" s="473">
        <f>блюда!CY281</f>
        <v>0</v>
      </c>
      <c r="CZ150" s="473">
        <f>блюда!CZ281</f>
        <v>0.02</v>
      </c>
      <c r="DA150" s="473">
        <f>блюда!DA281</f>
        <v>0</v>
      </c>
      <c r="DB150" s="473">
        <f>блюда!DB281</f>
        <v>0</v>
      </c>
      <c r="DC150" s="473">
        <f>блюда!DC281</f>
        <v>0</v>
      </c>
      <c r="DD150" s="473">
        <f>блюда!DD281</f>
        <v>0</v>
      </c>
      <c r="DE150" s="473">
        <f>блюда!DE281</f>
        <v>0.02</v>
      </c>
      <c r="DF150" s="473">
        <f>блюда!DF281</f>
        <v>0</v>
      </c>
      <c r="DG150" s="473">
        <f>блюда!DG281</f>
        <v>0</v>
      </c>
      <c r="DH150" s="473">
        <f>блюда!DH281</f>
        <v>0</v>
      </c>
      <c r="DI150" s="473">
        <f>блюда!DI281</f>
        <v>0</v>
      </c>
      <c r="DJ150" s="473">
        <f>блюда!DJ281</f>
        <v>0</v>
      </c>
      <c r="DK150" s="473">
        <f>блюда!DK281</f>
        <v>0</v>
      </c>
      <c r="DL150" s="473">
        <f>блюда!DL281</f>
        <v>0</v>
      </c>
      <c r="DM150" s="473">
        <f>блюда!DM281</f>
        <v>0</v>
      </c>
      <c r="DN150" s="473">
        <f>блюда!DN281</f>
        <v>0</v>
      </c>
      <c r="DO150" s="473">
        <f>блюда!DO281</f>
        <v>0</v>
      </c>
      <c r="DP150" s="473">
        <f>блюда!DP281</f>
        <v>0</v>
      </c>
      <c r="DQ150" s="473">
        <f>блюда!DQ281</f>
        <v>0</v>
      </c>
      <c r="DR150" s="473">
        <f>блюда!DR281</f>
        <v>0</v>
      </c>
      <c r="DS150" s="473">
        <f>блюда!DS281</f>
        <v>0</v>
      </c>
      <c r="DT150" s="473">
        <f>блюда!DT281</f>
        <v>0</v>
      </c>
      <c r="DU150" s="473">
        <f>блюда!DU281</f>
        <v>0</v>
      </c>
      <c r="DV150" s="473">
        <f>блюда!DV281</f>
        <v>0</v>
      </c>
      <c r="DW150" s="473">
        <f>блюда!DW281</f>
        <v>0</v>
      </c>
      <c r="DX150" s="473">
        <f>блюда!DX281</f>
        <v>0</v>
      </c>
      <c r="DY150" s="473">
        <f>блюда!DY281</f>
        <v>0</v>
      </c>
      <c r="DZ150" s="473">
        <f>блюда!DZ281</f>
        <v>0</v>
      </c>
      <c r="EA150" s="473">
        <f>блюда!EA281</f>
        <v>0</v>
      </c>
      <c r="EB150" s="473">
        <f>блюда!EB281</f>
        <v>0</v>
      </c>
      <c r="EC150" s="473">
        <f>блюда!EC281</f>
        <v>0</v>
      </c>
      <c r="ED150" s="473">
        <f>блюда!ED281</f>
        <v>0</v>
      </c>
      <c r="EE150" s="473">
        <f>блюда!EE281</f>
        <v>0</v>
      </c>
      <c r="EF150" s="473">
        <f>блюда!EF281</f>
        <v>0</v>
      </c>
      <c r="EG150" s="473">
        <f>блюда!EG281</f>
        <v>0</v>
      </c>
      <c r="EH150" s="473">
        <f>блюда!EH281</f>
        <v>0</v>
      </c>
      <c r="EI150" s="473">
        <f>блюда!EI281</f>
        <v>0</v>
      </c>
      <c r="EJ150" s="473">
        <f>блюда!EJ281</f>
        <v>0</v>
      </c>
      <c r="EK150" s="473">
        <f>блюда!EK281</f>
        <v>0</v>
      </c>
      <c r="EL150" s="473">
        <f>блюда!EL281</f>
        <v>0</v>
      </c>
      <c r="EM150" s="473">
        <f>блюда!EM281</f>
        <v>0</v>
      </c>
      <c r="EN150" s="473">
        <f>блюда!EN281</f>
        <v>0</v>
      </c>
      <c r="EO150" s="473">
        <f>блюда!EO281</f>
        <v>0</v>
      </c>
      <c r="EP150" s="473">
        <f>блюда!EP281</f>
        <v>0</v>
      </c>
      <c r="EQ150" s="473">
        <f>блюда!EQ281</f>
        <v>0</v>
      </c>
      <c r="ER150" s="473">
        <f>блюда!ER281</f>
        <v>0</v>
      </c>
      <c r="ES150" s="473">
        <f>блюда!ES281</f>
        <v>0</v>
      </c>
      <c r="ET150" s="473">
        <f>блюда!ET281</f>
        <v>0</v>
      </c>
      <c r="EU150" s="473">
        <f>блюда!EU281</f>
        <v>0</v>
      </c>
      <c r="EV150" s="473">
        <f>блюда!EV281</f>
        <v>0</v>
      </c>
      <c r="EW150" s="473">
        <f>блюда!EW281</f>
        <v>0</v>
      </c>
      <c r="EX150" s="473">
        <f>блюда!EX281</f>
        <v>0</v>
      </c>
      <c r="EY150" s="927">
        <f t="shared" si="94"/>
        <v>4.02E-2</v>
      </c>
      <c r="EZ150" s="117">
        <f>блюда!EZ272</f>
        <v>0</v>
      </c>
      <c r="FA150" s="117">
        <f>блюда!FA272</f>
        <v>0</v>
      </c>
      <c r="FB150" s="117">
        <f>блюда!FB272</f>
        <v>0</v>
      </c>
      <c r="FC150" s="117">
        <f>блюда!FC272</f>
        <v>0</v>
      </c>
      <c r="FD150" s="117">
        <f>блюда!FD272</f>
        <v>0</v>
      </c>
      <c r="FE150" s="117">
        <f>блюда!FE272</f>
        <v>0</v>
      </c>
      <c r="FF150" s="117">
        <f>блюда!FF272</f>
        <v>0</v>
      </c>
      <c r="FG150" s="117">
        <f>блюда!FG272</f>
        <v>0</v>
      </c>
      <c r="FH150" s="117">
        <f>блюда!FH272</f>
        <v>0</v>
      </c>
      <c r="FI150" s="117">
        <f>блюда!FI272</f>
        <v>0</v>
      </c>
      <c r="FJ150" s="117">
        <f>блюда!FJ272</f>
        <v>0</v>
      </c>
      <c r="FK150" s="117">
        <f>блюда!FK272</f>
        <v>0</v>
      </c>
      <c r="FL150" s="117">
        <f>блюда!FL272</f>
        <v>0</v>
      </c>
    </row>
    <row r="151" spans="1:168" ht="13.95" customHeight="1" x14ac:dyDescent="0.25">
      <c r="A151" s="1460"/>
      <c r="B151" s="115" t="str">
        <f>блюда!B333</f>
        <v>Хлеб пшеничный нарезной</v>
      </c>
      <c r="C151" s="250">
        <f>блюда!C333</f>
        <v>20</v>
      </c>
      <c r="D151" s="431">
        <f>блюда!D333</f>
        <v>2.14</v>
      </c>
      <c r="E151" s="431">
        <f>блюда!E333</f>
        <v>0.9</v>
      </c>
      <c r="F151" s="431">
        <f>блюда!F333</f>
        <v>8.6999999999999993</v>
      </c>
      <c r="G151" s="250">
        <f>блюда!G333</f>
        <v>55</v>
      </c>
      <c r="H151" s="250" t="str">
        <f>блюда!H333</f>
        <v>ПРОМ</v>
      </c>
      <c r="I151" s="431">
        <f>блюда!I333</f>
        <v>1.3</v>
      </c>
      <c r="J151" s="473">
        <f>блюда!J333</f>
        <v>0</v>
      </c>
      <c r="K151" s="473">
        <f>блюда!K333</f>
        <v>0</v>
      </c>
      <c r="L151" s="473">
        <f>блюда!L333</f>
        <v>0</v>
      </c>
      <c r="M151" s="473">
        <f>блюда!M333</f>
        <v>0</v>
      </c>
      <c r="N151" s="473">
        <f>блюда!N333</f>
        <v>0</v>
      </c>
      <c r="O151" s="473">
        <f>блюда!O333</f>
        <v>0</v>
      </c>
      <c r="P151" s="473">
        <f>блюда!P333</f>
        <v>0</v>
      </c>
      <c r="Q151" s="473">
        <f>блюда!Q333</f>
        <v>0</v>
      </c>
      <c r="R151" s="473">
        <f>блюда!R333</f>
        <v>0</v>
      </c>
      <c r="S151" s="473">
        <f>блюда!S333</f>
        <v>0</v>
      </c>
      <c r="T151" s="473">
        <f>блюда!T333</f>
        <v>0</v>
      </c>
      <c r="U151" s="473">
        <f>блюда!U333</f>
        <v>0</v>
      </c>
      <c r="V151" s="473">
        <f>блюда!V333</f>
        <v>0</v>
      </c>
      <c r="W151" s="473">
        <f>блюда!W333</f>
        <v>0</v>
      </c>
      <c r="X151" s="473">
        <f>блюда!X333</f>
        <v>0</v>
      </c>
      <c r="Y151" s="473">
        <f>блюда!Y333</f>
        <v>0</v>
      </c>
      <c r="Z151" s="473">
        <f>блюда!Z333</f>
        <v>0</v>
      </c>
      <c r="AA151" s="473">
        <f>блюда!AA333</f>
        <v>0</v>
      </c>
      <c r="AB151" s="473">
        <f>блюда!AB333</f>
        <v>0</v>
      </c>
      <c r="AC151" s="473">
        <f>блюда!AC333</f>
        <v>0</v>
      </c>
      <c r="AD151" s="473">
        <f>блюда!AD333</f>
        <v>0</v>
      </c>
      <c r="AE151" s="473">
        <f>блюда!AE333</f>
        <v>0</v>
      </c>
      <c r="AF151" s="473">
        <f>блюда!AF333</f>
        <v>0</v>
      </c>
      <c r="AG151" s="473">
        <f>блюда!AG333</f>
        <v>0</v>
      </c>
      <c r="AH151" s="473">
        <f>блюда!AH333</f>
        <v>0</v>
      </c>
      <c r="AI151" s="473">
        <f>блюда!AI333</f>
        <v>0</v>
      </c>
      <c r="AJ151" s="473">
        <f>блюда!AJ333</f>
        <v>0</v>
      </c>
      <c r="AK151" s="473">
        <f>блюда!AK333</f>
        <v>0</v>
      </c>
      <c r="AL151" s="473">
        <f>блюда!AL333</f>
        <v>0</v>
      </c>
      <c r="AM151" s="473">
        <f>блюда!AM333</f>
        <v>0</v>
      </c>
      <c r="AN151" s="473">
        <f>блюда!AN333</f>
        <v>0</v>
      </c>
      <c r="AO151" s="473">
        <f>блюда!AO333</f>
        <v>0</v>
      </c>
      <c r="AP151" s="473">
        <f>блюда!AP333</f>
        <v>0</v>
      </c>
      <c r="AQ151" s="473">
        <f>блюда!AQ333</f>
        <v>0</v>
      </c>
      <c r="AR151" s="473">
        <f>блюда!AR333</f>
        <v>0</v>
      </c>
      <c r="AS151" s="473">
        <f>блюда!AS333</f>
        <v>0</v>
      </c>
      <c r="AT151" s="473">
        <f>блюда!AT333</f>
        <v>0</v>
      </c>
      <c r="AU151" s="473">
        <f>блюда!AU333</f>
        <v>0</v>
      </c>
      <c r="AV151" s="473">
        <f>блюда!AV333</f>
        <v>0</v>
      </c>
      <c r="AW151" s="473">
        <f>блюда!AW333</f>
        <v>0</v>
      </c>
      <c r="AX151" s="473">
        <f>блюда!AX333</f>
        <v>0</v>
      </c>
      <c r="AY151" s="473">
        <f>блюда!AY333</f>
        <v>0</v>
      </c>
      <c r="AZ151" s="473">
        <f>блюда!AZ333</f>
        <v>0</v>
      </c>
      <c r="BA151" s="473">
        <f>блюда!BA333</f>
        <v>0</v>
      </c>
      <c r="BB151" s="473">
        <f>блюда!BB333</f>
        <v>0</v>
      </c>
      <c r="BC151" s="473">
        <f>блюда!BC333</f>
        <v>0</v>
      </c>
      <c r="BD151" s="473">
        <f>блюда!BD333</f>
        <v>0</v>
      </c>
      <c r="BE151" s="473">
        <f>блюда!BE333</f>
        <v>0</v>
      </c>
      <c r="BF151" s="473">
        <f>блюда!BF333</f>
        <v>0</v>
      </c>
      <c r="BG151" s="473">
        <f>блюда!BG333</f>
        <v>0</v>
      </c>
      <c r="BH151" s="473">
        <f>блюда!BH333</f>
        <v>0</v>
      </c>
      <c r="BI151" s="473">
        <f>блюда!BI333</f>
        <v>0</v>
      </c>
      <c r="BJ151" s="473">
        <f>блюда!BJ333</f>
        <v>0</v>
      </c>
      <c r="BK151" s="473">
        <f>блюда!BK333</f>
        <v>0</v>
      </c>
      <c r="BL151" s="473">
        <f>блюда!BL333</f>
        <v>0</v>
      </c>
      <c r="BM151" s="473">
        <f>блюда!BM333</f>
        <v>0</v>
      </c>
      <c r="BN151" s="473">
        <f>блюда!BN333</f>
        <v>0</v>
      </c>
      <c r="BO151" s="473">
        <f>блюда!BO333</f>
        <v>0</v>
      </c>
      <c r="BP151" s="473">
        <f>блюда!BP333</f>
        <v>0</v>
      </c>
      <c r="BQ151" s="473">
        <f>блюда!BQ333</f>
        <v>0</v>
      </c>
      <c r="BR151" s="473">
        <f>блюда!BR333</f>
        <v>0</v>
      </c>
      <c r="BS151" s="473">
        <f>блюда!BS333</f>
        <v>0</v>
      </c>
      <c r="BT151" s="473">
        <f>блюда!BT333</f>
        <v>0</v>
      </c>
      <c r="BU151" s="473">
        <f>блюда!BU333</f>
        <v>0</v>
      </c>
      <c r="BV151" s="473">
        <f>блюда!BV333</f>
        <v>0</v>
      </c>
      <c r="BW151" s="473">
        <f>блюда!BW333</f>
        <v>0</v>
      </c>
      <c r="BX151" s="473">
        <f>блюда!BX333</f>
        <v>0</v>
      </c>
      <c r="BY151" s="473">
        <f>блюда!BY333</f>
        <v>0</v>
      </c>
      <c r="BZ151" s="473">
        <f>блюда!BZ333</f>
        <v>0</v>
      </c>
      <c r="CA151" s="473">
        <f>блюда!CA333</f>
        <v>0</v>
      </c>
      <c r="CB151" s="473">
        <f>блюда!CB333</f>
        <v>0</v>
      </c>
      <c r="CC151" s="473">
        <f>блюда!CC333</f>
        <v>0</v>
      </c>
      <c r="CD151" s="473">
        <f>блюда!CD333</f>
        <v>0</v>
      </c>
      <c r="CE151" s="473">
        <f>блюда!CE333</f>
        <v>0</v>
      </c>
      <c r="CF151" s="473">
        <f>блюда!CF333</f>
        <v>0</v>
      </c>
      <c r="CG151" s="473">
        <f>блюда!CG333</f>
        <v>0</v>
      </c>
      <c r="CH151" s="473">
        <f>блюда!CH333</f>
        <v>0</v>
      </c>
      <c r="CI151" s="473">
        <f>блюда!CI333</f>
        <v>0</v>
      </c>
      <c r="CJ151" s="473">
        <f>блюда!CJ333</f>
        <v>0</v>
      </c>
      <c r="CK151" s="473">
        <f>блюда!CK333</f>
        <v>0</v>
      </c>
      <c r="CL151" s="473">
        <f>блюда!CL333</f>
        <v>0</v>
      </c>
      <c r="CM151" s="473">
        <f>блюда!CM333</f>
        <v>0</v>
      </c>
      <c r="CN151" s="473">
        <f>блюда!CN333</f>
        <v>0</v>
      </c>
      <c r="CO151" s="473">
        <f>блюда!CO333</f>
        <v>0</v>
      </c>
      <c r="CP151" s="473">
        <f>блюда!CP333</f>
        <v>0</v>
      </c>
      <c r="CQ151" s="473">
        <f>блюда!CQ333</f>
        <v>0</v>
      </c>
      <c r="CR151" s="473">
        <f>блюда!CR333</f>
        <v>0</v>
      </c>
      <c r="CS151" s="473">
        <f>блюда!CS333</f>
        <v>0</v>
      </c>
      <c r="CT151" s="473">
        <f>блюда!CT333</f>
        <v>0</v>
      </c>
      <c r="CU151" s="473">
        <f>блюда!CU333</f>
        <v>0</v>
      </c>
      <c r="CV151" s="473">
        <f>блюда!CV333</f>
        <v>0</v>
      </c>
      <c r="CW151" s="473">
        <f>блюда!CW333</f>
        <v>0</v>
      </c>
      <c r="CX151" s="473">
        <f>блюда!CX333</f>
        <v>0</v>
      </c>
      <c r="CY151" s="473">
        <f>блюда!CY333</f>
        <v>0</v>
      </c>
      <c r="CZ151" s="473">
        <f>блюда!CZ333</f>
        <v>0</v>
      </c>
      <c r="DA151" s="473">
        <f>блюда!DA333</f>
        <v>0</v>
      </c>
      <c r="DB151" s="473">
        <f>блюда!DB333</f>
        <v>0</v>
      </c>
      <c r="DC151" s="473">
        <f>блюда!DC333</f>
        <v>0</v>
      </c>
      <c r="DD151" s="473">
        <f>блюда!DD333</f>
        <v>0</v>
      </c>
      <c r="DE151" s="473">
        <f>блюда!DE333</f>
        <v>0</v>
      </c>
      <c r="DF151" s="473">
        <f>блюда!DF333</f>
        <v>0</v>
      </c>
      <c r="DG151" s="473">
        <f>блюда!DG333</f>
        <v>0</v>
      </c>
      <c r="DH151" s="473">
        <f>блюда!DH333</f>
        <v>0</v>
      </c>
      <c r="DI151" s="473">
        <f>блюда!DI333</f>
        <v>0</v>
      </c>
      <c r="DJ151" s="473">
        <f>блюда!DJ333</f>
        <v>0</v>
      </c>
      <c r="DK151" s="473">
        <f>блюда!DK333</f>
        <v>0</v>
      </c>
      <c r="DL151" s="473">
        <f>блюда!DL333</f>
        <v>0</v>
      </c>
      <c r="DM151" s="473">
        <f>блюда!DM333</f>
        <v>0</v>
      </c>
      <c r="DN151" s="473">
        <f>блюда!DN333</f>
        <v>0</v>
      </c>
      <c r="DO151" s="473">
        <f>блюда!DO333</f>
        <v>0</v>
      </c>
      <c r="DP151" s="473">
        <f>блюда!DP333</f>
        <v>0</v>
      </c>
      <c r="DQ151" s="473">
        <f>блюда!DQ333</f>
        <v>0</v>
      </c>
      <c r="DR151" s="473">
        <f>блюда!DR333</f>
        <v>0</v>
      </c>
      <c r="DS151" s="473">
        <f>блюда!DS333</f>
        <v>0</v>
      </c>
      <c r="DT151" s="473">
        <f>блюда!DT333</f>
        <v>0</v>
      </c>
      <c r="DU151" s="473">
        <f>блюда!DU333</f>
        <v>0</v>
      </c>
      <c r="DV151" s="473">
        <f>блюда!DV333</f>
        <v>0</v>
      </c>
      <c r="DW151" s="473">
        <f>блюда!DW333</f>
        <v>0</v>
      </c>
      <c r="DX151" s="473">
        <f>блюда!DX333</f>
        <v>0</v>
      </c>
      <c r="DY151" s="473">
        <f>блюда!DY333</f>
        <v>0</v>
      </c>
      <c r="DZ151" s="473">
        <f>блюда!DZ333</f>
        <v>0</v>
      </c>
      <c r="EA151" s="473">
        <f>блюда!EA333</f>
        <v>0</v>
      </c>
      <c r="EB151" s="473">
        <f>блюда!EB333</f>
        <v>0</v>
      </c>
      <c r="EC151" s="473">
        <f>блюда!EC333</f>
        <v>0</v>
      </c>
      <c r="ED151" s="473">
        <f>блюда!ED333</f>
        <v>0</v>
      </c>
      <c r="EE151" s="473">
        <f>блюда!EE333</f>
        <v>0</v>
      </c>
      <c r="EF151" s="473">
        <f>блюда!EF333</f>
        <v>0</v>
      </c>
      <c r="EG151" s="473">
        <f>блюда!EG333</f>
        <v>0</v>
      </c>
      <c r="EH151" s="473">
        <f>блюда!EH333</f>
        <v>0</v>
      </c>
      <c r="EI151" s="473">
        <f>блюда!EI333</f>
        <v>0</v>
      </c>
      <c r="EJ151" s="473">
        <f>блюда!EJ333</f>
        <v>0</v>
      </c>
      <c r="EK151" s="473">
        <f>блюда!EK333</f>
        <v>0</v>
      </c>
      <c r="EL151" s="473">
        <f>блюда!EL333</f>
        <v>0</v>
      </c>
      <c r="EM151" s="473">
        <f>блюда!EM333</f>
        <v>0</v>
      </c>
      <c r="EN151" s="473">
        <f>блюда!EN333</f>
        <v>0</v>
      </c>
      <c r="EO151" s="473">
        <f>блюда!EO333</f>
        <v>0</v>
      </c>
      <c r="EP151" s="473">
        <f>блюда!EP333</f>
        <v>0</v>
      </c>
      <c r="EQ151" s="473">
        <f>блюда!EQ333</f>
        <v>0</v>
      </c>
      <c r="ER151" s="473">
        <f>блюда!ER333</f>
        <v>0</v>
      </c>
      <c r="ES151" s="473">
        <f>блюда!ES333</f>
        <v>0</v>
      </c>
      <c r="ET151" s="473">
        <f>блюда!ET333</f>
        <v>0</v>
      </c>
      <c r="EU151" s="473">
        <f>блюда!EU333</f>
        <v>0</v>
      </c>
      <c r="EV151" s="473">
        <f>блюда!EV333</f>
        <v>0.02</v>
      </c>
      <c r="EW151" s="473">
        <f>блюда!EW333</f>
        <v>0</v>
      </c>
      <c r="EX151" s="473">
        <f>блюда!EX333</f>
        <v>0</v>
      </c>
      <c r="EY151" s="927">
        <f t="shared" si="94"/>
        <v>0.02</v>
      </c>
      <c r="EZ151" s="117">
        <f>блюда!EZ333</f>
        <v>0</v>
      </c>
      <c r="FA151" s="117">
        <f>блюда!FA333</f>
        <v>0</v>
      </c>
      <c r="FB151" s="117">
        <f>блюда!FB333</f>
        <v>0</v>
      </c>
      <c r="FC151" s="117">
        <f>блюда!FC333</f>
        <v>0</v>
      </c>
      <c r="FD151" s="117">
        <f>блюда!FD333</f>
        <v>0</v>
      </c>
      <c r="FE151" s="117">
        <f>блюда!FE333</f>
        <v>0</v>
      </c>
      <c r="FF151" s="117">
        <f>блюда!FF333</f>
        <v>0</v>
      </c>
      <c r="FG151" s="117">
        <f>блюда!FG333</f>
        <v>0</v>
      </c>
      <c r="FH151" s="117">
        <f>блюда!FH333</f>
        <v>0</v>
      </c>
      <c r="FI151" s="117">
        <f>блюда!FI333</f>
        <v>0</v>
      </c>
      <c r="FJ151" s="117">
        <f>блюда!FJ333</f>
        <v>0</v>
      </c>
      <c r="FK151" s="117">
        <f>блюда!FK333</f>
        <v>0</v>
      </c>
      <c r="FL151" s="117">
        <f>блюда!FL333</f>
        <v>0</v>
      </c>
    </row>
    <row r="152" spans="1:168" ht="13.95" customHeight="1" x14ac:dyDescent="0.25">
      <c r="A152" s="1460"/>
      <c r="B152" s="115" t="str">
        <f>блюда!B335</f>
        <v>Хлеб пшенично-ржаной нарезной</v>
      </c>
      <c r="C152" s="250">
        <f>блюда!C335</f>
        <v>30</v>
      </c>
      <c r="D152" s="431">
        <f>блюда!D335</f>
        <v>2.25</v>
      </c>
      <c r="E152" s="431">
        <f>блюда!E335</f>
        <v>0.6</v>
      </c>
      <c r="F152" s="431">
        <f>блюда!F335</f>
        <v>15.6</v>
      </c>
      <c r="G152" s="250">
        <f>блюда!G335</f>
        <v>75</v>
      </c>
      <c r="H152" s="250" t="str">
        <f>блюда!H335</f>
        <v>ПРОМ</v>
      </c>
      <c r="I152" s="431">
        <f>блюда!I335</f>
        <v>1.95</v>
      </c>
      <c r="J152" s="473">
        <f>блюда!J335</f>
        <v>0</v>
      </c>
      <c r="K152" s="473">
        <f>блюда!K335</f>
        <v>0</v>
      </c>
      <c r="L152" s="473">
        <f>блюда!L335</f>
        <v>0</v>
      </c>
      <c r="M152" s="473">
        <f>блюда!M335</f>
        <v>0</v>
      </c>
      <c r="N152" s="473">
        <f>блюда!N335</f>
        <v>0</v>
      </c>
      <c r="O152" s="473">
        <f>блюда!O335</f>
        <v>0</v>
      </c>
      <c r="P152" s="473">
        <f>блюда!P335</f>
        <v>0</v>
      </c>
      <c r="Q152" s="473">
        <f>блюда!Q335</f>
        <v>0</v>
      </c>
      <c r="R152" s="473">
        <f>блюда!R335</f>
        <v>0</v>
      </c>
      <c r="S152" s="473">
        <f>блюда!S335</f>
        <v>0</v>
      </c>
      <c r="T152" s="473">
        <f>блюда!T335</f>
        <v>0</v>
      </c>
      <c r="U152" s="473">
        <f>блюда!U335</f>
        <v>0</v>
      </c>
      <c r="V152" s="473">
        <f>блюда!V335</f>
        <v>0</v>
      </c>
      <c r="W152" s="473">
        <f>блюда!W335</f>
        <v>0</v>
      </c>
      <c r="X152" s="473">
        <f>блюда!X335</f>
        <v>0</v>
      </c>
      <c r="Y152" s="473">
        <f>блюда!Y335</f>
        <v>0</v>
      </c>
      <c r="Z152" s="473">
        <f>блюда!Z335</f>
        <v>0</v>
      </c>
      <c r="AA152" s="473">
        <f>блюда!AA335</f>
        <v>0</v>
      </c>
      <c r="AB152" s="473">
        <f>блюда!AB335</f>
        <v>0</v>
      </c>
      <c r="AC152" s="473">
        <f>блюда!AC335</f>
        <v>0</v>
      </c>
      <c r="AD152" s="473">
        <f>блюда!AD335</f>
        <v>0</v>
      </c>
      <c r="AE152" s="473">
        <f>блюда!AE335</f>
        <v>0</v>
      </c>
      <c r="AF152" s="473">
        <f>блюда!AF335</f>
        <v>0</v>
      </c>
      <c r="AG152" s="473">
        <f>блюда!AG335</f>
        <v>0</v>
      </c>
      <c r="AH152" s="473">
        <f>блюда!AH335</f>
        <v>0</v>
      </c>
      <c r="AI152" s="473">
        <f>блюда!AI335</f>
        <v>0</v>
      </c>
      <c r="AJ152" s="473">
        <f>блюда!AJ335</f>
        <v>0</v>
      </c>
      <c r="AK152" s="473">
        <f>блюда!AK335</f>
        <v>0</v>
      </c>
      <c r="AL152" s="473">
        <f>блюда!AL335</f>
        <v>0</v>
      </c>
      <c r="AM152" s="473">
        <f>блюда!AM335</f>
        <v>0</v>
      </c>
      <c r="AN152" s="473">
        <f>блюда!AN335</f>
        <v>0</v>
      </c>
      <c r="AO152" s="473">
        <f>блюда!AO335</f>
        <v>0</v>
      </c>
      <c r="AP152" s="473">
        <f>блюда!AP335</f>
        <v>0</v>
      </c>
      <c r="AQ152" s="473">
        <f>блюда!AQ335</f>
        <v>0</v>
      </c>
      <c r="AR152" s="473">
        <f>блюда!AR335</f>
        <v>0</v>
      </c>
      <c r="AS152" s="473">
        <f>блюда!AS335</f>
        <v>0</v>
      </c>
      <c r="AT152" s="473">
        <f>блюда!AT335</f>
        <v>0</v>
      </c>
      <c r="AU152" s="473">
        <f>блюда!AU335</f>
        <v>0</v>
      </c>
      <c r="AV152" s="473">
        <f>блюда!AV335</f>
        <v>0</v>
      </c>
      <c r="AW152" s="473">
        <f>блюда!AW335</f>
        <v>0</v>
      </c>
      <c r="AX152" s="473">
        <f>блюда!AX335</f>
        <v>0</v>
      </c>
      <c r="AY152" s="473">
        <f>блюда!AY335</f>
        <v>0</v>
      </c>
      <c r="AZ152" s="473">
        <f>блюда!AZ335</f>
        <v>0</v>
      </c>
      <c r="BA152" s="473">
        <f>блюда!BA335</f>
        <v>0</v>
      </c>
      <c r="BB152" s="473">
        <f>блюда!BB335</f>
        <v>0</v>
      </c>
      <c r="BC152" s="473">
        <f>блюда!BC335</f>
        <v>0</v>
      </c>
      <c r="BD152" s="473">
        <f>блюда!BD335</f>
        <v>0</v>
      </c>
      <c r="BE152" s="473">
        <f>блюда!BE335</f>
        <v>0</v>
      </c>
      <c r="BF152" s="473">
        <f>блюда!BF335</f>
        <v>0</v>
      </c>
      <c r="BG152" s="473">
        <f>блюда!BG335</f>
        <v>0</v>
      </c>
      <c r="BH152" s="473">
        <f>блюда!BH335</f>
        <v>0</v>
      </c>
      <c r="BI152" s="473">
        <f>блюда!BI335</f>
        <v>0</v>
      </c>
      <c r="BJ152" s="473">
        <f>блюда!BJ335</f>
        <v>0</v>
      </c>
      <c r="BK152" s="473">
        <f>блюда!BK335</f>
        <v>0</v>
      </c>
      <c r="BL152" s="473">
        <f>блюда!BL335</f>
        <v>0</v>
      </c>
      <c r="BM152" s="473">
        <f>блюда!BM335</f>
        <v>0</v>
      </c>
      <c r="BN152" s="473">
        <f>блюда!BN335</f>
        <v>0</v>
      </c>
      <c r="BO152" s="473">
        <f>блюда!BO335</f>
        <v>0</v>
      </c>
      <c r="BP152" s="473">
        <f>блюда!BP335</f>
        <v>0</v>
      </c>
      <c r="BQ152" s="473">
        <f>блюда!BQ335</f>
        <v>0</v>
      </c>
      <c r="BR152" s="473">
        <f>блюда!BR335</f>
        <v>0</v>
      </c>
      <c r="BS152" s="473">
        <f>блюда!BS335</f>
        <v>0</v>
      </c>
      <c r="BT152" s="473">
        <f>блюда!BT335</f>
        <v>0</v>
      </c>
      <c r="BU152" s="473">
        <f>блюда!BU335</f>
        <v>0</v>
      </c>
      <c r="BV152" s="473">
        <f>блюда!BV335</f>
        <v>0</v>
      </c>
      <c r="BW152" s="473">
        <f>блюда!BW335</f>
        <v>0</v>
      </c>
      <c r="BX152" s="473">
        <f>блюда!BX335</f>
        <v>0</v>
      </c>
      <c r="BY152" s="473">
        <f>блюда!BY335</f>
        <v>0</v>
      </c>
      <c r="BZ152" s="473">
        <f>блюда!BZ335</f>
        <v>0</v>
      </c>
      <c r="CA152" s="473">
        <f>блюда!CA335</f>
        <v>0</v>
      </c>
      <c r="CB152" s="473">
        <f>блюда!CB335</f>
        <v>0</v>
      </c>
      <c r="CC152" s="473">
        <f>блюда!CC335</f>
        <v>0</v>
      </c>
      <c r="CD152" s="473">
        <f>блюда!CD335</f>
        <v>0</v>
      </c>
      <c r="CE152" s="473">
        <f>блюда!CE335</f>
        <v>0</v>
      </c>
      <c r="CF152" s="473">
        <f>блюда!CF335</f>
        <v>0</v>
      </c>
      <c r="CG152" s="473">
        <f>блюда!CG335</f>
        <v>0</v>
      </c>
      <c r="CH152" s="473">
        <f>блюда!CH335</f>
        <v>0</v>
      </c>
      <c r="CI152" s="473">
        <f>блюда!CI335</f>
        <v>0</v>
      </c>
      <c r="CJ152" s="473">
        <f>блюда!CJ335</f>
        <v>0</v>
      </c>
      <c r="CK152" s="473">
        <f>блюда!CK335</f>
        <v>0</v>
      </c>
      <c r="CL152" s="473">
        <f>блюда!CL335</f>
        <v>0</v>
      </c>
      <c r="CM152" s="473">
        <f>блюда!CM335</f>
        <v>0</v>
      </c>
      <c r="CN152" s="473">
        <f>блюда!CN335</f>
        <v>0</v>
      </c>
      <c r="CO152" s="473">
        <f>блюда!CO335</f>
        <v>0</v>
      </c>
      <c r="CP152" s="473">
        <f>блюда!CP335</f>
        <v>0</v>
      </c>
      <c r="CQ152" s="473">
        <f>блюда!CQ335</f>
        <v>0</v>
      </c>
      <c r="CR152" s="473">
        <f>блюда!CR335</f>
        <v>0</v>
      </c>
      <c r="CS152" s="473">
        <f>блюда!CS335</f>
        <v>0</v>
      </c>
      <c r="CT152" s="473">
        <f>блюда!CT335</f>
        <v>0</v>
      </c>
      <c r="CU152" s="473">
        <f>блюда!CU335</f>
        <v>0</v>
      </c>
      <c r="CV152" s="473">
        <f>блюда!CV335</f>
        <v>0</v>
      </c>
      <c r="CW152" s="473">
        <f>блюда!CW335</f>
        <v>0</v>
      </c>
      <c r="CX152" s="473">
        <f>блюда!CX335</f>
        <v>0</v>
      </c>
      <c r="CY152" s="473">
        <f>блюда!CY335</f>
        <v>0</v>
      </c>
      <c r="CZ152" s="473">
        <f>блюда!CZ335</f>
        <v>0</v>
      </c>
      <c r="DA152" s="473">
        <f>блюда!DA335</f>
        <v>0</v>
      </c>
      <c r="DB152" s="473">
        <f>блюда!DB335</f>
        <v>0</v>
      </c>
      <c r="DC152" s="473">
        <f>блюда!DC335</f>
        <v>0</v>
      </c>
      <c r="DD152" s="473">
        <f>блюда!DD335</f>
        <v>0</v>
      </c>
      <c r="DE152" s="473">
        <f>блюда!DE335</f>
        <v>0</v>
      </c>
      <c r="DF152" s="473">
        <f>блюда!DF335</f>
        <v>0</v>
      </c>
      <c r="DG152" s="473">
        <f>блюда!DG335</f>
        <v>0</v>
      </c>
      <c r="DH152" s="473">
        <f>блюда!DH335</f>
        <v>0</v>
      </c>
      <c r="DI152" s="473">
        <f>блюда!DI335</f>
        <v>0</v>
      </c>
      <c r="DJ152" s="473">
        <f>блюда!DJ335</f>
        <v>0</v>
      </c>
      <c r="DK152" s="473">
        <f>блюда!DK335</f>
        <v>0</v>
      </c>
      <c r="DL152" s="473">
        <f>блюда!DL335</f>
        <v>0</v>
      </c>
      <c r="DM152" s="473">
        <f>блюда!DM335</f>
        <v>0</v>
      </c>
      <c r="DN152" s="473">
        <f>блюда!DN335</f>
        <v>0</v>
      </c>
      <c r="DO152" s="473">
        <f>блюда!DO335</f>
        <v>0</v>
      </c>
      <c r="DP152" s="473">
        <f>блюда!DP335</f>
        <v>0</v>
      </c>
      <c r="DQ152" s="473">
        <f>блюда!DQ335</f>
        <v>0</v>
      </c>
      <c r="DR152" s="473">
        <f>блюда!DR335</f>
        <v>0</v>
      </c>
      <c r="DS152" s="473">
        <f>блюда!DS335</f>
        <v>0</v>
      </c>
      <c r="DT152" s="473">
        <f>блюда!DT335</f>
        <v>0</v>
      </c>
      <c r="DU152" s="473">
        <f>блюда!DU335</f>
        <v>0</v>
      </c>
      <c r="DV152" s="473">
        <f>блюда!DV335</f>
        <v>0</v>
      </c>
      <c r="DW152" s="473">
        <f>блюда!DW335</f>
        <v>0</v>
      </c>
      <c r="DX152" s="473">
        <f>блюда!DX335</f>
        <v>0</v>
      </c>
      <c r="DY152" s="473">
        <f>блюда!DY335</f>
        <v>0</v>
      </c>
      <c r="DZ152" s="473">
        <f>блюда!DZ335</f>
        <v>0</v>
      </c>
      <c r="EA152" s="473">
        <f>блюда!EA335</f>
        <v>0</v>
      </c>
      <c r="EB152" s="473">
        <f>блюда!EB335</f>
        <v>0</v>
      </c>
      <c r="EC152" s="473">
        <f>блюда!EC335</f>
        <v>0</v>
      </c>
      <c r="ED152" s="473">
        <f>блюда!ED335</f>
        <v>0</v>
      </c>
      <c r="EE152" s="473">
        <f>блюда!EE335</f>
        <v>0</v>
      </c>
      <c r="EF152" s="473">
        <f>блюда!EF335</f>
        <v>0</v>
      </c>
      <c r="EG152" s="473">
        <f>блюда!EG335</f>
        <v>0</v>
      </c>
      <c r="EH152" s="473">
        <f>блюда!EH335</f>
        <v>0</v>
      </c>
      <c r="EI152" s="473">
        <f>блюда!EI335</f>
        <v>0</v>
      </c>
      <c r="EJ152" s="473">
        <f>блюда!EJ335</f>
        <v>0</v>
      </c>
      <c r="EK152" s="473">
        <f>блюда!EK335</f>
        <v>0</v>
      </c>
      <c r="EL152" s="473">
        <f>блюда!EL335</f>
        <v>0</v>
      </c>
      <c r="EM152" s="473">
        <f>блюда!EM335</f>
        <v>0</v>
      </c>
      <c r="EN152" s="473">
        <f>блюда!EN335</f>
        <v>0</v>
      </c>
      <c r="EO152" s="473">
        <f>блюда!EO335</f>
        <v>0</v>
      </c>
      <c r="EP152" s="473">
        <f>блюда!EP335</f>
        <v>0</v>
      </c>
      <c r="EQ152" s="473">
        <f>блюда!EQ335</f>
        <v>0</v>
      </c>
      <c r="ER152" s="473">
        <f>блюда!ER335</f>
        <v>0</v>
      </c>
      <c r="ES152" s="473">
        <f>блюда!ES335</f>
        <v>0</v>
      </c>
      <c r="ET152" s="473">
        <f>блюда!ET335</f>
        <v>0</v>
      </c>
      <c r="EU152" s="473">
        <f>блюда!EU335</f>
        <v>0</v>
      </c>
      <c r="EV152" s="473">
        <f>блюда!EV335</f>
        <v>0</v>
      </c>
      <c r="EW152" s="473">
        <f>блюда!EW335</f>
        <v>0.03</v>
      </c>
      <c r="EX152" s="473">
        <f>блюда!EX335</f>
        <v>0</v>
      </c>
      <c r="EY152" s="927">
        <f t="shared" si="94"/>
        <v>0.03</v>
      </c>
      <c r="EZ152" s="117">
        <f>блюда!EZ335</f>
        <v>0</v>
      </c>
      <c r="FA152" s="117">
        <f>блюда!FA335</f>
        <v>0</v>
      </c>
      <c r="FB152" s="117">
        <f>блюда!FB335</f>
        <v>0</v>
      </c>
      <c r="FC152" s="117">
        <f>блюда!FC335</f>
        <v>0</v>
      </c>
      <c r="FD152" s="117">
        <f>блюда!FD335</f>
        <v>0</v>
      </c>
      <c r="FE152" s="117">
        <f>блюда!FE335</f>
        <v>0</v>
      </c>
      <c r="FF152" s="117">
        <f>блюда!FF335</f>
        <v>0</v>
      </c>
      <c r="FG152" s="117">
        <f>блюда!FG335</f>
        <v>0</v>
      </c>
      <c r="FH152" s="117">
        <f>блюда!FH335</f>
        <v>0</v>
      </c>
      <c r="FI152" s="117">
        <f>блюда!FI335</f>
        <v>0</v>
      </c>
      <c r="FJ152" s="117">
        <f>блюда!FJ335</f>
        <v>0</v>
      </c>
      <c r="FK152" s="117">
        <f>блюда!FK335</f>
        <v>0</v>
      </c>
      <c r="FL152" s="117">
        <f>блюда!FL335</f>
        <v>0</v>
      </c>
    </row>
    <row r="153" spans="1:168" ht="13.95" customHeight="1" x14ac:dyDescent="0.25">
      <c r="A153" s="1460"/>
      <c r="B153" s="115"/>
      <c r="C153" s="250"/>
      <c r="D153" s="431"/>
      <c r="E153" s="431"/>
      <c r="F153" s="431"/>
      <c r="G153" s="250"/>
      <c r="H153" s="250"/>
      <c r="I153" s="431"/>
      <c r="J153" s="473"/>
      <c r="K153" s="473"/>
      <c r="L153" s="473"/>
      <c r="M153" s="473"/>
      <c r="N153" s="473"/>
      <c r="O153" s="473"/>
      <c r="P153" s="473"/>
      <c r="Q153" s="473"/>
      <c r="R153" s="473"/>
      <c r="S153" s="473"/>
      <c r="T153" s="473"/>
      <c r="U153" s="473"/>
      <c r="V153" s="473"/>
      <c r="W153" s="473"/>
      <c r="X153" s="473"/>
      <c r="Y153" s="473"/>
      <c r="Z153" s="473"/>
      <c r="AA153" s="473"/>
      <c r="AB153" s="473"/>
      <c r="AC153" s="473"/>
      <c r="AD153" s="473"/>
      <c r="AE153" s="473"/>
      <c r="AF153" s="473"/>
      <c r="AG153" s="473"/>
      <c r="AH153" s="473"/>
      <c r="AI153" s="473"/>
      <c r="AJ153" s="473"/>
      <c r="AK153" s="473"/>
      <c r="AL153" s="473"/>
      <c r="AM153" s="473"/>
      <c r="AN153" s="473"/>
      <c r="AO153" s="473"/>
      <c r="AP153" s="473"/>
      <c r="AQ153" s="473"/>
      <c r="AR153" s="473"/>
      <c r="AS153" s="473"/>
      <c r="AT153" s="473"/>
      <c r="AU153" s="473"/>
      <c r="AV153" s="473"/>
      <c r="AW153" s="473"/>
      <c r="AX153" s="473"/>
      <c r="AY153" s="473"/>
      <c r="AZ153" s="473"/>
      <c r="BA153" s="473"/>
      <c r="BB153" s="473"/>
      <c r="BC153" s="473"/>
      <c r="BD153" s="473"/>
      <c r="BE153" s="473"/>
      <c r="BF153" s="473"/>
      <c r="BG153" s="473"/>
      <c r="BH153" s="473"/>
      <c r="BI153" s="473"/>
      <c r="BJ153" s="473"/>
      <c r="BK153" s="473"/>
      <c r="BL153" s="473"/>
      <c r="BM153" s="473"/>
      <c r="BN153" s="473"/>
      <c r="BO153" s="473"/>
      <c r="BP153" s="473"/>
      <c r="BQ153" s="473"/>
      <c r="BR153" s="473"/>
      <c r="BS153" s="473"/>
      <c r="BT153" s="473"/>
      <c r="BU153" s="473"/>
      <c r="BV153" s="473"/>
      <c r="BW153" s="473"/>
      <c r="BX153" s="473"/>
      <c r="BY153" s="473"/>
      <c r="BZ153" s="473"/>
      <c r="CA153" s="473"/>
      <c r="CB153" s="473"/>
      <c r="CC153" s="473"/>
      <c r="CD153" s="473"/>
      <c r="CE153" s="473"/>
      <c r="CF153" s="473"/>
      <c r="CG153" s="473"/>
      <c r="CH153" s="473"/>
      <c r="CI153" s="473"/>
      <c r="CJ153" s="473"/>
      <c r="CK153" s="473"/>
      <c r="CL153" s="473"/>
      <c r="CM153" s="473"/>
      <c r="CN153" s="473"/>
      <c r="CO153" s="473"/>
      <c r="CP153" s="473"/>
      <c r="CQ153" s="473"/>
      <c r="CR153" s="473"/>
      <c r="CS153" s="473"/>
      <c r="CT153" s="473"/>
      <c r="CU153" s="473"/>
      <c r="CV153" s="473"/>
      <c r="CW153" s="473"/>
      <c r="CX153" s="473"/>
      <c r="CY153" s="473"/>
      <c r="CZ153" s="473"/>
      <c r="DA153" s="473"/>
      <c r="DB153" s="473"/>
      <c r="DC153" s="473"/>
      <c r="DD153" s="473"/>
      <c r="DE153" s="473"/>
      <c r="DF153" s="473"/>
      <c r="DG153" s="473"/>
      <c r="DH153" s="473"/>
      <c r="DI153" s="473"/>
      <c r="DJ153" s="473"/>
      <c r="DK153" s="473"/>
      <c r="DL153" s="473"/>
      <c r="DM153" s="473"/>
      <c r="DN153" s="473"/>
      <c r="DO153" s="473"/>
      <c r="DP153" s="473"/>
      <c r="DQ153" s="473"/>
      <c r="DR153" s="473"/>
      <c r="DS153" s="473"/>
      <c r="DT153" s="473"/>
      <c r="DU153" s="473"/>
      <c r="DV153" s="473"/>
      <c r="DW153" s="473"/>
      <c r="DX153" s="473"/>
      <c r="DY153" s="473"/>
      <c r="DZ153" s="473"/>
      <c r="EA153" s="473"/>
      <c r="EB153" s="473"/>
      <c r="EC153" s="473"/>
      <c r="ED153" s="473"/>
      <c r="EE153" s="473"/>
      <c r="EF153" s="473"/>
      <c r="EG153" s="473"/>
      <c r="EH153" s="473"/>
      <c r="EI153" s="473"/>
      <c r="EJ153" s="473"/>
      <c r="EK153" s="473"/>
      <c r="EL153" s="473"/>
      <c r="EM153" s="473"/>
      <c r="EN153" s="473"/>
      <c r="EO153" s="473"/>
      <c r="EP153" s="473"/>
      <c r="EQ153" s="473"/>
      <c r="ER153" s="473"/>
      <c r="ES153" s="473"/>
      <c r="ET153" s="473"/>
      <c r="EU153" s="473"/>
      <c r="EV153" s="473"/>
      <c r="EW153" s="473"/>
      <c r="EX153" s="473"/>
      <c r="EY153" s="927">
        <f t="shared" si="94"/>
        <v>0</v>
      </c>
      <c r="EZ153" s="117"/>
      <c r="FA153" s="117"/>
      <c r="FB153" s="117"/>
      <c r="FC153" s="117"/>
      <c r="FD153" s="117"/>
      <c r="FE153" s="117"/>
      <c r="FF153" s="117"/>
      <c r="FG153" s="117"/>
      <c r="FH153" s="117"/>
      <c r="FI153" s="117"/>
      <c r="FJ153" s="117"/>
      <c r="FK153" s="117"/>
      <c r="FL153" s="117"/>
    </row>
    <row r="154" spans="1:168" ht="13.95" customHeight="1" x14ac:dyDescent="0.25">
      <c r="A154" s="1460"/>
      <c r="B154" s="115"/>
      <c r="C154" s="250"/>
      <c r="D154" s="431"/>
      <c r="E154" s="431"/>
      <c r="F154" s="431"/>
      <c r="G154" s="250"/>
      <c r="H154" s="250"/>
      <c r="I154" s="431"/>
      <c r="J154" s="703"/>
      <c r="K154" s="703"/>
      <c r="L154" s="703"/>
      <c r="M154" s="703"/>
      <c r="N154" s="703"/>
      <c r="O154" s="703"/>
      <c r="P154" s="703"/>
      <c r="Q154" s="703"/>
      <c r="R154" s="703"/>
      <c r="S154" s="703"/>
      <c r="T154" s="703"/>
      <c r="U154" s="703"/>
      <c r="V154" s="703"/>
      <c r="W154" s="703"/>
      <c r="X154" s="703"/>
      <c r="Y154" s="703"/>
      <c r="Z154" s="703"/>
      <c r="AA154" s="703"/>
      <c r="AB154" s="703"/>
      <c r="AC154" s="703"/>
      <c r="AD154" s="703"/>
      <c r="AE154" s="703"/>
      <c r="AF154" s="703"/>
      <c r="AG154" s="703"/>
      <c r="AH154" s="703"/>
      <c r="AI154" s="703"/>
      <c r="AJ154" s="703"/>
      <c r="AK154" s="703"/>
      <c r="AL154" s="703"/>
      <c r="AM154" s="703"/>
      <c r="AN154" s="703"/>
      <c r="AO154" s="703"/>
      <c r="AP154" s="703"/>
      <c r="AQ154" s="703"/>
      <c r="AR154" s="703"/>
      <c r="AS154" s="703"/>
      <c r="AT154" s="703"/>
      <c r="AU154" s="703"/>
      <c r="AV154" s="703"/>
      <c r="AW154" s="703"/>
      <c r="AX154" s="703"/>
      <c r="AY154" s="703"/>
      <c r="AZ154" s="703"/>
      <c r="BA154" s="703"/>
      <c r="BB154" s="703"/>
      <c r="BC154" s="703"/>
      <c r="BD154" s="703"/>
      <c r="BE154" s="703"/>
      <c r="BF154" s="703"/>
      <c r="BG154" s="703"/>
      <c r="BH154" s="703"/>
      <c r="BI154" s="703"/>
      <c r="BJ154" s="703"/>
      <c r="BK154" s="703"/>
      <c r="BL154" s="703"/>
      <c r="BM154" s="703"/>
      <c r="BN154" s="703"/>
      <c r="BO154" s="703"/>
      <c r="BP154" s="703"/>
      <c r="BQ154" s="703"/>
      <c r="BR154" s="703"/>
      <c r="BS154" s="703"/>
      <c r="BT154" s="703"/>
      <c r="BU154" s="703"/>
      <c r="BV154" s="703"/>
      <c r="BW154" s="703"/>
      <c r="BX154" s="703"/>
      <c r="BY154" s="703"/>
      <c r="BZ154" s="703"/>
      <c r="CA154" s="703"/>
      <c r="CB154" s="703"/>
      <c r="CC154" s="703"/>
      <c r="CD154" s="703"/>
      <c r="CE154" s="703"/>
      <c r="CF154" s="703"/>
      <c r="CG154" s="703"/>
      <c r="CH154" s="703"/>
      <c r="CI154" s="703"/>
      <c r="CJ154" s="703"/>
      <c r="CK154" s="703"/>
      <c r="CL154" s="703"/>
      <c r="CM154" s="703"/>
      <c r="CN154" s="703"/>
      <c r="CO154" s="703"/>
      <c r="CP154" s="703"/>
      <c r="CQ154" s="703"/>
      <c r="CR154" s="703"/>
      <c r="CS154" s="703"/>
      <c r="CT154" s="703"/>
      <c r="CU154" s="703"/>
      <c r="CV154" s="703"/>
      <c r="CW154" s="703"/>
      <c r="CX154" s="703"/>
      <c r="CY154" s="703"/>
      <c r="CZ154" s="703"/>
      <c r="DA154" s="703"/>
      <c r="DB154" s="703"/>
      <c r="DC154" s="703"/>
      <c r="DD154" s="703"/>
      <c r="DE154" s="703"/>
      <c r="DF154" s="703"/>
      <c r="DG154" s="703"/>
      <c r="DH154" s="703"/>
      <c r="DI154" s="703"/>
      <c r="DJ154" s="703"/>
      <c r="DK154" s="703"/>
      <c r="DL154" s="703"/>
      <c r="DM154" s="703"/>
      <c r="DN154" s="703"/>
      <c r="DO154" s="703"/>
      <c r="DP154" s="703"/>
      <c r="DQ154" s="703"/>
      <c r="DR154" s="703"/>
      <c r="DS154" s="703"/>
      <c r="DT154" s="703"/>
      <c r="DU154" s="703"/>
      <c r="DV154" s="703"/>
      <c r="DW154" s="703"/>
      <c r="DX154" s="703"/>
      <c r="DY154" s="703"/>
      <c r="DZ154" s="703"/>
      <c r="EA154" s="703"/>
      <c r="EB154" s="703"/>
      <c r="EC154" s="703"/>
      <c r="ED154" s="703"/>
      <c r="EE154" s="703"/>
      <c r="EF154" s="703"/>
      <c r="EG154" s="703"/>
      <c r="EH154" s="703"/>
      <c r="EI154" s="703"/>
      <c r="EJ154" s="703"/>
      <c r="EK154" s="703"/>
      <c r="EL154" s="703"/>
      <c r="EM154" s="703"/>
      <c r="EN154" s="703"/>
      <c r="EO154" s="703"/>
      <c r="EP154" s="703"/>
      <c r="EQ154" s="703"/>
      <c r="ER154" s="703"/>
      <c r="ES154" s="703"/>
      <c r="ET154" s="703"/>
      <c r="EU154" s="703"/>
      <c r="EV154" s="703"/>
      <c r="EW154" s="703"/>
      <c r="EX154" s="703"/>
      <c r="EY154" s="927">
        <f t="shared" si="94"/>
        <v>0</v>
      </c>
      <c r="EZ154" s="117"/>
      <c r="FA154" s="117"/>
      <c r="FB154" s="117"/>
      <c r="FC154" s="117"/>
      <c r="FD154" s="117"/>
      <c r="FE154" s="117"/>
      <c r="FF154" s="117"/>
      <c r="FG154" s="117"/>
      <c r="FH154" s="117"/>
      <c r="FI154" s="117"/>
      <c r="FJ154" s="117"/>
      <c r="FK154" s="117"/>
      <c r="FL154" s="117"/>
    </row>
    <row r="155" spans="1:168" ht="13.95" customHeight="1" x14ac:dyDescent="0.25">
      <c r="A155" s="1461"/>
      <c r="B155" s="115"/>
      <c r="C155" s="116"/>
      <c r="D155" s="116"/>
      <c r="E155" s="116"/>
      <c r="F155" s="116"/>
      <c r="G155" s="116"/>
      <c r="H155" s="116"/>
      <c r="I155" s="116"/>
      <c r="J155" s="116"/>
      <c r="K155" s="116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6"/>
      <c r="Z155" s="116"/>
      <c r="AA155" s="116"/>
      <c r="AB155" s="116"/>
      <c r="AC155" s="116"/>
      <c r="AD155" s="116"/>
      <c r="AE155" s="116"/>
      <c r="AF155" s="116"/>
      <c r="AG155" s="116"/>
      <c r="AH155" s="116"/>
      <c r="AI155" s="116"/>
      <c r="AJ155" s="116"/>
      <c r="AK155" s="116"/>
      <c r="AL155" s="116"/>
      <c r="AM155" s="116"/>
      <c r="AN155" s="116"/>
      <c r="AO155" s="116"/>
      <c r="AP155" s="116"/>
      <c r="AQ155" s="116"/>
      <c r="AR155" s="116"/>
      <c r="AS155" s="116"/>
      <c r="AT155" s="116"/>
      <c r="AU155" s="116"/>
      <c r="AV155" s="116"/>
      <c r="AW155" s="116"/>
      <c r="AX155" s="116"/>
      <c r="AY155" s="116"/>
      <c r="AZ155" s="116"/>
      <c r="BA155" s="116"/>
      <c r="BB155" s="116"/>
      <c r="BC155" s="116"/>
      <c r="BD155" s="116"/>
      <c r="BE155" s="116"/>
      <c r="BF155" s="116"/>
      <c r="BG155" s="116"/>
      <c r="BH155" s="116"/>
      <c r="BI155" s="116"/>
      <c r="BJ155" s="116"/>
      <c r="BK155" s="116"/>
      <c r="BL155" s="116"/>
      <c r="BM155" s="116"/>
      <c r="BN155" s="116"/>
      <c r="BO155" s="116"/>
      <c r="BP155" s="116"/>
      <c r="BQ155" s="116"/>
      <c r="BR155" s="116"/>
      <c r="BS155" s="116"/>
      <c r="BT155" s="116"/>
      <c r="BU155" s="116"/>
      <c r="BV155" s="116"/>
      <c r="BW155" s="116"/>
      <c r="BX155" s="116"/>
      <c r="BY155" s="116"/>
      <c r="BZ155" s="116"/>
      <c r="CA155" s="116"/>
      <c r="CB155" s="116"/>
      <c r="CC155" s="116"/>
      <c r="CD155" s="116"/>
      <c r="CE155" s="116"/>
      <c r="CF155" s="116"/>
      <c r="CG155" s="116"/>
      <c r="CH155" s="116"/>
      <c r="CI155" s="116"/>
      <c r="CJ155" s="116"/>
      <c r="CK155" s="116"/>
      <c r="CL155" s="116"/>
      <c r="CM155" s="116"/>
      <c r="CN155" s="116"/>
      <c r="CO155" s="116"/>
      <c r="CP155" s="116"/>
      <c r="CQ155" s="116"/>
      <c r="CR155" s="116"/>
      <c r="CS155" s="116"/>
      <c r="CT155" s="116"/>
      <c r="CU155" s="116"/>
      <c r="CV155" s="116"/>
      <c r="CW155" s="116"/>
      <c r="CX155" s="116"/>
      <c r="CY155" s="116"/>
      <c r="CZ155" s="116"/>
      <c r="DA155" s="116"/>
      <c r="DB155" s="116"/>
      <c r="DC155" s="116"/>
      <c r="DD155" s="116"/>
      <c r="DE155" s="116"/>
      <c r="DF155" s="116"/>
      <c r="DG155" s="116"/>
      <c r="DH155" s="116"/>
      <c r="DI155" s="116"/>
      <c r="DJ155" s="116"/>
      <c r="DK155" s="116"/>
      <c r="DL155" s="116"/>
      <c r="DM155" s="116"/>
      <c r="DN155" s="116"/>
      <c r="DO155" s="116"/>
      <c r="DP155" s="116"/>
      <c r="DQ155" s="116"/>
      <c r="DR155" s="116"/>
      <c r="DS155" s="116"/>
      <c r="DT155" s="116"/>
      <c r="DU155" s="116"/>
      <c r="DV155" s="116"/>
      <c r="DW155" s="116"/>
      <c r="DX155" s="116"/>
      <c r="DY155" s="116"/>
      <c r="DZ155" s="116"/>
      <c r="EA155" s="116"/>
      <c r="EB155" s="116"/>
      <c r="EC155" s="116"/>
      <c r="ED155" s="116"/>
      <c r="EE155" s="116"/>
      <c r="EF155" s="116"/>
      <c r="EG155" s="116"/>
      <c r="EH155" s="116"/>
      <c r="EI155" s="116"/>
      <c r="EJ155" s="116"/>
      <c r="EK155" s="116"/>
      <c r="EL155" s="116"/>
      <c r="EM155" s="116"/>
      <c r="EN155" s="116"/>
      <c r="EO155" s="116"/>
      <c r="EP155" s="116"/>
      <c r="EQ155" s="116"/>
      <c r="ER155" s="116"/>
      <c r="ES155" s="116"/>
      <c r="ET155" s="116"/>
      <c r="EU155" s="116"/>
      <c r="EV155" s="116"/>
      <c r="EW155" s="116"/>
      <c r="EX155" s="116"/>
      <c r="EY155" s="927">
        <f t="shared" si="94"/>
        <v>0</v>
      </c>
      <c r="EZ155" s="117"/>
      <c r="FA155" s="117"/>
      <c r="FB155" s="117"/>
      <c r="FC155" s="117"/>
      <c r="FD155" s="117"/>
      <c r="FE155" s="117"/>
      <c r="FF155" s="117"/>
      <c r="FG155" s="117"/>
      <c r="FH155" s="117"/>
      <c r="FI155" s="117"/>
      <c r="FJ155" s="117"/>
      <c r="FK155" s="117"/>
      <c r="FL155" s="117"/>
    </row>
    <row r="156" spans="1:168" x14ac:dyDescent="0.25">
      <c r="A156" s="411"/>
      <c r="B156" s="118" t="s">
        <v>113</v>
      </c>
      <c r="C156" s="812">
        <f>SUM(C147:C155)</f>
        <v>710</v>
      </c>
      <c r="D156" s="432">
        <f>SUM(D147:D155)</f>
        <v>20.440000000000001</v>
      </c>
      <c r="E156" s="432">
        <f t="shared" ref="E156:BC156" si="95">SUM(E147:E155)</f>
        <v>17.98</v>
      </c>
      <c r="F156" s="432">
        <f t="shared" si="95"/>
        <v>96.04</v>
      </c>
      <c r="G156" s="251">
        <f t="shared" si="95"/>
        <v>629</v>
      </c>
      <c r="H156" s="812"/>
      <c r="I156" s="432">
        <f t="shared" ref="I156" si="96">SUM(I147:I155)</f>
        <v>43.27</v>
      </c>
      <c r="J156" s="485">
        <f t="shared" si="95"/>
        <v>0</v>
      </c>
      <c r="K156" s="485">
        <f t="shared" si="95"/>
        <v>7.5999999999999998E-2</v>
      </c>
      <c r="L156" s="485">
        <f t="shared" si="95"/>
        <v>0</v>
      </c>
      <c r="M156" s="485">
        <f t="shared" si="95"/>
        <v>0</v>
      </c>
      <c r="N156" s="485">
        <f t="shared" si="95"/>
        <v>0</v>
      </c>
      <c r="O156" s="485">
        <f t="shared" si="95"/>
        <v>0</v>
      </c>
      <c r="P156" s="485">
        <f t="shared" si="95"/>
        <v>0</v>
      </c>
      <c r="Q156" s="485">
        <f t="shared" si="95"/>
        <v>0</v>
      </c>
      <c r="R156" s="485">
        <f t="shared" si="95"/>
        <v>0</v>
      </c>
      <c r="S156" s="485">
        <f t="shared" si="95"/>
        <v>0</v>
      </c>
      <c r="T156" s="485">
        <f t="shared" si="95"/>
        <v>0</v>
      </c>
      <c r="U156" s="485">
        <f t="shared" si="95"/>
        <v>0</v>
      </c>
      <c r="V156" s="485">
        <f t="shared" si="95"/>
        <v>2E-3</v>
      </c>
      <c r="W156" s="485">
        <f t="shared" si="95"/>
        <v>0</v>
      </c>
      <c r="X156" s="485">
        <f t="shared" si="95"/>
        <v>0</v>
      </c>
      <c r="Y156" s="485">
        <f t="shared" si="95"/>
        <v>5.0000000000000001E-3</v>
      </c>
      <c r="Z156" s="485">
        <f t="shared" si="95"/>
        <v>0</v>
      </c>
      <c r="AA156" s="485">
        <f t="shared" si="95"/>
        <v>0</v>
      </c>
      <c r="AB156" s="485">
        <f t="shared" si="95"/>
        <v>0</v>
      </c>
      <c r="AC156" s="485">
        <f t="shared" si="95"/>
        <v>0</v>
      </c>
      <c r="AD156" s="485">
        <f t="shared" si="95"/>
        <v>0</v>
      </c>
      <c r="AE156" s="485">
        <f t="shared" si="95"/>
        <v>8.9999999999999993E-3</v>
      </c>
      <c r="AF156" s="485">
        <f t="shared" si="95"/>
        <v>0</v>
      </c>
      <c r="AG156" s="485">
        <f t="shared" si="95"/>
        <v>0</v>
      </c>
      <c r="AH156" s="485">
        <f t="shared" si="95"/>
        <v>0.04</v>
      </c>
      <c r="AI156" s="485">
        <f t="shared" si="95"/>
        <v>0</v>
      </c>
      <c r="AJ156" s="485">
        <f t="shared" si="95"/>
        <v>0</v>
      </c>
      <c r="AK156" s="485">
        <f t="shared" si="95"/>
        <v>1.7999999999999999E-2</v>
      </c>
      <c r="AL156" s="485">
        <f t="shared" si="95"/>
        <v>0</v>
      </c>
      <c r="AM156" s="485">
        <f t="shared" si="95"/>
        <v>0</v>
      </c>
      <c r="AN156" s="485">
        <f t="shared" si="95"/>
        <v>0</v>
      </c>
      <c r="AO156" s="485">
        <f t="shared" si="95"/>
        <v>7.1279999999999996E-2</v>
      </c>
      <c r="AP156" s="485">
        <f t="shared" si="95"/>
        <v>0</v>
      </c>
      <c r="AQ156" s="485">
        <f t="shared" si="95"/>
        <v>0.02</v>
      </c>
      <c r="AR156" s="485">
        <f t="shared" si="95"/>
        <v>0</v>
      </c>
      <c r="AS156" s="485">
        <f t="shared" si="95"/>
        <v>0</v>
      </c>
      <c r="AT156" s="485">
        <f t="shared" si="95"/>
        <v>0</v>
      </c>
      <c r="AU156" s="485">
        <f t="shared" si="95"/>
        <v>2E-3</v>
      </c>
      <c r="AV156" s="485">
        <f t="shared" si="95"/>
        <v>0</v>
      </c>
      <c r="AW156" s="485">
        <f t="shared" si="95"/>
        <v>0</v>
      </c>
      <c r="AX156" s="485">
        <f t="shared" si="95"/>
        <v>6.5000000000000002E-2</v>
      </c>
      <c r="AY156" s="485">
        <f t="shared" si="95"/>
        <v>0</v>
      </c>
      <c r="AZ156" s="485">
        <f t="shared" si="95"/>
        <v>0</v>
      </c>
      <c r="BA156" s="485">
        <f t="shared" si="95"/>
        <v>0</v>
      </c>
      <c r="BB156" s="485">
        <f t="shared" si="95"/>
        <v>0</v>
      </c>
      <c r="BC156" s="485">
        <f t="shared" si="95"/>
        <v>0</v>
      </c>
      <c r="BD156" s="485">
        <f t="shared" ref="BD156:DO156" si="97">SUM(BD147:BD155)</f>
        <v>0</v>
      </c>
      <c r="BE156" s="485">
        <f t="shared" si="97"/>
        <v>0</v>
      </c>
      <c r="BF156" s="485">
        <f t="shared" si="97"/>
        <v>0</v>
      </c>
      <c r="BG156" s="485">
        <f t="shared" si="97"/>
        <v>0</v>
      </c>
      <c r="BH156" s="485">
        <f t="shared" si="97"/>
        <v>0</v>
      </c>
      <c r="BI156" s="485">
        <f t="shared" si="97"/>
        <v>0</v>
      </c>
      <c r="BJ156" s="485">
        <f t="shared" si="97"/>
        <v>0</v>
      </c>
      <c r="BK156" s="485">
        <f t="shared" si="97"/>
        <v>0</v>
      </c>
      <c r="BL156" s="485">
        <f t="shared" si="97"/>
        <v>0</v>
      </c>
      <c r="BM156" s="485">
        <f t="shared" si="97"/>
        <v>0</v>
      </c>
      <c r="BN156" s="485">
        <f t="shared" si="97"/>
        <v>0</v>
      </c>
      <c r="BO156" s="485">
        <f t="shared" si="97"/>
        <v>0</v>
      </c>
      <c r="BP156" s="485">
        <f t="shared" si="97"/>
        <v>0</v>
      </c>
      <c r="BQ156" s="485">
        <f t="shared" si="97"/>
        <v>0</v>
      </c>
      <c r="BR156" s="485">
        <f t="shared" si="97"/>
        <v>0</v>
      </c>
      <c r="BS156" s="485">
        <f t="shared" si="97"/>
        <v>0</v>
      </c>
      <c r="BT156" s="485">
        <f t="shared" si="97"/>
        <v>0</v>
      </c>
      <c r="BU156" s="485">
        <f t="shared" si="97"/>
        <v>0</v>
      </c>
      <c r="BV156" s="485">
        <f t="shared" si="97"/>
        <v>0</v>
      </c>
      <c r="BW156" s="485">
        <f t="shared" si="97"/>
        <v>0</v>
      </c>
      <c r="BX156" s="485">
        <f t="shared" si="97"/>
        <v>0</v>
      </c>
      <c r="BY156" s="485">
        <f t="shared" si="97"/>
        <v>0</v>
      </c>
      <c r="BZ156" s="485">
        <f t="shared" si="97"/>
        <v>0</v>
      </c>
      <c r="CA156" s="485">
        <f t="shared" si="97"/>
        <v>0</v>
      </c>
      <c r="CB156" s="485">
        <f t="shared" si="97"/>
        <v>3.5000000000000003E-2</v>
      </c>
      <c r="CC156" s="485">
        <f t="shared" si="97"/>
        <v>0</v>
      </c>
      <c r="CD156" s="485">
        <f t="shared" si="97"/>
        <v>0</v>
      </c>
      <c r="CE156" s="485">
        <f t="shared" si="97"/>
        <v>0</v>
      </c>
      <c r="CF156" s="485">
        <f t="shared" si="97"/>
        <v>1.06E-2</v>
      </c>
      <c r="CG156" s="485">
        <f t="shared" si="97"/>
        <v>0</v>
      </c>
      <c r="CH156" s="485">
        <f t="shared" si="97"/>
        <v>0</v>
      </c>
      <c r="CI156" s="485">
        <f t="shared" si="97"/>
        <v>0</v>
      </c>
      <c r="CJ156" s="485">
        <f t="shared" si="97"/>
        <v>0</v>
      </c>
      <c r="CK156" s="485">
        <f t="shared" si="97"/>
        <v>0</v>
      </c>
      <c r="CL156" s="485">
        <f t="shared" si="97"/>
        <v>0</v>
      </c>
      <c r="CM156" s="485">
        <f t="shared" si="97"/>
        <v>0</v>
      </c>
      <c r="CN156" s="485">
        <f t="shared" si="97"/>
        <v>0</v>
      </c>
      <c r="CO156" s="485">
        <f t="shared" si="97"/>
        <v>0</v>
      </c>
      <c r="CP156" s="485">
        <f t="shared" si="97"/>
        <v>0</v>
      </c>
      <c r="CQ156" s="485">
        <f t="shared" si="97"/>
        <v>2.0000000000000001E-4</v>
      </c>
      <c r="CR156" s="485">
        <f t="shared" si="97"/>
        <v>0</v>
      </c>
      <c r="CS156" s="485">
        <f t="shared" si="97"/>
        <v>0</v>
      </c>
      <c r="CT156" s="485">
        <f t="shared" si="97"/>
        <v>0</v>
      </c>
      <c r="CU156" s="485">
        <f t="shared" si="97"/>
        <v>0</v>
      </c>
      <c r="CV156" s="485">
        <f t="shared" si="97"/>
        <v>0</v>
      </c>
      <c r="CW156" s="485">
        <f t="shared" si="97"/>
        <v>0</v>
      </c>
      <c r="CX156" s="485">
        <f t="shared" si="97"/>
        <v>0</v>
      </c>
      <c r="CY156" s="485">
        <f t="shared" si="97"/>
        <v>0</v>
      </c>
      <c r="CZ156" s="485">
        <f t="shared" si="97"/>
        <v>0.02</v>
      </c>
      <c r="DA156" s="485">
        <f t="shared" si="97"/>
        <v>0</v>
      </c>
      <c r="DB156" s="485">
        <f t="shared" si="97"/>
        <v>0</v>
      </c>
      <c r="DC156" s="485">
        <f t="shared" si="97"/>
        <v>6.9800000000000001E-3</v>
      </c>
      <c r="DD156" s="485">
        <f t="shared" si="97"/>
        <v>0</v>
      </c>
      <c r="DE156" s="485">
        <f t="shared" si="97"/>
        <v>0.02</v>
      </c>
      <c r="DF156" s="485">
        <f t="shared" si="97"/>
        <v>7.0000000000000001E-3</v>
      </c>
      <c r="DG156" s="485">
        <f t="shared" si="97"/>
        <v>0</v>
      </c>
      <c r="DH156" s="485">
        <f t="shared" si="97"/>
        <v>0</v>
      </c>
      <c r="DI156" s="485">
        <f t="shared" si="97"/>
        <v>0</v>
      </c>
      <c r="DJ156" s="485">
        <f t="shared" si="97"/>
        <v>0</v>
      </c>
      <c r="DK156" s="485">
        <f t="shared" si="97"/>
        <v>0</v>
      </c>
      <c r="DL156" s="485">
        <f t="shared" si="97"/>
        <v>0</v>
      </c>
      <c r="DM156" s="485">
        <f t="shared" si="97"/>
        <v>0</v>
      </c>
      <c r="DN156" s="485">
        <f t="shared" si="97"/>
        <v>0</v>
      </c>
      <c r="DO156" s="485">
        <f t="shared" si="97"/>
        <v>0</v>
      </c>
      <c r="DP156" s="485">
        <f t="shared" ref="DP156:EX156" si="98">SUM(DP147:DP155)</f>
        <v>0</v>
      </c>
      <c r="DQ156" s="485">
        <f t="shared" si="98"/>
        <v>0</v>
      </c>
      <c r="DR156" s="485">
        <f t="shared" si="98"/>
        <v>0</v>
      </c>
      <c r="DS156" s="485">
        <f t="shared" si="98"/>
        <v>0</v>
      </c>
      <c r="DT156" s="485">
        <f t="shared" si="98"/>
        <v>0</v>
      </c>
      <c r="DU156" s="485">
        <f t="shared" si="98"/>
        <v>0</v>
      </c>
      <c r="DV156" s="485">
        <f t="shared" si="98"/>
        <v>0</v>
      </c>
      <c r="DW156" s="485">
        <f t="shared" si="98"/>
        <v>0</v>
      </c>
      <c r="DX156" s="485">
        <f t="shared" si="98"/>
        <v>0</v>
      </c>
      <c r="DY156" s="485">
        <f t="shared" si="98"/>
        <v>0</v>
      </c>
      <c r="DZ156" s="485">
        <f t="shared" si="98"/>
        <v>0</v>
      </c>
      <c r="EA156" s="485">
        <f t="shared" si="98"/>
        <v>0</v>
      </c>
      <c r="EB156" s="485">
        <f t="shared" si="98"/>
        <v>0</v>
      </c>
      <c r="EC156" s="485">
        <f t="shared" si="98"/>
        <v>0</v>
      </c>
      <c r="ED156" s="485">
        <f t="shared" si="98"/>
        <v>0</v>
      </c>
      <c r="EE156" s="485">
        <f t="shared" si="98"/>
        <v>0</v>
      </c>
      <c r="EF156" s="485">
        <f t="shared" si="98"/>
        <v>0</v>
      </c>
      <c r="EG156" s="485">
        <f t="shared" si="98"/>
        <v>0</v>
      </c>
      <c r="EH156" s="485">
        <f t="shared" si="98"/>
        <v>0</v>
      </c>
      <c r="EI156" s="485">
        <f t="shared" si="98"/>
        <v>0</v>
      </c>
      <c r="EJ156" s="485">
        <f t="shared" si="98"/>
        <v>0</v>
      </c>
      <c r="EK156" s="485">
        <f t="shared" si="98"/>
        <v>0</v>
      </c>
      <c r="EL156" s="485">
        <f t="shared" si="98"/>
        <v>0</v>
      </c>
      <c r="EM156" s="485">
        <f t="shared" si="98"/>
        <v>0</v>
      </c>
      <c r="EN156" s="485">
        <f t="shared" si="98"/>
        <v>0</v>
      </c>
      <c r="EO156" s="485">
        <f t="shared" si="98"/>
        <v>0</v>
      </c>
      <c r="EP156" s="485">
        <f t="shared" si="98"/>
        <v>0</v>
      </c>
      <c r="EQ156" s="485">
        <f t="shared" si="98"/>
        <v>0</v>
      </c>
      <c r="ER156" s="485">
        <f t="shared" si="98"/>
        <v>0</v>
      </c>
      <c r="ES156" s="485">
        <f t="shared" si="98"/>
        <v>0</v>
      </c>
      <c r="ET156" s="485">
        <f t="shared" si="98"/>
        <v>0</v>
      </c>
      <c r="EU156" s="485">
        <f t="shared" si="98"/>
        <v>0</v>
      </c>
      <c r="EV156" s="485">
        <f t="shared" si="98"/>
        <v>0.02</v>
      </c>
      <c r="EW156" s="485">
        <f t="shared" si="98"/>
        <v>0.03</v>
      </c>
      <c r="EX156" s="485">
        <f t="shared" si="98"/>
        <v>0</v>
      </c>
      <c r="EY156" s="861">
        <f t="shared" ref="EY156:FL156" si="99">SUM(EY147:EY155)</f>
        <v>0.45810000000000001</v>
      </c>
      <c r="EZ156" s="119">
        <f t="shared" si="99"/>
        <v>0</v>
      </c>
      <c r="FA156" s="119">
        <f t="shared" si="99"/>
        <v>0</v>
      </c>
      <c r="FB156" s="119">
        <f t="shared" si="99"/>
        <v>0</v>
      </c>
      <c r="FC156" s="119">
        <f t="shared" si="99"/>
        <v>0</v>
      </c>
      <c r="FD156" s="119">
        <f t="shared" si="99"/>
        <v>0</v>
      </c>
      <c r="FE156" s="119">
        <f t="shared" si="99"/>
        <v>0</v>
      </c>
      <c r="FF156" s="119">
        <f t="shared" si="99"/>
        <v>0</v>
      </c>
      <c r="FG156" s="119">
        <f t="shared" si="99"/>
        <v>0</v>
      </c>
      <c r="FH156" s="119">
        <f t="shared" si="99"/>
        <v>0</v>
      </c>
      <c r="FI156" s="119">
        <f t="shared" si="99"/>
        <v>0</v>
      </c>
      <c r="FJ156" s="119">
        <f t="shared" si="99"/>
        <v>0</v>
      </c>
      <c r="FK156" s="119">
        <f t="shared" si="99"/>
        <v>0</v>
      </c>
      <c r="FL156" s="119">
        <f t="shared" si="99"/>
        <v>0</v>
      </c>
    </row>
    <row r="157" spans="1:168" hidden="1" x14ac:dyDescent="0.25">
      <c r="A157" s="1459" t="s">
        <v>800</v>
      </c>
      <c r="B157" s="943"/>
      <c r="C157" s="704"/>
      <c r="D157" s="431"/>
      <c r="E157" s="431"/>
      <c r="F157" s="431"/>
      <c r="G157" s="250"/>
      <c r="H157" s="704"/>
      <c r="I157" s="431"/>
      <c r="J157" s="473"/>
      <c r="K157" s="473"/>
      <c r="L157" s="473"/>
      <c r="M157" s="473"/>
      <c r="N157" s="473"/>
      <c r="O157" s="473"/>
      <c r="P157" s="473"/>
      <c r="Q157" s="473"/>
      <c r="R157" s="473"/>
      <c r="S157" s="473"/>
      <c r="T157" s="473"/>
      <c r="U157" s="473"/>
      <c r="V157" s="473"/>
      <c r="W157" s="473"/>
      <c r="X157" s="473"/>
      <c r="Y157" s="473"/>
      <c r="Z157" s="473"/>
      <c r="AA157" s="473"/>
      <c r="AB157" s="473"/>
      <c r="AC157" s="473"/>
      <c r="AD157" s="473"/>
      <c r="AE157" s="473"/>
      <c r="AF157" s="473"/>
      <c r="AG157" s="473"/>
      <c r="AH157" s="473"/>
      <c r="AI157" s="473"/>
      <c r="AJ157" s="473"/>
      <c r="AK157" s="473"/>
      <c r="AL157" s="473"/>
      <c r="AM157" s="473"/>
      <c r="AN157" s="473"/>
      <c r="AO157" s="473"/>
      <c r="AP157" s="473"/>
      <c r="AQ157" s="473"/>
      <c r="AR157" s="473"/>
      <c r="AS157" s="473"/>
      <c r="AT157" s="473"/>
      <c r="AU157" s="473"/>
      <c r="AV157" s="473"/>
      <c r="AW157" s="473"/>
      <c r="AX157" s="473"/>
      <c r="AY157" s="473"/>
      <c r="AZ157" s="473"/>
      <c r="BA157" s="473"/>
      <c r="BB157" s="473"/>
      <c r="BC157" s="473"/>
      <c r="BD157" s="473"/>
      <c r="BE157" s="473"/>
      <c r="BF157" s="473"/>
      <c r="BG157" s="473"/>
      <c r="BH157" s="473"/>
      <c r="BI157" s="473"/>
      <c r="BJ157" s="473"/>
      <c r="BK157" s="473"/>
      <c r="BL157" s="473"/>
      <c r="BM157" s="473"/>
      <c r="BN157" s="473"/>
      <c r="BO157" s="473"/>
      <c r="BP157" s="473"/>
      <c r="BQ157" s="473"/>
      <c r="BR157" s="473"/>
      <c r="BS157" s="473"/>
      <c r="BT157" s="473"/>
      <c r="BU157" s="473"/>
      <c r="BV157" s="473"/>
      <c r="BW157" s="473"/>
      <c r="BX157" s="473"/>
      <c r="BY157" s="473"/>
      <c r="BZ157" s="473"/>
      <c r="CA157" s="473"/>
      <c r="CB157" s="473"/>
      <c r="CC157" s="473"/>
      <c r="CD157" s="473"/>
      <c r="CE157" s="473"/>
      <c r="CF157" s="473"/>
      <c r="CG157" s="473"/>
      <c r="CH157" s="473"/>
      <c r="CI157" s="473"/>
      <c r="CJ157" s="473"/>
      <c r="CK157" s="473"/>
      <c r="CL157" s="473"/>
      <c r="CM157" s="473"/>
      <c r="CN157" s="473"/>
      <c r="CO157" s="473"/>
      <c r="CP157" s="473"/>
      <c r="CQ157" s="473"/>
      <c r="CR157" s="473"/>
      <c r="CS157" s="473"/>
      <c r="CT157" s="473"/>
      <c r="CU157" s="473"/>
      <c r="CV157" s="473"/>
      <c r="CW157" s="473"/>
      <c r="CX157" s="473"/>
      <c r="CY157" s="473"/>
      <c r="CZ157" s="473"/>
      <c r="DA157" s="473"/>
      <c r="DB157" s="473"/>
      <c r="DC157" s="473"/>
      <c r="DD157" s="473"/>
      <c r="DE157" s="473"/>
      <c r="DF157" s="473"/>
      <c r="DG157" s="473"/>
      <c r="DH157" s="473"/>
      <c r="DI157" s="473"/>
      <c r="DJ157" s="473"/>
      <c r="DK157" s="473"/>
      <c r="DL157" s="473"/>
      <c r="DM157" s="473"/>
      <c r="DN157" s="473"/>
      <c r="DO157" s="473"/>
      <c r="DP157" s="473"/>
      <c r="DQ157" s="473"/>
      <c r="DR157" s="473"/>
      <c r="DS157" s="473"/>
      <c r="DT157" s="473"/>
      <c r="DU157" s="473"/>
      <c r="DV157" s="473"/>
      <c r="DW157" s="473"/>
      <c r="DX157" s="473"/>
      <c r="DY157" s="473"/>
      <c r="DZ157" s="473"/>
      <c r="EA157" s="473"/>
      <c r="EB157" s="473"/>
      <c r="EC157" s="473"/>
      <c r="ED157" s="473"/>
      <c r="EE157" s="473"/>
      <c r="EF157" s="473"/>
      <c r="EG157" s="473"/>
      <c r="EH157" s="473"/>
      <c r="EI157" s="473"/>
      <c r="EJ157" s="473"/>
      <c r="EK157" s="473"/>
      <c r="EL157" s="473"/>
      <c r="EM157" s="473"/>
      <c r="EN157" s="473"/>
      <c r="EO157" s="473"/>
      <c r="EP157" s="473"/>
      <c r="EQ157" s="473"/>
      <c r="ER157" s="473"/>
      <c r="ES157" s="473"/>
      <c r="ET157" s="473"/>
      <c r="EU157" s="473"/>
      <c r="EV157" s="473"/>
      <c r="EW157" s="473"/>
      <c r="EX157" s="473"/>
      <c r="EY157" s="927">
        <f t="shared" si="94"/>
        <v>0</v>
      </c>
      <c r="EZ157" s="117"/>
      <c r="FA157" s="117"/>
      <c r="FB157" s="117"/>
      <c r="FC157" s="117"/>
      <c r="FD157" s="117"/>
      <c r="FE157" s="117"/>
      <c r="FF157" s="117"/>
      <c r="FG157" s="117"/>
      <c r="FH157" s="117"/>
      <c r="FI157" s="117"/>
      <c r="FJ157" s="117"/>
      <c r="FK157" s="117"/>
      <c r="FL157" s="117"/>
    </row>
    <row r="158" spans="1:168" hidden="1" x14ac:dyDescent="0.25">
      <c r="A158" s="1460"/>
      <c r="B158" s="115"/>
      <c r="C158" s="704"/>
      <c r="D158" s="431"/>
      <c r="E158" s="431"/>
      <c r="F158" s="431"/>
      <c r="G158" s="250"/>
      <c r="H158" s="704"/>
      <c r="I158" s="431"/>
      <c r="J158" s="473"/>
      <c r="K158" s="473"/>
      <c r="L158" s="473"/>
      <c r="M158" s="473"/>
      <c r="N158" s="473"/>
      <c r="O158" s="473"/>
      <c r="P158" s="473"/>
      <c r="Q158" s="473"/>
      <c r="R158" s="473"/>
      <c r="S158" s="473"/>
      <c r="T158" s="473"/>
      <c r="U158" s="473"/>
      <c r="V158" s="473"/>
      <c r="W158" s="473"/>
      <c r="X158" s="473"/>
      <c r="Y158" s="473"/>
      <c r="Z158" s="473"/>
      <c r="AA158" s="473"/>
      <c r="AB158" s="473"/>
      <c r="AC158" s="473"/>
      <c r="AD158" s="473"/>
      <c r="AE158" s="473"/>
      <c r="AF158" s="473"/>
      <c r="AG158" s="473"/>
      <c r="AH158" s="473"/>
      <c r="AI158" s="473"/>
      <c r="AJ158" s="473"/>
      <c r="AK158" s="473"/>
      <c r="AL158" s="473"/>
      <c r="AM158" s="473"/>
      <c r="AN158" s="473"/>
      <c r="AO158" s="473"/>
      <c r="AP158" s="473"/>
      <c r="AQ158" s="473"/>
      <c r="AR158" s="473"/>
      <c r="AS158" s="473"/>
      <c r="AT158" s="473"/>
      <c r="AU158" s="473"/>
      <c r="AV158" s="473"/>
      <c r="AW158" s="473"/>
      <c r="AX158" s="473"/>
      <c r="AY158" s="473"/>
      <c r="AZ158" s="473"/>
      <c r="BA158" s="473"/>
      <c r="BB158" s="473"/>
      <c r="BC158" s="473"/>
      <c r="BD158" s="473"/>
      <c r="BE158" s="473"/>
      <c r="BF158" s="473"/>
      <c r="BG158" s="473"/>
      <c r="BH158" s="473"/>
      <c r="BI158" s="473"/>
      <c r="BJ158" s="473"/>
      <c r="BK158" s="473"/>
      <c r="BL158" s="473"/>
      <c r="BM158" s="473"/>
      <c r="BN158" s="473"/>
      <c r="BO158" s="473"/>
      <c r="BP158" s="473"/>
      <c r="BQ158" s="473"/>
      <c r="BR158" s="473"/>
      <c r="BS158" s="473"/>
      <c r="BT158" s="473"/>
      <c r="BU158" s="473"/>
      <c r="BV158" s="473"/>
      <c r="BW158" s="473"/>
      <c r="BX158" s="473"/>
      <c r="BY158" s="473"/>
      <c r="BZ158" s="473"/>
      <c r="CA158" s="473"/>
      <c r="CB158" s="473"/>
      <c r="CC158" s="473"/>
      <c r="CD158" s="473"/>
      <c r="CE158" s="473"/>
      <c r="CF158" s="473"/>
      <c r="CG158" s="473"/>
      <c r="CH158" s="473"/>
      <c r="CI158" s="473"/>
      <c r="CJ158" s="473"/>
      <c r="CK158" s="473"/>
      <c r="CL158" s="473"/>
      <c r="CM158" s="473"/>
      <c r="CN158" s="473"/>
      <c r="CO158" s="473"/>
      <c r="CP158" s="473"/>
      <c r="CQ158" s="473"/>
      <c r="CR158" s="473"/>
      <c r="CS158" s="473"/>
      <c r="CT158" s="473"/>
      <c r="CU158" s="473"/>
      <c r="CV158" s="473"/>
      <c r="CW158" s="473"/>
      <c r="CX158" s="473"/>
      <c r="CY158" s="473"/>
      <c r="CZ158" s="473"/>
      <c r="DA158" s="473"/>
      <c r="DB158" s="473"/>
      <c r="DC158" s="473"/>
      <c r="DD158" s="473"/>
      <c r="DE158" s="473"/>
      <c r="DF158" s="473"/>
      <c r="DG158" s="473"/>
      <c r="DH158" s="473"/>
      <c r="DI158" s="473"/>
      <c r="DJ158" s="473"/>
      <c r="DK158" s="473"/>
      <c r="DL158" s="473"/>
      <c r="DM158" s="473"/>
      <c r="DN158" s="473"/>
      <c r="DO158" s="473"/>
      <c r="DP158" s="473"/>
      <c r="DQ158" s="473"/>
      <c r="DR158" s="473"/>
      <c r="DS158" s="473"/>
      <c r="DT158" s="473"/>
      <c r="DU158" s="473"/>
      <c r="DV158" s="473"/>
      <c r="DW158" s="473"/>
      <c r="DX158" s="473"/>
      <c r="DY158" s="473"/>
      <c r="DZ158" s="473"/>
      <c r="EA158" s="473"/>
      <c r="EB158" s="473"/>
      <c r="EC158" s="473"/>
      <c r="ED158" s="473"/>
      <c r="EE158" s="473"/>
      <c r="EF158" s="473"/>
      <c r="EG158" s="473"/>
      <c r="EH158" s="473"/>
      <c r="EI158" s="473"/>
      <c r="EJ158" s="473"/>
      <c r="EK158" s="473"/>
      <c r="EL158" s="473"/>
      <c r="EM158" s="473"/>
      <c r="EN158" s="473"/>
      <c r="EO158" s="473"/>
      <c r="EP158" s="473"/>
      <c r="EQ158" s="473"/>
      <c r="ER158" s="473"/>
      <c r="ES158" s="473"/>
      <c r="ET158" s="473"/>
      <c r="EU158" s="473"/>
      <c r="EV158" s="473"/>
      <c r="EW158" s="473"/>
      <c r="EX158" s="473"/>
      <c r="EY158" s="927">
        <f t="shared" si="94"/>
        <v>0</v>
      </c>
      <c r="EZ158" s="117"/>
      <c r="FA158" s="117"/>
      <c r="FB158" s="117"/>
      <c r="FC158" s="117"/>
      <c r="FD158" s="117"/>
      <c r="FE158" s="117"/>
      <c r="FF158" s="117"/>
      <c r="FG158" s="117"/>
      <c r="FH158" s="117"/>
      <c r="FI158" s="117"/>
      <c r="FJ158" s="117"/>
      <c r="FK158" s="117"/>
      <c r="FL158" s="117"/>
    </row>
    <row r="159" spans="1:168" hidden="1" x14ac:dyDescent="0.25">
      <c r="A159" s="1460"/>
      <c r="B159" s="115"/>
      <c r="C159" s="704"/>
      <c r="D159" s="431"/>
      <c r="E159" s="431"/>
      <c r="F159" s="431"/>
      <c r="G159" s="250"/>
      <c r="H159" s="704"/>
      <c r="I159" s="431"/>
      <c r="J159" s="473"/>
      <c r="K159" s="473"/>
      <c r="L159" s="473"/>
      <c r="M159" s="473"/>
      <c r="N159" s="473"/>
      <c r="O159" s="473"/>
      <c r="P159" s="473"/>
      <c r="Q159" s="473"/>
      <c r="R159" s="473"/>
      <c r="S159" s="473"/>
      <c r="T159" s="473"/>
      <c r="U159" s="473"/>
      <c r="V159" s="473"/>
      <c r="W159" s="473"/>
      <c r="X159" s="473"/>
      <c r="Y159" s="473"/>
      <c r="Z159" s="473"/>
      <c r="AA159" s="473"/>
      <c r="AB159" s="473"/>
      <c r="AC159" s="473"/>
      <c r="AD159" s="473"/>
      <c r="AE159" s="473"/>
      <c r="AF159" s="473"/>
      <c r="AG159" s="473"/>
      <c r="AH159" s="473"/>
      <c r="AI159" s="473"/>
      <c r="AJ159" s="473"/>
      <c r="AK159" s="473"/>
      <c r="AL159" s="473"/>
      <c r="AM159" s="473"/>
      <c r="AN159" s="473"/>
      <c r="AO159" s="473"/>
      <c r="AP159" s="473"/>
      <c r="AQ159" s="473"/>
      <c r="AR159" s="473"/>
      <c r="AS159" s="473"/>
      <c r="AT159" s="473"/>
      <c r="AU159" s="473"/>
      <c r="AV159" s="473"/>
      <c r="AW159" s="473"/>
      <c r="AX159" s="473"/>
      <c r="AY159" s="473"/>
      <c r="AZ159" s="473"/>
      <c r="BA159" s="473"/>
      <c r="BB159" s="473"/>
      <c r="BC159" s="473"/>
      <c r="BD159" s="473"/>
      <c r="BE159" s="473"/>
      <c r="BF159" s="473"/>
      <c r="BG159" s="473"/>
      <c r="BH159" s="473"/>
      <c r="BI159" s="473"/>
      <c r="BJ159" s="473"/>
      <c r="BK159" s="473"/>
      <c r="BL159" s="473"/>
      <c r="BM159" s="473"/>
      <c r="BN159" s="473"/>
      <c r="BO159" s="473"/>
      <c r="BP159" s="473"/>
      <c r="BQ159" s="473"/>
      <c r="BR159" s="473"/>
      <c r="BS159" s="473"/>
      <c r="BT159" s="473"/>
      <c r="BU159" s="473"/>
      <c r="BV159" s="473"/>
      <c r="BW159" s="473"/>
      <c r="BX159" s="473"/>
      <c r="BY159" s="473"/>
      <c r="BZ159" s="473"/>
      <c r="CA159" s="473"/>
      <c r="CB159" s="473"/>
      <c r="CC159" s="473"/>
      <c r="CD159" s="473"/>
      <c r="CE159" s="473"/>
      <c r="CF159" s="473"/>
      <c r="CG159" s="473"/>
      <c r="CH159" s="473"/>
      <c r="CI159" s="473"/>
      <c r="CJ159" s="473"/>
      <c r="CK159" s="473"/>
      <c r="CL159" s="473"/>
      <c r="CM159" s="473"/>
      <c r="CN159" s="473"/>
      <c r="CO159" s="473"/>
      <c r="CP159" s="473"/>
      <c r="CQ159" s="473"/>
      <c r="CR159" s="473"/>
      <c r="CS159" s="473"/>
      <c r="CT159" s="473"/>
      <c r="CU159" s="473"/>
      <c r="CV159" s="473"/>
      <c r="CW159" s="473"/>
      <c r="CX159" s="473"/>
      <c r="CY159" s="473"/>
      <c r="CZ159" s="473"/>
      <c r="DA159" s="473"/>
      <c r="DB159" s="473"/>
      <c r="DC159" s="473"/>
      <c r="DD159" s="473"/>
      <c r="DE159" s="473"/>
      <c r="DF159" s="473"/>
      <c r="DG159" s="473"/>
      <c r="DH159" s="473"/>
      <c r="DI159" s="473"/>
      <c r="DJ159" s="473"/>
      <c r="DK159" s="473"/>
      <c r="DL159" s="473"/>
      <c r="DM159" s="473"/>
      <c r="DN159" s="473"/>
      <c r="DO159" s="473"/>
      <c r="DP159" s="473"/>
      <c r="DQ159" s="473"/>
      <c r="DR159" s="473"/>
      <c r="DS159" s="473"/>
      <c r="DT159" s="473"/>
      <c r="DU159" s="473"/>
      <c r="DV159" s="473"/>
      <c r="DW159" s="473"/>
      <c r="DX159" s="473"/>
      <c r="DY159" s="473"/>
      <c r="DZ159" s="473"/>
      <c r="EA159" s="473"/>
      <c r="EB159" s="473"/>
      <c r="EC159" s="473"/>
      <c r="ED159" s="473"/>
      <c r="EE159" s="473"/>
      <c r="EF159" s="473"/>
      <c r="EG159" s="473"/>
      <c r="EH159" s="473"/>
      <c r="EI159" s="473"/>
      <c r="EJ159" s="473"/>
      <c r="EK159" s="473"/>
      <c r="EL159" s="473"/>
      <c r="EM159" s="473"/>
      <c r="EN159" s="473"/>
      <c r="EO159" s="473"/>
      <c r="EP159" s="473"/>
      <c r="EQ159" s="473"/>
      <c r="ER159" s="473"/>
      <c r="ES159" s="473"/>
      <c r="ET159" s="473"/>
      <c r="EU159" s="473"/>
      <c r="EV159" s="473"/>
      <c r="EW159" s="473"/>
      <c r="EX159" s="473"/>
      <c r="EY159" s="927">
        <f t="shared" si="94"/>
        <v>0</v>
      </c>
      <c r="EZ159" s="117"/>
      <c r="FA159" s="117"/>
      <c r="FB159" s="117"/>
      <c r="FC159" s="117"/>
      <c r="FD159" s="117"/>
      <c r="FE159" s="117"/>
      <c r="FF159" s="117"/>
      <c r="FG159" s="117"/>
      <c r="FH159" s="117"/>
      <c r="FI159" s="117"/>
      <c r="FJ159" s="117"/>
      <c r="FK159" s="117"/>
      <c r="FL159" s="117"/>
    </row>
    <row r="160" spans="1:168" hidden="1" x14ac:dyDescent="0.25">
      <c r="A160" s="1460"/>
      <c r="B160" s="115"/>
      <c r="C160" s="704"/>
      <c r="D160" s="704"/>
      <c r="E160" s="117"/>
      <c r="F160" s="117"/>
      <c r="G160" s="250"/>
      <c r="H160" s="704"/>
      <c r="I160" s="431"/>
      <c r="J160" s="473"/>
      <c r="K160" s="473"/>
      <c r="L160" s="473"/>
      <c r="M160" s="473"/>
      <c r="N160" s="473"/>
      <c r="O160" s="473"/>
      <c r="P160" s="473"/>
      <c r="Q160" s="473"/>
      <c r="R160" s="473"/>
      <c r="S160" s="473"/>
      <c r="T160" s="473"/>
      <c r="U160" s="473"/>
      <c r="V160" s="473"/>
      <c r="W160" s="473"/>
      <c r="X160" s="473"/>
      <c r="Y160" s="473"/>
      <c r="Z160" s="473"/>
      <c r="AA160" s="473"/>
      <c r="AB160" s="473"/>
      <c r="AC160" s="473"/>
      <c r="AD160" s="473"/>
      <c r="AE160" s="473"/>
      <c r="AF160" s="473"/>
      <c r="AG160" s="473"/>
      <c r="AH160" s="473"/>
      <c r="AI160" s="473"/>
      <c r="AJ160" s="473"/>
      <c r="AK160" s="473"/>
      <c r="AL160" s="473"/>
      <c r="AM160" s="473"/>
      <c r="AN160" s="473"/>
      <c r="AO160" s="473"/>
      <c r="AP160" s="473"/>
      <c r="AQ160" s="473"/>
      <c r="AR160" s="473"/>
      <c r="AS160" s="473"/>
      <c r="AT160" s="473"/>
      <c r="AU160" s="473"/>
      <c r="AV160" s="473"/>
      <c r="AW160" s="473"/>
      <c r="AX160" s="473"/>
      <c r="AY160" s="473"/>
      <c r="AZ160" s="473"/>
      <c r="BA160" s="473"/>
      <c r="BB160" s="473"/>
      <c r="BC160" s="473"/>
      <c r="BD160" s="473"/>
      <c r="BE160" s="473"/>
      <c r="BF160" s="473"/>
      <c r="BG160" s="473"/>
      <c r="BH160" s="473"/>
      <c r="BI160" s="473"/>
      <c r="BJ160" s="473"/>
      <c r="BK160" s="473"/>
      <c r="BL160" s="473"/>
      <c r="BM160" s="473"/>
      <c r="BN160" s="473"/>
      <c r="BO160" s="473"/>
      <c r="BP160" s="473"/>
      <c r="BQ160" s="473"/>
      <c r="BR160" s="473"/>
      <c r="BS160" s="473"/>
      <c r="BT160" s="473"/>
      <c r="BU160" s="473"/>
      <c r="BV160" s="473"/>
      <c r="BW160" s="473"/>
      <c r="BX160" s="473"/>
      <c r="BY160" s="473"/>
      <c r="BZ160" s="473"/>
      <c r="CA160" s="473"/>
      <c r="CB160" s="473"/>
      <c r="CC160" s="473"/>
      <c r="CD160" s="473"/>
      <c r="CE160" s="473"/>
      <c r="CF160" s="473"/>
      <c r="CG160" s="473"/>
      <c r="CH160" s="473"/>
      <c r="CI160" s="473"/>
      <c r="CJ160" s="473"/>
      <c r="CK160" s="473"/>
      <c r="CL160" s="473"/>
      <c r="CM160" s="473"/>
      <c r="CN160" s="473"/>
      <c r="CO160" s="473"/>
      <c r="CP160" s="473"/>
      <c r="CQ160" s="473"/>
      <c r="CR160" s="473"/>
      <c r="CS160" s="473"/>
      <c r="CT160" s="473"/>
      <c r="CU160" s="473"/>
      <c r="CV160" s="473"/>
      <c r="CW160" s="473"/>
      <c r="CX160" s="473"/>
      <c r="CY160" s="473"/>
      <c r="CZ160" s="473"/>
      <c r="DA160" s="473"/>
      <c r="DB160" s="473"/>
      <c r="DC160" s="473"/>
      <c r="DD160" s="473"/>
      <c r="DE160" s="473"/>
      <c r="DF160" s="473"/>
      <c r="DG160" s="473"/>
      <c r="DH160" s="473"/>
      <c r="DI160" s="473"/>
      <c r="DJ160" s="473"/>
      <c r="DK160" s="473"/>
      <c r="DL160" s="473"/>
      <c r="DM160" s="473"/>
      <c r="DN160" s="473"/>
      <c r="DO160" s="473"/>
      <c r="DP160" s="473"/>
      <c r="DQ160" s="473"/>
      <c r="DR160" s="473"/>
      <c r="DS160" s="473"/>
      <c r="DT160" s="473"/>
      <c r="DU160" s="473"/>
      <c r="DV160" s="473"/>
      <c r="DW160" s="473"/>
      <c r="DX160" s="473"/>
      <c r="DY160" s="473"/>
      <c r="DZ160" s="473"/>
      <c r="EA160" s="473"/>
      <c r="EB160" s="473"/>
      <c r="EC160" s="473"/>
      <c r="ED160" s="473"/>
      <c r="EE160" s="473"/>
      <c r="EF160" s="473"/>
      <c r="EG160" s="473"/>
      <c r="EH160" s="473"/>
      <c r="EI160" s="473"/>
      <c r="EJ160" s="473"/>
      <c r="EK160" s="473"/>
      <c r="EL160" s="473"/>
      <c r="EM160" s="473"/>
      <c r="EN160" s="473"/>
      <c r="EO160" s="473"/>
      <c r="EP160" s="473"/>
      <c r="EQ160" s="473"/>
      <c r="ER160" s="473"/>
      <c r="ES160" s="473"/>
      <c r="ET160" s="473"/>
      <c r="EU160" s="473"/>
      <c r="EV160" s="473"/>
      <c r="EW160" s="473"/>
      <c r="EX160" s="473"/>
      <c r="EY160" s="927">
        <f t="shared" si="94"/>
        <v>0</v>
      </c>
      <c r="EZ160" s="117"/>
      <c r="FA160" s="117"/>
      <c r="FB160" s="117"/>
      <c r="FC160" s="117"/>
      <c r="FD160" s="117"/>
      <c r="FE160" s="117"/>
      <c r="FF160" s="117"/>
      <c r="FG160" s="117"/>
      <c r="FH160" s="117"/>
      <c r="FI160" s="117"/>
      <c r="FJ160" s="117"/>
      <c r="FK160" s="117"/>
      <c r="FL160" s="117"/>
    </row>
    <row r="161" spans="1:169" hidden="1" x14ac:dyDescent="0.25">
      <c r="A161" s="1461"/>
      <c r="B161" s="115"/>
      <c r="C161" s="704"/>
      <c r="D161" s="704"/>
      <c r="E161" s="117"/>
      <c r="F161" s="117"/>
      <c r="G161" s="250"/>
      <c r="H161" s="704"/>
      <c r="I161" s="431"/>
      <c r="J161" s="473"/>
      <c r="K161" s="473"/>
      <c r="L161" s="473"/>
      <c r="M161" s="473"/>
      <c r="N161" s="473"/>
      <c r="O161" s="473"/>
      <c r="P161" s="473"/>
      <c r="Q161" s="473"/>
      <c r="R161" s="473"/>
      <c r="S161" s="473"/>
      <c r="T161" s="473"/>
      <c r="U161" s="473"/>
      <c r="V161" s="473"/>
      <c r="W161" s="473"/>
      <c r="X161" s="473"/>
      <c r="Y161" s="473"/>
      <c r="Z161" s="473"/>
      <c r="AA161" s="473"/>
      <c r="AB161" s="473"/>
      <c r="AC161" s="473"/>
      <c r="AD161" s="473"/>
      <c r="AE161" s="473"/>
      <c r="AF161" s="473"/>
      <c r="AG161" s="473"/>
      <c r="AH161" s="473"/>
      <c r="AI161" s="473"/>
      <c r="AJ161" s="473"/>
      <c r="AK161" s="473"/>
      <c r="AL161" s="473"/>
      <c r="AM161" s="473"/>
      <c r="AN161" s="473"/>
      <c r="AO161" s="473"/>
      <c r="AP161" s="473"/>
      <c r="AQ161" s="473"/>
      <c r="AR161" s="473"/>
      <c r="AS161" s="473"/>
      <c r="AT161" s="473"/>
      <c r="AU161" s="473"/>
      <c r="AV161" s="473"/>
      <c r="AW161" s="473"/>
      <c r="AX161" s="473"/>
      <c r="AY161" s="473"/>
      <c r="AZ161" s="473"/>
      <c r="BA161" s="473"/>
      <c r="BB161" s="473"/>
      <c r="BC161" s="473"/>
      <c r="BD161" s="473"/>
      <c r="BE161" s="473"/>
      <c r="BF161" s="473"/>
      <c r="BG161" s="473"/>
      <c r="BH161" s="473"/>
      <c r="BI161" s="473"/>
      <c r="BJ161" s="473"/>
      <c r="BK161" s="473"/>
      <c r="BL161" s="473"/>
      <c r="BM161" s="473"/>
      <c r="BN161" s="473"/>
      <c r="BO161" s="473"/>
      <c r="BP161" s="473"/>
      <c r="BQ161" s="473"/>
      <c r="BR161" s="473"/>
      <c r="BS161" s="473"/>
      <c r="BT161" s="473"/>
      <c r="BU161" s="473"/>
      <c r="BV161" s="473"/>
      <c r="BW161" s="473"/>
      <c r="BX161" s="473"/>
      <c r="BY161" s="473"/>
      <c r="BZ161" s="473"/>
      <c r="CA161" s="473"/>
      <c r="CB161" s="473"/>
      <c r="CC161" s="473"/>
      <c r="CD161" s="473"/>
      <c r="CE161" s="473"/>
      <c r="CF161" s="473"/>
      <c r="CG161" s="473"/>
      <c r="CH161" s="473"/>
      <c r="CI161" s="473"/>
      <c r="CJ161" s="473"/>
      <c r="CK161" s="473"/>
      <c r="CL161" s="473"/>
      <c r="CM161" s="473"/>
      <c r="CN161" s="473"/>
      <c r="CO161" s="473"/>
      <c r="CP161" s="473"/>
      <c r="CQ161" s="473"/>
      <c r="CR161" s="473"/>
      <c r="CS161" s="473"/>
      <c r="CT161" s="473"/>
      <c r="CU161" s="473"/>
      <c r="CV161" s="473"/>
      <c r="CW161" s="473"/>
      <c r="CX161" s="473"/>
      <c r="CY161" s="473"/>
      <c r="CZ161" s="473"/>
      <c r="DA161" s="473"/>
      <c r="DB161" s="473"/>
      <c r="DC161" s="473"/>
      <c r="DD161" s="473"/>
      <c r="DE161" s="473"/>
      <c r="DF161" s="473"/>
      <c r="DG161" s="473"/>
      <c r="DH161" s="473"/>
      <c r="DI161" s="473"/>
      <c r="DJ161" s="473"/>
      <c r="DK161" s="473"/>
      <c r="DL161" s="473"/>
      <c r="DM161" s="473"/>
      <c r="DN161" s="473"/>
      <c r="DO161" s="473"/>
      <c r="DP161" s="473"/>
      <c r="DQ161" s="473"/>
      <c r="DR161" s="473"/>
      <c r="DS161" s="473"/>
      <c r="DT161" s="473"/>
      <c r="DU161" s="473"/>
      <c r="DV161" s="473"/>
      <c r="DW161" s="473"/>
      <c r="DX161" s="473"/>
      <c r="DY161" s="473"/>
      <c r="DZ161" s="473"/>
      <c r="EA161" s="473"/>
      <c r="EB161" s="473"/>
      <c r="EC161" s="473"/>
      <c r="ED161" s="473"/>
      <c r="EE161" s="473"/>
      <c r="EF161" s="473"/>
      <c r="EG161" s="473"/>
      <c r="EH161" s="473"/>
      <c r="EI161" s="473"/>
      <c r="EJ161" s="473"/>
      <c r="EK161" s="473"/>
      <c r="EL161" s="473"/>
      <c r="EM161" s="473"/>
      <c r="EN161" s="473"/>
      <c r="EO161" s="473"/>
      <c r="EP161" s="473"/>
      <c r="EQ161" s="473"/>
      <c r="ER161" s="473"/>
      <c r="ES161" s="473"/>
      <c r="ET161" s="473"/>
      <c r="EU161" s="473"/>
      <c r="EV161" s="473"/>
      <c r="EW161" s="473"/>
      <c r="EX161" s="473"/>
      <c r="EY161" s="927">
        <f t="shared" si="94"/>
        <v>0</v>
      </c>
      <c r="EZ161" s="117"/>
      <c r="FA161" s="117"/>
      <c r="FB161" s="117"/>
      <c r="FC161" s="117"/>
      <c r="FD161" s="117"/>
      <c r="FE161" s="117"/>
      <c r="FF161" s="117"/>
      <c r="FG161" s="117"/>
      <c r="FH161" s="117"/>
      <c r="FI161" s="117"/>
      <c r="FJ161" s="117"/>
      <c r="FK161" s="117"/>
      <c r="FL161" s="117"/>
    </row>
    <row r="162" spans="1:169" hidden="1" x14ac:dyDescent="0.25">
      <c r="A162" s="120"/>
      <c r="B162" s="118" t="s">
        <v>801</v>
      </c>
      <c r="C162" s="812">
        <f>SUM(C157:C161)</f>
        <v>0</v>
      </c>
      <c r="D162" s="812">
        <f>SUM(D157:D161)</f>
        <v>0</v>
      </c>
      <c r="E162" s="119">
        <f t="shared" ref="E162:BC162" si="100">SUM(E157:E161)</f>
        <v>0</v>
      </c>
      <c r="F162" s="119">
        <f t="shared" si="100"/>
        <v>0</v>
      </c>
      <c r="G162" s="251">
        <f t="shared" si="100"/>
        <v>0</v>
      </c>
      <c r="H162" s="812"/>
      <c r="I162" s="432">
        <f t="shared" ref="I162" si="101">SUM(I157:I161)</f>
        <v>0</v>
      </c>
      <c r="J162" s="485">
        <f t="shared" si="100"/>
        <v>0</v>
      </c>
      <c r="K162" s="485">
        <f t="shared" si="100"/>
        <v>0</v>
      </c>
      <c r="L162" s="485">
        <f t="shared" si="100"/>
        <v>0</v>
      </c>
      <c r="M162" s="485">
        <f t="shared" si="100"/>
        <v>0</v>
      </c>
      <c r="N162" s="485">
        <f t="shared" si="100"/>
        <v>0</v>
      </c>
      <c r="O162" s="485">
        <f t="shared" si="100"/>
        <v>0</v>
      </c>
      <c r="P162" s="485">
        <f t="shared" si="100"/>
        <v>0</v>
      </c>
      <c r="Q162" s="485">
        <f t="shared" si="100"/>
        <v>0</v>
      </c>
      <c r="R162" s="485">
        <f t="shared" si="100"/>
        <v>0</v>
      </c>
      <c r="S162" s="485">
        <f t="shared" si="100"/>
        <v>0</v>
      </c>
      <c r="T162" s="485">
        <f t="shared" si="100"/>
        <v>0</v>
      </c>
      <c r="U162" s="485">
        <f t="shared" si="100"/>
        <v>0</v>
      </c>
      <c r="V162" s="485">
        <f t="shared" si="100"/>
        <v>0</v>
      </c>
      <c r="W162" s="485">
        <f t="shared" si="100"/>
        <v>0</v>
      </c>
      <c r="X162" s="485">
        <f t="shared" si="100"/>
        <v>0</v>
      </c>
      <c r="Y162" s="485">
        <f t="shared" si="100"/>
        <v>0</v>
      </c>
      <c r="Z162" s="485">
        <f t="shared" si="100"/>
        <v>0</v>
      </c>
      <c r="AA162" s="485">
        <f t="shared" si="100"/>
        <v>0</v>
      </c>
      <c r="AB162" s="485">
        <f t="shared" si="100"/>
        <v>0</v>
      </c>
      <c r="AC162" s="485">
        <f t="shared" si="100"/>
        <v>0</v>
      </c>
      <c r="AD162" s="485">
        <f t="shared" si="100"/>
        <v>0</v>
      </c>
      <c r="AE162" s="485">
        <f t="shared" si="100"/>
        <v>0</v>
      </c>
      <c r="AF162" s="485">
        <f t="shared" si="100"/>
        <v>0</v>
      </c>
      <c r="AG162" s="485">
        <f t="shared" si="100"/>
        <v>0</v>
      </c>
      <c r="AH162" s="485">
        <f t="shared" si="100"/>
        <v>0</v>
      </c>
      <c r="AI162" s="485">
        <f t="shared" si="100"/>
        <v>0</v>
      </c>
      <c r="AJ162" s="485">
        <f t="shared" si="100"/>
        <v>0</v>
      </c>
      <c r="AK162" s="485">
        <f t="shared" si="100"/>
        <v>0</v>
      </c>
      <c r="AL162" s="485">
        <f t="shared" si="100"/>
        <v>0</v>
      </c>
      <c r="AM162" s="485">
        <f t="shared" si="100"/>
        <v>0</v>
      </c>
      <c r="AN162" s="485">
        <f t="shared" si="100"/>
        <v>0</v>
      </c>
      <c r="AO162" s="485">
        <f t="shared" si="100"/>
        <v>0</v>
      </c>
      <c r="AP162" s="485">
        <f t="shared" si="100"/>
        <v>0</v>
      </c>
      <c r="AQ162" s="485">
        <f t="shared" si="100"/>
        <v>0</v>
      </c>
      <c r="AR162" s="485">
        <f t="shared" si="100"/>
        <v>0</v>
      </c>
      <c r="AS162" s="485">
        <f t="shared" si="100"/>
        <v>0</v>
      </c>
      <c r="AT162" s="485">
        <f t="shared" si="100"/>
        <v>0</v>
      </c>
      <c r="AU162" s="485">
        <f t="shared" si="100"/>
        <v>0</v>
      </c>
      <c r="AV162" s="485">
        <f t="shared" si="100"/>
        <v>0</v>
      </c>
      <c r="AW162" s="485">
        <f t="shared" si="100"/>
        <v>0</v>
      </c>
      <c r="AX162" s="485">
        <f t="shared" si="100"/>
        <v>0</v>
      </c>
      <c r="AY162" s="485">
        <f t="shared" si="100"/>
        <v>0</v>
      </c>
      <c r="AZ162" s="485">
        <f t="shared" si="100"/>
        <v>0</v>
      </c>
      <c r="BA162" s="485">
        <f t="shared" si="100"/>
        <v>0</v>
      </c>
      <c r="BB162" s="485">
        <f t="shared" si="100"/>
        <v>0</v>
      </c>
      <c r="BC162" s="485">
        <f t="shared" si="100"/>
        <v>0</v>
      </c>
      <c r="BD162" s="485">
        <f t="shared" ref="BD162:DO162" si="102">SUM(BD157:BD161)</f>
        <v>0</v>
      </c>
      <c r="BE162" s="485">
        <f t="shared" si="102"/>
        <v>0</v>
      </c>
      <c r="BF162" s="485">
        <f t="shared" si="102"/>
        <v>0</v>
      </c>
      <c r="BG162" s="485">
        <f t="shared" si="102"/>
        <v>0</v>
      </c>
      <c r="BH162" s="485">
        <f t="shared" si="102"/>
        <v>0</v>
      </c>
      <c r="BI162" s="485">
        <f t="shared" si="102"/>
        <v>0</v>
      </c>
      <c r="BJ162" s="485">
        <f t="shared" si="102"/>
        <v>0</v>
      </c>
      <c r="BK162" s="485">
        <f t="shared" si="102"/>
        <v>0</v>
      </c>
      <c r="BL162" s="485">
        <f t="shared" si="102"/>
        <v>0</v>
      </c>
      <c r="BM162" s="485">
        <f t="shared" si="102"/>
        <v>0</v>
      </c>
      <c r="BN162" s="485">
        <f t="shared" si="102"/>
        <v>0</v>
      </c>
      <c r="BO162" s="485">
        <f t="shared" si="102"/>
        <v>0</v>
      </c>
      <c r="BP162" s="485">
        <f t="shared" si="102"/>
        <v>0</v>
      </c>
      <c r="BQ162" s="485">
        <f t="shared" si="102"/>
        <v>0</v>
      </c>
      <c r="BR162" s="485">
        <f t="shared" si="102"/>
        <v>0</v>
      </c>
      <c r="BS162" s="485">
        <f t="shared" si="102"/>
        <v>0</v>
      </c>
      <c r="BT162" s="485">
        <f t="shared" si="102"/>
        <v>0</v>
      </c>
      <c r="BU162" s="485">
        <f t="shared" si="102"/>
        <v>0</v>
      </c>
      <c r="BV162" s="485">
        <f t="shared" si="102"/>
        <v>0</v>
      </c>
      <c r="BW162" s="485">
        <f t="shared" si="102"/>
        <v>0</v>
      </c>
      <c r="BX162" s="485">
        <f t="shared" si="102"/>
        <v>0</v>
      </c>
      <c r="BY162" s="485">
        <f t="shared" si="102"/>
        <v>0</v>
      </c>
      <c r="BZ162" s="485">
        <f t="shared" si="102"/>
        <v>0</v>
      </c>
      <c r="CA162" s="485">
        <f t="shared" si="102"/>
        <v>0</v>
      </c>
      <c r="CB162" s="485">
        <f t="shared" si="102"/>
        <v>0</v>
      </c>
      <c r="CC162" s="485">
        <f t="shared" si="102"/>
        <v>0</v>
      </c>
      <c r="CD162" s="485">
        <f t="shared" si="102"/>
        <v>0</v>
      </c>
      <c r="CE162" s="485">
        <f t="shared" si="102"/>
        <v>0</v>
      </c>
      <c r="CF162" s="485">
        <f t="shared" si="102"/>
        <v>0</v>
      </c>
      <c r="CG162" s="485">
        <f t="shared" si="102"/>
        <v>0</v>
      </c>
      <c r="CH162" s="485">
        <f t="shared" si="102"/>
        <v>0</v>
      </c>
      <c r="CI162" s="485">
        <f t="shared" si="102"/>
        <v>0</v>
      </c>
      <c r="CJ162" s="485">
        <f t="shared" si="102"/>
        <v>0</v>
      </c>
      <c r="CK162" s="485">
        <f t="shared" si="102"/>
        <v>0</v>
      </c>
      <c r="CL162" s="485">
        <f t="shared" si="102"/>
        <v>0</v>
      </c>
      <c r="CM162" s="485">
        <f t="shared" si="102"/>
        <v>0</v>
      </c>
      <c r="CN162" s="485">
        <f t="shared" si="102"/>
        <v>0</v>
      </c>
      <c r="CO162" s="485">
        <f t="shared" si="102"/>
        <v>0</v>
      </c>
      <c r="CP162" s="485">
        <f t="shared" si="102"/>
        <v>0</v>
      </c>
      <c r="CQ162" s="485">
        <f t="shared" si="102"/>
        <v>0</v>
      </c>
      <c r="CR162" s="485">
        <f t="shared" si="102"/>
        <v>0</v>
      </c>
      <c r="CS162" s="485">
        <f t="shared" si="102"/>
        <v>0</v>
      </c>
      <c r="CT162" s="485">
        <f t="shared" si="102"/>
        <v>0</v>
      </c>
      <c r="CU162" s="485">
        <f t="shared" si="102"/>
        <v>0</v>
      </c>
      <c r="CV162" s="485">
        <f t="shared" si="102"/>
        <v>0</v>
      </c>
      <c r="CW162" s="485">
        <f t="shared" si="102"/>
        <v>0</v>
      </c>
      <c r="CX162" s="485">
        <f t="shared" si="102"/>
        <v>0</v>
      </c>
      <c r="CY162" s="485">
        <f t="shared" si="102"/>
        <v>0</v>
      </c>
      <c r="CZ162" s="485">
        <f t="shared" si="102"/>
        <v>0</v>
      </c>
      <c r="DA162" s="485">
        <f t="shared" si="102"/>
        <v>0</v>
      </c>
      <c r="DB162" s="485">
        <f t="shared" si="102"/>
        <v>0</v>
      </c>
      <c r="DC162" s="485">
        <f t="shared" si="102"/>
        <v>0</v>
      </c>
      <c r="DD162" s="485">
        <f t="shared" si="102"/>
        <v>0</v>
      </c>
      <c r="DE162" s="485">
        <f t="shared" si="102"/>
        <v>0</v>
      </c>
      <c r="DF162" s="485">
        <f t="shared" si="102"/>
        <v>0</v>
      </c>
      <c r="DG162" s="485">
        <f t="shared" si="102"/>
        <v>0</v>
      </c>
      <c r="DH162" s="485">
        <f t="shared" si="102"/>
        <v>0</v>
      </c>
      <c r="DI162" s="485">
        <f t="shared" si="102"/>
        <v>0</v>
      </c>
      <c r="DJ162" s="485">
        <f t="shared" si="102"/>
        <v>0</v>
      </c>
      <c r="DK162" s="485">
        <f t="shared" si="102"/>
        <v>0</v>
      </c>
      <c r="DL162" s="485">
        <f t="shared" si="102"/>
        <v>0</v>
      </c>
      <c r="DM162" s="485">
        <f t="shared" si="102"/>
        <v>0</v>
      </c>
      <c r="DN162" s="485">
        <f t="shared" si="102"/>
        <v>0</v>
      </c>
      <c r="DO162" s="485">
        <f t="shared" si="102"/>
        <v>0</v>
      </c>
      <c r="DP162" s="485">
        <f t="shared" ref="DP162:EX162" si="103">SUM(DP157:DP161)</f>
        <v>0</v>
      </c>
      <c r="DQ162" s="485">
        <f t="shared" si="103"/>
        <v>0</v>
      </c>
      <c r="DR162" s="485">
        <f t="shared" si="103"/>
        <v>0</v>
      </c>
      <c r="DS162" s="485">
        <f t="shared" si="103"/>
        <v>0</v>
      </c>
      <c r="DT162" s="485">
        <f t="shared" si="103"/>
        <v>0</v>
      </c>
      <c r="DU162" s="485">
        <f t="shared" si="103"/>
        <v>0</v>
      </c>
      <c r="DV162" s="485">
        <f t="shared" si="103"/>
        <v>0</v>
      </c>
      <c r="DW162" s="485">
        <f t="shared" si="103"/>
        <v>0</v>
      </c>
      <c r="DX162" s="485">
        <f t="shared" si="103"/>
        <v>0</v>
      </c>
      <c r="DY162" s="485">
        <f t="shared" si="103"/>
        <v>0</v>
      </c>
      <c r="DZ162" s="485">
        <f t="shared" si="103"/>
        <v>0</v>
      </c>
      <c r="EA162" s="485">
        <f t="shared" si="103"/>
        <v>0</v>
      </c>
      <c r="EB162" s="485">
        <f t="shared" si="103"/>
        <v>0</v>
      </c>
      <c r="EC162" s="485">
        <f t="shared" si="103"/>
        <v>0</v>
      </c>
      <c r="ED162" s="485">
        <f t="shared" si="103"/>
        <v>0</v>
      </c>
      <c r="EE162" s="485">
        <f t="shared" si="103"/>
        <v>0</v>
      </c>
      <c r="EF162" s="485">
        <f t="shared" si="103"/>
        <v>0</v>
      </c>
      <c r="EG162" s="485">
        <f t="shared" si="103"/>
        <v>0</v>
      </c>
      <c r="EH162" s="485">
        <f t="shared" si="103"/>
        <v>0</v>
      </c>
      <c r="EI162" s="485">
        <f t="shared" si="103"/>
        <v>0</v>
      </c>
      <c r="EJ162" s="485">
        <f t="shared" si="103"/>
        <v>0</v>
      </c>
      <c r="EK162" s="485">
        <f t="shared" si="103"/>
        <v>0</v>
      </c>
      <c r="EL162" s="485">
        <f t="shared" si="103"/>
        <v>0</v>
      </c>
      <c r="EM162" s="485">
        <f t="shared" si="103"/>
        <v>0</v>
      </c>
      <c r="EN162" s="485">
        <f t="shared" si="103"/>
        <v>0</v>
      </c>
      <c r="EO162" s="485">
        <f t="shared" si="103"/>
        <v>0</v>
      </c>
      <c r="EP162" s="485">
        <f t="shared" si="103"/>
        <v>0</v>
      </c>
      <c r="EQ162" s="485">
        <f t="shared" si="103"/>
        <v>0</v>
      </c>
      <c r="ER162" s="485">
        <f t="shared" si="103"/>
        <v>0</v>
      </c>
      <c r="ES162" s="485">
        <f t="shared" si="103"/>
        <v>0</v>
      </c>
      <c r="ET162" s="485">
        <f t="shared" si="103"/>
        <v>0</v>
      </c>
      <c r="EU162" s="485">
        <f t="shared" si="103"/>
        <v>0</v>
      </c>
      <c r="EV162" s="485">
        <f t="shared" si="103"/>
        <v>0</v>
      </c>
      <c r="EW162" s="485">
        <f t="shared" si="103"/>
        <v>0</v>
      </c>
      <c r="EX162" s="485">
        <f t="shared" si="103"/>
        <v>0</v>
      </c>
      <c r="EY162" s="863">
        <f t="shared" ref="EY162:FL162" si="104">SUM(EY157:EY161)</f>
        <v>0</v>
      </c>
      <c r="EZ162" s="119">
        <f t="shared" si="104"/>
        <v>0</v>
      </c>
      <c r="FA162" s="119">
        <f t="shared" si="104"/>
        <v>0</v>
      </c>
      <c r="FB162" s="119">
        <f t="shared" si="104"/>
        <v>0</v>
      </c>
      <c r="FC162" s="119">
        <f t="shared" si="104"/>
        <v>0</v>
      </c>
      <c r="FD162" s="119">
        <f t="shared" si="104"/>
        <v>0</v>
      </c>
      <c r="FE162" s="119">
        <f t="shared" si="104"/>
        <v>0</v>
      </c>
      <c r="FF162" s="119">
        <f t="shared" si="104"/>
        <v>0</v>
      </c>
      <c r="FG162" s="119">
        <f t="shared" si="104"/>
        <v>0</v>
      </c>
      <c r="FH162" s="119">
        <f t="shared" si="104"/>
        <v>0</v>
      </c>
      <c r="FI162" s="119">
        <f t="shared" si="104"/>
        <v>0</v>
      </c>
      <c r="FJ162" s="119">
        <f t="shared" si="104"/>
        <v>0</v>
      </c>
      <c r="FK162" s="119">
        <f t="shared" si="104"/>
        <v>0</v>
      </c>
      <c r="FL162" s="119">
        <f t="shared" si="104"/>
        <v>0</v>
      </c>
    </row>
    <row r="163" spans="1:169" x14ac:dyDescent="0.25">
      <c r="A163" s="411"/>
      <c r="B163" s="461" t="s">
        <v>1213</v>
      </c>
      <c r="C163" s="813">
        <f>C146+C156+C162</f>
        <v>1725</v>
      </c>
      <c r="D163" s="813">
        <f>D146+D156+D162</f>
        <v>33</v>
      </c>
      <c r="E163" s="810">
        <f t="shared" ref="E163:BC163" si="105">E146+E156+E162</f>
        <v>44.11</v>
      </c>
      <c r="F163" s="810">
        <f t="shared" si="105"/>
        <v>163.16999999999999</v>
      </c>
      <c r="G163" s="635">
        <f t="shared" si="105"/>
        <v>1176</v>
      </c>
      <c r="H163" s="813"/>
      <c r="I163" s="646">
        <f t="shared" ref="I163" si="106">I146+I156+I162</f>
        <v>86.48</v>
      </c>
      <c r="J163" s="547">
        <f t="shared" si="105"/>
        <v>0</v>
      </c>
      <c r="K163" s="547">
        <f t="shared" si="105"/>
        <v>7.5999999999999998E-2</v>
      </c>
      <c r="L163" s="547">
        <f t="shared" si="105"/>
        <v>0</v>
      </c>
      <c r="M163" s="547">
        <f t="shared" si="105"/>
        <v>0</v>
      </c>
      <c r="N163" s="547">
        <f t="shared" si="105"/>
        <v>0</v>
      </c>
      <c r="O163" s="547">
        <f t="shared" si="105"/>
        <v>0</v>
      </c>
      <c r="P163" s="547">
        <f t="shared" si="105"/>
        <v>0</v>
      </c>
      <c r="Q163" s="547">
        <f t="shared" si="105"/>
        <v>0</v>
      </c>
      <c r="R163" s="547">
        <f t="shared" si="105"/>
        <v>0</v>
      </c>
      <c r="S163" s="547">
        <f t="shared" si="105"/>
        <v>0</v>
      </c>
      <c r="T163" s="547">
        <f t="shared" si="105"/>
        <v>0</v>
      </c>
      <c r="U163" s="547">
        <f t="shared" si="105"/>
        <v>0.128</v>
      </c>
      <c r="V163" s="547">
        <f t="shared" si="105"/>
        <v>1.7999999999999999E-2</v>
      </c>
      <c r="W163" s="547">
        <f t="shared" si="105"/>
        <v>1.6E-2</v>
      </c>
      <c r="X163" s="547">
        <f t="shared" si="105"/>
        <v>0</v>
      </c>
      <c r="Y163" s="547">
        <f t="shared" si="105"/>
        <v>5.0000000000000001E-3</v>
      </c>
      <c r="Z163" s="547">
        <f t="shared" si="105"/>
        <v>0</v>
      </c>
      <c r="AA163" s="547">
        <f t="shared" si="105"/>
        <v>0</v>
      </c>
      <c r="AB163" s="547">
        <f t="shared" si="105"/>
        <v>0</v>
      </c>
      <c r="AC163" s="547">
        <f t="shared" si="105"/>
        <v>0</v>
      </c>
      <c r="AD163" s="547">
        <f t="shared" si="105"/>
        <v>0</v>
      </c>
      <c r="AE163" s="547">
        <f t="shared" si="105"/>
        <v>8.9999999999999993E-3</v>
      </c>
      <c r="AF163" s="547">
        <f t="shared" si="105"/>
        <v>0</v>
      </c>
      <c r="AG163" s="547">
        <f t="shared" si="105"/>
        <v>0</v>
      </c>
      <c r="AH163" s="547">
        <f t="shared" si="105"/>
        <v>0.04</v>
      </c>
      <c r="AI163" s="547">
        <f t="shared" si="105"/>
        <v>0</v>
      </c>
      <c r="AJ163" s="547">
        <f t="shared" si="105"/>
        <v>0</v>
      </c>
      <c r="AK163" s="547">
        <f t="shared" si="105"/>
        <v>1.7999999999999999E-2</v>
      </c>
      <c r="AL163" s="547">
        <f t="shared" si="105"/>
        <v>0</v>
      </c>
      <c r="AM163" s="547">
        <f t="shared" si="105"/>
        <v>0</v>
      </c>
      <c r="AN163" s="547">
        <f t="shared" si="105"/>
        <v>0</v>
      </c>
      <c r="AO163" s="547">
        <f t="shared" si="105"/>
        <v>7.1279999999999996E-2</v>
      </c>
      <c r="AP163" s="547">
        <f t="shared" si="105"/>
        <v>0</v>
      </c>
      <c r="AQ163" s="547">
        <f t="shared" si="105"/>
        <v>0.02</v>
      </c>
      <c r="AR163" s="547">
        <f t="shared" si="105"/>
        <v>0</v>
      </c>
      <c r="AS163" s="547">
        <f t="shared" si="105"/>
        <v>0</v>
      </c>
      <c r="AT163" s="547">
        <f t="shared" si="105"/>
        <v>0</v>
      </c>
      <c r="AU163" s="547">
        <f t="shared" si="105"/>
        <v>2E-3</v>
      </c>
      <c r="AV163" s="547">
        <f t="shared" si="105"/>
        <v>0</v>
      </c>
      <c r="AW163" s="547">
        <f t="shared" si="105"/>
        <v>0</v>
      </c>
      <c r="AX163" s="547">
        <f t="shared" si="105"/>
        <v>6.5000000000000002E-2</v>
      </c>
      <c r="AY163" s="547">
        <f t="shared" si="105"/>
        <v>0</v>
      </c>
      <c r="AZ163" s="547">
        <f t="shared" si="105"/>
        <v>0</v>
      </c>
      <c r="BA163" s="547">
        <f t="shared" si="105"/>
        <v>0</v>
      </c>
      <c r="BB163" s="547">
        <f t="shared" si="105"/>
        <v>0</v>
      </c>
      <c r="BC163" s="547">
        <f t="shared" si="105"/>
        <v>0</v>
      </c>
      <c r="BD163" s="547">
        <f t="shared" ref="BD163:DO163" si="107">BD146+BD156+BD162</f>
        <v>0</v>
      </c>
      <c r="BE163" s="547">
        <f t="shared" si="107"/>
        <v>0</v>
      </c>
      <c r="BF163" s="547">
        <f t="shared" si="107"/>
        <v>0</v>
      </c>
      <c r="BG163" s="547">
        <f t="shared" si="107"/>
        <v>0</v>
      </c>
      <c r="BH163" s="547">
        <f t="shared" si="107"/>
        <v>0</v>
      </c>
      <c r="BI163" s="547">
        <f t="shared" si="107"/>
        <v>0</v>
      </c>
      <c r="BJ163" s="547">
        <f t="shared" si="107"/>
        <v>0</v>
      </c>
      <c r="BK163" s="547">
        <f t="shared" si="107"/>
        <v>0</v>
      </c>
      <c r="BL163" s="547">
        <f t="shared" si="107"/>
        <v>0</v>
      </c>
      <c r="BM163" s="547">
        <f t="shared" si="107"/>
        <v>0</v>
      </c>
      <c r="BN163" s="547">
        <f t="shared" si="107"/>
        <v>0</v>
      </c>
      <c r="BO163" s="547">
        <f t="shared" si="107"/>
        <v>0</v>
      </c>
      <c r="BP163" s="547">
        <f t="shared" si="107"/>
        <v>0</v>
      </c>
      <c r="BQ163" s="547">
        <f t="shared" si="107"/>
        <v>0</v>
      </c>
      <c r="BR163" s="547">
        <f t="shared" si="107"/>
        <v>0</v>
      </c>
      <c r="BS163" s="547">
        <f t="shared" si="107"/>
        <v>0</v>
      </c>
      <c r="BT163" s="547">
        <f t="shared" si="107"/>
        <v>0</v>
      </c>
      <c r="BU163" s="547">
        <f t="shared" si="107"/>
        <v>0</v>
      </c>
      <c r="BV163" s="547">
        <f t="shared" si="107"/>
        <v>0</v>
      </c>
      <c r="BW163" s="547">
        <f t="shared" si="107"/>
        <v>0</v>
      </c>
      <c r="BX163" s="547">
        <f t="shared" si="107"/>
        <v>0</v>
      </c>
      <c r="BY163" s="547">
        <f t="shared" si="107"/>
        <v>0</v>
      </c>
      <c r="BZ163" s="547">
        <f t="shared" si="107"/>
        <v>0</v>
      </c>
      <c r="CA163" s="547">
        <f t="shared" si="107"/>
        <v>1.4E-2</v>
      </c>
      <c r="CB163" s="547">
        <f t="shared" si="107"/>
        <v>5.3999999999999999E-2</v>
      </c>
      <c r="CC163" s="547">
        <f t="shared" si="107"/>
        <v>0</v>
      </c>
      <c r="CD163" s="547">
        <f t="shared" si="107"/>
        <v>0</v>
      </c>
      <c r="CE163" s="547">
        <f t="shared" si="107"/>
        <v>0</v>
      </c>
      <c r="CF163" s="547">
        <f t="shared" si="107"/>
        <v>1.06E-2</v>
      </c>
      <c r="CG163" s="547">
        <f t="shared" si="107"/>
        <v>0</v>
      </c>
      <c r="CH163" s="547">
        <f t="shared" si="107"/>
        <v>0</v>
      </c>
      <c r="CI163" s="547">
        <f t="shared" si="107"/>
        <v>0</v>
      </c>
      <c r="CJ163" s="547">
        <f t="shared" si="107"/>
        <v>0</v>
      </c>
      <c r="CK163" s="547">
        <f t="shared" si="107"/>
        <v>0</v>
      </c>
      <c r="CL163" s="547">
        <f t="shared" si="107"/>
        <v>0</v>
      </c>
      <c r="CM163" s="547">
        <f t="shared" si="107"/>
        <v>0</v>
      </c>
      <c r="CN163" s="547">
        <f t="shared" si="107"/>
        <v>0</v>
      </c>
      <c r="CO163" s="547">
        <f t="shared" si="107"/>
        <v>0</v>
      </c>
      <c r="CP163" s="547">
        <f t="shared" si="107"/>
        <v>0</v>
      </c>
      <c r="CQ163" s="547">
        <f t="shared" si="107"/>
        <v>2.0000000000000001E-4</v>
      </c>
      <c r="CR163" s="547">
        <f t="shared" si="107"/>
        <v>0</v>
      </c>
      <c r="CS163" s="547">
        <f t="shared" si="107"/>
        <v>0</v>
      </c>
      <c r="CT163" s="547">
        <f t="shared" si="107"/>
        <v>0</v>
      </c>
      <c r="CU163" s="547">
        <f t="shared" si="107"/>
        <v>0</v>
      </c>
      <c r="CV163" s="547">
        <f t="shared" si="107"/>
        <v>0</v>
      </c>
      <c r="CW163" s="547">
        <f t="shared" si="107"/>
        <v>0</v>
      </c>
      <c r="CX163" s="547">
        <f t="shared" si="107"/>
        <v>0</v>
      </c>
      <c r="CY163" s="547">
        <f t="shared" si="107"/>
        <v>0</v>
      </c>
      <c r="CZ163" s="547">
        <f t="shared" si="107"/>
        <v>3.9E-2</v>
      </c>
      <c r="DA163" s="547">
        <f t="shared" si="107"/>
        <v>0</v>
      </c>
      <c r="DB163" s="547">
        <f t="shared" si="107"/>
        <v>0</v>
      </c>
      <c r="DC163" s="547">
        <f t="shared" si="107"/>
        <v>7.9799999999999992E-3</v>
      </c>
      <c r="DD163" s="547">
        <f t="shared" si="107"/>
        <v>0</v>
      </c>
      <c r="DE163" s="547">
        <f t="shared" si="107"/>
        <v>0.02</v>
      </c>
      <c r="DF163" s="547">
        <f t="shared" si="107"/>
        <v>7.0000000000000001E-3</v>
      </c>
      <c r="DG163" s="547">
        <f t="shared" si="107"/>
        <v>0</v>
      </c>
      <c r="DH163" s="547">
        <f t="shared" si="107"/>
        <v>0</v>
      </c>
      <c r="DI163" s="547">
        <f t="shared" si="107"/>
        <v>0</v>
      </c>
      <c r="DJ163" s="547">
        <f t="shared" si="107"/>
        <v>0</v>
      </c>
      <c r="DK163" s="547">
        <f t="shared" si="107"/>
        <v>0</v>
      </c>
      <c r="DL163" s="547">
        <f t="shared" si="107"/>
        <v>0</v>
      </c>
      <c r="DM163" s="547">
        <f t="shared" si="107"/>
        <v>0</v>
      </c>
      <c r="DN163" s="547">
        <f t="shared" si="107"/>
        <v>0</v>
      </c>
      <c r="DO163" s="547">
        <f t="shared" si="107"/>
        <v>0</v>
      </c>
      <c r="DP163" s="547">
        <f t="shared" ref="DP163:FL163" si="108">DP146+DP156+DP162</f>
        <v>0</v>
      </c>
      <c r="DQ163" s="547">
        <f t="shared" si="108"/>
        <v>0</v>
      </c>
      <c r="DR163" s="547">
        <f t="shared" si="108"/>
        <v>5.0000000000000001E-4</v>
      </c>
      <c r="DS163" s="547">
        <f t="shared" si="108"/>
        <v>0</v>
      </c>
      <c r="DT163" s="547">
        <f t="shared" si="108"/>
        <v>0</v>
      </c>
      <c r="DU163" s="547">
        <f t="shared" si="108"/>
        <v>0</v>
      </c>
      <c r="DV163" s="547">
        <f t="shared" si="108"/>
        <v>0</v>
      </c>
      <c r="DW163" s="547">
        <f t="shared" si="108"/>
        <v>0</v>
      </c>
      <c r="DX163" s="547">
        <f t="shared" si="108"/>
        <v>0</v>
      </c>
      <c r="DY163" s="547">
        <f t="shared" si="108"/>
        <v>0</v>
      </c>
      <c r="DZ163" s="547">
        <f t="shared" si="108"/>
        <v>0</v>
      </c>
      <c r="EA163" s="547">
        <f t="shared" si="108"/>
        <v>0</v>
      </c>
      <c r="EB163" s="547">
        <f t="shared" si="108"/>
        <v>0.5</v>
      </c>
      <c r="EC163" s="547">
        <f t="shared" si="108"/>
        <v>0</v>
      </c>
      <c r="ED163" s="547">
        <f t="shared" si="108"/>
        <v>0</v>
      </c>
      <c r="EE163" s="547">
        <f t="shared" si="108"/>
        <v>0</v>
      </c>
      <c r="EF163" s="547">
        <f t="shared" si="108"/>
        <v>0</v>
      </c>
      <c r="EG163" s="547">
        <f t="shared" si="108"/>
        <v>0</v>
      </c>
      <c r="EH163" s="547">
        <f t="shared" si="108"/>
        <v>0</v>
      </c>
      <c r="EI163" s="547">
        <f t="shared" si="108"/>
        <v>0</v>
      </c>
      <c r="EJ163" s="547">
        <f t="shared" si="108"/>
        <v>0</v>
      </c>
      <c r="EK163" s="547">
        <f t="shared" si="108"/>
        <v>0</v>
      </c>
      <c r="EL163" s="547">
        <f t="shared" si="108"/>
        <v>0</v>
      </c>
      <c r="EM163" s="547">
        <f t="shared" si="108"/>
        <v>0</v>
      </c>
      <c r="EN163" s="547">
        <f t="shared" si="108"/>
        <v>0</v>
      </c>
      <c r="EO163" s="547">
        <f t="shared" si="108"/>
        <v>0</v>
      </c>
      <c r="EP163" s="547">
        <f t="shared" si="108"/>
        <v>0</v>
      </c>
      <c r="EQ163" s="547">
        <f t="shared" si="108"/>
        <v>0</v>
      </c>
      <c r="ER163" s="547">
        <f t="shared" si="108"/>
        <v>0</v>
      </c>
      <c r="ES163" s="547">
        <f t="shared" si="108"/>
        <v>0</v>
      </c>
      <c r="ET163" s="547">
        <f t="shared" si="108"/>
        <v>0</v>
      </c>
      <c r="EU163" s="547">
        <f t="shared" si="108"/>
        <v>0</v>
      </c>
      <c r="EV163" s="547">
        <f t="shared" si="108"/>
        <v>0.02</v>
      </c>
      <c r="EW163" s="547">
        <f t="shared" si="108"/>
        <v>7.0000000000000007E-2</v>
      </c>
      <c r="EX163" s="547">
        <f t="shared" si="108"/>
        <v>0</v>
      </c>
      <c r="EY163" s="767">
        <f t="shared" si="108"/>
        <v>1.2116</v>
      </c>
      <c r="EZ163" s="810">
        <f t="shared" si="108"/>
        <v>0</v>
      </c>
      <c r="FA163" s="810">
        <f t="shared" si="108"/>
        <v>0</v>
      </c>
      <c r="FB163" s="810">
        <f t="shared" si="108"/>
        <v>0</v>
      </c>
      <c r="FC163" s="810">
        <f t="shared" si="108"/>
        <v>0</v>
      </c>
      <c r="FD163" s="810">
        <f t="shared" si="108"/>
        <v>0</v>
      </c>
      <c r="FE163" s="810">
        <f t="shared" si="108"/>
        <v>0</v>
      </c>
      <c r="FF163" s="810">
        <f t="shared" si="108"/>
        <v>0</v>
      </c>
      <c r="FG163" s="810">
        <f t="shared" si="108"/>
        <v>0</v>
      </c>
      <c r="FH163" s="810">
        <f t="shared" si="108"/>
        <v>0</v>
      </c>
      <c r="FI163" s="810">
        <f t="shared" si="108"/>
        <v>0</v>
      </c>
      <c r="FJ163" s="810">
        <f t="shared" si="108"/>
        <v>0</v>
      </c>
      <c r="FK163" s="810">
        <f t="shared" si="108"/>
        <v>0</v>
      </c>
      <c r="FL163" s="810">
        <f t="shared" si="108"/>
        <v>0</v>
      </c>
      <c r="FM163" s="1381">
        <f>(I103+I133+I163)/3</f>
        <v>153.05000000000001</v>
      </c>
    </row>
    <row r="164" spans="1:169" hidden="1" x14ac:dyDescent="0.25">
      <c r="A164" s="829"/>
      <c r="B164" s="830" t="s">
        <v>966</v>
      </c>
      <c r="C164" s="831"/>
      <c r="D164" s="856">
        <v>77</v>
      </c>
      <c r="E164" s="856">
        <v>79</v>
      </c>
      <c r="F164" s="856">
        <v>335</v>
      </c>
      <c r="G164" s="846">
        <v>2350</v>
      </c>
      <c r="H164" s="831"/>
      <c r="I164" s="648">
        <v>2350</v>
      </c>
      <c r="J164" s="986"/>
      <c r="K164" s="986"/>
      <c r="L164" s="986"/>
      <c r="M164" s="986"/>
      <c r="N164" s="986"/>
      <c r="O164" s="986"/>
      <c r="P164" s="986"/>
      <c r="Q164" s="986"/>
      <c r="R164" s="986"/>
      <c r="S164" s="986"/>
      <c r="T164" s="986"/>
      <c r="U164" s="986"/>
      <c r="V164" s="986"/>
      <c r="W164" s="986"/>
      <c r="X164" s="986"/>
      <c r="Y164" s="986"/>
      <c r="Z164" s="986"/>
      <c r="AA164" s="986"/>
      <c r="AB164" s="986"/>
      <c r="AC164" s="986"/>
      <c r="AD164" s="986"/>
      <c r="AE164" s="986"/>
      <c r="AF164" s="986"/>
      <c r="AG164" s="986"/>
      <c r="AH164" s="986"/>
      <c r="AI164" s="986"/>
      <c r="AJ164" s="986"/>
      <c r="AK164" s="986"/>
      <c r="AL164" s="986"/>
      <c r="AM164" s="986"/>
      <c r="AN164" s="986"/>
      <c r="AO164" s="986"/>
      <c r="AP164" s="986"/>
      <c r="AQ164" s="986"/>
      <c r="AR164" s="986"/>
      <c r="AS164" s="986"/>
      <c r="AT164" s="986"/>
      <c r="AU164" s="986"/>
      <c r="AV164" s="986"/>
      <c r="AW164" s="986"/>
      <c r="AX164" s="986"/>
      <c r="AY164" s="986"/>
      <c r="AZ164" s="986"/>
      <c r="BA164" s="986"/>
      <c r="BB164" s="986"/>
      <c r="BC164" s="986"/>
      <c r="BD164" s="986"/>
      <c r="BE164" s="986"/>
      <c r="BF164" s="986"/>
      <c r="BG164" s="986"/>
      <c r="BH164" s="986"/>
      <c r="BI164" s="986"/>
      <c r="BJ164" s="986"/>
      <c r="BK164" s="986"/>
      <c r="BL164" s="986"/>
      <c r="BM164" s="986"/>
      <c r="BN164" s="986"/>
      <c r="BO164" s="986"/>
      <c r="BP164" s="986"/>
      <c r="BQ164" s="986"/>
      <c r="BR164" s="986"/>
      <c r="BS164" s="986"/>
      <c r="BT164" s="986"/>
      <c r="BU164" s="986"/>
      <c r="BV164" s="986"/>
      <c r="BW164" s="986"/>
      <c r="BX164" s="986"/>
      <c r="BY164" s="986"/>
      <c r="BZ164" s="986"/>
      <c r="CA164" s="986"/>
      <c r="CB164" s="986"/>
      <c r="CC164" s="986"/>
      <c r="CD164" s="986"/>
      <c r="CE164" s="986"/>
      <c r="CF164" s="986"/>
      <c r="CG164" s="986"/>
      <c r="CH164" s="986"/>
      <c r="CI164" s="986"/>
      <c r="CJ164" s="986"/>
      <c r="CK164" s="986"/>
      <c r="CL164" s="986"/>
      <c r="CM164" s="986"/>
      <c r="CN164" s="986"/>
      <c r="CO164" s="986"/>
      <c r="CP164" s="986"/>
      <c r="CQ164" s="986"/>
      <c r="CR164" s="986"/>
      <c r="CS164" s="986"/>
      <c r="CT164" s="986"/>
      <c r="CU164" s="986"/>
      <c r="CV164" s="986"/>
      <c r="CW164" s="986"/>
      <c r="CX164" s="986"/>
      <c r="CY164" s="986"/>
      <c r="CZ164" s="986"/>
      <c r="DA164" s="986"/>
      <c r="DB164" s="986"/>
      <c r="DC164" s="986"/>
      <c r="DD164" s="986"/>
      <c r="DE164" s="986"/>
      <c r="DF164" s="986"/>
      <c r="DG164" s="986"/>
      <c r="DH164" s="986"/>
      <c r="DI164" s="986"/>
      <c r="DJ164" s="986"/>
      <c r="DK164" s="986"/>
      <c r="DL164" s="986"/>
      <c r="DM164" s="986"/>
      <c r="DN164" s="986"/>
      <c r="DO164" s="986"/>
      <c r="DP164" s="986"/>
      <c r="DQ164" s="986"/>
      <c r="DR164" s="986"/>
      <c r="DS164" s="986"/>
      <c r="DT164" s="986"/>
      <c r="DU164" s="986"/>
      <c r="DV164" s="986"/>
      <c r="DW164" s="986"/>
      <c r="DX164" s="986"/>
      <c r="DY164" s="986"/>
      <c r="DZ164" s="986"/>
      <c r="EA164" s="986"/>
      <c r="EB164" s="986"/>
      <c r="EC164" s="986"/>
      <c r="ED164" s="986"/>
      <c r="EE164" s="986"/>
      <c r="EF164" s="986"/>
      <c r="EG164" s="986"/>
      <c r="EH164" s="986"/>
      <c r="EI164" s="986"/>
      <c r="EJ164" s="986"/>
      <c r="EK164" s="986"/>
      <c r="EL164" s="986"/>
      <c r="EM164" s="986"/>
      <c r="EN164" s="986"/>
      <c r="EO164" s="986"/>
      <c r="EP164" s="986"/>
      <c r="EQ164" s="986"/>
      <c r="ER164" s="986"/>
      <c r="ES164" s="986"/>
      <c r="ET164" s="986"/>
      <c r="EU164" s="986"/>
      <c r="EV164" s="986"/>
      <c r="EW164" s="986"/>
      <c r="EX164" s="986"/>
      <c r="EY164" s="496"/>
      <c r="EZ164" s="832">
        <v>1.2</v>
      </c>
      <c r="FA164" s="832">
        <v>1.4</v>
      </c>
      <c r="FB164" s="832">
        <v>60</v>
      </c>
      <c r="FC164" s="832">
        <v>700</v>
      </c>
      <c r="FD164" s="832">
        <v>10</v>
      </c>
      <c r="FE164" s="832">
        <v>1100</v>
      </c>
      <c r="FF164" s="832">
        <v>1100</v>
      </c>
      <c r="FG164" s="832">
        <v>250</v>
      </c>
      <c r="FH164" s="832">
        <v>1100</v>
      </c>
      <c r="FI164" s="832">
        <v>12</v>
      </c>
      <c r="FJ164" s="832">
        <v>10</v>
      </c>
      <c r="FK164" s="832">
        <v>0.1</v>
      </c>
      <c r="FL164" s="832">
        <v>0.02</v>
      </c>
    </row>
    <row r="165" spans="1:169" hidden="1" x14ac:dyDescent="0.25">
      <c r="A165" s="829"/>
      <c r="B165" s="830" t="s">
        <v>965</v>
      </c>
      <c r="C165" s="831"/>
      <c r="D165" s="856">
        <f>D163-D164</f>
        <v>-44</v>
      </c>
      <c r="E165" s="856">
        <f>E163-E164</f>
        <v>-34.89</v>
      </c>
      <c r="F165" s="856">
        <f t="shared" ref="F165:G165" si="109">F163-F164</f>
        <v>-171.83</v>
      </c>
      <c r="G165" s="846">
        <f t="shared" si="109"/>
        <v>-1174</v>
      </c>
      <c r="H165" s="831"/>
      <c r="I165" s="648">
        <v>782</v>
      </c>
      <c r="J165" s="986"/>
      <c r="K165" s="986"/>
      <c r="L165" s="986"/>
      <c r="M165" s="986"/>
      <c r="N165" s="986"/>
      <c r="O165" s="986"/>
      <c r="P165" s="986"/>
      <c r="Q165" s="986"/>
      <c r="R165" s="986"/>
      <c r="S165" s="986"/>
      <c r="T165" s="986"/>
      <c r="U165" s="986"/>
      <c r="V165" s="986"/>
      <c r="W165" s="986"/>
      <c r="X165" s="986"/>
      <c r="Y165" s="986"/>
      <c r="Z165" s="986"/>
      <c r="AA165" s="986"/>
      <c r="AB165" s="986"/>
      <c r="AC165" s="986"/>
      <c r="AD165" s="986"/>
      <c r="AE165" s="986"/>
      <c r="AF165" s="986"/>
      <c r="AG165" s="986"/>
      <c r="AH165" s="986"/>
      <c r="AI165" s="986"/>
      <c r="AJ165" s="986"/>
      <c r="AK165" s="986"/>
      <c r="AL165" s="986"/>
      <c r="AM165" s="986"/>
      <c r="AN165" s="986"/>
      <c r="AO165" s="986"/>
      <c r="AP165" s="986"/>
      <c r="AQ165" s="986"/>
      <c r="AR165" s="986"/>
      <c r="AS165" s="986"/>
      <c r="AT165" s="986"/>
      <c r="AU165" s="986"/>
      <c r="AV165" s="986"/>
      <c r="AW165" s="986"/>
      <c r="AX165" s="986"/>
      <c r="AY165" s="986"/>
      <c r="AZ165" s="986"/>
      <c r="BA165" s="986"/>
      <c r="BB165" s="986"/>
      <c r="BC165" s="986"/>
      <c r="BD165" s="986"/>
      <c r="BE165" s="986"/>
      <c r="BF165" s="986"/>
      <c r="BG165" s="986"/>
      <c r="BH165" s="986"/>
      <c r="BI165" s="986"/>
      <c r="BJ165" s="986"/>
      <c r="BK165" s="986"/>
      <c r="BL165" s="986"/>
      <c r="BM165" s="986"/>
      <c r="BN165" s="986"/>
      <c r="BO165" s="986"/>
      <c r="BP165" s="986"/>
      <c r="BQ165" s="986"/>
      <c r="BR165" s="986"/>
      <c r="BS165" s="986"/>
      <c r="BT165" s="986"/>
      <c r="BU165" s="986"/>
      <c r="BV165" s="986"/>
      <c r="BW165" s="986"/>
      <c r="BX165" s="986"/>
      <c r="BY165" s="986"/>
      <c r="BZ165" s="986"/>
      <c r="CA165" s="986"/>
      <c r="CB165" s="986"/>
      <c r="CC165" s="986"/>
      <c r="CD165" s="986"/>
      <c r="CE165" s="986"/>
      <c r="CF165" s="986"/>
      <c r="CG165" s="986"/>
      <c r="CH165" s="986"/>
      <c r="CI165" s="986"/>
      <c r="CJ165" s="986"/>
      <c r="CK165" s="986"/>
      <c r="CL165" s="986"/>
      <c r="CM165" s="986"/>
      <c r="CN165" s="986"/>
      <c r="CO165" s="986"/>
      <c r="CP165" s="986"/>
      <c r="CQ165" s="986"/>
      <c r="CR165" s="986"/>
      <c r="CS165" s="986"/>
      <c r="CT165" s="986"/>
      <c r="CU165" s="986"/>
      <c r="CV165" s="986"/>
      <c r="CW165" s="986"/>
      <c r="CX165" s="986"/>
      <c r="CY165" s="986"/>
      <c r="CZ165" s="986"/>
      <c r="DA165" s="986"/>
      <c r="DB165" s="986"/>
      <c r="DC165" s="986"/>
      <c r="DD165" s="986"/>
      <c r="DE165" s="986"/>
      <c r="DF165" s="986"/>
      <c r="DG165" s="986"/>
      <c r="DH165" s="986"/>
      <c r="DI165" s="986"/>
      <c r="DJ165" s="986"/>
      <c r="DK165" s="986"/>
      <c r="DL165" s="986"/>
      <c r="DM165" s="986"/>
      <c r="DN165" s="986"/>
      <c r="DO165" s="986"/>
      <c r="DP165" s="986"/>
      <c r="DQ165" s="986"/>
      <c r="DR165" s="986"/>
      <c r="DS165" s="986"/>
      <c r="DT165" s="986"/>
      <c r="DU165" s="986"/>
      <c r="DV165" s="986"/>
      <c r="DW165" s="986"/>
      <c r="DX165" s="986"/>
      <c r="DY165" s="986"/>
      <c r="DZ165" s="986"/>
      <c r="EA165" s="986"/>
      <c r="EB165" s="986"/>
      <c r="EC165" s="986"/>
      <c r="ED165" s="986"/>
      <c r="EE165" s="986"/>
      <c r="EF165" s="986"/>
      <c r="EG165" s="986"/>
      <c r="EH165" s="986"/>
      <c r="EI165" s="986"/>
      <c r="EJ165" s="986"/>
      <c r="EK165" s="986"/>
      <c r="EL165" s="986"/>
      <c r="EM165" s="986"/>
      <c r="EN165" s="986"/>
      <c r="EO165" s="986"/>
      <c r="EP165" s="986"/>
      <c r="EQ165" s="986"/>
      <c r="ER165" s="986"/>
      <c r="ES165" s="986"/>
      <c r="ET165" s="986"/>
      <c r="EU165" s="986"/>
      <c r="EV165" s="986"/>
      <c r="EW165" s="986"/>
      <c r="EX165" s="986"/>
      <c r="EY165" s="496"/>
      <c r="EZ165" s="832">
        <v>1.1599999999999999</v>
      </c>
      <c r="FA165" s="832">
        <v>1.33</v>
      </c>
      <c r="FB165" s="832">
        <v>24.75</v>
      </c>
      <c r="FC165" s="832">
        <v>641</v>
      </c>
      <c r="FD165" s="832">
        <v>10</v>
      </c>
      <c r="FE165" s="832">
        <v>1057.4000000000001</v>
      </c>
      <c r="FF165" s="832">
        <v>960.8</v>
      </c>
      <c r="FG165" s="832">
        <v>240.55</v>
      </c>
      <c r="FH165" s="832">
        <v>1100</v>
      </c>
      <c r="FI165" s="832">
        <v>12</v>
      </c>
      <c r="FJ165" s="832">
        <v>10</v>
      </c>
      <c r="FK165" s="832">
        <v>0.1</v>
      </c>
      <c r="FL165" s="832">
        <v>0.02</v>
      </c>
    </row>
    <row r="166" spans="1:169" x14ac:dyDescent="0.25">
      <c r="A166" s="557"/>
      <c r="B166" s="555" t="s">
        <v>1220</v>
      </c>
      <c r="C166" s="814"/>
      <c r="D166" s="814"/>
      <c r="E166" s="811"/>
      <c r="F166" s="811"/>
      <c r="G166" s="811"/>
      <c r="H166" s="814"/>
      <c r="I166" s="647"/>
      <c r="J166" s="769"/>
      <c r="K166" s="769"/>
      <c r="L166" s="769"/>
      <c r="M166" s="769"/>
      <c r="N166" s="769"/>
      <c r="O166" s="769"/>
      <c r="P166" s="769"/>
      <c r="Q166" s="769"/>
      <c r="R166" s="769"/>
      <c r="S166" s="769"/>
      <c r="T166" s="769"/>
      <c r="U166" s="769"/>
      <c r="V166" s="769"/>
      <c r="W166" s="769"/>
      <c r="X166" s="769"/>
      <c r="Y166" s="769"/>
      <c r="Z166" s="769"/>
      <c r="AA166" s="769"/>
      <c r="AB166" s="769"/>
      <c r="AC166" s="769"/>
      <c r="AD166" s="769"/>
      <c r="AE166" s="769"/>
      <c r="AF166" s="769"/>
      <c r="AG166" s="769"/>
      <c r="AH166" s="769"/>
      <c r="AI166" s="769"/>
      <c r="AJ166" s="769"/>
      <c r="AK166" s="769"/>
      <c r="AL166" s="769"/>
      <c r="AM166" s="769"/>
      <c r="AN166" s="769"/>
      <c r="AO166" s="769"/>
      <c r="AP166" s="769"/>
      <c r="AQ166" s="769"/>
      <c r="AR166" s="769"/>
      <c r="AS166" s="769"/>
      <c r="AT166" s="769"/>
      <c r="AU166" s="769"/>
      <c r="AV166" s="769"/>
      <c r="AW166" s="769"/>
      <c r="AX166" s="769"/>
      <c r="AY166" s="769"/>
      <c r="AZ166" s="769"/>
      <c r="BA166" s="769"/>
      <c r="BB166" s="769"/>
      <c r="BC166" s="769"/>
      <c r="BD166" s="769"/>
      <c r="BE166" s="769"/>
      <c r="BF166" s="769"/>
      <c r="BG166" s="769"/>
      <c r="BH166" s="769"/>
      <c r="BI166" s="769"/>
      <c r="BJ166" s="769"/>
      <c r="BK166" s="769"/>
      <c r="BL166" s="769"/>
      <c r="BM166" s="769"/>
      <c r="BN166" s="769"/>
      <c r="BO166" s="769"/>
      <c r="BP166" s="769"/>
      <c r="BQ166" s="769"/>
      <c r="BR166" s="769"/>
      <c r="BS166" s="769"/>
      <c r="BT166" s="769"/>
      <c r="BU166" s="769"/>
      <c r="BV166" s="769"/>
      <c r="BW166" s="769"/>
      <c r="BX166" s="769"/>
      <c r="BY166" s="769"/>
      <c r="BZ166" s="769"/>
      <c r="CA166" s="769"/>
      <c r="CB166" s="769"/>
      <c r="CC166" s="769"/>
      <c r="CD166" s="769"/>
      <c r="CE166" s="769"/>
      <c r="CF166" s="769"/>
      <c r="CG166" s="769"/>
      <c r="CH166" s="769"/>
      <c r="CI166" s="769"/>
      <c r="CJ166" s="769"/>
      <c r="CK166" s="769"/>
      <c r="CL166" s="769"/>
      <c r="CM166" s="769"/>
      <c r="CN166" s="769"/>
      <c r="CO166" s="769"/>
      <c r="CP166" s="769"/>
      <c r="CQ166" s="769"/>
      <c r="CR166" s="769"/>
      <c r="CS166" s="769"/>
      <c r="CT166" s="769"/>
      <c r="CU166" s="769"/>
      <c r="CV166" s="769"/>
      <c r="CW166" s="769"/>
      <c r="CX166" s="769"/>
      <c r="CY166" s="769"/>
      <c r="CZ166" s="769"/>
      <c r="DA166" s="769"/>
      <c r="DB166" s="769"/>
      <c r="DC166" s="769"/>
      <c r="DD166" s="769"/>
      <c r="DE166" s="769"/>
      <c r="DF166" s="769"/>
      <c r="DG166" s="769"/>
      <c r="DH166" s="769"/>
      <c r="DI166" s="769"/>
      <c r="DJ166" s="769"/>
      <c r="DK166" s="769"/>
      <c r="DL166" s="769"/>
      <c r="DM166" s="769"/>
      <c r="DN166" s="769"/>
      <c r="DO166" s="769"/>
      <c r="DP166" s="769"/>
      <c r="DQ166" s="769"/>
      <c r="DR166" s="769"/>
      <c r="DS166" s="769"/>
      <c r="DT166" s="769"/>
      <c r="DU166" s="769"/>
      <c r="DV166" s="769"/>
      <c r="DW166" s="769"/>
      <c r="DX166" s="769"/>
      <c r="DY166" s="769"/>
      <c r="DZ166" s="769"/>
      <c r="EA166" s="769"/>
      <c r="EB166" s="769"/>
      <c r="EC166" s="769"/>
      <c r="ED166" s="769"/>
      <c r="EE166" s="769"/>
      <c r="EF166" s="769"/>
      <c r="EG166" s="769"/>
      <c r="EH166" s="769"/>
      <c r="EI166" s="769"/>
      <c r="EJ166" s="769"/>
      <c r="EK166" s="769"/>
      <c r="EL166" s="769"/>
      <c r="EM166" s="769"/>
      <c r="EN166" s="769"/>
      <c r="EO166" s="769"/>
      <c r="EP166" s="769"/>
      <c r="EQ166" s="769"/>
      <c r="ER166" s="769"/>
      <c r="ES166" s="769"/>
      <c r="ET166" s="769"/>
      <c r="EU166" s="769"/>
      <c r="EV166" s="769"/>
      <c r="EW166" s="769"/>
      <c r="EX166" s="769"/>
      <c r="EY166" s="694"/>
      <c r="EZ166" s="811"/>
      <c r="FA166" s="811"/>
      <c r="FB166" s="811"/>
      <c r="FC166" s="811"/>
      <c r="FD166" s="811"/>
      <c r="FE166" s="811"/>
      <c r="FF166" s="811"/>
      <c r="FG166" s="811"/>
      <c r="FH166" s="811"/>
      <c r="FI166" s="811"/>
      <c r="FJ166" s="811"/>
      <c r="FK166" s="811"/>
      <c r="FL166" s="811"/>
    </row>
    <row r="167" spans="1:169" ht="26.4" x14ac:dyDescent="0.25">
      <c r="A167" s="1459" t="s">
        <v>109</v>
      </c>
      <c r="B167" s="115" t="str">
        <f>блюда!B130</f>
        <v>Каша жидкая молочная из манной крупы с маслом и сахаром</v>
      </c>
      <c r="C167" s="250">
        <f>блюда!C130</f>
        <v>220</v>
      </c>
      <c r="D167" s="431">
        <f>блюда!D130</f>
        <v>6.11</v>
      </c>
      <c r="E167" s="431">
        <f>блюда!E130</f>
        <v>10.72</v>
      </c>
      <c r="F167" s="431">
        <f>блюда!F130</f>
        <v>42.36</v>
      </c>
      <c r="G167" s="250">
        <f>блюда!G130</f>
        <v>291</v>
      </c>
      <c r="H167" s="250">
        <f>блюда!H130</f>
        <v>181</v>
      </c>
      <c r="I167" s="431">
        <f>блюда!I130</f>
        <v>17.559999999999999</v>
      </c>
      <c r="J167" s="473">
        <f>блюда!J130</f>
        <v>0</v>
      </c>
      <c r="K167" s="473">
        <f>блюда!K130</f>
        <v>0</v>
      </c>
      <c r="L167" s="473">
        <f>блюда!L130</f>
        <v>0</v>
      </c>
      <c r="M167" s="473">
        <f>блюда!M130</f>
        <v>0</v>
      </c>
      <c r="N167" s="473">
        <f>блюда!N130</f>
        <v>0</v>
      </c>
      <c r="O167" s="473">
        <f>блюда!O130</f>
        <v>0</v>
      </c>
      <c r="P167" s="473">
        <f>блюда!P130</f>
        <v>0</v>
      </c>
      <c r="Q167" s="473">
        <f>блюда!Q130</f>
        <v>0</v>
      </c>
      <c r="R167" s="473">
        <f>блюда!R130</f>
        <v>0</v>
      </c>
      <c r="S167" s="473">
        <f>блюда!S130</f>
        <v>0</v>
      </c>
      <c r="T167" s="473">
        <f>блюда!T130</f>
        <v>0</v>
      </c>
      <c r="U167" s="473">
        <f>блюда!U130</f>
        <v>0.1</v>
      </c>
      <c r="V167" s="473">
        <f>блюда!V130</f>
        <v>0.01</v>
      </c>
      <c r="W167" s="473">
        <f>блюда!W130</f>
        <v>0</v>
      </c>
      <c r="X167" s="473">
        <f>блюда!X130</f>
        <v>0</v>
      </c>
      <c r="Y167" s="473">
        <f>блюда!Y130</f>
        <v>0</v>
      </c>
      <c r="Z167" s="473">
        <f>блюда!Z130</f>
        <v>0</v>
      </c>
      <c r="AA167" s="473">
        <f>блюда!AA130</f>
        <v>0</v>
      </c>
      <c r="AB167" s="473">
        <f>блюда!AB130</f>
        <v>0</v>
      </c>
      <c r="AC167" s="473">
        <f>блюда!AC130</f>
        <v>0</v>
      </c>
      <c r="AD167" s="473">
        <f>блюда!AD130</f>
        <v>0</v>
      </c>
      <c r="AE167" s="473">
        <f>блюда!AE130</f>
        <v>0</v>
      </c>
      <c r="AF167" s="473">
        <f>блюда!AF130</f>
        <v>0</v>
      </c>
      <c r="AG167" s="473">
        <f>блюда!AG130</f>
        <v>0</v>
      </c>
      <c r="AH167" s="473">
        <f>блюда!AH130</f>
        <v>0</v>
      </c>
      <c r="AI167" s="473">
        <f>блюда!AI130</f>
        <v>0</v>
      </c>
      <c r="AJ167" s="473">
        <f>блюда!AJ130</f>
        <v>0</v>
      </c>
      <c r="AK167" s="473">
        <f>блюда!AK130</f>
        <v>0</v>
      </c>
      <c r="AL167" s="473">
        <f>блюда!AL130</f>
        <v>0</v>
      </c>
      <c r="AM167" s="473">
        <f>блюда!AM130</f>
        <v>0</v>
      </c>
      <c r="AN167" s="473">
        <f>блюда!AN130</f>
        <v>0</v>
      </c>
      <c r="AO167" s="473">
        <f>блюда!AO130</f>
        <v>0</v>
      </c>
      <c r="AP167" s="473">
        <f>блюда!AP130</f>
        <v>0</v>
      </c>
      <c r="AQ167" s="473">
        <f>блюда!AQ130</f>
        <v>0</v>
      </c>
      <c r="AR167" s="473">
        <f>блюда!AR130</f>
        <v>0</v>
      </c>
      <c r="AS167" s="473">
        <f>блюда!AS130</f>
        <v>0</v>
      </c>
      <c r="AT167" s="473">
        <f>блюда!AT130</f>
        <v>0</v>
      </c>
      <c r="AU167" s="473">
        <f>блюда!AU130</f>
        <v>0</v>
      </c>
      <c r="AV167" s="473">
        <f>блюда!AV130</f>
        <v>0</v>
      </c>
      <c r="AW167" s="473">
        <f>блюда!AW130</f>
        <v>0</v>
      </c>
      <c r="AX167" s="473">
        <f>блюда!AX130</f>
        <v>0</v>
      </c>
      <c r="AY167" s="473">
        <f>блюда!AY130</f>
        <v>0</v>
      </c>
      <c r="AZ167" s="473">
        <f>блюда!AZ130</f>
        <v>0</v>
      </c>
      <c r="BA167" s="473">
        <f>блюда!BA130</f>
        <v>0</v>
      </c>
      <c r="BB167" s="473">
        <f>блюда!BB130</f>
        <v>0</v>
      </c>
      <c r="BC167" s="473">
        <f>блюда!BC130</f>
        <v>0</v>
      </c>
      <c r="BD167" s="473">
        <f>блюда!BD130</f>
        <v>0</v>
      </c>
      <c r="BE167" s="473">
        <f>блюда!BE130</f>
        <v>0</v>
      </c>
      <c r="BF167" s="473">
        <f>блюда!BF130</f>
        <v>0</v>
      </c>
      <c r="BG167" s="473">
        <f>блюда!BG130</f>
        <v>0</v>
      </c>
      <c r="BH167" s="473">
        <f>блюда!BH130</f>
        <v>0</v>
      </c>
      <c r="BI167" s="473">
        <f>блюда!BI130</f>
        <v>0</v>
      </c>
      <c r="BJ167" s="473">
        <f>блюда!BJ130</f>
        <v>0</v>
      </c>
      <c r="BK167" s="473">
        <f>блюда!BK130</f>
        <v>0</v>
      </c>
      <c r="BL167" s="473">
        <f>блюда!BL130</f>
        <v>0</v>
      </c>
      <c r="BM167" s="473">
        <f>блюда!BM130</f>
        <v>0</v>
      </c>
      <c r="BN167" s="473">
        <f>блюда!BN130</f>
        <v>0</v>
      </c>
      <c r="BO167" s="473">
        <f>блюда!BO130</f>
        <v>0</v>
      </c>
      <c r="BP167" s="473">
        <f>блюда!BP130</f>
        <v>0</v>
      </c>
      <c r="BQ167" s="473">
        <f>блюда!BQ130</f>
        <v>0</v>
      </c>
      <c r="BR167" s="473">
        <f>блюда!BR130</f>
        <v>0</v>
      </c>
      <c r="BS167" s="473">
        <f>блюда!BS130</f>
        <v>0</v>
      </c>
      <c r="BT167" s="473">
        <f>блюда!BT130</f>
        <v>0</v>
      </c>
      <c r="BU167" s="473">
        <f>блюда!BU130</f>
        <v>3.1E-2</v>
      </c>
      <c r="BV167" s="473">
        <f>блюда!BV130</f>
        <v>0</v>
      </c>
      <c r="BW167" s="473">
        <f>блюда!BW130</f>
        <v>0</v>
      </c>
      <c r="BX167" s="473">
        <f>блюда!BX130</f>
        <v>0</v>
      </c>
      <c r="BY167" s="473">
        <f>блюда!BY130</f>
        <v>0</v>
      </c>
      <c r="BZ167" s="473">
        <f>блюда!BZ130</f>
        <v>0</v>
      </c>
      <c r="CA167" s="473">
        <f>блюда!CA130</f>
        <v>0</v>
      </c>
      <c r="CB167" s="473">
        <f>блюда!CB130</f>
        <v>0</v>
      </c>
      <c r="CC167" s="473">
        <f>блюда!CC130</f>
        <v>0</v>
      </c>
      <c r="CD167" s="473">
        <f>блюда!CD130</f>
        <v>0</v>
      </c>
      <c r="CE167" s="473">
        <f>блюда!CE130</f>
        <v>0</v>
      </c>
      <c r="CF167" s="473">
        <f>блюда!CF130</f>
        <v>0</v>
      </c>
      <c r="CG167" s="473">
        <f>блюда!CG130</f>
        <v>0</v>
      </c>
      <c r="CH167" s="473">
        <f>блюда!CH130</f>
        <v>0</v>
      </c>
      <c r="CI167" s="473">
        <f>блюда!CI130</f>
        <v>0</v>
      </c>
      <c r="CJ167" s="473">
        <f>блюда!CJ130</f>
        <v>0</v>
      </c>
      <c r="CK167" s="473">
        <f>блюда!CK130</f>
        <v>0</v>
      </c>
      <c r="CL167" s="473">
        <f>блюда!CL130</f>
        <v>0</v>
      </c>
      <c r="CM167" s="473">
        <f>блюда!CM130</f>
        <v>0</v>
      </c>
      <c r="CN167" s="473">
        <f>блюда!CN130</f>
        <v>0</v>
      </c>
      <c r="CO167" s="473">
        <f>блюда!CO130</f>
        <v>0</v>
      </c>
      <c r="CP167" s="473">
        <f>блюда!CP130</f>
        <v>0</v>
      </c>
      <c r="CQ167" s="473">
        <f>блюда!CQ130</f>
        <v>0</v>
      </c>
      <c r="CR167" s="473">
        <f>блюда!CR130</f>
        <v>0</v>
      </c>
      <c r="CS167" s="473">
        <f>блюда!CS130</f>
        <v>0</v>
      </c>
      <c r="CT167" s="473">
        <f>блюда!CT130</f>
        <v>0</v>
      </c>
      <c r="CU167" s="473">
        <f>блюда!CU130</f>
        <v>0</v>
      </c>
      <c r="CV167" s="473">
        <f>блюда!CV130</f>
        <v>0</v>
      </c>
      <c r="CW167" s="473">
        <f>блюда!CW130</f>
        <v>0</v>
      </c>
      <c r="CX167" s="473">
        <f>блюда!CX130</f>
        <v>0</v>
      </c>
      <c r="CY167" s="473">
        <f>блюда!CY130</f>
        <v>0</v>
      </c>
      <c r="CZ167" s="473">
        <f>блюда!CZ130</f>
        <v>1.6E-2</v>
      </c>
      <c r="DA167" s="473">
        <f>блюда!DA130</f>
        <v>0</v>
      </c>
      <c r="DB167" s="473">
        <f>блюда!DB130</f>
        <v>0</v>
      </c>
      <c r="DC167" s="473">
        <f>блюда!DC130</f>
        <v>0</v>
      </c>
      <c r="DD167" s="473">
        <f>блюда!DD130</f>
        <v>0</v>
      </c>
      <c r="DE167" s="473">
        <f>блюда!DE130</f>
        <v>0</v>
      </c>
      <c r="DF167" s="473">
        <f>блюда!DF130</f>
        <v>0</v>
      </c>
      <c r="DG167" s="473">
        <f>блюда!DG130</f>
        <v>0</v>
      </c>
      <c r="DH167" s="473">
        <f>блюда!DH130</f>
        <v>0</v>
      </c>
      <c r="DI167" s="473">
        <f>блюда!DI130</f>
        <v>0</v>
      </c>
      <c r="DJ167" s="473">
        <f>блюда!DJ130</f>
        <v>0</v>
      </c>
      <c r="DK167" s="473">
        <f>блюда!DK130</f>
        <v>0</v>
      </c>
      <c r="DL167" s="473">
        <f>блюда!DL130</f>
        <v>0</v>
      </c>
      <c r="DM167" s="473">
        <f>блюда!DM130</f>
        <v>0</v>
      </c>
      <c r="DN167" s="473">
        <f>блюда!DN130</f>
        <v>0</v>
      </c>
      <c r="DO167" s="473">
        <f>блюда!DO130</f>
        <v>0</v>
      </c>
      <c r="DP167" s="473">
        <f>блюда!DP130</f>
        <v>0</v>
      </c>
      <c r="DQ167" s="473">
        <f>блюда!DQ130</f>
        <v>0</v>
      </c>
      <c r="DR167" s="473">
        <f>блюда!DR130</f>
        <v>0</v>
      </c>
      <c r="DS167" s="473">
        <f>блюда!DS130</f>
        <v>0</v>
      </c>
      <c r="DT167" s="473">
        <f>блюда!DT130</f>
        <v>0</v>
      </c>
      <c r="DU167" s="473">
        <f>блюда!DU130</f>
        <v>0</v>
      </c>
      <c r="DV167" s="473">
        <f>блюда!DV130</f>
        <v>0</v>
      </c>
      <c r="DW167" s="473">
        <f>блюда!DW130</f>
        <v>0</v>
      </c>
      <c r="DX167" s="473">
        <f>блюда!DX130</f>
        <v>0</v>
      </c>
      <c r="DY167" s="473">
        <f>блюда!DY130</f>
        <v>0</v>
      </c>
      <c r="DZ167" s="473">
        <f>блюда!DZ130</f>
        <v>0</v>
      </c>
      <c r="EA167" s="473">
        <f>блюда!EA130</f>
        <v>0</v>
      </c>
      <c r="EB167" s="473">
        <f>блюда!EB130</f>
        <v>0</v>
      </c>
      <c r="EC167" s="473">
        <f>блюда!EC130</f>
        <v>0</v>
      </c>
      <c r="ED167" s="473">
        <f>блюда!ED130</f>
        <v>0</v>
      </c>
      <c r="EE167" s="473">
        <f>блюда!EE130</f>
        <v>0</v>
      </c>
      <c r="EF167" s="473">
        <f>блюда!EF130</f>
        <v>0</v>
      </c>
      <c r="EG167" s="473">
        <f>блюда!EG130</f>
        <v>0</v>
      </c>
      <c r="EH167" s="473">
        <f>блюда!EH130</f>
        <v>0</v>
      </c>
      <c r="EI167" s="473">
        <f>блюда!EI130</f>
        <v>0</v>
      </c>
      <c r="EJ167" s="473">
        <f>блюда!EJ130</f>
        <v>0</v>
      </c>
      <c r="EK167" s="473">
        <f>блюда!EK130</f>
        <v>0</v>
      </c>
      <c r="EL167" s="473">
        <f>блюда!EL130</f>
        <v>0</v>
      </c>
      <c r="EM167" s="473">
        <f>блюда!EM130</f>
        <v>0</v>
      </c>
      <c r="EN167" s="473">
        <f>блюда!EN130</f>
        <v>0</v>
      </c>
      <c r="EO167" s="473">
        <f>блюда!EO130</f>
        <v>0</v>
      </c>
      <c r="EP167" s="473">
        <f>блюда!EP130</f>
        <v>0</v>
      </c>
      <c r="EQ167" s="473">
        <f>блюда!EQ130</f>
        <v>0</v>
      </c>
      <c r="ER167" s="473">
        <f>блюда!ER130</f>
        <v>0</v>
      </c>
      <c r="ES167" s="473">
        <f>блюда!ES130</f>
        <v>0</v>
      </c>
      <c r="ET167" s="473">
        <f>блюда!ET130</f>
        <v>0</v>
      </c>
      <c r="EU167" s="473">
        <f>блюда!EU130</f>
        <v>0</v>
      </c>
      <c r="EV167" s="473">
        <f>блюда!EV130</f>
        <v>0</v>
      </c>
      <c r="EW167" s="473">
        <f>блюда!EW130</f>
        <v>0</v>
      </c>
      <c r="EX167" s="473">
        <f>блюда!EX130</f>
        <v>0</v>
      </c>
      <c r="EY167" s="927">
        <f>SUM(J167:EX167)</f>
        <v>0.157</v>
      </c>
      <c r="EZ167" s="431">
        <f>блюда!EZ125</f>
        <v>0</v>
      </c>
      <c r="FA167" s="431">
        <f>блюда!FA125</f>
        <v>0</v>
      </c>
      <c r="FB167" s="431">
        <f>блюда!FB125</f>
        <v>0</v>
      </c>
      <c r="FC167" s="431">
        <f>блюда!FC125</f>
        <v>0</v>
      </c>
      <c r="FD167" s="431">
        <f>блюда!FD125</f>
        <v>0</v>
      </c>
      <c r="FE167" s="431">
        <f>блюда!FE125</f>
        <v>0</v>
      </c>
      <c r="FF167" s="431">
        <f>блюда!FF125</f>
        <v>0</v>
      </c>
      <c r="FG167" s="431">
        <f>блюда!FG125</f>
        <v>0</v>
      </c>
      <c r="FH167" s="431">
        <f>блюда!FH125</f>
        <v>0</v>
      </c>
      <c r="FI167" s="431">
        <f>блюда!FI125</f>
        <v>0</v>
      </c>
      <c r="FJ167" s="431">
        <f>блюда!FJ125</f>
        <v>0</v>
      </c>
      <c r="FK167" s="431">
        <f>блюда!FK125</f>
        <v>0</v>
      </c>
      <c r="FL167" s="431">
        <f>блюда!FL125</f>
        <v>0</v>
      </c>
    </row>
    <row r="168" spans="1:169" x14ac:dyDescent="0.25">
      <c r="A168" s="1460"/>
      <c r="B168" s="115" t="str">
        <f>блюда!B13</f>
        <v>Масло сливочное (порциями)</v>
      </c>
      <c r="C168" s="250">
        <f>блюда!C13</f>
        <v>10</v>
      </c>
      <c r="D168" s="431">
        <f>блюда!D13</f>
        <v>0.08</v>
      </c>
      <c r="E168" s="431">
        <f>блюда!E13</f>
        <v>7.25</v>
      </c>
      <c r="F168" s="431">
        <f>блюда!F13</f>
        <v>0.13</v>
      </c>
      <c r="G168" s="250">
        <f>блюда!G13</f>
        <v>66</v>
      </c>
      <c r="H168" s="250">
        <f>блюда!H13</f>
        <v>14</v>
      </c>
      <c r="I168" s="431">
        <f>блюда!I13</f>
        <v>7.1</v>
      </c>
      <c r="J168" s="473">
        <f>блюда!J13</f>
        <v>0</v>
      </c>
      <c r="K168" s="473">
        <f>блюда!K13</f>
        <v>0</v>
      </c>
      <c r="L168" s="473">
        <f>блюда!L13</f>
        <v>0</v>
      </c>
      <c r="M168" s="473">
        <f>блюда!M13</f>
        <v>0</v>
      </c>
      <c r="N168" s="473">
        <f>блюда!N13</f>
        <v>0</v>
      </c>
      <c r="O168" s="473">
        <f>блюда!O13</f>
        <v>0</v>
      </c>
      <c r="P168" s="473">
        <f>блюда!P13</f>
        <v>0</v>
      </c>
      <c r="Q168" s="473">
        <f>блюда!Q13</f>
        <v>0</v>
      </c>
      <c r="R168" s="473">
        <f>блюда!R13</f>
        <v>0</v>
      </c>
      <c r="S168" s="473">
        <f>блюда!S13</f>
        <v>0</v>
      </c>
      <c r="T168" s="473">
        <f>блюда!T13</f>
        <v>0</v>
      </c>
      <c r="U168" s="473">
        <f>блюда!U13</f>
        <v>0</v>
      </c>
      <c r="V168" s="473">
        <f>блюда!V13</f>
        <v>0.01</v>
      </c>
      <c r="W168" s="473">
        <f>блюда!W13</f>
        <v>0</v>
      </c>
      <c r="X168" s="473">
        <f>блюда!X13</f>
        <v>0</v>
      </c>
      <c r="Y168" s="473">
        <f>блюда!Y13</f>
        <v>0</v>
      </c>
      <c r="Z168" s="473">
        <f>блюда!Z13</f>
        <v>0</v>
      </c>
      <c r="AA168" s="473">
        <f>блюда!AA13</f>
        <v>0</v>
      </c>
      <c r="AB168" s="473">
        <f>блюда!AB13</f>
        <v>0</v>
      </c>
      <c r="AC168" s="473">
        <f>блюда!AC13</f>
        <v>0</v>
      </c>
      <c r="AD168" s="473">
        <f>блюда!AD13</f>
        <v>0</v>
      </c>
      <c r="AE168" s="473">
        <f>блюда!AE13</f>
        <v>0</v>
      </c>
      <c r="AF168" s="473">
        <f>блюда!AF13</f>
        <v>0</v>
      </c>
      <c r="AG168" s="473">
        <f>блюда!AG13</f>
        <v>0</v>
      </c>
      <c r="AH168" s="473">
        <f>блюда!AH13</f>
        <v>0</v>
      </c>
      <c r="AI168" s="473">
        <f>блюда!AI13</f>
        <v>0</v>
      </c>
      <c r="AJ168" s="473">
        <f>блюда!AJ13</f>
        <v>0</v>
      </c>
      <c r="AK168" s="473">
        <f>блюда!AK13</f>
        <v>0</v>
      </c>
      <c r="AL168" s="473">
        <f>блюда!AL13</f>
        <v>0</v>
      </c>
      <c r="AM168" s="473">
        <f>блюда!AM13</f>
        <v>0</v>
      </c>
      <c r="AN168" s="473">
        <f>блюда!AN13</f>
        <v>0</v>
      </c>
      <c r="AO168" s="473">
        <f>блюда!AO13</f>
        <v>0</v>
      </c>
      <c r="AP168" s="473">
        <f>блюда!AP13</f>
        <v>0</v>
      </c>
      <c r="AQ168" s="473">
        <f>блюда!AQ13</f>
        <v>0</v>
      </c>
      <c r="AR168" s="473">
        <f>блюда!AR13</f>
        <v>0</v>
      </c>
      <c r="AS168" s="473">
        <f>блюда!AS13</f>
        <v>0</v>
      </c>
      <c r="AT168" s="473">
        <f>блюда!AT13</f>
        <v>0</v>
      </c>
      <c r="AU168" s="473">
        <f>блюда!AU13</f>
        <v>0</v>
      </c>
      <c r="AV168" s="473">
        <f>блюда!AV13</f>
        <v>0</v>
      </c>
      <c r="AW168" s="473">
        <f>блюда!AW13</f>
        <v>0</v>
      </c>
      <c r="AX168" s="473">
        <f>блюда!AX13</f>
        <v>0</v>
      </c>
      <c r="AY168" s="473">
        <f>блюда!AY13</f>
        <v>0</v>
      </c>
      <c r="AZ168" s="473">
        <f>блюда!AZ13</f>
        <v>0</v>
      </c>
      <c r="BA168" s="473">
        <f>блюда!BA13</f>
        <v>0</v>
      </c>
      <c r="BB168" s="473">
        <f>блюда!BB13</f>
        <v>0</v>
      </c>
      <c r="BC168" s="473">
        <f>блюда!BC13</f>
        <v>0</v>
      </c>
      <c r="BD168" s="473">
        <f>блюда!BD13</f>
        <v>0</v>
      </c>
      <c r="BE168" s="473">
        <f>блюда!BE13</f>
        <v>0</v>
      </c>
      <c r="BF168" s="473">
        <f>блюда!BF13</f>
        <v>0</v>
      </c>
      <c r="BG168" s="473">
        <f>блюда!BG13</f>
        <v>0</v>
      </c>
      <c r="BH168" s="473">
        <f>блюда!BH13</f>
        <v>0</v>
      </c>
      <c r="BI168" s="473">
        <f>блюда!BI13</f>
        <v>0</v>
      </c>
      <c r="BJ168" s="473">
        <f>блюда!BJ13</f>
        <v>0</v>
      </c>
      <c r="BK168" s="473">
        <f>блюда!BK13</f>
        <v>0</v>
      </c>
      <c r="BL168" s="473">
        <f>блюда!BL13</f>
        <v>0</v>
      </c>
      <c r="BM168" s="473">
        <f>блюда!BM13</f>
        <v>0</v>
      </c>
      <c r="BN168" s="473">
        <f>блюда!BN13</f>
        <v>0</v>
      </c>
      <c r="BO168" s="473">
        <f>блюда!BO13</f>
        <v>0</v>
      </c>
      <c r="BP168" s="473">
        <f>блюда!BP13</f>
        <v>0</v>
      </c>
      <c r="BQ168" s="473">
        <f>блюда!BQ13</f>
        <v>0</v>
      </c>
      <c r="BR168" s="473">
        <f>блюда!BR13</f>
        <v>0</v>
      </c>
      <c r="BS168" s="473">
        <f>блюда!BS13</f>
        <v>0</v>
      </c>
      <c r="BT168" s="473">
        <f>блюда!BT13</f>
        <v>0</v>
      </c>
      <c r="BU168" s="473">
        <f>блюда!BU13</f>
        <v>0</v>
      </c>
      <c r="BV168" s="473">
        <f>блюда!BV13</f>
        <v>0</v>
      </c>
      <c r="BW168" s="473">
        <f>блюда!BW13</f>
        <v>0</v>
      </c>
      <c r="BX168" s="473">
        <f>блюда!BX13</f>
        <v>0</v>
      </c>
      <c r="BY168" s="473">
        <f>блюда!BY13</f>
        <v>0</v>
      </c>
      <c r="BZ168" s="473">
        <f>блюда!BZ13</f>
        <v>0</v>
      </c>
      <c r="CA168" s="473">
        <f>блюда!CA13</f>
        <v>0</v>
      </c>
      <c r="CB168" s="473">
        <f>блюда!CB13</f>
        <v>0</v>
      </c>
      <c r="CC168" s="473">
        <f>блюда!CC13</f>
        <v>0</v>
      </c>
      <c r="CD168" s="473">
        <f>блюда!CD13</f>
        <v>0</v>
      </c>
      <c r="CE168" s="473">
        <f>блюда!CE13</f>
        <v>0</v>
      </c>
      <c r="CF168" s="473">
        <f>блюда!CF13</f>
        <v>0</v>
      </c>
      <c r="CG168" s="473">
        <f>блюда!CG13</f>
        <v>0</v>
      </c>
      <c r="CH168" s="473">
        <f>блюда!CH13</f>
        <v>0</v>
      </c>
      <c r="CI168" s="473">
        <f>блюда!CI13</f>
        <v>0</v>
      </c>
      <c r="CJ168" s="473">
        <f>блюда!CJ13</f>
        <v>0</v>
      </c>
      <c r="CK168" s="473">
        <f>блюда!CK13</f>
        <v>0</v>
      </c>
      <c r="CL168" s="473">
        <f>блюда!CL13</f>
        <v>0</v>
      </c>
      <c r="CM168" s="473">
        <f>блюда!CM13</f>
        <v>0</v>
      </c>
      <c r="CN168" s="473">
        <f>блюда!CN13</f>
        <v>0</v>
      </c>
      <c r="CO168" s="473">
        <f>блюда!CO13</f>
        <v>0</v>
      </c>
      <c r="CP168" s="473">
        <f>блюда!CP13</f>
        <v>0</v>
      </c>
      <c r="CQ168" s="473">
        <f>блюда!CQ13</f>
        <v>0</v>
      </c>
      <c r="CR168" s="473">
        <f>блюда!CR13</f>
        <v>0</v>
      </c>
      <c r="CS168" s="473">
        <f>блюда!CS13</f>
        <v>0</v>
      </c>
      <c r="CT168" s="473">
        <f>блюда!CT13</f>
        <v>0</v>
      </c>
      <c r="CU168" s="473">
        <f>блюда!CU13</f>
        <v>0</v>
      </c>
      <c r="CV168" s="473">
        <f>блюда!CV13</f>
        <v>0</v>
      </c>
      <c r="CW168" s="473">
        <f>блюда!CW13</f>
        <v>0</v>
      </c>
      <c r="CX168" s="473">
        <f>блюда!CX13</f>
        <v>0</v>
      </c>
      <c r="CY168" s="473">
        <f>блюда!CY13</f>
        <v>0</v>
      </c>
      <c r="CZ168" s="473">
        <f>блюда!CZ13</f>
        <v>0</v>
      </c>
      <c r="DA168" s="473">
        <f>блюда!DA13</f>
        <v>0</v>
      </c>
      <c r="DB168" s="473">
        <f>блюда!DB13</f>
        <v>0</v>
      </c>
      <c r="DC168" s="473">
        <f>блюда!DC13</f>
        <v>0</v>
      </c>
      <c r="DD168" s="473">
        <f>блюда!DD13</f>
        <v>0</v>
      </c>
      <c r="DE168" s="473">
        <f>блюда!DE13</f>
        <v>0</v>
      </c>
      <c r="DF168" s="473">
        <f>блюда!DF13</f>
        <v>0</v>
      </c>
      <c r="DG168" s="473">
        <f>блюда!DG13</f>
        <v>0</v>
      </c>
      <c r="DH168" s="473">
        <f>блюда!DH13</f>
        <v>0</v>
      </c>
      <c r="DI168" s="473">
        <f>блюда!DI13</f>
        <v>0</v>
      </c>
      <c r="DJ168" s="473">
        <f>блюда!DJ13</f>
        <v>0</v>
      </c>
      <c r="DK168" s="473">
        <f>блюда!DK13</f>
        <v>0</v>
      </c>
      <c r="DL168" s="473">
        <f>блюда!DL13</f>
        <v>0</v>
      </c>
      <c r="DM168" s="473">
        <f>блюда!DM13</f>
        <v>0</v>
      </c>
      <c r="DN168" s="473">
        <f>блюда!DN13</f>
        <v>0</v>
      </c>
      <c r="DO168" s="473">
        <f>блюда!DO13</f>
        <v>0</v>
      </c>
      <c r="DP168" s="473">
        <f>блюда!DP13</f>
        <v>0</v>
      </c>
      <c r="DQ168" s="473">
        <f>блюда!DQ13</f>
        <v>0</v>
      </c>
      <c r="DR168" s="473">
        <f>блюда!DR13</f>
        <v>0</v>
      </c>
      <c r="DS168" s="473">
        <f>блюда!DS13</f>
        <v>0</v>
      </c>
      <c r="DT168" s="473">
        <f>блюда!DT13</f>
        <v>0</v>
      </c>
      <c r="DU168" s="473">
        <f>блюда!DU13</f>
        <v>0</v>
      </c>
      <c r="DV168" s="473">
        <f>блюда!DV13</f>
        <v>0</v>
      </c>
      <c r="DW168" s="473">
        <f>блюда!DW13</f>
        <v>0</v>
      </c>
      <c r="DX168" s="473">
        <f>блюда!DX13</f>
        <v>0</v>
      </c>
      <c r="DY168" s="473">
        <f>блюда!DY13</f>
        <v>0</v>
      </c>
      <c r="DZ168" s="473">
        <f>блюда!DZ13</f>
        <v>0</v>
      </c>
      <c r="EA168" s="473">
        <f>блюда!EA13</f>
        <v>0</v>
      </c>
      <c r="EB168" s="473">
        <f>блюда!EB13</f>
        <v>0</v>
      </c>
      <c r="EC168" s="473">
        <f>блюда!EC13</f>
        <v>0</v>
      </c>
      <c r="ED168" s="473">
        <f>блюда!ED13</f>
        <v>0</v>
      </c>
      <c r="EE168" s="473">
        <f>блюда!EE13</f>
        <v>0</v>
      </c>
      <c r="EF168" s="473">
        <f>блюда!EF13</f>
        <v>0</v>
      </c>
      <c r="EG168" s="473">
        <f>блюда!EG13</f>
        <v>0</v>
      </c>
      <c r="EH168" s="473">
        <f>блюда!EH13</f>
        <v>0</v>
      </c>
      <c r="EI168" s="473">
        <f>блюда!EI13</f>
        <v>0</v>
      </c>
      <c r="EJ168" s="473">
        <f>блюда!EJ13</f>
        <v>0</v>
      </c>
      <c r="EK168" s="473">
        <f>блюда!EK13</f>
        <v>0</v>
      </c>
      <c r="EL168" s="473">
        <f>блюда!EL13</f>
        <v>0</v>
      </c>
      <c r="EM168" s="473">
        <f>блюда!EM13</f>
        <v>0</v>
      </c>
      <c r="EN168" s="473">
        <f>блюда!EN13</f>
        <v>0</v>
      </c>
      <c r="EO168" s="473">
        <f>блюда!EO13</f>
        <v>0</v>
      </c>
      <c r="EP168" s="473">
        <f>блюда!EP13</f>
        <v>0</v>
      </c>
      <c r="EQ168" s="473">
        <f>блюда!EQ13</f>
        <v>0</v>
      </c>
      <c r="ER168" s="473">
        <f>блюда!ER13</f>
        <v>0</v>
      </c>
      <c r="ES168" s="473">
        <f>блюда!ES13</f>
        <v>0</v>
      </c>
      <c r="ET168" s="473">
        <f>блюда!ET13</f>
        <v>0</v>
      </c>
      <c r="EU168" s="473">
        <f>блюда!EU13</f>
        <v>0</v>
      </c>
      <c r="EV168" s="473">
        <f>блюда!EV13</f>
        <v>0</v>
      </c>
      <c r="EW168" s="473">
        <f>блюда!EW13</f>
        <v>0</v>
      </c>
      <c r="EX168" s="473">
        <f>блюда!EX13</f>
        <v>0</v>
      </c>
      <c r="EY168" s="927">
        <f t="shared" ref="EY168:EY175" si="110">SUM(J168:EX168)</f>
        <v>0.01</v>
      </c>
      <c r="EZ168" s="431">
        <f>блюда!EZ287</f>
        <v>0</v>
      </c>
      <c r="FA168" s="431">
        <f>блюда!FA287</f>
        <v>0</v>
      </c>
      <c r="FB168" s="431">
        <f>блюда!FB287</f>
        <v>0</v>
      </c>
      <c r="FC168" s="431">
        <f>блюда!FC287</f>
        <v>0</v>
      </c>
      <c r="FD168" s="431">
        <f>блюда!FD287</f>
        <v>0</v>
      </c>
      <c r="FE168" s="431">
        <f>блюда!FE287</f>
        <v>0</v>
      </c>
      <c r="FF168" s="431">
        <f>блюда!FF287</f>
        <v>0</v>
      </c>
      <c r="FG168" s="431">
        <f>блюда!FG287</f>
        <v>0</v>
      </c>
      <c r="FH168" s="431">
        <f>блюда!FH287</f>
        <v>0</v>
      </c>
      <c r="FI168" s="431">
        <f>блюда!FI287</f>
        <v>0</v>
      </c>
      <c r="FJ168" s="431">
        <f>блюда!FJ287</f>
        <v>0</v>
      </c>
      <c r="FK168" s="431">
        <f>блюда!FK287</f>
        <v>0</v>
      </c>
      <c r="FL168" s="431">
        <f>блюда!FL287</f>
        <v>0</v>
      </c>
    </row>
    <row r="169" spans="1:169" x14ac:dyDescent="0.25">
      <c r="A169" s="1460"/>
      <c r="B169" s="115" t="str">
        <f>блюда!B15</f>
        <v xml:space="preserve">Сыр российский (порциями) </v>
      </c>
      <c r="C169" s="250">
        <f>блюда!C15</f>
        <v>15</v>
      </c>
      <c r="D169" s="431">
        <f>блюда!D15</f>
        <v>3.48</v>
      </c>
      <c r="E169" s="431">
        <f>блюда!E15</f>
        <v>4.43</v>
      </c>
      <c r="F169" s="431">
        <f>блюда!F15</f>
        <v>1</v>
      </c>
      <c r="G169" s="250">
        <f>блюда!G15</f>
        <v>54</v>
      </c>
      <c r="H169" s="250">
        <f>блюда!H15</f>
        <v>15</v>
      </c>
      <c r="I169" s="431">
        <f>блюда!I15</f>
        <v>11.5</v>
      </c>
      <c r="J169" s="473">
        <f>блюда!J15</f>
        <v>0</v>
      </c>
      <c r="K169" s="473">
        <f>блюда!K15</f>
        <v>0</v>
      </c>
      <c r="L169" s="473">
        <f>блюда!L15</f>
        <v>0</v>
      </c>
      <c r="M169" s="473">
        <f>блюда!M15</f>
        <v>0</v>
      </c>
      <c r="N169" s="473">
        <f>блюда!N15</f>
        <v>0</v>
      </c>
      <c r="O169" s="473">
        <f>блюда!O15</f>
        <v>0</v>
      </c>
      <c r="P169" s="473">
        <f>блюда!P15</f>
        <v>0</v>
      </c>
      <c r="Q169" s="473">
        <f>блюда!Q15</f>
        <v>0</v>
      </c>
      <c r="R169" s="473">
        <f>блюда!R15</f>
        <v>0</v>
      </c>
      <c r="S169" s="473">
        <f>блюда!S15</f>
        <v>0</v>
      </c>
      <c r="T169" s="473">
        <f>блюда!T15</f>
        <v>0</v>
      </c>
      <c r="U169" s="473">
        <f>блюда!U15</f>
        <v>0</v>
      </c>
      <c r="V169" s="473">
        <f>блюда!V15</f>
        <v>0</v>
      </c>
      <c r="W169" s="473">
        <f>блюда!W15</f>
        <v>1.6E-2</v>
      </c>
      <c r="X169" s="473">
        <f>блюда!X15</f>
        <v>0</v>
      </c>
      <c r="Y169" s="473">
        <f>блюда!Y15</f>
        <v>0</v>
      </c>
      <c r="Z169" s="473">
        <f>блюда!Z15</f>
        <v>0</v>
      </c>
      <c r="AA169" s="473">
        <f>блюда!AA15</f>
        <v>0</v>
      </c>
      <c r="AB169" s="473">
        <f>блюда!AB15</f>
        <v>0</v>
      </c>
      <c r="AC169" s="473">
        <f>блюда!AC15</f>
        <v>0</v>
      </c>
      <c r="AD169" s="473">
        <f>блюда!AD15</f>
        <v>0</v>
      </c>
      <c r="AE169" s="473">
        <f>блюда!AE15</f>
        <v>0</v>
      </c>
      <c r="AF169" s="473">
        <f>блюда!AF15</f>
        <v>0</v>
      </c>
      <c r="AG169" s="473">
        <f>блюда!AG15</f>
        <v>0</v>
      </c>
      <c r="AH169" s="473">
        <f>блюда!AH15</f>
        <v>0</v>
      </c>
      <c r="AI169" s="473">
        <f>блюда!AI15</f>
        <v>0</v>
      </c>
      <c r="AJ169" s="473">
        <f>блюда!AJ15</f>
        <v>0</v>
      </c>
      <c r="AK169" s="473">
        <f>блюда!AK15</f>
        <v>0</v>
      </c>
      <c r="AL169" s="473">
        <f>блюда!AL15</f>
        <v>0</v>
      </c>
      <c r="AM169" s="473">
        <f>блюда!AM15</f>
        <v>0</v>
      </c>
      <c r="AN169" s="473">
        <f>блюда!AN15</f>
        <v>0</v>
      </c>
      <c r="AO169" s="473">
        <f>блюда!AO15</f>
        <v>0</v>
      </c>
      <c r="AP169" s="473">
        <f>блюда!AP15</f>
        <v>0</v>
      </c>
      <c r="AQ169" s="473">
        <f>блюда!AQ15</f>
        <v>0</v>
      </c>
      <c r="AR169" s="473">
        <f>блюда!AR15</f>
        <v>0</v>
      </c>
      <c r="AS169" s="473">
        <f>блюда!AS15</f>
        <v>0</v>
      </c>
      <c r="AT169" s="473">
        <f>блюда!AT15</f>
        <v>0</v>
      </c>
      <c r="AU169" s="473">
        <f>блюда!AU15</f>
        <v>0</v>
      </c>
      <c r="AV169" s="473">
        <f>блюда!AV15</f>
        <v>0</v>
      </c>
      <c r="AW169" s="473">
        <f>блюда!AW15</f>
        <v>0</v>
      </c>
      <c r="AX169" s="473">
        <f>блюда!AX15</f>
        <v>0</v>
      </c>
      <c r="AY169" s="473">
        <f>блюда!AY15</f>
        <v>0</v>
      </c>
      <c r="AZ169" s="473">
        <f>блюда!AZ15</f>
        <v>0</v>
      </c>
      <c r="BA169" s="473">
        <f>блюда!BA15</f>
        <v>0</v>
      </c>
      <c r="BB169" s="473">
        <f>блюда!BB15</f>
        <v>0</v>
      </c>
      <c r="BC169" s="473">
        <f>блюда!BC15</f>
        <v>0</v>
      </c>
      <c r="BD169" s="473">
        <f>блюда!BD15</f>
        <v>0</v>
      </c>
      <c r="BE169" s="473">
        <f>блюда!BE15</f>
        <v>0</v>
      </c>
      <c r="BF169" s="473">
        <f>блюда!BF15</f>
        <v>0</v>
      </c>
      <c r="BG169" s="473">
        <f>блюда!BG15</f>
        <v>0</v>
      </c>
      <c r="BH169" s="473">
        <f>блюда!BH15</f>
        <v>0</v>
      </c>
      <c r="BI169" s="473">
        <f>блюда!BI15</f>
        <v>0</v>
      </c>
      <c r="BJ169" s="473">
        <f>блюда!BJ15</f>
        <v>0</v>
      </c>
      <c r="BK169" s="473">
        <f>блюда!BK15</f>
        <v>0</v>
      </c>
      <c r="BL169" s="473">
        <f>блюда!BL15</f>
        <v>0</v>
      </c>
      <c r="BM169" s="473">
        <f>блюда!BM15</f>
        <v>0</v>
      </c>
      <c r="BN169" s="473">
        <f>блюда!BN15</f>
        <v>0</v>
      </c>
      <c r="BO169" s="473">
        <f>блюда!BO15</f>
        <v>0</v>
      </c>
      <c r="BP169" s="473">
        <f>блюда!BP15</f>
        <v>0</v>
      </c>
      <c r="BQ169" s="473">
        <f>блюда!BQ15</f>
        <v>0</v>
      </c>
      <c r="BR169" s="473">
        <f>блюда!BR15</f>
        <v>0</v>
      </c>
      <c r="BS169" s="473">
        <f>блюда!BS15</f>
        <v>0</v>
      </c>
      <c r="BT169" s="473">
        <f>блюда!BT15</f>
        <v>0</v>
      </c>
      <c r="BU169" s="473">
        <f>блюда!BU15</f>
        <v>0</v>
      </c>
      <c r="BV169" s="473">
        <f>блюда!BV15</f>
        <v>0</v>
      </c>
      <c r="BW169" s="473">
        <f>блюда!BW15</f>
        <v>0</v>
      </c>
      <c r="BX169" s="473">
        <f>блюда!BX15</f>
        <v>0</v>
      </c>
      <c r="BY169" s="473">
        <f>блюда!BY15</f>
        <v>0</v>
      </c>
      <c r="BZ169" s="473">
        <f>блюда!BZ15</f>
        <v>0</v>
      </c>
      <c r="CA169" s="473">
        <f>блюда!CA15</f>
        <v>0</v>
      </c>
      <c r="CB169" s="473">
        <f>блюда!CB15</f>
        <v>0</v>
      </c>
      <c r="CC169" s="473">
        <f>блюда!CC15</f>
        <v>0</v>
      </c>
      <c r="CD169" s="473">
        <f>блюда!CD15</f>
        <v>0</v>
      </c>
      <c r="CE169" s="473">
        <f>блюда!CE15</f>
        <v>0</v>
      </c>
      <c r="CF169" s="473">
        <f>блюда!CF15</f>
        <v>0</v>
      </c>
      <c r="CG169" s="473">
        <f>блюда!CG15</f>
        <v>0</v>
      </c>
      <c r="CH169" s="473">
        <f>блюда!CH15</f>
        <v>0</v>
      </c>
      <c r="CI169" s="473">
        <f>блюда!CI15</f>
        <v>0</v>
      </c>
      <c r="CJ169" s="473">
        <f>блюда!CJ15</f>
        <v>0</v>
      </c>
      <c r="CK169" s="473">
        <f>блюда!CK15</f>
        <v>0</v>
      </c>
      <c r="CL169" s="473">
        <f>блюда!CL15</f>
        <v>0</v>
      </c>
      <c r="CM169" s="473">
        <f>блюда!CM15</f>
        <v>0</v>
      </c>
      <c r="CN169" s="473">
        <f>блюда!CN15</f>
        <v>0</v>
      </c>
      <c r="CO169" s="473">
        <f>блюда!CO15</f>
        <v>0</v>
      </c>
      <c r="CP169" s="473">
        <f>блюда!CP15</f>
        <v>0</v>
      </c>
      <c r="CQ169" s="473">
        <f>блюда!CQ15</f>
        <v>0</v>
      </c>
      <c r="CR169" s="473">
        <f>блюда!CR15</f>
        <v>0</v>
      </c>
      <c r="CS169" s="473">
        <f>блюда!CS15</f>
        <v>0</v>
      </c>
      <c r="CT169" s="473">
        <f>блюда!CT15</f>
        <v>0</v>
      </c>
      <c r="CU169" s="473">
        <f>блюда!CU15</f>
        <v>0</v>
      </c>
      <c r="CV169" s="473">
        <f>блюда!CV15</f>
        <v>0</v>
      </c>
      <c r="CW169" s="473">
        <f>блюда!CW15</f>
        <v>0</v>
      </c>
      <c r="CX169" s="473">
        <f>блюда!CX15</f>
        <v>0</v>
      </c>
      <c r="CY169" s="473">
        <f>блюда!CY15</f>
        <v>0</v>
      </c>
      <c r="CZ169" s="473">
        <f>блюда!CZ15</f>
        <v>0</v>
      </c>
      <c r="DA169" s="473">
        <f>блюда!DA15</f>
        <v>0</v>
      </c>
      <c r="DB169" s="473">
        <f>блюда!DB15</f>
        <v>0</v>
      </c>
      <c r="DC169" s="473">
        <f>блюда!DC15</f>
        <v>0</v>
      </c>
      <c r="DD169" s="473">
        <f>блюда!DD15</f>
        <v>0</v>
      </c>
      <c r="DE169" s="473">
        <f>блюда!DE15</f>
        <v>0</v>
      </c>
      <c r="DF169" s="473">
        <f>блюда!DF15</f>
        <v>0</v>
      </c>
      <c r="DG169" s="473">
        <f>блюда!DG15</f>
        <v>0</v>
      </c>
      <c r="DH169" s="473">
        <f>блюда!DH15</f>
        <v>0</v>
      </c>
      <c r="DI169" s="473">
        <f>блюда!DI15</f>
        <v>0</v>
      </c>
      <c r="DJ169" s="473">
        <f>блюда!DJ15</f>
        <v>0</v>
      </c>
      <c r="DK169" s="473">
        <f>блюда!DK15</f>
        <v>0</v>
      </c>
      <c r="DL169" s="473">
        <f>блюда!DL15</f>
        <v>0</v>
      </c>
      <c r="DM169" s="473">
        <f>блюда!DM15</f>
        <v>0</v>
      </c>
      <c r="DN169" s="473">
        <f>блюда!DN15</f>
        <v>0</v>
      </c>
      <c r="DO169" s="473">
        <f>блюда!DO15</f>
        <v>0</v>
      </c>
      <c r="DP169" s="473">
        <f>блюда!DP15</f>
        <v>0</v>
      </c>
      <c r="DQ169" s="473">
        <f>блюда!DQ15</f>
        <v>0</v>
      </c>
      <c r="DR169" s="473">
        <f>блюда!DR15</f>
        <v>0</v>
      </c>
      <c r="DS169" s="473">
        <f>блюда!DS15</f>
        <v>0</v>
      </c>
      <c r="DT169" s="473">
        <f>блюда!DT15</f>
        <v>0</v>
      </c>
      <c r="DU169" s="473">
        <f>блюда!DU15</f>
        <v>0</v>
      </c>
      <c r="DV169" s="473">
        <f>блюда!DV15</f>
        <v>0</v>
      </c>
      <c r="DW169" s="473">
        <f>блюда!DW15</f>
        <v>0</v>
      </c>
      <c r="DX169" s="473">
        <f>блюда!DX15</f>
        <v>0</v>
      </c>
      <c r="DY169" s="473">
        <f>блюда!DY15</f>
        <v>0</v>
      </c>
      <c r="DZ169" s="473">
        <f>блюда!DZ15</f>
        <v>0</v>
      </c>
      <c r="EA169" s="473">
        <f>блюда!EA15</f>
        <v>0</v>
      </c>
      <c r="EB169" s="473">
        <f>блюда!EB15</f>
        <v>0</v>
      </c>
      <c r="EC169" s="473">
        <f>блюда!EC15</f>
        <v>0</v>
      </c>
      <c r="ED169" s="473">
        <f>блюда!ED15</f>
        <v>0</v>
      </c>
      <c r="EE169" s="473">
        <f>блюда!EE15</f>
        <v>0</v>
      </c>
      <c r="EF169" s="473">
        <f>блюда!EF15</f>
        <v>0</v>
      </c>
      <c r="EG169" s="473">
        <f>блюда!EG15</f>
        <v>0</v>
      </c>
      <c r="EH169" s="473">
        <f>блюда!EH15</f>
        <v>0</v>
      </c>
      <c r="EI169" s="473">
        <f>блюда!EI15</f>
        <v>0</v>
      </c>
      <c r="EJ169" s="473">
        <f>блюда!EJ15</f>
        <v>0</v>
      </c>
      <c r="EK169" s="473">
        <f>блюда!EK15</f>
        <v>0</v>
      </c>
      <c r="EL169" s="473">
        <f>блюда!EL15</f>
        <v>0</v>
      </c>
      <c r="EM169" s="473">
        <f>блюда!EM15</f>
        <v>0</v>
      </c>
      <c r="EN169" s="473">
        <f>блюда!EN15</f>
        <v>0</v>
      </c>
      <c r="EO169" s="473">
        <f>блюда!EO15</f>
        <v>0</v>
      </c>
      <c r="EP169" s="473">
        <f>блюда!EP15</f>
        <v>0</v>
      </c>
      <c r="EQ169" s="473">
        <f>блюда!EQ15</f>
        <v>0</v>
      </c>
      <c r="ER169" s="473">
        <f>блюда!ER15</f>
        <v>0</v>
      </c>
      <c r="ES169" s="473">
        <f>блюда!ES15</f>
        <v>0</v>
      </c>
      <c r="ET169" s="473">
        <f>блюда!ET15</f>
        <v>0</v>
      </c>
      <c r="EU169" s="473">
        <f>блюда!EU15</f>
        <v>0</v>
      </c>
      <c r="EV169" s="473">
        <f>блюда!EV15</f>
        <v>0</v>
      </c>
      <c r="EW169" s="473">
        <f>блюда!EW15</f>
        <v>0</v>
      </c>
      <c r="EX169" s="473">
        <f>блюда!EX15</f>
        <v>0</v>
      </c>
      <c r="EY169" s="927">
        <f t="shared" si="110"/>
        <v>1.6E-2</v>
      </c>
      <c r="EZ169" s="431">
        <f>блюда!EZ332</f>
        <v>0</v>
      </c>
      <c r="FA169" s="431">
        <f>блюда!FA332</f>
        <v>0</v>
      </c>
      <c r="FB169" s="431">
        <f>блюда!FB332</f>
        <v>0</v>
      </c>
      <c r="FC169" s="431">
        <f>блюда!FC332</f>
        <v>0</v>
      </c>
      <c r="FD169" s="431">
        <f>блюда!FD332</f>
        <v>0</v>
      </c>
      <c r="FE169" s="431">
        <f>блюда!FE332</f>
        <v>0</v>
      </c>
      <c r="FF169" s="431">
        <f>блюда!FF332</f>
        <v>0</v>
      </c>
      <c r="FG169" s="431">
        <f>блюда!FG332</f>
        <v>0</v>
      </c>
      <c r="FH169" s="431">
        <f>блюда!FH332</f>
        <v>0</v>
      </c>
      <c r="FI169" s="431">
        <f>блюда!FI332</f>
        <v>0</v>
      </c>
      <c r="FJ169" s="431">
        <f>блюда!FJ332</f>
        <v>0</v>
      </c>
      <c r="FK169" s="431">
        <f>блюда!FK332</f>
        <v>0</v>
      </c>
      <c r="FL169" s="431">
        <f>блюда!FL332</f>
        <v>0</v>
      </c>
    </row>
    <row r="170" spans="1:169" x14ac:dyDescent="0.25">
      <c r="A170" s="1460"/>
      <c r="B170" s="115" t="str">
        <f>блюда!B332</f>
        <v>Хлеб пшеничный нарезной</v>
      </c>
      <c r="C170" s="250">
        <f>блюда!C332</f>
        <v>30</v>
      </c>
      <c r="D170" s="431">
        <f>блюда!D332</f>
        <v>3.21</v>
      </c>
      <c r="E170" s="431">
        <f>блюда!E332</f>
        <v>1.35</v>
      </c>
      <c r="F170" s="431">
        <f>блюда!F332</f>
        <v>13.05</v>
      </c>
      <c r="G170" s="250">
        <f>блюда!G332</f>
        <v>82</v>
      </c>
      <c r="H170" s="250" t="str">
        <f>блюда!H332</f>
        <v>ПРОМ</v>
      </c>
      <c r="I170" s="431">
        <f>блюда!I332</f>
        <v>1.95</v>
      </c>
      <c r="J170" s="473">
        <f>блюда!J332</f>
        <v>0</v>
      </c>
      <c r="K170" s="473">
        <f>блюда!K332</f>
        <v>0</v>
      </c>
      <c r="L170" s="473">
        <f>блюда!L332</f>
        <v>0</v>
      </c>
      <c r="M170" s="473">
        <f>блюда!M332</f>
        <v>0</v>
      </c>
      <c r="N170" s="473">
        <f>блюда!N332</f>
        <v>0</v>
      </c>
      <c r="O170" s="473">
        <f>блюда!O332</f>
        <v>0</v>
      </c>
      <c r="P170" s="473">
        <f>блюда!P332</f>
        <v>0</v>
      </c>
      <c r="Q170" s="473">
        <f>блюда!Q332</f>
        <v>0</v>
      </c>
      <c r="R170" s="473">
        <f>блюда!R332</f>
        <v>0</v>
      </c>
      <c r="S170" s="473">
        <f>блюда!S332</f>
        <v>0</v>
      </c>
      <c r="T170" s="473">
        <f>блюда!T332</f>
        <v>0</v>
      </c>
      <c r="U170" s="473">
        <f>блюда!U332</f>
        <v>0</v>
      </c>
      <c r="V170" s="473">
        <f>блюда!V332</f>
        <v>0</v>
      </c>
      <c r="W170" s="473">
        <f>блюда!W332</f>
        <v>0</v>
      </c>
      <c r="X170" s="473">
        <f>блюда!X332</f>
        <v>0</v>
      </c>
      <c r="Y170" s="473">
        <f>блюда!Y332</f>
        <v>0</v>
      </c>
      <c r="Z170" s="473">
        <f>блюда!Z332</f>
        <v>0</v>
      </c>
      <c r="AA170" s="473">
        <f>блюда!AA332</f>
        <v>0</v>
      </c>
      <c r="AB170" s="473">
        <f>блюда!AB332</f>
        <v>0</v>
      </c>
      <c r="AC170" s="473">
        <f>блюда!AC332</f>
        <v>0</v>
      </c>
      <c r="AD170" s="473">
        <f>блюда!AD332</f>
        <v>0</v>
      </c>
      <c r="AE170" s="473">
        <f>блюда!AE332</f>
        <v>0</v>
      </c>
      <c r="AF170" s="473">
        <f>блюда!AF332</f>
        <v>0</v>
      </c>
      <c r="AG170" s="473">
        <f>блюда!AG332</f>
        <v>0</v>
      </c>
      <c r="AH170" s="473">
        <f>блюда!AH332</f>
        <v>0</v>
      </c>
      <c r="AI170" s="473">
        <f>блюда!AI332</f>
        <v>0</v>
      </c>
      <c r="AJ170" s="473">
        <f>блюда!AJ332</f>
        <v>0</v>
      </c>
      <c r="AK170" s="473">
        <f>блюда!AK332</f>
        <v>0</v>
      </c>
      <c r="AL170" s="473">
        <f>блюда!AL332</f>
        <v>0</v>
      </c>
      <c r="AM170" s="473">
        <f>блюда!AM332</f>
        <v>0</v>
      </c>
      <c r="AN170" s="473">
        <f>блюда!AN332</f>
        <v>0</v>
      </c>
      <c r="AO170" s="473">
        <f>блюда!AO332</f>
        <v>0</v>
      </c>
      <c r="AP170" s="473">
        <f>блюда!AP332</f>
        <v>0</v>
      </c>
      <c r="AQ170" s="473">
        <f>блюда!AQ332</f>
        <v>0</v>
      </c>
      <c r="AR170" s="473">
        <f>блюда!AR332</f>
        <v>0</v>
      </c>
      <c r="AS170" s="473">
        <f>блюда!AS332</f>
        <v>0</v>
      </c>
      <c r="AT170" s="473">
        <f>блюда!AT332</f>
        <v>0</v>
      </c>
      <c r="AU170" s="473">
        <f>блюда!AU332</f>
        <v>0</v>
      </c>
      <c r="AV170" s="473">
        <f>блюда!AV332</f>
        <v>0</v>
      </c>
      <c r="AW170" s="473">
        <f>блюда!AW332</f>
        <v>0</v>
      </c>
      <c r="AX170" s="473">
        <f>блюда!AX332</f>
        <v>0</v>
      </c>
      <c r="AY170" s="473">
        <f>блюда!AY332</f>
        <v>0</v>
      </c>
      <c r="AZ170" s="473">
        <f>блюда!AZ332</f>
        <v>0</v>
      </c>
      <c r="BA170" s="473">
        <f>блюда!BA332</f>
        <v>0</v>
      </c>
      <c r="BB170" s="473">
        <f>блюда!BB332</f>
        <v>0</v>
      </c>
      <c r="BC170" s="473">
        <f>блюда!BC332</f>
        <v>0</v>
      </c>
      <c r="BD170" s="473">
        <f>блюда!BD332</f>
        <v>0</v>
      </c>
      <c r="BE170" s="473">
        <f>блюда!BE332</f>
        <v>0</v>
      </c>
      <c r="BF170" s="473">
        <f>блюда!BF332</f>
        <v>0</v>
      </c>
      <c r="BG170" s="473">
        <f>блюда!BG332</f>
        <v>0</v>
      </c>
      <c r="BH170" s="473">
        <f>блюда!BH332</f>
        <v>0</v>
      </c>
      <c r="BI170" s="473">
        <f>блюда!BI332</f>
        <v>0</v>
      </c>
      <c r="BJ170" s="473">
        <f>блюда!BJ332</f>
        <v>0</v>
      </c>
      <c r="BK170" s="473">
        <f>блюда!BK332</f>
        <v>0</v>
      </c>
      <c r="BL170" s="473">
        <f>блюда!BL332</f>
        <v>0</v>
      </c>
      <c r="BM170" s="473">
        <f>блюда!BM332</f>
        <v>0</v>
      </c>
      <c r="BN170" s="473">
        <f>блюда!BN332</f>
        <v>0</v>
      </c>
      <c r="BO170" s="473">
        <f>блюда!BO332</f>
        <v>0</v>
      </c>
      <c r="BP170" s="473">
        <f>блюда!BP332</f>
        <v>0</v>
      </c>
      <c r="BQ170" s="473">
        <f>блюда!BQ332</f>
        <v>0</v>
      </c>
      <c r="BR170" s="473">
        <f>блюда!BR332</f>
        <v>0</v>
      </c>
      <c r="BS170" s="473">
        <f>блюда!BS332</f>
        <v>0</v>
      </c>
      <c r="BT170" s="473">
        <f>блюда!BT332</f>
        <v>0</v>
      </c>
      <c r="BU170" s="473">
        <f>блюда!BU332</f>
        <v>0</v>
      </c>
      <c r="BV170" s="473">
        <f>блюда!BV332</f>
        <v>0</v>
      </c>
      <c r="BW170" s="473">
        <f>блюда!BW332</f>
        <v>0</v>
      </c>
      <c r="BX170" s="473">
        <f>блюда!BX332</f>
        <v>0</v>
      </c>
      <c r="BY170" s="473">
        <f>блюда!BY332</f>
        <v>0</v>
      </c>
      <c r="BZ170" s="473">
        <f>блюда!BZ332</f>
        <v>0</v>
      </c>
      <c r="CA170" s="473">
        <f>блюда!CA332</f>
        <v>0</v>
      </c>
      <c r="CB170" s="473">
        <f>блюда!CB332</f>
        <v>0</v>
      </c>
      <c r="CC170" s="473">
        <f>блюда!CC332</f>
        <v>0</v>
      </c>
      <c r="CD170" s="473">
        <f>блюда!CD332</f>
        <v>0</v>
      </c>
      <c r="CE170" s="473">
        <f>блюда!CE332</f>
        <v>0</v>
      </c>
      <c r="CF170" s="473">
        <f>блюда!CF332</f>
        <v>0</v>
      </c>
      <c r="CG170" s="473">
        <f>блюда!CG332</f>
        <v>0</v>
      </c>
      <c r="CH170" s="473">
        <f>блюда!CH332</f>
        <v>0</v>
      </c>
      <c r="CI170" s="473">
        <f>блюда!CI332</f>
        <v>0</v>
      </c>
      <c r="CJ170" s="473">
        <f>блюда!CJ332</f>
        <v>0</v>
      </c>
      <c r="CK170" s="473">
        <f>блюда!CK332</f>
        <v>0</v>
      </c>
      <c r="CL170" s="473">
        <f>блюда!CL332</f>
        <v>0</v>
      </c>
      <c r="CM170" s="473">
        <f>блюда!CM332</f>
        <v>0</v>
      </c>
      <c r="CN170" s="473">
        <f>блюда!CN332</f>
        <v>0</v>
      </c>
      <c r="CO170" s="473">
        <f>блюда!CO332</f>
        <v>0</v>
      </c>
      <c r="CP170" s="473">
        <f>блюда!CP332</f>
        <v>0</v>
      </c>
      <c r="CQ170" s="473">
        <f>блюда!CQ332</f>
        <v>0</v>
      </c>
      <c r="CR170" s="473">
        <f>блюда!CR332</f>
        <v>0</v>
      </c>
      <c r="CS170" s="473">
        <f>блюда!CS332</f>
        <v>0</v>
      </c>
      <c r="CT170" s="473">
        <f>блюда!CT332</f>
        <v>0</v>
      </c>
      <c r="CU170" s="473">
        <f>блюда!CU332</f>
        <v>0</v>
      </c>
      <c r="CV170" s="473">
        <f>блюда!CV332</f>
        <v>0</v>
      </c>
      <c r="CW170" s="473">
        <f>блюда!CW332</f>
        <v>0</v>
      </c>
      <c r="CX170" s="473">
        <f>блюда!CX332</f>
        <v>0</v>
      </c>
      <c r="CY170" s="473">
        <f>блюда!CY332</f>
        <v>0</v>
      </c>
      <c r="CZ170" s="473">
        <f>блюда!CZ332</f>
        <v>0</v>
      </c>
      <c r="DA170" s="473">
        <f>блюда!DA332</f>
        <v>0</v>
      </c>
      <c r="DB170" s="473">
        <f>блюда!DB332</f>
        <v>0</v>
      </c>
      <c r="DC170" s="473">
        <f>блюда!DC332</f>
        <v>0</v>
      </c>
      <c r="DD170" s="473">
        <f>блюда!DD332</f>
        <v>0</v>
      </c>
      <c r="DE170" s="473">
        <f>блюда!DE332</f>
        <v>0</v>
      </c>
      <c r="DF170" s="473">
        <f>блюда!DF332</f>
        <v>0</v>
      </c>
      <c r="DG170" s="473">
        <f>блюда!DG332</f>
        <v>0</v>
      </c>
      <c r="DH170" s="473">
        <f>блюда!DH332</f>
        <v>0</v>
      </c>
      <c r="DI170" s="473">
        <f>блюда!DI332</f>
        <v>0</v>
      </c>
      <c r="DJ170" s="473">
        <f>блюда!DJ332</f>
        <v>0</v>
      </c>
      <c r="DK170" s="473">
        <f>блюда!DK332</f>
        <v>0</v>
      </c>
      <c r="DL170" s="473">
        <f>блюда!DL332</f>
        <v>0</v>
      </c>
      <c r="DM170" s="473">
        <f>блюда!DM332</f>
        <v>0</v>
      </c>
      <c r="DN170" s="473">
        <f>блюда!DN332</f>
        <v>0</v>
      </c>
      <c r="DO170" s="473">
        <f>блюда!DO332</f>
        <v>0</v>
      </c>
      <c r="DP170" s="473">
        <f>блюда!DP332</f>
        <v>0</v>
      </c>
      <c r="DQ170" s="473">
        <f>блюда!DQ332</f>
        <v>0</v>
      </c>
      <c r="DR170" s="473">
        <f>блюда!DR332</f>
        <v>0</v>
      </c>
      <c r="DS170" s="473">
        <f>блюда!DS332</f>
        <v>0</v>
      </c>
      <c r="DT170" s="473">
        <f>блюда!DT332</f>
        <v>0</v>
      </c>
      <c r="DU170" s="473">
        <f>блюда!DU332</f>
        <v>0</v>
      </c>
      <c r="DV170" s="473">
        <f>блюда!DV332</f>
        <v>0</v>
      </c>
      <c r="DW170" s="473">
        <f>блюда!DW332</f>
        <v>0</v>
      </c>
      <c r="DX170" s="473">
        <f>блюда!DX332</f>
        <v>0</v>
      </c>
      <c r="DY170" s="473">
        <f>блюда!DY332</f>
        <v>0</v>
      </c>
      <c r="DZ170" s="473">
        <f>блюда!DZ332</f>
        <v>0</v>
      </c>
      <c r="EA170" s="473">
        <f>блюда!EA332</f>
        <v>0</v>
      </c>
      <c r="EB170" s="473">
        <f>блюда!EB332</f>
        <v>0</v>
      </c>
      <c r="EC170" s="473">
        <f>блюда!EC332</f>
        <v>0</v>
      </c>
      <c r="ED170" s="473">
        <f>блюда!ED332</f>
        <v>0</v>
      </c>
      <c r="EE170" s="473">
        <f>блюда!EE332</f>
        <v>0</v>
      </c>
      <c r="EF170" s="473">
        <f>блюда!EF332</f>
        <v>0</v>
      </c>
      <c r="EG170" s="473">
        <f>блюда!EG332</f>
        <v>0</v>
      </c>
      <c r="EH170" s="473">
        <f>блюда!EH332</f>
        <v>0</v>
      </c>
      <c r="EI170" s="473">
        <f>блюда!EI332</f>
        <v>0</v>
      </c>
      <c r="EJ170" s="473">
        <f>блюда!EJ332</f>
        <v>0</v>
      </c>
      <c r="EK170" s="473">
        <f>блюда!EK332</f>
        <v>0</v>
      </c>
      <c r="EL170" s="473">
        <f>блюда!EL332</f>
        <v>0</v>
      </c>
      <c r="EM170" s="473">
        <f>блюда!EM332</f>
        <v>0</v>
      </c>
      <c r="EN170" s="473">
        <f>блюда!EN332</f>
        <v>0</v>
      </c>
      <c r="EO170" s="473">
        <f>блюда!EO332</f>
        <v>0</v>
      </c>
      <c r="EP170" s="473">
        <f>блюда!EP332</f>
        <v>0</v>
      </c>
      <c r="EQ170" s="473">
        <f>блюда!EQ332</f>
        <v>0</v>
      </c>
      <c r="ER170" s="473">
        <f>блюда!ER332</f>
        <v>0</v>
      </c>
      <c r="ES170" s="473">
        <f>блюда!ES332</f>
        <v>0</v>
      </c>
      <c r="ET170" s="473">
        <f>блюда!ET332</f>
        <v>0</v>
      </c>
      <c r="EU170" s="473">
        <f>блюда!EU332</f>
        <v>0</v>
      </c>
      <c r="EV170" s="473">
        <f>блюда!EV332</f>
        <v>0.03</v>
      </c>
      <c r="EW170" s="473">
        <f>блюда!EW332</f>
        <v>0</v>
      </c>
      <c r="EX170" s="473">
        <f>блюда!EX332</f>
        <v>0</v>
      </c>
      <c r="EY170" s="927">
        <f t="shared" si="110"/>
        <v>0.03</v>
      </c>
      <c r="EZ170" s="431">
        <f>блюда!EZ13</f>
        <v>0</v>
      </c>
      <c r="FA170" s="431">
        <f>блюда!FA13</f>
        <v>0</v>
      </c>
      <c r="FB170" s="431">
        <f>блюда!FB13</f>
        <v>0</v>
      </c>
      <c r="FC170" s="431">
        <f>блюда!FC13</f>
        <v>0</v>
      </c>
      <c r="FD170" s="431">
        <f>блюда!FD13</f>
        <v>0</v>
      </c>
      <c r="FE170" s="431">
        <f>блюда!FE13</f>
        <v>0</v>
      </c>
      <c r="FF170" s="431">
        <f>блюда!FF13</f>
        <v>0</v>
      </c>
      <c r="FG170" s="431">
        <f>блюда!FG13</f>
        <v>0</v>
      </c>
      <c r="FH170" s="431">
        <f>блюда!FH13</f>
        <v>0</v>
      </c>
      <c r="FI170" s="431">
        <f>блюда!FI13</f>
        <v>0</v>
      </c>
      <c r="FJ170" s="431">
        <f>блюда!FJ13</f>
        <v>0</v>
      </c>
      <c r="FK170" s="431">
        <f>блюда!FK13</f>
        <v>0</v>
      </c>
      <c r="FL170" s="431">
        <f>блюда!FL13</f>
        <v>0</v>
      </c>
    </row>
    <row r="171" spans="1:169" x14ac:dyDescent="0.25">
      <c r="A171" s="1460"/>
      <c r="B171" s="115" t="str">
        <f>блюда!B336</f>
        <v>Хлеб пшенично-ржаной нарезной</v>
      </c>
      <c r="C171" s="250">
        <f>блюда!C336</f>
        <v>20</v>
      </c>
      <c r="D171" s="431">
        <f>блюда!D336</f>
        <v>1.5</v>
      </c>
      <c r="E171" s="431">
        <f>блюда!E336</f>
        <v>0.4</v>
      </c>
      <c r="F171" s="431">
        <f>блюда!F336</f>
        <v>10.4</v>
      </c>
      <c r="G171" s="250">
        <f>блюда!G336</f>
        <v>50</v>
      </c>
      <c r="H171" s="250" t="str">
        <f>блюда!H336</f>
        <v>ПРОМ</v>
      </c>
      <c r="I171" s="431">
        <f>блюда!I336</f>
        <v>1.3</v>
      </c>
      <c r="J171" s="473">
        <f>блюда!J336</f>
        <v>0</v>
      </c>
      <c r="K171" s="473">
        <f>блюда!K336</f>
        <v>0</v>
      </c>
      <c r="L171" s="473">
        <f>блюда!L336</f>
        <v>0</v>
      </c>
      <c r="M171" s="473">
        <f>блюда!M336</f>
        <v>0</v>
      </c>
      <c r="N171" s="473">
        <f>блюда!N336</f>
        <v>0</v>
      </c>
      <c r="O171" s="473">
        <f>блюда!O336</f>
        <v>0</v>
      </c>
      <c r="P171" s="473">
        <f>блюда!P336</f>
        <v>0</v>
      </c>
      <c r="Q171" s="473">
        <f>блюда!Q336</f>
        <v>0</v>
      </c>
      <c r="R171" s="473">
        <f>блюда!R336</f>
        <v>0</v>
      </c>
      <c r="S171" s="473">
        <f>блюда!S336</f>
        <v>0</v>
      </c>
      <c r="T171" s="473">
        <f>блюда!T336</f>
        <v>0</v>
      </c>
      <c r="U171" s="473">
        <f>блюда!U336</f>
        <v>0</v>
      </c>
      <c r="V171" s="473">
        <f>блюда!V336</f>
        <v>0</v>
      </c>
      <c r="W171" s="473">
        <f>блюда!W336</f>
        <v>0</v>
      </c>
      <c r="X171" s="473">
        <f>блюда!X336</f>
        <v>0</v>
      </c>
      <c r="Y171" s="473">
        <f>блюда!Y336</f>
        <v>0</v>
      </c>
      <c r="Z171" s="473">
        <f>блюда!Z336</f>
        <v>0</v>
      </c>
      <c r="AA171" s="473">
        <f>блюда!AA336</f>
        <v>0</v>
      </c>
      <c r="AB171" s="473">
        <f>блюда!AB336</f>
        <v>0</v>
      </c>
      <c r="AC171" s="473">
        <f>блюда!AC336</f>
        <v>0</v>
      </c>
      <c r="AD171" s="473">
        <f>блюда!AD336</f>
        <v>0</v>
      </c>
      <c r="AE171" s="473">
        <f>блюда!AE336</f>
        <v>0</v>
      </c>
      <c r="AF171" s="473">
        <f>блюда!AF336</f>
        <v>0</v>
      </c>
      <c r="AG171" s="473">
        <f>блюда!AG336</f>
        <v>0</v>
      </c>
      <c r="AH171" s="473">
        <f>блюда!AH336</f>
        <v>0</v>
      </c>
      <c r="AI171" s="473">
        <f>блюда!AI336</f>
        <v>0</v>
      </c>
      <c r="AJ171" s="473">
        <f>блюда!AJ336</f>
        <v>0</v>
      </c>
      <c r="AK171" s="473">
        <f>блюда!AK336</f>
        <v>0</v>
      </c>
      <c r="AL171" s="473">
        <f>блюда!AL336</f>
        <v>0</v>
      </c>
      <c r="AM171" s="473">
        <f>блюда!AM336</f>
        <v>0</v>
      </c>
      <c r="AN171" s="473">
        <f>блюда!AN336</f>
        <v>0</v>
      </c>
      <c r="AO171" s="473">
        <f>блюда!AO336</f>
        <v>0</v>
      </c>
      <c r="AP171" s="473">
        <f>блюда!AP336</f>
        <v>0</v>
      </c>
      <c r="AQ171" s="473">
        <f>блюда!AQ336</f>
        <v>0</v>
      </c>
      <c r="AR171" s="473">
        <f>блюда!AR336</f>
        <v>0</v>
      </c>
      <c r="AS171" s="473">
        <f>блюда!AS336</f>
        <v>0</v>
      </c>
      <c r="AT171" s="473">
        <f>блюда!AT336</f>
        <v>0</v>
      </c>
      <c r="AU171" s="473">
        <f>блюда!AU336</f>
        <v>0</v>
      </c>
      <c r="AV171" s="473">
        <f>блюда!AV336</f>
        <v>0</v>
      </c>
      <c r="AW171" s="473">
        <f>блюда!AW336</f>
        <v>0</v>
      </c>
      <c r="AX171" s="473">
        <f>блюда!AX336</f>
        <v>0</v>
      </c>
      <c r="AY171" s="473">
        <f>блюда!AY336</f>
        <v>0</v>
      </c>
      <c r="AZ171" s="473">
        <f>блюда!AZ336</f>
        <v>0</v>
      </c>
      <c r="BA171" s="473">
        <f>блюда!BA336</f>
        <v>0</v>
      </c>
      <c r="BB171" s="473">
        <f>блюда!BB336</f>
        <v>0</v>
      </c>
      <c r="BC171" s="473">
        <f>блюда!BC336</f>
        <v>0</v>
      </c>
      <c r="BD171" s="473">
        <f>блюда!BD336</f>
        <v>0</v>
      </c>
      <c r="BE171" s="473">
        <f>блюда!BE336</f>
        <v>0</v>
      </c>
      <c r="BF171" s="473">
        <f>блюда!BF336</f>
        <v>0</v>
      </c>
      <c r="BG171" s="473">
        <f>блюда!BG336</f>
        <v>0</v>
      </c>
      <c r="BH171" s="473">
        <f>блюда!BH336</f>
        <v>0</v>
      </c>
      <c r="BI171" s="473">
        <f>блюда!BI336</f>
        <v>0</v>
      </c>
      <c r="BJ171" s="473">
        <f>блюда!BJ336</f>
        <v>0</v>
      </c>
      <c r="BK171" s="473">
        <f>блюда!BK336</f>
        <v>0</v>
      </c>
      <c r="BL171" s="473">
        <f>блюда!BL336</f>
        <v>0</v>
      </c>
      <c r="BM171" s="473">
        <f>блюда!BM336</f>
        <v>0</v>
      </c>
      <c r="BN171" s="473">
        <f>блюда!BN336</f>
        <v>0</v>
      </c>
      <c r="BO171" s="473">
        <f>блюда!BO336</f>
        <v>0</v>
      </c>
      <c r="BP171" s="473">
        <f>блюда!BP336</f>
        <v>0</v>
      </c>
      <c r="BQ171" s="473">
        <f>блюда!BQ336</f>
        <v>0</v>
      </c>
      <c r="BR171" s="473">
        <f>блюда!BR336</f>
        <v>0</v>
      </c>
      <c r="BS171" s="473">
        <f>блюда!BS336</f>
        <v>0</v>
      </c>
      <c r="BT171" s="473">
        <f>блюда!BT336</f>
        <v>0</v>
      </c>
      <c r="BU171" s="473">
        <f>блюда!BU336</f>
        <v>0</v>
      </c>
      <c r="BV171" s="473">
        <f>блюда!BV336</f>
        <v>0</v>
      </c>
      <c r="BW171" s="473">
        <f>блюда!BW336</f>
        <v>0</v>
      </c>
      <c r="BX171" s="473">
        <f>блюда!BX336</f>
        <v>0</v>
      </c>
      <c r="BY171" s="473">
        <f>блюда!BY336</f>
        <v>0</v>
      </c>
      <c r="BZ171" s="473">
        <f>блюда!BZ336</f>
        <v>0</v>
      </c>
      <c r="CA171" s="473">
        <f>блюда!CA336</f>
        <v>0</v>
      </c>
      <c r="CB171" s="473">
        <f>блюда!CB336</f>
        <v>0</v>
      </c>
      <c r="CC171" s="473">
        <f>блюда!CC336</f>
        <v>0</v>
      </c>
      <c r="CD171" s="473">
        <f>блюда!CD336</f>
        <v>0</v>
      </c>
      <c r="CE171" s="473">
        <f>блюда!CE336</f>
        <v>0</v>
      </c>
      <c r="CF171" s="473">
        <f>блюда!CF336</f>
        <v>0</v>
      </c>
      <c r="CG171" s="473">
        <f>блюда!CG336</f>
        <v>0</v>
      </c>
      <c r="CH171" s="473">
        <f>блюда!CH336</f>
        <v>0</v>
      </c>
      <c r="CI171" s="473">
        <f>блюда!CI336</f>
        <v>0</v>
      </c>
      <c r="CJ171" s="473">
        <f>блюда!CJ336</f>
        <v>0</v>
      </c>
      <c r="CK171" s="473">
        <f>блюда!CK336</f>
        <v>0</v>
      </c>
      <c r="CL171" s="473">
        <f>блюда!CL336</f>
        <v>0</v>
      </c>
      <c r="CM171" s="473">
        <f>блюда!CM336</f>
        <v>0</v>
      </c>
      <c r="CN171" s="473">
        <f>блюда!CN336</f>
        <v>0</v>
      </c>
      <c r="CO171" s="473">
        <f>блюда!CO336</f>
        <v>0</v>
      </c>
      <c r="CP171" s="473">
        <f>блюда!CP336</f>
        <v>0</v>
      </c>
      <c r="CQ171" s="473">
        <f>блюда!CQ336</f>
        <v>0</v>
      </c>
      <c r="CR171" s="473">
        <f>блюда!CR336</f>
        <v>0</v>
      </c>
      <c r="CS171" s="473">
        <f>блюда!CS336</f>
        <v>0</v>
      </c>
      <c r="CT171" s="473">
        <f>блюда!CT336</f>
        <v>0</v>
      </c>
      <c r="CU171" s="473">
        <f>блюда!CU336</f>
        <v>0</v>
      </c>
      <c r="CV171" s="473">
        <f>блюда!CV336</f>
        <v>0</v>
      </c>
      <c r="CW171" s="473">
        <f>блюда!CW336</f>
        <v>0</v>
      </c>
      <c r="CX171" s="473">
        <f>блюда!CX336</f>
        <v>0</v>
      </c>
      <c r="CY171" s="473">
        <f>блюда!CY336</f>
        <v>0</v>
      </c>
      <c r="CZ171" s="473">
        <f>блюда!CZ336</f>
        <v>0</v>
      </c>
      <c r="DA171" s="473">
        <f>блюда!DA336</f>
        <v>0</v>
      </c>
      <c r="DB171" s="473">
        <f>блюда!DB336</f>
        <v>0</v>
      </c>
      <c r="DC171" s="473">
        <f>блюда!DC336</f>
        <v>0</v>
      </c>
      <c r="DD171" s="473">
        <f>блюда!DD336</f>
        <v>0</v>
      </c>
      <c r="DE171" s="473">
        <f>блюда!DE336</f>
        <v>0</v>
      </c>
      <c r="DF171" s="473">
        <f>блюда!DF336</f>
        <v>0</v>
      </c>
      <c r="DG171" s="473">
        <f>блюда!DG336</f>
        <v>0</v>
      </c>
      <c r="DH171" s="473">
        <f>блюда!DH336</f>
        <v>0</v>
      </c>
      <c r="DI171" s="473">
        <f>блюда!DI336</f>
        <v>0</v>
      </c>
      <c r="DJ171" s="473">
        <f>блюда!DJ336</f>
        <v>0</v>
      </c>
      <c r="DK171" s="473">
        <f>блюда!DK336</f>
        <v>0</v>
      </c>
      <c r="DL171" s="473">
        <f>блюда!DL336</f>
        <v>0</v>
      </c>
      <c r="DM171" s="473">
        <f>блюда!DM336</f>
        <v>0</v>
      </c>
      <c r="DN171" s="473">
        <f>блюда!DN336</f>
        <v>0</v>
      </c>
      <c r="DO171" s="473">
        <f>блюда!DO336</f>
        <v>0</v>
      </c>
      <c r="DP171" s="473">
        <f>блюда!DP336</f>
        <v>0</v>
      </c>
      <c r="DQ171" s="473">
        <f>блюда!DQ336</f>
        <v>0</v>
      </c>
      <c r="DR171" s="473">
        <f>блюда!DR336</f>
        <v>0</v>
      </c>
      <c r="DS171" s="473">
        <f>блюда!DS336</f>
        <v>0</v>
      </c>
      <c r="DT171" s="473">
        <f>блюда!DT336</f>
        <v>0</v>
      </c>
      <c r="DU171" s="473">
        <f>блюда!DU336</f>
        <v>0</v>
      </c>
      <c r="DV171" s="473">
        <f>блюда!DV336</f>
        <v>0</v>
      </c>
      <c r="DW171" s="473">
        <f>блюда!DW336</f>
        <v>0</v>
      </c>
      <c r="DX171" s="473">
        <f>блюда!DX336</f>
        <v>0</v>
      </c>
      <c r="DY171" s="473">
        <f>блюда!DY336</f>
        <v>0</v>
      </c>
      <c r="DZ171" s="473">
        <f>блюда!DZ336</f>
        <v>0</v>
      </c>
      <c r="EA171" s="473">
        <f>блюда!EA336</f>
        <v>0</v>
      </c>
      <c r="EB171" s="473">
        <f>блюда!EB336</f>
        <v>0</v>
      </c>
      <c r="EC171" s="473">
        <f>блюда!EC336</f>
        <v>0</v>
      </c>
      <c r="ED171" s="473">
        <f>блюда!ED336</f>
        <v>0</v>
      </c>
      <c r="EE171" s="473">
        <f>блюда!EE336</f>
        <v>0</v>
      </c>
      <c r="EF171" s="473">
        <f>блюда!EF336</f>
        <v>0</v>
      </c>
      <c r="EG171" s="473">
        <f>блюда!EG336</f>
        <v>0</v>
      </c>
      <c r="EH171" s="473">
        <f>блюда!EH336</f>
        <v>0</v>
      </c>
      <c r="EI171" s="473">
        <f>блюда!EI336</f>
        <v>0</v>
      </c>
      <c r="EJ171" s="473">
        <f>блюда!EJ336</f>
        <v>0</v>
      </c>
      <c r="EK171" s="473">
        <f>блюда!EK336</f>
        <v>0</v>
      </c>
      <c r="EL171" s="473">
        <f>блюда!EL336</f>
        <v>0</v>
      </c>
      <c r="EM171" s="473">
        <f>блюда!EM336</f>
        <v>0</v>
      </c>
      <c r="EN171" s="473">
        <f>блюда!EN336</f>
        <v>0</v>
      </c>
      <c r="EO171" s="473">
        <f>блюда!EO336</f>
        <v>0</v>
      </c>
      <c r="EP171" s="473">
        <f>блюда!EP336</f>
        <v>0</v>
      </c>
      <c r="EQ171" s="473">
        <f>блюда!EQ336</f>
        <v>0</v>
      </c>
      <c r="ER171" s="473">
        <f>блюда!ER336</f>
        <v>0</v>
      </c>
      <c r="ES171" s="473">
        <f>блюда!ES336</f>
        <v>0</v>
      </c>
      <c r="ET171" s="473">
        <f>блюда!ET336</f>
        <v>0</v>
      </c>
      <c r="EU171" s="473">
        <f>блюда!EU336</f>
        <v>0</v>
      </c>
      <c r="EV171" s="473">
        <f>блюда!EV336</f>
        <v>0</v>
      </c>
      <c r="EW171" s="473">
        <f>блюда!EW336</f>
        <v>0.02</v>
      </c>
      <c r="EX171" s="473">
        <f>блюда!EX336</f>
        <v>0</v>
      </c>
      <c r="EY171" s="927">
        <f t="shared" si="110"/>
        <v>0.02</v>
      </c>
      <c r="EZ171" s="431">
        <f>блюда!EZ14</f>
        <v>0</v>
      </c>
      <c r="FA171" s="431">
        <f>блюда!FA14</f>
        <v>0</v>
      </c>
      <c r="FB171" s="431">
        <f>блюда!FB14</f>
        <v>0</v>
      </c>
      <c r="FC171" s="431">
        <f>блюда!FC14</f>
        <v>0</v>
      </c>
      <c r="FD171" s="431">
        <f>блюда!FD14</f>
        <v>0</v>
      </c>
      <c r="FE171" s="431">
        <f>блюда!FE14</f>
        <v>0</v>
      </c>
      <c r="FF171" s="431">
        <f>блюда!FF14</f>
        <v>0</v>
      </c>
      <c r="FG171" s="431">
        <f>блюда!FG14</f>
        <v>0</v>
      </c>
      <c r="FH171" s="431">
        <f>блюда!FH14</f>
        <v>0</v>
      </c>
      <c r="FI171" s="431">
        <f>блюда!FI14</f>
        <v>0</v>
      </c>
      <c r="FJ171" s="431">
        <f>блюда!FJ14</f>
        <v>0</v>
      </c>
      <c r="FK171" s="431">
        <f>блюда!FK14</f>
        <v>0</v>
      </c>
      <c r="FL171" s="431">
        <f>блюда!FL14</f>
        <v>0</v>
      </c>
    </row>
    <row r="172" spans="1:169" x14ac:dyDescent="0.25">
      <c r="A172" s="1460"/>
      <c r="B172" s="115" t="str">
        <f>блюда!B286</f>
        <v>Чай с сахаром</v>
      </c>
      <c r="C172" s="250">
        <f>блюда!C286</f>
        <v>200</v>
      </c>
      <c r="D172" s="431">
        <f>блюда!D286</f>
        <v>7.0000000000000007E-2</v>
      </c>
      <c r="E172" s="431">
        <f>блюда!E286</f>
        <v>0.02</v>
      </c>
      <c r="F172" s="431">
        <f>блюда!F286</f>
        <v>13.95</v>
      </c>
      <c r="G172" s="250">
        <f>блюда!G286</f>
        <v>56</v>
      </c>
      <c r="H172" s="250">
        <f>блюда!H286</f>
        <v>376</v>
      </c>
      <c r="I172" s="431">
        <f>блюда!I286</f>
        <v>1.59</v>
      </c>
      <c r="J172" s="473">
        <f>блюда!J286</f>
        <v>0</v>
      </c>
      <c r="K172" s="473">
        <f>блюда!K286</f>
        <v>0</v>
      </c>
      <c r="L172" s="473">
        <f>блюда!L286</f>
        <v>0</v>
      </c>
      <c r="M172" s="473">
        <f>блюда!M286</f>
        <v>0</v>
      </c>
      <c r="N172" s="473">
        <f>блюда!N286</f>
        <v>0</v>
      </c>
      <c r="O172" s="473">
        <f>блюда!O286</f>
        <v>0</v>
      </c>
      <c r="P172" s="473">
        <f>блюда!P286</f>
        <v>0</v>
      </c>
      <c r="Q172" s="473">
        <f>блюда!Q286</f>
        <v>0</v>
      </c>
      <c r="R172" s="473">
        <f>блюда!R286</f>
        <v>0</v>
      </c>
      <c r="S172" s="473">
        <f>блюда!S286</f>
        <v>0</v>
      </c>
      <c r="T172" s="473">
        <f>блюда!T286</f>
        <v>0</v>
      </c>
      <c r="U172" s="473">
        <f>блюда!U286</f>
        <v>0</v>
      </c>
      <c r="V172" s="473">
        <f>блюда!V286</f>
        <v>0</v>
      </c>
      <c r="W172" s="473">
        <f>блюда!W286</f>
        <v>0</v>
      </c>
      <c r="X172" s="473">
        <f>блюда!X286</f>
        <v>0</v>
      </c>
      <c r="Y172" s="473">
        <f>блюда!Y286</f>
        <v>0</v>
      </c>
      <c r="Z172" s="473">
        <f>блюда!Z286</f>
        <v>0</v>
      </c>
      <c r="AA172" s="473">
        <f>блюда!AA286</f>
        <v>0</v>
      </c>
      <c r="AB172" s="473">
        <f>блюда!AB286</f>
        <v>0</v>
      </c>
      <c r="AC172" s="473">
        <f>блюда!AC286</f>
        <v>0</v>
      </c>
      <c r="AD172" s="473">
        <f>блюда!AD286</f>
        <v>0</v>
      </c>
      <c r="AE172" s="473">
        <f>блюда!AE286</f>
        <v>0</v>
      </c>
      <c r="AF172" s="473">
        <f>блюда!AF286</f>
        <v>0</v>
      </c>
      <c r="AG172" s="473">
        <f>блюда!AG286</f>
        <v>0</v>
      </c>
      <c r="AH172" s="473">
        <f>блюда!AH286</f>
        <v>0</v>
      </c>
      <c r="AI172" s="473">
        <f>блюда!AI286</f>
        <v>0</v>
      </c>
      <c r="AJ172" s="473">
        <f>блюда!AJ286</f>
        <v>0</v>
      </c>
      <c r="AK172" s="473">
        <f>блюда!AK286</f>
        <v>0</v>
      </c>
      <c r="AL172" s="473">
        <f>блюда!AL286</f>
        <v>0</v>
      </c>
      <c r="AM172" s="473">
        <f>блюда!AM286</f>
        <v>0</v>
      </c>
      <c r="AN172" s="473">
        <f>блюда!AN286</f>
        <v>0</v>
      </c>
      <c r="AO172" s="473">
        <f>блюда!AO286</f>
        <v>0</v>
      </c>
      <c r="AP172" s="473">
        <f>блюда!AP286</f>
        <v>0</v>
      </c>
      <c r="AQ172" s="473">
        <f>блюда!AQ286</f>
        <v>0</v>
      </c>
      <c r="AR172" s="473">
        <f>блюда!AR286</f>
        <v>0</v>
      </c>
      <c r="AS172" s="473">
        <f>блюда!AS286</f>
        <v>0</v>
      </c>
      <c r="AT172" s="473">
        <f>блюда!AT286</f>
        <v>0</v>
      </c>
      <c r="AU172" s="473">
        <f>блюда!AU286</f>
        <v>0</v>
      </c>
      <c r="AV172" s="473">
        <f>блюда!AV286</f>
        <v>0</v>
      </c>
      <c r="AW172" s="473">
        <f>блюда!AW286</f>
        <v>0</v>
      </c>
      <c r="AX172" s="473">
        <f>блюда!AX286</f>
        <v>0</v>
      </c>
      <c r="AY172" s="473">
        <f>блюда!AY286</f>
        <v>0</v>
      </c>
      <c r="AZ172" s="473">
        <f>блюда!AZ286</f>
        <v>0</v>
      </c>
      <c r="BA172" s="473">
        <f>блюда!BA286</f>
        <v>0</v>
      </c>
      <c r="BB172" s="473">
        <f>блюда!BB286</f>
        <v>0</v>
      </c>
      <c r="BC172" s="473">
        <f>блюда!BC286</f>
        <v>0</v>
      </c>
      <c r="BD172" s="473">
        <f>блюда!BD286</f>
        <v>0</v>
      </c>
      <c r="BE172" s="473">
        <f>блюда!BE286</f>
        <v>0</v>
      </c>
      <c r="BF172" s="473">
        <f>блюда!BF286</f>
        <v>0</v>
      </c>
      <c r="BG172" s="473">
        <f>блюда!BG286</f>
        <v>0</v>
      </c>
      <c r="BH172" s="473">
        <f>блюда!BH286</f>
        <v>0</v>
      </c>
      <c r="BI172" s="473">
        <f>блюда!BI286</f>
        <v>0</v>
      </c>
      <c r="BJ172" s="473">
        <f>блюда!BJ286</f>
        <v>0</v>
      </c>
      <c r="BK172" s="473">
        <f>блюда!BK286</f>
        <v>0</v>
      </c>
      <c r="BL172" s="473">
        <f>блюда!BL286</f>
        <v>0</v>
      </c>
      <c r="BM172" s="473">
        <f>блюда!BM286</f>
        <v>0</v>
      </c>
      <c r="BN172" s="473">
        <f>блюда!BN286</f>
        <v>0</v>
      </c>
      <c r="BO172" s="473">
        <f>блюда!BO286</f>
        <v>0</v>
      </c>
      <c r="BP172" s="473">
        <f>блюда!BP286</f>
        <v>0</v>
      </c>
      <c r="BQ172" s="473">
        <f>блюда!BQ286</f>
        <v>0</v>
      </c>
      <c r="BR172" s="473">
        <f>блюда!BR286</f>
        <v>0</v>
      </c>
      <c r="BS172" s="473">
        <f>блюда!BS286</f>
        <v>0</v>
      </c>
      <c r="BT172" s="473">
        <f>блюда!BT286</f>
        <v>0</v>
      </c>
      <c r="BU172" s="473">
        <f>блюда!BU286</f>
        <v>0</v>
      </c>
      <c r="BV172" s="473">
        <f>блюда!BV286</f>
        <v>0</v>
      </c>
      <c r="BW172" s="473">
        <f>блюда!BW286</f>
        <v>0</v>
      </c>
      <c r="BX172" s="473">
        <f>блюда!BX286</f>
        <v>0</v>
      </c>
      <c r="BY172" s="473">
        <f>блюда!BY286</f>
        <v>0</v>
      </c>
      <c r="BZ172" s="473">
        <f>блюда!BZ286</f>
        <v>0</v>
      </c>
      <c r="CA172" s="473">
        <f>блюда!CA286</f>
        <v>0</v>
      </c>
      <c r="CB172" s="473">
        <f>блюда!CB286</f>
        <v>0</v>
      </c>
      <c r="CC172" s="473">
        <f>блюда!CC286</f>
        <v>0</v>
      </c>
      <c r="CD172" s="473">
        <f>блюда!CD286</f>
        <v>0</v>
      </c>
      <c r="CE172" s="473">
        <f>блюда!CE286</f>
        <v>0</v>
      </c>
      <c r="CF172" s="473">
        <f>блюда!CF286</f>
        <v>0</v>
      </c>
      <c r="CG172" s="473">
        <f>блюда!CG286</f>
        <v>0</v>
      </c>
      <c r="CH172" s="473">
        <f>блюда!CH286</f>
        <v>0</v>
      </c>
      <c r="CI172" s="473">
        <f>блюда!CI286</f>
        <v>0</v>
      </c>
      <c r="CJ172" s="473">
        <f>блюда!CJ286</f>
        <v>0</v>
      </c>
      <c r="CK172" s="473">
        <f>блюда!CK286</f>
        <v>0</v>
      </c>
      <c r="CL172" s="473">
        <f>блюда!CL286</f>
        <v>0</v>
      </c>
      <c r="CM172" s="473">
        <f>блюда!CM286</f>
        <v>0</v>
      </c>
      <c r="CN172" s="473">
        <f>блюда!CN286</f>
        <v>0</v>
      </c>
      <c r="CO172" s="473">
        <f>блюда!CO286</f>
        <v>0</v>
      </c>
      <c r="CP172" s="473">
        <f>блюда!CP286</f>
        <v>0</v>
      </c>
      <c r="CQ172" s="473">
        <f>блюда!CQ286</f>
        <v>0</v>
      </c>
      <c r="CR172" s="473">
        <f>блюда!CR286</f>
        <v>0</v>
      </c>
      <c r="CS172" s="473">
        <f>блюда!CS286</f>
        <v>0</v>
      </c>
      <c r="CT172" s="473">
        <f>блюда!CT286</f>
        <v>0</v>
      </c>
      <c r="CU172" s="473">
        <f>блюда!CU286</f>
        <v>0</v>
      </c>
      <c r="CV172" s="473">
        <f>блюда!CV286</f>
        <v>0</v>
      </c>
      <c r="CW172" s="473">
        <f>блюда!CW286</f>
        <v>0</v>
      </c>
      <c r="CX172" s="473">
        <f>блюда!CX286</f>
        <v>0</v>
      </c>
      <c r="CY172" s="473">
        <f>блюда!CY286</f>
        <v>0</v>
      </c>
      <c r="CZ172" s="473">
        <f>блюда!CZ286</f>
        <v>1.4999999999999999E-2</v>
      </c>
      <c r="DA172" s="473">
        <f>блюда!DA286</f>
        <v>0</v>
      </c>
      <c r="DB172" s="473">
        <f>блюда!DB286</f>
        <v>0</v>
      </c>
      <c r="DC172" s="473">
        <f>блюда!DC286</f>
        <v>0</v>
      </c>
      <c r="DD172" s="473">
        <f>блюда!DD286</f>
        <v>0</v>
      </c>
      <c r="DE172" s="473">
        <f>блюда!DE286</f>
        <v>0</v>
      </c>
      <c r="DF172" s="473">
        <f>блюда!DF286</f>
        <v>0</v>
      </c>
      <c r="DG172" s="473">
        <f>блюда!DG286</f>
        <v>0</v>
      </c>
      <c r="DH172" s="473">
        <f>блюда!DH286</f>
        <v>0</v>
      </c>
      <c r="DI172" s="473">
        <f>блюда!DI286</f>
        <v>0</v>
      </c>
      <c r="DJ172" s="473">
        <f>блюда!DJ286</f>
        <v>0</v>
      </c>
      <c r="DK172" s="473">
        <f>блюда!DK286</f>
        <v>0</v>
      </c>
      <c r="DL172" s="473">
        <f>блюда!DL286</f>
        <v>0</v>
      </c>
      <c r="DM172" s="473">
        <f>блюда!DM286</f>
        <v>0</v>
      </c>
      <c r="DN172" s="473">
        <f>блюда!DN286</f>
        <v>0</v>
      </c>
      <c r="DO172" s="473">
        <f>блюда!DO286</f>
        <v>0</v>
      </c>
      <c r="DP172" s="473">
        <f>блюда!DP286</f>
        <v>0</v>
      </c>
      <c r="DQ172" s="473">
        <f>блюда!DQ286</f>
        <v>0</v>
      </c>
      <c r="DR172" s="473">
        <f>блюда!DR286</f>
        <v>5.0000000000000001E-4</v>
      </c>
      <c r="DS172" s="473">
        <f>блюда!DS286</f>
        <v>0</v>
      </c>
      <c r="DT172" s="473">
        <f>блюда!DT286</f>
        <v>0</v>
      </c>
      <c r="DU172" s="473">
        <f>блюда!DU286</f>
        <v>0</v>
      </c>
      <c r="DV172" s="473">
        <f>блюда!DV286</f>
        <v>0</v>
      </c>
      <c r="DW172" s="473">
        <f>блюда!DW286</f>
        <v>0</v>
      </c>
      <c r="DX172" s="473">
        <f>блюда!DX286</f>
        <v>0</v>
      </c>
      <c r="DY172" s="473">
        <f>блюда!DY286</f>
        <v>0</v>
      </c>
      <c r="DZ172" s="473">
        <f>блюда!DZ286</f>
        <v>0</v>
      </c>
      <c r="EA172" s="473">
        <f>блюда!EA286</f>
        <v>0</v>
      </c>
      <c r="EB172" s="473">
        <f>блюда!EB286</f>
        <v>0</v>
      </c>
      <c r="EC172" s="473">
        <f>блюда!EC286</f>
        <v>0</v>
      </c>
      <c r="ED172" s="473">
        <f>блюда!ED286</f>
        <v>0</v>
      </c>
      <c r="EE172" s="473">
        <f>блюда!EE286</f>
        <v>0</v>
      </c>
      <c r="EF172" s="473">
        <f>блюда!EF286</f>
        <v>0</v>
      </c>
      <c r="EG172" s="473">
        <f>блюда!EG286</f>
        <v>0</v>
      </c>
      <c r="EH172" s="473">
        <f>блюда!EH286</f>
        <v>0</v>
      </c>
      <c r="EI172" s="473">
        <f>блюда!EI286</f>
        <v>0</v>
      </c>
      <c r="EJ172" s="473">
        <f>блюда!EJ286</f>
        <v>0</v>
      </c>
      <c r="EK172" s="473">
        <f>блюда!EK286</f>
        <v>0</v>
      </c>
      <c r="EL172" s="473">
        <f>блюда!EL286</f>
        <v>0</v>
      </c>
      <c r="EM172" s="473">
        <f>блюда!EM286</f>
        <v>0</v>
      </c>
      <c r="EN172" s="473">
        <f>блюда!EN286</f>
        <v>0</v>
      </c>
      <c r="EO172" s="473">
        <f>блюда!EO286</f>
        <v>0</v>
      </c>
      <c r="EP172" s="473">
        <f>блюда!EP286</f>
        <v>0</v>
      </c>
      <c r="EQ172" s="473">
        <f>блюда!EQ286</f>
        <v>0</v>
      </c>
      <c r="ER172" s="473">
        <f>блюда!ER286</f>
        <v>0</v>
      </c>
      <c r="ES172" s="473">
        <f>блюда!ES286</f>
        <v>0</v>
      </c>
      <c r="ET172" s="473">
        <f>блюда!ET286</f>
        <v>0</v>
      </c>
      <c r="EU172" s="473">
        <f>блюда!EU286</f>
        <v>0</v>
      </c>
      <c r="EV172" s="473">
        <f>блюда!EV286</f>
        <v>0</v>
      </c>
      <c r="EW172" s="473">
        <f>блюда!EW286</f>
        <v>0</v>
      </c>
      <c r="EX172" s="473">
        <f>блюда!EX286</f>
        <v>0</v>
      </c>
      <c r="EY172" s="927">
        <f t="shared" si="110"/>
        <v>1.55E-2</v>
      </c>
      <c r="EZ172" s="431">
        <f>блюда!EZ257</f>
        <v>0</v>
      </c>
      <c r="FA172" s="431">
        <f>блюда!FA257</f>
        <v>0</v>
      </c>
      <c r="FB172" s="431">
        <f>блюда!FB257</f>
        <v>0</v>
      </c>
      <c r="FC172" s="431">
        <f>блюда!FC257</f>
        <v>0</v>
      </c>
      <c r="FD172" s="431">
        <f>блюда!FD257</f>
        <v>0</v>
      </c>
      <c r="FE172" s="431">
        <f>блюда!FE257</f>
        <v>0</v>
      </c>
      <c r="FF172" s="431">
        <f>блюда!FF257</f>
        <v>0</v>
      </c>
      <c r="FG172" s="431">
        <f>блюда!FG257</f>
        <v>0</v>
      </c>
      <c r="FH172" s="431">
        <f>блюда!FH257</f>
        <v>0</v>
      </c>
      <c r="FI172" s="431">
        <f>блюда!FI257</f>
        <v>0</v>
      </c>
      <c r="FJ172" s="431">
        <f>блюда!FJ257</f>
        <v>0</v>
      </c>
      <c r="FK172" s="431">
        <f>блюда!FK257</f>
        <v>0</v>
      </c>
      <c r="FL172" s="431">
        <f>блюда!FL257</f>
        <v>0</v>
      </c>
    </row>
    <row r="173" spans="1:169" x14ac:dyDescent="0.25">
      <c r="A173" s="1460"/>
      <c r="B173" s="115" t="str">
        <f>блюда!B343</f>
        <v>Вода питьевая 19 л</v>
      </c>
      <c r="C173" s="250">
        <f>блюда!C343</f>
        <v>500</v>
      </c>
      <c r="D173" s="431">
        <f>блюда!D343</f>
        <v>0</v>
      </c>
      <c r="E173" s="431">
        <f>блюда!E343</f>
        <v>0</v>
      </c>
      <c r="F173" s="431">
        <f>блюда!F343</f>
        <v>0</v>
      </c>
      <c r="G173" s="250">
        <f>блюда!G343</f>
        <v>0</v>
      </c>
      <c r="H173" s="250" t="str">
        <f>блюда!H343</f>
        <v>ПРОМ</v>
      </c>
      <c r="I173" s="431">
        <f>блюда!I343</f>
        <v>2.9</v>
      </c>
      <c r="J173" s="473">
        <f>блюда!J343</f>
        <v>0</v>
      </c>
      <c r="K173" s="473">
        <f>блюда!K343</f>
        <v>0</v>
      </c>
      <c r="L173" s="473">
        <f>блюда!L343</f>
        <v>0</v>
      </c>
      <c r="M173" s="473">
        <f>блюда!M343</f>
        <v>0</v>
      </c>
      <c r="N173" s="473">
        <f>блюда!N343</f>
        <v>0</v>
      </c>
      <c r="O173" s="473">
        <f>блюда!O343</f>
        <v>0</v>
      </c>
      <c r="P173" s="473">
        <f>блюда!P343</f>
        <v>0</v>
      </c>
      <c r="Q173" s="473">
        <f>блюда!Q343</f>
        <v>0</v>
      </c>
      <c r="R173" s="473">
        <f>блюда!R343</f>
        <v>0</v>
      </c>
      <c r="S173" s="473">
        <f>блюда!S343</f>
        <v>0</v>
      </c>
      <c r="T173" s="473">
        <f>блюда!T343</f>
        <v>0</v>
      </c>
      <c r="U173" s="473">
        <f>блюда!U343</f>
        <v>0</v>
      </c>
      <c r="V173" s="473">
        <f>блюда!V343</f>
        <v>0</v>
      </c>
      <c r="W173" s="473">
        <f>блюда!W343</f>
        <v>0</v>
      </c>
      <c r="X173" s="473">
        <f>блюда!X343</f>
        <v>0</v>
      </c>
      <c r="Y173" s="473">
        <f>блюда!Y343</f>
        <v>0</v>
      </c>
      <c r="Z173" s="473">
        <f>блюда!Z343</f>
        <v>0</v>
      </c>
      <c r="AA173" s="473">
        <f>блюда!AA343</f>
        <v>0</v>
      </c>
      <c r="AB173" s="473">
        <f>блюда!AB343</f>
        <v>0</v>
      </c>
      <c r="AC173" s="473">
        <f>блюда!AC343</f>
        <v>0</v>
      </c>
      <c r="AD173" s="473">
        <f>блюда!AD343</f>
        <v>0</v>
      </c>
      <c r="AE173" s="473">
        <f>блюда!AE343</f>
        <v>0</v>
      </c>
      <c r="AF173" s="473">
        <f>блюда!AF343</f>
        <v>0</v>
      </c>
      <c r="AG173" s="473">
        <f>блюда!AG343</f>
        <v>0</v>
      </c>
      <c r="AH173" s="473">
        <f>блюда!AH343</f>
        <v>0</v>
      </c>
      <c r="AI173" s="473">
        <f>блюда!AI343</f>
        <v>0</v>
      </c>
      <c r="AJ173" s="473">
        <f>блюда!AJ343</f>
        <v>0</v>
      </c>
      <c r="AK173" s="473">
        <f>блюда!AK343</f>
        <v>0</v>
      </c>
      <c r="AL173" s="473">
        <f>блюда!AL343</f>
        <v>0</v>
      </c>
      <c r="AM173" s="473">
        <f>блюда!AM343</f>
        <v>0</v>
      </c>
      <c r="AN173" s="473">
        <f>блюда!AN343</f>
        <v>0</v>
      </c>
      <c r="AO173" s="473">
        <f>блюда!AO343</f>
        <v>0</v>
      </c>
      <c r="AP173" s="473">
        <f>блюда!AP343</f>
        <v>0</v>
      </c>
      <c r="AQ173" s="473">
        <f>блюда!AQ343</f>
        <v>0</v>
      </c>
      <c r="AR173" s="473">
        <f>блюда!AR343</f>
        <v>0</v>
      </c>
      <c r="AS173" s="473">
        <f>блюда!AS343</f>
        <v>0</v>
      </c>
      <c r="AT173" s="473">
        <f>блюда!AT343</f>
        <v>0</v>
      </c>
      <c r="AU173" s="473">
        <f>блюда!AU343</f>
        <v>0</v>
      </c>
      <c r="AV173" s="473">
        <f>блюда!AV343</f>
        <v>0</v>
      </c>
      <c r="AW173" s="473">
        <f>блюда!AW343</f>
        <v>0</v>
      </c>
      <c r="AX173" s="473">
        <f>блюда!AX343</f>
        <v>0</v>
      </c>
      <c r="AY173" s="473">
        <f>блюда!AY343</f>
        <v>0</v>
      </c>
      <c r="AZ173" s="473">
        <f>блюда!AZ343</f>
        <v>0</v>
      </c>
      <c r="BA173" s="473">
        <f>блюда!BA343</f>
        <v>0</v>
      </c>
      <c r="BB173" s="473">
        <f>блюда!BB343</f>
        <v>0</v>
      </c>
      <c r="BC173" s="473">
        <f>блюда!BC343</f>
        <v>0</v>
      </c>
      <c r="BD173" s="473">
        <f>блюда!BD343</f>
        <v>0</v>
      </c>
      <c r="BE173" s="473">
        <f>блюда!BE343</f>
        <v>0</v>
      </c>
      <c r="BF173" s="473">
        <f>блюда!BF343</f>
        <v>0</v>
      </c>
      <c r="BG173" s="473">
        <f>блюда!BG343</f>
        <v>0</v>
      </c>
      <c r="BH173" s="473">
        <f>блюда!BH343</f>
        <v>0</v>
      </c>
      <c r="BI173" s="473">
        <f>блюда!BI343</f>
        <v>0</v>
      </c>
      <c r="BJ173" s="473">
        <f>блюда!BJ343</f>
        <v>0</v>
      </c>
      <c r="BK173" s="473">
        <f>блюда!BK343</f>
        <v>0</v>
      </c>
      <c r="BL173" s="473">
        <f>блюда!BL343</f>
        <v>0</v>
      </c>
      <c r="BM173" s="473">
        <f>блюда!BM343</f>
        <v>0</v>
      </c>
      <c r="BN173" s="473">
        <f>блюда!BN343</f>
        <v>0</v>
      </c>
      <c r="BO173" s="473">
        <f>блюда!BO343</f>
        <v>0</v>
      </c>
      <c r="BP173" s="473">
        <f>блюда!BP343</f>
        <v>0</v>
      </c>
      <c r="BQ173" s="473">
        <f>блюда!BQ343</f>
        <v>0</v>
      </c>
      <c r="BR173" s="473">
        <f>блюда!BR343</f>
        <v>0</v>
      </c>
      <c r="BS173" s="473">
        <f>блюда!BS343</f>
        <v>0</v>
      </c>
      <c r="BT173" s="473">
        <f>блюда!BT343</f>
        <v>0</v>
      </c>
      <c r="BU173" s="473">
        <f>блюда!BU343</f>
        <v>0</v>
      </c>
      <c r="BV173" s="473">
        <f>блюда!BV343</f>
        <v>0</v>
      </c>
      <c r="BW173" s="473">
        <f>блюда!BW343</f>
        <v>0</v>
      </c>
      <c r="BX173" s="473">
        <f>блюда!BX343</f>
        <v>0</v>
      </c>
      <c r="BY173" s="473">
        <f>блюда!BY343</f>
        <v>0</v>
      </c>
      <c r="BZ173" s="473">
        <f>блюда!BZ343</f>
        <v>0</v>
      </c>
      <c r="CA173" s="473">
        <f>блюда!CA343</f>
        <v>0</v>
      </c>
      <c r="CB173" s="473">
        <f>блюда!CB343</f>
        <v>0</v>
      </c>
      <c r="CC173" s="473">
        <f>блюда!CC343</f>
        <v>0</v>
      </c>
      <c r="CD173" s="473">
        <f>блюда!CD343</f>
        <v>0</v>
      </c>
      <c r="CE173" s="473">
        <f>блюда!CE343</f>
        <v>0</v>
      </c>
      <c r="CF173" s="473">
        <f>блюда!CF343</f>
        <v>0</v>
      </c>
      <c r="CG173" s="473">
        <f>блюда!CG343</f>
        <v>0</v>
      </c>
      <c r="CH173" s="473">
        <f>блюда!CH343</f>
        <v>0</v>
      </c>
      <c r="CI173" s="473">
        <f>блюда!CI343</f>
        <v>0</v>
      </c>
      <c r="CJ173" s="473">
        <f>блюда!CJ343</f>
        <v>0</v>
      </c>
      <c r="CK173" s="473">
        <f>блюда!CK343</f>
        <v>0</v>
      </c>
      <c r="CL173" s="473">
        <f>блюда!CL343</f>
        <v>0</v>
      </c>
      <c r="CM173" s="473">
        <f>блюда!CM343</f>
        <v>0</v>
      </c>
      <c r="CN173" s="473">
        <f>блюда!CN343</f>
        <v>0</v>
      </c>
      <c r="CO173" s="473">
        <f>блюда!CO343</f>
        <v>0</v>
      </c>
      <c r="CP173" s="473">
        <f>блюда!CP343</f>
        <v>0</v>
      </c>
      <c r="CQ173" s="473">
        <f>блюда!CQ343</f>
        <v>0</v>
      </c>
      <c r="CR173" s="473">
        <f>блюда!CR343</f>
        <v>0</v>
      </c>
      <c r="CS173" s="473">
        <f>блюда!CS343</f>
        <v>0</v>
      </c>
      <c r="CT173" s="473">
        <f>блюда!CT343</f>
        <v>0</v>
      </c>
      <c r="CU173" s="473">
        <f>блюда!CU343</f>
        <v>0</v>
      </c>
      <c r="CV173" s="473">
        <f>блюда!CV343</f>
        <v>0</v>
      </c>
      <c r="CW173" s="473">
        <f>блюда!CW343</f>
        <v>0</v>
      </c>
      <c r="CX173" s="473">
        <f>блюда!CX343</f>
        <v>0</v>
      </c>
      <c r="CY173" s="473">
        <f>блюда!CY343</f>
        <v>0</v>
      </c>
      <c r="CZ173" s="473">
        <f>блюда!CZ343</f>
        <v>0</v>
      </c>
      <c r="DA173" s="473">
        <f>блюда!DA343</f>
        <v>0</v>
      </c>
      <c r="DB173" s="473">
        <f>блюда!DB343</f>
        <v>0</v>
      </c>
      <c r="DC173" s="473">
        <f>блюда!DC343</f>
        <v>0</v>
      </c>
      <c r="DD173" s="473">
        <f>блюда!DD343</f>
        <v>0</v>
      </c>
      <c r="DE173" s="473">
        <f>блюда!DE343</f>
        <v>0</v>
      </c>
      <c r="DF173" s="473">
        <f>блюда!DF343</f>
        <v>0</v>
      </c>
      <c r="DG173" s="473">
        <f>блюда!DG343</f>
        <v>0</v>
      </c>
      <c r="DH173" s="473">
        <f>блюда!DH343</f>
        <v>0</v>
      </c>
      <c r="DI173" s="473">
        <f>блюда!DI343</f>
        <v>0</v>
      </c>
      <c r="DJ173" s="473">
        <f>блюда!DJ343</f>
        <v>0</v>
      </c>
      <c r="DK173" s="473">
        <f>блюда!DK343</f>
        <v>0</v>
      </c>
      <c r="DL173" s="473">
        <f>блюда!DL343</f>
        <v>0</v>
      </c>
      <c r="DM173" s="473">
        <f>блюда!DM343</f>
        <v>0</v>
      </c>
      <c r="DN173" s="473">
        <f>блюда!DN343</f>
        <v>0</v>
      </c>
      <c r="DO173" s="473">
        <f>блюда!DO343</f>
        <v>0</v>
      </c>
      <c r="DP173" s="473">
        <f>блюда!DP343</f>
        <v>0</v>
      </c>
      <c r="DQ173" s="473">
        <f>блюда!DQ343</f>
        <v>0</v>
      </c>
      <c r="DR173" s="473">
        <f>блюда!DR343</f>
        <v>0</v>
      </c>
      <c r="DS173" s="473">
        <f>блюда!DS343</f>
        <v>0</v>
      </c>
      <c r="DT173" s="473">
        <f>блюда!DT343</f>
        <v>0</v>
      </c>
      <c r="DU173" s="473">
        <f>блюда!DU343</f>
        <v>0</v>
      </c>
      <c r="DV173" s="473">
        <f>блюда!DV343</f>
        <v>0</v>
      </c>
      <c r="DW173" s="473">
        <f>блюда!DW343</f>
        <v>0</v>
      </c>
      <c r="DX173" s="473">
        <f>блюда!DX343</f>
        <v>0</v>
      </c>
      <c r="DY173" s="473">
        <f>блюда!DY343</f>
        <v>0</v>
      </c>
      <c r="DZ173" s="473">
        <f>блюда!DZ343</f>
        <v>0</v>
      </c>
      <c r="EA173" s="473">
        <f>блюда!EA343</f>
        <v>0</v>
      </c>
      <c r="EB173" s="473">
        <f>блюда!EB343</f>
        <v>0.5</v>
      </c>
      <c r="EC173" s="473">
        <f>блюда!EC343</f>
        <v>0</v>
      </c>
      <c r="ED173" s="473">
        <f>блюда!ED343</f>
        <v>0</v>
      </c>
      <c r="EE173" s="473">
        <f>блюда!EE343</f>
        <v>0</v>
      </c>
      <c r="EF173" s="473">
        <f>блюда!EF343</f>
        <v>0</v>
      </c>
      <c r="EG173" s="473">
        <f>блюда!EG343</f>
        <v>0</v>
      </c>
      <c r="EH173" s="473">
        <f>блюда!EH343</f>
        <v>0</v>
      </c>
      <c r="EI173" s="473">
        <f>блюда!EI343</f>
        <v>0</v>
      </c>
      <c r="EJ173" s="473">
        <f>блюда!EJ343</f>
        <v>0</v>
      </c>
      <c r="EK173" s="473">
        <f>блюда!EK343</f>
        <v>0</v>
      </c>
      <c r="EL173" s="473">
        <f>блюда!EL343</f>
        <v>0</v>
      </c>
      <c r="EM173" s="473">
        <f>блюда!EM343</f>
        <v>0</v>
      </c>
      <c r="EN173" s="473">
        <f>блюда!EN343</f>
        <v>0</v>
      </c>
      <c r="EO173" s="473">
        <f>блюда!EO343</f>
        <v>0</v>
      </c>
      <c r="EP173" s="473">
        <f>блюда!EP343</f>
        <v>0</v>
      </c>
      <c r="EQ173" s="473">
        <f>блюда!EQ343</f>
        <v>0</v>
      </c>
      <c r="ER173" s="473">
        <f>блюда!ER343</f>
        <v>0</v>
      </c>
      <c r="ES173" s="473">
        <f>блюда!ES343</f>
        <v>0</v>
      </c>
      <c r="ET173" s="473">
        <f>блюда!ET343</f>
        <v>0</v>
      </c>
      <c r="EU173" s="473">
        <f>блюда!EU343</f>
        <v>0</v>
      </c>
      <c r="EV173" s="473">
        <f>блюда!EV343</f>
        <v>0</v>
      </c>
      <c r="EW173" s="473">
        <f>блюда!EW343</f>
        <v>0</v>
      </c>
      <c r="EX173" s="473">
        <f>блюда!EX343</f>
        <v>0</v>
      </c>
      <c r="EY173" s="927">
        <f t="shared" si="110"/>
        <v>0.5</v>
      </c>
      <c r="EZ173" s="117"/>
      <c r="FA173" s="117"/>
      <c r="FB173" s="117"/>
      <c r="FC173" s="117"/>
      <c r="FD173" s="117"/>
      <c r="FE173" s="117"/>
      <c r="FF173" s="117"/>
      <c r="FG173" s="117"/>
      <c r="FH173" s="117"/>
      <c r="FI173" s="117"/>
      <c r="FJ173" s="117"/>
      <c r="FK173" s="117"/>
      <c r="FL173" s="117"/>
    </row>
    <row r="174" spans="1:169" x14ac:dyDescent="0.25">
      <c r="A174" s="1460"/>
      <c r="B174" s="115"/>
      <c r="C174" s="250"/>
      <c r="D174" s="431"/>
      <c r="E174" s="431"/>
      <c r="F174" s="431"/>
      <c r="G174" s="250"/>
      <c r="H174" s="250"/>
      <c r="I174" s="431"/>
      <c r="J174" s="473"/>
      <c r="K174" s="473"/>
      <c r="L174" s="473"/>
      <c r="M174" s="473"/>
      <c r="N174" s="473"/>
      <c r="O174" s="473"/>
      <c r="P174" s="473"/>
      <c r="Q174" s="473"/>
      <c r="R174" s="473"/>
      <c r="S174" s="473"/>
      <c r="T174" s="473"/>
      <c r="U174" s="473"/>
      <c r="V174" s="473"/>
      <c r="W174" s="473"/>
      <c r="X174" s="473"/>
      <c r="Y174" s="473"/>
      <c r="Z174" s="473"/>
      <c r="AA174" s="473"/>
      <c r="AB174" s="473"/>
      <c r="AC174" s="473"/>
      <c r="AD174" s="473"/>
      <c r="AE174" s="473"/>
      <c r="AF174" s="473"/>
      <c r="AG174" s="473"/>
      <c r="AH174" s="473"/>
      <c r="AI174" s="473"/>
      <c r="AJ174" s="473"/>
      <c r="AK174" s="473"/>
      <c r="AL174" s="473"/>
      <c r="AM174" s="473"/>
      <c r="AN174" s="473"/>
      <c r="AO174" s="473"/>
      <c r="AP174" s="473"/>
      <c r="AQ174" s="473"/>
      <c r="AR174" s="473"/>
      <c r="AS174" s="473"/>
      <c r="AT174" s="473"/>
      <c r="AU174" s="473"/>
      <c r="AV174" s="473"/>
      <c r="AW174" s="473"/>
      <c r="AX174" s="473"/>
      <c r="AY174" s="473"/>
      <c r="AZ174" s="473"/>
      <c r="BA174" s="473"/>
      <c r="BB174" s="473"/>
      <c r="BC174" s="473"/>
      <c r="BD174" s="473"/>
      <c r="BE174" s="473"/>
      <c r="BF174" s="473"/>
      <c r="BG174" s="473"/>
      <c r="BH174" s="473"/>
      <c r="BI174" s="473"/>
      <c r="BJ174" s="473"/>
      <c r="BK174" s="473"/>
      <c r="BL174" s="473"/>
      <c r="BM174" s="473"/>
      <c r="BN174" s="473"/>
      <c r="BO174" s="473"/>
      <c r="BP174" s="473"/>
      <c r="BQ174" s="473"/>
      <c r="BR174" s="473"/>
      <c r="BS174" s="473"/>
      <c r="BT174" s="473"/>
      <c r="BU174" s="473"/>
      <c r="BV174" s="473"/>
      <c r="BW174" s="473"/>
      <c r="BX174" s="473"/>
      <c r="BY174" s="473"/>
      <c r="BZ174" s="473"/>
      <c r="CA174" s="473"/>
      <c r="CB174" s="473"/>
      <c r="CC174" s="473"/>
      <c r="CD174" s="473"/>
      <c r="CE174" s="473"/>
      <c r="CF174" s="473"/>
      <c r="CG174" s="473"/>
      <c r="CH174" s="473"/>
      <c r="CI174" s="473"/>
      <c r="CJ174" s="473"/>
      <c r="CK174" s="473"/>
      <c r="CL174" s="473"/>
      <c r="CM174" s="473"/>
      <c r="CN174" s="473"/>
      <c r="CO174" s="473"/>
      <c r="CP174" s="473"/>
      <c r="CQ174" s="473"/>
      <c r="CR174" s="473"/>
      <c r="CS174" s="473"/>
      <c r="CT174" s="473"/>
      <c r="CU174" s="473"/>
      <c r="CV174" s="473"/>
      <c r="CW174" s="473"/>
      <c r="CX174" s="473"/>
      <c r="CY174" s="473"/>
      <c r="CZ174" s="473"/>
      <c r="DA174" s="473"/>
      <c r="DB174" s="473"/>
      <c r="DC174" s="473"/>
      <c r="DD174" s="473"/>
      <c r="DE174" s="473"/>
      <c r="DF174" s="473"/>
      <c r="DG174" s="473"/>
      <c r="DH174" s="473"/>
      <c r="DI174" s="473"/>
      <c r="DJ174" s="473"/>
      <c r="DK174" s="473"/>
      <c r="DL174" s="473"/>
      <c r="DM174" s="473"/>
      <c r="DN174" s="473"/>
      <c r="DO174" s="473"/>
      <c r="DP174" s="473"/>
      <c r="DQ174" s="473"/>
      <c r="DR174" s="473"/>
      <c r="DS174" s="473"/>
      <c r="DT174" s="473"/>
      <c r="DU174" s="473"/>
      <c r="DV174" s="473"/>
      <c r="DW174" s="473"/>
      <c r="DX174" s="473"/>
      <c r="DY174" s="473"/>
      <c r="DZ174" s="473"/>
      <c r="EA174" s="473"/>
      <c r="EB174" s="473"/>
      <c r="EC174" s="473"/>
      <c r="ED174" s="473"/>
      <c r="EE174" s="473"/>
      <c r="EF174" s="473"/>
      <c r="EG174" s="473"/>
      <c r="EH174" s="473"/>
      <c r="EI174" s="473"/>
      <c r="EJ174" s="473"/>
      <c r="EK174" s="473"/>
      <c r="EL174" s="473"/>
      <c r="EM174" s="473"/>
      <c r="EN174" s="473"/>
      <c r="EO174" s="473"/>
      <c r="EP174" s="473"/>
      <c r="EQ174" s="473"/>
      <c r="ER174" s="473"/>
      <c r="ES174" s="473"/>
      <c r="ET174" s="473"/>
      <c r="EU174" s="473"/>
      <c r="EV174" s="473"/>
      <c r="EW174" s="473"/>
      <c r="EX174" s="473"/>
      <c r="EY174" s="927">
        <f t="shared" si="110"/>
        <v>0</v>
      </c>
      <c r="EZ174" s="117"/>
      <c r="FA174" s="117"/>
      <c r="FB174" s="117"/>
      <c r="FC174" s="117"/>
      <c r="FD174" s="117"/>
      <c r="FE174" s="117"/>
      <c r="FF174" s="117"/>
      <c r="FG174" s="117"/>
      <c r="FH174" s="117"/>
      <c r="FI174" s="117"/>
      <c r="FJ174" s="117"/>
      <c r="FK174" s="117"/>
      <c r="FL174" s="117"/>
    </row>
    <row r="175" spans="1:169" x14ac:dyDescent="0.25">
      <c r="A175" s="1461"/>
      <c r="B175" s="115"/>
      <c r="C175" s="250"/>
      <c r="D175" s="431"/>
      <c r="E175" s="431"/>
      <c r="F175" s="431"/>
      <c r="G175" s="250"/>
      <c r="H175" s="250"/>
      <c r="I175" s="431"/>
      <c r="J175" s="473"/>
      <c r="K175" s="473"/>
      <c r="L175" s="473"/>
      <c r="M175" s="473"/>
      <c r="N175" s="473"/>
      <c r="O175" s="473"/>
      <c r="P175" s="473"/>
      <c r="Q175" s="473"/>
      <c r="R175" s="473"/>
      <c r="S175" s="473"/>
      <c r="T175" s="473"/>
      <c r="U175" s="473"/>
      <c r="V175" s="473"/>
      <c r="W175" s="473"/>
      <c r="X175" s="473"/>
      <c r="Y175" s="473"/>
      <c r="Z175" s="473"/>
      <c r="AA175" s="473"/>
      <c r="AB175" s="473"/>
      <c r="AC175" s="473"/>
      <c r="AD175" s="473"/>
      <c r="AE175" s="473"/>
      <c r="AF175" s="473"/>
      <c r="AG175" s="473"/>
      <c r="AH175" s="473"/>
      <c r="AI175" s="473"/>
      <c r="AJ175" s="473"/>
      <c r="AK175" s="473"/>
      <c r="AL175" s="473"/>
      <c r="AM175" s="473"/>
      <c r="AN175" s="473"/>
      <c r="AO175" s="473"/>
      <c r="AP175" s="473"/>
      <c r="AQ175" s="473"/>
      <c r="AR175" s="473"/>
      <c r="AS175" s="473"/>
      <c r="AT175" s="473"/>
      <c r="AU175" s="473"/>
      <c r="AV175" s="473"/>
      <c r="AW175" s="473"/>
      <c r="AX175" s="473"/>
      <c r="AY175" s="473"/>
      <c r="AZ175" s="473"/>
      <c r="BA175" s="473"/>
      <c r="BB175" s="473"/>
      <c r="BC175" s="473"/>
      <c r="BD175" s="473"/>
      <c r="BE175" s="473"/>
      <c r="BF175" s="473"/>
      <c r="BG175" s="473"/>
      <c r="BH175" s="473"/>
      <c r="BI175" s="473"/>
      <c r="BJ175" s="473"/>
      <c r="BK175" s="473"/>
      <c r="BL175" s="473"/>
      <c r="BM175" s="473"/>
      <c r="BN175" s="473"/>
      <c r="BO175" s="473"/>
      <c r="BP175" s="473"/>
      <c r="BQ175" s="473"/>
      <c r="BR175" s="473"/>
      <c r="BS175" s="473"/>
      <c r="BT175" s="473"/>
      <c r="BU175" s="473"/>
      <c r="BV175" s="473"/>
      <c r="BW175" s="473"/>
      <c r="BX175" s="473"/>
      <c r="BY175" s="473"/>
      <c r="BZ175" s="473"/>
      <c r="CA175" s="473"/>
      <c r="CB175" s="473"/>
      <c r="CC175" s="473"/>
      <c r="CD175" s="473"/>
      <c r="CE175" s="473"/>
      <c r="CF175" s="473"/>
      <c r="CG175" s="473"/>
      <c r="CH175" s="473"/>
      <c r="CI175" s="473"/>
      <c r="CJ175" s="473"/>
      <c r="CK175" s="473"/>
      <c r="CL175" s="473"/>
      <c r="CM175" s="473"/>
      <c r="CN175" s="473"/>
      <c r="CO175" s="473"/>
      <c r="CP175" s="473"/>
      <c r="CQ175" s="473"/>
      <c r="CR175" s="473"/>
      <c r="CS175" s="473"/>
      <c r="CT175" s="473"/>
      <c r="CU175" s="473"/>
      <c r="CV175" s="473"/>
      <c r="CW175" s="473"/>
      <c r="CX175" s="473"/>
      <c r="CY175" s="473"/>
      <c r="CZ175" s="473"/>
      <c r="DA175" s="473"/>
      <c r="DB175" s="473"/>
      <c r="DC175" s="473"/>
      <c r="DD175" s="473"/>
      <c r="DE175" s="473"/>
      <c r="DF175" s="473"/>
      <c r="DG175" s="473"/>
      <c r="DH175" s="473"/>
      <c r="DI175" s="473"/>
      <c r="DJ175" s="473"/>
      <c r="DK175" s="473"/>
      <c r="DL175" s="473"/>
      <c r="DM175" s="473"/>
      <c r="DN175" s="473"/>
      <c r="DO175" s="473"/>
      <c r="DP175" s="473"/>
      <c r="DQ175" s="473"/>
      <c r="DR175" s="473"/>
      <c r="DS175" s="473"/>
      <c r="DT175" s="473"/>
      <c r="DU175" s="473"/>
      <c r="DV175" s="473"/>
      <c r="DW175" s="473"/>
      <c r="DX175" s="473"/>
      <c r="DY175" s="473"/>
      <c r="DZ175" s="473"/>
      <c r="EA175" s="473"/>
      <c r="EB175" s="473"/>
      <c r="EC175" s="473"/>
      <c r="ED175" s="473"/>
      <c r="EE175" s="473"/>
      <c r="EF175" s="473"/>
      <c r="EG175" s="473"/>
      <c r="EH175" s="473"/>
      <c r="EI175" s="473"/>
      <c r="EJ175" s="473"/>
      <c r="EK175" s="473"/>
      <c r="EL175" s="473"/>
      <c r="EM175" s="473"/>
      <c r="EN175" s="473"/>
      <c r="EO175" s="473"/>
      <c r="EP175" s="473"/>
      <c r="EQ175" s="473"/>
      <c r="ER175" s="473"/>
      <c r="ES175" s="473"/>
      <c r="ET175" s="473"/>
      <c r="EU175" s="473"/>
      <c r="EV175" s="473"/>
      <c r="EW175" s="473"/>
      <c r="EX175" s="473"/>
      <c r="EY175" s="927">
        <f t="shared" si="110"/>
        <v>0</v>
      </c>
      <c r="EZ175" s="117"/>
      <c r="FA175" s="117"/>
      <c r="FB175" s="117"/>
      <c r="FC175" s="117"/>
      <c r="FD175" s="117"/>
      <c r="FE175" s="117"/>
      <c r="FF175" s="117"/>
      <c r="FG175" s="117"/>
      <c r="FH175" s="117"/>
      <c r="FI175" s="117"/>
      <c r="FJ175" s="117"/>
      <c r="FK175" s="117"/>
      <c r="FL175" s="117"/>
    </row>
    <row r="176" spans="1:169" x14ac:dyDescent="0.25">
      <c r="A176" s="411"/>
      <c r="B176" s="118" t="s">
        <v>111</v>
      </c>
      <c r="C176" s="422">
        <f>SUM(C167:C175)</f>
        <v>995</v>
      </c>
      <c r="D176" s="842">
        <f>SUM(D167:D175)</f>
        <v>14.45</v>
      </c>
      <c r="E176" s="842">
        <f t="shared" ref="E176:BC176" si="111">SUM(E167:E175)</f>
        <v>24.17</v>
      </c>
      <c r="F176" s="842">
        <f t="shared" si="111"/>
        <v>80.89</v>
      </c>
      <c r="G176" s="422">
        <f t="shared" si="111"/>
        <v>599</v>
      </c>
      <c r="H176" s="422"/>
      <c r="I176" s="842">
        <f t="shared" ref="I176" si="112">SUM(I167:I175)</f>
        <v>43.9</v>
      </c>
      <c r="J176" s="844">
        <f t="shared" si="111"/>
        <v>0</v>
      </c>
      <c r="K176" s="844">
        <f t="shared" si="111"/>
        <v>0</v>
      </c>
      <c r="L176" s="844">
        <f t="shared" si="111"/>
        <v>0</v>
      </c>
      <c r="M176" s="844">
        <f t="shared" si="111"/>
        <v>0</v>
      </c>
      <c r="N176" s="844">
        <f t="shared" si="111"/>
        <v>0</v>
      </c>
      <c r="O176" s="844">
        <f t="shared" si="111"/>
        <v>0</v>
      </c>
      <c r="P176" s="844">
        <f t="shared" si="111"/>
        <v>0</v>
      </c>
      <c r="Q176" s="844">
        <f t="shared" si="111"/>
        <v>0</v>
      </c>
      <c r="R176" s="844">
        <f t="shared" si="111"/>
        <v>0</v>
      </c>
      <c r="S176" s="844">
        <f t="shared" si="111"/>
        <v>0</v>
      </c>
      <c r="T176" s="844">
        <f t="shared" si="111"/>
        <v>0</v>
      </c>
      <c r="U176" s="844">
        <f t="shared" si="111"/>
        <v>0.1</v>
      </c>
      <c r="V176" s="844">
        <f t="shared" si="111"/>
        <v>0.02</v>
      </c>
      <c r="W176" s="844">
        <f t="shared" si="111"/>
        <v>1.6E-2</v>
      </c>
      <c r="X176" s="844">
        <f t="shared" si="111"/>
        <v>0</v>
      </c>
      <c r="Y176" s="844">
        <f t="shared" si="111"/>
        <v>0</v>
      </c>
      <c r="Z176" s="844">
        <f t="shared" si="111"/>
        <v>0</v>
      </c>
      <c r="AA176" s="844">
        <f t="shared" si="111"/>
        <v>0</v>
      </c>
      <c r="AB176" s="844">
        <f t="shared" si="111"/>
        <v>0</v>
      </c>
      <c r="AC176" s="844">
        <f t="shared" si="111"/>
        <v>0</v>
      </c>
      <c r="AD176" s="844">
        <f t="shared" si="111"/>
        <v>0</v>
      </c>
      <c r="AE176" s="844">
        <f t="shared" si="111"/>
        <v>0</v>
      </c>
      <c r="AF176" s="844">
        <f t="shared" si="111"/>
        <v>0</v>
      </c>
      <c r="AG176" s="844">
        <f t="shared" si="111"/>
        <v>0</v>
      </c>
      <c r="AH176" s="844">
        <f t="shared" si="111"/>
        <v>0</v>
      </c>
      <c r="AI176" s="844">
        <f t="shared" si="111"/>
        <v>0</v>
      </c>
      <c r="AJ176" s="844">
        <f t="shared" si="111"/>
        <v>0</v>
      </c>
      <c r="AK176" s="844">
        <f t="shared" si="111"/>
        <v>0</v>
      </c>
      <c r="AL176" s="844">
        <f t="shared" si="111"/>
        <v>0</v>
      </c>
      <c r="AM176" s="844">
        <f t="shared" si="111"/>
        <v>0</v>
      </c>
      <c r="AN176" s="844">
        <f t="shared" si="111"/>
        <v>0</v>
      </c>
      <c r="AO176" s="844">
        <f t="shared" si="111"/>
        <v>0</v>
      </c>
      <c r="AP176" s="844">
        <f t="shared" si="111"/>
        <v>0</v>
      </c>
      <c r="AQ176" s="844">
        <f t="shared" si="111"/>
        <v>0</v>
      </c>
      <c r="AR176" s="844">
        <f t="shared" si="111"/>
        <v>0</v>
      </c>
      <c r="AS176" s="844">
        <f t="shared" si="111"/>
        <v>0</v>
      </c>
      <c r="AT176" s="844">
        <f t="shared" si="111"/>
        <v>0</v>
      </c>
      <c r="AU176" s="844">
        <f t="shared" si="111"/>
        <v>0</v>
      </c>
      <c r="AV176" s="844">
        <f t="shared" si="111"/>
        <v>0</v>
      </c>
      <c r="AW176" s="844">
        <f t="shared" si="111"/>
        <v>0</v>
      </c>
      <c r="AX176" s="844">
        <f t="shared" si="111"/>
        <v>0</v>
      </c>
      <c r="AY176" s="844">
        <f t="shared" si="111"/>
        <v>0</v>
      </c>
      <c r="AZ176" s="844">
        <f t="shared" si="111"/>
        <v>0</v>
      </c>
      <c r="BA176" s="844">
        <f t="shared" si="111"/>
        <v>0</v>
      </c>
      <c r="BB176" s="844">
        <f t="shared" si="111"/>
        <v>0</v>
      </c>
      <c r="BC176" s="844">
        <f t="shared" si="111"/>
        <v>0</v>
      </c>
      <c r="BD176" s="844">
        <f t="shared" ref="BD176:DO176" si="113">SUM(BD167:BD175)</f>
        <v>0</v>
      </c>
      <c r="BE176" s="844">
        <f t="shared" si="113"/>
        <v>0</v>
      </c>
      <c r="BF176" s="844">
        <f t="shared" si="113"/>
        <v>0</v>
      </c>
      <c r="BG176" s="844">
        <f t="shared" si="113"/>
        <v>0</v>
      </c>
      <c r="BH176" s="844">
        <f t="shared" si="113"/>
        <v>0</v>
      </c>
      <c r="BI176" s="844">
        <f t="shared" si="113"/>
        <v>0</v>
      </c>
      <c r="BJ176" s="844">
        <f t="shared" si="113"/>
        <v>0</v>
      </c>
      <c r="BK176" s="844">
        <f t="shared" si="113"/>
        <v>0</v>
      </c>
      <c r="BL176" s="844">
        <f t="shared" si="113"/>
        <v>0</v>
      </c>
      <c r="BM176" s="844">
        <f t="shared" si="113"/>
        <v>0</v>
      </c>
      <c r="BN176" s="844">
        <f t="shared" si="113"/>
        <v>0</v>
      </c>
      <c r="BO176" s="844">
        <f t="shared" si="113"/>
        <v>0</v>
      </c>
      <c r="BP176" s="844">
        <f t="shared" si="113"/>
        <v>0</v>
      </c>
      <c r="BQ176" s="844">
        <f t="shared" si="113"/>
        <v>0</v>
      </c>
      <c r="BR176" s="844">
        <f t="shared" si="113"/>
        <v>0</v>
      </c>
      <c r="BS176" s="844">
        <f t="shared" si="113"/>
        <v>0</v>
      </c>
      <c r="BT176" s="844">
        <f t="shared" si="113"/>
        <v>0</v>
      </c>
      <c r="BU176" s="844">
        <f t="shared" si="113"/>
        <v>3.1E-2</v>
      </c>
      <c r="BV176" s="844">
        <f t="shared" si="113"/>
        <v>0</v>
      </c>
      <c r="BW176" s="844">
        <f t="shared" si="113"/>
        <v>0</v>
      </c>
      <c r="BX176" s="844">
        <f t="shared" si="113"/>
        <v>0</v>
      </c>
      <c r="BY176" s="844">
        <f t="shared" si="113"/>
        <v>0</v>
      </c>
      <c r="BZ176" s="844">
        <f t="shared" si="113"/>
        <v>0</v>
      </c>
      <c r="CA176" s="844">
        <f t="shared" si="113"/>
        <v>0</v>
      </c>
      <c r="CB176" s="844">
        <f t="shared" si="113"/>
        <v>0</v>
      </c>
      <c r="CC176" s="844">
        <f t="shared" si="113"/>
        <v>0</v>
      </c>
      <c r="CD176" s="844">
        <f t="shared" si="113"/>
        <v>0</v>
      </c>
      <c r="CE176" s="844">
        <f t="shared" si="113"/>
        <v>0</v>
      </c>
      <c r="CF176" s="844">
        <f t="shared" si="113"/>
        <v>0</v>
      </c>
      <c r="CG176" s="844">
        <f t="shared" si="113"/>
        <v>0</v>
      </c>
      <c r="CH176" s="844">
        <f t="shared" si="113"/>
        <v>0</v>
      </c>
      <c r="CI176" s="844">
        <f t="shared" si="113"/>
        <v>0</v>
      </c>
      <c r="CJ176" s="844">
        <f t="shared" si="113"/>
        <v>0</v>
      </c>
      <c r="CK176" s="844">
        <f t="shared" si="113"/>
        <v>0</v>
      </c>
      <c r="CL176" s="844">
        <f t="shared" si="113"/>
        <v>0</v>
      </c>
      <c r="CM176" s="844">
        <f t="shared" si="113"/>
        <v>0</v>
      </c>
      <c r="CN176" s="844">
        <f t="shared" si="113"/>
        <v>0</v>
      </c>
      <c r="CO176" s="844">
        <f t="shared" si="113"/>
        <v>0</v>
      </c>
      <c r="CP176" s="844">
        <f t="shared" si="113"/>
        <v>0</v>
      </c>
      <c r="CQ176" s="844">
        <f t="shared" si="113"/>
        <v>0</v>
      </c>
      <c r="CR176" s="844">
        <f t="shared" si="113"/>
        <v>0</v>
      </c>
      <c r="CS176" s="844">
        <f t="shared" si="113"/>
        <v>0</v>
      </c>
      <c r="CT176" s="844">
        <f t="shared" si="113"/>
        <v>0</v>
      </c>
      <c r="CU176" s="844">
        <f t="shared" si="113"/>
        <v>0</v>
      </c>
      <c r="CV176" s="844">
        <f t="shared" si="113"/>
        <v>0</v>
      </c>
      <c r="CW176" s="844">
        <f t="shared" si="113"/>
        <v>0</v>
      </c>
      <c r="CX176" s="844">
        <f t="shared" si="113"/>
        <v>0</v>
      </c>
      <c r="CY176" s="844">
        <f t="shared" si="113"/>
        <v>0</v>
      </c>
      <c r="CZ176" s="844">
        <f t="shared" si="113"/>
        <v>3.1E-2</v>
      </c>
      <c r="DA176" s="844">
        <f t="shared" si="113"/>
        <v>0</v>
      </c>
      <c r="DB176" s="844">
        <f t="shared" si="113"/>
        <v>0</v>
      </c>
      <c r="DC176" s="844">
        <f t="shared" si="113"/>
        <v>0</v>
      </c>
      <c r="DD176" s="844">
        <f t="shared" si="113"/>
        <v>0</v>
      </c>
      <c r="DE176" s="844">
        <f t="shared" si="113"/>
        <v>0</v>
      </c>
      <c r="DF176" s="844">
        <f t="shared" si="113"/>
        <v>0</v>
      </c>
      <c r="DG176" s="844">
        <f t="shared" si="113"/>
        <v>0</v>
      </c>
      <c r="DH176" s="844">
        <f t="shared" si="113"/>
        <v>0</v>
      </c>
      <c r="DI176" s="844">
        <f t="shared" si="113"/>
        <v>0</v>
      </c>
      <c r="DJ176" s="844">
        <f t="shared" si="113"/>
        <v>0</v>
      </c>
      <c r="DK176" s="844">
        <f t="shared" si="113"/>
        <v>0</v>
      </c>
      <c r="DL176" s="844">
        <f t="shared" si="113"/>
        <v>0</v>
      </c>
      <c r="DM176" s="844">
        <f t="shared" si="113"/>
        <v>0</v>
      </c>
      <c r="DN176" s="844">
        <f t="shared" si="113"/>
        <v>0</v>
      </c>
      <c r="DO176" s="844">
        <f t="shared" si="113"/>
        <v>0</v>
      </c>
      <c r="DP176" s="844">
        <f t="shared" ref="DP176:EX176" si="114">SUM(DP167:DP175)</f>
        <v>0</v>
      </c>
      <c r="DQ176" s="844">
        <f t="shared" si="114"/>
        <v>0</v>
      </c>
      <c r="DR176" s="844">
        <f t="shared" si="114"/>
        <v>5.0000000000000001E-4</v>
      </c>
      <c r="DS176" s="844">
        <f t="shared" si="114"/>
        <v>0</v>
      </c>
      <c r="DT176" s="844">
        <f t="shared" si="114"/>
        <v>0</v>
      </c>
      <c r="DU176" s="844">
        <f t="shared" si="114"/>
        <v>0</v>
      </c>
      <c r="DV176" s="844">
        <f t="shared" si="114"/>
        <v>0</v>
      </c>
      <c r="DW176" s="844">
        <f t="shared" si="114"/>
        <v>0</v>
      </c>
      <c r="DX176" s="844">
        <f t="shared" si="114"/>
        <v>0</v>
      </c>
      <c r="DY176" s="844">
        <f t="shared" si="114"/>
        <v>0</v>
      </c>
      <c r="DZ176" s="844">
        <f t="shared" si="114"/>
        <v>0</v>
      </c>
      <c r="EA176" s="844">
        <f t="shared" si="114"/>
        <v>0</v>
      </c>
      <c r="EB176" s="844">
        <f t="shared" si="114"/>
        <v>0.5</v>
      </c>
      <c r="EC176" s="844">
        <f t="shared" si="114"/>
        <v>0</v>
      </c>
      <c r="ED176" s="844">
        <f t="shared" si="114"/>
        <v>0</v>
      </c>
      <c r="EE176" s="844">
        <f t="shared" si="114"/>
        <v>0</v>
      </c>
      <c r="EF176" s="844">
        <f t="shared" si="114"/>
        <v>0</v>
      </c>
      <c r="EG176" s="844">
        <f t="shared" si="114"/>
        <v>0</v>
      </c>
      <c r="EH176" s="844">
        <f t="shared" si="114"/>
        <v>0</v>
      </c>
      <c r="EI176" s="844">
        <f t="shared" si="114"/>
        <v>0</v>
      </c>
      <c r="EJ176" s="844">
        <f t="shared" si="114"/>
        <v>0</v>
      </c>
      <c r="EK176" s="844">
        <f t="shared" si="114"/>
        <v>0</v>
      </c>
      <c r="EL176" s="844">
        <f t="shared" si="114"/>
        <v>0</v>
      </c>
      <c r="EM176" s="844">
        <f t="shared" si="114"/>
        <v>0</v>
      </c>
      <c r="EN176" s="844">
        <f t="shared" si="114"/>
        <v>0</v>
      </c>
      <c r="EO176" s="844">
        <f t="shared" si="114"/>
        <v>0</v>
      </c>
      <c r="EP176" s="844">
        <f t="shared" si="114"/>
        <v>0</v>
      </c>
      <c r="EQ176" s="844">
        <f t="shared" si="114"/>
        <v>0</v>
      </c>
      <c r="ER176" s="844">
        <f t="shared" si="114"/>
        <v>0</v>
      </c>
      <c r="ES176" s="844">
        <f t="shared" si="114"/>
        <v>0</v>
      </c>
      <c r="ET176" s="844">
        <f t="shared" si="114"/>
        <v>0</v>
      </c>
      <c r="EU176" s="844">
        <f t="shared" si="114"/>
        <v>0</v>
      </c>
      <c r="EV176" s="844">
        <f t="shared" si="114"/>
        <v>0.03</v>
      </c>
      <c r="EW176" s="844">
        <f t="shared" si="114"/>
        <v>0.02</v>
      </c>
      <c r="EX176" s="844">
        <f t="shared" si="114"/>
        <v>0</v>
      </c>
      <c r="EY176" s="847">
        <f t="shared" ref="EY176:FL176" si="115">SUM(EY167:EY175)</f>
        <v>0.74850000000000005</v>
      </c>
      <c r="EZ176" s="534">
        <f t="shared" si="115"/>
        <v>0</v>
      </c>
      <c r="FA176" s="534">
        <f t="shared" si="115"/>
        <v>0</v>
      </c>
      <c r="FB176" s="534">
        <f t="shared" si="115"/>
        <v>0</v>
      </c>
      <c r="FC176" s="534">
        <f t="shared" si="115"/>
        <v>0</v>
      </c>
      <c r="FD176" s="534">
        <f t="shared" si="115"/>
        <v>0</v>
      </c>
      <c r="FE176" s="534">
        <f t="shared" si="115"/>
        <v>0</v>
      </c>
      <c r="FF176" s="534">
        <f t="shared" si="115"/>
        <v>0</v>
      </c>
      <c r="FG176" s="534">
        <f t="shared" si="115"/>
        <v>0</v>
      </c>
      <c r="FH176" s="534">
        <f t="shared" si="115"/>
        <v>0</v>
      </c>
      <c r="FI176" s="534">
        <f t="shared" si="115"/>
        <v>0</v>
      </c>
      <c r="FJ176" s="534">
        <f t="shared" si="115"/>
        <v>0</v>
      </c>
      <c r="FK176" s="534">
        <f t="shared" si="115"/>
        <v>0</v>
      </c>
      <c r="FL176" s="534">
        <f t="shared" si="115"/>
        <v>0</v>
      </c>
    </row>
    <row r="177" spans="1:168" x14ac:dyDescent="0.25">
      <c r="A177" s="1465" t="s">
        <v>112</v>
      </c>
      <c r="B177" s="115" t="str">
        <f>блюда!B43</f>
        <v>Винегрет овощной (с горошком) с луком зеленым</v>
      </c>
      <c r="C177" s="250">
        <f>блюда!C43</f>
        <v>75</v>
      </c>
      <c r="D177" s="431">
        <f>блюда!D43</f>
        <v>1.04</v>
      </c>
      <c r="E177" s="431">
        <f>блюда!E43</f>
        <v>7.52</v>
      </c>
      <c r="F177" s="431">
        <f>блюда!F43</f>
        <v>4.91</v>
      </c>
      <c r="G177" s="250">
        <f>блюда!G43</f>
        <v>92</v>
      </c>
      <c r="H177" s="250">
        <f>блюда!H43</f>
        <v>67</v>
      </c>
      <c r="I177" s="431">
        <f>блюда!I43</f>
        <v>10</v>
      </c>
      <c r="J177" s="473">
        <f>блюда!J43</f>
        <v>0</v>
      </c>
      <c r="K177" s="473">
        <f>блюда!K43</f>
        <v>0</v>
      </c>
      <c r="L177" s="473">
        <f>блюда!L43</f>
        <v>0</v>
      </c>
      <c r="M177" s="473">
        <f>блюда!M43</f>
        <v>0</v>
      </c>
      <c r="N177" s="473">
        <f>блюда!N43</f>
        <v>0</v>
      </c>
      <c r="O177" s="473">
        <f>блюда!O43</f>
        <v>0</v>
      </c>
      <c r="P177" s="473">
        <f>блюда!P43</f>
        <v>0</v>
      </c>
      <c r="Q177" s="473">
        <f>блюда!Q43</f>
        <v>0</v>
      </c>
      <c r="R177" s="473">
        <f>блюда!R43</f>
        <v>0</v>
      </c>
      <c r="S177" s="473">
        <f>блюда!S43</f>
        <v>0</v>
      </c>
      <c r="T177" s="473">
        <f>блюда!T43</f>
        <v>0</v>
      </c>
      <c r="U177" s="473">
        <f>блюда!U43</f>
        <v>0</v>
      </c>
      <c r="V177" s="473">
        <f>блюда!V43</f>
        <v>0</v>
      </c>
      <c r="W177" s="473">
        <f>блюда!W43</f>
        <v>0</v>
      </c>
      <c r="X177" s="473">
        <f>блюда!X43</f>
        <v>0</v>
      </c>
      <c r="Y177" s="473">
        <f>блюда!Y43</f>
        <v>0</v>
      </c>
      <c r="Z177" s="473">
        <f>блюда!Z43</f>
        <v>0</v>
      </c>
      <c r="AA177" s="473">
        <f>блюда!AA43</f>
        <v>0</v>
      </c>
      <c r="AB177" s="473">
        <f>блюда!AB43</f>
        <v>0</v>
      </c>
      <c r="AC177" s="473">
        <f>блюда!AC43</f>
        <v>0</v>
      </c>
      <c r="AD177" s="473">
        <f>блюда!AD43</f>
        <v>0</v>
      </c>
      <c r="AE177" s="473">
        <f>блюда!AE43</f>
        <v>0</v>
      </c>
      <c r="AF177" s="473">
        <f>блюда!AF43</f>
        <v>0</v>
      </c>
      <c r="AG177" s="473">
        <f>блюда!AG43</f>
        <v>0</v>
      </c>
      <c r="AH177" s="473">
        <f>блюда!AH43</f>
        <v>2.2120000000000001E-2</v>
      </c>
      <c r="AI177" s="473">
        <f>блюда!AI43</f>
        <v>0</v>
      </c>
      <c r="AJ177" s="473">
        <f>блюда!AJ43</f>
        <v>0</v>
      </c>
      <c r="AK177" s="473">
        <f>блюда!AK43</f>
        <v>0</v>
      </c>
      <c r="AL177" s="473">
        <f>блюда!AL43</f>
        <v>1.439E-2</v>
      </c>
      <c r="AM177" s="473">
        <f>блюда!AM43</f>
        <v>0</v>
      </c>
      <c r="AN177" s="473">
        <f>блюда!AN43</f>
        <v>0</v>
      </c>
      <c r="AO177" s="473">
        <f>блюда!AO43</f>
        <v>0</v>
      </c>
      <c r="AP177" s="473">
        <f>блюда!AP43</f>
        <v>0</v>
      </c>
      <c r="AQ177" s="473">
        <f>блюда!AQ43</f>
        <v>9.6399999999999993E-3</v>
      </c>
      <c r="AR177" s="473">
        <f>блюда!AR43</f>
        <v>0</v>
      </c>
      <c r="AS177" s="473">
        <f>блюда!AS43</f>
        <v>0</v>
      </c>
      <c r="AT177" s="473">
        <f>блюда!AT43</f>
        <v>0</v>
      </c>
      <c r="AU177" s="473">
        <f>блюда!AU43</f>
        <v>0</v>
      </c>
      <c r="AV177" s="473">
        <f>блюда!AV43</f>
        <v>0</v>
      </c>
      <c r="AW177" s="473">
        <f>блюда!AW43</f>
        <v>0</v>
      </c>
      <c r="AX177" s="473">
        <f>блюда!AX43</f>
        <v>1.4619999999999999E-2</v>
      </c>
      <c r="AY177" s="473">
        <f>блюда!AY43</f>
        <v>0</v>
      </c>
      <c r="AZ177" s="473">
        <f>блюда!AZ43</f>
        <v>0</v>
      </c>
      <c r="BA177" s="473">
        <f>блюда!BA43</f>
        <v>0</v>
      </c>
      <c r="BB177" s="473">
        <f>блюда!BB43</f>
        <v>0</v>
      </c>
      <c r="BC177" s="473">
        <f>блюда!BC43</f>
        <v>0</v>
      </c>
      <c r="BD177" s="473">
        <f>блюда!BD43</f>
        <v>0</v>
      </c>
      <c r="BE177" s="473">
        <f>блюда!BE43</f>
        <v>0</v>
      </c>
      <c r="BF177" s="473">
        <f>блюда!BF43</f>
        <v>0</v>
      </c>
      <c r="BG177" s="473">
        <f>блюда!BG43</f>
        <v>0</v>
      </c>
      <c r="BH177" s="473">
        <f>блюда!BH43</f>
        <v>0</v>
      </c>
      <c r="BI177" s="473">
        <f>блюда!BI43</f>
        <v>0</v>
      </c>
      <c r="BJ177" s="473">
        <f>блюда!BJ43</f>
        <v>0</v>
      </c>
      <c r="BK177" s="473">
        <f>блюда!BK43</f>
        <v>0</v>
      </c>
      <c r="BL177" s="473">
        <f>блюда!BL43</f>
        <v>0</v>
      </c>
      <c r="BM177" s="473">
        <f>блюда!BM43</f>
        <v>0</v>
      </c>
      <c r="BN177" s="473">
        <f>блюда!BN43</f>
        <v>0</v>
      </c>
      <c r="BO177" s="473">
        <f>блюда!BO43</f>
        <v>0</v>
      </c>
      <c r="BP177" s="473">
        <f>блюда!BP43</f>
        <v>0</v>
      </c>
      <c r="BQ177" s="473">
        <f>блюда!BQ43</f>
        <v>0</v>
      </c>
      <c r="BR177" s="473">
        <f>блюда!BR43</f>
        <v>0</v>
      </c>
      <c r="BS177" s="473">
        <f>блюда!BS43</f>
        <v>0</v>
      </c>
      <c r="BT177" s="473">
        <f>блюда!BT43</f>
        <v>0</v>
      </c>
      <c r="BU177" s="473">
        <f>блюда!BU43</f>
        <v>0</v>
      </c>
      <c r="BV177" s="473">
        <f>блюда!BV43</f>
        <v>0</v>
      </c>
      <c r="BW177" s="473">
        <f>блюда!BW43</f>
        <v>0</v>
      </c>
      <c r="BX177" s="473">
        <f>блюда!BX43</f>
        <v>0</v>
      </c>
      <c r="BY177" s="473">
        <f>блюда!BY43</f>
        <v>0</v>
      </c>
      <c r="BZ177" s="473">
        <f>блюда!BZ43</f>
        <v>0</v>
      </c>
      <c r="CA177" s="473">
        <f>блюда!CA43</f>
        <v>0</v>
      </c>
      <c r="CB177" s="473">
        <f>блюда!CB43</f>
        <v>0</v>
      </c>
      <c r="CC177" s="473">
        <f>блюда!CC43</f>
        <v>0</v>
      </c>
      <c r="CD177" s="473">
        <f>блюда!CD43</f>
        <v>0</v>
      </c>
      <c r="CE177" s="473">
        <f>блюда!CE43</f>
        <v>0</v>
      </c>
      <c r="CF177" s="473">
        <f>блюда!CF43</f>
        <v>7.6499999999999997E-3</v>
      </c>
      <c r="CG177" s="473">
        <f>блюда!CG43</f>
        <v>0</v>
      </c>
      <c r="CH177" s="473">
        <f>блюда!CH43</f>
        <v>0</v>
      </c>
      <c r="CI177" s="473">
        <f>блюда!CI43</f>
        <v>0</v>
      </c>
      <c r="CJ177" s="473">
        <f>блюда!CJ43</f>
        <v>0</v>
      </c>
      <c r="CK177" s="473">
        <f>блюда!CK43</f>
        <v>0</v>
      </c>
      <c r="CL177" s="473">
        <f>блюда!CL43</f>
        <v>0</v>
      </c>
      <c r="CM177" s="473">
        <f>блюда!CM43</f>
        <v>0</v>
      </c>
      <c r="CN177" s="473">
        <f>блюда!CN43</f>
        <v>0</v>
      </c>
      <c r="CO177" s="473">
        <f>блюда!CO43</f>
        <v>0</v>
      </c>
      <c r="CP177" s="473">
        <f>блюда!CP43</f>
        <v>0</v>
      </c>
      <c r="CQ177" s="473">
        <f>блюда!CQ43</f>
        <v>0</v>
      </c>
      <c r="CR177" s="473">
        <f>блюда!CR43</f>
        <v>0</v>
      </c>
      <c r="CS177" s="473">
        <f>блюда!CS43</f>
        <v>0</v>
      </c>
      <c r="CT177" s="473">
        <f>блюда!CT43</f>
        <v>1.439E-2</v>
      </c>
      <c r="CU177" s="473">
        <f>блюда!CU43</f>
        <v>0</v>
      </c>
      <c r="CV177" s="473">
        <f>блюда!CV43</f>
        <v>0</v>
      </c>
      <c r="CW177" s="473">
        <f>блюда!CW43</f>
        <v>0</v>
      </c>
      <c r="CX177" s="473">
        <f>блюда!CX43</f>
        <v>0</v>
      </c>
      <c r="CY177" s="473">
        <f>блюда!CY43</f>
        <v>0</v>
      </c>
      <c r="CZ177" s="473">
        <f>блюда!CZ43</f>
        <v>0</v>
      </c>
      <c r="DA177" s="473">
        <f>блюда!DA43</f>
        <v>0</v>
      </c>
      <c r="DB177" s="473">
        <f>блюда!DB43</f>
        <v>0</v>
      </c>
      <c r="DC177" s="473">
        <f>блюда!DC43</f>
        <v>1.99E-3</v>
      </c>
      <c r="DD177" s="473">
        <f>блюда!DD43</f>
        <v>0</v>
      </c>
      <c r="DE177" s="473">
        <f>блюда!DE43</f>
        <v>0</v>
      </c>
      <c r="DF177" s="473">
        <f>блюда!DF43</f>
        <v>0</v>
      </c>
      <c r="DG177" s="473">
        <f>блюда!DG43</f>
        <v>0</v>
      </c>
      <c r="DH177" s="473">
        <f>блюда!DH43</f>
        <v>0</v>
      </c>
      <c r="DI177" s="473">
        <f>блюда!DI43</f>
        <v>0</v>
      </c>
      <c r="DJ177" s="473">
        <f>блюда!DJ43</f>
        <v>0</v>
      </c>
      <c r="DK177" s="473">
        <f>блюда!DK43</f>
        <v>0</v>
      </c>
      <c r="DL177" s="473">
        <f>блюда!DL43</f>
        <v>0</v>
      </c>
      <c r="DM177" s="473">
        <f>блюда!DM43</f>
        <v>0</v>
      </c>
      <c r="DN177" s="473">
        <f>блюда!DN43</f>
        <v>0</v>
      </c>
      <c r="DO177" s="473">
        <f>блюда!DO43</f>
        <v>0</v>
      </c>
      <c r="DP177" s="473">
        <f>блюда!DP43</f>
        <v>0</v>
      </c>
      <c r="DQ177" s="473">
        <f>блюда!DQ43</f>
        <v>0</v>
      </c>
      <c r="DR177" s="473">
        <f>блюда!DR43</f>
        <v>0</v>
      </c>
      <c r="DS177" s="473">
        <f>блюда!DS43</f>
        <v>0</v>
      </c>
      <c r="DT177" s="473">
        <f>блюда!DT43</f>
        <v>0</v>
      </c>
      <c r="DU177" s="473">
        <f>блюда!DU43</f>
        <v>7.6499999999999997E-3</v>
      </c>
      <c r="DV177" s="473">
        <f>блюда!DV43</f>
        <v>0</v>
      </c>
      <c r="DW177" s="473">
        <f>блюда!DW43</f>
        <v>0</v>
      </c>
      <c r="DX177" s="473">
        <f>блюда!DX43</f>
        <v>0</v>
      </c>
      <c r="DY177" s="473">
        <f>блюда!DY43</f>
        <v>0</v>
      </c>
      <c r="DZ177" s="473">
        <f>блюда!DZ43</f>
        <v>0</v>
      </c>
      <c r="EA177" s="473">
        <f>блюда!EA43</f>
        <v>0</v>
      </c>
      <c r="EB177" s="473">
        <f>блюда!EB43</f>
        <v>0</v>
      </c>
      <c r="EC177" s="473">
        <f>блюда!EC43</f>
        <v>0</v>
      </c>
      <c r="ED177" s="473">
        <f>блюда!ED43</f>
        <v>0</v>
      </c>
      <c r="EE177" s="473">
        <f>блюда!EE43</f>
        <v>0</v>
      </c>
      <c r="EF177" s="473">
        <f>блюда!EF43</f>
        <v>0</v>
      </c>
      <c r="EG177" s="473">
        <f>блюда!EG43</f>
        <v>0</v>
      </c>
      <c r="EH177" s="473">
        <f>блюда!EH43</f>
        <v>0</v>
      </c>
      <c r="EI177" s="473">
        <f>блюда!EI43</f>
        <v>0</v>
      </c>
      <c r="EJ177" s="473">
        <f>блюда!EJ43</f>
        <v>0</v>
      </c>
      <c r="EK177" s="473">
        <f>блюда!EK43</f>
        <v>0</v>
      </c>
      <c r="EL177" s="473">
        <f>блюда!EL43</f>
        <v>0</v>
      </c>
      <c r="EM177" s="473">
        <f>блюда!EM43</f>
        <v>0</v>
      </c>
      <c r="EN177" s="473">
        <f>блюда!EN43</f>
        <v>0</v>
      </c>
      <c r="EO177" s="473">
        <f>блюда!EO43</f>
        <v>0</v>
      </c>
      <c r="EP177" s="473">
        <f>блюда!EP43</f>
        <v>0</v>
      </c>
      <c r="EQ177" s="473">
        <f>блюда!EQ43</f>
        <v>0</v>
      </c>
      <c r="ER177" s="473">
        <f>блюда!ER43</f>
        <v>0</v>
      </c>
      <c r="ES177" s="473">
        <f>блюда!ES43</f>
        <v>0</v>
      </c>
      <c r="ET177" s="473">
        <f>блюда!ET43</f>
        <v>0</v>
      </c>
      <c r="EU177" s="473">
        <f>блюда!EU43</f>
        <v>0</v>
      </c>
      <c r="EV177" s="473">
        <f>блюда!EV43</f>
        <v>0</v>
      </c>
      <c r="EW177" s="473">
        <f>блюда!EW43</f>
        <v>0</v>
      </c>
      <c r="EX177" s="473">
        <f>блюда!EX43</f>
        <v>0</v>
      </c>
      <c r="EY177" s="927">
        <f t="shared" ref="EY177:EY191" si="116">SUM(J177:EX177)</f>
        <v>9.2450000000000004E-2</v>
      </c>
      <c r="EZ177" s="117">
        <f>блюда!EZ45</f>
        <v>0</v>
      </c>
      <c r="FA177" s="117">
        <f>блюда!FA45</f>
        <v>0</v>
      </c>
      <c r="FB177" s="117">
        <f>блюда!FB45</f>
        <v>0</v>
      </c>
      <c r="FC177" s="117">
        <f>блюда!FC45</f>
        <v>0</v>
      </c>
      <c r="FD177" s="117">
        <f>блюда!FD45</f>
        <v>0</v>
      </c>
      <c r="FE177" s="117">
        <f>блюда!FE45</f>
        <v>0</v>
      </c>
      <c r="FF177" s="117">
        <f>блюда!FF45</f>
        <v>0</v>
      </c>
      <c r="FG177" s="117">
        <f>блюда!FG45</f>
        <v>0</v>
      </c>
      <c r="FH177" s="117">
        <f>блюда!FH45</f>
        <v>0</v>
      </c>
      <c r="FI177" s="117">
        <f>блюда!FI45</f>
        <v>0</v>
      </c>
      <c r="FJ177" s="117">
        <f>блюда!FJ45</f>
        <v>0</v>
      </c>
      <c r="FK177" s="117">
        <f>блюда!FK45</f>
        <v>0</v>
      </c>
      <c r="FL177" s="117">
        <f>блюда!FL45</f>
        <v>0</v>
      </c>
    </row>
    <row r="178" spans="1:168" x14ac:dyDescent="0.25">
      <c r="A178" s="1466"/>
      <c r="B178" s="115" t="str">
        <f>блюда!B62</f>
        <v>Рассольник ленинградский</v>
      </c>
      <c r="C178" s="250">
        <f>блюда!C62</f>
        <v>250</v>
      </c>
      <c r="D178" s="431">
        <f>блюда!D62</f>
        <v>2.02</v>
      </c>
      <c r="E178" s="431">
        <f>блюда!E62</f>
        <v>5.09</v>
      </c>
      <c r="F178" s="431">
        <f>блюда!F62</f>
        <v>11.98</v>
      </c>
      <c r="G178" s="250">
        <f>блюда!G62</f>
        <v>107</v>
      </c>
      <c r="H178" s="250">
        <f>блюда!H62</f>
        <v>96</v>
      </c>
      <c r="I178" s="431">
        <f>блюда!I62</f>
        <v>10.199999999999999</v>
      </c>
      <c r="J178" s="473">
        <f>блюда!J62</f>
        <v>0</v>
      </c>
      <c r="K178" s="473">
        <f>блюда!K62</f>
        <v>0</v>
      </c>
      <c r="L178" s="473">
        <f>блюда!L62</f>
        <v>0</v>
      </c>
      <c r="M178" s="473">
        <f>блюда!M62</f>
        <v>0</v>
      </c>
      <c r="N178" s="473">
        <f>блюда!N62</f>
        <v>0</v>
      </c>
      <c r="O178" s="473">
        <f>блюда!O62</f>
        <v>0</v>
      </c>
      <c r="P178" s="473">
        <f>блюда!P62</f>
        <v>0</v>
      </c>
      <c r="Q178" s="473">
        <f>блюда!Q62</f>
        <v>0</v>
      </c>
      <c r="R178" s="473">
        <f>блюда!R62</f>
        <v>0</v>
      </c>
      <c r="S178" s="473">
        <f>блюда!S62</f>
        <v>0</v>
      </c>
      <c r="T178" s="473">
        <f>блюда!T62</f>
        <v>0</v>
      </c>
      <c r="U178" s="473">
        <f>блюда!U62</f>
        <v>0</v>
      </c>
      <c r="V178" s="473">
        <f>блюда!V62</f>
        <v>0</v>
      </c>
      <c r="W178" s="473">
        <f>блюда!W62</f>
        <v>0</v>
      </c>
      <c r="X178" s="473">
        <f>блюда!X62</f>
        <v>0</v>
      </c>
      <c r="Y178" s="473">
        <f>блюда!Y62</f>
        <v>5.0000000000000001E-3</v>
      </c>
      <c r="Z178" s="473">
        <f>блюда!Z62</f>
        <v>0</v>
      </c>
      <c r="AA178" s="473">
        <f>блюда!AA62</f>
        <v>0</v>
      </c>
      <c r="AB178" s="473">
        <f>блюда!AB62</f>
        <v>0</v>
      </c>
      <c r="AC178" s="473">
        <f>блюда!AC62</f>
        <v>0</v>
      </c>
      <c r="AD178" s="473">
        <f>блюда!AD62</f>
        <v>0</v>
      </c>
      <c r="AE178" s="473">
        <f>блюда!AE62</f>
        <v>0</v>
      </c>
      <c r="AF178" s="473">
        <f>блюда!AF62</f>
        <v>0</v>
      </c>
      <c r="AG178" s="473">
        <f>блюда!AG62</f>
        <v>0</v>
      </c>
      <c r="AH178" s="473">
        <f>блюда!AH62</f>
        <v>0.1</v>
      </c>
      <c r="AI178" s="473">
        <f>блюда!AI62</f>
        <v>0</v>
      </c>
      <c r="AJ178" s="473">
        <f>блюда!AJ62</f>
        <v>0</v>
      </c>
      <c r="AK178" s="473">
        <f>блюда!AK62</f>
        <v>6.0000000000000001E-3</v>
      </c>
      <c r="AL178" s="473">
        <f>блюда!AL62</f>
        <v>0</v>
      </c>
      <c r="AM178" s="473">
        <f>блюда!AM62</f>
        <v>0</v>
      </c>
      <c r="AN178" s="473">
        <f>блюда!AN62</f>
        <v>0</v>
      </c>
      <c r="AO178" s="473">
        <f>блюда!AO62</f>
        <v>0</v>
      </c>
      <c r="AP178" s="473">
        <f>блюда!AP62</f>
        <v>0</v>
      </c>
      <c r="AQ178" s="473">
        <f>блюда!AQ62</f>
        <v>1.2500000000000001E-2</v>
      </c>
      <c r="AR178" s="473">
        <f>блюда!AR62</f>
        <v>0</v>
      </c>
      <c r="AS178" s="473">
        <f>блюда!AS62</f>
        <v>0</v>
      </c>
      <c r="AT178" s="473">
        <f>блюда!AT62</f>
        <v>0</v>
      </c>
      <c r="AU178" s="473">
        <f>блюда!AU62</f>
        <v>0</v>
      </c>
      <c r="AV178" s="473">
        <f>блюда!AV62</f>
        <v>0</v>
      </c>
      <c r="AW178" s="473">
        <f>блюда!AW62</f>
        <v>0</v>
      </c>
      <c r="AX178" s="473">
        <f>блюда!AX62</f>
        <v>0</v>
      </c>
      <c r="AY178" s="473">
        <f>блюда!AY62</f>
        <v>0</v>
      </c>
      <c r="AZ178" s="473">
        <f>блюда!AZ62</f>
        <v>0</v>
      </c>
      <c r="BA178" s="473">
        <f>блюда!BA62</f>
        <v>0</v>
      </c>
      <c r="BB178" s="473">
        <f>блюда!BB62</f>
        <v>0</v>
      </c>
      <c r="BC178" s="473">
        <f>блюда!BC62</f>
        <v>0</v>
      </c>
      <c r="BD178" s="473">
        <f>блюда!BD62</f>
        <v>0</v>
      </c>
      <c r="BE178" s="473">
        <f>блюда!BE62</f>
        <v>0</v>
      </c>
      <c r="BF178" s="473">
        <f>блюда!BF62</f>
        <v>0</v>
      </c>
      <c r="BG178" s="473">
        <f>блюда!BG62</f>
        <v>0</v>
      </c>
      <c r="BH178" s="473">
        <f>блюда!BH62</f>
        <v>0</v>
      </c>
      <c r="BI178" s="473">
        <f>блюда!BI62</f>
        <v>0</v>
      </c>
      <c r="BJ178" s="473">
        <f>блюда!BJ62</f>
        <v>0</v>
      </c>
      <c r="BK178" s="473">
        <f>блюда!BK62</f>
        <v>0</v>
      </c>
      <c r="BL178" s="473">
        <f>блюда!BL62</f>
        <v>0</v>
      </c>
      <c r="BM178" s="473">
        <f>блюда!BM62</f>
        <v>0</v>
      </c>
      <c r="BN178" s="473">
        <f>блюда!BN62</f>
        <v>0</v>
      </c>
      <c r="BO178" s="473">
        <f>блюда!BO62</f>
        <v>0</v>
      </c>
      <c r="BP178" s="473">
        <f>блюда!BP62</f>
        <v>0</v>
      </c>
      <c r="BQ178" s="473">
        <f>блюда!BQ62</f>
        <v>0</v>
      </c>
      <c r="BR178" s="473">
        <f>блюда!BR62</f>
        <v>0</v>
      </c>
      <c r="BS178" s="473">
        <f>блюда!BS62</f>
        <v>0</v>
      </c>
      <c r="BT178" s="473">
        <f>блюда!BT62</f>
        <v>0</v>
      </c>
      <c r="BU178" s="473">
        <f>блюда!BU62</f>
        <v>0</v>
      </c>
      <c r="BV178" s="473">
        <f>блюда!BV62</f>
        <v>0</v>
      </c>
      <c r="BW178" s="473">
        <f>блюда!BW62</f>
        <v>0</v>
      </c>
      <c r="BX178" s="473">
        <f>блюда!BX62</f>
        <v>0</v>
      </c>
      <c r="BY178" s="473">
        <f>блюда!BY62</f>
        <v>0</v>
      </c>
      <c r="BZ178" s="473">
        <f>блюда!BZ62</f>
        <v>0</v>
      </c>
      <c r="CA178" s="473">
        <f>блюда!CA62</f>
        <v>0</v>
      </c>
      <c r="CB178" s="473">
        <f>блюда!CB62</f>
        <v>5.0000000000000001E-3</v>
      </c>
      <c r="CC178" s="473">
        <f>блюда!CC62</f>
        <v>0</v>
      </c>
      <c r="CD178" s="473">
        <f>блюда!CD62</f>
        <v>0</v>
      </c>
      <c r="CE178" s="473">
        <f>блюда!CE62</f>
        <v>0</v>
      </c>
      <c r="CF178" s="473">
        <f>блюда!CF62</f>
        <v>5.0000000000000001E-3</v>
      </c>
      <c r="CG178" s="473">
        <f>блюда!CG62</f>
        <v>0</v>
      </c>
      <c r="CH178" s="473">
        <f>блюда!CH62</f>
        <v>0</v>
      </c>
      <c r="CI178" s="473">
        <f>блюда!CI62</f>
        <v>0</v>
      </c>
      <c r="CJ178" s="473">
        <f>блюда!CJ62</f>
        <v>0</v>
      </c>
      <c r="CK178" s="473">
        <f>блюда!CK62</f>
        <v>0</v>
      </c>
      <c r="CL178" s="473">
        <f>блюда!CL62</f>
        <v>0</v>
      </c>
      <c r="CM178" s="473">
        <f>блюда!CM62</f>
        <v>0</v>
      </c>
      <c r="CN178" s="473">
        <f>блюда!CN62</f>
        <v>0</v>
      </c>
      <c r="CO178" s="473">
        <f>блюда!CO62</f>
        <v>0</v>
      </c>
      <c r="CP178" s="473">
        <f>блюда!CP62</f>
        <v>0</v>
      </c>
      <c r="CQ178" s="473">
        <f>блюда!CQ62</f>
        <v>0</v>
      </c>
      <c r="CR178" s="473">
        <f>блюда!CR62</f>
        <v>0</v>
      </c>
      <c r="CS178" s="473">
        <f>блюда!CS62</f>
        <v>0</v>
      </c>
      <c r="CT178" s="473">
        <f>блюда!CT62</f>
        <v>1.6750000000000001E-2</v>
      </c>
      <c r="CU178" s="473">
        <f>блюда!CU62</f>
        <v>0</v>
      </c>
      <c r="CV178" s="473">
        <f>блюда!CV62</f>
        <v>0</v>
      </c>
      <c r="CW178" s="473">
        <f>блюда!CW62</f>
        <v>0</v>
      </c>
      <c r="CX178" s="473">
        <f>блюда!CX62</f>
        <v>0</v>
      </c>
      <c r="CY178" s="473">
        <f>блюда!CY62</f>
        <v>0</v>
      </c>
      <c r="CZ178" s="473">
        <f>блюда!CZ62</f>
        <v>0</v>
      </c>
      <c r="DA178" s="473">
        <f>блюда!DA62</f>
        <v>0</v>
      </c>
      <c r="DB178" s="473">
        <f>блюда!DB62</f>
        <v>0</v>
      </c>
      <c r="DC178" s="473">
        <f>блюда!DC62</f>
        <v>0</v>
      </c>
      <c r="DD178" s="473">
        <f>блюда!DD62</f>
        <v>0</v>
      </c>
      <c r="DE178" s="473">
        <f>блюда!DE62</f>
        <v>0</v>
      </c>
      <c r="DF178" s="473">
        <f>блюда!DF62</f>
        <v>0</v>
      </c>
      <c r="DG178" s="473">
        <f>блюда!DG62</f>
        <v>0</v>
      </c>
      <c r="DH178" s="473">
        <f>блюда!DH62</f>
        <v>0</v>
      </c>
      <c r="DI178" s="473">
        <f>блюда!DI62</f>
        <v>0</v>
      </c>
      <c r="DJ178" s="473">
        <f>блюда!DJ62</f>
        <v>0</v>
      </c>
      <c r="DK178" s="473">
        <f>блюда!DK62</f>
        <v>0</v>
      </c>
      <c r="DL178" s="473">
        <f>блюда!DL62</f>
        <v>0</v>
      </c>
      <c r="DM178" s="473">
        <f>блюда!DM62</f>
        <v>0</v>
      </c>
      <c r="DN178" s="473">
        <f>блюда!DN62</f>
        <v>0</v>
      </c>
      <c r="DO178" s="473">
        <f>блюда!DO62</f>
        <v>0</v>
      </c>
      <c r="DP178" s="473">
        <f>блюда!DP62</f>
        <v>0</v>
      </c>
      <c r="DQ178" s="473">
        <f>блюда!DQ62</f>
        <v>0</v>
      </c>
      <c r="DR178" s="473">
        <f>блюда!DR62</f>
        <v>0</v>
      </c>
      <c r="DS178" s="473">
        <f>блюда!DS62</f>
        <v>0</v>
      </c>
      <c r="DT178" s="473">
        <f>блюда!DT62</f>
        <v>0</v>
      </c>
      <c r="DU178" s="473">
        <f>блюда!DU62</f>
        <v>0</v>
      </c>
      <c r="DV178" s="473">
        <f>блюда!DV62</f>
        <v>0</v>
      </c>
      <c r="DW178" s="473">
        <f>блюда!DW62</f>
        <v>0</v>
      </c>
      <c r="DX178" s="473">
        <f>блюда!DX62</f>
        <v>0</v>
      </c>
      <c r="DY178" s="473">
        <f>блюда!DY62</f>
        <v>0</v>
      </c>
      <c r="DZ178" s="473">
        <f>блюда!DZ62</f>
        <v>0</v>
      </c>
      <c r="EA178" s="473">
        <f>блюда!EA62</f>
        <v>0</v>
      </c>
      <c r="EB178" s="473">
        <f>блюда!EB62</f>
        <v>0</v>
      </c>
      <c r="EC178" s="473">
        <f>блюда!EC62</f>
        <v>0</v>
      </c>
      <c r="ED178" s="473">
        <f>блюда!ED62</f>
        <v>0</v>
      </c>
      <c r="EE178" s="473">
        <f>блюда!EE62</f>
        <v>0</v>
      </c>
      <c r="EF178" s="473">
        <f>блюда!EF62</f>
        <v>0</v>
      </c>
      <c r="EG178" s="473">
        <f>блюда!EG62</f>
        <v>0</v>
      </c>
      <c r="EH178" s="473">
        <f>блюда!EH62</f>
        <v>0</v>
      </c>
      <c r="EI178" s="473">
        <f>блюда!EI62</f>
        <v>0</v>
      </c>
      <c r="EJ178" s="473">
        <f>блюда!EJ62</f>
        <v>0</v>
      </c>
      <c r="EK178" s="473">
        <f>блюда!EK62</f>
        <v>0</v>
      </c>
      <c r="EL178" s="473">
        <f>блюда!EL62</f>
        <v>0</v>
      </c>
      <c r="EM178" s="473">
        <f>блюда!EM62</f>
        <v>0</v>
      </c>
      <c r="EN178" s="473">
        <f>блюда!EN62</f>
        <v>0</v>
      </c>
      <c r="EO178" s="473">
        <f>блюда!EO62</f>
        <v>0</v>
      </c>
      <c r="EP178" s="473">
        <f>блюда!EP62</f>
        <v>0</v>
      </c>
      <c r="EQ178" s="473">
        <f>блюда!EQ62</f>
        <v>0</v>
      </c>
      <c r="ER178" s="473">
        <f>блюда!ER62</f>
        <v>0</v>
      </c>
      <c r="ES178" s="473">
        <f>блюда!ES62</f>
        <v>0</v>
      </c>
      <c r="ET178" s="473">
        <f>блюда!ET62</f>
        <v>0</v>
      </c>
      <c r="EU178" s="473">
        <f>блюда!EU62</f>
        <v>0</v>
      </c>
      <c r="EV178" s="473">
        <f>блюда!EV62</f>
        <v>0</v>
      </c>
      <c r="EW178" s="473">
        <f>блюда!EW62</f>
        <v>0</v>
      </c>
      <c r="EX178" s="473">
        <f>блюда!EX62</f>
        <v>0</v>
      </c>
      <c r="EY178" s="927">
        <f t="shared" si="116"/>
        <v>0.15024999999999999</v>
      </c>
      <c r="EZ178" s="117">
        <f>блюда!EZ63</f>
        <v>0</v>
      </c>
      <c r="FA178" s="117">
        <f>блюда!FA63</f>
        <v>0</v>
      </c>
      <c r="FB178" s="117">
        <f>блюда!FB63</f>
        <v>0</v>
      </c>
      <c r="FC178" s="117">
        <f>блюда!FC63</f>
        <v>0</v>
      </c>
      <c r="FD178" s="117">
        <f>блюда!FD63</f>
        <v>0</v>
      </c>
      <c r="FE178" s="117">
        <f>блюда!FE63</f>
        <v>0</v>
      </c>
      <c r="FF178" s="117">
        <f>блюда!FF63</f>
        <v>0</v>
      </c>
      <c r="FG178" s="117">
        <f>блюда!FG63</f>
        <v>0</v>
      </c>
      <c r="FH178" s="117">
        <f>блюда!FH63</f>
        <v>0</v>
      </c>
      <c r="FI178" s="117">
        <f>блюда!FI63</f>
        <v>0</v>
      </c>
      <c r="FJ178" s="117">
        <f>блюда!FJ63</f>
        <v>0</v>
      </c>
      <c r="FK178" s="117">
        <f>блюда!FK63</f>
        <v>0</v>
      </c>
      <c r="FL178" s="117">
        <f>блюда!FL63</f>
        <v>0</v>
      </c>
    </row>
    <row r="179" spans="1:168" ht="26.4" x14ac:dyDescent="0.25">
      <c r="A179" s="1466"/>
      <c r="B179" s="943" t="str">
        <f>блюда!B219</f>
        <v>Котлеты рубленные из филе птицы со сметанным соусом с томатом и луком</v>
      </c>
      <c r="C179" s="250">
        <f>блюда!C219</f>
        <v>110</v>
      </c>
      <c r="D179" s="431">
        <f>блюда!D219</f>
        <v>10.33</v>
      </c>
      <c r="E179" s="431">
        <f>блюда!E219</f>
        <v>12.04</v>
      </c>
      <c r="F179" s="431">
        <f>блюда!F219</f>
        <v>12.66</v>
      </c>
      <c r="G179" s="250">
        <f>блюда!G219</f>
        <v>200</v>
      </c>
      <c r="H179" s="250">
        <f>блюда!H219</f>
        <v>294</v>
      </c>
      <c r="I179" s="431">
        <f>блюда!I219</f>
        <v>35.04</v>
      </c>
      <c r="J179" s="473">
        <f>блюда!J219</f>
        <v>0</v>
      </c>
      <c r="K179" s="473">
        <f>блюда!K219</f>
        <v>0</v>
      </c>
      <c r="L179" s="473">
        <f>блюда!L219</f>
        <v>0</v>
      </c>
      <c r="M179" s="473">
        <f>блюда!M219</f>
        <v>8.5000000000000006E-2</v>
      </c>
      <c r="N179" s="473">
        <f>блюда!N219</f>
        <v>0</v>
      </c>
      <c r="O179" s="473">
        <f>блюда!O219</f>
        <v>0</v>
      </c>
      <c r="P179" s="473">
        <f>блюда!P219</f>
        <v>3.0000000000000001E-3</v>
      </c>
      <c r="Q179" s="473">
        <f>блюда!Q219</f>
        <v>0</v>
      </c>
      <c r="R179" s="473">
        <f>блюда!R219</f>
        <v>0</v>
      </c>
      <c r="S179" s="473">
        <f>блюда!S219</f>
        <v>0</v>
      </c>
      <c r="T179" s="473">
        <f>блюда!T219</f>
        <v>0</v>
      </c>
      <c r="U179" s="473">
        <f>блюда!U219</f>
        <v>2.3E-2</v>
      </c>
      <c r="V179" s="473">
        <f>блюда!V219</f>
        <v>5.9999999999999995E-4</v>
      </c>
      <c r="W179" s="473">
        <f>блюда!W219</f>
        <v>0</v>
      </c>
      <c r="X179" s="473">
        <f>блюда!X219</f>
        <v>0</v>
      </c>
      <c r="Y179" s="473">
        <f>блюда!Y219</f>
        <v>6.7499999999999999E-3</v>
      </c>
      <c r="Z179" s="473">
        <f>блюда!Z219</f>
        <v>0</v>
      </c>
      <c r="AA179" s="473">
        <f>блюда!AA219</f>
        <v>0</v>
      </c>
      <c r="AB179" s="473">
        <f>блюда!AB219</f>
        <v>0</v>
      </c>
      <c r="AC179" s="473">
        <f>блюда!AC219</f>
        <v>0</v>
      </c>
      <c r="AD179" s="473">
        <f>блюда!AD219</f>
        <v>0</v>
      </c>
      <c r="AE179" s="473">
        <f>блюда!AE219</f>
        <v>0</v>
      </c>
      <c r="AF179" s="473">
        <f>блюда!AF219</f>
        <v>0</v>
      </c>
      <c r="AG179" s="473">
        <f>блюда!AG219</f>
        <v>0</v>
      </c>
      <c r="AH179" s="473">
        <f>блюда!AH219</f>
        <v>0</v>
      </c>
      <c r="AI179" s="473">
        <f>блюда!AI219</f>
        <v>0</v>
      </c>
      <c r="AJ179" s="473">
        <f>блюда!AJ219</f>
        <v>0</v>
      </c>
      <c r="AK179" s="473">
        <f>блюда!AK219</f>
        <v>7.1399999999999996E-3</v>
      </c>
      <c r="AL179" s="473">
        <f>блюда!AL219</f>
        <v>0</v>
      </c>
      <c r="AM179" s="473">
        <f>блюда!AM219</f>
        <v>0</v>
      </c>
      <c r="AN179" s="473">
        <f>блюда!AN219</f>
        <v>0</v>
      </c>
      <c r="AO179" s="473">
        <f>блюда!AO219</f>
        <v>0</v>
      </c>
      <c r="AP179" s="473">
        <f>блюда!AP219</f>
        <v>0</v>
      </c>
      <c r="AQ179" s="473">
        <f>блюда!AQ219</f>
        <v>0</v>
      </c>
      <c r="AR179" s="473">
        <f>блюда!AR219</f>
        <v>0</v>
      </c>
      <c r="AS179" s="473">
        <f>блюда!AS219</f>
        <v>0</v>
      </c>
      <c r="AT179" s="473">
        <f>блюда!AT219</f>
        <v>0</v>
      </c>
      <c r="AU179" s="473">
        <f>блюда!AU219</f>
        <v>0</v>
      </c>
      <c r="AV179" s="473">
        <f>блюда!AV219</f>
        <v>0</v>
      </c>
      <c r="AW179" s="473">
        <f>блюда!AW219</f>
        <v>0</v>
      </c>
      <c r="AX179" s="473">
        <f>блюда!AX219</f>
        <v>0</v>
      </c>
      <c r="AY179" s="473">
        <f>блюда!AY219</f>
        <v>0</v>
      </c>
      <c r="AZ179" s="473">
        <f>блюда!AZ219</f>
        <v>0</v>
      </c>
      <c r="BA179" s="473">
        <f>блюда!BA219</f>
        <v>0</v>
      </c>
      <c r="BB179" s="473">
        <f>блюда!BB219</f>
        <v>0</v>
      </c>
      <c r="BC179" s="473">
        <f>блюда!BC219</f>
        <v>0</v>
      </c>
      <c r="BD179" s="473">
        <f>блюда!BD219</f>
        <v>0</v>
      </c>
      <c r="BE179" s="473">
        <f>блюда!BE219</f>
        <v>0</v>
      </c>
      <c r="BF179" s="473">
        <f>блюда!BF219</f>
        <v>0</v>
      </c>
      <c r="BG179" s="473">
        <f>блюда!BG219</f>
        <v>0</v>
      </c>
      <c r="BH179" s="473">
        <f>блюда!BH219</f>
        <v>0</v>
      </c>
      <c r="BI179" s="473">
        <f>блюда!BI219</f>
        <v>0</v>
      </c>
      <c r="BJ179" s="473">
        <f>блюда!BJ219</f>
        <v>0</v>
      </c>
      <c r="BK179" s="473">
        <f>блюда!BK219</f>
        <v>0</v>
      </c>
      <c r="BL179" s="473">
        <f>блюда!BL219</f>
        <v>0</v>
      </c>
      <c r="BM179" s="473">
        <f>блюда!BM219</f>
        <v>0</v>
      </c>
      <c r="BN179" s="473">
        <f>блюда!BN219</f>
        <v>0</v>
      </c>
      <c r="BO179" s="473">
        <f>блюда!BO219</f>
        <v>0</v>
      </c>
      <c r="BP179" s="473">
        <f>блюда!BP219</f>
        <v>0</v>
      </c>
      <c r="BQ179" s="473">
        <f>блюда!BQ219</f>
        <v>0</v>
      </c>
      <c r="BR179" s="473">
        <f>блюда!BR219</f>
        <v>0</v>
      </c>
      <c r="BS179" s="473">
        <f>блюда!BS219</f>
        <v>2.0300000000000001E-3</v>
      </c>
      <c r="BT179" s="473">
        <f>блюда!BT219</f>
        <v>0</v>
      </c>
      <c r="BU179" s="473">
        <f>блюда!BU219</f>
        <v>0</v>
      </c>
      <c r="BV179" s="473">
        <f>блюда!BV219</f>
        <v>0</v>
      </c>
      <c r="BW179" s="473">
        <f>блюда!BW219</f>
        <v>0</v>
      </c>
      <c r="BX179" s="473">
        <f>блюда!BX219</f>
        <v>0</v>
      </c>
      <c r="BY179" s="473">
        <f>блюда!BY219</f>
        <v>0</v>
      </c>
      <c r="BZ179" s="473">
        <f>блюда!BZ219</f>
        <v>0</v>
      </c>
      <c r="CA179" s="473">
        <f>блюда!CA219</f>
        <v>0</v>
      </c>
      <c r="CB179" s="473">
        <f>блюда!CB219</f>
        <v>0</v>
      </c>
      <c r="CC179" s="473">
        <f>блюда!CC219</f>
        <v>0</v>
      </c>
      <c r="CD179" s="473">
        <f>блюда!CD219</f>
        <v>0</v>
      </c>
      <c r="CE179" s="473">
        <f>блюда!CE219</f>
        <v>0</v>
      </c>
      <c r="CF179" s="473">
        <f>блюда!CF219</f>
        <v>5.0000000000000001E-3</v>
      </c>
      <c r="CG179" s="473">
        <f>блюда!CG219</f>
        <v>0</v>
      </c>
      <c r="CH179" s="473">
        <f>блюда!CH219</f>
        <v>0</v>
      </c>
      <c r="CI179" s="473">
        <f>блюда!CI219</f>
        <v>0</v>
      </c>
      <c r="CJ179" s="473">
        <f>блюда!CJ219</f>
        <v>0</v>
      </c>
      <c r="CK179" s="473">
        <f>блюда!CK219</f>
        <v>0</v>
      </c>
      <c r="CL179" s="473">
        <f>блюда!CL219</f>
        <v>0</v>
      </c>
      <c r="CM179" s="473">
        <f>блюда!CM219</f>
        <v>0</v>
      </c>
      <c r="CN179" s="473">
        <f>блюда!CN219</f>
        <v>0</v>
      </c>
      <c r="CO179" s="473">
        <f>блюда!CO219</f>
        <v>0</v>
      </c>
      <c r="CP179" s="473">
        <f>блюда!CP219</f>
        <v>0</v>
      </c>
      <c r="CQ179" s="473">
        <f>блюда!CQ219</f>
        <v>0</v>
      </c>
      <c r="CR179" s="473">
        <f>блюда!CR219</f>
        <v>0</v>
      </c>
      <c r="CS179" s="473">
        <f>блюда!CS219</f>
        <v>0</v>
      </c>
      <c r="CT179" s="473">
        <f>блюда!CT219</f>
        <v>0</v>
      </c>
      <c r="CU179" s="473">
        <f>блюда!CU219</f>
        <v>0</v>
      </c>
      <c r="CV179" s="473">
        <f>блюда!CV219</f>
        <v>0</v>
      </c>
      <c r="CW179" s="473">
        <f>блюда!CW219</f>
        <v>0</v>
      </c>
      <c r="CX179" s="473">
        <f>блюда!CX219</f>
        <v>0</v>
      </c>
      <c r="CY179" s="473">
        <f>блюда!CY219</f>
        <v>0</v>
      </c>
      <c r="CZ179" s="473">
        <f>блюда!CZ219</f>
        <v>0</v>
      </c>
      <c r="DA179" s="473">
        <f>блюда!DA219</f>
        <v>0</v>
      </c>
      <c r="DB179" s="473">
        <f>блюда!DB219</f>
        <v>0</v>
      </c>
      <c r="DC179" s="473">
        <f>блюда!DC219</f>
        <v>5.2199999999999998E-3</v>
      </c>
      <c r="DD179" s="473">
        <f>блюда!DD219</f>
        <v>8.0000000000000002E-3</v>
      </c>
      <c r="DE179" s="473">
        <f>блюда!DE219</f>
        <v>0</v>
      </c>
      <c r="DF179" s="473">
        <f>блюда!DF219</f>
        <v>3.0000000000000001E-3</v>
      </c>
      <c r="DG179" s="473">
        <f>блюда!DG219</f>
        <v>0</v>
      </c>
      <c r="DH179" s="473">
        <f>блюда!DH219</f>
        <v>0</v>
      </c>
      <c r="DI179" s="473">
        <f>блюда!DI219</f>
        <v>0</v>
      </c>
      <c r="DJ179" s="473">
        <f>блюда!DJ219</f>
        <v>0</v>
      </c>
      <c r="DK179" s="473">
        <f>блюда!DK219</f>
        <v>0</v>
      </c>
      <c r="DL179" s="473">
        <f>блюда!DL219</f>
        <v>0</v>
      </c>
      <c r="DM179" s="473">
        <f>блюда!DM219</f>
        <v>0</v>
      </c>
      <c r="DN179" s="473">
        <f>блюда!DN219</f>
        <v>0</v>
      </c>
      <c r="DO179" s="473">
        <f>блюда!DO219</f>
        <v>0</v>
      </c>
      <c r="DP179" s="473">
        <f>блюда!DP219</f>
        <v>0</v>
      </c>
      <c r="DQ179" s="473">
        <f>блюда!DQ219</f>
        <v>0</v>
      </c>
      <c r="DR179" s="473">
        <f>блюда!DR219</f>
        <v>0</v>
      </c>
      <c r="DS179" s="473">
        <f>блюда!DS219</f>
        <v>0</v>
      </c>
      <c r="DT179" s="473">
        <f>блюда!DT219</f>
        <v>0</v>
      </c>
      <c r="DU179" s="473">
        <f>блюда!DU219</f>
        <v>0</v>
      </c>
      <c r="DV179" s="473">
        <f>блюда!DV219</f>
        <v>0</v>
      </c>
      <c r="DW179" s="473">
        <f>блюда!DW219</f>
        <v>0</v>
      </c>
      <c r="DX179" s="473">
        <f>блюда!DX219</f>
        <v>0</v>
      </c>
      <c r="DY179" s="473">
        <f>блюда!DY219</f>
        <v>0</v>
      </c>
      <c r="DZ179" s="473">
        <f>блюда!DZ219</f>
        <v>0</v>
      </c>
      <c r="EA179" s="473">
        <f>блюда!EA219</f>
        <v>0</v>
      </c>
      <c r="EB179" s="473">
        <f>блюда!EB219</f>
        <v>0</v>
      </c>
      <c r="EC179" s="473">
        <f>блюда!EC219</f>
        <v>0</v>
      </c>
      <c r="ED179" s="473">
        <f>блюда!ED219</f>
        <v>0</v>
      </c>
      <c r="EE179" s="473">
        <f>блюда!EE219</f>
        <v>0</v>
      </c>
      <c r="EF179" s="473">
        <f>блюда!EF219</f>
        <v>0</v>
      </c>
      <c r="EG179" s="473">
        <f>блюда!EG219</f>
        <v>0</v>
      </c>
      <c r="EH179" s="473">
        <f>блюда!EH219</f>
        <v>0</v>
      </c>
      <c r="EI179" s="473">
        <f>блюда!EI219</f>
        <v>0</v>
      </c>
      <c r="EJ179" s="473">
        <f>блюда!EJ219</f>
        <v>0</v>
      </c>
      <c r="EK179" s="473">
        <f>блюда!EK219</f>
        <v>0</v>
      </c>
      <c r="EL179" s="473">
        <f>блюда!EL219</f>
        <v>0</v>
      </c>
      <c r="EM179" s="473">
        <f>блюда!EM219</f>
        <v>0</v>
      </c>
      <c r="EN179" s="473">
        <f>блюда!EN219</f>
        <v>0</v>
      </c>
      <c r="EO179" s="473">
        <f>блюда!EO219</f>
        <v>0</v>
      </c>
      <c r="EP179" s="473">
        <f>блюда!EP219</f>
        <v>0</v>
      </c>
      <c r="EQ179" s="473">
        <f>блюда!EQ219</f>
        <v>0</v>
      </c>
      <c r="ER179" s="473">
        <f>блюда!ER219</f>
        <v>0</v>
      </c>
      <c r="ES179" s="473">
        <f>блюда!ES219</f>
        <v>0</v>
      </c>
      <c r="ET179" s="473">
        <f>блюда!ET219</f>
        <v>0</v>
      </c>
      <c r="EU179" s="473">
        <f>блюда!EU219</f>
        <v>0</v>
      </c>
      <c r="EV179" s="473">
        <f>блюда!EV219</f>
        <v>1.4E-2</v>
      </c>
      <c r="EW179" s="473">
        <f>блюда!EW219</f>
        <v>0</v>
      </c>
      <c r="EX179" s="473">
        <f>блюда!EX219</f>
        <v>0</v>
      </c>
      <c r="EY179" s="927">
        <f t="shared" si="116"/>
        <v>0.16274</v>
      </c>
      <c r="EZ179" s="117">
        <f>блюда!EZ212</f>
        <v>0</v>
      </c>
      <c r="FA179" s="117">
        <f>блюда!FA212</f>
        <v>0</v>
      </c>
      <c r="FB179" s="117">
        <f>блюда!FB212</f>
        <v>0</v>
      </c>
      <c r="FC179" s="117">
        <f>блюда!FC212</f>
        <v>0</v>
      </c>
      <c r="FD179" s="117">
        <f>блюда!FD212</f>
        <v>0</v>
      </c>
      <c r="FE179" s="117">
        <f>блюда!FE212</f>
        <v>0</v>
      </c>
      <c r="FF179" s="117">
        <f>блюда!FF212</f>
        <v>0</v>
      </c>
      <c r="FG179" s="117">
        <f>блюда!FG212</f>
        <v>0</v>
      </c>
      <c r="FH179" s="117">
        <f>блюда!FH212</f>
        <v>0</v>
      </c>
      <c r="FI179" s="117">
        <f>блюда!FI212</f>
        <v>0</v>
      </c>
      <c r="FJ179" s="117">
        <f>блюда!FJ212</f>
        <v>0</v>
      </c>
      <c r="FK179" s="117">
        <f>блюда!FK212</f>
        <v>0</v>
      </c>
      <c r="FL179" s="117">
        <f>блюда!FL212</f>
        <v>0</v>
      </c>
    </row>
    <row r="180" spans="1:168" x14ac:dyDescent="0.25">
      <c r="A180" s="1466"/>
      <c r="B180" s="115" t="str">
        <f>блюда!B148</f>
        <v>Макаронные изделия отварные с маслом</v>
      </c>
      <c r="C180" s="250">
        <f>блюда!C148</f>
        <v>155</v>
      </c>
      <c r="D180" s="431">
        <f>блюда!D148</f>
        <v>5.64</v>
      </c>
      <c r="E180" s="431">
        <f>блюда!E148</f>
        <v>5.98</v>
      </c>
      <c r="F180" s="431">
        <f>блюда!F148</f>
        <v>31.47</v>
      </c>
      <c r="G180" s="250">
        <f>блюда!G148</f>
        <v>202</v>
      </c>
      <c r="H180" s="250">
        <f>блюда!H148</f>
        <v>203</v>
      </c>
      <c r="I180" s="431">
        <f>блюда!I148</f>
        <v>6.24</v>
      </c>
      <c r="J180" s="473">
        <f>блюда!J148</f>
        <v>0</v>
      </c>
      <c r="K180" s="473">
        <f>блюда!K148</f>
        <v>0</v>
      </c>
      <c r="L180" s="473">
        <f>блюда!L148</f>
        <v>0</v>
      </c>
      <c r="M180" s="473">
        <f>блюда!M148</f>
        <v>0</v>
      </c>
      <c r="N180" s="473">
        <f>блюда!N148</f>
        <v>0</v>
      </c>
      <c r="O180" s="473">
        <f>блюда!O148</f>
        <v>0</v>
      </c>
      <c r="P180" s="473">
        <f>блюда!P148</f>
        <v>0</v>
      </c>
      <c r="Q180" s="473">
        <f>блюда!Q148</f>
        <v>0</v>
      </c>
      <c r="R180" s="473">
        <f>блюда!R148</f>
        <v>0</v>
      </c>
      <c r="S180" s="473">
        <f>блюда!S148</f>
        <v>0</v>
      </c>
      <c r="T180" s="473">
        <f>блюда!T148</f>
        <v>0</v>
      </c>
      <c r="U180" s="473">
        <f>блюда!U148</f>
        <v>0</v>
      </c>
      <c r="V180" s="473">
        <f>блюда!V148</f>
        <v>5.0000000000000001E-3</v>
      </c>
      <c r="W180" s="473">
        <f>блюда!W148</f>
        <v>0</v>
      </c>
      <c r="X180" s="473">
        <f>блюда!X148</f>
        <v>0</v>
      </c>
      <c r="Y180" s="473">
        <f>блюда!Y148</f>
        <v>0</v>
      </c>
      <c r="Z180" s="473">
        <f>блюда!Z148</f>
        <v>0</v>
      </c>
      <c r="AA180" s="473">
        <f>блюда!AA148</f>
        <v>0</v>
      </c>
      <c r="AB180" s="473">
        <f>блюда!AB148</f>
        <v>0</v>
      </c>
      <c r="AC180" s="473">
        <f>блюда!AC148</f>
        <v>0</v>
      </c>
      <c r="AD180" s="473">
        <f>блюда!AD148</f>
        <v>0</v>
      </c>
      <c r="AE180" s="473">
        <f>блюда!AE148</f>
        <v>0</v>
      </c>
      <c r="AF180" s="473">
        <f>блюда!AF148</f>
        <v>0</v>
      </c>
      <c r="AG180" s="473">
        <f>блюда!AG148</f>
        <v>0</v>
      </c>
      <c r="AH180" s="473">
        <f>блюда!AH148</f>
        <v>0</v>
      </c>
      <c r="AI180" s="473">
        <f>блюда!AI148</f>
        <v>0</v>
      </c>
      <c r="AJ180" s="473">
        <f>блюда!AJ148</f>
        <v>0</v>
      </c>
      <c r="AK180" s="473">
        <f>блюда!AK148</f>
        <v>0</v>
      </c>
      <c r="AL180" s="473">
        <f>блюда!AL148</f>
        <v>0</v>
      </c>
      <c r="AM180" s="473">
        <f>блюда!AM148</f>
        <v>0</v>
      </c>
      <c r="AN180" s="473">
        <f>блюда!AN148</f>
        <v>0</v>
      </c>
      <c r="AO180" s="473">
        <f>блюда!AO148</f>
        <v>0</v>
      </c>
      <c r="AP180" s="473">
        <f>блюда!AP148</f>
        <v>0</v>
      </c>
      <c r="AQ180" s="473">
        <f>блюда!AQ148</f>
        <v>0</v>
      </c>
      <c r="AR180" s="473">
        <f>блюда!AR148</f>
        <v>0</v>
      </c>
      <c r="AS180" s="473">
        <f>блюда!AS148</f>
        <v>0</v>
      </c>
      <c r="AT180" s="473">
        <f>блюда!AT148</f>
        <v>0</v>
      </c>
      <c r="AU180" s="473">
        <f>блюда!AU148</f>
        <v>0</v>
      </c>
      <c r="AV180" s="473">
        <f>блюда!AV148</f>
        <v>0</v>
      </c>
      <c r="AW180" s="473">
        <f>блюда!AW148</f>
        <v>0</v>
      </c>
      <c r="AX180" s="473">
        <f>блюда!AX148</f>
        <v>0</v>
      </c>
      <c r="AY180" s="473">
        <f>блюда!AY148</f>
        <v>0</v>
      </c>
      <c r="AZ180" s="473">
        <f>блюда!AZ148</f>
        <v>0</v>
      </c>
      <c r="BA180" s="473">
        <f>блюда!BA148</f>
        <v>0</v>
      </c>
      <c r="BB180" s="473">
        <f>блюда!BB148</f>
        <v>0</v>
      </c>
      <c r="BC180" s="473">
        <f>блюда!BC148</f>
        <v>0</v>
      </c>
      <c r="BD180" s="473">
        <f>блюда!BD148</f>
        <v>0</v>
      </c>
      <c r="BE180" s="473">
        <f>блюда!BE148</f>
        <v>0</v>
      </c>
      <c r="BF180" s="473">
        <f>блюда!BF148</f>
        <v>0</v>
      </c>
      <c r="BG180" s="473">
        <f>блюда!BG148</f>
        <v>0</v>
      </c>
      <c r="BH180" s="473">
        <f>блюда!BH148</f>
        <v>0</v>
      </c>
      <c r="BI180" s="473">
        <f>блюда!BI148</f>
        <v>0</v>
      </c>
      <c r="BJ180" s="473">
        <f>блюда!BJ148</f>
        <v>0</v>
      </c>
      <c r="BK180" s="473">
        <f>блюда!BK148</f>
        <v>0</v>
      </c>
      <c r="BL180" s="473">
        <f>блюда!BL148</f>
        <v>0</v>
      </c>
      <c r="BM180" s="473">
        <f>блюда!BM148</f>
        <v>0</v>
      </c>
      <c r="BN180" s="473">
        <f>блюда!BN148</f>
        <v>0</v>
      </c>
      <c r="BO180" s="473">
        <f>блюда!BO148</f>
        <v>0</v>
      </c>
      <c r="BP180" s="473">
        <f>блюда!BP148</f>
        <v>0</v>
      </c>
      <c r="BQ180" s="473">
        <f>блюда!BQ148</f>
        <v>0</v>
      </c>
      <c r="BR180" s="473">
        <f>блюда!BR148</f>
        <v>0</v>
      </c>
      <c r="BS180" s="473">
        <f>блюда!BS148</f>
        <v>0</v>
      </c>
      <c r="BT180" s="473">
        <f>блюда!BT148</f>
        <v>0</v>
      </c>
      <c r="BU180" s="473">
        <f>блюда!BU148</f>
        <v>0</v>
      </c>
      <c r="BV180" s="473">
        <f>блюда!BV148</f>
        <v>0</v>
      </c>
      <c r="BW180" s="473">
        <f>блюда!BW148</f>
        <v>0</v>
      </c>
      <c r="BX180" s="473">
        <f>блюда!BX148</f>
        <v>0</v>
      </c>
      <c r="BY180" s="473">
        <f>блюда!BY148</f>
        <v>0</v>
      </c>
      <c r="BZ180" s="473">
        <f>блюда!BZ148</f>
        <v>0</v>
      </c>
      <c r="CA180" s="473">
        <f>блюда!CA148</f>
        <v>0</v>
      </c>
      <c r="CB180" s="473">
        <f>блюда!CB148</f>
        <v>0</v>
      </c>
      <c r="CC180" s="473">
        <f>блюда!CC148</f>
        <v>0</v>
      </c>
      <c r="CD180" s="473">
        <f>блюда!CD148</f>
        <v>0</v>
      </c>
      <c r="CE180" s="473">
        <f>блюда!CE148</f>
        <v>0</v>
      </c>
      <c r="CF180" s="473">
        <f>блюда!CF148</f>
        <v>0</v>
      </c>
      <c r="CG180" s="473">
        <f>блюда!CG148</f>
        <v>5.2499999999999998E-2</v>
      </c>
      <c r="CH180" s="473">
        <f>блюда!CH148</f>
        <v>0</v>
      </c>
      <c r="CI180" s="473">
        <f>блюда!CI148</f>
        <v>0</v>
      </c>
      <c r="CJ180" s="473">
        <f>блюда!CJ148</f>
        <v>0</v>
      </c>
      <c r="CK180" s="473">
        <f>блюда!CK148</f>
        <v>0</v>
      </c>
      <c r="CL180" s="473">
        <f>блюда!CL148</f>
        <v>0</v>
      </c>
      <c r="CM180" s="473">
        <f>блюда!CM148</f>
        <v>0</v>
      </c>
      <c r="CN180" s="473">
        <f>блюда!CN148</f>
        <v>0</v>
      </c>
      <c r="CO180" s="473">
        <f>блюда!CO148</f>
        <v>0</v>
      </c>
      <c r="CP180" s="473">
        <f>блюда!CP148</f>
        <v>0</v>
      </c>
      <c r="CQ180" s="473">
        <f>блюда!CQ148</f>
        <v>0</v>
      </c>
      <c r="CR180" s="473">
        <f>блюда!CR148</f>
        <v>0</v>
      </c>
      <c r="CS180" s="473">
        <f>блюда!CS148</f>
        <v>0</v>
      </c>
      <c r="CT180" s="473">
        <f>блюда!CT148</f>
        <v>0</v>
      </c>
      <c r="CU180" s="473">
        <f>блюда!CU148</f>
        <v>0</v>
      </c>
      <c r="CV180" s="473">
        <f>блюда!CV148</f>
        <v>0</v>
      </c>
      <c r="CW180" s="473">
        <f>блюда!CW148</f>
        <v>0</v>
      </c>
      <c r="CX180" s="473">
        <f>блюда!CX148</f>
        <v>0</v>
      </c>
      <c r="CY180" s="473">
        <f>блюда!CY148</f>
        <v>0</v>
      </c>
      <c r="CZ180" s="473">
        <f>блюда!CZ148</f>
        <v>0</v>
      </c>
      <c r="DA180" s="473">
        <f>блюда!DA148</f>
        <v>0</v>
      </c>
      <c r="DB180" s="473">
        <f>блюда!DB148</f>
        <v>0</v>
      </c>
      <c r="DC180" s="473">
        <f>блюда!DC148</f>
        <v>2.63E-3</v>
      </c>
      <c r="DD180" s="473">
        <f>блюда!DD148</f>
        <v>0</v>
      </c>
      <c r="DE180" s="473">
        <f>блюда!DE148</f>
        <v>0</v>
      </c>
      <c r="DF180" s="473">
        <f>блюда!DF148</f>
        <v>0</v>
      </c>
      <c r="DG180" s="473">
        <f>блюда!DG148</f>
        <v>0</v>
      </c>
      <c r="DH180" s="473">
        <f>блюда!DH148</f>
        <v>0</v>
      </c>
      <c r="DI180" s="473">
        <f>блюда!DI148</f>
        <v>0</v>
      </c>
      <c r="DJ180" s="473">
        <f>блюда!DJ148</f>
        <v>0</v>
      </c>
      <c r="DK180" s="473">
        <f>блюда!DK148</f>
        <v>0</v>
      </c>
      <c r="DL180" s="473">
        <f>блюда!DL148</f>
        <v>0</v>
      </c>
      <c r="DM180" s="473">
        <f>блюда!DM148</f>
        <v>0</v>
      </c>
      <c r="DN180" s="473">
        <f>блюда!DN148</f>
        <v>0</v>
      </c>
      <c r="DO180" s="473">
        <f>блюда!DO148</f>
        <v>0</v>
      </c>
      <c r="DP180" s="473">
        <f>блюда!DP148</f>
        <v>0</v>
      </c>
      <c r="DQ180" s="473">
        <f>блюда!DQ148</f>
        <v>0</v>
      </c>
      <c r="DR180" s="473">
        <f>блюда!DR148</f>
        <v>0</v>
      </c>
      <c r="DS180" s="473">
        <f>блюда!DS148</f>
        <v>0</v>
      </c>
      <c r="DT180" s="473">
        <f>блюда!DT148</f>
        <v>0</v>
      </c>
      <c r="DU180" s="473">
        <f>блюда!DU148</f>
        <v>0</v>
      </c>
      <c r="DV180" s="473">
        <f>блюда!DV148</f>
        <v>0</v>
      </c>
      <c r="DW180" s="473">
        <f>блюда!DW148</f>
        <v>0</v>
      </c>
      <c r="DX180" s="473">
        <f>блюда!DX148</f>
        <v>0</v>
      </c>
      <c r="DY180" s="473">
        <f>блюда!DY148</f>
        <v>0</v>
      </c>
      <c r="DZ180" s="473">
        <f>блюда!DZ148</f>
        <v>0</v>
      </c>
      <c r="EA180" s="473">
        <f>блюда!EA148</f>
        <v>0</v>
      </c>
      <c r="EB180" s="473">
        <f>блюда!EB148</f>
        <v>0</v>
      </c>
      <c r="EC180" s="473">
        <f>блюда!EC148</f>
        <v>0</v>
      </c>
      <c r="ED180" s="473">
        <f>блюда!ED148</f>
        <v>0</v>
      </c>
      <c r="EE180" s="473">
        <f>блюда!EE148</f>
        <v>0</v>
      </c>
      <c r="EF180" s="473">
        <f>блюда!EF148</f>
        <v>0</v>
      </c>
      <c r="EG180" s="473">
        <f>блюда!EG148</f>
        <v>0</v>
      </c>
      <c r="EH180" s="473">
        <f>блюда!EH148</f>
        <v>0</v>
      </c>
      <c r="EI180" s="473">
        <f>блюда!EI148</f>
        <v>0</v>
      </c>
      <c r="EJ180" s="473">
        <f>блюда!EJ148</f>
        <v>0</v>
      </c>
      <c r="EK180" s="473">
        <f>блюда!EK148</f>
        <v>0</v>
      </c>
      <c r="EL180" s="473">
        <f>блюда!EL148</f>
        <v>0</v>
      </c>
      <c r="EM180" s="473">
        <f>блюда!EM148</f>
        <v>0</v>
      </c>
      <c r="EN180" s="473">
        <f>блюда!EN148</f>
        <v>0</v>
      </c>
      <c r="EO180" s="473">
        <f>блюда!EO148</f>
        <v>0</v>
      </c>
      <c r="EP180" s="473">
        <f>блюда!EP148</f>
        <v>0</v>
      </c>
      <c r="EQ180" s="473">
        <f>блюда!EQ148</f>
        <v>0</v>
      </c>
      <c r="ER180" s="473">
        <f>блюда!ER148</f>
        <v>0</v>
      </c>
      <c r="ES180" s="473">
        <f>блюда!ES148</f>
        <v>0</v>
      </c>
      <c r="ET180" s="473">
        <f>блюда!ET148</f>
        <v>0</v>
      </c>
      <c r="EU180" s="473">
        <f>блюда!EU148</f>
        <v>0</v>
      </c>
      <c r="EV180" s="473">
        <f>блюда!EV148</f>
        <v>0</v>
      </c>
      <c r="EW180" s="473">
        <f>блюда!EW148</f>
        <v>0</v>
      </c>
      <c r="EX180" s="473">
        <f>блюда!EX148</f>
        <v>0</v>
      </c>
      <c r="EY180" s="927">
        <f t="shared" si="116"/>
        <v>6.0130000000000003E-2</v>
      </c>
      <c r="EZ180" s="117">
        <f>блюда!EZ272</f>
        <v>0</v>
      </c>
      <c r="FA180" s="117">
        <f>блюда!FA272</f>
        <v>0</v>
      </c>
      <c r="FB180" s="117">
        <f>блюда!FB272</f>
        <v>0</v>
      </c>
      <c r="FC180" s="117">
        <f>блюда!FC272</f>
        <v>0</v>
      </c>
      <c r="FD180" s="117">
        <f>блюда!FD272</f>
        <v>0</v>
      </c>
      <c r="FE180" s="117">
        <f>блюда!FE272</f>
        <v>0</v>
      </c>
      <c r="FF180" s="117">
        <f>блюда!FF272</f>
        <v>0</v>
      </c>
      <c r="FG180" s="117">
        <f>блюда!FG272</f>
        <v>0</v>
      </c>
      <c r="FH180" s="117">
        <f>блюда!FH272</f>
        <v>0</v>
      </c>
      <c r="FI180" s="117">
        <f>блюда!FI272</f>
        <v>0</v>
      </c>
      <c r="FJ180" s="117">
        <f>блюда!FJ272</f>
        <v>0</v>
      </c>
      <c r="FK180" s="117">
        <f>блюда!FK272</f>
        <v>0</v>
      </c>
      <c r="FL180" s="117">
        <f>блюда!FL272</f>
        <v>0</v>
      </c>
    </row>
    <row r="181" spans="1:168" x14ac:dyDescent="0.25">
      <c r="A181" s="1466"/>
      <c r="B181" s="115" t="str">
        <f>блюда!B272</f>
        <v xml:space="preserve">Компот из яблок </v>
      </c>
      <c r="C181" s="250">
        <f>блюда!C272</f>
        <v>200</v>
      </c>
      <c r="D181" s="431">
        <f>блюда!D272</f>
        <v>0.16</v>
      </c>
      <c r="E181" s="431">
        <f>блюда!E272</f>
        <v>0.16</v>
      </c>
      <c r="F181" s="431">
        <f>блюда!F272</f>
        <v>27.88</v>
      </c>
      <c r="G181" s="250">
        <f>блюда!G272</f>
        <v>115</v>
      </c>
      <c r="H181" s="250">
        <f>блюда!H272</f>
        <v>342</v>
      </c>
      <c r="I181" s="431">
        <f>блюда!I272</f>
        <v>6.01</v>
      </c>
      <c r="J181" s="473">
        <f>блюда!J272</f>
        <v>0</v>
      </c>
      <c r="K181" s="473">
        <f>блюда!K272</f>
        <v>0</v>
      </c>
      <c r="L181" s="473">
        <f>блюда!L272</f>
        <v>0</v>
      </c>
      <c r="M181" s="473">
        <f>блюда!M272</f>
        <v>0</v>
      </c>
      <c r="N181" s="473">
        <f>блюда!N272</f>
        <v>0</v>
      </c>
      <c r="O181" s="473">
        <f>блюда!O272</f>
        <v>0</v>
      </c>
      <c r="P181" s="473">
        <f>блюда!P272</f>
        <v>0</v>
      </c>
      <c r="Q181" s="473">
        <f>блюда!Q272</f>
        <v>0</v>
      </c>
      <c r="R181" s="473">
        <f>блюда!R272</f>
        <v>0</v>
      </c>
      <c r="S181" s="473">
        <f>блюда!S272</f>
        <v>0</v>
      </c>
      <c r="T181" s="473">
        <f>блюда!T272</f>
        <v>0</v>
      </c>
      <c r="U181" s="473">
        <f>блюда!U272</f>
        <v>0</v>
      </c>
      <c r="V181" s="473">
        <f>блюда!V272</f>
        <v>0</v>
      </c>
      <c r="W181" s="473">
        <f>блюда!W272</f>
        <v>0</v>
      </c>
      <c r="X181" s="473">
        <f>блюда!X272</f>
        <v>0</v>
      </c>
      <c r="Y181" s="473">
        <f>блюда!Y272</f>
        <v>0</v>
      </c>
      <c r="Z181" s="473">
        <f>блюда!Z272</f>
        <v>0</v>
      </c>
      <c r="AA181" s="473">
        <f>блюда!AA272</f>
        <v>0</v>
      </c>
      <c r="AB181" s="473">
        <f>блюда!AB272</f>
        <v>0</v>
      </c>
      <c r="AC181" s="473">
        <f>блюда!AC272</f>
        <v>0</v>
      </c>
      <c r="AD181" s="473">
        <f>блюда!AD272</f>
        <v>0</v>
      </c>
      <c r="AE181" s="473">
        <f>блюда!AE272</f>
        <v>0</v>
      </c>
      <c r="AF181" s="473">
        <f>блюда!AF272</f>
        <v>0</v>
      </c>
      <c r="AG181" s="473">
        <f>блюда!AG272</f>
        <v>0</v>
      </c>
      <c r="AH181" s="473">
        <f>блюда!AH272</f>
        <v>0</v>
      </c>
      <c r="AI181" s="473">
        <f>блюда!AI272</f>
        <v>0</v>
      </c>
      <c r="AJ181" s="473">
        <f>блюда!AJ272</f>
        <v>0</v>
      </c>
      <c r="AK181" s="473">
        <f>блюда!AK272</f>
        <v>0</v>
      </c>
      <c r="AL181" s="473">
        <f>блюда!AL272</f>
        <v>0</v>
      </c>
      <c r="AM181" s="473">
        <f>блюда!AM272</f>
        <v>0</v>
      </c>
      <c r="AN181" s="473">
        <f>блюда!AN272</f>
        <v>0</v>
      </c>
      <c r="AO181" s="473">
        <f>блюда!AO272</f>
        <v>0</v>
      </c>
      <c r="AP181" s="473">
        <f>блюда!AP272</f>
        <v>0</v>
      </c>
      <c r="AQ181" s="473">
        <f>блюда!AQ272</f>
        <v>0</v>
      </c>
      <c r="AR181" s="473">
        <f>блюда!AR272</f>
        <v>0</v>
      </c>
      <c r="AS181" s="473">
        <f>блюда!AS272</f>
        <v>0</v>
      </c>
      <c r="AT181" s="473">
        <f>блюда!AT272</f>
        <v>0</v>
      </c>
      <c r="AU181" s="473">
        <f>блюда!AU272</f>
        <v>0</v>
      </c>
      <c r="AV181" s="473">
        <f>блюда!AV272</f>
        <v>0</v>
      </c>
      <c r="AW181" s="473">
        <f>блюда!AW272</f>
        <v>0</v>
      </c>
      <c r="AX181" s="473">
        <f>блюда!AX272</f>
        <v>0</v>
      </c>
      <c r="AY181" s="473">
        <f>блюда!AY272</f>
        <v>0</v>
      </c>
      <c r="AZ181" s="473">
        <f>блюда!AZ272</f>
        <v>0</v>
      </c>
      <c r="BA181" s="473">
        <f>блюда!BA272</f>
        <v>0</v>
      </c>
      <c r="BB181" s="473">
        <f>блюда!BB272</f>
        <v>0</v>
      </c>
      <c r="BC181" s="473">
        <f>блюда!BC272</f>
        <v>0</v>
      </c>
      <c r="BD181" s="473">
        <f>блюда!BD272</f>
        <v>0</v>
      </c>
      <c r="BE181" s="473">
        <f>блюда!BE272</f>
        <v>0</v>
      </c>
      <c r="BF181" s="473">
        <f>блюда!BF272</f>
        <v>0</v>
      </c>
      <c r="BG181" s="473">
        <f>блюда!BG272</f>
        <v>0</v>
      </c>
      <c r="BH181" s="473">
        <f>блюда!BH272</f>
        <v>0</v>
      </c>
      <c r="BI181" s="473">
        <f>блюда!BI272</f>
        <v>0</v>
      </c>
      <c r="BJ181" s="473">
        <f>блюда!BJ272</f>
        <v>0</v>
      </c>
      <c r="BK181" s="473">
        <f>блюда!BK272</f>
        <v>0</v>
      </c>
      <c r="BL181" s="473">
        <f>блюда!BL272</f>
        <v>0</v>
      </c>
      <c r="BM181" s="473">
        <f>блюда!BM272</f>
        <v>0</v>
      </c>
      <c r="BN181" s="473">
        <f>блюда!BN272</f>
        <v>0</v>
      </c>
      <c r="BO181" s="473">
        <f>блюда!BO272</f>
        <v>0</v>
      </c>
      <c r="BP181" s="473">
        <f>блюда!BP272</f>
        <v>0</v>
      </c>
      <c r="BQ181" s="473">
        <f>блюда!BQ272</f>
        <v>0</v>
      </c>
      <c r="BR181" s="473">
        <f>блюда!BR272</f>
        <v>4.5400000000000003E-2</v>
      </c>
      <c r="BS181" s="473">
        <f>блюда!BS272</f>
        <v>0</v>
      </c>
      <c r="BT181" s="473">
        <f>блюда!BT272</f>
        <v>0</v>
      </c>
      <c r="BU181" s="473">
        <f>блюда!BU272</f>
        <v>0</v>
      </c>
      <c r="BV181" s="473">
        <f>блюда!BV272</f>
        <v>0</v>
      </c>
      <c r="BW181" s="473">
        <f>блюда!BW272</f>
        <v>0</v>
      </c>
      <c r="BX181" s="473">
        <f>блюда!BX272</f>
        <v>0</v>
      </c>
      <c r="BY181" s="473">
        <f>блюда!BY272</f>
        <v>0</v>
      </c>
      <c r="BZ181" s="473">
        <f>блюда!BZ272</f>
        <v>0</v>
      </c>
      <c r="CA181" s="473">
        <f>блюда!CA272</f>
        <v>0</v>
      </c>
      <c r="CB181" s="473">
        <f>блюда!CB272</f>
        <v>0</v>
      </c>
      <c r="CC181" s="473">
        <f>блюда!CC272</f>
        <v>0</v>
      </c>
      <c r="CD181" s="473">
        <f>блюда!CD272</f>
        <v>0</v>
      </c>
      <c r="CE181" s="473">
        <f>блюда!CE272</f>
        <v>0</v>
      </c>
      <c r="CF181" s="473">
        <f>блюда!CF272</f>
        <v>0</v>
      </c>
      <c r="CG181" s="473">
        <f>блюда!CG272</f>
        <v>0</v>
      </c>
      <c r="CH181" s="473">
        <f>блюда!CH272</f>
        <v>0</v>
      </c>
      <c r="CI181" s="473">
        <f>блюда!CI272</f>
        <v>0</v>
      </c>
      <c r="CJ181" s="473">
        <f>блюда!CJ272</f>
        <v>0</v>
      </c>
      <c r="CK181" s="473">
        <f>блюда!CK272</f>
        <v>0</v>
      </c>
      <c r="CL181" s="473">
        <f>блюда!CL272</f>
        <v>0</v>
      </c>
      <c r="CM181" s="473">
        <f>блюда!CM272</f>
        <v>0</v>
      </c>
      <c r="CN181" s="473">
        <f>блюда!CN272</f>
        <v>0</v>
      </c>
      <c r="CO181" s="473">
        <f>блюда!CO272</f>
        <v>0</v>
      </c>
      <c r="CP181" s="473">
        <f>блюда!CP272</f>
        <v>0</v>
      </c>
      <c r="CQ181" s="473">
        <f>блюда!CQ272</f>
        <v>2.0000000000000001E-4</v>
      </c>
      <c r="CR181" s="473">
        <f>блюда!CR272</f>
        <v>0</v>
      </c>
      <c r="CS181" s="473">
        <f>блюда!CS272</f>
        <v>0</v>
      </c>
      <c r="CT181" s="473">
        <f>блюда!CT272</f>
        <v>0</v>
      </c>
      <c r="CU181" s="473">
        <f>блюда!CU272</f>
        <v>0</v>
      </c>
      <c r="CV181" s="473">
        <f>блюда!CV272</f>
        <v>0</v>
      </c>
      <c r="CW181" s="473">
        <f>блюда!CW272</f>
        <v>0</v>
      </c>
      <c r="CX181" s="473">
        <f>блюда!CX272</f>
        <v>0</v>
      </c>
      <c r="CY181" s="473">
        <f>блюда!CY272</f>
        <v>0</v>
      </c>
      <c r="CZ181" s="473">
        <f>блюда!CZ272</f>
        <v>2.4E-2</v>
      </c>
      <c r="DA181" s="473">
        <f>блюда!DA272</f>
        <v>0</v>
      </c>
      <c r="DB181" s="473">
        <f>блюда!DB272</f>
        <v>0</v>
      </c>
      <c r="DC181" s="473">
        <f>блюда!DC272</f>
        <v>0</v>
      </c>
      <c r="DD181" s="473">
        <f>блюда!DD272</f>
        <v>0</v>
      </c>
      <c r="DE181" s="473">
        <f>блюда!DE272</f>
        <v>0</v>
      </c>
      <c r="DF181" s="473">
        <f>блюда!DF272</f>
        <v>0</v>
      </c>
      <c r="DG181" s="473">
        <f>блюда!DG272</f>
        <v>0</v>
      </c>
      <c r="DH181" s="473">
        <f>блюда!DH272</f>
        <v>0</v>
      </c>
      <c r="DI181" s="473">
        <f>блюда!DI272</f>
        <v>0</v>
      </c>
      <c r="DJ181" s="473">
        <f>блюда!DJ272</f>
        <v>0</v>
      </c>
      <c r="DK181" s="473">
        <f>блюда!DK272</f>
        <v>0</v>
      </c>
      <c r="DL181" s="473">
        <f>блюда!DL272</f>
        <v>0</v>
      </c>
      <c r="DM181" s="473">
        <f>блюда!DM272</f>
        <v>0</v>
      </c>
      <c r="DN181" s="473">
        <f>блюда!DN272</f>
        <v>0</v>
      </c>
      <c r="DO181" s="473">
        <f>блюда!DO272</f>
        <v>0</v>
      </c>
      <c r="DP181" s="473">
        <f>блюда!DP272</f>
        <v>0</v>
      </c>
      <c r="DQ181" s="473">
        <f>блюда!DQ272</f>
        <v>0</v>
      </c>
      <c r="DR181" s="473">
        <f>блюда!DR272</f>
        <v>0</v>
      </c>
      <c r="DS181" s="473">
        <f>блюда!DS272</f>
        <v>0</v>
      </c>
      <c r="DT181" s="473">
        <f>блюда!DT272</f>
        <v>0</v>
      </c>
      <c r="DU181" s="473">
        <f>блюда!DU272</f>
        <v>0</v>
      </c>
      <c r="DV181" s="473">
        <f>блюда!DV272</f>
        <v>0</v>
      </c>
      <c r="DW181" s="473">
        <f>блюда!DW272</f>
        <v>0</v>
      </c>
      <c r="DX181" s="473">
        <f>блюда!DX272</f>
        <v>0</v>
      </c>
      <c r="DY181" s="473">
        <f>блюда!DY272</f>
        <v>0</v>
      </c>
      <c r="DZ181" s="473">
        <f>блюда!DZ272</f>
        <v>0</v>
      </c>
      <c r="EA181" s="473">
        <f>блюда!EA272</f>
        <v>0</v>
      </c>
      <c r="EB181" s="473">
        <f>блюда!EB272</f>
        <v>0</v>
      </c>
      <c r="EC181" s="473">
        <f>блюда!EC272</f>
        <v>0</v>
      </c>
      <c r="ED181" s="473">
        <f>блюда!ED272</f>
        <v>0</v>
      </c>
      <c r="EE181" s="473">
        <f>блюда!EE272</f>
        <v>0</v>
      </c>
      <c r="EF181" s="473">
        <f>блюда!EF272</f>
        <v>0</v>
      </c>
      <c r="EG181" s="473">
        <f>блюда!EG272</f>
        <v>0</v>
      </c>
      <c r="EH181" s="473">
        <f>блюда!EH272</f>
        <v>0</v>
      </c>
      <c r="EI181" s="473">
        <f>блюда!EI272</f>
        <v>0</v>
      </c>
      <c r="EJ181" s="473">
        <f>блюда!EJ272</f>
        <v>0</v>
      </c>
      <c r="EK181" s="473">
        <f>блюда!EK272</f>
        <v>0</v>
      </c>
      <c r="EL181" s="473">
        <f>блюда!EL272</f>
        <v>0</v>
      </c>
      <c r="EM181" s="473">
        <f>блюда!EM272</f>
        <v>0</v>
      </c>
      <c r="EN181" s="473">
        <f>блюда!EN272</f>
        <v>0</v>
      </c>
      <c r="EO181" s="473">
        <f>блюда!EO272</f>
        <v>0</v>
      </c>
      <c r="EP181" s="473">
        <f>блюда!EP272</f>
        <v>0</v>
      </c>
      <c r="EQ181" s="473">
        <f>блюда!EQ272</f>
        <v>0</v>
      </c>
      <c r="ER181" s="473">
        <f>блюда!ER272</f>
        <v>0</v>
      </c>
      <c r="ES181" s="473">
        <f>блюда!ES272</f>
        <v>0</v>
      </c>
      <c r="ET181" s="473">
        <f>блюда!ET272</f>
        <v>0</v>
      </c>
      <c r="EU181" s="473">
        <f>блюда!EU272</f>
        <v>0</v>
      </c>
      <c r="EV181" s="473">
        <f>блюда!EV272</f>
        <v>0</v>
      </c>
      <c r="EW181" s="473">
        <f>блюда!EW272</f>
        <v>0</v>
      </c>
      <c r="EX181" s="473">
        <f>блюда!EX272</f>
        <v>0</v>
      </c>
      <c r="EY181" s="927">
        <f t="shared" si="116"/>
        <v>6.9599999999999995E-2</v>
      </c>
      <c r="EZ181" s="117">
        <f>блюда!EZ333</f>
        <v>0</v>
      </c>
      <c r="FA181" s="117">
        <f>блюда!FA333</f>
        <v>0</v>
      </c>
      <c r="FB181" s="117">
        <f>блюда!FB333</f>
        <v>0</v>
      </c>
      <c r="FC181" s="117">
        <f>блюда!FC333</f>
        <v>0</v>
      </c>
      <c r="FD181" s="117">
        <f>блюда!FD333</f>
        <v>0</v>
      </c>
      <c r="FE181" s="117">
        <f>блюда!FE333</f>
        <v>0</v>
      </c>
      <c r="FF181" s="117">
        <f>блюда!FF333</f>
        <v>0</v>
      </c>
      <c r="FG181" s="117">
        <f>блюда!FG333</f>
        <v>0</v>
      </c>
      <c r="FH181" s="117">
        <f>блюда!FH333</f>
        <v>0</v>
      </c>
      <c r="FI181" s="117">
        <f>блюда!FI333</f>
        <v>0</v>
      </c>
      <c r="FJ181" s="117">
        <f>блюда!FJ333</f>
        <v>0</v>
      </c>
      <c r="FK181" s="117">
        <f>блюда!FK333</f>
        <v>0</v>
      </c>
      <c r="FL181" s="117">
        <f>блюда!FL333</f>
        <v>0</v>
      </c>
    </row>
    <row r="182" spans="1:168" x14ac:dyDescent="0.25">
      <c r="A182" s="1466"/>
      <c r="B182" s="115" t="str">
        <f>блюда!B333</f>
        <v>Хлеб пшеничный нарезной</v>
      </c>
      <c r="C182" s="250">
        <f>блюда!C333</f>
        <v>20</v>
      </c>
      <c r="D182" s="431">
        <f>блюда!D333</f>
        <v>2.14</v>
      </c>
      <c r="E182" s="431">
        <f>блюда!E333</f>
        <v>0.9</v>
      </c>
      <c r="F182" s="431">
        <f>блюда!F333</f>
        <v>8.6999999999999993</v>
      </c>
      <c r="G182" s="250">
        <f>блюда!G333</f>
        <v>55</v>
      </c>
      <c r="H182" s="250" t="str">
        <f>блюда!H333</f>
        <v>ПРОМ</v>
      </c>
      <c r="I182" s="431">
        <f>блюда!I333</f>
        <v>1.3</v>
      </c>
      <c r="J182" s="473">
        <f>блюда!J333</f>
        <v>0</v>
      </c>
      <c r="K182" s="473">
        <f>блюда!K333</f>
        <v>0</v>
      </c>
      <c r="L182" s="473">
        <f>блюда!L333</f>
        <v>0</v>
      </c>
      <c r="M182" s="473">
        <f>блюда!M333</f>
        <v>0</v>
      </c>
      <c r="N182" s="473">
        <f>блюда!N333</f>
        <v>0</v>
      </c>
      <c r="O182" s="473">
        <f>блюда!O333</f>
        <v>0</v>
      </c>
      <c r="P182" s="473">
        <f>блюда!P333</f>
        <v>0</v>
      </c>
      <c r="Q182" s="473">
        <f>блюда!Q333</f>
        <v>0</v>
      </c>
      <c r="R182" s="473">
        <f>блюда!R333</f>
        <v>0</v>
      </c>
      <c r="S182" s="473">
        <f>блюда!S333</f>
        <v>0</v>
      </c>
      <c r="T182" s="473">
        <f>блюда!T333</f>
        <v>0</v>
      </c>
      <c r="U182" s="473">
        <f>блюда!U333</f>
        <v>0</v>
      </c>
      <c r="V182" s="473">
        <f>блюда!V333</f>
        <v>0</v>
      </c>
      <c r="W182" s="473">
        <f>блюда!W333</f>
        <v>0</v>
      </c>
      <c r="X182" s="473">
        <f>блюда!X333</f>
        <v>0</v>
      </c>
      <c r="Y182" s="473">
        <f>блюда!Y333</f>
        <v>0</v>
      </c>
      <c r="Z182" s="473">
        <f>блюда!Z333</f>
        <v>0</v>
      </c>
      <c r="AA182" s="473">
        <f>блюда!AA333</f>
        <v>0</v>
      </c>
      <c r="AB182" s="473">
        <f>блюда!AB333</f>
        <v>0</v>
      </c>
      <c r="AC182" s="473">
        <f>блюда!AC333</f>
        <v>0</v>
      </c>
      <c r="AD182" s="473">
        <f>блюда!AD333</f>
        <v>0</v>
      </c>
      <c r="AE182" s="473">
        <f>блюда!AE333</f>
        <v>0</v>
      </c>
      <c r="AF182" s="473">
        <f>блюда!AF333</f>
        <v>0</v>
      </c>
      <c r="AG182" s="473">
        <f>блюда!AG333</f>
        <v>0</v>
      </c>
      <c r="AH182" s="473">
        <f>блюда!AH333</f>
        <v>0</v>
      </c>
      <c r="AI182" s="473">
        <f>блюда!AI333</f>
        <v>0</v>
      </c>
      <c r="AJ182" s="473">
        <f>блюда!AJ333</f>
        <v>0</v>
      </c>
      <c r="AK182" s="473">
        <f>блюда!AK333</f>
        <v>0</v>
      </c>
      <c r="AL182" s="473">
        <f>блюда!AL333</f>
        <v>0</v>
      </c>
      <c r="AM182" s="473">
        <f>блюда!AM333</f>
        <v>0</v>
      </c>
      <c r="AN182" s="473">
        <f>блюда!AN333</f>
        <v>0</v>
      </c>
      <c r="AO182" s="473">
        <f>блюда!AO333</f>
        <v>0</v>
      </c>
      <c r="AP182" s="473">
        <f>блюда!AP333</f>
        <v>0</v>
      </c>
      <c r="AQ182" s="473">
        <f>блюда!AQ333</f>
        <v>0</v>
      </c>
      <c r="AR182" s="473">
        <f>блюда!AR333</f>
        <v>0</v>
      </c>
      <c r="AS182" s="473">
        <f>блюда!AS333</f>
        <v>0</v>
      </c>
      <c r="AT182" s="473">
        <f>блюда!AT333</f>
        <v>0</v>
      </c>
      <c r="AU182" s="473">
        <f>блюда!AU333</f>
        <v>0</v>
      </c>
      <c r="AV182" s="473">
        <f>блюда!AV333</f>
        <v>0</v>
      </c>
      <c r="AW182" s="473">
        <f>блюда!AW333</f>
        <v>0</v>
      </c>
      <c r="AX182" s="473">
        <f>блюда!AX333</f>
        <v>0</v>
      </c>
      <c r="AY182" s="473">
        <f>блюда!AY333</f>
        <v>0</v>
      </c>
      <c r="AZ182" s="473">
        <f>блюда!AZ333</f>
        <v>0</v>
      </c>
      <c r="BA182" s="473">
        <f>блюда!BA333</f>
        <v>0</v>
      </c>
      <c r="BB182" s="473">
        <f>блюда!BB333</f>
        <v>0</v>
      </c>
      <c r="BC182" s="473">
        <f>блюда!BC333</f>
        <v>0</v>
      </c>
      <c r="BD182" s="473">
        <f>блюда!BD333</f>
        <v>0</v>
      </c>
      <c r="BE182" s="473">
        <f>блюда!BE333</f>
        <v>0</v>
      </c>
      <c r="BF182" s="473">
        <f>блюда!BF333</f>
        <v>0</v>
      </c>
      <c r="BG182" s="473">
        <f>блюда!BG333</f>
        <v>0</v>
      </c>
      <c r="BH182" s="473">
        <f>блюда!BH333</f>
        <v>0</v>
      </c>
      <c r="BI182" s="473">
        <f>блюда!BI333</f>
        <v>0</v>
      </c>
      <c r="BJ182" s="473">
        <f>блюда!BJ333</f>
        <v>0</v>
      </c>
      <c r="BK182" s="473">
        <f>блюда!BK333</f>
        <v>0</v>
      </c>
      <c r="BL182" s="473">
        <f>блюда!BL333</f>
        <v>0</v>
      </c>
      <c r="BM182" s="473">
        <f>блюда!BM333</f>
        <v>0</v>
      </c>
      <c r="BN182" s="473">
        <f>блюда!BN333</f>
        <v>0</v>
      </c>
      <c r="BO182" s="473">
        <f>блюда!BO333</f>
        <v>0</v>
      </c>
      <c r="BP182" s="473">
        <f>блюда!BP333</f>
        <v>0</v>
      </c>
      <c r="BQ182" s="473">
        <f>блюда!BQ333</f>
        <v>0</v>
      </c>
      <c r="BR182" s="473">
        <f>блюда!BR333</f>
        <v>0</v>
      </c>
      <c r="BS182" s="473">
        <f>блюда!BS333</f>
        <v>0</v>
      </c>
      <c r="BT182" s="473">
        <f>блюда!BT333</f>
        <v>0</v>
      </c>
      <c r="BU182" s="473">
        <f>блюда!BU333</f>
        <v>0</v>
      </c>
      <c r="BV182" s="473">
        <f>блюда!BV333</f>
        <v>0</v>
      </c>
      <c r="BW182" s="473">
        <f>блюда!BW333</f>
        <v>0</v>
      </c>
      <c r="BX182" s="473">
        <f>блюда!BX333</f>
        <v>0</v>
      </c>
      <c r="BY182" s="473">
        <f>блюда!BY333</f>
        <v>0</v>
      </c>
      <c r="BZ182" s="473">
        <f>блюда!BZ333</f>
        <v>0</v>
      </c>
      <c r="CA182" s="473">
        <f>блюда!CA333</f>
        <v>0</v>
      </c>
      <c r="CB182" s="473">
        <f>блюда!CB333</f>
        <v>0</v>
      </c>
      <c r="CC182" s="473">
        <f>блюда!CC333</f>
        <v>0</v>
      </c>
      <c r="CD182" s="473">
        <f>блюда!CD333</f>
        <v>0</v>
      </c>
      <c r="CE182" s="473">
        <f>блюда!CE333</f>
        <v>0</v>
      </c>
      <c r="CF182" s="473">
        <f>блюда!CF333</f>
        <v>0</v>
      </c>
      <c r="CG182" s="473">
        <f>блюда!CG333</f>
        <v>0</v>
      </c>
      <c r="CH182" s="473">
        <f>блюда!CH333</f>
        <v>0</v>
      </c>
      <c r="CI182" s="473">
        <f>блюда!CI333</f>
        <v>0</v>
      </c>
      <c r="CJ182" s="473">
        <f>блюда!CJ333</f>
        <v>0</v>
      </c>
      <c r="CK182" s="473">
        <f>блюда!CK333</f>
        <v>0</v>
      </c>
      <c r="CL182" s="473">
        <f>блюда!CL333</f>
        <v>0</v>
      </c>
      <c r="CM182" s="473">
        <f>блюда!CM333</f>
        <v>0</v>
      </c>
      <c r="CN182" s="473">
        <f>блюда!CN333</f>
        <v>0</v>
      </c>
      <c r="CO182" s="473">
        <f>блюда!CO333</f>
        <v>0</v>
      </c>
      <c r="CP182" s="473">
        <f>блюда!CP333</f>
        <v>0</v>
      </c>
      <c r="CQ182" s="473">
        <f>блюда!CQ333</f>
        <v>0</v>
      </c>
      <c r="CR182" s="473">
        <f>блюда!CR333</f>
        <v>0</v>
      </c>
      <c r="CS182" s="473">
        <f>блюда!CS333</f>
        <v>0</v>
      </c>
      <c r="CT182" s="473">
        <f>блюда!CT333</f>
        <v>0</v>
      </c>
      <c r="CU182" s="473">
        <f>блюда!CU333</f>
        <v>0</v>
      </c>
      <c r="CV182" s="473">
        <f>блюда!CV333</f>
        <v>0</v>
      </c>
      <c r="CW182" s="473">
        <f>блюда!CW333</f>
        <v>0</v>
      </c>
      <c r="CX182" s="473">
        <f>блюда!CX333</f>
        <v>0</v>
      </c>
      <c r="CY182" s="473">
        <f>блюда!CY333</f>
        <v>0</v>
      </c>
      <c r="CZ182" s="473">
        <f>блюда!CZ333</f>
        <v>0</v>
      </c>
      <c r="DA182" s="473">
        <f>блюда!DA333</f>
        <v>0</v>
      </c>
      <c r="DB182" s="473">
        <f>блюда!DB333</f>
        <v>0</v>
      </c>
      <c r="DC182" s="473">
        <f>блюда!DC333</f>
        <v>0</v>
      </c>
      <c r="DD182" s="473">
        <f>блюда!DD333</f>
        <v>0</v>
      </c>
      <c r="DE182" s="473">
        <f>блюда!DE333</f>
        <v>0</v>
      </c>
      <c r="DF182" s="473">
        <f>блюда!DF333</f>
        <v>0</v>
      </c>
      <c r="DG182" s="473">
        <f>блюда!DG333</f>
        <v>0</v>
      </c>
      <c r="DH182" s="473">
        <f>блюда!DH333</f>
        <v>0</v>
      </c>
      <c r="DI182" s="473">
        <f>блюда!DI333</f>
        <v>0</v>
      </c>
      <c r="DJ182" s="473">
        <f>блюда!DJ333</f>
        <v>0</v>
      </c>
      <c r="DK182" s="473">
        <f>блюда!DK333</f>
        <v>0</v>
      </c>
      <c r="DL182" s="473">
        <f>блюда!DL333</f>
        <v>0</v>
      </c>
      <c r="DM182" s="473">
        <f>блюда!DM333</f>
        <v>0</v>
      </c>
      <c r="DN182" s="473">
        <f>блюда!DN333</f>
        <v>0</v>
      </c>
      <c r="DO182" s="473">
        <f>блюда!DO333</f>
        <v>0</v>
      </c>
      <c r="DP182" s="473">
        <f>блюда!DP333</f>
        <v>0</v>
      </c>
      <c r="DQ182" s="473">
        <f>блюда!DQ333</f>
        <v>0</v>
      </c>
      <c r="DR182" s="473">
        <f>блюда!DR333</f>
        <v>0</v>
      </c>
      <c r="DS182" s="473">
        <f>блюда!DS333</f>
        <v>0</v>
      </c>
      <c r="DT182" s="473">
        <f>блюда!DT333</f>
        <v>0</v>
      </c>
      <c r="DU182" s="473">
        <f>блюда!DU333</f>
        <v>0</v>
      </c>
      <c r="DV182" s="473">
        <f>блюда!DV333</f>
        <v>0</v>
      </c>
      <c r="DW182" s="473">
        <f>блюда!DW333</f>
        <v>0</v>
      </c>
      <c r="DX182" s="473">
        <f>блюда!DX333</f>
        <v>0</v>
      </c>
      <c r="DY182" s="473">
        <f>блюда!DY333</f>
        <v>0</v>
      </c>
      <c r="DZ182" s="473">
        <f>блюда!DZ333</f>
        <v>0</v>
      </c>
      <c r="EA182" s="473">
        <f>блюда!EA333</f>
        <v>0</v>
      </c>
      <c r="EB182" s="473">
        <f>блюда!EB333</f>
        <v>0</v>
      </c>
      <c r="EC182" s="473">
        <f>блюда!EC333</f>
        <v>0</v>
      </c>
      <c r="ED182" s="473">
        <f>блюда!ED333</f>
        <v>0</v>
      </c>
      <c r="EE182" s="473">
        <f>блюда!EE333</f>
        <v>0</v>
      </c>
      <c r="EF182" s="473">
        <f>блюда!EF333</f>
        <v>0</v>
      </c>
      <c r="EG182" s="473">
        <f>блюда!EG333</f>
        <v>0</v>
      </c>
      <c r="EH182" s="473">
        <f>блюда!EH333</f>
        <v>0</v>
      </c>
      <c r="EI182" s="473">
        <f>блюда!EI333</f>
        <v>0</v>
      </c>
      <c r="EJ182" s="473">
        <f>блюда!EJ333</f>
        <v>0</v>
      </c>
      <c r="EK182" s="473">
        <f>блюда!EK333</f>
        <v>0</v>
      </c>
      <c r="EL182" s="473">
        <f>блюда!EL333</f>
        <v>0</v>
      </c>
      <c r="EM182" s="473">
        <f>блюда!EM333</f>
        <v>0</v>
      </c>
      <c r="EN182" s="473">
        <f>блюда!EN333</f>
        <v>0</v>
      </c>
      <c r="EO182" s="473">
        <f>блюда!EO333</f>
        <v>0</v>
      </c>
      <c r="EP182" s="473">
        <f>блюда!EP333</f>
        <v>0</v>
      </c>
      <c r="EQ182" s="473">
        <f>блюда!EQ333</f>
        <v>0</v>
      </c>
      <c r="ER182" s="473">
        <f>блюда!ER333</f>
        <v>0</v>
      </c>
      <c r="ES182" s="473">
        <f>блюда!ES333</f>
        <v>0</v>
      </c>
      <c r="ET182" s="473">
        <f>блюда!ET333</f>
        <v>0</v>
      </c>
      <c r="EU182" s="473">
        <f>блюда!EU333</f>
        <v>0</v>
      </c>
      <c r="EV182" s="473">
        <f>блюда!EV333</f>
        <v>0.02</v>
      </c>
      <c r="EW182" s="473">
        <f>блюда!EW333</f>
        <v>0</v>
      </c>
      <c r="EX182" s="473">
        <f>блюда!EX333</f>
        <v>0</v>
      </c>
      <c r="EY182" s="927">
        <f t="shared" si="116"/>
        <v>0.02</v>
      </c>
      <c r="EZ182" s="117">
        <f>блюда!EZ335</f>
        <v>0</v>
      </c>
      <c r="FA182" s="117">
        <f>блюда!FA335</f>
        <v>0</v>
      </c>
      <c r="FB182" s="117">
        <f>блюда!FB335</f>
        <v>0</v>
      </c>
      <c r="FC182" s="117">
        <f>блюда!FC335</f>
        <v>0</v>
      </c>
      <c r="FD182" s="117">
        <f>блюда!FD335</f>
        <v>0</v>
      </c>
      <c r="FE182" s="117">
        <f>блюда!FE335</f>
        <v>0</v>
      </c>
      <c r="FF182" s="117">
        <f>блюда!FF335</f>
        <v>0</v>
      </c>
      <c r="FG182" s="117">
        <f>блюда!FG335</f>
        <v>0</v>
      </c>
      <c r="FH182" s="117">
        <f>блюда!FH335</f>
        <v>0</v>
      </c>
      <c r="FI182" s="117">
        <f>блюда!FI335</f>
        <v>0</v>
      </c>
      <c r="FJ182" s="117">
        <f>блюда!FJ335</f>
        <v>0</v>
      </c>
      <c r="FK182" s="117">
        <f>блюда!FK335</f>
        <v>0</v>
      </c>
      <c r="FL182" s="117">
        <f>блюда!FL335</f>
        <v>0</v>
      </c>
    </row>
    <row r="183" spans="1:168" x14ac:dyDescent="0.25">
      <c r="A183" s="1466"/>
      <c r="B183" s="115" t="str">
        <f>блюда!B335</f>
        <v>Хлеб пшенично-ржаной нарезной</v>
      </c>
      <c r="C183" s="250">
        <f>блюда!C335</f>
        <v>30</v>
      </c>
      <c r="D183" s="431">
        <f>блюда!D335</f>
        <v>2.25</v>
      </c>
      <c r="E183" s="431">
        <f>блюда!E335</f>
        <v>0.6</v>
      </c>
      <c r="F183" s="431">
        <f>блюда!F335</f>
        <v>15.6</v>
      </c>
      <c r="G183" s="250">
        <f>блюда!G335</f>
        <v>75</v>
      </c>
      <c r="H183" s="250" t="str">
        <f>блюда!H335</f>
        <v>ПРОМ</v>
      </c>
      <c r="I183" s="431">
        <f>блюда!I335</f>
        <v>1.95</v>
      </c>
      <c r="J183" s="473">
        <f>блюда!J335</f>
        <v>0</v>
      </c>
      <c r="K183" s="473">
        <f>блюда!K335</f>
        <v>0</v>
      </c>
      <c r="L183" s="473">
        <f>блюда!L335</f>
        <v>0</v>
      </c>
      <c r="M183" s="473">
        <f>блюда!M335</f>
        <v>0</v>
      </c>
      <c r="N183" s="473">
        <f>блюда!N335</f>
        <v>0</v>
      </c>
      <c r="O183" s="473">
        <f>блюда!O335</f>
        <v>0</v>
      </c>
      <c r="P183" s="473">
        <f>блюда!P335</f>
        <v>0</v>
      </c>
      <c r="Q183" s="473">
        <f>блюда!Q335</f>
        <v>0</v>
      </c>
      <c r="R183" s="473">
        <f>блюда!R335</f>
        <v>0</v>
      </c>
      <c r="S183" s="473">
        <f>блюда!S335</f>
        <v>0</v>
      </c>
      <c r="T183" s="473">
        <f>блюда!T335</f>
        <v>0</v>
      </c>
      <c r="U183" s="473">
        <f>блюда!U335</f>
        <v>0</v>
      </c>
      <c r="V183" s="473">
        <f>блюда!V335</f>
        <v>0</v>
      </c>
      <c r="W183" s="473">
        <f>блюда!W335</f>
        <v>0</v>
      </c>
      <c r="X183" s="473">
        <f>блюда!X335</f>
        <v>0</v>
      </c>
      <c r="Y183" s="473">
        <f>блюда!Y335</f>
        <v>0</v>
      </c>
      <c r="Z183" s="473">
        <f>блюда!Z335</f>
        <v>0</v>
      </c>
      <c r="AA183" s="473">
        <f>блюда!AA335</f>
        <v>0</v>
      </c>
      <c r="AB183" s="473">
        <f>блюда!AB335</f>
        <v>0</v>
      </c>
      <c r="AC183" s="473">
        <f>блюда!AC335</f>
        <v>0</v>
      </c>
      <c r="AD183" s="473">
        <f>блюда!AD335</f>
        <v>0</v>
      </c>
      <c r="AE183" s="473">
        <f>блюда!AE335</f>
        <v>0</v>
      </c>
      <c r="AF183" s="473">
        <f>блюда!AF335</f>
        <v>0</v>
      </c>
      <c r="AG183" s="473">
        <f>блюда!AG335</f>
        <v>0</v>
      </c>
      <c r="AH183" s="473">
        <f>блюда!AH335</f>
        <v>0</v>
      </c>
      <c r="AI183" s="473">
        <f>блюда!AI335</f>
        <v>0</v>
      </c>
      <c r="AJ183" s="473">
        <f>блюда!AJ335</f>
        <v>0</v>
      </c>
      <c r="AK183" s="473">
        <f>блюда!AK335</f>
        <v>0</v>
      </c>
      <c r="AL183" s="473">
        <f>блюда!AL335</f>
        <v>0</v>
      </c>
      <c r="AM183" s="473">
        <f>блюда!AM335</f>
        <v>0</v>
      </c>
      <c r="AN183" s="473">
        <f>блюда!AN335</f>
        <v>0</v>
      </c>
      <c r="AO183" s="473">
        <f>блюда!AO335</f>
        <v>0</v>
      </c>
      <c r="AP183" s="473">
        <f>блюда!AP335</f>
        <v>0</v>
      </c>
      <c r="AQ183" s="473">
        <f>блюда!AQ335</f>
        <v>0</v>
      </c>
      <c r="AR183" s="473">
        <f>блюда!AR335</f>
        <v>0</v>
      </c>
      <c r="AS183" s="473">
        <f>блюда!AS335</f>
        <v>0</v>
      </c>
      <c r="AT183" s="473">
        <f>блюда!AT335</f>
        <v>0</v>
      </c>
      <c r="AU183" s="473">
        <f>блюда!AU335</f>
        <v>0</v>
      </c>
      <c r="AV183" s="473">
        <f>блюда!AV335</f>
        <v>0</v>
      </c>
      <c r="AW183" s="473">
        <f>блюда!AW335</f>
        <v>0</v>
      </c>
      <c r="AX183" s="473">
        <f>блюда!AX335</f>
        <v>0</v>
      </c>
      <c r="AY183" s="473">
        <f>блюда!AY335</f>
        <v>0</v>
      </c>
      <c r="AZ183" s="473">
        <f>блюда!AZ335</f>
        <v>0</v>
      </c>
      <c r="BA183" s="473">
        <f>блюда!BA335</f>
        <v>0</v>
      </c>
      <c r="BB183" s="473">
        <f>блюда!BB335</f>
        <v>0</v>
      </c>
      <c r="BC183" s="473">
        <f>блюда!BC335</f>
        <v>0</v>
      </c>
      <c r="BD183" s="473">
        <f>блюда!BD335</f>
        <v>0</v>
      </c>
      <c r="BE183" s="473">
        <f>блюда!BE335</f>
        <v>0</v>
      </c>
      <c r="BF183" s="473">
        <f>блюда!BF335</f>
        <v>0</v>
      </c>
      <c r="BG183" s="473">
        <f>блюда!BG335</f>
        <v>0</v>
      </c>
      <c r="BH183" s="473">
        <f>блюда!BH335</f>
        <v>0</v>
      </c>
      <c r="BI183" s="473">
        <f>блюда!BI335</f>
        <v>0</v>
      </c>
      <c r="BJ183" s="473">
        <f>блюда!BJ335</f>
        <v>0</v>
      </c>
      <c r="BK183" s="473">
        <f>блюда!BK335</f>
        <v>0</v>
      </c>
      <c r="BL183" s="473">
        <f>блюда!BL335</f>
        <v>0</v>
      </c>
      <c r="BM183" s="473">
        <f>блюда!BM335</f>
        <v>0</v>
      </c>
      <c r="BN183" s="473">
        <f>блюда!BN335</f>
        <v>0</v>
      </c>
      <c r="BO183" s="473">
        <f>блюда!BO335</f>
        <v>0</v>
      </c>
      <c r="BP183" s="473">
        <f>блюда!BP335</f>
        <v>0</v>
      </c>
      <c r="BQ183" s="473">
        <f>блюда!BQ335</f>
        <v>0</v>
      </c>
      <c r="BR183" s="473">
        <f>блюда!BR335</f>
        <v>0</v>
      </c>
      <c r="BS183" s="473">
        <f>блюда!BS335</f>
        <v>0</v>
      </c>
      <c r="BT183" s="473">
        <f>блюда!BT335</f>
        <v>0</v>
      </c>
      <c r="BU183" s="473">
        <f>блюда!BU335</f>
        <v>0</v>
      </c>
      <c r="BV183" s="473">
        <f>блюда!BV335</f>
        <v>0</v>
      </c>
      <c r="BW183" s="473">
        <f>блюда!BW335</f>
        <v>0</v>
      </c>
      <c r="BX183" s="473">
        <f>блюда!BX335</f>
        <v>0</v>
      </c>
      <c r="BY183" s="473">
        <f>блюда!BY335</f>
        <v>0</v>
      </c>
      <c r="BZ183" s="473">
        <f>блюда!BZ335</f>
        <v>0</v>
      </c>
      <c r="CA183" s="473">
        <f>блюда!CA335</f>
        <v>0</v>
      </c>
      <c r="CB183" s="473">
        <f>блюда!CB335</f>
        <v>0</v>
      </c>
      <c r="CC183" s="473">
        <f>блюда!CC335</f>
        <v>0</v>
      </c>
      <c r="CD183" s="473">
        <f>блюда!CD335</f>
        <v>0</v>
      </c>
      <c r="CE183" s="473">
        <f>блюда!CE335</f>
        <v>0</v>
      </c>
      <c r="CF183" s="473">
        <f>блюда!CF335</f>
        <v>0</v>
      </c>
      <c r="CG183" s="473">
        <f>блюда!CG335</f>
        <v>0</v>
      </c>
      <c r="CH183" s="473">
        <f>блюда!CH335</f>
        <v>0</v>
      </c>
      <c r="CI183" s="473">
        <f>блюда!CI335</f>
        <v>0</v>
      </c>
      <c r="CJ183" s="473">
        <f>блюда!CJ335</f>
        <v>0</v>
      </c>
      <c r="CK183" s="473">
        <f>блюда!CK335</f>
        <v>0</v>
      </c>
      <c r="CL183" s="473">
        <f>блюда!CL335</f>
        <v>0</v>
      </c>
      <c r="CM183" s="473">
        <f>блюда!CM335</f>
        <v>0</v>
      </c>
      <c r="CN183" s="473">
        <f>блюда!CN335</f>
        <v>0</v>
      </c>
      <c r="CO183" s="473">
        <f>блюда!CO335</f>
        <v>0</v>
      </c>
      <c r="CP183" s="473">
        <f>блюда!CP335</f>
        <v>0</v>
      </c>
      <c r="CQ183" s="473">
        <f>блюда!CQ335</f>
        <v>0</v>
      </c>
      <c r="CR183" s="473">
        <f>блюда!CR335</f>
        <v>0</v>
      </c>
      <c r="CS183" s="473">
        <f>блюда!CS335</f>
        <v>0</v>
      </c>
      <c r="CT183" s="473">
        <f>блюда!CT335</f>
        <v>0</v>
      </c>
      <c r="CU183" s="473">
        <f>блюда!CU335</f>
        <v>0</v>
      </c>
      <c r="CV183" s="473">
        <f>блюда!CV335</f>
        <v>0</v>
      </c>
      <c r="CW183" s="473">
        <f>блюда!CW335</f>
        <v>0</v>
      </c>
      <c r="CX183" s="473">
        <f>блюда!CX335</f>
        <v>0</v>
      </c>
      <c r="CY183" s="473">
        <f>блюда!CY335</f>
        <v>0</v>
      </c>
      <c r="CZ183" s="473">
        <f>блюда!CZ335</f>
        <v>0</v>
      </c>
      <c r="DA183" s="473">
        <f>блюда!DA335</f>
        <v>0</v>
      </c>
      <c r="DB183" s="473">
        <f>блюда!DB335</f>
        <v>0</v>
      </c>
      <c r="DC183" s="473">
        <f>блюда!DC335</f>
        <v>0</v>
      </c>
      <c r="DD183" s="473">
        <f>блюда!DD335</f>
        <v>0</v>
      </c>
      <c r="DE183" s="473">
        <f>блюда!DE335</f>
        <v>0</v>
      </c>
      <c r="DF183" s="473">
        <f>блюда!DF335</f>
        <v>0</v>
      </c>
      <c r="DG183" s="473">
        <f>блюда!DG335</f>
        <v>0</v>
      </c>
      <c r="DH183" s="473">
        <f>блюда!DH335</f>
        <v>0</v>
      </c>
      <c r="DI183" s="473">
        <f>блюда!DI335</f>
        <v>0</v>
      </c>
      <c r="DJ183" s="473">
        <f>блюда!DJ335</f>
        <v>0</v>
      </c>
      <c r="DK183" s="473">
        <f>блюда!DK335</f>
        <v>0</v>
      </c>
      <c r="DL183" s="473">
        <f>блюда!DL335</f>
        <v>0</v>
      </c>
      <c r="DM183" s="473">
        <f>блюда!DM335</f>
        <v>0</v>
      </c>
      <c r="DN183" s="473">
        <f>блюда!DN335</f>
        <v>0</v>
      </c>
      <c r="DO183" s="473">
        <f>блюда!DO335</f>
        <v>0</v>
      </c>
      <c r="DP183" s="473">
        <f>блюда!DP335</f>
        <v>0</v>
      </c>
      <c r="DQ183" s="473">
        <f>блюда!DQ335</f>
        <v>0</v>
      </c>
      <c r="DR183" s="473">
        <f>блюда!DR335</f>
        <v>0</v>
      </c>
      <c r="DS183" s="473">
        <f>блюда!DS335</f>
        <v>0</v>
      </c>
      <c r="DT183" s="473">
        <f>блюда!DT335</f>
        <v>0</v>
      </c>
      <c r="DU183" s="473">
        <f>блюда!DU335</f>
        <v>0</v>
      </c>
      <c r="DV183" s="473">
        <f>блюда!DV335</f>
        <v>0</v>
      </c>
      <c r="DW183" s="473">
        <f>блюда!DW335</f>
        <v>0</v>
      </c>
      <c r="DX183" s="473">
        <f>блюда!DX335</f>
        <v>0</v>
      </c>
      <c r="DY183" s="473">
        <f>блюда!DY335</f>
        <v>0</v>
      </c>
      <c r="DZ183" s="473">
        <f>блюда!DZ335</f>
        <v>0</v>
      </c>
      <c r="EA183" s="473">
        <f>блюда!EA335</f>
        <v>0</v>
      </c>
      <c r="EB183" s="473">
        <f>блюда!EB335</f>
        <v>0</v>
      </c>
      <c r="EC183" s="473">
        <f>блюда!EC335</f>
        <v>0</v>
      </c>
      <c r="ED183" s="473">
        <f>блюда!ED335</f>
        <v>0</v>
      </c>
      <c r="EE183" s="473">
        <f>блюда!EE335</f>
        <v>0</v>
      </c>
      <c r="EF183" s="473">
        <f>блюда!EF335</f>
        <v>0</v>
      </c>
      <c r="EG183" s="473">
        <f>блюда!EG335</f>
        <v>0</v>
      </c>
      <c r="EH183" s="473">
        <f>блюда!EH335</f>
        <v>0</v>
      </c>
      <c r="EI183" s="473">
        <f>блюда!EI335</f>
        <v>0</v>
      </c>
      <c r="EJ183" s="473">
        <f>блюда!EJ335</f>
        <v>0</v>
      </c>
      <c r="EK183" s="473">
        <f>блюда!EK335</f>
        <v>0</v>
      </c>
      <c r="EL183" s="473">
        <f>блюда!EL335</f>
        <v>0</v>
      </c>
      <c r="EM183" s="473">
        <f>блюда!EM335</f>
        <v>0</v>
      </c>
      <c r="EN183" s="473">
        <f>блюда!EN335</f>
        <v>0</v>
      </c>
      <c r="EO183" s="473">
        <f>блюда!EO335</f>
        <v>0</v>
      </c>
      <c r="EP183" s="473">
        <f>блюда!EP335</f>
        <v>0</v>
      </c>
      <c r="EQ183" s="473">
        <f>блюда!EQ335</f>
        <v>0</v>
      </c>
      <c r="ER183" s="473">
        <f>блюда!ER335</f>
        <v>0</v>
      </c>
      <c r="ES183" s="473">
        <f>блюда!ES335</f>
        <v>0</v>
      </c>
      <c r="ET183" s="473">
        <f>блюда!ET335</f>
        <v>0</v>
      </c>
      <c r="EU183" s="473">
        <f>блюда!EU335</f>
        <v>0</v>
      </c>
      <c r="EV183" s="473">
        <f>блюда!EV335</f>
        <v>0</v>
      </c>
      <c r="EW183" s="473">
        <f>блюда!EW335</f>
        <v>0.03</v>
      </c>
      <c r="EX183" s="473">
        <f>блюда!EX335</f>
        <v>0</v>
      </c>
      <c r="EY183" s="927">
        <f t="shared" si="116"/>
        <v>0.03</v>
      </c>
      <c r="EZ183" s="117"/>
      <c r="FA183" s="117"/>
      <c r="FB183" s="117"/>
      <c r="FC183" s="117"/>
      <c r="FD183" s="117"/>
      <c r="FE183" s="117"/>
      <c r="FF183" s="117"/>
      <c r="FG183" s="117"/>
      <c r="FH183" s="117"/>
      <c r="FI183" s="117"/>
      <c r="FJ183" s="117"/>
      <c r="FK183" s="117"/>
      <c r="FL183" s="117"/>
    </row>
    <row r="184" spans="1:168" x14ac:dyDescent="0.25">
      <c r="A184" s="1466"/>
      <c r="B184" s="115" t="str">
        <f>блюда!B342</f>
        <v>Мороженое пломбир Кореновское</v>
      </c>
      <c r="C184" s="250">
        <f>блюда!C342</f>
        <v>100</v>
      </c>
      <c r="D184" s="431">
        <f>блюда!D342</f>
        <v>3.7</v>
      </c>
      <c r="E184" s="431">
        <f>блюда!E342</f>
        <v>15</v>
      </c>
      <c r="F184" s="431">
        <f>блюда!F342</f>
        <v>20.399999999999999</v>
      </c>
      <c r="G184" s="250">
        <f>блюда!G342</f>
        <v>232</v>
      </c>
      <c r="H184" s="250" t="str">
        <f>блюда!H342</f>
        <v>ПРОМ</v>
      </c>
      <c r="I184" s="431">
        <f>блюда!I342</f>
        <v>75</v>
      </c>
      <c r="J184" s="473">
        <f>блюда!J342</f>
        <v>0</v>
      </c>
      <c r="K184" s="473">
        <f>блюда!K342</f>
        <v>0</v>
      </c>
      <c r="L184" s="473">
        <f>блюда!L342</f>
        <v>0</v>
      </c>
      <c r="M184" s="473">
        <f>блюда!M342</f>
        <v>0</v>
      </c>
      <c r="N184" s="473">
        <f>блюда!N342</f>
        <v>0</v>
      </c>
      <c r="O184" s="473">
        <f>блюда!O342</f>
        <v>0</v>
      </c>
      <c r="P184" s="473">
        <f>блюда!P342</f>
        <v>0</v>
      </c>
      <c r="Q184" s="473">
        <f>блюда!Q342</f>
        <v>0</v>
      </c>
      <c r="R184" s="473">
        <f>блюда!R342</f>
        <v>0</v>
      </c>
      <c r="S184" s="473">
        <f>блюда!S342</f>
        <v>0</v>
      </c>
      <c r="T184" s="473">
        <f>блюда!T342</f>
        <v>0</v>
      </c>
      <c r="U184" s="473">
        <f>блюда!U342</f>
        <v>0</v>
      </c>
      <c r="V184" s="473">
        <f>блюда!V342</f>
        <v>0</v>
      </c>
      <c r="W184" s="473">
        <f>блюда!W342</f>
        <v>0</v>
      </c>
      <c r="X184" s="473">
        <f>блюда!X342</f>
        <v>0</v>
      </c>
      <c r="Y184" s="473">
        <f>блюда!Y342</f>
        <v>0</v>
      </c>
      <c r="Z184" s="473">
        <f>блюда!Z342</f>
        <v>0</v>
      </c>
      <c r="AA184" s="473">
        <f>блюда!AA342</f>
        <v>0</v>
      </c>
      <c r="AB184" s="473">
        <f>блюда!AB342</f>
        <v>0</v>
      </c>
      <c r="AC184" s="473">
        <f>блюда!AC342</f>
        <v>0</v>
      </c>
      <c r="AD184" s="473">
        <f>блюда!AD342</f>
        <v>0</v>
      </c>
      <c r="AE184" s="473">
        <f>блюда!AE342</f>
        <v>0</v>
      </c>
      <c r="AF184" s="473">
        <f>блюда!AF342</f>
        <v>0</v>
      </c>
      <c r="AG184" s="473">
        <f>блюда!AG342</f>
        <v>0</v>
      </c>
      <c r="AH184" s="473">
        <f>блюда!AH342</f>
        <v>0</v>
      </c>
      <c r="AI184" s="473">
        <f>блюда!AI342</f>
        <v>0</v>
      </c>
      <c r="AJ184" s="473">
        <f>блюда!AJ342</f>
        <v>0</v>
      </c>
      <c r="AK184" s="473">
        <f>блюда!AK342</f>
        <v>0</v>
      </c>
      <c r="AL184" s="473">
        <f>блюда!AL342</f>
        <v>0</v>
      </c>
      <c r="AM184" s="473">
        <f>блюда!AM342</f>
        <v>0</v>
      </c>
      <c r="AN184" s="473">
        <f>блюда!AN342</f>
        <v>0</v>
      </c>
      <c r="AO184" s="473">
        <f>блюда!AO342</f>
        <v>0</v>
      </c>
      <c r="AP184" s="473">
        <f>блюда!AP342</f>
        <v>0</v>
      </c>
      <c r="AQ184" s="473">
        <f>блюда!AQ342</f>
        <v>0</v>
      </c>
      <c r="AR184" s="473">
        <f>блюда!AR342</f>
        <v>0</v>
      </c>
      <c r="AS184" s="473">
        <f>блюда!AS342</f>
        <v>0</v>
      </c>
      <c r="AT184" s="473">
        <f>блюда!AT342</f>
        <v>0</v>
      </c>
      <c r="AU184" s="473">
        <f>блюда!AU342</f>
        <v>0</v>
      </c>
      <c r="AV184" s="473">
        <f>блюда!AV342</f>
        <v>0</v>
      </c>
      <c r="AW184" s="473">
        <f>блюда!AW342</f>
        <v>0</v>
      </c>
      <c r="AX184" s="473">
        <f>блюда!AX342</f>
        <v>0</v>
      </c>
      <c r="AY184" s="473">
        <f>блюда!AY342</f>
        <v>0</v>
      </c>
      <c r="AZ184" s="473">
        <f>блюда!AZ342</f>
        <v>0</v>
      </c>
      <c r="BA184" s="473">
        <f>блюда!BA342</f>
        <v>0</v>
      </c>
      <c r="BB184" s="473">
        <f>блюда!BB342</f>
        <v>0</v>
      </c>
      <c r="BC184" s="473">
        <f>блюда!BC342</f>
        <v>0</v>
      </c>
      <c r="BD184" s="473">
        <f>блюда!BD342</f>
        <v>0</v>
      </c>
      <c r="BE184" s="473">
        <f>блюда!BE342</f>
        <v>0</v>
      </c>
      <c r="BF184" s="473">
        <f>блюда!BF342</f>
        <v>0</v>
      </c>
      <c r="BG184" s="473">
        <f>блюда!BG342</f>
        <v>0</v>
      </c>
      <c r="BH184" s="473">
        <f>блюда!BH342</f>
        <v>0</v>
      </c>
      <c r="BI184" s="473">
        <f>блюда!BI342</f>
        <v>0</v>
      </c>
      <c r="BJ184" s="473">
        <f>блюда!BJ342</f>
        <v>0</v>
      </c>
      <c r="BK184" s="473">
        <f>блюда!BK342</f>
        <v>0</v>
      </c>
      <c r="BL184" s="473">
        <f>блюда!BL342</f>
        <v>0</v>
      </c>
      <c r="BM184" s="473">
        <f>блюда!BM342</f>
        <v>0</v>
      </c>
      <c r="BN184" s="473">
        <f>блюда!BN342</f>
        <v>0</v>
      </c>
      <c r="BO184" s="473">
        <f>блюда!BO342</f>
        <v>0</v>
      </c>
      <c r="BP184" s="473">
        <f>блюда!BP342</f>
        <v>0</v>
      </c>
      <c r="BQ184" s="473">
        <f>блюда!BQ342</f>
        <v>0</v>
      </c>
      <c r="BR184" s="473">
        <f>блюда!BR342</f>
        <v>0</v>
      </c>
      <c r="BS184" s="473">
        <f>блюда!BS342</f>
        <v>0</v>
      </c>
      <c r="BT184" s="473">
        <f>блюда!BT342</f>
        <v>0</v>
      </c>
      <c r="BU184" s="473">
        <f>блюда!BU342</f>
        <v>0</v>
      </c>
      <c r="BV184" s="473">
        <f>блюда!BV342</f>
        <v>0</v>
      </c>
      <c r="BW184" s="473">
        <f>блюда!BW342</f>
        <v>0</v>
      </c>
      <c r="BX184" s="473">
        <f>блюда!BX342</f>
        <v>0</v>
      </c>
      <c r="BY184" s="473">
        <f>блюда!BY342</f>
        <v>0</v>
      </c>
      <c r="BZ184" s="473">
        <f>блюда!BZ342</f>
        <v>0</v>
      </c>
      <c r="CA184" s="473">
        <f>блюда!CA342</f>
        <v>0</v>
      </c>
      <c r="CB184" s="473">
        <f>блюда!CB342</f>
        <v>0</v>
      </c>
      <c r="CC184" s="473">
        <f>блюда!CC342</f>
        <v>0</v>
      </c>
      <c r="CD184" s="473">
        <f>блюда!CD342</f>
        <v>0</v>
      </c>
      <c r="CE184" s="473">
        <f>блюда!CE342</f>
        <v>0</v>
      </c>
      <c r="CF184" s="473">
        <f>блюда!CF342</f>
        <v>0</v>
      </c>
      <c r="CG184" s="473">
        <f>блюда!CG342</f>
        <v>0</v>
      </c>
      <c r="CH184" s="473">
        <f>блюда!CH342</f>
        <v>0</v>
      </c>
      <c r="CI184" s="473">
        <f>блюда!CI342</f>
        <v>0</v>
      </c>
      <c r="CJ184" s="473">
        <f>блюда!CJ342</f>
        <v>0</v>
      </c>
      <c r="CK184" s="473">
        <f>блюда!CK342</f>
        <v>0</v>
      </c>
      <c r="CL184" s="473">
        <f>блюда!CL342</f>
        <v>0</v>
      </c>
      <c r="CM184" s="473">
        <f>блюда!CM342</f>
        <v>0</v>
      </c>
      <c r="CN184" s="473">
        <f>блюда!CN342</f>
        <v>0</v>
      </c>
      <c r="CO184" s="473">
        <f>блюда!CO342</f>
        <v>0</v>
      </c>
      <c r="CP184" s="473">
        <f>блюда!CP342</f>
        <v>0</v>
      </c>
      <c r="CQ184" s="473">
        <f>блюда!CQ342</f>
        <v>0</v>
      </c>
      <c r="CR184" s="473">
        <f>блюда!CR342</f>
        <v>0</v>
      </c>
      <c r="CS184" s="473">
        <f>блюда!CS342</f>
        <v>0</v>
      </c>
      <c r="CT184" s="473">
        <f>блюда!CT342</f>
        <v>0</v>
      </c>
      <c r="CU184" s="473">
        <f>блюда!CU342</f>
        <v>0</v>
      </c>
      <c r="CV184" s="473">
        <f>блюда!CV342</f>
        <v>0</v>
      </c>
      <c r="CW184" s="473">
        <f>блюда!CW342</f>
        <v>0</v>
      </c>
      <c r="CX184" s="473">
        <f>блюда!CX342</f>
        <v>0</v>
      </c>
      <c r="CY184" s="473">
        <f>блюда!CY342</f>
        <v>0</v>
      </c>
      <c r="CZ184" s="473">
        <f>блюда!CZ342</f>
        <v>0</v>
      </c>
      <c r="DA184" s="473">
        <f>блюда!DA342</f>
        <v>0</v>
      </c>
      <c r="DB184" s="473">
        <f>блюда!DB342</f>
        <v>0</v>
      </c>
      <c r="DC184" s="473">
        <f>блюда!DC342</f>
        <v>0</v>
      </c>
      <c r="DD184" s="473">
        <f>блюда!DD342</f>
        <v>0</v>
      </c>
      <c r="DE184" s="473">
        <f>блюда!DE342</f>
        <v>0</v>
      </c>
      <c r="DF184" s="473">
        <f>блюда!DF342</f>
        <v>0</v>
      </c>
      <c r="DG184" s="473">
        <f>блюда!DG342</f>
        <v>0</v>
      </c>
      <c r="DH184" s="473">
        <f>блюда!DH342</f>
        <v>0</v>
      </c>
      <c r="DI184" s="473">
        <f>блюда!DI342</f>
        <v>0</v>
      </c>
      <c r="DJ184" s="473">
        <f>блюда!DJ342</f>
        <v>0</v>
      </c>
      <c r="DK184" s="473">
        <f>блюда!DK342</f>
        <v>0</v>
      </c>
      <c r="DL184" s="473">
        <f>блюда!DL342</f>
        <v>0</v>
      </c>
      <c r="DM184" s="473">
        <f>блюда!DM342</f>
        <v>0</v>
      </c>
      <c r="DN184" s="473">
        <f>блюда!DN342</f>
        <v>0</v>
      </c>
      <c r="DO184" s="473">
        <f>блюда!DO342</f>
        <v>0</v>
      </c>
      <c r="DP184" s="473">
        <f>блюда!DP342</f>
        <v>0</v>
      </c>
      <c r="DQ184" s="473">
        <f>блюда!DQ342</f>
        <v>0</v>
      </c>
      <c r="DR184" s="473">
        <f>блюда!DR342</f>
        <v>0</v>
      </c>
      <c r="DS184" s="473">
        <f>блюда!DS342</f>
        <v>0</v>
      </c>
      <c r="DT184" s="473">
        <f>блюда!DT342</f>
        <v>0</v>
      </c>
      <c r="DU184" s="473">
        <f>блюда!DU342</f>
        <v>0</v>
      </c>
      <c r="DV184" s="473">
        <f>блюда!DV342</f>
        <v>0</v>
      </c>
      <c r="DW184" s="473">
        <f>блюда!DW342</f>
        <v>0</v>
      </c>
      <c r="DX184" s="473">
        <f>блюда!DX342</f>
        <v>0</v>
      </c>
      <c r="DY184" s="473">
        <f>блюда!DY342</f>
        <v>0</v>
      </c>
      <c r="DZ184" s="473">
        <f>блюда!DZ342</f>
        <v>0</v>
      </c>
      <c r="EA184" s="473">
        <f>блюда!EA342</f>
        <v>0.1</v>
      </c>
      <c r="EB184" s="473">
        <f>блюда!EB342</f>
        <v>0</v>
      </c>
      <c r="EC184" s="473">
        <f>блюда!EC342</f>
        <v>0</v>
      </c>
      <c r="ED184" s="473">
        <f>блюда!ED342</f>
        <v>0</v>
      </c>
      <c r="EE184" s="473">
        <f>блюда!EE342</f>
        <v>0</v>
      </c>
      <c r="EF184" s="473">
        <f>блюда!EF342</f>
        <v>0</v>
      </c>
      <c r="EG184" s="473">
        <f>блюда!EG342</f>
        <v>0</v>
      </c>
      <c r="EH184" s="473">
        <f>блюда!EH342</f>
        <v>0</v>
      </c>
      <c r="EI184" s="473">
        <f>блюда!EI342</f>
        <v>0</v>
      </c>
      <c r="EJ184" s="473">
        <f>блюда!EJ342</f>
        <v>0</v>
      </c>
      <c r="EK184" s="473">
        <f>блюда!EK342</f>
        <v>0</v>
      </c>
      <c r="EL184" s="473">
        <f>блюда!EL342</f>
        <v>0</v>
      </c>
      <c r="EM184" s="473">
        <f>блюда!EM342</f>
        <v>0</v>
      </c>
      <c r="EN184" s="473">
        <f>блюда!EN342</f>
        <v>0</v>
      </c>
      <c r="EO184" s="473">
        <f>блюда!EO342</f>
        <v>0</v>
      </c>
      <c r="EP184" s="473">
        <f>блюда!EP342</f>
        <v>0</v>
      </c>
      <c r="EQ184" s="473">
        <f>блюда!EQ342</f>
        <v>0</v>
      </c>
      <c r="ER184" s="473">
        <f>блюда!ER342</f>
        <v>0</v>
      </c>
      <c r="ES184" s="473">
        <f>блюда!ES342</f>
        <v>0</v>
      </c>
      <c r="ET184" s="473">
        <f>блюда!ET342</f>
        <v>0</v>
      </c>
      <c r="EU184" s="473">
        <f>блюда!EU342</f>
        <v>0</v>
      </c>
      <c r="EV184" s="473">
        <f>блюда!EV342</f>
        <v>0</v>
      </c>
      <c r="EW184" s="473">
        <f>блюда!EW342</f>
        <v>0</v>
      </c>
      <c r="EX184" s="473">
        <f>блюда!EX342</f>
        <v>0</v>
      </c>
      <c r="EY184" s="927">
        <f t="shared" si="116"/>
        <v>0.1</v>
      </c>
      <c r="EZ184" s="117"/>
      <c r="FA184" s="117"/>
      <c r="FB184" s="117"/>
      <c r="FC184" s="117"/>
      <c r="FD184" s="117"/>
      <c r="FE184" s="117"/>
      <c r="FF184" s="117"/>
      <c r="FG184" s="117"/>
      <c r="FH184" s="117"/>
      <c r="FI184" s="117"/>
      <c r="FJ184" s="117"/>
      <c r="FK184" s="117"/>
      <c r="FL184" s="117"/>
    </row>
    <row r="185" spans="1:168" ht="13.95" customHeight="1" x14ac:dyDescent="0.25">
      <c r="A185" s="1467"/>
      <c r="B185" s="115"/>
      <c r="C185" s="250"/>
      <c r="D185" s="116"/>
      <c r="E185" s="116"/>
      <c r="F185" s="116"/>
      <c r="G185" s="250"/>
      <c r="H185" s="250"/>
      <c r="I185" s="116"/>
      <c r="J185" s="473"/>
      <c r="K185" s="473"/>
      <c r="L185" s="473"/>
      <c r="M185" s="473"/>
      <c r="N185" s="473"/>
      <c r="O185" s="473"/>
      <c r="P185" s="473"/>
      <c r="Q185" s="473"/>
      <c r="R185" s="473"/>
      <c r="S185" s="473"/>
      <c r="T185" s="473"/>
      <c r="U185" s="473"/>
      <c r="V185" s="473"/>
      <c r="W185" s="473"/>
      <c r="X185" s="473"/>
      <c r="Y185" s="473"/>
      <c r="Z185" s="473"/>
      <c r="AA185" s="473"/>
      <c r="AB185" s="473"/>
      <c r="AC185" s="473"/>
      <c r="AD185" s="473"/>
      <c r="AE185" s="473"/>
      <c r="AF185" s="473"/>
      <c r="AG185" s="473"/>
      <c r="AH185" s="473"/>
      <c r="AI185" s="473"/>
      <c r="AJ185" s="473"/>
      <c r="AK185" s="473"/>
      <c r="AL185" s="473"/>
      <c r="AM185" s="473"/>
      <c r="AN185" s="473"/>
      <c r="AO185" s="473"/>
      <c r="AP185" s="473"/>
      <c r="AQ185" s="473"/>
      <c r="AR185" s="473"/>
      <c r="AS185" s="473"/>
      <c r="AT185" s="473"/>
      <c r="AU185" s="473"/>
      <c r="AV185" s="473"/>
      <c r="AW185" s="473"/>
      <c r="AX185" s="473"/>
      <c r="AY185" s="473"/>
      <c r="AZ185" s="473"/>
      <c r="BA185" s="473"/>
      <c r="BB185" s="473"/>
      <c r="BC185" s="473"/>
      <c r="BD185" s="473"/>
      <c r="BE185" s="473"/>
      <c r="BF185" s="473"/>
      <c r="BG185" s="473"/>
      <c r="BH185" s="473"/>
      <c r="BI185" s="473"/>
      <c r="BJ185" s="473"/>
      <c r="BK185" s="473"/>
      <c r="BL185" s="473"/>
      <c r="BM185" s="473"/>
      <c r="BN185" s="473"/>
      <c r="BO185" s="473"/>
      <c r="BP185" s="473"/>
      <c r="BQ185" s="473"/>
      <c r="BR185" s="473"/>
      <c r="BS185" s="473"/>
      <c r="BT185" s="473"/>
      <c r="BU185" s="473"/>
      <c r="BV185" s="473"/>
      <c r="BW185" s="473"/>
      <c r="BX185" s="473"/>
      <c r="BY185" s="473"/>
      <c r="BZ185" s="473"/>
      <c r="CA185" s="473"/>
      <c r="CB185" s="473"/>
      <c r="CC185" s="473"/>
      <c r="CD185" s="473"/>
      <c r="CE185" s="473"/>
      <c r="CF185" s="473"/>
      <c r="CG185" s="473"/>
      <c r="CH185" s="473"/>
      <c r="CI185" s="473"/>
      <c r="CJ185" s="473"/>
      <c r="CK185" s="473"/>
      <c r="CL185" s="473"/>
      <c r="CM185" s="473"/>
      <c r="CN185" s="473"/>
      <c r="CO185" s="473"/>
      <c r="CP185" s="473"/>
      <c r="CQ185" s="473"/>
      <c r="CR185" s="473"/>
      <c r="CS185" s="473"/>
      <c r="CT185" s="473"/>
      <c r="CU185" s="473"/>
      <c r="CV185" s="473"/>
      <c r="CW185" s="473"/>
      <c r="CX185" s="473"/>
      <c r="CY185" s="473"/>
      <c r="CZ185" s="473"/>
      <c r="DA185" s="473"/>
      <c r="DB185" s="473"/>
      <c r="DC185" s="473"/>
      <c r="DD185" s="473"/>
      <c r="DE185" s="473"/>
      <c r="DF185" s="473"/>
      <c r="DG185" s="473"/>
      <c r="DH185" s="473"/>
      <c r="DI185" s="473"/>
      <c r="DJ185" s="473"/>
      <c r="DK185" s="473"/>
      <c r="DL185" s="473"/>
      <c r="DM185" s="473"/>
      <c r="DN185" s="473"/>
      <c r="DO185" s="473"/>
      <c r="DP185" s="473"/>
      <c r="DQ185" s="473"/>
      <c r="DR185" s="473"/>
      <c r="DS185" s="473"/>
      <c r="DT185" s="473"/>
      <c r="DU185" s="473"/>
      <c r="DV185" s="473"/>
      <c r="DW185" s="473"/>
      <c r="DX185" s="473"/>
      <c r="DY185" s="473"/>
      <c r="DZ185" s="473"/>
      <c r="EA185" s="473"/>
      <c r="EB185" s="473"/>
      <c r="EC185" s="473"/>
      <c r="ED185" s="473"/>
      <c r="EE185" s="473"/>
      <c r="EF185" s="473"/>
      <c r="EG185" s="473"/>
      <c r="EH185" s="473"/>
      <c r="EI185" s="473"/>
      <c r="EJ185" s="473"/>
      <c r="EK185" s="473"/>
      <c r="EL185" s="473"/>
      <c r="EM185" s="473"/>
      <c r="EN185" s="473"/>
      <c r="EO185" s="473"/>
      <c r="EP185" s="473"/>
      <c r="EQ185" s="473"/>
      <c r="ER185" s="473"/>
      <c r="ES185" s="473"/>
      <c r="ET185" s="473"/>
      <c r="EU185" s="473"/>
      <c r="EV185" s="473"/>
      <c r="EW185" s="473"/>
      <c r="EX185" s="473"/>
      <c r="EY185" s="927">
        <f t="shared" si="116"/>
        <v>0</v>
      </c>
      <c r="EZ185" s="117"/>
      <c r="FA185" s="117"/>
      <c r="FB185" s="117"/>
      <c r="FC185" s="117"/>
      <c r="FD185" s="117"/>
      <c r="FE185" s="117"/>
      <c r="FF185" s="117"/>
      <c r="FG185" s="117"/>
      <c r="FH185" s="117"/>
      <c r="FI185" s="117"/>
      <c r="FJ185" s="117"/>
      <c r="FK185" s="117"/>
      <c r="FL185" s="117"/>
    </row>
    <row r="186" spans="1:168" x14ac:dyDescent="0.25">
      <c r="A186" s="411"/>
      <c r="B186" s="118" t="s">
        <v>113</v>
      </c>
      <c r="C186" s="840">
        <f>SUM(C177:C185)</f>
        <v>940</v>
      </c>
      <c r="D186" s="842">
        <f>SUM(D177:D185)</f>
        <v>27.28</v>
      </c>
      <c r="E186" s="842">
        <f t="shared" ref="E186:BC186" si="117">SUM(E177:E185)</f>
        <v>47.29</v>
      </c>
      <c r="F186" s="842">
        <f t="shared" si="117"/>
        <v>133.6</v>
      </c>
      <c r="G186" s="422">
        <f t="shared" si="117"/>
        <v>1078</v>
      </c>
      <c r="H186" s="840"/>
      <c r="I186" s="842">
        <f t="shared" ref="I186" si="118">SUM(I177:I185)</f>
        <v>145.74</v>
      </c>
      <c r="J186" s="847">
        <f t="shared" si="117"/>
        <v>0</v>
      </c>
      <c r="K186" s="847">
        <f t="shared" si="117"/>
        <v>0</v>
      </c>
      <c r="L186" s="847">
        <f t="shared" si="117"/>
        <v>0</v>
      </c>
      <c r="M186" s="847">
        <f t="shared" si="117"/>
        <v>8.5000000000000006E-2</v>
      </c>
      <c r="N186" s="847">
        <f t="shared" si="117"/>
        <v>0</v>
      </c>
      <c r="O186" s="847">
        <f t="shared" si="117"/>
        <v>0</v>
      </c>
      <c r="P186" s="847">
        <f t="shared" si="117"/>
        <v>3.0000000000000001E-3</v>
      </c>
      <c r="Q186" s="847">
        <f t="shared" si="117"/>
        <v>0</v>
      </c>
      <c r="R186" s="847">
        <f t="shared" si="117"/>
        <v>0</v>
      </c>
      <c r="S186" s="847">
        <f t="shared" si="117"/>
        <v>0</v>
      </c>
      <c r="T186" s="847">
        <f t="shared" si="117"/>
        <v>0</v>
      </c>
      <c r="U186" s="847">
        <f t="shared" si="117"/>
        <v>2.3E-2</v>
      </c>
      <c r="V186" s="847">
        <f t="shared" si="117"/>
        <v>5.5999999999999999E-3</v>
      </c>
      <c r="W186" s="847">
        <f t="shared" si="117"/>
        <v>0</v>
      </c>
      <c r="X186" s="847">
        <f t="shared" si="117"/>
        <v>0</v>
      </c>
      <c r="Y186" s="847">
        <f t="shared" si="117"/>
        <v>1.175E-2</v>
      </c>
      <c r="Z186" s="847">
        <f t="shared" si="117"/>
        <v>0</v>
      </c>
      <c r="AA186" s="847">
        <f t="shared" si="117"/>
        <v>0</v>
      </c>
      <c r="AB186" s="847">
        <f t="shared" si="117"/>
        <v>0</v>
      </c>
      <c r="AC186" s="847">
        <f t="shared" si="117"/>
        <v>0</v>
      </c>
      <c r="AD186" s="847">
        <f t="shared" si="117"/>
        <v>0</v>
      </c>
      <c r="AE186" s="847">
        <f t="shared" si="117"/>
        <v>0</v>
      </c>
      <c r="AF186" s="847">
        <f t="shared" si="117"/>
        <v>0</v>
      </c>
      <c r="AG186" s="847">
        <f t="shared" si="117"/>
        <v>0</v>
      </c>
      <c r="AH186" s="847">
        <f t="shared" si="117"/>
        <v>0.12212000000000001</v>
      </c>
      <c r="AI186" s="847">
        <f t="shared" si="117"/>
        <v>0</v>
      </c>
      <c r="AJ186" s="847">
        <f t="shared" si="117"/>
        <v>0</v>
      </c>
      <c r="AK186" s="847">
        <f t="shared" si="117"/>
        <v>1.3140000000000001E-2</v>
      </c>
      <c r="AL186" s="847">
        <f t="shared" si="117"/>
        <v>1.439E-2</v>
      </c>
      <c r="AM186" s="847">
        <f t="shared" si="117"/>
        <v>0</v>
      </c>
      <c r="AN186" s="847">
        <f t="shared" si="117"/>
        <v>0</v>
      </c>
      <c r="AO186" s="847">
        <f t="shared" si="117"/>
        <v>0</v>
      </c>
      <c r="AP186" s="847">
        <f t="shared" si="117"/>
        <v>0</v>
      </c>
      <c r="AQ186" s="847">
        <f t="shared" si="117"/>
        <v>2.214E-2</v>
      </c>
      <c r="AR186" s="847">
        <f t="shared" si="117"/>
        <v>0</v>
      </c>
      <c r="AS186" s="847">
        <f t="shared" si="117"/>
        <v>0</v>
      </c>
      <c r="AT186" s="847">
        <f t="shared" si="117"/>
        <v>0</v>
      </c>
      <c r="AU186" s="847">
        <f t="shared" si="117"/>
        <v>0</v>
      </c>
      <c r="AV186" s="847">
        <f t="shared" si="117"/>
        <v>0</v>
      </c>
      <c r="AW186" s="847">
        <f t="shared" si="117"/>
        <v>0</v>
      </c>
      <c r="AX186" s="847">
        <f t="shared" si="117"/>
        <v>1.4619999999999999E-2</v>
      </c>
      <c r="AY186" s="847">
        <f t="shared" si="117"/>
        <v>0</v>
      </c>
      <c r="AZ186" s="847">
        <f t="shared" si="117"/>
        <v>0</v>
      </c>
      <c r="BA186" s="847">
        <f t="shared" si="117"/>
        <v>0</v>
      </c>
      <c r="BB186" s="847">
        <f t="shared" si="117"/>
        <v>0</v>
      </c>
      <c r="BC186" s="847">
        <f t="shared" si="117"/>
        <v>0</v>
      </c>
      <c r="BD186" s="847">
        <f t="shared" ref="BD186:DO186" si="119">SUM(BD177:BD185)</f>
        <v>0</v>
      </c>
      <c r="BE186" s="847">
        <f t="shared" si="119"/>
        <v>0</v>
      </c>
      <c r="BF186" s="847">
        <f t="shared" si="119"/>
        <v>0</v>
      </c>
      <c r="BG186" s="847">
        <f t="shared" si="119"/>
        <v>0</v>
      </c>
      <c r="BH186" s="847">
        <f t="shared" si="119"/>
        <v>0</v>
      </c>
      <c r="BI186" s="847">
        <f t="shared" si="119"/>
        <v>0</v>
      </c>
      <c r="BJ186" s="847">
        <f t="shared" si="119"/>
        <v>0</v>
      </c>
      <c r="BK186" s="847">
        <f t="shared" si="119"/>
        <v>0</v>
      </c>
      <c r="BL186" s="847">
        <f t="shared" si="119"/>
        <v>0</v>
      </c>
      <c r="BM186" s="847">
        <f t="shared" si="119"/>
        <v>0</v>
      </c>
      <c r="BN186" s="847">
        <f t="shared" si="119"/>
        <v>0</v>
      </c>
      <c r="BO186" s="847">
        <f t="shared" si="119"/>
        <v>0</v>
      </c>
      <c r="BP186" s="847">
        <f t="shared" si="119"/>
        <v>0</v>
      </c>
      <c r="BQ186" s="847">
        <f t="shared" si="119"/>
        <v>0</v>
      </c>
      <c r="BR186" s="847">
        <f t="shared" si="119"/>
        <v>4.5400000000000003E-2</v>
      </c>
      <c r="BS186" s="847">
        <f t="shared" si="119"/>
        <v>2.0300000000000001E-3</v>
      </c>
      <c r="BT186" s="847">
        <f t="shared" si="119"/>
        <v>0</v>
      </c>
      <c r="BU186" s="847">
        <f t="shared" si="119"/>
        <v>0</v>
      </c>
      <c r="BV186" s="847">
        <f t="shared" si="119"/>
        <v>0</v>
      </c>
      <c r="BW186" s="847">
        <f t="shared" si="119"/>
        <v>0</v>
      </c>
      <c r="BX186" s="847">
        <f t="shared" si="119"/>
        <v>0</v>
      </c>
      <c r="BY186" s="847">
        <f t="shared" si="119"/>
        <v>0</v>
      </c>
      <c r="BZ186" s="847">
        <f t="shared" si="119"/>
        <v>0</v>
      </c>
      <c r="CA186" s="847">
        <f t="shared" si="119"/>
        <v>0</v>
      </c>
      <c r="CB186" s="847">
        <f t="shared" si="119"/>
        <v>5.0000000000000001E-3</v>
      </c>
      <c r="CC186" s="847">
        <f t="shared" si="119"/>
        <v>0</v>
      </c>
      <c r="CD186" s="847">
        <f t="shared" si="119"/>
        <v>0</v>
      </c>
      <c r="CE186" s="847">
        <f t="shared" si="119"/>
        <v>0</v>
      </c>
      <c r="CF186" s="847">
        <f t="shared" si="119"/>
        <v>1.7649999999999999E-2</v>
      </c>
      <c r="CG186" s="847">
        <f t="shared" si="119"/>
        <v>5.2499999999999998E-2</v>
      </c>
      <c r="CH186" s="847">
        <f t="shared" si="119"/>
        <v>0</v>
      </c>
      <c r="CI186" s="847">
        <f t="shared" si="119"/>
        <v>0</v>
      </c>
      <c r="CJ186" s="847">
        <f t="shared" si="119"/>
        <v>0</v>
      </c>
      <c r="CK186" s="847">
        <f t="shared" si="119"/>
        <v>0</v>
      </c>
      <c r="CL186" s="847">
        <f t="shared" si="119"/>
        <v>0</v>
      </c>
      <c r="CM186" s="847">
        <f t="shared" si="119"/>
        <v>0</v>
      </c>
      <c r="CN186" s="847">
        <f t="shared" si="119"/>
        <v>0</v>
      </c>
      <c r="CO186" s="847">
        <f t="shared" si="119"/>
        <v>0</v>
      </c>
      <c r="CP186" s="847">
        <f t="shared" si="119"/>
        <v>0</v>
      </c>
      <c r="CQ186" s="847">
        <f t="shared" si="119"/>
        <v>2.0000000000000001E-4</v>
      </c>
      <c r="CR186" s="847">
        <f t="shared" si="119"/>
        <v>0</v>
      </c>
      <c r="CS186" s="847">
        <f t="shared" si="119"/>
        <v>0</v>
      </c>
      <c r="CT186" s="847">
        <f t="shared" si="119"/>
        <v>3.1140000000000001E-2</v>
      </c>
      <c r="CU186" s="847">
        <f t="shared" si="119"/>
        <v>0</v>
      </c>
      <c r="CV186" s="847">
        <f t="shared" si="119"/>
        <v>0</v>
      </c>
      <c r="CW186" s="847">
        <f t="shared" si="119"/>
        <v>0</v>
      </c>
      <c r="CX186" s="847">
        <f t="shared" si="119"/>
        <v>0</v>
      </c>
      <c r="CY186" s="847">
        <f t="shared" si="119"/>
        <v>0</v>
      </c>
      <c r="CZ186" s="847">
        <f t="shared" si="119"/>
        <v>2.4E-2</v>
      </c>
      <c r="DA186" s="847">
        <f t="shared" si="119"/>
        <v>0</v>
      </c>
      <c r="DB186" s="847">
        <f t="shared" si="119"/>
        <v>0</v>
      </c>
      <c r="DC186" s="847">
        <f t="shared" si="119"/>
        <v>9.8399999999999998E-3</v>
      </c>
      <c r="DD186" s="847">
        <f t="shared" si="119"/>
        <v>8.0000000000000002E-3</v>
      </c>
      <c r="DE186" s="847">
        <f t="shared" si="119"/>
        <v>0</v>
      </c>
      <c r="DF186" s="847">
        <f t="shared" si="119"/>
        <v>3.0000000000000001E-3</v>
      </c>
      <c r="DG186" s="847">
        <f t="shared" si="119"/>
        <v>0</v>
      </c>
      <c r="DH186" s="847">
        <f t="shared" si="119"/>
        <v>0</v>
      </c>
      <c r="DI186" s="847">
        <f t="shared" si="119"/>
        <v>0</v>
      </c>
      <c r="DJ186" s="847">
        <f t="shared" si="119"/>
        <v>0</v>
      </c>
      <c r="DK186" s="847">
        <f t="shared" si="119"/>
        <v>0</v>
      </c>
      <c r="DL186" s="847">
        <f t="shared" si="119"/>
        <v>0</v>
      </c>
      <c r="DM186" s="847">
        <f t="shared" si="119"/>
        <v>0</v>
      </c>
      <c r="DN186" s="847">
        <f t="shared" si="119"/>
        <v>0</v>
      </c>
      <c r="DO186" s="847">
        <f t="shared" si="119"/>
        <v>0</v>
      </c>
      <c r="DP186" s="847">
        <f t="shared" ref="DP186:EX186" si="120">SUM(DP177:DP185)</f>
        <v>0</v>
      </c>
      <c r="DQ186" s="847">
        <f t="shared" si="120"/>
        <v>0</v>
      </c>
      <c r="DR186" s="847">
        <f t="shared" si="120"/>
        <v>0</v>
      </c>
      <c r="DS186" s="847">
        <f t="shared" si="120"/>
        <v>0</v>
      </c>
      <c r="DT186" s="847">
        <f t="shared" si="120"/>
        <v>0</v>
      </c>
      <c r="DU186" s="847">
        <f t="shared" si="120"/>
        <v>7.6499999999999997E-3</v>
      </c>
      <c r="DV186" s="847">
        <f t="shared" si="120"/>
        <v>0</v>
      </c>
      <c r="DW186" s="847">
        <f t="shared" si="120"/>
        <v>0</v>
      </c>
      <c r="DX186" s="847">
        <f t="shared" si="120"/>
        <v>0</v>
      </c>
      <c r="DY186" s="847">
        <f t="shared" si="120"/>
        <v>0</v>
      </c>
      <c r="DZ186" s="847">
        <f t="shared" si="120"/>
        <v>0</v>
      </c>
      <c r="EA186" s="847">
        <f t="shared" si="120"/>
        <v>0.1</v>
      </c>
      <c r="EB186" s="847">
        <f t="shared" si="120"/>
        <v>0</v>
      </c>
      <c r="EC186" s="847">
        <f t="shared" si="120"/>
        <v>0</v>
      </c>
      <c r="ED186" s="847">
        <f t="shared" si="120"/>
        <v>0</v>
      </c>
      <c r="EE186" s="847">
        <f t="shared" si="120"/>
        <v>0</v>
      </c>
      <c r="EF186" s="847">
        <f t="shared" si="120"/>
        <v>0</v>
      </c>
      <c r="EG186" s="847">
        <f t="shared" si="120"/>
        <v>0</v>
      </c>
      <c r="EH186" s="847">
        <f t="shared" si="120"/>
        <v>0</v>
      </c>
      <c r="EI186" s="847">
        <f t="shared" si="120"/>
        <v>0</v>
      </c>
      <c r="EJ186" s="847">
        <f t="shared" si="120"/>
        <v>0</v>
      </c>
      <c r="EK186" s="847">
        <f t="shared" si="120"/>
        <v>0</v>
      </c>
      <c r="EL186" s="847">
        <f t="shared" si="120"/>
        <v>0</v>
      </c>
      <c r="EM186" s="847">
        <f t="shared" si="120"/>
        <v>0</v>
      </c>
      <c r="EN186" s="847">
        <f t="shared" si="120"/>
        <v>0</v>
      </c>
      <c r="EO186" s="847">
        <f t="shared" si="120"/>
        <v>0</v>
      </c>
      <c r="EP186" s="847">
        <f t="shared" si="120"/>
        <v>0</v>
      </c>
      <c r="EQ186" s="847">
        <f t="shared" si="120"/>
        <v>0</v>
      </c>
      <c r="ER186" s="847">
        <f t="shared" si="120"/>
        <v>0</v>
      </c>
      <c r="ES186" s="847">
        <f t="shared" si="120"/>
        <v>0</v>
      </c>
      <c r="ET186" s="847">
        <f t="shared" si="120"/>
        <v>0</v>
      </c>
      <c r="EU186" s="847">
        <f t="shared" si="120"/>
        <v>0</v>
      </c>
      <c r="EV186" s="847">
        <f t="shared" si="120"/>
        <v>3.4000000000000002E-2</v>
      </c>
      <c r="EW186" s="847">
        <f t="shared" si="120"/>
        <v>0.03</v>
      </c>
      <c r="EX186" s="847">
        <f t="shared" si="120"/>
        <v>0</v>
      </c>
      <c r="EY186" s="861">
        <f t="shared" ref="EY186:FL186" si="121">SUM(EY177:EY185)</f>
        <v>0.68520000000000003</v>
      </c>
      <c r="EZ186" s="534">
        <f t="shared" si="121"/>
        <v>0</v>
      </c>
      <c r="FA186" s="534">
        <f t="shared" si="121"/>
        <v>0</v>
      </c>
      <c r="FB186" s="534">
        <f t="shared" si="121"/>
        <v>0</v>
      </c>
      <c r="FC186" s="534">
        <f t="shared" si="121"/>
        <v>0</v>
      </c>
      <c r="FD186" s="534">
        <f t="shared" si="121"/>
        <v>0</v>
      </c>
      <c r="FE186" s="534">
        <f t="shared" si="121"/>
        <v>0</v>
      </c>
      <c r="FF186" s="534">
        <f t="shared" si="121"/>
        <v>0</v>
      </c>
      <c r="FG186" s="534">
        <f t="shared" si="121"/>
        <v>0</v>
      </c>
      <c r="FH186" s="534">
        <f t="shared" si="121"/>
        <v>0</v>
      </c>
      <c r="FI186" s="534">
        <f t="shared" si="121"/>
        <v>0</v>
      </c>
      <c r="FJ186" s="534">
        <f t="shared" si="121"/>
        <v>0</v>
      </c>
      <c r="FK186" s="534">
        <f t="shared" si="121"/>
        <v>0</v>
      </c>
      <c r="FL186" s="534">
        <f t="shared" si="121"/>
        <v>0</v>
      </c>
    </row>
    <row r="187" spans="1:168" hidden="1" x14ac:dyDescent="0.25">
      <c r="A187" s="1459" t="s">
        <v>800</v>
      </c>
      <c r="B187" s="115"/>
      <c r="C187" s="704"/>
      <c r="D187" s="431"/>
      <c r="E187" s="431"/>
      <c r="F187" s="431"/>
      <c r="G187" s="250"/>
      <c r="H187" s="704"/>
      <c r="I187" s="431"/>
      <c r="J187" s="703"/>
      <c r="K187" s="703"/>
      <c r="L187" s="703"/>
      <c r="M187" s="703"/>
      <c r="N187" s="703"/>
      <c r="O187" s="703"/>
      <c r="P187" s="703"/>
      <c r="Q187" s="703"/>
      <c r="R187" s="703"/>
      <c r="S187" s="703"/>
      <c r="T187" s="703"/>
      <c r="U187" s="703"/>
      <c r="V187" s="703"/>
      <c r="W187" s="703"/>
      <c r="X187" s="703"/>
      <c r="Y187" s="703"/>
      <c r="Z187" s="703"/>
      <c r="AA187" s="703"/>
      <c r="AB187" s="703"/>
      <c r="AC187" s="703"/>
      <c r="AD187" s="703"/>
      <c r="AE187" s="703"/>
      <c r="AF187" s="703"/>
      <c r="AG187" s="703"/>
      <c r="AH187" s="703"/>
      <c r="AI187" s="703"/>
      <c r="AJ187" s="703"/>
      <c r="AK187" s="703"/>
      <c r="AL187" s="703"/>
      <c r="AM187" s="703"/>
      <c r="AN187" s="703"/>
      <c r="AO187" s="703"/>
      <c r="AP187" s="703"/>
      <c r="AQ187" s="703"/>
      <c r="AR187" s="703"/>
      <c r="AS187" s="703"/>
      <c r="AT187" s="703"/>
      <c r="AU187" s="703"/>
      <c r="AV187" s="703"/>
      <c r="AW187" s="703"/>
      <c r="AX187" s="703"/>
      <c r="AY187" s="703"/>
      <c r="AZ187" s="703"/>
      <c r="BA187" s="703"/>
      <c r="BB187" s="703"/>
      <c r="BC187" s="703"/>
      <c r="BD187" s="703"/>
      <c r="BE187" s="703"/>
      <c r="BF187" s="703"/>
      <c r="BG187" s="703"/>
      <c r="BH187" s="703"/>
      <c r="BI187" s="703"/>
      <c r="BJ187" s="703"/>
      <c r="BK187" s="703"/>
      <c r="BL187" s="703"/>
      <c r="BM187" s="703"/>
      <c r="BN187" s="703"/>
      <c r="BO187" s="703"/>
      <c r="BP187" s="703"/>
      <c r="BQ187" s="703"/>
      <c r="BR187" s="703"/>
      <c r="BS187" s="703"/>
      <c r="BT187" s="703"/>
      <c r="BU187" s="703"/>
      <c r="BV187" s="703"/>
      <c r="BW187" s="703"/>
      <c r="BX187" s="703"/>
      <c r="BY187" s="703"/>
      <c r="BZ187" s="703"/>
      <c r="CA187" s="703"/>
      <c r="CB187" s="703"/>
      <c r="CC187" s="703"/>
      <c r="CD187" s="703"/>
      <c r="CE187" s="703"/>
      <c r="CF187" s="703"/>
      <c r="CG187" s="703"/>
      <c r="CH187" s="703"/>
      <c r="CI187" s="703"/>
      <c r="CJ187" s="703"/>
      <c r="CK187" s="703"/>
      <c r="CL187" s="703"/>
      <c r="CM187" s="703"/>
      <c r="CN187" s="703"/>
      <c r="CO187" s="703"/>
      <c r="CP187" s="703"/>
      <c r="CQ187" s="703"/>
      <c r="CR187" s="703"/>
      <c r="CS187" s="703"/>
      <c r="CT187" s="703"/>
      <c r="CU187" s="703"/>
      <c r="CV187" s="703"/>
      <c r="CW187" s="703"/>
      <c r="CX187" s="703"/>
      <c r="CY187" s="703"/>
      <c r="CZ187" s="703"/>
      <c r="DA187" s="703"/>
      <c r="DB187" s="703"/>
      <c r="DC187" s="703"/>
      <c r="DD187" s="703"/>
      <c r="DE187" s="703"/>
      <c r="DF187" s="703"/>
      <c r="DG187" s="703"/>
      <c r="DH187" s="703"/>
      <c r="DI187" s="703"/>
      <c r="DJ187" s="703"/>
      <c r="DK187" s="703"/>
      <c r="DL187" s="703"/>
      <c r="DM187" s="703"/>
      <c r="DN187" s="703"/>
      <c r="DO187" s="703"/>
      <c r="DP187" s="703"/>
      <c r="DQ187" s="703"/>
      <c r="DR187" s="703"/>
      <c r="DS187" s="703"/>
      <c r="DT187" s="703"/>
      <c r="DU187" s="703"/>
      <c r="DV187" s="703"/>
      <c r="DW187" s="703"/>
      <c r="DX187" s="703"/>
      <c r="DY187" s="703"/>
      <c r="DZ187" s="703"/>
      <c r="EA187" s="703"/>
      <c r="EB187" s="703"/>
      <c r="EC187" s="703"/>
      <c r="ED187" s="703"/>
      <c r="EE187" s="703"/>
      <c r="EF187" s="703"/>
      <c r="EG187" s="703"/>
      <c r="EH187" s="703"/>
      <c r="EI187" s="703"/>
      <c r="EJ187" s="703"/>
      <c r="EK187" s="703"/>
      <c r="EL187" s="703"/>
      <c r="EM187" s="703"/>
      <c r="EN187" s="703"/>
      <c r="EO187" s="703"/>
      <c r="EP187" s="703"/>
      <c r="EQ187" s="703"/>
      <c r="ER187" s="703"/>
      <c r="ES187" s="703"/>
      <c r="ET187" s="703"/>
      <c r="EU187" s="703"/>
      <c r="EV187" s="703"/>
      <c r="EW187" s="703"/>
      <c r="EX187" s="703"/>
      <c r="EY187" s="927">
        <f t="shared" si="116"/>
        <v>0</v>
      </c>
      <c r="EZ187" s="117"/>
      <c r="FA187" s="117"/>
      <c r="FB187" s="117"/>
      <c r="FC187" s="117"/>
      <c r="FD187" s="117"/>
      <c r="FE187" s="117"/>
      <c r="FF187" s="117"/>
      <c r="FG187" s="117"/>
      <c r="FH187" s="117"/>
      <c r="FI187" s="117"/>
      <c r="FJ187" s="117"/>
      <c r="FK187" s="117"/>
      <c r="FL187" s="117"/>
    </row>
    <row r="188" spans="1:168" hidden="1" x14ac:dyDescent="0.25">
      <c r="A188" s="1460"/>
      <c r="B188" s="115"/>
      <c r="C188" s="704"/>
      <c r="D188" s="431"/>
      <c r="E188" s="431"/>
      <c r="F188" s="431"/>
      <c r="G188" s="250"/>
      <c r="H188" s="704"/>
      <c r="I188" s="431"/>
      <c r="J188" s="703"/>
      <c r="K188" s="703"/>
      <c r="L188" s="703"/>
      <c r="M188" s="703"/>
      <c r="N188" s="703"/>
      <c r="O188" s="703"/>
      <c r="P188" s="703"/>
      <c r="Q188" s="703"/>
      <c r="R188" s="703"/>
      <c r="S188" s="703"/>
      <c r="T188" s="703"/>
      <c r="U188" s="703"/>
      <c r="V188" s="703"/>
      <c r="W188" s="703"/>
      <c r="X188" s="703"/>
      <c r="Y188" s="703"/>
      <c r="Z188" s="703"/>
      <c r="AA188" s="703"/>
      <c r="AB188" s="703"/>
      <c r="AC188" s="703"/>
      <c r="AD188" s="703"/>
      <c r="AE188" s="703"/>
      <c r="AF188" s="703"/>
      <c r="AG188" s="703"/>
      <c r="AH188" s="703"/>
      <c r="AI188" s="703"/>
      <c r="AJ188" s="703"/>
      <c r="AK188" s="703"/>
      <c r="AL188" s="703"/>
      <c r="AM188" s="703"/>
      <c r="AN188" s="703"/>
      <c r="AO188" s="703"/>
      <c r="AP188" s="703"/>
      <c r="AQ188" s="703"/>
      <c r="AR188" s="703"/>
      <c r="AS188" s="703"/>
      <c r="AT188" s="703"/>
      <c r="AU188" s="703"/>
      <c r="AV188" s="703"/>
      <c r="AW188" s="703"/>
      <c r="AX188" s="703"/>
      <c r="AY188" s="703"/>
      <c r="AZ188" s="703"/>
      <c r="BA188" s="703"/>
      <c r="BB188" s="703"/>
      <c r="BC188" s="703"/>
      <c r="BD188" s="703"/>
      <c r="BE188" s="703"/>
      <c r="BF188" s="703"/>
      <c r="BG188" s="703"/>
      <c r="BH188" s="703"/>
      <c r="BI188" s="703"/>
      <c r="BJ188" s="703"/>
      <c r="BK188" s="703"/>
      <c r="BL188" s="703"/>
      <c r="BM188" s="703"/>
      <c r="BN188" s="703"/>
      <c r="BO188" s="703"/>
      <c r="BP188" s="703"/>
      <c r="BQ188" s="703"/>
      <c r="BR188" s="703"/>
      <c r="BS188" s="703"/>
      <c r="BT188" s="703"/>
      <c r="BU188" s="703"/>
      <c r="BV188" s="703"/>
      <c r="BW188" s="703"/>
      <c r="BX188" s="703"/>
      <c r="BY188" s="703"/>
      <c r="BZ188" s="703"/>
      <c r="CA188" s="703"/>
      <c r="CB188" s="703"/>
      <c r="CC188" s="703"/>
      <c r="CD188" s="703"/>
      <c r="CE188" s="703"/>
      <c r="CF188" s="703"/>
      <c r="CG188" s="703"/>
      <c r="CH188" s="703"/>
      <c r="CI188" s="703"/>
      <c r="CJ188" s="703"/>
      <c r="CK188" s="703"/>
      <c r="CL188" s="703"/>
      <c r="CM188" s="703"/>
      <c r="CN188" s="703"/>
      <c r="CO188" s="703"/>
      <c r="CP188" s="703"/>
      <c r="CQ188" s="703"/>
      <c r="CR188" s="703"/>
      <c r="CS188" s="703"/>
      <c r="CT188" s="703"/>
      <c r="CU188" s="703"/>
      <c r="CV188" s="703"/>
      <c r="CW188" s="703"/>
      <c r="CX188" s="703"/>
      <c r="CY188" s="703"/>
      <c r="CZ188" s="703"/>
      <c r="DA188" s="703"/>
      <c r="DB188" s="703"/>
      <c r="DC188" s="703"/>
      <c r="DD188" s="703"/>
      <c r="DE188" s="703"/>
      <c r="DF188" s="703"/>
      <c r="DG188" s="703"/>
      <c r="DH188" s="703"/>
      <c r="DI188" s="703"/>
      <c r="DJ188" s="703"/>
      <c r="DK188" s="703"/>
      <c r="DL188" s="703"/>
      <c r="DM188" s="703"/>
      <c r="DN188" s="703"/>
      <c r="DO188" s="703"/>
      <c r="DP188" s="703"/>
      <c r="DQ188" s="703"/>
      <c r="DR188" s="703"/>
      <c r="DS188" s="703"/>
      <c r="DT188" s="703"/>
      <c r="DU188" s="703"/>
      <c r="DV188" s="703"/>
      <c r="DW188" s="703"/>
      <c r="DX188" s="703"/>
      <c r="DY188" s="703"/>
      <c r="DZ188" s="703"/>
      <c r="EA188" s="703"/>
      <c r="EB188" s="703"/>
      <c r="EC188" s="703"/>
      <c r="ED188" s="703"/>
      <c r="EE188" s="703"/>
      <c r="EF188" s="703"/>
      <c r="EG188" s="703"/>
      <c r="EH188" s="703"/>
      <c r="EI188" s="703"/>
      <c r="EJ188" s="703"/>
      <c r="EK188" s="703"/>
      <c r="EL188" s="703"/>
      <c r="EM188" s="703"/>
      <c r="EN188" s="703"/>
      <c r="EO188" s="703"/>
      <c r="EP188" s="703"/>
      <c r="EQ188" s="703"/>
      <c r="ER188" s="703"/>
      <c r="ES188" s="703"/>
      <c r="ET188" s="703"/>
      <c r="EU188" s="703"/>
      <c r="EV188" s="703"/>
      <c r="EW188" s="703"/>
      <c r="EX188" s="703"/>
      <c r="EY188" s="927">
        <f t="shared" si="116"/>
        <v>0</v>
      </c>
      <c r="EZ188" s="117"/>
      <c r="FA188" s="117"/>
      <c r="FB188" s="117"/>
      <c r="FC188" s="117"/>
      <c r="FD188" s="117"/>
      <c r="FE188" s="117"/>
      <c r="FF188" s="117"/>
      <c r="FG188" s="117"/>
      <c r="FH188" s="117"/>
      <c r="FI188" s="117"/>
      <c r="FJ188" s="117"/>
      <c r="FK188" s="117"/>
      <c r="FL188" s="117"/>
    </row>
    <row r="189" spans="1:168" hidden="1" x14ac:dyDescent="0.25">
      <c r="A189" s="1460"/>
      <c r="B189" s="115"/>
      <c r="C189" s="426"/>
      <c r="D189" s="420"/>
      <c r="E189" s="420"/>
      <c r="F189" s="420"/>
      <c r="G189" s="419"/>
      <c r="H189" s="426"/>
      <c r="I189" s="420"/>
      <c r="J189" s="849"/>
      <c r="K189" s="849"/>
      <c r="L189" s="849"/>
      <c r="M189" s="849"/>
      <c r="N189" s="849"/>
      <c r="O189" s="849"/>
      <c r="P189" s="849"/>
      <c r="Q189" s="849"/>
      <c r="R189" s="849"/>
      <c r="S189" s="849"/>
      <c r="T189" s="849"/>
      <c r="U189" s="849"/>
      <c r="V189" s="849"/>
      <c r="W189" s="849"/>
      <c r="X189" s="849"/>
      <c r="Y189" s="849"/>
      <c r="Z189" s="849"/>
      <c r="AA189" s="849"/>
      <c r="AB189" s="849"/>
      <c r="AC189" s="849"/>
      <c r="AD189" s="849"/>
      <c r="AE189" s="849"/>
      <c r="AF189" s="849"/>
      <c r="AG189" s="849"/>
      <c r="AH189" s="849"/>
      <c r="AI189" s="849"/>
      <c r="AJ189" s="849"/>
      <c r="AK189" s="849"/>
      <c r="AL189" s="849"/>
      <c r="AM189" s="849"/>
      <c r="AN189" s="849"/>
      <c r="AO189" s="849"/>
      <c r="AP189" s="849"/>
      <c r="AQ189" s="849"/>
      <c r="AR189" s="849"/>
      <c r="AS189" s="849"/>
      <c r="AT189" s="849"/>
      <c r="AU189" s="849"/>
      <c r="AV189" s="849"/>
      <c r="AW189" s="849"/>
      <c r="AX189" s="849"/>
      <c r="AY189" s="849"/>
      <c r="AZ189" s="849"/>
      <c r="BA189" s="849"/>
      <c r="BB189" s="849"/>
      <c r="BC189" s="849"/>
      <c r="BD189" s="849"/>
      <c r="BE189" s="849"/>
      <c r="BF189" s="849"/>
      <c r="BG189" s="849"/>
      <c r="BH189" s="849"/>
      <c r="BI189" s="849"/>
      <c r="BJ189" s="849"/>
      <c r="BK189" s="849"/>
      <c r="BL189" s="849"/>
      <c r="BM189" s="849"/>
      <c r="BN189" s="849"/>
      <c r="BO189" s="849"/>
      <c r="BP189" s="849"/>
      <c r="BQ189" s="849"/>
      <c r="BR189" s="849"/>
      <c r="BS189" s="849"/>
      <c r="BT189" s="849"/>
      <c r="BU189" s="849"/>
      <c r="BV189" s="849"/>
      <c r="BW189" s="849"/>
      <c r="BX189" s="849"/>
      <c r="BY189" s="849"/>
      <c r="BZ189" s="849"/>
      <c r="CA189" s="849"/>
      <c r="CB189" s="849"/>
      <c r="CC189" s="849"/>
      <c r="CD189" s="849"/>
      <c r="CE189" s="849"/>
      <c r="CF189" s="849"/>
      <c r="CG189" s="849"/>
      <c r="CH189" s="849"/>
      <c r="CI189" s="849"/>
      <c r="CJ189" s="849"/>
      <c r="CK189" s="849"/>
      <c r="CL189" s="849"/>
      <c r="CM189" s="849"/>
      <c r="CN189" s="849"/>
      <c r="CO189" s="849"/>
      <c r="CP189" s="849"/>
      <c r="CQ189" s="849"/>
      <c r="CR189" s="849"/>
      <c r="CS189" s="849"/>
      <c r="CT189" s="849"/>
      <c r="CU189" s="849"/>
      <c r="CV189" s="849"/>
      <c r="CW189" s="849"/>
      <c r="CX189" s="849"/>
      <c r="CY189" s="849"/>
      <c r="CZ189" s="849"/>
      <c r="DA189" s="849"/>
      <c r="DB189" s="849"/>
      <c r="DC189" s="849"/>
      <c r="DD189" s="849"/>
      <c r="DE189" s="849"/>
      <c r="DF189" s="849"/>
      <c r="DG189" s="849"/>
      <c r="DH189" s="849"/>
      <c r="DI189" s="849"/>
      <c r="DJ189" s="849"/>
      <c r="DK189" s="849"/>
      <c r="DL189" s="849"/>
      <c r="DM189" s="849"/>
      <c r="DN189" s="849"/>
      <c r="DO189" s="849"/>
      <c r="DP189" s="849"/>
      <c r="DQ189" s="849"/>
      <c r="DR189" s="849"/>
      <c r="DS189" s="849"/>
      <c r="DT189" s="849"/>
      <c r="DU189" s="849"/>
      <c r="DV189" s="849"/>
      <c r="DW189" s="849"/>
      <c r="DX189" s="849"/>
      <c r="DY189" s="849"/>
      <c r="DZ189" s="849"/>
      <c r="EA189" s="849"/>
      <c r="EB189" s="849"/>
      <c r="EC189" s="849"/>
      <c r="ED189" s="849"/>
      <c r="EE189" s="849"/>
      <c r="EF189" s="849"/>
      <c r="EG189" s="849"/>
      <c r="EH189" s="849"/>
      <c r="EI189" s="849"/>
      <c r="EJ189" s="849"/>
      <c r="EK189" s="849"/>
      <c r="EL189" s="849"/>
      <c r="EM189" s="849"/>
      <c r="EN189" s="849"/>
      <c r="EO189" s="849"/>
      <c r="EP189" s="849"/>
      <c r="EQ189" s="849"/>
      <c r="ER189" s="849"/>
      <c r="ES189" s="849"/>
      <c r="ET189" s="849"/>
      <c r="EU189" s="849"/>
      <c r="EV189" s="849"/>
      <c r="EW189" s="849"/>
      <c r="EX189" s="849"/>
      <c r="EY189" s="927">
        <f t="shared" si="116"/>
        <v>0</v>
      </c>
      <c r="EZ189" s="423"/>
      <c r="FA189" s="423"/>
      <c r="FB189" s="423"/>
      <c r="FC189" s="423"/>
      <c r="FD189" s="423"/>
      <c r="FE189" s="423"/>
      <c r="FF189" s="423"/>
      <c r="FG189" s="423"/>
      <c r="FH189" s="423"/>
      <c r="FI189" s="423"/>
      <c r="FJ189" s="423"/>
      <c r="FK189" s="423"/>
      <c r="FL189" s="423"/>
    </row>
    <row r="190" spans="1:168" hidden="1" x14ac:dyDescent="0.25">
      <c r="A190" s="1460"/>
      <c r="B190" s="115"/>
      <c r="C190" s="426"/>
      <c r="D190" s="420"/>
      <c r="E190" s="420"/>
      <c r="F190" s="420"/>
      <c r="G190" s="419"/>
      <c r="H190" s="426"/>
      <c r="I190" s="420"/>
      <c r="J190" s="849"/>
      <c r="K190" s="849"/>
      <c r="L190" s="849"/>
      <c r="M190" s="849"/>
      <c r="N190" s="849"/>
      <c r="O190" s="849"/>
      <c r="P190" s="849"/>
      <c r="Q190" s="849"/>
      <c r="R190" s="849"/>
      <c r="S190" s="849"/>
      <c r="T190" s="849"/>
      <c r="U190" s="849"/>
      <c r="V190" s="849"/>
      <c r="W190" s="849"/>
      <c r="X190" s="849"/>
      <c r="Y190" s="849"/>
      <c r="Z190" s="849"/>
      <c r="AA190" s="849"/>
      <c r="AB190" s="849"/>
      <c r="AC190" s="849"/>
      <c r="AD190" s="849"/>
      <c r="AE190" s="849"/>
      <c r="AF190" s="849"/>
      <c r="AG190" s="849"/>
      <c r="AH190" s="849"/>
      <c r="AI190" s="849"/>
      <c r="AJ190" s="849"/>
      <c r="AK190" s="849"/>
      <c r="AL190" s="849"/>
      <c r="AM190" s="849"/>
      <c r="AN190" s="849"/>
      <c r="AO190" s="849"/>
      <c r="AP190" s="849"/>
      <c r="AQ190" s="849"/>
      <c r="AR190" s="849"/>
      <c r="AS190" s="849"/>
      <c r="AT190" s="849"/>
      <c r="AU190" s="849"/>
      <c r="AV190" s="849"/>
      <c r="AW190" s="849"/>
      <c r="AX190" s="849"/>
      <c r="AY190" s="849"/>
      <c r="AZ190" s="849"/>
      <c r="BA190" s="849"/>
      <c r="BB190" s="849"/>
      <c r="BC190" s="849"/>
      <c r="BD190" s="849"/>
      <c r="BE190" s="849"/>
      <c r="BF190" s="849"/>
      <c r="BG190" s="849"/>
      <c r="BH190" s="849"/>
      <c r="BI190" s="849"/>
      <c r="BJ190" s="849"/>
      <c r="BK190" s="849"/>
      <c r="BL190" s="849"/>
      <c r="BM190" s="849"/>
      <c r="BN190" s="849"/>
      <c r="BO190" s="849"/>
      <c r="BP190" s="849"/>
      <c r="BQ190" s="849"/>
      <c r="BR190" s="849"/>
      <c r="BS190" s="849"/>
      <c r="BT190" s="849"/>
      <c r="BU190" s="849"/>
      <c r="BV190" s="849"/>
      <c r="BW190" s="849"/>
      <c r="BX190" s="849"/>
      <c r="BY190" s="849"/>
      <c r="BZ190" s="849"/>
      <c r="CA190" s="849"/>
      <c r="CB190" s="849"/>
      <c r="CC190" s="849"/>
      <c r="CD190" s="849"/>
      <c r="CE190" s="849"/>
      <c r="CF190" s="849"/>
      <c r="CG190" s="849"/>
      <c r="CH190" s="849"/>
      <c r="CI190" s="849"/>
      <c r="CJ190" s="849"/>
      <c r="CK190" s="849"/>
      <c r="CL190" s="849"/>
      <c r="CM190" s="849"/>
      <c r="CN190" s="849"/>
      <c r="CO190" s="849"/>
      <c r="CP190" s="849"/>
      <c r="CQ190" s="849"/>
      <c r="CR190" s="849"/>
      <c r="CS190" s="849"/>
      <c r="CT190" s="849"/>
      <c r="CU190" s="849"/>
      <c r="CV190" s="849"/>
      <c r="CW190" s="849"/>
      <c r="CX190" s="849"/>
      <c r="CY190" s="849"/>
      <c r="CZ190" s="849"/>
      <c r="DA190" s="849"/>
      <c r="DB190" s="849"/>
      <c r="DC190" s="849"/>
      <c r="DD190" s="849"/>
      <c r="DE190" s="849"/>
      <c r="DF190" s="849"/>
      <c r="DG190" s="849"/>
      <c r="DH190" s="849"/>
      <c r="DI190" s="849"/>
      <c r="DJ190" s="849"/>
      <c r="DK190" s="849"/>
      <c r="DL190" s="849"/>
      <c r="DM190" s="849"/>
      <c r="DN190" s="849"/>
      <c r="DO190" s="849"/>
      <c r="DP190" s="849"/>
      <c r="DQ190" s="849"/>
      <c r="DR190" s="849"/>
      <c r="DS190" s="849"/>
      <c r="DT190" s="849"/>
      <c r="DU190" s="849"/>
      <c r="DV190" s="849"/>
      <c r="DW190" s="849"/>
      <c r="DX190" s="849"/>
      <c r="DY190" s="849"/>
      <c r="DZ190" s="849"/>
      <c r="EA190" s="849"/>
      <c r="EB190" s="849"/>
      <c r="EC190" s="849"/>
      <c r="ED190" s="849"/>
      <c r="EE190" s="849"/>
      <c r="EF190" s="849"/>
      <c r="EG190" s="849"/>
      <c r="EH190" s="849"/>
      <c r="EI190" s="849"/>
      <c r="EJ190" s="849"/>
      <c r="EK190" s="849"/>
      <c r="EL190" s="849"/>
      <c r="EM190" s="849"/>
      <c r="EN190" s="849"/>
      <c r="EO190" s="849"/>
      <c r="EP190" s="849"/>
      <c r="EQ190" s="849"/>
      <c r="ER190" s="849"/>
      <c r="ES190" s="849"/>
      <c r="ET190" s="849"/>
      <c r="EU190" s="849"/>
      <c r="EV190" s="849"/>
      <c r="EW190" s="849"/>
      <c r="EX190" s="849"/>
      <c r="EY190" s="927">
        <f t="shared" si="116"/>
        <v>0</v>
      </c>
      <c r="EZ190" s="423"/>
      <c r="FA190" s="423"/>
      <c r="FB190" s="423"/>
      <c r="FC190" s="423"/>
      <c r="FD190" s="423"/>
      <c r="FE190" s="423"/>
      <c r="FF190" s="423"/>
      <c r="FG190" s="423"/>
      <c r="FH190" s="423"/>
      <c r="FI190" s="423"/>
      <c r="FJ190" s="423"/>
      <c r="FK190" s="423"/>
      <c r="FL190" s="423"/>
    </row>
    <row r="191" spans="1:168" hidden="1" x14ac:dyDescent="0.25">
      <c r="A191" s="1461"/>
      <c r="B191" s="115"/>
      <c r="C191" s="426"/>
      <c r="D191" s="420"/>
      <c r="E191" s="420"/>
      <c r="F191" s="420"/>
      <c r="G191" s="419"/>
      <c r="H191" s="426"/>
      <c r="I191" s="420"/>
      <c r="J191" s="849"/>
      <c r="K191" s="849"/>
      <c r="L191" s="849"/>
      <c r="M191" s="849"/>
      <c r="N191" s="849"/>
      <c r="O191" s="849"/>
      <c r="P191" s="849"/>
      <c r="Q191" s="849"/>
      <c r="R191" s="849"/>
      <c r="S191" s="849"/>
      <c r="T191" s="849"/>
      <c r="U191" s="849"/>
      <c r="V191" s="849"/>
      <c r="W191" s="849"/>
      <c r="X191" s="849"/>
      <c r="Y191" s="849"/>
      <c r="Z191" s="849"/>
      <c r="AA191" s="849"/>
      <c r="AB191" s="849"/>
      <c r="AC191" s="849"/>
      <c r="AD191" s="849"/>
      <c r="AE191" s="849"/>
      <c r="AF191" s="849"/>
      <c r="AG191" s="849"/>
      <c r="AH191" s="849"/>
      <c r="AI191" s="849"/>
      <c r="AJ191" s="849"/>
      <c r="AK191" s="849"/>
      <c r="AL191" s="849"/>
      <c r="AM191" s="849"/>
      <c r="AN191" s="849"/>
      <c r="AO191" s="849"/>
      <c r="AP191" s="849"/>
      <c r="AQ191" s="849"/>
      <c r="AR191" s="849"/>
      <c r="AS191" s="849"/>
      <c r="AT191" s="849"/>
      <c r="AU191" s="849"/>
      <c r="AV191" s="849"/>
      <c r="AW191" s="849"/>
      <c r="AX191" s="849"/>
      <c r="AY191" s="849"/>
      <c r="AZ191" s="849"/>
      <c r="BA191" s="849"/>
      <c r="BB191" s="849"/>
      <c r="BC191" s="849"/>
      <c r="BD191" s="849"/>
      <c r="BE191" s="849"/>
      <c r="BF191" s="849"/>
      <c r="BG191" s="849"/>
      <c r="BH191" s="849"/>
      <c r="BI191" s="849"/>
      <c r="BJ191" s="849"/>
      <c r="BK191" s="849"/>
      <c r="BL191" s="849"/>
      <c r="BM191" s="849"/>
      <c r="BN191" s="849"/>
      <c r="BO191" s="849"/>
      <c r="BP191" s="849"/>
      <c r="BQ191" s="849"/>
      <c r="BR191" s="849"/>
      <c r="BS191" s="849"/>
      <c r="BT191" s="849"/>
      <c r="BU191" s="849"/>
      <c r="BV191" s="849"/>
      <c r="BW191" s="849"/>
      <c r="BX191" s="849"/>
      <c r="BY191" s="849"/>
      <c r="BZ191" s="849"/>
      <c r="CA191" s="849"/>
      <c r="CB191" s="849"/>
      <c r="CC191" s="849"/>
      <c r="CD191" s="849"/>
      <c r="CE191" s="849"/>
      <c r="CF191" s="849"/>
      <c r="CG191" s="849"/>
      <c r="CH191" s="849"/>
      <c r="CI191" s="849"/>
      <c r="CJ191" s="849"/>
      <c r="CK191" s="849"/>
      <c r="CL191" s="849"/>
      <c r="CM191" s="849"/>
      <c r="CN191" s="849"/>
      <c r="CO191" s="849"/>
      <c r="CP191" s="849"/>
      <c r="CQ191" s="849"/>
      <c r="CR191" s="849"/>
      <c r="CS191" s="849"/>
      <c r="CT191" s="849"/>
      <c r="CU191" s="849"/>
      <c r="CV191" s="849"/>
      <c r="CW191" s="849"/>
      <c r="CX191" s="849"/>
      <c r="CY191" s="849"/>
      <c r="CZ191" s="849"/>
      <c r="DA191" s="849"/>
      <c r="DB191" s="849"/>
      <c r="DC191" s="849"/>
      <c r="DD191" s="849"/>
      <c r="DE191" s="849"/>
      <c r="DF191" s="849"/>
      <c r="DG191" s="849"/>
      <c r="DH191" s="849"/>
      <c r="DI191" s="849"/>
      <c r="DJ191" s="849"/>
      <c r="DK191" s="849"/>
      <c r="DL191" s="849"/>
      <c r="DM191" s="849"/>
      <c r="DN191" s="849"/>
      <c r="DO191" s="849"/>
      <c r="DP191" s="849"/>
      <c r="DQ191" s="849"/>
      <c r="DR191" s="849"/>
      <c r="DS191" s="849"/>
      <c r="DT191" s="849"/>
      <c r="DU191" s="849"/>
      <c r="DV191" s="849"/>
      <c r="DW191" s="849"/>
      <c r="DX191" s="849"/>
      <c r="DY191" s="849"/>
      <c r="DZ191" s="849"/>
      <c r="EA191" s="849"/>
      <c r="EB191" s="849"/>
      <c r="EC191" s="849"/>
      <c r="ED191" s="849"/>
      <c r="EE191" s="849"/>
      <c r="EF191" s="849"/>
      <c r="EG191" s="849"/>
      <c r="EH191" s="849"/>
      <c r="EI191" s="849"/>
      <c r="EJ191" s="849"/>
      <c r="EK191" s="849"/>
      <c r="EL191" s="849"/>
      <c r="EM191" s="849"/>
      <c r="EN191" s="849"/>
      <c r="EO191" s="849"/>
      <c r="EP191" s="849"/>
      <c r="EQ191" s="849"/>
      <c r="ER191" s="849"/>
      <c r="ES191" s="849"/>
      <c r="ET191" s="849"/>
      <c r="EU191" s="849"/>
      <c r="EV191" s="849"/>
      <c r="EW191" s="849"/>
      <c r="EX191" s="849"/>
      <c r="EY191" s="927">
        <f t="shared" si="116"/>
        <v>0</v>
      </c>
      <c r="EZ191" s="423"/>
      <c r="FA191" s="423"/>
      <c r="FB191" s="423"/>
      <c r="FC191" s="423"/>
      <c r="FD191" s="423"/>
      <c r="FE191" s="423"/>
      <c r="FF191" s="423"/>
      <c r="FG191" s="423"/>
      <c r="FH191" s="423"/>
      <c r="FI191" s="423"/>
      <c r="FJ191" s="423"/>
      <c r="FK191" s="423"/>
      <c r="FL191" s="423"/>
    </row>
    <row r="192" spans="1:168" hidden="1" x14ac:dyDescent="0.25">
      <c r="A192" s="120"/>
      <c r="B192" s="118" t="s">
        <v>801</v>
      </c>
      <c r="C192" s="840">
        <f>SUM(C187:C191)</f>
        <v>0</v>
      </c>
      <c r="D192" s="842">
        <f>SUM(D187:D191)</f>
        <v>0</v>
      </c>
      <c r="E192" s="842">
        <f t="shared" ref="E192:BC192" si="122">SUM(E187:E191)</f>
        <v>0</v>
      </c>
      <c r="F192" s="842">
        <f t="shared" si="122"/>
        <v>0</v>
      </c>
      <c r="G192" s="422">
        <f t="shared" si="122"/>
        <v>0</v>
      </c>
      <c r="H192" s="840"/>
      <c r="I192" s="842">
        <f t="shared" ref="I192" si="123">SUM(I187:I191)</f>
        <v>0</v>
      </c>
      <c r="J192" s="847">
        <f t="shared" si="122"/>
        <v>0</v>
      </c>
      <c r="K192" s="847">
        <f t="shared" si="122"/>
        <v>0</v>
      </c>
      <c r="L192" s="847">
        <f t="shared" si="122"/>
        <v>0</v>
      </c>
      <c r="M192" s="847">
        <f t="shared" si="122"/>
        <v>0</v>
      </c>
      <c r="N192" s="847">
        <f t="shared" si="122"/>
        <v>0</v>
      </c>
      <c r="O192" s="847">
        <f t="shared" si="122"/>
        <v>0</v>
      </c>
      <c r="P192" s="847">
        <f t="shared" si="122"/>
        <v>0</v>
      </c>
      <c r="Q192" s="847">
        <f t="shared" si="122"/>
        <v>0</v>
      </c>
      <c r="R192" s="847">
        <f t="shared" si="122"/>
        <v>0</v>
      </c>
      <c r="S192" s="847">
        <f t="shared" si="122"/>
        <v>0</v>
      </c>
      <c r="T192" s="847">
        <f t="shared" si="122"/>
        <v>0</v>
      </c>
      <c r="U192" s="847">
        <f t="shared" si="122"/>
        <v>0</v>
      </c>
      <c r="V192" s="847">
        <f t="shared" si="122"/>
        <v>0</v>
      </c>
      <c r="W192" s="847">
        <f t="shared" si="122"/>
        <v>0</v>
      </c>
      <c r="X192" s="847">
        <f t="shared" si="122"/>
        <v>0</v>
      </c>
      <c r="Y192" s="847">
        <f t="shared" si="122"/>
        <v>0</v>
      </c>
      <c r="Z192" s="847">
        <f t="shared" si="122"/>
        <v>0</v>
      </c>
      <c r="AA192" s="847">
        <f t="shared" si="122"/>
        <v>0</v>
      </c>
      <c r="AB192" s="847">
        <f t="shared" si="122"/>
        <v>0</v>
      </c>
      <c r="AC192" s="847">
        <f t="shared" si="122"/>
        <v>0</v>
      </c>
      <c r="AD192" s="847">
        <f t="shared" si="122"/>
        <v>0</v>
      </c>
      <c r="AE192" s="847">
        <f t="shared" si="122"/>
        <v>0</v>
      </c>
      <c r="AF192" s="847">
        <f t="shared" si="122"/>
        <v>0</v>
      </c>
      <c r="AG192" s="847">
        <f t="shared" si="122"/>
        <v>0</v>
      </c>
      <c r="AH192" s="847">
        <f t="shared" si="122"/>
        <v>0</v>
      </c>
      <c r="AI192" s="847">
        <f t="shared" si="122"/>
        <v>0</v>
      </c>
      <c r="AJ192" s="847">
        <f t="shared" si="122"/>
        <v>0</v>
      </c>
      <c r="AK192" s="847">
        <f t="shared" si="122"/>
        <v>0</v>
      </c>
      <c r="AL192" s="847">
        <f t="shared" si="122"/>
        <v>0</v>
      </c>
      <c r="AM192" s="847">
        <f t="shared" si="122"/>
        <v>0</v>
      </c>
      <c r="AN192" s="847">
        <f t="shared" si="122"/>
        <v>0</v>
      </c>
      <c r="AO192" s="847">
        <f t="shared" si="122"/>
        <v>0</v>
      </c>
      <c r="AP192" s="847">
        <f t="shared" si="122"/>
        <v>0</v>
      </c>
      <c r="AQ192" s="847">
        <f t="shared" si="122"/>
        <v>0</v>
      </c>
      <c r="AR192" s="847">
        <f t="shared" si="122"/>
        <v>0</v>
      </c>
      <c r="AS192" s="847">
        <f t="shared" si="122"/>
        <v>0</v>
      </c>
      <c r="AT192" s="847">
        <f t="shared" si="122"/>
        <v>0</v>
      </c>
      <c r="AU192" s="847">
        <f t="shared" si="122"/>
        <v>0</v>
      </c>
      <c r="AV192" s="847">
        <f t="shared" si="122"/>
        <v>0</v>
      </c>
      <c r="AW192" s="847">
        <f t="shared" si="122"/>
        <v>0</v>
      </c>
      <c r="AX192" s="847">
        <f t="shared" si="122"/>
        <v>0</v>
      </c>
      <c r="AY192" s="847">
        <f t="shared" si="122"/>
        <v>0</v>
      </c>
      <c r="AZ192" s="847">
        <f t="shared" si="122"/>
        <v>0</v>
      </c>
      <c r="BA192" s="847">
        <f t="shared" si="122"/>
        <v>0</v>
      </c>
      <c r="BB192" s="847">
        <f t="shared" si="122"/>
        <v>0</v>
      </c>
      <c r="BC192" s="847">
        <f t="shared" si="122"/>
        <v>0</v>
      </c>
      <c r="BD192" s="847">
        <f t="shared" ref="BD192:DO192" si="124">SUM(BD187:BD191)</f>
        <v>0</v>
      </c>
      <c r="BE192" s="847">
        <f t="shared" si="124"/>
        <v>0</v>
      </c>
      <c r="BF192" s="847">
        <f t="shared" si="124"/>
        <v>0</v>
      </c>
      <c r="BG192" s="847">
        <f t="shared" si="124"/>
        <v>0</v>
      </c>
      <c r="BH192" s="847">
        <f t="shared" si="124"/>
        <v>0</v>
      </c>
      <c r="BI192" s="847">
        <f t="shared" si="124"/>
        <v>0</v>
      </c>
      <c r="BJ192" s="847">
        <f t="shared" si="124"/>
        <v>0</v>
      </c>
      <c r="BK192" s="847">
        <f t="shared" si="124"/>
        <v>0</v>
      </c>
      <c r="BL192" s="847">
        <f t="shared" si="124"/>
        <v>0</v>
      </c>
      <c r="BM192" s="847">
        <f t="shared" si="124"/>
        <v>0</v>
      </c>
      <c r="BN192" s="847">
        <f t="shared" si="124"/>
        <v>0</v>
      </c>
      <c r="BO192" s="847">
        <f t="shared" si="124"/>
        <v>0</v>
      </c>
      <c r="BP192" s="847">
        <f t="shared" si="124"/>
        <v>0</v>
      </c>
      <c r="BQ192" s="847">
        <f t="shared" si="124"/>
        <v>0</v>
      </c>
      <c r="BR192" s="847">
        <f t="shared" si="124"/>
        <v>0</v>
      </c>
      <c r="BS192" s="847">
        <f t="shared" si="124"/>
        <v>0</v>
      </c>
      <c r="BT192" s="847">
        <f t="shared" si="124"/>
        <v>0</v>
      </c>
      <c r="BU192" s="847">
        <f t="shared" si="124"/>
        <v>0</v>
      </c>
      <c r="BV192" s="847">
        <f t="shared" si="124"/>
        <v>0</v>
      </c>
      <c r="BW192" s="847">
        <f t="shared" si="124"/>
        <v>0</v>
      </c>
      <c r="BX192" s="847">
        <f t="shared" si="124"/>
        <v>0</v>
      </c>
      <c r="BY192" s="847">
        <f t="shared" si="124"/>
        <v>0</v>
      </c>
      <c r="BZ192" s="847">
        <f t="shared" si="124"/>
        <v>0</v>
      </c>
      <c r="CA192" s="847">
        <f t="shared" si="124"/>
        <v>0</v>
      </c>
      <c r="CB192" s="847">
        <f t="shared" si="124"/>
        <v>0</v>
      </c>
      <c r="CC192" s="847">
        <f t="shared" si="124"/>
        <v>0</v>
      </c>
      <c r="CD192" s="847">
        <f t="shared" si="124"/>
        <v>0</v>
      </c>
      <c r="CE192" s="847">
        <f t="shared" si="124"/>
        <v>0</v>
      </c>
      <c r="CF192" s="847">
        <f t="shared" si="124"/>
        <v>0</v>
      </c>
      <c r="CG192" s="847">
        <f t="shared" si="124"/>
        <v>0</v>
      </c>
      <c r="CH192" s="847">
        <f t="shared" si="124"/>
        <v>0</v>
      </c>
      <c r="CI192" s="847">
        <f t="shared" si="124"/>
        <v>0</v>
      </c>
      <c r="CJ192" s="847">
        <f t="shared" si="124"/>
        <v>0</v>
      </c>
      <c r="CK192" s="847">
        <f t="shared" si="124"/>
        <v>0</v>
      </c>
      <c r="CL192" s="847">
        <f t="shared" si="124"/>
        <v>0</v>
      </c>
      <c r="CM192" s="847">
        <f t="shared" si="124"/>
        <v>0</v>
      </c>
      <c r="CN192" s="847">
        <f t="shared" si="124"/>
        <v>0</v>
      </c>
      <c r="CO192" s="847">
        <f t="shared" si="124"/>
        <v>0</v>
      </c>
      <c r="CP192" s="847">
        <f t="shared" si="124"/>
        <v>0</v>
      </c>
      <c r="CQ192" s="847">
        <f t="shared" si="124"/>
        <v>0</v>
      </c>
      <c r="CR192" s="847">
        <f t="shared" si="124"/>
        <v>0</v>
      </c>
      <c r="CS192" s="847">
        <f t="shared" si="124"/>
        <v>0</v>
      </c>
      <c r="CT192" s="847">
        <f t="shared" si="124"/>
        <v>0</v>
      </c>
      <c r="CU192" s="847">
        <f t="shared" si="124"/>
        <v>0</v>
      </c>
      <c r="CV192" s="847">
        <f t="shared" si="124"/>
        <v>0</v>
      </c>
      <c r="CW192" s="847">
        <f t="shared" si="124"/>
        <v>0</v>
      </c>
      <c r="CX192" s="847">
        <f t="shared" si="124"/>
        <v>0</v>
      </c>
      <c r="CY192" s="847">
        <f t="shared" si="124"/>
        <v>0</v>
      </c>
      <c r="CZ192" s="847">
        <f t="shared" si="124"/>
        <v>0</v>
      </c>
      <c r="DA192" s="847">
        <f t="shared" si="124"/>
        <v>0</v>
      </c>
      <c r="DB192" s="847">
        <f t="shared" si="124"/>
        <v>0</v>
      </c>
      <c r="DC192" s="847">
        <f t="shared" si="124"/>
        <v>0</v>
      </c>
      <c r="DD192" s="847">
        <f t="shared" si="124"/>
        <v>0</v>
      </c>
      <c r="DE192" s="847">
        <f t="shared" si="124"/>
        <v>0</v>
      </c>
      <c r="DF192" s="847">
        <f t="shared" si="124"/>
        <v>0</v>
      </c>
      <c r="DG192" s="847">
        <f t="shared" si="124"/>
        <v>0</v>
      </c>
      <c r="DH192" s="847">
        <f t="shared" si="124"/>
        <v>0</v>
      </c>
      <c r="DI192" s="847">
        <f t="shared" si="124"/>
        <v>0</v>
      </c>
      <c r="DJ192" s="847">
        <f t="shared" si="124"/>
        <v>0</v>
      </c>
      <c r="DK192" s="847">
        <f t="shared" si="124"/>
        <v>0</v>
      </c>
      <c r="DL192" s="847">
        <f t="shared" si="124"/>
        <v>0</v>
      </c>
      <c r="DM192" s="847">
        <f t="shared" si="124"/>
        <v>0</v>
      </c>
      <c r="DN192" s="847">
        <f t="shared" si="124"/>
        <v>0</v>
      </c>
      <c r="DO192" s="847">
        <f t="shared" si="124"/>
        <v>0</v>
      </c>
      <c r="DP192" s="847">
        <f t="shared" ref="DP192:EX192" si="125">SUM(DP187:DP191)</f>
        <v>0</v>
      </c>
      <c r="DQ192" s="847">
        <f t="shared" si="125"/>
        <v>0</v>
      </c>
      <c r="DR192" s="847">
        <f t="shared" si="125"/>
        <v>0</v>
      </c>
      <c r="DS192" s="847">
        <f t="shared" si="125"/>
        <v>0</v>
      </c>
      <c r="DT192" s="847">
        <f t="shared" si="125"/>
        <v>0</v>
      </c>
      <c r="DU192" s="847">
        <f t="shared" si="125"/>
        <v>0</v>
      </c>
      <c r="DV192" s="847">
        <f t="shared" si="125"/>
        <v>0</v>
      </c>
      <c r="DW192" s="847">
        <f t="shared" si="125"/>
        <v>0</v>
      </c>
      <c r="DX192" s="847">
        <f t="shared" si="125"/>
        <v>0</v>
      </c>
      <c r="DY192" s="847">
        <f t="shared" si="125"/>
        <v>0</v>
      </c>
      <c r="DZ192" s="847">
        <f t="shared" si="125"/>
        <v>0</v>
      </c>
      <c r="EA192" s="847">
        <f t="shared" si="125"/>
        <v>0</v>
      </c>
      <c r="EB192" s="847">
        <f t="shared" si="125"/>
        <v>0</v>
      </c>
      <c r="EC192" s="847">
        <f t="shared" si="125"/>
        <v>0</v>
      </c>
      <c r="ED192" s="847">
        <f t="shared" si="125"/>
        <v>0</v>
      </c>
      <c r="EE192" s="847">
        <f t="shared" si="125"/>
        <v>0</v>
      </c>
      <c r="EF192" s="847">
        <f t="shared" si="125"/>
        <v>0</v>
      </c>
      <c r="EG192" s="847">
        <f t="shared" si="125"/>
        <v>0</v>
      </c>
      <c r="EH192" s="847">
        <f t="shared" si="125"/>
        <v>0</v>
      </c>
      <c r="EI192" s="847">
        <f t="shared" si="125"/>
        <v>0</v>
      </c>
      <c r="EJ192" s="847">
        <f t="shared" si="125"/>
        <v>0</v>
      </c>
      <c r="EK192" s="847">
        <f t="shared" si="125"/>
        <v>0</v>
      </c>
      <c r="EL192" s="847">
        <f t="shared" si="125"/>
        <v>0</v>
      </c>
      <c r="EM192" s="847">
        <f t="shared" si="125"/>
        <v>0</v>
      </c>
      <c r="EN192" s="847">
        <f t="shared" si="125"/>
        <v>0</v>
      </c>
      <c r="EO192" s="847">
        <f t="shared" si="125"/>
        <v>0</v>
      </c>
      <c r="EP192" s="847">
        <f t="shared" si="125"/>
        <v>0</v>
      </c>
      <c r="EQ192" s="847">
        <f t="shared" si="125"/>
        <v>0</v>
      </c>
      <c r="ER192" s="847">
        <f t="shared" si="125"/>
        <v>0</v>
      </c>
      <c r="ES192" s="847">
        <f t="shared" si="125"/>
        <v>0</v>
      </c>
      <c r="ET192" s="847">
        <f t="shared" si="125"/>
        <v>0</v>
      </c>
      <c r="EU192" s="847">
        <f t="shared" si="125"/>
        <v>0</v>
      </c>
      <c r="EV192" s="847">
        <f t="shared" si="125"/>
        <v>0</v>
      </c>
      <c r="EW192" s="847">
        <f t="shared" si="125"/>
        <v>0</v>
      </c>
      <c r="EX192" s="847">
        <f t="shared" si="125"/>
        <v>0</v>
      </c>
      <c r="EY192" s="863">
        <f t="shared" ref="EY192:FL192" si="126">SUM(EY187:EY191)</f>
        <v>0</v>
      </c>
      <c r="EZ192" s="534">
        <f t="shared" si="126"/>
        <v>0</v>
      </c>
      <c r="FA192" s="534">
        <f t="shared" si="126"/>
        <v>0</v>
      </c>
      <c r="FB192" s="534">
        <f t="shared" si="126"/>
        <v>0</v>
      </c>
      <c r="FC192" s="534">
        <f t="shared" si="126"/>
        <v>0</v>
      </c>
      <c r="FD192" s="534">
        <f t="shared" si="126"/>
        <v>0</v>
      </c>
      <c r="FE192" s="534">
        <f t="shared" si="126"/>
        <v>0</v>
      </c>
      <c r="FF192" s="534">
        <f t="shared" si="126"/>
        <v>0</v>
      </c>
      <c r="FG192" s="534">
        <f t="shared" si="126"/>
        <v>0</v>
      </c>
      <c r="FH192" s="534">
        <f t="shared" si="126"/>
        <v>0</v>
      </c>
      <c r="FI192" s="534">
        <f t="shared" si="126"/>
        <v>0</v>
      </c>
      <c r="FJ192" s="534">
        <f t="shared" si="126"/>
        <v>0</v>
      </c>
      <c r="FK192" s="534">
        <f t="shared" si="126"/>
        <v>0</v>
      </c>
      <c r="FL192" s="534">
        <f t="shared" si="126"/>
        <v>0</v>
      </c>
    </row>
    <row r="193" spans="1:168" x14ac:dyDescent="0.25">
      <c r="A193" s="411"/>
      <c r="B193" s="461" t="s">
        <v>1214</v>
      </c>
      <c r="C193" s="841">
        <f>C176+C186+C192</f>
        <v>1935</v>
      </c>
      <c r="D193" s="843">
        <f>D176+D186+D192</f>
        <v>41.73</v>
      </c>
      <c r="E193" s="843">
        <f t="shared" ref="E193:BC193" si="127">E176+E186+E192</f>
        <v>71.459999999999994</v>
      </c>
      <c r="F193" s="843">
        <f t="shared" si="127"/>
        <v>214.49</v>
      </c>
      <c r="G193" s="392">
        <f t="shared" si="127"/>
        <v>1677</v>
      </c>
      <c r="H193" s="841"/>
      <c r="I193" s="843">
        <f t="shared" ref="I193" si="128">I176+I186+I192</f>
        <v>189.64</v>
      </c>
      <c r="J193" s="848">
        <f t="shared" si="127"/>
        <v>0</v>
      </c>
      <c r="K193" s="848">
        <f t="shared" si="127"/>
        <v>0</v>
      </c>
      <c r="L193" s="848">
        <f t="shared" si="127"/>
        <v>0</v>
      </c>
      <c r="M193" s="848">
        <f t="shared" si="127"/>
        <v>8.5000000000000006E-2</v>
      </c>
      <c r="N193" s="848">
        <f t="shared" si="127"/>
        <v>0</v>
      </c>
      <c r="O193" s="848">
        <f t="shared" si="127"/>
        <v>0</v>
      </c>
      <c r="P193" s="848">
        <f t="shared" si="127"/>
        <v>3.0000000000000001E-3</v>
      </c>
      <c r="Q193" s="848">
        <f t="shared" si="127"/>
        <v>0</v>
      </c>
      <c r="R193" s="848">
        <f t="shared" si="127"/>
        <v>0</v>
      </c>
      <c r="S193" s="848">
        <f t="shared" si="127"/>
        <v>0</v>
      </c>
      <c r="T193" s="848">
        <f t="shared" si="127"/>
        <v>0</v>
      </c>
      <c r="U193" s="848">
        <f t="shared" si="127"/>
        <v>0.123</v>
      </c>
      <c r="V193" s="848">
        <f t="shared" si="127"/>
        <v>2.5600000000000001E-2</v>
      </c>
      <c r="W193" s="848">
        <f t="shared" si="127"/>
        <v>1.6E-2</v>
      </c>
      <c r="X193" s="848">
        <f t="shared" si="127"/>
        <v>0</v>
      </c>
      <c r="Y193" s="848">
        <f t="shared" si="127"/>
        <v>1.175E-2</v>
      </c>
      <c r="Z193" s="848">
        <f t="shared" si="127"/>
        <v>0</v>
      </c>
      <c r="AA193" s="848">
        <f t="shared" si="127"/>
        <v>0</v>
      </c>
      <c r="AB193" s="848">
        <f t="shared" si="127"/>
        <v>0</v>
      </c>
      <c r="AC193" s="848">
        <f t="shared" si="127"/>
        <v>0</v>
      </c>
      <c r="AD193" s="848">
        <f t="shared" si="127"/>
        <v>0</v>
      </c>
      <c r="AE193" s="848">
        <f t="shared" si="127"/>
        <v>0</v>
      </c>
      <c r="AF193" s="848">
        <f t="shared" si="127"/>
        <v>0</v>
      </c>
      <c r="AG193" s="848">
        <f t="shared" si="127"/>
        <v>0</v>
      </c>
      <c r="AH193" s="848">
        <f t="shared" si="127"/>
        <v>0.12212000000000001</v>
      </c>
      <c r="AI193" s="848">
        <f t="shared" si="127"/>
        <v>0</v>
      </c>
      <c r="AJ193" s="848">
        <f t="shared" si="127"/>
        <v>0</v>
      </c>
      <c r="AK193" s="848">
        <f t="shared" si="127"/>
        <v>1.3140000000000001E-2</v>
      </c>
      <c r="AL193" s="848">
        <f t="shared" si="127"/>
        <v>1.439E-2</v>
      </c>
      <c r="AM193" s="848">
        <f t="shared" si="127"/>
        <v>0</v>
      </c>
      <c r="AN193" s="848">
        <f t="shared" si="127"/>
        <v>0</v>
      </c>
      <c r="AO193" s="848">
        <f t="shared" si="127"/>
        <v>0</v>
      </c>
      <c r="AP193" s="848">
        <f t="shared" si="127"/>
        <v>0</v>
      </c>
      <c r="AQ193" s="848">
        <f t="shared" si="127"/>
        <v>2.214E-2</v>
      </c>
      <c r="AR193" s="848">
        <f t="shared" si="127"/>
        <v>0</v>
      </c>
      <c r="AS193" s="848">
        <f t="shared" si="127"/>
        <v>0</v>
      </c>
      <c r="AT193" s="848">
        <f t="shared" si="127"/>
        <v>0</v>
      </c>
      <c r="AU193" s="848">
        <f t="shared" si="127"/>
        <v>0</v>
      </c>
      <c r="AV193" s="848">
        <f t="shared" si="127"/>
        <v>0</v>
      </c>
      <c r="AW193" s="848">
        <f t="shared" si="127"/>
        <v>0</v>
      </c>
      <c r="AX193" s="848">
        <f t="shared" si="127"/>
        <v>1.4619999999999999E-2</v>
      </c>
      <c r="AY193" s="848">
        <f t="shared" si="127"/>
        <v>0</v>
      </c>
      <c r="AZ193" s="848">
        <f t="shared" si="127"/>
        <v>0</v>
      </c>
      <c r="BA193" s="848">
        <f t="shared" si="127"/>
        <v>0</v>
      </c>
      <c r="BB193" s="848">
        <f t="shared" si="127"/>
        <v>0</v>
      </c>
      <c r="BC193" s="848">
        <f t="shared" si="127"/>
        <v>0</v>
      </c>
      <c r="BD193" s="848">
        <f t="shared" ref="BD193:DO193" si="129">BD176+BD186+BD192</f>
        <v>0</v>
      </c>
      <c r="BE193" s="848">
        <f t="shared" si="129"/>
        <v>0</v>
      </c>
      <c r="BF193" s="848">
        <f t="shared" si="129"/>
        <v>0</v>
      </c>
      <c r="BG193" s="848">
        <f t="shared" si="129"/>
        <v>0</v>
      </c>
      <c r="BH193" s="848">
        <f t="shared" si="129"/>
        <v>0</v>
      </c>
      <c r="BI193" s="848">
        <f t="shared" si="129"/>
        <v>0</v>
      </c>
      <c r="BJ193" s="848">
        <f t="shared" si="129"/>
        <v>0</v>
      </c>
      <c r="BK193" s="848">
        <f t="shared" si="129"/>
        <v>0</v>
      </c>
      <c r="BL193" s="848">
        <f t="shared" si="129"/>
        <v>0</v>
      </c>
      <c r="BM193" s="848">
        <f t="shared" si="129"/>
        <v>0</v>
      </c>
      <c r="BN193" s="848">
        <f t="shared" si="129"/>
        <v>0</v>
      </c>
      <c r="BO193" s="848">
        <f t="shared" si="129"/>
        <v>0</v>
      </c>
      <c r="BP193" s="848">
        <f t="shared" si="129"/>
        <v>0</v>
      </c>
      <c r="BQ193" s="848">
        <f t="shared" si="129"/>
        <v>0</v>
      </c>
      <c r="BR193" s="848">
        <f t="shared" si="129"/>
        <v>4.5400000000000003E-2</v>
      </c>
      <c r="BS193" s="848">
        <f t="shared" si="129"/>
        <v>2.0300000000000001E-3</v>
      </c>
      <c r="BT193" s="848">
        <f t="shared" si="129"/>
        <v>0</v>
      </c>
      <c r="BU193" s="848">
        <f t="shared" si="129"/>
        <v>3.1E-2</v>
      </c>
      <c r="BV193" s="848">
        <f t="shared" si="129"/>
        <v>0</v>
      </c>
      <c r="BW193" s="848">
        <f t="shared" si="129"/>
        <v>0</v>
      </c>
      <c r="BX193" s="848">
        <f t="shared" si="129"/>
        <v>0</v>
      </c>
      <c r="BY193" s="848">
        <f t="shared" si="129"/>
        <v>0</v>
      </c>
      <c r="BZ193" s="848">
        <f t="shared" si="129"/>
        <v>0</v>
      </c>
      <c r="CA193" s="848">
        <f t="shared" si="129"/>
        <v>0</v>
      </c>
      <c r="CB193" s="848">
        <f t="shared" si="129"/>
        <v>5.0000000000000001E-3</v>
      </c>
      <c r="CC193" s="848">
        <f t="shared" si="129"/>
        <v>0</v>
      </c>
      <c r="CD193" s="848">
        <f t="shared" si="129"/>
        <v>0</v>
      </c>
      <c r="CE193" s="848">
        <f t="shared" si="129"/>
        <v>0</v>
      </c>
      <c r="CF193" s="848">
        <f t="shared" si="129"/>
        <v>1.7649999999999999E-2</v>
      </c>
      <c r="CG193" s="848">
        <f t="shared" si="129"/>
        <v>5.2499999999999998E-2</v>
      </c>
      <c r="CH193" s="848">
        <f t="shared" si="129"/>
        <v>0</v>
      </c>
      <c r="CI193" s="848">
        <f t="shared" si="129"/>
        <v>0</v>
      </c>
      <c r="CJ193" s="848">
        <f t="shared" si="129"/>
        <v>0</v>
      </c>
      <c r="CK193" s="848">
        <f t="shared" si="129"/>
        <v>0</v>
      </c>
      <c r="CL193" s="848">
        <f t="shared" si="129"/>
        <v>0</v>
      </c>
      <c r="CM193" s="848">
        <f t="shared" si="129"/>
        <v>0</v>
      </c>
      <c r="CN193" s="848">
        <f t="shared" si="129"/>
        <v>0</v>
      </c>
      <c r="CO193" s="848">
        <f t="shared" si="129"/>
        <v>0</v>
      </c>
      <c r="CP193" s="848">
        <f t="shared" si="129"/>
        <v>0</v>
      </c>
      <c r="CQ193" s="848">
        <f t="shared" si="129"/>
        <v>2.0000000000000001E-4</v>
      </c>
      <c r="CR193" s="848">
        <f t="shared" si="129"/>
        <v>0</v>
      </c>
      <c r="CS193" s="848">
        <f t="shared" si="129"/>
        <v>0</v>
      </c>
      <c r="CT193" s="848">
        <f t="shared" si="129"/>
        <v>3.1140000000000001E-2</v>
      </c>
      <c r="CU193" s="848">
        <f t="shared" si="129"/>
        <v>0</v>
      </c>
      <c r="CV193" s="848">
        <f t="shared" si="129"/>
        <v>0</v>
      </c>
      <c r="CW193" s="848">
        <f t="shared" si="129"/>
        <v>0</v>
      </c>
      <c r="CX193" s="848">
        <f t="shared" si="129"/>
        <v>0</v>
      </c>
      <c r="CY193" s="848">
        <f t="shared" si="129"/>
        <v>0</v>
      </c>
      <c r="CZ193" s="848">
        <f t="shared" si="129"/>
        <v>5.5E-2</v>
      </c>
      <c r="DA193" s="848">
        <f t="shared" si="129"/>
        <v>0</v>
      </c>
      <c r="DB193" s="848">
        <f t="shared" si="129"/>
        <v>0</v>
      </c>
      <c r="DC193" s="848">
        <f t="shared" si="129"/>
        <v>9.8399999999999998E-3</v>
      </c>
      <c r="DD193" s="848">
        <f t="shared" si="129"/>
        <v>8.0000000000000002E-3</v>
      </c>
      <c r="DE193" s="848">
        <f t="shared" si="129"/>
        <v>0</v>
      </c>
      <c r="DF193" s="848">
        <f t="shared" si="129"/>
        <v>3.0000000000000001E-3</v>
      </c>
      <c r="DG193" s="848">
        <f t="shared" si="129"/>
        <v>0</v>
      </c>
      <c r="DH193" s="848">
        <f t="shared" si="129"/>
        <v>0</v>
      </c>
      <c r="DI193" s="848">
        <f t="shared" si="129"/>
        <v>0</v>
      </c>
      <c r="DJ193" s="848">
        <f t="shared" si="129"/>
        <v>0</v>
      </c>
      <c r="DK193" s="848">
        <f t="shared" si="129"/>
        <v>0</v>
      </c>
      <c r="DL193" s="848">
        <f t="shared" si="129"/>
        <v>0</v>
      </c>
      <c r="DM193" s="848">
        <f t="shared" si="129"/>
        <v>0</v>
      </c>
      <c r="DN193" s="848">
        <f t="shared" si="129"/>
        <v>0</v>
      </c>
      <c r="DO193" s="848">
        <f t="shared" si="129"/>
        <v>0</v>
      </c>
      <c r="DP193" s="848">
        <f t="shared" ref="DP193:FL193" si="130">DP176+DP186+DP192</f>
        <v>0</v>
      </c>
      <c r="DQ193" s="848">
        <f t="shared" si="130"/>
        <v>0</v>
      </c>
      <c r="DR193" s="848">
        <f t="shared" si="130"/>
        <v>5.0000000000000001E-4</v>
      </c>
      <c r="DS193" s="848">
        <f t="shared" si="130"/>
        <v>0</v>
      </c>
      <c r="DT193" s="848">
        <f t="shared" si="130"/>
        <v>0</v>
      </c>
      <c r="DU193" s="848">
        <f t="shared" si="130"/>
        <v>7.6499999999999997E-3</v>
      </c>
      <c r="DV193" s="848">
        <f t="shared" si="130"/>
        <v>0</v>
      </c>
      <c r="DW193" s="848">
        <f t="shared" si="130"/>
        <v>0</v>
      </c>
      <c r="DX193" s="848">
        <f t="shared" si="130"/>
        <v>0</v>
      </c>
      <c r="DY193" s="848">
        <f t="shared" si="130"/>
        <v>0</v>
      </c>
      <c r="DZ193" s="848">
        <f t="shared" si="130"/>
        <v>0</v>
      </c>
      <c r="EA193" s="848">
        <f t="shared" si="130"/>
        <v>0.1</v>
      </c>
      <c r="EB193" s="848">
        <f t="shared" si="130"/>
        <v>0.5</v>
      </c>
      <c r="EC193" s="848">
        <f t="shared" si="130"/>
        <v>0</v>
      </c>
      <c r="ED193" s="848">
        <f t="shared" si="130"/>
        <v>0</v>
      </c>
      <c r="EE193" s="848">
        <f t="shared" si="130"/>
        <v>0</v>
      </c>
      <c r="EF193" s="848">
        <f t="shared" si="130"/>
        <v>0</v>
      </c>
      <c r="EG193" s="848">
        <f t="shared" si="130"/>
        <v>0</v>
      </c>
      <c r="EH193" s="848">
        <f t="shared" si="130"/>
        <v>0</v>
      </c>
      <c r="EI193" s="848">
        <f t="shared" si="130"/>
        <v>0</v>
      </c>
      <c r="EJ193" s="848">
        <f t="shared" si="130"/>
        <v>0</v>
      </c>
      <c r="EK193" s="848">
        <f t="shared" si="130"/>
        <v>0</v>
      </c>
      <c r="EL193" s="848">
        <f t="shared" si="130"/>
        <v>0</v>
      </c>
      <c r="EM193" s="848">
        <f t="shared" si="130"/>
        <v>0</v>
      </c>
      <c r="EN193" s="848">
        <f t="shared" si="130"/>
        <v>0</v>
      </c>
      <c r="EO193" s="848">
        <f t="shared" si="130"/>
        <v>0</v>
      </c>
      <c r="EP193" s="848">
        <f t="shared" si="130"/>
        <v>0</v>
      </c>
      <c r="EQ193" s="848">
        <f t="shared" si="130"/>
        <v>0</v>
      </c>
      <c r="ER193" s="848">
        <f t="shared" si="130"/>
        <v>0</v>
      </c>
      <c r="ES193" s="848">
        <f t="shared" si="130"/>
        <v>0</v>
      </c>
      <c r="ET193" s="848">
        <f t="shared" si="130"/>
        <v>0</v>
      </c>
      <c r="EU193" s="848">
        <f t="shared" si="130"/>
        <v>0</v>
      </c>
      <c r="EV193" s="848">
        <f t="shared" si="130"/>
        <v>6.4000000000000001E-2</v>
      </c>
      <c r="EW193" s="848">
        <f t="shared" si="130"/>
        <v>0.05</v>
      </c>
      <c r="EX193" s="848">
        <f t="shared" si="130"/>
        <v>0</v>
      </c>
      <c r="EY193" s="767">
        <f t="shared" si="130"/>
        <v>1.4337</v>
      </c>
      <c r="EZ193" s="791">
        <f t="shared" si="130"/>
        <v>0</v>
      </c>
      <c r="FA193" s="791">
        <f t="shared" si="130"/>
        <v>0</v>
      </c>
      <c r="FB193" s="791">
        <f t="shared" si="130"/>
        <v>0</v>
      </c>
      <c r="FC193" s="791">
        <f t="shared" si="130"/>
        <v>0</v>
      </c>
      <c r="FD193" s="791">
        <f t="shared" si="130"/>
        <v>0</v>
      </c>
      <c r="FE193" s="791">
        <f t="shared" si="130"/>
        <v>0</v>
      </c>
      <c r="FF193" s="791">
        <f t="shared" si="130"/>
        <v>0</v>
      </c>
      <c r="FG193" s="791">
        <f t="shared" si="130"/>
        <v>0</v>
      </c>
      <c r="FH193" s="791">
        <f t="shared" si="130"/>
        <v>0</v>
      </c>
      <c r="FI193" s="791">
        <f t="shared" si="130"/>
        <v>0</v>
      </c>
      <c r="FJ193" s="791">
        <f t="shared" si="130"/>
        <v>0</v>
      </c>
      <c r="FK193" s="791">
        <f t="shared" si="130"/>
        <v>0</v>
      </c>
      <c r="FL193" s="791">
        <f t="shared" si="130"/>
        <v>0</v>
      </c>
    </row>
    <row r="194" spans="1:168" hidden="1" x14ac:dyDescent="0.25">
      <c r="A194" s="829"/>
      <c r="B194" s="830" t="s">
        <v>966</v>
      </c>
      <c r="C194" s="846"/>
      <c r="D194" s="856">
        <v>77</v>
      </c>
      <c r="E194" s="856">
        <v>79</v>
      </c>
      <c r="F194" s="856">
        <v>335</v>
      </c>
      <c r="G194" s="846">
        <v>2350</v>
      </c>
      <c r="H194" s="846"/>
      <c r="I194" s="869"/>
      <c r="J194" s="857"/>
      <c r="K194" s="857"/>
      <c r="L194" s="857"/>
      <c r="M194" s="857"/>
      <c r="N194" s="857"/>
      <c r="O194" s="857"/>
      <c r="P194" s="857"/>
      <c r="Q194" s="857"/>
      <c r="R194" s="857"/>
      <c r="S194" s="857"/>
      <c r="T194" s="857"/>
      <c r="U194" s="857"/>
      <c r="V194" s="857"/>
      <c r="W194" s="857"/>
      <c r="X194" s="857"/>
      <c r="Y194" s="857"/>
      <c r="Z194" s="857"/>
      <c r="AA194" s="857"/>
      <c r="AB194" s="857"/>
      <c r="AC194" s="857"/>
      <c r="AD194" s="857"/>
      <c r="AE194" s="857"/>
      <c r="AF194" s="857"/>
      <c r="AG194" s="857"/>
      <c r="AH194" s="857"/>
      <c r="AI194" s="857"/>
      <c r="AJ194" s="857"/>
      <c r="AK194" s="857"/>
      <c r="AL194" s="857"/>
      <c r="AM194" s="857"/>
      <c r="AN194" s="857"/>
      <c r="AO194" s="857"/>
      <c r="AP194" s="857"/>
      <c r="AQ194" s="857"/>
      <c r="AR194" s="857"/>
      <c r="AS194" s="857"/>
      <c r="AT194" s="857"/>
      <c r="AU194" s="857"/>
      <c r="AV194" s="857"/>
      <c r="AW194" s="857"/>
      <c r="AX194" s="857"/>
      <c r="AY194" s="857"/>
      <c r="AZ194" s="857"/>
      <c r="BA194" s="857"/>
      <c r="BB194" s="857"/>
      <c r="BC194" s="857"/>
      <c r="BD194" s="857"/>
      <c r="BE194" s="857"/>
      <c r="BF194" s="857"/>
      <c r="BG194" s="857"/>
      <c r="BH194" s="857"/>
      <c r="BI194" s="857"/>
      <c r="BJ194" s="857"/>
      <c r="BK194" s="857"/>
      <c r="BL194" s="857"/>
      <c r="BM194" s="857"/>
      <c r="BN194" s="857"/>
      <c r="BO194" s="857"/>
      <c r="BP194" s="857"/>
      <c r="BQ194" s="857"/>
      <c r="BR194" s="857"/>
      <c r="BS194" s="857"/>
      <c r="BT194" s="857"/>
      <c r="BU194" s="857"/>
      <c r="BV194" s="857"/>
      <c r="BW194" s="857"/>
      <c r="BX194" s="857"/>
      <c r="BY194" s="857"/>
      <c r="BZ194" s="857"/>
      <c r="CA194" s="857"/>
      <c r="CB194" s="857"/>
      <c r="CC194" s="857"/>
      <c r="CD194" s="857"/>
      <c r="CE194" s="857"/>
      <c r="CF194" s="857"/>
      <c r="CG194" s="857"/>
      <c r="CH194" s="857"/>
      <c r="CI194" s="857"/>
      <c r="CJ194" s="857"/>
      <c r="CK194" s="857"/>
      <c r="CL194" s="857"/>
      <c r="CM194" s="857"/>
      <c r="CN194" s="857"/>
      <c r="CO194" s="857"/>
      <c r="CP194" s="857"/>
      <c r="CQ194" s="857"/>
      <c r="CR194" s="857"/>
      <c r="CS194" s="857"/>
      <c r="CT194" s="857"/>
      <c r="CU194" s="857"/>
      <c r="CV194" s="857"/>
      <c r="CW194" s="857"/>
      <c r="CX194" s="857"/>
      <c r="CY194" s="857"/>
      <c r="CZ194" s="857"/>
      <c r="DA194" s="857"/>
      <c r="DB194" s="857"/>
      <c r="DC194" s="857"/>
      <c r="DD194" s="857"/>
      <c r="DE194" s="857"/>
      <c r="DF194" s="857"/>
      <c r="DG194" s="857"/>
      <c r="DH194" s="857"/>
      <c r="DI194" s="857"/>
      <c r="DJ194" s="857"/>
      <c r="DK194" s="857"/>
      <c r="DL194" s="857"/>
      <c r="DM194" s="857"/>
      <c r="DN194" s="857"/>
      <c r="DO194" s="857"/>
      <c r="DP194" s="857"/>
      <c r="DQ194" s="857"/>
      <c r="DR194" s="857"/>
      <c r="DS194" s="857"/>
      <c r="DT194" s="857"/>
      <c r="DU194" s="857"/>
      <c r="DV194" s="857"/>
      <c r="DW194" s="857"/>
      <c r="DX194" s="857"/>
      <c r="DY194" s="857"/>
      <c r="DZ194" s="857"/>
      <c r="EA194" s="857"/>
      <c r="EB194" s="857"/>
      <c r="EC194" s="857"/>
      <c r="ED194" s="857"/>
      <c r="EE194" s="857"/>
      <c r="EF194" s="857"/>
      <c r="EG194" s="857"/>
      <c r="EH194" s="857"/>
      <c r="EI194" s="857"/>
      <c r="EJ194" s="857"/>
      <c r="EK194" s="857"/>
      <c r="EL194" s="857"/>
      <c r="EM194" s="857"/>
      <c r="EN194" s="857"/>
      <c r="EO194" s="857"/>
      <c r="EP194" s="857"/>
      <c r="EQ194" s="857"/>
      <c r="ER194" s="857"/>
      <c r="ES194" s="857"/>
      <c r="ET194" s="857"/>
      <c r="EU194" s="857"/>
      <c r="EV194" s="857"/>
      <c r="EW194" s="857"/>
      <c r="EX194" s="857"/>
      <c r="EY194" s="862"/>
      <c r="EZ194" s="856">
        <v>1.2</v>
      </c>
      <c r="FA194" s="856">
        <v>1.4</v>
      </c>
      <c r="FB194" s="856">
        <v>60</v>
      </c>
      <c r="FC194" s="856">
        <v>700</v>
      </c>
      <c r="FD194" s="856">
        <v>10</v>
      </c>
      <c r="FE194" s="856">
        <v>1100</v>
      </c>
      <c r="FF194" s="856">
        <v>1100</v>
      </c>
      <c r="FG194" s="856">
        <v>250</v>
      </c>
      <c r="FH194" s="856">
        <v>1100</v>
      </c>
      <c r="FI194" s="856">
        <v>12</v>
      </c>
      <c r="FJ194" s="856">
        <v>10</v>
      </c>
      <c r="FK194" s="856">
        <v>0.1</v>
      </c>
      <c r="FL194" s="856">
        <v>0</v>
      </c>
    </row>
    <row r="195" spans="1:168" hidden="1" x14ac:dyDescent="0.25">
      <c r="A195" s="829"/>
      <c r="B195" s="830" t="s">
        <v>965</v>
      </c>
      <c r="C195" s="846"/>
      <c r="D195" s="856">
        <f>D193-D194</f>
        <v>-35.270000000000003</v>
      </c>
      <c r="E195" s="856">
        <f>E193-E194</f>
        <v>-7.54</v>
      </c>
      <c r="F195" s="856">
        <f t="shared" ref="F195:G195" si="131">F193-F194</f>
        <v>-120.51</v>
      </c>
      <c r="G195" s="846">
        <f t="shared" si="131"/>
        <v>-673</v>
      </c>
      <c r="H195" s="846"/>
      <c r="I195" s="869"/>
      <c r="J195" s="857"/>
      <c r="K195" s="857"/>
      <c r="L195" s="857"/>
      <c r="M195" s="857"/>
      <c r="N195" s="857"/>
      <c r="O195" s="857"/>
      <c r="P195" s="857"/>
      <c r="Q195" s="857"/>
      <c r="R195" s="857"/>
      <c r="S195" s="857"/>
      <c r="T195" s="857"/>
      <c r="U195" s="857"/>
      <c r="V195" s="857"/>
      <c r="W195" s="857"/>
      <c r="X195" s="857"/>
      <c r="Y195" s="857"/>
      <c r="Z195" s="857"/>
      <c r="AA195" s="857"/>
      <c r="AB195" s="857"/>
      <c r="AC195" s="857"/>
      <c r="AD195" s="857"/>
      <c r="AE195" s="857"/>
      <c r="AF195" s="857"/>
      <c r="AG195" s="857"/>
      <c r="AH195" s="857"/>
      <c r="AI195" s="857"/>
      <c r="AJ195" s="857"/>
      <c r="AK195" s="857"/>
      <c r="AL195" s="857"/>
      <c r="AM195" s="857"/>
      <c r="AN195" s="857"/>
      <c r="AO195" s="857"/>
      <c r="AP195" s="857"/>
      <c r="AQ195" s="857"/>
      <c r="AR195" s="857"/>
      <c r="AS195" s="857"/>
      <c r="AT195" s="857"/>
      <c r="AU195" s="857"/>
      <c r="AV195" s="857"/>
      <c r="AW195" s="857"/>
      <c r="AX195" s="857"/>
      <c r="AY195" s="857"/>
      <c r="AZ195" s="857"/>
      <c r="BA195" s="857"/>
      <c r="BB195" s="857"/>
      <c r="BC195" s="857"/>
      <c r="BD195" s="857"/>
      <c r="BE195" s="857"/>
      <c r="BF195" s="857"/>
      <c r="BG195" s="857"/>
      <c r="BH195" s="857"/>
      <c r="BI195" s="857"/>
      <c r="BJ195" s="857"/>
      <c r="BK195" s="857"/>
      <c r="BL195" s="857"/>
      <c r="BM195" s="857"/>
      <c r="BN195" s="857"/>
      <c r="BO195" s="857"/>
      <c r="BP195" s="857"/>
      <c r="BQ195" s="857"/>
      <c r="BR195" s="857"/>
      <c r="BS195" s="857"/>
      <c r="BT195" s="857"/>
      <c r="BU195" s="857"/>
      <c r="BV195" s="857"/>
      <c r="BW195" s="857"/>
      <c r="BX195" s="857"/>
      <c r="BY195" s="857"/>
      <c r="BZ195" s="857"/>
      <c r="CA195" s="857"/>
      <c r="CB195" s="857"/>
      <c r="CC195" s="857"/>
      <c r="CD195" s="857"/>
      <c r="CE195" s="857"/>
      <c r="CF195" s="857"/>
      <c r="CG195" s="857"/>
      <c r="CH195" s="857"/>
      <c r="CI195" s="857"/>
      <c r="CJ195" s="857"/>
      <c r="CK195" s="857"/>
      <c r="CL195" s="857"/>
      <c r="CM195" s="857"/>
      <c r="CN195" s="857"/>
      <c r="CO195" s="857"/>
      <c r="CP195" s="857"/>
      <c r="CQ195" s="857"/>
      <c r="CR195" s="857"/>
      <c r="CS195" s="857"/>
      <c r="CT195" s="857"/>
      <c r="CU195" s="857"/>
      <c r="CV195" s="857"/>
      <c r="CW195" s="857"/>
      <c r="CX195" s="857"/>
      <c r="CY195" s="857"/>
      <c r="CZ195" s="857"/>
      <c r="DA195" s="857"/>
      <c r="DB195" s="857"/>
      <c r="DC195" s="857"/>
      <c r="DD195" s="857"/>
      <c r="DE195" s="857"/>
      <c r="DF195" s="857"/>
      <c r="DG195" s="857"/>
      <c r="DH195" s="857"/>
      <c r="DI195" s="857"/>
      <c r="DJ195" s="857"/>
      <c r="DK195" s="857"/>
      <c r="DL195" s="857"/>
      <c r="DM195" s="857"/>
      <c r="DN195" s="857"/>
      <c r="DO195" s="857"/>
      <c r="DP195" s="857"/>
      <c r="DQ195" s="857"/>
      <c r="DR195" s="857"/>
      <c r="DS195" s="857"/>
      <c r="DT195" s="857"/>
      <c r="DU195" s="857"/>
      <c r="DV195" s="857"/>
      <c r="DW195" s="857"/>
      <c r="DX195" s="857"/>
      <c r="DY195" s="857"/>
      <c r="DZ195" s="857"/>
      <c r="EA195" s="857"/>
      <c r="EB195" s="857"/>
      <c r="EC195" s="857"/>
      <c r="ED195" s="857"/>
      <c r="EE195" s="857"/>
      <c r="EF195" s="857"/>
      <c r="EG195" s="857"/>
      <c r="EH195" s="857"/>
      <c r="EI195" s="857"/>
      <c r="EJ195" s="857"/>
      <c r="EK195" s="857"/>
      <c r="EL195" s="857"/>
      <c r="EM195" s="857"/>
      <c r="EN195" s="857"/>
      <c r="EO195" s="857"/>
      <c r="EP195" s="857"/>
      <c r="EQ195" s="857"/>
      <c r="ER195" s="857"/>
      <c r="ES195" s="857"/>
      <c r="ET195" s="857"/>
      <c r="EU195" s="857"/>
      <c r="EV195" s="857"/>
      <c r="EW195" s="857"/>
      <c r="EX195" s="857"/>
      <c r="EY195" s="862"/>
      <c r="EZ195" s="856">
        <f t="shared" ref="EZ195:FL195" si="132">EZ193-EZ194</f>
        <v>-1.2</v>
      </c>
      <c r="FA195" s="856">
        <f t="shared" si="132"/>
        <v>-1.4</v>
      </c>
      <c r="FB195" s="856">
        <f t="shared" si="132"/>
        <v>-60</v>
      </c>
      <c r="FC195" s="856">
        <f t="shared" si="132"/>
        <v>-700</v>
      </c>
      <c r="FD195" s="856">
        <f t="shared" si="132"/>
        <v>-10</v>
      </c>
      <c r="FE195" s="856">
        <f t="shared" si="132"/>
        <v>-1100</v>
      </c>
      <c r="FF195" s="856">
        <f t="shared" si="132"/>
        <v>-1100</v>
      </c>
      <c r="FG195" s="856">
        <f t="shared" si="132"/>
        <v>-250</v>
      </c>
      <c r="FH195" s="856">
        <f t="shared" si="132"/>
        <v>-1100</v>
      </c>
      <c r="FI195" s="856">
        <f t="shared" si="132"/>
        <v>-12</v>
      </c>
      <c r="FJ195" s="856">
        <f t="shared" si="132"/>
        <v>-10</v>
      </c>
      <c r="FK195" s="856">
        <f t="shared" si="132"/>
        <v>-0.1</v>
      </c>
      <c r="FL195" s="856">
        <f t="shared" si="132"/>
        <v>0</v>
      </c>
    </row>
    <row r="196" spans="1:168" x14ac:dyDescent="0.25">
      <c r="A196" s="557"/>
      <c r="B196" s="555" t="s">
        <v>1228</v>
      </c>
      <c r="C196" s="858"/>
      <c r="D196" s="858"/>
      <c r="E196" s="579"/>
      <c r="F196" s="579"/>
      <c r="G196" s="579"/>
      <c r="H196" s="859"/>
      <c r="I196" s="868"/>
      <c r="J196" s="860"/>
      <c r="K196" s="860"/>
      <c r="L196" s="860"/>
      <c r="M196" s="860"/>
      <c r="N196" s="860"/>
      <c r="O196" s="860"/>
      <c r="P196" s="860"/>
      <c r="Q196" s="860"/>
      <c r="R196" s="860"/>
      <c r="S196" s="860"/>
      <c r="T196" s="860"/>
      <c r="U196" s="860"/>
      <c r="V196" s="860"/>
      <c r="W196" s="860"/>
      <c r="X196" s="860"/>
      <c r="Y196" s="860"/>
      <c r="Z196" s="860"/>
      <c r="AA196" s="860"/>
      <c r="AB196" s="860"/>
      <c r="AC196" s="860"/>
      <c r="AD196" s="860"/>
      <c r="AE196" s="860"/>
      <c r="AF196" s="860"/>
      <c r="AG196" s="860"/>
      <c r="AH196" s="860"/>
      <c r="AI196" s="860"/>
      <c r="AJ196" s="860"/>
      <c r="AK196" s="860"/>
      <c r="AL196" s="860"/>
      <c r="AM196" s="860"/>
      <c r="AN196" s="860"/>
      <c r="AO196" s="860"/>
      <c r="AP196" s="860"/>
      <c r="AQ196" s="860"/>
      <c r="AR196" s="860"/>
      <c r="AS196" s="860"/>
      <c r="AT196" s="860"/>
      <c r="AU196" s="860"/>
      <c r="AV196" s="860"/>
      <c r="AW196" s="860"/>
      <c r="AX196" s="860"/>
      <c r="AY196" s="860"/>
      <c r="AZ196" s="860"/>
      <c r="BA196" s="860"/>
      <c r="BB196" s="860"/>
      <c r="BC196" s="860"/>
      <c r="BD196" s="860"/>
      <c r="BE196" s="860"/>
      <c r="BF196" s="860"/>
      <c r="BG196" s="860"/>
      <c r="BH196" s="860"/>
      <c r="BI196" s="860"/>
      <c r="BJ196" s="860"/>
      <c r="BK196" s="860"/>
      <c r="BL196" s="860"/>
      <c r="BM196" s="860"/>
      <c r="BN196" s="860"/>
      <c r="BO196" s="860"/>
      <c r="BP196" s="860"/>
      <c r="BQ196" s="860"/>
      <c r="BR196" s="860"/>
      <c r="BS196" s="860"/>
      <c r="BT196" s="860"/>
      <c r="BU196" s="860"/>
      <c r="BV196" s="860"/>
      <c r="BW196" s="860"/>
      <c r="BX196" s="860"/>
      <c r="BY196" s="860"/>
      <c r="BZ196" s="860"/>
      <c r="CA196" s="860"/>
      <c r="CB196" s="860"/>
      <c r="CC196" s="860"/>
      <c r="CD196" s="860"/>
      <c r="CE196" s="860"/>
      <c r="CF196" s="860"/>
      <c r="CG196" s="860"/>
      <c r="CH196" s="860"/>
      <c r="CI196" s="860"/>
      <c r="CJ196" s="860"/>
      <c r="CK196" s="860"/>
      <c r="CL196" s="860"/>
      <c r="CM196" s="860"/>
      <c r="CN196" s="860"/>
      <c r="CO196" s="860"/>
      <c r="CP196" s="860"/>
      <c r="CQ196" s="860"/>
      <c r="CR196" s="860"/>
      <c r="CS196" s="860"/>
      <c r="CT196" s="860"/>
      <c r="CU196" s="860"/>
      <c r="CV196" s="860"/>
      <c r="CW196" s="860"/>
      <c r="CX196" s="860"/>
      <c r="CY196" s="860"/>
      <c r="CZ196" s="860"/>
      <c r="DA196" s="860"/>
      <c r="DB196" s="860"/>
      <c r="DC196" s="860"/>
      <c r="DD196" s="860"/>
      <c r="DE196" s="860"/>
      <c r="DF196" s="860"/>
      <c r="DG196" s="860"/>
      <c r="DH196" s="860"/>
      <c r="DI196" s="860"/>
      <c r="DJ196" s="860"/>
      <c r="DK196" s="860"/>
      <c r="DL196" s="860"/>
      <c r="DM196" s="860"/>
      <c r="DN196" s="860"/>
      <c r="DO196" s="860"/>
      <c r="DP196" s="860"/>
      <c r="DQ196" s="860"/>
      <c r="DR196" s="860"/>
      <c r="DS196" s="860"/>
      <c r="DT196" s="860"/>
      <c r="DU196" s="860"/>
      <c r="DV196" s="860"/>
      <c r="DW196" s="860"/>
      <c r="DX196" s="860"/>
      <c r="DY196" s="860"/>
      <c r="DZ196" s="860"/>
      <c r="EA196" s="860"/>
      <c r="EB196" s="860"/>
      <c r="EC196" s="860"/>
      <c r="ED196" s="860"/>
      <c r="EE196" s="860"/>
      <c r="EF196" s="860"/>
      <c r="EG196" s="860"/>
      <c r="EH196" s="860"/>
      <c r="EI196" s="860"/>
      <c r="EJ196" s="860"/>
      <c r="EK196" s="860"/>
      <c r="EL196" s="860"/>
      <c r="EM196" s="860"/>
      <c r="EN196" s="860"/>
      <c r="EO196" s="860"/>
      <c r="EP196" s="860"/>
      <c r="EQ196" s="860"/>
      <c r="ER196" s="860"/>
      <c r="ES196" s="860"/>
      <c r="ET196" s="860"/>
      <c r="EU196" s="860"/>
      <c r="EV196" s="860"/>
      <c r="EW196" s="860"/>
      <c r="EX196" s="860"/>
      <c r="EY196" s="694"/>
      <c r="EZ196" s="579"/>
      <c r="FA196" s="579"/>
      <c r="FB196" s="579"/>
      <c r="FC196" s="579"/>
      <c r="FD196" s="579"/>
      <c r="FE196" s="579"/>
      <c r="FF196" s="579"/>
      <c r="FG196" s="579"/>
      <c r="FH196" s="579"/>
      <c r="FI196" s="579"/>
      <c r="FJ196" s="579"/>
      <c r="FK196" s="579"/>
      <c r="FL196" s="579"/>
    </row>
    <row r="197" spans="1:168" ht="26.4" x14ac:dyDescent="0.25">
      <c r="A197" s="1462" t="s">
        <v>109</v>
      </c>
      <c r="B197" s="115" t="str">
        <f>блюда!B157</f>
        <v>Пудинг из творога (запеченный) со сгущенным молоком</v>
      </c>
      <c r="C197" s="250">
        <f>блюда!C157</f>
        <v>150</v>
      </c>
      <c r="D197" s="431">
        <f>блюда!D157</f>
        <v>19.41</v>
      </c>
      <c r="E197" s="431">
        <f>блюда!E157</f>
        <v>15.19</v>
      </c>
      <c r="F197" s="431">
        <f>блюда!F157</f>
        <v>49.74</v>
      </c>
      <c r="G197" s="250">
        <f>блюда!G157</f>
        <v>414</v>
      </c>
      <c r="H197" s="250">
        <f>блюда!H157</f>
        <v>222</v>
      </c>
      <c r="I197" s="431">
        <f>блюда!I157</f>
        <v>52.12</v>
      </c>
      <c r="J197" s="473">
        <f>блюда!J157</f>
        <v>0</v>
      </c>
      <c r="K197" s="473">
        <f>блюда!K157</f>
        <v>0</v>
      </c>
      <c r="L197" s="473">
        <f>блюда!L157</f>
        <v>0</v>
      </c>
      <c r="M197" s="473">
        <f>блюда!M157</f>
        <v>0</v>
      </c>
      <c r="N197" s="473">
        <f>блюда!N157</f>
        <v>0</v>
      </c>
      <c r="O197" s="473">
        <f>блюда!O157</f>
        <v>0</v>
      </c>
      <c r="P197" s="473">
        <f>блюда!P157</f>
        <v>0</v>
      </c>
      <c r="Q197" s="473">
        <f>блюда!Q157</f>
        <v>0</v>
      </c>
      <c r="R197" s="473">
        <f>блюда!R157</f>
        <v>0</v>
      </c>
      <c r="S197" s="473">
        <f>блюда!S157</f>
        <v>0</v>
      </c>
      <c r="T197" s="473">
        <f>блюда!T157</f>
        <v>0</v>
      </c>
      <c r="U197" s="473">
        <f>блюда!U157</f>
        <v>0</v>
      </c>
      <c r="V197" s="473">
        <f>блюда!V157</f>
        <v>5.0000000000000001E-3</v>
      </c>
      <c r="W197" s="473">
        <f>блюда!W157</f>
        <v>0</v>
      </c>
      <c r="X197" s="473">
        <f>блюда!X157</f>
        <v>9.2399999999999996E-2</v>
      </c>
      <c r="Y197" s="473">
        <f>блюда!Y157</f>
        <v>5.0000000000000001E-3</v>
      </c>
      <c r="Z197" s="473">
        <f>блюда!Z157</f>
        <v>0.03</v>
      </c>
      <c r="AA197" s="473">
        <f>блюда!AA157</f>
        <v>0</v>
      </c>
      <c r="AB197" s="473">
        <f>блюда!AB157</f>
        <v>0</v>
      </c>
      <c r="AC197" s="473">
        <f>блюда!AC157</f>
        <v>0</v>
      </c>
      <c r="AD197" s="473">
        <f>блюда!AD157</f>
        <v>0</v>
      </c>
      <c r="AE197" s="473">
        <f>блюда!AE157</f>
        <v>6.0000000000000001E-3</v>
      </c>
      <c r="AF197" s="473">
        <f>блюда!AF157</f>
        <v>0</v>
      </c>
      <c r="AG197" s="473">
        <f>блюда!AG157</f>
        <v>0</v>
      </c>
      <c r="AH197" s="473">
        <f>блюда!AH157</f>
        <v>0</v>
      </c>
      <c r="AI197" s="473">
        <f>блюда!AI157</f>
        <v>0</v>
      </c>
      <c r="AJ197" s="473">
        <f>блюда!AJ157</f>
        <v>0</v>
      </c>
      <c r="AK197" s="473">
        <f>блюда!AK157</f>
        <v>0</v>
      </c>
      <c r="AL197" s="473">
        <f>блюда!AL157</f>
        <v>0</v>
      </c>
      <c r="AM197" s="473">
        <f>блюда!AM157</f>
        <v>0</v>
      </c>
      <c r="AN197" s="473">
        <f>блюда!AN157</f>
        <v>0</v>
      </c>
      <c r="AO197" s="473">
        <f>блюда!AO157</f>
        <v>0</v>
      </c>
      <c r="AP197" s="473">
        <f>блюда!AP157</f>
        <v>0</v>
      </c>
      <c r="AQ197" s="473">
        <f>блюда!AQ157</f>
        <v>0</v>
      </c>
      <c r="AR197" s="473">
        <f>блюда!AR157</f>
        <v>0</v>
      </c>
      <c r="AS197" s="473">
        <f>блюда!AS157</f>
        <v>0</v>
      </c>
      <c r="AT197" s="473">
        <f>блюда!AT157</f>
        <v>0</v>
      </c>
      <c r="AU197" s="473">
        <f>блюда!AU157</f>
        <v>0</v>
      </c>
      <c r="AV197" s="473">
        <f>блюда!AV157</f>
        <v>0</v>
      </c>
      <c r="AW197" s="473">
        <f>блюда!AW157</f>
        <v>0</v>
      </c>
      <c r="AX197" s="473">
        <f>блюда!AX157</f>
        <v>0</v>
      </c>
      <c r="AY197" s="473">
        <f>блюда!AY157</f>
        <v>0</v>
      </c>
      <c r="AZ197" s="473">
        <f>блюда!AZ157</f>
        <v>0</v>
      </c>
      <c r="BA197" s="473">
        <f>блюда!BA157</f>
        <v>0</v>
      </c>
      <c r="BB197" s="473">
        <f>блюда!BB157</f>
        <v>0</v>
      </c>
      <c r="BC197" s="473">
        <f>блюда!BC157</f>
        <v>0</v>
      </c>
      <c r="BD197" s="473">
        <f>блюда!BD157</f>
        <v>0</v>
      </c>
      <c r="BE197" s="473">
        <f>блюда!BE157</f>
        <v>0</v>
      </c>
      <c r="BF197" s="473">
        <f>блюда!BF157</f>
        <v>0</v>
      </c>
      <c r="BG197" s="473">
        <f>блюда!BG157</f>
        <v>0</v>
      </c>
      <c r="BH197" s="473">
        <f>блюда!BH157</f>
        <v>0</v>
      </c>
      <c r="BI197" s="473">
        <f>блюда!BI157</f>
        <v>0</v>
      </c>
      <c r="BJ197" s="473">
        <f>блюда!BJ157</f>
        <v>0</v>
      </c>
      <c r="BK197" s="473">
        <f>блюда!BK157</f>
        <v>0</v>
      </c>
      <c r="BL197" s="473">
        <f>блюда!BL157</f>
        <v>0</v>
      </c>
      <c r="BM197" s="473">
        <f>блюда!BM157</f>
        <v>0</v>
      </c>
      <c r="BN197" s="473">
        <f>блюда!BN157</f>
        <v>0</v>
      </c>
      <c r="BO197" s="473">
        <f>блюда!BO157</f>
        <v>0</v>
      </c>
      <c r="BP197" s="473">
        <f>блюда!BP157</f>
        <v>0</v>
      </c>
      <c r="BQ197" s="473">
        <f>блюда!BQ157</f>
        <v>0</v>
      </c>
      <c r="BR197" s="473">
        <f>блюда!BR157</f>
        <v>0</v>
      </c>
      <c r="BS197" s="473">
        <f>блюда!BS157</f>
        <v>0</v>
      </c>
      <c r="BT197" s="473">
        <f>блюда!BT157</f>
        <v>0</v>
      </c>
      <c r="BU197" s="473">
        <f>блюда!BU157</f>
        <v>0.01</v>
      </c>
      <c r="BV197" s="473">
        <f>блюда!BV157</f>
        <v>0</v>
      </c>
      <c r="BW197" s="473">
        <f>блюда!BW157</f>
        <v>0</v>
      </c>
      <c r="BX197" s="473">
        <f>блюда!BX157</f>
        <v>0</v>
      </c>
      <c r="BY197" s="473">
        <f>блюда!BY157</f>
        <v>0</v>
      </c>
      <c r="BZ197" s="473">
        <f>блюда!BZ157</f>
        <v>0</v>
      </c>
      <c r="CA197" s="473">
        <f>блюда!CA157</f>
        <v>0</v>
      </c>
      <c r="CB197" s="473">
        <f>блюда!CB157</f>
        <v>0</v>
      </c>
      <c r="CC197" s="473">
        <f>блюда!CC157</f>
        <v>0</v>
      </c>
      <c r="CD197" s="473">
        <f>блюда!CD157</f>
        <v>0</v>
      </c>
      <c r="CE197" s="473">
        <f>блюда!CE157</f>
        <v>0</v>
      </c>
      <c r="CF197" s="473">
        <f>блюда!CF157</f>
        <v>0</v>
      </c>
      <c r="CG197" s="473">
        <f>блюда!CG157</f>
        <v>0</v>
      </c>
      <c r="CH197" s="473">
        <f>блюда!CH157</f>
        <v>0</v>
      </c>
      <c r="CI197" s="473">
        <f>блюда!CI157</f>
        <v>2.0000000000000002E-5</v>
      </c>
      <c r="CJ197" s="473">
        <f>блюда!CJ157</f>
        <v>0</v>
      </c>
      <c r="CK197" s="473">
        <f>блюда!CK157</f>
        <v>0</v>
      </c>
      <c r="CL197" s="473">
        <f>блюда!CL157</f>
        <v>0</v>
      </c>
      <c r="CM197" s="473">
        <f>блюда!CM157</f>
        <v>1.2E-2</v>
      </c>
      <c r="CN197" s="473">
        <f>блюда!CN157</f>
        <v>0</v>
      </c>
      <c r="CO197" s="473">
        <f>блюда!CO157</f>
        <v>0</v>
      </c>
      <c r="CP197" s="473">
        <f>блюда!CP157</f>
        <v>0</v>
      </c>
      <c r="CQ197" s="473">
        <f>блюда!CQ157</f>
        <v>0</v>
      </c>
      <c r="CR197" s="473">
        <f>блюда!CR157</f>
        <v>0</v>
      </c>
      <c r="CS197" s="473">
        <f>блюда!CS157</f>
        <v>0</v>
      </c>
      <c r="CT197" s="473">
        <f>блюда!CT157</f>
        <v>0</v>
      </c>
      <c r="CU197" s="473">
        <f>блюда!CU157</f>
        <v>0</v>
      </c>
      <c r="CV197" s="473">
        <f>блюда!CV157</f>
        <v>0</v>
      </c>
      <c r="CW197" s="473">
        <f>блюда!CW157</f>
        <v>0</v>
      </c>
      <c r="CX197" s="473">
        <f>блюда!CX157</f>
        <v>0</v>
      </c>
      <c r="CY197" s="473">
        <f>блюда!CY157</f>
        <v>0</v>
      </c>
      <c r="CZ197" s="473">
        <f>блюда!CZ157</f>
        <v>0.01</v>
      </c>
      <c r="DA197" s="473">
        <f>блюда!DA157</f>
        <v>0</v>
      </c>
      <c r="DB197" s="473">
        <f>блюда!DB157</f>
        <v>0</v>
      </c>
      <c r="DC197" s="473">
        <f>блюда!DC157</f>
        <v>0</v>
      </c>
      <c r="DD197" s="473">
        <f>блюда!DD157</f>
        <v>5.0000000000000001E-3</v>
      </c>
      <c r="DE197" s="473">
        <f>блюда!DE157</f>
        <v>0</v>
      </c>
      <c r="DF197" s="473">
        <f>блюда!DF157</f>
        <v>0</v>
      </c>
      <c r="DG197" s="473">
        <f>блюда!DG157</f>
        <v>0</v>
      </c>
      <c r="DH197" s="473">
        <f>блюда!DH157</f>
        <v>0</v>
      </c>
      <c r="DI197" s="473">
        <f>блюда!DI157</f>
        <v>0</v>
      </c>
      <c r="DJ197" s="473">
        <f>блюда!DJ157</f>
        <v>0</v>
      </c>
      <c r="DK197" s="473">
        <f>блюда!DK157</f>
        <v>0</v>
      </c>
      <c r="DL197" s="473">
        <f>блюда!DL157</f>
        <v>0</v>
      </c>
      <c r="DM197" s="473">
        <f>блюда!DM157</f>
        <v>0</v>
      </c>
      <c r="DN197" s="473">
        <f>блюда!DN157</f>
        <v>0</v>
      </c>
      <c r="DO197" s="473">
        <f>блюда!DO157</f>
        <v>0</v>
      </c>
      <c r="DP197" s="473">
        <f>блюда!DP157</f>
        <v>0</v>
      </c>
      <c r="DQ197" s="473">
        <f>блюда!DQ157</f>
        <v>0</v>
      </c>
      <c r="DR197" s="473">
        <f>блюда!DR157</f>
        <v>0</v>
      </c>
      <c r="DS197" s="473">
        <f>блюда!DS157</f>
        <v>0</v>
      </c>
      <c r="DT197" s="473">
        <f>блюда!DT157</f>
        <v>0</v>
      </c>
      <c r="DU197" s="473">
        <f>блюда!DU157</f>
        <v>0</v>
      </c>
      <c r="DV197" s="473">
        <f>блюда!DV157</f>
        <v>0</v>
      </c>
      <c r="DW197" s="473">
        <f>блюда!DW157</f>
        <v>0</v>
      </c>
      <c r="DX197" s="473">
        <f>блюда!DX157</f>
        <v>0</v>
      </c>
      <c r="DY197" s="473">
        <f>блюда!DY157</f>
        <v>0</v>
      </c>
      <c r="DZ197" s="473">
        <f>блюда!DZ157</f>
        <v>0</v>
      </c>
      <c r="EA197" s="473">
        <f>блюда!EA157</f>
        <v>0</v>
      </c>
      <c r="EB197" s="473">
        <f>блюда!EB157</f>
        <v>0</v>
      </c>
      <c r="EC197" s="473">
        <f>блюда!EC157</f>
        <v>0</v>
      </c>
      <c r="ED197" s="473">
        <f>блюда!ED157</f>
        <v>0</v>
      </c>
      <c r="EE197" s="473">
        <f>блюда!EE157</f>
        <v>0</v>
      </c>
      <c r="EF197" s="473">
        <f>блюда!EF157</f>
        <v>0</v>
      </c>
      <c r="EG197" s="473">
        <f>блюда!EG157</f>
        <v>0</v>
      </c>
      <c r="EH197" s="473">
        <f>блюда!EH157</f>
        <v>0</v>
      </c>
      <c r="EI197" s="473">
        <f>блюда!EI157</f>
        <v>0</v>
      </c>
      <c r="EJ197" s="473">
        <f>блюда!EJ157</f>
        <v>0</v>
      </c>
      <c r="EK197" s="473">
        <f>блюда!EK157</f>
        <v>0</v>
      </c>
      <c r="EL197" s="473">
        <f>блюда!EL157</f>
        <v>0</v>
      </c>
      <c r="EM197" s="473">
        <f>блюда!EM157</f>
        <v>0</v>
      </c>
      <c r="EN197" s="473">
        <f>блюда!EN157</f>
        <v>0</v>
      </c>
      <c r="EO197" s="473">
        <f>блюда!EO157</f>
        <v>0</v>
      </c>
      <c r="EP197" s="473">
        <f>блюда!EP157</f>
        <v>0</v>
      </c>
      <c r="EQ197" s="473">
        <f>блюда!EQ157</f>
        <v>0</v>
      </c>
      <c r="ER197" s="473">
        <f>блюда!ER157</f>
        <v>0</v>
      </c>
      <c r="ES197" s="473">
        <f>блюда!ES157</f>
        <v>0</v>
      </c>
      <c r="ET197" s="473">
        <f>блюда!ET157</f>
        <v>0</v>
      </c>
      <c r="EU197" s="473">
        <f>блюда!EU157</f>
        <v>0</v>
      </c>
      <c r="EV197" s="473">
        <f>блюда!EV157</f>
        <v>0</v>
      </c>
      <c r="EW197" s="473">
        <f>блюда!EW157</f>
        <v>0</v>
      </c>
      <c r="EX197" s="473">
        <f>блюда!EX157</f>
        <v>0</v>
      </c>
      <c r="EY197" s="927">
        <f>SUM(J197:EX197)</f>
        <v>0.17541999999999999</v>
      </c>
      <c r="EZ197" s="431">
        <f>блюда!EZ157</f>
        <v>0</v>
      </c>
      <c r="FA197" s="431">
        <f>блюда!FA157</f>
        <v>0</v>
      </c>
      <c r="FB197" s="431">
        <f>блюда!FB157</f>
        <v>0</v>
      </c>
      <c r="FC197" s="431">
        <f>блюда!FC157</f>
        <v>0</v>
      </c>
      <c r="FD197" s="431">
        <f>блюда!FD157</f>
        <v>0</v>
      </c>
      <c r="FE197" s="431">
        <f>блюда!FE157</f>
        <v>0</v>
      </c>
      <c r="FF197" s="431">
        <f>блюда!FF157</f>
        <v>0</v>
      </c>
      <c r="FG197" s="431">
        <f>блюда!FG157</f>
        <v>0</v>
      </c>
      <c r="FH197" s="431">
        <f>блюда!FH157</f>
        <v>0</v>
      </c>
      <c r="FI197" s="431">
        <f>блюда!FI157</f>
        <v>0</v>
      </c>
      <c r="FJ197" s="431">
        <f>блюда!FJ157</f>
        <v>0</v>
      </c>
      <c r="FK197" s="431">
        <f>блюда!FK157</f>
        <v>0</v>
      </c>
      <c r="FL197" s="431">
        <f>блюда!FL157</f>
        <v>0</v>
      </c>
    </row>
    <row r="198" spans="1:168" x14ac:dyDescent="0.25">
      <c r="A198" s="1463"/>
      <c r="B198" s="115" t="str">
        <f>блюда!B13</f>
        <v>Масло сливочное (порциями)</v>
      </c>
      <c r="C198" s="250">
        <f>блюда!C13</f>
        <v>10</v>
      </c>
      <c r="D198" s="431">
        <f>блюда!D13</f>
        <v>0.08</v>
      </c>
      <c r="E198" s="431">
        <f>блюда!E13</f>
        <v>7.25</v>
      </c>
      <c r="F198" s="431">
        <f>блюда!F13</f>
        <v>0.13</v>
      </c>
      <c r="G198" s="250">
        <f>блюда!G13</f>
        <v>66</v>
      </c>
      <c r="H198" s="250">
        <f>блюда!H13</f>
        <v>14</v>
      </c>
      <c r="I198" s="431">
        <f>блюда!I13</f>
        <v>7.1</v>
      </c>
      <c r="J198" s="473">
        <f>блюда!J13</f>
        <v>0</v>
      </c>
      <c r="K198" s="473">
        <f>блюда!K13</f>
        <v>0</v>
      </c>
      <c r="L198" s="473">
        <f>блюда!L13</f>
        <v>0</v>
      </c>
      <c r="M198" s="473">
        <f>блюда!M13</f>
        <v>0</v>
      </c>
      <c r="N198" s="473">
        <f>блюда!N13</f>
        <v>0</v>
      </c>
      <c r="O198" s="473">
        <f>блюда!O13</f>
        <v>0</v>
      </c>
      <c r="P198" s="473">
        <f>блюда!P13</f>
        <v>0</v>
      </c>
      <c r="Q198" s="473">
        <f>блюда!Q13</f>
        <v>0</v>
      </c>
      <c r="R198" s="473">
        <f>блюда!R13</f>
        <v>0</v>
      </c>
      <c r="S198" s="473">
        <f>блюда!S13</f>
        <v>0</v>
      </c>
      <c r="T198" s="473">
        <f>блюда!T13</f>
        <v>0</v>
      </c>
      <c r="U198" s="473">
        <f>блюда!U13</f>
        <v>0</v>
      </c>
      <c r="V198" s="473">
        <f>блюда!V13</f>
        <v>0.01</v>
      </c>
      <c r="W198" s="473">
        <f>блюда!W13</f>
        <v>0</v>
      </c>
      <c r="X198" s="473">
        <f>блюда!X13</f>
        <v>0</v>
      </c>
      <c r="Y198" s="473">
        <f>блюда!Y13</f>
        <v>0</v>
      </c>
      <c r="Z198" s="473">
        <f>блюда!Z13</f>
        <v>0</v>
      </c>
      <c r="AA198" s="473">
        <f>блюда!AA13</f>
        <v>0</v>
      </c>
      <c r="AB198" s="473">
        <f>блюда!AB13</f>
        <v>0</v>
      </c>
      <c r="AC198" s="473">
        <f>блюда!AC13</f>
        <v>0</v>
      </c>
      <c r="AD198" s="473">
        <f>блюда!AD13</f>
        <v>0</v>
      </c>
      <c r="AE198" s="473">
        <f>блюда!AE13</f>
        <v>0</v>
      </c>
      <c r="AF198" s="473">
        <f>блюда!AF13</f>
        <v>0</v>
      </c>
      <c r="AG198" s="473">
        <f>блюда!AG13</f>
        <v>0</v>
      </c>
      <c r="AH198" s="473">
        <f>блюда!AH13</f>
        <v>0</v>
      </c>
      <c r="AI198" s="473">
        <f>блюда!AI13</f>
        <v>0</v>
      </c>
      <c r="AJ198" s="473">
        <f>блюда!AJ13</f>
        <v>0</v>
      </c>
      <c r="AK198" s="473">
        <f>блюда!AK13</f>
        <v>0</v>
      </c>
      <c r="AL198" s="473">
        <f>блюда!AL13</f>
        <v>0</v>
      </c>
      <c r="AM198" s="473">
        <f>блюда!AM13</f>
        <v>0</v>
      </c>
      <c r="AN198" s="473">
        <f>блюда!AN13</f>
        <v>0</v>
      </c>
      <c r="AO198" s="473">
        <f>блюда!AO13</f>
        <v>0</v>
      </c>
      <c r="AP198" s="473">
        <f>блюда!AP13</f>
        <v>0</v>
      </c>
      <c r="AQ198" s="473">
        <f>блюда!AQ13</f>
        <v>0</v>
      </c>
      <c r="AR198" s="473">
        <f>блюда!AR13</f>
        <v>0</v>
      </c>
      <c r="AS198" s="473">
        <f>блюда!AS13</f>
        <v>0</v>
      </c>
      <c r="AT198" s="473">
        <f>блюда!AT13</f>
        <v>0</v>
      </c>
      <c r="AU198" s="473">
        <f>блюда!AU13</f>
        <v>0</v>
      </c>
      <c r="AV198" s="473">
        <f>блюда!AV13</f>
        <v>0</v>
      </c>
      <c r="AW198" s="473">
        <f>блюда!AW13</f>
        <v>0</v>
      </c>
      <c r="AX198" s="473">
        <f>блюда!AX13</f>
        <v>0</v>
      </c>
      <c r="AY198" s="473">
        <f>блюда!AY13</f>
        <v>0</v>
      </c>
      <c r="AZ198" s="473">
        <f>блюда!AZ13</f>
        <v>0</v>
      </c>
      <c r="BA198" s="473">
        <f>блюда!BA13</f>
        <v>0</v>
      </c>
      <c r="BB198" s="473">
        <f>блюда!BB13</f>
        <v>0</v>
      </c>
      <c r="BC198" s="473">
        <f>блюда!BC13</f>
        <v>0</v>
      </c>
      <c r="BD198" s="473">
        <f>блюда!BD13</f>
        <v>0</v>
      </c>
      <c r="BE198" s="473">
        <f>блюда!BE13</f>
        <v>0</v>
      </c>
      <c r="BF198" s="473">
        <f>блюда!BF13</f>
        <v>0</v>
      </c>
      <c r="BG198" s="473">
        <f>блюда!BG13</f>
        <v>0</v>
      </c>
      <c r="BH198" s="473">
        <f>блюда!BH13</f>
        <v>0</v>
      </c>
      <c r="BI198" s="473">
        <f>блюда!BI13</f>
        <v>0</v>
      </c>
      <c r="BJ198" s="473">
        <f>блюда!BJ13</f>
        <v>0</v>
      </c>
      <c r="BK198" s="473">
        <f>блюда!BK13</f>
        <v>0</v>
      </c>
      <c r="BL198" s="473">
        <f>блюда!BL13</f>
        <v>0</v>
      </c>
      <c r="BM198" s="473">
        <f>блюда!BM13</f>
        <v>0</v>
      </c>
      <c r="BN198" s="473">
        <f>блюда!BN13</f>
        <v>0</v>
      </c>
      <c r="BO198" s="473">
        <f>блюда!BO13</f>
        <v>0</v>
      </c>
      <c r="BP198" s="473">
        <f>блюда!BP13</f>
        <v>0</v>
      </c>
      <c r="BQ198" s="473">
        <f>блюда!BQ13</f>
        <v>0</v>
      </c>
      <c r="BR198" s="473">
        <f>блюда!BR13</f>
        <v>0</v>
      </c>
      <c r="BS198" s="473">
        <f>блюда!BS13</f>
        <v>0</v>
      </c>
      <c r="BT198" s="473">
        <f>блюда!BT13</f>
        <v>0</v>
      </c>
      <c r="BU198" s="473">
        <f>блюда!BU13</f>
        <v>0</v>
      </c>
      <c r="BV198" s="473">
        <f>блюда!BV13</f>
        <v>0</v>
      </c>
      <c r="BW198" s="473">
        <f>блюда!BW13</f>
        <v>0</v>
      </c>
      <c r="BX198" s="473">
        <f>блюда!BX13</f>
        <v>0</v>
      </c>
      <c r="BY198" s="473">
        <f>блюда!BY13</f>
        <v>0</v>
      </c>
      <c r="BZ198" s="473">
        <f>блюда!BZ13</f>
        <v>0</v>
      </c>
      <c r="CA198" s="473">
        <f>блюда!CA13</f>
        <v>0</v>
      </c>
      <c r="CB198" s="473">
        <f>блюда!CB13</f>
        <v>0</v>
      </c>
      <c r="CC198" s="473">
        <f>блюда!CC13</f>
        <v>0</v>
      </c>
      <c r="CD198" s="473">
        <f>блюда!CD13</f>
        <v>0</v>
      </c>
      <c r="CE198" s="473">
        <f>блюда!CE13</f>
        <v>0</v>
      </c>
      <c r="CF198" s="473">
        <f>блюда!CF13</f>
        <v>0</v>
      </c>
      <c r="CG198" s="473">
        <f>блюда!CG13</f>
        <v>0</v>
      </c>
      <c r="CH198" s="473">
        <f>блюда!CH13</f>
        <v>0</v>
      </c>
      <c r="CI198" s="473">
        <f>блюда!CI13</f>
        <v>0</v>
      </c>
      <c r="CJ198" s="473">
        <f>блюда!CJ13</f>
        <v>0</v>
      </c>
      <c r="CK198" s="473">
        <f>блюда!CK13</f>
        <v>0</v>
      </c>
      <c r="CL198" s="473">
        <f>блюда!CL13</f>
        <v>0</v>
      </c>
      <c r="CM198" s="473">
        <f>блюда!CM13</f>
        <v>0</v>
      </c>
      <c r="CN198" s="473">
        <f>блюда!CN13</f>
        <v>0</v>
      </c>
      <c r="CO198" s="473">
        <f>блюда!CO13</f>
        <v>0</v>
      </c>
      <c r="CP198" s="473">
        <f>блюда!CP13</f>
        <v>0</v>
      </c>
      <c r="CQ198" s="473">
        <f>блюда!CQ13</f>
        <v>0</v>
      </c>
      <c r="CR198" s="473">
        <f>блюда!CR13</f>
        <v>0</v>
      </c>
      <c r="CS198" s="473">
        <f>блюда!CS13</f>
        <v>0</v>
      </c>
      <c r="CT198" s="473">
        <f>блюда!CT13</f>
        <v>0</v>
      </c>
      <c r="CU198" s="473">
        <f>блюда!CU13</f>
        <v>0</v>
      </c>
      <c r="CV198" s="473">
        <f>блюда!CV13</f>
        <v>0</v>
      </c>
      <c r="CW198" s="473">
        <f>блюда!CW13</f>
        <v>0</v>
      </c>
      <c r="CX198" s="473">
        <f>блюда!CX13</f>
        <v>0</v>
      </c>
      <c r="CY198" s="473">
        <f>блюда!CY13</f>
        <v>0</v>
      </c>
      <c r="CZ198" s="473">
        <f>блюда!CZ13</f>
        <v>0</v>
      </c>
      <c r="DA198" s="473">
        <f>блюда!DA13</f>
        <v>0</v>
      </c>
      <c r="DB198" s="473">
        <f>блюда!DB13</f>
        <v>0</v>
      </c>
      <c r="DC198" s="473">
        <f>блюда!DC13</f>
        <v>0</v>
      </c>
      <c r="DD198" s="473">
        <f>блюда!DD13</f>
        <v>0</v>
      </c>
      <c r="DE198" s="473">
        <f>блюда!DE13</f>
        <v>0</v>
      </c>
      <c r="DF198" s="473">
        <f>блюда!DF13</f>
        <v>0</v>
      </c>
      <c r="DG198" s="473">
        <f>блюда!DG13</f>
        <v>0</v>
      </c>
      <c r="DH198" s="473">
        <f>блюда!DH13</f>
        <v>0</v>
      </c>
      <c r="DI198" s="473">
        <f>блюда!DI13</f>
        <v>0</v>
      </c>
      <c r="DJ198" s="473">
        <f>блюда!DJ13</f>
        <v>0</v>
      </c>
      <c r="DK198" s="473">
        <f>блюда!DK13</f>
        <v>0</v>
      </c>
      <c r="DL198" s="473">
        <f>блюда!DL13</f>
        <v>0</v>
      </c>
      <c r="DM198" s="473">
        <f>блюда!DM13</f>
        <v>0</v>
      </c>
      <c r="DN198" s="473">
        <f>блюда!DN13</f>
        <v>0</v>
      </c>
      <c r="DO198" s="473">
        <f>блюда!DO13</f>
        <v>0</v>
      </c>
      <c r="DP198" s="473">
        <f>блюда!DP13</f>
        <v>0</v>
      </c>
      <c r="DQ198" s="473">
        <f>блюда!DQ13</f>
        <v>0</v>
      </c>
      <c r="DR198" s="473">
        <f>блюда!DR13</f>
        <v>0</v>
      </c>
      <c r="DS198" s="473">
        <f>блюда!DS13</f>
        <v>0</v>
      </c>
      <c r="DT198" s="473">
        <f>блюда!DT13</f>
        <v>0</v>
      </c>
      <c r="DU198" s="473">
        <f>блюда!DU13</f>
        <v>0</v>
      </c>
      <c r="DV198" s="473">
        <f>блюда!DV13</f>
        <v>0</v>
      </c>
      <c r="DW198" s="473">
        <f>блюда!DW13</f>
        <v>0</v>
      </c>
      <c r="DX198" s="473">
        <f>блюда!DX13</f>
        <v>0</v>
      </c>
      <c r="DY198" s="473">
        <f>блюда!DY13</f>
        <v>0</v>
      </c>
      <c r="DZ198" s="473">
        <f>блюда!DZ13</f>
        <v>0</v>
      </c>
      <c r="EA198" s="473">
        <f>блюда!EA13</f>
        <v>0</v>
      </c>
      <c r="EB198" s="473">
        <f>блюда!EB13</f>
        <v>0</v>
      </c>
      <c r="EC198" s="473">
        <f>блюда!EC13</f>
        <v>0</v>
      </c>
      <c r="ED198" s="473">
        <f>блюда!ED13</f>
        <v>0</v>
      </c>
      <c r="EE198" s="473">
        <f>блюда!EE13</f>
        <v>0</v>
      </c>
      <c r="EF198" s="473">
        <f>блюда!EF13</f>
        <v>0</v>
      </c>
      <c r="EG198" s="473">
        <f>блюда!EG13</f>
        <v>0</v>
      </c>
      <c r="EH198" s="473">
        <f>блюда!EH13</f>
        <v>0</v>
      </c>
      <c r="EI198" s="473">
        <f>блюда!EI13</f>
        <v>0</v>
      </c>
      <c r="EJ198" s="473">
        <f>блюда!EJ13</f>
        <v>0</v>
      </c>
      <c r="EK198" s="473">
        <f>блюда!EK13</f>
        <v>0</v>
      </c>
      <c r="EL198" s="473">
        <f>блюда!EL13</f>
        <v>0</v>
      </c>
      <c r="EM198" s="473">
        <f>блюда!EM13</f>
        <v>0</v>
      </c>
      <c r="EN198" s="473">
        <f>блюда!EN13</f>
        <v>0</v>
      </c>
      <c r="EO198" s="473">
        <f>блюда!EO13</f>
        <v>0</v>
      </c>
      <c r="EP198" s="473">
        <f>блюда!EP13</f>
        <v>0</v>
      </c>
      <c r="EQ198" s="473">
        <f>блюда!EQ13</f>
        <v>0</v>
      </c>
      <c r="ER198" s="473">
        <f>блюда!ER13</f>
        <v>0</v>
      </c>
      <c r="ES198" s="473">
        <f>блюда!ES13</f>
        <v>0</v>
      </c>
      <c r="ET198" s="473">
        <f>блюда!ET13</f>
        <v>0</v>
      </c>
      <c r="EU198" s="473">
        <f>блюда!EU13</f>
        <v>0</v>
      </c>
      <c r="EV198" s="473">
        <f>блюда!EV13</f>
        <v>0</v>
      </c>
      <c r="EW198" s="473">
        <f>блюда!EW13</f>
        <v>0</v>
      </c>
      <c r="EX198" s="473">
        <f>блюда!EX13</f>
        <v>0</v>
      </c>
      <c r="EY198" s="927">
        <f t="shared" ref="EY198:EY205" si="133">SUM(J198:EX198)</f>
        <v>0.01</v>
      </c>
      <c r="EZ198" s="431">
        <f>блюда!EZ288</f>
        <v>0</v>
      </c>
      <c r="FA198" s="431">
        <f>блюда!FA288</f>
        <v>0</v>
      </c>
      <c r="FB198" s="431">
        <f>блюда!FB288</f>
        <v>0</v>
      </c>
      <c r="FC198" s="431">
        <f>блюда!FC288</f>
        <v>0</v>
      </c>
      <c r="FD198" s="431">
        <f>блюда!FD288</f>
        <v>0</v>
      </c>
      <c r="FE198" s="431">
        <f>блюда!FE288</f>
        <v>0</v>
      </c>
      <c r="FF198" s="431">
        <f>блюда!FF288</f>
        <v>0</v>
      </c>
      <c r="FG198" s="431">
        <f>блюда!FG288</f>
        <v>0</v>
      </c>
      <c r="FH198" s="431">
        <f>блюда!FH288</f>
        <v>0</v>
      </c>
      <c r="FI198" s="431">
        <f>блюда!FI288</f>
        <v>0</v>
      </c>
      <c r="FJ198" s="431">
        <f>блюда!FJ288</f>
        <v>0</v>
      </c>
      <c r="FK198" s="431">
        <f>блюда!FK288</f>
        <v>0</v>
      </c>
      <c r="FL198" s="431">
        <f>блюда!FL288</f>
        <v>0</v>
      </c>
    </row>
    <row r="199" spans="1:168" x14ac:dyDescent="0.25">
      <c r="A199" s="1463"/>
      <c r="B199" s="943" t="str">
        <f>блюда!B16</f>
        <v xml:space="preserve">Сыр российский (порциями) </v>
      </c>
      <c r="C199" s="250">
        <f>блюда!C16</f>
        <v>20</v>
      </c>
      <c r="D199" s="431">
        <f>блюда!D16</f>
        <v>4.6399999999999997</v>
      </c>
      <c r="E199" s="431">
        <f>блюда!E16</f>
        <v>5.9</v>
      </c>
      <c r="F199" s="431">
        <f>блюда!F16</f>
        <v>2</v>
      </c>
      <c r="G199" s="250">
        <f>блюда!G16</f>
        <v>72</v>
      </c>
      <c r="H199" s="250">
        <f>блюда!H16</f>
        <v>15</v>
      </c>
      <c r="I199" s="431">
        <f>блюда!I16</f>
        <v>15.1</v>
      </c>
      <c r="J199" s="473">
        <f>блюда!J16</f>
        <v>0</v>
      </c>
      <c r="K199" s="473">
        <f>блюда!K16</f>
        <v>0</v>
      </c>
      <c r="L199" s="473">
        <f>блюда!L16</f>
        <v>0</v>
      </c>
      <c r="M199" s="473">
        <f>блюда!M16</f>
        <v>0</v>
      </c>
      <c r="N199" s="473">
        <f>блюда!N16</f>
        <v>0</v>
      </c>
      <c r="O199" s="473">
        <f>блюда!O16</f>
        <v>0</v>
      </c>
      <c r="P199" s="473">
        <f>блюда!P16</f>
        <v>0</v>
      </c>
      <c r="Q199" s="473">
        <f>блюда!Q16</f>
        <v>0</v>
      </c>
      <c r="R199" s="473">
        <f>блюда!R16</f>
        <v>0</v>
      </c>
      <c r="S199" s="473">
        <f>блюда!S16</f>
        <v>0</v>
      </c>
      <c r="T199" s="473">
        <f>блюда!T16</f>
        <v>0</v>
      </c>
      <c r="U199" s="473">
        <f>блюда!U16</f>
        <v>0</v>
      </c>
      <c r="V199" s="473">
        <f>блюда!V16</f>
        <v>0</v>
      </c>
      <c r="W199" s="473">
        <f>блюда!W16</f>
        <v>2.1000000000000001E-2</v>
      </c>
      <c r="X199" s="473">
        <f>блюда!X16</f>
        <v>0</v>
      </c>
      <c r="Y199" s="473">
        <f>блюда!Y16</f>
        <v>0</v>
      </c>
      <c r="Z199" s="473">
        <f>блюда!Z16</f>
        <v>0</v>
      </c>
      <c r="AA199" s="473">
        <f>блюда!AA16</f>
        <v>0</v>
      </c>
      <c r="AB199" s="473">
        <f>блюда!AB16</f>
        <v>0</v>
      </c>
      <c r="AC199" s="473">
        <f>блюда!AC16</f>
        <v>0</v>
      </c>
      <c r="AD199" s="473">
        <f>блюда!AD16</f>
        <v>0</v>
      </c>
      <c r="AE199" s="473">
        <f>блюда!AE16</f>
        <v>0</v>
      </c>
      <c r="AF199" s="473">
        <f>блюда!AF16</f>
        <v>0</v>
      </c>
      <c r="AG199" s="473">
        <f>блюда!AG16</f>
        <v>0</v>
      </c>
      <c r="AH199" s="473">
        <f>блюда!AH16</f>
        <v>0</v>
      </c>
      <c r="AI199" s="473">
        <f>блюда!AI16</f>
        <v>0</v>
      </c>
      <c r="AJ199" s="473">
        <f>блюда!AJ16</f>
        <v>0</v>
      </c>
      <c r="AK199" s="473">
        <f>блюда!AK16</f>
        <v>0</v>
      </c>
      <c r="AL199" s="473">
        <f>блюда!AL16</f>
        <v>0</v>
      </c>
      <c r="AM199" s="473">
        <f>блюда!AM16</f>
        <v>0</v>
      </c>
      <c r="AN199" s="473">
        <f>блюда!AN16</f>
        <v>0</v>
      </c>
      <c r="AO199" s="473">
        <f>блюда!AO16</f>
        <v>0</v>
      </c>
      <c r="AP199" s="473">
        <f>блюда!AP16</f>
        <v>0</v>
      </c>
      <c r="AQ199" s="473">
        <f>блюда!AQ16</f>
        <v>0</v>
      </c>
      <c r="AR199" s="473">
        <f>блюда!AR16</f>
        <v>0</v>
      </c>
      <c r="AS199" s="473">
        <f>блюда!AS16</f>
        <v>0</v>
      </c>
      <c r="AT199" s="473">
        <f>блюда!AT16</f>
        <v>0</v>
      </c>
      <c r="AU199" s="473">
        <f>блюда!AU16</f>
        <v>0</v>
      </c>
      <c r="AV199" s="473">
        <f>блюда!AV16</f>
        <v>0</v>
      </c>
      <c r="AW199" s="473">
        <f>блюда!AW16</f>
        <v>0</v>
      </c>
      <c r="AX199" s="473">
        <f>блюда!AX16</f>
        <v>0</v>
      </c>
      <c r="AY199" s="473">
        <f>блюда!AY16</f>
        <v>0</v>
      </c>
      <c r="AZ199" s="473">
        <f>блюда!AZ16</f>
        <v>0</v>
      </c>
      <c r="BA199" s="473">
        <f>блюда!BA16</f>
        <v>0</v>
      </c>
      <c r="BB199" s="473">
        <f>блюда!BB16</f>
        <v>0</v>
      </c>
      <c r="BC199" s="473">
        <f>блюда!BC16</f>
        <v>0</v>
      </c>
      <c r="BD199" s="473">
        <f>блюда!BD16</f>
        <v>0</v>
      </c>
      <c r="BE199" s="473">
        <f>блюда!BE16</f>
        <v>0</v>
      </c>
      <c r="BF199" s="473">
        <f>блюда!BF16</f>
        <v>0</v>
      </c>
      <c r="BG199" s="473">
        <f>блюда!BG16</f>
        <v>0</v>
      </c>
      <c r="BH199" s="473">
        <f>блюда!BH16</f>
        <v>0</v>
      </c>
      <c r="BI199" s="473">
        <f>блюда!BI16</f>
        <v>0</v>
      </c>
      <c r="BJ199" s="473">
        <f>блюда!BJ16</f>
        <v>0</v>
      </c>
      <c r="BK199" s="473">
        <f>блюда!BK16</f>
        <v>0</v>
      </c>
      <c r="BL199" s="473">
        <f>блюда!BL16</f>
        <v>0</v>
      </c>
      <c r="BM199" s="473">
        <f>блюда!BM16</f>
        <v>0</v>
      </c>
      <c r="BN199" s="473">
        <f>блюда!BN16</f>
        <v>0</v>
      </c>
      <c r="BO199" s="473">
        <f>блюда!BO16</f>
        <v>0</v>
      </c>
      <c r="BP199" s="473">
        <f>блюда!BP16</f>
        <v>0</v>
      </c>
      <c r="BQ199" s="473">
        <f>блюда!BQ16</f>
        <v>0</v>
      </c>
      <c r="BR199" s="473">
        <f>блюда!BR16</f>
        <v>0</v>
      </c>
      <c r="BS199" s="473">
        <f>блюда!BS16</f>
        <v>0</v>
      </c>
      <c r="BT199" s="473">
        <f>блюда!BT16</f>
        <v>0</v>
      </c>
      <c r="BU199" s="473">
        <f>блюда!BU16</f>
        <v>0</v>
      </c>
      <c r="BV199" s="473">
        <f>блюда!BV16</f>
        <v>0</v>
      </c>
      <c r="BW199" s="473">
        <f>блюда!BW16</f>
        <v>0</v>
      </c>
      <c r="BX199" s="473">
        <f>блюда!BX16</f>
        <v>0</v>
      </c>
      <c r="BY199" s="473">
        <f>блюда!BY16</f>
        <v>0</v>
      </c>
      <c r="BZ199" s="473">
        <f>блюда!BZ16</f>
        <v>0</v>
      </c>
      <c r="CA199" s="473">
        <f>блюда!CA16</f>
        <v>0</v>
      </c>
      <c r="CB199" s="473">
        <f>блюда!CB16</f>
        <v>0</v>
      </c>
      <c r="CC199" s="473">
        <f>блюда!CC16</f>
        <v>0</v>
      </c>
      <c r="CD199" s="473">
        <f>блюда!CD16</f>
        <v>0</v>
      </c>
      <c r="CE199" s="473">
        <f>блюда!CE16</f>
        <v>0</v>
      </c>
      <c r="CF199" s="473">
        <f>блюда!CF16</f>
        <v>0</v>
      </c>
      <c r="CG199" s="473">
        <f>блюда!CG16</f>
        <v>0</v>
      </c>
      <c r="CH199" s="473">
        <f>блюда!CH16</f>
        <v>0</v>
      </c>
      <c r="CI199" s="473">
        <f>блюда!CI16</f>
        <v>0</v>
      </c>
      <c r="CJ199" s="473">
        <f>блюда!CJ16</f>
        <v>0</v>
      </c>
      <c r="CK199" s="473">
        <f>блюда!CK16</f>
        <v>0</v>
      </c>
      <c r="CL199" s="473">
        <f>блюда!CL16</f>
        <v>0</v>
      </c>
      <c r="CM199" s="473">
        <f>блюда!CM16</f>
        <v>0</v>
      </c>
      <c r="CN199" s="473">
        <f>блюда!CN16</f>
        <v>0</v>
      </c>
      <c r="CO199" s="473">
        <f>блюда!CO16</f>
        <v>0</v>
      </c>
      <c r="CP199" s="473">
        <f>блюда!CP16</f>
        <v>0</v>
      </c>
      <c r="CQ199" s="473">
        <f>блюда!CQ16</f>
        <v>0</v>
      </c>
      <c r="CR199" s="473">
        <f>блюда!CR16</f>
        <v>0</v>
      </c>
      <c r="CS199" s="473">
        <f>блюда!CS16</f>
        <v>0</v>
      </c>
      <c r="CT199" s="473">
        <f>блюда!CT16</f>
        <v>0</v>
      </c>
      <c r="CU199" s="473">
        <f>блюда!CU16</f>
        <v>0</v>
      </c>
      <c r="CV199" s="473">
        <f>блюда!CV16</f>
        <v>0</v>
      </c>
      <c r="CW199" s="473">
        <f>блюда!CW16</f>
        <v>0</v>
      </c>
      <c r="CX199" s="473">
        <f>блюда!CX16</f>
        <v>0</v>
      </c>
      <c r="CY199" s="473">
        <f>блюда!CY16</f>
        <v>0</v>
      </c>
      <c r="CZ199" s="473">
        <f>блюда!CZ16</f>
        <v>0</v>
      </c>
      <c r="DA199" s="473">
        <f>блюда!DA16</f>
        <v>0</v>
      </c>
      <c r="DB199" s="473">
        <f>блюда!DB16</f>
        <v>0</v>
      </c>
      <c r="DC199" s="473">
        <f>блюда!DC16</f>
        <v>0</v>
      </c>
      <c r="DD199" s="473">
        <f>блюда!DD16</f>
        <v>0</v>
      </c>
      <c r="DE199" s="473">
        <f>блюда!DE16</f>
        <v>0</v>
      </c>
      <c r="DF199" s="473">
        <f>блюда!DF16</f>
        <v>0</v>
      </c>
      <c r="DG199" s="473">
        <f>блюда!DG16</f>
        <v>0</v>
      </c>
      <c r="DH199" s="473">
        <f>блюда!DH16</f>
        <v>0</v>
      </c>
      <c r="DI199" s="473">
        <f>блюда!DI16</f>
        <v>0</v>
      </c>
      <c r="DJ199" s="473">
        <f>блюда!DJ16</f>
        <v>0</v>
      </c>
      <c r="DK199" s="473">
        <f>блюда!DK16</f>
        <v>0</v>
      </c>
      <c r="DL199" s="473">
        <f>блюда!DL16</f>
        <v>0</v>
      </c>
      <c r="DM199" s="473">
        <f>блюда!DM16</f>
        <v>0</v>
      </c>
      <c r="DN199" s="473">
        <f>блюда!DN16</f>
        <v>0</v>
      </c>
      <c r="DO199" s="473">
        <f>блюда!DO16</f>
        <v>0</v>
      </c>
      <c r="DP199" s="473">
        <f>блюда!DP16</f>
        <v>0</v>
      </c>
      <c r="DQ199" s="473">
        <f>блюда!DQ16</f>
        <v>0</v>
      </c>
      <c r="DR199" s="473">
        <f>блюда!DR16</f>
        <v>0</v>
      </c>
      <c r="DS199" s="473">
        <f>блюда!DS16</f>
        <v>0</v>
      </c>
      <c r="DT199" s="473">
        <f>блюда!DT16</f>
        <v>0</v>
      </c>
      <c r="DU199" s="473">
        <f>блюда!DU16</f>
        <v>0</v>
      </c>
      <c r="DV199" s="473">
        <f>блюда!DV16</f>
        <v>0</v>
      </c>
      <c r="DW199" s="473">
        <f>блюда!DW16</f>
        <v>0</v>
      </c>
      <c r="DX199" s="473">
        <f>блюда!DX16</f>
        <v>0</v>
      </c>
      <c r="DY199" s="473">
        <f>блюда!DY16</f>
        <v>0</v>
      </c>
      <c r="DZ199" s="473">
        <f>блюда!DZ16</f>
        <v>0</v>
      </c>
      <c r="EA199" s="473">
        <f>блюда!EA16</f>
        <v>0</v>
      </c>
      <c r="EB199" s="473">
        <f>блюда!EB16</f>
        <v>0</v>
      </c>
      <c r="EC199" s="473">
        <f>блюда!EC16</f>
        <v>0</v>
      </c>
      <c r="ED199" s="473">
        <f>блюда!ED16</f>
        <v>0</v>
      </c>
      <c r="EE199" s="473">
        <f>блюда!EE16</f>
        <v>0</v>
      </c>
      <c r="EF199" s="473">
        <f>блюда!EF16</f>
        <v>0</v>
      </c>
      <c r="EG199" s="473">
        <f>блюда!EG16</f>
        <v>0</v>
      </c>
      <c r="EH199" s="473">
        <f>блюда!EH16</f>
        <v>0</v>
      </c>
      <c r="EI199" s="473">
        <f>блюда!EI16</f>
        <v>0</v>
      </c>
      <c r="EJ199" s="473">
        <f>блюда!EJ16</f>
        <v>0</v>
      </c>
      <c r="EK199" s="473">
        <f>блюда!EK16</f>
        <v>0</v>
      </c>
      <c r="EL199" s="473">
        <f>блюда!EL16</f>
        <v>0</v>
      </c>
      <c r="EM199" s="473">
        <f>блюда!EM16</f>
        <v>0</v>
      </c>
      <c r="EN199" s="473">
        <f>блюда!EN16</f>
        <v>0</v>
      </c>
      <c r="EO199" s="473">
        <f>блюда!EO16</f>
        <v>0</v>
      </c>
      <c r="EP199" s="473">
        <f>блюда!EP16</f>
        <v>0</v>
      </c>
      <c r="EQ199" s="473">
        <f>блюда!EQ16</f>
        <v>0</v>
      </c>
      <c r="ER199" s="473">
        <f>блюда!ER16</f>
        <v>0</v>
      </c>
      <c r="ES199" s="473">
        <f>блюда!ES16</f>
        <v>0</v>
      </c>
      <c r="ET199" s="473">
        <f>блюда!ET16</f>
        <v>0</v>
      </c>
      <c r="EU199" s="473">
        <f>блюда!EU16</f>
        <v>0</v>
      </c>
      <c r="EV199" s="473">
        <f>блюда!EV16</f>
        <v>0</v>
      </c>
      <c r="EW199" s="473">
        <f>блюда!EW16</f>
        <v>0</v>
      </c>
      <c r="EX199" s="473">
        <f>блюда!EX16</f>
        <v>0</v>
      </c>
      <c r="EY199" s="927">
        <f t="shared" si="133"/>
        <v>2.1000000000000001E-2</v>
      </c>
      <c r="EZ199" s="431">
        <f>блюда!EZ332</f>
        <v>0</v>
      </c>
      <c r="FA199" s="431">
        <f>блюда!FA332</f>
        <v>0</v>
      </c>
      <c r="FB199" s="431">
        <f>блюда!FB332</f>
        <v>0</v>
      </c>
      <c r="FC199" s="431">
        <f>блюда!FC332</f>
        <v>0</v>
      </c>
      <c r="FD199" s="431">
        <f>блюда!FD332</f>
        <v>0</v>
      </c>
      <c r="FE199" s="431">
        <f>блюда!FE332</f>
        <v>0</v>
      </c>
      <c r="FF199" s="431">
        <f>блюда!FF332</f>
        <v>0</v>
      </c>
      <c r="FG199" s="431">
        <f>блюда!FG332</f>
        <v>0</v>
      </c>
      <c r="FH199" s="431">
        <f>блюда!FH332</f>
        <v>0</v>
      </c>
      <c r="FI199" s="431">
        <f>блюда!FI332</f>
        <v>0</v>
      </c>
      <c r="FJ199" s="431">
        <f>блюда!FJ332</f>
        <v>0</v>
      </c>
      <c r="FK199" s="431">
        <f>блюда!FK332</f>
        <v>0</v>
      </c>
      <c r="FL199" s="431">
        <f>блюда!FL332</f>
        <v>0</v>
      </c>
    </row>
    <row r="200" spans="1:168" x14ac:dyDescent="0.25">
      <c r="A200" s="1463"/>
      <c r="B200" s="943" t="str">
        <f>блюда!B332</f>
        <v>Хлеб пшеничный нарезной</v>
      </c>
      <c r="C200" s="250">
        <f>блюда!C332</f>
        <v>30</v>
      </c>
      <c r="D200" s="431">
        <f>блюда!D332</f>
        <v>3.21</v>
      </c>
      <c r="E200" s="431">
        <f>блюда!E332</f>
        <v>1.35</v>
      </c>
      <c r="F200" s="431">
        <f>блюда!F332</f>
        <v>13.05</v>
      </c>
      <c r="G200" s="250">
        <f>блюда!G332</f>
        <v>82</v>
      </c>
      <c r="H200" s="250" t="str">
        <f>блюда!H332</f>
        <v>ПРОМ</v>
      </c>
      <c r="I200" s="431">
        <f>блюда!I332</f>
        <v>1.95</v>
      </c>
      <c r="J200" s="473">
        <f>блюда!J332</f>
        <v>0</v>
      </c>
      <c r="K200" s="473">
        <f>блюда!K332</f>
        <v>0</v>
      </c>
      <c r="L200" s="473">
        <f>блюда!L332</f>
        <v>0</v>
      </c>
      <c r="M200" s="473">
        <f>блюда!M332</f>
        <v>0</v>
      </c>
      <c r="N200" s="473">
        <f>блюда!N332</f>
        <v>0</v>
      </c>
      <c r="O200" s="473">
        <f>блюда!O332</f>
        <v>0</v>
      </c>
      <c r="P200" s="473">
        <f>блюда!P332</f>
        <v>0</v>
      </c>
      <c r="Q200" s="473">
        <f>блюда!Q332</f>
        <v>0</v>
      </c>
      <c r="R200" s="473">
        <f>блюда!R332</f>
        <v>0</v>
      </c>
      <c r="S200" s="473">
        <f>блюда!S332</f>
        <v>0</v>
      </c>
      <c r="T200" s="473">
        <f>блюда!T332</f>
        <v>0</v>
      </c>
      <c r="U200" s="473">
        <f>блюда!U332</f>
        <v>0</v>
      </c>
      <c r="V200" s="473">
        <f>блюда!V332</f>
        <v>0</v>
      </c>
      <c r="W200" s="473">
        <f>блюда!W332</f>
        <v>0</v>
      </c>
      <c r="X200" s="473">
        <f>блюда!X332</f>
        <v>0</v>
      </c>
      <c r="Y200" s="473">
        <f>блюда!Y332</f>
        <v>0</v>
      </c>
      <c r="Z200" s="473">
        <f>блюда!Z332</f>
        <v>0</v>
      </c>
      <c r="AA200" s="473">
        <f>блюда!AA332</f>
        <v>0</v>
      </c>
      <c r="AB200" s="473">
        <f>блюда!AB332</f>
        <v>0</v>
      </c>
      <c r="AC200" s="473">
        <f>блюда!AC332</f>
        <v>0</v>
      </c>
      <c r="AD200" s="473">
        <f>блюда!AD332</f>
        <v>0</v>
      </c>
      <c r="AE200" s="473">
        <f>блюда!AE332</f>
        <v>0</v>
      </c>
      <c r="AF200" s="473">
        <f>блюда!AF332</f>
        <v>0</v>
      </c>
      <c r="AG200" s="473">
        <f>блюда!AG332</f>
        <v>0</v>
      </c>
      <c r="AH200" s="473">
        <f>блюда!AH332</f>
        <v>0</v>
      </c>
      <c r="AI200" s="473">
        <f>блюда!AI332</f>
        <v>0</v>
      </c>
      <c r="AJ200" s="473">
        <f>блюда!AJ332</f>
        <v>0</v>
      </c>
      <c r="AK200" s="473">
        <f>блюда!AK332</f>
        <v>0</v>
      </c>
      <c r="AL200" s="473">
        <f>блюда!AL332</f>
        <v>0</v>
      </c>
      <c r="AM200" s="473">
        <f>блюда!AM332</f>
        <v>0</v>
      </c>
      <c r="AN200" s="473">
        <f>блюда!AN332</f>
        <v>0</v>
      </c>
      <c r="AO200" s="473">
        <f>блюда!AO332</f>
        <v>0</v>
      </c>
      <c r="AP200" s="473">
        <f>блюда!AP332</f>
        <v>0</v>
      </c>
      <c r="AQ200" s="473">
        <f>блюда!AQ332</f>
        <v>0</v>
      </c>
      <c r="AR200" s="473">
        <f>блюда!AR332</f>
        <v>0</v>
      </c>
      <c r="AS200" s="473">
        <f>блюда!AS332</f>
        <v>0</v>
      </c>
      <c r="AT200" s="473">
        <f>блюда!AT332</f>
        <v>0</v>
      </c>
      <c r="AU200" s="473">
        <f>блюда!AU332</f>
        <v>0</v>
      </c>
      <c r="AV200" s="473">
        <f>блюда!AV332</f>
        <v>0</v>
      </c>
      <c r="AW200" s="473">
        <f>блюда!AW332</f>
        <v>0</v>
      </c>
      <c r="AX200" s="473">
        <f>блюда!AX332</f>
        <v>0</v>
      </c>
      <c r="AY200" s="473">
        <f>блюда!AY332</f>
        <v>0</v>
      </c>
      <c r="AZ200" s="473">
        <f>блюда!AZ332</f>
        <v>0</v>
      </c>
      <c r="BA200" s="473">
        <f>блюда!BA332</f>
        <v>0</v>
      </c>
      <c r="BB200" s="473">
        <f>блюда!BB332</f>
        <v>0</v>
      </c>
      <c r="BC200" s="473">
        <f>блюда!BC332</f>
        <v>0</v>
      </c>
      <c r="BD200" s="473">
        <f>блюда!BD332</f>
        <v>0</v>
      </c>
      <c r="BE200" s="473">
        <f>блюда!BE332</f>
        <v>0</v>
      </c>
      <c r="BF200" s="473">
        <f>блюда!BF332</f>
        <v>0</v>
      </c>
      <c r="BG200" s="473">
        <f>блюда!BG332</f>
        <v>0</v>
      </c>
      <c r="BH200" s="473">
        <f>блюда!BH332</f>
        <v>0</v>
      </c>
      <c r="BI200" s="473">
        <f>блюда!BI332</f>
        <v>0</v>
      </c>
      <c r="BJ200" s="473">
        <f>блюда!BJ332</f>
        <v>0</v>
      </c>
      <c r="BK200" s="473">
        <f>блюда!BK332</f>
        <v>0</v>
      </c>
      <c r="BL200" s="473">
        <f>блюда!BL332</f>
        <v>0</v>
      </c>
      <c r="BM200" s="473">
        <f>блюда!BM332</f>
        <v>0</v>
      </c>
      <c r="BN200" s="473">
        <f>блюда!BN332</f>
        <v>0</v>
      </c>
      <c r="BO200" s="473">
        <f>блюда!BO332</f>
        <v>0</v>
      </c>
      <c r="BP200" s="473">
        <f>блюда!BP332</f>
        <v>0</v>
      </c>
      <c r="BQ200" s="473">
        <f>блюда!BQ332</f>
        <v>0</v>
      </c>
      <c r="BR200" s="473">
        <f>блюда!BR332</f>
        <v>0</v>
      </c>
      <c r="BS200" s="473">
        <f>блюда!BS332</f>
        <v>0</v>
      </c>
      <c r="BT200" s="473">
        <f>блюда!BT332</f>
        <v>0</v>
      </c>
      <c r="BU200" s="473">
        <f>блюда!BU332</f>
        <v>0</v>
      </c>
      <c r="BV200" s="473">
        <f>блюда!BV332</f>
        <v>0</v>
      </c>
      <c r="BW200" s="473">
        <f>блюда!BW332</f>
        <v>0</v>
      </c>
      <c r="BX200" s="473">
        <f>блюда!BX332</f>
        <v>0</v>
      </c>
      <c r="BY200" s="473">
        <f>блюда!BY332</f>
        <v>0</v>
      </c>
      <c r="BZ200" s="473">
        <f>блюда!BZ332</f>
        <v>0</v>
      </c>
      <c r="CA200" s="473">
        <f>блюда!CA332</f>
        <v>0</v>
      </c>
      <c r="CB200" s="473">
        <f>блюда!CB332</f>
        <v>0</v>
      </c>
      <c r="CC200" s="473">
        <f>блюда!CC332</f>
        <v>0</v>
      </c>
      <c r="CD200" s="473">
        <f>блюда!CD332</f>
        <v>0</v>
      </c>
      <c r="CE200" s="473">
        <f>блюда!CE332</f>
        <v>0</v>
      </c>
      <c r="CF200" s="473">
        <f>блюда!CF332</f>
        <v>0</v>
      </c>
      <c r="CG200" s="473">
        <f>блюда!CG332</f>
        <v>0</v>
      </c>
      <c r="CH200" s="473">
        <f>блюда!CH332</f>
        <v>0</v>
      </c>
      <c r="CI200" s="473">
        <f>блюда!CI332</f>
        <v>0</v>
      </c>
      <c r="CJ200" s="473">
        <f>блюда!CJ332</f>
        <v>0</v>
      </c>
      <c r="CK200" s="473">
        <f>блюда!CK332</f>
        <v>0</v>
      </c>
      <c r="CL200" s="473">
        <f>блюда!CL332</f>
        <v>0</v>
      </c>
      <c r="CM200" s="473">
        <f>блюда!CM332</f>
        <v>0</v>
      </c>
      <c r="CN200" s="473">
        <f>блюда!CN332</f>
        <v>0</v>
      </c>
      <c r="CO200" s="473">
        <f>блюда!CO332</f>
        <v>0</v>
      </c>
      <c r="CP200" s="473">
        <f>блюда!CP332</f>
        <v>0</v>
      </c>
      <c r="CQ200" s="473">
        <f>блюда!CQ332</f>
        <v>0</v>
      </c>
      <c r="CR200" s="473">
        <f>блюда!CR332</f>
        <v>0</v>
      </c>
      <c r="CS200" s="473">
        <f>блюда!CS332</f>
        <v>0</v>
      </c>
      <c r="CT200" s="473">
        <f>блюда!CT332</f>
        <v>0</v>
      </c>
      <c r="CU200" s="473">
        <f>блюда!CU332</f>
        <v>0</v>
      </c>
      <c r="CV200" s="473">
        <f>блюда!CV332</f>
        <v>0</v>
      </c>
      <c r="CW200" s="473">
        <f>блюда!CW332</f>
        <v>0</v>
      </c>
      <c r="CX200" s="473">
        <f>блюда!CX332</f>
        <v>0</v>
      </c>
      <c r="CY200" s="473">
        <f>блюда!CY332</f>
        <v>0</v>
      </c>
      <c r="CZ200" s="473">
        <f>блюда!CZ332</f>
        <v>0</v>
      </c>
      <c r="DA200" s="473">
        <f>блюда!DA332</f>
        <v>0</v>
      </c>
      <c r="DB200" s="473">
        <f>блюда!DB332</f>
        <v>0</v>
      </c>
      <c r="DC200" s="473">
        <f>блюда!DC332</f>
        <v>0</v>
      </c>
      <c r="DD200" s="473">
        <f>блюда!DD332</f>
        <v>0</v>
      </c>
      <c r="DE200" s="473">
        <f>блюда!DE332</f>
        <v>0</v>
      </c>
      <c r="DF200" s="473">
        <f>блюда!DF332</f>
        <v>0</v>
      </c>
      <c r="DG200" s="473">
        <f>блюда!DG332</f>
        <v>0</v>
      </c>
      <c r="DH200" s="473">
        <f>блюда!DH332</f>
        <v>0</v>
      </c>
      <c r="DI200" s="473">
        <f>блюда!DI332</f>
        <v>0</v>
      </c>
      <c r="DJ200" s="473">
        <f>блюда!DJ332</f>
        <v>0</v>
      </c>
      <c r="DK200" s="473">
        <f>блюда!DK332</f>
        <v>0</v>
      </c>
      <c r="DL200" s="473">
        <f>блюда!DL332</f>
        <v>0</v>
      </c>
      <c r="DM200" s="473">
        <f>блюда!DM332</f>
        <v>0</v>
      </c>
      <c r="DN200" s="473">
        <f>блюда!DN332</f>
        <v>0</v>
      </c>
      <c r="DO200" s="473">
        <f>блюда!DO332</f>
        <v>0</v>
      </c>
      <c r="DP200" s="473">
        <f>блюда!DP332</f>
        <v>0</v>
      </c>
      <c r="DQ200" s="473">
        <f>блюда!DQ332</f>
        <v>0</v>
      </c>
      <c r="DR200" s="473">
        <f>блюда!DR332</f>
        <v>0</v>
      </c>
      <c r="DS200" s="473">
        <f>блюда!DS332</f>
        <v>0</v>
      </c>
      <c r="DT200" s="473">
        <f>блюда!DT332</f>
        <v>0</v>
      </c>
      <c r="DU200" s="473">
        <f>блюда!DU332</f>
        <v>0</v>
      </c>
      <c r="DV200" s="473">
        <f>блюда!DV332</f>
        <v>0</v>
      </c>
      <c r="DW200" s="473">
        <f>блюда!DW332</f>
        <v>0</v>
      </c>
      <c r="DX200" s="473">
        <f>блюда!DX332</f>
        <v>0</v>
      </c>
      <c r="DY200" s="473">
        <f>блюда!DY332</f>
        <v>0</v>
      </c>
      <c r="DZ200" s="473">
        <f>блюда!DZ332</f>
        <v>0</v>
      </c>
      <c r="EA200" s="473">
        <f>блюда!EA332</f>
        <v>0</v>
      </c>
      <c r="EB200" s="473">
        <f>блюда!EB332</f>
        <v>0</v>
      </c>
      <c r="EC200" s="473">
        <f>блюда!EC332</f>
        <v>0</v>
      </c>
      <c r="ED200" s="473">
        <f>блюда!ED332</f>
        <v>0</v>
      </c>
      <c r="EE200" s="473">
        <f>блюда!EE332</f>
        <v>0</v>
      </c>
      <c r="EF200" s="473">
        <f>блюда!EF332</f>
        <v>0</v>
      </c>
      <c r="EG200" s="473">
        <f>блюда!EG332</f>
        <v>0</v>
      </c>
      <c r="EH200" s="473">
        <f>блюда!EH332</f>
        <v>0</v>
      </c>
      <c r="EI200" s="473">
        <f>блюда!EI332</f>
        <v>0</v>
      </c>
      <c r="EJ200" s="473">
        <f>блюда!EJ332</f>
        <v>0</v>
      </c>
      <c r="EK200" s="473">
        <f>блюда!EK332</f>
        <v>0</v>
      </c>
      <c r="EL200" s="473">
        <f>блюда!EL332</f>
        <v>0</v>
      </c>
      <c r="EM200" s="473">
        <f>блюда!EM332</f>
        <v>0</v>
      </c>
      <c r="EN200" s="473">
        <f>блюда!EN332</f>
        <v>0</v>
      </c>
      <c r="EO200" s="473">
        <f>блюда!EO332</f>
        <v>0</v>
      </c>
      <c r="EP200" s="473">
        <f>блюда!EP332</f>
        <v>0</v>
      </c>
      <c r="EQ200" s="473">
        <f>блюда!EQ332</f>
        <v>0</v>
      </c>
      <c r="ER200" s="473">
        <f>блюда!ER332</f>
        <v>0</v>
      </c>
      <c r="ES200" s="473">
        <f>блюда!ES332</f>
        <v>0</v>
      </c>
      <c r="ET200" s="473">
        <f>блюда!ET332</f>
        <v>0</v>
      </c>
      <c r="EU200" s="473">
        <f>блюда!EU332</f>
        <v>0</v>
      </c>
      <c r="EV200" s="473">
        <f>блюда!EV332</f>
        <v>0.03</v>
      </c>
      <c r="EW200" s="473">
        <f>блюда!EW332</f>
        <v>0</v>
      </c>
      <c r="EX200" s="473">
        <f>блюда!EX332</f>
        <v>0</v>
      </c>
      <c r="EY200" s="927">
        <f t="shared" si="133"/>
        <v>0.03</v>
      </c>
      <c r="EZ200" s="431">
        <f>блюда!EZ13</f>
        <v>0</v>
      </c>
      <c r="FA200" s="431">
        <f>блюда!FA13</f>
        <v>0</v>
      </c>
      <c r="FB200" s="431">
        <f>блюда!FB13</f>
        <v>0</v>
      </c>
      <c r="FC200" s="431">
        <f>блюда!FC13</f>
        <v>0</v>
      </c>
      <c r="FD200" s="431">
        <f>блюда!FD13</f>
        <v>0</v>
      </c>
      <c r="FE200" s="431">
        <f>блюда!FE13</f>
        <v>0</v>
      </c>
      <c r="FF200" s="431">
        <f>блюда!FF13</f>
        <v>0</v>
      </c>
      <c r="FG200" s="431">
        <f>блюда!FG13</f>
        <v>0</v>
      </c>
      <c r="FH200" s="431">
        <f>блюда!FH13</f>
        <v>0</v>
      </c>
      <c r="FI200" s="431">
        <f>блюда!FI13</f>
        <v>0</v>
      </c>
      <c r="FJ200" s="431">
        <f>блюда!FJ13</f>
        <v>0</v>
      </c>
      <c r="FK200" s="431">
        <f>блюда!FK13</f>
        <v>0</v>
      </c>
      <c r="FL200" s="431">
        <f>блюда!FL13</f>
        <v>0</v>
      </c>
    </row>
    <row r="201" spans="1:168" x14ac:dyDescent="0.25">
      <c r="A201" s="1463"/>
      <c r="B201" s="115" t="str">
        <f>блюда!B336</f>
        <v>Хлеб пшенично-ржаной нарезной</v>
      </c>
      <c r="C201" s="250">
        <f>блюда!C336</f>
        <v>20</v>
      </c>
      <c r="D201" s="431">
        <f>блюда!D336</f>
        <v>1.5</v>
      </c>
      <c r="E201" s="431">
        <f>блюда!E336</f>
        <v>0.4</v>
      </c>
      <c r="F201" s="431">
        <f>блюда!F336</f>
        <v>10.4</v>
      </c>
      <c r="G201" s="250">
        <f>блюда!G336</f>
        <v>50</v>
      </c>
      <c r="H201" s="250" t="str">
        <f>блюда!H336</f>
        <v>ПРОМ</v>
      </c>
      <c r="I201" s="431">
        <f>блюда!I336</f>
        <v>1.3</v>
      </c>
      <c r="J201" s="473">
        <f>блюда!J336</f>
        <v>0</v>
      </c>
      <c r="K201" s="473">
        <f>блюда!K336</f>
        <v>0</v>
      </c>
      <c r="L201" s="473">
        <f>блюда!L336</f>
        <v>0</v>
      </c>
      <c r="M201" s="473">
        <f>блюда!M336</f>
        <v>0</v>
      </c>
      <c r="N201" s="473">
        <f>блюда!N336</f>
        <v>0</v>
      </c>
      <c r="O201" s="473">
        <f>блюда!O336</f>
        <v>0</v>
      </c>
      <c r="P201" s="473">
        <f>блюда!P336</f>
        <v>0</v>
      </c>
      <c r="Q201" s="473">
        <f>блюда!Q336</f>
        <v>0</v>
      </c>
      <c r="R201" s="473">
        <f>блюда!R336</f>
        <v>0</v>
      </c>
      <c r="S201" s="473">
        <f>блюда!S336</f>
        <v>0</v>
      </c>
      <c r="T201" s="473">
        <f>блюда!T336</f>
        <v>0</v>
      </c>
      <c r="U201" s="473">
        <f>блюда!U336</f>
        <v>0</v>
      </c>
      <c r="V201" s="473">
        <f>блюда!V336</f>
        <v>0</v>
      </c>
      <c r="W201" s="473">
        <f>блюда!W336</f>
        <v>0</v>
      </c>
      <c r="X201" s="473">
        <f>блюда!X336</f>
        <v>0</v>
      </c>
      <c r="Y201" s="473">
        <f>блюда!Y336</f>
        <v>0</v>
      </c>
      <c r="Z201" s="473">
        <f>блюда!Z336</f>
        <v>0</v>
      </c>
      <c r="AA201" s="473">
        <f>блюда!AA336</f>
        <v>0</v>
      </c>
      <c r="AB201" s="473">
        <f>блюда!AB336</f>
        <v>0</v>
      </c>
      <c r="AC201" s="473">
        <f>блюда!AC336</f>
        <v>0</v>
      </c>
      <c r="AD201" s="473">
        <f>блюда!AD336</f>
        <v>0</v>
      </c>
      <c r="AE201" s="473">
        <f>блюда!AE336</f>
        <v>0</v>
      </c>
      <c r="AF201" s="473">
        <f>блюда!AF336</f>
        <v>0</v>
      </c>
      <c r="AG201" s="473">
        <f>блюда!AG336</f>
        <v>0</v>
      </c>
      <c r="AH201" s="473">
        <f>блюда!AH336</f>
        <v>0</v>
      </c>
      <c r="AI201" s="473">
        <f>блюда!AI336</f>
        <v>0</v>
      </c>
      <c r="AJ201" s="473">
        <f>блюда!AJ336</f>
        <v>0</v>
      </c>
      <c r="AK201" s="473">
        <f>блюда!AK336</f>
        <v>0</v>
      </c>
      <c r="AL201" s="473">
        <f>блюда!AL336</f>
        <v>0</v>
      </c>
      <c r="AM201" s="473">
        <f>блюда!AM336</f>
        <v>0</v>
      </c>
      <c r="AN201" s="473">
        <f>блюда!AN336</f>
        <v>0</v>
      </c>
      <c r="AO201" s="473">
        <f>блюда!AO336</f>
        <v>0</v>
      </c>
      <c r="AP201" s="473">
        <f>блюда!AP336</f>
        <v>0</v>
      </c>
      <c r="AQ201" s="473">
        <f>блюда!AQ336</f>
        <v>0</v>
      </c>
      <c r="AR201" s="473">
        <f>блюда!AR336</f>
        <v>0</v>
      </c>
      <c r="AS201" s="473">
        <f>блюда!AS336</f>
        <v>0</v>
      </c>
      <c r="AT201" s="473">
        <f>блюда!AT336</f>
        <v>0</v>
      </c>
      <c r="AU201" s="473">
        <f>блюда!AU336</f>
        <v>0</v>
      </c>
      <c r="AV201" s="473">
        <f>блюда!AV336</f>
        <v>0</v>
      </c>
      <c r="AW201" s="473">
        <f>блюда!AW336</f>
        <v>0</v>
      </c>
      <c r="AX201" s="473">
        <f>блюда!AX336</f>
        <v>0</v>
      </c>
      <c r="AY201" s="473">
        <f>блюда!AY336</f>
        <v>0</v>
      </c>
      <c r="AZ201" s="473">
        <f>блюда!AZ336</f>
        <v>0</v>
      </c>
      <c r="BA201" s="473">
        <f>блюда!BA336</f>
        <v>0</v>
      </c>
      <c r="BB201" s="473">
        <f>блюда!BB336</f>
        <v>0</v>
      </c>
      <c r="BC201" s="473">
        <f>блюда!BC336</f>
        <v>0</v>
      </c>
      <c r="BD201" s="473">
        <f>блюда!BD336</f>
        <v>0</v>
      </c>
      <c r="BE201" s="473">
        <f>блюда!BE336</f>
        <v>0</v>
      </c>
      <c r="BF201" s="473">
        <f>блюда!BF336</f>
        <v>0</v>
      </c>
      <c r="BG201" s="473">
        <f>блюда!BG336</f>
        <v>0</v>
      </c>
      <c r="BH201" s="473">
        <f>блюда!BH336</f>
        <v>0</v>
      </c>
      <c r="BI201" s="473">
        <f>блюда!BI336</f>
        <v>0</v>
      </c>
      <c r="BJ201" s="473">
        <f>блюда!BJ336</f>
        <v>0</v>
      </c>
      <c r="BK201" s="473">
        <f>блюда!BK336</f>
        <v>0</v>
      </c>
      <c r="BL201" s="473">
        <f>блюда!BL336</f>
        <v>0</v>
      </c>
      <c r="BM201" s="473">
        <f>блюда!BM336</f>
        <v>0</v>
      </c>
      <c r="BN201" s="473">
        <f>блюда!BN336</f>
        <v>0</v>
      </c>
      <c r="BO201" s="473">
        <f>блюда!BO336</f>
        <v>0</v>
      </c>
      <c r="BP201" s="473">
        <f>блюда!BP336</f>
        <v>0</v>
      </c>
      <c r="BQ201" s="473">
        <f>блюда!BQ336</f>
        <v>0</v>
      </c>
      <c r="BR201" s="473">
        <f>блюда!BR336</f>
        <v>0</v>
      </c>
      <c r="BS201" s="473">
        <f>блюда!BS336</f>
        <v>0</v>
      </c>
      <c r="BT201" s="473">
        <f>блюда!BT336</f>
        <v>0</v>
      </c>
      <c r="BU201" s="473">
        <f>блюда!BU336</f>
        <v>0</v>
      </c>
      <c r="BV201" s="473">
        <f>блюда!BV336</f>
        <v>0</v>
      </c>
      <c r="BW201" s="473">
        <f>блюда!BW336</f>
        <v>0</v>
      </c>
      <c r="BX201" s="473">
        <f>блюда!BX336</f>
        <v>0</v>
      </c>
      <c r="BY201" s="473">
        <f>блюда!BY336</f>
        <v>0</v>
      </c>
      <c r="BZ201" s="473">
        <f>блюда!BZ336</f>
        <v>0</v>
      </c>
      <c r="CA201" s="473">
        <f>блюда!CA336</f>
        <v>0</v>
      </c>
      <c r="CB201" s="473">
        <f>блюда!CB336</f>
        <v>0</v>
      </c>
      <c r="CC201" s="473">
        <f>блюда!CC336</f>
        <v>0</v>
      </c>
      <c r="CD201" s="473">
        <f>блюда!CD336</f>
        <v>0</v>
      </c>
      <c r="CE201" s="473">
        <f>блюда!CE336</f>
        <v>0</v>
      </c>
      <c r="CF201" s="473">
        <f>блюда!CF336</f>
        <v>0</v>
      </c>
      <c r="CG201" s="473">
        <f>блюда!CG336</f>
        <v>0</v>
      </c>
      <c r="CH201" s="473">
        <f>блюда!CH336</f>
        <v>0</v>
      </c>
      <c r="CI201" s="473">
        <f>блюда!CI336</f>
        <v>0</v>
      </c>
      <c r="CJ201" s="473">
        <f>блюда!CJ336</f>
        <v>0</v>
      </c>
      <c r="CK201" s="473">
        <f>блюда!CK336</f>
        <v>0</v>
      </c>
      <c r="CL201" s="473">
        <f>блюда!CL336</f>
        <v>0</v>
      </c>
      <c r="CM201" s="473">
        <f>блюда!CM336</f>
        <v>0</v>
      </c>
      <c r="CN201" s="473">
        <f>блюда!CN336</f>
        <v>0</v>
      </c>
      <c r="CO201" s="473">
        <f>блюда!CO336</f>
        <v>0</v>
      </c>
      <c r="CP201" s="473">
        <f>блюда!CP336</f>
        <v>0</v>
      </c>
      <c r="CQ201" s="473">
        <f>блюда!CQ336</f>
        <v>0</v>
      </c>
      <c r="CR201" s="473">
        <f>блюда!CR336</f>
        <v>0</v>
      </c>
      <c r="CS201" s="473">
        <f>блюда!CS336</f>
        <v>0</v>
      </c>
      <c r="CT201" s="473">
        <f>блюда!CT336</f>
        <v>0</v>
      </c>
      <c r="CU201" s="473">
        <f>блюда!CU336</f>
        <v>0</v>
      </c>
      <c r="CV201" s="473">
        <f>блюда!CV336</f>
        <v>0</v>
      </c>
      <c r="CW201" s="473">
        <f>блюда!CW336</f>
        <v>0</v>
      </c>
      <c r="CX201" s="473">
        <f>блюда!CX336</f>
        <v>0</v>
      </c>
      <c r="CY201" s="473">
        <f>блюда!CY336</f>
        <v>0</v>
      </c>
      <c r="CZ201" s="473">
        <f>блюда!CZ336</f>
        <v>0</v>
      </c>
      <c r="DA201" s="473">
        <f>блюда!DA336</f>
        <v>0</v>
      </c>
      <c r="DB201" s="473">
        <f>блюда!DB336</f>
        <v>0</v>
      </c>
      <c r="DC201" s="473">
        <f>блюда!DC336</f>
        <v>0</v>
      </c>
      <c r="DD201" s="473">
        <f>блюда!DD336</f>
        <v>0</v>
      </c>
      <c r="DE201" s="473">
        <f>блюда!DE336</f>
        <v>0</v>
      </c>
      <c r="DF201" s="473">
        <f>блюда!DF336</f>
        <v>0</v>
      </c>
      <c r="DG201" s="473">
        <f>блюда!DG336</f>
        <v>0</v>
      </c>
      <c r="DH201" s="473">
        <f>блюда!DH336</f>
        <v>0</v>
      </c>
      <c r="DI201" s="473">
        <f>блюда!DI336</f>
        <v>0</v>
      </c>
      <c r="DJ201" s="473">
        <f>блюда!DJ336</f>
        <v>0</v>
      </c>
      <c r="DK201" s="473">
        <f>блюда!DK336</f>
        <v>0</v>
      </c>
      <c r="DL201" s="473">
        <f>блюда!DL336</f>
        <v>0</v>
      </c>
      <c r="DM201" s="473">
        <f>блюда!DM336</f>
        <v>0</v>
      </c>
      <c r="DN201" s="473">
        <f>блюда!DN336</f>
        <v>0</v>
      </c>
      <c r="DO201" s="473">
        <f>блюда!DO336</f>
        <v>0</v>
      </c>
      <c r="DP201" s="473">
        <f>блюда!DP336</f>
        <v>0</v>
      </c>
      <c r="DQ201" s="473">
        <f>блюда!DQ336</f>
        <v>0</v>
      </c>
      <c r="DR201" s="473">
        <f>блюда!DR336</f>
        <v>0</v>
      </c>
      <c r="DS201" s="473">
        <f>блюда!DS336</f>
        <v>0</v>
      </c>
      <c r="DT201" s="473">
        <f>блюда!DT336</f>
        <v>0</v>
      </c>
      <c r="DU201" s="473">
        <f>блюда!DU336</f>
        <v>0</v>
      </c>
      <c r="DV201" s="473">
        <f>блюда!DV336</f>
        <v>0</v>
      </c>
      <c r="DW201" s="473">
        <f>блюда!DW336</f>
        <v>0</v>
      </c>
      <c r="DX201" s="473">
        <f>блюда!DX336</f>
        <v>0</v>
      </c>
      <c r="DY201" s="473">
        <f>блюда!DY336</f>
        <v>0</v>
      </c>
      <c r="DZ201" s="473">
        <f>блюда!DZ336</f>
        <v>0</v>
      </c>
      <c r="EA201" s="473">
        <f>блюда!EA336</f>
        <v>0</v>
      </c>
      <c r="EB201" s="473">
        <f>блюда!EB336</f>
        <v>0</v>
      </c>
      <c r="EC201" s="473">
        <f>блюда!EC336</f>
        <v>0</v>
      </c>
      <c r="ED201" s="473">
        <f>блюда!ED336</f>
        <v>0</v>
      </c>
      <c r="EE201" s="473">
        <f>блюда!EE336</f>
        <v>0</v>
      </c>
      <c r="EF201" s="473">
        <f>блюда!EF336</f>
        <v>0</v>
      </c>
      <c r="EG201" s="473">
        <f>блюда!EG336</f>
        <v>0</v>
      </c>
      <c r="EH201" s="473">
        <f>блюда!EH336</f>
        <v>0</v>
      </c>
      <c r="EI201" s="473">
        <f>блюда!EI336</f>
        <v>0</v>
      </c>
      <c r="EJ201" s="473">
        <f>блюда!EJ336</f>
        <v>0</v>
      </c>
      <c r="EK201" s="473">
        <f>блюда!EK336</f>
        <v>0</v>
      </c>
      <c r="EL201" s="473">
        <f>блюда!EL336</f>
        <v>0</v>
      </c>
      <c r="EM201" s="473">
        <f>блюда!EM336</f>
        <v>0</v>
      </c>
      <c r="EN201" s="473">
        <f>блюда!EN336</f>
        <v>0</v>
      </c>
      <c r="EO201" s="473">
        <f>блюда!EO336</f>
        <v>0</v>
      </c>
      <c r="EP201" s="473">
        <f>блюда!EP336</f>
        <v>0</v>
      </c>
      <c r="EQ201" s="473">
        <f>блюда!EQ336</f>
        <v>0</v>
      </c>
      <c r="ER201" s="473">
        <f>блюда!ER336</f>
        <v>0</v>
      </c>
      <c r="ES201" s="473">
        <f>блюда!ES336</f>
        <v>0</v>
      </c>
      <c r="ET201" s="473">
        <f>блюда!ET336</f>
        <v>0</v>
      </c>
      <c r="EU201" s="473">
        <f>блюда!EU336</f>
        <v>0</v>
      </c>
      <c r="EV201" s="473">
        <f>блюда!EV336</f>
        <v>0</v>
      </c>
      <c r="EW201" s="473">
        <f>блюда!EW336</f>
        <v>0.02</v>
      </c>
      <c r="EX201" s="473">
        <f>блюда!EX336</f>
        <v>0</v>
      </c>
      <c r="EY201" s="927">
        <f t="shared" si="133"/>
        <v>0.02</v>
      </c>
      <c r="EZ201" s="431">
        <f>блюда!EZ264</f>
        <v>0</v>
      </c>
      <c r="FA201" s="431">
        <f>блюда!FA264</f>
        <v>0</v>
      </c>
      <c r="FB201" s="431">
        <f>блюда!FB264</f>
        <v>0</v>
      </c>
      <c r="FC201" s="431">
        <f>блюда!FC264</f>
        <v>0</v>
      </c>
      <c r="FD201" s="431">
        <f>блюда!FD264</f>
        <v>0</v>
      </c>
      <c r="FE201" s="431">
        <f>блюда!FE264</f>
        <v>0</v>
      </c>
      <c r="FF201" s="431">
        <f>блюда!FF264</f>
        <v>0</v>
      </c>
      <c r="FG201" s="431">
        <f>блюда!FG264</f>
        <v>0</v>
      </c>
      <c r="FH201" s="431">
        <f>блюда!FH264</f>
        <v>0</v>
      </c>
      <c r="FI201" s="431">
        <f>блюда!FI264</f>
        <v>0</v>
      </c>
      <c r="FJ201" s="431">
        <f>блюда!FJ264</f>
        <v>0</v>
      </c>
      <c r="FK201" s="431">
        <f>блюда!FK264</f>
        <v>0</v>
      </c>
      <c r="FL201" s="431">
        <f>блюда!FL264</f>
        <v>0</v>
      </c>
    </row>
    <row r="202" spans="1:168" x14ac:dyDescent="0.25">
      <c r="A202" s="1463"/>
      <c r="B202" s="943" t="str">
        <f>блюда!B286</f>
        <v>Чай с сахаром</v>
      </c>
      <c r="C202" s="250">
        <f>блюда!C286</f>
        <v>200</v>
      </c>
      <c r="D202" s="431">
        <f>блюда!D286</f>
        <v>7.0000000000000007E-2</v>
      </c>
      <c r="E202" s="431">
        <f>блюда!E286</f>
        <v>0.02</v>
      </c>
      <c r="F202" s="431">
        <f>блюда!F286</f>
        <v>13.95</v>
      </c>
      <c r="G202" s="250">
        <f>блюда!G286</f>
        <v>56</v>
      </c>
      <c r="H202" s="250">
        <f>блюда!H286</f>
        <v>376</v>
      </c>
      <c r="I202" s="431">
        <f>блюда!I286</f>
        <v>1.59</v>
      </c>
      <c r="J202" s="473">
        <f>блюда!J286</f>
        <v>0</v>
      </c>
      <c r="K202" s="473">
        <f>блюда!K286</f>
        <v>0</v>
      </c>
      <c r="L202" s="473">
        <f>блюда!L286</f>
        <v>0</v>
      </c>
      <c r="M202" s="473">
        <f>блюда!M286</f>
        <v>0</v>
      </c>
      <c r="N202" s="473">
        <f>блюда!N286</f>
        <v>0</v>
      </c>
      <c r="O202" s="473">
        <f>блюда!O286</f>
        <v>0</v>
      </c>
      <c r="P202" s="473">
        <f>блюда!P286</f>
        <v>0</v>
      </c>
      <c r="Q202" s="473">
        <f>блюда!Q286</f>
        <v>0</v>
      </c>
      <c r="R202" s="473">
        <f>блюда!R286</f>
        <v>0</v>
      </c>
      <c r="S202" s="473">
        <f>блюда!S286</f>
        <v>0</v>
      </c>
      <c r="T202" s="473">
        <f>блюда!T286</f>
        <v>0</v>
      </c>
      <c r="U202" s="473">
        <f>блюда!U286</f>
        <v>0</v>
      </c>
      <c r="V202" s="473">
        <f>блюда!V286</f>
        <v>0</v>
      </c>
      <c r="W202" s="473">
        <f>блюда!W286</f>
        <v>0</v>
      </c>
      <c r="X202" s="473">
        <f>блюда!X286</f>
        <v>0</v>
      </c>
      <c r="Y202" s="473">
        <f>блюда!Y286</f>
        <v>0</v>
      </c>
      <c r="Z202" s="473">
        <f>блюда!Z286</f>
        <v>0</v>
      </c>
      <c r="AA202" s="473">
        <f>блюда!AA286</f>
        <v>0</v>
      </c>
      <c r="AB202" s="473">
        <f>блюда!AB286</f>
        <v>0</v>
      </c>
      <c r="AC202" s="473">
        <f>блюда!AC286</f>
        <v>0</v>
      </c>
      <c r="AD202" s="473">
        <f>блюда!AD286</f>
        <v>0</v>
      </c>
      <c r="AE202" s="473">
        <f>блюда!AE286</f>
        <v>0</v>
      </c>
      <c r="AF202" s="473">
        <f>блюда!AF286</f>
        <v>0</v>
      </c>
      <c r="AG202" s="473">
        <f>блюда!AG286</f>
        <v>0</v>
      </c>
      <c r="AH202" s="473">
        <f>блюда!AH286</f>
        <v>0</v>
      </c>
      <c r="AI202" s="473">
        <f>блюда!AI286</f>
        <v>0</v>
      </c>
      <c r="AJ202" s="473">
        <f>блюда!AJ286</f>
        <v>0</v>
      </c>
      <c r="AK202" s="473">
        <f>блюда!AK286</f>
        <v>0</v>
      </c>
      <c r="AL202" s="473">
        <f>блюда!AL286</f>
        <v>0</v>
      </c>
      <c r="AM202" s="473">
        <f>блюда!AM286</f>
        <v>0</v>
      </c>
      <c r="AN202" s="473">
        <f>блюда!AN286</f>
        <v>0</v>
      </c>
      <c r="AO202" s="473">
        <f>блюда!AO286</f>
        <v>0</v>
      </c>
      <c r="AP202" s="473">
        <f>блюда!AP286</f>
        <v>0</v>
      </c>
      <c r="AQ202" s="473">
        <f>блюда!AQ286</f>
        <v>0</v>
      </c>
      <c r="AR202" s="473">
        <f>блюда!AR286</f>
        <v>0</v>
      </c>
      <c r="AS202" s="473">
        <f>блюда!AS286</f>
        <v>0</v>
      </c>
      <c r="AT202" s="473">
        <f>блюда!AT286</f>
        <v>0</v>
      </c>
      <c r="AU202" s="473">
        <f>блюда!AU286</f>
        <v>0</v>
      </c>
      <c r="AV202" s="473">
        <f>блюда!AV286</f>
        <v>0</v>
      </c>
      <c r="AW202" s="473">
        <f>блюда!AW286</f>
        <v>0</v>
      </c>
      <c r="AX202" s="473">
        <f>блюда!AX286</f>
        <v>0</v>
      </c>
      <c r="AY202" s="473">
        <f>блюда!AY286</f>
        <v>0</v>
      </c>
      <c r="AZ202" s="473">
        <f>блюда!AZ286</f>
        <v>0</v>
      </c>
      <c r="BA202" s="473">
        <f>блюда!BA286</f>
        <v>0</v>
      </c>
      <c r="BB202" s="473">
        <f>блюда!BB286</f>
        <v>0</v>
      </c>
      <c r="BC202" s="473">
        <f>блюда!BC286</f>
        <v>0</v>
      </c>
      <c r="BD202" s="473">
        <f>блюда!BD286</f>
        <v>0</v>
      </c>
      <c r="BE202" s="473">
        <f>блюда!BE286</f>
        <v>0</v>
      </c>
      <c r="BF202" s="473">
        <f>блюда!BF286</f>
        <v>0</v>
      </c>
      <c r="BG202" s="473">
        <f>блюда!BG286</f>
        <v>0</v>
      </c>
      <c r="BH202" s="473">
        <f>блюда!BH286</f>
        <v>0</v>
      </c>
      <c r="BI202" s="473">
        <f>блюда!BI286</f>
        <v>0</v>
      </c>
      <c r="BJ202" s="473">
        <f>блюда!BJ286</f>
        <v>0</v>
      </c>
      <c r="BK202" s="473">
        <f>блюда!BK286</f>
        <v>0</v>
      </c>
      <c r="BL202" s="473">
        <f>блюда!BL286</f>
        <v>0</v>
      </c>
      <c r="BM202" s="473">
        <f>блюда!BM286</f>
        <v>0</v>
      </c>
      <c r="BN202" s="473">
        <f>блюда!BN286</f>
        <v>0</v>
      </c>
      <c r="BO202" s="473">
        <f>блюда!BO286</f>
        <v>0</v>
      </c>
      <c r="BP202" s="473">
        <f>блюда!BP286</f>
        <v>0</v>
      </c>
      <c r="BQ202" s="473">
        <f>блюда!BQ286</f>
        <v>0</v>
      </c>
      <c r="BR202" s="473">
        <f>блюда!BR286</f>
        <v>0</v>
      </c>
      <c r="BS202" s="473">
        <f>блюда!BS286</f>
        <v>0</v>
      </c>
      <c r="BT202" s="473">
        <f>блюда!BT286</f>
        <v>0</v>
      </c>
      <c r="BU202" s="473">
        <f>блюда!BU286</f>
        <v>0</v>
      </c>
      <c r="BV202" s="473">
        <f>блюда!BV286</f>
        <v>0</v>
      </c>
      <c r="BW202" s="473">
        <f>блюда!BW286</f>
        <v>0</v>
      </c>
      <c r="BX202" s="473">
        <f>блюда!BX286</f>
        <v>0</v>
      </c>
      <c r="BY202" s="473">
        <f>блюда!BY286</f>
        <v>0</v>
      </c>
      <c r="BZ202" s="473">
        <f>блюда!BZ286</f>
        <v>0</v>
      </c>
      <c r="CA202" s="473">
        <f>блюда!CA286</f>
        <v>0</v>
      </c>
      <c r="CB202" s="473">
        <f>блюда!CB286</f>
        <v>0</v>
      </c>
      <c r="CC202" s="473">
        <f>блюда!CC286</f>
        <v>0</v>
      </c>
      <c r="CD202" s="473">
        <f>блюда!CD286</f>
        <v>0</v>
      </c>
      <c r="CE202" s="473">
        <f>блюда!CE286</f>
        <v>0</v>
      </c>
      <c r="CF202" s="473">
        <f>блюда!CF286</f>
        <v>0</v>
      </c>
      <c r="CG202" s="473">
        <f>блюда!CG286</f>
        <v>0</v>
      </c>
      <c r="CH202" s="473">
        <f>блюда!CH286</f>
        <v>0</v>
      </c>
      <c r="CI202" s="473">
        <f>блюда!CI286</f>
        <v>0</v>
      </c>
      <c r="CJ202" s="473">
        <f>блюда!CJ286</f>
        <v>0</v>
      </c>
      <c r="CK202" s="473">
        <f>блюда!CK286</f>
        <v>0</v>
      </c>
      <c r="CL202" s="473">
        <f>блюда!CL286</f>
        <v>0</v>
      </c>
      <c r="CM202" s="473">
        <f>блюда!CM286</f>
        <v>0</v>
      </c>
      <c r="CN202" s="473">
        <f>блюда!CN286</f>
        <v>0</v>
      </c>
      <c r="CO202" s="473">
        <f>блюда!CO286</f>
        <v>0</v>
      </c>
      <c r="CP202" s="473">
        <f>блюда!CP286</f>
        <v>0</v>
      </c>
      <c r="CQ202" s="473">
        <f>блюда!CQ286</f>
        <v>0</v>
      </c>
      <c r="CR202" s="473">
        <f>блюда!CR286</f>
        <v>0</v>
      </c>
      <c r="CS202" s="473">
        <f>блюда!CS286</f>
        <v>0</v>
      </c>
      <c r="CT202" s="473">
        <f>блюда!CT286</f>
        <v>0</v>
      </c>
      <c r="CU202" s="473">
        <f>блюда!CU286</f>
        <v>0</v>
      </c>
      <c r="CV202" s="473">
        <f>блюда!CV286</f>
        <v>0</v>
      </c>
      <c r="CW202" s="473">
        <f>блюда!CW286</f>
        <v>0</v>
      </c>
      <c r="CX202" s="473">
        <f>блюда!CX286</f>
        <v>0</v>
      </c>
      <c r="CY202" s="473">
        <f>блюда!CY286</f>
        <v>0</v>
      </c>
      <c r="CZ202" s="473">
        <f>блюда!CZ286</f>
        <v>1.4999999999999999E-2</v>
      </c>
      <c r="DA202" s="473">
        <f>блюда!DA286</f>
        <v>0</v>
      </c>
      <c r="DB202" s="473">
        <f>блюда!DB286</f>
        <v>0</v>
      </c>
      <c r="DC202" s="473">
        <f>блюда!DC286</f>
        <v>0</v>
      </c>
      <c r="DD202" s="473">
        <f>блюда!DD286</f>
        <v>0</v>
      </c>
      <c r="DE202" s="473">
        <f>блюда!DE286</f>
        <v>0</v>
      </c>
      <c r="DF202" s="473">
        <f>блюда!DF286</f>
        <v>0</v>
      </c>
      <c r="DG202" s="473">
        <f>блюда!DG286</f>
        <v>0</v>
      </c>
      <c r="DH202" s="473">
        <f>блюда!DH286</f>
        <v>0</v>
      </c>
      <c r="DI202" s="473">
        <f>блюда!DI286</f>
        <v>0</v>
      </c>
      <c r="DJ202" s="473">
        <f>блюда!DJ286</f>
        <v>0</v>
      </c>
      <c r="DK202" s="473">
        <f>блюда!DK286</f>
        <v>0</v>
      </c>
      <c r="DL202" s="473">
        <f>блюда!DL286</f>
        <v>0</v>
      </c>
      <c r="DM202" s="473">
        <f>блюда!DM286</f>
        <v>0</v>
      </c>
      <c r="DN202" s="473">
        <f>блюда!DN286</f>
        <v>0</v>
      </c>
      <c r="DO202" s="473">
        <f>блюда!DO286</f>
        <v>0</v>
      </c>
      <c r="DP202" s="473">
        <f>блюда!DP286</f>
        <v>0</v>
      </c>
      <c r="DQ202" s="473">
        <f>блюда!DQ286</f>
        <v>0</v>
      </c>
      <c r="DR202" s="473">
        <f>блюда!DR286</f>
        <v>5.0000000000000001E-4</v>
      </c>
      <c r="DS202" s="473">
        <f>блюда!DS286</f>
        <v>0</v>
      </c>
      <c r="DT202" s="473">
        <f>блюда!DT286</f>
        <v>0</v>
      </c>
      <c r="DU202" s="473">
        <f>блюда!DU286</f>
        <v>0</v>
      </c>
      <c r="DV202" s="473">
        <f>блюда!DV286</f>
        <v>0</v>
      </c>
      <c r="DW202" s="473">
        <f>блюда!DW286</f>
        <v>0</v>
      </c>
      <c r="DX202" s="473">
        <f>блюда!DX286</f>
        <v>0</v>
      </c>
      <c r="DY202" s="473">
        <f>блюда!DY286</f>
        <v>0</v>
      </c>
      <c r="DZ202" s="473">
        <f>блюда!DZ286</f>
        <v>0</v>
      </c>
      <c r="EA202" s="473">
        <f>блюда!EA286</f>
        <v>0</v>
      </c>
      <c r="EB202" s="473">
        <f>блюда!EB286</f>
        <v>0</v>
      </c>
      <c r="EC202" s="473">
        <f>блюда!EC286</f>
        <v>0</v>
      </c>
      <c r="ED202" s="473">
        <f>блюда!ED286</f>
        <v>0</v>
      </c>
      <c r="EE202" s="473">
        <f>блюда!EE286</f>
        <v>0</v>
      </c>
      <c r="EF202" s="473">
        <f>блюда!EF286</f>
        <v>0</v>
      </c>
      <c r="EG202" s="473">
        <f>блюда!EG286</f>
        <v>0</v>
      </c>
      <c r="EH202" s="473">
        <f>блюда!EH286</f>
        <v>0</v>
      </c>
      <c r="EI202" s="473">
        <f>блюда!EI286</f>
        <v>0</v>
      </c>
      <c r="EJ202" s="473">
        <f>блюда!EJ286</f>
        <v>0</v>
      </c>
      <c r="EK202" s="473">
        <f>блюда!EK286</f>
        <v>0</v>
      </c>
      <c r="EL202" s="473">
        <f>блюда!EL286</f>
        <v>0</v>
      </c>
      <c r="EM202" s="473">
        <f>блюда!EM286</f>
        <v>0</v>
      </c>
      <c r="EN202" s="473">
        <f>блюда!EN286</f>
        <v>0</v>
      </c>
      <c r="EO202" s="473">
        <f>блюда!EO286</f>
        <v>0</v>
      </c>
      <c r="EP202" s="473">
        <f>блюда!EP286</f>
        <v>0</v>
      </c>
      <c r="EQ202" s="473">
        <f>блюда!EQ286</f>
        <v>0</v>
      </c>
      <c r="ER202" s="473">
        <f>блюда!ER286</f>
        <v>0</v>
      </c>
      <c r="ES202" s="473">
        <f>блюда!ES286</f>
        <v>0</v>
      </c>
      <c r="ET202" s="473">
        <f>блюда!ET286</f>
        <v>0</v>
      </c>
      <c r="EU202" s="473">
        <f>блюда!EU286</f>
        <v>0</v>
      </c>
      <c r="EV202" s="473">
        <f>блюда!EV286</f>
        <v>0</v>
      </c>
      <c r="EW202" s="473">
        <f>блюда!EW286</f>
        <v>0</v>
      </c>
      <c r="EX202" s="473">
        <f>блюда!EX286</f>
        <v>0</v>
      </c>
      <c r="EY202" s="927">
        <f t="shared" si="133"/>
        <v>1.55E-2</v>
      </c>
      <c r="EZ202" s="117"/>
      <c r="FA202" s="117"/>
      <c r="FB202" s="117"/>
      <c r="FC202" s="117"/>
      <c r="FD202" s="117"/>
      <c r="FE202" s="117"/>
      <c r="FF202" s="117"/>
      <c r="FG202" s="117"/>
      <c r="FH202" s="117"/>
      <c r="FI202" s="117"/>
      <c r="FJ202" s="117"/>
      <c r="FK202" s="117"/>
      <c r="FL202" s="117"/>
    </row>
    <row r="203" spans="1:168" x14ac:dyDescent="0.25">
      <c r="A203" s="1463"/>
      <c r="B203" s="943" t="str">
        <f>блюда!B343</f>
        <v>Вода питьевая 19 л</v>
      </c>
      <c r="C203" s="250">
        <f>блюда!C343</f>
        <v>500</v>
      </c>
      <c r="D203" s="431">
        <f>блюда!D343</f>
        <v>0</v>
      </c>
      <c r="E203" s="431">
        <f>блюда!E343</f>
        <v>0</v>
      </c>
      <c r="F203" s="431">
        <f>блюда!F343</f>
        <v>0</v>
      </c>
      <c r="G203" s="250">
        <f>блюда!G343</f>
        <v>0</v>
      </c>
      <c r="H203" s="250" t="str">
        <f>блюда!H343</f>
        <v>ПРОМ</v>
      </c>
      <c r="I203" s="431">
        <f>блюда!I343</f>
        <v>2.9</v>
      </c>
      <c r="J203" s="473">
        <f>блюда!J343</f>
        <v>0</v>
      </c>
      <c r="K203" s="473">
        <f>блюда!K343</f>
        <v>0</v>
      </c>
      <c r="L203" s="473">
        <f>блюда!L343</f>
        <v>0</v>
      </c>
      <c r="M203" s="473">
        <f>блюда!M343</f>
        <v>0</v>
      </c>
      <c r="N203" s="473">
        <f>блюда!N343</f>
        <v>0</v>
      </c>
      <c r="O203" s="473">
        <f>блюда!O343</f>
        <v>0</v>
      </c>
      <c r="P203" s="473">
        <f>блюда!P343</f>
        <v>0</v>
      </c>
      <c r="Q203" s="473">
        <f>блюда!Q343</f>
        <v>0</v>
      </c>
      <c r="R203" s="473">
        <f>блюда!R343</f>
        <v>0</v>
      </c>
      <c r="S203" s="473">
        <f>блюда!S343</f>
        <v>0</v>
      </c>
      <c r="T203" s="473">
        <f>блюда!T343</f>
        <v>0</v>
      </c>
      <c r="U203" s="473">
        <f>блюда!U343</f>
        <v>0</v>
      </c>
      <c r="V203" s="473">
        <f>блюда!V343</f>
        <v>0</v>
      </c>
      <c r="W203" s="473">
        <f>блюда!W343</f>
        <v>0</v>
      </c>
      <c r="X203" s="473">
        <f>блюда!X343</f>
        <v>0</v>
      </c>
      <c r="Y203" s="473">
        <f>блюда!Y343</f>
        <v>0</v>
      </c>
      <c r="Z203" s="473">
        <f>блюда!Z343</f>
        <v>0</v>
      </c>
      <c r="AA203" s="473">
        <f>блюда!AA343</f>
        <v>0</v>
      </c>
      <c r="AB203" s="473">
        <f>блюда!AB343</f>
        <v>0</v>
      </c>
      <c r="AC203" s="473">
        <f>блюда!AC343</f>
        <v>0</v>
      </c>
      <c r="AD203" s="473">
        <f>блюда!AD343</f>
        <v>0</v>
      </c>
      <c r="AE203" s="473">
        <f>блюда!AE343</f>
        <v>0</v>
      </c>
      <c r="AF203" s="473">
        <f>блюда!AF343</f>
        <v>0</v>
      </c>
      <c r="AG203" s="473">
        <f>блюда!AG343</f>
        <v>0</v>
      </c>
      <c r="AH203" s="473">
        <f>блюда!AH343</f>
        <v>0</v>
      </c>
      <c r="AI203" s="473">
        <f>блюда!AI343</f>
        <v>0</v>
      </c>
      <c r="AJ203" s="473">
        <f>блюда!AJ343</f>
        <v>0</v>
      </c>
      <c r="AK203" s="473">
        <f>блюда!AK343</f>
        <v>0</v>
      </c>
      <c r="AL203" s="473">
        <f>блюда!AL343</f>
        <v>0</v>
      </c>
      <c r="AM203" s="473">
        <f>блюда!AM343</f>
        <v>0</v>
      </c>
      <c r="AN203" s="473">
        <f>блюда!AN343</f>
        <v>0</v>
      </c>
      <c r="AO203" s="473">
        <f>блюда!AO343</f>
        <v>0</v>
      </c>
      <c r="AP203" s="473">
        <f>блюда!AP343</f>
        <v>0</v>
      </c>
      <c r="AQ203" s="473">
        <f>блюда!AQ343</f>
        <v>0</v>
      </c>
      <c r="AR203" s="473">
        <f>блюда!AR343</f>
        <v>0</v>
      </c>
      <c r="AS203" s="473">
        <f>блюда!AS343</f>
        <v>0</v>
      </c>
      <c r="AT203" s="473">
        <f>блюда!AT343</f>
        <v>0</v>
      </c>
      <c r="AU203" s="473">
        <f>блюда!AU343</f>
        <v>0</v>
      </c>
      <c r="AV203" s="473">
        <f>блюда!AV343</f>
        <v>0</v>
      </c>
      <c r="AW203" s="473">
        <f>блюда!AW343</f>
        <v>0</v>
      </c>
      <c r="AX203" s="473">
        <f>блюда!AX343</f>
        <v>0</v>
      </c>
      <c r="AY203" s="473">
        <f>блюда!AY343</f>
        <v>0</v>
      </c>
      <c r="AZ203" s="473">
        <f>блюда!AZ343</f>
        <v>0</v>
      </c>
      <c r="BA203" s="473">
        <f>блюда!BA343</f>
        <v>0</v>
      </c>
      <c r="BB203" s="473">
        <f>блюда!BB343</f>
        <v>0</v>
      </c>
      <c r="BC203" s="473">
        <f>блюда!BC343</f>
        <v>0</v>
      </c>
      <c r="BD203" s="473">
        <f>блюда!BD343</f>
        <v>0</v>
      </c>
      <c r="BE203" s="473">
        <f>блюда!BE343</f>
        <v>0</v>
      </c>
      <c r="BF203" s="473">
        <f>блюда!BF343</f>
        <v>0</v>
      </c>
      <c r="BG203" s="473">
        <f>блюда!BG343</f>
        <v>0</v>
      </c>
      <c r="BH203" s="473">
        <f>блюда!BH343</f>
        <v>0</v>
      </c>
      <c r="BI203" s="473">
        <f>блюда!BI343</f>
        <v>0</v>
      </c>
      <c r="BJ203" s="473">
        <f>блюда!BJ343</f>
        <v>0</v>
      </c>
      <c r="BK203" s="473">
        <f>блюда!BK343</f>
        <v>0</v>
      </c>
      <c r="BL203" s="473">
        <f>блюда!BL343</f>
        <v>0</v>
      </c>
      <c r="BM203" s="473">
        <f>блюда!BM343</f>
        <v>0</v>
      </c>
      <c r="BN203" s="473">
        <f>блюда!BN343</f>
        <v>0</v>
      </c>
      <c r="BO203" s="473">
        <f>блюда!BO343</f>
        <v>0</v>
      </c>
      <c r="BP203" s="473">
        <f>блюда!BP343</f>
        <v>0</v>
      </c>
      <c r="BQ203" s="473">
        <f>блюда!BQ343</f>
        <v>0</v>
      </c>
      <c r="BR203" s="473">
        <f>блюда!BR343</f>
        <v>0</v>
      </c>
      <c r="BS203" s="473">
        <f>блюда!BS343</f>
        <v>0</v>
      </c>
      <c r="BT203" s="473">
        <f>блюда!BT343</f>
        <v>0</v>
      </c>
      <c r="BU203" s="473">
        <f>блюда!BU343</f>
        <v>0</v>
      </c>
      <c r="BV203" s="473">
        <f>блюда!BV343</f>
        <v>0</v>
      </c>
      <c r="BW203" s="473">
        <f>блюда!BW343</f>
        <v>0</v>
      </c>
      <c r="BX203" s="473">
        <f>блюда!BX343</f>
        <v>0</v>
      </c>
      <c r="BY203" s="473">
        <f>блюда!BY343</f>
        <v>0</v>
      </c>
      <c r="BZ203" s="473">
        <f>блюда!BZ343</f>
        <v>0</v>
      </c>
      <c r="CA203" s="473">
        <f>блюда!CA343</f>
        <v>0</v>
      </c>
      <c r="CB203" s="473">
        <f>блюда!CB343</f>
        <v>0</v>
      </c>
      <c r="CC203" s="473">
        <f>блюда!CC343</f>
        <v>0</v>
      </c>
      <c r="CD203" s="473">
        <f>блюда!CD343</f>
        <v>0</v>
      </c>
      <c r="CE203" s="473">
        <f>блюда!CE343</f>
        <v>0</v>
      </c>
      <c r="CF203" s="473">
        <f>блюда!CF343</f>
        <v>0</v>
      </c>
      <c r="CG203" s="473">
        <f>блюда!CG343</f>
        <v>0</v>
      </c>
      <c r="CH203" s="473">
        <f>блюда!CH343</f>
        <v>0</v>
      </c>
      <c r="CI203" s="473">
        <f>блюда!CI343</f>
        <v>0</v>
      </c>
      <c r="CJ203" s="473">
        <f>блюда!CJ343</f>
        <v>0</v>
      </c>
      <c r="CK203" s="473">
        <f>блюда!CK343</f>
        <v>0</v>
      </c>
      <c r="CL203" s="473">
        <f>блюда!CL343</f>
        <v>0</v>
      </c>
      <c r="CM203" s="473">
        <f>блюда!CM343</f>
        <v>0</v>
      </c>
      <c r="CN203" s="473">
        <f>блюда!CN343</f>
        <v>0</v>
      </c>
      <c r="CO203" s="473">
        <f>блюда!CO343</f>
        <v>0</v>
      </c>
      <c r="CP203" s="473">
        <f>блюда!CP343</f>
        <v>0</v>
      </c>
      <c r="CQ203" s="473">
        <f>блюда!CQ343</f>
        <v>0</v>
      </c>
      <c r="CR203" s="473">
        <f>блюда!CR343</f>
        <v>0</v>
      </c>
      <c r="CS203" s="473">
        <f>блюда!CS343</f>
        <v>0</v>
      </c>
      <c r="CT203" s="473">
        <f>блюда!CT343</f>
        <v>0</v>
      </c>
      <c r="CU203" s="473">
        <f>блюда!CU343</f>
        <v>0</v>
      </c>
      <c r="CV203" s="473">
        <f>блюда!CV343</f>
        <v>0</v>
      </c>
      <c r="CW203" s="473">
        <f>блюда!CW343</f>
        <v>0</v>
      </c>
      <c r="CX203" s="473">
        <f>блюда!CX343</f>
        <v>0</v>
      </c>
      <c r="CY203" s="473">
        <f>блюда!CY343</f>
        <v>0</v>
      </c>
      <c r="CZ203" s="473">
        <f>блюда!CZ343</f>
        <v>0</v>
      </c>
      <c r="DA203" s="473">
        <f>блюда!DA343</f>
        <v>0</v>
      </c>
      <c r="DB203" s="473">
        <f>блюда!DB343</f>
        <v>0</v>
      </c>
      <c r="DC203" s="473">
        <f>блюда!DC343</f>
        <v>0</v>
      </c>
      <c r="DD203" s="473">
        <f>блюда!DD343</f>
        <v>0</v>
      </c>
      <c r="DE203" s="473">
        <f>блюда!DE343</f>
        <v>0</v>
      </c>
      <c r="DF203" s="473">
        <f>блюда!DF343</f>
        <v>0</v>
      </c>
      <c r="DG203" s="473">
        <f>блюда!DG343</f>
        <v>0</v>
      </c>
      <c r="DH203" s="473">
        <f>блюда!DH343</f>
        <v>0</v>
      </c>
      <c r="DI203" s="473">
        <f>блюда!DI343</f>
        <v>0</v>
      </c>
      <c r="DJ203" s="473">
        <f>блюда!DJ343</f>
        <v>0</v>
      </c>
      <c r="DK203" s="473">
        <f>блюда!DK343</f>
        <v>0</v>
      </c>
      <c r="DL203" s="473">
        <f>блюда!DL343</f>
        <v>0</v>
      </c>
      <c r="DM203" s="473">
        <f>блюда!DM343</f>
        <v>0</v>
      </c>
      <c r="DN203" s="473">
        <f>блюда!DN343</f>
        <v>0</v>
      </c>
      <c r="DO203" s="473">
        <f>блюда!DO343</f>
        <v>0</v>
      </c>
      <c r="DP203" s="473">
        <f>блюда!DP343</f>
        <v>0</v>
      </c>
      <c r="DQ203" s="473">
        <f>блюда!DQ343</f>
        <v>0</v>
      </c>
      <c r="DR203" s="473">
        <f>блюда!DR343</f>
        <v>0</v>
      </c>
      <c r="DS203" s="473">
        <f>блюда!DS343</f>
        <v>0</v>
      </c>
      <c r="DT203" s="473">
        <f>блюда!DT343</f>
        <v>0</v>
      </c>
      <c r="DU203" s="473">
        <f>блюда!DU343</f>
        <v>0</v>
      </c>
      <c r="DV203" s="473">
        <f>блюда!DV343</f>
        <v>0</v>
      </c>
      <c r="DW203" s="473">
        <f>блюда!DW343</f>
        <v>0</v>
      </c>
      <c r="DX203" s="473">
        <f>блюда!DX343</f>
        <v>0</v>
      </c>
      <c r="DY203" s="473">
        <f>блюда!DY343</f>
        <v>0</v>
      </c>
      <c r="DZ203" s="473">
        <f>блюда!DZ343</f>
        <v>0</v>
      </c>
      <c r="EA203" s="473">
        <f>блюда!EA343</f>
        <v>0</v>
      </c>
      <c r="EB203" s="473">
        <f>блюда!EB343</f>
        <v>0.5</v>
      </c>
      <c r="EC203" s="473">
        <f>блюда!EC343</f>
        <v>0</v>
      </c>
      <c r="ED203" s="473">
        <f>блюда!ED343</f>
        <v>0</v>
      </c>
      <c r="EE203" s="473">
        <f>блюда!EE343</f>
        <v>0</v>
      </c>
      <c r="EF203" s="473">
        <f>блюда!EF343</f>
        <v>0</v>
      </c>
      <c r="EG203" s="473">
        <f>блюда!EG343</f>
        <v>0</v>
      </c>
      <c r="EH203" s="473">
        <f>блюда!EH343</f>
        <v>0</v>
      </c>
      <c r="EI203" s="473">
        <f>блюда!EI343</f>
        <v>0</v>
      </c>
      <c r="EJ203" s="473">
        <f>блюда!EJ343</f>
        <v>0</v>
      </c>
      <c r="EK203" s="473">
        <f>блюда!EK343</f>
        <v>0</v>
      </c>
      <c r="EL203" s="473">
        <f>блюда!EL343</f>
        <v>0</v>
      </c>
      <c r="EM203" s="473">
        <f>блюда!EM343</f>
        <v>0</v>
      </c>
      <c r="EN203" s="473">
        <f>блюда!EN343</f>
        <v>0</v>
      </c>
      <c r="EO203" s="473">
        <f>блюда!EO343</f>
        <v>0</v>
      </c>
      <c r="EP203" s="473">
        <f>блюда!EP343</f>
        <v>0</v>
      </c>
      <c r="EQ203" s="473">
        <f>блюда!EQ343</f>
        <v>0</v>
      </c>
      <c r="ER203" s="473">
        <f>блюда!ER343</f>
        <v>0</v>
      </c>
      <c r="ES203" s="473">
        <f>блюда!ES343</f>
        <v>0</v>
      </c>
      <c r="ET203" s="473">
        <f>блюда!ET343</f>
        <v>0</v>
      </c>
      <c r="EU203" s="473">
        <f>блюда!EU343</f>
        <v>0</v>
      </c>
      <c r="EV203" s="473">
        <f>блюда!EV343</f>
        <v>0</v>
      </c>
      <c r="EW203" s="473">
        <f>блюда!EW343</f>
        <v>0</v>
      </c>
      <c r="EX203" s="473">
        <f>блюда!EX343</f>
        <v>0</v>
      </c>
      <c r="EY203" s="927">
        <f t="shared" si="133"/>
        <v>0.5</v>
      </c>
      <c r="EZ203" s="117"/>
      <c r="FA203" s="117"/>
      <c r="FB203" s="117"/>
      <c r="FC203" s="117"/>
      <c r="FD203" s="117"/>
      <c r="FE203" s="117"/>
      <c r="FF203" s="117"/>
      <c r="FG203" s="117"/>
      <c r="FH203" s="117"/>
      <c r="FI203" s="117"/>
      <c r="FJ203" s="117"/>
      <c r="FK203" s="117"/>
      <c r="FL203" s="117"/>
    </row>
    <row r="204" spans="1:168" x14ac:dyDescent="0.25">
      <c r="A204" s="1463"/>
      <c r="B204" s="115"/>
      <c r="C204" s="250"/>
      <c r="D204" s="431"/>
      <c r="E204" s="431"/>
      <c r="F204" s="431"/>
      <c r="G204" s="250"/>
      <c r="H204" s="250"/>
      <c r="I204" s="431"/>
      <c r="J204" s="473"/>
      <c r="K204" s="473"/>
      <c r="L204" s="473"/>
      <c r="M204" s="473"/>
      <c r="N204" s="473"/>
      <c r="O204" s="473"/>
      <c r="P204" s="473"/>
      <c r="Q204" s="473"/>
      <c r="R204" s="473"/>
      <c r="S204" s="473"/>
      <c r="T204" s="473"/>
      <c r="U204" s="473"/>
      <c r="V204" s="473"/>
      <c r="W204" s="473"/>
      <c r="X204" s="473"/>
      <c r="Y204" s="473"/>
      <c r="Z204" s="473"/>
      <c r="AA204" s="473"/>
      <c r="AB204" s="473"/>
      <c r="AC204" s="473"/>
      <c r="AD204" s="473"/>
      <c r="AE204" s="473"/>
      <c r="AF204" s="473"/>
      <c r="AG204" s="473"/>
      <c r="AH204" s="473"/>
      <c r="AI204" s="473"/>
      <c r="AJ204" s="473"/>
      <c r="AK204" s="473"/>
      <c r="AL204" s="473"/>
      <c r="AM204" s="473"/>
      <c r="AN204" s="473"/>
      <c r="AO204" s="473"/>
      <c r="AP204" s="473"/>
      <c r="AQ204" s="473"/>
      <c r="AR204" s="473"/>
      <c r="AS204" s="473"/>
      <c r="AT204" s="473"/>
      <c r="AU204" s="473"/>
      <c r="AV204" s="473"/>
      <c r="AW204" s="473"/>
      <c r="AX204" s="473"/>
      <c r="AY204" s="473"/>
      <c r="AZ204" s="473"/>
      <c r="BA204" s="473"/>
      <c r="BB204" s="473"/>
      <c r="BC204" s="473"/>
      <c r="BD204" s="473"/>
      <c r="BE204" s="473"/>
      <c r="BF204" s="473"/>
      <c r="BG204" s="473"/>
      <c r="BH204" s="473"/>
      <c r="BI204" s="473"/>
      <c r="BJ204" s="473"/>
      <c r="BK204" s="473"/>
      <c r="BL204" s="473"/>
      <c r="BM204" s="473"/>
      <c r="BN204" s="473"/>
      <c r="BO204" s="473"/>
      <c r="BP204" s="473"/>
      <c r="BQ204" s="473"/>
      <c r="BR204" s="473"/>
      <c r="BS204" s="473"/>
      <c r="BT204" s="473"/>
      <c r="BU204" s="473"/>
      <c r="BV204" s="473"/>
      <c r="BW204" s="473"/>
      <c r="BX204" s="473"/>
      <c r="BY204" s="473"/>
      <c r="BZ204" s="473"/>
      <c r="CA204" s="473"/>
      <c r="CB204" s="473"/>
      <c r="CC204" s="473"/>
      <c r="CD204" s="473"/>
      <c r="CE204" s="473"/>
      <c r="CF204" s="473"/>
      <c r="CG204" s="473"/>
      <c r="CH204" s="473"/>
      <c r="CI204" s="473"/>
      <c r="CJ204" s="473"/>
      <c r="CK204" s="473"/>
      <c r="CL204" s="473"/>
      <c r="CM204" s="473"/>
      <c r="CN204" s="473"/>
      <c r="CO204" s="473"/>
      <c r="CP204" s="473"/>
      <c r="CQ204" s="473"/>
      <c r="CR204" s="473"/>
      <c r="CS204" s="473"/>
      <c r="CT204" s="473"/>
      <c r="CU204" s="473"/>
      <c r="CV204" s="473"/>
      <c r="CW204" s="473"/>
      <c r="CX204" s="473"/>
      <c r="CY204" s="473"/>
      <c r="CZ204" s="473"/>
      <c r="DA204" s="473"/>
      <c r="DB204" s="473"/>
      <c r="DC204" s="473"/>
      <c r="DD204" s="473"/>
      <c r="DE204" s="473"/>
      <c r="DF204" s="473"/>
      <c r="DG204" s="473"/>
      <c r="DH204" s="473"/>
      <c r="DI204" s="473"/>
      <c r="DJ204" s="473"/>
      <c r="DK204" s="473"/>
      <c r="DL204" s="473"/>
      <c r="DM204" s="473"/>
      <c r="DN204" s="473"/>
      <c r="DO204" s="473"/>
      <c r="DP204" s="473"/>
      <c r="DQ204" s="473"/>
      <c r="DR204" s="473"/>
      <c r="DS204" s="473"/>
      <c r="DT204" s="473"/>
      <c r="DU204" s="473"/>
      <c r="DV204" s="473"/>
      <c r="DW204" s="473"/>
      <c r="DX204" s="473"/>
      <c r="DY204" s="473"/>
      <c r="DZ204" s="473"/>
      <c r="EA204" s="473"/>
      <c r="EB204" s="473"/>
      <c r="EC204" s="473"/>
      <c r="ED204" s="473"/>
      <c r="EE204" s="473"/>
      <c r="EF204" s="473"/>
      <c r="EG204" s="473"/>
      <c r="EH204" s="473"/>
      <c r="EI204" s="473"/>
      <c r="EJ204" s="473"/>
      <c r="EK204" s="473"/>
      <c r="EL204" s="473"/>
      <c r="EM204" s="473"/>
      <c r="EN204" s="473"/>
      <c r="EO204" s="473"/>
      <c r="EP204" s="473"/>
      <c r="EQ204" s="473"/>
      <c r="ER204" s="473"/>
      <c r="ES204" s="473"/>
      <c r="ET204" s="473"/>
      <c r="EU204" s="473"/>
      <c r="EV204" s="473"/>
      <c r="EW204" s="473"/>
      <c r="EX204" s="473"/>
      <c r="EY204" s="927">
        <f t="shared" si="133"/>
        <v>0</v>
      </c>
      <c r="EZ204" s="117"/>
      <c r="FA204" s="117"/>
      <c r="FB204" s="117"/>
      <c r="FC204" s="117"/>
      <c r="FD204" s="117"/>
      <c r="FE204" s="117"/>
      <c r="FF204" s="117"/>
      <c r="FG204" s="117"/>
      <c r="FH204" s="117"/>
      <c r="FI204" s="117"/>
      <c r="FJ204" s="117"/>
      <c r="FK204" s="117"/>
      <c r="FL204" s="117"/>
    </row>
    <row r="205" spans="1:168" x14ac:dyDescent="0.25">
      <c r="A205" s="1464"/>
      <c r="B205" s="115"/>
      <c r="C205" s="250"/>
      <c r="D205" s="431"/>
      <c r="E205" s="431"/>
      <c r="F205" s="431"/>
      <c r="G205" s="250"/>
      <c r="H205" s="250"/>
      <c r="I205" s="431"/>
      <c r="J205" s="473"/>
      <c r="K205" s="473"/>
      <c r="L205" s="473"/>
      <c r="M205" s="473"/>
      <c r="N205" s="473"/>
      <c r="O205" s="473"/>
      <c r="P205" s="473"/>
      <c r="Q205" s="473"/>
      <c r="R205" s="473"/>
      <c r="S205" s="473"/>
      <c r="T205" s="473"/>
      <c r="U205" s="473"/>
      <c r="V205" s="473"/>
      <c r="W205" s="473"/>
      <c r="X205" s="473"/>
      <c r="Y205" s="473"/>
      <c r="Z205" s="473"/>
      <c r="AA205" s="473"/>
      <c r="AB205" s="473"/>
      <c r="AC205" s="473"/>
      <c r="AD205" s="473"/>
      <c r="AE205" s="473"/>
      <c r="AF205" s="473"/>
      <c r="AG205" s="473"/>
      <c r="AH205" s="473"/>
      <c r="AI205" s="473"/>
      <c r="AJ205" s="473"/>
      <c r="AK205" s="473"/>
      <c r="AL205" s="473"/>
      <c r="AM205" s="473"/>
      <c r="AN205" s="473"/>
      <c r="AO205" s="473"/>
      <c r="AP205" s="473"/>
      <c r="AQ205" s="473"/>
      <c r="AR205" s="473"/>
      <c r="AS205" s="473"/>
      <c r="AT205" s="473"/>
      <c r="AU205" s="473"/>
      <c r="AV205" s="473"/>
      <c r="AW205" s="473"/>
      <c r="AX205" s="473"/>
      <c r="AY205" s="473"/>
      <c r="AZ205" s="473"/>
      <c r="BA205" s="473"/>
      <c r="BB205" s="473"/>
      <c r="BC205" s="473"/>
      <c r="BD205" s="473"/>
      <c r="BE205" s="473"/>
      <c r="BF205" s="473"/>
      <c r="BG205" s="473"/>
      <c r="BH205" s="473"/>
      <c r="BI205" s="473"/>
      <c r="BJ205" s="473"/>
      <c r="BK205" s="473"/>
      <c r="BL205" s="473"/>
      <c r="BM205" s="473"/>
      <c r="BN205" s="473"/>
      <c r="BO205" s="473"/>
      <c r="BP205" s="473"/>
      <c r="BQ205" s="473"/>
      <c r="BR205" s="473"/>
      <c r="BS205" s="473"/>
      <c r="BT205" s="473"/>
      <c r="BU205" s="473"/>
      <c r="BV205" s="473"/>
      <c r="BW205" s="473"/>
      <c r="BX205" s="473"/>
      <c r="BY205" s="473"/>
      <c r="BZ205" s="473"/>
      <c r="CA205" s="473"/>
      <c r="CB205" s="473"/>
      <c r="CC205" s="473"/>
      <c r="CD205" s="473"/>
      <c r="CE205" s="473"/>
      <c r="CF205" s="473"/>
      <c r="CG205" s="473"/>
      <c r="CH205" s="473"/>
      <c r="CI205" s="473"/>
      <c r="CJ205" s="473"/>
      <c r="CK205" s="473"/>
      <c r="CL205" s="473"/>
      <c r="CM205" s="473"/>
      <c r="CN205" s="473"/>
      <c r="CO205" s="473"/>
      <c r="CP205" s="473"/>
      <c r="CQ205" s="473"/>
      <c r="CR205" s="473"/>
      <c r="CS205" s="473"/>
      <c r="CT205" s="473"/>
      <c r="CU205" s="473"/>
      <c r="CV205" s="473"/>
      <c r="CW205" s="473"/>
      <c r="CX205" s="473"/>
      <c r="CY205" s="473"/>
      <c r="CZ205" s="473"/>
      <c r="DA205" s="473"/>
      <c r="DB205" s="473"/>
      <c r="DC205" s="473"/>
      <c r="DD205" s="473"/>
      <c r="DE205" s="473"/>
      <c r="DF205" s="473"/>
      <c r="DG205" s="473"/>
      <c r="DH205" s="473"/>
      <c r="DI205" s="473"/>
      <c r="DJ205" s="473"/>
      <c r="DK205" s="473"/>
      <c r="DL205" s="473"/>
      <c r="DM205" s="473"/>
      <c r="DN205" s="473"/>
      <c r="DO205" s="473"/>
      <c r="DP205" s="473"/>
      <c r="DQ205" s="473"/>
      <c r="DR205" s="473"/>
      <c r="DS205" s="473"/>
      <c r="DT205" s="473"/>
      <c r="DU205" s="473"/>
      <c r="DV205" s="473"/>
      <c r="DW205" s="473"/>
      <c r="DX205" s="473"/>
      <c r="DY205" s="473"/>
      <c r="DZ205" s="473"/>
      <c r="EA205" s="473"/>
      <c r="EB205" s="473"/>
      <c r="EC205" s="473"/>
      <c r="ED205" s="473"/>
      <c r="EE205" s="473"/>
      <c r="EF205" s="473"/>
      <c r="EG205" s="473"/>
      <c r="EH205" s="473"/>
      <c r="EI205" s="473"/>
      <c r="EJ205" s="473"/>
      <c r="EK205" s="473"/>
      <c r="EL205" s="473"/>
      <c r="EM205" s="473"/>
      <c r="EN205" s="473"/>
      <c r="EO205" s="473"/>
      <c r="EP205" s="473"/>
      <c r="EQ205" s="473"/>
      <c r="ER205" s="473"/>
      <c r="ES205" s="473"/>
      <c r="ET205" s="473"/>
      <c r="EU205" s="473"/>
      <c r="EV205" s="473"/>
      <c r="EW205" s="473"/>
      <c r="EX205" s="473"/>
      <c r="EY205" s="927">
        <f t="shared" si="133"/>
        <v>0</v>
      </c>
      <c r="EZ205" s="117"/>
      <c r="FA205" s="117"/>
      <c r="FB205" s="117"/>
      <c r="FC205" s="117"/>
      <c r="FD205" s="117"/>
      <c r="FE205" s="117"/>
      <c r="FF205" s="117"/>
      <c r="FG205" s="117"/>
      <c r="FH205" s="117"/>
      <c r="FI205" s="117"/>
      <c r="FJ205" s="117"/>
      <c r="FK205" s="117"/>
      <c r="FL205" s="117"/>
    </row>
    <row r="206" spans="1:168" x14ac:dyDescent="0.25">
      <c r="A206" s="120"/>
      <c r="B206" s="118" t="s">
        <v>111</v>
      </c>
      <c r="C206" s="422">
        <f>SUM(C197:C205)</f>
        <v>930</v>
      </c>
      <c r="D206" s="842">
        <f>SUM(D197:D205)</f>
        <v>28.91</v>
      </c>
      <c r="E206" s="842">
        <f t="shared" ref="E206:BC206" si="134">SUM(E197:E205)</f>
        <v>30.11</v>
      </c>
      <c r="F206" s="842">
        <f t="shared" si="134"/>
        <v>89.27</v>
      </c>
      <c r="G206" s="422">
        <f t="shared" si="134"/>
        <v>740</v>
      </c>
      <c r="H206" s="422"/>
      <c r="I206" s="842">
        <f t="shared" ref="I206" si="135">SUM(I197:I205)</f>
        <v>82.06</v>
      </c>
      <c r="J206" s="844">
        <f t="shared" si="134"/>
        <v>0</v>
      </c>
      <c r="K206" s="844">
        <f t="shared" si="134"/>
        <v>0</v>
      </c>
      <c r="L206" s="844">
        <f t="shared" si="134"/>
        <v>0</v>
      </c>
      <c r="M206" s="844">
        <f t="shared" si="134"/>
        <v>0</v>
      </c>
      <c r="N206" s="844">
        <f t="shared" si="134"/>
        <v>0</v>
      </c>
      <c r="O206" s="844">
        <f t="shared" si="134"/>
        <v>0</v>
      </c>
      <c r="P206" s="844">
        <f t="shared" si="134"/>
        <v>0</v>
      </c>
      <c r="Q206" s="844">
        <f t="shared" si="134"/>
        <v>0</v>
      </c>
      <c r="R206" s="844">
        <f t="shared" si="134"/>
        <v>0</v>
      </c>
      <c r="S206" s="844">
        <f t="shared" si="134"/>
        <v>0</v>
      </c>
      <c r="T206" s="844">
        <f t="shared" si="134"/>
        <v>0</v>
      </c>
      <c r="U206" s="844">
        <f t="shared" si="134"/>
        <v>0</v>
      </c>
      <c r="V206" s="844">
        <f t="shared" si="134"/>
        <v>1.4999999999999999E-2</v>
      </c>
      <c r="W206" s="844">
        <f t="shared" si="134"/>
        <v>2.1000000000000001E-2</v>
      </c>
      <c r="X206" s="844">
        <f t="shared" si="134"/>
        <v>9.2399999999999996E-2</v>
      </c>
      <c r="Y206" s="844">
        <f t="shared" si="134"/>
        <v>5.0000000000000001E-3</v>
      </c>
      <c r="Z206" s="844">
        <f t="shared" si="134"/>
        <v>0.03</v>
      </c>
      <c r="AA206" s="844">
        <f t="shared" si="134"/>
        <v>0</v>
      </c>
      <c r="AB206" s="844">
        <f t="shared" si="134"/>
        <v>0</v>
      </c>
      <c r="AC206" s="844">
        <f t="shared" si="134"/>
        <v>0</v>
      </c>
      <c r="AD206" s="844">
        <f t="shared" si="134"/>
        <v>0</v>
      </c>
      <c r="AE206" s="844">
        <f t="shared" si="134"/>
        <v>6.0000000000000001E-3</v>
      </c>
      <c r="AF206" s="844">
        <f t="shared" si="134"/>
        <v>0</v>
      </c>
      <c r="AG206" s="844">
        <f t="shared" si="134"/>
        <v>0</v>
      </c>
      <c r="AH206" s="844">
        <f t="shared" si="134"/>
        <v>0</v>
      </c>
      <c r="AI206" s="844">
        <f t="shared" si="134"/>
        <v>0</v>
      </c>
      <c r="AJ206" s="844">
        <f t="shared" si="134"/>
        <v>0</v>
      </c>
      <c r="AK206" s="844">
        <f t="shared" si="134"/>
        <v>0</v>
      </c>
      <c r="AL206" s="844">
        <f t="shared" si="134"/>
        <v>0</v>
      </c>
      <c r="AM206" s="844">
        <f t="shared" si="134"/>
        <v>0</v>
      </c>
      <c r="AN206" s="844">
        <f t="shared" si="134"/>
        <v>0</v>
      </c>
      <c r="AO206" s="844">
        <f t="shared" si="134"/>
        <v>0</v>
      </c>
      <c r="AP206" s="844">
        <f t="shared" si="134"/>
        <v>0</v>
      </c>
      <c r="AQ206" s="844">
        <f t="shared" si="134"/>
        <v>0</v>
      </c>
      <c r="AR206" s="844">
        <f t="shared" si="134"/>
        <v>0</v>
      </c>
      <c r="AS206" s="844">
        <f t="shared" si="134"/>
        <v>0</v>
      </c>
      <c r="AT206" s="844">
        <f t="shared" si="134"/>
        <v>0</v>
      </c>
      <c r="AU206" s="844">
        <f t="shared" si="134"/>
        <v>0</v>
      </c>
      <c r="AV206" s="844">
        <f t="shared" si="134"/>
        <v>0</v>
      </c>
      <c r="AW206" s="844">
        <f t="shared" si="134"/>
        <v>0</v>
      </c>
      <c r="AX206" s="844">
        <f t="shared" si="134"/>
        <v>0</v>
      </c>
      <c r="AY206" s="844">
        <f t="shared" si="134"/>
        <v>0</v>
      </c>
      <c r="AZ206" s="844">
        <f t="shared" si="134"/>
        <v>0</v>
      </c>
      <c r="BA206" s="844">
        <f t="shared" si="134"/>
        <v>0</v>
      </c>
      <c r="BB206" s="844">
        <f t="shared" si="134"/>
        <v>0</v>
      </c>
      <c r="BC206" s="844">
        <f t="shared" si="134"/>
        <v>0</v>
      </c>
      <c r="BD206" s="844">
        <f t="shared" ref="BD206:DO206" si="136">SUM(BD197:BD205)</f>
        <v>0</v>
      </c>
      <c r="BE206" s="844">
        <f t="shared" si="136"/>
        <v>0</v>
      </c>
      <c r="BF206" s="844">
        <f t="shared" si="136"/>
        <v>0</v>
      </c>
      <c r="BG206" s="844">
        <f t="shared" si="136"/>
        <v>0</v>
      </c>
      <c r="BH206" s="844">
        <f t="shared" si="136"/>
        <v>0</v>
      </c>
      <c r="BI206" s="844">
        <f t="shared" si="136"/>
        <v>0</v>
      </c>
      <c r="BJ206" s="844">
        <f t="shared" si="136"/>
        <v>0</v>
      </c>
      <c r="BK206" s="844">
        <f t="shared" si="136"/>
        <v>0</v>
      </c>
      <c r="BL206" s="844">
        <f t="shared" si="136"/>
        <v>0</v>
      </c>
      <c r="BM206" s="844">
        <f t="shared" si="136"/>
        <v>0</v>
      </c>
      <c r="BN206" s="844">
        <f t="shared" si="136"/>
        <v>0</v>
      </c>
      <c r="BO206" s="844">
        <f t="shared" si="136"/>
        <v>0</v>
      </c>
      <c r="BP206" s="844">
        <f t="shared" si="136"/>
        <v>0</v>
      </c>
      <c r="BQ206" s="844">
        <f t="shared" si="136"/>
        <v>0</v>
      </c>
      <c r="BR206" s="844">
        <f t="shared" si="136"/>
        <v>0</v>
      </c>
      <c r="BS206" s="844">
        <f t="shared" si="136"/>
        <v>0</v>
      </c>
      <c r="BT206" s="844">
        <f t="shared" si="136"/>
        <v>0</v>
      </c>
      <c r="BU206" s="844">
        <f t="shared" si="136"/>
        <v>0.01</v>
      </c>
      <c r="BV206" s="844">
        <f t="shared" si="136"/>
        <v>0</v>
      </c>
      <c r="BW206" s="844">
        <f t="shared" si="136"/>
        <v>0</v>
      </c>
      <c r="BX206" s="844">
        <f t="shared" si="136"/>
        <v>0</v>
      </c>
      <c r="BY206" s="844">
        <f t="shared" si="136"/>
        <v>0</v>
      </c>
      <c r="BZ206" s="844">
        <f t="shared" si="136"/>
        <v>0</v>
      </c>
      <c r="CA206" s="844">
        <f t="shared" si="136"/>
        <v>0</v>
      </c>
      <c r="CB206" s="844">
        <f t="shared" si="136"/>
        <v>0</v>
      </c>
      <c r="CC206" s="844">
        <f t="shared" si="136"/>
        <v>0</v>
      </c>
      <c r="CD206" s="844">
        <f t="shared" si="136"/>
        <v>0</v>
      </c>
      <c r="CE206" s="844">
        <f t="shared" si="136"/>
        <v>0</v>
      </c>
      <c r="CF206" s="844">
        <f t="shared" si="136"/>
        <v>0</v>
      </c>
      <c r="CG206" s="844">
        <f t="shared" si="136"/>
        <v>0</v>
      </c>
      <c r="CH206" s="844">
        <f t="shared" si="136"/>
        <v>0</v>
      </c>
      <c r="CI206" s="844">
        <f t="shared" si="136"/>
        <v>2.0000000000000002E-5</v>
      </c>
      <c r="CJ206" s="844">
        <f t="shared" si="136"/>
        <v>0</v>
      </c>
      <c r="CK206" s="844">
        <f t="shared" si="136"/>
        <v>0</v>
      </c>
      <c r="CL206" s="844">
        <f t="shared" si="136"/>
        <v>0</v>
      </c>
      <c r="CM206" s="844">
        <f t="shared" si="136"/>
        <v>1.2E-2</v>
      </c>
      <c r="CN206" s="844">
        <f t="shared" si="136"/>
        <v>0</v>
      </c>
      <c r="CO206" s="844">
        <f t="shared" si="136"/>
        <v>0</v>
      </c>
      <c r="CP206" s="844">
        <f t="shared" si="136"/>
        <v>0</v>
      </c>
      <c r="CQ206" s="844">
        <f t="shared" si="136"/>
        <v>0</v>
      </c>
      <c r="CR206" s="844">
        <f t="shared" si="136"/>
        <v>0</v>
      </c>
      <c r="CS206" s="844">
        <f t="shared" si="136"/>
        <v>0</v>
      </c>
      <c r="CT206" s="844">
        <f t="shared" si="136"/>
        <v>0</v>
      </c>
      <c r="CU206" s="844">
        <f t="shared" si="136"/>
        <v>0</v>
      </c>
      <c r="CV206" s="844">
        <f t="shared" si="136"/>
        <v>0</v>
      </c>
      <c r="CW206" s="844">
        <f t="shared" si="136"/>
        <v>0</v>
      </c>
      <c r="CX206" s="844">
        <f t="shared" si="136"/>
        <v>0</v>
      </c>
      <c r="CY206" s="844">
        <f t="shared" si="136"/>
        <v>0</v>
      </c>
      <c r="CZ206" s="844">
        <f t="shared" si="136"/>
        <v>2.5000000000000001E-2</v>
      </c>
      <c r="DA206" s="844">
        <f t="shared" si="136"/>
        <v>0</v>
      </c>
      <c r="DB206" s="844">
        <f t="shared" si="136"/>
        <v>0</v>
      </c>
      <c r="DC206" s="844">
        <f t="shared" si="136"/>
        <v>0</v>
      </c>
      <c r="DD206" s="844">
        <f t="shared" si="136"/>
        <v>5.0000000000000001E-3</v>
      </c>
      <c r="DE206" s="844">
        <f t="shared" si="136"/>
        <v>0</v>
      </c>
      <c r="DF206" s="844">
        <f t="shared" si="136"/>
        <v>0</v>
      </c>
      <c r="DG206" s="844">
        <f t="shared" si="136"/>
        <v>0</v>
      </c>
      <c r="DH206" s="844">
        <f t="shared" si="136"/>
        <v>0</v>
      </c>
      <c r="DI206" s="844">
        <f t="shared" si="136"/>
        <v>0</v>
      </c>
      <c r="DJ206" s="844">
        <f t="shared" si="136"/>
        <v>0</v>
      </c>
      <c r="DK206" s="844">
        <f t="shared" si="136"/>
        <v>0</v>
      </c>
      <c r="DL206" s="844">
        <f t="shared" si="136"/>
        <v>0</v>
      </c>
      <c r="DM206" s="844">
        <f t="shared" si="136"/>
        <v>0</v>
      </c>
      <c r="DN206" s="844">
        <f t="shared" si="136"/>
        <v>0</v>
      </c>
      <c r="DO206" s="844">
        <f t="shared" si="136"/>
        <v>0</v>
      </c>
      <c r="DP206" s="844">
        <f t="shared" ref="DP206:EX206" si="137">SUM(DP197:DP205)</f>
        <v>0</v>
      </c>
      <c r="DQ206" s="844">
        <f t="shared" si="137"/>
        <v>0</v>
      </c>
      <c r="DR206" s="844">
        <f t="shared" si="137"/>
        <v>5.0000000000000001E-4</v>
      </c>
      <c r="DS206" s="844">
        <f t="shared" si="137"/>
        <v>0</v>
      </c>
      <c r="DT206" s="844">
        <f t="shared" si="137"/>
        <v>0</v>
      </c>
      <c r="DU206" s="844">
        <f t="shared" si="137"/>
        <v>0</v>
      </c>
      <c r="DV206" s="844">
        <f t="shared" si="137"/>
        <v>0</v>
      </c>
      <c r="DW206" s="844">
        <f t="shared" si="137"/>
        <v>0</v>
      </c>
      <c r="DX206" s="844">
        <f t="shared" si="137"/>
        <v>0</v>
      </c>
      <c r="DY206" s="844">
        <f t="shared" si="137"/>
        <v>0</v>
      </c>
      <c r="DZ206" s="844">
        <f t="shared" si="137"/>
        <v>0</v>
      </c>
      <c r="EA206" s="844">
        <f t="shared" si="137"/>
        <v>0</v>
      </c>
      <c r="EB206" s="844">
        <f t="shared" si="137"/>
        <v>0.5</v>
      </c>
      <c r="EC206" s="844">
        <f t="shared" si="137"/>
        <v>0</v>
      </c>
      <c r="ED206" s="844">
        <f t="shared" si="137"/>
        <v>0</v>
      </c>
      <c r="EE206" s="844">
        <f t="shared" si="137"/>
        <v>0</v>
      </c>
      <c r="EF206" s="844">
        <f t="shared" si="137"/>
        <v>0</v>
      </c>
      <c r="EG206" s="844">
        <f t="shared" si="137"/>
        <v>0</v>
      </c>
      <c r="EH206" s="844">
        <f t="shared" si="137"/>
        <v>0</v>
      </c>
      <c r="EI206" s="844">
        <f t="shared" si="137"/>
        <v>0</v>
      </c>
      <c r="EJ206" s="844">
        <f t="shared" si="137"/>
        <v>0</v>
      </c>
      <c r="EK206" s="844">
        <f t="shared" si="137"/>
        <v>0</v>
      </c>
      <c r="EL206" s="844">
        <f t="shared" si="137"/>
        <v>0</v>
      </c>
      <c r="EM206" s="844">
        <f t="shared" si="137"/>
        <v>0</v>
      </c>
      <c r="EN206" s="844">
        <f t="shared" si="137"/>
        <v>0</v>
      </c>
      <c r="EO206" s="844">
        <f t="shared" si="137"/>
        <v>0</v>
      </c>
      <c r="EP206" s="844">
        <f t="shared" si="137"/>
        <v>0</v>
      </c>
      <c r="EQ206" s="844">
        <f t="shared" si="137"/>
        <v>0</v>
      </c>
      <c r="ER206" s="844">
        <f t="shared" si="137"/>
        <v>0</v>
      </c>
      <c r="ES206" s="844">
        <f t="shared" si="137"/>
        <v>0</v>
      </c>
      <c r="ET206" s="844">
        <f t="shared" si="137"/>
        <v>0</v>
      </c>
      <c r="EU206" s="844">
        <f t="shared" si="137"/>
        <v>0</v>
      </c>
      <c r="EV206" s="844">
        <f t="shared" si="137"/>
        <v>0.03</v>
      </c>
      <c r="EW206" s="844">
        <f t="shared" si="137"/>
        <v>0.02</v>
      </c>
      <c r="EX206" s="844">
        <f t="shared" si="137"/>
        <v>0</v>
      </c>
      <c r="EY206" s="847">
        <f t="shared" ref="EY206:FL206" si="138">SUM(EY197:EY205)</f>
        <v>0.77192000000000005</v>
      </c>
      <c r="EZ206" s="534">
        <f t="shared" si="138"/>
        <v>0</v>
      </c>
      <c r="FA206" s="534">
        <f t="shared" si="138"/>
        <v>0</v>
      </c>
      <c r="FB206" s="534">
        <f t="shared" si="138"/>
        <v>0</v>
      </c>
      <c r="FC206" s="534">
        <f t="shared" si="138"/>
        <v>0</v>
      </c>
      <c r="FD206" s="534">
        <f t="shared" si="138"/>
        <v>0</v>
      </c>
      <c r="FE206" s="534">
        <f t="shared" si="138"/>
        <v>0</v>
      </c>
      <c r="FF206" s="534">
        <f t="shared" si="138"/>
        <v>0</v>
      </c>
      <c r="FG206" s="534">
        <f t="shared" si="138"/>
        <v>0</v>
      </c>
      <c r="FH206" s="534">
        <f t="shared" si="138"/>
        <v>0</v>
      </c>
      <c r="FI206" s="534">
        <f t="shared" si="138"/>
        <v>0</v>
      </c>
      <c r="FJ206" s="534">
        <f t="shared" si="138"/>
        <v>0</v>
      </c>
      <c r="FK206" s="534">
        <f t="shared" si="138"/>
        <v>0</v>
      </c>
      <c r="FL206" s="534">
        <f t="shared" si="138"/>
        <v>0</v>
      </c>
    </row>
    <row r="207" spans="1:168" x14ac:dyDescent="0.25">
      <c r="A207" s="1459" t="s">
        <v>112</v>
      </c>
      <c r="B207" s="115" t="str">
        <f>блюда!B50</f>
        <v>Огурцы, помидоры в нарезке</v>
      </c>
      <c r="C207" s="250">
        <f>блюда!C50</f>
        <v>60</v>
      </c>
      <c r="D207" s="431">
        <f>блюда!D50</f>
        <v>0.42</v>
      </c>
      <c r="E207" s="431">
        <f>блюда!E50</f>
        <v>0.06</v>
      </c>
      <c r="F207" s="431">
        <f>блюда!F50</f>
        <v>1.1399999999999999</v>
      </c>
      <c r="G207" s="250">
        <f>блюда!G50</f>
        <v>7</v>
      </c>
      <c r="H207" s="250">
        <f>блюда!H50</f>
        <v>71</v>
      </c>
      <c r="I207" s="431">
        <f>блюда!I50</f>
        <v>5.66</v>
      </c>
      <c r="J207" s="473">
        <f>блюда!J50</f>
        <v>0</v>
      </c>
      <c r="K207" s="473">
        <f>блюда!K50</f>
        <v>0</v>
      </c>
      <c r="L207" s="473">
        <f>блюда!L50</f>
        <v>0</v>
      </c>
      <c r="M207" s="473">
        <f>блюда!M50</f>
        <v>0</v>
      </c>
      <c r="N207" s="473">
        <f>блюда!N50</f>
        <v>0</v>
      </c>
      <c r="O207" s="473">
        <f>блюда!O50</f>
        <v>0</v>
      </c>
      <c r="P207" s="473">
        <f>блюда!P50</f>
        <v>0</v>
      </c>
      <c r="Q207" s="473">
        <f>блюда!Q50</f>
        <v>0</v>
      </c>
      <c r="R207" s="473">
        <f>блюда!R50</f>
        <v>0</v>
      </c>
      <c r="S207" s="473">
        <f>блюда!S50</f>
        <v>0</v>
      </c>
      <c r="T207" s="473">
        <f>блюда!T50</f>
        <v>0</v>
      </c>
      <c r="U207" s="473">
        <f>блюда!U50</f>
        <v>0</v>
      </c>
      <c r="V207" s="473">
        <f>блюда!V50</f>
        <v>0</v>
      </c>
      <c r="W207" s="473">
        <f>блюда!W50</f>
        <v>0</v>
      </c>
      <c r="X207" s="473">
        <f>блюда!X50</f>
        <v>0</v>
      </c>
      <c r="Y207" s="473">
        <f>блюда!Y50</f>
        <v>0</v>
      </c>
      <c r="Z207" s="473">
        <f>блюда!Z50</f>
        <v>0</v>
      </c>
      <c r="AA207" s="473">
        <f>блюда!AA50</f>
        <v>0</v>
      </c>
      <c r="AB207" s="473">
        <f>блюда!AB50</f>
        <v>0</v>
      </c>
      <c r="AC207" s="473">
        <f>блюда!AC50</f>
        <v>0</v>
      </c>
      <c r="AD207" s="473">
        <f>блюда!AD50</f>
        <v>0</v>
      </c>
      <c r="AE207" s="473">
        <f>блюда!AE50</f>
        <v>0</v>
      </c>
      <c r="AF207" s="473">
        <f>блюда!AF50</f>
        <v>0</v>
      </c>
      <c r="AG207" s="473">
        <f>блюда!AG50</f>
        <v>0</v>
      </c>
      <c r="AH207" s="473">
        <f>блюда!AH50</f>
        <v>0</v>
      </c>
      <c r="AI207" s="473">
        <f>блюда!AI50</f>
        <v>0</v>
      </c>
      <c r="AJ207" s="473">
        <f>блюда!AJ50</f>
        <v>0</v>
      </c>
      <c r="AK207" s="473">
        <f>блюда!AK50</f>
        <v>0</v>
      </c>
      <c r="AL207" s="473">
        <f>блюда!AL50</f>
        <v>0</v>
      </c>
      <c r="AM207" s="473">
        <f>блюда!AM50</f>
        <v>0</v>
      </c>
      <c r="AN207" s="473">
        <f>блюда!AN50</f>
        <v>3.5499999999999997E-2</v>
      </c>
      <c r="AO207" s="473">
        <f>блюда!AO50</f>
        <v>3.1600000000000003E-2</v>
      </c>
      <c r="AP207" s="473">
        <f>блюда!AP50</f>
        <v>0</v>
      </c>
      <c r="AQ207" s="473">
        <f>блюда!AQ50</f>
        <v>0</v>
      </c>
      <c r="AR207" s="473">
        <f>блюда!AR50</f>
        <v>0</v>
      </c>
      <c r="AS207" s="473">
        <f>блюда!AS50</f>
        <v>0</v>
      </c>
      <c r="AT207" s="473">
        <f>блюда!AT50</f>
        <v>0</v>
      </c>
      <c r="AU207" s="473">
        <f>блюда!AU50</f>
        <v>0</v>
      </c>
      <c r="AV207" s="473">
        <f>блюда!AV50</f>
        <v>0</v>
      </c>
      <c r="AW207" s="473">
        <f>блюда!AW50</f>
        <v>0</v>
      </c>
      <c r="AX207" s="473">
        <f>блюда!AX50</f>
        <v>0</v>
      </c>
      <c r="AY207" s="473">
        <f>блюда!AY50</f>
        <v>0</v>
      </c>
      <c r="AZ207" s="473">
        <f>блюда!AZ50</f>
        <v>0</v>
      </c>
      <c r="BA207" s="473">
        <f>блюда!BA50</f>
        <v>0</v>
      </c>
      <c r="BB207" s="473">
        <f>блюда!BB50</f>
        <v>0</v>
      </c>
      <c r="BC207" s="473">
        <f>блюда!BC50</f>
        <v>0</v>
      </c>
      <c r="BD207" s="473">
        <f>блюда!BD50</f>
        <v>0</v>
      </c>
      <c r="BE207" s="473">
        <f>блюда!BE50</f>
        <v>0</v>
      </c>
      <c r="BF207" s="473">
        <f>блюда!BF50</f>
        <v>0</v>
      </c>
      <c r="BG207" s="473">
        <f>блюда!BG50</f>
        <v>0</v>
      </c>
      <c r="BH207" s="473">
        <f>блюда!BH50</f>
        <v>0</v>
      </c>
      <c r="BI207" s="473">
        <f>блюда!BI50</f>
        <v>0</v>
      </c>
      <c r="BJ207" s="473">
        <f>блюда!BJ50</f>
        <v>0</v>
      </c>
      <c r="BK207" s="473">
        <f>блюда!BK50</f>
        <v>0</v>
      </c>
      <c r="BL207" s="473">
        <f>блюда!BL50</f>
        <v>0</v>
      </c>
      <c r="BM207" s="473">
        <f>блюда!BM50</f>
        <v>0</v>
      </c>
      <c r="BN207" s="473">
        <f>блюда!BN50</f>
        <v>0</v>
      </c>
      <c r="BO207" s="473">
        <f>блюда!BO50</f>
        <v>0</v>
      </c>
      <c r="BP207" s="473">
        <f>блюда!BP50</f>
        <v>0</v>
      </c>
      <c r="BQ207" s="473">
        <f>блюда!BQ50</f>
        <v>0</v>
      </c>
      <c r="BR207" s="473">
        <f>блюда!BR50</f>
        <v>0</v>
      </c>
      <c r="BS207" s="473">
        <f>блюда!BS50</f>
        <v>0</v>
      </c>
      <c r="BT207" s="473">
        <f>блюда!BT50</f>
        <v>0</v>
      </c>
      <c r="BU207" s="473">
        <f>блюда!BU50</f>
        <v>0</v>
      </c>
      <c r="BV207" s="473">
        <f>блюда!BV50</f>
        <v>0</v>
      </c>
      <c r="BW207" s="473">
        <f>блюда!BW50</f>
        <v>0</v>
      </c>
      <c r="BX207" s="473">
        <f>блюда!BX50</f>
        <v>0</v>
      </c>
      <c r="BY207" s="473">
        <f>блюда!BY50</f>
        <v>0</v>
      </c>
      <c r="BZ207" s="473">
        <f>блюда!BZ50</f>
        <v>0</v>
      </c>
      <c r="CA207" s="473">
        <f>блюда!CA50</f>
        <v>0</v>
      </c>
      <c r="CB207" s="473">
        <f>блюда!CB50</f>
        <v>0</v>
      </c>
      <c r="CC207" s="473">
        <f>блюда!CC50</f>
        <v>0</v>
      </c>
      <c r="CD207" s="473">
        <f>блюда!CD50</f>
        <v>0</v>
      </c>
      <c r="CE207" s="473">
        <f>блюда!CE50</f>
        <v>0</v>
      </c>
      <c r="CF207" s="473">
        <f>блюда!CF50</f>
        <v>0</v>
      </c>
      <c r="CG207" s="473">
        <f>блюда!CG50</f>
        <v>0</v>
      </c>
      <c r="CH207" s="473">
        <f>блюда!CH50</f>
        <v>0</v>
      </c>
      <c r="CI207" s="473">
        <f>блюда!CI50</f>
        <v>0</v>
      </c>
      <c r="CJ207" s="473">
        <f>блюда!CJ50</f>
        <v>0</v>
      </c>
      <c r="CK207" s="473">
        <f>блюда!CK50</f>
        <v>0</v>
      </c>
      <c r="CL207" s="473">
        <f>блюда!CL50</f>
        <v>0</v>
      </c>
      <c r="CM207" s="473">
        <f>блюда!CM50</f>
        <v>0</v>
      </c>
      <c r="CN207" s="473">
        <f>блюда!CN50</f>
        <v>0</v>
      </c>
      <c r="CO207" s="473">
        <f>блюда!CO50</f>
        <v>0</v>
      </c>
      <c r="CP207" s="473">
        <f>блюда!CP50</f>
        <v>0</v>
      </c>
      <c r="CQ207" s="473">
        <f>блюда!CQ50</f>
        <v>0</v>
      </c>
      <c r="CR207" s="473">
        <f>блюда!CR50</f>
        <v>0</v>
      </c>
      <c r="CS207" s="473">
        <f>блюда!CS50</f>
        <v>0</v>
      </c>
      <c r="CT207" s="473">
        <f>блюда!CT50</f>
        <v>0</v>
      </c>
      <c r="CU207" s="473">
        <f>блюда!CU50</f>
        <v>0</v>
      </c>
      <c r="CV207" s="473">
        <f>блюда!CV50</f>
        <v>0</v>
      </c>
      <c r="CW207" s="473">
        <f>блюда!CW50</f>
        <v>0</v>
      </c>
      <c r="CX207" s="473">
        <f>блюда!CX50</f>
        <v>0</v>
      </c>
      <c r="CY207" s="473">
        <f>блюда!CY50</f>
        <v>0</v>
      </c>
      <c r="CZ207" s="473">
        <f>блюда!CZ50</f>
        <v>0</v>
      </c>
      <c r="DA207" s="473">
        <f>блюда!DA50</f>
        <v>0</v>
      </c>
      <c r="DB207" s="473">
        <f>блюда!DB50</f>
        <v>0</v>
      </c>
      <c r="DC207" s="473">
        <f>блюда!DC50</f>
        <v>0</v>
      </c>
      <c r="DD207" s="473">
        <f>блюда!DD50</f>
        <v>0</v>
      </c>
      <c r="DE207" s="473">
        <f>блюда!DE50</f>
        <v>0</v>
      </c>
      <c r="DF207" s="473">
        <f>блюда!DF50</f>
        <v>0</v>
      </c>
      <c r="DG207" s="473">
        <f>блюда!DG50</f>
        <v>0</v>
      </c>
      <c r="DH207" s="473">
        <f>блюда!DH50</f>
        <v>0</v>
      </c>
      <c r="DI207" s="473">
        <f>блюда!DI50</f>
        <v>0</v>
      </c>
      <c r="DJ207" s="473">
        <f>блюда!DJ50</f>
        <v>0</v>
      </c>
      <c r="DK207" s="473">
        <f>блюда!DK50</f>
        <v>0</v>
      </c>
      <c r="DL207" s="473">
        <f>блюда!DL50</f>
        <v>0</v>
      </c>
      <c r="DM207" s="473">
        <f>блюда!DM50</f>
        <v>0</v>
      </c>
      <c r="DN207" s="473">
        <f>блюда!DN50</f>
        <v>0</v>
      </c>
      <c r="DO207" s="473">
        <f>блюда!DO50</f>
        <v>0</v>
      </c>
      <c r="DP207" s="473">
        <f>блюда!DP50</f>
        <v>0</v>
      </c>
      <c r="DQ207" s="473">
        <f>блюда!DQ50</f>
        <v>0</v>
      </c>
      <c r="DR207" s="473">
        <f>блюда!DR50</f>
        <v>0</v>
      </c>
      <c r="DS207" s="473">
        <f>блюда!DS50</f>
        <v>0</v>
      </c>
      <c r="DT207" s="473">
        <f>блюда!DT50</f>
        <v>0</v>
      </c>
      <c r="DU207" s="473">
        <f>блюда!DU50</f>
        <v>0</v>
      </c>
      <c r="DV207" s="473">
        <f>блюда!DV50</f>
        <v>0</v>
      </c>
      <c r="DW207" s="473">
        <f>блюда!DW50</f>
        <v>0</v>
      </c>
      <c r="DX207" s="473">
        <f>блюда!DX50</f>
        <v>0</v>
      </c>
      <c r="DY207" s="473">
        <f>блюда!DY50</f>
        <v>0</v>
      </c>
      <c r="DZ207" s="473">
        <f>блюда!DZ50</f>
        <v>0</v>
      </c>
      <c r="EA207" s="473">
        <f>блюда!EA50</f>
        <v>0</v>
      </c>
      <c r="EB207" s="473">
        <f>блюда!EB50</f>
        <v>0</v>
      </c>
      <c r="EC207" s="473">
        <f>блюда!EC50</f>
        <v>0</v>
      </c>
      <c r="ED207" s="473">
        <f>блюда!ED50</f>
        <v>0</v>
      </c>
      <c r="EE207" s="473">
        <f>блюда!EE50</f>
        <v>0</v>
      </c>
      <c r="EF207" s="473">
        <f>блюда!EF50</f>
        <v>0</v>
      </c>
      <c r="EG207" s="473">
        <f>блюда!EG50</f>
        <v>0</v>
      </c>
      <c r="EH207" s="473">
        <f>блюда!EH50</f>
        <v>0</v>
      </c>
      <c r="EI207" s="473">
        <f>блюда!EI50</f>
        <v>0</v>
      </c>
      <c r="EJ207" s="473">
        <f>блюда!EJ50</f>
        <v>0</v>
      </c>
      <c r="EK207" s="473">
        <f>блюда!EK50</f>
        <v>0</v>
      </c>
      <c r="EL207" s="473">
        <f>блюда!EL50</f>
        <v>0</v>
      </c>
      <c r="EM207" s="473">
        <f>блюда!EM50</f>
        <v>0</v>
      </c>
      <c r="EN207" s="473">
        <f>блюда!EN50</f>
        <v>0</v>
      </c>
      <c r="EO207" s="473">
        <f>блюда!EO50</f>
        <v>0</v>
      </c>
      <c r="EP207" s="473">
        <f>блюда!EP50</f>
        <v>0</v>
      </c>
      <c r="EQ207" s="473">
        <f>блюда!EQ50</f>
        <v>0</v>
      </c>
      <c r="ER207" s="473">
        <f>блюда!ER50</f>
        <v>0</v>
      </c>
      <c r="ES207" s="473">
        <f>блюда!ES50</f>
        <v>0</v>
      </c>
      <c r="ET207" s="473">
        <f>блюда!ET50</f>
        <v>0</v>
      </c>
      <c r="EU207" s="473">
        <f>блюда!EU50</f>
        <v>0</v>
      </c>
      <c r="EV207" s="473">
        <f>блюда!EV50</f>
        <v>0</v>
      </c>
      <c r="EW207" s="473">
        <f>блюда!EW50</f>
        <v>0</v>
      </c>
      <c r="EX207" s="473">
        <f>блюда!EX50</f>
        <v>0</v>
      </c>
      <c r="EY207" s="927">
        <f t="shared" ref="EY207:EY221" si="139">SUM(J207:EX207)</f>
        <v>6.7100000000000007E-2</v>
      </c>
      <c r="EZ207" s="117">
        <f>блюда!EZ36</f>
        <v>0</v>
      </c>
      <c r="FA207" s="117">
        <f>блюда!FA36</f>
        <v>0</v>
      </c>
      <c r="FB207" s="117">
        <f>блюда!FB36</f>
        <v>0</v>
      </c>
      <c r="FC207" s="117">
        <f>блюда!FC36</f>
        <v>0</v>
      </c>
      <c r="FD207" s="117">
        <f>блюда!FD36</f>
        <v>0</v>
      </c>
      <c r="FE207" s="117">
        <f>блюда!FE36</f>
        <v>0</v>
      </c>
      <c r="FF207" s="117">
        <f>блюда!FF36</f>
        <v>0</v>
      </c>
      <c r="FG207" s="117">
        <f>блюда!FG36</f>
        <v>0</v>
      </c>
      <c r="FH207" s="117">
        <f>блюда!FH36</f>
        <v>0</v>
      </c>
      <c r="FI207" s="117">
        <f>блюда!FI36</f>
        <v>0</v>
      </c>
      <c r="FJ207" s="117">
        <f>блюда!FJ36</f>
        <v>0</v>
      </c>
      <c r="FK207" s="117">
        <f>блюда!FK36</f>
        <v>0</v>
      </c>
      <c r="FL207" s="117">
        <f>блюда!FL36</f>
        <v>0</v>
      </c>
    </row>
    <row r="208" spans="1:168" x14ac:dyDescent="0.25">
      <c r="A208" s="1460"/>
      <c r="B208" s="115" t="str">
        <f>блюда!B52</f>
        <v>Борщ с капустой и картофелем, со сметаной</v>
      </c>
      <c r="C208" s="250">
        <f>блюда!C52</f>
        <v>250</v>
      </c>
      <c r="D208" s="431">
        <f>блюда!D52</f>
        <v>1.8</v>
      </c>
      <c r="E208" s="431">
        <f>блюда!E52</f>
        <v>4.92</v>
      </c>
      <c r="F208" s="431">
        <f>блюда!F52</f>
        <v>10.93</v>
      </c>
      <c r="G208" s="250">
        <f>блюда!G52</f>
        <v>104</v>
      </c>
      <c r="H208" s="250">
        <f>блюда!H52</f>
        <v>82</v>
      </c>
      <c r="I208" s="431">
        <f>блюда!I52</f>
        <v>10.8</v>
      </c>
      <c r="J208" s="473">
        <f>блюда!J52</f>
        <v>0</v>
      </c>
      <c r="K208" s="473">
        <f>блюда!K52</f>
        <v>0</v>
      </c>
      <c r="L208" s="473">
        <f>блюда!L52</f>
        <v>0</v>
      </c>
      <c r="M208" s="473">
        <f>блюда!M52</f>
        <v>0</v>
      </c>
      <c r="N208" s="473">
        <f>блюда!N52</f>
        <v>0</v>
      </c>
      <c r="O208" s="473">
        <f>блюда!O52</f>
        <v>0</v>
      </c>
      <c r="P208" s="473">
        <f>блюда!P52</f>
        <v>0</v>
      </c>
      <c r="Q208" s="473">
        <f>блюда!Q52</f>
        <v>0</v>
      </c>
      <c r="R208" s="473">
        <f>блюда!R52</f>
        <v>0</v>
      </c>
      <c r="S208" s="473">
        <f>блюда!S52</f>
        <v>0</v>
      </c>
      <c r="T208" s="473">
        <f>блюда!T52</f>
        <v>0</v>
      </c>
      <c r="U208" s="473">
        <f>блюда!U52</f>
        <v>0</v>
      </c>
      <c r="V208" s="473">
        <f>блюда!V52</f>
        <v>0</v>
      </c>
      <c r="W208" s="473">
        <f>блюда!W52</f>
        <v>0</v>
      </c>
      <c r="X208" s="473">
        <f>блюда!X52</f>
        <v>0</v>
      </c>
      <c r="Y208" s="473">
        <f>блюда!Y52</f>
        <v>5.0000000000000001E-3</v>
      </c>
      <c r="Z208" s="473">
        <f>блюда!Z52</f>
        <v>0</v>
      </c>
      <c r="AA208" s="473">
        <f>блюда!AA52</f>
        <v>0</v>
      </c>
      <c r="AB208" s="473">
        <f>блюда!AB52</f>
        <v>0</v>
      </c>
      <c r="AC208" s="473">
        <f>блюда!AC52</f>
        <v>0</v>
      </c>
      <c r="AD208" s="473">
        <f>блюда!AD52</f>
        <v>0</v>
      </c>
      <c r="AE208" s="473">
        <f>блюда!AE52</f>
        <v>0</v>
      </c>
      <c r="AF208" s="473">
        <f>блюда!AF52</f>
        <v>2.5000000000000001E-2</v>
      </c>
      <c r="AG208" s="473">
        <f>блюда!AG52</f>
        <v>0</v>
      </c>
      <c r="AH208" s="473">
        <f>блюда!AH52</f>
        <v>2.6749999999999999E-2</v>
      </c>
      <c r="AI208" s="473">
        <f>блюда!AI52</f>
        <v>0</v>
      </c>
      <c r="AJ208" s="473">
        <f>блюда!AJ52</f>
        <v>0</v>
      </c>
      <c r="AK208" s="473">
        <f>блюда!AK52</f>
        <v>1.2E-2</v>
      </c>
      <c r="AL208" s="473">
        <f>блюда!AL52</f>
        <v>0</v>
      </c>
      <c r="AM208" s="473">
        <f>блюда!AM52</f>
        <v>0</v>
      </c>
      <c r="AN208" s="473">
        <f>блюда!AN52</f>
        <v>0</v>
      </c>
      <c r="AO208" s="473">
        <f>блюда!AO52</f>
        <v>0</v>
      </c>
      <c r="AP208" s="473">
        <f>блюда!AP52</f>
        <v>0</v>
      </c>
      <c r="AQ208" s="473">
        <f>блюда!AQ52</f>
        <v>1.2500000000000001E-2</v>
      </c>
      <c r="AR208" s="473">
        <f>блюда!AR52</f>
        <v>0</v>
      </c>
      <c r="AS208" s="473">
        <f>блюда!AS52</f>
        <v>0</v>
      </c>
      <c r="AT208" s="473">
        <f>блюда!AT52</f>
        <v>3.2499999999999999E-3</v>
      </c>
      <c r="AU208" s="473">
        <f>блюда!AU52</f>
        <v>2E-3</v>
      </c>
      <c r="AV208" s="473">
        <f>блюда!AV52</f>
        <v>0</v>
      </c>
      <c r="AW208" s="473">
        <f>блюда!AW52</f>
        <v>0</v>
      </c>
      <c r="AX208" s="473">
        <f>блюда!AX52</f>
        <v>0.05</v>
      </c>
      <c r="AY208" s="473">
        <f>блюда!AY52</f>
        <v>0</v>
      </c>
      <c r="AZ208" s="473">
        <f>блюда!AZ52</f>
        <v>0</v>
      </c>
      <c r="BA208" s="473">
        <f>блюда!BA52</f>
        <v>0</v>
      </c>
      <c r="BB208" s="473">
        <f>блюда!BB52</f>
        <v>0</v>
      </c>
      <c r="BC208" s="473">
        <f>блюда!BC52</f>
        <v>0</v>
      </c>
      <c r="BD208" s="473">
        <f>блюда!BD52</f>
        <v>0</v>
      </c>
      <c r="BE208" s="473">
        <f>блюда!BE52</f>
        <v>0</v>
      </c>
      <c r="BF208" s="473">
        <f>блюда!BF52</f>
        <v>0</v>
      </c>
      <c r="BG208" s="473">
        <f>блюда!BG52</f>
        <v>0</v>
      </c>
      <c r="BH208" s="473">
        <f>блюда!BH52</f>
        <v>0</v>
      </c>
      <c r="BI208" s="473">
        <f>блюда!BI52</f>
        <v>0</v>
      </c>
      <c r="BJ208" s="473">
        <f>блюда!BJ52</f>
        <v>0</v>
      </c>
      <c r="BK208" s="473">
        <f>блюда!BK52</f>
        <v>0</v>
      </c>
      <c r="BL208" s="473">
        <f>блюда!BL52</f>
        <v>0</v>
      </c>
      <c r="BM208" s="473">
        <f>блюда!BM52</f>
        <v>0</v>
      </c>
      <c r="BN208" s="473">
        <f>блюда!BN52</f>
        <v>0</v>
      </c>
      <c r="BO208" s="473">
        <f>блюда!BO52</f>
        <v>0</v>
      </c>
      <c r="BP208" s="473">
        <f>блюда!BP52</f>
        <v>0</v>
      </c>
      <c r="BQ208" s="473">
        <f>блюда!BQ52</f>
        <v>0</v>
      </c>
      <c r="BR208" s="473">
        <f>блюда!BR52</f>
        <v>0</v>
      </c>
      <c r="BS208" s="473">
        <f>блюда!BS52</f>
        <v>2.5000000000000001E-3</v>
      </c>
      <c r="BT208" s="473">
        <f>блюда!BT52</f>
        <v>0</v>
      </c>
      <c r="BU208" s="473">
        <f>блюда!BU52</f>
        <v>0</v>
      </c>
      <c r="BV208" s="473">
        <f>блюда!BV52</f>
        <v>0</v>
      </c>
      <c r="BW208" s="473">
        <f>блюда!BW52</f>
        <v>0</v>
      </c>
      <c r="BX208" s="473">
        <f>блюда!BX52</f>
        <v>0</v>
      </c>
      <c r="BY208" s="473">
        <f>блюда!BY52</f>
        <v>0</v>
      </c>
      <c r="BZ208" s="473">
        <f>блюда!BZ52</f>
        <v>0</v>
      </c>
      <c r="CA208" s="473">
        <f>блюда!CA52</f>
        <v>0</v>
      </c>
      <c r="CB208" s="473">
        <f>блюда!CB52</f>
        <v>0</v>
      </c>
      <c r="CC208" s="473">
        <f>блюда!CC52</f>
        <v>0</v>
      </c>
      <c r="CD208" s="473">
        <f>блюда!CD52</f>
        <v>0</v>
      </c>
      <c r="CE208" s="473">
        <f>блюда!CE52</f>
        <v>0</v>
      </c>
      <c r="CF208" s="473">
        <f>блюда!CF52</f>
        <v>5.0000000000000001E-3</v>
      </c>
      <c r="CG208" s="473">
        <f>блюда!CG52</f>
        <v>0</v>
      </c>
      <c r="CH208" s="473">
        <f>блюда!CH52</f>
        <v>0</v>
      </c>
      <c r="CI208" s="473">
        <f>блюда!CI52</f>
        <v>0</v>
      </c>
      <c r="CJ208" s="473">
        <f>блюда!CJ52</f>
        <v>0</v>
      </c>
      <c r="CK208" s="473">
        <f>блюда!CK52</f>
        <v>0</v>
      </c>
      <c r="CL208" s="473">
        <f>блюда!CL52</f>
        <v>0</v>
      </c>
      <c r="CM208" s="473">
        <f>блюда!CM52</f>
        <v>0</v>
      </c>
      <c r="CN208" s="473">
        <f>блюда!CN52</f>
        <v>0</v>
      </c>
      <c r="CO208" s="473">
        <f>блюда!CO52</f>
        <v>0</v>
      </c>
      <c r="CP208" s="473">
        <f>блюда!CP52</f>
        <v>0</v>
      </c>
      <c r="CQ208" s="473">
        <f>блюда!CQ52</f>
        <v>0</v>
      </c>
      <c r="CR208" s="473">
        <f>блюда!CR52</f>
        <v>0</v>
      </c>
      <c r="CS208" s="473">
        <f>блюда!CS52</f>
        <v>0</v>
      </c>
      <c r="CT208" s="473">
        <f>блюда!CT52</f>
        <v>0</v>
      </c>
      <c r="CU208" s="473">
        <f>блюда!CU52</f>
        <v>0</v>
      </c>
      <c r="CV208" s="473">
        <f>блюда!CV52</f>
        <v>0</v>
      </c>
      <c r="CW208" s="473">
        <f>блюда!CW52</f>
        <v>0</v>
      </c>
      <c r="CX208" s="473">
        <f>блюда!CX52</f>
        <v>0</v>
      </c>
      <c r="CY208" s="473">
        <f>блюда!CY52</f>
        <v>0</v>
      </c>
      <c r="CZ208" s="473">
        <f>блюда!CZ52</f>
        <v>2.5000000000000001E-3</v>
      </c>
      <c r="DA208" s="473">
        <f>блюда!DA52</f>
        <v>0</v>
      </c>
      <c r="DB208" s="473">
        <f>блюда!DB52</f>
        <v>0</v>
      </c>
      <c r="DC208" s="473">
        <f>блюда!DC52</f>
        <v>2.5000000000000001E-3</v>
      </c>
      <c r="DD208" s="473">
        <f>блюда!DD52</f>
        <v>0</v>
      </c>
      <c r="DE208" s="473">
        <f>блюда!DE52</f>
        <v>0</v>
      </c>
      <c r="DF208" s="473">
        <f>блюда!DF52</f>
        <v>7.4999999999999997E-3</v>
      </c>
      <c r="DG208" s="473">
        <f>блюда!DG52</f>
        <v>0</v>
      </c>
      <c r="DH208" s="473">
        <f>блюда!DH52</f>
        <v>0</v>
      </c>
      <c r="DI208" s="473">
        <f>блюда!DI52</f>
        <v>0</v>
      </c>
      <c r="DJ208" s="473">
        <f>блюда!DJ52</f>
        <v>0</v>
      </c>
      <c r="DK208" s="473">
        <f>блюда!DK52</f>
        <v>0</v>
      </c>
      <c r="DL208" s="473">
        <f>блюда!DL52</f>
        <v>0</v>
      </c>
      <c r="DM208" s="473">
        <f>блюда!DM52</f>
        <v>0</v>
      </c>
      <c r="DN208" s="473">
        <f>блюда!DN52</f>
        <v>0</v>
      </c>
      <c r="DO208" s="473">
        <f>блюда!DO52</f>
        <v>0</v>
      </c>
      <c r="DP208" s="473">
        <f>блюда!DP52</f>
        <v>0</v>
      </c>
      <c r="DQ208" s="473">
        <f>блюда!DQ52</f>
        <v>0</v>
      </c>
      <c r="DR208" s="473">
        <f>блюда!DR52</f>
        <v>0</v>
      </c>
      <c r="DS208" s="473">
        <f>блюда!DS52</f>
        <v>0</v>
      </c>
      <c r="DT208" s="473">
        <f>блюда!DT52</f>
        <v>0</v>
      </c>
      <c r="DU208" s="473">
        <f>блюда!DU52</f>
        <v>0</v>
      </c>
      <c r="DV208" s="473">
        <f>блюда!DV52</f>
        <v>0</v>
      </c>
      <c r="DW208" s="473">
        <f>блюда!DW52</f>
        <v>0</v>
      </c>
      <c r="DX208" s="473">
        <f>блюда!DX52</f>
        <v>0</v>
      </c>
      <c r="DY208" s="473">
        <f>блюда!DY52</f>
        <v>0</v>
      </c>
      <c r="DZ208" s="473">
        <f>блюда!DZ52</f>
        <v>0</v>
      </c>
      <c r="EA208" s="473">
        <f>блюда!EA52</f>
        <v>0</v>
      </c>
      <c r="EB208" s="473">
        <f>блюда!EB52</f>
        <v>0</v>
      </c>
      <c r="EC208" s="473">
        <f>блюда!EC52</f>
        <v>0</v>
      </c>
      <c r="ED208" s="473">
        <f>блюда!ED52</f>
        <v>0</v>
      </c>
      <c r="EE208" s="473">
        <f>блюда!EE52</f>
        <v>0</v>
      </c>
      <c r="EF208" s="473">
        <f>блюда!EF52</f>
        <v>0</v>
      </c>
      <c r="EG208" s="473">
        <f>блюда!EG52</f>
        <v>0</v>
      </c>
      <c r="EH208" s="473">
        <f>блюда!EH52</f>
        <v>0</v>
      </c>
      <c r="EI208" s="473">
        <f>блюда!EI52</f>
        <v>0</v>
      </c>
      <c r="EJ208" s="473">
        <f>блюда!EJ52</f>
        <v>0</v>
      </c>
      <c r="EK208" s="473">
        <f>блюда!EK52</f>
        <v>0</v>
      </c>
      <c r="EL208" s="473">
        <f>блюда!EL52</f>
        <v>0</v>
      </c>
      <c r="EM208" s="473">
        <f>блюда!EM52</f>
        <v>0</v>
      </c>
      <c r="EN208" s="473">
        <f>блюда!EN52</f>
        <v>0</v>
      </c>
      <c r="EO208" s="473">
        <f>блюда!EO52</f>
        <v>0</v>
      </c>
      <c r="EP208" s="473">
        <f>блюда!EP52</f>
        <v>0</v>
      </c>
      <c r="EQ208" s="473">
        <f>блюда!EQ52</f>
        <v>0</v>
      </c>
      <c r="ER208" s="473">
        <f>блюда!ER52</f>
        <v>0</v>
      </c>
      <c r="ES208" s="473">
        <f>блюда!ES52</f>
        <v>0</v>
      </c>
      <c r="ET208" s="473">
        <f>блюда!ET52</f>
        <v>0</v>
      </c>
      <c r="EU208" s="473">
        <f>блюда!EU52</f>
        <v>0</v>
      </c>
      <c r="EV208" s="473">
        <f>блюда!EV52</f>
        <v>0</v>
      </c>
      <c r="EW208" s="473">
        <f>блюда!EW52</f>
        <v>0</v>
      </c>
      <c r="EX208" s="473">
        <f>блюда!EX52</f>
        <v>0</v>
      </c>
      <c r="EY208" s="927">
        <f t="shared" si="139"/>
        <v>0.1565</v>
      </c>
      <c r="EZ208" s="117">
        <f>блюда!EZ52</f>
        <v>0</v>
      </c>
      <c r="FA208" s="117">
        <f>блюда!FA52</f>
        <v>0</v>
      </c>
      <c r="FB208" s="117">
        <f>блюда!FB52</f>
        <v>0</v>
      </c>
      <c r="FC208" s="117">
        <f>блюда!FC52</f>
        <v>0</v>
      </c>
      <c r="FD208" s="117">
        <f>блюда!FD52</f>
        <v>0</v>
      </c>
      <c r="FE208" s="117">
        <f>блюда!FE52</f>
        <v>0</v>
      </c>
      <c r="FF208" s="117">
        <f>блюда!FF52</f>
        <v>0</v>
      </c>
      <c r="FG208" s="117">
        <f>блюда!FG52</f>
        <v>0</v>
      </c>
      <c r="FH208" s="117">
        <f>блюда!FH52</f>
        <v>0</v>
      </c>
      <c r="FI208" s="117">
        <f>блюда!FI52</f>
        <v>0</v>
      </c>
      <c r="FJ208" s="117">
        <f>блюда!FJ52</f>
        <v>0</v>
      </c>
      <c r="FK208" s="117">
        <f>блюда!FK52</f>
        <v>0</v>
      </c>
      <c r="FL208" s="117">
        <f>блюда!FL52</f>
        <v>0</v>
      </c>
    </row>
    <row r="209" spans="1:168" x14ac:dyDescent="0.25">
      <c r="A209" s="1460"/>
      <c r="B209" s="943" t="str">
        <f>блюда!B187</f>
        <v>Гуляш с соусом томатным (2 вариант)</v>
      </c>
      <c r="C209" s="250">
        <f>блюда!C187</f>
        <v>140</v>
      </c>
      <c r="D209" s="431">
        <f>блюда!D187</f>
        <v>20.37</v>
      </c>
      <c r="E209" s="431">
        <f>блюда!E187</f>
        <v>23.51</v>
      </c>
      <c r="F209" s="431">
        <f>блюда!F187</f>
        <v>4.05</v>
      </c>
      <c r="G209" s="250">
        <f>блюда!G187</f>
        <v>309</v>
      </c>
      <c r="H209" s="250">
        <f>блюда!H187</f>
        <v>260</v>
      </c>
      <c r="I209" s="431">
        <f>блюда!I187</f>
        <v>95.05</v>
      </c>
      <c r="J209" s="473">
        <f>блюда!J187</f>
        <v>0.15</v>
      </c>
      <c r="K209" s="473">
        <f>блюда!K187</f>
        <v>0</v>
      </c>
      <c r="L209" s="473">
        <f>блюда!L187</f>
        <v>0</v>
      </c>
      <c r="M209" s="473">
        <f>блюда!M187</f>
        <v>0</v>
      </c>
      <c r="N209" s="473">
        <f>блюда!N187</f>
        <v>0</v>
      </c>
      <c r="O209" s="473">
        <f>блюда!O187</f>
        <v>0</v>
      </c>
      <c r="P209" s="473">
        <f>блюда!P187</f>
        <v>0</v>
      </c>
      <c r="Q209" s="473">
        <f>блюда!Q187</f>
        <v>0</v>
      </c>
      <c r="R209" s="473">
        <f>блюда!R187</f>
        <v>0</v>
      </c>
      <c r="S209" s="473">
        <f>блюда!S187</f>
        <v>0</v>
      </c>
      <c r="T209" s="473">
        <f>блюда!T187</f>
        <v>0</v>
      </c>
      <c r="U209" s="473">
        <f>блюда!U187</f>
        <v>0</v>
      </c>
      <c r="V209" s="473">
        <f>блюда!V187</f>
        <v>0</v>
      </c>
      <c r="W209" s="473">
        <f>блюда!W187</f>
        <v>0</v>
      </c>
      <c r="X209" s="473">
        <f>блюда!X187</f>
        <v>0</v>
      </c>
      <c r="Y209" s="473">
        <f>блюда!Y187</f>
        <v>2.1000000000000001E-2</v>
      </c>
      <c r="Z209" s="473">
        <f>блюда!Z187</f>
        <v>0</v>
      </c>
      <c r="AA209" s="473">
        <f>блюда!AA187</f>
        <v>0</v>
      </c>
      <c r="AB209" s="473">
        <f>блюда!AB187</f>
        <v>0</v>
      </c>
      <c r="AC209" s="473">
        <f>блюда!AC187</f>
        <v>0</v>
      </c>
      <c r="AD209" s="473">
        <f>блюда!AD187</f>
        <v>0</v>
      </c>
      <c r="AE209" s="473">
        <f>блюда!AE187</f>
        <v>0</v>
      </c>
      <c r="AF209" s="473">
        <f>блюда!AF187</f>
        <v>0</v>
      </c>
      <c r="AG209" s="473">
        <f>блюда!AG187</f>
        <v>0</v>
      </c>
      <c r="AH209" s="473">
        <f>блюда!AH187</f>
        <v>0</v>
      </c>
      <c r="AI209" s="473">
        <f>блюда!AI187</f>
        <v>0</v>
      </c>
      <c r="AJ209" s="473">
        <f>блюда!AJ187</f>
        <v>0</v>
      </c>
      <c r="AK209" s="473">
        <f>блюда!AK187</f>
        <v>1.7000000000000001E-2</v>
      </c>
      <c r="AL209" s="473">
        <f>блюда!AL187</f>
        <v>2.8E-3</v>
      </c>
      <c r="AM209" s="473">
        <f>блюда!AM187</f>
        <v>0</v>
      </c>
      <c r="AN209" s="473">
        <f>блюда!AN187</f>
        <v>0</v>
      </c>
      <c r="AO209" s="473">
        <f>блюда!AO187</f>
        <v>0</v>
      </c>
      <c r="AP209" s="473">
        <f>блюда!AP187</f>
        <v>0</v>
      </c>
      <c r="AQ209" s="473">
        <f>блюда!AQ187</f>
        <v>0</v>
      </c>
      <c r="AR209" s="473">
        <f>блюда!AR187</f>
        <v>0</v>
      </c>
      <c r="AS209" s="473">
        <f>блюда!AS187</f>
        <v>0</v>
      </c>
      <c r="AT209" s="473">
        <f>блюда!AT187</f>
        <v>0</v>
      </c>
      <c r="AU209" s="473">
        <f>блюда!AU187</f>
        <v>2.8E-3</v>
      </c>
      <c r="AV209" s="473">
        <f>блюда!AV187</f>
        <v>0</v>
      </c>
      <c r="AW209" s="473">
        <f>блюда!AW187</f>
        <v>0</v>
      </c>
      <c r="AX209" s="473">
        <f>блюда!AX187</f>
        <v>0</v>
      </c>
      <c r="AY209" s="473">
        <f>блюда!AY187</f>
        <v>0</v>
      </c>
      <c r="AZ209" s="473">
        <f>блюда!AZ187</f>
        <v>0</v>
      </c>
      <c r="BA209" s="473">
        <f>блюда!BA187</f>
        <v>0</v>
      </c>
      <c r="BB209" s="473">
        <f>блюда!BB187</f>
        <v>0</v>
      </c>
      <c r="BC209" s="473">
        <f>блюда!BC187</f>
        <v>0</v>
      </c>
      <c r="BD209" s="473">
        <f>блюда!BD187</f>
        <v>0</v>
      </c>
      <c r="BE209" s="473">
        <f>блюда!BE187</f>
        <v>0</v>
      </c>
      <c r="BF209" s="473">
        <f>блюда!BF187</f>
        <v>0</v>
      </c>
      <c r="BG209" s="473">
        <f>блюда!BG187</f>
        <v>0</v>
      </c>
      <c r="BH209" s="473">
        <f>блюда!BH187</f>
        <v>0</v>
      </c>
      <c r="BI209" s="473">
        <f>блюда!BI187</f>
        <v>0</v>
      </c>
      <c r="BJ209" s="473">
        <f>блюда!BJ187</f>
        <v>0</v>
      </c>
      <c r="BK209" s="473">
        <f>блюда!BK187</f>
        <v>0</v>
      </c>
      <c r="BL209" s="473">
        <f>блюда!BL187</f>
        <v>0</v>
      </c>
      <c r="BM209" s="473">
        <f>блюда!BM187</f>
        <v>0</v>
      </c>
      <c r="BN209" s="473">
        <f>блюда!BN187</f>
        <v>0</v>
      </c>
      <c r="BO209" s="473">
        <f>блюда!BO187</f>
        <v>0</v>
      </c>
      <c r="BP209" s="473">
        <f>блюда!BP187</f>
        <v>0</v>
      </c>
      <c r="BQ209" s="473">
        <f>блюда!BQ187</f>
        <v>0</v>
      </c>
      <c r="BR209" s="473">
        <f>блюда!BR187</f>
        <v>0</v>
      </c>
      <c r="BS209" s="473">
        <f>блюда!BS187</f>
        <v>3.0000000000000001E-3</v>
      </c>
      <c r="BT209" s="473">
        <f>блюда!BT187</f>
        <v>0</v>
      </c>
      <c r="BU209" s="473">
        <f>блюда!BU187</f>
        <v>0</v>
      </c>
      <c r="BV209" s="473">
        <f>блюда!BV187</f>
        <v>0</v>
      </c>
      <c r="BW209" s="473">
        <f>блюда!BW187</f>
        <v>0</v>
      </c>
      <c r="BX209" s="473">
        <f>блюда!BX187</f>
        <v>0</v>
      </c>
      <c r="BY209" s="473">
        <f>блюда!BY187</f>
        <v>0</v>
      </c>
      <c r="BZ209" s="473">
        <f>блюда!BZ187</f>
        <v>0</v>
      </c>
      <c r="CA209" s="473">
        <f>блюда!CA187</f>
        <v>0</v>
      </c>
      <c r="CB209" s="473">
        <f>блюда!CB187</f>
        <v>0</v>
      </c>
      <c r="CC209" s="473">
        <f>блюда!CC187</f>
        <v>0</v>
      </c>
      <c r="CD209" s="473">
        <f>блюда!CD187</f>
        <v>0</v>
      </c>
      <c r="CE209" s="473">
        <f>блюда!CE187</f>
        <v>0</v>
      </c>
      <c r="CF209" s="473">
        <f>блюда!CF187</f>
        <v>7.0000000000000001E-3</v>
      </c>
      <c r="CG209" s="473">
        <f>блюда!CG187</f>
        <v>0</v>
      </c>
      <c r="CH209" s="473">
        <f>блюда!CH187</f>
        <v>0</v>
      </c>
      <c r="CI209" s="473">
        <f>блюда!CI187</f>
        <v>0</v>
      </c>
      <c r="CJ209" s="473">
        <f>блюда!CJ187</f>
        <v>0</v>
      </c>
      <c r="CK209" s="473">
        <f>блюда!CK187</f>
        <v>0</v>
      </c>
      <c r="CL209" s="473">
        <f>блюда!CL187</f>
        <v>0</v>
      </c>
      <c r="CM209" s="473">
        <f>блюда!CM187</f>
        <v>0</v>
      </c>
      <c r="CN209" s="473">
        <f>блюда!CN187</f>
        <v>0</v>
      </c>
      <c r="CO209" s="473">
        <f>блюда!CO187</f>
        <v>0</v>
      </c>
      <c r="CP209" s="473">
        <f>блюда!CP187</f>
        <v>0</v>
      </c>
      <c r="CQ209" s="473">
        <f>блюда!CQ187</f>
        <v>0</v>
      </c>
      <c r="CR209" s="473">
        <f>блюда!CR187</f>
        <v>0</v>
      </c>
      <c r="CS209" s="473">
        <f>блюда!CS187</f>
        <v>3.0000000000000001E-5</v>
      </c>
      <c r="CT209" s="473">
        <f>блюда!CT187</f>
        <v>0</v>
      </c>
      <c r="CU209" s="473">
        <f>блюда!CU187</f>
        <v>0</v>
      </c>
      <c r="CV209" s="473">
        <f>блюда!CV187</f>
        <v>0</v>
      </c>
      <c r="CW209" s="473">
        <f>блюда!CW187</f>
        <v>0</v>
      </c>
      <c r="CX209" s="473">
        <f>блюда!CX187</f>
        <v>0</v>
      </c>
      <c r="CY209" s="473">
        <f>блюда!CY187</f>
        <v>0</v>
      </c>
      <c r="CZ209" s="473">
        <f>блюда!CZ187</f>
        <v>0</v>
      </c>
      <c r="DA209" s="473">
        <f>блюда!DA187</f>
        <v>0</v>
      </c>
      <c r="DB209" s="473">
        <f>блюда!DB187</f>
        <v>0</v>
      </c>
      <c r="DC209" s="473">
        <f>блюда!DC187</f>
        <v>4.0000000000000001E-3</v>
      </c>
      <c r="DD209" s="473">
        <f>блюда!DD187</f>
        <v>0</v>
      </c>
      <c r="DE209" s="473">
        <f>блюда!DE187</f>
        <v>0</v>
      </c>
      <c r="DF209" s="473">
        <f>блюда!DF187</f>
        <v>1.0999999999999999E-2</v>
      </c>
      <c r="DG209" s="473">
        <f>блюда!DG187</f>
        <v>0</v>
      </c>
      <c r="DH209" s="473">
        <f>блюда!DH187</f>
        <v>0</v>
      </c>
      <c r="DI209" s="473">
        <f>блюда!DI187</f>
        <v>0</v>
      </c>
      <c r="DJ209" s="473">
        <f>блюда!DJ187</f>
        <v>0</v>
      </c>
      <c r="DK209" s="473">
        <f>блюда!DK187</f>
        <v>0</v>
      </c>
      <c r="DL209" s="473">
        <f>блюда!DL187</f>
        <v>0</v>
      </c>
      <c r="DM209" s="473">
        <f>блюда!DM187</f>
        <v>0</v>
      </c>
      <c r="DN209" s="473">
        <f>блюда!DN187</f>
        <v>0</v>
      </c>
      <c r="DO209" s="473">
        <f>блюда!DO187</f>
        <v>0</v>
      </c>
      <c r="DP209" s="473">
        <f>блюда!DP187</f>
        <v>0</v>
      </c>
      <c r="DQ209" s="473">
        <f>блюда!DQ187</f>
        <v>0</v>
      </c>
      <c r="DR209" s="473">
        <f>блюда!DR187</f>
        <v>0</v>
      </c>
      <c r="DS209" s="473">
        <f>блюда!DS187</f>
        <v>0</v>
      </c>
      <c r="DT209" s="473">
        <f>блюда!DT187</f>
        <v>0</v>
      </c>
      <c r="DU209" s="473">
        <f>блюда!DU187</f>
        <v>0</v>
      </c>
      <c r="DV209" s="473">
        <f>блюда!DV187</f>
        <v>0</v>
      </c>
      <c r="DW209" s="473">
        <f>блюда!DW187</f>
        <v>0</v>
      </c>
      <c r="DX209" s="473">
        <f>блюда!DX187</f>
        <v>0</v>
      </c>
      <c r="DY209" s="473">
        <f>блюда!DY187</f>
        <v>0</v>
      </c>
      <c r="DZ209" s="473">
        <f>блюда!DZ187</f>
        <v>0</v>
      </c>
      <c r="EA209" s="473">
        <f>блюда!EA187</f>
        <v>0</v>
      </c>
      <c r="EB209" s="473">
        <f>блюда!EB187</f>
        <v>0</v>
      </c>
      <c r="EC209" s="473">
        <f>блюда!EC187</f>
        <v>0</v>
      </c>
      <c r="ED209" s="473">
        <f>блюда!ED187</f>
        <v>0</v>
      </c>
      <c r="EE209" s="473">
        <f>блюда!EE187</f>
        <v>0</v>
      </c>
      <c r="EF209" s="473">
        <f>блюда!EF187</f>
        <v>0</v>
      </c>
      <c r="EG209" s="473">
        <f>блюда!EG187</f>
        <v>0</v>
      </c>
      <c r="EH209" s="473">
        <f>блюда!EH187</f>
        <v>0</v>
      </c>
      <c r="EI209" s="473">
        <f>блюда!EI187</f>
        <v>0</v>
      </c>
      <c r="EJ209" s="473">
        <f>блюда!EJ187</f>
        <v>0</v>
      </c>
      <c r="EK209" s="473">
        <f>блюда!EK187</f>
        <v>0</v>
      </c>
      <c r="EL209" s="473">
        <f>блюда!EL187</f>
        <v>0</v>
      </c>
      <c r="EM209" s="473">
        <f>блюда!EM187</f>
        <v>0</v>
      </c>
      <c r="EN209" s="473">
        <f>блюда!EN187</f>
        <v>0</v>
      </c>
      <c r="EO209" s="473">
        <f>блюда!EO187</f>
        <v>0</v>
      </c>
      <c r="EP209" s="473">
        <f>блюда!EP187</f>
        <v>0</v>
      </c>
      <c r="EQ209" s="473">
        <f>блюда!EQ187</f>
        <v>0</v>
      </c>
      <c r="ER209" s="473">
        <f>блюда!ER187</f>
        <v>0</v>
      </c>
      <c r="ES209" s="473">
        <f>блюда!ES187</f>
        <v>0</v>
      </c>
      <c r="ET209" s="473">
        <f>блюда!ET187</f>
        <v>0</v>
      </c>
      <c r="EU209" s="473">
        <f>блюда!EU187</f>
        <v>0</v>
      </c>
      <c r="EV209" s="473">
        <f>блюда!EV187</f>
        <v>0</v>
      </c>
      <c r="EW209" s="473">
        <f>блюда!EW187</f>
        <v>0</v>
      </c>
      <c r="EX209" s="473">
        <f>блюда!EX187</f>
        <v>0</v>
      </c>
      <c r="EY209" s="927">
        <f t="shared" si="139"/>
        <v>0.21862999999999999</v>
      </c>
      <c r="EZ209" s="117">
        <f>блюда!EZ187</f>
        <v>0</v>
      </c>
      <c r="FA209" s="117">
        <f>блюда!FA187</f>
        <v>0</v>
      </c>
      <c r="FB209" s="117">
        <f>блюда!FB187</f>
        <v>0</v>
      </c>
      <c r="FC209" s="117">
        <f>блюда!FC187</f>
        <v>0</v>
      </c>
      <c r="FD209" s="117">
        <f>блюда!FD187</f>
        <v>0</v>
      </c>
      <c r="FE209" s="117">
        <f>блюда!FE187</f>
        <v>0</v>
      </c>
      <c r="FF209" s="117">
        <f>блюда!FF187</f>
        <v>0</v>
      </c>
      <c r="FG209" s="117">
        <f>блюда!FG187</f>
        <v>0</v>
      </c>
      <c r="FH209" s="117">
        <f>блюда!FH187</f>
        <v>0</v>
      </c>
      <c r="FI209" s="117">
        <f>блюда!FI187</f>
        <v>0</v>
      </c>
      <c r="FJ209" s="117">
        <f>блюда!FJ187</f>
        <v>0</v>
      </c>
      <c r="FK209" s="117">
        <f>блюда!FK187</f>
        <v>0</v>
      </c>
      <c r="FL209" s="117">
        <f>блюда!FL187</f>
        <v>0</v>
      </c>
    </row>
    <row r="210" spans="1:168" x14ac:dyDescent="0.25">
      <c r="A210" s="1460"/>
      <c r="B210" s="115" t="str">
        <f>блюда!B225</f>
        <v>Каша рассыпчатая гречневая (гарнир)</v>
      </c>
      <c r="C210" s="250">
        <f>блюда!C225</f>
        <v>150</v>
      </c>
      <c r="D210" s="431">
        <f>блюда!D225</f>
        <v>8.6</v>
      </c>
      <c r="E210" s="431">
        <f>блюда!E225</f>
        <v>6.09</v>
      </c>
      <c r="F210" s="431">
        <f>блюда!F225</f>
        <v>38.64</v>
      </c>
      <c r="G210" s="250">
        <f>блюда!G225</f>
        <v>244</v>
      </c>
      <c r="H210" s="250">
        <f>блюда!H225</f>
        <v>302</v>
      </c>
      <c r="I210" s="431">
        <f>блюда!I225</f>
        <v>10.69</v>
      </c>
      <c r="J210" s="473">
        <f>блюда!J225</f>
        <v>0</v>
      </c>
      <c r="K210" s="473">
        <f>блюда!K225</f>
        <v>0</v>
      </c>
      <c r="L210" s="473">
        <f>блюда!L225</f>
        <v>0</v>
      </c>
      <c r="M210" s="473">
        <f>блюда!M225</f>
        <v>0</v>
      </c>
      <c r="N210" s="473">
        <f>блюда!N225</f>
        <v>0</v>
      </c>
      <c r="O210" s="473">
        <f>блюда!O225</f>
        <v>0</v>
      </c>
      <c r="P210" s="473">
        <f>блюда!P225</f>
        <v>0</v>
      </c>
      <c r="Q210" s="473">
        <f>блюда!Q225</f>
        <v>0</v>
      </c>
      <c r="R210" s="473">
        <f>блюда!R225</f>
        <v>0</v>
      </c>
      <c r="S210" s="473">
        <f>блюда!S225</f>
        <v>0</v>
      </c>
      <c r="T210" s="473">
        <f>блюда!T225</f>
        <v>0</v>
      </c>
      <c r="U210" s="473">
        <f>блюда!U225</f>
        <v>0</v>
      </c>
      <c r="V210" s="473">
        <f>блюда!V225</f>
        <v>5.2500000000000003E-3</v>
      </c>
      <c r="W210" s="473">
        <f>блюда!W225</f>
        <v>0</v>
      </c>
      <c r="X210" s="473">
        <f>блюда!X225</f>
        <v>0</v>
      </c>
      <c r="Y210" s="473">
        <f>блюда!Y225</f>
        <v>0</v>
      </c>
      <c r="Z210" s="473">
        <f>блюда!Z225</f>
        <v>0</v>
      </c>
      <c r="AA210" s="473">
        <f>блюда!AA225</f>
        <v>0</v>
      </c>
      <c r="AB210" s="473">
        <f>блюда!AB225</f>
        <v>0</v>
      </c>
      <c r="AC210" s="473">
        <f>блюда!AC225</f>
        <v>0</v>
      </c>
      <c r="AD210" s="473">
        <f>блюда!AD225</f>
        <v>0</v>
      </c>
      <c r="AE210" s="473">
        <f>блюда!AE225</f>
        <v>0</v>
      </c>
      <c r="AF210" s="473">
        <f>блюда!AF225</f>
        <v>0</v>
      </c>
      <c r="AG210" s="473">
        <f>блюда!AG225</f>
        <v>0</v>
      </c>
      <c r="AH210" s="473">
        <f>блюда!AH225</f>
        <v>0</v>
      </c>
      <c r="AI210" s="473">
        <f>блюда!AI225</f>
        <v>0</v>
      </c>
      <c r="AJ210" s="473">
        <f>блюда!AJ225</f>
        <v>0</v>
      </c>
      <c r="AK210" s="473">
        <f>блюда!AK225</f>
        <v>0</v>
      </c>
      <c r="AL210" s="473">
        <f>блюда!AL225</f>
        <v>0</v>
      </c>
      <c r="AM210" s="473">
        <f>блюда!AM225</f>
        <v>0</v>
      </c>
      <c r="AN210" s="473">
        <f>блюда!AN225</f>
        <v>0</v>
      </c>
      <c r="AO210" s="473">
        <f>блюда!AO225</f>
        <v>0</v>
      </c>
      <c r="AP210" s="473">
        <f>блюда!AP225</f>
        <v>0</v>
      </c>
      <c r="AQ210" s="473">
        <f>блюда!AQ225</f>
        <v>0</v>
      </c>
      <c r="AR210" s="473">
        <f>блюда!AR225</f>
        <v>0</v>
      </c>
      <c r="AS210" s="473">
        <f>блюда!AS225</f>
        <v>0</v>
      </c>
      <c r="AT210" s="473">
        <f>блюда!AT225</f>
        <v>0</v>
      </c>
      <c r="AU210" s="473">
        <f>блюда!AU225</f>
        <v>0</v>
      </c>
      <c r="AV210" s="473">
        <f>блюда!AV225</f>
        <v>0</v>
      </c>
      <c r="AW210" s="473">
        <f>блюда!AW225</f>
        <v>0</v>
      </c>
      <c r="AX210" s="473">
        <f>блюда!AX225</f>
        <v>0</v>
      </c>
      <c r="AY210" s="473">
        <f>блюда!AY225</f>
        <v>0</v>
      </c>
      <c r="AZ210" s="473">
        <f>блюда!AZ225</f>
        <v>0</v>
      </c>
      <c r="BA210" s="473">
        <f>блюда!BA225</f>
        <v>0</v>
      </c>
      <c r="BB210" s="473">
        <f>блюда!BB225</f>
        <v>0</v>
      </c>
      <c r="BC210" s="473">
        <f>блюда!BC225</f>
        <v>0</v>
      </c>
      <c r="BD210" s="473">
        <f>блюда!BD225</f>
        <v>0</v>
      </c>
      <c r="BE210" s="473">
        <f>блюда!BE225</f>
        <v>0</v>
      </c>
      <c r="BF210" s="473">
        <f>блюда!BF225</f>
        <v>0</v>
      </c>
      <c r="BG210" s="473">
        <f>блюда!BG225</f>
        <v>0</v>
      </c>
      <c r="BH210" s="473">
        <f>блюда!BH225</f>
        <v>0</v>
      </c>
      <c r="BI210" s="473">
        <f>блюда!BI225</f>
        <v>0</v>
      </c>
      <c r="BJ210" s="473">
        <f>блюда!BJ225</f>
        <v>0</v>
      </c>
      <c r="BK210" s="473">
        <f>блюда!BK225</f>
        <v>0</v>
      </c>
      <c r="BL210" s="473">
        <f>блюда!BL225</f>
        <v>0</v>
      </c>
      <c r="BM210" s="473">
        <f>блюда!BM225</f>
        <v>0</v>
      </c>
      <c r="BN210" s="473">
        <f>блюда!BN225</f>
        <v>0</v>
      </c>
      <c r="BO210" s="473">
        <f>блюда!BO225</f>
        <v>0</v>
      </c>
      <c r="BP210" s="473">
        <f>блюда!BP225</f>
        <v>0</v>
      </c>
      <c r="BQ210" s="473">
        <f>блюда!BQ225</f>
        <v>0</v>
      </c>
      <c r="BR210" s="473">
        <f>блюда!BR225</f>
        <v>0</v>
      </c>
      <c r="BS210" s="473">
        <f>блюда!BS225</f>
        <v>0</v>
      </c>
      <c r="BT210" s="473">
        <f>блюда!BT225</f>
        <v>6.8870000000000001E-2</v>
      </c>
      <c r="BU210" s="473">
        <f>блюда!BU225</f>
        <v>0</v>
      </c>
      <c r="BV210" s="473">
        <f>блюда!BV225</f>
        <v>0</v>
      </c>
      <c r="BW210" s="473">
        <f>блюда!BW225</f>
        <v>0</v>
      </c>
      <c r="BX210" s="473">
        <f>блюда!BX225</f>
        <v>0</v>
      </c>
      <c r="BY210" s="473">
        <f>блюда!BY225</f>
        <v>0</v>
      </c>
      <c r="BZ210" s="473">
        <f>блюда!BZ225</f>
        <v>0</v>
      </c>
      <c r="CA210" s="473">
        <f>блюда!CA225</f>
        <v>0</v>
      </c>
      <c r="CB210" s="473">
        <f>блюда!CB225</f>
        <v>0</v>
      </c>
      <c r="CC210" s="473">
        <f>блюда!CC225</f>
        <v>0</v>
      </c>
      <c r="CD210" s="473">
        <f>блюда!CD225</f>
        <v>0</v>
      </c>
      <c r="CE210" s="473">
        <f>блюда!CE225</f>
        <v>0</v>
      </c>
      <c r="CF210" s="473">
        <f>блюда!CF225</f>
        <v>0</v>
      </c>
      <c r="CG210" s="473">
        <f>блюда!CG225</f>
        <v>0</v>
      </c>
      <c r="CH210" s="473">
        <f>блюда!CH225</f>
        <v>0</v>
      </c>
      <c r="CI210" s="473">
        <f>блюда!CI225</f>
        <v>0</v>
      </c>
      <c r="CJ210" s="473">
        <f>блюда!CJ225</f>
        <v>0</v>
      </c>
      <c r="CK210" s="473">
        <f>блюда!CK225</f>
        <v>0</v>
      </c>
      <c r="CL210" s="473">
        <f>блюда!CL225</f>
        <v>0</v>
      </c>
      <c r="CM210" s="473">
        <f>блюда!CM225</f>
        <v>0</v>
      </c>
      <c r="CN210" s="473">
        <f>блюда!CN225</f>
        <v>0</v>
      </c>
      <c r="CO210" s="473">
        <f>блюда!CO225</f>
        <v>0</v>
      </c>
      <c r="CP210" s="473">
        <f>блюда!CP225</f>
        <v>0</v>
      </c>
      <c r="CQ210" s="473">
        <f>блюда!CQ225</f>
        <v>0</v>
      </c>
      <c r="CR210" s="473">
        <f>блюда!CR225</f>
        <v>0</v>
      </c>
      <c r="CS210" s="473">
        <f>блюда!CS225</f>
        <v>0</v>
      </c>
      <c r="CT210" s="473">
        <f>блюда!CT225</f>
        <v>0</v>
      </c>
      <c r="CU210" s="473">
        <f>блюда!CU225</f>
        <v>0</v>
      </c>
      <c r="CV210" s="473">
        <f>блюда!CV225</f>
        <v>0</v>
      </c>
      <c r="CW210" s="473">
        <f>блюда!CW225</f>
        <v>0</v>
      </c>
      <c r="CX210" s="473">
        <f>блюда!CX225</f>
        <v>0</v>
      </c>
      <c r="CY210" s="473">
        <f>блюда!CY225</f>
        <v>0</v>
      </c>
      <c r="CZ210" s="473">
        <f>блюда!CZ225</f>
        <v>0</v>
      </c>
      <c r="DA210" s="473">
        <f>блюда!DA225</f>
        <v>0</v>
      </c>
      <c r="DB210" s="473">
        <f>блюда!DB225</f>
        <v>0</v>
      </c>
      <c r="DC210" s="473">
        <f>блюда!DC225</f>
        <v>3.0999999999999999E-3</v>
      </c>
      <c r="DD210" s="473">
        <f>блюда!DD225</f>
        <v>0</v>
      </c>
      <c r="DE210" s="473">
        <f>блюда!DE225</f>
        <v>0</v>
      </c>
      <c r="DF210" s="473">
        <f>блюда!DF225</f>
        <v>0</v>
      </c>
      <c r="DG210" s="473">
        <f>блюда!DG225</f>
        <v>0</v>
      </c>
      <c r="DH210" s="473">
        <f>блюда!DH225</f>
        <v>0</v>
      </c>
      <c r="DI210" s="473">
        <f>блюда!DI225</f>
        <v>0</v>
      </c>
      <c r="DJ210" s="473">
        <f>блюда!DJ225</f>
        <v>0</v>
      </c>
      <c r="DK210" s="473">
        <f>блюда!DK225</f>
        <v>0</v>
      </c>
      <c r="DL210" s="473">
        <f>блюда!DL225</f>
        <v>0</v>
      </c>
      <c r="DM210" s="473">
        <f>блюда!DM225</f>
        <v>0</v>
      </c>
      <c r="DN210" s="473">
        <f>блюда!DN225</f>
        <v>0</v>
      </c>
      <c r="DO210" s="473">
        <f>блюда!DO225</f>
        <v>0</v>
      </c>
      <c r="DP210" s="473">
        <f>блюда!DP225</f>
        <v>0</v>
      </c>
      <c r="DQ210" s="473">
        <f>блюда!DQ225</f>
        <v>0</v>
      </c>
      <c r="DR210" s="473">
        <f>блюда!DR225</f>
        <v>0</v>
      </c>
      <c r="DS210" s="473">
        <f>блюда!DS225</f>
        <v>0</v>
      </c>
      <c r="DT210" s="473">
        <f>блюда!DT225</f>
        <v>0</v>
      </c>
      <c r="DU210" s="473">
        <f>блюда!DU225</f>
        <v>0</v>
      </c>
      <c r="DV210" s="473">
        <f>блюда!DV225</f>
        <v>0</v>
      </c>
      <c r="DW210" s="473">
        <f>блюда!DW225</f>
        <v>0</v>
      </c>
      <c r="DX210" s="473">
        <f>блюда!DX225</f>
        <v>0</v>
      </c>
      <c r="DY210" s="473">
        <f>блюда!DY225</f>
        <v>0</v>
      </c>
      <c r="DZ210" s="473">
        <f>блюда!DZ225</f>
        <v>0</v>
      </c>
      <c r="EA210" s="473">
        <f>блюда!EA225</f>
        <v>0</v>
      </c>
      <c r="EB210" s="473">
        <f>блюда!EB225</f>
        <v>0</v>
      </c>
      <c r="EC210" s="473">
        <f>блюда!EC225</f>
        <v>0</v>
      </c>
      <c r="ED210" s="473">
        <f>блюда!ED225</f>
        <v>0</v>
      </c>
      <c r="EE210" s="473">
        <f>блюда!EE225</f>
        <v>0</v>
      </c>
      <c r="EF210" s="473">
        <f>блюда!EF225</f>
        <v>0</v>
      </c>
      <c r="EG210" s="473">
        <f>блюда!EG225</f>
        <v>0</v>
      </c>
      <c r="EH210" s="473">
        <f>блюда!EH225</f>
        <v>0</v>
      </c>
      <c r="EI210" s="473">
        <f>блюда!EI225</f>
        <v>0</v>
      </c>
      <c r="EJ210" s="473">
        <f>блюда!EJ225</f>
        <v>0</v>
      </c>
      <c r="EK210" s="473">
        <f>блюда!EK225</f>
        <v>0</v>
      </c>
      <c r="EL210" s="473">
        <f>блюда!EL225</f>
        <v>0</v>
      </c>
      <c r="EM210" s="473">
        <f>блюда!EM225</f>
        <v>0</v>
      </c>
      <c r="EN210" s="473">
        <f>блюда!EN225</f>
        <v>0</v>
      </c>
      <c r="EO210" s="473">
        <f>блюда!EO225</f>
        <v>0</v>
      </c>
      <c r="EP210" s="473">
        <f>блюда!EP225</f>
        <v>0</v>
      </c>
      <c r="EQ210" s="473">
        <f>блюда!EQ225</f>
        <v>0</v>
      </c>
      <c r="ER210" s="473">
        <f>блюда!ER225</f>
        <v>0</v>
      </c>
      <c r="ES210" s="473">
        <f>блюда!ES225</f>
        <v>0</v>
      </c>
      <c r="ET210" s="473">
        <f>блюда!ET225</f>
        <v>0</v>
      </c>
      <c r="EU210" s="473">
        <f>блюда!EU225</f>
        <v>0</v>
      </c>
      <c r="EV210" s="473">
        <f>блюда!EV225</f>
        <v>0</v>
      </c>
      <c r="EW210" s="473">
        <f>блюда!EW225</f>
        <v>0</v>
      </c>
      <c r="EX210" s="473">
        <f>блюда!EX225</f>
        <v>0</v>
      </c>
      <c r="EY210" s="927">
        <f t="shared" si="139"/>
        <v>7.7219999999999997E-2</v>
      </c>
      <c r="EZ210" s="117">
        <f>блюда!EZ225</f>
        <v>0</v>
      </c>
      <c r="FA210" s="117">
        <f>блюда!FA225</f>
        <v>0</v>
      </c>
      <c r="FB210" s="117">
        <f>блюда!FB225</f>
        <v>0</v>
      </c>
      <c r="FC210" s="117">
        <f>блюда!FC225</f>
        <v>0</v>
      </c>
      <c r="FD210" s="117">
        <f>блюда!FD225</f>
        <v>0</v>
      </c>
      <c r="FE210" s="117">
        <f>блюда!FE225</f>
        <v>0</v>
      </c>
      <c r="FF210" s="117">
        <f>блюда!FF225</f>
        <v>0</v>
      </c>
      <c r="FG210" s="117">
        <f>блюда!FG225</f>
        <v>0</v>
      </c>
      <c r="FH210" s="117">
        <f>блюда!FH225</f>
        <v>0</v>
      </c>
      <c r="FI210" s="117">
        <f>блюда!FI225</f>
        <v>0</v>
      </c>
      <c r="FJ210" s="117">
        <f>блюда!FJ225</f>
        <v>0</v>
      </c>
      <c r="FK210" s="117">
        <f>блюда!FK225</f>
        <v>0</v>
      </c>
      <c r="FL210" s="117">
        <f>блюда!FL225</f>
        <v>0</v>
      </c>
    </row>
    <row r="211" spans="1:168" x14ac:dyDescent="0.25">
      <c r="A211" s="1460"/>
      <c r="B211" s="115" t="str">
        <f>блюда!B281</f>
        <v>Компот из смеси сухофруктов</v>
      </c>
      <c r="C211" s="250">
        <f>блюда!C281</f>
        <v>200</v>
      </c>
      <c r="D211" s="431">
        <f>блюда!D281</f>
        <v>0.66</v>
      </c>
      <c r="E211" s="431">
        <f>блюда!E281</f>
        <v>0.09</v>
      </c>
      <c r="F211" s="431">
        <f>блюда!F281</f>
        <v>32.01</v>
      </c>
      <c r="G211" s="250">
        <f>блюда!G281</f>
        <v>133</v>
      </c>
      <c r="H211" s="250">
        <f>блюда!H281</f>
        <v>349</v>
      </c>
      <c r="I211" s="431">
        <f>блюда!I281</f>
        <v>4.18</v>
      </c>
      <c r="J211" s="473">
        <f>блюда!J281</f>
        <v>0</v>
      </c>
      <c r="K211" s="473">
        <f>блюда!K281</f>
        <v>0</v>
      </c>
      <c r="L211" s="473">
        <f>блюда!L281</f>
        <v>0</v>
      </c>
      <c r="M211" s="473">
        <f>блюда!M281</f>
        <v>0</v>
      </c>
      <c r="N211" s="473">
        <f>блюда!N281</f>
        <v>0</v>
      </c>
      <c r="O211" s="473">
        <f>блюда!O281</f>
        <v>0</v>
      </c>
      <c r="P211" s="473">
        <f>блюда!P281</f>
        <v>0</v>
      </c>
      <c r="Q211" s="473">
        <f>блюда!Q281</f>
        <v>0</v>
      </c>
      <c r="R211" s="473">
        <f>блюда!R281</f>
        <v>0</v>
      </c>
      <c r="S211" s="473">
        <f>блюда!S281</f>
        <v>0</v>
      </c>
      <c r="T211" s="473">
        <f>блюда!T281</f>
        <v>0</v>
      </c>
      <c r="U211" s="473">
        <f>блюда!U281</f>
        <v>0</v>
      </c>
      <c r="V211" s="473">
        <f>блюда!V281</f>
        <v>0</v>
      </c>
      <c r="W211" s="473">
        <f>блюда!W281</f>
        <v>0</v>
      </c>
      <c r="X211" s="473">
        <f>блюда!X281</f>
        <v>0</v>
      </c>
      <c r="Y211" s="473">
        <f>блюда!Y281</f>
        <v>0</v>
      </c>
      <c r="Z211" s="473">
        <f>блюда!Z281</f>
        <v>0</v>
      </c>
      <c r="AA211" s="473">
        <f>блюда!AA281</f>
        <v>0</v>
      </c>
      <c r="AB211" s="473">
        <f>блюда!AB281</f>
        <v>0</v>
      </c>
      <c r="AC211" s="473">
        <f>блюда!AC281</f>
        <v>0</v>
      </c>
      <c r="AD211" s="473">
        <f>блюда!AD281</f>
        <v>0</v>
      </c>
      <c r="AE211" s="473">
        <f>блюда!AE281</f>
        <v>0</v>
      </c>
      <c r="AF211" s="473">
        <f>блюда!AF281</f>
        <v>0</v>
      </c>
      <c r="AG211" s="473">
        <f>блюда!AG281</f>
        <v>0</v>
      </c>
      <c r="AH211" s="473">
        <f>блюда!AH281</f>
        <v>0</v>
      </c>
      <c r="AI211" s="473">
        <f>блюда!AI281</f>
        <v>0</v>
      </c>
      <c r="AJ211" s="473">
        <f>блюда!AJ281</f>
        <v>0</v>
      </c>
      <c r="AK211" s="473">
        <f>блюда!AK281</f>
        <v>0</v>
      </c>
      <c r="AL211" s="473">
        <f>блюда!AL281</f>
        <v>0</v>
      </c>
      <c r="AM211" s="473">
        <f>блюда!AM281</f>
        <v>0</v>
      </c>
      <c r="AN211" s="473">
        <f>блюда!AN281</f>
        <v>0</v>
      </c>
      <c r="AO211" s="473">
        <f>блюда!AO281</f>
        <v>0</v>
      </c>
      <c r="AP211" s="473">
        <f>блюда!AP281</f>
        <v>0</v>
      </c>
      <c r="AQ211" s="473">
        <f>блюда!AQ281</f>
        <v>0</v>
      </c>
      <c r="AR211" s="473">
        <f>блюда!AR281</f>
        <v>0</v>
      </c>
      <c r="AS211" s="473">
        <f>блюда!AS281</f>
        <v>0</v>
      </c>
      <c r="AT211" s="473">
        <f>блюда!AT281</f>
        <v>0</v>
      </c>
      <c r="AU211" s="473">
        <f>блюда!AU281</f>
        <v>0</v>
      </c>
      <c r="AV211" s="473">
        <f>блюда!AV281</f>
        <v>0</v>
      </c>
      <c r="AW211" s="473">
        <f>блюда!AW281</f>
        <v>0</v>
      </c>
      <c r="AX211" s="473">
        <f>блюда!AX281</f>
        <v>0</v>
      </c>
      <c r="AY211" s="473">
        <f>блюда!AY281</f>
        <v>0</v>
      </c>
      <c r="AZ211" s="473">
        <f>блюда!AZ281</f>
        <v>0</v>
      </c>
      <c r="BA211" s="473">
        <f>блюда!BA281</f>
        <v>0</v>
      </c>
      <c r="BB211" s="473">
        <f>блюда!BB281</f>
        <v>0</v>
      </c>
      <c r="BC211" s="473">
        <f>блюда!BC281</f>
        <v>0</v>
      </c>
      <c r="BD211" s="473">
        <f>блюда!BD281</f>
        <v>0</v>
      </c>
      <c r="BE211" s="473">
        <f>блюда!BE281</f>
        <v>0</v>
      </c>
      <c r="BF211" s="473">
        <f>блюда!BF281</f>
        <v>0</v>
      </c>
      <c r="BG211" s="473">
        <f>блюда!BG281</f>
        <v>0</v>
      </c>
      <c r="BH211" s="473">
        <f>блюда!BH281</f>
        <v>0</v>
      </c>
      <c r="BI211" s="473">
        <f>блюда!BI281</f>
        <v>0</v>
      </c>
      <c r="BJ211" s="473">
        <f>блюда!BJ281</f>
        <v>0</v>
      </c>
      <c r="BK211" s="473">
        <f>блюда!BK281</f>
        <v>0</v>
      </c>
      <c r="BL211" s="473">
        <f>блюда!BL281</f>
        <v>0</v>
      </c>
      <c r="BM211" s="473">
        <f>блюда!BM281</f>
        <v>0</v>
      </c>
      <c r="BN211" s="473">
        <f>блюда!BN281</f>
        <v>0</v>
      </c>
      <c r="BO211" s="473">
        <f>блюда!BO281</f>
        <v>0</v>
      </c>
      <c r="BP211" s="473">
        <f>блюда!BP281</f>
        <v>0</v>
      </c>
      <c r="BQ211" s="473">
        <f>блюда!BQ281</f>
        <v>0</v>
      </c>
      <c r="BR211" s="473">
        <f>блюда!BR281</f>
        <v>0</v>
      </c>
      <c r="BS211" s="473">
        <f>блюда!BS281</f>
        <v>0</v>
      </c>
      <c r="BT211" s="473">
        <f>блюда!BT281</f>
        <v>0</v>
      </c>
      <c r="BU211" s="473">
        <f>блюда!BU281</f>
        <v>0</v>
      </c>
      <c r="BV211" s="473">
        <f>блюда!BV281</f>
        <v>0</v>
      </c>
      <c r="BW211" s="473">
        <f>блюда!BW281</f>
        <v>0</v>
      </c>
      <c r="BX211" s="473">
        <f>блюда!BX281</f>
        <v>0</v>
      </c>
      <c r="BY211" s="473">
        <f>блюда!BY281</f>
        <v>0</v>
      </c>
      <c r="BZ211" s="473">
        <f>блюда!BZ281</f>
        <v>0</v>
      </c>
      <c r="CA211" s="473">
        <f>блюда!CA281</f>
        <v>0</v>
      </c>
      <c r="CB211" s="473">
        <f>блюда!CB281</f>
        <v>0</v>
      </c>
      <c r="CC211" s="473">
        <f>блюда!CC281</f>
        <v>0</v>
      </c>
      <c r="CD211" s="473">
        <f>блюда!CD281</f>
        <v>0</v>
      </c>
      <c r="CE211" s="473">
        <f>блюда!CE281</f>
        <v>0</v>
      </c>
      <c r="CF211" s="473">
        <f>блюда!CF281</f>
        <v>0</v>
      </c>
      <c r="CG211" s="473">
        <f>блюда!CG281</f>
        <v>0</v>
      </c>
      <c r="CH211" s="473">
        <f>блюда!CH281</f>
        <v>0</v>
      </c>
      <c r="CI211" s="473">
        <f>блюда!CI281</f>
        <v>0</v>
      </c>
      <c r="CJ211" s="473">
        <f>блюда!CJ281</f>
        <v>0</v>
      </c>
      <c r="CK211" s="473">
        <f>блюда!CK281</f>
        <v>0</v>
      </c>
      <c r="CL211" s="473">
        <f>блюда!CL281</f>
        <v>0</v>
      </c>
      <c r="CM211" s="473">
        <f>блюда!CM281</f>
        <v>0</v>
      </c>
      <c r="CN211" s="473">
        <f>блюда!CN281</f>
        <v>0</v>
      </c>
      <c r="CO211" s="473">
        <f>блюда!CO281</f>
        <v>0</v>
      </c>
      <c r="CP211" s="473">
        <f>блюда!CP281</f>
        <v>0</v>
      </c>
      <c r="CQ211" s="473">
        <f>блюда!CQ281</f>
        <v>2.0000000000000001E-4</v>
      </c>
      <c r="CR211" s="473">
        <f>блюда!CR281</f>
        <v>0</v>
      </c>
      <c r="CS211" s="473">
        <f>блюда!CS281</f>
        <v>0</v>
      </c>
      <c r="CT211" s="473">
        <f>блюда!CT281</f>
        <v>0</v>
      </c>
      <c r="CU211" s="473">
        <f>блюда!CU281</f>
        <v>0</v>
      </c>
      <c r="CV211" s="473">
        <f>блюда!CV281</f>
        <v>0</v>
      </c>
      <c r="CW211" s="473">
        <f>блюда!CW281</f>
        <v>0</v>
      </c>
      <c r="CX211" s="473">
        <f>блюда!CX281</f>
        <v>0</v>
      </c>
      <c r="CY211" s="473">
        <f>блюда!CY281</f>
        <v>0</v>
      </c>
      <c r="CZ211" s="473">
        <f>блюда!CZ281</f>
        <v>0.02</v>
      </c>
      <c r="DA211" s="473">
        <f>блюда!DA281</f>
        <v>0</v>
      </c>
      <c r="DB211" s="473">
        <f>блюда!DB281</f>
        <v>0</v>
      </c>
      <c r="DC211" s="473">
        <f>блюда!DC281</f>
        <v>0</v>
      </c>
      <c r="DD211" s="473">
        <f>блюда!DD281</f>
        <v>0</v>
      </c>
      <c r="DE211" s="473">
        <f>блюда!DE281</f>
        <v>0.02</v>
      </c>
      <c r="DF211" s="473">
        <f>блюда!DF281</f>
        <v>0</v>
      </c>
      <c r="DG211" s="473">
        <f>блюда!DG281</f>
        <v>0</v>
      </c>
      <c r="DH211" s="473">
        <f>блюда!DH281</f>
        <v>0</v>
      </c>
      <c r="DI211" s="473">
        <f>блюда!DI281</f>
        <v>0</v>
      </c>
      <c r="DJ211" s="473">
        <f>блюда!DJ281</f>
        <v>0</v>
      </c>
      <c r="DK211" s="473">
        <f>блюда!DK281</f>
        <v>0</v>
      </c>
      <c r="DL211" s="473">
        <f>блюда!DL281</f>
        <v>0</v>
      </c>
      <c r="DM211" s="473">
        <f>блюда!DM281</f>
        <v>0</v>
      </c>
      <c r="DN211" s="473">
        <f>блюда!DN281</f>
        <v>0</v>
      </c>
      <c r="DO211" s="473">
        <f>блюда!DO281</f>
        <v>0</v>
      </c>
      <c r="DP211" s="473">
        <f>блюда!DP281</f>
        <v>0</v>
      </c>
      <c r="DQ211" s="473">
        <f>блюда!DQ281</f>
        <v>0</v>
      </c>
      <c r="DR211" s="473">
        <f>блюда!DR281</f>
        <v>0</v>
      </c>
      <c r="DS211" s="473">
        <f>блюда!DS281</f>
        <v>0</v>
      </c>
      <c r="DT211" s="473">
        <f>блюда!DT281</f>
        <v>0</v>
      </c>
      <c r="DU211" s="473">
        <f>блюда!DU281</f>
        <v>0</v>
      </c>
      <c r="DV211" s="473">
        <f>блюда!DV281</f>
        <v>0</v>
      </c>
      <c r="DW211" s="473">
        <f>блюда!DW281</f>
        <v>0</v>
      </c>
      <c r="DX211" s="473">
        <f>блюда!DX281</f>
        <v>0</v>
      </c>
      <c r="DY211" s="473">
        <f>блюда!DY281</f>
        <v>0</v>
      </c>
      <c r="DZ211" s="473">
        <f>блюда!DZ281</f>
        <v>0</v>
      </c>
      <c r="EA211" s="473">
        <f>блюда!EA281</f>
        <v>0</v>
      </c>
      <c r="EB211" s="473">
        <f>блюда!EB281</f>
        <v>0</v>
      </c>
      <c r="EC211" s="473">
        <f>блюда!EC281</f>
        <v>0</v>
      </c>
      <c r="ED211" s="473">
        <f>блюда!ED281</f>
        <v>0</v>
      </c>
      <c r="EE211" s="473">
        <f>блюда!EE281</f>
        <v>0</v>
      </c>
      <c r="EF211" s="473">
        <f>блюда!EF281</f>
        <v>0</v>
      </c>
      <c r="EG211" s="473">
        <f>блюда!EG281</f>
        <v>0</v>
      </c>
      <c r="EH211" s="473">
        <f>блюда!EH281</f>
        <v>0</v>
      </c>
      <c r="EI211" s="473">
        <f>блюда!EI281</f>
        <v>0</v>
      </c>
      <c r="EJ211" s="473">
        <f>блюда!EJ281</f>
        <v>0</v>
      </c>
      <c r="EK211" s="473">
        <f>блюда!EK281</f>
        <v>0</v>
      </c>
      <c r="EL211" s="473">
        <f>блюда!EL281</f>
        <v>0</v>
      </c>
      <c r="EM211" s="473">
        <f>блюда!EM281</f>
        <v>0</v>
      </c>
      <c r="EN211" s="473">
        <f>блюда!EN281</f>
        <v>0</v>
      </c>
      <c r="EO211" s="473">
        <f>блюда!EO281</f>
        <v>0</v>
      </c>
      <c r="EP211" s="473">
        <f>блюда!EP281</f>
        <v>0</v>
      </c>
      <c r="EQ211" s="473">
        <f>блюда!EQ281</f>
        <v>0</v>
      </c>
      <c r="ER211" s="473">
        <f>блюда!ER281</f>
        <v>0</v>
      </c>
      <c r="ES211" s="473">
        <f>блюда!ES281</f>
        <v>0</v>
      </c>
      <c r="ET211" s="473">
        <f>блюда!ET281</f>
        <v>0</v>
      </c>
      <c r="EU211" s="473">
        <f>блюда!EU281</f>
        <v>0</v>
      </c>
      <c r="EV211" s="473">
        <f>блюда!EV281</f>
        <v>0</v>
      </c>
      <c r="EW211" s="473">
        <f>блюда!EW281</f>
        <v>0</v>
      </c>
      <c r="EX211" s="473">
        <f>блюда!EX281</f>
        <v>0</v>
      </c>
      <c r="EY211" s="927">
        <f t="shared" si="139"/>
        <v>4.02E-2</v>
      </c>
      <c r="EZ211" s="117">
        <f>блюда!EZ281</f>
        <v>0</v>
      </c>
      <c r="FA211" s="117">
        <f>блюда!FA281</f>
        <v>0</v>
      </c>
      <c r="FB211" s="117">
        <f>блюда!FB281</f>
        <v>0</v>
      </c>
      <c r="FC211" s="117">
        <f>блюда!FC281</f>
        <v>0</v>
      </c>
      <c r="FD211" s="117">
        <f>блюда!FD281</f>
        <v>0</v>
      </c>
      <c r="FE211" s="117">
        <f>блюда!FE281</f>
        <v>0</v>
      </c>
      <c r="FF211" s="117">
        <f>блюда!FF281</f>
        <v>0</v>
      </c>
      <c r="FG211" s="117">
        <f>блюда!FG281</f>
        <v>0</v>
      </c>
      <c r="FH211" s="117">
        <f>блюда!FH281</f>
        <v>0</v>
      </c>
      <c r="FI211" s="117">
        <f>блюда!FI281</f>
        <v>0</v>
      </c>
      <c r="FJ211" s="117">
        <f>блюда!FJ281</f>
        <v>0</v>
      </c>
      <c r="FK211" s="117">
        <f>блюда!FK281</f>
        <v>0</v>
      </c>
      <c r="FL211" s="117">
        <f>блюда!FL281</f>
        <v>0</v>
      </c>
    </row>
    <row r="212" spans="1:168" x14ac:dyDescent="0.25">
      <c r="A212" s="1460"/>
      <c r="B212" s="115" t="str">
        <f>блюда!B333</f>
        <v>Хлеб пшеничный нарезной</v>
      </c>
      <c r="C212" s="250">
        <f>блюда!C333</f>
        <v>20</v>
      </c>
      <c r="D212" s="431">
        <f>блюда!D333</f>
        <v>2.14</v>
      </c>
      <c r="E212" s="431">
        <f>блюда!E333</f>
        <v>0.9</v>
      </c>
      <c r="F212" s="431">
        <f>блюда!F333</f>
        <v>8.6999999999999993</v>
      </c>
      <c r="G212" s="250">
        <f>блюда!G333</f>
        <v>55</v>
      </c>
      <c r="H212" s="250" t="str">
        <f>блюда!H333</f>
        <v>ПРОМ</v>
      </c>
      <c r="I212" s="431">
        <f>блюда!I333</f>
        <v>1.3</v>
      </c>
      <c r="J212" s="473">
        <f>блюда!J333</f>
        <v>0</v>
      </c>
      <c r="K212" s="473">
        <f>блюда!K333</f>
        <v>0</v>
      </c>
      <c r="L212" s="473">
        <f>блюда!L333</f>
        <v>0</v>
      </c>
      <c r="M212" s="473">
        <f>блюда!M333</f>
        <v>0</v>
      </c>
      <c r="N212" s="473">
        <f>блюда!N333</f>
        <v>0</v>
      </c>
      <c r="O212" s="473">
        <f>блюда!O333</f>
        <v>0</v>
      </c>
      <c r="P212" s="473">
        <f>блюда!P333</f>
        <v>0</v>
      </c>
      <c r="Q212" s="473">
        <f>блюда!Q333</f>
        <v>0</v>
      </c>
      <c r="R212" s="473">
        <f>блюда!R333</f>
        <v>0</v>
      </c>
      <c r="S212" s="473">
        <f>блюда!S333</f>
        <v>0</v>
      </c>
      <c r="T212" s="473">
        <f>блюда!T333</f>
        <v>0</v>
      </c>
      <c r="U212" s="473">
        <f>блюда!U333</f>
        <v>0</v>
      </c>
      <c r="V212" s="473">
        <f>блюда!V333</f>
        <v>0</v>
      </c>
      <c r="W212" s="473">
        <f>блюда!W333</f>
        <v>0</v>
      </c>
      <c r="X212" s="473">
        <f>блюда!X333</f>
        <v>0</v>
      </c>
      <c r="Y212" s="473">
        <f>блюда!Y333</f>
        <v>0</v>
      </c>
      <c r="Z212" s="473">
        <f>блюда!Z333</f>
        <v>0</v>
      </c>
      <c r="AA212" s="473">
        <f>блюда!AA333</f>
        <v>0</v>
      </c>
      <c r="AB212" s="473">
        <f>блюда!AB333</f>
        <v>0</v>
      </c>
      <c r="AC212" s="473">
        <f>блюда!AC333</f>
        <v>0</v>
      </c>
      <c r="AD212" s="473">
        <f>блюда!AD333</f>
        <v>0</v>
      </c>
      <c r="AE212" s="473">
        <f>блюда!AE333</f>
        <v>0</v>
      </c>
      <c r="AF212" s="473">
        <f>блюда!AF333</f>
        <v>0</v>
      </c>
      <c r="AG212" s="473">
        <f>блюда!AG333</f>
        <v>0</v>
      </c>
      <c r="AH212" s="473">
        <f>блюда!AH333</f>
        <v>0</v>
      </c>
      <c r="AI212" s="473">
        <f>блюда!AI333</f>
        <v>0</v>
      </c>
      <c r="AJ212" s="473">
        <f>блюда!AJ333</f>
        <v>0</v>
      </c>
      <c r="AK212" s="473">
        <f>блюда!AK333</f>
        <v>0</v>
      </c>
      <c r="AL212" s="473">
        <f>блюда!AL333</f>
        <v>0</v>
      </c>
      <c r="AM212" s="473">
        <f>блюда!AM333</f>
        <v>0</v>
      </c>
      <c r="AN212" s="473">
        <f>блюда!AN333</f>
        <v>0</v>
      </c>
      <c r="AO212" s="473">
        <f>блюда!AO333</f>
        <v>0</v>
      </c>
      <c r="AP212" s="473">
        <f>блюда!AP333</f>
        <v>0</v>
      </c>
      <c r="AQ212" s="473">
        <f>блюда!AQ333</f>
        <v>0</v>
      </c>
      <c r="AR212" s="473">
        <f>блюда!AR333</f>
        <v>0</v>
      </c>
      <c r="AS212" s="473">
        <f>блюда!AS333</f>
        <v>0</v>
      </c>
      <c r="AT212" s="473">
        <f>блюда!AT333</f>
        <v>0</v>
      </c>
      <c r="AU212" s="473">
        <f>блюда!AU333</f>
        <v>0</v>
      </c>
      <c r="AV212" s="473">
        <f>блюда!AV333</f>
        <v>0</v>
      </c>
      <c r="AW212" s="473">
        <f>блюда!AW333</f>
        <v>0</v>
      </c>
      <c r="AX212" s="473">
        <f>блюда!AX333</f>
        <v>0</v>
      </c>
      <c r="AY212" s="473">
        <f>блюда!AY333</f>
        <v>0</v>
      </c>
      <c r="AZ212" s="473">
        <f>блюда!AZ333</f>
        <v>0</v>
      </c>
      <c r="BA212" s="473">
        <f>блюда!BA333</f>
        <v>0</v>
      </c>
      <c r="BB212" s="473">
        <f>блюда!BB333</f>
        <v>0</v>
      </c>
      <c r="BC212" s="473">
        <f>блюда!BC333</f>
        <v>0</v>
      </c>
      <c r="BD212" s="473">
        <f>блюда!BD333</f>
        <v>0</v>
      </c>
      <c r="BE212" s="473">
        <f>блюда!BE333</f>
        <v>0</v>
      </c>
      <c r="BF212" s="473">
        <f>блюда!BF333</f>
        <v>0</v>
      </c>
      <c r="BG212" s="473">
        <f>блюда!BG333</f>
        <v>0</v>
      </c>
      <c r="BH212" s="473">
        <f>блюда!BH333</f>
        <v>0</v>
      </c>
      <c r="BI212" s="473">
        <f>блюда!BI333</f>
        <v>0</v>
      </c>
      <c r="BJ212" s="473">
        <f>блюда!BJ333</f>
        <v>0</v>
      </c>
      <c r="BK212" s="473">
        <f>блюда!BK333</f>
        <v>0</v>
      </c>
      <c r="BL212" s="473">
        <f>блюда!BL333</f>
        <v>0</v>
      </c>
      <c r="BM212" s="473">
        <f>блюда!BM333</f>
        <v>0</v>
      </c>
      <c r="BN212" s="473">
        <f>блюда!BN333</f>
        <v>0</v>
      </c>
      <c r="BO212" s="473">
        <f>блюда!BO333</f>
        <v>0</v>
      </c>
      <c r="BP212" s="473">
        <f>блюда!BP333</f>
        <v>0</v>
      </c>
      <c r="BQ212" s="473">
        <f>блюда!BQ333</f>
        <v>0</v>
      </c>
      <c r="BR212" s="473">
        <f>блюда!BR333</f>
        <v>0</v>
      </c>
      <c r="BS212" s="473">
        <f>блюда!BS333</f>
        <v>0</v>
      </c>
      <c r="BT212" s="473">
        <f>блюда!BT333</f>
        <v>0</v>
      </c>
      <c r="BU212" s="473">
        <f>блюда!BU333</f>
        <v>0</v>
      </c>
      <c r="BV212" s="473">
        <f>блюда!BV333</f>
        <v>0</v>
      </c>
      <c r="BW212" s="473">
        <f>блюда!BW333</f>
        <v>0</v>
      </c>
      <c r="BX212" s="473">
        <f>блюда!BX333</f>
        <v>0</v>
      </c>
      <c r="BY212" s="473">
        <f>блюда!BY333</f>
        <v>0</v>
      </c>
      <c r="BZ212" s="473">
        <f>блюда!BZ333</f>
        <v>0</v>
      </c>
      <c r="CA212" s="473">
        <f>блюда!CA333</f>
        <v>0</v>
      </c>
      <c r="CB212" s="473">
        <f>блюда!CB333</f>
        <v>0</v>
      </c>
      <c r="CC212" s="473">
        <f>блюда!CC333</f>
        <v>0</v>
      </c>
      <c r="CD212" s="473">
        <f>блюда!CD333</f>
        <v>0</v>
      </c>
      <c r="CE212" s="473">
        <f>блюда!CE333</f>
        <v>0</v>
      </c>
      <c r="CF212" s="473">
        <f>блюда!CF333</f>
        <v>0</v>
      </c>
      <c r="CG212" s="473">
        <f>блюда!CG333</f>
        <v>0</v>
      </c>
      <c r="CH212" s="473">
        <f>блюда!CH333</f>
        <v>0</v>
      </c>
      <c r="CI212" s="473">
        <f>блюда!CI333</f>
        <v>0</v>
      </c>
      <c r="CJ212" s="473">
        <f>блюда!CJ333</f>
        <v>0</v>
      </c>
      <c r="CK212" s="473">
        <f>блюда!CK333</f>
        <v>0</v>
      </c>
      <c r="CL212" s="473">
        <f>блюда!CL333</f>
        <v>0</v>
      </c>
      <c r="CM212" s="473">
        <f>блюда!CM333</f>
        <v>0</v>
      </c>
      <c r="CN212" s="473">
        <f>блюда!CN333</f>
        <v>0</v>
      </c>
      <c r="CO212" s="473">
        <f>блюда!CO333</f>
        <v>0</v>
      </c>
      <c r="CP212" s="473">
        <f>блюда!CP333</f>
        <v>0</v>
      </c>
      <c r="CQ212" s="473">
        <f>блюда!CQ333</f>
        <v>0</v>
      </c>
      <c r="CR212" s="473">
        <f>блюда!CR333</f>
        <v>0</v>
      </c>
      <c r="CS212" s="473">
        <f>блюда!CS333</f>
        <v>0</v>
      </c>
      <c r="CT212" s="473">
        <f>блюда!CT333</f>
        <v>0</v>
      </c>
      <c r="CU212" s="473">
        <f>блюда!CU333</f>
        <v>0</v>
      </c>
      <c r="CV212" s="473">
        <f>блюда!CV333</f>
        <v>0</v>
      </c>
      <c r="CW212" s="473">
        <f>блюда!CW333</f>
        <v>0</v>
      </c>
      <c r="CX212" s="473">
        <f>блюда!CX333</f>
        <v>0</v>
      </c>
      <c r="CY212" s="473">
        <f>блюда!CY333</f>
        <v>0</v>
      </c>
      <c r="CZ212" s="473">
        <f>блюда!CZ333</f>
        <v>0</v>
      </c>
      <c r="DA212" s="473">
        <f>блюда!DA333</f>
        <v>0</v>
      </c>
      <c r="DB212" s="473">
        <f>блюда!DB333</f>
        <v>0</v>
      </c>
      <c r="DC212" s="473">
        <f>блюда!DC333</f>
        <v>0</v>
      </c>
      <c r="DD212" s="473">
        <f>блюда!DD333</f>
        <v>0</v>
      </c>
      <c r="DE212" s="473">
        <f>блюда!DE333</f>
        <v>0</v>
      </c>
      <c r="DF212" s="473">
        <f>блюда!DF333</f>
        <v>0</v>
      </c>
      <c r="DG212" s="473">
        <f>блюда!DG333</f>
        <v>0</v>
      </c>
      <c r="DH212" s="473">
        <f>блюда!DH333</f>
        <v>0</v>
      </c>
      <c r="DI212" s="473">
        <f>блюда!DI333</f>
        <v>0</v>
      </c>
      <c r="DJ212" s="473">
        <f>блюда!DJ333</f>
        <v>0</v>
      </c>
      <c r="DK212" s="473">
        <f>блюда!DK333</f>
        <v>0</v>
      </c>
      <c r="DL212" s="473">
        <f>блюда!DL333</f>
        <v>0</v>
      </c>
      <c r="DM212" s="473">
        <f>блюда!DM333</f>
        <v>0</v>
      </c>
      <c r="DN212" s="473">
        <f>блюда!DN333</f>
        <v>0</v>
      </c>
      <c r="DO212" s="473">
        <f>блюда!DO333</f>
        <v>0</v>
      </c>
      <c r="DP212" s="473">
        <f>блюда!DP333</f>
        <v>0</v>
      </c>
      <c r="DQ212" s="473">
        <f>блюда!DQ333</f>
        <v>0</v>
      </c>
      <c r="DR212" s="473">
        <f>блюда!DR333</f>
        <v>0</v>
      </c>
      <c r="DS212" s="473">
        <f>блюда!DS333</f>
        <v>0</v>
      </c>
      <c r="DT212" s="473">
        <f>блюда!DT333</f>
        <v>0</v>
      </c>
      <c r="DU212" s="473">
        <f>блюда!DU333</f>
        <v>0</v>
      </c>
      <c r="DV212" s="473">
        <f>блюда!DV333</f>
        <v>0</v>
      </c>
      <c r="DW212" s="473">
        <f>блюда!DW333</f>
        <v>0</v>
      </c>
      <c r="DX212" s="473">
        <f>блюда!DX333</f>
        <v>0</v>
      </c>
      <c r="DY212" s="473">
        <f>блюда!DY333</f>
        <v>0</v>
      </c>
      <c r="DZ212" s="473">
        <f>блюда!DZ333</f>
        <v>0</v>
      </c>
      <c r="EA212" s="473">
        <f>блюда!EA333</f>
        <v>0</v>
      </c>
      <c r="EB212" s="473">
        <f>блюда!EB333</f>
        <v>0</v>
      </c>
      <c r="EC212" s="473">
        <f>блюда!EC333</f>
        <v>0</v>
      </c>
      <c r="ED212" s="473">
        <f>блюда!ED333</f>
        <v>0</v>
      </c>
      <c r="EE212" s="473">
        <f>блюда!EE333</f>
        <v>0</v>
      </c>
      <c r="EF212" s="473">
        <f>блюда!EF333</f>
        <v>0</v>
      </c>
      <c r="EG212" s="473">
        <f>блюда!EG333</f>
        <v>0</v>
      </c>
      <c r="EH212" s="473">
        <f>блюда!EH333</f>
        <v>0</v>
      </c>
      <c r="EI212" s="473">
        <f>блюда!EI333</f>
        <v>0</v>
      </c>
      <c r="EJ212" s="473">
        <f>блюда!EJ333</f>
        <v>0</v>
      </c>
      <c r="EK212" s="473">
        <f>блюда!EK333</f>
        <v>0</v>
      </c>
      <c r="EL212" s="473">
        <f>блюда!EL333</f>
        <v>0</v>
      </c>
      <c r="EM212" s="473">
        <f>блюда!EM333</f>
        <v>0</v>
      </c>
      <c r="EN212" s="473">
        <f>блюда!EN333</f>
        <v>0</v>
      </c>
      <c r="EO212" s="473">
        <f>блюда!EO333</f>
        <v>0</v>
      </c>
      <c r="EP212" s="473">
        <f>блюда!EP333</f>
        <v>0</v>
      </c>
      <c r="EQ212" s="473">
        <f>блюда!EQ333</f>
        <v>0</v>
      </c>
      <c r="ER212" s="473">
        <f>блюда!ER333</f>
        <v>0</v>
      </c>
      <c r="ES212" s="473">
        <f>блюда!ES333</f>
        <v>0</v>
      </c>
      <c r="ET212" s="473">
        <f>блюда!ET333</f>
        <v>0</v>
      </c>
      <c r="EU212" s="473">
        <f>блюда!EU333</f>
        <v>0</v>
      </c>
      <c r="EV212" s="473">
        <f>блюда!EV333</f>
        <v>0.02</v>
      </c>
      <c r="EW212" s="473">
        <f>блюда!EW333</f>
        <v>0</v>
      </c>
      <c r="EX212" s="473">
        <f>блюда!EX333</f>
        <v>0</v>
      </c>
      <c r="EY212" s="927">
        <f t="shared" si="139"/>
        <v>0.02</v>
      </c>
      <c r="EZ212" s="117">
        <f>блюда!EZ333</f>
        <v>0</v>
      </c>
      <c r="FA212" s="117">
        <f>блюда!FA333</f>
        <v>0</v>
      </c>
      <c r="FB212" s="117">
        <f>блюда!FB333</f>
        <v>0</v>
      </c>
      <c r="FC212" s="117">
        <f>блюда!FC333</f>
        <v>0</v>
      </c>
      <c r="FD212" s="117">
        <f>блюда!FD333</f>
        <v>0</v>
      </c>
      <c r="FE212" s="117">
        <f>блюда!FE333</f>
        <v>0</v>
      </c>
      <c r="FF212" s="117">
        <f>блюда!FF333</f>
        <v>0</v>
      </c>
      <c r="FG212" s="117">
        <f>блюда!FG333</f>
        <v>0</v>
      </c>
      <c r="FH212" s="117">
        <f>блюда!FH333</f>
        <v>0</v>
      </c>
      <c r="FI212" s="117">
        <f>блюда!FI333</f>
        <v>0</v>
      </c>
      <c r="FJ212" s="117">
        <f>блюда!FJ333</f>
        <v>0</v>
      </c>
      <c r="FK212" s="117">
        <f>блюда!FK333</f>
        <v>0</v>
      </c>
      <c r="FL212" s="117">
        <f>блюда!FL333</f>
        <v>0</v>
      </c>
    </row>
    <row r="213" spans="1:168" x14ac:dyDescent="0.25">
      <c r="A213" s="1460"/>
      <c r="B213" s="115" t="str">
        <f>блюда!B335</f>
        <v>Хлеб пшенично-ржаной нарезной</v>
      </c>
      <c r="C213" s="250">
        <f>блюда!C335</f>
        <v>30</v>
      </c>
      <c r="D213" s="431">
        <f>блюда!D335</f>
        <v>2.25</v>
      </c>
      <c r="E213" s="431">
        <f>блюда!E335</f>
        <v>0.6</v>
      </c>
      <c r="F213" s="431">
        <f>блюда!F335</f>
        <v>15.6</v>
      </c>
      <c r="G213" s="250">
        <f>блюда!G335</f>
        <v>75</v>
      </c>
      <c r="H213" s="250" t="str">
        <f>блюда!H335</f>
        <v>ПРОМ</v>
      </c>
      <c r="I213" s="431">
        <f>блюда!I335</f>
        <v>1.95</v>
      </c>
      <c r="J213" s="473">
        <f>блюда!J335</f>
        <v>0</v>
      </c>
      <c r="K213" s="473">
        <f>блюда!K335</f>
        <v>0</v>
      </c>
      <c r="L213" s="473">
        <f>блюда!L335</f>
        <v>0</v>
      </c>
      <c r="M213" s="473">
        <f>блюда!M335</f>
        <v>0</v>
      </c>
      <c r="N213" s="473">
        <f>блюда!N335</f>
        <v>0</v>
      </c>
      <c r="O213" s="473">
        <f>блюда!O335</f>
        <v>0</v>
      </c>
      <c r="P213" s="473">
        <f>блюда!P335</f>
        <v>0</v>
      </c>
      <c r="Q213" s="473">
        <f>блюда!Q335</f>
        <v>0</v>
      </c>
      <c r="R213" s="473">
        <f>блюда!R335</f>
        <v>0</v>
      </c>
      <c r="S213" s="473">
        <f>блюда!S335</f>
        <v>0</v>
      </c>
      <c r="T213" s="473">
        <f>блюда!T335</f>
        <v>0</v>
      </c>
      <c r="U213" s="473">
        <f>блюда!U335</f>
        <v>0</v>
      </c>
      <c r="V213" s="473">
        <f>блюда!V335</f>
        <v>0</v>
      </c>
      <c r="W213" s="473">
        <f>блюда!W335</f>
        <v>0</v>
      </c>
      <c r="X213" s="473">
        <f>блюда!X335</f>
        <v>0</v>
      </c>
      <c r="Y213" s="473">
        <f>блюда!Y335</f>
        <v>0</v>
      </c>
      <c r="Z213" s="473">
        <f>блюда!Z335</f>
        <v>0</v>
      </c>
      <c r="AA213" s="473">
        <f>блюда!AA335</f>
        <v>0</v>
      </c>
      <c r="AB213" s="473">
        <f>блюда!AB335</f>
        <v>0</v>
      </c>
      <c r="AC213" s="473">
        <f>блюда!AC335</f>
        <v>0</v>
      </c>
      <c r="AD213" s="473">
        <f>блюда!AD335</f>
        <v>0</v>
      </c>
      <c r="AE213" s="473">
        <f>блюда!AE335</f>
        <v>0</v>
      </c>
      <c r="AF213" s="473">
        <f>блюда!AF335</f>
        <v>0</v>
      </c>
      <c r="AG213" s="473">
        <f>блюда!AG335</f>
        <v>0</v>
      </c>
      <c r="AH213" s="473">
        <f>блюда!AH335</f>
        <v>0</v>
      </c>
      <c r="AI213" s="473">
        <f>блюда!AI335</f>
        <v>0</v>
      </c>
      <c r="AJ213" s="473">
        <f>блюда!AJ335</f>
        <v>0</v>
      </c>
      <c r="AK213" s="473">
        <f>блюда!AK335</f>
        <v>0</v>
      </c>
      <c r="AL213" s="473">
        <f>блюда!AL335</f>
        <v>0</v>
      </c>
      <c r="AM213" s="473">
        <f>блюда!AM335</f>
        <v>0</v>
      </c>
      <c r="AN213" s="473">
        <f>блюда!AN335</f>
        <v>0</v>
      </c>
      <c r="AO213" s="473">
        <f>блюда!AO335</f>
        <v>0</v>
      </c>
      <c r="AP213" s="473">
        <f>блюда!AP335</f>
        <v>0</v>
      </c>
      <c r="AQ213" s="473">
        <f>блюда!AQ335</f>
        <v>0</v>
      </c>
      <c r="AR213" s="473">
        <f>блюда!AR335</f>
        <v>0</v>
      </c>
      <c r="AS213" s="473">
        <f>блюда!AS335</f>
        <v>0</v>
      </c>
      <c r="AT213" s="473">
        <f>блюда!AT335</f>
        <v>0</v>
      </c>
      <c r="AU213" s="473">
        <f>блюда!AU335</f>
        <v>0</v>
      </c>
      <c r="AV213" s="473">
        <f>блюда!AV335</f>
        <v>0</v>
      </c>
      <c r="AW213" s="473">
        <f>блюда!AW335</f>
        <v>0</v>
      </c>
      <c r="AX213" s="473">
        <f>блюда!AX335</f>
        <v>0</v>
      </c>
      <c r="AY213" s="473">
        <f>блюда!AY335</f>
        <v>0</v>
      </c>
      <c r="AZ213" s="473">
        <f>блюда!AZ335</f>
        <v>0</v>
      </c>
      <c r="BA213" s="473">
        <f>блюда!BA335</f>
        <v>0</v>
      </c>
      <c r="BB213" s="473">
        <f>блюда!BB335</f>
        <v>0</v>
      </c>
      <c r="BC213" s="473">
        <f>блюда!BC335</f>
        <v>0</v>
      </c>
      <c r="BD213" s="473">
        <f>блюда!BD335</f>
        <v>0</v>
      </c>
      <c r="BE213" s="473">
        <f>блюда!BE335</f>
        <v>0</v>
      </c>
      <c r="BF213" s="473">
        <f>блюда!BF335</f>
        <v>0</v>
      </c>
      <c r="BG213" s="473">
        <f>блюда!BG335</f>
        <v>0</v>
      </c>
      <c r="BH213" s="473">
        <f>блюда!BH335</f>
        <v>0</v>
      </c>
      <c r="BI213" s="473">
        <f>блюда!BI335</f>
        <v>0</v>
      </c>
      <c r="BJ213" s="473">
        <f>блюда!BJ335</f>
        <v>0</v>
      </c>
      <c r="BK213" s="473">
        <f>блюда!BK335</f>
        <v>0</v>
      </c>
      <c r="BL213" s="473">
        <f>блюда!BL335</f>
        <v>0</v>
      </c>
      <c r="BM213" s="473">
        <f>блюда!BM335</f>
        <v>0</v>
      </c>
      <c r="BN213" s="473">
        <f>блюда!BN335</f>
        <v>0</v>
      </c>
      <c r="BO213" s="473">
        <f>блюда!BO335</f>
        <v>0</v>
      </c>
      <c r="BP213" s="473">
        <f>блюда!BP335</f>
        <v>0</v>
      </c>
      <c r="BQ213" s="473">
        <f>блюда!BQ335</f>
        <v>0</v>
      </c>
      <c r="BR213" s="473">
        <f>блюда!BR335</f>
        <v>0</v>
      </c>
      <c r="BS213" s="473">
        <f>блюда!BS335</f>
        <v>0</v>
      </c>
      <c r="BT213" s="473">
        <f>блюда!BT335</f>
        <v>0</v>
      </c>
      <c r="BU213" s="473">
        <f>блюда!BU335</f>
        <v>0</v>
      </c>
      <c r="BV213" s="473">
        <f>блюда!BV335</f>
        <v>0</v>
      </c>
      <c r="BW213" s="473">
        <f>блюда!BW335</f>
        <v>0</v>
      </c>
      <c r="BX213" s="473">
        <f>блюда!BX335</f>
        <v>0</v>
      </c>
      <c r="BY213" s="473">
        <f>блюда!BY335</f>
        <v>0</v>
      </c>
      <c r="BZ213" s="473">
        <f>блюда!BZ335</f>
        <v>0</v>
      </c>
      <c r="CA213" s="473">
        <f>блюда!CA335</f>
        <v>0</v>
      </c>
      <c r="CB213" s="473">
        <f>блюда!CB335</f>
        <v>0</v>
      </c>
      <c r="CC213" s="473">
        <f>блюда!CC335</f>
        <v>0</v>
      </c>
      <c r="CD213" s="473">
        <f>блюда!CD335</f>
        <v>0</v>
      </c>
      <c r="CE213" s="473">
        <f>блюда!CE335</f>
        <v>0</v>
      </c>
      <c r="CF213" s="473">
        <f>блюда!CF335</f>
        <v>0</v>
      </c>
      <c r="CG213" s="473">
        <f>блюда!CG335</f>
        <v>0</v>
      </c>
      <c r="CH213" s="473">
        <f>блюда!CH335</f>
        <v>0</v>
      </c>
      <c r="CI213" s="473">
        <f>блюда!CI335</f>
        <v>0</v>
      </c>
      <c r="CJ213" s="473">
        <f>блюда!CJ335</f>
        <v>0</v>
      </c>
      <c r="CK213" s="473">
        <f>блюда!CK335</f>
        <v>0</v>
      </c>
      <c r="CL213" s="473">
        <f>блюда!CL335</f>
        <v>0</v>
      </c>
      <c r="CM213" s="473">
        <f>блюда!CM335</f>
        <v>0</v>
      </c>
      <c r="CN213" s="473">
        <f>блюда!CN335</f>
        <v>0</v>
      </c>
      <c r="CO213" s="473">
        <f>блюда!CO335</f>
        <v>0</v>
      </c>
      <c r="CP213" s="473">
        <f>блюда!CP335</f>
        <v>0</v>
      </c>
      <c r="CQ213" s="473">
        <f>блюда!CQ335</f>
        <v>0</v>
      </c>
      <c r="CR213" s="473">
        <f>блюда!CR335</f>
        <v>0</v>
      </c>
      <c r="CS213" s="473">
        <f>блюда!CS335</f>
        <v>0</v>
      </c>
      <c r="CT213" s="473">
        <f>блюда!CT335</f>
        <v>0</v>
      </c>
      <c r="CU213" s="473">
        <f>блюда!CU335</f>
        <v>0</v>
      </c>
      <c r="CV213" s="473">
        <f>блюда!CV335</f>
        <v>0</v>
      </c>
      <c r="CW213" s="473">
        <f>блюда!CW335</f>
        <v>0</v>
      </c>
      <c r="CX213" s="473">
        <f>блюда!CX335</f>
        <v>0</v>
      </c>
      <c r="CY213" s="473">
        <f>блюда!CY335</f>
        <v>0</v>
      </c>
      <c r="CZ213" s="473">
        <f>блюда!CZ335</f>
        <v>0</v>
      </c>
      <c r="DA213" s="473">
        <f>блюда!DA335</f>
        <v>0</v>
      </c>
      <c r="DB213" s="473">
        <f>блюда!DB335</f>
        <v>0</v>
      </c>
      <c r="DC213" s="473">
        <f>блюда!DC335</f>
        <v>0</v>
      </c>
      <c r="DD213" s="473">
        <f>блюда!DD335</f>
        <v>0</v>
      </c>
      <c r="DE213" s="473">
        <f>блюда!DE335</f>
        <v>0</v>
      </c>
      <c r="DF213" s="473">
        <f>блюда!DF335</f>
        <v>0</v>
      </c>
      <c r="DG213" s="473">
        <f>блюда!DG335</f>
        <v>0</v>
      </c>
      <c r="DH213" s="473">
        <f>блюда!DH335</f>
        <v>0</v>
      </c>
      <c r="DI213" s="473">
        <f>блюда!DI335</f>
        <v>0</v>
      </c>
      <c r="DJ213" s="473">
        <f>блюда!DJ335</f>
        <v>0</v>
      </c>
      <c r="DK213" s="473">
        <f>блюда!DK335</f>
        <v>0</v>
      </c>
      <c r="DL213" s="473">
        <f>блюда!DL335</f>
        <v>0</v>
      </c>
      <c r="DM213" s="473">
        <f>блюда!DM335</f>
        <v>0</v>
      </c>
      <c r="DN213" s="473">
        <f>блюда!DN335</f>
        <v>0</v>
      </c>
      <c r="DO213" s="473">
        <f>блюда!DO335</f>
        <v>0</v>
      </c>
      <c r="DP213" s="473">
        <f>блюда!DP335</f>
        <v>0</v>
      </c>
      <c r="DQ213" s="473">
        <f>блюда!DQ335</f>
        <v>0</v>
      </c>
      <c r="DR213" s="473">
        <f>блюда!DR335</f>
        <v>0</v>
      </c>
      <c r="DS213" s="473">
        <f>блюда!DS335</f>
        <v>0</v>
      </c>
      <c r="DT213" s="473">
        <f>блюда!DT335</f>
        <v>0</v>
      </c>
      <c r="DU213" s="473">
        <f>блюда!DU335</f>
        <v>0</v>
      </c>
      <c r="DV213" s="473">
        <f>блюда!DV335</f>
        <v>0</v>
      </c>
      <c r="DW213" s="473">
        <f>блюда!DW335</f>
        <v>0</v>
      </c>
      <c r="DX213" s="473">
        <f>блюда!DX335</f>
        <v>0</v>
      </c>
      <c r="DY213" s="473">
        <f>блюда!DY335</f>
        <v>0</v>
      </c>
      <c r="DZ213" s="473">
        <f>блюда!DZ335</f>
        <v>0</v>
      </c>
      <c r="EA213" s="473">
        <f>блюда!EA335</f>
        <v>0</v>
      </c>
      <c r="EB213" s="473">
        <f>блюда!EB335</f>
        <v>0</v>
      </c>
      <c r="EC213" s="473">
        <f>блюда!EC335</f>
        <v>0</v>
      </c>
      <c r="ED213" s="473">
        <f>блюда!ED335</f>
        <v>0</v>
      </c>
      <c r="EE213" s="473">
        <f>блюда!EE335</f>
        <v>0</v>
      </c>
      <c r="EF213" s="473">
        <f>блюда!EF335</f>
        <v>0</v>
      </c>
      <c r="EG213" s="473">
        <f>блюда!EG335</f>
        <v>0</v>
      </c>
      <c r="EH213" s="473">
        <f>блюда!EH335</f>
        <v>0</v>
      </c>
      <c r="EI213" s="473">
        <f>блюда!EI335</f>
        <v>0</v>
      </c>
      <c r="EJ213" s="473">
        <f>блюда!EJ335</f>
        <v>0</v>
      </c>
      <c r="EK213" s="473">
        <f>блюда!EK335</f>
        <v>0</v>
      </c>
      <c r="EL213" s="473">
        <f>блюда!EL335</f>
        <v>0</v>
      </c>
      <c r="EM213" s="473">
        <f>блюда!EM335</f>
        <v>0</v>
      </c>
      <c r="EN213" s="473">
        <f>блюда!EN335</f>
        <v>0</v>
      </c>
      <c r="EO213" s="473">
        <f>блюда!EO335</f>
        <v>0</v>
      </c>
      <c r="EP213" s="473">
        <f>блюда!EP335</f>
        <v>0</v>
      </c>
      <c r="EQ213" s="473">
        <f>блюда!EQ335</f>
        <v>0</v>
      </c>
      <c r="ER213" s="473">
        <f>блюда!ER335</f>
        <v>0</v>
      </c>
      <c r="ES213" s="473">
        <f>блюда!ES335</f>
        <v>0</v>
      </c>
      <c r="ET213" s="473">
        <f>блюда!ET335</f>
        <v>0</v>
      </c>
      <c r="EU213" s="473">
        <f>блюда!EU335</f>
        <v>0</v>
      </c>
      <c r="EV213" s="473">
        <f>блюда!EV335</f>
        <v>0</v>
      </c>
      <c r="EW213" s="473">
        <f>блюда!EW335</f>
        <v>0.03</v>
      </c>
      <c r="EX213" s="473">
        <f>блюда!EX335</f>
        <v>0</v>
      </c>
      <c r="EY213" s="927">
        <f t="shared" si="139"/>
        <v>0.03</v>
      </c>
      <c r="EZ213" s="117">
        <f>блюда!EZ335</f>
        <v>0</v>
      </c>
      <c r="FA213" s="117">
        <f>блюда!FA335</f>
        <v>0</v>
      </c>
      <c r="FB213" s="117">
        <f>блюда!FB335</f>
        <v>0</v>
      </c>
      <c r="FC213" s="117">
        <f>блюда!FC335</f>
        <v>0</v>
      </c>
      <c r="FD213" s="117">
        <f>блюда!FD335</f>
        <v>0</v>
      </c>
      <c r="FE213" s="117">
        <f>блюда!FE335</f>
        <v>0</v>
      </c>
      <c r="FF213" s="117">
        <f>блюда!FF335</f>
        <v>0</v>
      </c>
      <c r="FG213" s="117">
        <f>блюда!FG335</f>
        <v>0</v>
      </c>
      <c r="FH213" s="117">
        <f>блюда!FH335</f>
        <v>0</v>
      </c>
      <c r="FI213" s="117">
        <f>блюда!FI335</f>
        <v>0</v>
      </c>
      <c r="FJ213" s="117">
        <f>блюда!FJ335</f>
        <v>0</v>
      </c>
      <c r="FK213" s="117">
        <f>блюда!FK335</f>
        <v>0</v>
      </c>
      <c r="FL213" s="117">
        <f>блюда!FL335</f>
        <v>0</v>
      </c>
    </row>
    <row r="214" spans="1:168" x14ac:dyDescent="0.25">
      <c r="A214" s="1460"/>
      <c r="B214" s="115"/>
      <c r="C214" s="116"/>
      <c r="D214" s="116"/>
      <c r="E214" s="116"/>
      <c r="F214" s="116"/>
      <c r="G214" s="116"/>
      <c r="H214" s="116"/>
      <c r="I214" s="431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16"/>
      <c r="Y214" s="116"/>
      <c r="Z214" s="116"/>
      <c r="AA214" s="116"/>
      <c r="AB214" s="116"/>
      <c r="AC214" s="116"/>
      <c r="AD214" s="116"/>
      <c r="AE214" s="116"/>
      <c r="AF214" s="116"/>
      <c r="AG214" s="116"/>
      <c r="AH214" s="116"/>
      <c r="AI214" s="116"/>
      <c r="AJ214" s="116"/>
      <c r="AK214" s="116"/>
      <c r="AL214" s="116"/>
      <c r="AM214" s="116"/>
      <c r="AN214" s="116"/>
      <c r="AO214" s="116"/>
      <c r="AP214" s="116"/>
      <c r="AQ214" s="116"/>
      <c r="AR214" s="116"/>
      <c r="AS214" s="116"/>
      <c r="AT214" s="116"/>
      <c r="AU214" s="116"/>
      <c r="AV214" s="116"/>
      <c r="AW214" s="116"/>
      <c r="AX214" s="116"/>
      <c r="AY214" s="116"/>
      <c r="AZ214" s="116"/>
      <c r="BA214" s="116"/>
      <c r="BB214" s="116"/>
      <c r="BC214" s="116"/>
      <c r="BD214" s="116"/>
      <c r="BE214" s="116"/>
      <c r="BF214" s="116"/>
      <c r="BG214" s="116"/>
      <c r="BH214" s="116"/>
      <c r="BI214" s="116"/>
      <c r="BJ214" s="116"/>
      <c r="BK214" s="116"/>
      <c r="BL214" s="116"/>
      <c r="BM214" s="116"/>
      <c r="BN214" s="116"/>
      <c r="BO214" s="116"/>
      <c r="BP214" s="116"/>
      <c r="BQ214" s="116"/>
      <c r="BR214" s="116"/>
      <c r="BS214" s="116"/>
      <c r="BT214" s="116"/>
      <c r="BU214" s="116"/>
      <c r="BV214" s="116"/>
      <c r="BW214" s="116"/>
      <c r="BX214" s="116"/>
      <c r="BY214" s="116"/>
      <c r="BZ214" s="116"/>
      <c r="CA214" s="116"/>
      <c r="CB214" s="116"/>
      <c r="CC214" s="116"/>
      <c r="CD214" s="116"/>
      <c r="CE214" s="116"/>
      <c r="CF214" s="116"/>
      <c r="CG214" s="116"/>
      <c r="CH214" s="116"/>
      <c r="CI214" s="116"/>
      <c r="CJ214" s="116"/>
      <c r="CK214" s="116"/>
      <c r="CL214" s="116"/>
      <c r="CM214" s="116"/>
      <c r="CN214" s="116"/>
      <c r="CO214" s="116"/>
      <c r="CP214" s="116"/>
      <c r="CQ214" s="116"/>
      <c r="CR214" s="116"/>
      <c r="CS214" s="116"/>
      <c r="CT214" s="116"/>
      <c r="CU214" s="116"/>
      <c r="CV214" s="116"/>
      <c r="CW214" s="116"/>
      <c r="CX214" s="116"/>
      <c r="CY214" s="116"/>
      <c r="CZ214" s="116"/>
      <c r="DA214" s="116"/>
      <c r="DB214" s="116"/>
      <c r="DC214" s="116"/>
      <c r="DD214" s="116"/>
      <c r="DE214" s="116"/>
      <c r="DF214" s="116"/>
      <c r="DG214" s="116"/>
      <c r="DH214" s="116"/>
      <c r="DI214" s="116"/>
      <c r="DJ214" s="116"/>
      <c r="DK214" s="116"/>
      <c r="DL214" s="116"/>
      <c r="DM214" s="116"/>
      <c r="DN214" s="116"/>
      <c r="DO214" s="116"/>
      <c r="DP214" s="116"/>
      <c r="DQ214" s="116"/>
      <c r="DR214" s="116"/>
      <c r="DS214" s="116"/>
      <c r="DT214" s="116"/>
      <c r="DU214" s="116"/>
      <c r="DV214" s="116"/>
      <c r="DW214" s="116"/>
      <c r="DX214" s="116"/>
      <c r="DY214" s="116"/>
      <c r="DZ214" s="116"/>
      <c r="EA214" s="116"/>
      <c r="EB214" s="116"/>
      <c r="EC214" s="116"/>
      <c r="ED214" s="116"/>
      <c r="EE214" s="116"/>
      <c r="EF214" s="116"/>
      <c r="EG214" s="116"/>
      <c r="EH214" s="116"/>
      <c r="EI214" s="116"/>
      <c r="EJ214" s="116"/>
      <c r="EK214" s="116"/>
      <c r="EL214" s="116"/>
      <c r="EM214" s="116"/>
      <c r="EN214" s="116"/>
      <c r="EO214" s="116"/>
      <c r="EP214" s="116"/>
      <c r="EQ214" s="116"/>
      <c r="ER214" s="116"/>
      <c r="ES214" s="116"/>
      <c r="ET214" s="116"/>
      <c r="EU214" s="116"/>
      <c r="EV214" s="116"/>
      <c r="EW214" s="116"/>
      <c r="EX214" s="116"/>
      <c r="EY214" s="927">
        <f t="shared" si="139"/>
        <v>0</v>
      </c>
      <c r="EZ214" s="117"/>
      <c r="FA214" s="117"/>
      <c r="FB214" s="117"/>
      <c r="FC214" s="117"/>
      <c r="FD214" s="117"/>
      <c r="FE214" s="117"/>
      <c r="FF214" s="117"/>
      <c r="FG214" s="117"/>
      <c r="FH214" s="117"/>
      <c r="FI214" s="117"/>
      <c r="FJ214" s="117"/>
      <c r="FK214" s="117"/>
      <c r="FL214" s="117"/>
    </row>
    <row r="215" spans="1:168" x14ac:dyDescent="0.25">
      <c r="A215" s="1461"/>
      <c r="B215" s="115"/>
      <c r="C215" s="116"/>
      <c r="D215" s="431"/>
      <c r="E215" s="431"/>
      <c r="F215" s="431"/>
      <c r="G215" s="116"/>
      <c r="H215" s="116"/>
      <c r="I215" s="431"/>
      <c r="J215" s="703"/>
      <c r="K215" s="703"/>
      <c r="L215" s="703"/>
      <c r="M215" s="703"/>
      <c r="N215" s="703"/>
      <c r="O215" s="703"/>
      <c r="P215" s="703"/>
      <c r="Q215" s="703"/>
      <c r="R215" s="703"/>
      <c r="S215" s="703"/>
      <c r="T215" s="703"/>
      <c r="U215" s="703"/>
      <c r="V215" s="703"/>
      <c r="W215" s="703"/>
      <c r="X215" s="703"/>
      <c r="Y215" s="703"/>
      <c r="Z215" s="703"/>
      <c r="AA215" s="703"/>
      <c r="AB215" s="703"/>
      <c r="AC215" s="703"/>
      <c r="AD215" s="703"/>
      <c r="AE215" s="703"/>
      <c r="AF215" s="703"/>
      <c r="AG215" s="703"/>
      <c r="AH215" s="703"/>
      <c r="AI215" s="703"/>
      <c r="AJ215" s="703"/>
      <c r="AK215" s="703"/>
      <c r="AL215" s="703"/>
      <c r="AM215" s="703"/>
      <c r="AN215" s="703"/>
      <c r="AO215" s="703"/>
      <c r="AP215" s="703"/>
      <c r="AQ215" s="703"/>
      <c r="AR215" s="703"/>
      <c r="AS215" s="703"/>
      <c r="AT215" s="703"/>
      <c r="AU215" s="703"/>
      <c r="AV215" s="703"/>
      <c r="AW215" s="703"/>
      <c r="AX215" s="703"/>
      <c r="AY215" s="703"/>
      <c r="AZ215" s="703"/>
      <c r="BA215" s="703"/>
      <c r="BB215" s="703"/>
      <c r="BC215" s="703"/>
      <c r="BD215" s="703"/>
      <c r="BE215" s="703"/>
      <c r="BF215" s="703"/>
      <c r="BG215" s="703"/>
      <c r="BH215" s="703"/>
      <c r="BI215" s="703"/>
      <c r="BJ215" s="703"/>
      <c r="BK215" s="703"/>
      <c r="BL215" s="703"/>
      <c r="BM215" s="703"/>
      <c r="BN215" s="703"/>
      <c r="BO215" s="703"/>
      <c r="BP215" s="703"/>
      <c r="BQ215" s="703"/>
      <c r="BR215" s="703"/>
      <c r="BS215" s="703"/>
      <c r="BT215" s="703"/>
      <c r="BU215" s="703"/>
      <c r="BV215" s="703"/>
      <c r="BW215" s="703"/>
      <c r="BX215" s="703"/>
      <c r="BY215" s="703"/>
      <c r="BZ215" s="703"/>
      <c r="CA215" s="703"/>
      <c r="CB215" s="703"/>
      <c r="CC215" s="703"/>
      <c r="CD215" s="703"/>
      <c r="CE215" s="703"/>
      <c r="CF215" s="703"/>
      <c r="CG215" s="703"/>
      <c r="CH215" s="703"/>
      <c r="CI215" s="703"/>
      <c r="CJ215" s="703"/>
      <c r="CK215" s="703"/>
      <c r="CL215" s="703"/>
      <c r="CM215" s="703"/>
      <c r="CN215" s="703"/>
      <c r="CO215" s="703"/>
      <c r="CP215" s="703"/>
      <c r="CQ215" s="703"/>
      <c r="CR215" s="703"/>
      <c r="CS215" s="703"/>
      <c r="CT215" s="703"/>
      <c r="CU215" s="703"/>
      <c r="CV215" s="703"/>
      <c r="CW215" s="703"/>
      <c r="CX215" s="703"/>
      <c r="CY215" s="703"/>
      <c r="CZ215" s="703"/>
      <c r="DA215" s="703"/>
      <c r="DB215" s="703"/>
      <c r="DC215" s="703"/>
      <c r="DD215" s="703"/>
      <c r="DE215" s="703"/>
      <c r="DF215" s="703"/>
      <c r="DG215" s="703"/>
      <c r="DH215" s="703"/>
      <c r="DI215" s="703"/>
      <c r="DJ215" s="703"/>
      <c r="DK215" s="703"/>
      <c r="DL215" s="703"/>
      <c r="DM215" s="703"/>
      <c r="DN215" s="703"/>
      <c r="DO215" s="703"/>
      <c r="DP215" s="703"/>
      <c r="DQ215" s="703"/>
      <c r="DR215" s="703"/>
      <c r="DS215" s="703"/>
      <c r="DT215" s="703"/>
      <c r="DU215" s="703"/>
      <c r="DV215" s="703"/>
      <c r="DW215" s="703"/>
      <c r="DX215" s="703"/>
      <c r="DY215" s="703"/>
      <c r="DZ215" s="703"/>
      <c r="EA215" s="703"/>
      <c r="EB215" s="703"/>
      <c r="EC215" s="703"/>
      <c r="ED215" s="703"/>
      <c r="EE215" s="703"/>
      <c r="EF215" s="703"/>
      <c r="EG215" s="703"/>
      <c r="EH215" s="703"/>
      <c r="EI215" s="703"/>
      <c r="EJ215" s="703"/>
      <c r="EK215" s="703"/>
      <c r="EL215" s="703"/>
      <c r="EM215" s="703"/>
      <c r="EN215" s="703"/>
      <c r="EO215" s="703"/>
      <c r="EP215" s="703"/>
      <c r="EQ215" s="703"/>
      <c r="ER215" s="703"/>
      <c r="ES215" s="703"/>
      <c r="ET215" s="703"/>
      <c r="EU215" s="703"/>
      <c r="EV215" s="703"/>
      <c r="EW215" s="703"/>
      <c r="EX215" s="703"/>
      <c r="EY215" s="927">
        <f t="shared" si="139"/>
        <v>0</v>
      </c>
      <c r="EZ215" s="423"/>
      <c r="FA215" s="423"/>
      <c r="FB215" s="423"/>
      <c r="FC215" s="423"/>
      <c r="FD215" s="423"/>
      <c r="FE215" s="423"/>
      <c r="FF215" s="423"/>
      <c r="FG215" s="423"/>
      <c r="FH215" s="423"/>
      <c r="FI215" s="423"/>
      <c r="FJ215" s="423"/>
      <c r="FK215" s="423"/>
      <c r="FL215" s="423"/>
    </row>
    <row r="216" spans="1:168" x14ac:dyDescent="0.25">
      <c r="A216" s="120"/>
      <c r="B216" s="118" t="s">
        <v>113</v>
      </c>
      <c r="C216" s="840">
        <f>SUM(C207:C215)</f>
        <v>850</v>
      </c>
      <c r="D216" s="842">
        <f>SUM(D207:D215)</f>
        <v>36.24</v>
      </c>
      <c r="E216" s="842">
        <f t="shared" ref="E216:BC216" si="140">SUM(E207:E215)</f>
        <v>36.17</v>
      </c>
      <c r="F216" s="842">
        <f t="shared" si="140"/>
        <v>111.07</v>
      </c>
      <c r="G216" s="840">
        <f t="shared" si="140"/>
        <v>927</v>
      </c>
      <c r="H216" s="840"/>
      <c r="I216" s="842">
        <f t="shared" ref="I216" si="141">SUM(I207:I215)</f>
        <v>129.63</v>
      </c>
      <c r="J216" s="844">
        <f t="shared" si="140"/>
        <v>0.15</v>
      </c>
      <c r="K216" s="844">
        <f t="shared" si="140"/>
        <v>0</v>
      </c>
      <c r="L216" s="844">
        <f t="shared" si="140"/>
        <v>0</v>
      </c>
      <c r="M216" s="844">
        <f t="shared" si="140"/>
        <v>0</v>
      </c>
      <c r="N216" s="844">
        <f t="shared" si="140"/>
        <v>0</v>
      </c>
      <c r="O216" s="844">
        <f t="shared" si="140"/>
        <v>0</v>
      </c>
      <c r="P216" s="844">
        <f t="shared" si="140"/>
        <v>0</v>
      </c>
      <c r="Q216" s="844">
        <f t="shared" si="140"/>
        <v>0</v>
      </c>
      <c r="R216" s="844">
        <f t="shared" si="140"/>
        <v>0</v>
      </c>
      <c r="S216" s="844">
        <f t="shared" si="140"/>
        <v>0</v>
      </c>
      <c r="T216" s="844">
        <f t="shared" si="140"/>
        <v>0</v>
      </c>
      <c r="U216" s="844">
        <f t="shared" si="140"/>
        <v>0</v>
      </c>
      <c r="V216" s="844">
        <f t="shared" si="140"/>
        <v>5.2500000000000003E-3</v>
      </c>
      <c r="W216" s="844">
        <f t="shared" si="140"/>
        <v>0</v>
      </c>
      <c r="X216" s="844">
        <f t="shared" si="140"/>
        <v>0</v>
      </c>
      <c r="Y216" s="844">
        <f t="shared" si="140"/>
        <v>2.5999999999999999E-2</v>
      </c>
      <c r="Z216" s="844">
        <f t="shared" si="140"/>
        <v>0</v>
      </c>
      <c r="AA216" s="844">
        <f t="shared" si="140"/>
        <v>0</v>
      </c>
      <c r="AB216" s="844">
        <f t="shared" si="140"/>
        <v>0</v>
      </c>
      <c r="AC216" s="844">
        <f t="shared" si="140"/>
        <v>0</v>
      </c>
      <c r="AD216" s="844">
        <f t="shared" si="140"/>
        <v>0</v>
      </c>
      <c r="AE216" s="844">
        <f t="shared" si="140"/>
        <v>0</v>
      </c>
      <c r="AF216" s="844">
        <f t="shared" si="140"/>
        <v>2.5000000000000001E-2</v>
      </c>
      <c r="AG216" s="844">
        <f t="shared" si="140"/>
        <v>0</v>
      </c>
      <c r="AH216" s="844">
        <f t="shared" si="140"/>
        <v>2.6749999999999999E-2</v>
      </c>
      <c r="AI216" s="844">
        <f t="shared" si="140"/>
        <v>0</v>
      </c>
      <c r="AJ216" s="844">
        <f t="shared" si="140"/>
        <v>0</v>
      </c>
      <c r="AK216" s="844">
        <f t="shared" si="140"/>
        <v>2.9000000000000001E-2</v>
      </c>
      <c r="AL216" s="844">
        <f t="shared" si="140"/>
        <v>2.8E-3</v>
      </c>
      <c r="AM216" s="844">
        <f t="shared" si="140"/>
        <v>0</v>
      </c>
      <c r="AN216" s="844">
        <f t="shared" si="140"/>
        <v>3.5499999999999997E-2</v>
      </c>
      <c r="AO216" s="844">
        <f t="shared" si="140"/>
        <v>3.1600000000000003E-2</v>
      </c>
      <c r="AP216" s="844">
        <f t="shared" si="140"/>
        <v>0</v>
      </c>
      <c r="AQ216" s="844">
        <f t="shared" si="140"/>
        <v>1.2500000000000001E-2</v>
      </c>
      <c r="AR216" s="844">
        <f t="shared" si="140"/>
        <v>0</v>
      </c>
      <c r="AS216" s="844">
        <f t="shared" si="140"/>
        <v>0</v>
      </c>
      <c r="AT216" s="844">
        <f t="shared" si="140"/>
        <v>3.2499999999999999E-3</v>
      </c>
      <c r="AU216" s="844">
        <f t="shared" si="140"/>
        <v>4.7999999999999996E-3</v>
      </c>
      <c r="AV216" s="844">
        <f t="shared" si="140"/>
        <v>0</v>
      </c>
      <c r="AW216" s="844">
        <f t="shared" si="140"/>
        <v>0</v>
      </c>
      <c r="AX216" s="844">
        <f t="shared" si="140"/>
        <v>0.05</v>
      </c>
      <c r="AY216" s="844">
        <f t="shared" si="140"/>
        <v>0</v>
      </c>
      <c r="AZ216" s="844">
        <f t="shared" si="140"/>
        <v>0</v>
      </c>
      <c r="BA216" s="844">
        <f t="shared" si="140"/>
        <v>0</v>
      </c>
      <c r="BB216" s="844">
        <f t="shared" si="140"/>
        <v>0</v>
      </c>
      <c r="BC216" s="844">
        <f t="shared" si="140"/>
        <v>0</v>
      </c>
      <c r="BD216" s="844">
        <f t="shared" ref="BD216:DO216" si="142">SUM(BD207:BD215)</f>
        <v>0</v>
      </c>
      <c r="BE216" s="844">
        <f t="shared" si="142"/>
        <v>0</v>
      </c>
      <c r="BF216" s="844">
        <f t="shared" si="142"/>
        <v>0</v>
      </c>
      <c r="BG216" s="844">
        <f t="shared" si="142"/>
        <v>0</v>
      </c>
      <c r="BH216" s="844">
        <f t="shared" si="142"/>
        <v>0</v>
      </c>
      <c r="BI216" s="844">
        <f t="shared" si="142"/>
        <v>0</v>
      </c>
      <c r="BJ216" s="844">
        <f t="shared" si="142"/>
        <v>0</v>
      </c>
      <c r="BK216" s="844">
        <f t="shared" si="142"/>
        <v>0</v>
      </c>
      <c r="BL216" s="844">
        <f t="shared" si="142"/>
        <v>0</v>
      </c>
      <c r="BM216" s="844">
        <f t="shared" si="142"/>
        <v>0</v>
      </c>
      <c r="BN216" s="844">
        <f t="shared" si="142"/>
        <v>0</v>
      </c>
      <c r="BO216" s="844">
        <f t="shared" si="142"/>
        <v>0</v>
      </c>
      <c r="BP216" s="844">
        <f t="shared" si="142"/>
        <v>0</v>
      </c>
      <c r="BQ216" s="844">
        <f t="shared" si="142"/>
        <v>0</v>
      </c>
      <c r="BR216" s="844">
        <f t="shared" si="142"/>
        <v>0</v>
      </c>
      <c r="BS216" s="844">
        <f t="shared" si="142"/>
        <v>5.4999999999999997E-3</v>
      </c>
      <c r="BT216" s="844">
        <f t="shared" si="142"/>
        <v>6.8870000000000001E-2</v>
      </c>
      <c r="BU216" s="844">
        <f t="shared" si="142"/>
        <v>0</v>
      </c>
      <c r="BV216" s="844">
        <f t="shared" si="142"/>
        <v>0</v>
      </c>
      <c r="BW216" s="844">
        <f t="shared" si="142"/>
        <v>0</v>
      </c>
      <c r="BX216" s="844">
        <f t="shared" si="142"/>
        <v>0</v>
      </c>
      <c r="BY216" s="844">
        <f t="shared" si="142"/>
        <v>0</v>
      </c>
      <c r="BZ216" s="844">
        <f t="shared" si="142"/>
        <v>0</v>
      </c>
      <c r="CA216" s="844">
        <f t="shared" si="142"/>
        <v>0</v>
      </c>
      <c r="CB216" s="844">
        <f t="shared" si="142"/>
        <v>0</v>
      </c>
      <c r="CC216" s="844">
        <f t="shared" si="142"/>
        <v>0</v>
      </c>
      <c r="CD216" s="844">
        <f t="shared" si="142"/>
        <v>0</v>
      </c>
      <c r="CE216" s="844">
        <f t="shared" si="142"/>
        <v>0</v>
      </c>
      <c r="CF216" s="844">
        <f t="shared" si="142"/>
        <v>1.2E-2</v>
      </c>
      <c r="CG216" s="844">
        <f t="shared" si="142"/>
        <v>0</v>
      </c>
      <c r="CH216" s="844">
        <f t="shared" si="142"/>
        <v>0</v>
      </c>
      <c r="CI216" s="844">
        <f t="shared" si="142"/>
        <v>0</v>
      </c>
      <c r="CJ216" s="844">
        <f t="shared" si="142"/>
        <v>0</v>
      </c>
      <c r="CK216" s="844">
        <f t="shared" si="142"/>
        <v>0</v>
      </c>
      <c r="CL216" s="844">
        <f t="shared" si="142"/>
        <v>0</v>
      </c>
      <c r="CM216" s="844">
        <f t="shared" si="142"/>
        <v>0</v>
      </c>
      <c r="CN216" s="844">
        <f t="shared" si="142"/>
        <v>0</v>
      </c>
      <c r="CO216" s="844">
        <f t="shared" si="142"/>
        <v>0</v>
      </c>
      <c r="CP216" s="844">
        <f t="shared" si="142"/>
        <v>0</v>
      </c>
      <c r="CQ216" s="844">
        <f t="shared" si="142"/>
        <v>2.0000000000000001E-4</v>
      </c>
      <c r="CR216" s="844">
        <f t="shared" si="142"/>
        <v>0</v>
      </c>
      <c r="CS216" s="844">
        <f t="shared" si="142"/>
        <v>3.0000000000000001E-5</v>
      </c>
      <c r="CT216" s="844">
        <f t="shared" si="142"/>
        <v>0</v>
      </c>
      <c r="CU216" s="844">
        <f t="shared" si="142"/>
        <v>0</v>
      </c>
      <c r="CV216" s="844">
        <f t="shared" si="142"/>
        <v>0</v>
      </c>
      <c r="CW216" s="844">
        <f t="shared" si="142"/>
        <v>0</v>
      </c>
      <c r="CX216" s="844">
        <f t="shared" si="142"/>
        <v>0</v>
      </c>
      <c r="CY216" s="844">
        <f t="shared" si="142"/>
        <v>0</v>
      </c>
      <c r="CZ216" s="844">
        <f t="shared" si="142"/>
        <v>2.2499999999999999E-2</v>
      </c>
      <c r="DA216" s="844">
        <f t="shared" si="142"/>
        <v>0</v>
      </c>
      <c r="DB216" s="844">
        <f t="shared" si="142"/>
        <v>0</v>
      </c>
      <c r="DC216" s="844">
        <f t="shared" si="142"/>
        <v>9.5999999999999992E-3</v>
      </c>
      <c r="DD216" s="844">
        <f t="shared" si="142"/>
        <v>0</v>
      </c>
      <c r="DE216" s="844">
        <f t="shared" si="142"/>
        <v>0.02</v>
      </c>
      <c r="DF216" s="844">
        <f t="shared" si="142"/>
        <v>1.8499999999999999E-2</v>
      </c>
      <c r="DG216" s="844">
        <f t="shared" si="142"/>
        <v>0</v>
      </c>
      <c r="DH216" s="844">
        <f t="shared" si="142"/>
        <v>0</v>
      </c>
      <c r="DI216" s="844">
        <f t="shared" si="142"/>
        <v>0</v>
      </c>
      <c r="DJ216" s="844">
        <f t="shared" si="142"/>
        <v>0</v>
      </c>
      <c r="DK216" s="844">
        <f t="shared" si="142"/>
        <v>0</v>
      </c>
      <c r="DL216" s="844">
        <f t="shared" si="142"/>
        <v>0</v>
      </c>
      <c r="DM216" s="844">
        <f t="shared" si="142"/>
        <v>0</v>
      </c>
      <c r="DN216" s="844">
        <f t="shared" si="142"/>
        <v>0</v>
      </c>
      <c r="DO216" s="844">
        <f t="shared" si="142"/>
        <v>0</v>
      </c>
      <c r="DP216" s="844">
        <f t="shared" ref="DP216:EX216" si="143">SUM(DP207:DP215)</f>
        <v>0</v>
      </c>
      <c r="DQ216" s="844">
        <f t="shared" si="143"/>
        <v>0</v>
      </c>
      <c r="DR216" s="844">
        <f t="shared" si="143"/>
        <v>0</v>
      </c>
      <c r="DS216" s="844">
        <f t="shared" si="143"/>
        <v>0</v>
      </c>
      <c r="DT216" s="844">
        <f t="shared" si="143"/>
        <v>0</v>
      </c>
      <c r="DU216" s="844">
        <f t="shared" si="143"/>
        <v>0</v>
      </c>
      <c r="DV216" s="844">
        <f t="shared" si="143"/>
        <v>0</v>
      </c>
      <c r="DW216" s="844">
        <f t="shared" si="143"/>
        <v>0</v>
      </c>
      <c r="DX216" s="844">
        <f t="shared" si="143"/>
        <v>0</v>
      </c>
      <c r="DY216" s="844">
        <f t="shared" si="143"/>
        <v>0</v>
      </c>
      <c r="DZ216" s="844">
        <f t="shared" si="143"/>
        <v>0</v>
      </c>
      <c r="EA216" s="844">
        <f t="shared" si="143"/>
        <v>0</v>
      </c>
      <c r="EB216" s="844">
        <f t="shared" si="143"/>
        <v>0</v>
      </c>
      <c r="EC216" s="844">
        <f t="shared" si="143"/>
        <v>0</v>
      </c>
      <c r="ED216" s="844">
        <f t="shared" si="143"/>
        <v>0</v>
      </c>
      <c r="EE216" s="844">
        <f t="shared" si="143"/>
        <v>0</v>
      </c>
      <c r="EF216" s="844">
        <f t="shared" si="143"/>
        <v>0</v>
      </c>
      <c r="EG216" s="844">
        <f t="shared" si="143"/>
        <v>0</v>
      </c>
      <c r="EH216" s="844">
        <f t="shared" si="143"/>
        <v>0</v>
      </c>
      <c r="EI216" s="844">
        <f t="shared" si="143"/>
        <v>0</v>
      </c>
      <c r="EJ216" s="844">
        <f t="shared" si="143"/>
        <v>0</v>
      </c>
      <c r="EK216" s="844">
        <f t="shared" si="143"/>
        <v>0</v>
      </c>
      <c r="EL216" s="844">
        <f t="shared" si="143"/>
        <v>0</v>
      </c>
      <c r="EM216" s="844">
        <f t="shared" si="143"/>
        <v>0</v>
      </c>
      <c r="EN216" s="844">
        <f t="shared" si="143"/>
        <v>0</v>
      </c>
      <c r="EO216" s="844">
        <f t="shared" si="143"/>
        <v>0</v>
      </c>
      <c r="EP216" s="844">
        <f t="shared" si="143"/>
        <v>0</v>
      </c>
      <c r="EQ216" s="844">
        <f t="shared" si="143"/>
        <v>0</v>
      </c>
      <c r="ER216" s="844">
        <f t="shared" si="143"/>
        <v>0</v>
      </c>
      <c r="ES216" s="844">
        <f t="shared" si="143"/>
        <v>0</v>
      </c>
      <c r="ET216" s="844">
        <f t="shared" si="143"/>
        <v>0</v>
      </c>
      <c r="EU216" s="844">
        <f t="shared" si="143"/>
        <v>0</v>
      </c>
      <c r="EV216" s="844">
        <f t="shared" si="143"/>
        <v>0.02</v>
      </c>
      <c r="EW216" s="844">
        <f t="shared" si="143"/>
        <v>0.03</v>
      </c>
      <c r="EX216" s="844">
        <f t="shared" si="143"/>
        <v>0</v>
      </c>
      <c r="EY216" s="861">
        <f t="shared" ref="EY216:FL216" si="144">SUM(EY207:EY215)</f>
        <v>0.60970000000000002</v>
      </c>
      <c r="EZ216" s="534">
        <f t="shared" si="144"/>
        <v>0</v>
      </c>
      <c r="FA216" s="534">
        <f t="shared" si="144"/>
        <v>0</v>
      </c>
      <c r="FB216" s="534">
        <f t="shared" si="144"/>
        <v>0</v>
      </c>
      <c r="FC216" s="534">
        <f t="shared" si="144"/>
        <v>0</v>
      </c>
      <c r="FD216" s="534">
        <f t="shared" si="144"/>
        <v>0</v>
      </c>
      <c r="FE216" s="534">
        <f t="shared" si="144"/>
        <v>0</v>
      </c>
      <c r="FF216" s="534">
        <f t="shared" si="144"/>
        <v>0</v>
      </c>
      <c r="FG216" s="534">
        <f t="shared" si="144"/>
        <v>0</v>
      </c>
      <c r="FH216" s="534">
        <f t="shared" si="144"/>
        <v>0</v>
      </c>
      <c r="FI216" s="534">
        <f t="shared" si="144"/>
        <v>0</v>
      </c>
      <c r="FJ216" s="534">
        <f t="shared" si="144"/>
        <v>0</v>
      </c>
      <c r="FK216" s="534">
        <f t="shared" si="144"/>
        <v>0</v>
      </c>
      <c r="FL216" s="534">
        <f t="shared" si="144"/>
        <v>0</v>
      </c>
    </row>
    <row r="217" spans="1:168" hidden="1" x14ac:dyDescent="0.25">
      <c r="A217" s="1459" t="s">
        <v>800</v>
      </c>
      <c r="B217" s="115"/>
      <c r="C217" s="704"/>
      <c r="D217" s="431"/>
      <c r="E217" s="431"/>
      <c r="F217" s="431"/>
      <c r="G217" s="704"/>
      <c r="H217" s="704"/>
      <c r="I217" s="431"/>
      <c r="J217" s="473"/>
      <c r="K217" s="473"/>
      <c r="L217" s="473"/>
      <c r="M217" s="473"/>
      <c r="N217" s="473"/>
      <c r="O217" s="473"/>
      <c r="P217" s="473"/>
      <c r="Q217" s="473"/>
      <c r="R217" s="473"/>
      <c r="S217" s="473"/>
      <c r="T217" s="473"/>
      <c r="U217" s="473"/>
      <c r="V217" s="473"/>
      <c r="W217" s="473"/>
      <c r="X217" s="473"/>
      <c r="Y217" s="473"/>
      <c r="Z217" s="473"/>
      <c r="AA217" s="473"/>
      <c r="AB217" s="473"/>
      <c r="AC217" s="473"/>
      <c r="AD217" s="473"/>
      <c r="AE217" s="473"/>
      <c r="AF217" s="473"/>
      <c r="AG217" s="473"/>
      <c r="AH217" s="473"/>
      <c r="AI217" s="473"/>
      <c r="AJ217" s="473"/>
      <c r="AK217" s="473"/>
      <c r="AL217" s="473"/>
      <c r="AM217" s="473"/>
      <c r="AN217" s="473"/>
      <c r="AO217" s="473"/>
      <c r="AP217" s="473"/>
      <c r="AQ217" s="473"/>
      <c r="AR217" s="473"/>
      <c r="AS217" s="473"/>
      <c r="AT217" s="473"/>
      <c r="AU217" s="473"/>
      <c r="AV217" s="473"/>
      <c r="AW217" s="473"/>
      <c r="AX217" s="473"/>
      <c r="AY217" s="473"/>
      <c r="AZ217" s="473"/>
      <c r="BA217" s="473"/>
      <c r="BB217" s="473"/>
      <c r="BC217" s="473"/>
      <c r="BD217" s="473"/>
      <c r="BE217" s="473"/>
      <c r="BF217" s="473"/>
      <c r="BG217" s="473"/>
      <c r="BH217" s="473"/>
      <c r="BI217" s="473"/>
      <c r="BJ217" s="473"/>
      <c r="BK217" s="473"/>
      <c r="BL217" s="473"/>
      <c r="BM217" s="473"/>
      <c r="BN217" s="473"/>
      <c r="BO217" s="473"/>
      <c r="BP217" s="473"/>
      <c r="BQ217" s="473"/>
      <c r="BR217" s="473"/>
      <c r="BS217" s="473"/>
      <c r="BT217" s="473"/>
      <c r="BU217" s="473"/>
      <c r="BV217" s="473"/>
      <c r="BW217" s="473"/>
      <c r="BX217" s="473"/>
      <c r="BY217" s="473"/>
      <c r="BZ217" s="473"/>
      <c r="CA217" s="473"/>
      <c r="CB217" s="473"/>
      <c r="CC217" s="473"/>
      <c r="CD217" s="473"/>
      <c r="CE217" s="473"/>
      <c r="CF217" s="473"/>
      <c r="CG217" s="473"/>
      <c r="CH217" s="473"/>
      <c r="CI217" s="473"/>
      <c r="CJ217" s="473"/>
      <c r="CK217" s="473"/>
      <c r="CL217" s="473"/>
      <c r="CM217" s="473"/>
      <c r="CN217" s="473"/>
      <c r="CO217" s="473"/>
      <c r="CP217" s="473"/>
      <c r="CQ217" s="473"/>
      <c r="CR217" s="473"/>
      <c r="CS217" s="473"/>
      <c r="CT217" s="473"/>
      <c r="CU217" s="473"/>
      <c r="CV217" s="473"/>
      <c r="CW217" s="473"/>
      <c r="CX217" s="473"/>
      <c r="CY217" s="473"/>
      <c r="CZ217" s="473"/>
      <c r="DA217" s="473"/>
      <c r="DB217" s="473"/>
      <c r="DC217" s="473"/>
      <c r="DD217" s="473"/>
      <c r="DE217" s="473"/>
      <c r="DF217" s="473"/>
      <c r="DG217" s="473"/>
      <c r="DH217" s="473"/>
      <c r="DI217" s="473"/>
      <c r="DJ217" s="473"/>
      <c r="DK217" s="473"/>
      <c r="DL217" s="473"/>
      <c r="DM217" s="473"/>
      <c r="DN217" s="473"/>
      <c r="DO217" s="473"/>
      <c r="DP217" s="473"/>
      <c r="DQ217" s="473"/>
      <c r="DR217" s="473"/>
      <c r="DS217" s="473"/>
      <c r="DT217" s="473"/>
      <c r="DU217" s="473"/>
      <c r="DV217" s="473"/>
      <c r="DW217" s="473"/>
      <c r="DX217" s="473"/>
      <c r="DY217" s="473"/>
      <c r="DZ217" s="473"/>
      <c r="EA217" s="473"/>
      <c r="EB217" s="473"/>
      <c r="EC217" s="473"/>
      <c r="ED217" s="473"/>
      <c r="EE217" s="473"/>
      <c r="EF217" s="473"/>
      <c r="EG217" s="473"/>
      <c r="EH217" s="473"/>
      <c r="EI217" s="473"/>
      <c r="EJ217" s="473"/>
      <c r="EK217" s="473"/>
      <c r="EL217" s="473"/>
      <c r="EM217" s="473"/>
      <c r="EN217" s="473"/>
      <c r="EO217" s="473"/>
      <c r="EP217" s="473"/>
      <c r="EQ217" s="473"/>
      <c r="ER217" s="473"/>
      <c r="ES217" s="473"/>
      <c r="ET217" s="473"/>
      <c r="EU217" s="473"/>
      <c r="EV217" s="473"/>
      <c r="EW217" s="473"/>
      <c r="EX217" s="473"/>
      <c r="EY217" s="927">
        <f t="shared" si="139"/>
        <v>0</v>
      </c>
      <c r="EZ217" s="117"/>
      <c r="FA217" s="117"/>
      <c r="FB217" s="117"/>
      <c r="FC217" s="117"/>
      <c r="FD217" s="117"/>
      <c r="FE217" s="117"/>
      <c r="FF217" s="117"/>
      <c r="FG217" s="117"/>
      <c r="FH217" s="117"/>
      <c r="FI217" s="117"/>
      <c r="FJ217" s="117"/>
      <c r="FK217" s="117"/>
      <c r="FL217" s="117"/>
    </row>
    <row r="218" spans="1:168" hidden="1" x14ac:dyDescent="0.25">
      <c r="A218" s="1460"/>
      <c r="B218" s="115"/>
      <c r="C218" s="704"/>
      <c r="D218" s="431"/>
      <c r="E218" s="431"/>
      <c r="F218" s="431"/>
      <c r="G218" s="704"/>
      <c r="H218" s="704"/>
      <c r="I218" s="431"/>
      <c r="J218" s="473"/>
      <c r="K218" s="473"/>
      <c r="L218" s="473"/>
      <c r="M218" s="473"/>
      <c r="N218" s="473"/>
      <c r="O218" s="473"/>
      <c r="P218" s="473"/>
      <c r="Q218" s="473"/>
      <c r="R218" s="473"/>
      <c r="S218" s="473"/>
      <c r="T218" s="473"/>
      <c r="U218" s="473"/>
      <c r="V218" s="473"/>
      <c r="W218" s="473"/>
      <c r="X218" s="473"/>
      <c r="Y218" s="473"/>
      <c r="Z218" s="473"/>
      <c r="AA218" s="473"/>
      <c r="AB218" s="473"/>
      <c r="AC218" s="473"/>
      <c r="AD218" s="473"/>
      <c r="AE218" s="473"/>
      <c r="AF218" s="473"/>
      <c r="AG218" s="473"/>
      <c r="AH218" s="473"/>
      <c r="AI218" s="473"/>
      <c r="AJ218" s="473"/>
      <c r="AK218" s="473"/>
      <c r="AL218" s="473"/>
      <c r="AM218" s="473"/>
      <c r="AN218" s="473"/>
      <c r="AO218" s="473"/>
      <c r="AP218" s="473"/>
      <c r="AQ218" s="473"/>
      <c r="AR218" s="473"/>
      <c r="AS218" s="473"/>
      <c r="AT218" s="473"/>
      <c r="AU218" s="473"/>
      <c r="AV218" s="473"/>
      <c r="AW218" s="473"/>
      <c r="AX218" s="473"/>
      <c r="AY218" s="473"/>
      <c r="AZ218" s="473"/>
      <c r="BA218" s="473"/>
      <c r="BB218" s="473"/>
      <c r="BC218" s="473"/>
      <c r="BD218" s="473"/>
      <c r="BE218" s="473"/>
      <c r="BF218" s="473"/>
      <c r="BG218" s="473"/>
      <c r="BH218" s="473"/>
      <c r="BI218" s="473"/>
      <c r="BJ218" s="473"/>
      <c r="BK218" s="473"/>
      <c r="BL218" s="473"/>
      <c r="BM218" s="473"/>
      <c r="BN218" s="473"/>
      <c r="BO218" s="473"/>
      <c r="BP218" s="473"/>
      <c r="BQ218" s="473"/>
      <c r="BR218" s="473"/>
      <c r="BS218" s="473"/>
      <c r="BT218" s="473"/>
      <c r="BU218" s="473"/>
      <c r="BV218" s="473"/>
      <c r="BW218" s="473"/>
      <c r="BX218" s="473"/>
      <c r="BY218" s="473"/>
      <c r="BZ218" s="473"/>
      <c r="CA218" s="473"/>
      <c r="CB218" s="473"/>
      <c r="CC218" s="473"/>
      <c r="CD218" s="473"/>
      <c r="CE218" s="473"/>
      <c r="CF218" s="473"/>
      <c r="CG218" s="473"/>
      <c r="CH218" s="473"/>
      <c r="CI218" s="473"/>
      <c r="CJ218" s="473"/>
      <c r="CK218" s="473"/>
      <c r="CL218" s="473"/>
      <c r="CM218" s="473"/>
      <c r="CN218" s="473"/>
      <c r="CO218" s="473"/>
      <c r="CP218" s="473"/>
      <c r="CQ218" s="473"/>
      <c r="CR218" s="473"/>
      <c r="CS218" s="473"/>
      <c r="CT218" s="473"/>
      <c r="CU218" s="473"/>
      <c r="CV218" s="473"/>
      <c r="CW218" s="473"/>
      <c r="CX218" s="473"/>
      <c r="CY218" s="473"/>
      <c r="CZ218" s="473"/>
      <c r="DA218" s="473"/>
      <c r="DB218" s="473"/>
      <c r="DC218" s="473"/>
      <c r="DD218" s="473"/>
      <c r="DE218" s="473"/>
      <c r="DF218" s="473"/>
      <c r="DG218" s="473"/>
      <c r="DH218" s="473"/>
      <c r="DI218" s="473"/>
      <c r="DJ218" s="473"/>
      <c r="DK218" s="473"/>
      <c r="DL218" s="473"/>
      <c r="DM218" s="473"/>
      <c r="DN218" s="473"/>
      <c r="DO218" s="473"/>
      <c r="DP218" s="473"/>
      <c r="DQ218" s="473"/>
      <c r="DR218" s="473"/>
      <c r="DS218" s="473"/>
      <c r="DT218" s="473"/>
      <c r="DU218" s="473"/>
      <c r="DV218" s="473"/>
      <c r="DW218" s="473"/>
      <c r="DX218" s="473"/>
      <c r="DY218" s="473"/>
      <c r="DZ218" s="473"/>
      <c r="EA218" s="473"/>
      <c r="EB218" s="473"/>
      <c r="EC218" s="473"/>
      <c r="ED218" s="473"/>
      <c r="EE218" s="473"/>
      <c r="EF218" s="473"/>
      <c r="EG218" s="473"/>
      <c r="EH218" s="473"/>
      <c r="EI218" s="473"/>
      <c r="EJ218" s="473"/>
      <c r="EK218" s="473"/>
      <c r="EL218" s="473"/>
      <c r="EM218" s="473"/>
      <c r="EN218" s="473"/>
      <c r="EO218" s="473"/>
      <c r="EP218" s="473"/>
      <c r="EQ218" s="473"/>
      <c r="ER218" s="473"/>
      <c r="ES218" s="473"/>
      <c r="ET218" s="473"/>
      <c r="EU218" s="473"/>
      <c r="EV218" s="473"/>
      <c r="EW218" s="473"/>
      <c r="EX218" s="473"/>
      <c r="EY218" s="927">
        <f t="shared" si="139"/>
        <v>0</v>
      </c>
      <c r="EZ218" s="117"/>
      <c r="FA218" s="117"/>
      <c r="FB218" s="117"/>
      <c r="FC218" s="117"/>
      <c r="FD218" s="117"/>
      <c r="FE218" s="117"/>
      <c r="FF218" s="117"/>
      <c r="FG218" s="117"/>
      <c r="FH218" s="117"/>
      <c r="FI218" s="117"/>
      <c r="FJ218" s="117"/>
      <c r="FK218" s="117"/>
      <c r="FL218" s="117"/>
    </row>
    <row r="219" spans="1:168" hidden="1" x14ac:dyDescent="0.25">
      <c r="A219" s="1460"/>
      <c r="B219" s="850"/>
      <c r="C219" s="704"/>
      <c r="D219" s="431"/>
      <c r="E219" s="431"/>
      <c r="F219" s="431"/>
      <c r="G219" s="704"/>
      <c r="H219" s="704"/>
      <c r="I219" s="431"/>
      <c r="J219" s="473"/>
      <c r="K219" s="473"/>
      <c r="L219" s="473"/>
      <c r="M219" s="473"/>
      <c r="N219" s="473"/>
      <c r="O219" s="473"/>
      <c r="P219" s="473"/>
      <c r="Q219" s="473"/>
      <c r="R219" s="473"/>
      <c r="S219" s="473"/>
      <c r="T219" s="473"/>
      <c r="U219" s="473"/>
      <c r="V219" s="473"/>
      <c r="W219" s="473"/>
      <c r="X219" s="473"/>
      <c r="Y219" s="473"/>
      <c r="Z219" s="473"/>
      <c r="AA219" s="473"/>
      <c r="AB219" s="473"/>
      <c r="AC219" s="473"/>
      <c r="AD219" s="473"/>
      <c r="AE219" s="473"/>
      <c r="AF219" s="473"/>
      <c r="AG219" s="473"/>
      <c r="AH219" s="473"/>
      <c r="AI219" s="473"/>
      <c r="AJ219" s="473"/>
      <c r="AK219" s="473"/>
      <c r="AL219" s="473"/>
      <c r="AM219" s="473"/>
      <c r="AN219" s="473"/>
      <c r="AO219" s="473"/>
      <c r="AP219" s="473"/>
      <c r="AQ219" s="473"/>
      <c r="AR219" s="473"/>
      <c r="AS219" s="473"/>
      <c r="AT219" s="473"/>
      <c r="AU219" s="473"/>
      <c r="AV219" s="473"/>
      <c r="AW219" s="473"/>
      <c r="AX219" s="473"/>
      <c r="AY219" s="473"/>
      <c r="AZ219" s="473"/>
      <c r="BA219" s="473"/>
      <c r="BB219" s="473"/>
      <c r="BC219" s="473"/>
      <c r="BD219" s="473"/>
      <c r="BE219" s="473"/>
      <c r="BF219" s="473"/>
      <c r="BG219" s="473"/>
      <c r="BH219" s="473"/>
      <c r="BI219" s="473"/>
      <c r="BJ219" s="473"/>
      <c r="BK219" s="473"/>
      <c r="BL219" s="473"/>
      <c r="BM219" s="473"/>
      <c r="BN219" s="473"/>
      <c r="BO219" s="473"/>
      <c r="BP219" s="473"/>
      <c r="BQ219" s="473"/>
      <c r="BR219" s="473"/>
      <c r="BS219" s="473"/>
      <c r="BT219" s="473"/>
      <c r="BU219" s="473"/>
      <c r="BV219" s="473"/>
      <c r="BW219" s="473"/>
      <c r="BX219" s="473"/>
      <c r="BY219" s="473"/>
      <c r="BZ219" s="473"/>
      <c r="CA219" s="473"/>
      <c r="CB219" s="473"/>
      <c r="CC219" s="473"/>
      <c r="CD219" s="473"/>
      <c r="CE219" s="473"/>
      <c r="CF219" s="473"/>
      <c r="CG219" s="473"/>
      <c r="CH219" s="473"/>
      <c r="CI219" s="473"/>
      <c r="CJ219" s="473"/>
      <c r="CK219" s="473"/>
      <c r="CL219" s="473"/>
      <c r="CM219" s="473"/>
      <c r="CN219" s="473"/>
      <c r="CO219" s="473"/>
      <c r="CP219" s="473"/>
      <c r="CQ219" s="473"/>
      <c r="CR219" s="473"/>
      <c r="CS219" s="473"/>
      <c r="CT219" s="473"/>
      <c r="CU219" s="473"/>
      <c r="CV219" s="473"/>
      <c r="CW219" s="473"/>
      <c r="CX219" s="473"/>
      <c r="CY219" s="473"/>
      <c r="CZ219" s="473"/>
      <c r="DA219" s="473"/>
      <c r="DB219" s="473"/>
      <c r="DC219" s="473"/>
      <c r="DD219" s="473"/>
      <c r="DE219" s="473"/>
      <c r="DF219" s="473"/>
      <c r="DG219" s="473"/>
      <c r="DH219" s="473"/>
      <c r="DI219" s="473"/>
      <c r="DJ219" s="473"/>
      <c r="DK219" s="473"/>
      <c r="DL219" s="473"/>
      <c r="DM219" s="473"/>
      <c r="DN219" s="473"/>
      <c r="DO219" s="473"/>
      <c r="DP219" s="473"/>
      <c r="DQ219" s="473"/>
      <c r="DR219" s="473"/>
      <c r="DS219" s="473"/>
      <c r="DT219" s="473"/>
      <c r="DU219" s="473"/>
      <c r="DV219" s="473"/>
      <c r="DW219" s="473"/>
      <c r="DX219" s="473"/>
      <c r="DY219" s="473"/>
      <c r="DZ219" s="473"/>
      <c r="EA219" s="473"/>
      <c r="EB219" s="473"/>
      <c r="EC219" s="473"/>
      <c r="ED219" s="473"/>
      <c r="EE219" s="473"/>
      <c r="EF219" s="473"/>
      <c r="EG219" s="473"/>
      <c r="EH219" s="473"/>
      <c r="EI219" s="473"/>
      <c r="EJ219" s="473"/>
      <c r="EK219" s="473"/>
      <c r="EL219" s="473"/>
      <c r="EM219" s="473"/>
      <c r="EN219" s="473"/>
      <c r="EO219" s="473"/>
      <c r="EP219" s="473"/>
      <c r="EQ219" s="473"/>
      <c r="ER219" s="473"/>
      <c r="ES219" s="473"/>
      <c r="ET219" s="473"/>
      <c r="EU219" s="473"/>
      <c r="EV219" s="473"/>
      <c r="EW219" s="473"/>
      <c r="EX219" s="473"/>
      <c r="EY219" s="927">
        <f t="shared" si="139"/>
        <v>0</v>
      </c>
      <c r="EZ219" s="117"/>
      <c r="FA219" s="117"/>
      <c r="FB219" s="117"/>
      <c r="FC219" s="117"/>
      <c r="FD219" s="117"/>
      <c r="FE219" s="117"/>
      <c r="FF219" s="117"/>
      <c r="FG219" s="117"/>
      <c r="FH219" s="117"/>
      <c r="FI219" s="117"/>
      <c r="FJ219" s="117"/>
      <c r="FK219" s="117"/>
      <c r="FL219" s="117"/>
    </row>
    <row r="220" spans="1:168" hidden="1" x14ac:dyDescent="0.25">
      <c r="A220" s="1460"/>
      <c r="B220" s="115"/>
      <c r="C220" s="426"/>
      <c r="D220" s="420"/>
      <c r="E220" s="420"/>
      <c r="F220" s="420"/>
      <c r="G220" s="426"/>
      <c r="H220" s="426"/>
      <c r="I220" s="420"/>
      <c r="J220" s="482"/>
      <c r="K220" s="482"/>
      <c r="L220" s="482"/>
      <c r="M220" s="482"/>
      <c r="N220" s="482"/>
      <c r="O220" s="482"/>
      <c r="P220" s="482"/>
      <c r="Q220" s="482"/>
      <c r="R220" s="482"/>
      <c r="S220" s="482"/>
      <c r="T220" s="482"/>
      <c r="U220" s="482"/>
      <c r="V220" s="482"/>
      <c r="W220" s="482"/>
      <c r="X220" s="482"/>
      <c r="Y220" s="482"/>
      <c r="Z220" s="482"/>
      <c r="AA220" s="482"/>
      <c r="AB220" s="482"/>
      <c r="AC220" s="482"/>
      <c r="AD220" s="482"/>
      <c r="AE220" s="482"/>
      <c r="AF220" s="482"/>
      <c r="AG220" s="482"/>
      <c r="AH220" s="482"/>
      <c r="AI220" s="482"/>
      <c r="AJ220" s="482"/>
      <c r="AK220" s="482"/>
      <c r="AL220" s="482"/>
      <c r="AM220" s="482"/>
      <c r="AN220" s="482"/>
      <c r="AO220" s="482"/>
      <c r="AP220" s="482"/>
      <c r="AQ220" s="482"/>
      <c r="AR220" s="482"/>
      <c r="AS220" s="482"/>
      <c r="AT220" s="482"/>
      <c r="AU220" s="482"/>
      <c r="AV220" s="482"/>
      <c r="AW220" s="482"/>
      <c r="AX220" s="482"/>
      <c r="AY220" s="482"/>
      <c r="AZ220" s="482"/>
      <c r="BA220" s="482"/>
      <c r="BB220" s="482"/>
      <c r="BC220" s="482"/>
      <c r="BD220" s="482"/>
      <c r="BE220" s="482"/>
      <c r="BF220" s="482"/>
      <c r="BG220" s="482"/>
      <c r="BH220" s="482"/>
      <c r="BI220" s="482"/>
      <c r="BJ220" s="482"/>
      <c r="BK220" s="482"/>
      <c r="BL220" s="482"/>
      <c r="BM220" s="482"/>
      <c r="BN220" s="482"/>
      <c r="BO220" s="482"/>
      <c r="BP220" s="482"/>
      <c r="BQ220" s="482"/>
      <c r="BR220" s="482"/>
      <c r="BS220" s="482"/>
      <c r="BT220" s="482"/>
      <c r="BU220" s="482"/>
      <c r="BV220" s="482"/>
      <c r="BW220" s="482"/>
      <c r="BX220" s="482"/>
      <c r="BY220" s="482"/>
      <c r="BZ220" s="482"/>
      <c r="CA220" s="482"/>
      <c r="CB220" s="482"/>
      <c r="CC220" s="482"/>
      <c r="CD220" s="482"/>
      <c r="CE220" s="482"/>
      <c r="CF220" s="482"/>
      <c r="CG220" s="482"/>
      <c r="CH220" s="482"/>
      <c r="CI220" s="482"/>
      <c r="CJ220" s="482"/>
      <c r="CK220" s="482"/>
      <c r="CL220" s="482"/>
      <c r="CM220" s="482"/>
      <c r="CN220" s="482"/>
      <c r="CO220" s="482"/>
      <c r="CP220" s="482"/>
      <c r="CQ220" s="482"/>
      <c r="CR220" s="482"/>
      <c r="CS220" s="482"/>
      <c r="CT220" s="482"/>
      <c r="CU220" s="482"/>
      <c r="CV220" s="482"/>
      <c r="CW220" s="482"/>
      <c r="CX220" s="482"/>
      <c r="CY220" s="482"/>
      <c r="CZ220" s="482"/>
      <c r="DA220" s="482"/>
      <c r="DB220" s="482"/>
      <c r="DC220" s="482"/>
      <c r="DD220" s="482"/>
      <c r="DE220" s="482"/>
      <c r="DF220" s="482"/>
      <c r="DG220" s="482"/>
      <c r="DH220" s="482"/>
      <c r="DI220" s="482"/>
      <c r="DJ220" s="482"/>
      <c r="DK220" s="482"/>
      <c r="DL220" s="482"/>
      <c r="DM220" s="482"/>
      <c r="DN220" s="482"/>
      <c r="DO220" s="482"/>
      <c r="DP220" s="482"/>
      <c r="DQ220" s="482"/>
      <c r="DR220" s="482"/>
      <c r="DS220" s="482"/>
      <c r="DT220" s="482"/>
      <c r="DU220" s="482"/>
      <c r="DV220" s="482"/>
      <c r="DW220" s="482"/>
      <c r="DX220" s="482"/>
      <c r="DY220" s="482"/>
      <c r="DZ220" s="482"/>
      <c r="EA220" s="482"/>
      <c r="EB220" s="482"/>
      <c r="EC220" s="482"/>
      <c r="ED220" s="482"/>
      <c r="EE220" s="482"/>
      <c r="EF220" s="482"/>
      <c r="EG220" s="482"/>
      <c r="EH220" s="482"/>
      <c r="EI220" s="482"/>
      <c r="EJ220" s="482"/>
      <c r="EK220" s="482"/>
      <c r="EL220" s="482"/>
      <c r="EM220" s="482"/>
      <c r="EN220" s="482"/>
      <c r="EO220" s="482"/>
      <c r="EP220" s="482"/>
      <c r="EQ220" s="482"/>
      <c r="ER220" s="482"/>
      <c r="ES220" s="482"/>
      <c r="ET220" s="482"/>
      <c r="EU220" s="482"/>
      <c r="EV220" s="482"/>
      <c r="EW220" s="482"/>
      <c r="EX220" s="482"/>
      <c r="EY220" s="927">
        <f t="shared" si="139"/>
        <v>0</v>
      </c>
      <c r="EZ220" s="423"/>
      <c r="FA220" s="423"/>
      <c r="FB220" s="423"/>
      <c r="FC220" s="423"/>
      <c r="FD220" s="423"/>
      <c r="FE220" s="423"/>
      <c r="FF220" s="423"/>
      <c r="FG220" s="423"/>
      <c r="FH220" s="423"/>
      <c r="FI220" s="423"/>
      <c r="FJ220" s="423"/>
      <c r="FK220" s="423"/>
      <c r="FL220" s="423"/>
    </row>
    <row r="221" spans="1:168" hidden="1" x14ac:dyDescent="0.25">
      <c r="A221" s="1461"/>
      <c r="B221" s="115"/>
      <c r="C221" s="426"/>
      <c r="D221" s="420"/>
      <c r="E221" s="420"/>
      <c r="F221" s="420"/>
      <c r="G221" s="426"/>
      <c r="H221" s="426"/>
      <c r="I221" s="420"/>
      <c r="J221" s="482"/>
      <c r="K221" s="482"/>
      <c r="L221" s="482"/>
      <c r="M221" s="482"/>
      <c r="N221" s="482"/>
      <c r="O221" s="482"/>
      <c r="P221" s="482"/>
      <c r="Q221" s="482"/>
      <c r="R221" s="482"/>
      <c r="S221" s="482"/>
      <c r="T221" s="482"/>
      <c r="U221" s="482"/>
      <c r="V221" s="482"/>
      <c r="W221" s="482"/>
      <c r="X221" s="482"/>
      <c r="Y221" s="482"/>
      <c r="Z221" s="482"/>
      <c r="AA221" s="482"/>
      <c r="AB221" s="482"/>
      <c r="AC221" s="482"/>
      <c r="AD221" s="482"/>
      <c r="AE221" s="482"/>
      <c r="AF221" s="482"/>
      <c r="AG221" s="482"/>
      <c r="AH221" s="482"/>
      <c r="AI221" s="482"/>
      <c r="AJ221" s="482"/>
      <c r="AK221" s="482"/>
      <c r="AL221" s="482"/>
      <c r="AM221" s="482"/>
      <c r="AN221" s="482"/>
      <c r="AO221" s="482"/>
      <c r="AP221" s="482"/>
      <c r="AQ221" s="482"/>
      <c r="AR221" s="482"/>
      <c r="AS221" s="482"/>
      <c r="AT221" s="482"/>
      <c r="AU221" s="482"/>
      <c r="AV221" s="482"/>
      <c r="AW221" s="482"/>
      <c r="AX221" s="482"/>
      <c r="AY221" s="482"/>
      <c r="AZ221" s="482"/>
      <c r="BA221" s="482"/>
      <c r="BB221" s="482"/>
      <c r="BC221" s="482"/>
      <c r="BD221" s="482"/>
      <c r="BE221" s="482"/>
      <c r="BF221" s="482"/>
      <c r="BG221" s="482"/>
      <c r="BH221" s="482"/>
      <c r="BI221" s="482"/>
      <c r="BJ221" s="482"/>
      <c r="BK221" s="482"/>
      <c r="BL221" s="482"/>
      <c r="BM221" s="482"/>
      <c r="BN221" s="482"/>
      <c r="BO221" s="482"/>
      <c r="BP221" s="482"/>
      <c r="BQ221" s="482"/>
      <c r="BR221" s="482"/>
      <c r="BS221" s="482"/>
      <c r="BT221" s="482"/>
      <c r="BU221" s="482"/>
      <c r="BV221" s="482"/>
      <c r="BW221" s="482"/>
      <c r="BX221" s="482"/>
      <c r="BY221" s="482"/>
      <c r="BZ221" s="482"/>
      <c r="CA221" s="482"/>
      <c r="CB221" s="482"/>
      <c r="CC221" s="482"/>
      <c r="CD221" s="482"/>
      <c r="CE221" s="482"/>
      <c r="CF221" s="482"/>
      <c r="CG221" s="482"/>
      <c r="CH221" s="482"/>
      <c r="CI221" s="482"/>
      <c r="CJ221" s="482"/>
      <c r="CK221" s="482"/>
      <c r="CL221" s="482"/>
      <c r="CM221" s="482"/>
      <c r="CN221" s="482"/>
      <c r="CO221" s="482"/>
      <c r="CP221" s="482"/>
      <c r="CQ221" s="482"/>
      <c r="CR221" s="482"/>
      <c r="CS221" s="482"/>
      <c r="CT221" s="482"/>
      <c r="CU221" s="482"/>
      <c r="CV221" s="482"/>
      <c r="CW221" s="482"/>
      <c r="CX221" s="482"/>
      <c r="CY221" s="482"/>
      <c r="CZ221" s="482"/>
      <c r="DA221" s="482"/>
      <c r="DB221" s="482"/>
      <c r="DC221" s="482"/>
      <c r="DD221" s="482"/>
      <c r="DE221" s="482"/>
      <c r="DF221" s="482"/>
      <c r="DG221" s="482"/>
      <c r="DH221" s="482"/>
      <c r="DI221" s="482"/>
      <c r="DJ221" s="482"/>
      <c r="DK221" s="482"/>
      <c r="DL221" s="482"/>
      <c r="DM221" s="482"/>
      <c r="DN221" s="482"/>
      <c r="DO221" s="482"/>
      <c r="DP221" s="482"/>
      <c r="DQ221" s="482"/>
      <c r="DR221" s="482"/>
      <c r="DS221" s="482"/>
      <c r="DT221" s="482"/>
      <c r="DU221" s="482"/>
      <c r="DV221" s="482"/>
      <c r="DW221" s="482"/>
      <c r="DX221" s="482"/>
      <c r="DY221" s="482"/>
      <c r="DZ221" s="482"/>
      <c r="EA221" s="482"/>
      <c r="EB221" s="482"/>
      <c r="EC221" s="482"/>
      <c r="ED221" s="482"/>
      <c r="EE221" s="482"/>
      <c r="EF221" s="482"/>
      <c r="EG221" s="482"/>
      <c r="EH221" s="482"/>
      <c r="EI221" s="482"/>
      <c r="EJ221" s="482"/>
      <c r="EK221" s="482"/>
      <c r="EL221" s="482"/>
      <c r="EM221" s="482"/>
      <c r="EN221" s="482"/>
      <c r="EO221" s="482"/>
      <c r="EP221" s="482"/>
      <c r="EQ221" s="482"/>
      <c r="ER221" s="482"/>
      <c r="ES221" s="482"/>
      <c r="ET221" s="482"/>
      <c r="EU221" s="482"/>
      <c r="EV221" s="482"/>
      <c r="EW221" s="482"/>
      <c r="EX221" s="482"/>
      <c r="EY221" s="927">
        <f t="shared" si="139"/>
        <v>0</v>
      </c>
      <c r="EZ221" s="423"/>
      <c r="FA221" s="423"/>
      <c r="FB221" s="423"/>
      <c r="FC221" s="423"/>
      <c r="FD221" s="423"/>
      <c r="FE221" s="423"/>
      <c r="FF221" s="423"/>
      <c r="FG221" s="423"/>
      <c r="FH221" s="423"/>
      <c r="FI221" s="423"/>
      <c r="FJ221" s="423"/>
      <c r="FK221" s="423"/>
      <c r="FL221" s="423"/>
    </row>
    <row r="222" spans="1:168" hidden="1" x14ac:dyDescent="0.25">
      <c r="A222" s="120"/>
      <c r="B222" s="118" t="s">
        <v>801</v>
      </c>
      <c r="C222" s="840">
        <f>SUM(C217:C221)</f>
        <v>0</v>
      </c>
      <c r="D222" s="842">
        <f>SUM(D217:D221)</f>
        <v>0</v>
      </c>
      <c r="E222" s="842">
        <f t="shared" ref="E222:BC222" si="145">SUM(E217:E221)</f>
        <v>0</v>
      </c>
      <c r="F222" s="842">
        <f t="shared" si="145"/>
        <v>0</v>
      </c>
      <c r="G222" s="840">
        <f t="shared" si="145"/>
        <v>0</v>
      </c>
      <c r="H222" s="840"/>
      <c r="I222" s="842">
        <f t="shared" ref="I222" si="146">SUM(I217:I221)</f>
        <v>0</v>
      </c>
      <c r="J222" s="844">
        <f t="shared" si="145"/>
        <v>0</v>
      </c>
      <c r="K222" s="844">
        <f t="shared" si="145"/>
        <v>0</v>
      </c>
      <c r="L222" s="844">
        <f t="shared" si="145"/>
        <v>0</v>
      </c>
      <c r="M222" s="844">
        <f t="shared" si="145"/>
        <v>0</v>
      </c>
      <c r="N222" s="844">
        <f t="shared" si="145"/>
        <v>0</v>
      </c>
      <c r="O222" s="844">
        <f t="shared" si="145"/>
        <v>0</v>
      </c>
      <c r="P222" s="844">
        <f t="shared" si="145"/>
        <v>0</v>
      </c>
      <c r="Q222" s="844">
        <f t="shared" si="145"/>
        <v>0</v>
      </c>
      <c r="R222" s="844">
        <f t="shared" si="145"/>
        <v>0</v>
      </c>
      <c r="S222" s="844">
        <f t="shared" si="145"/>
        <v>0</v>
      </c>
      <c r="T222" s="844">
        <f t="shared" si="145"/>
        <v>0</v>
      </c>
      <c r="U222" s="844">
        <f t="shared" si="145"/>
        <v>0</v>
      </c>
      <c r="V222" s="844">
        <f t="shared" si="145"/>
        <v>0</v>
      </c>
      <c r="W222" s="844">
        <f t="shared" si="145"/>
        <v>0</v>
      </c>
      <c r="X222" s="844">
        <f t="shared" si="145"/>
        <v>0</v>
      </c>
      <c r="Y222" s="844">
        <f t="shared" si="145"/>
        <v>0</v>
      </c>
      <c r="Z222" s="844">
        <f t="shared" si="145"/>
        <v>0</v>
      </c>
      <c r="AA222" s="844">
        <f t="shared" si="145"/>
        <v>0</v>
      </c>
      <c r="AB222" s="844">
        <f t="shared" si="145"/>
        <v>0</v>
      </c>
      <c r="AC222" s="844">
        <f t="shared" si="145"/>
        <v>0</v>
      </c>
      <c r="AD222" s="844">
        <f t="shared" si="145"/>
        <v>0</v>
      </c>
      <c r="AE222" s="844">
        <f t="shared" si="145"/>
        <v>0</v>
      </c>
      <c r="AF222" s="844">
        <f t="shared" si="145"/>
        <v>0</v>
      </c>
      <c r="AG222" s="844">
        <f t="shared" si="145"/>
        <v>0</v>
      </c>
      <c r="AH222" s="844">
        <f t="shared" si="145"/>
        <v>0</v>
      </c>
      <c r="AI222" s="844">
        <f t="shared" si="145"/>
        <v>0</v>
      </c>
      <c r="AJ222" s="844">
        <f t="shared" si="145"/>
        <v>0</v>
      </c>
      <c r="AK222" s="844">
        <f t="shared" si="145"/>
        <v>0</v>
      </c>
      <c r="AL222" s="844">
        <f t="shared" si="145"/>
        <v>0</v>
      </c>
      <c r="AM222" s="844">
        <f t="shared" si="145"/>
        <v>0</v>
      </c>
      <c r="AN222" s="844">
        <f t="shared" si="145"/>
        <v>0</v>
      </c>
      <c r="AO222" s="844">
        <f t="shared" si="145"/>
        <v>0</v>
      </c>
      <c r="AP222" s="844">
        <f t="shared" si="145"/>
        <v>0</v>
      </c>
      <c r="AQ222" s="844">
        <f t="shared" si="145"/>
        <v>0</v>
      </c>
      <c r="AR222" s="844">
        <f t="shared" si="145"/>
        <v>0</v>
      </c>
      <c r="AS222" s="844">
        <f t="shared" si="145"/>
        <v>0</v>
      </c>
      <c r="AT222" s="844">
        <f t="shared" si="145"/>
        <v>0</v>
      </c>
      <c r="AU222" s="844">
        <f t="shared" si="145"/>
        <v>0</v>
      </c>
      <c r="AV222" s="844">
        <f t="shared" si="145"/>
        <v>0</v>
      </c>
      <c r="AW222" s="844">
        <f t="shared" si="145"/>
        <v>0</v>
      </c>
      <c r="AX222" s="844">
        <f t="shared" si="145"/>
        <v>0</v>
      </c>
      <c r="AY222" s="844">
        <f t="shared" si="145"/>
        <v>0</v>
      </c>
      <c r="AZ222" s="844">
        <f t="shared" si="145"/>
        <v>0</v>
      </c>
      <c r="BA222" s="844">
        <f t="shared" si="145"/>
        <v>0</v>
      </c>
      <c r="BB222" s="844">
        <f t="shared" si="145"/>
        <v>0</v>
      </c>
      <c r="BC222" s="844">
        <f t="shared" si="145"/>
        <v>0</v>
      </c>
      <c r="BD222" s="844">
        <f t="shared" ref="BD222:DO222" si="147">SUM(BD217:BD221)</f>
        <v>0</v>
      </c>
      <c r="BE222" s="844">
        <f t="shared" si="147"/>
        <v>0</v>
      </c>
      <c r="BF222" s="844">
        <f t="shared" si="147"/>
        <v>0</v>
      </c>
      <c r="BG222" s="844">
        <f t="shared" si="147"/>
        <v>0</v>
      </c>
      <c r="BH222" s="844">
        <f t="shared" si="147"/>
        <v>0</v>
      </c>
      <c r="BI222" s="844">
        <f t="shared" si="147"/>
        <v>0</v>
      </c>
      <c r="BJ222" s="844">
        <f t="shared" si="147"/>
        <v>0</v>
      </c>
      <c r="BK222" s="844">
        <f t="shared" si="147"/>
        <v>0</v>
      </c>
      <c r="BL222" s="844">
        <f t="shared" si="147"/>
        <v>0</v>
      </c>
      <c r="BM222" s="844">
        <f t="shared" si="147"/>
        <v>0</v>
      </c>
      <c r="BN222" s="844">
        <f t="shared" si="147"/>
        <v>0</v>
      </c>
      <c r="BO222" s="844">
        <f t="shared" si="147"/>
        <v>0</v>
      </c>
      <c r="BP222" s="844">
        <f t="shared" si="147"/>
        <v>0</v>
      </c>
      <c r="BQ222" s="844">
        <f t="shared" si="147"/>
        <v>0</v>
      </c>
      <c r="BR222" s="844">
        <f t="shared" si="147"/>
        <v>0</v>
      </c>
      <c r="BS222" s="844">
        <f t="shared" si="147"/>
        <v>0</v>
      </c>
      <c r="BT222" s="844">
        <f t="shared" si="147"/>
        <v>0</v>
      </c>
      <c r="BU222" s="844">
        <f t="shared" si="147"/>
        <v>0</v>
      </c>
      <c r="BV222" s="844">
        <f t="shared" si="147"/>
        <v>0</v>
      </c>
      <c r="BW222" s="844">
        <f t="shared" si="147"/>
        <v>0</v>
      </c>
      <c r="BX222" s="844">
        <f t="shared" si="147"/>
        <v>0</v>
      </c>
      <c r="BY222" s="844">
        <f t="shared" si="147"/>
        <v>0</v>
      </c>
      <c r="BZ222" s="844">
        <f t="shared" si="147"/>
        <v>0</v>
      </c>
      <c r="CA222" s="844">
        <f t="shared" si="147"/>
        <v>0</v>
      </c>
      <c r="CB222" s="844">
        <f t="shared" si="147"/>
        <v>0</v>
      </c>
      <c r="CC222" s="844">
        <f t="shared" si="147"/>
        <v>0</v>
      </c>
      <c r="CD222" s="844">
        <f t="shared" si="147"/>
        <v>0</v>
      </c>
      <c r="CE222" s="844">
        <f t="shared" si="147"/>
        <v>0</v>
      </c>
      <c r="CF222" s="844">
        <f t="shared" si="147"/>
        <v>0</v>
      </c>
      <c r="CG222" s="844">
        <f t="shared" si="147"/>
        <v>0</v>
      </c>
      <c r="CH222" s="844">
        <f t="shared" si="147"/>
        <v>0</v>
      </c>
      <c r="CI222" s="844">
        <f t="shared" si="147"/>
        <v>0</v>
      </c>
      <c r="CJ222" s="844">
        <f t="shared" si="147"/>
        <v>0</v>
      </c>
      <c r="CK222" s="844">
        <f t="shared" si="147"/>
        <v>0</v>
      </c>
      <c r="CL222" s="844">
        <f t="shared" si="147"/>
        <v>0</v>
      </c>
      <c r="CM222" s="844">
        <f t="shared" si="147"/>
        <v>0</v>
      </c>
      <c r="CN222" s="844">
        <f t="shared" si="147"/>
        <v>0</v>
      </c>
      <c r="CO222" s="844">
        <f t="shared" si="147"/>
        <v>0</v>
      </c>
      <c r="CP222" s="844">
        <f t="shared" si="147"/>
        <v>0</v>
      </c>
      <c r="CQ222" s="844">
        <f t="shared" si="147"/>
        <v>0</v>
      </c>
      <c r="CR222" s="844">
        <f t="shared" si="147"/>
        <v>0</v>
      </c>
      <c r="CS222" s="844">
        <f t="shared" si="147"/>
        <v>0</v>
      </c>
      <c r="CT222" s="844">
        <f t="shared" si="147"/>
        <v>0</v>
      </c>
      <c r="CU222" s="844">
        <f t="shared" si="147"/>
        <v>0</v>
      </c>
      <c r="CV222" s="844">
        <f t="shared" si="147"/>
        <v>0</v>
      </c>
      <c r="CW222" s="844">
        <f t="shared" si="147"/>
        <v>0</v>
      </c>
      <c r="CX222" s="844">
        <f t="shared" si="147"/>
        <v>0</v>
      </c>
      <c r="CY222" s="844">
        <f t="shared" si="147"/>
        <v>0</v>
      </c>
      <c r="CZ222" s="844">
        <f t="shared" si="147"/>
        <v>0</v>
      </c>
      <c r="DA222" s="844">
        <f t="shared" si="147"/>
        <v>0</v>
      </c>
      <c r="DB222" s="844">
        <f t="shared" si="147"/>
        <v>0</v>
      </c>
      <c r="DC222" s="844">
        <f t="shared" si="147"/>
        <v>0</v>
      </c>
      <c r="DD222" s="844">
        <f t="shared" si="147"/>
        <v>0</v>
      </c>
      <c r="DE222" s="844">
        <f t="shared" si="147"/>
        <v>0</v>
      </c>
      <c r="DF222" s="844">
        <f t="shared" si="147"/>
        <v>0</v>
      </c>
      <c r="DG222" s="844">
        <f t="shared" si="147"/>
        <v>0</v>
      </c>
      <c r="DH222" s="844">
        <f t="shared" si="147"/>
        <v>0</v>
      </c>
      <c r="DI222" s="844">
        <f t="shared" si="147"/>
        <v>0</v>
      </c>
      <c r="DJ222" s="844">
        <f t="shared" si="147"/>
        <v>0</v>
      </c>
      <c r="DK222" s="844">
        <f t="shared" si="147"/>
        <v>0</v>
      </c>
      <c r="DL222" s="844">
        <f t="shared" si="147"/>
        <v>0</v>
      </c>
      <c r="DM222" s="844">
        <f t="shared" si="147"/>
        <v>0</v>
      </c>
      <c r="DN222" s="844">
        <f t="shared" si="147"/>
        <v>0</v>
      </c>
      <c r="DO222" s="844">
        <f t="shared" si="147"/>
        <v>0</v>
      </c>
      <c r="DP222" s="844">
        <f t="shared" ref="DP222:EX222" si="148">SUM(DP217:DP221)</f>
        <v>0</v>
      </c>
      <c r="DQ222" s="844">
        <f t="shared" si="148"/>
        <v>0</v>
      </c>
      <c r="DR222" s="844">
        <f t="shared" si="148"/>
        <v>0</v>
      </c>
      <c r="DS222" s="844">
        <f t="shared" si="148"/>
        <v>0</v>
      </c>
      <c r="DT222" s="844">
        <f t="shared" si="148"/>
        <v>0</v>
      </c>
      <c r="DU222" s="844">
        <f t="shared" si="148"/>
        <v>0</v>
      </c>
      <c r="DV222" s="844">
        <f t="shared" si="148"/>
        <v>0</v>
      </c>
      <c r="DW222" s="844">
        <f t="shared" si="148"/>
        <v>0</v>
      </c>
      <c r="DX222" s="844">
        <f t="shared" si="148"/>
        <v>0</v>
      </c>
      <c r="DY222" s="844">
        <f t="shared" si="148"/>
        <v>0</v>
      </c>
      <c r="DZ222" s="844">
        <f t="shared" si="148"/>
        <v>0</v>
      </c>
      <c r="EA222" s="844">
        <f t="shared" si="148"/>
        <v>0</v>
      </c>
      <c r="EB222" s="844">
        <f t="shared" si="148"/>
        <v>0</v>
      </c>
      <c r="EC222" s="844">
        <f t="shared" si="148"/>
        <v>0</v>
      </c>
      <c r="ED222" s="844">
        <f t="shared" si="148"/>
        <v>0</v>
      </c>
      <c r="EE222" s="844">
        <f t="shared" si="148"/>
        <v>0</v>
      </c>
      <c r="EF222" s="844">
        <f t="shared" si="148"/>
        <v>0</v>
      </c>
      <c r="EG222" s="844">
        <f t="shared" si="148"/>
        <v>0</v>
      </c>
      <c r="EH222" s="844">
        <f t="shared" si="148"/>
        <v>0</v>
      </c>
      <c r="EI222" s="844">
        <f t="shared" si="148"/>
        <v>0</v>
      </c>
      <c r="EJ222" s="844">
        <f t="shared" si="148"/>
        <v>0</v>
      </c>
      <c r="EK222" s="844">
        <f t="shared" si="148"/>
        <v>0</v>
      </c>
      <c r="EL222" s="844">
        <f t="shared" si="148"/>
        <v>0</v>
      </c>
      <c r="EM222" s="844">
        <f t="shared" si="148"/>
        <v>0</v>
      </c>
      <c r="EN222" s="844">
        <f t="shared" si="148"/>
        <v>0</v>
      </c>
      <c r="EO222" s="844">
        <f t="shared" si="148"/>
        <v>0</v>
      </c>
      <c r="EP222" s="844">
        <f t="shared" si="148"/>
        <v>0</v>
      </c>
      <c r="EQ222" s="844">
        <f t="shared" si="148"/>
        <v>0</v>
      </c>
      <c r="ER222" s="844">
        <f t="shared" si="148"/>
        <v>0</v>
      </c>
      <c r="ES222" s="844">
        <f t="shared" si="148"/>
        <v>0</v>
      </c>
      <c r="ET222" s="844">
        <f t="shared" si="148"/>
        <v>0</v>
      </c>
      <c r="EU222" s="844">
        <f t="shared" si="148"/>
        <v>0</v>
      </c>
      <c r="EV222" s="844">
        <f t="shared" si="148"/>
        <v>0</v>
      </c>
      <c r="EW222" s="844">
        <f t="shared" si="148"/>
        <v>0</v>
      </c>
      <c r="EX222" s="844">
        <f t="shared" si="148"/>
        <v>0</v>
      </c>
      <c r="EY222" s="863">
        <f t="shared" ref="EY222:FL222" si="149">SUM(EY217:EY221)</f>
        <v>0</v>
      </c>
      <c r="EZ222" s="534">
        <f t="shared" si="149"/>
        <v>0</v>
      </c>
      <c r="FA222" s="534">
        <f t="shared" si="149"/>
        <v>0</v>
      </c>
      <c r="FB222" s="534">
        <f t="shared" si="149"/>
        <v>0</v>
      </c>
      <c r="FC222" s="534">
        <f t="shared" si="149"/>
        <v>0</v>
      </c>
      <c r="FD222" s="534">
        <f t="shared" si="149"/>
        <v>0</v>
      </c>
      <c r="FE222" s="534">
        <f t="shared" si="149"/>
        <v>0</v>
      </c>
      <c r="FF222" s="534">
        <f t="shared" si="149"/>
        <v>0</v>
      </c>
      <c r="FG222" s="534">
        <f t="shared" si="149"/>
        <v>0</v>
      </c>
      <c r="FH222" s="534">
        <f t="shared" si="149"/>
        <v>0</v>
      </c>
      <c r="FI222" s="534">
        <f t="shared" si="149"/>
        <v>0</v>
      </c>
      <c r="FJ222" s="534">
        <f t="shared" si="149"/>
        <v>0</v>
      </c>
      <c r="FK222" s="534">
        <f t="shared" si="149"/>
        <v>0</v>
      </c>
      <c r="FL222" s="534">
        <f t="shared" si="149"/>
        <v>0</v>
      </c>
    </row>
    <row r="223" spans="1:168" x14ac:dyDescent="0.25">
      <c r="A223" s="391"/>
      <c r="B223" s="461" t="s">
        <v>1215</v>
      </c>
      <c r="C223" s="841">
        <f>C206+C216+C222</f>
        <v>1780</v>
      </c>
      <c r="D223" s="843">
        <f>D206+D216+D222</f>
        <v>65.150000000000006</v>
      </c>
      <c r="E223" s="843">
        <f t="shared" ref="E223:BC223" si="150">E206+E216+E222</f>
        <v>66.28</v>
      </c>
      <c r="F223" s="843">
        <f t="shared" si="150"/>
        <v>200.34</v>
      </c>
      <c r="G223" s="841">
        <f t="shared" si="150"/>
        <v>1667</v>
      </c>
      <c r="H223" s="841"/>
      <c r="I223" s="843">
        <f t="shared" ref="I223" si="151">I206+I216+I222</f>
        <v>211.69</v>
      </c>
      <c r="J223" s="848">
        <f t="shared" si="150"/>
        <v>0.15</v>
      </c>
      <c r="K223" s="848">
        <f t="shared" si="150"/>
        <v>0</v>
      </c>
      <c r="L223" s="848">
        <f t="shared" si="150"/>
        <v>0</v>
      </c>
      <c r="M223" s="848">
        <f t="shared" si="150"/>
        <v>0</v>
      </c>
      <c r="N223" s="848">
        <f t="shared" si="150"/>
        <v>0</v>
      </c>
      <c r="O223" s="848">
        <f t="shared" si="150"/>
        <v>0</v>
      </c>
      <c r="P223" s="848">
        <f t="shared" si="150"/>
        <v>0</v>
      </c>
      <c r="Q223" s="848">
        <f t="shared" si="150"/>
        <v>0</v>
      </c>
      <c r="R223" s="848">
        <f t="shared" si="150"/>
        <v>0</v>
      </c>
      <c r="S223" s="848">
        <f t="shared" si="150"/>
        <v>0</v>
      </c>
      <c r="T223" s="848">
        <f t="shared" si="150"/>
        <v>0</v>
      </c>
      <c r="U223" s="848">
        <f t="shared" si="150"/>
        <v>0</v>
      </c>
      <c r="V223" s="848">
        <f t="shared" si="150"/>
        <v>2.0250000000000001E-2</v>
      </c>
      <c r="W223" s="848">
        <f t="shared" si="150"/>
        <v>2.1000000000000001E-2</v>
      </c>
      <c r="X223" s="848">
        <f t="shared" si="150"/>
        <v>9.2399999999999996E-2</v>
      </c>
      <c r="Y223" s="848">
        <f t="shared" si="150"/>
        <v>3.1E-2</v>
      </c>
      <c r="Z223" s="848">
        <f t="shared" si="150"/>
        <v>0.03</v>
      </c>
      <c r="AA223" s="848">
        <f t="shared" si="150"/>
        <v>0</v>
      </c>
      <c r="AB223" s="848">
        <f t="shared" si="150"/>
        <v>0</v>
      </c>
      <c r="AC223" s="848">
        <f t="shared" si="150"/>
        <v>0</v>
      </c>
      <c r="AD223" s="848">
        <f t="shared" si="150"/>
        <v>0</v>
      </c>
      <c r="AE223" s="848">
        <f t="shared" si="150"/>
        <v>6.0000000000000001E-3</v>
      </c>
      <c r="AF223" s="848">
        <f t="shared" si="150"/>
        <v>2.5000000000000001E-2</v>
      </c>
      <c r="AG223" s="848">
        <f t="shared" si="150"/>
        <v>0</v>
      </c>
      <c r="AH223" s="848">
        <f t="shared" si="150"/>
        <v>2.6749999999999999E-2</v>
      </c>
      <c r="AI223" s="848">
        <f t="shared" si="150"/>
        <v>0</v>
      </c>
      <c r="AJ223" s="848">
        <f t="shared" si="150"/>
        <v>0</v>
      </c>
      <c r="AK223" s="848">
        <f t="shared" si="150"/>
        <v>2.9000000000000001E-2</v>
      </c>
      <c r="AL223" s="848">
        <f t="shared" si="150"/>
        <v>2.8E-3</v>
      </c>
      <c r="AM223" s="848">
        <f t="shared" si="150"/>
        <v>0</v>
      </c>
      <c r="AN223" s="848">
        <f t="shared" si="150"/>
        <v>3.5499999999999997E-2</v>
      </c>
      <c r="AO223" s="848">
        <f t="shared" si="150"/>
        <v>3.1600000000000003E-2</v>
      </c>
      <c r="AP223" s="848">
        <f t="shared" si="150"/>
        <v>0</v>
      </c>
      <c r="AQ223" s="848">
        <f t="shared" si="150"/>
        <v>1.2500000000000001E-2</v>
      </c>
      <c r="AR223" s="848">
        <f t="shared" si="150"/>
        <v>0</v>
      </c>
      <c r="AS223" s="848">
        <f t="shared" si="150"/>
        <v>0</v>
      </c>
      <c r="AT223" s="848">
        <f t="shared" si="150"/>
        <v>3.2499999999999999E-3</v>
      </c>
      <c r="AU223" s="848">
        <f t="shared" si="150"/>
        <v>4.7999999999999996E-3</v>
      </c>
      <c r="AV223" s="848">
        <f t="shared" si="150"/>
        <v>0</v>
      </c>
      <c r="AW223" s="848">
        <f t="shared" si="150"/>
        <v>0</v>
      </c>
      <c r="AX223" s="848">
        <f t="shared" si="150"/>
        <v>0.05</v>
      </c>
      <c r="AY223" s="848">
        <f t="shared" si="150"/>
        <v>0</v>
      </c>
      <c r="AZ223" s="848">
        <f t="shared" si="150"/>
        <v>0</v>
      </c>
      <c r="BA223" s="848">
        <f t="shared" si="150"/>
        <v>0</v>
      </c>
      <c r="BB223" s="848">
        <f t="shared" si="150"/>
        <v>0</v>
      </c>
      <c r="BC223" s="848">
        <f t="shared" si="150"/>
        <v>0</v>
      </c>
      <c r="BD223" s="848">
        <f t="shared" ref="BD223:DO223" si="152">BD206+BD216+BD222</f>
        <v>0</v>
      </c>
      <c r="BE223" s="848">
        <f t="shared" si="152"/>
        <v>0</v>
      </c>
      <c r="BF223" s="848">
        <f t="shared" si="152"/>
        <v>0</v>
      </c>
      <c r="BG223" s="848">
        <f t="shared" si="152"/>
        <v>0</v>
      </c>
      <c r="BH223" s="848">
        <f t="shared" si="152"/>
        <v>0</v>
      </c>
      <c r="BI223" s="848">
        <f t="shared" si="152"/>
        <v>0</v>
      </c>
      <c r="BJ223" s="848">
        <f t="shared" si="152"/>
        <v>0</v>
      </c>
      <c r="BK223" s="848">
        <f t="shared" si="152"/>
        <v>0</v>
      </c>
      <c r="BL223" s="848">
        <f t="shared" si="152"/>
        <v>0</v>
      </c>
      <c r="BM223" s="848">
        <f t="shared" si="152"/>
        <v>0</v>
      </c>
      <c r="BN223" s="848">
        <f t="shared" si="152"/>
        <v>0</v>
      </c>
      <c r="BO223" s="848">
        <f t="shared" si="152"/>
        <v>0</v>
      </c>
      <c r="BP223" s="848">
        <f t="shared" si="152"/>
        <v>0</v>
      </c>
      <c r="BQ223" s="848">
        <f t="shared" si="152"/>
        <v>0</v>
      </c>
      <c r="BR223" s="848">
        <f t="shared" si="152"/>
        <v>0</v>
      </c>
      <c r="BS223" s="848">
        <f t="shared" si="152"/>
        <v>5.4999999999999997E-3</v>
      </c>
      <c r="BT223" s="848">
        <f t="shared" si="152"/>
        <v>6.8870000000000001E-2</v>
      </c>
      <c r="BU223" s="848">
        <f t="shared" si="152"/>
        <v>0.01</v>
      </c>
      <c r="BV223" s="848">
        <f t="shared" si="152"/>
        <v>0</v>
      </c>
      <c r="BW223" s="848">
        <f t="shared" si="152"/>
        <v>0</v>
      </c>
      <c r="BX223" s="848">
        <f t="shared" si="152"/>
        <v>0</v>
      </c>
      <c r="BY223" s="848">
        <f t="shared" si="152"/>
        <v>0</v>
      </c>
      <c r="BZ223" s="848">
        <f t="shared" si="152"/>
        <v>0</v>
      </c>
      <c r="CA223" s="848">
        <f t="shared" si="152"/>
        <v>0</v>
      </c>
      <c r="CB223" s="848">
        <f t="shared" si="152"/>
        <v>0</v>
      </c>
      <c r="CC223" s="848">
        <f t="shared" si="152"/>
        <v>0</v>
      </c>
      <c r="CD223" s="848">
        <f t="shared" si="152"/>
        <v>0</v>
      </c>
      <c r="CE223" s="848">
        <f t="shared" si="152"/>
        <v>0</v>
      </c>
      <c r="CF223" s="848">
        <f t="shared" si="152"/>
        <v>1.2E-2</v>
      </c>
      <c r="CG223" s="848">
        <f t="shared" si="152"/>
        <v>0</v>
      </c>
      <c r="CH223" s="848">
        <f t="shared" si="152"/>
        <v>0</v>
      </c>
      <c r="CI223" s="848">
        <f t="shared" si="152"/>
        <v>2.0000000000000002E-5</v>
      </c>
      <c r="CJ223" s="848">
        <f t="shared" si="152"/>
        <v>0</v>
      </c>
      <c r="CK223" s="848">
        <f t="shared" si="152"/>
        <v>0</v>
      </c>
      <c r="CL223" s="848">
        <f t="shared" si="152"/>
        <v>0</v>
      </c>
      <c r="CM223" s="848">
        <f t="shared" si="152"/>
        <v>1.2E-2</v>
      </c>
      <c r="CN223" s="848">
        <f t="shared" si="152"/>
        <v>0</v>
      </c>
      <c r="CO223" s="848">
        <f t="shared" si="152"/>
        <v>0</v>
      </c>
      <c r="CP223" s="848">
        <f t="shared" si="152"/>
        <v>0</v>
      </c>
      <c r="CQ223" s="848">
        <f t="shared" si="152"/>
        <v>2.0000000000000001E-4</v>
      </c>
      <c r="CR223" s="848">
        <f t="shared" si="152"/>
        <v>0</v>
      </c>
      <c r="CS223" s="848">
        <f t="shared" si="152"/>
        <v>3.0000000000000001E-5</v>
      </c>
      <c r="CT223" s="848">
        <f t="shared" si="152"/>
        <v>0</v>
      </c>
      <c r="CU223" s="848">
        <f t="shared" si="152"/>
        <v>0</v>
      </c>
      <c r="CV223" s="848">
        <f t="shared" si="152"/>
        <v>0</v>
      </c>
      <c r="CW223" s="848">
        <f t="shared" si="152"/>
        <v>0</v>
      </c>
      <c r="CX223" s="848">
        <f t="shared" si="152"/>
        <v>0</v>
      </c>
      <c r="CY223" s="848">
        <f t="shared" si="152"/>
        <v>0</v>
      </c>
      <c r="CZ223" s="848">
        <f t="shared" si="152"/>
        <v>4.7500000000000001E-2</v>
      </c>
      <c r="DA223" s="848">
        <f t="shared" si="152"/>
        <v>0</v>
      </c>
      <c r="DB223" s="848">
        <f t="shared" si="152"/>
        <v>0</v>
      </c>
      <c r="DC223" s="848">
        <f t="shared" si="152"/>
        <v>9.5999999999999992E-3</v>
      </c>
      <c r="DD223" s="848">
        <f t="shared" si="152"/>
        <v>5.0000000000000001E-3</v>
      </c>
      <c r="DE223" s="848">
        <f t="shared" si="152"/>
        <v>0.02</v>
      </c>
      <c r="DF223" s="848">
        <f t="shared" si="152"/>
        <v>1.8499999999999999E-2</v>
      </c>
      <c r="DG223" s="848">
        <f t="shared" si="152"/>
        <v>0</v>
      </c>
      <c r="DH223" s="848">
        <f t="shared" si="152"/>
        <v>0</v>
      </c>
      <c r="DI223" s="848">
        <f t="shared" si="152"/>
        <v>0</v>
      </c>
      <c r="DJ223" s="848">
        <f t="shared" si="152"/>
        <v>0</v>
      </c>
      <c r="DK223" s="848">
        <f t="shared" si="152"/>
        <v>0</v>
      </c>
      <c r="DL223" s="848">
        <f t="shared" si="152"/>
        <v>0</v>
      </c>
      <c r="DM223" s="848">
        <f t="shared" si="152"/>
        <v>0</v>
      </c>
      <c r="DN223" s="848">
        <f t="shared" si="152"/>
        <v>0</v>
      </c>
      <c r="DO223" s="848">
        <f t="shared" si="152"/>
        <v>0</v>
      </c>
      <c r="DP223" s="848">
        <f t="shared" ref="DP223:FL223" si="153">DP206+DP216+DP222</f>
        <v>0</v>
      </c>
      <c r="DQ223" s="848">
        <f t="shared" si="153"/>
        <v>0</v>
      </c>
      <c r="DR223" s="848">
        <f t="shared" si="153"/>
        <v>5.0000000000000001E-4</v>
      </c>
      <c r="DS223" s="848">
        <f t="shared" si="153"/>
        <v>0</v>
      </c>
      <c r="DT223" s="848">
        <f t="shared" si="153"/>
        <v>0</v>
      </c>
      <c r="DU223" s="848">
        <f t="shared" si="153"/>
        <v>0</v>
      </c>
      <c r="DV223" s="848">
        <f t="shared" si="153"/>
        <v>0</v>
      </c>
      <c r="DW223" s="848">
        <f t="shared" si="153"/>
        <v>0</v>
      </c>
      <c r="DX223" s="848">
        <f t="shared" si="153"/>
        <v>0</v>
      </c>
      <c r="DY223" s="848">
        <f t="shared" si="153"/>
        <v>0</v>
      </c>
      <c r="DZ223" s="848">
        <f t="shared" si="153"/>
        <v>0</v>
      </c>
      <c r="EA223" s="848">
        <f t="shared" si="153"/>
        <v>0</v>
      </c>
      <c r="EB223" s="848">
        <f t="shared" si="153"/>
        <v>0.5</v>
      </c>
      <c r="EC223" s="848">
        <f t="shared" si="153"/>
        <v>0</v>
      </c>
      <c r="ED223" s="848">
        <f t="shared" si="153"/>
        <v>0</v>
      </c>
      <c r="EE223" s="848">
        <f t="shared" si="153"/>
        <v>0</v>
      </c>
      <c r="EF223" s="848">
        <f t="shared" si="153"/>
        <v>0</v>
      </c>
      <c r="EG223" s="848">
        <f t="shared" si="153"/>
        <v>0</v>
      </c>
      <c r="EH223" s="848">
        <f t="shared" si="153"/>
        <v>0</v>
      </c>
      <c r="EI223" s="848">
        <f t="shared" si="153"/>
        <v>0</v>
      </c>
      <c r="EJ223" s="848">
        <f t="shared" si="153"/>
        <v>0</v>
      </c>
      <c r="EK223" s="848">
        <f t="shared" si="153"/>
        <v>0</v>
      </c>
      <c r="EL223" s="848">
        <f t="shared" si="153"/>
        <v>0</v>
      </c>
      <c r="EM223" s="848">
        <f t="shared" si="153"/>
        <v>0</v>
      </c>
      <c r="EN223" s="848">
        <f t="shared" si="153"/>
        <v>0</v>
      </c>
      <c r="EO223" s="848">
        <f t="shared" si="153"/>
        <v>0</v>
      </c>
      <c r="EP223" s="848">
        <f t="shared" si="153"/>
        <v>0</v>
      </c>
      <c r="EQ223" s="848">
        <f t="shared" si="153"/>
        <v>0</v>
      </c>
      <c r="ER223" s="848">
        <f t="shared" si="153"/>
        <v>0</v>
      </c>
      <c r="ES223" s="848">
        <f t="shared" si="153"/>
        <v>0</v>
      </c>
      <c r="ET223" s="848">
        <f t="shared" si="153"/>
        <v>0</v>
      </c>
      <c r="EU223" s="848">
        <f t="shared" si="153"/>
        <v>0</v>
      </c>
      <c r="EV223" s="848">
        <f t="shared" si="153"/>
        <v>0.05</v>
      </c>
      <c r="EW223" s="848">
        <f t="shared" si="153"/>
        <v>0.05</v>
      </c>
      <c r="EX223" s="848">
        <f t="shared" si="153"/>
        <v>0</v>
      </c>
      <c r="EY223" s="767">
        <f t="shared" si="153"/>
        <v>1.3816200000000001</v>
      </c>
      <c r="EZ223" s="791">
        <f t="shared" si="153"/>
        <v>0</v>
      </c>
      <c r="FA223" s="791">
        <f t="shared" si="153"/>
        <v>0</v>
      </c>
      <c r="FB223" s="791">
        <f t="shared" si="153"/>
        <v>0</v>
      </c>
      <c r="FC223" s="791">
        <f t="shared" si="153"/>
        <v>0</v>
      </c>
      <c r="FD223" s="791">
        <f t="shared" si="153"/>
        <v>0</v>
      </c>
      <c r="FE223" s="791">
        <f t="shared" si="153"/>
        <v>0</v>
      </c>
      <c r="FF223" s="791">
        <f t="shared" si="153"/>
        <v>0</v>
      </c>
      <c r="FG223" s="791">
        <f t="shared" si="153"/>
        <v>0</v>
      </c>
      <c r="FH223" s="791">
        <f t="shared" si="153"/>
        <v>0</v>
      </c>
      <c r="FI223" s="791">
        <f t="shared" si="153"/>
        <v>0</v>
      </c>
      <c r="FJ223" s="791">
        <f t="shared" si="153"/>
        <v>0</v>
      </c>
      <c r="FK223" s="791">
        <f t="shared" si="153"/>
        <v>0</v>
      </c>
      <c r="FL223" s="791">
        <f t="shared" si="153"/>
        <v>0</v>
      </c>
    </row>
    <row r="224" spans="1:168" hidden="1" x14ac:dyDescent="0.25">
      <c r="A224" s="829"/>
      <c r="B224" s="830" t="s">
        <v>966</v>
      </c>
      <c r="C224" s="846"/>
      <c r="D224" s="869">
        <v>77</v>
      </c>
      <c r="E224" s="869">
        <v>79</v>
      </c>
      <c r="F224" s="869">
        <v>335</v>
      </c>
      <c r="G224" s="846">
        <v>2350</v>
      </c>
      <c r="H224" s="846"/>
      <c r="I224" s="869"/>
      <c r="J224" s="857"/>
      <c r="K224" s="857"/>
      <c r="L224" s="857"/>
      <c r="M224" s="857"/>
      <c r="N224" s="857"/>
      <c r="O224" s="857"/>
      <c r="P224" s="857"/>
      <c r="Q224" s="857"/>
      <c r="R224" s="857"/>
      <c r="S224" s="857"/>
      <c r="T224" s="857"/>
      <c r="U224" s="857"/>
      <c r="V224" s="857"/>
      <c r="W224" s="857"/>
      <c r="X224" s="857"/>
      <c r="Y224" s="857"/>
      <c r="Z224" s="857"/>
      <c r="AA224" s="857"/>
      <c r="AB224" s="857"/>
      <c r="AC224" s="857"/>
      <c r="AD224" s="857"/>
      <c r="AE224" s="857"/>
      <c r="AF224" s="857"/>
      <c r="AG224" s="857"/>
      <c r="AH224" s="857"/>
      <c r="AI224" s="857"/>
      <c r="AJ224" s="857"/>
      <c r="AK224" s="857"/>
      <c r="AL224" s="857"/>
      <c r="AM224" s="857"/>
      <c r="AN224" s="857"/>
      <c r="AO224" s="857"/>
      <c r="AP224" s="857"/>
      <c r="AQ224" s="857"/>
      <c r="AR224" s="857"/>
      <c r="AS224" s="857"/>
      <c r="AT224" s="857"/>
      <c r="AU224" s="857"/>
      <c r="AV224" s="857"/>
      <c r="AW224" s="857"/>
      <c r="AX224" s="857"/>
      <c r="AY224" s="857"/>
      <c r="AZ224" s="857"/>
      <c r="BA224" s="857"/>
      <c r="BB224" s="857"/>
      <c r="BC224" s="857"/>
      <c r="BD224" s="857"/>
      <c r="BE224" s="857"/>
      <c r="BF224" s="857"/>
      <c r="BG224" s="857"/>
      <c r="BH224" s="857"/>
      <c r="BI224" s="857"/>
      <c r="BJ224" s="857"/>
      <c r="BK224" s="857"/>
      <c r="BL224" s="857"/>
      <c r="BM224" s="857"/>
      <c r="BN224" s="857"/>
      <c r="BO224" s="857"/>
      <c r="BP224" s="857"/>
      <c r="BQ224" s="857"/>
      <c r="BR224" s="857"/>
      <c r="BS224" s="857"/>
      <c r="BT224" s="857"/>
      <c r="BU224" s="857"/>
      <c r="BV224" s="857"/>
      <c r="BW224" s="857"/>
      <c r="BX224" s="857"/>
      <c r="BY224" s="857"/>
      <c r="BZ224" s="857"/>
      <c r="CA224" s="857"/>
      <c r="CB224" s="857"/>
      <c r="CC224" s="857"/>
      <c r="CD224" s="857"/>
      <c r="CE224" s="857"/>
      <c r="CF224" s="857"/>
      <c r="CG224" s="857"/>
      <c r="CH224" s="857"/>
      <c r="CI224" s="857"/>
      <c r="CJ224" s="857"/>
      <c r="CK224" s="857"/>
      <c r="CL224" s="857"/>
      <c r="CM224" s="857"/>
      <c r="CN224" s="857"/>
      <c r="CO224" s="857"/>
      <c r="CP224" s="857"/>
      <c r="CQ224" s="857"/>
      <c r="CR224" s="857"/>
      <c r="CS224" s="857"/>
      <c r="CT224" s="857"/>
      <c r="CU224" s="857"/>
      <c r="CV224" s="857"/>
      <c r="CW224" s="857"/>
      <c r="CX224" s="857"/>
      <c r="CY224" s="857"/>
      <c r="CZ224" s="857"/>
      <c r="DA224" s="857"/>
      <c r="DB224" s="857"/>
      <c r="DC224" s="857"/>
      <c r="DD224" s="857"/>
      <c r="DE224" s="857"/>
      <c r="DF224" s="857"/>
      <c r="DG224" s="857"/>
      <c r="DH224" s="857"/>
      <c r="DI224" s="857"/>
      <c r="DJ224" s="857"/>
      <c r="DK224" s="857"/>
      <c r="DL224" s="857"/>
      <c r="DM224" s="857"/>
      <c r="DN224" s="857"/>
      <c r="DO224" s="857"/>
      <c r="DP224" s="857"/>
      <c r="DQ224" s="857"/>
      <c r="DR224" s="857"/>
      <c r="DS224" s="857"/>
      <c r="DT224" s="857"/>
      <c r="DU224" s="857"/>
      <c r="DV224" s="857"/>
      <c r="DW224" s="857"/>
      <c r="DX224" s="857"/>
      <c r="DY224" s="857"/>
      <c r="DZ224" s="857"/>
      <c r="EA224" s="857"/>
      <c r="EB224" s="857"/>
      <c r="EC224" s="857"/>
      <c r="ED224" s="857"/>
      <c r="EE224" s="857"/>
      <c r="EF224" s="857"/>
      <c r="EG224" s="857"/>
      <c r="EH224" s="857"/>
      <c r="EI224" s="857"/>
      <c r="EJ224" s="857"/>
      <c r="EK224" s="857"/>
      <c r="EL224" s="857"/>
      <c r="EM224" s="857"/>
      <c r="EN224" s="857"/>
      <c r="EO224" s="857"/>
      <c r="EP224" s="857"/>
      <c r="EQ224" s="857"/>
      <c r="ER224" s="857"/>
      <c r="ES224" s="857"/>
      <c r="ET224" s="857"/>
      <c r="EU224" s="857"/>
      <c r="EV224" s="857"/>
      <c r="EW224" s="857"/>
      <c r="EX224" s="857"/>
      <c r="EY224" s="873"/>
      <c r="EZ224" s="856">
        <v>1</v>
      </c>
      <c r="FA224" s="856">
        <v>1</v>
      </c>
      <c r="FB224" s="856">
        <v>60</v>
      </c>
      <c r="FC224" s="856">
        <v>700</v>
      </c>
      <c r="FD224" s="856">
        <v>10</v>
      </c>
      <c r="FE224" s="856">
        <v>1000</v>
      </c>
      <c r="FF224" s="856">
        <v>1000</v>
      </c>
      <c r="FG224" s="856">
        <v>300</v>
      </c>
      <c r="FH224" s="856">
        <v>1000</v>
      </c>
      <c r="FI224" s="856">
        <v>10</v>
      </c>
      <c r="FJ224" s="856">
        <v>10</v>
      </c>
      <c r="FK224" s="856">
        <v>0.1</v>
      </c>
      <c r="FL224" s="856">
        <v>0.02</v>
      </c>
    </row>
    <row r="225" spans="1:168" hidden="1" x14ac:dyDescent="0.25">
      <c r="A225" s="829"/>
      <c r="B225" s="830" t="s">
        <v>965</v>
      </c>
      <c r="C225" s="846"/>
      <c r="D225" s="856">
        <f>D223-D224</f>
        <v>-11.85</v>
      </c>
      <c r="E225" s="856">
        <f>E223-E224</f>
        <v>-12.72</v>
      </c>
      <c r="F225" s="856">
        <f t="shared" ref="F225:G225" si="154">F223-F224</f>
        <v>-134.66</v>
      </c>
      <c r="G225" s="846">
        <f t="shared" si="154"/>
        <v>-683</v>
      </c>
      <c r="H225" s="846"/>
      <c r="I225" s="869"/>
      <c r="J225" s="857"/>
      <c r="K225" s="857"/>
      <c r="L225" s="857"/>
      <c r="M225" s="857"/>
      <c r="N225" s="857"/>
      <c r="O225" s="857"/>
      <c r="P225" s="857"/>
      <c r="Q225" s="857"/>
      <c r="R225" s="857"/>
      <c r="S225" s="857"/>
      <c r="T225" s="857"/>
      <c r="U225" s="857"/>
      <c r="V225" s="857"/>
      <c r="W225" s="857"/>
      <c r="X225" s="857"/>
      <c r="Y225" s="857"/>
      <c r="Z225" s="857"/>
      <c r="AA225" s="857"/>
      <c r="AB225" s="857"/>
      <c r="AC225" s="857"/>
      <c r="AD225" s="857"/>
      <c r="AE225" s="857"/>
      <c r="AF225" s="857"/>
      <c r="AG225" s="857"/>
      <c r="AH225" s="857"/>
      <c r="AI225" s="857"/>
      <c r="AJ225" s="857"/>
      <c r="AK225" s="857"/>
      <c r="AL225" s="857"/>
      <c r="AM225" s="857"/>
      <c r="AN225" s="857"/>
      <c r="AO225" s="857"/>
      <c r="AP225" s="857"/>
      <c r="AQ225" s="857"/>
      <c r="AR225" s="857"/>
      <c r="AS225" s="857"/>
      <c r="AT225" s="857"/>
      <c r="AU225" s="857"/>
      <c r="AV225" s="857"/>
      <c r="AW225" s="857"/>
      <c r="AX225" s="857"/>
      <c r="AY225" s="857"/>
      <c r="AZ225" s="857"/>
      <c r="BA225" s="857"/>
      <c r="BB225" s="857"/>
      <c r="BC225" s="857"/>
      <c r="BD225" s="857"/>
      <c r="BE225" s="857"/>
      <c r="BF225" s="857"/>
      <c r="BG225" s="857"/>
      <c r="BH225" s="857"/>
      <c r="BI225" s="857"/>
      <c r="BJ225" s="857"/>
      <c r="BK225" s="857"/>
      <c r="BL225" s="857"/>
      <c r="BM225" s="857"/>
      <c r="BN225" s="857"/>
      <c r="BO225" s="857"/>
      <c r="BP225" s="857"/>
      <c r="BQ225" s="857"/>
      <c r="BR225" s="857"/>
      <c r="BS225" s="857"/>
      <c r="BT225" s="857"/>
      <c r="BU225" s="857"/>
      <c r="BV225" s="857"/>
      <c r="BW225" s="857"/>
      <c r="BX225" s="857"/>
      <c r="BY225" s="857"/>
      <c r="BZ225" s="857"/>
      <c r="CA225" s="857"/>
      <c r="CB225" s="857"/>
      <c r="CC225" s="857"/>
      <c r="CD225" s="857"/>
      <c r="CE225" s="857"/>
      <c r="CF225" s="857"/>
      <c r="CG225" s="857"/>
      <c r="CH225" s="857"/>
      <c r="CI225" s="857"/>
      <c r="CJ225" s="857"/>
      <c r="CK225" s="857"/>
      <c r="CL225" s="857"/>
      <c r="CM225" s="857"/>
      <c r="CN225" s="857"/>
      <c r="CO225" s="857"/>
      <c r="CP225" s="857"/>
      <c r="CQ225" s="857"/>
      <c r="CR225" s="857"/>
      <c r="CS225" s="857"/>
      <c r="CT225" s="857"/>
      <c r="CU225" s="857"/>
      <c r="CV225" s="857"/>
      <c r="CW225" s="857"/>
      <c r="CX225" s="857"/>
      <c r="CY225" s="857"/>
      <c r="CZ225" s="857"/>
      <c r="DA225" s="857"/>
      <c r="DB225" s="857"/>
      <c r="DC225" s="857"/>
      <c r="DD225" s="857"/>
      <c r="DE225" s="857"/>
      <c r="DF225" s="857"/>
      <c r="DG225" s="857"/>
      <c r="DH225" s="857"/>
      <c r="DI225" s="857"/>
      <c r="DJ225" s="857"/>
      <c r="DK225" s="857"/>
      <c r="DL225" s="857"/>
      <c r="DM225" s="857"/>
      <c r="DN225" s="857"/>
      <c r="DO225" s="857"/>
      <c r="DP225" s="857"/>
      <c r="DQ225" s="857"/>
      <c r="DR225" s="857"/>
      <c r="DS225" s="857"/>
      <c r="DT225" s="857"/>
      <c r="DU225" s="857"/>
      <c r="DV225" s="857"/>
      <c r="DW225" s="857"/>
      <c r="DX225" s="857"/>
      <c r="DY225" s="857"/>
      <c r="DZ225" s="857"/>
      <c r="EA225" s="857"/>
      <c r="EB225" s="857"/>
      <c r="EC225" s="857"/>
      <c r="ED225" s="857"/>
      <c r="EE225" s="857"/>
      <c r="EF225" s="857"/>
      <c r="EG225" s="857"/>
      <c r="EH225" s="857"/>
      <c r="EI225" s="857"/>
      <c r="EJ225" s="857"/>
      <c r="EK225" s="857"/>
      <c r="EL225" s="857"/>
      <c r="EM225" s="857"/>
      <c r="EN225" s="857"/>
      <c r="EO225" s="857"/>
      <c r="EP225" s="857"/>
      <c r="EQ225" s="857"/>
      <c r="ER225" s="857"/>
      <c r="ES225" s="857"/>
      <c r="ET225" s="857"/>
      <c r="EU225" s="857"/>
      <c r="EV225" s="857"/>
      <c r="EW225" s="857"/>
      <c r="EX225" s="857"/>
      <c r="EY225" s="874"/>
      <c r="EZ225" s="856">
        <f t="shared" ref="EZ225:FL225" si="155">EZ223-EZ224</f>
        <v>-1</v>
      </c>
      <c r="FA225" s="856">
        <f t="shared" si="155"/>
        <v>-1</v>
      </c>
      <c r="FB225" s="856">
        <f t="shared" si="155"/>
        <v>-60</v>
      </c>
      <c r="FC225" s="856">
        <f t="shared" si="155"/>
        <v>-700</v>
      </c>
      <c r="FD225" s="856">
        <f t="shared" si="155"/>
        <v>-10</v>
      </c>
      <c r="FE225" s="856">
        <f t="shared" si="155"/>
        <v>-1000</v>
      </c>
      <c r="FF225" s="856">
        <f t="shared" si="155"/>
        <v>-1000</v>
      </c>
      <c r="FG225" s="856">
        <f t="shared" si="155"/>
        <v>-300</v>
      </c>
      <c r="FH225" s="856">
        <f t="shared" si="155"/>
        <v>-1000</v>
      </c>
      <c r="FI225" s="856">
        <f t="shared" si="155"/>
        <v>-10</v>
      </c>
      <c r="FJ225" s="856">
        <f t="shared" si="155"/>
        <v>-10</v>
      </c>
      <c r="FK225" s="856">
        <f t="shared" si="155"/>
        <v>-0.1</v>
      </c>
      <c r="FL225" s="856">
        <f t="shared" si="155"/>
        <v>-0.02</v>
      </c>
    </row>
    <row r="226" spans="1:168" hidden="1" x14ac:dyDescent="0.25">
      <c r="A226" s="556"/>
      <c r="B226" s="555" t="s">
        <v>1229</v>
      </c>
      <c r="C226" s="858"/>
      <c r="D226" s="858"/>
      <c r="E226" s="579"/>
      <c r="F226" s="579"/>
      <c r="G226" s="579"/>
      <c r="H226" s="859"/>
      <c r="I226" s="868"/>
      <c r="J226" s="875"/>
      <c r="K226" s="875"/>
      <c r="L226" s="875"/>
      <c r="M226" s="875"/>
      <c r="N226" s="875"/>
      <c r="O226" s="875"/>
      <c r="P226" s="875"/>
      <c r="Q226" s="875"/>
      <c r="R226" s="875"/>
      <c r="S226" s="875"/>
      <c r="T226" s="875"/>
      <c r="U226" s="875"/>
      <c r="V226" s="875"/>
      <c r="W226" s="875"/>
      <c r="X226" s="875"/>
      <c r="Y226" s="875"/>
      <c r="Z226" s="875"/>
      <c r="AA226" s="875"/>
      <c r="AB226" s="875"/>
      <c r="AC226" s="875"/>
      <c r="AD226" s="875"/>
      <c r="AE226" s="875"/>
      <c r="AF226" s="875"/>
      <c r="AG226" s="875"/>
      <c r="AH226" s="875"/>
      <c r="AI226" s="875"/>
      <c r="AJ226" s="875"/>
      <c r="AK226" s="875"/>
      <c r="AL226" s="875"/>
      <c r="AM226" s="875"/>
      <c r="AN226" s="875"/>
      <c r="AO226" s="875"/>
      <c r="AP226" s="875"/>
      <c r="AQ226" s="875"/>
      <c r="AR226" s="875"/>
      <c r="AS226" s="875"/>
      <c r="AT226" s="875"/>
      <c r="AU226" s="875"/>
      <c r="AV226" s="875"/>
      <c r="AW226" s="875"/>
      <c r="AX226" s="875"/>
      <c r="AY226" s="875"/>
      <c r="AZ226" s="875"/>
      <c r="BA226" s="875"/>
      <c r="BB226" s="875"/>
      <c r="BC226" s="875"/>
      <c r="BD226" s="875"/>
      <c r="BE226" s="875"/>
      <c r="BF226" s="875"/>
      <c r="BG226" s="875"/>
      <c r="BH226" s="875"/>
      <c r="BI226" s="875"/>
      <c r="BJ226" s="875"/>
      <c r="BK226" s="875"/>
      <c r="BL226" s="875"/>
      <c r="BM226" s="875"/>
      <c r="BN226" s="875"/>
      <c r="BO226" s="875"/>
      <c r="BP226" s="875"/>
      <c r="BQ226" s="875"/>
      <c r="BR226" s="875"/>
      <c r="BS226" s="875"/>
      <c r="BT226" s="875"/>
      <c r="BU226" s="875"/>
      <c r="BV226" s="875"/>
      <c r="BW226" s="875"/>
      <c r="BX226" s="875"/>
      <c r="BY226" s="875"/>
      <c r="BZ226" s="875"/>
      <c r="CA226" s="875"/>
      <c r="CB226" s="875"/>
      <c r="CC226" s="875"/>
      <c r="CD226" s="875"/>
      <c r="CE226" s="875"/>
      <c r="CF226" s="875"/>
      <c r="CG226" s="875"/>
      <c r="CH226" s="875"/>
      <c r="CI226" s="875"/>
      <c r="CJ226" s="875"/>
      <c r="CK226" s="875"/>
      <c r="CL226" s="875"/>
      <c r="CM226" s="875"/>
      <c r="CN226" s="875"/>
      <c r="CO226" s="875"/>
      <c r="CP226" s="875"/>
      <c r="CQ226" s="875"/>
      <c r="CR226" s="875"/>
      <c r="CS226" s="875"/>
      <c r="CT226" s="875"/>
      <c r="CU226" s="875"/>
      <c r="CV226" s="875"/>
      <c r="CW226" s="875"/>
      <c r="CX226" s="875"/>
      <c r="CY226" s="875"/>
      <c r="CZ226" s="875"/>
      <c r="DA226" s="875"/>
      <c r="DB226" s="875"/>
      <c r="DC226" s="875"/>
      <c r="DD226" s="875"/>
      <c r="DE226" s="875"/>
      <c r="DF226" s="875"/>
      <c r="DG226" s="875"/>
      <c r="DH226" s="875"/>
      <c r="DI226" s="875"/>
      <c r="DJ226" s="875"/>
      <c r="DK226" s="875"/>
      <c r="DL226" s="875"/>
      <c r="DM226" s="875"/>
      <c r="DN226" s="875"/>
      <c r="DO226" s="875"/>
      <c r="DP226" s="875"/>
      <c r="DQ226" s="875"/>
      <c r="DR226" s="875"/>
      <c r="DS226" s="875"/>
      <c r="DT226" s="875"/>
      <c r="DU226" s="875"/>
      <c r="DV226" s="875"/>
      <c r="DW226" s="875"/>
      <c r="DX226" s="875"/>
      <c r="DY226" s="875"/>
      <c r="DZ226" s="875"/>
      <c r="EA226" s="875"/>
      <c r="EB226" s="875"/>
      <c r="EC226" s="875"/>
      <c r="ED226" s="875"/>
      <c r="EE226" s="875"/>
      <c r="EF226" s="875"/>
      <c r="EG226" s="875"/>
      <c r="EH226" s="875"/>
      <c r="EI226" s="875"/>
      <c r="EJ226" s="875"/>
      <c r="EK226" s="875"/>
      <c r="EL226" s="875"/>
      <c r="EM226" s="875"/>
      <c r="EN226" s="875"/>
      <c r="EO226" s="875"/>
      <c r="EP226" s="875"/>
      <c r="EQ226" s="875"/>
      <c r="ER226" s="875"/>
      <c r="ES226" s="875"/>
      <c r="ET226" s="875"/>
      <c r="EU226" s="875"/>
      <c r="EV226" s="875"/>
      <c r="EW226" s="875"/>
      <c r="EX226" s="875"/>
      <c r="EY226" s="694"/>
      <c r="EZ226" s="1082"/>
      <c r="FA226" s="1082"/>
      <c r="FB226" s="1082"/>
      <c r="FC226" s="1082"/>
      <c r="FD226" s="1082"/>
      <c r="FE226" s="1082"/>
      <c r="FF226" s="1082"/>
      <c r="FG226" s="1082"/>
      <c r="FH226" s="1082"/>
      <c r="FI226" s="1082"/>
      <c r="FJ226" s="1082"/>
      <c r="FK226" s="1082"/>
      <c r="FL226" s="1082"/>
    </row>
    <row r="227" spans="1:168" ht="13.95" hidden="1" customHeight="1" x14ac:dyDescent="0.25">
      <c r="A227" s="1462" t="s">
        <v>109</v>
      </c>
      <c r="B227" s="115"/>
      <c r="C227" s="250"/>
      <c r="D227" s="431"/>
      <c r="E227" s="431"/>
      <c r="F227" s="431"/>
      <c r="G227" s="250"/>
      <c r="H227" s="250"/>
      <c r="I227" s="431"/>
      <c r="J227" s="473"/>
      <c r="K227" s="473"/>
      <c r="L227" s="473"/>
      <c r="M227" s="473"/>
      <c r="N227" s="473"/>
      <c r="O227" s="473"/>
      <c r="P227" s="473"/>
      <c r="Q227" s="473"/>
      <c r="R227" s="473"/>
      <c r="S227" s="473"/>
      <c r="T227" s="473"/>
      <c r="U227" s="473"/>
      <c r="V227" s="473"/>
      <c r="W227" s="473"/>
      <c r="X227" s="473"/>
      <c r="Y227" s="473"/>
      <c r="Z227" s="473"/>
      <c r="AA227" s="473"/>
      <c r="AB227" s="473"/>
      <c r="AC227" s="473"/>
      <c r="AD227" s="473"/>
      <c r="AE227" s="473"/>
      <c r="AF227" s="473"/>
      <c r="AG227" s="473"/>
      <c r="AH227" s="473"/>
      <c r="AI227" s="473"/>
      <c r="AJ227" s="473"/>
      <c r="AK227" s="473"/>
      <c r="AL227" s="473"/>
      <c r="AM227" s="473"/>
      <c r="AN227" s="473"/>
      <c r="AO227" s="473"/>
      <c r="AP227" s="473"/>
      <c r="AQ227" s="473"/>
      <c r="AR227" s="473"/>
      <c r="AS227" s="473"/>
      <c r="AT227" s="473"/>
      <c r="AU227" s="473"/>
      <c r="AV227" s="473"/>
      <c r="AW227" s="473"/>
      <c r="AX227" s="473"/>
      <c r="AY227" s="473"/>
      <c r="AZ227" s="473"/>
      <c r="BA227" s="473"/>
      <c r="BB227" s="473"/>
      <c r="BC227" s="473"/>
      <c r="BD227" s="473"/>
      <c r="BE227" s="473"/>
      <c r="BF227" s="473"/>
      <c r="BG227" s="473"/>
      <c r="BH227" s="473"/>
      <c r="BI227" s="473"/>
      <c r="BJ227" s="473"/>
      <c r="BK227" s="473"/>
      <c r="BL227" s="473"/>
      <c r="BM227" s="473"/>
      <c r="BN227" s="473"/>
      <c r="BO227" s="473"/>
      <c r="BP227" s="473"/>
      <c r="BQ227" s="473"/>
      <c r="BR227" s="473"/>
      <c r="BS227" s="473"/>
      <c r="BT227" s="473"/>
      <c r="BU227" s="473"/>
      <c r="BV227" s="473"/>
      <c r="BW227" s="473"/>
      <c r="BX227" s="473"/>
      <c r="BY227" s="473"/>
      <c r="BZ227" s="473"/>
      <c r="CA227" s="473"/>
      <c r="CB227" s="473"/>
      <c r="CC227" s="473"/>
      <c r="CD227" s="473"/>
      <c r="CE227" s="473"/>
      <c r="CF227" s="473"/>
      <c r="CG227" s="473"/>
      <c r="CH227" s="473"/>
      <c r="CI227" s="473"/>
      <c r="CJ227" s="473"/>
      <c r="CK227" s="473"/>
      <c r="CL227" s="473"/>
      <c r="CM227" s="473"/>
      <c r="CN227" s="473"/>
      <c r="CO227" s="473"/>
      <c r="CP227" s="473"/>
      <c r="CQ227" s="473"/>
      <c r="CR227" s="473"/>
      <c r="CS227" s="473"/>
      <c r="CT227" s="473"/>
      <c r="CU227" s="473"/>
      <c r="CV227" s="473"/>
      <c r="CW227" s="473"/>
      <c r="CX227" s="473"/>
      <c r="CY227" s="473"/>
      <c r="CZ227" s="473"/>
      <c r="DA227" s="473"/>
      <c r="DB227" s="473"/>
      <c r="DC227" s="473"/>
      <c r="DD227" s="473"/>
      <c r="DE227" s="473"/>
      <c r="DF227" s="473"/>
      <c r="DG227" s="473"/>
      <c r="DH227" s="473"/>
      <c r="DI227" s="473"/>
      <c r="DJ227" s="473"/>
      <c r="DK227" s="473"/>
      <c r="DL227" s="473"/>
      <c r="DM227" s="473"/>
      <c r="DN227" s="473"/>
      <c r="DO227" s="473"/>
      <c r="DP227" s="473"/>
      <c r="DQ227" s="473"/>
      <c r="DR227" s="473"/>
      <c r="DS227" s="473"/>
      <c r="DT227" s="473"/>
      <c r="DU227" s="473"/>
      <c r="DV227" s="473"/>
      <c r="DW227" s="473"/>
      <c r="DX227" s="473"/>
      <c r="DY227" s="473"/>
      <c r="DZ227" s="473"/>
      <c r="EA227" s="473"/>
      <c r="EB227" s="473"/>
      <c r="EC227" s="473"/>
      <c r="ED227" s="473"/>
      <c r="EE227" s="473"/>
      <c r="EF227" s="473"/>
      <c r="EG227" s="473"/>
      <c r="EH227" s="473"/>
      <c r="EI227" s="473"/>
      <c r="EJ227" s="473"/>
      <c r="EK227" s="473"/>
      <c r="EL227" s="473"/>
      <c r="EM227" s="473"/>
      <c r="EN227" s="473"/>
      <c r="EO227" s="473"/>
      <c r="EP227" s="473"/>
      <c r="EQ227" s="473"/>
      <c r="ER227" s="473"/>
      <c r="ES227" s="473"/>
      <c r="ET227" s="473"/>
      <c r="EU227" s="473"/>
      <c r="EV227" s="473"/>
      <c r="EW227" s="473"/>
      <c r="EX227" s="473"/>
      <c r="EY227" s="927">
        <f>SUM(J227:EX227)</f>
        <v>0</v>
      </c>
      <c r="EZ227" s="431">
        <f>блюда!EZ134</f>
        <v>0</v>
      </c>
      <c r="FA227" s="431">
        <f>блюда!FA134</f>
        <v>0</v>
      </c>
      <c r="FB227" s="431">
        <f>блюда!FB134</f>
        <v>0</v>
      </c>
      <c r="FC227" s="431">
        <f>блюда!FC134</f>
        <v>0</v>
      </c>
      <c r="FD227" s="431">
        <f>блюда!FD134</f>
        <v>0</v>
      </c>
      <c r="FE227" s="431">
        <f>блюда!FE134</f>
        <v>0</v>
      </c>
      <c r="FF227" s="431">
        <f>блюда!FF134</f>
        <v>0</v>
      </c>
      <c r="FG227" s="431">
        <f>блюда!FG134</f>
        <v>0</v>
      </c>
      <c r="FH227" s="431">
        <f>блюда!FH134</f>
        <v>0</v>
      </c>
      <c r="FI227" s="431">
        <f>блюда!FI134</f>
        <v>0</v>
      </c>
      <c r="FJ227" s="431">
        <f>блюда!FJ134</f>
        <v>0</v>
      </c>
      <c r="FK227" s="431">
        <f>блюда!FK134</f>
        <v>0</v>
      </c>
      <c r="FL227" s="431">
        <f>блюда!FL134</f>
        <v>0</v>
      </c>
    </row>
    <row r="228" spans="1:168" hidden="1" x14ac:dyDescent="0.25">
      <c r="A228" s="1463"/>
      <c r="B228" s="115"/>
      <c r="C228" s="250"/>
      <c r="D228" s="431"/>
      <c r="E228" s="431"/>
      <c r="F228" s="431"/>
      <c r="G228" s="250"/>
      <c r="H228" s="250"/>
      <c r="I228" s="431"/>
      <c r="J228" s="473"/>
      <c r="K228" s="473"/>
      <c r="L228" s="473"/>
      <c r="M228" s="473"/>
      <c r="N228" s="473"/>
      <c r="O228" s="473"/>
      <c r="P228" s="473"/>
      <c r="Q228" s="473"/>
      <c r="R228" s="473"/>
      <c r="S228" s="473"/>
      <c r="T228" s="473"/>
      <c r="U228" s="473"/>
      <c r="V228" s="473"/>
      <c r="W228" s="473"/>
      <c r="X228" s="473"/>
      <c r="Y228" s="473"/>
      <c r="Z228" s="473"/>
      <c r="AA228" s="473"/>
      <c r="AB228" s="473"/>
      <c r="AC228" s="473"/>
      <c r="AD228" s="473"/>
      <c r="AE228" s="473"/>
      <c r="AF228" s="473"/>
      <c r="AG228" s="473"/>
      <c r="AH228" s="473"/>
      <c r="AI228" s="473"/>
      <c r="AJ228" s="473"/>
      <c r="AK228" s="473"/>
      <c r="AL228" s="473"/>
      <c r="AM228" s="473"/>
      <c r="AN228" s="473"/>
      <c r="AO228" s="473"/>
      <c r="AP228" s="473"/>
      <c r="AQ228" s="473"/>
      <c r="AR228" s="473"/>
      <c r="AS228" s="473"/>
      <c r="AT228" s="473"/>
      <c r="AU228" s="473"/>
      <c r="AV228" s="473"/>
      <c r="AW228" s="473"/>
      <c r="AX228" s="473"/>
      <c r="AY228" s="473"/>
      <c r="AZ228" s="473"/>
      <c r="BA228" s="473"/>
      <c r="BB228" s="473"/>
      <c r="BC228" s="473"/>
      <c r="BD228" s="473"/>
      <c r="BE228" s="473"/>
      <c r="BF228" s="473"/>
      <c r="BG228" s="473"/>
      <c r="BH228" s="473"/>
      <c r="BI228" s="473"/>
      <c r="BJ228" s="473"/>
      <c r="BK228" s="473"/>
      <c r="BL228" s="473"/>
      <c r="BM228" s="473"/>
      <c r="BN228" s="473"/>
      <c r="BO228" s="473"/>
      <c r="BP228" s="473"/>
      <c r="BQ228" s="473"/>
      <c r="BR228" s="473"/>
      <c r="BS228" s="473"/>
      <c r="BT228" s="473"/>
      <c r="BU228" s="473"/>
      <c r="BV228" s="473"/>
      <c r="BW228" s="473"/>
      <c r="BX228" s="473"/>
      <c r="BY228" s="473"/>
      <c r="BZ228" s="473"/>
      <c r="CA228" s="473"/>
      <c r="CB228" s="473"/>
      <c r="CC228" s="473"/>
      <c r="CD228" s="473"/>
      <c r="CE228" s="473"/>
      <c r="CF228" s="473"/>
      <c r="CG228" s="473"/>
      <c r="CH228" s="473"/>
      <c r="CI228" s="473"/>
      <c r="CJ228" s="473"/>
      <c r="CK228" s="473"/>
      <c r="CL228" s="473"/>
      <c r="CM228" s="473"/>
      <c r="CN228" s="473"/>
      <c r="CO228" s="473"/>
      <c r="CP228" s="473"/>
      <c r="CQ228" s="473"/>
      <c r="CR228" s="473"/>
      <c r="CS228" s="473"/>
      <c r="CT228" s="473"/>
      <c r="CU228" s="473"/>
      <c r="CV228" s="473"/>
      <c r="CW228" s="473"/>
      <c r="CX228" s="473"/>
      <c r="CY228" s="473"/>
      <c r="CZ228" s="473"/>
      <c r="DA228" s="473"/>
      <c r="DB228" s="473"/>
      <c r="DC228" s="473"/>
      <c r="DD228" s="473"/>
      <c r="DE228" s="473"/>
      <c r="DF228" s="473"/>
      <c r="DG228" s="473"/>
      <c r="DH228" s="473"/>
      <c r="DI228" s="473"/>
      <c r="DJ228" s="473"/>
      <c r="DK228" s="473"/>
      <c r="DL228" s="473"/>
      <c r="DM228" s="473"/>
      <c r="DN228" s="473"/>
      <c r="DO228" s="473"/>
      <c r="DP228" s="473"/>
      <c r="DQ228" s="473"/>
      <c r="DR228" s="473"/>
      <c r="DS228" s="473"/>
      <c r="DT228" s="473"/>
      <c r="DU228" s="473"/>
      <c r="DV228" s="473"/>
      <c r="DW228" s="473"/>
      <c r="DX228" s="473"/>
      <c r="DY228" s="473"/>
      <c r="DZ228" s="473"/>
      <c r="EA228" s="473"/>
      <c r="EB228" s="473"/>
      <c r="EC228" s="473"/>
      <c r="ED228" s="473"/>
      <c r="EE228" s="473"/>
      <c r="EF228" s="473"/>
      <c r="EG228" s="473"/>
      <c r="EH228" s="473"/>
      <c r="EI228" s="473"/>
      <c r="EJ228" s="473"/>
      <c r="EK228" s="473"/>
      <c r="EL228" s="473"/>
      <c r="EM228" s="473"/>
      <c r="EN228" s="473"/>
      <c r="EO228" s="473"/>
      <c r="EP228" s="473"/>
      <c r="EQ228" s="473"/>
      <c r="ER228" s="473"/>
      <c r="ES228" s="473"/>
      <c r="ET228" s="473"/>
      <c r="EU228" s="473"/>
      <c r="EV228" s="473"/>
      <c r="EW228" s="473"/>
      <c r="EX228" s="473"/>
      <c r="EY228" s="927">
        <f t="shared" ref="EY228:EY235" si="156">SUM(J228:EX228)</f>
        <v>0</v>
      </c>
      <c r="EZ228" s="431">
        <f>блюда!EZ286</f>
        <v>0</v>
      </c>
      <c r="FA228" s="431">
        <f>блюда!FA286</f>
        <v>0</v>
      </c>
      <c r="FB228" s="431">
        <f>блюда!FB286</f>
        <v>0</v>
      </c>
      <c r="FC228" s="431">
        <f>блюда!FC286</f>
        <v>0</v>
      </c>
      <c r="FD228" s="431">
        <f>блюда!FD286</f>
        <v>0</v>
      </c>
      <c r="FE228" s="431">
        <f>блюда!FE286</f>
        <v>0</v>
      </c>
      <c r="FF228" s="431">
        <f>блюда!FF286</f>
        <v>0</v>
      </c>
      <c r="FG228" s="431">
        <f>блюда!FG286</f>
        <v>0</v>
      </c>
      <c r="FH228" s="431">
        <f>блюда!FH286</f>
        <v>0</v>
      </c>
      <c r="FI228" s="431">
        <f>блюда!FI286</f>
        <v>0</v>
      </c>
      <c r="FJ228" s="431">
        <f>блюда!FJ286</f>
        <v>0</v>
      </c>
      <c r="FK228" s="431">
        <f>блюда!FK286</f>
        <v>0</v>
      </c>
      <c r="FL228" s="431">
        <f>блюда!FL286</f>
        <v>0</v>
      </c>
    </row>
    <row r="229" spans="1:168" ht="13.95" hidden="1" customHeight="1" x14ac:dyDescent="0.25">
      <c r="A229" s="1463"/>
      <c r="B229" s="115"/>
      <c r="C229" s="250"/>
      <c r="D229" s="431"/>
      <c r="E229" s="431"/>
      <c r="F229" s="431"/>
      <c r="G229" s="250"/>
      <c r="H229" s="250"/>
      <c r="I229" s="431"/>
      <c r="J229" s="473"/>
      <c r="K229" s="473"/>
      <c r="L229" s="473"/>
      <c r="M229" s="473"/>
      <c r="N229" s="473"/>
      <c r="O229" s="473"/>
      <c r="P229" s="473"/>
      <c r="Q229" s="473"/>
      <c r="R229" s="473"/>
      <c r="S229" s="473"/>
      <c r="T229" s="473"/>
      <c r="U229" s="473"/>
      <c r="V229" s="473"/>
      <c r="W229" s="473"/>
      <c r="X229" s="473"/>
      <c r="Y229" s="473"/>
      <c r="Z229" s="473"/>
      <c r="AA229" s="473"/>
      <c r="AB229" s="473"/>
      <c r="AC229" s="473"/>
      <c r="AD229" s="473"/>
      <c r="AE229" s="473"/>
      <c r="AF229" s="473"/>
      <c r="AG229" s="473"/>
      <c r="AH229" s="473"/>
      <c r="AI229" s="473"/>
      <c r="AJ229" s="473"/>
      <c r="AK229" s="473"/>
      <c r="AL229" s="473"/>
      <c r="AM229" s="473"/>
      <c r="AN229" s="473"/>
      <c r="AO229" s="473"/>
      <c r="AP229" s="473"/>
      <c r="AQ229" s="473"/>
      <c r="AR229" s="473"/>
      <c r="AS229" s="473"/>
      <c r="AT229" s="473"/>
      <c r="AU229" s="473"/>
      <c r="AV229" s="473"/>
      <c r="AW229" s="473"/>
      <c r="AX229" s="473"/>
      <c r="AY229" s="473"/>
      <c r="AZ229" s="473"/>
      <c r="BA229" s="473"/>
      <c r="BB229" s="473"/>
      <c r="BC229" s="473"/>
      <c r="BD229" s="473"/>
      <c r="BE229" s="473"/>
      <c r="BF229" s="473"/>
      <c r="BG229" s="473"/>
      <c r="BH229" s="473"/>
      <c r="BI229" s="473"/>
      <c r="BJ229" s="473"/>
      <c r="BK229" s="473"/>
      <c r="BL229" s="473"/>
      <c r="BM229" s="473"/>
      <c r="BN229" s="473"/>
      <c r="BO229" s="473"/>
      <c r="BP229" s="473"/>
      <c r="BQ229" s="473"/>
      <c r="BR229" s="473"/>
      <c r="BS229" s="473"/>
      <c r="BT229" s="473"/>
      <c r="BU229" s="473"/>
      <c r="BV229" s="473"/>
      <c r="BW229" s="473"/>
      <c r="BX229" s="473"/>
      <c r="BY229" s="473"/>
      <c r="BZ229" s="473"/>
      <c r="CA229" s="473"/>
      <c r="CB229" s="473"/>
      <c r="CC229" s="473"/>
      <c r="CD229" s="473"/>
      <c r="CE229" s="473"/>
      <c r="CF229" s="473"/>
      <c r="CG229" s="473"/>
      <c r="CH229" s="473"/>
      <c r="CI229" s="473"/>
      <c r="CJ229" s="473"/>
      <c r="CK229" s="473"/>
      <c r="CL229" s="473"/>
      <c r="CM229" s="473"/>
      <c r="CN229" s="473"/>
      <c r="CO229" s="473"/>
      <c r="CP229" s="473"/>
      <c r="CQ229" s="473"/>
      <c r="CR229" s="473"/>
      <c r="CS229" s="473"/>
      <c r="CT229" s="473"/>
      <c r="CU229" s="473"/>
      <c r="CV229" s="473"/>
      <c r="CW229" s="473"/>
      <c r="CX229" s="473"/>
      <c r="CY229" s="473"/>
      <c r="CZ229" s="473"/>
      <c r="DA229" s="473"/>
      <c r="DB229" s="473"/>
      <c r="DC229" s="473"/>
      <c r="DD229" s="473"/>
      <c r="DE229" s="473"/>
      <c r="DF229" s="473"/>
      <c r="DG229" s="473"/>
      <c r="DH229" s="473"/>
      <c r="DI229" s="473"/>
      <c r="DJ229" s="473"/>
      <c r="DK229" s="473"/>
      <c r="DL229" s="473"/>
      <c r="DM229" s="473"/>
      <c r="DN229" s="473"/>
      <c r="DO229" s="473"/>
      <c r="DP229" s="473"/>
      <c r="DQ229" s="473"/>
      <c r="DR229" s="473"/>
      <c r="DS229" s="473"/>
      <c r="DT229" s="473"/>
      <c r="DU229" s="473"/>
      <c r="DV229" s="473"/>
      <c r="DW229" s="473"/>
      <c r="DX229" s="473"/>
      <c r="DY229" s="473"/>
      <c r="DZ229" s="473"/>
      <c r="EA229" s="473"/>
      <c r="EB229" s="473"/>
      <c r="EC229" s="473"/>
      <c r="ED229" s="473"/>
      <c r="EE229" s="473"/>
      <c r="EF229" s="473"/>
      <c r="EG229" s="473"/>
      <c r="EH229" s="473"/>
      <c r="EI229" s="473"/>
      <c r="EJ229" s="473"/>
      <c r="EK229" s="473"/>
      <c r="EL229" s="473"/>
      <c r="EM229" s="473"/>
      <c r="EN229" s="473"/>
      <c r="EO229" s="473"/>
      <c r="EP229" s="473"/>
      <c r="EQ229" s="473"/>
      <c r="ER229" s="473"/>
      <c r="ES229" s="473"/>
      <c r="ET229" s="473"/>
      <c r="EU229" s="473"/>
      <c r="EV229" s="473"/>
      <c r="EW229" s="473"/>
      <c r="EX229" s="473"/>
      <c r="EY229" s="927">
        <f t="shared" si="156"/>
        <v>0</v>
      </c>
      <c r="EZ229" s="431">
        <f>блюда!EZ332</f>
        <v>0</v>
      </c>
      <c r="FA229" s="431">
        <f>блюда!FA332</f>
        <v>0</v>
      </c>
      <c r="FB229" s="431">
        <f>блюда!FB332</f>
        <v>0</v>
      </c>
      <c r="FC229" s="431">
        <f>блюда!FC332</f>
        <v>0</v>
      </c>
      <c r="FD229" s="431">
        <f>блюда!FD332</f>
        <v>0</v>
      </c>
      <c r="FE229" s="431">
        <f>блюда!FE332</f>
        <v>0</v>
      </c>
      <c r="FF229" s="431">
        <f>блюда!FF332</f>
        <v>0</v>
      </c>
      <c r="FG229" s="431">
        <f>блюда!FG332</f>
        <v>0</v>
      </c>
      <c r="FH229" s="431">
        <f>блюда!FH332</f>
        <v>0</v>
      </c>
      <c r="FI229" s="431">
        <f>блюда!FI332</f>
        <v>0</v>
      </c>
      <c r="FJ229" s="431">
        <f>блюда!FJ332</f>
        <v>0</v>
      </c>
      <c r="FK229" s="431">
        <f>блюда!FK332</f>
        <v>0</v>
      </c>
      <c r="FL229" s="431">
        <f>блюда!FL332</f>
        <v>0</v>
      </c>
    </row>
    <row r="230" spans="1:168" ht="13.95" hidden="1" customHeight="1" x14ac:dyDescent="0.25">
      <c r="A230" s="1463"/>
      <c r="B230" s="943"/>
      <c r="C230" s="250"/>
      <c r="D230" s="431"/>
      <c r="E230" s="431"/>
      <c r="F230" s="431"/>
      <c r="G230" s="250"/>
      <c r="H230" s="250"/>
      <c r="I230" s="431"/>
      <c r="J230" s="473"/>
      <c r="K230" s="473"/>
      <c r="L230" s="473"/>
      <c r="M230" s="473"/>
      <c r="N230" s="473"/>
      <c r="O230" s="473"/>
      <c r="P230" s="473"/>
      <c r="Q230" s="473"/>
      <c r="R230" s="473"/>
      <c r="S230" s="473"/>
      <c r="T230" s="473"/>
      <c r="U230" s="473"/>
      <c r="V230" s="473"/>
      <c r="W230" s="473"/>
      <c r="X230" s="473"/>
      <c r="Y230" s="473"/>
      <c r="Z230" s="473"/>
      <c r="AA230" s="473"/>
      <c r="AB230" s="473"/>
      <c r="AC230" s="473"/>
      <c r="AD230" s="473"/>
      <c r="AE230" s="473"/>
      <c r="AF230" s="473"/>
      <c r="AG230" s="473"/>
      <c r="AH230" s="473"/>
      <c r="AI230" s="473"/>
      <c r="AJ230" s="473"/>
      <c r="AK230" s="473"/>
      <c r="AL230" s="473"/>
      <c r="AM230" s="473"/>
      <c r="AN230" s="473"/>
      <c r="AO230" s="473"/>
      <c r="AP230" s="473"/>
      <c r="AQ230" s="473"/>
      <c r="AR230" s="473"/>
      <c r="AS230" s="473"/>
      <c r="AT230" s="473"/>
      <c r="AU230" s="473"/>
      <c r="AV230" s="473"/>
      <c r="AW230" s="473"/>
      <c r="AX230" s="473"/>
      <c r="AY230" s="473"/>
      <c r="AZ230" s="473"/>
      <c r="BA230" s="473"/>
      <c r="BB230" s="473"/>
      <c r="BC230" s="473"/>
      <c r="BD230" s="473"/>
      <c r="BE230" s="473"/>
      <c r="BF230" s="473"/>
      <c r="BG230" s="473"/>
      <c r="BH230" s="473"/>
      <c r="BI230" s="473"/>
      <c r="BJ230" s="473"/>
      <c r="BK230" s="473"/>
      <c r="BL230" s="473"/>
      <c r="BM230" s="473"/>
      <c r="BN230" s="473"/>
      <c r="BO230" s="473"/>
      <c r="BP230" s="473"/>
      <c r="BQ230" s="473"/>
      <c r="BR230" s="473"/>
      <c r="BS230" s="473"/>
      <c r="BT230" s="473"/>
      <c r="BU230" s="473"/>
      <c r="BV230" s="473"/>
      <c r="BW230" s="473"/>
      <c r="BX230" s="473"/>
      <c r="BY230" s="473"/>
      <c r="BZ230" s="473"/>
      <c r="CA230" s="473"/>
      <c r="CB230" s="473"/>
      <c r="CC230" s="473"/>
      <c r="CD230" s="473"/>
      <c r="CE230" s="473"/>
      <c r="CF230" s="473"/>
      <c r="CG230" s="473"/>
      <c r="CH230" s="473"/>
      <c r="CI230" s="473"/>
      <c r="CJ230" s="473"/>
      <c r="CK230" s="473"/>
      <c r="CL230" s="473"/>
      <c r="CM230" s="473"/>
      <c r="CN230" s="473"/>
      <c r="CO230" s="473"/>
      <c r="CP230" s="473"/>
      <c r="CQ230" s="473"/>
      <c r="CR230" s="473"/>
      <c r="CS230" s="473"/>
      <c r="CT230" s="473"/>
      <c r="CU230" s="473"/>
      <c r="CV230" s="473"/>
      <c r="CW230" s="473"/>
      <c r="CX230" s="473"/>
      <c r="CY230" s="473"/>
      <c r="CZ230" s="473"/>
      <c r="DA230" s="473"/>
      <c r="DB230" s="473"/>
      <c r="DC230" s="473"/>
      <c r="DD230" s="473"/>
      <c r="DE230" s="473"/>
      <c r="DF230" s="473"/>
      <c r="DG230" s="473"/>
      <c r="DH230" s="473"/>
      <c r="DI230" s="473"/>
      <c r="DJ230" s="473"/>
      <c r="DK230" s="473"/>
      <c r="DL230" s="473"/>
      <c r="DM230" s="473"/>
      <c r="DN230" s="473"/>
      <c r="DO230" s="473"/>
      <c r="DP230" s="473"/>
      <c r="DQ230" s="473"/>
      <c r="DR230" s="473"/>
      <c r="DS230" s="473"/>
      <c r="DT230" s="473"/>
      <c r="DU230" s="473"/>
      <c r="DV230" s="473"/>
      <c r="DW230" s="473"/>
      <c r="DX230" s="473"/>
      <c r="DY230" s="473"/>
      <c r="DZ230" s="473"/>
      <c r="EA230" s="473"/>
      <c r="EB230" s="473"/>
      <c r="EC230" s="473"/>
      <c r="ED230" s="473"/>
      <c r="EE230" s="473"/>
      <c r="EF230" s="473"/>
      <c r="EG230" s="473"/>
      <c r="EH230" s="473"/>
      <c r="EI230" s="473"/>
      <c r="EJ230" s="473"/>
      <c r="EK230" s="473"/>
      <c r="EL230" s="473"/>
      <c r="EM230" s="473"/>
      <c r="EN230" s="473"/>
      <c r="EO230" s="473"/>
      <c r="EP230" s="473"/>
      <c r="EQ230" s="473"/>
      <c r="ER230" s="473"/>
      <c r="ES230" s="473"/>
      <c r="ET230" s="473"/>
      <c r="EU230" s="473"/>
      <c r="EV230" s="473"/>
      <c r="EW230" s="473"/>
      <c r="EX230" s="473"/>
      <c r="EY230" s="927">
        <f t="shared" si="156"/>
        <v>0</v>
      </c>
      <c r="EZ230" s="431">
        <f>блюда!EZ13</f>
        <v>0</v>
      </c>
      <c r="FA230" s="431">
        <f>блюда!FA13</f>
        <v>0</v>
      </c>
      <c r="FB230" s="431">
        <f>блюда!FB13</f>
        <v>0</v>
      </c>
      <c r="FC230" s="431">
        <f>блюда!FC13</f>
        <v>0</v>
      </c>
      <c r="FD230" s="431">
        <f>блюда!FD13</f>
        <v>0</v>
      </c>
      <c r="FE230" s="431">
        <f>блюда!FE13</f>
        <v>0</v>
      </c>
      <c r="FF230" s="431">
        <f>блюда!FF13</f>
        <v>0</v>
      </c>
      <c r="FG230" s="431">
        <f>блюда!FG13</f>
        <v>0</v>
      </c>
      <c r="FH230" s="431">
        <f>блюда!FH13</f>
        <v>0</v>
      </c>
      <c r="FI230" s="431">
        <f>блюда!FI13</f>
        <v>0</v>
      </c>
      <c r="FJ230" s="431">
        <f>блюда!FJ13</f>
        <v>0</v>
      </c>
      <c r="FK230" s="431">
        <f>блюда!FK13</f>
        <v>0</v>
      </c>
      <c r="FL230" s="431">
        <f>блюда!FL13</f>
        <v>0</v>
      </c>
    </row>
    <row r="231" spans="1:168" ht="13.95" hidden="1" customHeight="1" x14ac:dyDescent="0.25">
      <c r="A231" s="1463"/>
      <c r="B231" s="115"/>
      <c r="C231" s="250"/>
      <c r="D231" s="431"/>
      <c r="E231" s="431"/>
      <c r="F231" s="431"/>
      <c r="G231" s="250"/>
      <c r="H231" s="250"/>
      <c r="I231" s="431"/>
      <c r="J231" s="473"/>
      <c r="K231" s="473"/>
      <c r="L231" s="473"/>
      <c r="M231" s="473"/>
      <c r="N231" s="473"/>
      <c r="O231" s="473"/>
      <c r="P231" s="473"/>
      <c r="Q231" s="473"/>
      <c r="R231" s="473"/>
      <c r="S231" s="473"/>
      <c r="T231" s="473"/>
      <c r="U231" s="473"/>
      <c r="V231" s="473"/>
      <c r="W231" s="473"/>
      <c r="X231" s="473"/>
      <c r="Y231" s="473"/>
      <c r="Z231" s="473"/>
      <c r="AA231" s="473"/>
      <c r="AB231" s="473"/>
      <c r="AC231" s="473"/>
      <c r="AD231" s="473"/>
      <c r="AE231" s="473"/>
      <c r="AF231" s="473"/>
      <c r="AG231" s="473"/>
      <c r="AH231" s="473"/>
      <c r="AI231" s="473"/>
      <c r="AJ231" s="473"/>
      <c r="AK231" s="473"/>
      <c r="AL231" s="473"/>
      <c r="AM231" s="473"/>
      <c r="AN231" s="473"/>
      <c r="AO231" s="473"/>
      <c r="AP231" s="473"/>
      <c r="AQ231" s="473"/>
      <c r="AR231" s="473"/>
      <c r="AS231" s="473"/>
      <c r="AT231" s="473"/>
      <c r="AU231" s="473"/>
      <c r="AV231" s="473"/>
      <c r="AW231" s="473"/>
      <c r="AX231" s="473"/>
      <c r="AY231" s="473"/>
      <c r="AZ231" s="473"/>
      <c r="BA231" s="473"/>
      <c r="BB231" s="473"/>
      <c r="BC231" s="473"/>
      <c r="BD231" s="473"/>
      <c r="BE231" s="473"/>
      <c r="BF231" s="473"/>
      <c r="BG231" s="473"/>
      <c r="BH231" s="473"/>
      <c r="BI231" s="473"/>
      <c r="BJ231" s="473"/>
      <c r="BK231" s="473"/>
      <c r="BL231" s="473"/>
      <c r="BM231" s="473"/>
      <c r="BN231" s="473"/>
      <c r="BO231" s="473"/>
      <c r="BP231" s="473"/>
      <c r="BQ231" s="473"/>
      <c r="BR231" s="473"/>
      <c r="BS231" s="473"/>
      <c r="BT231" s="473"/>
      <c r="BU231" s="473"/>
      <c r="BV231" s="473"/>
      <c r="BW231" s="473"/>
      <c r="BX231" s="473"/>
      <c r="BY231" s="473"/>
      <c r="BZ231" s="473"/>
      <c r="CA231" s="473"/>
      <c r="CB231" s="473"/>
      <c r="CC231" s="473"/>
      <c r="CD231" s="473"/>
      <c r="CE231" s="473"/>
      <c r="CF231" s="473"/>
      <c r="CG231" s="473"/>
      <c r="CH231" s="473"/>
      <c r="CI231" s="473"/>
      <c r="CJ231" s="473"/>
      <c r="CK231" s="473"/>
      <c r="CL231" s="473"/>
      <c r="CM231" s="473"/>
      <c r="CN231" s="473"/>
      <c r="CO231" s="473"/>
      <c r="CP231" s="473"/>
      <c r="CQ231" s="473"/>
      <c r="CR231" s="473"/>
      <c r="CS231" s="473"/>
      <c r="CT231" s="473"/>
      <c r="CU231" s="473"/>
      <c r="CV231" s="473"/>
      <c r="CW231" s="473"/>
      <c r="CX231" s="473"/>
      <c r="CY231" s="473"/>
      <c r="CZ231" s="473"/>
      <c r="DA231" s="473"/>
      <c r="DB231" s="473"/>
      <c r="DC231" s="473"/>
      <c r="DD231" s="473"/>
      <c r="DE231" s="473"/>
      <c r="DF231" s="473"/>
      <c r="DG231" s="473"/>
      <c r="DH231" s="473"/>
      <c r="DI231" s="473"/>
      <c r="DJ231" s="473"/>
      <c r="DK231" s="473"/>
      <c r="DL231" s="473"/>
      <c r="DM231" s="473"/>
      <c r="DN231" s="473"/>
      <c r="DO231" s="473"/>
      <c r="DP231" s="473"/>
      <c r="DQ231" s="473"/>
      <c r="DR231" s="473"/>
      <c r="DS231" s="473"/>
      <c r="DT231" s="473"/>
      <c r="DU231" s="473"/>
      <c r="DV231" s="473"/>
      <c r="DW231" s="473"/>
      <c r="DX231" s="473"/>
      <c r="DY231" s="473"/>
      <c r="DZ231" s="473"/>
      <c r="EA231" s="473"/>
      <c r="EB231" s="473"/>
      <c r="EC231" s="473"/>
      <c r="ED231" s="473"/>
      <c r="EE231" s="473"/>
      <c r="EF231" s="473"/>
      <c r="EG231" s="473"/>
      <c r="EH231" s="473"/>
      <c r="EI231" s="473"/>
      <c r="EJ231" s="473"/>
      <c r="EK231" s="473"/>
      <c r="EL231" s="473"/>
      <c r="EM231" s="473"/>
      <c r="EN231" s="473"/>
      <c r="EO231" s="473"/>
      <c r="EP231" s="473"/>
      <c r="EQ231" s="473"/>
      <c r="ER231" s="473"/>
      <c r="ES231" s="473"/>
      <c r="ET231" s="473"/>
      <c r="EU231" s="473"/>
      <c r="EV231" s="473"/>
      <c r="EW231" s="473"/>
      <c r="EX231" s="473"/>
      <c r="EY231" s="927">
        <f t="shared" si="156"/>
        <v>0</v>
      </c>
      <c r="EZ231" s="431">
        <f>блюда!EZ14</f>
        <v>0</v>
      </c>
      <c r="FA231" s="431">
        <f>блюда!FA14</f>
        <v>0</v>
      </c>
      <c r="FB231" s="431">
        <f>блюда!FB14</f>
        <v>0</v>
      </c>
      <c r="FC231" s="431">
        <f>блюда!FC14</f>
        <v>0</v>
      </c>
      <c r="FD231" s="431">
        <f>блюда!FD14</f>
        <v>0</v>
      </c>
      <c r="FE231" s="431">
        <f>блюда!FE14</f>
        <v>0</v>
      </c>
      <c r="FF231" s="431">
        <f>блюда!FF14</f>
        <v>0</v>
      </c>
      <c r="FG231" s="431">
        <f>блюда!FG14</f>
        <v>0</v>
      </c>
      <c r="FH231" s="431">
        <f>блюда!FH14</f>
        <v>0</v>
      </c>
      <c r="FI231" s="431">
        <f>блюда!FI14</f>
        <v>0</v>
      </c>
      <c r="FJ231" s="431">
        <f>блюда!FJ14</f>
        <v>0</v>
      </c>
      <c r="FK231" s="431">
        <f>блюда!FK14</f>
        <v>0</v>
      </c>
      <c r="FL231" s="431">
        <f>блюда!FL14</f>
        <v>0</v>
      </c>
    </row>
    <row r="232" spans="1:168" ht="13.95" hidden="1" customHeight="1" x14ac:dyDescent="0.25">
      <c r="A232" s="1463"/>
      <c r="B232" s="943"/>
      <c r="C232" s="704"/>
      <c r="D232" s="117"/>
      <c r="E232" s="117"/>
      <c r="F232" s="117"/>
      <c r="G232" s="704"/>
      <c r="H232" s="704"/>
      <c r="I232" s="117"/>
      <c r="J232" s="703"/>
      <c r="K232" s="703"/>
      <c r="L232" s="703"/>
      <c r="M232" s="703"/>
      <c r="N232" s="703"/>
      <c r="O232" s="703"/>
      <c r="P232" s="703"/>
      <c r="Q232" s="703"/>
      <c r="R232" s="703"/>
      <c r="S232" s="703"/>
      <c r="T232" s="703"/>
      <c r="U232" s="703"/>
      <c r="V232" s="703"/>
      <c r="W232" s="703"/>
      <c r="X232" s="703"/>
      <c r="Y232" s="703"/>
      <c r="Z232" s="703"/>
      <c r="AA232" s="703"/>
      <c r="AB232" s="703"/>
      <c r="AC232" s="703"/>
      <c r="AD232" s="703"/>
      <c r="AE232" s="703"/>
      <c r="AF232" s="703"/>
      <c r="AG232" s="703"/>
      <c r="AH232" s="703"/>
      <c r="AI232" s="703"/>
      <c r="AJ232" s="703"/>
      <c r="AK232" s="703"/>
      <c r="AL232" s="703"/>
      <c r="AM232" s="703"/>
      <c r="AN232" s="703"/>
      <c r="AO232" s="703"/>
      <c r="AP232" s="703"/>
      <c r="AQ232" s="703"/>
      <c r="AR232" s="703"/>
      <c r="AS232" s="703"/>
      <c r="AT232" s="703"/>
      <c r="AU232" s="703"/>
      <c r="AV232" s="703"/>
      <c r="AW232" s="703"/>
      <c r="AX232" s="703"/>
      <c r="AY232" s="703"/>
      <c r="AZ232" s="703"/>
      <c r="BA232" s="703"/>
      <c r="BB232" s="703"/>
      <c r="BC232" s="703"/>
      <c r="BD232" s="703"/>
      <c r="BE232" s="703"/>
      <c r="BF232" s="703"/>
      <c r="BG232" s="703"/>
      <c r="BH232" s="703"/>
      <c r="BI232" s="703"/>
      <c r="BJ232" s="703"/>
      <c r="BK232" s="703"/>
      <c r="BL232" s="703"/>
      <c r="BM232" s="703"/>
      <c r="BN232" s="703"/>
      <c r="BO232" s="703"/>
      <c r="BP232" s="703"/>
      <c r="BQ232" s="703"/>
      <c r="BR232" s="703"/>
      <c r="BS232" s="703"/>
      <c r="BT232" s="703"/>
      <c r="BU232" s="703"/>
      <c r="BV232" s="703"/>
      <c r="BW232" s="703"/>
      <c r="BX232" s="703"/>
      <c r="BY232" s="703"/>
      <c r="BZ232" s="703"/>
      <c r="CA232" s="703"/>
      <c r="CB232" s="703"/>
      <c r="CC232" s="703"/>
      <c r="CD232" s="703"/>
      <c r="CE232" s="703"/>
      <c r="CF232" s="703"/>
      <c r="CG232" s="703"/>
      <c r="CH232" s="703"/>
      <c r="CI232" s="703"/>
      <c r="CJ232" s="703"/>
      <c r="CK232" s="703"/>
      <c r="CL232" s="703"/>
      <c r="CM232" s="703"/>
      <c r="CN232" s="703"/>
      <c r="CO232" s="703"/>
      <c r="CP232" s="703"/>
      <c r="CQ232" s="703"/>
      <c r="CR232" s="703"/>
      <c r="CS232" s="703"/>
      <c r="CT232" s="703"/>
      <c r="CU232" s="703"/>
      <c r="CV232" s="703"/>
      <c r="CW232" s="703"/>
      <c r="CX232" s="703"/>
      <c r="CY232" s="703"/>
      <c r="CZ232" s="703"/>
      <c r="DA232" s="703"/>
      <c r="DB232" s="703"/>
      <c r="DC232" s="703"/>
      <c r="DD232" s="703"/>
      <c r="DE232" s="703"/>
      <c r="DF232" s="703"/>
      <c r="DG232" s="703"/>
      <c r="DH232" s="703"/>
      <c r="DI232" s="703"/>
      <c r="DJ232" s="703"/>
      <c r="DK232" s="703"/>
      <c r="DL232" s="703"/>
      <c r="DM232" s="703"/>
      <c r="DN232" s="703"/>
      <c r="DO232" s="703"/>
      <c r="DP232" s="703"/>
      <c r="DQ232" s="703"/>
      <c r="DR232" s="703"/>
      <c r="DS232" s="703"/>
      <c r="DT232" s="703"/>
      <c r="DU232" s="703"/>
      <c r="DV232" s="703"/>
      <c r="DW232" s="703"/>
      <c r="DX232" s="703"/>
      <c r="DY232" s="703"/>
      <c r="DZ232" s="703"/>
      <c r="EA232" s="703"/>
      <c r="EB232" s="703"/>
      <c r="EC232" s="703"/>
      <c r="ED232" s="703"/>
      <c r="EE232" s="703"/>
      <c r="EF232" s="703"/>
      <c r="EG232" s="703"/>
      <c r="EH232" s="703"/>
      <c r="EI232" s="703"/>
      <c r="EJ232" s="703"/>
      <c r="EK232" s="703"/>
      <c r="EL232" s="703"/>
      <c r="EM232" s="703"/>
      <c r="EN232" s="703"/>
      <c r="EO232" s="703"/>
      <c r="EP232" s="703"/>
      <c r="EQ232" s="703"/>
      <c r="ER232" s="703"/>
      <c r="ES232" s="703"/>
      <c r="ET232" s="703"/>
      <c r="EU232" s="703"/>
      <c r="EV232" s="703"/>
      <c r="EW232" s="703"/>
      <c r="EX232" s="703"/>
      <c r="EY232" s="927">
        <f t="shared" si="156"/>
        <v>0</v>
      </c>
      <c r="EZ232" s="431">
        <f>блюда!EZ259</f>
        <v>0</v>
      </c>
      <c r="FA232" s="431">
        <f>блюда!FA259</f>
        <v>0</v>
      </c>
      <c r="FB232" s="431">
        <f>блюда!FB259</f>
        <v>0</v>
      </c>
      <c r="FC232" s="431">
        <f>блюда!FC259</f>
        <v>0</v>
      </c>
      <c r="FD232" s="431">
        <f>блюда!FD259</f>
        <v>0</v>
      </c>
      <c r="FE232" s="431">
        <f>блюда!FE259</f>
        <v>0</v>
      </c>
      <c r="FF232" s="431">
        <f>блюда!FF259</f>
        <v>0</v>
      </c>
      <c r="FG232" s="431">
        <f>блюда!FG259</f>
        <v>0</v>
      </c>
      <c r="FH232" s="431">
        <f>блюда!FH259</f>
        <v>0</v>
      </c>
      <c r="FI232" s="431">
        <f>блюда!FI259</f>
        <v>0</v>
      </c>
      <c r="FJ232" s="431">
        <f>блюда!FJ259</f>
        <v>0</v>
      </c>
      <c r="FK232" s="431">
        <f>блюда!FK259</f>
        <v>0</v>
      </c>
      <c r="FL232" s="431">
        <f>блюда!FL259</f>
        <v>0</v>
      </c>
    </row>
    <row r="233" spans="1:168" ht="13.95" hidden="1" customHeight="1" x14ac:dyDescent="0.25">
      <c r="A233" s="1463"/>
      <c r="B233" s="115"/>
      <c r="C233" s="250"/>
      <c r="D233" s="116"/>
      <c r="E233" s="116"/>
      <c r="F233" s="116"/>
      <c r="G233" s="250"/>
      <c r="H233" s="250"/>
      <c r="I233" s="116"/>
      <c r="J233" s="473"/>
      <c r="K233" s="473"/>
      <c r="L233" s="473"/>
      <c r="M233" s="473"/>
      <c r="N233" s="473"/>
      <c r="O233" s="473"/>
      <c r="P233" s="473"/>
      <c r="Q233" s="473"/>
      <c r="R233" s="473"/>
      <c r="S233" s="473"/>
      <c r="T233" s="473"/>
      <c r="U233" s="473"/>
      <c r="V233" s="473"/>
      <c r="W233" s="473"/>
      <c r="X233" s="473"/>
      <c r="Y233" s="473"/>
      <c r="Z233" s="473"/>
      <c r="AA233" s="473"/>
      <c r="AB233" s="473"/>
      <c r="AC233" s="473"/>
      <c r="AD233" s="473"/>
      <c r="AE233" s="473"/>
      <c r="AF233" s="473"/>
      <c r="AG233" s="473"/>
      <c r="AH233" s="473"/>
      <c r="AI233" s="473"/>
      <c r="AJ233" s="473"/>
      <c r="AK233" s="473"/>
      <c r="AL233" s="473"/>
      <c r="AM233" s="473"/>
      <c r="AN233" s="473"/>
      <c r="AO233" s="473"/>
      <c r="AP233" s="473"/>
      <c r="AQ233" s="473"/>
      <c r="AR233" s="473"/>
      <c r="AS233" s="473"/>
      <c r="AT233" s="473"/>
      <c r="AU233" s="473"/>
      <c r="AV233" s="473"/>
      <c r="AW233" s="473"/>
      <c r="AX233" s="473"/>
      <c r="AY233" s="473"/>
      <c r="AZ233" s="473"/>
      <c r="BA233" s="473"/>
      <c r="BB233" s="473"/>
      <c r="BC233" s="473"/>
      <c r="BD233" s="473"/>
      <c r="BE233" s="473"/>
      <c r="BF233" s="473"/>
      <c r="BG233" s="473"/>
      <c r="BH233" s="473"/>
      <c r="BI233" s="473"/>
      <c r="BJ233" s="473"/>
      <c r="BK233" s="473"/>
      <c r="BL233" s="473"/>
      <c r="BM233" s="473"/>
      <c r="BN233" s="473"/>
      <c r="BO233" s="473"/>
      <c r="BP233" s="473"/>
      <c r="BQ233" s="473"/>
      <c r="BR233" s="473"/>
      <c r="BS233" s="473"/>
      <c r="BT233" s="473"/>
      <c r="BU233" s="473"/>
      <c r="BV233" s="473"/>
      <c r="BW233" s="473"/>
      <c r="BX233" s="473"/>
      <c r="BY233" s="473"/>
      <c r="BZ233" s="473"/>
      <c r="CA233" s="473"/>
      <c r="CB233" s="473"/>
      <c r="CC233" s="473"/>
      <c r="CD233" s="473"/>
      <c r="CE233" s="473"/>
      <c r="CF233" s="473"/>
      <c r="CG233" s="473"/>
      <c r="CH233" s="473"/>
      <c r="CI233" s="473"/>
      <c r="CJ233" s="473"/>
      <c r="CK233" s="473"/>
      <c r="CL233" s="473"/>
      <c r="CM233" s="473"/>
      <c r="CN233" s="473"/>
      <c r="CO233" s="473"/>
      <c r="CP233" s="473"/>
      <c r="CQ233" s="473"/>
      <c r="CR233" s="473"/>
      <c r="CS233" s="473"/>
      <c r="CT233" s="473"/>
      <c r="CU233" s="473"/>
      <c r="CV233" s="473"/>
      <c r="CW233" s="473"/>
      <c r="CX233" s="473"/>
      <c r="CY233" s="473"/>
      <c r="CZ233" s="473"/>
      <c r="DA233" s="473"/>
      <c r="DB233" s="473"/>
      <c r="DC233" s="473"/>
      <c r="DD233" s="473"/>
      <c r="DE233" s="473"/>
      <c r="DF233" s="473"/>
      <c r="DG233" s="473"/>
      <c r="DH233" s="473"/>
      <c r="DI233" s="473"/>
      <c r="DJ233" s="473"/>
      <c r="DK233" s="473"/>
      <c r="DL233" s="473"/>
      <c r="DM233" s="473"/>
      <c r="DN233" s="473"/>
      <c r="DO233" s="473"/>
      <c r="DP233" s="473"/>
      <c r="DQ233" s="473"/>
      <c r="DR233" s="473"/>
      <c r="DS233" s="473"/>
      <c r="DT233" s="473"/>
      <c r="DU233" s="473"/>
      <c r="DV233" s="473"/>
      <c r="DW233" s="473"/>
      <c r="DX233" s="473"/>
      <c r="DY233" s="473"/>
      <c r="DZ233" s="473"/>
      <c r="EA233" s="473"/>
      <c r="EB233" s="473"/>
      <c r="EC233" s="473"/>
      <c r="ED233" s="473"/>
      <c r="EE233" s="473"/>
      <c r="EF233" s="473"/>
      <c r="EG233" s="473"/>
      <c r="EH233" s="473"/>
      <c r="EI233" s="473"/>
      <c r="EJ233" s="473"/>
      <c r="EK233" s="473"/>
      <c r="EL233" s="473"/>
      <c r="EM233" s="473"/>
      <c r="EN233" s="473"/>
      <c r="EO233" s="473"/>
      <c r="EP233" s="473"/>
      <c r="EQ233" s="473"/>
      <c r="ER233" s="473"/>
      <c r="ES233" s="473"/>
      <c r="ET233" s="473"/>
      <c r="EU233" s="473"/>
      <c r="EV233" s="473"/>
      <c r="EW233" s="473"/>
      <c r="EX233" s="473"/>
      <c r="EY233" s="927">
        <f t="shared" si="156"/>
        <v>0</v>
      </c>
      <c r="EZ233" s="117"/>
      <c r="FA233" s="117"/>
      <c r="FB233" s="117"/>
      <c r="FC233" s="117"/>
      <c r="FD233" s="117"/>
      <c r="FE233" s="117"/>
      <c r="FF233" s="117"/>
      <c r="FG233" s="117"/>
      <c r="FH233" s="117"/>
      <c r="FI233" s="117"/>
      <c r="FJ233" s="117"/>
      <c r="FK233" s="117"/>
      <c r="FL233" s="117"/>
    </row>
    <row r="234" spans="1:168" hidden="1" x14ac:dyDescent="0.25">
      <c r="A234" s="1463"/>
      <c r="B234" s="115"/>
      <c r="C234" s="250"/>
      <c r="D234" s="117"/>
      <c r="E234" s="117"/>
      <c r="F234" s="117"/>
      <c r="G234" s="250"/>
      <c r="H234" s="704"/>
      <c r="I234" s="431"/>
      <c r="J234" s="473"/>
      <c r="K234" s="473"/>
      <c r="L234" s="473"/>
      <c r="M234" s="473"/>
      <c r="N234" s="473"/>
      <c r="O234" s="473"/>
      <c r="P234" s="473"/>
      <c r="Q234" s="473"/>
      <c r="R234" s="473"/>
      <c r="S234" s="473"/>
      <c r="T234" s="473"/>
      <c r="U234" s="473"/>
      <c r="V234" s="473"/>
      <c r="W234" s="473"/>
      <c r="X234" s="473"/>
      <c r="Y234" s="473"/>
      <c r="Z234" s="473"/>
      <c r="AA234" s="473"/>
      <c r="AB234" s="473"/>
      <c r="AC234" s="473"/>
      <c r="AD234" s="473"/>
      <c r="AE234" s="473"/>
      <c r="AF234" s="473"/>
      <c r="AG234" s="473"/>
      <c r="AH234" s="473"/>
      <c r="AI234" s="473"/>
      <c r="AJ234" s="473"/>
      <c r="AK234" s="473"/>
      <c r="AL234" s="473"/>
      <c r="AM234" s="473"/>
      <c r="AN234" s="473"/>
      <c r="AO234" s="473"/>
      <c r="AP234" s="473"/>
      <c r="AQ234" s="473"/>
      <c r="AR234" s="473"/>
      <c r="AS234" s="473"/>
      <c r="AT234" s="473"/>
      <c r="AU234" s="473"/>
      <c r="AV234" s="473"/>
      <c r="AW234" s="473"/>
      <c r="AX234" s="473"/>
      <c r="AY234" s="473"/>
      <c r="AZ234" s="473"/>
      <c r="BA234" s="473"/>
      <c r="BB234" s="473"/>
      <c r="BC234" s="473"/>
      <c r="BD234" s="473"/>
      <c r="BE234" s="473"/>
      <c r="BF234" s="473"/>
      <c r="BG234" s="473"/>
      <c r="BH234" s="473"/>
      <c r="BI234" s="473"/>
      <c r="BJ234" s="473"/>
      <c r="BK234" s="473"/>
      <c r="BL234" s="473"/>
      <c r="BM234" s="473"/>
      <c r="BN234" s="473"/>
      <c r="BO234" s="473"/>
      <c r="BP234" s="473"/>
      <c r="BQ234" s="473"/>
      <c r="BR234" s="473"/>
      <c r="BS234" s="473"/>
      <c r="BT234" s="473"/>
      <c r="BU234" s="473"/>
      <c r="BV234" s="473"/>
      <c r="BW234" s="473"/>
      <c r="BX234" s="473"/>
      <c r="BY234" s="473"/>
      <c r="BZ234" s="473"/>
      <c r="CA234" s="473"/>
      <c r="CB234" s="473"/>
      <c r="CC234" s="473"/>
      <c r="CD234" s="473"/>
      <c r="CE234" s="473"/>
      <c r="CF234" s="473"/>
      <c r="CG234" s="473"/>
      <c r="CH234" s="473"/>
      <c r="CI234" s="473"/>
      <c r="CJ234" s="473"/>
      <c r="CK234" s="473"/>
      <c r="CL234" s="473"/>
      <c r="CM234" s="473"/>
      <c r="CN234" s="473"/>
      <c r="CO234" s="473"/>
      <c r="CP234" s="473"/>
      <c r="CQ234" s="473"/>
      <c r="CR234" s="473"/>
      <c r="CS234" s="473"/>
      <c r="CT234" s="473"/>
      <c r="CU234" s="473"/>
      <c r="CV234" s="473"/>
      <c r="CW234" s="473"/>
      <c r="CX234" s="473"/>
      <c r="CY234" s="473"/>
      <c r="CZ234" s="473"/>
      <c r="DA234" s="473"/>
      <c r="DB234" s="473"/>
      <c r="DC234" s="473"/>
      <c r="DD234" s="473"/>
      <c r="DE234" s="473"/>
      <c r="DF234" s="473"/>
      <c r="DG234" s="473"/>
      <c r="DH234" s="473"/>
      <c r="DI234" s="473"/>
      <c r="DJ234" s="473"/>
      <c r="DK234" s="473"/>
      <c r="DL234" s="473"/>
      <c r="DM234" s="473"/>
      <c r="DN234" s="473"/>
      <c r="DO234" s="473"/>
      <c r="DP234" s="473"/>
      <c r="DQ234" s="473"/>
      <c r="DR234" s="473"/>
      <c r="DS234" s="473"/>
      <c r="DT234" s="473"/>
      <c r="DU234" s="473"/>
      <c r="DV234" s="473"/>
      <c r="DW234" s="473"/>
      <c r="DX234" s="473"/>
      <c r="DY234" s="473"/>
      <c r="DZ234" s="473"/>
      <c r="EA234" s="473"/>
      <c r="EB234" s="473"/>
      <c r="EC234" s="473"/>
      <c r="ED234" s="473"/>
      <c r="EE234" s="473"/>
      <c r="EF234" s="473"/>
      <c r="EG234" s="473"/>
      <c r="EH234" s="473"/>
      <c r="EI234" s="473"/>
      <c r="EJ234" s="473"/>
      <c r="EK234" s="473"/>
      <c r="EL234" s="473"/>
      <c r="EM234" s="473"/>
      <c r="EN234" s="473"/>
      <c r="EO234" s="473"/>
      <c r="EP234" s="473"/>
      <c r="EQ234" s="473"/>
      <c r="ER234" s="473"/>
      <c r="ES234" s="473"/>
      <c r="ET234" s="473"/>
      <c r="EU234" s="473"/>
      <c r="EV234" s="473"/>
      <c r="EW234" s="473"/>
      <c r="EX234" s="473"/>
      <c r="EY234" s="927">
        <f t="shared" si="156"/>
        <v>0</v>
      </c>
      <c r="EZ234" s="117"/>
      <c r="FA234" s="117"/>
      <c r="FB234" s="117"/>
      <c r="FC234" s="117"/>
      <c r="FD234" s="117"/>
      <c r="FE234" s="117"/>
      <c r="FF234" s="117"/>
      <c r="FG234" s="117"/>
      <c r="FH234" s="117"/>
      <c r="FI234" s="117"/>
      <c r="FJ234" s="117"/>
      <c r="FK234" s="117"/>
      <c r="FL234" s="117"/>
    </row>
    <row r="235" spans="1:168" hidden="1" x14ac:dyDescent="0.25">
      <c r="A235" s="1464"/>
      <c r="B235" s="115"/>
      <c r="C235" s="704"/>
      <c r="D235" s="431"/>
      <c r="E235" s="431"/>
      <c r="F235" s="431"/>
      <c r="G235" s="250"/>
      <c r="H235" s="250"/>
      <c r="I235" s="431"/>
      <c r="J235" s="473"/>
      <c r="K235" s="473"/>
      <c r="L235" s="473"/>
      <c r="M235" s="473"/>
      <c r="N235" s="473"/>
      <c r="O235" s="473"/>
      <c r="P235" s="473"/>
      <c r="Q235" s="473"/>
      <c r="R235" s="473"/>
      <c r="S235" s="473"/>
      <c r="T235" s="473"/>
      <c r="U235" s="473"/>
      <c r="V235" s="473"/>
      <c r="W235" s="473"/>
      <c r="X235" s="473"/>
      <c r="Y235" s="473"/>
      <c r="Z235" s="473"/>
      <c r="AA235" s="473"/>
      <c r="AB235" s="473"/>
      <c r="AC235" s="473"/>
      <c r="AD235" s="473"/>
      <c r="AE235" s="473"/>
      <c r="AF235" s="473"/>
      <c r="AG235" s="473"/>
      <c r="AH235" s="473"/>
      <c r="AI235" s="473"/>
      <c r="AJ235" s="473"/>
      <c r="AK235" s="473"/>
      <c r="AL235" s="473"/>
      <c r="AM235" s="473"/>
      <c r="AN235" s="473"/>
      <c r="AO235" s="473"/>
      <c r="AP235" s="473"/>
      <c r="AQ235" s="473"/>
      <c r="AR235" s="473"/>
      <c r="AS235" s="473"/>
      <c r="AT235" s="473"/>
      <c r="AU235" s="473"/>
      <c r="AV235" s="473"/>
      <c r="AW235" s="473"/>
      <c r="AX235" s="473"/>
      <c r="AY235" s="473"/>
      <c r="AZ235" s="473"/>
      <c r="BA235" s="473"/>
      <c r="BB235" s="473"/>
      <c r="BC235" s="473"/>
      <c r="BD235" s="473"/>
      <c r="BE235" s="473"/>
      <c r="BF235" s="473"/>
      <c r="BG235" s="473"/>
      <c r="BH235" s="473"/>
      <c r="BI235" s="473"/>
      <c r="BJ235" s="473"/>
      <c r="BK235" s="473"/>
      <c r="BL235" s="473"/>
      <c r="BM235" s="473"/>
      <c r="BN235" s="473"/>
      <c r="BO235" s="473"/>
      <c r="BP235" s="473"/>
      <c r="BQ235" s="473"/>
      <c r="BR235" s="473"/>
      <c r="BS235" s="473"/>
      <c r="BT235" s="473"/>
      <c r="BU235" s="473"/>
      <c r="BV235" s="473"/>
      <c r="BW235" s="473"/>
      <c r="BX235" s="473"/>
      <c r="BY235" s="473"/>
      <c r="BZ235" s="473"/>
      <c r="CA235" s="473"/>
      <c r="CB235" s="473"/>
      <c r="CC235" s="473"/>
      <c r="CD235" s="473"/>
      <c r="CE235" s="473"/>
      <c r="CF235" s="473"/>
      <c r="CG235" s="473"/>
      <c r="CH235" s="473"/>
      <c r="CI235" s="473"/>
      <c r="CJ235" s="473"/>
      <c r="CK235" s="473"/>
      <c r="CL235" s="473"/>
      <c r="CM235" s="473"/>
      <c r="CN235" s="473"/>
      <c r="CO235" s="473"/>
      <c r="CP235" s="473"/>
      <c r="CQ235" s="473"/>
      <c r="CR235" s="473"/>
      <c r="CS235" s="473"/>
      <c r="CT235" s="473"/>
      <c r="CU235" s="473"/>
      <c r="CV235" s="473"/>
      <c r="CW235" s="473"/>
      <c r="CX235" s="473"/>
      <c r="CY235" s="473"/>
      <c r="CZ235" s="473"/>
      <c r="DA235" s="473"/>
      <c r="DB235" s="473"/>
      <c r="DC235" s="473"/>
      <c r="DD235" s="473"/>
      <c r="DE235" s="473"/>
      <c r="DF235" s="473"/>
      <c r="DG235" s="473"/>
      <c r="DH235" s="473"/>
      <c r="DI235" s="473"/>
      <c r="DJ235" s="473"/>
      <c r="DK235" s="473"/>
      <c r="DL235" s="473"/>
      <c r="DM235" s="473"/>
      <c r="DN235" s="473"/>
      <c r="DO235" s="473"/>
      <c r="DP235" s="473"/>
      <c r="DQ235" s="473"/>
      <c r="DR235" s="473"/>
      <c r="DS235" s="473"/>
      <c r="DT235" s="473"/>
      <c r="DU235" s="473"/>
      <c r="DV235" s="473"/>
      <c r="DW235" s="473"/>
      <c r="DX235" s="473"/>
      <c r="DY235" s="473"/>
      <c r="DZ235" s="473"/>
      <c r="EA235" s="473"/>
      <c r="EB235" s="473"/>
      <c r="EC235" s="473"/>
      <c r="ED235" s="473"/>
      <c r="EE235" s="473"/>
      <c r="EF235" s="473"/>
      <c r="EG235" s="473"/>
      <c r="EH235" s="473"/>
      <c r="EI235" s="473"/>
      <c r="EJ235" s="473"/>
      <c r="EK235" s="473"/>
      <c r="EL235" s="473"/>
      <c r="EM235" s="473"/>
      <c r="EN235" s="473"/>
      <c r="EO235" s="473"/>
      <c r="EP235" s="473"/>
      <c r="EQ235" s="473"/>
      <c r="ER235" s="473"/>
      <c r="ES235" s="473"/>
      <c r="ET235" s="473"/>
      <c r="EU235" s="473"/>
      <c r="EV235" s="473"/>
      <c r="EW235" s="473"/>
      <c r="EX235" s="473"/>
      <c r="EY235" s="927">
        <f t="shared" si="156"/>
        <v>0</v>
      </c>
      <c r="EZ235" s="117"/>
      <c r="FA235" s="117"/>
      <c r="FB235" s="117"/>
      <c r="FC235" s="117"/>
      <c r="FD235" s="117"/>
      <c r="FE235" s="117"/>
      <c r="FF235" s="117"/>
      <c r="FG235" s="117"/>
      <c r="FH235" s="117"/>
      <c r="FI235" s="117"/>
      <c r="FJ235" s="117"/>
      <c r="FK235" s="117"/>
      <c r="FL235" s="117"/>
    </row>
    <row r="236" spans="1:168" hidden="1" x14ac:dyDescent="0.25">
      <c r="A236" s="120"/>
      <c r="B236" s="118" t="s">
        <v>111</v>
      </c>
      <c r="C236" s="840">
        <f>SUM(C227:C235)</f>
        <v>0</v>
      </c>
      <c r="D236" s="842">
        <f>SUM(D227:D235)</f>
        <v>0</v>
      </c>
      <c r="E236" s="842">
        <f t="shared" ref="E236:BC236" si="157">SUM(E227:E235)</f>
        <v>0</v>
      </c>
      <c r="F236" s="842">
        <f t="shared" si="157"/>
        <v>0</v>
      </c>
      <c r="G236" s="840">
        <f t="shared" si="157"/>
        <v>0</v>
      </c>
      <c r="H236" s="840"/>
      <c r="I236" s="842">
        <f t="shared" ref="I236" si="158">SUM(I227:I235)</f>
        <v>0</v>
      </c>
      <c r="J236" s="844">
        <f t="shared" si="157"/>
        <v>0</v>
      </c>
      <c r="K236" s="844">
        <f t="shared" si="157"/>
        <v>0</v>
      </c>
      <c r="L236" s="844">
        <f t="shared" si="157"/>
        <v>0</v>
      </c>
      <c r="M236" s="844">
        <f t="shared" si="157"/>
        <v>0</v>
      </c>
      <c r="N236" s="844">
        <f t="shared" si="157"/>
        <v>0</v>
      </c>
      <c r="O236" s="844">
        <f t="shared" si="157"/>
        <v>0</v>
      </c>
      <c r="P236" s="844">
        <f t="shared" si="157"/>
        <v>0</v>
      </c>
      <c r="Q236" s="844">
        <f t="shared" si="157"/>
        <v>0</v>
      </c>
      <c r="R236" s="844">
        <f t="shared" si="157"/>
        <v>0</v>
      </c>
      <c r="S236" s="844">
        <f t="shared" si="157"/>
        <v>0</v>
      </c>
      <c r="T236" s="844">
        <f t="shared" si="157"/>
        <v>0</v>
      </c>
      <c r="U236" s="844">
        <f t="shared" si="157"/>
        <v>0</v>
      </c>
      <c r="V236" s="844">
        <f t="shared" si="157"/>
        <v>0</v>
      </c>
      <c r="W236" s="844">
        <f t="shared" si="157"/>
        <v>0</v>
      </c>
      <c r="X236" s="844">
        <f t="shared" si="157"/>
        <v>0</v>
      </c>
      <c r="Y236" s="844">
        <f t="shared" si="157"/>
        <v>0</v>
      </c>
      <c r="Z236" s="844">
        <f t="shared" si="157"/>
        <v>0</v>
      </c>
      <c r="AA236" s="844">
        <f t="shared" si="157"/>
        <v>0</v>
      </c>
      <c r="AB236" s="844">
        <f t="shared" si="157"/>
        <v>0</v>
      </c>
      <c r="AC236" s="844">
        <f t="shared" si="157"/>
        <v>0</v>
      </c>
      <c r="AD236" s="844">
        <f t="shared" si="157"/>
        <v>0</v>
      </c>
      <c r="AE236" s="844">
        <f t="shared" si="157"/>
        <v>0</v>
      </c>
      <c r="AF236" s="844">
        <f t="shared" si="157"/>
        <v>0</v>
      </c>
      <c r="AG236" s="844">
        <f t="shared" si="157"/>
        <v>0</v>
      </c>
      <c r="AH236" s="844">
        <f t="shared" si="157"/>
        <v>0</v>
      </c>
      <c r="AI236" s="844">
        <f t="shared" si="157"/>
        <v>0</v>
      </c>
      <c r="AJ236" s="844">
        <f t="shared" si="157"/>
        <v>0</v>
      </c>
      <c r="AK236" s="844">
        <f t="shared" si="157"/>
        <v>0</v>
      </c>
      <c r="AL236" s="844">
        <f t="shared" si="157"/>
        <v>0</v>
      </c>
      <c r="AM236" s="844">
        <f t="shared" si="157"/>
        <v>0</v>
      </c>
      <c r="AN236" s="844">
        <f t="shared" si="157"/>
        <v>0</v>
      </c>
      <c r="AO236" s="844">
        <f t="shared" si="157"/>
        <v>0</v>
      </c>
      <c r="AP236" s="844">
        <f t="shared" si="157"/>
        <v>0</v>
      </c>
      <c r="AQ236" s="844">
        <f t="shared" si="157"/>
        <v>0</v>
      </c>
      <c r="AR236" s="844">
        <f t="shared" si="157"/>
        <v>0</v>
      </c>
      <c r="AS236" s="844">
        <f t="shared" si="157"/>
        <v>0</v>
      </c>
      <c r="AT236" s="844">
        <f t="shared" si="157"/>
        <v>0</v>
      </c>
      <c r="AU236" s="844">
        <f t="shared" si="157"/>
        <v>0</v>
      </c>
      <c r="AV236" s="844">
        <f t="shared" si="157"/>
        <v>0</v>
      </c>
      <c r="AW236" s="844">
        <f t="shared" si="157"/>
        <v>0</v>
      </c>
      <c r="AX236" s="844">
        <f t="shared" si="157"/>
        <v>0</v>
      </c>
      <c r="AY236" s="844">
        <f t="shared" si="157"/>
        <v>0</v>
      </c>
      <c r="AZ236" s="844">
        <f t="shared" si="157"/>
        <v>0</v>
      </c>
      <c r="BA236" s="844">
        <f t="shared" si="157"/>
        <v>0</v>
      </c>
      <c r="BB236" s="844">
        <f t="shared" si="157"/>
        <v>0</v>
      </c>
      <c r="BC236" s="844">
        <f t="shared" si="157"/>
        <v>0</v>
      </c>
      <c r="BD236" s="844">
        <f t="shared" ref="BD236:DO236" si="159">SUM(BD227:BD235)</f>
        <v>0</v>
      </c>
      <c r="BE236" s="844">
        <f t="shared" si="159"/>
        <v>0</v>
      </c>
      <c r="BF236" s="844">
        <f t="shared" si="159"/>
        <v>0</v>
      </c>
      <c r="BG236" s="844">
        <f t="shared" si="159"/>
        <v>0</v>
      </c>
      <c r="BH236" s="844">
        <f t="shared" si="159"/>
        <v>0</v>
      </c>
      <c r="BI236" s="844">
        <f t="shared" si="159"/>
        <v>0</v>
      </c>
      <c r="BJ236" s="844">
        <f t="shared" si="159"/>
        <v>0</v>
      </c>
      <c r="BK236" s="844">
        <f t="shared" si="159"/>
        <v>0</v>
      </c>
      <c r="BL236" s="844">
        <f t="shared" si="159"/>
        <v>0</v>
      </c>
      <c r="BM236" s="844">
        <f t="shared" si="159"/>
        <v>0</v>
      </c>
      <c r="BN236" s="844">
        <f t="shared" si="159"/>
        <v>0</v>
      </c>
      <c r="BO236" s="844">
        <f t="shared" si="159"/>
        <v>0</v>
      </c>
      <c r="BP236" s="844">
        <f t="shared" si="159"/>
        <v>0</v>
      </c>
      <c r="BQ236" s="844">
        <f t="shared" si="159"/>
        <v>0</v>
      </c>
      <c r="BR236" s="844">
        <f t="shared" si="159"/>
        <v>0</v>
      </c>
      <c r="BS236" s="844">
        <f t="shared" si="159"/>
        <v>0</v>
      </c>
      <c r="BT236" s="844">
        <f t="shared" si="159"/>
        <v>0</v>
      </c>
      <c r="BU236" s="844">
        <f t="shared" si="159"/>
        <v>0</v>
      </c>
      <c r="BV236" s="844">
        <f t="shared" si="159"/>
        <v>0</v>
      </c>
      <c r="BW236" s="844">
        <f t="shared" si="159"/>
        <v>0</v>
      </c>
      <c r="BX236" s="844">
        <f t="shared" si="159"/>
        <v>0</v>
      </c>
      <c r="BY236" s="844">
        <f t="shared" si="159"/>
        <v>0</v>
      </c>
      <c r="BZ236" s="844">
        <f t="shared" si="159"/>
        <v>0</v>
      </c>
      <c r="CA236" s="844">
        <f t="shared" si="159"/>
        <v>0</v>
      </c>
      <c r="CB236" s="844">
        <f t="shared" si="159"/>
        <v>0</v>
      </c>
      <c r="CC236" s="844">
        <f t="shared" si="159"/>
        <v>0</v>
      </c>
      <c r="CD236" s="844">
        <f t="shared" si="159"/>
        <v>0</v>
      </c>
      <c r="CE236" s="844">
        <f t="shared" si="159"/>
        <v>0</v>
      </c>
      <c r="CF236" s="844">
        <f t="shared" si="159"/>
        <v>0</v>
      </c>
      <c r="CG236" s="844">
        <f t="shared" si="159"/>
        <v>0</v>
      </c>
      <c r="CH236" s="844">
        <f t="shared" si="159"/>
        <v>0</v>
      </c>
      <c r="CI236" s="844">
        <f t="shared" si="159"/>
        <v>0</v>
      </c>
      <c r="CJ236" s="844">
        <f t="shared" si="159"/>
        <v>0</v>
      </c>
      <c r="CK236" s="844">
        <f t="shared" si="159"/>
        <v>0</v>
      </c>
      <c r="CL236" s="844">
        <f t="shared" si="159"/>
        <v>0</v>
      </c>
      <c r="CM236" s="844">
        <f t="shared" si="159"/>
        <v>0</v>
      </c>
      <c r="CN236" s="844">
        <f t="shared" si="159"/>
        <v>0</v>
      </c>
      <c r="CO236" s="844">
        <f t="shared" si="159"/>
        <v>0</v>
      </c>
      <c r="CP236" s="844">
        <f t="shared" si="159"/>
        <v>0</v>
      </c>
      <c r="CQ236" s="844">
        <f t="shared" si="159"/>
        <v>0</v>
      </c>
      <c r="CR236" s="844">
        <f t="shared" si="159"/>
        <v>0</v>
      </c>
      <c r="CS236" s="844">
        <f t="shared" si="159"/>
        <v>0</v>
      </c>
      <c r="CT236" s="844">
        <f t="shared" si="159"/>
        <v>0</v>
      </c>
      <c r="CU236" s="844">
        <f t="shared" si="159"/>
        <v>0</v>
      </c>
      <c r="CV236" s="844">
        <f t="shared" si="159"/>
        <v>0</v>
      </c>
      <c r="CW236" s="844">
        <f t="shared" si="159"/>
        <v>0</v>
      </c>
      <c r="CX236" s="844">
        <f t="shared" si="159"/>
        <v>0</v>
      </c>
      <c r="CY236" s="844">
        <f t="shared" si="159"/>
        <v>0</v>
      </c>
      <c r="CZ236" s="844">
        <f t="shared" si="159"/>
        <v>0</v>
      </c>
      <c r="DA236" s="844">
        <f t="shared" si="159"/>
        <v>0</v>
      </c>
      <c r="DB236" s="844">
        <f t="shared" si="159"/>
        <v>0</v>
      </c>
      <c r="DC236" s="844">
        <f t="shared" si="159"/>
        <v>0</v>
      </c>
      <c r="DD236" s="844">
        <f t="shared" si="159"/>
        <v>0</v>
      </c>
      <c r="DE236" s="844">
        <f t="shared" si="159"/>
        <v>0</v>
      </c>
      <c r="DF236" s="844">
        <f t="shared" si="159"/>
        <v>0</v>
      </c>
      <c r="DG236" s="844">
        <f t="shared" si="159"/>
        <v>0</v>
      </c>
      <c r="DH236" s="844">
        <f t="shared" si="159"/>
        <v>0</v>
      </c>
      <c r="DI236" s="844">
        <f t="shared" si="159"/>
        <v>0</v>
      </c>
      <c r="DJ236" s="844">
        <f t="shared" si="159"/>
        <v>0</v>
      </c>
      <c r="DK236" s="844">
        <f t="shared" si="159"/>
        <v>0</v>
      </c>
      <c r="DL236" s="844">
        <f t="shared" si="159"/>
        <v>0</v>
      </c>
      <c r="DM236" s="844">
        <f t="shared" si="159"/>
        <v>0</v>
      </c>
      <c r="DN236" s="844">
        <f t="shared" si="159"/>
        <v>0</v>
      </c>
      <c r="DO236" s="844">
        <f t="shared" si="159"/>
        <v>0</v>
      </c>
      <c r="DP236" s="844">
        <f t="shared" ref="DP236:EX236" si="160">SUM(DP227:DP235)</f>
        <v>0</v>
      </c>
      <c r="DQ236" s="844">
        <f t="shared" si="160"/>
        <v>0</v>
      </c>
      <c r="DR236" s="844">
        <f t="shared" si="160"/>
        <v>0</v>
      </c>
      <c r="DS236" s="844">
        <f t="shared" si="160"/>
        <v>0</v>
      </c>
      <c r="DT236" s="844">
        <f t="shared" si="160"/>
        <v>0</v>
      </c>
      <c r="DU236" s="844">
        <f t="shared" si="160"/>
        <v>0</v>
      </c>
      <c r="DV236" s="844">
        <f t="shared" si="160"/>
        <v>0</v>
      </c>
      <c r="DW236" s="844">
        <f t="shared" si="160"/>
        <v>0</v>
      </c>
      <c r="DX236" s="844">
        <f t="shared" si="160"/>
        <v>0</v>
      </c>
      <c r="DY236" s="844">
        <f t="shared" si="160"/>
        <v>0</v>
      </c>
      <c r="DZ236" s="844">
        <f t="shared" si="160"/>
        <v>0</v>
      </c>
      <c r="EA236" s="844">
        <f t="shared" si="160"/>
        <v>0</v>
      </c>
      <c r="EB236" s="844">
        <f t="shared" si="160"/>
        <v>0</v>
      </c>
      <c r="EC236" s="844">
        <f t="shared" si="160"/>
        <v>0</v>
      </c>
      <c r="ED236" s="844">
        <f t="shared" si="160"/>
        <v>0</v>
      </c>
      <c r="EE236" s="844">
        <f t="shared" si="160"/>
        <v>0</v>
      </c>
      <c r="EF236" s="844">
        <f t="shared" si="160"/>
        <v>0</v>
      </c>
      <c r="EG236" s="844">
        <f t="shared" si="160"/>
        <v>0</v>
      </c>
      <c r="EH236" s="844">
        <f t="shared" si="160"/>
        <v>0</v>
      </c>
      <c r="EI236" s="844">
        <f t="shared" si="160"/>
        <v>0</v>
      </c>
      <c r="EJ236" s="844">
        <f t="shared" si="160"/>
        <v>0</v>
      </c>
      <c r="EK236" s="844">
        <f t="shared" si="160"/>
        <v>0</v>
      </c>
      <c r="EL236" s="844">
        <f t="shared" si="160"/>
        <v>0</v>
      </c>
      <c r="EM236" s="844">
        <f t="shared" si="160"/>
        <v>0</v>
      </c>
      <c r="EN236" s="844">
        <f t="shared" si="160"/>
        <v>0</v>
      </c>
      <c r="EO236" s="844">
        <f t="shared" si="160"/>
        <v>0</v>
      </c>
      <c r="EP236" s="844">
        <f t="shared" si="160"/>
        <v>0</v>
      </c>
      <c r="EQ236" s="844">
        <f t="shared" si="160"/>
        <v>0</v>
      </c>
      <c r="ER236" s="844">
        <f t="shared" si="160"/>
        <v>0</v>
      </c>
      <c r="ES236" s="844">
        <f t="shared" si="160"/>
        <v>0</v>
      </c>
      <c r="ET236" s="844">
        <f t="shared" si="160"/>
        <v>0</v>
      </c>
      <c r="EU236" s="844">
        <f t="shared" si="160"/>
        <v>0</v>
      </c>
      <c r="EV236" s="844">
        <f t="shared" si="160"/>
        <v>0</v>
      </c>
      <c r="EW236" s="844">
        <f t="shared" si="160"/>
        <v>0</v>
      </c>
      <c r="EX236" s="844">
        <f t="shared" si="160"/>
        <v>0</v>
      </c>
      <c r="EY236" s="847">
        <f t="shared" ref="EY236:FL236" si="161">SUM(EY227:EY235)</f>
        <v>0</v>
      </c>
      <c r="EZ236" s="534">
        <f t="shared" si="161"/>
        <v>0</v>
      </c>
      <c r="FA236" s="534">
        <f t="shared" si="161"/>
        <v>0</v>
      </c>
      <c r="FB236" s="534">
        <f t="shared" si="161"/>
        <v>0</v>
      </c>
      <c r="FC236" s="534">
        <f t="shared" si="161"/>
        <v>0</v>
      </c>
      <c r="FD236" s="534">
        <f t="shared" si="161"/>
        <v>0</v>
      </c>
      <c r="FE236" s="534">
        <f t="shared" si="161"/>
        <v>0</v>
      </c>
      <c r="FF236" s="534">
        <f t="shared" si="161"/>
        <v>0</v>
      </c>
      <c r="FG236" s="534">
        <f t="shared" si="161"/>
        <v>0</v>
      </c>
      <c r="FH236" s="534">
        <f t="shared" si="161"/>
        <v>0</v>
      </c>
      <c r="FI236" s="534">
        <f t="shared" si="161"/>
        <v>0</v>
      </c>
      <c r="FJ236" s="534">
        <f t="shared" si="161"/>
        <v>0</v>
      </c>
      <c r="FK236" s="534">
        <f t="shared" si="161"/>
        <v>0</v>
      </c>
      <c r="FL236" s="534">
        <f t="shared" si="161"/>
        <v>0</v>
      </c>
    </row>
    <row r="237" spans="1:168" ht="13.95" hidden="1" customHeight="1" x14ac:dyDescent="0.25">
      <c r="A237" s="1459" t="s">
        <v>112</v>
      </c>
      <c r="B237" s="115"/>
      <c r="C237" s="116"/>
      <c r="D237" s="431"/>
      <c r="E237" s="431"/>
      <c r="F237" s="431"/>
      <c r="G237" s="116"/>
      <c r="H237" s="116"/>
      <c r="I237" s="431"/>
      <c r="J237" s="703"/>
      <c r="K237" s="703"/>
      <c r="L237" s="703"/>
      <c r="M237" s="703"/>
      <c r="N237" s="703"/>
      <c r="O237" s="703"/>
      <c r="P237" s="703"/>
      <c r="Q237" s="703"/>
      <c r="R237" s="703"/>
      <c r="S237" s="703"/>
      <c r="T237" s="703"/>
      <c r="U237" s="703"/>
      <c r="V237" s="703"/>
      <c r="W237" s="703"/>
      <c r="X237" s="703"/>
      <c r="Y237" s="703"/>
      <c r="Z237" s="703"/>
      <c r="AA237" s="703"/>
      <c r="AB237" s="703"/>
      <c r="AC237" s="703"/>
      <c r="AD237" s="703"/>
      <c r="AE237" s="703"/>
      <c r="AF237" s="703"/>
      <c r="AG237" s="703"/>
      <c r="AH237" s="703"/>
      <c r="AI237" s="703"/>
      <c r="AJ237" s="703"/>
      <c r="AK237" s="703"/>
      <c r="AL237" s="703"/>
      <c r="AM237" s="703"/>
      <c r="AN237" s="703"/>
      <c r="AO237" s="703"/>
      <c r="AP237" s="703"/>
      <c r="AQ237" s="703"/>
      <c r="AR237" s="703"/>
      <c r="AS237" s="703"/>
      <c r="AT237" s="703"/>
      <c r="AU237" s="703"/>
      <c r="AV237" s="703"/>
      <c r="AW237" s="703"/>
      <c r="AX237" s="703"/>
      <c r="AY237" s="703"/>
      <c r="AZ237" s="703"/>
      <c r="BA237" s="703"/>
      <c r="BB237" s="703"/>
      <c r="BC237" s="703"/>
      <c r="BD237" s="703"/>
      <c r="BE237" s="703"/>
      <c r="BF237" s="703"/>
      <c r="BG237" s="703"/>
      <c r="BH237" s="703"/>
      <c r="BI237" s="703"/>
      <c r="BJ237" s="703"/>
      <c r="BK237" s="703"/>
      <c r="BL237" s="703"/>
      <c r="BM237" s="703"/>
      <c r="BN237" s="703"/>
      <c r="BO237" s="703"/>
      <c r="BP237" s="703"/>
      <c r="BQ237" s="703"/>
      <c r="BR237" s="703"/>
      <c r="BS237" s="703"/>
      <c r="BT237" s="703"/>
      <c r="BU237" s="703"/>
      <c r="BV237" s="703"/>
      <c r="BW237" s="703"/>
      <c r="BX237" s="703"/>
      <c r="BY237" s="703"/>
      <c r="BZ237" s="703"/>
      <c r="CA237" s="703"/>
      <c r="CB237" s="703"/>
      <c r="CC237" s="703"/>
      <c r="CD237" s="703"/>
      <c r="CE237" s="703"/>
      <c r="CF237" s="703"/>
      <c r="CG237" s="703"/>
      <c r="CH237" s="703"/>
      <c r="CI237" s="703"/>
      <c r="CJ237" s="703"/>
      <c r="CK237" s="703"/>
      <c r="CL237" s="703"/>
      <c r="CM237" s="703"/>
      <c r="CN237" s="703"/>
      <c r="CO237" s="703"/>
      <c r="CP237" s="703"/>
      <c r="CQ237" s="703"/>
      <c r="CR237" s="703"/>
      <c r="CS237" s="703"/>
      <c r="CT237" s="703"/>
      <c r="CU237" s="703"/>
      <c r="CV237" s="703"/>
      <c r="CW237" s="703"/>
      <c r="CX237" s="703"/>
      <c r="CY237" s="703"/>
      <c r="CZ237" s="703"/>
      <c r="DA237" s="703"/>
      <c r="DB237" s="703"/>
      <c r="DC237" s="703"/>
      <c r="DD237" s="703"/>
      <c r="DE237" s="703"/>
      <c r="DF237" s="703"/>
      <c r="DG237" s="703"/>
      <c r="DH237" s="703"/>
      <c r="DI237" s="703"/>
      <c r="DJ237" s="703"/>
      <c r="DK237" s="703"/>
      <c r="DL237" s="703"/>
      <c r="DM237" s="703"/>
      <c r="DN237" s="703"/>
      <c r="DO237" s="703"/>
      <c r="DP237" s="703"/>
      <c r="DQ237" s="703"/>
      <c r="DR237" s="703"/>
      <c r="DS237" s="703"/>
      <c r="DT237" s="703"/>
      <c r="DU237" s="703"/>
      <c r="DV237" s="703"/>
      <c r="DW237" s="703"/>
      <c r="DX237" s="703"/>
      <c r="DY237" s="703"/>
      <c r="DZ237" s="703"/>
      <c r="EA237" s="703"/>
      <c r="EB237" s="703"/>
      <c r="EC237" s="703"/>
      <c r="ED237" s="703"/>
      <c r="EE237" s="703"/>
      <c r="EF237" s="703"/>
      <c r="EG237" s="703"/>
      <c r="EH237" s="703"/>
      <c r="EI237" s="703"/>
      <c r="EJ237" s="703"/>
      <c r="EK237" s="703"/>
      <c r="EL237" s="703"/>
      <c r="EM237" s="703"/>
      <c r="EN237" s="703"/>
      <c r="EO237" s="703"/>
      <c r="EP237" s="703"/>
      <c r="EQ237" s="703"/>
      <c r="ER237" s="703"/>
      <c r="ES237" s="703"/>
      <c r="ET237" s="703"/>
      <c r="EU237" s="703"/>
      <c r="EV237" s="703"/>
      <c r="EW237" s="703"/>
      <c r="EX237" s="703"/>
      <c r="EY237" s="927">
        <f t="shared" ref="EY237:EY251" si="162">SUM(J237:EX237)</f>
        <v>0</v>
      </c>
      <c r="EZ237" s="431">
        <f>блюда!EZ27</f>
        <v>0</v>
      </c>
      <c r="FA237" s="431">
        <f>блюда!FA27</f>
        <v>0</v>
      </c>
      <c r="FB237" s="431">
        <f>блюда!FB27</f>
        <v>0</v>
      </c>
      <c r="FC237" s="431">
        <f>блюда!FC27</f>
        <v>0</v>
      </c>
      <c r="FD237" s="431">
        <f>блюда!FD27</f>
        <v>0</v>
      </c>
      <c r="FE237" s="431">
        <f>блюда!FE27</f>
        <v>0</v>
      </c>
      <c r="FF237" s="431">
        <f>блюда!FF27</f>
        <v>0</v>
      </c>
      <c r="FG237" s="431">
        <f>блюда!FG27</f>
        <v>0</v>
      </c>
      <c r="FH237" s="431">
        <f>блюда!FH27</f>
        <v>0</v>
      </c>
      <c r="FI237" s="431">
        <f>блюда!FI27</f>
        <v>0</v>
      </c>
      <c r="FJ237" s="431">
        <f>блюда!FJ27</f>
        <v>0</v>
      </c>
      <c r="FK237" s="431">
        <f>блюда!FK27</f>
        <v>0</v>
      </c>
      <c r="FL237" s="431">
        <f>блюда!FL27</f>
        <v>0</v>
      </c>
    </row>
    <row r="238" spans="1:168" ht="13.95" hidden="1" customHeight="1" x14ac:dyDescent="0.25">
      <c r="A238" s="1460"/>
      <c r="B238" s="115"/>
      <c r="C238" s="116"/>
      <c r="D238" s="431"/>
      <c r="E238" s="431"/>
      <c r="F238" s="431"/>
      <c r="G238" s="116"/>
      <c r="H238" s="116"/>
      <c r="I238" s="431"/>
      <c r="J238" s="703"/>
      <c r="K238" s="703"/>
      <c r="L238" s="703"/>
      <c r="M238" s="703"/>
      <c r="N238" s="703"/>
      <c r="O238" s="703"/>
      <c r="P238" s="703"/>
      <c r="Q238" s="703"/>
      <c r="R238" s="703"/>
      <c r="S238" s="703"/>
      <c r="T238" s="703"/>
      <c r="U238" s="703"/>
      <c r="V238" s="703"/>
      <c r="W238" s="703"/>
      <c r="X238" s="703"/>
      <c r="Y238" s="703"/>
      <c r="Z238" s="703"/>
      <c r="AA238" s="703"/>
      <c r="AB238" s="703"/>
      <c r="AC238" s="703"/>
      <c r="AD238" s="703"/>
      <c r="AE238" s="703"/>
      <c r="AF238" s="703"/>
      <c r="AG238" s="703"/>
      <c r="AH238" s="703"/>
      <c r="AI238" s="703"/>
      <c r="AJ238" s="703"/>
      <c r="AK238" s="703"/>
      <c r="AL238" s="703"/>
      <c r="AM238" s="703"/>
      <c r="AN238" s="703"/>
      <c r="AO238" s="703"/>
      <c r="AP238" s="703"/>
      <c r="AQ238" s="703"/>
      <c r="AR238" s="703"/>
      <c r="AS238" s="703"/>
      <c r="AT238" s="703"/>
      <c r="AU238" s="703"/>
      <c r="AV238" s="703"/>
      <c r="AW238" s="703"/>
      <c r="AX238" s="703"/>
      <c r="AY238" s="703"/>
      <c r="AZ238" s="703"/>
      <c r="BA238" s="703"/>
      <c r="BB238" s="703"/>
      <c r="BC238" s="703"/>
      <c r="BD238" s="703"/>
      <c r="BE238" s="703"/>
      <c r="BF238" s="703"/>
      <c r="BG238" s="703"/>
      <c r="BH238" s="703"/>
      <c r="BI238" s="703"/>
      <c r="BJ238" s="703"/>
      <c r="BK238" s="703"/>
      <c r="BL238" s="703"/>
      <c r="BM238" s="703"/>
      <c r="BN238" s="703"/>
      <c r="BO238" s="703"/>
      <c r="BP238" s="703"/>
      <c r="BQ238" s="703"/>
      <c r="BR238" s="703"/>
      <c r="BS238" s="703"/>
      <c r="BT238" s="703"/>
      <c r="BU238" s="703"/>
      <c r="BV238" s="703"/>
      <c r="BW238" s="703"/>
      <c r="BX238" s="703"/>
      <c r="BY238" s="703"/>
      <c r="BZ238" s="703"/>
      <c r="CA238" s="703"/>
      <c r="CB238" s="703"/>
      <c r="CC238" s="703"/>
      <c r="CD238" s="703"/>
      <c r="CE238" s="703"/>
      <c r="CF238" s="703"/>
      <c r="CG238" s="703"/>
      <c r="CH238" s="703"/>
      <c r="CI238" s="703"/>
      <c r="CJ238" s="703"/>
      <c r="CK238" s="703"/>
      <c r="CL238" s="703"/>
      <c r="CM238" s="703"/>
      <c r="CN238" s="703"/>
      <c r="CO238" s="703"/>
      <c r="CP238" s="703"/>
      <c r="CQ238" s="703"/>
      <c r="CR238" s="703"/>
      <c r="CS238" s="703"/>
      <c r="CT238" s="703"/>
      <c r="CU238" s="703"/>
      <c r="CV238" s="703"/>
      <c r="CW238" s="703"/>
      <c r="CX238" s="703"/>
      <c r="CY238" s="703"/>
      <c r="CZ238" s="703"/>
      <c r="DA238" s="703"/>
      <c r="DB238" s="703"/>
      <c r="DC238" s="703"/>
      <c r="DD238" s="703"/>
      <c r="DE238" s="703"/>
      <c r="DF238" s="703"/>
      <c r="DG238" s="703"/>
      <c r="DH238" s="703"/>
      <c r="DI238" s="703"/>
      <c r="DJ238" s="703"/>
      <c r="DK238" s="703"/>
      <c r="DL238" s="703"/>
      <c r="DM238" s="703"/>
      <c r="DN238" s="703"/>
      <c r="DO238" s="703"/>
      <c r="DP238" s="703"/>
      <c r="DQ238" s="703"/>
      <c r="DR238" s="703"/>
      <c r="DS238" s="703"/>
      <c r="DT238" s="703"/>
      <c r="DU238" s="703"/>
      <c r="DV238" s="703"/>
      <c r="DW238" s="703"/>
      <c r="DX238" s="703"/>
      <c r="DY238" s="703"/>
      <c r="DZ238" s="703"/>
      <c r="EA238" s="703"/>
      <c r="EB238" s="703"/>
      <c r="EC238" s="703"/>
      <c r="ED238" s="703"/>
      <c r="EE238" s="703"/>
      <c r="EF238" s="703"/>
      <c r="EG238" s="703"/>
      <c r="EH238" s="703"/>
      <c r="EI238" s="703"/>
      <c r="EJ238" s="703"/>
      <c r="EK238" s="703"/>
      <c r="EL238" s="703"/>
      <c r="EM238" s="703"/>
      <c r="EN238" s="703"/>
      <c r="EO238" s="703"/>
      <c r="EP238" s="703"/>
      <c r="EQ238" s="703"/>
      <c r="ER238" s="703"/>
      <c r="ES238" s="703"/>
      <c r="ET238" s="703"/>
      <c r="EU238" s="703"/>
      <c r="EV238" s="703"/>
      <c r="EW238" s="703"/>
      <c r="EX238" s="703"/>
      <c r="EY238" s="927">
        <f t="shared" si="162"/>
        <v>0</v>
      </c>
      <c r="EZ238" s="431">
        <f>блюда!EZ79</f>
        <v>0</v>
      </c>
      <c r="FA238" s="431">
        <f>блюда!FA79</f>
        <v>0</v>
      </c>
      <c r="FB238" s="431">
        <f>блюда!FB79</f>
        <v>0</v>
      </c>
      <c r="FC238" s="431">
        <f>блюда!FC79</f>
        <v>0</v>
      </c>
      <c r="FD238" s="431">
        <f>блюда!FD79</f>
        <v>0</v>
      </c>
      <c r="FE238" s="431">
        <f>блюда!FE79</f>
        <v>0</v>
      </c>
      <c r="FF238" s="431">
        <f>блюда!FF79</f>
        <v>0</v>
      </c>
      <c r="FG238" s="431">
        <f>блюда!FG79</f>
        <v>0</v>
      </c>
      <c r="FH238" s="431">
        <f>блюда!FH79</f>
        <v>0</v>
      </c>
      <c r="FI238" s="431">
        <f>блюда!FI79</f>
        <v>0</v>
      </c>
      <c r="FJ238" s="431">
        <f>блюда!FJ79</f>
        <v>0</v>
      </c>
      <c r="FK238" s="431">
        <f>блюда!FK79</f>
        <v>0</v>
      </c>
      <c r="FL238" s="431">
        <f>блюда!FL79</f>
        <v>0</v>
      </c>
    </row>
    <row r="239" spans="1:168" ht="13.95" hidden="1" customHeight="1" x14ac:dyDescent="0.25">
      <c r="A239" s="1460"/>
      <c r="B239" s="115"/>
      <c r="C239" s="116"/>
      <c r="D239" s="431"/>
      <c r="E239" s="431"/>
      <c r="F239" s="431"/>
      <c r="G239" s="116"/>
      <c r="H239" s="116"/>
      <c r="I239" s="431"/>
      <c r="J239" s="703"/>
      <c r="K239" s="703"/>
      <c r="L239" s="703"/>
      <c r="M239" s="703"/>
      <c r="N239" s="703"/>
      <c r="O239" s="703"/>
      <c r="P239" s="703"/>
      <c r="Q239" s="703"/>
      <c r="R239" s="703"/>
      <c r="S239" s="703"/>
      <c r="T239" s="703"/>
      <c r="U239" s="703"/>
      <c r="V239" s="703"/>
      <c r="W239" s="703"/>
      <c r="X239" s="703"/>
      <c r="Y239" s="703"/>
      <c r="Z239" s="703"/>
      <c r="AA239" s="703"/>
      <c r="AB239" s="703"/>
      <c r="AC239" s="703"/>
      <c r="AD239" s="703"/>
      <c r="AE239" s="703"/>
      <c r="AF239" s="703"/>
      <c r="AG239" s="703"/>
      <c r="AH239" s="703"/>
      <c r="AI239" s="703"/>
      <c r="AJ239" s="703"/>
      <c r="AK239" s="703"/>
      <c r="AL239" s="703"/>
      <c r="AM239" s="703"/>
      <c r="AN239" s="703"/>
      <c r="AO239" s="703"/>
      <c r="AP239" s="703"/>
      <c r="AQ239" s="703"/>
      <c r="AR239" s="703"/>
      <c r="AS239" s="703"/>
      <c r="AT239" s="703"/>
      <c r="AU239" s="703"/>
      <c r="AV239" s="703"/>
      <c r="AW239" s="703"/>
      <c r="AX239" s="703"/>
      <c r="AY239" s="703"/>
      <c r="AZ239" s="703"/>
      <c r="BA239" s="703"/>
      <c r="BB239" s="703"/>
      <c r="BC239" s="703"/>
      <c r="BD239" s="703"/>
      <c r="BE239" s="703"/>
      <c r="BF239" s="703"/>
      <c r="BG239" s="703"/>
      <c r="BH239" s="703"/>
      <c r="BI239" s="703"/>
      <c r="BJ239" s="703"/>
      <c r="BK239" s="703"/>
      <c r="BL239" s="703"/>
      <c r="BM239" s="703"/>
      <c r="BN239" s="703"/>
      <c r="BO239" s="703"/>
      <c r="BP239" s="703"/>
      <c r="BQ239" s="703"/>
      <c r="BR239" s="703"/>
      <c r="BS239" s="703"/>
      <c r="BT239" s="703"/>
      <c r="BU239" s="703"/>
      <c r="BV239" s="703"/>
      <c r="BW239" s="703"/>
      <c r="BX239" s="703"/>
      <c r="BY239" s="703"/>
      <c r="BZ239" s="703"/>
      <c r="CA239" s="703"/>
      <c r="CB239" s="703"/>
      <c r="CC239" s="703"/>
      <c r="CD239" s="703"/>
      <c r="CE239" s="703"/>
      <c r="CF239" s="703"/>
      <c r="CG239" s="703"/>
      <c r="CH239" s="703"/>
      <c r="CI239" s="703"/>
      <c r="CJ239" s="703"/>
      <c r="CK239" s="703"/>
      <c r="CL239" s="703"/>
      <c r="CM239" s="703"/>
      <c r="CN239" s="703"/>
      <c r="CO239" s="703"/>
      <c r="CP239" s="703"/>
      <c r="CQ239" s="703"/>
      <c r="CR239" s="703"/>
      <c r="CS239" s="703"/>
      <c r="CT239" s="703"/>
      <c r="CU239" s="703"/>
      <c r="CV239" s="703"/>
      <c r="CW239" s="703"/>
      <c r="CX239" s="703"/>
      <c r="CY239" s="703"/>
      <c r="CZ239" s="703"/>
      <c r="DA239" s="703"/>
      <c r="DB239" s="703"/>
      <c r="DC239" s="703"/>
      <c r="DD239" s="703"/>
      <c r="DE239" s="703"/>
      <c r="DF239" s="703"/>
      <c r="DG239" s="703"/>
      <c r="DH239" s="703"/>
      <c r="DI239" s="703"/>
      <c r="DJ239" s="703"/>
      <c r="DK239" s="703"/>
      <c r="DL239" s="703"/>
      <c r="DM239" s="703"/>
      <c r="DN239" s="703"/>
      <c r="DO239" s="703"/>
      <c r="DP239" s="703"/>
      <c r="DQ239" s="703"/>
      <c r="DR239" s="703"/>
      <c r="DS239" s="703"/>
      <c r="DT239" s="703"/>
      <c r="DU239" s="703"/>
      <c r="DV239" s="703"/>
      <c r="DW239" s="703"/>
      <c r="DX239" s="703"/>
      <c r="DY239" s="703"/>
      <c r="DZ239" s="703"/>
      <c r="EA239" s="703"/>
      <c r="EB239" s="703"/>
      <c r="EC239" s="703"/>
      <c r="ED239" s="703"/>
      <c r="EE239" s="703"/>
      <c r="EF239" s="703"/>
      <c r="EG239" s="703"/>
      <c r="EH239" s="703"/>
      <c r="EI239" s="703"/>
      <c r="EJ239" s="703"/>
      <c r="EK239" s="703"/>
      <c r="EL239" s="703"/>
      <c r="EM239" s="703"/>
      <c r="EN239" s="703"/>
      <c r="EO239" s="703"/>
      <c r="EP239" s="703"/>
      <c r="EQ239" s="703"/>
      <c r="ER239" s="703"/>
      <c r="ES239" s="703"/>
      <c r="ET239" s="703"/>
      <c r="EU239" s="703"/>
      <c r="EV239" s="703"/>
      <c r="EW239" s="703"/>
      <c r="EX239" s="703"/>
      <c r="EY239" s="927">
        <f t="shared" si="162"/>
        <v>0</v>
      </c>
      <c r="EZ239" s="431">
        <f>блюда!EZ219</f>
        <v>0</v>
      </c>
      <c r="FA239" s="431">
        <f>блюда!FA219</f>
        <v>0</v>
      </c>
      <c r="FB239" s="431">
        <f>блюда!FB219</f>
        <v>0</v>
      </c>
      <c r="FC239" s="431">
        <f>блюда!FC219</f>
        <v>0</v>
      </c>
      <c r="FD239" s="431">
        <f>блюда!FD219</f>
        <v>0</v>
      </c>
      <c r="FE239" s="431">
        <f>блюда!FE219</f>
        <v>0</v>
      </c>
      <c r="FF239" s="431">
        <f>блюда!FF219</f>
        <v>0</v>
      </c>
      <c r="FG239" s="431">
        <f>блюда!FG219</f>
        <v>0</v>
      </c>
      <c r="FH239" s="431">
        <f>блюда!FH219</f>
        <v>0</v>
      </c>
      <c r="FI239" s="431">
        <f>блюда!FI219</f>
        <v>0</v>
      </c>
      <c r="FJ239" s="431">
        <f>блюда!FJ219</f>
        <v>0</v>
      </c>
      <c r="FK239" s="431">
        <f>блюда!FK219</f>
        <v>0</v>
      </c>
      <c r="FL239" s="431">
        <f>блюда!FL219</f>
        <v>0</v>
      </c>
    </row>
    <row r="240" spans="1:168" ht="13.95" hidden="1" customHeight="1" x14ac:dyDescent="0.25">
      <c r="A240" s="1460"/>
      <c r="B240" s="115"/>
      <c r="C240" s="116"/>
      <c r="D240" s="431"/>
      <c r="E240" s="431"/>
      <c r="F240" s="431"/>
      <c r="G240" s="116"/>
      <c r="H240" s="116"/>
      <c r="I240" s="431"/>
      <c r="J240" s="703"/>
      <c r="K240" s="703"/>
      <c r="L240" s="703"/>
      <c r="M240" s="703"/>
      <c r="N240" s="703"/>
      <c r="O240" s="703"/>
      <c r="P240" s="703"/>
      <c r="Q240" s="703"/>
      <c r="R240" s="703"/>
      <c r="S240" s="703"/>
      <c r="T240" s="703"/>
      <c r="U240" s="703"/>
      <c r="V240" s="703"/>
      <c r="W240" s="703"/>
      <c r="X240" s="703"/>
      <c r="Y240" s="703"/>
      <c r="Z240" s="703"/>
      <c r="AA240" s="703"/>
      <c r="AB240" s="703"/>
      <c r="AC240" s="703"/>
      <c r="AD240" s="703"/>
      <c r="AE240" s="703"/>
      <c r="AF240" s="703"/>
      <c r="AG240" s="703"/>
      <c r="AH240" s="703"/>
      <c r="AI240" s="703"/>
      <c r="AJ240" s="703"/>
      <c r="AK240" s="703"/>
      <c r="AL240" s="703"/>
      <c r="AM240" s="703"/>
      <c r="AN240" s="703"/>
      <c r="AO240" s="703"/>
      <c r="AP240" s="703"/>
      <c r="AQ240" s="703"/>
      <c r="AR240" s="703"/>
      <c r="AS240" s="703"/>
      <c r="AT240" s="703"/>
      <c r="AU240" s="703"/>
      <c r="AV240" s="703"/>
      <c r="AW240" s="703"/>
      <c r="AX240" s="703"/>
      <c r="AY240" s="703"/>
      <c r="AZ240" s="703"/>
      <c r="BA240" s="703"/>
      <c r="BB240" s="703"/>
      <c r="BC240" s="703"/>
      <c r="BD240" s="703"/>
      <c r="BE240" s="703"/>
      <c r="BF240" s="703"/>
      <c r="BG240" s="703"/>
      <c r="BH240" s="703"/>
      <c r="BI240" s="703"/>
      <c r="BJ240" s="703"/>
      <c r="BK240" s="703"/>
      <c r="BL240" s="703"/>
      <c r="BM240" s="703"/>
      <c r="BN240" s="703"/>
      <c r="BO240" s="703"/>
      <c r="BP240" s="703"/>
      <c r="BQ240" s="703"/>
      <c r="BR240" s="703"/>
      <c r="BS240" s="703"/>
      <c r="BT240" s="703"/>
      <c r="BU240" s="703"/>
      <c r="BV240" s="703"/>
      <c r="BW240" s="703"/>
      <c r="BX240" s="703"/>
      <c r="BY240" s="703"/>
      <c r="BZ240" s="703"/>
      <c r="CA240" s="703"/>
      <c r="CB240" s="703"/>
      <c r="CC240" s="703"/>
      <c r="CD240" s="703"/>
      <c r="CE240" s="703"/>
      <c r="CF240" s="703"/>
      <c r="CG240" s="703"/>
      <c r="CH240" s="703"/>
      <c r="CI240" s="703"/>
      <c r="CJ240" s="703"/>
      <c r="CK240" s="703"/>
      <c r="CL240" s="703"/>
      <c r="CM240" s="703"/>
      <c r="CN240" s="703"/>
      <c r="CO240" s="703"/>
      <c r="CP240" s="703"/>
      <c r="CQ240" s="703"/>
      <c r="CR240" s="703"/>
      <c r="CS240" s="703"/>
      <c r="CT240" s="703"/>
      <c r="CU240" s="703"/>
      <c r="CV240" s="703"/>
      <c r="CW240" s="703"/>
      <c r="CX240" s="703"/>
      <c r="CY240" s="703"/>
      <c r="CZ240" s="703"/>
      <c r="DA240" s="703"/>
      <c r="DB240" s="703"/>
      <c r="DC240" s="703"/>
      <c r="DD240" s="703"/>
      <c r="DE240" s="703"/>
      <c r="DF240" s="703"/>
      <c r="DG240" s="703"/>
      <c r="DH240" s="703"/>
      <c r="DI240" s="703"/>
      <c r="DJ240" s="703"/>
      <c r="DK240" s="703"/>
      <c r="DL240" s="703"/>
      <c r="DM240" s="703"/>
      <c r="DN240" s="703"/>
      <c r="DO240" s="703"/>
      <c r="DP240" s="703"/>
      <c r="DQ240" s="703"/>
      <c r="DR240" s="703"/>
      <c r="DS240" s="703"/>
      <c r="DT240" s="703"/>
      <c r="DU240" s="703"/>
      <c r="DV240" s="703"/>
      <c r="DW240" s="703"/>
      <c r="DX240" s="703"/>
      <c r="DY240" s="703"/>
      <c r="DZ240" s="703"/>
      <c r="EA240" s="703"/>
      <c r="EB240" s="703"/>
      <c r="EC240" s="703"/>
      <c r="ED240" s="703"/>
      <c r="EE240" s="703"/>
      <c r="EF240" s="703"/>
      <c r="EG240" s="703"/>
      <c r="EH240" s="703"/>
      <c r="EI240" s="703"/>
      <c r="EJ240" s="703"/>
      <c r="EK240" s="703"/>
      <c r="EL240" s="703"/>
      <c r="EM240" s="703"/>
      <c r="EN240" s="703"/>
      <c r="EO240" s="703"/>
      <c r="EP240" s="703"/>
      <c r="EQ240" s="703"/>
      <c r="ER240" s="703"/>
      <c r="ES240" s="703"/>
      <c r="ET240" s="703"/>
      <c r="EU240" s="703"/>
      <c r="EV240" s="703"/>
      <c r="EW240" s="703"/>
      <c r="EX240" s="703"/>
      <c r="EY240" s="927">
        <f t="shared" si="162"/>
        <v>0</v>
      </c>
      <c r="EZ240" s="431">
        <f>блюда!EZ226</f>
        <v>0</v>
      </c>
      <c r="FA240" s="431">
        <f>блюда!FA226</f>
        <v>0</v>
      </c>
      <c r="FB240" s="431">
        <f>блюда!FB226</f>
        <v>0</v>
      </c>
      <c r="FC240" s="431">
        <f>блюда!FC226</f>
        <v>0</v>
      </c>
      <c r="FD240" s="431">
        <f>блюда!FD226</f>
        <v>0</v>
      </c>
      <c r="FE240" s="431">
        <f>блюда!FE226</f>
        <v>0</v>
      </c>
      <c r="FF240" s="431">
        <f>блюда!FF226</f>
        <v>0</v>
      </c>
      <c r="FG240" s="431">
        <f>блюда!FG226</f>
        <v>0</v>
      </c>
      <c r="FH240" s="431">
        <f>блюда!FH226</f>
        <v>0</v>
      </c>
      <c r="FI240" s="431">
        <f>блюда!FI226</f>
        <v>0</v>
      </c>
      <c r="FJ240" s="431">
        <f>блюда!FJ226</f>
        <v>0</v>
      </c>
      <c r="FK240" s="431">
        <f>блюда!FK226</f>
        <v>0</v>
      </c>
      <c r="FL240" s="431">
        <f>блюда!FL226</f>
        <v>0</v>
      </c>
    </row>
    <row r="241" spans="1:168" ht="13.95" hidden="1" customHeight="1" x14ac:dyDescent="0.25">
      <c r="A241" s="1460"/>
      <c r="B241" s="115"/>
      <c r="C241" s="116"/>
      <c r="D241" s="431"/>
      <c r="E241" s="431"/>
      <c r="F241" s="431"/>
      <c r="G241" s="116"/>
      <c r="H241" s="116"/>
      <c r="I241" s="431"/>
      <c r="J241" s="703"/>
      <c r="K241" s="703"/>
      <c r="L241" s="703"/>
      <c r="M241" s="703"/>
      <c r="N241" s="703"/>
      <c r="O241" s="703"/>
      <c r="P241" s="703"/>
      <c r="Q241" s="703"/>
      <c r="R241" s="703"/>
      <c r="S241" s="703"/>
      <c r="T241" s="703"/>
      <c r="U241" s="703"/>
      <c r="V241" s="703"/>
      <c r="W241" s="703"/>
      <c r="X241" s="703"/>
      <c r="Y241" s="703"/>
      <c r="Z241" s="703"/>
      <c r="AA241" s="703"/>
      <c r="AB241" s="703"/>
      <c r="AC241" s="703"/>
      <c r="AD241" s="703"/>
      <c r="AE241" s="703"/>
      <c r="AF241" s="703"/>
      <c r="AG241" s="703"/>
      <c r="AH241" s="703"/>
      <c r="AI241" s="703"/>
      <c r="AJ241" s="703"/>
      <c r="AK241" s="703"/>
      <c r="AL241" s="703"/>
      <c r="AM241" s="703"/>
      <c r="AN241" s="703"/>
      <c r="AO241" s="703"/>
      <c r="AP241" s="703"/>
      <c r="AQ241" s="703"/>
      <c r="AR241" s="703"/>
      <c r="AS241" s="703"/>
      <c r="AT241" s="703"/>
      <c r="AU241" s="703"/>
      <c r="AV241" s="703"/>
      <c r="AW241" s="703"/>
      <c r="AX241" s="703"/>
      <c r="AY241" s="703"/>
      <c r="AZ241" s="703"/>
      <c r="BA241" s="703"/>
      <c r="BB241" s="703"/>
      <c r="BC241" s="703"/>
      <c r="BD241" s="703"/>
      <c r="BE241" s="703"/>
      <c r="BF241" s="703"/>
      <c r="BG241" s="703"/>
      <c r="BH241" s="703"/>
      <c r="BI241" s="703"/>
      <c r="BJ241" s="703"/>
      <c r="BK241" s="703"/>
      <c r="BL241" s="703"/>
      <c r="BM241" s="703"/>
      <c r="BN241" s="703"/>
      <c r="BO241" s="703"/>
      <c r="BP241" s="703"/>
      <c r="BQ241" s="703"/>
      <c r="BR241" s="703"/>
      <c r="BS241" s="703"/>
      <c r="BT241" s="703"/>
      <c r="BU241" s="703"/>
      <c r="BV241" s="703"/>
      <c r="BW241" s="703"/>
      <c r="BX241" s="703"/>
      <c r="BY241" s="703"/>
      <c r="BZ241" s="703"/>
      <c r="CA241" s="703"/>
      <c r="CB241" s="703"/>
      <c r="CC241" s="703"/>
      <c r="CD241" s="703"/>
      <c r="CE241" s="703"/>
      <c r="CF241" s="703"/>
      <c r="CG241" s="703"/>
      <c r="CH241" s="703"/>
      <c r="CI241" s="703"/>
      <c r="CJ241" s="703"/>
      <c r="CK241" s="703"/>
      <c r="CL241" s="703"/>
      <c r="CM241" s="703"/>
      <c r="CN241" s="703"/>
      <c r="CO241" s="703"/>
      <c r="CP241" s="703"/>
      <c r="CQ241" s="703"/>
      <c r="CR241" s="703"/>
      <c r="CS241" s="703"/>
      <c r="CT241" s="703"/>
      <c r="CU241" s="703"/>
      <c r="CV241" s="703"/>
      <c r="CW241" s="703"/>
      <c r="CX241" s="703"/>
      <c r="CY241" s="703"/>
      <c r="CZ241" s="703"/>
      <c r="DA241" s="703"/>
      <c r="DB241" s="703"/>
      <c r="DC241" s="703"/>
      <c r="DD241" s="703"/>
      <c r="DE241" s="703"/>
      <c r="DF241" s="703"/>
      <c r="DG241" s="703"/>
      <c r="DH241" s="703"/>
      <c r="DI241" s="703"/>
      <c r="DJ241" s="703"/>
      <c r="DK241" s="703"/>
      <c r="DL241" s="703"/>
      <c r="DM241" s="703"/>
      <c r="DN241" s="703"/>
      <c r="DO241" s="703"/>
      <c r="DP241" s="703"/>
      <c r="DQ241" s="703"/>
      <c r="DR241" s="703"/>
      <c r="DS241" s="703"/>
      <c r="DT241" s="703"/>
      <c r="DU241" s="703"/>
      <c r="DV241" s="703"/>
      <c r="DW241" s="703"/>
      <c r="DX241" s="703"/>
      <c r="DY241" s="703"/>
      <c r="DZ241" s="703"/>
      <c r="EA241" s="703"/>
      <c r="EB241" s="703"/>
      <c r="EC241" s="703"/>
      <c r="ED241" s="703"/>
      <c r="EE241" s="703"/>
      <c r="EF241" s="703"/>
      <c r="EG241" s="703"/>
      <c r="EH241" s="703"/>
      <c r="EI241" s="703"/>
      <c r="EJ241" s="703"/>
      <c r="EK241" s="703"/>
      <c r="EL241" s="703"/>
      <c r="EM241" s="703"/>
      <c r="EN241" s="703"/>
      <c r="EO241" s="703"/>
      <c r="EP241" s="703"/>
      <c r="EQ241" s="703"/>
      <c r="ER241" s="703"/>
      <c r="ES241" s="703"/>
      <c r="ET241" s="703"/>
      <c r="EU241" s="703"/>
      <c r="EV241" s="703"/>
      <c r="EW241" s="703"/>
      <c r="EX241" s="703"/>
      <c r="EY241" s="927">
        <f t="shared" si="162"/>
        <v>0</v>
      </c>
      <c r="EZ241" s="431">
        <f>блюда!EZ281</f>
        <v>0</v>
      </c>
      <c r="FA241" s="431">
        <f>блюда!FA281</f>
        <v>0</v>
      </c>
      <c r="FB241" s="431">
        <f>блюда!FB281</f>
        <v>0</v>
      </c>
      <c r="FC241" s="431">
        <f>блюда!FC281</f>
        <v>0</v>
      </c>
      <c r="FD241" s="431">
        <f>блюда!FD281</f>
        <v>0</v>
      </c>
      <c r="FE241" s="431">
        <f>блюда!FE281</f>
        <v>0</v>
      </c>
      <c r="FF241" s="431">
        <f>блюда!FF281</f>
        <v>0</v>
      </c>
      <c r="FG241" s="431">
        <f>блюда!FG281</f>
        <v>0</v>
      </c>
      <c r="FH241" s="431">
        <f>блюда!FH281</f>
        <v>0</v>
      </c>
      <c r="FI241" s="431">
        <f>блюда!FI281</f>
        <v>0</v>
      </c>
      <c r="FJ241" s="431">
        <f>блюда!FJ281</f>
        <v>0</v>
      </c>
      <c r="FK241" s="431">
        <f>блюда!FK281</f>
        <v>0</v>
      </c>
      <c r="FL241" s="431">
        <f>блюда!FL281</f>
        <v>0</v>
      </c>
    </row>
    <row r="242" spans="1:168" ht="13.95" hidden="1" customHeight="1" x14ac:dyDescent="0.25">
      <c r="A242" s="1460"/>
      <c r="B242" s="115"/>
      <c r="C242" s="116"/>
      <c r="D242" s="431"/>
      <c r="E242" s="431"/>
      <c r="F242" s="431"/>
      <c r="G242" s="116"/>
      <c r="H242" s="116"/>
      <c r="I242" s="431"/>
      <c r="J242" s="703"/>
      <c r="K242" s="703"/>
      <c r="L242" s="703"/>
      <c r="M242" s="703"/>
      <c r="N242" s="703"/>
      <c r="O242" s="703"/>
      <c r="P242" s="703"/>
      <c r="Q242" s="703"/>
      <c r="R242" s="703"/>
      <c r="S242" s="703"/>
      <c r="T242" s="703"/>
      <c r="U242" s="703"/>
      <c r="V242" s="703"/>
      <c r="W242" s="703"/>
      <c r="X242" s="703"/>
      <c r="Y242" s="703"/>
      <c r="Z242" s="703"/>
      <c r="AA242" s="703"/>
      <c r="AB242" s="703"/>
      <c r="AC242" s="703"/>
      <c r="AD242" s="703"/>
      <c r="AE242" s="703"/>
      <c r="AF242" s="703"/>
      <c r="AG242" s="703"/>
      <c r="AH242" s="703"/>
      <c r="AI242" s="703"/>
      <c r="AJ242" s="703"/>
      <c r="AK242" s="703"/>
      <c r="AL242" s="703"/>
      <c r="AM242" s="703"/>
      <c r="AN242" s="703"/>
      <c r="AO242" s="703"/>
      <c r="AP242" s="703"/>
      <c r="AQ242" s="703"/>
      <c r="AR242" s="703"/>
      <c r="AS242" s="703"/>
      <c r="AT242" s="703"/>
      <c r="AU242" s="703"/>
      <c r="AV242" s="703"/>
      <c r="AW242" s="703"/>
      <c r="AX242" s="703"/>
      <c r="AY242" s="703"/>
      <c r="AZ242" s="703"/>
      <c r="BA242" s="703"/>
      <c r="BB242" s="703"/>
      <c r="BC242" s="703"/>
      <c r="BD242" s="703"/>
      <c r="BE242" s="703"/>
      <c r="BF242" s="703"/>
      <c r="BG242" s="703"/>
      <c r="BH242" s="703"/>
      <c r="BI242" s="703"/>
      <c r="BJ242" s="703"/>
      <c r="BK242" s="703"/>
      <c r="BL242" s="703"/>
      <c r="BM242" s="703"/>
      <c r="BN242" s="703"/>
      <c r="BO242" s="703"/>
      <c r="BP242" s="703"/>
      <c r="BQ242" s="703"/>
      <c r="BR242" s="703"/>
      <c r="BS242" s="703"/>
      <c r="BT242" s="703"/>
      <c r="BU242" s="703"/>
      <c r="BV242" s="703"/>
      <c r="BW242" s="703"/>
      <c r="BX242" s="703"/>
      <c r="BY242" s="703"/>
      <c r="BZ242" s="703"/>
      <c r="CA242" s="703"/>
      <c r="CB242" s="703"/>
      <c r="CC242" s="703"/>
      <c r="CD242" s="703"/>
      <c r="CE242" s="703"/>
      <c r="CF242" s="703"/>
      <c r="CG242" s="703"/>
      <c r="CH242" s="703"/>
      <c r="CI242" s="703"/>
      <c r="CJ242" s="703"/>
      <c r="CK242" s="703"/>
      <c r="CL242" s="703"/>
      <c r="CM242" s="703"/>
      <c r="CN242" s="703"/>
      <c r="CO242" s="703"/>
      <c r="CP242" s="703"/>
      <c r="CQ242" s="703"/>
      <c r="CR242" s="703"/>
      <c r="CS242" s="703"/>
      <c r="CT242" s="703"/>
      <c r="CU242" s="703"/>
      <c r="CV242" s="703"/>
      <c r="CW242" s="703"/>
      <c r="CX242" s="703"/>
      <c r="CY242" s="703"/>
      <c r="CZ242" s="703"/>
      <c r="DA242" s="703"/>
      <c r="DB242" s="703"/>
      <c r="DC242" s="703"/>
      <c r="DD242" s="703"/>
      <c r="DE242" s="703"/>
      <c r="DF242" s="703"/>
      <c r="DG242" s="703"/>
      <c r="DH242" s="703"/>
      <c r="DI242" s="703"/>
      <c r="DJ242" s="703"/>
      <c r="DK242" s="703"/>
      <c r="DL242" s="703"/>
      <c r="DM242" s="703"/>
      <c r="DN242" s="703"/>
      <c r="DO242" s="703"/>
      <c r="DP242" s="703"/>
      <c r="DQ242" s="703"/>
      <c r="DR242" s="703"/>
      <c r="DS242" s="703"/>
      <c r="DT242" s="703"/>
      <c r="DU242" s="703"/>
      <c r="DV242" s="703"/>
      <c r="DW242" s="703"/>
      <c r="DX242" s="703"/>
      <c r="DY242" s="703"/>
      <c r="DZ242" s="703"/>
      <c r="EA242" s="703"/>
      <c r="EB242" s="703"/>
      <c r="EC242" s="703"/>
      <c r="ED242" s="703"/>
      <c r="EE242" s="703"/>
      <c r="EF242" s="703"/>
      <c r="EG242" s="703"/>
      <c r="EH242" s="703"/>
      <c r="EI242" s="703"/>
      <c r="EJ242" s="703"/>
      <c r="EK242" s="703"/>
      <c r="EL242" s="703"/>
      <c r="EM242" s="703"/>
      <c r="EN242" s="703"/>
      <c r="EO242" s="703"/>
      <c r="EP242" s="703"/>
      <c r="EQ242" s="703"/>
      <c r="ER242" s="703"/>
      <c r="ES242" s="703"/>
      <c r="ET242" s="703"/>
      <c r="EU242" s="703"/>
      <c r="EV242" s="703"/>
      <c r="EW242" s="703"/>
      <c r="EX242" s="703"/>
      <c r="EY242" s="927">
        <f t="shared" si="162"/>
        <v>0</v>
      </c>
      <c r="EZ242" s="431">
        <f>блюда!EZ332</f>
        <v>0</v>
      </c>
      <c r="FA242" s="431">
        <f>блюда!FA332</f>
        <v>0</v>
      </c>
      <c r="FB242" s="431">
        <f>блюда!FB332</f>
        <v>0</v>
      </c>
      <c r="FC242" s="431">
        <f>блюда!FC332</f>
        <v>0</v>
      </c>
      <c r="FD242" s="431">
        <f>блюда!FD332</f>
        <v>0</v>
      </c>
      <c r="FE242" s="431">
        <f>блюда!FE332</f>
        <v>0</v>
      </c>
      <c r="FF242" s="431">
        <f>блюда!FF332</f>
        <v>0</v>
      </c>
      <c r="FG242" s="431">
        <f>блюда!FG332</f>
        <v>0</v>
      </c>
      <c r="FH242" s="431">
        <f>блюда!FH332</f>
        <v>0</v>
      </c>
      <c r="FI242" s="431">
        <f>блюда!FI332</f>
        <v>0</v>
      </c>
      <c r="FJ242" s="431">
        <f>блюда!FJ332</f>
        <v>0</v>
      </c>
      <c r="FK242" s="431">
        <f>блюда!FK332</f>
        <v>0</v>
      </c>
      <c r="FL242" s="431">
        <f>блюда!FL332</f>
        <v>0</v>
      </c>
    </row>
    <row r="243" spans="1:168" ht="13.95" hidden="1" customHeight="1" x14ac:dyDescent="0.25">
      <c r="A243" s="1460"/>
      <c r="B243" s="115"/>
      <c r="C243" s="116"/>
      <c r="D243" s="431"/>
      <c r="E243" s="431"/>
      <c r="F243" s="431"/>
      <c r="G243" s="116"/>
      <c r="H243" s="116"/>
      <c r="I243" s="431"/>
      <c r="J243" s="703"/>
      <c r="K243" s="703"/>
      <c r="L243" s="703"/>
      <c r="M243" s="703"/>
      <c r="N243" s="703"/>
      <c r="O243" s="703"/>
      <c r="P243" s="703"/>
      <c r="Q243" s="703"/>
      <c r="R243" s="703"/>
      <c r="S243" s="703"/>
      <c r="T243" s="703"/>
      <c r="U243" s="703"/>
      <c r="V243" s="703"/>
      <c r="W243" s="703"/>
      <c r="X243" s="703"/>
      <c r="Y243" s="703"/>
      <c r="Z243" s="703"/>
      <c r="AA243" s="703"/>
      <c r="AB243" s="703"/>
      <c r="AC243" s="703"/>
      <c r="AD243" s="703"/>
      <c r="AE243" s="703"/>
      <c r="AF243" s="703"/>
      <c r="AG243" s="703"/>
      <c r="AH243" s="703"/>
      <c r="AI243" s="703"/>
      <c r="AJ243" s="703"/>
      <c r="AK243" s="703"/>
      <c r="AL243" s="703"/>
      <c r="AM243" s="703"/>
      <c r="AN243" s="703"/>
      <c r="AO243" s="703"/>
      <c r="AP243" s="703"/>
      <c r="AQ243" s="703"/>
      <c r="AR243" s="703"/>
      <c r="AS243" s="703"/>
      <c r="AT243" s="703"/>
      <c r="AU243" s="703"/>
      <c r="AV243" s="703"/>
      <c r="AW243" s="703"/>
      <c r="AX243" s="703"/>
      <c r="AY243" s="703"/>
      <c r="AZ243" s="703"/>
      <c r="BA243" s="703"/>
      <c r="BB243" s="703"/>
      <c r="BC243" s="703"/>
      <c r="BD243" s="703"/>
      <c r="BE243" s="703"/>
      <c r="BF243" s="703"/>
      <c r="BG243" s="703"/>
      <c r="BH243" s="703"/>
      <c r="BI243" s="703"/>
      <c r="BJ243" s="703"/>
      <c r="BK243" s="703"/>
      <c r="BL243" s="703"/>
      <c r="BM243" s="703"/>
      <c r="BN243" s="703"/>
      <c r="BO243" s="703"/>
      <c r="BP243" s="703"/>
      <c r="BQ243" s="703"/>
      <c r="BR243" s="703"/>
      <c r="BS243" s="703"/>
      <c r="BT243" s="703"/>
      <c r="BU243" s="703"/>
      <c r="BV243" s="703"/>
      <c r="BW243" s="703"/>
      <c r="BX243" s="703"/>
      <c r="BY243" s="703"/>
      <c r="BZ243" s="703"/>
      <c r="CA243" s="703"/>
      <c r="CB243" s="703"/>
      <c r="CC243" s="703"/>
      <c r="CD243" s="703"/>
      <c r="CE243" s="703"/>
      <c r="CF243" s="703"/>
      <c r="CG243" s="703"/>
      <c r="CH243" s="703"/>
      <c r="CI243" s="703"/>
      <c r="CJ243" s="703"/>
      <c r="CK243" s="703"/>
      <c r="CL243" s="703"/>
      <c r="CM243" s="703"/>
      <c r="CN243" s="703"/>
      <c r="CO243" s="703"/>
      <c r="CP243" s="703"/>
      <c r="CQ243" s="703"/>
      <c r="CR243" s="703"/>
      <c r="CS243" s="703"/>
      <c r="CT243" s="703"/>
      <c r="CU243" s="703"/>
      <c r="CV243" s="703"/>
      <c r="CW243" s="703"/>
      <c r="CX243" s="703"/>
      <c r="CY243" s="703"/>
      <c r="CZ243" s="703"/>
      <c r="DA243" s="703"/>
      <c r="DB243" s="703"/>
      <c r="DC243" s="703"/>
      <c r="DD243" s="703"/>
      <c r="DE243" s="703"/>
      <c r="DF243" s="703"/>
      <c r="DG243" s="703"/>
      <c r="DH243" s="703"/>
      <c r="DI243" s="703"/>
      <c r="DJ243" s="703"/>
      <c r="DK243" s="703"/>
      <c r="DL243" s="703"/>
      <c r="DM243" s="703"/>
      <c r="DN243" s="703"/>
      <c r="DO243" s="703"/>
      <c r="DP243" s="703"/>
      <c r="DQ243" s="703"/>
      <c r="DR243" s="703"/>
      <c r="DS243" s="703"/>
      <c r="DT243" s="703"/>
      <c r="DU243" s="703"/>
      <c r="DV243" s="703"/>
      <c r="DW243" s="703"/>
      <c r="DX243" s="703"/>
      <c r="DY243" s="703"/>
      <c r="DZ243" s="703"/>
      <c r="EA243" s="703"/>
      <c r="EB243" s="703"/>
      <c r="EC243" s="703"/>
      <c r="ED243" s="703"/>
      <c r="EE243" s="703"/>
      <c r="EF243" s="703"/>
      <c r="EG243" s="703"/>
      <c r="EH243" s="703"/>
      <c r="EI243" s="703"/>
      <c r="EJ243" s="703"/>
      <c r="EK243" s="703"/>
      <c r="EL243" s="703"/>
      <c r="EM243" s="703"/>
      <c r="EN243" s="703"/>
      <c r="EO243" s="703"/>
      <c r="EP243" s="703"/>
      <c r="EQ243" s="703"/>
      <c r="ER243" s="703"/>
      <c r="ES243" s="703"/>
      <c r="ET243" s="703"/>
      <c r="EU243" s="703"/>
      <c r="EV243" s="703"/>
      <c r="EW243" s="703"/>
      <c r="EX243" s="703"/>
      <c r="EY243" s="927">
        <f t="shared" si="162"/>
        <v>0</v>
      </c>
      <c r="EZ243" s="431">
        <f>блюда!EZ336</f>
        <v>0</v>
      </c>
      <c r="FA243" s="431">
        <f>блюда!FA336</f>
        <v>0</v>
      </c>
      <c r="FB243" s="431">
        <f>блюда!FB336</f>
        <v>0</v>
      </c>
      <c r="FC243" s="431">
        <f>блюда!FC336</f>
        <v>0</v>
      </c>
      <c r="FD243" s="431">
        <f>блюда!FD336</f>
        <v>0</v>
      </c>
      <c r="FE243" s="431">
        <f>блюда!FE336</f>
        <v>0</v>
      </c>
      <c r="FF243" s="431">
        <f>блюда!FF336</f>
        <v>0</v>
      </c>
      <c r="FG243" s="431">
        <f>блюда!FG336</f>
        <v>0</v>
      </c>
      <c r="FH243" s="431">
        <f>блюда!FH336</f>
        <v>0</v>
      </c>
      <c r="FI243" s="431">
        <f>блюда!FI336</f>
        <v>0</v>
      </c>
      <c r="FJ243" s="431">
        <f>блюда!FJ336</f>
        <v>0</v>
      </c>
      <c r="FK243" s="431">
        <f>блюда!FK336</f>
        <v>0</v>
      </c>
      <c r="FL243" s="431">
        <f>блюда!FL336</f>
        <v>0</v>
      </c>
    </row>
    <row r="244" spans="1:168" ht="13.95" hidden="1" customHeight="1" x14ac:dyDescent="0.25">
      <c r="A244" s="1460"/>
      <c r="B244" s="116"/>
      <c r="C244" s="116"/>
      <c r="D244" s="116"/>
      <c r="E244" s="116"/>
      <c r="F244" s="116"/>
      <c r="G244" s="116"/>
      <c r="H244" s="116"/>
      <c r="I244" s="116"/>
      <c r="J244" s="703"/>
      <c r="K244" s="703"/>
      <c r="L244" s="703"/>
      <c r="M244" s="703"/>
      <c r="N244" s="703"/>
      <c r="O244" s="703"/>
      <c r="P244" s="703"/>
      <c r="Q244" s="703"/>
      <c r="R244" s="703"/>
      <c r="S244" s="703"/>
      <c r="T244" s="703"/>
      <c r="U244" s="703"/>
      <c r="V244" s="703"/>
      <c r="W244" s="703"/>
      <c r="X244" s="703"/>
      <c r="Y244" s="703"/>
      <c r="Z244" s="703"/>
      <c r="AA244" s="703"/>
      <c r="AB244" s="703"/>
      <c r="AC244" s="703"/>
      <c r="AD244" s="703"/>
      <c r="AE244" s="703"/>
      <c r="AF244" s="703"/>
      <c r="AG244" s="703"/>
      <c r="AH244" s="703"/>
      <c r="AI244" s="703"/>
      <c r="AJ244" s="703"/>
      <c r="AK244" s="703"/>
      <c r="AL244" s="703"/>
      <c r="AM244" s="703"/>
      <c r="AN244" s="703"/>
      <c r="AO244" s="703"/>
      <c r="AP244" s="703"/>
      <c r="AQ244" s="703"/>
      <c r="AR244" s="703"/>
      <c r="AS244" s="703"/>
      <c r="AT244" s="703"/>
      <c r="AU244" s="703"/>
      <c r="AV244" s="703"/>
      <c r="AW244" s="703"/>
      <c r="AX244" s="703"/>
      <c r="AY244" s="703"/>
      <c r="AZ244" s="703"/>
      <c r="BA244" s="703"/>
      <c r="BB244" s="703"/>
      <c r="BC244" s="703"/>
      <c r="BD244" s="703"/>
      <c r="BE244" s="703"/>
      <c r="BF244" s="703"/>
      <c r="BG244" s="703"/>
      <c r="BH244" s="703"/>
      <c r="BI244" s="703"/>
      <c r="BJ244" s="703"/>
      <c r="BK244" s="703"/>
      <c r="BL244" s="703"/>
      <c r="BM244" s="703"/>
      <c r="BN244" s="703"/>
      <c r="BO244" s="703"/>
      <c r="BP244" s="703"/>
      <c r="BQ244" s="703"/>
      <c r="BR244" s="703"/>
      <c r="BS244" s="703"/>
      <c r="BT244" s="703"/>
      <c r="BU244" s="703"/>
      <c r="BV244" s="703"/>
      <c r="BW244" s="703"/>
      <c r="BX244" s="703"/>
      <c r="BY244" s="703"/>
      <c r="BZ244" s="703"/>
      <c r="CA244" s="703"/>
      <c r="CB244" s="703"/>
      <c r="CC244" s="703"/>
      <c r="CD244" s="703"/>
      <c r="CE244" s="703"/>
      <c r="CF244" s="703"/>
      <c r="CG244" s="703"/>
      <c r="CH244" s="703"/>
      <c r="CI244" s="703"/>
      <c r="CJ244" s="703"/>
      <c r="CK244" s="703"/>
      <c r="CL244" s="703"/>
      <c r="CM244" s="703"/>
      <c r="CN244" s="703"/>
      <c r="CO244" s="703"/>
      <c r="CP244" s="703"/>
      <c r="CQ244" s="703"/>
      <c r="CR244" s="703"/>
      <c r="CS244" s="703"/>
      <c r="CT244" s="703"/>
      <c r="CU244" s="703"/>
      <c r="CV244" s="703"/>
      <c r="CW244" s="703"/>
      <c r="CX244" s="703"/>
      <c r="CY244" s="703"/>
      <c r="CZ244" s="703"/>
      <c r="DA244" s="703"/>
      <c r="DB244" s="703"/>
      <c r="DC244" s="703"/>
      <c r="DD244" s="703"/>
      <c r="DE244" s="703"/>
      <c r="DF244" s="703"/>
      <c r="DG244" s="703"/>
      <c r="DH244" s="703"/>
      <c r="DI244" s="703"/>
      <c r="DJ244" s="703"/>
      <c r="DK244" s="703"/>
      <c r="DL244" s="703"/>
      <c r="DM244" s="703"/>
      <c r="DN244" s="703"/>
      <c r="DO244" s="703"/>
      <c r="DP244" s="703"/>
      <c r="DQ244" s="703"/>
      <c r="DR244" s="703"/>
      <c r="DS244" s="703"/>
      <c r="DT244" s="703"/>
      <c r="DU244" s="703"/>
      <c r="DV244" s="703"/>
      <c r="DW244" s="703"/>
      <c r="DX244" s="703"/>
      <c r="DY244" s="703"/>
      <c r="DZ244" s="703"/>
      <c r="EA244" s="703"/>
      <c r="EB244" s="703"/>
      <c r="EC244" s="703"/>
      <c r="ED244" s="703"/>
      <c r="EE244" s="703"/>
      <c r="EF244" s="703"/>
      <c r="EG244" s="703"/>
      <c r="EH244" s="703"/>
      <c r="EI244" s="703"/>
      <c r="EJ244" s="703"/>
      <c r="EK244" s="703"/>
      <c r="EL244" s="703"/>
      <c r="EM244" s="703"/>
      <c r="EN244" s="703"/>
      <c r="EO244" s="703"/>
      <c r="EP244" s="703"/>
      <c r="EQ244" s="703"/>
      <c r="ER244" s="703"/>
      <c r="ES244" s="703"/>
      <c r="ET244" s="703"/>
      <c r="EU244" s="703"/>
      <c r="EV244" s="703"/>
      <c r="EW244" s="703"/>
      <c r="EX244" s="703"/>
      <c r="EY244" s="927">
        <f t="shared" si="162"/>
        <v>0</v>
      </c>
      <c r="EZ244" s="423"/>
      <c r="FA244" s="423"/>
      <c r="FB244" s="423"/>
      <c r="FC244" s="423"/>
      <c r="FD244" s="423"/>
      <c r="FE244" s="423"/>
      <c r="FF244" s="423"/>
      <c r="FG244" s="423"/>
      <c r="FH244" s="423"/>
      <c r="FI244" s="423"/>
      <c r="FJ244" s="423"/>
      <c r="FK244" s="423"/>
      <c r="FL244" s="423"/>
    </row>
    <row r="245" spans="1:168" ht="13.95" hidden="1" customHeight="1" x14ac:dyDescent="0.25">
      <c r="A245" s="1461"/>
      <c r="B245" s="943"/>
      <c r="C245" s="704"/>
      <c r="D245" s="117"/>
      <c r="E245" s="117"/>
      <c r="F245" s="117"/>
      <c r="G245" s="704"/>
      <c r="H245" s="704"/>
      <c r="I245" s="117"/>
      <c r="J245" s="703"/>
      <c r="K245" s="703"/>
      <c r="L245" s="703"/>
      <c r="M245" s="703"/>
      <c r="N245" s="703"/>
      <c r="O245" s="703"/>
      <c r="P245" s="703"/>
      <c r="Q245" s="703"/>
      <c r="R245" s="703"/>
      <c r="S245" s="703"/>
      <c r="T245" s="703"/>
      <c r="U245" s="703"/>
      <c r="V245" s="703"/>
      <c r="W245" s="703"/>
      <c r="X245" s="703"/>
      <c r="Y245" s="703"/>
      <c r="Z245" s="703"/>
      <c r="AA245" s="703"/>
      <c r="AB245" s="703"/>
      <c r="AC245" s="703"/>
      <c r="AD245" s="703"/>
      <c r="AE245" s="703"/>
      <c r="AF245" s="703"/>
      <c r="AG245" s="703"/>
      <c r="AH245" s="703"/>
      <c r="AI245" s="703"/>
      <c r="AJ245" s="703"/>
      <c r="AK245" s="703"/>
      <c r="AL245" s="703"/>
      <c r="AM245" s="703"/>
      <c r="AN245" s="703"/>
      <c r="AO245" s="703"/>
      <c r="AP245" s="703"/>
      <c r="AQ245" s="703"/>
      <c r="AR245" s="703"/>
      <c r="AS245" s="703"/>
      <c r="AT245" s="703"/>
      <c r="AU245" s="703"/>
      <c r="AV245" s="703"/>
      <c r="AW245" s="703"/>
      <c r="AX245" s="703"/>
      <c r="AY245" s="703"/>
      <c r="AZ245" s="703"/>
      <c r="BA245" s="703"/>
      <c r="BB245" s="703"/>
      <c r="BC245" s="703"/>
      <c r="BD245" s="703"/>
      <c r="BE245" s="703"/>
      <c r="BF245" s="703"/>
      <c r="BG245" s="703"/>
      <c r="BH245" s="703"/>
      <c r="BI245" s="703"/>
      <c r="BJ245" s="703"/>
      <c r="BK245" s="703"/>
      <c r="BL245" s="703"/>
      <c r="BM245" s="703"/>
      <c r="BN245" s="703"/>
      <c r="BO245" s="703"/>
      <c r="BP245" s="703"/>
      <c r="BQ245" s="703"/>
      <c r="BR245" s="703"/>
      <c r="BS245" s="703"/>
      <c r="BT245" s="703"/>
      <c r="BU245" s="703"/>
      <c r="BV245" s="703"/>
      <c r="BW245" s="703"/>
      <c r="BX245" s="703"/>
      <c r="BY245" s="703"/>
      <c r="BZ245" s="703"/>
      <c r="CA245" s="703"/>
      <c r="CB245" s="703"/>
      <c r="CC245" s="703"/>
      <c r="CD245" s="703"/>
      <c r="CE245" s="703"/>
      <c r="CF245" s="703"/>
      <c r="CG245" s="703"/>
      <c r="CH245" s="703"/>
      <c r="CI245" s="703"/>
      <c r="CJ245" s="703"/>
      <c r="CK245" s="703"/>
      <c r="CL245" s="703"/>
      <c r="CM245" s="703"/>
      <c r="CN245" s="703"/>
      <c r="CO245" s="703"/>
      <c r="CP245" s="703"/>
      <c r="CQ245" s="703"/>
      <c r="CR245" s="703"/>
      <c r="CS245" s="703"/>
      <c r="CT245" s="703"/>
      <c r="CU245" s="703"/>
      <c r="CV245" s="703"/>
      <c r="CW245" s="703"/>
      <c r="CX245" s="703"/>
      <c r="CY245" s="703"/>
      <c r="CZ245" s="703"/>
      <c r="DA245" s="703"/>
      <c r="DB245" s="703"/>
      <c r="DC245" s="703"/>
      <c r="DD245" s="703"/>
      <c r="DE245" s="703"/>
      <c r="DF245" s="703"/>
      <c r="DG245" s="703"/>
      <c r="DH245" s="703"/>
      <c r="DI245" s="703"/>
      <c r="DJ245" s="703"/>
      <c r="DK245" s="703"/>
      <c r="DL245" s="703"/>
      <c r="DM245" s="703"/>
      <c r="DN245" s="703"/>
      <c r="DO245" s="703"/>
      <c r="DP245" s="703"/>
      <c r="DQ245" s="703"/>
      <c r="DR245" s="703"/>
      <c r="DS245" s="703"/>
      <c r="DT245" s="703"/>
      <c r="DU245" s="703"/>
      <c r="DV245" s="703"/>
      <c r="DW245" s="703"/>
      <c r="DX245" s="703"/>
      <c r="DY245" s="703"/>
      <c r="DZ245" s="703"/>
      <c r="EA245" s="703"/>
      <c r="EB245" s="703"/>
      <c r="EC245" s="703"/>
      <c r="ED245" s="703"/>
      <c r="EE245" s="703"/>
      <c r="EF245" s="703"/>
      <c r="EG245" s="703"/>
      <c r="EH245" s="703"/>
      <c r="EI245" s="703"/>
      <c r="EJ245" s="703"/>
      <c r="EK245" s="703"/>
      <c r="EL245" s="703"/>
      <c r="EM245" s="703"/>
      <c r="EN245" s="703"/>
      <c r="EO245" s="703"/>
      <c r="EP245" s="703"/>
      <c r="EQ245" s="703"/>
      <c r="ER245" s="703"/>
      <c r="ES245" s="703"/>
      <c r="ET245" s="703"/>
      <c r="EU245" s="703"/>
      <c r="EV245" s="703"/>
      <c r="EW245" s="703"/>
      <c r="EX245" s="703"/>
      <c r="EY245" s="927">
        <f t="shared" si="162"/>
        <v>0</v>
      </c>
      <c r="EZ245" s="423"/>
      <c r="FA245" s="423"/>
      <c r="FB245" s="423"/>
      <c r="FC245" s="423"/>
      <c r="FD245" s="423"/>
      <c r="FE245" s="423"/>
      <c r="FF245" s="423"/>
      <c r="FG245" s="423"/>
      <c r="FH245" s="423"/>
      <c r="FI245" s="423"/>
      <c r="FJ245" s="423"/>
      <c r="FK245" s="423"/>
      <c r="FL245" s="423"/>
    </row>
    <row r="246" spans="1:168" hidden="1" x14ac:dyDescent="0.25">
      <c r="A246" s="120"/>
      <c r="B246" s="118" t="s">
        <v>113</v>
      </c>
      <c r="C246" s="422">
        <f>SUM(C237:C245)</f>
        <v>0</v>
      </c>
      <c r="D246" s="842">
        <f>SUM(D237:D245)</f>
        <v>0</v>
      </c>
      <c r="E246" s="842">
        <f t="shared" ref="E246:BC246" si="163">SUM(E237:E245)</f>
        <v>0</v>
      </c>
      <c r="F246" s="842">
        <f t="shared" si="163"/>
        <v>0</v>
      </c>
      <c r="G246" s="840">
        <f t="shared" si="163"/>
        <v>0</v>
      </c>
      <c r="H246" s="840"/>
      <c r="I246" s="842">
        <f t="shared" ref="I246" si="164">SUM(I237:I245)</f>
        <v>0</v>
      </c>
      <c r="J246" s="847">
        <f t="shared" si="163"/>
        <v>0</v>
      </c>
      <c r="K246" s="847">
        <f t="shared" si="163"/>
        <v>0</v>
      </c>
      <c r="L246" s="847">
        <f t="shared" si="163"/>
        <v>0</v>
      </c>
      <c r="M246" s="847">
        <f t="shared" si="163"/>
        <v>0</v>
      </c>
      <c r="N246" s="847">
        <f t="shared" si="163"/>
        <v>0</v>
      </c>
      <c r="O246" s="847">
        <f t="shared" si="163"/>
        <v>0</v>
      </c>
      <c r="P246" s="847">
        <f t="shared" si="163"/>
        <v>0</v>
      </c>
      <c r="Q246" s="847">
        <f t="shared" si="163"/>
        <v>0</v>
      </c>
      <c r="R246" s="847">
        <f t="shared" si="163"/>
        <v>0</v>
      </c>
      <c r="S246" s="847">
        <f t="shared" si="163"/>
        <v>0</v>
      </c>
      <c r="T246" s="847">
        <f t="shared" si="163"/>
        <v>0</v>
      </c>
      <c r="U246" s="847">
        <f t="shared" si="163"/>
        <v>0</v>
      </c>
      <c r="V246" s="847">
        <f t="shared" si="163"/>
        <v>0</v>
      </c>
      <c r="W246" s="847">
        <f t="shared" si="163"/>
        <v>0</v>
      </c>
      <c r="X246" s="847">
        <f t="shared" si="163"/>
        <v>0</v>
      </c>
      <c r="Y246" s="847">
        <f t="shared" si="163"/>
        <v>0</v>
      </c>
      <c r="Z246" s="847">
        <f t="shared" si="163"/>
        <v>0</v>
      </c>
      <c r="AA246" s="847">
        <f t="shared" si="163"/>
        <v>0</v>
      </c>
      <c r="AB246" s="847">
        <f t="shared" si="163"/>
        <v>0</v>
      </c>
      <c r="AC246" s="847">
        <f t="shared" si="163"/>
        <v>0</v>
      </c>
      <c r="AD246" s="847">
        <f t="shared" si="163"/>
        <v>0</v>
      </c>
      <c r="AE246" s="847">
        <f t="shared" si="163"/>
        <v>0</v>
      </c>
      <c r="AF246" s="847">
        <f t="shared" si="163"/>
        <v>0</v>
      </c>
      <c r="AG246" s="847">
        <f t="shared" si="163"/>
        <v>0</v>
      </c>
      <c r="AH246" s="847">
        <f t="shared" si="163"/>
        <v>0</v>
      </c>
      <c r="AI246" s="847">
        <f t="shared" si="163"/>
        <v>0</v>
      </c>
      <c r="AJ246" s="847">
        <f t="shared" si="163"/>
        <v>0</v>
      </c>
      <c r="AK246" s="847">
        <f t="shared" si="163"/>
        <v>0</v>
      </c>
      <c r="AL246" s="847">
        <f t="shared" si="163"/>
        <v>0</v>
      </c>
      <c r="AM246" s="847">
        <f t="shared" si="163"/>
        <v>0</v>
      </c>
      <c r="AN246" s="847">
        <f t="shared" si="163"/>
        <v>0</v>
      </c>
      <c r="AO246" s="847">
        <f t="shared" si="163"/>
        <v>0</v>
      </c>
      <c r="AP246" s="847">
        <f t="shared" si="163"/>
        <v>0</v>
      </c>
      <c r="AQ246" s="847">
        <f t="shared" si="163"/>
        <v>0</v>
      </c>
      <c r="AR246" s="847">
        <f t="shared" si="163"/>
        <v>0</v>
      </c>
      <c r="AS246" s="847">
        <f t="shared" si="163"/>
        <v>0</v>
      </c>
      <c r="AT246" s="847">
        <f t="shared" si="163"/>
        <v>0</v>
      </c>
      <c r="AU246" s="847">
        <f t="shared" si="163"/>
        <v>0</v>
      </c>
      <c r="AV246" s="847">
        <f t="shared" si="163"/>
        <v>0</v>
      </c>
      <c r="AW246" s="847">
        <f t="shared" si="163"/>
        <v>0</v>
      </c>
      <c r="AX246" s="847">
        <f t="shared" si="163"/>
        <v>0</v>
      </c>
      <c r="AY246" s="847">
        <f t="shared" si="163"/>
        <v>0</v>
      </c>
      <c r="AZ246" s="847">
        <f t="shared" si="163"/>
        <v>0</v>
      </c>
      <c r="BA246" s="847">
        <f t="shared" si="163"/>
        <v>0</v>
      </c>
      <c r="BB246" s="847">
        <f t="shared" si="163"/>
        <v>0</v>
      </c>
      <c r="BC246" s="847">
        <f t="shared" si="163"/>
        <v>0</v>
      </c>
      <c r="BD246" s="847">
        <f t="shared" ref="BD246:DO246" si="165">SUM(BD237:BD245)</f>
        <v>0</v>
      </c>
      <c r="BE246" s="847">
        <f t="shared" si="165"/>
        <v>0</v>
      </c>
      <c r="BF246" s="847">
        <f t="shared" si="165"/>
        <v>0</v>
      </c>
      <c r="BG246" s="847">
        <f t="shared" si="165"/>
        <v>0</v>
      </c>
      <c r="BH246" s="847">
        <f t="shared" si="165"/>
        <v>0</v>
      </c>
      <c r="BI246" s="847">
        <f t="shared" si="165"/>
        <v>0</v>
      </c>
      <c r="BJ246" s="847">
        <f t="shared" si="165"/>
        <v>0</v>
      </c>
      <c r="BK246" s="847">
        <f t="shared" si="165"/>
        <v>0</v>
      </c>
      <c r="BL246" s="847">
        <f t="shared" si="165"/>
        <v>0</v>
      </c>
      <c r="BM246" s="847">
        <f t="shared" si="165"/>
        <v>0</v>
      </c>
      <c r="BN246" s="847">
        <f t="shared" si="165"/>
        <v>0</v>
      </c>
      <c r="BO246" s="847">
        <f t="shared" si="165"/>
        <v>0</v>
      </c>
      <c r="BP246" s="847">
        <f t="shared" si="165"/>
        <v>0</v>
      </c>
      <c r="BQ246" s="847">
        <f t="shared" si="165"/>
        <v>0</v>
      </c>
      <c r="BR246" s="847">
        <f t="shared" si="165"/>
        <v>0</v>
      </c>
      <c r="BS246" s="847">
        <f t="shared" si="165"/>
        <v>0</v>
      </c>
      <c r="BT246" s="847">
        <f t="shared" si="165"/>
        <v>0</v>
      </c>
      <c r="BU246" s="847">
        <f t="shared" si="165"/>
        <v>0</v>
      </c>
      <c r="BV246" s="847">
        <f t="shared" si="165"/>
        <v>0</v>
      </c>
      <c r="BW246" s="847">
        <f t="shared" si="165"/>
        <v>0</v>
      </c>
      <c r="BX246" s="847">
        <f t="shared" si="165"/>
        <v>0</v>
      </c>
      <c r="BY246" s="847">
        <f t="shared" si="165"/>
        <v>0</v>
      </c>
      <c r="BZ246" s="847">
        <f t="shared" si="165"/>
        <v>0</v>
      </c>
      <c r="CA246" s="847">
        <f t="shared" si="165"/>
        <v>0</v>
      </c>
      <c r="CB246" s="847">
        <f t="shared" si="165"/>
        <v>0</v>
      </c>
      <c r="CC246" s="847">
        <f t="shared" si="165"/>
        <v>0</v>
      </c>
      <c r="CD246" s="847">
        <f t="shared" si="165"/>
        <v>0</v>
      </c>
      <c r="CE246" s="847">
        <f t="shared" si="165"/>
        <v>0</v>
      </c>
      <c r="CF246" s="847">
        <f t="shared" si="165"/>
        <v>0</v>
      </c>
      <c r="CG246" s="847">
        <f t="shared" si="165"/>
        <v>0</v>
      </c>
      <c r="CH246" s="847">
        <f t="shared" si="165"/>
        <v>0</v>
      </c>
      <c r="CI246" s="847">
        <f t="shared" si="165"/>
        <v>0</v>
      </c>
      <c r="CJ246" s="847">
        <f t="shared" si="165"/>
        <v>0</v>
      </c>
      <c r="CK246" s="847">
        <f t="shared" si="165"/>
        <v>0</v>
      </c>
      <c r="CL246" s="847">
        <f t="shared" si="165"/>
        <v>0</v>
      </c>
      <c r="CM246" s="847">
        <f t="shared" si="165"/>
        <v>0</v>
      </c>
      <c r="CN246" s="847">
        <f t="shared" si="165"/>
        <v>0</v>
      </c>
      <c r="CO246" s="847">
        <f t="shared" si="165"/>
        <v>0</v>
      </c>
      <c r="CP246" s="847">
        <f t="shared" si="165"/>
        <v>0</v>
      </c>
      <c r="CQ246" s="847">
        <f t="shared" si="165"/>
        <v>0</v>
      </c>
      <c r="CR246" s="847">
        <f t="shared" si="165"/>
        <v>0</v>
      </c>
      <c r="CS246" s="847">
        <f t="shared" si="165"/>
        <v>0</v>
      </c>
      <c r="CT246" s="847">
        <f t="shared" si="165"/>
        <v>0</v>
      </c>
      <c r="CU246" s="847">
        <f t="shared" si="165"/>
        <v>0</v>
      </c>
      <c r="CV246" s="847">
        <f t="shared" si="165"/>
        <v>0</v>
      </c>
      <c r="CW246" s="847">
        <f t="shared" si="165"/>
        <v>0</v>
      </c>
      <c r="CX246" s="847">
        <f t="shared" si="165"/>
        <v>0</v>
      </c>
      <c r="CY246" s="847">
        <f t="shared" si="165"/>
        <v>0</v>
      </c>
      <c r="CZ246" s="847">
        <f t="shared" si="165"/>
        <v>0</v>
      </c>
      <c r="DA246" s="847">
        <f t="shared" si="165"/>
        <v>0</v>
      </c>
      <c r="DB246" s="847">
        <f t="shared" si="165"/>
        <v>0</v>
      </c>
      <c r="DC246" s="847">
        <f t="shared" si="165"/>
        <v>0</v>
      </c>
      <c r="DD246" s="847">
        <f t="shared" si="165"/>
        <v>0</v>
      </c>
      <c r="DE246" s="847">
        <f t="shared" si="165"/>
        <v>0</v>
      </c>
      <c r="DF246" s="847">
        <f t="shared" si="165"/>
        <v>0</v>
      </c>
      <c r="DG246" s="847">
        <f t="shared" si="165"/>
        <v>0</v>
      </c>
      <c r="DH246" s="847">
        <f t="shared" si="165"/>
        <v>0</v>
      </c>
      <c r="DI246" s="847">
        <f t="shared" si="165"/>
        <v>0</v>
      </c>
      <c r="DJ246" s="847">
        <f t="shared" si="165"/>
        <v>0</v>
      </c>
      <c r="DK246" s="847">
        <f t="shared" si="165"/>
        <v>0</v>
      </c>
      <c r="DL246" s="847">
        <f t="shared" si="165"/>
        <v>0</v>
      </c>
      <c r="DM246" s="847">
        <f t="shared" si="165"/>
        <v>0</v>
      </c>
      <c r="DN246" s="847">
        <f t="shared" si="165"/>
        <v>0</v>
      </c>
      <c r="DO246" s="847">
        <f t="shared" si="165"/>
        <v>0</v>
      </c>
      <c r="DP246" s="847">
        <f t="shared" ref="DP246:EX246" si="166">SUM(DP237:DP245)</f>
        <v>0</v>
      </c>
      <c r="DQ246" s="847">
        <f t="shared" si="166"/>
        <v>0</v>
      </c>
      <c r="DR246" s="847">
        <f t="shared" si="166"/>
        <v>0</v>
      </c>
      <c r="DS246" s="847">
        <f t="shared" si="166"/>
        <v>0</v>
      </c>
      <c r="DT246" s="847">
        <f t="shared" si="166"/>
        <v>0</v>
      </c>
      <c r="DU246" s="847">
        <f t="shared" si="166"/>
        <v>0</v>
      </c>
      <c r="DV246" s="847">
        <f t="shared" si="166"/>
        <v>0</v>
      </c>
      <c r="DW246" s="847">
        <f t="shared" si="166"/>
        <v>0</v>
      </c>
      <c r="DX246" s="847">
        <f t="shared" si="166"/>
        <v>0</v>
      </c>
      <c r="DY246" s="847">
        <f t="shared" si="166"/>
        <v>0</v>
      </c>
      <c r="DZ246" s="847">
        <f t="shared" si="166"/>
        <v>0</v>
      </c>
      <c r="EA246" s="847">
        <f t="shared" si="166"/>
        <v>0</v>
      </c>
      <c r="EB246" s="847">
        <f t="shared" si="166"/>
        <v>0</v>
      </c>
      <c r="EC246" s="847">
        <f t="shared" si="166"/>
        <v>0</v>
      </c>
      <c r="ED246" s="847">
        <f t="shared" si="166"/>
        <v>0</v>
      </c>
      <c r="EE246" s="847">
        <f t="shared" si="166"/>
        <v>0</v>
      </c>
      <c r="EF246" s="847">
        <f t="shared" si="166"/>
        <v>0</v>
      </c>
      <c r="EG246" s="847">
        <f t="shared" si="166"/>
        <v>0</v>
      </c>
      <c r="EH246" s="847">
        <f t="shared" si="166"/>
        <v>0</v>
      </c>
      <c r="EI246" s="847">
        <f t="shared" si="166"/>
        <v>0</v>
      </c>
      <c r="EJ246" s="847">
        <f t="shared" si="166"/>
        <v>0</v>
      </c>
      <c r="EK246" s="847">
        <f t="shared" si="166"/>
        <v>0</v>
      </c>
      <c r="EL246" s="847">
        <f t="shared" si="166"/>
        <v>0</v>
      </c>
      <c r="EM246" s="847">
        <f t="shared" si="166"/>
        <v>0</v>
      </c>
      <c r="EN246" s="847">
        <f t="shared" si="166"/>
        <v>0</v>
      </c>
      <c r="EO246" s="847">
        <f t="shared" si="166"/>
        <v>0</v>
      </c>
      <c r="EP246" s="847">
        <f t="shared" si="166"/>
        <v>0</v>
      </c>
      <c r="EQ246" s="847">
        <f t="shared" si="166"/>
        <v>0</v>
      </c>
      <c r="ER246" s="847">
        <f t="shared" si="166"/>
        <v>0</v>
      </c>
      <c r="ES246" s="847">
        <f t="shared" si="166"/>
        <v>0</v>
      </c>
      <c r="ET246" s="847">
        <f t="shared" si="166"/>
        <v>0</v>
      </c>
      <c r="EU246" s="847">
        <f t="shared" si="166"/>
        <v>0</v>
      </c>
      <c r="EV246" s="847">
        <f t="shared" si="166"/>
        <v>0</v>
      </c>
      <c r="EW246" s="847">
        <f t="shared" si="166"/>
        <v>0</v>
      </c>
      <c r="EX246" s="847">
        <f t="shared" si="166"/>
        <v>0</v>
      </c>
      <c r="EY246" s="861">
        <f t="shared" ref="EY246:FL246" si="167">SUM(EY237:EY245)</f>
        <v>0</v>
      </c>
      <c r="EZ246" s="534">
        <f t="shared" si="167"/>
        <v>0</v>
      </c>
      <c r="FA246" s="534">
        <f t="shared" si="167"/>
        <v>0</v>
      </c>
      <c r="FB246" s="534">
        <f t="shared" si="167"/>
        <v>0</v>
      </c>
      <c r="FC246" s="534">
        <f t="shared" si="167"/>
        <v>0</v>
      </c>
      <c r="FD246" s="534">
        <f t="shared" si="167"/>
        <v>0</v>
      </c>
      <c r="FE246" s="534">
        <f t="shared" si="167"/>
        <v>0</v>
      </c>
      <c r="FF246" s="534">
        <f t="shared" si="167"/>
        <v>0</v>
      </c>
      <c r="FG246" s="534">
        <f t="shared" si="167"/>
        <v>0</v>
      </c>
      <c r="FH246" s="534">
        <f t="shared" si="167"/>
        <v>0</v>
      </c>
      <c r="FI246" s="534">
        <f t="shared" si="167"/>
        <v>0</v>
      </c>
      <c r="FJ246" s="534">
        <f t="shared" si="167"/>
        <v>0</v>
      </c>
      <c r="FK246" s="534">
        <f t="shared" si="167"/>
        <v>0</v>
      </c>
      <c r="FL246" s="534">
        <f t="shared" si="167"/>
        <v>0</v>
      </c>
    </row>
    <row r="247" spans="1:168" hidden="1" x14ac:dyDescent="0.25">
      <c r="A247" s="1459" t="s">
        <v>800</v>
      </c>
      <c r="B247" s="115"/>
      <c r="C247" s="426"/>
      <c r="D247" s="420"/>
      <c r="E247" s="420"/>
      <c r="F247" s="420"/>
      <c r="G247" s="426"/>
      <c r="H247" s="426"/>
      <c r="I247" s="420"/>
      <c r="J247" s="482"/>
      <c r="K247" s="482"/>
      <c r="L247" s="482"/>
      <c r="M247" s="482"/>
      <c r="N247" s="482"/>
      <c r="O247" s="482"/>
      <c r="P247" s="482"/>
      <c r="Q247" s="482"/>
      <c r="R247" s="482"/>
      <c r="S247" s="482"/>
      <c r="T247" s="482"/>
      <c r="U247" s="482"/>
      <c r="V247" s="482"/>
      <c r="W247" s="482"/>
      <c r="X247" s="482"/>
      <c r="Y247" s="482"/>
      <c r="Z247" s="482"/>
      <c r="AA247" s="482"/>
      <c r="AB247" s="482"/>
      <c r="AC247" s="482"/>
      <c r="AD247" s="482"/>
      <c r="AE247" s="482"/>
      <c r="AF247" s="482"/>
      <c r="AG247" s="482"/>
      <c r="AH247" s="482"/>
      <c r="AI247" s="482"/>
      <c r="AJ247" s="482"/>
      <c r="AK247" s="482"/>
      <c r="AL247" s="482"/>
      <c r="AM247" s="482"/>
      <c r="AN247" s="482"/>
      <c r="AO247" s="482"/>
      <c r="AP247" s="482"/>
      <c r="AQ247" s="482"/>
      <c r="AR247" s="482"/>
      <c r="AS247" s="482"/>
      <c r="AT247" s="482"/>
      <c r="AU247" s="482"/>
      <c r="AV247" s="482"/>
      <c r="AW247" s="482"/>
      <c r="AX247" s="482"/>
      <c r="AY247" s="482"/>
      <c r="AZ247" s="482"/>
      <c r="BA247" s="482"/>
      <c r="BB247" s="482"/>
      <c r="BC247" s="482"/>
      <c r="BD247" s="482"/>
      <c r="BE247" s="482"/>
      <c r="BF247" s="482"/>
      <c r="BG247" s="482"/>
      <c r="BH247" s="482"/>
      <c r="BI247" s="482"/>
      <c r="BJ247" s="482"/>
      <c r="BK247" s="482"/>
      <c r="BL247" s="482"/>
      <c r="BM247" s="482"/>
      <c r="BN247" s="482"/>
      <c r="BO247" s="482"/>
      <c r="BP247" s="482"/>
      <c r="BQ247" s="482"/>
      <c r="BR247" s="482"/>
      <c r="BS247" s="482"/>
      <c r="BT247" s="482"/>
      <c r="BU247" s="482"/>
      <c r="BV247" s="482"/>
      <c r="BW247" s="482"/>
      <c r="BX247" s="482"/>
      <c r="BY247" s="482"/>
      <c r="BZ247" s="482"/>
      <c r="CA247" s="482"/>
      <c r="CB247" s="482"/>
      <c r="CC247" s="482"/>
      <c r="CD247" s="482"/>
      <c r="CE247" s="482"/>
      <c r="CF247" s="482"/>
      <c r="CG247" s="482"/>
      <c r="CH247" s="482"/>
      <c r="CI247" s="482"/>
      <c r="CJ247" s="482"/>
      <c r="CK247" s="482"/>
      <c r="CL247" s="482"/>
      <c r="CM247" s="482"/>
      <c r="CN247" s="482"/>
      <c r="CO247" s="482"/>
      <c r="CP247" s="482"/>
      <c r="CQ247" s="482"/>
      <c r="CR247" s="482"/>
      <c r="CS247" s="482"/>
      <c r="CT247" s="482"/>
      <c r="CU247" s="482"/>
      <c r="CV247" s="482"/>
      <c r="CW247" s="482"/>
      <c r="CX247" s="482"/>
      <c r="CY247" s="482"/>
      <c r="CZ247" s="482"/>
      <c r="DA247" s="482"/>
      <c r="DB247" s="482"/>
      <c r="DC247" s="482"/>
      <c r="DD247" s="482"/>
      <c r="DE247" s="482"/>
      <c r="DF247" s="482"/>
      <c r="DG247" s="482"/>
      <c r="DH247" s="482"/>
      <c r="DI247" s="482"/>
      <c r="DJ247" s="482"/>
      <c r="DK247" s="482"/>
      <c r="DL247" s="482"/>
      <c r="DM247" s="482"/>
      <c r="DN247" s="482"/>
      <c r="DO247" s="482"/>
      <c r="DP247" s="482"/>
      <c r="DQ247" s="482"/>
      <c r="DR247" s="482"/>
      <c r="DS247" s="482"/>
      <c r="DT247" s="482"/>
      <c r="DU247" s="482"/>
      <c r="DV247" s="482"/>
      <c r="DW247" s="482"/>
      <c r="DX247" s="482"/>
      <c r="DY247" s="482"/>
      <c r="DZ247" s="482"/>
      <c r="EA247" s="482"/>
      <c r="EB247" s="482"/>
      <c r="EC247" s="482"/>
      <c r="ED247" s="482"/>
      <c r="EE247" s="482"/>
      <c r="EF247" s="482"/>
      <c r="EG247" s="482"/>
      <c r="EH247" s="482"/>
      <c r="EI247" s="482"/>
      <c r="EJ247" s="482"/>
      <c r="EK247" s="482"/>
      <c r="EL247" s="482"/>
      <c r="EM247" s="482"/>
      <c r="EN247" s="482"/>
      <c r="EO247" s="482"/>
      <c r="EP247" s="482"/>
      <c r="EQ247" s="482"/>
      <c r="ER247" s="482"/>
      <c r="ES247" s="482"/>
      <c r="ET247" s="482"/>
      <c r="EU247" s="482"/>
      <c r="EV247" s="482"/>
      <c r="EW247" s="482"/>
      <c r="EX247" s="482"/>
      <c r="EY247" s="927">
        <f t="shared" si="162"/>
        <v>0</v>
      </c>
      <c r="EZ247" s="423"/>
      <c r="FA247" s="423"/>
      <c r="FB247" s="423"/>
      <c r="FC247" s="423"/>
      <c r="FD247" s="423"/>
      <c r="FE247" s="423"/>
      <c r="FF247" s="423"/>
      <c r="FG247" s="423"/>
      <c r="FH247" s="423"/>
      <c r="FI247" s="423"/>
      <c r="FJ247" s="423"/>
      <c r="FK247" s="423"/>
      <c r="FL247" s="423"/>
    </row>
    <row r="248" spans="1:168" hidden="1" x14ac:dyDescent="0.25">
      <c r="A248" s="1460"/>
      <c r="B248" s="115"/>
      <c r="C248" s="426"/>
      <c r="D248" s="420"/>
      <c r="E248" s="420"/>
      <c r="F248" s="420"/>
      <c r="G248" s="426"/>
      <c r="H248" s="426"/>
      <c r="I248" s="420"/>
      <c r="J248" s="482"/>
      <c r="K248" s="482"/>
      <c r="L248" s="482"/>
      <c r="M248" s="482"/>
      <c r="N248" s="482"/>
      <c r="O248" s="482"/>
      <c r="P248" s="482"/>
      <c r="Q248" s="482"/>
      <c r="R248" s="482"/>
      <c r="S248" s="482"/>
      <c r="T248" s="482"/>
      <c r="U248" s="482"/>
      <c r="V248" s="482"/>
      <c r="W248" s="482"/>
      <c r="X248" s="482"/>
      <c r="Y248" s="482"/>
      <c r="Z248" s="482"/>
      <c r="AA248" s="482"/>
      <c r="AB248" s="482"/>
      <c r="AC248" s="482"/>
      <c r="AD248" s="482"/>
      <c r="AE248" s="482"/>
      <c r="AF248" s="482"/>
      <c r="AG248" s="482"/>
      <c r="AH248" s="482"/>
      <c r="AI248" s="482"/>
      <c r="AJ248" s="482"/>
      <c r="AK248" s="482"/>
      <c r="AL248" s="482"/>
      <c r="AM248" s="482"/>
      <c r="AN248" s="482"/>
      <c r="AO248" s="482"/>
      <c r="AP248" s="482"/>
      <c r="AQ248" s="482"/>
      <c r="AR248" s="482"/>
      <c r="AS248" s="482"/>
      <c r="AT248" s="482"/>
      <c r="AU248" s="482"/>
      <c r="AV248" s="482"/>
      <c r="AW248" s="482"/>
      <c r="AX248" s="482"/>
      <c r="AY248" s="482"/>
      <c r="AZ248" s="482"/>
      <c r="BA248" s="482"/>
      <c r="BB248" s="482"/>
      <c r="BC248" s="482"/>
      <c r="BD248" s="482"/>
      <c r="BE248" s="482"/>
      <c r="BF248" s="482"/>
      <c r="BG248" s="482"/>
      <c r="BH248" s="482"/>
      <c r="BI248" s="482"/>
      <c r="BJ248" s="482"/>
      <c r="BK248" s="482"/>
      <c r="BL248" s="482"/>
      <c r="BM248" s="482"/>
      <c r="BN248" s="482"/>
      <c r="BO248" s="482"/>
      <c r="BP248" s="482"/>
      <c r="BQ248" s="482"/>
      <c r="BR248" s="482"/>
      <c r="BS248" s="482"/>
      <c r="BT248" s="482"/>
      <c r="BU248" s="482"/>
      <c r="BV248" s="482"/>
      <c r="BW248" s="482"/>
      <c r="BX248" s="482"/>
      <c r="BY248" s="482"/>
      <c r="BZ248" s="482"/>
      <c r="CA248" s="482"/>
      <c r="CB248" s="482"/>
      <c r="CC248" s="482"/>
      <c r="CD248" s="482"/>
      <c r="CE248" s="482"/>
      <c r="CF248" s="482"/>
      <c r="CG248" s="482"/>
      <c r="CH248" s="482"/>
      <c r="CI248" s="482"/>
      <c r="CJ248" s="482"/>
      <c r="CK248" s="482"/>
      <c r="CL248" s="482"/>
      <c r="CM248" s="482"/>
      <c r="CN248" s="482"/>
      <c r="CO248" s="482"/>
      <c r="CP248" s="482"/>
      <c r="CQ248" s="482"/>
      <c r="CR248" s="482"/>
      <c r="CS248" s="482"/>
      <c r="CT248" s="482"/>
      <c r="CU248" s="482"/>
      <c r="CV248" s="482"/>
      <c r="CW248" s="482"/>
      <c r="CX248" s="482"/>
      <c r="CY248" s="482"/>
      <c r="CZ248" s="482"/>
      <c r="DA248" s="482"/>
      <c r="DB248" s="482"/>
      <c r="DC248" s="482"/>
      <c r="DD248" s="482"/>
      <c r="DE248" s="482"/>
      <c r="DF248" s="482"/>
      <c r="DG248" s="482"/>
      <c r="DH248" s="482"/>
      <c r="DI248" s="482"/>
      <c r="DJ248" s="482"/>
      <c r="DK248" s="482"/>
      <c r="DL248" s="482"/>
      <c r="DM248" s="482"/>
      <c r="DN248" s="482"/>
      <c r="DO248" s="482"/>
      <c r="DP248" s="482"/>
      <c r="DQ248" s="482"/>
      <c r="DR248" s="482"/>
      <c r="DS248" s="482"/>
      <c r="DT248" s="482"/>
      <c r="DU248" s="482"/>
      <c r="DV248" s="482"/>
      <c r="DW248" s="482"/>
      <c r="DX248" s="482"/>
      <c r="DY248" s="482"/>
      <c r="DZ248" s="482"/>
      <c r="EA248" s="482"/>
      <c r="EB248" s="482"/>
      <c r="EC248" s="482"/>
      <c r="ED248" s="482"/>
      <c r="EE248" s="482"/>
      <c r="EF248" s="482"/>
      <c r="EG248" s="482"/>
      <c r="EH248" s="482"/>
      <c r="EI248" s="482"/>
      <c r="EJ248" s="482"/>
      <c r="EK248" s="482"/>
      <c r="EL248" s="482"/>
      <c r="EM248" s="482"/>
      <c r="EN248" s="482"/>
      <c r="EO248" s="482"/>
      <c r="EP248" s="482"/>
      <c r="EQ248" s="482"/>
      <c r="ER248" s="482"/>
      <c r="ES248" s="482"/>
      <c r="ET248" s="482"/>
      <c r="EU248" s="482"/>
      <c r="EV248" s="482"/>
      <c r="EW248" s="482"/>
      <c r="EX248" s="482"/>
      <c r="EY248" s="927">
        <f t="shared" si="162"/>
        <v>0</v>
      </c>
      <c r="EZ248" s="423"/>
      <c r="FA248" s="423"/>
      <c r="FB248" s="423"/>
      <c r="FC248" s="423"/>
      <c r="FD248" s="423"/>
      <c r="FE248" s="423"/>
      <c r="FF248" s="423"/>
      <c r="FG248" s="423"/>
      <c r="FH248" s="423"/>
      <c r="FI248" s="423"/>
      <c r="FJ248" s="423"/>
      <c r="FK248" s="423"/>
      <c r="FL248" s="423"/>
    </row>
    <row r="249" spans="1:168" hidden="1" x14ac:dyDescent="0.25">
      <c r="A249" s="1460"/>
      <c r="B249" s="115"/>
      <c r="C249" s="426"/>
      <c r="D249" s="420"/>
      <c r="E249" s="420"/>
      <c r="F249" s="420"/>
      <c r="G249" s="426"/>
      <c r="H249" s="426"/>
      <c r="I249" s="420"/>
      <c r="J249" s="482"/>
      <c r="K249" s="482"/>
      <c r="L249" s="482"/>
      <c r="M249" s="482"/>
      <c r="N249" s="482"/>
      <c r="O249" s="482"/>
      <c r="P249" s="482"/>
      <c r="Q249" s="482"/>
      <c r="R249" s="482"/>
      <c r="S249" s="482"/>
      <c r="T249" s="482"/>
      <c r="U249" s="482"/>
      <c r="V249" s="482"/>
      <c r="W249" s="482"/>
      <c r="X249" s="482"/>
      <c r="Y249" s="482"/>
      <c r="Z249" s="482"/>
      <c r="AA249" s="482"/>
      <c r="AB249" s="482"/>
      <c r="AC249" s="482"/>
      <c r="AD249" s="482"/>
      <c r="AE249" s="482"/>
      <c r="AF249" s="482"/>
      <c r="AG249" s="482"/>
      <c r="AH249" s="482"/>
      <c r="AI249" s="482"/>
      <c r="AJ249" s="482"/>
      <c r="AK249" s="482"/>
      <c r="AL249" s="482"/>
      <c r="AM249" s="482"/>
      <c r="AN249" s="482"/>
      <c r="AO249" s="482"/>
      <c r="AP249" s="482"/>
      <c r="AQ249" s="482"/>
      <c r="AR249" s="482"/>
      <c r="AS249" s="482"/>
      <c r="AT249" s="482"/>
      <c r="AU249" s="482"/>
      <c r="AV249" s="482"/>
      <c r="AW249" s="482"/>
      <c r="AX249" s="482"/>
      <c r="AY249" s="482"/>
      <c r="AZ249" s="482"/>
      <c r="BA249" s="482"/>
      <c r="BB249" s="482"/>
      <c r="BC249" s="482"/>
      <c r="BD249" s="482"/>
      <c r="BE249" s="482"/>
      <c r="BF249" s="482"/>
      <c r="BG249" s="482"/>
      <c r="BH249" s="482"/>
      <c r="BI249" s="482"/>
      <c r="BJ249" s="482"/>
      <c r="BK249" s="482"/>
      <c r="BL249" s="482"/>
      <c r="BM249" s="482"/>
      <c r="BN249" s="482"/>
      <c r="BO249" s="482"/>
      <c r="BP249" s="482"/>
      <c r="BQ249" s="482"/>
      <c r="BR249" s="482"/>
      <c r="BS249" s="482"/>
      <c r="BT249" s="482"/>
      <c r="BU249" s="482"/>
      <c r="BV249" s="482"/>
      <c r="BW249" s="482"/>
      <c r="BX249" s="482"/>
      <c r="BY249" s="482"/>
      <c r="BZ249" s="482"/>
      <c r="CA249" s="482"/>
      <c r="CB249" s="482"/>
      <c r="CC249" s="482"/>
      <c r="CD249" s="482"/>
      <c r="CE249" s="482"/>
      <c r="CF249" s="482"/>
      <c r="CG249" s="482"/>
      <c r="CH249" s="482"/>
      <c r="CI249" s="482"/>
      <c r="CJ249" s="482"/>
      <c r="CK249" s="482"/>
      <c r="CL249" s="482"/>
      <c r="CM249" s="482"/>
      <c r="CN249" s="482"/>
      <c r="CO249" s="482"/>
      <c r="CP249" s="482"/>
      <c r="CQ249" s="482"/>
      <c r="CR249" s="482"/>
      <c r="CS249" s="482"/>
      <c r="CT249" s="482"/>
      <c r="CU249" s="482"/>
      <c r="CV249" s="482"/>
      <c r="CW249" s="482"/>
      <c r="CX249" s="482"/>
      <c r="CY249" s="482"/>
      <c r="CZ249" s="482"/>
      <c r="DA249" s="482"/>
      <c r="DB249" s="482"/>
      <c r="DC249" s="482"/>
      <c r="DD249" s="482"/>
      <c r="DE249" s="482"/>
      <c r="DF249" s="482"/>
      <c r="DG249" s="482"/>
      <c r="DH249" s="482"/>
      <c r="DI249" s="482"/>
      <c r="DJ249" s="482"/>
      <c r="DK249" s="482"/>
      <c r="DL249" s="482"/>
      <c r="DM249" s="482"/>
      <c r="DN249" s="482"/>
      <c r="DO249" s="482"/>
      <c r="DP249" s="482"/>
      <c r="DQ249" s="482"/>
      <c r="DR249" s="482"/>
      <c r="DS249" s="482"/>
      <c r="DT249" s="482"/>
      <c r="DU249" s="482"/>
      <c r="DV249" s="482"/>
      <c r="DW249" s="482"/>
      <c r="DX249" s="482"/>
      <c r="DY249" s="482"/>
      <c r="DZ249" s="482"/>
      <c r="EA249" s="482"/>
      <c r="EB249" s="482"/>
      <c r="EC249" s="482"/>
      <c r="ED249" s="482"/>
      <c r="EE249" s="482"/>
      <c r="EF249" s="482"/>
      <c r="EG249" s="482"/>
      <c r="EH249" s="482"/>
      <c r="EI249" s="482"/>
      <c r="EJ249" s="482"/>
      <c r="EK249" s="482"/>
      <c r="EL249" s="482"/>
      <c r="EM249" s="482"/>
      <c r="EN249" s="482"/>
      <c r="EO249" s="482"/>
      <c r="EP249" s="482"/>
      <c r="EQ249" s="482"/>
      <c r="ER249" s="482"/>
      <c r="ES249" s="482"/>
      <c r="ET249" s="482"/>
      <c r="EU249" s="482"/>
      <c r="EV249" s="482"/>
      <c r="EW249" s="482"/>
      <c r="EX249" s="482"/>
      <c r="EY249" s="927">
        <f t="shared" si="162"/>
        <v>0</v>
      </c>
      <c r="EZ249" s="423"/>
      <c r="FA249" s="423"/>
      <c r="FB249" s="423"/>
      <c r="FC249" s="423"/>
      <c r="FD249" s="423"/>
      <c r="FE249" s="423"/>
      <c r="FF249" s="423"/>
      <c r="FG249" s="423"/>
      <c r="FH249" s="423"/>
      <c r="FI249" s="423"/>
      <c r="FJ249" s="423"/>
      <c r="FK249" s="423"/>
      <c r="FL249" s="423"/>
    </row>
    <row r="250" spans="1:168" hidden="1" x14ac:dyDescent="0.25">
      <c r="A250" s="1460"/>
      <c r="B250" s="115"/>
      <c r="C250" s="426"/>
      <c r="D250" s="420"/>
      <c r="E250" s="420"/>
      <c r="F250" s="420"/>
      <c r="G250" s="426"/>
      <c r="H250" s="426"/>
      <c r="I250" s="420"/>
      <c r="J250" s="482"/>
      <c r="K250" s="482"/>
      <c r="L250" s="482"/>
      <c r="M250" s="482"/>
      <c r="N250" s="482"/>
      <c r="O250" s="482"/>
      <c r="P250" s="482"/>
      <c r="Q250" s="482"/>
      <c r="R250" s="482"/>
      <c r="S250" s="482"/>
      <c r="T250" s="482"/>
      <c r="U250" s="482"/>
      <c r="V250" s="482"/>
      <c r="W250" s="482"/>
      <c r="X250" s="482"/>
      <c r="Y250" s="482"/>
      <c r="Z250" s="482"/>
      <c r="AA250" s="482"/>
      <c r="AB250" s="482"/>
      <c r="AC250" s="482"/>
      <c r="AD250" s="482"/>
      <c r="AE250" s="482"/>
      <c r="AF250" s="482"/>
      <c r="AG250" s="482"/>
      <c r="AH250" s="482"/>
      <c r="AI250" s="482"/>
      <c r="AJ250" s="482"/>
      <c r="AK250" s="482"/>
      <c r="AL250" s="482"/>
      <c r="AM250" s="482"/>
      <c r="AN250" s="482"/>
      <c r="AO250" s="482"/>
      <c r="AP250" s="482"/>
      <c r="AQ250" s="482"/>
      <c r="AR250" s="482"/>
      <c r="AS250" s="482"/>
      <c r="AT250" s="482"/>
      <c r="AU250" s="482"/>
      <c r="AV250" s="482"/>
      <c r="AW250" s="482"/>
      <c r="AX250" s="482"/>
      <c r="AY250" s="482"/>
      <c r="AZ250" s="482"/>
      <c r="BA250" s="482"/>
      <c r="BB250" s="482"/>
      <c r="BC250" s="482"/>
      <c r="BD250" s="482"/>
      <c r="BE250" s="482"/>
      <c r="BF250" s="482"/>
      <c r="BG250" s="482"/>
      <c r="BH250" s="482"/>
      <c r="BI250" s="482"/>
      <c r="BJ250" s="482"/>
      <c r="BK250" s="482"/>
      <c r="BL250" s="482"/>
      <c r="BM250" s="482"/>
      <c r="BN250" s="482"/>
      <c r="BO250" s="482"/>
      <c r="BP250" s="482"/>
      <c r="BQ250" s="482"/>
      <c r="BR250" s="482"/>
      <c r="BS250" s="482"/>
      <c r="BT250" s="482"/>
      <c r="BU250" s="482"/>
      <c r="BV250" s="482"/>
      <c r="BW250" s="482"/>
      <c r="BX250" s="482"/>
      <c r="BY250" s="482"/>
      <c r="BZ250" s="482"/>
      <c r="CA250" s="482"/>
      <c r="CB250" s="482"/>
      <c r="CC250" s="482"/>
      <c r="CD250" s="482"/>
      <c r="CE250" s="482"/>
      <c r="CF250" s="482"/>
      <c r="CG250" s="482"/>
      <c r="CH250" s="482"/>
      <c r="CI250" s="482"/>
      <c r="CJ250" s="482"/>
      <c r="CK250" s="482"/>
      <c r="CL250" s="482"/>
      <c r="CM250" s="482"/>
      <c r="CN250" s="482"/>
      <c r="CO250" s="482"/>
      <c r="CP250" s="482"/>
      <c r="CQ250" s="482"/>
      <c r="CR250" s="482"/>
      <c r="CS250" s="482"/>
      <c r="CT250" s="482"/>
      <c r="CU250" s="482"/>
      <c r="CV250" s="482"/>
      <c r="CW250" s="482"/>
      <c r="CX250" s="482"/>
      <c r="CY250" s="482"/>
      <c r="CZ250" s="482"/>
      <c r="DA250" s="482"/>
      <c r="DB250" s="482"/>
      <c r="DC250" s="482"/>
      <c r="DD250" s="482"/>
      <c r="DE250" s="482"/>
      <c r="DF250" s="482"/>
      <c r="DG250" s="482"/>
      <c r="DH250" s="482"/>
      <c r="DI250" s="482"/>
      <c r="DJ250" s="482"/>
      <c r="DK250" s="482"/>
      <c r="DL250" s="482"/>
      <c r="DM250" s="482"/>
      <c r="DN250" s="482"/>
      <c r="DO250" s="482"/>
      <c r="DP250" s="482"/>
      <c r="DQ250" s="482"/>
      <c r="DR250" s="482"/>
      <c r="DS250" s="482"/>
      <c r="DT250" s="482"/>
      <c r="DU250" s="482"/>
      <c r="DV250" s="482"/>
      <c r="DW250" s="482"/>
      <c r="DX250" s="482"/>
      <c r="DY250" s="482"/>
      <c r="DZ250" s="482"/>
      <c r="EA250" s="482"/>
      <c r="EB250" s="482"/>
      <c r="EC250" s="482"/>
      <c r="ED250" s="482"/>
      <c r="EE250" s="482"/>
      <c r="EF250" s="482"/>
      <c r="EG250" s="482"/>
      <c r="EH250" s="482"/>
      <c r="EI250" s="482"/>
      <c r="EJ250" s="482"/>
      <c r="EK250" s="482"/>
      <c r="EL250" s="482"/>
      <c r="EM250" s="482"/>
      <c r="EN250" s="482"/>
      <c r="EO250" s="482"/>
      <c r="EP250" s="482"/>
      <c r="EQ250" s="482"/>
      <c r="ER250" s="482"/>
      <c r="ES250" s="482"/>
      <c r="ET250" s="482"/>
      <c r="EU250" s="482"/>
      <c r="EV250" s="482"/>
      <c r="EW250" s="482"/>
      <c r="EX250" s="482"/>
      <c r="EY250" s="927">
        <f t="shared" si="162"/>
        <v>0</v>
      </c>
      <c r="EZ250" s="423"/>
      <c r="FA250" s="423"/>
      <c r="FB250" s="423"/>
      <c r="FC250" s="423"/>
      <c r="FD250" s="423"/>
      <c r="FE250" s="423"/>
      <c r="FF250" s="423"/>
      <c r="FG250" s="423"/>
      <c r="FH250" s="423"/>
      <c r="FI250" s="423"/>
      <c r="FJ250" s="423"/>
      <c r="FK250" s="423"/>
      <c r="FL250" s="423"/>
    </row>
    <row r="251" spans="1:168" hidden="1" x14ac:dyDescent="0.25">
      <c r="A251" s="1461"/>
      <c r="B251" s="115"/>
      <c r="C251" s="426"/>
      <c r="D251" s="420"/>
      <c r="E251" s="420"/>
      <c r="F251" s="420"/>
      <c r="G251" s="426"/>
      <c r="H251" s="426"/>
      <c r="I251" s="420"/>
      <c r="J251" s="482"/>
      <c r="K251" s="482"/>
      <c r="L251" s="482"/>
      <c r="M251" s="482"/>
      <c r="N251" s="482"/>
      <c r="O251" s="482"/>
      <c r="P251" s="482"/>
      <c r="Q251" s="482"/>
      <c r="R251" s="482"/>
      <c r="S251" s="482"/>
      <c r="T251" s="482"/>
      <c r="U251" s="482"/>
      <c r="V251" s="482"/>
      <c r="W251" s="482"/>
      <c r="X251" s="482"/>
      <c r="Y251" s="482"/>
      <c r="Z251" s="482"/>
      <c r="AA251" s="482"/>
      <c r="AB251" s="482"/>
      <c r="AC251" s="482"/>
      <c r="AD251" s="482"/>
      <c r="AE251" s="482"/>
      <c r="AF251" s="482"/>
      <c r="AG251" s="482"/>
      <c r="AH251" s="482"/>
      <c r="AI251" s="482"/>
      <c r="AJ251" s="482"/>
      <c r="AK251" s="482"/>
      <c r="AL251" s="482"/>
      <c r="AM251" s="482"/>
      <c r="AN251" s="482"/>
      <c r="AO251" s="482"/>
      <c r="AP251" s="482"/>
      <c r="AQ251" s="482"/>
      <c r="AR251" s="482"/>
      <c r="AS251" s="482"/>
      <c r="AT251" s="482"/>
      <c r="AU251" s="482"/>
      <c r="AV251" s="482"/>
      <c r="AW251" s="482"/>
      <c r="AX251" s="482"/>
      <c r="AY251" s="482"/>
      <c r="AZ251" s="482"/>
      <c r="BA251" s="482"/>
      <c r="BB251" s="482"/>
      <c r="BC251" s="482"/>
      <c r="BD251" s="482"/>
      <c r="BE251" s="482"/>
      <c r="BF251" s="482"/>
      <c r="BG251" s="482"/>
      <c r="BH251" s="482"/>
      <c r="BI251" s="482"/>
      <c r="BJ251" s="482"/>
      <c r="BK251" s="482"/>
      <c r="BL251" s="482"/>
      <c r="BM251" s="482"/>
      <c r="BN251" s="482"/>
      <c r="BO251" s="482"/>
      <c r="BP251" s="482"/>
      <c r="BQ251" s="482"/>
      <c r="BR251" s="482"/>
      <c r="BS251" s="482"/>
      <c r="BT251" s="482"/>
      <c r="BU251" s="482"/>
      <c r="BV251" s="482"/>
      <c r="BW251" s="482"/>
      <c r="BX251" s="482"/>
      <c r="BY251" s="482"/>
      <c r="BZ251" s="482"/>
      <c r="CA251" s="482"/>
      <c r="CB251" s="482"/>
      <c r="CC251" s="482"/>
      <c r="CD251" s="482"/>
      <c r="CE251" s="482"/>
      <c r="CF251" s="482"/>
      <c r="CG251" s="482"/>
      <c r="CH251" s="482"/>
      <c r="CI251" s="482"/>
      <c r="CJ251" s="482"/>
      <c r="CK251" s="482"/>
      <c r="CL251" s="482"/>
      <c r="CM251" s="482"/>
      <c r="CN251" s="482"/>
      <c r="CO251" s="482"/>
      <c r="CP251" s="482"/>
      <c r="CQ251" s="482"/>
      <c r="CR251" s="482"/>
      <c r="CS251" s="482"/>
      <c r="CT251" s="482"/>
      <c r="CU251" s="482"/>
      <c r="CV251" s="482"/>
      <c r="CW251" s="482"/>
      <c r="CX251" s="482"/>
      <c r="CY251" s="482"/>
      <c r="CZ251" s="482"/>
      <c r="DA251" s="482"/>
      <c r="DB251" s="482"/>
      <c r="DC251" s="482"/>
      <c r="DD251" s="482"/>
      <c r="DE251" s="482"/>
      <c r="DF251" s="482"/>
      <c r="DG251" s="482"/>
      <c r="DH251" s="482"/>
      <c r="DI251" s="482"/>
      <c r="DJ251" s="482"/>
      <c r="DK251" s="482"/>
      <c r="DL251" s="482"/>
      <c r="DM251" s="482"/>
      <c r="DN251" s="482"/>
      <c r="DO251" s="482"/>
      <c r="DP251" s="482"/>
      <c r="DQ251" s="482"/>
      <c r="DR251" s="482"/>
      <c r="DS251" s="482"/>
      <c r="DT251" s="482"/>
      <c r="DU251" s="482"/>
      <c r="DV251" s="482"/>
      <c r="DW251" s="482"/>
      <c r="DX251" s="482"/>
      <c r="DY251" s="482"/>
      <c r="DZ251" s="482"/>
      <c r="EA251" s="482"/>
      <c r="EB251" s="482"/>
      <c r="EC251" s="482"/>
      <c r="ED251" s="482"/>
      <c r="EE251" s="482"/>
      <c r="EF251" s="482"/>
      <c r="EG251" s="482"/>
      <c r="EH251" s="482"/>
      <c r="EI251" s="482"/>
      <c r="EJ251" s="482"/>
      <c r="EK251" s="482"/>
      <c r="EL251" s="482"/>
      <c r="EM251" s="482"/>
      <c r="EN251" s="482"/>
      <c r="EO251" s="482"/>
      <c r="EP251" s="482"/>
      <c r="EQ251" s="482"/>
      <c r="ER251" s="482"/>
      <c r="ES251" s="482"/>
      <c r="ET251" s="482"/>
      <c r="EU251" s="482"/>
      <c r="EV251" s="482"/>
      <c r="EW251" s="482"/>
      <c r="EX251" s="482"/>
      <c r="EY251" s="927">
        <f t="shared" si="162"/>
        <v>0</v>
      </c>
      <c r="EZ251" s="423"/>
      <c r="FA251" s="423"/>
      <c r="FB251" s="423"/>
      <c r="FC251" s="423"/>
      <c r="FD251" s="423"/>
      <c r="FE251" s="423"/>
      <c r="FF251" s="423"/>
      <c r="FG251" s="423"/>
      <c r="FH251" s="423"/>
      <c r="FI251" s="423"/>
      <c r="FJ251" s="423"/>
      <c r="FK251" s="423"/>
      <c r="FL251" s="423"/>
    </row>
    <row r="252" spans="1:168" hidden="1" x14ac:dyDescent="0.25">
      <c r="A252" s="120"/>
      <c r="B252" s="118" t="s">
        <v>801</v>
      </c>
      <c r="C252" s="840">
        <f>SUM(C247:C251)</f>
        <v>0</v>
      </c>
      <c r="D252" s="842">
        <f>SUM(D247:D251)</f>
        <v>0</v>
      </c>
      <c r="E252" s="842">
        <f t="shared" ref="E252:BC252" si="168">SUM(E247:E251)</f>
        <v>0</v>
      </c>
      <c r="F252" s="842">
        <f t="shared" si="168"/>
        <v>0</v>
      </c>
      <c r="G252" s="840">
        <f t="shared" si="168"/>
        <v>0</v>
      </c>
      <c r="H252" s="840"/>
      <c r="I252" s="842">
        <f t="shared" ref="I252" si="169">SUM(I247:I251)</f>
        <v>0</v>
      </c>
      <c r="J252" s="844">
        <f t="shared" si="168"/>
        <v>0</v>
      </c>
      <c r="K252" s="844">
        <f t="shared" si="168"/>
        <v>0</v>
      </c>
      <c r="L252" s="844">
        <f t="shared" si="168"/>
        <v>0</v>
      </c>
      <c r="M252" s="844">
        <f t="shared" si="168"/>
        <v>0</v>
      </c>
      <c r="N252" s="844">
        <f t="shared" si="168"/>
        <v>0</v>
      </c>
      <c r="O252" s="844">
        <f t="shared" si="168"/>
        <v>0</v>
      </c>
      <c r="P252" s="844">
        <f t="shared" si="168"/>
        <v>0</v>
      </c>
      <c r="Q252" s="844">
        <f t="shared" si="168"/>
        <v>0</v>
      </c>
      <c r="R252" s="844">
        <f t="shared" si="168"/>
        <v>0</v>
      </c>
      <c r="S252" s="844">
        <f t="shared" si="168"/>
        <v>0</v>
      </c>
      <c r="T252" s="844">
        <f t="shared" si="168"/>
        <v>0</v>
      </c>
      <c r="U252" s="844">
        <f t="shared" si="168"/>
        <v>0</v>
      </c>
      <c r="V252" s="844">
        <f t="shared" si="168"/>
        <v>0</v>
      </c>
      <c r="W252" s="844">
        <f t="shared" si="168"/>
        <v>0</v>
      </c>
      <c r="X252" s="844">
        <f t="shared" si="168"/>
        <v>0</v>
      </c>
      <c r="Y252" s="844">
        <f t="shared" si="168"/>
        <v>0</v>
      </c>
      <c r="Z252" s="844">
        <f t="shared" si="168"/>
        <v>0</v>
      </c>
      <c r="AA252" s="844">
        <f t="shared" si="168"/>
        <v>0</v>
      </c>
      <c r="AB252" s="844">
        <f t="shared" si="168"/>
        <v>0</v>
      </c>
      <c r="AC252" s="844">
        <f t="shared" si="168"/>
        <v>0</v>
      </c>
      <c r="AD252" s="844">
        <f t="shared" si="168"/>
        <v>0</v>
      </c>
      <c r="AE252" s="844">
        <f t="shared" si="168"/>
        <v>0</v>
      </c>
      <c r="AF252" s="844">
        <f t="shared" si="168"/>
        <v>0</v>
      </c>
      <c r="AG252" s="844">
        <f t="shared" si="168"/>
        <v>0</v>
      </c>
      <c r="AH252" s="844">
        <f t="shared" si="168"/>
        <v>0</v>
      </c>
      <c r="AI252" s="844">
        <f t="shared" si="168"/>
        <v>0</v>
      </c>
      <c r="AJ252" s="844">
        <f t="shared" si="168"/>
        <v>0</v>
      </c>
      <c r="AK252" s="844">
        <f t="shared" si="168"/>
        <v>0</v>
      </c>
      <c r="AL252" s="844">
        <f t="shared" si="168"/>
        <v>0</v>
      </c>
      <c r="AM252" s="844">
        <f t="shared" si="168"/>
        <v>0</v>
      </c>
      <c r="AN252" s="844">
        <f t="shared" si="168"/>
        <v>0</v>
      </c>
      <c r="AO252" s="844">
        <f t="shared" si="168"/>
        <v>0</v>
      </c>
      <c r="AP252" s="844">
        <f t="shared" si="168"/>
        <v>0</v>
      </c>
      <c r="AQ252" s="844">
        <f t="shared" si="168"/>
        <v>0</v>
      </c>
      <c r="AR252" s="844">
        <f t="shared" si="168"/>
        <v>0</v>
      </c>
      <c r="AS252" s="844">
        <f t="shared" si="168"/>
        <v>0</v>
      </c>
      <c r="AT252" s="844">
        <f t="shared" si="168"/>
        <v>0</v>
      </c>
      <c r="AU252" s="844">
        <f t="shared" si="168"/>
        <v>0</v>
      </c>
      <c r="AV252" s="844">
        <f t="shared" si="168"/>
        <v>0</v>
      </c>
      <c r="AW252" s="844">
        <f t="shared" si="168"/>
        <v>0</v>
      </c>
      <c r="AX252" s="844">
        <f t="shared" si="168"/>
        <v>0</v>
      </c>
      <c r="AY252" s="844">
        <f t="shared" si="168"/>
        <v>0</v>
      </c>
      <c r="AZ252" s="844">
        <f t="shared" si="168"/>
        <v>0</v>
      </c>
      <c r="BA252" s="844">
        <f t="shared" si="168"/>
        <v>0</v>
      </c>
      <c r="BB252" s="844">
        <f t="shared" si="168"/>
        <v>0</v>
      </c>
      <c r="BC252" s="844">
        <f t="shared" si="168"/>
        <v>0</v>
      </c>
      <c r="BD252" s="844">
        <f t="shared" ref="BD252:DO252" si="170">SUM(BD247:BD251)</f>
        <v>0</v>
      </c>
      <c r="BE252" s="844">
        <f t="shared" si="170"/>
        <v>0</v>
      </c>
      <c r="BF252" s="844">
        <f t="shared" si="170"/>
        <v>0</v>
      </c>
      <c r="BG252" s="844">
        <f t="shared" si="170"/>
        <v>0</v>
      </c>
      <c r="BH252" s="844">
        <f t="shared" si="170"/>
        <v>0</v>
      </c>
      <c r="BI252" s="844">
        <f t="shared" si="170"/>
        <v>0</v>
      </c>
      <c r="BJ252" s="844">
        <f t="shared" si="170"/>
        <v>0</v>
      </c>
      <c r="BK252" s="844">
        <f t="shared" si="170"/>
        <v>0</v>
      </c>
      <c r="BL252" s="844">
        <f t="shared" si="170"/>
        <v>0</v>
      </c>
      <c r="BM252" s="844">
        <f t="shared" si="170"/>
        <v>0</v>
      </c>
      <c r="BN252" s="844">
        <f t="shared" si="170"/>
        <v>0</v>
      </c>
      <c r="BO252" s="844">
        <f t="shared" si="170"/>
        <v>0</v>
      </c>
      <c r="BP252" s="844">
        <f t="shared" si="170"/>
        <v>0</v>
      </c>
      <c r="BQ252" s="844">
        <f t="shared" si="170"/>
        <v>0</v>
      </c>
      <c r="BR252" s="844">
        <f t="shared" si="170"/>
        <v>0</v>
      </c>
      <c r="BS252" s="844">
        <f t="shared" si="170"/>
        <v>0</v>
      </c>
      <c r="BT252" s="844">
        <f t="shared" si="170"/>
        <v>0</v>
      </c>
      <c r="BU252" s="844">
        <f t="shared" si="170"/>
        <v>0</v>
      </c>
      <c r="BV252" s="844">
        <f t="shared" si="170"/>
        <v>0</v>
      </c>
      <c r="BW252" s="844">
        <f t="shared" si="170"/>
        <v>0</v>
      </c>
      <c r="BX252" s="844">
        <f t="shared" si="170"/>
        <v>0</v>
      </c>
      <c r="BY252" s="844">
        <f t="shared" si="170"/>
        <v>0</v>
      </c>
      <c r="BZ252" s="844">
        <f t="shared" si="170"/>
        <v>0</v>
      </c>
      <c r="CA252" s="844">
        <f t="shared" si="170"/>
        <v>0</v>
      </c>
      <c r="CB252" s="844">
        <f t="shared" si="170"/>
        <v>0</v>
      </c>
      <c r="CC252" s="844">
        <f t="shared" si="170"/>
        <v>0</v>
      </c>
      <c r="CD252" s="844">
        <f t="shared" si="170"/>
        <v>0</v>
      </c>
      <c r="CE252" s="844">
        <f t="shared" si="170"/>
        <v>0</v>
      </c>
      <c r="CF252" s="844">
        <f t="shared" si="170"/>
        <v>0</v>
      </c>
      <c r="CG252" s="844">
        <f t="shared" si="170"/>
        <v>0</v>
      </c>
      <c r="CH252" s="844">
        <f t="shared" si="170"/>
        <v>0</v>
      </c>
      <c r="CI252" s="844">
        <f t="shared" si="170"/>
        <v>0</v>
      </c>
      <c r="CJ252" s="844">
        <f t="shared" si="170"/>
        <v>0</v>
      </c>
      <c r="CK252" s="844">
        <f t="shared" si="170"/>
        <v>0</v>
      </c>
      <c r="CL252" s="844">
        <f t="shared" si="170"/>
        <v>0</v>
      </c>
      <c r="CM252" s="844">
        <f t="shared" si="170"/>
        <v>0</v>
      </c>
      <c r="CN252" s="844">
        <f t="shared" si="170"/>
        <v>0</v>
      </c>
      <c r="CO252" s="844">
        <f t="shared" si="170"/>
        <v>0</v>
      </c>
      <c r="CP252" s="844">
        <f t="shared" si="170"/>
        <v>0</v>
      </c>
      <c r="CQ252" s="844">
        <f t="shared" si="170"/>
        <v>0</v>
      </c>
      <c r="CR252" s="844">
        <f t="shared" si="170"/>
        <v>0</v>
      </c>
      <c r="CS252" s="844">
        <f t="shared" si="170"/>
        <v>0</v>
      </c>
      <c r="CT252" s="844">
        <f t="shared" si="170"/>
        <v>0</v>
      </c>
      <c r="CU252" s="844">
        <f t="shared" si="170"/>
        <v>0</v>
      </c>
      <c r="CV252" s="844">
        <f t="shared" si="170"/>
        <v>0</v>
      </c>
      <c r="CW252" s="844">
        <f t="shared" si="170"/>
        <v>0</v>
      </c>
      <c r="CX252" s="844">
        <f t="shared" si="170"/>
        <v>0</v>
      </c>
      <c r="CY252" s="844">
        <f t="shared" si="170"/>
        <v>0</v>
      </c>
      <c r="CZ252" s="844">
        <f t="shared" si="170"/>
        <v>0</v>
      </c>
      <c r="DA252" s="844">
        <f t="shared" si="170"/>
        <v>0</v>
      </c>
      <c r="DB252" s="844">
        <f t="shared" si="170"/>
        <v>0</v>
      </c>
      <c r="DC252" s="844">
        <f t="shared" si="170"/>
        <v>0</v>
      </c>
      <c r="DD252" s="844">
        <f t="shared" si="170"/>
        <v>0</v>
      </c>
      <c r="DE252" s="844">
        <f t="shared" si="170"/>
        <v>0</v>
      </c>
      <c r="DF252" s="844">
        <f t="shared" si="170"/>
        <v>0</v>
      </c>
      <c r="DG252" s="844">
        <f t="shared" si="170"/>
        <v>0</v>
      </c>
      <c r="DH252" s="844">
        <f t="shared" si="170"/>
        <v>0</v>
      </c>
      <c r="DI252" s="844">
        <f t="shared" si="170"/>
        <v>0</v>
      </c>
      <c r="DJ252" s="844">
        <f t="shared" si="170"/>
        <v>0</v>
      </c>
      <c r="DK252" s="844">
        <f t="shared" si="170"/>
        <v>0</v>
      </c>
      <c r="DL252" s="844">
        <f t="shared" si="170"/>
        <v>0</v>
      </c>
      <c r="DM252" s="844">
        <f t="shared" si="170"/>
        <v>0</v>
      </c>
      <c r="DN252" s="844">
        <f t="shared" si="170"/>
        <v>0</v>
      </c>
      <c r="DO252" s="844">
        <f t="shared" si="170"/>
        <v>0</v>
      </c>
      <c r="DP252" s="844">
        <f t="shared" ref="DP252:EX252" si="171">SUM(DP247:DP251)</f>
        <v>0</v>
      </c>
      <c r="DQ252" s="844">
        <f t="shared" si="171"/>
        <v>0</v>
      </c>
      <c r="DR252" s="844">
        <f t="shared" si="171"/>
        <v>0</v>
      </c>
      <c r="DS252" s="844">
        <f t="shared" si="171"/>
        <v>0</v>
      </c>
      <c r="DT252" s="844">
        <f t="shared" si="171"/>
        <v>0</v>
      </c>
      <c r="DU252" s="844">
        <f t="shared" si="171"/>
        <v>0</v>
      </c>
      <c r="DV252" s="844">
        <f t="shared" si="171"/>
        <v>0</v>
      </c>
      <c r="DW252" s="844">
        <f t="shared" si="171"/>
        <v>0</v>
      </c>
      <c r="DX252" s="844">
        <f t="shared" si="171"/>
        <v>0</v>
      </c>
      <c r="DY252" s="844">
        <f t="shared" si="171"/>
        <v>0</v>
      </c>
      <c r="DZ252" s="844">
        <f t="shared" si="171"/>
        <v>0</v>
      </c>
      <c r="EA252" s="844">
        <f t="shared" si="171"/>
        <v>0</v>
      </c>
      <c r="EB252" s="844">
        <f t="shared" si="171"/>
        <v>0</v>
      </c>
      <c r="EC252" s="844">
        <f t="shared" si="171"/>
        <v>0</v>
      </c>
      <c r="ED252" s="844">
        <f t="shared" si="171"/>
        <v>0</v>
      </c>
      <c r="EE252" s="844">
        <f t="shared" si="171"/>
        <v>0</v>
      </c>
      <c r="EF252" s="844">
        <f t="shared" si="171"/>
        <v>0</v>
      </c>
      <c r="EG252" s="844">
        <f t="shared" si="171"/>
        <v>0</v>
      </c>
      <c r="EH252" s="844">
        <f t="shared" si="171"/>
        <v>0</v>
      </c>
      <c r="EI252" s="844">
        <f t="shared" si="171"/>
        <v>0</v>
      </c>
      <c r="EJ252" s="844">
        <f t="shared" si="171"/>
        <v>0</v>
      </c>
      <c r="EK252" s="844">
        <f t="shared" si="171"/>
        <v>0</v>
      </c>
      <c r="EL252" s="844">
        <f t="shared" si="171"/>
        <v>0</v>
      </c>
      <c r="EM252" s="844">
        <f t="shared" si="171"/>
        <v>0</v>
      </c>
      <c r="EN252" s="844">
        <f t="shared" si="171"/>
        <v>0</v>
      </c>
      <c r="EO252" s="844">
        <f t="shared" si="171"/>
        <v>0</v>
      </c>
      <c r="EP252" s="844">
        <f t="shared" si="171"/>
        <v>0</v>
      </c>
      <c r="EQ252" s="844">
        <f t="shared" si="171"/>
        <v>0</v>
      </c>
      <c r="ER252" s="844">
        <f t="shared" si="171"/>
        <v>0</v>
      </c>
      <c r="ES252" s="844">
        <f t="shared" si="171"/>
        <v>0</v>
      </c>
      <c r="ET252" s="844">
        <f t="shared" si="171"/>
        <v>0</v>
      </c>
      <c r="EU252" s="844">
        <f t="shared" si="171"/>
        <v>0</v>
      </c>
      <c r="EV252" s="844">
        <f t="shared" si="171"/>
        <v>0</v>
      </c>
      <c r="EW252" s="844">
        <f t="shared" si="171"/>
        <v>0</v>
      </c>
      <c r="EX252" s="844">
        <f t="shared" si="171"/>
        <v>0</v>
      </c>
      <c r="EY252" s="863">
        <f t="shared" ref="EY252:FL252" si="172">SUM(EY247:EY251)</f>
        <v>0</v>
      </c>
      <c r="EZ252" s="534">
        <f t="shared" si="172"/>
        <v>0</v>
      </c>
      <c r="FA252" s="534">
        <f t="shared" si="172"/>
        <v>0</v>
      </c>
      <c r="FB252" s="534">
        <f t="shared" si="172"/>
        <v>0</v>
      </c>
      <c r="FC252" s="534">
        <f t="shared" si="172"/>
        <v>0</v>
      </c>
      <c r="FD252" s="534">
        <f t="shared" si="172"/>
        <v>0</v>
      </c>
      <c r="FE252" s="534">
        <f t="shared" si="172"/>
        <v>0</v>
      </c>
      <c r="FF252" s="534">
        <f t="shared" si="172"/>
        <v>0</v>
      </c>
      <c r="FG252" s="534">
        <f t="shared" si="172"/>
        <v>0</v>
      </c>
      <c r="FH252" s="534">
        <f t="shared" si="172"/>
        <v>0</v>
      </c>
      <c r="FI252" s="534">
        <f t="shared" si="172"/>
        <v>0</v>
      </c>
      <c r="FJ252" s="534">
        <f t="shared" si="172"/>
        <v>0</v>
      </c>
      <c r="FK252" s="534">
        <f t="shared" si="172"/>
        <v>0</v>
      </c>
      <c r="FL252" s="534">
        <f t="shared" si="172"/>
        <v>0</v>
      </c>
    </row>
    <row r="253" spans="1:168" hidden="1" x14ac:dyDescent="0.25">
      <c r="A253" s="391"/>
      <c r="B253" s="461" t="s">
        <v>1208</v>
      </c>
      <c r="C253" s="841">
        <f>C236+C246+C252</f>
        <v>0</v>
      </c>
      <c r="D253" s="843">
        <f>D236+D246+D252</f>
        <v>0</v>
      </c>
      <c r="E253" s="843">
        <f t="shared" ref="E253:BC253" si="173">E236+E246+E252</f>
        <v>0</v>
      </c>
      <c r="F253" s="843">
        <f t="shared" si="173"/>
        <v>0</v>
      </c>
      <c r="G253" s="841">
        <f t="shared" si="173"/>
        <v>0</v>
      </c>
      <c r="H253" s="841"/>
      <c r="I253" s="843">
        <f t="shared" ref="I253" si="174">I236+I246+I252</f>
        <v>0</v>
      </c>
      <c r="J253" s="845">
        <f t="shared" si="173"/>
        <v>0</v>
      </c>
      <c r="K253" s="845">
        <f t="shared" si="173"/>
        <v>0</v>
      </c>
      <c r="L253" s="845">
        <f t="shared" si="173"/>
        <v>0</v>
      </c>
      <c r="M253" s="845">
        <f t="shared" si="173"/>
        <v>0</v>
      </c>
      <c r="N253" s="845">
        <f t="shared" si="173"/>
        <v>0</v>
      </c>
      <c r="O253" s="845">
        <f t="shared" si="173"/>
        <v>0</v>
      </c>
      <c r="P253" s="845">
        <f t="shared" si="173"/>
        <v>0</v>
      </c>
      <c r="Q253" s="845">
        <f t="shared" si="173"/>
        <v>0</v>
      </c>
      <c r="R253" s="845">
        <f t="shared" si="173"/>
        <v>0</v>
      </c>
      <c r="S253" s="845">
        <f t="shared" si="173"/>
        <v>0</v>
      </c>
      <c r="T253" s="845">
        <f t="shared" si="173"/>
        <v>0</v>
      </c>
      <c r="U253" s="845">
        <f t="shared" si="173"/>
        <v>0</v>
      </c>
      <c r="V253" s="845">
        <f t="shared" si="173"/>
        <v>0</v>
      </c>
      <c r="W253" s="845">
        <f t="shared" si="173"/>
        <v>0</v>
      </c>
      <c r="X253" s="845">
        <f t="shared" si="173"/>
        <v>0</v>
      </c>
      <c r="Y253" s="845">
        <f t="shared" si="173"/>
        <v>0</v>
      </c>
      <c r="Z253" s="845">
        <f t="shared" si="173"/>
        <v>0</v>
      </c>
      <c r="AA253" s="845">
        <f t="shared" si="173"/>
        <v>0</v>
      </c>
      <c r="AB253" s="845">
        <f t="shared" si="173"/>
        <v>0</v>
      </c>
      <c r="AC253" s="845">
        <f t="shared" si="173"/>
        <v>0</v>
      </c>
      <c r="AD253" s="845">
        <f t="shared" si="173"/>
        <v>0</v>
      </c>
      <c r="AE253" s="845">
        <f t="shared" si="173"/>
        <v>0</v>
      </c>
      <c r="AF253" s="845">
        <f t="shared" si="173"/>
        <v>0</v>
      </c>
      <c r="AG253" s="845">
        <f t="shared" si="173"/>
        <v>0</v>
      </c>
      <c r="AH253" s="845">
        <f t="shared" si="173"/>
        <v>0</v>
      </c>
      <c r="AI253" s="845">
        <f t="shared" si="173"/>
        <v>0</v>
      </c>
      <c r="AJ253" s="845">
        <f t="shared" si="173"/>
        <v>0</v>
      </c>
      <c r="AK253" s="845">
        <f t="shared" si="173"/>
        <v>0</v>
      </c>
      <c r="AL253" s="845">
        <f t="shared" si="173"/>
        <v>0</v>
      </c>
      <c r="AM253" s="845">
        <f t="shared" si="173"/>
        <v>0</v>
      </c>
      <c r="AN253" s="845">
        <f t="shared" si="173"/>
        <v>0</v>
      </c>
      <c r="AO253" s="845">
        <f t="shared" si="173"/>
        <v>0</v>
      </c>
      <c r="AP253" s="845">
        <f t="shared" si="173"/>
        <v>0</v>
      </c>
      <c r="AQ253" s="845">
        <f t="shared" si="173"/>
        <v>0</v>
      </c>
      <c r="AR253" s="845">
        <f t="shared" si="173"/>
        <v>0</v>
      </c>
      <c r="AS253" s="845">
        <f t="shared" si="173"/>
        <v>0</v>
      </c>
      <c r="AT253" s="845">
        <f t="shared" si="173"/>
        <v>0</v>
      </c>
      <c r="AU253" s="845">
        <f t="shared" si="173"/>
        <v>0</v>
      </c>
      <c r="AV253" s="845">
        <f t="shared" si="173"/>
        <v>0</v>
      </c>
      <c r="AW253" s="845">
        <f t="shared" si="173"/>
        <v>0</v>
      </c>
      <c r="AX253" s="845">
        <f t="shared" si="173"/>
        <v>0</v>
      </c>
      <c r="AY253" s="845">
        <f t="shared" si="173"/>
        <v>0</v>
      </c>
      <c r="AZ253" s="845">
        <f t="shared" si="173"/>
        <v>0</v>
      </c>
      <c r="BA253" s="845">
        <f t="shared" si="173"/>
        <v>0</v>
      </c>
      <c r="BB253" s="845">
        <f t="shared" si="173"/>
        <v>0</v>
      </c>
      <c r="BC253" s="845">
        <f t="shared" si="173"/>
        <v>0</v>
      </c>
      <c r="BD253" s="845">
        <f t="shared" ref="BD253:DO253" si="175">BD236+BD246+BD252</f>
        <v>0</v>
      </c>
      <c r="BE253" s="845">
        <f t="shared" si="175"/>
        <v>0</v>
      </c>
      <c r="BF253" s="845">
        <f t="shared" si="175"/>
        <v>0</v>
      </c>
      <c r="BG253" s="845">
        <f t="shared" si="175"/>
        <v>0</v>
      </c>
      <c r="BH253" s="845">
        <f t="shared" si="175"/>
        <v>0</v>
      </c>
      <c r="BI253" s="845">
        <f t="shared" si="175"/>
        <v>0</v>
      </c>
      <c r="BJ253" s="845">
        <f t="shared" si="175"/>
        <v>0</v>
      </c>
      <c r="BK253" s="845">
        <f t="shared" si="175"/>
        <v>0</v>
      </c>
      <c r="BL253" s="845">
        <f t="shared" si="175"/>
        <v>0</v>
      </c>
      <c r="BM253" s="845">
        <f t="shared" si="175"/>
        <v>0</v>
      </c>
      <c r="BN253" s="845">
        <f t="shared" si="175"/>
        <v>0</v>
      </c>
      <c r="BO253" s="845">
        <f t="shared" si="175"/>
        <v>0</v>
      </c>
      <c r="BP253" s="845">
        <f t="shared" si="175"/>
        <v>0</v>
      </c>
      <c r="BQ253" s="845">
        <f t="shared" si="175"/>
        <v>0</v>
      </c>
      <c r="BR253" s="845">
        <f t="shared" si="175"/>
        <v>0</v>
      </c>
      <c r="BS253" s="845">
        <f t="shared" si="175"/>
        <v>0</v>
      </c>
      <c r="BT253" s="845">
        <f t="shared" si="175"/>
        <v>0</v>
      </c>
      <c r="BU253" s="845">
        <f t="shared" si="175"/>
        <v>0</v>
      </c>
      <c r="BV253" s="845">
        <f t="shared" si="175"/>
        <v>0</v>
      </c>
      <c r="BW253" s="845">
        <f t="shared" si="175"/>
        <v>0</v>
      </c>
      <c r="BX253" s="845">
        <f t="shared" si="175"/>
        <v>0</v>
      </c>
      <c r="BY253" s="845">
        <f t="shared" si="175"/>
        <v>0</v>
      </c>
      <c r="BZ253" s="845">
        <f t="shared" si="175"/>
        <v>0</v>
      </c>
      <c r="CA253" s="845">
        <f t="shared" si="175"/>
        <v>0</v>
      </c>
      <c r="CB253" s="845">
        <f t="shared" si="175"/>
        <v>0</v>
      </c>
      <c r="CC253" s="845">
        <f t="shared" si="175"/>
        <v>0</v>
      </c>
      <c r="CD253" s="845">
        <f t="shared" si="175"/>
        <v>0</v>
      </c>
      <c r="CE253" s="845">
        <f t="shared" si="175"/>
        <v>0</v>
      </c>
      <c r="CF253" s="845">
        <f t="shared" si="175"/>
        <v>0</v>
      </c>
      <c r="CG253" s="845">
        <f t="shared" si="175"/>
        <v>0</v>
      </c>
      <c r="CH253" s="845">
        <f t="shared" si="175"/>
        <v>0</v>
      </c>
      <c r="CI253" s="845">
        <f t="shared" si="175"/>
        <v>0</v>
      </c>
      <c r="CJ253" s="845">
        <f t="shared" si="175"/>
        <v>0</v>
      </c>
      <c r="CK253" s="845">
        <f t="shared" si="175"/>
        <v>0</v>
      </c>
      <c r="CL253" s="845">
        <f t="shared" si="175"/>
        <v>0</v>
      </c>
      <c r="CM253" s="845">
        <f t="shared" si="175"/>
        <v>0</v>
      </c>
      <c r="CN253" s="845">
        <f t="shared" si="175"/>
        <v>0</v>
      </c>
      <c r="CO253" s="845">
        <f t="shared" si="175"/>
        <v>0</v>
      </c>
      <c r="CP253" s="845">
        <f t="shared" si="175"/>
        <v>0</v>
      </c>
      <c r="CQ253" s="845">
        <f t="shared" si="175"/>
        <v>0</v>
      </c>
      <c r="CR253" s="845">
        <f t="shared" si="175"/>
        <v>0</v>
      </c>
      <c r="CS253" s="845">
        <f t="shared" si="175"/>
        <v>0</v>
      </c>
      <c r="CT253" s="845">
        <f t="shared" si="175"/>
        <v>0</v>
      </c>
      <c r="CU253" s="845">
        <f t="shared" si="175"/>
        <v>0</v>
      </c>
      <c r="CV253" s="845">
        <f t="shared" si="175"/>
        <v>0</v>
      </c>
      <c r="CW253" s="845">
        <f t="shared" si="175"/>
        <v>0</v>
      </c>
      <c r="CX253" s="845">
        <f t="shared" si="175"/>
        <v>0</v>
      </c>
      <c r="CY253" s="845">
        <f t="shared" si="175"/>
        <v>0</v>
      </c>
      <c r="CZ253" s="845">
        <f t="shared" si="175"/>
        <v>0</v>
      </c>
      <c r="DA253" s="845">
        <f t="shared" si="175"/>
        <v>0</v>
      </c>
      <c r="DB253" s="845">
        <f t="shared" si="175"/>
        <v>0</v>
      </c>
      <c r="DC253" s="845">
        <f t="shared" si="175"/>
        <v>0</v>
      </c>
      <c r="DD253" s="845">
        <f t="shared" si="175"/>
        <v>0</v>
      </c>
      <c r="DE253" s="845">
        <f t="shared" si="175"/>
        <v>0</v>
      </c>
      <c r="DF253" s="845">
        <f t="shared" si="175"/>
        <v>0</v>
      </c>
      <c r="DG253" s="845">
        <f t="shared" si="175"/>
        <v>0</v>
      </c>
      <c r="DH253" s="845">
        <f t="shared" si="175"/>
        <v>0</v>
      </c>
      <c r="DI253" s="845">
        <f t="shared" si="175"/>
        <v>0</v>
      </c>
      <c r="DJ253" s="845">
        <f t="shared" si="175"/>
        <v>0</v>
      </c>
      <c r="DK253" s="845">
        <f t="shared" si="175"/>
        <v>0</v>
      </c>
      <c r="DL253" s="845">
        <f t="shared" si="175"/>
        <v>0</v>
      </c>
      <c r="DM253" s="845">
        <f t="shared" si="175"/>
        <v>0</v>
      </c>
      <c r="DN253" s="845">
        <f t="shared" si="175"/>
        <v>0</v>
      </c>
      <c r="DO253" s="845">
        <f t="shared" si="175"/>
        <v>0</v>
      </c>
      <c r="DP253" s="845">
        <f t="shared" ref="DP253:FL253" si="176">DP236+DP246+DP252</f>
        <v>0</v>
      </c>
      <c r="DQ253" s="845">
        <f t="shared" si="176"/>
        <v>0</v>
      </c>
      <c r="DR253" s="845">
        <f t="shared" si="176"/>
        <v>0</v>
      </c>
      <c r="DS253" s="845">
        <f t="shared" si="176"/>
        <v>0</v>
      </c>
      <c r="DT253" s="845">
        <f t="shared" si="176"/>
        <v>0</v>
      </c>
      <c r="DU253" s="845">
        <f t="shared" si="176"/>
        <v>0</v>
      </c>
      <c r="DV253" s="845">
        <f t="shared" si="176"/>
        <v>0</v>
      </c>
      <c r="DW253" s="845">
        <f t="shared" si="176"/>
        <v>0</v>
      </c>
      <c r="DX253" s="845">
        <f t="shared" si="176"/>
        <v>0</v>
      </c>
      <c r="DY253" s="845">
        <f t="shared" si="176"/>
        <v>0</v>
      </c>
      <c r="DZ253" s="845">
        <f t="shared" si="176"/>
        <v>0</v>
      </c>
      <c r="EA253" s="845">
        <f t="shared" si="176"/>
        <v>0</v>
      </c>
      <c r="EB253" s="845">
        <f t="shared" si="176"/>
        <v>0</v>
      </c>
      <c r="EC253" s="845">
        <f t="shared" si="176"/>
        <v>0</v>
      </c>
      <c r="ED253" s="845">
        <f t="shared" si="176"/>
        <v>0</v>
      </c>
      <c r="EE253" s="845">
        <f t="shared" si="176"/>
        <v>0</v>
      </c>
      <c r="EF253" s="845">
        <f t="shared" si="176"/>
        <v>0</v>
      </c>
      <c r="EG253" s="845">
        <f t="shared" si="176"/>
        <v>0</v>
      </c>
      <c r="EH253" s="845">
        <f t="shared" si="176"/>
        <v>0</v>
      </c>
      <c r="EI253" s="845">
        <f t="shared" si="176"/>
        <v>0</v>
      </c>
      <c r="EJ253" s="845">
        <f t="shared" si="176"/>
        <v>0</v>
      </c>
      <c r="EK253" s="845">
        <f t="shared" si="176"/>
        <v>0</v>
      </c>
      <c r="EL253" s="845">
        <f t="shared" si="176"/>
        <v>0</v>
      </c>
      <c r="EM253" s="845">
        <f t="shared" si="176"/>
        <v>0</v>
      </c>
      <c r="EN253" s="845">
        <f t="shared" si="176"/>
        <v>0</v>
      </c>
      <c r="EO253" s="845">
        <f t="shared" si="176"/>
        <v>0</v>
      </c>
      <c r="EP253" s="845">
        <f t="shared" si="176"/>
        <v>0</v>
      </c>
      <c r="EQ253" s="845">
        <f t="shared" si="176"/>
        <v>0</v>
      </c>
      <c r="ER253" s="845">
        <f t="shared" si="176"/>
        <v>0</v>
      </c>
      <c r="ES253" s="845">
        <f t="shared" si="176"/>
        <v>0</v>
      </c>
      <c r="ET253" s="845">
        <f t="shared" si="176"/>
        <v>0</v>
      </c>
      <c r="EU253" s="845">
        <f t="shared" si="176"/>
        <v>0</v>
      </c>
      <c r="EV253" s="845">
        <f t="shared" si="176"/>
        <v>0</v>
      </c>
      <c r="EW253" s="845">
        <f t="shared" si="176"/>
        <v>0</v>
      </c>
      <c r="EX253" s="845">
        <f t="shared" si="176"/>
        <v>0</v>
      </c>
      <c r="EY253" s="767">
        <f t="shared" si="176"/>
        <v>0</v>
      </c>
      <c r="EZ253" s="791">
        <f t="shared" si="176"/>
        <v>0</v>
      </c>
      <c r="FA253" s="791">
        <f t="shared" si="176"/>
        <v>0</v>
      </c>
      <c r="FB253" s="791">
        <f t="shared" si="176"/>
        <v>0</v>
      </c>
      <c r="FC253" s="791">
        <f t="shared" si="176"/>
        <v>0</v>
      </c>
      <c r="FD253" s="791">
        <f t="shared" si="176"/>
        <v>0</v>
      </c>
      <c r="FE253" s="791">
        <f t="shared" si="176"/>
        <v>0</v>
      </c>
      <c r="FF253" s="791">
        <f t="shared" si="176"/>
        <v>0</v>
      </c>
      <c r="FG253" s="791">
        <f t="shared" si="176"/>
        <v>0</v>
      </c>
      <c r="FH253" s="791">
        <f t="shared" si="176"/>
        <v>0</v>
      </c>
      <c r="FI253" s="791">
        <f t="shared" si="176"/>
        <v>0</v>
      </c>
      <c r="FJ253" s="791">
        <f t="shared" si="176"/>
        <v>0</v>
      </c>
      <c r="FK253" s="791">
        <f t="shared" si="176"/>
        <v>0</v>
      </c>
      <c r="FL253" s="791">
        <f t="shared" si="176"/>
        <v>0</v>
      </c>
    </row>
    <row r="254" spans="1:168" hidden="1" x14ac:dyDescent="0.25">
      <c r="A254" s="829"/>
      <c r="B254" s="830" t="s">
        <v>966</v>
      </c>
      <c r="C254" s="846"/>
      <c r="D254" s="869">
        <v>77</v>
      </c>
      <c r="E254" s="869">
        <v>79</v>
      </c>
      <c r="F254" s="869">
        <v>335</v>
      </c>
      <c r="G254" s="846">
        <v>2350</v>
      </c>
      <c r="H254" s="846"/>
      <c r="I254" s="869"/>
      <c r="J254" s="871"/>
      <c r="K254" s="871"/>
      <c r="L254" s="871"/>
      <c r="M254" s="871"/>
      <c r="N254" s="871"/>
      <c r="O254" s="871"/>
      <c r="P254" s="871"/>
      <c r="Q254" s="871"/>
      <c r="R254" s="871"/>
      <c r="S254" s="871"/>
      <c r="T254" s="871"/>
      <c r="U254" s="871"/>
      <c r="V254" s="871"/>
      <c r="W254" s="871"/>
      <c r="X254" s="871"/>
      <c r="Y254" s="871"/>
      <c r="Z254" s="871"/>
      <c r="AA254" s="871"/>
      <c r="AB254" s="871"/>
      <c r="AC254" s="871"/>
      <c r="AD254" s="871"/>
      <c r="AE254" s="871"/>
      <c r="AF254" s="871"/>
      <c r="AG254" s="871"/>
      <c r="AH254" s="871"/>
      <c r="AI254" s="871"/>
      <c r="AJ254" s="871"/>
      <c r="AK254" s="871"/>
      <c r="AL254" s="871"/>
      <c r="AM254" s="871"/>
      <c r="AN254" s="871"/>
      <c r="AO254" s="871"/>
      <c r="AP254" s="871"/>
      <c r="AQ254" s="871"/>
      <c r="AR254" s="871"/>
      <c r="AS254" s="871"/>
      <c r="AT254" s="871"/>
      <c r="AU254" s="871"/>
      <c r="AV254" s="871"/>
      <c r="AW254" s="871"/>
      <c r="AX254" s="871"/>
      <c r="AY254" s="871"/>
      <c r="AZ254" s="871"/>
      <c r="BA254" s="871"/>
      <c r="BB254" s="871"/>
      <c r="BC254" s="871"/>
      <c r="BD254" s="871"/>
      <c r="BE254" s="871"/>
      <c r="BF254" s="871"/>
      <c r="BG254" s="871"/>
      <c r="BH254" s="871"/>
      <c r="BI254" s="871"/>
      <c r="BJ254" s="871"/>
      <c r="BK254" s="871"/>
      <c r="BL254" s="871"/>
      <c r="BM254" s="871"/>
      <c r="BN254" s="871"/>
      <c r="BO254" s="871"/>
      <c r="BP254" s="871"/>
      <c r="BQ254" s="871"/>
      <c r="BR254" s="871"/>
      <c r="BS254" s="871"/>
      <c r="BT254" s="871"/>
      <c r="BU254" s="871"/>
      <c r="BV254" s="871"/>
      <c r="BW254" s="871"/>
      <c r="BX254" s="871"/>
      <c r="BY254" s="871"/>
      <c r="BZ254" s="871"/>
      <c r="CA254" s="871"/>
      <c r="CB254" s="871"/>
      <c r="CC254" s="871"/>
      <c r="CD254" s="871"/>
      <c r="CE254" s="871"/>
      <c r="CF254" s="871"/>
      <c r="CG254" s="871"/>
      <c r="CH254" s="871"/>
      <c r="CI254" s="871"/>
      <c r="CJ254" s="871"/>
      <c r="CK254" s="871"/>
      <c r="CL254" s="871"/>
      <c r="CM254" s="871"/>
      <c r="CN254" s="871"/>
      <c r="CO254" s="871"/>
      <c r="CP254" s="871"/>
      <c r="CQ254" s="871"/>
      <c r="CR254" s="871"/>
      <c r="CS254" s="871"/>
      <c r="CT254" s="871"/>
      <c r="CU254" s="871"/>
      <c r="CV254" s="871"/>
      <c r="CW254" s="871"/>
      <c r="CX254" s="871"/>
      <c r="CY254" s="871"/>
      <c r="CZ254" s="871"/>
      <c r="DA254" s="871"/>
      <c r="DB254" s="871"/>
      <c r="DC254" s="871"/>
      <c r="DD254" s="871"/>
      <c r="DE254" s="871"/>
      <c r="DF254" s="871"/>
      <c r="DG254" s="871"/>
      <c r="DH254" s="871"/>
      <c r="DI254" s="871"/>
      <c r="DJ254" s="871"/>
      <c r="DK254" s="871"/>
      <c r="DL254" s="871"/>
      <c r="DM254" s="871"/>
      <c r="DN254" s="871"/>
      <c r="DO254" s="871"/>
      <c r="DP254" s="871"/>
      <c r="DQ254" s="871"/>
      <c r="DR254" s="871"/>
      <c r="DS254" s="871"/>
      <c r="DT254" s="871"/>
      <c r="DU254" s="871"/>
      <c r="DV254" s="871"/>
      <c r="DW254" s="871"/>
      <c r="DX254" s="871"/>
      <c r="DY254" s="871"/>
      <c r="DZ254" s="871"/>
      <c r="EA254" s="871"/>
      <c r="EB254" s="871"/>
      <c r="EC254" s="871"/>
      <c r="ED254" s="871"/>
      <c r="EE254" s="871"/>
      <c r="EF254" s="871"/>
      <c r="EG254" s="871"/>
      <c r="EH254" s="871"/>
      <c r="EI254" s="871"/>
      <c r="EJ254" s="871"/>
      <c r="EK254" s="871"/>
      <c r="EL254" s="871"/>
      <c r="EM254" s="871"/>
      <c r="EN254" s="871"/>
      <c r="EO254" s="871"/>
      <c r="EP254" s="871"/>
      <c r="EQ254" s="871"/>
      <c r="ER254" s="871"/>
      <c r="ES254" s="871"/>
      <c r="ET254" s="871"/>
      <c r="EU254" s="871"/>
      <c r="EV254" s="871"/>
      <c r="EW254" s="871"/>
      <c r="EX254" s="871"/>
      <c r="EY254" s="873"/>
      <c r="EZ254" s="856">
        <v>1.2</v>
      </c>
      <c r="FA254" s="856">
        <v>1.4</v>
      </c>
      <c r="FB254" s="856">
        <v>60</v>
      </c>
      <c r="FC254" s="856">
        <v>700</v>
      </c>
      <c r="FD254" s="856">
        <v>10</v>
      </c>
      <c r="FE254" s="856">
        <v>1100</v>
      </c>
      <c r="FF254" s="856">
        <v>1100</v>
      </c>
      <c r="FG254" s="856">
        <v>250</v>
      </c>
      <c r="FH254" s="856">
        <v>1100</v>
      </c>
      <c r="FI254" s="856">
        <v>12</v>
      </c>
      <c r="FJ254" s="856">
        <v>10</v>
      </c>
      <c r="FK254" s="856">
        <v>0.1</v>
      </c>
      <c r="FL254" s="856">
        <v>0.02</v>
      </c>
    </row>
    <row r="255" spans="1:168" hidden="1" x14ac:dyDescent="0.25">
      <c r="A255" s="829"/>
      <c r="B255" s="830" t="s">
        <v>965</v>
      </c>
      <c r="C255" s="846"/>
      <c r="D255" s="869">
        <f>D253-D254</f>
        <v>-77</v>
      </c>
      <c r="E255" s="869">
        <f>E253-E254</f>
        <v>-79</v>
      </c>
      <c r="F255" s="869">
        <f t="shared" ref="F255:G255" si="177">F253-F254</f>
        <v>-335</v>
      </c>
      <c r="G255" s="846">
        <f t="shared" si="177"/>
        <v>-2350</v>
      </c>
      <c r="H255" s="846"/>
      <c r="I255" s="869"/>
      <c r="J255" s="857"/>
      <c r="K255" s="857"/>
      <c r="L255" s="857"/>
      <c r="M255" s="857"/>
      <c r="N255" s="857"/>
      <c r="O255" s="857"/>
      <c r="P255" s="857"/>
      <c r="Q255" s="857"/>
      <c r="R255" s="857"/>
      <c r="S255" s="857"/>
      <c r="T255" s="857"/>
      <c r="U255" s="857"/>
      <c r="V255" s="857"/>
      <c r="W255" s="857"/>
      <c r="X255" s="857"/>
      <c r="Y255" s="857"/>
      <c r="Z255" s="857"/>
      <c r="AA255" s="857"/>
      <c r="AB255" s="857"/>
      <c r="AC255" s="857"/>
      <c r="AD255" s="857"/>
      <c r="AE255" s="857"/>
      <c r="AF255" s="857"/>
      <c r="AG255" s="857"/>
      <c r="AH255" s="857"/>
      <c r="AI255" s="857"/>
      <c r="AJ255" s="857"/>
      <c r="AK255" s="857"/>
      <c r="AL255" s="857"/>
      <c r="AM255" s="857"/>
      <c r="AN255" s="857"/>
      <c r="AO255" s="857"/>
      <c r="AP255" s="857"/>
      <c r="AQ255" s="857"/>
      <c r="AR255" s="857"/>
      <c r="AS255" s="857"/>
      <c r="AT255" s="857"/>
      <c r="AU255" s="857"/>
      <c r="AV255" s="857"/>
      <c r="AW255" s="857"/>
      <c r="AX255" s="857"/>
      <c r="AY255" s="857"/>
      <c r="AZ255" s="857"/>
      <c r="BA255" s="857"/>
      <c r="BB255" s="857"/>
      <c r="BC255" s="857"/>
      <c r="BD255" s="857"/>
      <c r="BE255" s="857"/>
      <c r="BF255" s="857"/>
      <c r="BG255" s="857"/>
      <c r="BH255" s="857"/>
      <c r="BI255" s="857"/>
      <c r="BJ255" s="857"/>
      <c r="BK255" s="857"/>
      <c r="BL255" s="857"/>
      <c r="BM255" s="857"/>
      <c r="BN255" s="857"/>
      <c r="BO255" s="857"/>
      <c r="BP255" s="857"/>
      <c r="BQ255" s="857"/>
      <c r="BR255" s="857"/>
      <c r="BS255" s="857"/>
      <c r="BT255" s="857"/>
      <c r="BU255" s="857"/>
      <c r="BV255" s="857"/>
      <c r="BW255" s="857"/>
      <c r="BX255" s="857"/>
      <c r="BY255" s="857"/>
      <c r="BZ255" s="857"/>
      <c r="CA255" s="857"/>
      <c r="CB255" s="857"/>
      <c r="CC255" s="857"/>
      <c r="CD255" s="857"/>
      <c r="CE255" s="857"/>
      <c r="CF255" s="857"/>
      <c r="CG255" s="857"/>
      <c r="CH255" s="857"/>
      <c r="CI255" s="857"/>
      <c r="CJ255" s="857"/>
      <c r="CK255" s="857"/>
      <c r="CL255" s="857"/>
      <c r="CM255" s="857"/>
      <c r="CN255" s="857"/>
      <c r="CO255" s="857"/>
      <c r="CP255" s="857"/>
      <c r="CQ255" s="857"/>
      <c r="CR255" s="857"/>
      <c r="CS255" s="857"/>
      <c r="CT255" s="857"/>
      <c r="CU255" s="857"/>
      <c r="CV255" s="857"/>
      <c r="CW255" s="857"/>
      <c r="CX255" s="857"/>
      <c r="CY255" s="857"/>
      <c r="CZ255" s="857"/>
      <c r="DA255" s="857"/>
      <c r="DB255" s="857"/>
      <c r="DC255" s="857"/>
      <c r="DD255" s="857"/>
      <c r="DE255" s="857"/>
      <c r="DF255" s="857"/>
      <c r="DG255" s="857"/>
      <c r="DH255" s="857"/>
      <c r="DI255" s="857"/>
      <c r="DJ255" s="857"/>
      <c r="DK255" s="857"/>
      <c r="DL255" s="857"/>
      <c r="DM255" s="857"/>
      <c r="DN255" s="857"/>
      <c r="DO255" s="857"/>
      <c r="DP255" s="857"/>
      <c r="DQ255" s="857"/>
      <c r="DR255" s="857"/>
      <c r="DS255" s="857"/>
      <c r="DT255" s="857"/>
      <c r="DU255" s="857"/>
      <c r="DV255" s="857"/>
      <c r="DW255" s="857"/>
      <c r="DX255" s="857"/>
      <c r="DY255" s="857"/>
      <c r="DZ255" s="857"/>
      <c r="EA255" s="857"/>
      <c r="EB255" s="857"/>
      <c r="EC255" s="857"/>
      <c r="ED255" s="857"/>
      <c r="EE255" s="857"/>
      <c r="EF255" s="857"/>
      <c r="EG255" s="857"/>
      <c r="EH255" s="857"/>
      <c r="EI255" s="857"/>
      <c r="EJ255" s="857"/>
      <c r="EK255" s="857"/>
      <c r="EL255" s="857"/>
      <c r="EM255" s="857"/>
      <c r="EN255" s="857"/>
      <c r="EO255" s="857"/>
      <c r="EP255" s="857"/>
      <c r="EQ255" s="857"/>
      <c r="ER255" s="857"/>
      <c r="ES255" s="857"/>
      <c r="ET255" s="857"/>
      <c r="EU255" s="857"/>
      <c r="EV255" s="857"/>
      <c r="EW255" s="857"/>
      <c r="EX255" s="857"/>
      <c r="EY255" s="873"/>
      <c r="EZ255" s="856">
        <f t="shared" ref="EZ255:FL255" si="178">EZ253-EZ254</f>
        <v>-1.2</v>
      </c>
      <c r="FA255" s="856">
        <f t="shared" si="178"/>
        <v>-1.4</v>
      </c>
      <c r="FB255" s="856">
        <f t="shared" si="178"/>
        <v>-60</v>
      </c>
      <c r="FC255" s="856">
        <f t="shared" si="178"/>
        <v>-700</v>
      </c>
      <c r="FD255" s="856">
        <f t="shared" si="178"/>
        <v>-10</v>
      </c>
      <c r="FE255" s="856">
        <f t="shared" si="178"/>
        <v>-1100</v>
      </c>
      <c r="FF255" s="856">
        <f t="shared" si="178"/>
        <v>-1100</v>
      </c>
      <c r="FG255" s="856">
        <f t="shared" si="178"/>
        <v>-250</v>
      </c>
      <c r="FH255" s="856">
        <f t="shared" si="178"/>
        <v>-1100</v>
      </c>
      <c r="FI255" s="856">
        <f t="shared" si="178"/>
        <v>-12</v>
      </c>
      <c r="FJ255" s="856">
        <f t="shared" si="178"/>
        <v>-10</v>
      </c>
      <c r="FK255" s="856">
        <f t="shared" si="178"/>
        <v>-0.1</v>
      </c>
      <c r="FL255" s="856">
        <f t="shared" si="178"/>
        <v>-0.02</v>
      </c>
    </row>
    <row r="256" spans="1:168" hidden="1" x14ac:dyDescent="0.25">
      <c r="A256" s="557"/>
      <c r="B256" s="555" t="s">
        <v>1221</v>
      </c>
      <c r="C256" s="858"/>
      <c r="D256" s="858"/>
      <c r="E256" s="579"/>
      <c r="F256" s="579"/>
      <c r="G256" s="579"/>
      <c r="H256" s="859"/>
      <c r="I256" s="868"/>
      <c r="J256" s="860"/>
      <c r="K256" s="860"/>
      <c r="L256" s="860"/>
      <c r="M256" s="860"/>
      <c r="N256" s="860"/>
      <c r="O256" s="860"/>
      <c r="P256" s="860"/>
      <c r="Q256" s="860"/>
      <c r="R256" s="860"/>
      <c r="S256" s="860"/>
      <c r="T256" s="860"/>
      <c r="U256" s="860"/>
      <c r="V256" s="860"/>
      <c r="W256" s="860"/>
      <c r="X256" s="860"/>
      <c r="Y256" s="860"/>
      <c r="Z256" s="860"/>
      <c r="AA256" s="860"/>
      <c r="AB256" s="860"/>
      <c r="AC256" s="860"/>
      <c r="AD256" s="860"/>
      <c r="AE256" s="860"/>
      <c r="AF256" s="860"/>
      <c r="AG256" s="860"/>
      <c r="AH256" s="860"/>
      <c r="AI256" s="860"/>
      <c r="AJ256" s="860"/>
      <c r="AK256" s="860"/>
      <c r="AL256" s="860"/>
      <c r="AM256" s="860"/>
      <c r="AN256" s="860"/>
      <c r="AO256" s="860"/>
      <c r="AP256" s="860"/>
      <c r="AQ256" s="860"/>
      <c r="AR256" s="860"/>
      <c r="AS256" s="860"/>
      <c r="AT256" s="860"/>
      <c r="AU256" s="860"/>
      <c r="AV256" s="860"/>
      <c r="AW256" s="860"/>
      <c r="AX256" s="860"/>
      <c r="AY256" s="860"/>
      <c r="AZ256" s="860"/>
      <c r="BA256" s="860"/>
      <c r="BB256" s="860"/>
      <c r="BC256" s="860"/>
      <c r="BD256" s="860"/>
      <c r="BE256" s="860"/>
      <c r="BF256" s="860"/>
      <c r="BG256" s="860"/>
      <c r="BH256" s="860"/>
      <c r="BI256" s="860"/>
      <c r="BJ256" s="860"/>
      <c r="BK256" s="860"/>
      <c r="BL256" s="860"/>
      <c r="BM256" s="860"/>
      <c r="BN256" s="860"/>
      <c r="BO256" s="860"/>
      <c r="BP256" s="860"/>
      <c r="BQ256" s="860"/>
      <c r="BR256" s="860"/>
      <c r="BS256" s="860"/>
      <c r="BT256" s="860"/>
      <c r="BU256" s="860"/>
      <c r="BV256" s="860"/>
      <c r="BW256" s="860"/>
      <c r="BX256" s="860"/>
      <c r="BY256" s="860"/>
      <c r="BZ256" s="860"/>
      <c r="CA256" s="860"/>
      <c r="CB256" s="860"/>
      <c r="CC256" s="860"/>
      <c r="CD256" s="860"/>
      <c r="CE256" s="860"/>
      <c r="CF256" s="860"/>
      <c r="CG256" s="860"/>
      <c r="CH256" s="860"/>
      <c r="CI256" s="860"/>
      <c r="CJ256" s="860"/>
      <c r="CK256" s="860"/>
      <c r="CL256" s="860"/>
      <c r="CM256" s="860"/>
      <c r="CN256" s="860"/>
      <c r="CO256" s="860"/>
      <c r="CP256" s="860"/>
      <c r="CQ256" s="860"/>
      <c r="CR256" s="860"/>
      <c r="CS256" s="860"/>
      <c r="CT256" s="860"/>
      <c r="CU256" s="860"/>
      <c r="CV256" s="860"/>
      <c r="CW256" s="860"/>
      <c r="CX256" s="860"/>
      <c r="CY256" s="860"/>
      <c r="CZ256" s="860"/>
      <c r="DA256" s="860"/>
      <c r="DB256" s="860"/>
      <c r="DC256" s="860"/>
      <c r="DD256" s="860"/>
      <c r="DE256" s="860"/>
      <c r="DF256" s="860"/>
      <c r="DG256" s="860"/>
      <c r="DH256" s="860"/>
      <c r="DI256" s="860"/>
      <c r="DJ256" s="860"/>
      <c r="DK256" s="860"/>
      <c r="DL256" s="860"/>
      <c r="DM256" s="860"/>
      <c r="DN256" s="860"/>
      <c r="DO256" s="860"/>
      <c r="DP256" s="860"/>
      <c r="DQ256" s="860"/>
      <c r="DR256" s="860"/>
      <c r="DS256" s="860"/>
      <c r="DT256" s="860"/>
      <c r="DU256" s="860"/>
      <c r="DV256" s="860"/>
      <c r="DW256" s="860"/>
      <c r="DX256" s="860"/>
      <c r="DY256" s="860"/>
      <c r="DZ256" s="860"/>
      <c r="EA256" s="860"/>
      <c r="EB256" s="860"/>
      <c r="EC256" s="860"/>
      <c r="ED256" s="860"/>
      <c r="EE256" s="860"/>
      <c r="EF256" s="860"/>
      <c r="EG256" s="860"/>
      <c r="EH256" s="860"/>
      <c r="EI256" s="860"/>
      <c r="EJ256" s="860"/>
      <c r="EK256" s="860"/>
      <c r="EL256" s="860"/>
      <c r="EM256" s="860"/>
      <c r="EN256" s="860"/>
      <c r="EO256" s="860"/>
      <c r="EP256" s="860"/>
      <c r="EQ256" s="860"/>
      <c r="ER256" s="860"/>
      <c r="ES256" s="860"/>
      <c r="ET256" s="860"/>
      <c r="EU256" s="860"/>
      <c r="EV256" s="860"/>
      <c r="EW256" s="860"/>
      <c r="EX256" s="860"/>
      <c r="EY256" s="694"/>
      <c r="EZ256" s="579"/>
      <c r="FA256" s="579"/>
      <c r="FB256" s="579"/>
      <c r="FC256" s="579"/>
      <c r="FD256" s="579"/>
      <c r="FE256" s="579"/>
      <c r="FF256" s="579"/>
      <c r="FG256" s="579"/>
      <c r="FH256" s="579"/>
      <c r="FI256" s="579"/>
      <c r="FJ256" s="579"/>
      <c r="FK256" s="579"/>
      <c r="FL256" s="579"/>
    </row>
    <row r="257" spans="1:168" ht="13.95" hidden="1" customHeight="1" x14ac:dyDescent="0.25">
      <c r="A257" s="1459" t="s">
        <v>109</v>
      </c>
      <c r="B257" s="115"/>
      <c r="C257" s="116"/>
      <c r="D257" s="431"/>
      <c r="E257" s="431"/>
      <c r="F257" s="431"/>
      <c r="G257" s="116"/>
      <c r="H257" s="116"/>
      <c r="I257" s="431"/>
      <c r="J257" s="473"/>
      <c r="K257" s="473"/>
      <c r="L257" s="473"/>
      <c r="M257" s="473"/>
      <c r="N257" s="473"/>
      <c r="O257" s="473"/>
      <c r="P257" s="473"/>
      <c r="Q257" s="473"/>
      <c r="R257" s="473"/>
      <c r="S257" s="473"/>
      <c r="T257" s="473"/>
      <c r="U257" s="473"/>
      <c r="V257" s="473"/>
      <c r="W257" s="473"/>
      <c r="X257" s="473"/>
      <c r="Y257" s="473"/>
      <c r="Z257" s="473"/>
      <c r="AA257" s="473"/>
      <c r="AB257" s="473"/>
      <c r="AC257" s="473"/>
      <c r="AD257" s="473"/>
      <c r="AE257" s="473"/>
      <c r="AF257" s="473"/>
      <c r="AG257" s="473"/>
      <c r="AH257" s="473"/>
      <c r="AI257" s="473"/>
      <c r="AJ257" s="473"/>
      <c r="AK257" s="473"/>
      <c r="AL257" s="473"/>
      <c r="AM257" s="473"/>
      <c r="AN257" s="473"/>
      <c r="AO257" s="473"/>
      <c r="AP257" s="473"/>
      <c r="AQ257" s="473"/>
      <c r="AR257" s="473"/>
      <c r="AS257" s="473"/>
      <c r="AT257" s="473"/>
      <c r="AU257" s="473"/>
      <c r="AV257" s="473"/>
      <c r="AW257" s="473"/>
      <c r="AX257" s="473"/>
      <c r="AY257" s="473"/>
      <c r="AZ257" s="473"/>
      <c r="BA257" s="473"/>
      <c r="BB257" s="473"/>
      <c r="BC257" s="473"/>
      <c r="BD257" s="473"/>
      <c r="BE257" s="473"/>
      <c r="BF257" s="473"/>
      <c r="BG257" s="473"/>
      <c r="BH257" s="473"/>
      <c r="BI257" s="473"/>
      <c r="BJ257" s="473"/>
      <c r="BK257" s="473"/>
      <c r="BL257" s="473"/>
      <c r="BM257" s="473"/>
      <c r="BN257" s="473"/>
      <c r="BO257" s="473"/>
      <c r="BP257" s="473"/>
      <c r="BQ257" s="473"/>
      <c r="BR257" s="473"/>
      <c r="BS257" s="473"/>
      <c r="BT257" s="473"/>
      <c r="BU257" s="473"/>
      <c r="BV257" s="473"/>
      <c r="BW257" s="473"/>
      <c r="BX257" s="473"/>
      <c r="BY257" s="473"/>
      <c r="BZ257" s="473"/>
      <c r="CA257" s="473"/>
      <c r="CB257" s="473"/>
      <c r="CC257" s="473"/>
      <c r="CD257" s="473"/>
      <c r="CE257" s="473"/>
      <c r="CF257" s="473"/>
      <c r="CG257" s="473"/>
      <c r="CH257" s="473"/>
      <c r="CI257" s="473"/>
      <c r="CJ257" s="473"/>
      <c r="CK257" s="473"/>
      <c r="CL257" s="473"/>
      <c r="CM257" s="473"/>
      <c r="CN257" s="473"/>
      <c r="CO257" s="473"/>
      <c r="CP257" s="473"/>
      <c r="CQ257" s="473"/>
      <c r="CR257" s="473"/>
      <c r="CS257" s="473"/>
      <c r="CT257" s="473"/>
      <c r="CU257" s="473"/>
      <c r="CV257" s="473"/>
      <c r="CW257" s="473"/>
      <c r="CX257" s="473"/>
      <c r="CY257" s="473"/>
      <c r="CZ257" s="473"/>
      <c r="DA257" s="473"/>
      <c r="DB257" s="473"/>
      <c r="DC257" s="473"/>
      <c r="DD257" s="473"/>
      <c r="DE257" s="473"/>
      <c r="DF257" s="473"/>
      <c r="DG257" s="473"/>
      <c r="DH257" s="473"/>
      <c r="DI257" s="473"/>
      <c r="DJ257" s="473"/>
      <c r="DK257" s="473"/>
      <c r="DL257" s="473"/>
      <c r="DM257" s="473"/>
      <c r="DN257" s="473"/>
      <c r="DO257" s="473"/>
      <c r="DP257" s="473"/>
      <c r="DQ257" s="473"/>
      <c r="DR257" s="473"/>
      <c r="DS257" s="473"/>
      <c r="DT257" s="473"/>
      <c r="DU257" s="473"/>
      <c r="DV257" s="473"/>
      <c r="DW257" s="473"/>
      <c r="DX257" s="473"/>
      <c r="DY257" s="473"/>
      <c r="DZ257" s="473"/>
      <c r="EA257" s="473"/>
      <c r="EB257" s="473"/>
      <c r="EC257" s="473"/>
      <c r="ED257" s="473"/>
      <c r="EE257" s="473"/>
      <c r="EF257" s="473"/>
      <c r="EG257" s="473"/>
      <c r="EH257" s="473"/>
      <c r="EI257" s="473"/>
      <c r="EJ257" s="473"/>
      <c r="EK257" s="473"/>
      <c r="EL257" s="473"/>
      <c r="EM257" s="473"/>
      <c r="EN257" s="473"/>
      <c r="EO257" s="473"/>
      <c r="EP257" s="473"/>
      <c r="EQ257" s="473"/>
      <c r="ER257" s="473"/>
      <c r="ES257" s="473"/>
      <c r="ET257" s="473"/>
      <c r="EU257" s="473"/>
      <c r="EV257" s="473"/>
      <c r="EW257" s="473"/>
      <c r="EX257" s="473"/>
      <c r="EY257" s="927">
        <f>SUM(J257:EX257)</f>
        <v>0</v>
      </c>
      <c r="EZ257" s="431">
        <f>блюда!EZ157</f>
        <v>0</v>
      </c>
      <c r="FA257" s="431">
        <f>блюда!FA157</f>
        <v>0</v>
      </c>
      <c r="FB257" s="431">
        <f>блюда!FB157</f>
        <v>0</v>
      </c>
      <c r="FC257" s="431">
        <f>блюда!FC157</f>
        <v>0</v>
      </c>
      <c r="FD257" s="431">
        <f>блюда!FD157</f>
        <v>0</v>
      </c>
      <c r="FE257" s="431">
        <f>блюда!FE157</f>
        <v>0</v>
      </c>
      <c r="FF257" s="431">
        <f>блюда!FF157</f>
        <v>0</v>
      </c>
      <c r="FG257" s="431">
        <f>блюда!FG157</f>
        <v>0</v>
      </c>
      <c r="FH257" s="431">
        <f>блюда!FH157</f>
        <v>0</v>
      </c>
      <c r="FI257" s="431">
        <f>блюда!FI157</f>
        <v>0</v>
      </c>
      <c r="FJ257" s="431">
        <f>блюда!FJ157</f>
        <v>0</v>
      </c>
      <c r="FK257" s="431">
        <f>блюда!FK157</f>
        <v>0</v>
      </c>
      <c r="FL257" s="431">
        <f>блюда!FL157</f>
        <v>0</v>
      </c>
    </row>
    <row r="258" spans="1:168" s="1008" customFormat="1" ht="13.95" hidden="1" customHeight="1" x14ac:dyDescent="0.25">
      <c r="A258" s="1460"/>
      <c r="B258" s="115"/>
      <c r="C258" s="116"/>
      <c r="D258" s="116"/>
      <c r="E258" s="116"/>
      <c r="F258" s="116"/>
      <c r="G258" s="116"/>
      <c r="H258" s="116"/>
      <c r="I258" s="116"/>
      <c r="J258" s="703"/>
      <c r="K258" s="703"/>
      <c r="L258" s="703"/>
      <c r="M258" s="703"/>
      <c r="N258" s="703"/>
      <c r="O258" s="703"/>
      <c r="P258" s="703"/>
      <c r="Q258" s="703"/>
      <c r="R258" s="703"/>
      <c r="S258" s="703"/>
      <c r="T258" s="703"/>
      <c r="U258" s="703"/>
      <c r="V258" s="703"/>
      <c r="W258" s="703"/>
      <c r="X258" s="703"/>
      <c r="Y258" s="703"/>
      <c r="Z258" s="703"/>
      <c r="AA258" s="703"/>
      <c r="AB258" s="703"/>
      <c r="AC258" s="703"/>
      <c r="AD258" s="703"/>
      <c r="AE258" s="703"/>
      <c r="AF258" s="703"/>
      <c r="AG258" s="703"/>
      <c r="AH258" s="703"/>
      <c r="AI258" s="703"/>
      <c r="AJ258" s="703"/>
      <c r="AK258" s="703"/>
      <c r="AL258" s="703"/>
      <c r="AM258" s="703"/>
      <c r="AN258" s="703"/>
      <c r="AO258" s="703"/>
      <c r="AP258" s="703"/>
      <c r="AQ258" s="703"/>
      <c r="AR258" s="703"/>
      <c r="AS258" s="703"/>
      <c r="AT258" s="703"/>
      <c r="AU258" s="703"/>
      <c r="AV258" s="703"/>
      <c r="AW258" s="703"/>
      <c r="AX258" s="703"/>
      <c r="AY258" s="703"/>
      <c r="AZ258" s="703"/>
      <c r="BA258" s="703"/>
      <c r="BB258" s="703"/>
      <c r="BC258" s="703"/>
      <c r="BD258" s="703"/>
      <c r="BE258" s="703"/>
      <c r="BF258" s="703"/>
      <c r="BG258" s="703"/>
      <c r="BH258" s="703"/>
      <c r="BI258" s="703"/>
      <c r="BJ258" s="703"/>
      <c r="BK258" s="703"/>
      <c r="BL258" s="703"/>
      <c r="BM258" s="703"/>
      <c r="BN258" s="703"/>
      <c r="BO258" s="703"/>
      <c r="BP258" s="703"/>
      <c r="BQ258" s="703"/>
      <c r="BR258" s="703"/>
      <c r="BS258" s="703"/>
      <c r="BT258" s="703"/>
      <c r="BU258" s="703"/>
      <c r="BV258" s="703"/>
      <c r="BW258" s="703"/>
      <c r="BX258" s="703"/>
      <c r="BY258" s="703"/>
      <c r="BZ258" s="703"/>
      <c r="CA258" s="703"/>
      <c r="CB258" s="703"/>
      <c r="CC258" s="703"/>
      <c r="CD258" s="703"/>
      <c r="CE258" s="703"/>
      <c r="CF258" s="703"/>
      <c r="CG258" s="703"/>
      <c r="CH258" s="703"/>
      <c r="CI258" s="703"/>
      <c r="CJ258" s="703"/>
      <c r="CK258" s="703"/>
      <c r="CL258" s="703"/>
      <c r="CM258" s="703"/>
      <c r="CN258" s="703"/>
      <c r="CO258" s="703"/>
      <c r="CP258" s="703"/>
      <c r="CQ258" s="703"/>
      <c r="CR258" s="703"/>
      <c r="CS258" s="703"/>
      <c r="CT258" s="703"/>
      <c r="CU258" s="703"/>
      <c r="CV258" s="703"/>
      <c r="CW258" s="703"/>
      <c r="CX258" s="703"/>
      <c r="CY258" s="703"/>
      <c r="CZ258" s="703"/>
      <c r="DA258" s="703"/>
      <c r="DB258" s="703"/>
      <c r="DC258" s="703"/>
      <c r="DD258" s="703"/>
      <c r="DE258" s="703"/>
      <c r="DF258" s="703"/>
      <c r="DG258" s="703"/>
      <c r="DH258" s="703"/>
      <c r="DI258" s="703"/>
      <c r="DJ258" s="703"/>
      <c r="DK258" s="703"/>
      <c r="DL258" s="703"/>
      <c r="DM258" s="703"/>
      <c r="DN258" s="703"/>
      <c r="DO258" s="703"/>
      <c r="DP258" s="703"/>
      <c r="DQ258" s="703"/>
      <c r="DR258" s="703"/>
      <c r="DS258" s="703"/>
      <c r="DT258" s="703"/>
      <c r="DU258" s="703"/>
      <c r="DV258" s="703"/>
      <c r="DW258" s="703"/>
      <c r="DX258" s="703"/>
      <c r="DY258" s="703"/>
      <c r="DZ258" s="703"/>
      <c r="EA258" s="703"/>
      <c r="EB258" s="703"/>
      <c r="EC258" s="703"/>
      <c r="ED258" s="703"/>
      <c r="EE258" s="703"/>
      <c r="EF258" s="703"/>
      <c r="EG258" s="703"/>
      <c r="EH258" s="703"/>
      <c r="EI258" s="703"/>
      <c r="EJ258" s="703"/>
      <c r="EK258" s="703"/>
      <c r="EL258" s="703"/>
      <c r="EM258" s="703"/>
      <c r="EN258" s="703"/>
      <c r="EO258" s="703"/>
      <c r="EP258" s="703"/>
      <c r="EQ258" s="703"/>
      <c r="ER258" s="703"/>
      <c r="ES258" s="703"/>
      <c r="ET258" s="703"/>
      <c r="EU258" s="703"/>
      <c r="EV258" s="703"/>
      <c r="EW258" s="703"/>
      <c r="EX258" s="703"/>
      <c r="EY258" s="927">
        <f t="shared" ref="EY258:EY265" si="179">SUM(J258:EX258)</f>
        <v>0</v>
      </c>
      <c r="EZ258" s="431">
        <f>блюда!EZ290</f>
        <v>0</v>
      </c>
      <c r="FA258" s="431">
        <f>блюда!FA290</f>
        <v>0</v>
      </c>
      <c r="FB258" s="431">
        <f>блюда!FB290</f>
        <v>0</v>
      </c>
      <c r="FC258" s="431">
        <f>блюда!FC290</f>
        <v>0</v>
      </c>
      <c r="FD258" s="431">
        <f>блюда!FD290</f>
        <v>0</v>
      </c>
      <c r="FE258" s="431">
        <f>блюда!FE290</f>
        <v>0</v>
      </c>
      <c r="FF258" s="431">
        <f>блюда!FF290</f>
        <v>0</v>
      </c>
      <c r="FG258" s="431">
        <f>блюда!FG290</f>
        <v>0</v>
      </c>
      <c r="FH258" s="431">
        <f>блюда!FH290</f>
        <v>0</v>
      </c>
      <c r="FI258" s="431">
        <f>блюда!FI290</f>
        <v>0</v>
      </c>
      <c r="FJ258" s="431">
        <f>блюда!FJ290</f>
        <v>0</v>
      </c>
      <c r="FK258" s="431">
        <f>блюда!FK290</f>
        <v>0</v>
      </c>
      <c r="FL258" s="431">
        <f>блюда!FL290</f>
        <v>0</v>
      </c>
    </row>
    <row r="259" spans="1:168" ht="13.95" hidden="1" customHeight="1" x14ac:dyDescent="0.25">
      <c r="A259" s="1460"/>
      <c r="B259" s="115"/>
      <c r="C259" s="116"/>
      <c r="D259" s="116"/>
      <c r="E259" s="116"/>
      <c r="F259" s="116"/>
      <c r="G259" s="116"/>
      <c r="H259" s="116"/>
      <c r="I259" s="116"/>
      <c r="J259" s="703"/>
      <c r="K259" s="703"/>
      <c r="L259" s="703"/>
      <c r="M259" s="703"/>
      <c r="N259" s="703"/>
      <c r="O259" s="703"/>
      <c r="P259" s="703"/>
      <c r="Q259" s="703"/>
      <c r="R259" s="703"/>
      <c r="S259" s="703"/>
      <c r="T259" s="703"/>
      <c r="U259" s="703"/>
      <c r="V259" s="703"/>
      <c r="W259" s="703"/>
      <c r="X259" s="703"/>
      <c r="Y259" s="703"/>
      <c r="Z259" s="703"/>
      <c r="AA259" s="703"/>
      <c r="AB259" s="703"/>
      <c r="AC259" s="703"/>
      <c r="AD259" s="703"/>
      <c r="AE259" s="703"/>
      <c r="AF259" s="703"/>
      <c r="AG259" s="703"/>
      <c r="AH259" s="703"/>
      <c r="AI259" s="703"/>
      <c r="AJ259" s="703"/>
      <c r="AK259" s="703"/>
      <c r="AL259" s="703"/>
      <c r="AM259" s="703"/>
      <c r="AN259" s="703"/>
      <c r="AO259" s="703"/>
      <c r="AP259" s="703"/>
      <c r="AQ259" s="703"/>
      <c r="AR259" s="703"/>
      <c r="AS259" s="703"/>
      <c r="AT259" s="703"/>
      <c r="AU259" s="703"/>
      <c r="AV259" s="703"/>
      <c r="AW259" s="703"/>
      <c r="AX259" s="703"/>
      <c r="AY259" s="703"/>
      <c r="AZ259" s="703"/>
      <c r="BA259" s="703"/>
      <c r="BB259" s="703"/>
      <c r="BC259" s="703"/>
      <c r="BD259" s="703"/>
      <c r="BE259" s="703"/>
      <c r="BF259" s="703"/>
      <c r="BG259" s="703"/>
      <c r="BH259" s="703"/>
      <c r="BI259" s="703"/>
      <c r="BJ259" s="703"/>
      <c r="BK259" s="703"/>
      <c r="BL259" s="703"/>
      <c r="BM259" s="703"/>
      <c r="BN259" s="703"/>
      <c r="BO259" s="703"/>
      <c r="BP259" s="703"/>
      <c r="BQ259" s="703"/>
      <c r="BR259" s="703"/>
      <c r="BS259" s="703"/>
      <c r="BT259" s="703"/>
      <c r="BU259" s="703"/>
      <c r="BV259" s="703"/>
      <c r="BW259" s="703"/>
      <c r="BX259" s="703"/>
      <c r="BY259" s="703"/>
      <c r="BZ259" s="703"/>
      <c r="CA259" s="703"/>
      <c r="CB259" s="703"/>
      <c r="CC259" s="703"/>
      <c r="CD259" s="703"/>
      <c r="CE259" s="703"/>
      <c r="CF259" s="703"/>
      <c r="CG259" s="703"/>
      <c r="CH259" s="703"/>
      <c r="CI259" s="703"/>
      <c r="CJ259" s="703"/>
      <c r="CK259" s="703"/>
      <c r="CL259" s="703"/>
      <c r="CM259" s="703"/>
      <c r="CN259" s="703"/>
      <c r="CO259" s="703"/>
      <c r="CP259" s="703"/>
      <c r="CQ259" s="703"/>
      <c r="CR259" s="703"/>
      <c r="CS259" s="703"/>
      <c r="CT259" s="703"/>
      <c r="CU259" s="703"/>
      <c r="CV259" s="703"/>
      <c r="CW259" s="703"/>
      <c r="CX259" s="703"/>
      <c r="CY259" s="703"/>
      <c r="CZ259" s="703"/>
      <c r="DA259" s="703"/>
      <c r="DB259" s="703"/>
      <c r="DC259" s="703"/>
      <c r="DD259" s="703"/>
      <c r="DE259" s="703"/>
      <c r="DF259" s="703"/>
      <c r="DG259" s="703"/>
      <c r="DH259" s="703"/>
      <c r="DI259" s="703"/>
      <c r="DJ259" s="703"/>
      <c r="DK259" s="703"/>
      <c r="DL259" s="703"/>
      <c r="DM259" s="703"/>
      <c r="DN259" s="703"/>
      <c r="DO259" s="703"/>
      <c r="DP259" s="703"/>
      <c r="DQ259" s="703"/>
      <c r="DR259" s="703"/>
      <c r="DS259" s="703"/>
      <c r="DT259" s="703"/>
      <c r="DU259" s="703"/>
      <c r="DV259" s="703"/>
      <c r="DW259" s="703"/>
      <c r="DX259" s="703"/>
      <c r="DY259" s="703"/>
      <c r="DZ259" s="703"/>
      <c r="EA259" s="703"/>
      <c r="EB259" s="703"/>
      <c r="EC259" s="703"/>
      <c r="ED259" s="703"/>
      <c r="EE259" s="703"/>
      <c r="EF259" s="703"/>
      <c r="EG259" s="703"/>
      <c r="EH259" s="703"/>
      <c r="EI259" s="703"/>
      <c r="EJ259" s="703"/>
      <c r="EK259" s="703"/>
      <c r="EL259" s="703"/>
      <c r="EM259" s="703"/>
      <c r="EN259" s="703"/>
      <c r="EO259" s="703"/>
      <c r="EP259" s="703"/>
      <c r="EQ259" s="703"/>
      <c r="ER259" s="703"/>
      <c r="ES259" s="703"/>
      <c r="ET259" s="703"/>
      <c r="EU259" s="703"/>
      <c r="EV259" s="703"/>
      <c r="EW259" s="703"/>
      <c r="EX259" s="703"/>
      <c r="EY259" s="927">
        <f t="shared" si="179"/>
        <v>0</v>
      </c>
      <c r="EZ259" s="431">
        <f>блюда!EZ332</f>
        <v>0</v>
      </c>
      <c r="FA259" s="431">
        <f>блюда!FA332</f>
        <v>0</v>
      </c>
      <c r="FB259" s="431">
        <f>блюда!FB332</f>
        <v>0</v>
      </c>
      <c r="FC259" s="431">
        <f>блюда!FC332</f>
        <v>0</v>
      </c>
      <c r="FD259" s="431">
        <f>блюда!FD332</f>
        <v>0</v>
      </c>
      <c r="FE259" s="431">
        <f>блюда!FE332</f>
        <v>0</v>
      </c>
      <c r="FF259" s="431">
        <f>блюда!FF332</f>
        <v>0</v>
      </c>
      <c r="FG259" s="431">
        <f>блюда!FG332</f>
        <v>0</v>
      </c>
      <c r="FH259" s="431">
        <f>блюда!FH332</f>
        <v>0</v>
      </c>
      <c r="FI259" s="431">
        <f>блюда!FI332</f>
        <v>0</v>
      </c>
      <c r="FJ259" s="431">
        <f>блюда!FJ332</f>
        <v>0</v>
      </c>
      <c r="FK259" s="431">
        <f>блюда!FK332</f>
        <v>0</v>
      </c>
      <c r="FL259" s="431">
        <f>блюда!FL332</f>
        <v>0</v>
      </c>
    </row>
    <row r="260" spans="1:168" ht="13.95" hidden="1" customHeight="1" x14ac:dyDescent="0.25">
      <c r="A260" s="1460"/>
      <c r="B260" s="115"/>
      <c r="C260" s="116"/>
      <c r="D260" s="431"/>
      <c r="E260" s="431"/>
      <c r="F260" s="431"/>
      <c r="G260" s="116"/>
      <c r="H260" s="116"/>
      <c r="I260" s="431"/>
      <c r="J260" s="703"/>
      <c r="K260" s="703"/>
      <c r="L260" s="703"/>
      <c r="M260" s="703"/>
      <c r="N260" s="703"/>
      <c r="O260" s="703"/>
      <c r="P260" s="703"/>
      <c r="Q260" s="703"/>
      <c r="R260" s="703"/>
      <c r="S260" s="703"/>
      <c r="T260" s="703"/>
      <c r="U260" s="703"/>
      <c r="V260" s="703"/>
      <c r="W260" s="703"/>
      <c r="X260" s="703"/>
      <c r="Y260" s="703"/>
      <c r="Z260" s="703"/>
      <c r="AA260" s="703"/>
      <c r="AB260" s="703"/>
      <c r="AC260" s="703"/>
      <c r="AD260" s="703"/>
      <c r="AE260" s="703"/>
      <c r="AF260" s="703"/>
      <c r="AG260" s="703"/>
      <c r="AH260" s="703"/>
      <c r="AI260" s="703"/>
      <c r="AJ260" s="703"/>
      <c r="AK260" s="703"/>
      <c r="AL260" s="703"/>
      <c r="AM260" s="703"/>
      <c r="AN260" s="703"/>
      <c r="AO260" s="703"/>
      <c r="AP260" s="703"/>
      <c r="AQ260" s="703"/>
      <c r="AR260" s="703"/>
      <c r="AS260" s="703"/>
      <c r="AT260" s="703"/>
      <c r="AU260" s="703"/>
      <c r="AV260" s="703"/>
      <c r="AW260" s="703"/>
      <c r="AX260" s="703"/>
      <c r="AY260" s="703"/>
      <c r="AZ260" s="703"/>
      <c r="BA260" s="703"/>
      <c r="BB260" s="703"/>
      <c r="BC260" s="703"/>
      <c r="BD260" s="703"/>
      <c r="BE260" s="703"/>
      <c r="BF260" s="703"/>
      <c r="BG260" s="703"/>
      <c r="BH260" s="703"/>
      <c r="BI260" s="703"/>
      <c r="BJ260" s="703"/>
      <c r="BK260" s="703"/>
      <c r="BL260" s="703"/>
      <c r="BM260" s="703"/>
      <c r="BN260" s="703"/>
      <c r="BO260" s="703"/>
      <c r="BP260" s="703"/>
      <c r="BQ260" s="703"/>
      <c r="BR260" s="703"/>
      <c r="BS260" s="703"/>
      <c r="BT260" s="703"/>
      <c r="BU260" s="703"/>
      <c r="BV260" s="703"/>
      <c r="BW260" s="703"/>
      <c r="BX260" s="703"/>
      <c r="BY260" s="703"/>
      <c r="BZ260" s="703"/>
      <c r="CA260" s="703"/>
      <c r="CB260" s="703"/>
      <c r="CC260" s="703"/>
      <c r="CD260" s="703"/>
      <c r="CE260" s="703"/>
      <c r="CF260" s="703"/>
      <c r="CG260" s="703"/>
      <c r="CH260" s="703"/>
      <c r="CI260" s="703"/>
      <c r="CJ260" s="703"/>
      <c r="CK260" s="703"/>
      <c r="CL260" s="703"/>
      <c r="CM260" s="703"/>
      <c r="CN260" s="703"/>
      <c r="CO260" s="703"/>
      <c r="CP260" s="703"/>
      <c r="CQ260" s="703"/>
      <c r="CR260" s="703"/>
      <c r="CS260" s="703"/>
      <c r="CT260" s="703"/>
      <c r="CU260" s="703"/>
      <c r="CV260" s="703"/>
      <c r="CW260" s="703"/>
      <c r="CX260" s="703"/>
      <c r="CY260" s="703"/>
      <c r="CZ260" s="703"/>
      <c r="DA260" s="703"/>
      <c r="DB260" s="703"/>
      <c r="DC260" s="703"/>
      <c r="DD260" s="703"/>
      <c r="DE260" s="703"/>
      <c r="DF260" s="703"/>
      <c r="DG260" s="703"/>
      <c r="DH260" s="703"/>
      <c r="DI260" s="703"/>
      <c r="DJ260" s="703"/>
      <c r="DK260" s="703"/>
      <c r="DL260" s="703"/>
      <c r="DM260" s="703"/>
      <c r="DN260" s="703"/>
      <c r="DO260" s="703"/>
      <c r="DP260" s="703"/>
      <c r="DQ260" s="703"/>
      <c r="DR260" s="703"/>
      <c r="DS260" s="703"/>
      <c r="DT260" s="703"/>
      <c r="DU260" s="703"/>
      <c r="DV260" s="703"/>
      <c r="DW260" s="703"/>
      <c r="DX260" s="703"/>
      <c r="DY260" s="703"/>
      <c r="DZ260" s="703"/>
      <c r="EA260" s="703"/>
      <c r="EB260" s="703"/>
      <c r="EC260" s="703"/>
      <c r="ED260" s="703"/>
      <c r="EE260" s="703"/>
      <c r="EF260" s="703"/>
      <c r="EG260" s="703"/>
      <c r="EH260" s="703"/>
      <c r="EI260" s="703"/>
      <c r="EJ260" s="703"/>
      <c r="EK260" s="703"/>
      <c r="EL260" s="703"/>
      <c r="EM260" s="703"/>
      <c r="EN260" s="703"/>
      <c r="EO260" s="703"/>
      <c r="EP260" s="703"/>
      <c r="EQ260" s="703"/>
      <c r="ER260" s="703"/>
      <c r="ES260" s="703"/>
      <c r="ET260" s="703"/>
      <c r="EU260" s="703"/>
      <c r="EV260" s="703"/>
      <c r="EW260" s="703"/>
      <c r="EX260" s="703"/>
      <c r="EY260" s="927">
        <f t="shared" si="179"/>
        <v>0</v>
      </c>
      <c r="EZ260" s="431">
        <f>блюда!EZ264</f>
        <v>0</v>
      </c>
      <c r="FA260" s="431">
        <f>блюда!FA264</f>
        <v>0</v>
      </c>
      <c r="FB260" s="431">
        <f>блюда!FB264</f>
        <v>0</v>
      </c>
      <c r="FC260" s="431">
        <f>блюда!FC264</f>
        <v>0</v>
      </c>
      <c r="FD260" s="431">
        <f>блюда!FD264</f>
        <v>0</v>
      </c>
      <c r="FE260" s="431">
        <f>блюда!FE264</f>
        <v>0</v>
      </c>
      <c r="FF260" s="431">
        <f>блюда!FF264</f>
        <v>0</v>
      </c>
      <c r="FG260" s="431">
        <f>блюда!FG264</f>
        <v>0</v>
      </c>
      <c r="FH260" s="431">
        <f>блюда!FH264</f>
        <v>0</v>
      </c>
      <c r="FI260" s="431">
        <f>блюда!FI264</f>
        <v>0</v>
      </c>
      <c r="FJ260" s="431">
        <f>блюда!FJ264</f>
        <v>0</v>
      </c>
      <c r="FK260" s="431">
        <f>блюда!FK264</f>
        <v>0</v>
      </c>
      <c r="FL260" s="431">
        <f>блюда!FL264</f>
        <v>0</v>
      </c>
    </row>
    <row r="261" spans="1:168" ht="13.95" hidden="1" customHeight="1" x14ac:dyDescent="0.25">
      <c r="A261" s="1460"/>
      <c r="B261" s="115"/>
      <c r="C261" s="116"/>
      <c r="D261" s="431"/>
      <c r="E261" s="431"/>
      <c r="F261" s="431"/>
      <c r="G261" s="116"/>
      <c r="H261" s="116"/>
      <c r="I261" s="431"/>
      <c r="J261" s="703"/>
      <c r="K261" s="703"/>
      <c r="L261" s="703"/>
      <c r="M261" s="703"/>
      <c r="N261" s="703"/>
      <c r="O261" s="703"/>
      <c r="P261" s="703"/>
      <c r="Q261" s="703"/>
      <c r="R261" s="703"/>
      <c r="S261" s="703"/>
      <c r="T261" s="703"/>
      <c r="U261" s="703"/>
      <c r="V261" s="703"/>
      <c r="W261" s="703"/>
      <c r="X261" s="703"/>
      <c r="Y261" s="703"/>
      <c r="Z261" s="703"/>
      <c r="AA261" s="703"/>
      <c r="AB261" s="703"/>
      <c r="AC261" s="703"/>
      <c r="AD261" s="703"/>
      <c r="AE261" s="703"/>
      <c r="AF261" s="703"/>
      <c r="AG261" s="703"/>
      <c r="AH261" s="703"/>
      <c r="AI261" s="703"/>
      <c r="AJ261" s="703"/>
      <c r="AK261" s="703"/>
      <c r="AL261" s="703"/>
      <c r="AM261" s="703"/>
      <c r="AN261" s="703"/>
      <c r="AO261" s="703"/>
      <c r="AP261" s="703"/>
      <c r="AQ261" s="703"/>
      <c r="AR261" s="703"/>
      <c r="AS261" s="703"/>
      <c r="AT261" s="703"/>
      <c r="AU261" s="703"/>
      <c r="AV261" s="703"/>
      <c r="AW261" s="703"/>
      <c r="AX261" s="703"/>
      <c r="AY261" s="703"/>
      <c r="AZ261" s="703"/>
      <c r="BA261" s="703"/>
      <c r="BB261" s="703"/>
      <c r="BC261" s="703"/>
      <c r="BD261" s="703"/>
      <c r="BE261" s="703"/>
      <c r="BF261" s="703"/>
      <c r="BG261" s="703"/>
      <c r="BH261" s="703"/>
      <c r="BI261" s="703"/>
      <c r="BJ261" s="703"/>
      <c r="BK261" s="703"/>
      <c r="BL261" s="703"/>
      <c r="BM261" s="703"/>
      <c r="BN261" s="703"/>
      <c r="BO261" s="703"/>
      <c r="BP261" s="703"/>
      <c r="BQ261" s="703"/>
      <c r="BR261" s="703"/>
      <c r="BS261" s="703"/>
      <c r="BT261" s="703"/>
      <c r="BU261" s="703"/>
      <c r="BV261" s="703"/>
      <c r="BW261" s="703"/>
      <c r="BX261" s="703"/>
      <c r="BY261" s="703"/>
      <c r="BZ261" s="703"/>
      <c r="CA261" s="703"/>
      <c r="CB261" s="703"/>
      <c r="CC261" s="703"/>
      <c r="CD261" s="703"/>
      <c r="CE261" s="703"/>
      <c r="CF261" s="703"/>
      <c r="CG261" s="703"/>
      <c r="CH261" s="703"/>
      <c r="CI261" s="703"/>
      <c r="CJ261" s="703"/>
      <c r="CK261" s="703"/>
      <c r="CL261" s="703"/>
      <c r="CM261" s="703"/>
      <c r="CN261" s="703"/>
      <c r="CO261" s="703"/>
      <c r="CP261" s="703"/>
      <c r="CQ261" s="703"/>
      <c r="CR261" s="703"/>
      <c r="CS261" s="703"/>
      <c r="CT261" s="703"/>
      <c r="CU261" s="703"/>
      <c r="CV261" s="703"/>
      <c r="CW261" s="703"/>
      <c r="CX261" s="703"/>
      <c r="CY261" s="703"/>
      <c r="CZ261" s="703"/>
      <c r="DA261" s="703"/>
      <c r="DB261" s="703"/>
      <c r="DC261" s="703"/>
      <c r="DD261" s="703"/>
      <c r="DE261" s="703"/>
      <c r="DF261" s="703"/>
      <c r="DG261" s="703"/>
      <c r="DH261" s="703"/>
      <c r="DI261" s="703"/>
      <c r="DJ261" s="703"/>
      <c r="DK261" s="703"/>
      <c r="DL261" s="703"/>
      <c r="DM261" s="703"/>
      <c r="DN261" s="703"/>
      <c r="DO261" s="703"/>
      <c r="DP261" s="703"/>
      <c r="DQ261" s="703"/>
      <c r="DR261" s="703"/>
      <c r="DS261" s="703"/>
      <c r="DT261" s="703"/>
      <c r="DU261" s="703"/>
      <c r="DV261" s="703"/>
      <c r="DW261" s="703"/>
      <c r="DX261" s="703"/>
      <c r="DY261" s="703"/>
      <c r="DZ261" s="703"/>
      <c r="EA261" s="703"/>
      <c r="EB261" s="703"/>
      <c r="EC261" s="703"/>
      <c r="ED261" s="703"/>
      <c r="EE261" s="703"/>
      <c r="EF261" s="703"/>
      <c r="EG261" s="703"/>
      <c r="EH261" s="703"/>
      <c r="EI261" s="703"/>
      <c r="EJ261" s="703"/>
      <c r="EK261" s="703"/>
      <c r="EL261" s="703"/>
      <c r="EM261" s="703"/>
      <c r="EN261" s="703"/>
      <c r="EO261" s="703"/>
      <c r="EP261" s="703"/>
      <c r="EQ261" s="703"/>
      <c r="ER261" s="703"/>
      <c r="ES261" s="703"/>
      <c r="ET261" s="703"/>
      <c r="EU261" s="703"/>
      <c r="EV261" s="703"/>
      <c r="EW261" s="703"/>
      <c r="EX261" s="703"/>
      <c r="EY261" s="927">
        <f t="shared" si="179"/>
        <v>0</v>
      </c>
      <c r="EZ261" s="117"/>
      <c r="FA261" s="117"/>
      <c r="FB261" s="117"/>
      <c r="FC261" s="117"/>
      <c r="FD261" s="117"/>
      <c r="FE261" s="117"/>
      <c r="FF261" s="117"/>
      <c r="FG261" s="117"/>
      <c r="FH261" s="117"/>
      <c r="FI261" s="117"/>
      <c r="FJ261" s="117"/>
      <c r="FK261" s="117"/>
      <c r="FL261" s="117"/>
    </row>
    <row r="262" spans="1:168" ht="13.95" hidden="1" customHeight="1" x14ac:dyDescent="0.25">
      <c r="A262" s="1460"/>
      <c r="B262" s="115"/>
      <c r="C262" s="116"/>
      <c r="D262" s="431"/>
      <c r="E262" s="431"/>
      <c r="F262" s="431"/>
      <c r="G262" s="116"/>
      <c r="H262" s="116"/>
      <c r="I262" s="431"/>
      <c r="J262" s="473"/>
      <c r="K262" s="473"/>
      <c r="L262" s="473"/>
      <c r="M262" s="473"/>
      <c r="N262" s="473"/>
      <c r="O262" s="473"/>
      <c r="P262" s="473"/>
      <c r="Q262" s="473"/>
      <c r="R262" s="473"/>
      <c r="S262" s="473"/>
      <c r="T262" s="473"/>
      <c r="U262" s="473"/>
      <c r="V262" s="473"/>
      <c r="W262" s="473"/>
      <c r="X262" s="473"/>
      <c r="Y262" s="473"/>
      <c r="Z262" s="473"/>
      <c r="AA262" s="473"/>
      <c r="AB262" s="473"/>
      <c r="AC262" s="473"/>
      <c r="AD262" s="473"/>
      <c r="AE262" s="473"/>
      <c r="AF262" s="473"/>
      <c r="AG262" s="473"/>
      <c r="AH262" s="473"/>
      <c r="AI262" s="473"/>
      <c r="AJ262" s="473"/>
      <c r="AK262" s="473"/>
      <c r="AL262" s="473"/>
      <c r="AM262" s="473"/>
      <c r="AN262" s="473"/>
      <c r="AO262" s="473"/>
      <c r="AP262" s="473"/>
      <c r="AQ262" s="473"/>
      <c r="AR262" s="473"/>
      <c r="AS262" s="473"/>
      <c r="AT262" s="473"/>
      <c r="AU262" s="473"/>
      <c r="AV262" s="473"/>
      <c r="AW262" s="473"/>
      <c r="AX262" s="473"/>
      <c r="AY262" s="473"/>
      <c r="AZ262" s="473"/>
      <c r="BA262" s="473"/>
      <c r="BB262" s="473"/>
      <c r="BC262" s="473"/>
      <c r="BD262" s="473"/>
      <c r="BE262" s="473"/>
      <c r="BF262" s="473"/>
      <c r="BG262" s="473"/>
      <c r="BH262" s="473"/>
      <c r="BI262" s="473"/>
      <c r="BJ262" s="473"/>
      <c r="BK262" s="473"/>
      <c r="BL262" s="473"/>
      <c r="BM262" s="473"/>
      <c r="BN262" s="473"/>
      <c r="BO262" s="473"/>
      <c r="BP262" s="473"/>
      <c r="BQ262" s="473"/>
      <c r="BR262" s="473"/>
      <c r="BS262" s="473"/>
      <c r="BT262" s="473"/>
      <c r="BU262" s="473"/>
      <c r="BV262" s="473"/>
      <c r="BW262" s="473"/>
      <c r="BX262" s="473"/>
      <c r="BY262" s="473"/>
      <c r="BZ262" s="473"/>
      <c r="CA262" s="473"/>
      <c r="CB262" s="473"/>
      <c r="CC262" s="473"/>
      <c r="CD262" s="473"/>
      <c r="CE262" s="473"/>
      <c r="CF262" s="473"/>
      <c r="CG262" s="473"/>
      <c r="CH262" s="473"/>
      <c r="CI262" s="473"/>
      <c r="CJ262" s="473"/>
      <c r="CK262" s="473"/>
      <c r="CL262" s="473"/>
      <c r="CM262" s="473"/>
      <c r="CN262" s="473"/>
      <c r="CO262" s="473"/>
      <c r="CP262" s="473"/>
      <c r="CQ262" s="473"/>
      <c r="CR262" s="473"/>
      <c r="CS262" s="473"/>
      <c r="CT262" s="473"/>
      <c r="CU262" s="473"/>
      <c r="CV262" s="473"/>
      <c r="CW262" s="473"/>
      <c r="CX262" s="473"/>
      <c r="CY262" s="473"/>
      <c r="CZ262" s="473"/>
      <c r="DA262" s="473"/>
      <c r="DB262" s="473"/>
      <c r="DC262" s="473"/>
      <c r="DD262" s="473"/>
      <c r="DE262" s="473"/>
      <c r="DF262" s="473"/>
      <c r="DG262" s="473"/>
      <c r="DH262" s="473"/>
      <c r="DI262" s="473"/>
      <c r="DJ262" s="473"/>
      <c r="DK262" s="473"/>
      <c r="DL262" s="473"/>
      <c r="DM262" s="473"/>
      <c r="DN262" s="473"/>
      <c r="DO262" s="473"/>
      <c r="DP262" s="473"/>
      <c r="DQ262" s="473"/>
      <c r="DR262" s="473"/>
      <c r="DS262" s="473"/>
      <c r="DT262" s="473"/>
      <c r="DU262" s="473"/>
      <c r="DV262" s="473"/>
      <c r="DW262" s="473"/>
      <c r="DX262" s="473"/>
      <c r="DY262" s="473"/>
      <c r="DZ262" s="473"/>
      <c r="EA262" s="473"/>
      <c r="EB262" s="473"/>
      <c r="EC262" s="473"/>
      <c r="ED262" s="473"/>
      <c r="EE262" s="473"/>
      <c r="EF262" s="473"/>
      <c r="EG262" s="473"/>
      <c r="EH262" s="473"/>
      <c r="EI262" s="473"/>
      <c r="EJ262" s="473"/>
      <c r="EK262" s="473"/>
      <c r="EL262" s="473"/>
      <c r="EM262" s="473"/>
      <c r="EN262" s="473"/>
      <c r="EO262" s="473"/>
      <c r="EP262" s="473"/>
      <c r="EQ262" s="473"/>
      <c r="ER262" s="473"/>
      <c r="ES262" s="473"/>
      <c r="ET262" s="473"/>
      <c r="EU262" s="473"/>
      <c r="EV262" s="473"/>
      <c r="EW262" s="473"/>
      <c r="EX262" s="473"/>
      <c r="EY262" s="927">
        <f t="shared" si="179"/>
        <v>0</v>
      </c>
      <c r="EZ262" s="117"/>
      <c r="FA262" s="117"/>
      <c r="FB262" s="117"/>
      <c r="FC262" s="117"/>
      <c r="FD262" s="117"/>
      <c r="FE262" s="117"/>
      <c r="FF262" s="117"/>
      <c r="FG262" s="117"/>
      <c r="FH262" s="117"/>
      <c r="FI262" s="117"/>
      <c r="FJ262" s="117"/>
      <c r="FK262" s="117"/>
      <c r="FL262" s="117"/>
    </row>
    <row r="263" spans="1:168" ht="13.95" hidden="1" customHeight="1" x14ac:dyDescent="0.25">
      <c r="A263" s="1460"/>
      <c r="B263" s="115"/>
      <c r="C263" s="116"/>
      <c r="D263" s="431"/>
      <c r="E263" s="431"/>
      <c r="F263" s="431"/>
      <c r="G263" s="116"/>
      <c r="H263" s="116"/>
      <c r="I263" s="431"/>
      <c r="J263" s="473"/>
      <c r="K263" s="473"/>
      <c r="L263" s="473"/>
      <c r="M263" s="473"/>
      <c r="N263" s="473"/>
      <c r="O263" s="473"/>
      <c r="P263" s="473"/>
      <c r="Q263" s="473"/>
      <c r="R263" s="473"/>
      <c r="S263" s="473"/>
      <c r="T263" s="473"/>
      <c r="U263" s="473"/>
      <c r="V263" s="473"/>
      <c r="W263" s="473"/>
      <c r="X263" s="473"/>
      <c r="Y263" s="473"/>
      <c r="Z263" s="473"/>
      <c r="AA263" s="473"/>
      <c r="AB263" s="473"/>
      <c r="AC263" s="473"/>
      <c r="AD263" s="473"/>
      <c r="AE263" s="473"/>
      <c r="AF263" s="473"/>
      <c r="AG263" s="473"/>
      <c r="AH263" s="473"/>
      <c r="AI263" s="473"/>
      <c r="AJ263" s="473"/>
      <c r="AK263" s="473"/>
      <c r="AL263" s="473"/>
      <c r="AM263" s="473"/>
      <c r="AN263" s="473"/>
      <c r="AO263" s="473"/>
      <c r="AP263" s="473"/>
      <c r="AQ263" s="473"/>
      <c r="AR263" s="473"/>
      <c r="AS263" s="473"/>
      <c r="AT263" s="473"/>
      <c r="AU263" s="473"/>
      <c r="AV263" s="473"/>
      <c r="AW263" s="473"/>
      <c r="AX263" s="473"/>
      <c r="AY263" s="473"/>
      <c r="AZ263" s="473"/>
      <c r="BA263" s="473"/>
      <c r="BB263" s="473"/>
      <c r="BC263" s="473"/>
      <c r="BD263" s="473"/>
      <c r="BE263" s="473"/>
      <c r="BF263" s="473"/>
      <c r="BG263" s="473"/>
      <c r="BH263" s="473"/>
      <c r="BI263" s="473"/>
      <c r="BJ263" s="473"/>
      <c r="BK263" s="473"/>
      <c r="BL263" s="473"/>
      <c r="BM263" s="473"/>
      <c r="BN263" s="473"/>
      <c r="BO263" s="473"/>
      <c r="BP263" s="473"/>
      <c r="BQ263" s="473"/>
      <c r="BR263" s="473"/>
      <c r="BS263" s="473"/>
      <c r="BT263" s="473"/>
      <c r="BU263" s="473"/>
      <c r="BV263" s="473"/>
      <c r="BW263" s="473"/>
      <c r="BX263" s="473"/>
      <c r="BY263" s="473"/>
      <c r="BZ263" s="473"/>
      <c r="CA263" s="473"/>
      <c r="CB263" s="473"/>
      <c r="CC263" s="473"/>
      <c r="CD263" s="473"/>
      <c r="CE263" s="473"/>
      <c r="CF263" s="473"/>
      <c r="CG263" s="473"/>
      <c r="CH263" s="473"/>
      <c r="CI263" s="473"/>
      <c r="CJ263" s="473"/>
      <c r="CK263" s="473"/>
      <c r="CL263" s="473"/>
      <c r="CM263" s="473"/>
      <c r="CN263" s="473"/>
      <c r="CO263" s="473"/>
      <c r="CP263" s="473"/>
      <c r="CQ263" s="473"/>
      <c r="CR263" s="473"/>
      <c r="CS263" s="473"/>
      <c r="CT263" s="473"/>
      <c r="CU263" s="473"/>
      <c r="CV263" s="473"/>
      <c r="CW263" s="473"/>
      <c r="CX263" s="473"/>
      <c r="CY263" s="473"/>
      <c r="CZ263" s="473"/>
      <c r="DA263" s="473"/>
      <c r="DB263" s="473"/>
      <c r="DC263" s="473"/>
      <c r="DD263" s="473"/>
      <c r="DE263" s="473"/>
      <c r="DF263" s="473"/>
      <c r="DG263" s="473"/>
      <c r="DH263" s="473"/>
      <c r="DI263" s="473"/>
      <c r="DJ263" s="473"/>
      <c r="DK263" s="473"/>
      <c r="DL263" s="473"/>
      <c r="DM263" s="473"/>
      <c r="DN263" s="473"/>
      <c r="DO263" s="473"/>
      <c r="DP263" s="473"/>
      <c r="DQ263" s="473"/>
      <c r="DR263" s="473"/>
      <c r="DS263" s="473"/>
      <c r="DT263" s="473"/>
      <c r="DU263" s="473"/>
      <c r="DV263" s="473"/>
      <c r="DW263" s="473"/>
      <c r="DX263" s="473"/>
      <c r="DY263" s="473"/>
      <c r="DZ263" s="473"/>
      <c r="EA263" s="473"/>
      <c r="EB263" s="473"/>
      <c r="EC263" s="473"/>
      <c r="ED263" s="473"/>
      <c r="EE263" s="473"/>
      <c r="EF263" s="473"/>
      <c r="EG263" s="473"/>
      <c r="EH263" s="473"/>
      <c r="EI263" s="473"/>
      <c r="EJ263" s="473"/>
      <c r="EK263" s="473"/>
      <c r="EL263" s="473"/>
      <c r="EM263" s="473"/>
      <c r="EN263" s="473"/>
      <c r="EO263" s="473"/>
      <c r="EP263" s="473"/>
      <c r="EQ263" s="473"/>
      <c r="ER263" s="473"/>
      <c r="ES263" s="473"/>
      <c r="ET263" s="473"/>
      <c r="EU263" s="473"/>
      <c r="EV263" s="473"/>
      <c r="EW263" s="473"/>
      <c r="EX263" s="473"/>
      <c r="EY263" s="927">
        <f t="shared" si="179"/>
        <v>0</v>
      </c>
      <c r="EZ263" s="117"/>
      <c r="FA263" s="117"/>
      <c r="FB263" s="117"/>
      <c r="FC263" s="117"/>
      <c r="FD263" s="117"/>
      <c r="FE263" s="117"/>
      <c r="FF263" s="117"/>
      <c r="FG263" s="117"/>
      <c r="FH263" s="117"/>
      <c r="FI263" s="117"/>
      <c r="FJ263" s="117"/>
      <c r="FK263" s="117"/>
      <c r="FL263" s="117"/>
    </row>
    <row r="264" spans="1:168" ht="13.95" hidden="1" customHeight="1" x14ac:dyDescent="0.25">
      <c r="A264" s="1460"/>
      <c r="B264" s="115"/>
      <c r="C264" s="116"/>
      <c r="D264" s="116"/>
      <c r="E264" s="116"/>
      <c r="F264" s="116"/>
      <c r="G264" s="116"/>
      <c r="H264" s="116"/>
      <c r="I264" s="116"/>
      <c r="J264" s="473"/>
      <c r="K264" s="473"/>
      <c r="L264" s="473"/>
      <c r="M264" s="473"/>
      <c r="N264" s="473"/>
      <c r="O264" s="473"/>
      <c r="P264" s="473"/>
      <c r="Q264" s="473"/>
      <c r="R264" s="473"/>
      <c r="S264" s="473"/>
      <c r="T264" s="473"/>
      <c r="U264" s="473"/>
      <c r="V264" s="473"/>
      <c r="W264" s="473"/>
      <c r="X264" s="473"/>
      <c r="Y264" s="473"/>
      <c r="Z264" s="473"/>
      <c r="AA264" s="473"/>
      <c r="AB264" s="473"/>
      <c r="AC264" s="473"/>
      <c r="AD264" s="473"/>
      <c r="AE264" s="473"/>
      <c r="AF264" s="473"/>
      <c r="AG264" s="473"/>
      <c r="AH264" s="473"/>
      <c r="AI264" s="473"/>
      <c r="AJ264" s="473"/>
      <c r="AK264" s="473"/>
      <c r="AL264" s="473"/>
      <c r="AM264" s="473"/>
      <c r="AN264" s="473"/>
      <c r="AO264" s="473"/>
      <c r="AP264" s="473"/>
      <c r="AQ264" s="473"/>
      <c r="AR264" s="473"/>
      <c r="AS264" s="473"/>
      <c r="AT264" s="473"/>
      <c r="AU264" s="473"/>
      <c r="AV264" s="473"/>
      <c r="AW264" s="473"/>
      <c r="AX264" s="473"/>
      <c r="AY264" s="473"/>
      <c r="AZ264" s="473"/>
      <c r="BA264" s="473"/>
      <c r="BB264" s="473"/>
      <c r="BC264" s="473"/>
      <c r="BD264" s="473"/>
      <c r="BE264" s="473"/>
      <c r="BF264" s="473"/>
      <c r="BG264" s="473"/>
      <c r="BH264" s="473"/>
      <c r="BI264" s="473"/>
      <c r="BJ264" s="473"/>
      <c r="BK264" s="473"/>
      <c r="BL264" s="473"/>
      <c r="BM264" s="473"/>
      <c r="BN264" s="473"/>
      <c r="BO264" s="473"/>
      <c r="BP264" s="473"/>
      <c r="BQ264" s="473"/>
      <c r="BR264" s="473"/>
      <c r="BS264" s="473"/>
      <c r="BT264" s="473"/>
      <c r="BU264" s="473"/>
      <c r="BV264" s="473"/>
      <c r="BW264" s="473"/>
      <c r="BX264" s="473"/>
      <c r="BY264" s="473"/>
      <c r="BZ264" s="473"/>
      <c r="CA264" s="473"/>
      <c r="CB264" s="473"/>
      <c r="CC264" s="473"/>
      <c r="CD264" s="473"/>
      <c r="CE264" s="473"/>
      <c r="CF264" s="473"/>
      <c r="CG264" s="473"/>
      <c r="CH264" s="473"/>
      <c r="CI264" s="473"/>
      <c r="CJ264" s="473"/>
      <c r="CK264" s="473"/>
      <c r="CL264" s="473"/>
      <c r="CM264" s="473"/>
      <c r="CN264" s="473"/>
      <c r="CO264" s="473"/>
      <c r="CP264" s="473"/>
      <c r="CQ264" s="473"/>
      <c r="CR264" s="473"/>
      <c r="CS264" s="473"/>
      <c r="CT264" s="473"/>
      <c r="CU264" s="473"/>
      <c r="CV264" s="473"/>
      <c r="CW264" s="473"/>
      <c r="CX264" s="473"/>
      <c r="CY264" s="473"/>
      <c r="CZ264" s="473"/>
      <c r="DA264" s="473"/>
      <c r="DB264" s="473"/>
      <c r="DC264" s="473"/>
      <c r="DD264" s="473"/>
      <c r="DE264" s="473"/>
      <c r="DF264" s="473"/>
      <c r="DG264" s="473"/>
      <c r="DH264" s="473"/>
      <c r="DI264" s="473"/>
      <c r="DJ264" s="473"/>
      <c r="DK264" s="473"/>
      <c r="DL264" s="473"/>
      <c r="DM264" s="473"/>
      <c r="DN264" s="473"/>
      <c r="DO264" s="473"/>
      <c r="DP264" s="473"/>
      <c r="DQ264" s="473"/>
      <c r="DR264" s="473"/>
      <c r="DS264" s="473"/>
      <c r="DT264" s="473"/>
      <c r="DU264" s="473"/>
      <c r="DV264" s="473"/>
      <c r="DW264" s="473"/>
      <c r="DX264" s="473"/>
      <c r="DY264" s="473"/>
      <c r="DZ264" s="473"/>
      <c r="EA264" s="473"/>
      <c r="EB264" s="473"/>
      <c r="EC264" s="473"/>
      <c r="ED264" s="473"/>
      <c r="EE264" s="473"/>
      <c r="EF264" s="473"/>
      <c r="EG264" s="473"/>
      <c r="EH264" s="473"/>
      <c r="EI264" s="473"/>
      <c r="EJ264" s="473"/>
      <c r="EK264" s="473"/>
      <c r="EL264" s="473"/>
      <c r="EM264" s="473"/>
      <c r="EN264" s="473"/>
      <c r="EO264" s="473"/>
      <c r="EP264" s="473"/>
      <c r="EQ264" s="473"/>
      <c r="ER264" s="473"/>
      <c r="ES264" s="473"/>
      <c r="ET264" s="473"/>
      <c r="EU264" s="473"/>
      <c r="EV264" s="473"/>
      <c r="EW264" s="473"/>
      <c r="EX264" s="473"/>
      <c r="EY264" s="927">
        <f t="shared" si="179"/>
        <v>0</v>
      </c>
      <c r="EZ264" s="117"/>
      <c r="FA264" s="117"/>
      <c r="FB264" s="117"/>
      <c r="FC264" s="117"/>
      <c r="FD264" s="117"/>
      <c r="FE264" s="117"/>
      <c r="FF264" s="117"/>
      <c r="FG264" s="117"/>
      <c r="FH264" s="117"/>
      <c r="FI264" s="117"/>
      <c r="FJ264" s="117"/>
      <c r="FK264" s="117"/>
      <c r="FL264" s="117"/>
    </row>
    <row r="265" spans="1:168" ht="13.95" hidden="1" customHeight="1" x14ac:dyDescent="0.25">
      <c r="A265" s="1460"/>
      <c r="B265" s="115"/>
      <c r="C265" s="115"/>
      <c r="D265" s="115"/>
      <c r="E265" s="115"/>
      <c r="F265" s="115"/>
      <c r="G265" s="115"/>
      <c r="H265" s="115"/>
      <c r="I265" s="115"/>
      <c r="J265" s="473"/>
      <c r="K265" s="473"/>
      <c r="L265" s="473"/>
      <c r="M265" s="473"/>
      <c r="N265" s="473"/>
      <c r="O265" s="473"/>
      <c r="P265" s="473"/>
      <c r="Q265" s="473"/>
      <c r="R265" s="473"/>
      <c r="S265" s="473"/>
      <c r="T265" s="473"/>
      <c r="U265" s="473"/>
      <c r="V265" s="473"/>
      <c r="W265" s="473"/>
      <c r="X265" s="473"/>
      <c r="Y265" s="473"/>
      <c r="Z265" s="473"/>
      <c r="AA265" s="473"/>
      <c r="AB265" s="473"/>
      <c r="AC265" s="473"/>
      <c r="AD265" s="473"/>
      <c r="AE265" s="473"/>
      <c r="AF265" s="473"/>
      <c r="AG265" s="473"/>
      <c r="AH265" s="473"/>
      <c r="AI265" s="473"/>
      <c r="AJ265" s="473"/>
      <c r="AK265" s="473"/>
      <c r="AL265" s="473"/>
      <c r="AM265" s="473"/>
      <c r="AN265" s="473"/>
      <c r="AO265" s="473"/>
      <c r="AP265" s="473"/>
      <c r="AQ265" s="473"/>
      <c r="AR265" s="473"/>
      <c r="AS265" s="473"/>
      <c r="AT265" s="473"/>
      <c r="AU265" s="473"/>
      <c r="AV265" s="473"/>
      <c r="AW265" s="473"/>
      <c r="AX265" s="473"/>
      <c r="AY265" s="473"/>
      <c r="AZ265" s="473"/>
      <c r="BA265" s="473"/>
      <c r="BB265" s="473"/>
      <c r="BC265" s="473"/>
      <c r="BD265" s="473"/>
      <c r="BE265" s="473"/>
      <c r="BF265" s="473"/>
      <c r="BG265" s="473"/>
      <c r="BH265" s="473"/>
      <c r="BI265" s="473"/>
      <c r="BJ265" s="473"/>
      <c r="BK265" s="473"/>
      <c r="BL265" s="473"/>
      <c r="BM265" s="473"/>
      <c r="BN265" s="473"/>
      <c r="BO265" s="473"/>
      <c r="BP265" s="473"/>
      <c r="BQ265" s="473"/>
      <c r="BR265" s="473"/>
      <c r="BS265" s="473"/>
      <c r="BT265" s="473"/>
      <c r="BU265" s="473"/>
      <c r="BV265" s="473"/>
      <c r="BW265" s="473"/>
      <c r="BX265" s="473"/>
      <c r="BY265" s="473"/>
      <c r="BZ265" s="473"/>
      <c r="CA265" s="473"/>
      <c r="CB265" s="473"/>
      <c r="CC265" s="473"/>
      <c r="CD265" s="473"/>
      <c r="CE265" s="473"/>
      <c r="CF265" s="473"/>
      <c r="CG265" s="473"/>
      <c r="CH265" s="473"/>
      <c r="CI265" s="473"/>
      <c r="CJ265" s="473"/>
      <c r="CK265" s="473"/>
      <c r="CL265" s="473"/>
      <c r="CM265" s="473"/>
      <c r="CN265" s="473"/>
      <c r="CO265" s="473"/>
      <c r="CP265" s="473"/>
      <c r="CQ265" s="473"/>
      <c r="CR265" s="473"/>
      <c r="CS265" s="473"/>
      <c r="CT265" s="473"/>
      <c r="CU265" s="473"/>
      <c r="CV265" s="473"/>
      <c r="CW265" s="473"/>
      <c r="CX265" s="473"/>
      <c r="CY265" s="473"/>
      <c r="CZ265" s="473"/>
      <c r="DA265" s="473"/>
      <c r="DB265" s="473"/>
      <c r="DC265" s="473"/>
      <c r="DD265" s="473"/>
      <c r="DE265" s="473"/>
      <c r="DF265" s="473"/>
      <c r="DG265" s="473"/>
      <c r="DH265" s="473"/>
      <c r="DI265" s="473"/>
      <c r="DJ265" s="473"/>
      <c r="DK265" s="473"/>
      <c r="DL265" s="473"/>
      <c r="DM265" s="473"/>
      <c r="DN265" s="473"/>
      <c r="DO265" s="473"/>
      <c r="DP265" s="473"/>
      <c r="DQ265" s="473"/>
      <c r="DR265" s="473"/>
      <c r="DS265" s="473"/>
      <c r="DT265" s="473"/>
      <c r="DU265" s="473"/>
      <c r="DV265" s="473"/>
      <c r="DW265" s="473"/>
      <c r="DX265" s="473"/>
      <c r="DY265" s="473"/>
      <c r="DZ265" s="473"/>
      <c r="EA265" s="473"/>
      <c r="EB265" s="473"/>
      <c r="EC265" s="473"/>
      <c r="ED265" s="473"/>
      <c r="EE265" s="473"/>
      <c r="EF265" s="473"/>
      <c r="EG265" s="473"/>
      <c r="EH265" s="473"/>
      <c r="EI265" s="473"/>
      <c r="EJ265" s="473"/>
      <c r="EK265" s="473"/>
      <c r="EL265" s="473"/>
      <c r="EM265" s="473"/>
      <c r="EN265" s="473"/>
      <c r="EO265" s="473"/>
      <c r="EP265" s="473"/>
      <c r="EQ265" s="473"/>
      <c r="ER265" s="473"/>
      <c r="ES265" s="473"/>
      <c r="ET265" s="473"/>
      <c r="EU265" s="473"/>
      <c r="EV265" s="473"/>
      <c r="EW265" s="473"/>
      <c r="EX265" s="473"/>
      <c r="EY265" s="927">
        <f t="shared" si="179"/>
        <v>0</v>
      </c>
      <c r="EZ265" s="117"/>
      <c r="FA265" s="117"/>
      <c r="FB265" s="117"/>
      <c r="FC265" s="117"/>
      <c r="FD265" s="117"/>
      <c r="FE265" s="117"/>
      <c r="FF265" s="117"/>
      <c r="FG265" s="117"/>
      <c r="FH265" s="117"/>
      <c r="FI265" s="117"/>
      <c r="FJ265" s="117"/>
      <c r="FK265" s="117"/>
      <c r="FL265" s="117"/>
    </row>
    <row r="266" spans="1:168" hidden="1" x14ac:dyDescent="0.25">
      <c r="A266" s="411"/>
      <c r="B266" s="118" t="s">
        <v>111</v>
      </c>
      <c r="C266" s="840">
        <f t="shared" ref="C266" si="180">SUM(C257:C265)</f>
        <v>0</v>
      </c>
      <c r="D266" s="842">
        <f t="shared" ref="D266:V266" si="181">SUM(D257:D265)</f>
        <v>0</v>
      </c>
      <c r="E266" s="842">
        <f t="shared" si="181"/>
        <v>0</v>
      </c>
      <c r="F266" s="842">
        <f t="shared" si="181"/>
        <v>0</v>
      </c>
      <c r="G266" s="422">
        <f t="shared" si="181"/>
        <v>0</v>
      </c>
      <c r="H266" s="840"/>
      <c r="I266" s="842">
        <f t="shared" ref="I266" si="182">SUM(I257:I265)</f>
        <v>0</v>
      </c>
      <c r="J266" s="844">
        <f t="shared" si="181"/>
        <v>0</v>
      </c>
      <c r="K266" s="844">
        <f t="shared" si="181"/>
        <v>0</v>
      </c>
      <c r="L266" s="844">
        <f t="shared" si="181"/>
        <v>0</v>
      </c>
      <c r="M266" s="844">
        <f t="shared" si="181"/>
        <v>0</v>
      </c>
      <c r="N266" s="844">
        <f t="shared" si="181"/>
        <v>0</v>
      </c>
      <c r="O266" s="844">
        <f t="shared" si="181"/>
        <v>0</v>
      </c>
      <c r="P266" s="844">
        <f t="shared" si="181"/>
        <v>0</v>
      </c>
      <c r="Q266" s="844">
        <f t="shared" si="181"/>
        <v>0</v>
      </c>
      <c r="R266" s="844">
        <f t="shared" si="181"/>
        <v>0</v>
      </c>
      <c r="S266" s="844">
        <f t="shared" si="181"/>
        <v>0</v>
      </c>
      <c r="T266" s="844">
        <f t="shared" si="181"/>
        <v>0</v>
      </c>
      <c r="U266" s="844">
        <f t="shared" si="181"/>
        <v>0</v>
      </c>
      <c r="V266" s="844">
        <f t="shared" si="181"/>
        <v>0</v>
      </c>
      <c r="W266" s="844">
        <f t="shared" ref="W266:BB266" si="183">SUM(W257:W265)</f>
        <v>0</v>
      </c>
      <c r="X266" s="844">
        <f t="shared" si="183"/>
        <v>0</v>
      </c>
      <c r="Y266" s="844">
        <f t="shared" si="183"/>
        <v>0</v>
      </c>
      <c r="Z266" s="844">
        <f t="shared" si="183"/>
        <v>0</v>
      </c>
      <c r="AA266" s="844">
        <f t="shared" si="183"/>
        <v>0</v>
      </c>
      <c r="AB266" s="844">
        <f t="shared" si="183"/>
        <v>0</v>
      </c>
      <c r="AC266" s="844">
        <f t="shared" si="183"/>
        <v>0</v>
      </c>
      <c r="AD266" s="844">
        <f t="shared" si="183"/>
        <v>0</v>
      </c>
      <c r="AE266" s="844">
        <f t="shared" si="183"/>
        <v>0</v>
      </c>
      <c r="AF266" s="844">
        <f t="shared" si="183"/>
        <v>0</v>
      </c>
      <c r="AG266" s="844">
        <f t="shared" si="183"/>
        <v>0</v>
      </c>
      <c r="AH266" s="844">
        <f t="shared" si="183"/>
        <v>0</v>
      </c>
      <c r="AI266" s="844">
        <f t="shared" si="183"/>
        <v>0</v>
      </c>
      <c r="AJ266" s="844">
        <f t="shared" si="183"/>
        <v>0</v>
      </c>
      <c r="AK266" s="844">
        <f t="shared" si="183"/>
        <v>0</v>
      </c>
      <c r="AL266" s="844">
        <f t="shared" si="183"/>
        <v>0</v>
      </c>
      <c r="AM266" s="844">
        <f t="shared" si="183"/>
        <v>0</v>
      </c>
      <c r="AN266" s="844">
        <f t="shared" si="183"/>
        <v>0</v>
      </c>
      <c r="AO266" s="844">
        <f t="shared" si="183"/>
        <v>0</v>
      </c>
      <c r="AP266" s="844">
        <f t="shared" si="183"/>
        <v>0</v>
      </c>
      <c r="AQ266" s="844">
        <f t="shared" si="183"/>
        <v>0</v>
      </c>
      <c r="AR266" s="844">
        <f t="shared" si="183"/>
        <v>0</v>
      </c>
      <c r="AS266" s="844">
        <f t="shared" si="183"/>
        <v>0</v>
      </c>
      <c r="AT266" s="844">
        <f t="shared" si="183"/>
        <v>0</v>
      </c>
      <c r="AU266" s="844">
        <f t="shared" si="183"/>
        <v>0</v>
      </c>
      <c r="AV266" s="844">
        <f t="shared" si="183"/>
        <v>0</v>
      </c>
      <c r="AW266" s="844">
        <f t="shared" si="183"/>
        <v>0</v>
      </c>
      <c r="AX266" s="844">
        <f t="shared" si="183"/>
        <v>0</v>
      </c>
      <c r="AY266" s="844">
        <f t="shared" si="183"/>
        <v>0</v>
      </c>
      <c r="AZ266" s="844">
        <f t="shared" si="183"/>
        <v>0</v>
      </c>
      <c r="BA266" s="844">
        <f t="shared" si="183"/>
        <v>0</v>
      </c>
      <c r="BB266" s="844">
        <f t="shared" si="183"/>
        <v>0</v>
      </c>
      <c r="BC266" s="844">
        <f t="shared" ref="BC266:CH266" si="184">SUM(BC257:BC265)</f>
        <v>0</v>
      </c>
      <c r="BD266" s="844">
        <f t="shared" si="184"/>
        <v>0</v>
      </c>
      <c r="BE266" s="844">
        <f t="shared" si="184"/>
        <v>0</v>
      </c>
      <c r="BF266" s="844">
        <f t="shared" si="184"/>
        <v>0</v>
      </c>
      <c r="BG266" s="844">
        <f t="shared" si="184"/>
        <v>0</v>
      </c>
      <c r="BH266" s="844">
        <f t="shared" si="184"/>
        <v>0</v>
      </c>
      <c r="BI266" s="844">
        <f t="shared" si="184"/>
        <v>0</v>
      </c>
      <c r="BJ266" s="844">
        <f t="shared" si="184"/>
        <v>0</v>
      </c>
      <c r="BK266" s="844">
        <f t="shared" si="184"/>
        <v>0</v>
      </c>
      <c r="BL266" s="844">
        <f t="shared" si="184"/>
        <v>0</v>
      </c>
      <c r="BM266" s="844">
        <f t="shared" si="184"/>
        <v>0</v>
      </c>
      <c r="BN266" s="844">
        <f t="shared" si="184"/>
        <v>0</v>
      </c>
      <c r="BO266" s="844">
        <f t="shared" si="184"/>
        <v>0</v>
      </c>
      <c r="BP266" s="844">
        <f t="shared" si="184"/>
        <v>0</v>
      </c>
      <c r="BQ266" s="844">
        <f t="shared" si="184"/>
        <v>0</v>
      </c>
      <c r="BR266" s="844">
        <f t="shared" si="184"/>
        <v>0</v>
      </c>
      <c r="BS266" s="844">
        <f t="shared" si="184"/>
        <v>0</v>
      </c>
      <c r="BT266" s="844">
        <f t="shared" si="184"/>
        <v>0</v>
      </c>
      <c r="BU266" s="844">
        <f t="shared" si="184"/>
        <v>0</v>
      </c>
      <c r="BV266" s="844">
        <f t="shared" si="184"/>
        <v>0</v>
      </c>
      <c r="BW266" s="844">
        <f t="shared" si="184"/>
        <v>0</v>
      </c>
      <c r="BX266" s="844">
        <f t="shared" si="184"/>
        <v>0</v>
      </c>
      <c r="BY266" s="844">
        <f t="shared" si="184"/>
        <v>0</v>
      </c>
      <c r="BZ266" s="844">
        <f t="shared" si="184"/>
        <v>0</v>
      </c>
      <c r="CA266" s="844">
        <f t="shared" si="184"/>
        <v>0</v>
      </c>
      <c r="CB266" s="844">
        <f t="shared" si="184"/>
        <v>0</v>
      </c>
      <c r="CC266" s="844">
        <f t="shared" si="184"/>
        <v>0</v>
      </c>
      <c r="CD266" s="844">
        <f t="shared" si="184"/>
        <v>0</v>
      </c>
      <c r="CE266" s="844">
        <f t="shared" si="184"/>
        <v>0</v>
      </c>
      <c r="CF266" s="844">
        <f t="shared" si="184"/>
        <v>0</v>
      </c>
      <c r="CG266" s="844">
        <f t="shared" si="184"/>
        <v>0</v>
      </c>
      <c r="CH266" s="844">
        <f t="shared" si="184"/>
        <v>0</v>
      </c>
      <c r="CI266" s="844">
        <f t="shared" ref="CI266:DN266" si="185">SUM(CI257:CI265)</f>
        <v>0</v>
      </c>
      <c r="CJ266" s="844">
        <f t="shared" si="185"/>
        <v>0</v>
      </c>
      <c r="CK266" s="844">
        <f t="shared" si="185"/>
        <v>0</v>
      </c>
      <c r="CL266" s="844">
        <f t="shared" si="185"/>
        <v>0</v>
      </c>
      <c r="CM266" s="844">
        <f t="shared" si="185"/>
        <v>0</v>
      </c>
      <c r="CN266" s="844">
        <f t="shared" si="185"/>
        <v>0</v>
      </c>
      <c r="CO266" s="844">
        <f t="shared" si="185"/>
        <v>0</v>
      </c>
      <c r="CP266" s="844">
        <f t="shared" si="185"/>
        <v>0</v>
      </c>
      <c r="CQ266" s="844">
        <f t="shared" si="185"/>
        <v>0</v>
      </c>
      <c r="CR266" s="844">
        <f t="shared" si="185"/>
        <v>0</v>
      </c>
      <c r="CS266" s="844">
        <f t="shared" si="185"/>
        <v>0</v>
      </c>
      <c r="CT266" s="844">
        <f t="shared" si="185"/>
        <v>0</v>
      </c>
      <c r="CU266" s="844">
        <f t="shared" si="185"/>
        <v>0</v>
      </c>
      <c r="CV266" s="844">
        <f t="shared" si="185"/>
        <v>0</v>
      </c>
      <c r="CW266" s="844">
        <f t="shared" si="185"/>
        <v>0</v>
      </c>
      <c r="CX266" s="844">
        <f t="shared" si="185"/>
        <v>0</v>
      </c>
      <c r="CY266" s="844">
        <f t="shared" si="185"/>
        <v>0</v>
      </c>
      <c r="CZ266" s="844">
        <f t="shared" si="185"/>
        <v>0</v>
      </c>
      <c r="DA266" s="844">
        <f t="shared" si="185"/>
        <v>0</v>
      </c>
      <c r="DB266" s="844">
        <f t="shared" si="185"/>
        <v>0</v>
      </c>
      <c r="DC266" s="844">
        <f t="shared" si="185"/>
        <v>0</v>
      </c>
      <c r="DD266" s="844">
        <f t="shared" si="185"/>
        <v>0</v>
      </c>
      <c r="DE266" s="844">
        <f t="shared" si="185"/>
        <v>0</v>
      </c>
      <c r="DF266" s="844">
        <f t="shared" si="185"/>
        <v>0</v>
      </c>
      <c r="DG266" s="844">
        <f t="shared" si="185"/>
        <v>0</v>
      </c>
      <c r="DH266" s="844">
        <f t="shared" si="185"/>
        <v>0</v>
      </c>
      <c r="DI266" s="844">
        <f t="shared" si="185"/>
        <v>0</v>
      </c>
      <c r="DJ266" s="844">
        <f t="shared" si="185"/>
        <v>0</v>
      </c>
      <c r="DK266" s="844">
        <f t="shared" si="185"/>
        <v>0</v>
      </c>
      <c r="DL266" s="844">
        <f t="shared" si="185"/>
        <v>0</v>
      </c>
      <c r="DM266" s="844">
        <f t="shared" si="185"/>
        <v>0</v>
      </c>
      <c r="DN266" s="844">
        <f t="shared" si="185"/>
        <v>0</v>
      </c>
      <c r="DO266" s="844">
        <f t="shared" ref="DO266:ET266" si="186">SUM(DO257:DO265)</f>
        <v>0</v>
      </c>
      <c r="DP266" s="844">
        <f t="shared" si="186"/>
        <v>0</v>
      </c>
      <c r="DQ266" s="844">
        <f t="shared" si="186"/>
        <v>0</v>
      </c>
      <c r="DR266" s="844">
        <f t="shared" si="186"/>
        <v>0</v>
      </c>
      <c r="DS266" s="844">
        <f t="shared" si="186"/>
        <v>0</v>
      </c>
      <c r="DT266" s="844">
        <f t="shared" si="186"/>
        <v>0</v>
      </c>
      <c r="DU266" s="844">
        <f t="shared" si="186"/>
        <v>0</v>
      </c>
      <c r="DV266" s="844">
        <f t="shared" si="186"/>
        <v>0</v>
      </c>
      <c r="DW266" s="844">
        <f t="shared" si="186"/>
        <v>0</v>
      </c>
      <c r="DX266" s="844">
        <f t="shared" si="186"/>
        <v>0</v>
      </c>
      <c r="DY266" s="844">
        <f t="shared" si="186"/>
        <v>0</v>
      </c>
      <c r="DZ266" s="844">
        <f t="shared" si="186"/>
        <v>0</v>
      </c>
      <c r="EA266" s="844">
        <f t="shared" si="186"/>
        <v>0</v>
      </c>
      <c r="EB266" s="844">
        <f t="shared" si="186"/>
        <v>0</v>
      </c>
      <c r="EC266" s="844">
        <f t="shared" si="186"/>
        <v>0</v>
      </c>
      <c r="ED266" s="844">
        <f t="shared" si="186"/>
        <v>0</v>
      </c>
      <c r="EE266" s="844">
        <f t="shared" si="186"/>
        <v>0</v>
      </c>
      <c r="EF266" s="844">
        <f t="shared" si="186"/>
        <v>0</v>
      </c>
      <c r="EG266" s="844">
        <f t="shared" si="186"/>
        <v>0</v>
      </c>
      <c r="EH266" s="844">
        <f t="shared" si="186"/>
        <v>0</v>
      </c>
      <c r="EI266" s="844">
        <f t="shared" si="186"/>
        <v>0</v>
      </c>
      <c r="EJ266" s="844">
        <f t="shared" si="186"/>
        <v>0</v>
      </c>
      <c r="EK266" s="844">
        <f t="shared" si="186"/>
        <v>0</v>
      </c>
      <c r="EL266" s="844">
        <f t="shared" si="186"/>
        <v>0</v>
      </c>
      <c r="EM266" s="844">
        <f t="shared" si="186"/>
        <v>0</v>
      </c>
      <c r="EN266" s="844">
        <f t="shared" si="186"/>
        <v>0</v>
      </c>
      <c r="EO266" s="844">
        <f t="shared" si="186"/>
        <v>0</v>
      </c>
      <c r="EP266" s="844">
        <f t="shared" si="186"/>
        <v>0</v>
      </c>
      <c r="EQ266" s="844">
        <f t="shared" si="186"/>
        <v>0</v>
      </c>
      <c r="ER266" s="844">
        <f t="shared" si="186"/>
        <v>0</v>
      </c>
      <c r="ES266" s="844">
        <f t="shared" si="186"/>
        <v>0</v>
      </c>
      <c r="ET266" s="844">
        <f t="shared" si="186"/>
        <v>0</v>
      </c>
      <c r="EU266" s="844">
        <f t="shared" ref="EU266:EX266" si="187">SUM(EU257:EU265)</f>
        <v>0</v>
      </c>
      <c r="EV266" s="844">
        <f t="shared" si="187"/>
        <v>0</v>
      </c>
      <c r="EW266" s="844">
        <f t="shared" si="187"/>
        <v>0</v>
      </c>
      <c r="EX266" s="844">
        <f t="shared" si="187"/>
        <v>0</v>
      </c>
      <c r="EY266" s="847">
        <f t="shared" ref="EY266:FL266" si="188">SUM(EY257:EY265)</f>
        <v>0</v>
      </c>
      <c r="EZ266" s="534">
        <f t="shared" si="188"/>
        <v>0</v>
      </c>
      <c r="FA266" s="534">
        <f t="shared" si="188"/>
        <v>0</v>
      </c>
      <c r="FB266" s="534">
        <f t="shared" si="188"/>
        <v>0</v>
      </c>
      <c r="FC266" s="534">
        <f t="shared" si="188"/>
        <v>0</v>
      </c>
      <c r="FD266" s="534">
        <f t="shared" si="188"/>
        <v>0</v>
      </c>
      <c r="FE266" s="534">
        <f t="shared" si="188"/>
        <v>0</v>
      </c>
      <c r="FF266" s="534">
        <f t="shared" si="188"/>
        <v>0</v>
      </c>
      <c r="FG266" s="534">
        <f t="shared" si="188"/>
        <v>0</v>
      </c>
      <c r="FH266" s="534">
        <f t="shared" si="188"/>
        <v>0</v>
      </c>
      <c r="FI266" s="534">
        <f t="shared" si="188"/>
        <v>0</v>
      </c>
      <c r="FJ266" s="534">
        <f t="shared" si="188"/>
        <v>0</v>
      </c>
      <c r="FK266" s="534">
        <f t="shared" si="188"/>
        <v>0</v>
      </c>
      <c r="FL266" s="534">
        <f t="shared" si="188"/>
        <v>0</v>
      </c>
    </row>
    <row r="267" spans="1:168" ht="13.95" hidden="1" customHeight="1" x14ac:dyDescent="0.25">
      <c r="A267" s="1459" t="s">
        <v>112</v>
      </c>
      <c r="B267" s="115"/>
      <c r="C267" s="116"/>
      <c r="D267" s="116"/>
      <c r="E267" s="116"/>
      <c r="F267" s="116"/>
      <c r="G267" s="116"/>
      <c r="H267" s="116"/>
      <c r="I267" s="116"/>
      <c r="J267" s="473"/>
      <c r="K267" s="473"/>
      <c r="L267" s="473"/>
      <c r="M267" s="473"/>
      <c r="N267" s="473"/>
      <c r="O267" s="473"/>
      <c r="P267" s="473"/>
      <c r="Q267" s="473"/>
      <c r="R267" s="473"/>
      <c r="S267" s="473"/>
      <c r="T267" s="473"/>
      <c r="U267" s="473"/>
      <c r="V267" s="473"/>
      <c r="W267" s="473"/>
      <c r="X267" s="473"/>
      <c r="Y267" s="473"/>
      <c r="Z267" s="473"/>
      <c r="AA267" s="473"/>
      <c r="AB267" s="473"/>
      <c r="AC267" s="473"/>
      <c r="AD267" s="473"/>
      <c r="AE267" s="473"/>
      <c r="AF267" s="473"/>
      <c r="AG267" s="473"/>
      <c r="AH267" s="473"/>
      <c r="AI267" s="473"/>
      <c r="AJ267" s="473"/>
      <c r="AK267" s="473"/>
      <c r="AL267" s="473"/>
      <c r="AM267" s="473"/>
      <c r="AN267" s="473"/>
      <c r="AO267" s="473"/>
      <c r="AP267" s="473"/>
      <c r="AQ267" s="473"/>
      <c r="AR267" s="473"/>
      <c r="AS267" s="473"/>
      <c r="AT267" s="473"/>
      <c r="AU267" s="473"/>
      <c r="AV267" s="473"/>
      <c r="AW267" s="473"/>
      <c r="AX267" s="473"/>
      <c r="AY267" s="473"/>
      <c r="AZ267" s="473"/>
      <c r="BA267" s="473"/>
      <c r="BB267" s="473"/>
      <c r="BC267" s="473"/>
      <c r="BD267" s="473"/>
      <c r="BE267" s="473"/>
      <c r="BF267" s="473"/>
      <c r="BG267" s="473"/>
      <c r="BH267" s="473"/>
      <c r="BI267" s="473"/>
      <c r="BJ267" s="473"/>
      <c r="BK267" s="473"/>
      <c r="BL267" s="473"/>
      <c r="BM267" s="473"/>
      <c r="BN267" s="473"/>
      <c r="BO267" s="473"/>
      <c r="BP267" s="473"/>
      <c r="BQ267" s="473"/>
      <c r="BR267" s="473"/>
      <c r="BS267" s="473"/>
      <c r="BT267" s="473"/>
      <c r="BU267" s="473"/>
      <c r="BV267" s="473"/>
      <c r="BW267" s="473"/>
      <c r="BX267" s="473"/>
      <c r="BY267" s="473"/>
      <c r="BZ267" s="473"/>
      <c r="CA267" s="473"/>
      <c r="CB267" s="473"/>
      <c r="CC267" s="473"/>
      <c r="CD267" s="473"/>
      <c r="CE267" s="473"/>
      <c r="CF267" s="473"/>
      <c r="CG267" s="473"/>
      <c r="CH267" s="473"/>
      <c r="CI267" s="473"/>
      <c r="CJ267" s="473"/>
      <c r="CK267" s="473"/>
      <c r="CL267" s="473"/>
      <c r="CM267" s="473"/>
      <c r="CN267" s="473"/>
      <c r="CO267" s="473"/>
      <c r="CP267" s="473"/>
      <c r="CQ267" s="473"/>
      <c r="CR267" s="473"/>
      <c r="CS267" s="473"/>
      <c r="CT267" s="473"/>
      <c r="CU267" s="473"/>
      <c r="CV267" s="473"/>
      <c r="CW267" s="473"/>
      <c r="CX267" s="473"/>
      <c r="CY267" s="473"/>
      <c r="CZ267" s="473"/>
      <c r="DA267" s="473"/>
      <c r="DB267" s="473"/>
      <c r="DC267" s="473"/>
      <c r="DD267" s="473"/>
      <c r="DE267" s="473"/>
      <c r="DF267" s="473"/>
      <c r="DG267" s="473"/>
      <c r="DH267" s="473"/>
      <c r="DI267" s="473"/>
      <c r="DJ267" s="473"/>
      <c r="DK267" s="473"/>
      <c r="DL267" s="473"/>
      <c r="DM267" s="473"/>
      <c r="DN267" s="473"/>
      <c r="DO267" s="473"/>
      <c r="DP267" s="473"/>
      <c r="DQ267" s="473"/>
      <c r="DR267" s="473"/>
      <c r="DS267" s="473"/>
      <c r="DT267" s="473"/>
      <c r="DU267" s="473"/>
      <c r="DV267" s="473"/>
      <c r="DW267" s="473"/>
      <c r="DX267" s="473"/>
      <c r="DY267" s="473"/>
      <c r="DZ267" s="473"/>
      <c r="EA267" s="473"/>
      <c r="EB267" s="473"/>
      <c r="EC267" s="473"/>
      <c r="ED267" s="473"/>
      <c r="EE267" s="473"/>
      <c r="EF267" s="473"/>
      <c r="EG267" s="473"/>
      <c r="EH267" s="473"/>
      <c r="EI267" s="473"/>
      <c r="EJ267" s="473"/>
      <c r="EK267" s="473"/>
      <c r="EL267" s="473"/>
      <c r="EM267" s="473"/>
      <c r="EN267" s="473"/>
      <c r="EO267" s="473"/>
      <c r="EP267" s="473"/>
      <c r="EQ267" s="473"/>
      <c r="ER267" s="473"/>
      <c r="ES267" s="473"/>
      <c r="ET267" s="473"/>
      <c r="EU267" s="473"/>
      <c r="EV267" s="473"/>
      <c r="EW267" s="473"/>
      <c r="EX267" s="473"/>
      <c r="EY267" s="927">
        <f t="shared" ref="EY267:EY281" si="189">SUM(J267:EX267)</f>
        <v>0</v>
      </c>
      <c r="EZ267" s="431">
        <f>блюда!EZ24</f>
        <v>0</v>
      </c>
      <c r="FA267" s="431">
        <f>блюда!FA24</f>
        <v>0</v>
      </c>
      <c r="FB267" s="431">
        <f>блюда!FB24</f>
        <v>0</v>
      </c>
      <c r="FC267" s="431">
        <f>блюда!FC24</f>
        <v>0</v>
      </c>
      <c r="FD267" s="431">
        <f>блюда!FD24</f>
        <v>0</v>
      </c>
      <c r="FE267" s="431">
        <f>блюда!FE24</f>
        <v>0</v>
      </c>
      <c r="FF267" s="431">
        <f>блюда!FF24</f>
        <v>0</v>
      </c>
      <c r="FG267" s="431">
        <f>блюда!FG24</f>
        <v>0</v>
      </c>
      <c r="FH267" s="431">
        <f>блюда!FH24</f>
        <v>0</v>
      </c>
      <c r="FI267" s="431">
        <f>блюда!FI24</f>
        <v>0</v>
      </c>
      <c r="FJ267" s="431">
        <f>блюда!FJ24</f>
        <v>0</v>
      </c>
      <c r="FK267" s="431">
        <f>блюда!FK24</f>
        <v>0</v>
      </c>
      <c r="FL267" s="431">
        <f>блюда!FL24</f>
        <v>0</v>
      </c>
    </row>
    <row r="268" spans="1:168" ht="13.95" hidden="1" customHeight="1" x14ac:dyDescent="0.25">
      <c r="A268" s="1460"/>
      <c r="B268" s="115"/>
      <c r="C268" s="116"/>
      <c r="D268" s="431"/>
      <c r="E268" s="431"/>
      <c r="F268" s="431"/>
      <c r="G268" s="116"/>
      <c r="H268" s="116"/>
      <c r="I268" s="431"/>
      <c r="J268" s="703"/>
      <c r="K268" s="703"/>
      <c r="L268" s="703"/>
      <c r="M268" s="703"/>
      <c r="N268" s="703"/>
      <c r="O268" s="703"/>
      <c r="P268" s="703"/>
      <c r="Q268" s="703"/>
      <c r="R268" s="703"/>
      <c r="S268" s="703"/>
      <c r="T268" s="703"/>
      <c r="U268" s="703"/>
      <c r="V268" s="703"/>
      <c r="W268" s="703"/>
      <c r="X268" s="703"/>
      <c r="Y268" s="703"/>
      <c r="Z268" s="703"/>
      <c r="AA268" s="703"/>
      <c r="AB268" s="703"/>
      <c r="AC268" s="703"/>
      <c r="AD268" s="703"/>
      <c r="AE268" s="703"/>
      <c r="AF268" s="703"/>
      <c r="AG268" s="703"/>
      <c r="AH268" s="703"/>
      <c r="AI268" s="703"/>
      <c r="AJ268" s="703"/>
      <c r="AK268" s="703"/>
      <c r="AL268" s="703"/>
      <c r="AM268" s="703"/>
      <c r="AN268" s="703"/>
      <c r="AO268" s="703"/>
      <c r="AP268" s="703"/>
      <c r="AQ268" s="703"/>
      <c r="AR268" s="703"/>
      <c r="AS268" s="703"/>
      <c r="AT268" s="703"/>
      <c r="AU268" s="703"/>
      <c r="AV268" s="703"/>
      <c r="AW268" s="703"/>
      <c r="AX268" s="703"/>
      <c r="AY268" s="703"/>
      <c r="AZ268" s="703"/>
      <c r="BA268" s="703"/>
      <c r="BB268" s="703"/>
      <c r="BC268" s="703"/>
      <c r="BD268" s="703"/>
      <c r="BE268" s="703"/>
      <c r="BF268" s="703"/>
      <c r="BG268" s="703"/>
      <c r="BH268" s="703"/>
      <c r="BI268" s="703"/>
      <c r="BJ268" s="703"/>
      <c r="BK268" s="703"/>
      <c r="BL268" s="703"/>
      <c r="BM268" s="703"/>
      <c r="BN268" s="703"/>
      <c r="BO268" s="703"/>
      <c r="BP268" s="703"/>
      <c r="BQ268" s="703"/>
      <c r="BR268" s="703"/>
      <c r="BS268" s="703"/>
      <c r="BT268" s="703"/>
      <c r="BU268" s="703"/>
      <c r="BV268" s="703"/>
      <c r="BW268" s="703"/>
      <c r="BX268" s="703"/>
      <c r="BY268" s="703"/>
      <c r="BZ268" s="703"/>
      <c r="CA268" s="703"/>
      <c r="CB268" s="703"/>
      <c r="CC268" s="703"/>
      <c r="CD268" s="703"/>
      <c r="CE268" s="703"/>
      <c r="CF268" s="703"/>
      <c r="CG268" s="703"/>
      <c r="CH268" s="703"/>
      <c r="CI268" s="703"/>
      <c r="CJ268" s="703"/>
      <c r="CK268" s="703"/>
      <c r="CL268" s="703"/>
      <c r="CM268" s="703"/>
      <c r="CN268" s="703"/>
      <c r="CO268" s="703"/>
      <c r="CP268" s="703"/>
      <c r="CQ268" s="703"/>
      <c r="CR268" s="703"/>
      <c r="CS268" s="703"/>
      <c r="CT268" s="703"/>
      <c r="CU268" s="703"/>
      <c r="CV268" s="703"/>
      <c r="CW268" s="703"/>
      <c r="CX268" s="703"/>
      <c r="CY268" s="703"/>
      <c r="CZ268" s="703"/>
      <c r="DA268" s="703"/>
      <c r="DB268" s="703"/>
      <c r="DC268" s="703"/>
      <c r="DD268" s="703"/>
      <c r="DE268" s="703"/>
      <c r="DF268" s="703"/>
      <c r="DG268" s="703"/>
      <c r="DH268" s="703"/>
      <c r="DI268" s="703"/>
      <c r="DJ268" s="703"/>
      <c r="DK268" s="703"/>
      <c r="DL268" s="703"/>
      <c r="DM268" s="703"/>
      <c r="DN268" s="703"/>
      <c r="DO268" s="703"/>
      <c r="DP268" s="703"/>
      <c r="DQ268" s="703"/>
      <c r="DR268" s="703"/>
      <c r="DS268" s="703"/>
      <c r="DT268" s="703"/>
      <c r="DU268" s="703"/>
      <c r="DV268" s="703"/>
      <c r="DW268" s="703"/>
      <c r="DX268" s="703"/>
      <c r="DY268" s="703"/>
      <c r="DZ268" s="703"/>
      <c r="EA268" s="703"/>
      <c r="EB268" s="703"/>
      <c r="EC268" s="703"/>
      <c r="ED268" s="703"/>
      <c r="EE268" s="703"/>
      <c r="EF268" s="703"/>
      <c r="EG268" s="703"/>
      <c r="EH268" s="703"/>
      <c r="EI268" s="703"/>
      <c r="EJ268" s="703"/>
      <c r="EK268" s="703"/>
      <c r="EL268" s="703"/>
      <c r="EM268" s="703"/>
      <c r="EN268" s="703"/>
      <c r="EO268" s="703"/>
      <c r="EP268" s="703"/>
      <c r="EQ268" s="703"/>
      <c r="ER268" s="703"/>
      <c r="ES268" s="703"/>
      <c r="ET268" s="703"/>
      <c r="EU268" s="703"/>
      <c r="EV268" s="703"/>
      <c r="EW268" s="703"/>
      <c r="EX268" s="703"/>
      <c r="EY268" s="927">
        <f t="shared" si="189"/>
        <v>0</v>
      </c>
      <c r="EZ268" s="431">
        <f>блюда!EZ64</f>
        <v>0</v>
      </c>
      <c r="FA268" s="431">
        <f>блюда!FA64</f>
        <v>0</v>
      </c>
      <c r="FB268" s="431">
        <f>блюда!FB64</f>
        <v>0</v>
      </c>
      <c r="FC268" s="431">
        <f>блюда!FC64</f>
        <v>0</v>
      </c>
      <c r="FD268" s="431">
        <f>блюда!FD64</f>
        <v>0</v>
      </c>
      <c r="FE268" s="431">
        <f>блюда!FE64</f>
        <v>0</v>
      </c>
      <c r="FF268" s="431">
        <f>блюда!FF64</f>
        <v>0</v>
      </c>
      <c r="FG268" s="431">
        <f>блюда!FG64</f>
        <v>0</v>
      </c>
      <c r="FH268" s="431">
        <f>блюда!FH64</f>
        <v>0</v>
      </c>
      <c r="FI268" s="431">
        <f>блюда!FI64</f>
        <v>0</v>
      </c>
      <c r="FJ268" s="431">
        <f>блюда!FJ64</f>
        <v>0</v>
      </c>
      <c r="FK268" s="431">
        <f>блюда!FK64</f>
        <v>0</v>
      </c>
      <c r="FL268" s="431">
        <f>блюда!FL64</f>
        <v>0</v>
      </c>
    </row>
    <row r="269" spans="1:168" ht="13.95" hidden="1" customHeight="1" x14ac:dyDescent="0.25">
      <c r="A269" s="1460"/>
      <c r="B269" s="115"/>
      <c r="C269" s="116"/>
      <c r="D269" s="116"/>
      <c r="E269" s="116"/>
      <c r="F269" s="116"/>
      <c r="G269" s="116"/>
      <c r="H269" s="116"/>
      <c r="I269" s="116"/>
      <c r="J269" s="703"/>
      <c r="K269" s="703"/>
      <c r="L269" s="703"/>
      <c r="M269" s="703"/>
      <c r="N269" s="703"/>
      <c r="O269" s="703"/>
      <c r="P269" s="703"/>
      <c r="Q269" s="703"/>
      <c r="R269" s="703"/>
      <c r="S269" s="703"/>
      <c r="T269" s="703"/>
      <c r="U269" s="703"/>
      <c r="V269" s="703"/>
      <c r="W269" s="703"/>
      <c r="X269" s="703"/>
      <c r="Y269" s="703"/>
      <c r="Z269" s="703"/>
      <c r="AA269" s="703"/>
      <c r="AB269" s="703"/>
      <c r="AC269" s="703"/>
      <c r="AD269" s="703"/>
      <c r="AE269" s="703"/>
      <c r="AF269" s="703"/>
      <c r="AG269" s="703"/>
      <c r="AH269" s="703"/>
      <c r="AI269" s="703"/>
      <c r="AJ269" s="703"/>
      <c r="AK269" s="703"/>
      <c r="AL269" s="703"/>
      <c r="AM269" s="703"/>
      <c r="AN269" s="703"/>
      <c r="AO269" s="703"/>
      <c r="AP269" s="703"/>
      <c r="AQ269" s="703"/>
      <c r="AR269" s="703"/>
      <c r="AS269" s="703"/>
      <c r="AT269" s="703"/>
      <c r="AU269" s="703"/>
      <c r="AV269" s="703"/>
      <c r="AW269" s="703"/>
      <c r="AX269" s="703"/>
      <c r="AY269" s="703"/>
      <c r="AZ269" s="703"/>
      <c r="BA269" s="703"/>
      <c r="BB269" s="703"/>
      <c r="BC269" s="703"/>
      <c r="BD269" s="703"/>
      <c r="BE269" s="703"/>
      <c r="BF269" s="703"/>
      <c r="BG269" s="703"/>
      <c r="BH269" s="703"/>
      <c r="BI269" s="703"/>
      <c r="BJ269" s="703"/>
      <c r="BK269" s="703"/>
      <c r="BL269" s="703"/>
      <c r="BM269" s="703"/>
      <c r="BN269" s="703"/>
      <c r="BO269" s="703"/>
      <c r="BP269" s="703"/>
      <c r="BQ269" s="703"/>
      <c r="BR269" s="703"/>
      <c r="BS269" s="703"/>
      <c r="BT269" s="703"/>
      <c r="BU269" s="703"/>
      <c r="BV269" s="703"/>
      <c r="BW269" s="703"/>
      <c r="BX269" s="703"/>
      <c r="BY269" s="703"/>
      <c r="BZ269" s="703"/>
      <c r="CA269" s="703"/>
      <c r="CB269" s="703"/>
      <c r="CC269" s="703"/>
      <c r="CD269" s="703"/>
      <c r="CE269" s="703"/>
      <c r="CF269" s="703"/>
      <c r="CG269" s="703"/>
      <c r="CH269" s="703"/>
      <c r="CI269" s="703"/>
      <c r="CJ269" s="703"/>
      <c r="CK269" s="703"/>
      <c r="CL269" s="703"/>
      <c r="CM269" s="703"/>
      <c r="CN269" s="703"/>
      <c r="CO269" s="703"/>
      <c r="CP269" s="703"/>
      <c r="CQ269" s="703"/>
      <c r="CR269" s="703"/>
      <c r="CS269" s="703"/>
      <c r="CT269" s="703"/>
      <c r="CU269" s="703"/>
      <c r="CV269" s="703"/>
      <c r="CW269" s="703"/>
      <c r="CX269" s="703"/>
      <c r="CY269" s="703"/>
      <c r="CZ269" s="703"/>
      <c r="DA269" s="703"/>
      <c r="DB269" s="703"/>
      <c r="DC269" s="703"/>
      <c r="DD269" s="703"/>
      <c r="DE269" s="703"/>
      <c r="DF269" s="703"/>
      <c r="DG269" s="703"/>
      <c r="DH269" s="703"/>
      <c r="DI269" s="703"/>
      <c r="DJ269" s="703"/>
      <c r="DK269" s="703"/>
      <c r="DL269" s="703"/>
      <c r="DM269" s="703"/>
      <c r="DN269" s="703"/>
      <c r="DO269" s="703"/>
      <c r="DP269" s="703"/>
      <c r="DQ269" s="703"/>
      <c r="DR269" s="703"/>
      <c r="DS269" s="703"/>
      <c r="DT269" s="703"/>
      <c r="DU269" s="703"/>
      <c r="DV269" s="703"/>
      <c r="DW269" s="703"/>
      <c r="DX269" s="703"/>
      <c r="DY269" s="703"/>
      <c r="DZ269" s="703"/>
      <c r="EA269" s="703"/>
      <c r="EB269" s="703"/>
      <c r="EC269" s="703"/>
      <c r="ED269" s="703"/>
      <c r="EE269" s="703"/>
      <c r="EF269" s="703"/>
      <c r="EG269" s="703"/>
      <c r="EH269" s="703"/>
      <c r="EI269" s="703"/>
      <c r="EJ269" s="703"/>
      <c r="EK269" s="703"/>
      <c r="EL269" s="703"/>
      <c r="EM269" s="703"/>
      <c r="EN269" s="703"/>
      <c r="EO269" s="703"/>
      <c r="EP269" s="703"/>
      <c r="EQ269" s="703"/>
      <c r="ER269" s="703"/>
      <c r="ES269" s="703"/>
      <c r="ET269" s="703"/>
      <c r="EU269" s="703"/>
      <c r="EV269" s="703"/>
      <c r="EW269" s="703"/>
      <c r="EX269" s="703"/>
      <c r="EY269" s="927">
        <f t="shared" si="189"/>
        <v>0</v>
      </c>
      <c r="EZ269" s="431">
        <f>блюда!EZ199</f>
        <v>0</v>
      </c>
      <c r="FA269" s="431">
        <f>блюда!FA199</f>
        <v>0</v>
      </c>
      <c r="FB269" s="431">
        <f>блюда!FB199</f>
        <v>0</v>
      </c>
      <c r="FC269" s="431">
        <f>блюда!FC199</f>
        <v>0</v>
      </c>
      <c r="FD269" s="431">
        <f>блюда!FD199</f>
        <v>0</v>
      </c>
      <c r="FE269" s="431">
        <f>блюда!FE199</f>
        <v>0</v>
      </c>
      <c r="FF269" s="431">
        <f>блюда!FF199</f>
        <v>0</v>
      </c>
      <c r="FG269" s="431">
        <f>блюда!FG199</f>
        <v>0</v>
      </c>
      <c r="FH269" s="431">
        <f>блюда!FH199</f>
        <v>0</v>
      </c>
      <c r="FI269" s="431">
        <f>блюда!FI199</f>
        <v>0</v>
      </c>
      <c r="FJ269" s="431">
        <f>блюда!FJ199</f>
        <v>0</v>
      </c>
      <c r="FK269" s="431">
        <f>блюда!FK199</f>
        <v>0</v>
      </c>
      <c r="FL269" s="431">
        <f>блюда!FL199</f>
        <v>0</v>
      </c>
    </row>
    <row r="270" spans="1:168" ht="13.95" hidden="1" customHeight="1" x14ac:dyDescent="0.25">
      <c r="A270" s="1460"/>
      <c r="B270" s="115"/>
      <c r="C270" s="116"/>
      <c r="D270" s="116"/>
      <c r="E270" s="116"/>
      <c r="F270" s="116"/>
      <c r="G270" s="116"/>
      <c r="H270" s="116"/>
      <c r="I270" s="116"/>
      <c r="J270" s="703"/>
      <c r="K270" s="703"/>
      <c r="L270" s="703"/>
      <c r="M270" s="703"/>
      <c r="N270" s="703"/>
      <c r="O270" s="703"/>
      <c r="P270" s="703"/>
      <c r="Q270" s="703"/>
      <c r="R270" s="703"/>
      <c r="S270" s="703"/>
      <c r="T270" s="703"/>
      <c r="U270" s="703"/>
      <c r="V270" s="703"/>
      <c r="W270" s="703"/>
      <c r="X270" s="703"/>
      <c r="Y270" s="703"/>
      <c r="Z270" s="703"/>
      <c r="AA270" s="703"/>
      <c r="AB270" s="703"/>
      <c r="AC270" s="703"/>
      <c r="AD270" s="703"/>
      <c r="AE270" s="703"/>
      <c r="AF270" s="703"/>
      <c r="AG270" s="703"/>
      <c r="AH270" s="703"/>
      <c r="AI270" s="703"/>
      <c r="AJ270" s="703"/>
      <c r="AK270" s="703"/>
      <c r="AL270" s="703"/>
      <c r="AM270" s="703"/>
      <c r="AN270" s="703"/>
      <c r="AO270" s="703"/>
      <c r="AP270" s="703"/>
      <c r="AQ270" s="703"/>
      <c r="AR270" s="703"/>
      <c r="AS270" s="703"/>
      <c r="AT270" s="703"/>
      <c r="AU270" s="703"/>
      <c r="AV270" s="703"/>
      <c r="AW270" s="703"/>
      <c r="AX270" s="703"/>
      <c r="AY270" s="703"/>
      <c r="AZ270" s="703"/>
      <c r="BA270" s="703"/>
      <c r="BB270" s="703"/>
      <c r="BC270" s="703"/>
      <c r="BD270" s="703"/>
      <c r="BE270" s="703"/>
      <c r="BF270" s="703"/>
      <c r="BG270" s="703"/>
      <c r="BH270" s="703"/>
      <c r="BI270" s="703"/>
      <c r="BJ270" s="703"/>
      <c r="BK270" s="703"/>
      <c r="BL270" s="703"/>
      <c r="BM270" s="703"/>
      <c r="BN270" s="703"/>
      <c r="BO270" s="703"/>
      <c r="BP270" s="703"/>
      <c r="BQ270" s="703"/>
      <c r="BR270" s="703"/>
      <c r="BS270" s="703"/>
      <c r="BT270" s="703"/>
      <c r="BU270" s="703"/>
      <c r="BV270" s="703"/>
      <c r="BW270" s="703"/>
      <c r="BX270" s="703"/>
      <c r="BY270" s="703"/>
      <c r="BZ270" s="703"/>
      <c r="CA270" s="703"/>
      <c r="CB270" s="703"/>
      <c r="CC270" s="703"/>
      <c r="CD270" s="703"/>
      <c r="CE270" s="703"/>
      <c r="CF270" s="703"/>
      <c r="CG270" s="703"/>
      <c r="CH270" s="703"/>
      <c r="CI270" s="703"/>
      <c r="CJ270" s="703"/>
      <c r="CK270" s="703"/>
      <c r="CL270" s="703"/>
      <c r="CM270" s="703"/>
      <c r="CN270" s="703"/>
      <c r="CO270" s="703"/>
      <c r="CP270" s="703"/>
      <c r="CQ270" s="703"/>
      <c r="CR270" s="703"/>
      <c r="CS270" s="703"/>
      <c r="CT270" s="703"/>
      <c r="CU270" s="703"/>
      <c r="CV270" s="703"/>
      <c r="CW270" s="703"/>
      <c r="CX270" s="703"/>
      <c r="CY270" s="703"/>
      <c r="CZ270" s="703"/>
      <c r="DA270" s="703"/>
      <c r="DB270" s="703"/>
      <c r="DC270" s="703"/>
      <c r="DD270" s="703"/>
      <c r="DE270" s="703"/>
      <c r="DF270" s="703"/>
      <c r="DG270" s="703"/>
      <c r="DH270" s="703"/>
      <c r="DI270" s="703"/>
      <c r="DJ270" s="703"/>
      <c r="DK270" s="703"/>
      <c r="DL270" s="703"/>
      <c r="DM270" s="703"/>
      <c r="DN270" s="703"/>
      <c r="DO270" s="703"/>
      <c r="DP270" s="703"/>
      <c r="DQ270" s="703"/>
      <c r="DR270" s="703"/>
      <c r="DS270" s="703"/>
      <c r="DT270" s="703"/>
      <c r="DU270" s="703"/>
      <c r="DV270" s="703"/>
      <c r="DW270" s="703"/>
      <c r="DX270" s="703"/>
      <c r="DY270" s="703"/>
      <c r="DZ270" s="703"/>
      <c r="EA270" s="703"/>
      <c r="EB270" s="703"/>
      <c r="EC270" s="703"/>
      <c r="ED270" s="703"/>
      <c r="EE270" s="703"/>
      <c r="EF270" s="703"/>
      <c r="EG270" s="703"/>
      <c r="EH270" s="703"/>
      <c r="EI270" s="703"/>
      <c r="EJ270" s="703"/>
      <c r="EK270" s="703"/>
      <c r="EL270" s="703"/>
      <c r="EM270" s="703"/>
      <c r="EN270" s="703"/>
      <c r="EO270" s="703"/>
      <c r="EP270" s="703"/>
      <c r="EQ270" s="703"/>
      <c r="ER270" s="703"/>
      <c r="ES270" s="703"/>
      <c r="ET270" s="703"/>
      <c r="EU270" s="703"/>
      <c r="EV270" s="703"/>
      <c r="EW270" s="703"/>
      <c r="EX270" s="703"/>
      <c r="EY270" s="927">
        <f t="shared" si="189"/>
        <v>0</v>
      </c>
      <c r="EZ270" s="431">
        <f>блюда!EZ231</f>
        <v>0</v>
      </c>
      <c r="FA270" s="431">
        <f>блюда!FA231</f>
        <v>0</v>
      </c>
      <c r="FB270" s="431">
        <f>блюда!FB231</f>
        <v>0</v>
      </c>
      <c r="FC270" s="431">
        <f>блюда!FC231</f>
        <v>0</v>
      </c>
      <c r="FD270" s="431">
        <f>блюда!FD231</f>
        <v>0</v>
      </c>
      <c r="FE270" s="431">
        <f>блюда!FE231</f>
        <v>0</v>
      </c>
      <c r="FF270" s="431">
        <f>блюда!FF231</f>
        <v>0</v>
      </c>
      <c r="FG270" s="431">
        <f>блюда!FG231</f>
        <v>0</v>
      </c>
      <c r="FH270" s="431">
        <f>блюда!FH231</f>
        <v>0</v>
      </c>
      <c r="FI270" s="431">
        <f>блюда!FI231</f>
        <v>0</v>
      </c>
      <c r="FJ270" s="431">
        <f>блюда!FJ231</f>
        <v>0</v>
      </c>
      <c r="FK270" s="431">
        <f>блюда!FK231</f>
        <v>0</v>
      </c>
      <c r="FL270" s="431">
        <f>блюда!FL231</f>
        <v>0</v>
      </c>
    </row>
    <row r="271" spans="1:168" ht="13.95" hidden="1" customHeight="1" x14ac:dyDescent="0.25">
      <c r="A271" s="1460"/>
      <c r="B271" s="115"/>
      <c r="C271" s="116"/>
      <c r="D271" s="431"/>
      <c r="E271" s="431"/>
      <c r="F271" s="431"/>
      <c r="G271" s="116"/>
      <c r="H271" s="116"/>
      <c r="I271" s="431"/>
      <c r="J271" s="703"/>
      <c r="K271" s="703"/>
      <c r="L271" s="703"/>
      <c r="M271" s="703"/>
      <c r="N271" s="703"/>
      <c r="O271" s="703"/>
      <c r="P271" s="703"/>
      <c r="Q271" s="703"/>
      <c r="R271" s="703"/>
      <c r="S271" s="703"/>
      <c r="T271" s="703"/>
      <c r="U271" s="703"/>
      <c r="V271" s="703"/>
      <c r="W271" s="703"/>
      <c r="X271" s="703"/>
      <c r="Y271" s="703"/>
      <c r="Z271" s="703"/>
      <c r="AA271" s="703"/>
      <c r="AB271" s="703"/>
      <c r="AC271" s="703"/>
      <c r="AD271" s="703"/>
      <c r="AE271" s="703"/>
      <c r="AF271" s="703"/>
      <c r="AG271" s="703"/>
      <c r="AH271" s="703"/>
      <c r="AI271" s="703"/>
      <c r="AJ271" s="703"/>
      <c r="AK271" s="703"/>
      <c r="AL271" s="703"/>
      <c r="AM271" s="703"/>
      <c r="AN271" s="703"/>
      <c r="AO271" s="703"/>
      <c r="AP271" s="703"/>
      <c r="AQ271" s="703"/>
      <c r="AR271" s="703"/>
      <c r="AS271" s="703"/>
      <c r="AT271" s="703"/>
      <c r="AU271" s="703"/>
      <c r="AV271" s="703"/>
      <c r="AW271" s="703"/>
      <c r="AX271" s="703"/>
      <c r="AY271" s="703"/>
      <c r="AZ271" s="703"/>
      <c r="BA271" s="703"/>
      <c r="BB271" s="703"/>
      <c r="BC271" s="703"/>
      <c r="BD271" s="703"/>
      <c r="BE271" s="703"/>
      <c r="BF271" s="703"/>
      <c r="BG271" s="703"/>
      <c r="BH271" s="703"/>
      <c r="BI271" s="703"/>
      <c r="BJ271" s="703"/>
      <c r="BK271" s="703"/>
      <c r="BL271" s="703"/>
      <c r="BM271" s="703"/>
      <c r="BN271" s="703"/>
      <c r="BO271" s="703"/>
      <c r="BP271" s="703"/>
      <c r="BQ271" s="703"/>
      <c r="BR271" s="703"/>
      <c r="BS271" s="703"/>
      <c r="BT271" s="703"/>
      <c r="BU271" s="703"/>
      <c r="BV271" s="703"/>
      <c r="BW271" s="703"/>
      <c r="BX271" s="703"/>
      <c r="BY271" s="703"/>
      <c r="BZ271" s="703"/>
      <c r="CA271" s="703"/>
      <c r="CB271" s="703"/>
      <c r="CC271" s="703"/>
      <c r="CD271" s="703"/>
      <c r="CE271" s="703"/>
      <c r="CF271" s="703"/>
      <c r="CG271" s="703"/>
      <c r="CH271" s="703"/>
      <c r="CI271" s="703"/>
      <c r="CJ271" s="703"/>
      <c r="CK271" s="703"/>
      <c r="CL271" s="703"/>
      <c r="CM271" s="703"/>
      <c r="CN271" s="703"/>
      <c r="CO271" s="703"/>
      <c r="CP271" s="703"/>
      <c r="CQ271" s="703"/>
      <c r="CR271" s="703"/>
      <c r="CS271" s="703"/>
      <c r="CT271" s="703"/>
      <c r="CU271" s="703"/>
      <c r="CV271" s="703"/>
      <c r="CW271" s="703"/>
      <c r="CX271" s="703"/>
      <c r="CY271" s="703"/>
      <c r="CZ271" s="703"/>
      <c r="DA271" s="703"/>
      <c r="DB271" s="703"/>
      <c r="DC271" s="703"/>
      <c r="DD271" s="703"/>
      <c r="DE271" s="703"/>
      <c r="DF271" s="703"/>
      <c r="DG271" s="703"/>
      <c r="DH271" s="703"/>
      <c r="DI271" s="703"/>
      <c r="DJ271" s="703"/>
      <c r="DK271" s="703"/>
      <c r="DL271" s="703"/>
      <c r="DM271" s="703"/>
      <c r="DN271" s="703"/>
      <c r="DO271" s="703"/>
      <c r="DP271" s="703"/>
      <c r="DQ271" s="703"/>
      <c r="DR271" s="703"/>
      <c r="DS271" s="703"/>
      <c r="DT271" s="703"/>
      <c r="DU271" s="703"/>
      <c r="DV271" s="703"/>
      <c r="DW271" s="703"/>
      <c r="DX271" s="703"/>
      <c r="DY271" s="703"/>
      <c r="DZ271" s="703"/>
      <c r="EA271" s="703"/>
      <c r="EB271" s="703"/>
      <c r="EC271" s="703"/>
      <c r="ED271" s="703"/>
      <c r="EE271" s="703"/>
      <c r="EF271" s="703"/>
      <c r="EG271" s="703"/>
      <c r="EH271" s="703"/>
      <c r="EI271" s="703"/>
      <c r="EJ271" s="703"/>
      <c r="EK271" s="703"/>
      <c r="EL271" s="703"/>
      <c r="EM271" s="703"/>
      <c r="EN271" s="703"/>
      <c r="EO271" s="703"/>
      <c r="EP271" s="703"/>
      <c r="EQ271" s="703"/>
      <c r="ER271" s="703"/>
      <c r="ES271" s="703"/>
      <c r="ET271" s="703"/>
      <c r="EU271" s="703"/>
      <c r="EV271" s="703"/>
      <c r="EW271" s="703"/>
      <c r="EX271" s="703"/>
      <c r="EY271" s="927">
        <f t="shared" si="189"/>
        <v>0</v>
      </c>
      <c r="EZ271" s="431">
        <f>блюда!EZ281</f>
        <v>0</v>
      </c>
      <c r="FA271" s="431">
        <f>блюда!FA281</f>
        <v>0</v>
      </c>
      <c r="FB271" s="431">
        <f>блюда!FB281</f>
        <v>0</v>
      </c>
      <c r="FC271" s="431">
        <f>блюда!FC281</f>
        <v>0</v>
      </c>
      <c r="FD271" s="431">
        <f>блюда!FD281</f>
        <v>0</v>
      </c>
      <c r="FE271" s="431">
        <f>блюда!FE281</f>
        <v>0</v>
      </c>
      <c r="FF271" s="431">
        <f>блюда!FF281</f>
        <v>0</v>
      </c>
      <c r="FG271" s="431">
        <f>блюда!FG281</f>
        <v>0</v>
      </c>
      <c r="FH271" s="431">
        <f>блюда!FH281</f>
        <v>0</v>
      </c>
      <c r="FI271" s="431">
        <f>блюда!FI281</f>
        <v>0</v>
      </c>
      <c r="FJ271" s="431">
        <f>блюда!FJ281</f>
        <v>0</v>
      </c>
      <c r="FK271" s="431">
        <f>блюда!FK281</f>
        <v>0</v>
      </c>
      <c r="FL271" s="431">
        <f>блюда!FL281</f>
        <v>0</v>
      </c>
    </row>
    <row r="272" spans="1:168" ht="13.95" hidden="1" customHeight="1" x14ac:dyDescent="0.25">
      <c r="A272" s="1460"/>
      <c r="B272" s="115"/>
      <c r="C272" s="116"/>
      <c r="D272" s="431"/>
      <c r="E272" s="431"/>
      <c r="F272" s="431"/>
      <c r="G272" s="116"/>
      <c r="H272" s="116"/>
      <c r="I272" s="431"/>
      <c r="J272" s="473"/>
      <c r="K272" s="473"/>
      <c r="L272" s="473"/>
      <c r="M272" s="473"/>
      <c r="N272" s="473"/>
      <c r="O272" s="473"/>
      <c r="P272" s="473"/>
      <c r="Q272" s="473"/>
      <c r="R272" s="473"/>
      <c r="S272" s="473"/>
      <c r="T272" s="473"/>
      <c r="U272" s="473"/>
      <c r="V272" s="473"/>
      <c r="W272" s="473"/>
      <c r="X272" s="473"/>
      <c r="Y272" s="473"/>
      <c r="Z272" s="473"/>
      <c r="AA272" s="473"/>
      <c r="AB272" s="473"/>
      <c r="AC272" s="473"/>
      <c r="AD272" s="473"/>
      <c r="AE272" s="473"/>
      <c r="AF272" s="473"/>
      <c r="AG272" s="473"/>
      <c r="AH272" s="473"/>
      <c r="AI272" s="473"/>
      <c r="AJ272" s="473"/>
      <c r="AK272" s="473"/>
      <c r="AL272" s="473"/>
      <c r="AM272" s="473"/>
      <c r="AN272" s="473"/>
      <c r="AO272" s="473"/>
      <c r="AP272" s="473"/>
      <c r="AQ272" s="473"/>
      <c r="AR272" s="473"/>
      <c r="AS272" s="473"/>
      <c r="AT272" s="473"/>
      <c r="AU272" s="473"/>
      <c r="AV272" s="473"/>
      <c r="AW272" s="473"/>
      <c r="AX272" s="473"/>
      <c r="AY272" s="473"/>
      <c r="AZ272" s="473"/>
      <c r="BA272" s="473"/>
      <c r="BB272" s="473"/>
      <c r="BC272" s="473"/>
      <c r="BD272" s="473"/>
      <c r="BE272" s="473"/>
      <c r="BF272" s="473"/>
      <c r="BG272" s="473"/>
      <c r="BH272" s="473"/>
      <c r="BI272" s="473"/>
      <c r="BJ272" s="473"/>
      <c r="BK272" s="473"/>
      <c r="BL272" s="473"/>
      <c r="BM272" s="473"/>
      <c r="BN272" s="473"/>
      <c r="BO272" s="473"/>
      <c r="BP272" s="473"/>
      <c r="BQ272" s="473"/>
      <c r="BR272" s="473"/>
      <c r="BS272" s="473"/>
      <c r="BT272" s="473"/>
      <c r="BU272" s="473"/>
      <c r="BV272" s="473"/>
      <c r="BW272" s="473"/>
      <c r="BX272" s="473"/>
      <c r="BY272" s="473"/>
      <c r="BZ272" s="473"/>
      <c r="CA272" s="473"/>
      <c r="CB272" s="473"/>
      <c r="CC272" s="473"/>
      <c r="CD272" s="473"/>
      <c r="CE272" s="473"/>
      <c r="CF272" s="473"/>
      <c r="CG272" s="473"/>
      <c r="CH272" s="473"/>
      <c r="CI272" s="473"/>
      <c r="CJ272" s="473"/>
      <c r="CK272" s="473"/>
      <c r="CL272" s="473"/>
      <c r="CM272" s="473"/>
      <c r="CN272" s="473"/>
      <c r="CO272" s="473"/>
      <c r="CP272" s="473"/>
      <c r="CQ272" s="473"/>
      <c r="CR272" s="473"/>
      <c r="CS272" s="473"/>
      <c r="CT272" s="473"/>
      <c r="CU272" s="473"/>
      <c r="CV272" s="473"/>
      <c r="CW272" s="473"/>
      <c r="CX272" s="473"/>
      <c r="CY272" s="473"/>
      <c r="CZ272" s="473"/>
      <c r="DA272" s="473"/>
      <c r="DB272" s="473"/>
      <c r="DC272" s="473"/>
      <c r="DD272" s="473"/>
      <c r="DE272" s="473"/>
      <c r="DF272" s="473"/>
      <c r="DG272" s="473"/>
      <c r="DH272" s="473"/>
      <c r="DI272" s="473"/>
      <c r="DJ272" s="473"/>
      <c r="DK272" s="473"/>
      <c r="DL272" s="473"/>
      <c r="DM272" s="473"/>
      <c r="DN272" s="473"/>
      <c r="DO272" s="473"/>
      <c r="DP272" s="473"/>
      <c r="DQ272" s="473"/>
      <c r="DR272" s="473"/>
      <c r="DS272" s="473"/>
      <c r="DT272" s="473"/>
      <c r="DU272" s="473"/>
      <c r="DV272" s="473"/>
      <c r="DW272" s="473"/>
      <c r="DX272" s="473"/>
      <c r="DY272" s="473"/>
      <c r="DZ272" s="473"/>
      <c r="EA272" s="473"/>
      <c r="EB272" s="473"/>
      <c r="EC272" s="473"/>
      <c r="ED272" s="473"/>
      <c r="EE272" s="473"/>
      <c r="EF272" s="473"/>
      <c r="EG272" s="473"/>
      <c r="EH272" s="473"/>
      <c r="EI272" s="473"/>
      <c r="EJ272" s="473"/>
      <c r="EK272" s="473"/>
      <c r="EL272" s="473"/>
      <c r="EM272" s="473"/>
      <c r="EN272" s="473"/>
      <c r="EO272" s="473"/>
      <c r="EP272" s="473"/>
      <c r="EQ272" s="473"/>
      <c r="ER272" s="473"/>
      <c r="ES272" s="473"/>
      <c r="ET272" s="473"/>
      <c r="EU272" s="473"/>
      <c r="EV272" s="473"/>
      <c r="EW272" s="473"/>
      <c r="EX272" s="473"/>
      <c r="EY272" s="927">
        <f t="shared" si="189"/>
        <v>0</v>
      </c>
      <c r="EZ272" s="431">
        <f>блюда!EZ332</f>
        <v>0</v>
      </c>
      <c r="FA272" s="431">
        <f>блюда!FA332</f>
        <v>0</v>
      </c>
      <c r="FB272" s="431">
        <f>блюда!FB332</f>
        <v>0</v>
      </c>
      <c r="FC272" s="431">
        <f>блюда!FC332</f>
        <v>0</v>
      </c>
      <c r="FD272" s="431">
        <f>блюда!FD332</f>
        <v>0</v>
      </c>
      <c r="FE272" s="431">
        <f>блюда!FE332</f>
        <v>0</v>
      </c>
      <c r="FF272" s="431">
        <f>блюда!FF332</f>
        <v>0</v>
      </c>
      <c r="FG272" s="431">
        <f>блюда!FG332</f>
        <v>0</v>
      </c>
      <c r="FH272" s="431">
        <f>блюда!FH332</f>
        <v>0</v>
      </c>
      <c r="FI272" s="431">
        <f>блюда!FI332</f>
        <v>0</v>
      </c>
      <c r="FJ272" s="431">
        <f>блюда!FJ332</f>
        <v>0</v>
      </c>
      <c r="FK272" s="431">
        <f>блюда!FK332</f>
        <v>0</v>
      </c>
      <c r="FL272" s="431">
        <f>блюда!FL332</f>
        <v>0</v>
      </c>
    </row>
    <row r="273" spans="1:168" hidden="1" x14ac:dyDescent="0.25">
      <c r="A273" s="1460"/>
      <c r="B273" s="115"/>
      <c r="C273" s="116"/>
      <c r="D273" s="431"/>
      <c r="E273" s="431"/>
      <c r="F273" s="431"/>
      <c r="G273" s="116"/>
      <c r="H273" s="116"/>
      <c r="I273" s="431"/>
      <c r="J273" s="473"/>
      <c r="K273" s="473"/>
      <c r="L273" s="473"/>
      <c r="M273" s="473"/>
      <c r="N273" s="473"/>
      <c r="O273" s="473"/>
      <c r="P273" s="473"/>
      <c r="Q273" s="473"/>
      <c r="R273" s="473"/>
      <c r="S273" s="473"/>
      <c r="T273" s="473"/>
      <c r="U273" s="473"/>
      <c r="V273" s="473"/>
      <c r="W273" s="473"/>
      <c r="X273" s="473"/>
      <c r="Y273" s="473"/>
      <c r="Z273" s="473"/>
      <c r="AA273" s="473"/>
      <c r="AB273" s="473"/>
      <c r="AC273" s="473"/>
      <c r="AD273" s="473"/>
      <c r="AE273" s="473"/>
      <c r="AF273" s="473"/>
      <c r="AG273" s="473"/>
      <c r="AH273" s="473"/>
      <c r="AI273" s="473"/>
      <c r="AJ273" s="473"/>
      <c r="AK273" s="473"/>
      <c r="AL273" s="473"/>
      <c r="AM273" s="473"/>
      <c r="AN273" s="473"/>
      <c r="AO273" s="473"/>
      <c r="AP273" s="473"/>
      <c r="AQ273" s="473"/>
      <c r="AR273" s="473"/>
      <c r="AS273" s="473"/>
      <c r="AT273" s="473"/>
      <c r="AU273" s="473"/>
      <c r="AV273" s="473"/>
      <c r="AW273" s="473"/>
      <c r="AX273" s="473"/>
      <c r="AY273" s="473"/>
      <c r="AZ273" s="473"/>
      <c r="BA273" s="473"/>
      <c r="BB273" s="473"/>
      <c r="BC273" s="473"/>
      <c r="BD273" s="473"/>
      <c r="BE273" s="473"/>
      <c r="BF273" s="473"/>
      <c r="BG273" s="473"/>
      <c r="BH273" s="473"/>
      <c r="BI273" s="473"/>
      <c r="BJ273" s="473"/>
      <c r="BK273" s="473"/>
      <c r="BL273" s="473"/>
      <c r="BM273" s="473"/>
      <c r="BN273" s="473"/>
      <c r="BO273" s="473"/>
      <c r="BP273" s="473"/>
      <c r="BQ273" s="473"/>
      <c r="BR273" s="473"/>
      <c r="BS273" s="473"/>
      <c r="BT273" s="473"/>
      <c r="BU273" s="473"/>
      <c r="BV273" s="473"/>
      <c r="BW273" s="473"/>
      <c r="BX273" s="473"/>
      <c r="BY273" s="473"/>
      <c r="BZ273" s="473"/>
      <c r="CA273" s="473"/>
      <c r="CB273" s="473"/>
      <c r="CC273" s="473"/>
      <c r="CD273" s="473"/>
      <c r="CE273" s="473"/>
      <c r="CF273" s="473"/>
      <c r="CG273" s="473"/>
      <c r="CH273" s="473"/>
      <c r="CI273" s="473"/>
      <c r="CJ273" s="473"/>
      <c r="CK273" s="473"/>
      <c r="CL273" s="473"/>
      <c r="CM273" s="473"/>
      <c r="CN273" s="473"/>
      <c r="CO273" s="473"/>
      <c r="CP273" s="473"/>
      <c r="CQ273" s="473"/>
      <c r="CR273" s="473"/>
      <c r="CS273" s="473"/>
      <c r="CT273" s="473"/>
      <c r="CU273" s="473"/>
      <c r="CV273" s="473"/>
      <c r="CW273" s="473"/>
      <c r="CX273" s="473"/>
      <c r="CY273" s="473"/>
      <c r="CZ273" s="473"/>
      <c r="DA273" s="473"/>
      <c r="DB273" s="473"/>
      <c r="DC273" s="473"/>
      <c r="DD273" s="473"/>
      <c r="DE273" s="473"/>
      <c r="DF273" s="473"/>
      <c r="DG273" s="473"/>
      <c r="DH273" s="473"/>
      <c r="DI273" s="473"/>
      <c r="DJ273" s="473"/>
      <c r="DK273" s="473"/>
      <c r="DL273" s="473"/>
      <c r="DM273" s="473"/>
      <c r="DN273" s="473"/>
      <c r="DO273" s="473"/>
      <c r="DP273" s="473"/>
      <c r="DQ273" s="473"/>
      <c r="DR273" s="473"/>
      <c r="DS273" s="473"/>
      <c r="DT273" s="473"/>
      <c r="DU273" s="473"/>
      <c r="DV273" s="473"/>
      <c r="DW273" s="473"/>
      <c r="DX273" s="473"/>
      <c r="DY273" s="473"/>
      <c r="DZ273" s="473"/>
      <c r="EA273" s="473"/>
      <c r="EB273" s="473"/>
      <c r="EC273" s="473"/>
      <c r="ED273" s="473"/>
      <c r="EE273" s="473"/>
      <c r="EF273" s="473"/>
      <c r="EG273" s="473"/>
      <c r="EH273" s="473"/>
      <c r="EI273" s="473"/>
      <c r="EJ273" s="473"/>
      <c r="EK273" s="473"/>
      <c r="EL273" s="473"/>
      <c r="EM273" s="473"/>
      <c r="EN273" s="473"/>
      <c r="EO273" s="473"/>
      <c r="EP273" s="473"/>
      <c r="EQ273" s="473"/>
      <c r="ER273" s="473"/>
      <c r="ES273" s="473"/>
      <c r="ET273" s="473"/>
      <c r="EU273" s="473"/>
      <c r="EV273" s="473"/>
      <c r="EW273" s="473"/>
      <c r="EX273" s="473"/>
      <c r="EY273" s="927">
        <f t="shared" si="189"/>
        <v>0</v>
      </c>
      <c r="EZ273" s="431">
        <f>блюда!EZ336</f>
        <v>0</v>
      </c>
      <c r="FA273" s="431">
        <f>блюда!FA336</f>
        <v>0</v>
      </c>
      <c r="FB273" s="431">
        <f>блюда!FB336</f>
        <v>0</v>
      </c>
      <c r="FC273" s="431">
        <f>блюда!FC336</f>
        <v>0</v>
      </c>
      <c r="FD273" s="431">
        <f>блюда!FD336</f>
        <v>0</v>
      </c>
      <c r="FE273" s="431">
        <f>блюда!FE336</f>
        <v>0</v>
      </c>
      <c r="FF273" s="431">
        <f>блюда!FF336</f>
        <v>0</v>
      </c>
      <c r="FG273" s="431">
        <f>блюда!FG336</f>
        <v>0</v>
      </c>
      <c r="FH273" s="431">
        <f>блюда!FH336</f>
        <v>0</v>
      </c>
      <c r="FI273" s="431">
        <f>блюда!FI336</f>
        <v>0</v>
      </c>
      <c r="FJ273" s="431">
        <f>блюда!FJ336</f>
        <v>0</v>
      </c>
      <c r="FK273" s="431">
        <f>блюда!FK336</f>
        <v>0</v>
      </c>
      <c r="FL273" s="431">
        <f>блюда!FL336</f>
        <v>0</v>
      </c>
    </row>
    <row r="274" spans="1:168" ht="13.95" hidden="1" customHeight="1" x14ac:dyDescent="0.25">
      <c r="A274" s="1460"/>
      <c r="B274" s="115"/>
      <c r="C274" s="116"/>
      <c r="D274" s="431"/>
      <c r="E274" s="431"/>
      <c r="F274" s="431"/>
      <c r="G274" s="116"/>
      <c r="H274" s="116"/>
      <c r="I274" s="431"/>
      <c r="J274" s="473"/>
      <c r="K274" s="473"/>
      <c r="L274" s="473"/>
      <c r="M274" s="473"/>
      <c r="N274" s="473"/>
      <c r="O274" s="473"/>
      <c r="P274" s="473"/>
      <c r="Q274" s="473"/>
      <c r="R274" s="473"/>
      <c r="S274" s="473"/>
      <c r="T274" s="473"/>
      <c r="U274" s="473"/>
      <c r="V274" s="473"/>
      <c r="W274" s="473"/>
      <c r="X274" s="473"/>
      <c r="Y274" s="473"/>
      <c r="Z274" s="473"/>
      <c r="AA274" s="473"/>
      <c r="AB274" s="473"/>
      <c r="AC274" s="473"/>
      <c r="AD274" s="473"/>
      <c r="AE274" s="473"/>
      <c r="AF274" s="473"/>
      <c r="AG274" s="473"/>
      <c r="AH274" s="473"/>
      <c r="AI274" s="473"/>
      <c r="AJ274" s="473"/>
      <c r="AK274" s="473"/>
      <c r="AL274" s="473"/>
      <c r="AM274" s="473"/>
      <c r="AN274" s="473"/>
      <c r="AO274" s="473"/>
      <c r="AP274" s="473"/>
      <c r="AQ274" s="473"/>
      <c r="AR274" s="473"/>
      <c r="AS274" s="473"/>
      <c r="AT274" s="473"/>
      <c r="AU274" s="473"/>
      <c r="AV274" s="473"/>
      <c r="AW274" s="473"/>
      <c r="AX274" s="473"/>
      <c r="AY274" s="473"/>
      <c r="AZ274" s="473"/>
      <c r="BA274" s="473"/>
      <c r="BB274" s="473"/>
      <c r="BC274" s="473"/>
      <c r="BD274" s="473"/>
      <c r="BE274" s="473"/>
      <c r="BF274" s="473"/>
      <c r="BG274" s="473"/>
      <c r="BH274" s="473"/>
      <c r="BI274" s="473"/>
      <c r="BJ274" s="473"/>
      <c r="BK274" s="473"/>
      <c r="BL274" s="473"/>
      <c r="BM274" s="473"/>
      <c r="BN274" s="473"/>
      <c r="BO274" s="473"/>
      <c r="BP274" s="473"/>
      <c r="BQ274" s="473"/>
      <c r="BR274" s="473"/>
      <c r="BS274" s="473"/>
      <c r="BT274" s="473"/>
      <c r="BU274" s="473"/>
      <c r="BV274" s="473"/>
      <c r="BW274" s="473"/>
      <c r="BX274" s="473"/>
      <c r="BY274" s="473"/>
      <c r="BZ274" s="473"/>
      <c r="CA274" s="473"/>
      <c r="CB274" s="473"/>
      <c r="CC274" s="473"/>
      <c r="CD274" s="473"/>
      <c r="CE274" s="473"/>
      <c r="CF274" s="473"/>
      <c r="CG274" s="473"/>
      <c r="CH274" s="473"/>
      <c r="CI274" s="473"/>
      <c r="CJ274" s="473"/>
      <c r="CK274" s="473"/>
      <c r="CL274" s="473"/>
      <c r="CM274" s="473"/>
      <c r="CN274" s="473"/>
      <c r="CO274" s="473"/>
      <c r="CP274" s="473"/>
      <c r="CQ274" s="473"/>
      <c r="CR274" s="473"/>
      <c r="CS274" s="473"/>
      <c r="CT274" s="473"/>
      <c r="CU274" s="473"/>
      <c r="CV274" s="473"/>
      <c r="CW274" s="473"/>
      <c r="CX274" s="473"/>
      <c r="CY274" s="473"/>
      <c r="CZ274" s="473"/>
      <c r="DA274" s="473"/>
      <c r="DB274" s="473"/>
      <c r="DC274" s="473"/>
      <c r="DD274" s="473"/>
      <c r="DE274" s="473"/>
      <c r="DF274" s="473"/>
      <c r="DG274" s="473"/>
      <c r="DH274" s="473"/>
      <c r="DI274" s="473"/>
      <c r="DJ274" s="473"/>
      <c r="DK274" s="473"/>
      <c r="DL274" s="473"/>
      <c r="DM274" s="473"/>
      <c r="DN274" s="473"/>
      <c r="DO274" s="473"/>
      <c r="DP274" s="473"/>
      <c r="DQ274" s="473"/>
      <c r="DR274" s="473"/>
      <c r="DS274" s="473"/>
      <c r="DT274" s="473"/>
      <c r="DU274" s="473"/>
      <c r="DV274" s="473"/>
      <c r="DW274" s="473"/>
      <c r="DX274" s="473"/>
      <c r="DY274" s="473"/>
      <c r="DZ274" s="473"/>
      <c r="EA274" s="473"/>
      <c r="EB274" s="473"/>
      <c r="EC274" s="473"/>
      <c r="ED274" s="473"/>
      <c r="EE274" s="473"/>
      <c r="EF274" s="473"/>
      <c r="EG274" s="473"/>
      <c r="EH274" s="473"/>
      <c r="EI274" s="473"/>
      <c r="EJ274" s="473"/>
      <c r="EK274" s="473"/>
      <c r="EL274" s="473"/>
      <c r="EM274" s="473"/>
      <c r="EN274" s="473"/>
      <c r="EO274" s="473"/>
      <c r="EP274" s="473"/>
      <c r="EQ274" s="473"/>
      <c r="ER274" s="473"/>
      <c r="ES274" s="473"/>
      <c r="ET274" s="473"/>
      <c r="EU274" s="473"/>
      <c r="EV274" s="473"/>
      <c r="EW274" s="473"/>
      <c r="EX274" s="473"/>
      <c r="EY274" s="927">
        <f t="shared" si="189"/>
        <v>0</v>
      </c>
      <c r="EZ274" s="423"/>
      <c r="FA274" s="423"/>
      <c r="FB274" s="423"/>
      <c r="FC274" s="423"/>
      <c r="FD274" s="423"/>
      <c r="FE274" s="423"/>
      <c r="FF274" s="423"/>
      <c r="FG274" s="423"/>
      <c r="FH274" s="423"/>
      <c r="FI274" s="423"/>
      <c r="FJ274" s="423"/>
      <c r="FK274" s="423"/>
      <c r="FL274" s="423"/>
    </row>
    <row r="275" spans="1:168" hidden="1" x14ac:dyDescent="0.25">
      <c r="A275" s="1461"/>
      <c r="B275" s="115"/>
      <c r="C275" s="426"/>
      <c r="D275" s="420"/>
      <c r="E275" s="420"/>
      <c r="F275" s="420"/>
      <c r="G275" s="419"/>
      <c r="H275" s="426"/>
      <c r="I275" s="420"/>
      <c r="J275" s="482"/>
      <c r="K275" s="482"/>
      <c r="L275" s="482"/>
      <c r="M275" s="482"/>
      <c r="N275" s="482"/>
      <c r="O275" s="482"/>
      <c r="P275" s="482"/>
      <c r="Q275" s="482"/>
      <c r="R275" s="482"/>
      <c r="S275" s="482"/>
      <c r="T275" s="482"/>
      <c r="U275" s="482"/>
      <c r="V275" s="482"/>
      <c r="W275" s="482"/>
      <c r="X275" s="482"/>
      <c r="Y275" s="482"/>
      <c r="Z275" s="482"/>
      <c r="AA275" s="482"/>
      <c r="AB275" s="482"/>
      <c r="AC275" s="482"/>
      <c r="AD275" s="482"/>
      <c r="AE275" s="482"/>
      <c r="AF275" s="482"/>
      <c r="AG275" s="482"/>
      <c r="AH275" s="482"/>
      <c r="AI275" s="482"/>
      <c r="AJ275" s="482"/>
      <c r="AK275" s="482"/>
      <c r="AL275" s="482"/>
      <c r="AM275" s="482"/>
      <c r="AN275" s="482"/>
      <c r="AO275" s="482"/>
      <c r="AP275" s="482"/>
      <c r="AQ275" s="482"/>
      <c r="AR275" s="482"/>
      <c r="AS275" s="482"/>
      <c r="AT275" s="482"/>
      <c r="AU275" s="482"/>
      <c r="AV275" s="482"/>
      <c r="AW275" s="482"/>
      <c r="AX275" s="482"/>
      <c r="AY275" s="482"/>
      <c r="AZ275" s="482"/>
      <c r="BA275" s="482"/>
      <c r="BB275" s="482"/>
      <c r="BC275" s="482"/>
      <c r="BD275" s="482"/>
      <c r="BE275" s="482"/>
      <c r="BF275" s="482"/>
      <c r="BG275" s="482"/>
      <c r="BH275" s="482"/>
      <c r="BI275" s="482"/>
      <c r="BJ275" s="482"/>
      <c r="BK275" s="482"/>
      <c r="BL275" s="482"/>
      <c r="BM275" s="482"/>
      <c r="BN275" s="482"/>
      <c r="BO275" s="482"/>
      <c r="BP275" s="482"/>
      <c r="BQ275" s="482"/>
      <c r="BR275" s="482"/>
      <c r="BS275" s="482"/>
      <c r="BT275" s="482"/>
      <c r="BU275" s="482"/>
      <c r="BV275" s="482"/>
      <c r="BW275" s="482"/>
      <c r="BX275" s="482"/>
      <c r="BY275" s="482"/>
      <c r="BZ275" s="482"/>
      <c r="CA275" s="482"/>
      <c r="CB275" s="482"/>
      <c r="CC275" s="482"/>
      <c r="CD275" s="482"/>
      <c r="CE275" s="482"/>
      <c r="CF275" s="482"/>
      <c r="CG275" s="482"/>
      <c r="CH275" s="482"/>
      <c r="CI275" s="482"/>
      <c r="CJ275" s="482"/>
      <c r="CK275" s="482"/>
      <c r="CL275" s="482"/>
      <c r="CM275" s="482"/>
      <c r="CN275" s="482"/>
      <c r="CO275" s="482"/>
      <c r="CP275" s="482"/>
      <c r="CQ275" s="482"/>
      <c r="CR275" s="482"/>
      <c r="CS275" s="482"/>
      <c r="CT275" s="482"/>
      <c r="CU275" s="482"/>
      <c r="CV275" s="482"/>
      <c r="CW275" s="482"/>
      <c r="CX275" s="482"/>
      <c r="CY275" s="482"/>
      <c r="CZ275" s="482"/>
      <c r="DA275" s="482"/>
      <c r="DB275" s="482"/>
      <c r="DC275" s="482"/>
      <c r="DD275" s="482"/>
      <c r="DE275" s="482"/>
      <c r="DF275" s="482"/>
      <c r="DG275" s="482"/>
      <c r="DH275" s="482"/>
      <c r="DI275" s="482"/>
      <c r="DJ275" s="482"/>
      <c r="DK275" s="482"/>
      <c r="DL275" s="482"/>
      <c r="DM275" s="482"/>
      <c r="DN275" s="482"/>
      <c r="DO275" s="482"/>
      <c r="DP275" s="482"/>
      <c r="DQ275" s="482"/>
      <c r="DR275" s="482"/>
      <c r="DS275" s="482"/>
      <c r="DT275" s="482"/>
      <c r="DU275" s="482"/>
      <c r="DV275" s="482"/>
      <c r="DW275" s="482"/>
      <c r="DX275" s="482"/>
      <c r="DY275" s="482"/>
      <c r="DZ275" s="482"/>
      <c r="EA275" s="482"/>
      <c r="EB275" s="482"/>
      <c r="EC275" s="482"/>
      <c r="ED275" s="482"/>
      <c r="EE275" s="482"/>
      <c r="EF275" s="482"/>
      <c r="EG275" s="482"/>
      <c r="EH275" s="482"/>
      <c r="EI275" s="482"/>
      <c r="EJ275" s="482"/>
      <c r="EK275" s="482"/>
      <c r="EL275" s="482"/>
      <c r="EM275" s="482"/>
      <c r="EN275" s="482"/>
      <c r="EO275" s="482"/>
      <c r="EP275" s="482"/>
      <c r="EQ275" s="482"/>
      <c r="ER275" s="482"/>
      <c r="ES275" s="482"/>
      <c r="ET275" s="482"/>
      <c r="EU275" s="482"/>
      <c r="EV275" s="482"/>
      <c r="EW275" s="482"/>
      <c r="EX275" s="482"/>
      <c r="EY275" s="927">
        <f t="shared" si="189"/>
        <v>0</v>
      </c>
      <c r="EZ275" s="423"/>
      <c r="FA275" s="423"/>
      <c r="FB275" s="423"/>
      <c r="FC275" s="423"/>
      <c r="FD275" s="423"/>
      <c r="FE275" s="423"/>
      <c r="FF275" s="423"/>
      <c r="FG275" s="423"/>
      <c r="FH275" s="423"/>
      <c r="FI275" s="423"/>
      <c r="FJ275" s="423"/>
      <c r="FK275" s="423"/>
      <c r="FL275" s="423"/>
    </row>
    <row r="276" spans="1:168" hidden="1" x14ac:dyDescent="0.25">
      <c r="A276" s="411"/>
      <c r="B276" s="118" t="s">
        <v>113</v>
      </c>
      <c r="C276" s="840">
        <f>SUM(C267:C275)</f>
        <v>0</v>
      </c>
      <c r="D276" s="842">
        <f>SUM(D267:D275)</f>
        <v>0</v>
      </c>
      <c r="E276" s="842">
        <f t="shared" ref="E276:BC276" si="190">SUM(E267:E275)</f>
        <v>0</v>
      </c>
      <c r="F276" s="842">
        <f t="shared" si="190"/>
        <v>0</v>
      </c>
      <c r="G276" s="422">
        <f t="shared" si="190"/>
        <v>0</v>
      </c>
      <c r="H276" s="840"/>
      <c r="I276" s="842">
        <f t="shared" ref="I276" si="191">SUM(I267:I275)</f>
        <v>0</v>
      </c>
      <c r="J276" s="844">
        <f t="shared" si="190"/>
        <v>0</v>
      </c>
      <c r="K276" s="844">
        <f t="shared" si="190"/>
        <v>0</v>
      </c>
      <c r="L276" s="844">
        <f t="shared" si="190"/>
        <v>0</v>
      </c>
      <c r="M276" s="844">
        <f t="shared" si="190"/>
        <v>0</v>
      </c>
      <c r="N276" s="844">
        <f t="shared" si="190"/>
        <v>0</v>
      </c>
      <c r="O276" s="844">
        <f t="shared" si="190"/>
        <v>0</v>
      </c>
      <c r="P276" s="844">
        <f t="shared" si="190"/>
        <v>0</v>
      </c>
      <c r="Q276" s="844">
        <f t="shared" si="190"/>
        <v>0</v>
      </c>
      <c r="R276" s="844">
        <f t="shared" si="190"/>
        <v>0</v>
      </c>
      <c r="S276" s="844">
        <f t="shared" si="190"/>
        <v>0</v>
      </c>
      <c r="T276" s="844">
        <f t="shared" si="190"/>
        <v>0</v>
      </c>
      <c r="U276" s="844">
        <f t="shared" si="190"/>
        <v>0</v>
      </c>
      <c r="V276" s="844">
        <f t="shared" si="190"/>
        <v>0</v>
      </c>
      <c r="W276" s="844">
        <f t="shared" si="190"/>
        <v>0</v>
      </c>
      <c r="X276" s="844">
        <f t="shared" si="190"/>
        <v>0</v>
      </c>
      <c r="Y276" s="844">
        <f t="shared" si="190"/>
        <v>0</v>
      </c>
      <c r="Z276" s="844">
        <f t="shared" si="190"/>
        <v>0</v>
      </c>
      <c r="AA276" s="844">
        <f t="shared" si="190"/>
        <v>0</v>
      </c>
      <c r="AB276" s="844">
        <f t="shared" si="190"/>
        <v>0</v>
      </c>
      <c r="AC276" s="844">
        <f t="shared" si="190"/>
        <v>0</v>
      </c>
      <c r="AD276" s="844">
        <f t="shared" si="190"/>
        <v>0</v>
      </c>
      <c r="AE276" s="844">
        <f t="shared" si="190"/>
        <v>0</v>
      </c>
      <c r="AF276" s="844">
        <f t="shared" si="190"/>
        <v>0</v>
      </c>
      <c r="AG276" s="844">
        <f t="shared" si="190"/>
        <v>0</v>
      </c>
      <c r="AH276" s="844">
        <f t="shared" si="190"/>
        <v>0</v>
      </c>
      <c r="AI276" s="844">
        <f t="shared" si="190"/>
        <v>0</v>
      </c>
      <c r="AJ276" s="844">
        <f t="shared" si="190"/>
        <v>0</v>
      </c>
      <c r="AK276" s="844">
        <f t="shared" si="190"/>
        <v>0</v>
      </c>
      <c r="AL276" s="844">
        <f t="shared" si="190"/>
        <v>0</v>
      </c>
      <c r="AM276" s="844">
        <f t="shared" si="190"/>
        <v>0</v>
      </c>
      <c r="AN276" s="844">
        <f t="shared" si="190"/>
        <v>0</v>
      </c>
      <c r="AO276" s="844">
        <f t="shared" si="190"/>
        <v>0</v>
      </c>
      <c r="AP276" s="844">
        <f t="shared" si="190"/>
        <v>0</v>
      </c>
      <c r="AQ276" s="844">
        <f t="shared" si="190"/>
        <v>0</v>
      </c>
      <c r="AR276" s="844">
        <f t="shared" si="190"/>
        <v>0</v>
      </c>
      <c r="AS276" s="844">
        <f t="shared" si="190"/>
        <v>0</v>
      </c>
      <c r="AT276" s="844">
        <f t="shared" si="190"/>
        <v>0</v>
      </c>
      <c r="AU276" s="844">
        <f t="shared" si="190"/>
        <v>0</v>
      </c>
      <c r="AV276" s="844">
        <f t="shared" si="190"/>
        <v>0</v>
      </c>
      <c r="AW276" s="844">
        <f t="shared" si="190"/>
        <v>0</v>
      </c>
      <c r="AX276" s="844">
        <f t="shared" si="190"/>
        <v>0</v>
      </c>
      <c r="AY276" s="844">
        <f t="shared" si="190"/>
        <v>0</v>
      </c>
      <c r="AZ276" s="844">
        <f t="shared" si="190"/>
        <v>0</v>
      </c>
      <c r="BA276" s="844">
        <f t="shared" si="190"/>
        <v>0</v>
      </c>
      <c r="BB276" s="844">
        <f t="shared" si="190"/>
        <v>0</v>
      </c>
      <c r="BC276" s="844">
        <f t="shared" si="190"/>
        <v>0</v>
      </c>
      <c r="BD276" s="844">
        <f t="shared" ref="BD276:DO276" si="192">SUM(BD267:BD275)</f>
        <v>0</v>
      </c>
      <c r="BE276" s="844">
        <f t="shared" si="192"/>
        <v>0</v>
      </c>
      <c r="BF276" s="844">
        <f t="shared" si="192"/>
        <v>0</v>
      </c>
      <c r="BG276" s="844">
        <f t="shared" si="192"/>
        <v>0</v>
      </c>
      <c r="BH276" s="844">
        <f t="shared" si="192"/>
        <v>0</v>
      </c>
      <c r="BI276" s="844">
        <f t="shared" si="192"/>
        <v>0</v>
      </c>
      <c r="BJ276" s="844">
        <f t="shared" si="192"/>
        <v>0</v>
      </c>
      <c r="BK276" s="844">
        <f t="shared" si="192"/>
        <v>0</v>
      </c>
      <c r="BL276" s="844">
        <f t="shared" si="192"/>
        <v>0</v>
      </c>
      <c r="BM276" s="844">
        <f t="shared" si="192"/>
        <v>0</v>
      </c>
      <c r="BN276" s="844">
        <f t="shared" si="192"/>
        <v>0</v>
      </c>
      <c r="BO276" s="844">
        <f t="shared" si="192"/>
        <v>0</v>
      </c>
      <c r="BP276" s="844">
        <f t="shared" si="192"/>
        <v>0</v>
      </c>
      <c r="BQ276" s="844">
        <f t="shared" si="192"/>
        <v>0</v>
      </c>
      <c r="BR276" s="844">
        <f t="shared" si="192"/>
        <v>0</v>
      </c>
      <c r="BS276" s="844">
        <f t="shared" si="192"/>
        <v>0</v>
      </c>
      <c r="BT276" s="844">
        <f t="shared" si="192"/>
        <v>0</v>
      </c>
      <c r="BU276" s="844">
        <f t="shared" si="192"/>
        <v>0</v>
      </c>
      <c r="BV276" s="844">
        <f t="shared" si="192"/>
        <v>0</v>
      </c>
      <c r="BW276" s="844">
        <f t="shared" si="192"/>
        <v>0</v>
      </c>
      <c r="BX276" s="844">
        <f t="shared" si="192"/>
        <v>0</v>
      </c>
      <c r="BY276" s="844">
        <f t="shared" si="192"/>
        <v>0</v>
      </c>
      <c r="BZ276" s="844">
        <f t="shared" si="192"/>
        <v>0</v>
      </c>
      <c r="CA276" s="844">
        <f t="shared" si="192"/>
        <v>0</v>
      </c>
      <c r="CB276" s="844">
        <f t="shared" si="192"/>
        <v>0</v>
      </c>
      <c r="CC276" s="844">
        <f t="shared" si="192"/>
        <v>0</v>
      </c>
      <c r="CD276" s="844">
        <f t="shared" si="192"/>
        <v>0</v>
      </c>
      <c r="CE276" s="844">
        <f t="shared" si="192"/>
        <v>0</v>
      </c>
      <c r="CF276" s="844">
        <f t="shared" si="192"/>
        <v>0</v>
      </c>
      <c r="CG276" s="844">
        <f t="shared" si="192"/>
        <v>0</v>
      </c>
      <c r="CH276" s="844">
        <f t="shared" si="192"/>
        <v>0</v>
      </c>
      <c r="CI276" s="844">
        <f t="shared" si="192"/>
        <v>0</v>
      </c>
      <c r="CJ276" s="844">
        <f t="shared" si="192"/>
        <v>0</v>
      </c>
      <c r="CK276" s="844">
        <f t="shared" si="192"/>
        <v>0</v>
      </c>
      <c r="CL276" s="844">
        <f t="shared" si="192"/>
        <v>0</v>
      </c>
      <c r="CM276" s="844">
        <f t="shared" si="192"/>
        <v>0</v>
      </c>
      <c r="CN276" s="844">
        <f t="shared" si="192"/>
        <v>0</v>
      </c>
      <c r="CO276" s="844">
        <f t="shared" si="192"/>
        <v>0</v>
      </c>
      <c r="CP276" s="844">
        <f t="shared" si="192"/>
        <v>0</v>
      </c>
      <c r="CQ276" s="844">
        <f t="shared" si="192"/>
        <v>0</v>
      </c>
      <c r="CR276" s="844">
        <f t="shared" si="192"/>
        <v>0</v>
      </c>
      <c r="CS276" s="844">
        <f t="shared" si="192"/>
        <v>0</v>
      </c>
      <c r="CT276" s="844">
        <f t="shared" si="192"/>
        <v>0</v>
      </c>
      <c r="CU276" s="844">
        <f t="shared" si="192"/>
        <v>0</v>
      </c>
      <c r="CV276" s="844">
        <f t="shared" si="192"/>
        <v>0</v>
      </c>
      <c r="CW276" s="844">
        <f t="shared" si="192"/>
        <v>0</v>
      </c>
      <c r="CX276" s="844">
        <f t="shared" si="192"/>
        <v>0</v>
      </c>
      <c r="CY276" s="844">
        <f t="shared" si="192"/>
        <v>0</v>
      </c>
      <c r="CZ276" s="844">
        <f t="shared" si="192"/>
        <v>0</v>
      </c>
      <c r="DA276" s="844">
        <f t="shared" si="192"/>
        <v>0</v>
      </c>
      <c r="DB276" s="844">
        <f t="shared" si="192"/>
        <v>0</v>
      </c>
      <c r="DC276" s="844">
        <f t="shared" si="192"/>
        <v>0</v>
      </c>
      <c r="DD276" s="844">
        <f t="shared" si="192"/>
        <v>0</v>
      </c>
      <c r="DE276" s="844">
        <f t="shared" si="192"/>
        <v>0</v>
      </c>
      <c r="DF276" s="844">
        <f t="shared" si="192"/>
        <v>0</v>
      </c>
      <c r="DG276" s="844">
        <f t="shared" si="192"/>
        <v>0</v>
      </c>
      <c r="DH276" s="844">
        <f t="shared" si="192"/>
        <v>0</v>
      </c>
      <c r="DI276" s="844">
        <f t="shared" si="192"/>
        <v>0</v>
      </c>
      <c r="DJ276" s="844">
        <f t="shared" si="192"/>
        <v>0</v>
      </c>
      <c r="DK276" s="844">
        <f t="shared" si="192"/>
        <v>0</v>
      </c>
      <c r="DL276" s="844">
        <f t="shared" si="192"/>
        <v>0</v>
      </c>
      <c r="DM276" s="844">
        <f t="shared" si="192"/>
        <v>0</v>
      </c>
      <c r="DN276" s="844">
        <f t="shared" si="192"/>
        <v>0</v>
      </c>
      <c r="DO276" s="844">
        <f t="shared" si="192"/>
        <v>0</v>
      </c>
      <c r="DP276" s="844">
        <f t="shared" ref="DP276:EX276" si="193">SUM(DP267:DP275)</f>
        <v>0</v>
      </c>
      <c r="DQ276" s="844">
        <f t="shared" si="193"/>
        <v>0</v>
      </c>
      <c r="DR276" s="844">
        <f t="shared" si="193"/>
        <v>0</v>
      </c>
      <c r="DS276" s="844">
        <f t="shared" si="193"/>
        <v>0</v>
      </c>
      <c r="DT276" s="844">
        <f t="shared" si="193"/>
        <v>0</v>
      </c>
      <c r="DU276" s="844">
        <f t="shared" si="193"/>
        <v>0</v>
      </c>
      <c r="DV276" s="844">
        <f t="shared" si="193"/>
        <v>0</v>
      </c>
      <c r="DW276" s="844">
        <f t="shared" si="193"/>
        <v>0</v>
      </c>
      <c r="DX276" s="844">
        <f t="shared" si="193"/>
        <v>0</v>
      </c>
      <c r="DY276" s="844">
        <f t="shared" si="193"/>
        <v>0</v>
      </c>
      <c r="DZ276" s="844">
        <f t="shared" si="193"/>
        <v>0</v>
      </c>
      <c r="EA276" s="844">
        <f t="shared" si="193"/>
        <v>0</v>
      </c>
      <c r="EB276" s="844">
        <f t="shared" si="193"/>
        <v>0</v>
      </c>
      <c r="EC276" s="844">
        <f t="shared" si="193"/>
        <v>0</v>
      </c>
      <c r="ED276" s="844">
        <f t="shared" si="193"/>
        <v>0</v>
      </c>
      <c r="EE276" s="844">
        <f t="shared" si="193"/>
        <v>0</v>
      </c>
      <c r="EF276" s="844">
        <f t="shared" si="193"/>
        <v>0</v>
      </c>
      <c r="EG276" s="844">
        <f t="shared" si="193"/>
        <v>0</v>
      </c>
      <c r="EH276" s="844">
        <f t="shared" si="193"/>
        <v>0</v>
      </c>
      <c r="EI276" s="844">
        <f t="shared" si="193"/>
        <v>0</v>
      </c>
      <c r="EJ276" s="844">
        <f t="shared" si="193"/>
        <v>0</v>
      </c>
      <c r="EK276" s="844">
        <f t="shared" si="193"/>
        <v>0</v>
      </c>
      <c r="EL276" s="844">
        <f t="shared" si="193"/>
        <v>0</v>
      </c>
      <c r="EM276" s="844">
        <f t="shared" si="193"/>
        <v>0</v>
      </c>
      <c r="EN276" s="844">
        <f t="shared" si="193"/>
        <v>0</v>
      </c>
      <c r="EO276" s="844">
        <f t="shared" si="193"/>
        <v>0</v>
      </c>
      <c r="EP276" s="844">
        <f t="shared" si="193"/>
        <v>0</v>
      </c>
      <c r="EQ276" s="844">
        <f t="shared" si="193"/>
        <v>0</v>
      </c>
      <c r="ER276" s="844">
        <f t="shared" si="193"/>
        <v>0</v>
      </c>
      <c r="ES276" s="844">
        <f t="shared" si="193"/>
        <v>0</v>
      </c>
      <c r="ET276" s="844">
        <f t="shared" si="193"/>
        <v>0</v>
      </c>
      <c r="EU276" s="844">
        <f t="shared" si="193"/>
        <v>0</v>
      </c>
      <c r="EV276" s="844">
        <f t="shared" si="193"/>
        <v>0</v>
      </c>
      <c r="EW276" s="844">
        <f t="shared" si="193"/>
        <v>0</v>
      </c>
      <c r="EX276" s="844">
        <f t="shared" si="193"/>
        <v>0</v>
      </c>
      <c r="EY276" s="861">
        <f t="shared" ref="EY276:FL276" si="194">SUM(EY267:EY275)</f>
        <v>0</v>
      </c>
      <c r="EZ276" s="534">
        <f t="shared" si="194"/>
        <v>0</v>
      </c>
      <c r="FA276" s="534">
        <f t="shared" si="194"/>
        <v>0</v>
      </c>
      <c r="FB276" s="534">
        <f t="shared" si="194"/>
        <v>0</v>
      </c>
      <c r="FC276" s="534">
        <f t="shared" si="194"/>
        <v>0</v>
      </c>
      <c r="FD276" s="534">
        <f t="shared" si="194"/>
        <v>0</v>
      </c>
      <c r="FE276" s="534">
        <f t="shared" si="194"/>
        <v>0</v>
      </c>
      <c r="FF276" s="534">
        <f t="shared" si="194"/>
        <v>0</v>
      </c>
      <c r="FG276" s="534">
        <f t="shared" si="194"/>
        <v>0</v>
      </c>
      <c r="FH276" s="534">
        <f t="shared" si="194"/>
        <v>0</v>
      </c>
      <c r="FI276" s="534">
        <f t="shared" si="194"/>
        <v>0</v>
      </c>
      <c r="FJ276" s="534">
        <f t="shared" si="194"/>
        <v>0</v>
      </c>
      <c r="FK276" s="534">
        <f t="shared" si="194"/>
        <v>0</v>
      </c>
      <c r="FL276" s="534">
        <f t="shared" si="194"/>
        <v>0</v>
      </c>
    </row>
    <row r="277" spans="1:168" hidden="1" x14ac:dyDescent="0.25">
      <c r="A277" s="1459" t="s">
        <v>800</v>
      </c>
      <c r="B277" s="115"/>
      <c r="C277" s="426"/>
      <c r="D277" s="420"/>
      <c r="E277" s="420"/>
      <c r="F277" s="420"/>
      <c r="G277" s="419"/>
      <c r="H277" s="426"/>
      <c r="I277" s="420"/>
      <c r="J277" s="482"/>
      <c r="K277" s="482"/>
      <c r="L277" s="482"/>
      <c r="M277" s="482"/>
      <c r="N277" s="482"/>
      <c r="O277" s="482"/>
      <c r="P277" s="482"/>
      <c r="Q277" s="482"/>
      <c r="R277" s="482"/>
      <c r="S277" s="482"/>
      <c r="T277" s="482"/>
      <c r="U277" s="482"/>
      <c r="V277" s="482"/>
      <c r="W277" s="482"/>
      <c r="X277" s="482"/>
      <c r="Y277" s="482"/>
      <c r="Z277" s="482"/>
      <c r="AA277" s="482"/>
      <c r="AB277" s="482"/>
      <c r="AC277" s="482"/>
      <c r="AD277" s="482"/>
      <c r="AE277" s="482"/>
      <c r="AF277" s="482"/>
      <c r="AG277" s="482"/>
      <c r="AH277" s="482"/>
      <c r="AI277" s="482"/>
      <c r="AJ277" s="482"/>
      <c r="AK277" s="482"/>
      <c r="AL277" s="482"/>
      <c r="AM277" s="482"/>
      <c r="AN277" s="482"/>
      <c r="AO277" s="482"/>
      <c r="AP277" s="482"/>
      <c r="AQ277" s="482"/>
      <c r="AR277" s="482"/>
      <c r="AS277" s="482"/>
      <c r="AT277" s="482"/>
      <c r="AU277" s="482"/>
      <c r="AV277" s="482"/>
      <c r="AW277" s="482"/>
      <c r="AX277" s="482"/>
      <c r="AY277" s="482"/>
      <c r="AZ277" s="482"/>
      <c r="BA277" s="482"/>
      <c r="BB277" s="482"/>
      <c r="BC277" s="482"/>
      <c r="BD277" s="482"/>
      <c r="BE277" s="482"/>
      <c r="BF277" s="482"/>
      <c r="BG277" s="482"/>
      <c r="BH277" s="482"/>
      <c r="BI277" s="482"/>
      <c r="BJ277" s="482"/>
      <c r="BK277" s="482"/>
      <c r="BL277" s="482"/>
      <c r="BM277" s="482"/>
      <c r="BN277" s="482"/>
      <c r="BO277" s="482"/>
      <c r="BP277" s="482"/>
      <c r="BQ277" s="482"/>
      <c r="BR277" s="482"/>
      <c r="BS277" s="482"/>
      <c r="BT277" s="482"/>
      <c r="BU277" s="482"/>
      <c r="BV277" s="482"/>
      <c r="BW277" s="482"/>
      <c r="BX277" s="482"/>
      <c r="BY277" s="482"/>
      <c r="BZ277" s="482"/>
      <c r="CA277" s="482"/>
      <c r="CB277" s="482"/>
      <c r="CC277" s="482"/>
      <c r="CD277" s="482"/>
      <c r="CE277" s="482"/>
      <c r="CF277" s="482"/>
      <c r="CG277" s="482"/>
      <c r="CH277" s="482"/>
      <c r="CI277" s="482"/>
      <c r="CJ277" s="482"/>
      <c r="CK277" s="482"/>
      <c r="CL277" s="482"/>
      <c r="CM277" s="482"/>
      <c r="CN277" s="482"/>
      <c r="CO277" s="482"/>
      <c r="CP277" s="482"/>
      <c r="CQ277" s="482"/>
      <c r="CR277" s="482"/>
      <c r="CS277" s="482"/>
      <c r="CT277" s="482"/>
      <c r="CU277" s="482"/>
      <c r="CV277" s="482"/>
      <c r="CW277" s="482"/>
      <c r="CX277" s="482"/>
      <c r="CY277" s="482"/>
      <c r="CZ277" s="482"/>
      <c r="DA277" s="482"/>
      <c r="DB277" s="482"/>
      <c r="DC277" s="482"/>
      <c r="DD277" s="482"/>
      <c r="DE277" s="482"/>
      <c r="DF277" s="482"/>
      <c r="DG277" s="482"/>
      <c r="DH277" s="482"/>
      <c r="DI277" s="482"/>
      <c r="DJ277" s="482"/>
      <c r="DK277" s="482"/>
      <c r="DL277" s="482"/>
      <c r="DM277" s="482"/>
      <c r="DN277" s="482"/>
      <c r="DO277" s="482"/>
      <c r="DP277" s="482"/>
      <c r="DQ277" s="482"/>
      <c r="DR277" s="482"/>
      <c r="DS277" s="482"/>
      <c r="DT277" s="482"/>
      <c r="DU277" s="482"/>
      <c r="DV277" s="482"/>
      <c r="DW277" s="482"/>
      <c r="DX277" s="482"/>
      <c r="DY277" s="482"/>
      <c r="DZ277" s="482"/>
      <c r="EA277" s="482"/>
      <c r="EB277" s="482"/>
      <c r="EC277" s="482"/>
      <c r="ED277" s="482"/>
      <c r="EE277" s="482"/>
      <c r="EF277" s="482"/>
      <c r="EG277" s="482"/>
      <c r="EH277" s="482"/>
      <c r="EI277" s="482"/>
      <c r="EJ277" s="482"/>
      <c r="EK277" s="482"/>
      <c r="EL277" s="482"/>
      <c r="EM277" s="482"/>
      <c r="EN277" s="482"/>
      <c r="EO277" s="482"/>
      <c r="EP277" s="482"/>
      <c r="EQ277" s="482"/>
      <c r="ER277" s="482"/>
      <c r="ES277" s="482"/>
      <c r="ET277" s="482"/>
      <c r="EU277" s="482"/>
      <c r="EV277" s="482"/>
      <c r="EW277" s="482"/>
      <c r="EX277" s="482"/>
      <c r="EY277" s="927">
        <f t="shared" si="189"/>
        <v>0</v>
      </c>
      <c r="EZ277" s="423"/>
      <c r="FA277" s="423"/>
      <c r="FB277" s="423"/>
      <c r="FC277" s="423"/>
      <c r="FD277" s="423"/>
      <c r="FE277" s="423"/>
      <c r="FF277" s="423"/>
      <c r="FG277" s="423"/>
      <c r="FH277" s="423"/>
      <c r="FI277" s="423"/>
      <c r="FJ277" s="423"/>
      <c r="FK277" s="423"/>
      <c r="FL277" s="423"/>
    </row>
    <row r="278" spans="1:168" hidden="1" x14ac:dyDescent="0.25">
      <c r="A278" s="1460"/>
      <c r="B278" s="115"/>
      <c r="C278" s="426"/>
      <c r="D278" s="420"/>
      <c r="E278" s="420"/>
      <c r="F278" s="420"/>
      <c r="G278" s="419"/>
      <c r="H278" s="426"/>
      <c r="I278" s="420"/>
      <c r="J278" s="482"/>
      <c r="K278" s="482"/>
      <c r="L278" s="482"/>
      <c r="M278" s="482"/>
      <c r="N278" s="482"/>
      <c r="O278" s="482"/>
      <c r="P278" s="482"/>
      <c r="Q278" s="482"/>
      <c r="R278" s="482"/>
      <c r="S278" s="482"/>
      <c r="T278" s="482"/>
      <c r="U278" s="482"/>
      <c r="V278" s="482"/>
      <c r="W278" s="482"/>
      <c r="X278" s="482"/>
      <c r="Y278" s="482"/>
      <c r="Z278" s="482"/>
      <c r="AA278" s="482"/>
      <c r="AB278" s="482"/>
      <c r="AC278" s="482"/>
      <c r="AD278" s="482"/>
      <c r="AE278" s="482"/>
      <c r="AF278" s="482"/>
      <c r="AG278" s="482"/>
      <c r="AH278" s="482"/>
      <c r="AI278" s="482"/>
      <c r="AJ278" s="482"/>
      <c r="AK278" s="482"/>
      <c r="AL278" s="482"/>
      <c r="AM278" s="482"/>
      <c r="AN278" s="482"/>
      <c r="AO278" s="482"/>
      <c r="AP278" s="482"/>
      <c r="AQ278" s="482"/>
      <c r="AR278" s="482"/>
      <c r="AS278" s="482"/>
      <c r="AT278" s="482"/>
      <c r="AU278" s="482"/>
      <c r="AV278" s="482"/>
      <c r="AW278" s="482"/>
      <c r="AX278" s="482"/>
      <c r="AY278" s="482"/>
      <c r="AZ278" s="482"/>
      <c r="BA278" s="482"/>
      <c r="BB278" s="482"/>
      <c r="BC278" s="482"/>
      <c r="BD278" s="482"/>
      <c r="BE278" s="482"/>
      <c r="BF278" s="482"/>
      <c r="BG278" s="482"/>
      <c r="BH278" s="482"/>
      <c r="BI278" s="482"/>
      <c r="BJ278" s="482"/>
      <c r="BK278" s="482"/>
      <c r="BL278" s="482"/>
      <c r="BM278" s="482"/>
      <c r="BN278" s="482"/>
      <c r="BO278" s="482"/>
      <c r="BP278" s="482"/>
      <c r="BQ278" s="482"/>
      <c r="BR278" s="482"/>
      <c r="BS278" s="482"/>
      <c r="BT278" s="482"/>
      <c r="BU278" s="482"/>
      <c r="BV278" s="482"/>
      <c r="BW278" s="482"/>
      <c r="BX278" s="482"/>
      <c r="BY278" s="482"/>
      <c r="BZ278" s="482"/>
      <c r="CA278" s="482"/>
      <c r="CB278" s="482"/>
      <c r="CC278" s="482"/>
      <c r="CD278" s="482"/>
      <c r="CE278" s="482"/>
      <c r="CF278" s="482"/>
      <c r="CG278" s="482"/>
      <c r="CH278" s="482"/>
      <c r="CI278" s="482"/>
      <c r="CJ278" s="482"/>
      <c r="CK278" s="482"/>
      <c r="CL278" s="482"/>
      <c r="CM278" s="482"/>
      <c r="CN278" s="482"/>
      <c r="CO278" s="482"/>
      <c r="CP278" s="482"/>
      <c r="CQ278" s="482"/>
      <c r="CR278" s="482"/>
      <c r="CS278" s="482"/>
      <c r="CT278" s="482"/>
      <c r="CU278" s="482"/>
      <c r="CV278" s="482"/>
      <c r="CW278" s="482"/>
      <c r="CX278" s="482"/>
      <c r="CY278" s="482"/>
      <c r="CZ278" s="482"/>
      <c r="DA278" s="482"/>
      <c r="DB278" s="482"/>
      <c r="DC278" s="482"/>
      <c r="DD278" s="482"/>
      <c r="DE278" s="482"/>
      <c r="DF278" s="482"/>
      <c r="DG278" s="482"/>
      <c r="DH278" s="482"/>
      <c r="DI278" s="482"/>
      <c r="DJ278" s="482"/>
      <c r="DK278" s="482"/>
      <c r="DL278" s="482"/>
      <c r="DM278" s="482"/>
      <c r="DN278" s="482"/>
      <c r="DO278" s="482"/>
      <c r="DP278" s="482"/>
      <c r="DQ278" s="482"/>
      <c r="DR278" s="482"/>
      <c r="DS278" s="482"/>
      <c r="DT278" s="482"/>
      <c r="DU278" s="482"/>
      <c r="DV278" s="482"/>
      <c r="DW278" s="482"/>
      <c r="DX278" s="482"/>
      <c r="DY278" s="482"/>
      <c r="DZ278" s="482"/>
      <c r="EA278" s="482"/>
      <c r="EB278" s="482"/>
      <c r="EC278" s="482"/>
      <c r="ED278" s="482"/>
      <c r="EE278" s="482"/>
      <c r="EF278" s="482"/>
      <c r="EG278" s="482"/>
      <c r="EH278" s="482"/>
      <c r="EI278" s="482"/>
      <c r="EJ278" s="482"/>
      <c r="EK278" s="482"/>
      <c r="EL278" s="482"/>
      <c r="EM278" s="482"/>
      <c r="EN278" s="482"/>
      <c r="EO278" s="482"/>
      <c r="EP278" s="482"/>
      <c r="EQ278" s="482"/>
      <c r="ER278" s="482"/>
      <c r="ES278" s="482"/>
      <c r="ET278" s="482"/>
      <c r="EU278" s="482"/>
      <c r="EV278" s="482"/>
      <c r="EW278" s="482"/>
      <c r="EX278" s="482"/>
      <c r="EY278" s="927">
        <f t="shared" si="189"/>
        <v>0</v>
      </c>
      <c r="EZ278" s="423"/>
      <c r="FA278" s="423"/>
      <c r="FB278" s="423"/>
      <c r="FC278" s="423"/>
      <c r="FD278" s="423"/>
      <c r="FE278" s="423"/>
      <c r="FF278" s="423"/>
      <c r="FG278" s="423"/>
      <c r="FH278" s="423"/>
      <c r="FI278" s="423"/>
      <c r="FJ278" s="423"/>
      <c r="FK278" s="423"/>
      <c r="FL278" s="423"/>
    </row>
    <row r="279" spans="1:168" hidden="1" x14ac:dyDescent="0.25">
      <c r="A279" s="1460"/>
      <c r="B279" s="115"/>
      <c r="C279" s="426"/>
      <c r="D279" s="420"/>
      <c r="E279" s="420"/>
      <c r="F279" s="420"/>
      <c r="G279" s="419"/>
      <c r="H279" s="426"/>
      <c r="I279" s="420"/>
      <c r="J279" s="482"/>
      <c r="K279" s="482"/>
      <c r="L279" s="482"/>
      <c r="M279" s="482"/>
      <c r="N279" s="482"/>
      <c r="O279" s="482"/>
      <c r="P279" s="482"/>
      <c r="Q279" s="482"/>
      <c r="R279" s="482"/>
      <c r="S279" s="482"/>
      <c r="T279" s="482"/>
      <c r="U279" s="482"/>
      <c r="V279" s="482"/>
      <c r="W279" s="482"/>
      <c r="X279" s="482"/>
      <c r="Y279" s="482"/>
      <c r="Z279" s="482"/>
      <c r="AA279" s="482"/>
      <c r="AB279" s="482"/>
      <c r="AC279" s="482"/>
      <c r="AD279" s="482"/>
      <c r="AE279" s="482"/>
      <c r="AF279" s="482"/>
      <c r="AG279" s="482"/>
      <c r="AH279" s="482"/>
      <c r="AI279" s="482"/>
      <c r="AJ279" s="482"/>
      <c r="AK279" s="482"/>
      <c r="AL279" s="482"/>
      <c r="AM279" s="482"/>
      <c r="AN279" s="482"/>
      <c r="AO279" s="482"/>
      <c r="AP279" s="482"/>
      <c r="AQ279" s="482"/>
      <c r="AR279" s="482"/>
      <c r="AS279" s="482"/>
      <c r="AT279" s="482"/>
      <c r="AU279" s="482"/>
      <c r="AV279" s="482"/>
      <c r="AW279" s="482"/>
      <c r="AX279" s="482"/>
      <c r="AY279" s="482"/>
      <c r="AZ279" s="482"/>
      <c r="BA279" s="482"/>
      <c r="BB279" s="482"/>
      <c r="BC279" s="482"/>
      <c r="BD279" s="482"/>
      <c r="BE279" s="482"/>
      <c r="BF279" s="482"/>
      <c r="BG279" s="482"/>
      <c r="BH279" s="482"/>
      <c r="BI279" s="482"/>
      <c r="BJ279" s="482"/>
      <c r="BK279" s="482"/>
      <c r="BL279" s="482"/>
      <c r="BM279" s="482"/>
      <c r="BN279" s="482"/>
      <c r="BO279" s="482"/>
      <c r="BP279" s="482"/>
      <c r="BQ279" s="482"/>
      <c r="BR279" s="482"/>
      <c r="BS279" s="482"/>
      <c r="BT279" s="482"/>
      <c r="BU279" s="482"/>
      <c r="BV279" s="482"/>
      <c r="BW279" s="482"/>
      <c r="BX279" s="482"/>
      <c r="BY279" s="482"/>
      <c r="BZ279" s="482"/>
      <c r="CA279" s="482"/>
      <c r="CB279" s="482"/>
      <c r="CC279" s="482"/>
      <c r="CD279" s="482"/>
      <c r="CE279" s="482"/>
      <c r="CF279" s="482"/>
      <c r="CG279" s="482"/>
      <c r="CH279" s="482"/>
      <c r="CI279" s="482"/>
      <c r="CJ279" s="482"/>
      <c r="CK279" s="482"/>
      <c r="CL279" s="482"/>
      <c r="CM279" s="482"/>
      <c r="CN279" s="482"/>
      <c r="CO279" s="482"/>
      <c r="CP279" s="482"/>
      <c r="CQ279" s="482"/>
      <c r="CR279" s="482"/>
      <c r="CS279" s="482"/>
      <c r="CT279" s="482"/>
      <c r="CU279" s="482"/>
      <c r="CV279" s="482"/>
      <c r="CW279" s="482"/>
      <c r="CX279" s="482"/>
      <c r="CY279" s="482"/>
      <c r="CZ279" s="482"/>
      <c r="DA279" s="482"/>
      <c r="DB279" s="482"/>
      <c r="DC279" s="482"/>
      <c r="DD279" s="482"/>
      <c r="DE279" s="482"/>
      <c r="DF279" s="482"/>
      <c r="DG279" s="482"/>
      <c r="DH279" s="482"/>
      <c r="DI279" s="482"/>
      <c r="DJ279" s="482"/>
      <c r="DK279" s="482"/>
      <c r="DL279" s="482"/>
      <c r="DM279" s="482"/>
      <c r="DN279" s="482"/>
      <c r="DO279" s="482"/>
      <c r="DP279" s="482"/>
      <c r="DQ279" s="482"/>
      <c r="DR279" s="482"/>
      <c r="DS279" s="482"/>
      <c r="DT279" s="482"/>
      <c r="DU279" s="482"/>
      <c r="DV279" s="482"/>
      <c r="DW279" s="482"/>
      <c r="DX279" s="482"/>
      <c r="DY279" s="482"/>
      <c r="DZ279" s="482"/>
      <c r="EA279" s="482"/>
      <c r="EB279" s="482"/>
      <c r="EC279" s="482"/>
      <c r="ED279" s="482"/>
      <c r="EE279" s="482"/>
      <c r="EF279" s="482"/>
      <c r="EG279" s="482"/>
      <c r="EH279" s="482"/>
      <c r="EI279" s="482"/>
      <c r="EJ279" s="482"/>
      <c r="EK279" s="482"/>
      <c r="EL279" s="482"/>
      <c r="EM279" s="482"/>
      <c r="EN279" s="482"/>
      <c r="EO279" s="482"/>
      <c r="EP279" s="482"/>
      <c r="EQ279" s="482"/>
      <c r="ER279" s="482"/>
      <c r="ES279" s="482"/>
      <c r="ET279" s="482"/>
      <c r="EU279" s="482"/>
      <c r="EV279" s="482"/>
      <c r="EW279" s="482"/>
      <c r="EX279" s="482"/>
      <c r="EY279" s="927">
        <f t="shared" si="189"/>
        <v>0</v>
      </c>
      <c r="EZ279" s="423"/>
      <c r="FA279" s="423"/>
      <c r="FB279" s="423"/>
      <c r="FC279" s="423"/>
      <c r="FD279" s="423"/>
      <c r="FE279" s="423"/>
      <c r="FF279" s="423"/>
      <c r="FG279" s="423"/>
      <c r="FH279" s="423"/>
      <c r="FI279" s="423"/>
      <c r="FJ279" s="423"/>
      <c r="FK279" s="423"/>
      <c r="FL279" s="423"/>
    </row>
    <row r="280" spans="1:168" hidden="1" x14ac:dyDescent="0.25">
      <c r="A280" s="1460"/>
      <c r="B280" s="115"/>
      <c r="C280" s="426"/>
      <c r="D280" s="420"/>
      <c r="E280" s="420"/>
      <c r="F280" s="420"/>
      <c r="G280" s="419"/>
      <c r="H280" s="426"/>
      <c r="I280" s="420"/>
      <c r="J280" s="482"/>
      <c r="K280" s="482"/>
      <c r="L280" s="482"/>
      <c r="M280" s="482"/>
      <c r="N280" s="482"/>
      <c r="O280" s="482"/>
      <c r="P280" s="482"/>
      <c r="Q280" s="482"/>
      <c r="R280" s="482"/>
      <c r="S280" s="482"/>
      <c r="T280" s="482"/>
      <c r="U280" s="482"/>
      <c r="V280" s="482"/>
      <c r="W280" s="482"/>
      <c r="X280" s="482"/>
      <c r="Y280" s="482"/>
      <c r="Z280" s="482"/>
      <c r="AA280" s="482"/>
      <c r="AB280" s="482"/>
      <c r="AC280" s="482"/>
      <c r="AD280" s="482"/>
      <c r="AE280" s="482"/>
      <c r="AF280" s="482"/>
      <c r="AG280" s="482"/>
      <c r="AH280" s="482"/>
      <c r="AI280" s="482"/>
      <c r="AJ280" s="482"/>
      <c r="AK280" s="482"/>
      <c r="AL280" s="482"/>
      <c r="AM280" s="482"/>
      <c r="AN280" s="482"/>
      <c r="AO280" s="482"/>
      <c r="AP280" s="482"/>
      <c r="AQ280" s="482"/>
      <c r="AR280" s="482"/>
      <c r="AS280" s="482"/>
      <c r="AT280" s="482"/>
      <c r="AU280" s="482"/>
      <c r="AV280" s="482"/>
      <c r="AW280" s="482"/>
      <c r="AX280" s="482"/>
      <c r="AY280" s="482"/>
      <c r="AZ280" s="482"/>
      <c r="BA280" s="482"/>
      <c r="BB280" s="482"/>
      <c r="BC280" s="482"/>
      <c r="BD280" s="482"/>
      <c r="BE280" s="482"/>
      <c r="BF280" s="482"/>
      <c r="BG280" s="482"/>
      <c r="BH280" s="482"/>
      <c r="BI280" s="482"/>
      <c r="BJ280" s="482"/>
      <c r="BK280" s="482"/>
      <c r="BL280" s="482"/>
      <c r="BM280" s="482"/>
      <c r="BN280" s="482"/>
      <c r="BO280" s="482"/>
      <c r="BP280" s="482"/>
      <c r="BQ280" s="482"/>
      <c r="BR280" s="482"/>
      <c r="BS280" s="482"/>
      <c r="BT280" s="482"/>
      <c r="BU280" s="482"/>
      <c r="BV280" s="482"/>
      <c r="BW280" s="482"/>
      <c r="BX280" s="482"/>
      <c r="BY280" s="482"/>
      <c r="BZ280" s="482"/>
      <c r="CA280" s="482"/>
      <c r="CB280" s="482"/>
      <c r="CC280" s="482"/>
      <c r="CD280" s="482"/>
      <c r="CE280" s="482"/>
      <c r="CF280" s="482"/>
      <c r="CG280" s="482"/>
      <c r="CH280" s="482"/>
      <c r="CI280" s="482"/>
      <c r="CJ280" s="482"/>
      <c r="CK280" s="482"/>
      <c r="CL280" s="482"/>
      <c r="CM280" s="482"/>
      <c r="CN280" s="482"/>
      <c r="CO280" s="482"/>
      <c r="CP280" s="482"/>
      <c r="CQ280" s="482"/>
      <c r="CR280" s="482"/>
      <c r="CS280" s="482"/>
      <c r="CT280" s="482"/>
      <c r="CU280" s="482"/>
      <c r="CV280" s="482"/>
      <c r="CW280" s="482"/>
      <c r="CX280" s="482"/>
      <c r="CY280" s="482"/>
      <c r="CZ280" s="482"/>
      <c r="DA280" s="482"/>
      <c r="DB280" s="482"/>
      <c r="DC280" s="482"/>
      <c r="DD280" s="482"/>
      <c r="DE280" s="482"/>
      <c r="DF280" s="482"/>
      <c r="DG280" s="482"/>
      <c r="DH280" s="482"/>
      <c r="DI280" s="482"/>
      <c r="DJ280" s="482"/>
      <c r="DK280" s="482"/>
      <c r="DL280" s="482"/>
      <c r="DM280" s="482"/>
      <c r="DN280" s="482"/>
      <c r="DO280" s="482"/>
      <c r="DP280" s="482"/>
      <c r="DQ280" s="482"/>
      <c r="DR280" s="482"/>
      <c r="DS280" s="482"/>
      <c r="DT280" s="482"/>
      <c r="DU280" s="482"/>
      <c r="DV280" s="482"/>
      <c r="DW280" s="482"/>
      <c r="DX280" s="482"/>
      <c r="DY280" s="482"/>
      <c r="DZ280" s="482"/>
      <c r="EA280" s="482"/>
      <c r="EB280" s="482"/>
      <c r="EC280" s="482"/>
      <c r="ED280" s="482"/>
      <c r="EE280" s="482"/>
      <c r="EF280" s="482"/>
      <c r="EG280" s="482"/>
      <c r="EH280" s="482"/>
      <c r="EI280" s="482"/>
      <c r="EJ280" s="482"/>
      <c r="EK280" s="482"/>
      <c r="EL280" s="482"/>
      <c r="EM280" s="482"/>
      <c r="EN280" s="482"/>
      <c r="EO280" s="482"/>
      <c r="EP280" s="482"/>
      <c r="EQ280" s="482"/>
      <c r="ER280" s="482"/>
      <c r="ES280" s="482"/>
      <c r="ET280" s="482"/>
      <c r="EU280" s="482"/>
      <c r="EV280" s="482"/>
      <c r="EW280" s="482"/>
      <c r="EX280" s="482"/>
      <c r="EY280" s="927">
        <f t="shared" si="189"/>
        <v>0</v>
      </c>
      <c r="EZ280" s="423"/>
      <c r="FA280" s="423"/>
      <c r="FB280" s="423"/>
      <c r="FC280" s="423"/>
      <c r="FD280" s="423"/>
      <c r="FE280" s="423"/>
      <c r="FF280" s="423"/>
      <c r="FG280" s="423"/>
      <c r="FH280" s="423"/>
      <c r="FI280" s="423"/>
      <c r="FJ280" s="423"/>
      <c r="FK280" s="423"/>
      <c r="FL280" s="423"/>
    </row>
    <row r="281" spans="1:168" hidden="1" x14ac:dyDescent="0.25">
      <c r="A281" s="1461"/>
      <c r="B281" s="115"/>
      <c r="C281" s="426"/>
      <c r="D281" s="426"/>
      <c r="E281" s="423"/>
      <c r="F281" s="423"/>
      <c r="G281" s="419"/>
      <c r="H281" s="426"/>
      <c r="I281" s="420"/>
      <c r="J281" s="482"/>
      <c r="K281" s="482"/>
      <c r="L281" s="482"/>
      <c r="M281" s="482"/>
      <c r="N281" s="482"/>
      <c r="O281" s="482"/>
      <c r="P281" s="482"/>
      <c r="Q281" s="482"/>
      <c r="R281" s="482"/>
      <c r="S281" s="482"/>
      <c r="T281" s="482"/>
      <c r="U281" s="482"/>
      <c r="V281" s="482"/>
      <c r="W281" s="482"/>
      <c r="X281" s="482"/>
      <c r="Y281" s="482"/>
      <c r="Z281" s="482"/>
      <c r="AA281" s="482"/>
      <c r="AB281" s="482"/>
      <c r="AC281" s="482"/>
      <c r="AD281" s="482"/>
      <c r="AE281" s="482"/>
      <c r="AF281" s="482"/>
      <c r="AG281" s="482"/>
      <c r="AH281" s="482"/>
      <c r="AI281" s="482"/>
      <c r="AJ281" s="482"/>
      <c r="AK281" s="482"/>
      <c r="AL281" s="482"/>
      <c r="AM281" s="482"/>
      <c r="AN281" s="482"/>
      <c r="AO281" s="482"/>
      <c r="AP281" s="482"/>
      <c r="AQ281" s="482"/>
      <c r="AR281" s="482"/>
      <c r="AS281" s="482"/>
      <c r="AT281" s="482"/>
      <c r="AU281" s="482"/>
      <c r="AV281" s="482"/>
      <c r="AW281" s="482"/>
      <c r="AX281" s="482"/>
      <c r="AY281" s="482"/>
      <c r="AZ281" s="482"/>
      <c r="BA281" s="482"/>
      <c r="BB281" s="482"/>
      <c r="BC281" s="482"/>
      <c r="BD281" s="482"/>
      <c r="BE281" s="482"/>
      <c r="BF281" s="482"/>
      <c r="BG281" s="482"/>
      <c r="BH281" s="482"/>
      <c r="BI281" s="482"/>
      <c r="BJ281" s="482"/>
      <c r="BK281" s="482"/>
      <c r="BL281" s="482"/>
      <c r="BM281" s="482"/>
      <c r="BN281" s="482"/>
      <c r="BO281" s="482"/>
      <c r="BP281" s="482"/>
      <c r="BQ281" s="482"/>
      <c r="BR281" s="482"/>
      <c r="BS281" s="482"/>
      <c r="BT281" s="482"/>
      <c r="BU281" s="482"/>
      <c r="BV281" s="482"/>
      <c r="BW281" s="482"/>
      <c r="BX281" s="482"/>
      <c r="BY281" s="482"/>
      <c r="BZ281" s="482"/>
      <c r="CA281" s="482"/>
      <c r="CB281" s="482"/>
      <c r="CC281" s="482"/>
      <c r="CD281" s="482"/>
      <c r="CE281" s="482"/>
      <c r="CF281" s="482"/>
      <c r="CG281" s="482"/>
      <c r="CH281" s="482"/>
      <c r="CI281" s="482"/>
      <c r="CJ281" s="482"/>
      <c r="CK281" s="482"/>
      <c r="CL281" s="482"/>
      <c r="CM281" s="482"/>
      <c r="CN281" s="482"/>
      <c r="CO281" s="482"/>
      <c r="CP281" s="482"/>
      <c r="CQ281" s="482"/>
      <c r="CR281" s="482"/>
      <c r="CS281" s="482"/>
      <c r="CT281" s="482"/>
      <c r="CU281" s="482"/>
      <c r="CV281" s="482"/>
      <c r="CW281" s="482"/>
      <c r="CX281" s="482"/>
      <c r="CY281" s="482"/>
      <c r="CZ281" s="482"/>
      <c r="DA281" s="482"/>
      <c r="DB281" s="482"/>
      <c r="DC281" s="482"/>
      <c r="DD281" s="482"/>
      <c r="DE281" s="482"/>
      <c r="DF281" s="482"/>
      <c r="DG281" s="482"/>
      <c r="DH281" s="482"/>
      <c r="DI281" s="482"/>
      <c r="DJ281" s="482"/>
      <c r="DK281" s="482"/>
      <c r="DL281" s="482"/>
      <c r="DM281" s="482"/>
      <c r="DN281" s="482"/>
      <c r="DO281" s="482"/>
      <c r="DP281" s="482"/>
      <c r="DQ281" s="482"/>
      <c r="DR281" s="482"/>
      <c r="DS281" s="482"/>
      <c r="DT281" s="482"/>
      <c r="DU281" s="482"/>
      <c r="DV281" s="482"/>
      <c r="DW281" s="482"/>
      <c r="DX281" s="482"/>
      <c r="DY281" s="482"/>
      <c r="DZ281" s="482"/>
      <c r="EA281" s="482"/>
      <c r="EB281" s="482"/>
      <c r="EC281" s="482"/>
      <c r="ED281" s="482"/>
      <c r="EE281" s="482"/>
      <c r="EF281" s="482"/>
      <c r="EG281" s="482"/>
      <c r="EH281" s="482"/>
      <c r="EI281" s="482"/>
      <c r="EJ281" s="482"/>
      <c r="EK281" s="482"/>
      <c r="EL281" s="482"/>
      <c r="EM281" s="482"/>
      <c r="EN281" s="482"/>
      <c r="EO281" s="482"/>
      <c r="EP281" s="482"/>
      <c r="EQ281" s="482"/>
      <c r="ER281" s="482"/>
      <c r="ES281" s="482"/>
      <c r="ET281" s="482"/>
      <c r="EU281" s="482"/>
      <c r="EV281" s="482"/>
      <c r="EW281" s="482"/>
      <c r="EX281" s="482"/>
      <c r="EY281" s="927">
        <f t="shared" si="189"/>
        <v>0</v>
      </c>
      <c r="EZ281" s="423"/>
      <c r="FA281" s="423"/>
      <c r="FB281" s="423"/>
      <c r="FC281" s="423"/>
      <c r="FD281" s="423"/>
      <c r="FE281" s="423"/>
      <c r="FF281" s="423"/>
      <c r="FG281" s="423"/>
      <c r="FH281" s="423"/>
      <c r="FI281" s="423"/>
      <c r="FJ281" s="423"/>
      <c r="FK281" s="423"/>
      <c r="FL281" s="423"/>
    </row>
    <row r="282" spans="1:168" hidden="1" x14ac:dyDescent="0.25">
      <c r="A282" s="120"/>
      <c r="B282" s="118" t="s">
        <v>801</v>
      </c>
      <c r="C282" s="840">
        <f>SUM(C277:C281)</f>
        <v>0</v>
      </c>
      <c r="D282" s="840">
        <f>SUM(D277:D281)</f>
        <v>0</v>
      </c>
      <c r="E282" s="534">
        <f t="shared" ref="E282:BC282" si="195">SUM(E277:E281)</f>
        <v>0</v>
      </c>
      <c r="F282" s="534">
        <f t="shared" si="195"/>
        <v>0</v>
      </c>
      <c r="G282" s="422">
        <f t="shared" si="195"/>
        <v>0</v>
      </c>
      <c r="H282" s="840"/>
      <c r="I282" s="842">
        <f t="shared" ref="I282" si="196">SUM(I277:I281)</f>
        <v>0</v>
      </c>
      <c r="J282" s="844">
        <f t="shared" si="195"/>
        <v>0</v>
      </c>
      <c r="K282" s="844">
        <f t="shared" si="195"/>
        <v>0</v>
      </c>
      <c r="L282" s="844">
        <f t="shared" si="195"/>
        <v>0</v>
      </c>
      <c r="M282" s="844">
        <f t="shared" si="195"/>
        <v>0</v>
      </c>
      <c r="N282" s="844">
        <f t="shared" si="195"/>
        <v>0</v>
      </c>
      <c r="O282" s="844">
        <f t="shared" si="195"/>
        <v>0</v>
      </c>
      <c r="P282" s="844">
        <f t="shared" si="195"/>
        <v>0</v>
      </c>
      <c r="Q282" s="844">
        <f t="shared" si="195"/>
        <v>0</v>
      </c>
      <c r="R282" s="844">
        <f t="shared" si="195"/>
        <v>0</v>
      </c>
      <c r="S282" s="844">
        <f t="shared" si="195"/>
        <v>0</v>
      </c>
      <c r="T282" s="844">
        <f t="shared" si="195"/>
        <v>0</v>
      </c>
      <c r="U282" s="844">
        <f t="shared" si="195"/>
        <v>0</v>
      </c>
      <c r="V282" s="844">
        <f t="shared" si="195"/>
        <v>0</v>
      </c>
      <c r="W282" s="844">
        <f t="shared" si="195"/>
        <v>0</v>
      </c>
      <c r="X282" s="844">
        <f t="shared" si="195"/>
        <v>0</v>
      </c>
      <c r="Y282" s="844">
        <f t="shared" si="195"/>
        <v>0</v>
      </c>
      <c r="Z282" s="844">
        <f t="shared" si="195"/>
        <v>0</v>
      </c>
      <c r="AA282" s="844">
        <f t="shared" si="195"/>
        <v>0</v>
      </c>
      <c r="AB282" s="844">
        <f t="shared" si="195"/>
        <v>0</v>
      </c>
      <c r="AC282" s="844">
        <f t="shared" si="195"/>
        <v>0</v>
      </c>
      <c r="AD282" s="844">
        <f t="shared" si="195"/>
        <v>0</v>
      </c>
      <c r="AE282" s="844">
        <f t="shared" si="195"/>
        <v>0</v>
      </c>
      <c r="AF282" s="844">
        <f t="shared" si="195"/>
        <v>0</v>
      </c>
      <c r="AG282" s="844">
        <f t="shared" si="195"/>
        <v>0</v>
      </c>
      <c r="AH282" s="844">
        <f t="shared" si="195"/>
        <v>0</v>
      </c>
      <c r="AI282" s="844">
        <f t="shared" si="195"/>
        <v>0</v>
      </c>
      <c r="AJ282" s="844">
        <f t="shared" si="195"/>
        <v>0</v>
      </c>
      <c r="AK282" s="844">
        <f t="shared" si="195"/>
        <v>0</v>
      </c>
      <c r="AL282" s="844">
        <f t="shared" si="195"/>
        <v>0</v>
      </c>
      <c r="AM282" s="844">
        <f t="shared" si="195"/>
        <v>0</v>
      </c>
      <c r="AN282" s="844">
        <f t="shared" si="195"/>
        <v>0</v>
      </c>
      <c r="AO282" s="844">
        <f t="shared" si="195"/>
        <v>0</v>
      </c>
      <c r="AP282" s="844">
        <f t="shared" si="195"/>
        <v>0</v>
      </c>
      <c r="AQ282" s="844">
        <f t="shared" si="195"/>
        <v>0</v>
      </c>
      <c r="AR282" s="844">
        <f t="shared" si="195"/>
        <v>0</v>
      </c>
      <c r="AS282" s="844">
        <f t="shared" si="195"/>
        <v>0</v>
      </c>
      <c r="AT282" s="844">
        <f t="shared" si="195"/>
        <v>0</v>
      </c>
      <c r="AU282" s="844">
        <f t="shared" si="195"/>
        <v>0</v>
      </c>
      <c r="AV282" s="844">
        <f t="shared" si="195"/>
        <v>0</v>
      </c>
      <c r="AW282" s="844">
        <f t="shared" si="195"/>
        <v>0</v>
      </c>
      <c r="AX282" s="844">
        <f t="shared" si="195"/>
        <v>0</v>
      </c>
      <c r="AY282" s="844">
        <f t="shared" si="195"/>
        <v>0</v>
      </c>
      <c r="AZ282" s="844">
        <f t="shared" si="195"/>
        <v>0</v>
      </c>
      <c r="BA282" s="844">
        <f t="shared" si="195"/>
        <v>0</v>
      </c>
      <c r="BB282" s="844">
        <f t="shared" si="195"/>
        <v>0</v>
      </c>
      <c r="BC282" s="844">
        <f t="shared" si="195"/>
        <v>0</v>
      </c>
      <c r="BD282" s="844">
        <f t="shared" ref="BD282:DO282" si="197">SUM(BD277:BD281)</f>
        <v>0</v>
      </c>
      <c r="BE282" s="844">
        <f t="shared" si="197"/>
        <v>0</v>
      </c>
      <c r="BF282" s="844">
        <f t="shared" si="197"/>
        <v>0</v>
      </c>
      <c r="BG282" s="844">
        <f t="shared" si="197"/>
        <v>0</v>
      </c>
      <c r="BH282" s="844">
        <f t="shared" si="197"/>
        <v>0</v>
      </c>
      <c r="BI282" s="844">
        <f t="shared" si="197"/>
        <v>0</v>
      </c>
      <c r="BJ282" s="844">
        <f t="shared" si="197"/>
        <v>0</v>
      </c>
      <c r="BK282" s="844">
        <f t="shared" si="197"/>
        <v>0</v>
      </c>
      <c r="BL282" s="844">
        <f t="shared" si="197"/>
        <v>0</v>
      </c>
      <c r="BM282" s="844">
        <f t="shared" si="197"/>
        <v>0</v>
      </c>
      <c r="BN282" s="844">
        <f t="shared" si="197"/>
        <v>0</v>
      </c>
      <c r="BO282" s="844">
        <f t="shared" si="197"/>
        <v>0</v>
      </c>
      <c r="BP282" s="844">
        <f t="shared" si="197"/>
        <v>0</v>
      </c>
      <c r="BQ282" s="844">
        <f t="shared" si="197"/>
        <v>0</v>
      </c>
      <c r="BR282" s="844">
        <f t="shared" si="197"/>
        <v>0</v>
      </c>
      <c r="BS282" s="844">
        <f t="shared" si="197"/>
        <v>0</v>
      </c>
      <c r="BT282" s="844">
        <f t="shared" si="197"/>
        <v>0</v>
      </c>
      <c r="BU282" s="844">
        <f t="shared" si="197"/>
        <v>0</v>
      </c>
      <c r="BV282" s="844">
        <f t="shared" si="197"/>
        <v>0</v>
      </c>
      <c r="BW282" s="844">
        <f t="shared" si="197"/>
        <v>0</v>
      </c>
      <c r="BX282" s="844">
        <f t="shared" si="197"/>
        <v>0</v>
      </c>
      <c r="BY282" s="844">
        <f t="shared" si="197"/>
        <v>0</v>
      </c>
      <c r="BZ282" s="844">
        <f t="shared" si="197"/>
        <v>0</v>
      </c>
      <c r="CA282" s="844">
        <f t="shared" si="197"/>
        <v>0</v>
      </c>
      <c r="CB282" s="844">
        <f t="shared" si="197"/>
        <v>0</v>
      </c>
      <c r="CC282" s="844">
        <f t="shared" si="197"/>
        <v>0</v>
      </c>
      <c r="CD282" s="844">
        <f t="shared" si="197"/>
        <v>0</v>
      </c>
      <c r="CE282" s="844">
        <f t="shared" si="197"/>
        <v>0</v>
      </c>
      <c r="CF282" s="844">
        <f t="shared" si="197"/>
        <v>0</v>
      </c>
      <c r="CG282" s="844">
        <f t="shared" si="197"/>
        <v>0</v>
      </c>
      <c r="CH282" s="844">
        <f t="shared" si="197"/>
        <v>0</v>
      </c>
      <c r="CI282" s="844">
        <f t="shared" si="197"/>
        <v>0</v>
      </c>
      <c r="CJ282" s="844">
        <f t="shared" si="197"/>
        <v>0</v>
      </c>
      <c r="CK282" s="844">
        <f t="shared" si="197"/>
        <v>0</v>
      </c>
      <c r="CL282" s="844">
        <f t="shared" si="197"/>
        <v>0</v>
      </c>
      <c r="CM282" s="844">
        <f t="shared" si="197"/>
        <v>0</v>
      </c>
      <c r="CN282" s="844">
        <f t="shared" si="197"/>
        <v>0</v>
      </c>
      <c r="CO282" s="844">
        <f t="shared" si="197"/>
        <v>0</v>
      </c>
      <c r="CP282" s="844">
        <f t="shared" si="197"/>
        <v>0</v>
      </c>
      <c r="CQ282" s="844">
        <f t="shared" si="197"/>
        <v>0</v>
      </c>
      <c r="CR282" s="844">
        <f t="shared" si="197"/>
        <v>0</v>
      </c>
      <c r="CS282" s="844">
        <f t="shared" si="197"/>
        <v>0</v>
      </c>
      <c r="CT282" s="844">
        <f t="shared" si="197"/>
        <v>0</v>
      </c>
      <c r="CU282" s="844">
        <f t="shared" si="197"/>
        <v>0</v>
      </c>
      <c r="CV282" s="844">
        <f t="shared" si="197"/>
        <v>0</v>
      </c>
      <c r="CW282" s="844">
        <f t="shared" si="197"/>
        <v>0</v>
      </c>
      <c r="CX282" s="844">
        <f t="shared" si="197"/>
        <v>0</v>
      </c>
      <c r="CY282" s="844">
        <f t="shared" si="197"/>
        <v>0</v>
      </c>
      <c r="CZ282" s="844">
        <f t="shared" si="197"/>
        <v>0</v>
      </c>
      <c r="DA282" s="844">
        <f t="shared" si="197"/>
        <v>0</v>
      </c>
      <c r="DB282" s="844">
        <f t="shared" si="197"/>
        <v>0</v>
      </c>
      <c r="DC282" s="844">
        <f t="shared" si="197"/>
        <v>0</v>
      </c>
      <c r="DD282" s="844">
        <f t="shared" si="197"/>
        <v>0</v>
      </c>
      <c r="DE282" s="844">
        <f t="shared" si="197"/>
        <v>0</v>
      </c>
      <c r="DF282" s="844">
        <f t="shared" si="197"/>
        <v>0</v>
      </c>
      <c r="DG282" s="844">
        <f t="shared" si="197"/>
        <v>0</v>
      </c>
      <c r="DH282" s="844">
        <f t="shared" si="197"/>
        <v>0</v>
      </c>
      <c r="DI282" s="844">
        <f t="shared" si="197"/>
        <v>0</v>
      </c>
      <c r="DJ282" s="844">
        <f t="shared" si="197"/>
        <v>0</v>
      </c>
      <c r="DK282" s="844">
        <f t="shared" si="197"/>
        <v>0</v>
      </c>
      <c r="DL282" s="844">
        <f t="shared" si="197"/>
        <v>0</v>
      </c>
      <c r="DM282" s="844">
        <f t="shared" si="197"/>
        <v>0</v>
      </c>
      <c r="DN282" s="844">
        <f t="shared" si="197"/>
        <v>0</v>
      </c>
      <c r="DO282" s="844">
        <f t="shared" si="197"/>
        <v>0</v>
      </c>
      <c r="DP282" s="844">
        <f t="shared" ref="DP282:EX282" si="198">SUM(DP277:DP281)</f>
        <v>0</v>
      </c>
      <c r="DQ282" s="844">
        <f t="shared" si="198"/>
        <v>0</v>
      </c>
      <c r="DR282" s="844">
        <f t="shared" si="198"/>
        <v>0</v>
      </c>
      <c r="DS282" s="844">
        <f t="shared" si="198"/>
        <v>0</v>
      </c>
      <c r="DT282" s="844">
        <f t="shared" si="198"/>
        <v>0</v>
      </c>
      <c r="DU282" s="844">
        <f t="shared" si="198"/>
        <v>0</v>
      </c>
      <c r="DV282" s="844">
        <f t="shared" si="198"/>
        <v>0</v>
      </c>
      <c r="DW282" s="844">
        <f t="shared" si="198"/>
        <v>0</v>
      </c>
      <c r="DX282" s="844">
        <f t="shared" si="198"/>
        <v>0</v>
      </c>
      <c r="DY282" s="844">
        <f t="shared" si="198"/>
        <v>0</v>
      </c>
      <c r="DZ282" s="844">
        <f t="shared" si="198"/>
        <v>0</v>
      </c>
      <c r="EA282" s="844">
        <f t="shared" si="198"/>
        <v>0</v>
      </c>
      <c r="EB282" s="844">
        <f t="shared" si="198"/>
        <v>0</v>
      </c>
      <c r="EC282" s="844">
        <f t="shared" si="198"/>
        <v>0</v>
      </c>
      <c r="ED282" s="844">
        <f t="shared" si="198"/>
        <v>0</v>
      </c>
      <c r="EE282" s="844">
        <f t="shared" si="198"/>
        <v>0</v>
      </c>
      <c r="EF282" s="844">
        <f t="shared" si="198"/>
        <v>0</v>
      </c>
      <c r="EG282" s="844">
        <f t="shared" si="198"/>
        <v>0</v>
      </c>
      <c r="EH282" s="844">
        <f t="shared" si="198"/>
        <v>0</v>
      </c>
      <c r="EI282" s="844">
        <f t="shared" si="198"/>
        <v>0</v>
      </c>
      <c r="EJ282" s="844">
        <f t="shared" si="198"/>
        <v>0</v>
      </c>
      <c r="EK282" s="844">
        <f t="shared" si="198"/>
        <v>0</v>
      </c>
      <c r="EL282" s="844">
        <f t="shared" si="198"/>
        <v>0</v>
      </c>
      <c r="EM282" s="844">
        <f t="shared" si="198"/>
        <v>0</v>
      </c>
      <c r="EN282" s="844">
        <f t="shared" si="198"/>
        <v>0</v>
      </c>
      <c r="EO282" s="844">
        <f t="shared" si="198"/>
        <v>0</v>
      </c>
      <c r="EP282" s="844">
        <f t="shared" si="198"/>
        <v>0</v>
      </c>
      <c r="EQ282" s="844">
        <f t="shared" si="198"/>
        <v>0</v>
      </c>
      <c r="ER282" s="844">
        <f t="shared" si="198"/>
        <v>0</v>
      </c>
      <c r="ES282" s="844">
        <f t="shared" si="198"/>
        <v>0</v>
      </c>
      <c r="ET282" s="844">
        <f t="shared" si="198"/>
        <v>0</v>
      </c>
      <c r="EU282" s="844">
        <f t="shared" si="198"/>
        <v>0</v>
      </c>
      <c r="EV282" s="844">
        <f t="shared" si="198"/>
        <v>0</v>
      </c>
      <c r="EW282" s="844">
        <f t="shared" si="198"/>
        <v>0</v>
      </c>
      <c r="EX282" s="844">
        <f t="shared" si="198"/>
        <v>0</v>
      </c>
      <c r="EY282" s="863">
        <f t="shared" ref="EY282:FL282" si="199">SUM(EY277:EY281)</f>
        <v>0</v>
      </c>
      <c r="EZ282" s="534">
        <f t="shared" si="199"/>
        <v>0</v>
      </c>
      <c r="FA282" s="534">
        <f t="shared" si="199"/>
        <v>0</v>
      </c>
      <c r="FB282" s="534">
        <f t="shared" si="199"/>
        <v>0</v>
      </c>
      <c r="FC282" s="534">
        <f t="shared" si="199"/>
        <v>0</v>
      </c>
      <c r="FD282" s="534">
        <f t="shared" si="199"/>
        <v>0</v>
      </c>
      <c r="FE282" s="534">
        <f t="shared" si="199"/>
        <v>0</v>
      </c>
      <c r="FF282" s="534">
        <f t="shared" si="199"/>
        <v>0</v>
      </c>
      <c r="FG282" s="534">
        <f t="shared" si="199"/>
        <v>0</v>
      </c>
      <c r="FH282" s="534">
        <f t="shared" si="199"/>
        <v>0</v>
      </c>
      <c r="FI282" s="534">
        <f t="shared" si="199"/>
        <v>0</v>
      </c>
      <c r="FJ282" s="534">
        <f t="shared" si="199"/>
        <v>0</v>
      </c>
      <c r="FK282" s="534">
        <f t="shared" si="199"/>
        <v>0</v>
      </c>
      <c r="FL282" s="534">
        <f t="shared" si="199"/>
        <v>0</v>
      </c>
    </row>
    <row r="283" spans="1:168" hidden="1" x14ac:dyDescent="0.25">
      <c r="A283" s="411"/>
      <c r="B283" s="461" t="s">
        <v>1216</v>
      </c>
      <c r="C283" s="841">
        <f>C266+C276+C282</f>
        <v>0</v>
      </c>
      <c r="D283" s="841">
        <f>D266+D276+D282</f>
        <v>0</v>
      </c>
      <c r="E283" s="791">
        <f t="shared" ref="E283:BC283" si="200">E266+E276+E282</f>
        <v>0</v>
      </c>
      <c r="F283" s="791">
        <f t="shared" si="200"/>
        <v>0</v>
      </c>
      <c r="G283" s="392">
        <f t="shared" si="200"/>
        <v>0</v>
      </c>
      <c r="H283" s="841"/>
      <c r="I283" s="843">
        <f t="shared" ref="I283" si="201">I266+I276+I282</f>
        <v>0</v>
      </c>
      <c r="J283" s="845">
        <f t="shared" si="200"/>
        <v>0</v>
      </c>
      <c r="K283" s="845">
        <f t="shared" si="200"/>
        <v>0</v>
      </c>
      <c r="L283" s="845">
        <f t="shared" si="200"/>
        <v>0</v>
      </c>
      <c r="M283" s="845">
        <f t="shared" si="200"/>
        <v>0</v>
      </c>
      <c r="N283" s="845">
        <f t="shared" si="200"/>
        <v>0</v>
      </c>
      <c r="O283" s="845">
        <f t="shared" si="200"/>
        <v>0</v>
      </c>
      <c r="P283" s="845">
        <f t="shared" si="200"/>
        <v>0</v>
      </c>
      <c r="Q283" s="845">
        <f t="shared" si="200"/>
        <v>0</v>
      </c>
      <c r="R283" s="845">
        <f t="shared" si="200"/>
        <v>0</v>
      </c>
      <c r="S283" s="845">
        <f t="shared" si="200"/>
        <v>0</v>
      </c>
      <c r="T283" s="845">
        <f t="shared" si="200"/>
        <v>0</v>
      </c>
      <c r="U283" s="845">
        <f t="shared" si="200"/>
        <v>0</v>
      </c>
      <c r="V283" s="845">
        <f t="shared" si="200"/>
        <v>0</v>
      </c>
      <c r="W283" s="845">
        <f t="shared" si="200"/>
        <v>0</v>
      </c>
      <c r="X283" s="845">
        <f t="shared" si="200"/>
        <v>0</v>
      </c>
      <c r="Y283" s="845">
        <f t="shared" si="200"/>
        <v>0</v>
      </c>
      <c r="Z283" s="845">
        <f t="shared" si="200"/>
        <v>0</v>
      </c>
      <c r="AA283" s="845">
        <f t="shared" si="200"/>
        <v>0</v>
      </c>
      <c r="AB283" s="845">
        <f t="shared" si="200"/>
        <v>0</v>
      </c>
      <c r="AC283" s="845">
        <f t="shared" si="200"/>
        <v>0</v>
      </c>
      <c r="AD283" s="845">
        <f t="shared" si="200"/>
        <v>0</v>
      </c>
      <c r="AE283" s="845">
        <f t="shared" si="200"/>
        <v>0</v>
      </c>
      <c r="AF283" s="845">
        <f t="shared" si="200"/>
        <v>0</v>
      </c>
      <c r="AG283" s="845">
        <f t="shared" si="200"/>
        <v>0</v>
      </c>
      <c r="AH283" s="845">
        <f t="shared" si="200"/>
        <v>0</v>
      </c>
      <c r="AI283" s="845">
        <f t="shared" si="200"/>
        <v>0</v>
      </c>
      <c r="AJ283" s="845">
        <f t="shared" si="200"/>
        <v>0</v>
      </c>
      <c r="AK283" s="845">
        <f t="shared" si="200"/>
        <v>0</v>
      </c>
      <c r="AL283" s="845">
        <f t="shared" si="200"/>
        <v>0</v>
      </c>
      <c r="AM283" s="845">
        <f t="shared" si="200"/>
        <v>0</v>
      </c>
      <c r="AN283" s="845">
        <f t="shared" si="200"/>
        <v>0</v>
      </c>
      <c r="AO283" s="845">
        <f t="shared" si="200"/>
        <v>0</v>
      </c>
      <c r="AP283" s="845">
        <f t="shared" si="200"/>
        <v>0</v>
      </c>
      <c r="AQ283" s="845">
        <f t="shared" si="200"/>
        <v>0</v>
      </c>
      <c r="AR283" s="845">
        <f t="shared" si="200"/>
        <v>0</v>
      </c>
      <c r="AS283" s="845">
        <f t="shared" si="200"/>
        <v>0</v>
      </c>
      <c r="AT283" s="845">
        <f t="shared" si="200"/>
        <v>0</v>
      </c>
      <c r="AU283" s="845">
        <f t="shared" si="200"/>
        <v>0</v>
      </c>
      <c r="AV283" s="845">
        <f t="shared" si="200"/>
        <v>0</v>
      </c>
      <c r="AW283" s="845">
        <f t="shared" si="200"/>
        <v>0</v>
      </c>
      <c r="AX283" s="845">
        <f t="shared" si="200"/>
        <v>0</v>
      </c>
      <c r="AY283" s="845">
        <f t="shared" si="200"/>
        <v>0</v>
      </c>
      <c r="AZ283" s="845">
        <f t="shared" si="200"/>
        <v>0</v>
      </c>
      <c r="BA283" s="845">
        <f t="shared" si="200"/>
        <v>0</v>
      </c>
      <c r="BB283" s="845">
        <f t="shared" si="200"/>
        <v>0</v>
      </c>
      <c r="BC283" s="845">
        <f t="shared" si="200"/>
        <v>0</v>
      </c>
      <c r="BD283" s="845">
        <f t="shared" ref="BD283:DO283" si="202">BD266+BD276+BD282</f>
        <v>0</v>
      </c>
      <c r="BE283" s="845">
        <f t="shared" si="202"/>
        <v>0</v>
      </c>
      <c r="BF283" s="845">
        <f t="shared" si="202"/>
        <v>0</v>
      </c>
      <c r="BG283" s="845">
        <f t="shared" si="202"/>
        <v>0</v>
      </c>
      <c r="BH283" s="845">
        <f t="shared" si="202"/>
        <v>0</v>
      </c>
      <c r="BI283" s="845">
        <f t="shared" si="202"/>
        <v>0</v>
      </c>
      <c r="BJ283" s="845">
        <f t="shared" si="202"/>
        <v>0</v>
      </c>
      <c r="BK283" s="845">
        <f t="shared" si="202"/>
        <v>0</v>
      </c>
      <c r="BL283" s="845">
        <f t="shared" si="202"/>
        <v>0</v>
      </c>
      <c r="BM283" s="845">
        <f t="shared" si="202"/>
        <v>0</v>
      </c>
      <c r="BN283" s="845">
        <f t="shared" si="202"/>
        <v>0</v>
      </c>
      <c r="BO283" s="845">
        <f t="shared" si="202"/>
        <v>0</v>
      </c>
      <c r="BP283" s="845">
        <f t="shared" si="202"/>
        <v>0</v>
      </c>
      <c r="BQ283" s="845">
        <f t="shared" si="202"/>
        <v>0</v>
      </c>
      <c r="BR283" s="845">
        <f t="shared" si="202"/>
        <v>0</v>
      </c>
      <c r="BS283" s="845">
        <f t="shared" si="202"/>
        <v>0</v>
      </c>
      <c r="BT283" s="845">
        <f t="shared" si="202"/>
        <v>0</v>
      </c>
      <c r="BU283" s="845">
        <f t="shared" si="202"/>
        <v>0</v>
      </c>
      <c r="BV283" s="845">
        <f t="shared" si="202"/>
        <v>0</v>
      </c>
      <c r="BW283" s="845">
        <f t="shared" si="202"/>
        <v>0</v>
      </c>
      <c r="BX283" s="845">
        <f t="shared" si="202"/>
        <v>0</v>
      </c>
      <c r="BY283" s="845">
        <f t="shared" si="202"/>
        <v>0</v>
      </c>
      <c r="BZ283" s="845">
        <f t="shared" si="202"/>
        <v>0</v>
      </c>
      <c r="CA283" s="845">
        <f t="shared" si="202"/>
        <v>0</v>
      </c>
      <c r="CB283" s="845">
        <f t="shared" si="202"/>
        <v>0</v>
      </c>
      <c r="CC283" s="845">
        <f t="shared" si="202"/>
        <v>0</v>
      </c>
      <c r="CD283" s="845">
        <f t="shared" si="202"/>
        <v>0</v>
      </c>
      <c r="CE283" s="845">
        <f t="shared" si="202"/>
        <v>0</v>
      </c>
      <c r="CF283" s="845">
        <f t="shared" si="202"/>
        <v>0</v>
      </c>
      <c r="CG283" s="845">
        <f t="shared" si="202"/>
        <v>0</v>
      </c>
      <c r="CH283" s="845">
        <f t="shared" si="202"/>
        <v>0</v>
      </c>
      <c r="CI283" s="845">
        <f t="shared" si="202"/>
        <v>0</v>
      </c>
      <c r="CJ283" s="845">
        <f t="shared" si="202"/>
        <v>0</v>
      </c>
      <c r="CK283" s="845">
        <f t="shared" si="202"/>
        <v>0</v>
      </c>
      <c r="CL283" s="845">
        <f t="shared" si="202"/>
        <v>0</v>
      </c>
      <c r="CM283" s="845">
        <f t="shared" si="202"/>
        <v>0</v>
      </c>
      <c r="CN283" s="845">
        <f t="shared" si="202"/>
        <v>0</v>
      </c>
      <c r="CO283" s="845">
        <f t="shared" si="202"/>
        <v>0</v>
      </c>
      <c r="CP283" s="845">
        <f t="shared" si="202"/>
        <v>0</v>
      </c>
      <c r="CQ283" s="845">
        <f t="shared" si="202"/>
        <v>0</v>
      </c>
      <c r="CR283" s="845">
        <f t="shared" si="202"/>
        <v>0</v>
      </c>
      <c r="CS283" s="845">
        <f t="shared" si="202"/>
        <v>0</v>
      </c>
      <c r="CT283" s="845">
        <f t="shared" si="202"/>
        <v>0</v>
      </c>
      <c r="CU283" s="845">
        <f t="shared" si="202"/>
        <v>0</v>
      </c>
      <c r="CV283" s="845">
        <f t="shared" si="202"/>
        <v>0</v>
      </c>
      <c r="CW283" s="845">
        <f t="shared" si="202"/>
        <v>0</v>
      </c>
      <c r="CX283" s="845">
        <f t="shared" si="202"/>
        <v>0</v>
      </c>
      <c r="CY283" s="845">
        <f t="shared" si="202"/>
        <v>0</v>
      </c>
      <c r="CZ283" s="845">
        <f t="shared" si="202"/>
        <v>0</v>
      </c>
      <c r="DA283" s="845">
        <f t="shared" si="202"/>
        <v>0</v>
      </c>
      <c r="DB283" s="845">
        <f t="shared" si="202"/>
        <v>0</v>
      </c>
      <c r="DC283" s="845">
        <f t="shared" si="202"/>
        <v>0</v>
      </c>
      <c r="DD283" s="845">
        <f t="shared" si="202"/>
        <v>0</v>
      </c>
      <c r="DE283" s="845">
        <f t="shared" si="202"/>
        <v>0</v>
      </c>
      <c r="DF283" s="845">
        <f t="shared" si="202"/>
        <v>0</v>
      </c>
      <c r="DG283" s="845">
        <f t="shared" si="202"/>
        <v>0</v>
      </c>
      <c r="DH283" s="845">
        <f t="shared" si="202"/>
        <v>0</v>
      </c>
      <c r="DI283" s="845">
        <f t="shared" si="202"/>
        <v>0</v>
      </c>
      <c r="DJ283" s="845">
        <f t="shared" si="202"/>
        <v>0</v>
      </c>
      <c r="DK283" s="845">
        <f t="shared" si="202"/>
        <v>0</v>
      </c>
      <c r="DL283" s="845">
        <f t="shared" si="202"/>
        <v>0</v>
      </c>
      <c r="DM283" s="845">
        <f t="shared" si="202"/>
        <v>0</v>
      </c>
      <c r="DN283" s="845">
        <f t="shared" si="202"/>
        <v>0</v>
      </c>
      <c r="DO283" s="845">
        <f t="shared" si="202"/>
        <v>0</v>
      </c>
      <c r="DP283" s="845">
        <f t="shared" ref="DP283:FL283" si="203">DP266+DP276+DP282</f>
        <v>0</v>
      </c>
      <c r="DQ283" s="845">
        <f t="shared" si="203"/>
        <v>0</v>
      </c>
      <c r="DR283" s="845">
        <f t="shared" si="203"/>
        <v>0</v>
      </c>
      <c r="DS283" s="845">
        <f t="shared" si="203"/>
        <v>0</v>
      </c>
      <c r="DT283" s="845">
        <f t="shared" si="203"/>
        <v>0</v>
      </c>
      <c r="DU283" s="845">
        <f t="shared" si="203"/>
        <v>0</v>
      </c>
      <c r="DV283" s="845">
        <f t="shared" si="203"/>
        <v>0</v>
      </c>
      <c r="DW283" s="845">
        <f t="shared" si="203"/>
        <v>0</v>
      </c>
      <c r="DX283" s="845">
        <f t="shared" si="203"/>
        <v>0</v>
      </c>
      <c r="DY283" s="845">
        <f t="shared" si="203"/>
        <v>0</v>
      </c>
      <c r="DZ283" s="845">
        <f t="shared" si="203"/>
        <v>0</v>
      </c>
      <c r="EA283" s="845">
        <f t="shared" si="203"/>
        <v>0</v>
      </c>
      <c r="EB283" s="845">
        <f t="shared" si="203"/>
        <v>0</v>
      </c>
      <c r="EC283" s="845">
        <f t="shared" si="203"/>
        <v>0</v>
      </c>
      <c r="ED283" s="845">
        <f t="shared" si="203"/>
        <v>0</v>
      </c>
      <c r="EE283" s="845">
        <f t="shared" si="203"/>
        <v>0</v>
      </c>
      <c r="EF283" s="845">
        <f t="shared" si="203"/>
        <v>0</v>
      </c>
      <c r="EG283" s="845">
        <f t="shared" si="203"/>
        <v>0</v>
      </c>
      <c r="EH283" s="845">
        <f t="shared" si="203"/>
        <v>0</v>
      </c>
      <c r="EI283" s="845">
        <f t="shared" si="203"/>
        <v>0</v>
      </c>
      <c r="EJ283" s="845">
        <f t="shared" si="203"/>
        <v>0</v>
      </c>
      <c r="EK283" s="845">
        <f t="shared" si="203"/>
        <v>0</v>
      </c>
      <c r="EL283" s="845">
        <f t="shared" si="203"/>
        <v>0</v>
      </c>
      <c r="EM283" s="845">
        <f t="shared" si="203"/>
        <v>0</v>
      </c>
      <c r="EN283" s="845">
        <f t="shared" si="203"/>
        <v>0</v>
      </c>
      <c r="EO283" s="845">
        <f t="shared" si="203"/>
        <v>0</v>
      </c>
      <c r="EP283" s="845">
        <f t="shared" si="203"/>
        <v>0</v>
      </c>
      <c r="EQ283" s="845">
        <f t="shared" si="203"/>
        <v>0</v>
      </c>
      <c r="ER283" s="845">
        <f t="shared" si="203"/>
        <v>0</v>
      </c>
      <c r="ES283" s="845">
        <f t="shared" si="203"/>
        <v>0</v>
      </c>
      <c r="ET283" s="845">
        <f t="shared" si="203"/>
        <v>0</v>
      </c>
      <c r="EU283" s="845">
        <f t="shared" si="203"/>
        <v>0</v>
      </c>
      <c r="EV283" s="845">
        <f t="shared" si="203"/>
        <v>0</v>
      </c>
      <c r="EW283" s="845">
        <f t="shared" si="203"/>
        <v>0</v>
      </c>
      <c r="EX283" s="845">
        <f t="shared" si="203"/>
        <v>0</v>
      </c>
      <c r="EY283" s="767">
        <f t="shared" si="203"/>
        <v>0</v>
      </c>
      <c r="EZ283" s="791">
        <f t="shared" si="203"/>
        <v>0</v>
      </c>
      <c r="FA283" s="791">
        <f t="shared" si="203"/>
        <v>0</v>
      </c>
      <c r="FB283" s="791">
        <f t="shared" si="203"/>
        <v>0</v>
      </c>
      <c r="FC283" s="791">
        <f t="shared" si="203"/>
        <v>0</v>
      </c>
      <c r="FD283" s="791">
        <f t="shared" si="203"/>
        <v>0</v>
      </c>
      <c r="FE283" s="791">
        <f t="shared" si="203"/>
        <v>0</v>
      </c>
      <c r="FF283" s="791">
        <f t="shared" si="203"/>
        <v>0</v>
      </c>
      <c r="FG283" s="791">
        <f t="shared" si="203"/>
        <v>0</v>
      </c>
      <c r="FH283" s="791">
        <f t="shared" si="203"/>
        <v>0</v>
      </c>
      <c r="FI283" s="791">
        <f t="shared" si="203"/>
        <v>0</v>
      </c>
      <c r="FJ283" s="791">
        <f t="shared" si="203"/>
        <v>0</v>
      </c>
      <c r="FK283" s="791">
        <f t="shared" si="203"/>
        <v>0</v>
      </c>
      <c r="FL283" s="791">
        <f t="shared" si="203"/>
        <v>0</v>
      </c>
    </row>
    <row r="284" spans="1:168" hidden="1" x14ac:dyDescent="0.25">
      <c r="A284" s="829"/>
      <c r="B284" s="830" t="s">
        <v>966</v>
      </c>
      <c r="C284" s="846"/>
      <c r="D284" s="856">
        <v>77</v>
      </c>
      <c r="E284" s="856">
        <v>79</v>
      </c>
      <c r="F284" s="856">
        <v>335</v>
      </c>
      <c r="G284" s="870">
        <v>2350</v>
      </c>
      <c r="H284" s="846"/>
      <c r="I284" s="869"/>
      <c r="J284" s="871"/>
      <c r="K284" s="871"/>
      <c r="L284" s="871"/>
      <c r="M284" s="871"/>
      <c r="N284" s="871"/>
      <c r="O284" s="871"/>
      <c r="P284" s="871"/>
      <c r="Q284" s="871"/>
      <c r="R284" s="871"/>
      <c r="S284" s="871"/>
      <c r="T284" s="871"/>
      <c r="U284" s="871"/>
      <c r="V284" s="871"/>
      <c r="W284" s="871"/>
      <c r="X284" s="871"/>
      <c r="Y284" s="871"/>
      <c r="Z284" s="871"/>
      <c r="AA284" s="871"/>
      <c r="AB284" s="871"/>
      <c r="AC284" s="871"/>
      <c r="AD284" s="871"/>
      <c r="AE284" s="871"/>
      <c r="AF284" s="871"/>
      <c r="AG284" s="871"/>
      <c r="AH284" s="871"/>
      <c r="AI284" s="871"/>
      <c r="AJ284" s="871"/>
      <c r="AK284" s="871"/>
      <c r="AL284" s="871"/>
      <c r="AM284" s="871"/>
      <c r="AN284" s="871"/>
      <c r="AO284" s="871"/>
      <c r="AP284" s="871"/>
      <c r="AQ284" s="871"/>
      <c r="AR284" s="871"/>
      <c r="AS284" s="871"/>
      <c r="AT284" s="871"/>
      <c r="AU284" s="871"/>
      <c r="AV284" s="871"/>
      <c r="AW284" s="871"/>
      <c r="AX284" s="871"/>
      <c r="AY284" s="871"/>
      <c r="AZ284" s="871"/>
      <c r="BA284" s="871"/>
      <c r="BB284" s="871"/>
      <c r="BC284" s="871"/>
      <c r="BD284" s="871"/>
      <c r="BE284" s="871"/>
      <c r="BF284" s="871"/>
      <c r="BG284" s="871"/>
      <c r="BH284" s="871"/>
      <c r="BI284" s="871"/>
      <c r="BJ284" s="871"/>
      <c r="BK284" s="871"/>
      <c r="BL284" s="871"/>
      <c r="BM284" s="871"/>
      <c r="BN284" s="871"/>
      <c r="BO284" s="871"/>
      <c r="BP284" s="871"/>
      <c r="BQ284" s="871"/>
      <c r="BR284" s="871"/>
      <c r="BS284" s="871"/>
      <c r="BT284" s="871"/>
      <c r="BU284" s="871"/>
      <c r="BV284" s="871"/>
      <c r="BW284" s="871"/>
      <c r="BX284" s="871"/>
      <c r="BY284" s="871"/>
      <c r="BZ284" s="871"/>
      <c r="CA284" s="871"/>
      <c r="CB284" s="871"/>
      <c r="CC284" s="871"/>
      <c r="CD284" s="871"/>
      <c r="CE284" s="871"/>
      <c r="CF284" s="871"/>
      <c r="CG284" s="871"/>
      <c r="CH284" s="871"/>
      <c r="CI284" s="871"/>
      <c r="CJ284" s="871"/>
      <c r="CK284" s="871"/>
      <c r="CL284" s="871"/>
      <c r="CM284" s="871"/>
      <c r="CN284" s="871"/>
      <c r="CO284" s="871"/>
      <c r="CP284" s="871"/>
      <c r="CQ284" s="871"/>
      <c r="CR284" s="871"/>
      <c r="CS284" s="871"/>
      <c r="CT284" s="871"/>
      <c r="CU284" s="871"/>
      <c r="CV284" s="871"/>
      <c r="CW284" s="871"/>
      <c r="CX284" s="871"/>
      <c r="CY284" s="871"/>
      <c r="CZ284" s="871"/>
      <c r="DA284" s="871"/>
      <c r="DB284" s="871"/>
      <c r="DC284" s="871"/>
      <c r="DD284" s="871"/>
      <c r="DE284" s="871"/>
      <c r="DF284" s="871"/>
      <c r="DG284" s="871"/>
      <c r="DH284" s="871"/>
      <c r="DI284" s="871"/>
      <c r="DJ284" s="871"/>
      <c r="DK284" s="871"/>
      <c r="DL284" s="871"/>
      <c r="DM284" s="871"/>
      <c r="DN284" s="871"/>
      <c r="DO284" s="871"/>
      <c r="DP284" s="871"/>
      <c r="DQ284" s="871"/>
      <c r="DR284" s="871"/>
      <c r="DS284" s="871"/>
      <c r="DT284" s="871"/>
      <c r="DU284" s="871"/>
      <c r="DV284" s="871"/>
      <c r="DW284" s="871"/>
      <c r="DX284" s="871"/>
      <c r="DY284" s="871"/>
      <c r="DZ284" s="871"/>
      <c r="EA284" s="871"/>
      <c r="EB284" s="871"/>
      <c r="EC284" s="871"/>
      <c r="ED284" s="871"/>
      <c r="EE284" s="871"/>
      <c r="EF284" s="871"/>
      <c r="EG284" s="871"/>
      <c r="EH284" s="871"/>
      <c r="EI284" s="871"/>
      <c r="EJ284" s="871"/>
      <c r="EK284" s="871"/>
      <c r="EL284" s="871"/>
      <c r="EM284" s="871"/>
      <c r="EN284" s="871"/>
      <c r="EO284" s="871"/>
      <c r="EP284" s="871"/>
      <c r="EQ284" s="871"/>
      <c r="ER284" s="871"/>
      <c r="ES284" s="871"/>
      <c r="ET284" s="871"/>
      <c r="EU284" s="871"/>
      <c r="EV284" s="871"/>
      <c r="EW284" s="871"/>
      <c r="EX284" s="871"/>
      <c r="EY284" s="873"/>
      <c r="EZ284" s="856">
        <v>1.2</v>
      </c>
      <c r="FA284" s="856">
        <v>1.4</v>
      </c>
      <c r="FB284" s="856">
        <v>60</v>
      </c>
      <c r="FC284" s="856">
        <v>700</v>
      </c>
      <c r="FD284" s="856">
        <v>10</v>
      </c>
      <c r="FE284" s="856">
        <v>1100</v>
      </c>
      <c r="FF284" s="856">
        <v>1100</v>
      </c>
      <c r="FG284" s="856">
        <v>250</v>
      </c>
      <c r="FH284" s="856">
        <v>1100</v>
      </c>
      <c r="FI284" s="856">
        <v>12</v>
      </c>
      <c r="FJ284" s="856">
        <v>10</v>
      </c>
      <c r="FK284" s="856">
        <v>0.1</v>
      </c>
      <c r="FL284" s="856">
        <v>0.02</v>
      </c>
    </row>
    <row r="285" spans="1:168" hidden="1" x14ac:dyDescent="0.25">
      <c r="A285" s="829"/>
      <c r="B285" s="830" t="s">
        <v>965</v>
      </c>
      <c r="C285" s="846"/>
      <c r="D285" s="856">
        <f>D283-D284</f>
        <v>-77</v>
      </c>
      <c r="E285" s="856">
        <f>E283-E284</f>
        <v>-79</v>
      </c>
      <c r="F285" s="856">
        <f t="shared" ref="F285:G285" si="204">F283-F284</f>
        <v>-335</v>
      </c>
      <c r="G285" s="870">
        <f t="shared" si="204"/>
        <v>-2350</v>
      </c>
      <c r="H285" s="846"/>
      <c r="I285" s="869"/>
      <c r="J285" s="857"/>
      <c r="K285" s="857"/>
      <c r="L285" s="857"/>
      <c r="M285" s="857"/>
      <c r="N285" s="857"/>
      <c r="O285" s="857"/>
      <c r="P285" s="857"/>
      <c r="Q285" s="857"/>
      <c r="R285" s="857"/>
      <c r="S285" s="857"/>
      <c r="T285" s="857"/>
      <c r="U285" s="857"/>
      <c r="V285" s="857"/>
      <c r="W285" s="857"/>
      <c r="X285" s="857"/>
      <c r="Y285" s="857"/>
      <c r="Z285" s="857"/>
      <c r="AA285" s="857"/>
      <c r="AB285" s="857"/>
      <c r="AC285" s="857"/>
      <c r="AD285" s="857"/>
      <c r="AE285" s="857"/>
      <c r="AF285" s="857"/>
      <c r="AG285" s="857"/>
      <c r="AH285" s="857"/>
      <c r="AI285" s="857"/>
      <c r="AJ285" s="857"/>
      <c r="AK285" s="857"/>
      <c r="AL285" s="857"/>
      <c r="AM285" s="857"/>
      <c r="AN285" s="857"/>
      <c r="AO285" s="857"/>
      <c r="AP285" s="857"/>
      <c r="AQ285" s="857"/>
      <c r="AR285" s="857"/>
      <c r="AS285" s="857"/>
      <c r="AT285" s="857"/>
      <c r="AU285" s="857"/>
      <c r="AV285" s="857"/>
      <c r="AW285" s="857"/>
      <c r="AX285" s="857"/>
      <c r="AY285" s="857"/>
      <c r="AZ285" s="857"/>
      <c r="BA285" s="857"/>
      <c r="BB285" s="857"/>
      <c r="BC285" s="857"/>
      <c r="BD285" s="857"/>
      <c r="BE285" s="857"/>
      <c r="BF285" s="857"/>
      <c r="BG285" s="857"/>
      <c r="BH285" s="857"/>
      <c r="BI285" s="857"/>
      <c r="BJ285" s="857"/>
      <c r="BK285" s="857"/>
      <c r="BL285" s="857"/>
      <c r="BM285" s="857"/>
      <c r="BN285" s="857"/>
      <c r="BO285" s="857"/>
      <c r="BP285" s="857"/>
      <c r="BQ285" s="857"/>
      <c r="BR285" s="857"/>
      <c r="BS285" s="857"/>
      <c r="BT285" s="857"/>
      <c r="BU285" s="857"/>
      <c r="BV285" s="857"/>
      <c r="BW285" s="857"/>
      <c r="BX285" s="857"/>
      <c r="BY285" s="857"/>
      <c r="BZ285" s="857"/>
      <c r="CA285" s="857"/>
      <c r="CB285" s="857"/>
      <c r="CC285" s="857"/>
      <c r="CD285" s="857"/>
      <c r="CE285" s="857"/>
      <c r="CF285" s="857"/>
      <c r="CG285" s="857"/>
      <c r="CH285" s="857"/>
      <c r="CI285" s="857"/>
      <c r="CJ285" s="857"/>
      <c r="CK285" s="857"/>
      <c r="CL285" s="857"/>
      <c r="CM285" s="857"/>
      <c r="CN285" s="857"/>
      <c r="CO285" s="857"/>
      <c r="CP285" s="857"/>
      <c r="CQ285" s="857"/>
      <c r="CR285" s="857"/>
      <c r="CS285" s="857"/>
      <c r="CT285" s="857"/>
      <c r="CU285" s="857"/>
      <c r="CV285" s="857"/>
      <c r="CW285" s="857"/>
      <c r="CX285" s="857"/>
      <c r="CY285" s="857"/>
      <c r="CZ285" s="857"/>
      <c r="DA285" s="857"/>
      <c r="DB285" s="857"/>
      <c r="DC285" s="857"/>
      <c r="DD285" s="857"/>
      <c r="DE285" s="857"/>
      <c r="DF285" s="857"/>
      <c r="DG285" s="857"/>
      <c r="DH285" s="857"/>
      <c r="DI285" s="857"/>
      <c r="DJ285" s="857"/>
      <c r="DK285" s="857"/>
      <c r="DL285" s="857"/>
      <c r="DM285" s="857"/>
      <c r="DN285" s="857"/>
      <c r="DO285" s="857"/>
      <c r="DP285" s="857"/>
      <c r="DQ285" s="857"/>
      <c r="DR285" s="857"/>
      <c r="DS285" s="857"/>
      <c r="DT285" s="857"/>
      <c r="DU285" s="857"/>
      <c r="DV285" s="857"/>
      <c r="DW285" s="857"/>
      <c r="DX285" s="857"/>
      <c r="DY285" s="857"/>
      <c r="DZ285" s="857"/>
      <c r="EA285" s="857"/>
      <c r="EB285" s="857"/>
      <c r="EC285" s="857"/>
      <c r="ED285" s="857"/>
      <c r="EE285" s="857"/>
      <c r="EF285" s="857"/>
      <c r="EG285" s="857"/>
      <c r="EH285" s="857"/>
      <c r="EI285" s="857"/>
      <c r="EJ285" s="857"/>
      <c r="EK285" s="857"/>
      <c r="EL285" s="857"/>
      <c r="EM285" s="857"/>
      <c r="EN285" s="857"/>
      <c r="EO285" s="857"/>
      <c r="EP285" s="857"/>
      <c r="EQ285" s="857"/>
      <c r="ER285" s="857"/>
      <c r="ES285" s="857"/>
      <c r="ET285" s="857"/>
      <c r="EU285" s="857"/>
      <c r="EV285" s="857"/>
      <c r="EW285" s="857"/>
      <c r="EX285" s="857"/>
      <c r="EY285" s="873"/>
      <c r="EZ285" s="856">
        <f t="shared" ref="EZ285:FL285" si="205">EZ283-EZ284</f>
        <v>-1.2</v>
      </c>
      <c r="FA285" s="856">
        <f t="shared" si="205"/>
        <v>-1.4</v>
      </c>
      <c r="FB285" s="856">
        <f t="shared" si="205"/>
        <v>-60</v>
      </c>
      <c r="FC285" s="856">
        <f t="shared" si="205"/>
        <v>-700</v>
      </c>
      <c r="FD285" s="856">
        <f t="shared" si="205"/>
        <v>-10</v>
      </c>
      <c r="FE285" s="856">
        <f t="shared" si="205"/>
        <v>-1100</v>
      </c>
      <c r="FF285" s="856">
        <f t="shared" si="205"/>
        <v>-1100</v>
      </c>
      <c r="FG285" s="856">
        <f t="shared" si="205"/>
        <v>-250</v>
      </c>
      <c r="FH285" s="856">
        <f t="shared" si="205"/>
        <v>-1100</v>
      </c>
      <c r="FI285" s="856">
        <f t="shared" si="205"/>
        <v>-12</v>
      </c>
      <c r="FJ285" s="856">
        <f t="shared" si="205"/>
        <v>-10</v>
      </c>
      <c r="FK285" s="856">
        <f t="shared" si="205"/>
        <v>-0.1</v>
      </c>
      <c r="FL285" s="856">
        <f t="shared" si="205"/>
        <v>-0.02</v>
      </c>
    </row>
    <row r="286" spans="1:168" hidden="1" x14ac:dyDescent="0.25">
      <c r="A286" s="557"/>
      <c r="B286" s="555" t="s">
        <v>1230</v>
      </c>
      <c r="C286" s="858"/>
      <c r="D286" s="858"/>
      <c r="E286" s="579"/>
      <c r="F286" s="579"/>
      <c r="G286" s="579"/>
      <c r="H286" s="859"/>
      <c r="I286" s="868"/>
      <c r="J286" s="860"/>
      <c r="K286" s="860"/>
      <c r="L286" s="860"/>
      <c r="M286" s="860"/>
      <c r="N286" s="860"/>
      <c r="O286" s="860"/>
      <c r="P286" s="860"/>
      <c r="Q286" s="860"/>
      <c r="R286" s="860"/>
      <c r="S286" s="860"/>
      <c r="T286" s="860"/>
      <c r="U286" s="860"/>
      <c r="V286" s="860"/>
      <c r="W286" s="860"/>
      <c r="X286" s="860"/>
      <c r="Y286" s="860"/>
      <c r="Z286" s="860"/>
      <c r="AA286" s="860"/>
      <c r="AB286" s="860"/>
      <c r="AC286" s="860"/>
      <c r="AD286" s="860"/>
      <c r="AE286" s="860"/>
      <c r="AF286" s="860"/>
      <c r="AG286" s="860"/>
      <c r="AH286" s="860"/>
      <c r="AI286" s="860"/>
      <c r="AJ286" s="860"/>
      <c r="AK286" s="860"/>
      <c r="AL286" s="860"/>
      <c r="AM286" s="860"/>
      <c r="AN286" s="860"/>
      <c r="AO286" s="860"/>
      <c r="AP286" s="860"/>
      <c r="AQ286" s="860"/>
      <c r="AR286" s="860"/>
      <c r="AS286" s="860"/>
      <c r="AT286" s="860"/>
      <c r="AU286" s="860"/>
      <c r="AV286" s="860"/>
      <c r="AW286" s="860"/>
      <c r="AX286" s="860"/>
      <c r="AY286" s="860"/>
      <c r="AZ286" s="860"/>
      <c r="BA286" s="860"/>
      <c r="BB286" s="860"/>
      <c r="BC286" s="860"/>
      <c r="BD286" s="860"/>
      <c r="BE286" s="860"/>
      <c r="BF286" s="860"/>
      <c r="BG286" s="860"/>
      <c r="BH286" s="860"/>
      <c r="BI286" s="860"/>
      <c r="BJ286" s="860"/>
      <c r="BK286" s="860"/>
      <c r="BL286" s="860"/>
      <c r="BM286" s="860"/>
      <c r="BN286" s="860"/>
      <c r="BO286" s="860"/>
      <c r="BP286" s="860"/>
      <c r="BQ286" s="860"/>
      <c r="BR286" s="860"/>
      <c r="BS286" s="860"/>
      <c r="BT286" s="860"/>
      <c r="BU286" s="860"/>
      <c r="BV286" s="860"/>
      <c r="BW286" s="860"/>
      <c r="BX286" s="860"/>
      <c r="BY286" s="860"/>
      <c r="BZ286" s="860"/>
      <c r="CA286" s="860"/>
      <c r="CB286" s="860"/>
      <c r="CC286" s="860"/>
      <c r="CD286" s="860"/>
      <c r="CE286" s="860"/>
      <c r="CF286" s="860"/>
      <c r="CG286" s="860"/>
      <c r="CH286" s="860"/>
      <c r="CI286" s="860"/>
      <c r="CJ286" s="860"/>
      <c r="CK286" s="860"/>
      <c r="CL286" s="860"/>
      <c r="CM286" s="860"/>
      <c r="CN286" s="860"/>
      <c r="CO286" s="860"/>
      <c r="CP286" s="860"/>
      <c r="CQ286" s="860"/>
      <c r="CR286" s="860"/>
      <c r="CS286" s="860"/>
      <c r="CT286" s="860"/>
      <c r="CU286" s="860"/>
      <c r="CV286" s="860"/>
      <c r="CW286" s="860"/>
      <c r="CX286" s="860"/>
      <c r="CY286" s="860"/>
      <c r="CZ286" s="860"/>
      <c r="DA286" s="860"/>
      <c r="DB286" s="860"/>
      <c r="DC286" s="860"/>
      <c r="DD286" s="860"/>
      <c r="DE286" s="860"/>
      <c r="DF286" s="860"/>
      <c r="DG286" s="860"/>
      <c r="DH286" s="860"/>
      <c r="DI286" s="860"/>
      <c r="DJ286" s="860"/>
      <c r="DK286" s="860"/>
      <c r="DL286" s="860"/>
      <c r="DM286" s="860"/>
      <c r="DN286" s="860"/>
      <c r="DO286" s="860"/>
      <c r="DP286" s="860"/>
      <c r="DQ286" s="860"/>
      <c r="DR286" s="860"/>
      <c r="DS286" s="860"/>
      <c r="DT286" s="860"/>
      <c r="DU286" s="860"/>
      <c r="DV286" s="860"/>
      <c r="DW286" s="860"/>
      <c r="DX286" s="860"/>
      <c r="DY286" s="860"/>
      <c r="DZ286" s="860"/>
      <c r="EA286" s="860"/>
      <c r="EB286" s="860"/>
      <c r="EC286" s="860"/>
      <c r="ED286" s="860"/>
      <c r="EE286" s="860"/>
      <c r="EF286" s="860"/>
      <c r="EG286" s="860"/>
      <c r="EH286" s="860"/>
      <c r="EI286" s="860"/>
      <c r="EJ286" s="860"/>
      <c r="EK286" s="860"/>
      <c r="EL286" s="860"/>
      <c r="EM286" s="860"/>
      <c r="EN286" s="860"/>
      <c r="EO286" s="860"/>
      <c r="EP286" s="860"/>
      <c r="EQ286" s="860"/>
      <c r="ER286" s="860"/>
      <c r="ES286" s="860"/>
      <c r="ET286" s="860"/>
      <c r="EU286" s="860"/>
      <c r="EV286" s="860"/>
      <c r="EW286" s="860"/>
      <c r="EX286" s="860"/>
      <c r="EY286" s="694"/>
      <c r="EZ286" s="579"/>
      <c r="FA286" s="579"/>
      <c r="FB286" s="579"/>
      <c r="FC286" s="579"/>
      <c r="FD286" s="579"/>
      <c r="FE286" s="579"/>
      <c r="FF286" s="579"/>
      <c r="FG286" s="579"/>
      <c r="FH286" s="579"/>
      <c r="FI286" s="579"/>
      <c r="FJ286" s="579"/>
      <c r="FK286" s="579"/>
      <c r="FL286" s="579"/>
    </row>
    <row r="287" spans="1:168" ht="13.95" hidden="1" customHeight="1" x14ac:dyDescent="0.25">
      <c r="A287" s="1459" t="s">
        <v>109</v>
      </c>
      <c r="B287" s="115"/>
      <c r="C287" s="116"/>
      <c r="D287" s="431"/>
      <c r="E287" s="431"/>
      <c r="F287" s="431"/>
      <c r="G287" s="116"/>
      <c r="H287" s="116"/>
      <c r="I287" s="431"/>
      <c r="J287" s="703"/>
      <c r="K287" s="703"/>
      <c r="L287" s="703"/>
      <c r="M287" s="703"/>
      <c r="N287" s="703"/>
      <c r="O287" s="703"/>
      <c r="P287" s="703"/>
      <c r="Q287" s="703"/>
      <c r="R287" s="703"/>
      <c r="S287" s="703"/>
      <c r="T287" s="703"/>
      <c r="U287" s="703"/>
      <c r="V287" s="703"/>
      <c r="W287" s="703"/>
      <c r="X287" s="703"/>
      <c r="Y287" s="703"/>
      <c r="Z287" s="703"/>
      <c r="AA287" s="703"/>
      <c r="AB287" s="703"/>
      <c r="AC287" s="703"/>
      <c r="AD287" s="703"/>
      <c r="AE287" s="703"/>
      <c r="AF287" s="703"/>
      <c r="AG287" s="703"/>
      <c r="AH287" s="703"/>
      <c r="AI287" s="703"/>
      <c r="AJ287" s="703"/>
      <c r="AK287" s="703"/>
      <c r="AL287" s="703"/>
      <c r="AM287" s="703"/>
      <c r="AN287" s="703"/>
      <c r="AO287" s="703"/>
      <c r="AP287" s="703"/>
      <c r="AQ287" s="703"/>
      <c r="AR287" s="703"/>
      <c r="AS287" s="703"/>
      <c r="AT287" s="703"/>
      <c r="AU287" s="703"/>
      <c r="AV287" s="703"/>
      <c r="AW287" s="703"/>
      <c r="AX287" s="703"/>
      <c r="AY287" s="703"/>
      <c r="AZ287" s="703"/>
      <c r="BA287" s="703"/>
      <c r="BB287" s="703"/>
      <c r="BC287" s="703"/>
      <c r="BD287" s="703"/>
      <c r="BE287" s="703"/>
      <c r="BF287" s="703"/>
      <c r="BG287" s="703"/>
      <c r="BH287" s="703"/>
      <c r="BI287" s="703"/>
      <c r="BJ287" s="703"/>
      <c r="BK287" s="703"/>
      <c r="BL287" s="703"/>
      <c r="BM287" s="703"/>
      <c r="BN287" s="703"/>
      <c r="BO287" s="703"/>
      <c r="BP287" s="703"/>
      <c r="BQ287" s="703"/>
      <c r="BR287" s="703"/>
      <c r="BS287" s="703"/>
      <c r="BT287" s="703"/>
      <c r="BU287" s="703"/>
      <c r="BV287" s="703"/>
      <c r="BW287" s="703"/>
      <c r="BX287" s="703"/>
      <c r="BY287" s="703"/>
      <c r="BZ287" s="703"/>
      <c r="CA287" s="703"/>
      <c r="CB287" s="703"/>
      <c r="CC287" s="703"/>
      <c r="CD287" s="703"/>
      <c r="CE287" s="703"/>
      <c r="CF287" s="703"/>
      <c r="CG287" s="703"/>
      <c r="CH287" s="703"/>
      <c r="CI287" s="703"/>
      <c r="CJ287" s="703"/>
      <c r="CK287" s="703"/>
      <c r="CL287" s="703"/>
      <c r="CM287" s="703"/>
      <c r="CN287" s="703"/>
      <c r="CO287" s="703"/>
      <c r="CP287" s="703"/>
      <c r="CQ287" s="703"/>
      <c r="CR287" s="703"/>
      <c r="CS287" s="703"/>
      <c r="CT287" s="703"/>
      <c r="CU287" s="703"/>
      <c r="CV287" s="703"/>
      <c r="CW287" s="703"/>
      <c r="CX287" s="703"/>
      <c r="CY287" s="703"/>
      <c r="CZ287" s="703"/>
      <c r="DA287" s="703"/>
      <c r="DB287" s="703"/>
      <c r="DC287" s="703"/>
      <c r="DD287" s="703"/>
      <c r="DE287" s="703"/>
      <c r="DF287" s="703"/>
      <c r="DG287" s="703"/>
      <c r="DH287" s="703"/>
      <c r="DI287" s="703"/>
      <c r="DJ287" s="703"/>
      <c r="DK287" s="703"/>
      <c r="DL287" s="703"/>
      <c r="DM287" s="703"/>
      <c r="DN287" s="703"/>
      <c r="DO287" s="703"/>
      <c r="DP287" s="703"/>
      <c r="DQ287" s="703"/>
      <c r="DR287" s="703"/>
      <c r="DS287" s="703"/>
      <c r="DT287" s="703"/>
      <c r="DU287" s="703"/>
      <c r="DV287" s="703"/>
      <c r="DW287" s="703"/>
      <c r="DX287" s="703"/>
      <c r="DY287" s="703"/>
      <c r="DZ287" s="703"/>
      <c r="EA287" s="703"/>
      <c r="EB287" s="703"/>
      <c r="EC287" s="703"/>
      <c r="ED287" s="703"/>
      <c r="EE287" s="703"/>
      <c r="EF287" s="703"/>
      <c r="EG287" s="703"/>
      <c r="EH287" s="703"/>
      <c r="EI287" s="703"/>
      <c r="EJ287" s="703"/>
      <c r="EK287" s="703"/>
      <c r="EL287" s="703"/>
      <c r="EM287" s="703"/>
      <c r="EN287" s="703"/>
      <c r="EO287" s="703"/>
      <c r="EP287" s="703"/>
      <c r="EQ287" s="703"/>
      <c r="ER287" s="703"/>
      <c r="ES287" s="703"/>
      <c r="ET287" s="703"/>
      <c r="EU287" s="703"/>
      <c r="EV287" s="703"/>
      <c r="EW287" s="703"/>
      <c r="EX287" s="703"/>
      <c r="EY287" s="927">
        <f>SUM(J287:EX287)</f>
        <v>0</v>
      </c>
      <c r="EZ287" s="431">
        <f>блюда!EZ192</f>
        <v>0</v>
      </c>
      <c r="FA287" s="431">
        <f>блюда!FA192</f>
        <v>0</v>
      </c>
      <c r="FB287" s="431">
        <f>блюда!FB192</f>
        <v>0</v>
      </c>
      <c r="FC287" s="431">
        <f>блюда!FC192</f>
        <v>0</v>
      </c>
      <c r="FD287" s="431">
        <f>блюда!FD192</f>
        <v>0</v>
      </c>
      <c r="FE287" s="431">
        <f>блюда!FE192</f>
        <v>0</v>
      </c>
      <c r="FF287" s="431">
        <f>блюда!FF192</f>
        <v>0</v>
      </c>
      <c r="FG287" s="431">
        <f>блюда!FG192</f>
        <v>0</v>
      </c>
      <c r="FH287" s="431">
        <f>блюда!FH192</f>
        <v>0</v>
      </c>
      <c r="FI287" s="431">
        <f>блюда!FI192</f>
        <v>0</v>
      </c>
      <c r="FJ287" s="431">
        <f>блюда!FJ192</f>
        <v>0</v>
      </c>
      <c r="FK287" s="431">
        <f>блюда!FK192</f>
        <v>0</v>
      </c>
      <c r="FL287" s="431">
        <f>блюда!FL192</f>
        <v>0</v>
      </c>
    </row>
    <row r="288" spans="1:168" ht="13.95" hidden="1" customHeight="1" x14ac:dyDescent="0.25">
      <c r="A288" s="1460"/>
      <c r="B288" s="115"/>
      <c r="C288" s="116"/>
      <c r="D288" s="116"/>
      <c r="E288" s="116"/>
      <c r="F288" s="116"/>
      <c r="G288" s="116"/>
      <c r="H288" s="116"/>
      <c r="I288" s="116"/>
      <c r="J288" s="703"/>
      <c r="K288" s="703"/>
      <c r="L288" s="703"/>
      <c r="M288" s="703"/>
      <c r="N288" s="703"/>
      <c r="O288" s="703"/>
      <c r="P288" s="703"/>
      <c r="Q288" s="703"/>
      <c r="R288" s="703"/>
      <c r="S288" s="703"/>
      <c r="T288" s="703"/>
      <c r="U288" s="703"/>
      <c r="V288" s="703"/>
      <c r="W288" s="703"/>
      <c r="X288" s="703"/>
      <c r="Y288" s="703"/>
      <c r="Z288" s="703"/>
      <c r="AA288" s="703"/>
      <c r="AB288" s="703"/>
      <c r="AC288" s="703"/>
      <c r="AD288" s="703"/>
      <c r="AE288" s="703"/>
      <c r="AF288" s="703"/>
      <c r="AG288" s="703"/>
      <c r="AH288" s="703"/>
      <c r="AI288" s="703"/>
      <c r="AJ288" s="703"/>
      <c r="AK288" s="703"/>
      <c r="AL288" s="703"/>
      <c r="AM288" s="703"/>
      <c r="AN288" s="703"/>
      <c r="AO288" s="703"/>
      <c r="AP288" s="703"/>
      <c r="AQ288" s="703"/>
      <c r="AR288" s="703"/>
      <c r="AS288" s="703"/>
      <c r="AT288" s="703"/>
      <c r="AU288" s="703"/>
      <c r="AV288" s="703"/>
      <c r="AW288" s="703"/>
      <c r="AX288" s="703"/>
      <c r="AY288" s="703"/>
      <c r="AZ288" s="703"/>
      <c r="BA288" s="703"/>
      <c r="BB288" s="703"/>
      <c r="BC288" s="703"/>
      <c r="BD288" s="703"/>
      <c r="BE288" s="703"/>
      <c r="BF288" s="703"/>
      <c r="BG288" s="703"/>
      <c r="BH288" s="703"/>
      <c r="BI288" s="703"/>
      <c r="BJ288" s="703"/>
      <c r="BK288" s="703"/>
      <c r="BL288" s="703"/>
      <c r="BM288" s="703"/>
      <c r="BN288" s="703"/>
      <c r="BO288" s="703"/>
      <c r="BP288" s="703"/>
      <c r="BQ288" s="703"/>
      <c r="BR288" s="703"/>
      <c r="BS288" s="703"/>
      <c r="BT288" s="703"/>
      <c r="BU288" s="703"/>
      <c r="BV288" s="703"/>
      <c r="BW288" s="703"/>
      <c r="BX288" s="703"/>
      <c r="BY288" s="703"/>
      <c r="BZ288" s="703"/>
      <c r="CA288" s="703"/>
      <c r="CB288" s="703"/>
      <c r="CC288" s="703"/>
      <c r="CD288" s="703"/>
      <c r="CE288" s="703"/>
      <c r="CF288" s="703"/>
      <c r="CG288" s="703"/>
      <c r="CH288" s="703"/>
      <c r="CI288" s="703"/>
      <c r="CJ288" s="703"/>
      <c r="CK288" s="703"/>
      <c r="CL288" s="703"/>
      <c r="CM288" s="703"/>
      <c r="CN288" s="703"/>
      <c r="CO288" s="703"/>
      <c r="CP288" s="703"/>
      <c r="CQ288" s="703"/>
      <c r="CR288" s="703"/>
      <c r="CS288" s="703"/>
      <c r="CT288" s="703"/>
      <c r="CU288" s="703"/>
      <c r="CV288" s="703"/>
      <c r="CW288" s="703"/>
      <c r="CX288" s="703"/>
      <c r="CY288" s="703"/>
      <c r="CZ288" s="703"/>
      <c r="DA288" s="703"/>
      <c r="DB288" s="703"/>
      <c r="DC288" s="703"/>
      <c r="DD288" s="703"/>
      <c r="DE288" s="703"/>
      <c r="DF288" s="703"/>
      <c r="DG288" s="703"/>
      <c r="DH288" s="703"/>
      <c r="DI288" s="703"/>
      <c r="DJ288" s="703"/>
      <c r="DK288" s="703"/>
      <c r="DL288" s="703"/>
      <c r="DM288" s="703"/>
      <c r="DN288" s="703"/>
      <c r="DO288" s="703"/>
      <c r="DP288" s="703"/>
      <c r="DQ288" s="703"/>
      <c r="DR288" s="703"/>
      <c r="DS288" s="703"/>
      <c r="DT288" s="703"/>
      <c r="DU288" s="703"/>
      <c r="DV288" s="703"/>
      <c r="DW288" s="703"/>
      <c r="DX288" s="703"/>
      <c r="DY288" s="703"/>
      <c r="DZ288" s="703"/>
      <c r="EA288" s="703"/>
      <c r="EB288" s="703"/>
      <c r="EC288" s="703"/>
      <c r="ED288" s="703"/>
      <c r="EE288" s="703"/>
      <c r="EF288" s="703"/>
      <c r="EG288" s="703"/>
      <c r="EH288" s="703"/>
      <c r="EI288" s="703"/>
      <c r="EJ288" s="703"/>
      <c r="EK288" s="703"/>
      <c r="EL288" s="703"/>
      <c r="EM288" s="703"/>
      <c r="EN288" s="703"/>
      <c r="EO288" s="703"/>
      <c r="EP288" s="703"/>
      <c r="EQ288" s="703"/>
      <c r="ER288" s="703"/>
      <c r="ES288" s="703"/>
      <c r="ET288" s="703"/>
      <c r="EU288" s="703"/>
      <c r="EV288" s="703"/>
      <c r="EW288" s="703"/>
      <c r="EX288" s="703"/>
      <c r="EY288" s="927">
        <f t="shared" ref="EY288:EY295" si="206">SUM(J288:EX288)</f>
        <v>0</v>
      </c>
      <c r="EZ288" s="431">
        <f>блюда!EZ147</f>
        <v>0</v>
      </c>
      <c r="FA288" s="431">
        <f>блюда!FA147</f>
        <v>0</v>
      </c>
      <c r="FB288" s="431">
        <f>блюда!FB147</f>
        <v>0</v>
      </c>
      <c r="FC288" s="431">
        <f>блюда!FC147</f>
        <v>0</v>
      </c>
      <c r="FD288" s="431">
        <f>блюда!FD147</f>
        <v>0</v>
      </c>
      <c r="FE288" s="431">
        <f>блюда!FE147</f>
        <v>0</v>
      </c>
      <c r="FF288" s="431">
        <f>блюда!FF147</f>
        <v>0</v>
      </c>
      <c r="FG288" s="431">
        <f>блюда!FG147</f>
        <v>0</v>
      </c>
      <c r="FH288" s="431">
        <f>блюда!FH147</f>
        <v>0</v>
      </c>
      <c r="FI288" s="431">
        <f>блюда!FI147</f>
        <v>0</v>
      </c>
      <c r="FJ288" s="431">
        <f>блюда!FJ147</f>
        <v>0</v>
      </c>
      <c r="FK288" s="431">
        <f>блюда!FK147</f>
        <v>0</v>
      </c>
      <c r="FL288" s="431">
        <f>блюда!FL147</f>
        <v>0</v>
      </c>
    </row>
    <row r="289" spans="1:168" ht="13.95" hidden="1" customHeight="1" x14ac:dyDescent="0.25">
      <c r="A289" s="1460"/>
      <c r="B289" s="115"/>
      <c r="C289" s="116"/>
      <c r="D289" s="431"/>
      <c r="E289" s="116"/>
      <c r="F289" s="116"/>
      <c r="G289" s="116"/>
      <c r="H289" s="116"/>
      <c r="I289" s="116"/>
      <c r="J289" s="703"/>
      <c r="K289" s="703"/>
      <c r="L289" s="703"/>
      <c r="M289" s="703"/>
      <c r="N289" s="703"/>
      <c r="O289" s="703"/>
      <c r="P289" s="703"/>
      <c r="Q289" s="703"/>
      <c r="R289" s="703"/>
      <c r="S289" s="703"/>
      <c r="T289" s="703"/>
      <c r="U289" s="703"/>
      <c r="V289" s="703"/>
      <c r="W289" s="703"/>
      <c r="X289" s="703"/>
      <c r="Y289" s="703"/>
      <c r="Z289" s="703"/>
      <c r="AA289" s="703"/>
      <c r="AB289" s="703"/>
      <c r="AC289" s="703"/>
      <c r="AD289" s="703"/>
      <c r="AE289" s="703"/>
      <c r="AF289" s="703"/>
      <c r="AG289" s="703"/>
      <c r="AH289" s="703"/>
      <c r="AI289" s="703"/>
      <c r="AJ289" s="703"/>
      <c r="AK289" s="703"/>
      <c r="AL289" s="703"/>
      <c r="AM289" s="703"/>
      <c r="AN289" s="703"/>
      <c r="AO289" s="703"/>
      <c r="AP289" s="703"/>
      <c r="AQ289" s="703"/>
      <c r="AR289" s="703"/>
      <c r="AS289" s="703"/>
      <c r="AT289" s="703"/>
      <c r="AU289" s="703"/>
      <c r="AV289" s="703"/>
      <c r="AW289" s="703"/>
      <c r="AX289" s="703"/>
      <c r="AY289" s="703"/>
      <c r="AZ289" s="703"/>
      <c r="BA289" s="703"/>
      <c r="BB289" s="703"/>
      <c r="BC289" s="703"/>
      <c r="BD289" s="703"/>
      <c r="BE289" s="703"/>
      <c r="BF289" s="703"/>
      <c r="BG289" s="703"/>
      <c r="BH289" s="703"/>
      <c r="BI289" s="703"/>
      <c r="BJ289" s="703"/>
      <c r="BK289" s="703"/>
      <c r="BL289" s="703"/>
      <c r="BM289" s="703"/>
      <c r="BN289" s="703"/>
      <c r="BO289" s="703"/>
      <c r="BP289" s="703"/>
      <c r="BQ289" s="703"/>
      <c r="BR289" s="703"/>
      <c r="BS289" s="703"/>
      <c r="BT289" s="703"/>
      <c r="BU289" s="703"/>
      <c r="BV289" s="703"/>
      <c r="BW289" s="703"/>
      <c r="BX289" s="703"/>
      <c r="BY289" s="703"/>
      <c r="BZ289" s="703"/>
      <c r="CA289" s="703"/>
      <c r="CB289" s="703"/>
      <c r="CC289" s="703"/>
      <c r="CD289" s="703"/>
      <c r="CE289" s="703"/>
      <c r="CF289" s="703"/>
      <c r="CG289" s="703"/>
      <c r="CH289" s="703"/>
      <c r="CI289" s="703"/>
      <c r="CJ289" s="703"/>
      <c r="CK289" s="703"/>
      <c r="CL289" s="703"/>
      <c r="CM289" s="703"/>
      <c r="CN289" s="703"/>
      <c r="CO289" s="703"/>
      <c r="CP289" s="703"/>
      <c r="CQ289" s="703"/>
      <c r="CR289" s="703"/>
      <c r="CS289" s="703"/>
      <c r="CT289" s="703"/>
      <c r="CU289" s="703"/>
      <c r="CV289" s="703"/>
      <c r="CW289" s="703"/>
      <c r="CX289" s="703"/>
      <c r="CY289" s="703"/>
      <c r="CZ289" s="703"/>
      <c r="DA289" s="703"/>
      <c r="DB289" s="703"/>
      <c r="DC289" s="703"/>
      <c r="DD289" s="703"/>
      <c r="DE289" s="703"/>
      <c r="DF289" s="703"/>
      <c r="DG289" s="703"/>
      <c r="DH289" s="703"/>
      <c r="DI289" s="703"/>
      <c r="DJ289" s="703"/>
      <c r="DK289" s="703"/>
      <c r="DL289" s="703"/>
      <c r="DM289" s="703"/>
      <c r="DN289" s="703"/>
      <c r="DO289" s="703"/>
      <c r="DP289" s="703"/>
      <c r="DQ289" s="703"/>
      <c r="DR289" s="703"/>
      <c r="DS289" s="703"/>
      <c r="DT289" s="703"/>
      <c r="DU289" s="703"/>
      <c r="DV289" s="703"/>
      <c r="DW289" s="703"/>
      <c r="DX289" s="703"/>
      <c r="DY289" s="703"/>
      <c r="DZ289" s="703"/>
      <c r="EA289" s="703"/>
      <c r="EB289" s="703"/>
      <c r="EC289" s="703"/>
      <c r="ED289" s="703"/>
      <c r="EE289" s="703"/>
      <c r="EF289" s="703"/>
      <c r="EG289" s="703"/>
      <c r="EH289" s="703"/>
      <c r="EI289" s="703"/>
      <c r="EJ289" s="703"/>
      <c r="EK289" s="703"/>
      <c r="EL289" s="703"/>
      <c r="EM289" s="703"/>
      <c r="EN289" s="703"/>
      <c r="EO289" s="703"/>
      <c r="EP289" s="703"/>
      <c r="EQ289" s="703"/>
      <c r="ER289" s="703"/>
      <c r="ES289" s="703"/>
      <c r="ET289" s="703"/>
      <c r="EU289" s="703"/>
      <c r="EV289" s="703"/>
      <c r="EW289" s="703"/>
      <c r="EX289" s="703"/>
      <c r="EY289" s="927">
        <f t="shared" si="206"/>
        <v>0</v>
      </c>
      <c r="EZ289" s="431">
        <f>блюда!EZ288</f>
        <v>0</v>
      </c>
      <c r="FA289" s="431">
        <f>блюда!FA288</f>
        <v>0</v>
      </c>
      <c r="FB289" s="431">
        <f>блюда!FB288</f>
        <v>0</v>
      </c>
      <c r="FC289" s="431">
        <f>блюда!FC288</f>
        <v>0</v>
      </c>
      <c r="FD289" s="431">
        <f>блюда!FD288</f>
        <v>0</v>
      </c>
      <c r="FE289" s="431">
        <f>блюда!FE288</f>
        <v>0</v>
      </c>
      <c r="FF289" s="431">
        <f>блюда!FF288</f>
        <v>0</v>
      </c>
      <c r="FG289" s="431">
        <f>блюда!FG288</f>
        <v>0</v>
      </c>
      <c r="FH289" s="431">
        <f>блюда!FH288</f>
        <v>0</v>
      </c>
      <c r="FI289" s="431">
        <f>блюда!FI288</f>
        <v>0</v>
      </c>
      <c r="FJ289" s="431">
        <f>блюда!FJ288</f>
        <v>0</v>
      </c>
      <c r="FK289" s="431">
        <f>блюда!FK288</f>
        <v>0</v>
      </c>
      <c r="FL289" s="431">
        <f>блюда!FL288</f>
        <v>0</v>
      </c>
    </row>
    <row r="290" spans="1:168" ht="13.95" hidden="1" customHeight="1" x14ac:dyDescent="0.25">
      <c r="A290" s="1460"/>
      <c r="B290" s="115"/>
      <c r="C290" s="116"/>
      <c r="D290" s="431"/>
      <c r="E290" s="431"/>
      <c r="F290" s="431"/>
      <c r="G290" s="116"/>
      <c r="H290" s="116"/>
      <c r="I290" s="431"/>
      <c r="J290" s="703"/>
      <c r="K290" s="703"/>
      <c r="L290" s="703"/>
      <c r="M290" s="703"/>
      <c r="N290" s="703"/>
      <c r="O290" s="703"/>
      <c r="P290" s="703"/>
      <c r="Q290" s="703"/>
      <c r="R290" s="703"/>
      <c r="S290" s="703"/>
      <c r="T290" s="703"/>
      <c r="U290" s="703"/>
      <c r="V290" s="703"/>
      <c r="W290" s="703"/>
      <c r="X290" s="703"/>
      <c r="Y290" s="703"/>
      <c r="Z290" s="703"/>
      <c r="AA290" s="703"/>
      <c r="AB290" s="703"/>
      <c r="AC290" s="703"/>
      <c r="AD290" s="703"/>
      <c r="AE290" s="703"/>
      <c r="AF290" s="703"/>
      <c r="AG290" s="703"/>
      <c r="AH290" s="703"/>
      <c r="AI290" s="703"/>
      <c r="AJ290" s="703"/>
      <c r="AK290" s="703"/>
      <c r="AL290" s="703"/>
      <c r="AM290" s="703"/>
      <c r="AN290" s="703"/>
      <c r="AO290" s="703"/>
      <c r="AP290" s="703"/>
      <c r="AQ290" s="703"/>
      <c r="AR290" s="703"/>
      <c r="AS290" s="703"/>
      <c r="AT290" s="703"/>
      <c r="AU290" s="703"/>
      <c r="AV290" s="703"/>
      <c r="AW290" s="703"/>
      <c r="AX290" s="703"/>
      <c r="AY290" s="703"/>
      <c r="AZ290" s="703"/>
      <c r="BA290" s="703"/>
      <c r="BB290" s="703"/>
      <c r="BC290" s="703"/>
      <c r="BD290" s="703"/>
      <c r="BE290" s="703"/>
      <c r="BF290" s="703"/>
      <c r="BG290" s="703"/>
      <c r="BH290" s="703"/>
      <c r="BI290" s="703"/>
      <c r="BJ290" s="703"/>
      <c r="BK290" s="703"/>
      <c r="BL290" s="703"/>
      <c r="BM290" s="703"/>
      <c r="BN290" s="703"/>
      <c r="BO290" s="703"/>
      <c r="BP290" s="703"/>
      <c r="BQ290" s="703"/>
      <c r="BR290" s="703"/>
      <c r="BS290" s="703"/>
      <c r="BT290" s="703"/>
      <c r="BU290" s="703"/>
      <c r="BV290" s="703"/>
      <c r="BW290" s="703"/>
      <c r="BX290" s="703"/>
      <c r="BY290" s="703"/>
      <c r="BZ290" s="703"/>
      <c r="CA290" s="703"/>
      <c r="CB290" s="703"/>
      <c r="CC290" s="703"/>
      <c r="CD290" s="703"/>
      <c r="CE290" s="703"/>
      <c r="CF290" s="703"/>
      <c r="CG290" s="703"/>
      <c r="CH290" s="703"/>
      <c r="CI290" s="703"/>
      <c r="CJ290" s="703"/>
      <c r="CK290" s="703"/>
      <c r="CL290" s="703"/>
      <c r="CM290" s="703"/>
      <c r="CN290" s="703"/>
      <c r="CO290" s="703"/>
      <c r="CP290" s="703"/>
      <c r="CQ290" s="703"/>
      <c r="CR290" s="703"/>
      <c r="CS290" s="703"/>
      <c r="CT290" s="703"/>
      <c r="CU290" s="703"/>
      <c r="CV290" s="703"/>
      <c r="CW290" s="703"/>
      <c r="CX290" s="703"/>
      <c r="CY290" s="703"/>
      <c r="CZ290" s="703"/>
      <c r="DA290" s="703"/>
      <c r="DB290" s="703"/>
      <c r="DC290" s="703"/>
      <c r="DD290" s="703"/>
      <c r="DE290" s="703"/>
      <c r="DF290" s="703"/>
      <c r="DG290" s="703"/>
      <c r="DH290" s="703"/>
      <c r="DI290" s="703"/>
      <c r="DJ290" s="703"/>
      <c r="DK290" s="703"/>
      <c r="DL290" s="703"/>
      <c r="DM290" s="703"/>
      <c r="DN290" s="703"/>
      <c r="DO290" s="703"/>
      <c r="DP290" s="703"/>
      <c r="DQ290" s="703"/>
      <c r="DR290" s="703"/>
      <c r="DS290" s="703"/>
      <c r="DT290" s="703"/>
      <c r="DU290" s="703"/>
      <c r="DV290" s="703"/>
      <c r="DW290" s="703"/>
      <c r="DX290" s="703"/>
      <c r="DY290" s="703"/>
      <c r="DZ290" s="703"/>
      <c r="EA290" s="703"/>
      <c r="EB290" s="703"/>
      <c r="EC290" s="703"/>
      <c r="ED290" s="703"/>
      <c r="EE290" s="703"/>
      <c r="EF290" s="703"/>
      <c r="EG290" s="703"/>
      <c r="EH290" s="703"/>
      <c r="EI290" s="703"/>
      <c r="EJ290" s="703"/>
      <c r="EK290" s="703"/>
      <c r="EL290" s="703"/>
      <c r="EM290" s="703"/>
      <c r="EN290" s="703"/>
      <c r="EO290" s="703"/>
      <c r="EP290" s="703"/>
      <c r="EQ290" s="703"/>
      <c r="ER290" s="703"/>
      <c r="ES290" s="703"/>
      <c r="ET290" s="703"/>
      <c r="EU290" s="703"/>
      <c r="EV290" s="703"/>
      <c r="EW290" s="703"/>
      <c r="EX290" s="703"/>
      <c r="EY290" s="927">
        <f t="shared" si="206"/>
        <v>0</v>
      </c>
      <c r="EZ290" s="431">
        <f>блюда!EZ332</f>
        <v>0</v>
      </c>
      <c r="FA290" s="431">
        <f>блюда!FA332</f>
        <v>0</v>
      </c>
      <c r="FB290" s="431">
        <f>блюда!FB332</f>
        <v>0</v>
      </c>
      <c r="FC290" s="431">
        <f>блюда!FC332</f>
        <v>0</v>
      </c>
      <c r="FD290" s="431">
        <f>блюда!FD332</f>
        <v>0</v>
      </c>
      <c r="FE290" s="431">
        <f>блюда!FE332</f>
        <v>0</v>
      </c>
      <c r="FF290" s="431">
        <f>блюда!FF332</f>
        <v>0</v>
      </c>
      <c r="FG290" s="431">
        <f>блюда!FG332</f>
        <v>0</v>
      </c>
      <c r="FH290" s="431">
        <f>блюда!FH332</f>
        <v>0</v>
      </c>
      <c r="FI290" s="431">
        <f>блюда!FI332</f>
        <v>0</v>
      </c>
      <c r="FJ290" s="431">
        <f>блюда!FJ332</f>
        <v>0</v>
      </c>
      <c r="FK290" s="431">
        <f>блюда!FK332</f>
        <v>0</v>
      </c>
      <c r="FL290" s="431">
        <f>блюда!FL332</f>
        <v>0</v>
      </c>
    </row>
    <row r="291" spans="1:168" ht="13.95" hidden="1" customHeight="1" x14ac:dyDescent="0.25">
      <c r="A291" s="1460"/>
      <c r="B291" s="115"/>
      <c r="C291" s="116"/>
      <c r="D291" s="431"/>
      <c r="E291" s="431"/>
      <c r="F291" s="431"/>
      <c r="G291" s="116"/>
      <c r="H291" s="116"/>
      <c r="I291" s="431"/>
      <c r="J291" s="473"/>
      <c r="K291" s="473"/>
      <c r="L291" s="473"/>
      <c r="M291" s="473"/>
      <c r="N291" s="473"/>
      <c r="O291" s="473"/>
      <c r="P291" s="473"/>
      <c r="Q291" s="473"/>
      <c r="R291" s="473"/>
      <c r="S291" s="473"/>
      <c r="T291" s="473"/>
      <c r="U291" s="473"/>
      <c r="V291" s="473"/>
      <c r="W291" s="473"/>
      <c r="X291" s="473"/>
      <c r="Y291" s="473"/>
      <c r="Z291" s="473"/>
      <c r="AA291" s="473"/>
      <c r="AB291" s="473"/>
      <c r="AC291" s="473"/>
      <c r="AD291" s="473"/>
      <c r="AE291" s="473"/>
      <c r="AF291" s="473"/>
      <c r="AG291" s="473"/>
      <c r="AH291" s="473"/>
      <c r="AI291" s="473"/>
      <c r="AJ291" s="473"/>
      <c r="AK291" s="473"/>
      <c r="AL291" s="473"/>
      <c r="AM291" s="473"/>
      <c r="AN291" s="473"/>
      <c r="AO291" s="473"/>
      <c r="AP291" s="473"/>
      <c r="AQ291" s="473"/>
      <c r="AR291" s="473"/>
      <c r="AS291" s="473"/>
      <c r="AT291" s="473"/>
      <c r="AU291" s="473"/>
      <c r="AV291" s="473"/>
      <c r="AW291" s="473"/>
      <c r="AX291" s="473"/>
      <c r="AY291" s="473"/>
      <c r="AZ291" s="473"/>
      <c r="BA291" s="473"/>
      <c r="BB291" s="473"/>
      <c r="BC291" s="473"/>
      <c r="BD291" s="473"/>
      <c r="BE291" s="473"/>
      <c r="BF291" s="473"/>
      <c r="BG291" s="473"/>
      <c r="BH291" s="473"/>
      <c r="BI291" s="473"/>
      <c r="BJ291" s="473"/>
      <c r="BK291" s="473"/>
      <c r="BL291" s="473"/>
      <c r="BM291" s="473"/>
      <c r="BN291" s="473"/>
      <c r="BO291" s="473"/>
      <c r="BP291" s="473"/>
      <c r="BQ291" s="473"/>
      <c r="BR291" s="473"/>
      <c r="BS291" s="473"/>
      <c r="BT291" s="473"/>
      <c r="BU291" s="473"/>
      <c r="BV291" s="473"/>
      <c r="BW291" s="473"/>
      <c r="BX291" s="473"/>
      <c r="BY291" s="473"/>
      <c r="BZ291" s="473"/>
      <c r="CA291" s="473"/>
      <c r="CB291" s="473"/>
      <c r="CC291" s="473"/>
      <c r="CD291" s="473"/>
      <c r="CE291" s="473"/>
      <c r="CF291" s="473"/>
      <c r="CG291" s="473"/>
      <c r="CH291" s="473"/>
      <c r="CI291" s="473"/>
      <c r="CJ291" s="473"/>
      <c r="CK291" s="473"/>
      <c r="CL291" s="473"/>
      <c r="CM291" s="473"/>
      <c r="CN291" s="473"/>
      <c r="CO291" s="473"/>
      <c r="CP291" s="473"/>
      <c r="CQ291" s="473"/>
      <c r="CR291" s="473"/>
      <c r="CS291" s="473"/>
      <c r="CT291" s="473"/>
      <c r="CU291" s="473"/>
      <c r="CV291" s="473"/>
      <c r="CW291" s="473"/>
      <c r="CX291" s="473"/>
      <c r="CY291" s="473"/>
      <c r="CZ291" s="473"/>
      <c r="DA291" s="473"/>
      <c r="DB291" s="473"/>
      <c r="DC291" s="473"/>
      <c r="DD291" s="473"/>
      <c r="DE291" s="473"/>
      <c r="DF291" s="473"/>
      <c r="DG291" s="473"/>
      <c r="DH291" s="473"/>
      <c r="DI291" s="473"/>
      <c r="DJ291" s="473"/>
      <c r="DK291" s="473"/>
      <c r="DL291" s="473"/>
      <c r="DM291" s="473"/>
      <c r="DN291" s="473"/>
      <c r="DO291" s="473"/>
      <c r="DP291" s="473"/>
      <c r="DQ291" s="473"/>
      <c r="DR291" s="473"/>
      <c r="DS291" s="473"/>
      <c r="DT291" s="473"/>
      <c r="DU291" s="473"/>
      <c r="DV291" s="473"/>
      <c r="DW291" s="473"/>
      <c r="DX291" s="473"/>
      <c r="DY291" s="473"/>
      <c r="DZ291" s="473"/>
      <c r="EA291" s="473"/>
      <c r="EB291" s="473"/>
      <c r="EC291" s="473"/>
      <c r="ED291" s="473"/>
      <c r="EE291" s="473"/>
      <c r="EF291" s="473"/>
      <c r="EG291" s="473"/>
      <c r="EH291" s="473"/>
      <c r="EI291" s="473"/>
      <c r="EJ291" s="473"/>
      <c r="EK291" s="473"/>
      <c r="EL291" s="473"/>
      <c r="EM291" s="473"/>
      <c r="EN291" s="473"/>
      <c r="EO291" s="473"/>
      <c r="EP291" s="473"/>
      <c r="EQ291" s="473"/>
      <c r="ER291" s="473"/>
      <c r="ES291" s="473"/>
      <c r="ET291" s="473"/>
      <c r="EU291" s="473"/>
      <c r="EV291" s="473"/>
      <c r="EW291" s="473"/>
      <c r="EX291" s="473"/>
      <c r="EY291" s="927">
        <f t="shared" si="206"/>
        <v>0</v>
      </c>
      <c r="EZ291" s="431">
        <f>блюда!EZ13</f>
        <v>0</v>
      </c>
      <c r="FA291" s="431">
        <f>блюда!FA13</f>
        <v>0</v>
      </c>
      <c r="FB291" s="431">
        <f>блюда!FB13</f>
        <v>0</v>
      </c>
      <c r="FC291" s="431">
        <f>блюда!FC13</f>
        <v>0</v>
      </c>
      <c r="FD291" s="431">
        <f>блюда!FD13</f>
        <v>0</v>
      </c>
      <c r="FE291" s="431">
        <f>блюда!FE13</f>
        <v>0</v>
      </c>
      <c r="FF291" s="431">
        <f>блюда!FF13</f>
        <v>0</v>
      </c>
      <c r="FG291" s="431">
        <f>блюда!FG13</f>
        <v>0</v>
      </c>
      <c r="FH291" s="431">
        <f>блюда!FH13</f>
        <v>0</v>
      </c>
      <c r="FI291" s="431">
        <f>блюда!FI13</f>
        <v>0</v>
      </c>
      <c r="FJ291" s="431">
        <f>блюда!FJ13</f>
        <v>0</v>
      </c>
      <c r="FK291" s="431">
        <f>блюда!FK13</f>
        <v>0</v>
      </c>
      <c r="FL291" s="431">
        <f>блюда!FL13</f>
        <v>0</v>
      </c>
    </row>
    <row r="292" spans="1:168" ht="13.95" hidden="1" customHeight="1" x14ac:dyDescent="0.25">
      <c r="A292" s="1460"/>
      <c r="B292" s="115"/>
      <c r="C292" s="116"/>
      <c r="D292" s="116"/>
      <c r="E292" s="116"/>
      <c r="F292" s="116"/>
      <c r="G292" s="116"/>
      <c r="H292" s="116"/>
      <c r="I292" s="116"/>
      <c r="J292" s="473"/>
      <c r="K292" s="473"/>
      <c r="L292" s="473"/>
      <c r="M292" s="473"/>
      <c r="N292" s="473"/>
      <c r="O292" s="473"/>
      <c r="P292" s="473"/>
      <c r="Q292" s="473"/>
      <c r="R292" s="473"/>
      <c r="S292" s="473"/>
      <c r="T292" s="473"/>
      <c r="U292" s="473"/>
      <c r="V292" s="473"/>
      <c r="W292" s="473"/>
      <c r="X292" s="473"/>
      <c r="Y292" s="473"/>
      <c r="Z292" s="473"/>
      <c r="AA292" s="473"/>
      <c r="AB292" s="473"/>
      <c r="AC292" s="473"/>
      <c r="AD292" s="473"/>
      <c r="AE292" s="473"/>
      <c r="AF292" s="473"/>
      <c r="AG292" s="473"/>
      <c r="AH292" s="473"/>
      <c r="AI292" s="473"/>
      <c r="AJ292" s="473"/>
      <c r="AK292" s="473"/>
      <c r="AL292" s="473"/>
      <c r="AM292" s="473"/>
      <c r="AN292" s="473"/>
      <c r="AO292" s="473"/>
      <c r="AP292" s="473"/>
      <c r="AQ292" s="473"/>
      <c r="AR292" s="473"/>
      <c r="AS292" s="473"/>
      <c r="AT292" s="473"/>
      <c r="AU292" s="473"/>
      <c r="AV292" s="473"/>
      <c r="AW292" s="473"/>
      <c r="AX292" s="473"/>
      <c r="AY292" s="473"/>
      <c r="AZ292" s="473"/>
      <c r="BA292" s="473"/>
      <c r="BB292" s="473"/>
      <c r="BC292" s="473"/>
      <c r="BD292" s="473"/>
      <c r="BE292" s="473"/>
      <c r="BF292" s="473"/>
      <c r="BG292" s="473"/>
      <c r="BH292" s="473"/>
      <c r="BI292" s="473"/>
      <c r="BJ292" s="473"/>
      <c r="BK292" s="473"/>
      <c r="BL292" s="473"/>
      <c r="BM292" s="473"/>
      <c r="BN292" s="473"/>
      <c r="BO292" s="473"/>
      <c r="BP292" s="473"/>
      <c r="BQ292" s="473"/>
      <c r="BR292" s="473"/>
      <c r="BS292" s="473"/>
      <c r="BT292" s="473"/>
      <c r="BU292" s="473"/>
      <c r="BV292" s="473"/>
      <c r="BW292" s="473"/>
      <c r="BX292" s="473"/>
      <c r="BY292" s="473"/>
      <c r="BZ292" s="473"/>
      <c r="CA292" s="473"/>
      <c r="CB292" s="473"/>
      <c r="CC292" s="473"/>
      <c r="CD292" s="473"/>
      <c r="CE292" s="473"/>
      <c r="CF292" s="473"/>
      <c r="CG292" s="473"/>
      <c r="CH292" s="473"/>
      <c r="CI292" s="473"/>
      <c r="CJ292" s="473"/>
      <c r="CK292" s="473"/>
      <c r="CL292" s="473"/>
      <c r="CM292" s="473"/>
      <c r="CN292" s="473"/>
      <c r="CO292" s="473"/>
      <c r="CP292" s="473"/>
      <c r="CQ292" s="473"/>
      <c r="CR292" s="473"/>
      <c r="CS292" s="473"/>
      <c r="CT292" s="473"/>
      <c r="CU292" s="473"/>
      <c r="CV292" s="473"/>
      <c r="CW292" s="473"/>
      <c r="CX292" s="473"/>
      <c r="CY292" s="473"/>
      <c r="CZ292" s="473"/>
      <c r="DA292" s="473"/>
      <c r="DB292" s="473"/>
      <c r="DC292" s="473"/>
      <c r="DD292" s="473"/>
      <c r="DE292" s="473"/>
      <c r="DF292" s="473"/>
      <c r="DG292" s="473"/>
      <c r="DH292" s="473"/>
      <c r="DI292" s="473"/>
      <c r="DJ292" s="473"/>
      <c r="DK292" s="473"/>
      <c r="DL292" s="473"/>
      <c r="DM292" s="473"/>
      <c r="DN292" s="473"/>
      <c r="DO292" s="473"/>
      <c r="DP292" s="473"/>
      <c r="DQ292" s="473"/>
      <c r="DR292" s="473"/>
      <c r="DS292" s="473"/>
      <c r="DT292" s="473"/>
      <c r="DU292" s="473"/>
      <c r="DV292" s="473"/>
      <c r="DW292" s="473"/>
      <c r="DX292" s="473"/>
      <c r="DY292" s="473"/>
      <c r="DZ292" s="473"/>
      <c r="EA292" s="473"/>
      <c r="EB292" s="473"/>
      <c r="EC292" s="473"/>
      <c r="ED292" s="473"/>
      <c r="EE292" s="473"/>
      <c r="EF292" s="473"/>
      <c r="EG292" s="473"/>
      <c r="EH292" s="473"/>
      <c r="EI292" s="473"/>
      <c r="EJ292" s="473"/>
      <c r="EK292" s="473"/>
      <c r="EL292" s="473"/>
      <c r="EM292" s="473"/>
      <c r="EN292" s="473"/>
      <c r="EO292" s="473"/>
      <c r="EP292" s="473"/>
      <c r="EQ292" s="473"/>
      <c r="ER292" s="473"/>
      <c r="ES292" s="473"/>
      <c r="ET292" s="473"/>
      <c r="EU292" s="473"/>
      <c r="EV292" s="473"/>
      <c r="EW292" s="473"/>
      <c r="EX292" s="473"/>
      <c r="EY292" s="927">
        <f t="shared" si="206"/>
        <v>0</v>
      </c>
      <c r="EZ292" s="431">
        <f>блюда!EZ14</f>
        <v>0</v>
      </c>
      <c r="FA292" s="431">
        <f>блюда!FA14</f>
        <v>0</v>
      </c>
      <c r="FB292" s="431">
        <f>блюда!FB14</f>
        <v>0</v>
      </c>
      <c r="FC292" s="431">
        <f>блюда!FC14</f>
        <v>0</v>
      </c>
      <c r="FD292" s="431">
        <f>блюда!FD14</f>
        <v>0</v>
      </c>
      <c r="FE292" s="431">
        <f>блюда!FE14</f>
        <v>0</v>
      </c>
      <c r="FF292" s="431">
        <f>блюда!FF14</f>
        <v>0</v>
      </c>
      <c r="FG292" s="431">
        <f>блюда!FG14</f>
        <v>0</v>
      </c>
      <c r="FH292" s="431">
        <f>блюда!FH14</f>
        <v>0</v>
      </c>
      <c r="FI292" s="431">
        <f>блюда!FI14</f>
        <v>0</v>
      </c>
      <c r="FJ292" s="431">
        <f>блюда!FJ14</f>
        <v>0</v>
      </c>
      <c r="FK292" s="431">
        <f>блюда!FK14</f>
        <v>0</v>
      </c>
      <c r="FL292" s="431">
        <f>блюда!FL14</f>
        <v>0</v>
      </c>
    </row>
    <row r="293" spans="1:168" ht="13.95" hidden="1" customHeight="1" x14ac:dyDescent="0.25">
      <c r="A293" s="1460"/>
      <c r="B293" s="115"/>
      <c r="C293" s="116"/>
      <c r="D293" s="431"/>
      <c r="E293" s="431"/>
      <c r="F293" s="431"/>
      <c r="G293" s="116"/>
      <c r="H293" s="116"/>
      <c r="I293" s="431"/>
      <c r="J293" s="703"/>
      <c r="K293" s="703"/>
      <c r="L293" s="703"/>
      <c r="M293" s="703"/>
      <c r="N293" s="703"/>
      <c r="O293" s="703"/>
      <c r="P293" s="703"/>
      <c r="Q293" s="703"/>
      <c r="R293" s="703"/>
      <c r="S293" s="703"/>
      <c r="T293" s="703"/>
      <c r="U293" s="703"/>
      <c r="V293" s="703"/>
      <c r="W293" s="703"/>
      <c r="X293" s="703"/>
      <c r="Y293" s="703"/>
      <c r="Z293" s="703"/>
      <c r="AA293" s="703"/>
      <c r="AB293" s="703"/>
      <c r="AC293" s="703"/>
      <c r="AD293" s="703"/>
      <c r="AE293" s="703"/>
      <c r="AF293" s="703"/>
      <c r="AG293" s="703"/>
      <c r="AH293" s="703"/>
      <c r="AI293" s="703"/>
      <c r="AJ293" s="703"/>
      <c r="AK293" s="703"/>
      <c r="AL293" s="703"/>
      <c r="AM293" s="703"/>
      <c r="AN293" s="703"/>
      <c r="AO293" s="703"/>
      <c r="AP293" s="703"/>
      <c r="AQ293" s="703"/>
      <c r="AR293" s="703"/>
      <c r="AS293" s="703"/>
      <c r="AT293" s="703"/>
      <c r="AU293" s="703"/>
      <c r="AV293" s="703"/>
      <c r="AW293" s="703"/>
      <c r="AX293" s="703"/>
      <c r="AY293" s="703"/>
      <c r="AZ293" s="703"/>
      <c r="BA293" s="703"/>
      <c r="BB293" s="703"/>
      <c r="BC293" s="703"/>
      <c r="BD293" s="703"/>
      <c r="BE293" s="703"/>
      <c r="BF293" s="703"/>
      <c r="BG293" s="703"/>
      <c r="BH293" s="703"/>
      <c r="BI293" s="703"/>
      <c r="BJ293" s="703"/>
      <c r="BK293" s="703"/>
      <c r="BL293" s="703"/>
      <c r="BM293" s="703"/>
      <c r="BN293" s="703"/>
      <c r="BO293" s="703"/>
      <c r="BP293" s="703"/>
      <c r="BQ293" s="703"/>
      <c r="BR293" s="703"/>
      <c r="BS293" s="703"/>
      <c r="BT293" s="703"/>
      <c r="BU293" s="703"/>
      <c r="BV293" s="703"/>
      <c r="BW293" s="703"/>
      <c r="BX293" s="703"/>
      <c r="BY293" s="703"/>
      <c r="BZ293" s="703"/>
      <c r="CA293" s="703"/>
      <c r="CB293" s="703"/>
      <c r="CC293" s="703"/>
      <c r="CD293" s="703"/>
      <c r="CE293" s="703"/>
      <c r="CF293" s="703"/>
      <c r="CG293" s="703"/>
      <c r="CH293" s="703"/>
      <c r="CI293" s="703"/>
      <c r="CJ293" s="703"/>
      <c r="CK293" s="703"/>
      <c r="CL293" s="703"/>
      <c r="CM293" s="703"/>
      <c r="CN293" s="703"/>
      <c r="CO293" s="703"/>
      <c r="CP293" s="703"/>
      <c r="CQ293" s="703"/>
      <c r="CR293" s="703"/>
      <c r="CS293" s="703"/>
      <c r="CT293" s="703"/>
      <c r="CU293" s="703"/>
      <c r="CV293" s="703"/>
      <c r="CW293" s="703"/>
      <c r="CX293" s="703"/>
      <c r="CY293" s="703"/>
      <c r="CZ293" s="703"/>
      <c r="DA293" s="703"/>
      <c r="DB293" s="703"/>
      <c r="DC293" s="703"/>
      <c r="DD293" s="703"/>
      <c r="DE293" s="703"/>
      <c r="DF293" s="703"/>
      <c r="DG293" s="703"/>
      <c r="DH293" s="703"/>
      <c r="DI293" s="703"/>
      <c r="DJ293" s="703"/>
      <c r="DK293" s="703"/>
      <c r="DL293" s="703"/>
      <c r="DM293" s="703"/>
      <c r="DN293" s="703"/>
      <c r="DO293" s="703"/>
      <c r="DP293" s="703"/>
      <c r="DQ293" s="703"/>
      <c r="DR293" s="703"/>
      <c r="DS293" s="703"/>
      <c r="DT293" s="703"/>
      <c r="DU293" s="703"/>
      <c r="DV293" s="703"/>
      <c r="DW293" s="703"/>
      <c r="DX293" s="703"/>
      <c r="DY293" s="703"/>
      <c r="DZ293" s="703"/>
      <c r="EA293" s="703"/>
      <c r="EB293" s="703"/>
      <c r="EC293" s="703"/>
      <c r="ED293" s="703"/>
      <c r="EE293" s="703"/>
      <c r="EF293" s="703"/>
      <c r="EG293" s="703"/>
      <c r="EH293" s="703"/>
      <c r="EI293" s="703"/>
      <c r="EJ293" s="703"/>
      <c r="EK293" s="703"/>
      <c r="EL293" s="703"/>
      <c r="EM293" s="703"/>
      <c r="EN293" s="703"/>
      <c r="EO293" s="703"/>
      <c r="EP293" s="703"/>
      <c r="EQ293" s="703"/>
      <c r="ER293" s="703"/>
      <c r="ES293" s="703"/>
      <c r="ET293" s="703"/>
      <c r="EU293" s="703"/>
      <c r="EV293" s="703"/>
      <c r="EW293" s="703"/>
      <c r="EX293" s="703"/>
      <c r="EY293" s="927">
        <f t="shared" si="206"/>
        <v>0</v>
      </c>
      <c r="EZ293" s="431">
        <f>блюда!EZ258</f>
        <v>0</v>
      </c>
      <c r="FA293" s="431">
        <f>блюда!FA258</f>
        <v>0</v>
      </c>
      <c r="FB293" s="431">
        <f>блюда!FB258</f>
        <v>0</v>
      </c>
      <c r="FC293" s="431">
        <f>блюда!FC258</f>
        <v>0</v>
      </c>
      <c r="FD293" s="431">
        <f>блюда!FD258</f>
        <v>0</v>
      </c>
      <c r="FE293" s="431">
        <f>блюда!FE258</f>
        <v>0</v>
      </c>
      <c r="FF293" s="431">
        <f>блюда!FF258</f>
        <v>0</v>
      </c>
      <c r="FG293" s="431">
        <f>блюда!FG258</f>
        <v>0</v>
      </c>
      <c r="FH293" s="431">
        <f>блюда!FH258</f>
        <v>0</v>
      </c>
      <c r="FI293" s="431">
        <f>блюда!FI258</f>
        <v>0</v>
      </c>
      <c r="FJ293" s="431">
        <f>блюда!FJ258</f>
        <v>0</v>
      </c>
      <c r="FK293" s="431">
        <f>блюда!FK258</f>
        <v>0</v>
      </c>
      <c r="FL293" s="431">
        <f>блюда!FL258</f>
        <v>0</v>
      </c>
    </row>
    <row r="294" spans="1:168" ht="13.95" hidden="1" customHeight="1" x14ac:dyDescent="0.25">
      <c r="A294" s="1460"/>
      <c r="B294" s="576"/>
      <c r="C294" s="703"/>
      <c r="D294" s="703"/>
      <c r="E294" s="703"/>
      <c r="F294" s="703"/>
      <c r="G294" s="703"/>
      <c r="H294" s="703"/>
      <c r="I294" s="703"/>
      <c r="J294" s="473"/>
      <c r="K294" s="473"/>
      <c r="L294" s="473"/>
      <c r="M294" s="473"/>
      <c r="N294" s="473"/>
      <c r="O294" s="473"/>
      <c r="P294" s="473"/>
      <c r="Q294" s="473"/>
      <c r="R294" s="473"/>
      <c r="S294" s="473"/>
      <c r="T294" s="473"/>
      <c r="U294" s="473"/>
      <c r="V294" s="473"/>
      <c r="W294" s="473"/>
      <c r="X294" s="473"/>
      <c r="Y294" s="473"/>
      <c r="Z294" s="473"/>
      <c r="AA294" s="473"/>
      <c r="AB294" s="473"/>
      <c r="AC294" s="473"/>
      <c r="AD294" s="473"/>
      <c r="AE294" s="473"/>
      <c r="AF294" s="473"/>
      <c r="AG294" s="473"/>
      <c r="AH294" s="473"/>
      <c r="AI294" s="473"/>
      <c r="AJ294" s="473"/>
      <c r="AK294" s="473"/>
      <c r="AL294" s="473"/>
      <c r="AM294" s="473"/>
      <c r="AN294" s="473"/>
      <c r="AO294" s="473"/>
      <c r="AP294" s="473"/>
      <c r="AQ294" s="473"/>
      <c r="AR294" s="473"/>
      <c r="AS294" s="473"/>
      <c r="AT294" s="473"/>
      <c r="AU294" s="473"/>
      <c r="AV294" s="473"/>
      <c r="AW294" s="473"/>
      <c r="AX294" s="473"/>
      <c r="AY294" s="473"/>
      <c r="AZ294" s="473"/>
      <c r="BA294" s="473"/>
      <c r="BB294" s="473"/>
      <c r="BC294" s="473"/>
      <c r="BD294" s="473"/>
      <c r="BE294" s="473"/>
      <c r="BF294" s="473"/>
      <c r="BG294" s="473"/>
      <c r="BH294" s="473"/>
      <c r="BI294" s="473"/>
      <c r="BJ294" s="473"/>
      <c r="BK294" s="473"/>
      <c r="BL294" s="473"/>
      <c r="BM294" s="473"/>
      <c r="BN294" s="473"/>
      <c r="BO294" s="473"/>
      <c r="BP294" s="473"/>
      <c r="BQ294" s="473"/>
      <c r="BR294" s="473"/>
      <c r="BS294" s="473"/>
      <c r="BT294" s="473"/>
      <c r="BU294" s="473"/>
      <c r="BV294" s="473"/>
      <c r="BW294" s="473"/>
      <c r="BX294" s="473"/>
      <c r="BY294" s="473"/>
      <c r="BZ294" s="473"/>
      <c r="CA294" s="473"/>
      <c r="CB294" s="473"/>
      <c r="CC294" s="473"/>
      <c r="CD294" s="473"/>
      <c r="CE294" s="473"/>
      <c r="CF294" s="473"/>
      <c r="CG294" s="473"/>
      <c r="CH294" s="473"/>
      <c r="CI294" s="473"/>
      <c r="CJ294" s="473"/>
      <c r="CK294" s="473"/>
      <c r="CL294" s="473"/>
      <c r="CM294" s="473"/>
      <c r="CN294" s="473"/>
      <c r="CO294" s="473"/>
      <c r="CP294" s="473"/>
      <c r="CQ294" s="473"/>
      <c r="CR294" s="473"/>
      <c r="CS294" s="473"/>
      <c r="CT294" s="473"/>
      <c r="CU294" s="473"/>
      <c r="CV294" s="473"/>
      <c r="CW294" s="473"/>
      <c r="CX294" s="473"/>
      <c r="CY294" s="473"/>
      <c r="CZ294" s="473"/>
      <c r="DA294" s="473"/>
      <c r="DB294" s="473"/>
      <c r="DC294" s="473"/>
      <c r="DD294" s="473"/>
      <c r="DE294" s="473"/>
      <c r="DF294" s="473"/>
      <c r="DG294" s="473"/>
      <c r="DH294" s="473"/>
      <c r="DI294" s="473"/>
      <c r="DJ294" s="473"/>
      <c r="DK294" s="473"/>
      <c r="DL294" s="473"/>
      <c r="DM294" s="473"/>
      <c r="DN294" s="473"/>
      <c r="DO294" s="473"/>
      <c r="DP294" s="473"/>
      <c r="DQ294" s="473"/>
      <c r="DR294" s="473"/>
      <c r="DS294" s="473"/>
      <c r="DT294" s="473"/>
      <c r="DU294" s="473"/>
      <c r="DV294" s="473"/>
      <c r="DW294" s="473"/>
      <c r="DX294" s="473"/>
      <c r="DY294" s="473"/>
      <c r="DZ294" s="473"/>
      <c r="EA294" s="473"/>
      <c r="EB294" s="473"/>
      <c r="EC294" s="473"/>
      <c r="ED294" s="473"/>
      <c r="EE294" s="473"/>
      <c r="EF294" s="473"/>
      <c r="EG294" s="473"/>
      <c r="EH294" s="473"/>
      <c r="EI294" s="473"/>
      <c r="EJ294" s="473"/>
      <c r="EK294" s="473"/>
      <c r="EL294" s="473"/>
      <c r="EM294" s="473"/>
      <c r="EN294" s="473"/>
      <c r="EO294" s="473"/>
      <c r="EP294" s="473"/>
      <c r="EQ294" s="473"/>
      <c r="ER294" s="473"/>
      <c r="ES294" s="473"/>
      <c r="ET294" s="473"/>
      <c r="EU294" s="473"/>
      <c r="EV294" s="473"/>
      <c r="EW294" s="473"/>
      <c r="EX294" s="473"/>
      <c r="EY294" s="927">
        <f t="shared" si="206"/>
        <v>0</v>
      </c>
      <c r="EZ294" s="431"/>
      <c r="FA294" s="431"/>
      <c r="FB294" s="431"/>
      <c r="FC294" s="431"/>
      <c r="FD294" s="431"/>
      <c r="FE294" s="431"/>
      <c r="FF294" s="431"/>
      <c r="FG294" s="431"/>
      <c r="FH294" s="431"/>
      <c r="FI294" s="431"/>
      <c r="FJ294" s="431"/>
      <c r="FK294" s="431"/>
      <c r="FL294" s="431"/>
    </row>
    <row r="295" spans="1:168" hidden="1" x14ac:dyDescent="0.25">
      <c r="A295" s="1461"/>
      <c r="B295" s="576"/>
      <c r="C295" s="426"/>
      <c r="D295" s="431"/>
      <c r="E295" s="431"/>
      <c r="F295" s="431"/>
      <c r="G295" s="250"/>
      <c r="H295" s="704"/>
      <c r="I295" s="117"/>
      <c r="J295" s="703"/>
      <c r="K295" s="703"/>
      <c r="L295" s="703"/>
      <c r="M295" s="703"/>
      <c r="N295" s="703"/>
      <c r="O295" s="703"/>
      <c r="P295" s="703"/>
      <c r="Q295" s="703"/>
      <c r="R295" s="703"/>
      <c r="S295" s="703"/>
      <c r="T295" s="703"/>
      <c r="U295" s="703"/>
      <c r="V295" s="703"/>
      <c r="W295" s="703"/>
      <c r="X295" s="703"/>
      <c r="Y295" s="703"/>
      <c r="Z295" s="703"/>
      <c r="AA295" s="703"/>
      <c r="AB295" s="703"/>
      <c r="AC295" s="703"/>
      <c r="AD295" s="703"/>
      <c r="AE295" s="703"/>
      <c r="AF295" s="703"/>
      <c r="AG295" s="703"/>
      <c r="AH295" s="703"/>
      <c r="AI295" s="703"/>
      <c r="AJ295" s="703"/>
      <c r="AK295" s="703"/>
      <c r="AL295" s="703"/>
      <c r="AM295" s="703"/>
      <c r="AN295" s="703"/>
      <c r="AO295" s="703"/>
      <c r="AP295" s="703"/>
      <c r="AQ295" s="703"/>
      <c r="AR295" s="703"/>
      <c r="AS295" s="703"/>
      <c r="AT295" s="703"/>
      <c r="AU295" s="703"/>
      <c r="AV295" s="703"/>
      <c r="AW295" s="703"/>
      <c r="AX295" s="703"/>
      <c r="AY295" s="703"/>
      <c r="AZ295" s="703"/>
      <c r="BA295" s="703"/>
      <c r="BB295" s="703"/>
      <c r="BC295" s="703"/>
      <c r="BD295" s="703"/>
      <c r="BE295" s="703"/>
      <c r="BF295" s="703"/>
      <c r="BG295" s="703"/>
      <c r="BH295" s="703"/>
      <c r="BI295" s="703"/>
      <c r="BJ295" s="703"/>
      <c r="BK295" s="703"/>
      <c r="BL295" s="703"/>
      <c r="BM295" s="703"/>
      <c r="BN295" s="703"/>
      <c r="BO295" s="703"/>
      <c r="BP295" s="703"/>
      <c r="BQ295" s="703"/>
      <c r="BR295" s="703"/>
      <c r="BS295" s="703"/>
      <c r="BT295" s="703"/>
      <c r="BU295" s="703"/>
      <c r="BV295" s="703"/>
      <c r="BW295" s="703"/>
      <c r="BX295" s="703"/>
      <c r="BY295" s="703"/>
      <c r="BZ295" s="703"/>
      <c r="CA295" s="703"/>
      <c r="CB295" s="703"/>
      <c r="CC295" s="703"/>
      <c r="CD295" s="703"/>
      <c r="CE295" s="703"/>
      <c r="CF295" s="703"/>
      <c r="CG295" s="703"/>
      <c r="CH295" s="703"/>
      <c r="CI295" s="703"/>
      <c r="CJ295" s="703"/>
      <c r="CK295" s="703"/>
      <c r="CL295" s="703"/>
      <c r="CM295" s="703"/>
      <c r="CN295" s="703"/>
      <c r="CO295" s="703"/>
      <c r="CP295" s="703"/>
      <c r="CQ295" s="703"/>
      <c r="CR295" s="703"/>
      <c r="CS295" s="703"/>
      <c r="CT295" s="703"/>
      <c r="CU295" s="703"/>
      <c r="CV295" s="703"/>
      <c r="CW295" s="703"/>
      <c r="CX295" s="703"/>
      <c r="CY295" s="703"/>
      <c r="CZ295" s="703"/>
      <c r="DA295" s="703"/>
      <c r="DB295" s="703"/>
      <c r="DC295" s="703"/>
      <c r="DD295" s="703"/>
      <c r="DE295" s="703"/>
      <c r="DF295" s="703"/>
      <c r="DG295" s="703"/>
      <c r="DH295" s="703"/>
      <c r="DI295" s="703"/>
      <c r="DJ295" s="703"/>
      <c r="DK295" s="703"/>
      <c r="DL295" s="703"/>
      <c r="DM295" s="703"/>
      <c r="DN295" s="703"/>
      <c r="DO295" s="703"/>
      <c r="DP295" s="703"/>
      <c r="DQ295" s="703"/>
      <c r="DR295" s="703"/>
      <c r="DS295" s="703"/>
      <c r="DT295" s="703"/>
      <c r="DU295" s="703"/>
      <c r="DV295" s="703"/>
      <c r="DW295" s="703"/>
      <c r="DX295" s="703"/>
      <c r="DY295" s="703"/>
      <c r="DZ295" s="703"/>
      <c r="EA295" s="703"/>
      <c r="EB295" s="703"/>
      <c r="EC295" s="703"/>
      <c r="ED295" s="703"/>
      <c r="EE295" s="703"/>
      <c r="EF295" s="703"/>
      <c r="EG295" s="703"/>
      <c r="EH295" s="703"/>
      <c r="EI295" s="703"/>
      <c r="EJ295" s="703"/>
      <c r="EK295" s="703"/>
      <c r="EL295" s="703"/>
      <c r="EM295" s="703"/>
      <c r="EN295" s="703"/>
      <c r="EO295" s="703"/>
      <c r="EP295" s="703"/>
      <c r="EQ295" s="703"/>
      <c r="ER295" s="703"/>
      <c r="ES295" s="703"/>
      <c r="ET295" s="703"/>
      <c r="EU295" s="703"/>
      <c r="EV295" s="703"/>
      <c r="EW295" s="703"/>
      <c r="EX295" s="703"/>
      <c r="EY295" s="927">
        <f t="shared" si="206"/>
        <v>0</v>
      </c>
      <c r="EZ295" s="117"/>
      <c r="FA295" s="117"/>
      <c r="FB295" s="117"/>
      <c r="FC295" s="117"/>
      <c r="FD295" s="117"/>
      <c r="FE295" s="117"/>
      <c r="FF295" s="117"/>
      <c r="FG295" s="117"/>
      <c r="FH295" s="117"/>
      <c r="FI295" s="117"/>
      <c r="FJ295" s="117"/>
      <c r="FK295" s="117"/>
      <c r="FL295" s="117"/>
    </row>
    <row r="296" spans="1:168" hidden="1" x14ac:dyDescent="0.25">
      <c r="A296" s="411"/>
      <c r="B296" s="118" t="s">
        <v>111</v>
      </c>
      <c r="C296" s="840">
        <f>SUM(C287:C295)</f>
        <v>0</v>
      </c>
      <c r="D296" s="842">
        <f>SUM(D287:D295)</f>
        <v>0</v>
      </c>
      <c r="E296" s="842">
        <f t="shared" ref="E296:BC296" si="207">SUM(E287:E295)</f>
        <v>0</v>
      </c>
      <c r="F296" s="842">
        <f t="shared" si="207"/>
        <v>0</v>
      </c>
      <c r="G296" s="422">
        <f t="shared" si="207"/>
        <v>0</v>
      </c>
      <c r="H296" s="840"/>
      <c r="I296" s="534">
        <f t="shared" ref="I296" si="208">SUM(I287:I295)</f>
        <v>0</v>
      </c>
      <c r="J296" s="847">
        <f t="shared" si="207"/>
        <v>0</v>
      </c>
      <c r="K296" s="847">
        <f t="shared" si="207"/>
        <v>0</v>
      </c>
      <c r="L296" s="847">
        <f t="shared" si="207"/>
        <v>0</v>
      </c>
      <c r="M296" s="847">
        <f t="shared" si="207"/>
        <v>0</v>
      </c>
      <c r="N296" s="847">
        <f t="shared" si="207"/>
        <v>0</v>
      </c>
      <c r="O296" s="847">
        <f t="shared" si="207"/>
        <v>0</v>
      </c>
      <c r="P296" s="847">
        <f t="shared" si="207"/>
        <v>0</v>
      </c>
      <c r="Q296" s="847">
        <f t="shared" si="207"/>
        <v>0</v>
      </c>
      <c r="R296" s="847">
        <f t="shared" si="207"/>
        <v>0</v>
      </c>
      <c r="S296" s="847">
        <f t="shared" si="207"/>
        <v>0</v>
      </c>
      <c r="T296" s="847">
        <f t="shared" si="207"/>
        <v>0</v>
      </c>
      <c r="U296" s="847">
        <f t="shared" si="207"/>
        <v>0</v>
      </c>
      <c r="V296" s="847">
        <f t="shared" si="207"/>
        <v>0</v>
      </c>
      <c r="W296" s="847">
        <f t="shared" si="207"/>
        <v>0</v>
      </c>
      <c r="X296" s="847">
        <f t="shared" si="207"/>
        <v>0</v>
      </c>
      <c r="Y296" s="847">
        <f t="shared" si="207"/>
        <v>0</v>
      </c>
      <c r="Z296" s="847">
        <f t="shared" si="207"/>
        <v>0</v>
      </c>
      <c r="AA296" s="847">
        <f t="shared" si="207"/>
        <v>0</v>
      </c>
      <c r="AB296" s="847">
        <f t="shared" si="207"/>
        <v>0</v>
      </c>
      <c r="AC296" s="847">
        <f t="shared" si="207"/>
        <v>0</v>
      </c>
      <c r="AD296" s="847">
        <f t="shared" si="207"/>
        <v>0</v>
      </c>
      <c r="AE296" s="847">
        <f t="shared" si="207"/>
        <v>0</v>
      </c>
      <c r="AF296" s="847">
        <f t="shared" si="207"/>
        <v>0</v>
      </c>
      <c r="AG296" s="847">
        <f t="shared" si="207"/>
        <v>0</v>
      </c>
      <c r="AH296" s="847">
        <f t="shared" si="207"/>
        <v>0</v>
      </c>
      <c r="AI296" s="847">
        <f t="shared" si="207"/>
        <v>0</v>
      </c>
      <c r="AJ296" s="847">
        <f t="shared" si="207"/>
        <v>0</v>
      </c>
      <c r="AK296" s="847">
        <f t="shared" si="207"/>
        <v>0</v>
      </c>
      <c r="AL296" s="847">
        <f t="shared" si="207"/>
        <v>0</v>
      </c>
      <c r="AM296" s="847">
        <f t="shared" si="207"/>
        <v>0</v>
      </c>
      <c r="AN296" s="847">
        <f t="shared" si="207"/>
        <v>0</v>
      </c>
      <c r="AO296" s="847">
        <f t="shared" si="207"/>
        <v>0</v>
      </c>
      <c r="AP296" s="847">
        <f t="shared" si="207"/>
        <v>0</v>
      </c>
      <c r="AQ296" s="847">
        <f t="shared" si="207"/>
        <v>0</v>
      </c>
      <c r="AR296" s="847">
        <f t="shared" si="207"/>
        <v>0</v>
      </c>
      <c r="AS296" s="847">
        <f t="shared" si="207"/>
        <v>0</v>
      </c>
      <c r="AT296" s="847">
        <f t="shared" si="207"/>
        <v>0</v>
      </c>
      <c r="AU296" s="847">
        <f t="shared" si="207"/>
        <v>0</v>
      </c>
      <c r="AV296" s="847">
        <f t="shared" si="207"/>
        <v>0</v>
      </c>
      <c r="AW296" s="847">
        <f t="shared" si="207"/>
        <v>0</v>
      </c>
      <c r="AX296" s="847">
        <f t="shared" si="207"/>
        <v>0</v>
      </c>
      <c r="AY296" s="847">
        <f t="shared" si="207"/>
        <v>0</v>
      </c>
      <c r="AZ296" s="847">
        <f t="shared" si="207"/>
        <v>0</v>
      </c>
      <c r="BA296" s="847">
        <f t="shared" si="207"/>
        <v>0</v>
      </c>
      <c r="BB296" s="847">
        <f t="shared" si="207"/>
        <v>0</v>
      </c>
      <c r="BC296" s="847">
        <f t="shared" si="207"/>
        <v>0</v>
      </c>
      <c r="BD296" s="847">
        <f t="shared" ref="BD296:DO296" si="209">SUM(BD287:BD295)</f>
        <v>0</v>
      </c>
      <c r="BE296" s="847">
        <f t="shared" si="209"/>
        <v>0</v>
      </c>
      <c r="BF296" s="847">
        <f t="shared" si="209"/>
        <v>0</v>
      </c>
      <c r="BG296" s="847">
        <f t="shared" si="209"/>
        <v>0</v>
      </c>
      <c r="BH296" s="847">
        <f t="shared" si="209"/>
        <v>0</v>
      </c>
      <c r="BI296" s="847">
        <f t="shared" si="209"/>
        <v>0</v>
      </c>
      <c r="BJ296" s="847">
        <f t="shared" si="209"/>
        <v>0</v>
      </c>
      <c r="BK296" s="847">
        <f t="shared" si="209"/>
        <v>0</v>
      </c>
      <c r="BL296" s="847">
        <f t="shared" si="209"/>
        <v>0</v>
      </c>
      <c r="BM296" s="847">
        <f t="shared" si="209"/>
        <v>0</v>
      </c>
      <c r="BN296" s="847">
        <f t="shared" si="209"/>
        <v>0</v>
      </c>
      <c r="BO296" s="847">
        <f t="shared" si="209"/>
        <v>0</v>
      </c>
      <c r="BP296" s="847">
        <f t="shared" si="209"/>
        <v>0</v>
      </c>
      <c r="BQ296" s="847">
        <f t="shared" si="209"/>
        <v>0</v>
      </c>
      <c r="BR296" s="847">
        <f t="shared" si="209"/>
        <v>0</v>
      </c>
      <c r="BS296" s="847">
        <f t="shared" si="209"/>
        <v>0</v>
      </c>
      <c r="BT296" s="847">
        <f t="shared" si="209"/>
        <v>0</v>
      </c>
      <c r="BU296" s="847">
        <f t="shared" si="209"/>
        <v>0</v>
      </c>
      <c r="BV296" s="847">
        <f t="shared" si="209"/>
        <v>0</v>
      </c>
      <c r="BW296" s="847">
        <f t="shared" si="209"/>
        <v>0</v>
      </c>
      <c r="BX296" s="847">
        <f t="shared" si="209"/>
        <v>0</v>
      </c>
      <c r="BY296" s="847">
        <f t="shared" si="209"/>
        <v>0</v>
      </c>
      <c r="BZ296" s="847">
        <f t="shared" si="209"/>
        <v>0</v>
      </c>
      <c r="CA296" s="847">
        <f t="shared" si="209"/>
        <v>0</v>
      </c>
      <c r="CB296" s="847">
        <f t="shared" si="209"/>
        <v>0</v>
      </c>
      <c r="CC296" s="847">
        <f t="shared" si="209"/>
        <v>0</v>
      </c>
      <c r="CD296" s="847">
        <f t="shared" si="209"/>
        <v>0</v>
      </c>
      <c r="CE296" s="847">
        <f t="shared" si="209"/>
        <v>0</v>
      </c>
      <c r="CF296" s="847">
        <f t="shared" si="209"/>
        <v>0</v>
      </c>
      <c r="CG296" s="847">
        <f t="shared" si="209"/>
        <v>0</v>
      </c>
      <c r="CH296" s="847">
        <f t="shared" si="209"/>
        <v>0</v>
      </c>
      <c r="CI296" s="847">
        <f t="shared" si="209"/>
        <v>0</v>
      </c>
      <c r="CJ296" s="847">
        <f t="shared" si="209"/>
        <v>0</v>
      </c>
      <c r="CK296" s="847">
        <f t="shared" si="209"/>
        <v>0</v>
      </c>
      <c r="CL296" s="847">
        <f t="shared" si="209"/>
        <v>0</v>
      </c>
      <c r="CM296" s="847">
        <f t="shared" si="209"/>
        <v>0</v>
      </c>
      <c r="CN296" s="847">
        <f t="shared" si="209"/>
        <v>0</v>
      </c>
      <c r="CO296" s="847">
        <f t="shared" si="209"/>
        <v>0</v>
      </c>
      <c r="CP296" s="847">
        <f t="shared" si="209"/>
        <v>0</v>
      </c>
      <c r="CQ296" s="847">
        <f t="shared" si="209"/>
        <v>0</v>
      </c>
      <c r="CR296" s="847">
        <f t="shared" si="209"/>
        <v>0</v>
      </c>
      <c r="CS296" s="847">
        <f t="shared" si="209"/>
        <v>0</v>
      </c>
      <c r="CT296" s="847">
        <f t="shared" si="209"/>
        <v>0</v>
      </c>
      <c r="CU296" s="847">
        <f t="shared" si="209"/>
        <v>0</v>
      </c>
      <c r="CV296" s="847">
        <f t="shared" si="209"/>
        <v>0</v>
      </c>
      <c r="CW296" s="847">
        <f t="shared" si="209"/>
        <v>0</v>
      </c>
      <c r="CX296" s="847">
        <f t="shared" si="209"/>
        <v>0</v>
      </c>
      <c r="CY296" s="847">
        <f t="shared" si="209"/>
        <v>0</v>
      </c>
      <c r="CZ296" s="847">
        <f t="shared" si="209"/>
        <v>0</v>
      </c>
      <c r="DA296" s="847">
        <f t="shared" si="209"/>
        <v>0</v>
      </c>
      <c r="DB296" s="847">
        <f t="shared" si="209"/>
        <v>0</v>
      </c>
      <c r="DC296" s="847">
        <f t="shared" si="209"/>
        <v>0</v>
      </c>
      <c r="DD296" s="847">
        <f t="shared" si="209"/>
        <v>0</v>
      </c>
      <c r="DE296" s="847">
        <f t="shared" si="209"/>
        <v>0</v>
      </c>
      <c r="DF296" s="847">
        <f t="shared" si="209"/>
        <v>0</v>
      </c>
      <c r="DG296" s="847">
        <f t="shared" si="209"/>
        <v>0</v>
      </c>
      <c r="DH296" s="847">
        <f t="shared" si="209"/>
        <v>0</v>
      </c>
      <c r="DI296" s="847">
        <f t="shared" si="209"/>
        <v>0</v>
      </c>
      <c r="DJ296" s="847">
        <f t="shared" si="209"/>
        <v>0</v>
      </c>
      <c r="DK296" s="847">
        <f t="shared" si="209"/>
        <v>0</v>
      </c>
      <c r="DL296" s="847">
        <f t="shared" si="209"/>
        <v>0</v>
      </c>
      <c r="DM296" s="847">
        <f t="shared" si="209"/>
        <v>0</v>
      </c>
      <c r="DN296" s="847">
        <f t="shared" si="209"/>
        <v>0</v>
      </c>
      <c r="DO296" s="847">
        <f t="shared" si="209"/>
        <v>0</v>
      </c>
      <c r="DP296" s="847">
        <f t="shared" ref="DP296:EX296" si="210">SUM(DP287:DP295)</f>
        <v>0</v>
      </c>
      <c r="DQ296" s="847">
        <f t="shared" si="210"/>
        <v>0</v>
      </c>
      <c r="DR296" s="847">
        <f t="shared" si="210"/>
        <v>0</v>
      </c>
      <c r="DS296" s="847">
        <f t="shared" si="210"/>
        <v>0</v>
      </c>
      <c r="DT296" s="847">
        <f t="shared" si="210"/>
        <v>0</v>
      </c>
      <c r="DU296" s="847">
        <f t="shared" si="210"/>
        <v>0</v>
      </c>
      <c r="DV296" s="847">
        <f t="shared" si="210"/>
        <v>0</v>
      </c>
      <c r="DW296" s="847">
        <f t="shared" si="210"/>
        <v>0</v>
      </c>
      <c r="DX296" s="847">
        <f t="shared" si="210"/>
        <v>0</v>
      </c>
      <c r="DY296" s="847">
        <f t="shared" si="210"/>
        <v>0</v>
      </c>
      <c r="DZ296" s="847">
        <f t="shared" si="210"/>
        <v>0</v>
      </c>
      <c r="EA296" s="847">
        <f t="shared" si="210"/>
        <v>0</v>
      </c>
      <c r="EB296" s="847">
        <f t="shared" si="210"/>
        <v>0</v>
      </c>
      <c r="EC296" s="847">
        <f t="shared" si="210"/>
        <v>0</v>
      </c>
      <c r="ED296" s="847">
        <f t="shared" si="210"/>
        <v>0</v>
      </c>
      <c r="EE296" s="847">
        <f t="shared" si="210"/>
        <v>0</v>
      </c>
      <c r="EF296" s="847">
        <f t="shared" si="210"/>
        <v>0</v>
      </c>
      <c r="EG296" s="847">
        <f t="shared" si="210"/>
        <v>0</v>
      </c>
      <c r="EH296" s="847">
        <f t="shared" si="210"/>
        <v>0</v>
      </c>
      <c r="EI296" s="847">
        <f t="shared" si="210"/>
        <v>0</v>
      </c>
      <c r="EJ296" s="847">
        <f t="shared" si="210"/>
        <v>0</v>
      </c>
      <c r="EK296" s="847">
        <f t="shared" si="210"/>
        <v>0</v>
      </c>
      <c r="EL296" s="847">
        <f t="shared" si="210"/>
        <v>0</v>
      </c>
      <c r="EM296" s="847">
        <f t="shared" si="210"/>
        <v>0</v>
      </c>
      <c r="EN296" s="847">
        <f t="shared" si="210"/>
        <v>0</v>
      </c>
      <c r="EO296" s="847">
        <f t="shared" si="210"/>
        <v>0</v>
      </c>
      <c r="EP296" s="847">
        <f t="shared" si="210"/>
        <v>0</v>
      </c>
      <c r="EQ296" s="847">
        <f t="shared" si="210"/>
        <v>0</v>
      </c>
      <c r="ER296" s="847">
        <f t="shared" si="210"/>
        <v>0</v>
      </c>
      <c r="ES296" s="847">
        <f t="shared" si="210"/>
        <v>0</v>
      </c>
      <c r="ET296" s="847">
        <f t="shared" si="210"/>
        <v>0</v>
      </c>
      <c r="EU296" s="847">
        <f t="shared" si="210"/>
        <v>0</v>
      </c>
      <c r="EV296" s="847">
        <f t="shared" si="210"/>
        <v>0</v>
      </c>
      <c r="EW296" s="847">
        <f t="shared" si="210"/>
        <v>0</v>
      </c>
      <c r="EX296" s="847">
        <f t="shared" si="210"/>
        <v>0</v>
      </c>
      <c r="EY296" s="847">
        <f t="shared" ref="EY296:FL296" si="211">SUM(EY287:EY295)</f>
        <v>0</v>
      </c>
      <c r="EZ296" s="534">
        <f t="shared" si="211"/>
        <v>0</v>
      </c>
      <c r="FA296" s="534">
        <f t="shared" si="211"/>
        <v>0</v>
      </c>
      <c r="FB296" s="534">
        <f t="shared" si="211"/>
        <v>0</v>
      </c>
      <c r="FC296" s="534">
        <f t="shared" si="211"/>
        <v>0</v>
      </c>
      <c r="FD296" s="534">
        <f t="shared" si="211"/>
        <v>0</v>
      </c>
      <c r="FE296" s="534">
        <f t="shared" si="211"/>
        <v>0</v>
      </c>
      <c r="FF296" s="534">
        <f t="shared" si="211"/>
        <v>0</v>
      </c>
      <c r="FG296" s="534">
        <f t="shared" si="211"/>
        <v>0</v>
      </c>
      <c r="FH296" s="534">
        <f t="shared" si="211"/>
        <v>0</v>
      </c>
      <c r="FI296" s="534">
        <f t="shared" si="211"/>
        <v>0</v>
      </c>
      <c r="FJ296" s="534">
        <f t="shared" si="211"/>
        <v>0</v>
      </c>
      <c r="FK296" s="534">
        <f t="shared" si="211"/>
        <v>0</v>
      </c>
      <c r="FL296" s="534">
        <f t="shared" si="211"/>
        <v>0</v>
      </c>
    </row>
    <row r="297" spans="1:168" ht="13.95" hidden="1" customHeight="1" x14ac:dyDescent="0.25">
      <c r="A297" s="1459" t="s">
        <v>112</v>
      </c>
      <c r="B297" s="115"/>
      <c r="C297" s="116"/>
      <c r="D297" s="431"/>
      <c r="E297" s="431"/>
      <c r="F297" s="431"/>
      <c r="G297" s="116"/>
      <c r="H297" s="116"/>
      <c r="I297" s="431"/>
      <c r="J297" s="703"/>
      <c r="K297" s="703"/>
      <c r="L297" s="703"/>
      <c r="M297" s="703"/>
      <c r="N297" s="703"/>
      <c r="O297" s="703"/>
      <c r="P297" s="703"/>
      <c r="Q297" s="703"/>
      <c r="R297" s="703"/>
      <c r="S297" s="703"/>
      <c r="T297" s="703"/>
      <c r="U297" s="703"/>
      <c r="V297" s="703"/>
      <c r="W297" s="703"/>
      <c r="X297" s="703"/>
      <c r="Y297" s="703"/>
      <c r="Z297" s="703"/>
      <c r="AA297" s="703"/>
      <c r="AB297" s="703"/>
      <c r="AC297" s="703"/>
      <c r="AD297" s="703"/>
      <c r="AE297" s="703"/>
      <c r="AF297" s="703"/>
      <c r="AG297" s="703"/>
      <c r="AH297" s="703"/>
      <c r="AI297" s="703"/>
      <c r="AJ297" s="703"/>
      <c r="AK297" s="703"/>
      <c r="AL297" s="703"/>
      <c r="AM297" s="703"/>
      <c r="AN297" s="703"/>
      <c r="AO297" s="703"/>
      <c r="AP297" s="703"/>
      <c r="AQ297" s="703"/>
      <c r="AR297" s="703"/>
      <c r="AS297" s="703"/>
      <c r="AT297" s="703"/>
      <c r="AU297" s="703"/>
      <c r="AV297" s="703"/>
      <c r="AW297" s="703"/>
      <c r="AX297" s="703"/>
      <c r="AY297" s="703"/>
      <c r="AZ297" s="703"/>
      <c r="BA297" s="703"/>
      <c r="BB297" s="703"/>
      <c r="BC297" s="703"/>
      <c r="BD297" s="703"/>
      <c r="BE297" s="703"/>
      <c r="BF297" s="703"/>
      <c r="BG297" s="703"/>
      <c r="BH297" s="703"/>
      <c r="BI297" s="703"/>
      <c r="BJ297" s="703"/>
      <c r="BK297" s="703"/>
      <c r="BL297" s="703"/>
      <c r="BM297" s="703"/>
      <c r="BN297" s="703"/>
      <c r="BO297" s="703"/>
      <c r="BP297" s="703"/>
      <c r="BQ297" s="703"/>
      <c r="BR297" s="703"/>
      <c r="BS297" s="703"/>
      <c r="BT297" s="703"/>
      <c r="BU297" s="703"/>
      <c r="BV297" s="703"/>
      <c r="BW297" s="703"/>
      <c r="BX297" s="703"/>
      <c r="BY297" s="703"/>
      <c r="BZ297" s="703"/>
      <c r="CA297" s="703"/>
      <c r="CB297" s="703"/>
      <c r="CC297" s="703"/>
      <c r="CD297" s="703"/>
      <c r="CE297" s="703"/>
      <c r="CF297" s="703"/>
      <c r="CG297" s="703"/>
      <c r="CH297" s="703"/>
      <c r="CI297" s="703"/>
      <c r="CJ297" s="703"/>
      <c r="CK297" s="703"/>
      <c r="CL297" s="703"/>
      <c r="CM297" s="703"/>
      <c r="CN297" s="703"/>
      <c r="CO297" s="703"/>
      <c r="CP297" s="703"/>
      <c r="CQ297" s="703"/>
      <c r="CR297" s="703"/>
      <c r="CS297" s="703"/>
      <c r="CT297" s="703"/>
      <c r="CU297" s="703"/>
      <c r="CV297" s="703"/>
      <c r="CW297" s="703"/>
      <c r="CX297" s="703"/>
      <c r="CY297" s="703"/>
      <c r="CZ297" s="703"/>
      <c r="DA297" s="703"/>
      <c r="DB297" s="703"/>
      <c r="DC297" s="703"/>
      <c r="DD297" s="703"/>
      <c r="DE297" s="703"/>
      <c r="DF297" s="703"/>
      <c r="DG297" s="703"/>
      <c r="DH297" s="703"/>
      <c r="DI297" s="703"/>
      <c r="DJ297" s="703"/>
      <c r="DK297" s="703"/>
      <c r="DL297" s="703"/>
      <c r="DM297" s="703"/>
      <c r="DN297" s="703"/>
      <c r="DO297" s="703"/>
      <c r="DP297" s="703"/>
      <c r="DQ297" s="703"/>
      <c r="DR297" s="703"/>
      <c r="DS297" s="703"/>
      <c r="DT297" s="703"/>
      <c r="DU297" s="703"/>
      <c r="DV297" s="703"/>
      <c r="DW297" s="703"/>
      <c r="DX297" s="703"/>
      <c r="DY297" s="703"/>
      <c r="DZ297" s="703"/>
      <c r="EA297" s="703"/>
      <c r="EB297" s="703"/>
      <c r="EC297" s="703"/>
      <c r="ED297" s="703"/>
      <c r="EE297" s="703"/>
      <c r="EF297" s="703"/>
      <c r="EG297" s="703"/>
      <c r="EH297" s="703"/>
      <c r="EI297" s="703"/>
      <c r="EJ297" s="703"/>
      <c r="EK297" s="703"/>
      <c r="EL297" s="703"/>
      <c r="EM297" s="703"/>
      <c r="EN297" s="703"/>
      <c r="EO297" s="703"/>
      <c r="EP297" s="703"/>
      <c r="EQ297" s="703"/>
      <c r="ER297" s="703"/>
      <c r="ES297" s="703"/>
      <c r="ET297" s="703"/>
      <c r="EU297" s="703"/>
      <c r="EV297" s="703"/>
      <c r="EW297" s="703"/>
      <c r="EX297" s="703"/>
      <c r="EY297" s="927">
        <f t="shared" ref="EY297:EY311" si="212">SUM(J297:EX297)</f>
        <v>0</v>
      </c>
      <c r="EZ297" s="117"/>
      <c r="FA297" s="117"/>
      <c r="FB297" s="117"/>
      <c r="FC297" s="117"/>
      <c r="FD297" s="117"/>
      <c r="FE297" s="117"/>
      <c r="FF297" s="117"/>
      <c r="FG297" s="117"/>
      <c r="FH297" s="117"/>
      <c r="FI297" s="117"/>
      <c r="FJ297" s="117"/>
      <c r="FK297" s="117"/>
      <c r="FL297" s="117"/>
    </row>
    <row r="298" spans="1:168" ht="13.95" hidden="1" customHeight="1" x14ac:dyDescent="0.25">
      <c r="A298" s="1460"/>
      <c r="B298" s="115"/>
      <c r="C298" s="116"/>
      <c r="D298" s="431"/>
      <c r="E298" s="431"/>
      <c r="F298" s="431"/>
      <c r="G298" s="116"/>
      <c r="H298" s="116"/>
      <c r="I298" s="431"/>
      <c r="J298" s="703"/>
      <c r="K298" s="703"/>
      <c r="L298" s="703"/>
      <c r="M298" s="703"/>
      <c r="N298" s="703"/>
      <c r="O298" s="703"/>
      <c r="P298" s="703"/>
      <c r="Q298" s="703"/>
      <c r="R298" s="703"/>
      <c r="S298" s="703"/>
      <c r="T298" s="703"/>
      <c r="U298" s="703"/>
      <c r="V298" s="703"/>
      <c r="W298" s="703"/>
      <c r="X298" s="703"/>
      <c r="Y298" s="703"/>
      <c r="Z298" s="703"/>
      <c r="AA298" s="703"/>
      <c r="AB298" s="703"/>
      <c r="AC298" s="703"/>
      <c r="AD298" s="703"/>
      <c r="AE298" s="703"/>
      <c r="AF298" s="703"/>
      <c r="AG298" s="703"/>
      <c r="AH298" s="703"/>
      <c r="AI298" s="703"/>
      <c r="AJ298" s="703"/>
      <c r="AK298" s="703"/>
      <c r="AL298" s="703"/>
      <c r="AM298" s="703"/>
      <c r="AN298" s="703"/>
      <c r="AO298" s="703"/>
      <c r="AP298" s="703"/>
      <c r="AQ298" s="703"/>
      <c r="AR298" s="703"/>
      <c r="AS298" s="703"/>
      <c r="AT298" s="703"/>
      <c r="AU298" s="703"/>
      <c r="AV298" s="703"/>
      <c r="AW298" s="703"/>
      <c r="AX298" s="703"/>
      <c r="AY298" s="703"/>
      <c r="AZ298" s="703"/>
      <c r="BA298" s="703"/>
      <c r="BB298" s="703"/>
      <c r="BC298" s="703"/>
      <c r="BD298" s="703"/>
      <c r="BE298" s="703"/>
      <c r="BF298" s="703"/>
      <c r="BG298" s="703"/>
      <c r="BH298" s="703"/>
      <c r="BI298" s="703"/>
      <c r="BJ298" s="703"/>
      <c r="BK298" s="703"/>
      <c r="BL298" s="703"/>
      <c r="BM298" s="703"/>
      <c r="BN298" s="703"/>
      <c r="BO298" s="703"/>
      <c r="BP298" s="703"/>
      <c r="BQ298" s="703"/>
      <c r="BR298" s="703"/>
      <c r="BS298" s="703"/>
      <c r="BT298" s="703"/>
      <c r="BU298" s="703"/>
      <c r="BV298" s="703"/>
      <c r="BW298" s="703"/>
      <c r="BX298" s="703"/>
      <c r="BY298" s="703"/>
      <c r="BZ298" s="703"/>
      <c r="CA298" s="703"/>
      <c r="CB298" s="703"/>
      <c r="CC298" s="703"/>
      <c r="CD298" s="703"/>
      <c r="CE298" s="703"/>
      <c r="CF298" s="703"/>
      <c r="CG298" s="703"/>
      <c r="CH298" s="703"/>
      <c r="CI298" s="703"/>
      <c r="CJ298" s="703"/>
      <c r="CK298" s="703"/>
      <c r="CL298" s="703"/>
      <c r="CM298" s="703"/>
      <c r="CN298" s="703"/>
      <c r="CO298" s="703"/>
      <c r="CP298" s="703"/>
      <c r="CQ298" s="703"/>
      <c r="CR298" s="703"/>
      <c r="CS298" s="703"/>
      <c r="CT298" s="703"/>
      <c r="CU298" s="703"/>
      <c r="CV298" s="703"/>
      <c r="CW298" s="703"/>
      <c r="CX298" s="703"/>
      <c r="CY298" s="703"/>
      <c r="CZ298" s="703"/>
      <c r="DA298" s="703"/>
      <c r="DB298" s="703"/>
      <c r="DC298" s="703"/>
      <c r="DD298" s="703"/>
      <c r="DE298" s="703"/>
      <c r="DF298" s="703"/>
      <c r="DG298" s="703"/>
      <c r="DH298" s="703"/>
      <c r="DI298" s="703"/>
      <c r="DJ298" s="703"/>
      <c r="DK298" s="703"/>
      <c r="DL298" s="703"/>
      <c r="DM298" s="703"/>
      <c r="DN298" s="703"/>
      <c r="DO298" s="703"/>
      <c r="DP298" s="703"/>
      <c r="DQ298" s="703"/>
      <c r="DR298" s="703"/>
      <c r="DS298" s="703"/>
      <c r="DT298" s="703"/>
      <c r="DU298" s="703"/>
      <c r="DV298" s="703"/>
      <c r="DW298" s="703"/>
      <c r="DX298" s="703"/>
      <c r="DY298" s="703"/>
      <c r="DZ298" s="703"/>
      <c r="EA298" s="703"/>
      <c r="EB298" s="703"/>
      <c r="EC298" s="703"/>
      <c r="ED298" s="703"/>
      <c r="EE298" s="703"/>
      <c r="EF298" s="703"/>
      <c r="EG298" s="703"/>
      <c r="EH298" s="703"/>
      <c r="EI298" s="703"/>
      <c r="EJ298" s="703"/>
      <c r="EK298" s="703"/>
      <c r="EL298" s="703"/>
      <c r="EM298" s="703"/>
      <c r="EN298" s="703"/>
      <c r="EO298" s="703"/>
      <c r="EP298" s="703"/>
      <c r="EQ298" s="703"/>
      <c r="ER298" s="703"/>
      <c r="ES298" s="703"/>
      <c r="ET298" s="703"/>
      <c r="EU298" s="703"/>
      <c r="EV298" s="703"/>
      <c r="EW298" s="703"/>
      <c r="EX298" s="703"/>
      <c r="EY298" s="927">
        <f t="shared" si="212"/>
        <v>0</v>
      </c>
      <c r="EZ298" s="117"/>
      <c r="FA298" s="117"/>
      <c r="FB298" s="117"/>
      <c r="FC298" s="117"/>
      <c r="FD298" s="117"/>
      <c r="FE298" s="117"/>
      <c r="FF298" s="117"/>
      <c r="FG298" s="117"/>
      <c r="FH298" s="117"/>
      <c r="FI298" s="117"/>
      <c r="FJ298" s="117"/>
      <c r="FK298" s="117"/>
      <c r="FL298" s="117"/>
    </row>
    <row r="299" spans="1:168" ht="13.95" hidden="1" customHeight="1" x14ac:dyDescent="0.25">
      <c r="A299" s="1460"/>
      <c r="B299" s="115"/>
      <c r="C299" s="116"/>
      <c r="D299" s="431"/>
      <c r="E299" s="431"/>
      <c r="F299" s="431"/>
      <c r="G299" s="116"/>
      <c r="H299" s="116"/>
      <c r="I299" s="431"/>
      <c r="J299" s="703"/>
      <c r="K299" s="703"/>
      <c r="L299" s="703"/>
      <c r="M299" s="703"/>
      <c r="N299" s="703"/>
      <c r="O299" s="703"/>
      <c r="P299" s="703"/>
      <c r="Q299" s="703"/>
      <c r="R299" s="703"/>
      <c r="S299" s="703"/>
      <c r="T299" s="703"/>
      <c r="U299" s="703"/>
      <c r="V299" s="703"/>
      <c r="W299" s="703"/>
      <c r="X299" s="703"/>
      <c r="Y299" s="703"/>
      <c r="Z299" s="703"/>
      <c r="AA299" s="703"/>
      <c r="AB299" s="703"/>
      <c r="AC299" s="703"/>
      <c r="AD299" s="703"/>
      <c r="AE299" s="703"/>
      <c r="AF299" s="703"/>
      <c r="AG299" s="703"/>
      <c r="AH299" s="703"/>
      <c r="AI299" s="703"/>
      <c r="AJ299" s="703"/>
      <c r="AK299" s="703"/>
      <c r="AL299" s="703"/>
      <c r="AM299" s="703"/>
      <c r="AN299" s="703"/>
      <c r="AO299" s="703"/>
      <c r="AP299" s="703"/>
      <c r="AQ299" s="703"/>
      <c r="AR299" s="703"/>
      <c r="AS299" s="703"/>
      <c r="AT299" s="703"/>
      <c r="AU299" s="703"/>
      <c r="AV299" s="703"/>
      <c r="AW299" s="703"/>
      <c r="AX299" s="703"/>
      <c r="AY299" s="703"/>
      <c r="AZ299" s="703"/>
      <c r="BA299" s="703"/>
      <c r="BB299" s="703"/>
      <c r="BC299" s="703"/>
      <c r="BD299" s="703"/>
      <c r="BE299" s="703"/>
      <c r="BF299" s="703"/>
      <c r="BG299" s="703"/>
      <c r="BH299" s="703"/>
      <c r="BI299" s="703"/>
      <c r="BJ299" s="703"/>
      <c r="BK299" s="703"/>
      <c r="BL299" s="703"/>
      <c r="BM299" s="703"/>
      <c r="BN299" s="703"/>
      <c r="BO299" s="703"/>
      <c r="BP299" s="703"/>
      <c r="BQ299" s="703"/>
      <c r="BR299" s="703"/>
      <c r="BS299" s="703"/>
      <c r="BT299" s="703"/>
      <c r="BU299" s="703"/>
      <c r="BV299" s="703"/>
      <c r="BW299" s="703"/>
      <c r="BX299" s="703"/>
      <c r="BY299" s="703"/>
      <c r="BZ299" s="703"/>
      <c r="CA299" s="703"/>
      <c r="CB299" s="703"/>
      <c r="CC299" s="703"/>
      <c r="CD299" s="703"/>
      <c r="CE299" s="703"/>
      <c r="CF299" s="703"/>
      <c r="CG299" s="703"/>
      <c r="CH299" s="703"/>
      <c r="CI299" s="703"/>
      <c r="CJ299" s="703"/>
      <c r="CK299" s="703"/>
      <c r="CL299" s="703"/>
      <c r="CM299" s="703"/>
      <c r="CN299" s="703"/>
      <c r="CO299" s="703"/>
      <c r="CP299" s="703"/>
      <c r="CQ299" s="703"/>
      <c r="CR299" s="703"/>
      <c r="CS299" s="703"/>
      <c r="CT299" s="703"/>
      <c r="CU299" s="703"/>
      <c r="CV299" s="703"/>
      <c r="CW299" s="703"/>
      <c r="CX299" s="703"/>
      <c r="CY299" s="703"/>
      <c r="CZ299" s="703"/>
      <c r="DA299" s="703"/>
      <c r="DB299" s="703"/>
      <c r="DC299" s="703"/>
      <c r="DD299" s="703"/>
      <c r="DE299" s="703"/>
      <c r="DF299" s="703"/>
      <c r="DG299" s="703"/>
      <c r="DH299" s="703"/>
      <c r="DI299" s="703"/>
      <c r="DJ299" s="703"/>
      <c r="DK299" s="703"/>
      <c r="DL299" s="703"/>
      <c r="DM299" s="703"/>
      <c r="DN299" s="703"/>
      <c r="DO299" s="703"/>
      <c r="DP299" s="703"/>
      <c r="DQ299" s="703"/>
      <c r="DR299" s="703"/>
      <c r="DS299" s="703"/>
      <c r="DT299" s="703"/>
      <c r="DU299" s="703"/>
      <c r="DV299" s="703"/>
      <c r="DW299" s="703"/>
      <c r="DX299" s="703"/>
      <c r="DY299" s="703"/>
      <c r="DZ299" s="703"/>
      <c r="EA299" s="703"/>
      <c r="EB299" s="703"/>
      <c r="EC299" s="703"/>
      <c r="ED299" s="703"/>
      <c r="EE299" s="703"/>
      <c r="EF299" s="703"/>
      <c r="EG299" s="703"/>
      <c r="EH299" s="703"/>
      <c r="EI299" s="703"/>
      <c r="EJ299" s="703"/>
      <c r="EK299" s="703"/>
      <c r="EL299" s="703"/>
      <c r="EM299" s="703"/>
      <c r="EN299" s="703"/>
      <c r="EO299" s="703"/>
      <c r="EP299" s="703"/>
      <c r="EQ299" s="703"/>
      <c r="ER299" s="703"/>
      <c r="ES299" s="703"/>
      <c r="ET299" s="703"/>
      <c r="EU299" s="703"/>
      <c r="EV299" s="703"/>
      <c r="EW299" s="703"/>
      <c r="EX299" s="703"/>
      <c r="EY299" s="927">
        <f t="shared" si="212"/>
        <v>0</v>
      </c>
      <c r="EZ299" s="117"/>
      <c r="FA299" s="117"/>
      <c r="FB299" s="117"/>
      <c r="FC299" s="117"/>
      <c r="FD299" s="117"/>
      <c r="FE299" s="117"/>
      <c r="FF299" s="117"/>
      <c r="FG299" s="117"/>
      <c r="FH299" s="117"/>
      <c r="FI299" s="117"/>
      <c r="FJ299" s="117"/>
      <c r="FK299" s="117"/>
      <c r="FL299" s="117"/>
    </row>
    <row r="300" spans="1:168" ht="13.95" hidden="1" customHeight="1" x14ac:dyDescent="0.25">
      <c r="A300" s="1460"/>
      <c r="B300" s="115"/>
      <c r="C300" s="116"/>
      <c r="D300" s="431"/>
      <c r="E300" s="431"/>
      <c r="F300" s="431"/>
      <c r="G300" s="116"/>
      <c r="H300" s="116"/>
      <c r="I300" s="431"/>
      <c r="J300" s="703"/>
      <c r="K300" s="703"/>
      <c r="L300" s="703"/>
      <c r="M300" s="703"/>
      <c r="N300" s="703"/>
      <c r="O300" s="703"/>
      <c r="P300" s="703"/>
      <c r="Q300" s="703"/>
      <c r="R300" s="703"/>
      <c r="S300" s="703"/>
      <c r="T300" s="703"/>
      <c r="U300" s="703"/>
      <c r="V300" s="703"/>
      <c r="W300" s="703"/>
      <c r="X300" s="703"/>
      <c r="Y300" s="703"/>
      <c r="Z300" s="703"/>
      <c r="AA300" s="703"/>
      <c r="AB300" s="703"/>
      <c r="AC300" s="703"/>
      <c r="AD300" s="703"/>
      <c r="AE300" s="703"/>
      <c r="AF300" s="703"/>
      <c r="AG300" s="703"/>
      <c r="AH300" s="703"/>
      <c r="AI300" s="703"/>
      <c r="AJ300" s="703"/>
      <c r="AK300" s="703"/>
      <c r="AL300" s="703"/>
      <c r="AM300" s="703"/>
      <c r="AN300" s="703"/>
      <c r="AO300" s="703"/>
      <c r="AP300" s="703"/>
      <c r="AQ300" s="703"/>
      <c r="AR300" s="703"/>
      <c r="AS300" s="703"/>
      <c r="AT300" s="703"/>
      <c r="AU300" s="703"/>
      <c r="AV300" s="703"/>
      <c r="AW300" s="703"/>
      <c r="AX300" s="703"/>
      <c r="AY300" s="703"/>
      <c r="AZ300" s="703"/>
      <c r="BA300" s="703"/>
      <c r="BB300" s="703"/>
      <c r="BC300" s="703"/>
      <c r="BD300" s="703"/>
      <c r="BE300" s="703"/>
      <c r="BF300" s="703"/>
      <c r="BG300" s="703"/>
      <c r="BH300" s="703"/>
      <c r="BI300" s="703"/>
      <c r="BJ300" s="703"/>
      <c r="BK300" s="703"/>
      <c r="BL300" s="703"/>
      <c r="BM300" s="703"/>
      <c r="BN300" s="703"/>
      <c r="BO300" s="703"/>
      <c r="BP300" s="703"/>
      <c r="BQ300" s="703"/>
      <c r="BR300" s="703"/>
      <c r="BS300" s="703"/>
      <c r="BT300" s="703"/>
      <c r="BU300" s="703"/>
      <c r="BV300" s="703"/>
      <c r="BW300" s="703"/>
      <c r="BX300" s="703"/>
      <c r="BY300" s="703"/>
      <c r="BZ300" s="703"/>
      <c r="CA300" s="703"/>
      <c r="CB300" s="703"/>
      <c r="CC300" s="703"/>
      <c r="CD300" s="703"/>
      <c r="CE300" s="703"/>
      <c r="CF300" s="703"/>
      <c r="CG300" s="703"/>
      <c r="CH300" s="703"/>
      <c r="CI300" s="703"/>
      <c r="CJ300" s="703"/>
      <c r="CK300" s="703"/>
      <c r="CL300" s="703"/>
      <c r="CM300" s="703"/>
      <c r="CN300" s="703"/>
      <c r="CO300" s="703"/>
      <c r="CP300" s="703"/>
      <c r="CQ300" s="703"/>
      <c r="CR300" s="703"/>
      <c r="CS300" s="703"/>
      <c r="CT300" s="703"/>
      <c r="CU300" s="703"/>
      <c r="CV300" s="703"/>
      <c r="CW300" s="703"/>
      <c r="CX300" s="703"/>
      <c r="CY300" s="703"/>
      <c r="CZ300" s="703"/>
      <c r="DA300" s="703"/>
      <c r="DB300" s="703"/>
      <c r="DC300" s="703"/>
      <c r="DD300" s="703"/>
      <c r="DE300" s="703"/>
      <c r="DF300" s="703"/>
      <c r="DG300" s="703"/>
      <c r="DH300" s="703"/>
      <c r="DI300" s="703"/>
      <c r="DJ300" s="703"/>
      <c r="DK300" s="703"/>
      <c r="DL300" s="703"/>
      <c r="DM300" s="703"/>
      <c r="DN300" s="703"/>
      <c r="DO300" s="703"/>
      <c r="DP300" s="703"/>
      <c r="DQ300" s="703"/>
      <c r="DR300" s="703"/>
      <c r="DS300" s="703"/>
      <c r="DT300" s="703"/>
      <c r="DU300" s="703"/>
      <c r="DV300" s="703"/>
      <c r="DW300" s="703"/>
      <c r="DX300" s="703"/>
      <c r="DY300" s="703"/>
      <c r="DZ300" s="703"/>
      <c r="EA300" s="703"/>
      <c r="EB300" s="703"/>
      <c r="EC300" s="703"/>
      <c r="ED300" s="703"/>
      <c r="EE300" s="703"/>
      <c r="EF300" s="703"/>
      <c r="EG300" s="703"/>
      <c r="EH300" s="703"/>
      <c r="EI300" s="703"/>
      <c r="EJ300" s="703"/>
      <c r="EK300" s="703"/>
      <c r="EL300" s="703"/>
      <c r="EM300" s="703"/>
      <c r="EN300" s="703"/>
      <c r="EO300" s="703"/>
      <c r="EP300" s="703"/>
      <c r="EQ300" s="703"/>
      <c r="ER300" s="703"/>
      <c r="ES300" s="703"/>
      <c r="ET300" s="703"/>
      <c r="EU300" s="703"/>
      <c r="EV300" s="703"/>
      <c r="EW300" s="703"/>
      <c r="EX300" s="703"/>
      <c r="EY300" s="927">
        <f t="shared" si="212"/>
        <v>0</v>
      </c>
      <c r="EZ300" s="117"/>
      <c r="FA300" s="117"/>
      <c r="FB300" s="117"/>
      <c r="FC300" s="117"/>
      <c r="FD300" s="117"/>
      <c r="FE300" s="117"/>
      <c r="FF300" s="117"/>
      <c r="FG300" s="117"/>
      <c r="FH300" s="117"/>
      <c r="FI300" s="117"/>
      <c r="FJ300" s="117"/>
      <c r="FK300" s="117"/>
      <c r="FL300" s="117"/>
    </row>
    <row r="301" spans="1:168" ht="13.95" hidden="1" customHeight="1" x14ac:dyDescent="0.25">
      <c r="A301" s="1460"/>
      <c r="B301" s="115"/>
      <c r="C301" s="116"/>
      <c r="D301" s="431"/>
      <c r="E301" s="431"/>
      <c r="F301" s="431"/>
      <c r="G301" s="116"/>
      <c r="H301" s="116"/>
      <c r="I301" s="431"/>
      <c r="J301" s="703"/>
      <c r="K301" s="703"/>
      <c r="L301" s="703"/>
      <c r="M301" s="703"/>
      <c r="N301" s="703"/>
      <c r="O301" s="703"/>
      <c r="P301" s="703"/>
      <c r="Q301" s="703"/>
      <c r="R301" s="703"/>
      <c r="S301" s="703"/>
      <c r="T301" s="703"/>
      <c r="U301" s="703"/>
      <c r="V301" s="703"/>
      <c r="W301" s="703"/>
      <c r="X301" s="703"/>
      <c r="Y301" s="703"/>
      <c r="Z301" s="703"/>
      <c r="AA301" s="703"/>
      <c r="AB301" s="703"/>
      <c r="AC301" s="703"/>
      <c r="AD301" s="703"/>
      <c r="AE301" s="703"/>
      <c r="AF301" s="703"/>
      <c r="AG301" s="703"/>
      <c r="AH301" s="703"/>
      <c r="AI301" s="703"/>
      <c r="AJ301" s="703"/>
      <c r="AK301" s="703"/>
      <c r="AL301" s="703"/>
      <c r="AM301" s="703"/>
      <c r="AN301" s="703"/>
      <c r="AO301" s="703"/>
      <c r="AP301" s="703"/>
      <c r="AQ301" s="703"/>
      <c r="AR301" s="703"/>
      <c r="AS301" s="703"/>
      <c r="AT301" s="703"/>
      <c r="AU301" s="703"/>
      <c r="AV301" s="703"/>
      <c r="AW301" s="703"/>
      <c r="AX301" s="703"/>
      <c r="AY301" s="703"/>
      <c r="AZ301" s="703"/>
      <c r="BA301" s="703"/>
      <c r="BB301" s="703"/>
      <c r="BC301" s="703"/>
      <c r="BD301" s="703"/>
      <c r="BE301" s="703"/>
      <c r="BF301" s="703"/>
      <c r="BG301" s="703"/>
      <c r="BH301" s="703"/>
      <c r="BI301" s="703"/>
      <c r="BJ301" s="703"/>
      <c r="BK301" s="703"/>
      <c r="BL301" s="703"/>
      <c r="BM301" s="703"/>
      <c r="BN301" s="703"/>
      <c r="BO301" s="703"/>
      <c r="BP301" s="703"/>
      <c r="BQ301" s="703"/>
      <c r="BR301" s="703"/>
      <c r="BS301" s="703"/>
      <c r="BT301" s="703"/>
      <c r="BU301" s="703"/>
      <c r="BV301" s="703"/>
      <c r="BW301" s="703"/>
      <c r="BX301" s="703"/>
      <c r="BY301" s="703"/>
      <c r="BZ301" s="703"/>
      <c r="CA301" s="703"/>
      <c r="CB301" s="703"/>
      <c r="CC301" s="703"/>
      <c r="CD301" s="703"/>
      <c r="CE301" s="703"/>
      <c r="CF301" s="703"/>
      <c r="CG301" s="703"/>
      <c r="CH301" s="703"/>
      <c r="CI301" s="703"/>
      <c r="CJ301" s="703"/>
      <c r="CK301" s="703"/>
      <c r="CL301" s="703"/>
      <c r="CM301" s="703"/>
      <c r="CN301" s="703"/>
      <c r="CO301" s="703"/>
      <c r="CP301" s="703"/>
      <c r="CQ301" s="703"/>
      <c r="CR301" s="703"/>
      <c r="CS301" s="703"/>
      <c r="CT301" s="703"/>
      <c r="CU301" s="703"/>
      <c r="CV301" s="703"/>
      <c r="CW301" s="703"/>
      <c r="CX301" s="703"/>
      <c r="CY301" s="703"/>
      <c r="CZ301" s="703"/>
      <c r="DA301" s="703"/>
      <c r="DB301" s="703"/>
      <c r="DC301" s="703"/>
      <c r="DD301" s="703"/>
      <c r="DE301" s="703"/>
      <c r="DF301" s="703"/>
      <c r="DG301" s="703"/>
      <c r="DH301" s="703"/>
      <c r="DI301" s="703"/>
      <c r="DJ301" s="703"/>
      <c r="DK301" s="703"/>
      <c r="DL301" s="703"/>
      <c r="DM301" s="703"/>
      <c r="DN301" s="703"/>
      <c r="DO301" s="703"/>
      <c r="DP301" s="703"/>
      <c r="DQ301" s="703"/>
      <c r="DR301" s="703"/>
      <c r="DS301" s="703"/>
      <c r="DT301" s="703"/>
      <c r="DU301" s="703"/>
      <c r="DV301" s="703"/>
      <c r="DW301" s="703"/>
      <c r="DX301" s="703"/>
      <c r="DY301" s="703"/>
      <c r="DZ301" s="703"/>
      <c r="EA301" s="703"/>
      <c r="EB301" s="703"/>
      <c r="EC301" s="703"/>
      <c r="ED301" s="703"/>
      <c r="EE301" s="703"/>
      <c r="EF301" s="703"/>
      <c r="EG301" s="703"/>
      <c r="EH301" s="703"/>
      <c r="EI301" s="703"/>
      <c r="EJ301" s="703"/>
      <c r="EK301" s="703"/>
      <c r="EL301" s="703"/>
      <c r="EM301" s="703"/>
      <c r="EN301" s="703"/>
      <c r="EO301" s="703"/>
      <c r="EP301" s="703"/>
      <c r="EQ301" s="703"/>
      <c r="ER301" s="703"/>
      <c r="ES301" s="703"/>
      <c r="ET301" s="703"/>
      <c r="EU301" s="703"/>
      <c r="EV301" s="703"/>
      <c r="EW301" s="703"/>
      <c r="EX301" s="703"/>
      <c r="EY301" s="927">
        <f t="shared" si="212"/>
        <v>0</v>
      </c>
      <c r="EZ301" s="117"/>
      <c r="FA301" s="117"/>
      <c r="FB301" s="117"/>
      <c r="FC301" s="117"/>
      <c r="FD301" s="117"/>
      <c r="FE301" s="117"/>
      <c r="FF301" s="117"/>
      <c r="FG301" s="117"/>
      <c r="FH301" s="117"/>
      <c r="FI301" s="117"/>
      <c r="FJ301" s="117"/>
      <c r="FK301" s="117"/>
      <c r="FL301" s="117"/>
    </row>
    <row r="302" spans="1:168" ht="13.95" hidden="1" customHeight="1" x14ac:dyDescent="0.25">
      <c r="A302" s="1460"/>
      <c r="B302" s="115"/>
      <c r="C302" s="116"/>
      <c r="D302" s="431"/>
      <c r="E302" s="431"/>
      <c r="F302" s="431"/>
      <c r="G302" s="116"/>
      <c r="H302" s="116"/>
      <c r="I302" s="431"/>
      <c r="J302" s="703"/>
      <c r="K302" s="703"/>
      <c r="L302" s="703"/>
      <c r="M302" s="703"/>
      <c r="N302" s="703"/>
      <c r="O302" s="703"/>
      <c r="P302" s="703"/>
      <c r="Q302" s="703"/>
      <c r="R302" s="703"/>
      <c r="S302" s="703"/>
      <c r="T302" s="703"/>
      <c r="U302" s="703"/>
      <c r="V302" s="703"/>
      <c r="W302" s="703"/>
      <c r="X302" s="703"/>
      <c r="Y302" s="703"/>
      <c r="Z302" s="703"/>
      <c r="AA302" s="703"/>
      <c r="AB302" s="703"/>
      <c r="AC302" s="703"/>
      <c r="AD302" s="703"/>
      <c r="AE302" s="703"/>
      <c r="AF302" s="703"/>
      <c r="AG302" s="703"/>
      <c r="AH302" s="703"/>
      <c r="AI302" s="703"/>
      <c r="AJ302" s="703"/>
      <c r="AK302" s="703"/>
      <c r="AL302" s="703"/>
      <c r="AM302" s="703"/>
      <c r="AN302" s="703"/>
      <c r="AO302" s="703"/>
      <c r="AP302" s="703"/>
      <c r="AQ302" s="703"/>
      <c r="AR302" s="703"/>
      <c r="AS302" s="703"/>
      <c r="AT302" s="703"/>
      <c r="AU302" s="703"/>
      <c r="AV302" s="703"/>
      <c r="AW302" s="703"/>
      <c r="AX302" s="703"/>
      <c r="AY302" s="703"/>
      <c r="AZ302" s="703"/>
      <c r="BA302" s="703"/>
      <c r="BB302" s="703"/>
      <c r="BC302" s="703"/>
      <c r="BD302" s="703"/>
      <c r="BE302" s="703"/>
      <c r="BF302" s="703"/>
      <c r="BG302" s="703"/>
      <c r="BH302" s="703"/>
      <c r="BI302" s="703"/>
      <c r="BJ302" s="703"/>
      <c r="BK302" s="703"/>
      <c r="BL302" s="703"/>
      <c r="BM302" s="703"/>
      <c r="BN302" s="703"/>
      <c r="BO302" s="703"/>
      <c r="BP302" s="703"/>
      <c r="BQ302" s="703"/>
      <c r="BR302" s="703"/>
      <c r="BS302" s="703"/>
      <c r="BT302" s="703"/>
      <c r="BU302" s="703"/>
      <c r="BV302" s="703"/>
      <c r="BW302" s="703"/>
      <c r="BX302" s="703"/>
      <c r="BY302" s="703"/>
      <c r="BZ302" s="703"/>
      <c r="CA302" s="703"/>
      <c r="CB302" s="703"/>
      <c r="CC302" s="703"/>
      <c r="CD302" s="703"/>
      <c r="CE302" s="703"/>
      <c r="CF302" s="703"/>
      <c r="CG302" s="703"/>
      <c r="CH302" s="703"/>
      <c r="CI302" s="703"/>
      <c r="CJ302" s="703"/>
      <c r="CK302" s="703"/>
      <c r="CL302" s="703"/>
      <c r="CM302" s="703"/>
      <c r="CN302" s="703"/>
      <c r="CO302" s="703"/>
      <c r="CP302" s="703"/>
      <c r="CQ302" s="703"/>
      <c r="CR302" s="703"/>
      <c r="CS302" s="703"/>
      <c r="CT302" s="703"/>
      <c r="CU302" s="703"/>
      <c r="CV302" s="703"/>
      <c r="CW302" s="703"/>
      <c r="CX302" s="703"/>
      <c r="CY302" s="703"/>
      <c r="CZ302" s="703"/>
      <c r="DA302" s="703"/>
      <c r="DB302" s="703"/>
      <c r="DC302" s="703"/>
      <c r="DD302" s="703"/>
      <c r="DE302" s="703"/>
      <c r="DF302" s="703"/>
      <c r="DG302" s="703"/>
      <c r="DH302" s="703"/>
      <c r="DI302" s="703"/>
      <c r="DJ302" s="703"/>
      <c r="DK302" s="703"/>
      <c r="DL302" s="703"/>
      <c r="DM302" s="703"/>
      <c r="DN302" s="703"/>
      <c r="DO302" s="703"/>
      <c r="DP302" s="703"/>
      <c r="DQ302" s="703"/>
      <c r="DR302" s="703"/>
      <c r="DS302" s="703"/>
      <c r="DT302" s="703"/>
      <c r="DU302" s="703"/>
      <c r="DV302" s="703"/>
      <c r="DW302" s="703"/>
      <c r="DX302" s="703"/>
      <c r="DY302" s="703"/>
      <c r="DZ302" s="703"/>
      <c r="EA302" s="703"/>
      <c r="EB302" s="703"/>
      <c r="EC302" s="703"/>
      <c r="ED302" s="703"/>
      <c r="EE302" s="703"/>
      <c r="EF302" s="703"/>
      <c r="EG302" s="703"/>
      <c r="EH302" s="703"/>
      <c r="EI302" s="703"/>
      <c r="EJ302" s="703"/>
      <c r="EK302" s="703"/>
      <c r="EL302" s="703"/>
      <c r="EM302" s="703"/>
      <c r="EN302" s="703"/>
      <c r="EO302" s="703"/>
      <c r="EP302" s="703"/>
      <c r="EQ302" s="703"/>
      <c r="ER302" s="703"/>
      <c r="ES302" s="703"/>
      <c r="ET302" s="703"/>
      <c r="EU302" s="703"/>
      <c r="EV302" s="703"/>
      <c r="EW302" s="703"/>
      <c r="EX302" s="703"/>
      <c r="EY302" s="927">
        <f t="shared" si="212"/>
        <v>0</v>
      </c>
      <c r="EZ302" s="117"/>
      <c r="FA302" s="117"/>
      <c r="FB302" s="117"/>
      <c r="FC302" s="117"/>
      <c r="FD302" s="117"/>
      <c r="FE302" s="117"/>
      <c r="FF302" s="117"/>
      <c r="FG302" s="117"/>
      <c r="FH302" s="117"/>
      <c r="FI302" s="117"/>
      <c r="FJ302" s="117"/>
      <c r="FK302" s="117"/>
      <c r="FL302" s="117"/>
    </row>
    <row r="303" spans="1:168" ht="13.95" hidden="1" customHeight="1" x14ac:dyDescent="0.25">
      <c r="A303" s="1460"/>
      <c r="B303" s="115"/>
      <c r="C303" s="116"/>
      <c r="D303" s="431"/>
      <c r="E303" s="431"/>
      <c r="F303" s="431"/>
      <c r="G303" s="116"/>
      <c r="H303" s="116"/>
      <c r="I303" s="431"/>
      <c r="J303" s="703"/>
      <c r="K303" s="703"/>
      <c r="L303" s="703"/>
      <c r="M303" s="703"/>
      <c r="N303" s="703"/>
      <c r="O303" s="703"/>
      <c r="P303" s="703"/>
      <c r="Q303" s="703"/>
      <c r="R303" s="703"/>
      <c r="S303" s="703"/>
      <c r="T303" s="703"/>
      <c r="U303" s="703"/>
      <c r="V303" s="703"/>
      <c r="W303" s="703"/>
      <c r="X303" s="703"/>
      <c r="Y303" s="703"/>
      <c r="Z303" s="703"/>
      <c r="AA303" s="703"/>
      <c r="AB303" s="703"/>
      <c r="AC303" s="703"/>
      <c r="AD303" s="703"/>
      <c r="AE303" s="703"/>
      <c r="AF303" s="703"/>
      <c r="AG303" s="703"/>
      <c r="AH303" s="703"/>
      <c r="AI303" s="703"/>
      <c r="AJ303" s="703"/>
      <c r="AK303" s="703"/>
      <c r="AL303" s="703"/>
      <c r="AM303" s="703"/>
      <c r="AN303" s="703"/>
      <c r="AO303" s="703"/>
      <c r="AP303" s="703"/>
      <c r="AQ303" s="703"/>
      <c r="AR303" s="703"/>
      <c r="AS303" s="703"/>
      <c r="AT303" s="703"/>
      <c r="AU303" s="703"/>
      <c r="AV303" s="703"/>
      <c r="AW303" s="703"/>
      <c r="AX303" s="703"/>
      <c r="AY303" s="703"/>
      <c r="AZ303" s="703"/>
      <c r="BA303" s="703"/>
      <c r="BB303" s="703"/>
      <c r="BC303" s="703"/>
      <c r="BD303" s="703"/>
      <c r="BE303" s="703"/>
      <c r="BF303" s="703"/>
      <c r="BG303" s="703"/>
      <c r="BH303" s="703"/>
      <c r="BI303" s="703"/>
      <c r="BJ303" s="703"/>
      <c r="BK303" s="703"/>
      <c r="BL303" s="703"/>
      <c r="BM303" s="703"/>
      <c r="BN303" s="703"/>
      <c r="BO303" s="703"/>
      <c r="BP303" s="703"/>
      <c r="BQ303" s="703"/>
      <c r="BR303" s="703"/>
      <c r="BS303" s="703"/>
      <c r="BT303" s="703"/>
      <c r="BU303" s="703"/>
      <c r="BV303" s="703"/>
      <c r="BW303" s="703"/>
      <c r="BX303" s="703"/>
      <c r="BY303" s="703"/>
      <c r="BZ303" s="703"/>
      <c r="CA303" s="703"/>
      <c r="CB303" s="703"/>
      <c r="CC303" s="703"/>
      <c r="CD303" s="703"/>
      <c r="CE303" s="703"/>
      <c r="CF303" s="703"/>
      <c r="CG303" s="703"/>
      <c r="CH303" s="703"/>
      <c r="CI303" s="703"/>
      <c r="CJ303" s="703"/>
      <c r="CK303" s="703"/>
      <c r="CL303" s="703"/>
      <c r="CM303" s="703"/>
      <c r="CN303" s="703"/>
      <c r="CO303" s="703"/>
      <c r="CP303" s="703"/>
      <c r="CQ303" s="703"/>
      <c r="CR303" s="703"/>
      <c r="CS303" s="703"/>
      <c r="CT303" s="703"/>
      <c r="CU303" s="703"/>
      <c r="CV303" s="703"/>
      <c r="CW303" s="703"/>
      <c r="CX303" s="703"/>
      <c r="CY303" s="703"/>
      <c r="CZ303" s="703"/>
      <c r="DA303" s="703"/>
      <c r="DB303" s="703"/>
      <c r="DC303" s="703"/>
      <c r="DD303" s="703"/>
      <c r="DE303" s="703"/>
      <c r="DF303" s="703"/>
      <c r="DG303" s="703"/>
      <c r="DH303" s="703"/>
      <c r="DI303" s="703"/>
      <c r="DJ303" s="703"/>
      <c r="DK303" s="703"/>
      <c r="DL303" s="703"/>
      <c r="DM303" s="703"/>
      <c r="DN303" s="703"/>
      <c r="DO303" s="703"/>
      <c r="DP303" s="703"/>
      <c r="DQ303" s="703"/>
      <c r="DR303" s="703"/>
      <c r="DS303" s="703"/>
      <c r="DT303" s="703"/>
      <c r="DU303" s="703"/>
      <c r="DV303" s="703"/>
      <c r="DW303" s="703"/>
      <c r="DX303" s="703"/>
      <c r="DY303" s="703"/>
      <c r="DZ303" s="703"/>
      <c r="EA303" s="703"/>
      <c r="EB303" s="703"/>
      <c r="EC303" s="703"/>
      <c r="ED303" s="703"/>
      <c r="EE303" s="703"/>
      <c r="EF303" s="703"/>
      <c r="EG303" s="703"/>
      <c r="EH303" s="703"/>
      <c r="EI303" s="703"/>
      <c r="EJ303" s="703"/>
      <c r="EK303" s="703"/>
      <c r="EL303" s="703"/>
      <c r="EM303" s="703"/>
      <c r="EN303" s="703"/>
      <c r="EO303" s="703"/>
      <c r="EP303" s="703"/>
      <c r="EQ303" s="703"/>
      <c r="ER303" s="703"/>
      <c r="ES303" s="703"/>
      <c r="ET303" s="703"/>
      <c r="EU303" s="703"/>
      <c r="EV303" s="703"/>
      <c r="EW303" s="703"/>
      <c r="EX303" s="703"/>
      <c r="EY303" s="927">
        <f t="shared" si="212"/>
        <v>0</v>
      </c>
      <c r="EZ303" s="117"/>
      <c r="FA303" s="117"/>
      <c r="FB303" s="117"/>
      <c r="FC303" s="117"/>
      <c r="FD303" s="117"/>
      <c r="FE303" s="117"/>
      <c r="FF303" s="117"/>
      <c r="FG303" s="117"/>
      <c r="FH303" s="117"/>
      <c r="FI303" s="117"/>
      <c r="FJ303" s="117"/>
      <c r="FK303" s="117"/>
      <c r="FL303" s="117"/>
    </row>
    <row r="304" spans="1:168" ht="13.95" hidden="1" customHeight="1" x14ac:dyDescent="0.25">
      <c r="A304" s="1460"/>
      <c r="B304" s="115"/>
      <c r="C304" s="116"/>
      <c r="D304" s="431"/>
      <c r="E304" s="431"/>
      <c r="F304" s="431"/>
      <c r="G304" s="116"/>
      <c r="H304" s="116"/>
      <c r="I304" s="431"/>
      <c r="J304" s="703"/>
      <c r="K304" s="703"/>
      <c r="L304" s="703"/>
      <c r="M304" s="703"/>
      <c r="N304" s="703"/>
      <c r="O304" s="703"/>
      <c r="P304" s="703"/>
      <c r="Q304" s="703"/>
      <c r="R304" s="703"/>
      <c r="S304" s="703"/>
      <c r="T304" s="703"/>
      <c r="U304" s="703"/>
      <c r="V304" s="703"/>
      <c r="W304" s="703"/>
      <c r="X304" s="703"/>
      <c r="Y304" s="703"/>
      <c r="Z304" s="703"/>
      <c r="AA304" s="703"/>
      <c r="AB304" s="703"/>
      <c r="AC304" s="703"/>
      <c r="AD304" s="703"/>
      <c r="AE304" s="703"/>
      <c r="AF304" s="703"/>
      <c r="AG304" s="703"/>
      <c r="AH304" s="703"/>
      <c r="AI304" s="703"/>
      <c r="AJ304" s="703"/>
      <c r="AK304" s="703"/>
      <c r="AL304" s="703"/>
      <c r="AM304" s="703"/>
      <c r="AN304" s="703"/>
      <c r="AO304" s="703"/>
      <c r="AP304" s="703"/>
      <c r="AQ304" s="703"/>
      <c r="AR304" s="703"/>
      <c r="AS304" s="703"/>
      <c r="AT304" s="703"/>
      <c r="AU304" s="703"/>
      <c r="AV304" s="703"/>
      <c r="AW304" s="703"/>
      <c r="AX304" s="703"/>
      <c r="AY304" s="703"/>
      <c r="AZ304" s="703"/>
      <c r="BA304" s="703"/>
      <c r="BB304" s="703"/>
      <c r="BC304" s="703"/>
      <c r="BD304" s="703"/>
      <c r="BE304" s="703"/>
      <c r="BF304" s="703"/>
      <c r="BG304" s="703"/>
      <c r="BH304" s="703"/>
      <c r="BI304" s="703"/>
      <c r="BJ304" s="703"/>
      <c r="BK304" s="703"/>
      <c r="BL304" s="703"/>
      <c r="BM304" s="703"/>
      <c r="BN304" s="703"/>
      <c r="BO304" s="703"/>
      <c r="BP304" s="703"/>
      <c r="BQ304" s="703"/>
      <c r="BR304" s="703"/>
      <c r="BS304" s="703"/>
      <c r="BT304" s="703"/>
      <c r="BU304" s="703"/>
      <c r="BV304" s="703"/>
      <c r="BW304" s="703"/>
      <c r="BX304" s="703"/>
      <c r="BY304" s="703"/>
      <c r="BZ304" s="703"/>
      <c r="CA304" s="703"/>
      <c r="CB304" s="703"/>
      <c r="CC304" s="703"/>
      <c r="CD304" s="703"/>
      <c r="CE304" s="703"/>
      <c r="CF304" s="703"/>
      <c r="CG304" s="703"/>
      <c r="CH304" s="703"/>
      <c r="CI304" s="703"/>
      <c r="CJ304" s="703"/>
      <c r="CK304" s="703"/>
      <c r="CL304" s="703"/>
      <c r="CM304" s="703"/>
      <c r="CN304" s="703"/>
      <c r="CO304" s="703"/>
      <c r="CP304" s="703"/>
      <c r="CQ304" s="703"/>
      <c r="CR304" s="703"/>
      <c r="CS304" s="703"/>
      <c r="CT304" s="703"/>
      <c r="CU304" s="703"/>
      <c r="CV304" s="703"/>
      <c r="CW304" s="703"/>
      <c r="CX304" s="703"/>
      <c r="CY304" s="703"/>
      <c r="CZ304" s="703"/>
      <c r="DA304" s="703"/>
      <c r="DB304" s="703"/>
      <c r="DC304" s="703"/>
      <c r="DD304" s="703"/>
      <c r="DE304" s="703"/>
      <c r="DF304" s="703"/>
      <c r="DG304" s="703"/>
      <c r="DH304" s="703"/>
      <c r="DI304" s="703"/>
      <c r="DJ304" s="703"/>
      <c r="DK304" s="703"/>
      <c r="DL304" s="703"/>
      <c r="DM304" s="703"/>
      <c r="DN304" s="703"/>
      <c r="DO304" s="703"/>
      <c r="DP304" s="703"/>
      <c r="DQ304" s="703"/>
      <c r="DR304" s="703"/>
      <c r="DS304" s="703"/>
      <c r="DT304" s="703"/>
      <c r="DU304" s="703"/>
      <c r="DV304" s="703"/>
      <c r="DW304" s="703"/>
      <c r="DX304" s="703"/>
      <c r="DY304" s="703"/>
      <c r="DZ304" s="703"/>
      <c r="EA304" s="703"/>
      <c r="EB304" s="703"/>
      <c r="EC304" s="703"/>
      <c r="ED304" s="703"/>
      <c r="EE304" s="703"/>
      <c r="EF304" s="703"/>
      <c r="EG304" s="703"/>
      <c r="EH304" s="703"/>
      <c r="EI304" s="703"/>
      <c r="EJ304" s="703"/>
      <c r="EK304" s="703"/>
      <c r="EL304" s="703"/>
      <c r="EM304" s="703"/>
      <c r="EN304" s="703"/>
      <c r="EO304" s="703"/>
      <c r="EP304" s="703"/>
      <c r="EQ304" s="703"/>
      <c r="ER304" s="703"/>
      <c r="ES304" s="703"/>
      <c r="ET304" s="703"/>
      <c r="EU304" s="703"/>
      <c r="EV304" s="703"/>
      <c r="EW304" s="703"/>
      <c r="EX304" s="703"/>
      <c r="EY304" s="927">
        <f t="shared" si="212"/>
        <v>0</v>
      </c>
      <c r="EZ304" s="423"/>
      <c r="FA304" s="423"/>
      <c r="FB304" s="423"/>
      <c r="FC304" s="423"/>
      <c r="FD304" s="423"/>
      <c r="FE304" s="423"/>
      <c r="FF304" s="423"/>
      <c r="FG304" s="423"/>
      <c r="FH304" s="423"/>
      <c r="FI304" s="423"/>
      <c r="FJ304" s="423"/>
      <c r="FK304" s="423"/>
      <c r="FL304" s="423"/>
    </row>
    <row r="305" spans="1:168" hidden="1" x14ac:dyDescent="0.25">
      <c r="A305" s="1461"/>
      <c r="B305" s="585"/>
      <c r="C305" s="703"/>
      <c r="D305" s="703"/>
      <c r="E305" s="703"/>
      <c r="F305" s="703"/>
      <c r="G305" s="703"/>
      <c r="H305" s="703"/>
      <c r="I305" s="431"/>
      <c r="J305" s="703"/>
      <c r="K305" s="703"/>
      <c r="L305" s="703"/>
      <c r="M305" s="703"/>
      <c r="N305" s="703"/>
      <c r="O305" s="703"/>
      <c r="P305" s="703"/>
      <c r="Q305" s="703"/>
      <c r="R305" s="703"/>
      <c r="S305" s="703"/>
      <c r="T305" s="703"/>
      <c r="U305" s="703"/>
      <c r="V305" s="703"/>
      <c r="W305" s="703"/>
      <c r="X305" s="703"/>
      <c r="Y305" s="703"/>
      <c r="Z305" s="703"/>
      <c r="AA305" s="703"/>
      <c r="AB305" s="703"/>
      <c r="AC305" s="703"/>
      <c r="AD305" s="703"/>
      <c r="AE305" s="703"/>
      <c r="AF305" s="703"/>
      <c r="AG305" s="703"/>
      <c r="AH305" s="703"/>
      <c r="AI305" s="703"/>
      <c r="AJ305" s="703"/>
      <c r="AK305" s="703"/>
      <c r="AL305" s="703"/>
      <c r="AM305" s="703"/>
      <c r="AN305" s="703"/>
      <c r="AO305" s="703"/>
      <c r="AP305" s="703"/>
      <c r="AQ305" s="703"/>
      <c r="AR305" s="703"/>
      <c r="AS305" s="703"/>
      <c r="AT305" s="703"/>
      <c r="AU305" s="703"/>
      <c r="AV305" s="703"/>
      <c r="AW305" s="703"/>
      <c r="AX305" s="703"/>
      <c r="AY305" s="703"/>
      <c r="AZ305" s="703"/>
      <c r="BA305" s="703"/>
      <c r="BB305" s="703"/>
      <c r="BC305" s="703"/>
      <c r="BD305" s="703"/>
      <c r="BE305" s="703"/>
      <c r="BF305" s="703"/>
      <c r="BG305" s="703"/>
      <c r="BH305" s="703"/>
      <c r="BI305" s="703"/>
      <c r="BJ305" s="703"/>
      <c r="BK305" s="703"/>
      <c r="BL305" s="703"/>
      <c r="BM305" s="703"/>
      <c r="BN305" s="703"/>
      <c r="BO305" s="703"/>
      <c r="BP305" s="703"/>
      <c r="BQ305" s="703"/>
      <c r="BR305" s="703"/>
      <c r="BS305" s="703"/>
      <c r="BT305" s="703"/>
      <c r="BU305" s="703"/>
      <c r="BV305" s="703"/>
      <c r="BW305" s="703"/>
      <c r="BX305" s="703"/>
      <c r="BY305" s="703"/>
      <c r="BZ305" s="703"/>
      <c r="CA305" s="703"/>
      <c r="CB305" s="703"/>
      <c r="CC305" s="703"/>
      <c r="CD305" s="703"/>
      <c r="CE305" s="703"/>
      <c r="CF305" s="703"/>
      <c r="CG305" s="703"/>
      <c r="CH305" s="703"/>
      <c r="CI305" s="703"/>
      <c r="CJ305" s="703"/>
      <c r="CK305" s="703"/>
      <c r="CL305" s="703"/>
      <c r="CM305" s="703"/>
      <c r="CN305" s="703"/>
      <c r="CO305" s="703"/>
      <c r="CP305" s="703"/>
      <c r="CQ305" s="703"/>
      <c r="CR305" s="703"/>
      <c r="CS305" s="703"/>
      <c r="CT305" s="703"/>
      <c r="CU305" s="703"/>
      <c r="CV305" s="703"/>
      <c r="CW305" s="703"/>
      <c r="CX305" s="703"/>
      <c r="CY305" s="703"/>
      <c r="CZ305" s="703"/>
      <c r="DA305" s="703"/>
      <c r="DB305" s="703"/>
      <c r="DC305" s="703"/>
      <c r="DD305" s="703"/>
      <c r="DE305" s="703"/>
      <c r="DF305" s="703"/>
      <c r="DG305" s="703"/>
      <c r="DH305" s="703"/>
      <c r="DI305" s="703"/>
      <c r="DJ305" s="703"/>
      <c r="DK305" s="703"/>
      <c r="DL305" s="703"/>
      <c r="DM305" s="703"/>
      <c r="DN305" s="703"/>
      <c r="DO305" s="703"/>
      <c r="DP305" s="703"/>
      <c r="DQ305" s="703"/>
      <c r="DR305" s="703"/>
      <c r="DS305" s="703"/>
      <c r="DT305" s="703"/>
      <c r="DU305" s="703"/>
      <c r="DV305" s="703"/>
      <c r="DW305" s="703"/>
      <c r="DX305" s="703"/>
      <c r="DY305" s="703"/>
      <c r="DZ305" s="703"/>
      <c r="EA305" s="703"/>
      <c r="EB305" s="703"/>
      <c r="EC305" s="703"/>
      <c r="ED305" s="703"/>
      <c r="EE305" s="703"/>
      <c r="EF305" s="703"/>
      <c r="EG305" s="703"/>
      <c r="EH305" s="703"/>
      <c r="EI305" s="703"/>
      <c r="EJ305" s="703"/>
      <c r="EK305" s="703"/>
      <c r="EL305" s="703"/>
      <c r="EM305" s="703"/>
      <c r="EN305" s="703"/>
      <c r="EO305" s="703"/>
      <c r="EP305" s="703"/>
      <c r="EQ305" s="703"/>
      <c r="ER305" s="703"/>
      <c r="ES305" s="703"/>
      <c r="ET305" s="703"/>
      <c r="EU305" s="703"/>
      <c r="EV305" s="703"/>
      <c r="EW305" s="703"/>
      <c r="EX305" s="703"/>
      <c r="EY305" s="927">
        <f t="shared" si="212"/>
        <v>0</v>
      </c>
      <c r="EZ305" s="423"/>
      <c r="FA305" s="423"/>
      <c r="FB305" s="423"/>
      <c r="FC305" s="423"/>
      <c r="FD305" s="423"/>
      <c r="FE305" s="423"/>
      <c r="FF305" s="423"/>
      <c r="FG305" s="423"/>
      <c r="FH305" s="423"/>
      <c r="FI305" s="423"/>
      <c r="FJ305" s="423"/>
      <c r="FK305" s="423"/>
      <c r="FL305" s="423"/>
    </row>
    <row r="306" spans="1:168" hidden="1" x14ac:dyDescent="0.25">
      <c r="A306" s="411"/>
      <c r="B306" s="118" t="s">
        <v>113</v>
      </c>
      <c r="C306" s="840">
        <f>SUM(C297:C305)</f>
        <v>0</v>
      </c>
      <c r="D306" s="842">
        <f>SUM(D297:D305)</f>
        <v>0</v>
      </c>
      <c r="E306" s="842">
        <f t="shared" ref="E306:BC306" si="213">SUM(E297:E305)</f>
        <v>0</v>
      </c>
      <c r="F306" s="842">
        <f t="shared" si="213"/>
        <v>0</v>
      </c>
      <c r="G306" s="422">
        <f t="shared" si="213"/>
        <v>0</v>
      </c>
      <c r="H306" s="840"/>
      <c r="I306" s="534">
        <f t="shared" ref="I306" si="214">SUM(I297:I305)</f>
        <v>0</v>
      </c>
      <c r="J306" s="847">
        <f t="shared" si="213"/>
        <v>0</v>
      </c>
      <c r="K306" s="847">
        <f t="shared" si="213"/>
        <v>0</v>
      </c>
      <c r="L306" s="847">
        <f t="shared" si="213"/>
        <v>0</v>
      </c>
      <c r="M306" s="847">
        <f t="shared" si="213"/>
        <v>0</v>
      </c>
      <c r="N306" s="847">
        <f t="shared" si="213"/>
        <v>0</v>
      </c>
      <c r="O306" s="847">
        <f t="shared" si="213"/>
        <v>0</v>
      </c>
      <c r="P306" s="847">
        <f t="shared" si="213"/>
        <v>0</v>
      </c>
      <c r="Q306" s="847">
        <f t="shared" si="213"/>
        <v>0</v>
      </c>
      <c r="R306" s="847">
        <f t="shared" si="213"/>
        <v>0</v>
      </c>
      <c r="S306" s="847">
        <f t="shared" si="213"/>
        <v>0</v>
      </c>
      <c r="T306" s="847">
        <f t="shared" si="213"/>
        <v>0</v>
      </c>
      <c r="U306" s="847">
        <f t="shared" si="213"/>
        <v>0</v>
      </c>
      <c r="V306" s="847">
        <f t="shared" si="213"/>
        <v>0</v>
      </c>
      <c r="W306" s="847">
        <f t="shared" si="213"/>
        <v>0</v>
      </c>
      <c r="X306" s="847">
        <f t="shared" si="213"/>
        <v>0</v>
      </c>
      <c r="Y306" s="847">
        <f t="shared" si="213"/>
        <v>0</v>
      </c>
      <c r="Z306" s="847">
        <f t="shared" si="213"/>
        <v>0</v>
      </c>
      <c r="AA306" s="847">
        <f t="shared" si="213"/>
        <v>0</v>
      </c>
      <c r="AB306" s="847">
        <f t="shared" si="213"/>
        <v>0</v>
      </c>
      <c r="AC306" s="847">
        <f t="shared" si="213"/>
        <v>0</v>
      </c>
      <c r="AD306" s="847">
        <f t="shared" si="213"/>
        <v>0</v>
      </c>
      <c r="AE306" s="847">
        <f t="shared" si="213"/>
        <v>0</v>
      </c>
      <c r="AF306" s="847">
        <f t="shared" si="213"/>
        <v>0</v>
      </c>
      <c r="AG306" s="847">
        <f t="shared" si="213"/>
        <v>0</v>
      </c>
      <c r="AH306" s="847">
        <f t="shared" si="213"/>
        <v>0</v>
      </c>
      <c r="AI306" s="847">
        <f t="shared" si="213"/>
        <v>0</v>
      </c>
      <c r="AJ306" s="847">
        <f t="shared" si="213"/>
        <v>0</v>
      </c>
      <c r="AK306" s="847">
        <f t="shared" si="213"/>
        <v>0</v>
      </c>
      <c r="AL306" s="847">
        <f t="shared" si="213"/>
        <v>0</v>
      </c>
      <c r="AM306" s="847">
        <f t="shared" si="213"/>
        <v>0</v>
      </c>
      <c r="AN306" s="847">
        <f t="shared" si="213"/>
        <v>0</v>
      </c>
      <c r="AO306" s="847">
        <f t="shared" si="213"/>
        <v>0</v>
      </c>
      <c r="AP306" s="847">
        <f t="shared" si="213"/>
        <v>0</v>
      </c>
      <c r="AQ306" s="847">
        <f t="shared" si="213"/>
        <v>0</v>
      </c>
      <c r="AR306" s="847">
        <f t="shared" si="213"/>
        <v>0</v>
      </c>
      <c r="AS306" s="847">
        <f t="shared" si="213"/>
        <v>0</v>
      </c>
      <c r="AT306" s="847">
        <f t="shared" si="213"/>
        <v>0</v>
      </c>
      <c r="AU306" s="847">
        <f t="shared" si="213"/>
        <v>0</v>
      </c>
      <c r="AV306" s="847">
        <f t="shared" si="213"/>
        <v>0</v>
      </c>
      <c r="AW306" s="847">
        <f t="shared" si="213"/>
        <v>0</v>
      </c>
      <c r="AX306" s="847">
        <f t="shared" si="213"/>
        <v>0</v>
      </c>
      <c r="AY306" s="847">
        <f t="shared" si="213"/>
        <v>0</v>
      </c>
      <c r="AZ306" s="847">
        <f t="shared" si="213"/>
        <v>0</v>
      </c>
      <c r="BA306" s="847">
        <f t="shared" si="213"/>
        <v>0</v>
      </c>
      <c r="BB306" s="847">
        <f t="shared" si="213"/>
        <v>0</v>
      </c>
      <c r="BC306" s="847">
        <f t="shared" si="213"/>
        <v>0</v>
      </c>
      <c r="BD306" s="847">
        <f t="shared" ref="BD306:DO306" si="215">SUM(BD297:BD305)</f>
        <v>0</v>
      </c>
      <c r="BE306" s="847">
        <f t="shared" si="215"/>
        <v>0</v>
      </c>
      <c r="BF306" s="847">
        <f t="shared" si="215"/>
        <v>0</v>
      </c>
      <c r="BG306" s="847">
        <f t="shared" si="215"/>
        <v>0</v>
      </c>
      <c r="BH306" s="847">
        <f t="shared" si="215"/>
        <v>0</v>
      </c>
      <c r="BI306" s="847">
        <f t="shared" si="215"/>
        <v>0</v>
      </c>
      <c r="BJ306" s="847">
        <f t="shared" si="215"/>
        <v>0</v>
      </c>
      <c r="BK306" s="847">
        <f t="shared" si="215"/>
        <v>0</v>
      </c>
      <c r="BL306" s="847">
        <f t="shared" si="215"/>
        <v>0</v>
      </c>
      <c r="BM306" s="847">
        <f t="shared" si="215"/>
        <v>0</v>
      </c>
      <c r="BN306" s="847">
        <f t="shared" si="215"/>
        <v>0</v>
      </c>
      <c r="BO306" s="847">
        <f t="shared" si="215"/>
        <v>0</v>
      </c>
      <c r="BP306" s="847">
        <f t="shared" si="215"/>
        <v>0</v>
      </c>
      <c r="BQ306" s="847">
        <f t="shared" si="215"/>
        <v>0</v>
      </c>
      <c r="BR306" s="847">
        <f t="shared" si="215"/>
        <v>0</v>
      </c>
      <c r="BS306" s="847">
        <f t="shared" si="215"/>
        <v>0</v>
      </c>
      <c r="BT306" s="847">
        <f t="shared" si="215"/>
        <v>0</v>
      </c>
      <c r="BU306" s="847">
        <f t="shared" si="215"/>
        <v>0</v>
      </c>
      <c r="BV306" s="847">
        <f t="shared" si="215"/>
        <v>0</v>
      </c>
      <c r="BW306" s="847">
        <f t="shared" si="215"/>
        <v>0</v>
      </c>
      <c r="BX306" s="847">
        <f t="shared" si="215"/>
        <v>0</v>
      </c>
      <c r="BY306" s="847">
        <f t="shared" si="215"/>
        <v>0</v>
      </c>
      <c r="BZ306" s="847">
        <f t="shared" si="215"/>
        <v>0</v>
      </c>
      <c r="CA306" s="847">
        <f t="shared" si="215"/>
        <v>0</v>
      </c>
      <c r="CB306" s="847">
        <f t="shared" si="215"/>
        <v>0</v>
      </c>
      <c r="CC306" s="847">
        <f t="shared" si="215"/>
        <v>0</v>
      </c>
      <c r="CD306" s="847">
        <f t="shared" si="215"/>
        <v>0</v>
      </c>
      <c r="CE306" s="847">
        <f t="shared" si="215"/>
        <v>0</v>
      </c>
      <c r="CF306" s="847">
        <f t="shared" si="215"/>
        <v>0</v>
      </c>
      <c r="CG306" s="847">
        <f t="shared" si="215"/>
        <v>0</v>
      </c>
      <c r="CH306" s="847">
        <f t="shared" si="215"/>
        <v>0</v>
      </c>
      <c r="CI306" s="847">
        <f t="shared" si="215"/>
        <v>0</v>
      </c>
      <c r="CJ306" s="847">
        <f t="shared" si="215"/>
        <v>0</v>
      </c>
      <c r="CK306" s="847">
        <f t="shared" si="215"/>
        <v>0</v>
      </c>
      <c r="CL306" s="847">
        <f t="shared" si="215"/>
        <v>0</v>
      </c>
      <c r="CM306" s="847">
        <f t="shared" si="215"/>
        <v>0</v>
      </c>
      <c r="CN306" s="847">
        <f t="shared" si="215"/>
        <v>0</v>
      </c>
      <c r="CO306" s="847">
        <f t="shared" si="215"/>
        <v>0</v>
      </c>
      <c r="CP306" s="847">
        <f t="shared" si="215"/>
        <v>0</v>
      </c>
      <c r="CQ306" s="847">
        <f t="shared" si="215"/>
        <v>0</v>
      </c>
      <c r="CR306" s="847">
        <f t="shared" si="215"/>
        <v>0</v>
      </c>
      <c r="CS306" s="847">
        <f t="shared" si="215"/>
        <v>0</v>
      </c>
      <c r="CT306" s="847">
        <f t="shared" si="215"/>
        <v>0</v>
      </c>
      <c r="CU306" s="847">
        <f t="shared" si="215"/>
        <v>0</v>
      </c>
      <c r="CV306" s="847">
        <f t="shared" si="215"/>
        <v>0</v>
      </c>
      <c r="CW306" s="847">
        <f t="shared" si="215"/>
        <v>0</v>
      </c>
      <c r="CX306" s="847">
        <f t="shared" si="215"/>
        <v>0</v>
      </c>
      <c r="CY306" s="847">
        <f t="shared" si="215"/>
        <v>0</v>
      </c>
      <c r="CZ306" s="847">
        <f t="shared" si="215"/>
        <v>0</v>
      </c>
      <c r="DA306" s="847">
        <f t="shared" si="215"/>
        <v>0</v>
      </c>
      <c r="DB306" s="847">
        <f t="shared" si="215"/>
        <v>0</v>
      </c>
      <c r="DC306" s="847">
        <f t="shared" si="215"/>
        <v>0</v>
      </c>
      <c r="DD306" s="847">
        <f t="shared" si="215"/>
        <v>0</v>
      </c>
      <c r="DE306" s="847">
        <f t="shared" si="215"/>
        <v>0</v>
      </c>
      <c r="DF306" s="847">
        <f t="shared" si="215"/>
        <v>0</v>
      </c>
      <c r="DG306" s="847">
        <f t="shared" si="215"/>
        <v>0</v>
      </c>
      <c r="DH306" s="847">
        <f t="shared" si="215"/>
        <v>0</v>
      </c>
      <c r="DI306" s="847">
        <f t="shared" si="215"/>
        <v>0</v>
      </c>
      <c r="DJ306" s="847">
        <f t="shared" si="215"/>
        <v>0</v>
      </c>
      <c r="DK306" s="847">
        <f t="shared" si="215"/>
        <v>0</v>
      </c>
      <c r="DL306" s="847">
        <f t="shared" si="215"/>
        <v>0</v>
      </c>
      <c r="DM306" s="847">
        <f t="shared" si="215"/>
        <v>0</v>
      </c>
      <c r="DN306" s="847">
        <f t="shared" si="215"/>
        <v>0</v>
      </c>
      <c r="DO306" s="847">
        <f t="shared" si="215"/>
        <v>0</v>
      </c>
      <c r="DP306" s="847">
        <f t="shared" ref="DP306:EX306" si="216">SUM(DP297:DP305)</f>
        <v>0</v>
      </c>
      <c r="DQ306" s="847">
        <f t="shared" si="216"/>
        <v>0</v>
      </c>
      <c r="DR306" s="847">
        <f t="shared" si="216"/>
        <v>0</v>
      </c>
      <c r="DS306" s="847">
        <f t="shared" si="216"/>
        <v>0</v>
      </c>
      <c r="DT306" s="847">
        <f t="shared" si="216"/>
        <v>0</v>
      </c>
      <c r="DU306" s="847">
        <f t="shared" si="216"/>
        <v>0</v>
      </c>
      <c r="DV306" s="847">
        <f t="shared" si="216"/>
        <v>0</v>
      </c>
      <c r="DW306" s="847">
        <f t="shared" si="216"/>
        <v>0</v>
      </c>
      <c r="DX306" s="847">
        <f t="shared" si="216"/>
        <v>0</v>
      </c>
      <c r="DY306" s="847">
        <f t="shared" si="216"/>
        <v>0</v>
      </c>
      <c r="DZ306" s="847">
        <f t="shared" si="216"/>
        <v>0</v>
      </c>
      <c r="EA306" s="847">
        <f t="shared" si="216"/>
        <v>0</v>
      </c>
      <c r="EB306" s="847">
        <f t="shared" si="216"/>
        <v>0</v>
      </c>
      <c r="EC306" s="847">
        <f t="shared" si="216"/>
        <v>0</v>
      </c>
      <c r="ED306" s="847">
        <f t="shared" si="216"/>
        <v>0</v>
      </c>
      <c r="EE306" s="847">
        <f t="shared" si="216"/>
        <v>0</v>
      </c>
      <c r="EF306" s="847">
        <f t="shared" si="216"/>
        <v>0</v>
      </c>
      <c r="EG306" s="847">
        <f t="shared" si="216"/>
        <v>0</v>
      </c>
      <c r="EH306" s="847">
        <f t="shared" si="216"/>
        <v>0</v>
      </c>
      <c r="EI306" s="847">
        <f t="shared" si="216"/>
        <v>0</v>
      </c>
      <c r="EJ306" s="847">
        <f t="shared" si="216"/>
        <v>0</v>
      </c>
      <c r="EK306" s="847">
        <f t="shared" si="216"/>
        <v>0</v>
      </c>
      <c r="EL306" s="847">
        <f t="shared" si="216"/>
        <v>0</v>
      </c>
      <c r="EM306" s="847">
        <f t="shared" si="216"/>
        <v>0</v>
      </c>
      <c r="EN306" s="847">
        <f t="shared" si="216"/>
        <v>0</v>
      </c>
      <c r="EO306" s="847">
        <f t="shared" si="216"/>
        <v>0</v>
      </c>
      <c r="EP306" s="847">
        <f t="shared" si="216"/>
        <v>0</v>
      </c>
      <c r="EQ306" s="847">
        <f t="shared" si="216"/>
        <v>0</v>
      </c>
      <c r="ER306" s="847">
        <f t="shared" si="216"/>
        <v>0</v>
      </c>
      <c r="ES306" s="847">
        <f t="shared" si="216"/>
        <v>0</v>
      </c>
      <c r="ET306" s="847">
        <f t="shared" si="216"/>
        <v>0</v>
      </c>
      <c r="EU306" s="847">
        <f t="shared" si="216"/>
        <v>0</v>
      </c>
      <c r="EV306" s="847">
        <f t="shared" si="216"/>
        <v>0</v>
      </c>
      <c r="EW306" s="847">
        <f t="shared" si="216"/>
        <v>0</v>
      </c>
      <c r="EX306" s="847">
        <f t="shared" si="216"/>
        <v>0</v>
      </c>
      <c r="EY306" s="861">
        <f t="shared" ref="EY306:FL306" si="217">SUM(EY297:EY305)</f>
        <v>0</v>
      </c>
      <c r="EZ306" s="534">
        <f t="shared" si="217"/>
        <v>0</v>
      </c>
      <c r="FA306" s="534">
        <f t="shared" si="217"/>
        <v>0</v>
      </c>
      <c r="FB306" s="534">
        <f t="shared" si="217"/>
        <v>0</v>
      </c>
      <c r="FC306" s="534">
        <f t="shared" si="217"/>
        <v>0</v>
      </c>
      <c r="FD306" s="534">
        <f t="shared" si="217"/>
        <v>0</v>
      </c>
      <c r="FE306" s="534">
        <f t="shared" si="217"/>
        <v>0</v>
      </c>
      <c r="FF306" s="534">
        <f t="shared" si="217"/>
        <v>0</v>
      </c>
      <c r="FG306" s="534">
        <f t="shared" si="217"/>
        <v>0</v>
      </c>
      <c r="FH306" s="534">
        <f t="shared" si="217"/>
        <v>0</v>
      </c>
      <c r="FI306" s="534">
        <f t="shared" si="217"/>
        <v>0</v>
      </c>
      <c r="FJ306" s="534">
        <f t="shared" si="217"/>
        <v>0</v>
      </c>
      <c r="FK306" s="534">
        <f t="shared" si="217"/>
        <v>0</v>
      </c>
      <c r="FL306" s="534">
        <f t="shared" si="217"/>
        <v>0</v>
      </c>
    </row>
    <row r="307" spans="1:168" hidden="1" x14ac:dyDescent="0.25">
      <c r="A307" s="1459" t="s">
        <v>800</v>
      </c>
      <c r="B307" s="115"/>
      <c r="C307" s="426"/>
      <c r="D307" s="420"/>
      <c r="E307" s="420"/>
      <c r="F307" s="420"/>
      <c r="G307" s="419"/>
      <c r="H307" s="426"/>
      <c r="I307" s="423"/>
      <c r="J307" s="849"/>
      <c r="K307" s="849"/>
      <c r="L307" s="849"/>
      <c r="M307" s="849"/>
      <c r="N307" s="849"/>
      <c r="O307" s="849"/>
      <c r="P307" s="849"/>
      <c r="Q307" s="849"/>
      <c r="R307" s="849"/>
      <c r="S307" s="849"/>
      <c r="T307" s="849"/>
      <c r="U307" s="849"/>
      <c r="V307" s="849"/>
      <c r="W307" s="849"/>
      <c r="X307" s="849"/>
      <c r="Y307" s="849"/>
      <c r="Z307" s="849"/>
      <c r="AA307" s="849"/>
      <c r="AB307" s="849"/>
      <c r="AC307" s="849"/>
      <c r="AD307" s="849"/>
      <c r="AE307" s="849"/>
      <c r="AF307" s="849"/>
      <c r="AG307" s="849"/>
      <c r="AH307" s="849"/>
      <c r="AI307" s="849"/>
      <c r="AJ307" s="849"/>
      <c r="AK307" s="849"/>
      <c r="AL307" s="849"/>
      <c r="AM307" s="849"/>
      <c r="AN307" s="849"/>
      <c r="AO307" s="849"/>
      <c r="AP307" s="849"/>
      <c r="AQ307" s="849"/>
      <c r="AR307" s="849"/>
      <c r="AS307" s="849"/>
      <c r="AT307" s="849"/>
      <c r="AU307" s="849"/>
      <c r="AV307" s="849"/>
      <c r="AW307" s="849"/>
      <c r="AX307" s="849"/>
      <c r="AY307" s="849"/>
      <c r="AZ307" s="849"/>
      <c r="BA307" s="849"/>
      <c r="BB307" s="849"/>
      <c r="BC307" s="849"/>
      <c r="BD307" s="849"/>
      <c r="BE307" s="849"/>
      <c r="BF307" s="849"/>
      <c r="BG307" s="849"/>
      <c r="BH307" s="849"/>
      <c r="BI307" s="849"/>
      <c r="BJ307" s="849"/>
      <c r="BK307" s="849"/>
      <c r="BL307" s="849"/>
      <c r="BM307" s="849"/>
      <c r="BN307" s="849"/>
      <c r="BO307" s="849"/>
      <c r="BP307" s="849"/>
      <c r="BQ307" s="849"/>
      <c r="BR307" s="849"/>
      <c r="BS307" s="849"/>
      <c r="BT307" s="849"/>
      <c r="BU307" s="849"/>
      <c r="BV307" s="849"/>
      <c r="BW307" s="849"/>
      <c r="BX307" s="849"/>
      <c r="BY307" s="849"/>
      <c r="BZ307" s="849"/>
      <c r="CA307" s="849"/>
      <c r="CB307" s="849"/>
      <c r="CC307" s="849"/>
      <c r="CD307" s="849"/>
      <c r="CE307" s="849"/>
      <c r="CF307" s="849"/>
      <c r="CG307" s="849"/>
      <c r="CH307" s="849"/>
      <c r="CI307" s="849"/>
      <c r="CJ307" s="849"/>
      <c r="CK307" s="849"/>
      <c r="CL307" s="849"/>
      <c r="CM307" s="849"/>
      <c r="CN307" s="849"/>
      <c r="CO307" s="849"/>
      <c r="CP307" s="849"/>
      <c r="CQ307" s="849"/>
      <c r="CR307" s="849"/>
      <c r="CS307" s="849"/>
      <c r="CT307" s="849"/>
      <c r="CU307" s="849"/>
      <c r="CV307" s="849"/>
      <c r="CW307" s="849"/>
      <c r="CX307" s="849"/>
      <c r="CY307" s="849"/>
      <c r="CZ307" s="849"/>
      <c r="DA307" s="849"/>
      <c r="DB307" s="849"/>
      <c r="DC307" s="849"/>
      <c r="DD307" s="849"/>
      <c r="DE307" s="849"/>
      <c r="DF307" s="849"/>
      <c r="DG307" s="849"/>
      <c r="DH307" s="849"/>
      <c r="DI307" s="849"/>
      <c r="DJ307" s="849"/>
      <c r="DK307" s="849"/>
      <c r="DL307" s="849"/>
      <c r="DM307" s="849"/>
      <c r="DN307" s="849"/>
      <c r="DO307" s="849"/>
      <c r="DP307" s="849"/>
      <c r="DQ307" s="849"/>
      <c r="DR307" s="849"/>
      <c r="DS307" s="849"/>
      <c r="DT307" s="849"/>
      <c r="DU307" s="849"/>
      <c r="DV307" s="849"/>
      <c r="DW307" s="849"/>
      <c r="DX307" s="849"/>
      <c r="DY307" s="849"/>
      <c r="DZ307" s="849"/>
      <c r="EA307" s="849"/>
      <c r="EB307" s="849"/>
      <c r="EC307" s="849"/>
      <c r="ED307" s="849"/>
      <c r="EE307" s="849"/>
      <c r="EF307" s="849"/>
      <c r="EG307" s="849"/>
      <c r="EH307" s="849"/>
      <c r="EI307" s="849"/>
      <c r="EJ307" s="849"/>
      <c r="EK307" s="849"/>
      <c r="EL307" s="849"/>
      <c r="EM307" s="849"/>
      <c r="EN307" s="849"/>
      <c r="EO307" s="849"/>
      <c r="EP307" s="849"/>
      <c r="EQ307" s="849"/>
      <c r="ER307" s="849"/>
      <c r="ES307" s="849"/>
      <c r="ET307" s="849"/>
      <c r="EU307" s="849"/>
      <c r="EV307" s="849"/>
      <c r="EW307" s="849"/>
      <c r="EX307" s="849"/>
      <c r="EY307" s="927">
        <f t="shared" si="212"/>
        <v>0</v>
      </c>
      <c r="EZ307" s="423"/>
      <c r="FA307" s="423"/>
      <c r="FB307" s="423"/>
      <c r="FC307" s="423"/>
      <c r="FD307" s="423"/>
      <c r="FE307" s="423"/>
      <c r="FF307" s="423"/>
      <c r="FG307" s="423"/>
      <c r="FH307" s="423"/>
      <c r="FI307" s="423"/>
      <c r="FJ307" s="423"/>
      <c r="FK307" s="423"/>
      <c r="FL307" s="423"/>
    </row>
    <row r="308" spans="1:168" hidden="1" x14ac:dyDescent="0.25">
      <c r="A308" s="1460"/>
      <c r="B308" s="115"/>
      <c r="C308" s="426"/>
      <c r="D308" s="420"/>
      <c r="E308" s="420"/>
      <c r="F308" s="420"/>
      <c r="G308" s="419"/>
      <c r="H308" s="426"/>
      <c r="I308" s="423"/>
      <c r="J308" s="849"/>
      <c r="K308" s="849"/>
      <c r="L308" s="849"/>
      <c r="M308" s="849"/>
      <c r="N308" s="849"/>
      <c r="O308" s="849"/>
      <c r="P308" s="849"/>
      <c r="Q308" s="849"/>
      <c r="R308" s="849"/>
      <c r="S308" s="849"/>
      <c r="T308" s="849"/>
      <c r="U308" s="849"/>
      <c r="V308" s="849"/>
      <c r="W308" s="849"/>
      <c r="X308" s="849"/>
      <c r="Y308" s="849"/>
      <c r="Z308" s="849"/>
      <c r="AA308" s="849"/>
      <c r="AB308" s="849"/>
      <c r="AC308" s="849"/>
      <c r="AD308" s="849"/>
      <c r="AE308" s="849"/>
      <c r="AF308" s="849"/>
      <c r="AG308" s="849"/>
      <c r="AH308" s="849"/>
      <c r="AI308" s="849"/>
      <c r="AJ308" s="849"/>
      <c r="AK308" s="849"/>
      <c r="AL308" s="849"/>
      <c r="AM308" s="849"/>
      <c r="AN308" s="849"/>
      <c r="AO308" s="849"/>
      <c r="AP308" s="849"/>
      <c r="AQ308" s="849"/>
      <c r="AR308" s="849"/>
      <c r="AS308" s="849"/>
      <c r="AT308" s="849"/>
      <c r="AU308" s="849"/>
      <c r="AV308" s="849"/>
      <c r="AW308" s="849"/>
      <c r="AX308" s="849"/>
      <c r="AY308" s="849"/>
      <c r="AZ308" s="849"/>
      <c r="BA308" s="849"/>
      <c r="BB308" s="849"/>
      <c r="BC308" s="849"/>
      <c r="BD308" s="849"/>
      <c r="BE308" s="849"/>
      <c r="BF308" s="849"/>
      <c r="BG308" s="849"/>
      <c r="BH308" s="849"/>
      <c r="BI308" s="849"/>
      <c r="BJ308" s="849"/>
      <c r="BK308" s="849"/>
      <c r="BL308" s="849"/>
      <c r="BM308" s="849"/>
      <c r="BN308" s="849"/>
      <c r="BO308" s="849"/>
      <c r="BP308" s="849"/>
      <c r="BQ308" s="849"/>
      <c r="BR308" s="849"/>
      <c r="BS308" s="849"/>
      <c r="BT308" s="849"/>
      <c r="BU308" s="849"/>
      <c r="BV308" s="849"/>
      <c r="BW308" s="849"/>
      <c r="BX308" s="849"/>
      <c r="BY308" s="849"/>
      <c r="BZ308" s="849"/>
      <c r="CA308" s="849"/>
      <c r="CB308" s="849"/>
      <c r="CC308" s="849"/>
      <c r="CD308" s="849"/>
      <c r="CE308" s="849"/>
      <c r="CF308" s="849"/>
      <c r="CG308" s="849"/>
      <c r="CH308" s="849"/>
      <c r="CI308" s="849"/>
      <c r="CJ308" s="849"/>
      <c r="CK308" s="849"/>
      <c r="CL308" s="849"/>
      <c r="CM308" s="849"/>
      <c r="CN308" s="849"/>
      <c r="CO308" s="849"/>
      <c r="CP308" s="849"/>
      <c r="CQ308" s="849"/>
      <c r="CR308" s="849"/>
      <c r="CS308" s="849"/>
      <c r="CT308" s="849"/>
      <c r="CU308" s="849"/>
      <c r="CV308" s="849"/>
      <c r="CW308" s="849"/>
      <c r="CX308" s="849"/>
      <c r="CY308" s="849"/>
      <c r="CZ308" s="849"/>
      <c r="DA308" s="849"/>
      <c r="DB308" s="849"/>
      <c r="DC308" s="849"/>
      <c r="DD308" s="849"/>
      <c r="DE308" s="849"/>
      <c r="DF308" s="849"/>
      <c r="DG308" s="849"/>
      <c r="DH308" s="849"/>
      <c r="DI308" s="849"/>
      <c r="DJ308" s="849"/>
      <c r="DK308" s="849"/>
      <c r="DL308" s="849"/>
      <c r="DM308" s="849"/>
      <c r="DN308" s="849"/>
      <c r="DO308" s="849"/>
      <c r="DP308" s="849"/>
      <c r="DQ308" s="849"/>
      <c r="DR308" s="849"/>
      <c r="DS308" s="849"/>
      <c r="DT308" s="849"/>
      <c r="DU308" s="849"/>
      <c r="DV308" s="849"/>
      <c r="DW308" s="849"/>
      <c r="DX308" s="849"/>
      <c r="DY308" s="849"/>
      <c r="DZ308" s="849"/>
      <c r="EA308" s="849"/>
      <c r="EB308" s="849"/>
      <c r="EC308" s="849"/>
      <c r="ED308" s="849"/>
      <c r="EE308" s="849"/>
      <c r="EF308" s="849"/>
      <c r="EG308" s="849"/>
      <c r="EH308" s="849"/>
      <c r="EI308" s="849"/>
      <c r="EJ308" s="849"/>
      <c r="EK308" s="849"/>
      <c r="EL308" s="849"/>
      <c r="EM308" s="849"/>
      <c r="EN308" s="849"/>
      <c r="EO308" s="849"/>
      <c r="EP308" s="849"/>
      <c r="EQ308" s="849"/>
      <c r="ER308" s="849"/>
      <c r="ES308" s="849"/>
      <c r="ET308" s="849"/>
      <c r="EU308" s="849"/>
      <c r="EV308" s="849"/>
      <c r="EW308" s="849"/>
      <c r="EX308" s="849"/>
      <c r="EY308" s="927">
        <f t="shared" si="212"/>
        <v>0</v>
      </c>
      <c r="EZ308" s="423"/>
      <c r="FA308" s="423"/>
      <c r="FB308" s="423"/>
      <c r="FC308" s="423"/>
      <c r="FD308" s="423"/>
      <c r="FE308" s="423"/>
      <c r="FF308" s="423"/>
      <c r="FG308" s="423"/>
      <c r="FH308" s="423"/>
      <c r="FI308" s="423"/>
      <c r="FJ308" s="423"/>
      <c r="FK308" s="423"/>
      <c r="FL308" s="423"/>
    </row>
    <row r="309" spans="1:168" hidden="1" x14ac:dyDescent="0.25">
      <c r="A309" s="1460"/>
      <c r="B309" s="115"/>
      <c r="C309" s="426"/>
      <c r="D309" s="420"/>
      <c r="E309" s="420"/>
      <c r="F309" s="420"/>
      <c r="G309" s="419"/>
      <c r="H309" s="426"/>
      <c r="I309" s="423"/>
      <c r="J309" s="849"/>
      <c r="K309" s="849"/>
      <c r="L309" s="849"/>
      <c r="M309" s="849"/>
      <c r="N309" s="849"/>
      <c r="O309" s="849"/>
      <c r="P309" s="849"/>
      <c r="Q309" s="849"/>
      <c r="R309" s="849"/>
      <c r="S309" s="849"/>
      <c r="T309" s="849"/>
      <c r="U309" s="849"/>
      <c r="V309" s="849"/>
      <c r="W309" s="849"/>
      <c r="X309" s="849"/>
      <c r="Y309" s="849"/>
      <c r="Z309" s="849"/>
      <c r="AA309" s="849"/>
      <c r="AB309" s="849"/>
      <c r="AC309" s="849"/>
      <c r="AD309" s="849"/>
      <c r="AE309" s="849"/>
      <c r="AF309" s="849"/>
      <c r="AG309" s="849"/>
      <c r="AH309" s="849"/>
      <c r="AI309" s="849"/>
      <c r="AJ309" s="849"/>
      <c r="AK309" s="849"/>
      <c r="AL309" s="849"/>
      <c r="AM309" s="849"/>
      <c r="AN309" s="849"/>
      <c r="AO309" s="849"/>
      <c r="AP309" s="849"/>
      <c r="AQ309" s="849"/>
      <c r="AR309" s="849"/>
      <c r="AS309" s="849"/>
      <c r="AT309" s="849"/>
      <c r="AU309" s="849"/>
      <c r="AV309" s="849"/>
      <c r="AW309" s="849"/>
      <c r="AX309" s="849"/>
      <c r="AY309" s="849"/>
      <c r="AZ309" s="849"/>
      <c r="BA309" s="849"/>
      <c r="BB309" s="849"/>
      <c r="BC309" s="849"/>
      <c r="BD309" s="849"/>
      <c r="BE309" s="849"/>
      <c r="BF309" s="849"/>
      <c r="BG309" s="849"/>
      <c r="BH309" s="849"/>
      <c r="BI309" s="849"/>
      <c r="BJ309" s="849"/>
      <c r="BK309" s="849"/>
      <c r="BL309" s="849"/>
      <c r="BM309" s="849"/>
      <c r="BN309" s="849"/>
      <c r="BO309" s="849"/>
      <c r="BP309" s="849"/>
      <c r="BQ309" s="849"/>
      <c r="BR309" s="849"/>
      <c r="BS309" s="849"/>
      <c r="BT309" s="849"/>
      <c r="BU309" s="849"/>
      <c r="BV309" s="849"/>
      <c r="BW309" s="849"/>
      <c r="BX309" s="849"/>
      <c r="BY309" s="849"/>
      <c r="BZ309" s="849"/>
      <c r="CA309" s="849"/>
      <c r="CB309" s="849"/>
      <c r="CC309" s="849"/>
      <c r="CD309" s="849"/>
      <c r="CE309" s="849"/>
      <c r="CF309" s="849"/>
      <c r="CG309" s="849"/>
      <c r="CH309" s="849"/>
      <c r="CI309" s="849"/>
      <c r="CJ309" s="849"/>
      <c r="CK309" s="849"/>
      <c r="CL309" s="849"/>
      <c r="CM309" s="849"/>
      <c r="CN309" s="849"/>
      <c r="CO309" s="849"/>
      <c r="CP309" s="849"/>
      <c r="CQ309" s="849"/>
      <c r="CR309" s="849"/>
      <c r="CS309" s="849"/>
      <c r="CT309" s="849"/>
      <c r="CU309" s="849"/>
      <c r="CV309" s="849"/>
      <c r="CW309" s="849"/>
      <c r="CX309" s="849"/>
      <c r="CY309" s="849"/>
      <c r="CZ309" s="849"/>
      <c r="DA309" s="849"/>
      <c r="DB309" s="849"/>
      <c r="DC309" s="849"/>
      <c r="DD309" s="849"/>
      <c r="DE309" s="849"/>
      <c r="DF309" s="849"/>
      <c r="DG309" s="849"/>
      <c r="DH309" s="849"/>
      <c r="DI309" s="849"/>
      <c r="DJ309" s="849"/>
      <c r="DK309" s="849"/>
      <c r="DL309" s="849"/>
      <c r="DM309" s="849"/>
      <c r="DN309" s="849"/>
      <c r="DO309" s="849"/>
      <c r="DP309" s="849"/>
      <c r="DQ309" s="849"/>
      <c r="DR309" s="849"/>
      <c r="DS309" s="849"/>
      <c r="DT309" s="849"/>
      <c r="DU309" s="849"/>
      <c r="DV309" s="849"/>
      <c r="DW309" s="849"/>
      <c r="DX309" s="849"/>
      <c r="DY309" s="849"/>
      <c r="DZ309" s="849"/>
      <c r="EA309" s="849"/>
      <c r="EB309" s="849"/>
      <c r="EC309" s="849"/>
      <c r="ED309" s="849"/>
      <c r="EE309" s="849"/>
      <c r="EF309" s="849"/>
      <c r="EG309" s="849"/>
      <c r="EH309" s="849"/>
      <c r="EI309" s="849"/>
      <c r="EJ309" s="849"/>
      <c r="EK309" s="849"/>
      <c r="EL309" s="849"/>
      <c r="EM309" s="849"/>
      <c r="EN309" s="849"/>
      <c r="EO309" s="849"/>
      <c r="EP309" s="849"/>
      <c r="EQ309" s="849"/>
      <c r="ER309" s="849"/>
      <c r="ES309" s="849"/>
      <c r="ET309" s="849"/>
      <c r="EU309" s="849"/>
      <c r="EV309" s="849"/>
      <c r="EW309" s="849"/>
      <c r="EX309" s="849"/>
      <c r="EY309" s="927">
        <f t="shared" si="212"/>
        <v>0</v>
      </c>
      <c r="EZ309" s="423"/>
      <c r="FA309" s="423"/>
      <c r="FB309" s="423"/>
      <c r="FC309" s="423"/>
      <c r="FD309" s="423"/>
      <c r="FE309" s="423"/>
      <c r="FF309" s="423"/>
      <c r="FG309" s="423"/>
      <c r="FH309" s="423"/>
      <c r="FI309" s="423"/>
      <c r="FJ309" s="423"/>
      <c r="FK309" s="423"/>
      <c r="FL309" s="423"/>
    </row>
    <row r="310" spans="1:168" hidden="1" x14ac:dyDescent="0.25">
      <c r="A310" s="1460"/>
      <c r="B310" s="115"/>
      <c r="C310" s="426"/>
      <c r="D310" s="420"/>
      <c r="E310" s="420"/>
      <c r="F310" s="420"/>
      <c r="G310" s="419"/>
      <c r="H310" s="426"/>
      <c r="I310" s="423"/>
      <c r="J310" s="849"/>
      <c r="K310" s="849"/>
      <c r="L310" s="849"/>
      <c r="M310" s="849"/>
      <c r="N310" s="849"/>
      <c r="O310" s="849"/>
      <c r="P310" s="849"/>
      <c r="Q310" s="849"/>
      <c r="R310" s="849"/>
      <c r="S310" s="849"/>
      <c r="T310" s="849"/>
      <c r="U310" s="849"/>
      <c r="V310" s="849"/>
      <c r="W310" s="849"/>
      <c r="X310" s="849"/>
      <c r="Y310" s="849"/>
      <c r="Z310" s="849"/>
      <c r="AA310" s="849"/>
      <c r="AB310" s="849"/>
      <c r="AC310" s="849"/>
      <c r="AD310" s="849"/>
      <c r="AE310" s="849"/>
      <c r="AF310" s="849"/>
      <c r="AG310" s="849"/>
      <c r="AH310" s="849"/>
      <c r="AI310" s="849"/>
      <c r="AJ310" s="849"/>
      <c r="AK310" s="849"/>
      <c r="AL310" s="849"/>
      <c r="AM310" s="849"/>
      <c r="AN310" s="849"/>
      <c r="AO310" s="849"/>
      <c r="AP310" s="849"/>
      <c r="AQ310" s="849"/>
      <c r="AR310" s="849"/>
      <c r="AS310" s="849"/>
      <c r="AT310" s="849"/>
      <c r="AU310" s="849"/>
      <c r="AV310" s="849"/>
      <c r="AW310" s="849"/>
      <c r="AX310" s="849"/>
      <c r="AY310" s="849"/>
      <c r="AZ310" s="849"/>
      <c r="BA310" s="849"/>
      <c r="BB310" s="849"/>
      <c r="BC310" s="849"/>
      <c r="BD310" s="849"/>
      <c r="BE310" s="849"/>
      <c r="BF310" s="849"/>
      <c r="BG310" s="849"/>
      <c r="BH310" s="849"/>
      <c r="BI310" s="849"/>
      <c r="BJ310" s="849"/>
      <c r="BK310" s="849"/>
      <c r="BL310" s="849"/>
      <c r="BM310" s="849"/>
      <c r="BN310" s="849"/>
      <c r="BO310" s="849"/>
      <c r="BP310" s="849"/>
      <c r="BQ310" s="849"/>
      <c r="BR310" s="849"/>
      <c r="BS310" s="849"/>
      <c r="BT310" s="849"/>
      <c r="BU310" s="849"/>
      <c r="BV310" s="849"/>
      <c r="BW310" s="849"/>
      <c r="BX310" s="849"/>
      <c r="BY310" s="849"/>
      <c r="BZ310" s="849"/>
      <c r="CA310" s="849"/>
      <c r="CB310" s="849"/>
      <c r="CC310" s="849"/>
      <c r="CD310" s="849"/>
      <c r="CE310" s="849"/>
      <c r="CF310" s="849"/>
      <c r="CG310" s="849"/>
      <c r="CH310" s="849"/>
      <c r="CI310" s="849"/>
      <c r="CJ310" s="849"/>
      <c r="CK310" s="849"/>
      <c r="CL310" s="849"/>
      <c r="CM310" s="849"/>
      <c r="CN310" s="849"/>
      <c r="CO310" s="849"/>
      <c r="CP310" s="849"/>
      <c r="CQ310" s="849"/>
      <c r="CR310" s="849"/>
      <c r="CS310" s="849"/>
      <c r="CT310" s="849"/>
      <c r="CU310" s="849"/>
      <c r="CV310" s="849"/>
      <c r="CW310" s="849"/>
      <c r="CX310" s="849"/>
      <c r="CY310" s="849"/>
      <c r="CZ310" s="849"/>
      <c r="DA310" s="849"/>
      <c r="DB310" s="849"/>
      <c r="DC310" s="849"/>
      <c r="DD310" s="849"/>
      <c r="DE310" s="849"/>
      <c r="DF310" s="849"/>
      <c r="DG310" s="849"/>
      <c r="DH310" s="849"/>
      <c r="DI310" s="849"/>
      <c r="DJ310" s="849"/>
      <c r="DK310" s="849"/>
      <c r="DL310" s="849"/>
      <c r="DM310" s="849"/>
      <c r="DN310" s="849"/>
      <c r="DO310" s="849"/>
      <c r="DP310" s="849"/>
      <c r="DQ310" s="849"/>
      <c r="DR310" s="849"/>
      <c r="DS310" s="849"/>
      <c r="DT310" s="849"/>
      <c r="DU310" s="849"/>
      <c r="DV310" s="849"/>
      <c r="DW310" s="849"/>
      <c r="DX310" s="849"/>
      <c r="DY310" s="849"/>
      <c r="DZ310" s="849"/>
      <c r="EA310" s="849"/>
      <c r="EB310" s="849"/>
      <c r="EC310" s="849"/>
      <c r="ED310" s="849"/>
      <c r="EE310" s="849"/>
      <c r="EF310" s="849"/>
      <c r="EG310" s="849"/>
      <c r="EH310" s="849"/>
      <c r="EI310" s="849"/>
      <c r="EJ310" s="849"/>
      <c r="EK310" s="849"/>
      <c r="EL310" s="849"/>
      <c r="EM310" s="849"/>
      <c r="EN310" s="849"/>
      <c r="EO310" s="849"/>
      <c r="EP310" s="849"/>
      <c r="EQ310" s="849"/>
      <c r="ER310" s="849"/>
      <c r="ES310" s="849"/>
      <c r="ET310" s="849"/>
      <c r="EU310" s="849"/>
      <c r="EV310" s="849"/>
      <c r="EW310" s="849"/>
      <c r="EX310" s="849"/>
      <c r="EY310" s="927">
        <f t="shared" si="212"/>
        <v>0</v>
      </c>
      <c r="EZ310" s="423"/>
      <c r="FA310" s="423"/>
      <c r="FB310" s="423"/>
      <c r="FC310" s="423"/>
      <c r="FD310" s="423"/>
      <c r="FE310" s="423"/>
      <c r="FF310" s="423"/>
      <c r="FG310" s="423"/>
      <c r="FH310" s="423"/>
      <c r="FI310" s="423"/>
      <c r="FJ310" s="423"/>
      <c r="FK310" s="423"/>
      <c r="FL310" s="423"/>
    </row>
    <row r="311" spans="1:168" hidden="1" x14ac:dyDescent="0.25">
      <c r="A311" s="1461"/>
      <c r="B311" s="115"/>
      <c r="C311" s="426"/>
      <c r="D311" s="420"/>
      <c r="E311" s="420"/>
      <c r="F311" s="420"/>
      <c r="G311" s="419"/>
      <c r="H311" s="426"/>
      <c r="I311" s="423"/>
      <c r="J311" s="849"/>
      <c r="K311" s="849"/>
      <c r="L311" s="849"/>
      <c r="M311" s="849"/>
      <c r="N311" s="849"/>
      <c r="O311" s="849"/>
      <c r="P311" s="849"/>
      <c r="Q311" s="849"/>
      <c r="R311" s="849"/>
      <c r="S311" s="849"/>
      <c r="T311" s="849"/>
      <c r="U311" s="849"/>
      <c r="V311" s="849"/>
      <c r="W311" s="849"/>
      <c r="X311" s="849"/>
      <c r="Y311" s="849"/>
      <c r="Z311" s="849"/>
      <c r="AA311" s="849"/>
      <c r="AB311" s="849"/>
      <c r="AC311" s="849"/>
      <c r="AD311" s="849"/>
      <c r="AE311" s="849"/>
      <c r="AF311" s="849"/>
      <c r="AG311" s="849"/>
      <c r="AH311" s="849"/>
      <c r="AI311" s="849"/>
      <c r="AJ311" s="849"/>
      <c r="AK311" s="849"/>
      <c r="AL311" s="849"/>
      <c r="AM311" s="849"/>
      <c r="AN311" s="849"/>
      <c r="AO311" s="849"/>
      <c r="AP311" s="849"/>
      <c r="AQ311" s="849"/>
      <c r="AR311" s="849"/>
      <c r="AS311" s="849"/>
      <c r="AT311" s="849"/>
      <c r="AU311" s="849"/>
      <c r="AV311" s="849"/>
      <c r="AW311" s="849"/>
      <c r="AX311" s="849"/>
      <c r="AY311" s="849"/>
      <c r="AZ311" s="849"/>
      <c r="BA311" s="849"/>
      <c r="BB311" s="849"/>
      <c r="BC311" s="849"/>
      <c r="BD311" s="849"/>
      <c r="BE311" s="849"/>
      <c r="BF311" s="849"/>
      <c r="BG311" s="849"/>
      <c r="BH311" s="849"/>
      <c r="BI311" s="849"/>
      <c r="BJ311" s="849"/>
      <c r="BK311" s="849"/>
      <c r="BL311" s="849"/>
      <c r="BM311" s="849"/>
      <c r="BN311" s="849"/>
      <c r="BO311" s="849"/>
      <c r="BP311" s="849"/>
      <c r="BQ311" s="849"/>
      <c r="BR311" s="849"/>
      <c r="BS311" s="849"/>
      <c r="BT311" s="849"/>
      <c r="BU311" s="849"/>
      <c r="BV311" s="849"/>
      <c r="BW311" s="849"/>
      <c r="BX311" s="849"/>
      <c r="BY311" s="849"/>
      <c r="BZ311" s="849"/>
      <c r="CA311" s="849"/>
      <c r="CB311" s="849"/>
      <c r="CC311" s="849"/>
      <c r="CD311" s="849"/>
      <c r="CE311" s="849"/>
      <c r="CF311" s="849"/>
      <c r="CG311" s="849"/>
      <c r="CH311" s="849"/>
      <c r="CI311" s="849"/>
      <c r="CJ311" s="849"/>
      <c r="CK311" s="849"/>
      <c r="CL311" s="849"/>
      <c r="CM311" s="849"/>
      <c r="CN311" s="849"/>
      <c r="CO311" s="849"/>
      <c r="CP311" s="849"/>
      <c r="CQ311" s="849"/>
      <c r="CR311" s="849"/>
      <c r="CS311" s="849"/>
      <c r="CT311" s="849"/>
      <c r="CU311" s="849"/>
      <c r="CV311" s="849"/>
      <c r="CW311" s="849"/>
      <c r="CX311" s="849"/>
      <c r="CY311" s="849"/>
      <c r="CZ311" s="849"/>
      <c r="DA311" s="849"/>
      <c r="DB311" s="849"/>
      <c r="DC311" s="849"/>
      <c r="DD311" s="849"/>
      <c r="DE311" s="849"/>
      <c r="DF311" s="849"/>
      <c r="DG311" s="849"/>
      <c r="DH311" s="849"/>
      <c r="DI311" s="849"/>
      <c r="DJ311" s="849"/>
      <c r="DK311" s="849"/>
      <c r="DL311" s="849"/>
      <c r="DM311" s="849"/>
      <c r="DN311" s="849"/>
      <c r="DO311" s="849"/>
      <c r="DP311" s="849"/>
      <c r="DQ311" s="849"/>
      <c r="DR311" s="849"/>
      <c r="DS311" s="849"/>
      <c r="DT311" s="849"/>
      <c r="DU311" s="849"/>
      <c r="DV311" s="849"/>
      <c r="DW311" s="849"/>
      <c r="DX311" s="849"/>
      <c r="DY311" s="849"/>
      <c r="DZ311" s="849"/>
      <c r="EA311" s="849"/>
      <c r="EB311" s="849"/>
      <c r="EC311" s="849"/>
      <c r="ED311" s="849"/>
      <c r="EE311" s="849"/>
      <c r="EF311" s="849"/>
      <c r="EG311" s="849"/>
      <c r="EH311" s="849"/>
      <c r="EI311" s="849"/>
      <c r="EJ311" s="849"/>
      <c r="EK311" s="849"/>
      <c r="EL311" s="849"/>
      <c r="EM311" s="849"/>
      <c r="EN311" s="849"/>
      <c r="EO311" s="849"/>
      <c r="EP311" s="849"/>
      <c r="EQ311" s="849"/>
      <c r="ER311" s="849"/>
      <c r="ES311" s="849"/>
      <c r="ET311" s="849"/>
      <c r="EU311" s="849"/>
      <c r="EV311" s="849"/>
      <c r="EW311" s="849"/>
      <c r="EX311" s="849"/>
      <c r="EY311" s="927">
        <f t="shared" si="212"/>
        <v>0</v>
      </c>
      <c r="EZ311" s="423"/>
      <c r="FA311" s="423"/>
      <c r="FB311" s="423"/>
      <c r="FC311" s="423"/>
      <c r="FD311" s="423"/>
      <c r="FE311" s="423"/>
      <c r="FF311" s="423"/>
      <c r="FG311" s="423"/>
      <c r="FH311" s="423"/>
      <c r="FI311" s="423"/>
      <c r="FJ311" s="423"/>
      <c r="FK311" s="423"/>
      <c r="FL311" s="423"/>
    </row>
    <row r="312" spans="1:168" hidden="1" x14ac:dyDescent="0.25">
      <c r="A312" s="120"/>
      <c r="B312" s="118" t="s">
        <v>801</v>
      </c>
      <c r="C312" s="840">
        <f>SUM(C307:C311)</f>
        <v>0</v>
      </c>
      <c r="D312" s="842">
        <f>SUM(D307:D311)</f>
        <v>0</v>
      </c>
      <c r="E312" s="842">
        <f t="shared" ref="E312:BC312" si="218">SUM(E307:E311)</f>
        <v>0</v>
      </c>
      <c r="F312" s="842">
        <f t="shared" si="218"/>
        <v>0</v>
      </c>
      <c r="G312" s="422">
        <f t="shared" si="218"/>
        <v>0</v>
      </c>
      <c r="H312" s="840"/>
      <c r="I312" s="534">
        <f t="shared" ref="I312" si="219">SUM(I307:I311)</f>
        <v>0</v>
      </c>
      <c r="J312" s="847">
        <f t="shared" si="218"/>
        <v>0</v>
      </c>
      <c r="K312" s="847">
        <f t="shared" si="218"/>
        <v>0</v>
      </c>
      <c r="L312" s="847">
        <f t="shared" si="218"/>
        <v>0</v>
      </c>
      <c r="M312" s="847">
        <f t="shared" si="218"/>
        <v>0</v>
      </c>
      <c r="N312" s="847">
        <f t="shared" si="218"/>
        <v>0</v>
      </c>
      <c r="O312" s="847">
        <f t="shared" si="218"/>
        <v>0</v>
      </c>
      <c r="P312" s="847">
        <f t="shared" si="218"/>
        <v>0</v>
      </c>
      <c r="Q312" s="847">
        <f t="shared" si="218"/>
        <v>0</v>
      </c>
      <c r="R312" s="847">
        <f t="shared" si="218"/>
        <v>0</v>
      </c>
      <c r="S312" s="847">
        <f t="shared" si="218"/>
        <v>0</v>
      </c>
      <c r="T312" s="847">
        <f t="shared" si="218"/>
        <v>0</v>
      </c>
      <c r="U312" s="847">
        <f t="shared" si="218"/>
        <v>0</v>
      </c>
      <c r="V312" s="847">
        <f t="shared" si="218"/>
        <v>0</v>
      </c>
      <c r="W312" s="847">
        <f t="shared" si="218"/>
        <v>0</v>
      </c>
      <c r="X312" s="847">
        <f t="shared" si="218"/>
        <v>0</v>
      </c>
      <c r="Y312" s="847">
        <f t="shared" si="218"/>
        <v>0</v>
      </c>
      <c r="Z312" s="847">
        <f t="shared" si="218"/>
        <v>0</v>
      </c>
      <c r="AA312" s="847">
        <f t="shared" si="218"/>
        <v>0</v>
      </c>
      <c r="AB312" s="847">
        <f t="shared" si="218"/>
        <v>0</v>
      </c>
      <c r="AC312" s="847">
        <f t="shared" si="218"/>
        <v>0</v>
      </c>
      <c r="AD312" s="847">
        <f t="shared" si="218"/>
        <v>0</v>
      </c>
      <c r="AE312" s="847">
        <f t="shared" si="218"/>
        <v>0</v>
      </c>
      <c r="AF312" s="847">
        <f t="shared" si="218"/>
        <v>0</v>
      </c>
      <c r="AG312" s="847">
        <f t="shared" si="218"/>
        <v>0</v>
      </c>
      <c r="AH312" s="847">
        <f t="shared" si="218"/>
        <v>0</v>
      </c>
      <c r="AI312" s="847">
        <f t="shared" si="218"/>
        <v>0</v>
      </c>
      <c r="AJ312" s="847">
        <f t="shared" si="218"/>
        <v>0</v>
      </c>
      <c r="AK312" s="847">
        <f t="shared" si="218"/>
        <v>0</v>
      </c>
      <c r="AL312" s="847">
        <f t="shared" si="218"/>
        <v>0</v>
      </c>
      <c r="AM312" s="847">
        <f t="shared" si="218"/>
        <v>0</v>
      </c>
      <c r="AN312" s="847">
        <f t="shared" si="218"/>
        <v>0</v>
      </c>
      <c r="AO312" s="847">
        <f t="shared" si="218"/>
        <v>0</v>
      </c>
      <c r="AP312" s="847">
        <f t="shared" si="218"/>
        <v>0</v>
      </c>
      <c r="AQ312" s="847">
        <f t="shared" si="218"/>
        <v>0</v>
      </c>
      <c r="AR312" s="847">
        <f t="shared" si="218"/>
        <v>0</v>
      </c>
      <c r="AS312" s="847">
        <f t="shared" si="218"/>
        <v>0</v>
      </c>
      <c r="AT312" s="847">
        <f t="shared" si="218"/>
        <v>0</v>
      </c>
      <c r="AU312" s="847">
        <f t="shared" si="218"/>
        <v>0</v>
      </c>
      <c r="AV312" s="847">
        <f t="shared" si="218"/>
        <v>0</v>
      </c>
      <c r="AW312" s="847">
        <f t="shared" si="218"/>
        <v>0</v>
      </c>
      <c r="AX312" s="847">
        <f t="shared" si="218"/>
        <v>0</v>
      </c>
      <c r="AY312" s="847">
        <f t="shared" si="218"/>
        <v>0</v>
      </c>
      <c r="AZ312" s="847">
        <f t="shared" si="218"/>
        <v>0</v>
      </c>
      <c r="BA312" s="847">
        <f t="shared" si="218"/>
        <v>0</v>
      </c>
      <c r="BB312" s="847">
        <f t="shared" si="218"/>
        <v>0</v>
      </c>
      <c r="BC312" s="847">
        <f t="shared" si="218"/>
        <v>0</v>
      </c>
      <c r="BD312" s="847">
        <f t="shared" ref="BD312:DO312" si="220">SUM(BD307:BD311)</f>
        <v>0</v>
      </c>
      <c r="BE312" s="847">
        <f t="shared" si="220"/>
        <v>0</v>
      </c>
      <c r="BF312" s="847">
        <f t="shared" si="220"/>
        <v>0</v>
      </c>
      <c r="BG312" s="847">
        <f t="shared" si="220"/>
        <v>0</v>
      </c>
      <c r="BH312" s="847">
        <f t="shared" si="220"/>
        <v>0</v>
      </c>
      <c r="BI312" s="847">
        <f t="shared" si="220"/>
        <v>0</v>
      </c>
      <c r="BJ312" s="847">
        <f t="shared" si="220"/>
        <v>0</v>
      </c>
      <c r="BK312" s="847">
        <f t="shared" si="220"/>
        <v>0</v>
      </c>
      <c r="BL312" s="847">
        <f t="shared" si="220"/>
        <v>0</v>
      </c>
      <c r="BM312" s="847">
        <f t="shared" si="220"/>
        <v>0</v>
      </c>
      <c r="BN312" s="847">
        <f t="shared" si="220"/>
        <v>0</v>
      </c>
      <c r="BO312" s="847">
        <f t="shared" si="220"/>
        <v>0</v>
      </c>
      <c r="BP312" s="847">
        <f t="shared" si="220"/>
        <v>0</v>
      </c>
      <c r="BQ312" s="847">
        <f t="shared" si="220"/>
        <v>0</v>
      </c>
      <c r="BR312" s="847">
        <f t="shared" si="220"/>
        <v>0</v>
      </c>
      <c r="BS312" s="847">
        <f t="shared" si="220"/>
        <v>0</v>
      </c>
      <c r="BT312" s="847">
        <f t="shared" si="220"/>
        <v>0</v>
      </c>
      <c r="BU312" s="847">
        <f t="shared" si="220"/>
        <v>0</v>
      </c>
      <c r="BV312" s="847">
        <f t="shared" si="220"/>
        <v>0</v>
      </c>
      <c r="BW312" s="847">
        <f t="shared" si="220"/>
        <v>0</v>
      </c>
      <c r="BX312" s="847">
        <f t="shared" si="220"/>
        <v>0</v>
      </c>
      <c r="BY312" s="847">
        <f t="shared" si="220"/>
        <v>0</v>
      </c>
      <c r="BZ312" s="847">
        <f t="shared" si="220"/>
        <v>0</v>
      </c>
      <c r="CA312" s="847">
        <f t="shared" si="220"/>
        <v>0</v>
      </c>
      <c r="CB312" s="847">
        <f t="shared" si="220"/>
        <v>0</v>
      </c>
      <c r="CC312" s="847">
        <f t="shared" si="220"/>
        <v>0</v>
      </c>
      <c r="CD312" s="847">
        <f t="shared" si="220"/>
        <v>0</v>
      </c>
      <c r="CE312" s="847">
        <f t="shared" si="220"/>
        <v>0</v>
      </c>
      <c r="CF312" s="847">
        <f t="shared" si="220"/>
        <v>0</v>
      </c>
      <c r="CG312" s="847">
        <f t="shared" si="220"/>
        <v>0</v>
      </c>
      <c r="CH312" s="847">
        <f t="shared" si="220"/>
        <v>0</v>
      </c>
      <c r="CI312" s="847">
        <f t="shared" si="220"/>
        <v>0</v>
      </c>
      <c r="CJ312" s="847">
        <f t="shared" si="220"/>
        <v>0</v>
      </c>
      <c r="CK312" s="847">
        <f t="shared" si="220"/>
        <v>0</v>
      </c>
      <c r="CL312" s="847">
        <f t="shared" si="220"/>
        <v>0</v>
      </c>
      <c r="CM312" s="847">
        <f t="shared" si="220"/>
        <v>0</v>
      </c>
      <c r="CN312" s="847">
        <f t="shared" si="220"/>
        <v>0</v>
      </c>
      <c r="CO312" s="847">
        <f t="shared" si="220"/>
        <v>0</v>
      </c>
      <c r="CP312" s="847">
        <f t="shared" si="220"/>
        <v>0</v>
      </c>
      <c r="CQ312" s="847">
        <f t="shared" si="220"/>
        <v>0</v>
      </c>
      <c r="CR312" s="847">
        <f t="shared" si="220"/>
        <v>0</v>
      </c>
      <c r="CS312" s="847">
        <f t="shared" si="220"/>
        <v>0</v>
      </c>
      <c r="CT312" s="847">
        <f t="shared" si="220"/>
        <v>0</v>
      </c>
      <c r="CU312" s="847">
        <f t="shared" si="220"/>
        <v>0</v>
      </c>
      <c r="CV312" s="847">
        <f t="shared" si="220"/>
        <v>0</v>
      </c>
      <c r="CW312" s="847">
        <f t="shared" si="220"/>
        <v>0</v>
      </c>
      <c r="CX312" s="847">
        <f t="shared" si="220"/>
        <v>0</v>
      </c>
      <c r="CY312" s="847">
        <f t="shared" si="220"/>
        <v>0</v>
      </c>
      <c r="CZ312" s="847">
        <f t="shared" si="220"/>
        <v>0</v>
      </c>
      <c r="DA312" s="847">
        <f t="shared" si="220"/>
        <v>0</v>
      </c>
      <c r="DB312" s="847">
        <f t="shared" si="220"/>
        <v>0</v>
      </c>
      <c r="DC312" s="847">
        <f t="shared" si="220"/>
        <v>0</v>
      </c>
      <c r="DD312" s="847">
        <f t="shared" si="220"/>
        <v>0</v>
      </c>
      <c r="DE312" s="847">
        <f t="shared" si="220"/>
        <v>0</v>
      </c>
      <c r="DF312" s="847">
        <f t="shared" si="220"/>
        <v>0</v>
      </c>
      <c r="DG312" s="847">
        <f t="shared" si="220"/>
        <v>0</v>
      </c>
      <c r="DH312" s="847">
        <f t="shared" si="220"/>
        <v>0</v>
      </c>
      <c r="DI312" s="847">
        <f t="shared" si="220"/>
        <v>0</v>
      </c>
      <c r="DJ312" s="847">
        <f t="shared" si="220"/>
        <v>0</v>
      </c>
      <c r="DK312" s="847">
        <f t="shared" si="220"/>
        <v>0</v>
      </c>
      <c r="DL312" s="847">
        <f t="shared" si="220"/>
        <v>0</v>
      </c>
      <c r="DM312" s="847">
        <f t="shared" si="220"/>
        <v>0</v>
      </c>
      <c r="DN312" s="847">
        <f t="shared" si="220"/>
        <v>0</v>
      </c>
      <c r="DO312" s="847">
        <f t="shared" si="220"/>
        <v>0</v>
      </c>
      <c r="DP312" s="847">
        <f t="shared" ref="DP312:EX312" si="221">SUM(DP307:DP311)</f>
        <v>0</v>
      </c>
      <c r="DQ312" s="847">
        <f t="shared" si="221"/>
        <v>0</v>
      </c>
      <c r="DR312" s="847">
        <f t="shared" si="221"/>
        <v>0</v>
      </c>
      <c r="DS312" s="847">
        <f t="shared" si="221"/>
        <v>0</v>
      </c>
      <c r="DT312" s="847">
        <f t="shared" si="221"/>
        <v>0</v>
      </c>
      <c r="DU312" s="847">
        <f t="shared" si="221"/>
        <v>0</v>
      </c>
      <c r="DV312" s="847">
        <f t="shared" si="221"/>
        <v>0</v>
      </c>
      <c r="DW312" s="847">
        <f t="shared" si="221"/>
        <v>0</v>
      </c>
      <c r="DX312" s="847">
        <f t="shared" si="221"/>
        <v>0</v>
      </c>
      <c r="DY312" s="847">
        <f t="shared" si="221"/>
        <v>0</v>
      </c>
      <c r="DZ312" s="847">
        <f t="shared" si="221"/>
        <v>0</v>
      </c>
      <c r="EA312" s="847">
        <f t="shared" si="221"/>
        <v>0</v>
      </c>
      <c r="EB312" s="847">
        <f t="shared" si="221"/>
        <v>0</v>
      </c>
      <c r="EC312" s="847">
        <f t="shared" si="221"/>
        <v>0</v>
      </c>
      <c r="ED312" s="847">
        <f t="shared" si="221"/>
        <v>0</v>
      </c>
      <c r="EE312" s="847">
        <f t="shared" si="221"/>
        <v>0</v>
      </c>
      <c r="EF312" s="847">
        <f t="shared" si="221"/>
        <v>0</v>
      </c>
      <c r="EG312" s="847">
        <f t="shared" si="221"/>
        <v>0</v>
      </c>
      <c r="EH312" s="847">
        <f t="shared" si="221"/>
        <v>0</v>
      </c>
      <c r="EI312" s="847">
        <f t="shared" si="221"/>
        <v>0</v>
      </c>
      <c r="EJ312" s="847">
        <f t="shared" si="221"/>
        <v>0</v>
      </c>
      <c r="EK312" s="847">
        <f t="shared" si="221"/>
        <v>0</v>
      </c>
      <c r="EL312" s="847">
        <f t="shared" si="221"/>
        <v>0</v>
      </c>
      <c r="EM312" s="847">
        <f t="shared" si="221"/>
        <v>0</v>
      </c>
      <c r="EN312" s="847">
        <f t="shared" si="221"/>
        <v>0</v>
      </c>
      <c r="EO312" s="847">
        <f t="shared" si="221"/>
        <v>0</v>
      </c>
      <c r="EP312" s="847">
        <f t="shared" si="221"/>
        <v>0</v>
      </c>
      <c r="EQ312" s="847">
        <f t="shared" si="221"/>
        <v>0</v>
      </c>
      <c r="ER312" s="847">
        <f t="shared" si="221"/>
        <v>0</v>
      </c>
      <c r="ES312" s="847">
        <f t="shared" si="221"/>
        <v>0</v>
      </c>
      <c r="ET312" s="847">
        <f t="shared" si="221"/>
        <v>0</v>
      </c>
      <c r="EU312" s="847">
        <f t="shared" si="221"/>
        <v>0</v>
      </c>
      <c r="EV312" s="847">
        <f t="shared" si="221"/>
        <v>0</v>
      </c>
      <c r="EW312" s="847">
        <f t="shared" si="221"/>
        <v>0</v>
      </c>
      <c r="EX312" s="847">
        <f t="shared" si="221"/>
        <v>0</v>
      </c>
      <c r="EY312" s="863">
        <f t="shared" ref="EY312:FL312" si="222">SUM(EY307:EY311)</f>
        <v>0</v>
      </c>
      <c r="EZ312" s="534">
        <f t="shared" si="222"/>
        <v>0</v>
      </c>
      <c r="FA312" s="534">
        <f t="shared" si="222"/>
        <v>0</v>
      </c>
      <c r="FB312" s="534">
        <f t="shared" si="222"/>
        <v>0</v>
      </c>
      <c r="FC312" s="534">
        <f t="shared" si="222"/>
        <v>0</v>
      </c>
      <c r="FD312" s="534">
        <f t="shared" si="222"/>
        <v>0</v>
      </c>
      <c r="FE312" s="534">
        <f t="shared" si="222"/>
        <v>0</v>
      </c>
      <c r="FF312" s="534">
        <f t="shared" si="222"/>
        <v>0</v>
      </c>
      <c r="FG312" s="534">
        <f t="shared" si="222"/>
        <v>0</v>
      </c>
      <c r="FH312" s="534">
        <f t="shared" si="222"/>
        <v>0</v>
      </c>
      <c r="FI312" s="534">
        <f t="shared" si="222"/>
        <v>0</v>
      </c>
      <c r="FJ312" s="534">
        <f t="shared" si="222"/>
        <v>0</v>
      </c>
      <c r="FK312" s="534">
        <f t="shared" si="222"/>
        <v>0</v>
      </c>
      <c r="FL312" s="534">
        <f t="shared" si="222"/>
        <v>0</v>
      </c>
    </row>
    <row r="313" spans="1:168" hidden="1" x14ac:dyDescent="0.25">
      <c r="A313" s="411"/>
      <c r="B313" s="461" t="s">
        <v>1254</v>
      </c>
      <c r="C313" s="841">
        <f>C296+C306+C312</f>
        <v>0</v>
      </c>
      <c r="D313" s="843">
        <f>D296+D306+D312</f>
        <v>0</v>
      </c>
      <c r="E313" s="843">
        <f t="shared" ref="E313:BC313" si="223">E296+E306+E312</f>
        <v>0</v>
      </c>
      <c r="F313" s="843">
        <f t="shared" si="223"/>
        <v>0</v>
      </c>
      <c r="G313" s="392">
        <f t="shared" si="223"/>
        <v>0</v>
      </c>
      <c r="H313" s="841"/>
      <c r="I313" s="791">
        <f t="shared" ref="I313" si="224">I296+I306+I312</f>
        <v>0</v>
      </c>
      <c r="J313" s="848">
        <f t="shared" si="223"/>
        <v>0</v>
      </c>
      <c r="K313" s="848">
        <f t="shared" si="223"/>
        <v>0</v>
      </c>
      <c r="L313" s="848">
        <f t="shared" si="223"/>
        <v>0</v>
      </c>
      <c r="M313" s="848">
        <f t="shared" si="223"/>
        <v>0</v>
      </c>
      <c r="N313" s="848">
        <f t="shared" si="223"/>
        <v>0</v>
      </c>
      <c r="O313" s="848">
        <f t="shared" si="223"/>
        <v>0</v>
      </c>
      <c r="P313" s="848">
        <f t="shared" si="223"/>
        <v>0</v>
      </c>
      <c r="Q313" s="848">
        <f t="shared" si="223"/>
        <v>0</v>
      </c>
      <c r="R313" s="848">
        <f t="shared" si="223"/>
        <v>0</v>
      </c>
      <c r="S313" s="848">
        <f t="shared" si="223"/>
        <v>0</v>
      </c>
      <c r="T313" s="848">
        <f t="shared" si="223"/>
        <v>0</v>
      </c>
      <c r="U313" s="848">
        <f t="shared" si="223"/>
        <v>0</v>
      </c>
      <c r="V313" s="848">
        <f t="shared" si="223"/>
        <v>0</v>
      </c>
      <c r="W313" s="848">
        <f t="shared" si="223"/>
        <v>0</v>
      </c>
      <c r="X313" s="848">
        <f t="shared" si="223"/>
        <v>0</v>
      </c>
      <c r="Y313" s="848">
        <f t="shared" si="223"/>
        <v>0</v>
      </c>
      <c r="Z313" s="848">
        <f t="shared" si="223"/>
        <v>0</v>
      </c>
      <c r="AA313" s="848">
        <f t="shared" si="223"/>
        <v>0</v>
      </c>
      <c r="AB313" s="848">
        <f t="shared" si="223"/>
        <v>0</v>
      </c>
      <c r="AC313" s="848">
        <f t="shared" si="223"/>
        <v>0</v>
      </c>
      <c r="AD313" s="848">
        <f t="shared" si="223"/>
        <v>0</v>
      </c>
      <c r="AE313" s="848">
        <f t="shared" si="223"/>
        <v>0</v>
      </c>
      <c r="AF313" s="848">
        <f t="shared" si="223"/>
        <v>0</v>
      </c>
      <c r="AG313" s="848">
        <f t="shared" si="223"/>
        <v>0</v>
      </c>
      <c r="AH313" s="848">
        <f t="shared" si="223"/>
        <v>0</v>
      </c>
      <c r="AI313" s="848">
        <f t="shared" si="223"/>
        <v>0</v>
      </c>
      <c r="AJ313" s="848">
        <f t="shared" si="223"/>
        <v>0</v>
      </c>
      <c r="AK313" s="848">
        <f t="shared" si="223"/>
        <v>0</v>
      </c>
      <c r="AL313" s="848">
        <f t="shared" si="223"/>
        <v>0</v>
      </c>
      <c r="AM313" s="848">
        <f t="shared" si="223"/>
        <v>0</v>
      </c>
      <c r="AN313" s="848">
        <f t="shared" si="223"/>
        <v>0</v>
      </c>
      <c r="AO313" s="848">
        <f t="shared" si="223"/>
        <v>0</v>
      </c>
      <c r="AP313" s="848">
        <f t="shared" si="223"/>
        <v>0</v>
      </c>
      <c r="AQ313" s="848">
        <f t="shared" si="223"/>
        <v>0</v>
      </c>
      <c r="AR313" s="848">
        <f t="shared" si="223"/>
        <v>0</v>
      </c>
      <c r="AS313" s="848">
        <f t="shared" si="223"/>
        <v>0</v>
      </c>
      <c r="AT313" s="848">
        <f t="shared" si="223"/>
        <v>0</v>
      </c>
      <c r="AU313" s="848">
        <f t="shared" si="223"/>
        <v>0</v>
      </c>
      <c r="AV313" s="848">
        <f t="shared" si="223"/>
        <v>0</v>
      </c>
      <c r="AW313" s="848">
        <f t="shared" si="223"/>
        <v>0</v>
      </c>
      <c r="AX313" s="848">
        <f t="shared" si="223"/>
        <v>0</v>
      </c>
      <c r="AY313" s="848">
        <f t="shared" si="223"/>
        <v>0</v>
      </c>
      <c r="AZ313" s="848">
        <f t="shared" si="223"/>
        <v>0</v>
      </c>
      <c r="BA313" s="848">
        <f t="shared" si="223"/>
        <v>0</v>
      </c>
      <c r="BB313" s="848">
        <f t="shared" si="223"/>
        <v>0</v>
      </c>
      <c r="BC313" s="848">
        <f t="shared" si="223"/>
        <v>0</v>
      </c>
      <c r="BD313" s="848">
        <f t="shared" ref="BD313:DO313" si="225">BD296+BD306+BD312</f>
        <v>0</v>
      </c>
      <c r="BE313" s="848">
        <f t="shared" si="225"/>
        <v>0</v>
      </c>
      <c r="BF313" s="848">
        <f t="shared" si="225"/>
        <v>0</v>
      </c>
      <c r="BG313" s="848">
        <f t="shared" si="225"/>
        <v>0</v>
      </c>
      <c r="BH313" s="848">
        <f t="shared" si="225"/>
        <v>0</v>
      </c>
      <c r="BI313" s="848">
        <f t="shared" si="225"/>
        <v>0</v>
      </c>
      <c r="BJ313" s="848">
        <f t="shared" si="225"/>
        <v>0</v>
      </c>
      <c r="BK313" s="848">
        <f t="shared" si="225"/>
        <v>0</v>
      </c>
      <c r="BL313" s="848">
        <f t="shared" si="225"/>
        <v>0</v>
      </c>
      <c r="BM313" s="848">
        <f t="shared" si="225"/>
        <v>0</v>
      </c>
      <c r="BN313" s="848">
        <f t="shared" si="225"/>
        <v>0</v>
      </c>
      <c r="BO313" s="848">
        <f t="shared" si="225"/>
        <v>0</v>
      </c>
      <c r="BP313" s="848">
        <f t="shared" si="225"/>
        <v>0</v>
      </c>
      <c r="BQ313" s="848">
        <f t="shared" si="225"/>
        <v>0</v>
      </c>
      <c r="BR313" s="848">
        <f t="shared" si="225"/>
        <v>0</v>
      </c>
      <c r="BS313" s="848">
        <f t="shared" si="225"/>
        <v>0</v>
      </c>
      <c r="BT313" s="848">
        <f t="shared" si="225"/>
        <v>0</v>
      </c>
      <c r="BU313" s="848">
        <f t="shared" si="225"/>
        <v>0</v>
      </c>
      <c r="BV313" s="848">
        <f t="shared" si="225"/>
        <v>0</v>
      </c>
      <c r="BW313" s="848">
        <f t="shared" si="225"/>
        <v>0</v>
      </c>
      <c r="BX313" s="848">
        <f t="shared" si="225"/>
        <v>0</v>
      </c>
      <c r="BY313" s="848">
        <f t="shared" si="225"/>
        <v>0</v>
      </c>
      <c r="BZ313" s="848">
        <f t="shared" si="225"/>
        <v>0</v>
      </c>
      <c r="CA313" s="848">
        <f t="shared" si="225"/>
        <v>0</v>
      </c>
      <c r="CB313" s="848">
        <f t="shared" si="225"/>
        <v>0</v>
      </c>
      <c r="CC313" s="848">
        <f t="shared" si="225"/>
        <v>0</v>
      </c>
      <c r="CD313" s="848">
        <f t="shared" si="225"/>
        <v>0</v>
      </c>
      <c r="CE313" s="848">
        <f t="shared" si="225"/>
        <v>0</v>
      </c>
      <c r="CF313" s="848">
        <f t="shared" si="225"/>
        <v>0</v>
      </c>
      <c r="CG313" s="848">
        <f t="shared" si="225"/>
        <v>0</v>
      </c>
      <c r="CH313" s="848">
        <f t="shared" si="225"/>
        <v>0</v>
      </c>
      <c r="CI313" s="848">
        <f t="shared" si="225"/>
        <v>0</v>
      </c>
      <c r="CJ313" s="848">
        <f t="shared" si="225"/>
        <v>0</v>
      </c>
      <c r="CK313" s="848">
        <f t="shared" si="225"/>
        <v>0</v>
      </c>
      <c r="CL313" s="848">
        <f t="shared" si="225"/>
        <v>0</v>
      </c>
      <c r="CM313" s="848">
        <f t="shared" si="225"/>
        <v>0</v>
      </c>
      <c r="CN313" s="848">
        <f t="shared" si="225"/>
        <v>0</v>
      </c>
      <c r="CO313" s="848">
        <f t="shared" si="225"/>
        <v>0</v>
      </c>
      <c r="CP313" s="848">
        <f t="shared" si="225"/>
        <v>0</v>
      </c>
      <c r="CQ313" s="848">
        <f t="shared" si="225"/>
        <v>0</v>
      </c>
      <c r="CR313" s="848">
        <f t="shared" si="225"/>
        <v>0</v>
      </c>
      <c r="CS313" s="848">
        <f t="shared" si="225"/>
        <v>0</v>
      </c>
      <c r="CT313" s="848">
        <f t="shared" si="225"/>
        <v>0</v>
      </c>
      <c r="CU313" s="848">
        <f t="shared" si="225"/>
        <v>0</v>
      </c>
      <c r="CV313" s="848">
        <f t="shared" si="225"/>
        <v>0</v>
      </c>
      <c r="CW313" s="848">
        <f t="shared" si="225"/>
        <v>0</v>
      </c>
      <c r="CX313" s="848">
        <f t="shared" si="225"/>
        <v>0</v>
      </c>
      <c r="CY313" s="848">
        <f t="shared" si="225"/>
        <v>0</v>
      </c>
      <c r="CZ313" s="848">
        <f t="shared" si="225"/>
        <v>0</v>
      </c>
      <c r="DA313" s="848">
        <f t="shared" si="225"/>
        <v>0</v>
      </c>
      <c r="DB313" s="848">
        <f t="shared" si="225"/>
        <v>0</v>
      </c>
      <c r="DC313" s="848">
        <f t="shared" si="225"/>
        <v>0</v>
      </c>
      <c r="DD313" s="848">
        <f t="shared" si="225"/>
        <v>0</v>
      </c>
      <c r="DE313" s="848">
        <f t="shared" si="225"/>
        <v>0</v>
      </c>
      <c r="DF313" s="848">
        <f t="shared" si="225"/>
        <v>0</v>
      </c>
      <c r="DG313" s="848">
        <f t="shared" si="225"/>
        <v>0</v>
      </c>
      <c r="DH313" s="848">
        <f t="shared" si="225"/>
        <v>0</v>
      </c>
      <c r="DI313" s="848">
        <f t="shared" si="225"/>
        <v>0</v>
      </c>
      <c r="DJ313" s="848">
        <f t="shared" si="225"/>
        <v>0</v>
      </c>
      <c r="DK313" s="848">
        <f t="shared" si="225"/>
        <v>0</v>
      </c>
      <c r="DL313" s="848">
        <f t="shared" si="225"/>
        <v>0</v>
      </c>
      <c r="DM313" s="848">
        <f t="shared" si="225"/>
        <v>0</v>
      </c>
      <c r="DN313" s="848">
        <f t="shared" si="225"/>
        <v>0</v>
      </c>
      <c r="DO313" s="848">
        <f t="shared" si="225"/>
        <v>0</v>
      </c>
      <c r="DP313" s="848">
        <f t="shared" ref="DP313:FL313" si="226">DP296+DP306+DP312</f>
        <v>0</v>
      </c>
      <c r="DQ313" s="848">
        <f t="shared" si="226"/>
        <v>0</v>
      </c>
      <c r="DR313" s="848">
        <f t="shared" si="226"/>
        <v>0</v>
      </c>
      <c r="DS313" s="848">
        <f t="shared" si="226"/>
        <v>0</v>
      </c>
      <c r="DT313" s="848">
        <f t="shared" si="226"/>
        <v>0</v>
      </c>
      <c r="DU313" s="848">
        <f t="shared" si="226"/>
        <v>0</v>
      </c>
      <c r="DV313" s="848">
        <f t="shared" si="226"/>
        <v>0</v>
      </c>
      <c r="DW313" s="848">
        <f t="shared" si="226"/>
        <v>0</v>
      </c>
      <c r="DX313" s="848">
        <f t="shared" si="226"/>
        <v>0</v>
      </c>
      <c r="DY313" s="848">
        <f t="shared" si="226"/>
        <v>0</v>
      </c>
      <c r="DZ313" s="848">
        <f t="shared" si="226"/>
        <v>0</v>
      </c>
      <c r="EA313" s="848">
        <f t="shared" si="226"/>
        <v>0</v>
      </c>
      <c r="EB313" s="848">
        <f t="shared" si="226"/>
        <v>0</v>
      </c>
      <c r="EC313" s="848">
        <f t="shared" si="226"/>
        <v>0</v>
      </c>
      <c r="ED313" s="848">
        <f t="shared" si="226"/>
        <v>0</v>
      </c>
      <c r="EE313" s="848">
        <f t="shared" si="226"/>
        <v>0</v>
      </c>
      <c r="EF313" s="848">
        <f t="shared" si="226"/>
        <v>0</v>
      </c>
      <c r="EG313" s="848">
        <f t="shared" si="226"/>
        <v>0</v>
      </c>
      <c r="EH313" s="848">
        <f t="shared" si="226"/>
        <v>0</v>
      </c>
      <c r="EI313" s="848">
        <f t="shared" si="226"/>
        <v>0</v>
      </c>
      <c r="EJ313" s="848">
        <f t="shared" si="226"/>
        <v>0</v>
      </c>
      <c r="EK313" s="848">
        <f t="shared" si="226"/>
        <v>0</v>
      </c>
      <c r="EL313" s="848">
        <f t="shared" si="226"/>
        <v>0</v>
      </c>
      <c r="EM313" s="848">
        <f t="shared" si="226"/>
        <v>0</v>
      </c>
      <c r="EN313" s="848">
        <f t="shared" si="226"/>
        <v>0</v>
      </c>
      <c r="EO313" s="848">
        <f t="shared" si="226"/>
        <v>0</v>
      </c>
      <c r="EP313" s="848">
        <f t="shared" si="226"/>
        <v>0</v>
      </c>
      <c r="EQ313" s="848">
        <f t="shared" si="226"/>
        <v>0</v>
      </c>
      <c r="ER313" s="848">
        <f t="shared" si="226"/>
        <v>0</v>
      </c>
      <c r="ES313" s="848">
        <f t="shared" si="226"/>
        <v>0</v>
      </c>
      <c r="ET313" s="848">
        <f t="shared" si="226"/>
        <v>0</v>
      </c>
      <c r="EU313" s="848">
        <f t="shared" si="226"/>
        <v>0</v>
      </c>
      <c r="EV313" s="848">
        <f t="shared" si="226"/>
        <v>0</v>
      </c>
      <c r="EW313" s="848">
        <f t="shared" si="226"/>
        <v>0</v>
      </c>
      <c r="EX313" s="848">
        <f t="shared" si="226"/>
        <v>0</v>
      </c>
      <c r="EY313" s="767">
        <f t="shared" si="226"/>
        <v>0</v>
      </c>
      <c r="EZ313" s="791">
        <f t="shared" si="226"/>
        <v>0</v>
      </c>
      <c r="FA313" s="791">
        <f t="shared" si="226"/>
        <v>0</v>
      </c>
      <c r="FB313" s="791">
        <f t="shared" si="226"/>
        <v>0</v>
      </c>
      <c r="FC313" s="791">
        <f t="shared" si="226"/>
        <v>0</v>
      </c>
      <c r="FD313" s="791">
        <f t="shared" si="226"/>
        <v>0</v>
      </c>
      <c r="FE313" s="791">
        <f t="shared" si="226"/>
        <v>0</v>
      </c>
      <c r="FF313" s="791">
        <f t="shared" si="226"/>
        <v>0</v>
      </c>
      <c r="FG313" s="791">
        <f t="shared" si="226"/>
        <v>0</v>
      </c>
      <c r="FH313" s="791">
        <f t="shared" si="226"/>
        <v>0</v>
      </c>
      <c r="FI313" s="791">
        <f t="shared" si="226"/>
        <v>0</v>
      </c>
      <c r="FJ313" s="791">
        <f t="shared" si="226"/>
        <v>0</v>
      </c>
      <c r="FK313" s="791">
        <f t="shared" si="226"/>
        <v>0</v>
      </c>
      <c r="FL313" s="791">
        <f t="shared" si="226"/>
        <v>0</v>
      </c>
    </row>
    <row r="314" spans="1:168" hidden="1" x14ac:dyDescent="0.25">
      <c r="A314" s="829"/>
      <c r="B314" s="830" t="s">
        <v>966</v>
      </c>
      <c r="C314" s="846"/>
      <c r="D314" s="856">
        <v>77</v>
      </c>
      <c r="E314" s="856">
        <v>79</v>
      </c>
      <c r="F314" s="856">
        <v>335</v>
      </c>
      <c r="G314" s="870">
        <v>2350</v>
      </c>
      <c r="H314" s="846"/>
      <c r="I314" s="869"/>
      <c r="J314" s="857"/>
      <c r="K314" s="857"/>
      <c r="L314" s="857"/>
      <c r="M314" s="857"/>
      <c r="N314" s="857"/>
      <c r="O314" s="857"/>
      <c r="P314" s="857"/>
      <c r="Q314" s="857"/>
      <c r="R314" s="857"/>
      <c r="S314" s="857"/>
      <c r="T314" s="857"/>
      <c r="U314" s="857"/>
      <c r="V314" s="857"/>
      <c r="W314" s="857"/>
      <c r="X314" s="857"/>
      <c r="Y314" s="857"/>
      <c r="Z314" s="857"/>
      <c r="AA314" s="857"/>
      <c r="AB314" s="857"/>
      <c r="AC314" s="857"/>
      <c r="AD314" s="857"/>
      <c r="AE314" s="857"/>
      <c r="AF314" s="857"/>
      <c r="AG314" s="857"/>
      <c r="AH314" s="857"/>
      <c r="AI314" s="857"/>
      <c r="AJ314" s="857"/>
      <c r="AK314" s="857"/>
      <c r="AL314" s="857"/>
      <c r="AM314" s="857"/>
      <c r="AN314" s="857"/>
      <c r="AO314" s="857"/>
      <c r="AP314" s="857"/>
      <c r="AQ314" s="857"/>
      <c r="AR314" s="857"/>
      <c r="AS314" s="857"/>
      <c r="AT314" s="857"/>
      <c r="AU314" s="857"/>
      <c r="AV314" s="857"/>
      <c r="AW314" s="857"/>
      <c r="AX314" s="857"/>
      <c r="AY314" s="857"/>
      <c r="AZ314" s="857"/>
      <c r="BA314" s="857"/>
      <c r="BB314" s="857"/>
      <c r="BC314" s="857"/>
      <c r="BD314" s="857"/>
      <c r="BE314" s="857"/>
      <c r="BF314" s="857"/>
      <c r="BG314" s="857"/>
      <c r="BH314" s="857"/>
      <c r="BI314" s="857"/>
      <c r="BJ314" s="857"/>
      <c r="BK314" s="857"/>
      <c r="BL314" s="857"/>
      <c r="BM314" s="857"/>
      <c r="BN314" s="857"/>
      <c r="BO314" s="857"/>
      <c r="BP314" s="857"/>
      <c r="BQ314" s="857"/>
      <c r="BR314" s="857"/>
      <c r="BS314" s="857"/>
      <c r="BT314" s="857"/>
      <c r="BU314" s="857"/>
      <c r="BV314" s="857"/>
      <c r="BW314" s="857"/>
      <c r="BX314" s="857"/>
      <c r="BY314" s="857"/>
      <c r="BZ314" s="857"/>
      <c r="CA314" s="857"/>
      <c r="CB314" s="857"/>
      <c r="CC314" s="857"/>
      <c r="CD314" s="857"/>
      <c r="CE314" s="857"/>
      <c r="CF314" s="857"/>
      <c r="CG314" s="857"/>
      <c r="CH314" s="857"/>
      <c r="CI314" s="857"/>
      <c r="CJ314" s="857"/>
      <c r="CK314" s="857"/>
      <c r="CL314" s="857"/>
      <c r="CM314" s="857"/>
      <c r="CN314" s="857"/>
      <c r="CO314" s="857"/>
      <c r="CP314" s="857"/>
      <c r="CQ314" s="857"/>
      <c r="CR314" s="857"/>
      <c r="CS314" s="857"/>
      <c r="CT314" s="857"/>
      <c r="CU314" s="857"/>
      <c r="CV314" s="857"/>
      <c r="CW314" s="857"/>
      <c r="CX314" s="857"/>
      <c r="CY314" s="857"/>
      <c r="CZ314" s="857"/>
      <c r="DA314" s="857"/>
      <c r="DB314" s="857"/>
      <c r="DC314" s="857"/>
      <c r="DD314" s="857"/>
      <c r="DE314" s="857"/>
      <c r="DF314" s="857"/>
      <c r="DG314" s="857"/>
      <c r="DH314" s="857"/>
      <c r="DI314" s="857"/>
      <c r="DJ314" s="857"/>
      <c r="DK314" s="857"/>
      <c r="DL314" s="857"/>
      <c r="DM314" s="857"/>
      <c r="DN314" s="857"/>
      <c r="DO314" s="857"/>
      <c r="DP314" s="857"/>
      <c r="DQ314" s="857"/>
      <c r="DR314" s="857"/>
      <c r="DS314" s="857"/>
      <c r="DT314" s="857"/>
      <c r="DU314" s="857"/>
      <c r="DV314" s="857"/>
      <c r="DW314" s="857"/>
      <c r="DX314" s="857"/>
      <c r="DY314" s="857"/>
      <c r="DZ314" s="857"/>
      <c r="EA314" s="857"/>
      <c r="EB314" s="857"/>
      <c r="EC314" s="857"/>
      <c r="ED314" s="857"/>
      <c r="EE314" s="857"/>
      <c r="EF314" s="857"/>
      <c r="EG314" s="857"/>
      <c r="EH314" s="857"/>
      <c r="EI314" s="857"/>
      <c r="EJ314" s="857"/>
      <c r="EK314" s="857"/>
      <c r="EL314" s="857"/>
      <c r="EM314" s="857"/>
      <c r="EN314" s="857"/>
      <c r="EO314" s="857"/>
      <c r="EP314" s="857"/>
      <c r="EQ314" s="857"/>
      <c r="ER314" s="857"/>
      <c r="ES314" s="857"/>
      <c r="ET314" s="857"/>
      <c r="EU314" s="857"/>
      <c r="EV314" s="857"/>
      <c r="EW314" s="857"/>
      <c r="EX314" s="857"/>
      <c r="EY314" s="873"/>
      <c r="EZ314" s="856">
        <v>1.2</v>
      </c>
      <c r="FA314" s="856">
        <v>1.4</v>
      </c>
      <c r="FB314" s="856">
        <v>60</v>
      </c>
      <c r="FC314" s="856">
        <v>700</v>
      </c>
      <c r="FD314" s="856">
        <v>10</v>
      </c>
      <c r="FE314" s="856">
        <v>1100</v>
      </c>
      <c r="FF314" s="856">
        <v>1100</v>
      </c>
      <c r="FG314" s="856">
        <v>250</v>
      </c>
      <c r="FH314" s="856">
        <v>1100</v>
      </c>
      <c r="FI314" s="856">
        <v>12</v>
      </c>
      <c r="FJ314" s="856">
        <v>10</v>
      </c>
      <c r="FK314" s="856">
        <v>0.1</v>
      </c>
      <c r="FL314" s="856">
        <v>0.02</v>
      </c>
    </row>
    <row r="315" spans="1:168" hidden="1" x14ac:dyDescent="0.25">
      <c r="A315" s="829"/>
      <c r="B315" s="830" t="s">
        <v>965</v>
      </c>
      <c r="C315" s="846"/>
      <c r="D315" s="856">
        <f>D313-D314</f>
        <v>-77</v>
      </c>
      <c r="E315" s="856">
        <f>E313-E314</f>
        <v>-79</v>
      </c>
      <c r="F315" s="856">
        <f t="shared" ref="F315:G315" si="227">F313-F314</f>
        <v>-335</v>
      </c>
      <c r="G315" s="870">
        <f t="shared" si="227"/>
        <v>-2350</v>
      </c>
      <c r="H315" s="846"/>
      <c r="I315" s="869"/>
      <c r="J315" s="857"/>
      <c r="K315" s="857"/>
      <c r="L315" s="857"/>
      <c r="M315" s="857"/>
      <c r="N315" s="857"/>
      <c r="O315" s="857"/>
      <c r="P315" s="857"/>
      <c r="Q315" s="857"/>
      <c r="R315" s="857"/>
      <c r="S315" s="857"/>
      <c r="T315" s="857"/>
      <c r="U315" s="857"/>
      <c r="V315" s="857"/>
      <c r="W315" s="857"/>
      <c r="X315" s="857"/>
      <c r="Y315" s="857"/>
      <c r="Z315" s="857"/>
      <c r="AA315" s="857"/>
      <c r="AB315" s="857"/>
      <c r="AC315" s="857"/>
      <c r="AD315" s="857"/>
      <c r="AE315" s="857"/>
      <c r="AF315" s="857"/>
      <c r="AG315" s="857"/>
      <c r="AH315" s="857"/>
      <c r="AI315" s="857"/>
      <c r="AJ315" s="857"/>
      <c r="AK315" s="857"/>
      <c r="AL315" s="857"/>
      <c r="AM315" s="857"/>
      <c r="AN315" s="857"/>
      <c r="AO315" s="857"/>
      <c r="AP315" s="857"/>
      <c r="AQ315" s="857"/>
      <c r="AR315" s="857"/>
      <c r="AS315" s="857"/>
      <c r="AT315" s="857"/>
      <c r="AU315" s="857"/>
      <c r="AV315" s="857"/>
      <c r="AW315" s="857"/>
      <c r="AX315" s="857"/>
      <c r="AY315" s="857"/>
      <c r="AZ315" s="857"/>
      <c r="BA315" s="857"/>
      <c r="BB315" s="857"/>
      <c r="BC315" s="857"/>
      <c r="BD315" s="857"/>
      <c r="BE315" s="857"/>
      <c r="BF315" s="857"/>
      <c r="BG315" s="857"/>
      <c r="BH315" s="857"/>
      <c r="BI315" s="857"/>
      <c r="BJ315" s="857"/>
      <c r="BK315" s="857"/>
      <c r="BL315" s="857"/>
      <c r="BM315" s="857"/>
      <c r="BN315" s="857"/>
      <c r="BO315" s="857"/>
      <c r="BP315" s="857"/>
      <c r="BQ315" s="857"/>
      <c r="BR315" s="857"/>
      <c r="BS315" s="857"/>
      <c r="BT315" s="857"/>
      <c r="BU315" s="857"/>
      <c r="BV315" s="857"/>
      <c r="BW315" s="857"/>
      <c r="BX315" s="857"/>
      <c r="BY315" s="857"/>
      <c r="BZ315" s="857"/>
      <c r="CA315" s="857"/>
      <c r="CB315" s="857"/>
      <c r="CC315" s="857"/>
      <c r="CD315" s="857"/>
      <c r="CE315" s="857"/>
      <c r="CF315" s="857"/>
      <c r="CG315" s="857"/>
      <c r="CH315" s="857"/>
      <c r="CI315" s="857"/>
      <c r="CJ315" s="857"/>
      <c r="CK315" s="857"/>
      <c r="CL315" s="857"/>
      <c r="CM315" s="857"/>
      <c r="CN315" s="857"/>
      <c r="CO315" s="857"/>
      <c r="CP315" s="857"/>
      <c r="CQ315" s="857"/>
      <c r="CR315" s="857"/>
      <c r="CS315" s="857"/>
      <c r="CT315" s="857"/>
      <c r="CU315" s="857"/>
      <c r="CV315" s="857"/>
      <c r="CW315" s="857"/>
      <c r="CX315" s="857"/>
      <c r="CY315" s="857"/>
      <c r="CZ315" s="857"/>
      <c r="DA315" s="857"/>
      <c r="DB315" s="857"/>
      <c r="DC315" s="857"/>
      <c r="DD315" s="857"/>
      <c r="DE315" s="857"/>
      <c r="DF315" s="857"/>
      <c r="DG315" s="857"/>
      <c r="DH315" s="857"/>
      <c r="DI315" s="857"/>
      <c r="DJ315" s="857"/>
      <c r="DK315" s="857"/>
      <c r="DL315" s="857"/>
      <c r="DM315" s="857"/>
      <c r="DN315" s="857"/>
      <c r="DO315" s="857"/>
      <c r="DP315" s="857"/>
      <c r="DQ315" s="857"/>
      <c r="DR315" s="857"/>
      <c r="DS315" s="857"/>
      <c r="DT315" s="857"/>
      <c r="DU315" s="857"/>
      <c r="DV315" s="857"/>
      <c r="DW315" s="857"/>
      <c r="DX315" s="857"/>
      <c r="DY315" s="857"/>
      <c r="DZ315" s="857"/>
      <c r="EA315" s="857"/>
      <c r="EB315" s="857"/>
      <c r="EC315" s="857"/>
      <c r="ED315" s="857"/>
      <c r="EE315" s="857"/>
      <c r="EF315" s="857"/>
      <c r="EG315" s="857"/>
      <c r="EH315" s="857"/>
      <c r="EI315" s="857"/>
      <c r="EJ315" s="857"/>
      <c r="EK315" s="857"/>
      <c r="EL315" s="857"/>
      <c r="EM315" s="857"/>
      <c r="EN315" s="857"/>
      <c r="EO315" s="857"/>
      <c r="EP315" s="857"/>
      <c r="EQ315" s="857"/>
      <c r="ER315" s="857"/>
      <c r="ES315" s="857"/>
      <c r="ET315" s="857"/>
      <c r="EU315" s="857"/>
      <c r="EV315" s="857"/>
      <c r="EW315" s="857"/>
      <c r="EX315" s="857"/>
      <c r="EY315" s="873"/>
      <c r="EZ315" s="856">
        <f t="shared" ref="EZ315:FL315" si="228">EZ313-EZ314</f>
        <v>-1.2</v>
      </c>
      <c r="FA315" s="856">
        <f t="shared" si="228"/>
        <v>-1.4</v>
      </c>
      <c r="FB315" s="856">
        <f t="shared" si="228"/>
        <v>-60</v>
      </c>
      <c r="FC315" s="856">
        <f t="shared" si="228"/>
        <v>-700</v>
      </c>
      <c r="FD315" s="856">
        <f t="shared" si="228"/>
        <v>-10</v>
      </c>
      <c r="FE315" s="856">
        <f t="shared" si="228"/>
        <v>-1100</v>
      </c>
      <c r="FF315" s="856">
        <f t="shared" si="228"/>
        <v>-1100</v>
      </c>
      <c r="FG315" s="856">
        <f t="shared" si="228"/>
        <v>-250</v>
      </c>
      <c r="FH315" s="856">
        <f t="shared" si="228"/>
        <v>-1100</v>
      </c>
      <c r="FI315" s="856">
        <f t="shared" si="228"/>
        <v>-12</v>
      </c>
      <c r="FJ315" s="856">
        <f t="shared" si="228"/>
        <v>-10</v>
      </c>
      <c r="FK315" s="856">
        <f t="shared" si="228"/>
        <v>-0.1</v>
      </c>
      <c r="FL315" s="856">
        <f t="shared" si="228"/>
        <v>-0.02</v>
      </c>
    </row>
    <row r="316" spans="1:168" x14ac:dyDescent="0.25">
      <c r="A316" s="484"/>
      <c r="B316" s="617" t="s">
        <v>843</v>
      </c>
      <c r="C316" s="846">
        <f t="shared" ref="C316" si="229">C26+C56+C86+C116+C146+C176+C206+C236+C266+C296</f>
        <v>7230</v>
      </c>
      <c r="D316" s="869">
        <f t="shared" ref="D316:V316" si="230">D26+D56+D86+D116+D146+D176+D206+D236+D266+D296</f>
        <v>113.3</v>
      </c>
      <c r="E316" s="869">
        <f t="shared" si="230"/>
        <v>173.38</v>
      </c>
      <c r="F316" s="869">
        <f t="shared" si="230"/>
        <v>536.75</v>
      </c>
      <c r="G316" s="870">
        <f t="shared" si="230"/>
        <v>4175</v>
      </c>
      <c r="H316" s="846"/>
      <c r="I316" s="869">
        <f t="shared" ref="I316" si="231">I26+I56+I86+I116+I146+I176+I206+I236+I266+I296</f>
        <v>360.66</v>
      </c>
      <c r="J316" s="857">
        <f t="shared" si="230"/>
        <v>0</v>
      </c>
      <c r="K316" s="857">
        <f t="shared" si="230"/>
        <v>0</v>
      </c>
      <c r="L316" s="857">
        <f t="shared" si="230"/>
        <v>0</v>
      </c>
      <c r="M316" s="857">
        <f t="shared" si="230"/>
        <v>0</v>
      </c>
      <c r="N316" s="857">
        <f t="shared" si="230"/>
        <v>0</v>
      </c>
      <c r="O316" s="857">
        <f t="shared" si="230"/>
        <v>0</v>
      </c>
      <c r="P316" s="857">
        <f t="shared" si="230"/>
        <v>0</v>
      </c>
      <c r="Q316" s="857">
        <f t="shared" si="230"/>
        <v>0</v>
      </c>
      <c r="R316" s="857">
        <f t="shared" si="230"/>
        <v>0</v>
      </c>
      <c r="S316" s="857">
        <f t="shared" si="230"/>
        <v>0</v>
      </c>
      <c r="T316" s="857">
        <f t="shared" si="230"/>
        <v>0</v>
      </c>
      <c r="U316" s="857">
        <f t="shared" si="230"/>
        <v>0.62709999999999999</v>
      </c>
      <c r="V316" s="857">
        <f t="shared" si="230"/>
        <v>0.123</v>
      </c>
      <c r="W316" s="857">
        <f t="shared" ref="W316:BB316" si="232">W26+W56+W86+W116+W146+W176+W206+W236+W266+W296</f>
        <v>6.9000000000000006E-2</v>
      </c>
      <c r="X316" s="857">
        <f t="shared" si="232"/>
        <v>9.2399999999999996E-2</v>
      </c>
      <c r="Y316" s="857">
        <f t="shared" si="232"/>
        <v>5.0000000000000001E-3</v>
      </c>
      <c r="Z316" s="857">
        <f t="shared" si="232"/>
        <v>0.03</v>
      </c>
      <c r="AA316" s="857">
        <f t="shared" si="232"/>
        <v>0</v>
      </c>
      <c r="AB316" s="857">
        <f t="shared" si="232"/>
        <v>0</v>
      </c>
      <c r="AC316" s="857">
        <f t="shared" si="232"/>
        <v>0</v>
      </c>
      <c r="AD316" s="857">
        <f t="shared" si="232"/>
        <v>0</v>
      </c>
      <c r="AE316" s="857">
        <f t="shared" si="232"/>
        <v>0.1105</v>
      </c>
      <c r="AF316" s="857">
        <f t="shared" si="232"/>
        <v>0</v>
      </c>
      <c r="AG316" s="857">
        <f t="shared" si="232"/>
        <v>0</v>
      </c>
      <c r="AH316" s="857">
        <f t="shared" si="232"/>
        <v>0</v>
      </c>
      <c r="AI316" s="857">
        <f t="shared" si="232"/>
        <v>0</v>
      </c>
      <c r="AJ316" s="857">
        <f t="shared" si="232"/>
        <v>0</v>
      </c>
      <c r="AK316" s="857">
        <f t="shared" si="232"/>
        <v>0</v>
      </c>
      <c r="AL316" s="857">
        <f t="shared" si="232"/>
        <v>2E-3</v>
      </c>
      <c r="AM316" s="857">
        <f t="shared" si="232"/>
        <v>0</v>
      </c>
      <c r="AN316" s="857">
        <f t="shared" si="232"/>
        <v>0</v>
      </c>
      <c r="AO316" s="857">
        <f t="shared" si="232"/>
        <v>0</v>
      </c>
      <c r="AP316" s="857">
        <f t="shared" si="232"/>
        <v>0</v>
      </c>
      <c r="AQ316" s="857">
        <f t="shared" si="232"/>
        <v>0</v>
      </c>
      <c r="AR316" s="857">
        <f t="shared" si="232"/>
        <v>0</v>
      </c>
      <c r="AS316" s="857">
        <f t="shared" si="232"/>
        <v>0</v>
      </c>
      <c r="AT316" s="857">
        <f t="shared" si="232"/>
        <v>0</v>
      </c>
      <c r="AU316" s="857">
        <f t="shared" si="232"/>
        <v>4.0000000000000001E-3</v>
      </c>
      <c r="AV316" s="857">
        <f t="shared" si="232"/>
        <v>0</v>
      </c>
      <c r="AW316" s="857">
        <f t="shared" si="232"/>
        <v>0</v>
      </c>
      <c r="AX316" s="857">
        <f t="shared" si="232"/>
        <v>0</v>
      </c>
      <c r="AY316" s="857">
        <f t="shared" si="232"/>
        <v>0</v>
      </c>
      <c r="AZ316" s="857">
        <f t="shared" si="232"/>
        <v>0</v>
      </c>
      <c r="BA316" s="857">
        <f t="shared" si="232"/>
        <v>0</v>
      </c>
      <c r="BB316" s="857">
        <f t="shared" si="232"/>
        <v>0</v>
      </c>
      <c r="BC316" s="857">
        <f t="shared" ref="BC316:CH316" si="233">BC26+BC56+BC86+BC116+BC146+BC176+BC206+BC236+BC266+BC296</f>
        <v>0</v>
      </c>
      <c r="BD316" s="857">
        <f t="shared" si="233"/>
        <v>0</v>
      </c>
      <c r="BE316" s="857">
        <f t="shared" si="233"/>
        <v>0</v>
      </c>
      <c r="BF316" s="857">
        <f t="shared" si="233"/>
        <v>0</v>
      </c>
      <c r="BG316" s="857">
        <f t="shared" si="233"/>
        <v>0</v>
      </c>
      <c r="BH316" s="857">
        <f t="shared" si="233"/>
        <v>0</v>
      </c>
      <c r="BI316" s="857">
        <f t="shared" si="233"/>
        <v>0</v>
      </c>
      <c r="BJ316" s="857">
        <f t="shared" si="233"/>
        <v>0</v>
      </c>
      <c r="BK316" s="857">
        <f t="shared" si="233"/>
        <v>0</v>
      </c>
      <c r="BL316" s="857">
        <f t="shared" si="233"/>
        <v>0</v>
      </c>
      <c r="BM316" s="857">
        <f t="shared" si="233"/>
        <v>0</v>
      </c>
      <c r="BN316" s="857">
        <f t="shared" si="233"/>
        <v>0</v>
      </c>
      <c r="BO316" s="857">
        <f t="shared" si="233"/>
        <v>0</v>
      </c>
      <c r="BP316" s="857">
        <f t="shared" si="233"/>
        <v>0</v>
      </c>
      <c r="BQ316" s="857">
        <f t="shared" si="233"/>
        <v>0</v>
      </c>
      <c r="BR316" s="857">
        <f t="shared" si="233"/>
        <v>0.4</v>
      </c>
      <c r="BS316" s="857">
        <f t="shared" si="233"/>
        <v>0</v>
      </c>
      <c r="BT316" s="857">
        <f t="shared" si="233"/>
        <v>0.04</v>
      </c>
      <c r="BU316" s="857">
        <f t="shared" si="233"/>
        <v>4.1000000000000002E-2</v>
      </c>
      <c r="BV316" s="857">
        <f t="shared" si="233"/>
        <v>0</v>
      </c>
      <c r="BW316" s="857">
        <f t="shared" si="233"/>
        <v>0</v>
      </c>
      <c r="BX316" s="857">
        <f t="shared" si="233"/>
        <v>0</v>
      </c>
      <c r="BY316" s="857">
        <f t="shared" si="233"/>
        <v>0</v>
      </c>
      <c r="BZ316" s="857">
        <f t="shared" si="233"/>
        <v>0</v>
      </c>
      <c r="CA316" s="857">
        <f t="shared" si="233"/>
        <v>5.3999999999999999E-2</v>
      </c>
      <c r="CB316" s="857">
        <f t="shared" si="233"/>
        <v>1.9E-2</v>
      </c>
      <c r="CC316" s="857">
        <f t="shared" si="233"/>
        <v>0</v>
      </c>
      <c r="CD316" s="857">
        <f t="shared" si="233"/>
        <v>0</v>
      </c>
      <c r="CE316" s="857">
        <f t="shared" si="233"/>
        <v>0</v>
      </c>
      <c r="CF316" s="857">
        <f t="shared" si="233"/>
        <v>0</v>
      </c>
      <c r="CG316" s="857">
        <f t="shared" si="233"/>
        <v>0.02</v>
      </c>
      <c r="CH316" s="857">
        <f t="shared" si="233"/>
        <v>0</v>
      </c>
      <c r="CI316" s="857">
        <f t="shared" ref="CI316:DN316" si="234">CI26+CI56+CI86+CI116+CI146+CI176+CI206+CI236+CI266+CI296</f>
        <v>2.0000000000000002E-5</v>
      </c>
      <c r="CJ316" s="857">
        <f t="shared" si="234"/>
        <v>0</v>
      </c>
      <c r="CK316" s="857">
        <f t="shared" si="234"/>
        <v>0</v>
      </c>
      <c r="CL316" s="857">
        <f t="shared" si="234"/>
        <v>0</v>
      </c>
      <c r="CM316" s="857">
        <f t="shared" si="234"/>
        <v>1.2E-2</v>
      </c>
      <c r="CN316" s="857">
        <f t="shared" si="234"/>
        <v>0</v>
      </c>
      <c r="CO316" s="857">
        <f t="shared" si="234"/>
        <v>0</v>
      </c>
      <c r="CP316" s="857">
        <f t="shared" si="234"/>
        <v>0</v>
      </c>
      <c r="CQ316" s="857">
        <f t="shared" si="234"/>
        <v>0</v>
      </c>
      <c r="CR316" s="857">
        <f t="shared" si="234"/>
        <v>0</v>
      </c>
      <c r="CS316" s="857">
        <f t="shared" si="234"/>
        <v>0</v>
      </c>
      <c r="CT316" s="857">
        <f t="shared" si="234"/>
        <v>0</v>
      </c>
      <c r="CU316" s="857">
        <f t="shared" si="234"/>
        <v>0</v>
      </c>
      <c r="CV316" s="857">
        <f t="shared" si="234"/>
        <v>0</v>
      </c>
      <c r="CW316" s="857">
        <f t="shared" si="234"/>
        <v>0</v>
      </c>
      <c r="CX316" s="857">
        <f t="shared" si="234"/>
        <v>0</v>
      </c>
      <c r="CY316" s="857">
        <f t="shared" si="234"/>
        <v>0</v>
      </c>
      <c r="CZ316" s="857">
        <f t="shared" si="234"/>
        <v>0.16850000000000001</v>
      </c>
      <c r="DA316" s="857">
        <f t="shared" si="234"/>
        <v>0</v>
      </c>
      <c r="DB316" s="857">
        <f t="shared" si="234"/>
        <v>0</v>
      </c>
      <c r="DC316" s="857">
        <f t="shared" si="234"/>
        <v>3.7000000000000002E-3</v>
      </c>
      <c r="DD316" s="857">
        <f t="shared" si="234"/>
        <v>5.0000000000000001E-3</v>
      </c>
      <c r="DE316" s="857">
        <f t="shared" si="234"/>
        <v>0</v>
      </c>
      <c r="DF316" s="857">
        <f t="shared" si="234"/>
        <v>0</v>
      </c>
      <c r="DG316" s="857">
        <f t="shared" si="234"/>
        <v>0</v>
      </c>
      <c r="DH316" s="857">
        <f t="shared" si="234"/>
        <v>0</v>
      </c>
      <c r="DI316" s="857">
        <f t="shared" si="234"/>
        <v>0</v>
      </c>
      <c r="DJ316" s="857">
        <f t="shared" si="234"/>
        <v>0</v>
      </c>
      <c r="DK316" s="857">
        <f t="shared" si="234"/>
        <v>0</v>
      </c>
      <c r="DL316" s="857">
        <f t="shared" si="234"/>
        <v>0</v>
      </c>
      <c r="DM316" s="857">
        <f t="shared" si="234"/>
        <v>0</v>
      </c>
      <c r="DN316" s="857">
        <f t="shared" si="234"/>
        <v>0</v>
      </c>
      <c r="DO316" s="857">
        <f t="shared" ref="DO316:FL316" si="235">DO26+DO56+DO86+DO116+DO146+DO176+DO206+DO236+DO266+DO296</f>
        <v>0</v>
      </c>
      <c r="DP316" s="857">
        <f t="shared" si="235"/>
        <v>0</v>
      </c>
      <c r="DQ316" s="857">
        <f t="shared" si="235"/>
        <v>0</v>
      </c>
      <c r="DR316" s="857">
        <f t="shared" si="235"/>
        <v>3.5000000000000001E-3</v>
      </c>
      <c r="DS316" s="857">
        <f t="shared" si="235"/>
        <v>0</v>
      </c>
      <c r="DT316" s="857">
        <f t="shared" si="235"/>
        <v>0</v>
      </c>
      <c r="DU316" s="857">
        <f t="shared" si="235"/>
        <v>2.5000000000000001E-2</v>
      </c>
      <c r="DV316" s="857">
        <f t="shared" si="235"/>
        <v>0</v>
      </c>
      <c r="DW316" s="857">
        <f t="shared" si="235"/>
        <v>0</v>
      </c>
      <c r="DX316" s="857">
        <f t="shared" si="235"/>
        <v>0</v>
      </c>
      <c r="DY316" s="857">
        <f t="shared" si="235"/>
        <v>0</v>
      </c>
      <c r="DZ316" s="857">
        <f t="shared" si="235"/>
        <v>0</v>
      </c>
      <c r="EA316" s="857">
        <f t="shared" si="235"/>
        <v>0</v>
      </c>
      <c r="EB316" s="857">
        <f t="shared" si="235"/>
        <v>3.5</v>
      </c>
      <c r="EC316" s="857">
        <f t="shared" si="235"/>
        <v>0</v>
      </c>
      <c r="ED316" s="857">
        <f t="shared" si="235"/>
        <v>0</v>
      </c>
      <c r="EE316" s="857">
        <f t="shared" si="235"/>
        <v>0</v>
      </c>
      <c r="EF316" s="857">
        <f t="shared" si="235"/>
        <v>0</v>
      </c>
      <c r="EG316" s="857">
        <f t="shared" si="235"/>
        <v>0</v>
      </c>
      <c r="EH316" s="857">
        <f t="shared" si="235"/>
        <v>0</v>
      </c>
      <c r="EI316" s="857">
        <f t="shared" si="235"/>
        <v>0</v>
      </c>
      <c r="EJ316" s="857">
        <f t="shared" si="235"/>
        <v>0</v>
      </c>
      <c r="EK316" s="857">
        <f t="shared" si="235"/>
        <v>0</v>
      </c>
      <c r="EL316" s="857">
        <f t="shared" si="235"/>
        <v>0</v>
      </c>
      <c r="EM316" s="857">
        <f t="shared" si="235"/>
        <v>0</v>
      </c>
      <c r="EN316" s="857">
        <f t="shared" si="235"/>
        <v>0</v>
      </c>
      <c r="EO316" s="857">
        <f t="shared" si="235"/>
        <v>0</v>
      </c>
      <c r="EP316" s="857">
        <f t="shared" si="235"/>
        <v>0</v>
      </c>
      <c r="EQ316" s="857">
        <f t="shared" si="235"/>
        <v>0</v>
      </c>
      <c r="ER316" s="857">
        <f t="shared" si="235"/>
        <v>0</v>
      </c>
      <c r="ES316" s="857">
        <f t="shared" si="235"/>
        <v>0</v>
      </c>
      <c r="ET316" s="857">
        <f t="shared" si="235"/>
        <v>0</v>
      </c>
      <c r="EU316" s="857">
        <f t="shared" si="235"/>
        <v>0</v>
      </c>
      <c r="EV316" s="857">
        <f t="shared" si="235"/>
        <v>0.12</v>
      </c>
      <c r="EW316" s="857">
        <f t="shared" si="235"/>
        <v>0.2</v>
      </c>
      <c r="EX316" s="857">
        <f t="shared" si="235"/>
        <v>0</v>
      </c>
      <c r="EY316" s="871">
        <f t="shared" si="235"/>
        <v>5.6747199999999998</v>
      </c>
      <c r="EZ316" s="856">
        <f t="shared" si="235"/>
        <v>0</v>
      </c>
      <c r="FA316" s="856">
        <f t="shared" si="235"/>
        <v>0</v>
      </c>
      <c r="FB316" s="856">
        <f t="shared" si="235"/>
        <v>0</v>
      </c>
      <c r="FC316" s="856">
        <f t="shared" si="235"/>
        <v>0</v>
      </c>
      <c r="FD316" s="856">
        <f t="shared" si="235"/>
        <v>0</v>
      </c>
      <c r="FE316" s="856">
        <f t="shared" si="235"/>
        <v>0</v>
      </c>
      <c r="FF316" s="856">
        <f t="shared" si="235"/>
        <v>0</v>
      </c>
      <c r="FG316" s="856">
        <f t="shared" si="235"/>
        <v>0</v>
      </c>
      <c r="FH316" s="856">
        <f t="shared" si="235"/>
        <v>0</v>
      </c>
      <c r="FI316" s="856">
        <f t="shared" si="235"/>
        <v>0</v>
      </c>
      <c r="FJ316" s="856">
        <f t="shared" si="235"/>
        <v>0</v>
      </c>
      <c r="FK316" s="856">
        <f t="shared" si="235"/>
        <v>0</v>
      </c>
      <c r="FL316" s="856">
        <f t="shared" si="235"/>
        <v>0</v>
      </c>
    </row>
    <row r="317" spans="1:168" ht="15.6" x14ac:dyDescent="0.3">
      <c r="A317" s="484"/>
      <c r="B317" s="618" t="s">
        <v>844</v>
      </c>
      <c r="C317" s="846">
        <f t="shared" ref="C317" si="236">C36+C66+C96+C126+C156+C186+C216+C246+C276+C306</f>
        <v>6050</v>
      </c>
      <c r="D317" s="869">
        <f t="shared" ref="D317:V317" si="237">D36+D66+D96+D126+D156+D186+D216+D246+D276+D306</f>
        <v>186.89</v>
      </c>
      <c r="E317" s="869">
        <f t="shared" si="237"/>
        <v>238.7</v>
      </c>
      <c r="F317" s="869">
        <f t="shared" si="237"/>
        <v>784.88</v>
      </c>
      <c r="G317" s="870">
        <f t="shared" si="237"/>
        <v>6100</v>
      </c>
      <c r="H317" s="846"/>
      <c r="I317" s="869">
        <f t="shared" ref="I317" si="238">I36+I66+I96+I126+I156+I186+I216+I246+I276+I306</f>
        <v>829.37</v>
      </c>
      <c r="J317" s="857">
        <f t="shared" si="237"/>
        <v>0.30399999999999999</v>
      </c>
      <c r="K317" s="857">
        <f t="shared" si="237"/>
        <v>7.5999999999999998E-2</v>
      </c>
      <c r="L317" s="857">
        <f t="shared" si="237"/>
        <v>0</v>
      </c>
      <c r="M317" s="857">
        <f t="shared" si="237"/>
        <v>0.17</v>
      </c>
      <c r="N317" s="857">
        <f t="shared" si="237"/>
        <v>0</v>
      </c>
      <c r="O317" s="857">
        <f t="shared" si="237"/>
        <v>0</v>
      </c>
      <c r="P317" s="857">
        <f t="shared" si="237"/>
        <v>6.0000000000000001E-3</v>
      </c>
      <c r="Q317" s="857">
        <f t="shared" si="237"/>
        <v>0</v>
      </c>
      <c r="R317" s="857">
        <f t="shared" si="237"/>
        <v>0</v>
      </c>
      <c r="S317" s="857">
        <f t="shared" si="237"/>
        <v>0.15820000000000001</v>
      </c>
      <c r="T317" s="857">
        <f t="shared" si="237"/>
        <v>0</v>
      </c>
      <c r="U317" s="857">
        <f t="shared" si="237"/>
        <v>9.9400000000000002E-2</v>
      </c>
      <c r="V317" s="857">
        <f t="shared" si="237"/>
        <v>3.7199999999999997E-2</v>
      </c>
      <c r="W317" s="857">
        <f t="shared" ref="W317:BB317" si="239">W36+W66+W96+W126+W156+W186+W216+W246+W276+W306</f>
        <v>0</v>
      </c>
      <c r="X317" s="857">
        <f t="shared" si="239"/>
        <v>0</v>
      </c>
      <c r="Y317" s="857">
        <f t="shared" si="239"/>
        <v>0.10075000000000001</v>
      </c>
      <c r="Z317" s="857">
        <f t="shared" si="239"/>
        <v>0</v>
      </c>
      <c r="AA317" s="857">
        <f t="shared" si="239"/>
        <v>0</v>
      </c>
      <c r="AB317" s="857">
        <f t="shared" si="239"/>
        <v>0</v>
      </c>
      <c r="AC317" s="857">
        <f t="shared" si="239"/>
        <v>0</v>
      </c>
      <c r="AD317" s="857">
        <f t="shared" si="239"/>
        <v>0</v>
      </c>
      <c r="AE317" s="857">
        <f t="shared" si="239"/>
        <v>8.9999999999999993E-3</v>
      </c>
      <c r="AF317" s="857">
        <f t="shared" si="239"/>
        <v>0.15916</v>
      </c>
      <c r="AG317" s="857">
        <f t="shared" si="239"/>
        <v>0</v>
      </c>
      <c r="AH317" s="857">
        <f t="shared" si="239"/>
        <v>1.02857</v>
      </c>
      <c r="AI317" s="857">
        <f t="shared" si="239"/>
        <v>0</v>
      </c>
      <c r="AJ317" s="857">
        <f t="shared" si="239"/>
        <v>0</v>
      </c>
      <c r="AK317" s="857">
        <f t="shared" si="239"/>
        <v>0.19008</v>
      </c>
      <c r="AL317" s="857">
        <f t="shared" si="239"/>
        <v>3.4470000000000001E-2</v>
      </c>
      <c r="AM317" s="857">
        <f t="shared" si="239"/>
        <v>1E-3</v>
      </c>
      <c r="AN317" s="857">
        <f t="shared" si="239"/>
        <v>0.18182000000000001</v>
      </c>
      <c r="AO317" s="857">
        <f t="shared" si="239"/>
        <v>0.13447999999999999</v>
      </c>
      <c r="AP317" s="857">
        <f t="shared" si="239"/>
        <v>0</v>
      </c>
      <c r="AQ317" s="857">
        <f t="shared" si="239"/>
        <v>0.20446</v>
      </c>
      <c r="AR317" s="857">
        <f t="shared" si="239"/>
        <v>0</v>
      </c>
      <c r="AS317" s="857">
        <f t="shared" si="239"/>
        <v>0</v>
      </c>
      <c r="AT317" s="857">
        <f t="shared" si="239"/>
        <v>1.6750000000000001E-2</v>
      </c>
      <c r="AU317" s="857">
        <f t="shared" si="239"/>
        <v>1.83E-2</v>
      </c>
      <c r="AV317" s="857">
        <f t="shared" si="239"/>
        <v>0</v>
      </c>
      <c r="AW317" s="857">
        <f t="shared" si="239"/>
        <v>0</v>
      </c>
      <c r="AX317" s="857">
        <f t="shared" si="239"/>
        <v>0.17962</v>
      </c>
      <c r="AY317" s="857">
        <f t="shared" si="239"/>
        <v>0</v>
      </c>
      <c r="AZ317" s="857">
        <f t="shared" si="239"/>
        <v>0</v>
      </c>
      <c r="BA317" s="857">
        <f t="shared" si="239"/>
        <v>3.15E-2</v>
      </c>
      <c r="BB317" s="857">
        <f t="shared" si="239"/>
        <v>0</v>
      </c>
      <c r="BC317" s="857">
        <f t="shared" ref="BC317:CH317" si="240">BC36+BC66+BC96+BC126+BC156+BC186+BC216+BC246+BC276+BC306</f>
        <v>0</v>
      </c>
      <c r="BD317" s="857">
        <f t="shared" si="240"/>
        <v>0</v>
      </c>
      <c r="BE317" s="857">
        <f t="shared" si="240"/>
        <v>0</v>
      </c>
      <c r="BF317" s="857">
        <f t="shared" si="240"/>
        <v>0</v>
      </c>
      <c r="BG317" s="857">
        <f t="shared" si="240"/>
        <v>0</v>
      </c>
      <c r="BH317" s="857">
        <f t="shared" si="240"/>
        <v>0</v>
      </c>
      <c r="BI317" s="857">
        <f t="shared" si="240"/>
        <v>0</v>
      </c>
      <c r="BJ317" s="857">
        <f t="shared" si="240"/>
        <v>0</v>
      </c>
      <c r="BK317" s="857">
        <f t="shared" si="240"/>
        <v>0</v>
      </c>
      <c r="BL317" s="857">
        <f t="shared" si="240"/>
        <v>0</v>
      </c>
      <c r="BM317" s="857">
        <f t="shared" si="240"/>
        <v>0</v>
      </c>
      <c r="BN317" s="857">
        <f t="shared" si="240"/>
        <v>0</v>
      </c>
      <c r="BO317" s="857">
        <f t="shared" si="240"/>
        <v>0</v>
      </c>
      <c r="BP317" s="857">
        <f t="shared" si="240"/>
        <v>0</v>
      </c>
      <c r="BQ317" s="857">
        <f t="shared" si="240"/>
        <v>0</v>
      </c>
      <c r="BR317" s="857">
        <f t="shared" si="240"/>
        <v>0.13619999999999999</v>
      </c>
      <c r="BS317" s="857">
        <f t="shared" si="240"/>
        <v>2.9440000000000001E-2</v>
      </c>
      <c r="BT317" s="857">
        <f t="shared" si="240"/>
        <v>6.8870000000000001E-2</v>
      </c>
      <c r="BU317" s="857">
        <f t="shared" si="240"/>
        <v>0</v>
      </c>
      <c r="BV317" s="857">
        <f t="shared" si="240"/>
        <v>0</v>
      </c>
      <c r="BW317" s="857">
        <f t="shared" si="240"/>
        <v>0</v>
      </c>
      <c r="BX317" s="857">
        <f t="shared" si="240"/>
        <v>0</v>
      </c>
      <c r="BY317" s="857">
        <f t="shared" si="240"/>
        <v>0</v>
      </c>
      <c r="BZ317" s="857">
        <f t="shared" si="240"/>
        <v>0</v>
      </c>
      <c r="CA317" s="857">
        <f t="shared" si="240"/>
        <v>0</v>
      </c>
      <c r="CB317" s="857">
        <f t="shared" si="240"/>
        <v>6.5000000000000002E-2</v>
      </c>
      <c r="CC317" s="857">
        <f t="shared" si="240"/>
        <v>0</v>
      </c>
      <c r="CD317" s="857">
        <f t="shared" si="240"/>
        <v>0</v>
      </c>
      <c r="CE317" s="857">
        <f t="shared" si="240"/>
        <v>0</v>
      </c>
      <c r="CF317" s="857">
        <f t="shared" si="240"/>
        <v>0.10345</v>
      </c>
      <c r="CG317" s="857">
        <f t="shared" si="240"/>
        <v>5.2499999999999998E-2</v>
      </c>
      <c r="CH317" s="857">
        <f t="shared" si="240"/>
        <v>0</v>
      </c>
      <c r="CI317" s="857">
        <f t="shared" ref="CI317:DN317" si="241">CI36+CI66+CI96+CI126+CI156+CI186+CI216+CI246+CI276+CI306</f>
        <v>0</v>
      </c>
      <c r="CJ317" s="857">
        <f t="shared" si="241"/>
        <v>0</v>
      </c>
      <c r="CK317" s="857">
        <f t="shared" si="241"/>
        <v>0</v>
      </c>
      <c r="CL317" s="857">
        <f t="shared" si="241"/>
        <v>0</v>
      </c>
      <c r="CM317" s="857">
        <f t="shared" si="241"/>
        <v>0</v>
      </c>
      <c r="CN317" s="857">
        <f t="shared" si="241"/>
        <v>0</v>
      </c>
      <c r="CO317" s="857">
        <f t="shared" si="241"/>
        <v>0</v>
      </c>
      <c r="CP317" s="857">
        <f t="shared" si="241"/>
        <v>0</v>
      </c>
      <c r="CQ317" s="857">
        <f t="shared" si="241"/>
        <v>1.58E-3</v>
      </c>
      <c r="CR317" s="857">
        <f t="shared" si="241"/>
        <v>0</v>
      </c>
      <c r="CS317" s="857">
        <f t="shared" si="241"/>
        <v>2.7999999999999998E-4</v>
      </c>
      <c r="CT317" s="857">
        <f t="shared" si="241"/>
        <v>4.7890000000000002E-2</v>
      </c>
      <c r="CU317" s="857">
        <f t="shared" si="241"/>
        <v>0</v>
      </c>
      <c r="CV317" s="857">
        <f t="shared" si="241"/>
        <v>0</v>
      </c>
      <c r="CW317" s="857">
        <f t="shared" si="241"/>
        <v>0</v>
      </c>
      <c r="CX317" s="857">
        <f t="shared" si="241"/>
        <v>0</v>
      </c>
      <c r="CY317" s="857">
        <f t="shared" si="241"/>
        <v>0</v>
      </c>
      <c r="CZ317" s="857">
        <f t="shared" si="241"/>
        <v>0.16259999999999999</v>
      </c>
      <c r="DA317" s="857">
        <f t="shared" si="241"/>
        <v>0</v>
      </c>
      <c r="DB317" s="857">
        <f t="shared" si="241"/>
        <v>0</v>
      </c>
      <c r="DC317" s="857">
        <f t="shared" si="241"/>
        <v>5.2240000000000002E-2</v>
      </c>
      <c r="DD317" s="857">
        <f t="shared" si="241"/>
        <v>2.1000000000000001E-2</v>
      </c>
      <c r="DE317" s="857">
        <f t="shared" si="241"/>
        <v>0.08</v>
      </c>
      <c r="DF317" s="857">
        <f t="shared" si="241"/>
        <v>5.96E-2</v>
      </c>
      <c r="DG317" s="857">
        <f t="shared" si="241"/>
        <v>0</v>
      </c>
      <c r="DH317" s="857">
        <f t="shared" si="241"/>
        <v>0</v>
      </c>
      <c r="DI317" s="857">
        <f t="shared" si="241"/>
        <v>0</v>
      </c>
      <c r="DJ317" s="857">
        <f t="shared" si="241"/>
        <v>0</v>
      </c>
      <c r="DK317" s="857">
        <f t="shared" si="241"/>
        <v>0</v>
      </c>
      <c r="DL317" s="857">
        <f t="shared" si="241"/>
        <v>2.0250000000000001E-2</v>
      </c>
      <c r="DM317" s="857">
        <f t="shared" si="241"/>
        <v>0.01</v>
      </c>
      <c r="DN317" s="857">
        <f t="shared" si="241"/>
        <v>0</v>
      </c>
      <c r="DO317" s="857">
        <f t="shared" ref="DO317:FL317" si="242">DO36+DO66+DO96+DO126+DO156+DO186+DO216+DO246+DO276+DO306</f>
        <v>0</v>
      </c>
      <c r="DP317" s="857">
        <f t="shared" si="242"/>
        <v>0</v>
      </c>
      <c r="DQ317" s="857">
        <f t="shared" si="242"/>
        <v>0</v>
      </c>
      <c r="DR317" s="857">
        <f t="shared" si="242"/>
        <v>0</v>
      </c>
      <c r="DS317" s="857">
        <f t="shared" si="242"/>
        <v>0</v>
      </c>
      <c r="DT317" s="857">
        <f t="shared" si="242"/>
        <v>0</v>
      </c>
      <c r="DU317" s="857">
        <f t="shared" si="242"/>
        <v>7.6499999999999997E-3</v>
      </c>
      <c r="DV317" s="857">
        <f t="shared" si="242"/>
        <v>0</v>
      </c>
      <c r="DW317" s="857">
        <f t="shared" si="242"/>
        <v>0</v>
      </c>
      <c r="DX317" s="857">
        <f t="shared" si="242"/>
        <v>0</v>
      </c>
      <c r="DY317" s="857">
        <f t="shared" si="242"/>
        <v>0</v>
      </c>
      <c r="DZ317" s="857">
        <f t="shared" si="242"/>
        <v>0</v>
      </c>
      <c r="EA317" s="857">
        <f t="shared" si="242"/>
        <v>0.3</v>
      </c>
      <c r="EB317" s="857">
        <f t="shared" si="242"/>
        <v>0</v>
      </c>
      <c r="EC317" s="857">
        <f t="shared" si="242"/>
        <v>0</v>
      </c>
      <c r="ED317" s="857">
        <f t="shared" si="242"/>
        <v>0</v>
      </c>
      <c r="EE317" s="857">
        <f t="shared" si="242"/>
        <v>0</v>
      </c>
      <c r="EF317" s="857">
        <f t="shared" si="242"/>
        <v>0</v>
      </c>
      <c r="EG317" s="857">
        <f t="shared" si="242"/>
        <v>0</v>
      </c>
      <c r="EH317" s="857">
        <f t="shared" si="242"/>
        <v>0</v>
      </c>
      <c r="EI317" s="857">
        <f t="shared" si="242"/>
        <v>0</v>
      </c>
      <c r="EJ317" s="857">
        <f t="shared" si="242"/>
        <v>0</v>
      </c>
      <c r="EK317" s="857">
        <f t="shared" si="242"/>
        <v>0</v>
      </c>
      <c r="EL317" s="857">
        <f t="shared" si="242"/>
        <v>0</v>
      </c>
      <c r="EM317" s="857">
        <f t="shared" si="242"/>
        <v>0</v>
      </c>
      <c r="EN317" s="857">
        <f t="shared" si="242"/>
        <v>0</v>
      </c>
      <c r="EO317" s="857">
        <f t="shared" si="242"/>
        <v>0</v>
      </c>
      <c r="EP317" s="857">
        <f t="shared" si="242"/>
        <v>0</v>
      </c>
      <c r="EQ317" s="857">
        <f t="shared" si="242"/>
        <v>0</v>
      </c>
      <c r="ER317" s="857">
        <f t="shared" si="242"/>
        <v>0</v>
      </c>
      <c r="ES317" s="857">
        <f t="shared" si="242"/>
        <v>0</v>
      </c>
      <c r="ET317" s="857">
        <f t="shared" si="242"/>
        <v>0</v>
      </c>
      <c r="EU317" s="857">
        <f t="shared" si="242"/>
        <v>0</v>
      </c>
      <c r="EV317" s="857">
        <f t="shared" si="242"/>
        <v>0.17699999999999999</v>
      </c>
      <c r="EW317" s="857">
        <f t="shared" si="242"/>
        <v>0.21</v>
      </c>
      <c r="EX317" s="857">
        <f t="shared" si="242"/>
        <v>0</v>
      </c>
      <c r="EY317" s="871">
        <f t="shared" si="242"/>
        <v>4.7465000000000002</v>
      </c>
      <c r="EZ317" s="856">
        <f t="shared" si="242"/>
        <v>0</v>
      </c>
      <c r="FA317" s="856">
        <f t="shared" si="242"/>
        <v>0</v>
      </c>
      <c r="FB317" s="856">
        <f t="shared" si="242"/>
        <v>0</v>
      </c>
      <c r="FC317" s="856">
        <f t="shared" si="242"/>
        <v>0</v>
      </c>
      <c r="FD317" s="856">
        <f t="shared" si="242"/>
        <v>0</v>
      </c>
      <c r="FE317" s="856">
        <f t="shared" si="242"/>
        <v>0</v>
      </c>
      <c r="FF317" s="856">
        <f t="shared" si="242"/>
        <v>0</v>
      </c>
      <c r="FG317" s="856">
        <f t="shared" si="242"/>
        <v>0</v>
      </c>
      <c r="FH317" s="856">
        <f t="shared" si="242"/>
        <v>0</v>
      </c>
      <c r="FI317" s="856">
        <f t="shared" si="242"/>
        <v>0</v>
      </c>
      <c r="FJ317" s="856">
        <f t="shared" si="242"/>
        <v>0</v>
      </c>
      <c r="FK317" s="856">
        <f t="shared" si="242"/>
        <v>0</v>
      </c>
      <c r="FL317" s="856">
        <f t="shared" si="242"/>
        <v>0</v>
      </c>
    </row>
    <row r="318" spans="1:168" ht="15.6" hidden="1" x14ac:dyDescent="0.3">
      <c r="A318" s="484"/>
      <c r="B318" s="618" t="s">
        <v>845</v>
      </c>
      <c r="C318" s="846">
        <f t="shared" ref="C318" si="243">C42+C72+C102+C132+C162+C192+C222+C252+C282+C312</f>
        <v>0</v>
      </c>
      <c r="D318" s="869">
        <f t="shared" ref="D318:V318" si="244">D42+D72+D102+D132+D162+D192+D222+D252+D282+D312</f>
        <v>0</v>
      </c>
      <c r="E318" s="869">
        <f t="shared" si="244"/>
        <v>0</v>
      </c>
      <c r="F318" s="869">
        <f t="shared" si="244"/>
        <v>0</v>
      </c>
      <c r="G318" s="870">
        <f t="shared" si="244"/>
        <v>0</v>
      </c>
      <c r="H318" s="846"/>
      <c r="I318" s="869">
        <f t="shared" ref="I318" si="245">I42+I72+I102+I132+I162+I192+I222+I252+I282+I312</f>
        <v>0</v>
      </c>
      <c r="J318" s="857">
        <f t="shared" si="244"/>
        <v>0</v>
      </c>
      <c r="K318" s="857">
        <f t="shared" si="244"/>
        <v>0</v>
      </c>
      <c r="L318" s="857">
        <f t="shared" si="244"/>
        <v>0</v>
      </c>
      <c r="M318" s="857">
        <f t="shared" si="244"/>
        <v>0</v>
      </c>
      <c r="N318" s="857">
        <f t="shared" si="244"/>
        <v>0</v>
      </c>
      <c r="O318" s="857">
        <f t="shared" si="244"/>
        <v>0</v>
      </c>
      <c r="P318" s="857">
        <f t="shared" si="244"/>
        <v>0</v>
      </c>
      <c r="Q318" s="857">
        <f t="shared" si="244"/>
        <v>0</v>
      </c>
      <c r="R318" s="857">
        <f t="shared" si="244"/>
        <v>0</v>
      </c>
      <c r="S318" s="857">
        <f t="shared" si="244"/>
        <v>0</v>
      </c>
      <c r="T318" s="857">
        <f t="shared" si="244"/>
        <v>0</v>
      </c>
      <c r="U318" s="857">
        <f t="shared" si="244"/>
        <v>0</v>
      </c>
      <c r="V318" s="857">
        <f t="shared" si="244"/>
        <v>0</v>
      </c>
      <c r="W318" s="857">
        <f t="shared" ref="W318:BB318" si="246">W42+W72+W102+W132+W162+W192+W222+W252+W282+W312</f>
        <v>0</v>
      </c>
      <c r="X318" s="857">
        <f t="shared" si="246"/>
        <v>0</v>
      </c>
      <c r="Y318" s="857">
        <f t="shared" si="246"/>
        <v>0</v>
      </c>
      <c r="Z318" s="857">
        <f t="shared" si="246"/>
        <v>0</v>
      </c>
      <c r="AA318" s="857">
        <f t="shared" si="246"/>
        <v>0</v>
      </c>
      <c r="AB318" s="857">
        <f t="shared" si="246"/>
        <v>0</v>
      </c>
      <c r="AC318" s="857">
        <f t="shared" si="246"/>
        <v>0</v>
      </c>
      <c r="AD318" s="857">
        <f t="shared" si="246"/>
        <v>0</v>
      </c>
      <c r="AE318" s="857">
        <f t="shared" si="246"/>
        <v>0</v>
      </c>
      <c r="AF318" s="857">
        <f t="shared" si="246"/>
        <v>0</v>
      </c>
      <c r="AG318" s="857">
        <f t="shared" si="246"/>
        <v>0</v>
      </c>
      <c r="AH318" s="857">
        <f t="shared" si="246"/>
        <v>0</v>
      </c>
      <c r="AI318" s="857">
        <f t="shared" si="246"/>
        <v>0</v>
      </c>
      <c r="AJ318" s="857">
        <f t="shared" si="246"/>
        <v>0</v>
      </c>
      <c r="AK318" s="857">
        <f t="shared" si="246"/>
        <v>0</v>
      </c>
      <c r="AL318" s="857">
        <f t="shared" si="246"/>
        <v>0</v>
      </c>
      <c r="AM318" s="857">
        <f t="shared" si="246"/>
        <v>0</v>
      </c>
      <c r="AN318" s="857">
        <f t="shared" si="246"/>
        <v>0</v>
      </c>
      <c r="AO318" s="857">
        <f t="shared" si="246"/>
        <v>0</v>
      </c>
      <c r="AP318" s="857">
        <f t="shared" si="246"/>
        <v>0</v>
      </c>
      <c r="AQ318" s="857">
        <f t="shared" si="246"/>
        <v>0</v>
      </c>
      <c r="AR318" s="857">
        <f t="shared" si="246"/>
        <v>0</v>
      </c>
      <c r="AS318" s="857">
        <f t="shared" si="246"/>
        <v>0</v>
      </c>
      <c r="AT318" s="857">
        <f t="shared" si="246"/>
        <v>0</v>
      </c>
      <c r="AU318" s="857">
        <f t="shared" si="246"/>
        <v>0</v>
      </c>
      <c r="AV318" s="857">
        <f t="shared" si="246"/>
        <v>0</v>
      </c>
      <c r="AW318" s="857">
        <f t="shared" si="246"/>
        <v>0</v>
      </c>
      <c r="AX318" s="857">
        <f t="shared" si="246"/>
        <v>0</v>
      </c>
      <c r="AY318" s="857">
        <f t="shared" si="246"/>
        <v>0</v>
      </c>
      <c r="AZ318" s="857">
        <f t="shared" si="246"/>
        <v>0</v>
      </c>
      <c r="BA318" s="857">
        <f t="shared" si="246"/>
        <v>0</v>
      </c>
      <c r="BB318" s="857">
        <f t="shared" si="246"/>
        <v>0</v>
      </c>
      <c r="BC318" s="857">
        <f t="shared" ref="BC318:CH318" si="247">BC42+BC72+BC102+BC132+BC162+BC192+BC222+BC252+BC282+BC312</f>
        <v>0</v>
      </c>
      <c r="BD318" s="857">
        <f t="shared" si="247"/>
        <v>0</v>
      </c>
      <c r="BE318" s="857">
        <f t="shared" si="247"/>
        <v>0</v>
      </c>
      <c r="BF318" s="857">
        <f t="shared" si="247"/>
        <v>0</v>
      </c>
      <c r="BG318" s="857">
        <f t="shared" si="247"/>
        <v>0</v>
      </c>
      <c r="BH318" s="857">
        <f t="shared" si="247"/>
        <v>0</v>
      </c>
      <c r="BI318" s="857">
        <f t="shared" si="247"/>
        <v>0</v>
      </c>
      <c r="BJ318" s="857">
        <f t="shared" si="247"/>
        <v>0</v>
      </c>
      <c r="BK318" s="857">
        <f t="shared" si="247"/>
        <v>0</v>
      </c>
      <c r="BL318" s="857">
        <f t="shared" si="247"/>
        <v>0</v>
      </c>
      <c r="BM318" s="857">
        <f t="shared" si="247"/>
        <v>0</v>
      </c>
      <c r="BN318" s="857">
        <f t="shared" si="247"/>
        <v>0</v>
      </c>
      <c r="BO318" s="857">
        <f t="shared" si="247"/>
        <v>0</v>
      </c>
      <c r="BP318" s="857">
        <f t="shared" si="247"/>
        <v>0</v>
      </c>
      <c r="BQ318" s="857">
        <f t="shared" si="247"/>
        <v>0</v>
      </c>
      <c r="BR318" s="857">
        <f t="shared" si="247"/>
        <v>0</v>
      </c>
      <c r="BS318" s="857">
        <f t="shared" si="247"/>
        <v>0</v>
      </c>
      <c r="BT318" s="857">
        <f t="shared" si="247"/>
        <v>0</v>
      </c>
      <c r="BU318" s="857">
        <f t="shared" si="247"/>
        <v>0</v>
      </c>
      <c r="BV318" s="857">
        <f t="shared" si="247"/>
        <v>0</v>
      </c>
      <c r="BW318" s="857">
        <f t="shared" si="247"/>
        <v>0</v>
      </c>
      <c r="BX318" s="857">
        <f t="shared" si="247"/>
        <v>0</v>
      </c>
      <c r="BY318" s="857">
        <f t="shared" si="247"/>
        <v>0</v>
      </c>
      <c r="BZ318" s="857">
        <f t="shared" si="247"/>
        <v>0</v>
      </c>
      <c r="CA318" s="857">
        <f t="shared" si="247"/>
        <v>0</v>
      </c>
      <c r="CB318" s="857">
        <f t="shared" si="247"/>
        <v>0</v>
      </c>
      <c r="CC318" s="857">
        <f t="shared" si="247"/>
        <v>0</v>
      </c>
      <c r="CD318" s="857">
        <f t="shared" si="247"/>
        <v>0</v>
      </c>
      <c r="CE318" s="857">
        <f t="shared" si="247"/>
        <v>0</v>
      </c>
      <c r="CF318" s="857">
        <f t="shared" si="247"/>
        <v>0</v>
      </c>
      <c r="CG318" s="857">
        <f t="shared" si="247"/>
        <v>0</v>
      </c>
      <c r="CH318" s="857">
        <f t="shared" si="247"/>
        <v>0</v>
      </c>
      <c r="CI318" s="857">
        <f t="shared" ref="CI318:DN318" si="248">CI42+CI72+CI102+CI132+CI162+CI192+CI222+CI252+CI282+CI312</f>
        <v>0</v>
      </c>
      <c r="CJ318" s="857">
        <f t="shared" si="248"/>
        <v>0</v>
      </c>
      <c r="CK318" s="857">
        <f t="shared" si="248"/>
        <v>0</v>
      </c>
      <c r="CL318" s="857">
        <f t="shared" si="248"/>
        <v>0</v>
      </c>
      <c r="CM318" s="857">
        <f t="shared" si="248"/>
        <v>0</v>
      </c>
      <c r="CN318" s="857">
        <f t="shared" si="248"/>
        <v>0</v>
      </c>
      <c r="CO318" s="857">
        <f t="shared" si="248"/>
        <v>0</v>
      </c>
      <c r="CP318" s="857">
        <f t="shared" si="248"/>
        <v>0</v>
      </c>
      <c r="CQ318" s="857">
        <f t="shared" si="248"/>
        <v>0</v>
      </c>
      <c r="CR318" s="857">
        <f t="shared" si="248"/>
        <v>0</v>
      </c>
      <c r="CS318" s="857">
        <f t="shared" si="248"/>
        <v>0</v>
      </c>
      <c r="CT318" s="857">
        <f t="shared" si="248"/>
        <v>0</v>
      </c>
      <c r="CU318" s="857">
        <f t="shared" si="248"/>
        <v>0</v>
      </c>
      <c r="CV318" s="857">
        <f t="shared" si="248"/>
        <v>0</v>
      </c>
      <c r="CW318" s="857">
        <f t="shared" si="248"/>
        <v>0</v>
      </c>
      <c r="CX318" s="857">
        <f t="shared" si="248"/>
        <v>0</v>
      </c>
      <c r="CY318" s="857">
        <f t="shared" si="248"/>
        <v>0</v>
      </c>
      <c r="CZ318" s="857">
        <f t="shared" si="248"/>
        <v>0</v>
      </c>
      <c r="DA318" s="857">
        <f t="shared" si="248"/>
        <v>0</v>
      </c>
      <c r="DB318" s="857">
        <f t="shared" si="248"/>
        <v>0</v>
      </c>
      <c r="DC318" s="857">
        <f t="shared" si="248"/>
        <v>0</v>
      </c>
      <c r="DD318" s="857">
        <f t="shared" si="248"/>
        <v>0</v>
      </c>
      <c r="DE318" s="857">
        <f t="shared" si="248"/>
        <v>0</v>
      </c>
      <c r="DF318" s="857">
        <f t="shared" si="248"/>
        <v>0</v>
      </c>
      <c r="DG318" s="857">
        <f t="shared" si="248"/>
        <v>0</v>
      </c>
      <c r="DH318" s="857">
        <f t="shared" si="248"/>
        <v>0</v>
      </c>
      <c r="DI318" s="857">
        <f t="shared" si="248"/>
        <v>0</v>
      </c>
      <c r="DJ318" s="857">
        <f t="shared" si="248"/>
        <v>0</v>
      </c>
      <c r="DK318" s="857">
        <f t="shared" si="248"/>
        <v>0</v>
      </c>
      <c r="DL318" s="857">
        <f t="shared" si="248"/>
        <v>0</v>
      </c>
      <c r="DM318" s="857">
        <f t="shared" si="248"/>
        <v>0</v>
      </c>
      <c r="DN318" s="857">
        <f t="shared" si="248"/>
        <v>0</v>
      </c>
      <c r="DO318" s="857">
        <f t="shared" ref="DO318:FL318" si="249">DO42+DO72+DO102+DO132+DO162+DO192+DO222+DO252+DO282+DO312</f>
        <v>0</v>
      </c>
      <c r="DP318" s="857">
        <f t="shared" si="249"/>
        <v>0</v>
      </c>
      <c r="DQ318" s="857">
        <f t="shared" si="249"/>
        <v>0</v>
      </c>
      <c r="DR318" s="857">
        <f t="shared" si="249"/>
        <v>0</v>
      </c>
      <c r="DS318" s="857">
        <f t="shared" si="249"/>
        <v>0</v>
      </c>
      <c r="DT318" s="857">
        <f t="shared" si="249"/>
        <v>0</v>
      </c>
      <c r="DU318" s="857">
        <f t="shared" si="249"/>
        <v>0</v>
      </c>
      <c r="DV318" s="857">
        <f t="shared" si="249"/>
        <v>0</v>
      </c>
      <c r="DW318" s="857">
        <f t="shared" si="249"/>
        <v>0</v>
      </c>
      <c r="DX318" s="857">
        <f t="shared" si="249"/>
        <v>0</v>
      </c>
      <c r="DY318" s="857">
        <f t="shared" si="249"/>
        <v>0</v>
      </c>
      <c r="DZ318" s="857">
        <f t="shared" si="249"/>
        <v>0</v>
      </c>
      <c r="EA318" s="857">
        <f t="shared" si="249"/>
        <v>0</v>
      </c>
      <c r="EB318" s="857">
        <f t="shared" si="249"/>
        <v>0</v>
      </c>
      <c r="EC318" s="857">
        <f t="shared" si="249"/>
        <v>0</v>
      </c>
      <c r="ED318" s="857">
        <f t="shared" si="249"/>
        <v>0</v>
      </c>
      <c r="EE318" s="857">
        <f t="shared" si="249"/>
        <v>0</v>
      </c>
      <c r="EF318" s="857">
        <f t="shared" si="249"/>
        <v>0</v>
      </c>
      <c r="EG318" s="857">
        <f t="shared" si="249"/>
        <v>0</v>
      </c>
      <c r="EH318" s="857">
        <f t="shared" si="249"/>
        <v>0</v>
      </c>
      <c r="EI318" s="857">
        <f t="shared" si="249"/>
        <v>0</v>
      </c>
      <c r="EJ318" s="857">
        <f t="shared" si="249"/>
        <v>0</v>
      </c>
      <c r="EK318" s="857">
        <f t="shared" si="249"/>
        <v>0</v>
      </c>
      <c r="EL318" s="857">
        <f t="shared" si="249"/>
        <v>0</v>
      </c>
      <c r="EM318" s="857">
        <f t="shared" si="249"/>
        <v>0</v>
      </c>
      <c r="EN318" s="857">
        <f t="shared" si="249"/>
        <v>0</v>
      </c>
      <c r="EO318" s="857">
        <f t="shared" si="249"/>
        <v>0</v>
      </c>
      <c r="EP318" s="857">
        <f t="shared" si="249"/>
        <v>0</v>
      </c>
      <c r="EQ318" s="857">
        <f t="shared" si="249"/>
        <v>0</v>
      </c>
      <c r="ER318" s="857">
        <f t="shared" si="249"/>
        <v>0</v>
      </c>
      <c r="ES318" s="857">
        <f t="shared" si="249"/>
        <v>0</v>
      </c>
      <c r="ET318" s="857">
        <f t="shared" si="249"/>
        <v>0</v>
      </c>
      <c r="EU318" s="857">
        <f t="shared" si="249"/>
        <v>0</v>
      </c>
      <c r="EV318" s="857">
        <f t="shared" si="249"/>
        <v>0</v>
      </c>
      <c r="EW318" s="857">
        <f t="shared" si="249"/>
        <v>0</v>
      </c>
      <c r="EX318" s="857">
        <f t="shared" si="249"/>
        <v>0</v>
      </c>
      <c r="EY318" s="871">
        <f t="shared" si="249"/>
        <v>0</v>
      </c>
      <c r="EZ318" s="856">
        <f t="shared" si="249"/>
        <v>0</v>
      </c>
      <c r="FA318" s="856">
        <f t="shared" si="249"/>
        <v>0</v>
      </c>
      <c r="FB318" s="856">
        <f t="shared" si="249"/>
        <v>0</v>
      </c>
      <c r="FC318" s="856">
        <f t="shared" si="249"/>
        <v>0</v>
      </c>
      <c r="FD318" s="856">
        <f t="shared" si="249"/>
        <v>0</v>
      </c>
      <c r="FE318" s="856">
        <f t="shared" si="249"/>
        <v>0</v>
      </c>
      <c r="FF318" s="856">
        <f t="shared" si="249"/>
        <v>0</v>
      </c>
      <c r="FG318" s="856">
        <f t="shared" si="249"/>
        <v>0</v>
      </c>
      <c r="FH318" s="856">
        <f t="shared" si="249"/>
        <v>0</v>
      </c>
      <c r="FI318" s="856">
        <f t="shared" si="249"/>
        <v>0</v>
      </c>
      <c r="FJ318" s="856">
        <f t="shared" si="249"/>
        <v>0</v>
      </c>
      <c r="FK318" s="856">
        <f t="shared" si="249"/>
        <v>0</v>
      </c>
      <c r="FL318" s="856">
        <f t="shared" si="249"/>
        <v>0</v>
      </c>
    </row>
    <row r="319" spans="1:168" ht="15.6" x14ac:dyDescent="0.3">
      <c r="A319" s="877"/>
      <c r="B319" s="878" t="s">
        <v>1404</v>
      </c>
      <c r="C319" s="946">
        <f t="shared" ref="C319" si="250">C43+C73+C103+C133+C163+C193+C223+C253+C283+C313</f>
        <v>13280</v>
      </c>
      <c r="D319" s="879">
        <f t="shared" ref="D319:V319" si="251">D43+D73+D103+D133+D163+D193+D223+D253+D283+D313</f>
        <v>300.06</v>
      </c>
      <c r="E319" s="879">
        <f t="shared" si="251"/>
        <v>412.08</v>
      </c>
      <c r="F319" s="879">
        <f t="shared" si="251"/>
        <v>1321.63</v>
      </c>
      <c r="G319" s="876">
        <f t="shared" si="251"/>
        <v>10275</v>
      </c>
      <c r="H319" s="946"/>
      <c r="I319" s="879">
        <f t="shared" ref="I319" si="252">I43+I73+I103+I133+I163+I193+I223+I253+I283+I313</f>
        <v>1190.03</v>
      </c>
      <c r="J319" s="947">
        <f t="shared" si="251"/>
        <v>0.30399999999999999</v>
      </c>
      <c r="K319" s="947">
        <f t="shared" si="251"/>
        <v>7.5999999999999998E-2</v>
      </c>
      <c r="L319" s="947">
        <f t="shared" si="251"/>
        <v>0</v>
      </c>
      <c r="M319" s="947">
        <f t="shared" si="251"/>
        <v>0.17</v>
      </c>
      <c r="N319" s="947">
        <f t="shared" si="251"/>
        <v>0</v>
      </c>
      <c r="O319" s="947">
        <f t="shared" si="251"/>
        <v>0</v>
      </c>
      <c r="P319" s="947">
        <f t="shared" si="251"/>
        <v>6.0000000000000001E-3</v>
      </c>
      <c r="Q319" s="947">
        <f t="shared" si="251"/>
        <v>0</v>
      </c>
      <c r="R319" s="947">
        <f t="shared" si="251"/>
        <v>0</v>
      </c>
      <c r="S319" s="947">
        <f t="shared" si="251"/>
        <v>0.15820000000000001</v>
      </c>
      <c r="T319" s="947">
        <f t="shared" si="251"/>
        <v>0</v>
      </c>
      <c r="U319" s="947">
        <f t="shared" si="251"/>
        <v>0.72650000000000003</v>
      </c>
      <c r="V319" s="947">
        <f t="shared" si="251"/>
        <v>0.16020000000000001</v>
      </c>
      <c r="W319" s="947">
        <f t="shared" ref="W319:BB319" si="253">W43+W73+W103+W133+W163+W193+W223+W253+W283+W313</f>
        <v>6.9000000000000006E-2</v>
      </c>
      <c r="X319" s="947">
        <f t="shared" si="253"/>
        <v>9.2399999999999996E-2</v>
      </c>
      <c r="Y319" s="947">
        <f t="shared" si="253"/>
        <v>0.10575</v>
      </c>
      <c r="Z319" s="947">
        <f t="shared" si="253"/>
        <v>0.03</v>
      </c>
      <c r="AA319" s="947">
        <f t="shared" si="253"/>
        <v>0</v>
      </c>
      <c r="AB319" s="947">
        <f t="shared" si="253"/>
        <v>0</v>
      </c>
      <c r="AC319" s="947">
        <f t="shared" si="253"/>
        <v>0</v>
      </c>
      <c r="AD319" s="947">
        <f t="shared" si="253"/>
        <v>0</v>
      </c>
      <c r="AE319" s="947">
        <f t="shared" si="253"/>
        <v>0.1195</v>
      </c>
      <c r="AF319" s="947">
        <f t="shared" si="253"/>
        <v>0.15916</v>
      </c>
      <c r="AG319" s="947">
        <f t="shared" si="253"/>
        <v>0</v>
      </c>
      <c r="AH319" s="947">
        <f t="shared" si="253"/>
        <v>1.02857</v>
      </c>
      <c r="AI319" s="947">
        <f t="shared" si="253"/>
        <v>0</v>
      </c>
      <c r="AJ319" s="947">
        <f t="shared" si="253"/>
        <v>0</v>
      </c>
      <c r="AK319" s="947">
        <f t="shared" si="253"/>
        <v>0.19008</v>
      </c>
      <c r="AL319" s="947">
        <f t="shared" si="253"/>
        <v>3.6470000000000002E-2</v>
      </c>
      <c r="AM319" s="947">
        <f t="shared" si="253"/>
        <v>1E-3</v>
      </c>
      <c r="AN319" s="947">
        <f t="shared" si="253"/>
        <v>0.18182000000000001</v>
      </c>
      <c r="AO319" s="947">
        <f t="shared" si="253"/>
        <v>0.13447999999999999</v>
      </c>
      <c r="AP319" s="947">
        <f t="shared" si="253"/>
        <v>0</v>
      </c>
      <c r="AQ319" s="947">
        <f t="shared" si="253"/>
        <v>0.20446</v>
      </c>
      <c r="AR319" s="947">
        <f t="shared" si="253"/>
        <v>0</v>
      </c>
      <c r="AS319" s="947">
        <f t="shared" si="253"/>
        <v>0</v>
      </c>
      <c r="AT319" s="947">
        <f t="shared" si="253"/>
        <v>1.6750000000000001E-2</v>
      </c>
      <c r="AU319" s="947">
        <f t="shared" si="253"/>
        <v>2.23E-2</v>
      </c>
      <c r="AV319" s="947">
        <f t="shared" si="253"/>
        <v>0</v>
      </c>
      <c r="AW319" s="947">
        <f t="shared" si="253"/>
        <v>0</v>
      </c>
      <c r="AX319" s="947">
        <f t="shared" si="253"/>
        <v>0.17962</v>
      </c>
      <c r="AY319" s="947">
        <f t="shared" si="253"/>
        <v>0</v>
      </c>
      <c r="AZ319" s="947">
        <f t="shared" si="253"/>
        <v>0</v>
      </c>
      <c r="BA319" s="947">
        <f t="shared" si="253"/>
        <v>3.15E-2</v>
      </c>
      <c r="BB319" s="947">
        <f t="shared" si="253"/>
        <v>0</v>
      </c>
      <c r="BC319" s="947">
        <f t="shared" ref="BC319:CH319" si="254">BC43+BC73+BC103+BC133+BC163+BC193+BC223+BC253+BC283+BC313</f>
        <v>0</v>
      </c>
      <c r="BD319" s="947">
        <f t="shared" si="254"/>
        <v>0</v>
      </c>
      <c r="BE319" s="947">
        <f t="shared" si="254"/>
        <v>0</v>
      </c>
      <c r="BF319" s="947">
        <f t="shared" si="254"/>
        <v>0</v>
      </c>
      <c r="BG319" s="947">
        <f t="shared" si="254"/>
        <v>0</v>
      </c>
      <c r="BH319" s="947">
        <f t="shared" si="254"/>
        <v>0</v>
      </c>
      <c r="BI319" s="947">
        <f t="shared" si="254"/>
        <v>0</v>
      </c>
      <c r="BJ319" s="947">
        <f t="shared" si="254"/>
        <v>0</v>
      </c>
      <c r="BK319" s="947">
        <f t="shared" si="254"/>
        <v>0</v>
      </c>
      <c r="BL319" s="947">
        <f t="shared" si="254"/>
        <v>0</v>
      </c>
      <c r="BM319" s="947">
        <f t="shared" si="254"/>
        <v>0</v>
      </c>
      <c r="BN319" s="947">
        <f t="shared" si="254"/>
        <v>0</v>
      </c>
      <c r="BO319" s="947">
        <f t="shared" si="254"/>
        <v>0</v>
      </c>
      <c r="BP319" s="947">
        <f t="shared" si="254"/>
        <v>0</v>
      </c>
      <c r="BQ319" s="947">
        <f t="shared" si="254"/>
        <v>0</v>
      </c>
      <c r="BR319" s="947">
        <f t="shared" si="254"/>
        <v>0.53620000000000001</v>
      </c>
      <c r="BS319" s="947">
        <f t="shared" si="254"/>
        <v>2.9440000000000001E-2</v>
      </c>
      <c r="BT319" s="947">
        <f t="shared" si="254"/>
        <v>0.10886999999999999</v>
      </c>
      <c r="BU319" s="947">
        <f t="shared" si="254"/>
        <v>4.1000000000000002E-2</v>
      </c>
      <c r="BV319" s="947">
        <f t="shared" si="254"/>
        <v>0</v>
      </c>
      <c r="BW319" s="947">
        <f t="shared" si="254"/>
        <v>0</v>
      </c>
      <c r="BX319" s="947">
        <f t="shared" si="254"/>
        <v>0</v>
      </c>
      <c r="BY319" s="947">
        <f t="shared" si="254"/>
        <v>0</v>
      </c>
      <c r="BZ319" s="947">
        <f t="shared" si="254"/>
        <v>0</v>
      </c>
      <c r="CA319" s="947">
        <f t="shared" si="254"/>
        <v>5.3999999999999999E-2</v>
      </c>
      <c r="CB319" s="947">
        <f t="shared" si="254"/>
        <v>8.4000000000000005E-2</v>
      </c>
      <c r="CC319" s="947">
        <f t="shared" si="254"/>
        <v>0</v>
      </c>
      <c r="CD319" s="947">
        <f t="shared" si="254"/>
        <v>0</v>
      </c>
      <c r="CE319" s="947">
        <f t="shared" si="254"/>
        <v>0</v>
      </c>
      <c r="CF319" s="947">
        <f t="shared" si="254"/>
        <v>0.10345</v>
      </c>
      <c r="CG319" s="947">
        <f t="shared" si="254"/>
        <v>7.2499999999999995E-2</v>
      </c>
      <c r="CH319" s="947">
        <f t="shared" si="254"/>
        <v>0</v>
      </c>
      <c r="CI319" s="947">
        <f t="shared" ref="CI319:DN319" si="255">CI43+CI73+CI103+CI133+CI163+CI193+CI223+CI253+CI283+CI313</f>
        <v>2.0000000000000002E-5</v>
      </c>
      <c r="CJ319" s="947">
        <f t="shared" si="255"/>
        <v>0</v>
      </c>
      <c r="CK319" s="947">
        <f t="shared" si="255"/>
        <v>0</v>
      </c>
      <c r="CL319" s="947">
        <f t="shared" si="255"/>
        <v>0</v>
      </c>
      <c r="CM319" s="947">
        <f t="shared" si="255"/>
        <v>1.2E-2</v>
      </c>
      <c r="CN319" s="947">
        <f t="shared" si="255"/>
        <v>0</v>
      </c>
      <c r="CO319" s="947">
        <f t="shared" si="255"/>
        <v>0</v>
      </c>
      <c r="CP319" s="947">
        <f t="shared" si="255"/>
        <v>0</v>
      </c>
      <c r="CQ319" s="947">
        <f t="shared" si="255"/>
        <v>1.58E-3</v>
      </c>
      <c r="CR319" s="947">
        <f t="shared" si="255"/>
        <v>0</v>
      </c>
      <c r="CS319" s="947">
        <f t="shared" si="255"/>
        <v>2.7999999999999998E-4</v>
      </c>
      <c r="CT319" s="947">
        <f t="shared" si="255"/>
        <v>4.7890000000000002E-2</v>
      </c>
      <c r="CU319" s="947">
        <f t="shared" si="255"/>
        <v>0</v>
      </c>
      <c r="CV319" s="947">
        <f t="shared" si="255"/>
        <v>0</v>
      </c>
      <c r="CW319" s="947">
        <f t="shared" si="255"/>
        <v>0</v>
      </c>
      <c r="CX319" s="947">
        <f t="shared" si="255"/>
        <v>0</v>
      </c>
      <c r="CY319" s="947">
        <f t="shared" si="255"/>
        <v>0</v>
      </c>
      <c r="CZ319" s="947">
        <f t="shared" si="255"/>
        <v>0.33110000000000001</v>
      </c>
      <c r="DA319" s="947">
        <f t="shared" si="255"/>
        <v>0</v>
      </c>
      <c r="DB319" s="947">
        <f t="shared" si="255"/>
        <v>0</v>
      </c>
      <c r="DC319" s="947">
        <f t="shared" si="255"/>
        <v>5.5939999999999997E-2</v>
      </c>
      <c r="DD319" s="947">
        <f t="shared" si="255"/>
        <v>2.5999999999999999E-2</v>
      </c>
      <c r="DE319" s="947">
        <f t="shared" si="255"/>
        <v>0.08</v>
      </c>
      <c r="DF319" s="947">
        <f t="shared" si="255"/>
        <v>5.96E-2</v>
      </c>
      <c r="DG319" s="947">
        <f t="shared" si="255"/>
        <v>0</v>
      </c>
      <c r="DH319" s="947">
        <f t="shared" si="255"/>
        <v>0</v>
      </c>
      <c r="DI319" s="947">
        <f t="shared" si="255"/>
        <v>0</v>
      </c>
      <c r="DJ319" s="947">
        <f t="shared" si="255"/>
        <v>0</v>
      </c>
      <c r="DK319" s="947">
        <f t="shared" si="255"/>
        <v>0</v>
      </c>
      <c r="DL319" s="947">
        <f t="shared" si="255"/>
        <v>2.0250000000000001E-2</v>
      </c>
      <c r="DM319" s="947">
        <f t="shared" si="255"/>
        <v>0.01</v>
      </c>
      <c r="DN319" s="947">
        <f t="shared" si="255"/>
        <v>0</v>
      </c>
      <c r="DO319" s="947">
        <f t="shared" ref="DO319:FL319" si="256">DO43+DO73+DO103+DO133+DO163+DO193+DO223+DO253+DO283+DO313</f>
        <v>0</v>
      </c>
      <c r="DP319" s="947">
        <f t="shared" si="256"/>
        <v>0</v>
      </c>
      <c r="DQ319" s="947">
        <f t="shared" si="256"/>
        <v>0</v>
      </c>
      <c r="DR319" s="947">
        <f t="shared" si="256"/>
        <v>3.5000000000000001E-3</v>
      </c>
      <c r="DS319" s="947">
        <f t="shared" si="256"/>
        <v>0</v>
      </c>
      <c r="DT319" s="947">
        <f t="shared" si="256"/>
        <v>0</v>
      </c>
      <c r="DU319" s="947">
        <f t="shared" si="256"/>
        <v>3.2649999999999998E-2</v>
      </c>
      <c r="DV319" s="947">
        <f t="shared" si="256"/>
        <v>0</v>
      </c>
      <c r="DW319" s="947">
        <f t="shared" si="256"/>
        <v>0</v>
      </c>
      <c r="DX319" s="947">
        <f t="shared" si="256"/>
        <v>0</v>
      </c>
      <c r="DY319" s="947">
        <f t="shared" si="256"/>
        <v>0</v>
      </c>
      <c r="DZ319" s="947">
        <f t="shared" si="256"/>
        <v>0</v>
      </c>
      <c r="EA319" s="947">
        <f t="shared" si="256"/>
        <v>0.3</v>
      </c>
      <c r="EB319" s="947">
        <f t="shared" si="256"/>
        <v>3.5</v>
      </c>
      <c r="EC319" s="947">
        <f t="shared" si="256"/>
        <v>0</v>
      </c>
      <c r="ED319" s="947">
        <f t="shared" si="256"/>
        <v>0</v>
      </c>
      <c r="EE319" s="947">
        <f t="shared" si="256"/>
        <v>0</v>
      </c>
      <c r="EF319" s="947">
        <f t="shared" si="256"/>
        <v>0</v>
      </c>
      <c r="EG319" s="947">
        <f t="shared" si="256"/>
        <v>0</v>
      </c>
      <c r="EH319" s="947">
        <f t="shared" si="256"/>
        <v>0</v>
      </c>
      <c r="EI319" s="947">
        <f t="shared" si="256"/>
        <v>0</v>
      </c>
      <c r="EJ319" s="947">
        <f t="shared" si="256"/>
        <v>0</v>
      </c>
      <c r="EK319" s="947">
        <f t="shared" si="256"/>
        <v>0</v>
      </c>
      <c r="EL319" s="947">
        <f t="shared" si="256"/>
        <v>0</v>
      </c>
      <c r="EM319" s="947">
        <f t="shared" si="256"/>
        <v>0</v>
      </c>
      <c r="EN319" s="947">
        <f t="shared" si="256"/>
        <v>0</v>
      </c>
      <c r="EO319" s="947">
        <f t="shared" si="256"/>
        <v>0</v>
      </c>
      <c r="EP319" s="947">
        <f t="shared" si="256"/>
        <v>0</v>
      </c>
      <c r="EQ319" s="947">
        <f t="shared" si="256"/>
        <v>0</v>
      </c>
      <c r="ER319" s="947">
        <f t="shared" si="256"/>
        <v>0</v>
      </c>
      <c r="ES319" s="947">
        <f t="shared" si="256"/>
        <v>0</v>
      </c>
      <c r="ET319" s="947">
        <f t="shared" si="256"/>
        <v>0</v>
      </c>
      <c r="EU319" s="947">
        <f t="shared" si="256"/>
        <v>0</v>
      </c>
      <c r="EV319" s="947">
        <f t="shared" si="256"/>
        <v>0.29699999999999999</v>
      </c>
      <c r="EW319" s="947">
        <f t="shared" si="256"/>
        <v>0.41</v>
      </c>
      <c r="EX319" s="947">
        <f t="shared" si="256"/>
        <v>0</v>
      </c>
      <c r="EY319" s="1010">
        <f t="shared" si="256"/>
        <v>10.42122</v>
      </c>
      <c r="EZ319" s="945">
        <f t="shared" si="256"/>
        <v>0</v>
      </c>
      <c r="FA319" s="945">
        <f t="shared" si="256"/>
        <v>0</v>
      </c>
      <c r="FB319" s="945">
        <f t="shared" si="256"/>
        <v>0</v>
      </c>
      <c r="FC319" s="945">
        <f t="shared" si="256"/>
        <v>0</v>
      </c>
      <c r="FD319" s="945">
        <f t="shared" si="256"/>
        <v>0</v>
      </c>
      <c r="FE319" s="945">
        <f t="shared" si="256"/>
        <v>0</v>
      </c>
      <c r="FF319" s="945">
        <f t="shared" si="256"/>
        <v>0</v>
      </c>
      <c r="FG319" s="945">
        <f t="shared" si="256"/>
        <v>0</v>
      </c>
      <c r="FH319" s="945">
        <f t="shared" si="256"/>
        <v>0</v>
      </c>
      <c r="FI319" s="945">
        <f t="shared" si="256"/>
        <v>0</v>
      </c>
      <c r="FJ319" s="945">
        <f t="shared" si="256"/>
        <v>0</v>
      </c>
      <c r="FK319" s="945">
        <f t="shared" si="256"/>
        <v>0</v>
      </c>
      <c r="FL319" s="945">
        <f t="shared" si="256"/>
        <v>0</v>
      </c>
    </row>
    <row r="320" spans="1:168" ht="15.6" x14ac:dyDescent="0.25">
      <c r="A320" s="484"/>
      <c r="B320" s="619" t="s">
        <v>1363</v>
      </c>
      <c r="C320" s="1332">
        <f>C319/7</f>
        <v>1897</v>
      </c>
      <c r="D320" s="1334">
        <f>D319/7</f>
        <v>42.87</v>
      </c>
      <c r="E320" s="1334">
        <f t="shared" ref="E320:G322" si="257">E319/7</f>
        <v>58.87</v>
      </c>
      <c r="F320" s="1334">
        <f t="shared" si="257"/>
        <v>188.8</v>
      </c>
      <c r="G320" s="1332">
        <f>G319/7</f>
        <v>1468</v>
      </c>
      <c r="H320" s="1332"/>
      <c r="I320" s="1334">
        <f>I319/7</f>
        <v>170</v>
      </c>
      <c r="J320" s="1333">
        <f t="shared" ref="J320" si="258">J319/10</f>
        <v>3.04E-2</v>
      </c>
      <c r="K320" s="1333">
        <f t="shared" ref="K320" si="259">K319/10</f>
        <v>7.6E-3</v>
      </c>
      <c r="L320" s="1333">
        <f t="shared" ref="L320" si="260">L319/10</f>
        <v>0</v>
      </c>
      <c r="M320" s="1333">
        <f t="shared" ref="M320" si="261">M319/10</f>
        <v>1.7000000000000001E-2</v>
      </c>
      <c r="N320" s="1333">
        <f t="shared" ref="N320" si="262">N319/10</f>
        <v>0</v>
      </c>
      <c r="O320" s="1333">
        <f t="shared" ref="O320" si="263">O319/10</f>
        <v>0</v>
      </c>
      <c r="P320" s="1333">
        <f t="shared" ref="P320" si="264">P319/10</f>
        <v>5.9999999999999995E-4</v>
      </c>
      <c r="Q320" s="1333">
        <f t="shared" ref="Q320" si="265">Q319/10</f>
        <v>0</v>
      </c>
      <c r="R320" s="1333">
        <f t="shared" ref="R320" si="266">R319/10</f>
        <v>0</v>
      </c>
      <c r="S320" s="1333">
        <f t="shared" ref="S320" si="267">S319/10</f>
        <v>1.5820000000000001E-2</v>
      </c>
      <c r="T320" s="1333">
        <f t="shared" ref="T320" si="268">T319/10</f>
        <v>0</v>
      </c>
      <c r="U320" s="1333">
        <f t="shared" ref="U320" si="269">U319/10</f>
        <v>7.2650000000000006E-2</v>
      </c>
      <c r="V320" s="1333">
        <f t="shared" ref="V320" si="270">V319/10</f>
        <v>1.602E-2</v>
      </c>
      <c r="W320" s="1333">
        <f t="shared" ref="W320" si="271">W319/10</f>
        <v>6.8999999999999999E-3</v>
      </c>
      <c r="X320" s="1333">
        <f t="shared" ref="X320" si="272">X319/10</f>
        <v>9.2399999999999999E-3</v>
      </c>
      <c r="Y320" s="1333">
        <f t="shared" ref="Y320" si="273">Y319/10</f>
        <v>1.0580000000000001E-2</v>
      </c>
      <c r="Z320" s="1333">
        <f t="shared" ref="Z320" si="274">Z319/10</f>
        <v>3.0000000000000001E-3</v>
      </c>
      <c r="AA320" s="1333">
        <f t="shared" ref="AA320" si="275">AA319/10</f>
        <v>0</v>
      </c>
      <c r="AB320" s="1333">
        <f t="shared" ref="AB320" si="276">AB319/10</f>
        <v>0</v>
      </c>
      <c r="AC320" s="1333">
        <f t="shared" ref="AC320" si="277">AC319/10</f>
        <v>0</v>
      </c>
      <c r="AD320" s="1333">
        <f t="shared" ref="AD320" si="278">AD319/10</f>
        <v>0</v>
      </c>
      <c r="AE320" s="1333">
        <f t="shared" ref="AE320" si="279">AE319/10</f>
        <v>1.1950000000000001E-2</v>
      </c>
      <c r="AF320" s="1333">
        <f t="shared" ref="AF320" si="280">AF319/10</f>
        <v>1.592E-2</v>
      </c>
      <c r="AG320" s="1333">
        <f t="shared" ref="AG320" si="281">AG319/10</f>
        <v>0</v>
      </c>
      <c r="AH320" s="1333">
        <f t="shared" ref="AH320" si="282">AH319/10</f>
        <v>0.10285999999999999</v>
      </c>
      <c r="AI320" s="1333">
        <f t="shared" ref="AI320" si="283">AI319/10</f>
        <v>0</v>
      </c>
      <c r="AJ320" s="1333">
        <f t="shared" ref="AJ320" si="284">AJ319/10</f>
        <v>0</v>
      </c>
      <c r="AK320" s="1333">
        <f t="shared" ref="AK320" si="285">AK319/10</f>
        <v>1.9009999999999999E-2</v>
      </c>
      <c r="AL320" s="1333">
        <f t="shared" ref="AL320" si="286">AL319/10</f>
        <v>3.65E-3</v>
      </c>
      <c r="AM320" s="1333">
        <f t="shared" ref="AM320" si="287">AM319/10</f>
        <v>1E-4</v>
      </c>
      <c r="AN320" s="1333">
        <f t="shared" ref="AN320" si="288">AN319/10</f>
        <v>1.8180000000000002E-2</v>
      </c>
      <c r="AO320" s="1333">
        <f t="shared" ref="AO320" si="289">AO319/10</f>
        <v>1.345E-2</v>
      </c>
      <c r="AP320" s="1333">
        <f t="shared" ref="AP320" si="290">AP319/10</f>
        <v>0</v>
      </c>
      <c r="AQ320" s="1333">
        <f t="shared" ref="AQ320" si="291">AQ319/10</f>
        <v>2.0449999999999999E-2</v>
      </c>
      <c r="AR320" s="1333">
        <f t="shared" ref="AR320" si="292">AR319/10</f>
        <v>0</v>
      </c>
      <c r="AS320" s="1333">
        <f t="shared" ref="AS320" si="293">AS319/10</f>
        <v>0</v>
      </c>
      <c r="AT320" s="1333">
        <f t="shared" ref="AT320" si="294">AT319/10</f>
        <v>1.6800000000000001E-3</v>
      </c>
      <c r="AU320" s="1333">
        <f t="shared" ref="AU320" si="295">AU319/10</f>
        <v>2.2300000000000002E-3</v>
      </c>
      <c r="AV320" s="1333">
        <f t="shared" ref="AV320" si="296">AV319/10</f>
        <v>0</v>
      </c>
      <c r="AW320" s="1333">
        <f t="shared" ref="AW320" si="297">AW319/10</f>
        <v>0</v>
      </c>
      <c r="AX320" s="1333">
        <f t="shared" ref="AX320" si="298">AX319/10</f>
        <v>1.796E-2</v>
      </c>
      <c r="AY320" s="1333">
        <f t="shared" ref="AY320" si="299">AY319/10</f>
        <v>0</v>
      </c>
      <c r="AZ320" s="1333">
        <f t="shared" ref="AZ320" si="300">AZ319/10</f>
        <v>0</v>
      </c>
      <c r="BA320" s="1333">
        <f t="shared" ref="BA320" si="301">BA319/10</f>
        <v>3.15E-3</v>
      </c>
      <c r="BB320" s="1333">
        <f t="shared" ref="BB320" si="302">BB319/10</f>
        <v>0</v>
      </c>
      <c r="BC320" s="1333">
        <f t="shared" ref="BC320" si="303">BC319/10</f>
        <v>0</v>
      </c>
      <c r="BD320" s="1333">
        <f t="shared" ref="BD320" si="304">BD319/10</f>
        <v>0</v>
      </c>
      <c r="BE320" s="1333">
        <f t="shared" ref="BE320" si="305">BE319/10</f>
        <v>0</v>
      </c>
      <c r="BF320" s="1333">
        <f t="shared" ref="BF320" si="306">BF319/10</f>
        <v>0</v>
      </c>
      <c r="BG320" s="1333">
        <f t="shared" ref="BG320" si="307">BG319/10</f>
        <v>0</v>
      </c>
      <c r="BH320" s="1333">
        <f t="shared" ref="BH320" si="308">BH319/10</f>
        <v>0</v>
      </c>
      <c r="BI320" s="1333">
        <f t="shared" ref="BI320" si="309">BI319/10</f>
        <v>0</v>
      </c>
      <c r="BJ320" s="1333">
        <f t="shared" ref="BJ320" si="310">BJ319/10</f>
        <v>0</v>
      </c>
      <c r="BK320" s="1333">
        <f t="shared" ref="BK320" si="311">BK319/10</f>
        <v>0</v>
      </c>
      <c r="BL320" s="1333">
        <f t="shared" ref="BL320" si="312">BL319/10</f>
        <v>0</v>
      </c>
      <c r="BM320" s="1333">
        <f t="shared" ref="BM320" si="313">BM319/10</f>
        <v>0</v>
      </c>
      <c r="BN320" s="1333">
        <f t="shared" ref="BN320" si="314">BN319/10</f>
        <v>0</v>
      </c>
      <c r="BO320" s="1333">
        <f t="shared" ref="BO320" si="315">BO319/10</f>
        <v>0</v>
      </c>
      <c r="BP320" s="1333">
        <f t="shared" ref="BP320" si="316">BP319/10</f>
        <v>0</v>
      </c>
      <c r="BQ320" s="1333">
        <f t="shared" ref="BQ320" si="317">BQ319/10</f>
        <v>0</v>
      </c>
      <c r="BR320" s="1333">
        <f t="shared" ref="BR320" si="318">BR319/10</f>
        <v>5.3620000000000001E-2</v>
      </c>
      <c r="BS320" s="1333">
        <f t="shared" ref="BS320" si="319">BS319/10</f>
        <v>2.9399999999999999E-3</v>
      </c>
      <c r="BT320" s="1333">
        <f t="shared" ref="BT320" si="320">BT319/10</f>
        <v>1.089E-2</v>
      </c>
      <c r="BU320" s="1333">
        <f t="shared" ref="BU320" si="321">BU319/10</f>
        <v>4.1000000000000003E-3</v>
      </c>
      <c r="BV320" s="1333">
        <f t="shared" ref="BV320" si="322">BV319/10</f>
        <v>0</v>
      </c>
      <c r="BW320" s="1333">
        <f t="shared" ref="BW320" si="323">BW319/10</f>
        <v>0</v>
      </c>
      <c r="BX320" s="1333">
        <f t="shared" ref="BX320" si="324">BX319/10</f>
        <v>0</v>
      </c>
      <c r="BY320" s="1333">
        <f t="shared" ref="BY320" si="325">BY319/10</f>
        <v>0</v>
      </c>
      <c r="BZ320" s="1333">
        <f t="shared" ref="BZ320" si="326">BZ319/10</f>
        <v>0</v>
      </c>
      <c r="CA320" s="1333">
        <f t="shared" ref="CA320" si="327">CA319/10</f>
        <v>5.4000000000000003E-3</v>
      </c>
      <c r="CB320" s="1333">
        <f t="shared" ref="CB320" si="328">CB319/10</f>
        <v>8.3999999999999995E-3</v>
      </c>
      <c r="CC320" s="1333">
        <f t="shared" ref="CC320" si="329">CC319/10</f>
        <v>0</v>
      </c>
      <c r="CD320" s="1333">
        <f t="shared" ref="CD320" si="330">CD319/10</f>
        <v>0</v>
      </c>
      <c r="CE320" s="1333">
        <f t="shared" ref="CE320" si="331">CE319/10</f>
        <v>0</v>
      </c>
      <c r="CF320" s="1333">
        <f t="shared" ref="CF320" si="332">CF319/10</f>
        <v>1.035E-2</v>
      </c>
      <c r="CG320" s="1333">
        <f t="shared" ref="CG320" si="333">CG319/10</f>
        <v>7.2500000000000004E-3</v>
      </c>
      <c r="CH320" s="1333">
        <f t="shared" ref="CH320" si="334">CH319/10</f>
        <v>0</v>
      </c>
      <c r="CI320" s="1333">
        <f t="shared" ref="CI320" si="335">CI319/10</f>
        <v>0</v>
      </c>
      <c r="CJ320" s="1333">
        <f t="shared" ref="CJ320" si="336">CJ319/10</f>
        <v>0</v>
      </c>
      <c r="CK320" s="1333">
        <f t="shared" ref="CK320" si="337">CK319/10</f>
        <v>0</v>
      </c>
      <c r="CL320" s="1333">
        <f t="shared" ref="CL320" si="338">CL319/10</f>
        <v>0</v>
      </c>
      <c r="CM320" s="1333">
        <f t="shared" ref="CM320" si="339">CM319/10</f>
        <v>1.1999999999999999E-3</v>
      </c>
      <c r="CN320" s="1333">
        <f t="shared" ref="CN320" si="340">CN319/10</f>
        <v>0</v>
      </c>
      <c r="CO320" s="1333">
        <f t="shared" ref="CO320" si="341">CO319/10</f>
        <v>0</v>
      </c>
      <c r="CP320" s="1333">
        <f t="shared" ref="CP320" si="342">CP319/10</f>
        <v>0</v>
      </c>
      <c r="CQ320" s="1333">
        <f t="shared" ref="CQ320" si="343">CQ319/10</f>
        <v>1.6000000000000001E-4</v>
      </c>
      <c r="CR320" s="1333">
        <f t="shared" ref="CR320" si="344">CR319/10</f>
        <v>0</v>
      </c>
      <c r="CS320" s="1333">
        <f t="shared" ref="CS320" si="345">CS319/10</f>
        <v>3.0000000000000001E-5</v>
      </c>
      <c r="CT320" s="1333">
        <f t="shared" ref="CT320" si="346">CT319/10</f>
        <v>4.79E-3</v>
      </c>
      <c r="CU320" s="1333">
        <f t="shared" ref="CU320" si="347">CU319/10</f>
        <v>0</v>
      </c>
      <c r="CV320" s="1333">
        <f t="shared" ref="CV320" si="348">CV319/10</f>
        <v>0</v>
      </c>
      <c r="CW320" s="1333">
        <f t="shared" ref="CW320" si="349">CW319/10</f>
        <v>0</v>
      </c>
      <c r="CX320" s="1333">
        <f t="shared" ref="CX320" si="350">CX319/10</f>
        <v>0</v>
      </c>
      <c r="CY320" s="1333">
        <f t="shared" ref="CY320" si="351">CY319/10</f>
        <v>0</v>
      </c>
      <c r="CZ320" s="1333">
        <f t="shared" ref="CZ320" si="352">CZ319/10</f>
        <v>3.3110000000000001E-2</v>
      </c>
      <c r="DA320" s="1333">
        <f t="shared" ref="DA320" si="353">DA319/10</f>
        <v>0</v>
      </c>
      <c r="DB320" s="1333">
        <f t="shared" ref="DB320" si="354">DB319/10</f>
        <v>0</v>
      </c>
      <c r="DC320" s="1333">
        <f t="shared" ref="DC320" si="355">DC319/10</f>
        <v>5.5900000000000004E-3</v>
      </c>
      <c r="DD320" s="1333">
        <f t="shared" ref="DD320" si="356">DD319/10</f>
        <v>2.5999999999999999E-3</v>
      </c>
      <c r="DE320" s="1333">
        <f t="shared" ref="DE320" si="357">DE319/10</f>
        <v>8.0000000000000002E-3</v>
      </c>
      <c r="DF320" s="1333">
        <f t="shared" ref="DF320" si="358">DF319/10</f>
        <v>5.96E-3</v>
      </c>
      <c r="DG320" s="1333">
        <f t="shared" ref="DG320" si="359">DG319/10</f>
        <v>0</v>
      </c>
      <c r="DH320" s="1333">
        <f t="shared" ref="DH320" si="360">DH319/10</f>
        <v>0</v>
      </c>
      <c r="DI320" s="1333">
        <f t="shared" ref="DI320" si="361">DI319/10</f>
        <v>0</v>
      </c>
      <c r="DJ320" s="1333">
        <f t="shared" ref="DJ320" si="362">DJ319/10</f>
        <v>0</v>
      </c>
      <c r="DK320" s="1333">
        <f t="shared" ref="DK320" si="363">DK319/10</f>
        <v>0</v>
      </c>
      <c r="DL320" s="1333">
        <f t="shared" ref="DL320" si="364">DL319/10</f>
        <v>2.0300000000000001E-3</v>
      </c>
      <c r="DM320" s="1333">
        <f t="shared" ref="DM320" si="365">DM319/10</f>
        <v>1E-3</v>
      </c>
      <c r="DN320" s="1333">
        <f t="shared" ref="DN320" si="366">DN319/10</f>
        <v>0</v>
      </c>
      <c r="DO320" s="1333">
        <f t="shared" ref="DO320" si="367">DO319/10</f>
        <v>0</v>
      </c>
      <c r="DP320" s="1333">
        <f t="shared" ref="DP320" si="368">DP319/10</f>
        <v>0</v>
      </c>
      <c r="DQ320" s="1333">
        <f t="shared" ref="DQ320" si="369">DQ319/10</f>
        <v>0</v>
      </c>
      <c r="DR320" s="1333">
        <f t="shared" ref="DR320" si="370">DR319/10</f>
        <v>3.5E-4</v>
      </c>
      <c r="DS320" s="1333">
        <f t="shared" ref="DS320" si="371">DS319/10</f>
        <v>0</v>
      </c>
      <c r="DT320" s="1333">
        <f t="shared" ref="DT320" si="372">DT319/10</f>
        <v>0</v>
      </c>
      <c r="DU320" s="1333">
        <f t="shared" ref="DU320" si="373">DU319/10</f>
        <v>3.2699999999999999E-3</v>
      </c>
      <c r="DV320" s="1333">
        <f t="shared" ref="DV320" si="374">DV319/10</f>
        <v>0</v>
      </c>
      <c r="DW320" s="1333">
        <f t="shared" ref="DW320" si="375">DW319/10</f>
        <v>0</v>
      </c>
      <c r="DX320" s="1333">
        <f t="shared" ref="DX320" si="376">DX319/10</f>
        <v>0</v>
      </c>
      <c r="DY320" s="1333">
        <f t="shared" ref="DY320" si="377">DY319/10</f>
        <v>0</v>
      </c>
      <c r="DZ320" s="1333">
        <f t="shared" ref="DZ320" si="378">DZ319/10</f>
        <v>0</v>
      </c>
      <c r="EA320" s="1333">
        <f t="shared" ref="EA320" si="379">EA319/10</f>
        <v>0.03</v>
      </c>
      <c r="EB320" s="1333">
        <f t="shared" ref="EB320" si="380">EB319/10</f>
        <v>0.35</v>
      </c>
      <c r="EC320" s="1333">
        <f t="shared" ref="EC320" si="381">EC319/10</f>
        <v>0</v>
      </c>
      <c r="ED320" s="1333">
        <f t="shared" ref="ED320" si="382">ED319/10</f>
        <v>0</v>
      </c>
      <c r="EE320" s="1333">
        <f t="shared" ref="EE320" si="383">EE319/10</f>
        <v>0</v>
      </c>
      <c r="EF320" s="1333">
        <f t="shared" ref="EF320" si="384">EF319/10</f>
        <v>0</v>
      </c>
      <c r="EG320" s="1333">
        <f t="shared" ref="EG320" si="385">EG319/10</f>
        <v>0</v>
      </c>
      <c r="EH320" s="1333">
        <f t="shared" ref="EH320" si="386">EH319/10</f>
        <v>0</v>
      </c>
      <c r="EI320" s="1333">
        <f t="shared" ref="EI320" si="387">EI319/10</f>
        <v>0</v>
      </c>
      <c r="EJ320" s="1333">
        <f t="shared" ref="EJ320" si="388">EJ319/10</f>
        <v>0</v>
      </c>
      <c r="EK320" s="1333">
        <f t="shared" ref="EK320" si="389">EK319/10</f>
        <v>0</v>
      </c>
      <c r="EL320" s="1333">
        <f t="shared" ref="EL320" si="390">EL319/10</f>
        <v>0</v>
      </c>
      <c r="EM320" s="1333">
        <f t="shared" ref="EM320" si="391">EM319/10</f>
        <v>0</v>
      </c>
      <c r="EN320" s="1333">
        <f t="shared" ref="EN320" si="392">EN319/10</f>
        <v>0</v>
      </c>
      <c r="EO320" s="1333">
        <f t="shared" ref="EO320" si="393">EO319/10</f>
        <v>0</v>
      </c>
      <c r="EP320" s="1333">
        <f t="shared" ref="EP320" si="394">EP319/10</f>
        <v>0</v>
      </c>
      <c r="EQ320" s="1333">
        <f t="shared" ref="EQ320" si="395">EQ319/10</f>
        <v>0</v>
      </c>
      <c r="ER320" s="1333">
        <f t="shared" ref="ER320" si="396">ER319/10</f>
        <v>0</v>
      </c>
      <c r="ES320" s="1333">
        <f t="shared" ref="ES320" si="397">ES319/10</f>
        <v>0</v>
      </c>
      <c r="ET320" s="1333">
        <f t="shared" ref="ET320" si="398">ET319/10</f>
        <v>0</v>
      </c>
      <c r="EU320" s="1333">
        <f t="shared" ref="EU320" si="399">EU319/10</f>
        <v>0</v>
      </c>
      <c r="EV320" s="1333">
        <f t="shared" ref="EV320" si="400">EV319/10</f>
        <v>2.9700000000000001E-2</v>
      </c>
      <c r="EW320" s="1333">
        <f t="shared" ref="EW320" si="401">EW319/10</f>
        <v>4.1000000000000002E-2</v>
      </c>
      <c r="EX320" s="1333">
        <f t="shared" ref="EX320" si="402">EX319/10</f>
        <v>0</v>
      </c>
      <c r="EY320" s="857">
        <f t="shared" ref="EY320:FL320" si="403">EY319/10</f>
        <v>1.0421199999999999</v>
      </c>
      <c r="EZ320" s="846">
        <f t="shared" si="403"/>
        <v>0</v>
      </c>
      <c r="FA320" s="846">
        <f t="shared" si="403"/>
        <v>0</v>
      </c>
      <c r="FB320" s="846">
        <f t="shared" si="403"/>
        <v>0</v>
      </c>
      <c r="FC320" s="846">
        <f t="shared" si="403"/>
        <v>0</v>
      </c>
      <c r="FD320" s="846">
        <f t="shared" si="403"/>
        <v>0</v>
      </c>
      <c r="FE320" s="846">
        <f t="shared" si="403"/>
        <v>0</v>
      </c>
      <c r="FF320" s="846">
        <f t="shared" si="403"/>
        <v>0</v>
      </c>
      <c r="FG320" s="846">
        <f t="shared" si="403"/>
        <v>0</v>
      </c>
      <c r="FH320" s="846">
        <f t="shared" si="403"/>
        <v>0</v>
      </c>
      <c r="FI320" s="846">
        <f t="shared" si="403"/>
        <v>0</v>
      </c>
      <c r="FJ320" s="846">
        <f t="shared" si="403"/>
        <v>0</v>
      </c>
      <c r="FK320" s="846">
        <f t="shared" si="403"/>
        <v>0</v>
      </c>
      <c r="FL320" s="846">
        <f t="shared" si="403"/>
        <v>0</v>
      </c>
    </row>
    <row r="321" spans="1:168" s="1310" customFormat="1" ht="15.6" x14ac:dyDescent="0.25">
      <c r="A321" s="484"/>
      <c r="B321" s="619" t="s">
        <v>1364</v>
      </c>
      <c r="C321" s="1332">
        <f>(C26+C56+C86+C116+C146+C176+C206+C236+C266+C296)/7</f>
        <v>1033</v>
      </c>
      <c r="D321" s="1334">
        <f t="shared" ref="D321:D322" si="404">D320/7</f>
        <v>6.12</v>
      </c>
      <c r="E321" s="1334">
        <f t="shared" si="257"/>
        <v>8.41</v>
      </c>
      <c r="F321" s="1334">
        <f t="shared" si="257"/>
        <v>26.97</v>
      </c>
      <c r="G321" s="1332">
        <f t="shared" si="257"/>
        <v>210</v>
      </c>
      <c r="H321" s="1332"/>
      <c r="I321" s="1334">
        <f t="shared" ref="I321:I322" si="405">I320/7</f>
        <v>24.29</v>
      </c>
      <c r="J321" s="1333">
        <f t="shared" ref="J321:BU321" si="406">(J26+J56+J86+J116+J146+J176+J206+J236+J266+J296)/10</f>
        <v>0</v>
      </c>
      <c r="K321" s="1333">
        <f t="shared" si="406"/>
        <v>0</v>
      </c>
      <c r="L321" s="1333">
        <f t="shared" si="406"/>
        <v>0</v>
      </c>
      <c r="M321" s="1333">
        <f t="shared" si="406"/>
        <v>0</v>
      </c>
      <c r="N321" s="1333">
        <f t="shared" si="406"/>
        <v>0</v>
      </c>
      <c r="O321" s="1333">
        <f t="shared" si="406"/>
        <v>0</v>
      </c>
      <c r="P321" s="1333">
        <f t="shared" si="406"/>
        <v>0</v>
      </c>
      <c r="Q321" s="1333">
        <f t="shared" si="406"/>
        <v>0</v>
      </c>
      <c r="R321" s="1333">
        <f t="shared" si="406"/>
        <v>0</v>
      </c>
      <c r="S321" s="1333">
        <f t="shared" si="406"/>
        <v>0</v>
      </c>
      <c r="T321" s="1333">
        <f t="shared" si="406"/>
        <v>0</v>
      </c>
      <c r="U321" s="1333">
        <f t="shared" si="406"/>
        <v>6.2710000000000002E-2</v>
      </c>
      <c r="V321" s="1333">
        <f t="shared" si="406"/>
        <v>1.23E-2</v>
      </c>
      <c r="W321" s="1333">
        <f t="shared" si="406"/>
        <v>6.8999999999999999E-3</v>
      </c>
      <c r="X321" s="1333">
        <f t="shared" si="406"/>
        <v>9.2399999999999999E-3</v>
      </c>
      <c r="Y321" s="1333">
        <f t="shared" si="406"/>
        <v>5.0000000000000001E-4</v>
      </c>
      <c r="Z321" s="1333">
        <f t="shared" si="406"/>
        <v>3.0000000000000001E-3</v>
      </c>
      <c r="AA321" s="1333">
        <f t="shared" si="406"/>
        <v>0</v>
      </c>
      <c r="AB321" s="1333">
        <f t="shared" si="406"/>
        <v>0</v>
      </c>
      <c r="AC321" s="1333">
        <f t="shared" si="406"/>
        <v>0</v>
      </c>
      <c r="AD321" s="1333">
        <f t="shared" si="406"/>
        <v>0</v>
      </c>
      <c r="AE321" s="1333">
        <f t="shared" si="406"/>
        <v>1.1050000000000001E-2</v>
      </c>
      <c r="AF321" s="1333">
        <f t="shared" si="406"/>
        <v>0</v>
      </c>
      <c r="AG321" s="1333">
        <f t="shared" si="406"/>
        <v>0</v>
      </c>
      <c r="AH321" s="1333">
        <f t="shared" si="406"/>
        <v>0</v>
      </c>
      <c r="AI321" s="1333">
        <f t="shared" si="406"/>
        <v>0</v>
      </c>
      <c r="AJ321" s="1333">
        <f t="shared" si="406"/>
        <v>0</v>
      </c>
      <c r="AK321" s="1333">
        <f t="shared" si="406"/>
        <v>0</v>
      </c>
      <c r="AL321" s="1333">
        <f t="shared" si="406"/>
        <v>2.0000000000000001E-4</v>
      </c>
      <c r="AM321" s="1333">
        <f t="shared" si="406"/>
        <v>0</v>
      </c>
      <c r="AN321" s="1333">
        <f t="shared" si="406"/>
        <v>0</v>
      </c>
      <c r="AO321" s="1333">
        <f t="shared" si="406"/>
        <v>0</v>
      </c>
      <c r="AP321" s="1333">
        <f t="shared" si="406"/>
        <v>0</v>
      </c>
      <c r="AQ321" s="1333">
        <f t="shared" si="406"/>
        <v>0</v>
      </c>
      <c r="AR321" s="1333">
        <f t="shared" si="406"/>
        <v>0</v>
      </c>
      <c r="AS321" s="1333">
        <f t="shared" si="406"/>
        <v>0</v>
      </c>
      <c r="AT321" s="1333">
        <f t="shared" si="406"/>
        <v>0</v>
      </c>
      <c r="AU321" s="1333">
        <f t="shared" si="406"/>
        <v>4.0000000000000002E-4</v>
      </c>
      <c r="AV321" s="1333">
        <f t="shared" si="406"/>
        <v>0</v>
      </c>
      <c r="AW321" s="1333">
        <f t="shared" si="406"/>
        <v>0</v>
      </c>
      <c r="AX321" s="1333">
        <f t="shared" si="406"/>
        <v>0</v>
      </c>
      <c r="AY321" s="1333">
        <f t="shared" si="406"/>
        <v>0</v>
      </c>
      <c r="AZ321" s="1333">
        <f t="shared" si="406"/>
        <v>0</v>
      </c>
      <c r="BA321" s="1333">
        <f t="shared" si="406"/>
        <v>0</v>
      </c>
      <c r="BB321" s="1333">
        <f t="shared" si="406"/>
        <v>0</v>
      </c>
      <c r="BC321" s="1333">
        <f t="shared" si="406"/>
        <v>0</v>
      </c>
      <c r="BD321" s="1333">
        <f t="shared" si="406"/>
        <v>0</v>
      </c>
      <c r="BE321" s="1333">
        <f t="shared" si="406"/>
        <v>0</v>
      </c>
      <c r="BF321" s="1333">
        <f t="shared" si="406"/>
        <v>0</v>
      </c>
      <c r="BG321" s="1333">
        <f t="shared" si="406"/>
        <v>0</v>
      </c>
      <c r="BH321" s="1333">
        <f t="shared" si="406"/>
        <v>0</v>
      </c>
      <c r="BI321" s="1333">
        <f t="shared" si="406"/>
        <v>0</v>
      </c>
      <c r="BJ321" s="1333">
        <f t="shared" si="406"/>
        <v>0</v>
      </c>
      <c r="BK321" s="1333">
        <f t="shared" si="406"/>
        <v>0</v>
      </c>
      <c r="BL321" s="1333">
        <f t="shared" si="406"/>
        <v>0</v>
      </c>
      <c r="BM321" s="1333">
        <f t="shared" si="406"/>
        <v>0</v>
      </c>
      <c r="BN321" s="1333">
        <f t="shared" si="406"/>
        <v>0</v>
      </c>
      <c r="BO321" s="1333">
        <f t="shared" si="406"/>
        <v>0</v>
      </c>
      <c r="BP321" s="1333">
        <f t="shared" si="406"/>
        <v>0</v>
      </c>
      <c r="BQ321" s="1333">
        <f t="shared" si="406"/>
        <v>0</v>
      </c>
      <c r="BR321" s="1333">
        <f t="shared" si="406"/>
        <v>0.04</v>
      </c>
      <c r="BS321" s="1333">
        <f t="shared" si="406"/>
        <v>0</v>
      </c>
      <c r="BT321" s="1333">
        <f t="shared" si="406"/>
        <v>4.0000000000000001E-3</v>
      </c>
      <c r="BU321" s="1333">
        <f t="shared" si="406"/>
        <v>4.1000000000000003E-3</v>
      </c>
      <c r="BV321" s="1333">
        <f t="shared" ref="BV321:EG321" si="407">(BV26+BV56+BV86+BV116+BV146+BV176+BV206+BV236+BV266+BV296)/10</f>
        <v>0</v>
      </c>
      <c r="BW321" s="1333">
        <f t="shared" si="407"/>
        <v>0</v>
      </c>
      <c r="BX321" s="1333">
        <f t="shared" si="407"/>
        <v>0</v>
      </c>
      <c r="BY321" s="1333">
        <f t="shared" si="407"/>
        <v>0</v>
      </c>
      <c r="BZ321" s="1333">
        <f t="shared" si="407"/>
        <v>0</v>
      </c>
      <c r="CA321" s="1333">
        <f t="shared" si="407"/>
        <v>5.4000000000000003E-3</v>
      </c>
      <c r="CB321" s="1333">
        <f t="shared" si="407"/>
        <v>1.9E-3</v>
      </c>
      <c r="CC321" s="1333">
        <f t="shared" si="407"/>
        <v>0</v>
      </c>
      <c r="CD321" s="1333">
        <f t="shared" si="407"/>
        <v>0</v>
      </c>
      <c r="CE321" s="1333">
        <f t="shared" si="407"/>
        <v>0</v>
      </c>
      <c r="CF321" s="1333">
        <f t="shared" si="407"/>
        <v>0</v>
      </c>
      <c r="CG321" s="1333">
        <f t="shared" si="407"/>
        <v>2E-3</v>
      </c>
      <c r="CH321" s="1333">
        <f t="shared" si="407"/>
        <v>0</v>
      </c>
      <c r="CI321" s="1333">
        <f t="shared" si="407"/>
        <v>0</v>
      </c>
      <c r="CJ321" s="1333">
        <f t="shared" si="407"/>
        <v>0</v>
      </c>
      <c r="CK321" s="1333">
        <f t="shared" si="407"/>
        <v>0</v>
      </c>
      <c r="CL321" s="1333">
        <f t="shared" si="407"/>
        <v>0</v>
      </c>
      <c r="CM321" s="1333">
        <f t="shared" si="407"/>
        <v>1.1999999999999999E-3</v>
      </c>
      <c r="CN321" s="1333">
        <f t="shared" si="407"/>
        <v>0</v>
      </c>
      <c r="CO321" s="1333">
        <f t="shared" si="407"/>
        <v>0</v>
      </c>
      <c r="CP321" s="1333">
        <f t="shared" si="407"/>
        <v>0</v>
      </c>
      <c r="CQ321" s="1333">
        <f t="shared" si="407"/>
        <v>0</v>
      </c>
      <c r="CR321" s="1333">
        <f t="shared" si="407"/>
        <v>0</v>
      </c>
      <c r="CS321" s="1333">
        <f t="shared" si="407"/>
        <v>0</v>
      </c>
      <c r="CT321" s="1333">
        <f t="shared" si="407"/>
        <v>0</v>
      </c>
      <c r="CU321" s="1333">
        <f t="shared" si="407"/>
        <v>0</v>
      </c>
      <c r="CV321" s="1333">
        <f t="shared" si="407"/>
        <v>0</v>
      </c>
      <c r="CW321" s="1333">
        <f t="shared" si="407"/>
        <v>0</v>
      </c>
      <c r="CX321" s="1333">
        <f t="shared" si="407"/>
        <v>0</v>
      </c>
      <c r="CY321" s="1333">
        <f t="shared" si="407"/>
        <v>0</v>
      </c>
      <c r="CZ321" s="1333">
        <f t="shared" si="407"/>
        <v>1.685E-2</v>
      </c>
      <c r="DA321" s="1333">
        <f t="shared" si="407"/>
        <v>0</v>
      </c>
      <c r="DB321" s="1333">
        <f t="shared" si="407"/>
        <v>0</v>
      </c>
      <c r="DC321" s="1333">
        <f t="shared" si="407"/>
        <v>3.6999999999999999E-4</v>
      </c>
      <c r="DD321" s="1333">
        <f t="shared" si="407"/>
        <v>5.0000000000000001E-4</v>
      </c>
      <c r="DE321" s="1333">
        <f t="shared" si="407"/>
        <v>0</v>
      </c>
      <c r="DF321" s="1333">
        <f t="shared" si="407"/>
        <v>0</v>
      </c>
      <c r="DG321" s="1333">
        <f t="shared" si="407"/>
        <v>0</v>
      </c>
      <c r="DH321" s="1333">
        <f t="shared" si="407"/>
        <v>0</v>
      </c>
      <c r="DI321" s="1333">
        <f t="shared" si="407"/>
        <v>0</v>
      </c>
      <c r="DJ321" s="1333">
        <f t="shared" si="407"/>
        <v>0</v>
      </c>
      <c r="DK321" s="1333">
        <f t="shared" si="407"/>
        <v>0</v>
      </c>
      <c r="DL321" s="1333">
        <f t="shared" si="407"/>
        <v>0</v>
      </c>
      <c r="DM321" s="1333">
        <f t="shared" si="407"/>
        <v>0</v>
      </c>
      <c r="DN321" s="1333">
        <f t="shared" si="407"/>
        <v>0</v>
      </c>
      <c r="DO321" s="1333">
        <f t="shared" si="407"/>
        <v>0</v>
      </c>
      <c r="DP321" s="1333">
        <f t="shared" si="407"/>
        <v>0</v>
      </c>
      <c r="DQ321" s="1333">
        <f t="shared" si="407"/>
        <v>0</v>
      </c>
      <c r="DR321" s="1333">
        <f t="shared" si="407"/>
        <v>3.5E-4</v>
      </c>
      <c r="DS321" s="1333">
        <f t="shared" si="407"/>
        <v>0</v>
      </c>
      <c r="DT321" s="1333">
        <f t="shared" si="407"/>
        <v>0</v>
      </c>
      <c r="DU321" s="1333">
        <f t="shared" si="407"/>
        <v>2.5000000000000001E-3</v>
      </c>
      <c r="DV321" s="1333">
        <f t="shared" si="407"/>
        <v>0</v>
      </c>
      <c r="DW321" s="1333">
        <f t="shared" si="407"/>
        <v>0</v>
      </c>
      <c r="DX321" s="1333">
        <f t="shared" si="407"/>
        <v>0</v>
      </c>
      <c r="DY321" s="1333">
        <f t="shared" si="407"/>
        <v>0</v>
      </c>
      <c r="DZ321" s="1333">
        <f t="shared" si="407"/>
        <v>0</v>
      </c>
      <c r="EA321" s="1333">
        <f t="shared" si="407"/>
        <v>0</v>
      </c>
      <c r="EB321" s="1333">
        <f t="shared" si="407"/>
        <v>0.35</v>
      </c>
      <c r="EC321" s="1333">
        <f t="shared" si="407"/>
        <v>0</v>
      </c>
      <c r="ED321" s="1333">
        <f t="shared" si="407"/>
        <v>0</v>
      </c>
      <c r="EE321" s="1333">
        <f t="shared" si="407"/>
        <v>0</v>
      </c>
      <c r="EF321" s="1333">
        <f t="shared" si="407"/>
        <v>0</v>
      </c>
      <c r="EG321" s="1333">
        <f t="shared" si="407"/>
        <v>0</v>
      </c>
      <c r="EH321" s="1333">
        <f t="shared" ref="EH321:EX321" si="408">(EH26+EH56+EH86+EH116+EH146+EH176+EH206+EH236+EH266+EH296)/10</f>
        <v>0</v>
      </c>
      <c r="EI321" s="1333">
        <f t="shared" si="408"/>
        <v>0</v>
      </c>
      <c r="EJ321" s="1333">
        <f t="shared" si="408"/>
        <v>0</v>
      </c>
      <c r="EK321" s="1333">
        <f t="shared" si="408"/>
        <v>0</v>
      </c>
      <c r="EL321" s="1333">
        <f t="shared" si="408"/>
        <v>0</v>
      </c>
      <c r="EM321" s="1333">
        <f t="shared" si="408"/>
        <v>0</v>
      </c>
      <c r="EN321" s="1333">
        <f t="shared" si="408"/>
        <v>0</v>
      </c>
      <c r="EO321" s="1333">
        <f t="shared" si="408"/>
        <v>0</v>
      </c>
      <c r="EP321" s="1333">
        <f t="shared" si="408"/>
        <v>0</v>
      </c>
      <c r="EQ321" s="1333">
        <f t="shared" si="408"/>
        <v>0</v>
      </c>
      <c r="ER321" s="1333">
        <f t="shared" si="408"/>
        <v>0</v>
      </c>
      <c r="ES321" s="1333">
        <f t="shared" si="408"/>
        <v>0</v>
      </c>
      <c r="ET321" s="1333">
        <f t="shared" si="408"/>
        <v>0</v>
      </c>
      <c r="EU321" s="1333">
        <f t="shared" si="408"/>
        <v>0</v>
      </c>
      <c r="EV321" s="1333">
        <f t="shared" si="408"/>
        <v>1.2E-2</v>
      </c>
      <c r="EW321" s="1333">
        <f t="shared" si="408"/>
        <v>0.02</v>
      </c>
      <c r="EX321" s="1333">
        <f t="shared" si="408"/>
        <v>0</v>
      </c>
      <c r="EY321" s="857">
        <f t="shared" ref="EY321:FL321" si="409">EY26+EY56+EY86+EY116+EY146+EY176+EY206+EY236+EY266+EY296</f>
        <v>5.6747199999999998</v>
      </c>
      <c r="EZ321" s="846">
        <f t="shared" si="409"/>
        <v>0</v>
      </c>
      <c r="FA321" s="846">
        <f t="shared" si="409"/>
        <v>0</v>
      </c>
      <c r="FB321" s="846">
        <f t="shared" si="409"/>
        <v>0</v>
      </c>
      <c r="FC321" s="846">
        <f t="shared" si="409"/>
        <v>0</v>
      </c>
      <c r="FD321" s="846">
        <f t="shared" si="409"/>
        <v>0</v>
      </c>
      <c r="FE321" s="846">
        <f t="shared" si="409"/>
        <v>0</v>
      </c>
      <c r="FF321" s="846">
        <f t="shared" si="409"/>
        <v>0</v>
      </c>
      <c r="FG321" s="846">
        <f t="shared" si="409"/>
        <v>0</v>
      </c>
      <c r="FH321" s="846">
        <f t="shared" si="409"/>
        <v>0</v>
      </c>
      <c r="FI321" s="846">
        <f t="shared" si="409"/>
        <v>0</v>
      </c>
      <c r="FJ321" s="846">
        <f t="shared" si="409"/>
        <v>0</v>
      </c>
      <c r="FK321" s="846">
        <f t="shared" si="409"/>
        <v>0</v>
      </c>
      <c r="FL321" s="846">
        <f t="shared" si="409"/>
        <v>0</v>
      </c>
    </row>
    <row r="322" spans="1:168" s="1310" customFormat="1" ht="15.6" x14ac:dyDescent="0.25">
      <c r="A322" s="484"/>
      <c r="B322" s="619" t="s">
        <v>1365</v>
      </c>
      <c r="C322" s="1332">
        <f>(C36+C66+C96+C126+C156+C186+C216+C246+C276+C306)/7</f>
        <v>864</v>
      </c>
      <c r="D322" s="1334">
        <f t="shared" si="404"/>
        <v>0.87</v>
      </c>
      <c r="E322" s="1334">
        <f t="shared" si="257"/>
        <v>1.2</v>
      </c>
      <c r="F322" s="1334">
        <f t="shared" si="257"/>
        <v>3.85</v>
      </c>
      <c r="G322" s="1332">
        <f t="shared" si="257"/>
        <v>30</v>
      </c>
      <c r="H322" s="1332"/>
      <c r="I322" s="1334">
        <f t="shared" si="405"/>
        <v>3.47</v>
      </c>
      <c r="J322" s="1333">
        <f t="shared" ref="J322:BU322" si="410">(J36+J66+J96+J126+J156+J186+J216+J246+J276+J306)/10</f>
        <v>3.04E-2</v>
      </c>
      <c r="K322" s="1333">
        <f t="shared" si="410"/>
        <v>7.6E-3</v>
      </c>
      <c r="L322" s="1333">
        <f t="shared" si="410"/>
        <v>0</v>
      </c>
      <c r="M322" s="1333">
        <f t="shared" si="410"/>
        <v>1.7000000000000001E-2</v>
      </c>
      <c r="N322" s="1333">
        <f t="shared" si="410"/>
        <v>0</v>
      </c>
      <c r="O322" s="1333">
        <f t="shared" si="410"/>
        <v>0</v>
      </c>
      <c r="P322" s="1333">
        <f t="shared" si="410"/>
        <v>5.9999999999999995E-4</v>
      </c>
      <c r="Q322" s="1333">
        <f t="shared" si="410"/>
        <v>0</v>
      </c>
      <c r="R322" s="1333">
        <f t="shared" si="410"/>
        <v>0</v>
      </c>
      <c r="S322" s="1333">
        <f t="shared" si="410"/>
        <v>1.5820000000000001E-2</v>
      </c>
      <c r="T322" s="1333">
        <f t="shared" si="410"/>
        <v>0</v>
      </c>
      <c r="U322" s="1333">
        <f t="shared" si="410"/>
        <v>9.9399999999999992E-3</v>
      </c>
      <c r="V322" s="1333">
        <f t="shared" si="410"/>
        <v>3.7200000000000002E-3</v>
      </c>
      <c r="W322" s="1333">
        <f t="shared" si="410"/>
        <v>0</v>
      </c>
      <c r="X322" s="1333">
        <f t="shared" si="410"/>
        <v>0</v>
      </c>
      <c r="Y322" s="1333">
        <f t="shared" si="410"/>
        <v>1.008E-2</v>
      </c>
      <c r="Z322" s="1333">
        <f t="shared" si="410"/>
        <v>0</v>
      </c>
      <c r="AA322" s="1333">
        <f t="shared" si="410"/>
        <v>0</v>
      </c>
      <c r="AB322" s="1333">
        <f t="shared" si="410"/>
        <v>0</v>
      </c>
      <c r="AC322" s="1333">
        <f t="shared" si="410"/>
        <v>0</v>
      </c>
      <c r="AD322" s="1333">
        <f t="shared" si="410"/>
        <v>0</v>
      </c>
      <c r="AE322" s="1333">
        <f t="shared" si="410"/>
        <v>8.9999999999999998E-4</v>
      </c>
      <c r="AF322" s="1333">
        <f t="shared" si="410"/>
        <v>1.592E-2</v>
      </c>
      <c r="AG322" s="1333">
        <f t="shared" si="410"/>
        <v>0</v>
      </c>
      <c r="AH322" s="1333">
        <f t="shared" si="410"/>
        <v>0.10285999999999999</v>
      </c>
      <c r="AI322" s="1333">
        <f t="shared" si="410"/>
        <v>0</v>
      </c>
      <c r="AJ322" s="1333">
        <f t="shared" si="410"/>
        <v>0</v>
      </c>
      <c r="AK322" s="1333">
        <f t="shared" si="410"/>
        <v>1.9009999999999999E-2</v>
      </c>
      <c r="AL322" s="1333">
        <f t="shared" si="410"/>
        <v>3.4499999999999999E-3</v>
      </c>
      <c r="AM322" s="1333">
        <f t="shared" si="410"/>
        <v>1E-4</v>
      </c>
      <c r="AN322" s="1333">
        <f t="shared" si="410"/>
        <v>1.8180000000000002E-2</v>
      </c>
      <c r="AO322" s="1333">
        <f t="shared" si="410"/>
        <v>1.345E-2</v>
      </c>
      <c r="AP322" s="1333">
        <f t="shared" si="410"/>
        <v>0</v>
      </c>
      <c r="AQ322" s="1333">
        <f t="shared" si="410"/>
        <v>2.0449999999999999E-2</v>
      </c>
      <c r="AR322" s="1333">
        <f t="shared" si="410"/>
        <v>0</v>
      </c>
      <c r="AS322" s="1333">
        <f t="shared" si="410"/>
        <v>0</v>
      </c>
      <c r="AT322" s="1333">
        <f t="shared" si="410"/>
        <v>1.6800000000000001E-3</v>
      </c>
      <c r="AU322" s="1333">
        <f t="shared" si="410"/>
        <v>1.83E-3</v>
      </c>
      <c r="AV322" s="1333">
        <f t="shared" si="410"/>
        <v>0</v>
      </c>
      <c r="AW322" s="1333">
        <f t="shared" si="410"/>
        <v>0</v>
      </c>
      <c r="AX322" s="1333">
        <f t="shared" si="410"/>
        <v>1.796E-2</v>
      </c>
      <c r="AY322" s="1333">
        <f t="shared" si="410"/>
        <v>0</v>
      </c>
      <c r="AZ322" s="1333">
        <f t="shared" si="410"/>
        <v>0</v>
      </c>
      <c r="BA322" s="1333">
        <f t="shared" si="410"/>
        <v>3.15E-3</v>
      </c>
      <c r="BB322" s="1333">
        <f t="shared" si="410"/>
        <v>0</v>
      </c>
      <c r="BC322" s="1333">
        <f t="shared" si="410"/>
        <v>0</v>
      </c>
      <c r="BD322" s="1333">
        <f t="shared" si="410"/>
        <v>0</v>
      </c>
      <c r="BE322" s="1333">
        <f t="shared" si="410"/>
        <v>0</v>
      </c>
      <c r="BF322" s="1333">
        <f t="shared" si="410"/>
        <v>0</v>
      </c>
      <c r="BG322" s="1333">
        <f t="shared" si="410"/>
        <v>0</v>
      </c>
      <c r="BH322" s="1333">
        <f t="shared" si="410"/>
        <v>0</v>
      </c>
      <c r="BI322" s="1333">
        <f t="shared" si="410"/>
        <v>0</v>
      </c>
      <c r="BJ322" s="1333">
        <f t="shared" si="410"/>
        <v>0</v>
      </c>
      <c r="BK322" s="1333">
        <f t="shared" si="410"/>
        <v>0</v>
      </c>
      <c r="BL322" s="1333">
        <f t="shared" si="410"/>
        <v>0</v>
      </c>
      <c r="BM322" s="1333">
        <f t="shared" si="410"/>
        <v>0</v>
      </c>
      <c r="BN322" s="1333">
        <f t="shared" si="410"/>
        <v>0</v>
      </c>
      <c r="BO322" s="1333">
        <f t="shared" si="410"/>
        <v>0</v>
      </c>
      <c r="BP322" s="1333">
        <f t="shared" si="410"/>
        <v>0</v>
      </c>
      <c r="BQ322" s="1333">
        <f t="shared" si="410"/>
        <v>0</v>
      </c>
      <c r="BR322" s="1333">
        <f t="shared" si="410"/>
        <v>1.362E-2</v>
      </c>
      <c r="BS322" s="1333">
        <f t="shared" si="410"/>
        <v>2.9399999999999999E-3</v>
      </c>
      <c r="BT322" s="1333">
        <f t="shared" si="410"/>
        <v>6.8900000000000003E-3</v>
      </c>
      <c r="BU322" s="1333">
        <f t="shared" si="410"/>
        <v>0</v>
      </c>
      <c r="BV322" s="1333">
        <f t="shared" ref="BV322:EG322" si="411">(BV36+BV66+BV96+BV126+BV156+BV186+BV216+BV246+BV276+BV306)/10</f>
        <v>0</v>
      </c>
      <c r="BW322" s="1333">
        <f t="shared" si="411"/>
        <v>0</v>
      </c>
      <c r="BX322" s="1333">
        <f t="shared" si="411"/>
        <v>0</v>
      </c>
      <c r="BY322" s="1333">
        <f t="shared" si="411"/>
        <v>0</v>
      </c>
      <c r="BZ322" s="1333">
        <f t="shared" si="411"/>
        <v>0</v>
      </c>
      <c r="CA322" s="1333">
        <f t="shared" si="411"/>
        <v>0</v>
      </c>
      <c r="CB322" s="1333">
        <f t="shared" si="411"/>
        <v>6.4999999999999997E-3</v>
      </c>
      <c r="CC322" s="1333">
        <f t="shared" si="411"/>
        <v>0</v>
      </c>
      <c r="CD322" s="1333">
        <f t="shared" si="411"/>
        <v>0</v>
      </c>
      <c r="CE322" s="1333">
        <f t="shared" si="411"/>
        <v>0</v>
      </c>
      <c r="CF322" s="1333">
        <f t="shared" si="411"/>
        <v>1.035E-2</v>
      </c>
      <c r="CG322" s="1333">
        <f t="shared" si="411"/>
        <v>5.2500000000000003E-3</v>
      </c>
      <c r="CH322" s="1333">
        <f t="shared" si="411"/>
        <v>0</v>
      </c>
      <c r="CI322" s="1333">
        <f t="shared" si="411"/>
        <v>0</v>
      </c>
      <c r="CJ322" s="1333">
        <f t="shared" si="411"/>
        <v>0</v>
      </c>
      <c r="CK322" s="1333">
        <f t="shared" si="411"/>
        <v>0</v>
      </c>
      <c r="CL322" s="1333">
        <f t="shared" si="411"/>
        <v>0</v>
      </c>
      <c r="CM322" s="1333">
        <f t="shared" si="411"/>
        <v>0</v>
      </c>
      <c r="CN322" s="1333">
        <f t="shared" si="411"/>
        <v>0</v>
      </c>
      <c r="CO322" s="1333">
        <f t="shared" si="411"/>
        <v>0</v>
      </c>
      <c r="CP322" s="1333">
        <f t="shared" si="411"/>
        <v>0</v>
      </c>
      <c r="CQ322" s="1333">
        <f t="shared" si="411"/>
        <v>1.6000000000000001E-4</v>
      </c>
      <c r="CR322" s="1333">
        <f t="shared" si="411"/>
        <v>0</v>
      </c>
      <c r="CS322" s="1333">
        <f t="shared" si="411"/>
        <v>3.0000000000000001E-5</v>
      </c>
      <c r="CT322" s="1333">
        <f t="shared" si="411"/>
        <v>4.79E-3</v>
      </c>
      <c r="CU322" s="1333">
        <f t="shared" si="411"/>
        <v>0</v>
      </c>
      <c r="CV322" s="1333">
        <f t="shared" si="411"/>
        <v>0</v>
      </c>
      <c r="CW322" s="1333">
        <f t="shared" si="411"/>
        <v>0</v>
      </c>
      <c r="CX322" s="1333">
        <f t="shared" si="411"/>
        <v>0</v>
      </c>
      <c r="CY322" s="1333">
        <f t="shared" si="411"/>
        <v>0</v>
      </c>
      <c r="CZ322" s="1333">
        <f t="shared" si="411"/>
        <v>1.626E-2</v>
      </c>
      <c r="DA322" s="1333">
        <f t="shared" si="411"/>
        <v>0</v>
      </c>
      <c r="DB322" s="1333">
        <f t="shared" si="411"/>
        <v>0</v>
      </c>
      <c r="DC322" s="1333">
        <f t="shared" si="411"/>
        <v>5.2199999999999998E-3</v>
      </c>
      <c r="DD322" s="1333">
        <f t="shared" si="411"/>
        <v>2.0999999999999999E-3</v>
      </c>
      <c r="DE322" s="1333">
        <f t="shared" si="411"/>
        <v>8.0000000000000002E-3</v>
      </c>
      <c r="DF322" s="1333">
        <f t="shared" si="411"/>
        <v>5.96E-3</v>
      </c>
      <c r="DG322" s="1333">
        <f t="shared" si="411"/>
        <v>0</v>
      </c>
      <c r="DH322" s="1333">
        <f t="shared" si="411"/>
        <v>0</v>
      </c>
      <c r="DI322" s="1333">
        <f t="shared" si="411"/>
        <v>0</v>
      </c>
      <c r="DJ322" s="1333">
        <f t="shared" si="411"/>
        <v>0</v>
      </c>
      <c r="DK322" s="1333">
        <f t="shared" si="411"/>
        <v>0</v>
      </c>
      <c r="DL322" s="1333">
        <f t="shared" si="411"/>
        <v>2.0300000000000001E-3</v>
      </c>
      <c r="DM322" s="1333">
        <f t="shared" si="411"/>
        <v>1E-3</v>
      </c>
      <c r="DN322" s="1333">
        <f t="shared" si="411"/>
        <v>0</v>
      </c>
      <c r="DO322" s="1333">
        <f t="shared" si="411"/>
        <v>0</v>
      </c>
      <c r="DP322" s="1333">
        <f t="shared" si="411"/>
        <v>0</v>
      </c>
      <c r="DQ322" s="1333">
        <f t="shared" si="411"/>
        <v>0</v>
      </c>
      <c r="DR322" s="1333">
        <f t="shared" si="411"/>
        <v>0</v>
      </c>
      <c r="DS322" s="1333">
        <f t="shared" si="411"/>
        <v>0</v>
      </c>
      <c r="DT322" s="1333">
        <f t="shared" si="411"/>
        <v>0</v>
      </c>
      <c r="DU322" s="1333">
        <f t="shared" si="411"/>
        <v>7.6999999999999996E-4</v>
      </c>
      <c r="DV322" s="1333">
        <f t="shared" si="411"/>
        <v>0</v>
      </c>
      <c r="DW322" s="1333">
        <f t="shared" si="411"/>
        <v>0</v>
      </c>
      <c r="DX322" s="1333">
        <f t="shared" si="411"/>
        <v>0</v>
      </c>
      <c r="DY322" s="1333">
        <f t="shared" si="411"/>
        <v>0</v>
      </c>
      <c r="DZ322" s="1333">
        <f t="shared" si="411"/>
        <v>0</v>
      </c>
      <c r="EA322" s="1333">
        <f t="shared" si="411"/>
        <v>0.03</v>
      </c>
      <c r="EB322" s="1333">
        <f t="shared" si="411"/>
        <v>0</v>
      </c>
      <c r="EC322" s="1333">
        <f t="shared" si="411"/>
        <v>0</v>
      </c>
      <c r="ED322" s="1333">
        <f t="shared" si="411"/>
        <v>0</v>
      </c>
      <c r="EE322" s="1333">
        <f t="shared" si="411"/>
        <v>0</v>
      </c>
      <c r="EF322" s="1333">
        <f t="shared" si="411"/>
        <v>0</v>
      </c>
      <c r="EG322" s="1333">
        <f t="shared" si="411"/>
        <v>0</v>
      </c>
      <c r="EH322" s="1333">
        <f t="shared" ref="EH322:EX322" si="412">(EH36+EH66+EH96+EH126+EH156+EH186+EH216+EH246+EH276+EH306)/10</f>
        <v>0</v>
      </c>
      <c r="EI322" s="1333">
        <f t="shared" si="412"/>
        <v>0</v>
      </c>
      <c r="EJ322" s="1333">
        <f t="shared" si="412"/>
        <v>0</v>
      </c>
      <c r="EK322" s="1333">
        <f t="shared" si="412"/>
        <v>0</v>
      </c>
      <c r="EL322" s="1333">
        <f t="shared" si="412"/>
        <v>0</v>
      </c>
      <c r="EM322" s="1333">
        <f t="shared" si="412"/>
        <v>0</v>
      </c>
      <c r="EN322" s="1333">
        <f t="shared" si="412"/>
        <v>0</v>
      </c>
      <c r="EO322" s="1333">
        <f t="shared" si="412"/>
        <v>0</v>
      </c>
      <c r="EP322" s="1333">
        <f t="shared" si="412"/>
        <v>0</v>
      </c>
      <c r="EQ322" s="1333">
        <f t="shared" si="412"/>
        <v>0</v>
      </c>
      <c r="ER322" s="1333">
        <f t="shared" si="412"/>
        <v>0</v>
      </c>
      <c r="ES322" s="1333">
        <f t="shared" si="412"/>
        <v>0</v>
      </c>
      <c r="ET322" s="1333">
        <f t="shared" si="412"/>
        <v>0</v>
      </c>
      <c r="EU322" s="1333">
        <f t="shared" si="412"/>
        <v>0</v>
      </c>
      <c r="EV322" s="1333">
        <f t="shared" si="412"/>
        <v>1.77E-2</v>
      </c>
      <c r="EW322" s="1333">
        <f t="shared" si="412"/>
        <v>2.1000000000000001E-2</v>
      </c>
      <c r="EX322" s="1333">
        <f t="shared" si="412"/>
        <v>0</v>
      </c>
      <c r="EY322" s="857">
        <f t="shared" ref="EY322:FL322" si="413">EY36+EY66+EY96+EY126+EY156+EY186+EY216+EY246+EY276+EY306</f>
        <v>4.7465000000000002</v>
      </c>
      <c r="EZ322" s="846">
        <f t="shared" si="413"/>
        <v>0</v>
      </c>
      <c r="FA322" s="846">
        <f t="shared" si="413"/>
        <v>0</v>
      </c>
      <c r="FB322" s="846">
        <f t="shared" si="413"/>
        <v>0</v>
      </c>
      <c r="FC322" s="846">
        <f t="shared" si="413"/>
        <v>0</v>
      </c>
      <c r="FD322" s="846">
        <f t="shared" si="413"/>
        <v>0</v>
      </c>
      <c r="FE322" s="846">
        <f t="shared" si="413"/>
        <v>0</v>
      </c>
      <c r="FF322" s="846">
        <f t="shared" si="413"/>
        <v>0</v>
      </c>
      <c r="FG322" s="846">
        <f t="shared" si="413"/>
        <v>0</v>
      </c>
      <c r="FH322" s="846">
        <f t="shared" si="413"/>
        <v>0</v>
      </c>
      <c r="FI322" s="846">
        <f t="shared" si="413"/>
        <v>0</v>
      </c>
      <c r="FJ322" s="846">
        <f t="shared" si="413"/>
        <v>0</v>
      </c>
      <c r="FK322" s="846">
        <f t="shared" si="413"/>
        <v>0</v>
      </c>
      <c r="FL322" s="846">
        <f t="shared" si="413"/>
        <v>0</v>
      </c>
    </row>
    <row r="323" spans="1:168" s="1310" customFormat="1" ht="15.6" hidden="1" x14ac:dyDescent="0.25">
      <c r="A323" s="484"/>
      <c r="B323" s="619" t="s">
        <v>1366</v>
      </c>
      <c r="C323" s="1332">
        <f>(C42+C72+C102+C132+C162+C192+C222+C252+C282+C312)/10</f>
        <v>0</v>
      </c>
      <c r="D323" s="1334">
        <f t="shared" ref="D323:I323" si="414">(D42+D72+D102+D132+D162+D192+D222+D252+D282+D312)/10</f>
        <v>0</v>
      </c>
      <c r="E323" s="1334">
        <f t="shared" si="414"/>
        <v>0</v>
      </c>
      <c r="F323" s="1334">
        <f t="shared" si="414"/>
        <v>0</v>
      </c>
      <c r="G323" s="1332">
        <f t="shared" si="414"/>
        <v>0</v>
      </c>
      <c r="H323" s="1332"/>
      <c r="I323" s="1334">
        <f t="shared" si="414"/>
        <v>0</v>
      </c>
      <c r="J323" s="1333">
        <f t="shared" ref="J323:BU323" si="415">(J42+J72+J102+J132+J162+J192+J222+J252+J282+J312)/10</f>
        <v>0</v>
      </c>
      <c r="K323" s="1333">
        <f t="shared" si="415"/>
        <v>0</v>
      </c>
      <c r="L323" s="1333">
        <f t="shared" si="415"/>
        <v>0</v>
      </c>
      <c r="M323" s="1333">
        <f t="shared" si="415"/>
        <v>0</v>
      </c>
      <c r="N323" s="1333">
        <f t="shared" si="415"/>
        <v>0</v>
      </c>
      <c r="O323" s="1333">
        <f t="shared" si="415"/>
        <v>0</v>
      </c>
      <c r="P323" s="1333">
        <f t="shared" si="415"/>
        <v>0</v>
      </c>
      <c r="Q323" s="1333">
        <f t="shared" si="415"/>
        <v>0</v>
      </c>
      <c r="R323" s="1333">
        <f t="shared" si="415"/>
        <v>0</v>
      </c>
      <c r="S323" s="1333">
        <f t="shared" si="415"/>
        <v>0</v>
      </c>
      <c r="T323" s="1333">
        <f t="shared" si="415"/>
        <v>0</v>
      </c>
      <c r="U323" s="1333">
        <f t="shared" si="415"/>
        <v>0</v>
      </c>
      <c r="V323" s="1333">
        <f t="shared" si="415"/>
        <v>0</v>
      </c>
      <c r="W323" s="1333">
        <f t="shared" si="415"/>
        <v>0</v>
      </c>
      <c r="X323" s="1333">
        <f t="shared" si="415"/>
        <v>0</v>
      </c>
      <c r="Y323" s="1333">
        <f t="shared" si="415"/>
        <v>0</v>
      </c>
      <c r="Z323" s="1333">
        <f t="shared" si="415"/>
        <v>0</v>
      </c>
      <c r="AA323" s="1333">
        <f t="shared" si="415"/>
        <v>0</v>
      </c>
      <c r="AB323" s="1333">
        <f t="shared" si="415"/>
        <v>0</v>
      </c>
      <c r="AC323" s="1333">
        <f t="shared" si="415"/>
        <v>0</v>
      </c>
      <c r="AD323" s="1333">
        <f t="shared" si="415"/>
        <v>0</v>
      </c>
      <c r="AE323" s="1333">
        <f t="shared" si="415"/>
        <v>0</v>
      </c>
      <c r="AF323" s="1333">
        <f t="shared" si="415"/>
        <v>0</v>
      </c>
      <c r="AG323" s="1333">
        <f t="shared" si="415"/>
        <v>0</v>
      </c>
      <c r="AH323" s="1333">
        <f t="shared" si="415"/>
        <v>0</v>
      </c>
      <c r="AI323" s="1333">
        <f t="shared" si="415"/>
        <v>0</v>
      </c>
      <c r="AJ323" s="1333">
        <f t="shared" si="415"/>
        <v>0</v>
      </c>
      <c r="AK323" s="1333">
        <f t="shared" si="415"/>
        <v>0</v>
      </c>
      <c r="AL323" s="1333">
        <f t="shared" si="415"/>
        <v>0</v>
      </c>
      <c r="AM323" s="1333">
        <f t="shared" si="415"/>
        <v>0</v>
      </c>
      <c r="AN323" s="1333">
        <f t="shared" si="415"/>
        <v>0</v>
      </c>
      <c r="AO323" s="1333">
        <f t="shared" si="415"/>
        <v>0</v>
      </c>
      <c r="AP323" s="1333">
        <f t="shared" si="415"/>
        <v>0</v>
      </c>
      <c r="AQ323" s="1333">
        <f t="shared" si="415"/>
        <v>0</v>
      </c>
      <c r="AR323" s="1333">
        <f t="shared" si="415"/>
        <v>0</v>
      </c>
      <c r="AS323" s="1333">
        <f t="shared" si="415"/>
        <v>0</v>
      </c>
      <c r="AT323" s="1333">
        <f t="shared" si="415"/>
        <v>0</v>
      </c>
      <c r="AU323" s="1333">
        <f t="shared" si="415"/>
        <v>0</v>
      </c>
      <c r="AV323" s="1333">
        <f t="shared" si="415"/>
        <v>0</v>
      </c>
      <c r="AW323" s="1333">
        <f t="shared" si="415"/>
        <v>0</v>
      </c>
      <c r="AX323" s="1333">
        <f t="shared" si="415"/>
        <v>0</v>
      </c>
      <c r="AY323" s="1333">
        <f t="shared" si="415"/>
        <v>0</v>
      </c>
      <c r="AZ323" s="1333">
        <f t="shared" si="415"/>
        <v>0</v>
      </c>
      <c r="BA323" s="1333">
        <f t="shared" si="415"/>
        <v>0</v>
      </c>
      <c r="BB323" s="1333">
        <f t="shared" si="415"/>
        <v>0</v>
      </c>
      <c r="BC323" s="1333">
        <f t="shared" si="415"/>
        <v>0</v>
      </c>
      <c r="BD323" s="1333">
        <f t="shared" si="415"/>
        <v>0</v>
      </c>
      <c r="BE323" s="1333">
        <f t="shared" si="415"/>
        <v>0</v>
      </c>
      <c r="BF323" s="1333">
        <f t="shared" si="415"/>
        <v>0</v>
      </c>
      <c r="BG323" s="1333">
        <f t="shared" si="415"/>
        <v>0</v>
      </c>
      <c r="BH323" s="1333">
        <f t="shared" si="415"/>
        <v>0</v>
      </c>
      <c r="BI323" s="1333">
        <f t="shared" si="415"/>
        <v>0</v>
      </c>
      <c r="BJ323" s="1333">
        <f t="shared" si="415"/>
        <v>0</v>
      </c>
      <c r="BK323" s="1333">
        <f t="shared" si="415"/>
        <v>0</v>
      </c>
      <c r="BL323" s="1333">
        <f t="shared" si="415"/>
        <v>0</v>
      </c>
      <c r="BM323" s="1333">
        <f t="shared" si="415"/>
        <v>0</v>
      </c>
      <c r="BN323" s="1333">
        <f t="shared" si="415"/>
        <v>0</v>
      </c>
      <c r="BO323" s="1333">
        <f t="shared" si="415"/>
        <v>0</v>
      </c>
      <c r="BP323" s="1333">
        <f t="shared" si="415"/>
        <v>0</v>
      </c>
      <c r="BQ323" s="1333">
        <f t="shared" si="415"/>
        <v>0</v>
      </c>
      <c r="BR323" s="1333">
        <f t="shared" si="415"/>
        <v>0</v>
      </c>
      <c r="BS323" s="1333">
        <f t="shared" si="415"/>
        <v>0</v>
      </c>
      <c r="BT323" s="1333">
        <f t="shared" si="415"/>
        <v>0</v>
      </c>
      <c r="BU323" s="1333">
        <f t="shared" si="415"/>
        <v>0</v>
      </c>
      <c r="BV323" s="1333">
        <f t="shared" ref="BV323:EG323" si="416">(BV42+BV72+BV102+BV132+BV162+BV192+BV222+BV252+BV282+BV312)/10</f>
        <v>0</v>
      </c>
      <c r="BW323" s="1333">
        <f t="shared" si="416"/>
        <v>0</v>
      </c>
      <c r="BX323" s="1333">
        <f t="shared" si="416"/>
        <v>0</v>
      </c>
      <c r="BY323" s="1333">
        <f t="shared" si="416"/>
        <v>0</v>
      </c>
      <c r="BZ323" s="1333">
        <f t="shared" si="416"/>
        <v>0</v>
      </c>
      <c r="CA323" s="1333">
        <f t="shared" si="416"/>
        <v>0</v>
      </c>
      <c r="CB323" s="1333">
        <f t="shared" si="416"/>
        <v>0</v>
      </c>
      <c r="CC323" s="1333">
        <f t="shared" si="416"/>
        <v>0</v>
      </c>
      <c r="CD323" s="1333">
        <f t="shared" si="416"/>
        <v>0</v>
      </c>
      <c r="CE323" s="1333">
        <f t="shared" si="416"/>
        <v>0</v>
      </c>
      <c r="CF323" s="1333">
        <f t="shared" si="416"/>
        <v>0</v>
      </c>
      <c r="CG323" s="1333">
        <f t="shared" si="416"/>
        <v>0</v>
      </c>
      <c r="CH323" s="1333">
        <f t="shared" si="416"/>
        <v>0</v>
      </c>
      <c r="CI323" s="1333">
        <f t="shared" si="416"/>
        <v>0</v>
      </c>
      <c r="CJ323" s="1333">
        <f t="shared" si="416"/>
        <v>0</v>
      </c>
      <c r="CK323" s="1333">
        <f t="shared" si="416"/>
        <v>0</v>
      </c>
      <c r="CL323" s="1333">
        <f t="shared" si="416"/>
        <v>0</v>
      </c>
      <c r="CM323" s="1333">
        <f t="shared" si="416"/>
        <v>0</v>
      </c>
      <c r="CN323" s="1333">
        <f t="shared" si="416"/>
        <v>0</v>
      </c>
      <c r="CO323" s="1333">
        <f t="shared" si="416"/>
        <v>0</v>
      </c>
      <c r="CP323" s="1333">
        <f t="shared" si="416"/>
        <v>0</v>
      </c>
      <c r="CQ323" s="1333">
        <f t="shared" si="416"/>
        <v>0</v>
      </c>
      <c r="CR323" s="1333">
        <f t="shared" si="416"/>
        <v>0</v>
      </c>
      <c r="CS323" s="1333">
        <f t="shared" si="416"/>
        <v>0</v>
      </c>
      <c r="CT323" s="1333">
        <f t="shared" si="416"/>
        <v>0</v>
      </c>
      <c r="CU323" s="1333">
        <f t="shared" si="416"/>
        <v>0</v>
      </c>
      <c r="CV323" s="1333">
        <f t="shared" si="416"/>
        <v>0</v>
      </c>
      <c r="CW323" s="1333">
        <f t="shared" si="416"/>
        <v>0</v>
      </c>
      <c r="CX323" s="1333">
        <f t="shared" si="416"/>
        <v>0</v>
      </c>
      <c r="CY323" s="1333">
        <f t="shared" si="416"/>
        <v>0</v>
      </c>
      <c r="CZ323" s="1333">
        <f t="shared" si="416"/>
        <v>0</v>
      </c>
      <c r="DA323" s="1333">
        <f t="shared" si="416"/>
        <v>0</v>
      </c>
      <c r="DB323" s="1333">
        <f t="shared" si="416"/>
        <v>0</v>
      </c>
      <c r="DC323" s="1333">
        <f t="shared" si="416"/>
        <v>0</v>
      </c>
      <c r="DD323" s="1333">
        <f t="shared" si="416"/>
        <v>0</v>
      </c>
      <c r="DE323" s="1333">
        <f t="shared" si="416"/>
        <v>0</v>
      </c>
      <c r="DF323" s="1333">
        <f t="shared" si="416"/>
        <v>0</v>
      </c>
      <c r="DG323" s="1333">
        <f t="shared" si="416"/>
        <v>0</v>
      </c>
      <c r="DH323" s="1333">
        <f t="shared" si="416"/>
        <v>0</v>
      </c>
      <c r="DI323" s="1333">
        <f t="shared" si="416"/>
        <v>0</v>
      </c>
      <c r="DJ323" s="1333">
        <f t="shared" si="416"/>
        <v>0</v>
      </c>
      <c r="DK323" s="1333">
        <f t="shared" si="416"/>
        <v>0</v>
      </c>
      <c r="DL323" s="1333">
        <f t="shared" si="416"/>
        <v>0</v>
      </c>
      <c r="DM323" s="1333">
        <f t="shared" si="416"/>
        <v>0</v>
      </c>
      <c r="DN323" s="1333">
        <f t="shared" si="416"/>
        <v>0</v>
      </c>
      <c r="DO323" s="1333">
        <f t="shared" si="416"/>
        <v>0</v>
      </c>
      <c r="DP323" s="1333">
        <f t="shared" si="416"/>
        <v>0</v>
      </c>
      <c r="DQ323" s="1333">
        <f t="shared" si="416"/>
        <v>0</v>
      </c>
      <c r="DR323" s="1333">
        <f t="shared" si="416"/>
        <v>0</v>
      </c>
      <c r="DS323" s="1333">
        <f t="shared" si="416"/>
        <v>0</v>
      </c>
      <c r="DT323" s="1333">
        <f t="shared" si="416"/>
        <v>0</v>
      </c>
      <c r="DU323" s="1333">
        <f t="shared" si="416"/>
        <v>0</v>
      </c>
      <c r="DV323" s="1333">
        <f t="shared" si="416"/>
        <v>0</v>
      </c>
      <c r="DW323" s="1333">
        <f t="shared" si="416"/>
        <v>0</v>
      </c>
      <c r="DX323" s="1333">
        <f t="shared" si="416"/>
        <v>0</v>
      </c>
      <c r="DY323" s="1333">
        <f t="shared" si="416"/>
        <v>0</v>
      </c>
      <c r="DZ323" s="1333">
        <f t="shared" si="416"/>
        <v>0</v>
      </c>
      <c r="EA323" s="1333">
        <f t="shared" si="416"/>
        <v>0</v>
      </c>
      <c r="EB323" s="1333">
        <f t="shared" si="416"/>
        <v>0</v>
      </c>
      <c r="EC323" s="1333">
        <f t="shared" si="416"/>
        <v>0</v>
      </c>
      <c r="ED323" s="1333">
        <f t="shared" si="416"/>
        <v>0</v>
      </c>
      <c r="EE323" s="1333">
        <f t="shared" si="416"/>
        <v>0</v>
      </c>
      <c r="EF323" s="1333">
        <f t="shared" si="416"/>
        <v>0</v>
      </c>
      <c r="EG323" s="1333">
        <f t="shared" si="416"/>
        <v>0</v>
      </c>
      <c r="EH323" s="1333">
        <f t="shared" ref="EH323:EX323" si="417">(EH42+EH72+EH102+EH132+EH162+EH192+EH222+EH252+EH282+EH312)/10</f>
        <v>0</v>
      </c>
      <c r="EI323" s="1333">
        <f t="shared" si="417"/>
        <v>0</v>
      </c>
      <c r="EJ323" s="1333">
        <f t="shared" si="417"/>
        <v>0</v>
      </c>
      <c r="EK323" s="1333">
        <f t="shared" si="417"/>
        <v>0</v>
      </c>
      <c r="EL323" s="1333">
        <f t="shared" si="417"/>
        <v>0</v>
      </c>
      <c r="EM323" s="1333">
        <f t="shared" si="417"/>
        <v>0</v>
      </c>
      <c r="EN323" s="1333">
        <f t="shared" si="417"/>
        <v>0</v>
      </c>
      <c r="EO323" s="1333">
        <f t="shared" si="417"/>
        <v>0</v>
      </c>
      <c r="EP323" s="1333">
        <f t="shared" si="417"/>
        <v>0</v>
      </c>
      <c r="EQ323" s="1333">
        <f t="shared" si="417"/>
        <v>0</v>
      </c>
      <c r="ER323" s="1333">
        <f t="shared" si="417"/>
        <v>0</v>
      </c>
      <c r="ES323" s="1333">
        <f t="shared" si="417"/>
        <v>0</v>
      </c>
      <c r="ET323" s="1333">
        <f t="shared" si="417"/>
        <v>0</v>
      </c>
      <c r="EU323" s="1333">
        <f t="shared" si="417"/>
        <v>0</v>
      </c>
      <c r="EV323" s="1333">
        <f t="shared" si="417"/>
        <v>0</v>
      </c>
      <c r="EW323" s="1333">
        <f t="shared" si="417"/>
        <v>0</v>
      </c>
      <c r="EX323" s="1333">
        <f t="shared" si="417"/>
        <v>0</v>
      </c>
      <c r="EY323" s="857">
        <f t="shared" ref="EY323:FL323" si="418">EY42+EY72+EY102+EY132+EY162+EY192+EY222+EY252+EY282+EY312</f>
        <v>0</v>
      </c>
      <c r="EZ323" s="846">
        <f t="shared" si="418"/>
        <v>0</v>
      </c>
      <c r="FA323" s="846">
        <f t="shared" si="418"/>
        <v>0</v>
      </c>
      <c r="FB323" s="846">
        <f t="shared" si="418"/>
        <v>0</v>
      </c>
      <c r="FC323" s="846">
        <f t="shared" si="418"/>
        <v>0</v>
      </c>
      <c r="FD323" s="846">
        <f t="shared" si="418"/>
        <v>0</v>
      </c>
      <c r="FE323" s="846">
        <f t="shared" si="418"/>
        <v>0</v>
      </c>
      <c r="FF323" s="846">
        <f t="shared" si="418"/>
        <v>0</v>
      </c>
      <c r="FG323" s="846">
        <f t="shared" si="418"/>
        <v>0</v>
      </c>
      <c r="FH323" s="846">
        <f t="shared" si="418"/>
        <v>0</v>
      </c>
      <c r="FI323" s="846">
        <f t="shared" si="418"/>
        <v>0</v>
      </c>
      <c r="FJ323" s="846">
        <f t="shared" si="418"/>
        <v>0</v>
      </c>
      <c r="FK323" s="846">
        <f t="shared" si="418"/>
        <v>0</v>
      </c>
      <c r="FL323" s="846">
        <f t="shared" si="418"/>
        <v>0</v>
      </c>
    </row>
    <row r="324" spans="1:168" hidden="1" x14ac:dyDescent="0.25">
      <c r="A324" s="829"/>
      <c r="B324" s="830" t="s">
        <v>966</v>
      </c>
      <c r="C324" s="846"/>
      <c r="D324" s="856">
        <v>77</v>
      </c>
      <c r="E324" s="856">
        <v>79</v>
      </c>
      <c r="F324" s="856">
        <v>335</v>
      </c>
      <c r="G324" s="870">
        <v>2350</v>
      </c>
      <c r="H324" s="846"/>
      <c r="I324" s="856"/>
      <c r="J324" s="1333"/>
      <c r="K324" s="1333"/>
      <c r="L324" s="1333"/>
      <c r="M324" s="1333"/>
      <c r="N324" s="1333"/>
      <c r="O324" s="1333"/>
      <c r="P324" s="1333"/>
      <c r="Q324" s="1333"/>
      <c r="R324" s="1333"/>
      <c r="S324" s="1333"/>
      <c r="T324" s="1333"/>
      <c r="U324" s="1333"/>
      <c r="V324" s="1333"/>
      <c r="W324" s="1333"/>
      <c r="X324" s="1333"/>
      <c r="Y324" s="1333"/>
      <c r="Z324" s="1333"/>
      <c r="AA324" s="1333"/>
      <c r="AB324" s="1333"/>
      <c r="AC324" s="1333"/>
      <c r="AD324" s="1333"/>
      <c r="AE324" s="1333"/>
      <c r="AF324" s="1333"/>
      <c r="AG324" s="1333"/>
      <c r="AH324" s="1333"/>
      <c r="AI324" s="1333"/>
      <c r="AJ324" s="1333"/>
      <c r="AK324" s="1333"/>
      <c r="AL324" s="1333"/>
      <c r="AM324" s="1333"/>
      <c r="AN324" s="1333"/>
      <c r="AO324" s="1333"/>
      <c r="AP324" s="1333"/>
      <c r="AQ324" s="1333"/>
      <c r="AR324" s="1333"/>
      <c r="AS324" s="1333"/>
      <c r="AT324" s="1333"/>
      <c r="AU324" s="1333"/>
      <c r="AV324" s="1333"/>
      <c r="AW324" s="1333"/>
      <c r="AX324" s="1333"/>
      <c r="AY324" s="1333"/>
      <c r="AZ324" s="1333"/>
      <c r="BA324" s="1333"/>
      <c r="BB324" s="1333"/>
      <c r="BC324" s="1333"/>
      <c r="BD324" s="1333"/>
      <c r="BE324" s="1333"/>
      <c r="BF324" s="1333"/>
      <c r="BG324" s="1333"/>
      <c r="BH324" s="1333"/>
      <c r="BI324" s="1333"/>
      <c r="BJ324" s="1333"/>
      <c r="BK324" s="1333"/>
      <c r="BL324" s="1333"/>
      <c r="BM324" s="1333"/>
      <c r="BN324" s="1333"/>
      <c r="BO324" s="1333"/>
      <c r="BP324" s="1333"/>
      <c r="BQ324" s="1333"/>
      <c r="BR324" s="1333"/>
      <c r="BS324" s="1333"/>
      <c r="BT324" s="1333"/>
      <c r="BU324" s="1333"/>
      <c r="BV324" s="1333"/>
      <c r="BW324" s="1333"/>
      <c r="BX324" s="1333"/>
      <c r="BY324" s="1333"/>
      <c r="BZ324" s="1333"/>
      <c r="CA324" s="1333"/>
      <c r="CB324" s="1333"/>
      <c r="CC324" s="1333"/>
      <c r="CD324" s="1333"/>
      <c r="CE324" s="1333"/>
      <c r="CF324" s="1333"/>
      <c r="CG324" s="1333"/>
      <c r="CH324" s="1333"/>
      <c r="CI324" s="1333"/>
      <c r="CJ324" s="1333"/>
      <c r="CK324" s="1333"/>
      <c r="CL324" s="1333"/>
      <c r="CM324" s="1333"/>
      <c r="CN324" s="1333"/>
      <c r="CO324" s="1333"/>
      <c r="CP324" s="1333"/>
      <c r="CQ324" s="1333"/>
      <c r="CR324" s="1333"/>
      <c r="CS324" s="1333"/>
      <c r="CT324" s="1333"/>
      <c r="CU324" s="1333"/>
      <c r="CV324" s="1333"/>
      <c r="CW324" s="1333"/>
      <c r="CX324" s="1333"/>
      <c r="CY324" s="1333"/>
      <c r="CZ324" s="1333"/>
      <c r="DA324" s="1333"/>
      <c r="DB324" s="1333"/>
      <c r="DC324" s="1333"/>
      <c r="DD324" s="1333"/>
      <c r="DE324" s="1333"/>
      <c r="DF324" s="1333"/>
      <c r="DG324" s="1333"/>
      <c r="DH324" s="1333"/>
      <c r="DI324" s="1333"/>
      <c r="DJ324" s="1333"/>
      <c r="DK324" s="1333"/>
      <c r="DL324" s="1333"/>
      <c r="DM324" s="1333"/>
      <c r="DN324" s="1333"/>
      <c r="DO324" s="1333"/>
      <c r="DP324" s="1333"/>
      <c r="DQ324" s="1333"/>
      <c r="DR324" s="1333"/>
      <c r="DS324" s="1333"/>
      <c r="DT324" s="1333"/>
      <c r="DU324" s="1333"/>
      <c r="DV324" s="1333"/>
      <c r="DW324" s="1333"/>
      <c r="DX324" s="1333"/>
      <c r="DY324" s="1333"/>
      <c r="DZ324" s="1333"/>
      <c r="EA324" s="1333"/>
      <c r="EB324" s="1333"/>
      <c r="EC324" s="1333"/>
      <c r="ED324" s="1333"/>
      <c r="EE324" s="1333"/>
      <c r="EF324" s="1333"/>
      <c r="EG324" s="1333"/>
      <c r="EH324" s="1333"/>
      <c r="EI324" s="1333"/>
      <c r="EJ324" s="1333"/>
      <c r="EK324" s="1333"/>
      <c r="EL324" s="1333"/>
      <c r="EM324" s="1333"/>
      <c r="EN324" s="1333"/>
      <c r="EO324" s="1333"/>
      <c r="EP324" s="1333"/>
      <c r="EQ324" s="1333"/>
      <c r="ER324" s="1333"/>
      <c r="ES324" s="1333"/>
      <c r="ET324" s="1333"/>
      <c r="EU324" s="1333"/>
      <c r="EV324" s="1333"/>
      <c r="EW324" s="1333"/>
      <c r="EX324" s="1333"/>
      <c r="EY324" s="987"/>
      <c r="EZ324" s="865"/>
      <c r="FA324" s="865"/>
      <c r="FB324" s="865"/>
      <c r="FC324" s="865"/>
      <c r="FD324" s="865"/>
      <c r="FE324" s="865"/>
      <c r="FF324" s="865"/>
      <c r="FG324" s="865"/>
      <c r="FH324" s="865"/>
      <c r="FI324" s="865"/>
      <c r="FJ324" s="865"/>
      <c r="FK324" s="865"/>
      <c r="FL324" s="865"/>
    </row>
    <row r="325" spans="1:168" hidden="1" x14ac:dyDescent="0.25">
      <c r="A325" s="829"/>
      <c r="B325" s="830" t="s">
        <v>965</v>
      </c>
      <c r="C325" s="846"/>
      <c r="D325" s="869">
        <f>D320-D324</f>
        <v>-34.130000000000003</v>
      </c>
      <c r="E325" s="869">
        <f t="shared" ref="E325:G325" si="419">E320-E324</f>
        <v>-20.13</v>
      </c>
      <c r="F325" s="869">
        <f t="shared" si="419"/>
        <v>-146.19999999999999</v>
      </c>
      <c r="G325" s="869">
        <f t="shared" si="419"/>
        <v>-882</v>
      </c>
      <c r="H325" s="846"/>
      <c r="I325" s="869"/>
      <c r="J325" s="857"/>
      <c r="K325" s="857"/>
      <c r="L325" s="857"/>
      <c r="M325" s="857"/>
      <c r="N325" s="857"/>
      <c r="O325" s="857"/>
      <c r="P325" s="857"/>
      <c r="Q325" s="857"/>
      <c r="R325" s="857"/>
      <c r="S325" s="857"/>
      <c r="T325" s="857"/>
      <c r="U325" s="857"/>
      <c r="V325" s="857"/>
      <c r="W325" s="857"/>
      <c r="X325" s="857"/>
      <c r="Y325" s="857"/>
      <c r="Z325" s="857"/>
      <c r="AA325" s="857"/>
      <c r="AB325" s="857"/>
      <c r="AC325" s="857"/>
      <c r="AD325" s="857"/>
      <c r="AE325" s="857"/>
      <c r="AF325" s="857"/>
      <c r="AG325" s="857"/>
      <c r="AH325" s="857"/>
      <c r="AI325" s="857"/>
      <c r="AJ325" s="857"/>
      <c r="AK325" s="857"/>
      <c r="AL325" s="857"/>
      <c r="AM325" s="857"/>
      <c r="AN325" s="857"/>
      <c r="AO325" s="857"/>
      <c r="AP325" s="857"/>
      <c r="AQ325" s="857"/>
      <c r="AR325" s="857"/>
      <c r="AS325" s="857"/>
      <c r="AT325" s="857"/>
      <c r="AU325" s="857"/>
      <c r="AV325" s="857"/>
      <c r="AW325" s="857"/>
      <c r="AX325" s="857"/>
      <c r="AY325" s="857"/>
      <c r="AZ325" s="857"/>
      <c r="BA325" s="857"/>
      <c r="BB325" s="857"/>
      <c r="BC325" s="857"/>
      <c r="BD325" s="857"/>
      <c r="BE325" s="857"/>
      <c r="BF325" s="857"/>
      <c r="BG325" s="857"/>
      <c r="BH325" s="857"/>
      <c r="BI325" s="857"/>
      <c r="BJ325" s="857"/>
      <c r="BK325" s="857"/>
      <c r="BL325" s="857"/>
      <c r="BM325" s="857"/>
      <c r="BN325" s="857"/>
      <c r="BO325" s="857"/>
      <c r="BP325" s="857"/>
      <c r="BQ325" s="857"/>
      <c r="BR325" s="857"/>
      <c r="BS325" s="857"/>
      <c r="BT325" s="857"/>
      <c r="BU325" s="857"/>
      <c r="BV325" s="857"/>
      <c r="BW325" s="857"/>
      <c r="BX325" s="857"/>
      <c r="BY325" s="857"/>
      <c r="BZ325" s="857"/>
      <c r="CA325" s="857"/>
      <c r="CB325" s="857"/>
      <c r="CC325" s="857"/>
      <c r="CD325" s="857"/>
      <c r="CE325" s="857"/>
      <c r="CF325" s="857"/>
      <c r="CG325" s="857"/>
      <c r="CH325" s="857"/>
      <c r="CI325" s="857"/>
      <c r="CJ325" s="857"/>
      <c r="CK325" s="857"/>
      <c r="CL325" s="857"/>
      <c r="CM325" s="857"/>
      <c r="CN325" s="857"/>
      <c r="CO325" s="857"/>
      <c r="CP325" s="857"/>
      <c r="CQ325" s="857"/>
      <c r="CR325" s="857"/>
      <c r="CS325" s="857"/>
      <c r="CT325" s="857"/>
      <c r="CU325" s="857"/>
      <c r="CV325" s="857"/>
      <c r="CW325" s="857"/>
      <c r="CX325" s="857"/>
      <c r="CY325" s="857"/>
      <c r="CZ325" s="857"/>
      <c r="DA325" s="857"/>
      <c r="DB325" s="857"/>
      <c r="DC325" s="857"/>
      <c r="DD325" s="857"/>
      <c r="DE325" s="857"/>
      <c r="DF325" s="857"/>
      <c r="DG325" s="857"/>
      <c r="DH325" s="857"/>
      <c r="DI325" s="857"/>
      <c r="DJ325" s="857"/>
      <c r="DK325" s="857"/>
      <c r="DL325" s="857"/>
      <c r="DM325" s="857"/>
      <c r="DN325" s="857"/>
      <c r="DO325" s="857"/>
      <c r="DP325" s="857"/>
      <c r="DQ325" s="857"/>
      <c r="DR325" s="857"/>
      <c r="DS325" s="857"/>
      <c r="DT325" s="857"/>
      <c r="DU325" s="857"/>
      <c r="DV325" s="857"/>
      <c r="DW325" s="857"/>
      <c r="DX325" s="857"/>
      <c r="DY325" s="857"/>
      <c r="DZ325" s="857"/>
      <c r="EA325" s="857"/>
      <c r="EB325" s="857"/>
      <c r="EC325" s="857"/>
      <c r="ED325" s="857"/>
      <c r="EE325" s="857"/>
      <c r="EF325" s="857"/>
      <c r="EG325" s="857"/>
      <c r="EH325" s="857"/>
      <c r="EI325" s="857"/>
      <c r="EJ325" s="857"/>
      <c r="EK325" s="857"/>
      <c r="EL325" s="857"/>
      <c r="EM325" s="857"/>
      <c r="EN325" s="857"/>
      <c r="EO325" s="857"/>
      <c r="EP325" s="857"/>
      <c r="EQ325" s="857"/>
      <c r="ER325" s="857"/>
      <c r="ES325" s="857"/>
      <c r="ET325" s="857"/>
      <c r="EU325" s="857"/>
      <c r="EV325" s="857"/>
      <c r="EW325" s="857"/>
      <c r="EX325" s="857"/>
      <c r="EY325" s="874"/>
      <c r="EZ325" s="869"/>
      <c r="FA325" s="869"/>
      <c r="FB325" s="869"/>
      <c r="FC325" s="869"/>
      <c r="FD325" s="869"/>
      <c r="FE325" s="869"/>
      <c r="FF325" s="869"/>
      <c r="FG325" s="869"/>
      <c r="FH325" s="869"/>
      <c r="FI325" s="869"/>
      <c r="FJ325" s="869"/>
      <c r="FK325" s="869"/>
      <c r="FL325" s="869"/>
    </row>
    <row r="326" spans="1:168" ht="62.4" customHeight="1" x14ac:dyDescent="0.3">
      <c r="A326" s="719"/>
      <c r="B326" s="713"/>
      <c r="C326" s="715"/>
      <c r="D326" s="715"/>
      <c r="E326" s="714"/>
      <c r="F326" s="714"/>
      <c r="G326" s="714"/>
      <c r="H326" s="1221"/>
      <c r="I326" s="1221"/>
      <c r="J326" s="1097" t="s">
        <v>235</v>
      </c>
      <c r="K326" s="1097" t="s">
        <v>682</v>
      </c>
      <c r="L326" s="1097" t="s">
        <v>676</v>
      </c>
      <c r="M326" s="1097" t="s">
        <v>781</v>
      </c>
      <c r="N326" s="1097" t="s">
        <v>922</v>
      </c>
      <c r="O326" s="1097" t="s">
        <v>330</v>
      </c>
      <c r="P326" s="1097" t="s">
        <v>249</v>
      </c>
      <c r="Q326" s="1097" t="s">
        <v>248</v>
      </c>
      <c r="R326" s="1097" t="s">
        <v>790</v>
      </c>
      <c r="S326" s="1097" t="s">
        <v>791</v>
      </c>
      <c r="T326" s="1097" t="s">
        <v>537</v>
      </c>
      <c r="U326" s="695" t="s">
        <v>236</v>
      </c>
      <c r="V326" s="695" t="s">
        <v>246</v>
      </c>
      <c r="W326" s="695" t="s">
        <v>324</v>
      </c>
      <c r="X326" s="695" t="s">
        <v>714</v>
      </c>
      <c r="Y326" s="695" t="s">
        <v>79</v>
      </c>
      <c r="Z326" s="695" t="s">
        <v>259</v>
      </c>
      <c r="AA326" s="695" t="s">
        <v>712</v>
      </c>
      <c r="AB326" s="695" t="s">
        <v>713</v>
      </c>
      <c r="AC326" s="695" t="s">
        <v>933</v>
      </c>
      <c r="AD326" s="695" t="s">
        <v>675</v>
      </c>
      <c r="AE326" s="695" t="s">
        <v>932</v>
      </c>
      <c r="AF326" s="695" t="s">
        <v>53</v>
      </c>
      <c r="AG326" s="695" t="s">
        <v>820</v>
      </c>
      <c r="AH326" s="695" t="s">
        <v>50</v>
      </c>
      <c r="AI326" s="695" t="s">
        <v>556</v>
      </c>
      <c r="AJ326" s="695" t="s">
        <v>265</v>
      </c>
      <c r="AK326" s="695" t="s">
        <v>48</v>
      </c>
      <c r="AL326" s="695" t="s">
        <v>337</v>
      </c>
      <c r="AM326" s="695" t="s">
        <v>335</v>
      </c>
      <c r="AN326" s="695" t="s">
        <v>376</v>
      </c>
      <c r="AO326" s="695" t="s">
        <v>377</v>
      </c>
      <c r="AP326" s="695" t="s">
        <v>508</v>
      </c>
      <c r="AQ326" s="695" t="s">
        <v>237</v>
      </c>
      <c r="AR326" s="695" t="s">
        <v>819</v>
      </c>
      <c r="AS326" s="695" t="s">
        <v>373</v>
      </c>
      <c r="AT326" s="695" t="s">
        <v>269</v>
      </c>
      <c r="AU326" s="695" t="s">
        <v>78</v>
      </c>
      <c r="AV326" s="695" t="s">
        <v>542</v>
      </c>
      <c r="AW326" s="695" t="s">
        <v>543</v>
      </c>
      <c r="AX326" s="695" t="s">
        <v>230</v>
      </c>
      <c r="AY326" s="695" t="s">
        <v>821</v>
      </c>
      <c r="AZ326" s="695" t="s">
        <v>466</v>
      </c>
      <c r="BA326" s="695" t="s">
        <v>659</v>
      </c>
      <c r="BB326" s="695" t="s">
        <v>224</v>
      </c>
      <c r="BC326" s="695" t="s">
        <v>522</v>
      </c>
      <c r="BD326" s="695" t="s">
        <v>502</v>
      </c>
      <c r="BE326" s="695" t="s">
        <v>811</v>
      </c>
      <c r="BF326" s="695" t="s">
        <v>935</v>
      </c>
      <c r="BG326" s="695" t="s">
        <v>936</v>
      </c>
      <c r="BH326" s="695" t="s">
        <v>937</v>
      </c>
      <c r="BI326" s="695" t="s">
        <v>504</v>
      </c>
      <c r="BJ326" s="695" t="s">
        <v>505</v>
      </c>
      <c r="BK326" s="695" t="s">
        <v>229</v>
      </c>
      <c r="BL326" s="695" t="s">
        <v>818</v>
      </c>
      <c r="BM326" s="695" t="s">
        <v>494</v>
      </c>
      <c r="BN326" s="695" t="s">
        <v>495</v>
      </c>
      <c r="BO326" s="695" t="s">
        <v>500</v>
      </c>
      <c r="BP326" s="695" t="s">
        <v>501</v>
      </c>
      <c r="BQ326" s="695" t="s">
        <v>496</v>
      </c>
      <c r="BR326" s="695" t="s">
        <v>273</v>
      </c>
      <c r="BS326" s="695" t="s">
        <v>234</v>
      </c>
      <c r="BT326" s="695" t="s">
        <v>279</v>
      </c>
      <c r="BU326" s="695" t="s">
        <v>66</v>
      </c>
      <c r="BV326" s="695" t="s">
        <v>340</v>
      </c>
      <c r="BW326" s="695" t="s">
        <v>700</v>
      </c>
      <c r="BX326" s="695" t="s">
        <v>701</v>
      </c>
      <c r="BY326" s="695" t="s">
        <v>857</v>
      </c>
      <c r="BZ326" s="695" t="s">
        <v>886</v>
      </c>
      <c r="CA326" s="695" t="s">
        <v>322</v>
      </c>
      <c r="CB326" s="695" t="s">
        <v>472</v>
      </c>
      <c r="CC326" s="695" t="s">
        <v>813</v>
      </c>
      <c r="CD326" s="695" t="s">
        <v>915</v>
      </c>
      <c r="CE326" s="695" t="s">
        <v>125</v>
      </c>
      <c r="CF326" s="695" t="s">
        <v>245</v>
      </c>
      <c r="CG326" s="695" t="s">
        <v>285</v>
      </c>
      <c r="CH326" s="695" t="s">
        <v>638</v>
      </c>
      <c r="CI326" s="695" t="s">
        <v>56</v>
      </c>
      <c r="CJ326" s="695" t="s">
        <v>697</v>
      </c>
      <c r="CK326" s="695" t="s">
        <v>390</v>
      </c>
      <c r="CL326" s="695" t="s">
        <v>240</v>
      </c>
      <c r="CM326" s="695" t="s">
        <v>289</v>
      </c>
      <c r="CN326" s="695" t="s">
        <v>247</v>
      </c>
      <c r="CO326" s="695" t="s">
        <v>143</v>
      </c>
      <c r="CP326" s="695" t="s">
        <v>815</v>
      </c>
      <c r="CQ326" s="695" t="s">
        <v>135</v>
      </c>
      <c r="CR326" s="695" t="s">
        <v>63</v>
      </c>
      <c r="CS326" s="695" t="s">
        <v>242</v>
      </c>
      <c r="CT326" s="695" t="s">
        <v>159</v>
      </c>
      <c r="CU326" s="695" t="s">
        <v>532</v>
      </c>
      <c r="CV326" s="695" t="s">
        <v>528</v>
      </c>
      <c r="CW326" s="695" t="s">
        <v>244</v>
      </c>
      <c r="CX326" s="695" t="s">
        <v>814</v>
      </c>
      <c r="CY326" s="695" t="s">
        <v>839</v>
      </c>
      <c r="CZ326" s="695" t="s">
        <v>239</v>
      </c>
      <c r="DA326" s="695" t="s">
        <v>426</v>
      </c>
      <c r="DB326" s="695" t="s">
        <v>930</v>
      </c>
      <c r="DC326" s="695" t="s">
        <v>75</v>
      </c>
      <c r="DD326" s="695" t="s">
        <v>72</v>
      </c>
      <c r="DE326" s="695" t="s">
        <v>243</v>
      </c>
      <c r="DF326" s="695" t="s">
        <v>241</v>
      </c>
      <c r="DG326" s="695" t="s">
        <v>474</v>
      </c>
      <c r="DH326" s="695" t="s">
        <v>146</v>
      </c>
      <c r="DI326" s="695" t="s">
        <v>698</v>
      </c>
      <c r="DJ326" s="695" t="s">
        <v>816</v>
      </c>
      <c r="DK326" s="695" t="s">
        <v>817</v>
      </c>
      <c r="DL326" s="695" t="s">
        <v>336</v>
      </c>
      <c r="DM326" s="695" t="s">
        <v>334</v>
      </c>
      <c r="DN326" s="695" t="s">
        <v>856</v>
      </c>
      <c r="DO326" s="695" t="s">
        <v>807</v>
      </c>
      <c r="DP326" s="695" t="s">
        <v>808</v>
      </c>
      <c r="DQ326" s="695" t="s">
        <v>809</v>
      </c>
      <c r="DR326" s="695" t="s">
        <v>238</v>
      </c>
      <c r="DS326" s="695" t="s">
        <v>194</v>
      </c>
      <c r="DT326" s="695" t="s">
        <v>473</v>
      </c>
      <c r="DU326" s="695" t="s">
        <v>487</v>
      </c>
      <c r="DV326" s="695" t="s">
        <v>530</v>
      </c>
      <c r="DW326" s="695" t="s">
        <v>567</v>
      </c>
      <c r="DX326" s="695" t="s">
        <v>163</v>
      </c>
      <c r="DY326" s="695" t="s">
        <v>486</v>
      </c>
      <c r="DZ326" s="695" t="s">
        <v>485</v>
      </c>
      <c r="EA326" s="695" t="s">
        <v>705</v>
      </c>
      <c r="EB326" s="695" t="s">
        <v>706</v>
      </c>
      <c r="EC326" s="695" t="s">
        <v>931</v>
      </c>
      <c r="ED326" s="695" t="s">
        <v>803</v>
      </c>
      <c r="EE326" s="695" t="s">
        <v>804</v>
      </c>
      <c r="EF326" s="695" t="s">
        <v>810</v>
      </c>
      <c r="EG326" s="695" t="s">
        <v>806</v>
      </c>
      <c r="EH326" s="695" t="s">
        <v>707</v>
      </c>
      <c r="EI326" s="695" t="s">
        <v>822</v>
      </c>
      <c r="EJ326" s="695" t="s">
        <v>708</v>
      </c>
      <c r="EK326" s="695" t="s">
        <v>710</v>
      </c>
      <c r="EL326" s="695" t="s">
        <v>711</v>
      </c>
      <c r="EM326" s="695" t="s">
        <v>824</v>
      </c>
      <c r="EN326" s="695" t="s">
        <v>802</v>
      </c>
      <c r="EO326" s="695" t="s">
        <v>854</v>
      </c>
      <c r="EP326" s="695" t="s">
        <v>855</v>
      </c>
      <c r="EQ326" s="695" t="s">
        <v>805</v>
      </c>
      <c r="ER326" s="695" t="s">
        <v>812</v>
      </c>
      <c r="ES326" s="695" t="s">
        <v>823</v>
      </c>
      <c r="ET326" s="737">
        <v>0</v>
      </c>
      <c r="EU326" s="737">
        <v>0</v>
      </c>
      <c r="EV326" s="695" t="s">
        <v>916</v>
      </c>
      <c r="EW326" s="695" t="s">
        <v>917</v>
      </c>
      <c r="EX326" s="695" t="s">
        <v>325</v>
      </c>
      <c r="EY326" s="696"/>
      <c r="EZ326" s="715"/>
      <c r="FA326" s="715"/>
      <c r="FB326" s="715"/>
      <c r="FC326" s="715"/>
      <c r="FD326" s="715"/>
      <c r="FE326" s="715"/>
      <c r="FF326" s="715"/>
      <c r="FG326" s="715"/>
      <c r="FH326" s="715"/>
      <c r="FI326" s="715"/>
      <c r="FJ326" s="715"/>
      <c r="FK326" s="715"/>
      <c r="FL326" s="715"/>
    </row>
    <row r="327" spans="1:168" ht="15.6" x14ac:dyDescent="0.3">
      <c r="A327" s="719"/>
      <c r="B327" s="713"/>
      <c r="C327" s="715"/>
      <c r="D327" s="1277"/>
      <c r="E327" s="880"/>
      <c r="F327" s="1471"/>
      <c r="G327" s="1471"/>
      <c r="H327" s="787"/>
      <c r="I327" s="1244"/>
      <c r="J327" s="785">
        <f>J43*J338</f>
        <v>28</v>
      </c>
      <c r="K327" s="785">
        <f t="shared" ref="K327:BV327" si="420">K43*K338</f>
        <v>0</v>
      </c>
      <c r="L327" s="785">
        <f t="shared" si="420"/>
        <v>0</v>
      </c>
      <c r="M327" s="785">
        <f t="shared" si="420"/>
        <v>0</v>
      </c>
      <c r="N327" s="785">
        <f t="shared" si="420"/>
        <v>0</v>
      </c>
      <c r="O327" s="785">
        <f t="shared" si="420"/>
        <v>0</v>
      </c>
      <c r="P327" s="785">
        <f t="shared" si="420"/>
        <v>0</v>
      </c>
      <c r="Q327" s="785">
        <f t="shared" si="420"/>
        <v>0</v>
      </c>
      <c r="R327" s="785">
        <f t="shared" si="420"/>
        <v>0</v>
      </c>
      <c r="S327" s="785">
        <f t="shared" si="420"/>
        <v>0</v>
      </c>
      <c r="T327" s="785">
        <f t="shared" si="420"/>
        <v>0</v>
      </c>
      <c r="U327" s="785">
        <f t="shared" si="420"/>
        <v>11.68</v>
      </c>
      <c r="V327" s="785">
        <f t="shared" si="420"/>
        <v>19.88</v>
      </c>
      <c r="W327" s="785">
        <f t="shared" si="420"/>
        <v>0</v>
      </c>
      <c r="X327" s="785">
        <f t="shared" si="420"/>
        <v>0</v>
      </c>
      <c r="Y327" s="785">
        <f t="shared" si="420"/>
        <v>5.56</v>
      </c>
      <c r="Z327" s="785">
        <f t="shared" si="420"/>
        <v>0</v>
      </c>
      <c r="AA327" s="785">
        <f t="shared" si="420"/>
        <v>0</v>
      </c>
      <c r="AB327" s="785">
        <f t="shared" si="420"/>
        <v>0</v>
      </c>
      <c r="AC327" s="785">
        <f t="shared" si="420"/>
        <v>0</v>
      </c>
      <c r="AD327" s="785">
        <f t="shared" si="420"/>
        <v>0</v>
      </c>
      <c r="AE327" s="785">
        <f t="shared" si="420"/>
        <v>0</v>
      </c>
      <c r="AF327" s="785">
        <f t="shared" si="420"/>
        <v>1.99</v>
      </c>
      <c r="AG327" s="785">
        <f t="shared" si="420"/>
        <v>0</v>
      </c>
      <c r="AH327" s="785">
        <f t="shared" si="420"/>
        <v>6.56</v>
      </c>
      <c r="AI327" s="785">
        <f t="shared" si="420"/>
        <v>0</v>
      </c>
      <c r="AJ327" s="785">
        <f t="shared" si="420"/>
        <v>0</v>
      </c>
      <c r="AK327" s="785">
        <f t="shared" si="420"/>
        <v>1.35</v>
      </c>
      <c r="AL327" s="785">
        <f t="shared" si="420"/>
        <v>5.18</v>
      </c>
      <c r="AM327" s="785">
        <f t="shared" si="420"/>
        <v>0</v>
      </c>
      <c r="AN327" s="785">
        <f t="shared" si="420"/>
        <v>5.39</v>
      </c>
      <c r="AO327" s="785">
        <f t="shared" si="420"/>
        <v>0</v>
      </c>
      <c r="AP327" s="785">
        <f t="shared" si="420"/>
        <v>0</v>
      </c>
      <c r="AQ327" s="785">
        <f t="shared" si="420"/>
        <v>2.13</v>
      </c>
      <c r="AR327" s="785">
        <f t="shared" si="420"/>
        <v>0</v>
      </c>
      <c r="AS327" s="785">
        <f t="shared" si="420"/>
        <v>0</v>
      </c>
      <c r="AT327" s="785">
        <f t="shared" si="420"/>
        <v>0.98</v>
      </c>
      <c r="AU327" s="785">
        <f t="shared" si="420"/>
        <v>1.05</v>
      </c>
      <c r="AV327" s="785">
        <f t="shared" si="420"/>
        <v>0</v>
      </c>
      <c r="AW327" s="785">
        <f t="shared" si="420"/>
        <v>0</v>
      </c>
      <c r="AX327" s="785">
        <f t="shared" si="420"/>
        <v>0</v>
      </c>
      <c r="AY327" s="785">
        <f t="shared" si="420"/>
        <v>0</v>
      </c>
      <c r="AZ327" s="785">
        <f t="shared" si="420"/>
        <v>0</v>
      </c>
      <c r="BA327" s="785">
        <f t="shared" si="420"/>
        <v>1.89</v>
      </c>
      <c r="BB327" s="785">
        <f t="shared" si="420"/>
        <v>0</v>
      </c>
      <c r="BC327" s="785">
        <f t="shared" si="420"/>
        <v>0</v>
      </c>
      <c r="BD327" s="785">
        <f t="shared" si="420"/>
        <v>0</v>
      </c>
      <c r="BE327" s="785">
        <f t="shared" si="420"/>
        <v>0</v>
      </c>
      <c r="BF327" s="785">
        <f t="shared" si="420"/>
        <v>0</v>
      </c>
      <c r="BG327" s="785">
        <f t="shared" si="420"/>
        <v>0</v>
      </c>
      <c r="BH327" s="785">
        <f t="shared" si="420"/>
        <v>0</v>
      </c>
      <c r="BI327" s="785">
        <f t="shared" si="420"/>
        <v>0</v>
      </c>
      <c r="BJ327" s="785">
        <f t="shared" si="420"/>
        <v>0</v>
      </c>
      <c r="BK327" s="785">
        <f t="shared" si="420"/>
        <v>0</v>
      </c>
      <c r="BL327" s="785">
        <f t="shared" si="420"/>
        <v>0</v>
      </c>
      <c r="BM327" s="785">
        <f t="shared" si="420"/>
        <v>0</v>
      </c>
      <c r="BN327" s="785">
        <f t="shared" si="420"/>
        <v>0</v>
      </c>
      <c r="BO327" s="785">
        <f t="shared" si="420"/>
        <v>0</v>
      </c>
      <c r="BP327" s="785">
        <f t="shared" si="420"/>
        <v>0</v>
      </c>
      <c r="BQ327" s="785">
        <f t="shared" si="420"/>
        <v>0</v>
      </c>
      <c r="BR327" s="785">
        <f t="shared" si="420"/>
        <v>18.2</v>
      </c>
      <c r="BS327" s="785">
        <f t="shared" si="420"/>
        <v>0.2</v>
      </c>
      <c r="BT327" s="785">
        <f t="shared" si="420"/>
        <v>4</v>
      </c>
      <c r="BU327" s="785">
        <f t="shared" si="420"/>
        <v>0</v>
      </c>
      <c r="BV327" s="785">
        <f t="shared" si="420"/>
        <v>0</v>
      </c>
      <c r="BW327" s="785">
        <f t="shared" ref="BW327:EH327" si="421">BW43*BW338</f>
        <v>0</v>
      </c>
      <c r="BX327" s="785">
        <f t="shared" si="421"/>
        <v>0</v>
      </c>
      <c r="BY327" s="785">
        <f t="shared" si="421"/>
        <v>0</v>
      </c>
      <c r="BZ327" s="785">
        <f t="shared" si="421"/>
        <v>0</v>
      </c>
      <c r="CA327" s="785">
        <f t="shared" si="421"/>
        <v>0</v>
      </c>
      <c r="CB327" s="785">
        <f t="shared" si="421"/>
        <v>0</v>
      </c>
      <c r="CC327" s="785">
        <f t="shared" si="421"/>
        <v>0</v>
      </c>
      <c r="CD327" s="785">
        <f t="shared" si="421"/>
        <v>0</v>
      </c>
      <c r="CE327" s="785">
        <f t="shared" si="421"/>
        <v>0</v>
      </c>
      <c r="CF327" s="785">
        <f t="shared" si="421"/>
        <v>2.11</v>
      </c>
      <c r="CG327" s="785">
        <f t="shared" si="421"/>
        <v>0</v>
      </c>
      <c r="CH327" s="785">
        <f t="shared" si="421"/>
        <v>0</v>
      </c>
      <c r="CI327" s="785">
        <f t="shared" si="421"/>
        <v>0</v>
      </c>
      <c r="CJ327" s="785">
        <f t="shared" si="421"/>
        <v>0</v>
      </c>
      <c r="CK327" s="785">
        <f t="shared" si="421"/>
        <v>0</v>
      </c>
      <c r="CL327" s="785">
        <f t="shared" si="421"/>
        <v>0</v>
      </c>
      <c r="CM327" s="785">
        <f t="shared" si="421"/>
        <v>0</v>
      </c>
      <c r="CN327" s="785">
        <f t="shared" si="421"/>
        <v>0</v>
      </c>
      <c r="CO327" s="785">
        <f t="shared" si="421"/>
        <v>0</v>
      </c>
      <c r="CP327" s="785">
        <f t="shared" si="421"/>
        <v>0</v>
      </c>
      <c r="CQ327" s="785">
        <f t="shared" si="421"/>
        <v>0.06</v>
      </c>
      <c r="CR327" s="785">
        <f t="shared" si="421"/>
        <v>0</v>
      </c>
      <c r="CS327" s="785">
        <f t="shared" si="421"/>
        <v>0.2</v>
      </c>
      <c r="CT327" s="785">
        <f t="shared" si="421"/>
        <v>0</v>
      </c>
      <c r="CU327" s="785">
        <f t="shared" si="421"/>
        <v>0</v>
      </c>
      <c r="CV327" s="785">
        <f t="shared" si="421"/>
        <v>0</v>
      </c>
      <c r="CW327" s="785">
        <f t="shared" si="421"/>
        <v>0</v>
      </c>
      <c r="CX327" s="785">
        <f t="shared" si="421"/>
        <v>0</v>
      </c>
      <c r="CY327" s="785">
        <f t="shared" si="421"/>
        <v>0</v>
      </c>
      <c r="CZ327" s="785">
        <f t="shared" si="421"/>
        <v>3.88</v>
      </c>
      <c r="DA327" s="785">
        <f t="shared" si="421"/>
        <v>0</v>
      </c>
      <c r="DB327" s="785">
        <f t="shared" si="421"/>
        <v>0</v>
      </c>
      <c r="DC327" s="785">
        <f t="shared" si="421"/>
        <v>0.26</v>
      </c>
      <c r="DD327" s="785">
        <f t="shared" si="421"/>
        <v>0.59</v>
      </c>
      <c r="DE327" s="785">
        <f t="shared" si="421"/>
        <v>2.6</v>
      </c>
      <c r="DF327" s="785">
        <f t="shared" si="421"/>
        <v>0.69</v>
      </c>
      <c r="DG327" s="785">
        <f t="shared" si="421"/>
        <v>0</v>
      </c>
      <c r="DH327" s="785">
        <f t="shared" si="421"/>
        <v>0</v>
      </c>
      <c r="DI327" s="785">
        <f t="shared" si="421"/>
        <v>0</v>
      </c>
      <c r="DJ327" s="785">
        <f t="shared" si="421"/>
        <v>0</v>
      </c>
      <c r="DK327" s="785">
        <f t="shared" si="421"/>
        <v>0</v>
      </c>
      <c r="DL327" s="785">
        <f t="shared" si="421"/>
        <v>1.01</v>
      </c>
      <c r="DM327" s="785">
        <f t="shared" si="421"/>
        <v>0</v>
      </c>
      <c r="DN327" s="785">
        <f t="shared" si="421"/>
        <v>0</v>
      </c>
      <c r="DO327" s="785">
        <f t="shared" si="421"/>
        <v>0</v>
      </c>
      <c r="DP327" s="785">
        <f t="shared" si="421"/>
        <v>0</v>
      </c>
      <c r="DQ327" s="785">
        <f t="shared" si="421"/>
        <v>0</v>
      </c>
      <c r="DR327" s="785">
        <f t="shared" si="421"/>
        <v>0.45</v>
      </c>
      <c r="DS327" s="785">
        <f t="shared" si="421"/>
        <v>0</v>
      </c>
      <c r="DT327" s="785">
        <f t="shared" si="421"/>
        <v>0</v>
      </c>
      <c r="DU327" s="785">
        <f t="shared" si="421"/>
        <v>0</v>
      </c>
      <c r="DV327" s="785">
        <f t="shared" si="421"/>
        <v>0</v>
      </c>
      <c r="DW327" s="785">
        <f t="shared" si="421"/>
        <v>0</v>
      </c>
      <c r="DX327" s="785">
        <f t="shared" si="421"/>
        <v>0</v>
      </c>
      <c r="DY327" s="785">
        <f t="shared" si="421"/>
        <v>0</v>
      </c>
      <c r="DZ327" s="785">
        <f t="shared" si="421"/>
        <v>0</v>
      </c>
      <c r="EA327" s="785">
        <f t="shared" si="421"/>
        <v>0</v>
      </c>
      <c r="EB327" s="785">
        <f t="shared" si="421"/>
        <v>2.9</v>
      </c>
      <c r="EC327" s="785">
        <f t="shared" si="421"/>
        <v>0</v>
      </c>
      <c r="ED327" s="785">
        <f t="shared" si="421"/>
        <v>0</v>
      </c>
      <c r="EE327" s="785">
        <f t="shared" si="421"/>
        <v>0</v>
      </c>
      <c r="EF327" s="785">
        <f t="shared" si="421"/>
        <v>0</v>
      </c>
      <c r="EG327" s="785">
        <f t="shared" si="421"/>
        <v>0</v>
      </c>
      <c r="EH327" s="785">
        <f t="shared" si="421"/>
        <v>0</v>
      </c>
      <c r="EI327" s="785">
        <f t="shared" ref="EI327:EX327" si="422">EI43*EI338</f>
        <v>0</v>
      </c>
      <c r="EJ327" s="785">
        <f t="shared" si="422"/>
        <v>0</v>
      </c>
      <c r="EK327" s="785">
        <f t="shared" si="422"/>
        <v>0</v>
      </c>
      <c r="EL327" s="785">
        <f t="shared" si="422"/>
        <v>0</v>
      </c>
      <c r="EM327" s="785">
        <f t="shared" si="422"/>
        <v>0</v>
      </c>
      <c r="EN327" s="785">
        <f t="shared" si="422"/>
        <v>0</v>
      </c>
      <c r="EO327" s="785">
        <f t="shared" si="422"/>
        <v>0</v>
      </c>
      <c r="EP327" s="785">
        <f t="shared" si="422"/>
        <v>0</v>
      </c>
      <c r="EQ327" s="785">
        <f t="shared" si="422"/>
        <v>0</v>
      </c>
      <c r="ER327" s="785">
        <f t="shared" si="422"/>
        <v>0</v>
      </c>
      <c r="ES327" s="785">
        <f t="shared" si="422"/>
        <v>0</v>
      </c>
      <c r="ET327" s="785">
        <f t="shared" si="422"/>
        <v>0</v>
      </c>
      <c r="EU327" s="785">
        <f t="shared" si="422"/>
        <v>0</v>
      </c>
      <c r="EV327" s="785">
        <f t="shared" si="422"/>
        <v>3.84</v>
      </c>
      <c r="EW327" s="785">
        <f t="shared" si="422"/>
        <v>3.25</v>
      </c>
      <c r="EX327" s="785">
        <f t="shared" si="422"/>
        <v>0</v>
      </c>
      <c r="EY327" s="277">
        <f t="shared" ref="EY327:EY337" si="423">SUM(J327:EX327)</f>
        <v>135.88</v>
      </c>
      <c r="EZ327" s="787"/>
      <c r="FA327" s="787"/>
      <c r="FB327" s="787"/>
      <c r="FC327" s="787"/>
      <c r="FD327" s="787"/>
      <c r="FE327" s="787"/>
      <c r="FF327" s="787"/>
      <c r="FG327" s="787"/>
      <c r="FH327" s="787"/>
      <c r="FI327" s="787"/>
      <c r="FJ327" s="787"/>
      <c r="FK327" s="787"/>
      <c r="FL327" s="787">
        <v>1</v>
      </c>
    </row>
    <row r="328" spans="1:168" ht="15.6" x14ac:dyDescent="0.3">
      <c r="A328" s="719"/>
      <c r="B328" s="713"/>
      <c r="C328" s="746"/>
      <c r="D328" s="1278"/>
      <c r="E328" s="881"/>
      <c r="F328" s="716"/>
      <c r="G328" s="716"/>
      <c r="H328" s="788"/>
      <c r="I328" s="1245"/>
      <c r="J328" s="785">
        <f>J73*J338</f>
        <v>0</v>
      </c>
      <c r="K328" s="785">
        <f t="shared" ref="K328:BV328" si="424">K73*K338</f>
        <v>0</v>
      </c>
      <c r="L328" s="785">
        <f t="shared" si="424"/>
        <v>0</v>
      </c>
      <c r="M328" s="785">
        <f t="shared" si="424"/>
        <v>27.2</v>
      </c>
      <c r="N328" s="785">
        <f t="shared" si="424"/>
        <v>0</v>
      </c>
      <c r="O328" s="785">
        <f t="shared" si="424"/>
        <v>0</v>
      </c>
      <c r="P328" s="785">
        <f t="shared" si="424"/>
        <v>0.3</v>
      </c>
      <c r="Q328" s="785">
        <f t="shared" si="424"/>
        <v>0</v>
      </c>
      <c r="R328" s="785">
        <f t="shared" si="424"/>
        <v>0</v>
      </c>
      <c r="S328" s="785">
        <f t="shared" si="424"/>
        <v>0</v>
      </c>
      <c r="T328" s="785">
        <f t="shared" si="424"/>
        <v>0</v>
      </c>
      <c r="U328" s="785">
        <f t="shared" si="424"/>
        <v>6.46</v>
      </c>
      <c r="V328" s="785">
        <f t="shared" si="424"/>
        <v>18.350000000000001</v>
      </c>
      <c r="W328" s="785">
        <f t="shared" si="424"/>
        <v>0</v>
      </c>
      <c r="X328" s="785">
        <f t="shared" si="424"/>
        <v>0</v>
      </c>
      <c r="Y328" s="785">
        <f t="shared" si="424"/>
        <v>2.75</v>
      </c>
      <c r="Z328" s="785">
        <f t="shared" si="424"/>
        <v>0</v>
      </c>
      <c r="AA328" s="785">
        <f t="shared" si="424"/>
        <v>0</v>
      </c>
      <c r="AB328" s="785">
        <f t="shared" si="424"/>
        <v>0</v>
      </c>
      <c r="AC328" s="785">
        <f t="shared" si="424"/>
        <v>0</v>
      </c>
      <c r="AD328" s="785">
        <f t="shared" si="424"/>
        <v>0</v>
      </c>
      <c r="AE328" s="785">
        <f t="shared" si="424"/>
        <v>15.9</v>
      </c>
      <c r="AF328" s="785">
        <f t="shared" si="424"/>
        <v>1.99</v>
      </c>
      <c r="AG328" s="785">
        <f t="shared" si="424"/>
        <v>0</v>
      </c>
      <c r="AH328" s="785">
        <f t="shared" si="424"/>
        <v>10.210000000000001</v>
      </c>
      <c r="AI328" s="785">
        <f t="shared" si="424"/>
        <v>0</v>
      </c>
      <c r="AJ328" s="785">
        <f t="shared" si="424"/>
        <v>0</v>
      </c>
      <c r="AK328" s="785">
        <f t="shared" si="424"/>
        <v>0.96</v>
      </c>
      <c r="AL328" s="785">
        <f t="shared" si="424"/>
        <v>0.6</v>
      </c>
      <c r="AM328" s="785">
        <f t="shared" si="424"/>
        <v>0</v>
      </c>
      <c r="AN328" s="785">
        <f t="shared" si="424"/>
        <v>6.36</v>
      </c>
      <c r="AO328" s="785">
        <f t="shared" si="424"/>
        <v>0</v>
      </c>
      <c r="AP328" s="785">
        <f t="shared" si="424"/>
        <v>0</v>
      </c>
      <c r="AQ328" s="785">
        <f t="shared" si="424"/>
        <v>0.63</v>
      </c>
      <c r="AR328" s="785">
        <f t="shared" si="424"/>
        <v>0</v>
      </c>
      <c r="AS328" s="785">
        <f t="shared" si="424"/>
        <v>0</v>
      </c>
      <c r="AT328" s="785">
        <f t="shared" si="424"/>
        <v>0</v>
      </c>
      <c r="AU328" s="785">
        <f t="shared" si="424"/>
        <v>1.8</v>
      </c>
      <c r="AV328" s="785">
        <f t="shared" si="424"/>
        <v>0</v>
      </c>
      <c r="AW328" s="785">
        <f t="shared" si="424"/>
        <v>0</v>
      </c>
      <c r="AX328" s="785">
        <f t="shared" si="424"/>
        <v>0</v>
      </c>
      <c r="AY328" s="785">
        <f t="shared" si="424"/>
        <v>0</v>
      </c>
      <c r="AZ328" s="785">
        <f t="shared" si="424"/>
        <v>0</v>
      </c>
      <c r="BA328" s="785">
        <f t="shared" si="424"/>
        <v>0</v>
      </c>
      <c r="BB328" s="785">
        <f t="shared" si="424"/>
        <v>0</v>
      </c>
      <c r="BC328" s="785">
        <f t="shared" si="424"/>
        <v>0</v>
      </c>
      <c r="BD328" s="785">
        <f t="shared" si="424"/>
        <v>0</v>
      </c>
      <c r="BE328" s="785">
        <f t="shared" si="424"/>
        <v>0</v>
      </c>
      <c r="BF328" s="785">
        <f t="shared" si="424"/>
        <v>0</v>
      </c>
      <c r="BG328" s="785">
        <f t="shared" si="424"/>
        <v>0</v>
      </c>
      <c r="BH328" s="785">
        <f t="shared" si="424"/>
        <v>0</v>
      </c>
      <c r="BI328" s="785">
        <f t="shared" si="424"/>
        <v>0</v>
      </c>
      <c r="BJ328" s="785">
        <f t="shared" si="424"/>
        <v>0</v>
      </c>
      <c r="BK328" s="785">
        <f t="shared" si="424"/>
        <v>0</v>
      </c>
      <c r="BL328" s="785">
        <f t="shared" si="424"/>
        <v>0</v>
      </c>
      <c r="BM328" s="785">
        <f t="shared" si="424"/>
        <v>0</v>
      </c>
      <c r="BN328" s="785">
        <f t="shared" si="424"/>
        <v>0</v>
      </c>
      <c r="BO328" s="785">
        <f t="shared" si="424"/>
        <v>0</v>
      </c>
      <c r="BP328" s="785">
        <f t="shared" si="424"/>
        <v>0</v>
      </c>
      <c r="BQ328" s="785">
        <f t="shared" si="424"/>
        <v>0</v>
      </c>
      <c r="BR328" s="785">
        <f t="shared" si="424"/>
        <v>4.13</v>
      </c>
      <c r="BS328" s="785">
        <f t="shared" si="424"/>
        <v>7.0000000000000007E-2</v>
      </c>
      <c r="BT328" s="785">
        <f t="shared" si="424"/>
        <v>0</v>
      </c>
      <c r="BU328" s="785">
        <f t="shared" si="424"/>
        <v>0</v>
      </c>
      <c r="BV328" s="785">
        <f t="shared" si="424"/>
        <v>0</v>
      </c>
      <c r="BW328" s="785">
        <f t="shared" ref="BW328:EH328" si="425">BW73*BW338</f>
        <v>0</v>
      </c>
      <c r="BX328" s="785">
        <f t="shared" si="425"/>
        <v>0</v>
      </c>
      <c r="BY328" s="785">
        <f t="shared" si="425"/>
        <v>0</v>
      </c>
      <c r="BZ328" s="785">
        <f t="shared" si="425"/>
        <v>0</v>
      </c>
      <c r="CA328" s="785">
        <f t="shared" si="425"/>
        <v>0</v>
      </c>
      <c r="CB328" s="785">
        <f t="shared" si="425"/>
        <v>0.98</v>
      </c>
      <c r="CC328" s="785">
        <f t="shared" si="425"/>
        <v>0</v>
      </c>
      <c r="CD328" s="785">
        <f t="shared" si="425"/>
        <v>0</v>
      </c>
      <c r="CE328" s="785">
        <f t="shared" si="425"/>
        <v>0</v>
      </c>
      <c r="CF328" s="785">
        <f t="shared" si="425"/>
        <v>1.2</v>
      </c>
      <c r="CG328" s="785">
        <f t="shared" si="425"/>
        <v>0</v>
      </c>
      <c r="CH328" s="785">
        <f t="shared" si="425"/>
        <v>0</v>
      </c>
      <c r="CI328" s="785">
        <f t="shared" si="425"/>
        <v>0</v>
      </c>
      <c r="CJ328" s="785">
        <f t="shared" si="425"/>
        <v>0</v>
      </c>
      <c r="CK328" s="785">
        <f t="shared" si="425"/>
        <v>0</v>
      </c>
      <c r="CL328" s="785">
        <f t="shared" si="425"/>
        <v>0</v>
      </c>
      <c r="CM328" s="785">
        <f t="shared" si="425"/>
        <v>0</v>
      </c>
      <c r="CN328" s="785">
        <f t="shared" si="425"/>
        <v>0</v>
      </c>
      <c r="CO328" s="785">
        <f t="shared" si="425"/>
        <v>0</v>
      </c>
      <c r="CP328" s="785">
        <f t="shared" si="425"/>
        <v>0</v>
      </c>
      <c r="CQ328" s="785">
        <f t="shared" si="425"/>
        <v>0.06</v>
      </c>
      <c r="CR328" s="785">
        <f t="shared" si="425"/>
        <v>0</v>
      </c>
      <c r="CS328" s="785">
        <f t="shared" si="425"/>
        <v>0.01</v>
      </c>
      <c r="CT328" s="785">
        <f t="shared" si="425"/>
        <v>0</v>
      </c>
      <c r="CU328" s="785">
        <f t="shared" si="425"/>
        <v>0</v>
      </c>
      <c r="CV328" s="785">
        <f t="shared" si="425"/>
        <v>0</v>
      </c>
      <c r="CW328" s="785">
        <f t="shared" si="425"/>
        <v>0</v>
      </c>
      <c r="CX328" s="785">
        <f t="shared" si="425"/>
        <v>0</v>
      </c>
      <c r="CY328" s="785">
        <f t="shared" si="425"/>
        <v>0</v>
      </c>
      <c r="CZ328" s="785">
        <f t="shared" si="425"/>
        <v>2.96</v>
      </c>
      <c r="DA328" s="785">
        <f t="shared" si="425"/>
        <v>0</v>
      </c>
      <c r="DB328" s="785">
        <f t="shared" si="425"/>
        <v>0</v>
      </c>
      <c r="DC328" s="785">
        <f t="shared" si="425"/>
        <v>0.21</v>
      </c>
      <c r="DD328" s="785">
        <f t="shared" si="425"/>
        <v>0.94</v>
      </c>
      <c r="DE328" s="785">
        <f t="shared" si="425"/>
        <v>0</v>
      </c>
      <c r="DF328" s="785">
        <f t="shared" si="425"/>
        <v>0.69</v>
      </c>
      <c r="DG328" s="785">
        <f t="shared" si="425"/>
        <v>0</v>
      </c>
      <c r="DH328" s="785">
        <f t="shared" si="425"/>
        <v>0</v>
      </c>
      <c r="DI328" s="785">
        <f t="shared" si="425"/>
        <v>0</v>
      </c>
      <c r="DJ328" s="785">
        <f t="shared" si="425"/>
        <v>0</v>
      </c>
      <c r="DK328" s="785">
        <f t="shared" si="425"/>
        <v>0</v>
      </c>
      <c r="DL328" s="785">
        <f t="shared" si="425"/>
        <v>0</v>
      </c>
      <c r="DM328" s="785">
        <f t="shared" si="425"/>
        <v>0</v>
      </c>
      <c r="DN328" s="785">
        <f t="shared" si="425"/>
        <v>0</v>
      </c>
      <c r="DO328" s="785">
        <f t="shared" si="425"/>
        <v>0</v>
      </c>
      <c r="DP328" s="785">
        <f t="shared" si="425"/>
        <v>0</v>
      </c>
      <c r="DQ328" s="785">
        <f t="shared" si="425"/>
        <v>0</v>
      </c>
      <c r="DR328" s="785">
        <f t="shared" si="425"/>
        <v>0.45</v>
      </c>
      <c r="DS328" s="785">
        <f t="shared" si="425"/>
        <v>0</v>
      </c>
      <c r="DT328" s="785">
        <f t="shared" si="425"/>
        <v>0</v>
      </c>
      <c r="DU328" s="785">
        <f t="shared" si="425"/>
        <v>3.15</v>
      </c>
      <c r="DV328" s="785">
        <f t="shared" si="425"/>
        <v>0</v>
      </c>
      <c r="DW328" s="785">
        <f t="shared" si="425"/>
        <v>0</v>
      </c>
      <c r="DX328" s="785">
        <f t="shared" si="425"/>
        <v>0</v>
      </c>
      <c r="DY328" s="785">
        <f t="shared" si="425"/>
        <v>0</v>
      </c>
      <c r="DZ328" s="785">
        <f t="shared" si="425"/>
        <v>0</v>
      </c>
      <c r="EA328" s="785">
        <f t="shared" si="425"/>
        <v>75</v>
      </c>
      <c r="EB328" s="785">
        <f t="shared" si="425"/>
        <v>2.9</v>
      </c>
      <c r="EC328" s="785">
        <f t="shared" si="425"/>
        <v>0</v>
      </c>
      <c r="ED328" s="785">
        <f t="shared" si="425"/>
        <v>0</v>
      </c>
      <c r="EE328" s="785">
        <f t="shared" si="425"/>
        <v>0</v>
      </c>
      <c r="EF328" s="785">
        <f t="shared" si="425"/>
        <v>0</v>
      </c>
      <c r="EG328" s="785">
        <f t="shared" si="425"/>
        <v>0</v>
      </c>
      <c r="EH328" s="785">
        <f t="shared" si="425"/>
        <v>0</v>
      </c>
      <c r="EI328" s="785">
        <f t="shared" ref="EI328:EX328" si="426">EI73*EI338</f>
        <v>0</v>
      </c>
      <c r="EJ328" s="785">
        <f t="shared" si="426"/>
        <v>0</v>
      </c>
      <c r="EK328" s="785">
        <f t="shared" si="426"/>
        <v>0</v>
      </c>
      <c r="EL328" s="785">
        <f t="shared" si="426"/>
        <v>0</v>
      </c>
      <c r="EM328" s="785">
        <f t="shared" si="426"/>
        <v>0</v>
      </c>
      <c r="EN328" s="785">
        <f t="shared" si="426"/>
        <v>0</v>
      </c>
      <c r="EO328" s="785">
        <f t="shared" si="426"/>
        <v>0</v>
      </c>
      <c r="EP328" s="785">
        <f t="shared" si="426"/>
        <v>0</v>
      </c>
      <c r="EQ328" s="785">
        <f t="shared" si="426"/>
        <v>0</v>
      </c>
      <c r="ER328" s="785">
        <f t="shared" si="426"/>
        <v>0</v>
      </c>
      <c r="ES328" s="785">
        <f t="shared" si="426"/>
        <v>0</v>
      </c>
      <c r="ET328" s="785">
        <f t="shared" si="426"/>
        <v>0</v>
      </c>
      <c r="EU328" s="785">
        <f t="shared" si="426"/>
        <v>0</v>
      </c>
      <c r="EV328" s="785">
        <f t="shared" si="426"/>
        <v>4.16</v>
      </c>
      <c r="EW328" s="785">
        <f t="shared" si="426"/>
        <v>3.25</v>
      </c>
      <c r="EX328" s="785">
        <f t="shared" si="426"/>
        <v>0</v>
      </c>
      <c r="EY328" s="277">
        <f t="shared" si="423"/>
        <v>193.67</v>
      </c>
      <c r="EZ328" s="788"/>
      <c r="FA328" s="788"/>
      <c r="FB328" s="788"/>
      <c r="FC328" s="788"/>
      <c r="FD328" s="788"/>
      <c r="FE328" s="788"/>
      <c r="FF328" s="788"/>
      <c r="FG328" s="788"/>
      <c r="FH328" s="788"/>
      <c r="FI328" s="788"/>
      <c r="FJ328" s="788"/>
      <c r="FK328" s="788"/>
      <c r="FL328" s="788">
        <v>2</v>
      </c>
    </row>
    <row r="329" spans="1:168" ht="15.6" x14ac:dyDescent="0.3">
      <c r="A329" s="260"/>
      <c r="B329" s="713"/>
      <c r="C329" s="747"/>
      <c r="D329" s="1279"/>
      <c r="E329" s="1280"/>
      <c r="F329" s="716"/>
      <c r="G329" s="716"/>
      <c r="H329" s="788"/>
      <c r="I329" s="1245"/>
      <c r="J329" s="785">
        <f>J103*J338</f>
        <v>58.24</v>
      </c>
      <c r="K329" s="785">
        <f t="shared" ref="K329:BV329" si="427">K103*K338</f>
        <v>0</v>
      </c>
      <c r="L329" s="785">
        <f t="shared" si="427"/>
        <v>0</v>
      </c>
      <c r="M329" s="785">
        <f t="shared" si="427"/>
        <v>0</v>
      </c>
      <c r="N329" s="785">
        <f t="shared" si="427"/>
        <v>0</v>
      </c>
      <c r="O329" s="785">
        <f t="shared" si="427"/>
        <v>0</v>
      </c>
      <c r="P329" s="785">
        <f t="shared" si="427"/>
        <v>0</v>
      </c>
      <c r="Q329" s="785">
        <f t="shared" si="427"/>
        <v>0</v>
      </c>
      <c r="R329" s="785">
        <f t="shared" si="427"/>
        <v>0</v>
      </c>
      <c r="S329" s="785">
        <f t="shared" si="427"/>
        <v>0</v>
      </c>
      <c r="T329" s="785">
        <f t="shared" si="427"/>
        <v>0</v>
      </c>
      <c r="U329" s="785">
        <f t="shared" si="427"/>
        <v>10</v>
      </c>
      <c r="V329" s="785">
        <f t="shared" si="427"/>
        <v>12.25</v>
      </c>
      <c r="W329" s="785">
        <f t="shared" si="427"/>
        <v>11.5</v>
      </c>
      <c r="X329" s="785">
        <f t="shared" si="427"/>
        <v>0</v>
      </c>
      <c r="Y329" s="785">
        <f t="shared" si="427"/>
        <v>4.0999999999999996</v>
      </c>
      <c r="Z329" s="785">
        <f t="shared" si="427"/>
        <v>0</v>
      </c>
      <c r="AA329" s="785">
        <f t="shared" si="427"/>
        <v>0</v>
      </c>
      <c r="AB329" s="785">
        <f t="shared" si="427"/>
        <v>0</v>
      </c>
      <c r="AC329" s="785">
        <f t="shared" si="427"/>
        <v>0</v>
      </c>
      <c r="AD329" s="785">
        <f t="shared" si="427"/>
        <v>0</v>
      </c>
      <c r="AE329" s="785">
        <f t="shared" si="427"/>
        <v>0</v>
      </c>
      <c r="AF329" s="785">
        <f t="shared" si="427"/>
        <v>0</v>
      </c>
      <c r="AG329" s="785">
        <f t="shared" si="427"/>
        <v>0</v>
      </c>
      <c r="AH329" s="785">
        <f t="shared" si="427"/>
        <v>11.66</v>
      </c>
      <c r="AI329" s="785">
        <f t="shared" si="427"/>
        <v>0</v>
      </c>
      <c r="AJ329" s="785">
        <f t="shared" si="427"/>
        <v>0</v>
      </c>
      <c r="AK329" s="785">
        <f t="shared" si="427"/>
        <v>2.7</v>
      </c>
      <c r="AL329" s="785">
        <f t="shared" si="427"/>
        <v>0</v>
      </c>
      <c r="AM329" s="785">
        <f t="shared" si="427"/>
        <v>0.2</v>
      </c>
      <c r="AN329" s="785">
        <f t="shared" si="427"/>
        <v>3.76</v>
      </c>
      <c r="AO329" s="785">
        <f t="shared" si="427"/>
        <v>1.9</v>
      </c>
      <c r="AP329" s="785">
        <f t="shared" si="427"/>
        <v>0</v>
      </c>
      <c r="AQ329" s="785">
        <f t="shared" si="427"/>
        <v>0.63</v>
      </c>
      <c r="AR329" s="785">
        <f t="shared" si="427"/>
        <v>0</v>
      </c>
      <c r="AS329" s="785">
        <f t="shared" si="427"/>
        <v>0</v>
      </c>
      <c r="AT329" s="785">
        <f t="shared" si="427"/>
        <v>0.98</v>
      </c>
      <c r="AU329" s="785">
        <f t="shared" si="427"/>
        <v>1.8</v>
      </c>
      <c r="AV329" s="785">
        <f t="shared" si="427"/>
        <v>0</v>
      </c>
      <c r="AW329" s="785">
        <f t="shared" si="427"/>
        <v>0</v>
      </c>
      <c r="AX329" s="785">
        <f t="shared" si="427"/>
        <v>1.5</v>
      </c>
      <c r="AY329" s="785">
        <f t="shared" si="427"/>
        <v>0</v>
      </c>
      <c r="AZ329" s="785">
        <f t="shared" si="427"/>
        <v>0</v>
      </c>
      <c r="BA329" s="785">
        <f t="shared" si="427"/>
        <v>0</v>
      </c>
      <c r="BB329" s="785">
        <f t="shared" si="427"/>
        <v>0</v>
      </c>
      <c r="BC329" s="785">
        <f t="shared" si="427"/>
        <v>0</v>
      </c>
      <c r="BD329" s="785">
        <f t="shared" si="427"/>
        <v>0</v>
      </c>
      <c r="BE329" s="785">
        <f t="shared" si="427"/>
        <v>0</v>
      </c>
      <c r="BF329" s="785">
        <f t="shared" si="427"/>
        <v>0</v>
      </c>
      <c r="BG329" s="785">
        <f t="shared" si="427"/>
        <v>0</v>
      </c>
      <c r="BH329" s="785">
        <f t="shared" si="427"/>
        <v>0</v>
      </c>
      <c r="BI329" s="785">
        <f t="shared" si="427"/>
        <v>0</v>
      </c>
      <c r="BJ329" s="785">
        <f t="shared" si="427"/>
        <v>0</v>
      </c>
      <c r="BK329" s="785">
        <f t="shared" si="427"/>
        <v>0</v>
      </c>
      <c r="BL329" s="785">
        <f t="shared" si="427"/>
        <v>0</v>
      </c>
      <c r="BM329" s="785">
        <f t="shared" si="427"/>
        <v>0</v>
      </c>
      <c r="BN329" s="785">
        <f t="shared" si="427"/>
        <v>0</v>
      </c>
      <c r="BO329" s="785">
        <f t="shared" si="427"/>
        <v>0</v>
      </c>
      <c r="BP329" s="785">
        <f t="shared" si="427"/>
        <v>0</v>
      </c>
      <c r="BQ329" s="785">
        <f t="shared" si="427"/>
        <v>0</v>
      </c>
      <c r="BR329" s="785">
        <f t="shared" si="427"/>
        <v>22.33</v>
      </c>
      <c r="BS329" s="785">
        <f t="shared" si="427"/>
        <v>0.51</v>
      </c>
      <c r="BT329" s="785">
        <f t="shared" si="427"/>
        <v>0</v>
      </c>
      <c r="BU329" s="785">
        <f t="shared" si="427"/>
        <v>0</v>
      </c>
      <c r="BV329" s="785">
        <f t="shared" si="427"/>
        <v>0</v>
      </c>
      <c r="BW329" s="785">
        <f t="shared" ref="BW329:EH329" si="428">BW103*BW338</f>
        <v>0</v>
      </c>
      <c r="BX329" s="785">
        <f t="shared" si="428"/>
        <v>0</v>
      </c>
      <c r="BY329" s="785">
        <f t="shared" si="428"/>
        <v>0</v>
      </c>
      <c r="BZ329" s="785">
        <f t="shared" si="428"/>
        <v>0</v>
      </c>
      <c r="CA329" s="785">
        <f t="shared" si="428"/>
        <v>0</v>
      </c>
      <c r="CB329" s="785">
        <f t="shared" si="428"/>
        <v>0.98</v>
      </c>
      <c r="CC329" s="785">
        <f t="shared" si="428"/>
        <v>0</v>
      </c>
      <c r="CD329" s="785">
        <f t="shared" si="428"/>
        <v>0</v>
      </c>
      <c r="CE329" s="785">
        <f t="shared" si="428"/>
        <v>0</v>
      </c>
      <c r="CF329" s="785">
        <f t="shared" si="428"/>
        <v>2.04</v>
      </c>
      <c r="CG329" s="785">
        <f t="shared" si="428"/>
        <v>1</v>
      </c>
      <c r="CH329" s="785">
        <f t="shared" si="428"/>
        <v>0</v>
      </c>
      <c r="CI329" s="785">
        <f t="shared" si="428"/>
        <v>0</v>
      </c>
      <c r="CJ329" s="785">
        <f t="shared" si="428"/>
        <v>0</v>
      </c>
      <c r="CK329" s="785">
        <f t="shared" si="428"/>
        <v>0</v>
      </c>
      <c r="CL329" s="785">
        <f t="shared" si="428"/>
        <v>0</v>
      </c>
      <c r="CM329" s="785">
        <f t="shared" si="428"/>
        <v>0</v>
      </c>
      <c r="CN329" s="785">
        <f t="shared" si="428"/>
        <v>0</v>
      </c>
      <c r="CO329" s="785">
        <f t="shared" si="428"/>
        <v>0</v>
      </c>
      <c r="CP329" s="785">
        <f t="shared" si="428"/>
        <v>0</v>
      </c>
      <c r="CQ329" s="785">
        <f t="shared" si="428"/>
        <v>0.06</v>
      </c>
      <c r="CR329" s="785">
        <f t="shared" si="428"/>
        <v>0</v>
      </c>
      <c r="CS329" s="785">
        <f t="shared" si="428"/>
        <v>0.04</v>
      </c>
      <c r="CT329" s="785">
        <f t="shared" si="428"/>
        <v>0</v>
      </c>
      <c r="CU329" s="785">
        <f t="shared" si="428"/>
        <v>0</v>
      </c>
      <c r="CV329" s="785">
        <f t="shared" si="428"/>
        <v>0</v>
      </c>
      <c r="CW329" s="785">
        <f t="shared" si="428"/>
        <v>0</v>
      </c>
      <c r="CX329" s="785">
        <f t="shared" si="428"/>
        <v>0</v>
      </c>
      <c r="CY329" s="785">
        <f t="shared" si="428"/>
        <v>0</v>
      </c>
      <c r="CZ329" s="785">
        <f t="shared" si="428"/>
        <v>3.19</v>
      </c>
      <c r="DA329" s="785">
        <f t="shared" si="428"/>
        <v>0</v>
      </c>
      <c r="DB329" s="785">
        <f t="shared" si="428"/>
        <v>0</v>
      </c>
      <c r="DC329" s="785">
        <f t="shared" si="428"/>
        <v>0.19</v>
      </c>
      <c r="DD329" s="785">
        <f t="shared" si="428"/>
        <v>0</v>
      </c>
      <c r="DE329" s="785">
        <f t="shared" si="428"/>
        <v>0</v>
      </c>
      <c r="DF329" s="785">
        <f t="shared" si="428"/>
        <v>2.88</v>
      </c>
      <c r="DG329" s="785">
        <f t="shared" si="428"/>
        <v>0</v>
      </c>
      <c r="DH329" s="785">
        <f t="shared" si="428"/>
        <v>0</v>
      </c>
      <c r="DI329" s="785">
        <f t="shared" si="428"/>
        <v>0</v>
      </c>
      <c r="DJ329" s="785">
        <f t="shared" si="428"/>
        <v>0</v>
      </c>
      <c r="DK329" s="785">
        <f t="shared" si="428"/>
        <v>0</v>
      </c>
      <c r="DL329" s="785">
        <f t="shared" si="428"/>
        <v>0</v>
      </c>
      <c r="DM329" s="785">
        <f t="shared" si="428"/>
        <v>1.8</v>
      </c>
      <c r="DN329" s="785">
        <f t="shared" si="428"/>
        <v>0</v>
      </c>
      <c r="DO329" s="785">
        <f t="shared" si="428"/>
        <v>0</v>
      </c>
      <c r="DP329" s="785">
        <f t="shared" si="428"/>
        <v>0</v>
      </c>
      <c r="DQ329" s="785">
        <f t="shared" si="428"/>
        <v>0</v>
      </c>
      <c r="DR329" s="785">
        <f t="shared" si="428"/>
        <v>0.45</v>
      </c>
      <c r="DS329" s="785">
        <f t="shared" si="428"/>
        <v>0</v>
      </c>
      <c r="DT329" s="785">
        <f t="shared" si="428"/>
        <v>0</v>
      </c>
      <c r="DU329" s="785">
        <f t="shared" si="428"/>
        <v>0</v>
      </c>
      <c r="DV329" s="785">
        <f t="shared" si="428"/>
        <v>0</v>
      </c>
      <c r="DW329" s="785">
        <f t="shared" si="428"/>
        <v>0</v>
      </c>
      <c r="DX329" s="785">
        <f t="shared" si="428"/>
        <v>0</v>
      </c>
      <c r="DY329" s="785">
        <f t="shared" si="428"/>
        <v>0</v>
      </c>
      <c r="DZ329" s="785">
        <f t="shared" si="428"/>
        <v>0</v>
      </c>
      <c r="EA329" s="785">
        <f t="shared" si="428"/>
        <v>0</v>
      </c>
      <c r="EB329" s="785">
        <f t="shared" si="428"/>
        <v>2.9</v>
      </c>
      <c r="EC329" s="785">
        <f t="shared" si="428"/>
        <v>0</v>
      </c>
      <c r="ED329" s="785">
        <f t="shared" si="428"/>
        <v>0</v>
      </c>
      <c r="EE329" s="785">
        <f t="shared" si="428"/>
        <v>0</v>
      </c>
      <c r="EF329" s="785">
        <f t="shared" si="428"/>
        <v>0</v>
      </c>
      <c r="EG329" s="785">
        <f t="shared" si="428"/>
        <v>0</v>
      </c>
      <c r="EH329" s="785">
        <f t="shared" si="428"/>
        <v>0</v>
      </c>
      <c r="EI329" s="785">
        <f t="shared" ref="EI329:EX329" si="429">EI103*EI338</f>
        <v>0</v>
      </c>
      <c r="EJ329" s="785">
        <f t="shared" si="429"/>
        <v>0</v>
      </c>
      <c r="EK329" s="785">
        <f t="shared" si="429"/>
        <v>0</v>
      </c>
      <c r="EL329" s="785">
        <f t="shared" si="429"/>
        <v>0</v>
      </c>
      <c r="EM329" s="785">
        <f t="shared" si="429"/>
        <v>0</v>
      </c>
      <c r="EN329" s="785">
        <f t="shared" si="429"/>
        <v>0</v>
      </c>
      <c r="EO329" s="785">
        <f t="shared" si="429"/>
        <v>0</v>
      </c>
      <c r="EP329" s="785">
        <f t="shared" si="429"/>
        <v>0</v>
      </c>
      <c r="EQ329" s="785">
        <f t="shared" si="429"/>
        <v>0</v>
      </c>
      <c r="ER329" s="785">
        <f t="shared" si="429"/>
        <v>0</v>
      </c>
      <c r="ES329" s="785">
        <f t="shared" si="429"/>
        <v>0</v>
      </c>
      <c r="ET329" s="785">
        <f t="shared" si="429"/>
        <v>0</v>
      </c>
      <c r="EU329" s="785">
        <f t="shared" si="429"/>
        <v>0</v>
      </c>
      <c r="EV329" s="785">
        <f t="shared" si="429"/>
        <v>1.3</v>
      </c>
      <c r="EW329" s="785">
        <f t="shared" si="429"/>
        <v>4.55</v>
      </c>
      <c r="EX329" s="785">
        <f t="shared" si="429"/>
        <v>0</v>
      </c>
      <c r="EY329" s="277">
        <f t="shared" si="423"/>
        <v>165.44</v>
      </c>
      <c r="EZ329" s="788"/>
      <c r="FA329" s="788"/>
      <c r="FB329" s="788"/>
      <c r="FC329" s="788"/>
      <c r="FD329" s="788"/>
      <c r="FE329" s="788"/>
      <c r="FF329" s="788"/>
      <c r="FG329" s="788"/>
      <c r="FH329" s="788"/>
      <c r="FI329" s="788"/>
      <c r="FJ329" s="788"/>
      <c r="FK329" s="788"/>
      <c r="FL329" s="787">
        <v>3</v>
      </c>
    </row>
    <row r="330" spans="1:168" ht="15.6" x14ac:dyDescent="0.3">
      <c r="A330" s="260"/>
      <c r="B330" s="713"/>
      <c r="C330" s="747"/>
      <c r="D330" s="1279"/>
      <c r="E330" s="1280"/>
      <c r="F330" s="716"/>
      <c r="G330" s="716"/>
      <c r="H330" s="788"/>
      <c r="I330" s="1245"/>
      <c r="J330" s="785">
        <f>J133*J338</f>
        <v>0</v>
      </c>
      <c r="K330" s="785">
        <f t="shared" ref="K330:BV330" si="430">K133*K338</f>
        <v>0</v>
      </c>
      <c r="L330" s="785">
        <f t="shared" si="430"/>
        <v>0</v>
      </c>
      <c r="M330" s="785">
        <f t="shared" si="430"/>
        <v>0</v>
      </c>
      <c r="N330" s="785">
        <f t="shared" si="430"/>
        <v>0</v>
      </c>
      <c r="O330" s="785">
        <f t="shared" si="430"/>
        <v>0</v>
      </c>
      <c r="P330" s="785">
        <f t="shared" si="430"/>
        <v>0</v>
      </c>
      <c r="Q330" s="785">
        <f t="shared" si="430"/>
        <v>0</v>
      </c>
      <c r="R330" s="785">
        <f t="shared" si="430"/>
        <v>0</v>
      </c>
      <c r="S330" s="785">
        <f t="shared" si="430"/>
        <v>52.52</v>
      </c>
      <c r="T330" s="785">
        <f t="shared" si="430"/>
        <v>0</v>
      </c>
      <c r="U330" s="785">
        <f t="shared" si="430"/>
        <v>9.9</v>
      </c>
      <c r="V330" s="785">
        <f t="shared" si="430"/>
        <v>17.93</v>
      </c>
      <c r="W330" s="785">
        <f t="shared" si="430"/>
        <v>0</v>
      </c>
      <c r="X330" s="785">
        <f t="shared" si="430"/>
        <v>0</v>
      </c>
      <c r="Y330" s="785">
        <f t="shared" si="430"/>
        <v>1.17</v>
      </c>
      <c r="Z330" s="785">
        <f t="shared" si="430"/>
        <v>0</v>
      </c>
      <c r="AA330" s="785">
        <f t="shared" si="430"/>
        <v>0</v>
      </c>
      <c r="AB330" s="785">
        <f t="shared" si="430"/>
        <v>0</v>
      </c>
      <c r="AC330" s="785">
        <f t="shared" si="430"/>
        <v>0</v>
      </c>
      <c r="AD330" s="785">
        <f t="shared" si="430"/>
        <v>0</v>
      </c>
      <c r="AE330" s="785">
        <f t="shared" si="430"/>
        <v>0</v>
      </c>
      <c r="AF330" s="785">
        <f t="shared" si="430"/>
        <v>3.14</v>
      </c>
      <c r="AG330" s="785">
        <f t="shared" si="430"/>
        <v>0</v>
      </c>
      <c r="AH330" s="785">
        <f t="shared" si="430"/>
        <v>13.55</v>
      </c>
      <c r="AI330" s="785">
        <f t="shared" si="430"/>
        <v>0</v>
      </c>
      <c r="AJ330" s="785">
        <f t="shared" si="430"/>
        <v>0</v>
      </c>
      <c r="AK330" s="785">
        <f t="shared" si="430"/>
        <v>1.49</v>
      </c>
      <c r="AL330" s="785">
        <f t="shared" si="430"/>
        <v>0</v>
      </c>
      <c r="AM330" s="785">
        <f t="shared" si="430"/>
        <v>0</v>
      </c>
      <c r="AN330" s="785">
        <f t="shared" si="430"/>
        <v>0</v>
      </c>
      <c r="AO330" s="785">
        <f t="shared" si="430"/>
        <v>0</v>
      </c>
      <c r="AP330" s="785">
        <f t="shared" si="430"/>
        <v>0</v>
      </c>
      <c r="AQ330" s="785">
        <f t="shared" si="430"/>
        <v>4.12</v>
      </c>
      <c r="AR330" s="785">
        <f t="shared" si="430"/>
        <v>0</v>
      </c>
      <c r="AS330" s="785">
        <f t="shared" si="430"/>
        <v>0</v>
      </c>
      <c r="AT330" s="785">
        <f t="shared" si="430"/>
        <v>2.1</v>
      </c>
      <c r="AU330" s="785">
        <f t="shared" si="430"/>
        <v>0</v>
      </c>
      <c r="AV330" s="785">
        <f t="shared" si="430"/>
        <v>0</v>
      </c>
      <c r="AW330" s="785">
        <f t="shared" si="430"/>
        <v>0</v>
      </c>
      <c r="AX330" s="785">
        <f t="shared" si="430"/>
        <v>0</v>
      </c>
      <c r="AY330" s="785">
        <f t="shared" si="430"/>
        <v>0</v>
      </c>
      <c r="AZ330" s="785">
        <f t="shared" si="430"/>
        <v>0</v>
      </c>
      <c r="BA330" s="785">
        <f t="shared" si="430"/>
        <v>0</v>
      </c>
      <c r="BB330" s="785">
        <f t="shared" si="430"/>
        <v>0</v>
      </c>
      <c r="BC330" s="785">
        <f t="shared" si="430"/>
        <v>0</v>
      </c>
      <c r="BD330" s="785">
        <f t="shared" si="430"/>
        <v>0</v>
      </c>
      <c r="BE330" s="785">
        <f t="shared" si="430"/>
        <v>0</v>
      </c>
      <c r="BF330" s="785">
        <f t="shared" si="430"/>
        <v>0</v>
      </c>
      <c r="BG330" s="785">
        <f t="shared" si="430"/>
        <v>0</v>
      </c>
      <c r="BH330" s="785">
        <f t="shared" si="430"/>
        <v>0</v>
      </c>
      <c r="BI330" s="785">
        <f t="shared" si="430"/>
        <v>0</v>
      </c>
      <c r="BJ330" s="785">
        <f t="shared" si="430"/>
        <v>0</v>
      </c>
      <c r="BK330" s="785">
        <f t="shared" si="430"/>
        <v>0</v>
      </c>
      <c r="BL330" s="785">
        <f t="shared" si="430"/>
        <v>0</v>
      </c>
      <c r="BM330" s="785">
        <f t="shared" si="430"/>
        <v>0</v>
      </c>
      <c r="BN330" s="785">
        <f t="shared" si="430"/>
        <v>0</v>
      </c>
      <c r="BO330" s="785">
        <f t="shared" si="430"/>
        <v>0</v>
      </c>
      <c r="BP330" s="785">
        <f t="shared" si="430"/>
        <v>0</v>
      </c>
      <c r="BQ330" s="785">
        <f t="shared" si="430"/>
        <v>0</v>
      </c>
      <c r="BR330" s="785">
        <f t="shared" si="430"/>
        <v>0</v>
      </c>
      <c r="BS330" s="785">
        <f t="shared" si="430"/>
        <v>0</v>
      </c>
      <c r="BT330" s="785">
        <f t="shared" si="430"/>
        <v>0</v>
      </c>
      <c r="BU330" s="785">
        <f t="shared" si="430"/>
        <v>0</v>
      </c>
      <c r="BV330" s="785">
        <f t="shared" si="430"/>
        <v>0</v>
      </c>
      <c r="BW330" s="785">
        <f t="shared" ref="BW330:EH330" si="431">BW133*BW338</f>
        <v>0</v>
      </c>
      <c r="BX330" s="785">
        <f t="shared" si="431"/>
        <v>0</v>
      </c>
      <c r="BY330" s="785">
        <f t="shared" si="431"/>
        <v>0</v>
      </c>
      <c r="BZ330" s="785">
        <f t="shared" si="431"/>
        <v>0</v>
      </c>
      <c r="CA330" s="785">
        <f t="shared" si="431"/>
        <v>2.4</v>
      </c>
      <c r="CB330" s="785">
        <f t="shared" si="431"/>
        <v>0.49</v>
      </c>
      <c r="CC330" s="785">
        <f t="shared" si="431"/>
        <v>0</v>
      </c>
      <c r="CD330" s="785">
        <f t="shared" si="431"/>
        <v>0</v>
      </c>
      <c r="CE330" s="785">
        <f t="shared" si="431"/>
        <v>0</v>
      </c>
      <c r="CF330" s="785">
        <f t="shared" si="431"/>
        <v>2.23</v>
      </c>
      <c r="CG330" s="785">
        <f t="shared" si="431"/>
        <v>0</v>
      </c>
      <c r="CH330" s="785">
        <f t="shared" si="431"/>
        <v>0</v>
      </c>
      <c r="CI330" s="785">
        <f t="shared" si="431"/>
        <v>0</v>
      </c>
      <c r="CJ330" s="785">
        <f t="shared" si="431"/>
        <v>0</v>
      </c>
      <c r="CK330" s="785">
        <f t="shared" si="431"/>
        <v>0</v>
      </c>
      <c r="CL330" s="785">
        <f t="shared" si="431"/>
        <v>0</v>
      </c>
      <c r="CM330" s="785">
        <f t="shared" si="431"/>
        <v>0</v>
      </c>
      <c r="CN330" s="785">
        <f t="shared" si="431"/>
        <v>0</v>
      </c>
      <c r="CO330" s="785">
        <f t="shared" si="431"/>
        <v>0</v>
      </c>
      <c r="CP330" s="785">
        <f t="shared" si="431"/>
        <v>0</v>
      </c>
      <c r="CQ330" s="785">
        <f t="shared" si="431"/>
        <v>0.11</v>
      </c>
      <c r="CR330" s="785">
        <f t="shared" si="431"/>
        <v>0</v>
      </c>
      <c r="CS330" s="785">
        <f t="shared" si="431"/>
        <v>0</v>
      </c>
      <c r="CT330" s="785">
        <f t="shared" si="431"/>
        <v>2.0099999999999998</v>
      </c>
      <c r="CU330" s="785">
        <f t="shared" si="431"/>
        <v>0</v>
      </c>
      <c r="CV330" s="785">
        <f t="shared" si="431"/>
        <v>0</v>
      </c>
      <c r="CW330" s="785">
        <f t="shared" si="431"/>
        <v>0</v>
      </c>
      <c r="CX330" s="785">
        <f t="shared" si="431"/>
        <v>0</v>
      </c>
      <c r="CY330" s="785">
        <f t="shared" si="431"/>
        <v>0</v>
      </c>
      <c r="CZ330" s="785">
        <f t="shared" si="431"/>
        <v>4.38</v>
      </c>
      <c r="DA330" s="785">
        <f t="shared" si="431"/>
        <v>0</v>
      </c>
      <c r="DB330" s="785">
        <f t="shared" si="431"/>
        <v>0</v>
      </c>
      <c r="DC330" s="785">
        <f t="shared" si="431"/>
        <v>0.03</v>
      </c>
      <c r="DD330" s="785">
        <f t="shared" si="431"/>
        <v>0</v>
      </c>
      <c r="DE330" s="785">
        <f t="shared" si="431"/>
        <v>2.6</v>
      </c>
      <c r="DF330" s="785">
        <f t="shared" si="431"/>
        <v>2.9</v>
      </c>
      <c r="DG330" s="785">
        <f t="shared" si="431"/>
        <v>0</v>
      </c>
      <c r="DH330" s="785">
        <f t="shared" si="431"/>
        <v>0</v>
      </c>
      <c r="DI330" s="785">
        <f t="shared" si="431"/>
        <v>0</v>
      </c>
      <c r="DJ330" s="785">
        <f t="shared" si="431"/>
        <v>0</v>
      </c>
      <c r="DK330" s="785">
        <f t="shared" si="431"/>
        <v>0</v>
      </c>
      <c r="DL330" s="785">
        <f t="shared" si="431"/>
        <v>0</v>
      </c>
      <c r="DM330" s="785">
        <f t="shared" si="431"/>
        <v>0</v>
      </c>
      <c r="DN330" s="785">
        <f t="shared" si="431"/>
        <v>0</v>
      </c>
      <c r="DO330" s="785">
        <f t="shared" si="431"/>
        <v>0</v>
      </c>
      <c r="DP330" s="785">
        <f t="shared" si="431"/>
        <v>0</v>
      </c>
      <c r="DQ330" s="785">
        <f t="shared" si="431"/>
        <v>0</v>
      </c>
      <c r="DR330" s="785">
        <f t="shared" si="431"/>
        <v>0.45</v>
      </c>
      <c r="DS330" s="785">
        <f t="shared" si="431"/>
        <v>0</v>
      </c>
      <c r="DT330" s="785">
        <f t="shared" si="431"/>
        <v>0</v>
      </c>
      <c r="DU330" s="785">
        <f t="shared" si="431"/>
        <v>0</v>
      </c>
      <c r="DV330" s="785">
        <f t="shared" si="431"/>
        <v>0</v>
      </c>
      <c r="DW330" s="785">
        <f t="shared" si="431"/>
        <v>0</v>
      </c>
      <c r="DX330" s="785">
        <f t="shared" si="431"/>
        <v>0</v>
      </c>
      <c r="DY330" s="785">
        <f t="shared" si="431"/>
        <v>0</v>
      </c>
      <c r="DZ330" s="785">
        <f t="shared" si="431"/>
        <v>0</v>
      </c>
      <c r="EA330" s="785">
        <f t="shared" si="431"/>
        <v>75</v>
      </c>
      <c r="EB330" s="785">
        <f t="shared" si="431"/>
        <v>2.9</v>
      </c>
      <c r="EC330" s="785">
        <f t="shared" si="431"/>
        <v>0</v>
      </c>
      <c r="ED330" s="785">
        <f t="shared" si="431"/>
        <v>0</v>
      </c>
      <c r="EE330" s="785">
        <f t="shared" si="431"/>
        <v>0</v>
      </c>
      <c r="EF330" s="785">
        <f t="shared" si="431"/>
        <v>0</v>
      </c>
      <c r="EG330" s="785">
        <f t="shared" si="431"/>
        <v>0</v>
      </c>
      <c r="EH330" s="785">
        <f t="shared" si="431"/>
        <v>0</v>
      </c>
      <c r="EI330" s="785">
        <f t="shared" ref="EI330:EX330" si="432">EI133*EI338</f>
        <v>0</v>
      </c>
      <c r="EJ330" s="785">
        <f t="shared" si="432"/>
        <v>0</v>
      </c>
      <c r="EK330" s="785">
        <f t="shared" si="432"/>
        <v>0</v>
      </c>
      <c r="EL330" s="785">
        <f t="shared" si="432"/>
        <v>0</v>
      </c>
      <c r="EM330" s="785">
        <f t="shared" si="432"/>
        <v>0</v>
      </c>
      <c r="EN330" s="785">
        <f t="shared" si="432"/>
        <v>0</v>
      </c>
      <c r="EO330" s="785">
        <f t="shared" si="432"/>
        <v>0</v>
      </c>
      <c r="EP330" s="785">
        <f t="shared" si="432"/>
        <v>0</v>
      </c>
      <c r="EQ330" s="785">
        <f t="shared" si="432"/>
        <v>0</v>
      </c>
      <c r="ER330" s="785">
        <f t="shared" si="432"/>
        <v>0</v>
      </c>
      <c r="ES330" s="785">
        <f t="shared" si="432"/>
        <v>0</v>
      </c>
      <c r="ET330" s="785">
        <f t="shared" si="432"/>
        <v>0</v>
      </c>
      <c r="EU330" s="785">
        <f t="shared" si="432"/>
        <v>0</v>
      </c>
      <c r="EV330" s="785">
        <f t="shared" si="432"/>
        <v>1.3</v>
      </c>
      <c r="EW330" s="785">
        <f t="shared" si="432"/>
        <v>4.55</v>
      </c>
      <c r="EX330" s="785">
        <f t="shared" si="432"/>
        <v>0</v>
      </c>
      <c r="EY330" s="277">
        <f t="shared" si="423"/>
        <v>207.27</v>
      </c>
      <c r="EZ330" s="788"/>
      <c r="FA330" s="788"/>
      <c r="FB330" s="788"/>
      <c r="FC330" s="788"/>
      <c r="FD330" s="788"/>
      <c r="FE330" s="788"/>
      <c r="FF330" s="788"/>
      <c r="FG330" s="788"/>
      <c r="FH330" s="788"/>
      <c r="FI330" s="788"/>
      <c r="FJ330" s="788"/>
      <c r="FK330" s="788"/>
      <c r="FL330" s="788">
        <v>4</v>
      </c>
    </row>
    <row r="331" spans="1:168" ht="15.6" x14ac:dyDescent="0.3">
      <c r="A331" s="260"/>
      <c r="B331" s="713"/>
      <c r="C331" s="747"/>
      <c r="D331" s="747"/>
      <c r="E331" s="717"/>
      <c r="F331" s="716"/>
      <c r="G331" s="716"/>
      <c r="H331" s="788"/>
      <c r="I331" s="1245"/>
      <c r="J331" s="785">
        <f>J163*J338</f>
        <v>0</v>
      </c>
      <c r="K331" s="785">
        <f t="shared" ref="K331:BV331" si="433">K163*K338</f>
        <v>14.67</v>
      </c>
      <c r="L331" s="785">
        <f t="shared" si="433"/>
        <v>0</v>
      </c>
      <c r="M331" s="785">
        <f t="shared" si="433"/>
        <v>0</v>
      </c>
      <c r="N331" s="785">
        <f t="shared" si="433"/>
        <v>0</v>
      </c>
      <c r="O331" s="785">
        <f t="shared" si="433"/>
        <v>0</v>
      </c>
      <c r="P331" s="785">
        <f t="shared" si="433"/>
        <v>0</v>
      </c>
      <c r="Q331" s="785">
        <f t="shared" si="433"/>
        <v>0</v>
      </c>
      <c r="R331" s="785">
        <f t="shared" si="433"/>
        <v>0</v>
      </c>
      <c r="S331" s="785">
        <f t="shared" si="433"/>
        <v>0</v>
      </c>
      <c r="T331" s="785">
        <f t="shared" si="433"/>
        <v>0</v>
      </c>
      <c r="U331" s="785">
        <f t="shared" si="433"/>
        <v>10.24</v>
      </c>
      <c r="V331" s="785">
        <f t="shared" si="433"/>
        <v>12.78</v>
      </c>
      <c r="W331" s="785">
        <f t="shared" si="433"/>
        <v>11.5</v>
      </c>
      <c r="X331" s="785">
        <f t="shared" si="433"/>
        <v>0</v>
      </c>
      <c r="Y331" s="785">
        <f t="shared" si="433"/>
        <v>1.17</v>
      </c>
      <c r="Z331" s="785">
        <f t="shared" si="433"/>
        <v>0</v>
      </c>
      <c r="AA331" s="785">
        <f t="shared" si="433"/>
        <v>0</v>
      </c>
      <c r="AB331" s="785">
        <f t="shared" si="433"/>
        <v>0</v>
      </c>
      <c r="AC331" s="785">
        <f t="shared" si="433"/>
        <v>0</v>
      </c>
      <c r="AD331" s="785">
        <f t="shared" si="433"/>
        <v>0</v>
      </c>
      <c r="AE331" s="785">
        <f t="shared" si="433"/>
        <v>1.37</v>
      </c>
      <c r="AF331" s="785">
        <f t="shared" si="433"/>
        <v>0</v>
      </c>
      <c r="AG331" s="785">
        <f t="shared" si="433"/>
        <v>0</v>
      </c>
      <c r="AH331" s="785">
        <f t="shared" si="433"/>
        <v>2</v>
      </c>
      <c r="AI331" s="785">
        <f t="shared" si="433"/>
        <v>0</v>
      </c>
      <c r="AJ331" s="785">
        <f t="shared" si="433"/>
        <v>0</v>
      </c>
      <c r="AK331" s="785">
        <f t="shared" si="433"/>
        <v>0.9</v>
      </c>
      <c r="AL331" s="785">
        <f t="shared" si="433"/>
        <v>0</v>
      </c>
      <c r="AM331" s="785">
        <f t="shared" si="433"/>
        <v>0</v>
      </c>
      <c r="AN331" s="785">
        <f t="shared" si="433"/>
        <v>0</v>
      </c>
      <c r="AO331" s="785">
        <f t="shared" si="433"/>
        <v>4.28</v>
      </c>
      <c r="AP331" s="785">
        <f t="shared" si="433"/>
        <v>0</v>
      </c>
      <c r="AQ331" s="785">
        <f t="shared" si="433"/>
        <v>1</v>
      </c>
      <c r="AR331" s="785">
        <f t="shared" si="433"/>
        <v>0</v>
      </c>
      <c r="AS331" s="785">
        <f t="shared" si="433"/>
        <v>0</v>
      </c>
      <c r="AT331" s="785">
        <f t="shared" si="433"/>
        <v>0</v>
      </c>
      <c r="AU331" s="785">
        <f t="shared" si="433"/>
        <v>0.6</v>
      </c>
      <c r="AV331" s="785">
        <f t="shared" si="433"/>
        <v>0</v>
      </c>
      <c r="AW331" s="785">
        <f t="shared" si="433"/>
        <v>0</v>
      </c>
      <c r="AX331" s="785">
        <f t="shared" si="433"/>
        <v>1.95</v>
      </c>
      <c r="AY331" s="785">
        <f t="shared" si="433"/>
        <v>0</v>
      </c>
      <c r="AZ331" s="785">
        <f t="shared" si="433"/>
        <v>0</v>
      </c>
      <c r="BA331" s="785">
        <f t="shared" si="433"/>
        <v>0</v>
      </c>
      <c r="BB331" s="785">
        <f t="shared" si="433"/>
        <v>0</v>
      </c>
      <c r="BC331" s="785">
        <f t="shared" si="433"/>
        <v>0</v>
      </c>
      <c r="BD331" s="785">
        <f t="shared" si="433"/>
        <v>0</v>
      </c>
      <c r="BE331" s="785">
        <f t="shared" si="433"/>
        <v>0</v>
      </c>
      <c r="BF331" s="785">
        <f t="shared" si="433"/>
        <v>0</v>
      </c>
      <c r="BG331" s="785">
        <f t="shared" si="433"/>
        <v>0</v>
      </c>
      <c r="BH331" s="785">
        <f t="shared" si="433"/>
        <v>0</v>
      </c>
      <c r="BI331" s="785">
        <f t="shared" si="433"/>
        <v>0</v>
      </c>
      <c r="BJ331" s="785">
        <f t="shared" si="433"/>
        <v>0</v>
      </c>
      <c r="BK331" s="785">
        <f t="shared" si="433"/>
        <v>0</v>
      </c>
      <c r="BL331" s="785">
        <f t="shared" si="433"/>
        <v>0</v>
      </c>
      <c r="BM331" s="785">
        <f t="shared" si="433"/>
        <v>0</v>
      </c>
      <c r="BN331" s="785">
        <f t="shared" si="433"/>
        <v>0</v>
      </c>
      <c r="BO331" s="785">
        <f t="shared" si="433"/>
        <v>0</v>
      </c>
      <c r="BP331" s="785">
        <f t="shared" si="433"/>
        <v>0</v>
      </c>
      <c r="BQ331" s="785">
        <f t="shared" si="433"/>
        <v>0</v>
      </c>
      <c r="BR331" s="785">
        <f t="shared" si="433"/>
        <v>0</v>
      </c>
      <c r="BS331" s="785">
        <f t="shared" si="433"/>
        <v>0</v>
      </c>
      <c r="BT331" s="785">
        <f t="shared" si="433"/>
        <v>0</v>
      </c>
      <c r="BU331" s="785">
        <f t="shared" si="433"/>
        <v>0</v>
      </c>
      <c r="BV331" s="785">
        <f t="shared" si="433"/>
        <v>0</v>
      </c>
      <c r="BW331" s="785">
        <f t="shared" ref="BW331:EH331" si="434">BW163*BW338</f>
        <v>0</v>
      </c>
      <c r="BX331" s="785">
        <f t="shared" si="434"/>
        <v>0</v>
      </c>
      <c r="BY331" s="785">
        <f t="shared" si="434"/>
        <v>0</v>
      </c>
      <c r="BZ331" s="785">
        <f t="shared" si="434"/>
        <v>0</v>
      </c>
      <c r="CA331" s="785">
        <f t="shared" si="434"/>
        <v>0.84</v>
      </c>
      <c r="CB331" s="785">
        <f t="shared" si="434"/>
        <v>5.29</v>
      </c>
      <c r="CC331" s="785">
        <f t="shared" si="434"/>
        <v>0</v>
      </c>
      <c r="CD331" s="785">
        <f t="shared" si="434"/>
        <v>0</v>
      </c>
      <c r="CE331" s="785">
        <f t="shared" si="434"/>
        <v>0</v>
      </c>
      <c r="CF331" s="785">
        <f t="shared" si="434"/>
        <v>1.27</v>
      </c>
      <c r="CG331" s="785">
        <f t="shared" si="434"/>
        <v>0</v>
      </c>
      <c r="CH331" s="785">
        <f t="shared" si="434"/>
        <v>0</v>
      </c>
      <c r="CI331" s="785">
        <f t="shared" si="434"/>
        <v>0</v>
      </c>
      <c r="CJ331" s="785">
        <f t="shared" si="434"/>
        <v>0</v>
      </c>
      <c r="CK331" s="785">
        <f t="shared" si="434"/>
        <v>0</v>
      </c>
      <c r="CL331" s="785">
        <f t="shared" si="434"/>
        <v>0</v>
      </c>
      <c r="CM331" s="785">
        <f t="shared" si="434"/>
        <v>0</v>
      </c>
      <c r="CN331" s="785">
        <f t="shared" si="434"/>
        <v>0</v>
      </c>
      <c r="CO331" s="785">
        <f t="shared" si="434"/>
        <v>0</v>
      </c>
      <c r="CP331" s="785">
        <f t="shared" si="434"/>
        <v>0</v>
      </c>
      <c r="CQ331" s="785">
        <f t="shared" si="434"/>
        <v>0.06</v>
      </c>
      <c r="CR331" s="785">
        <f t="shared" si="434"/>
        <v>0</v>
      </c>
      <c r="CS331" s="785">
        <f t="shared" si="434"/>
        <v>0</v>
      </c>
      <c r="CT331" s="785">
        <f t="shared" si="434"/>
        <v>0</v>
      </c>
      <c r="CU331" s="785">
        <f t="shared" si="434"/>
        <v>0</v>
      </c>
      <c r="CV331" s="785">
        <f t="shared" si="434"/>
        <v>0</v>
      </c>
      <c r="CW331" s="785">
        <f t="shared" si="434"/>
        <v>0</v>
      </c>
      <c r="CX331" s="785">
        <f t="shared" si="434"/>
        <v>0</v>
      </c>
      <c r="CY331" s="785">
        <f t="shared" si="434"/>
        <v>0</v>
      </c>
      <c r="CZ331" s="785">
        <f t="shared" si="434"/>
        <v>2.96</v>
      </c>
      <c r="DA331" s="785">
        <f t="shared" si="434"/>
        <v>0</v>
      </c>
      <c r="DB331" s="785">
        <f t="shared" si="434"/>
        <v>0</v>
      </c>
      <c r="DC331" s="785">
        <f t="shared" si="434"/>
        <v>0.19</v>
      </c>
      <c r="DD331" s="785">
        <f t="shared" si="434"/>
        <v>0</v>
      </c>
      <c r="DE331" s="785">
        <f t="shared" si="434"/>
        <v>2.6</v>
      </c>
      <c r="DF331" s="785">
        <f t="shared" si="434"/>
        <v>1.61</v>
      </c>
      <c r="DG331" s="785">
        <f t="shared" si="434"/>
        <v>0</v>
      </c>
      <c r="DH331" s="785">
        <f t="shared" si="434"/>
        <v>0</v>
      </c>
      <c r="DI331" s="785">
        <f t="shared" si="434"/>
        <v>0</v>
      </c>
      <c r="DJ331" s="785">
        <f t="shared" si="434"/>
        <v>0</v>
      </c>
      <c r="DK331" s="785">
        <f t="shared" si="434"/>
        <v>0</v>
      </c>
      <c r="DL331" s="785">
        <f t="shared" si="434"/>
        <v>0</v>
      </c>
      <c r="DM331" s="785">
        <f t="shared" si="434"/>
        <v>0</v>
      </c>
      <c r="DN331" s="785">
        <f t="shared" si="434"/>
        <v>0</v>
      </c>
      <c r="DO331" s="785">
        <f t="shared" si="434"/>
        <v>0</v>
      </c>
      <c r="DP331" s="785">
        <f t="shared" si="434"/>
        <v>0</v>
      </c>
      <c r="DQ331" s="785">
        <f t="shared" si="434"/>
        <v>0</v>
      </c>
      <c r="DR331" s="785">
        <f t="shared" si="434"/>
        <v>0.45</v>
      </c>
      <c r="DS331" s="785">
        <f t="shared" si="434"/>
        <v>0</v>
      </c>
      <c r="DT331" s="785">
        <f t="shared" si="434"/>
        <v>0</v>
      </c>
      <c r="DU331" s="785">
        <f t="shared" si="434"/>
        <v>0</v>
      </c>
      <c r="DV331" s="785">
        <f t="shared" si="434"/>
        <v>0</v>
      </c>
      <c r="DW331" s="785">
        <f t="shared" si="434"/>
        <v>0</v>
      </c>
      <c r="DX331" s="785">
        <f t="shared" si="434"/>
        <v>0</v>
      </c>
      <c r="DY331" s="785">
        <f t="shared" si="434"/>
        <v>0</v>
      </c>
      <c r="DZ331" s="785">
        <f t="shared" si="434"/>
        <v>0</v>
      </c>
      <c r="EA331" s="785">
        <f t="shared" si="434"/>
        <v>0</v>
      </c>
      <c r="EB331" s="785">
        <f t="shared" si="434"/>
        <v>2.9</v>
      </c>
      <c r="EC331" s="785">
        <f t="shared" si="434"/>
        <v>0</v>
      </c>
      <c r="ED331" s="785">
        <f t="shared" si="434"/>
        <v>0</v>
      </c>
      <c r="EE331" s="785">
        <f t="shared" si="434"/>
        <v>0</v>
      </c>
      <c r="EF331" s="785">
        <f t="shared" si="434"/>
        <v>0</v>
      </c>
      <c r="EG331" s="785">
        <f t="shared" si="434"/>
        <v>0</v>
      </c>
      <c r="EH331" s="785">
        <f t="shared" si="434"/>
        <v>0</v>
      </c>
      <c r="EI331" s="785">
        <f t="shared" ref="EI331:EX331" si="435">EI163*EI338</f>
        <v>0</v>
      </c>
      <c r="EJ331" s="785">
        <f t="shared" si="435"/>
        <v>0</v>
      </c>
      <c r="EK331" s="785">
        <f t="shared" si="435"/>
        <v>0</v>
      </c>
      <c r="EL331" s="785">
        <f t="shared" si="435"/>
        <v>0</v>
      </c>
      <c r="EM331" s="785">
        <f t="shared" si="435"/>
        <v>0</v>
      </c>
      <c r="EN331" s="785">
        <f t="shared" si="435"/>
        <v>0</v>
      </c>
      <c r="EO331" s="785">
        <f t="shared" si="435"/>
        <v>0</v>
      </c>
      <c r="EP331" s="785">
        <f t="shared" si="435"/>
        <v>0</v>
      </c>
      <c r="EQ331" s="785">
        <f t="shared" si="435"/>
        <v>0</v>
      </c>
      <c r="ER331" s="785">
        <f t="shared" si="435"/>
        <v>0</v>
      </c>
      <c r="ES331" s="785">
        <f t="shared" si="435"/>
        <v>0</v>
      </c>
      <c r="ET331" s="785">
        <f t="shared" si="435"/>
        <v>0</v>
      </c>
      <c r="EU331" s="785">
        <f t="shared" si="435"/>
        <v>0</v>
      </c>
      <c r="EV331" s="785">
        <f t="shared" si="435"/>
        <v>1.3</v>
      </c>
      <c r="EW331" s="785">
        <f t="shared" si="435"/>
        <v>4.55</v>
      </c>
      <c r="EX331" s="785">
        <f t="shared" si="435"/>
        <v>0</v>
      </c>
      <c r="EY331" s="277">
        <f t="shared" si="423"/>
        <v>86.48</v>
      </c>
      <c r="EZ331" s="788"/>
      <c r="FA331" s="788"/>
      <c r="FB331" s="788"/>
      <c r="FC331" s="788"/>
      <c r="FD331" s="788"/>
      <c r="FE331" s="788"/>
      <c r="FF331" s="788"/>
      <c r="FG331" s="788"/>
      <c r="FH331" s="788"/>
      <c r="FI331" s="788"/>
      <c r="FJ331" s="788"/>
      <c r="FK331" s="788"/>
      <c r="FL331" s="787">
        <v>5</v>
      </c>
    </row>
    <row r="332" spans="1:168" x14ac:dyDescent="0.25">
      <c r="A332" s="260"/>
      <c r="B332" s="620"/>
      <c r="C332" s="748"/>
      <c r="D332" s="748"/>
      <c r="E332" s="276"/>
      <c r="F332" s="649"/>
      <c r="G332" s="649"/>
      <c r="H332" s="788"/>
      <c r="I332" s="1245"/>
      <c r="J332" s="785">
        <f>J193*J338</f>
        <v>0</v>
      </c>
      <c r="K332" s="785">
        <f t="shared" ref="K332:BV332" si="436">K193*K338</f>
        <v>0</v>
      </c>
      <c r="L332" s="785">
        <f t="shared" si="436"/>
        <v>0</v>
      </c>
      <c r="M332" s="785">
        <f t="shared" si="436"/>
        <v>27.2</v>
      </c>
      <c r="N332" s="785">
        <f t="shared" si="436"/>
        <v>0</v>
      </c>
      <c r="O332" s="785">
        <f t="shared" si="436"/>
        <v>0</v>
      </c>
      <c r="P332" s="785">
        <f t="shared" si="436"/>
        <v>0.3</v>
      </c>
      <c r="Q332" s="785">
        <f t="shared" si="436"/>
        <v>0</v>
      </c>
      <c r="R332" s="785">
        <f t="shared" si="436"/>
        <v>0</v>
      </c>
      <c r="S332" s="785">
        <f t="shared" si="436"/>
        <v>0</v>
      </c>
      <c r="T332" s="785">
        <f t="shared" si="436"/>
        <v>0</v>
      </c>
      <c r="U332" s="785">
        <f t="shared" si="436"/>
        <v>9.84</v>
      </c>
      <c r="V332" s="785">
        <f t="shared" si="436"/>
        <v>18.18</v>
      </c>
      <c r="W332" s="785">
        <f t="shared" si="436"/>
        <v>11.5</v>
      </c>
      <c r="X332" s="785">
        <f t="shared" si="436"/>
        <v>0</v>
      </c>
      <c r="Y332" s="785">
        <f t="shared" si="436"/>
        <v>2.75</v>
      </c>
      <c r="Z332" s="785">
        <f t="shared" si="436"/>
        <v>0</v>
      </c>
      <c r="AA332" s="785">
        <f t="shared" si="436"/>
        <v>0</v>
      </c>
      <c r="AB332" s="785">
        <f t="shared" si="436"/>
        <v>0</v>
      </c>
      <c r="AC332" s="785">
        <f t="shared" si="436"/>
        <v>0</v>
      </c>
      <c r="AD332" s="785">
        <f t="shared" si="436"/>
        <v>0</v>
      </c>
      <c r="AE332" s="785">
        <f t="shared" si="436"/>
        <v>0</v>
      </c>
      <c r="AF332" s="785">
        <f t="shared" si="436"/>
        <v>0</v>
      </c>
      <c r="AG332" s="785">
        <f t="shared" si="436"/>
        <v>0</v>
      </c>
      <c r="AH332" s="785">
        <f t="shared" si="436"/>
        <v>6.11</v>
      </c>
      <c r="AI332" s="785">
        <f t="shared" si="436"/>
        <v>0</v>
      </c>
      <c r="AJ332" s="785">
        <f t="shared" si="436"/>
        <v>0</v>
      </c>
      <c r="AK332" s="785">
        <f t="shared" si="436"/>
        <v>0.66</v>
      </c>
      <c r="AL332" s="785">
        <f t="shared" si="436"/>
        <v>4.32</v>
      </c>
      <c r="AM332" s="785">
        <f t="shared" si="436"/>
        <v>0</v>
      </c>
      <c r="AN332" s="785">
        <f t="shared" si="436"/>
        <v>0</v>
      </c>
      <c r="AO332" s="785">
        <f t="shared" si="436"/>
        <v>0</v>
      </c>
      <c r="AP332" s="785">
        <f t="shared" si="436"/>
        <v>0</v>
      </c>
      <c r="AQ332" s="785">
        <f t="shared" si="436"/>
        <v>1.1100000000000001</v>
      </c>
      <c r="AR332" s="785">
        <f t="shared" si="436"/>
        <v>0</v>
      </c>
      <c r="AS332" s="785">
        <f t="shared" si="436"/>
        <v>0</v>
      </c>
      <c r="AT332" s="785">
        <f t="shared" si="436"/>
        <v>0</v>
      </c>
      <c r="AU332" s="785">
        <f t="shared" si="436"/>
        <v>0</v>
      </c>
      <c r="AV332" s="785">
        <f t="shared" si="436"/>
        <v>0</v>
      </c>
      <c r="AW332" s="785">
        <f t="shared" si="436"/>
        <v>0</v>
      </c>
      <c r="AX332" s="785">
        <f t="shared" si="436"/>
        <v>0.44</v>
      </c>
      <c r="AY332" s="785">
        <f t="shared" si="436"/>
        <v>0</v>
      </c>
      <c r="AZ332" s="785">
        <f t="shared" si="436"/>
        <v>0</v>
      </c>
      <c r="BA332" s="785">
        <f t="shared" si="436"/>
        <v>0</v>
      </c>
      <c r="BB332" s="785">
        <f t="shared" si="436"/>
        <v>0</v>
      </c>
      <c r="BC332" s="785">
        <f t="shared" si="436"/>
        <v>0</v>
      </c>
      <c r="BD332" s="785">
        <f t="shared" si="436"/>
        <v>0</v>
      </c>
      <c r="BE332" s="785">
        <f t="shared" si="436"/>
        <v>0</v>
      </c>
      <c r="BF332" s="785">
        <f t="shared" si="436"/>
        <v>0</v>
      </c>
      <c r="BG332" s="785">
        <f t="shared" si="436"/>
        <v>0</v>
      </c>
      <c r="BH332" s="785">
        <f t="shared" si="436"/>
        <v>0</v>
      </c>
      <c r="BI332" s="785">
        <f t="shared" si="436"/>
        <v>0</v>
      </c>
      <c r="BJ332" s="785">
        <f t="shared" si="436"/>
        <v>0</v>
      </c>
      <c r="BK332" s="785">
        <f t="shared" si="436"/>
        <v>0</v>
      </c>
      <c r="BL332" s="785">
        <f t="shared" si="436"/>
        <v>0</v>
      </c>
      <c r="BM332" s="785">
        <f t="shared" si="436"/>
        <v>0</v>
      </c>
      <c r="BN332" s="785">
        <f t="shared" si="436"/>
        <v>0</v>
      </c>
      <c r="BO332" s="785">
        <f t="shared" si="436"/>
        <v>0</v>
      </c>
      <c r="BP332" s="785">
        <f t="shared" si="436"/>
        <v>0</v>
      </c>
      <c r="BQ332" s="785">
        <f t="shared" si="436"/>
        <v>0</v>
      </c>
      <c r="BR332" s="785">
        <f t="shared" si="436"/>
        <v>4.13</v>
      </c>
      <c r="BS332" s="785">
        <f t="shared" si="436"/>
        <v>7.0000000000000007E-2</v>
      </c>
      <c r="BT332" s="785">
        <f t="shared" si="436"/>
        <v>0</v>
      </c>
      <c r="BU332" s="785">
        <f t="shared" si="436"/>
        <v>1.24</v>
      </c>
      <c r="BV332" s="785">
        <f t="shared" si="436"/>
        <v>0</v>
      </c>
      <c r="BW332" s="785">
        <f t="shared" ref="BW332:EH332" si="437">BW193*BW338</f>
        <v>0</v>
      </c>
      <c r="BX332" s="785">
        <f t="shared" si="437"/>
        <v>0</v>
      </c>
      <c r="BY332" s="785">
        <f t="shared" si="437"/>
        <v>0</v>
      </c>
      <c r="BZ332" s="785">
        <f t="shared" si="437"/>
        <v>0</v>
      </c>
      <c r="CA332" s="785">
        <f t="shared" si="437"/>
        <v>0</v>
      </c>
      <c r="CB332" s="785">
        <f t="shared" si="437"/>
        <v>0.49</v>
      </c>
      <c r="CC332" s="785">
        <f t="shared" si="437"/>
        <v>0</v>
      </c>
      <c r="CD332" s="785">
        <f t="shared" si="437"/>
        <v>0</v>
      </c>
      <c r="CE332" s="785">
        <f t="shared" si="437"/>
        <v>0</v>
      </c>
      <c r="CF332" s="785">
        <f t="shared" si="437"/>
        <v>2.12</v>
      </c>
      <c r="CG332" s="785">
        <f t="shared" si="437"/>
        <v>2.63</v>
      </c>
      <c r="CH332" s="785">
        <f t="shared" si="437"/>
        <v>0</v>
      </c>
      <c r="CI332" s="785">
        <f t="shared" si="437"/>
        <v>0</v>
      </c>
      <c r="CJ332" s="785">
        <f t="shared" si="437"/>
        <v>0</v>
      </c>
      <c r="CK332" s="785">
        <f t="shared" si="437"/>
        <v>0</v>
      </c>
      <c r="CL332" s="785">
        <f t="shared" si="437"/>
        <v>0</v>
      </c>
      <c r="CM332" s="785">
        <f t="shared" si="437"/>
        <v>0</v>
      </c>
      <c r="CN332" s="785">
        <f t="shared" si="437"/>
        <v>0</v>
      </c>
      <c r="CO332" s="785">
        <f t="shared" si="437"/>
        <v>0</v>
      </c>
      <c r="CP332" s="785">
        <f t="shared" si="437"/>
        <v>0</v>
      </c>
      <c r="CQ332" s="785">
        <f t="shared" si="437"/>
        <v>0.06</v>
      </c>
      <c r="CR332" s="785">
        <f t="shared" si="437"/>
        <v>0</v>
      </c>
      <c r="CS332" s="785">
        <f t="shared" si="437"/>
        <v>0</v>
      </c>
      <c r="CT332" s="785">
        <f t="shared" si="437"/>
        <v>3.74</v>
      </c>
      <c r="CU332" s="785">
        <f t="shared" si="437"/>
        <v>0</v>
      </c>
      <c r="CV332" s="785">
        <f t="shared" si="437"/>
        <v>0</v>
      </c>
      <c r="CW332" s="785">
        <f t="shared" si="437"/>
        <v>0</v>
      </c>
      <c r="CX332" s="785">
        <f t="shared" si="437"/>
        <v>0</v>
      </c>
      <c r="CY332" s="785">
        <f t="shared" si="437"/>
        <v>0</v>
      </c>
      <c r="CZ332" s="785">
        <f t="shared" si="437"/>
        <v>4.18</v>
      </c>
      <c r="DA332" s="785">
        <f t="shared" si="437"/>
        <v>0</v>
      </c>
      <c r="DB332" s="785">
        <f t="shared" si="437"/>
        <v>0</v>
      </c>
      <c r="DC332" s="785">
        <f t="shared" si="437"/>
        <v>0.24</v>
      </c>
      <c r="DD332" s="785">
        <f t="shared" si="437"/>
        <v>0.94</v>
      </c>
      <c r="DE332" s="785">
        <f t="shared" si="437"/>
        <v>0</v>
      </c>
      <c r="DF332" s="785">
        <f t="shared" si="437"/>
        <v>0.69</v>
      </c>
      <c r="DG332" s="785">
        <f t="shared" si="437"/>
        <v>0</v>
      </c>
      <c r="DH332" s="785">
        <f t="shared" si="437"/>
        <v>0</v>
      </c>
      <c r="DI332" s="785">
        <f t="shared" si="437"/>
        <v>0</v>
      </c>
      <c r="DJ332" s="785">
        <f t="shared" si="437"/>
        <v>0</v>
      </c>
      <c r="DK332" s="785">
        <f t="shared" si="437"/>
        <v>0</v>
      </c>
      <c r="DL332" s="785">
        <f t="shared" si="437"/>
        <v>0</v>
      </c>
      <c r="DM332" s="785">
        <f t="shared" si="437"/>
        <v>0</v>
      </c>
      <c r="DN332" s="785">
        <f t="shared" si="437"/>
        <v>0</v>
      </c>
      <c r="DO332" s="785">
        <f t="shared" si="437"/>
        <v>0</v>
      </c>
      <c r="DP332" s="785">
        <f t="shared" si="437"/>
        <v>0</v>
      </c>
      <c r="DQ332" s="785">
        <f t="shared" si="437"/>
        <v>0</v>
      </c>
      <c r="DR332" s="785">
        <f t="shared" si="437"/>
        <v>0.45</v>
      </c>
      <c r="DS332" s="785">
        <f t="shared" si="437"/>
        <v>0</v>
      </c>
      <c r="DT332" s="785">
        <f t="shared" si="437"/>
        <v>0</v>
      </c>
      <c r="DU332" s="785">
        <f t="shared" si="437"/>
        <v>0.96</v>
      </c>
      <c r="DV332" s="785">
        <f t="shared" si="437"/>
        <v>0</v>
      </c>
      <c r="DW332" s="785">
        <f t="shared" si="437"/>
        <v>0</v>
      </c>
      <c r="DX332" s="785">
        <f t="shared" si="437"/>
        <v>0</v>
      </c>
      <c r="DY332" s="785">
        <f t="shared" si="437"/>
        <v>0</v>
      </c>
      <c r="DZ332" s="785">
        <f t="shared" si="437"/>
        <v>0</v>
      </c>
      <c r="EA332" s="785">
        <f t="shared" si="437"/>
        <v>75</v>
      </c>
      <c r="EB332" s="785">
        <f t="shared" si="437"/>
        <v>2.9</v>
      </c>
      <c r="EC332" s="785">
        <f t="shared" si="437"/>
        <v>0</v>
      </c>
      <c r="ED332" s="785">
        <f t="shared" si="437"/>
        <v>0</v>
      </c>
      <c r="EE332" s="785">
        <f t="shared" si="437"/>
        <v>0</v>
      </c>
      <c r="EF332" s="785">
        <f t="shared" si="437"/>
        <v>0</v>
      </c>
      <c r="EG332" s="785">
        <f t="shared" si="437"/>
        <v>0</v>
      </c>
      <c r="EH332" s="785">
        <f t="shared" si="437"/>
        <v>0</v>
      </c>
      <c r="EI332" s="785">
        <f t="shared" ref="EI332:EX332" si="438">EI193*EI338</f>
        <v>0</v>
      </c>
      <c r="EJ332" s="785">
        <f t="shared" si="438"/>
        <v>0</v>
      </c>
      <c r="EK332" s="785">
        <f t="shared" si="438"/>
        <v>0</v>
      </c>
      <c r="EL332" s="785">
        <f t="shared" si="438"/>
        <v>0</v>
      </c>
      <c r="EM332" s="785">
        <f t="shared" si="438"/>
        <v>0</v>
      </c>
      <c r="EN332" s="785">
        <f t="shared" si="438"/>
        <v>0</v>
      </c>
      <c r="EO332" s="785">
        <f t="shared" si="438"/>
        <v>0</v>
      </c>
      <c r="EP332" s="785">
        <f t="shared" si="438"/>
        <v>0</v>
      </c>
      <c r="EQ332" s="785">
        <f t="shared" si="438"/>
        <v>0</v>
      </c>
      <c r="ER332" s="785">
        <f t="shared" si="438"/>
        <v>0</v>
      </c>
      <c r="ES332" s="785">
        <f t="shared" si="438"/>
        <v>0</v>
      </c>
      <c r="ET332" s="785">
        <f t="shared" si="438"/>
        <v>0</v>
      </c>
      <c r="EU332" s="785">
        <f t="shared" si="438"/>
        <v>0</v>
      </c>
      <c r="EV332" s="785">
        <f t="shared" si="438"/>
        <v>4.16</v>
      </c>
      <c r="EW332" s="785">
        <f t="shared" si="438"/>
        <v>3.25</v>
      </c>
      <c r="EX332" s="785">
        <f t="shared" si="438"/>
        <v>0</v>
      </c>
      <c r="EY332" s="277">
        <f t="shared" si="423"/>
        <v>189.66</v>
      </c>
      <c r="EZ332" s="788"/>
      <c r="FA332" s="788"/>
      <c r="FB332" s="788"/>
      <c r="FC332" s="788"/>
      <c r="FD332" s="788"/>
      <c r="FE332" s="788"/>
      <c r="FF332" s="788"/>
      <c r="FG332" s="788"/>
      <c r="FH332" s="788"/>
      <c r="FI332" s="788"/>
      <c r="FJ332" s="788"/>
      <c r="FK332" s="788"/>
      <c r="FL332" s="788">
        <v>6</v>
      </c>
    </row>
    <row r="333" spans="1:168" x14ac:dyDescent="0.25">
      <c r="A333" s="260"/>
      <c r="B333" s="620"/>
      <c r="C333" s="748"/>
      <c r="D333" s="748"/>
      <c r="E333" s="276"/>
      <c r="F333" s="649"/>
      <c r="G333" s="649"/>
      <c r="H333" s="788"/>
      <c r="I333" s="1245"/>
      <c r="J333" s="785">
        <f>J223*J338</f>
        <v>84</v>
      </c>
      <c r="K333" s="785">
        <f t="shared" ref="K333:BV333" si="439">K223*K338</f>
        <v>0</v>
      </c>
      <c r="L333" s="785">
        <f t="shared" si="439"/>
        <v>0</v>
      </c>
      <c r="M333" s="785">
        <f t="shared" si="439"/>
        <v>0</v>
      </c>
      <c r="N333" s="785">
        <f t="shared" si="439"/>
        <v>0</v>
      </c>
      <c r="O333" s="785">
        <f t="shared" si="439"/>
        <v>0</v>
      </c>
      <c r="P333" s="785">
        <f t="shared" si="439"/>
        <v>0</v>
      </c>
      <c r="Q333" s="785">
        <f t="shared" si="439"/>
        <v>0</v>
      </c>
      <c r="R333" s="785">
        <f t="shared" si="439"/>
        <v>0</v>
      </c>
      <c r="S333" s="785">
        <f t="shared" si="439"/>
        <v>0</v>
      </c>
      <c r="T333" s="785">
        <f t="shared" si="439"/>
        <v>0</v>
      </c>
      <c r="U333" s="785">
        <f t="shared" si="439"/>
        <v>0</v>
      </c>
      <c r="V333" s="785">
        <f t="shared" si="439"/>
        <v>14.38</v>
      </c>
      <c r="W333" s="785">
        <f t="shared" si="439"/>
        <v>15.1</v>
      </c>
      <c r="X333" s="785">
        <f t="shared" si="439"/>
        <v>32.340000000000003</v>
      </c>
      <c r="Y333" s="785">
        <f t="shared" si="439"/>
        <v>7.25</v>
      </c>
      <c r="Z333" s="785">
        <f t="shared" si="439"/>
        <v>7.5</v>
      </c>
      <c r="AA333" s="785">
        <f t="shared" si="439"/>
        <v>0</v>
      </c>
      <c r="AB333" s="785">
        <f t="shared" si="439"/>
        <v>0</v>
      </c>
      <c r="AC333" s="785">
        <f t="shared" si="439"/>
        <v>0</v>
      </c>
      <c r="AD333" s="785">
        <f t="shared" si="439"/>
        <v>0</v>
      </c>
      <c r="AE333" s="785">
        <f t="shared" si="439"/>
        <v>0.91</v>
      </c>
      <c r="AF333" s="785">
        <f t="shared" si="439"/>
        <v>1.33</v>
      </c>
      <c r="AG333" s="785">
        <f t="shared" si="439"/>
        <v>0</v>
      </c>
      <c r="AH333" s="785">
        <f t="shared" si="439"/>
        <v>1.34</v>
      </c>
      <c r="AI333" s="785">
        <f t="shared" si="439"/>
        <v>0</v>
      </c>
      <c r="AJ333" s="785">
        <f t="shared" si="439"/>
        <v>0</v>
      </c>
      <c r="AK333" s="785">
        <f t="shared" si="439"/>
        <v>1.45</v>
      </c>
      <c r="AL333" s="785">
        <f t="shared" si="439"/>
        <v>0.84</v>
      </c>
      <c r="AM333" s="785">
        <f t="shared" si="439"/>
        <v>0</v>
      </c>
      <c r="AN333" s="785">
        <f t="shared" si="439"/>
        <v>3.76</v>
      </c>
      <c r="AO333" s="785">
        <f t="shared" si="439"/>
        <v>1.9</v>
      </c>
      <c r="AP333" s="785">
        <f t="shared" si="439"/>
        <v>0</v>
      </c>
      <c r="AQ333" s="785">
        <f t="shared" si="439"/>
        <v>0.63</v>
      </c>
      <c r="AR333" s="785">
        <f t="shared" si="439"/>
        <v>0</v>
      </c>
      <c r="AS333" s="785">
        <f t="shared" si="439"/>
        <v>0</v>
      </c>
      <c r="AT333" s="785">
        <f t="shared" si="439"/>
        <v>0.98</v>
      </c>
      <c r="AU333" s="785">
        <f t="shared" si="439"/>
        <v>1.44</v>
      </c>
      <c r="AV333" s="785">
        <f t="shared" si="439"/>
        <v>0</v>
      </c>
      <c r="AW333" s="785">
        <f t="shared" si="439"/>
        <v>0</v>
      </c>
      <c r="AX333" s="785">
        <f t="shared" si="439"/>
        <v>1.5</v>
      </c>
      <c r="AY333" s="785">
        <f t="shared" si="439"/>
        <v>0</v>
      </c>
      <c r="AZ333" s="785">
        <f t="shared" si="439"/>
        <v>0</v>
      </c>
      <c r="BA333" s="785">
        <f t="shared" si="439"/>
        <v>0</v>
      </c>
      <c r="BB333" s="785">
        <f t="shared" si="439"/>
        <v>0</v>
      </c>
      <c r="BC333" s="785">
        <f t="shared" si="439"/>
        <v>0</v>
      </c>
      <c r="BD333" s="785">
        <f t="shared" si="439"/>
        <v>0</v>
      </c>
      <c r="BE333" s="785">
        <f t="shared" si="439"/>
        <v>0</v>
      </c>
      <c r="BF333" s="785">
        <f t="shared" si="439"/>
        <v>0</v>
      </c>
      <c r="BG333" s="785">
        <f t="shared" si="439"/>
        <v>0</v>
      </c>
      <c r="BH333" s="785">
        <f t="shared" si="439"/>
        <v>0</v>
      </c>
      <c r="BI333" s="785">
        <f t="shared" si="439"/>
        <v>0</v>
      </c>
      <c r="BJ333" s="785">
        <f t="shared" si="439"/>
        <v>0</v>
      </c>
      <c r="BK333" s="785">
        <f t="shared" si="439"/>
        <v>0</v>
      </c>
      <c r="BL333" s="785">
        <f t="shared" si="439"/>
        <v>0</v>
      </c>
      <c r="BM333" s="785">
        <f t="shared" si="439"/>
        <v>0</v>
      </c>
      <c r="BN333" s="785">
        <f t="shared" si="439"/>
        <v>0</v>
      </c>
      <c r="BO333" s="785">
        <f t="shared" si="439"/>
        <v>0</v>
      </c>
      <c r="BP333" s="785">
        <f t="shared" si="439"/>
        <v>0</v>
      </c>
      <c r="BQ333" s="785">
        <f t="shared" si="439"/>
        <v>0</v>
      </c>
      <c r="BR333" s="785">
        <f t="shared" si="439"/>
        <v>0</v>
      </c>
      <c r="BS333" s="785">
        <f t="shared" si="439"/>
        <v>0.2</v>
      </c>
      <c r="BT333" s="785">
        <f t="shared" si="439"/>
        <v>6.89</v>
      </c>
      <c r="BU333" s="785">
        <f t="shared" si="439"/>
        <v>0.4</v>
      </c>
      <c r="BV333" s="785">
        <f t="shared" si="439"/>
        <v>0</v>
      </c>
      <c r="BW333" s="785">
        <f t="shared" ref="BW333:EH333" si="440">BW223*BW338</f>
        <v>0</v>
      </c>
      <c r="BX333" s="785">
        <f t="shared" si="440"/>
        <v>0</v>
      </c>
      <c r="BY333" s="785">
        <f t="shared" si="440"/>
        <v>0</v>
      </c>
      <c r="BZ333" s="785">
        <f t="shared" si="440"/>
        <v>0</v>
      </c>
      <c r="CA333" s="785">
        <f t="shared" si="440"/>
        <v>0</v>
      </c>
      <c r="CB333" s="785">
        <f t="shared" si="440"/>
        <v>0</v>
      </c>
      <c r="CC333" s="785">
        <f t="shared" si="440"/>
        <v>0</v>
      </c>
      <c r="CD333" s="785">
        <f t="shared" si="440"/>
        <v>0</v>
      </c>
      <c r="CE333" s="785">
        <f t="shared" si="440"/>
        <v>0</v>
      </c>
      <c r="CF333" s="785">
        <f t="shared" si="440"/>
        <v>1.44</v>
      </c>
      <c r="CG333" s="785">
        <f t="shared" si="440"/>
        <v>0</v>
      </c>
      <c r="CH333" s="785">
        <f t="shared" si="440"/>
        <v>0</v>
      </c>
      <c r="CI333" s="785">
        <f t="shared" si="440"/>
        <v>0.1</v>
      </c>
      <c r="CJ333" s="785">
        <f t="shared" si="440"/>
        <v>0</v>
      </c>
      <c r="CK333" s="785">
        <f t="shared" si="440"/>
        <v>0</v>
      </c>
      <c r="CL333" s="785">
        <f t="shared" si="440"/>
        <v>0</v>
      </c>
      <c r="CM333" s="785">
        <f t="shared" si="440"/>
        <v>4.8</v>
      </c>
      <c r="CN333" s="785">
        <f t="shared" si="440"/>
        <v>0</v>
      </c>
      <c r="CO333" s="785">
        <f t="shared" si="440"/>
        <v>0</v>
      </c>
      <c r="CP333" s="785">
        <f t="shared" si="440"/>
        <v>0</v>
      </c>
      <c r="CQ333" s="785">
        <f t="shared" si="440"/>
        <v>0.06</v>
      </c>
      <c r="CR333" s="785">
        <f t="shared" si="440"/>
        <v>0</v>
      </c>
      <c r="CS333" s="785">
        <f t="shared" si="440"/>
        <v>0.03</v>
      </c>
      <c r="CT333" s="785">
        <f t="shared" si="440"/>
        <v>0</v>
      </c>
      <c r="CU333" s="785">
        <f t="shared" si="440"/>
        <v>0</v>
      </c>
      <c r="CV333" s="785">
        <f t="shared" si="440"/>
        <v>0</v>
      </c>
      <c r="CW333" s="785">
        <f t="shared" si="440"/>
        <v>0</v>
      </c>
      <c r="CX333" s="785">
        <f t="shared" si="440"/>
        <v>0</v>
      </c>
      <c r="CY333" s="785">
        <f t="shared" si="440"/>
        <v>0</v>
      </c>
      <c r="CZ333" s="785">
        <f t="shared" si="440"/>
        <v>3.61</v>
      </c>
      <c r="DA333" s="785">
        <f t="shared" si="440"/>
        <v>0</v>
      </c>
      <c r="DB333" s="785">
        <f t="shared" si="440"/>
        <v>0</v>
      </c>
      <c r="DC333" s="785">
        <f t="shared" si="440"/>
        <v>0.23</v>
      </c>
      <c r="DD333" s="785">
        <f t="shared" si="440"/>
        <v>0.59</v>
      </c>
      <c r="DE333" s="785">
        <f t="shared" si="440"/>
        <v>2.6</v>
      </c>
      <c r="DF333" s="785">
        <f t="shared" si="440"/>
        <v>4.26</v>
      </c>
      <c r="DG333" s="785">
        <f t="shared" si="440"/>
        <v>0</v>
      </c>
      <c r="DH333" s="785">
        <f t="shared" si="440"/>
        <v>0</v>
      </c>
      <c r="DI333" s="785">
        <f t="shared" si="440"/>
        <v>0</v>
      </c>
      <c r="DJ333" s="785">
        <f t="shared" si="440"/>
        <v>0</v>
      </c>
      <c r="DK333" s="785">
        <f t="shared" si="440"/>
        <v>0</v>
      </c>
      <c r="DL333" s="785">
        <f t="shared" si="440"/>
        <v>0</v>
      </c>
      <c r="DM333" s="785">
        <f t="shared" si="440"/>
        <v>0</v>
      </c>
      <c r="DN333" s="785">
        <f t="shared" si="440"/>
        <v>0</v>
      </c>
      <c r="DO333" s="785">
        <f t="shared" si="440"/>
        <v>0</v>
      </c>
      <c r="DP333" s="785">
        <f t="shared" si="440"/>
        <v>0</v>
      </c>
      <c r="DQ333" s="785">
        <f t="shared" si="440"/>
        <v>0</v>
      </c>
      <c r="DR333" s="785">
        <f t="shared" si="440"/>
        <v>0.45</v>
      </c>
      <c r="DS333" s="785">
        <f t="shared" si="440"/>
        <v>0</v>
      </c>
      <c r="DT333" s="785">
        <f t="shared" si="440"/>
        <v>0</v>
      </c>
      <c r="DU333" s="785">
        <f t="shared" si="440"/>
        <v>0</v>
      </c>
      <c r="DV333" s="785">
        <f t="shared" si="440"/>
        <v>0</v>
      </c>
      <c r="DW333" s="785">
        <f t="shared" si="440"/>
        <v>0</v>
      </c>
      <c r="DX333" s="785">
        <f t="shared" si="440"/>
        <v>0</v>
      </c>
      <c r="DY333" s="785">
        <f t="shared" si="440"/>
        <v>0</v>
      </c>
      <c r="DZ333" s="785">
        <f t="shared" si="440"/>
        <v>0</v>
      </c>
      <c r="EA333" s="785">
        <f t="shared" si="440"/>
        <v>0</v>
      </c>
      <c r="EB333" s="785">
        <f t="shared" si="440"/>
        <v>2.9</v>
      </c>
      <c r="EC333" s="785">
        <f t="shared" si="440"/>
        <v>0</v>
      </c>
      <c r="ED333" s="785">
        <f t="shared" si="440"/>
        <v>0</v>
      </c>
      <c r="EE333" s="785">
        <f t="shared" si="440"/>
        <v>0</v>
      </c>
      <c r="EF333" s="785">
        <f t="shared" si="440"/>
        <v>0</v>
      </c>
      <c r="EG333" s="785">
        <f t="shared" si="440"/>
        <v>0</v>
      </c>
      <c r="EH333" s="785">
        <f t="shared" si="440"/>
        <v>0</v>
      </c>
      <c r="EI333" s="785">
        <f t="shared" ref="EI333:EX333" si="441">EI223*EI338</f>
        <v>0</v>
      </c>
      <c r="EJ333" s="785">
        <f t="shared" si="441"/>
        <v>0</v>
      </c>
      <c r="EK333" s="785">
        <f t="shared" si="441"/>
        <v>0</v>
      </c>
      <c r="EL333" s="785">
        <f t="shared" si="441"/>
        <v>0</v>
      </c>
      <c r="EM333" s="785">
        <f t="shared" si="441"/>
        <v>0</v>
      </c>
      <c r="EN333" s="785">
        <f t="shared" si="441"/>
        <v>0</v>
      </c>
      <c r="EO333" s="785">
        <f t="shared" si="441"/>
        <v>0</v>
      </c>
      <c r="EP333" s="785">
        <f t="shared" si="441"/>
        <v>0</v>
      </c>
      <c r="EQ333" s="785">
        <f t="shared" si="441"/>
        <v>0</v>
      </c>
      <c r="ER333" s="785">
        <f t="shared" si="441"/>
        <v>0</v>
      </c>
      <c r="ES333" s="785">
        <f t="shared" si="441"/>
        <v>0</v>
      </c>
      <c r="ET333" s="785">
        <f t="shared" si="441"/>
        <v>0</v>
      </c>
      <c r="EU333" s="785">
        <f t="shared" si="441"/>
        <v>0</v>
      </c>
      <c r="EV333" s="785">
        <f t="shared" si="441"/>
        <v>3.25</v>
      </c>
      <c r="EW333" s="785">
        <f t="shared" si="441"/>
        <v>3.25</v>
      </c>
      <c r="EX333" s="785">
        <f t="shared" si="441"/>
        <v>0</v>
      </c>
      <c r="EY333" s="277">
        <f t="shared" si="423"/>
        <v>211.71</v>
      </c>
      <c r="EZ333" s="788"/>
      <c r="FA333" s="788"/>
      <c r="FB333" s="788"/>
      <c r="FC333" s="788"/>
      <c r="FD333" s="788"/>
      <c r="FE333" s="788"/>
      <c r="FF333" s="788"/>
      <c r="FG333" s="788"/>
      <c r="FH333" s="788"/>
      <c r="FI333" s="788"/>
      <c r="FJ333" s="788"/>
      <c r="FK333" s="788"/>
      <c r="FL333" s="787">
        <v>7</v>
      </c>
    </row>
    <row r="334" spans="1:168" x14ac:dyDescent="0.25">
      <c r="B334" s="718"/>
      <c r="C334" s="749"/>
      <c r="D334" s="749"/>
      <c r="E334" s="650"/>
      <c r="F334" s="649"/>
      <c r="G334" s="649"/>
      <c r="H334" s="788"/>
      <c r="I334" s="1245"/>
      <c r="J334" s="785">
        <f>J253*J338</f>
        <v>0</v>
      </c>
      <c r="K334" s="785">
        <f t="shared" ref="K334:BV334" si="442">K253*K338</f>
        <v>0</v>
      </c>
      <c r="L334" s="785">
        <f t="shared" si="442"/>
        <v>0</v>
      </c>
      <c r="M334" s="785">
        <f t="shared" si="442"/>
        <v>0</v>
      </c>
      <c r="N334" s="785">
        <f t="shared" si="442"/>
        <v>0</v>
      </c>
      <c r="O334" s="785">
        <f t="shared" si="442"/>
        <v>0</v>
      </c>
      <c r="P334" s="785">
        <f t="shared" si="442"/>
        <v>0</v>
      </c>
      <c r="Q334" s="785">
        <f t="shared" si="442"/>
        <v>0</v>
      </c>
      <c r="R334" s="785">
        <f t="shared" si="442"/>
        <v>0</v>
      </c>
      <c r="S334" s="785">
        <f t="shared" si="442"/>
        <v>0</v>
      </c>
      <c r="T334" s="785">
        <f t="shared" si="442"/>
        <v>0</v>
      </c>
      <c r="U334" s="785">
        <f t="shared" si="442"/>
        <v>0</v>
      </c>
      <c r="V334" s="785">
        <f t="shared" si="442"/>
        <v>0</v>
      </c>
      <c r="W334" s="785">
        <f t="shared" si="442"/>
        <v>0</v>
      </c>
      <c r="X334" s="785">
        <f t="shared" si="442"/>
        <v>0</v>
      </c>
      <c r="Y334" s="785">
        <f t="shared" si="442"/>
        <v>0</v>
      </c>
      <c r="Z334" s="785">
        <f t="shared" si="442"/>
        <v>0</v>
      </c>
      <c r="AA334" s="785">
        <f t="shared" si="442"/>
        <v>0</v>
      </c>
      <c r="AB334" s="785">
        <f t="shared" si="442"/>
        <v>0</v>
      </c>
      <c r="AC334" s="785">
        <f t="shared" si="442"/>
        <v>0</v>
      </c>
      <c r="AD334" s="785">
        <f t="shared" si="442"/>
        <v>0</v>
      </c>
      <c r="AE334" s="785">
        <f t="shared" si="442"/>
        <v>0</v>
      </c>
      <c r="AF334" s="785">
        <f t="shared" si="442"/>
        <v>0</v>
      </c>
      <c r="AG334" s="785">
        <f t="shared" si="442"/>
        <v>0</v>
      </c>
      <c r="AH334" s="785">
        <f t="shared" si="442"/>
        <v>0</v>
      </c>
      <c r="AI334" s="785">
        <f t="shared" si="442"/>
        <v>0</v>
      </c>
      <c r="AJ334" s="785">
        <f t="shared" si="442"/>
        <v>0</v>
      </c>
      <c r="AK334" s="785">
        <f t="shared" si="442"/>
        <v>0</v>
      </c>
      <c r="AL334" s="785">
        <f t="shared" si="442"/>
        <v>0</v>
      </c>
      <c r="AM334" s="785">
        <f t="shared" si="442"/>
        <v>0</v>
      </c>
      <c r="AN334" s="785">
        <f t="shared" si="442"/>
        <v>0</v>
      </c>
      <c r="AO334" s="785">
        <f t="shared" si="442"/>
        <v>0</v>
      </c>
      <c r="AP334" s="785">
        <f t="shared" si="442"/>
        <v>0</v>
      </c>
      <c r="AQ334" s="785">
        <f t="shared" si="442"/>
        <v>0</v>
      </c>
      <c r="AR334" s="785">
        <f t="shared" si="442"/>
        <v>0</v>
      </c>
      <c r="AS334" s="785">
        <f t="shared" si="442"/>
        <v>0</v>
      </c>
      <c r="AT334" s="785">
        <f t="shared" si="442"/>
        <v>0</v>
      </c>
      <c r="AU334" s="785">
        <f t="shared" si="442"/>
        <v>0</v>
      </c>
      <c r="AV334" s="785">
        <f t="shared" si="442"/>
        <v>0</v>
      </c>
      <c r="AW334" s="785">
        <f t="shared" si="442"/>
        <v>0</v>
      </c>
      <c r="AX334" s="785">
        <f t="shared" si="442"/>
        <v>0</v>
      </c>
      <c r="AY334" s="785">
        <f t="shared" si="442"/>
        <v>0</v>
      </c>
      <c r="AZ334" s="785">
        <f t="shared" si="442"/>
        <v>0</v>
      </c>
      <c r="BA334" s="785">
        <f t="shared" si="442"/>
        <v>0</v>
      </c>
      <c r="BB334" s="785">
        <f t="shared" si="442"/>
        <v>0</v>
      </c>
      <c r="BC334" s="785">
        <f t="shared" si="442"/>
        <v>0</v>
      </c>
      <c r="BD334" s="785">
        <f t="shared" si="442"/>
        <v>0</v>
      </c>
      <c r="BE334" s="785">
        <f t="shared" si="442"/>
        <v>0</v>
      </c>
      <c r="BF334" s="785">
        <f t="shared" si="442"/>
        <v>0</v>
      </c>
      <c r="BG334" s="785">
        <f t="shared" si="442"/>
        <v>0</v>
      </c>
      <c r="BH334" s="785">
        <f t="shared" si="442"/>
        <v>0</v>
      </c>
      <c r="BI334" s="785">
        <f t="shared" si="442"/>
        <v>0</v>
      </c>
      <c r="BJ334" s="785">
        <f t="shared" si="442"/>
        <v>0</v>
      </c>
      <c r="BK334" s="785">
        <f t="shared" si="442"/>
        <v>0</v>
      </c>
      <c r="BL334" s="785">
        <f t="shared" si="442"/>
        <v>0</v>
      </c>
      <c r="BM334" s="785">
        <f t="shared" si="442"/>
        <v>0</v>
      </c>
      <c r="BN334" s="785">
        <f t="shared" si="442"/>
        <v>0</v>
      </c>
      <c r="BO334" s="785">
        <f t="shared" si="442"/>
        <v>0</v>
      </c>
      <c r="BP334" s="785">
        <f t="shared" si="442"/>
        <v>0</v>
      </c>
      <c r="BQ334" s="785">
        <f t="shared" si="442"/>
        <v>0</v>
      </c>
      <c r="BR334" s="785">
        <f t="shared" si="442"/>
        <v>0</v>
      </c>
      <c r="BS334" s="785">
        <f t="shared" si="442"/>
        <v>0</v>
      </c>
      <c r="BT334" s="785">
        <f t="shared" si="442"/>
        <v>0</v>
      </c>
      <c r="BU334" s="785">
        <f t="shared" si="442"/>
        <v>0</v>
      </c>
      <c r="BV334" s="785">
        <f t="shared" si="442"/>
        <v>0</v>
      </c>
      <c r="BW334" s="785">
        <f t="shared" ref="BW334:EH334" si="443">BW253*BW338</f>
        <v>0</v>
      </c>
      <c r="BX334" s="785">
        <f t="shared" si="443"/>
        <v>0</v>
      </c>
      <c r="BY334" s="785">
        <f t="shared" si="443"/>
        <v>0</v>
      </c>
      <c r="BZ334" s="785">
        <f t="shared" si="443"/>
        <v>0</v>
      </c>
      <c r="CA334" s="785">
        <f t="shared" si="443"/>
        <v>0</v>
      </c>
      <c r="CB334" s="785">
        <f t="shared" si="443"/>
        <v>0</v>
      </c>
      <c r="CC334" s="785">
        <f t="shared" si="443"/>
        <v>0</v>
      </c>
      <c r="CD334" s="785">
        <f t="shared" si="443"/>
        <v>0</v>
      </c>
      <c r="CE334" s="785">
        <f t="shared" si="443"/>
        <v>0</v>
      </c>
      <c r="CF334" s="785">
        <f t="shared" si="443"/>
        <v>0</v>
      </c>
      <c r="CG334" s="785">
        <f t="shared" si="443"/>
        <v>0</v>
      </c>
      <c r="CH334" s="785">
        <f t="shared" si="443"/>
        <v>0</v>
      </c>
      <c r="CI334" s="785">
        <f t="shared" si="443"/>
        <v>0</v>
      </c>
      <c r="CJ334" s="785">
        <f t="shared" si="443"/>
        <v>0</v>
      </c>
      <c r="CK334" s="785">
        <f t="shared" si="443"/>
        <v>0</v>
      </c>
      <c r="CL334" s="785">
        <f t="shared" si="443"/>
        <v>0</v>
      </c>
      <c r="CM334" s="785">
        <f t="shared" si="443"/>
        <v>0</v>
      </c>
      <c r="CN334" s="785">
        <f t="shared" si="443"/>
        <v>0</v>
      </c>
      <c r="CO334" s="785">
        <f t="shared" si="443"/>
        <v>0</v>
      </c>
      <c r="CP334" s="785">
        <f t="shared" si="443"/>
        <v>0</v>
      </c>
      <c r="CQ334" s="785">
        <f t="shared" si="443"/>
        <v>0</v>
      </c>
      <c r="CR334" s="785">
        <f t="shared" si="443"/>
        <v>0</v>
      </c>
      <c r="CS334" s="785">
        <f t="shared" si="443"/>
        <v>0</v>
      </c>
      <c r="CT334" s="785">
        <f t="shared" si="443"/>
        <v>0</v>
      </c>
      <c r="CU334" s="785">
        <f t="shared" si="443"/>
        <v>0</v>
      </c>
      <c r="CV334" s="785">
        <f t="shared" si="443"/>
        <v>0</v>
      </c>
      <c r="CW334" s="785">
        <f t="shared" si="443"/>
        <v>0</v>
      </c>
      <c r="CX334" s="785">
        <f t="shared" si="443"/>
        <v>0</v>
      </c>
      <c r="CY334" s="785">
        <f t="shared" si="443"/>
        <v>0</v>
      </c>
      <c r="CZ334" s="785">
        <f t="shared" si="443"/>
        <v>0</v>
      </c>
      <c r="DA334" s="785">
        <f t="shared" si="443"/>
        <v>0</v>
      </c>
      <c r="DB334" s="785">
        <f t="shared" si="443"/>
        <v>0</v>
      </c>
      <c r="DC334" s="785">
        <f t="shared" si="443"/>
        <v>0</v>
      </c>
      <c r="DD334" s="785">
        <f t="shared" si="443"/>
        <v>0</v>
      </c>
      <c r="DE334" s="785">
        <f t="shared" si="443"/>
        <v>0</v>
      </c>
      <c r="DF334" s="785">
        <f t="shared" si="443"/>
        <v>0</v>
      </c>
      <c r="DG334" s="785">
        <f t="shared" si="443"/>
        <v>0</v>
      </c>
      <c r="DH334" s="785">
        <f t="shared" si="443"/>
        <v>0</v>
      </c>
      <c r="DI334" s="785">
        <f t="shared" si="443"/>
        <v>0</v>
      </c>
      <c r="DJ334" s="785">
        <f t="shared" si="443"/>
        <v>0</v>
      </c>
      <c r="DK334" s="785">
        <f t="shared" si="443"/>
        <v>0</v>
      </c>
      <c r="DL334" s="785">
        <f t="shared" si="443"/>
        <v>0</v>
      </c>
      <c r="DM334" s="785">
        <f t="shared" si="443"/>
        <v>0</v>
      </c>
      <c r="DN334" s="785">
        <f t="shared" si="443"/>
        <v>0</v>
      </c>
      <c r="DO334" s="785">
        <f t="shared" si="443"/>
        <v>0</v>
      </c>
      <c r="DP334" s="785">
        <f t="shared" si="443"/>
        <v>0</v>
      </c>
      <c r="DQ334" s="785">
        <f t="shared" si="443"/>
        <v>0</v>
      </c>
      <c r="DR334" s="785">
        <f t="shared" si="443"/>
        <v>0</v>
      </c>
      <c r="DS334" s="785">
        <f t="shared" si="443"/>
        <v>0</v>
      </c>
      <c r="DT334" s="785">
        <f t="shared" si="443"/>
        <v>0</v>
      </c>
      <c r="DU334" s="785">
        <f t="shared" si="443"/>
        <v>0</v>
      </c>
      <c r="DV334" s="785">
        <f t="shared" si="443"/>
        <v>0</v>
      </c>
      <c r="DW334" s="785">
        <f t="shared" si="443"/>
        <v>0</v>
      </c>
      <c r="DX334" s="785">
        <f t="shared" si="443"/>
        <v>0</v>
      </c>
      <c r="DY334" s="785">
        <f t="shared" si="443"/>
        <v>0</v>
      </c>
      <c r="DZ334" s="785">
        <f t="shared" si="443"/>
        <v>0</v>
      </c>
      <c r="EA334" s="785">
        <f t="shared" si="443"/>
        <v>0</v>
      </c>
      <c r="EB334" s="785">
        <f t="shared" si="443"/>
        <v>0</v>
      </c>
      <c r="EC334" s="785">
        <f t="shared" si="443"/>
        <v>0</v>
      </c>
      <c r="ED334" s="785">
        <f t="shared" si="443"/>
        <v>0</v>
      </c>
      <c r="EE334" s="785">
        <f t="shared" si="443"/>
        <v>0</v>
      </c>
      <c r="EF334" s="785">
        <f t="shared" si="443"/>
        <v>0</v>
      </c>
      <c r="EG334" s="785">
        <f t="shared" si="443"/>
        <v>0</v>
      </c>
      <c r="EH334" s="785">
        <f t="shared" si="443"/>
        <v>0</v>
      </c>
      <c r="EI334" s="785">
        <f t="shared" ref="EI334:EX334" si="444">EI253*EI338</f>
        <v>0</v>
      </c>
      <c r="EJ334" s="785">
        <f t="shared" si="444"/>
        <v>0</v>
      </c>
      <c r="EK334" s="785">
        <f t="shared" si="444"/>
        <v>0</v>
      </c>
      <c r="EL334" s="785">
        <f t="shared" si="444"/>
        <v>0</v>
      </c>
      <c r="EM334" s="785">
        <f t="shared" si="444"/>
        <v>0</v>
      </c>
      <c r="EN334" s="785">
        <f t="shared" si="444"/>
        <v>0</v>
      </c>
      <c r="EO334" s="785">
        <f t="shared" si="444"/>
        <v>0</v>
      </c>
      <c r="EP334" s="785">
        <f t="shared" si="444"/>
        <v>0</v>
      </c>
      <c r="EQ334" s="785">
        <f t="shared" si="444"/>
        <v>0</v>
      </c>
      <c r="ER334" s="785">
        <f t="shared" si="444"/>
        <v>0</v>
      </c>
      <c r="ES334" s="785">
        <f t="shared" si="444"/>
        <v>0</v>
      </c>
      <c r="ET334" s="785">
        <f t="shared" si="444"/>
        <v>0</v>
      </c>
      <c r="EU334" s="785">
        <f t="shared" si="444"/>
        <v>0</v>
      </c>
      <c r="EV334" s="785">
        <f t="shared" si="444"/>
        <v>0</v>
      </c>
      <c r="EW334" s="785">
        <f t="shared" si="444"/>
        <v>0</v>
      </c>
      <c r="EX334" s="785">
        <f t="shared" si="444"/>
        <v>0</v>
      </c>
      <c r="EY334" s="277">
        <f t="shared" si="423"/>
        <v>0</v>
      </c>
      <c r="EZ334" s="788"/>
      <c r="FA334" s="788"/>
      <c r="FB334" s="788"/>
      <c r="FC334" s="788"/>
      <c r="FD334" s="788"/>
      <c r="FE334" s="788"/>
      <c r="FF334" s="788"/>
      <c r="FG334" s="788"/>
      <c r="FH334" s="788"/>
      <c r="FI334" s="788"/>
      <c r="FJ334" s="788"/>
      <c r="FK334" s="788"/>
      <c r="FL334" s="788">
        <v>8</v>
      </c>
    </row>
    <row r="335" spans="1:168" x14ac:dyDescent="0.25">
      <c r="E335" s="650"/>
      <c r="F335" s="649"/>
      <c r="G335" s="649"/>
      <c r="H335" s="788"/>
      <c r="I335" s="1245"/>
      <c r="J335" s="785">
        <f>J283*J338</f>
        <v>0</v>
      </c>
      <c r="K335" s="785">
        <f t="shared" ref="K335:BV335" si="445">K283*K338</f>
        <v>0</v>
      </c>
      <c r="L335" s="785">
        <f t="shared" si="445"/>
        <v>0</v>
      </c>
      <c r="M335" s="785">
        <f t="shared" si="445"/>
        <v>0</v>
      </c>
      <c r="N335" s="785">
        <f t="shared" si="445"/>
        <v>0</v>
      </c>
      <c r="O335" s="785">
        <f t="shared" si="445"/>
        <v>0</v>
      </c>
      <c r="P335" s="785">
        <f t="shared" si="445"/>
        <v>0</v>
      </c>
      <c r="Q335" s="785">
        <f t="shared" si="445"/>
        <v>0</v>
      </c>
      <c r="R335" s="785">
        <f t="shared" si="445"/>
        <v>0</v>
      </c>
      <c r="S335" s="785">
        <f t="shared" si="445"/>
        <v>0</v>
      </c>
      <c r="T335" s="785">
        <f t="shared" si="445"/>
        <v>0</v>
      </c>
      <c r="U335" s="785">
        <f t="shared" si="445"/>
        <v>0</v>
      </c>
      <c r="V335" s="785">
        <f t="shared" si="445"/>
        <v>0</v>
      </c>
      <c r="W335" s="785">
        <f t="shared" si="445"/>
        <v>0</v>
      </c>
      <c r="X335" s="785">
        <f t="shared" si="445"/>
        <v>0</v>
      </c>
      <c r="Y335" s="785">
        <f t="shared" si="445"/>
        <v>0</v>
      </c>
      <c r="Z335" s="785">
        <f t="shared" si="445"/>
        <v>0</v>
      </c>
      <c r="AA335" s="785">
        <f t="shared" si="445"/>
        <v>0</v>
      </c>
      <c r="AB335" s="785">
        <f t="shared" si="445"/>
        <v>0</v>
      </c>
      <c r="AC335" s="785">
        <f t="shared" si="445"/>
        <v>0</v>
      </c>
      <c r="AD335" s="785">
        <f t="shared" si="445"/>
        <v>0</v>
      </c>
      <c r="AE335" s="785">
        <f t="shared" si="445"/>
        <v>0</v>
      </c>
      <c r="AF335" s="785">
        <f t="shared" si="445"/>
        <v>0</v>
      </c>
      <c r="AG335" s="785">
        <f t="shared" si="445"/>
        <v>0</v>
      </c>
      <c r="AH335" s="785">
        <f t="shared" si="445"/>
        <v>0</v>
      </c>
      <c r="AI335" s="785">
        <f t="shared" si="445"/>
        <v>0</v>
      </c>
      <c r="AJ335" s="785">
        <f t="shared" si="445"/>
        <v>0</v>
      </c>
      <c r="AK335" s="785">
        <f t="shared" si="445"/>
        <v>0</v>
      </c>
      <c r="AL335" s="785">
        <f t="shared" si="445"/>
        <v>0</v>
      </c>
      <c r="AM335" s="785">
        <f t="shared" si="445"/>
        <v>0</v>
      </c>
      <c r="AN335" s="785">
        <f t="shared" si="445"/>
        <v>0</v>
      </c>
      <c r="AO335" s="785">
        <f t="shared" si="445"/>
        <v>0</v>
      </c>
      <c r="AP335" s="785">
        <f t="shared" si="445"/>
        <v>0</v>
      </c>
      <c r="AQ335" s="785">
        <f t="shared" si="445"/>
        <v>0</v>
      </c>
      <c r="AR335" s="785">
        <f t="shared" si="445"/>
        <v>0</v>
      </c>
      <c r="AS335" s="785">
        <f t="shared" si="445"/>
        <v>0</v>
      </c>
      <c r="AT335" s="785">
        <f t="shared" si="445"/>
        <v>0</v>
      </c>
      <c r="AU335" s="785">
        <f t="shared" si="445"/>
        <v>0</v>
      </c>
      <c r="AV335" s="785">
        <f t="shared" si="445"/>
        <v>0</v>
      </c>
      <c r="AW335" s="785">
        <f t="shared" si="445"/>
        <v>0</v>
      </c>
      <c r="AX335" s="785">
        <f t="shared" si="445"/>
        <v>0</v>
      </c>
      <c r="AY335" s="785">
        <f t="shared" si="445"/>
        <v>0</v>
      </c>
      <c r="AZ335" s="785">
        <f t="shared" si="445"/>
        <v>0</v>
      </c>
      <c r="BA335" s="785">
        <f t="shared" si="445"/>
        <v>0</v>
      </c>
      <c r="BB335" s="785">
        <f t="shared" si="445"/>
        <v>0</v>
      </c>
      <c r="BC335" s="785">
        <f t="shared" si="445"/>
        <v>0</v>
      </c>
      <c r="BD335" s="785">
        <f t="shared" si="445"/>
        <v>0</v>
      </c>
      <c r="BE335" s="785">
        <f t="shared" si="445"/>
        <v>0</v>
      </c>
      <c r="BF335" s="785">
        <f t="shared" si="445"/>
        <v>0</v>
      </c>
      <c r="BG335" s="785">
        <f t="shared" si="445"/>
        <v>0</v>
      </c>
      <c r="BH335" s="785">
        <f t="shared" si="445"/>
        <v>0</v>
      </c>
      <c r="BI335" s="785">
        <f t="shared" si="445"/>
        <v>0</v>
      </c>
      <c r="BJ335" s="785">
        <f t="shared" si="445"/>
        <v>0</v>
      </c>
      <c r="BK335" s="785">
        <f t="shared" si="445"/>
        <v>0</v>
      </c>
      <c r="BL335" s="785">
        <f t="shared" si="445"/>
        <v>0</v>
      </c>
      <c r="BM335" s="785">
        <f t="shared" si="445"/>
        <v>0</v>
      </c>
      <c r="BN335" s="785">
        <f t="shared" si="445"/>
        <v>0</v>
      </c>
      <c r="BO335" s="785">
        <f t="shared" si="445"/>
        <v>0</v>
      </c>
      <c r="BP335" s="785">
        <f t="shared" si="445"/>
        <v>0</v>
      </c>
      <c r="BQ335" s="785">
        <f t="shared" si="445"/>
        <v>0</v>
      </c>
      <c r="BR335" s="785">
        <f t="shared" si="445"/>
        <v>0</v>
      </c>
      <c r="BS335" s="785">
        <f t="shared" si="445"/>
        <v>0</v>
      </c>
      <c r="BT335" s="785">
        <f t="shared" si="445"/>
        <v>0</v>
      </c>
      <c r="BU335" s="785">
        <f t="shared" si="445"/>
        <v>0</v>
      </c>
      <c r="BV335" s="785">
        <f t="shared" si="445"/>
        <v>0</v>
      </c>
      <c r="BW335" s="785">
        <f t="shared" ref="BW335:EH335" si="446">BW283*BW338</f>
        <v>0</v>
      </c>
      <c r="BX335" s="785">
        <f t="shared" si="446"/>
        <v>0</v>
      </c>
      <c r="BY335" s="785">
        <f t="shared" si="446"/>
        <v>0</v>
      </c>
      <c r="BZ335" s="785">
        <f t="shared" si="446"/>
        <v>0</v>
      </c>
      <c r="CA335" s="785">
        <f t="shared" si="446"/>
        <v>0</v>
      </c>
      <c r="CB335" s="785">
        <f t="shared" si="446"/>
        <v>0</v>
      </c>
      <c r="CC335" s="785">
        <f t="shared" si="446"/>
        <v>0</v>
      </c>
      <c r="CD335" s="785">
        <f t="shared" si="446"/>
        <v>0</v>
      </c>
      <c r="CE335" s="785">
        <f t="shared" si="446"/>
        <v>0</v>
      </c>
      <c r="CF335" s="785">
        <f t="shared" si="446"/>
        <v>0</v>
      </c>
      <c r="CG335" s="785">
        <f t="shared" si="446"/>
        <v>0</v>
      </c>
      <c r="CH335" s="785">
        <f t="shared" si="446"/>
        <v>0</v>
      </c>
      <c r="CI335" s="785">
        <f t="shared" si="446"/>
        <v>0</v>
      </c>
      <c r="CJ335" s="785">
        <f t="shared" si="446"/>
        <v>0</v>
      </c>
      <c r="CK335" s="785">
        <f t="shared" si="446"/>
        <v>0</v>
      </c>
      <c r="CL335" s="785">
        <f t="shared" si="446"/>
        <v>0</v>
      </c>
      <c r="CM335" s="785">
        <f t="shared" si="446"/>
        <v>0</v>
      </c>
      <c r="CN335" s="785">
        <f t="shared" si="446"/>
        <v>0</v>
      </c>
      <c r="CO335" s="785">
        <f t="shared" si="446"/>
        <v>0</v>
      </c>
      <c r="CP335" s="785">
        <f t="shared" si="446"/>
        <v>0</v>
      </c>
      <c r="CQ335" s="785">
        <f t="shared" si="446"/>
        <v>0</v>
      </c>
      <c r="CR335" s="785">
        <f t="shared" si="446"/>
        <v>0</v>
      </c>
      <c r="CS335" s="785">
        <f t="shared" si="446"/>
        <v>0</v>
      </c>
      <c r="CT335" s="785">
        <f t="shared" si="446"/>
        <v>0</v>
      </c>
      <c r="CU335" s="785">
        <f t="shared" si="446"/>
        <v>0</v>
      </c>
      <c r="CV335" s="785">
        <f t="shared" si="446"/>
        <v>0</v>
      </c>
      <c r="CW335" s="785">
        <f t="shared" si="446"/>
        <v>0</v>
      </c>
      <c r="CX335" s="785">
        <f t="shared" si="446"/>
        <v>0</v>
      </c>
      <c r="CY335" s="785">
        <f t="shared" si="446"/>
        <v>0</v>
      </c>
      <c r="CZ335" s="785">
        <f t="shared" si="446"/>
        <v>0</v>
      </c>
      <c r="DA335" s="785">
        <f t="shared" si="446"/>
        <v>0</v>
      </c>
      <c r="DB335" s="785">
        <f t="shared" si="446"/>
        <v>0</v>
      </c>
      <c r="DC335" s="785">
        <f t="shared" si="446"/>
        <v>0</v>
      </c>
      <c r="DD335" s="785">
        <f t="shared" si="446"/>
        <v>0</v>
      </c>
      <c r="DE335" s="785">
        <f t="shared" si="446"/>
        <v>0</v>
      </c>
      <c r="DF335" s="785">
        <f t="shared" si="446"/>
        <v>0</v>
      </c>
      <c r="DG335" s="785">
        <f t="shared" si="446"/>
        <v>0</v>
      </c>
      <c r="DH335" s="785">
        <f t="shared" si="446"/>
        <v>0</v>
      </c>
      <c r="DI335" s="785">
        <f t="shared" si="446"/>
        <v>0</v>
      </c>
      <c r="DJ335" s="785">
        <f t="shared" si="446"/>
        <v>0</v>
      </c>
      <c r="DK335" s="785">
        <f t="shared" si="446"/>
        <v>0</v>
      </c>
      <c r="DL335" s="785">
        <f t="shared" si="446"/>
        <v>0</v>
      </c>
      <c r="DM335" s="785">
        <f t="shared" si="446"/>
        <v>0</v>
      </c>
      <c r="DN335" s="785">
        <f t="shared" si="446"/>
        <v>0</v>
      </c>
      <c r="DO335" s="785">
        <f t="shared" si="446"/>
        <v>0</v>
      </c>
      <c r="DP335" s="785">
        <f t="shared" si="446"/>
        <v>0</v>
      </c>
      <c r="DQ335" s="785">
        <f t="shared" si="446"/>
        <v>0</v>
      </c>
      <c r="DR335" s="785">
        <f t="shared" si="446"/>
        <v>0</v>
      </c>
      <c r="DS335" s="785">
        <f t="shared" si="446"/>
        <v>0</v>
      </c>
      <c r="DT335" s="785">
        <f t="shared" si="446"/>
        <v>0</v>
      </c>
      <c r="DU335" s="785">
        <f t="shared" si="446"/>
        <v>0</v>
      </c>
      <c r="DV335" s="785">
        <f t="shared" si="446"/>
        <v>0</v>
      </c>
      <c r="DW335" s="785">
        <f t="shared" si="446"/>
        <v>0</v>
      </c>
      <c r="DX335" s="785">
        <f t="shared" si="446"/>
        <v>0</v>
      </c>
      <c r="DY335" s="785">
        <f t="shared" si="446"/>
        <v>0</v>
      </c>
      <c r="DZ335" s="785">
        <f t="shared" si="446"/>
        <v>0</v>
      </c>
      <c r="EA335" s="785">
        <f t="shared" si="446"/>
        <v>0</v>
      </c>
      <c r="EB335" s="785">
        <f t="shared" si="446"/>
        <v>0</v>
      </c>
      <c r="EC335" s="785">
        <f t="shared" si="446"/>
        <v>0</v>
      </c>
      <c r="ED335" s="785">
        <f t="shared" si="446"/>
        <v>0</v>
      </c>
      <c r="EE335" s="785">
        <f t="shared" si="446"/>
        <v>0</v>
      </c>
      <c r="EF335" s="785">
        <f t="shared" si="446"/>
        <v>0</v>
      </c>
      <c r="EG335" s="785">
        <f t="shared" si="446"/>
        <v>0</v>
      </c>
      <c r="EH335" s="785">
        <f t="shared" si="446"/>
        <v>0</v>
      </c>
      <c r="EI335" s="785">
        <f t="shared" ref="EI335:EX335" si="447">EI283*EI338</f>
        <v>0</v>
      </c>
      <c r="EJ335" s="785">
        <f t="shared" si="447"/>
        <v>0</v>
      </c>
      <c r="EK335" s="785">
        <f t="shared" si="447"/>
        <v>0</v>
      </c>
      <c r="EL335" s="785">
        <f t="shared" si="447"/>
        <v>0</v>
      </c>
      <c r="EM335" s="785">
        <f t="shared" si="447"/>
        <v>0</v>
      </c>
      <c r="EN335" s="785">
        <f t="shared" si="447"/>
        <v>0</v>
      </c>
      <c r="EO335" s="785">
        <f t="shared" si="447"/>
        <v>0</v>
      </c>
      <c r="EP335" s="785">
        <f t="shared" si="447"/>
        <v>0</v>
      </c>
      <c r="EQ335" s="785">
        <f t="shared" si="447"/>
        <v>0</v>
      </c>
      <c r="ER335" s="785">
        <f t="shared" si="447"/>
        <v>0</v>
      </c>
      <c r="ES335" s="785">
        <f t="shared" si="447"/>
        <v>0</v>
      </c>
      <c r="ET335" s="785">
        <f t="shared" si="447"/>
        <v>0</v>
      </c>
      <c r="EU335" s="785">
        <f t="shared" si="447"/>
        <v>0</v>
      </c>
      <c r="EV335" s="785">
        <f t="shared" si="447"/>
        <v>0</v>
      </c>
      <c r="EW335" s="785">
        <f t="shared" si="447"/>
        <v>0</v>
      </c>
      <c r="EX335" s="785">
        <f t="shared" si="447"/>
        <v>0</v>
      </c>
      <c r="EY335" s="277">
        <f t="shared" si="423"/>
        <v>0</v>
      </c>
      <c r="EZ335" s="788"/>
      <c r="FA335" s="788"/>
      <c r="FB335" s="788"/>
      <c r="FC335" s="788"/>
      <c r="FD335" s="788"/>
      <c r="FE335" s="788"/>
      <c r="FF335" s="788"/>
      <c r="FG335" s="788"/>
      <c r="FH335" s="788"/>
      <c r="FI335" s="788"/>
      <c r="FJ335" s="788"/>
      <c r="FK335" s="788"/>
      <c r="FL335" s="787">
        <v>9</v>
      </c>
    </row>
    <row r="336" spans="1:168" x14ac:dyDescent="0.25">
      <c r="E336" s="650"/>
      <c r="F336" s="649"/>
      <c r="G336" s="649"/>
      <c r="H336" s="788"/>
      <c r="I336" s="1245"/>
      <c r="J336" s="785">
        <f>J313*J338</f>
        <v>0</v>
      </c>
      <c r="K336" s="785">
        <f t="shared" ref="K336:BV336" si="448">K313*K338</f>
        <v>0</v>
      </c>
      <c r="L336" s="785">
        <f t="shared" si="448"/>
        <v>0</v>
      </c>
      <c r="M336" s="785">
        <f t="shared" si="448"/>
        <v>0</v>
      </c>
      <c r="N336" s="785">
        <f t="shared" si="448"/>
        <v>0</v>
      </c>
      <c r="O336" s="785">
        <f t="shared" si="448"/>
        <v>0</v>
      </c>
      <c r="P336" s="785">
        <f t="shared" si="448"/>
        <v>0</v>
      </c>
      <c r="Q336" s="785">
        <f t="shared" si="448"/>
        <v>0</v>
      </c>
      <c r="R336" s="785">
        <f t="shared" si="448"/>
        <v>0</v>
      </c>
      <c r="S336" s="785">
        <f t="shared" si="448"/>
        <v>0</v>
      </c>
      <c r="T336" s="785">
        <f t="shared" si="448"/>
        <v>0</v>
      </c>
      <c r="U336" s="785">
        <f t="shared" si="448"/>
        <v>0</v>
      </c>
      <c r="V336" s="785">
        <f t="shared" si="448"/>
        <v>0</v>
      </c>
      <c r="W336" s="785">
        <f t="shared" si="448"/>
        <v>0</v>
      </c>
      <c r="X336" s="785">
        <f t="shared" si="448"/>
        <v>0</v>
      </c>
      <c r="Y336" s="785">
        <f t="shared" si="448"/>
        <v>0</v>
      </c>
      <c r="Z336" s="785">
        <f t="shared" si="448"/>
        <v>0</v>
      </c>
      <c r="AA336" s="785">
        <f t="shared" si="448"/>
        <v>0</v>
      </c>
      <c r="AB336" s="785">
        <f t="shared" si="448"/>
        <v>0</v>
      </c>
      <c r="AC336" s="785">
        <f t="shared" si="448"/>
        <v>0</v>
      </c>
      <c r="AD336" s="785">
        <f t="shared" si="448"/>
        <v>0</v>
      </c>
      <c r="AE336" s="785">
        <f t="shared" si="448"/>
        <v>0</v>
      </c>
      <c r="AF336" s="785">
        <f t="shared" si="448"/>
        <v>0</v>
      </c>
      <c r="AG336" s="785">
        <f t="shared" si="448"/>
        <v>0</v>
      </c>
      <c r="AH336" s="785">
        <f t="shared" si="448"/>
        <v>0</v>
      </c>
      <c r="AI336" s="785">
        <f t="shared" si="448"/>
        <v>0</v>
      </c>
      <c r="AJ336" s="785">
        <f t="shared" si="448"/>
        <v>0</v>
      </c>
      <c r="AK336" s="785">
        <f t="shared" si="448"/>
        <v>0</v>
      </c>
      <c r="AL336" s="785">
        <f t="shared" si="448"/>
        <v>0</v>
      </c>
      <c r="AM336" s="785">
        <f t="shared" si="448"/>
        <v>0</v>
      </c>
      <c r="AN336" s="785">
        <f t="shared" si="448"/>
        <v>0</v>
      </c>
      <c r="AO336" s="785">
        <f t="shared" si="448"/>
        <v>0</v>
      </c>
      <c r="AP336" s="785">
        <f t="shared" si="448"/>
        <v>0</v>
      </c>
      <c r="AQ336" s="785">
        <f t="shared" si="448"/>
        <v>0</v>
      </c>
      <c r="AR336" s="785">
        <f t="shared" si="448"/>
        <v>0</v>
      </c>
      <c r="AS336" s="785">
        <f t="shared" si="448"/>
        <v>0</v>
      </c>
      <c r="AT336" s="785">
        <f t="shared" si="448"/>
        <v>0</v>
      </c>
      <c r="AU336" s="785">
        <f t="shared" si="448"/>
        <v>0</v>
      </c>
      <c r="AV336" s="785">
        <f t="shared" si="448"/>
        <v>0</v>
      </c>
      <c r="AW336" s="785">
        <f t="shared" si="448"/>
        <v>0</v>
      </c>
      <c r="AX336" s="785">
        <f t="shared" si="448"/>
        <v>0</v>
      </c>
      <c r="AY336" s="785">
        <f t="shared" si="448"/>
        <v>0</v>
      </c>
      <c r="AZ336" s="785">
        <f t="shared" si="448"/>
        <v>0</v>
      </c>
      <c r="BA336" s="785">
        <f t="shared" si="448"/>
        <v>0</v>
      </c>
      <c r="BB336" s="785">
        <f t="shared" si="448"/>
        <v>0</v>
      </c>
      <c r="BC336" s="785">
        <f t="shared" si="448"/>
        <v>0</v>
      </c>
      <c r="BD336" s="785">
        <f t="shared" si="448"/>
        <v>0</v>
      </c>
      <c r="BE336" s="785">
        <f t="shared" si="448"/>
        <v>0</v>
      </c>
      <c r="BF336" s="785">
        <f t="shared" si="448"/>
        <v>0</v>
      </c>
      <c r="BG336" s="785">
        <f t="shared" si="448"/>
        <v>0</v>
      </c>
      <c r="BH336" s="785">
        <f t="shared" si="448"/>
        <v>0</v>
      </c>
      <c r="BI336" s="785">
        <f t="shared" si="448"/>
        <v>0</v>
      </c>
      <c r="BJ336" s="785">
        <f t="shared" si="448"/>
        <v>0</v>
      </c>
      <c r="BK336" s="785">
        <f t="shared" si="448"/>
        <v>0</v>
      </c>
      <c r="BL336" s="785">
        <f t="shared" si="448"/>
        <v>0</v>
      </c>
      <c r="BM336" s="785">
        <f t="shared" si="448"/>
        <v>0</v>
      </c>
      <c r="BN336" s="785">
        <f t="shared" si="448"/>
        <v>0</v>
      </c>
      <c r="BO336" s="785">
        <f t="shared" si="448"/>
        <v>0</v>
      </c>
      <c r="BP336" s="785">
        <f t="shared" si="448"/>
        <v>0</v>
      </c>
      <c r="BQ336" s="785">
        <f t="shared" si="448"/>
        <v>0</v>
      </c>
      <c r="BR336" s="785">
        <f t="shared" si="448"/>
        <v>0</v>
      </c>
      <c r="BS336" s="785">
        <f t="shared" si="448"/>
        <v>0</v>
      </c>
      <c r="BT336" s="785">
        <f t="shared" si="448"/>
        <v>0</v>
      </c>
      <c r="BU336" s="785">
        <f t="shared" si="448"/>
        <v>0</v>
      </c>
      <c r="BV336" s="785">
        <f t="shared" si="448"/>
        <v>0</v>
      </c>
      <c r="BW336" s="785">
        <f t="shared" ref="BW336:EH336" si="449">BW313*BW338</f>
        <v>0</v>
      </c>
      <c r="BX336" s="785">
        <f t="shared" si="449"/>
        <v>0</v>
      </c>
      <c r="BY336" s="785">
        <f t="shared" si="449"/>
        <v>0</v>
      </c>
      <c r="BZ336" s="785">
        <f t="shared" si="449"/>
        <v>0</v>
      </c>
      <c r="CA336" s="785">
        <f t="shared" si="449"/>
        <v>0</v>
      </c>
      <c r="CB336" s="785">
        <f t="shared" si="449"/>
        <v>0</v>
      </c>
      <c r="CC336" s="785">
        <f t="shared" si="449"/>
        <v>0</v>
      </c>
      <c r="CD336" s="785">
        <f t="shared" si="449"/>
        <v>0</v>
      </c>
      <c r="CE336" s="785">
        <f t="shared" si="449"/>
        <v>0</v>
      </c>
      <c r="CF336" s="785">
        <f t="shared" si="449"/>
        <v>0</v>
      </c>
      <c r="CG336" s="785">
        <f t="shared" si="449"/>
        <v>0</v>
      </c>
      <c r="CH336" s="785">
        <f t="shared" si="449"/>
        <v>0</v>
      </c>
      <c r="CI336" s="785">
        <f t="shared" si="449"/>
        <v>0</v>
      </c>
      <c r="CJ336" s="785">
        <f t="shared" si="449"/>
        <v>0</v>
      </c>
      <c r="CK336" s="785">
        <f t="shared" si="449"/>
        <v>0</v>
      </c>
      <c r="CL336" s="785">
        <f t="shared" si="449"/>
        <v>0</v>
      </c>
      <c r="CM336" s="785">
        <f t="shared" si="449"/>
        <v>0</v>
      </c>
      <c r="CN336" s="785">
        <f t="shared" si="449"/>
        <v>0</v>
      </c>
      <c r="CO336" s="785">
        <f t="shared" si="449"/>
        <v>0</v>
      </c>
      <c r="CP336" s="785">
        <f t="shared" si="449"/>
        <v>0</v>
      </c>
      <c r="CQ336" s="785">
        <f t="shared" si="449"/>
        <v>0</v>
      </c>
      <c r="CR336" s="785">
        <f t="shared" si="449"/>
        <v>0</v>
      </c>
      <c r="CS336" s="785">
        <f t="shared" si="449"/>
        <v>0</v>
      </c>
      <c r="CT336" s="785">
        <f t="shared" si="449"/>
        <v>0</v>
      </c>
      <c r="CU336" s="785">
        <f t="shared" si="449"/>
        <v>0</v>
      </c>
      <c r="CV336" s="785">
        <f t="shared" si="449"/>
        <v>0</v>
      </c>
      <c r="CW336" s="785">
        <f t="shared" si="449"/>
        <v>0</v>
      </c>
      <c r="CX336" s="785">
        <f t="shared" si="449"/>
        <v>0</v>
      </c>
      <c r="CY336" s="785">
        <f t="shared" si="449"/>
        <v>0</v>
      </c>
      <c r="CZ336" s="785">
        <f t="shared" si="449"/>
        <v>0</v>
      </c>
      <c r="DA336" s="785">
        <f t="shared" si="449"/>
        <v>0</v>
      </c>
      <c r="DB336" s="785">
        <f t="shared" si="449"/>
        <v>0</v>
      </c>
      <c r="DC336" s="785">
        <f t="shared" si="449"/>
        <v>0</v>
      </c>
      <c r="DD336" s="785">
        <f t="shared" si="449"/>
        <v>0</v>
      </c>
      <c r="DE336" s="785">
        <f t="shared" si="449"/>
        <v>0</v>
      </c>
      <c r="DF336" s="785">
        <f t="shared" si="449"/>
        <v>0</v>
      </c>
      <c r="DG336" s="785">
        <f t="shared" si="449"/>
        <v>0</v>
      </c>
      <c r="DH336" s="785">
        <f t="shared" si="449"/>
        <v>0</v>
      </c>
      <c r="DI336" s="785">
        <f t="shared" si="449"/>
        <v>0</v>
      </c>
      <c r="DJ336" s="785">
        <f t="shared" si="449"/>
        <v>0</v>
      </c>
      <c r="DK336" s="785">
        <f t="shared" si="449"/>
        <v>0</v>
      </c>
      <c r="DL336" s="785">
        <f t="shared" si="449"/>
        <v>0</v>
      </c>
      <c r="DM336" s="785">
        <f t="shared" si="449"/>
        <v>0</v>
      </c>
      <c r="DN336" s="785">
        <f t="shared" si="449"/>
        <v>0</v>
      </c>
      <c r="DO336" s="785">
        <f t="shared" si="449"/>
        <v>0</v>
      </c>
      <c r="DP336" s="785">
        <f t="shared" si="449"/>
        <v>0</v>
      </c>
      <c r="DQ336" s="785">
        <f t="shared" si="449"/>
        <v>0</v>
      </c>
      <c r="DR336" s="785">
        <f t="shared" si="449"/>
        <v>0</v>
      </c>
      <c r="DS336" s="785">
        <f t="shared" si="449"/>
        <v>0</v>
      </c>
      <c r="DT336" s="785">
        <f t="shared" si="449"/>
        <v>0</v>
      </c>
      <c r="DU336" s="785">
        <f t="shared" si="449"/>
        <v>0</v>
      </c>
      <c r="DV336" s="785">
        <f t="shared" si="449"/>
        <v>0</v>
      </c>
      <c r="DW336" s="785">
        <f t="shared" si="449"/>
        <v>0</v>
      </c>
      <c r="DX336" s="785">
        <f t="shared" si="449"/>
        <v>0</v>
      </c>
      <c r="DY336" s="785">
        <f t="shared" si="449"/>
        <v>0</v>
      </c>
      <c r="DZ336" s="785">
        <f t="shared" si="449"/>
        <v>0</v>
      </c>
      <c r="EA336" s="785">
        <f t="shared" si="449"/>
        <v>0</v>
      </c>
      <c r="EB336" s="785">
        <f t="shared" si="449"/>
        <v>0</v>
      </c>
      <c r="EC336" s="785">
        <f t="shared" si="449"/>
        <v>0</v>
      </c>
      <c r="ED336" s="785">
        <f t="shared" si="449"/>
        <v>0</v>
      </c>
      <c r="EE336" s="785">
        <f t="shared" si="449"/>
        <v>0</v>
      </c>
      <c r="EF336" s="785">
        <f t="shared" si="449"/>
        <v>0</v>
      </c>
      <c r="EG336" s="785">
        <f t="shared" si="449"/>
        <v>0</v>
      </c>
      <c r="EH336" s="785">
        <f t="shared" si="449"/>
        <v>0</v>
      </c>
      <c r="EI336" s="785">
        <f t="shared" ref="EI336:EX336" si="450">EI313*EI338</f>
        <v>0</v>
      </c>
      <c r="EJ336" s="785">
        <f t="shared" si="450"/>
        <v>0</v>
      </c>
      <c r="EK336" s="785">
        <f t="shared" si="450"/>
        <v>0</v>
      </c>
      <c r="EL336" s="785">
        <f t="shared" si="450"/>
        <v>0</v>
      </c>
      <c r="EM336" s="785">
        <f t="shared" si="450"/>
        <v>0</v>
      </c>
      <c r="EN336" s="785">
        <f t="shared" si="450"/>
        <v>0</v>
      </c>
      <c r="EO336" s="785">
        <f t="shared" si="450"/>
        <v>0</v>
      </c>
      <c r="EP336" s="785">
        <f t="shared" si="450"/>
        <v>0</v>
      </c>
      <c r="EQ336" s="785">
        <f t="shared" si="450"/>
        <v>0</v>
      </c>
      <c r="ER336" s="785">
        <f t="shared" si="450"/>
        <v>0</v>
      </c>
      <c r="ES336" s="785">
        <f t="shared" si="450"/>
        <v>0</v>
      </c>
      <c r="ET336" s="785">
        <f t="shared" si="450"/>
        <v>0</v>
      </c>
      <c r="EU336" s="785">
        <f t="shared" si="450"/>
        <v>0</v>
      </c>
      <c r="EV336" s="785">
        <f t="shared" si="450"/>
        <v>0</v>
      </c>
      <c r="EW336" s="785">
        <f t="shared" si="450"/>
        <v>0</v>
      </c>
      <c r="EX336" s="785">
        <f t="shared" si="450"/>
        <v>0</v>
      </c>
      <c r="EY336" s="277">
        <f t="shared" si="423"/>
        <v>0</v>
      </c>
      <c r="EZ336" s="788"/>
      <c r="FA336" s="788"/>
      <c r="FB336" s="788"/>
      <c r="FC336" s="788"/>
      <c r="FD336" s="788"/>
      <c r="FE336" s="788"/>
      <c r="FF336" s="788"/>
      <c r="FG336" s="788"/>
      <c r="FH336" s="788"/>
      <c r="FI336" s="788"/>
      <c r="FJ336" s="788"/>
      <c r="FK336" s="788"/>
      <c r="FL336" s="788">
        <v>10</v>
      </c>
    </row>
    <row r="337" spans="1:168" ht="17.399999999999999" x14ac:dyDescent="0.3">
      <c r="A337" s="1494"/>
      <c r="B337" s="1494"/>
      <c r="C337" s="1494"/>
      <c r="D337" s="1494"/>
      <c r="E337" s="1494"/>
      <c r="F337" s="1494"/>
      <c r="G337" s="1494"/>
      <c r="H337" s="1494"/>
      <c r="I337" s="651"/>
      <c r="J337" s="786">
        <f>SUM(J327:J336)</f>
        <v>170.24</v>
      </c>
      <c r="K337" s="786">
        <f t="shared" ref="K337:BV337" si="451">SUM(K327:K336)</f>
        <v>14.67</v>
      </c>
      <c r="L337" s="786">
        <f t="shared" si="451"/>
        <v>0</v>
      </c>
      <c r="M337" s="786">
        <f t="shared" si="451"/>
        <v>54.4</v>
      </c>
      <c r="N337" s="786">
        <f t="shared" si="451"/>
        <v>0</v>
      </c>
      <c r="O337" s="786">
        <f t="shared" si="451"/>
        <v>0</v>
      </c>
      <c r="P337" s="786">
        <f t="shared" si="451"/>
        <v>0.6</v>
      </c>
      <c r="Q337" s="786">
        <f t="shared" si="451"/>
        <v>0</v>
      </c>
      <c r="R337" s="786">
        <f t="shared" si="451"/>
        <v>0</v>
      </c>
      <c r="S337" s="786">
        <f t="shared" si="451"/>
        <v>52.52</v>
      </c>
      <c r="T337" s="786">
        <f t="shared" si="451"/>
        <v>0</v>
      </c>
      <c r="U337" s="786">
        <f t="shared" si="451"/>
        <v>58.12</v>
      </c>
      <c r="V337" s="786">
        <f t="shared" si="451"/>
        <v>113.75</v>
      </c>
      <c r="W337" s="786">
        <f t="shared" si="451"/>
        <v>49.6</v>
      </c>
      <c r="X337" s="786">
        <f t="shared" si="451"/>
        <v>32.340000000000003</v>
      </c>
      <c r="Y337" s="786">
        <f t="shared" si="451"/>
        <v>24.75</v>
      </c>
      <c r="Z337" s="786">
        <f t="shared" si="451"/>
        <v>7.5</v>
      </c>
      <c r="AA337" s="786">
        <f t="shared" si="451"/>
        <v>0</v>
      </c>
      <c r="AB337" s="786">
        <f t="shared" si="451"/>
        <v>0</v>
      </c>
      <c r="AC337" s="786">
        <f t="shared" si="451"/>
        <v>0</v>
      </c>
      <c r="AD337" s="786">
        <f t="shared" si="451"/>
        <v>0</v>
      </c>
      <c r="AE337" s="786">
        <f t="shared" si="451"/>
        <v>18.18</v>
      </c>
      <c r="AF337" s="786">
        <f t="shared" si="451"/>
        <v>8.4499999999999993</v>
      </c>
      <c r="AG337" s="786">
        <f t="shared" si="451"/>
        <v>0</v>
      </c>
      <c r="AH337" s="786">
        <f t="shared" si="451"/>
        <v>51.43</v>
      </c>
      <c r="AI337" s="786">
        <f t="shared" si="451"/>
        <v>0</v>
      </c>
      <c r="AJ337" s="786">
        <f t="shared" si="451"/>
        <v>0</v>
      </c>
      <c r="AK337" s="786">
        <f t="shared" si="451"/>
        <v>9.51</v>
      </c>
      <c r="AL337" s="786">
        <f t="shared" si="451"/>
        <v>10.94</v>
      </c>
      <c r="AM337" s="786">
        <f t="shared" si="451"/>
        <v>0.2</v>
      </c>
      <c r="AN337" s="786">
        <f t="shared" si="451"/>
        <v>19.27</v>
      </c>
      <c r="AO337" s="786">
        <f t="shared" si="451"/>
        <v>8.08</v>
      </c>
      <c r="AP337" s="786">
        <f t="shared" si="451"/>
        <v>0</v>
      </c>
      <c r="AQ337" s="786">
        <f t="shared" si="451"/>
        <v>10.25</v>
      </c>
      <c r="AR337" s="786">
        <f t="shared" si="451"/>
        <v>0</v>
      </c>
      <c r="AS337" s="786">
        <f t="shared" si="451"/>
        <v>0</v>
      </c>
      <c r="AT337" s="786">
        <f t="shared" si="451"/>
        <v>5.04</v>
      </c>
      <c r="AU337" s="786">
        <f t="shared" si="451"/>
        <v>6.69</v>
      </c>
      <c r="AV337" s="786">
        <f t="shared" si="451"/>
        <v>0</v>
      </c>
      <c r="AW337" s="786">
        <f t="shared" si="451"/>
        <v>0</v>
      </c>
      <c r="AX337" s="786">
        <f t="shared" si="451"/>
        <v>5.39</v>
      </c>
      <c r="AY337" s="786">
        <f t="shared" si="451"/>
        <v>0</v>
      </c>
      <c r="AZ337" s="786">
        <f t="shared" si="451"/>
        <v>0</v>
      </c>
      <c r="BA337" s="786">
        <f t="shared" si="451"/>
        <v>1.89</v>
      </c>
      <c r="BB337" s="786">
        <f t="shared" si="451"/>
        <v>0</v>
      </c>
      <c r="BC337" s="786">
        <f t="shared" si="451"/>
        <v>0</v>
      </c>
      <c r="BD337" s="786">
        <f t="shared" si="451"/>
        <v>0</v>
      </c>
      <c r="BE337" s="786">
        <f t="shared" si="451"/>
        <v>0</v>
      </c>
      <c r="BF337" s="786">
        <f t="shared" si="451"/>
        <v>0</v>
      </c>
      <c r="BG337" s="786">
        <f t="shared" si="451"/>
        <v>0</v>
      </c>
      <c r="BH337" s="786">
        <f t="shared" si="451"/>
        <v>0</v>
      </c>
      <c r="BI337" s="786">
        <f t="shared" si="451"/>
        <v>0</v>
      </c>
      <c r="BJ337" s="786">
        <f t="shared" si="451"/>
        <v>0</v>
      </c>
      <c r="BK337" s="786">
        <f t="shared" si="451"/>
        <v>0</v>
      </c>
      <c r="BL337" s="786">
        <f t="shared" si="451"/>
        <v>0</v>
      </c>
      <c r="BM337" s="786">
        <f t="shared" si="451"/>
        <v>0</v>
      </c>
      <c r="BN337" s="786">
        <f t="shared" si="451"/>
        <v>0</v>
      </c>
      <c r="BO337" s="786">
        <f t="shared" si="451"/>
        <v>0</v>
      </c>
      <c r="BP337" s="786">
        <f t="shared" si="451"/>
        <v>0</v>
      </c>
      <c r="BQ337" s="786">
        <f t="shared" si="451"/>
        <v>0</v>
      </c>
      <c r="BR337" s="786">
        <f t="shared" si="451"/>
        <v>48.79</v>
      </c>
      <c r="BS337" s="786">
        <f t="shared" si="451"/>
        <v>1.05</v>
      </c>
      <c r="BT337" s="786">
        <f t="shared" si="451"/>
        <v>10.89</v>
      </c>
      <c r="BU337" s="786">
        <f t="shared" si="451"/>
        <v>1.64</v>
      </c>
      <c r="BV337" s="786">
        <f t="shared" si="451"/>
        <v>0</v>
      </c>
      <c r="BW337" s="786">
        <f t="shared" ref="BW337:EH337" si="452">SUM(BW327:BW336)</f>
        <v>0</v>
      </c>
      <c r="BX337" s="786">
        <f t="shared" si="452"/>
        <v>0</v>
      </c>
      <c r="BY337" s="786">
        <f t="shared" si="452"/>
        <v>0</v>
      </c>
      <c r="BZ337" s="786">
        <f t="shared" si="452"/>
        <v>0</v>
      </c>
      <c r="CA337" s="786">
        <f t="shared" si="452"/>
        <v>3.24</v>
      </c>
      <c r="CB337" s="786">
        <f t="shared" si="452"/>
        <v>8.23</v>
      </c>
      <c r="CC337" s="786">
        <f t="shared" si="452"/>
        <v>0</v>
      </c>
      <c r="CD337" s="786">
        <f t="shared" si="452"/>
        <v>0</v>
      </c>
      <c r="CE337" s="786">
        <f t="shared" si="452"/>
        <v>0</v>
      </c>
      <c r="CF337" s="786">
        <f t="shared" si="452"/>
        <v>12.41</v>
      </c>
      <c r="CG337" s="786">
        <f t="shared" si="452"/>
        <v>3.63</v>
      </c>
      <c r="CH337" s="786">
        <f t="shared" si="452"/>
        <v>0</v>
      </c>
      <c r="CI337" s="786">
        <f t="shared" si="452"/>
        <v>0.1</v>
      </c>
      <c r="CJ337" s="786">
        <f t="shared" si="452"/>
        <v>0</v>
      </c>
      <c r="CK337" s="786">
        <f t="shared" si="452"/>
        <v>0</v>
      </c>
      <c r="CL337" s="786">
        <f t="shared" si="452"/>
        <v>0</v>
      </c>
      <c r="CM337" s="786">
        <f t="shared" si="452"/>
        <v>4.8</v>
      </c>
      <c r="CN337" s="786">
        <f t="shared" si="452"/>
        <v>0</v>
      </c>
      <c r="CO337" s="786">
        <f t="shared" si="452"/>
        <v>0</v>
      </c>
      <c r="CP337" s="786">
        <f t="shared" si="452"/>
        <v>0</v>
      </c>
      <c r="CQ337" s="786">
        <f t="shared" si="452"/>
        <v>0.47</v>
      </c>
      <c r="CR337" s="786">
        <f t="shared" si="452"/>
        <v>0</v>
      </c>
      <c r="CS337" s="786">
        <f t="shared" si="452"/>
        <v>0.28000000000000003</v>
      </c>
      <c r="CT337" s="786">
        <f t="shared" si="452"/>
        <v>5.75</v>
      </c>
      <c r="CU337" s="786">
        <f t="shared" si="452"/>
        <v>0</v>
      </c>
      <c r="CV337" s="786">
        <f t="shared" si="452"/>
        <v>0</v>
      </c>
      <c r="CW337" s="786">
        <f t="shared" si="452"/>
        <v>0</v>
      </c>
      <c r="CX337" s="786">
        <f t="shared" si="452"/>
        <v>0</v>
      </c>
      <c r="CY337" s="786">
        <f t="shared" si="452"/>
        <v>0</v>
      </c>
      <c r="CZ337" s="786">
        <f t="shared" si="452"/>
        <v>25.16</v>
      </c>
      <c r="DA337" s="786">
        <f t="shared" si="452"/>
        <v>0</v>
      </c>
      <c r="DB337" s="786">
        <f t="shared" si="452"/>
        <v>0</v>
      </c>
      <c r="DC337" s="786">
        <f t="shared" si="452"/>
        <v>1.35</v>
      </c>
      <c r="DD337" s="786">
        <f t="shared" si="452"/>
        <v>3.06</v>
      </c>
      <c r="DE337" s="786">
        <f t="shared" si="452"/>
        <v>10.4</v>
      </c>
      <c r="DF337" s="786">
        <f t="shared" si="452"/>
        <v>13.72</v>
      </c>
      <c r="DG337" s="786">
        <f t="shared" si="452"/>
        <v>0</v>
      </c>
      <c r="DH337" s="786">
        <f t="shared" si="452"/>
        <v>0</v>
      </c>
      <c r="DI337" s="786">
        <f t="shared" si="452"/>
        <v>0</v>
      </c>
      <c r="DJ337" s="786">
        <f t="shared" si="452"/>
        <v>0</v>
      </c>
      <c r="DK337" s="786">
        <f t="shared" si="452"/>
        <v>0</v>
      </c>
      <c r="DL337" s="786">
        <f t="shared" si="452"/>
        <v>1.01</v>
      </c>
      <c r="DM337" s="786">
        <f t="shared" si="452"/>
        <v>1.8</v>
      </c>
      <c r="DN337" s="786">
        <f t="shared" si="452"/>
        <v>0</v>
      </c>
      <c r="DO337" s="786">
        <f t="shared" si="452"/>
        <v>0</v>
      </c>
      <c r="DP337" s="786">
        <f t="shared" si="452"/>
        <v>0</v>
      </c>
      <c r="DQ337" s="786">
        <f t="shared" si="452"/>
        <v>0</v>
      </c>
      <c r="DR337" s="786">
        <f t="shared" si="452"/>
        <v>3.15</v>
      </c>
      <c r="DS337" s="786">
        <f t="shared" si="452"/>
        <v>0</v>
      </c>
      <c r="DT337" s="786">
        <f t="shared" si="452"/>
        <v>0</v>
      </c>
      <c r="DU337" s="786">
        <f t="shared" si="452"/>
        <v>4.1100000000000003</v>
      </c>
      <c r="DV337" s="786">
        <f t="shared" si="452"/>
        <v>0</v>
      </c>
      <c r="DW337" s="786">
        <f t="shared" si="452"/>
        <v>0</v>
      </c>
      <c r="DX337" s="786">
        <f t="shared" si="452"/>
        <v>0</v>
      </c>
      <c r="DY337" s="786">
        <f t="shared" si="452"/>
        <v>0</v>
      </c>
      <c r="DZ337" s="786">
        <f t="shared" si="452"/>
        <v>0</v>
      </c>
      <c r="EA337" s="786">
        <f t="shared" si="452"/>
        <v>225</v>
      </c>
      <c r="EB337" s="786">
        <f t="shared" si="452"/>
        <v>20.3</v>
      </c>
      <c r="EC337" s="786">
        <f t="shared" si="452"/>
        <v>0</v>
      </c>
      <c r="ED337" s="786">
        <f t="shared" si="452"/>
        <v>0</v>
      </c>
      <c r="EE337" s="786">
        <f t="shared" si="452"/>
        <v>0</v>
      </c>
      <c r="EF337" s="786">
        <f t="shared" si="452"/>
        <v>0</v>
      </c>
      <c r="EG337" s="786">
        <f t="shared" si="452"/>
        <v>0</v>
      </c>
      <c r="EH337" s="786">
        <f t="shared" si="452"/>
        <v>0</v>
      </c>
      <c r="EI337" s="786">
        <f t="shared" ref="EI337:EX337" si="453">SUM(EI327:EI336)</f>
        <v>0</v>
      </c>
      <c r="EJ337" s="786">
        <f t="shared" si="453"/>
        <v>0</v>
      </c>
      <c r="EK337" s="786">
        <f t="shared" si="453"/>
        <v>0</v>
      </c>
      <c r="EL337" s="786">
        <f t="shared" si="453"/>
        <v>0</v>
      </c>
      <c r="EM337" s="786">
        <f t="shared" si="453"/>
        <v>0</v>
      </c>
      <c r="EN337" s="786">
        <f t="shared" si="453"/>
        <v>0</v>
      </c>
      <c r="EO337" s="786">
        <f t="shared" si="453"/>
        <v>0</v>
      </c>
      <c r="EP337" s="786">
        <f t="shared" si="453"/>
        <v>0</v>
      </c>
      <c r="EQ337" s="786">
        <f t="shared" si="453"/>
        <v>0</v>
      </c>
      <c r="ER337" s="786">
        <f t="shared" si="453"/>
        <v>0</v>
      </c>
      <c r="ES337" s="786">
        <f t="shared" si="453"/>
        <v>0</v>
      </c>
      <c r="ET337" s="786">
        <f t="shared" si="453"/>
        <v>0</v>
      </c>
      <c r="EU337" s="786">
        <f t="shared" si="453"/>
        <v>0</v>
      </c>
      <c r="EV337" s="786">
        <f t="shared" si="453"/>
        <v>19.309999999999999</v>
      </c>
      <c r="EW337" s="786">
        <f t="shared" si="453"/>
        <v>26.65</v>
      </c>
      <c r="EX337" s="786">
        <f t="shared" si="453"/>
        <v>0</v>
      </c>
      <c r="EY337" s="277">
        <f t="shared" si="423"/>
        <v>1190.1099999999999</v>
      </c>
      <c r="EZ337" s="1178"/>
      <c r="FA337" s="1178"/>
      <c r="FB337" s="1178"/>
      <c r="FC337" s="1178"/>
      <c r="FD337" s="1178"/>
      <c r="FE337" s="1178"/>
      <c r="FF337" s="1178"/>
      <c r="FG337" s="1178"/>
      <c r="FH337" s="1178"/>
      <c r="FI337" s="1178"/>
      <c r="FJ337" s="1178"/>
      <c r="FK337" s="1178"/>
      <c r="FL337" s="1178"/>
    </row>
    <row r="338" spans="1:168" ht="17.399999999999999" x14ac:dyDescent="0.3">
      <c r="A338" s="1042"/>
      <c r="B338" s="1043"/>
      <c r="C338" s="1044"/>
      <c r="D338" s="1044"/>
      <c r="E338" s="1045"/>
      <c r="F338" s="1045"/>
      <c r="G338" s="1046"/>
      <c r="H338" s="1047"/>
      <c r="I338" s="1246"/>
      <c r="J338" s="738">
        <f>цены!$F7</f>
        <v>560</v>
      </c>
      <c r="K338" s="738">
        <f>цены!$F8</f>
        <v>193</v>
      </c>
      <c r="L338" s="738">
        <f>цены!$F9</f>
        <v>195</v>
      </c>
      <c r="M338" s="738">
        <f>цены!$F10</f>
        <v>320</v>
      </c>
      <c r="N338" s="738">
        <f>цены!$F11</f>
        <v>325</v>
      </c>
      <c r="O338" s="738">
        <f>цены!$F12</f>
        <v>400</v>
      </c>
      <c r="P338" s="738">
        <f>цены!$F13</f>
        <v>100</v>
      </c>
      <c r="Q338" s="738">
        <f>цены!$F14</f>
        <v>178</v>
      </c>
      <c r="R338" s="738">
        <f>цены!$F15</f>
        <v>400</v>
      </c>
      <c r="S338" s="738">
        <f>цены!$F16</f>
        <v>332</v>
      </c>
      <c r="T338" s="738">
        <f>цены!$F17</f>
        <v>180</v>
      </c>
      <c r="U338" s="738">
        <f>цены!$F20</f>
        <v>80</v>
      </c>
      <c r="V338" s="738">
        <f>цены!$F21</f>
        <v>710</v>
      </c>
      <c r="W338" s="738">
        <f>цены!$F22</f>
        <v>719</v>
      </c>
      <c r="X338" s="738">
        <f>цены!$F23</f>
        <v>350</v>
      </c>
      <c r="Y338" s="738">
        <f>цены!$F24</f>
        <v>234</v>
      </c>
      <c r="Z338" s="738">
        <f>цены!$F25</f>
        <v>250</v>
      </c>
      <c r="AA338" s="738">
        <f>цены!$F26</f>
        <v>108</v>
      </c>
      <c r="AB338" s="738">
        <f>цены!$F27</f>
        <v>125</v>
      </c>
      <c r="AC338" s="738">
        <f>цены!$F28</f>
        <v>440</v>
      </c>
      <c r="AD338" s="738">
        <f>цены!$F29</f>
        <v>320</v>
      </c>
      <c r="AE338" s="738">
        <f>цены!$F30</f>
        <v>152.16999999999999</v>
      </c>
      <c r="AF338" s="738">
        <f>цены!$F33</f>
        <v>53</v>
      </c>
      <c r="AG338" s="738">
        <f>цены!$F34</f>
        <v>20</v>
      </c>
      <c r="AH338" s="738">
        <f>цены!$F35</f>
        <v>50</v>
      </c>
      <c r="AI338" s="738">
        <f>цены!$F36</f>
        <v>25</v>
      </c>
      <c r="AJ338" s="738">
        <f>цены!$F37</f>
        <v>180</v>
      </c>
      <c r="AK338" s="738">
        <f>цены!$F38</f>
        <v>50</v>
      </c>
      <c r="AL338" s="738">
        <f>цены!$F39</f>
        <v>300</v>
      </c>
      <c r="AM338" s="738">
        <f>цены!$F40</f>
        <v>200</v>
      </c>
      <c r="AN338" s="738">
        <f>цены!$F41</f>
        <v>106</v>
      </c>
      <c r="AO338" s="738">
        <f>цены!$F42</f>
        <v>60</v>
      </c>
      <c r="AP338" s="738">
        <f>цены!$F43</f>
        <v>200</v>
      </c>
      <c r="AQ338" s="738">
        <f>цены!$F44</f>
        <v>50</v>
      </c>
      <c r="AR338" s="738">
        <f>цены!$F45</f>
        <v>35</v>
      </c>
      <c r="AS338" s="738">
        <f>цены!$F46</f>
        <v>250</v>
      </c>
      <c r="AT338" s="738">
        <f>цены!$F47</f>
        <v>300</v>
      </c>
      <c r="AU338" s="738">
        <f>цены!$F48</f>
        <v>300</v>
      </c>
      <c r="AV338" s="738">
        <f>цены!$F49</f>
        <v>260</v>
      </c>
      <c r="AW338" s="738">
        <f>цены!$F50</f>
        <v>260</v>
      </c>
      <c r="AX338" s="738">
        <f>цены!$F51</f>
        <v>30</v>
      </c>
      <c r="AY338" s="738">
        <f>цены!$F52</f>
        <v>36</v>
      </c>
      <c r="AZ338" s="738">
        <f>цены!$F53</f>
        <v>160</v>
      </c>
      <c r="BA338" s="738">
        <f>цены!$F54</f>
        <v>60</v>
      </c>
      <c r="BB338" s="738">
        <f>цены!$F55</f>
        <v>100</v>
      </c>
      <c r="BC338" s="738">
        <f>цены!$F56</f>
        <v>50</v>
      </c>
      <c r="BD338" s="738">
        <f>цены!$F57</f>
        <v>160</v>
      </c>
      <c r="BE338" s="738">
        <f>цены!$F58</f>
        <v>160</v>
      </c>
      <c r="BF338" s="738">
        <f>цены!$F59</f>
        <v>250</v>
      </c>
      <c r="BG338" s="738">
        <f>цены!$F60</f>
        <v>250</v>
      </c>
      <c r="BH338" s="738">
        <f>цены!$F61</f>
        <v>250</v>
      </c>
      <c r="BI338" s="738">
        <f>цены!$F62</f>
        <v>25</v>
      </c>
      <c r="BJ338" s="738">
        <f>цены!$F63</f>
        <v>25</v>
      </c>
      <c r="BK338" s="738">
        <f>цены!$F64</f>
        <v>124</v>
      </c>
      <c r="BL338" s="738">
        <f>цены!$F65</f>
        <v>120</v>
      </c>
      <c r="BM338" s="738">
        <f>цены!$F66</f>
        <v>115</v>
      </c>
      <c r="BN338" s="738">
        <f>цены!$F67</f>
        <v>240</v>
      </c>
      <c r="BO338" s="738">
        <f>цены!$F68</f>
        <v>180</v>
      </c>
      <c r="BP338" s="738">
        <f>цены!$F69</f>
        <v>180</v>
      </c>
      <c r="BQ338" s="738">
        <f>цены!$F70</f>
        <v>250</v>
      </c>
      <c r="BR338" s="738">
        <f>цены!$F71</f>
        <v>91</v>
      </c>
      <c r="BS338" s="738">
        <f>цены!$F74</f>
        <v>36</v>
      </c>
      <c r="BT338" s="738">
        <f>цены!$F75</f>
        <v>100</v>
      </c>
      <c r="BU338" s="738">
        <f>цены!$F76</f>
        <v>40</v>
      </c>
      <c r="BV338" s="738">
        <f>цены!$F77</f>
        <v>40</v>
      </c>
      <c r="BW338" s="738">
        <f>цены!$F78</f>
        <v>35</v>
      </c>
      <c r="BX338" s="738">
        <f>цены!$F79</f>
        <v>35</v>
      </c>
      <c r="BY338" s="738">
        <f>цены!$F80</f>
        <v>35</v>
      </c>
      <c r="BZ338" s="738">
        <f>цены!$F81</f>
        <v>36</v>
      </c>
      <c r="CA338" s="738">
        <f>цены!$F82</f>
        <v>60</v>
      </c>
      <c r="CB338" s="738">
        <f>цены!$F83</f>
        <v>98</v>
      </c>
      <c r="CC338" s="738">
        <f>цены!$F84</f>
        <v>65</v>
      </c>
      <c r="CD338" s="738">
        <f>цены!$F85</f>
        <v>150</v>
      </c>
      <c r="CE338" s="738">
        <f>цены!$F86</f>
        <v>198</v>
      </c>
      <c r="CF338" s="738">
        <f>цены!$F87</f>
        <v>120</v>
      </c>
      <c r="CG338" s="738">
        <f>цены!$F88</f>
        <v>50</v>
      </c>
      <c r="CH338" s="738">
        <f>цены!$F89</f>
        <v>50</v>
      </c>
      <c r="CI338" s="738">
        <f>цены!$F90</f>
        <v>5000</v>
      </c>
      <c r="CJ338" s="738">
        <f>цены!$F91</f>
        <v>100</v>
      </c>
      <c r="CK338" s="738">
        <f>цены!$F92</f>
        <v>40</v>
      </c>
      <c r="CL338" s="738">
        <f>цены!$F93</f>
        <v>455</v>
      </c>
      <c r="CM338" s="738">
        <f>цены!$F94</f>
        <v>400</v>
      </c>
      <c r="CN338" s="738">
        <f>цены!$F95</f>
        <v>625</v>
      </c>
      <c r="CO338" s="738">
        <f>цены!$F96</f>
        <v>435</v>
      </c>
      <c r="CP338" s="738">
        <f>цены!$F97</f>
        <v>150</v>
      </c>
      <c r="CQ338" s="738">
        <f>цены!$F98</f>
        <v>290</v>
      </c>
      <c r="CR338" s="738">
        <f>цены!$F99</f>
        <v>111</v>
      </c>
      <c r="CS338" s="738">
        <f>цены!$F100</f>
        <v>1000</v>
      </c>
      <c r="CT338" s="738">
        <f>цены!$F101</f>
        <v>120</v>
      </c>
      <c r="CU338" s="738">
        <f>цены!$F102</f>
        <v>120</v>
      </c>
      <c r="CV338" s="738">
        <f>цены!$F103</f>
        <v>112</v>
      </c>
      <c r="CW338" s="738">
        <f>цены!$F104</f>
        <v>140</v>
      </c>
      <c r="CX338" s="738">
        <f>цены!$F105</f>
        <v>160</v>
      </c>
      <c r="CY338" s="738">
        <f>цены!$F106</f>
        <v>400</v>
      </c>
      <c r="CZ338" s="738">
        <f>цены!$F107</f>
        <v>76</v>
      </c>
      <c r="DA338" s="738">
        <f>цены!$F108</f>
        <v>140</v>
      </c>
      <c r="DB338" s="738">
        <f>цены!$F109</f>
        <v>39</v>
      </c>
      <c r="DC338" s="738">
        <f>цены!$F110</f>
        <v>24</v>
      </c>
      <c r="DD338" s="738">
        <f>цены!$F111</f>
        <v>118</v>
      </c>
      <c r="DE338" s="738">
        <f>цены!$F112</f>
        <v>130</v>
      </c>
      <c r="DF338" s="738">
        <f>цены!$F113</f>
        <v>230</v>
      </c>
      <c r="DG338" s="738">
        <f>цены!$F114</f>
        <v>120</v>
      </c>
      <c r="DH338" s="738">
        <f>цены!$F115</f>
        <v>100</v>
      </c>
      <c r="DI338" s="738">
        <f>цены!$F116</f>
        <v>2000</v>
      </c>
      <c r="DJ338" s="738">
        <f>цены!$F117</f>
        <v>1210</v>
      </c>
      <c r="DK338" s="738">
        <f>цены!$F118</f>
        <v>1420</v>
      </c>
      <c r="DL338" s="738">
        <f>цены!$F119</f>
        <v>50</v>
      </c>
      <c r="DM338" s="738">
        <f>цены!$F120</f>
        <v>180</v>
      </c>
      <c r="DN338" s="738">
        <f>цены!$F121</f>
        <v>125</v>
      </c>
      <c r="DO338" s="738">
        <f>цены!$F122</f>
        <v>250</v>
      </c>
      <c r="DP338" s="738">
        <f>цены!$F123</f>
        <v>250</v>
      </c>
      <c r="DQ338" s="738">
        <f>цены!$F124</f>
        <v>250</v>
      </c>
      <c r="DR338" s="738">
        <f>цены!$F125</f>
        <v>900</v>
      </c>
      <c r="DS338" s="738">
        <f>цены!$F126</f>
        <v>130</v>
      </c>
      <c r="DT338" s="738">
        <f>цены!$F127</f>
        <v>181</v>
      </c>
      <c r="DU338" s="738">
        <f>цены!$F128</f>
        <v>126</v>
      </c>
      <c r="DV338" s="738">
        <f>цены!$F129</f>
        <v>147</v>
      </c>
      <c r="DW338" s="738">
        <f>цены!$F130</f>
        <v>143</v>
      </c>
      <c r="DX338" s="738">
        <f>цены!$F131</f>
        <v>180</v>
      </c>
      <c r="DY338" s="738">
        <f>цены!$F132</f>
        <v>1420</v>
      </c>
      <c r="DZ338" s="738">
        <f>цены!$F133</f>
        <v>1420</v>
      </c>
      <c r="EA338" s="738">
        <f>цены!$F134</f>
        <v>750</v>
      </c>
      <c r="EB338" s="738">
        <f>цены!$F135</f>
        <v>5.79</v>
      </c>
      <c r="EC338" s="738">
        <f>цены!$F136</f>
        <v>120</v>
      </c>
      <c r="ED338" s="738">
        <f>цены!$F137</f>
        <v>72</v>
      </c>
      <c r="EE338" s="738">
        <f>цены!$F138</f>
        <v>120</v>
      </c>
      <c r="EF338" s="738">
        <f>цены!$F139</f>
        <v>215</v>
      </c>
      <c r="EG338" s="738">
        <f>цены!$F140</f>
        <v>135</v>
      </c>
      <c r="EH338" s="738">
        <f>цены!$F141</f>
        <v>130</v>
      </c>
      <c r="EI338" s="738">
        <f>цены!$F142</f>
        <v>75</v>
      </c>
      <c r="EJ338" s="738">
        <f>цены!$F143</f>
        <v>26</v>
      </c>
      <c r="EK338" s="738">
        <f>цены!$F144</f>
        <v>385</v>
      </c>
      <c r="EL338" s="738">
        <f>цены!$F145</f>
        <v>200</v>
      </c>
      <c r="EM338" s="738">
        <f>цены!$F146</f>
        <v>1000</v>
      </c>
      <c r="EN338" s="738">
        <f>цены!$F147</f>
        <v>340</v>
      </c>
      <c r="EO338" s="738">
        <f>цены!$F148</f>
        <v>630</v>
      </c>
      <c r="EP338" s="738">
        <f>цены!$F149</f>
        <v>430</v>
      </c>
      <c r="EQ338" s="738">
        <f>цены!$F150</f>
        <v>275</v>
      </c>
      <c r="ER338" s="738">
        <f>цены!$F151</f>
        <v>350</v>
      </c>
      <c r="ES338" s="738">
        <f>цены!$F152</f>
        <v>275</v>
      </c>
      <c r="ET338" s="738">
        <f>цены!$F153</f>
        <v>0</v>
      </c>
      <c r="EU338" s="738">
        <f>цены!$F154</f>
        <v>0</v>
      </c>
      <c r="EV338" s="738">
        <f>цены!$F157</f>
        <v>65</v>
      </c>
      <c r="EW338" s="738">
        <f>цены!$F158</f>
        <v>65</v>
      </c>
      <c r="EX338" s="738">
        <f>цены!$F159</f>
        <v>69</v>
      </c>
      <c r="EY338" s="277">
        <f>SUM(J338:EX338)</f>
        <v>40123.96</v>
      </c>
      <c r="EZ338" s="1047"/>
      <c r="FA338" s="1047"/>
      <c r="FB338" s="1047"/>
      <c r="FC338" s="1047"/>
      <c r="FD338" s="1047"/>
      <c r="FE338" s="1047"/>
      <c r="FF338" s="1047"/>
      <c r="FG338" s="1047"/>
      <c r="FH338" s="1047"/>
      <c r="FI338" s="1047"/>
      <c r="FJ338" s="1047"/>
      <c r="FK338" s="1047"/>
      <c r="FL338" s="1047"/>
    </row>
    <row r="339" spans="1:168" s="759" customFormat="1" ht="17.399999999999999" x14ac:dyDescent="0.3">
      <c r="A339" s="1119"/>
      <c r="B339" s="1120"/>
      <c r="C339" s="1121"/>
      <c r="D339" s="1121"/>
      <c r="E339" s="1122"/>
      <c r="F339" s="1122"/>
      <c r="G339" s="1123"/>
      <c r="H339" s="1124"/>
      <c r="I339" s="1247"/>
      <c r="J339" s="1127"/>
      <c r="K339" s="1127"/>
      <c r="L339" s="1127"/>
      <c r="M339" s="1127"/>
      <c r="N339" s="1127"/>
      <c r="O339" s="1127"/>
      <c r="P339" s="1127"/>
      <c r="Q339" s="1127"/>
      <c r="R339" s="1127"/>
      <c r="S339" s="1127"/>
      <c r="T339" s="1127"/>
      <c r="U339" s="1127"/>
      <c r="V339" s="1127"/>
      <c r="W339" s="1127"/>
      <c r="X339" s="1127"/>
      <c r="Y339" s="1127"/>
      <c r="Z339" s="1127"/>
      <c r="AA339" s="1127"/>
      <c r="AB339" s="1127"/>
      <c r="AC339" s="1127"/>
      <c r="AD339" s="1127"/>
      <c r="AE339" s="1127"/>
      <c r="AF339" s="1127"/>
      <c r="AG339" s="1127"/>
      <c r="AH339" s="1127"/>
      <c r="AI339" s="1127"/>
      <c r="AJ339" s="1127"/>
      <c r="AK339" s="1127"/>
      <c r="AL339" s="1127"/>
      <c r="AM339" s="1127"/>
      <c r="AN339" s="1127"/>
      <c r="AO339" s="1127"/>
      <c r="AP339" s="1127"/>
      <c r="AQ339" s="1127"/>
      <c r="AR339" s="1127"/>
      <c r="AS339" s="1127"/>
      <c r="AT339" s="1127"/>
      <c r="AU339" s="1127"/>
      <c r="AV339" s="1127"/>
      <c r="AW339" s="1127"/>
      <c r="AX339" s="1127"/>
      <c r="AY339" s="1127"/>
      <c r="AZ339" s="1127"/>
      <c r="BA339" s="1127"/>
      <c r="BB339" s="1127"/>
      <c r="BC339" s="1127"/>
      <c r="BD339" s="1127"/>
      <c r="BE339" s="1127"/>
      <c r="BF339" s="1127"/>
      <c r="BG339" s="1127"/>
      <c r="BH339" s="1127"/>
      <c r="BI339" s="1127"/>
      <c r="BJ339" s="1127"/>
      <c r="BK339" s="1127"/>
      <c r="BL339" s="1127"/>
      <c r="BM339" s="1127"/>
      <c r="BN339" s="1127"/>
      <c r="BO339" s="1127"/>
      <c r="BP339" s="1127"/>
      <c r="BQ339" s="1127"/>
      <c r="BR339" s="1127"/>
      <c r="BS339" s="1127"/>
      <c r="BT339" s="1127"/>
      <c r="BU339" s="1127"/>
      <c r="BV339" s="1127"/>
      <c r="BW339" s="1127"/>
      <c r="BX339" s="1127"/>
      <c r="BY339" s="1127"/>
      <c r="BZ339" s="1127"/>
      <c r="CA339" s="1127"/>
      <c r="CB339" s="1127"/>
      <c r="CC339" s="1127"/>
      <c r="CD339" s="1127"/>
      <c r="CE339" s="1127"/>
      <c r="CF339" s="1127"/>
      <c r="CG339" s="1127"/>
      <c r="CH339" s="1127"/>
      <c r="CI339" s="1127"/>
      <c r="CJ339" s="1127"/>
      <c r="CK339" s="1127"/>
      <c r="CL339" s="1127"/>
      <c r="CM339" s="1127"/>
      <c r="CN339" s="1127"/>
      <c r="CO339" s="1127"/>
      <c r="CP339" s="1127"/>
      <c r="CQ339" s="1127"/>
      <c r="CR339" s="1127"/>
      <c r="CS339" s="1127"/>
      <c r="CT339" s="1127"/>
      <c r="CU339" s="1127"/>
      <c r="CV339" s="1127"/>
      <c r="CW339" s="1127"/>
      <c r="CX339" s="1127"/>
      <c r="CY339" s="1127"/>
      <c r="CZ339" s="1127"/>
      <c r="DA339" s="1127"/>
      <c r="DB339" s="1127"/>
      <c r="DC339" s="1127"/>
      <c r="DD339" s="1127"/>
      <c r="DE339" s="1127"/>
      <c r="DF339" s="1127"/>
      <c r="DG339" s="1127"/>
      <c r="DH339" s="1127"/>
      <c r="DI339" s="1127"/>
      <c r="DJ339" s="1127"/>
      <c r="DK339" s="1127"/>
      <c r="DL339" s="1127"/>
      <c r="DM339" s="1127"/>
      <c r="DN339" s="1127"/>
      <c r="DO339" s="1127"/>
      <c r="DP339" s="1127"/>
      <c r="DQ339" s="1127"/>
      <c r="DR339" s="1127"/>
      <c r="DS339" s="1127"/>
      <c r="DT339" s="1127"/>
      <c r="DU339" s="1127"/>
      <c r="DV339" s="1127"/>
      <c r="DW339" s="1127"/>
      <c r="DX339" s="1127"/>
      <c r="DY339" s="1127"/>
      <c r="DZ339" s="1127"/>
      <c r="EA339" s="1127"/>
      <c r="EB339" s="1127"/>
      <c r="EC339" s="1127"/>
      <c r="ED339" s="1127"/>
      <c r="EE339" s="1127"/>
      <c r="EF339" s="1127"/>
      <c r="EG339" s="1127"/>
      <c r="EH339" s="1127"/>
      <c r="EI339" s="1127"/>
      <c r="EJ339" s="1127"/>
      <c r="EK339" s="1127"/>
      <c r="EL339" s="1127"/>
      <c r="EM339" s="1127"/>
      <c r="EN339" s="1127"/>
      <c r="EO339" s="1127"/>
      <c r="EP339" s="1127"/>
      <c r="EQ339" s="1127"/>
      <c r="ER339" s="1127"/>
      <c r="ES339" s="1127"/>
      <c r="ET339" s="1127"/>
      <c r="EU339" s="1127"/>
      <c r="EV339" s="1127"/>
      <c r="EW339" s="1127"/>
      <c r="EX339" s="1127"/>
      <c r="EY339" s="1128"/>
      <c r="EZ339" s="1125"/>
      <c r="FA339" s="1126"/>
      <c r="FB339" s="1126"/>
      <c r="FC339" s="1126"/>
      <c r="FD339" s="1126"/>
      <c r="FE339" s="1126"/>
      <c r="FF339" s="1126"/>
      <c r="FG339" s="1126"/>
      <c r="FH339" s="1126"/>
      <c r="FI339" s="1126"/>
      <c r="FJ339" s="1126"/>
      <c r="FK339" s="1126"/>
      <c r="FL339" s="1126"/>
    </row>
    <row r="340" spans="1:168" s="1034" customFormat="1" ht="17.399999999999999" x14ac:dyDescent="0.25">
      <c r="A340" s="262"/>
      <c r="B340" s="1091" t="s">
        <v>1169</v>
      </c>
      <c r="C340" s="637"/>
      <c r="D340" s="637"/>
      <c r="E340" s="652"/>
      <c r="F340" s="652"/>
      <c r="G340" s="1498" t="s">
        <v>317</v>
      </c>
      <c r="H340" s="1499"/>
      <c r="I340" s="1236"/>
      <c r="FA340" s="1049"/>
      <c r="FB340" s="1049"/>
      <c r="FC340" s="1049"/>
      <c r="FD340" s="1049"/>
      <c r="FE340" s="1049"/>
      <c r="FF340" s="1049"/>
      <c r="FG340" s="1049"/>
      <c r="FH340" s="1049"/>
      <c r="FI340" s="1049"/>
      <c r="FJ340" s="1049"/>
      <c r="FK340" s="1049"/>
      <c r="FL340" s="1049"/>
    </row>
    <row r="341" spans="1:168" s="1034" customFormat="1" ht="66" x14ac:dyDescent="0.25">
      <c r="A341" s="261"/>
      <c r="B341" s="261" t="s">
        <v>232</v>
      </c>
      <c r="C341" s="638" t="s">
        <v>233</v>
      </c>
      <c r="D341" s="638" t="s">
        <v>108</v>
      </c>
      <c r="E341" s="691" t="s">
        <v>228</v>
      </c>
      <c r="F341" s="654" t="s">
        <v>1232</v>
      </c>
      <c r="G341" s="655" t="s">
        <v>221</v>
      </c>
      <c r="H341" s="656" t="s">
        <v>316</v>
      </c>
      <c r="I341" s="1248" t="s">
        <v>315</v>
      </c>
      <c r="EZ341" s="673" t="s">
        <v>315</v>
      </c>
      <c r="FA341" s="1049"/>
      <c r="FB341" s="1049"/>
      <c r="FC341" s="1049"/>
      <c r="FD341" s="1049"/>
      <c r="FE341" s="1049"/>
      <c r="FF341" s="1049"/>
      <c r="FG341" s="1049"/>
      <c r="FH341" s="1049"/>
      <c r="FI341" s="1049"/>
      <c r="FJ341" s="1049"/>
      <c r="FK341" s="1049"/>
      <c r="FL341" s="1049"/>
    </row>
    <row r="342" spans="1:168" s="1034" customFormat="1" x14ac:dyDescent="0.25">
      <c r="A342" s="145"/>
      <c r="B342" s="427" t="s">
        <v>310</v>
      </c>
      <c r="C342" s="750"/>
      <c r="D342" s="750"/>
      <c r="E342" s="657"/>
      <c r="F342" s="658"/>
      <c r="G342" s="658"/>
      <c r="H342" s="674"/>
      <c r="I342" s="658"/>
      <c r="EZ342" s="674"/>
      <c r="FA342" s="1049"/>
      <c r="FB342" s="1049"/>
      <c r="FC342" s="1049"/>
      <c r="FD342" s="1049"/>
      <c r="FE342" s="1049"/>
      <c r="FF342" s="1049"/>
      <c r="FG342" s="1049"/>
      <c r="FH342" s="1049"/>
      <c r="FI342" s="1049"/>
      <c r="FJ342" s="1049"/>
      <c r="FK342" s="1049"/>
      <c r="FL342" s="1049"/>
    </row>
    <row r="343" spans="1:168" s="1034" customFormat="1" x14ac:dyDescent="0.25">
      <c r="A343" s="133">
        <v>1</v>
      </c>
      <c r="B343" s="770" t="str">
        <f>J14</f>
        <v>Говядина (бескостное мясо)</v>
      </c>
      <c r="C343" s="710" t="e">
        <f>#REF!+#REF!+#REF!+#REF!+#REF!+#REF!+#REF!+#REF!+#REF!+#REF!</f>
        <v>#REF!</v>
      </c>
      <c r="D343" s="779">
        <f>цены!$F$7</f>
        <v>560</v>
      </c>
      <c r="E343" s="1191" t="e">
        <f>#REF!+#REF!+#REF!+#REF!+#REF!+#REF!+#REF!+#REF!+#REF!+#REF!</f>
        <v>#REF!</v>
      </c>
      <c r="F343" s="710" t="e">
        <f>#REF!+#REF!+#REF!+#REF!+#REF!+#REF!+#REF!+#REF!+#REF!+#REF!</f>
        <v>#REF!</v>
      </c>
      <c r="G343" s="710" t="e">
        <f>#REF!+#REF!+#REF!+#REF!+#REF!+#REF!+#REF!+#REF!+#REF!+#REF!</f>
        <v>#REF!</v>
      </c>
      <c r="H343" s="1255"/>
      <c r="I343" s="659"/>
      <c r="EZ343" s="673"/>
      <c r="FA343" s="1049"/>
      <c r="FB343" s="1049"/>
      <c r="FC343" s="1049"/>
      <c r="FD343" s="1049"/>
      <c r="FE343" s="1049"/>
      <c r="FF343" s="1049"/>
      <c r="FG343" s="1049"/>
      <c r="FH343" s="1049"/>
      <c r="FI343" s="1049"/>
      <c r="FJ343" s="1049"/>
      <c r="FK343" s="1049"/>
      <c r="FL343" s="1049"/>
    </row>
    <row r="344" spans="1:168" s="1034" customFormat="1" x14ac:dyDescent="0.25">
      <c r="A344" s="133">
        <v>2</v>
      </c>
      <c r="B344" s="770" t="str">
        <f>K14</f>
        <v>Мясо птицы  (окорочка, бедра) охлажденные</v>
      </c>
      <c r="C344" s="710" t="e">
        <f>#REF!+#REF!+#REF!+#REF!+#REF!+#REF!+#REF!+#REF!+#REF!+#REF!</f>
        <v>#REF!</v>
      </c>
      <c r="D344" s="779">
        <f>цены!$F$8</f>
        <v>193</v>
      </c>
      <c r="E344" s="802" t="e">
        <f>E$343</f>
        <v>#REF!</v>
      </c>
      <c r="F344" s="710" t="e">
        <f>#REF!+#REF!+#REF!+#REF!+#REF!+#REF!+#REF!+#REF!+#REF!+#REF!</f>
        <v>#REF!</v>
      </c>
      <c r="G344" s="710" t="e">
        <f>#REF!+#REF!+#REF!+#REF!+#REF!+#REF!+#REF!+#REF!+#REF!+#REF!</f>
        <v>#REF!</v>
      </c>
      <c r="H344" s="1256"/>
      <c r="I344" s="659"/>
      <c r="EZ344" s="675"/>
      <c r="FA344" s="1049"/>
      <c r="FB344" s="1049"/>
      <c r="FC344" s="1049"/>
      <c r="FD344" s="1049"/>
      <c r="FE344" s="1049"/>
      <c r="FF344" s="1049"/>
      <c r="FG344" s="1049"/>
      <c r="FH344" s="1049"/>
      <c r="FI344" s="1049"/>
      <c r="FJ344" s="1049"/>
      <c r="FK344" s="1049"/>
      <c r="FL344" s="1049"/>
    </row>
    <row r="345" spans="1:168" s="1034" customFormat="1" x14ac:dyDescent="0.25">
      <c r="A345" s="133">
        <v>3</v>
      </c>
      <c r="B345" s="770" t="str">
        <f>L14</f>
        <v>Мясо птицы  (тушка)</v>
      </c>
      <c r="C345" s="710" t="e">
        <f>#REF!+#REF!+#REF!+#REF!+#REF!+#REF!+#REF!+#REF!+#REF!+#REF!</f>
        <v>#REF!</v>
      </c>
      <c r="D345" s="779">
        <f>цены!$F$9</f>
        <v>195</v>
      </c>
      <c r="E345" s="802" t="e">
        <f t="shared" ref="E345:E353" si="454">E$343</f>
        <v>#REF!</v>
      </c>
      <c r="F345" s="710" t="e">
        <f>#REF!+#REF!+#REF!+#REF!+#REF!+#REF!+#REF!+#REF!+#REF!+#REF!</f>
        <v>#REF!</v>
      </c>
      <c r="G345" s="710" t="e">
        <f>#REF!+#REF!+#REF!+#REF!+#REF!+#REF!+#REF!+#REF!+#REF!+#REF!</f>
        <v>#REF!</v>
      </c>
      <c r="H345" s="1256"/>
      <c r="I345" s="659"/>
      <c r="EZ345" s="675"/>
      <c r="FA345" s="1049"/>
      <c r="FB345" s="1049"/>
      <c r="FC345" s="1049"/>
      <c r="FD345" s="1049"/>
      <c r="FE345" s="1049"/>
      <c r="FF345" s="1049"/>
      <c r="FG345" s="1049"/>
      <c r="FH345" s="1049"/>
      <c r="FI345" s="1049"/>
      <c r="FJ345" s="1049"/>
      <c r="FK345" s="1049"/>
      <c r="FL345" s="1049"/>
    </row>
    <row r="346" spans="1:168" s="1034" customFormat="1" x14ac:dyDescent="0.25">
      <c r="A346" s="133">
        <v>4</v>
      </c>
      <c r="B346" s="770" t="str">
        <f>M14</f>
        <v>Мясо птицы филе</v>
      </c>
      <c r="C346" s="710" t="e">
        <f>#REF!+#REF!+#REF!+#REF!+#REF!+#REF!+#REF!+#REF!+#REF!+#REF!</f>
        <v>#REF!</v>
      </c>
      <c r="D346" s="779">
        <f>цены!$F$10</f>
        <v>320</v>
      </c>
      <c r="E346" s="802" t="e">
        <f t="shared" si="454"/>
        <v>#REF!</v>
      </c>
      <c r="F346" s="710" t="e">
        <f>#REF!+#REF!+#REF!+#REF!+#REF!+#REF!+#REF!+#REF!+#REF!+#REF!</f>
        <v>#REF!</v>
      </c>
      <c r="G346" s="710" t="e">
        <f>#REF!+#REF!+#REF!+#REF!+#REF!+#REF!+#REF!+#REF!+#REF!+#REF!</f>
        <v>#REF!</v>
      </c>
      <c r="H346" s="1256"/>
      <c r="I346" s="659"/>
      <c r="EZ346" s="675"/>
      <c r="FA346" s="1049"/>
      <c r="FB346" s="1049"/>
      <c r="FC346" s="1049"/>
      <c r="FD346" s="1049"/>
      <c r="FE346" s="1049"/>
      <c r="FF346" s="1049"/>
      <c r="FG346" s="1049"/>
      <c r="FH346" s="1049"/>
      <c r="FI346" s="1049"/>
      <c r="FJ346" s="1049"/>
      <c r="FK346" s="1049"/>
      <c r="FL346" s="1049"/>
    </row>
    <row r="347" spans="1:168" s="1034" customFormat="1" x14ac:dyDescent="0.25">
      <c r="A347" s="133">
        <v>5</v>
      </c>
      <c r="B347" s="770" t="str">
        <f>N14</f>
        <v xml:space="preserve">Сосиски "Халяль" </v>
      </c>
      <c r="C347" s="710" t="e">
        <f>#REF!+#REF!+#REF!+#REF!+#REF!+#REF!+#REF!+#REF!+#REF!+#REF!</f>
        <v>#REF!</v>
      </c>
      <c r="D347" s="779">
        <f>цены!$F$11</f>
        <v>325</v>
      </c>
      <c r="E347" s="802" t="e">
        <f t="shared" si="454"/>
        <v>#REF!</v>
      </c>
      <c r="F347" s="710" t="e">
        <f>#REF!+#REF!+#REF!+#REF!+#REF!+#REF!+#REF!+#REF!+#REF!+#REF!</f>
        <v>#REF!</v>
      </c>
      <c r="G347" s="710" t="e">
        <f>#REF!+#REF!+#REF!+#REF!+#REF!+#REF!+#REF!+#REF!+#REF!+#REF!</f>
        <v>#REF!</v>
      </c>
      <c r="H347" s="1256"/>
      <c r="I347" s="659"/>
      <c r="EZ347" s="675"/>
      <c r="FA347" s="1049"/>
      <c r="FB347" s="1049"/>
      <c r="FC347" s="1049"/>
      <c r="FD347" s="1049"/>
      <c r="FE347" s="1049"/>
      <c r="FF347" s="1049"/>
      <c r="FG347" s="1049"/>
      <c r="FH347" s="1049"/>
      <c r="FI347" s="1049"/>
      <c r="FJ347" s="1049"/>
      <c r="FK347" s="1049"/>
      <c r="FL347" s="1049"/>
    </row>
    <row r="348" spans="1:168" s="1034" customFormat="1" x14ac:dyDescent="0.25">
      <c r="A348" s="133">
        <v>6</v>
      </c>
      <c r="B348" s="770" t="str">
        <f>O14</f>
        <v>Колбаса полукопченная</v>
      </c>
      <c r="C348" s="710" t="e">
        <f>#REF!+#REF!+#REF!+#REF!+#REF!+#REF!+#REF!+#REF!+#REF!+#REF!</f>
        <v>#REF!</v>
      </c>
      <c r="D348" s="779">
        <f>цены!$F$12</f>
        <v>400</v>
      </c>
      <c r="E348" s="802" t="e">
        <f t="shared" si="454"/>
        <v>#REF!</v>
      </c>
      <c r="F348" s="710" t="e">
        <f>#REF!+#REF!+#REF!+#REF!+#REF!+#REF!+#REF!+#REF!+#REF!+#REF!</f>
        <v>#REF!</v>
      </c>
      <c r="G348" s="710" t="e">
        <f>#REF!+#REF!+#REF!+#REF!+#REF!+#REF!+#REF!+#REF!+#REF!+#REF!</f>
        <v>#REF!</v>
      </c>
      <c r="H348" s="1256"/>
      <c r="I348" s="659"/>
      <c r="EZ348" s="675"/>
      <c r="FA348" s="1049"/>
      <c r="FB348" s="1049"/>
      <c r="FC348" s="1049"/>
      <c r="FD348" s="1049"/>
      <c r="FE348" s="1049"/>
      <c r="FF348" s="1049"/>
      <c r="FG348" s="1049"/>
      <c r="FH348" s="1049"/>
      <c r="FI348" s="1049"/>
      <c r="FJ348" s="1049"/>
      <c r="FK348" s="1049"/>
      <c r="FL348" s="1049"/>
    </row>
    <row r="349" spans="1:168" s="1034" customFormat="1" x14ac:dyDescent="0.25">
      <c r="A349" s="133">
        <v>7</v>
      </c>
      <c r="B349" s="770" t="str">
        <f>P14</f>
        <v>Жир сырой крупного рогатого скота</v>
      </c>
      <c r="C349" s="710" t="e">
        <f>#REF!+#REF!+#REF!+#REF!+#REF!+#REF!+#REF!+#REF!+#REF!+#REF!</f>
        <v>#REF!</v>
      </c>
      <c r="D349" s="779">
        <f>цены!$F$13</f>
        <v>100</v>
      </c>
      <c r="E349" s="802" t="e">
        <f t="shared" si="454"/>
        <v>#REF!</v>
      </c>
      <c r="F349" s="710" t="e">
        <f>#REF!+#REF!+#REF!+#REF!+#REF!+#REF!+#REF!+#REF!+#REF!+#REF!</f>
        <v>#REF!</v>
      </c>
      <c r="G349" s="710" t="e">
        <f>#REF!+#REF!+#REF!+#REF!+#REF!+#REF!+#REF!+#REF!+#REF!+#REF!</f>
        <v>#REF!</v>
      </c>
      <c r="H349" s="1256"/>
      <c r="I349" s="659"/>
      <c r="EZ349" s="675"/>
      <c r="FA349" s="1049"/>
      <c r="FB349" s="1049"/>
      <c r="FC349" s="1049"/>
      <c r="FD349" s="1049"/>
      <c r="FE349" s="1049"/>
      <c r="FF349" s="1049"/>
      <c r="FG349" s="1049"/>
      <c r="FH349" s="1049"/>
      <c r="FI349" s="1049"/>
      <c r="FJ349" s="1049"/>
      <c r="FK349" s="1049"/>
      <c r="FL349" s="1049"/>
    </row>
    <row r="350" spans="1:168" s="1034" customFormat="1" ht="26.4" x14ac:dyDescent="0.25">
      <c r="A350" s="133">
        <v>8</v>
      </c>
      <c r="B350" s="771" t="str">
        <f>Q14</f>
        <v>Минтай (рыба замороженная, обезглавленная, потрошеная)</v>
      </c>
      <c r="C350" s="710" t="e">
        <f>#REF!+#REF!+#REF!+#REF!+#REF!+#REF!+#REF!+#REF!+#REF!+#REF!</f>
        <v>#REF!</v>
      </c>
      <c r="D350" s="779">
        <f>цены!$F$14</f>
        <v>178</v>
      </c>
      <c r="E350" s="802" t="e">
        <f t="shared" si="454"/>
        <v>#REF!</v>
      </c>
      <c r="F350" s="710" t="e">
        <f>#REF!+#REF!+#REF!+#REF!+#REF!+#REF!+#REF!+#REF!+#REF!+#REF!</f>
        <v>#REF!</v>
      </c>
      <c r="G350" s="710" t="e">
        <f>#REF!+#REF!+#REF!+#REF!+#REF!+#REF!+#REF!+#REF!+#REF!+#REF!</f>
        <v>#REF!</v>
      </c>
      <c r="H350" s="1256"/>
      <c r="I350" s="659"/>
      <c r="EZ350" s="675"/>
      <c r="FA350" s="1049"/>
      <c r="FB350" s="1049"/>
      <c r="FC350" s="1049"/>
      <c r="FD350" s="1049"/>
      <c r="FE350" s="1049"/>
      <c r="FF350" s="1049"/>
      <c r="FG350" s="1049"/>
      <c r="FH350" s="1049"/>
      <c r="FI350" s="1049"/>
      <c r="FJ350" s="1049"/>
      <c r="FK350" s="1049"/>
      <c r="FL350" s="1049"/>
    </row>
    <row r="351" spans="1:168" s="1034" customFormat="1" x14ac:dyDescent="0.25">
      <c r="A351" s="133">
        <v>9</v>
      </c>
      <c r="B351" s="770" t="str">
        <f>R14</f>
        <v>Хек филе</v>
      </c>
      <c r="C351" s="710" t="e">
        <f>#REF!+#REF!+#REF!+#REF!+#REF!+#REF!+#REF!+#REF!+#REF!+#REF!</f>
        <v>#REF!</v>
      </c>
      <c r="D351" s="779">
        <f>цены!$F$15</f>
        <v>400</v>
      </c>
      <c r="E351" s="802" t="e">
        <f t="shared" si="454"/>
        <v>#REF!</v>
      </c>
      <c r="F351" s="710" t="e">
        <f>#REF!+#REF!+#REF!+#REF!+#REF!+#REF!+#REF!+#REF!+#REF!+#REF!</f>
        <v>#REF!</v>
      </c>
      <c r="G351" s="710" t="e">
        <f>#REF!+#REF!+#REF!+#REF!+#REF!+#REF!+#REF!+#REF!+#REF!+#REF!</f>
        <v>#REF!</v>
      </c>
      <c r="H351" s="1256"/>
      <c r="I351" s="659"/>
      <c r="EZ351" s="675"/>
      <c r="FA351" s="1049"/>
      <c r="FB351" s="1049"/>
      <c r="FC351" s="1049"/>
      <c r="FD351" s="1049"/>
      <c r="FE351" s="1049"/>
      <c r="FF351" s="1049"/>
      <c r="FG351" s="1049"/>
      <c r="FH351" s="1049"/>
      <c r="FI351" s="1049"/>
      <c r="FJ351" s="1049"/>
      <c r="FK351" s="1049"/>
      <c r="FL351" s="1049"/>
    </row>
    <row r="352" spans="1:168" s="1034" customFormat="1" x14ac:dyDescent="0.25">
      <c r="A352" s="133">
        <v>10</v>
      </c>
      <c r="B352" s="770" t="str">
        <f>S14</f>
        <v>Минтай филе</v>
      </c>
      <c r="C352" s="710" t="e">
        <f>#REF!+#REF!+#REF!+#REF!+#REF!+#REF!+#REF!+#REF!+#REF!+#REF!</f>
        <v>#REF!</v>
      </c>
      <c r="D352" s="779">
        <f>цены!$F$16</f>
        <v>332</v>
      </c>
      <c r="E352" s="802" t="e">
        <f t="shared" si="454"/>
        <v>#REF!</v>
      </c>
      <c r="F352" s="710" t="e">
        <f>#REF!+#REF!+#REF!+#REF!+#REF!+#REF!+#REF!+#REF!+#REF!+#REF!</f>
        <v>#REF!</v>
      </c>
      <c r="G352" s="710" t="e">
        <f>#REF!+#REF!+#REF!+#REF!+#REF!+#REF!+#REF!+#REF!+#REF!+#REF!</f>
        <v>#REF!</v>
      </c>
      <c r="H352" s="1256"/>
      <c r="I352" s="659"/>
      <c r="EZ352" s="675"/>
      <c r="FA352" s="1049"/>
      <c r="FB352" s="1049"/>
      <c r="FC352" s="1049"/>
      <c r="FD352" s="1049"/>
      <c r="FE352" s="1049"/>
      <c r="FF352" s="1049"/>
      <c r="FG352" s="1049"/>
      <c r="FH352" s="1049"/>
      <c r="FI352" s="1049"/>
      <c r="FJ352" s="1049"/>
      <c r="FK352" s="1049"/>
      <c r="FL352" s="1049"/>
    </row>
    <row r="353" spans="1:168" s="1034" customFormat="1" x14ac:dyDescent="0.25">
      <c r="A353" s="133">
        <v>11</v>
      </c>
      <c r="B353" s="770" t="str">
        <f>T14</f>
        <v>Сельдь слабосоленая</v>
      </c>
      <c r="C353" s="710" t="e">
        <f>#REF!+#REF!+#REF!+#REF!+#REF!+#REF!+#REF!+#REF!+#REF!+#REF!</f>
        <v>#REF!</v>
      </c>
      <c r="D353" s="779">
        <f>цены!$F$17</f>
        <v>180</v>
      </c>
      <c r="E353" s="802" t="e">
        <f t="shared" si="454"/>
        <v>#REF!</v>
      </c>
      <c r="F353" s="710" t="e">
        <f>#REF!+#REF!+#REF!+#REF!+#REF!+#REF!+#REF!+#REF!+#REF!+#REF!</f>
        <v>#REF!</v>
      </c>
      <c r="G353" s="710" t="e">
        <f>#REF!+#REF!+#REF!+#REF!+#REF!+#REF!+#REF!+#REF!+#REF!+#REF!</f>
        <v>#REF!</v>
      </c>
      <c r="H353" s="1256"/>
      <c r="I353" s="659"/>
      <c r="EZ353" s="675"/>
      <c r="FA353" s="1049"/>
      <c r="FB353" s="1049"/>
      <c r="FC353" s="1049"/>
      <c r="FD353" s="1049"/>
      <c r="FE353" s="1049"/>
      <c r="FF353" s="1049"/>
      <c r="FG353" s="1049"/>
      <c r="FH353" s="1049"/>
      <c r="FI353" s="1049"/>
      <c r="FJ353" s="1049"/>
      <c r="FK353" s="1049"/>
      <c r="FL353" s="1049"/>
    </row>
    <row r="354" spans="1:168" s="1034" customFormat="1" x14ac:dyDescent="0.25">
      <c r="A354" s="146"/>
      <c r="B354" s="257" t="s">
        <v>260</v>
      </c>
      <c r="C354" s="774" t="e">
        <f>SUM(C343:C353)</f>
        <v>#REF!</v>
      </c>
      <c r="D354" s="780">
        <f>SUM(D343:D353)</f>
        <v>3183</v>
      </c>
      <c r="E354" s="1192" t="e">
        <f>SUM(E343:E353)</f>
        <v>#REF!</v>
      </c>
      <c r="F354" s="1272" t="e">
        <f>SUM(F343:F353)</f>
        <v>#REF!</v>
      </c>
      <c r="G354" s="661" t="e">
        <f t="shared" ref="G354:H354" si="455">SUM(G343:G353)</f>
        <v>#REF!</v>
      </c>
      <c r="H354" s="1257">
        <f t="shared" si="455"/>
        <v>0</v>
      </c>
      <c r="I354" s="661"/>
      <c r="EZ354" s="661">
        <f t="shared" ref="EZ354" si="456">SUM(EZ343:EZ353)</f>
        <v>0</v>
      </c>
      <c r="FA354" s="1049"/>
      <c r="FB354" s="1049"/>
      <c r="FC354" s="1049"/>
      <c r="FD354" s="1049"/>
      <c r="FE354" s="1049"/>
      <c r="FF354" s="1049"/>
      <c r="FG354" s="1049"/>
      <c r="FH354" s="1049"/>
      <c r="FI354" s="1049"/>
      <c r="FJ354" s="1049"/>
      <c r="FK354" s="1049"/>
      <c r="FL354" s="1049"/>
    </row>
    <row r="355" spans="1:168" s="1034" customFormat="1" x14ac:dyDescent="0.25">
      <c r="A355" s="1102"/>
      <c r="B355" s="1098" t="s">
        <v>314</v>
      </c>
      <c r="C355" s="1100"/>
      <c r="D355" s="1101"/>
      <c r="E355" s="1150"/>
      <c r="F355" s="1103"/>
      <c r="G355" s="1103"/>
      <c r="H355" s="1258"/>
      <c r="I355" s="1103"/>
      <c r="EZ355" s="1104"/>
      <c r="FA355" s="1049"/>
      <c r="FB355" s="1049"/>
      <c r="FC355" s="1049"/>
      <c r="FD355" s="1049"/>
      <c r="FE355" s="1049"/>
      <c r="FF355" s="1049"/>
      <c r="FG355" s="1049"/>
      <c r="FH355" s="1049"/>
      <c r="FI355" s="1049"/>
      <c r="FJ355" s="1049"/>
      <c r="FK355" s="1049"/>
      <c r="FL355" s="1049"/>
    </row>
    <row r="356" spans="1:168" s="1034" customFormat="1" x14ac:dyDescent="0.25">
      <c r="A356" s="133">
        <v>12</v>
      </c>
      <c r="B356" s="541" t="str">
        <f>U14</f>
        <v>Молоко пастеризованное 2,5% жирн.</v>
      </c>
      <c r="C356" s="710" t="e">
        <f>#REF!+#REF!+#REF!+#REF!+#REF!+#REF!+#REF!+#REF!+#REF!+#REF!</f>
        <v>#REF!</v>
      </c>
      <c r="D356" s="779">
        <f>цены!$F$20</f>
        <v>80</v>
      </c>
      <c r="E356" s="802" t="e">
        <f t="shared" ref="E356:E366" si="457">E$343</f>
        <v>#REF!</v>
      </c>
      <c r="F356" s="710" t="e">
        <f>#REF!+#REF!+#REF!+#REF!+#REF!+#REF!+#REF!+#REF!+#REF!+#REF!</f>
        <v>#REF!</v>
      </c>
      <c r="G356" s="710" t="e">
        <f>#REF!+#REF!+#REF!+#REF!+#REF!+#REF!+#REF!+#REF!+#REF!+#REF!</f>
        <v>#REF!</v>
      </c>
      <c r="H356" s="1256"/>
      <c r="I356" s="659"/>
      <c r="EZ356" s="675"/>
      <c r="FA356" s="1049"/>
      <c r="FB356" s="1049"/>
      <c r="FC356" s="1049"/>
      <c r="FD356" s="1049"/>
      <c r="FE356" s="1049"/>
      <c r="FF356" s="1049"/>
      <c r="FG356" s="1049"/>
      <c r="FH356" s="1049"/>
      <c r="FI356" s="1049"/>
      <c r="FJ356" s="1049"/>
      <c r="FK356" s="1049"/>
      <c r="FL356" s="1049"/>
    </row>
    <row r="357" spans="1:168" s="1034" customFormat="1" x14ac:dyDescent="0.25">
      <c r="A357" s="133">
        <v>13</v>
      </c>
      <c r="B357" s="541" t="str">
        <f>V14</f>
        <v xml:space="preserve">Масло сливочное фасованное 72,5% жир. </v>
      </c>
      <c r="C357" s="710" t="e">
        <f>#REF!+#REF!+#REF!+#REF!+#REF!+#REF!+#REF!+#REF!+#REF!+#REF!</f>
        <v>#REF!</v>
      </c>
      <c r="D357" s="779">
        <f>цены!$F$21</f>
        <v>710</v>
      </c>
      <c r="E357" s="802" t="e">
        <f t="shared" si="457"/>
        <v>#REF!</v>
      </c>
      <c r="F357" s="710" t="e">
        <f>#REF!+#REF!+#REF!+#REF!+#REF!+#REF!+#REF!+#REF!+#REF!+#REF!</f>
        <v>#REF!</v>
      </c>
      <c r="G357" s="710" t="e">
        <f>#REF!+#REF!+#REF!+#REF!+#REF!+#REF!+#REF!+#REF!+#REF!+#REF!</f>
        <v>#REF!</v>
      </c>
      <c r="H357" s="1256"/>
      <c r="I357" s="659"/>
      <c r="EZ357" s="675"/>
      <c r="FA357" s="1049"/>
      <c r="FB357" s="1049"/>
      <c r="FC357" s="1049"/>
      <c r="FD357" s="1049"/>
      <c r="FE357" s="1049"/>
      <c r="FF357" s="1049"/>
      <c r="FG357" s="1049"/>
      <c r="FH357" s="1049"/>
      <c r="FI357" s="1049"/>
      <c r="FJ357" s="1049"/>
      <c r="FK357" s="1049"/>
      <c r="FL357" s="1049"/>
    </row>
    <row r="358" spans="1:168" s="1034" customFormat="1" x14ac:dyDescent="0.25">
      <c r="A358" s="133">
        <v>14</v>
      </c>
      <c r="B358" s="541" t="str">
        <f>W14</f>
        <v>Сыр российский 45% жирн.</v>
      </c>
      <c r="C358" s="710" t="e">
        <f>#REF!+#REF!+#REF!+#REF!+#REF!+#REF!+#REF!+#REF!+#REF!+#REF!</f>
        <v>#REF!</v>
      </c>
      <c r="D358" s="779">
        <f>цены!$F$22</f>
        <v>719</v>
      </c>
      <c r="E358" s="802" t="e">
        <f t="shared" si="457"/>
        <v>#REF!</v>
      </c>
      <c r="F358" s="710" t="e">
        <f>#REF!+#REF!+#REF!+#REF!+#REF!+#REF!+#REF!+#REF!+#REF!+#REF!</f>
        <v>#REF!</v>
      </c>
      <c r="G358" s="710" t="e">
        <f>#REF!+#REF!+#REF!+#REF!+#REF!+#REF!+#REF!+#REF!+#REF!+#REF!</f>
        <v>#REF!</v>
      </c>
      <c r="H358" s="1256"/>
      <c r="I358" s="659"/>
      <c r="EZ358" s="675"/>
      <c r="FA358" s="1049"/>
      <c r="FB358" s="1049"/>
      <c r="FC358" s="1049"/>
      <c r="FD358" s="1049"/>
      <c r="FE358" s="1049"/>
      <c r="FF358" s="1049"/>
      <c r="FG358" s="1049"/>
      <c r="FH358" s="1049"/>
      <c r="FI358" s="1049"/>
      <c r="FJ358" s="1049"/>
      <c r="FK358" s="1049"/>
      <c r="FL358" s="1049"/>
    </row>
    <row r="359" spans="1:168" s="1034" customFormat="1" x14ac:dyDescent="0.25">
      <c r="A359" s="133">
        <v>15</v>
      </c>
      <c r="B359" s="541" t="str">
        <f>X14</f>
        <v xml:space="preserve">Творог с массовой долей жира от 9,0% </v>
      </c>
      <c r="C359" s="710" t="e">
        <f>#REF!+#REF!+#REF!+#REF!+#REF!+#REF!+#REF!+#REF!+#REF!+#REF!</f>
        <v>#REF!</v>
      </c>
      <c r="D359" s="779">
        <f>цены!$F$23</f>
        <v>350</v>
      </c>
      <c r="E359" s="802" t="e">
        <f t="shared" si="457"/>
        <v>#REF!</v>
      </c>
      <c r="F359" s="710" t="e">
        <f>#REF!+#REF!+#REF!+#REF!+#REF!+#REF!+#REF!+#REF!+#REF!+#REF!</f>
        <v>#REF!</v>
      </c>
      <c r="G359" s="710" t="e">
        <f>#REF!+#REF!+#REF!+#REF!+#REF!+#REF!+#REF!+#REF!+#REF!+#REF!</f>
        <v>#REF!</v>
      </c>
      <c r="H359" s="1256"/>
      <c r="I359" s="659"/>
      <c r="EZ359" s="675"/>
      <c r="FA359" s="1049"/>
      <c r="FB359" s="1049"/>
      <c r="FC359" s="1049"/>
      <c r="FD359" s="1049"/>
      <c r="FE359" s="1049"/>
      <c r="FF359" s="1049"/>
      <c r="FG359" s="1049"/>
      <c r="FH359" s="1049"/>
      <c r="FI359" s="1049"/>
      <c r="FJ359" s="1049"/>
      <c r="FK359" s="1049"/>
      <c r="FL359" s="1049"/>
    </row>
    <row r="360" spans="1:168" s="1034" customFormat="1" x14ac:dyDescent="0.25">
      <c r="A360" s="133">
        <v>16</v>
      </c>
      <c r="B360" s="541" t="str">
        <f>Y14</f>
        <v>Сметана 20% жирности</v>
      </c>
      <c r="C360" s="710" t="e">
        <f>#REF!+#REF!+#REF!+#REF!+#REF!+#REF!+#REF!+#REF!+#REF!+#REF!</f>
        <v>#REF!</v>
      </c>
      <c r="D360" s="779">
        <f>цены!$F$24</f>
        <v>234</v>
      </c>
      <c r="E360" s="802" t="e">
        <f t="shared" si="457"/>
        <v>#REF!</v>
      </c>
      <c r="F360" s="710" t="e">
        <f>#REF!+#REF!+#REF!+#REF!+#REF!+#REF!+#REF!+#REF!+#REF!+#REF!</f>
        <v>#REF!</v>
      </c>
      <c r="G360" s="710" t="e">
        <f>#REF!+#REF!+#REF!+#REF!+#REF!+#REF!+#REF!+#REF!+#REF!+#REF!</f>
        <v>#REF!</v>
      </c>
      <c r="H360" s="1256"/>
      <c r="I360" s="659"/>
      <c r="EZ360" s="675"/>
      <c r="FA360" s="1049"/>
      <c r="FB360" s="1049"/>
      <c r="FC360" s="1049"/>
      <c r="FD360" s="1049"/>
      <c r="FE360" s="1049"/>
      <c r="FF360" s="1049"/>
      <c r="FG360" s="1049"/>
      <c r="FH360" s="1049"/>
      <c r="FI360" s="1049"/>
      <c r="FJ360" s="1049"/>
      <c r="FK360" s="1049"/>
      <c r="FL360" s="1049"/>
    </row>
    <row r="361" spans="1:168" s="1034" customFormat="1" x14ac:dyDescent="0.25">
      <c r="A361" s="133">
        <v>17</v>
      </c>
      <c r="B361" s="541" t="str">
        <f>Z14</f>
        <v>Молоко цельное сгущенное с сахаром 8,5% жир.</v>
      </c>
      <c r="C361" s="710" t="e">
        <f>#REF!+#REF!+#REF!+#REF!+#REF!+#REF!+#REF!+#REF!+#REF!+#REF!</f>
        <v>#REF!</v>
      </c>
      <c r="D361" s="779">
        <f>цены!$F$25</f>
        <v>250</v>
      </c>
      <c r="E361" s="802" t="e">
        <f t="shared" si="457"/>
        <v>#REF!</v>
      </c>
      <c r="F361" s="710" t="e">
        <f>#REF!+#REF!+#REF!+#REF!+#REF!+#REF!+#REF!+#REF!+#REF!+#REF!</f>
        <v>#REF!</v>
      </c>
      <c r="G361" s="710" t="e">
        <f>#REF!+#REF!+#REF!+#REF!+#REF!+#REF!+#REF!+#REF!+#REF!+#REF!</f>
        <v>#REF!</v>
      </c>
      <c r="H361" s="1256"/>
      <c r="I361" s="659"/>
      <c r="EZ361" s="675"/>
      <c r="FA361" s="1049"/>
      <c r="FB361" s="1049"/>
      <c r="FC361" s="1049"/>
      <c r="FD361" s="1049"/>
      <c r="FE361" s="1049"/>
      <c r="FF361" s="1049"/>
      <c r="FG361" s="1049"/>
      <c r="FH361" s="1049"/>
      <c r="FI361" s="1049"/>
      <c r="FJ361" s="1049"/>
      <c r="FK361" s="1049"/>
      <c r="FL361" s="1049"/>
    </row>
    <row r="362" spans="1:168" s="1034" customFormat="1" x14ac:dyDescent="0.25">
      <c r="A362" s="133">
        <v>18</v>
      </c>
      <c r="B362" s="542" t="str">
        <f>AA14</f>
        <v>Кефир 2,5 % жирности</v>
      </c>
      <c r="C362" s="710" t="e">
        <f>#REF!+#REF!+#REF!+#REF!+#REF!+#REF!+#REF!+#REF!+#REF!+#REF!</f>
        <v>#REF!</v>
      </c>
      <c r="D362" s="779">
        <f>цены!$F$26</f>
        <v>108</v>
      </c>
      <c r="E362" s="802" t="e">
        <f t="shared" si="457"/>
        <v>#REF!</v>
      </c>
      <c r="F362" s="710" t="e">
        <f>#REF!+#REF!+#REF!+#REF!+#REF!+#REF!+#REF!+#REF!+#REF!+#REF!</f>
        <v>#REF!</v>
      </c>
      <c r="G362" s="710" t="e">
        <f>#REF!+#REF!+#REF!+#REF!+#REF!+#REF!+#REF!+#REF!+#REF!+#REF!</f>
        <v>#REF!</v>
      </c>
      <c r="H362" s="1256"/>
      <c r="I362" s="659"/>
      <c r="EZ362" s="675"/>
      <c r="FA362" s="1049"/>
      <c r="FB362" s="1049"/>
      <c r="FC362" s="1049"/>
      <c r="FD362" s="1049"/>
      <c r="FE362" s="1049"/>
      <c r="FF362" s="1049"/>
      <c r="FG362" s="1049"/>
      <c r="FH362" s="1049"/>
      <c r="FI362" s="1049"/>
      <c r="FJ362" s="1049"/>
      <c r="FK362" s="1049"/>
      <c r="FL362" s="1049"/>
    </row>
    <row r="363" spans="1:168" s="1034" customFormat="1" x14ac:dyDescent="0.25">
      <c r="A363" s="133">
        <v>19</v>
      </c>
      <c r="B363" s="542" t="str">
        <f>AB14</f>
        <v>Йогурт питьевой 1,5% жирности</v>
      </c>
      <c r="C363" s="710" t="e">
        <f>#REF!+#REF!+#REF!+#REF!+#REF!+#REF!+#REF!+#REF!+#REF!+#REF!</f>
        <v>#REF!</v>
      </c>
      <c r="D363" s="779">
        <f>цены!$F$27</f>
        <v>125</v>
      </c>
      <c r="E363" s="802" t="e">
        <f t="shared" si="457"/>
        <v>#REF!</v>
      </c>
      <c r="F363" s="710" t="e">
        <f>#REF!+#REF!+#REF!+#REF!+#REF!+#REF!+#REF!+#REF!+#REF!+#REF!</f>
        <v>#REF!</v>
      </c>
      <c r="G363" s="710" t="e">
        <f>#REF!+#REF!+#REF!+#REF!+#REF!+#REF!+#REF!+#REF!+#REF!+#REF!</f>
        <v>#REF!</v>
      </c>
      <c r="H363" s="1256"/>
      <c r="I363" s="659"/>
      <c r="EZ363" s="675"/>
      <c r="FA363" s="1049"/>
      <c r="FB363" s="1049"/>
      <c r="FC363" s="1049"/>
      <c r="FD363" s="1049"/>
      <c r="FE363" s="1049"/>
      <c r="FF363" s="1049"/>
      <c r="FG363" s="1049"/>
      <c r="FH363" s="1049"/>
      <c r="FI363" s="1049"/>
      <c r="FJ363" s="1049"/>
      <c r="FK363" s="1049"/>
      <c r="FL363" s="1049"/>
    </row>
    <row r="364" spans="1:168" s="1034" customFormat="1" x14ac:dyDescent="0.25">
      <c r="A364" s="133">
        <v>20</v>
      </c>
      <c r="B364" s="770" t="str">
        <f>AC14</f>
        <v>Йогурт натуральный 5% (Fruttis) в пакетиках</v>
      </c>
      <c r="C364" s="710" t="e">
        <f>#REF!+#REF!+#REF!+#REF!+#REF!+#REF!+#REF!+#REF!+#REF!+#REF!</f>
        <v>#REF!</v>
      </c>
      <c r="D364" s="779">
        <f>цены!$F$28</f>
        <v>440</v>
      </c>
      <c r="E364" s="802" t="e">
        <f t="shared" si="457"/>
        <v>#REF!</v>
      </c>
      <c r="F364" s="710" t="e">
        <f>#REF!+#REF!+#REF!+#REF!+#REF!+#REF!+#REF!+#REF!+#REF!+#REF!</f>
        <v>#REF!</v>
      </c>
      <c r="G364" s="710" t="e">
        <f>#REF!+#REF!+#REF!+#REF!+#REF!+#REF!+#REF!+#REF!+#REF!+#REF!</f>
        <v>#REF!</v>
      </c>
      <c r="H364" s="1256"/>
      <c r="I364" s="659"/>
      <c r="EZ364" s="675"/>
      <c r="FA364" s="1049"/>
      <c r="FB364" s="1049"/>
      <c r="FC364" s="1049"/>
      <c r="FD364" s="1049"/>
      <c r="FE364" s="1049"/>
      <c r="FF364" s="1049"/>
      <c r="FG364" s="1049"/>
      <c r="FH364" s="1049"/>
      <c r="FI364" s="1049"/>
      <c r="FJ364" s="1049"/>
      <c r="FK364" s="1049"/>
      <c r="FL364" s="1049"/>
    </row>
    <row r="365" spans="1:168" s="1034" customFormat="1" x14ac:dyDescent="0.25">
      <c r="A365" s="133">
        <v>21</v>
      </c>
      <c r="B365" s="770" t="str">
        <f>AD14</f>
        <v>Мед натуральный пчелиный</v>
      </c>
      <c r="C365" s="710" t="e">
        <f>#REF!+#REF!+#REF!+#REF!+#REF!+#REF!+#REF!+#REF!+#REF!+#REF!</f>
        <v>#REF!</v>
      </c>
      <c r="D365" s="779">
        <f>цены!$F$29</f>
        <v>320</v>
      </c>
      <c r="E365" s="802" t="e">
        <f t="shared" si="457"/>
        <v>#REF!</v>
      </c>
      <c r="F365" s="710" t="e">
        <f>#REF!+#REF!+#REF!+#REF!+#REF!+#REF!+#REF!+#REF!+#REF!+#REF!</f>
        <v>#REF!</v>
      </c>
      <c r="G365" s="710" t="e">
        <f>#REF!+#REF!+#REF!+#REF!+#REF!+#REF!+#REF!+#REF!+#REF!+#REF!</f>
        <v>#REF!</v>
      </c>
      <c r="H365" s="1256"/>
      <c r="I365" s="659"/>
      <c r="EZ365" s="675"/>
      <c r="FA365" s="1049"/>
      <c r="FB365" s="1049"/>
      <c r="FC365" s="1049"/>
      <c r="FD365" s="1049"/>
      <c r="FE365" s="1049"/>
      <c r="FF365" s="1049"/>
      <c r="FG365" s="1049"/>
      <c r="FH365" s="1049"/>
      <c r="FI365" s="1049"/>
      <c r="FJ365" s="1049"/>
      <c r="FK365" s="1049"/>
      <c r="FL365" s="1049"/>
    </row>
    <row r="366" spans="1:168" s="1034" customFormat="1" x14ac:dyDescent="0.25">
      <c r="A366" s="133">
        <v>22</v>
      </c>
      <c r="B366" s="770" t="str">
        <f>AE14</f>
        <v xml:space="preserve">Яйца куриные                                              </v>
      </c>
      <c r="C366" s="710" t="e">
        <f>#REF!+#REF!+#REF!+#REF!+#REF!+#REF!+#REF!+#REF!+#REF!+#REF!</f>
        <v>#REF!</v>
      </c>
      <c r="D366" s="779">
        <f>цены!$F$30</f>
        <v>152.16999999999999</v>
      </c>
      <c r="E366" s="802" t="e">
        <f t="shared" si="457"/>
        <v>#REF!</v>
      </c>
      <c r="F366" s="710" t="e">
        <f>#REF!+#REF!+#REF!+#REF!+#REF!+#REF!+#REF!+#REF!+#REF!+#REF!</f>
        <v>#REF!</v>
      </c>
      <c r="G366" s="710" t="e">
        <f>#REF!+#REF!+#REF!+#REF!+#REF!+#REF!+#REF!+#REF!+#REF!+#REF!</f>
        <v>#REF!</v>
      </c>
      <c r="H366" s="1256"/>
      <c r="I366" s="659"/>
      <c r="EZ366" s="675"/>
      <c r="FA366" s="1049"/>
      <c r="FB366" s="1049"/>
      <c r="FC366" s="1049"/>
      <c r="FD366" s="1049"/>
      <c r="FE366" s="1049"/>
      <c r="FF366" s="1049"/>
      <c r="FG366" s="1049"/>
      <c r="FH366" s="1049"/>
      <c r="FI366" s="1049"/>
      <c r="FJ366" s="1049"/>
      <c r="FK366" s="1049"/>
      <c r="FL366" s="1049"/>
    </row>
    <row r="367" spans="1:168" s="1034" customFormat="1" x14ac:dyDescent="0.25">
      <c r="A367" s="146"/>
      <c r="B367" s="621" t="s">
        <v>261</v>
      </c>
      <c r="C367" s="774" t="e">
        <f>SUM(C356:C366)</f>
        <v>#REF!</v>
      </c>
      <c r="D367" s="780">
        <f>SUM(D356:D366)</f>
        <v>3488.17</v>
      </c>
      <c r="E367" s="1149" t="e">
        <f>SUM(E356:E366)</f>
        <v>#REF!</v>
      </c>
      <c r="F367" s="661" t="e">
        <f>SUM(F356:F366)</f>
        <v>#REF!</v>
      </c>
      <c r="G367" s="661" t="e">
        <f t="shared" ref="G367:H367" si="458">SUM(G356:G366)</f>
        <v>#REF!</v>
      </c>
      <c r="H367" s="1257">
        <f t="shared" si="458"/>
        <v>0</v>
      </c>
      <c r="I367" s="661"/>
      <c r="EZ367" s="661">
        <f t="shared" ref="EZ367" si="459">SUM(EZ356:EZ366)</f>
        <v>0</v>
      </c>
      <c r="FA367" s="1049"/>
      <c r="FB367" s="1049"/>
      <c r="FC367" s="1049"/>
      <c r="FD367" s="1049"/>
      <c r="FE367" s="1049"/>
      <c r="FF367" s="1049"/>
      <c r="FG367" s="1049"/>
      <c r="FH367" s="1049"/>
      <c r="FI367" s="1049"/>
      <c r="FJ367" s="1049"/>
      <c r="FK367" s="1049"/>
      <c r="FL367" s="1049"/>
    </row>
    <row r="368" spans="1:168" s="1034" customFormat="1" x14ac:dyDescent="0.25">
      <c r="A368" s="1099"/>
      <c r="B368" s="1098" t="s">
        <v>274</v>
      </c>
      <c r="C368" s="1100"/>
      <c r="D368" s="1101"/>
      <c r="E368" s="1150"/>
      <c r="F368" s="1103"/>
      <c r="G368" s="1103"/>
      <c r="H368" s="1258"/>
      <c r="I368" s="1103"/>
      <c r="EZ368" s="1104"/>
      <c r="FA368" s="1049"/>
      <c r="FB368" s="1049"/>
      <c r="FC368" s="1049"/>
      <c r="FD368" s="1049"/>
      <c r="FE368" s="1049"/>
      <c r="FF368" s="1049"/>
      <c r="FG368" s="1049"/>
      <c r="FH368" s="1049"/>
      <c r="FI368" s="1049"/>
      <c r="FJ368" s="1049"/>
      <c r="FK368" s="1049"/>
      <c r="FL368" s="1049"/>
    </row>
    <row r="369" spans="1:168" s="1034" customFormat="1" x14ac:dyDescent="0.25">
      <c r="A369" s="133">
        <v>23</v>
      </c>
      <c r="B369" s="541" t="str">
        <f>AF14</f>
        <v>Капуста свежая</v>
      </c>
      <c r="C369" s="710" t="e">
        <f>#REF!+#REF!+#REF!+#REF!+#REF!+#REF!+#REF!+#REF!+#REF!+#REF!</f>
        <v>#REF!</v>
      </c>
      <c r="D369" s="779">
        <f>цены!$F$33</f>
        <v>53</v>
      </c>
      <c r="E369" s="802" t="e">
        <f t="shared" ref="E369:E407" si="460">E$343</f>
        <v>#REF!</v>
      </c>
      <c r="F369" s="710" t="e">
        <f>#REF!+#REF!+#REF!+#REF!+#REF!+#REF!+#REF!+#REF!+#REF!+#REF!</f>
        <v>#REF!</v>
      </c>
      <c r="G369" s="710" t="e">
        <f>#REF!+#REF!+#REF!+#REF!+#REF!+#REF!+#REF!+#REF!+#REF!+#REF!</f>
        <v>#REF!</v>
      </c>
      <c r="H369" s="1256"/>
      <c r="I369" s="659"/>
      <c r="EZ369" s="675"/>
      <c r="FA369" s="1049"/>
      <c r="FB369" s="1049"/>
      <c r="FC369" s="1049"/>
      <c r="FD369" s="1049"/>
      <c r="FE369" s="1049"/>
      <c r="FF369" s="1049"/>
      <c r="FG369" s="1049"/>
      <c r="FH369" s="1049"/>
      <c r="FI369" s="1049"/>
      <c r="FJ369" s="1049"/>
      <c r="FK369" s="1049"/>
      <c r="FL369" s="1049"/>
    </row>
    <row r="370" spans="1:168" s="1034" customFormat="1" x14ac:dyDescent="0.25">
      <c r="A370" s="133">
        <v>24</v>
      </c>
      <c r="B370" s="542" t="str">
        <f>AG14</f>
        <v>Капуста свежая молодая</v>
      </c>
      <c r="C370" s="710" t="e">
        <f>#REF!+#REF!+#REF!+#REF!+#REF!+#REF!+#REF!+#REF!+#REF!+#REF!</f>
        <v>#REF!</v>
      </c>
      <c r="D370" s="779">
        <f>цены!$F$34</f>
        <v>20</v>
      </c>
      <c r="E370" s="802" t="e">
        <f t="shared" si="460"/>
        <v>#REF!</v>
      </c>
      <c r="F370" s="710" t="e">
        <f>#REF!+#REF!+#REF!+#REF!+#REF!+#REF!+#REF!+#REF!+#REF!+#REF!</f>
        <v>#REF!</v>
      </c>
      <c r="G370" s="710" t="e">
        <f>#REF!+#REF!+#REF!+#REF!+#REF!+#REF!+#REF!+#REF!+#REF!+#REF!</f>
        <v>#REF!</v>
      </c>
      <c r="H370" s="1256"/>
      <c r="I370" s="659"/>
      <c r="EZ370" s="675"/>
      <c r="FA370" s="1049"/>
      <c r="FB370" s="1049"/>
      <c r="FC370" s="1049"/>
      <c r="FD370" s="1049"/>
      <c r="FE370" s="1049"/>
      <c r="FF370" s="1049"/>
      <c r="FG370" s="1049"/>
      <c r="FH370" s="1049"/>
      <c r="FI370" s="1049"/>
      <c r="FJ370" s="1049"/>
      <c r="FK370" s="1049"/>
      <c r="FL370" s="1049"/>
    </row>
    <row r="371" spans="1:168" s="1034" customFormat="1" x14ac:dyDescent="0.25">
      <c r="A371" s="133">
        <v>25</v>
      </c>
      <c r="B371" s="542" t="str">
        <f>AH14</f>
        <v>Картофель</v>
      </c>
      <c r="C371" s="710" t="e">
        <f>#REF!+#REF!+#REF!+#REF!+#REF!+#REF!+#REF!+#REF!+#REF!+#REF!</f>
        <v>#REF!</v>
      </c>
      <c r="D371" s="779">
        <f>цены!$F$35</f>
        <v>50</v>
      </c>
      <c r="E371" s="802" t="e">
        <f t="shared" si="460"/>
        <v>#REF!</v>
      </c>
      <c r="F371" s="710" t="e">
        <f>#REF!+#REF!+#REF!+#REF!+#REF!+#REF!+#REF!+#REF!+#REF!+#REF!</f>
        <v>#REF!</v>
      </c>
      <c r="G371" s="710" t="e">
        <f>#REF!+#REF!+#REF!+#REF!+#REF!+#REF!+#REF!+#REF!+#REF!+#REF!</f>
        <v>#REF!</v>
      </c>
      <c r="H371" s="1256"/>
      <c r="I371" s="659"/>
      <c r="EZ371" s="675"/>
      <c r="FA371" s="1049"/>
      <c r="FB371" s="1049"/>
      <c r="FC371" s="1049"/>
      <c r="FD371" s="1049"/>
      <c r="FE371" s="1049"/>
      <c r="FF371" s="1049"/>
      <c r="FG371" s="1049"/>
      <c r="FH371" s="1049"/>
      <c r="FI371" s="1049"/>
      <c r="FJ371" s="1049"/>
      <c r="FK371" s="1049"/>
      <c r="FL371" s="1049"/>
    </row>
    <row r="372" spans="1:168" s="1034" customFormat="1" x14ac:dyDescent="0.25">
      <c r="A372" s="133">
        <v>26</v>
      </c>
      <c r="B372" s="542" t="str">
        <f>AI14</f>
        <v>Картофель молодой</v>
      </c>
      <c r="C372" s="710" t="e">
        <f>#REF!+#REF!+#REF!+#REF!+#REF!+#REF!+#REF!+#REF!+#REF!+#REF!</f>
        <v>#REF!</v>
      </c>
      <c r="D372" s="779">
        <f>цены!$F$36</f>
        <v>25</v>
      </c>
      <c r="E372" s="802" t="e">
        <f t="shared" si="460"/>
        <v>#REF!</v>
      </c>
      <c r="F372" s="710" t="e">
        <f>#REF!+#REF!+#REF!+#REF!+#REF!+#REF!+#REF!+#REF!+#REF!+#REF!</f>
        <v>#REF!</v>
      </c>
      <c r="G372" s="710" t="e">
        <f>#REF!+#REF!+#REF!+#REF!+#REF!+#REF!+#REF!+#REF!+#REF!+#REF!</f>
        <v>#REF!</v>
      </c>
      <c r="H372" s="1256"/>
      <c r="I372" s="659"/>
      <c r="EZ372" s="675"/>
      <c r="FA372" s="1049"/>
      <c r="FB372" s="1049"/>
      <c r="FC372" s="1049"/>
      <c r="FD372" s="1049"/>
      <c r="FE372" s="1049"/>
      <c r="FF372" s="1049"/>
      <c r="FG372" s="1049"/>
      <c r="FH372" s="1049"/>
      <c r="FI372" s="1049"/>
      <c r="FJ372" s="1049"/>
      <c r="FK372" s="1049"/>
      <c r="FL372" s="1049"/>
    </row>
    <row r="373" spans="1:168" s="1034" customFormat="1" x14ac:dyDescent="0.25">
      <c r="A373" s="133">
        <v>27</v>
      </c>
      <c r="B373" s="542" t="str">
        <f>AJ14</f>
        <v xml:space="preserve">Лимон </v>
      </c>
      <c r="C373" s="710" t="e">
        <f>#REF!+#REF!+#REF!+#REF!+#REF!+#REF!+#REF!+#REF!+#REF!+#REF!</f>
        <v>#REF!</v>
      </c>
      <c r="D373" s="779">
        <f>цены!$F$37</f>
        <v>180</v>
      </c>
      <c r="E373" s="802" t="e">
        <f t="shared" si="460"/>
        <v>#REF!</v>
      </c>
      <c r="F373" s="710" t="e">
        <f>#REF!+#REF!+#REF!+#REF!+#REF!+#REF!+#REF!+#REF!+#REF!+#REF!</f>
        <v>#REF!</v>
      </c>
      <c r="G373" s="710" t="e">
        <f>#REF!+#REF!+#REF!+#REF!+#REF!+#REF!+#REF!+#REF!+#REF!+#REF!</f>
        <v>#REF!</v>
      </c>
      <c r="H373" s="1256"/>
      <c r="I373" s="659"/>
      <c r="EZ373" s="675"/>
      <c r="FA373" s="1049"/>
      <c r="FB373" s="1049"/>
      <c r="FC373" s="1049"/>
      <c r="FD373" s="1049"/>
      <c r="FE373" s="1049"/>
      <c r="FF373" s="1049"/>
      <c r="FG373" s="1049"/>
      <c r="FH373" s="1049"/>
      <c r="FI373" s="1049"/>
      <c r="FJ373" s="1049"/>
      <c r="FK373" s="1049"/>
      <c r="FL373" s="1049"/>
    </row>
    <row r="374" spans="1:168" s="1034" customFormat="1" x14ac:dyDescent="0.25">
      <c r="A374" s="133">
        <v>28</v>
      </c>
      <c r="B374" s="542" t="str">
        <f>AK14</f>
        <v>Лук репчатый</v>
      </c>
      <c r="C374" s="710" t="e">
        <f>#REF!+#REF!+#REF!+#REF!+#REF!+#REF!+#REF!+#REF!+#REF!+#REF!</f>
        <v>#REF!</v>
      </c>
      <c r="D374" s="779">
        <f>цены!$F$38</f>
        <v>50</v>
      </c>
      <c r="E374" s="802" t="e">
        <f t="shared" si="460"/>
        <v>#REF!</v>
      </c>
      <c r="F374" s="710" t="e">
        <f>#REF!+#REF!+#REF!+#REF!+#REF!+#REF!+#REF!+#REF!+#REF!+#REF!</f>
        <v>#REF!</v>
      </c>
      <c r="G374" s="710" t="e">
        <f>#REF!+#REF!+#REF!+#REF!+#REF!+#REF!+#REF!+#REF!+#REF!+#REF!</f>
        <v>#REF!</v>
      </c>
      <c r="H374" s="1256"/>
      <c r="I374" s="659"/>
      <c r="EZ374" s="675"/>
      <c r="FA374" s="1049"/>
      <c r="FB374" s="1049"/>
      <c r="FC374" s="1049"/>
      <c r="FD374" s="1049"/>
      <c r="FE374" s="1049"/>
      <c r="FF374" s="1049"/>
      <c r="FG374" s="1049"/>
      <c r="FH374" s="1049"/>
      <c r="FI374" s="1049"/>
      <c r="FJ374" s="1049"/>
      <c r="FK374" s="1049"/>
      <c r="FL374" s="1049"/>
    </row>
    <row r="375" spans="1:168" s="1034" customFormat="1" x14ac:dyDescent="0.25">
      <c r="A375" s="133">
        <v>29</v>
      </c>
      <c r="B375" s="542" t="str">
        <f>AL14</f>
        <v>Лук зеленый</v>
      </c>
      <c r="C375" s="710" t="e">
        <f>#REF!+#REF!+#REF!+#REF!+#REF!+#REF!+#REF!+#REF!+#REF!+#REF!</f>
        <v>#REF!</v>
      </c>
      <c r="D375" s="779">
        <f>цены!$F$39</f>
        <v>300</v>
      </c>
      <c r="E375" s="802" t="e">
        <f t="shared" si="460"/>
        <v>#REF!</v>
      </c>
      <c r="F375" s="710" t="e">
        <f>#REF!+#REF!+#REF!+#REF!+#REF!+#REF!+#REF!+#REF!+#REF!+#REF!</f>
        <v>#REF!</v>
      </c>
      <c r="G375" s="710" t="e">
        <f>#REF!+#REF!+#REF!+#REF!+#REF!+#REF!+#REF!+#REF!+#REF!+#REF!</f>
        <v>#REF!</v>
      </c>
      <c r="H375" s="1256"/>
      <c r="I375" s="659"/>
      <c r="EZ375" s="675"/>
      <c r="FA375" s="1049"/>
      <c r="FB375" s="1049"/>
      <c r="FC375" s="1049"/>
      <c r="FD375" s="1049"/>
      <c r="FE375" s="1049"/>
      <c r="FF375" s="1049"/>
      <c r="FG375" s="1049"/>
      <c r="FH375" s="1049"/>
      <c r="FI375" s="1049"/>
      <c r="FJ375" s="1049"/>
      <c r="FK375" s="1049"/>
      <c r="FL375" s="1049"/>
    </row>
    <row r="376" spans="1:168" s="1034" customFormat="1" x14ac:dyDescent="0.25">
      <c r="A376" s="133">
        <v>30</v>
      </c>
      <c r="B376" s="542" t="str">
        <f>AM14</f>
        <v>Чеснок</v>
      </c>
      <c r="C376" s="710" t="e">
        <f>#REF!+#REF!+#REF!+#REF!+#REF!+#REF!+#REF!+#REF!+#REF!+#REF!</f>
        <v>#REF!</v>
      </c>
      <c r="D376" s="779">
        <f>цены!$F$40</f>
        <v>200</v>
      </c>
      <c r="E376" s="802" t="e">
        <f t="shared" si="460"/>
        <v>#REF!</v>
      </c>
      <c r="F376" s="710" t="e">
        <f>#REF!+#REF!+#REF!+#REF!+#REF!+#REF!+#REF!+#REF!+#REF!+#REF!</f>
        <v>#REF!</v>
      </c>
      <c r="G376" s="710" t="e">
        <f>#REF!+#REF!+#REF!+#REF!+#REF!+#REF!+#REF!+#REF!+#REF!+#REF!</f>
        <v>#REF!</v>
      </c>
      <c r="H376" s="1256"/>
      <c r="I376" s="659"/>
      <c r="EZ376" s="675"/>
      <c r="FA376" s="1049"/>
      <c r="FB376" s="1049"/>
      <c r="FC376" s="1049"/>
      <c r="FD376" s="1049"/>
      <c r="FE376" s="1049"/>
      <c r="FF376" s="1049"/>
      <c r="FG376" s="1049"/>
      <c r="FH376" s="1049"/>
      <c r="FI376" s="1049"/>
      <c r="FJ376" s="1049"/>
      <c r="FK376" s="1049"/>
      <c r="FL376" s="1049"/>
    </row>
    <row r="377" spans="1:168" s="1034" customFormat="1" x14ac:dyDescent="0.25">
      <c r="A377" s="133">
        <v>31</v>
      </c>
      <c r="B377" s="542" t="str">
        <f>AN14</f>
        <v>Помидоры</v>
      </c>
      <c r="C377" s="710" t="e">
        <f>#REF!+#REF!+#REF!+#REF!+#REF!+#REF!+#REF!+#REF!+#REF!+#REF!</f>
        <v>#REF!</v>
      </c>
      <c r="D377" s="779">
        <f>цены!$F$41</f>
        <v>106</v>
      </c>
      <c r="E377" s="802" t="e">
        <f t="shared" si="460"/>
        <v>#REF!</v>
      </c>
      <c r="F377" s="710" t="e">
        <f>#REF!+#REF!+#REF!+#REF!+#REF!+#REF!+#REF!+#REF!+#REF!+#REF!</f>
        <v>#REF!</v>
      </c>
      <c r="G377" s="710" t="e">
        <f>#REF!+#REF!+#REF!+#REF!+#REF!+#REF!+#REF!+#REF!+#REF!+#REF!</f>
        <v>#REF!</v>
      </c>
      <c r="H377" s="1256"/>
      <c r="I377" s="659"/>
      <c r="EZ377" s="675"/>
      <c r="FA377" s="1049"/>
      <c r="FB377" s="1049"/>
      <c r="FC377" s="1049"/>
      <c r="FD377" s="1049"/>
      <c r="FE377" s="1049"/>
      <c r="FF377" s="1049"/>
      <c r="FG377" s="1049"/>
      <c r="FH377" s="1049"/>
      <c r="FI377" s="1049"/>
      <c r="FJ377" s="1049"/>
      <c r="FK377" s="1049"/>
      <c r="FL377" s="1049"/>
    </row>
    <row r="378" spans="1:168" s="1034" customFormat="1" x14ac:dyDescent="0.25">
      <c r="A378" s="133">
        <v>32</v>
      </c>
      <c r="B378" s="542" t="str">
        <f>AO14</f>
        <v>Огурцы</v>
      </c>
      <c r="C378" s="710" t="e">
        <f>#REF!+#REF!+#REF!+#REF!+#REF!+#REF!+#REF!+#REF!+#REF!+#REF!</f>
        <v>#REF!</v>
      </c>
      <c r="D378" s="779">
        <f>цены!$F$42</f>
        <v>60</v>
      </c>
      <c r="E378" s="802" t="e">
        <f t="shared" si="460"/>
        <v>#REF!</v>
      </c>
      <c r="F378" s="710" t="e">
        <f>#REF!+#REF!+#REF!+#REF!+#REF!+#REF!+#REF!+#REF!+#REF!+#REF!</f>
        <v>#REF!</v>
      </c>
      <c r="G378" s="710" t="e">
        <f>#REF!+#REF!+#REF!+#REF!+#REF!+#REF!+#REF!+#REF!+#REF!+#REF!</f>
        <v>#REF!</v>
      </c>
      <c r="H378" s="1256"/>
      <c r="I378" s="659"/>
      <c r="EZ378" s="675"/>
      <c r="FA378" s="1049"/>
      <c r="FB378" s="1049"/>
      <c r="FC378" s="1049"/>
      <c r="FD378" s="1049"/>
      <c r="FE378" s="1049"/>
      <c r="FF378" s="1049"/>
      <c r="FG378" s="1049"/>
      <c r="FH378" s="1049"/>
      <c r="FI378" s="1049"/>
      <c r="FJ378" s="1049"/>
      <c r="FK378" s="1049"/>
      <c r="FL378" s="1049"/>
    </row>
    <row r="379" spans="1:168" s="1034" customFormat="1" x14ac:dyDescent="0.25">
      <c r="A379" s="133">
        <v>33</v>
      </c>
      <c r="B379" s="542" t="str">
        <f>AP14</f>
        <v>Салат зеленый</v>
      </c>
      <c r="C379" s="710" t="e">
        <f>#REF!+#REF!+#REF!+#REF!+#REF!+#REF!+#REF!+#REF!+#REF!+#REF!</f>
        <v>#REF!</v>
      </c>
      <c r="D379" s="779">
        <f>цены!$F$43</f>
        <v>200</v>
      </c>
      <c r="E379" s="802" t="e">
        <f t="shared" si="460"/>
        <v>#REF!</v>
      </c>
      <c r="F379" s="710" t="e">
        <f>#REF!+#REF!+#REF!+#REF!+#REF!+#REF!+#REF!+#REF!+#REF!+#REF!</f>
        <v>#REF!</v>
      </c>
      <c r="G379" s="710" t="e">
        <f>#REF!+#REF!+#REF!+#REF!+#REF!+#REF!+#REF!+#REF!+#REF!+#REF!</f>
        <v>#REF!</v>
      </c>
      <c r="H379" s="1256"/>
      <c r="I379" s="659"/>
      <c r="EZ379" s="675"/>
      <c r="FA379" s="1049"/>
      <c r="FB379" s="1049"/>
      <c r="FC379" s="1049"/>
      <c r="FD379" s="1049"/>
      <c r="FE379" s="1049"/>
      <c r="FF379" s="1049"/>
      <c r="FG379" s="1049"/>
      <c r="FH379" s="1049"/>
      <c r="FI379" s="1049"/>
      <c r="FJ379" s="1049"/>
      <c r="FK379" s="1049"/>
      <c r="FL379" s="1049"/>
    </row>
    <row r="380" spans="1:168" s="1034" customFormat="1" x14ac:dyDescent="0.25">
      <c r="A380" s="133">
        <v>34</v>
      </c>
      <c r="B380" s="542" t="str">
        <f>AQ14</f>
        <v>Морковь столовая</v>
      </c>
      <c r="C380" s="710" t="e">
        <f>#REF!+#REF!+#REF!+#REF!+#REF!+#REF!+#REF!+#REF!+#REF!+#REF!</f>
        <v>#REF!</v>
      </c>
      <c r="D380" s="779">
        <f>цены!$F$44</f>
        <v>50</v>
      </c>
      <c r="E380" s="802" t="e">
        <f t="shared" si="460"/>
        <v>#REF!</v>
      </c>
      <c r="F380" s="710" t="e">
        <f>#REF!+#REF!+#REF!+#REF!+#REF!+#REF!+#REF!+#REF!+#REF!+#REF!</f>
        <v>#REF!</v>
      </c>
      <c r="G380" s="710" t="e">
        <f>#REF!+#REF!+#REF!+#REF!+#REF!+#REF!+#REF!+#REF!+#REF!+#REF!</f>
        <v>#REF!</v>
      </c>
      <c r="H380" s="1256"/>
      <c r="I380" s="659"/>
      <c r="EZ380" s="675"/>
      <c r="FA380" s="1049"/>
      <c r="FB380" s="1049"/>
      <c r="FC380" s="1049"/>
      <c r="FD380" s="1049"/>
      <c r="FE380" s="1049"/>
      <c r="FF380" s="1049"/>
      <c r="FG380" s="1049"/>
      <c r="FH380" s="1049"/>
      <c r="FI380" s="1049"/>
      <c r="FJ380" s="1049"/>
      <c r="FK380" s="1049"/>
      <c r="FL380" s="1049"/>
    </row>
    <row r="381" spans="1:168" s="1034" customFormat="1" x14ac:dyDescent="0.25">
      <c r="A381" s="133">
        <v>35</v>
      </c>
      <c r="B381" s="542" t="str">
        <f>AR14</f>
        <v>Морковь столовая молодая</v>
      </c>
      <c r="C381" s="710" t="e">
        <f>#REF!+#REF!+#REF!+#REF!+#REF!+#REF!+#REF!+#REF!+#REF!+#REF!</f>
        <v>#REF!</v>
      </c>
      <c r="D381" s="779">
        <f>цены!$F$45</f>
        <v>35</v>
      </c>
      <c r="E381" s="802" t="e">
        <f t="shared" si="460"/>
        <v>#REF!</v>
      </c>
      <c r="F381" s="710" t="e">
        <f>#REF!+#REF!+#REF!+#REF!+#REF!+#REF!+#REF!+#REF!+#REF!+#REF!</f>
        <v>#REF!</v>
      </c>
      <c r="G381" s="710" t="e">
        <f>#REF!+#REF!+#REF!+#REF!+#REF!+#REF!+#REF!+#REF!+#REF!+#REF!</f>
        <v>#REF!</v>
      </c>
      <c r="H381" s="1256"/>
      <c r="I381" s="659"/>
      <c r="EZ381" s="675"/>
      <c r="FA381" s="1049"/>
      <c r="FB381" s="1049"/>
      <c r="FC381" s="1049"/>
      <c r="FD381" s="1049"/>
      <c r="FE381" s="1049"/>
      <c r="FF381" s="1049"/>
      <c r="FG381" s="1049"/>
      <c r="FH381" s="1049"/>
      <c r="FI381" s="1049"/>
      <c r="FJ381" s="1049"/>
      <c r="FK381" s="1049"/>
      <c r="FL381" s="1049"/>
    </row>
    <row r="382" spans="1:168" s="1034" customFormat="1" x14ac:dyDescent="0.25">
      <c r="A382" s="133">
        <v>36</v>
      </c>
      <c r="B382" s="542" t="str">
        <f>AS14</f>
        <v>Перец сладкий</v>
      </c>
      <c r="C382" s="710" t="e">
        <f>#REF!+#REF!+#REF!+#REF!+#REF!+#REF!+#REF!+#REF!+#REF!+#REF!</f>
        <v>#REF!</v>
      </c>
      <c r="D382" s="779">
        <f>цены!$F$46</f>
        <v>250</v>
      </c>
      <c r="E382" s="802" t="e">
        <f t="shared" si="460"/>
        <v>#REF!</v>
      </c>
      <c r="F382" s="710" t="e">
        <f>#REF!+#REF!+#REF!+#REF!+#REF!+#REF!+#REF!+#REF!+#REF!+#REF!</f>
        <v>#REF!</v>
      </c>
      <c r="G382" s="710" t="e">
        <f>#REF!+#REF!+#REF!+#REF!+#REF!+#REF!+#REF!+#REF!+#REF!+#REF!</f>
        <v>#REF!</v>
      </c>
      <c r="H382" s="1256"/>
      <c r="I382" s="659"/>
      <c r="EZ382" s="675"/>
      <c r="FA382" s="1049"/>
      <c r="FB382" s="1049"/>
      <c r="FC382" s="1049"/>
      <c r="FD382" s="1049"/>
      <c r="FE382" s="1049"/>
      <c r="FF382" s="1049"/>
      <c r="FG382" s="1049"/>
      <c r="FH382" s="1049"/>
      <c r="FI382" s="1049"/>
      <c r="FJ382" s="1049"/>
      <c r="FK382" s="1049"/>
      <c r="FL382" s="1049"/>
    </row>
    <row r="383" spans="1:168" s="1034" customFormat="1" x14ac:dyDescent="0.25">
      <c r="A383" s="133">
        <v>37</v>
      </c>
      <c r="B383" s="542" t="str">
        <f>AT14</f>
        <v>Петрушка корневая</v>
      </c>
      <c r="C383" s="710" t="e">
        <f>#REF!+#REF!+#REF!+#REF!+#REF!+#REF!+#REF!+#REF!+#REF!+#REF!</f>
        <v>#REF!</v>
      </c>
      <c r="D383" s="779">
        <f>цены!$F$47</f>
        <v>300</v>
      </c>
      <c r="E383" s="802" t="e">
        <f t="shared" si="460"/>
        <v>#REF!</v>
      </c>
      <c r="F383" s="710" t="e">
        <f>#REF!+#REF!+#REF!+#REF!+#REF!+#REF!+#REF!+#REF!+#REF!+#REF!</f>
        <v>#REF!</v>
      </c>
      <c r="G383" s="710" t="e">
        <f>#REF!+#REF!+#REF!+#REF!+#REF!+#REF!+#REF!+#REF!+#REF!+#REF!</f>
        <v>#REF!</v>
      </c>
      <c r="H383" s="1256"/>
      <c r="I383" s="659"/>
      <c r="EZ383" s="675"/>
      <c r="FA383" s="1049"/>
      <c r="FB383" s="1049"/>
      <c r="FC383" s="1049"/>
      <c r="FD383" s="1049"/>
      <c r="FE383" s="1049"/>
      <c r="FF383" s="1049"/>
      <c r="FG383" s="1049"/>
      <c r="FH383" s="1049"/>
      <c r="FI383" s="1049"/>
      <c r="FJ383" s="1049"/>
      <c r="FK383" s="1049"/>
      <c r="FL383" s="1049"/>
    </row>
    <row r="384" spans="1:168" s="1034" customFormat="1" x14ac:dyDescent="0.25">
      <c r="A384" s="133">
        <v>38</v>
      </c>
      <c r="B384" s="542" t="str">
        <f>AU14</f>
        <v>Петрушка зеленая</v>
      </c>
      <c r="C384" s="710" t="e">
        <f>#REF!+#REF!+#REF!+#REF!+#REF!+#REF!+#REF!+#REF!+#REF!+#REF!</f>
        <v>#REF!</v>
      </c>
      <c r="D384" s="779">
        <f>цены!$F$48</f>
        <v>300</v>
      </c>
      <c r="E384" s="802" t="e">
        <f t="shared" si="460"/>
        <v>#REF!</v>
      </c>
      <c r="F384" s="710" t="e">
        <f>#REF!+#REF!+#REF!+#REF!+#REF!+#REF!+#REF!+#REF!+#REF!+#REF!</f>
        <v>#REF!</v>
      </c>
      <c r="G384" s="710" t="e">
        <f>#REF!+#REF!+#REF!+#REF!+#REF!+#REF!+#REF!+#REF!+#REF!+#REF!</f>
        <v>#REF!</v>
      </c>
      <c r="H384" s="1256"/>
      <c r="I384" s="659"/>
      <c r="EZ384" s="675"/>
      <c r="FA384" s="1049"/>
      <c r="FB384" s="1049"/>
      <c r="FC384" s="1049"/>
      <c r="FD384" s="1049"/>
      <c r="FE384" s="1049"/>
      <c r="FF384" s="1049"/>
      <c r="FG384" s="1049"/>
      <c r="FH384" s="1049"/>
      <c r="FI384" s="1049"/>
      <c r="FJ384" s="1049"/>
      <c r="FK384" s="1049"/>
      <c r="FL384" s="1049"/>
    </row>
    <row r="385" spans="1:168" s="1034" customFormat="1" x14ac:dyDescent="0.25">
      <c r="A385" s="133">
        <v>39</v>
      </c>
      <c r="B385" s="542" t="str">
        <f>AV14</f>
        <v>Щавель</v>
      </c>
      <c r="C385" s="710" t="e">
        <f>#REF!+#REF!+#REF!+#REF!+#REF!+#REF!+#REF!+#REF!+#REF!+#REF!</f>
        <v>#REF!</v>
      </c>
      <c r="D385" s="779">
        <f>цены!$F$49</f>
        <v>260</v>
      </c>
      <c r="E385" s="802" t="e">
        <f t="shared" si="460"/>
        <v>#REF!</v>
      </c>
      <c r="F385" s="710" t="e">
        <f>#REF!+#REF!+#REF!+#REF!+#REF!+#REF!+#REF!+#REF!+#REF!+#REF!</f>
        <v>#REF!</v>
      </c>
      <c r="G385" s="710" t="e">
        <f>#REF!+#REF!+#REF!+#REF!+#REF!+#REF!+#REF!+#REF!+#REF!+#REF!</f>
        <v>#REF!</v>
      </c>
      <c r="H385" s="1256"/>
      <c r="I385" s="659"/>
      <c r="EZ385" s="675"/>
      <c r="FA385" s="1049"/>
      <c r="FB385" s="1049"/>
      <c r="FC385" s="1049"/>
      <c r="FD385" s="1049"/>
      <c r="FE385" s="1049"/>
      <c r="FF385" s="1049"/>
      <c r="FG385" s="1049"/>
      <c r="FH385" s="1049"/>
      <c r="FI385" s="1049"/>
      <c r="FJ385" s="1049"/>
      <c r="FK385" s="1049"/>
      <c r="FL385" s="1049"/>
    </row>
    <row r="386" spans="1:168" s="1034" customFormat="1" x14ac:dyDescent="0.25">
      <c r="A386" s="133">
        <v>40</v>
      </c>
      <c r="B386" s="542" t="str">
        <f>AW14</f>
        <v>Шпинат</v>
      </c>
      <c r="C386" s="710" t="e">
        <f>#REF!+#REF!+#REF!+#REF!+#REF!+#REF!+#REF!+#REF!+#REF!+#REF!</f>
        <v>#REF!</v>
      </c>
      <c r="D386" s="779">
        <f>цены!$F$50</f>
        <v>260</v>
      </c>
      <c r="E386" s="802" t="e">
        <f t="shared" si="460"/>
        <v>#REF!</v>
      </c>
      <c r="F386" s="710" t="e">
        <f>#REF!+#REF!+#REF!+#REF!+#REF!+#REF!+#REF!+#REF!+#REF!+#REF!</f>
        <v>#REF!</v>
      </c>
      <c r="G386" s="710" t="e">
        <f>#REF!+#REF!+#REF!+#REF!+#REF!+#REF!+#REF!+#REF!+#REF!+#REF!</f>
        <v>#REF!</v>
      </c>
      <c r="H386" s="1256"/>
      <c r="I386" s="659"/>
      <c r="EZ386" s="675"/>
      <c r="FA386" s="1049"/>
      <c r="FB386" s="1049"/>
      <c r="FC386" s="1049"/>
      <c r="FD386" s="1049"/>
      <c r="FE386" s="1049"/>
      <c r="FF386" s="1049"/>
      <c r="FG386" s="1049"/>
      <c r="FH386" s="1049"/>
      <c r="FI386" s="1049"/>
      <c r="FJ386" s="1049"/>
      <c r="FK386" s="1049"/>
      <c r="FL386" s="1049"/>
    </row>
    <row r="387" spans="1:168" s="1034" customFormat="1" x14ac:dyDescent="0.25">
      <c r="A387" s="133">
        <v>41</v>
      </c>
      <c r="B387" s="542" t="str">
        <f>AX14</f>
        <v>Свекла столовая</v>
      </c>
      <c r="C387" s="710" t="e">
        <f>#REF!+#REF!+#REF!+#REF!+#REF!+#REF!+#REF!+#REF!+#REF!+#REF!</f>
        <v>#REF!</v>
      </c>
      <c r="D387" s="779">
        <f>цены!$F$51</f>
        <v>30</v>
      </c>
      <c r="E387" s="802" t="e">
        <f t="shared" si="460"/>
        <v>#REF!</v>
      </c>
      <c r="F387" s="710" t="e">
        <f>#REF!+#REF!+#REF!+#REF!+#REF!+#REF!+#REF!+#REF!+#REF!+#REF!</f>
        <v>#REF!</v>
      </c>
      <c r="G387" s="710" t="e">
        <f>#REF!+#REF!+#REF!+#REF!+#REF!+#REF!+#REF!+#REF!+#REF!+#REF!</f>
        <v>#REF!</v>
      </c>
      <c r="H387" s="1256"/>
      <c r="I387" s="659"/>
      <c r="EZ387" s="675"/>
      <c r="FA387" s="1049"/>
      <c r="FB387" s="1049"/>
      <c r="FC387" s="1049"/>
      <c r="FD387" s="1049"/>
      <c r="FE387" s="1049"/>
      <c r="FF387" s="1049"/>
      <c r="FG387" s="1049"/>
      <c r="FH387" s="1049"/>
      <c r="FI387" s="1049"/>
      <c r="FJ387" s="1049"/>
      <c r="FK387" s="1049"/>
      <c r="FL387" s="1049"/>
    </row>
    <row r="388" spans="1:168" s="1034" customFormat="1" x14ac:dyDescent="0.25">
      <c r="A388" s="133">
        <v>42</v>
      </c>
      <c r="B388" s="542" t="str">
        <f>AY14</f>
        <v>Свекла столовая свежая</v>
      </c>
      <c r="C388" s="710" t="e">
        <f>#REF!+#REF!+#REF!+#REF!+#REF!+#REF!+#REF!+#REF!+#REF!+#REF!</f>
        <v>#REF!</v>
      </c>
      <c r="D388" s="779">
        <f>цены!$F$52</f>
        <v>36</v>
      </c>
      <c r="E388" s="802" t="e">
        <f t="shared" si="460"/>
        <v>#REF!</v>
      </c>
      <c r="F388" s="710" t="e">
        <f>#REF!+#REF!+#REF!+#REF!+#REF!+#REF!+#REF!+#REF!+#REF!+#REF!</f>
        <v>#REF!</v>
      </c>
      <c r="G388" s="710" t="e">
        <f>#REF!+#REF!+#REF!+#REF!+#REF!+#REF!+#REF!+#REF!+#REF!+#REF!</f>
        <v>#REF!</v>
      </c>
      <c r="H388" s="1256"/>
      <c r="I388" s="659"/>
      <c r="EZ388" s="675"/>
      <c r="FA388" s="1049"/>
      <c r="FB388" s="1049"/>
      <c r="FC388" s="1049"/>
      <c r="FD388" s="1049"/>
      <c r="FE388" s="1049"/>
      <c r="FF388" s="1049"/>
      <c r="FG388" s="1049"/>
      <c r="FH388" s="1049"/>
      <c r="FI388" s="1049"/>
      <c r="FJ388" s="1049"/>
      <c r="FK388" s="1049"/>
      <c r="FL388" s="1049"/>
    </row>
    <row r="389" spans="1:168" s="1034" customFormat="1" x14ac:dyDescent="0.25">
      <c r="A389" s="133">
        <v>43</v>
      </c>
      <c r="B389" s="542" t="str">
        <f>AZ14</f>
        <v>Кабачки</v>
      </c>
      <c r="C389" s="710" t="e">
        <f>#REF!+#REF!+#REF!+#REF!+#REF!+#REF!+#REF!+#REF!+#REF!+#REF!</f>
        <v>#REF!</v>
      </c>
      <c r="D389" s="779">
        <f>цены!$F$53</f>
        <v>160</v>
      </c>
      <c r="E389" s="802" t="e">
        <f t="shared" si="460"/>
        <v>#REF!</v>
      </c>
      <c r="F389" s="710" t="e">
        <f>#REF!+#REF!+#REF!+#REF!+#REF!+#REF!+#REF!+#REF!+#REF!+#REF!</f>
        <v>#REF!</v>
      </c>
      <c r="G389" s="710" t="e">
        <f>#REF!+#REF!+#REF!+#REF!+#REF!+#REF!+#REF!+#REF!+#REF!+#REF!</f>
        <v>#REF!</v>
      </c>
      <c r="H389" s="1256"/>
      <c r="I389" s="659"/>
      <c r="EZ389" s="675"/>
      <c r="FA389" s="1049"/>
      <c r="FB389" s="1049"/>
      <c r="FC389" s="1049"/>
      <c r="FD389" s="1049"/>
      <c r="FE389" s="1049"/>
      <c r="FF389" s="1049"/>
      <c r="FG389" s="1049"/>
      <c r="FH389" s="1049"/>
      <c r="FI389" s="1049"/>
      <c r="FJ389" s="1049"/>
      <c r="FK389" s="1049"/>
      <c r="FL389" s="1049"/>
    </row>
    <row r="390" spans="1:168" s="1034" customFormat="1" x14ac:dyDescent="0.25">
      <c r="A390" s="133">
        <v>44</v>
      </c>
      <c r="B390" s="542" t="str">
        <f>BA14</f>
        <v>Репа</v>
      </c>
      <c r="C390" s="710" t="e">
        <f>#REF!+#REF!+#REF!+#REF!+#REF!+#REF!+#REF!+#REF!+#REF!+#REF!</f>
        <v>#REF!</v>
      </c>
      <c r="D390" s="779">
        <f>цены!$F$54</f>
        <v>60</v>
      </c>
      <c r="E390" s="802" t="e">
        <f t="shared" si="460"/>
        <v>#REF!</v>
      </c>
      <c r="F390" s="710" t="e">
        <f>#REF!+#REF!+#REF!+#REF!+#REF!+#REF!+#REF!+#REF!+#REF!+#REF!</f>
        <v>#REF!</v>
      </c>
      <c r="G390" s="710" t="e">
        <f>#REF!+#REF!+#REF!+#REF!+#REF!+#REF!+#REF!+#REF!+#REF!+#REF!</f>
        <v>#REF!</v>
      </c>
      <c r="H390" s="1256"/>
      <c r="I390" s="659"/>
      <c r="EZ390" s="675"/>
      <c r="FA390" s="1049"/>
      <c r="FB390" s="1049"/>
      <c r="FC390" s="1049"/>
      <c r="FD390" s="1049"/>
      <c r="FE390" s="1049"/>
      <c r="FF390" s="1049"/>
      <c r="FG390" s="1049"/>
      <c r="FH390" s="1049"/>
      <c r="FI390" s="1049"/>
      <c r="FJ390" s="1049"/>
      <c r="FK390" s="1049"/>
      <c r="FL390" s="1049"/>
    </row>
    <row r="391" spans="1:168" s="1034" customFormat="1" x14ac:dyDescent="0.25">
      <c r="A391" s="133">
        <v>45</v>
      </c>
      <c r="B391" s="542" t="str">
        <f>BB14</f>
        <v>Сливы</v>
      </c>
      <c r="C391" s="710" t="e">
        <f>#REF!+#REF!+#REF!+#REF!+#REF!+#REF!+#REF!+#REF!+#REF!+#REF!</f>
        <v>#REF!</v>
      </c>
      <c r="D391" s="779">
        <f>цены!$F$55</f>
        <v>100</v>
      </c>
      <c r="E391" s="802" t="e">
        <f t="shared" si="460"/>
        <v>#REF!</v>
      </c>
      <c r="F391" s="710" t="e">
        <f>#REF!+#REF!+#REF!+#REF!+#REF!+#REF!+#REF!+#REF!+#REF!+#REF!</f>
        <v>#REF!</v>
      </c>
      <c r="G391" s="710" t="e">
        <f>#REF!+#REF!+#REF!+#REF!+#REF!+#REF!+#REF!+#REF!+#REF!+#REF!</f>
        <v>#REF!</v>
      </c>
      <c r="H391" s="1256"/>
      <c r="I391" s="659"/>
      <c r="EZ391" s="675"/>
      <c r="FA391" s="1049"/>
      <c r="FB391" s="1049"/>
      <c r="FC391" s="1049"/>
      <c r="FD391" s="1049"/>
      <c r="FE391" s="1049"/>
      <c r="FF391" s="1049"/>
      <c r="FG391" s="1049"/>
      <c r="FH391" s="1049"/>
      <c r="FI391" s="1049"/>
      <c r="FJ391" s="1049"/>
      <c r="FK391" s="1049"/>
      <c r="FL391" s="1049"/>
    </row>
    <row r="392" spans="1:168" s="1034" customFormat="1" x14ac:dyDescent="0.25">
      <c r="A392" s="133">
        <v>46</v>
      </c>
      <c r="B392" s="542" t="str">
        <f>BC14</f>
        <v>Редис красный</v>
      </c>
      <c r="C392" s="710" t="e">
        <f>#REF!+#REF!+#REF!+#REF!+#REF!+#REF!+#REF!+#REF!+#REF!+#REF!</f>
        <v>#REF!</v>
      </c>
      <c r="D392" s="779">
        <f>цены!$F$56</f>
        <v>50</v>
      </c>
      <c r="E392" s="802" t="e">
        <f t="shared" si="460"/>
        <v>#REF!</v>
      </c>
      <c r="F392" s="710" t="e">
        <f>#REF!+#REF!+#REF!+#REF!+#REF!+#REF!+#REF!+#REF!+#REF!+#REF!</f>
        <v>#REF!</v>
      </c>
      <c r="G392" s="710" t="e">
        <f>#REF!+#REF!+#REF!+#REF!+#REF!+#REF!+#REF!+#REF!+#REF!+#REF!</f>
        <v>#REF!</v>
      </c>
      <c r="H392" s="1256"/>
      <c r="I392" s="659"/>
      <c r="EZ392" s="675"/>
      <c r="FA392" s="1049"/>
      <c r="FB392" s="1049"/>
      <c r="FC392" s="1049"/>
      <c r="FD392" s="1049"/>
      <c r="FE392" s="1049"/>
      <c r="FF392" s="1049"/>
      <c r="FG392" s="1049"/>
      <c r="FH392" s="1049"/>
      <c r="FI392" s="1049"/>
      <c r="FJ392" s="1049"/>
      <c r="FK392" s="1049"/>
      <c r="FL392" s="1049"/>
    </row>
    <row r="393" spans="1:168" s="1034" customFormat="1" x14ac:dyDescent="0.25">
      <c r="A393" s="133">
        <v>47</v>
      </c>
      <c r="B393" s="542" t="str">
        <f>BD14</f>
        <v>Черешня</v>
      </c>
      <c r="C393" s="710" t="e">
        <f>#REF!+#REF!+#REF!+#REF!+#REF!+#REF!+#REF!+#REF!+#REF!+#REF!</f>
        <v>#REF!</v>
      </c>
      <c r="D393" s="779">
        <f>цены!$F$57</f>
        <v>160</v>
      </c>
      <c r="E393" s="802" t="e">
        <f t="shared" si="460"/>
        <v>#REF!</v>
      </c>
      <c r="F393" s="710" t="e">
        <f>#REF!+#REF!+#REF!+#REF!+#REF!+#REF!+#REF!+#REF!+#REF!+#REF!</f>
        <v>#REF!</v>
      </c>
      <c r="G393" s="710" t="e">
        <f>#REF!+#REF!+#REF!+#REF!+#REF!+#REF!+#REF!+#REF!+#REF!+#REF!</f>
        <v>#REF!</v>
      </c>
      <c r="H393" s="1256"/>
      <c r="I393" s="659"/>
      <c r="EZ393" s="675"/>
      <c r="FA393" s="1049"/>
      <c r="FB393" s="1049"/>
      <c r="FC393" s="1049"/>
      <c r="FD393" s="1049"/>
      <c r="FE393" s="1049"/>
      <c r="FF393" s="1049"/>
      <c r="FG393" s="1049"/>
      <c r="FH393" s="1049"/>
      <c r="FI393" s="1049"/>
      <c r="FJ393" s="1049"/>
      <c r="FK393" s="1049"/>
      <c r="FL393" s="1049"/>
    </row>
    <row r="394" spans="1:168" s="1034" customFormat="1" x14ac:dyDescent="0.25">
      <c r="A394" s="133">
        <v>48</v>
      </c>
      <c r="B394" s="542" t="str">
        <f>BE14</f>
        <v>Земляника садовая (клубника)</v>
      </c>
      <c r="C394" s="710" t="e">
        <f>#REF!+#REF!+#REF!+#REF!+#REF!+#REF!+#REF!+#REF!+#REF!+#REF!</f>
        <v>#REF!</v>
      </c>
      <c r="D394" s="779">
        <f>цены!$F$58</f>
        <v>160</v>
      </c>
      <c r="E394" s="802" t="e">
        <f t="shared" si="460"/>
        <v>#REF!</v>
      </c>
      <c r="F394" s="710" t="e">
        <f>#REF!+#REF!+#REF!+#REF!+#REF!+#REF!+#REF!+#REF!+#REF!+#REF!</f>
        <v>#REF!</v>
      </c>
      <c r="G394" s="710" t="e">
        <f>#REF!+#REF!+#REF!+#REF!+#REF!+#REF!+#REF!+#REF!+#REF!+#REF!</f>
        <v>#REF!</v>
      </c>
      <c r="H394" s="1256"/>
      <c r="I394" s="659"/>
      <c r="EZ394" s="675"/>
      <c r="FA394" s="1049"/>
      <c r="FB394" s="1049"/>
      <c r="FC394" s="1049"/>
      <c r="FD394" s="1049"/>
      <c r="FE394" s="1049"/>
      <c r="FF394" s="1049"/>
      <c r="FG394" s="1049"/>
      <c r="FH394" s="1049"/>
      <c r="FI394" s="1049"/>
      <c r="FJ394" s="1049"/>
      <c r="FK394" s="1049"/>
      <c r="FL394" s="1049"/>
    </row>
    <row r="395" spans="1:168" s="1034" customFormat="1" x14ac:dyDescent="0.25">
      <c r="A395" s="133">
        <v>49</v>
      </c>
      <c r="B395" s="542" t="str">
        <f>BF14</f>
        <v>Малина</v>
      </c>
      <c r="C395" s="710" t="e">
        <f>#REF!+#REF!+#REF!+#REF!+#REF!+#REF!+#REF!+#REF!+#REF!+#REF!</f>
        <v>#REF!</v>
      </c>
      <c r="D395" s="779">
        <f>цены!$F$59</f>
        <v>250</v>
      </c>
      <c r="E395" s="802" t="e">
        <f t="shared" si="460"/>
        <v>#REF!</v>
      </c>
      <c r="F395" s="710" t="e">
        <f>#REF!+#REF!+#REF!+#REF!+#REF!+#REF!+#REF!+#REF!+#REF!+#REF!</f>
        <v>#REF!</v>
      </c>
      <c r="G395" s="710" t="e">
        <f>#REF!+#REF!+#REF!+#REF!+#REF!+#REF!+#REF!+#REF!+#REF!+#REF!</f>
        <v>#REF!</v>
      </c>
      <c r="H395" s="1256"/>
      <c r="I395" s="659"/>
      <c r="EZ395" s="675"/>
      <c r="FA395" s="1049"/>
      <c r="FB395" s="1049"/>
      <c r="FC395" s="1049"/>
      <c r="FD395" s="1049"/>
      <c r="FE395" s="1049"/>
      <c r="FF395" s="1049"/>
      <c r="FG395" s="1049"/>
      <c r="FH395" s="1049"/>
      <c r="FI395" s="1049"/>
      <c r="FJ395" s="1049"/>
      <c r="FK395" s="1049"/>
      <c r="FL395" s="1049"/>
    </row>
    <row r="396" spans="1:168" s="1034" customFormat="1" x14ac:dyDescent="0.25">
      <c r="A396" s="133">
        <v>50</v>
      </c>
      <c r="B396" s="542" t="str">
        <f>BG14</f>
        <v>Вишня</v>
      </c>
      <c r="C396" s="710" t="e">
        <f>#REF!+#REF!+#REF!+#REF!+#REF!+#REF!+#REF!+#REF!+#REF!+#REF!</f>
        <v>#REF!</v>
      </c>
      <c r="D396" s="779">
        <f>цены!$F$60</f>
        <v>250</v>
      </c>
      <c r="E396" s="802" t="e">
        <f t="shared" si="460"/>
        <v>#REF!</v>
      </c>
      <c r="F396" s="710" t="e">
        <f>#REF!+#REF!+#REF!+#REF!+#REF!+#REF!+#REF!+#REF!+#REF!+#REF!</f>
        <v>#REF!</v>
      </c>
      <c r="G396" s="710" t="e">
        <f>#REF!+#REF!+#REF!+#REF!+#REF!+#REF!+#REF!+#REF!+#REF!+#REF!</f>
        <v>#REF!</v>
      </c>
      <c r="H396" s="1256"/>
      <c r="I396" s="659"/>
      <c r="EZ396" s="675"/>
      <c r="FA396" s="1049"/>
      <c r="FB396" s="1049"/>
      <c r="FC396" s="1049"/>
      <c r="FD396" s="1049"/>
      <c r="FE396" s="1049"/>
      <c r="FF396" s="1049"/>
      <c r="FG396" s="1049"/>
      <c r="FH396" s="1049"/>
      <c r="FI396" s="1049"/>
      <c r="FJ396" s="1049"/>
      <c r="FK396" s="1049"/>
      <c r="FL396" s="1049"/>
    </row>
    <row r="397" spans="1:168" s="1034" customFormat="1" x14ac:dyDescent="0.25">
      <c r="A397" s="133">
        <v>51</v>
      </c>
      <c r="B397" s="542" t="str">
        <f>BH14</f>
        <v>Черная смородина</v>
      </c>
      <c r="C397" s="710" t="e">
        <f>#REF!+#REF!+#REF!+#REF!+#REF!+#REF!+#REF!+#REF!+#REF!+#REF!</f>
        <v>#REF!</v>
      </c>
      <c r="D397" s="779">
        <f>цены!$F$61</f>
        <v>250</v>
      </c>
      <c r="E397" s="802" t="e">
        <f t="shared" si="460"/>
        <v>#REF!</v>
      </c>
      <c r="F397" s="710" t="e">
        <f>#REF!+#REF!+#REF!+#REF!+#REF!+#REF!+#REF!+#REF!+#REF!+#REF!</f>
        <v>#REF!</v>
      </c>
      <c r="G397" s="710" t="e">
        <f>#REF!+#REF!+#REF!+#REF!+#REF!+#REF!+#REF!+#REF!+#REF!+#REF!</f>
        <v>#REF!</v>
      </c>
      <c r="H397" s="1256"/>
      <c r="I397" s="659"/>
      <c r="EZ397" s="675"/>
      <c r="FA397" s="1049"/>
      <c r="FB397" s="1049"/>
      <c r="FC397" s="1049"/>
      <c r="FD397" s="1049"/>
      <c r="FE397" s="1049"/>
      <c r="FF397" s="1049"/>
      <c r="FG397" s="1049"/>
      <c r="FH397" s="1049"/>
      <c r="FI397" s="1049"/>
      <c r="FJ397" s="1049"/>
      <c r="FK397" s="1049"/>
      <c r="FL397" s="1049"/>
    </row>
    <row r="398" spans="1:168" s="1034" customFormat="1" x14ac:dyDescent="0.25">
      <c r="A398" s="133">
        <v>52</v>
      </c>
      <c r="B398" s="542" t="str">
        <f>BI14</f>
        <v>Арбуз</v>
      </c>
      <c r="C398" s="710" t="e">
        <f>#REF!+#REF!+#REF!+#REF!+#REF!+#REF!+#REF!+#REF!+#REF!+#REF!</f>
        <v>#REF!</v>
      </c>
      <c r="D398" s="779">
        <f>цены!$F$62</f>
        <v>25</v>
      </c>
      <c r="E398" s="802" t="e">
        <f t="shared" si="460"/>
        <v>#REF!</v>
      </c>
      <c r="F398" s="710" t="e">
        <f>#REF!+#REF!+#REF!+#REF!+#REF!+#REF!+#REF!+#REF!+#REF!+#REF!</f>
        <v>#REF!</v>
      </c>
      <c r="G398" s="710" t="e">
        <f>#REF!+#REF!+#REF!+#REF!+#REF!+#REF!+#REF!+#REF!+#REF!+#REF!</f>
        <v>#REF!</v>
      </c>
      <c r="H398" s="1256"/>
      <c r="I398" s="659"/>
      <c r="EZ398" s="675"/>
      <c r="FA398" s="1049"/>
      <c r="FB398" s="1049"/>
      <c r="FC398" s="1049"/>
      <c r="FD398" s="1049"/>
      <c r="FE398" s="1049"/>
      <c r="FF398" s="1049"/>
      <c r="FG398" s="1049"/>
      <c r="FH398" s="1049"/>
      <c r="FI398" s="1049"/>
      <c r="FJ398" s="1049"/>
      <c r="FK398" s="1049"/>
      <c r="FL398" s="1049"/>
    </row>
    <row r="399" spans="1:168" s="1034" customFormat="1" x14ac:dyDescent="0.25">
      <c r="A399" s="133">
        <v>53</v>
      </c>
      <c r="B399" s="542" t="str">
        <f>BJ14</f>
        <v>Дыня</v>
      </c>
      <c r="C399" s="710" t="e">
        <f>#REF!+#REF!+#REF!+#REF!+#REF!+#REF!+#REF!+#REF!+#REF!+#REF!</f>
        <v>#REF!</v>
      </c>
      <c r="D399" s="779">
        <f>цены!$F$63</f>
        <v>25</v>
      </c>
      <c r="E399" s="802" t="e">
        <f t="shared" si="460"/>
        <v>#REF!</v>
      </c>
      <c r="F399" s="710" t="e">
        <f>#REF!+#REF!+#REF!+#REF!+#REF!+#REF!+#REF!+#REF!+#REF!+#REF!</f>
        <v>#REF!</v>
      </c>
      <c r="G399" s="710" t="e">
        <f>#REF!+#REF!+#REF!+#REF!+#REF!+#REF!+#REF!+#REF!+#REF!+#REF!</f>
        <v>#REF!</v>
      </c>
      <c r="H399" s="1256"/>
      <c r="I399" s="659"/>
      <c r="EZ399" s="675"/>
      <c r="FA399" s="1049"/>
      <c r="FB399" s="1049"/>
      <c r="FC399" s="1049"/>
      <c r="FD399" s="1049"/>
      <c r="FE399" s="1049"/>
      <c r="FF399" s="1049"/>
      <c r="FG399" s="1049"/>
      <c r="FH399" s="1049"/>
      <c r="FI399" s="1049"/>
      <c r="FJ399" s="1049"/>
      <c r="FK399" s="1049"/>
      <c r="FL399" s="1049"/>
    </row>
    <row r="400" spans="1:168" s="1034" customFormat="1" x14ac:dyDescent="0.25">
      <c r="A400" s="133">
        <v>54</v>
      </c>
      <c r="B400" s="542" t="str">
        <f>BK14</f>
        <v>Апельсин</v>
      </c>
      <c r="C400" s="710" t="e">
        <f>#REF!+#REF!+#REF!+#REF!+#REF!+#REF!+#REF!+#REF!+#REF!+#REF!</f>
        <v>#REF!</v>
      </c>
      <c r="D400" s="779">
        <f>цены!$F$64</f>
        <v>124</v>
      </c>
      <c r="E400" s="802" t="e">
        <f t="shared" si="460"/>
        <v>#REF!</v>
      </c>
      <c r="F400" s="710" t="e">
        <f>#REF!+#REF!+#REF!+#REF!+#REF!+#REF!+#REF!+#REF!+#REF!+#REF!</f>
        <v>#REF!</v>
      </c>
      <c r="G400" s="710" t="e">
        <f>#REF!+#REF!+#REF!+#REF!+#REF!+#REF!+#REF!+#REF!+#REF!+#REF!</f>
        <v>#REF!</v>
      </c>
      <c r="H400" s="1256"/>
      <c r="I400" s="659"/>
      <c r="EZ400" s="675"/>
      <c r="FA400" s="1049"/>
      <c r="FB400" s="1049"/>
      <c r="FC400" s="1049"/>
      <c r="FD400" s="1049"/>
      <c r="FE400" s="1049"/>
      <c r="FF400" s="1049"/>
      <c r="FG400" s="1049"/>
      <c r="FH400" s="1049"/>
      <c r="FI400" s="1049"/>
      <c r="FJ400" s="1049"/>
      <c r="FK400" s="1049"/>
      <c r="FL400" s="1049"/>
    </row>
    <row r="401" spans="1:168" s="1034" customFormat="1" x14ac:dyDescent="0.25">
      <c r="A401" s="133">
        <v>55</v>
      </c>
      <c r="B401" s="542" t="str">
        <f>BL14</f>
        <v>Мандарин (мандора)</v>
      </c>
      <c r="C401" s="710" t="e">
        <f>#REF!+#REF!+#REF!+#REF!+#REF!+#REF!+#REF!+#REF!+#REF!+#REF!</f>
        <v>#REF!</v>
      </c>
      <c r="D401" s="779">
        <f>цены!$F$65</f>
        <v>120</v>
      </c>
      <c r="E401" s="802" t="e">
        <f t="shared" si="460"/>
        <v>#REF!</v>
      </c>
      <c r="F401" s="710" t="e">
        <f>#REF!+#REF!+#REF!+#REF!+#REF!+#REF!+#REF!+#REF!+#REF!+#REF!</f>
        <v>#REF!</v>
      </c>
      <c r="G401" s="710" t="e">
        <f>#REF!+#REF!+#REF!+#REF!+#REF!+#REF!+#REF!+#REF!+#REF!+#REF!</f>
        <v>#REF!</v>
      </c>
      <c r="H401" s="1256"/>
      <c r="I401" s="659"/>
      <c r="EZ401" s="675"/>
      <c r="FA401" s="1049"/>
      <c r="FB401" s="1049"/>
      <c r="FC401" s="1049"/>
      <c r="FD401" s="1049"/>
      <c r="FE401" s="1049"/>
      <c r="FF401" s="1049"/>
      <c r="FG401" s="1049"/>
      <c r="FH401" s="1049"/>
      <c r="FI401" s="1049"/>
      <c r="FJ401" s="1049"/>
      <c r="FK401" s="1049"/>
      <c r="FL401" s="1049"/>
    </row>
    <row r="402" spans="1:168" s="1034" customFormat="1" x14ac:dyDescent="0.25">
      <c r="A402" s="133">
        <v>56</v>
      </c>
      <c r="B402" s="542" t="str">
        <f>BM14</f>
        <v>Бананы</v>
      </c>
      <c r="C402" s="710" t="e">
        <f>#REF!+#REF!+#REF!+#REF!+#REF!+#REF!+#REF!+#REF!+#REF!+#REF!</f>
        <v>#REF!</v>
      </c>
      <c r="D402" s="779">
        <f>цены!$F$66</f>
        <v>115</v>
      </c>
      <c r="E402" s="802" t="e">
        <f t="shared" si="460"/>
        <v>#REF!</v>
      </c>
      <c r="F402" s="710" t="e">
        <f>#REF!+#REF!+#REF!+#REF!+#REF!+#REF!+#REF!+#REF!+#REF!+#REF!</f>
        <v>#REF!</v>
      </c>
      <c r="G402" s="710" t="e">
        <f>#REF!+#REF!+#REF!+#REF!+#REF!+#REF!+#REF!+#REF!+#REF!+#REF!</f>
        <v>#REF!</v>
      </c>
      <c r="H402" s="1256"/>
      <c r="I402" s="659"/>
      <c r="EZ402" s="675"/>
      <c r="FA402" s="1049"/>
      <c r="FB402" s="1049"/>
      <c r="FC402" s="1049"/>
      <c r="FD402" s="1049"/>
      <c r="FE402" s="1049"/>
      <c r="FF402" s="1049"/>
      <c r="FG402" s="1049"/>
      <c r="FH402" s="1049"/>
      <c r="FI402" s="1049"/>
      <c r="FJ402" s="1049"/>
      <c r="FK402" s="1049"/>
      <c r="FL402" s="1049"/>
    </row>
    <row r="403" spans="1:168" s="1034" customFormat="1" x14ac:dyDescent="0.25">
      <c r="A403" s="133">
        <v>57</v>
      </c>
      <c r="B403" s="542" t="str">
        <f>BN14</f>
        <v>Груши</v>
      </c>
      <c r="C403" s="710" t="e">
        <f>#REF!+#REF!+#REF!+#REF!+#REF!+#REF!+#REF!+#REF!+#REF!+#REF!</f>
        <v>#REF!</v>
      </c>
      <c r="D403" s="779">
        <f>цены!$F$67</f>
        <v>240</v>
      </c>
      <c r="E403" s="802" t="e">
        <f t="shared" si="460"/>
        <v>#REF!</v>
      </c>
      <c r="F403" s="710" t="e">
        <f>#REF!+#REF!+#REF!+#REF!+#REF!+#REF!+#REF!+#REF!+#REF!+#REF!</f>
        <v>#REF!</v>
      </c>
      <c r="G403" s="710" t="e">
        <f>#REF!+#REF!+#REF!+#REF!+#REF!+#REF!+#REF!+#REF!+#REF!+#REF!</f>
        <v>#REF!</v>
      </c>
      <c r="H403" s="1256"/>
      <c r="I403" s="659"/>
      <c r="EZ403" s="675"/>
      <c r="FA403" s="1049"/>
      <c r="FB403" s="1049"/>
      <c r="FC403" s="1049"/>
      <c r="FD403" s="1049"/>
      <c r="FE403" s="1049"/>
      <c r="FF403" s="1049"/>
      <c r="FG403" s="1049"/>
      <c r="FH403" s="1049"/>
      <c r="FI403" s="1049"/>
      <c r="FJ403" s="1049"/>
      <c r="FK403" s="1049"/>
      <c r="FL403" s="1049"/>
    </row>
    <row r="404" spans="1:168" s="1034" customFormat="1" x14ac:dyDescent="0.25">
      <c r="A404" s="133">
        <v>58</v>
      </c>
      <c r="B404" s="542" t="str">
        <f>BO14</f>
        <v>Абрикосы</v>
      </c>
      <c r="C404" s="710" t="e">
        <f>#REF!+#REF!+#REF!+#REF!+#REF!+#REF!+#REF!+#REF!+#REF!+#REF!</f>
        <v>#REF!</v>
      </c>
      <c r="D404" s="779">
        <f>цены!$F$68</f>
        <v>180</v>
      </c>
      <c r="E404" s="802" t="e">
        <f t="shared" si="460"/>
        <v>#REF!</v>
      </c>
      <c r="F404" s="710" t="e">
        <f>#REF!+#REF!+#REF!+#REF!+#REF!+#REF!+#REF!+#REF!+#REF!+#REF!</f>
        <v>#REF!</v>
      </c>
      <c r="G404" s="710" t="e">
        <f>#REF!+#REF!+#REF!+#REF!+#REF!+#REF!+#REF!+#REF!+#REF!+#REF!</f>
        <v>#REF!</v>
      </c>
      <c r="H404" s="1256"/>
      <c r="I404" s="659"/>
      <c r="EZ404" s="675"/>
      <c r="FA404" s="1049"/>
      <c r="FB404" s="1049"/>
      <c r="FC404" s="1049"/>
      <c r="FD404" s="1049"/>
      <c r="FE404" s="1049"/>
      <c r="FF404" s="1049"/>
      <c r="FG404" s="1049"/>
      <c r="FH404" s="1049"/>
      <c r="FI404" s="1049"/>
      <c r="FJ404" s="1049"/>
      <c r="FK404" s="1049"/>
      <c r="FL404" s="1049"/>
    </row>
    <row r="405" spans="1:168" s="1034" customFormat="1" x14ac:dyDescent="0.25">
      <c r="A405" s="133">
        <v>59</v>
      </c>
      <c r="B405" s="542" t="str">
        <f>BP14</f>
        <v>Персики</v>
      </c>
      <c r="C405" s="710" t="e">
        <f>#REF!+#REF!+#REF!+#REF!+#REF!+#REF!+#REF!+#REF!+#REF!+#REF!</f>
        <v>#REF!</v>
      </c>
      <c r="D405" s="779">
        <f>цены!$F$69</f>
        <v>180</v>
      </c>
      <c r="E405" s="802" t="e">
        <f t="shared" si="460"/>
        <v>#REF!</v>
      </c>
      <c r="F405" s="710" t="e">
        <f>#REF!+#REF!+#REF!+#REF!+#REF!+#REF!+#REF!+#REF!+#REF!+#REF!</f>
        <v>#REF!</v>
      </c>
      <c r="G405" s="710" t="e">
        <f>#REF!+#REF!+#REF!+#REF!+#REF!+#REF!+#REF!+#REF!+#REF!+#REF!</f>
        <v>#REF!</v>
      </c>
      <c r="H405" s="1256"/>
      <c r="I405" s="659"/>
      <c r="EZ405" s="675"/>
      <c r="FA405" s="1049"/>
      <c r="FB405" s="1049"/>
      <c r="FC405" s="1049"/>
      <c r="FD405" s="1049"/>
      <c r="FE405" s="1049"/>
      <c r="FF405" s="1049"/>
      <c r="FG405" s="1049"/>
      <c r="FH405" s="1049"/>
      <c r="FI405" s="1049"/>
      <c r="FJ405" s="1049"/>
      <c r="FK405" s="1049"/>
      <c r="FL405" s="1049"/>
    </row>
    <row r="406" spans="1:168" s="1034" customFormat="1" x14ac:dyDescent="0.25">
      <c r="A406" s="133">
        <v>60</v>
      </c>
      <c r="B406" s="542" t="str">
        <f>BQ14</f>
        <v xml:space="preserve">Виноград </v>
      </c>
      <c r="C406" s="710" t="e">
        <f>#REF!+#REF!+#REF!+#REF!+#REF!+#REF!+#REF!+#REF!+#REF!+#REF!</f>
        <v>#REF!</v>
      </c>
      <c r="D406" s="779">
        <f>цены!$F$70</f>
        <v>250</v>
      </c>
      <c r="E406" s="802" t="e">
        <f t="shared" si="460"/>
        <v>#REF!</v>
      </c>
      <c r="F406" s="710" t="e">
        <f>#REF!+#REF!+#REF!+#REF!+#REF!+#REF!+#REF!+#REF!+#REF!+#REF!</f>
        <v>#REF!</v>
      </c>
      <c r="G406" s="710" t="e">
        <f>#REF!+#REF!+#REF!+#REF!+#REF!+#REF!+#REF!+#REF!+#REF!+#REF!</f>
        <v>#REF!</v>
      </c>
      <c r="H406" s="1256"/>
      <c r="I406" s="659"/>
      <c r="EZ406" s="675"/>
      <c r="FA406" s="1049"/>
      <c r="FB406" s="1049"/>
      <c r="FC406" s="1049"/>
      <c r="FD406" s="1049"/>
      <c r="FE406" s="1049"/>
      <c r="FF406" s="1049"/>
      <c r="FG406" s="1049"/>
      <c r="FH406" s="1049"/>
      <c r="FI406" s="1049"/>
      <c r="FJ406" s="1049"/>
      <c r="FK406" s="1049"/>
      <c r="FL406" s="1049"/>
    </row>
    <row r="407" spans="1:168" s="1034" customFormat="1" x14ac:dyDescent="0.25">
      <c r="A407" s="133">
        <v>61</v>
      </c>
      <c r="B407" s="541" t="str">
        <f>BR14</f>
        <v xml:space="preserve">Яблоки </v>
      </c>
      <c r="C407" s="710" t="e">
        <f>#REF!+#REF!+#REF!+#REF!+#REF!+#REF!+#REF!+#REF!+#REF!+#REF!</f>
        <v>#REF!</v>
      </c>
      <c r="D407" s="779">
        <f>цены!$F$71</f>
        <v>91</v>
      </c>
      <c r="E407" s="802" t="e">
        <f t="shared" si="460"/>
        <v>#REF!</v>
      </c>
      <c r="F407" s="710" t="e">
        <f>#REF!+#REF!+#REF!+#REF!+#REF!+#REF!+#REF!+#REF!+#REF!+#REF!</f>
        <v>#REF!</v>
      </c>
      <c r="G407" s="710" t="e">
        <f>#REF!+#REF!+#REF!+#REF!+#REF!+#REF!+#REF!+#REF!+#REF!+#REF!</f>
        <v>#REF!</v>
      </c>
      <c r="H407" s="1256"/>
      <c r="I407" s="659"/>
      <c r="EZ407" s="675"/>
      <c r="FA407" s="1049"/>
      <c r="FB407" s="1049"/>
      <c r="FC407" s="1049"/>
      <c r="FD407" s="1049"/>
      <c r="FE407" s="1049"/>
      <c r="FF407" s="1049"/>
      <c r="FG407" s="1049"/>
      <c r="FH407" s="1049"/>
      <c r="FI407" s="1049"/>
      <c r="FJ407" s="1049"/>
      <c r="FK407" s="1049"/>
      <c r="FL407" s="1049"/>
    </row>
    <row r="408" spans="1:168" s="1034" customFormat="1" x14ac:dyDescent="0.25">
      <c r="A408" s="146"/>
      <c r="B408" s="621" t="s">
        <v>275</v>
      </c>
      <c r="C408" s="774" t="e">
        <f>SUM(C369:C407)</f>
        <v>#REF!</v>
      </c>
      <c r="D408" s="780">
        <f>SUM(D369:D407)</f>
        <v>5555</v>
      </c>
      <c r="E408" s="1192" t="e">
        <f>SUM(E369:E407)</f>
        <v>#REF!</v>
      </c>
      <c r="F408" s="661" t="e">
        <f>SUM(F369:F407)</f>
        <v>#REF!</v>
      </c>
      <c r="G408" s="661" t="e">
        <f t="shared" ref="G408:H408" si="461">SUM(G369:G407)</f>
        <v>#REF!</v>
      </c>
      <c r="H408" s="1257">
        <f t="shared" si="461"/>
        <v>0</v>
      </c>
      <c r="I408" s="661"/>
      <c r="EZ408" s="661">
        <f t="shared" ref="EZ408" si="462">SUM(EZ369:EZ407)</f>
        <v>0</v>
      </c>
      <c r="FA408" s="1049"/>
      <c r="FB408" s="1049"/>
      <c r="FC408" s="1049"/>
      <c r="FD408" s="1049"/>
      <c r="FE408" s="1049"/>
      <c r="FF408" s="1049"/>
      <c r="FG408" s="1049"/>
      <c r="FH408" s="1049"/>
      <c r="FI408" s="1049"/>
      <c r="FJ408" s="1049"/>
      <c r="FK408" s="1049"/>
      <c r="FL408" s="1049"/>
    </row>
    <row r="409" spans="1:168" s="1034" customFormat="1" ht="26.4" x14ac:dyDescent="0.25">
      <c r="A409" s="1106"/>
      <c r="B409" s="1098" t="s">
        <v>276</v>
      </c>
      <c r="C409" s="1107"/>
      <c r="D409" s="1108"/>
      <c r="E409" s="1151"/>
      <c r="F409" s="1109"/>
      <c r="G409" s="1109"/>
      <c r="H409" s="1259"/>
      <c r="I409" s="1109"/>
      <c r="EZ409" s="1110"/>
      <c r="FA409" s="1049"/>
      <c r="FB409" s="1049"/>
      <c r="FC409" s="1049"/>
      <c r="FD409" s="1049"/>
      <c r="FE409" s="1049"/>
      <c r="FF409" s="1049"/>
      <c r="FG409" s="1049"/>
      <c r="FH409" s="1049"/>
      <c r="FI409" s="1049"/>
      <c r="FJ409" s="1049"/>
      <c r="FK409" s="1049"/>
      <c r="FL409" s="1049"/>
    </row>
    <row r="410" spans="1:168" s="1034" customFormat="1" x14ac:dyDescent="0.25">
      <c r="A410" s="133">
        <v>62</v>
      </c>
      <c r="B410" s="770" t="str">
        <f>BS14</f>
        <v>Мука пшеничная высшего сорта</v>
      </c>
      <c r="C410" s="710" t="e">
        <f>#REF!+#REF!+#REF!+#REF!+#REF!+#REF!+#REF!+#REF!+#REF!+#REF!</f>
        <v>#REF!</v>
      </c>
      <c r="D410" s="779">
        <f>цены!$F$74</f>
        <v>36</v>
      </c>
      <c r="E410" s="802" t="e">
        <f t="shared" ref="E410:E473" si="463">E$343</f>
        <v>#REF!</v>
      </c>
      <c r="F410" s="710" t="e">
        <f>#REF!+#REF!+#REF!+#REF!+#REF!+#REF!+#REF!+#REF!+#REF!+#REF!</f>
        <v>#REF!</v>
      </c>
      <c r="G410" s="710" t="e">
        <f>#REF!+#REF!+#REF!+#REF!+#REF!+#REF!+#REF!+#REF!+#REF!+#REF!</f>
        <v>#REF!</v>
      </c>
      <c r="H410" s="1256"/>
      <c r="I410" s="659"/>
      <c r="EZ410" s="675"/>
      <c r="FA410" s="1049"/>
      <c r="FB410" s="1049"/>
      <c r="FC410" s="1049"/>
      <c r="FD410" s="1049"/>
      <c r="FE410" s="1049"/>
      <c r="FF410" s="1049"/>
      <c r="FG410" s="1049"/>
      <c r="FH410" s="1049"/>
      <c r="FI410" s="1049"/>
      <c r="FJ410" s="1049"/>
      <c r="FK410" s="1049"/>
      <c r="FL410" s="1049"/>
    </row>
    <row r="411" spans="1:168" s="1034" customFormat="1" ht="27.6" x14ac:dyDescent="0.25">
      <c r="A411" s="133">
        <v>63</v>
      </c>
      <c r="B411" s="770" t="str">
        <f>BT14</f>
        <v>Крупа гречневая - ядрица быстроразваривающаяся</v>
      </c>
      <c r="C411" s="710" t="e">
        <f>#REF!+#REF!+#REF!+#REF!+#REF!+#REF!+#REF!+#REF!+#REF!+#REF!</f>
        <v>#REF!</v>
      </c>
      <c r="D411" s="779">
        <f>цены!$F$75</f>
        <v>100</v>
      </c>
      <c r="E411" s="802" t="e">
        <f t="shared" si="463"/>
        <v>#REF!</v>
      </c>
      <c r="F411" s="710" t="e">
        <f>#REF!+#REF!+#REF!+#REF!+#REF!+#REF!+#REF!+#REF!+#REF!+#REF!</f>
        <v>#REF!</v>
      </c>
      <c r="G411" s="710" t="e">
        <f>#REF!+#REF!+#REF!+#REF!+#REF!+#REF!+#REF!+#REF!+#REF!+#REF!</f>
        <v>#REF!</v>
      </c>
      <c r="H411" s="1256"/>
      <c r="I411" s="659"/>
      <c r="EZ411" s="675"/>
      <c r="FA411" s="1049"/>
      <c r="FB411" s="1049"/>
      <c r="FC411" s="1049"/>
      <c r="FD411" s="1049"/>
      <c r="FE411" s="1049"/>
      <c r="FF411" s="1049"/>
      <c r="FG411" s="1049"/>
      <c r="FH411" s="1049"/>
      <c r="FI411" s="1049"/>
      <c r="FJ411" s="1049"/>
      <c r="FK411" s="1049"/>
      <c r="FL411" s="1049"/>
    </row>
    <row r="412" spans="1:168" s="1034" customFormat="1" x14ac:dyDescent="0.25">
      <c r="A412" s="133">
        <v>64</v>
      </c>
      <c r="B412" s="770" t="str">
        <f>BU14</f>
        <v>Крупа манная</v>
      </c>
      <c r="C412" s="710" t="e">
        <f>#REF!+#REF!+#REF!+#REF!+#REF!+#REF!+#REF!+#REF!+#REF!+#REF!</f>
        <v>#REF!</v>
      </c>
      <c r="D412" s="779">
        <f>цены!$F$76</f>
        <v>40</v>
      </c>
      <c r="E412" s="802" t="e">
        <f t="shared" si="463"/>
        <v>#REF!</v>
      </c>
      <c r="F412" s="710" t="e">
        <f>#REF!+#REF!+#REF!+#REF!+#REF!+#REF!+#REF!+#REF!+#REF!+#REF!</f>
        <v>#REF!</v>
      </c>
      <c r="G412" s="710" t="e">
        <f>#REF!+#REF!+#REF!+#REF!+#REF!+#REF!+#REF!+#REF!+#REF!+#REF!</f>
        <v>#REF!</v>
      </c>
      <c r="H412" s="1256"/>
      <c r="I412" s="659"/>
      <c r="EZ412" s="675"/>
      <c r="FA412" s="1049"/>
      <c r="FB412" s="1049"/>
      <c r="FC412" s="1049"/>
      <c r="FD412" s="1049"/>
      <c r="FE412" s="1049"/>
      <c r="FF412" s="1049"/>
      <c r="FG412" s="1049"/>
      <c r="FH412" s="1049"/>
      <c r="FI412" s="1049"/>
      <c r="FJ412" s="1049"/>
      <c r="FK412" s="1049"/>
      <c r="FL412" s="1049"/>
    </row>
    <row r="413" spans="1:168" s="1034" customFormat="1" x14ac:dyDescent="0.25">
      <c r="A413" s="133">
        <v>65</v>
      </c>
      <c r="B413" s="770" t="str">
        <f>BV14</f>
        <v>Крупа перловая</v>
      </c>
      <c r="C413" s="710" t="e">
        <f>#REF!+#REF!+#REF!+#REF!+#REF!+#REF!+#REF!+#REF!+#REF!+#REF!</f>
        <v>#REF!</v>
      </c>
      <c r="D413" s="779">
        <f>цены!$F$77</f>
        <v>40</v>
      </c>
      <c r="E413" s="802" t="e">
        <f t="shared" si="463"/>
        <v>#REF!</v>
      </c>
      <c r="F413" s="710" t="e">
        <f>#REF!+#REF!+#REF!+#REF!+#REF!+#REF!+#REF!+#REF!+#REF!+#REF!</f>
        <v>#REF!</v>
      </c>
      <c r="G413" s="710" t="e">
        <f>#REF!+#REF!+#REF!+#REF!+#REF!+#REF!+#REF!+#REF!+#REF!+#REF!</f>
        <v>#REF!</v>
      </c>
      <c r="H413" s="1256"/>
      <c r="I413" s="659"/>
      <c r="EZ413" s="675"/>
      <c r="FA413" s="1049"/>
      <c r="FB413" s="1049"/>
      <c r="FC413" s="1049"/>
      <c r="FD413" s="1049"/>
      <c r="FE413" s="1049"/>
      <c r="FF413" s="1049"/>
      <c r="FG413" s="1049"/>
      <c r="FH413" s="1049"/>
      <c r="FI413" s="1049"/>
      <c r="FJ413" s="1049"/>
      <c r="FK413" s="1049"/>
      <c r="FL413" s="1049"/>
    </row>
    <row r="414" spans="1:168" s="1034" customFormat="1" x14ac:dyDescent="0.25">
      <c r="A414" s="133">
        <v>66</v>
      </c>
      <c r="B414" s="770" t="str">
        <f>BW14</f>
        <v>Крупа овсяная</v>
      </c>
      <c r="C414" s="710" t="e">
        <f>#REF!+#REF!+#REF!+#REF!+#REF!+#REF!+#REF!+#REF!+#REF!+#REF!</f>
        <v>#REF!</v>
      </c>
      <c r="D414" s="779">
        <f>цены!$F$78</f>
        <v>35</v>
      </c>
      <c r="E414" s="802" t="e">
        <f t="shared" si="463"/>
        <v>#REF!</v>
      </c>
      <c r="F414" s="710" t="e">
        <f>#REF!+#REF!+#REF!+#REF!+#REF!+#REF!+#REF!+#REF!+#REF!+#REF!</f>
        <v>#REF!</v>
      </c>
      <c r="G414" s="710" t="e">
        <f>#REF!+#REF!+#REF!+#REF!+#REF!+#REF!+#REF!+#REF!+#REF!+#REF!</f>
        <v>#REF!</v>
      </c>
      <c r="H414" s="1260"/>
      <c r="I414" s="1270"/>
      <c r="EZ414" s="540"/>
      <c r="FA414" s="1049"/>
      <c r="FB414" s="1049"/>
      <c r="FC414" s="1049"/>
      <c r="FD414" s="1049"/>
      <c r="FE414" s="1049"/>
      <c r="FF414" s="1049"/>
      <c r="FG414" s="1049"/>
      <c r="FH414" s="1049"/>
      <c r="FI414" s="1049"/>
      <c r="FJ414" s="1049"/>
      <c r="FK414" s="1049"/>
      <c r="FL414" s="1049"/>
    </row>
    <row r="415" spans="1:168" s="1034" customFormat="1" x14ac:dyDescent="0.25">
      <c r="A415" s="133">
        <v>67</v>
      </c>
      <c r="B415" s="770" t="str">
        <f>BX14</f>
        <v>Крупа ячневая</v>
      </c>
      <c r="C415" s="710" t="e">
        <f>#REF!+#REF!+#REF!+#REF!+#REF!+#REF!+#REF!+#REF!+#REF!+#REF!</f>
        <v>#REF!</v>
      </c>
      <c r="D415" s="779">
        <f>цены!$F$79</f>
        <v>35</v>
      </c>
      <c r="E415" s="802" t="e">
        <f t="shared" si="463"/>
        <v>#REF!</v>
      </c>
      <c r="F415" s="710" t="e">
        <f>#REF!+#REF!+#REF!+#REF!+#REF!+#REF!+#REF!+#REF!+#REF!+#REF!</f>
        <v>#REF!</v>
      </c>
      <c r="G415" s="710" t="e">
        <f>#REF!+#REF!+#REF!+#REF!+#REF!+#REF!+#REF!+#REF!+#REF!+#REF!</f>
        <v>#REF!</v>
      </c>
      <c r="H415" s="1260"/>
      <c r="I415" s="1270"/>
      <c r="EZ415" s="540"/>
      <c r="FA415" s="1049"/>
      <c r="FB415" s="1049"/>
      <c r="FC415" s="1049"/>
      <c r="FD415" s="1049"/>
      <c r="FE415" s="1049"/>
      <c r="FF415" s="1049"/>
      <c r="FG415" s="1049"/>
      <c r="FH415" s="1049"/>
      <c r="FI415" s="1049"/>
      <c r="FJ415" s="1049"/>
      <c r="FK415" s="1049"/>
      <c r="FL415" s="1049"/>
    </row>
    <row r="416" spans="1:168" s="1034" customFormat="1" x14ac:dyDescent="0.25">
      <c r="A416" s="133">
        <v>68</v>
      </c>
      <c r="B416" s="770" t="str">
        <f>BY14</f>
        <v>Крупа пшеничная</v>
      </c>
      <c r="C416" s="710" t="e">
        <f>#REF!+#REF!+#REF!+#REF!+#REF!+#REF!+#REF!+#REF!+#REF!+#REF!</f>
        <v>#REF!</v>
      </c>
      <c r="D416" s="779">
        <f>цены!$F$80</f>
        <v>35</v>
      </c>
      <c r="E416" s="802" t="e">
        <f t="shared" si="463"/>
        <v>#REF!</v>
      </c>
      <c r="F416" s="710" t="e">
        <f>#REF!+#REF!+#REF!+#REF!+#REF!+#REF!+#REF!+#REF!+#REF!+#REF!</f>
        <v>#REF!</v>
      </c>
      <c r="G416" s="710" t="e">
        <f>#REF!+#REF!+#REF!+#REF!+#REF!+#REF!+#REF!+#REF!+#REF!+#REF!</f>
        <v>#REF!</v>
      </c>
      <c r="H416" s="1260"/>
      <c r="I416" s="1270"/>
      <c r="EZ416" s="540"/>
      <c r="FA416" s="1049"/>
      <c r="FB416" s="1049"/>
      <c r="FC416" s="1049"/>
      <c r="FD416" s="1049"/>
      <c r="FE416" s="1049"/>
      <c r="FF416" s="1049"/>
      <c r="FG416" s="1049"/>
      <c r="FH416" s="1049"/>
      <c r="FI416" s="1049"/>
      <c r="FJ416" s="1049"/>
      <c r="FK416" s="1049"/>
      <c r="FL416" s="1049"/>
    </row>
    <row r="417" spans="1:168" s="1034" customFormat="1" x14ac:dyDescent="0.25">
      <c r="A417" s="133">
        <v>69</v>
      </c>
      <c r="B417" s="770" t="str">
        <f>BZ14</f>
        <v>Крупа кукурузная</v>
      </c>
      <c r="C417" s="710" t="e">
        <f>#REF!+#REF!+#REF!+#REF!+#REF!+#REF!+#REF!+#REF!+#REF!+#REF!</f>
        <v>#REF!</v>
      </c>
      <c r="D417" s="779">
        <f>цены!$F$81</f>
        <v>36</v>
      </c>
      <c r="E417" s="802" t="e">
        <f t="shared" si="463"/>
        <v>#REF!</v>
      </c>
      <c r="F417" s="710" t="e">
        <f>#REF!+#REF!+#REF!+#REF!+#REF!+#REF!+#REF!+#REF!+#REF!+#REF!</f>
        <v>#REF!</v>
      </c>
      <c r="G417" s="710" t="e">
        <f>#REF!+#REF!+#REF!+#REF!+#REF!+#REF!+#REF!+#REF!+#REF!+#REF!</f>
        <v>#REF!</v>
      </c>
      <c r="H417" s="1260"/>
      <c r="I417" s="1270"/>
      <c r="EZ417" s="540"/>
      <c r="FA417" s="1049"/>
      <c r="FB417" s="1049"/>
      <c r="FC417" s="1049"/>
      <c r="FD417" s="1049"/>
      <c r="FE417" s="1049"/>
      <c r="FF417" s="1049"/>
      <c r="FG417" s="1049"/>
      <c r="FH417" s="1049"/>
      <c r="FI417" s="1049"/>
      <c r="FJ417" s="1049"/>
      <c r="FK417" s="1049"/>
      <c r="FL417" s="1049"/>
    </row>
    <row r="418" spans="1:168" s="1034" customFormat="1" x14ac:dyDescent="0.25">
      <c r="A418" s="133">
        <v>70</v>
      </c>
      <c r="B418" s="770" t="str">
        <f>CA14</f>
        <v>Пшено шлифованное высшего сорта</v>
      </c>
      <c r="C418" s="710" t="e">
        <f>#REF!+#REF!+#REF!+#REF!+#REF!+#REF!+#REF!+#REF!+#REF!+#REF!</f>
        <v>#REF!</v>
      </c>
      <c r="D418" s="779">
        <f>цены!$F$82</f>
        <v>60</v>
      </c>
      <c r="E418" s="802" t="e">
        <f t="shared" si="463"/>
        <v>#REF!</v>
      </c>
      <c r="F418" s="710" t="e">
        <f>#REF!+#REF!+#REF!+#REF!+#REF!+#REF!+#REF!+#REF!+#REF!+#REF!</f>
        <v>#REF!</v>
      </c>
      <c r="G418" s="710" t="e">
        <f>#REF!+#REF!+#REF!+#REF!+#REF!+#REF!+#REF!+#REF!+#REF!+#REF!</f>
        <v>#REF!</v>
      </c>
      <c r="H418" s="1256"/>
      <c r="I418" s="659"/>
      <c r="EZ418" s="675"/>
      <c r="FA418" s="1049"/>
      <c r="FB418" s="1049"/>
      <c r="FC418" s="1049"/>
      <c r="FD418" s="1049"/>
      <c r="FE418" s="1049"/>
      <c r="FF418" s="1049"/>
      <c r="FG418" s="1049"/>
      <c r="FH418" s="1049"/>
      <c r="FI418" s="1049"/>
      <c r="FJ418" s="1049"/>
      <c r="FK418" s="1049"/>
      <c r="FL418" s="1049"/>
    </row>
    <row r="419" spans="1:168" s="1034" customFormat="1" x14ac:dyDescent="0.25">
      <c r="A419" s="133">
        <v>71</v>
      </c>
      <c r="B419" s="770" t="str">
        <f>CB14</f>
        <v>Рис шлифованный</v>
      </c>
      <c r="C419" s="710" t="e">
        <f>#REF!+#REF!+#REF!+#REF!+#REF!+#REF!+#REF!+#REF!+#REF!+#REF!</f>
        <v>#REF!</v>
      </c>
      <c r="D419" s="779">
        <f>цены!$F$83</f>
        <v>98</v>
      </c>
      <c r="E419" s="802" t="e">
        <f t="shared" si="463"/>
        <v>#REF!</v>
      </c>
      <c r="F419" s="710" t="e">
        <f>#REF!+#REF!+#REF!+#REF!+#REF!+#REF!+#REF!+#REF!+#REF!+#REF!</f>
        <v>#REF!</v>
      </c>
      <c r="G419" s="710" t="e">
        <f>#REF!+#REF!+#REF!+#REF!+#REF!+#REF!+#REF!+#REF!+#REF!+#REF!</f>
        <v>#REF!</v>
      </c>
      <c r="H419" s="1256"/>
      <c r="I419" s="659"/>
      <c r="EZ419" s="675"/>
      <c r="FA419" s="1049"/>
      <c r="FB419" s="1049"/>
      <c r="FC419" s="1049"/>
      <c r="FD419" s="1049"/>
      <c r="FE419" s="1049"/>
      <c r="FF419" s="1049"/>
      <c r="FG419" s="1049"/>
      <c r="FH419" s="1049"/>
      <c r="FI419" s="1049"/>
      <c r="FJ419" s="1049"/>
      <c r="FK419" s="1049"/>
      <c r="FL419" s="1049"/>
    </row>
    <row r="420" spans="1:168" s="1034" customFormat="1" x14ac:dyDescent="0.25">
      <c r="A420" s="133">
        <v>72</v>
      </c>
      <c r="B420" s="770" t="str">
        <f>CC14</f>
        <v>Хлопья овсяные "Геркулес"</v>
      </c>
      <c r="C420" s="710" t="e">
        <f>#REF!+#REF!+#REF!+#REF!+#REF!+#REF!+#REF!+#REF!+#REF!+#REF!</f>
        <v>#REF!</v>
      </c>
      <c r="D420" s="779">
        <f>цены!$F$84</f>
        <v>65</v>
      </c>
      <c r="E420" s="802" t="e">
        <f t="shared" si="463"/>
        <v>#REF!</v>
      </c>
      <c r="F420" s="710" t="e">
        <f>#REF!+#REF!+#REF!+#REF!+#REF!+#REF!+#REF!+#REF!+#REF!+#REF!</f>
        <v>#REF!</v>
      </c>
      <c r="G420" s="710" t="e">
        <f>#REF!+#REF!+#REF!+#REF!+#REF!+#REF!+#REF!+#REF!+#REF!+#REF!</f>
        <v>#REF!</v>
      </c>
      <c r="H420" s="1256"/>
      <c r="I420" s="659"/>
      <c r="EZ420" s="675"/>
      <c r="FA420" s="1049"/>
      <c r="FB420" s="1049"/>
      <c r="FC420" s="1049"/>
      <c r="FD420" s="1049"/>
      <c r="FE420" s="1049"/>
      <c r="FF420" s="1049"/>
      <c r="FG420" s="1049"/>
      <c r="FH420" s="1049"/>
      <c r="FI420" s="1049"/>
      <c r="FJ420" s="1049"/>
      <c r="FK420" s="1049"/>
      <c r="FL420" s="1049"/>
    </row>
    <row r="421" spans="1:168" s="1034" customFormat="1" x14ac:dyDescent="0.25">
      <c r="A421" s="133">
        <v>73</v>
      </c>
      <c r="B421" s="770" t="str">
        <f>CD14</f>
        <v>Хлопья овсяные "Ясно солнышко"</v>
      </c>
      <c r="C421" s="710" t="e">
        <f>#REF!+#REF!+#REF!+#REF!+#REF!+#REF!+#REF!+#REF!+#REF!+#REF!</f>
        <v>#REF!</v>
      </c>
      <c r="D421" s="779">
        <f>цены!$F$85</f>
        <v>150</v>
      </c>
      <c r="E421" s="802" t="e">
        <f t="shared" si="463"/>
        <v>#REF!</v>
      </c>
      <c r="F421" s="710" t="e">
        <f>#REF!+#REF!+#REF!+#REF!+#REF!+#REF!+#REF!+#REF!+#REF!+#REF!</f>
        <v>#REF!</v>
      </c>
      <c r="G421" s="710" t="e">
        <f>#REF!+#REF!+#REF!+#REF!+#REF!+#REF!+#REF!+#REF!+#REF!+#REF!</f>
        <v>#REF!</v>
      </c>
      <c r="H421" s="1256"/>
      <c r="I421" s="659"/>
      <c r="EZ421" s="675"/>
      <c r="FA421" s="1049"/>
      <c r="FB421" s="1049"/>
      <c r="FC421" s="1049"/>
      <c r="FD421" s="1049"/>
      <c r="FE421" s="1049"/>
      <c r="FF421" s="1049"/>
      <c r="FG421" s="1049"/>
      <c r="FH421" s="1049"/>
      <c r="FI421" s="1049"/>
      <c r="FJ421" s="1049"/>
      <c r="FK421" s="1049"/>
      <c r="FL421" s="1049"/>
    </row>
    <row r="422" spans="1:168" s="1034" customFormat="1" x14ac:dyDescent="0.25">
      <c r="A422" s="133">
        <v>74</v>
      </c>
      <c r="B422" s="770" t="str">
        <f>CE14</f>
        <v>Маргарин столовый</v>
      </c>
      <c r="C422" s="710" t="e">
        <f>#REF!+#REF!+#REF!+#REF!+#REF!+#REF!+#REF!+#REF!+#REF!+#REF!</f>
        <v>#REF!</v>
      </c>
      <c r="D422" s="779">
        <f>цены!$F$86</f>
        <v>198</v>
      </c>
      <c r="E422" s="802" t="e">
        <f t="shared" si="463"/>
        <v>#REF!</v>
      </c>
      <c r="F422" s="710" t="e">
        <f>#REF!+#REF!+#REF!+#REF!+#REF!+#REF!+#REF!+#REF!+#REF!+#REF!</f>
        <v>#REF!</v>
      </c>
      <c r="G422" s="710" t="e">
        <f>#REF!+#REF!+#REF!+#REF!+#REF!+#REF!+#REF!+#REF!+#REF!+#REF!</f>
        <v>#REF!</v>
      </c>
      <c r="H422" s="1256"/>
      <c r="I422" s="659"/>
      <c r="EZ422" s="675"/>
      <c r="FA422" s="1049"/>
      <c r="FB422" s="1049"/>
      <c r="FC422" s="1049"/>
      <c r="FD422" s="1049"/>
      <c r="FE422" s="1049"/>
      <c r="FF422" s="1049"/>
      <c r="FG422" s="1049"/>
      <c r="FH422" s="1049"/>
      <c r="FI422" s="1049"/>
      <c r="FJ422" s="1049"/>
      <c r="FK422" s="1049"/>
      <c r="FL422" s="1049"/>
    </row>
    <row r="423" spans="1:168" s="1034" customFormat="1" x14ac:dyDescent="0.25">
      <c r="A423" s="133">
        <v>75</v>
      </c>
      <c r="B423" s="770" t="str">
        <f>CF14</f>
        <v>Масло подсолнечное рафинированное</v>
      </c>
      <c r="C423" s="710" t="e">
        <f>#REF!+#REF!+#REF!+#REF!+#REF!+#REF!+#REF!+#REF!+#REF!+#REF!</f>
        <v>#REF!</v>
      </c>
      <c r="D423" s="779">
        <f>цены!$F$87</f>
        <v>120</v>
      </c>
      <c r="E423" s="802" t="e">
        <f t="shared" si="463"/>
        <v>#REF!</v>
      </c>
      <c r="F423" s="710" t="e">
        <f>#REF!+#REF!+#REF!+#REF!+#REF!+#REF!+#REF!+#REF!+#REF!+#REF!</f>
        <v>#REF!</v>
      </c>
      <c r="G423" s="710" t="e">
        <f>#REF!+#REF!+#REF!+#REF!+#REF!+#REF!+#REF!+#REF!+#REF!+#REF!</f>
        <v>#REF!</v>
      </c>
      <c r="H423" s="1256"/>
      <c r="I423" s="659"/>
      <c r="EZ423" s="675"/>
      <c r="FA423" s="1049"/>
      <c r="FB423" s="1049"/>
      <c r="FC423" s="1049"/>
      <c r="FD423" s="1049"/>
      <c r="FE423" s="1049"/>
      <c r="FF423" s="1049"/>
      <c r="FG423" s="1049"/>
      <c r="FH423" s="1049"/>
      <c r="FI423" s="1049"/>
      <c r="FJ423" s="1049"/>
      <c r="FK423" s="1049"/>
      <c r="FL423" s="1049"/>
    </row>
    <row r="424" spans="1:168" s="1034" customFormat="1" x14ac:dyDescent="0.25">
      <c r="A424" s="133">
        <v>76</v>
      </c>
      <c r="B424" s="770" t="str">
        <f>CG14</f>
        <v>Макаронные изделия высшего сорта</v>
      </c>
      <c r="C424" s="710" t="e">
        <f>#REF!+#REF!+#REF!+#REF!+#REF!+#REF!+#REF!+#REF!+#REF!+#REF!</f>
        <v>#REF!</v>
      </c>
      <c r="D424" s="779">
        <f>цены!$F$88</f>
        <v>50</v>
      </c>
      <c r="E424" s="802" t="e">
        <f t="shared" si="463"/>
        <v>#REF!</v>
      </c>
      <c r="F424" s="710" t="e">
        <f>#REF!+#REF!+#REF!+#REF!+#REF!+#REF!+#REF!+#REF!+#REF!+#REF!</f>
        <v>#REF!</v>
      </c>
      <c r="G424" s="710" t="e">
        <f>#REF!+#REF!+#REF!+#REF!+#REF!+#REF!+#REF!+#REF!+#REF!+#REF!</f>
        <v>#REF!</v>
      </c>
      <c r="H424" s="1256"/>
      <c r="I424" s="659"/>
      <c r="EZ424" s="675"/>
      <c r="FA424" s="1049"/>
      <c r="FB424" s="1049"/>
      <c r="FC424" s="1049"/>
      <c r="FD424" s="1049"/>
      <c r="FE424" s="1049"/>
      <c r="FF424" s="1049"/>
      <c r="FG424" s="1049"/>
      <c r="FH424" s="1049"/>
      <c r="FI424" s="1049"/>
      <c r="FJ424" s="1049"/>
      <c r="FK424" s="1049"/>
      <c r="FL424" s="1049"/>
    </row>
    <row r="425" spans="1:168" s="1034" customFormat="1" x14ac:dyDescent="0.25">
      <c r="A425" s="133">
        <v>77</v>
      </c>
      <c r="B425" s="770" t="str">
        <f>CH14</f>
        <v>Вермишель</v>
      </c>
      <c r="C425" s="710" t="e">
        <f>#REF!+#REF!+#REF!+#REF!+#REF!+#REF!+#REF!+#REF!+#REF!+#REF!</f>
        <v>#REF!</v>
      </c>
      <c r="D425" s="779">
        <f>цены!$F$89</f>
        <v>50</v>
      </c>
      <c r="E425" s="802" t="e">
        <f t="shared" si="463"/>
        <v>#REF!</v>
      </c>
      <c r="F425" s="710" t="e">
        <f>#REF!+#REF!+#REF!+#REF!+#REF!+#REF!+#REF!+#REF!+#REF!+#REF!</f>
        <v>#REF!</v>
      </c>
      <c r="G425" s="710" t="e">
        <f>#REF!+#REF!+#REF!+#REF!+#REF!+#REF!+#REF!+#REF!+#REF!+#REF!</f>
        <v>#REF!</v>
      </c>
      <c r="H425" s="1256"/>
      <c r="I425" s="659"/>
      <c r="EZ425" s="675"/>
      <c r="FA425" s="1049"/>
      <c r="FB425" s="1049"/>
      <c r="FC425" s="1049"/>
      <c r="FD425" s="1049"/>
      <c r="FE425" s="1049"/>
      <c r="FF425" s="1049"/>
      <c r="FG425" s="1049"/>
      <c r="FH425" s="1049"/>
      <c r="FI425" s="1049"/>
      <c r="FJ425" s="1049"/>
      <c r="FK425" s="1049"/>
      <c r="FL425" s="1049"/>
    </row>
    <row r="426" spans="1:168" s="1034" customFormat="1" x14ac:dyDescent="0.25">
      <c r="A426" s="133">
        <v>78</v>
      </c>
      <c r="B426" s="770" t="str">
        <f>CI14</f>
        <v>Ванилин</v>
      </c>
      <c r="C426" s="710" t="e">
        <f>#REF!+#REF!+#REF!+#REF!+#REF!+#REF!+#REF!+#REF!+#REF!+#REF!</f>
        <v>#REF!</v>
      </c>
      <c r="D426" s="779">
        <f>цены!$F$90</f>
        <v>5000</v>
      </c>
      <c r="E426" s="802" t="e">
        <f t="shared" si="463"/>
        <v>#REF!</v>
      </c>
      <c r="F426" s="710" t="e">
        <f>#REF!+#REF!+#REF!+#REF!+#REF!+#REF!+#REF!+#REF!+#REF!+#REF!</f>
        <v>#REF!</v>
      </c>
      <c r="G426" s="710" t="e">
        <f>#REF!+#REF!+#REF!+#REF!+#REF!+#REF!+#REF!+#REF!+#REF!+#REF!</f>
        <v>#REF!</v>
      </c>
      <c r="H426" s="1256"/>
      <c r="I426" s="659"/>
      <c r="EZ426" s="675"/>
      <c r="FA426" s="1049"/>
      <c r="FB426" s="1049"/>
      <c r="FC426" s="1049"/>
      <c r="FD426" s="1049"/>
      <c r="FE426" s="1049"/>
      <c r="FF426" s="1049"/>
      <c r="FG426" s="1049"/>
      <c r="FH426" s="1049"/>
      <c r="FI426" s="1049"/>
      <c r="FJ426" s="1049"/>
      <c r="FK426" s="1049"/>
      <c r="FL426" s="1049"/>
    </row>
    <row r="427" spans="1:168" s="1034" customFormat="1" x14ac:dyDescent="0.25">
      <c r="A427" s="133">
        <v>79</v>
      </c>
      <c r="B427" s="770" t="str">
        <f>CJ14</f>
        <v>Эссенция</v>
      </c>
      <c r="C427" s="710" t="e">
        <f>#REF!+#REF!+#REF!+#REF!+#REF!+#REF!+#REF!+#REF!+#REF!+#REF!</f>
        <v>#REF!</v>
      </c>
      <c r="D427" s="779">
        <f>цены!$F$91</f>
        <v>100</v>
      </c>
      <c r="E427" s="802" t="e">
        <f t="shared" si="463"/>
        <v>#REF!</v>
      </c>
      <c r="F427" s="710" t="e">
        <f>#REF!+#REF!+#REF!+#REF!+#REF!+#REF!+#REF!+#REF!+#REF!+#REF!</f>
        <v>#REF!</v>
      </c>
      <c r="G427" s="710" t="e">
        <f>#REF!+#REF!+#REF!+#REF!+#REF!+#REF!+#REF!+#REF!+#REF!+#REF!</f>
        <v>#REF!</v>
      </c>
      <c r="H427" s="1256"/>
      <c r="I427" s="659"/>
      <c r="EZ427" s="675"/>
      <c r="FA427" s="1049"/>
      <c r="FB427" s="1049"/>
      <c r="FC427" s="1049"/>
      <c r="FD427" s="1049"/>
      <c r="FE427" s="1049"/>
      <c r="FF427" s="1049"/>
      <c r="FG427" s="1049"/>
      <c r="FH427" s="1049"/>
      <c r="FI427" s="1049"/>
      <c r="FJ427" s="1049"/>
      <c r="FK427" s="1049"/>
      <c r="FL427" s="1049"/>
    </row>
    <row r="428" spans="1:168" s="1034" customFormat="1" x14ac:dyDescent="0.25">
      <c r="A428" s="133">
        <v>80</v>
      </c>
      <c r="B428" s="770" t="str">
        <f>CK14</f>
        <v>Сода пищевая</v>
      </c>
      <c r="C428" s="710" t="e">
        <f>#REF!+#REF!+#REF!+#REF!+#REF!+#REF!+#REF!+#REF!+#REF!+#REF!</f>
        <v>#REF!</v>
      </c>
      <c r="D428" s="779">
        <f>цены!$F$92</f>
        <v>40</v>
      </c>
      <c r="E428" s="802" t="e">
        <f t="shared" si="463"/>
        <v>#REF!</v>
      </c>
      <c r="F428" s="710" t="e">
        <f>#REF!+#REF!+#REF!+#REF!+#REF!+#REF!+#REF!+#REF!+#REF!+#REF!</f>
        <v>#REF!</v>
      </c>
      <c r="G428" s="710" t="e">
        <f>#REF!+#REF!+#REF!+#REF!+#REF!+#REF!+#REF!+#REF!+#REF!+#REF!</f>
        <v>#REF!</v>
      </c>
      <c r="H428" s="1256"/>
      <c r="I428" s="659"/>
      <c r="EZ428" s="675"/>
      <c r="FA428" s="1049"/>
      <c r="FB428" s="1049"/>
      <c r="FC428" s="1049"/>
      <c r="FD428" s="1049"/>
      <c r="FE428" s="1049"/>
      <c r="FF428" s="1049"/>
      <c r="FG428" s="1049"/>
      <c r="FH428" s="1049"/>
      <c r="FI428" s="1049"/>
      <c r="FJ428" s="1049"/>
      <c r="FK428" s="1049"/>
      <c r="FL428" s="1049"/>
    </row>
    <row r="429" spans="1:168" s="1034" customFormat="1" x14ac:dyDescent="0.25">
      <c r="A429" s="133">
        <v>81</v>
      </c>
      <c r="B429" s="770" t="str">
        <f>CL14</f>
        <v>Дрожжи пекарные прессованные</v>
      </c>
      <c r="C429" s="710" t="e">
        <f>#REF!+#REF!+#REF!+#REF!+#REF!+#REF!+#REF!+#REF!+#REF!+#REF!</f>
        <v>#REF!</v>
      </c>
      <c r="D429" s="779">
        <f>цены!$F$93</f>
        <v>455</v>
      </c>
      <c r="E429" s="802" t="e">
        <f t="shared" si="463"/>
        <v>#REF!</v>
      </c>
      <c r="F429" s="710" t="e">
        <f>#REF!+#REF!+#REF!+#REF!+#REF!+#REF!+#REF!+#REF!+#REF!+#REF!</f>
        <v>#REF!</v>
      </c>
      <c r="G429" s="710" t="e">
        <f>#REF!+#REF!+#REF!+#REF!+#REF!+#REF!+#REF!+#REF!+#REF!+#REF!</f>
        <v>#REF!</v>
      </c>
      <c r="H429" s="1256"/>
      <c r="I429" s="659"/>
      <c r="EZ429" s="675"/>
      <c r="FA429" s="1049"/>
      <c r="FB429" s="1049"/>
      <c r="FC429" s="1049"/>
      <c r="FD429" s="1049"/>
      <c r="FE429" s="1049"/>
      <c r="FF429" s="1049"/>
      <c r="FG429" s="1049"/>
      <c r="FH429" s="1049"/>
      <c r="FI429" s="1049"/>
      <c r="FJ429" s="1049"/>
      <c r="FK429" s="1049"/>
      <c r="FL429" s="1049"/>
    </row>
    <row r="430" spans="1:168" s="1034" customFormat="1" x14ac:dyDescent="0.25">
      <c r="A430" s="133">
        <v>82</v>
      </c>
      <c r="B430" s="770" t="str">
        <f>CM14</f>
        <v>Виноград сушеный (изюм)</v>
      </c>
      <c r="C430" s="710" t="e">
        <f>#REF!+#REF!+#REF!+#REF!+#REF!+#REF!+#REF!+#REF!+#REF!+#REF!</f>
        <v>#REF!</v>
      </c>
      <c r="D430" s="779">
        <f>цены!$F$94</f>
        <v>400</v>
      </c>
      <c r="E430" s="802" t="e">
        <f t="shared" si="463"/>
        <v>#REF!</v>
      </c>
      <c r="F430" s="710" t="e">
        <f>#REF!+#REF!+#REF!+#REF!+#REF!+#REF!+#REF!+#REF!+#REF!+#REF!</f>
        <v>#REF!</v>
      </c>
      <c r="G430" s="710" t="e">
        <f>#REF!+#REF!+#REF!+#REF!+#REF!+#REF!+#REF!+#REF!+#REF!+#REF!</f>
        <v>#REF!</v>
      </c>
      <c r="H430" s="1256"/>
      <c r="I430" s="659"/>
      <c r="EZ430" s="675"/>
      <c r="FA430" s="1049"/>
      <c r="FB430" s="1049"/>
      <c r="FC430" s="1049"/>
      <c r="FD430" s="1049"/>
      <c r="FE430" s="1049"/>
      <c r="FF430" s="1049"/>
      <c r="FG430" s="1049"/>
      <c r="FH430" s="1049"/>
      <c r="FI430" s="1049"/>
      <c r="FJ430" s="1049"/>
      <c r="FK430" s="1049"/>
      <c r="FL430" s="1049"/>
    </row>
    <row r="431" spans="1:168" s="1034" customFormat="1" x14ac:dyDescent="0.25">
      <c r="A431" s="133">
        <v>83</v>
      </c>
      <c r="B431" s="770" t="str">
        <f>CN14</f>
        <v xml:space="preserve">Порошок какао без добавок сахара </v>
      </c>
      <c r="C431" s="710" t="e">
        <f>#REF!+#REF!+#REF!+#REF!+#REF!+#REF!+#REF!+#REF!+#REF!+#REF!</f>
        <v>#REF!</v>
      </c>
      <c r="D431" s="779">
        <f>цены!$F$95</f>
        <v>625</v>
      </c>
      <c r="E431" s="802" t="e">
        <f t="shared" si="463"/>
        <v>#REF!</v>
      </c>
      <c r="F431" s="710" t="e">
        <f>#REF!+#REF!+#REF!+#REF!+#REF!+#REF!+#REF!+#REF!+#REF!+#REF!</f>
        <v>#REF!</v>
      </c>
      <c r="G431" s="710" t="e">
        <f>#REF!+#REF!+#REF!+#REF!+#REF!+#REF!+#REF!+#REF!+#REF!+#REF!</f>
        <v>#REF!</v>
      </c>
      <c r="H431" s="1256"/>
      <c r="I431" s="659"/>
      <c r="EZ431" s="675"/>
      <c r="FA431" s="1049"/>
      <c r="FB431" s="1049"/>
      <c r="FC431" s="1049"/>
      <c r="FD431" s="1049"/>
      <c r="FE431" s="1049"/>
      <c r="FF431" s="1049"/>
      <c r="FG431" s="1049"/>
      <c r="FH431" s="1049"/>
      <c r="FI431" s="1049"/>
      <c r="FJ431" s="1049"/>
      <c r="FK431" s="1049"/>
      <c r="FL431" s="1049"/>
    </row>
    <row r="432" spans="1:168" s="1034" customFormat="1" x14ac:dyDescent="0.25">
      <c r="A432" s="133">
        <v>84</v>
      </c>
      <c r="B432" s="770" t="str">
        <f>CO14</f>
        <v>Кофейный напиток</v>
      </c>
      <c r="C432" s="710" t="e">
        <f>#REF!+#REF!+#REF!+#REF!+#REF!+#REF!+#REF!+#REF!+#REF!+#REF!</f>
        <v>#REF!</v>
      </c>
      <c r="D432" s="779">
        <f>цены!$F$96</f>
        <v>435</v>
      </c>
      <c r="E432" s="802" t="e">
        <f t="shared" si="463"/>
        <v>#REF!</v>
      </c>
      <c r="F432" s="710" t="e">
        <f>#REF!+#REF!+#REF!+#REF!+#REF!+#REF!+#REF!+#REF!+#REF!+#REF!</f>
        <v>#REF!</v>
      </c>
      <c r="G432" s="710" t="e">
        <f>#REF!+#REF!+#REF!+#REF!+#REF!+#REF!+#REF!+#REF!+#REF!+#REF!</f>
        <v>#REF!</v>
      </c>
      <c r="H432" s="1256"/>
      <c r="I432" s="659"/>
      <c r="EZ432" s="675"/>
      <c r="FA432" s="1049"/>
      <c r="FB432" s="1049"/>
      <c r="FC432" s="1049"/>
      <c r="FD432" s="1049"/>
      <c r="FE432" s="1049"/>
      <c r="FF432" s="1049"/>
      <c r="FG432" s="1049"/>
      <c r="FH432" s="1049"/>
      <c r="FI432" s="1049"/>
      <c r="FJ432" s="1049"/>
      <c r="FK432" s="1049"/>
      <c r="FL432" s="1049"/>
    </row>
    <row r="433" spans="1:168" s="1034" customFormat="1" x14ac:dyDescent="0.25">
      <c r="A433" s="133">
        <v>85</v>
      </c>
      <c r="B433" s="770" t="str">
        <f>CP14</f>
        <v>Кетчуп томатный</v>
      </c>
      <c r="C433" s="710" t="e">
        <f>#REF!+#REF!+#REF!+#REF!+#REF!+#REF!+#REF!+#REF!+#REF!+#REF!</f>
        <v>#REF!</v>
      </c>
      <c r="D433" s="779">
        <f>цены!$F$97</f>
        <v>150</v>
      </c>
      <c r="E433" s="802" t="e">
        <f t="shared" si="463"/>
        <v>#REF!</v>
      </c>
      <c r="F433" s="710" t="e">
        <f>#REF!+#REF!+#REF!+#REF!+#REF!+#REF!+#REF!+#REF!+#REF!+#REF!</f>
        <v>#REF!</v>
      </c>
      <c r="G433" s="710" t="e">
        <f>#REF!+#REF!+#REF!+#REF!+#REF!+#REF!+#REF!+#REF!+#REF!+#REF!</f>
        <v>#REF!</v>
      </c>
      <c r="H433" s="1256"/>
      <c r="I433" s="659"/>
      <c r="EZ433" s="675"/>
      <c r="FA433" s="1049"/>
      <c r="FB433" s="1049"/>
      <c r="FC433" s="1049"/>
      <c r="FD433" s="1049"/>
      <c r="FE433" s="1049"/>
      <c r="FF433" s="1049"/>
      <c r="FG433" s="1049"/>
      <c r="FH433" s="1049"/>
      <c r="FI433" s="1049"/>
      <c r="FJ433" s="1049"/>
      <c r="FK433" s="1049"/>
      <c r="FL433" s="1049"/>
    </row>
    <row r="434" spans="1:168" s="1034" customFormat="1" x14ac:dyDescent="0.25">
      <c r="A434" s="133">
        <v>86</v>
      </c>
      <c r="B434" s="770" t="str">
        <f>CQ14</f>
        <v>Кислота лимонная</v>
      </c>
      <c r="C434" s="710" t="e">
        <f>#REF!+#REF!+#REF!+#REF!+#REF!+#REF!+#REF!+#REF!+#REF!+#REF!</f>
        <v>#REF!</v>
      </c>
      <c r="D434" s="779">
        <f>цены!$F$98</f>
        <v>290</v>
      </c>
      <c r="E434" s="802" t="e">
        <f t="shared" si="463"/>
        <v>#REF!</v>
      </c>
      <c r="F434" s="710" t="e">
        <f>#REF!+#REF!+#REF!+#REF!+#REF!+#REF!+#REF!+#REF!+#REF!+#REF!</f>
        <v>#REF!</v>
      </c>
      <c r="G434" s="710" t="e">
        <f>#REF!+#REF!+#REF!+#REF!+#REF!+#REF!+#REF!+#REF!+#REF!+#REF!</f>
        <v>#REF!</v>
      </c>
      <c r="H434" s="1256"/>
      <c r="I434" s="659"/>
      <c r="EZ434" s="675"/>
      <c r="FA434" s="1049"/>
      <c r="FB434" s="1049"/>
      <c r="FC434" s="1049"/>
      <c r="FD434" s="1049"/>
      <c r="FE434" s="1049"/>
      <c r="FF434" s="1049"/>
      <c r="FG434" s="1049"/>
      <c r="FH434" s="1049"/>
      <c r="FI434" s="1049"/>
      <c r="FJ434" s="1049"/>
      <c r="FK434" s="1049"/>
      <c r="FL434" s="1049"/>
    </row>
    <row r="435" spans="1:168" s="1034" customFormat="1" x14ac:dyDescent="0.25">
      <c r="A435" s="133">
        <v>87</v>
      </c>
      <c r="B435" s="770" t="str">
        <f>CR14</f>
        <v>Крахмал картофельный</v>
      </c>
      <c r="C435" s="710" t="e">
        <f>#REF!+#REF!+#REF!+#REF!+#REF!+#REF!+#REF!+#REF!+#REF!+#REF!</f>
        <v>#REF!</v>
      </c>
      <c r="D435" s="779">
        <f>цены!$F$99</f>
        <v>111</v>
      </c>
      <c r="E435" s="802" t="e">
        <f t="shared" si="463"/>
        <v>#REF!</v>
      </c>
      <c r="F435" s="710" t="e">
        <f>#REF!+#REF!+#REF!+#REF!+#REF!+#REF!+#REF!+#REF!+#REF!+#REF!</f>
        <v>#REF!</v>
      </c>
      <c r="G435" s="710" t="e">
        <f>#REF!+#REF!+#REF!+#REF!+#REF!+#REF!+#REF!+#REF!+#REF!+#REF!</f>
        <v>#REF!</v>
      </c>
      <c r="H435" s="1256"/>
      <c r="I435" s="659"/>
      <c r="EZ435" s="675"/>
      <c r="FA435" s="1049"/>
      <c r="FB435" s="1049"/>
      <c r="FC435" s="1049"/>
      <c r="FD435" s="1049"/>
      <c r="FE435" s="1049"/>
      <c r="FF435" s="1049"/>
      <c r="FG435" s="1049"/>
      <c r="FH435" s="1049"/>
      <c r="FI435" s="1049"/>
      <c r="FJ435" s="1049"/>
      <c r="FK435" s="1049"/>
      <c r="FL435" s="1049"/>
    </row>
    <row r="436" spans="1:168" s="1034" customFormat="1" x14ac:dyDescent="0.25">
      <c r="A436" s="133">
        <v>88</v>
      </c>
      <c r="B436" s="770" t="str">
        <f>CS14</f>
        <v>Лист лавровый обработанный</v>
      </c>
      <c r="C436" s="710" t="e">
        <f>#REF!+#REF!+#REF!+#REF!+#REF!+#REF!+#REF!+#REF!+#REF!+#REF!</f>
        <v>#REF!</v>
      </c>
      <c r="D436" s="779">
        <f>цены!$F$100</f>
        <v>1000</v>
      </c>
      <c r="E436" s="802" t="e">
        <f t="shared" si="463"/>
        <v>#REF!</v>
      </c>
      <c r="F436" s="710" t="e">
        <f>#REF!+#REF!+#REF!+#REF!+#REF!+#REF!+#REF!+#REF!+#REF!+#REF!</f>
        <v>#REF!</v>
      </c>
      <c r="G436" s="710" t="e">
        <f>#REF!+#REF!+#REF!+#REF!+#REF!+#REF!+#REF!+#REF!+#REF!+#REF!</f>
        <v>#REF!</v>
      </c>
      <c r="H436" s="1256"/>
      <c r="I436" s="659"/>
      <c r="EZ436" s="675"/>
      <c r="FA436" s="1049"/>
      <c r="FB436" s="1049"/>
      <c r="FC436" s="1049"/>
      <c r="FD436" s="1049"/>
      <c r="FE436" s="1049"/>
      <c r="FF436" s="1049"/>
      <c r="FG436" s="1049"/>
      <c r="FH436" s="1049"/>
      <c r="FI436" s="1049"/>
      <c r="FJ436" s="1049"/>
      <c r="FK436" s="1049"/>
      <c r="FL436" s="1049"/>
    </row>
    <row r="437" spans="1:168" s="1034" customFormat="1" x14ac:dyDescent="0.25">
      <c r="A437" s="133">
        <v>89</v>
      </c>
      <c r="B437" s="770" t="str">
        <f>CT14</f>
        <v>Огурцы консервированные</v>
      </c>
      <c r="C437" s="710" t="e">
        <f>#REF!+#REF!+#REF!+#REF!+#REF!+#REF!+#REF!+#REF!+#REF!+#REF!</f>
        <v>#REF!</v>
      </c>
      <c r="D437" s="779">
        <f>цены!$F$101</f>
        <v>120</v>
      </c>
      <c r="E437" s="802" t="e">
        <f t="shared" si="463"/>
        <v>#REF!</v>
      </c>
      <c r="F437" s="710" t="e">
        <f>#REF!+#REF!+#REF!+#REF!+#REF!+#REF!+#REF!+#REF!+#REF!+#REF!</f>
        <v>#REF!</v>
      </c>
      <c r="G437" s="710" t="e">
        <f>#REF!+#REF!+#REF!+#REF!+#REF!+#REF!+#REF!+#REF!+#REF!+#REF!</f>
        <v>#REF!</v>
      </c>
      <c r="H437" s="1256"/>
      <c r="I437" s="659"/>
      <c r="EZ437" s="675"/>
      <c r="FA437" s="1049"/>
      <c r="FB437" s="1049"/>
      <c r="FC437" s="1049"/>
      <c r="FD437" s="1049"/>
      <c r="FE437" s="1049"/>
      <c r="FF437" s="1049"/>
      <c r="FG437" s="1049"/>
      <c r="FH437" s="1049"/>
      <c r="FI437" s="1049"/>
      <c r="FJ437" s="1049"/>
      <c r="FK437" s="1049"/>
      <c r="FL437" s="1049"/>
    </row>
    <row r="438" spans="1:168" s="1034" customFormat="1" x14ac:dyDescent="0.25">
      <c r="A438" s="133">
        <v>90</v>
      </c>
      <c r="B438" s="770" t="str">
        <f>CU14</f>
        <v>Помидоры соленые</v>
      </c>
      <c r="C438" s="710" t="e">
        <f>#REF!+#REF!+#REF!+#REF!+#REF!+#REF!+#REF!+#REF!+#REF!+#REF!</f>
        <v>#REF!</v>
      </c>
      <c r="D438" s="779">
        <f>цены!$F$102</f>
        <v>120</v>
      </c>
      <c r="E438" s="802" t="e">
        <f t="shared" si="463"/>
        <v>#REF!</v>
      </c>
      <c r="F438" s="710" t="e">
        <f>#REF!+#REF!+#REF!+#REF!+#REF!+#REF!+#REF!+#REF!+#REF!+#REF!</f>
        <v>#REF!</v>
      </c>
      <c r="G438" s="710" t="e">
        <f>#REF!+#REF!+#REF!+#REF!+#REF!+#REF!+#REF!+#REF!+#REF!+#REF!</f>
        <v>#REF!</v>
      </c>
      <c r="H438" s="1256"/>
      <c r="I438" s="659"/>
      <c r="EZ438" s="675"/>
      <c r="FA438" s="1049"/>
      <c r="FB438" s="1049"/>
      <c r="FC438" s="1049"/>
      <c r="FD438" s="1049"/>
      <c r="FE438" s="1049"/>
      <c r="FF438" s="1049"/>
      <c r="FG438" s="1049"/>
      <c r="FH438" s="1049"/>
      <c r="FI438" s="1049"/>
      <c r="FJ438" s="1049"/>
      <c r="FK438" s="1049"/>
      <c r="FL438" s="1049"/>
    </row>
    <row r="439" spans="1:168" s="1034" customFormat="1" x14ac:dyDescent="0.25">
      <c r="A439" s="133">
        <v>91</v>
      </c>
      <c r="B439" s="770" t="str">
        <f>CV14</f>
        <v>Капуста квашеная</v>
      </c>
      <c r="C439" s="710" t="e">
        <f>#REF!+#REF!+#REF!+#REF!+#REF!+#REF!+#REF!+#REF!+#REF!+#REF!</f>
        <v>#REF!</v>
      </c>
      <c r="D439" s="779">
        <f>цены!$F$103</f>
        <v>112</v>
      </c>
      <c r="E439" s="802" t="e">
        <f t="shared" si="463"/>
        <v>#REF!</v>
      </c>
      <c r="F439" s="710" t="e">
        <f>#REF!+#REF!+#REF!+#REF!+#REF!+#REF!+#REF!+#REF!+#REF!+#REF!</f>
        <v>#REF!</v>
      </c>
      <c r="G439" s="710" t="e">
        <f>#REF!+#REF!+#REF!+#REF!+#REF!+#REF!+#REF!+#REF!+#REF!+#REF!</f>
        <v>#REF!</v>
      </c>
      <c r="H439" s="1256"/>
      <c r="I439" s="659"/>
      <c r="EZ439" s="675"/>
      <c r="FA439" s="1049"/>
      <c r="FB439" s="1049"/>
      <c r="FC439" s="1049"/>
      <c r="FD439" s="1049"/>
      <c r="FE439" s="1049"/>
      <c r="FF439" s="1049"/>
      <c r="FG439" s="1049"/>
      <c r="FH439" s="1049"/>
      <c r="FI439" s="1049"/>
      <c r="FJ439" s="1049"/>
      <c r="FK439" s="1049"/>
      <c r="FL439" s="1049"/>
    </row>
    <row r="440" spans="1:168" s="1034" customFormat="1" x14ac:dyDescent="0.25">
      <c r="A440" s="133">
        <v>92</v>
      </c>
      <c r="B440" s="770" t="str">
        <f>CW14</f>
        <v>Повидло из яблок</v>
      </c>
      <c r="C440" s="710" t="e">
        <f>#REF!+#REF!+#REF!+#REF!+#REF!+#REF!+#REF!+#REF!+#REF!+#REF!</f>
        <v>#REF!</v>
      </c>
      <c r="D440" s="779">
        <f>цены!$F$104</f>
        <v>140</v>
      </c>
      <c r="E440" s="802" t="e">
        <f t="shared" si="463"/>
        <v>#REF!</v>
      </c>
      <c r="F440" s="710" t="e">
        <f>#REF!+#REF!+#REF!+#REF!+#REF!+#REF!+#REF!+#REF!+#REF!+#REF!</f>
        <v>#REF!</v>
      </c>
      <c r="G440" s="710" t="e">
        <f>#REF!+#REF!+#REF!+#REF!+#REF!+#REF!+#REF!+#REF!+#REF!+#REF!</f>
        <v>#REF!</v>
      </c>
      <c r="H440" s="1256"/>
      <c r="I440" s="659"/>
      <c r="EZ440" s="675"/>
      <c r="FA440" s="1049"/>
      <c r="FB440" s="1049"/>
      <c r="FC440" s="1049"/>
      <c r="FD440" s="1049"/>
      <c r="FE440" s="1049"/>
      <c r="FF440" s="1049"/>
      <c r="FG440" s="1049"/>
      <c r="FH440" s="1049"/>
      <c r="FI440" s="1049"/>
      <c r="FJ440" s="1049"/>
      <c r="FK440" s="1049"/>
      <c r="FL440" s="1049"/>
    </row>
    <row r="441" spans="1:168" s="1034" customFormat="1" x14ac:dyDescent="0.25">
      <c r="A441" s="133">
        <v>93</v>
      </c>
      <c r="B441" s="770" t="str">
        <f>CX14</f>
        <v>Джем абрикосовый (клубничный и др)</v>
      </c>
      <c r="C441" s="710" t="e">
        <f>#REF!+#REF!+#REF!+#REF!+#REF!+#REF!+#REF!+#REF!+#REF!+#REF!</f>
        <v>#REF!</v>
      </c>
      <c r="D441" s="779">
        <f>цены!$F$105</f>
        <v>160</v>
      </c>
      <c r="E441" s="802" t="e">
        <f t="shared" si="463"/>
        <v>#REF!</v>
      </c>
      <c r="F441" s="710" t="e">
        <f>#REF!+#REF!+#REF!+#REF!+#REF!+#REF!+#REF!+#REF!+#REF!+#REF!</f>
        <v>#REF!</v>
      </c>
      <c r="G441" s="710" t="e">
        <f>#REF!+#REF!+#REF!+#REF!+#REF!+#REF!+#REF!+#REF!+#REF!+#REF!</f>
        <v>#REF!</v>
      </c>
      <c r="H441" s="1256"/>
      <c r="I441" s="659"/>
      <c r="EZ441" s="675"/>
      <c r="FA441" s="1049"/>
      <c r="FB441" s="1049"/>
      <c r="FC441" s="1049"/>
      <c r="FD441" s="1049"/>
      <c r="FE441" s="1049"/>
      <c r="FF441" s="1049"/>
      <c r="FG441" s="1049"/>
      <c r="FH441" s="1049"/>
      <c r="FI441" s="1049"/>
      <c r="FJ441" s="1049"/>
      <c r="FK441" s="1049"/>
      <c r="FL441" s="1049"/>
    </row>
    <row r="442" spans="1:168" s="1034" customFormat="1" x14ac:dyDescent="0.25">
      <c r="A442" s="133">
        <v>94</v>
      </c>
      <c r="B442" s="770" t="str">
        <f>CY14</f>
        <v>Варенье (абрикосовое)</v>
      </c>
      <c r="C442" s="710" t="e">
        <f>#REF!+#REF!+#REF!+#REF!+#REF!+#REF!+#REF!+#REF!+#REF!+#REF!</f>
        <v>#REF!</v>
      </c>
      <c r="D442" s="779">
        <f>цены!$F$106</f>
        <v>400</v>
      </c>
      <c r="E442" s="802" t="e">
        <f t="shared" si="463"/>
        <v>#REF!</v>
      </c>
      <c r="F442" s="710" t="e">
        <f>#REF!+#REF!+#REF!+#REF!+#REF!+#REF!+#REF!+#REF!+#REF!+#REF!</f>
        <v>#REF!</v>
      </c>
      <c r="G442" s="710" t="e">
        <f>#REF!+#REF!+#REF!+#REF!+#REF!+#REF!+#REF!+#REF!+#REF!+#REF!</f>
        <v>#REF!</v>
      </c>
      <c r="H442" s="1256"/>
      <c r="I442" s="659"/>
      <c r="EZ442" s="675"/>
      <c r="FA442" s="1049"/>
      <c r="FB442" s="1049"/>
      <c r="FC442" s="1049"/>
      <c r="FD442" s="1049"/>
      <c r="FE442" s="1049"/>
      <c r="FF442" s="1049"/>
      <c r="FG442" s="1049"/>
      <c r="FH442" s="1049"/>
      <c r="FI442" s="1049"/>
      <c r="FJ442" s="1049"/>
      <c r="FK442" s="1049"/>
      <c r="FL442" s="1049"/>
    </row>
    <row r="443" spans="1:168" s="1034" customFormat="1" x14ac:dyDescent="0.25">
      <c r="A443" s="133">
        <v>95</v>
      </c>
      <c r="B443" s="770" t="str">
        <f>CZ14</f>
        <v>Сахар белый свекловичный</v>
      </c>
      <c r="C443" s="710" t="e">
        <f>#REF!+#REF!+#REF!+#REF!+#REF!+#REF!+#REF!+#REF!+#REF!+#REF!</f>
        <v>#REF!</v>
      </c>
      <c r="D443" s="779">
        <f>цены!$F$107</f>
        <v>76</v>
      </c>
      <c r="E443" s="802" t="e">
        <f t="shared" si="463"/>
        <v>#REF!</v>
      </c>
      <c r="F443" s="710" t="e">
        <f>#REF!+#REF!+#REF!+#REF!+#REF!+#REF!+#REF!+#REF!+#REF!+#REF!</f>
        <v>#REF!</v>
      </c>
      <c r="G443" s="710" t="e">
        <f>#REF!+#REF!+#REF!+#REF!+#REF!+#REF!+#REF!+#REF!+#REF!+#REF!</f>
        <v>#REF!</v>
      </c>
      <c r="H443" s="1256"/>
      <c r="I443" s="659"/>
      <c r="EZ443" s="675"/>
      <c r="FA443" s="1049"/>
      <c r="FB443" s="1049"/>
      <c r="FC443" s="1049"/>
      <c r="FD443" s="1049"/>
      <c r="FE443" s="1049"/>
      <c r="FF443" s="1049"/>
      <c r="FG443" s="1049"/>
      <c r="FH443" s="1049"/>
      <c r="FI443" s="1049"/>
      <c r="FJ443" s="1049"/>
      <c r="FK443" s="1049"/>
      <c r="FL443" s="1049"/>
    </row>
    <row r="444" spans="1:168" s="1034" customFormat="1" x14ac:dyDescent="0.25">
      <c r="A444" s="133">
        <v>96</v>
      </c>
      <c r="B444" s="770" t="str">
        <f>DA14</f>
        <v xml:space="preserve">Пудра рафинированная сахарная </v>
      </c>
      <c r="C444" s="710" t="e">
        <f>#REF!+#REF!+#REF!+#REF!+#REF!+#REF!+#REF!+#REF!+#REF!+#REF!</f>
        <v>#REF!</v>
      </c>
      <c r="D444" s="779">
        <f>цены!$F$108</f>
        <v>140</v>
      </c>
      <c r="E444" s="802" t="e">
        <f t="shared" si="463"/>
        <v>#REF!</v>
      </c>
      <c r="F444" s="710" t="e">
        <f>#REF!+#REF!+#REF!+#REF!+#REF!+#REF!+#REF!+#REF!+#REF!+#REF!</f>
        <v>#REF!</v>
      </c>
      <c r="G444" s="710" t="e">
        <f>#REF!+#REF!+#REF!+#REF!+#REF!+#REF!+#REF!+#REF!+#REF!+#REF!</f>
        <v>#REF!</v>
      </c>
      <c r="H444" s="1256"/>
      <c r="I444" s="659"/>
      <c r="EZ444" s="675"/>
      <c r="FA444" s="1049"/>
      <c r="FB444" s="1049"/>
      <c r="FC444" s="1049"/>
      <c r="FD444" s="1049"/>
      <c r="FE444" s="1049"/>
      <c r="FF444" s="1049"/>
      <c r="FG444" s="1049"/>
      <c r="FH444" s="1049"/>
      <c r="FI444" s="1049"/>
      <c r="FJ444" s="1049"/>
      <c r="FK444" s="1049"/>
      <c r="FL444" s="1049"/>
    </row>
    <row r="445" spans="1:168" s="1034" customFormat="1" x14ac:dyDescent="0.25">
      <c r="A445" s="133">
        <v>97</v>
      </c>
      <c r="B445" s="770" t="str">
        <f>DB14</f>
        <v>Сок натуральный фруктовый с сахаром (3л.)</v>
      </c>
      <c r="C445" s="710" t="e">
        <f>#REF!+#REF!+#REF!+#REF!+#REF!+#REF!+#REF!+#REF!+#REF!+#REF!</f>
        <v>#REF!</v>
      </c>
      <c r="D445" s="779">
        <f>цены!$F$109</f>
        <v>39</v>
      </c>
      <c r="E445" s="802" t="e">
        <f t="shared" si="463"/>
        <v>#REF!</v>
      </c>
      <c r="F445" s="710" t="e">
        <f>#REF!+#REF!+#REF!+#REF!+#REF!+#REF!+#REF!+#REF!+#REF!+#REF!</f>
        <v>#REF!</v>
      </c>
      <c r="G445" s="710" t="e">
        <f>#REF!+#REF!+#REF!+#REF!+#REF!+#REF!+#REF!+#REF!+#REF!+#REF!</f>
        <v>#REF!</v>
      </c>
      <c r="H445" s="1256"/>
      <c r="I445" s="659"/>
      <c r="EZ445" s="675"/>
      <c r="FA445" s="1049"/>
      <c r="FB445" s="1049"/>
      <c r="FC445" s="1049"/>
      <c r="FD445" s="1049"/>
      <c r="FE445" s="1049"/>
      <c r="FF445" s="1049"/>
      <c r="FG445" s="1049"/>
      <c r="FH445" s="1049"/>
      <c r="FI445" s="1049"/>
      <c r="FJ445" s="1049"/>
      <c r="FK445" s="1049"/>
      <c r="FL445" s="1049"/>
    </row>
    <row r="446" spans="1:168" s="1034" customFormat="1" x14ac:dyDescent="0.25">
      <c r="A446" s="133">
        <v>98</v>
      </c>
      <c r="B446" s="770" t="str">
        <f>DC14</f>
        <v>Соль йодированная</v>
      </c>
      <c r="C446" s="710" t="e">
        <f>#REF!+#REF!+#REF!+#REF!+#REF!+#REF!+#REF!+#REF!+#REF!+#REF!</f>
        <v>#REF!</v>
      </c>
      <c r="D446" s="779">
        <f>цены!$F$110</f>
        <v>24</v>
      </c>
      <c r="E446" s="802" t="e">
        <f t="shared" si="463"/>
        <v>#REF!</v>
      </c>
      <c r="F446" s="710" t="e">
        <f>#REF!+#REF!+#REF!+#REF!+#REF!+#REF!+#REF!+#REF!+#REF!+#REF!</f>
        <v>#REF!</v>
      </c>
      <c r="G446" s="710" t="e">
        <f>#REF!+#REF!+#REF!+#REF!+#REF!+#REF!+#REF!+#REF!+#REF!+#REF!</f>
        <v>#REF!</v>
      </c>
      <c r="H446" s="1256"/>
      <c r="I446" s="659"/>
      <c r="EZ446" s="675"/>
      <c r="FA446" s="1049"/>
      <c r="FB446" s="1049"/>
      <c r="FC446" s="1049"/>
      <c r="FD446" s="1049"/>
      <c r="FE446" s="1049"/>
      <c r="FF446" s="1049"/>
      <c r="FG446" s="1049"/>
      <c r="FH446" s="1049"/>
      <c r="FI446" s="1049"/>
      <c r="FJ446" s="1049"/>
      <c r="FK446" s="1049"/>
      <c r="FL446" s="1049"/>
    </row>
    <row r="447" spans="1:168" s="1034" customFormat="1" x14ac:dyDescent="0.25">
      <c r="A447" s="133">
        <v>99</v>
      </c>
      <c r="B447" s="770" t="str">
        <f>DD14</f>
        <v>Сухари панировочные</v>
      </c>
      <c r="C447" s="710" t="e">
        <f>#REF!+#REF!+#REF!+#REF!+#REF!+#REF!+#REF!+#REF!+#REF!+#REF!</f>
        <v>#REF!</v>
      </c>
      <c r="D447" s="779">
        <f>цены!$F$111</f>
        <v>118</v>
      </c>
      <c r="E447" s="802" t="e">
        <f t="shared" si="463"/>
        <v>#REF!</v>
      </c>
      <c r="F447" s="710" t="e">
        <f>#REF!+#REF!+#REF!+#REF!+#REF!+#REF!+#REF!+#REF!+#REF!+#REF!</f>
        <v>#REF!</v>
      </c>
      <c r="G447" s="710" t="e">
        <f>#REF!+#REF!+#REF!+#REF!+#REF!+#REF!+#REF!+#REF!+#REF!+#REF!</f>
        <v>#REF!</v>
      </c>
      <c r="H447" s="1256"/>
      <c r="I447" s="659"/>
      <c r="EZ447" s="675"/>
      <c r="FA447" s="1049"/>
      <c r="FB447" s="1049"/>
      <c r="FC447" s="1049"/>
      <c r="FD447" s="1049"/>
      <c r="FE447" s="1049"/>
      <c r="FF447" s="1049"/>
      <c r="FG447" s="1049"/>
      <c r="FH447" s="1049"/>
      <c r="FI447" s="1049"/>
      <c r="FJ447" s="1049"/>
      <c r="FK447" s="1049"/>
      <c r="FL447" s="1049"/>
    </row>
    <row r="448" spans="1:168" s="1034" customFormat="1" x14ac:dyDescent="0.25">
      <c r="A448" s="133">
        <v>100</v>
      </c>
      <c r="B448" s="770" t="str">
        <f>DE14</f>
        <v>Смеси сушеных фруктов</v>
      </c>
      <c r="C448" s="710" t="e">
        <f>#REF!+#REF!+#REF!+#REF!+#REF!+#REF!+#REF!+#REF!+#REF!+#REF!</f>
        <v>#REF!</v>
      </c>
      <c r="D448" s="779">
        <f>цены!$F$112</f>
        <v>130</v>
      </c>
      <c r="E448" s="802" t="e">
        <f t="shared" si="463"/>
        <v>#REF!</v>
      </c>
      <c r="F448" s="710" t="e">
        <f>#REF!+#REF!+#REF!+#REF!+#REF!+#REF!+#REF!+#REF!+#REF!+#REF!</f>
        <v>#REF!</v>
      </c>
      <c r="G448" s="710" t="e">
        <f>#REF!+#REF!+#REF!+#REF!+#REF!+#REF!+#REF!+#REF!+#REF!+#REF!</f>
        <v>#REF!</v>
      </c>
      <c r="H448" s="1256"/>
      <c r="I448" s="659"/>
      <c r="EZ448" s="675"/>
      <c r="FA448" s="1049"/>
      <c r="FB448" s="1049"/>
      <c r="FC448" s="1049"/>
      <c r="FD448" s="1049"/>
      <c r="FE448" s="1049"/>
      <c r="FF448" s="1049"/>
      <c r="FG448" s="1049"/>
      <c r="FH448" s="1049"/>
      <c r="FI448" s="1049"/>
      <c r="FJ448" s="1049"/>
      <c r="FK448" s="1049"/>
      <c r="FL448" s="1049"/>
    </row>
    <row r="449" spans="1:168" s="1034" customFormat="1" x14ac:dyDescent="0.25">
      <c r="A449" s="133">
        <v>101</v>
      </c>
      <c r="B449" s="770" t="str">
        <f>DF14</f>
        <v>Пюре томатное концентрированное</v>
      </c>
      <c r="C449" s="710" t="e">
        <f>#REF!+#REF!+#REF!+#REF!+#REF!+#REF!+#REF!+#REF!+#REF!+#REF!</f>
        <v>#REF!</v>
      </c>
      <c r="D449" s="779">
        <f>цены!$F$113</f>
        <v>230</v>
      </c>
      <c r="E449" s="802" t="e">
        <f t="shared" si="463"/>
        <v>#REF!</v>
      </c>
      <c r="F449" s="710" t="e">
        <f>#REF!+#REF!+#REF!+#REF!+#REF!+#REF!+#REF!+#REF!+#REF!+#REF!</f>
        <v>#REF!</v>
      </c>
      <c r="G449" s="710" t="e">
        <f>#REF!+#REF!+#REF!+#REF!+#REF!+#REF!+#REF!+#REF!+#REF!+#REF!</f>
        <v>#REF!</v>
      </c>
      <c r="H449" s="1256"/>
      <c r="I449" s="659"/>
      <c r="EZ449" s="675"/>
      <c r="FA449" s="1049"/>
      <c r="FB449" s="1049"/>
      <c r="FC449" s="1049"/>
      <c r="FD449" s="1049"/>
      <c r="FE449" s="1049"/>
      <c r="FF449" s="1049"/>
      <c r="FG449" s="1049"/>
      <c r="FH449" s="1049"/>
      <c r="FI449" s="1049"/>
      <c r="FJ449" s="1049"/>
      <c r="FK449" s="1049"/>
      <c r="FL449" s="1049"/>
    </row>
    <row r="450" spans="1:168" s="1034" customFormat="1" x14ac:dyDescent="0.25">
      <c r="A450" s="133">
        <v>102</v>
      </c>
      <c r="B450" s="770" t="str">
        <f>DG14</f>
        <v>Икра кабачковая</v>
      </c>
      <c r="C450" s="710" t="e">
        <f>#REF!+#REF!+#REF!+#REF!+#REF!+#REF!+#REF!+#REF!+#REF!+#REF!</f>
        <v>#REF!</v>
      </c>
      <c r="D450" s="779">
        <f>цены!$F$114</f>
        <v>120</v>
      </c>
      <c r="E450" s="802" t="e">
        <f t="shared" si="463"/>
        <v>#REF!</v>
      </c>
      <c r="F450" s="710" t="e">
        <f>#REF!+#REF!+#REF!+#REF!+#REF!+#REF!+#REF!+#REF!+#REF!+#REF!</f>
        <v>#REF!</v>
      </c>
      <c r="G450" s="710" t="e">
        <f>#REF!+#REF!+#REF!+#REF!+#REF!+#REF!+#REF!+#REF!+#REF!+#REF!</f>
        <v>#REF!</v>
      </c>
      <c r="H450" s="1256"/>
      <c r="I450" s="659"/>
      <c r="EZ450" s="675"/>
      <c r="FA450" s="1049"/>
      <c r="FB450" s="1049"/>
      <c r="FC450" s="1049"/>
      <c r="FD450" s="1049"/>
      <c r="FE450" s="1049"/>
      <c r="FF450" s="1049"/>
      <c r="FG450" s="1049"/>
      <c r="FH450" s="1049"/>
      <c r="FI450" s="1049"/>
      <c r="FJ450" s="1049"/>
      <c r="FK450" s="1049"/>
      <c r="FL450" s="1049"/>
    </row>
    <row r="451" spans="1:168" s="1034" customFormat="1" x14ac:dyDescent="0.25">
      <c r="A451" s="133">
        <v>103</v>
      </c>
      <c r="B451" s="770" t="str">
        <f>DH14</f>
        <v>Плоды шиповника сушеные</v>
      </c>
      <c r="C451" s="710" t="e">
        <f>#REF!+#REF!+#REF!+#REF!+#REF!+#REF!+#REF!+#REF!+#REF!+#REF!</f>
        <v>#REF!</v>
      </c>
      <c r="D451" s="779">
        <f>цены!$F$115</f>
        <v>100</v>
      </c>
      <c r="E451" s="802" t="e">
        <f t="shared" si="463"/>
        <v>#REF!</v>
      </c>
      <c r="F451" s="710" t="e">
        <f>#REF!+#REF!+#REF!+#REF!+#REF!+#REF!+#REF!+#REF!+#REF!+#REF!</f>
        <v>#REF!</v>
      </c>
      <c r="G451" s="710" t="e">
        <f>#REF!+#REF!+#REF!+#REF!+#REF!+#REF!+#REF!+#REF!+#REF!+#REF!</f>
        <v>#REF!</v>
      </c>
      <c r="H451" s="1256"/>
      <c r="I451" s="659"/>
      <c r="EZ451" s="675"/>
      <c r="FA451" s="1049"/>
      <c r="FB451" s="1049"/>
      <c r="FC451" s="1049"/>
      <c r="FD451" s="1049"/>
      <c r="FE451" s="1049"/>
      <c r="FF451" s="1049"/>
      <c r="FG451" s="1049"/>
      <c r="FH451" s="1049"/>
      <c r="FI451" s="1049"/>
      <c r="FJ451" s="1049"/>
      <c r="FK451" s="1049"/>
      <c r="FL451" s="1049"/>
    </row>
    <row r="452" spans="1:168" s="1034" customFormat="1" x14ac:dyDescent="0.25">
      <c r="A452" s="133">
        <v>104</v>
      </c>
      <c r="B452" s="770" t="str">
        <f>DI14</f>
        <v>Разрыхлитель (аммоний углекислый)</v>
      </c>
      <c r="C452" s="710" t="e">
        <f>#REF!+#REF!+#REF!+#REF!+#REF!+#REF!+#REF!+#REF!+#REF!+#REF!</f>
        <v>#REF!</v>
      </c>
      <c r="D452" s="779">
        <f>цены!$F$116</f>
        <v>2000</v>
      </c>
      <c r="E452" s="802" t="e">
        <f t="shared" si="463"/>
        <v>#REF!</v>
      </c>
      <c r="F452" s="710" t="e">
        <f>#REF!+#REF!+#REF!+#REF!+#REF!+#REF!+#REF!+#REF!+#REF!+#REF!</f>
        <v>#REF!</v>
      </c>
      <c r="G452" s="710" t="e">
        <f>#REF!+#REF!+#REF!+#REF!+#REF!+#REF!+#REF!+#REF!+#REF!+#REF!</f>
        <v>#REF!</v>
      </c>
      <c r="H452" s="1256"/>
      <c r="I452" s="659"/>
      <c r="EZ452" s="675"/>
      <c r="FA452" s="1049"/>
      <c r="FB452" s="1049"/>
      <c r="FC452" s="1049"/>
      <c r="FD452" s="1049"/>
      <c r="FE452" s="1049"/>
      <c r="FF452" s="1049"/>
      <c r="FG452" s="1049"/>
      <c r="FH452" s="1049"/>
      <c r="FI452" s="1049"/>
      <c r="FJ452" s="1049"/>
      <c r="FK452" s="1049"/>
      <c r="FL452" s="1049"/>
    </row>
    <row r="453" spans="1:168" s="1034" customFormat="1" x14ac:dyDescent="0.25">
      <c r="A453" s="133">
        <v>105</v>
      </c>
      <c r="B453" s="770" t="str">
        <f>DJ14</f>
        <v>Корица молотая</v>
      </c>
      <c r="C453" s="710" t="e">
        <f>#REF!+#REF!+#REF!+#REF!+#REF!+#REF!+#REF!+#REF!+#REF!+#REF!</f>
        <v>#REF!</v>
      </c>
      <c r="D453" s="779">
        <f>цены!$F$117</f>
        <v>1210</v>
      </c>
      <c r="E453" s="802" t="e">
        <f t="shared" si="463"/>
        <v>#REF!</v>
      </c>
      <c r="F453" s="710" t="e">
        <f>#REF!+#REF!+#REF!+#REF!+#REF!+#REF!+#REF!+#REF!+#REF!+#REF!</f>
        <v>#REF!</v>
      </c>
      <c r="G453" s="710" t="e">
        <f>#REF!+#REF!+#REF!+#REF!+#REF!+#REF!+#REF!+#REF!+#REF!+#REF!</f>
        <v>#REF!</v>
      </c>
      <c r="H453" s="1256"/>
      <c r="I453" s="659"/>
      <c r="EZ453" s="675"/>
      <c r="FA453" s="1049"/>
      <c r="FB453" s="1049"/>
      <c r="FC453" s="1049"/>
      <c r="FD453" s="1049"/>
      <c r="FE453" s="1049"/>
      <c r="FF453" s="1049"/>
      <c r="FG453" s="1049"/>
      <c r="FH453" s="1049"/>
      <c r="FI453" s="1049"/>
      <c r="FJ453" s="1049"/>
      <c r="FK453" s="1049"/>
      <c r="FL453" s="1049"/>
    </row>
    <row r="454" spans="1:168" s="1034" customFormat="1" x14ac:dyDescent="0.25">
      <c r="A454" s="133">
        <v>106</v>
      </c>
      <c r="B454" s="770" t="str">
        <f>DK14</f>
        <v>Пряности обработанные прочие</v>
      </c>
      <c r="C454" s="710" t="e">
        <f>#REF!+#REF!+#REF!+#REF!+#REF!+#REF!+#REF!+#REF!+#REF!+#REF!</f>
        <v>#REF!</v>
      </c>
      <c r="D454" s="779">
        <f>цены!$F$118</f>
        <v>1420</v>
      </c>
      <c r="E454" s="802" t="e">
        <f t="shared" si="463"/>
        <v>#REF!</v>
      </c>
      <c r="F454" s="710" t="e">
        <f>#REF!+#REF!+#REF!+#REF!+#REF!+#REF!+#REF!+#REF!+#REF!+#REF!</f>
        <v>#REF!</v>
      </c>
      <c r="G454" s="710" t="e">
        <f>#REF!+#REF!+#REF!+#REF!+#REF!+#REF!+#REF!+#REF!+#REF!+#REF!</f>
        <v>#REF!</v>
      </c>
      <c r="H454" s="1256"/>
      <c r="I454" s="659"/>
      <c r="EZ454" s="675"/>
      <c r="FA454" s="1049"/>
      <c r="FB454" s="1049"/>
      <c r="FC454" s="1049"/>
      <c r="FD454" s="1049"/>
      <c r="FE454" s="1049"/>
      <c r="FF454" s="1049"/>
      <c r="FG454" s="1049"/>
      <c r="FH454" s="1049"/>
      <c r="FI454" s="1049"/>
      <c r="FJ454" s="1049"/>
      <c r="FK454" s="1049"/>
      <c r="FL454" s="1049"/>
    </row>
    <row r="455" spans="1:168" s="1034" customFormat="1" x14ac:dyDescent="0.25">
      <c r="A455" s="133">
        <v>107</v>
      </c>
      <c r="B455" s="770" t="str">
        <f>DL14</f>
        <v>Горох</v>
      </c>
      <c r="C455" s="710" t="e">
        <f>#REF!+#REF!+#REF!+#REF!+#REF!+#REF!+#REF!+#REF!+#REF!+#REF!</f>
        <v>#REF!</v>
      </c>
      <c r="D455" s="779">
        <f>цены!$F$119</f>
        <v>50</v>
      </c>
      <c r="E455" s="802" t="e">
        <f t="shared" si="463"/>
        <v>#REF!</v>
      </c>
      <c r="F455" s="710" t="e">
        <f>#REF!+#REF!+#REF!+#REF!+#REF!+#REF!+#REF!+#REF!+#REF!+#REF!</f>
        <v>#REF!</v>
      </c>
      <c r="G455" s="710" t="e">
        <f>#REF!+#REF!+#REF!+#REF!+#REF!+#REF!+#REF!+#REF!+#REF!+#REF!</f>
        <v>#REF!</v>
      </c>
      <c r="H455" s="1256"/>
      <c r="I455" s="659"/>
      <c r="EZ455" s="675"/>
      <c r="FA455" s="1049"/>
      <c r="FB455" s="1049"/>
      <c r="FC455" s="1049"/>
      <c r="FD455" s="1049"/>
      <c r="FE455" s="1049"/>
      <c r="FF455" s="1049"/>
      <c r="FG455" s="1049"/>
      <c r="FH455" s="1049"/>
      <c r="FI455" s="1049"/>
      <c r="FJ455" s="1049"/>
      <c r="FK455" s="1049"/>
      <c r="FL455" s="1049"/>
    </row>
    <row r="456" spans="1:168" s="1034" customFormat="1" x14ac:dyDescent="0.25">
      <c r="A456" s="133">
        <v>108</v>
      </c>
      <c r="B456" s="770" t="str">
        <f>DM14</f>
        <v>Фасоль</v>
      </c>
      <c r="C456" s="710" t="e">
        <f>#REF!+#REF!+#REF!+#REF!+#REF!+#REF!+#REF!+#REF!+#REF!+#REF!</f>
        <v>#REF!</v>
      </c>
      <c r="D456" s="779">
        <f>цены!$F$120</f>
        <v>180</v>
      </c>
      <c r="E456" s="802" t="e">
        <f t="shared" si="463"/>
        <v>#REF!</v>
      </c>
      <c r="F456" s="710" t="e">
        <f>#REF!+#REF!+#REF!+#REF!+#REF!+#REF!+#REF!+#REF!+#REF!+#REF!</f>
        <v>#REF!</v>
      </c>
      <c r="G456" s="710" t="e">
        <f>#REF!+#REF!+#REF!+#REF!+#REF!+#REF!+#REF!+#REF!+#REF!+#REF!</f>
        <v>#REF!</v>
      </c>
      <c r="H456" s="1256"/>
      <c r="I456" s="659"/>
      <c r="EZ456" s="675"/>
      <c r="FA456" s="1049"/>
      <c r="FB456" s="1049"/>
      <c r="FC456" s="1049"/>
      <c r="FD456" s="1049"/>
      <c r="FE456" s="1049"/>
      <c r="FF456" s="1049"/>
      <c r="FG456" s="1049"/>
      <c r="FH456" s="1049"/>
      <c r="FI456" s="1049"/>
      <c r="FJ456" s="1049"/>
      <c r="FK456" s="1049"/>
      <c r="FL456" s="1049"/>
    </row>
    <row r="457" spans="1:168" s="1034" customFormat="1" x14ac:dyDescent="0.25">
      <c r="A457" s="133">
        <v>109</v>
      </c>
      <c r="B457" s="770" t="str">
        <f>DN14</f>
        <v>Чечевица</v>
      </c>
      <c r="C457" s="710" t="e">
        <f>#REF!+#REF!+#REF!+#REF!+#REF!+#REF!+#REF!+#REF!+#REF!+#REF!</f>
        <v>#REF!</v>
      </c>
      <c r="D457" s="779">
        <f>цены!$F$121</f>
        <v>125</v>
      </c>
      <c r="E457" s="802" t="e">
        <f t="shared" si="463"/>
        <v>#REF!</v>
      </c>
      <c r="F457" s="710" t="e">
        <f>#REF!+#REF!+#REF!+#REF!+#REF!+#REF!+#REF!+#REF!+#REF!+#REF!</f>
        <v>#REF!</v>
      </c>
      <c r="G457" s="710" t="e">
        <f>#REF!+#REF!+#REF!+#REF!+#REF!+#REF!+#REF!+#REF!+#REF!+#REF!</f>
        <v>#REF!</v>
      </c>
      <c r="H457" s="1256"/>
      <c r="I457" s="659"/>
      <c r="EZ457" s="675"/>
      <c r="FA457" s="1049"/>
      <c r="FB457" s="1049"/>
      <c r="FC457" s="1049"/>
      <c r="FD457" s="1049"/>
      <c r="FE457" s="1049"/>
      <c r="FF457" s="1049"/>
      <c r="FG457" s="1049"/>
      <c r="FH457" s="1049"/>
      <c r="FI457" s="1049"/>
      <c r="FJ457" s="1049"/>
      <c r="FK457" s="1049"/>
      <c r="FL457" s="1049"/>
    </row>
    <row r="458" spans="1:168" s="1034" customFormat="1" x14ac:dyDescent="0.25">
      <c r="A458" s="133">
        <v>110</v>
      </c>
      <c r="B458" s="770" t="str">
        <f>DO14</f>
        <v>Курага</v>
      </c>
      <c r="C458" s="710" t="e">
        <f>#REF!+#REF!+#REF!+#REF!+#REF!+#REF!+#REF!+#REF!+#REF!+#REF!</f>
        <v>#REF!</v>
      </c>
      <c r="D458" s="779">
        <f>цены!$F$122</f>
        <v>250</v>
      </c>
      <c r="E458" s="802" t="e">
        <f t="shared" si="463"/>
        <v>#REF!</v>
      </c>
      <c r="F458" s="710" t="e">
        <f>#REF!+#REF!+#REF!+#REF!+#REF!+#REF!+#REF!+#REF!+#REF!+#REF!</f>
        <v>#REF!</v>
      </c>
      <c r="G458" s="710" t="e">
        <f>#REF!+#REF!+#REF!+#REF!+#REF!+#REF!+#REF!+#REF!+#REF!+#REF!</f>
        <v>#REF!</v>
      </c>
      <c r="H458" s="1256"/>
      <c r="I458" s="659"/>
      <c r="EZ458" s="675"/>
      <c r="FA458" s="1049"/>
      <c r="FB458" s="1049"/>
      <c r="FC458" s="1049"/>
      <c r="FD458" s="1049"/>
      <c r="FE458" s="1049"/>
      <c r="FF458" s="1049"/>
      <c r="FG458" s="1049"/>
      <c r="FH458" s="1049"/>
      <c r="FI458" s="1049"/>
      <c r="FJ458" s="1049"/>
      <c r="FK458" s="1049"/>
      <c r="FL458" s="1049"/>
    </row>
    <row r="459" spans="1:168" s="1034" customFormat="1" x14ac:dyDescent="0.25">
      <c r="A459" s="133">
        <v>111</v>
      </c>
      <c r="B459" s="770" t="str">
        <f>DP14</f>
        <v>Финики</v>
      </c>
      <c r="C459" s="710" t="e">
        <f>#REF!+#REF!+#REF!+#REF!+#REF!+#REF!+#REF!+#REF!+#REF!+#REF!</f>
        <v>#REF!</v>
      </c>
      <c r="D459" s="779">
        <f>цены!$F$123</f>
        <v>250</v>
      </c>
      <c r="E459" s="802" t="e">
        <f t="shared" si="463"/>
        <v>#REF!</v>
      </c>
      <c r="F459" s="710" t="e">
        <f>#REF!+#REF!+#REF!+#REF!+#REF!+#REF!+#REF!+#REF!+#REF!+#REF!</f>
        <v>#REF!</v>
      </c>
      <c r="G459" s="710" t="e">
        <f>#REF!+#REF!+#REF!+#REF!+#REF!+#REF!+#REF!+#REF!+#REF!+#REF!</f>
        <v>#REF!</v>
      </c>
      <c r="H459" s="1256"/>
      <c r="I459" s="659"/>
      <c r="EZ459" s="675"/>
      <c r="FA459" s="1049"/>
      <c r="FB459" s="1049"/>
      <c r="FC459" s="1049"/>
      <c r="FD459" s="1049"/>
      <c r="FE459" s="1049"/>
      <c r="FF459" s="1049"/>
      <c r="FG459" s="1049"/>
      <c r="FH459" s="1049"/>
      <c r="FI459" s="1049"/>
      <c r="FJ459" s="1049"/>
      <c r="FK459" s="1049"/>
      <c r="FL459" s="1049"/>
    </row>
    <row r="460" spans="1:168" s="1034" customFormat="1" x14ac:dyDescent="0.25">
      <c r="A460" s="133">
        <v>112</v>
      </c>
      <c r="B460" s="770" t="str">
        <f>DQ14</f>
        <v>Орех грецкий</v>
      </c>
      <c r="C460" s="710" t="e">
        <f>#REF!+#REF!+#REF!+#REF!+#REF!+#REF!+#REF!+#REF!+#REF!+#REF!</f>
        <v>#REF!</v>
      </c>
      <c r="D460" s="779">
        <f>цены!$F$124</f>
        <v>250</v>
      </c>
      <c r="E460" s="802" t="e">
        <f t="shared" si="463"/>
        <v>#REF!</v>
      </c>
      <c r="F460" s="710" t="e">
        <f>#REF!+#REF!+#REF!+#REF!+#REF!+#REF!+#REF!+#REF!+#REF!+#REF!</f>
        <v>#REF!</v>
      </c>
      <c r="G460" s="710" t="e">
        <f>#REF!+#REF!+#REF!+#REF!+#REF!+#REF!+#REF!+#REF!+#REF!+#REF!</f>
        <v>#REF!</v>
      </c>
      <c r="H460" s="1256"/>
      <c r="I460" s="659"/>
      <c r="EZ460" s="675"/>
      <c r="FA460" s="1049"/>
      <c r="FB460" s="1049"/>
      <c r="FC460" s="1049"/>
      <c r="FD460" s="1049"/>
      <c r="FE460" s="1049"/>
      <c r="FF460" s="1049"/>
      <c r="FG460" s="1049"/>
      <c r="FH460" s="1049"/>
      <c r="FI460" s="1049"/>
      <c r="FJ460" s="1049"/>
      <c r="FK460" s="1049"/>
      <c r="FL460" s="1049"/>
    </row>
    <row r="461" spans="1:168" s="1034" customFormat="1" x14ac:dyDescent="0.25">
      <c r="A461" s="133">
        <v>113</v>
      </c>
      <c r="B461" s="770" t="str">
        <f>DR14</f>
        <v>Чай черный байховый высшего сорта</v>
      </c>
      <c r="C461" s="710" t="e">
        <f>#REF!+#REF!+#REF!+#REF!+#REF!+#REF!+#REF!+#REF!+#REF!+#REF!</f>
        <v>#REF!</v>
      </c>
      <c r="D461" s="779">
        <f>цены!$F$125</f>
        <v>900</v>
      </c>
      <c r="E461" s="802" t="e">
        <f t="shared" si="463"/>
        <v>#REF!</v>
      </c>
      <c r="F461" s="710" t="e">
        <f>#REF!+#REF!+#REF!+#REF!+#REF!+#REF!+#REF!+#REF!+#REF!+#REF!</f>
        <v>#REF!</v>
      </c>
      <c r="G461" s="710" t="e">
        <f>#REF!+#REF!+#REF!+#REF!+#REF!+#REF!+#REF!+#REF!+#REF!+#REF!</f>
        <v>#REF!</v>
      </c>
      <c r="H461" s="1256"/>
      <c r="I461" s="659"/>
      <c r="EZ461" s="675"/>
      <c r="FA461" s="1049"/>
      <c r="FB461" s="1049"/>
      <c r="FC461" s="1049"/>
      <c r="FD461" s="1049"/>
      <c r="FE461" s="1049"/>
      <c r="FF461" s="1049"/>
      <c r="FG461" s="1049"/>
      <c r="FH461" s="1049"/>
      <c r="FI461" s="1049"/>
      <c r="FJ461" s="1049"/>
      <c r="FK461" s="1049"/>
      <c r="FL461" s="1049"/>
    </row>
    <row r="462" spans="1:168" s="1034" customFormat="1" x14ac:dyDescent="0.25">
      <c r="A462" s="133">
        <v>114</v>
      </c>
      <c r="B462" s="770" t="str">
        <f>DS14</f>
        <v>Яблоки сушеные</v>
      </c>
      <c r="C462" s="710" t="e">
        <f>#REF!+#REF!+#REF!+#REF!+#REF!+#REF!+#REF!+#REF!+#REF!+#REF!</f>
        <v>#REF!</v>
      </c>
      <c r="D462" s="779">
        <f>цены!$F$126</f>
        <v>130</v>
      </c>
      <c r="E462" s="802" t="e">
        <f t="shared" si="463"/>
        <v>#REF!</v>
      </c>
      <c r="F462" s="710" t="e">
        <f>#REF!+#REF!+#REF!+#REF!+#REF!+#REF!+#REF!+#REF!+#REF!+#REF!</f>
        <v>#REF!</v>
      </c>
      <c r="G462" s="710" t="e">
        <f>#REF!+#REF!+#REF!+#REF!+#REF!+#REF!+#REF!+#REF!+#REF!+#REF!</f>
        <v>#REF!</v>
      </c>
      <c r="H462" s="1256"/>
      <c r="I462" s="659"/>
      <c r="EZ462" s="675"/>
      <c r="FA462" s="1049"/>
      <c r="FB462" s="1049"/>
      <c r="FC462" s="1049"/>
      <c r="FD462" s="1049"/>
      <c r="FE462" s="1049"/>
      <c r="FF462" s="1049"/>
      <c r="FG462" s="1049"/>
      <c r="FH462" s="1049"/>
      <c r="FI462" s="1049"/>
      <c r="FJ462" s="1049"/>
      <c r="FK462" s="1049"/>
      <c r="FL462" s="1049"/>
    </row>
    <row r="463" spans="1:168" s="1034" customFormat="1" ht="27.6" x14ac:dyDescent="0.25">
      <c r="A463" s="133">
        <v>115</v>
      </c>
      <c r="B463" s="770" t="str">
        <f>DT14</f>
        <v>Компот концентрированный из плодов консервированных</v>
      </c>
      <c r="C463" s="710" t="e">
        <f>#REF!+#REF!+#REF!+#REF!+#REF!+#REF!+#REF!+#REF!+#REF!+#REF!</f>
        <v>#REF!</v>
      </c>
      <c r="D463" s="779">
        <f>цены!$F$127</f>
        <v>181</v>
      </c>
      <c r="E463" s="802" t="e">
        <f t="shared" si="463"/>
        <v>#REF!</v>
      </c>
      <c r="F463" s="710" t="e">
        <f>#REF!+#REF!+#REF!+#REF!+#REF!+#REF!+#REF!+#REF!+#REF!+#REF!</f>
        <v>#REF!</v>
      </c>
      <c r="G463" s="710" t="e">
        <f>#REF!+#REF!+#REF!+#REF!+#REF!+#REF!+#REF!+#REF!+#REF!+#REF!</f>
        <v>#REF!</v>
      </c>
      <c r="H463" s="1256"/>
      <c r="I463" s="659"/>
      <c r="EZ463" s="675"/>
      <c r="FA463" s="1049"/>
      <c r="FB463" s="1049"/>
      <c r="FC463" s="1049"/>
      <c r="FD463" s="1049"/>
      <c r="FE463" s="1049"/>
      <c r="FF463" s="1049"/>
      <c r="FG463" s="1049"/>
      <c r="FH463" s="1049"/>
      <c r="FI463" s="1049"/>
      <c r="FJ463" s="1049"/>
      <c r="FK463" s="1049"/>
      <c r="FL463" s="1049"/>
    </row>
    <row r="464" spans="1:168" s="1034" customFormat="1" x14ac:dyDescent="0.25">
      <c r="A464" s="133">
        <v>116</v>
      </c>
      <c r="B464" s="770" t="str">
        <f>DU14</f>
        <v>Зеленый горошек консервированный</v>
      </c>
      <c r="C464" s="710" t="e">
        <f>#REF!+#REF!+#REF!+#REF!+#REF!+#REF!+#REF!+#REF!+#REF!+#REF!</f>
        <v>#REF!</v>
      </c>
      <c r="D464" s="779">
        <f>цены!$F$128</f>
        <v>126</v>
      </c>
      <c r="E464" s="802" t="e">
        <f t="shared" si="463"/>
        <v>#REF!</v>
      </c>
      <c r="F464" s="710" t="e">
        <f>#REF!+#REF!+#REF!+#REF!+#REF!+#REF!+#REF!+#REF!+#REF!+#REF!</f>
        <v>#REF!</v>
      </c>
      <c r="G464" s="710" t="e">
        <f>#REF!+#REF!+#REF!+#REF!+#REF!+#REF!+#REF!+#REF!+#REF!+#REF!</f>
        <v>#REF!</v>
      </c>
      <c r="H464" s="1256"/>
      <c r="I464" s="659"/>
      <c r="EZ464" s="675"/>
      <c r="FA464" s="1049"/>
      <c r="FB464" s="1049"/>
      <c r="FC464" s="1049"/>
      <c r="FD464" s="1049"/>
      <c r="FE464" s="1049"/>
      <c r="FF464" s="1049"/>
      <c r="FG464" s="1049"/>
      <c r="FH464" s="1049"/>
      <c r="FI464" s="1049"/>
      <c r="FJ464" s="1049"/>
      <c r="FK464" s="1049"/>
      <c r="FL464" s="1049"/>
    </row>
    <row r="465" spans="1:168" s="1034" customFormat="1" x14ac:dyDescent="0.25">
      <c r="A465" s="133">
        <v>117</v>
      </c>
      <c r="B465" s="770" t="str">
        <f>DV14</f>
        <v>Фасоль стручковая консервированная</v>
      </c>
      <c r="C465" s="710" t="e">
        <f>#REF!+#REF!+#REF!+#REF!+#REF!+#REF!+#REF!+#REF!+#REF!+#REF!</f>
        <v>#REF!</v>
      </c>
      <c r="D465" s="779">
        <f>цены!$F$129</f>
        <v>147</v>
      </c>
      <c r="E465" s="802" t="e">
        <f t="shared" si="463"/>
        <v>#REF!</v>
      </c>
      <c r="F465" s="710" t="e">
        <f>#REF!+#REF!+#REF!+#REF!+#REF!+#REF!+#REF!+#REF!+#REF!+#REF!</f>
        <v>#REF!</v>
      </c>
      <c r="G465" s="710" t="e">
        <f>#REF!+#REF!+#REF!+#REF!+#REF!+#REF!+#REF!+#REF!+#REF!+#REF!</f>
        <v>#REF!</v>
      </c>
      <c r="H465" s="1256"/>
      <c r="I465" s="659"/>
      <c r="EZ465" s="675"/>
      <c r="FA465" s="1049"/>
      <c r="FB465" s="1049"/>
      <c r="FC465" s="1049"/>
      <c r="FD465" s="1049"/>
      <c r="FE465" s="1049"/>
      <c r="FF465" s="1049"/>
      <c r="FG465" s="1049"/>
      <c r="FH465" s="1049"/>
      <c r="FI465" s="1049"/>
      <c r="FJ465" s="1049"/>
      <c r="FK465" s="1049"/>
      <c r="FL465" s="1049"/>
    </row>
    <row r="466" spans="1:168" s="1034" customFormat="1" x14ac:dyDescent="0.25">
      <c r="A466" s="133">
        <v>118</v>
      </c>
      <c r="B466" s="770" t="str">
        <f>DW14</f>
        <v>Кукуруза консервированная</v>
      </c>
      <c r="C466" s="710" t="e">
        <f>#REF!+#REF!+#REF!+#REF!+#REF!+#REF!+#REF!+#REF!+#REF!+#REF!</f>
        <v>#REF!</v>
      </c>
      <c r="D466" s="779">
        <f>цены!$F$130</f>
        <v>143</v>
      </c>
      <c r="E466" s="802" t="e">
        <f t="shared" si="463"/>
        <v>#REF!</v>
      </c>
      <c r="F466" s="710" t="e">
        <f>#REF!+#REF!+#REF!+#REF!+#REF!+#REF!+#REF!+#REF!+#REF!+#REF!</f>
        <v>#REF!</v>
      </c>
      <c r="G466" s="710" t="e">
        <f>#REF!+#REF!+#REF!+#REF!+#REF!+#REF!+#REF!+#REF!+#REF!+#REF!</f>
        <v>#REF!</v>
      </c>
      <c r="H466" s="1256"/>
      <c r="I466" s="659"/>
      <c r="EZ466" s="675"/>
      <c r="FA466" s="1049"/>
      <c r="FB466" s="1049"/>
      <c r="FC466" s="1049"/>
      <c r="FD466" s="1049"/>
      <c r="FE466" s="1049"/>
      <c r="FF466" s="1049"/>
      <c r="FG466" s="1049"/>
      <c r="FH466" s="1049"/>
      <c r="FI466" s="1049"/>
      <c r="FJ466" s="1049"/>
      <c r="FK466" s="1049"/>
      <c r="FL466" s="1049"/>
    </row>
    <row r="467" spans="1:168" s="1034" customFormat="1" x14ac:dyDescent="0.25">
      <c r="A467" s="133">
        <v>119</v>
      </c>
      <c r="B467" s="770" t="str">
        <f>DX14</f>
        <v>Меланж</v>
      </c>
      <c r="C467" s="710" t="e">
        <f>#REF!+#REF!+#REF!+#REF!+#REF!+#REF!+#REF!+#REF!+#REF!+#REF!</f>
        <v>#REF!</v>
      </c>
      <c r="D467" s="779">
        <f>цены!$F$131</f>
        <v>180</v>
      </c>
      <c r="E467" s="802" t="e">
        <f t="shared" si="463"/>
        <v>#REF!</v>
      </c>
      <c r="F467" s="710" t="e">
        <f>#REF!+#REF!+#REF!+#REF!+#REF!+#REF!+#REF!+#REF!+#REF!+#REF!</f>
        <v>#REF!</v>
      </c>
      <c r="G467" s="710" t="e">
        <f>#REF!+#REF!+#REF!+#REF!+#REF!+#REF!+#REF!+#REF!+#REF!+#REF!</f>
        <v>#REF!</v>
      </c>
      <c r="H467" s="1256"/>
      <c r="I467" s="659"/>
      <c r="EZ467" s="675"/>
      <c r="FA467" s="1049"/>
      <c r="FB467" s="1049"/>
      <c r="FC467" s="1049"/>
      <c r="FD467" s="1049"/>
      <c r="FE467" s="1049"/>
      <c r="FF467" s="1049"/>
      <c r="FG467" s="1049"/>
      <c r="FH467" s="1049"/>
      <c r="FI467" s="1049"/>
      <c r="FJ467" s="1049"/>
      <c r="FK467" s="1049"/>
      <c r="FL467" s="1049"/>
    </row>
    <row r="468" spans="1:168" s="1034" customFormat="1" x14ac:dyDescent="0.25">
      <c r="A468" s="133">
        <v>120</v>
      </c>
      <c r="B468" s="770" t="str">
        <f>DY14</f>
        <v>Перец черный</v>
      </c>
      <c r="C468" s="710" t="e">
        <f>#REF!+#REF!+#REF!+#REF!+#REF!+#REF!+#REF!+#REF!+#REF!+#REF!</f>
        <v>#REF!</v>
      </c>
      <c r="D468" s="779">
        <f>цены!$F$132</f>
        <v>1420</v>
      </c>
      <c r="E468" s="802" t="e">
        <f t="shared" si="463"/>
        <v>#REF!</v>
      </c>
      <c r="F468" s="710" t="e">
        <f>#REF!+#REF!+#REF!+#REF!+#REF!+#REF!+#REF!+#REF!+#REF!+#REF!</f>
        <v>#REF!</v>
      </c>
      <c r="G468" s="710" t="e">
        <f>#REF!+#REF!+#REF!+#REF!+#REF!+#REF!+#REF!+#REF!+#REF!+#REF!</f>
        <v>#REF!</v>
      </c>
      <c r="H468" s="1256"/>
      <c r="I468" s="659"/>
      <c r="EZ468" s="675"/>
      <c r="FA468" s="1049"/>
      <c r="FB468" s="1049"/>
      <c r="FC468" s="1049"/>
      <c r="FD468" s="1049"/>
      <c r="FE468" s="1049"/>
      <c r="FF468" s="1049"/>
      <c r="FG468" s="1049"/>
      <c r="FH468" s="1049"/>
      <c r="FI468" s="1049"/>
      <c r="FJ468" s="1049"/>
      <c r="FK468" s="1049"/>
      <c r="FL468" s="1049"/>
    </row>
    <row r="469" spans="1:168" s="1034" customFormat="1" x14ac:dyDescent="0.25">
      <c r="A469" s="133">
        <v>121</v>
      </c>
      <c r="B469" s="770" t="str">
        <f>DZ14</f>
        <v>Перец черный горошком</v>
      </c>
      <c r="C469" s="710" t="e">
        <f>#REF!+#REF!+#REF!+#REF!+#REF!+#REF!+#REF!+#REF!+#REF!+#REF!</f>
        <v>#REF!</v>
      </c>
      <c r="D469" s="779">
        <f>цены!$F$133</f>
        <v>1420</v>
      </c>
      <c r="E469" s="802" t="e">
        <f t="shared" si="463"/>
        <v>#REF!</v>
      </c>
      <c r="F469" s="710" t="e">
        <f>#REF!+#REF!+#REF!+#REF!+#REF!+#REF!+#REF!+#REF!+#REF!+#REF!</f>
        <v>#REF!</v>
      </c>
      <c r="G469" s="710" t="e">
        <f>#REF!+#REF!+#REF!+#REF!+#REF!+#REF!+#REF!+#REF!+#REF!+#REF!</f>
        <v>#REF!</v>
      </c>
      <c r="H469" s="1256"/>
      <c r="I469" s="659"/>
      <c r="EZ469" s="675"/>
      <c r="FA469" s="1049"/>
      <c r="FB469" s="1049"/>
      <c r="FC469" s="1049"/>
      <c r="FD469" s="1049"/>
      <c r="FE469" s="1049"/>
      <c r="FF469" s="1049"/>
      <c r="FG469" s="1049"/>
      <c r="FH469" s="1049"/>
      <c r="FI469" s="1049"/>
      <c r="FJ469" s="1049"/>
      <c r="FK469" s="1049"/>
      <c r="FL469" s="1049"/>
    </row>
    <row r="470" spans="1:168" s="1034" customFormat="1" x14ac:dyDescent="0.25">
      <c r="A470" s="133">
        <v>122</v>
      </c>
      <c r="B470" s="770" t="str">
        <f>EA14</f>
        <v>Мороженое пломбир</v>
      </c>
      <c r="C470" s="710" t="e">
        <f>#REF!+#REF!+#REF!+#REF!+#REF!+#REF!+#REF!+#REF!+#REF!+#REF!</f>
        <v>#REF!</v>
      </c>
      <c r="D470" s="779">
        <f>цены!$F$134</f>
        <v>750</v>
      </c>
      <c r="E470" s="802" t="e">
        <f t="shared" si="463"/>
        <v>#REF!</v>
      </c>
      <c r="F470" s="710" t="e">
        <f>#REF!+#REF!+#REF!+#REF!+#REF!+#REF!+#REF!+#REF!+#REF!+#REF!</f>
        <v>#REF!</v>
      </c>
      <c r="G470" s="710" t="e">
        <f>#REF!+#REF!+#REF!+#REF!+#REF!+#REF!+#REF!+#REF!+#REF!+#REF!</f>
        <v>#REF!</v>
      </c>
      <c r="H470" s="1256"/>
      <c r="I470" s="659"/>
      <c r="EZ470" s="675"/>
      <c r="FA470" s="1049"/>
      <c r="FB470" s="1049"/>
      <c r="FC470" s="1049"/>
      <c r="FD470" s="1049"/>
      <c r="FE470" s="1049"/>
      <c r="FF470" s="1049"/>
      <c r="FG470" s="1049"/>
      <c r="FH470" s="1049"/>
      <c r="FI470" s="1049"/>
      <c r="FJ470" s="1049"/>
      <c r="FK470" s="1049"/>
      <c r="FL470" s="1049"/>
    </row>
    <row r="471" spans="1:168" s="1034" customFormat="1" x14ac:dyDescent="0.25">
      <c r="A471" s="133">
        <v>123</v>
      </c>
      <c r="B471" s="770" t="str">
        <f>EB14</f>
        <v>Вода питьевая 19 л</v>
      </c>
      <c r="C471" s="710" t="e">
        <f>#REF!+#REF!+#REF!+#REF!+#REF!+#REF!+#REF!+#REF!+#REF!+#REF!</f>
        <v>#REF!</v>
      </c>
      <c r="D471" s="779">
        <f>цены!$F$135</f>
        <v>5.79</v>
      </c>
      <c r="E471" s="802" t="e">
        <f t="shared" si="463"/>
        <v>#REF!</v>
      </c>
      <c r="F471" s="710" t="e">
        <f>#REF!+#REF!+#REF!+#REF!+#REF!+#REF!+#REF!+#REF!+#REF!+#REF!</f>
        <v>#REF!</v>
      </c>
      <c r="G471" s="710" t="e">
        <f>#REF!+#REF!+#REF!+#REF!+#REF!+#REF!+#REF!+#REF!+#REF!+#REF!</f>
        <v>#REF!</v>
      </c>
      <c r="H471" s="1256"/>
      <c r="I471" s="659"/>
      <c r="EZ471" s="675"/>
      <c r="FA471" s="1049"/>
      <c r="FB471" s="1049"/>
      <c r="FC471" s="1049"/>
      <c r="FD471" s="1049"/>
      <c r="FE471" s="1049"/>
      <c r="FF471" s="1049"/>
      <c r="FG471" s="1049"/>
      <c r="FH471" s="1049"/>
      <c r="FI471" s="1049"/>
      <c r="FJ471" s="1049"/>
      <c r="FK471" s="1049"/>
      <c r="FL471" s="1049"/>
    </row>
    <row r="472" spans="1:168" s="1034" customFormat="1" x14ac:dyDescent="0.25">
      <c r="A472" s="133">
        <v>124</v>
      </c>
      <c r="B472" s="770" t="str">
        <f>EC14</f>
        <v>Печенье сахарное "Юбилейное"</v>
      </c>
      <c r="C472" s="710" t="e">
        <f>#REF!+#REF!+#REF!+#REF!+#REF!+#REF!+#REF!+#REF!+#REF!+#REF!</f>
        <v>#REF!</v>
      </c>
      <c r="D472" s="779">
        <f>цены!$F$136</f>
        <v>120</v>
      </c>
      <c r="E472" s="802" t="e">
        <f t="shared" si="463"/>
        <v>#REF!</v>
      </c>
      <c r="F472" s="710" t="e">
        <f>#REF!+#REF!+#REF!+#REF!+#REF!+#REF!+#REF!+#REF!+#REF!+#REF!</f>
        <v>#REF!</v>
      </c>
      <c r="G472" s="710" t="e">
        <f>#REF!+#REF!+#REF!+#REF!+#REF!+#REF!+#REF!+#REF!+#REF!+#REF!</f>
        <v>#REF!</v>
      </c>
      <c r="H472" s="1256"/>
      <c r="I472" s="659"/>
      <c r="EZ472" s="675"/>
      <c r="FA472" s="1049"/>
      <c r="FB472" s="1049"/>
      <c r="FC472" s="1049"/>
      <c r="FD472" s="1049"/>
      <c r="FE472" s="1049"/>
      <c r="FF472" s="1049"/>
      <c r="FG472" s="1049"/>
      <c r="FH472" s="1049"/>
      <c r="FI472" s="1049"/>
      <c r="FJ472" s="1049"/>
      <c r="FK472" s="1049"/>
      <c r="FL472" s="1049"/>
    </row>
    <row r="473" spans="1:168" s="1034" customFormat="1" x14ac:dyDescent="0.25">
      <c r="A473" s="133">
        <v>125</v>
      </c>
      <c r="B473" s="770" t="str">
        <f>ED14</f>
        <v>Печенье овсяное</v>
      </c>
      <c r="C473" s="710" t="e">
        <f>#REF!+#REF!+#REF!+#REF!+#REF!+#REF!+#REF!+#REF!+#REF!+#REF!</f>
        <v>#REF!</v>
      </c>
      <c r="D473" s="779">
        <f>цены!$F$137</f>
        <v>72</v>
      </c>
      <c r="E473" s="802" t="e">
        <f t="shared" si="463"/>
        <v>#REF!</v>
      </c>
      <c r="F473" s="710" t="e">
        <f>#REF!+#REF!+#REF!+#REF!+#REF!+#REF!+#REF!+#REF!+#REF!+#REF!</f>
        <v>#REF!</v>
      </c>
      <c r="G473" s="710" t="e">
        <f>#REF!+#REF!+#REF!+#REF!+#REF!+#REF!+#REF!+#REF!+#REF!+#REF!</f>
        <v>#REF!</v>
      </c>
      <c r="H473" s="1256"/>
      <c r="I473" s="659"/>
      <c r="EZ473" s="675"/>
      <c r="FA473" s="1049"/>
      <c r="FB473" s="1049"/>
      <c r="FC473" s="1049"/>
      <c r="FD473" s="1049"/>
      <c r="FE473" s="1049"/>
      <c r="FF473" s="1049"/>
      <c r="FG473" s="1049"/>
      <c r="FH473" s="1049"/>
      <c r="FI473" s="1049"/>
      <c r="FJ473" s="1049"/>
      <c r="FK473" s="1049"/>
      <c r="FL473" s="1049"/>
    </row>
    <row r="474" spans="1:168" s="1034" customFormat="1" x14ac:dyDescent="0.25">
      <c r="A474" s="133">
        <v>126</v>
      </c>
      <c r="B474" s="770" t="str">
        <f>EE14</f>
        <v>Пряники</v>
      </c>
      <c r="C474" s="710" t="e">
        <f>#REF!+#REF!+#REF!+#REF!+#REF!+#REF!+#REF!+#REF!+#REF!+#REF!</f>
        <v>#REF!</v>
      </c>
      <c r="D474" s="779">
        <f>цены!$F$138</f>
        <v>120</v>
      </c>
      <c r="E474" s="802" t="e">
        <f t="shared" ref="E474:E490" si="464">E$343</f>
        <v>#REF!</v>
      </c>
      <c r="F474" s="710" t="e">
        <f>#REF!+#REF!+#REF!+#REF!+#REF!+#REF!+#REF!+#REF!+#REF!+#REF!</f>
        <v>#REF!</v>
      </c>
      <c r="G474" s="710" t="e">
        <f>#REF!+#REF!+#REF!+#REF!+#REF!+#REF!+#REF!+#REF!+#REF!+#REF!</f>
        <v>#REF!</v>
      </c>
      <c r="H474" s="1256"/>
      <c r="I474" s="659"/>
      <c r="EZ474" s="675"/>
      <c r="FA474" s="1049"/>
      <c r="FB474" s="1049"/>
      <c r="FC474" s="1049"/>
      <c r="FD474" s="1049"/>
      <c r="FE474" s="1049"/>
      <c r="FF474" s="1049"/>
      <c r="FG474" s="1049"/>
      <c r="FH474" s="1049"/>
      <c r="FI474" s="1049"/>
      <c r="FJ474" s="1049"/>
      <c r="FK474" s="1049"/>
      <c r="FL474" s="1049"/>
    </row>
    <row r="475" spans="1:168" s="1034" customFormat="1" x14ac:dyDescent="0.25">
      <c r="A475" s="133">
        <v>127</v>
      </c>
      <c r="B475" s="770" t="str">
        <f>EF14</f>
        <v>Кексы</v>
      </c>
      <c r="C475" s="710" t="e">
        <f>#REF!+#REF!+#REF!+#REF!+#REF!+#REF!+#REF!+#REF!+#REF!+#REF!</f>
        <v>#REF!</v>
      </c>
      <c r="D475" s="779">
        <f>цены!$F$139</f>
        <v>215</v>
      </c>
      <c r="E475" s="802" t="e">
        <f t="shared" si="464"/>
        <v>#REF!</v>
      </c>
      <c r="F475" s="710" t="e">
        <f>#REF!+#REF!+#REF!+#REF!+#REF!+#REF!+#REF!+#REF!+#REF!+#REF!</f>
        <v>#REF!</v>
      </c>
      <c r="G475" s="710" t="e">
        <f>#REF!+#REF!+#REF!+#REF!+#REF!+#REF!+#REF!+#REF!+#REF!+#REF!</f>
        <v>#REF!</v>
      </c>
      <c r="H475" s="1256"/>
      <c r="I475" s="659"/>
      <c r="EZ475" s="675"/>
      <c r="FA475" s="1049"/>
      <c r="FB475" s="1049"/>
      <c r="FC475" s="1049"/>
      <c r="FD475" s="1049"/>
      <c r="FE475" s="1049"/>
      <c r="FF475" s="1049"/>
      <c r="FG475" s="1049"/>
      <c r="FH475" s="1049"/>
      <c r="FI475" s="1049"/>
      <c r="FJ475" s="1049"/>
      <c r="FK475" s="1049"/>
      <c r="FL475" s="1049"/>
    </row>
    <row r="476" spans="1:168" s="1034" customFormat="1" x14ac:dyDescent="0.25">
      <c r="A476" s="133">
        <v>128</v>
      </c>
      <c r="B476" s="770" t="str">
        <f>EG14</f>
        <v>Вафли с пралиновыми начинками</v>
      </c>
      <c r="C476" s="710" t="e">
        <f>#REF!+#REF!+#REF!+#REF!+#REF!+#REF!+#REF!+#REF!+#REF!+#REF!</f>
        <v>#REF!</v>
      </c>
      <c r="D476" s="779">
        <f>цены!$F$140</f>
        <v>135</v>
      </c>
      <c r="E476" s="802" t="e">
        <f t="shared" si="464"/>
        <v>#REF!</v>
      </c>
      <c r="F476" s="710" t="e">
        <f>#REF!+#REF!+#REF!+#REF!+#REF!+#REF!+#REF!+#REF!+#REF!+#REF!</f>
        <v>#REF!</v>
      </c>
      <c r="G476" s="710" t="e">
        <f>#REF!+#REF!+#REF!+#REF!+#REF!+#REF!+#REF!+#REF!+#REF!+#REF!</f>
        <v>#REF!</v>
      </c>
      <c r="H476" s="1256"/>
      <c r="I476" s="659"/>
      <c r="EZ476" s="675"/>
      <c r="FA476" s="1049"/>
      <c r="FB476" s="1049"/>
      <c r="FC476" s="1049"/>
      <c r="FD476" s="1049"/>
      <c r="FE476" s="1049"/>
      <c r="FF476" s="1049"/>
      <c r="FG476" s="1049"/>
      <c r="FH476" s="1049"/>
      <c r="FI476" s="1049"/>
      <c r="FJ476" s="1049"/>
      <c r="FK476" s="1049"/>
      <c r="FL476" s="1049"/>
    </row>
    <row r="477" spans="1:168" s="1034" customFormat="1" x14ac:dyDescent="0.25">
      <c r="A477" s="133">
        <v>129</v>
      </c>
      <c r="B477" s="770" t="str">
        <f>EH14</f>
        <v>Зефир</v>
      </c>
      <c r="C477" s="710" t="e">
        <f>#REF!+#REF!+#REF!+#REF!+#REF!+#REF!+#REF!+#REF!+#REF!+#REF!</f>
        <v>#REF!</v>
      </c>
      <c r="D477" s="779">
        <f>цены!$F$141</f>
        <v>130</v>
      </c>
      <c r="E477" s="802" t="e">
        <f t="shared" si="464"/>
        <v>#REF!</v>
      </c>
      <c r="F477" s="710" t="e">
        <f>#REF!+#REF!+#REF!+#REF!+#REF!+#REF!+#REF!+#REF!+#REF!+#REF!</f>
        <v>#REF!</v>
      </c>
      <c r="G477" s="710" t="e">
        <f>#REF!+#REF!+#REF!+#REF!+#REF!+#REF!+#REF!+#REF!+#REF!+#REF!</f>
        <v>#REF!</v>
      </c>
      <c r="H477" s="1256"/>
      <c r="I477" s="659"/>
      <c r="EZ477" s="675"/>
      <c r="FA477" s="1049"/>
      <c r="FB477" s="1049"/>
      <c r="FC477" s="1049"/>
      <c r="FD477" s="1049"/>
      <c r="FE477" s="1049"/>
      <c r="FF477" s="1049"/>
      <c r="FG477" s="1049"/>
      <c r="FH477" s="1049"/>
      <c r="FI477" s="1049"/>
      <c r="FJ477" s="1049"/>
      <c r="FK477" s="1049"/>
      <c r="FL477" s="1049"/>
    </row>
    <row r="478" spans="1:168" s="1034" customFormat="1" ht="27.6" x14ac:dyDescent="0.25">
      <c r="A478" s="133">
        <v>130</v>
      </c>
      <c r="B478" s="770" t="str">
        <f>EI14</f>
        <v>Сок натуральный (виноградный, яблочный и др. в пакетах)</v>
      </c>
      <c r="C478" s="710" t="e">
        <f>#REF!+#REF!+#REF!+#REF!+#REF!+#REF!+#REF!+#REF!+#REF!+#REF!</f>
        <v>#REF!</v>
      </c>
      <c r="D478" s="779">
        <f>цены!$F$142</f>
        <v>75</v>
      </c>
      <c r="E478" s="802" t="e">
        <f t="shared" si="464"/>
        <v>#REF!</v>
      </c>
      <c r="F478" s="710" t="e">
        <f>#REF!+#REF!+#REF!+#REF!+#REF!+#REF!+#REF!+#REF!+#REF!+#REF!</f>
        <v>#REF!</v>
      </c>
      <c r="G478" s="710" t="e">
        <f>#REF!+#REF!+#REF!+#REF!+#REF!+#REF!+#REF!+#REF!+#REF!+#REF!</f>
        <v>#REF!</v>
      </c>
      <c r="H478" s="1256"/>
      <c r="I478" s="659"/>
      <c r="EZ478" s="675"/>
      <c r="FA478" s="1049"/>
      <c r="FB478" s="1049"/>
      <c r="FC478" s="1049"/>
      <c r="FD478" s="1049"/>
      <c r="FE478" s="1049"/>
      <c r="FF478" s="1049"/>
      <c r="FG478" s="1049"/>
      <c r="FH478" s="1049"/>
      <c r="FI478" s="1049"/>
      <c r="FJ478" s="1049"/>
      <c r="FK478" s="1049"/>
      <c r="FL478" s="1049"/>
    </row>
    <row r="479" spans="1:168" s="1034" customFormat="1" x14ac:dyDescent="0.25">
      <c r="A479" s="133">
        <v>131</v>
      </c>
      <c r="B479" s="770" t="str">
        <f>EJ14</f>
        <v>Сок натуральный виноградный (в банках 3 л)</v>
      </c>
      <c r="C479" s="710" t="e">
        <f>#REF!+#REF!+#REF!+#REF!+#REF!+#REF!+#REF!+#REF!+#REF!+#REF!</f>
        <v>#REF!</v>
      </c>
      <c r="D479" s="779">
        <f>цены!$F$143</f>
        <v>26</v>
      </c>
      <c r="E479" s="802" t="e">
        <f t="shared" si="464"/>
        <v>#REF!</v>
      </c>
      <c r="F479" s="710" t="e">
        <f>#REF!+#REF!+#REF!+#REF!+#REF!+#REF!+#REF!+#REF!+#REF!+#REF!</f>
        <v>#REF!</v>
      </c>
      <c r="G479" s="710" t="e">
        <f>#REF!+#REF!+#REF!+#REF!+#REF!+#REF!+#REF!+#REF!+#REF!+#REF!</f>
        <v>#REF!</v>
      </c>
      <c r="H479" s="1256"/>
      <c r="I479" s="659"/>
      <c r="EZ479" s="675"/>
      <c r="FA479" s="1049"/>
      <c r="FB479" s="1049"/>
      <c r="FC479" s="1049"/>
      <c r="FD479" s="1049"/>
      <c r="FE479" s="1049"/>
      <c r="FF479" s="1049"/>
      <c r="FG479" s="1049"/>
      <c r="FH479" s="1049"/>
      <c r="FI479" s="1049"/>
      <c r="FJ479" s="1049"/>
      <c r="FK479" s="1049"/>
      <c r="FL479" s="1049"/>
    </row>
    <row r="480" spans="1:168" s="1034" customFormat="1" x14ac:dyDescent="0.25">
      <c r="A480" s="133">
        <v>132</v>
      </c>
      <c r="B480" s="770" t="str">
        <f>EK14</f>
        <v>Конфеты, глазированные шоколадом (Морские)</v>
      </c>
      <c r="C480" s="710" t="e">
        <f>#REF!+#REF!+#REF!+#REF!+#REF!+#REF!+#REF!+#REF!+#REF!+#REF!</f>
        <v>#REF!</v>
      </c>
      <c r="D480" s="779">
        <f>цены!$F$144</f>
        <v>385</v>
      </c>
      <c r="E480" s="802" t="e">
        <f t="shared" si="464"/>
        <v>#REF!</v>
      </c>
      <c r="F480" s="710" t="e">
        <f>#REF!+#REF!+#REF!+#REF!+#REF!+#REF!+#REF!+#REF!+#REF!+#REF!</f>
        <v>#REF!</v>
      </c>
      <c r="G480" s="710" t="e">
        <f>#REF!+#REF!+#REF!+#REF!+#REF!+#REF!+#REF!+#REF!+#REF!+#REF!</f>
        <v>#REF!</v>
      </c>
      <c r="H480" s="1256"/>
      <c r="I480" s="659"/>
      <c r="EZ480" s="675"/>
      <c r="FA480" s="1049"/>
      <c r="FB480" s="1049"/>
      <c r="FC480" s="1049"/>
      <c r="FD480" s="1049"/>
      <c r="FE480" s="1049"/>
      <c r="FF480" s="1049"/>
      <c r="FG480" s="1049"/>
      <c r="FH480" s="1049"/>
      <c r="FI480" s="1049"/>
      <c r="FJ480" s="1049"/>
      <c r="FK480" s="1049"/>
      <c r="FL480" s="1049"/>
    </row>
    <row r="481" spans="1:168" s="1034" customFormat="1" x14ac:dyDescent="0.25">
      <c r="A481" s="133">
        <v>133</v>
      </c>
      <c r="B481" s="770" t="str">
        <f>EL14</f>
        <v>Конфеты сливочные (Коровка)</v>
      </c>
      <c r="C481" s="710" t="e">
        <f>#REF!+#REF!+#REF!+#REF!+#REF!+#REF!+#REF!+#REF!+#REF!+#REF!</f>
        <v>#REF!</v>
      </c>
      <c r="D481" s="779">
        <f>цены!$F$145</f>
        <v>200</v>
      </c>
      <c r="E481" s="802" t="e">
        <f t="shared" si="464"/>
        <v>#REF!</v>
      </c>
      <c r="F481" s="710" t="e">
        <f>#REF!+#REF!+#REF!+#REF!+#REF!+#REF!+#REF!+#REF!+#REF!+#REF!</f>
        <v>#REF!</v>
      </c>
      <c r="G481" s="710" t="e">
        <f>#REF!+#REF!+#REF!+#REF!+#REF!+#REF!+#REF!+#REF!+#REF!+#REF!</f>
        <v>#REF!</v>
      </c>
      <c r="H481" s="1256"/>
      <c r="I481" s="659"/>
      <c r="EZ481" s="675"/>
      <c r="FA481" s="1049"/>
      <c r="FB481" s="1049"/>
      <c r="FC481" s="1049"/>
      <c r="FD481" s="1049"/>
      <c r="FE481" s="1049"/>
      <c r="FF481" s="1049"/>
      <c r="FG481" s="1049"/>
      <c r="FH481" s="1049"/>
      <c r="FI481" s="1049"/>
      <c r="FJ481" s="1049"/>
      <c r="FK481" s="1049"/>
      <c r="FL481" s="1049"/>
    </row>
    <row r="482" spans="1:168" s="1034" customFormat="1" x14ac:dyDescent="0.25">
      <c r="A482" s="133">
        <v>134</v>
      </c>
      <c r="B482" s="771" t="str">
        <f>EM14</f>
        <v>Конфеты шоколадные ("Российские" (плитка)</v>
      </c>
      <c r="C482" s="710" t="e">
        <f>#REF!+#REF!+#REF!+#REF!+#REF!+#REF!+#REF!+#REF!+#REF!+#REF!</f>
        <v>#REF!</v>
      </c>
      <c r="D482" s="779">
        <f>цены!$F$146</f>
        <v>1000</v>
      </c>
      <c r="E482" s="802" t="e">
        <f t="shared" si="464"/>
        <v>#REF!</v>
      </c>
      <c r="F482" s="710" t="e">
        <f>#REF!+#REF!+#REF!+#REF!+#REF!+#REF!+#REF!+#REF!+#REF!+#REF!</f>
        <v>#REF!</v>
      </c>
      <c r="G482" s="710" t="e">
        <f>#REF!+#REF!+#REF!+#REF!+#REF!+#REF!+#REF!+#REF!+#REF!+#REF!</f>
        <v>#REF!</v>
      </c>
      <c r="H482" s="1256"/>
      <c r="I482" s="659"/>
      <c r="EZ482" s="675"/>
      <c r="FA482" s="1049"/>
      <c r="FB482" s="1049"/>
      <c r="FC482" s="1049"/>
      <c r="FD482" s="1049"/>
      <c r="FE482" s="1049"/>
      <c r="FF482" s="1049"/>
      <c r="FG482" s="1049"/>
      <c r="FH482" s="1049"/>
      <c r="FI482" s="1049"/>
      <c r="FJ482" s="1049"/>
      <c r="FK482" s="1049"/>
      <c r="FL482" s="1049"/>
    </row>
    <row r="483" spans="1:168" s="1034" customFormat="1" x14ac:dyDescent="0.25">
      <c r="A483" s="133">
        <v>135</v>
      </c>
      <c r="B483" s="771" t="str">
        <f>EN14</f>
        <v>Конфеты сливочные ( Лёвушка)</v>
      </c>
      <c r="C483" s="710" t="e">
        <f>#REF!+#REF!+#REF!+#REF!+#REF!+#REF!+#REF!+#REF!+#REF!+#REF!</f>
        <v>#REF!</v>
      </c>
      <c r="D483" s="779">
        <f>цены!$F$147</f>
        <v>340</v>
      </c>
      <c r="E483" s="802" t="e">
        <f t="shared" si="464"/>
        <v>#REF!</v>
      </c>
      <c r="F483" s="710" t="e">
        <f>#REF!+#REF!+#REF!+#REF!+#REF!+#REF!+#REF!+#REF!+#REF!+#REF!</f>
        <v>#REF!</v>
      </c>
      <c r="G483" s="710" t="e">
        <f>#REF!+#REF!+#REF!+#REF!+#REF!+#REF!+#REF!+#REF!+#REF!+#REF!</f>
        <v>#REF!</v>
      </c>
      <c r="H483" s="1256"/>
      <c r="I483" s="659"/>
      <c r="EZ483" s="675"/>
      <c r="FA483" s="1049"/>
      <c r="FB483" s="1049"/>
      <c r="FC483" s="1049"/>
      <c r="FD483" s="1049"/>
      <c r="FE483" s="1049"/>
      <c r="FF483" s="1049"/>
      <c r="FG483" s="1049"/>
      <c r="FH483" s="1049"/>
      <c r="FI483" s="1049"/>
      <c r="FJ483" s="1049"/>
      <c r="FK483" s="1049"/>
      <c r="FL483" s="1049"/>
    </row>
    <row r="484" spans="1:168" s="1034" customFormat="1" x14ac:dyDescent="0.25">
      <c r="A484" s="133">
        <v>136</v>
      </c>
      <c r="B484" s="771" t="str">
        <f>EO14</f>
        <v>Конфеты, глазированные шоколадом (Степ, Марс)</v>
      </c>
      <c r="C484" s="710" t="e">
        <f>#REF!+#REF!+#REF!+#REF!+#REF!+#REF!+#REF!+#REF!+#REF!+#REF!</f>
        <v>#REF!</v>
      </c>
      <c r="D484" s="779">
        <f>цены!$F$148</f>
        <v>630</v>
      </c>
      <c r="E484" s="802" t="e">
        <f t="shared" si="464"/>
        <v>#REF!</v>
      </c>
      <c r="F484" s="710" t="e">
        <f>#REF!+#REF!+#REF!+#REF!+#REF!+#REF!+#REF!+#REF!+#REF!+#REF!</f>
        <v>#REF!</v>
      </c>
      <c r="G484" s="710" t="e">
        <f>#REF!+#REF!+#REF!+#REF!+#REF!+#REF!+#REF!+#REF!+#REF!+#REF!</f>
        <v>#REF!</v>
      </c>
      <c r="H484" s="1256"/>
      <c r="I484" s="659"/>
      <c r="EZ484" s="675"/>
      <c r="FA484" s="1049"/>
      <c r="FB484" s="1049"/>
      <c r="FC484" s="1049"/>
      <c r="FD484" s="1049"/>
      <c r="FE484" s="1049"/>
      <c r="FF484" s="1049"/>
      <c r="FG484" s="1049"/>
      <c r="FH484" s="1049"/>
      <c r="FI484" s="1049"/>
      <c r="FJ484" s="1049"/>
      <c r="FK484" s="1049"/>
      <c r="FL484" s="1049"/>
    </row>
    <row r="485" spans="1:168" s="1034" customFormat="1" x14ac:dyDescent="0.25">
      <c r="A485" s="133">
        <v>137</v>
      </c>
      <c r="B485" s="771" t="str">
        <f>EP14</f>
        <v>Конфеты "Тортимилка" 1 шт. 17,5 гр</v>
      </c>
      <c r="C485" s="710" t="e">
        <f>#REF!+#REF!+#REF!+#REF!+#REF!+#REF!+#REF!+#REF!+#REF!+#REF!</f>
        <v>#REF!</v>
      </c>
      <c r="D485" s="779">
        <f>цены!$F$149</f>
        <v>430</v>
      </c>
      <c r="E485" s="802" t="e">
        <f t="shared" si="464"/>
        <v>#REF!</v>
      </c>
      <c r="F485" s="710" t="e">
        <f>#REF!+#REF!+#REF!+#REF!+#REF!+#REF!+#REF!+#REF!+#REF!+#REF!</f>
        <v>#REF!</v>
      </c>
      <c r="G485" s="710" t="e">
        <f>#REF!+#REF!+#REF!+#REF!+#REF!+#REF!+#REF!+#REF!+#REF!+#REF!</f>
        <v>#REF!</v>
      </c>
      <c r="H485" s="1256"/>
      <c r="I485" s="659"/>
      <c r="EZ485" s="675"/>
      <c r="FA485" s="1049"/>
      <c r="FB485" s="1049"/>
      <c r="FC485" s="1049"/>
      <c r="FD485" s="1049"/>
      <c r="FE485" s="1049"/>
      <c r="FF485" s="1049"/>
      <c r="FG485" s="1049"/>
      <c r="FH485" s="1049"/>
      <c r="FI485" s="1049"/>
      <c r="FJ485" s="1049"/>
      <c r="FK485" s="1049"/>
      <c r="FL485" s="1049"/>
    </row>
    <row r="486" spans="1:168" s="1034" customFormat="1" x14ac:dyDescent="0.25">
      <c r="A486" s="133">
        <v>138</v>
      </c>
      <c r="B486" s="771" t="str">
        <f>EQ14</f>
        <v>Конфеты желейные (мармелад)</v>
      </c>
      <c r="C486" s="710" t="e">
        <f>#REF!+#REF!+#REF!+#REF!+#REF!+#REF!+#REF!+#REF!+#REF!+#REF!</f>
        <v>#REF!</v>
      </c>
      <c r="D486" s="779">
        <f>цены!$F$150</f>
        <v>275</v>
      </c>
      <c r="E486" s="802" t="e">
        <f t="shared" si="464"/>
        <v>#REF!</v>
      </c>
      <c r="F486" s="710" t="e">
        <f>#REF!+#REF!+#REF!+#REF!+#REF!+#REF!+#REF!+#REF!+#REF!+#REF!</f>
        <v>#REF!</v>
      </c>
      <c r="G486" s="710" t="e">
        <f>#REF!+#REF!+#REF!+#REF!+#REF!+#REF!+#REF!+#REF!+#REF!+#REF!</f>
        <v>#REF!</v>
      </c>
      <c r="H486" s="1256"/>
      <c r="I486" s="659"/>
      <c r="EZ486" s="675"/>
      <c r="FA486" s="1049"/>
      <c r="FB486" s="1049"/>
      <c r="FC486" s="1049"/>
      <c r="FD486" s="1049"/>
      <c r="FE486" s="1049"/>
      <c r="FF486" s="1049"/>
      <c r="FG486" s="1049"/>
      <c r="FH486" s="1049"/>
      <c r="FI486" s="1049"/>
      <c r="FJ486" s="1049"/>
      <c r="FK486" s="1049"/>
      <c r="FL486" s="1049"/>
    </row>
    <row r="487" spans="1:168" s="1034" customFormat="1" x14ac:dyDescent="0.25">
      <c r="A487" s="133">
        <v>139</v>
      </c>
      <c r="B487" s="771" t="str">
        <f>ER14</f>
        <v>Конфеты Батончики</v>
      </c>
      <c r="C487" s="710" t="e">
        <f>#REF!+#REF!+#REF!+#REF!+#REF!+#REF!+#REF!+#REF!+#REF!+#REF!</f>
        <v>#REF!</v>
      </c>
      <c r="D487" s="779">
        <f>цены!$F$151</f>
        <v>350</v>
      </c>
      <c r="E487" s="802" t="e">
        <f t="shared" si="464"/>
        <v>#REF!</v>
      </c>
      <c r="F487" s="710" t="e">
        <f>#REF!+#REF!+#REF!+#REF!+#REF!+#REF!+#REF!+#REF!+#REF!+#REF!</f>
        <v>#REF!</v>
      </c>
      <c r="G487" s="710" t="e">
        <f>#REF!+#REF!+#REF!+#REF!+#REF!+#REF!+#REF!+#REF!+#REF!+#REF!</f>
        <v>#REF!</v>
      </c>
      <c r="H487" s="1256"/>
      <c r="I487" s="659"/>
      <c r="EZ487" s="675"/>
      <c r="FA487" s="1049"/>
      <c r="FB487" s="1049"/>
      <c r="FC487" s="1049"/>
      <c r="FD487" s="1049"/>
      <c r="FE487" s="1049"/>
      <c r="FF487" s="1049"/>
      <c r="FG487" s="1049"/>
      <c r="FH487" s="1049"/>
      <c r="FI487" s="1049"/>
      <c r="FJ487" s="1049"/>
      <c r="FK487" s="1049"/>
      <c r="FL487" s="1049"/>
    </row>
    <row r="488" spans="1:168" s="1034" customFormat="1" x14ac:dyDescent="0.25">
      <c r="A488" s="133">
        <v>140</v>
      </c>
      <c r="B488" s="771" t="str">
        <f>ES14</f>
        <v>Конфеты ирис (Золотой ключик)</v>
      </c>
      <c r="C488" s="710" t="e">
        <f>#REF!+#REF!+#REF!+#REF!+#REF!+#REF!+#REF!+#REF!+#REF!+#REF!</f>
        <v>#REF!</v>
      </c>
      <c r="D488" s="779">
        <f>цены!$F$152</f>
        <v>275</v>
      </c>
      <c r="E488" s="802" t="e">
        <f t="shared" si="464"/>
        <v>#REF!</v>
      </c>
      <c r="F488" s="710" t="e">
        <f>#REF!+#REF!+#REF!+#REF!+#REF!+#REF!+#REF!+#REF!+#REF!+#REF!</f>
        <v>#REF!</v>
      </c>
      <c r="G488" s="710" t="e">
        <f>#REF!+#REF!+#REF!+#REF!+#REF!+#REF!+#REF!+#REF!+#REF!+#REF!</f>
        <v>#REF!</v>
      </c>
      <c r="H488" s="1256"/>
      <c r="I488" s="659"/>
      <c r="EZ488" s="675"/>
      <c r="FA488" s="1049"/>
      <c r="FB488" s="1049"/>
      <c r="FC488" s="1049"/>
      <c r="FD488" s="1049"/>
      <c r="FE488" s="1049"/>
      <c r="FF488" s="1049"/>
      <c r="FG488" s="1049"/>
      <c r="FH488" s="1049"/>
      <c r="FI488" s="1049"/>
      <c r="FJ488" s="1049"/>
      <c r="FK488" s="1049"/>
      <c r="FL488" s="1049"/>
    </row>
    <row r="489" spans="1:168" s="1034" customFormat="1" x14ac:dyDescent="0.25">
      <c r="A489" s="133">
        <v>141</v>
      </c>
      <c r="B489" s="772">
        <f>ET14</f>
        <v>0</v>
      </c>
      <c r="C489" s="710" t="e">
        <f>#REF!+#REF!+#REF!+#REF!+#REF!+#REF!+#REF!+#REF!+#REF!+#REF!</f>
        <v>#REF!</v>
      </c>
      <c r="D489" s="779">
        <f>цены!$F$153</f>
        <v>0</v>
      </c>
      <c r="E489" s="802" t="e">
        <f t="shared" si="464"/>
        <v>#REF!</v>
      </c>
      <c r="F489" s="710" t="e">
        <f>#REF!+#REF!+#REF!+#REF!+#REF!+#REF!+#REF!+#REF!+#REF!+#REF!</f>
        <v>#REF!</v>
      </c>
      <c r="G489" s="710" t="e">
        <f>#REF!+#REF!+#REF!+#REF!+#REF!+#REF!+#REF!+#REF!+#REF!+#REF!</f>
        <v>#REF!</v>
      </c>
      <c r="H489" s="1256"/>
      <c r="I489" s="659"/>
      <c r="EZ489" s="675"/>
      <c r="FA489" s="1049"/>
      <c r="FB489" s="1049"/>
      <c r="FC489" s="1049"/>
      <c r="FD489" s="1049"/>
      <c r="FE489" s="1049"/>
      <c r="FF489" s="1049"/>
      <c r="FG489" s="1049"/>
      <c r="FH489" s="1049"/>
      <c r="FI489" s="1049"/>
      <c r="FJ489" s="1049"/>
      <c r="FK489" s="1049"/>
      <c r="FL489" s="1049"/>
    </row>
    <row r="490" spans="1:168" s="1034" customFormat="1" x14ac:dyDescent="0.25">
      <c r="A490" s="133">
        <v>142</v>
      </c>
      <c r="B490" s="772">
        <f>EU14</f>
        <v>0</v>
      </c>
      <c r="C490" s="710" t="e">
        <f>#REF!+#REF!+#REF!+#REF!+#REF!+#REF!+#REF!+#REF!+#REF!+#REF!</f>
        <v>#REF!</v>
      </c>
      <c r="D490" s="779">
        <f>цены!$F$154</f>
        <v>0</v>
      </c>
      <c r="E490" s="802" t="e">
        <f t="shared" si="464"/>
        <v>#REF!</v>
      </c>
      <c r="F490" s="710" t="e">
        <f>#REF!+#REF!+#REF!+#REF!+#REF!+#REF!+#REF!+#REF!+#REF!+#REF!</f>
        <v>#REF!</v>
      </c>
      <c r="G490" s="710" t="e">
        <f>#REF!+#REF!+#REF!+#REF!+#REF!+#REF!+#REF!+#REF!+#REF!+#REF!</f>
        <v>#REF!</v>
      </c>
      <c r="H490" s="1256"/>
      <c r="I490" s="659"/>
      <c r="EZ490" s="675"/>
      <c r="FA490" s="1049"/>
      <c r="FB490" s="1049"/>
      <c r="FC490" s="1049"/>
      <c r="FD490" s="1049"/>
      <c r="FE490" s="1049"/>
      <c r="FF490" s="1049"/>
      <c r="FG490" s="1049"/>
      <c r="FH490" s="1049"/>
      <c r="FI490" s="1049"/>
      <c r="FJ490" s="1049"/>
      <c r="FK490" s="1049"/>
      <c r="FL490" s="1049"/>
    </row>
    <row r="491" spans="1:168" s="1034" customFormat="1" ht="26.4" x14ac:dyDescent="0.25">
      <c r="A491" s="146"/>
      <c r="B491" s="258" t="s">
        <v>312</v>
      </c>
      <c r="C491" s="774" t="e">
        <f>SUM(C410:C490)</f>
        <v>#REF!</v>
      </c>
      <c r="D491" s="780">
        <f>SUM(D410:D490)</f>
        <v>27698.79</v>
      </c>
      <c r="E491" s="1282"/>
      <c r="F491" s="1275" t="e">
        <f>SUM(F410:F490)</f>
        <v>#REF!</v>
      </c>
      <c r="G491" s="663" t="e">
        <f t="shared" ref="G491:H491" si="465">SUM(G410:G490)</f>
        <v>#REF!</v>
      </c>
      <c r="H491" s="1261">
        <f t="shared" si="465"/>
        <v>0</v>
      </c>
      <c r="I491" s="663"/>
      <c r="EZ491" s="663">
        <f t="shared" ref="EZ491" si="466">SUM(EZ410:EZ490)</f>
        <v>0</v>
      </c>
      <c r="FA491" s="1049"/>
      <c r="FB491" s="1049"/>
      <c r="FC491" s="1049"/>
      <c r="FD491" s="1049"/>
      <c r="FE491" s="1049"/>
      <c r="FF491" s="1049"/>
      <c r="FG491" s="1049"/>
      <c r="FH491" s="1049"/>
      <c r="FI491" s="1049"/>
      <c r="FJ491" s="1049"/>
      <c r="FK491" s="1049"/>
      <c r="FL491" s="1049"/>
    </row>
    <row r="492" spans="1:168" s="1034" customFormat="1" x14ac:dyDescent="0.25">
      <c r="A492" s="150"/>
      <c r="B492" s="622" t="s">
        <v>304</v>
      </c>
      <c r="C492" s="777"/>
      <c r="D492" s="783"/>
      <c r="E492" s="1152"/>
      <c r="F492" s="664"/>
      <c r="G492" s="659"/>
      <c r="H492" s="1256"/>
      <c r="I492" s="659"/>
      <c r="EZ492" s="675"/>
      <c r="FA492" s="1049"/>
      <c r="FB492" s="1049"/>
      <c r="FC492" s="1049"/>
      <c r="FD492" s="1049"/>
      <c r="FE492" s="1049"/>
      <c r="FF492" s="1049"/>
      <c r="FG492" s="1049"/>
      <c r="FH492" s="1049"/>
      <c r="FI492" s="1049"/>
      <c r="FJ492" s="1049"/>
      <c r="FK492" s="1049"/>
      <c r="FL492" s="1049"/>
    </row>
    <row r="493" spans="1:168" s="1034" customFormat="1" x14ac:dyDescent="0.25">
      <c r="A493" s="133">
        <v>143</v>
      </c>
      <c r="B493" s="773" t="str">
        <f>EV14</f>
        <v>Хлеб пшеничный нарезной</v>
      </c>
      <c r="C493" s="710" t="e">
        <f>#REF!+#REF!+#REF!+#REF!+#REF!+#REF!+#REF!+#REF!+#REF!+#REF!</f>
        <v>#REF!</v>
      </c>
      <c r="D493" s="779">
        <f>цены!$F$157</f>
        <v>65</v>
      </c>
      <c r="E493" s="802" t="e">
        <f t="shared" ref="E493:E495" si="467">E$343</f>
        <v>#REF!</v>
      </c>
      <c r="F493" s="710" t="e">
        <f>#REF!+#REF!+#REF!+#REF!+#REF!+#REF!+#REF!+#REF!+#REF!+#REF!</f>
        <v>#REF!</v>
      </c>
      <c r="G493" s="710" t="e">
        <f>#REF!+#REF!+#REF!+#REF!+#REF!+#REF!+#REF!+#REF!+#REF!+#REF!</f>
        <v>#REF!</v>
      </c>
      <c r="H493" s="1256"/>
      <c r="I493" s="659"/>
      <c r="EZ493" s="675"/>
      <c r="FA493" s="1049"/>
      <c r="FB493" s="1049"/>
      <c r="FC493" s="1049"/>
      <c r="FD493" s="1049"/>
      <c r="FE493" s="1049"/>
      <c r="FF493" s="1049"/>
      <c r="FG493" s="1049"/>
      <c r="FH493" s="1049"/>
      <c r="FI493" s="1049"/>
      <c r="FJ493" s="1049"/>
      <c r="FK493" s="1049"/>
      <c r="FL493" s="1049"/>
    </row>
    <row r="494" spans="1:168" s="1034" customFormat="1" x14ac:dyDescent="0.25">
      <c r="A494" s="133">
        <v>144</v>
      </c>
      <c r="B494" s="773" t="str">
        <f>EW14</f>
        <v>Хлеб пшенично-ржаной нарезной</v>
      </c>
      <c r="C494" s="710" t="e">
        <f>#REF!+#REF!+#REF!+#REF!+#REF!+#REF!+#REF!+#REF!+#REF!+#REF!</f>
        <v>#REF!</v>
      </c>
      <c r="D494" s="779">
        <f>цены!$F$158</f>
        <v>65</v>
      </c>
      <c r="E494" s="802" t="e">
        <f t="shared" si="467"/>
        <v>#REF!</v>
      </c>
      <c r="F494" s="710" t="e">
        <f>#REF!+#REF!+#REF!+#REF!+#REF!+#REF!+#REF!+#REF!+#REF!+#REF!</f>
        <v>#REF!</v>
      </c>
      <c r="G494" s="710" t="e">
        <f>#REF!+#REF!+#REF!+#REF!+#REF!+#REF!+#REF!+#REF!+#REF!+#REF!</f>
        <v>#REF!</v>
      </c>
      <c r="H494" s="1256"/>
      <c r="I494" s="659"/>
      <c r="EZ494" s="675"/>
      <c r="FA494" s="1049"/>
      <c r="FB494" s="1049"/>
      <c r="FC494" s="1049"/>
      <c r="FD494" s="1049"/>
      <c r="FE494" s="1049"/>
      <c r="FF494" s="1049"/>
      <c r="FG494" s="1049"/>
      <c r="FH494" s="1049"/>
      <c r="FI494" s="1049"/>
      <c r="FJ494" s="1049"/>
      <c r="FK494" s="1049"/>
      <c r="FL494" s="1049"/>
    </row>
    <row r="495" spans="1:168" s="1034" customFormat="1" x14ac:dyDescent="0.25">
      <c r="A495" s="133">
        <v>145</v>
      </c>
      <c r="B495" s="773" t="str">
        <f>EX14</f>
        <v>Батон белого хлеба</v>
      </c>
      <c r="C495" s="710" t="e">
        <f>#REF!+#REF!+#REF!+#REF!+#REF!+#REF!+#REF!+#REF!+#REF!+#REF!</f>
        <v>#REF!</v>
      </c>
      <c r="D495" s="779">
        <f>цены!$F$159</f>
        <v>69</v>
      </c>
      <c r="E495" s="802" t="e">
        <f t="shared" si="467"/>
        <v>#REF!</v>
      </c>
      <c r="F495" s="710" t="e">
        <f>#REF!+#REF!+#REF!+#REF!+#REF!+#REF!+#REF!+#REF!+#REF!+#REF!</f>
        <v>#REF!</v>
      </c>
      <c r="G495" s="710" t="e">
        <f>#REF!+#REF!+#REF!+#REF!+#REF!+#REF!+#REF!+#REF!+#REF!+#REF!</f>
        <v>#REF!</v>
      </c>
      <c r="H495" s="1256"/>
      <c r="I495" s="659"/>
      <c r="EZ495" s="675"/>
      <c r="FA495" s="1049"/>
      <c r="FB495" s="1049"/>
      <c r="FC495" s="1049"/>
      <c r="FD495" s="1049"/>
      <c r="FE495" s="1049"/>
      <c r="FF495" s="1049"/>
      <c r="FG495" s="1049"/>
      <c r="FH495" s="1049"/>
      <c r="FI495" s="1049"/>
      <c r="FJ495" s="1049"/>
      <c r="FK495" s="1049"/>
      <c r="FL495" s="1049"/>
    </row>
    <row r="496" spans="1:168" s="1034" customFormat="1" x14ac:dyDescent="0.25">
      <c r="A496" s="146"/>
      <c r="B496" s="259" t="s">
        <v>313</v>
      </c>
      <c r="C496" s="774" t="e">
        <f>SUM(C493:C495)</f>
        <v>#REF!</v>
      </c>
      <c r="D496" s="780">
        <f>SUM(D493:D495)</f>
        <v>199</v>
      </c>
      <c r="E496" s="1192"/>
      <c r="F496" s="801" t="e">
        <f>SUM(F493:F495)</f>
        <v>#REF!</v>
      </c>
      <c r="G496" s="660" t="e">
        <f>SUM(G493:G495)</f>
        <v>#REF!</v>
      </c>
      <c r="H496" s="1262">
        <f>SUM(H493:H495)</f>
        <v>0</v>
      </c>
      <c r="I496" s="660"/>
      <c r="EZ496" s="660"/>
      <c r="FA496" s="1049"/>
      <c r="FB496" s="1049"/>
      <c r="FC496" s="1049"/>
      <c r="FD496" s="1049"/>
      <c r="FE496" s="1049"/>
      <c r="FF496" s="1049"/>
      <c r="FG496" s="1049"/>
      <c r="FH496" s="1049"/>
      <c r="FI496" s="1049"/>
      <c r="FJ496" s="1049"/>
      <c r="FK496" s="1049"/>
      <c r="FL496" s="1049"/>
    </row>
    <row r="497" spans="1:168" s="1034" customFormat="1" x14ac:dyDescent="0.25">
      <c r="A497" s="1153"/>
      <c r="B497" s="1154" t="s">
        <v>1169</v>
      </c>
      <c r="C497" s="1155" t="e">
        <f>C354+C367+C408+C491+C496</f>
        <v>#REF!</v>
      </c>
      <c r="D497" s="1156">
        <f>D354+D367+D408+D491+D496</f>
        <v>40123.96</v>
      </c>
      <c r="E497" s="1273"/>
      <c r="F497" s="1274" t="e">
        <f>F354+F367+F408+F491+F496</f>
        <v>#REF!</v>
      </c>
      <c r="G497" s="1157" t="e">
        <f>G354+G367+G408+G491+G496</f>
        <v>#REF!</v>
      </c>
      <c r="H497" s="1263">
        <f>H354+H367+H408+H491+H496</f>
        <v>0</v>
      </c>
      <c r="I497" s="1157"/>
      <c r="EZ497" s="1157"/>
      <c r="FA497" s="1049"/>
      <c r="FB497" s="1049"/>
      <c r="FC497" s="1049"/>
      <c r="FD497" s="1049"/>
      <c r="FE497" s="1049"/>
      <c r="FF497" s="1049"/>
      <c r="FG497" s="1049"/>
      <c r="FH497" s="1049"/>
      <c r="FI497" s="1049"/>
      <c r="FJ497" s="1049"/>
      <c r="FK497" s="1049"/>
      <c r="FL497" s="1049"/>
    </row>
    <row r="498" spans="1:168" s="1096" customFormat="1" x14ac:dyDescent="0.25">
      <c r="A498" s="1111"/>
      <c r="B498" s="1112"/>
      <c r="C498" s="1113"/>
      <c r="D498" s="1114"/>
      <c r="E498" s="1116"/>
      <c r="F498" s="1115"/>
      <c r="G498" s="1117"/>
      <c r="H498" s="1115"/>
      <c r="I498" s="1271"/>
      <c r="EZ498" s="1118"/>
      <c r="FA498" s="1049"/>
      <c r="FB498" s="1049"/>
      <c r="FC498" s="1049"/>
      <c r="FD498" s="1049"/>
      <c r="FE498" s="1049"/>
      <c r="FF498" s="1049"/>
      <c r="FG498" s="1049"/>
      <c r="FH498" s="1049"/>
      <c r="FI498" s="1049"/>
      <c r="FJ498" s="1049"/>
      <c r="FK498" s="1049"/>
      <c r="FL498" s="1049"/>
    </row>
    <row r="499" spans="1:168" s="1034" customFormat="1" ht="17.399999999999999" x14ac:dyDescent="0.25">
      <c r="A499" s="262"/>
      <c r="B499" s="1222" t="s">
        <v>1300</v>
      </c>
      <c r="C499" s="637"/>
      <c r="D499" s="637"/>
      <c r="E499" s="652"/>
      <c r="F499" s="652"/>
      <c r="G499" s="1472" t="s">
        <v>317</v>
      </c>
      <c r="H499" s="1473"/>
      <c r="I499" s="1474"/>
      <c r="FA499" s="1049"/>
      <c r="FB499" s="1049"/>
      <c r="FC499" s="1049"/>
      <c r="FD499" s="1049"/>
      <c r="FE499" s="1049"/>
      <c r="FF499" s="1049"/>
      <c r="FG499" s="1049"/>
      <c r="FH499" s="1049"/>
      <c r="FI499" s="1049"/>
      <c r="FJ499" s="1049"/>
      <c r="FK499" s="1049"/>
      <c r="FL499" s="1049"/>
    </row>
    <row r="500" spans="1:168" s="1034" customFormat="1" ht="66" x14ac:dyDescent="0.25">
      <c r="A500" s="261"/>
      <c r="B500" s="261" t="s">
        <v>232</v>
      </c>
      <c r="C500" s="638" t="s">
        <v>233</v>
      </c>
      <c r="D500" s="638" t="s">
        <v>108</v>
      </c>
      <c r="E500" s="691" t="s">
        <v>228</v>
      </c>
      <c r="F500" s="654" t="s">
        <v>1232</v>
      </c>
      <c r="G500" s="655" t="s">
        <v>221</v>
      </c>
      <c r="H500" s="656" t="s">
        <v>316</v>
      </c>
      <c r="I500" s="1248" t="s">
        <v>315</v>
      </c>
      <c r="EZ500" s="673" t="s">
        <v>315</v>
      </c>
      <c r="FA500" s="1049"/>
      <c r="FB500" s="1049"/>
      <c r="FC500" s="1049"/>
      <c r="FD500" s="1049"/>
      <c r="FE500" s="1049"/>
      <c r="FF500" s="1049"/>
      <c r="FG500" s="1049"/>
      <c r="FH500" s="1049"/>
      <c r="FI500" s="1049"/>
      <c r="FJ500" s="1049"/>
      <c r="FK500" s="1049"/>
      <c r="FL500" s="1049"/>
    </row>
    <row r="501" spans="1:168" s="1034" customFormat="1" x14ac:dyDescent="0.25">
      <c r="A501" s="145"/>
      <c r="B501" s="427" t="s">
        <v>310</v>
      </c>
      <c r="C501" s="750"/>
      <c r="D501" s="750"/>
      <c r="E501" s="657"/>
      <c r="F501" s="658"/>
      <c r="G501" s="658"/>
      <c r="H501" s="1264"/>
      <c r="I501" s="658"/>
      <c r="EZ501" s="674"/>
      <c r="FA501" s="1049"/>
      <c r="FB501" s="1049"/>
      <c r="FC501" s="1049"/>
      <c r="FD501" s="1049"/>
      <c r="FE501" s="1049"/>
      <c r="FF501" s="1049"/>
      <c r="FG501" s="1049"/>
      <c r="FH501" s="1049"/>
      <c r="FI501" s="1049"/>
      <c r="FJ501" s="1049"/>
      <c r="FK501" s="1049"/>
      <c r="FL501" s="1049"/>
    </row>
    <row r="502" spans="1:168" s="1034" customFormat="1" x14ac:dyDescent="0.25">
      <c r="A502" s="133">
        <v>1</v>
      </c>
      <c r="B502" s="770" t="str">
        <f>J14</f>
        <v>Говядина (бескостное мясо)</v>
      </c>
      <c r="C502" s="710" t="e">
        <f>#REF!+#REF!+#REF!+#REF!+#REF!+#REF!+#REF!+#REF!+#REF!+#REF!</f>
        <v>#REF!</v>
      </c>
      <c r="D502" s="779">
        <f>цены!$F$7</f>
        <v>560</v>
      </c>
      <c r="E502" s="812" t="e">
        <f>#REF!+#REF!+#REF!+#REF!+#REF!+#REF!+#REF!+#REF!+#REF!+#REF!</f>
        <v>#REF!</v>
      </c>
      <c r="F502" s="710" t="e">
        <f>#REF!+#REF!+#REF!+#REF!+#REF!+#REF!+#REF!+#REF!+#REF!+#REF!</f>
        <v>#REF!</v>
      </c>
      <c r="G502" s="119" t="e">
        <f>#REF!+#REF!+#REF!+#REF!+#REF!+#REF!+#REF!+#REF!+#REF!+#REF!</f>
        <v>#REF!</v>
      </c>
      <c r="H502" s="1256"/>
      <c r="I502" s="659"/>
      <c r="EZ502" s="673"/>
      <c r="FA502" s="1049"/>
      <c r="FB502" s="1049"/>
      <c r="FC502" s="1049"/>
      <c r="FD502" s="1049"/>
      <c r="FE502" s="1049"/>
      <c r="FF502" s="1049"/>
      <c r="FG502" s="1049"/>
      <c r="FH502" s="1049"/>
      <c r="FI502" s="1049"/>
      <c r="FJ502" s="1049"/>
      <c r="FK502" s="1049"/>
      <c r="FL502" s="1049"/>
    </row>
    <row r="503" spans="1:168" s="1034" customFormat="1" x14ac:dyDescent="0.25">
      <c r="A503" s="133">
        <v>2</v>
      </c>
      <c r="B503" s="770" t="str">
        <f>K14</f>
        <v>Мясо птицы  (окорочка, бедра) охлажденные</v>
      </c>
      <c r="C503" s="710" t="e">
        <f>#REF!+#REF!+#REF!+#REF!+#REF!+#REF!+#REF!+#REF!+#REF!+#REF!</f>
        <v>#REF!</v>
      </c>
      <c r="D503" s="779">
        <f>цены!$F$8</f>
        <v>193</v>
      </c>
      <c r="E503" s="812" t="e">
        <f>E$502</f>
        <v>#REF!</v>
      </c>
      <c r="F503" s="710" t="e">
        <f>#REF!+#REF!+#REF!+#REF!+#REF!+#REF!+#REF!+#REF!+#REF!+#REF!</f>
        <v>#REF!</v>
      </c>
      <c r="G503" s="119" t="e">
        <f>#REF!+#REF!+#REF!+#REF!+#REF!+#REF!+#REF!+#REF!+#REF!+#REF!</f>
        <v>#REF!</v>
      </c>
      <c r="H503" s="1256"/>
      <c r="I503" s="659"/>
      <c r="EZ503" s="675"/>
      <c r="FA503" s="1049"/>
      <c r="FB503" s="1049"/>
      <c r="FC503" s="1049"/>
      <c r="FD503" s="1049"/>
      <c r="FE503" s="1049"/>
      <c r="FF503" s="1049"/>
      <c r="FG503" s="1049"/>
      <c r="FH503" s="1049"/>
      <c r="FI503" s="1049"/>
      <c r="FJ503" s="1049"/>
      <c r="FK503" s="1049"/>
      <c r="FL503" s="1049"/>
    </row>
    <row r="504" spans="1:168" s="1034" customFormat="1" x14ac:dyDescent="0.25">
      <c r="A504" s="133">
        <v>3</v>
      </c>
      <c r="B504" s="770" t="str">
        <f>L14</f>
        <v>Мясо птицы  (тушка)</v>
      </c>
      <c r="C504" s="710" t="e">
        <f>#REF!+#REF!+#REF!+#REF!+#REF!+#REF!+#REF!+#REF!+#REF!+#REF!</f>
        <v>#REF!</v>
      </c>
      <c r="D504" s="779">
        <f>цены!$F$9</f>
        <v>195</v>
      </c>
      <c r="E504" s="812" t="e">
        <f t="shared" ref="E504:E512" si="468">E$502</f>
        <v>#REF!</v>
      </c>
      <c r="F504" s="710" t="e">
        <f>#REF!+#REF!+#REF!+#REF!+#REF!+#REF!+#REF!+#REF!+#REF!+#REF!</f>
        <v>#REF!</v>
      </c>
      <c r="G504" s="119" t="e">
        <f>#REF!+#REF!+#REF!+#REF!+#REF!+#REF!+#REF!+#REF!+#REF!+#REF!</f>
        <v>#REF!</v>
      </c>
      <c r="H504" s="1256"/>
      <c r="I504" s="659"/>
      <c r="EZ504" s="675"/>
      <c r="FA504" s="1049"/>
      <c r="FB504" s="1049"/>
      <c r="FC504" s="1049"/>
      <c r="FD504" s="1049"/>
      <c r="FE504" s="1049"/>
      <c r="FF504" s="1049"/>
      <c r="FG504" s="1049"/>
      <c r="FH504" s="1049"/>
      <c r="FI504" s="1049"/>
      <c r="FJ504" s="1049"/>
      <c r="FK504" s="1049"/>
      <c r="FL504" s="1049"/>
    </row>
    <row r="505" spans="1:168" s="1034" customFormat="1" x14ac:dyDescent="0.25">
      <c r="A505" s="133">
        <v>4</v>
      </c>
      <c r="B505" s="770" t="str">
        <f>M14</f>
        <v>Мясо птицы филе</v>
      </c>
      <c r="C505" s="710" t="e">
        <f>#REF!+#REF!+#REF!+#REF!+#REF!+#REF!+#REF!+#REF!+#REF!+#REF!</f>
        <v>#REF!</v>
      </c>
      <c r="D505" s="779">
        <f>цены!$F$10</f>
        <v>320</v>
      </c>
      <c r="E505" s="812" t="e">
        <f t="shared" si="468"/>
        <v>#REF!</v>
      </c>
      <c r="F505" s="710" t="e">
        <f>#REF!+#REF!+#REF!+#REF!+#REF!+#REF!+#REF!+#REF!+#REF!+#REF!</f>
        <v>#REF!</v>
      </c>
      <c r="G505" s="119" t="e">
        <f>#REF!+#REF!+#REF!+#REF!+#REF!+#REF!+#REF!+#REF!+#REF!+#REF!</f>
        <v>#REF!</v>
      </c>
      <c r="H505" s="1256"/>
      <c r="I505" s="659"/>
      <c r="EZ505" s="675"/>
      <c r="FA505" s="1049"/>
      <c r="FB505" s="1049"/>
      <c r="FC505" s="1049"/>
      <c r="FD505" s="1049"/>
      <c r="FE505" s="1049"/>
      <c r="FF505" s="1049"/>
      <c r="FG505" s="1049"/>
      <c r="FH505" s="1049"/>
      <c r="FI505" s="1049"/>
      <c r="FJ505" s="1049"/>
      <c r="FK505" s="1049"/>
      <c r="FL505" s="1049"/>
    </row>
    <row r="506" spans="1:168" s="1034" customFormat="1" x14ac:dyDescent="0.25">
      <c r="A506" s="133">
        <v>5</v>
      </c>
      <c r="B506" s="770" t="str">
        <f>N14</f>
        <v xml:space="preserve">Сосиски "Халяль" </v>
      </c>
      <c r="C506" s="710" t="e">
        <f>#REF!+#REF!+#REF!+#REF!+#REF!+#REF!+#REF!+#REF!+#REF!+#REF!</f>
        <v>#REF!</v>
      </c>
      <c r="D506" s="779">
        <f>цены!$F$11</f>
        <v>325</v>
      </c>
      <c r="E506" s="812" t="e">
        <f t="shared" si="468"/>
        <v>#REF!</v>
      </c>
      <c r="F506" s="710" t="e">
        <f>#REF!+#REF!+#REF!+#REF!+#REF!+#REF!+#REF!+#REF!+#REF!+#REF!</f>
        <v>#REF!</v>
      </c>
      <c r="G506" s="119" t="e">
        <f>#REF!+#REF!+#REF!+#REF!+#REF!+#REF!+#REF!+#REF!+#REF!+#REF!</f>
        <v>#REF!</v>
      </c>
      <c r="H506" s="1256"/>
      <c r="I506" s="659"/>
      <c r="EZ506" s="675"/>
      <c r="FA506" s="1049"/>
      <c r="FB506" s="1049"/>
      <c r="FC506" s="1049"/>
      <c r="FD506" s="1049"/>
      <c r="FE506" s="1049"/>
      <c r="FF506" s="1049"/>
      <c r="FG506" s="1049"/>
      <c r="FH506" s="1049"/>
      <c r="FI506" s="1049"/>
      <c r="FJ506" s="1049"/>
      <c r="FK506" s="1049"/>
      <c r="FL506" s="1049"/>
    </row>
    <row r="507" spans="1:168" s="1034" customFormat="1" x14ac:dyDescent="0.25">
      <c r="A507" s="133">
        <v>6</v>
      </c>
      <c r="B507" s="770" t="str">
        <f>O14</f>
        <v>Колбаса полукопченная</v>
      </c>
      <c r="C507" s="710" t="e">
        <f>#REF!+#REF!+#REF!+#REF!+#REF!+#REF!+#REF!+#REF!+#REF!+#REF!</f>
        <v>#REF!</v>
      </c>
      <c r="D507" s="779">
        <f>цены!$F$12</f>
        <v>400</v>
      </c>
      <c r="E507" s="812" t="e">
        <f t="shared" si="468"/>
        <v>#REF!</v>
      </c>
      <c r="F507" s="710" t="e">
        <f>#REF!+#REF!+#REF!+#REF!+#REF!+#REF!+#REF!+#REF!+#REF!+#REF!</f>
        <v>#REF!</v>
      </c>
      <c r="G507" s="119" t="e">
        <f>#REF!+#REF!+#REF!+#REF!+#REF!+#REF!+#REF!+#REF!+#REF!+#REF!</f>
        <v>#REF!</v>
      </c>
      <c r="H507" s="1256"/>
      <c r="I507" s="659"/>
      <c r="EZ507" s="675"/>
      <c r="FA507" s="1049"/>
      <c r="FB507" s="1049"/>
      <c r="FC507" s="1049"/>
      <c r="FD507" s="1049"/>
      <c r="FE507" s="1049"/>
      <c r="FF507" s="1049"/>
      <c r="FG507" s="1049"/>
      <c r="FH507" s="1049"/>
      <c r="FI507" s="1049"/>
      <c r="FJ507" s="1049"/>
      <c r="FK507" s="1049"/>
      <c r="FL507" s="1049"/>
    </row>
    <row r="508" spans="1:168" s="1034" customFormat="1" x14ac:dyDescent="0.25">
      <c r="A508" s="133">
        <v>7</v>
      </c>
      <c r="B508" s="770" t="str">
        <f>P14</f>
        <v>Жир сырой крупного рогатого скота</v>
      </c>
      <c r="C508" s="710" t="e">
        <f>#REF!+#REF!+#REF!+#REF!+#REF!+#REF!+#REF!+#REF!+#REF!+#REF!</f>
        <v>#REF!</v>
      </c>
      <c r="D508" s="779">
        <f>цены!$F$13</f>
        <v>100</v>
      </c>
      <c r="E508" s="812" t="e">
        <f t="shared" si="468"/>
        <v>#REF!</v>
      </c>
      <c r="F508" s="710" t="e">
        <f>#REF!+#REF!+#REF!+#REF!+#REF!+#REF!+#REF!+#REF!+#REF!+#REF!</f>
        <v>#REF!</v>
      </c>
      <c r="G508" s="119" t="e">
        <f>#REF!+#REF!+#REF!+#REF!+#REF!+#REF!+#REF!+#REF!+#REF!+#REF!</f>
        <v>#REF!</v>
      </c>
      <c r="H508" s="1256"/>
      <c r="I508" s="659"/>
      <c r="EZ508" s="675"/>
      <c r="FA508" s="1049"/>
      <c r="FB508" s="1049"/>
      <c r="FC508" s="1049"/>
      <c r="FD508" s="1049"/>
      <c r="FE508" s="1049"/>
      <c r="FF508" s="1049"/>
      <c r="FG508" s="1049"/>
      <c r="FH508" s="1049"/>
      <c r="FI508" s="1049"/>
      <c r="FJ508" s="1049"/>
      <c r="FK508" s="1049"/>
      <c r="FL508" s="1049"/>
    </row>
    <row r="509" spans="1:168" s="1034" customFormat="1" ht="26.4" x14ac:dyDescent="0.25">
      <c r="A509" s="133">
        <v>8</v>
      </c>
      <c r="B509" s="771" t="str">
        <f>Q14</f>
        <v>Минтай (рыба замороженная, обезглавленная, потрошеная)</v>
      </c>
      <c r="C509" s="710" t="e">
        <f>#REF!+#REF!+#REF!+#REF!+#REF!+#REF!+#REF!+#REF!+#REF!+#REF!</f>
        <v>#REF!</v>
      </c>
      <c r="D509" s="779">
        <f>цены!$F$14</f>
        <v>178</v>
      </c>
      <c r="E509" s="812" t="e">
        <f t="shared" si="468"/>
        <v>#REF!</v>
      </c>
      <c r="F509" s="710" t="e">
        <f>#REF!+#REF!+#REF!+#REF!+#REF!+#REF!+#REF!+#REF!+#REF!+#REF!</f>
        <v>#REF!</v>
      </c>
      <c r="G509" s="119" t="e">
        <f>#REF!+#REF!+#REF!+#REF!+#REF!+#REF!+#REF!+#REF!+#REF!+#REF!</f>
        <v>#REF!</v>
      </c>
      <c r="H509" s="1256"/>
      <c r="I509" s="659"/>
      <c r="EZ509" s="675"/>
      <c r="FA509" s="1049"/>
      <c r="FB509" s="1049"/>
      <c r="FC509" s="1049"/>
      <c r="FD509" s="1049"/>
      <c r="FE509" s="1049"/>
      <c r="FF509" s="1049"/>
      <c r="FG509" s="1049"/>
      <c r="FH509" s="1049"/>
      <c r="FI509" s="1049"/>
      <c r="FJ509" s="1049"/>
      <c r="FK509" s="1049"/>
      <c r="FL509" s="1049"/>
    </row>
    <row r="510" spans="1:168" s="1034" customFormat="1" x14ac:dyDescent="0.25">
      <c r="A510" s="133">
        <v>9</v>
      </c>
      <c r="B510" s="770" t="str">
        <f>R14</f>
        <v>Хек филе</v>
      </c>
      <c r="C510" s="710" t="e">
        <f>#REF!+#REF!+#REF!+#REF!+#REF!+#REF!+#REF!+#REF!+#REF!+#REF!</f>
        <v>#REF!</v>
      </c>
      <c r="D510" s="779">
        <f>цены!$F$15</f>
        <v>400</v>
      </c>
      <c r="E510" s="812" t="e">
        <f t="shared" si="468"/>
        <v>#REF!</v>
      </c>
      <c r="F510" s="710" t="e">
        <f>#REF!+#REF!+#REF!+#REF!+#REF!+#REF!+#REF!+#REF!+#REF!+#REF!</f>
        <v>#REF!</v>
      </c>
      <c r="G510" s="119" t="e">
        <f>#REF!+#REF!+#REF!+#REF!+#REF!+#REF!+#REF!+#REF!+#REF!+#REF!</f>
        <v>#REF!</v>
      </c>
      <c r="H510" s="1256"/>
      <c r="I510" s="659"/>
      <c r="EZ510" s="675"/>
      <c r="FA510" s="1049"/>
      <c r="FB510" s="1049"/>
      <c r="FC510" s="1049"/>
      <c r="FD510" s="1049"/>
      <c r="FE510" s="1049"/>
      <c r="FF510" s="1049"/>
      <c r="FG510" s="1049"/>
      <c r="FH510" s="1049"/>
      <c r="FI510" s="1049"/>
      <c r="FJ510" s="1049"/>
      <c r="FK510" s="1049"/>
      <c r="FL510" s="1049"/>
    </row>
    <row r="511" spans="1:168" s="1034" customFormat="1" x14ac:dyDescent="0.25">
      <c r="A511" s="133">
        <v>10</v>
      </c>
      <c r="B511" s="770" t="str">
        <f>S14</f>
        <v>Минтай филе</v>
      </c>
      <c r="C511" s="710" t="e">
        <f>#REF!+#REF!+#REF!+#REF!+#REF!+#REF!+#REF!+#REF!+#REF!+#REF!</f>
        <v>#REF!</v>
      </c>
      <c r="D511" s="779">
        <f>цены!$F$16</f>
        <v>332</v>
      </c>
      <c r="E511" s="812" t="e">
        <f t="shared" si="468"/>
        <v>#REF!</v>
      </c>
      <c r="F511" s="710" t="e">
        <f>#REF!+#REF!+#REF!+#REF!+#REF!+#REF!+#REF!+#REF!+#REF!+#REF!</f>
        <v>#REF!</v>
      </c>
      <c r="G511" s="119" t="e">
        <f>#REF!+#REF!+#REF!+#REF!+#REF!+#REF!+#REF!+#REF!+#REF!+#REF!</f>
        <v>#REF!</v>
      </c>
      <c r="H511" s="1256"/>
      <c r="I511" s="659"/>
      <c r="EZ511" s="675"/>
      <c r="FA511" s="1049"/>
      <c r="FB511" s="1049"/>
      <c r="FC511" s="1049"/>
      <c r="FD511" s="1049"/>
      <c r="FE511" s="1049"/>
      <c r="FF511" s="1049"/>
      <c r="FG511" s="1049"/>
      <c r="FH511" s="1049"/>
      <c r="FI511" s="1049"/>
      <c r="FJ511" s="1049"/>
      <c r="FK511" s="1049"/>
      <c r="FL511" s="1049"/>
    </row>
    <row r="512" spans="1:168" s="1034" customFormat="1" x14ac:dyDescent="0.25">
      <c r="A512" s="133">
        <v>11</v>
      </c>
      <c r="B512" s="770" t="str">
        <f>T14</f>
        <v>Сельдь слабосоленая</v>
      </c>
      <c r="C512" s="710" t="e">
        <f>#REF!+#REF!+#REF!+#REF!+#REF!+#REF!+#REF!+#REF!+#REF!+#REF!</f>
        <v>#REF!</v>
      </c>
      <c r="D512" s="779">
        <f>цены!$F$17</f>
        <v>180</v>
      </c>
      <c r="E512" s="812" t="e">
        <f t="shared" si="468"/>
        <v>#REF!</v>
      </c>
      <c r="F512" s="710" t="e">
        <f>#REF!+#REF!+#REF!+#REF!+#REF!+#REF!+#REF!+#REF!+#REF!+#REF!</f>
        <v>#REF!</v>
      </c>
      <c r="G512" s="119" t="e">
        <f>#REF!+#REF!+#REF!+#REF!+#REF!+#REF!+#REF!+#REF!+#REF!+#REF!</f>
        <v>#REF!</v>
      </c>
      <c r="H512" s="1256"/>
      <c r="I512" s="659"/>
      <c r="EZ512" s="675"/>
      <c r="FA512" s="1049"/>
      <c r="FB512" s="1049"/>
      <c r="FC512" s="1049"/>
      <c r="FD512" s="1049"/>
      <c r="FE512" s="1049"/>
      <c r="FF512" s="1049"/>
      <c r="FG512" s="1049"/>
      <c r="FH512" s="1049"/>
      <c r="FI512" s="1049"/>
      <c r="FJ512" s="1049"/>
      <c r="FK512" s="1049"/>
      <c r="FL512" s="1049"/>
    </row>
    <row r="513" spans="1:168" s="1034" customFormat="1" x14ac:dyDescent="0.25">
      <c r="A513" s="146"/>
      <c r="B513" s="257" t="s">
        <v>260</v>
      </c>
      <c r="C513" s="774" t="e">
        <f>SUM(C502:C512)</f>
        <v>#REF!</v>
      </c>
      <c r="D513" s="780">
        <f>SUM(D502:D512)</f>
        <v>3183</v>
      </c>
      <c r="E513" s="792"/>
      <c r="F513" s="661" t="e">
        <f>SUM(F502:F512)</f>
        <v>#REF!</v>
      </c>
      <c r="G513" s="661" t="e">
        <f t="shared" ref="G513:H513" si="469">SUM(G502:G512)</f>
        <v>#REF!</v>
      </c>
      <c r="H513" s="1257">
        <f t="shared" si="469"/>
        <v>0</v>
      </c>
      <c r="I513" s="661"/>
      <c r="EZ513" s="661">
        <f t="shared" ref="EZ513" si="470">SUM(EZ502:EZ512)</f>
        <v>0</v>
      </c>
      <c r="FA513" s="1049"/>
      <c r="FB513" s="1049"/>
      <c r="FC513" s="1049"/>
      <c r="FD513" s="1049"/>
      <c r="FE513" s="1049"/>
      <c r="FF513" s="1049"/>
      <c r="FG513" s="1049"/>
      <c r="FH513" s="1049"/>
      <c r="FI513" s="1049"/>
      <c r="FJ513" s="1049"/>
      <c r="FK513" s="1049"/>
      <c r="FL513" s="1049"/>
    </row>
    <row r="514" spans="1:168" s="1034" customFormat="1" x14ac:dyDescent="0.25">
      <c r="A514" s="148"/>
      <c r="B514" s="427" t="s">
        <v>314</v>
      </c>
      <c r="C514" s="775"/>
      <c r="D514" s="781"/>
      <c r="E514" s="793"/>
      <c r="F514" s="662"/>
      <c r="G514" s="662"/>
      <c r="H514" s="1265"/>
      <c r="I514" s="662"/>
      <c r="EZ514" s="676"/>
      <c r="FA514" s="1049"/>
      <c r="FB514" s="1049"/>
      <c r="FC514" s="1049"/>
      <c r="FD514" s="1049"/>
      <c r="FE514" s="1049"/>
      <c r="FF514" s="1049"/>
      <c r="FG514" s="1049"/>
      <c r="FH514" s="1049"/>
      <c r="FI514" s="1049"/>
      <c r="FJ514" s="1049"/>
      <c r="FK514" s="1049"/>
      <c r="FL514" s="1049"/>
    </row>
    <row r="515" spans="1:168" s="1034" customFormat="1" x14ac:dyDescent="0.25">
      <c r="A515" s="133">
        <v>12</v>
      </c>
      <c r="B515" s="541" t="str">
        <f>U14</f>
        <v>Молоко пастеризованное 2,5% жирн.</v>
      </c>
      <c r="C515" s="710" t="e">
        <f>#REF!+#REF!++#REF!++#REF!+#REF!+#REF!+#REF!+#REF!++#REF!+#REF!</f>
        <v>#REF!</v>
      </c>
      <c r="D515" s="779">
        <f>цены!$F$20</f>
        <v>80</v>
      </c>
      <c r="E515" s="812" t="e">
        <f t="shared" ref="E515:E525" si="471">E$502</f>
        <v>#REF!</v>
      </c>
      <c r="F515" s="710" t="e">
        <f>#REF!+#REF!+#REF!+#REF!+#REF!+#REF!+#REF!+#REF!+#REF!+#REF!</f>
        <v>#REF!</v>
      </c>
      <c r="G515" s="119" t="e">
        <f>#REF!+#REF!+#REF!+#REF!+#REF!+#REF!+#REF!+#REF!+#REF!+#REF!</f>
        <v>#REF!</v>
      </c>
      <c r="H515" s="1256"/>
      <c r="I515" s="659"/>
      <c r="EZ515" s="675"/>
      <c r="FA515" s="1049"/>
      <c r="FB515" s="1049"/>
      <c r="FC515" s="1049"/>
      <c r="FD515" s="1049"/>
      <c r="FE515" s="1049"/>
      <c r="FF515" s="1049"/>
      <c r="FG515" s="1049"/>
      <c r="FH515" s="1049"/>
      <c r="FI515" s="1049"/>
      <c r="FJ515" s="1049"/>
      <c r="FK515" s="1049"/>
      <c r="FL515" s="1049"/>
    </row>
    <row r="516" spans="1:168" s="1034" customFormat="1" x14ac:dyDescent="0.25">
      <c r="A516" s="133">
        <v>13</v>
      </c>
      <c r="B516" s="541" t="str">
        <f>V14</f>
        <v xml:space="preserve">Масло сливочное фасованное 72,5% жир. </v>
      </c>
      <c r="C516" s="710" t="e">
        <f>#REF!+#REF!++#REF!++#REF!+#REF!+#REF!+#REF!+#REF!++#REF!+#REF!</f>
        <v>#REF!</v>
      </c>
      <c r="D516" s="779">
        <f>цены!$F$21</f>
        <v>710</v>
      </c>
      <c r="E516" s="812" t="e">
        <f t="shared" si="471"/>
        <v>#REF!</v>
      </c>
      <c r="F516" s="710" t="e">
        <f>#REF!+#REF!+#REF!+#REF!+#REF!+#REF!+#REF!+#REF!+#REF!+#REF!</f>
        <v>#REF!</v>
      </c>
      <c r="G516" s="119" t="e">
        <f>#REF!+#REF!+#REF!+#REF!+#REF!+#REF!+#REF!+#REF!+#REF!+#REF!</f>
        <v>#REF!</v>
      </c>
      <c r="H516" s="1256"/>
      <c r="I516" s="659"/>
      <c r="EZ516" s="675"/>
      <c r="FA516" s="1049"/>
      <c r="FB516" s="1049"/>
      <c r="FC516" s="1049"/>
      <c r="FD516" s="1049"/>
      <c r="FE516" s="1049"/>
      <c r="FF516" s="1049"/>
      <c r="FG516" s="1049"/>
      <c r="FH516" s="1049"/>
      <c r="FI516" s="1049"/>
      <c r="FJ516" s="1049"/>
      <c r="FK516" s="1049"/>
      <c r="FL516" s="1049"/>
    </row>
    <row r="517" spans="1:168" s="1034" customFormat="1" x14ac:dyDescent="0.25">
      <c r="A517" s="133">
        <v>14</v>
      </c>
      <c r="B517" s="541" t="str">
        <f>W14</f>
        <v>Сыр российский 45% жирн.</v>
      </c>
      <c r="C517" s="710" t="e">
        <f>#REF!+#REF!++#REF!++#REF!+#REF!+#REF!+#REF!+#REF!++#REF!+#REF!</f>
        <v>#REF!</v>
      </c>
      <c r="D517" s="779">
        <f>цены!$F$22</f>
        <v>719</v>
      </c>
      <c r="E517" s="812" t="e">
        <f t="shared" si="471"/>
        <v>#REF!</v>
      </c>
      <c r="F517" s="710" t="e">
        <f>#REF!+#REF!+#REF!+#REF!+#REF!+#REF!+#REF!+#REF!+#REF!+#REF!</f>
        <v>#REF!</v>
      </c>
      <c r="G517" s="119" t="e">
        <f>#REF!+#REF!+#REF!+#REF!+#REF!+#REF!+#REF!+#REF!+#REF!+#REF!</f>
        <v>#REF!</v>
      </c>
      <c r="H517" s="1256"/>
      <c r="I517" s="659"/>
      <c r="EZ517" s="675"/>
      <c r="FA517" s="1049"/>
      <c r="FB517" s="1049"/>
      <c r="FC517" s="1049"/>
      <c r="FD517" s="1049"/>
      <c r="FE517" s="1049"/>
      <c r="FF517" s="1049"/>
      <c r="FG517" s="1049"/>
      <c r="FH517" s="1049"/>
      <c r="FI517" s="1049"/>
      <c r="FJ517" s="1049"/>
      <c r="FK517" s="1049"/>
      <c r="FL517" s="1049"/>
    </row>
    <row r="518" spans="1:168" s="1034" customFormat="1" x14ac:dyDescent="0.25">
      <c r="A518" s="133">
        <v>15</v>
      </c>
      <c r="B518" s="541" t="str">
        <f>X14</f>
        <v xml:space="preserve">Творог с массовой долей жира от 9,0% </v>
      </c>
      <c r="C518" s="710" t="e">
        <f>#REF!+#REF!++#REF!++#REF!+#REF!+#REF!+#REF!+#REF!++#REF!+#REF!</f>
        <v>#REF!</v>
      </c>
      <c r="D518" s="779">
        <f>цены!$F$23</f>
        <v>350</v>
      </c>
      <c r="E518" s="812" t="e">
        <f t="shared" si="471"/>
        <v>#REF!</v>
      </c>
      <c r="F518" s="710" t="e">
        <f>#REF!+#REF!+#REF!+#REF!+#REF!+#REF!+#REF!+#REF!+#REF!+#REF!</f>
        <v>#REF!</v>
      </c>
      <c r="G518" s="119" t="e">
        <f>#REF!+#REF!+#REF!+#REF!+#REF!+#REF!+#REF!+#REF!+#REF!+#REF!</f>
        <v>#REF!</v>
      </c>
      <c r="H518" s="1256"/>
      <c r="I518" s="659"/>
      <c r="EZ518" s="675"/>
      <c r="FA518" s="1049"/>
      <c r="FB518" s="1049"/>
      <c r="FC518" s="1049"/>
      <c r="FD518" s="1049"/>
      <c r="FE518" s="1049"/>
      <c r="FF518" s="1049"/>
      <c r="FG518" s="1049"/>
      <c r="FH518" s="1049"/>
      <c r="FI518" s="1049"/>
      <c r="FJ518" s="1049"/>
      <c r="FK518" s="1049"/>
      <c r="FL518" s="1049"/>
    </row>
    <row r="519" spans="1:168" s="1034" customFormat="1" x14ac:dyDescent="0.25">
      <c r="A519" s="133">
        <v>16</v>
      </c>
      <c r="B519" s="541" t="str">
        <f>Y14</f>
        <v>Сметана 20% жирности</v>
      </c>
      <c r="C519" s="710" t="e">
        <f>#REF!+#REF!++#REF!++#REF!+#REF!+#REF!+#REF!+#REF!++#REF!+#REF!</f>
        <v>#REF!</v>
      </c>
      <c r="D519" s="779">
        <f>цены!$F$24</f>
        <v>234</v>
      </c>
      <c r="E519" s="812" t="e">
        <f t="shared" si="471"/>
        <v>#REF!</v>
      </c>
      <c r="F519" s="710" t="e">
        <f>#REF!+#REF!+#REF!+#REF!+#REF!+#REF!+#REF!+#REF!+#REF!+#REF!</f>
        <v>#REF!</v>
      </c>
      <c r="G519" s="119" t="e">
        <f>#REF!+#REF!+#REF!+#REF!+#REF!+#REF!+#REF!+#REF!+#REF!+#REF!</f>
        <v>#REF!</v>
      </c>
      <c r="H519" s="1256"/>
      <c r="I519" s="659"/>
      <c r="EZ519" s="675"/>
      <c r="FA519" s="1049"/>
      <c r="FB519" s="1049"/>
      <c r="FC519" s="1049"/>
      <c r="FD519" s="1049"/>
      <c r="FE519" s="1049"/>
      <c r="FF519" s="1049"/>
      <c r="FG519" s="1049"/>
      <c r="FH519" s="1049"/>
      <c r="FI519" s="1049"/>
      <c r="FJ519" s="1049"/>
      <c r="FK519" s="1049"/>
      <c r="FL519" s="1049"/>
    </row>
    <row r="520" spans="1:168" s="1034" customFormat="1" x14ac:dyDescent="0.25">
      <c r="A520" s="133">
        <v>17</v>
      </c>
      <c r="B520" s="541" t="str">
        <f>Z14</f>
        <v>Молоко цельное сгущенное с сахаром 8,5% жир.</v>
      </c>
      <c r="C520" s="710" t="e">
        <f>#REF!+#REF!++#REF!++#REF!+#REF!+#REF!+#REF!+#REF!++#REF!+#REF!</f>
        <v>#REF!</v>
      </c>
      <c r="D520" s="779">
        <f>цены!$F$25</f>
        <v>250</v>
      </c>
      <c r="E520" s="812" t="e">
        <f t="shared" si="471"/>
        <v>#REF!</v>
      </c>
      <c r="F520" s="710" t="e">
        <f>#REF!+#REF!+#REF!+#REF!+#REF!+#REF!+#REF!+#REF!+#REF!+#REF!</f>
        <v>#REF!</v>
      </c>
      <c r="G520" s="119" t="e">
        <f>#REF!+#REF!+#REF!+#REF!+#REF!+#REF!+#REF!+#REF!+#REF!+#REF!</f>
        <v>#REF!</v>
      </c>
      <c r="H520" s="1256"/>
      <c r="I520" s="659"/>
      <c r="EZ520" s="675"/>
      <c r="FA520" s="1049"/>
      <c r="FB520" s="1049"/>
      <c r="FC520" s="1049"/>
      <c r="FD520" s="1049"/>
      <c r="FE520" s="1049"/>
      <c r="FF520" s="1049"/>
      <c r="FG520" s="1049"/>
      <c r="FH520" s="1049"/>
      <c r="FI520" s="1049"/>
      <c r="FJ520" s="1049"/>
      <c r="FK520" s="1049"/>
      <c r="FL520" s="1049"/>
    </row>
    <row r="521" spans="1:168" s="1034" customFormat="1" x14ac:dyDescent="0.25">
      <c r="A521" s="133">
        <v>18</v>
      </c>
      <c r="B521" s="542" t="str">
        <f>AA14</f>
        <v>Кефир 2,5 % жирности</v>
      </c>
      <c r="C521" s="710" t="e">
        <f>#REF!+#REF!++#REF!++#REF!+#REF!+#REF!+#REF!+#REF!++#REF!+#REF!</f>
        <v>#REF!</v>
      </c>
      <c r="D521" s="779">
        <f>цены!$F$26</f>
        <v>108</v>
      </c>
      <c r="E521" s="812" t="e">
        <f t="shared" si="471"/>
        <v>#REF!</v>
      </c>
      <c r="F521" s="710" t="e">
        <f>#REF!+#REF!+#REF!+#REF!+#REF!+#REF!+#REF!+#REF!+#REF!+#REF!</f>
        <v>#REF!</v>
      </c>
      <c r="G521" s="119" t="e">
        <f>#REF!+#REF!+#REF!+#REF!+#REF!+#REF!+#REF!+#REF!+#REF!+#REF!</f>
        <v>#REF!</v>
      </c>
      <c r="H521" s="1256"/>
      <c r="I521" s="659"/>
      <c r="EZ521" s="675"/>
      <c r="FA521" s="1049"/>
      <c r="FB521" s="1049"/>
      <c r="FC521" s="1049"/>
      <c r="FD521" s="1049"/>
      <c r="FE521" s="1049"/>
      <c r="FF521" s="1049"/>
      <c r="FG521" s="1049"/>
      <c r="FH521" s="1049"/>
      <c r="FI521" s="1049"/>
      <c r="FJ521" s="1049"/>
      <c r="FK521" s="1049"/>
      <c r="FL521" s="1049"/>
    </row>
    <row r="522" spans="1:168" s="1034" customFormat="1" x14ac:dyDescent="0.25">
      <c r="A522" s="133">
        <v>19</v>
      </c>
      <c r="B522" s="542" t="str">
        <f>AB14</f>
        <v>Йогурт питьевой 1,5% жирности</v>
      </c>
      <c r="C522" s="710" t="e">
        <f>#REF!+#REF!++#REF!++#REF!+#REF!+#REF!+#REF!+#REF!++#REF!+#REF!</f>
        <v>#REF!</v>
      </c>
      <c r="D522" s="779">
        <f>цены!$F$27</f>
        <v>125</v>
      </c>
      <c r="E522" s="812" t="e">
        <f t="shared" si="471"/>
        <v>#REF!</v>
      </c>
      <c r="F522" s="710" t="e">
        <f>#REF!+#REF!+#REF!+#REF!+#REF!+#REF!+#REF!+#REF!+#REF!+#REF!</f>
        <v>#REF!</v>
      </c>
      <c r="G522" s="119" t="e">
        <f>#REF!+#REF!+#REF!+#REF!+#REF!+#REF!+#REF!+#REF!+#REF!+#REF!</f>
        <v>#REF!</v>
      </c>
      <c r="H522" s="1256"/>
      <c r="I522" s="659"/>
      <c r="EZ522" s="675"/>
      <c r="FA522" s="1049"/>
      <c r="FB522" s="1049"/>
      <c r="FC522" s="1049"/>
      <c r="FD522" s="1049"/>
      <c r="FE522" s="1049"/>
      <c r="FF522" s="1049"/>
      <c r="FG522" s="1049"/>
      <c r="FH522" s="1049"/>
      <c r="FI522" s="1049"/>
      <c r="FJ522" s="1049"/>
      <c r="FK522" s="1049"/>
      <c r="FL522" s="1049"/>
    </row>
    <row r="523" spans="1:168" s="1034" customFormat="1" x14ac:dyDescent="0.25">
      <c r="A523" s="133">
        <v>20</v>
      </c>
      <c r="B523" s="770" t="str">
        <f>AC14</f>
        <v>Йогурт натуральный 5% (Fruttis) в пакетиках</v>
      </c>
      <c r="C523" s="710" t="e">
        <f>#REF!+#REF!++#REF!++#REF!+#REF!+#REF!+#REF!+#REF!++#REF!+#REF!</f>
        <v>#REF!</v>
      </c>
      <c r="D523" s="779">
        <f>цены!$F$28</f>
        <v>440</v>
      </c>
      <c r="E523" s="812" t="e">
        <f t="shared" si="471"/>
        <v>#REF!</v>
      </c>
      <c r="F523" s="710" t="e">
        <f>#REF!+#REF!+#REF!+#REF!+#REF!+#REF!+#REF!+#REF!+#REF!+#REF!</f>
        <v>#REF!</v>
      </c>
      <c r="G523" s="119" t="e">
        <f>#REF!+#REF!+#REF!+#REF!+#REF!+#REF!+#REF!+#REF!+#REF!+#REF!</f>
        <v>#REF!</v>
      </c>
      <c r="H523" s="1256"/>
      <c r="I523" s="659"/>
      <c r="EZ523" s="675"/>
      <c r="FA523" s="1049"/>
      <c r="FB523" s="1049"/>
      <c r="FC523" s="1049"/>
      <c r="FD523" s="1049"/>
      <c r="FE523" s="1049"/>
      <c r="FF523" s="1049"/>
      <c r="FG523" s="1049"/>
      <c r="FH523" s="1049"/>
      <c r="FI523" s="1049"/>
      <c r="FJ523" s="1049"/>
      <c r="FK523" s="1049"/>
      <c r="FL523" s="1049"/>
    </row>
    <row r="524" spans="1:168" s="1034" customFormat="1" x14ac:dyDescent="0.25">
      <c r="A524" s="133">
        <v>21</v>
      </c>
      <c r="B524" s="770" t="str">
        <f>AD14</f>
        <v>Мед натуральный пчелиный</v>
      </c>
      <c r="C524" s="710" t="e">
        <f>#REF!+#REF!++#REF!++#REF!+#REF!+#REF!+#REF!+#REF!++#REF!+#REF!</f>
        <v>#REF!</v>
      </c>
      <c r="D524" s="779">
        <f>цены!$F$29</f>
        <v>320</v>
      </c>
      <c r="E524" s="812" t="e">
        <f t="shared" si="471"/>
        <v>#REF!</v>
      </c>
      <c r="F524" s="710" t="e">
        <f>#REF!+#REF!+#REF!+#REF!+#REF!+#REF!+#REF!+#REF!+#REF!+#REF!</f>
        <v>#REF!</v>
      </c>
      <c r="G524" s="119" t="e">
        <f>#REF!+#REF!+#REF!+#REF!+#REF!+#REF!+#REF!+#REF!+#REF!+#REF!</f>
        <v>#REF!</v>
      </c>
      <c r="H524" s="1256"/>
      <c r="I524" s="659"/>
      <c r="EZ524" s="675"/>
      <c r="FA524" s="1049"/>
      <c r="FB524" s="1049"/>
      <c r="FC524" s="1049"/>
      <c r="FD524" s="1049"/>
      <c r="FE524" s="1049"/>
      <c r="FF524" s="1049"/>
      <c r="FG524" s="1049"/>
      <c r="FH524" s="1049"/>
      <c r="FI524" s="1049"/>
      <c r="FJ524" s="1049"/>
      <c r="FK524" s="1049"/>
      <c r="FL524" s="1049"/>
    </row>
    <row r="525" spans="1:168" s="1034" customFormat="1" x14ac:dyDescent="0.25">
      <c r="A525" s="133">
        <v>22</v>
      </c>
      <c r="B525" s="770" t="str">
        <f>AE14</f>
        <v xml:space="preserve">Яйца куриные                                              </v>
      </c>
      <c r="C525" s="710" t="e">
        <f>#REF!+#REF!++#REF!++#REF!+#REF!+#REF!+#REF!+#REF!++#REF!+#REF!</f>
        <v>#REF!</v>
      </c>
      <c r="D525" s="779">
        <f>цены!$F$30</f>
        <v>152.16999999999999</v>
      </c>
      <c r="E525" s="812" t="e">
        <f t="shared" si="471"/>
        <v>#REF!</v>
      </c>
      <c r="F525" s="710" t="e">
        <f>#REF!+#REF!+#REF!+#REF!+#REF!+#REF!+#REF!+#REF!+#REF!+#REF!</f>
        <v>#REF!</v>
      </c>
      <c r="G525" s="119" t="e">
        <f>#REF!+#REF!+#REF!+#REF!+#REF!+#REF!+#REF!+#REF!+#REF!+#REF!</f>
        <v>#REF!</v>
      </c>
      <c r="H525" s="1256"/>
      <c r="I525" s="659"/>
      <c r="EZ525" s="675"/>
      <c r="FA525" s="1049"/>
      <c r="FB525" s="1049"/>
      <c r="FC525" s="1049"/>
      <c r="FD525" s="1049"/>
      <c r="FE525" s="1049"/>
      <c r="FF525" s="1049"/>
      <c r="FG525" s="1049"/>
      <c r="FH525" s="1049"/>
      <c r="FI525" s="1049"/>
      <c r="FJ525" s="1049"/>
      <c r="FK525" s="1049"/>
      <c r="FL525" s="1049"/>
    </row>
    <row r="526" spans="1:168" s="1034" customFormat="1" x14ac:dyDescent="0.25">
      <c r="A526" s="146"/>
      <c r="B526" s="621" t="s">
        <v>261</v>
      </c>
      <c r="C526" s="774" t="e">
        <f>SUM(C515:C525)</f>
        <v>#REF!</v>
      </c>
      <c r="D526" s="780">
        <f>SUM(D515:D525)</f>
        <v>3488.17</v>
      </c>
      <c r="E526" s="792"/>
      <c r="F526" s="661" t="e">
        <f>SUM(F515:F525)</f>
        <v>#REF!</v>
      </c>
      <c r="G526" s="661" t="e">
        <f t="shared" ref="G526:H526" si="472">SUM(G515:G525)</f>
        <v>#REF!</v>
      </c>
      <c r="H526" s="1257">
        <f t="shared" si="472"/>
        <v>0</v>
      </c>
      <c r="I526" s="661"/>
      <c r="EZ526" s="661">
        <f t="shared" ref="EZ526" si="473">SUM(EZ515:EZ525)</f>
        <v>0</v>
      </c>
      <c r="FA526" s="1049"/>
      <c r="FB526" s="1049"/>
      <c r="FC526" s="1049"/>
      <c r="FD526" s="1049"/>
      <c r="FE526" s="1049"/>
      <c r="FF526" s="1049"/>
      <c r="FG526" s="1049"/>
      <c r="FH526" s="1049"/>
      <c r="FI526" s="1049"/>
      <c r="FJ526" s="1049"/>
      <c r="FK526" s="1049"/>
      <c r="FL526" s="1049"/>
    </row>
    <row r="527" spans="1:168" s="1034" customFormat="1" x14ac:dyDescent="0.25">
      <c r="A527" s="147"/>
      <c r="B527" s="427" t="s">
        <v>274</v>
      </c>
      <c r="C527" s="775"/>
      <c r="D527" s="781"/>
      <c r="E527" s="793"/>
      <c r="F527" s="662"/>
      <c r="G527" s="662"/>
      <c r="H527" s="1265"/>
      <c r="I527" s="662"/>
      <c r="EZ527" s="676"/>
      <c r="FA527" s="1049"/>
      <c r="FB527" s="1049"/>
      <c r="FC527" s="1049"/>
      <c r="FD527" s="1049"/>
      <c r="FE527" s="1049"/>
      <c r="FF527" s="1049"/>
      <c r="FG527" s="1049"/>
      <c r="FH527" s="1049"/>
      <c r="FI527" s="1049"/>
      <c r="FJ527" s="1049"/>
      <c r="FK527" s="1049"/>
      <c r="FL527" s="1049"/>
    </row>
    <row r="528" spans="1:168" s="1034" customFormat="1" x14ac:dyDescent="0.25">
      <c r="A528" s="133">
        <v>23</v>
      </c>
      <c r="B528" s="541" t="str">
        <f>AF14</f>
        <v>Капуста свежая</v>
      </c>
      <c r="C528" s="710" t="e">
        <f>#REF!+#REF!++#REF!++#REF!+#REF!+#REF!+#REF!+#REF!++#REF!+#REF!</f>
        <v>#REF!</v>
      </c>
      <c r="D528" s="779">
        <f>цены!$F$33</f>
        <v>53</v>
      </c>
      <c r="E528" s="812" t="e">
        <f t="shared" ref="E528:E566" si="474">E$502</f>
        <v>#REF!</v>
      </c>
      <c r="F528" s="710" t="e">
        <f>#REF!+#REF!+#REF!+#REF!+#REF!+#REF!+#REF!+#REF!+#REF!+#REF!</f>
        <v>#REF!</v>
      </c>
      <c r="G528" s="119" t="e">
        <f>#REF!+#REF!+#REF!+#REF!+#REF!+#REF!+#REF!+#REF!+#REF!+#REF!</f>
        <v>#REF!</v>
      </c>
      <c r="H528" s="1256"/>
      <c r="I528" s="659"/>
      <c r="EZ528" s="675"/>
      <c r="FA528" s="1049"/>
      <c r="FB528" s="1049"/>
      <c r="FC528" s="1049"/>
      <c r="FD528" s="1049"/>
      <c r="FE528" s="1049"/>
      <c r="FF528" s="1049"/>
      <c r="FG528" s="1049"/>
      <c r="FH528" s="1049"/>
      <c r="FI528" s="1049"/>
      <c r="FJ528" s="1049"/>
      <c r="FK528" s="1049"/>
      <c r="FL528" s="1049"/>
    </row>
    <row r="529" spans="1:168" s="1034" customFormat="1" x14ac:dyDescent="0.25">
      <c r="A529" s="133">
        <v>24</v>
      </c>
      <c r="B529" s="542" t="str">
        <f>AG14</f>
        <v>Капуста свежая молодая</v>
      </c>
      <c r="C529" s="710" t="e">
        <f>#REF!+#REF!++#REF!++#REF!+#REF!+#REF!+#REF!+#REF!++#REF!+#REF!</f>
        <v>#REF!</v>
      </c>
      <c r="D529" s="779">
        <f>цены!$F$34</f>
        <v>20</v>
      </c>
      <c r="E529" s="812" t="e">
        <f t="shared" si="474"/>
        <v>#REF!</v>
      </c>
      <c r="F529" s="710" t="e">
        <f>#REF!+#REF!+#REF!+#REF!+#REF!+#REF!+#REF!+#REF!+#REF!+#REF!</f>
        <v>#REF!</v>
      </c>
      <c r="G529" s="119" t="e">
        <f>#REF!+#REF!+#REF!+#REF!+#REF!+#REF!+#REF!+#REF!+#REF!+#REF!</f>
        <v>#REF!</v>
      </c>
      <c r="H529" s="1256"/>
      <c r="I529" s="659"/>
      <c r="EZ529" s="675"/>
      <c r="FA529" s="1049"/>
      <c r="FB529" s="1049"/>
      <c r="FC529" s="1049"/>
      <c r="FD529" s="1049"/>
      <c r="FE529" s="1049"/>
      <c r="FF529" s="1049"/>
      <c r="FG529" s="1049"/>
      <c r="FH529" s="1049"/>
      <c r="FI529" s="1049"/>
      <c r="FJ529" s="1049"/>
      <c r="FK529" s="1049"/>
      <c r="FL529" s="1049"/>
    </row>
    <row r="530" spans="1:168" s="1034" customFormat="1" x14ac:dyDescent="0.25">
      <c r="A530" s="133">
        <v>25</v>
      </c>
      <c r="B530" s="542" t="str">
        <f>AH14</f>
        <v>Картофель</v>
      </c>
      <c r="C530" s="710" t="e">
        <f>#REF!+#REF!++#REF!++#REF!+#REF!+#REF!+#REF!+#REF!++#REF!+#REF!</f>
        <v>#REF!</v>
      </c>
      <c r="D530" s="779">
        <f>цены!$F$35</f>
        <v>50</v>
      </c>
      <c r="E530" s="812" t="e">
        <f t="shared" si="474"/>
        <v>#REF!</v>
      </c>
      <c r="F530" s="710" t="e">
        <f>#REF!+#REF!+#REF!+#REF!+#REF!+#REF!+#REF!+#REF!+#REF!+#REF!</f>
        <v>#REF!</v>
      </c>
      <c r="G530" s="119" t="e">
        <f>#REF!+#REF!+#REF!+#REF!+#REF!+#REF!+#REF!+#REF!+#REF!+#REF!</f>
        <v>#REF!</v>
      </c>
      <c r="H530" s="1256"/>
      <c r="I530" s="659"/>
      <c r="EZ530" s="675"/>
      <c r="FA530" s="1049"/>
      <c r="FB530" s="1049"/>
      <c r="FC530" s="1049"/>
      <c r="FD530" s="1049"/>
      <c r="FE530" s="1049"/>
      <c r="FF530" s="1049"/>
      <c r="FG530" s="1049"/>
      <c r="FH530" s="1049"/>
      <c r="FI530" s="1049"/>
      <c r="FJ530" s="1049"/>
      <c r="FK530" s="1049"/>
      <c r="FL530" s="1049"/>
    </row>
    <row r="531" spans="1:168" s="1034" customFormat="1" x14ac:dyDescent="0.25">
      <c r="A531" s="133">
        <v>26</v>
      </c>
      <c r="B531" s="542" t="str">
        <f>AI14</f>
        <v>Картофель молодой</v>
      </c>
      <c r="C531" s="710" t="e">
        <f>#REF!+#REF!++#REF!++#REF!+#REF!+#REF!+#REF!+#REF!++#REF!+#REF!</f>
        <v>#REF!</v>
      </c>
      <c r="D531" s="779">
        <f>цены!$F$36</f>
        <v>25</v>
      </c>
      <c r="E531" s="812" t="e">
        <f t="shared" si="474"/>
        <v>#REF!</v>
      </c>
      <c r="F531" s="710" t="e">
        <f>#REF!+#REF!+#REF!+#REF!+#REF!+#REF!+#REF!+#REF!+#REF!+#REF!</f>
        <v>#REF!</v>
      </c>
      <c r="G531" s="119" t="e">
        <f>#REF!+#REF!+#REF!+#REF!+#REF!+#REF!+#REF!+#REF!+#REF!+#REF!</f>
        <v>#REF!</v>
      </c>
      <c r="H531" s="1256"/>
      <c r="I531" s="659"/>
      <c r="EZ531" s="675"/>
      <c r="FA531" s="1049"/>
      <c r="FB531" s="1049"/>
      <c r="FC531" s="1049"/>
      <c r="FD531" s="1049"/>
      <c r="FE531" s="1049"/>
      <c r="FF531" s="1049"/>
      <c r="FG531" s="1049"/>
      <c r="FH531" s="1049"/>
      <c r="FI531" s="1049"/>
      <c r="FJ531" s="1049"/>
      <c r="FK531" s="1049"/>
      <c r="FL531" s="1049"/>
    </row>
    <row r="532" spans="1:168" s="1034" customFormat="1" x14ac:dyDescent="0.25">
      <c r="A532" s="133">
        <v>27</v>
      </c>
      <c r="B532" s="542" t="str">
        <f>AJ14</f>
        <v xml:space="preserve">Лимон </v>
      </c>
      <c r="C532" s="710" t="e">
        <f>#REF!+#REF!++#REF!++#REF!+#REF!+#REF!+#REF!+#REF!++#REF!+#REF!</f>
        <v>#REF!</v>
      </c>
      <c r="D532" s="779">
        <f>цены!$F$37</f>
        <v>180</v>
      </c>
      <c r="E532" s="812" t="e">
        <f t="shared" si="474"/>
        <v>#REF!</v>
      </c>
      <c r="F532" s="710" t="e">
        <f>#REF!+#REF!+#REF!+#REF!+#REF!+#REF!+#REF!+#REF!+#REF!+#REF!</f>
        <v>#REF!</v>
      </c>
      <c r="G532" s="119" t="e">
        <f>#REF!+#REF!+#REF!+#REF!+#REF!+#REF!+#REF!+#REF!+#REF!+#REF!</f>
        <v>#REF!</v>
      </c>
      <c r="H532" s="1256"/>
      <c r="I532" s="659"/>
      <c r="EZ532" s="675"/>
      <c r="FA532" s="1049"/>
      <c r="FB532" s="1049"/>
      <c r="FC532" s="1049"/>
      <c r="FD532" s="1049"/>
      <c r="FE532" s="1049"/>
      <c r="FF532" s="1049"/>
      <c r="FG532" s="1049"/>
      <c r="FH532" s="1049"/>
      <c r="FI532" s="1049"/>
      <c r="FJ532" s="1049"/>
      <c r="FK532" s="1049"/>
      <c r="FL532" s="1049"/>
    </row>
    <row r="533" spans="1:168" s="1034" customFormat="1" x14ac:dyDescent="0.25">
      <c r="A533" s="133">
        <v>28</v>
      </c>
      <c r="B533" s="542" t="str">
        <f>AK14</f>
        <v>Лук репчатый</v>
      </c>
      <c r="C533" s="710" t="e">
        <f>#REF!+#REF!++#REF!++#REF!+#REF!+#REF!+#REF!+#REF!++#REF!+#REF!</f>
        <v>#REF!</v>
      </c>
      <c r="D533" s="779">
        <f>цены!$F$38</f>
        <v>50</v>
      </c>
      <c r="E533" s="812" t="e">
        <f t="shared" si="474"/>
        <v>#REF!</v>
      </c>
      <c r="F533" s="710" t="e">
        <f>#REF!+#REF!+#REF!+#REF!+#REF!+#REF!+#REF!+#REF!+#REF!+#REF!</f>
        <v>#REF!</v>
      </c>
      <c r="G533" s="119" t="e">
        <f>#REF!+#REF!+#REF!+#REF!+#REF!+#REF!+#REF!+#REF!+#REF!+#REF!</f>
        <v>#REF!</v>
      </c>
      <c r="H533" s="1256"/>
      <c r="I533" s="659"/>
      <c r="EZ533" s="675"/>
      <c r="FA533" s="1049"/>
      <c r="FB533" s="1049"/>
      <c r="FC533" s="1049"/>
      <c r="FD533" s="1049"/>
      <c r="FE533" s="1049"/>
      <c r="FF533" s="1049"/>
      <c r="FG533" s="1049"/>
      <c r="FH533" s="1049"/>
      <c r="FI533" s="1049"/>
      <c r="FJ533" s="1049"/>
      <c r="FK533" s="1049"/>
      <c r="FL533" s="1049"/>
    </row>
    <row r="534" spans="1:168" s="1034" customFormat="1" x14ac:dyDescent="0.25">
      <c r="A534" s="133">
        <v>29</v>
      </c>
      <c r="B534" s="542" t="str">
        <f>AL14</f>
        <v>Лук зеленый</v>
      </c>
      <c r="C534" s="710" t="e">
        <f>#REF!+#REF!++#REF!++#REF!+#REF!+#REF!+#REF!+#REF!++#REF!+#REF!</f>
        <v>#REF!</v>
      </c>
      <c r="D534" s="779">
        <f>цены!$F$39</f>
        <v>300</v>
      </c>
      <c r="E534" s="812" t="e">
        <f t="shared" si="474"/>
        <v>#REF!</v>
      </c>
      <c r="F534" s="710" t="e">
        <f>#REF!+#REF!+#REF!+#REF!+#REF!+#REF!+#REF!+#REF!+#REF!+#REF!</f>
        <v>#REF!</v>
      </c>
      <c r="G534" s="119" t="e">
        <f>#REF!+#REF!+#REF!+#REF!+#REF!+#REF!+#REF!+#REF!+#REF!+#REF!</f>
        <v>#REF!</v>
      </c>
      <c r="H534" s="1256"/>
      <c r="I534" s="659"/>
      <c r="EZ534" s="675"/>
      <c r="FA534" s="1049"/>
      <c r="FB534" s="1049"/>
      <c r="FC534" s="1049"/>
      <c r="FD534" s="1049"/>
      <c r="FE534" s="1049"/>
      <c r="FF534" s="1049"/>
      <c r="FG534" s="1049"/>
      <c r="FH534" s="1049"/>
      <c r="FI534" s="1049"/>
      <c r="FJ534" s="1049"/>
      <c r="FK534" s="1049"/>
      <c r="FL534" s="1049"/>
    </row>
    <row r="535" spans="1:168" s="1034" customFormat="1" x14ac:dyDescent="0.25">
      <c r="A535" s="133">
        <v>30</v>
      </c>
      <c r="B535" s="542" t="str">
        <f>AM14</f>
        <v>Чеснок</v>
      </c>
      <c r="C535" s="710" t="e">
        <f>#REF!+#REF!++#REF!++#REF!+#REF!+#REF!+#REF!+#REF!++#REF!+#REF!</f>
        <v>#REF!</v>
      </c>
      <c r="D535" s="779">
        <f>цены!$F$40</f>
        <v>200</v>
      </c>
      <c r="E535" s="812" t="e">
        <f t="shared" si="474"/>
        <v>#REF!</v>
      </c>
      <c r="F535" s="710" t="e">
        <f>#REF!+#REF!+#REF!+#REF!+#REF!+#REF!+#REF!+#REF!+#REF!+#REF!</f>
        <v>#REF!</v>
      </c>
      <c r="G535" s="119" t="e">
        <f>#REF!+#REF!+#REF!+#REF!+#REF!+#REF!+#REF!+#REF!+#REF!+#REF!</f>
        <v>#REF!</v>
      </c>
      <c r="H535" s="1256"/>
      <c r="I535" s="659"/>
      <c r="EZ535" s="675"/>
      <c r="FA535" s="1049"/>
      <c r="FB535" s="1049"/>
      <c r="FC535" s="1049"/>
      <c r="FD535" s="1049"/>
      <c r="FE535" s="1049"/>
      <c r="FF535" s="1049"/>
      <c r="FG535" s="1049"/>
      <c r="FH535" s="1049"/>
      <c r="FI535" s="1049"/>
      <c r="FJ535" s="1049"/>
      <c r="FK535" s="1049"/>
      <c r="FL535" s="1049"/>
    </row>
    <row r="536" spans="1:168" s="1034" customFormat="1" x14ac:dyDescent="0.25">
      <c r="A536" s="133">
        <v>31</v>
      </c>
      <c r="B536" s="542" t="str">
        <f>AN14</f>
        <v>Помидоры</v>
      </c>
      <c r="C536" s="710" t="e">
        <f>#REF!+#REF!++#REF!++#REF!+#REF!+#REF!+#REF!+#REF!++#REF!+#REF!</f>
        <v>#REF!</v>
      </c>
      <c r="D536" s="779">
        <f>цены!$F$41</f>
        <v>106</v>
      </c>
      <c r="E536" s="812" t="e">
        <f t="shared" si="474"/>
        <v>#REF!</v>
      </c>
      <c r="F536" s="710" t="e">
        <f>#REF!+#REF!+#REF!+#REF!+#REF!+#REF!+#REF!+#REF!+#REF!+#REF!</f>
        <v>#REF!</v>
      </c>
      <c r="G536" s="119" t="e">
        <f>#REF!+#REF!+#REF!+#REF!+#REF!+#REF!+#REF!+#REF!+#REF!+#REF!</f>
        <v>#REF!</v>
      </c>
      <c r="H536" s="1256"/>
      <c r="I536" s="659"/>
      <c r="EZ536" s="675"/>
      <c r="FA536" s="1049"/>
      <c r="FB536" s="1049"/>
      <c r="FC536" s="1049"/>
      <c r="FD536" s="1049"/>
      <c r="FE536" s="1049"/>
      <c r="FF536" s="1049"/>
      <c r="FG536" s="1049"/>
      <c r="FH536" s="1049"/>
      <c r="FI536" s="1049"/>
      <c r="FJ536" s="1049"/>
      <c r="FK536" s="1049"/>
      <c r="FL536" s="1049"/>
    </row>
    <row r="537" spans="1:168" s="1034" customFormat="1" x14ac:dyDescent="0.25">
      <c r="A537" s="133">
        <v>32</v>
      </c>
      <c r="B537" s="542" t="str">
        <f>AO14</f>
        <v>Огурцы</v>
      </c>
      <c r="C537" s="710" t="e">
        <f>#REF!+#REF!++#REF!++#REF!+#REF!+#REF!+#REF!+#REF!++#REF!+#REF!</f>
        <v>#REF!</v>
      </c>
      <c r="D537" s="779">
        <f>цены!$F$42</f>
        <v>60</v>
      </c>
      <c r="E537" s="812" t="e">
        <f t="shared" si="474"/>
        <v>#REF!</v>
      </c>
      <c r="F537" s="710" t="e">
        <f>#REF!+#REF!+#REF!+#REF!+#REF!+#REF!+#REF!+#REF!+#REF!+#REF!</f>
        <v>#REF!</v>
      </c>
      <c r="G537" s="119" t="e">
        <f>#REF!+#REF!+#REF!+#REF!+#REF!+#REF!+#REF!+#REF!+#REF!+#REF!</f>
        <v>#REF!</v>
      </c>
      <c r="H537" s="1256"/>
      <c r="I537" s="659"/>
      <c r="EZ537" s="675"/>
      <c r="FA537" s="1049"/>
      <c r="FB537" s="1049"/>
      <c r="FC537" s="1049"/>
      <c r="FD537" s="1049"/>
      <c r="FE537" s="1049"/>
      <c r="FF537" s="1049"/>
      <c r="FG537" s="1049"/>
      <c r="FH537" s="1049"/>
      <c r="FI537" s="1049"/>
      <c r="FJ537" s="1049"/>
      <c r="FK537" s="1049"/>
      <c r="FL537" s="1049"/>
    </row>
    <row r="538" spans="1:168" s="1034" customFormat="1" x14ac:dyDescent="0.25">
      <c r="A538" s="133">
        <v>33</v>
      </c>
      <c r="B538" s="542" t="str">
        <f>AP14</f>
        <v>Салат зеленый</v>
      </c>
      <c r="C538" s="710" t="e">
        <f>#REF!+#REF!++#REF!++#REF!+#REF!+#REF!+#REF!+#REF!++#REF!+#REF!</f>
        <v>#REF!</v>
      </c>
      <c r="D538" s="779">
        <f>цены!$F$43</f>
        <v>200</v>
      </c>
      <c r="E538" s="812" t="e">
        <f t="shared" si="474"/>
        <v>#REF!</v>
      </c>
      <c r="F538" s="710" t="e">
        <f>#REF!+#REF!+#REF!+#REF!+#REF!+#REF!+#REF!+#REF!+#REF!+#REF!</f>
        <v>#REF!</v>
      </c>
      <c r="G538" s="119" t="e">
        <f>#REF!+#REF!+#REF!+#REF!+#REF!+#REF!+#REF!+#REF!+#REF!+#REF!</f>
        <v>#REF!</v>
      </c>
      <c r="H538" s="1256"/>
      <c r="I538" s="659"/>
      <c r="EZ538" s="675"/>
      <c r="FA538" s="1049"/>
      <c r="FB538" s="1049"/>
      <c r="FC538" s="1049"/>
      <c r="FD538" s="1049"/>
      <c r="FE538" s="1049"/>
      <c r="FF538" s="1049"/>
      <c r="FG538" s="1049"/>
      <c r="FH538" s="1049"/>
      <c r="FI538" s="1049"/>
      <c r="FJ538" s="1049"/>
      <c r="FK538" s="1049"/>
      <c r="FL538" s="1049"/>
    </row>
    <row r="539" spans="1:168" s="1034" customFormat="1" x14ac:dyDescent="0.25">
      <c r="A539" s="133">
        <v>34</v>
      </c>
      <c r="B539" s="542" t="str">
        <f>AQ14</f>
        <v>Морковь столовая</v>
      </c>
      <c r="C539" s="710" t="e">
        <f>#REF!+#REF!++#REF!++#REF!+#REF!+#REF!+#REF!+#REF!++#REF!+#REF!</f>
        <v>#REF!</v>
      </c>
      <c r="D539" s="779">
        <f>цены!$F$44</f>
        <v>50</v>
      </c>
      <c r="E539" s="812" t="e">
        <f t="shared" si="474"/>
        <v>#REF!</v>
      </c>
      <c r="F539" s="710" t="e">
        <f>#REF!+#REF!+#REF!+#REF!+#REF!+#REF!+#REF!+#REF!+#REF!+#REF!</f>
        <v>#REF!</v>
      </c>
      <c r="G539" s="119" t="e">
        <f>#REF!+#REF!+#REF!+#REF!+#REF!+#REF!+#REF!+#REF!+#REF!+#REF!</f>
        <v>#REF!</v>
      </c>
      <c r="H539" s="1256"/>
      <c r="I539" s="659"/>
      <c r="EZ539" s="675"/>
      <c r="FA539" s="1049"/>
      <c r="FB539" s="1049"/>
      <c r="FC539" s="1049"/>
      <c r="FD539" s="1049"/>
      <c r="FE539" s="1049"/>
      <c r="FF539" s="1049"/>
      <c r="FG539" s="1049"/>
      <c r="FH539" s="1049"/>
      <c r="FI539" s="1049"/>
      <c r="FJ539" s="1049"/>
      <c r="FK539" s="1049"/>
      <c r="FL539" s="1049"/>
    </row>
    <row r="540" spans="1:168" s="1034" customFormat="1" x14ac:dyDescent="0.25">
      <c r="A540" s="133">
        <v>35</v>
      </c>
      <c r="B540" s="542" t="str">
        <f>AR14</f>
        <v>Морковь столовая молодая</v>
      </c>
      <c r="C540" s="710" t="e">
        <f>#REF!+#REF!++#REF!++#REF!+#REF!+#REF!+#REF!+#REF!++#REF!+#REF!</f>
        <v>#REF!</v>
      </c>
      <c r="D540" s="779">
        <f>цены!$F$45</f>
        <v>35</v>
      </c>
      <c r="E540" s="812" t="e">
        <f t="shared" si="474"/>
        <v>#REF!</v>
      </c>
      <c r="F540" s="710" t="e">
        <f>#REF!+#REF!+#REF!+#REF!+#REF!+#REF!+#REF!+#REF!+#REF!+#REF!</f>
        <v>#REF!</v>
      </c>
      <c r="G540" s="119" t="e">
        <f>#REF!+#REF!+#REF!+#REF!+#REF!+#REF!+#REF!+#REF!+#REF!+#REF!</f>
        <v>#REF!</v>
      </c>
      <c r="H540" s="1256"/>
      <c r="I540" s="659"/>
      <c r="EZ540" s="675"/>
      <c r="FA540" s="1049"/>
      <c r="FB540" s="1049"/>
      <c r="FC540" s="1049"/>
      <c r="FD540" s="1049"/>
      <c r="FE540" s="1049"/>
      <c r="FF540" s="1049"/>
      <c r="FG540" s="1049"/>
      <c r="FH540" s="1049"/>
      <c r="FI540" s="1049"/>
      <c r="FJ540" s="1049"/>
      <c r="FK540" s="1049"/>
      <c r="FL540" s="1049"/>
    </row>
    <row r="541" spans="1:168" s="1034" customFormat="1" x14ac:dyDescent="0.25">
      <c r="A541" s="133">
        <v>36</v>
      </c>
      <c r="B541" s="542" t="str">
        <f>AS14</f>
        <v>Перец сладкий</v>
      </c>
      <c r="C541" s="710" t="e">
        <f>#REF!+#REF!++#REF!++#REF!+#REF!+#REF!+#REF!+#REF!++#REF!+#REF!</f>
        <v>#REF!</v>
      </c>
      <c r="D541" s="779">
        <f>цены!$F$46</f>
        <v>250</v>
      </c>
      <c r="E541" s="812" t="e">
        <f t="shared" si="474"/>
        <v>#REF!</v>
      </c>
      <c r="F541" s="710" t="e">
        <f>#REF!+#REF!+#REF!+#REF!+#REF!+#REF!+#REF!+#REF!+#REF!+#REF!</f>
        <v>#REF!</v>
      </c>
      <c r="G541" s="119" t="e">
        <f>#REF!+#REF!+#REF!+#REF!+#REF!+#REF!+#REF!+#REF!+#REF!+#REF!</f>
        <v>#REF!</v>
      </c>
      <c r="H541" s="1256"/>
      <c r="I541" s="659"/>
      <c r="EZ541" s="675"/>
      <c r="FA541" s="1049"/>
      <c r="FB541" s="1049"/>
      <c r="FC541" s="1049"/>
      <c r="FD541" s="1049"/>
      <c r="FE541" s="1049"/>
      <c r="FF541" s="1049"/>
      <c r="FG541" s="1049"/>
      <c r="FH541" s="1049"/>
      <c r="FI541" s="1049"/>
      <c r="FJ541" s="1049"/>
      <c r="FK541" s="1049"/>
      <c r="FL541" s="1049"/>
    </row>
    <row r="542" spans="1:168" s="1034" customFormat="1" x14ac:dyDescent="0.25">
      <c r="A542" s="133">
        <v>37</v>
      </c>
      <c r="B542" s="542" t="str">
        <f>AT14</f>
        <v>Петрушка корневая</v>
      </c>
      <c r="C542" s="710" t="e">
        <f>#REF!+#REF!++#REF!++#REF!+#REF!+#REF!+#REF!+#REF!++#REF!+#REF!</f>
        <v>#REF!</v>
      </c>
      <c r="D542" s="779">
        <f>цены!$F$47</f>
        <v>300</v>
      </c>
      <c r="E542" s="812" t="e">
        <f t="shared" si="474"/>
        <v>#REF!</v>
      </c>
      <c r="F542" s="710" t="e">
        <f>#REF!+#REF!+#REF!+#REF!+#REF!+#REF!+#REF!+#REF!+#REF!+#REF!</f>
        <v>#REF!</v>
      </c>
      <c r="G542" s="119" t="e">
        <f>#REF!+#REF!+#REF!+#REF!+#REF!+#REF!+#REF!+#REF!+#REF!+#REF!</f>
        <v>#REF!</v>
      </c>
      <c r="H542" s="1256"/>
      <c r="I542" s="659"/>
      <c r="EZ542" s="675"/>
      <c r="FA542" s="1049"/>
      <c r="FB542" s="1049"/>
      <c r="FC542" s="1049"/>
      <c r="FD542" s="1049"/>
      <c r="FE542" s="1049"/>
      <c r="FF542" s="1049"/>
      <c r="FG542" s="1049"/>
      <c r="FH542" s="1049"/>
      <c r="FI542" s="1049"/>
      <c r="FJ542" s="1049"/>
      <c r="FK542" s="1049"/>
      <c r="FL542" s="1049"/>
    </row>
    <row r="543" spans="1:168" s="1034" customFormat="1" x14ac:dyDescent="0.25">
      <c r="A543" s="133">
        <v>38</v>
      </c>
      <c r="B543" s="542" t="str">
        <f>AU14</f>
        <v>Петрушка зеленая</v>
      </c>
      <c r="C543" s="710" t="e">
        <f>#REF!+#REF!++#REF!++#REF!+#REF!+#REF!+#REF!+#REF!++#REF!+#REF!</f>
        <v>#REF!</v>
      </c>
      <c r="D543" s="779">
        <f>цены!$F$48</f>
        <v>300</v>
      </c>
      <c r="E543" s="812" t="e">
        <f t="shared" si="474"/>
        <v>#REF!</v>
      </c>
      <c r="F543" s="710" t="e">
        <f>#REF!+#REF!+#REF!+#REF!+#REF!+#REF!+#REF!+#REF!+#REF!+#REF!</f>
        <v>#REF!</v>
      </c>
      <c r="G543" s="119" t="e">
        <f>#REF!+#REF!+#REF!+#REF!+#REF!+#REF!+#REF!+#REF!+#REF!+#REF!</f>
        <v>#REF!</v>
      </c>
      <c r="H543" s="1256"/>
      <c r="I543" s="659"/>
      <c r="EZ543" s="675"/>
      <c r="FA543" s="1049"/>
      <c r="FB543" s="1049"/>
      <c r="FC543" s="1049"/>
      <c r="FD543" s="1049"/>
      <c r="FE543" s="1049"/>
      <c r="FF543" s="1049"/>
      <c r="FG543" s="1049"/>
      <c r="FH543" s="1049"/>
      <c r="FI543" s="1049"/>
      <c r="FJ543" s="1049"/>
      <c r="FK543" s="1049"/>
      <c r="FL543" s="1049"/>
    </row>
    <row r="544" spans="1:168" s="1034" customFormat="1" x14ac:dyDescent="0.25">
      <c r="A544" s="133">
        <v>39</v>
      </c>
      <c r="B544" s="542" t="str">
        <f>AV14</f>
        <v>Щавель</v>
      </c>
      <c r="C544" s="710" t="e">
        <f>#REF!+#REF!++#REF!++#REF!+#REF!+#REF!+#REF!+#REF!++#REF!+#REF!</f>
        <v>#REF!</v>
      </c>
      <c r="D544" s="779">
        <f>цены!$F$49</f>
        <v>260</v>
      </c>
      <c r="E544" s="812" t="e">
        <f t="shared" si="474"/>
        <v>#REF!</v>
      </c>
      <c r="F544" s="710" t="e">
        <f>#REF!+#REF!+#REF!+#REF!+#REF!+#REF!+#REF!+#REF!+#REF!+#REF!</f>
        <v>#REF!</v>
      </c>
      <c r="G544" s="119" t="e">
        <f>#REF!+#REF!+#REF!+#REF!+#REF!+#REF!+#REF!+#REF!+#REF!+#REF!</f>
        <v>#REF!</v>
      </c>
      <c r="H544" s="1256"/>
      <c r="I544" s="659"/>
      <c r="EZ544" s="675"/>
      <c r="FA544" s="1049"/>
      <c r="FB544" s="1049"/>
      <c r="FC544" s="1049"/>
      <c r="FD544" s="1049"/>
      <c r="FE544" s="1049"/>
      <c r="FF544" s="1049"/>
      <c r="FG544" s="1049"/>
      <c r="FH544" s="1049"/>
      <c r="FI544" s="1049"/>
      <c r="FJ544" s="1049"/>
      <c r="FK544" s="1049"/>
      <c r="FL544" s="1049"/>
    </row>
    <row r="545" spans="1:168" s="1034" customFormat="1" x14ac:dyDescent="0.25">
      <c r="A545" s="133">
        <v>40</v>
      </c>
      <c r="B545" s="542" t="str">
        <f>AW14</f>
        <v>Шпинат</v>
      </c>
      <c r="C545" s="710" t="e">
        <f>#REF!+#REF!++#REF!++#REF!+#REF!+#REF!+#REF!+#REF!++#REF!+#REF!</f>
        <v>#REF!</v>
      </c>
      <c r="D545" s="779">
        <f>цены!$F$50</f>
        <v>260</v>
      </c>
      <c r="E545" s="812" t="e">
        <f t="shared" si="474"/>
        <v>#REF!</v>
      </c>
      <c r="F545" s="710" t="e">
        <f>#REF!+#REF!+#REF!+#REF!+#REF!+#REF!+#REF!+#REF!+#REF!+#REF!</f>
        <v>#REF!</v>
      </c>
      <c r="G545" s="119" t="e">
        <f>#REF!+#REF!+#REF!+#REF!+#REF!+#REF!+#REF!+#REF!+#REF!+#REF!</f>
        <v>#REF!</v>
      </c>
      <c r="H545" s="1256"/>
      <c r="I545" s="659"/>
      <c r="EZ545" s="675"/>
      <c r="FA545" s="1049"/>
      <c r="FB545" s="1049"/>
      <c r="FC545" s="1049"/>
      <c r="FD545" s="1049"/>
      <c r="FE545" s="1049"/>
      <c r="FF545" s="1049"/>
      <c r="FG545" s="1049"/>
      <c r="FH545" s="1049"/>
      <c r="FI545" s="1049"/>
      <c r="FJ545" s="1049"/>
      <c r="FK545" s="1049"/>
      <c r="FL545" s="1049"/>
    </row>
    <row r="546" spans="1:168" s="1034" customFormat="1" x14ac:dyDescent="0.25">
      <c r="A546" s="133">
        <v>41</v>
      </c>
      <c r="B546" s="542" t="str">
        <f>AX14</f>
        <v>Свекла столовая</v>
      </c>
      <c r="C546" s="710" t="e">
        <f>#REF!+#REF!++#REF!++#REF!+#REF!+#REF!+#REF!+#REF!++#REF!+#REF!</f>
        <v>#REF!</v>
      </c>
      <c r="D546" s="779">
        <f>цены!$F$51</f>
        <v>30</v>
      </c>
      <c r="E546" s="812" t="e">
        <f t="shared" si="474"/>
        <v>#REF!</v>
      </c>
      <c r="F546" s="710" t="e">
        <f>#REF!+#REF!+#REF!+#REF!+#REF!+#REF!+#REF!+#REF!+#REF!+#REF!</f>
        <v>#REF!</v>
      </c>
      <c r="G546" s="119" t="e">
        <f>#REF!+#REF!+#REF!+#REF!+#REF!+#REF!+#REF!+#REF!+#REF!+#REF!</f>
        <v>#REF!</v>
      </c>
      <c r="H546" s="1256"/>
      <c r="I546" s="659"/>
      <c r="EZ546" s="675"/>
      <c r="FA546" s="1049"/>
      <c r="FB546" s="1049"/>
      <c r="FC546" s="1049"/>
      <c r="FD546" s="1049"/>
      <c r="FE546" s="1049"/>
      <c r="FF546" s="1049"/>
      <c r="FG546" s="1049"/>
      <c r="FH546" s="1049"/>
      <c r="FI546" s="1049"/>
      <c r="FJ546" s="1049"/>
      <c r="FK546" s="1049"/>
      <c r="FL546" s="1049"/>
    </row>
    <row r="547" spans="1:168" s="1034" customFormat="1" x14ac:dyDescent="0.25">
      <c r="A547" s="133">
        <v>42</v>
      </c>
      <c r="B547" s="542" t="str">
        <f>AY14</f>
        <v>Свекла столовая свежая</v>
      </c>
      <c r="C547" s="710" t="e">
        <f>#REF!+#REF!++#REF!++#REF!+#REF!+#REF!+#REF!+#REF!++#REF!+#REF!</f>
        <v>#REF!</v>
      </c>
      <c r="D547" s="779">
        <f>цены!$F$52</f>
        <v>36</v>
      </c>
      <c r="E547" s="812" t="e">
        <f t="shared" si="474"/>
        <v>#REF!</v>
      </c>
      <c r="F547" s="710" t="e">
        <f>#REF!+#REF!+#REF!+#REF!+#REF!+#REF!+#REF!+#REF!+#REF!+#REF!</f>
        <v>#REF!</v>
      </c>
      <c r="G547" s="119" t="e">
        <f>#REF!+#REF!+#REF!+#REF!+#REF!+#REF!+#REF!+#REF!+#REF!+#REF!</f>
        <v>#REF!</v>
      </c>
      <c r="H547" s="1256"/>
      <c r="I547" s="659"/>
      <c r="EZ547" s="675"/>
      <c r="FA547" s="1049"/>
      <c r="FB547" s="1049"/>
      <c r="FC547" s="1049"/>
      <c r="FD547" s="1049"/>
      <c r="FE547" s="1049"/>
      <c r="FF547" s="1049"/>
      <c r="FG547" s="1049"/>
      <c r="FH547" s="1049"/>
      <c r="FI547" s="1049"/>
      <c r="FJ547" s="1049"/>
      <c r="FK547" s="1049"/>
      <c r="FL547" s="1049"/>
    </row>
    <row r="548" spans="1:168" s="1034" customFormat="1" x14ac:dyDescent="0.25">
      <c r="A548" s="133">
        <v>43</v>
      </c>
      <c r="B548" s="542" t="str">
        <f>AZ14</f>
        <v>Кабачки</v>
      </c>
      <c r="C548" s="710" t="e">
        <f>#REF!+#REF!++#REF!++#REF!+#REF!+#REF!+#REF!+#REF!++#REF!+#REF!</f>
        <v>#REF!</v>
      </c>
      <c r="D548" s="779">
        <f>цены!$F$53</f>
        <v>160</v>
      </c>
      <c r="E548" s="812" t="e">
        <f t="shared" si="474"/>
        <v>#REF!</v>
      </c>
      <c r="F548" s="710" t="e">
        <f>#REF!+#REF!+#REF!+#REF!+#REF!+#REF!+#REF!+#REF!+#REF!+#REF!</f>
        <v>#REF!</v>
      </c>
      <c r="G548" s="119" t="e">
        <f>#REF!+#REF!+#REF!+#REF!+#REF!+#REF!+#REF!+#REF!+#REF!+#REF!</f>
        <v>#REF!</v>
      </c>
      <c r="H548" s="1256"/>
      <c r="I548" s="659"/>
      <c r="EZ548" s="675"/>
      <c r="FA548" s="1049"/>
      <c r="FB548" s="1049"/>
      <c r="FC548" s="1049"/>
      <c r="FD548" s="1049"/>
      <c r="FE548" s="1049"/>
      <c r="FF548" s="1049"/>
      <c r="FG548" s="1049"/>
      <c r="FH548" s="1049"/>
      <c r="FI548" s="1049"/>
      <c r="FJ548" s="1049"/>
      <c r="FK548" s="1049"/>
      <c r="FL548" s="1049"/>
    </row>
    <row r="549" spans="1:168" s="1034" customFormat="1" x14ac:dyDescent="0.25">
      <c r="A549" s="133">
        <v>44</v>
      </c>
      <c r="B549" s="542" t="str">
        <f>BA14</f>
        <v>Репа</v>
      </c>
      <c r="C549" s="710" t="e">
        <f>#REF!+#REF!++#REF!++#REF!+#REF!+#REF!+#REF!+#REF!++#REF!+#REF!</f>
        <v>#REF!</v>
      </c>
      <c r="D549" s="779">
        <f>цены!$F$54</f>
        <v>60</v>
      </c>
      <c r="E549" s="812" t="e">
        <f t="shared" si="474"/>
        <v>#REF!</v>
      </c>
      <c r="F549" s="710" t="e">
        <f>#REF!+#REF!+#REF!+#REF!+#REF!+#REF!+#REF!+#REF!+#REF!+#REF!</f>
        <v>#REF!</v>
      </c>
      <c r="G549" s="119" t="e">
        <f>#REF!+#REF!+#REF!+#REF!+#REF!+#REF!+#REF!+#REF!+#REF!+#REF!</f>
        <v>#REF!</v>
      </c>
      <c r="H549" s="1256"/>
      <c r="I549" s="659"/>
      <c r="EZ549" s="675"/>
      <c r="FA549" s="1049"/>
      <c r="FB549" s="1049"/>
      <c r="FC549" s="1049"/>
      <c r="FD549" s="1049"/>
      <c r="FE549" s="1049"/>
      <c r="FF549" s="1049"/>
      <c r="FG549" s="1049"/>
      <c r="FH549" s="1049"/>
      <c r="FI549" s="1049"/>
      <c r="FJ549" s="1049"/>
      <c r="FK549" s="1049"/>
      <c r="FL549" s="1049"/>
    </row>
    <row r="550" spans="1:168" s="1034" customFormat="1" x14ac:dyDescent="0.25">
      <c r="A550" s="133">
        <v>45</v>
      </c>
      <c r="B550" s="542" t="str">
        <f>BB14</f>
        <v>Сливы</v>
      </c>
      <c r="C550" s="710" t="e">
        <f>#REF!+#REF!++#REF!++#REF!+#REF!+#REF!+#REF!+#REF!++#REF!+#REF!</f>
        <v>#REF!</v>
      </c>
      <c r="D550" s="779">
        <f>цены!$F$55</f>
        <v>100</v>
      </c>
      <c r="E550" s="812" t="e">
        <f t="shared" si="474"/>
        <v>#REF!</v>
      </c>
      <c r="F550" s="710" t="e">
        <f>#REF!+#REF!+#REF!+#REF!+#REF!+#REF!+#REF!+#REF!+#REF!+#REF!</f>
        <v>#REF!</v>
      </c>
      <c r="G550" s="119" t="e">
        <f>#REF!+#REF!+#REF!+#REF!+#REF!+#REF!+#REF!+#REF!+#REF!+#REF!</f>
        <v>#REF!</v>
      </c>
      <c r="H550" s="1256"/>
      <c r="I550" s="659"/>
      <c r="EZ550" s="675"/>
      <c r="FA550" s="1049"/>
      <c r="FB550" s="1049"/>
      <c r="FC550" s="1049"/>
      <c r="FD550" s="1049"/>
      <c r="FE550" s="1049"/>
      <c r="FF550" s="1049"/>
      <c r="FG550" s="1049"/>
      <c r="FH550" s="1049"/>
      <c r="FI550" s="1049"/>
      <c r="FJ550" s="1049"/>
      <c r="FK550" s="1049"/>
      <c r="FL550" s="1049"/>
    </row>
    <row r="551" spans="1:168" s="1034" customFormat="1" x14ac:dyDescent="0.25">
      <c r="A551" s="133">
        <v>46</v>
      </c>
      <c r="B551" s="542" t="str">
        <f>BC14</f>
        <v>Редис красный</v>
      </c>
      <c r="C551" s="710" t="e">
        <f>#REF!+#REF!++#REF!++#REF!+#REF!+#REF!+#REF!+#REF!++#REF!+#REF!</f>
        <v>#REF!</v>
      </c>
      <c r="D551" s="779">
        <f>цены!$F$56</f>
        <v>50</v>
      </c>
      <c r="E551" s="812" t="e">
        <f t="shared" si="474"/>
        <v>#REF!</v>
      </c>
      <c r="F551" s="710" t="e">
        <f>#REF!+#REF!+#REF!+#REF!+#REF!+#REF!+#REF!+#REF!+#REF!+#REF!</f>
        <v>#REF!</v>
      </c>
      <c r="G551" s="119" t="e">
        <f>#REF!+#REF!+#REF!+#REF!+#REF!+#REF!+#REF!+#REF!+#REF!+#REF!</f>
        <v>#REF!</v>
      </c>
      <c r="H551" s="1256"/>
      <c r="I551" s="659"/>
      <c r="EZ551" s="675"/>
      <c r="FA551" s="1049"/>
      <c r="FB551" s="1049"/>
      <c r="FC551" s="1049"/>
      <c r="FD551" s="1049"/>
      <c r="FE551" s="1049"/>
      <c r="FF551" s="1049"/>
      <c r="FG551" s="1049"/>
      <c r="FH551" s="1049"/>
      <c r="FI551" s="1049"/>
      <c r="FJ551" s="1049"/>
      <c r="FK551" s="1049"/>
      <c r="FL551" s="1049"/>
    </row>
    <row r="552" spans="1:168" s="1034" customFormat="1" x14ac:dyDescent="0.25">
      <c r="A552" s="133">
        <v>47</v>
      </c>
      <c r="B552" s="542" t="str">
        <f>BD14</f>
        <v>Черешня</v>
      </c>
      <c r="C552" s="710" t="e">
        <f>#REF!+#REF!++#REF!++#REF!+#REF!+#REF!+#REF!+#REF!++#REF!+#REF!</f>
        <v>#REF!</v>
      </c>
      <c r="D552" s="779">
        <f>цены!$F$57</f>
        <v>160</v>
      </c>
      <c r="E552" s="812" t="e">
        <f t="shared" si="474"/>
        <v>#REF!</v>
      </c>
      <c r="F552" s="710" t="e">
        <f>#REF!+#REF!+#REF!+#REF!+#REF!+#REF!+#REF!+#REF!+#REF!+#REF!</f>
        <v>#REF!</v>
      </c>
      <c r="G552" s="119" t="e">
        <f>#REF!+#REF!+#REF!+#REF!+#REF!+#REF!+#REF!+#REF!+#REF!+#REF!</f>
        <v>#REF!</v>
      </c>
      <c r="H552" s="1256"/>
      <c r="I552" s="659"/>
      <c r="EZ552" s="675"/>
      <c r="FA552" s="1049"/>
      <c r="FB552" s="1049"/>
      <c r="FC552" s="1049"/>
      <c r="FD552" s="1049"/>
      <c r="FE552" s="1049"/>
      <c r="FF552" s="1049"/>
      <c r="FG552" s="1049"/>
      <c r="FH552" s="1049"/>
      <c r="FI552" s="1049"/>
      <c r="FJ552" s="1049"/>
      <c r="FK552" s="1049"/>
      <c r="FL552" s="1049"/>
    </row>
    <row r="553" spans="1:168" s="1034" customFormat="1" x14ac:dyDescent="0.25">
      <c r="A553" s="133">
        <v>48</v>
      </c>
      <c r="B553" s="542" t="str">
        <f>BE14</f>
        <v>Земляника садовая (клубника)</v>
      </c>
      <c r="C553" s="710" t="e">
        <f>#REF!+#REF!++#REF!++#REF!+#REF!+#REF!+#REF!+#REF!++#REF!+#REF!</f>
        <v>#REF!</v>
      </c>
      <c r="D553" s="779">
        <f>цены!$F$58</f>
        <v>160</v>
      </c>
      <c r="E553" s="812" t="e">
        <f t="shared" si="474"/>
        <v>#REF!</v>
      </c>
      <c r="F553" s="710" t="e">
        <f>#REF!+#REF!+#REF!+#REF!+#REF!+#REF!+#REF!+#REF!+#REF!+#REF!</f>
        <v>#REF!</v>
      </c>
      <c r="G553" s="119" t="e">
        <f>#REF!+#REF!+#REF!+#REF!+#REF!+#REF!+#REF!+#REF!+#REF!+#REF!</f>
        <v>#REF!</v>
      </c>
      <c r="H553" s="1256"/>
      <c r="I553" s="659"/>
      <c r="EZ553" s="675"/>
      <c r="FA553" s="1049"/>
      <c r="FB553" s="1049"/>
      <c r="FC553" s="1049"/>
      <c r="FD553" s="1049"/>
      <c r="FE553" s="1049"/>
      <c r="FF553" s="1049"/>
      <c r="FG553" s="1049"/>
      <c r="FH553" s="1049"/>
      <c r="FI553" s="1049"/>
      <c r="FJ553" s="1049"/>
      <c r="FK553" s="1049"/>
      <c r="FL553" s="1049"/>
    </row>
    <row r="554" spans="1:168" s="1034" customFormat="1" x14ac:dyDescent="0.25">
      <c r="A554" s="133">
        <v>49</v>
      </c>
      <c r="B554" s="542" t="str">
        <f>BF14</f>
        <v>Малина</v>
      </c>
      <c r="C554" s="710" t="e">
        <f>#REF!+#REF!++#REF!++#REF!+#REF!+#REF!+#REF!+#REF!++#REF!+#REF!</f>
        <v>#REF!</v>
      </c>
      <c r="D554" s="779">
        <f>цены!$F$59</f>
        <v>250</v>
      </c>
      <c r="E554" s="812" t="e">
        <f t="shared" si="474"/>
        <v>#REF!</v>
      </c>
      <c r="F554" s="710" t="e">
        <f>#REF!+#REF!+#REF!+#REF!+#REF!+#REF!+#REF!+#REF!+#REF!+#REF!</f>
        <v>#REF!</v>
      </c>
      <c r="G554" s="119" t="e">
        <f>#REF!+#REF!+#REF!+#REF!+#REF!+#REF!+#REF!+#REF!+#REF!+#REF!</f>
        <v>#REF!</v>
      </c>
      <c r="H554" s="1256"/>
      <c r="I554" s="659"/>
      <c r="EZ554" s="675"/>
      <c r="FA554" s="1049"/>
      <c r="FB554" s="1049"/>
      <c r="FC554" s="1049"/>
      <c r="FD554" s="1049"/>
      <c r="FE554" s="1049"/>
      <c r="FF554" s="1049"/>
      <c r="FG554" s="1049"/>
      <c r="FH554" s="1049"/>
      <c r="FI554" s="1049"/>
      <c r="FJ554" s="1049"/>
      <c r="FK554" s="1049"/>
      <c r="FL554" s="1049"/>
    </row>
    <row r="555" spans="1:168" s="1034" customFormat="1" x14ac:dyDescent="0.25">
      <c r="A555" s="133">
        <v>50</v>
      </c>
      <c r="B555" s="542" t="str">
        <f>BG14</f>
        <v>Вишня</v>
      </c>
      <c r="C555" s="710" t="e">
        <f>#REF!+#REF!++#REF!++#REF!+#REF!+#REF!+#REF!+#REF!++#REF!+#REF!</f>
        <v>#REF!</v>
      </c>
      <c r="D555" s="779">
        <f>цены!$F$60</f>
        <v>250</v>
      </c>
      <c r="E555" s="812" t="e">
        <f t="shared" si="474"/>
        <v>#REF!</v>
      </c>
      <c r="F555" s="710" t="e">
        <f>#REF!+#REF!+#REF!+#REF!+#REF!+#REF!+#REF!+#REF!+#REF!+#REF!</f>
        <v>#REF!</v>
      </c>
      <c r="G555" s="119" t="e">
        <f>#REF!+#REF!+#REF!+#REF!+#REF!+#REF!+#REF!+#REF!+#REF!+#REF!</f>
        <v>#REF!</v>
      </c>
      <c r="H555" s="1256"/>
      <c r="I555" s="659"/>
      <c r="EZ555" s="675"/>
      <c r="FA555" s="1049"/>
      <c r="FB555" s="1049"/>
      <c r="FC555" s="1049"/>
      <c r="FD555" s="1049"/>
      <c r="FE555" s="1049"/>
      <c r="FF555" s="1049"/>
      <c r="FG555" s="1049"/>
      <c r="FH555" s="1049"/>
      <c r="FI555" s="1049"/>
      <c r="FJ555" s="1049"/>
      <c r="FK555" s="1049"/>
      <c r="FL555" s="1049"/>
    </row>
    <row r="556" spans="1:168" s="1034" customFormat="1" x14ac:dyDescent="0.25">
      <c r="A556" s="133">
        <v>51</v>
      </c>
      <c r="B556" s="542" t="str">
        <f>BH14</f>
        <v>Черная смородина</v>
      </c>
      <c r="C556" s="710" t="e">
        <f>#REF!+#REF!++#REF!++#REF!+#REF!+#REF!+#REF!+#REF!++#REF!+#REF!</f>
        <v>#REF!</v>
      </c>
      <c r="D556" s="779">
        <f>цены!$F$61</f>
        <v>250</v>
      </c>
      <c r="E556" s="812" t="e">
        <f t="shared" si="474"/>
        <v>#REF!</v>
      </c>
      <c r="F556" s="710" t="e">
        <f>#REF!+#REF!+#REF!+#REF!+#REF!+#REF!+#REF!+#REF!+#REF!+#REF!</f>
        <v>#REF!</v>
      </c>
      <c r="G556" s="119" t="e">
        <f>#REF!+#REF!+#REF!+#REF!+#REF!+#REF!+#REF!+#REF!+#REF!+#REF!</f>
        <v>#REF!</v>
      </c>
      <c r="H556" s="1256"/>
      <c r="I556" s="659"/>
      <c r="EZ556" s="675"/>
      <c r="FA556" s="1049"/>
      <c r="FB556" s="1049"/>
      <c r="FC556" s="1049"/>
      <c r="FD556" s="1049"/>
      <c r="FE556" s="1049"/>
      <c r="FF556" s="1049"/>
      <c r="FG556" s="1049"/>
      <c r="FH556" s="1049"/>
      <c r="FI556" s="1049"/>
      <c r="FJ556" s="1049"/>
      <c r="FK556" s="1049"/>
      <c r="FL556" s="1049"/>
    </row>
    <row r="557" spans="1:168" s="1034" customFormat="1" x14ac:dyDescent="0.25">
      <c r="A557" s="133">
        <v>52</v>
      </c>
      <c r="B557" s="542" t="str">
        <f>BI14</f>
        <v>Арбуз</v>
      </c>
      <c r="C557" s="710" t="e">
        <f>#REF!+#REF!++#REF!++#REF!+#REF!+#REF!+#REF!+#REF!++#REF!+#REF!</f>
        <v>#REF!</v>
      </c>
      <c r="D557" s="779">
        <f>цены!$F$62</f>
        <v>25</v>
      </c>
      <c r="E557" s="812" t="e">
        <f t="shared" si="474"/>
        <v>#REF!</v>
      </c>
      <c r="F557" s="710" t="e">
        <f>#REF!+#REF!+#REF!+#REF!+#REF!+#REF!+#REF!+#REF!+#REF!+#REF!</f>
        <v>#REF!</v>
      </c>
      <c r="G557" s="119" t="e">
        <f>#REF!+#REF!+#REF!+#REF!+#REF!+#REF!+#REF!+#REF!+#REF!+#REF!</f>
        <v>#REF!</v>
      </c>
      <c r="H557" s="1256"/>
      <c r="I557" s="659"/>
      <c r="EZ557" s="675"/>
      <c r="FA557" s="1049"/>
      <c r="FB557" s="1049"/>
      <c r="FC557" s="1049"/>
      <c r="FD557" s="1049"/>
      <c r="FE557" s="1049"/>
      <c r="FF557" s="1049"/>
      <c r="FG557" s="1049"/>
      <c r="FH557" s="1049"/>
      <c r="FI557" s="1049"/>
      <c r="FJ557" s="1049"/>
      <c r="FK557" s="1049"/>
      <c r="FL557" s="1049"/>
    </row>
    <row r="558" spans="1:168" s="1034" customFormat="1" x14ac:dyDescent="0.25">
      <c r="A558" s="133">
        <v>53</v>
      </c>
      <c r="B558" s="542" t="str">
        <f>BJ14</f>
        <v>Дыня</v>
      </c>
      <c r="C558" s="710" t="e">
        <f>#REF!+#REF!++#REF!++#REF!+#REF!+#REF!+#REF!+#REF!++#REF!+#REF!</f>
        <v>#REF!</v>
      </c>
      <c r="D558" s="779">
        <f>цены!$F$63</f>
        <v>25</v>
      </c>
      <c r="E558" s="812" t="e">
        <f t="shared" si="474"/>
        <v>#REF!</v>
      </c>
      <c r="F558" s="710" t="e">
        <f>#REF!+#REF!+#REF!+#REF!+#REF!+#REF!+#REF!+#REF!+#REF!+#REF!</f>
        <v>#REF!</v>
      </c>
      <c r="G558" s="119" t="e">
        <f>#REF!+#REF!+#REF!+#REF!+#REF!+#REF!+#REF!+#REF!+#REF!+#REF!</f>
        <v>#REF!</v>
      </c>
      <c r="H558" s="1256"/>
      <c r="I558" s="659"/>
      <c r="EZ558" s="675"/>
      <c r="FA558" s="1049"/>
      <c r="FB558" s="1049"/>
      <c r="FC558" s="1049"/>
      <c r="FD558" s="1049"/>
      <c r="FE558" s="1049"/>
      <c r="FF558" s="1049"/>
      <c r="FG558" s="1049"/>
      <c r="FH558" s="1049"/>
      <c r="FI558" s="1049"/>
      <c r="FJ558" s="1049"/>
      <c r="FK558" s="1049"/>
      <c r="FL558" s="1049"/>
    </row>
    <row r="559" spans="1:168" s="1034" customFormat="1" x14ac:dyDescent="0.25">
      <c r="A559" s="133">
        <v>54</v>
      </c>
      <c r="B559" s="542" t="str">
        <f>BK14</f>
        <v>Апельсин</v>
      </c>
      <c r="C559" s="710" t="e">
        <f>#REF!+#REF!++#REF!++#REF!+#REF!+#REF!+#REF!+#REF!++#REF!+#REF!</f>
        <v>#REF!</v>
      </c>
      <c r="D559" s="779">
        <f>цены!$F$64</f>
        <v>124</v>
      </c>
      <c r="E559" s="812" t="e">
        <f t="shared" si="474"/>
        <v>#REF!</v>
      </c>
      <c r="F559" s="710" t="e">
        <f>#REF!+#REF!+#REF!+#REF!+#REF!+#REF!+#REF!+#REF!+#REF!+#REF!</f>
        <v>#REF!</v>
      </c>
      <c r="G559" s="119" t="e">
        <f>#REF!+#REF!+#REF!+#REF!+#REF!+#REF!+#REF!+#REF!+#REF!+#REF!</f>
        <v>#REF!</v>
      </c>
      <c r="H559" s="1256"/>
      <c r="I559" s="659"/>
      <c r="EZ559" s="675"/>
      <c r="FA559" s="1049"/>
      <c r="FB559" s="1049"/>
      <c r="FC559" s="1049"/>
      <c r="FD559" s="1049"/>
      <c r="FE559" s="1049"/>
      <c r="FF559" s="1049"/>
      <c r="FG559" s="1049"/>
      <c r="FH559" s="1049"/>
      <c r="FI559" s="1049"/>
      <c r="FJ559" s="1049"/>
      <c r="FK559" s="1049"/>
      <c r="FL559" s="1049"/>
    </row>
    <row r="560" spans="1:168" s="1034" customFormat="1" x14ac:dyDescent="0.25">
      <c r="A560" s="133">
        <v>55</v>
      </c>
      <c r="B560" s="542" t="str">
        <f>BL14</f>
        <v>Мандарин (мандора)</v>
      </c>
      <c r="C560" s="710" t="e">
        <f>#REF!+#REF!++#REF!++#REF!+#REF!+#REF!+#REF!+#REF!++#REF!+#REF!</f>
        <v>#REF!</v>
      </c>
      <c r="D560" s="779">
        <f>цены!$F$65</f>
        <v>120</v>
      </c>
      <c r="E560" s="812" t="e">
        <f t="shared" si="474"/>
        <v>#REF!</v>
      </c>
      <c r="F560" s="710" t="e">
        <f>#REF!+#REF!+#REF!+#REF!+#REF!+#REF!+#REF!+#REF!+#REF!+#REF!</f>
        <v>#REF!</v>
      </c>
      <c r="G560" s="119" t="e">
        <f>#REF!+#REF!+#REF!+#REF!+#REF!+#REF!+#REF!+#REF!+#REF!+#REF!</f>
        <v>#REF!</v>
      </c>
      <c r="H560" s="1256"/>
      <c r="I560" s="659"/>
      <c r="EZ560" s="675"/>
      <c r="FA560" s="1049"/>
      <c r="FB560" s="1049"/>
      <c r="FC560" s="1049"/>
      <c r="FD560" s="1049"/>
      <c r="FE560" s="1049"/>
      <c r="FF560" s="1049"/>
      <c r="FG560" s="1049"/>
      <c r="FH560" s="1049"/>
      <c r="FI560" s="1049"/>
      <c r="FJ560" s="1049"/>
      <c r="FK560" s="1049"/>
      <c r="FL560" s="1049"/>
    </row>
    <row r="561" spans="1:168" s="1034" customFormat="1" x14ac:dyDescent="0.25">
      <c r="A561" s="133">
        <v>56</v>
      </c>
      <c r="B561" s="542" t="str">
        <f>BM14</f>
        <v>Бананы</v>
      </c>
      <c r="C561" s="710" t="e">
        <f>#REF!+#REF!++#REF!++#REF!+#REF!+#REF!+#REF!+#REF!++#REF!+#REF!</f>
        <v>#REF!</v>
      </c>
      <c r="D561" s="779">
        <f>цены!$F$66</f>
        <v>115</v>
      </c>
      <c r="E561" s="812" t="e">
        <f t="shared" si="474"/>
        <v>#REF!</v>
      </c>
      <c r="F561" s="710" t="e">
        <f>#REF!+#REF!+#REF!+#REF!+#REF!+#REF!+#REF!+#REF!+#REF!+#REF!</f>
        <v>#REF!</v>
      </c>
      <c r="G561" s="119" t="e">
        <f>#REF!+#REF!+#REF!+#REF!+#REF!+#REF!+#REF!+#REF!+#REF!+#REF!</f>
        <v>#REF!</v>
      </c>
      <c r="H561" s="1256"/>
      <c r="I561" s="659"/>
      <c r="EZ561" s="675"/>
      <c r="FA561" s="1049"/>
      <c r="FB561" s="1049"/>
      <c r="FC561" s="1049"/>
      <c r="FD561" s="1049"/>
      <c r="FE561" s="1049"/>
      <c r="FF561" s="1049"/>
      <c r="FG561" s="1049"/>
      <c r="FH561" s="1049"/>
      <c r="FI561" s="1049"/>
      <c r="FJ561" s="1049"/>
      <c r="FK561" s="1049"/>
      <c r="FL561" s="1049"/>
    </row>
    <row r="562" spans="1:168" s="1034" customFormat="1" x14ac:dyDescent="0.25">
      <c r="A562" s="133">
        <v>57</v>
      </c>
      <c r="B562" s="542" t="str">
        <f>BN14</f>
        <v>Груши</v>
      </c>
      <c r="C562" s="710" t="e">
        <f>#REF!+#REF!++#REF!++#REF!+#REF!+#REF!+#REF!+#REF!++#REF!+#REF!</f>
        <v>#REF!</v>
      </c>
      <c r="D562" s="779">
        <f>цены!$F$67</f>
        <v>240</v>
      </c>
      <c r="E562" s="812" t="e">
        <f t="shared" si="474"/>
        <v>#REF!</v>
      </c>
      <c r="F562" s="710" t="e">
        <f>#REF!+#REF!+#REF!+#REF!+#REF!+#REF!+#REF!+#REF!+#REF!+#REF!</f>
        <v>#REF!</v>
      </c>
      <c r="G562" s="119" t="e">
        <f>#REF!+#REF!+#REF!+#REF!+#REF!+#REF!+#REF!+#REF!+#REF!+#REF!</f>
        <v>#REF!</v>
      </c>
      <c r="H562" s="1256"/>
      <c r="I562" s="659"/>
      <c r="EZ562" s="675"/>
      <c r="FA562" s="1049"/>
      <c r="FB562" s="1049"/>
      <c r="FC562" s="1049"/>
      <c r="FD562" s="1049"/>
      <c r="FE562" s="1049"/>
      <c r="FF562" s="1049"/>
      <c r="FG562" s="1049"/>
      <c r="FH562" s="1049"/>
      <c r="FI562" s="1049"/>
      <c r="FJ562" s="1049"/>
      <c r="FK562" s="1049"/>
      <c r="FL562" s="1049"/>
    </row>
    <row r="563" spans="1:168" s="1034" customFormat="1" x14ac:dyDescent="0.25">
      <c r="A563" s="133">
        <v>58</v>
      </c>
      <c r="B563" s="542" t="str">
        <f>BO14</f>
        <v>Абрикосы</v>
      </c>
      <c r="C563" s="710" t="e">
        <f>#REF!+#REF!++#REF!++#REF!+#REF!+#REF!+#REF!+#REF!++#REF!+#REF!</f>
        <v>#REF!</v>
      </c>
      <c r="D563" s="779">
        <f>цены!$F$68</f>
        <v>180</v>
      </c>
      <c r="E563" s="812" t="e">
        <f t="shared" si="474"/>
        <v>#REF!</v>
      </c>
      <c r="F563" s="710" t="e">
        <f>#REF!+#REF!+#REF!+#REF!+#REF!+#REF!+#REF!+#REF!+#REF!+#REF!</f>
        <v>#REF!</v>
      </c>
      <c r="G563" s="119" t="e">
        <f>#REF!+#REF!+#REF!+#REF!+#REF!+#REF!+#REF!+#REF!+#REF!+#REF!</f>
        <v>#REF!</v>
      </c>
      <c r="H563" s="1256"/>
      <c r="I563" s="659"/>
      <c r="EZ563" s="675"/>
      <c r="FA563" s="1049"/>
      <c r="FB563" s="1049"/>
      <c r="FC563" s="1049"/>
      <c r="FD563" s="1049"/>
      <c r="FE563" s="1049"/>
      <c r="FF563" s="1049"/>
      <c r="FG563" s="1049"/>
      <c r="FH563" s="1049"/>
      <c r="FI563" s="1049"/>
      <c r="FJ563" s="1049"/>
      <c r="FK563" s="1049"/>
      <c r="FL563" s="1049"/>
    </row>
    <row r="564" spans="1:168" s="1034" customFormat="1" x14ac:dyDescent="0.25">
      <c r="A564" s="133">
        <v>59</v>
      </c>
      <c r="B564" s="542" t="str">
        <f>BP14</f>
        <v>Персики</v>
      </c>
      <c r="C564" s="710" t="e">
        <f>#REF!+#REF!++#REF!++#REF!+#REF!+#REF!+#REF!+#REF!++#REF!+#REF!</f>
        <v>#REF!</v>
      </c>
      <c r="D564" s="779">
        <f>цены!$F$69</f>
        <v>180</v>
      </c>
      <c r="E564" s="812" t="e">
        <f t="shared" si="474"/>
        <v>#REF!</v>
      </c>
      <c r="F564" s="710" t="e">
        <f>#REF!+#REF!+#REF!+#REF!+#REF!+#REF!+#REF!+#REF!+#REF!+#REF!</f>
        <v>#REF!</v>
      </c>
      <c r="G564" s="119" t="e">
        <f>#REF!+#REF!+#REF!+#REF!+#REF!+#REF!+#REF!+#REF!+#REF!+#REF!</f>
        <v>#REF!</v>
      </c>
      <c r="H564" s="1256"/>
      <c r="I564" s="659"/>
      <c r="EZ564" s="675"/>
      <c r="FA564" s="1049"/>
      <c r="FB564" s="1049"/>
      <c r="FC564" s="1049"/>
      <c r="FD564" s="1049"/>
      <c r="FE564" s="1049"/>
      <c r="FF564" s="1049"/>
      <c r="FG564" s="1049"/>
      <c r="FH564" s="1049"/>
      <c r="FI564" s="1049"/>
      <c r="FJ564" s="1049"/>
      <c r="FK564" s="1049"/>
      <c r="FL564" s="1049"/>
    </row>
    <row r="565" spans="1:168" s="1034" customFormat="1" x14ac:dyDescent="0.25">
      <c r="A565" s="133">
        <v>60</v>
      </c>
      <c r="B565" s="542" t="str">
        <f>BQ14</f>
        <v xml:space="preserve">Виноград </v>
      </c>
      <c r="C565" s="710" t="e">
        <f>#REF!+#REF!++#REF!++#REF!+#REF!+#REF!+#REF!+#REF!++#REF!+#REF!</f>
        <v>#REF!</v>
      </c>
      <c r="D565" s="779">
        <f>цены!$F$70</f>
        <v>250</v>
      </c>
      <c r="E565" s="812" t="e">
        <f t="shared" si="474"/>
        <v>#REF!</v>
      </c>
      <c r="F565" s="710" t="e">
        <f>#REF!+#REF!+#REF!+#REF!+#REF!+#REF!+#REF!+#REF!+#REF!+#REF!</f>
        <v>#REF!</v>
      </c>
      <c r="G565" s="119" t="e">
        <f>#REF!+#REF!+#REF!+#REF!+#REF!+#REF!+#REF!+#REF!+#REF!+#REF!</f>
        <v>#REF!</v>
      </c>
      <c r="H565" s="1256"/>
      <c r="I565" s="659"/>
      <c r="EZ565" s="675"/>
      <c r="FA565" s="1049"/>
      <c r="FB565" s="1049"/>
      <c r="FC565" s="1049"/>
      <c r="FD565" s="1049"/>
      <c r="FE565" s="1049"/>
      <c r="FF565" s="1049"/>
      <c r="FG565" s="1049"/>
      <c r="FH565" s="1049"/>
      <c r="FI565" s="1049"/>
      <c r="FJ565" s="1049"/>
      <c r="FK565" s="1049"/>
      <c r="FL565" s="1049"/>
    </row>
    <row r="566" spans="1:168" s="1034" customFormat="1" x14ac:dyDescent="0.25">
      <c r="A566" s="133">
        <v>61</v>
      </c>
      <c r="B566" s="541" t="str">
        <f>BR14</f>
        <v xml:space="preserve">Яблоки </v>
      </c>
      <c r="C566" s="710" t="e">
        <f>#REF!+#REF!++#REF!++#REF!+#REF!+#REF!+#REF!+#REF!++#REF!+#REF!</f>
        <v>#REF!</v>
      </c>
      <c r="D566" s="779">
        <f>цены!$F$71</f>
        <v>91</v>
      </c>
      <c r="E566" s="812" t="e">
        <f t="shared" si="474"/>
        <v>#REF!</v>
      </c>
      <c r="F566" s="710" t="e">
        <f>#REF!+#REF!+#REF!+#REF!+#REF!+#REF!+#REF!+#REF!+#REF!+#REF!</f>
        <v>#REF!</v>
      </c>
      <c r="G566" s="119" t="e">
        <f>#REF!+#REF!+#REF!+#REF!+#REF!+#REF!+#REF!+#REF!+#REF!+#REF!</f>
        <v>#REF!</v>
      </c>
      <c r="H566" s="1256"/>
      <c r="I566" s="659"/>
      <c r="EZ566" s="675"/>
      <c r="FA566" s="1049"/>
      <c r="FB566" s="1049"/>
      <c r="FC566" s="1049"/>
      <c r="FD566" s="1049"/>
      <c r="FE566" s="1049"/>
      <c r="FF566" s="1049"/>
      <c r="FG566" s="1049"/>
      <c r="FH566" s="1049"/>
      <c r="FI566" s="1049"/>
      <c r="FJ566" s="1049"/>
      <c r="FK566" s="1049"/>
      <c r="FL566" s="1049"/>
    </row>
    <row r="567" spans="1:168" s="1034" customFormat="1" x14ac:dyDescent="0.25">
      <c r="A567" s="146"/>
      <c r="B567" s="621" t="s">
        <v>275</v>
      </c>
      <c r="C567" s="774" t="e">
        <f>SUM(C528:C566)</f>
        <v>#REF!</v>
      </c>
      <c r="D567" s="780">
        <f>SUM(D528:D566)</f>
        <v>5555</v>
      </c>
      <c r="E567" s="792"/>
      <c r="F567" s="1283" t="e">
        <f>SUM(F528:F566)</f>
        <v>#REF!</v>
      </c>
      <c r="G567" s="661" t="e">
        <f t="shared" ref="G567:H567" si="475">SUM(G528:G566)</f>
        <v>#REF!</v>
      </c>
      <c r="H567" s="1257">
        <f t="shared" si="475"/>
        <v>0</v>
      </c>
      <c r="I567" s="661"/>
      <c r="EZ567" s="661">
        <f t="shared" ref="EZ567" si="476">SUM(EZ528:EZ566)</f>
        <v>0</v>
      </c>
      <c r="FA567" s="1049"/>
      <c r="FB567" s="1049"/>
      <c r="FC567" s="1049"/>
      <c r="FD567" s="1049"/>
      <c r="FE567" s="1049"/>
      <c r="FF567" s="1049"/>
      <c r="FG567" s="1049"/>
      <c r="FH567" s="1049"/>
      <c r="FI567" s="1049"/>
      <c r="FJ567" s="1049"/>
      <c r="FK567" s="1049"/>
      <c r="FL567" s="1049"/>
    </row>
    <row r="568" spans="1:168" s="1034" customFormat="1" ht="26.4" x14ac:dyDescent="0.25">
      <c r="A568" s="149"/>
      <c r="B568" s="427" t="s">
        <v>276</v>
      </c>
      <c r="C568" s="776"/>
      <c r="D568" s="782"/>
      <c r="E568" s="794"/>
      <c r="F568" s="644"/>
      <c r="G568" s="644"/>
      <c r="H568" s="1266"/>
      <c r="I568" s="644"/>
      <c r="EZ568" s="671"/>
      <c r="FA568" s="1049"/>
      <c r="FB568" s="1049"/>
      <c r="FC568" s="1049"/>
      <c r="FD568" s="1049"/>
      <c r="FE568" s="1049"/>
      <c r="FF568" s="1049"/>
      <c r="FG568" s="1049"/>
      <c r="FH568" s="1049"/>
      <c r="FI568" s="1049"/>
      <c r="FJ568" s="1049"/>
      <c r="FK568" s="1049"/>
      <c r="FL568" s="1049"/>
    </row>
    <row r="569" spans="1:168" s="1034" customFormat="1" x14ac:dyDescent="0.25">
      <c r="A569" s="133">
        <v>62</v>
      </c>
      <c r="B569" s="770" t="str">
        <f>BS14</f>
        <v>Мука пшеничная высшего сорта</v>
      </c>
      <c r="C569" s="710" t="e">
        <f>#REF!+#REF!++#REF!++#REF!+#REF!+#REF!+#REF!+#REF!++#REF!+#REF!</f>
        <v>#REF!</v>
      </c>
      <c r="D569" s="779">
        <f>цены!$F$74</f>
        <v>36</v>
      </c>
      <c r="E569" s="812" t="e">
        <f t="shared" ref="E569:E632" si="477">E$502</f>
        <v>#REF!</v>
      </c>
      <c r="F569" s="710" t="e">
        <f>#REF!+#REF!+#REF!+#REF!+#REF!+#REF!+#REF!+#REF!+#REF!+#REF!</f>
        <v>#REF!</v>
      </c>
      <c r="G569" s="119" t="e">
        <f>#REF!+#REF!+#REF!+#REF!+#REF!+#REF!+#REF!+#REF!+#REF!+#REF!</f>
        <v>#REF!</v>
      </c>
      <c r="H569" s="1256"/>
      <c r="I569" s="659"/>
      <c r="EZ569" s="675"/>
      <c r="FA569" s="1049"/>
      <c r="FB569" s="1049"/>
      <c r="FC569" s="1049"/>
      <c r="FD569" s="1049"/>
      <c r="FE569" s="1049"/>
      <c r="FF569" s="1049"/>
      <c r="FG569" s="1049"/>
      <c r="FH569" s="1049"/>
      <c r="FI569" s="1049"/>
      <c r="FJ569" s="1049"/>
      <c r="FK569" s="1049"/>
      <c r="FL569" s="1049"/>
    </row>
    <row r="570" spans="1:168" s="1034" customFormat="1" ht="27.6" x14ac:dyDescent="0.25">
      <c r="A570" s="133">
        <v>63</v>
      </c>
      <c r="B570" s="770" t="str">
        <f>BT14</f>
        <v>Крупа гречневая - ядрица быстроразваривающаяся</v>
      </c>
      <c r="C570" s="710" t="e">
        <f>#REF!+#REF!++#REF!++#REF!+#REF!+#REF!+#REF!+#REF!++#REF!+#REF!</f>
        <v>#REF!</v>
      </c>
      <c r="D570" s="779">
        <f>цены!$F$75</f>
        <v>100</v>
      </c>
      <c r="E570" s="812" t="e">
        <f t="shared" si="477"/>
        <v>#REF!</v>
      </c>
      <c r="F570" s="710" t="e">
        <f>#REF!+#REF!+#REF!+#REF!+#REF!+#REF!+#REF!+#REF!+#REF!+#REF!</f>
        <v>#REF!</v>
      </c>
      <c r="G570" s="119" t="e">
        <f>#REF!+#REF!+#REF!+#REF!+#REF!+#REF!+#REF!+#REF!+#REF!+#REF!</f>
        <v>#REF!</v>
      </c>
      <c r="H570" s="1256"/>
      <c r="I570" s="659"/>
      <c r="EZ570" s="675"/>
      <c r="FA570" s="1049"/>
      <c r="FB570" s="1049"/>
      <c r="FC570" s="1049"/>
      <c r="FD570" s="1049"/>
      <c r="FE570" s="1049"/>
      <c r="FF570" s="1049"/>
      <c r="FG570" s="1049"/>
      <c r="FH570" s="1049"/>
      <c r="FI570" s="1049"/>
      <c r="FJ570" s="1049"/>
      <c r="FK570" s="1049"/>
      <c r="FL570" s="1049"/>
    </row>
    <row r="571" spans="1:168" s="1034" customFormat="1" x14ac:dyDescent="0.25">
      <c r="A571" s="133">
        <v>64</v>
      </c>
      <c r="B571" s="770" t="str">
        <f>BU14</f>
        <v>Крупа манная</v>
      </c>
      <c r="C571" s="710" t="e">
        <f>#REF!+#REF!++#REF!++#REF!+#REF!+#REF!+#REF!+#REF!++#REF!+#REF!</f>
        <v>#REF!</v>
      </c>
      <c r="D571" s="779">
        <f>цены!$F$76</f>
        <v>40</v>
      </c>
      <c r="E571" s="812" t="e">
        <f t="shared" si="477"/>
        <v>#REF!</v>
      </c>
      <c r="F571" s="710" t="e">
        <f>#REF!+#REF!+#REF!+#REF!+#REF!+#REF!+#REF!+#REF!+#REF!+#REF!</f>
        <v>#REF!</v>
      </c>
      <c r="G571" s="119" t="e">
        <f>#REF!+#REF!+#REF!+#REF!+#REF!+#REF!+#REF!+#REF!+#REF!+#REF!</f>
        <v>#REF!</v>
      </c>
      <c r="H571" s="1256"/>
      <c r="I571" s="659"/>
      <c r="EZ571" s="675"/>
      <c r="FA571" s="1049"/>
      <c r="FB571" s="1049"/>
      <c r="FC571" s="1049"/>
      <c r="FD571" s="1049"/>
      <c r="FE571" s="1049"/>
      <c r="FF571" s="1049"/>
      <c r="FG571" s="1049"/>
      <c r="FH571" s="1049"/>
      <c r="FI571" s="1049"/>
      <c r="FJ571" s="1049"/>
      <c r="FK571" s="1049"/>
      <c r="FL571" s="1049"/>
    </row>
    <row r="572" spans="1:168" s="1034" customFormat="1" x14ac:dyDescent="0.25">
      <c r="A572" s="133">
        <v>65</v>
      </c>
      <c r="B572" s="770" t="str">
        <f>BV14</f>
        <v>Крупа перловая</v>
      </c>
      <c r="C572" s="710" t="e">
        <f>#REF!+#REF!++#REF!++#REF!+#REF!+#REF!+#REF!+#REF!++#REF!+#REF!</f>
        <v>#REF!</v>
      </c>
      <c r="D572" s="779">
        <f>цены!$F$77</f>
        <v>40</v>
      </c>
      <c r="E572" s="812" t="e">
        <f t="shared" si="477"/>
        <v>#REF!</v>
      </c>
      <c r="F572" s="710" t="e">
        <f>#REF!+#REF!+#REF!+#REF!+#REF!+#REF!+#REF!+#REF!+#REF!+#REF!</f>
        <v>#REF!</v>
      </c>
      <c r="G572" s="119" t="e">
        <f>#REF!+#REF!+#REF!+#REF!+#REF!+#REF!+#REF!+#REF!+#REF!+#REF!</f>
        <v>#REF!</v>
      </c>
      <c r="H572" s="1256"/>
      <c r="I572" s="659"/>
      <c r="EZ572" s="675"/>
      <c r="FA572" s="1049"/>
      <c r="FB572" s="1049"/>
      <c r="FC572" s="1049"/>
      <c r="FD572" s="1049"/>
      <c r="FE572" s="1049"/>
      <c r="FF572" s="1049"/>
      <c r="FG572" s="1049"/>
      <c r="FH572" s="1049"/>
      <c r="FI572" s="1049"/>
      <c r="FJ572" s="1049"/>
      <c r="FK572" s="1049"/>
      <c r="FL572" s="1049"/>
    </row>
    <row r="573" spans="1:168" s="1034" customFormat="1" x14ac:dyDescent="0.25">
      <c r="A573" s="133">
        <v>66</v>
      </c>
      <c r="B573" s="770" t="str">
        <f>BW14</f>
        <v>Крупа овсяная</v>
      </c>
      <c r="C573" s="710" t="e">
        <f>#REF!+#REF!++#REF!++#REF!+#REF!+#REF!+#REF!+#REF!++#REF!+#REF!</f>
        <v>#REF!</v>
      </c>
      <c r="D573" s="779">
        <f>цены!$F$78</f>
        <v>35</v>
      </c>
      <c r="E573" s="812" t="e">
        <f t="shared" si="477"/>
        <v>#REF!</v>
      </c>
      <c r="F573" s="710" t="e">
        <f>#REF!+#REF!+#REF!+#REF!+#REF!+#REF!+#REF!+#REF!+#REF!+#REF!</f>
        <v>#REF!</v>
      </c>
      <c r="G573" s="119" t="e">
        <f>#REF!+#REF!+#REF!+#REF!+#REF!+#REF!+#REF!+#REF!+#REF!+#REF!</f>
        <v>#REF!</v>
      </c>
      <c r="H573" s="1260"/>
      <c r="I573" s="1270"/>
      <c r="EZ573" s="540"/>
      <c r="FA573" s="1049"/>
      <c r="FB573" s="1049"/>
      <c r="FC573" s="1049"/>
      <c r="FD573" s="1049"/>
      <c r="FE573" s="1049"/>
      <c r="FF573" s="1049"/>
      <c r="FG573" s="1049"/>
      <c r="FH573" s="1049"/>
      <c r="FI573" s="1049"/>
      <c r="FJ573" s="1049"/>
      <c r="FK573" s="1049"/>
      <c r="FL573" s="1049"/>
    </row>
    <row r="574" spans="1:168" s="1034" customFormat="1" x14ac:dyDescent="0.25">
      <c r="A574" s="133">
        <v>67</v>
      </c>
      <c r="B574" s="770" t="str">
        <f>BX14</f>
        <v>Крупа ячневая</v>
      </c>
      <c r="C574" s="710" t="e">
        <f>#REF!+#REF!++#REF!++#REF!+#REF!+#REF!+#REF!+#REF!++#REF!+#REF!</f>
        <v>#REF!</v>
      </c>
      <c r="D574" s="779">
        <f>цены!$F$79</f>
        <v>35</v>
      </c>
      <c r="E574" s="812" t="e">
        <f t="shared" si="477"/>
        <v>#REF!</v>
      </c>
      <c r="F574" s="710" t="e">
        <f>#REF!+#REF!+#REF!+#REF!+#REF!+#REF!+#REF!+#REF!+#REF!+#REF!</f>
        <v>#REF!</v>
      </c>
      <c r="G574" s="119" t="e">
        <f>#REF!+#REF!+#REF!+#REF!+#REF!+#REF!+#REF!+#REF!+#REF!+#REF!</f>
        <v>#REF!</v>
      </c>
      <c r="H574" s="1260"/>
      <c r="I574" s="1270"/>
      <c r="EZ574" s="540"/>
      <c r="FA574" s="1049"/>
      <c r="FB574" s="1049"/>
      <c r="FC574" s="1049"/>
      <c r="FD574" s="1049"/>
      <c r="FE574" s="1049"/>
      <c r="FF574" s="1049"/>
      <c r="FG574" s="1049"/>
      <c r="FH574" s="1049"/>
      <c r="FI574" s="1049"/>
      <c r="FJ574" s="1049"/>
      <c r="FK574" s="1049"/>
      <c r="FL574" s="1049"/>
    </row>
    <row r="575" spans="1:168" s="1034" customFormat="1" x14ac:dyDescent="0.25">
      <c r="A575" s="133">
        <v>68</v>
      </c>
      <c r="B575" s="770" t="str">
        <f>BY14</f>
        <v>Крупа пшеничная</v>
      </c>
      <c r="C575" s="710" t="e">
        <f>#REF!+#REF!++#REF!++#REF!+#REF!+#REF!+#REF!+#REF!++#REF!+#REF!</f>
        <v>#REF!</v>
      </c>
      <c r="D575" s="779">
        <f>цены!$F$80</f>
        <v>35</v>
      </c>
      <c r="E575" s="812" t="e">
        <f t="shared" si="477"/>
        <v>#REF!</v>
      </c>
      <c r="F575" s="710" t="e">
        <f>#REF!+#REF!+#REF!+#REF!+#REF!+#REF!+#REF!+#REF!+#REF!+#REF!</f>
        <v>#REF!</v>
      </c>
      <c r="G575" s="119" t="e">
        <f>#REF!+#REF!+#REF!+#REF!+#REF!+#REF!+#REF!+#REF!+#REF!+#REF!</f>
        <v>#REF!</v>
      </c>
      <c r="H575" s="1260"/>
      <c r="I575" s="1270"/>
      <c r="EZ575" s="540"/>
      <c r="FA575" s="1049"/>
      <c r="FB575" s="1049"/>
      <c r="FC575" s="1049"/>
      <c r="FD575" s="1049"/>
      <c r="FE575" s="1049"/>
      <c r="FF575" s="1049"/>
      <c r="FG575" s="1049"/>
      <c r="FH575" s="1049"/>
      <c r="FI575" s="1049"/>
      <c r="FJ575" s="1049"/>
      <c r="FK575" s="1049"/>
      <c r="FL575" s="1049"/>
    </row>
    <row r="576" spans="1:168" s="1034" customFormat="1" x14ac:dyDescent="0.25">
      <c r="A576" s="133">
        <v>69</v>
      </c>
      <c r="B576" s="770" t="str">
        <f>BZ14</f>
        <v>Крупа кукурузная</v>
      </c>
      <c r="C576" s="710" t="e">
        <f>#REF!+#REF!++#REF!++#REF!+#REF!+#REF!+#REF!+#REF!++#REF!+#REF!</f>
        <v>#REF!</v>
      </c>
      <c r="D576" s="779">
        <f>цены!$F$81</f>
        <v>36</v>
      </c>
      <c r="E576" s="812" t="e">
        <f t="shared" si="477"/>
        <v>#REF!</v>
      </c>
      <c r="F576" s="710" t="e">
        <f>#REF!+#REF!+#REF!+#REF!+#REF!+#REF!+#REF!+#REF!+#REF!+#REF!</f>
        <v>#REF!</v>
      </c>
      <c r="G576" s="119" t="e">
        <f>#REF!+#REF!+#REF!+#REF!+#REF!+#REF!+#REF!+#REF!+#REF!+#REF!</f>
        <v>#REF!</v>
      </c>
      <c r="H576" s="1260"/>
      <c r="I576" s="1270"/>
      <c r="EZ576" s="540"/>
      <c r="FA576" s="1049"/>
      <c r="FB576" s="1049"/>
      <c r="FC576" s="1049"/>
      <c r="FD576" s="1049"/>
      <c r="FE576" s="1049"/>
      <c r="FF576" s="1049"/>
      <c r="FG576" s="1049"/>
      <c r="FH576" s="1049"/>
      <c r="FI576" s="1049"/>
      <c r="FJ576" s="1049"/>
      <c r="FK576" s="1049"/>
      <c r="FL576" s="1049"/>
    </row>
    <row r="577" spans="1:168" s="1034" customFormat="1" x14ac:dyDescent="0.25">
      <c r="A577" s="133">
        <v>70</v>
      </c>
      <c r="B577" s="770" t="str">
        <f>CA14</f>
        <v>Пшено шлифованное высшего сорта</v>
      </c>
      <c r="C577" s="710" t="e">
        <f>#REF!+#REF!++#REF!++#REF!+#REF!+#REF!+#REF!+#REF!++#REF!+#REF!</f>
        <v>#REF!</v>
      </c>
      <c r="D577" s="779">
        <f>цены!$F$82</f>
        <v>60</v>
      </c>
      <c r="E577" s="812" t="e">
        <f t="shared" si="477"/>
        <v>#REF!</v>
      </c>
      <c r="F577" s="710" t="e">
        <f>#REF!+#REF!+#REF!+#REF!+#REF!+#REF!+#REF!+#REF!+#REF!+#REF!</f>
        <v>#REF!</v>
      </c>
      <c r="G577" s="119" t="e">
        <f>#REF!+#REF!+#REF!+#REF!+#REF!+#REF!+#REF!+#REF!+#REF!+#REF!</f>
        <v>#REF!</v>
      </c>
      <c r="H577" s="1256"/>
      <c r="I577" s="659"/>
      <c r="EZ577" s="675"/>
      <c r="FA577" s="1049"/>
      <c r="FB577" s="1049"/>
      <c r="FC577" s="1049"/>
      <c r="FD577" s="1049"/>
      <c r="FE577" s="1049"/>
      <c r="FF577" s="1049"/>
      <c r="FG577" s="1049"/>
      <c r="FH577" s="1049"/>
      <c r="FI577" s="1049"/>
      <c r="FJ577" s="1049"/>
      <c r="FK577" s="1049"/>
      <c r="FL577" s="1049"/>
    </row>
    <row r="578" spans="1:168" s="1034" customFormat="1" x14ac:dyDescent="0.25">
      <c r="A578" s="133">
        <v>71</v>
      </c>
      <c r="B578" s="770" t="str">
        <f>CB14</f>
        <v>Рис шлифованный</v>
      </c>
      <c r="C578" s="710" t="e">
        <f>#REF!+#REF!++#REF!++#REF!+#REF!+#REF!+#REF!+#REF!++#REF!+#REF!</f>
        <v>#REF!</v>
      </c>
      <c r="D578" s="779">
        <f>цены!$F$83</f>
        <v>98</v>
      </c>
      <c r="E578" s="812" t="e">
        <f t="shared" si="477"/>
        <v>#REF!</v>
      </c>
      <c r="F578" s="710" t="e">
        <f>#REF!+#REF!+#REF!+#REF!+#REF!+#REF!+#REF!+#REF!+#REF!+#REF!</f>
        <v>#REF!</v>
      </c>
      <c r="G578" s="119" t="e">
        <f>#REF!+#REF!+#REF!+#REF!+#REF!+#REF!+#REF!+#REF!+#REF!+#REF!</f>
        <v>#REF!</v>
      </c>
      <c r="H578" s="1256"/>
      <c r="I578" s="659"/>
      <c r="EZ578" s="675"/>
      <c r="FA578" s="1049"/>
      <c r="FB578" s="1049"/>
      <c r="FC578" s="1049"/>
      <c r="FD578" s="1049"/>
      <c r="FE578" s="1049"/>
      <c r="FF578" s="1049"/>
      <c r="FG578" s="1049"/>
      <c r="FH578" s="1049"/>
      <c r="FI578" s="1049"/>
      <c r="FJ578" s="1049"/>
      <c r="FK578" s="1049"/>
      <c r="FL578" s="1049"/>
    </row>
    <row r="579" spans="1:168" s="1034" customFormat="1" x14ac:dyDescent="0.25">
      <c r="A579" s="133">
        <v>72</v>
      </c>
      <c r="B579" s="770" t="str">
        <f>CC14</f>
        <v>Хлопья овсяные "Геркулес"</v>
      </c>
      <c r="C579" s="710" t="e">
        <f>#REF!+#REF!++#REF!++#REF!+#REF!+#REF!+#REF!+#REF!++#REF!+#REF!</f>
        <v>#REF!</v>
      </c>
      <c r="D579" s="779">
        <f>цены!$F$84</f>
        <v>65</v>
      </c>
      <c r="E579" s="812" t="e">
        <f t="shared" si="477"/>
        <v>#REF!</v>
      </c>
      <c r="F579" s="710" t="e">
        <f>#REF!+#REF!+#REF!+#REF!+#REF!+#REF!+#REF!+#REF!+#REF!+#REF!</f>
        <v>#REF!</v>
      </c>
      <c r="G579" s="119" t="e">
        <f>#REF!+#REF!+#REF!+#REF!+#REF!+#REF!+#REF!+#REF!+#REF!+#REF!</f>
        <v>#REF!</v>
      </c>
      <c r="H579" s="1256"/>
      <c r="I579" s="659"/>
      <c r="EZ579" s="675"/>
      <c r="FA579" s="1049"/>
      <c r="FB579" s="1049"/>
      <c r="FC579" s="1049"/>
      <c r="FD579" s="1049"/>
      <c r="FE579" s="1049"/>
      <c r="FF579" s="1049"/>
      <c r="FG579" s="1049"/>
      <c r="FH579" s="1049"/>
      <c r="FI579" s="1049"/>
      <c r="FJ579" s="1049"/>
      <c r="FK579" s="1049"/>
      <c r="FL579" s="1049"/>
    </row>
    <row r="580" spans="1:168" s="1034" customFormat="1" x14ac:dyDescent="0.25">
      <c r="A580" s="133">
        <v>73</v>
      </c>
      <c r="B580" s="770" t="str">
        <f>CD14</f>
        <v>Хлопья овсяные "Ясно солнышко"</v>
      </c>
      <c r="C580" s="710" t="e">
        <f>#REF!+#REF!++#REF!++#REF!+#REF!+#REF!+#REF!+#REF!++#REF!+#REF!</f>
        <v>#REF!</v>
      </c>
      <c r="D580" s="779">
        <f>цены!$F$85</f>
        <v>150</v>
      </c>
      <c r="E580" s="812" t="e">
        <f t="shared" si="477"/>
        <v>#REF!</v>
      </c>
      <c r="F580" s="710" t="e">
        <f>#REF!+#REF!+#REF!+#REF!+#REF!+#REF!+#REF!+#REF!+#REF!+#REF!</f>
        <v>#REF!</v>
      </c>
      <c r="G580" s="119" t="e">
        <f>#REF!+#REF!+#REF!+#REF!+#REF!+#REF!+#REF!+#REF!+#REF!+#REF!</f>
        <v>#REF!</v>
      </c>
      <c r="H580" s="1256"/>
      <c r="I580" s="659"/>
      <c r="EZ580" s="675"/>
      <c r="FA580" s="1049"/>
      <c r="FB580" s="1049"/>
      <c r="FC580" s="1049"/>
      <c r="FD580" s="1049"/>
      <c r="FE580" s="1049"/>
      <c r="FF580" s="1049"/>
      <c r="FG580" s="1049"/>
      <c r="FH580" s="1049"/>
      <c r="FI580" s="1049"/>
      <c r="FJ580" s="1049"/>
      <c r="FK580" s="1049"/>
      <c r="FL580" s="1049"/>
    </row>
    <row r="581" spans="1:168" s="1034" customFormat="1" x14ac:dyDescent="0.25">
      <c r="A581" s="133">
        <v>74</v>
      </c>
      <c r="B581" s="770" t="str">
        <f>CE14</f>
        <v>Маргарин столовый</v>
      </c>
      <c r="C581" s="710" t="e">
        <f>#REF!+#REF!++#REF!++#REF!+#REF!+#REF!+#REF!+#REF!++#REF!+#REF!</f>
        <v>#REF!</v>
      </c>
      <c r="D581" s="779">
        <f>цены!$F$86</f>
        <v>198</v>
      </c>
      <c r="E581" s="812" t="e">
        <f t="shared" si="477"/>
        <v>#REF!</v>
      </c>
      <c r="F581" s="710" t="e">
        <f>#REF!+#REF!+#REF!+#REF!+#REF!+#REF!+#REF!+#REF!+#REF!+#REF!</f>
        <v>#REF!</v>
      </c>
      <c r="G581" s="119" t="e">
        <f>#REF!+#REF!+#REF!+#REF!+#REF!+#REF!+#REF!+#REF!+#REF!+#REF!</f>
        <v>#REF!</v>
      </c>
      <c r="H581" s="1256"/>
      <c r="I581" s="659"/>
      <c r="EZ581" s="675"/>
      <c r="FA581" s="1049"/>
      <c r="FB581" s="1049"/>
      <c r="FC581" s="1049"/>
      <c r="FD581" s="1049"/>
      <c r="FE581" s="1049"/>
      <c r="FF581" s="1049"/>
      <c r="FG581" s="1049"/>
      <c r="FH581" s="1049"/>
      <c r="FI581" s="1049"/>
      <c r="FJ581" s="1049"/>
      <c r="FK581" s="1049"/>
      <c r="FL581" s="1049"/>
    </row>
    <row r="582" spans="1:168" s="1034" customFormat="1" x14ac:dyDescent="0.25">
      <c r="A582" s="133">
        <v>75</v>
      </c>
      <c r="B582" s="770" t="str">
        <f>CF14</f>
        <v>Масло подсолнечное рафинированное</v>
      </c>
      <c r="C582" s="710" t="e">
        <f>#REF!+#REF!++#REF!++#REF!+#REF!+#REF!+#REF!+#REF!++#REF!+#REF!</f>
        <v>#REF!</v>
      </c>
      <c r="D582" s="779">
        <f>цены!$F$87</f>
        <v>120</v>
      </c>
      <c r="E582" s="812" t="e">
        <f t="shared" si="477"/>
        <v>#REF!</v>
      </c>
      <c r="F582" s="710" t="e">
        <f>#REF!+#REF!+#REF!+#REF!+#REF!+#REF!+#REF!+#REF!+#REF!+#REF!</f>
        <v>#REF!</v>
      </c>
      <c r="G582" s="119" t="e">
        <f>#REF!+#REF!+#REF!+#REF!+#REF!+#REF!+#REF!+#REF!+#REF!+#REF!</f>
        <v>#REF!</v>
      </c>
      <c r="H582" s="1256"/>
      <c r="I582" s="659"/>
      <c r="EZ582" s="675"/>
      <c r="FA582" s="1049"/>
      <c r="FB582" s="1049"/>
      <c r="FC582" s="1049"/>
      <c r="FD582" s="1049"/>
      <c r="FE582" s="1049"/>
      <c r="FF582" s="1049"/>
      <c r="FG582" s="1049"/>
      <c r="FH582" s="1049"/>
      <c r="FI582" s="1049"/>
      <c r="FJ582" s="1049"/>
      <c r="FK582" s="1049"/>
      <c r="FL582" s="1049"/>
    </row>
    <row r="583" spans="1:168" s="1034" customFormat="1" x14ac:dyDescent="0.25">
      <c r="A583" s="133">
        <v>76</v>
      </c>
      <c r="B583" s="770" t="str">
        <f>CG14</f>
        <v>Макаронные изделия высшего сорта</v>
      </c>
      <c r="C583" s="710" t="e">
        <f>#REF!+#REF!++#REF!++#REF!+#REF!+#REF!+#REF!+#REF!++#REF!+#REF!</f>
        <v>#REF!</v>
      </c>
      <c r="D583" s="779">
        <f>цены!$F$88</f>
        <v>50</v>
      </c>
      <c r="E583" s="812" t="e">
        <f t="shared" si="477"/>
        <v>#REF!</v>
      </c>
      <c r="F583" s="710" t="e">
        <f>#REF!+#REF!+#REF!+#REF!+#REF!+#REF!+#REF!+#REF!+#REF!+#REF!</f>
        <v>#REF!</v>
      </c>
      <c r="G583" s="119" t="e">
        <f>#REF!+#REF!+#REF!+#REF!+#REF!+#REF!+#REF!+#REF!+#REF!+#REF!</f>
        <v>#REF!</v>
      </c>
      <c r="H583" s="1256"/>
      <c r="I583" s="659"/>
      <c r="EZ583" s="675"/>
      <c r="FA583" s="1049"/>
      <c r="FB583" s="1049"/>
      <c r="FC583" s="1049"/>
      <c r="FD583" s="1049"/>
      <c r="FE583" s="1049"/>
      <c r="FF583" s="1049"/>
      <c r="FG583" s="1049"/>
      <c r="FH583" s="1049"/>
      <c r="FI583" s="1049"/>
      <c r="FJ583" s="1049"/>
      <c r="FK583" s="1049"/>
      <c r="FL583" s="1049"/>
    </row>
    <row r="584" spans="1:168" s="1034" customFormat="1" x14ac:dyDescent="0.25">
      <c r="A584" s="133">
        <v>77</v>
      </c>
      <c r="B584" s="770" t="str">
        <f>CH14</f>
        <v>Вермишель</v>
      </c>
      <c r="C584" s="710" t="e">
        <f>#REF!+#REF!++#REF!++#REF!+#REF!+#REF!+#REF!+#REF!++#REF!+#REF!</f>
        <v>#REF!</v>
      </c>
      <c r="D584" s="779">
        <f>цены!$F$89</f>
        <v>50</v>
      </c>
      <c r="E584" s="812" t="e">
        <f t="shared" si="477"/>
        <v>#REF!</v>
      </c>
      <c r="F584" s="710" t="e">
        <f>#REF!+#REF!+#REF!+#REF!+#REF!+#REF!+#REF!+#REF!+#REF!+#REF!</f>
        <v>#REF!</v>
      </c>
      <c r="G584" s="119" t="e">
        <f>#REF!+#REF!+#REF!+#REF!+#REF!+#REF!+#REF!+#REF!+#REF!+#REF!</f>
        <v>#REF!</v>
      </c>
      <c r="H584" s="1256"/>
      <c r="I584" s="659"/>
      <c r="EZ584" s="675"/>
      <c r="FA584" s="1049"/>
      <c r="FB584" s="1049"/>
      <c r="FC584" s="1049"/>
      <c r="FD584" s="1049"/>
      <c r="FE584" s="1049"/>
      <c r="FF584" s="1049"/>
      <c r="FG584" s="1049"/>
      <c r="FH584" s="1049"/>
      <c r="FI584" s="1049"/>
      <c r="FJ584" s="1049"/>
      <c r="FK584" s="1049"/>
      <c r="FL584" s="1049"/>
    </row>
    <row r="585" spans="1:168" s="1034" customFormat="1" x14ac:dyDescent="0.25">
      <c r="A585" s="133">
        <v>78</v>
      </c>
      <c r="B585" s="770" t="str">
        <f>CI14</f>
        <v>Ванилин</v>
      </c>
      <c r="C585" s="710" t="e">
        <f>#REF!+#REF!++#REF!++#REF!+#REF!+#REF!+#REF!+#REF!++#REF!+#REF!</f>
        <v>#REF!</v>
      </c>
      <c r="D585" s="779">
        <f>цены!$F$90</f>
        <v>5000</v>
      </c>
      <c r="E585" s="812" t="e">
        <f t="shared" si="477"/>
        <v>#REF!</v>
      </c>
      <c r="F585" s="710" t="e">
        <f>#REF!+#REF!+#REF!+#REF!+#REF!+#REF!+#REF!+#REF!+#REF!+#REF!</f>
        <v>#REF!</v>
      </c>
      <c r="G585" s="119" t="e">
        <f>#REF!+#REF!+#REF!+#REF!+#REF!+#REF!+#REF!+#REF!+#REF!+#REF!</f>
        <v>#REF!</v>
      </c>
      <c r="H585" s="1256"/>
      <c r="I585" s="659"/>
      <c r="EZ585" s="675"/>
      <c r="FA585" s="1049"/>
      <c r="FB585" s="1049"/>
      <c r="FC585" s="1049"/>
      <c r="FD585" s="1049"/>
      <c r="FE585" s="1049"/>
      <c r="FF585" s="1049"/>
      <c r="FG585" s="1049"/>
      <c r="FH585" s="1049"/>
      <c r="FI585" s="1049"/>
      <c r="FJ585" s="1049"/>
      <c r="FK585" s="1049"/>
      <c r="FL585" s="1049"/>
    </row>
    <row r="586" spans="1:168" s="1034" customFormat="1" x14ac:dyDescent="0.25">
      <c r="A586" s="133">
        <v>79</v>
      </c>
      <c r="B586" s="770" t="str">
        <f>CJ14</f>
        <v>Эссенция</v>
      </c>
      <c r="C586" s="710" t="e">
        <f>#REF!+#REF!++#REF!++#REF!+#REF!+#REF!+#REF!+#REF!++#REF!+#REF!</f>
        <v>#REF!</v>
      </c>
      <c r="D586" s="779">
        <f>цены!$F$91</f>
        <v>100</v>
      </c>
      <c r="E586" s="812" t="e">
        <f t="shared" si="477"/>
        <v>#REF!</v>
      </c>
      <c r="F586" s="710" t="e">
        <f>#REF!+#REF!+#REF!+#REF!+#REF!+#REF!+#REF!+#REF!+#REF!+#REF!</f>
        <v>#REF!</v>
      </c>
      <c r="G586" s="119" t="e">
        <f>#REF!+#REF!+#REF!+#REF!+#REF!+#REF!+#REF!+#REF!+#REF!+#REF!</f>
        <v>#REF!</v>
      </c>
      <c r="H586" s="1256"/>
      <c r="I586" s="659"/>
      <c r="EZ586" s="675"/>
      <c r="FA586" s="1049"/>
      <c r="FB586" s="1049"/>
      <c r="FC586" s="1049"/>
      <c r="FD586" s="1049"/>
      <c r="FE586" s="1049"/>
      <c r="FF586" s="1049"/>
      <c r="FG586" s="1049"/>
      <c r="FH586" s="1049"/>
      <c r="FI586" s="1049"/>
      <c r="FJ586" s="1049"/>
      <c r="FK586" s="1049"/>
      <c r="FL586" s="1049"/>
    </row>
    <row r="587" spans="1:168" s="1034" customFormat="1" x14ac:dyDescent="0.25">
      <c r="A587" s="133">
        <v>80</v>
      </c>
      <c r="B587" s="770" t="str">
        <f>CK14</f>
        <v>Сода пищевая</v>
      </c>
      <c r="C587" s="710" t="e">
        <f>#REF!+#REF!++#REF!++#REF!+#REF!+#REF!+#REF!+#REF!++#REF!+#REF!</f>
        <v>#REF!</v>
      </c>
      <c r="D587" s="779">
        <f>цены!$F$92</f>
        <v>40</v>
      </c>
      <c r="E587" s="812" t="e">
        <f t="shared" si="477"/>
        <v>#REF!</v>
      </c>
      <c r="F587" s="710" t="e">
        <f>#REF!+#REF!+#REF!+#REF!+#REF!+#REF!+#REF!+#REF!+#REF!+#REF!</f>
        <v>#REF!</v>
      </c>
      <c r="G587" s="119" t="e">
        <f>#REF!+#REF!+#REF!+#REF!+#REF!+#REF!+#REF!+#REF!+#REF!+#REF!</f>
        <v>#REF!</v>
      </c>
      <c r="H587" s="1256"/>
      <c r="I587" s="659"/>
      <c r="EZ587" s="675"/>
      <c r="FA587" s="1049"/>
      <c r="FB587" s="1049"/>
      <c r="FC587" s="1049"/>
      <c r="FD587" s="1049"/>
      <c r="FE587" s="1049"/>
      <c r="FF587" s="1049"/>
      <c r="FG587" s="1049"/>
      <c r="FH587" s="1049"/>
      <c r="FI587" s="1049"/>
      <c r="FJ587" s="1049"/>
      <c r="FK587" s="1049"/>
      <c r="FL587" s="1049"/>
    </row>
    <row r="588" spans="1:168" s="1034" customFormat="1" x14ac:dyDescent="0.25">
      <c r="A588" s="133">
        <v>81</v>
      </c>
      <c r="B588" s="770" t="str">
        <f>CL14</f>
        <v>Дрожжи пекарные прессованные</v>
      </c>
      <c r="C588" s="710" t="e">
        <f>#REF!+#REF!++#REF!++#REF!+#REF!+#REF!+#REF!+#REF!++#REF!+#REF!</f>
        <v>#REF!</v>
      </c>
      <c r="D588" s="779">
        <f>цены!$F$93</f>
        <v>455</v>
      </c>
      <c r="E588" s="812" t="e">
        <f t="shared" si="477"/>
        <v>#REF!</v>
      </c>
      <c r="F588" s="710" t="e">
        <f>#REF!+#REF!+#REF!+#REF!+#REF!+#REF!+#REF!+#REF!+#REF!+#REF!</f>
        <v>#REF!</v>
      </c>
      <c r="G588" s="119" t="e">
        <f>#REF!+#REF!+#REF!+#REF!+#REF!+#REF!+#REF!+#REF!+#REF!+#REF!</f>
        <v>#REF!</v>
      </c>
      <c r="H588" s="1256"/>
      <c r="I588" s="659"/>
      <c r="EZ588" s="675"/>
      <c r="FA588" s="1049"/>
      <c r="FB588" s="1049"/>
      <c r="FC588" s="1049"/>
      <c r="FD588" s="1049"/>
      <c r="FE588" s="1049"/>
      <c r="FF588" s="1049"/>
      <c r="FG588" s="1049"/>
      <c r="FH588" s="1049"/>
      <c r="FI588" s="1049"/>
      <c r="FJ588" s="1049"/>
      <c r="FK588" s="1049"/>
      <c r="FL588" s="1049"/>
    </row>
    <row r="589" spans="1:168" s="1034" customFormat="1" x14ac:dyDescent="0.25">
      <c r="A589" s="133">
        <v>82</v>
      </c>
      <c r="B589" s="770" t="str">
        <f>CM14</f>
        <v>Виноград сушеный (изюм)</v>
      </c>
      <c r="C589" s="710" t="e">
        <f>#REF!+#REF!++#REF!++#REF!+#REF!+#REF!+#REF!+#REF!++#REF!+#REF!</f>
        <v>#REF!</v>
      </c>
      <c r="D589" s="779">
        <f>цены!$F$94</f>
        <v>400</v>
      </c>
      <c r="E589" s="812" t="e">
        <f t="shared" si="477"/>
        <v>#REF!</v>
      </c>
      <c r="F589" s="710" t="e">
        <f>#REF!+#REF!+#REF!+#REF!+#REF!+#REF!+#REF!+#REF!+#REF!+#REF!</f>
        <v>#REF!</v>
      </c>
      <c r="G589" s="119" t="e">
        <f>#REF!+#REF!+#REF!+#REF!+#REF!+#REF!+#REF!+#REF!+#REF!+#REF!</f>
        <v>#REF!</v>
      </c>
      <c r="H589" s="1256"/>
      <c r="I589" s="659"/>
      <c r="EZ589" s="675"/>
      <c r="FA589" s="1049"/>
      <c r="FB589" s="1049"/>
      <c r="FC589" s="1049"/>
      <c r="FD589" s="1049"/>
      <c r="FE589" s="1049"/>
      <c r="FF589" s="1049"/>
      <c r="FG589" s="1049"/>
      <c r="FH589" s="1049"/>
      <c r="FI589" s="1049"/>
      <c r="FJ589" s="1049"/>
      <c r="FK589" s="1049"/>
      <c r="FL589" s="1049"/>
    </row>
    <row r="590" spans="1:168" s="1034" customFormat="1" x14ac:dyDescent="0.25">
      <c r="A590" s="133">
        <v>83</v>
      </c>
      <c r="B590" s="770" t="str">
        <f>CN14</f>
        <v xml:space="preserve">Порошок какао без добавок сахара </v>
      </c>
      <c r="C590" s="710" t="e">
        <f>#REF!+#REF!++#REF!++#REF!+#REF!+#REF!+#REF!+#REF!++#REF!+#REF!</f>
        <v>#REF!</v>
      </c>
      <c r="D590" s="779">
        <f>цены!$F$95</f>
        <v>625</v>
      </c>
      <c r="E590" s="812" t="e">
        <f t="shared" si="477"/>
        <v>#REF!</v>
      </c>
      <c r="F590" s="710" t="e">
        <f>#REF!+#REF!+#REF!+#REF!+#REF!+#REF!+#REF!+#REF!+#REF!+#REF!</f>
        <v>#REF!</v>
      </c>
      <c r="G590" s="119" t="e">
        <f>#REF!+#REF!+#REF!+#REF!+#REF!+#REF!+#REF!+#REF!+#REF!+#REF!</f>
        <v>#REF!</v>
      </c>
      <c r="H590" s="1256"/>
      <c r="I590" s="659"/>
      <c r="EZ590" s="675"/>
      <c r="FA590" s="1049"/>
      <c r="FB590" s="1049"/>
      <c r="FC590" s="1049"/>
      <c r="FD590" s="1049"/>
      <c r="FE590" s="1049"/>
      <c r="FF590" s="1049"/>
      <c r="FG590" s="1049"/>
      <c r="FH590" s="1049"/>
      <c r="FI590" s="1049"/>
      <c r="FJ590" s="1049"/>
      <c r="FK590" s="1049"/>
      <c r="FL590" s="1049"/>
    </row>
    <row r="591" spans="1:168" s="1034" customFormat="1" x14ac:dyDescent="0.25">
      <c r="A591" s="133">
        <v>84</v>
      </c>
      <c r="B591" s="770" t="str">
        <f>CO14</f>
        <v>Кофейный напиток</v>
      </c>
      <c r="C591" s="710" t="e">
        <f>#REF!+#REF!++#REF!++#REF!+#REF!+#REF!+#REF!+#REF!++#REF!+#REF!</f>
        <v>#REF!</v>
      </c>
      <c r="D591" s="779">
        <f>цены!$F$96</f>
        <v>435</v>
      </c>
      <c r="E591" s="812" t="e">
        <f t="shared" si="477"/>
        <v>#REF!</v>
      </c>
      <c r="F591" s="710" t="e">
        <f>#REF!+#REF!+#REF!+#REF!+#REF!+#REF!+#REF!+#REF!+#REF!+#REF!</f>
        <v>#REF!</v>
      </c>
      <c r="G591" s="119" t="e">
        <f>#REF!+#REF!+#REF!+#REF!+#REF!+#REF!+#REF!+#REF!+#REF!+#REF!</f>
        <v>#REF!</v>
      </c>
      <c r="H591" s="1256"/>
      <c r="I591" s="659"/>
      <c r="EZ591" s="675"/>
      <c r="FA591" s="1049"/>
      <c r="FB591" s="1049"/>
      <c r="FC591" s="1049"/>
      <c r="FD591" s="1049"/>
      <c r="FE591" s="1049"/>
      <c r="FF591" s="1049"/>
      <c r="FG591" s="1049"/>
      <c r="FH591" s="1049"/>
      <c r="FI591" s="1049"/>
      <c r="FJ591" s="1049"/>
      <c r="FK591" s="1049"/>
      <c r="FL591" s="1049"/>
    </row>
    <row r="592" spans="1:168" s="1034" customFormat="1" x14ac:dyDescent="0.25">
      <c r="A592" s="133">
        <v>85</v>
      </c>
      <c r="B592" s="770" t="str">
        <f>CP14</f>
        <v>Кетчуп томатный</v>
      </c>
      <c r="C592" s="710" t="e">
        <f>#REF!+#REF!++#REF!++#REF!+#REF!+#REF!+#REF!+#REF!++#REF!+#REF!</f>
        <v>#REF!</v>
      </c>
      <c r="D592" s="779">
        <f>цены!$F$97</f>
        <v>150</v>
      </c>
      <c r="E592" s="812" t="e">
        <f t="shared" si="477"/>
        <v>#REF!</v>
      </c>
      <c r="F592" s="710" t="e">
        <f>#REF!+#REF!+#REF!+#REF!+#REF!+#REF!+#REF!+#REF!+#REF!+#REF!</f>
        <v>#REF!</v>
      </c>
      <c r="G592" s="119" t="e">
        <f>#REF!+#REF!+#REF!+#REF!+#REF!+#REF!+#REF!+#REF!+#REF!+#REF!</f>
        <v>#REF!</v>
      </c>
      <c r="H592" s="1256"/>
      <c r="I592" s="659"/>
      <c r="EZ592" s="675"/>
      <c r="FA592" s="1049"/>
      <c r="FB592" s="1049"/>
      <c r="FC592" s="1049"/>
      <c r="FD592" s="1049"/>
      <c r="FE592" s="1049"/>
      <c r="FF592" s="1049"/>
      <c r="FG592" s="1049"/>
      <c r="FH592" s="1049"/>
      <c r="FI592" s="1049"/>
      <c r="FJ592" s="1049"/>
      <c r="FK592" s="1049"/>
      <c r="FL592" s="1049"/>
    </row>
    <row r="593" spans="1:168" s="1034" customFormat="1" x14ac:dyDescent="0.25">
      <c r="A593" s="133">
        <v>86</v>
      </c>
      <c r="B593" s="770" t="str">
        <f>CQ14</f>
        <v>Кислота лимонная</v>
      </c>
      <c r="C593" s="710" t="e">
        <f>#REF!+#REF!++#REF!++#REF!+#REF!+#REF!+#REF!+#REF!++#REF!+#REF!</f>
        <v>#REF!</v>
      </c>
      <c r="D593" s="779">
        <f>цены!$F$98</f>
        <v>290</v>
      </c>
      <c r="E593" s="812" t="e">
        <f t="shared" si="477"/>
        <v>#REF!</v>
      </c>
      <c r="F593" s="710" t="e">
        <f>#REF!+#REF!+#REF!+#REF!+#REF!+#REF!+#REF!+#REF!+#REF!+#REF!</f>
        <v>#REF!</v>
      </c>
      <c r="G593" s="119" t="e">
        <f>#REF!+#REF!+#REF!+#REF!+#REF!+#REF!+#REF!+#REF!+#REF!+#REF!</f>
        <v>#REF!</v>
      </c>
      <c r="H593" s="1256"/>
      <c r="I593" s="659"/>
      <c r="EZ593" s="675"/>
      <c r="FA593" s="1049"/>
      <c r="FB593" s="1049"/>
      <c r="FC593" s="1049"/>
      <c r="FD593" s="1049"/>
      <c r="FE593" s="1049"/>
      <c r="FF593" s="1049"/>
      <c r="FG593" s="1049"/>
      <c r="FH593" s="1049"/>
      <c r="FI593" s="1049"/>
      <c r="FJ593" s="1049"/>
      <c r="FK593" s="1049"/>
      <c r="FL593" s="1049"/>
    </row>
    <row r="594" spans="1:168" s="1034" customFormat="1" x14ac:dyDescent="0.25">
      <c r="A594" s="133">
        <v>87</v>
      </c>
      <c r="B594" s="770" t="str">
        <f>CR14</f>
        <v>Крахмал картофельный</v>
      </c>
      <c r="C594" s="710" t="e">
        <f>#REF!+#REF!++#REF!++#REF!+#REF!+#REF!+#REF!+#REF!++#REF!+#REF!</f>
        <v>#REF!</v>
      </c>
      <c r="D594" s="779">
        <f>цены!$F$99</f>
        <v>111</v>
      </c>
      <c r="E594" s="812" t="e">
        <f t="shared" si="477"/>
        <v>#REF!</v>
      </c>
      <c r="F594" s="710" t="e">
        <f>#REF!+#REF!+#REF!+#REF!+#REF!+#REF!+#REF!+#REF!+#REF!+#REF!</f>
        <v>#REF!</v>
      </c>
      <c r="G594" s="119" t="e">
        <f>#REF!+#REF!+#REF!+#REF!+#REF!+#REF!+#REF!+#REF!+#REF!+#REF!</f>
        <v>#REF!</v>
      </c>
      <c r="H594" s="1256"/>
      <c r="I594" s="659"/>
      <c r="EZ594" s="675"/>
      <c r="FA594" s="1049"/>
      <c r="FB594" s="1049"/>
      <c r="FC594" s="1049"/>
      <c r="FD594" s="1049"/>
      <c r="FE594" s="1049"/>
      <c r="FF594" s="1049"/>
      <c r="FG594" s="1049"/>
      <c r="FH594" s="1049"/>
      <c r="FI594" s="1049"/>
      <c r="FJ594" s="1049"/>
      <c r="FK594" s="1049"/>
      <c r="FL594" s="1049"/>
    </row>
    <row r="595" spans="1:168" s="1034" customFormat="1" x14ac:dyDescent="0.25">
      <c r="A595" s="133">
        <v>88</v>
      </c>
      <c r="B595" s="770" t="str">
        <f>CS14</f>
        <v>Лист лавровый обработанный</v>
      </c>
      <c r="C595" s="710" t="e">
        <f>#REF!+#REF!++#REF!++#REF!+#REF!+#REF!+#REF!+#REF!++#REF!+#REF!</f>
        <v>#REF!</v>
      </c>
      <c r="D595" s="779">
        <f>цены!$F$100</f>
        <v>1000</v>
      </c>
      <c r="E595" s="812" t="e">
        <f t="shared" si="477"/>
        <v>#REF!</v>
      </c>
      <c r="F595" s="710" t="e">
        <f>#REF!+#REF!+#REF!+#REF!+#REF!+#REF!+#REF!+#REF!+#REF!+#REF!</f>
        <v>#REF!</v>
      </c>
      <c r="G595" s="119" t="e">
        <f>#REF!+#REF!+#REF!+#REF!+#REF!+#REF!+#REF!+#REF!+#REF!+#REF!</f>
        <v>#REF!</v>
      </c>
      <c r="H595" s="1256"/>
      <c r="I595" s="659"/>
      <c r="EZ595" s="675"/>
      <c r="FA595" s="1049"/>
      <c r="FB595" s="1049"/>
      <c r="FC595" s="1049"/>
      <c r="FD595" s="1049"/>
      <c r="FE595" s="1049"/>
      <c r="FF595" s="1049"/>
      <c r="FG595" s="1049"/>
      <c r="FH595" s="1049"/>
      <c r="FI595" s="1049"/>
      <c r="FJ595" s="1049"/>
      <c r="FK595" s="1049"/>
      <c r="FL595" s="1049"/>
    </row>
    <row r="596" spans="1:168" s="1034" customFormat="1" x14ac:dyDescent="0.25">
      <c r="A596" s="133">
        <v>89</v>
      </c>
      <c r="B596" s="770" t="str">
        <f>CT14</f>
        <v>Огурцы консервированные</v>
      </c>
      <c r="C596" s="710" t="e">
        <f>#REF!+#REF!++#REF!++#REF!+#REF!+#REF!+#REF!+#REF!++#REF!+#REF!</f>
        <v>#REF!</v>
      </c>
      <c r="D596" s="779">
        <f>цены!$F$101</f>
        <v>120</v>
      </c>
      <c r="E596" s="812" t="e">
        <f t="shared" si="477"/>
        <v>#REF!</v>
      </c>
      <c r="F596" s="710" t="e">
        <f>#REF!+#REF!+#REF!+#REF!+#REF!+#REF!+#REF!+#REF!+#REF!+#REF!</f>
        <v>#REF!</v>
      </c>
      <c r="G596" s="119" t="e">
        <f>#REF!+#REF!+#REF!+#REF!+#REF!+#REF!+#REF!+#REF!+#REF!+#REF!</f>
        <v>#REF!</v>
      </c>
      <c r="H596" s="1256"/>
      <c r="I596" s="659"/>
      <c r="EZ596" s="675"/>
      <c r="FA596" s="1049"/>
      <c r="FB596" s="1049"/>
      <c r="FC596" s="1049"/>
      <c r="FD596" s="1049"/>
      <c r="FE596" s="1049"/>
      <c r="FF596" s="1049"/>
      <c r="FG596" s="1049"/>
      <c r="FH596" s="1049"/>
      <c r="FI596" s="1049"/>
      <c r="FJ596" s="1049"/>
      <c r="FK596" s="1049"/>
      <c r="FL596" s="1049"/>
    </row>
    <row r="597" spans="1:168" s="1034" customFormat="1" x14ac:dyDescent="0.25">
      <c r="A597" s="133">
        <v>90</v>
      </c>
      <c r="B597" s="770" t="str">
        <f>CU14</f>
        <v>Помидоры соленые</v>
      </c>
      <c r="C597" s="710" t="e">
        <f>#REF!+#REF!++#REF!++#REF!+#REF!+#REF!+#REF!+#REF!++#REF!+#REF!</f>
        <v>#REF!</v>
      </c>
      <c r="D597" s="779">
        <f>цены!$F$102</f>
        <v>120</v>
      </c>
      <c r="E597" s="812" t="e">
        <f t="shared" si="477"/>
        <v>#REF!</v>
      </c>
      <c r="F597" s="710" t="e">
        <f>#REF!+#REF!+#REF!+#REF!+#REF!+#REF!+#REF!+#REF!+#REF!+#REF!</f>
        <v>#REF!</v>
      </c>
      <c r="G597" s="119" t="e">
        <f>#REF!+#REF!+#REF!+#REF!+#REF!+#REF!+#REF!+#REF!+#REF!+#REF!</f>
        <v>#REF!</v>
      </c>
      <c r="H597" s="1256"/>
      <c r="I597" s="659"/>
      <c r="EZ597" s="675"/>
      <c r="FA597" s="1049"/>
      <c r="FB597" s="1049"/>
      <c r="FC597" s="1049"/>
      <c r="FD597" s="1049"/>
      <c r="FE597" s="1049"/>
      <c r="FF597" s="1049"/>
      <c r="FG597" s="1049"/>
      <c r="FH597" s="1049"/>
      <c r="FI597" s="1049"/>
      <c r="FJ597" s="1049"/>
      <c r="FK597" s="1049"/>
      <c r="FL597" s="1049"/>
    </row>
    <row r="598" spans="1:168" s="1034" customFormat="1" x14ac:dyDescent="0.25">
      <c r="A598" s="133">
        <v>91</v>
      </c>
      <c r="B598" s="770" t="str">
        <f>CV14</f>
        <v>Капуста квашеная</v>
      </c>
      <c r="C598" s="710" t="e">
        <f>#REF!+#REF!++#REF!++#REF!+#REF!+#REF!+#REF!+#REF!++#REF!+#REF!</f>
        <v>#REF!</v>
      </c>
      <c r="D598" s="779">
        <f>цены!$F$103</f>
        <v>112</v>
      </c>
      <c r="E598" s="812" t="e">
        <f t="shared" si="477"/>
        <v>#REF!</v>
      </c>
      <c r="F598" s="710" t="e">
        <f>#REF!+#REF!+#REF!+#REF!+#REF!+#REF!+#REF!+#REF!+#REF!+#REF!</f>
        <v>#REF!</v>
      </c>
      <c r="G598" s="119" t="e">
        <f>#REF!+#REF!+#REF!+#REF!+#REF!+#REF!+#REF!+#REF!+#REF!+#REF!</f>
        <v>#REF!</v>
      </c>
      <c r="H598" s="1256"/>
      <c r="I598" s="659"/>
      <c r="EZ598" s="675"/>
      <c r="FA598" s="1049"/>
      <c r="FB598" s="1049"/>
      <c r="FC598" s="1049"/>
      <c r="FD598" s="1049"/>
      <c r="FE598" s="1049"/>
      <c r="FF598" s="1049"/>
      <c r="FG598" s="1049"/>
      <c r="FH598" s="1049"/>
      <c r="FI598" s="1049"/>
      <c r="FJ598" s="1049"/>
      <c r="FK598" s="1049"/>
      <c r="FL598" s="1049"/>
    </row>
    <row r="599" spans="1:168" s="1034" customFormat="1" x14ac:dyDescent="0.25">
      <c r="A599" s="133">
        <v>92</v>
      </c>
      <c r="B599" s="770" t="str">
        <f>CW14</f>
        <v>Повидло из яблок</v>
      </c>
      <c r="C599" s="710" t="e">
        <f>#REF!+#REF!++#REF!++#REF!+#REF!+#REF!+#REF!+#REF!++#REF!+#REF!</f>
        <v>#REF!</v>
      </c>
      <c r="D599" s="779">
        <f>цены!$F$104</f>
        <v>140</v>
      </c>
      <c r="E599" s="812" t="e">
        <f t="shared" si="477"/>
        <v>#REF!</v>
      </c>
      <c r="F599" s="710" t="e">
        <f>#REF!+#REF!+#REF!+#REF!+#REF!+#REF!+#REF!+#REF!+#REF!+#REF!</f>
        <v>#REF!</v>
      </c>
      <c r="G599" s="119" t="e">
        <f>#REF!+#REF!+#REF!+#REF!+#REF!+#REF!+#REF!+#REF!+#REF!+#REF!</f>
        <v>#REF!</v>
      </c>
      <c r="H599" s="1256"/>
      <c r="I599" s="659"/>
      <c r="EZ599" s="675"/>
      <c r="FA599" s="1049"/>
      <c r="FB599" s="1049"/>
      <c r="FC599" s="1049"/>
      <c r="FD599" s="1049"/>
      <c r="FE599" s="1049"/>
      <c r="FF599" s="1049"/>
      <c r="FG599" s="1049"/>
      <c r="FH599" s="1049"/>
      <c r="FI599" s="1049"/>
      <c r="FJ599" s="1049"/>
      <c r="FK599" s="1049"/>
      <c r="FL599" s="1049"/>
    </row>
    <row r="600" spans="1:168" s="1034" customFormat="1" x14ac:dyDescent="0.25">
      <c r="A600" s="133">
        <v>93</v>
      </c>
      <c r="B600" s="770" t="str">
        <f>CX14</f>
        <v>Джем абрикосовый (клубничный и др)</v>
      </c>
      <c r="C600" s="710" t="e">
        <f>#REF!+#REF!++#REF!++#REF!+#REF!+#REF!+#REF!+#REF!++#REF!+#REF!</f>
        <v>#REF!</v>
      </c>
      <c r="D600" s="779">
        <f>цены!$F$105</f>
        <v>160</v>
      </c>
      <c r="E600" s="812" t="e">
        <f t="shared" si="477"/>
        <v>#REF!</v>
      </c>
      <c r="F600" s="710" t="e">
        <f>#REF!+#REF!+#REF!+#REF!+#REF!+#REF!+#REF!+#REF!+#REF!+#REF!</f>
        <v>#REF!</v>
      </c>
      <c r="G600" s="119" t="e">
        <f>#REF!+#REF!+#REF!+#REF!+#REF!+#REF!+#REF!+#REF!+#REF!+#REF!</f>
        <v>#REF!</v>
      </c>
      <c r="H600" s="1256"/>
      <c r="I600" s="659"/>
      <c r="EZ600" s="675"/>
      <c r="FA600" s="1049"/>
      <c r="FB600" s="1049"/>
      <c r="FC600" s="1049"/>
      <c r="FD600" s="1049"/>
      <c r="FE600" s="1049"/>
      <c r="FF600" s="1049"/>
      <c r="FG600" s="1049"/>
      <c r="FH600" s="1049"/>
      <c r="FI600" s="1049"/>
      <c r="FJ600" s="1049"/>
      <c r="FK600" s="1049"/>
      <c r="FL600" s="1049"/>
    </row>
    <row r="601" spans="1:168" s="1034" customFormat="1" x14ac:dyDescent="0.25">
      <c r="A601" s="133">
        <v>94</v>
      </c>
      <c r="B601" s="770" t="str">
        <f>CY14</f>
        <v>Варенье (абрикосовое)</v>
      </c>
      <c r="C601" s="710" t="e">
        <f>#REF!+#REF!++#REF!++#REF!+#REF!+#REF!+#REF!+#REF!++#REF!+#REF!</f>
        <v>#REF!</v>
      </c>
      <c r="D601" s="779">
        <f>цены!$F$106</f>
        <v>400</v>
      </c>
      <c r="E601" s="812" t="e">
        <f t="shared" si="477"/>
        <v>#REF!</v>
      </c>
      <c r="F601" s="710" t="e">
        <f>#REF!+#REF!+#REF!+#REF!+#REF!+#REF!+#REF!+#REF!+#REF!+#REF!</f>
        <v>#REF!</v>
      </c>
      <c r="G601" s="119" t="e">
        <f>#REF!+#REF!+#REF!+#REF!+#REF!+#REF!+#REF!+#REF!+#REF!+#REF!</f>
        <v>#REF!</v>
      </c>
      <c r="H601" s="1256"/>
      <c r="I601" s="659"/>
      <c r="EZ601" s="675"/>
      <c r="FA601" s="1049"/>
      <c r="FB601" s="1049"/>
      <c r="FC601" s="1049"/>
      <c r="FD601" s="1049"/>
      <c r="FE601" s="1049"/>
      <c r="FF601" s="1049"/>
      <c r="FG601" s="1049"/>
      <c r="FH601" s="1049"/>
      <c r="FI601" s="1049"/>
      <c r="FJ601" s="1049"/>
      <c r="FK601" s="1049"/>
      <c r="FL601" s="1049"/>
    </row>
    <row r="602" spans="1:168" s="1034" customFormat="1" x14ac:dyDescent="0.25">
      <c r="A602" s="133">
        <v>95</v>
      </c>
      <c r="B602" s="770" t="str">
        <f>CZ14</f>
        <v>Сахар белый свекловичный</v>
      </c>
      <c r="C602" s="710" t="e">
        <f>#REF!+#REF!++#REF!++#REF!+#REF!+#REF!+#REF!+#REF!++#REF!+#REF!</f>
        <v>#REF!</v>
      </c>
      <c r="D602" s="779">
        <f>цены!$F$107</f>
        <v>76</v>
      </c>
      <c r="E602" s="812" t="e">
        <f t="shared" si="477"/>
        <v>#REF!</v>
      </c>
      <c r="F602" s="710" t="e">
        <f>#REF!+#REF!+#REF!+#REF!+#REF!+#REF!+#REF!+#REF!+#REF!+#REF!</f>
        <v>#REF!</v>
      </c>
      <c r="G602" s="119" t="e">
        <f>#REF!+#REF!+#REF!+#REF!+#REF!+#REF!+#REF!+#REF!+#REF!+#REF!</f>
        <v>#REF!</v>
      </c>
      <c r="H602" s="1256"/>
      <c r="I602" s="659"/>
      <c r="EZ602" s="675"/>
      <c r="FA602" s="1049"/>
      <c r="FB602" s="1049"/>
      <c r="FC602" s="1049"/>
      <c r="FD602" s="1049"/>
      <c r="FE602" s="1049"/>
      <c r="FF602" s="1049"/>
      <c r="FG602" s="1049"/>
      <c r="FH602" s="1049"/>
      <c r="FI602" s="1049"/>
      <c r="FJ602" s="1049"/>
      <c r="FK602" s="1049"/>
      <c r="FL602" s="1049"/>
    </row>
    <row r="603" spans="1:168" s="1034" customFormat="1" x14ac:dyDescent="0.25">
      <c r="A603" s="133">
        <v>96</v>
      </c>
      <c r="B603" s="770" t="str">
        <f>DA14</f>
        <v xml:space="preserve">Пудра рафинированная сахарная </v>
      </c>
      <c r="C603" s="710" t="e">
        <f>#REF!+#REF!++#REF!++#REF!+#REF!+#REF!+#REF!+#REF!++#REF!+#REF!</f>
        <v>#REF!</v>
      </c>
      <c r="D603" s="779">
        <f>цены!$F$108</f>
        <v>140</v>
      </c>
      <c r="E603" s="812" t="e">
        <f t="shared" si="477"/>
        <v>#REF!</v>
      </c>
      <c r="F603" s="710" t="e">
        <f>#REF!+#REF!+#REF!+#REF!+#REF!+#REF!+#REF!+#REF!+#REF!+#REF!</f>
        <v>#REF!</v>
      </c>
      <c r="G603" s="119" t="e">
        <f>#REF!+#REF!+#REF!+#REF!+#REF!+#REF!+#REF!+#REF!+#REF!+#REF!</f>
        <v>#REF!</v>
      </c>
      <c r="H603" s="1256"/>
      <c r="I603" s="659"/>
      <c r="EZ603" s="675"/>
      <c r="FA603" s="1049"/>
      <c r="FB603" s="1049"/>
      <c r="FC603" s="1049"/>
      <c r="FD603" s="1049"/>
      <c r="FE603" s="1049"/>
      <c r="FF603" s="1049"/>
      <c r="FG603" s="1049"/>
      <c r="FH603" s="1049"/>
      <c r="FI603" s="1049"/>
      <c r="FJ603" s="1049"/>
      <c r="FK603" s="1049"/>
      <c r="FL603" s="1049"/>
    </row>
    <row r="604" spans="1:168" s="1034" customFormat="1" x14ac:dyDescent="0.25">
      <c r="A604" s="133">
        <v>97</v>
      </c>
      <c r="B604" s="770" t="str">
        <f>DB14</f>
        <v>Сок натуральный фруктовый с сахаром (3л.)</v>
      </c>
      <c r="C604" s="710" t="e">
        <f>#REF!+#REF!++#REF!++#REF!+#REF!+#REF!+#REF!+#REF!++#REF!+#REF!</f>
        <v>#REF!</v>
      </c>
      <c r="D604" s="779">
        <f>цены!$F$109</f>
        <v>39</v>
      </c>
      <c r="E604" s="812" t="e">
        <f t="shared" si="477"/>
        <v>#REF!</v>
      </c>
      <c r="F604" s="710" t="e">
        <f>#REF!+#REF!+#REF!+#REF!+#REF!+#REF!+#REF!+#REF!+#REF!+#REF!</f>
        <v>#REF!</v>
      </c>
      <c r="G604" s="119" t="e">
        <f>#REF!+#REF!+#REF!+#REF!+#REF!+#REF!+#REF!+#REF!+#REF!+#REF!</f>
        <v>#REF!</v>
      </c>
      <c r="H604" s="1256"/>
      <c r="I604" s="659"/>
      <c r="EZ604" s="675"/>
      <c r="FA604" s="1049"/>
      <c r="FB604" s="1049"/>
      <c r="FC604" s="1049"/>
      <c r="FD604" s="1049"/>
      <c r="FE604" s="1049"/>
      <c r="FF604" s="1049"/>
      <c r="FG604" s="1049"/>
      <c r="FH604" s="1049"/>
      <c r="FI604" s="1049"/>
      <c r="FJ604" s="1049"/>
      <c r="FK604" s="1049"/>
      <c r="FL604" s="1049"/>
    </row>
    <row r="605" spans="1:168" s="1034" customFormat="1" x14ac:dyDescent="0.25">
      <c r="A605" s="133">
        <v>98</v>
      </c>
      <c r="B605" s="770" t="str">
        <f>DC14</f>
        <v>Соль йодированная</v>
      </c>
      <c r="C605" s="710" t="e">
        <f>#REF!+#REF!++#REF!++#REF!+#REF!+#REF!+#REF!+#REF!++#REF!+#REF!</f>
        <v>#REF!</v>
      </c>
      <c r="D605" s="779">
        <f>цены!$F$110</f>
        <v>24</v>
      </c>
      <c r="E605" s="812" t="e">
        <f t="shared" si="477"/>
        <v>#REF!</v>
      </c>
      <c r="F605" s="710" t="e">
        <f>#REF!+#REF!+#REF!+#REF!+#REF!+#REF!+#REF!+#REF!+#REF!+#REF!</f>
        <v>#REF!</v>
      </c>
      <c r="G605" s="119" t="e">
        <f>#REF!+#REF!+#REF!+#REF!+#REF!+#REF!+#REF!+#REF!+#REF!+#REF!</f>
        <v>#REF!</v>
      </c>
      <c r="H605" s="1256"/>
      <c r="I605" s="659"/>
      <c r="EZ605" s="675"/>
      <c r="FA605" s="1049"/>
      <c r="FB605" s="1049"/>
      <c r="FC605" s="1049"/>
      <c r="FD605" s="1049"/>
      <c r="FE605" s="1049"/>
      <c r="FF605" s="1049"/>
      <c r="FG605" s="1049"/>
      <c r="FH605" s="1049"/>
      <c r="FI605" s="1049"/>
      <c r="FJ605" s="1049"/>
      <c r="FK605" s="1049"/>
      <c r="FL605" s="1049"/>
    </row>
    <row r="606" spans="1:168" s="1034" customFormat="1" x14ac:dyDescent="0.25">
      <c r="A606" s="133">
        <v>99</v>
      </c>
      <c r="B606" s="770" t="str">
        <f>DD14</f>
        <v>Сухари панировочные</v>
      </c>
      <c r="C606" s="710" t="e">
        <f>#REF!+#REF!++#REF!++#REF!+#REF!+#REF!+#REF!+#REF!++#REF!+#REF!</f>
        <v>#REF!</v>
      </c>
      <c r="D606" s="779">
        <f>цены!$F$111</f>
        <v>118</v>
      </c>
      <c r="E606" s="812" t="e">
        <f t="shared" si="477"/>
        <v>#REF!</v>
      </c>
      <c r="F606" s="710" t="e">
        <f>#REF!+#REF!+#REF!+#REF!+#REF!+#REF!+#REF!+#REF!+#REF!+#REF!</f>
        <v>#REF!</v>
      </c>
      <c r="G606" s="119" t="e">
        <f>#REF!+#REF!+#REF!+#REF!+#REF!+#REF!+#REF!+#REF!+#REF!+#REF!</f>
        <v>#REF!</v>
      </c>
      <c r="H606" s="1256"/>
      <c r="I606" s="659"/>
      <c r="EZ606" s="675"/>
      <c r="FA606" s="1049"/>
      <c r="FB606" s="1049"/>
      <c r="FC606" s="1049"/>
      <c r="FD606" s="1049"/>
      <c r="FE606" s="1049"/>
      <c r="FF606" s="1049"/>
      <c r="FG606" s="1049"/>
      <c r="FH606" s="1049"/>
      <c r="FI606" s="1049"/>
      <c r="FJ606" s="1049"/>
      <c r="FK606" s="1049"/>
      <c r="FL606" s="1049"/>
    </row>
    <row r="607" spans="1:168" s="1034" customFormat="1" x14ac:dyDescent="0.25">
      <c r="A607" s="133">
        <v>100</v>
      </c>
      <c r="B607" s="770" t="str">
        <f>DE14</f>
        <v>Смеси сушеных фруктов</v>
      </c>
      <c r="C607" s="710" t="e">
        <f>#REF!+#REF!++#REF!++#REF!+#REF!+#REF!+#REF!+#REF!++#REF!+#REF!</f>
        <v>#REF!</v>
      </c>
      <c r="D607" s="779">
        <f>цены!$F$112</f>
        <v>130</v>
      </c>
      <c r="E607" s="812" t="e">
        <f t="shared" si="477"/>
        <v>#REF!</v>
      </c>
      <c r="F607" s="710" t="e">
        <f>#REF!+#REF!+#REF!+#REF!+#REF!+#REF!+#REF!+#REF!+#REF!+#REF!</f>
        <v>#REF!</v>
      </c>
      <c r="G607" s="119" t="e">
        <f>#REF!+#REF!+#REF!+#REF!+#REF!+#REF!+#REF!+#REF!+#REF!+#REF!</f>
        <v>#REF!</v>
      </c>
      <c r="H607" s="1256"/>
      <c r="I607" s="659"/>
      <c r="EZ607" s="675"/>
      <c r="FA607" s="1049"/>
      <c r="FB607" s="1049"/>
      <c r="FC607" s="1049"/>
      <c r="FD607" s="1049"/>
      <c r="FE607" s="1049"/>
      <c r="FF607" s="1049"/>
      <c r="FG607" s="1049"/>
      <c r="FH607" s="1049"/>
      <c r="FI607" s="1049"/>
      <c r="FJ607" s="1049"/>
      <c r="FK607" s="1049"/>
      <c r="FL607" s="1049"/>
    </row>
    <row r="608" spans="1:168" s="1034" customFormat="1" x14ac:dyDescent="0.25">
      <c r="A608" s="133">
        <v>101</v>
      </c>
      <c r="B608" s="770" t="str">
        <f>DF14</f>
        <v>Пюре томатное концентрированное</v>
      </c>
      <c r="C608" s="710" t="e">
        <f>#REF!+#REF!++#REF!++#REF!+#REF!+#REF!+#REF!+#REF!++#REF!+#REF!</f>
        <v>#REF!</v>
      </c>
      <c r="D608" s="779">
        <f>цены!$F$113</f>
        <v>230</v>
      </c>
      <c r="E608" s="812" t="e">
        <f t="shared" si="477"/>
        <v>#REF!</v>
      </c>
      <c r="F608" s="710" t="e">
        <f>#REF!+#REF!+#REF!+#REF!+#REF!+#REF!+#REF!+#REF!+#REF!+#REF!</f>
        <v>#REF!</v>
      </c>
      <c r="G608" s="119" t="e">
        <f>#REF!+#REF!+#REF!+#REF!+#REF!+#REF!+#REF!+#REF!+#REF!+#REF!</f>
        <v>#REF!</v>
      </c>
      <c r="H608" s="1256"/>
      <c r="I608" s="659"/>
      <c r="EZ608" s="675"/>
      <c r="FA608" s="1049"/>
      <c r="FB608" s="1049"/>
      <c r="FC608" s="1049"/>
      <c r="FD608" s="1049"/>
      <c r="FE608" s="1049"/>
      <c r="FF608" s="1049"/>
      <c r="FG608" s="1049"/>
      <c r="FH608" s="1049"/>
      <c r="FI608" s="1049"/>
      <c r="FJ608" s="1049"/>
      <c r="FK608" s="1049"/>
      <c r="FL608" s="1049"/>
    </row>
    <row r="609" spans="1:168" s="1034" customFormat="1" x14ac:dyDescent="0.25">
      <c r="A609" s="133">
        <v>102</v>
      </c>
      <c r="B609" s="770" t="str">
        <f>DG14</f>
        <v>Икра кабачковая</v>
      </c>
      <c r="C609" s="710" t="e">
        <f>#REF!+#REF!++#REF!++#REF!+#REF!+#REF!+#REF!+#REF!++#REF!+#REF!</f>
        <v>#REF!</v>
      </c>
      <c r="D609" s="779">
        <f>цены!$F$114</f>
        <v>120</v>
      </c>
      <c r="E609" s="812" t="e">
        <f t="shared" si="477"/>
        <v>#REF!</v>
      </c>
      <c r="F609" s="710" t="e">
        <f>#REF!+#REF!+#REF!+#REF!+#REF!+#REF!+#REF!+#REF!+#REF!+#REF!</f>
        <v>#REF!</v>
      </c>
      <c r="G609" s="119" t="e">
        <f>#REF!+#REF!+#REF!+#REF!+#REF!+#REF!+#REF!+#REF!+#REF!+#REF!</f>
        <v>#REF!</v>
      </c>
      <c r="H609" s="1256"/>
      <c r="I609" s="659"/>
      <c r="EZ609" s="675"/>
      <c r="FA609" s="1049"/>
      <c r="FB609" s="1049"/>
      <c r="FC609" s="1049"/>
      <c r="FD609" s="1049"/>
      <c r="FE609" s="1049"/>
      <c r="FF609" s="1049"/>
      <c r="FG609" s="1049"/>
      <c r="FH609" s="1049"/>
      <c r="FI609" s="1049"/>
      <c r="FJ609" s="1049"/>
      <c r="FK609" s="1049"/>
      <c r="FL609" s="1049"/>
    </row>
    <row r="610" spans="1:168" s="1034" customFormat="1" x14ac:dyDescent="0.25">
      <c r="A610" s="133">
        <v>103</v>
      </c>
      <c r="B610" s="770" t="str">
        <f>DH14</f>
        <v>Плоды шиповника сушеные</v>
      </c>
      <c r="C610" s="710" t="e">
        <f>#REF!+#REF!++#REF!++#REF!+#REF!+#REF!+#REF!+#REF!++#REF!+#REF!</f>
        <v>#REF!</v>
      </c>
      <c r="D610" s="779">
        <f>цены!$F$115</f>
        <v>100</v>
      </c>
      <c r="E610" s="812" t="e">
        <f t="shared" si="477"/>
        <v>#REF!</v>
      </c>
      <c r="F610" s="710" t="e">
        <f>#REF!+#REF!+#REF!+#REF!+#REF!+#REF!+#REF!+#REF!+#REF!+#REF!</f>
        <v>#REF!</v>
      </c>
      <c r="G610" s="119" t="e">
        <f>#REF!+#REF!+#REF!+#REF!+#REF!+#REF!+#REF!+#REF!+#REF!+#REF!</f>
        <v>#REF!</v>
      </c>
      <c r="H610" s="1256"/>
      <c r="I610" s="659"/>
      <c r="EZ610" s="675"/>
      <c r="FA610" s="1049"/>
      <c r="FB610" s="1049"/>
      <c r="FC610" s="1049"/>
      <c r="FD610" s="1049"/>
      <c r="FE610" s="1049"/>
      <c r="FF610" s="1049"/>
      <c r="FG610" s="1049"/>
      <c r="FH610" s="1049"/>
      <c r="FI610" s="1049"/>
      <c r="FJ610" s="1049"/>
      <c r="FK610" s="1049"/>
      <c r="FL610" s="1049"/>
    </row>
    <row r="611" spans="1:168" s="1034" customFormat="1" x14ac:dyDescent="0.25">
      <c r="A611" s="133">
        <v>104</v>
      </c>
      <c r="B611" s="770" t="str">
        <f>DI14</f>
        <v>Разрыхлитель (аммоний углекислый)</v>
      </c>
      <c r="C611" s="710" t="e">
        <f>#REF!+#REF!++#REF!++#REF!+#REF!+#REF!+#REF!+#REF!++#REF!+#REF!</f>
        <v>#REF!</v>
      </c>
      <c r="D611" s="779">
        <f>цены!$F$116</f>
        <v>2000</v>
      </c>
      <c r="E611" s="812" t="e">
        <f t="shared" si="477"/>
        <v>#REF!</v>
      </c>
      <c r="F611" s="710" t="e">
        <f>#REF!+#REF!+#REF!+#REF!+#REF!+#REF!+#REF!+#REF!+#REF!+#REF!</f>
        <v>#REF!</v>
      </c>
      <c r="G611" s="119" t="e">
        <f>#REF!+#REF!+#REF!+#REF!+#REF!+#REF!+#REF!+#REF!+#REF!+#REF!</f>
        <v>#REF!</v>
      </c>
      <c r="H611" s="1256"/>
      <c r="I611" s="659"/>
      <c r="EZ611" s="675"/>
      <c r="FA611" s="1049"/>
      <c r="FB611" s="1049"/>
      <c r="FC611" s="1049"/>
      <c r="FD611" s="1049"/>
      <c r="FE611" s="1049"/>
      <c r="FF611" s="1049"/>
      <c r="FG611" s="1049"/>
      <c r="FH611" s="1049"/>
      <c r="FI611" s="1049"/>
      <c r="FJ611" s="1049"/>
      <c r="FK611" s="1049"/>
      <c r="FL611" s="1049"/>
    </row>
    <row r="612" spans="1:168" s="1034" customFormat="1" x14ac:dyDescent="0.25">
      <c r="A612" s="133">
        <v>105</v>
      </c>
      <c r="B612" s="770" t="str">
        <f>DJ14</f>
        <v>Корица молотая</v>
      </c>
      <c r="C612" s="710" t="e">
        <f>#REF!+#REF!++#REF!++#REF!+#REF!+#REF!+#REF!+#REF!++#REF!+#REF!</f>
        <v>#REF!</v>
      </c>
      <c r="D612" s="779">
        <f>цены!$F$117</f>
        <v>1210</v>
      </c>
      <c r="E612" s="812" t="e">
        <f t="shared" si="477"/>
        <v>#REF!</v>
      </c>
      <c r="F612" s="710" t="e">
        <f>#REF!+#REF!+#REF!+#REF!+#REF!+#REF!+#REF!+#REF!+#REF!+#REF!</f>
        <v>#REF!</v>
      </c>
      <c r="G612" s="119" t="e">
        <f>#REF!+#REF!+#REF!+#REF!+#REF!+#REF!+#REF!+#REF!+#REF!+#REF!</f>
        <v>#REF!</v>
      </c>
      <c r="H612" s="1256"/>
      <c r="I612" s="659"/>
      <c r="EZ612" s="675"/>
      <c r="FA612" s="1049"/>
      <c r="FB612" s="1049"/>
      <c r="FC612" s="1049"/>
      <c r="FD612" s="1049"/>
      <c r="FE612" s="1049"/>
      <c r="FF612" s="1049"/>
      <c r="FG612" s="1049"/>
      <c r="FH612" s="1049"/>
      <c r="FI612" s="1049"/>
      <c r="FJ612" s="1049"/>
      <c r="FK612" s="1049"/>
      <c r="FL612" s="1049"/>
    </row>
    <row r="613" spans="1:168" s="1034" customFormat="1" x14ac:dyDescent="0.25">
      <c r="A613" s="133">
        <v>106</v>
      </c>
      <c r="B613" s="770" t="str">
        <f>DK14</f>
        <v>Пряности обработанные прочие</v>
      </c>
      <c r="C613" s="710" t="e">
        <f>#REF!+#REF!++#REF!++#REF!+#REF!+#REF!+#REF!+#REF!++#REF!+#REF!</f>
        <v>#REF!</v>
      </c>
      <c r="D613" s="779">
        <f>цены!$F$118</f>
        <v>1420</v>
      </c>
      <c r="E613" s="812" t="e">
        <f t="shared" si="477"/>
        <v>#REF!</v>
      </c>
      <c r="F613" s="710" t="e">
        <f>#REF!+#REF!+#REF!+#REF!+#REF!+#REF!+#REF!+#REF!+#REF!+#REF!</f>
        <v>#REF!</v>
      </c>
      <c r="G613" s="119" t="e">
        <f>#REF!+#REF!+#REF!+#REF!+#REF!+#REF!+#REF!+#REF!+#REF!+#REF!</f>
        <v>#REF!</v>
      </c>
      <c r="H613" s="1256"/>
      <c r="I613" s="659"/>
      <c r="EZ613" s="675"/>
      <c r="FA613" s="1049"/>
      <c r="FB613" s="1049"/>
      <c r="FC613" s="1049"/>
      <c r="FD613" s="1049"/>
      <c r="FE613" s="1049"/>
      <c r="FF613" s="1049"/>
      <c r="FG613" s="1049"/>
      <c r="FH613" s="1049"/>
      <c r="FI613" s="1049"/>
      <c r="FJ613" s="1049"/>
      <c r="FK613" s="1049"/>
      <c r="FL613" s="1049"/>
    </row>
    <row r="614" spans="1:168" s="1034" customFormat="1" x14ac:dyDescent="0.25">
      <c r="A614" s="133">
        <v>107</v>
      </c>
      <c r="B614" s="770" t="str">
        <f>DL14</f>
        <v>Горох</v>
      </c>
      <c r="C614" s="710" t="e">
        <f>#REF!+#REF!++#REF!++#REF!+#REF!+#REF!+#REF!+#REF!++#REF!+#REF!</f>
        <v>#REF!</v>
      </c>
      <c r="D614" s="779">
        <f>цены!$F$119</f>
        <v>50</v>
      </c>
      <c r="E614" s="812" t="e">
        <f t="shared" si="477"/>
        <v>#REF!</v>
      </c>
      <c r="F614" s="710" t="e">
        <f>#REF!+#REF!+#REF!+#REF!+#REF!+#REF!+#REF!+#REF!+#REF!+#REF!</f>
        <v>#REF!</v>
      </c>
      <c r="G614" s="119" t="e">
        <f>#REF!+#REF!+#REF!+#REF!+#REF!+#REF!+#REF!+#REF!+#REF!+#REF!</f>
        <v>#REF!</v>
      </c>
      <c r="H614" s="1256"/>
      <c r="I614" s="659"/>
      <c r="EZ614" s="675"/>
      <c r="FA614" s="1049"/>
      <c r="FB614" s="1049"/>
      <c r="FC614" s="1049"/>
      <c r="FD614" s="1049"/>
      <c r="FE614" s="1049"/>
      <c r="FF614" s="1049"/>
      <c r="FG614" s="1049"/>
      <c r="FH614" s="1049"/>
      <c r="FI614" s="1049"/>
      <c r="FJ614" s="1049"/>
      <c r="FK614" s="1049"/>
      <c r="FL614" s="1049"/>
    </row>
    <row r="615" spans="1:168" s="1034" customFormat="1" x14ac:dyDescent="0.25">
      <c r="A615" s="133">
        <v>108</v>
      </c>
      <c r="B615" s="770" t="str">
        <f>DM14</f>
        <v>Фасоль</v>
      </c>
      <c r="C615" s="710" t="e">
        <f>#REF!+#REF!++#REF!++#REF!+#REF!+#REF!+#REF!+#REF!++#REF!+#REF!</f>
        <v>#REF!</v>
      </c>
      <c r="D615" s="779">
        <f>цены!$F$120</f>
        <v>180</v>
      </c>
      <c r="E615" s="812" t="e">
        <f t="shared" si="477"/>
        <v>#REF!</v>
      </c>
      <c r="F615" s="710" t="e">
        <f>#REF!+#REF!+#REF!+#REF!+#REF!+#REF!+#REF!+#REF!+#REF!+#REF!</f>
        <v>#REF!</v>
      </c>
      <c r="G615" s="119" t="e">
        <f>#REF!+#REF!+#REF!+#REF!+#REF!+#REF!+#REF!+#REF!+#REF!+#REF!</f>
        <v>#REF!</v>
      </c>
      <c r="H615" s="1256"/>
      <c r="I615" s="659"/>
      <c r="EZ615" s="675"/>
      <c r="FA615" s="1049"/>
      <c r="FB615" s="1049"/>
      <c r="FC615" s="1049"/>
      <c r="FD615" s="1049"/>
      <c r="FE615" s="1049"/>
      <c r="FF615" s="1049"/>
      <c r="FG615" s="1049"/>
      <c r="FH615" s="1049"/>
      <c r="FI615" s="1049"/>
      <c r="FJ615" s="1049"/>
      <c r="FK615" s="1049"/>
      <c r="FL615" s="1049"/>
    </row>
    <row r="616" spans="1:168" s="1034" customFormat="1" x14ac:dyDescent="0.25">
      <c r="A616" s="133">
        <v>109</v>
      </c>
      <c r="B616" s="770" t="str">
        <f>DN14</f>
        <v>Чечевица</v>
      </c>
      <c r="C616" s="710" t="e">
        <f>#REF!+#REF!++#REF!++#REF!+#REF!+#REF!+#REF!+#REF!++#REF!+#REF!</f>
        <v>#REF!</v>
      </c>
      <c r="D616" s="779">
        <f>цены!$F$121</f>
        <v>125</v>
      </c>
      <c r="E616" s="812" t="e">
        <f t="shared" si="477"/>
        <v>#REF!</v>
      </c>
      <c r="F616" s="710" t="e">
        <f>#REF!+#REF!+#REF!+#REF!+#REF!+#REF!+#REF!+#REF!+#REF!+#REF!</f>
        <v>#REF!</v>
      </c>
      <c r="G616" s="119" t="e">
        <f>#REF!+#REF!+#REF!+#REF!+#REF!+#REF!+#REF!+#REF!+#REF!+#REF!</f>
        <v>#REF!</v>
      </c>
      <c r="H616" s="1256"/>
      <c r="I616" s="659"/>
      <c r="EZ616" s="675"/>
      <c r="FA616" s="1049"/>
      <c r="FB616" s="1049"/>
      <c r="FC616" s="1049"/>
      <c r="FD616" s="1049"/>
      <c r="FE616" s="1049"/>
      <c r="FF616" s="1049"/>
      <c r="FG616" s="1049"/>
      <c r="FH616" s="1049"/>
      <c r="FI616" s="1049"/>
      <c r="FJ616" s="1049"/>
      <c r="FK616" s="1049"/>
      <c r="FL616" s="1049"/>
    </row>
    <row r="617" spans="1:168" s="1034" customFormat="1" x14ac:dyDescent="0.25">
      <c r="A617" s="133">
        <v>110</v>
      </c>
      <c r="B617" s="770" t="str">
        <f>DO14</f>
        <v>Курага</v>
      </c>
      <c r="C617" s="710" t="e">
        <f>#REF!+#REF!++#REF!++#REF!+#REF!+#REF!+#REF!+#REF!++#REF!+#REF!</f>
        <v>#REF!</v>
      </c>
      <c r="D617" s="779">
        <f>цены!$F$122</f>
        <v>250</v>
      </c>
      <c r="E617" s="812" t="e">
        <f t="shared" si="477"/>
        <v>#REF!</v>
      </c>
      <c r="F617" s="710" t="e">
        <f>#REF!+#REF!+#REF!+#REF!+#REF!+#REF!+#REF!+#REF!+#REF!+#REF!</f>
        <v>#REF!</v>
      </c>
      <c r="G617" s="119" t="e">
        <f>#REF!+#REF!+#REF!+#REF!+#REF!+#REF!+#REF!+#REF!+#REF!+#REF!</f>
        <v>#REF!</v>
      </c>
      <c r="H617" s="1256"/>
      <c r="I617" s="659"/>
      <c r="EZ617" s="675"/>
      <c r="FA617" s="1049"/>
      <c r="FB617" s="1049"/>
      <c r="FC617" s="1049"/>
      <c r="FD617" s="1049"/>
      <c r="FE617" s="1049"/>
      <c r="FF617" s="1049"/>
      <c r="FG617" s="1049"/>
      <c r="FH617" s="1049"/>
      <c r="FI617" s="1049"/>
      <c r="FJ617" s="1049"/>
      <c r="FK617" s="1049"/>
      <c r="FL617" s="1049"/>
    </row>
    <row r="618" spans="1:168" s="1034" customFormat="1" x14ac:dyDescent="0.25">
      <c r="A618" s="133">
        <v>111</v>
      </c>
      <c r="B618" s="770" t="str">
        <f>DP14</f>
        <v>Финики</v>
      </c>
      <c r="C618" s="710" t="e">
        <f>#REF!+#REF!++#REF!++#REF!+#REF!+#REF!+#REF!+#REF!++#REF!+#REF!</f>
        <v>#REF!</v>
      </c>
      <c r="D618" s="779">
        <f>цены!$F$123</f>
        <v>250</v>
      </c>
      <c r="E618" s="812" t="e">
        <f t="shared" si="477"/>
        <v>#REF!</v>
      </c>
      <c r="F618" s="710" t="e">
        <f>#REF!+#REF!+#REF!+#REF!+#REF!+#REF!+#REF!+#REF!+#REF!+#REF!</f>
        <v>#REF!</v>
      </c>
      <c r="G618" s="119" t="e">
        <f>#REF!+#REF!+#REF!+#REF!+#REF!+#REF!+#REF!+#REF!+#REF!+#REF!</f>
        <v>#REF!</v>
      </c>
      <c r="H618" s="1256"/>
      <c r="I618" s="659"/>
      <c r="EZ618" s="675"/>
      <c r="FA618" s="1049"/>
      <c r="FB618" s="1049"/>
      <c r="FC618" s="1049"/>
      <c r="FD618" s="1049"/>
      <c r="FE618" s="1049"/>
      <c r="FF618" s="1049"/>
      <c r="FG618" s="1049"/>
      <c r="FH618" s="1049"/>
      <c r="FI618" s="1049"/>
      <c r="FJ618" s="1049"/>
      <c r="FK618" s="1049"/>
      <c r="FL618" s="1049"/>
    </row>
    <row r="619" spans="1:168" s="1034" customFormat="1" x14ac:dyDescent="0.25">
      <c r="A619" s="133">
        <v>112</v>
      </c>
      <c r="B619" s="770" t="str">
        <f>DQ14</f>
        <v>Орех грецкий</v>
      </c>
      <c r="C619" s="710" t="e">
        <f>#REF!+#REF!++#REF!++#REF!+#REF!+#REF!+#REF!+#REF!++#REF!+#REF!</f>
        <v>#REF!</v>
      </c>
      <c r="D619" s="779">
        <f>цены!$F$124</f>
        <v>250</v>
      </c>
      <c r="E619" s="812" t="e">
        <f t="shared" si="477"/>
        <v>#REF!</v>
      </c>
      <c r="F619" s="710" t="e">
        <f>#REF!+#REF!+#REF!+#REF!+#REF!+#REF!+#REF!+#REF!+#REF!+#REF!</f>
        <v>#REF!</v>
      </c>
      <c r="G619" s="119" t="e">
        <f>#REF!+#REF!+#REF!+#REF!+#REF!+#REF!+#REF!+#REF!+#REF!+#REF!</f>
        <v>#REF!</v>
      </c>
      <c r="H619" s="1256"/>
      <c r="I619" s="659"/>
      <c r="EZ619" s="675"/>
      <c r="FA619" s="1049"/>
      <c r="FB619" s="1049"/>
      <c r="FC619" s="1049"/>
      <c r="FD619" s="1049"/>
      <c r="FE619" s="1049"/>
      <c r="FF619" s="1049"/>
      <c r="FG619" s="1049"/>
      <c r="FH619" s="1049"/>
      <c r="FI619" s="1049"/>
      <c r="FJ619" s="1049"/>
      <c r="FK619" s="1049"/>
      <c r="FL619" s="1049"/>
    </row>
    <row r="620" spans="1:168" s="1034" customFormat="1" x14ac:dyDescent="0.25">
      <c r="A620" s="133">
        <v>113</v>
      </c>
      <c r="B620" s="770" t="str">
        <f>DR14</f>
        <v>Чай черный байховый высшего сорта</v>
      </c>
      <c r="C620" s="710" t="e">
        <f>#REF!+#REF!++#REF!++#REF!+#REF!+#REF!+#REF!+#REF!++#REF!+#REF!</f>
        <v>#REF!</v>
      </c>
      <c r="D620" s="779">
        <f>цены!$F$125</f>
        <v>900</v>
      </c>
      <c r="E620" s="812" t="e">
        <f t="shared" si="477"/>
        <v>#REF!</v>
      </c>
      <c r="F620" s="710" t="e">
        <f>#REF!+#REF!+#REF!+#REF!+#REF!+#REF!+#REF!+#REF!+#REF!+#REF!</f>
        <v>#REF!</v>
      </c>
      <c r="G620" s="119" t="e">
        <f>#REF!+#REF!+#REF!+#REF!+#REF!+#REF!+#REF!+#REF!+#REF!+#REF!</f>
        <v>#REF!</v>
      </c>
      <c r="H620" s="1256"/>
      <c r="I620" s="659"/>
      <c r="EZ620" s="675"/>
      <c r="FA620" s="1049"/>
      <c r="FB620" s="1049"/>
      <c r="FC620" s="1049"/>
      <c r="FD620" s="1049"/>
      <c r="FE620" s="1049"/>
      <c r="FF620" s="1049"/>
      <c r="FG620" s="1049"/>
      <c r="FH620" s="1049"/>
      <c r="FI620" s="1049"/>
      <c r="FJ620" s="1049"/>
      <c r="FK620" s="1049"/>
      <c r="FL620" s="1049"/>
    </row>
    <row r="621" spans="1:168" s="1034" customFormat="1" x14ac:dyDescent="0.25">
      <c r="A621" s="133">
        <v>114</v>
      </c>
      <c r="B621" s="770" t="str">
        <f>DS14</f>
        <v>Яблоки сушеные</v>
      </c>
      <c r="C621" s="710" t="e">
        <f>#REF!+#REF!++#REF!++#REF!+#REF!+#REF!+#REF!+#REF!++#REF!+#REF!</f>
        <v>#REF!</v>
      </c>
      <c r="D621" s="779">
        <f>цены!$F$126</f>
        <v>130</v>
      </c>
      <c r="E621" s="812" t="e">
        <f t="shared" si="477"/>
        <v>#REF!</v>
      </c>
      <c r="F621" s="710" t="e">
        <f>#REF!+#REF!+#REF!+#REF!+#REF!+#REF!+#REF!+#REF!+#REF!+#REF!</f>
        <v>#REF!</v>
      </c>
      <c r="G621" s="119" t="e">
        <f>#REF!+#REF!+#REF!+#REF!+#REF!+#REF!+#REF!+#REF!+#REF!+#REF!</f>
        <v>#REF!</v>
      </c>
      <c r="H621" s="1256"/>
      <c r="I621" s="659"/>
      <c r="EZ621" s="675"/>
      <c r="FA621" s="1049"/>
      <c r="FB621" s="1049"/>
      <c r="FC621" s="1049"/>
      <c r="FD621" s="1049"/>
      <c r="FE621" s="1049"/>
      <c r="FF621" s="1049"/>
      <c r="FG621" s="1049"/>
      <c r="FH621" s="1049"/>
      <c r="FI621" s="1049"/>
      <c r="FJ621" s="1049"/>
      <c r="FK621" s="1049"/>
      <c r="FL621" s="1049"/>
    </row>
    <row r="622" spans="1:168" s="1034" customFormat="1" ht="27.6" x14ac:dyDescent="0.25">
      <c r="A622" s="133">
        <v>115</v>
      </c>
      <c r="B622" s="770" t="str">
        <f>DT14</f>
        <v>Компот концентрированный из плодов консервированных</v>
      </c>
      <c r="C622" s="710" t="e">
        <f>#REF!+#REF!++#REF!++#REF!+#REF!+#REF!+#REF!+#REF!++#REF!+#REF!</f>
        <v>#REF!</v>
      </c>
      <c r="D622" s="779">
        <f>цены!$F$127</f>
        <v>181</v>
      </c>
      <c r="E622" s="812" t="e">
        <f t="shared" si="477"/>
        <v>#REF!</v>
      </c>
      <c r="F622" s="710" t="e">
        <f>#REF!+#REF!+#REF!+#REF!+#REF!+#REF!+#REF!+#REF!+#REF!+#REF!</f>
        <v>#REF!</v>
      </c>
      <c r="G622" s="119" t="e">
        <f>#REF!+#REF!+#REF!+#REF!+#REF!+#REF!+#REF!+#REF!+#REF!+#REF!</f>
        <v>#REF!</v>
      </c>
      <c r="H622" s="1256"/>
      <c r="I622" s="659"/>
      <c r="EZ622" s="675"/>
      <c r="FA622" s="1049"/>
      <c r="FB622" s="1049"/>
      <c r="FC622" s="1049"/>
      <c r="FD622" s="1049"/>
      <c r="FE622" s="1049"/>
      <c r="FF622" s="1049"/>
      <c r="FG622" s="1049"/>
      <c r="FH622" s="1049"/>
      <c r="FI622" s="1049"/>
      <c r="FJ622" s="1049"/>
      <c r="FK622" s="1049"/>
      <c r="FL622" s="1049"/>
    </row>
    <row r="623" spans="1:168" s="1034" customFormat="1" x14ac:dyDescent="0.25">
      <c r="A623" s="133">
        <v>116</v>
      </c>
      <c r="B623" s="770" t="str">
        <f>DU14</f>
        <v>Зеленый горошек консервированный</v>
      </c>
      <c r="C623" s="710" t="e">
        <f>#REF!+#REF!++#REF!++#REF!+#REF!+#REF!+#REF!+#REF!++#REF!+#REF!</f>
        <v>#REF!</v>
      </c>
      <c r="D623" s="779">
        <f>цены!$F$128</f>
        <v>126</v>
      </c>
      <c r="E623" s="812" t="e">
        <f t="shared" si="477"/>
        <v>#REF!</v>
      </c>
      <c r="F623" s="710" t="e">
        <f>#REF!+#REF!+#REF!+#REF!+#REF!+#REF!+#REF!+#REF!+#REF!+#REF!</f>
        <v>#REF!</v>
      </c>
      <c r="G623" s="119" t="e">
        <f>#REF!+#REF!+#REF!+#REF!+#REF!+#REF!+#REF!+#REF!+#REF!+#REF!</f>
        <v>#REF!</v>
      </c>
      <c r="H623" s="1256"/>
      <c r="I623" s="659"/>
      <c r="EZ623" s="675"/>
      <c r="FA623" s="1049"/>
      <c r="FB623" s="1049"/>
      <c r="FC623" s="1049"/>
      <c r="FD623" s="1049"/>
      <c r="FE623" s="1049"/>
      <c r="FF623" s="1049"/>
      <c r="FG623" s="1049"/>
      <c r="FH623" s="1049"/>
      <c r="FI623" s="1049"/>
      <c r="FJ623" s="1049"/>
      <c r="FK623" s="1049"/>
      <c r="FL623" s="1049"/>
    </row>
    <row r="624" spans="1:168" s="1034" customFormat="1" x14ac:dyDescent="0.25">
      <c r="A624" s="133">
        <v>117</v>
      </c>
      <c r="B624" s="770" t="str">
        <f>DV14</f>
        <v>Фасоль стручковая консервированная</v>
      </c>
      <c r="C624" s="710" t="e">
        <f>#REF!+#REF!++#REF!++#REF!+#REF!+#REF!+#REF!+#REF!++#REF!+#REF!</f>
        <v>#REF!</v>
      </c>
      <c r="D624" s="779">
        <f>цены!$F$129</f>
        <v>147</v>
      </c>
      <c r="E624" s="812" t="e">
        <f t="shared" si="477"/>
        <v>#REF!</v>
      </c>
      <c r="F624" s="710" t="e">
        <f>#REF!+#REF!+#REF!+#REF!+#REF!+#REF!+#REF!+#REF!+#REF!+#REF!</f>
        <v>#REF!</v>
      </c>
      <c r="G624" s="119" t="e">
        <f>#REF!+#REF!+#REF!+#REF!+#REF!+#REF!+#REF!+#REF!+#REF!+#REF!</f>
        <v>#REF!</v>
      </c>
      <c r="H624" s="1256"/>
      <c r="I624" s="659"/>
      <c r="EZ624" s="675"/>
      <c r="FA624" s="1049"/>
      <c r="FB624" s="1049"/>
      <c r="FC624" s="1049"/>
      <c r="FD624" s="1049"/>
      <c r="FE624" s="1049"/>
      <c r="FF624" s="1049"/>
      <c r="FG624" s="1049"/>
      <c r="FH624" s="1049"/>
      <c r="FI624" s="1049"/>
      <c r="FJ624" s="1049"/>
      <c r="FK624" s="1049"/>
      <c r="FL624" s="1049"/>
    </row>
    <row r="625" spans="1:168" s="1034" customFormat="1" x14ac:dyDescent="0.25">
      <c r="A625" s="133">
        <v>118</v>
      </c>
      <c r="B625" s="770" t="str">
        <f>DW14</f>
        <v>Кукуруза консервированная</v>
      </c>
      <c r="C625" s="710" t="e">
        <f>#REF!+#REF!++#REF!++#REF!+#REF!+#REF!+#REF!+#REF!++#REF!+#REF!</f>
        <v>#REF!</v>
      </c>
      <c r="D625" s="779">
        <f>цены!$F$130</f>
        <v>143</v>
      </c>
      <c r="E625" s="812" t="e">
        <f t="shared" si="477"/>
        <v>#REF!</v>
      </c>
      <c r="F625" s="710" t="e">
        <f>#REF!+#REF!+#REF!+#REF!+#REF!+#REF!+#REF!+#REF!+#REF!+#REF!</f>
        <v>#REF!</v>
      </c>
      <c r="G625" s="119" t="e">
        <f>#REF!+#REF!+#REF!+#REF!+#REF!+#REF!+#REF!+#REF!+#REF!+#REF!</f>
        <v>#REF!</v>
      </c>
      <c r="H625" s="1256"/>
      <c r="I625" s="659"/>
      <c r="EZ625" s="675"/>
      <c r="FA625" s="1049"/>
      <c r="FB625" s="1049"/>
      <c r="FC625" s="1049"/>
      <c r="FD625" s="1049"/>
      <c r="FE625" s="1049"/>
      <c r="FF625" s="1049"/>
      <c r="FG625" s="1049"/>
      <c r="FH625" s="1049"/>
      <c r="FI625" s="1049"/>
      <c r="FJ625" s="1049"/>
      <c r="FK625" s="1049"/>
      <c r="FL625" s="1049"/>
    </row>
    <row r="626" spans="1:168" s="1034" customFormat="1" x14ac:dyDescent="0.25">
      <c r="A626" s="133">
        <v>119</v>
      </c>
      <c r="B626" s="770" t="str">
        <f>DX14</f>
        <v>Меланж</v>
      </c>
      <c r="C626" s="710" t="e">
        <f>#REF!+#REF!++#REF!++#REF!+#REF!+#REF!+#REF!+#REF!++#REF!+#REF!</f>
        <v>#REF!</v>
      </c>
      <c r="D626" s="779">
        <f>цены!$F$131</f>
        <v>180</v>
      </c>
      <c r="E626" s="812" t="e">
        <f t="shared" si="477"/>
        <v>#REF!</v>
      </c>
      <c r="F626" s="710" t="e">
        <f>#REF!+#REF!+#REF!+#REF!+#REF!+#REF!+#REF!+#REF!+#REF!+#REF!</f>
        <v>#REF!</v>
      </c>
      <c r="G626" s="119" t="e">
        <f>#REF!+#REF!+#REF!+#REF!+#REF!+#REF!+#REF!+#REF!+#REF!+#REF!</f>
        <v>#REF!</v>
      </c>
      <c r="H626" s="1256"/>
      <c r="I626" s="659"/>
      <c r="EZ626" s="675"/>
      <c r="FA626" s="1049"/>
      <c r="FB626" s="1049"/>
      <c r="FC626" s="1049"/>
      <c r="FD626" s="1049"/>
      <c r="FE626" s="1049"/>
      <c r="FF626" s="1049"/>
      <c r="FG626" s="1049"/>
      <c r="FH626" s="1049"/>
      <c r="FI626" s="1049"/>
      <c r="FJ626" s="1049"/>
      <c r="FK626" s="1049"/>
      <c r="FL626" s="1049"/>
    </row>
    <row r="627" spans="1:168" s="1034" customFormat="1" x14ac:dyDescent="0.25">
      <c r="A627" s="133">
        <v>120</v>
      </c>
      <c r="B627" s="770" t="str">
        <f>DY14</f>
        <v>Перец черный</v>
      </c>
      <c r="C627" s="710" t="e">
        <f>#REF!+#REF!++#REF!++#REF!+#REF!+#REF!+#REF!+#REF!++#REF!+#REF!</f>
        <v>#REF!</v>
      </c>
      <c r="D627" s="779">
        <f>цены!$F$132</f>
        <v>1420</v>
      </c>
      <c r="E627" s="812" t="e">
        <f t="shared" si="477"/>
        <v>#REF!</v>
      </c>
      <c r="F627" s="710" t="e">
        <f>#REF!+#REF!+#REF!+#REF!+#REF!+#REF!+#REF!+#REF!+#REF!+#REF!</f>
        <v>#REF!</v>
      </c>
      <c r="G627" s="119" t="e">
        <f>#REF!+#REF!+#REF!+#REF!+#REF!+#REF!+#REF!+#REF!+#REF!+#REF!</f>
        <v>#REF!</v>
      </c>
      <c r="H627" s="1256"/>
      <c r="I627" s="659"/>
      <c r="EZ627" s="675"/>
      <c r="FA627" s="1049"/>
      <c r="FB627" s="1049"/>
      <c r="FC627" s="1049"/>
      <c r="FD627" s="1049"/>
      <c r="FE627" s="1049"/>
      <c r="FF627" s="1049"/>
      <c r="FG627" s="1049"/>
      <c r="FH627" s="1049"/>
      <c r="FI627" s="1049"/>
      <c r="FJ627" s="1049"/>
      <c r="FK627" s="1049"/>
      <c r="FL627" s="1049"/>
    </row>
    <row r="628" spans="1:168" s="1034" customFormat="1" x14ac:dyDescent="0.25">
      <c r="A628" s="133">
        <v>121</v>
      </c>
      <c r="B628" s="770" t="str">
        <f>DZ14</f>
        <v>Перец черный горошком</v>
      </c>
      <c r="C628" s="710" t="e">
        <f>#REF!+#REF!++#REF!++#REF!+#REF!+#REF!+#REF!+#REF!++#REF!+#REF!</f>
        <v>#REF!</v>
      </c>
      <c r="D628" s="779">
        <f>цены!$F$133</f>
        <v>1420</v>
      </c>
      <c r="E628" s="812" t="e">
        <f t="shared" si="477"/>
        <v>#REF!</v>
      </c>
      <c r="F628" s="710" t="e">
        <f>#REF!+#REF!+#REF!+#REF!+#REF!+#REF!+#REF!+#REF!+#REF!+#REF!</f>
        <v>#REF!</v>
      </c>
      <c r="G628" s="119" t="e">
        <f>#REF!+#REF!+#REF!+#REF!+#REF!+#REF!+#REF!+#REF!+#REF!+#REF!</f>
        <v>#REF!</v>
      </c>
      <c r="H628" s="1256"/>
      <c r="I628" s="659"/>
      <c r="EZ628" s="675"/>
      <c r="FA628" s="1049"/>
      <c r="FB628" s="1049"/>
      <c r="FC628" s="1049"/>
      <c r="FD628" s="1049"/>
      <c r="FE628" s="1049"/>
      <c r="FF628" s="1049"/>
      <c r="FG628" s="1049"/>
      <c r="FH628" s="1049"/>
      <c r="FI628" s="1049"/>
      <c r="FJ628" s="1049"/>
      <c r="FK628" s="1049"/>
      <c r="FL628" s="1049"/>
    </row>
    <row r="629" spans="1:168" s="1034" customFormat="1" x14ac:dyDescent="0.25">
      <c r="A629" s="133">
        <v>122</v>
      </c>
      <c r="B629" s="770" t="str">
        <f>EA14</f>
        <v>Мороженое пломбир</v>
      </c>
      <c r="C629" s="710" t="e">
        <f>#REF!+#REF!++#REF!++#REF!+#REF!+#REF!+#REF!+#REF!++#REF!+#REF!</f>
        <v>#REF!</v>
      </c>
      <c r="D629" s="779">
        <f>цены!$F$134</f>
        <v>750</v>
      </c>
      <c r="E629" s="812" t="e">
        <f t="shared" si="477"/>
        <v>#REF!</v>
      </c>
      <c r="F629" s="710" t="e">
        <f>#REF!+#REF!+#REF!+#REF!+#REF!+#REF!+#REF!+#REF!+#REF!+#REF!</f>
        <v>#REF!</v>
      </c>
      <c r="G629" s="119" t="e">
        <f>#REF!+#REF!+#REF!+#REF!+#REF!+#REF!+#REF!+#REF!+#REF!+#REF!</f>
        <v>#REF!</v>
      </c>
      <c r="H629" s="1256"/>
      <c r="I629" s="659"/>
      <c r="EZ629" s="675"/>
      <c r="FA629" s="1049"/>
      <c r="FB629" s="1049"/>
      <c r="FC629" s="1049"/>
      <c r="FD629" s="1049"/>
      <c r="FE629" s="1049"/>
      <c r="FF629" s="1049"/>
      <c r="FG629" s="1049"/>
      <c r="FH629" s="1049"/>
      <c r="FI629" s="1049"/>
      <c r="FJ629" s="1049"/>
      <c r="FK629" s="1049"/>
      <c r="FL629" s="1049"/>
    </row>
    <row r="630" spans="1:168" s="1034" customFormat="1" x14ac:dyDescent="0.25">
      <c r="A630" s="133">
        <v>123</v>
      </c>
      <c r="B630" s="770" t="str">
        <f>EB14</f>
        <v>Вода питьевая 19 л</v>
      </c>
      <c r="C630" s="710" t="e">
        <f>#REF!+#REF!++#REF!++#REF!+#REF!+#REF!+#REF!+#REF!++#REF!+#REF!</f>
        <v>#REF!</v>
      </c>
      <c r="D630" s="779">
        <f>цены!$F$135</f>
        <v>5.79</v>
      </c>
      <c r="E630" s="812" t="e">
        <f t="shared" si="477"/>
        <v>#REF!</v>
      </c>
      <c r="F630" s="710" t="e">
        <f>#REF!+#REF!+#REF!+#REF!+#REF!+#REF!+#REF!+#REF!+#REF!+#REF!</f>
        <v>#REF!</v>
      </c>
      <c r="G630" s="119" t="e">
        <f>#REF!+#REF!+#REF!+#REF!+#REF!+#REF!+#REF!+#REF!+#REF!+#REF!</f>
        <v>#REF!</v>
      </c>
      <c r="H630" s="1256"/>
      <c r="I630" s="659"/>
      <c r="EZ630" s="675"/>
      <c r="FA630" s="1049"/>
      <c r="FB630" s="1049"/>
      <c r="FC630" s="1049"/>
      <c r="FD630" s="1049"/>
      <c r="FE630" s="1049"/>
      <c r="FF630" s="1049"/>
      <c r="FG630" s="1049"/>
      <c r="FH630" s="1049"/>
      <c r="FI630" s="1049"/>
      <c r="FJ630" s="1049"/>
      <c r="FK630" s="1049"/>
      <c r="FL630" s="1049"/>
    </row>
    <row r="631" spans="1:168" s="1034" customFormat="1" x14ac:dyDescent="0.25">
      <c r="A631" s="133">
        <v>124</v>
      </c>
      <c r="B631" s="770" t="str">
        <f>EC14</f>
        <v>Печенье сахарное "Юбилейное"</v>
      </c>
      <c r="C631" s="710" t="e">
        <f>#REF!+#REF!++#REF!++#REF!+#REF!+#REF!+#REF!+#REF!++#REF!+#REF!</f>
        <v>#REF!</v>
      </c>
      <c r="D631" s="779">
        <f>цены!$F$136</f>
        <v>120</v>
      </c>
      <c r="E631" s="812" t="e">
        <f t="shared" si="477"/>
        <v>#REF!</v>
      </c>
      <c r="F631" s="710" t="e">
        <f>#REF!+#REF!+#REF!+#REF!+#REF!+#REF!+#REF!+#REF!+#REF!+#REF!</f>
        <v>#REF!</v>
      </c>
      <c r="G631" s="119" t="e">
        <f>#REF!+#REF!+#REF!+#REF!+#REF!+#REF!+#REF!+#REF!+#REF!+#REF!</f>
        <v>#REF!</v>
      </c>
      <c r="H631" s="1256"/>
      <c r="I631" s="659"/>
      <c r="EZ631" s="675"/>
      <c r="FA631" s="1049"/>
      <c r="FB631" s="1049"/>
      <c r="FC631" s="1049"/>
      <c r="FD631" s="1049"/>
      <c r="FE631" s="1049"/>
      <c r="FF631" s="1049"/>
      <c r="FG631" s="1049"/>
      <c r="FH631" s="1049"/>
      <c r="FI631" s="1049"/>
      <c r="FJ631" s="1049"/>
      <c r="FK631" s="1049"/>
      <c r="FL631" s="1049"/>
    </row>
    <row r="632" spans="1:168" s="1034" customFormat="1" x14ac:dyDescent="0.25">
      <c r="A632" s="133">
        <v>125</v>
      </c>
      <c r="B632" s="770" t="str">
        <f>ED14</f>
        <v>Печенье овсяное</v>
      </c>
      <c r="C632" s="710" t="e">
        <f>#REF!+#REF!++#REF!++#REF!+#REF!+#REF!+#REF!+#REF!++#REF!+#REF!</f>
        <v>#REF!</v>
      </c>
      <c r="D632" s="779">
        <f>цены!$F$137</f>
        <v>72</v>
      </c>
      <c r="E632" s="812" t="e">
        <f t="shared" si="477"/>
        <v>#REF!</v>
      </c>
      <c r="F632" s="710" t="e">
        <f>#REF!+#REF!+#REF!+#REF!+#REF!+#REF!+#REF!+#REF!+#REF!+#REF!</f>
        <v>#REF!</v>
      </c>
      <c r="G632" s="119" t="e">
        <f>#REF!+#REF!+#REF!+#REF!+#REF!+#REF!+#REF!+#REF!+#REF!+#REF!</f>
        <v>#REF!</v>
      </c>
      <c r="H632" s="1256"/>
      <c r="I632" s="659"/>
      <c r="EZ632" s="675"/>
      <c r="FA632" s="1049"/>
      <c r="FB632" s="1049"/>
      <c r="FC632" s="1049"/>
      <c r="FD632" s="1049"/>
      <c r="FE632" s="1049"/>
      <c r="FF632" s="1049"/>
      <c r="FG632" s="1049"/>
      <c r="FH632" s="1049"/>
      <c r="FI632" s="1049"/>
      <c r="FJ632" s="1049"/>
      <c r="FK632" s="1049"/>
      <c r="FL632" s="1049"/>
    </row>
    <row r="633" spans="1:168" s="1034" customFormat="1" x14ac:dyDescent="0.25">
      <c r="A633" s="133">
        <v>126</v>
      </c>
      <c r="B633" s="770" t="str">
        <f>EE14</f>
        <v>Пряники</v>
      </c>
      <c r="C633" s="710" t="e">
        <f>#REF!+#REF!++#REF!++#REF!+#REF!+#REF!+#REF!+#REF!++#REF!+#REF!</f>
        <v>#REF!</v>
      </c>
      <c r="D633" s="779">
        <f>цены!$F$138</f>
        <v>120</v>
      </c>
      <c r="E633" s="812" t="e">
        <f t="shared" ref="E633:E649" si="478">E$502</f>
        <v>#REF!</v>
      </c>
      <c r="F633" s="710" t="e">
        <f>#REF!+#REF!+#REF!+#REF!+#REF!+#REF!+#REF!+#REF!+#REF!+#REF!</f>
        <v>#REF!</v>
      </c>
      <c r="G633" s="119" t="e">
        <f>#REF!+#REF!+#REF!+#REF!+#REF!+#REF!+#REF!+#REF!+#REF!+#REF!</f>
        <v>#REF!</v>
      </c>
      <c r="H633" s="1256"/>
      <c r="I633" s="659"/>
      <c r="EZ633" s="675"/>
      <c r="FA633" s="1049"/>
      <c r="FB633" s="1049"/>
      <c r="FC633" s="1049"/>
      <c r="FD633" s="1049"/>
      <c r="FE633" s="1049"/>
      <c r="FF633" s="1049"/>
      <c r="FG633" s="1049"/>
      <c r="FH633" s="1049"/>
      <c r="FI633" s="1049"/>
      <c r="FJ633" s="1049"/>
      <c r="FK633" s="1049"/>
      <c r="FL633" s="1049"/>
    </row>
    <row r="634" spans="1:168" s="1034" customFormat="1" x14ac:dyDescent="0.25">
      <c r="A634" s="133">
        <v>127</v>
      </c>
      <c r="B634" s="770" t="str">
        <f>EF14</f>
        <v>Кексы</v>
      </c>
      <c r="C634" s="710" t="e">
        <f>#REF!+#REF!++#REF!++#REF!+#REF!+#REF!+#REF!+#REF!++#REF!+#REF!</f>
        <v>#REF!</v>
      </c>
      <c r="D634" s="779">
        <f>цены!$F$139</f>
        <v>215</v>
      </c>
      <c r="E634" s="812" t="e">
        <f t="shared" si="478"/>
        <v>#REF!</v>
      </c>
      <c r="F634" s="710" t="e">
        <f>#REF!+#REF!+#REF!+#REF!+#REF!+#REF!+#REF!+#REF!+#REF!+#REF!</f>
        <v>#REF!</v>
      </c>
      <c r="G634" s="119" t="e">
        <f>#REF!+#REF!+#REF!+#REF!+#REF!+#REF!+#REF!+#REF!+#REF!+#REF!</f>
        <v>#REF!</v>
      </c>
      <c r="H634" s="1256"/>
      <c r="I634" s="659"/>
      <c r="EZ634" s="675"/>
      <c r="FA634" s="1049"/>
      <c r="FB634" s="1049"/>
      <c r="FC634" s="1049"/>
      <c r="FD634" s="1049"/>
      <c r="FE634" s="1049"/>
      <c r="FF634" s="1049"/>
      <c r="FG634" s="1049"/>
      <c r="FH634" s="1049"/>
      <c r="FI634" s="1049"/>
      <c r="FJ634" s="1049"/>
      <c r="FK634" s="1049"/>
      <c r="FL634" s="1049"/>
    </row>
    <row r="635" spans="1:168" s="1034" customFormat="1" x14ac:dyDescent="0.25">
      <c r="A635" s="133">
        <v>128</v>
      </c>
      <c r="B635" s="770" t="str">
        <f>EG14</f>
        <v>Вафли с пралиновыми начинками</v>
      </c>
      <c r="C635" s="710" t="e">
        <f>#REF!+#REF!++#REF!++#REF!+#REF!+#REF!+#REF!+#REF!++#REF!+#REF!</f>
        <v>#REF!</v>
      </c>
      <c r="D635" s="779">
        <f>цены!$F$140</f>
        <v>135</v>
      </c>
      <c r="E635" s="812" t="e">
        <f t="shared" si="478"/>
        <v>#REF!</v>
      </c>
      <c r="F635" s="710" t="e">
        <f>#REF!+#REF!+#REF!+#REF!+#REF!+#REF!+#REF!+#REF!+#REF!+#REF!</f>
        <v>#REF!</v>
      </c>
      <c r="G635" s="119" t="e">
        <f>#REF!+#REF!+#REF!+#REF!+#REF!+#REF!+#REF!+#REF!+#REF!+#REF!</f>
        <v>#REF!</v>
      </c>
      <c r="H635" s="1256"/>
      <c r="I635" s="659"/>
      <c r="EZ635" s="675"/>
      <c r="FA635" s="1049"/>
      <c r="FB635" s="1049"/>
      <c r="FC635" s="1049"/>
      <c r="FD635" s="1049"/>
      <c r="FE635" s="1049"/>
      <c r="FF635" s="1049"/>
      <c r="FG635" s="1049"/>
      <c r="FH635" s="1049"/>
      <c r="FI635" s="1049"/>
      <c r="FJ635" s="1049"/>
      <c r="FK635" s="1049"/>
      <c r="FL635" s="1049"/>
    </row>
    <row r="636" spans="1:168" s="1034" customFormat="1" x14ac:dyDescent="0.25">
      <c r="A636" s="133">
        <v>129</v>
      </c>
      <c r="B636" s="770" t="str">
        <f>EH14</f>
        <v>Зефир</v>
      </c>
      <c r="C636" s="710" t="e">
        <f>#REF!+#REF!++#REF!++#REF!+#REF!+#REF!+#REF!+#REF!++#REF!+#REF!</f>
        <v>#REF!</v>
      </c>
      <c r="D636" s="779">
        <f>цены!$F$141</f>
        <v>130</v>
      </c>
      <c r="E636" s="812" t="e">
        <f t="shared" si="478"/>
        <v>#REF!</v>
      </c>
      <c r="F636" s="710" t="e">
        <f>#REF!+#REF!+#REF!+#REF!+#REF!+#REF!+#REF!+#REF!+#REF!+#REF!</f>
        <v>#REF!</v>
      </c>
      <c r="G636" s="119" t="e">
        <f>#REF!+#REF!+#REF!+#REF!+#REF!+#REF!+#REF!+#REF!+#REF!+#REF!</f>
        <v>#REF!</v>
      </c>
      <c r="H636" s="1256"/>
      <c r="I636" s="659"/>
      <c r="EZ636" s="675"/>
      <c r="FA636" s="1049"/>
      <c r="FB636" s="1049"/>
      <c r="FC636" s="1049"/>
      <c r="FD636" s="1049"/>
      <c r="FE636" s="1049"/>
      <c r="FF636" s="1049"/>
      <c r="FG636" s="1049"/>
      <c r="FH636" s="1049"/>
      <c r="FI636" s="1049"/>
      <c r="FJ636" s="1049"/>
      <c r="FK636" s="1049"/>
      <c r="FL636" s="1049"/>
    </row>
    <row r="637" spans="1:168" s="1034" customFormat="1" ht="27.6" x14ac:dyDescent="0.25">
      <c r="A637" s="133">
        <v>130</v>
      </c>
      <c r="B637" s="770" t="str">
        <f>EI14</f>
        <v>Сок натуральный (виноградный, яблочный и др. в пакетах)</v>
      </c>
      <c r="C637" s="710" t="e">
        <f>#REF!+#REF!++#REF!++#REF!+#REF!+#REF!+#REF!+#REF!++#REF!+#REF!</f>
        <v>#REF!</v>
      </c>
      <c r="D637" s="779">
        <f>цены!$F$142</f>
        <v>75</v>
      </c>
      <c r="E637" s="812" t="e">
        <f t="shared" si="478"/>
        <v>#REF!</v>
      </c>
      <c r="F637" s="710" t="e">
        <f>#REF!+#REF!+#REF!+#REF!+#REF!+#REF!+#REF!+#REF!+#REF!+#REF!</f>
        <v>#REF!</v>
      </c>
      <c r="G637" s="119" t="e">
        <f>#REF!+#REF!+#REF!+#REF!+#REF!+#REF!+#REF!+#REF!+#REF!+#REF!</f>
        <v>#REF!</v>
      </c>
      <c r="H637" s="1256"/>
      <c r="I637" s="659"/>
      <c r="EZ637" s="675"/>
      <c r="FA637" s="1049"/>
      <c r="FB637" s="1049"/>
      <c r="FC637" s="1049"/>
      <c r="FD637" s="1049"/>
      <c r="FE637" s="1049"/>
      <c r="FF637" s="1049"/>
      <c r="FG637" s="1049"/>
      <c r="FH637" s="1049"/>
      <c r="FI637" s="1049"/>
      <c r="FJ637" s="1049"/>
      <c r="FK637" s="1049"/>
      <c r="FL637" s="1049"/>
    </row>
    <row r="638" spans="1:168" s="1034" customFormat="1" x14ac:dyDescent="0.25">
      <c r="A638" s="133">
        <v>131</v>
      </c>
      <c r="B638" s="770" t="str">
        <f>EJ14</f>
        <v>Сок натуральный виноградный (в банках 3 л)</v>
      </c>
      <c r="C638" s="710" t="e">
        <f>#REF!+#REF!++#REF!++#REF!+#REF!+#REF!+#REF!+#REF!++#REF!+#REF!</f>
        <v>#REF!</v>
      </c>
      <c r="D638" s="779">
        <f>цены!$F$143</f>
        <v>26</v>
      </c>
      <c r="E638" s="812" t="e">
        <f t="shared" si="478"/>
        <v>#REF!</v>
      </c>
      <c r="F638" s="710" t="e">
        <f>#REF!+#REF!+#REF!+#REF!+#REF!+#REF!+#REF!+#REF!+#REF!+#REF!</f>
        <v>#REF!</v>
      </c>
      <c r="G638" s="119" t="e">
        <f>#REF!+#REF!+#REF!+#REF!+#REF!+#REF!+#REF!+#REF!+#REF!+#REF!</f>
        <v>#REF!</v>
      </c>
      <c r="H638" s="1256"/>
      <c r="I638" s="659"/>
      <c r="EZ638" s="675"/>
      <c r="FA638" s="1049"/>
      <c r="FB638" s="1049"/>
      <c r="FC638" s="1049"/>
      <c r="FD638" s="1049"/>
      <c r="FE638" s="1049"/>
      <c r="FF638" s="1049"/>
      <c r="FG638" s="1049"/>
      <c r="FH638" s="1049"/>
      <c r="FI638" s="1049"/>
      <c r="FJ638" s="1049"/>
      <c r="FK638" s="1049"/>
      <c r="FL638" s="1049"/>
    </row>
    <row r="639" spans="1:168" s="1034" customFormat="1" x14ac:dyDescent="0.25">
      <c r="A639" s="133">
        <v>132</v>
      </c>
      <c r="B639" s="770" t="str">
        <f>EK14</f>
        <v>Конфеты, глазированные шоколадом (Морские)</v>
      </c>
      <c r="C639" s="710" t="e">
        <f>#REF!+#REF!++#REF!++#REF!+#REF!+#REF!+#REF!+#REF!++#REF!+#REF!</f>
        <v>#REF!</v>
      </c>
      <c r="D639" s="779">
        <f>цены!$F$144</f>
        <v>385</v>
      </c>
      <c r="E639" s="812" t="e">
        <f t="shared" si="478"/>
        <v>#REF!</v>
      </c>
      <c r="F639" s="710" t="e">
        <f>#REF!+#REF!+#REF!+#REF!+#REF!+#REF!+#REF!+#REF!+#REF!+#REF!</f>
        <v>#REF!</v>
      </c>
      <c r="G639" s="119" t="e">
        <f>#REF!+#REF!+#REF!+#REF!+#REF!+#REF!+#REF!+#REF!+#REF!+#REF!</f>
        <v>#REF!</v>
      </c>
      <c r="H639" s="1256"/>
      <c r="I639" s="659"/>
      <c r="EZ639" s="675"/>
      <c r="FA639" s="1049"/>
      <c r="FB639" s="1049"/>
      <c r="FC639" s="1049"/>
      <c r="FD639" s="1049"/>
      <c r="FE639" s="1049"/>
      <c r="FF639" s="1049"/>
      <c r="FG639" s="1049"/>
      <c r="FH639" s="1049"/>
      <c r="FI639" s="1049"/>
      <c r="FJ639" s="1049"/>
      <c r="FK639" s="1049"/>
      <c r="FL639" s="1049"/>
    </row>
    <row r="640" spans="1:168" s="1034" customFormat="1" x14ac:dyDescent="0.25">
      <c r="A640" s="133">
        <v>133</v>
      </c>
      <c r="B640" s="770" t="str">
        <f>EL14</f>
        <v>Конфеты сливочные (Коровка)</v>
      </c>
      <c r="C640" s="710" t="e">
        <f>#REF!+#REF!++#REF!++#REF!+#REF!+#REF!+#REF!+#REF!++#REF!+#REF!</f>
        <v>#REF!</v>
      </c>
      <c r="D640" s="779">
        <f>цены!$F$145</f>
        <v>200</v>
      </c>
      <c r="E640" s="812" t="e">
        <f t="shared" si="478"/>
        <v>#REF!</v>
      </c>
      <c r="F640" s="710" t="e">
        <f>#REF!+#REF!+#REF!+#REF!+#REF!+#REF!+#REF!+#REF!+#REF!+#REF!</f>
        <v>#REF!</v>
      </c>
      <c r="G640" s="119" t="e">
        <f>#REF!+#REF!+#REF!+#REF!+#REF!+#REF!+#REF!+#REF!+#REF!+#REF!</f>
        <v>#REF!</v>
      </c>
      <c r="H640" s="1256"/>
      <c r="I640" s="659"/>
      <c r="EZ640" s="675"/>
      <c r="FA640" s="1049"/>
      <c r="FB640" s="1049"/>
      <c r="FC640" s="1049"/>
      <c r="FD640" s="1049"/>
      <c r="FE640" s="1049"/>
      <c r="FF640" s="1049"/>
      <c r="FG640" s="1049"/>
      <c r="FH640" s="1049"/>
      <c r="FI640" s="1049"/>
      <c r="FJ640" s="1049"/>
      <c r="FK640" s="1049"/>
      <c r="FL640" s="1049"/>
    </row>
    <row r="641" spans="1:168" s="1034" customFormat="1" x14ac:dyDescent="0.25">
      <c r="A641" s="133">
        <v>134</v>
      </c>
      <c r="B641" s="771" t="str">
        <f>EM14</f>
        <v>Конфеты шоколадные ("Российские" (плитка)</v>
      </c>
      <c r="C641" s="710" t="e">
        <f>#REF!+#REF!++#REF!++#REF!+#REF!+#REF!+#REF!+#REF!++#REF!+#REF!</f>
        <v>#REF!</v>
      </c>
      <c r="D641" s="779">
        <f>цены!$F$146</f>
        <v>1000</v>
      </c>
      <c r="E641" s="812" t="e">
        <f t="shared" si="478"/>
        <v>#REF!</v>
      </c>
      <c r="F641" s="710" t="e">
        <f>#REF!+#REF!+#REF!+#REF!+#REF!+#REF!+#REF!+#REF!+#REF!+#REF!</f>
        <v>#REF!</v>
      </c>
      <c r="G641" s="119" t="e">
        <f>#REF!+#REF!+#REF!+#REF!+#REF!+#REF!+#REF!+#REF!+#REF!+#REF!</f>
        <v>#REF!</v>
      </c>
      <c r="H641" s="1256"/>
      <c r="I641" s="659"/>
      <c r="EZ641" s="675"/>
      <c r="FA641" s="1049"/>
      <c r="FB641" s="1049"/>
      <c r="FC641" s="1049"/>
      <c r="FD641" s="1049"/>
      <c r="FE641" s="1049"/>
      <c r="FF641" s="1049"/>
      <c r="FG641" s="1049"/>
      <c r="FH641" s="1049"/>
      <c r="FI641" s="1049"/>
      <c r="FJ641" s="1049"/>
      <c r="FK641" s="1049"/>
      <c r="FL641" s="1049"/>
    </row>
    <row r="642" spans="1:168" s="1034" customFormat="1" x14ac:dyDescent="0.25">
      <c r="A642" s="133">
        <v>135</v>
      </c>
      <c r="B642" s="771" t="str">
        <f>EN14</f>
        <v>Конфеты сливочные ( Лёвушка)</v>
      </c>
      <c r="C642" s="710" t="e">
        <f>#REF!+#REF!++#REF!++#REF!+#REF!+#REF!+#REF!+#REF!++#REF!+#REF!</f>
        <v>#REF!</v>
      </c>
      <c r="D642" s="779">
        <f>цены!$F$147</f>
        <v>340</v>
      </c>
      <c r="E642" s="812" t="e">
        <f t="shared" si="478"/>
        <v>#REF!</v>
      </c>
      <c r="F642" s="710" t="e">
        <f>#REF!+#REF!+#REF!+#REF!+#REF!+#REF!+#REF!+#REF!+#REF!+#REF!</f>
        <v>#REF!</v>
      </c>
      <c r="G642" s="119" t="e">
        <f>#REF!+#REF!+#REF!+#REF!+#REF!+#REF!+#REF!+#REF!+#REF!+#REF!</f>
        <v>#REF!</v>
      </c>
      <c r="H642" s="1256"/>
      <c r="I642" s="659"/>
      <c r="EZ642" s="675"/>
      <c r="FA642" s="1049"/>
      <c r="FB642" s="1049"/>
      <c r="FC642" s="1049"/>
      <c r="FD642" s="1049"/>
      <c r="FE642" s="1049"/>
      <c r="FF642" s="1049"/>
      <c r="FG642" s="1049"/>
      <c r="FH642" s="1049"/>
      <c r="FI642" s="1049"/>
      <c r="FJ642" s="1049"/>
      <c r="FK642" s="1049"/>
      <c r="FL642" s="1049"/>
    </row>
    <row r="643" spans="1:168" s="1034" customFormat="1" x14ac:dyDescent="0.25">
      <c r="A643" s="133">
        <v>136</v>
      </c>
      <c r="B643" s="771" t="str">
        <f>EO14</f>
        <v>Конфеты, глазированные шоколадом (Степ, Марс)</v>
      </c>
      <c r="C643" s="710" t="e">
        <f>#REF!+#REF!++#REF!++#REF!+#REF!+#REF!+#REF!+#REF!++#REF!+#REF!</f>
        <v>#REF!</v>
      </c>
      <c r="D643" s="779">
        <f>цены!$F$148</f>
        <v>630</v>
      </c>
      <c r="E643" s="812" t="e">
        <f t="shared" si="478"/>
        <v>#REF!</v>
      </c>
      <c r="F643" s="710" t="e">
        <f>#REF!+#REF!+#REF!+#REF!+#REF!+#REF!+#REF!+#REF!+#REF!+#REF!</f>
        <v>#REF!</v>
      </c>
      <c r="G643" s="119" t="e">
        <f>#REF!+#REF!+#REF!+#REF!+#REF!+#REF!+#REF!+#REF!+#REF!+#REF!</f>
        <v>#REF!</v>
      </c>
      <c r="H643" s="1256"/>
      <c r="I643" s="659"/>
      <c r="EZ643" s="675"/>
      <c r="FA643" s="1049"/>
      <c r="FB643" s="1049"/>
      <c r="FC643" s="1049"/>
      <c r="FD643" s="1049"/>
      <c r="FE643" s="1049"/>
      <c r="FF643" s="1049"/>
      <c r="FG643" s="1049"/>
      <c r="FH643" s="1049"/>
      <c r="FI643" s="1049"/>
      <c r="FJ643" s="1049"/>
      <c r="FK643" s="1049"/>
      <c r="FL643" s="1049"/>
    </row>
    <row r="644" spans="1:168" s="1034" customFormat="1" x14ac:dyDescent="0.25">
      <c r="A644" s="133">
        <v>137</v>
      </c>
      <c r="B644" s="771" t="str">
        <f>EP14</f>
        <v>Конфеты "Тортимилка" 1 шт. 17,5 гр</v>
      </c>
      <c r="C644" s="710" t="e">
        <f>#REF!+#REF!++#REF!++#REF!+#REF!+#REF!+#REF!+#REF!++#REF!+#REF!</f>
        <v>#REF!</v>
      </c>
      <c r="D644" s="779">
        <f>цены!$F$149</f>
        <v>430</v>
      </c>
      <c r="E644" s="812" t="e">
        <f t="shared" si="478"/>
        <v>#REF!</v>
      </c>
      <c r="F644" s="710" t="e">
        <f>#REF!+#REF!+#REF!+#REF!+#REF!+#REF!+#REF!+#REF!+#REF!+#REF!</f>
        <v>#REF!</v>
      </c>
      <c r="G644" s="119" t="e">
        <f>#REF!+#REF!+#REF!+#REF!+#REF!+#REF!+#REF!+#REF!+#REF!+#REF!</f>
        <v>#REF!</v>
      </c>
      <c r="H644" s="1256"/>
      <c r="I644" s="659"/>
      <c r="EZ644" s="675"/>
      <c r="FA644" s="1049"/>
      <c r="FB644" s="1049"/>
      <c r="FC644" s="1049"/>
      <c r="FD644" s="1049"/>
      <c r="FE644" s="1049"/>
      <c r="FF644" s="1049"/>
      <c r="FG644" s="1049"/>
      <c r="FH644" s="1049"/>
      <c r="FI644" s="1049"/>
      <c r="FJ644" s="1049"/>
      <c r="FK644" s="1049"/>
      <c r="FL644" s="1049"/>
    </row>
    <row r="645" spans="1:168" s="1034" customFormat="1" x14ac:dyDescent="0.25">
      <c r="A645" s="133">
        <v>138</v>
      </c>
      <c r="B645" s="771" t="str">
        <f>EQ14</f>
        <v>Конфеты желейные (мармелад)</v>
      </c>
      <c r="C645" s="710" t="e">
        <f>#REF!+#REF!++#REF!++#REF!+#REF!+#REF!+#REF!+#REF!++#REF!+#REF!</f>
        <v>#REF!</v>
      </c>
      <c r="D645" s="779">
        <f>цены!$F$150</f>
        <v>275</v>
      </c>
      <c r="E645" s="812" t="e">
        <f t="shared" si="478"/>
        <v>#REF!</v>
      </c>
      <c r="F645" s="710" t="e">
        <f>#REF!+#REF!+#REF!+#REF!+#REF!+#REF!+#REF!+#REF!+#REF!+#REF!</f>
        <v>#REF!</v>
      </c>
      <c r="G645" s="119" t="e">
        <f>#REF!+#REF!+#REF!+#REF!+#REF!+#REF!+#REF!+#REF!+#REF!+#REF!</f>
        <v>#REF!</v>
      </c>
      <c r="H645" s="1256"/>
      <c r="I645" s="659"/>
      <c r="EZ645" s="675"/>
      <c r="FA645" s="1049"/>
      <c r="FB645" s="1049"/>
      <c r="FC645" s="1049"/>
      <c r="FD645" s="1049"/>
      <c r="FE645" s="1049"/>
      <c r="FF645" s="1049"/>
      <c r="FG645" s="1049"/>
      <c r="FH645" s="1049"/>
      <c r="FI645" s="1049"/>
      <c r="FJ645" s="1049"/>
      <c r="FK645" s="1049"/>
      <c r="FL645" s="1049"/>
    </row>
    <row r="646" spans="1:168" s="1034" customFormat="1" x14ac:dyDescent="0.25">
      <c r="A646" s="133">
        <v>139</v>
      </c>
      <c r="B646" s="771" t="str">
        <f>ER14</f>
        <v>Конфеты Батончики</v>
      </c>
      <c r="C646" s="710" t="e">
        <f>#REF!+#REF!++#REF!++#REF!+#REF!+#REF!+#REF!+#REF!++#REF!+#REF!</f>
        <v>#REF!</v>
      </c>
      <c r="D646" s="779">
        <f>цены!$F$151</f>
        <v>350</v>
      </c>
      <c r="E646" s="812" t="e">
        <f t="shared" si="478"/>
        <v>#REF!</v>
      </c>
      <c r="F646" s="710" t="e">
        <f>#REF!+#REF!+#REF!+#REF!+#REF!+#REF!+#REF!+#REF!+#REF!+#REF!</f>
        <v>#REF!</v>
      </c>
      <c r="G646" s="119" t="e">
        <f>#REF!+#REF!+#REF!+#REF!+#REF!+#REF!+#REF!+#REF!+#REF!+#REF!</f>
        <v>#REF!</v>
      </c>
      <c r="H646" s="1256"/>
      <c r="I646" s="659"/>
      <c r="EZ646" s="675"/>
      <c r="FA646" s="1049"/>
      <c r="FB646" s="1049"/>
      <c r="FC646" s="1049"/>
      <c r="FD646" s="1049"/>
      <c r="FE646" s="1049"/>
      <c r="FF646" s="1049"/>
      <c r="FG646" s="1049"/>
      <c r="FH646" s="1049"/>
      <c r="FI646" s="1049"/>
      <c r="FJ646" s="1049"/>
      <c r="FK646" s="1049"/>
      <c r="FL646" s="1049"/>
    </row>
    <row r="647" spans="1:168" s="1034" customFormat="1" x14ac:dyDescent="0.25">
      <c r="A647" s="133">
        <v>140</v>
      </c>
      <c r="B647" s="771" t="str">
        <f>ES14</f>
        <v>Конфеты ирис (Золотой ключик)</v>
      </c>
      <c r="C647" s="710" t="e">
        <f>#REF!+#REF!++#REF!++#REF!+#REF!+#REF!+#REF!+#REF!++#REF!+#REF!</f>
        <v>#REF!</v>
      </c>
      <c r="D647" s="779">
        <f>цены!$F$152</f>
        <v>275</v>
      </c>
      <c r="E647" s="812" t="e">
        <f t="shared" si="478"/>
        <v>#REF!</v>
      </c>
      <c r="F647" s="710" t="e">
        <f>#REF!+#REF!+#REF!+#REF!+#REF!+#REF!+#REF!+#REF!+#REF!+#REF!</f>
        <v>#REF!</v>
      </c>
      <c r="G647" s="119" t="e">
        <f>#REF!+#REF!+#REF!+#REF!+#REF!+#REF!+#REF!+#REF!+#REF!+#REF!</f>
        <v>#REF!</v>
      </c>
      <c r="H647" s="1256"/>
      <c r="I647" s="659"/>
      <c r="EZ647" s="675"/>
      <c r="FA647" s="1049"/>
      <c r="FB647" s="1049"/>
      <c r="FC647" s="1049"/>
      <c r="FD647" s="1049"/>
      <c r="FE647" s="1049"/>
      <c r="FF647" s="1049"/>
      <c r="FG647" s="1049"/>
      <c r="FH647" s="1049"/>
      <c r="FI647" s="1049"/>
      <c r="FJ647" s="1049"/>
      <c r="FK647" s="1049"/>
      <c r="FL647" s="1049"/>
    </row>
    <row r="648" spans="1:168" s="1034" customFormat="1" x14ac:dyDescent="0.25">
      <c r="A648" s="133">
        <v>141</v>
      </c>
      <c r="B648" s="772">
        <f>ET14</f>
        <v>0</v>
      </c>
      <c r="C648" s="710" t="e">
        <f>#REF!+#REF!++#REF!++#REF!+#REF!+#REF!+#REF!+#REF!++#REF!+#REF!</f>
        <v>#REF!</v>
      </c>
      <c r="D648" s="779">
        <f>цены!$F$153</f>
        <v>0</v>
      </c>
      <c r="E648" s="812" t="e">
        <f t="shared" si="478"/>
        <v>#REF!</v>
      </c>
      <c r="F648" s="710" t="e">
        <f>#REF!+#REF!+#REF!+#REF!+#REF!+#REF!+#REF!+#REF!+#REF!+#REF!</f>
        <v>#REF!</v>
      </c>
      <c r="G648" s="119" t="e">
        <f>#REF!+#REF!+#REF!+#REF!+#REF!+#REF!+#REF!+#REF!+#REF!+#REF!</f>
        <v>#REF!</v>
      </c>
      <c r="H648" s="1256"/>
      <c r="I648" s="659"/>
      <c r="EZ648" s="675"/>
      <c r="FA648" s="1049"/>
      <c r="FB648" s="1049"/>
      <c r="FC648" s="1049"/>
      <c r="FD648" s="1049"/>
      <c r="FE648" s="1049"/>
      <c r="FF648" s="1049"/>
      <c r="FG648" s="1049"/>
      <c r="FH648" s="1049"/>
      <c r="FI648" s="1049"/>
      <c r="FJ648" s="1049"/>
      <c r="FK648" s="1049"/>
      <c r="FL648" s="1049"/>
    </row>
    <row r="649" spans="1:168" s="1034" customFormat="1" x14ac:dyDescent="0.25">
      <c r="A649" s="133">
        <v>142</v>
      </c>
      <c r="B649" s="772">
        <f>EU14</f>
        <v>0</v>
      </c>
      <c r="C649" s="710" t="e">
        <f>#REF!+#REF!++#REF!++#REF!+#REF!+#REF!+#REF!+#REF!++#REF!+#REF!</f>
        <v>#REF!</v>
      </c>
      <c r="D649" s="779">
        <f>цены!$F$154</f>
        <v>0</v>
      </c>
      <c r="E649" s="812" t="e">
        <f t="shared" si="478"/>
        <v>#REF!</v>
      </c>
      <c r="F649" s="710" t="e">
        <f>#REF!+#REF!+#REF!+#REF!+#REF!+#REF!+#REF!+#REF!+#REF!+#REF!</f>
        <v>#REF!</v>
      </c>
      <c r="G649" s="119" t="e">
        <f>#REF!+#REF!+#REF!+#REF!+#REF!+#REF!+#REF!+#REF!+#REF!+#REF!</f>
        <v>#REF!</v>
      </c>
      <c r="H649" s="1256"/>
      <c r="I649" s="659"/>
      <c r="EZ649" s="675"/>
      <c r="FA649" s="1049"/>
      <c r="FB649" s="1049"/>
      <c r="FC649" s="1049"/>
      <c r="FD649" s="1049"/>
      <c r="FE649" s="1049"/>
      <c r="FF649" s="1049"/>
      <c r="FG649" s="1049"/>
      <c r="FH649" s="1049"/>
      <c r="FI649" s="1049"/>
      <c r="FJ649" s="1049"/>
      <c r="FK649" s="1049"/>
      <c r="FL649" s="1049"/>
    </row>
    <row r="650" spans="1:168" s="1034" customFormat="1" ht="26.4" x14ac:dyDescent="0.25">
      <c r="A650" s="146"/>
      <c r="B650" s="258" t="s">
        <v>312</v>
      </c>
      <c r="C650" s="774" t="e">
        <f>SUM(C569:C649)</f>
        <v>#REF!</v>
      </c>
      <c r="D650" s="780">
        <f>SUM(D569:D649)</f>
        <v>27698.79</v>
      </c>
      <c r="E650" s="795"/>
      <c r="F650" s="1275" t="e">
        <f>SUM(F569:F649)</f>
        <v>#REF!</v>
      </c>
      <c r="G650" s="663" t="e">
        <f t="shared" ref="G650:H650" si="479">SUM(G569:G649)</f>
        <v>#REF!</v>
      </c>
      <c r="H650" s="1261">
        <f t="shared" si="479"/>
        <v>0</v>
      </c>
      <c r="I650" s="663"/>
      <c r="EZ650" s="663">
        <f t="shared" ref="EZ650" si="480">SUM(EZ569:EZ649)</f>
        <v>0</v>
      </c>
      <c r="FA650" s="1049"/>
      <c r="FB650" s="1049"/>
      <c r="FC650" s="1049"/>
      <c r="FD650" s="1049"/>
      <c r="FE650" s="1049"/>
      <c r="FF650" s="1049"/>
      <c r="FG650" s="1049"/>
      <c r="FH650" s="1049"/>
      <c r="FI650" s="1049"/>
      <c r="FJ650" s="1049"/>
      <c r="FK650" s="1049"/>
      <c r="FL650" s="1049"/>
    </row>
    <row r="651" spans="1:168" s="1034" customFormat="1" x14ac:dyDescent="0.25">
      <c r="A651" s="150"/>
      <c r="B651" s="622" t="s">
        <v>304</v>
      </c>
      <c r="C651" s="777"/>
      <c r="D651" s="783"/>
      <c r="E651" s="796"/>
      <c r="F651" s="710" t="e">
        <f>#REF!+#REF!+#REF!+#REF!+#REF!+#REF!+#REF!+#REF!+#REF!+#REF!</f>
        <v>#REF!</v>
      </c>
      <c r="G651" s="119" t="e">
        <f>#REF!+#REF!+#REF!+#REF!+#REF!+#REF!+#REF!+#REF!+#REF!+#REF!</f>
        <v>#REF!</v>
      </c>
      <c r="H651" s="1256"/>
      <c r="I651" s="659"/>
      <c r="EZ651" s="675"/>
      <c r="FA651" s="1049"/>
      <c r="FB651" s="1049"/>
      <c r="FC651" s="1049"/>
      <c r="FD651" s="1049"/>
      <c r="FE651" s="1049"/>
      <c r="FF651" s="1049"/>
      <c r="FG651" s="1049"/>
      <c r="FH651" s="1049"/>
      <c r="FI651" s="1049"/>
      <c r="FJ651" s="1049"/>
      <c r="FK651" s="1049"/>
      <c r="FL651" s="1049"/>
    </row>
    <row r="652" spans="1:168" s="1034" customFormat="1" x14ac:dyDescent="0.25">
      <c r="A652" s="133">
        <v>143</v>
      </c>
      <c r="B652" s="773" t="str">
        <f>EV14</f>
        <v>Хлеб пшеничный нарезной</v>
      </c>
      <c r="C652" s="710" t="e">
        <f>#REF!+#REF!++#REF!++#REF!+#REF!+#REF!+#REF!+#REF!++#REF!+#REF!</f>
        <v>#REF!</v>
      </c>
      <c r="D652" s="779">
        <f>цены!$F$157</f>
        <v>65</v>
      </c>
      <c r="E652" s="812" t="e">
        <f t="shared" ref="E652:E654" si="481">E$502</f>
        <v>#REF!</v>
      </c>
      <c r="F652" s="710" t="e">
        <f>#REF!+#REF!+#REF!+#REF!+#REF!+#REF!+#REF!+#REF!+#REF!+#REF!</f>
        <v>#REF!</v>
      </c>
      <c r="G652" s="119" t="e">
        <f>#REF!+#REF!+#REF!+#REF!+#REF!+#REF!+#REF!+#REF!+#REF!+#REF!</f>
        <v>#REF!</v>
      </c>
      <c r="H652" s="1256"/>
      <c r="I652" s="659"/>
      <c r="EZ652" s="675"/>
      <c r="FA652" s="1049"/>
      <c r="FB652" s="1049"/>
      <c r="FC652" s="1049"/>
      <c r="FD652" s="1049"/>
      <c r="FE652" s="1049"/>
      <c r="FF652" s="1049"/>
      <c r="FG652" s="1049"/>
      <c r="FH652" s="1049"/>
      <c r="FI652" s="1049"/>
      <c r="FJ652" s="1049"/>
      <c r="FK652" s="1049"/>
      <c r="FL652" s="1049"/>
    </row>
    <row r="653" spans="1:168" s="1034" customFormat="1" x14ac:dyDescent="0.25">
      <c r="A653" s="133">
        <v>144</v>
      </c>
      <c r="B653" s="773" t="str">
        <f>EW14</f>
        <v>Хлеб пшенично-ржаной нарезной</v>
      </c>
      <c r="C653" s="710" t="e">
        <f>#REF!+#REF!++#REF!++#REF!+#REF!+#REF!+#REF!+#REF!++#REF!+#REF!</f>
        <v>#REF!</v>
      </c>
      <c r="D653" s="779">
        <f>цены!$F$158</f>
        <v>65</v>
      </c>
      <c r="E653" s="812" t="e">
        <f t="shared" si="481"/>
        <v>#REF!</v>
      </c>
      <c r="F653" s="710" t="e">
        <f>#REF!+#REF!+#REF!+#REF!+#REF!+#REF!+#REF!+#REF!+#REF!+#REF!</f>
        <v>#REF!</v>
      </c>
      <c r="G653" s="119" t="e">
        <f>#REF!+#REF!+#REF!+#REF!+#REF!+#REF!+#REF!+#REF!+#REF!+#REF!</f>
        <v>#REF!</v>
      </c>
      <c r="H653" s="1256"/>
      <c r="I653" s="659"/>
      <c r="EZ653" s="675"/>
      <c r="FA653" s="1049"/>
      <c r="FB653" s="1049"/>
      <c r="FC653" s="1049"/>
      <c r="FD653" s="1049"/>
      <c r="FE653" s="1049"/>
      <c r="FF653" s="1049"/>
      <c r="FG653" s="1049"/>
      <c r="FH653" s="1049"/>
      <c r="FI653" s="1049"/>
      <c r="FJ653" s="1049"/>
      <c r="FK653" s="1049"/>
      <c r="FL653" s="1049"/>
    </row>
    <row r="654" spans="1:168" s="1034" customFormat="1" x14ac:dyDescent="0.25">
      <c r="A654" s="133">
        <v>145</v>
      </c>
      <c r="B654" s="773" t="str">
        <f>EX14</f>
        <v>Батон белого хлеба</v>
      </c>
      <c r="C654" s="710" t="e">
        <f>#REF!+#REF!++#REF!++#REF!+#REF!+#REF!+#REF!+#REF!++#REF!+#REF!</f>
        <v>#REF!</v>
      </c>
      <c r="D654" s="779">
        <f>цены!$F$159</f>
        <v>69</v>
      </c>
      <c r="E654" s="812" t="e">
        <f t="shared" si="481"/>
        <v>#REF!</v>
      </c>
      <c r="F654" s="710" t="e">
        <f>#REF!+#REF!+#REF!+#REF!+#REF!+#REF!+#REF!+#REF!+#REF!+#REF!</f>
        <v>#REF!</v>
      </c>
      <c r="G654" s="119" t="e">
        <f>#REF!+#REF!+#REF!+#REF!+#REF!+#REF!+#REF!+#REF!+#REF!+#REF!</f>
        <v>#REF!</v>
      </c>
      <c r="H654" s="1256"/>
      <c r="I654" s="659"/>
      <c r="EZ654" s="675"/>
      <c r="FA654" s="1049"/>
      <c r="FB654" s="1049"/>
      <c r="FC654" s="1049"/>
      <c r="FD654" s="1049"/>
      <c r="FE654" s="1049"/>
      <c r="FF654" s="1049"/>
      <c r="FG654" s="1049"/>
      <c r="FH654" s="1049"/>
      <c r="FI654" s="1049"/>
      <c r="FJ654" s="1049"/>
      <c r="FK654" s="1049"/>
      <c r="FL654" s="1049"/>
    </row>
    <row r="655" spans="1:168" s="1034" customFormat="1" x14ac:dyDescent="0.25">
      <c r="A655" s="146"/>
      <c r="B655" s="259" t="s">
        <v>313</v>
      </c>
      <c r="C655" s="774" t="e">
        <f>SUM(C652:C654)</f>
        <v>#REF!</v>
      </c>
      <c r="D655" s="780">
        <f>SUM(D652:D654)</f>
        <v>199</v>
      </c>
      <c r="E655" s="792"/>
      <c r="F655" s="801" t="e">
        <f>SUM(F652:F654)</f>
        <v>#REF!</v>
      </c>
      <c r="G655" s="660" t="e">
        <f>SUM(G652:G654)</f>
        <v>#REF!</v>
      </c>
      <c r="H655" s="1262">
        <f>SUM(H652:H654)</f>
        <v>0</v>
      </c>
      <c r="I655" s="660"/>
      <c r="EZ655" s="660"/>
      <c r="FA655" s="1049"/>
      <c r="FB655" s="1049"/>
      <c r="FC655" s="1049"/>
      <c r="FD655" s="1049"/>
      <c r="FE655" s="1049"/>
      <c r="FF655" s="1049"/>
      <c r="FG655" s="1049"/>
      <c r="FH655" s="1049"/>
      <c r="FI655" s="1049"/>
      <c r="FJ655" s="1049"/>
      <c r="FK655" s="1049"/>
      <c r="FL655" s="1049"/>
    </row>
    <row r="656" spans="1:168" s="1034" customFormat="1" x14ac:dyDescent="0.25">
      <c r="A656" s="152"/>
      <c r="B656" s="623" t="s">
        <v>1169</v>
      </c>
      <c r="C656" s="778" t="e">
        <f>C513+C526+C567+C650+C655</f>
        <v>#REF!</v>
      </c>
      <c r="D656" s="784">
        <f>D513+D526+D567+D650+D655</f>
        <v>40123.96</v>
      </c>
      <c r="E656" s="797"/>
      <c r="F656" s="803" t="e">
        <f>F513+F526+F567+F650+F655</f>
        <v>#REF!</v>
      </c>
      <c r="G656" s="665" t="e">
        <f>G513+G526+G567+G650+G655</f>
        <v>#REF!</v>
      </c>
      <c r="H656" s="1267">
        <f>H513+H526+H567+H650+H655</f>
        <v>0</v>
      </c>
      <c r="I656" s="665"/>
      <c r="EZ656" s="665"/>
      <c r="FA656" s="1049"/>
      <c r="FB656" s="1049"/>
      <c r="FC656" s="1049"/>
      <c r="FD656" s="1049"/>
      <c r="FE656" s="1049"/>
      <c r="FF656" s="1049"/>
      <c r="FG656" s="1049"/>
      <c r="FH656" s="1049"/>
      <c r="FI656" s="1049"/>
      <c r="FJ656" s="1049"/>
      <c r="FK656" s="1049"/>
      <c r="FL656" s="1049"/>
    </row>
    <row r="657" spans="1:168" s="1096" customFormat="1" x14ac:dyDescent="0.25">
      <c r="A657" s="1111"/>
      <c r="B657" s="1112"/>
      <c r="C657" s="1113"/>
      <c r="D657" s="1114"/>
      <c r="E657" s="1116"/>
      <c r="F657" s="1115"/>
      <c r="G657" s="1117"/>
      <c r="H657" s="1115"/>
      <c r="I657" s="1271"/>
      <c r="EZ657" s="1118"/>
      <c r="FA657" s="1049"/>
      <c r="FB657" s="1049"/>
      <c r="FC657" s="1049"/>
      <c r="FD657" s="1049"/>
      <c r="FE657" s="1049"/>
      <c r="FF657" s="1049"/>
      <c r="FG657" s="1049"/>
      <c r="FH657" s="1049"/>
      <c r="FI657" s="1049"/>
      <c r="FJ657" s="1049"/>
      <c r="FK657" s="1049"/>
      <c r="FL657" s="1049"/>
    </row>
    <row r="658" spans="1:168" s="1034" customFormat="1" ht="17.399999999999999" x14ac:dyDescent="0.25">
      <c r="A658" s="262"/>
      <c r="B658" s="586" t="s">
        <v>1301</v>
      </c>
      <c r="C658" s="637"/>
      <c r="D658" s="637"/>
      <c r="E658" s="652"/>
      <c r="F658" s="652"/>
      <c r="G658" s="1498" t="s">
        <v>317</v>
      </c>
      <c r="H658" s="1499"/>
      <c r="I658" s="653"/>
      <c r="FA658" s="1049"/>
      <c r="FB658" s="1049"/>
      <c r="FC658" s="1049"/>
      <c r="FD658" s="1049"/>
      <c r="FE658" s="1049"/>
      <c r="FF658" s="1049"/>
      <c r="FG658" s="1049"/>
      <c r="FH658" s="1049"/>
      <c r="FI658" s="1049"/>
      <c r="FJ658" s="1049"/>
      <c r="FK658" s="1049"/>
      <c r="FL658" s="1049"/>
    </row>
    <row r="659" spans="1:168" s="1034" customFormat="1" ht="66" x14ac:dyDescent="0.25">
      <c r="A659" s="261"/>
      <c r="B659" s="261" t="s">
        <v>232</v>
      </c>
      <c r="C659" s="638" t="s">
        <v>233</v>
      </c>
      <c r="D659" s="638" t="s">
        <v>108</v>
      </c>
      <c r="E659" s="691" t="s">
        <v>228</v>
      </c>
      <c r="F659" s="654" t="s">
        <v>1232</v>
      </c>
      <c r="G659" s="655" t="s">
        <v>221</v>
      </c>
      <c r="H659" s="656" t="s">
        <v>316</v>
      </c>
      <c r="I659" s="1248" t="s">
        <v>315</v>
      </c>
      <c r="EZ659" s="1035" t="s">
        <v>315</v>
      </c>
      <c r="FA659" s="1049"/>
      <c r="FB659" s="1049"/>
      <c r="FC659" s="1049"/>
      <c r="FD659" s="1049"/>
      <c r="FE659" s="1049"/>
      <c r="FF659" s="1049"/>
      <c r="FG659" s="1049"/>
      <c r="FH659" s="1049"/>
      <c r="FI659" s="1049"/>
      <c r="FJ659" s="1049"/>
      <c r="FK659" s="1049"/>
      <c r="FL659" s="1049"/>
    </row>
    <row r="660" spans="1:168" s="1034" customFormat="1" x14ac:dyDescent="0.25">
      <c r="A660" s="145"/>
      <c r="B660" s="427" t="s">
        <v>310</v>
      </c>
      <c r="C660" s="750"/>
      <c r="D660" s="750"/>
      <c r="E660" s="657"/>
      <c r="F660" s="658"/>
      <c r="G660" s="658"/>
      <c r="H660" s="1264"/>
      <c r="I660" s="658"/>
      <c r="EZ660" s="674"/>
      <c r="FA660" s="1049"/>
      <c r="FB660" s="1049"/>
      <c r="FC660" s="1049"/>
      <c r="FD660" s="1049"/>
      <c r="FE660" s="1049"/>
      <c r="FF660" s="1049"/>
      <c r="FG660" s="1049"/>
      <c r="FH660" s="1049"/>
      <c r="FI660" s="1049"/>
      <c r="FJ660" s="1049"/>
      <c r="FK660" s="1049"/>
      <c r="FL660" s="1049"/>
    </row>
    <row r="661" spans="1:168" s="1034" customFormat="1" x14ac:dyDescent="0.25">
      <c r="A661" s="133">
        <v>1</v>
      </c>
      <c r="B661" s="770" t="str">
        <f>J14</f>
        <v>Говядина (бескостное мясо)</v>
      </c>
      <c r="C661" s="710" t="e">
        <f>#REF!+#REF!++#REF!++#REF!+#REF!+#REF!+#REF!+#REF!++#REF!+#REF!</f>
        <v>#REF!</v>
      </c>
      <c r="D661" s="779">
        <f>цены!$F$7</f>
        <v>560</v>
      </c>
      <c r="E661" s="812" t="e">
        <f>#REF!+#REF!++#REF!++#REF!+#REF!+#REF!+#REF!+#REF!++#REF!+#REF!</f>
        <v>#REF!</v>
      </c>
      <c r="F661" s="710" t="e">
        <f>#REF!+#REF!+#REF!+#REF!+#REF!+#REF!+#REF!+#REF!+#REF!+#REF!</f>
        <v>#REF!</v>
      </c>
      <c r="G661" s="119" t="e">
        <f>#REF!+#REF!+#REF!+#REF!+#REF!+#REF!+#REF!+#REF!+#REF!+#REF!</f>
        <v>#REF!</v>
      </c>
      <c r="H661" s="1256"/>
      <c r="I661" s="659"/>
      <c r="EZ661" s="673"/>
      <c r="FA661" s="1049"/>
      <c r="FB661" s="1049"/>
      <c r="FC661" s="1049"/>
      <c r="FD661" s="1049"/>
      <c r="FE661" s="1049"/>
      <c r="FF661" s="1049"/>
      <c r="FG661" s="1049"/>
      <c r="FH661" s="1049"/>
      <c r="FI661" s="1049"/>
      <c r="FJ661" s="1049"/>
      <c r="FK661" s="1049"/>
      <c r="FL661" s="1049"/>
    </row>
    <row r="662" spans="1:168" s="1034" customFormat="1" x14ac:dyDescent="0.25">
      <c r="A662" s="133">
        <v>2</v>
      </c>
      <c r="B662" s="770" t="str">
        <f>K14</f>
        <v>Мясо птицы  (окорочка, бедра) охлажденные</v>
      </c>
      <c r="C662" s="710" t="e">
        <f>#REF!+#REF!++#REF!++#REF!+#REF!+#REF!+#REF!+#REF!++#REF!+#REF!</f>
        <v>#REF!</v>
      </c>
      <c r="D662" s="779">
        <f>цены!$F$8</f>
        <v>193</v>
      </c>
      <c r="E662" s="812" t="e">
        <f>E$661</f>
        <v>#REF!</v>
      </c>
      <c r="F662" s="710" t="e">
        <f>#REF!+#REF!+#REF!+#REF!+#REF!+#REF!+#REF!+#REF!+#REF!+#REF!</f>
        <v>#REF!</v>
      </c>
      <c r="G662" s="119" t="e">
        <f>#REF!+#REF!+#REF!+#REF!+#REF!+#REF!+#REF!+#REF!+#REF!+#REF!</f>
        <v>#REF!</v>
      </c>
      <c r="H662" s="1256"/>
      <c r="I662" s="659"/>
      <c r="EZ662" s="675"/>
      <c r="FA662" s="1049"/>
      <c r="FB662" s="1049"/>
      <c r="FC662" s="1049"/>
      <c r="FD662" s="1049"/>
      <c r="FE662" s="1049"/>
      <c r="FF662" s="1049"/>
      <c r="FG662" s="1049"/>
      <c r="FH662" s="1049"/>
      <c r="FI662" s="1049"/>
      <c r="FJ662" s="1049"/>
      <c r="FK662" s="1049"/>
      <c r="FL662" s="1049"/>
    </row>
    <row r="663" spans="1:168" s="1034" customFormat="1" x14ac:dyDescent="0.25">
      <c r="A663" s="133">
        <v>3</v>
      </c>
      <c r="B663" s="770" t="str">
        <f>L14</f>
        <v>Мясо птицы  (тушка)</v>
      </c>
      <c r="C663" s="710" t="e">
        <f>#REF!+#REF!++#REF!++#REF!+#REF!+#REF!+#REF!+#REF!++#REF!+#REF!</f>
        <v>#REF!</v>
      </c>
      <c r="D663" s="779">
        <f>цены!$F$9</f>
        <v>195</v>
      </c>
      <c r="E663" s="812" t="e">
        <f t="shared" ref="E663:E671" si="482">E$661</f>
        <v>#REF!</v>
      </c>
      <c r="F663" s="710" t="e">
        <f>#REF!+#REF!+#REF!+#REF!+#REF!+#REF!+#REF!+#REF!+#REF!+#REF!</f>
        <v>#REF!</v>
      </c>
      <c r="G663" s="119" t="e">
        <f>#REF!+#REF!+#REF!+#REF!+#REF!+#REF!+#REF!+#REF!+#REF!+#REF!</f>
        <v>#REF!</v>
      </c>
      <c r="H663" s="1256"/>
      <c r="I663" s="659"/>
      <c r="EZ663" s="675"/>
      <c r="FA663" s="1049"/>
      <c r="FB663" s="1049"/>
      <c r="FC663" s="1049"/>
      <c r="FD663" s="1049"/>
      <c r="FE663" s="1049"/>
      <c r="FF663" s="1049"/>
      <c r="FG663" s="1049"/>
      <c r="FH663" s="1049"/>
      <c r="FI663" s="1049"/>
      <c r="FJ663" s="1049"/>
      <c r="FK663" s="1049"/>
      <c r="FL663" s="1049"/>
    </row>
    <row r="664" spans="1:168" s="1034" customFormat="1" x14ac:dyDescent="0.25">
      <c r="A664" s="133">
        <v>4</v>
      </c>
      <c r="B664" s="770" t="str">
        <f>M14</f>
        <v>Мясо птицы филе</v>
      </c>
      <c r="C664" s="710" t="e">
        <f>#REF!+#REF!++#REF!++#REF!+#REF!+#REF!+#REF!+#REF!++#REF!+#REF!</f>
        <v>#REF!</v>
      </c>
      <c r="D664" s="779">
        <f>цены!$F$10</f>
        <v>320</v>
      </c>
      <c r="E664" s="812" t="e">
        <f t="shared" si="482"/>
        <v>#REF!</v>
      </c>
      <c r="F664" s="710" t="e">
        <f>#REF!+#REF!+#REF!+#REF!+#REF!+#REF!+#REF!+#REF!+#REF!+#REF!</f>
        <v>#REF!</v>
      </c>
      <c r="G664" s="119" t="e">
        <f>#REF!+#REF!+#REF!+#REF!+#REF!+#REF!+#REF!+#REF!+#REF!+#REF!</f>
        <v>#REF!</v>
      </c>
      <c r="H664" s="1256"/>
      <c r="I664" s="659"/>
      <c r="EZ664" s="675"/>
      <c r="FA664" s="1049"/>
      <c r="FB664" s="1049"/>
      <c r="FC664" s="1049"/>
      <c r="FD664" s="1049"/>
      <c r="FE664" s="1049"/>
      <c r="FF664" s="1049"/>
      <c r="FG664" s="1049"/>
      <c r="FH664" s="1049"/>
      <c r="FI664" s="1049"/>
      <c r="FJ664" s="1049"/>
      <c r="FK664" s="1049"/>
      <c r="FL664" s="1049"/>
    </row>
    <row r="665" spans="1:168" s="1034" customFormat="1" x14ac:dyDescent="0.25">
      <c r="A665" s="133">
        <v>5</v>
      </c>
      <c r="B665" s="770" t="str">
        <f>N14</f>
        <v xml:space="preserve">Сосиски "Халяль" </v>
      </c>
      <c r="C665" s="710" t="e">
        <f>#REF!+#REF!++#REF!++#REF!+#REF!+#REF!+#REF!+#REF!++#REF!+#REF!</f>
        <v>#REF!</v>
      </c>
      <c r="D665" s="779">
        <f>цены!$F$11</f>
        <v>325</v>
      </c>
      <c r="E665" s="812" t="e">
        <f t="shared" si="482"/>
        <v>#REF!</v>
      </c>
      <c r="F665" s="710" t="e">
        <f>#REF!+#REF!+#REF!+#REF!+#REF!+#REF!+#REF!+#REF!+#REF!+#REF!</f>
        <v>#REF!</v>
      </c>
      <c r="G665" s="119" t="e">
        <f>#REF!+#REF!+#REF!+#REF!+#REF!+#REF!+#REF!+#REF!+#REF!+#REF!</f>
        <v>#REF!</v>
      </c>
      <c r="H665" s="1256"/>
      <c r="I665" s="659"/>
      <c r="EZ665" s="675"/>
      <c r="FA665" s="1049"/>
      <c r="FB665" s="1049"/>
      <c r="FC665" s="1049"/>
      <c r="FD665" s="1049"/>
      <c r="FE665" s="1049"/>
      <c r="FF665" s="1049"/>
      <c r="FG665" s="1049"/>
      <c r="FH665" s="1049"/>
      <c r="FI665" s="1049"/>
      <c r="FJ665" s="1049"/>
      <c r="FK665" s="1049"/>
      <c r="FL665" s="1049"/>
    </row>
    <row r="666" spans="1:168" s="1034" customFormat="1" x14ac:dyDescent="0.25">
      <c r="A666" s="133">
        <v>6</v>
      </c>
      <c r="B666" s="770" t="str">
        <f>O14</f>
        <v>Колбаса полукопченная</v>
      </c>
      <c r="C666" s="710" t="e">
        <f>#REF!+#REF!++#REF!++#REF!+#REF!+#REF!+#REF!+#REF!++#REF!+#REF!</f>
        <v>#REF!</v>
      </c>
      <c r="D666" s="779">
        <f>цены!$F$12</f>
        <v>400</v>
      </c>
      <c r="E666" s="812" t="e">
        <f t="shared" si="482"/>
        <v>#REF!</v>
      </c>
      <c r="F666" s="710" t="e">
        <f>#REF!+#REF!+#REF!+#REF!+#REF!+#REF!+#REF!+#REF!+#REF!+#REF!</f>
        <v>#REF!</v>
      </c>
      <c r="G666" s="119" t="e">
        <f>#REF!+#REF!+#REF!+#REF!+#REF!+#REF!+#REF!+#REF!+#REF!+#REF!</f>
        <v>#REF!</v>
      </c>
      <c r="H666" s="1256"/>
      <c r="I666" s="659"/>
      <c r="EZ666" s="675"/>
      <c r="FA666" s="1049"/>
      <c r="FB666" s="1049"/>
      <c r="FC666" s="1049"/>
      <c r="FD666" s="1049"/>
      <c r="FE666" s="1049"/>
      <c r="FF666" s="1049"/>
      <c r="FG666" s="1049"/>
      <c r="FH666" s="1049"/>
      <c r="FI666" s="1049"/>
      <c r="FJ666" s="1049"/>
      <c r="FK666" s="1049"/>
      <c r="FL666" s="1049"/>
    </row>
    <row r="667" spans="1:168" s="1034" customFormat="1" x14ac:dyDescent="0.25">
      <c r="A667" s="133">
        <v>7</v>
      </c>
      <c r="B667" s="770" t="str">
        <f>P14</f>
        <v>Жир сырой крупного рогатого скота</v>
      </c>
      <c r="C667" s="710" t="e">
        <f>#REF!+#REF!++#REF!++#REF!+#REF!+#REF!+#REF!+#REF!++#REF!+#REF!</f>
        <v>#REF!</v>
      </c>
      <c r="D667" s="779">
        <f>цены!$F$13</f>
        <v>100</v>
      </c>
      <c r="E667" s="812" t="e">
        <f t="shared" si="482"/>
        <v>#REF!</v>
      </c>
      <c r="F667" s="710" t="e">
        <f>#REF!+#REF!+#REF!+#REF!+#REF!+#REF!+#REF!+#REF!+#REF!+#REF!</f>
        <v>#REF!</v>
      </c>
      <c r="G667" s="119" t="e">
        <f>#REF!+#REF!+#REF!+#REF!+#REF!+#REF!+#REF!+#REF!+#REF!+#REF!</f>
        <v>#REF!</v>
      </c>
      <c r="H667" s="1256"/>
      <c r="I667" s="659"/>
      <c r="EZ667" s="675"/>
      <c r="FA667" s="1049"/>
      <c r="FB667" s="1049"/>
      <c r="FC667" s="1049"/>
      <c r="FD667" s="1049"/>
      <c r="FE667" s="1049"/>
      <c r="FF667" s="1049"/>
      <c r="FG667" s="1049"/>
      <c r="FH667" s="1049"/>
      <c r="FI667" s="1049"/>
      <c r="FJ667" s="1049"/>
      <c r="FK667" s="1049"/>
      <c r="FL667" s="1049"/>
    </row>
    <row r="668" spans="1:168" s="1034" customFormat="1" ht="26.4" x14ac:dyDescent="0.25">
      <c r="A668" s="133">
        <v>8</v>
      </c>
      <c r="B668" s="771" t="str">
        <f>Q14</f>
        <v>Минтай (рыба замороженная, обезглавленная, потрошеная)</v>
      </c>
      <c r="C668" s="710" t="e">
        <f>#REF!+#REF!++#REF!++#REF!+#REF!+#REF!+#REF!+#REF!++#REF!+#REF!</f>
        <v>#REF!</v>
      </c>
      <c r="D668" s="779">
        <f>цены!$F$14</f>
        <v>178</v>
      </c>
      <c r="E668" s="812" t="e">
        <f t="shared" si="482"/>
        <v>#REF!</v>
      </c>
      <c r="F668" s="710" t="e">
        <f>#REF!+#REF!+#REF!+#REF!+#REF!+#REF!+#REF!+#REF!+#REF!+#REF!</f>
        <v>#REF!</v>
      </c>
      <c r="G668" s="119" t="e">
        <f>#REF!+#REF!+#REF!+#REF!+#REF!+#REF!+#REF!+#REF!+#REF!+#REF!</f>
        <v>#REF!</v>
      </c>
      <c r="H668" s="1256"/>
      <c r="I668" s="659"/>
      <c r="EZ668" s="675"/>
      <c r="FA668" s="1049"/>
      <c r="FB668" s="1049"/>
      <c r="FC668" s="1049"/>
      <c r="FD668" s="1049"/>
      <c r="FE668" s="1049"/>
      <c r="FF668" s="1049"/>
      <c r="FG668" s="1049"/>
      <c r="FH668" s="1049"/>
      <c r="FI668" s="1049"/>
      <c r="FJ668" s="1049"/>
      <c r="FK668" s="1049"/>
      <c r="FL668" s="1049"/>
    </row>
    <row r="669" spans="1:168" s="1034" customFormat="1" x14ac:dyDescent="0.25">
      <c r="A669" s="133">
        <v>9</v>
      </c>
      <c r="B669" s="770" t="str">
        <f>R14</f>
        <v>Хек филе</v>
      </c>
      <c r="C669" s="710" t="e">
        <f>#REF!+#REF!++#REF!++#REF!+#REF!+#REF!+#REF!+#REF!++#REF!+#REF!</f>
        <v>#REF!</v>
      </c>
      <c r="D669" s="779">
        <f>цены!$F$15</f>
        <v>400</v>
      </c>
      <c r="E669" s="812" t="e">
        <f t="shared" si="482"/>
        <v>#REF!</v>
      </c>
      <c r="F669" s="710" t="e">
        <f>#REF!+#REF!+#REF!+#REF!+#REF!+#REF!+#REF!+#REF!+#REF!+#REF!</f>
        <v>#REF!</v>
      </c>
      <c r="G669" s="119" t="e">
        <f>#REF!+#REF!+#REF!+#REF!+#REF!+#REF!+#REF!+#REF!+#REF!+#REF!</f>
        <v>#REF!</v>
      </c>
      <c r="H669" s="1256"/>
      <c r="I669" s="659"/>
      <c r="EZ669" s="675"/>
      <c r="FA669" s="1049"/>
      <c r="FB669" s="1049"/>
      <c r="FC669" s="1049"/>
      <c r="FD669" s="1049"/>
      <c r="FE669" s="1049"/>
      <c r="FF669" s="1049"/>
      <c r="FG669" s="1049"/>
      <c r="FH669" s="1049"/>
      <c r="FI669" s="1049"/>
      <c r="FJ669" s="1049"/>
      <c r="FK669" s="1049"/>
      <c r="FL669" s="1049"/>
    </row>
    <row r="670" spans="1:168" s="1034" customFormat="1" x14ac:dyDescent="0.25">
      <c r="A670" s="133">
        <v>10</v>
      </c>
      <c r="B670" s="770" t="str">
        <f>S14</f>
        <v>Минтай филе</v>
      </c>
      <c r="C670" s="710" t="e">
        <f>#REF!+#REF!++#REF!++#REF!+#REF!+#REF!+#REF!+#REF!++#REF!+#REF!</f>
        <v>#REF!</v>
      </c>
      <c r="D670" s="779">
        <f>цены!$F$16</f>
        <v>332</v>
      </c>
      <c r="E670" s="812" t="e">
        <f t="shared" si="482"/>
        <v>#REF!</v>
      </c>
      <c r="F670" s="710" t="e">
        <f>#REF!+#REF!+#REF!+#REF!+#REF!+#REF!+#REF!+#REF!+#REF!+#REF!</f>
        <v>#REF!</v>
      </c>
      <c r="G670" s="119" t="e">
        <f>#REF!+#REF!+#REF!+#REF!+#REF!+#REF!+#REF!+#REF!+#REF!+#REF!</f>
        <v>#REF!</v>
      </c>
      <c r="H670" s="1256"/>
      <c r="I670" s="659"/>
      <c r="EZ670" s="675"/>
      <c r="FA670" s="1049"/>
      <c r="FB670" s="1049"/>
      <c r="FC670" s="1049"/>
      <c r="FD670" s="1049"/>
      <c r="FE670" s="1049"/>
      <c r="FF670" s="1049"/>
      <c r="FG670" s="1049"/>
      <c r="FH670" s="1049"/>
      <c r="FI670" s="1049"/>
      <c r="FJ670" s="1049"/>
      <c r="FK670" s="1049"/>
      <c r="FL670" s="1049"/>
    </row>
    <row r="671" spans="1:168" s="1034" customFormat="1" x14ac:dyDescent="0.25">
      <c r="A671" s="133">
        <v>11</v>
      </c>
      <c r="B671" s="770" t="str">
        <f>T14</f>
        <v>Сельдь слабосоленая</v>
      </c>
      <c r="C671" s="710" t="e">
        <f>#REF!+#REF!++#REF!++#REF!+#REF!+#REF!+#REF!+#REF!++#REF!+#REF!</f>
        <v>#REF!</v>
      </c>
      <c r="D671" s="779">
        <f>цены!$F$17</f>
        <v>180</v>
      </c>
      <c r="E671" s="812" t="e">
        <f t="shared" si="482"/>
        <v>#REF!</v>
      </c>
      <c r="F671" s="710" t="e">
        <f>#REF!+#REF!+#REF!+#REF!+#REF!+#REF!+#REF!+#REF!+#REF!+#REF!</f>
        <v>#REF!</v>
      </c>
      <c r="G671" s="119" t="e">
        <f>#REF!+#REF!+#REF!+#REF!+#REF!+#REF!+#REF!+#REF!+#REF!+#REF!</f>
        <v>#REF!</v>
      </c>
      <c r="H671" s="1256"/>
      <c r="I671" s="659"/>
      <c r="EZ671" s="675"/>
      <c r="FA671" s="1049"/>
      <c r="FB671" s="1049"/>
      <c r="FC671" s="1049"/>
      <c r="FD671" s="1049"/>
      <c r="FE671" s="1049"/>
      <c r="FF671" s="1049"/>
      <c r="FG671" s="1049"/>
      <c r="FH671" s="1049"/>
      <c r="FI671" s="1049"/>
      <c r="FJ671" s="1049"/>
      <c r="FK671" s="1049"/>
      <c r="FL671" s="1049"/>
    </row>
    <row r="672" spans="1:168" s="1034" customFormat="1" x14ac:dyDescent="0.25">
      <c r="A672" s="146"/>
      <c r="B672" s="257" t="s">
        <v>260</v>
      </c>
      <c r="C672" s="774" t="e">
        <f>SUM(C661:C671)</f>
        <v>#REF!</v>
      </c>
      <c r="D672" s="780">
        <f>SUM(D661:D671)</f>
        <v>3183</v>
      </c>
      <c r="E672" s="792"/>
      <c r="F672" s="1283" t="e">
        <f>SUM(F661:F671)</f>
        <v>#REF!</v>
      </c>
      <c r="G672" s="661" t="e">
        <f t="shared" ref="G672:H672" si="483">SUM(G661:G671)</f>
        <v>#REF!</v>
      </c>
      <c r="H672" s="1257">
        <f t="shared" si="483"/>
        <v>0</v>
      </c>
      <c r="I672" s="661"/>
      <c r="EZ672" s="661">
        <f t="shared" ref="EZ672" si="484">SUM(EZ661:EZ671)</f>
        <v>0</v>
      </c>
      <c r="FA672" s="1049"/>
      <c r="FB672" s="1049"/>
      <c r="FC672" s="1049"/>
      <c r="FD672" s="1049"/>
      <c r="FE672" s="1049"/>
      <c r="FF672" s="1049"/>
      <c r="FG672" s="1049"/>
      <c r="FH672" s="1049"/>
      <c r="FI672" s="1049"/>
      <c r="FJ672" s="1049"/>
      <c r="FK672" s="1049"/>
      <c r="FL672" s="1049"/>
    </row>
    <row r="673" spans="1:168" s="1034" customFormat="1" x14ac:dyDescent="0.25">
      <c r="A673" s="148"/>
      <c r="B673" s="427" t="s">
        <v>314</v>
      </c>
      <c r="C673" s="775"/>
      <c r="D673" s="781"/>
      <c r="E673" s="793"/>
      <c r="F673" s="662"/>
      <c r="G673" s="662"/>
      <c r="H673" s="1265"/>
      <c r="I673" s="662"/>
      <c r="EZ673" s="676"/>
      <c r="FA673" s="1049"/>
      <c r="FB673" s="1049"/>
      <c r="FC673" s="1049"/>
      <c r="FD673" s="1049"/>
      <c r="FE673" s="1049"/>
      <c r="FF673" s="1049"/>
      <c r="FG673" s="1049"/>
      <c r="FH673" s="1049"/>
      <c r="FI673" s="1049"/>
      <c r="FJ673" s="1049"/>
      <c r="FK673" s="1049"/>
      <c r="FL673" s="1049"/>
    </row>
    <row r="674" spans="1:168" s="1034" customFormat="1" x14ac:dyDescent="0.25">
      <c r="A674" s="133">
        <v>12</v>
      </c>
      <c r="B674" s="541" t="str">
        <f>U14</f>
        <v>Молоко пастеризованное 2,5% жирн.</v>
      </c>
      <c r="C674" s="710" t="e">
        <f>#REF!+#REF!++#REF!++#REF!+#REF!+#REF!+#REF!+#REF!++#REF!+#REF!</f>
        <v>#REF!</v>
      </c>
      <c r="D674" s="779">
        <f>цены!$F$20</f>
        <v>80</v>
      </c>
      <c r="E674" s="812" t="e">
        <f t="shared" ref="E674:E684" si="485">E$661</f>
        <v>#REF!</v>
      </c>
      <c r="F674" s="710" t="e">
        <f>#REF!+#REF!+#REF!+#REF!+#REF!+#REF!+#REF!+#REF!+#REF!+#REF!</f>
        <v>#REF!</v>
      </c>
      <c r="G674" s="119" t="e">
        <f>#REF!+#REF!+#REF!+#REF!+#REF!+#REF!+#REF!+#REF!+#REF!+#REF!</f>
        <v>#REF!</v>
      </c>
      <c r="H674" s="1256"/>
      <c r="I674" s="659"/>
      <c r="EZ674" s="675"/>
      <c r="FA674" s="1049"/>
      <c r="FB674" s="1049"/>
      <c r="FC674" s="1049"/>
      <c r="FD674" s="1049"/>
      <c r="FE674" s="1049"/>
      <c r="FF674" s="1049"/>
      <c r="FG674" s="1049"/>
      <c r="FH674" s="1049"/>
      <c r="FI674" s="1049"/>
      <c r="FJ674" s="1049"/>
      <c r="FK674" s="1049"/>
      <c r="FL674" s="1049"/>
    </row>
    <row r="675" spans="1:168" s="1034" customFormat="1" x14ac:dyDescent="0.25">
      <c r="A675" s="133">
        <v>13</v>
      </c>
      <c r="B675" s="541" t="str">
        <f>V14</f>
        <v xml:space="preserve">Масло сливочное фасованное 72,5% жир. </v>
      </c>
      <c r="C675" s="710" t="e">
        <f>#REF!+#REF!++#REF!++#REF!+#REF!+#REF!+#REF!+#REF!++#REF!+#REF!</f>
        <v>#REF!</v>
      </c>
      <c r="D675" s="779">
        <f>цены!$F$21</f>
        <v>710</v>
      </c>
      <c r="E675" s="812" t="e">
        <f t="shared" si="485"/>
        <v>#REF!</v>
      </c>
      <c r="F675" s="710" t="e">
        <f>#REF!+#REF!+#REF!+#REF!+#REF!+#REF!+#REF!+#REF!+#REF!+#REF!</f>
        <v>#REF!</v>
      </c>
      <c r="G675" s="119" t="e">
        <f>#REF!+#REF!+#REF!+#REF!+#REF!+#REF!+#REF!+#REF!+#REF!+#REF!</f>
        <v>#REF!</v>
      </c>
      <c r="H675" s="1256"/>
      <c r="I675" s="659"/>
      <c r="EZ675" s="675"/>
      <c r="FA675" s="1049"/>
      <c r="FB675" s="1049"/>
      <c r="FC675" s="1049"/>
      <c r="FD675" s="1049"/>
      <c r="FE675" s="1049"/>
      <c r="FF675" s="1049"/>
      <c r="FG675" s="1049"/>
      <c r="FH675" s="1049"/>
      <c r="FI675" s="1049"/>
      <c r="FJ675" s="1049"/>
      <c r="FK675" s="1049"/>
      <c r="FL675" s="1049"/>
    </row>
    <row r="676" spans="1:168" s="1034" customFormat="1" x14ac:dyDescent="0.25">
      <c r="A676" s="133">
        <v>14</v>
      </c>
      <c r="B676" s="541" t="str">
        <f>W14</f>
        <v>Сыр российский 45% жирн.</v>
      </c>
      <c r="C676" s="710" t="e">
        <f>#REF!+#REF!++#REF!++#REF!+#REF!+#REF!+#REF!+#REF!++#REF!+#REF!</f>
        <v>#REF!</v>
      </c>
      <c r="D676" s="779">
        <f>цены!$F$22</f>
        <v>719</v>
      </c>
      <c r="E676" s="812" t="e">
        <f t="shared" si="485"/>
        <v>#REF!</v>
      </c>
      <c r="F676" s="710" t="e">
        <f>#REF!+#REF!+#REF!+#REF!+#REF!+#REF!+#REF!+#REF!+#REF!+#REF!</f>
        <v>#REF!</v>
      </c>
      <c r="G676" s="119" t="e">
        <f>#REF!+#REF!+#REF!+#REF!+#REF!+#REF!+#REF!+#REF!+#REF!+#REF!</f>
        <v>#REF!</v>
      </c>
      <c r="H676" s="1256"/>
      <c r="I676" s="659"/>
      <c r="EZ676" s="675"/>
      <c r="FA676" s="1049"/>
      <c r="FB676" s="1049"/>
      <c r="FC676" s="1049"/>
      <c r="FD676" s="1049"/>
      <c r="FE676" s="1049"/>
      <c r="FF676" s="1049"/>
      <c r="FG676" s="1049"/>
      <c r="FH676" s="1049"/>
      <c r="FI676" s="1049"/>
      <c r="FJ676" s="1049"/>
      <c r="FK676" s="1049"/>
      <c r="FL676" s="1049"/>
    </row>
    <row r="677" spans="1:168" s="1034" customFormat="1" x14ac:dyDescent="0.25">
      <c r="A677" s="133">
        <v>15</v>
      </c>
      <c r="B677" s="541" t="str">
        <f>X14</f>
        <v xml:space="preserve">Творог с массовой долей жира от 9,0% </v>
      </c>
      <c r="C677" s="710" t="e">
        <f>#REF!+#REF!++#REF!++#REF!+#REF!+#REF!+#REF!+#REF!++#REF!+#REF!</f>
        <v>#REF!</v>
      </c>
      <c r="D677" s="779">
        <f>цены!$F$23</f>
        <v>350</v>
      </c>
      <c r="E677" s="812" t="e">
        <f t="shared" si="485"/>
        <v>#REF!</v>
      </c>
      <c r="F677" s="710" t="e">
        <f>#REF!+#REF!+#REF!+#REF!+#REF!+#REF!+#REF!+#REF!+#REF!+#REF!</f>
        <v>#REF!</v>
      </c>
      <c r="G677" s="119" t="e">
        <f>#REF!+#REF!+#REF!+#REF!+#REF!+#REF!+#REF!+#REF!+#REF!+#REF!</f>
        <v>#REF!</v>
      </c>
      <c r="H677" s="1256"/>
      <c r="I677" s="659"/>
      <c r="EZ677" s="675"/>
      <c r="FA677" s="1049"/>
      <c r="FB677" s="1049"/>
      <c r="FC677" s="1049"/>
      <c r="FD677" s="1049"/>
      <c r="FE677" s="1049"/>
      <c r="FF677" s="1049"/>
      <c r="FG677" s="1049"/>
      <c r="FH677" s="1049"/>
      <c r="FI677" s="1049"/>
      <c r="FJ677" s="1049"/>
      <c r="FK677" s="1049"/>
      <c r="FL677" s="1049"/>
    </row>
    <row r="678" spans="1:168" s="1034" customFormat="1" x14ac:dyDescent="0.25">
      <c r="A678" s="133">
        <v>16</v>
      </c>
      <c r="B678" s="541" t="str">
        <f>Y14</f>
        <v>Сметана 20% жирности</v>
      </c>
      <c r="C678" s="710" t="e">
        <f>#REF!+#REF!++#REF!++#REF!+#REF!+#REF!+#REF!+#REF!++#REF!+#REF!</f>
        <v>#REF!</v>
      </c>
      <c r="D678" s="779">
        <f>цены!$F$24</f>
        <v>234</v>
      </c>
      <c r="E678" s="812" t="e">
        <f t="shared" si="485"/>
        <v>#REF!</v>
      </c>
      <c r="F678" s="710" t="e">
        <f>#REF!+#REF!+#REF!+#REF!+#REF!+#REF!+#REF!+#REF!+#REF!+#REF!</f>
        <v>#REF!</v>
      </c>
      <c r="G678" s="119" t="e">
        <f>#REF!+#REF!+#REF!+#REF!+#REF!+#REF!+#REF!+#REF!+#REF!+#REF!</f>
        <v>#REF!</v>
      </c>
      <c r="H678" s="1256"/>
      <c r="I678" s="659"/>
      <c r="EZ678" s="675"/>
      <c r="FA678" s="1049"/>
      <c r="FB678" s="1049"/>
      <c r="FC678" s="1049"/>
      <c r="FD678" s="1049"/>
      <c r="FE678" s="1049"/>
      <c r="FF678" s="1049"/>
      <c r="FG678" s="1049"/>
      <c r="FH678" s="1049"/>
      <c r="FI678" s="1049"/>
      <c r="FJ678" s="1049"/>
      <c r="FK678" s="1049"/>
      <c r="FL678" s="1049"/>
    </row>
    <row r="679" spans="1:168" s="1034" customFormat="1" x14ac:dyDescent="0.25">
      <c r="A679" s="133">
        <v>17</v>
      </c>
      <c r="B679" s="541" t="str">
        <f>Z14</f>
        <v>Молоко цельное сгущенное с сахаром 8,5% жир.</v>
      </c>
      <c r="C679" s="710" t="e">
        <f>#REF!+#REF!++#REF!++#REF!+#REF!+#REF!+#REF!+#REF!++#REF!+#REF!</f>
        <v>#REF!</v>
      </c>
      <c r="D679" s="779">
        <f>цены!$F$25</f>
        <v>250</v>
      </c>
      <c r="E679" s="812" t="e">
        <f t="shared" si="485"/>
        <v>#REF!</v>
      </c>
      <c r="F679" s="710" t="e">
        <f>#REF!+#REF!+#REF!+#REF!+#REF!+#REF!+#REF!+#REF!+#REF!+#REF!</f>
        <v>#REF!</v>
      </c>
      <c r="G679" s="119" t="e">
        <f>#REF!+#REF!+#REF!+#REF!+#REF!+#REF!+#REF!+#REF!+#REF!+#REF!</f>
        <v>#REF!</v>
      </c>
      <c r="H679" s="1256"/>
      <c r="I679" s="659"/>
      <c r="EZ679" s="675"/>
      <c r="FA679" s="1049"/>
      <c r="FB679" s="1049"/>
      <c r="FC679" s="1049"/>
      <c r="FD679" s="1049"/>
      <c r="FE679" s="1049"/>
      <c r="FF679" s="1049"/>
      <c r="FG679" s="1049"/>
      <c r="FH679" s="1049"/>
      <c r="FI679" s="1049"/>
      <c r="FJ679" s="1049"/>
      <c r="FK679" s="1049"/>
      <c r="FL679" s="1049"/>
    </row>
    <row r="680" spans="1:168" s="1034" customFormat="1" x14ac:dyDescent="0.25">
      <c r="A680" s="133">
        <v>18</v>
      </c>
      <c r="B680" s="542" t="str">
        <f>AA14</f>
        <v>Кефир 2,5 % жирности</v>
      </c>
      <c r="C680" s="710" t="e">
        <f>#REF!+#REF!++#REF!++#REF!+#REF!+#REF!+#REF!+#REF!++#REF!+#REF!</f>
        <v>#REF!</v>
      </c>
      <c r="D680" s="779">
        <f>цены!$F$26</f>
        <v>108</v>
      </c>
      <c r="E680" s="812" t="e">
        <f t="shared" si="485"/>
        <v>#REF!</v>
      </c>
      <c r="F680" s="710" t="e">
        <f>#REF!+#REF!+#REF!+#REF!+#REF!+#REF!+#REF!+#REF!+#REF!+#REF!</f>
        <v>#REF!</v>
      </c>
      <c r="G680" s="119" t="e">
        <f>#REF!+#REF!+#REF!+#REF!+#REF!+#REF!+#REF!+#REF!+#REF!+#REF!</f>
        <v>#REF!</v>
      </c>
      <c r="H680" s="1256"/>
      <c r="I680" s="659"/>
      <c r="EZ680" s="675"/>
      <c r="FA680" s="1049"/>
      <c r="FB680" s="1049"/>
      <c r="FC680" s="1049"/>
      <c r="FD680" s="1049"/>
      <c r="FE680" s="1049"/>
      <c r="FF680" s="1049"/>
      <c r="FG680" s="1049"/>
      <c r="FH680" s="1049"/>
      <c r="FI680" s="1049"/>
      <c r="FJ680" s="1049"/>
      <c r="FK680" s="1049"/>
      <c r="FL680" s="1049"/>
    </row>
    <row r="681" spans="1:168" s="1034" customFormat="1" x14ac:dyDescent="0.25">
      <c r="A681" s="133">
        <v>19</v>
      </c>
      <c r="B681" s="542" t="str">
        <f>AB14</f>
        <v>Йогурт питьевой 1,5% жирности</v>
      </c>
      <c r="C681" s="710" t="e">
        <f>#REF!+#REF!++#REF!++#REF!+#REF!+#REF!+#REF!+#REF!++#REF!+#REF!</f>
        <v>#REF!</v>
      </c>
      <c r="D681" s="779">
        <f>цены!$F$27</f>
        <v>125</v>
      </c>
      <c r="E681" s="812" t="e">
        <f t="shared" si="485"/>
        <v>#REF!</v>
      </c>
      <c r="F681" s="710" t="e">
        <f>#REF!+#REF!+#REF!+#REF!+#REF!+#REF!+#REF!+#REF!+#REF!+#REF!</f>
        <v>#REF!</v>
      </c>
      <c r="G681" s="119" t="e">
        <f>#REF!+#REF!+#REF!+#REF!+#REF!+#REF!+#REF!+#REF!+#REF!+#REF!</f>
        <v>#REF!</v>
      </c>
      <c r="H681" s="1256"/>
      <c r="I681" s="659"/>
      <c r="EZ681" s="675"/>
      <c r="FA681" s="1049"/>
      <c r="FB681" s="1049"/>
      <c r="FC681" s="1049"/>
      <c r="FD681" s="1049"/>
      <c r="FE681" s="1049"/>
      <c r="FF681" s="1049"/>
      <c r="FG681" s="1049"/>
      <c r="FH681" s="1049"/>
      <c r="FI681" s="1049"/>
      <c r="FJ681" s="1049"/>
      <c r="FK681" s="1049"/>
      <c r="FL681" s="1049"/>
    </row>
    <row r="682" spans="1:168" s="1034" customFormat="1" x14ac:dyDescent="0.25">
      <c r="A682" s="133">
        <v>20</v>
      </c>
      <c r="B682" s="770" t="str">
        <f>AC14</f>
        <v>Йогурт натуральный 5% (Fruttis) в пакетиках</v>
      </c>
      <c r="C682" s="710" t="e">
        <f>#REF!+#REF!++#REF!++#REF!+#REF!+#REF!+#REF!+#REF!++#REF!+#REF!</f>
        <v>#REF!</v>
      </c>
      <c r="D682" s="779">
        <f>цены!$F$28</f>
        <v>440</v>
      </c>
      <c r="E682" s="812" t="e">
        <f t="shared" si="485"/>
        <v>#REF!</v>
      </c>
      <c r="F682" s="710" t="e">
        <f>#REF!+#REF!+#REF!+#REF!+#REF!+#REF!+#REF!+#REF!+#REF!+#REF!</f>
        <v>#REF!</v>
      </c>
      <c r="G682" s="119" t="e">
        <f>#REF!+#REF!+#REF!+#REF!+#REF!+#REF!+#REF!+#REF!+#REF!+#REF!</f>
        <v>#REF!</v>
      </c>
      <c r="H682" s="1256"/>
      <c r="I682" s="659"/>
      <c r="EZ682" s="675"/>
      <c r="FA682" s="1049"/>
      <c r="FB682" s="1049"/>
      <c r="FC682" s="1049"/>
      <c r="FD682" s="1049"/>
      <c r="FE682" s="1049"/>
      <c r="FF682" s="1049"/>
      <c r="FG682" s="1049"/>
      <c r="FH682" s="1049"/>
      <c r="FI682" s="1049"/>
      <c r="FJ682" s="1049"/>
      <c r="FK682" s="1049"/>
      <c r="FL682" s="1049"/>
    </row>
    <row r="683" spans="1:168" s="1034" customFormat="1" x14ac:dyDescent="0.25">
      <c r="A683" s="133">
        <v>21</v>
      </c>
      <c r="B683" s="770" t="str">
        <f>AD14</f>
        <v>Мед натуральный пчелиный</v>
      </c>
      <c r="C683" s="710" t="e">
        <f>#REF!+#REF!++#REF!++#REF!+#REF!+#REF!+#REF!+#REF!++#REF!+#REF!</f>
        <v>#REF!</v>
      </c>
      <c r="D683" s="779">
        <f>цены!$F$29</f>
        <v>320</v>
      </c>
      <c r="E683" s="812" t="e">
        <f t="shared" si="485"/>
        <v>#REF!</v>
      </c>
      <c r="F683" s="710" t="e">
        <f>#REF!+#REF!+#REF!+#REF!+#REF!+#REF!+#REF!+#REF!+#REF!+#REF!</f>
        <v>#REF!</v>
      </c>
      <c r="G683" s="119" t="e">
        <f>#REF!+#REF!+#REF!+#REF!+#REF!+#REF!+#REF!+#REF!+#REF!+#REF!</f>
        <v>#REF!</v>
      </c>
      <c r="H683" s="1256"/>
      <c r="I683" s="659"/>
      <c r="EZ683" s="675"/>
      <c r="FA683" s="1049"/>
      <c r="FB683" s="1049"/>
      <c r="FC683" s="1049"/>
      <c r="FD683" s="1049"/>
      <c r="FE683" s="1049"/>
      <c r="FF683" s="1049"/>
      <c r="FG683" s="1049"/>
      <c r="FH683" s="1049"/>
      <c r="FI683" s="1049"/>
      <c r="FJ683" s="1049"/>
      <c r="FK683" s="1049"/>
      <c r="FL683" s="1049"/>
    </row>
    <row r="684" spans="1:168" s="1034" customFormat="1" x14ac:dyDescent="0.25">
      <c r="A684" s="133">
        <v>22</v>
      </c>
      <c r="B684" s="770" t="str">
        <f>AE14</f>
        <v xml:space="preserve">Яйца куриные                                              </v>
      </c>
      <c r="C684" s="710" t="e">
        <f>#REF!+#REF!++#REF!++#REF!+#REF!+#REF!+#REF!+#REF!++#REF!+#REF!</f>
        <v>#REF!</v>
      </c>
      <c r="D684" s="779">
        <f>цены!$F$30</f>
        <v>152.16999999999999</v>
      </c>
      <c r="E684" s="812" t="e">
        <f t="shared" si="485"/>
        <v>#REF!</v>
      </c>
      <c r="F684" s="710" t="e">
        <f>#REF!+#REF!+#REF!+#REF!+#REF!+#REF!+#REF!+#REF!+#REF!+#REF!</f>
        <v>#REF!</v>
      </c>
      <c r="G684" s="119" t="e">
        <f>#REF!+#REF!+#REF!+#REF!+#REF!+#REF!+#REF!+#REF!+#REF!+#REF!</f>
        <v>#REF!</v>
      </c>
      <c r="H684" s="1256"/>
      <c r="I684" s="659"/>
      <c r="EZ684" s="675"/>
      <c r="FA684" s="1049"/>
      <c r="FB684" s="1049"/>
      <c r="FC684" s="1049"/>
      <c r="FD684" s="1049"/>
      <c r="FE684" s="1049"/>
      <c r="FF684" s="1049"/>
      <c r="FG684" s="1049"/>
      <c r="FH684" s="1049"/>
      <c r="FI684" s="1049"/>
      <c r="FJ684" s="1049"/>
      <c r="FK684" s="1049"/>
      <c r="FL684" s="1049"/>
    </row>
    <row r="685" spans="1:168" s="1034" customFormat="1" x14ac:dyDescent="0.25">
      <c r="A685" s="146"/>
      <c r="B685" s="621" t="s">
        <v>261</v>
      </c>
      <c r="C685" s="774" t="e">
        <f>SUM(C674:C684)</f>
        <v>#REF!</v>
      </c>
      <c r="D685" s="780">
        <f>SUM(D674:D684)</f>
        <v>3488.17</v>
      </c>
      <c r="E685" s="1192"/>
      <c r="F685" s="1283" t="e">
        <f>SUM(F674:F684)</f>
        <v>#REF!</v>
      </c>
      <c r="G685" s="661" t="e">
        <f t="shared" ref="G685:H685" si="486">SUM(G674:G684)</f>
        <v>#REF!</v>
      </c>
      <c r="H685" s="1257">
        <f t="shared" si="486"/>
        <v>0</v>
      </c>
      <c r="I685" s="661"/>
      <c r="EZ685" s="661">
        <f t="shared" ref="EZ685" si="487">SUM(EZ674:EZ684)</f>
        <v>0</v>
      </c>
      <c r="FA685" s="1049"/>
      <c r="FB685" s="1049"/>
      <c r="FC685" s="1049"/>
      <c r="FD685" s="1049"/>
      <c r="FE685" s="1049"/>
      <c r="FF685" s="1049"/>
      <c r="FG685" s="1049"/>
      <c r="FH685" s="1049"/>
      <c r="FI685" s="1049"/>
      <c r="FJ685" s="1049"/>
      <c r="FK685" s="1049"/>
      <c r="FL685" s="1049"/>
    </row>
    <row r="686" spans="1:168" s="1034" customFormat="1" x14ac:dyDescent="0.25">
      <c r="A686" s="147"/>
      <c r="B686" s="427" t="s">
        <v>274</v>
      </c>
      <c r="C686" s="775"/>
      <c r="D686" s="781"/>
      <c r="E686" s="793"/>
      <c r="F686" s="662"/>
      <c r="G686" s="662"/>
      <c r="H686" s="1265"/>
      <c r="I686" s="662"/>
      <c r="EZ686" s="676"/>
      <c r="FA686" s="1049"/>
      <c r="FB686" s="1049"/>
      <c r="FC686" s="1049"/>
      <c r="FD686" s="1049"/>
      <c r="FE686" s="1049"/>
      <c r="FF686" s="1049"/>
      <c r="FG686" s="1049"/>
      <c r="FH686" s="1049"/>
      <c r="FI686" s="1049"/>
      <c r="FJ686" s="1049"/>
      <c r="FK686" s="1049"/>
      <c r="FL686" s="1049"/>
    </row>
    <row r="687" spans="1:168" s="1034" customFormat="1" x14ac:dyDescent="0.25">
      <c r="A687" s="133">
        <v>23</v>
      </c>
      <c r="B687" s="541" t="str">
        <f>AF14</f>
        <v>Капуста свежая</v>
      </c>
      <c r="C687" s="710" t="e">
        <f>#REF!+#REF!++#REF!++#REF!+#REF!+#REF!+#REF!+#REF!++#REF!+#REF!</f>
        <v>#REF!</v>
      </c>
      <c r="D687" s="779">
        <f>цены!$F$33</f>
        <v>53</v>
      </c>
      <c r="E687" s="812" t="e">
        <f t="shared" ref="E687:E725" si="488">E$661</f>
        <v>#REF!</v>
      </c>
      <c r="F687" s="710" t="e">
        <f>#REF!+#REF!+#REF!+#REF!+#REF!+#REF!+#REF!+#REF!+#REF!+#REF!</f>
        <v>#REF!</v>
      </c>
      <c r="G687" s="119" t="e">
        <f>#REF!+#REF!+#REF!+#REF!+#REF!+#REF!+#REF!+#REF!+#REF!+#REF!</f>
        <v>#REF!</v>
      </c>
      <c r="H687" s="1256"/>
      <c r="I687" s="659"/>
      <c r="EZ687" s="675"/>
      <c r="FA687" s="1049"/>
      <c r="FB687" s="1049"/>
      <c r="FC687" s="1049"/>
      <c r="FD687" s="1049"/>
      <c r="FE687" s="1049"/>
      <c r="FF687" s="1049"/>
      <c r="FG687" s="1049"/>
      <c r="FH687" s="1049"/>
      <c r="FI687" s="1049"/>
      <c r="FJ687" s="1049"/>
      <c r="FK687" s="1049"/>
      <c r="FL687" s="1049"/>
    </row>
    <row r="688" spans="1:168" s="1034" customFormat="1" x14ac:dyDescent="0.25">
      <c r="A688" s="133">
        <v>24</v>
      </c>
      <c r="B688" s="542" t="str">
        <f>AG14</f>
        <v>Капуста свежая молодая</v>
      </c>
      <c r="C688" s="710" t="e">
        <f>#REF!+#REF!++#REF!++#REF!+#REF!+#REF!+#REF!+#REF!++#REF!+#REF!</f>
        <v>#REF!</v>
      </c>
      <c r="D688" s="779">
        <f>цены!$F$34</f>
        <v>20</v>
      </c>
      <c r="E688" s="812" t="e">
        <f t="shared" si="488"/>
        <v>#REF!</v>
      </c>
      <c r="F688" s="710" t="e">
        <f>#REF!+#REF!+#REF!+#REF!+#REF!+#REF!+#REF!+#REF!+#REF!+#REF!</f>
        <v>#REF!</v>
      </c>
      <c r="G688" s="119" t="e">
        <f>#REF!+#REF!+#REF!+#REF!+#REF!+#REF!+#REF!+#REF!+#REF!+#REF!</f>
        <v>#REF!</v>
      </c>
      <c r="H688" s="1256"/>
      <c r="I688" s="659"/>
      <c r="EZ688" s="675"/>
      <c r="FA688" s="1049"/>
      <c r="FB688" s="1049"/>
      <c r="FC688" s="1049"/>
      <c r="FD688" s="1049"/>
      <c r="FE688" s="1049"/>
      <c r="FF688" s="1049"/>
      <c r="FG688" s="1049"/>
      <c r="FH688" s="1049"/>
      <c r="FI688" s="1049"/>
      <c r="FJ688" s="1049"/>
      <c r="FK688" s="1049"/>
      <c r="FL688" s="1049"/>
    </row>
    <row r="689" spans="1:168" s="1034" customFormat="1" x14ac:dyDescent="0.25">
      <c r="A689" s="133">
        <v>25</v>
      </c>
      <c r="B689" s="542" t="str">
        <f>AH14</f>
        <v>Картофель</v>
      </c>
      <c r="C689" s="710" t="e">
        <f>#REF!+#REF!++#REF!++#REF!+#REF!+#REF!+#REF!+#REF!++#REF!+#REF!</f>
        <v>#REF!</v>
      </c>
      <c r="D689" s="779">
        <f>цены!$F$35</f>
        <v>50</v>
      </c>
      <c r="E689" s="812" t="e">
        <f t="shared" si="488"/>
        <v>#REF!</v>
      </c>
      <c r="F689" s="710" t="e">
        <f>#REF!+#REF!+#REF!+#REF!+#REF!+#REF!+#REF!+#REF!+#REF!+#REF!</f>
        <v>#REF!</v>
      </c>
      <c r="G689" s="119" t="e">
        <f>#REF!+#REF!+#REF!+#REF!+#REF!+#REF!+#REF!+#REF!+#REF!+#REF!</f>
        <v>#REF!</v>
      </c>
      <c r="H689" s="1256"/>
      <c r="I689" s="659"/>
      <c r="EZ689" s="675"/>
      <c r="FA689" s="1049"/>
      <c r="FB689" s="1049"/>
      <c r="FC689" s="1049"/>
      <c r="FD689" s="1049"/>
      <c r="FE689" s="1049"/>
      <c r="FF689" s="1049"/>
      <c r="FG689" s="1049"/>
      <c r="FH689" s="1049"/>
      <c r="FI689" s="1049"/>
      <c r="FJ689" s="1049"/>
      <c r="FK689" s="1049"/>
      <c r="FL689" s="1049"/>
    </row>
    <row r="690" spans="1:168" s="1034" customFormat="1" x14ac:dyDescent="0.25">
      <c r="A690" s="133">
        <v>26</v>
      </c>
      <c r="B690" s="542" t="str">
        <f>AI14</f>
        <v>Картофель молодой</v>
      </c>
      <c r="C690" s="710" t="e">
        <f>#REF!+#REF!++#REF!++#REF!+#REF!+#REF!+#REF!+#REF!++#REF!+#REF!</f>
        <v>#REF!</v>
      </c>
      <c r="D690" s="779">
        <f>цены!$F$36</f>
        <v>25</v>
      </c>
      <c r="E690" s="812" t="e">
        <f t="shared" si="488"/>
        <v>#REF!</v>
      </c>
      <c r="F690" s="710" t="e">
        <f>#REF!+#REF!+#REF!+#REF!+#REF!+#REF!+#REF!+#REF!+#REF!+#REF!</f>
        <v>#REF!</v>
      </c>
      <c r="G690" s="119" t="e">
        <f>#REF!+#REF!+#REF!+#REF!+#REF!+#REF!+#REF!+#REF!+#REF!+#REF!</f>
        <v>#REF!</v>
      </c>
      <c r="H690" s="1256"/>
      <c r="I690" s="659"/>
      <c r="EZ690" s="675"/>
      <c r="FA690" s="1049"/>
      <c r="FB690" s="1049"/>
      <c r="FC690" s="1049"/>
      <c r="FD690" s="1049"/>
      <c r="FE690" s="1049"/>
      <c r="FF690" s="1049"/>
      <c r="FG690" s="1049"/>
      <c r="FH690" s="1049"/>
      <c r="FI690" s="1049"/>
      <c r="FJ690" s="1049"/>
      <c r="FK690" s="1049"/>
      <c r="FL690" s="1049"/>
    </row>
    <row r="691" spans="1:168" s="1034" customFormat="1" x14ac:dyDescent="0.25">
      <c r="A691" s="133">
        <v>27</v>
      </c>
      <c r="B691" s="542" t="str">
        <f>AJ14</f>
        <v xml:space="preserve">Лимон </v>
      </c>
      <c r="C691" s="710" t="e">
        <f>#REF!+#REF!++#REF!++#REF!+#REF!+#REF!+#REF!+#REF!++#REF!+#REF!</f>
        <v>#REF!</v>
      </c>
      <c r="D691" s="779">
        <f>цены!$F$37</f>
        <v>180</v>
      </c>
      <c r="E691" s="812" t="e">
        <f t="shared" si="488"/>
        <v>#REF!</v>
      </c>
      <c r="F691" s="710" t="e">
        <f>#REF!+#REF!+#REF!+#REF!+#REF!+#REF!+#REF!+#REF!+#REF!+#REF!</f>
        <v>#REF!</v>
      </c>
      <c r="G691" s="119" t="e">
        <f>#REF!+#REF!+#REF!+#REF!+#REF!+#REF!+#REF!+#REF!+#REF!+#REF!</f>
        <v>#REF!</v>
      </c>
      <c r="H691" s="1256"/>
      <c r="I691" s="659"/>
      <c r="EZ691" s="675"/>
      <c r="FA691" s="1049"/>
      <c r="FB691" s="1049"/>
      <c r="FC691" s="1049"/>
      <c r="FD691" s="1049"/>
      <c r="FE691" s="1049"/>
      <c r="FF691" s="1049"/>
      <c r="FG691" s="1049"/>
      <c r="FH691" s="1049"/>
      <c r="FI691" s="1049"/>
      <c r="FJ691" s="1049"/>
      <c r="FK691" s="1049"/>
      <c r="FL691" s="1049"/>
    </row>
    <row r="692" spans="1:168" s="1034" customFormat="1" x14ac:dyDescent="0.25">
      <c r="A692" s="133">
        <v>28</v>
      </c>
      <c r="B692" s="542" t="str">
        <f>AK14</f>
        <v>Лук репчатый</v>
      </c>
      <c r="C692" s="710" t="e">
        <f>#REF!+#REF!++#REF!++#REF!+#REF!+#REF!+#REF!+#REF!++#REF!+#REF!</f>
        <v>#REF!</v>
      </c>
      <c r="D692" s="779">
        <f>цены!$F$38</f>
        <v>50</v>
      </c>
      <c r="E692" s="812" t="e">
        <f t="shared" si="488"/>
        <v>#REF!</v>
      </c>
      <c r="F692" s="710" t="e">
        <f>#REF!+#REF!+#REF!+#REF!+#REF!+#REF!+#REF!+#REF!+#REF!+#REF!</f>
        <v>#REF!</v>
      </c>
      <c r="G692" s="119" t="e">
        <f>#REF!+#REF!+#REF!+#REF!+#REF!+#REF!+#REF!+#REF!+#REF!+#REF!</f>
        <v>#REF!</v>
      </c>
      <c r="H692" s="1256"/>
      <c r="I692" s="659"/>
      <c r="EZ692" s="675"/>
      <c r="FA692" s="1049"/>
      <c r="FB692" s="1049"/>
      <c r="FC692" s="1049"/>
      <c r="FD692" s="1049"/>
      <c r="FE692" s="1049"/>
      <c r="FF692" s="1049"/>
      <c r="FG692" s="1049"/>
      <c r="FH692" s="1049"/>
      <c r="FI692" s="1049"/>
      <c r="FJ692" s="1049"/>
      <c r="FK692" s="1049"/>
      <c r="FL692" s="1049"/>
    </row>
    <row r="693" spans="1:168" s="1034" customFormat="1" x14ac:dyDescent="0.25">
      <c r="A693" s="133">
        <v>29</v>
      </c>
      <c r="B693" s="542" t="str">
        <f>AL14</f>
        <v>Лук зеленый</v>
      </c>
      <c r="C693" s="710" t="e">
        <f>#REF!+#REF!++#REF!++#REF!+#REF!+#REF!+#REF!+#REF!++#REF!+#REF!</f>
        <v>#REF!</v>
      </c>
      <c r="D693" s="779">
        <f>цены!$F$39</f>
        <v>300</v>
      </c>
      <c r="E693" s="812" t="e">
        <f t="shared" si="488"/>
        <v>#REF!</v>
      </c>
      <c r="F693" s="710" t="e">
        <f>#REF!+#REF!+#REF!+#REF!+#REF!+#REF!+#REF!+#REF!+#REF!+#REF!</f>
        <v>#REF!</v>
      </c>
      <c r="G693" s="119" t="e">
        <f>#REF!+#REF!+#REF!+#REF!+#REF!+#REF!+#REF!+#REF!+#REF!+#REF!</f>
        <v>#REF!</v>
      </c>
      <c r="H693" s="1256"/>
      <c r="I693" s="659"/>
      <c r="EZ693" s="675"/>
      <c r="FA693" s="1049"/>
      <c r="FB693" s="1049"/>
      <c r="FC693" s="1049"/>
      <c r="FD693" s="1049"/>
      <c r="FE693" s="1049"/>
      <c r="FF693" s="1049"/>
      <c r="FG693" s="1049"/>
      <c r="FH693" s="1049"/>
      <c r="FI693" s="1049"/>
      <c r="FJ693" s="1049"/>
      <c r="FK693" s="1049"/>
      <c r="FL693" s="1049"/>
    </row>
    <row r="694" spans="1:168" s="1034" customFormat="1" x14ac:dyDescent="0.25">
      <c r="A694" s="133">
        <v>30</v>
      </c>
      <c r="B694" s="542" t="str">
        <f>AM14</f>
        <v>Чеснок</v>
      </c>
      <c r="C694" s="710" t="e">
        <f>#REF!+#REF!++#REF!++#REF!+#REF!+#REF!+#REF!+#REF!++#REF!+#REF!</f>
        <v>#REF!</v>
      </c>
      <c r="D694" s="779">
        <f>цены!$F$40</f>
        <v>200</v>
      </c>
      <c r="E694" s="812" t="e">
        <f t="shared" si="488"/>
        <v>#REF!</v>
      </c>
      <c r="F694" s="710" t="e">
        <f>#REF!+#REF!+#REF!+#REF!+#REF!+#REF!+#REF!+#REF!+#REF!+#REF!</f>
        <v>#REF!</v>
      </c>
      <c r="G694" s="119" t="e">
        <f>#REF!+#REF!+#REF!+#REF!+#REF!+#REF!+#REF!+#REF!+#REF!+#REF!</f>
        <v>#REF!</v>
      </c>
      <c r="H694" s="1256"/>
      <c r="I694" s="659"/>
      <c r="EZ694" s="675"/>
      <c r="FA694" s="1049"/>
      <c r="FB694" s="1049"/>
      <c r="FC694" s="1049"/>
      <c r="FD694" s="1049"/>
      <c r="FE694" s="1049"/>
      <c r="FF694" s="1049"/>
      <c r="FG694" s="1049"/>
      <c r="FH694" s="1049"/>
      <c r="FI694" s="1049"/>
      <c r="FJ694" s="1049"/>
      <c r="FK694" s="1049"/>
      <c r="FL694" s="1049"/>
    </row>
    <row r="695" spans="1:168" s="1034" customFormat="1" x14ac:dyDescent="0.25">
      <c r="A695" s="133">
        <v>31</v>
      </c>
      <c r="B695" s="542" t="str">
        <f>AN14</f>
        <v>Помидоры</v>
      </c>
      <c r="C695" s="710" t="e">
        <f>#REF!+#REF!++#REF!++#REF!+#REF!+#REF!+#REF!+#REF!++#REF!+#REF!</f>
        <v>#REF!</v>
      </c>
      <c r="D695" s="779">
        <f>цены!$F$41</f>
        <v>106</v>
      </c>
      <c r="E695" s="812" t="e">
        <f t="shared" si="488"/>
        <v>#REF!</v>
      </c>
      <c r="F695" s="710" t="e">
        <f>#REF!+#REF!+#REF!+#REF!+#REF!+#REF!+#REF!+#REF!+#REF!+#REF!</f>
        <v>#REF!</v>
      </c>
      <c r="G695" s="119" t="e">
        <f>#REF!+#REF!+#REF!+#REF!+#REF!+#REF!+#REF!+#REF!+#REF!+#REF!</f>
        <v>#REF!</v>
      </c>
      <c r="H695" s="1256"/>
      <c r="I695" s="659"/>
      <c r="EZ695" s="675"/>
      <c r="FA695" s="1049"/>
      <c r="FB695" s="1049"/>
      <c r="FC695" s="1049"/>
      <c r="FD695" s="1049"/>
      <c r="FE695" s="1049"/>
      <c r="FF695" s="1049"/>
      <c r="FG695" s="1049"/>
      <c r="FH695" s="1049"/>
      <c r="FI695" s="1049"/>
      <c r="FJ695" s="1049"/>
      <c r="FK695" s="1049"/>
      <c r="FL695" s="1049"/>
    </row>
    <row r="696" spans="1:168" s="1034" customFormat="1" x14ac:dyDescent="0.25">
      <c r="A696" s="133">
        <v>32</v>
      </c>
      <c r="B696" s="542" t="str">
        <f>AO14</f>
        <v>Огурцы</v>
      </c>
      <c r="C696" s="710" t="e">
        <f>#REF!+#REF!++#REF!++#REF!+#REF!+#REF!+#REF!+#REF!++#REF!+#REF!</f>
        <v>#REF!</v>
      </c>
      <c r="D696" s="779">
        <f>цены!$F$42</f>
        <v>60</v>
      </c>
      <c r="E696" s="812" t="e">
        <f t="shared" si="488"/>
        <v>#REF!</v>
      </c>
      <c r="F696" s="710" t="e">
        <f>#REF!+#REF!+#REF!+#REF!+#REF!+#REF!+#REF!+#REF!+#REF!+#REF!</f>
        <v>#REF!</v>
      </c>
      <c r="G696" s="119" t="e">
        <f>#REF!+#REF!+#REF!+#REF!+#REF!+#REF!+#REF!+#REF!+#REF!+#REF!</f>
        <v>#REF!</v>
      </c>
      <c r="H696" s="1256"/>
      <c r="I696" s="659"/>
      <c r="EZ696" s="675"/>
      <c r="FA696" s="1049"/>
      <c r="FB696" s="1049"/>
      <c r="FC696" s="1049"/>
      <c r="FD696" s="1049"/>
      <c r="FE696" s="1049"/>
      <c r="FF696" s="1049"/>
      <c r="FG696" s="1049"/>
      <c r="FH696" s="1049"/>
      <c r="FI696" s="1049"/>
      <c r="FJ696" s="1049"/>
      <c r="FK696" s="1049"/>
      <c r="FL696" s="1049"/>
    </row>
    <row r="697" spans="1:168" s="1034" customFormat="1" x14ac:dyDescent="0.25">
      <c r="A697" s="133">
        <v>33</v>
      </c>
      <c r="B697" s="542" t="str">
        <f>AP14</f>
        <v>Салат зеленый</v>
      </c>
      <c r="C697" s="710" t="e">
        <f>#REF!+#REF!++#REF!++#REF!+#REF!+#REF!+#REF!+#REF!++#REF!+#REF!</f>
        <v>#REF!</v>
      </c>
      <c r="D697" s="779">
        <f>цены!$F$43</f>
        <v>200</v>
      </c>
      <c r="E697" s="812" t="e">
        <f t="shared" si="488"/>
        <v>#REF!</v>
      </c>
      <c r="F697" s="710" t="e">
        <f>#REF!+#REF!+#REF!+#REF!+#REF!+#REF!+#REF!+#REF!+#REF!+#REF!</f>
        <v>#REF!</v>
      </c>
      <c r="G697" s="119" t="e">
        <f>#REF!+#REF!+#REF!+#REF!+#REF!+#REF!+#REF!+#REF!+#REF!+#REF!</f>
        <v>#REF!</v>
      </c>
      <c r="H697" s="1256"/>
      <c r="I697" s="659"/>
      <c r="EZ697" s="675"/>
      <c r="FA697" s="1049"/>
      <c r="FB697" s="1049"/>
      <c r="FC697" s="1049"/>
      <c r="FD697" s="1049"/>
      <c r="FE697" s="1049"/>
      <c r="FF697" s="1049"/>
      <c r="FG697" s="1049"/>
      <c r="FH697" s="1049"/>
      <c r="FI697" s="1049"/>
      <c r="FJ697" s="1049"/>
      <c r="FK697" s="1049"/>
      <c r="FL697" s="1049"/>
    </row>
    <row r="698" spans="1:168" s="1034" customFormat="1" x14ac:dyDescent="0.25">
      <c r="A698" s="133">
        <v>34</v>
      </c>
      <c r="B698" s="542" t="str">
        <f>AQ14</f>
        <v>Морковь столовая</v>
      </c>
      <c r="C698" s="710" t="e">
        <f>#REF!+#REF!++#REF!++#REF!+#REF!+#REF!+#REF!+#REF!++#REF!+#REF!</f>
        <v>#REF!</v>
      </c>
      <c r="D698" s="779">
        <f>цены!$F$44</f>
        <v>50</v>
      </c>
      <c r="E698" s="812" t="e">
        <f t="shared" si="488"/>
        <v>#REF!</v>
      </c>
      <c r="F698" s="710" t="e">
        <f>#REF!+#REF!+#REF!+#REF!+#REF!+#REF!+#REF!+#REF!+#REF!+#REF!</f>
        <v>#REF!</v>
      </c>
      <c r="G698" s="119" t="e">
        <f>#REF!+#REF!+#REF!+#REF!+#REF!+#REF!+#REF!+#REF!+#REF!+#REF!</f>
        <v>#REF!</v>
      </c>
      <c r="H698" s="1256"/>
      <c r="I698" s="659"/>
      <c r="EZ698" s="675"/>
      <c r="FA698" s="1049"/>
      <c r="FB698" s="1049"/>
      <c r="FC698" s="1049"/>
      <c r="FD698" s="1049"/>
      <c r="FE698" s="1049"/>
      <c r="FF698" s="1049"/>
      <c r="FG698" s="1049"/>
      <c r="FH698" s="1049"/>
      <c r="FI698" s="1049"/>
      <c r="FJ698" s="1049"/>
      <c r="FK698" s="1049"/>
      <c r="FL698" s="1049"/>
    </row>
    <row r="699" spans="1:168" s="1034" customFormat="1" x14ac:dyDescent="0.25">
      <c r="A699" s="133">
        <v>35</v>
      </c>
      <c r="B699" s="542" t="str">
        <f>AR14</f>
        <v>Морковь столовая молодая</v>
      </c>
      <c r="C699" s="710" t="e">
        <f>#REF!+#REF!++#REF!++#REF!+#REF!+#REF!+#REF!+#REF!++#REF!+#REF!</f>
        <v>#REF!</v>
      </c>
      <c r="D699" s="779">
        <f>цены!$F$45</f>
        <v>35</v>
      </c>
      <c r="E699" s="812" t="e">
        <f t="shared" si="488"/>
        <v>#REF!</v>
      </c>
      <c r="F699" s="710" t="e">
        <f>#REF!+#REF!+#REF!+#REF!+#REF!+#REF!+#REF!+#REF!+#REF!+#REF!</f>
        <v>#REF!</v>
      </c>
      <c r="G699" s="119" t="e">
        <f>#REF!+#REF!+#REF!+#REF!+#REF!+#REF!+#REF!+#REF!+#REF!+#REF!</f>
        <v>#REF!</v>
      </c>
      <c r="H699" s="1256"/>
      <c r="I699" s="659"/>
      <c r="EZ699" s="675"/>
      <c r="FA699" s="1049"/>
      <c r="FB699" s="1049"/>
      <c r="FC699" s="1049"/>
      <c r="FD699" s="1049"/>
      <c r="FE699" s="1049"/>
      <c r="FF699" s="1049"/>
      <c r="FG699" s="1049"/>
      <c r="FH699" s="1049"/>
      <c r="FI699" s="1049"/>
      <c r="FJ699" s="1049"/>
      <c r="FK699" s="1049"/>
      <c r="FL699" s="1049"/>
    </row>
    <row r="700" spans="1:168" s="1034" customFormat="1" x14ac:dyDescent="0.25">
      <c r="A700" s="133">
        <v>36</v>
      </c>
      <c r="B700" s="542" t="str">
        <f>AS14</f>
        <v>Перец сладкий</v>
      </c>
      <c r="C700" s="710" t="e">
        <f>#REF!+#REF!++#REF!++#REF!+#REF!+#REF!+#REF!+#REF!++#REF!+#REF!</f>
        <v>#REF!</v>
      </c>
      <c r="D700" s="779">
        <f>цены!$F$46</f>
        <v>250</v>
      </c>
      <c r="E700" s="812" t="e">
        <f t="shared" si="488"/>
        <v>#REF!</v>
      </c>
      <c r="F700" s="710" t="e">
        <f>#REF!+#REF!+#REF!+#REF!+#REF!+#REF!+#REF!+#REF!+#REF!+#REF!</f>
        <v>#REF!</v>
      </c>
      <c r="G700" s="119" t="e">
        <f>#REF!+#REF!+#REF!+#REF!+#REF!+#REF!+#REF!+#REF!+#REF!+#REF!</f>
        <v>#REF!</v>
      </c>
      <c r="H700" s="1256"/>
      <c r="I700" s="659"/>
      <c r="EZ700" s="675"/>
      <c r="FA700" s="1049"/>
      <c r="FB700" s="1049"/>
      <c r="FC700" s="1049"/>
      <c r="FD700" s="1049"/>
      <c r="FE700" s="1049"/>
      <c r="FF700" s="1049"/>
      <c r="FG700" s="1049"/>
      <c r="FH700" s="1049"/>
      <c r="FI700" s="1049"/>
      <c r="FJ700" s="1049"/>
      <c r="FK700" s="1049"/>
      <c r="FL700" s="1049"/>
    </row>
    <row r="701" spans="1:168" s="1034" customFormat="1" x14ac:dyDescent="0.25">
      <c r="A701" s="133">
        <v>37</v>
      </c>
      <c r="B701" s="542" t="str">
        <f>AT14</f>
        <v>Петрушка корневая</v>
      </c>
      <c r="C701" s="710" t="e">
        <f>#REF!+#REF!++#REF!++#REF!+#REF!+#REF!+#REF!+#REF!++#REF!+#REF!</f>
        <v>#REF!</v>
      </c>
      <c r="D701" s="779">
        <f>цены!$F$47</f>
        <v>300</v>
      </c>
      <c r="E701" s="812" t="e">
        <f t="shared" si="488"/>
        <v>#REF!</v>
      </c>
      <c r="F701" s="710" t="e">
        <f>#REF!+#REF!+#REF!+#REF!+#REF!+#REF!+#REF!+#REF!+#REF!+#REF!</f>
        <v>#REF!</v>
      </c>
      <c r="G701" s="119" t="e">
        <f>#REF!+#REF!+#REF!+#REF!+#REF!+#REF!+#REF!+#REF!+#REF!+#REF!</f>
        <v>#REF!</v>
      </c>
      <c r="H701" s="1256"/>
      <c r="I701" s="659"/>
      <c r="EZ701" s="675"/>
      <c r="FA701" s="1049"/>
      <c r="FB701" s="1049"/>
      <c r="FC701" s="1049"/>
      <c r="FD701" s="1049"/>
      <c r="FE701" s="1049"/>
      <c r="FF701" s="1049"/>
      <c r="FG701" s="1049"/>
      <c r="FH701" s="1049"/>
      <c r="FI701" s="1049"/>
      <c r="FJ701" s="1049"/>
      <c r="FK701" s="1049"/>
      <c r="FL701" s="1049"/>
    </row>
    <row r="702" spans="1:168" s="1034" customFormat="1" x14ac:dyDescent="0.25">
      <c r="A702" s="133">
        <v>38</v>
      </c>
      <c r="B702" s="542" t="str">
        <f>AU14</f>
        <v>Петрушка зеленая</v>
      </c>
      <c r="C702" s="710" t="e">
        <f>#REF!+#REF!++#REF!++#REF!+#REF!+#REF!+#REF!+#REF!++#REF!+#REF!</f>
        <v>#REF!</v>
      </c>
      <c r="D702" s="779">
        <f>цены!$F$48</f>
        <v>300</v>
      </c>
      <c r="E702" s="812" t="e">
        <f t="shared" si="488"/>
        <v>#REF!</v>
      </c>
      <c r="F702" s="710" t="e">
        <f>#REF!+#REF!+#REF!+#REF!+#REF!+#REF!+#REF!+#REF!+#REF!+#REF!</f>
        <v>#REF!</v>
      </c>
      <c r="G702" s="119" t="e">
        <f>#REF!+#REF!+#REF!+#REF!+#REF!+#REF!+#REF!+#REF!+#REF!+#REF!</f>
        <v>#REF!</v>
      </c>
      <c r="H702" s="1256"/>
      <c r="I702" s="659"/>
      <c r="EZ702" s="675"/>
      <c r="FA702" s="1049"/>
      <c r="FB702" s="1049"/>
      <c r="FC702" s="1049"/>
      <c r="FD702" s="1049"/>
      <c r="FE702" s="1049"/>
      <c r="FF702" s="1049"/>
      <c r="FG702" s="1049"/>
      <c r="FH702" s="1049"/>
      <c r="FI702" s="1049"/>
      <c r="FJ702" s="1049"/>
      <c r="FK702" s="1049"/>
      <c r="FL702" s="1049"/>
    </row>
    <row r="703" spans="1:168" s="1034" customFormat="1" x14ac:dyDescent="0.25">
      <c r="A703" s="133">
        <v>39</v>
      </c>
      <c r="B703" s="542" t="str">
        <f>AV14</f>
        <v>Щавель</v>
      </c>
      <c r="C703" s="710" t="e">
        <f>#REF!+#REF!++#REF!++#REF!+#REF!+#REF!+#REF!+#REF!++#REF!+#REF!</f>
        <v>#REF!</v>
      </c>
      <c r="D703" s="779">
        <f>цены!$F$49</f>
        <v>260</v>
      </c>
      <c r="E703" s="812" t="e">
        <f t="shared" si="488"/>
        <v>#REF!</v>
      </c>
      <c r="F703" s="710" t="e">
        <f>#REF!+#REF!+#REF!+#REF!+#REF!+#REF!+#REF!+#REF!+#REF!+#REF!</f>
        <v>#REF!</v>
      </c>
      <c r="G703" s="119" t="e">
        <f>#REF!+#REF!+#REF!+#REF!+#REF!+#REF!+#REF!+#REF!+#REF!+#REF!</f>
        <v>#REF!</v>
      </c>
      <c r="H703" s="1256"/>
      <c r="I703" s="659"/>
      <c r="EZ703" s="675"/>
      <c r="FA703" s="1049"/>
      <c r="FB703" s="1049"/>
      <c r="FC703" s="1049"/>
      <c r="FD703" s="1049"/>
      <c r="FE703" s="1049"/>
      <c r="FF703" s="1049"/>
      <c r="FG703" s="1049"/>
      <c r="FH703" s="1049"/>
      <c r="FI703" s="1049"/>
      <c r="FJ703" s="1049"/>
      <c r="FK703" s="1049"/>
      <c r="FL703" s="1049"/>
    </row>
    <row r="704" spans="1:168" s="1034" customFormat="1" x14ac:dyDescent="0.25">
      <c r="A704" s="133">
        <v>40</v>
      </c>
      <c r="B704" s="542" t="str">
        <f>AW14</f>
        <v>Шпинат</v>
      </c>
      <c r="C704" s="710" t="e">
        <f>#REF!+#REF!++#REF!++#REF!+#REF!+#REF!+#REF!+#REF!++#REF!+#REF!</f>
        <v>#REF!</v>
      </c>
      <c r="D704" s="779">
        <f>цены!$F$50</f>
        <v>260</v>
      </c>
      <c r="E704" s="812" t="e">
        <f t="shared" si="488"/>
        <v>#REF!</v>
      </c>
      <c r="F704" s="710" t="e">
        <f>#REF!+#REF!+#REF!+#REF!+#REF!+#REF!+#REF!+#REF!+#REF!+#REF!</f>
        <v>#REF!</v>
      </c>
      <c r="G704" s="119" t="e">
        <f>#REF!+#REF!+#REF!+#REF!+#REF!+#REF!+#REF!+#REF!+#REF!+#REF!</f>
        <v>#REF!</v>
      </c>
      <c r="H704" s="1256"/>
      <c r="I704" s="659"/>
      <c r="EZ704" s="675"/>
      <c r="FA704" s="1049"/>
      <c r="FB704" s="1049"/>
      <c r="FC704" s="1049"/>
      <c r="FD704" s="1049"/>
      <c r="FE704" s="1049"/>
      <c r="FF704" s="1049"/>
      <c r="FG704" s="1049"/>
      <c r="FH704" s="1049"/>
      <c r="FI704" s="1049"/>
      <c r="FJ704" s="1049"/>
      <c r="FK704" s="1049"/>
      <c r="FL704" s="1049"/>
    </row>
    <row r="705" spans="1:168" s="1034" customFormat="1" x14ac:dyDescent="0.25">
      <c r="A705" s="133">
        <v>41</v>
      </c>
      <c r="B705" s="542" t="str">
        <f>AX14</f>
        <v>Свекла столовая</v>
      </c>
      <c r="C705" s="710" t="e">
        <f>#REF!+#REF!++#REF!++#REF!+#REF!+#REF!+#REF!+#REF!++#REF!+#REF!</f>
        <v>#REF!</v>
      </c>
      <c r="D705" s="779">
        <f>цены!$F$51</f>
        <v>30</v>
      </c>
      <c r="E705" s="812" t="e">
        <f t="shared" si="488"/>
        <v>#REF!</v>
      </c>
      <c r="F705" s="710" t="e">
        <f>#REF!+#REF!+#REF!+#REF!+#REF!+#REF!+#REF!+#REF!+#REF!+#REF!</f>
        <v>#REF!</v>
      </c>
      <c r="G705" s="119" t="e">
        <f>#REF!+#REF!+#REF!+#REF!+#REF!+#REF!+#REF!+#REF!+#REF!+#REF!</f>
        <v>#REF!</v>
      </c>
      <c r="H705" s="1256"/>
      <c r="I705" s="659"/>
      <c r="EZ705" s="675"/>
      <c r="FA705" s="1049"/>
      <c r="FB705" s="1049"/>
      <c r="FC705" s="1049"/>
      <c r="FD705" s="1049"/>
      <c r="FE705" s="1049"/>
      <c r="FF705" s="1049"/>
      <c r="FG705" s="1049"/>
      <c r="FH705" s="1049"/>
      <c r="FI705" s="1049"/>
      <c r="FJ705" s="1049"/>
      <c r="FK705" s="1049"/>
      <c r="FL705" s="1049"/>
    </row>
    <row r="706" spans="1:168" s="1034" customFormat="1" x14ac:dyDescent="0.25">
      <c r="A706" s="133">
        <v>42</v>
      </c>
      <c r="B706" s="542" t="str">
        <f>AY14</f>
        <v>Свекла столовая свежая</v>
      </c>
      <c r="C706" s="710" t="e">
        <f>#REF!+#REF!++#REF!++#REF!+#REF!+#REF!+#REF!+#REF!++#REF!+#REF!</f>
        <v>#REF!</v>
      </c>
      <c r="D706" s="779">
        <f>цены!$F$52</f>
        <v>36</v>
      </c>
      <c r="E706" s="812" t="e">
        <f t="shared" si="488"/>
        <v>#REF!</v>
      </c>
      <c r="F706" s="710" t="e">
        <f>#REF!+#REF!+#REF!+#REF!+#REF!+#REF!+#REF!+#REF!+#REF!+#REF!</f>
        <v>#REF!</v>
      </c>
      <c r="G706" s="119" t="e">
        <f>#REF!+#REF!+#REF!+#REF!+#REF!+#REF!+#REF!+#REF!+#REF!+#REF!</f>
        <v>#REF!</v>
      </c>
      <c r="H706" s="1256"/>
      <c r="I706" s="659"/>
      <c r="EZ706" s="675"/>
      <c r="FA706" s="1049"/>
      <c r="FB706" s="1049"/>
      <c r="FC706" s="1049"/>
      <c r="FD706" s="1049"/>
      <c r="FE706" s="1049"/>
      <c r="FF706" s="1049"/>
      <c r="FG706" s="1049"/>
      <c r="FH706" s="1049"/>
      <c r="FI706" s="1049"/>
      <c r="FJ706" s="1049"/>
      <c r="FK706" s="1049"/>
      <c r="FL706" s="1049"/>
    </row>
    <row r="707" spans="1:168" s="1034" customFormat="1" x14ac:dyDescent="0.25">
      <c r="A707" s="133">
        <v>43</v>
      </c>
      <c r="B707" s="542" t="str">
        <f>AZ14</f>
        <v>Кабачки</v>
      </c>
      <c r="C707" s="710" t="e">
        <f>#REF!+#REF!++#REF!++#REF!+#REF!+#REF!+#REF!+#REF!++#REF!+#REF!</f>
        <v>#REF!</v>
      </c>
      <c r="D707" s="779">
        <f>цены!$F$53</f>
        <v>160</v>
      </c>
      <c r="E707" s="812" t="e">
        <f t="shared" si="488"/>
        <v>#REF!</v>
      </c>
      <c r="F707" s="710" t="e">
        <f>#REF!+#REF!+#REF!+#REF!+#REF!+#REF!+#REF!+#REF!+#REF!+#REF!</f>
        <v>#REF!</v>
      </c>
      <c r="G707" s="119" t="e">
        <f>#REF!+#REF!+#REF!+#REF!+#REF!+#REF!+#REF!+#REF!+#REF!+#REF!</f>
        <v>#REF!</v>
      </c>
      <c r="H707" s="1256"/>
      <c r="I707" s="659"/>
      <c r="EZ707" s="675"/>
      <c r="FA707" s="1049"/>
      <c r="FB707" s="1049"/>
      <c r="FC707" s="1049"/>
      <c r="FD707" s="1049"/>
      <c r="FE707" s="1049"/>
      <c r="FF707" s="1049"/>
      <c r="FG707" s="1049"/>
      <c r="FH707" s="1049"/>
      <c r="FI707" s="1049"/>
      <c r="FJ707" s="1049"/>
      <c r="FK707" s="1049"/>
      <c r="FL707" s="1049"/>
    </row>
    <row r="708" spans="1:168" s="1034" customFormat="1" x14ac:dyDescent="0.25">
      <c r="A708" s="133">
        <v>44</v>
      </c>
      <c r="B708" s="542" t="str">
        <f>BA14</f>
        <v>Репа</v>
      </c>
      <c r="C708" s="710" t="e">
        <f>#REF!+#REF!++#REF!++#REF!+#REF!+#REF!+#REF!+#REF!++#REF!+#REF!</f>
        <v>#REF!</v>
      </c>
      <c r="D708" s="779">
        <f>цены!$F$54</f>
        <v>60</v>
      </c>
      <c r="E708" s="812" t="e">
        <f t="shared" si="488"/>
        <v>#REF!</v>
      </c>
      <c r="F708" s="710" t="e">
        <f>#REF!+#REF!+#REF!+#REF!+#REF!+#REF!+#REF!+#REF!+#REF!+#REF!</f>
        <v>#REF!</v>
      </c>
      <c r="G708" s="119" t="e">
        <f>#REF!+#REF!+#REF!+#REF!+#REF!+#REF!+#REF!+#REF!+#REF!+#REF!</f>
        <v>#REF!</v>
      </c>
      <c r="H708" s="1256"/>
      <c r="I708" s="659"/>
      <c r="EZ708" s="675"/>
      <c r="FA708" s="1049"/>
      <c r="FB708" s="1049"/>
      <c r="FC708" s="1049"/>
      <c r="FD708" s="1049"/>
      <c r="FE708" s="1049"/>
      <c r="FF708" s="1049"/>
      <c r="FG708" s="1049"/>
      <c r="FH708" s="1049"/>
      <c r="FI708" s="1049"/>
      <c r="FJ708" s="1049"/>
      <c r="FK708" s="1049"/>
      <c r="FL708" s="1049"/>
    </row>
    <row r="709" spans="1:168" s="1034" customFormat="1" x14ac:dyDescent="0.25">
      <c r="A709" s="133">
        <v>45</v>
      </c>
      <c r="B709" s="542" t="str">
        <f>BB14</f>
        <v>Сливы</v>
      </c>
      <c r="C709" s="710" t="e">
        <f>#REF!+#REF!++#REF!++#REF!+#REF!+#REF!+#REF!+#REF!++#REF!+#REF!</f>
        <v>#REF!</v>
      </c>
      <c r="D709" s="779">
        <f>цены!$F$55</f>
        <v>100</v>
      </c>
      <c r="E709" s="812" t="e">
        <f t="shared" si="488"/>
        <v>#REF!</v>
      </c>
      <c r="F709" s="710" t="e">
        <f>#REF!+#REF!+#REF!+#REF!+#REF!+#REF!+#REF!+#REF!+#REF!+#REF!</f>
        <v>#REF!</v>
      </c>
      <c r="G709" s="119" t="e">
        <f>#REF!+#REF!+#REF!+#REF!+#REF!+#REF!+#REF!+#REF!+#REF!+#REF!</f>
        <v>#REF!</v>
      </c>
      <c r="H709" s="1256"/>
      <c r="I709" s="659"/>
      <c r="EZ709" s="675"/>
      <c r="FA709" s="1049"/>
      <c r="FB709" s="1049"/>
      <c r="FC709" s="1049"/>
      <c r="FD709" s="1049"/>
      <c r="FE709" s="1049"/>
      <c r="FF709" s="1049"/>
      <c r="FG709" s="1049"/>
      <c r="FH709" s="1049"/>
      <c r="FI709" s="1049"/>
      <c r="FJ709" s="1049"/>
      <c r="FK709" s="1049"/>
      <c r="FL709" s="1049"/>
    </row>
    <row r="710" spans="1:168" s="1034" customFormat="1" x14ac:dyDescent="0.25">
      <c r="A710" s="133">
        <v>46</v>
      </c>
      <c r="B710" s="542" t="str">
        <f>BC14</f>
        <v>Редис красный</v>
      </c>
      <c r="C710" s="710" t="e">
        <f>#REF!+#REF!++#REF!++#REF!+#REF!+#REF!+#REF!+#REF!++#REF!+#REF!</f>
        <v>#REF!</v>
      </c>
      <c r="D710" s="779">
        <f>цены!$F$56</f>
        <v>50</v>
      </c>
      <c r="E710" s="812" t="e">
        <f t="shared" si="488"/>
        <v>#REF!</v>
      </c>
      <c r="F710" s="710" t="e">
        <f>#REF!+#REF!+#REF!+#REF!+#REF!+#REF!+#REF!+#REF!+#REF!+#REF!</f>
        <v>#REF!</v>
      </c>
      <c r="G710" s="119" t="e">
        <f>#REF!+#REF!+#REF!+#REF!+#REF!+#REF!+#REF!+#REF!+#REF!+#REF!</f>
        <v>#REF!</v>
      </c>
      <c r="H710" s="1256"/>
      <c r="I710" s="659"/>
      <c r="EZ710" s="675"/>
      <c r="FA710" s="1049"/>
      <c r="FB710" s="1049"/>
      <c r="FC710" s="1049"/>
      <c r="FD710" s="1049"/>
      <c r="FE710" s="1049"/>
      <c r="FF710" s="1049"/>
      <c r="FG710" s="1049"/>
      <c r="FH710" s="1049"/>
      <c r="FI710" s="1049"/>
      <c r="FJ710" s="1049"/>
      <c r="FK710" s="1049"/>
      <c r="FL710" s="1049"/>
    </row>
    <row r="711" spans="1:168" s="1034" customFormat="1" x14ac:dyDescent="0.25">
      <c r="A711" s="133">
        <v>47</v>
      </c>
      <c r="B711" s="542" t="str">
        <f>BD14</f>
        <v>Черешня</v>
      </c>
      <c r="C711" s="710" t="e">
        <f>#REF!+#REF!++#REF!++#REF!+#REF!+#REF!+#REF!+#REF!++#REF!+#REF!</f>
        <v>#REF!</v>
      </c>
      <c r="D711" s="779">
        <f>цены!$F$57</f>
        <v>160</v>
      </c>
      <c r="E711" s="812" t="e">
        <f t="shared" si="488"/>
        <v>#REF!</v>
      </c>
      <c r="F711" s="710" t="e">
        <f>#REF!+#REF!+#REF!+#REF!+#REF!+#REF!+#REF!+#REF!+#REF!+#REF!</f>
        <v>#REF!</v>
      </c>
      <c r="G711" s="119" t="e">
        <f>#REF!+#REF!+#REF!+#REF!+#REF!+#REF!+#REF!+#REF!+#REF!+#REF!</f>
        <v>#REF!</v>
      </c>
      <c r="H711" s="1256"/>
      <c r="I711" s="659"/>
      <c r="EZ711" s="675"/>
      <c r="FA711" s="1049"/>
      <c r="FB711" s="1049"/>
      <c r="FC711" s="1049"/>
      <c r="FD711" s="1049"/>
      <c r="FE711" s="1049"/>
      <c r="FF711" s="1049"/>
      <c r="FG711" s="1049"/>
      <c r="FH711" s="1049"/>
      <c r="FI711" s="1049"/>
      <c r="FJ711" s="1049"/>
      <c r="FK711" s="1049"/>
      <c r="FL711" s="1049"/>
    </row>
    <row r="712" spans="1:168" s="1034" customFormat="1" x14ac:dyDescent="0.25">
      <c r="A712" s="133">
        <v>48</v>
      </c>
      <c r="B712" s="542" t="str">
        <f>BE14</f>
        <v>Земляника садовая (клубника)</v>
      </c>
      <c r="C712" s="710" t="e">
        <f>#REF!+#REF!++#REF!++#REF!+#REF!+#REF!+#REF!+#REF!++#REF!+#REF!</f>
        <v>#REF!</v>
      </c>
      <c r="D712" s="779">
        <f>цены!$F$58</f>
        <v>160</v>
      </c>
      <c r="E712" s="812" t="e">
        <f t="shared" si="488"/>
        <v>#REF!</v>
      </c>
      <c r="F712" s="710" t="e">
        <f>#REF!+#REF!+#REF!+#REF!+#REF!+#REF!+#REF!+#REF!+#REF!+#REF!</f>
        <v>#REF!</v>
      </c>
      <c r="G712" s="119" t="e">
        <f>#REF!+#REF!+#REF!+#REF!+#REF!+#REF!+#REF!+#REF!+#REF!+#REF!</f>
        <v>#REF!</v>
      </c>
      <c r="H712" s="1256"/>
      <c r="I712" s="659"/>
      <c r="EZ712" s="675"/>
      <c r="FA712" s="1049"/>
      <c r="FB712" s="1049"/>
      <c r="FC712" s="1049"/>
      <c r="FD712" s="1049"/>
      <c r="FE712" s="1049"/>
      <c r="FF712" s="1049"/>
      <c r="FG712" s="1049"/>
      <c r="FH712" s="1049"/>
      <c r="FI712" s="1049"/>
      <c r="FJ712" s="1049"/>
      <c r="FK712" s="1049"/>
      <c r="FL712" s="1049"/>
    </row>
    <row r="713" spans="1:168" s="1034" customFormat="1" x14ac:dyDescent="0.25">
      <c r="A713" s="133">
        <v>49</v>
      </c>
      <c r="B713" s="542" t="str">
        <f>BF14</f>
        <v>Малина</v>
      </c>
      <c r="C713" s="710" t="e">
        <f>#REF!+#REF!++#REF!++#REF!+#REF!+#REF!+#REF!+#REF!++#REF!+#REF!</f>
        <v>#REF!</v>
      </c>
      <c r="D713" s="779">
        <f>цены!$F$59</f>
        <v>250</v>
      </c>
      <c r="E713" s="812" t="e">
        <f t="shared" si="488"/>
        <v>#REF!</v>
      </c>
      <c r="F713" s="710" t="e">
        <f>#REF!+#REF!+#REF!+#REF!+#REF!+#REF!+#REF!+#REF!+#REF!+#REF!</f>
        <v>#REF!</v>
      </c>
      <c r="G713" s="119" t="e">
        <f>#REF!+#REF!+#REF!+#REF!+#REF!+#REF!+#REF!+#REF!+#REF!+#REF!</f>
        <v>#REF!</v>
      </c>
      <c r="H713" s="1256"/>
      <c r="I713" s="659"/>
      <c r="EZ713" s="675"/>
      <c r="FA713" s="1049"/>
      <c r="FB713" s="1049"/>
      <c r="FC713" s="1049"/>
      <c r="FD713" s="1049"/>
      <c r="FE713" s="1049"/>
      <c r="FF713" s="1049"/>
      <c r="FG713" s="1049"/>
      <c r="FH713" s="1049"/>
      <c r="FI713" s="1049"/>
      <c r="FJ713" s="1049"/>
      <c r="FK713" s="1049"/>
      <c r="FL713" s="1049"/>
    </row>
    <row r="714" spans="1:168" s="1034" customFormat="1" x14ac:dyDescent="0.25">
      <c r="A714" s="133">
        <v>50</v>
      </c>
      <c r="B714" s="542" t="str">
        <f>BG14</f>
        <v>Вишня</v>
      </c>
      <c r="C714" s="710" t="e">
        <f>#REF!+#REF!++#REF!++#REF!+#REF!+#REF!+#REF!+#REF!++#REF!+#REF!</f>
        <v>#REF!</v>
      </c>
      <c r="D714" s="779">
        <f>цены!$F$60</f>
        <v>250</v>
      </c>
      <c r="E714" s="812" t="e">
        <f t="shared" si="488"/>
        <v>#REF!</v>
      </c>
      <c r="F714" s="710" t="e">
        <f>#REF!+#REF!+#REF!+#REF!+#REF!+#REF!+#REF!+#REF!+#REF!+#REF!</f>
        <v>#REF!</v>
      </c>
      <c r="G714" s="119" t="e">
        <f>#REF!+#REF!+#REF!+#REF!+#REF!+#REF!+#REF!+#REF!+#REF!+#REF!</f>
        <v>#REF!</v>
      </c>
      <c r="H714" s="1256"/>
      <c r="I714" s="659"/>
      <c r="EZ714" s="675"/>
      <c r="FA714" s="1049"/>
      <c r="FB714" s="1049"/>
      <c r="FC714" s="1049"/>
      <c r="FD714" s="1049"/>
      <c r="FE714" s="1049"/>
      <c r="FF714" s="1049"/>
      <c r="FG714" s="1049"/>
      <c r="FH714" s="1049"/>
      <c r="FI714" s="1049"/>
      <c r="FJ714" s="1049"/>
      <c r="FK714" s="1049"/>
      <c r="FL714" s="1049"/>
    </row>
    <row r="715" spans="1:168" s="1034" customFormat="1" x14ac:dyDescent="0.25">
      <c r="A715" s="133">
        <v>51</v>
      </c>
      <c r="B715" s="542" t="str">
        <f>BH14</f>
        <v>Черная смородина</v>
      </c>
      <c r="C715" s="710" t="e">
        <f>#REF!+#REF!++#REF!++#REF!+#REF!+#REF!+#REF!+#REF!++#REF!+#REF!</f>
        <v>#REF!</v>
      </c>
      <c r="D715" s="779">
        <f>цены!$F$61</f>
        <v>250</v>
      </c>
      <c r="E715" s="812" t="e">
        <f t="shared" si="488"/>
        <v>#REF!</v>
      </c>
      <c r="F715" s="710" t="e">
        <f>#REF!+#REF!+#REF!+#REF!+#REF!+#REF!+#REF!+#REF!+#REF!+#REF!</f>
        <v>#REF!</v>
      </c>
      <c r="G715" s="119" t="e">
        <f>#REF!+#REF!+#REF!+#REF!+#REF!+#REF!+#REF!+#REF!+#REF!+#REF!</f>
        <v>#REF!</v>
      </c>
      <c r="H715" s="1256"/>
      <c r="I715" s="659"/>
      <c r="EZ715" s="675"/>
      <c r="FA715" s="1049"/>
      <c r="FB715" s="1049"/>
      <c r="FC715" s="1049"/>
      <c r="FD715" s="1049"/>
      <c r="FE715" s="1049"/>
      <c r="FF715" s="1049"/>
      <c r="FG715" s="1049"/>
      <c r="FH715" s="1049"/>
      <c r="FI715" s="1049"/>
      <c r="FJ715" s="1049"/>
      <c r="FK715" s="1049"/>
      <c r="FL715" s="1049"/>
    </row>
    <row r="716" spans="1:168" s="1034" customFormat="1" x14ac:dyDescent="0.25">
      <c r="A716" s="133">
        <v>52</v>
      </c>
      <c r="B716" s="542" t="str">
        <f>BI14</f>
        <v>Арбуз</v>
      </c>
      <c r="C716" s="710" t="e">
        <f>#REF!+#REF!++#REF!++#REF!+#REF!+#REF!+#REF!+#REF!++#REF!+#REF!</f>
        <v>#REF!</v>
      </c>
      <c r="D716" s="779">
        <f>цены!$F$62</f>
        <v>25</v>
      </c>
      <c r="E716" s="812" t="e">
        <f t="shared" si="488"/>
        <v>#REF!</v>
      </c>
      <c r="F716" s="710" t="e">
        <f>#REF!+#REF!+#REF!+#REF!+#REF!+#REF!+#REF!+#REF!+#REF!+#REF!</f>
        <v>#REF!</v>
      </c>
      <c r="G716" s="119" t="e">
        <f>#REF!+#REF!+#REF!+#REF!+#REF!+#REF!+#REF!+#REF!+#REF!+#REF!</f>
        <v>#REF!</v>
      </c>
      <c r="H716" s="1256"/>
      <c r="I716" s="659"/>
      <c r="EZ716" s="675"/>
      <c r="FA716" s="1049"/>
      <c r="FB716" s="1049"/>
      <c r="FC716" s="1049"/>
      <c r="FD716" s="1049"/>
      <c r="FE716" s="1049"/>
      <c r="FF716" s="1049"/>
      <c r="FG716" s="1049"/>
      <c r="FH716" s="1049"/>
      <c r="FI716" s="1049"/>
      <c r="FJ716" s="1049"/>
      <c r="FK716" s="1049"/>
      <c r="FL716" s="1049"/>
    </row>
    <row r="717" spans="1:168" s="1034" customFormat="1" x14ac:dyDescent="0.25">
      <c r="A717" s="133">
        <v>53</v>
      </c>
      <c r="B717" s="542" t="str">
        <f>BJ14</f>
        <v>Дыня</v>
      </c>
      <c r="C717" s="710" t="e">
        <f>#REF!+#REF!++#REF!++#REF!+#REF!+#REF!+#REF!+#REF!++#REF!+#REF!</f>
        <v>#REF!</v>
      </c>
      <c r="D717" s="779">
        <f>цены!$F$63</f>
        <v>25</v>
      </c>
      <c r="E717" s="812" t="e">
        <f t="shared" si="488"/>
        <v>#REF!</v>
      </c>
      <c r="F717" s="710" t="e">
        <f>#REF!+#REF!+#REF!+#REF!+#REF!+#REF!+#REF!+#REF!+#REF!+#REF!</f>
        <v>#REF!</v>
      </c>
      <c r="G717" s="119" t="e">
        <f>#REF!+#REF!+#REF!+#REF!+#REF!+#REF!+#REF!+#REF!+#REF!+#REF!</f>
        <v>#REF!</v>
      </c>
      <c r="H717" s="1256"/>
      <c r="I717" s="659"/>
      <c r="EZ717" s="675"/>
      <c r="FA717" s="1049"/>
      <c r="FB717" s="1049"/>
      <c r="FC717" s="1049"/>
      <c r="FD717" s="1049"/>
      <c r="FE717" s="1049"/>
      <c r="FF717" s="1049"/>
      <c r="FG717" s="1049"/>
      <c r="FH717" s="1049"/>
      <c r="FI717" s="1049"/>
      <c r="FJ717" s="1049"/>
      <c r="FK717" s="1049"/>
      <c r="FL717" s="1049"/>
    </row>
    <row r="718" spans="1:168" s="1034" customFormat="1" x14ac:dyDescent="0.25">
      <c r="A718" s="133">
        <v>54</v>
      </c>
      <c r="B718" s="542" t="str">
        <f>BK14</f>
        <v>Апельсин</v>
      </c>
      <c r="C718" s="710" t="e">
        <f>#REF!+#REF!++#REF!++#REF!+#REF!+#REF!+#REF!+#REF!++#REF!+#REF!</f>
        <v>#REF!</v>
      </c>
      <c r="D718" s="779">
        <f>цены!$F$64</f>
        <v>124</v>
      </c>
      <c r="E718" s="812" t="e">
        <f t="shared" si="488"/>
        <v>#REF!</v>
      </c>
      <c r="F718" s="710" t="e">
        <f>#REF!+#REF!+#REF!+#REF!+#REF!+#REF!+#REF!+#REF!+#REF!+#REF!</f>
        <v>#REF!</v>
      </c>
      <c r="G718" s="119" t="e">
        <f>#REF!+#REF!+#REF!+#REF!+#REF!+#REF!+#REF!+#REF!+#REF!+#REF!</f>
        <v>#REF!</v>
      </c>
      <c r="H718" s="1256"/>
      <c r="I718" s="659"/>
      <c r="EZ718" s="675"/>
      <c r="FA718" s="1049"/>
      <c r="FB718" s="1049"/>
      <c r="FC718" s="1049"/>
      <c r="FD718" s="1049"/>
      <c r="FE718" s="1049"/>
      <c r="FF718" s="1049"/>
      <c r="FG718" s="1049"/>
      <c r="FH718" s="1049"/>
      <c r="FI718" s="1049"/>
      <c r="FJ718" s="1049"/>
      <c r="FK718" s="1049"/>
      <c r="FL718" s="1049"/>
    </row>
    <row r="719" spans="1:168" s="1034" customFormat="1" x14ac:dyDescent="0.25">
      <c r="A719" s="133">
        <v>55</v>
      </c>
      <c r="B719" s="542" t="str">
        <f>BL14</f>
        <v>Мандарин (мандора)</v>
      </c>
      <c r="C719" s="710" t="e">
        <f>#REF!+#REF!++#REF!++#REF!+#REF!+#REF!+#REF!+#REF!++#REF!+#REF!</f>
        <v>#REF!</v>
      </c>
      <c r="D719" s="779">
        <f>цены!$F$65</f>
        <v>120</v>
      </c>
      <c r="E719" s="812" t="e">
        <f t="shared" si="488"/>
        <v>#REF!</v>
      </c>
      <c r="F719" s="710" t="e">
        <f>#REF!+#REF!+#REF!+#REF!+#REF!+#REF!+#REF!+#REF!+#REF!+#REF!</f>
        <v>#REF!</v>
      </c>
      <c r="G719" s="119" t="e">
        <f>#REF!+#REF!+#REF!+#REF!+#REF!+#REF!+#REF!+#REF!+#REF!+#REF!</f>
        <v>#REF!</v>
      </c>
      <c r="H719" s="1256"/>
      <c r="I719" s="659"/>
      <c r="EZ719" s="675"/>
      <c r="FA719" s="1049"/>
      <c r="FB719" s="1049"/>
      <c r="FC719" s="1049"/>
      <c r="FD719" s="1049"/>
      <c r="FE719" s="1049"/>
      <c r="FF719" s="1049"/>
      <c r="FG719" s="1049"/>
      <c r="FH719" s="1049"/>
      <c r="FI719" s="1049"/>
      <c r="FJ719" s="1049"/>
      <c r="FK719" s="1049"/>
      <c r="FL719" s="1049"/>
    </row>
    <row r="720" spans="1:168" s="1034" customFormat="1" x14ac:dyDescent="0.25">
      <c r="A720" s="133">
        <v>56</v>
      </c>
      <c r="B720" s="542" t="str">
        <f>BM14</f>
        <v>Бананы</v>
      </c>
      <c r="C720" s="710" t="e">
        <f>#REF!+#REF!++#REF!++#REF!+#REF!+#REF!+#REF!+#REF!++#REF!+#REF!</f>
        <v>#REF!</v>
      </c>
      <c r="D720" s="779">
        <f>цены!$F$66</f>
        <v>115</v>
      </c>
      <c r="E720" s="812" t="e">
        <f t="shared" si="488"/>
        <v>#REF!</v>
      </c>
      <c r="F720" s="710" t="e">
        <f>#REF!+#REF!+#REF!+#REF!+#REF!+#REF!+#REF!+#REF!+#REF!+#REF!</f>
        <v>#REF!</v>
      </c>
      <c r="G720" s="119" t="e">
        <f>#REF!+#REF!+#REF!+#REF!+#REF!+#REF!+#REF!+#REF!+#REF!+#REF!</f>
        <v>#REF!</v>
      </c>
      <c r="H720" s="1256"/>
      <c r="I720" s="659"/>
      <c r="EZ720" s="675"/>
      <c r="FA720" s="1049"/>
      <c r="FB720" s="1049"/>
      <c r="FC720" s="1049"/>
      <c r="FD720" s="1049"/>
      <c r="FE720" s="1049"/>
      <c r="FF720" s="1049"/>
      <c r="FG720" s="1049"/>
      <c r="FH720" s="1049"/>
      <c r="FI720" s="1049"/>
      <c r="FJ720" s="1049"/>
      <c r="FK720" s="1049"/>
      <c r="FL720" s="1049"/>
    </row>
    <row r="721" spans="1:168" s="1034" customFormat="1" x14ac:dyDescent="0.25">
      <c r="A721" s="133">
        <v>57</v>
      </c>
      <c r="B721" s="542" t="str">
        <f>BN14</f>
        <v>Груши</v>
      </c>
      <c r="C721" s="710" t="e">
        <f>#REF!+#REF!++#REF!++#REF!+#REF!+#REF!+#REF!+#REF!++#REF!+#REF!</f>
        <v>#REF!</v>
      </c>
      <c r="D721" s="779">
        <f>цены!$F$67</f>
        <v>240</v>
      </c>
      <c r="E721" s="812" t="e">
        <f t="shared" si="488"/>
        <v>#REF!</v>
      </c>
      <c r="F721" s="710" t="e">
        <f>#REF!+#REF!+#REF!+#REF!+#REF!+#REF!+#REF!+#REF!+#REF!+#REF!</f>
        <v>#REF!</v>
      </c>
      <c r="G721" s="119" t="e">
        <f>#REF!+#REF!+#REF!+#REF!+#REF!+#REF!+#REF!+#REF!+#REF!+#REF!</f>
        <v>#REF!</v>
      </c>
      <c r="H721" s="1256"/>
      <c r="I721" s="659"/>
      <c r="EZ721" s="675"/>
      <c r="FA721" s="1049"/>
      <c r="FB721" s="1049"/>
      <c r="FC721" s="1049"/>
      <c r="FD721" s="1049"/>
      <c r="FE721" s="1049"/>
      <c r="FF721" s="1049"/>
      <c r="FG721" s="1049"/>
      <c r="FH721" s="1049"/>
      <c r="FI721" s="1049"/>
      <c r="FJ721" s="1049"/>
      <c r="FK721" s="1049"/>
      <c r="FL721" s="1049"/>
    </row>
    <row r="722" spans="1:168" s="1034" customFormat="1" x14ac:dyDescent="0.25">
      <c r="A722" s="133">
        <v>58</v>
      </c>
      <c r="B722" s="542" t="str">
        <f>BO14</f>
        <v>Абрикосы</v>
      </c>
      <c r="C722" s="710" t="e">
        <f>#REF!+#REF!++#REF!++#REF!+#REF!+#REF!+#REF!+#REF!++#REF!+#REF!</f>
        <v>#REF!</v>
      </c>
      <c r="D722" s="779">
        <f>цены!$F$68</f>
        <v>180</v>
      </c>
      <c r="E722" s="812" t="e">
        <f t="shared" si="488"/>
        <v>#REF!</v>
      </c>
      <c r="F722" s="710" t="e">
        <f>#REF!+#REF!+#REF!+#REF!+#REF!+#REF!+#REF!+#REF!+#REF!+#REF!</f>
        <v>#REF!</v>
      </c>
      <c r="G722" s="119" t="e">
        <f>#REF!+#REF!+#REF!+#REF!+#REF!+#REF!+#REF!+#REF!+#REF!+#REF!</f>
        <v>#REF!</v>
      </c>
      <c r="H722" s="1256"/>
      <c r="I722" s="659"/>
      <c r="EZ722" s="675"/>
      <c r="FA722" s="1049"/>
      <c r="FB722" s="1049"/>
      <c r="FC722" s="1049"/>
      <c r="FD722" s="1049"/>
      <c r="FE722" s="1049"/>
      <c r="FF722" s="1049"/>
      <c r="FG722" s="1049"/>
      <c r="FH722" s="1049"/>
      <c r="FI722" s="1049"/>
      <c r="FJ722" s="1049"/>
      <c r="FK722" s="1049"/>
      <c r="FL722" s="1049"/>
    </row>
    <row r="723" spans="1:168" s="1034" customFormat="1" x14ac:dyDescent="0.25">
      <c r="A723" s="133">
        <v>59</v>
      </c>
      <c r="B723" s="542" t="str">
        <f>BP14</f>
        <v>Персики</v>
      </c>
      <c r="C723" s="710" t="e">
        <f>#REF!+#REF!++#REF!++#REF!+#REF!+#REF!+#REF!+#REF!++#REF!+#REF!</f>
        <v>#REF!</v>
      </c>
      <c r="D723" s="779">
        <f>цены!$F$69</f>
        <v>180</v>
      </c>
      <c r="E723" s="812" t="e">
        <f t="shared" si="488"/>
        <v>#REF!</v>
      </c>
      <c r="F723" s="710" t="e">
        <f>#REF!+#REF!+#REF!+#REF!+#REF!+#REF!+#REF!+#REF!+#REF!+#REF!</f>
        <v>#REF!</v>
      </c>
      <c r="G723" s="119" t="e">
        <f>#REF!+#REF!+#REF!+#REF!+#REF!+#REF!+#REF!+#REF!+#REF!+#REF!</f>
        <v>#REF!</v>
      </c>
      <c r="H723" s="1256"/>
      <c r="I723" s="659"/>
      <c r="EZ723" s="675"/>
      <c r="FA723" s="1049"/>
      <c r="FB723" s="1049"/>
      <c r="FC723" s="1049"/>
      <c r="FD723" s="1049"/>
      <c r="FE723" s="1049"/>
      <c r="FF723" s="1049"/>
      <c r="FG723" s="1049"/>
      <c r="FH723" s="1049"/>
      <c r="FI723" s="1049"/>
      <c r="FJ723" s="1049"/>
      <c r="FK723" s="1049"/>
      <c r="FL723" s="1049"/>
    </row>
    <row r="724" spans="1:168" s="1034" customFormat="1" x14ac:dyDescent="0.25">
      <c r="A724" s="133">
        <v>60</v>
      </c>
      <c r="B724" s="542" t="str">
        <f>BQ14</f>
        <v xml:space="preserve">Виноград </v>
      </c>
      <c r="C724" s="710" t="e">
        <f>#REF!+#REF!++#REF!++#REF!+#REF!+#REF!+#REF!+#REF!++#REF!+#REF!</f>
        <v>#REF!</v>
      </c>
      <c r="D724" s="779">
        <f>цены!$F$70</f>
        <v>250</v>
      </c>
      <c r="E724" s="812" t="e">
        <f t="shared" si="488"/>
        <v>#REF!</v>
      </c>
      <c r="F724" s="710" t="e">
        <f>#REF!+#REF!+#REF!+#REF!+#REF!+#REF!+#REF!+#REF!+#REF!+#REF!</f>
        <v>#REF!</v>
      </c>
      <c r="G724" s="119" t="e">
        <f>#REF!+#REF!+#REF!+#REF!+#REF!+#REF!+#REF!+#REF!+#REF!+#REF!</f>
        <v>#REF!</v>
      </c>
      <c r="H724" s="1256"/>
      <c r="I724" s="659"/>
      <c r="EZ724" s="675"/>
      <c r="FA724" s="1049"/>
      <c r="FB724" s="1049"/>
      <c r="FC724" s="1049"/>
      <c r="FD724" s="1049"/>
      <c r="FE724" s="1049"/>
      <c r="FF724" s="1049"/>
      <c r="FG724" s="1049"/>
      <c r="FH724" s="1049"/>
      <c r="FI724" s="1049"/>
      <c r="FJ724" s="1049"/>
      <c r="FK724" s="1049"/>
      <c r="FL724" s="1049"/>
    </row>
    <row r="725" spans="1:168" s="1034" customFormat="1" x14ac:dyDescent="0.25">
      <c r="A725" s="133">
        <v>61</v>
      </c>
      <c r="B725" s="541" t="str">
        <f>BR14</f>
        <v xml:space="preserve">Яблоки </v>
      </c>
      <c r="C725" s="710" t="e">
        <f>#REF!+#REF!++#REF!++#REF!+#REF!+#REF!+#REF!+#REF!++#REF!+#REF!</f>
        <v>#REF!</v>
      </c>
      <c r="D725" s="779">
        <f>цены!$F$71</f>
        <v>91</v>
      </c>
      <c r="E725" s="812" t="e">
        <f t="shared" si="488"/>
        <v>#REF!</v>
      </c>
      <c r="F725" s="710" t="e">
        <f>#REF!+#REF!+#REF!+#REF!+#REF!+#REF!+#REF!+#REF!+#REF!+#REF!</f>
        <v>#REF!</v>
      </c>
      <c r="G725" s="119" t="e">
        <f>#REF!+#REF!+#REF!+#REF!+#REF!+#REF!+#REF!+#REF!+#REF!+#REF!</f>
        <v>#REF!</v>
      </c>
      <c r="H725" s="1256"/>
      <c r="I725" s="659"/>
      <c r="EZ725" s="675"/>
      <c r="FA725" s="1049"/>
      <c r="FB725" s="1049"/>
      <c r="FC725" s="1049"/>
      <c r="FD725" s="1049"/>
      <c r="FE725" s="1049"/>
      <c r="FF725" s="1049"/>
      <c r="FG725" s="1049"/>
      <c r="FH725" s="1049"/>
      <c r="FI725" s="1049"/>
      <c r="FJ725" s="1049"/>
      <c r="FK725" s="1049"/>
      <c r="FL725" s="1049"/>
    </row>
    <row r="726" spans="1:168" s="1034" customFormat="1" x14ac:dyDescent="0.25">
      <c r="A726" s="146"/>
      <c r="B726" s="621" t="s">
        <v>275</v>
      </c>
      <c r="C726" s="774" t="e">
        <f>SUM(C687:C725)</f>
        <v>#REF!</v>
      </c>
      <c r="D726" s="780">
        <f>SUM(D687:D725)</f>
        <v>5555</v>
      </c>
      <c r="E726" s="792"/>
      <c r="F726" s="1283" t="e">
        <f>SUM(F687:F725)</f>
        <v>#REF!</v>
      </c>
      <c r="G726" s="661" t="e">
        <f t="shared" ref="G726:H726" si="489">SUM(G687:G725)</f>
        <v>#REF!</v>
      </c>
      <c r="H726" s="1257">
        <f t="shared" si="489"/>
        <v>0</v>
      </c>
      <c r="I726" s="661"/>
      <c r="EZ726" s="661">
        <f t="shared" ref="EZ726" si="490">SUM(EZ687:EZ725)</f>
        <v>0</v>
      </c>
      <c r="FA726" s="1049"/>
      <c r="FB726" s="1049"/>
      <c r="FC726" s="1049"/>
      <c r="FD726" s="1049"/>
      <c r="FE726" s="1049"/>
      <c r="FF726" s="1049"/>
      <c r="FG726" s="1049"/>
      <c r="FH726" s="1049"/>
      <c r="FI726" s="1049"/>
      <c r="FJ726" s="1049"/>
      <c r="FK726" s="1049"/>
      <c r="FL726" s="1049"/>
    </row>
    <row r="727" spans="1:168" s="1034" customFormat="1" ht="26.4" x14ac:dyDescent="0.25">
      <c r="A727" s="149"/>
      <c r="B727" s="427" t="s">
        <v>276</v>
      </c>
      <c r="C727" s="776"/>
      <c r="D727" s="782"/>
      <c r="E727" s="794"/>
      <c r="F727" s="644"/>
      <c r="G727" s="644"/>
      <c r="H727" s="1266"/>
      <c r="I727" s="644"/>
      <c r="EZ727" s="671"/>
      <c r="FA727" s="1049"/>
      <c r="FB727" s="1049"/>
      <c r="FC727" s="1049"/>
      <c r="FD727" s="1049"/>
      <c r="FE727" s="1049"/>
      <c r="FF727" s="1049"/>
      <c r="FG727" s="1049"/>
      <c r="FH727" s="1049"/>
      <c r="FI727" s="1049"/>
      <c r="FJ727" s="1049"/>
      <c r="FK727" s="1049"/>
      <c r="FL727" s="1049"/>
    </row>
    <row r="728" spans="1:168" s="1034" customFormat="1" x14ac:dyDescent="0.25">
      <c r="A728" s="133">
        <v>62</v>
      </c>
      <c r="B728" s="770" t="str">
        <f>BS14</f>
        <v>Мука пшеничная высшего сорта</v>
      </c>
      <c r="C728" s="710" t="e">
        <f>#REF!+#REF!++#REF!++#REF!+#REF!+#REF!+#REF!+#REF!++#REF!+#REF!</f>
        <v>#REF!</v>
      </c>
      <c r="D728" s="779">
        <f>цены!$F$74</f>
        <v>36</v>
      </c>
      <c r="E728" s="812" t="e">
        <f t="shared" ref="E728:E791" si="491">E$661</f>
        <v>#REF!</v>
      </c>
      <c r="F728" s="710" t="e">
        <f>#REF!+#REF!+#REF!+#REF!+#REF!+#REF!+#REF!+#REF!+#REF!+#REF!</f>
        <v>#REF!</v>
      </c>
      <c r="G728" s="119" t="e">
        <f>#REF!+#REF!+#REF!+#REF!+#REF!+#REF!+#REF!+#REF!+#REF!+#REF!</f>
        <v>#REF!</v>
      </c>
      <c r="H728" s="1256"/>
      <c r="I728" s="659"/>
      <c r="EZ728" s="675"/>
      <c r="FA728" s="1049"/>
      <c r="FB728" s="1049"/>
      <c r="FC728" s="1049"/>
      <c r="FD728" s="1049"/>
      <c r="FE728" s="1049"/>
      <c r="FF728" s="1049"/>
      <c r="FG728" s="1049"/>
      <c r="FH728" s="1049"/>
      <c r="FI728" s="1049"/>
      <c r="FJ728" s="1049"/>
      <c r="FK728" s="1049"/>
      <c r="FL728" s="1049"/>
    </row>
    <row r="729" spans="1:168" s="1034" customFormat="1" ht="27.6" x14ac:dyDescent="0.25">
      <c r="A729" s="133">
        <v>63</v>
      </c>
      <c r="B729" s="770" t="str">
        <f>BT14</f>
        <v>Крупа гречневая - ядрица быстроразваривающаяся</v>
      </c>
      <c r="C729" s="710" t="e">
        <f>#REF!+#REF!++#REF!++#REF!+#REF!+#REF!+#REF!+#REF!++#REF!+#REF!</f>
        <v>#REF!</v>
      </c>
      <c r="D729" s="779">
        <f>цены!$F$75</f>
        <v>100</v>
      </c>
      <c r="E729" s="812" t="e">
        <f t="shared" si="491"/>
        <v>#REF!</v>
      </c>
      <c r="F729" s="710" t="e">
        <f>#REF!+#REF!+#REF!+#REF!+#REF!+#REF!+#REF!+#REF!+#REF!+#REF!</f>
        <v>#REF!</v>
      </c>
      <c r="G729" s="119" t="e">
        <f>#REF!+#REF!+#REF!+#REF!+#REF!+#REF!+#REF!+#REF!+#REF!+#REF!</f>
        <v>#REF!</v>
      </c>
      <c r="H729" s="1256"/>
      <c r="I729" s="659"/>
      <c r="EZ729" s="675"/>
      <c r="FA729" s="1049"/>
      <c r="FB729" s="1049"/>
      <c r="FC729" s="1049"/>
      <c r="FD729" s="1049"/>
      <c r="FE729" s="1049"/>
      <c r="FF729" s="1049"/>
      <c r="FG729" s="1049"/>
      <c r="FH729" s="1049"/>
      <c r="FI729" s="1049"/>
      <c r="FJ729" s="1049"/>
      <c r="FK729" s="1049"/>
      <c r="FL729" s="1049"/>
    </row>
    <row r="730" spans="1:168" s="1034" customFormat="1" x14ac:dyDescent="0.25">
      <c r="A730" s="133">
        <v>64</v>
      </c>
      <c r="B730" s="770" t="str">
        <f>BU14</f>
        <v>Крупа манная</v>
      </c>
      <c r="C730" s="710" t="e">
        <f>#REF!+#REF!++#REF!++#REF!+#REF!+#REF!+#REF!+#REF!++#REF!+#REF!</f>
        <v>#REF!</v>
      </c>
      <c r="D730" s="779">
        <f>цены!$F$76</f>
        <v>40</v>
      </c>
      <c r="E730" s="812" t="e">
        <f t="shared" si="491"/>
        <v>#REF!</v>
      </c>
      <c r="F730" s="710" t="e">
        <f>#REF!+#REF!+#REF!+#REF!+#REF!+#REF!+#REF!+#REF!+#REF!+#REF!</f>
        <v>#REF!</v>
      </c>
      <c r="G730" s="119" t="e">
        <f>#REF!+#REF!+#REF!+#REF!+#REF!+#REF!+#REF!+#REF!+#REF!+#REF!</f>
        <v>#REF!</v>
      </c>
      <c r="H730" s="1256"/>
      <c r="I730" s="659"/>
      <c r="EZ730" s="675"/>
      <c r="FA730" s="1049"/>
      <c r="FB730" s="1049"/>
      <c r="FC730" s="1049"/>
      <c r="FD730" s="1049"/>
      <c r="FE730" s="1049"/>
      <c r="FF730" s="1049"/>
      <c r="FG730" s="1049"/>
      <c r="FH730" s="1049"/>
      <c r="FI730" s="1049"/>
      <c r="FJ730" s="1049"/>
      <c r="FK730" s="1049"/>
      <c r="FL730" s="1049"/>
    </row>
    <row r="731" spans="1:168" s="1034" customFormat="1" x14ac:dyDescent="0.25">
      <c r="A731" s="133">
        <v>65</v>
      </c>
      <c r="B731" s="770" t="str">
        <f>BV14</f>
        <v>Крупа перловая</v>
      </c>
      <c r="C731" s="710" t="e">
        <f>#REF!+#REF!++#REF!++#REF!+#REF!+#REF!+#REF!+#REF!++#REF!+#REF!</f>
        <v>#REF!</v>
      </c>
      <c r="D731" s="779">
        <f>цены!$F$77</f>
        <v>40</v>
      </c>
      <c r="E731" s="812" t="e">
        <f t="shared" si="491"/>
        <v>#REF!</v>
      </c>
      <c r="F731" s="710" t="e">
        <f>#REF!+#REF!+#REF!+#REF!+#REF!+#REF!+#REF!+#REF!+#REF!+#REF!</f>
        <v>#REF!</v>
      </c>
      <c r="G731" s="119" t="e">
        <f>#REF!+#REF!+#REF!+#REF!+#REF!+#REF!+#REF!+#REF!+#REF!+#REF!</f>
        <v>#REF!</v>
      </c>
      <c r="H731" s="1256"/>
      <c r="I731" s="659"/>
      <c r="EZ731" s="675"/>
      <c r="FA731" s="1049"/>
      <c r="FB731" s="1049"/>
      <c r="FC731" s="1049"/>
      <c r="FD731" s="1049"/>
      <c r="FE731" s="1049"/>
      <c r="FF731" s="1049"/>
      <c r="FG731" s="1049"/>
      <c r="FH731" s="1049"/>
      <c r="FI731" s="1049"/>
      <c r="FJ731" s="1049"/>
      <c r="FK731" s="1049"/>
      <c r="FL731" s="1049"/>
    </row>
    <row r="732" spans="1:168" s="1034" customFormat="1" x14ac:dyDescent="0.25">
      <c r="A732" s="133">
        <v>66</v>
      </c>
      <c r="B732" s="770" t="str">
        <f>BW14</f>
        <v>Крупа овсяная</v>
      </c>
      <c r="C732" s="710" t="e">
        <f>#REF!+#REF!++#REF!++#REF!+#REF!+#REF!+#REF!+#REF!++#REF!+#REF!</f>
        <v>#REF!</v>
      </c>
      <c r="D732" s="779">
        <f>цены!$F$78</f>
        <v>35</v>
      </c>
      <c r="E732" s="812" t="e">
        <f t="shared" si="491"/>
        <v>#REF!</v>
      </c>
      <c r="F732" s="710" t="e">
        <f>#REF!+#REF!+#REF!+#REF!+#REF!+#REF!+#REF!+#REF!+#REF!+#REF!</f>
        <v>#REF!</v>
      </c>
      <c r="G732" s="119" t="e">
        <f>#REF!+#REF!+#REF!+#REF!+#REF!+#REF!+#REF!+#REF!+#REF!+#REF!</f>
        <v>#REF!</v>
      </c>
      <c r="H732" s="1260"/>
      <c r="I732" s="1270"/>
      <c r="EZ732" s="540"/>
      <c r="FA732" s="1049"/>
      <c r="FB732" s="1049"/>
      <c r="FC732" s="1049"/>
      <c r="FD732" s="1049"/>
      <c r="FE732" s="1049"/>
      <c r="FF732" s="1049"/>
      <c r="FG732" s="1049"/>
      <c r="FH732" s="1049"/>
      <c r="FI732" s="1049"/>
      <c r="FJ732" s="1049"/>
      <c r="FK732" s="1049"/>
      <c r="FL732" s="1049"/>
    </row>
    <row r="733" spans="1:168" s="1034" customFormat="1" x14ac:dyDescent="0.25">
      <c r="A733" s="133">
        <v>67</v>
      </c>
      <c r="B733" s="770" t="str">
        <f>BX14</f>
        <v>Крупа ячневая</v>
      </c>
      <c r="C733" s="710" t="e">
        <f>#REF!+#REF!++#REF!++#REF!+#REF!+#REF!+#REF!+#REF!++#REF!+#REF!</f>
        <v>#REF!</v>
      </c>
      <c r="D733" s="779">
        <f>цены!$F$79</f>
        <v>35</v>
      </c>
      <c r="E733" s="812" t="e">
        <f t="shared" si="491"/>
        <v>#REF!</v>
      </c>
      <c r="F733" s="710" t="e">
        <f>#REF!+#REF!+#REF!+#REF!+#REF!+#REF!+#REF!+#REF!+#REF!+#REF!</f>
        <v>#REF!</v>
      </c>
      <c r="G733" s="119" t="e">
        <f>#REF!+#REF!+#REF!+#REF!+#REF!+#REF!+#REF!+#REF!+#REF!+#REF!</f>
        <v>#REF!</v>
      </c>
      <c r="H733" s="1260"/>
      <c r="I733" s="1270"/>
      <c r="EZ733" s="540"/>
      <c r="FA733" s="1049"/>
      <c r="FB733" s="1049"/>
      <c r="FC733" s="1049"/>
      <c r="FD733" s="1049"/>
      <c r="FE733" s="1049"/>
      <c r="FF733" s="1049"/>
      <c r="FG733" s="1049"/>
      <c r="FH733" s="1049"/>
      <c r="FI733" s="1049"/>
      <c r="FJ733" s="1049"/>
      <c r="FK733" s="1049"/>
      <c r="FL733" s="1049"/>
    </row>
    <row r="734" spans="1:168" s="1034" customFormat="1" x14ac:dyDescent="0.25">
      <c r="A734" s="133">
        <v>68</v>
      </c>
      <c r="B734" s="770" t="str">
        <f>BY14</f>
        <v>Крупа пшеничная</v>
      </c>
      <c r="C734" s="710" t="e">
        <f>#REF!+#REF!++#REF!++#REF!+#REF!+#REF!+#REF!+#REF!++#REF!+#REF!</f>
        <v>#REF!</v>
      </c>
      <c r="D734" s="779">
        <f>цены!$F$80</f>
        <v>35</v>
      </c>
      <c r="E734" s="812" t="e">
        <f t="shared" si="491"/>
        <v>#REF!</v>
      </c>
      <c r="F734" s="710" t="e">
        <f>#REF!+#REF!+#REF!+#REF!+#REF!+#REF!+#REF!+#REF!+#REF!+#REF!</f>
        <v>#REF!</v>
      </c>
      <c r="G734" s="119" t="e">
        <f>#REF!+#REF!+#REF!+#REF!+#REF!+#REF!+#REF!+#REF!+#REF!+#REF!</f>
        <v>#REF!</v>
      </c>
      <c r="H734" s="1260"/>
      <c r="I734" s="1270"/>
      <c r="EZ734" s="540"/>
      <c r="FA734" s="1049"/>
      <c r="FB734" s="1049"/>
      <c r="FC734" s="1049"/>
      <c r="FD734" s="1049"/>
      <c r="FE734" s="1049"/>
      <c r="FF734" s="1049"/>
      <c r="FG734" s="1049"/>
      <c r="FH734" s="1049"/>
      <c r="FI734" s="1049"/>
      <c r="FJ734" s="1049"/>
      <c r="FK734" s="1049"/>
      <c r="FL734" s="1049"/>
    </row>
    <row r="735" spans="1:168" s="1034" customFormat="1" x14ac:dyDescent="0.25">
      <c r="A735" s="133">
        <v>69</v>
      </c>
      <c r="B735" s="770" t="str">
        <f>BZ14</f>
        <v>Крупа кукурузная</v>
      </c>
      <c r="C735" s="710" t="e">
        <f>#REF!+#REF!++#REF!++#REF!+#REF!+#REF!+#REF!+#REF!++#REF!+#REF!</f>
        <v>#REF!</v>
      </c>
      <c r="D735" s="779">
        <f>цены!$F$81</f>
        <v>36</v>
      </c>
      <c r="E735" s="812" t="e">
        <f t="shared" si="491"/>
        <v>#REF!</v>
      </c>
      <c r="F735" s="710" t="e">
        <f>#REF!+#REF!+#REF!+#REF!+#REF!+#REF!+#REF!+#REF!+#REF!+#REF!</f>
        <v>#REF!</v>
      </c>
      <c r="G735" s="119" t="e">
        <f>#REF!+#REF!+#REF!+#REF!+#REF!+#REF!+#REF!+#REF!+#REF!+#REF!</f>
        <v>#REF!</v>
      </c>
      <c r="H735" s="1260"/>
      <c r="I735" s="1270"/>
      <c r="EZ735" s="540"/>
      <c r="FA735" s="1049"/>
      <c r="FB735" s="1049"/>
      <c r="FC735" s="1049"/>
      <c r="FD735" s="1049"/>
      <c r="FE735" s="1049"/>
      <c r="FF735" s="1049"/>
      <c r="FG735" s="1049"/>
      <c r="FH735" s="1049"/>
      <c r="FI735" s="1049"/>
      <c r="FJ735" s="1049"/>
      <c r="FK735" s="1049"/>
      <c r="FL735" s="1049"/>
    </row>
    <row r="736" spans="1:168" s="1034" customFormat="1" x14ac:dyDescent="0.25">
      <c r="A736" s="133">
        <v>70</v>
      </c>
      <c r="B736" s="770" t="str">
        <f>CA14</f>
        <v>Пшено шлифованное высшего сорта</v>
      </c>
      <c r="C736" s="710" t="e">
        <f>#REF!+#REF!++#REF!++#REF!+#REF!+#REF!+#REF!+#REF!++#REF!+#REF!</f>
        <v>#REF!</v>
      </c>
      <c r="D736" s="779">
        <f>цены!$F$82</f>
        <v>60</v>
      </c>
      <c r="E736" s="812" t="e">
        <f t="shared" si="491"/>
        <v>#REF!</v>
      </c>
      <c r="F736" s="710" t="e">
        <f>#REF!+#REF!+#REF!+#REF!+#REF!+#REF!+#REF!+#REF!+#REF!+#REF!</f>
        <v>#REF!</v>
      </c>
      <c r="G736" s="119" t="e">
        <f>#REF!+#REF!+#REF!+#REF!+#REF!+#REF!+#REF!+#REF!+#REF!+#REF!</f>
        <v>#REF!</v>
      </c>
      <c r="H736" s="1256"/>
      <c r="I736" s="659"/>
      <c r="EZ736" s="675"/>
      <c r="FA736" s="1049"/>
      <c r="FB736" s="1049"/>
      <c r="FC736" s="1049"/>
      <c r="FD736" s="1049"/>
      <c r="FE736" s="1049"/>
      <c r="FF736" s="1049"/>
      <c r="FG736" s="1049"/>
      <c r="FH736" s="1049"/>
      <c r="FI736" s="1049"/>
      <c r="FJ736" s="1049"/>
      <c r="FK736" s="1049"/>
      <c r="FL736" s="1049"/>
    </row>
    <row r="737" spans="1:168" s="1034" customFormat="1" x14ac:dyDescent="0.25">
      <c r="A737" s="133">
        <v>71</v>
      </c>
      <c r="B737" s="770" t="str">
        <f>CB14</f>
        <v>Рис шлифованный</v>
      </c>
      <c r="C737" s="710" t="e">
        <f>#REF!+#REF!++#REF!++#REF!+#REF!+#REF!+#REF!+#REF!++#REF!+#REF!</f>
        <v>#REF!</v>
      </c>
      <c r="D737" s="779">
        <f>цены!$F$83</f>
        <v>98</v>
      </c>
      <c r="E737" s="812" t="e">
        <f t="shared" si="491"/>
        <v>#REF!</v>
      </c>
      <c r="F737" s="710" t="e">
        <f>#REF!+#REF!+#REF!+#REF!+#REF!+#REF!+#REF!+#REF!+#REF!+#REF!</f>
        <v>#REF!</v>
      </c>
      <c r="G737" s="119" t="e">
        <f>#REF!+#REF!+#REF!+#REF!+#REF!+#REF!+#REF!+#REF!+#REF!+#REF!</f>
        <v>#REF!</v>
      </c>
      <c r="H737" s="1256"/>
      <c r="I737" s="659"/>
      <c r="EZ737" s="675"/>
      <c r="FA737" s="1049"/>
      <c r="FB737" s="1049"/>
      <c r="FC737" s="1049"/>
      <c r="FD737" s="1049"/>
      <c r="FE737" s="1049"/>
      <c r="FF737" s="1049"/>
      <c r="FG737" s="1049"/>
      <c r="FH737" s="1049"/>
      <c r="FI737" s="1049"/>
      <c r="FJ737" s="1049"/>
      <c r="FK737" s="1049"/>
      <c r="FL737" s="1049"/>
    </row>
    <row r="738" spans="1:168" s="1034" customFormat="1" x14ac:dyDescent="0.25">
      <c r="A738" s="133">
        <v>72</v>
      </c>
      <c r="B738" s="770" t="str">
        <f>CC14</f>
        <v>Хлопья овсяные "Геркулес"</v>
      </c>
      <c r="C738" s="710" t="e">
        <f>#REF!+#REF!++#REF!++#REF!+#REF!+#REF!+#REF!+#REF!++#REF!+#REF!</f>
        <v>#REF!</v>
      </c>
      <c r="D738" s="779">
        <f>цены!$F$84</f>
        <v>65</v>
      </c>
      <c r="E738" s="812" t="e">
        <f t="shared" si="491"/>
        <v>#REF!</v>
      </c>
      <c r="F738" s="710" t="e">
        <f>#REF!+#REF!+#REF!+#REF!+#REF!+#REF!+#REF!+#REF!+#REF!+#REF!</f>
        <v>#REF!</v>
      </c>
      <c r="G738" s="119" t="e">
        <f>#REF!+#REF!+#REF!+#REF!+#REF!+#REF!+#REF!+#REF!+#REF!+#REF!</f>
        <v>#REF!</v>
      </c>
      <c r="H738" s="1256"/>
      <c r="I738" s="659"/>
      <c r="EZ738" s="675"/>
      <c r="FA738" s="1049"/>
      <c r="FB738" s="1049"/>
      <c r="FC738" s="1049"/>
      <c r="FD738" s="1049"/>
      <c r="FE738" s="1049"/>
      <c r="FF738" s="1049"/>
      <c r="FG738" s="1049"/>
      <c r="FH738" s="1049"/>
      <c r="FI738" s="1049"/>
      <c r="FJ738" s="1049"/>
      <c r="FK738" s="1049"/>
      <c r="FL738" s="1049"/>
    </row>
    <row r="739" spans="1:168" s="1034" customFormat="1" x14ac:dyDescent="0.25">
      <c r="A739" s="133">
        <v>73</v>
      </c>
      <c r="B739" s="770" t="str">
        <f>CD14</f>
        <v>Хлопья овсяные "Ясно солнышко"</v>
      </c>
      <c r="C739" s="710" t="e">
        <f>#REF!+#REF!++#REF!++#REF!+#REF!+#REF!+#REF!+#REF!++#REF!+#REF!</f>
        <v>#REF!</v>
      </c>
      <c r="D739" s="779">
        <f>цены!$F$85</f>
        <v>150</v>
      </c>
      <c r="E739" s="812" t="e">
        <f t="shared" si="491"/>
        <v>#REF!</v>
      </c>
      <c r="F739" s="710" t="e">
        <f>#REF!+#REF!+#REF!+#REF!+#REF!+#REF!+#REF!+#REF!+#REF!+#REF!</f>
        <v>#REF!</v>
      </c>
      <c r="G739" s="119" t="e">
        <f>#REF!+#REF!+#REF!+#REF!+#REF!+#REF!+#REF!+#REF!+#REF!+#REF!</f>
        <v>#REF!</v>
      </c>
      <c r="H739" s="1256"/>
      <c r="I739" s="659"/>
      <c r="EZ739" s="675"/>
      <c r="FA739" s="1049"/>
      <c r="FB739" s="1049"/>
      <c r="FC739" s="1049"/>
      <c r="FD739" s="1049"/>
      <c r="FE739" s="1049"/>
      <c r="FF739" s="1049"/>
      <c r="FG739" s="1049"/>
      <c r="FH739" s="1049"/>
      <c r="FI739" s="1049"/>
      <c r="FJ739" s="1049"/>
      <c r="FK739" s="1049"/>
      <c r="FL739" s="1049"/>
    </row>
    <row r="740" spans="1:168" s="1034" customFormat="1" x14ac:dyDescent="0.25">
      <c r="A740" s="133">
        <v>74</v>
      </c>
      <c r="B740" s="770" t="str">
        <f>CE14</f>
        <v>Маргарин столовый</v>
      </c>
      <c r="C740" s="710" t="e">
        <f>#REF!+#REF!++#REF!++#REF!+#REF!+#REF!+#REF!+#REF!++#REF!+#REF!</f>
        <v>#REF!</v>
      </c>
      <c r="D740" s="779">
        <f>цены!$F$86</f>
        <v>198</v>
      </c>
      <c r="E740" s="812" t="e">
        <f t="shared" si="491"/>
        <v>#REF!</v>
      </c>
      <c r="F740" s="710" t="e">
        <f>#REF!+#REF!+#REF!+#REF!+#REF!+#REF!+#REF!+#REF!+#REF!+#REF!</f>
        <v>#REF!</v>
      </c>
      <c r="G740" s="119" t="e">
        <f>#REF!+#REF!+#REF!+#REF!+#REF!+#REF!+#REF!+#REF!+#REF!+#REF!</f>
        <v>#REF!</v>
      </c>
      <c r="H740" s="1256"/>
      <c r="I740" s="659"/>
      <c r="EZ740" s="675"/>
      <c r="FA740" s="1049"/>
      <c r="FB740" s="1049"/>
      <c r="FC740" s="1049"/>
      <c r="FD740" s="1049"/>
      <c r="FE740" s="1049"/>
      <c r="FF740" s="1049"/>
      <c r="FG740" s="1049"/>
      <c r="FH740" s="1049"/>
      <c r="FI740" s="1049"/>
      <c r="FJ740" s="1049"/>
      <c r="FK740" s="1049"/>
      <c r="FL740" s="1049"/>
    </row>
    <row r="741" spans="1:168" s="1034" customFormat="1" x14ac:dyDescent="0.25">
      <c r="A741" s="133">
        <v>75</v>
      </c>
      <c r="B741" s="770" t="str">
        <f>CF14</f>
        <v>Масло подсолнечное рафинированное</v>
      </c>
      <c r="C741" s="710" t="e">
        <f>#REF!+#REF!++#REF!++#REF!+#REF!+#REF!+#REF!+#REF!++#REF!+#REF!</f>
        <v>#REF!</v>
      </c>
      <c r="D741" s="779">
        <f>цены!$F$87</f>
        <v>120</v>
      </c>
      <c r="E741" s="812" t="e">
        <f t="shared" si="491"/>
        <v>#REF!</v>
      </c>
      <c r="F741" s="710" t="e">
        <f>#REF!+#REF!+#REF!+#REF!+#REF!+#REF!+#REF!+#REF!+#REF!+#REF!</f>
        <v>#REF!</v>
      </c>
      <c r="G741" s="119" t="e">
        <f>#REF!+#REF!+#REF!+#REF!+#REF!+#REF!+#REF!+#REF!+#REF!+#REF!</f>
        <v>#REF!</v>
      </c>
      <c r="H741" s="1256"/>
      <c r="I741" s="659"/>
      <c r="EZ741" s="675"/>
      <c r="FA741" s="1049"/>
      <c r="FB741" s="1049"/>
      <c r="FC741" s="1049"/>
      <c r="FD741" s="1049"/>
      <c r="FE741" s="1049"/>
      <c r="FF741" s="1049"/>
      <c r="FG741" s="1049"/>
      <c r="FH741" s="1049"/>
      <c r="FI741" s="1049"/>
      <c r="FJ741" s="1049"/>
      <c r="FK741" s="1049"/>
      <c r="FL741" s="1049"/>
    </row>
    <row r="742" spans="1:168" s="1034" customFormat="1" x14ac:dyDescent="0.25">
      <c r="A742" s="133">
        <v>76</v>
      </c>
      <c r="B742" s="770" t="str">
        <f>CG14</f>
        <v>Макаронные изделия высшего сорта</v>
      </c>
      <c r="C742" s="710" t="e">
        <f>#REF!+#REF!++#REF!++#REF!+#REF!+#REF!+#REF!+#REF!++#REF!+#REF!</f>
        <v>#REF!</v>
      </c>
      <c r="D742" s="779">
        <f>цены!$F$88</f>
        <v>50</v>
      </c>
      <c r="E742" s="812" t="e">
        <f t="shared" si="491"/>
        <v>#REF!</v>
      </c>
      <c r="F742" s="710" t="e">
        <f>#REF!+#REF!+#REF!+#REF!+#REF!+#REF!+#REF!+#REF!+#REF!+#REF!</f>
        <v>#REF!</v>
      </c>
      <c r="G742" s="119" t="e">
        <f>#REF!+#REF!+#REF!+#REF!+#REF!+#REF!+#REF!+#REF!+#REF!+#REF!</f>
        <v>#REF!</v>
      </c>
      <c r="H742" s="1256"/>
      <c r="I742" s="659"/>
      <c r="EZ742" s="675"/>
      <c r="FA742" s="1049"/>
      <c r="FB742" s="1049"/>
      <c r="FC742" s="1049"/>
      <c r="FD742" s="1049"/>
      <c r="FE742" s="1049"/>
      <c r="FF742" s="1049"/>
      <c r="FG742" s="1049"/>
      <c r="FH742" s="1049"/>
      <c r="FI742" s="1049"/>
      <c r="FJ742" s="1049"/>
      <c r="FK742" s="1049"/>
      <c r="FL742" s="1049"/>
    </row>
    <row r="743" spans="1:168" s="1034" customFormat="1" x14ac:dyDescent="0.25">
      <c r="A743" s="133">
        <v>77</v>
      </c>
      <c r="B743" s="770" t="str">
        <f>CH14</f>
        <v>Вермишель</v>
      </c>
      <c r="C743" s="710" t="e">
        <f>#REF!+#REF!++#REF!++#REF!+#REF!+#REF!+#REF!+#REF!++#REF!+#REF!</f>
        <v>#REF!</v>
      </c>
      <c r="D743" s="779">
        <f>цены!$F$89</f>
        <v>50</v>
      </c>
      <c r="E743" s="812" t="e">
        <f t="shared" si="491"/>
        <v>#REF!</v>
      </c>
      <c r="F743" s="710" t="e">
        <f>#REF!+#REF!+#REF!+#REF!+#REF!+#REF!+#REF!+#REF!+#REF!+#REF!</f>
        <v>#REF!</v>
      </c>
      <c r="G743" s="119" t="e">
        <f>#REF!+#REF!+#REF!+#REF!+#REF!+#REF!+#REF!+#REF!+#REF!+#REF!</f>
        <v>#REF!</v>
      </c>
      <c r="H743" s="1256"/>
      <c r="I743" s="659"/>
      <c r="EZ743" s="675"/>
      <c r="FA743" s="1049"/>
      <c r="FB743" s="1049"/>
      <c r="FC743" s="1049"/>
      <c r="FD743" s="1049"/>
      <c r="FE743" s="1049"/>
      <c r="FF743" s="1049"/>
      <c r="FG743" s="1049"/>
      <c r="FH743" s="1049"/>
      <c r="FI743" s="1049"/>
      <c r="FJ743" s="1049"/>
      <c r="FK743" s="1049"/>
      <c r="FL743" s="1049"/>
    </row>
    <row r="744" spans="1:168" s="1034" customFormat="1" x14ac:dyDescent="0.25">
      <c r="A744" s="133">
        <v>78</v>
      </c>
      <c r="B744" s="770" t="str">
        <f>CI14</f>
        <v>Ванилин</v>
      </c>
      <c r="C744" s="710" t="e">
        <f>#REF!+#REF!++#REF!++#REF!+#REF!+#REF!+#REF!+#REF!++#REF!+#REF!</f>
        <v>#REF!</v>
      </c>
      <c r="D744" s="779">
        <f>цены!$F$90</f>
        <v>5000</v>
      </c>
      <c r="E744" s="812" t="e">
        <f t="shared" si="491"/>
        <v>#REF!</v>
      </c>
      <c r="F744" s="710" t="e">
        <f>#REF!+#REF!+#REF!+#REF!+#REF!+#REF!+#REF!+#REF!+#REF!+#REF!</f>
        <v>#REF!</v>
      </c>
      <c r="G744" s="119" t="e">
        <f>#REF!+#REF!+#REF!+#REF!+#REF!+#REF!+#REF!+#REF!+#REF!+#REF!</f>
        <v>#REF!</v>
      </c>
      <c r="H744" s="1256"/>
      <c r="I744" s="659"/>
      <c r="EZ744" s="675"/>
      <c r="FA744" s="1049"/>
      <c r="FB744" s="1049"/>
      <c r="FC744" s="1049"/>
      <c r="FD744" s="1049"/>
      <c r="FE744" s="1049"/>
      <c r="FF744" s="1049"/>
      <c r="FG744" s="1049"/>
      <c r="FH744" s="1049"/>
      <c r="FI744" s="1049"/>
      <c r="FJ744" s="1049"/>
      <c r="FK744" s="1049"/>
      <c r="FL744" s="1049"/>
    </row>
    <row r="745" spans="1:168" s="1034" customFormat="1" x14ac:dyDescent="0.25">
      <c r="A745" s="133">
        <v>79</v>
      </c>
      <c r="B745" s="770" t="str">
        <f>CJ14</f>
        <v>Эссенция</v>
      </c>
      <c r="C745" s="710" t="e">
        <f>#REF!+#REF!++#REF!++#REF!+#REF!+#REF!+#REF!+#REF!++#REF!+#REF!</f>
        <v>#REF!</v>
      </c>
      <c r="D745" s="779">
        <f>цены!$F$91</f>
        <v>100</v>
      </c>
      <c r="E745" s="812" t="e">
        <f t="shared" si="491"/>
        <v>#REF!</v>
      </c>
      <c r="F745" s="710" t="e">
        <f>#REF!+#REF!+#REF!+#REF!+#REF!+#REF!+#REF!+#REF!+#REF!+#REF!</f>
        <v>#REF!</v>
      </c>
      <c r="G745" s="119" t="e">
        <f>#REF!+#REF!+#REF!+#REF!+#REF!+#REF!+#REF!+#REF!+#REF!+#REF!</f>
        <v>#REF!</v>
      </c>
      <c r="H745" s="1256"/>
      <c r="I745" s="659"/>
      <c r="EZ745" s="675"/>
      <c r="FA745" s="1049"/>
      <c r="FB745" s="1049"/>
      <c r="FC745" s="1049"/>
      <c r="FD745" s="1049"/>
      <c r="FE745" s="1049"/>
      <c r="FF745" s="1049"/>
      <c r="FG745" s="1049"/>
      <c r="FH745" s="1049"/>
      <c r="FI745" s="1049"/>
      <c r="FJ745" s="1049"/>
      <c r="FK745" s="1049"/>
      <c r="FL745" s="1049"/>
    </row>
    <row r="746" spans="1:168" s="1034" customFormat="1" x14ac:dyDescent="0.25">
      <c r="A746" s="133">
        <v>80</v>
      </c>
      <c r="B746" s="770" t="str">
        <f>CK14</f>
        <v>Сода пищевая</v>
      </c>
      <c r="C746" s="710" t="e">
        <f>#REF!+#REF!++#REF!++#REF!+#REF!+#REF!+#REF!+#REF!++#REF!+#REF!</f>
        <v>#REF!</v>
      </c>
      <c r="D746" s="779">
        <f>цены!$F$92</f>
        <v>40</v>
      </c>
      <c r="E746" s="812" t="e">
        <f t="shared" si="491"/>
        <v>#REF!</v>
      </c>
      <c r="F746" s="710" t="e">
        <f>#REF!+#REF!+#REF!+#REF!+#REF!+#REF!+#REF!+#REF!+#REF!+#REF!</f>
        <v>#REF!</v>
      </c>
      <c r="G746" s="119" t="e">
        <f>#REF!+#REF!+#REF!+#REF!+#REF!+#REF!+#REF!+#REF!+#REF!+#REF!</f>
        <v>#REF!</v>
      </c>
      <c r="H746" s="1256"/>
      <c r="I746" s="659"/>
      <c r="EZ746" s="675"/>
      <c r="FA746" s="1049"/>
      <c r="FB746" s="1049"/>
      <c r="FC746" s="1049"/>
      <c r="FD746" s="1049"/>
      <c r="FE746" s="1049"/>
      <c r="FF746" s="1049"/>
      <c r="FG746" s="1049"/>
      <c r="FH746" s="1049"/>
      <c r="FI746" s="1049"/>
      <c r="FJ746" s="1049"/>
      <c r="FK746" s="1049"/>
      <c r="FL746" s="1049"/>
    </row>
    <row r="747" spans="1:168" s="1034" customFormat="1" x14ac:dyDescent="0.25">
      <c r="A747" s="133">
        <v>81</v>
      </c>
      <c r="B747" s="770" t="str">
        <f>CL14</f>
        <v>Дрожжи пекарные прессованные</v>
      </c>
      <c r="C747" s="710" t="e">
        <f>#REF!+#REF!++#REF!++#REF!+#REF!+#REF!+#REF!+#REF!++#REF!+#REF!</f>
        <v>#REF!</v>
      </c>
      <c r="D747" s="779">
        <f>цены!$F$93</f>
        <v>455</v>
      </c>
      <c r="E747" s="812" t="e">
        <f t="shared" si="491"/>
        <v>#REF!</v>
      </c>
      <c r="F747" s="710" t="e">
        <f>#REF!+#REF!+#REF!+#REF!+#REF!+#REF!+#REF!+#REF!+#REF!+#REF!</f>
        <v>#REF!</v>
      </c>
      <c r="G747" s="119" t="e">
        <f>#REF!+#REF!+#REF!+#REF!+#REF!+#REF!+#REF!+#REF!+#REF!+#REF!</f>
        <v>#REF!</v>
      </c>
      <c r="H747" s="1256"/>
      <c r="I747" s="659"/>
      <c r="EZ747" s="675"/>
      <c r="FA747" s="1049"/>
      <c r="FB747" s="1049"/>
      <c r="FC747" s="1049"/>
      <c r="FD747" s="1049"/>
      <c r="FE747" s="1049"/>
      <c r="FF747" s="1049"/>
      <c r="FG747" s="1049"/>
      <c r="FH747" s="1049"/>
      <c r="FI747" s="1049"/>
      <c r="FJ747" s="1049"/>
      <c r="FK747" s="1049"/>
      <c r="FL747" s="1049"/>
    </row>
    <row r="748" spans="1:168" s="1034" customFormat="1" x14ac:dyDescent="0.25">
      <c r="A748" s="133">
        <v>82</v>
      </c>
      <c r="B748" s="770" t="str">
        <f>CM14</f>
        <v>Виноград сушеный (изюм)</v>
      </c>
      <c r="C748" s="710" t="e">
        <f>#REF!+#REF!++#REF!++#REF!+#REF!+#REF!+#REF!+#REF!++#REF!+#REF!</f>
        <v>#REF!</v>
      </c>
      <c r="D748" s="779">
        <f>цены!$F$94</f>
        <v>400</v>
      </c>
      <c r="E748" s="812" t="e">
        <f t="shared" si="491"/>
        <v>#REF!</v>
      </c>
      <c r="F748" s="710" t="e">
        <f>#REF!+#REF!+#REF!+#REF!+#REF!+#REF!+#REF!+#REF!+#REF!+#REF!</f>
        <v>#REF!</v>
      </c>
      <c r="G748" s="119" t="e">
        <f>#REF!+#REF!+#REF!+#REF!+#REF!+#REF!+#REF!+#REF!+#REF!+#REF!</f>
        <v>#REF!</v>
      </c>
      <c r="H748" s="1256"/>
      <c r="I748" s="659"/>
      <c r="EZ748" s="675"/>
      <c r="FA748" s="1049"/>
      <c r="FB748" s="1049"/>
      <c r="FC748" s="1049"/>
      <c r="FD748" s="1049"/>
      <c r="FE748" s="1049"/>
      <c r="FF748" s="1049"/>
      <c r="FG748" s="1049"/>
      <c r="FH748" s="1049"/>
      <c r="FI748" s="1049"/>
      <c r="FJ748" s="1049"/>
      <c r="FK748" s="1049"/>
      <c r="FL748" s="1049"/>
    </row>
    <row r="749" spans="1:168" s="1034" customFormat="1" x14ac:dyDescent="0.25">
      <c r="A749" s="133">
        <v>83</v>
      </c>
      <c r="B749" s="770" t="str">
        <f>CN14</f>
        <v xml:space="preserve">Порошок какао без добавок сахара </v>
      </c>
      <c r="C749" s="710" t="e">
        <f>#REF!+#REF!++#REF!++#REF!+#REF!+#REF!+#REF!+#REF!++#REF!+#REF!</f>
        <v>#REF!</v>
      </c>
      <c r="D749" s="779">
        <f>цены!$F$95</f>
        <v>625</v>
      </c>
      <c r="E749" s="812" t="e">
        <f t="shared" si="491"/>
        <v>#REF!</v>
      </c>
      <c r="F749" s="710" t="e">
        <f>#REF!+#REF!+#REF!+#REF!+#REF!+#REF!+#REF!+#REF!+#REF!+#REF!</f>
        <v>#REF!</v>
      </c>
      <c r="G749" s="119" t="e">
        <f>#REF!+#REF!+#REF!+#REF!+#REF!+#REF!+#REF!+#REF!+#REF!+#REF!</f>
        <v>#REF!</v>
      </c>
      <c r="H749" s="1256"/>
      <c r="I749" s="659"/>
      <c r="EZ749" s="675"/>
      <c r="FA749" s="1049"/>
      <c r="FB749" s="1049"/>
      <c r="FC749" s="1049"/>
      <c r="FD749" s="1049"/>
      <c r="FE749" s="1049"/>
      <c r="FF749" s="1049"/>
      <c r="FG749" s="1049"/>
      <c r="FH749" s="1049"/>
      <c r="FI749" s="1049"/>
      <c r="FJ749" s="1049"/>
      <c r="FK749" s="1049"/>
      <c r="FL749" s="1049"/>
    </row>
    <row r="750" spans="1:168" s="1034" customFormat="1" x14ac:dyDescent="0.25">
      <c r="A750" s="133">
        <v>84</v>
      </c>
      <c r="B750" s="770" t="str">
        <f>CO14</f>
        <v>Кофейный напиток</v>
      </c>
      <c r="C750" s="710" t="e">
        <f>#REF!+#REF!++#REF!++#REF!+#REF!+#REF!+#REF!+#REF!++#REF!+#REF!</f>
        <v>#REF!</v>
      </c>
      <c r="D750" s="779">
        <f>цены!$F$96</f>
        <v>435</v>
      </c>
      <c r="E750" s="812" t="e">
        <f t="shared" si="491"/>
        <v>#REF!</v>
      </c>
      <c r="F750" s="710" t="e">
        <f>#REF!+#REF!+#REF!+#REF!+#REF!+#REF!+#REF!+#REF!+#REF!+#REF!</f>
        <v>#REF!</v>
      </c>
      <c r="G750" s="119" t="e">
        <f>#REF!+#REF!+#REF!+#REF!+#REF!+#REF!+#REF!+#REF!+#REF!+#REF!</f>
        <v>#REF!</v>
      </c>
      <c r="H750" s="1256"/>
      <c r="I750" s="659"/>
      <c r="EZ750" s="675"/>
      <c r="FA750" s="1049"/>
      <c r="FB750" s="1049"/>
      <c r="FC750" s="1049"/>
      <c r="FD750" s="1049"/>
      <c r="FE750" s="1049"/>
      <c r="FF750" s="1049"/>
      <c r="FG750" s="1049"/>
      <c r="FH750" s="1049"/>
      <c r="FI750" s="1049"/>
      <c r="FJ750" s="1049"/>
      <c r="FK750" s="1049"/>
      <c r="FL750" s="1049"/>
    </row>
    <row r="751" spans="1:168" s="1034" customFormat="1" x14ac:dyDescent="0.25">
      <c r="A751" s="133">
        <v>85</v>
      </c>
      <c r="B751" s="770" t="str">
        <f>CP14</f>
        <v>Кетчуп томатный</v>
      </c>
      <c r="C751" s="710" t="e">
        <f>#REF!+#REF!++#REF!++#REF!+#REF!+#REF!+#REF!+#REF!++#REF!+#REF!</f>
        <v>#REF!</v>
      </c>
      <c r="D751" s="779">
        <f>цены!$F$97</f>
        <v>150</v>
      </c>
      <c r="E751" s="812" t="e">
        <f t="shared" si="491"/>
        <v>#REF!</v>
      </c>
      <c r="F751" s="710" t="e">
        <f>#REF!+#REF!+#REF!+#REF!+#REF!+#REF!+#REF!+#REF!+#REF!+#REF!</f>
        <v>#REF!</v>
      </c>
      <c r="G751" s="119" t="e">
        <f>#REF!+#REF!+#REF!+#REF!+#REF!+#REF!+#REF!+#REF!+#REF!+#REF!</f>
        <v>#REF!</v>
      </c>
      <c r="H751" s="1256"/>
      <c r="I751" s="659"/>
      <c r="EZ751" s="675"/>
      <c r="FA751" s="1049"/>
      <c r="FB751" s="1049"/>
      <c r="FC751" s="1049"/>
      <c r="FD751" s="1049"/>
      <c r="FE751" s="1049"/>
      <c r="FF751" s="1049"/>
      <c r="FG751" s="1049"/>
      <c r="FH751" s="1049"/>
      <c r="FI751" s="1049"/>
      <c r="FJ751" s="1049"/>
      <c r="FK751" s="1049"/>
      <c r="FL751" s="1049"/>
    </row>
    <row r="752" spans="1:168" s="1034" customFormat="1" x14ac:dyDescent="0.25">
      <c r="A752" s="133">
        <v>86</v>
      </c>
      <c r="B752" s="770" t="str">
        <f>CQ14</f>
        <v>Кислота лимонная</v>
      </c>
      <c r="C752" s="710" t="e">
        <f>#REF!+#REF!++#REF!++#REF!+#REF!+#REF!+#REF!+#REF!++#REF!+#REF!</f>
        <v>#REF!</v>
      </c>
      <c r="D752" s="779">
        <f>цены!$F$98</f>
        <v>290</v>
      </c>
      <c r="E752" s="812" t="e">
        <f t="shared" si="491"/>
        <v>#REF!</v>
      </c>
      <c r="F752" s="710" t="e">
        <f>#REF!+#REF!+#REF!+#REF!+#REF!+#REF!+#REF!+#REF!+#REF!+#REF!</f>
        <v>#REF!</v>
      </c>
      <c r="G752" s="119" t="e">
        <f>#REF!+#REF!+#REF!+#REF!+#REF!+#REF!+#REF!+#REF!+#REF!+#REF!</f>
        <v>#REF!</v>
      </c>
      <c r="H752" s="1256"/>
      <c r="I752" s="659"/>
      <c r="EZ752" s="675"/>
      <c r="FA752" s="1049"/>
      <c r="FB752" s="1049"/>
      <c r="FC752" s="1049"/>
      <c r="FD752" s="1049"/>
      <c r="FE752" s="1049"/>
      <c r="FF752" s="1049"/>
      <c r="FG752" s="1049"/>
      <c r="FH752" s="1049"/>
      <c r="FI752" s="1049"/>
      <c r="FJ752" s="1049"/>
      <c r="FK752" s="1049"/>
      <c r="FL752" s="1049"/>
    </row>
    <row r="753" spans="1:168" s="1034" customFormat="1" x14ac:dyDescent="0.25">
      <c r="A753" s="133">
        <v>87</v>
      </c>
      <c r="B753" s="770" t="str">
        <f>CR14</f>
        <v>Крахмал картофельный</v>
      </c>
      <c r="C753" s="710" t="e">
        <f>#REF!+#REF!++#REF!++#REF!+#REF!+#REF!+#REF!+#REF!++#REF!+#REF!</f>
        <v>#REF!</v>
      </c>
      <c r="D753" s="779">
        <f>цены!$F$99</f>
        <v>111</v>
      </c>
      <c r="E753" s="812" t="e">
        <f t="shared" si="491"/>
        <v>#REF!</v>
      </c>
      <c r="F753" s="710" t="e">
        <f>#REF!+#REF!+#REF!+#REF!+#REF!+#REF!+#REF!+#REF!+#REF!+#REF!</f>
        <v>#REF!</v>
      </c>
      <c r="G753" s="119" t="e">
        <f>#REF!+#REF!+#REF!+#REF!+#REF!+#REF!+#REF!+#REF!+#REF!+#REF!</f>
        <v>#REF!</v>
      </c>
      <c r="H753" s="1256"/>
      <c r="I753" s="659"/>
      <c r="EZ753" s="675"/>
      <c r="FA753" s="1049"/>
      <c r="FB753" s="1049"/>
      <c r="FC753" s="1049"/>
      <c r="FD753" s="1049"/>
      <c r="FE753" s="1049"/>
      <c r="FF753" s="1049"/>
      <c r="FG753" s="1049"/>
      <c r="FH753" s="1049"/>
      <c r="FI753" s="1049"/>
      <c r="FJ753" s="1049"/>
      <c r="FK753" s="1049"/>
      <c r="FL753" s="1049"/>
    </row>
    <row r="754" spans="1:168" s="1034" customFormat="1" x14ac:dyDescent="0.25">
      <c r="A754" s="133">
        <v>88</v>
      </c>
      <c r="B754" s="770" t="str">
        <f>CS14</f>
        <v>Лист лавровый обработанный</v>
      </c>
      <c r="C754" s="710" t="e">
        <f>#REF!+#REF!++#REF!++#REF!+#REF!+#REF!+#REF!+#REF!++#REF!+#REF!</f>
        <v>#REF!</v>
      </c>
      <c r="D754" s="779">
        <f>цены!$F$100</f>
        <v>1000</v>
      </c>
      <c r="E754" s="812" t="e">
        <f t="shared" si="491"/>
        <v>#REF!</v>
      </c>
      <c r="F754" s="710" t="e">
        <f>#REF!+#REF!+#REF!+#REF!+#REF!+#REF!+#REF!+#REF!+#REF!+#REF!</f>
        <v>#REF!</v>
      </c>
      <c r="G754" s="119" t="e">
        <f>#REF!+#REF!+#REF!+#REF!+#REF!+#REF!+#REF!+#REF!+#REF!+#REF!</f>
        <v>#REF!</v>
      </c>
      <c r="H754" s="1256"/>
      <c r="I754" s="659"/>
      <c r="EZ754" s="675"/>
      <c r="FA754" s="1049"/>
      <c r="FB754" s="1049"/>
      <c r="FC754" s="1049"/>
      <c r="FD754" s="1049"/>
      <c r="FE754" s="1049"/>
      <c r="FF754" s="1049"/>
      <c r="FG754" s="1049"/>
      <c r="FH754" s="1049"/>
      <c r="FI754" s="1049"/>
      <c r="FJ754" s="1049"/>
      <c r="FK754" s="1049"/>
      <c r="FL754" s="1049"/>
    </row>
    <row r="755" spans="1:168" s="1034" customFormat="1" x14ac:dyDescent="0.25">
      <c r="A755" s="133">
        <v>89</v>
      </c>
      <c r="B755" s="770" t="str">
        <f>CT14</f>
        <v>Огурцы консервированные</v>
      </c>
      <c r="C755" s="710" t="e">
        <f>#REF!+#REF!++#REF!++#REF!+#REF!+#REF!+#REF!+#REF!++#REF!+#REF!</f>
        <v>#REF!</v>
      </c>
      <c r="D755" s="779">
        <f>цены!$F$101</f>
        <v>120</v>
      </c>
      <c r="E755" s="812" t="e">
        <f t="shared" si="491"/>
        <v>#REF!</v>
      </c>
      <c r="F755" s="710" t="e">
        <f>#REF!+#REF!+#REF!+#REF!+#REF!+#REF!+#REF!+#REF!+#REF!+#REF!</f>
        <v>#REF!</v>
      </c>
      <c r="G755" s="119" t="e">
        <f>#REF!+#REF!+#REF!+#REF!+#REF!+#REF!+#REF!+#REF!+#REF!+#REF!</f>
        <v>#REF!</v>
      </c>
      <c r="H755" s="1256"/>
      <c r="I755" s="659"/>
      <c r="EZ755" s="675"/>
      <c r="FA755" s="1049"/>
      <c r="FB755" s="1049"/>
      <c r="FC755" s="1049"/>
      <c r="FD755" s="1049"/>
      <c r="FE755" s="1049"/>
      <c r="FF755" s="1049"/>
      <c r="FG755" s="1049"/>
      <c r="FH755" s="1049"/>
      <c r="FI755" s="1049"/>
      <c r="FJ755" s="1049"/>
      <c r="FK755" s="1049"/>
      <c r="FL755" s="1049"/>
    </row>
    <row r="756" spans="1:168" s="1034" customFormat="1" x14ac:dyDescent="0.25">
      <c r="A756" s="133">
        <v>90</v>
      </c>
      <c r="B756" s="770" t="str">
        <f>CU14</f>
        <v>Помидоры соленые</v>
      </c>
      <c r="C756" s="710" t="e">
        <f>#REF!+#REF!++#REF!++#REF!+#REF!+#REF!+#REF!+#REF!++#REF!+#REF!</f>
        <v>#REF!</v>
      </c>
      <c r="D756" s="779">
        <f>цены!$F$102</f>
        <v>120</v>
      </c>
      <c r="E756" s="812" t="e">
        <f t="shared" si="491"/>
        <v>#REF!</v>
      </c>
      <c r="F756" s="710" t="e">
        <f>#REF!+#REF!+#REF!+#REF!+#REF!+#REF!+#REF!+#REF!+#REF!+#REF!</f>
        <v>#REF!</v>
      </c>
      <c r="G756" s="119" t="e">
        <f>#REF!+#REF!+#REF!+#REF!+#REF!+#REF!+#REF!+#REF!+#REF!+#REF!</f>
        <v>#REF!</v>
      </c>
      <c r="H756" s="1256"/>
      <c r="I756" s="659"/>
      <c r="EZ756" s="675"/>
      <c r="FA756" s="1049"/>
      <c r="FB756" s="1049"/>
      <c r="FC756" s="1049"/>
      <c r="FD756" s="1049"/>
      <c r="FE756" s="1049"/>
      <c r="FF756" s="1049"/>
      <c r="FG756" s="1049"/>
      <c r="FH756" s="1049"/>
      <c r="FI756" s="1049"/>
      <c r="FJ756" s="1049"/>
      <c r="FK756" s="1049"/>
      <c r="FL756" s="1049"/>
    </row>
    <row r="757" spans="1:168" s="1034" customFormat="1" x14ac:dyDescent="0.25">
      <c r="A757" s="133">
        <v>91</v>
      </c>
      <c r="B757" s="770" t="str">
        <f>CV14</f>
        <v>Капуста квашеная</v>
      </c>
      <c r="C757" s="710" t="e">
        <f>#REF!+#REF!++#REF!++#REF!+#REF!+#REF!+#REF!+#REF!++#REF!+#REF!</f>
        <v>#REF!</v>
      </c>
      <c r="D757" s="779">
        <f>цены!$F$103</f>
        <v>112</v>
      </c>
      <c r="E757" s="812" t="e">
        <f t="shared" si="491"/>
        <v>#REF!</v>
      </c>
      <c r="F757" s="710" t="e">
        <f>#REF!+#REF!+#REF!+#REF!+#REF!+#REF!+#REF!+#REF!+#REF!+#REF!</f>
        <v>#REF!</v>
      </c>
      <c r="G757" s="119" t="e">
        <f>#REF!+#REF!+#REF!+#REF!+#REF!+#REF!+#REF!+#REF!+#REF!+#REF!</f>
        <v>#REF!</v>
      </c>
      <c r="H757" s="1256"/>
      <c r="I757" s="659"/>
      <c r="EZ757" s="675"/>
      <c r="FA757" s="1049"/>
      <c r="FB757" s="1049"/>
      <c r="FC757" s="1049"/>
      <c r="FD757" s="1049"/>
      <c r="FE757" s="1049"/>
      <c r="FF757" s="1049"/>
      <c r="FG757" s="1049"/>
      <c r="FH757" s="1049"/>
      <c r="FI757" s="1049"/>
      <c r="FJ757" s="1049"/>
      <c r="FK757" s="1049"/>
      <c r="FL757" s="1049"/>
    </row>
    <row r="758" spans="1:168" s="1034" customFormat="1" x14ac:dyDescent="0.25">
      <c r="A758" s="133">
        <v>92</v>
      </c>
      <c r="B758" s="770" t="str">
        <f>CW14</f>
        <v>Повидло из яблок</v>
      </c>
      <c r="C758" s="710" t="e">
        <f>#REF!+#REF!++#REF!++#REF!+#REF!+#REF!+#REF!+#REF!++#REF!+#REF!</f>
        <v>#REF!</v>
      </c>
      <c r="D758" s="779">
        <f>цены!$F$104</f>
        <v>140</v>
      </c>
      <c r="E758" s="812" t="e">
        <f t="shared" si="491"/>
        <v>#REF!</v>
      </c>
      <c r="F758" s="710" t="e">
        <f>#REF!+#REF!+#REF!+#REF!+#REF!+#REF!+#REF!+#REF!+#REF!+#REF!</f>
        <v>#REF!</v>
      </c>
      <c r="G758" s="119" t="e">
        <f>#REF!+#REF!+#REF!+#REF!+#REF!+#REF!+#REF!+#REF!+#REF!+#REF!</f>
        <v>#REF!</v>
      </c>
      <c r="H758" s="1256"/>
      <c r="I758" s="659"/>
      <c r="EZ758" s="675"/>
      <c r="FA758" s="1049"/>
      <c r="FB758" s="1049"/>
      <c r="FC758" s="1049"/>
      <c r="FD758" s="1049"/>
      <c r="FE758" s="1049"/>
      <c r="FF758" s="1049"/>
      <c r="FG758" s="1049"/>
      <c r="FH758" s="1049"/>
      <c r="FI758" s="1049"/>
      <c r="FJ758" s="1049"/>
      <c r="FK758" s="1049"/>
      <c r="FL758" s="1049"/>
    </row>
    <row r="759" spans="1:168" s="1034" customFormat="1" x14ac:dyDescent="0.25">
      <c r="A759" s="133">
        <v>93</v>
      </c>
      <c r="B759" s="770" t="str">
        <f>CX14</f>
        <v>Джем абрикосовый (клубничный и др)</v>
      </c>
      <c r="C759" s="710" t="e">
        <f>#REF!+#REF!++#REF!++#REF!+#REF!+#REF!+#REF!+#REF!++#REF!+#REF!</f>
        <v>#REF!</v>
      </c>
      <c r="D759" s="779">
        <f>цены!$F$105</f>
        <v>160</v>
      </c>
      <c r="E759" s="812" t="e">
        <f t="shared" si="491"/>
        <v>#REF!</v>
      </c>
      <c r="F759" s="710" t="e">
        <f>#REF!+#REF!+#REF!+#REF!+#REF!+#REF!+#REF!+#REF!+#REF!+#REF!</f>
        <v>#REF!</v>
      </c>
      <c r="G759" s="119" t="e">
        <f>#REF!+#REF!+#REF!+#REF!+#REF!+#REF!+#REF!+#REF!+#REF!+#REF!</f>
        <v>#REF!</v>
      </c>
      <c r="H759" s="1256"/>
      <c r="I759" s="659"/>
      <c r="EZ759" s="675"/>
      <c r="FA759" s="1049"/>
      <c r="FB759" s="1049"/>
      <c r="FC759" s="1049"/>
      <c r="FD759" s="1049"/>
      <c r="FE759" s="1049"/>
      <c r="FF759" s="1049"/>
      <c r="FG759" s="1049"/>
      <c r="FH759" s="1049"/>
      <c r="FI759" s="1049"/>
      <c r="FJ759" s="1049"/>
      <c r="FK759" s="1049"/>
      <c r="FL759" s="1049"/>
    </row>
    <row r="760" spans="1:168" s="1034" customFormat="1" x14ac:dyDescent="0.25">
      <c r="A760" s="133">
        <v>94</v>
      </c>
      <c r="B760" s="770" t="str">
        <f>CY14</f>
        <v>Варенье (абрикосовое)</v>
      </c>
      <c r="C760" s="710" t="e">
        <f>#REF!+#REF!++#REF!++#REF!+#REF!+#REF!+#REF!+#REF!++#REF!+#REF!</f>
        <v>#REF!</v>
      </c>
      <c r="D760" s="779">
        <f>цены!$F$106</f>
        <v>400</v>
      </c>
      <c r="E760" s="812" t="e">
        <f t="shared" si="491"/>
        <v>#REF!</v>
      </c>
      <c r="F760" s="710" t="e">
        <f>#REF!+#REF!+#REF!+#REF!+#REF!+#REF!+#REF!+#REF!+#REF!+#REF!</f>
        <v>#REF!</v>
      </c>
      <c r="G760" s="119" t="e">
        <f>#REF!+#REF!+#REF!+#REF!+#REF!+#REF!+#REF!+#REF!+#REF!+#REF!</f>
        <v>#REF!</v>
      </c>
      <c r="H760" s="1256"/>
      <c r="I760" s="659"/>
      <c r="EZ760" s="675"/>
      <c r="FA760" s="1049"/>
      <c r="FB760" s="1049"/>
      <c r="FC760" s="1049"/>
      <c r="FD760" s="1049"/>
      <c r="FE760" s="1049"/>
      <c r="FF760" s="1049"/>
      <c r="FG760" s="1049"/>
      <c r="FH760" s="1049"/>
      <c r="FI760" s="1049"/>
      <c r="FJ760" s="1049"/>
      <c r="FK760" s="1049"/>
      <c r="FL760" s="1049"/>
    </row>
    <row r="761" spans="1:168" s="1034" customFormat="1" x14ac:dyDescent="0.25">
      <c r="A761" s="133">
        <v>95</v>
      </c>
      <c r="B761" s="770" t="str">
        <f>CZ14</f>
        <v>Сахар белый свекловичный</v>
      </c>
      <c r="C761" s="710" t="e">
        <f>#REF!+#REF!++#REF!++#REF!+#REF!+#REF!+#REF!+#REF!++#REF!+#REF!</f>
        <v>#REF!</v>
      </c>
      <c r="D761" s="779">
        <f>цены!$F$107</f>
        <v>76</v>
      </c>
      <c r="E761" s="812" t="e">
        <f t="shared" si="491"/>
        <v>#REF!</v>
      </c>
      <c r="F761" s="710" t="e">
        <f>#REF!+#REF!+#REF!+#REF!+#REF!+#REF!+#REF!+#REF!+#REF!+#REF!</f>
        <v>#REF!</v>
      </c>
      <c r="G761" s="119" t="e">
        <f>#REF!+#REF!+#REF!+#REF!+#REF!+#REF!+#REF!+#REF!+#REF!+#REF!</f>
        <v>#REF!</v>
      </c>
      <c r="H761" s="1256"/>
      <c r="I761" s="659"/>
      <c r="EZ761" s="675"/>
      <c r="FA761" s="1049"/>
      <c r="FB761" s="1049"/>
      <c r="FC761" s="1049"/>
      <c r="FD761" s="1049"/>
      <c r="FE761" s="1049"/>
      <c r="FF761" s="1049"/>
      <c r="FG761" s="1049"/>
      <c r="FH761" s="1049"/>
      <c r="FI761" s="1049"/>
      <c r="FJ761" s="1049"/>
      <c r="FK761" s="1049"/>
      <c r="FL761" s="1049"/>
    </row>
    <row r="762" spans="1:168" s="1034" customFormat="1" x14ac:dyDescent="0.25">
      <c r="A762" s="133">
        <v>96</v>
      </c>
      <c r="B762" s="770" t="str">
        <f>DA14</f>
        <v xml:space="preserve">Пудра рафинированная сахарная </v>
      </c>
      <c r="C762" s="710" t="e">
        <f>#REF!+#REF!++#REF!++#REF!+#REF!+#REF!+#REF!+#REF!++#REF!+#REF!</f>
        <v>#REF!</v>
      </c>
      <c r="D762" s="779">
        <f>цены!$F$108</f>
        <v>140</v>
      </c>
      <c r="E762" s="812" t="e">
        <f t="shared" si="491"/>
        <v>#REF!</v>
      </c>
      <c r="F762" s="710" t="e">
        <f>#REF!+#REF!+#REF!+#REF!+#REF!+#REF!+#REF!+#REF!+#REF!+#REF!</f>
        <v>#REF!</v>
      </c>
      <c r="G762" s="119" t="e">
        <f>#REF!+#REF!+#REF!+#REF!+#REF!+#REF!+#REF!+#REF!+#REF!+#REF!</f>
        <v>#REF!</v>
      </c>
      <c r="H762" s="1256"/>
      <c r="I762" s="659"/>
      <c r="EZ762" s="675"/>
      <c r="FA762" s="1049"/>
      <c r="FB762" s="1049"/>
      <c r="FC762" s="1049"/>
      <c r="FD762" s="1049"/>
      <c r="FE762" s="1049"/>
      <c r="FF762" s="1049"/>
      <c r="FG762" s="1049"/>
      <c r="FH762" s="1049"/>
      <c r="FI762" s="1049"/>
      <c r="FJ762" s="1049"/>
      <c r="FK762" s="1049"/>
      <c r="FL762" s="1049"/>
    </row>
    <row r="763" spans="1:168" s="1034" customFormat="1" x14ac:dyDescent="0.25">
      <c r="A763" s="133">
        <v>97</v>
      </c>
      <c r="B763" s="770" t="str">
        <f>DB14</f>
        <v>Сок натуральный фруктовый с сахаром (3л.)</v>
      </c>
      <c r="C763" s="710" t="e">
        <f>#REF!+#REF!++#REF!++#REF!+#REF!+#REF!+#REF!+#REF!++#REF!+#REF!</f>
        <v>#REF!</v>
      </c>
      <c r="D763" s="779">
        <f>цены!$F$109</f>
        <v>39</v>
      </c>
      <c r="E763" s="812" t="e">
        <f t="shared" si="491"/>
        <v>#REF!</v>
      </c>
      <c r="F763" s="710" t="e">
        <f>#REF!+#REF!+#REF!+#REF!+#REF!+#REF!+#REF!+#REF!+#REF!+#REF!</f>
        <v>#REF!</v>
      </c>
      <c r="G763" s="119" t="e">
        <f>#REF!+#REF!+#REF!+#REF!+#REF!+#REF!+#REF!+#REF!+#REF!+#REF!</f>
        <v>#REF!</v>
      </c>
      <c r="H763" s="1256"/>
      <c r="I763" s="659"/>
      <c r="EZ763" s="675"/>
      <c r="FA763" s="1049"/>
      <c r="FB763" s="1049"/>
      <c r="FC763" s="1049"/>
      <c r="FD763" s="1049"/>
      <c r="FE763" s="1049"/>
      <c r="FF763" s="1049"/>
      <c r="FG763" s="1049"/>
      <c r="FH763" s="1049"/>
      <c r="FI763" s="1049"/>
      <c r="FJ763" s="1049"/>
      <c r="FK763" s="1049"/>
      <c r="FL763" s="1049"/>
    </row>
    <row r="764" spans="1:168" s="1034" customFormat="1" x14ac:dyDescent="0.25">
      <c r="A764" s="133">
        <v>98</v>
      </c>
      <c r="B764" s="770" t="str">
        <f>DC14</f>
        <v>Соль йодированная</v>
      </c>
      <c r="C764" s="710" t="e">
        <f>#REF!+#REF!++#REF!++#REF!+#REF!+#REF!+#REF!+#REF!++#REF!+#REF!</f>
        <v>#REF!</v>
      </c>
      <c r="D764" s="779">
        <f>цены!$F$110</f>
        <v>24</v>
      </c>
      <c r="E764" s="812" t="e">
        <f t="shared" si="491"/>
        <v>#REF!</v>
      </c>
      <c r="F764" s="710" t="e">
        <f>#REF!+#REF!+#REF!+#REF!+#REF!+#REF!+#REF!+#REF!+#REF!+#REF!</f>
        <v>#REF!</v>
      </c>
      <c r="G764" s="119" t="e">
        <f>#REF!+#REF!+#REF!+#REF!+#REF!+#REF!+#REF!+#REF!+#REF!+#REF!</f>
        <v>#REF!</v>
      </c>
      <c r="H764" s="1256"/>
      <c r="I764" s="659"/>
      <c r="EZ764" s="675"/>
      <c r="FA764" s="1049"/>
      <c r="FB764" s="1049"/>
      <c r="FC764" s="1049"/>
      <c r="FD764" s="1049"/>
      <c r="FE764" s="1049"/>
      <c r="FF764" s="1049"/>
      <c r="FG764" s="1049"/>
      <c r="FH764" s="1049"/>
      <c r="FI764" s="1049"/>
      <c r="FJ764" s="1049"/>
      <c r="FK764" s="1049"/>
      <c r="FL764" s="1049"/>
    </row>
    <row r="765" spans="1:168" s="1034" customFormat="1" x14ac:dyDescent="0.25">
      <c r="A765" s="133">
        <v>99</v>
      </c>
      <c r="B765" s="770" t="str">
        <f>DD14</f>
        <v>Сухари панировочные</v>
      </c>
      <c r="C765" s="710" t="e">
        <f>#REF!+#REF!++#REF!++#REF!+#REF!+#REF!+#REF!+#REF!++#REF!+#REF!</f>
        <v>#REF!</v>
      </c>
      <c r="D765" s="779">
        <f>цены!$F$111</f>
        <v>118</v>
      </c>
      <c r="E765" s="812" t="e">
        <f t="shared" si="491"/>
        <v>#REF!</v>
      </c>
      <c r="F765" s="710" t="e">
        <f>#REF!+#REF!+#REF!+#REF!+#REF!+#REF!+#REF!+#REF!+#REF!+#REF!</f>
        <v>#REF!</v>
      </c>
      <c r="G765" s="119" t="e">
        <f>#REF!+#REF!+#REF!+#REF!+#REF!+#REF!+#REF!+#REF!+#REF!+#REF!</f>
        <v>#REF!</v>
      </c>
      <c r="H765" s="1256"/>
      <c r="I765" s="659"/>
      <c r="EZ765" s="675"/>
      <c r="FA765" s="1049"/>
      <c r="FB765" s="1049"/>
      <c r="FC765" s="1049"/>
      <c r="FD765" s="1049"/>
      <c r="FE765" s="1049"/>
      <c r="FF765" s="1049"/>
      <c r="FG765" s="1049"/>
      <c r="FH765" s="1049"/>
      <c r="FI765" s="1049"/>
      <c r="FJ765" s="1049"/>
      <c r="FK765" s="1049"/>
      <c r="FL765" s="1049"/>
    </row>
    <row r="766" spans="1:168" s="1034" customFormat="1" x14ac:dyDescent="0.25">
      <c r="A766" s="133">
        <v>100</v>
      </c>
      <c r="B766" s="770" t="str">
        <f>DE14</f>
        <v>Смеси сушеных фруктов</v>
      </c>
      <c r="C766" s="710" t="e">
        <f>#REF!+#REF!++#REF!++#REF!+#REF!+#REF!+#REF!+#REF!++#REF!+#REF!</f>
        <v>#REF!</v>
      </c>
      <c r="D766" s="779">
        <f>цены!$F$112</f>
        <v>130</v>
      </c>
      <c r="E766" s="812" t="e">
        <f t="shared" si="491"/>
        <v>#REF!</v>
      </c>
      <c r="F766" s="710" t="e">
        <f>#REF!+#REF!+#REF!+#REF!+#REF!+#REF!+#REF!+#REF!+#REF!+#REF!</f>
        <v>#REF!</v>
      </c>
      <c r="G766" s="119" t="e">
        <f>#REF!+#REF!+#REF!+#REF!+#REF!+#REF!+#REF!+#REF!+#REF!+#REF!</f>
        <v>#REF!</v>
      </c>
      <c r="H766" s="1256"/>
      <c r="I766" s="659"/>
      <c r="EZ766" s="675"/>
      <c r="FA766" s="1049"/>
      <c r="FB766" s="1049"/>
      <c r="FC766" s="1049"/>
      <c r="FD766" s="1049"/>
      <c r="FE766" s="1049"/>
      <c r="FF766" s="1049"/>
      <c r="FG766" s="1049"/>
      <c r="FH766" s="1049"/>
      <c r="FI766" s="1049"/>
      <c r="FJ766" s="1049"/>
      <c r="FK766" s="1049"/>
      <c r="FL766" s="1049"/>
    </row>
    <row r="767" spans="1:168" s="1034" customFormat="1" x14ac:dyDescent="0.25">
      <c r="A767" s="133">
        <v>101</v>
      </c>
      <c r="B767" s="770" t="str">
        <f>DF14</f>
        <v>Пюре томатное концентрированное</v>
      </c>
      <c r="C767" s="710" t="e">
        <f>#REF!+#REF!++#REF!++#REF!+#REF!+#REF!+#REF!+#REF!++#REF!+#REF!</f>
        <v>#REF!</v>
      </c>
      <c r="D767" s="779">
        <f>цены!$F$113</f>
        <v>230</v>
      </c>
      <c r="E767" s="812" t="e">
        <f t="shared" si="491"/>
        <v>#REF!</v>
      </c>
      <c r="F767" s="710" t="e">
        <f>#REF!+#REF!+#REF!+#REF!+#REF!+#REF!+#REF!+#REF!+#REF!+#REF!</f>
        <v>#REF!</v>
      </c>
      <c r="G767" s="119" t="e">
        <f>#REF!+#REF!+#REF!+#REF!+#REF!+#REF!+#REF!+#REF!+#REF!+#REF!</f>
        <v>#REF!</v>
      </c>
      <c r="H767" s="1256"/>
      <c r="I767" s="659"/>
      <c r="EZ767" s="675"/>
      <c r="FA767" s="1049"/>
      <c r="FB767" s="1049"/>
      <c r="FC767" s="1049"/>
      <c r="FD767" s="1049"/>
      <c r="FE767" s="1049"/>
      <c r="FF767" s="1049"/>
      <c r="FG767" s="1049"/>
      <c r="FH767" s="1049"/>
      <c r="FI767" s="1049"/>
      <c r="FJ767" s="1049"/>
      <c r="FK767" s="1049"/>
      <c r="FL767" s="1049"/>
    </row>
    <row r="768" spans="1:168" s="1034" customFormat="1" x14ac:dyDescent="0.25">
      <c r="A768" s="133">
        <v>102</v>
      </c>
      <c r="B768" s="770" t="str">
        <f>DG14</f>
        <v>Икра кабачковая</v>
      </c>
      <c r="C768" s="710" t="e">
        <f>#REF!+#REF!++#REF!++#REF!+#REF!+#REF!+#REF!+#REF!++#REF!+#REF!</f>
        <v>#REF!</v>
      </c>
      <c r="D768" s="779">
        <f>цены!$F$114</f>
        <v>120</v>
      </c>
      <c r="E768" s="812" t="e">
        <f t="shared" si="491"/>
        <v>#REF!</v>
      </c>
      <c r="F768" s="710" t="e">
        <f>#REF!+#REF!+#REF!+#REF!+#REF!+#REF!+#REF!+#REF!+#REF!+#REF!</f>
        <v>#REF!</v>
      </c>
      <c r="G768" s="119" t="e">
        <f>#REF!+#REF!+#REF!+#REF!+#REF!+#REF!+#REF!+#REF!+#REF!+#REF!</f>
        <v>#REF!</v>
      </c>
      <c r="H768" s="1256"/>
      <c r="I768" s="659"/>
      <c r="EZ768" s="675"/>
      <c r="FA768" s="1049"/>
      <c r="FB768" s="1049"/>
      <c r="FC768" s="1049"/>
      <c r="FD768" s="1049"/>
      <c r="FE768" s="1049"/>
      <c r="FF768" s="1049"/>
      <c r="FG768" s="1049"/>
      <c r="FH768" s="1049"/>
      <c r="FI768" s="1049"/>
      <c r="FJ768" s="1049"/>
      <c r="FK768" s="1049"/>
      <c r="FL768" s="1049"/>
    </row>
    <row r="769" spans="1:168" s="1034" customFormat="1" x14ac:dyDescent="0.25">
      <c r="A769" s="133">
        <v>103</v>
      </c>
      <c r="B769" s="770" t="str">
        <f>DH14</f>
        <v>Плоды шиповника сушеные</v>
      </c>
      <c r="C769" s="710" t="e">
        <f>#REF!+#REF!++#REF!++#REF!+#REF!+#REF!+#REF!+#REF!++#REF!+#REF!</f>
        <v>#REF!</v>
      </c>
      <c r="D769" s="779">
        <f>цены!$F$115</f>
        <v>100</v>
      </c>
      <c r="E769" s="812" t="e">
        <f t="shared" si="491"/>
        <v>#REF!</v>
      </c>
      <c r="F769" s="710" t="e">
        <f>#REF!+#REF!+#REF!+#REF!+#REF!+#REF!+#REF!+#REF!+#REF!+#REF!</f>
        <v>#REF!</v>
      </c>
      <c r="G769" s="119" t="e">
        <f>#REF!+#REF!+#REF!+#REF!+#REF!+#REF!+#REF!+#REF!+#REF!+#REF!</f>
        <v>#REF!</v>
      </c>
      <c r="H769" s="1256"/>
      <c r="I769" s="659"/>
      <c r="EZ769" s="675"/>
      <c r="FA769" s="1049"/>
      <c r="FB769" s="1049"/>
      <c r="FC769" s="1049"/>
      <c r="FD769" s="1049"/>
      <c r="FE769" s="1049"/>
      <c r="FF769" s="1049"/>
      <c r="FG769" s="1049"/>
      <c r="FH769" s="1049"/>
      <c r="FI769" s="1049"/>
      <c r="FJ769" s="1049"/>
      <c r="FK769" s="1049"/>
      <c r="FL769" s="1049"/>
    </row>
    <row r="770" spans="1:168" s="1034" customFormat="1" x14ac:dyDescent="0.25">
      <c r="A770" s="133">
        <v>104</v>
      </c>
      <c r="B770" s="770" t="str">
        <f>DI14</f>
        <v>Разрыхлитель (аммоний углекислый)</v>
      </c>
      <c r="C770" s="710" t="e">
        <f>#REF!+#REF!++#REF!++#REF!+#REF!+#REF!+#REF!+#REF!++#REF!+#REF!</f>
        <v>#REF!</v>
      </c>
      <c r="D770" s="779">
        <f>цены!$F$116</f>
        <v>2000</v>
      </c>
      <c r="E770" s="812" t="e">
        <f t="shared" si="491"/>
        <v>#REF!</v>
      </c>
      <c r="F770" s="710" t="e">
        <f>#REF!+#REF!+#REF!+#REF!+#REF!+#REF!+#REF!+#REF!+#REF!+#REF!</f>
        <v>#REF!</v>
      </c>
      <c r="G770" s="119" t="e">
        <f>#REF!+#REF!+#REF!+#REF!+#REF!+#REF!+#REF!+#REF!+#REF!+#REF!</f>
        <v>#REF!</v>
      </c>
      <c r="H770" s="1256"/>
      <c r="I770" s="659"/>
      <c r="EZ770" s="675"/>
      <c r="FA770" s="1049"/>
      <c r="FB770" s="1049"/>
      <c r="FC770" s="1049"/>
      <c r="FD770" s="1049"/>
      <c r="FE770" s="1049"/>
      <c r="FF770" s="1049"/>
      <c r="FG770" s="1049"/>
      <c r="FH770" s="1049"/>
      <c r="FI770" s="1049"/>
      <c r="FJ770" s="1049"/>
      <c r="FK770" s="1049"/>
      <c r="FL770" s="1049"/>
    </row>
    <row r="771" spans="1:168" s="1034" customFormat="1" x14ac:dyDescent="0.25">
      <c r="A771" s="133">
        <v>105</v>
      </c>
      <c r="B771" s="770" t="str">
        <f>DJ14</f>
        <v>Корица молотая</v>
      </c>
      <c r="C771" s="710" t="e">
        <f>#REF!+#REF!++#REF!++#REF!+#REF!+#REF!+#REF!+#REF!++#REF!+#REF!</f>
        <v>#REF!</v>
      </c>
      <c r="D771" s="779">
        <f>цены!$F$117</f>
        <v>1210</v>
      </c>
      <c r="E771" s="812" t="e">
        <f t="shared" si="491"/>
        <v>#REF!</v>
      </c>
      <c r="F771" s="710" t="e">
        <f>#REF!+#REF!+#REF!+#REF!+#REF!+#REF!+#REF!+#REF!+#REF!+#REF!</f>
        <v>#REF!</v>
      </c>
      <c r="G771" s="119" t="e">
        <f>#REF!+#REF!+#REF!+#REF!+#REF!+#REF!+#REF!+#REF!+#REF!+#REF!</f>
        <v>#REF!</v>
      </c>
      <c r="H771" s="1256"/>
      <c r="I771" s="659"/>
      <c r="EZ771" s="675"/>
      <c r="FA771" s="1049"/>
      <c r="FB771" s="1049"/>
      <c r="FC771" s="1049"/>
      <c r="FD771" s="1049"/>
      <c r="FE771" s="1049"/>
      <c r="FF771" s="1049"/>
      <c r="FG771" s="1049"/>
      <c r="FH771" s="1049"/>
      <c r="FI771" s="1049"/>
      <c r="FJ771" s="1049"/>
      <c r="FK771" s="1049"/>
      <c r="FL771" s="1049"/>
    </row>
    <row r="772" spans="1:168" s="1034" customFormat="1" x14ac:dyDescent="0.25">
      <c r="A772" s="133">
        <v>106</v>
      </c>
      <c r="B772" s="770" t="str">
        <f>DK14</f>
        <v>Пряности обработанные прочие</v>
      </c>
      <c r="C772" s="710" t="e">
        <f>#REF!+#REF!++#REF!++#REF!+#REF!+#REF!+#REF!+#REF!++#REF!+#REF!</f>
        <v>#REF!</v>
      </c>
      <c r="D772" s="779">
        <f>цены!$F$118</f>
        <v>1420</v>
      </c>
      <c r="E772" s="812" t="e">
        <f t="shared" si="491"/>
        <v>#REF!</v>
      </c>
      <c r="F772" s="710" t="e">
        <f>#REF!+#REF!+#REF!+#REF!+#REF!+#REF!+#REF!+#REF!+#REF!+#REF!</f>
        <v>#REF!</v>
      </c>
      <c r="G772" s="119" t="e">
        <f>#REF!+#REF!+#REF!+#REF!+#REF!+#REF!+#REF!+#REF!+#REF!+#REF!</f>
        <v>#REF!</v>
      </c>
      <c r="H772" s="1256"/>
      <c r="I772" s="659"/>
      <c r="EZ772" s="675"/>
      <c r="FA772" s="1049"/>
      <c r="FB772" s="1049"/>
      <c r="FC772" s="1049"/>
      <c r="FD772" s="1049"/>
      <c r="FE772" s="1049"/>
      <c r="FF772" s="1049"/>
      <c r="FG772" s="1049"/>
      <c r="FH772" s="1049"/>
      <c r="FI772" s="1049"/>
      <c r="FJ772" s="1049"/>
      <c r="FK772" s="1049"/>
      <c r="FL772" s="1049"/>
    </row>
    <row r="773" spans="1:168" s="1034" customFormat="1" x14ac:dyDescent="0.25">
      <c r="A773" s="133">
        <v>107</v>
      </c>
      <c r="B773" s="770" t="str">
        <f>DL14</f>
        <v>Горох</v>
      </c>
      <c r="C773" s="710" t="e">
        <f>#REF!+#REF!++#REF!++#REF!+#REF!+#REF!+#REF!+#REF!++#REF!+#REF!</f>
        <v>#REF!</v>
      </c>
      <c r="D773" s="779">
        <f>цены!$F$119</f>
        <v>50</v>
      </c>
      <c r="E773" s="812" t="e">
        <f t="shared" si="491"/>
        <v>#REF!</v>
      </c>
      <c r="F773" s="710" t="e">
        <f>#REF!+#REF!+#REF!+#REF!+#REF!+#REF!+#REF!+#REF!+#REF!+#REF!</f>
        <v>#REF!</v>
      </c>
      <c r="G773" s="119" t="e">
        <f>#REF!+#REF!+#REF!+#REF!+#REF!+#REF!+#REF!+#REF!+#REF!+#REF!</f>
        <v>#REF!</v>
      </c>
      <c r="H773" s="1256"/>
      <c r="I773" s="659"/>
      <c r="EZ773" s="675"/>
      <c r="FA773" s="1049"/>
      <c r="FB773" s="1049"/>
      <c r="FC773" s="1049"/>
      <c r="FD773" s="1049"/>
      <c r="FE773" s="1049"/>
      <c r="FF773" s="1049"/>
      <c r="FG773" s="1049"/>
      <c r="FH773" s="1049"/>
      <c r="FI773" s="1049"/>
      <c r="FJ773" s="1049"/>
      <c r="FK773" s="1049"/>
      <c r="FL773" s="1049"/>
    </row>
    <row r="774" spans="1:168" s="1034" customFormat="1" x14ac:dyDescent="0.25">
      <c r="A774" s="133">
        <v>108</v>
      </c>
      <c r="B774" s="770" t="str">
        <f>DM14</f>
        <v>Фасоль</v>
      </c>
      <c r="C774" s="710" t="e">
        <f>#REF!+#REF!++#REF!++#REF!+#REF!+#REF!+#REF!+#REF!++#REF!+#REF!</f>
        <v>#REF!</v>
      </c>
      <c r="D774" s="779">
        <f>цены!$F$120</f>
        <v>180</v>
      </c>
      <c r="E774" s="812" t="e">
        <f t="shared" si="491"/>
        <v>#REF!</v>
      </c>
      <c r="F774" s="710" t="e">
        <f>#REF!+#REF!+#REF!+#REF!+#REF!+#REF!+#REF!+#REF!+#REF!+#REF!</f>
        <v>#REF!</v>
      </c>
      <c r="G774" s="119" t="e">
        <f>#REF!+#REF!+#REF!+#REF!+#REF!+#REF!+#REF!+#REF!+#REF!+#REF!</f>
        <v>#REF!</v>
      </c>
      <c r="H774" s="1256"/>
      <c r="I774" s="659"/>
      <c r="EZ774" s="675"/>
      <c r="FA774" s="1049"/>
      <c r="FB774" s="1049"/>
      <c r="FC774" s="1049"/>
      <c r="FD774" s="1049"/>
      <c r="FE774" s="1049"/>
      <c r="FF774" s="1049"/>
      <c r="FG774" s="1049"/>
      <c r="FH774" s="1049"/>
      <c r="FI774" s="1049"/>
      <c r="FJ774" s="1049"/>
      <c r="FK774" s="1049"/>
      <c r="FL774" s="1049"/>
    </row>
    <row r="775" spans="1:168" s="1034" customFormat="1" x14ac:dyDescent="0.25">
      <c r="A775" s="133">
        <v>109</v>
      </c>
      <c r="B775" s="770" t="str">
        <f>DN14</f>
        <v>Чечевица</v>
      </c>
      <c r="C775" s="710" t="e">
        <f>#REF!+#REF!++#REF!++#REF!+#REF!+#REF!+#REF!+#REF!++#REF!+#REF!</f>
        <v>#REF!</v>
      </c>
      <c r="D775" s="779">
        <f>цены!$F$121</f>
        <v>125</v>
      </c>
      <c r="E775" s="812" t="e">
        <f t="shared" si="491"/>
        <v>#REF!</v>
      </c>
      <c r="F775" s="710" t="e">
        <f>#REF!+#REF!+#REF!+#REF!+#REF!+#REF!+#REF!+#REF!+#REF!+#REF!</f>
        <v>#REF!</v>
      </c>
      <c r="G775" s="119" t="e">
        <f>#REF!+#REF!+#REF!+#REF!+#REF!+#REF!+#REF!+#REF!+#REF!+#REF!</f>
        <v>#REF!</v>
      </c>
      <c r="H775" s="1256"/>
      <c r="I775" s="659"/>
      <c r="EZ775" s="675"/>
      <c r="FA775" s="1049"/>
      <c r="FB775" s="1049"/>
      <c r="FC775" s="1049"/>
      <c r="FD775" s="1049"/>
      <c r="FE775" s="1049"/>
      <c r="FF775" s="1049"/>
      <c r="FG775" s="1049"/>
      <c r="FH775" s="1049"/>
      <c r="FI775" s="1049"/>
      <c r="FJ775" s="1049"/>
      <c r="FK775" s="1049"/>
      <c r="FL775" s="1049"/>
    </row>
    <row r="776" spans="1:168" s="1034" customFormat="1" x14ac:dyDescent="0.25">
      <c r="A776" s="133">
        <v>110</v>
      </c>
      <c r="B776" s="770" t="str">
        <f>DO14</f>
        <v>Курага</v>
      </c>
      <c r="C776" s="710" t="e">
        <f>#REF!+#REF!++#REF!++#REF!+#REF!+#REF!+#REF!+#REF!++#REF!+#REF!</f>
        <v>#REF!</v>
      </c>
      <c r="D776" s="779">
        <f>цены!$F$122</f>
        <v>250</v>
      </c>
      <c r="E776" s="812" t="e">
        <f t="shared" si="491"/>
        <v>#REF!</v>
      </c>
      <c r="F776" s="710" t="e">
        <f>#REF!+#REF!+#REF!+#REF!+#REF!+#REF!+#REF!+#REF!+#REF!+#REF!</f>
        <v>#REF!</v>
      </c>
      <c r="G776" s="119" t="e">
        <f>#REF!+#REF!+#REF!+#REF!+#REF!+#REF!+#REF!+#REF!+#REF!+#REF!</f>
        <v>#REF!</v>
      </c>
      <c r="H776" s="1256"/>
      <c r="I776" s="659"/>
      <c r="EZ776" s="675"/>
      <c r="FA776" s="1049"/>
      <c r="FB776" s="1049"/>
      <c r="FC776" s="1049"/>
      <c r="FD776" s="1049"/>
      <c r="FE776" s="1049"/>
      <c r="FF776" s="1049"/>
      <c r="FG776" s="1049"/>
      <c r="FH776" s="1049"/>
      <c r="FI776" s="1049"/>
      <c r="FJ776" s="1049"/>
      <c r="FK776" s="1049"/>
      <c r="FL776" s="1049"/>
    </row>
    <row r="777" spans="1:168" s="1034" customFormat="1" x14ac:dyDescent="0.25">
      <c r="A777" s="133">
        <v>111</v>
      </c>
      <c r="B777" s="770" t="str">
        <f>DP14</f>
        <v>Финики</v>
      </c>
      <c r="C777" s="710" t="e">
        <f>#REF!+#REF!++#REF!++#REF!+#REF!+#REF!+#REF!+#REF!++#REF!+#REF!</f>
        <v>#REF!</v>
      </c>
      <c r="D777" s="779">
        <f>цены!$F$123</f>
        <v>250</v>
      </c>
      <c r="E777" s="812" t="e">
        <f t="shared" si="491"/>
        <v>#REF!</v>
      </c>
      <c r="F777" s="710" t="e">
        <f>#REF!+#REF!+#REF!+#REF!+#REF!+#REF!+#REF!+#REF!+#REF!+#REF!</f>
        <v>#REF!</v>
      </c>
      <c r="G777" s="119" t="e">
        <f>#REF!+#REF!+#REF!+#REF!+#REF!+#REF!+#REF!+#REF!+#REF!+#REF!</f>
        <v>#REF!</v>
      </c>
      <c r="H777" s="1256"/>
      <c r="I777" s="659"/>
      <c r="EZ777" s="675"/>
      <c r="FA777" s="1049"/>
      <c r="FB777" s="1049"/>
      <c r="FC777" s="1049"/>
      <c r="FD777" s="1049"/>
      <c r="FE777" s="1049"/>
      <c r="FF777" s="1049"/>
      <c r="FG777" s="1049"/>
      <c r="FH777" s="1049"/>
      <c r="FI777" s="1049"/>
      <c r="FJ777" s="1049"/>
      <c r="FK777" s="1049"/>
      <c r="FL777" s="1049"/>
    </row>
    <row r="778" spans="1:168" s="1034" customFormat="1" x14ac:dyDescent="0.25">
      <c r="A778" s="133">
        <v>112</v>
      </c>
      <c r="B778" s="770" t="str">
        <f>DQ14</f>
        <v>Орех грецкий</v>
      </c>
      <c r="C778" s="710" t="e">
        <f>#REF!+#REF!++#REF!++#REF!+#REF!+#REF!+#REF!+#REF!++#REF!+#REF!</f>
        <v>#REF!</v>
      </c>
      <c r="D778" s="779">
        <f>цены!$F$124</f>
        <v>250</v>
      </c>
      <c r="E778" s="812" t="e">
        <f t="shared" si="491"/>
        <v>#REF!</v>
      </c>
      <c r="F778" s="710" t="e">
        <f>#REF!+#REF!+#REF!+#REF!+#REF!+#REF!+#REF!+#REF!+#REF!+#REF!</f>
        <v>#REF!</v>
      </c>
      <c r="G778" s="119" t="e">
        <f>#REF!+#REF!+#REF!+#REF!+#REF!+#REF!+#REF!+#REF!+#REF!+#REF!</f>
        <v>#REF!</v>
      </c>
      <c r="H778" s="1256"/>
      <c r="I778" s="659"/>
      <c r="EZ778" s="675"/>
      <c r="FA778" s="1049"/>
      <c r="FB778" s="1049"/>
      <c r="FC778" s="1049"/>
      <c r="FD778" s="1049"/>
      <c r="FE778" s="1049"/>
      <c r="FF778" s="1049"/>
      <c r="FG778" s="1049"/>
      <c r="FH778" s="1049"/>
      <c r="FI778" s="1049"/>
      <c r="FJ778" s="1049"/>
      <c r="FK778" s="1049"/>
      <c r="FL778" s="1049"/>
    </row>
    <row r="779" spans="1:168" s="1034" customFormat="1" x14ac:dyDescent="0.25">
      <c r="A779" s="133">
        <v>113</v>
      </c>
      <c r="B779" s="770" t="str">
        <f>DR14</f>
        <v>Чай черный байховый высшего сорта</v>
      </c>
      <c r="C779" s="710" t="e">
        <f>#REF!+#REF!++#REF!++#REF!+#REF!+#REF!+#REF!+#REF!++#REF!+#REF!</f>
        <v>#REF!</v>
      </c>
      <c r="D779" s="779">
        <f>цены!$F$125</f>
        <v>900</v>
      </c>
      <c r="E779" s="812" t="e">
        <f t="shared" si="491"/>
        <v>#REF!</v>
      </c>
      <c r="F779" s="710" t="e">
        <f>#REF!+#REF!+#REF!+#REF!+#REF!+#REF!+#REF!+#REF!+#REF!+#REF!</f>
        <v>#REF!</v>
      </c>
      <c r="G779" s="119" t="e">
        <f>#REF!+#REF!+#REF!+#REF!+#REF!+#REF!+#REF!+#REF!+#REF!+#REF!</f>
        <v>#REF!</v>
      </c>
      <c r="H779" s="1256"/>
      <c r="I779" s="659"/>
      <c r="EZ779" s="675"/>
      <c r="FA779" s="1049"/>
      <c r="FB779" s="1049"/>
      <c r="FC779" s="1049"/>
      <c r="FD779" s="1049"/>
      <c r="FE779" s="1049"/>
      <c r="FF779" s="1049"/>
      <c r="FG779" s="1049"/>
      <c r="FH779" s="1049"/>
      <c r="FI779" s="1049"/>
      <c r="FJ779" s="1049"/>
      <c r="FK779" s="1049"/>
      <c r="FL779" s="1049"/>
    </row>
    <row r="780" spans="1:168" s="1034" customFormat="1" x14ac:dyDescent="0.25">
      <c r="A780" s="133">
        <v>114</v>
      </c>
      <c r="B780" s="770" t="str">
        <f>DS14</f>
        <v>Яблоки сушеные</v>
      </c>
      <c r="C780" s="710" t="e">
        <f>#REF!+#REF!++#REF!++#REF!+#REF!+#REF!+#REF!+#REF!++#REF!+#REF!</f>
        <v>#REF!</v>
      </c>
      <c r="D780" s="779">
        <f>цены!$F$126</f>
        <v>130</v>
      </c>
      <c r="E780" s="812" t="e">
        <f t="shared" si="491"/>
        <v>#REF!</v>
      </c>
      <c r="F780" s="710" t="e">
        <f>#REF!+#REF!+#REF!+#REF!+#REF!+#REF!+#REF!+#REF!+#REF!+#REF!</f>
        <v>#REF!</v>
      </c>
      <c r="G780" s="119" t="e">
        <f>#REF!+#REF!+#REF!+#REF!+#REF!+#REF!+#REF!+#REF!+#REF!+#REF!</f>
        <v>#REF!</v>
      </c>
      <c r="H780" s="1256"/>
      <c r="I780" s="659"/>
      <c r="EZ780" s="675"/>
      <c r="FA780" s="1049"/>
      <c r="FB780" s="1049"/>
      <c r="FC780" s="1049"/>
      <c r="FD780" s="1049"/>
      <c r="FE780" s="1049"/>
      <c r="FF780" s="1049"/>
      <c r="FG780" s="1049"/>
      <c r="FH780" s="1049"/>
      <c r="FI780" s="1049"/>
      <c r="FJ780" s="1049"/>
      <c r="FK780" s="1049"/>
      <c r="FL780" s="1049"/>
    </row>
    <row r="781" spans="1:168" s="1034" customFormat="1" ht="27.6" x14ac:dyDescent="0.25">
      <c r="A781" s="133">
        <v>115</v>
      </c>
      <c r="B781" s="770" t="str">
        <f>DT14</f>
        <v>Компот концентрированный из плодов консервированных</v>
      </c>
      <c r="C781" s="710" t="e">
        <f>#REF!+#REF!++#REF!++#REF!+#REF!+#REF!+#REF!+#REF!++#REF!+#REF!</f>
        <v>#REF!</v>
      </c>
      <c r="D781" s="779">
        <f>цены!$F$127</f>
        <v>181</v>
      </c>
      <c r="E781" s="812" t="e">
        <f t="shared" si="491"/>
        <v>#REF!</v>
      </c>
      <c r="F781" s="710" t="e">
        <f>#REF!+#REF!+#REF!+#REF!+#REF!+#REF!+#REF!+#REF!+#REF!+#REF!</f>
        <v>#REF!</v>
      </c>
      <c r="G781" s="119" t="e">
        <f>#REF!+#REF!+#REF!+#REF!+#REF!+#REF!+#REF!+#REF!+#REF!+#REF!</f>
        <v>#REF!</v>
      </c>
      <c r="H781" s="1256"/>
      <c r="I781" s="659"/>
      <c r="EZ781" s="675"/>
      <c r="FA781" s="1049"/>
      <c r="FB781" s="1049"/>
      <c r="FC781" s="1049"/>
      <c r="FD781" s="1049"/>
      <c r="FE781" s="1049"/>
      <c r="FF781" s="1049"/>
      <c r="FG781" s="1049"/>
      <c r="FH781" s="1049"/>
      <c r="FI781" s="1049"/>
      <c r="FJ781" s="1049"/>
      <c r="FK781" s="1049"/>
      <c r="FL781" s="1049"/>
    </row>
    <row r="782" spans="1:168" s="1034" customFormat="1" x14ac:dyDescent="0.25">
      <c r="A782" s="133">
        <v>116</v>
      </c>
      <c r="B782" s="770" t="str">
        <f>DU14</f>
        <v>Зеленый горошек консервированный</v>
      </c>
      <c r="C782" s="710" t="e">
        <f>#REF!+#REF!++#REF!++#REF!+#REF!+#REF!+#REF!+#REF!++#REF!+#REF!</f>
        <v>#REF!</v>
      </c>
      <c r="D782" s="779">
        <f>цены!$F$128</f>
        <v>126</v>
      </c>
      <c r="E782" s="812" t="e">
        <f t="shared" si="491"/>
        <v>#REF!</v>
      </c>
      <c r="F782" s="710" t="e">
        <f>#REF!+#REF!+#REF!+#REF!+#REF!+#REF!+#REF!+#REF!+#REF!+#REF!</f>
        <v>#REF!</v>
      </c>
      <c r="G782" s="119" t="e">
        <f>#REF!+#REF!+#REF!+#REF!+#REF!+#REF!+#REF!+#REF!+#REF!+#REF!</f>
        <v>#REF!</v>
      </c>
      <c r="H782" s="1256"/>
      <c r="I782" s="659"/>
      <c r="EZ782" s="675"/>
      <c r="FA782" s="1049"/>
      <c r="FB782" s="1049"/>
      <c r="FC782" s="1049"/>
      <c r="FD782" s="1049"/>
      <c r="FE782" s="1049"/>
      <c r="FF782" s="1049"/>
      <c r="FG782" s="1049"/>
      <c r="FH782" s="1049"/>
      <c r="FI782" s="1049"/>
      <c r="FJ782" s="1049"/>
      <c r="FK782" s="1049"/>
      <c r="FL782" s="1049"/>
    </row>
    <row r="783" spans="1:168" s="1034" customFormat="1" x14ac:dyDescent="0.25">
      <c r="A783" s="133">
        <v>117</v>
      </c>
      <c r="B783" s="770" t="str">
        <f>DV14</f>
        <v>Фасоль стручковая консервированная</v>
      </c>
      <c r="C783" s="710" t="e">
        <f>#REF!+#REF!++#REF!++#REF!+#REF!+#REF!+#REF!+#REF!++#REF!+#REF!</f>
        <v>#REF!</v>
      </c>
      <c r="D783" s="779">
        <f>цены!$F$129</f>
        <v>147</v>
      </c>
      <c r="E783" s="812" t="e">
        <f t="shared" si="491"/>
        <v>#REF!</v>
      </c>
      <c r="F783" s="710" t="e">
        <f>#REF!+#REF!+#REF!+#REF!+#REF!+#REF!+#REF!+#REF!+#REF!+#REF!</f>
        <v>#REF!</v>
      </c>
      <c r="G783" s="119" t="e">
        <f>#REF!+#REF!+#REF!+#REF!+#REF!+#REF!+#REF!+#REF!+#REF!+#REF!</f>
        <v>#REF!</v>
      </c>
      <c r="H783" s="1256"/>
      <c r="I783" s="659"/>
      <c r="EZ783" s="675"/>
      <c r="FA783" s="1049"/>
      <c r="FB783" s="1049"/>
      <c r="FC783" s="1049"/>
      <c r="FD783" s="1049"/>
      <c r="FE783" s="1049"/>
      <c r="FF783" s="1049"/>
      <c r="FG783" s="1049"/>
      <c r="FH783" s="1049"/>
      <c r="FI783" s="1049"/>
      <c r="FJ783" s="1049"/>
      <c r="FK783" s="1049"/>
      <c r="FL783" s="1049"/>
    </row>
    <row r="784" spans="1:168" s="1034" customFormat="1" x14ac:dyDescent="0.25">
      <c r="A784" s="133">
        <v>118</v>
      </c>
      <c r="B784" s="770" t="str">
        <f>DW14</f>
        <v>Кукуруза консервированная</v>
      </c>
      <c r="C784" s="710" t="e">
        <f>#REF!+#REF!++#REF!++#REF!+#REF!+#REF!+#REF!+#REF!++#REF!+#REF!</f>
        <v>#REF!</v>
      </c>
      <c r="D784" s="779">
        <f>цены!$F$130</f>
        <v>143</v>
      </c>
      <c r="E784" s="812" t="e">
        <f t="shared" si="491"/>
        <v>#REF!</v>
      </c>
      <c r="F784" s="710" t="e">
        <f>#REF!+#REF!+#REF!+#REF!+#REF!+#REF!+#REF!+#REF!+#REF!+#REF!</f>
        <v>#REF!</v>
      </c>
      <c r="G784" s="119" t="e">
        <f>#REF!+#REF!+#REF!+#REF!+#REF!+#REF!+#REF!+#REF!+#REF!+#REF!</f>
        <v>#REF!</v>
      </c>
      <c r="H784" s="1256"/>
      <c r="I784" s="659"/>
      <c r="EZ784" s="675"/>
      <c r="FA784" s="1049"/>
      <c r="FB784" s="1049"/>
      <c r="FC784" s="1049"/>
      <c r="FD784" s="1049"/>
      <c r="FE784" s="1049"/>
      <c r="FF784" s="1049"/>
      <c r="FG784" s="1049"/>
      <c r="FH784" s="1049"/>
      <c r="FI784" s="1049"/>
      <c r="FJ784" s="1049"/>
      <c r="FK784" s="1049"/>
      <c r="FL784" s="1049"/>
    </row>
    <row r="785" spans="1:168" s="1034" customFormat="1" x14ac:dyDescent="0.25">
      <c r="A785" s="133">
        <v>119</v>
      </c>
      <c r="B785" s="770" t="str">
        <f>DX14</f>
        <v>Меланж</v>
      </c>
      <c r="C785" s="710" t="e">
        <f>#REF!+#REF!++#REF!++#REF!+#REF!+#REF!+#REF!+#REF!++#REF!+#REF!</f>
        <v>#REF!</v>
      </c>
      <c r="D785" s="779">
        <f>цены!$F$131</f>
        <v>180</v>
      </c>
      <c r="E785" s="812" t="e">
        <f t="shared" si="491"/>
        <v>#REF!</v>
      </c>
      <c r="F785" s="710" t="e">
        <f>#REF!+#REF!+#REF!+#REF!+#REF!+#REF!+#REF!+#REF!+#REF!+#REF!</f>
        <v>#REF!</v>
      </c>
      <c r="G785" s="119" t="e">
        <f>#REF!+#REF!+#REF!+#REF!+#REF!+#REF!+#REF!+#REF!+#REF!+#REF!</f>
        <v>#REF!</v>
      </c>
      <c r="H785" s="1256"/>
      <c r="I785" s="659"/>
      <c r="EZ785" s="675"/>
      <c r="FA785" s="1049"/>
      <c r="FB785" s="1049"/>
      <c r="FC785" s="1049"/>
      <c r="FD785" s="1049"/>
      <c r="FE785" s="1049"/>
      <c r="FF785" s="1049"/>
      <c r="FG785" s="1049"/>
      <c r="FH785" s="1049"/>
      <c r="FI785" s="1049"/>
      <c r="FJ785" s="1049"/>
      <c r="FK785" s="1049"/>
      <c r="FL785" s="1049"/>
    </row>
    <row r="786" spans="1:168" s="1034" customFormat="1" x14ac:dyDescent="0.25">
      <c r="A786" s="133">
        <v>120</v>
      </c>
      <c r="B786" s="770" t="str">
        <f>DY14</f>
        <v>Перец черный</v>
      </c>
      <c r="C786" s="710" t="e">
        <f>#REF!+#REF!++#REF!++#REF!+#REF!+#REF!+#REF!+#REF!++#REF!+#REF!</f>
        <v>#REF!</v>
      </c>
      <c r="D786" s="779">
        <f>цены!$F$132</f>
        <v>1420</v>
      </c>
      <c r="E786" s="812" t="e">
        <f t="shared" si="491"/>
        <v>#REF!</v>
      </c>
      <c r="F786" s="710" t="e">
        <f>#REF!+#REF!+#REF!+#REF!+#REF!+#REF!+#REF!+#REF!+#REF!+#REF!</f>
        <v>#REF!</v>
      </c>
      <c r="G786" s="119" t="e">
        <f>#REF!+#REF!+#REF!+#REF!+#REF!+#REF!+#REF!+#REF!+#REF!+#REF!</f>
        <v>#REF!</v>
      </c>
      <c r="H786" s="1256"/>
      <c r="I786" s="659"/>
      <c r="EZ786" s="675"/>
      <c r="FA786" s="1049"/>
      <c r="FB786" s="1049"/>
      <c r="FC786" s="1049"/>
      <c r="FD786" s="1049"/>
      <c r="FE786" s="1049"/>
      <c r="FF786" s="1049"/>
      <c r="FG786" s="1049"/>
      <c r="FH786" s="1049"/>
      <c r="FI786" s="1049"/>
      <c r="FJ786" s="1049"/>
      <c r="FK786" s="1049"/>
      <c r="FL786" s="1049"/>
    </row>
    <row r="787" spans="1:168" s="1034" customFormat="1" x14ac:dyDescent="0.25">
      <c r="A787" s="133">
        <v>121</v>
      </c>
      <c r="B787" s="770" t="str">
        <f>DZ14</f>
        <v>Перец черный горошком</v>
      </c>
      <c r="C787" s="710" t="e">
        <f>#REF!+#REF!++#REF!++#REF!+#REF!+#REF!+#REF!+#REF!++#REF!+#REF!</f>
        <v>#REF!</v>
      </c>
      <c r="D787" s="779">
        <f>цены!$F$133</f>
        <v>1420</v>
      </c>
      <c r="E787" s="812" t="e">
        <f t="shared" si="491"/>
        <v>#REF!</v>
      </c>
      <c r="F787" s="710" t="e">
        <f>#REF!+#REF!+#REF!+#REF!+#REF!+#REF!+#REF!+#REF!+#REF!+#REF!</f>
        <v>#REF!</v>
      </c>
      <c r="G787" s="119" t="e">
        <f>#REF!+#REF!+#REF!+#REF!+#REF!+#REF!+#REF!+#REF!+#REF!+#REF!</f>
        <v>#REF!</v>
      </c>
      <c r="H787" s="1256"/>
      <c r="I787" s="659"/>
      <c r="EZ787" s="675"/>
      <c r="FA787" s="1049"/>
      <c r="FB787" s="1049"/>
      <c r="FC787" s="1049"/>
      <c r="FD787" s="1049"/>
      <c r="FE787" s="1049"/>
      <c r="FF787" s="1049"/>
      <c r="FG787" s="1049"/>
      <c r="FH787" s="1049"/>
      <c r="FI787" s="1049"/>
      <c r="FJ787" s="1049"/>
      <c r="FK787" s="1049"/>
      <c r="FL787" s="1049"/>
    </row>
    <row r="788" spans="1:168" s="1034" customFormat="1" x14ac:dyDescent="0.25">
      <c r="A788" s="133">
        <v>122</v>
      </c>
      <c r="B788" s="770" t="str">
        <f>EA14</f>
        <v>Мороженое пломбир</v>
      </c>
      <c r="C788" s="710" t="e">
        <f>#REF!+#REF!++#REF!++#REF!+#REF!+#REF!+#REF!+#REF!++#REF!+#REF!</f>
        <v>#REF!</v>
      </c>
      <c r="D788" s="779">
        <f>цены!$F$134</f>
        <v>750</v>
      </c>
      <c r="E788" s="812" t="e">
        <f t="shared" si="491"/>
        <v>#REF!</v>
      </c>
      <c r="F788" s="710" t="e">
        <f>#REF!+#REF!+#REF!+#REF!+#REF!+#REF!+#REF!+#REF!+#REF!+#REF!</f>
        <v>#REF!</v>
      </c>
      <c r="G788" s="119" t="e">
        <f>#REF!+#REF!+#REF!+#REF!+#REF!+#REF!+#REF!+#REF!+#REF!+#REF!</f>
        <v>#REF!</v>
      </c>
      <c r="H788" s="1256"/>
      <c r="I788" s="659"/>
      <c r="EZ788" s="675"/>
      <c r="FA788" s="1049"/>
      <c r="FB788" s="1049"/>
      <c r="FC788" s="1049"/>
      <c r="FD788" s="1049"/>
      <c r="FE788" s="1049"/>
      <c r="FF788" s="1049"/>
      <c r="FG788" s="1049"/>
      <c r="FH788" s="1049"/>
      <c r="FI788" s="1049"/>
      <c r="FJ788" s="1049"/>
      <c r="FK788" s="1049"/>
      <c r="FL788" s="1049"/>
    </row>
    <row r="789" spans="1:168" s="1034" customFormat="1" x14ac:dyDescent="0.25">
      <c r="A789" s="133">
        <v>123</v>
      </c>
      <c r="B789" s="770" t="str">
        <f>EB14</f>
        <v>Вода питьевая 19 л</v>
      </c>
      <c r="C789" s="710" t="e">
        <f>#REF!+#REF!++#REF!++#REF!+#REF!+#REF!+#REF!+#REF!++#REF!+#REF!</f>
        <v>#REF!</v>
      </c>
      <c r="D789" s="779">
        <f>цены!$F$135</f>
        <v>5.79</v>
      </c>
      <c r="E789" s="812" t="e">
        <f t="shared" si="491"/>
        <v>#REF!</v>
      </c>
      <c r="F789" s="710" t="e">
        <f>#REF!+#REF!+#REF!+#REF!+#REF!+#REF!+#REF!+#REF!+#REF!+#REF!</f>
        <v>#REF!</v>
      </c>
      <c r="G789" s="119" t="e">
        <f>#REF!+#REF!+#REF!+#REF!+#REF!+#REF!+#REF!+#REF!+#REF!+#REF!</f>
        <v>#REF!</v>
      </c>
      <c r="H789" s="1256"/>
      <c r="I789" s="659"/>
      <c r="EZ789" s="675"/>
      <c r="FA789" s="1049"/>
      <c r="FB789" s="1049"/>
      <c r="FC789" s="1049"/>
      <c r="FD789" s="1049"/>
      <c r="FE789" s="1049"/>
      <c r="FF789" s="1049"/>
      <c r="FG789" s="1049"/>
      <c r="FH789" s="1049"/>
      <c r="FI789" s="1049"/>
      <c r="FJ789" s="1049"/>
      <c r="FK789" s="1049"/>
      <c r="FL789" s="1049"/>
    </row>
    <row r="790" spans="1:168" s="1034" customFormat="1" x14ac:dyDescent="0.25">
      <c r="A790" s="133">
        <v>124</v>
      </c>
      <c r="B790" s="770" t="str">
        <f>EC14</f>
        <v>Печенье сахарное "Юбилейное"</v>
      </c>
      <c r="C790" s="710" t="e">
        <f>#REF!+#REF!++#REF!++#REF!+#REF!+#REF!+#REF!+#REF!++#REF!+#REF!</f>
        <v>#REF!</v>
      </c>
      <c r="D790" s="779">
        <f>цены!$F$136</f>
        <v>120</v>
      </c>
      <c r="E790" s="812" t="e">
        <f t="shared" si="491"/>
        <v>#REF!</v>
      </c>
      <c r="F790" s="710" t="e">
        <f>#REF!+#REF!+#REF!+#REF!+#REF!+#REF!+#REF!+#REF!+#REF!+#REF!</f>
        <v>#REF!</v>
      </c>
      <c r="G790" s="119" t="e">
        <f>#REF!+#REF!+#REF!+#REF!+#REF!+#REF!+#REF!+#REF!+#REF!+#REF!</f>
        <v>#REF!</v>
      </c>
      <c r="H790" s="1256"/>
      <c r="I790" s="659"/>
      <c r="EZ790" s="675"/>
      <c r="FA790" s="1049"/>
      <c r="FB790" s="1049"/>
      <c r="FC790" s="1049"/>
      <c r="FD790" s="1049"/>
      <c r="FE790" s="1049"/>
      <c r="FF790" s="1049"/>
      <c r="FG790" s="1049"/>
      <c r="FH790" s="1049"/>
      <c r="FI790" s="1049"/>
      <c r="FJ790" s="1049"/>
      <c r="FK790" s="1049"/>
      <c r="FL790" s="1049"/>
    </row>
    <row r="791" spans="1:168" s="1034" customFormat="1" x14ac:dyDescent="0.25">
      <c r="A791" s="133">
        <v>125</v>
      </c>
      <c r="B791" s="770" t="str">
        <f>ED14</f>
        <v>Печенье овсяное</v>
      </c>
      <c r="C791" s="710" t="e">
        <f>#REF!+#REF!++#REF!++#REF!+#REF!+#REF!+#REF!+#REF!++#REF!+#REF!</f>
        <v>#REF!</v>
      </c>
      <c r="D791" s="779">
        <f>цены!$F$137</f>
        <v>72</v>
      </c>
      <c r="E791" s="812" t="e">
        <f t="shared" si="491"/>
        <v>#REF!</v>
      </c>
      <c r="F791" s="710" t="e">
        <f>#REF!+#REF!+#REF!+#REF!+#REF!+#REF!+#REF!+#REF!+#REF!+#REF!</f>
        <v>#REF!</v>
      </c>
      <c r="G791" s="119" t="e">
        <f>#REF!+#REF!+#REF!+#REF!+#REF!+#REF!+#REF!+#REF!+#REF!+#REF!</f>
        <v>#REF!</v>
      </c>
      <c r="H791" s="1256"/>
      <c r="I791" s="659"/>
      <c r="EZ791" s="675"/>
      <c r="FA791" s="1049"/>
      <c r="FB791" s="1049"/>
      <c r="FC791" s="1049"/>
      <c r="FD791" s="1049"/>
      <c r="FE791" s="1049"/>
      <c r="FF791" s="1049"/>
      <c r="FG791" s="1049"/>
      <c r="FH791" s="1049"/>
      <c r="FI791" s="1049"/>
      <c r="FJ791" s="1049"/>
      <c r="FK791" s="1049"/>
      <c r="FL791" s="1049"/>
    </row>
    <row r="792" spans="1:168" s="1034" customFormat="1" x14ac:dyDescent="0.25">
      <c r="A792" s="133">
        <v>126</v>
      </c>
      <c r="B792" s="770" t="str">
        <f>EE14</f>
        <v>Пряники</v>
      </c>
      <c r="C792" s="710" t="e">
        <f>#REF!+#REF!++#REF!++#REF!+#REF!+#REF!+#REF!+#REF!++#REF!+#REF!</f>
        <v>#REF!</v>
      </c>
      <c r="D792" s="779">
        <f>цены!$F$138</f>
        <v>120</v>
      </c>
      <c r="E792" s="812" t="e">
        <f t="shared" ref="E792:E808" si="492">E$661</f>
        <v>#REF!</v>
      </c>
      <c r="F792" s="710" t="e">
        <f>#REF!+#REF!+#REF!+#REF!+#REF!+#REF!+#REF!+#REF!+#REF!+#REF!</f>
        <v>#REF!</v>
      </c>
      <c r="G792" s="119" t="e">
        <f>#REF!+#REF!+#REF!+#REF!+#REF!+#REF!+#REF!+#REF!+#REF!+#REF!</f>
        <v>#REF!</v>
      </c>
      <c r="H792" s="1256"/>
      <c r="I792" s="659"/>
      <c r="EZ792" s="675"/>
      <c r="FA792" s="1049"/>
      <c r="FB792" s="1049"/>
      <c r="FC792" s="1049"/>
      <c r="FD792" s="1049"/>
      <c r="FE792" s="1049"/>
      <c r="FF792" s="1049"/>
      <c r="FG792" s="1049"/>
      <c r="FH792" s="1049"/>
      <c r="FI792" s="1049"/>
      <c r="FJ792" s="1049"/>
      <c r="FK792" s="1049"/>
      <c r="FL792" s="1049"/>
    </row>
    <row r="793" spans="1:168" s="1034" customFormat="1" x14ac:dyDescent="0.25">
      <c r="A793" s="133">
        <v>127</v>
      </c>
      <c r="B793" s="770" t="str">
        <f>EF14</f>
        <v>Кексы</v>
      </c>
      <c r="C793" s="710" t="e">
        <f>#REF!+#REF!++#REF!++#REF!+#REF!+#REF!+#REF!+#REF!++#REF!+#REF!</f>
        <v>#REF!</v>
      </c>
      <c r="D793" s="779">
        <f>цены!$F$139</f>
        <v>215</v>
      </c>
      <c r="E793" s="812" t="e">
        <f t="shared" si="492"/>
        <v>#REF!</v>
      </c>
      <c r="F793" s="710" t="e">
        <f>#REF!+#REF!+#REF!+#REF!+#REF!+#REF!+#REF!+#REF!+#REF!+#REF!</f>
        <v>#REF!</v>
      </c>
      <c r="G793" s="119" t="e">
        <f>#REF!+#REF!+#REF!+#REF!+#REF!+#REF!+#REF!+#REF!+#REF!+#REF!</f>
        <v>#REF!</v>
      </c>
      <c r="H793" s="1256"/>
      <c r="I793" s="659"/>
      <c r="EZ793" s="675"/>
      <c r="FA793" s="1049"/>
      <c r="FB793" s="1049"/>
      <c r="FC793" s="1049"/>
      <c r="FD793" s="1049"/>
      <c r="FE793" s="1049"/>
      <c r="FF793" s="1049"/>
      <c r="FG793" s="1049"/>
      <c r="FH793" s="1049"/>
      <c r="FI793" s="1049"/>
      <c r="FJ793" s="1049"/>
      <c r="FK793" s="1049"/>
      <c r="FL793" s="1049"/>
    </row>
    <row r="794" spans="1:168" s="1034" customFormat="1" x14ac:dyDescent="0.25">
      <c r="A794" s="133">
        <v>128</v>
      </c>
      <c r="B794" s="770" t="str">
        <f>EG14</f>
        <v>Вафли с пралиновыми начинками</v>
      </c>
      <c r="C794" s="710" t="e">
        <f>#REF!+#REF!++#REF!++#REF!+#REF!+#REF!+#REF!+#REF!++#REF!+#REF!</f>
        <v>#REF!</v>
      </c>
      <c r="D794" s="779">
        <f>цены!$F$140</f>
        <v>135</v>
      </c>
      <c r="E794" s="812" t="e">
        <f t="shared" si="492"/>
        <v>#REF!</v>
      </c>
      <c r="F794" s="710" t="e">
        <f>#REF!+#REF!+#REF!+#REF!+#REF!+#REF!+#REF!+#REF!+#REF!+#REF!</f>
        <v>#REF!</v>
      </c>
      <c r="G794" s="119" t="e">
        <f>#REF!+#REF!+#REF!+#REF!+#REF!+#REF!+#REF!+#REF!+#REF!+#REF!</f>
        <v>#REF!</v>
      </c>
      <c r="H794" s="1256"/>
      <c r="I794" s="659"/>
      <c r="EZ794" s="675"/>
      <c r="FA794" s="1049"/>
      <c r="FB794" s="1049"/>
      <c r="FC794" s="1049"/>
      <c r="FD794" s="1049"/>
      <c r="FE794" s="1049"/>
      <c r="FF794" s="1049"/>
      <c r="FG794" s="1049"/>
      <c r="FH794" s="1049"/>
      <c r="FI794" s="1049"/>
      <c r="FJ794" s="1049"/>
      <c r="FK794" s="1049"/>
      <c r="FL794" s="1049"/>
    </row>
    <row r="795" spans="1:168" s="1034" customFormat="1" x14ac:dyDescent="0.25">
      <c r="A795" s="133">
        <v>129</v>
      </c>
      <c r="B795" s="770" t="str">
        <f>EH14</f>
        <v>Зефир</v>
      </c>
      <c r="C795" s="710" t="e">
        <f>#REF!+#REF!++#REF!++#REF!+#REF!+#REF!+#REF!+#REF!++#REF!+#REF!</f>
        <v>#REF!</v>
      </c>
      <c r="D795" s="779">
        <f>цены!$F$141</f>
        <v>130</v>
      </c>
      <c r="E795" s="812" t="e">
        <f t="shared" si="492"/>
        <v>#REF!</v>
      </c>
      <c r="F795" s="710" t="e">
        <f>#REF!+#REF!+#REF!+#REF!+#REF!+#REF!+#REF!+#REF!+#REF!+#REF!</f>
        <v>#REF!</v>
      </c>
      <c r="G795" s="119" t="e">
        <f>#REF!+#REF!+#REF!+#REF!+#REF!+#REF!+#REF!+#REF!+#REF!+#REF!</f>
        <v>#REF!</v>
      </c>
      <c r="H795" s="1256"/>
      <c r="I795" s="659"/>
      <c r="EZ795" s="675"/>
      <c r="FA795" s="1049"/>
      <c r="FB795" s="1049"/>
      <c r="FC795" s="1049"/>
      <c r="FD795" s="1049"/>
      <c r="FE795" s="1049"/>
      <c r="FF795" s="1049"/>
      <c r="FG795" s="1049"/>
      <c r="FH795" s="1049"/>
      <c r="FI795" s="1049"/>
      <c r="FJ795" s="1049"/>
      <c r="FK795" s="1049"/>
      <c r="FL795" s="1049"/>
    </row>
    <row r="796" spans="1:168" s="1034" customFormat="1" ht="27.6" x14ac:dyDescent="0.25">
      <c r="A796" s="133">
        <v>130</v>
      </c>
      <c r="B796" s="770" t="str">
        <f>EI14</f>
        <v>Сок натуральный (виноградный, яблочный и др. в пакетах)</v>
      </c>
      <c r="C796" s="710" t="e">
        <f>#REF!+#REF!++#REF!++#REF!+#REF!+#REF!+#REF!+#REF!++#REF!+#REF!</f>
        <v>#REF!</v>
      </c>
      <c r="D796" s="779">
        <f>цены!$F$142</f>
        <v>75</v>
      </c>
      <c r="E796" s="812" t="e">
        <f t="shared" si="492"/>
        <v>#REF!</v>
      </c>
      <c r="F796" s="710" t="e">
        <f>#REF!+#REF!+#REF!+#REF!+#REF!+#REF!+#REF!+#REF!+#REF!+#REF!</f>
        <v>#REF!</v>
      </c>
      <c r="G796" s="119" t="e">
        <f>#REF!+#REF!+#REF!+#REF!+#REF!+#REF!+#REF!+#REF!+#REF!+#REF!</f>
        <v>#REF!</v>
      </c>
      <c r="H796" s="1256"/>
      <c r="I796" s="659"/>
      <c r="EZ796" s="675"/>
      <c r="FA796" s="1049"/>
      <c r="FB796" s="1049"/>
      <c r="FC796" s="1049"/>
      <c r="FD796" s="1049"/>
      <c r="FE796" s="1049"/>
      <c r="FF796" s="1049"/>
      <c r="FG796" s="1049"/>
      <c r="FH796" s="1049"/>
      <c r="FI796" s="1049"/>
      <c r="FJ796" s="1049"/>
      <c r="FK796" s="1049"/>
      <c r="FL796" s="1049"/>
    </row>
    <row r="797" spans="1:168" s="1034" customFormat="1" x14ac:dyDescent="0.25">
      <c r="A797" s="133">
        <v>131</v>
      </c>
      <c r="B797" s="770" t="str">
        <f>EJ14</f>
        <v>Сок натуральный виноградный (в банках 3 л)</v>
      </c>
      <c r="C797" s="710" t="e">
        <f>#REF!+#REF!++#REF!++#REF!+#REF!+#REF!+#REF!+#REF!++#REF!+#REF!</f>
        <v>#REF!</v>
      </c>
      <c r="D797" s="779">
        <f>цены!$F$143</f>
        <v>26</v>
      </c>
      <c r="E797" s="812" t="e">
        <f t="shared" si="492"/>
        <v>#REF!</v>
      </c>
      <c r="F797" s="710" t="e">
        <f>#REF!+#REF!+#REF!+#REF!+#REF!+#REF!+#REF!+#REF!+#REF!+#REF!</f>
        <v>#REF!</v>
      </c>
      <c r="G797" s="119" t="e">
        <f>#REF!+#REF!+#REF!+#REF!+#REF!+#REF!+#REF!+#REF!+#REF!+#REF!</f>
        <v>#REF!</v>
      </c>
      <c r="H797" s="1256"/>
      <c r="I797" s="659"/>
      <c r="EZ797" s="675"/>
      <c r="FA797" s="1049"/>
      <c r="FB797" s="1049"/>
      <c r="FC797" s="1049"/>
      <c r="FD797" s="1049"/>
      <c r="FE797" s="1049"/>
      <c r="FF797" s="1049"/>
      <c r="FG797" s="1049"/>
      <c r="FH797" s="1049"/>
      <c r="FI797" s="1049"/>
      <c r="FJ797" s="1049"/>
      <c r="FK797" s="1049"/>
      <c r="FL797" s="1049"/>
    </row>
    <row r="798" spans="1:168" s="1034" customFormat="1" x14ac:dyDescent="0.25">
      <c r="A798" s="133">
        <v>132</v>
      </c>
      <c r="B798" s="770" t="str">
        <f>EK14</f>
        <v>Конфеты, глазированные шоколадом (Морские)</v>
      </c>
      <c r="C798" s="710" t="e">
        <f>#REF!+#REF!++#REF!++#REF!+#REF!+#REF!+#REF!+#REF!++#REF!+#REF!</f>
        <v>#REF!</v>
      </c>
      <c r="D798" s="779">
        <f>цены!$F$144</f>
        <v>385</v>
      </c>
      <c r="E798" s="812" t="e">
        <f t="shared" si="492"/>
        <v>#REF!</v>
      </c>
      <c r="F798" s="710" t="e">
        <f>#REF!+#REF!+#REF!+#REF!+#REF!+#REF!+#REF!+#REF!+#REF!+#REF!</f>
        <v>#REF!</v>
      </c>
      <c r="G798" s="119" t="e">
        <f>#REF!+#REF!+#REF!+#REF!+#REF!+#REF!+#REF!+#REF!+#REF!+#REF!</f>
        <v>#REF!</v>
      </c>
      <c r="H798" s="1256"/>
      <c r="I798" s="659"/>
      <c r="EZ798" s="675"/>
      <c r="FA798" s="1049"/>
      <c r="FB798" s="1049"/>
      <c r="FC798" s="1049"/>
      <c r="FD798" s="1049"/>
      <c r="FE798" s="1049"/>
      <c r="FF798" s="1049"/>
      <c r="FG798" s="1049"/>
      <c r="FH798" s="1049"/>
      <c r="FI798" s="1049"/>
      <c r="FJ798" s="1049"/>
      <c r="FK798" s="1049"/>
      <c r="FL798" s="1049"/>
    </row>
    <row r="799" spans="1:168" s="1034" customFormat="1" x14ac:dyDescent="0.25">
      <c r="A799" s="133">
        <v>133</v>
      </c>
      <c r="B799" s="770" t="str">
        <f>EL14</f>
        <v>Конфеты сливочные (Коровка)</v>
      </c>
      <c r="C799" s="710" t="e">
        <f>#REF!+#REF!++#REF!++#REF!+#REF!+#REF!+#REF!+#REF!++#REF!+#REF!</f>
        <v>#REF!</v>
      </c>
      <c r="D799" s="779">
        <f>цены!$F$145</f>
        <v>200</v>
      </c>
      <c r="E799" s="812" t="e">
        <f t="shared" si="492"/>
        <v>#REF!</v>
      </c>
      <c r="F799" s="710" t="e">
        <f>#REF!+#REF!+#REF!+#REF!+#REF!+#REF!+#REF!+#REF!+#REF!+#REF!</f>
        <v>#REF!</v>
      </c>
      <c r="G799" s="119" t="e">
        <f>#REF!+#REF!+#REF!+#REF!+#REF!+#REF!+#REF!+#REF!+#REF!+#REF!</f>
        <v>#REF!</v>
      </c>
      <c r="H799" s="1256"/>
      <c r="I799" s="659"/>
      <c r="EZ799" s="675"/>
      <c r="FA799" s="1049"/>
      <c r="FB799" s="1049"/>
      <c r="FC799" s="1049"/>
      <c r="FD799" s="1049"/>
      <c r="FE799" s="1049"/>
      <c r="FF799" s="1049"/>
      <c r="FG799" s="1049"/>
      <c r="FH799" s="1049"/>
      <c r="FI799" s="1049"/>
      <c r="FJ799" s="1049"/>
      <c r="FK799" s="1049"/>
      <c r="FL799" s="1049"/>
    </row>
    <row r="800" spans="1:168" s="1034" customFormat="1" x14ac:dyDescent="0.25">
      <c r="A800" s="133">
        <v>134</v>
      </c>
      <c r="B800" s="771" t="str">
        <f>EM14</f>
        <v>Конфеты шоколадные ("Российские" (плитка)</v>
      </c>
      <c r="C800" s="710" t="e">
        <f>#REF!+#REF!++#REF!++#REF!+#REF!+#REF!+#REF!+#REF!++#REF!+#REF!</f>
        <v>#REF!</v>
      </c>
      <c r="D800" s="779">
        <f>цены!$F$146</f>
        <v>1000</v>
      </c>
      <c r="E800" s="812" t="e">
        <f t="shared" si="492"/>
        <v>#REF!</v>
      </c>
      <c r="F800" s="710" t="e">
        <f>#REF!+#REF!+#REF!+#REF!+#REF!+#REF!+#REF!+#REF!+#REF!+#REF!</f>
        <v>#REF!</v>
      </c>
      <c r="G800" s="119" t="e">
        <f>#REF!+#REF!+#REF!+#REF!+#REF!+#REF!+#REF!+#REF!+#REF!+#REF!</f>
        <v>#REF!</v>
      </c>
      <c r="H800" s="1256"/>
      <c r="I800" s="659"/>
      <c r="EZ800" s="675"/>
      <c r="FA800" s="1049"/>
      <c r="FB800" s="1049"/>
      <c r="FC800" s="1049"/>
      <c r="FD800" s="1049"/>
      <c r="FE800" s="1049"/>
      <c r="FF800" s="1049"/>
      <c r="FG800" s="1049"/>
      <c r="FH800" s="1049"/>
      <c r="FI800" s="1049"/>
      <c r="FJ800" s="1049"/>
      <c r="FK800" s="1049"/>
      <c r="FL800" s="1049"/>
    </row>
    <row r="801" spans="1:168" s="1034" customFormat="1" x14ac:dyDescent="0.25">
      <c r="A801" s="133">
        <v>135</v>
      </c>
      <c r="B801" s="771" t="str">
        <f>EN14</f>
        <v>Конфеты сливочные ( Лёвушка)</v>
      </c>
      <c r="C801" s="710" t="e">
        <f>#REF!+#REF!++#REF!++#REF!+#REF!+#REF!+#REF!+#REF!++#REF!+#REF!</f>
        <v>#REF!</v>
      </c>
      <c r="D801" s="779">
        <f>цены!$F$147</f>
        <v>340</v>
      </c>
      <c r="E801" s="812" t="e">
        <f t="shared" si="492"/>
        <v>#REF!</v>
      </c>
      <c r="F801" s="710" t="e">
        <f>#REF!+#REF!+#REF!+#REF!+#REF!+#REF!+#REF!+#REF!+#REF!+#REF!</f>
        <v>#REF!</v>
      </c>
      <c r="G801" s="119" t="e">
        <f>#REF!+#REF!+#REF!+#REF!+#REF!+#REF!+#REF!+#REF!+#REF!+#REF!</f>
        <v>#REF!</v>
      </c>
      <c r="H801" s="1256"/>
      <c r="I801" s="659"/>
      <c r="EZ801" s="675"/>
      <c r="FA801" s="1049"/>
      <c r="FB801" s="1049"/>
      <c r="FC801" s="1049"/>
      <c r="FD801" s="1049"/>
      <c r="FE801" s="1049"/>
      <c r="FF801" s="1049"/>
      <c r="FG801" s="1049"/>
      <c r="FH801" s="1049"/>
      <c r="FI801" s="1049"/>
      <c r="FJ801" s="1049"/>
      <c r="FK801" s="1049"/>
      <c r="FL801" s="1049"/>
    </row>
    <row r="802" spans="1:168" s="1034" customFormat="1" x14ac:dyDescent="0.25">
      <c r="A802" s="133">
        <v>136</v>
      </c>
      <c r="B802" s="771" t="str">
        <f>EO14</f>
        <v>Конфеты, глазированные шоколадом (Степ, Марс)</v>
      </c>
      <c r="C802" s="710" t="e">
        <f>#REF!+#REF!++#REF!++#REF!+#REF!+#REF!+#REF!+#REF!++#REF!+#REF!</f>
        <v>#REF!</v>
      </c>
      <c r="D802" s="779">
        <f>цены!$F$148</f>
        <v>630</v>
      </c>
      <c r="E802" s="812" t="e">
        <f t="shared" si="492"/>
        <v>#REF!</v>
      </c>
      <c r="F802" s="710" t="e">
        <f>#REF!+#REF!+#REF!+#REF!+#REF!+#REF!+#REF!+#REF!+#REF!+#REF!</f>
        <v>#REF!</v>
      </c>
      <c r="G802" s="119" t="e">
        <f>#REF!+#REF!+#REF!+#REF!+#REF!+#REF!+#REF!+#REF!+#REF!+#REF!</f>
        <v>#REF!</v>
      </c>
      <c r="H802" s="1256"/>
      <c r="I802" s="659"/>
      <c r="EZ802" s="675"/>
      <c r="FA802" s="1049"/>
      <c r="FB802" s="1049"/>
      <c r="FC802" s="1049"/>
      <c r="FD802" s="1049"/>
      <c r="FE802" s="1049"/>
      <c r="FF802" s="1049"/>
      <c r="FG802" s="1049"/>
      <c r="FH802" s="1049"/>
      <c r="FI802" s="1049"/>
      <c r="FJ802" s="1049"/>
      <c r="FK802" s="1049"/>
      <c r="FL802" s="1049"/>
    </row>
    <row r="803" spans="1:168" s="1034" customFormat="1" x14ac:dyDescent="0.25">
      <c r="A803" s="133">
        <v>137</v>
      </c>
      <c r="B803" s="771" t="str">
        <f>EP14</f>
        <v>Конфеты "Тортимилка" 1 шт. 17,5 гр</v>
      </c>
      <c r="C803" s="710" t="e">
        <f>#REF!+#REF!++#REF!++#REF!+#REF!+#REF!+#REF!+#REF!++#REF!+#REF!</f>
        <v>#REF!</v>
      </c>
      <c r="D803" s="779">
        <f>цены!$F$149</f>
        <v>430</v>
      </c>
      <c r="E803" s="812" t="e">
        <f t="shared" si="492"/>
        <v>#REF!</v>
      </c>
      <c r="F803" s="710" t="e">
        <f>#REF!+#REF!+#REF!+#REF!+#REF!+#REF!+#REF!+#REF!+#REF!+#REF!</f>
        <v>#REF!</v>
      </c>
      <c r="G803" s="119" t="e">
        <f>#REF!+#REF!+#REF!+#REF!+#REF!+#REF!+#REF!+#REF!+#REF!+#REF!</f>
        <v>#REF!</v>
      </c>
      <c r="H803" s="1256"/>
      <c r="I803" s="659"/>
      <c r="EZ803" s="675"/>
      <c r="FA803" s="1049"/>
      <c r="FB803" s="1049"/>
      <c r="FC803" s="1049"/>
      <c r="FD803" s="1049"/>
      <c r="FE803" s="1049"/>
      <c r="FF803" s="1049"/>
      <c r="FG803" s="1049"/>
      <c r="FH803" s="1049"/>
      <c r="FI803" s="1049"/>
      <c r="FJ803" s="1049"/>
      <c r="FK803" s="1049"/>
      <c r="FL803" s="1049"/>
    </row>
    <row r="804" spans="1:168" s="1034" customFormat="1" x14ac:dyDescent="0.25">
      <c r="A804" s="133">
        <v>138</v>
      </c>
      <c r="B804" s="771" t="str">
        <f>EQ14</f>
        <v>Конфеты желейные (мармелад)</v>
      </c>
      <c r="C804" s="710" t="e">
        <f>#REF!+#REF!++#REF!++#REF!+#REF!+#REF!+#REF!+#REF!++#REF!+#REF!</f>
        <v>#REF!</v>
      </c>
      <c r="D804" s="779">
        <f>цены!$F$150</f>
        <v>275</v>
      </c>
      <c r="E804" s="812" t="e">
        <f t="shared" si="492"/>
        <v>#REF!</v>
      </c>
      <c r="F804" s="710" t="e">
        <f>#REF!+#REF!+#REF!+#REF!+#REF!+#REF!+#REF!+#REF!+#REF!+#REF!</f>
        <v>#REF!</v>
      </c>
      <c r="G804" s="119" t="e">
        <f>#REF!+#REF!+#REF!+#REF!+#REF!+#REF!+#REF!+#REF!+#REF!+#REF!</f>
        <v>#REF!</v>
      </c>
      <c r="H804" s="1256"/>
      <c r="I804" s="659"/>
      <c r="EZ804" s="675"/>
      <c r="FA804" s="1049"/>
      <c r="FB804" s="1049"/>
      <c r="FC804" s="1049"/>
      <c r="FD804" s="1049"/>
      <c r="FE804" s="1049"/>
      <c r="FF804" s="1049"/>
      <c r="FG804" s="1049"/>
      <c r="FH804" s="1049"/>
      <c r="FI804" s="1049"/>
      <c r="FJ804" s="1049"/>
      <c r="FK804" s="1049"/>
      <c r="FL804" s="1049"/>
    </row>
    <row r="805" spans="1:168" s="1034" customFormat="1" x14ac:dyDescent="0.25">
      <c r="A805" s="133">
        <v>139</v>
      </c>
      <c r="B805" s="771" t="str">
        <f>ER14</f>
        <v>Конфеты Батончики</v>
      </c>
      <c r="C805" s="710" t="e">
        <f>#REF!+#REF!++#REF!++#REF!+#REF!+#REF!+#REF!+#REF!++#REF!+#REF!</f>
        <v>#REF!</v>
      </c>
      <c r="D805" s="779">
        <f>цены!$F$151</f>
        <v>350</v>
      </c>
      <c r="E805" s="812" t="e">
        <f t="shared" si="492"/>
        <v>#REF!</v>
      </c>
      <c r="F805" s="710" t="e">
        <f>#REF!+#REF!+#REF!+#REF!+#REF!+#REF!+#REF!+#REF!+#REF!+#REF!</f>
        <v>#REF!</v>
      </c>
      <c r="G805" s="119" t="e">
        <f>#REF!+#REF!+#REF!+#REF!+#REF!+#REF!+#REF!+#REF!+#REF!+#REF!</f>
        <v>#REF!</v>
      </c>
      <c r="H805" s="1256"/>
      <c r="I805" s="659"/>
      <c r="EZ805" s="675"/>
      <c r="FA805" s="1049"/>
      <c r="FB805" s="1049"/>
      <c r="FC805" s="1049"/>
      <c r="FD805" s="1049"/>
      <c r="FE805" s="1049"/>
      <c r="FF805" s="1049"/>
      <c r="FG805" s="1049"/>
      <c r="FH805" s="1049"/>
      <c r="FI805" s="1049"/>
      <c r="FJ805" s="1049"/>
      <c r="FK805" s="1049"/>
      <c r="FL805" s="1049"/>
    </row>
    <row r="806" spans="1:168" s="1034" customFormat="1" x14ac:dyDescent="0.25">
      <c r="A806" s="133">
        <v>140</v>
      </c>
      <c r="B806" s="771" t="str">
        <f>ES14</f>
        <v>Конфеты ирис (Золотой ключик)</v>
      </c>
      <c r="C806" s="710" t="e">
        <f>#REF!+#REF!++#REF!++#REF!+#REF!+#REF!+#REF!+#REF!++#REF!+#REF!</f>
        <v>#REF!</v>
      </c>
      <c r="D806" s="779">
        <f>цены!$F$152</f>
        <v>275</v>
      </c>
      <c r="E806" s="812" t="e">
        <f t="shared" si="492"/>
        <v>#REF!</v>
      </c>
      <c r="F806" s="710" t="e">
        <f>#REF!+#REF!+#REF!+#REF!+#REF!+#REF!+#REF!+#REF!+#REF!+#REF!</f>
        <v>#REF!</v>
      </c>
      <c r="G806" s="119" t="e">
        <f>#REF!+#REF!+#REF!+#REF!+#REF!+#REF!+#REF!+#REF!+#REF!+#REF!</f>
        <v>#REF!</v>
      </c>
      <c r="H806" s="1256"/>
      <c r="I806" s="659"/>
      <c r="EZ806" s="675"/>
      <c r="FA806" s="1049"/>
      <c r="FB806" s="1049"/>
      <c r="FC806" s="1049"/>
      <c r="FD806" s="1049"/>
      <c r="FE806" s="1049"/>
      <c r="FF806" s="1049"/>
      <c r="FG806" s="1049"/>
      <c r="FH806" s="1049"/>
      <c r="FI806" s="1049"/>
      <c r="FJ806" s="1049"/>
      <c r="FK806" s="1049"/>
      <c r="FL806" s="1049"/>
    </row>
    <row r="807" spans="1:168" s="1034" customFormat="1" x14ac:dyDescent="0.25">
      <c r="A807" s="133">
        <v>141</v>
      </c>
      <c r="B807" s="772">
        <f>ET14</f>
        <v>0</v>
      </c>
      <c r="C807" s="710" t="e">
        <f>#REF!+#REF!++#REF!++#REF!+#REF!+#REF!+#REF!+#REF!++#REF!+#REF!</f>
        <v>#REF!</v>
      </c>
      <c r="D807" s="779">
        <f>цены!$F$153</f>
        <v>0</v>
      </c>
      <c r="E807" s="812" t="e">
        <f t="shared" si="492"/>
        <v>#REF!</v>
      </c>
      <c r="F807" s="710" t="e">
        <f>#REF!+#REF!+#REF!+#REF!+#REF!+#REF!+#REF!+#REF!+#REF!+#REF!</f>
        <v>#REF!</v>
      </c>
      <c r="G807" s="119" t="e">
        <f>#REF!+#REF!+#REF!+#REF!+#REF!+#REF!+#REF!+#REF!+#REF!+#REF!</f>
        <v>#REF!</v>
      </c>
      <c r="H807" s="1256"/>
      <c r="I807" s="659"/>
      <c r="EZ807" s="675"/>
      <c r="FA807" s="1049"/>
      <c r="FB807" s="1049"/>
      <c r="FC807" s="1049"/>
      <c r="FD807" s="1049"/>
      <c r="FE807" s="1049"/>
      <c r="FF807" s="1049"/>
      <c r="FG807" s="1049"/>
      <c r="FH807" s="1049"/>
      <c r="FI807" s="1049"/>
      <c r="FJ807" s="1049"/>
      <c r="FK807" s="1049"/>
      <c r="FL807" s="1049"/>
    </row>
    <row r="808" spans="1:168" s="1034" customFormat="1" x14ac:dyDescent="0.25">
      <c r="A808" s="133">
        <v>142</v>
      </c>
      <c r="B808" s="772">
        <f>EU14</f>
        <v>0</v>
      </c>
      <c r="C808" s="710" t="e">
        <f>#REF!+#REF!++#REF!++#REF!+#REF!+#REF!+#REF!+#REF!++#REF!+#REF!</f>
        <v>#REF!</v>
      </c>
      <c r="D808" s="779">
        <f>цены!$F$154</f>
        <v>0</v>
      </c>
      <c r="E808" s="812" t="e">
        <f t="shared" si="492"/>
        <v>#REF!</v>
      </c>
      <c r="F808" s="710" t="e">
        <f>#REF!+#REF!+#REF!+#REF!+#REF!+#REF!+#REF!+#REF!+#REF!+#REF!</f>
        <v>#REF!</v>
      </c>
      <c r="G808" s="119" t="e">
        <f>#REF!+#REF!+#REF!+#REF!+#REF!+#REF!+#REF!+#REF!+#REF!+#REF!</f>
        <v>#REF!</v>
      </c>
      <c r="H808" s="1256"/>
      <c r="I808" s="659"/>
      <c r="EZ808" s="675"/>
      <c r="FA808" s="1049"/>
      <c r="FB808" s="1049"/>
      <c r="FC808" s="1049"/>
      <c r="FD808" s="1049"/>
      <c r="FE808" s="1049"/>
      <c r="FF808" s="1049"/>
      <c r="FG808" s="1049"/>
      <c r="FH808" s="1049"/>
      <c r="FI808" s="1049"/>
      <c r="FJ808" s="1049"/>
      <c r="FK808" s="1049"/>
      <c r="FL808" s="1049"/>
    </row>
    <row r="809" spans="1:168" s="1034" customFormat="1" ht="26.4" x14ac:dyDescent="0.25">
      <c r="A809" s="146"/>
      <c r="B809" s="258" t="s">
        <v>312</v>
      </c>
      <c r="C809" s="774" t="e">
        <f>SUM(C728:C808)</f>
        <v>#REF!</v>
      </c>
      <c r="D809" s="780">
        <f>SUM(D728:D808)</f>
        <v>27698.79</v>
      </c>
      <c r="E809" s="795"/>
      <c r="F809" s="1275" t="e">
        <f>SUM(F728:F808)</f>
        <v>#REF!</v>
      </c>
      <c r="G809" s="663" t="e">
        <f t="shared" ref="G809" si="493">SUM(G728:G808)</f>
        <v>#REF!</v>
      </c>
      <c r="H809" s="1261"/>
      <c r="I809" s="663"/>
      <c r="EZ809" s="663">
        <f t="shared" ref="EZ809" si="494">SUM(EZ728:EZ808)</f>
        <v>0</v>
      </c>
      <c r="FA809" s="1049"/>
      <c r="FB809" s="1049"/>
      <c r="FC809" s="1049"/>
      <c r="FD809" s="1049"/>
      <c r="FE809" s="1049"/>
      <c r="FF809" s="1049"/>
      <c r="FG809" s="1049"/>
      <c r="FH809" s="1049"/>
      <c r="FI809" s="1049"/>
      <c r="FJ809" s="1049"/>
      <c r="FK809" s="1049"/>
      <c r="FL809" s="1049"/>
    </row>
    <row r="810" spans="1:168" s="1034" customFormat="1" x14ac:dyDescent="0.25">
      <c r="A810" s="150"/>
      <c r="B810" s="622" t="s">
        <v>304</v>
      </c>
      <c r="C810" s="777"/>
      <c r="D810" s="783"/>
      <c r="E810" s="796"/>
      <c r="F810" s="664"/>
      <c r="G810" s="664"/>
      <c r="H810" s="664"/>
      <c r="I810" s="664"/>
      <c r="EZ810" s="675"/>
      <c r="FA810" s="1049"/>
      <c r="FB810" s="1049"/>
      <c r="FC810" s="1049"/>
      <c r="FD810" s="1049"/>
      <c r="FE810" s="1049"/>
      <c r="FF810" s="1049"/>
      <c r="FG810" s="1049"/>
      <c r="FH810" s="1049"/>
      <c r="FI810" s="1049"/>
      <c r="FJ810" s="1049"/>
      <c r="FK810" s="1049"/>
      <c r="FL810" s="1049"/>
    </row>
    <row r="811" spans="1:168" s="1034" customFormat="1" x14ac:dyDescent="0.25">
      <c r="A811" s="133">
        <v>143</v>
      </c>
      <c r="B811" s="773" t="str">
        <f>EV14</f>
        <v>Хлеб пшеничный нарезной</v>
      </c>
      <c r="C811" s="710" t="e">
        <f>#REF!+#REF!++#REF!++#REF!+#REF!+#REF!+#REF!+#REF!++#REF!+#REF!</f>
        <v>#REF!</v>
      </c>
      <c r="D811" s="779">
        <f>цены!$F$157</f>
        <v>65</v>
      </c>
      <c r="E811" s="812" t="e">
        <f t="shared" ref="E811:E813" si="495">E$661</f>
        <v>#REF!</v>
      </c>
      <c r="F811" s="710" t="e">
        <f>#REF!+#REF!+#REF!+#REF!+#REF!+#REF!+#REF!+#REF!+#REF!+#REF!</f>
        <v>#REF!</v>
      </c>
      <c r="G811" s="119" t="e">
        <f>#REF!+#REF!+#REF!+#REF!+#REF!+#REF!+#REF!+#REF!+#REF!+#REF!</f>
        <v>#REF!</v>
      </c>
      <c r="H811" s="1256"/>
      <c r="I811" s="659"/>
      <c r="EZ811" s="675"/>
      <c r="FA811" s="1049"/>
      <c r="FB811" s="1049"/>
      <c r="FC811" s="1049"/>
      <c r="FD811" s="1049"/>
      <c r="FE811" s="1049"/>
      <c r="FF811" s="1049"/>
      <c r="FG811" s="1049"/>
      <c r="FH811" s="1049"/>
      <c r="FI811" s="1049"/>
      <c r="FJ811" s="1049"/>
      <c r="FK811" s="1049"/>
      <c r="FL811" s="1049"/>
    </row>
    <row r="812" spans="1:168" s="1034" customFormat="1" x14ac:dyDescent="0.25">
      <c r="A812" s="133">
        <v>144</v>
      </c>
      <c r="B812" s="773" t="str">
        <f>EW14</f>
        <v>Хлеб пшенично-ржаной нарезной</v>
      </c>
      <c r="C812" s="710" t="e">
        <f>#REF!+#REF!++#REF!++#REF!+#REF!+#REF!+#REF!+#REF!++#REF!+#REF!</f>
        <v>#REF!</v>
      </c>
      <c r="D812" s="779">
        <f>цены!$F$158</f>
        <v>65</v>
      </c>
      <c r="E812" s="812" t="e">
        <f t="shared" si="495"/>
        <v>#REF!</v>
      </c>
      <c r="F812" s="710" t="e">
        <f>#REF!+#REF!+#REF!+#REF!+#REF!+#REF!+#REF!+#REF!+#REF!+#REF!</f>
        <v>#REF!</v>
      </c>
      <c r="G812" s="119" t="e">
        <f>#REF!+#REF!+#REF!+#REF!+#REF!+#REF!+#REF!+#REF!+#REF!+#REF!</f>
        <v>#REF!</v>
      </c>
      <c r="H812" s="1256"/>
      <c r="I812" s="659"/>
      <c r="EZ812" s="675"/>
      <c r="FA812" s="1049"/>
      <c r="FB812" s="1049"/>
      <c r="FC812" s="1049"/>
      <c r="FD812" s="1049"/>
      <c r="FE812" s="1049"/>
      <c r="FF812" s="1049"/>
      <c r="FG812" s="1049"/>
      <c r="FH812" s="1049"/>
      <c r="FI812" s="1049"/>
      <c r="FJ812" s="1049"/>
      <c r="FK812" s="1049"/>
      <c r="FL812" s="1049"/>
    </row>
    <row r="813" spans="1:168" s="1034" customFormat="1" x14ac:dyDescent="0.25">
      <c r="A813" s="133">
        <v>145</v>
      </c>
      <c r="B813" s="773" t="str">
        <f>EX14</f>
        <v>Батон белого хлеба</v>
      </c>
      <c r="C813" s="710" t="e">
        <f>#REF!+#REF!++#REF!++#REF!+#REF!+#REF!+#REF!+#REF!++#REF!+#REF!</f>
        <v>#REF!</v>
      </c>
      <c r="D813" s="779">
        <f>цены!$F$159</f>
        <v>69</v>
      </c>
      <c r="E813" s="812" t="e">
        <f t="shared" si="495"/>
        <v>#REF!</v>
      </c>
      <c r="F813" s="710" t="e">
        <f>#REF!+#REF!+#REF!+#REF!+#REF!+#REF!+#REF!+#REF!+#REF!+#REF!</f>
        <v>#REF!</v>
      </c>
      <c r="G813" s="119" t="e">
        <f>#REF!+#REF!+#REF!+#REF!+#REF!+#REF!+#REF!+#REF!+#REF!+#REF!</f>
        <v>#REF!</v>
      </c>
      <c r="H813" s="1256"/>
      <c r="I813" s="659"/>
      <c r="EZ813" s="675"/>
      <c r="FA813" s="1049"/>
      <c r="FB813" s="1049"/>
      <c r="FC813" s="1049"/>
      <c r="FD813" s="1049"/>
      <c r="FE813" s="1049"/>
      <c r="FF813" s="1049"/>
      <c r="FG813" s="1049"/>
      <c r="FH813" s="1049"/>
      <c r="FI813" s="1049"/>
      <c r="FJ813" s="1049"/>
      <c r="FK813" s="1049"/>
      <c r="FL813" s="1049"/>
    </row>
    <row r="814" spans="1:168" s="1034" customFormat="1" x14ac:dyDescent="0.25">
      <c r="A814" s="146"/>
      <c r="B814" s="259" t="s">
        <v>313</v>
      </c>
      <c r="C814" s="774" t="e">
        <f t="shared" ref="C814:H814" si="496">SUM(C811:C813)</f>
        <v>#REF!</v>
      </c>
      <c r="D814" s="780">
        <f t="shared" si="496"/>
        <v>199</v>
      </c>
      <c r="E814" s="792" t="e">
        <f t="shared" si="496"/>
        <v>#REF!</v>
      </c>
      <c r="F814" s="801" t="e">
        <f t="shared" si="496"/>
        <v>#REF!</v>
      </c>
      <c r="G814" s="660" t="e">
        <f t="shared" si="496"/>
        <v>#REF!</v>
      </c>
      <c r="H814" s="1262">
        <f t="shared" si="496"/>
        <v>0</v>
      </c>
      <c r="I814" s="660"/>
      <c r="EZ814" s="660"/>
      <c r="FA814" s="1049"/>
      <c r="FB814" s="1049"/>
      <c r="FC814" s="1049"/>
      <c r="FD814" s="1049"/>
      <c r="FE814" s="1049"/>
      <c r="FF814" s="1049"/>
      <c r="FG814" s="1049"/>
      <c r="FH814" s="1049"/>
      <c r="FI814" s="1049"/>
      <c r="FJ814" s="1049"/>
      <c r="FK814" s="1049"/>
      <c r="FL814" s="1049"/>
    </row>
    <row r="815" spans="1:168" s="1034" customFormat="1" x14ac:dyDescent="0.25">
      <c r="A815" s="152"/>
      <c r="B815" s="623" t="s">
        <v>1169</v>
      </c>
      <c r="C815" s="778" t="e">
        <f t="shared" ref="C815:H815" si="497">C672+C685+C726+C809+C814</f>
        <v>#REF!</v>
      </c>
      <c r="D815" s="784">
        <f t="shared" si="497"/>
        <v>40123.96</v>
      </c>
      <c r="E815" s="797" t="e">
        <f t="shared" si="497"/>
        <v>#REF!</v>
      </c>
      <c r="F815" s="803" t="e">
        <f t="shared" si="497"/>
        <v>#REF!</v>
      </c>
      <c r="G815" s="665" t="e">
        <f t="shared" si="497"/>
        <v>#REF!</v>
      </c>
      <c r="H815" s="1267">
        <f t="shared" si="497"/>
        <v>0</v>
      </c>
      <c r="I815" s="665"/>
      <c r="EZ815" s="665"/>
      <c r="FA815" s="1049"/>
      <c r="FB815" s="1049"/>
      <c r="FC815" s="1049"/>
      <c r="FD815" s="1049"/>
      <c r="FE815" s="1049"/>
      <c r="FF815" s="1049"/>
      <c r="FG815" s="1049"/>
      <c r="FH815" s="1049"/>
      <c r="FI815" s="1049"/>
      <c r="FJ815" s="1049"/>
      <c r="FK815" s="1049"/>
      <c r="FL815" s="1049"/>
    </row>
    <row r="816" spans="1:168" s="1096" customFormat="1" x14ac:dyDescent="0.25">
      <c r="A816" s="1111"/>
      <c r="B816" s="1112"/>
      <c r="C816" s="1113"/>
      <c r="D816" s="1114"/>
      <c r="E816" s="1116"/>
      <c r="F816" s="1118"/>
      <c r="G816" s="1117"/>
      <c r="H816" s="1115"/>
      <c r="I816" s="1271"/>
      <c r="EZ816" s="1118"/>
      <c r="FA816" s="1049"/>
      <c r="FB816" s="1049"/>
      <c r="FC816" s="1049"/>
      <c r="FD816" s="1049"/>
      <c r="FE816" s="1049"/>
      <c r="FF816" s="1049"/>
      <c r="FG816" s="1049"/>
      <c r="FH816" s="1049"/>
      <c r="FI816" s="1049"/>
      <c r="FJ816" s="1049"/>
      <c r="FK816" s="1049"/>
      <c r="FL816" s="1049"/>
    </row>
    <row r="817" spans="1:168" s="1034" customFormat="1" ht="17.399999999999999" x14ac:dyDescent="0.25">
      <c r="A817" s="1090"/>
      <c r="B817" s="1091" t="s">
        <v>1302</v>
      </c>
      <c r="C817" s="1091"/>
      <c r="D817" s="1091"/>
      <c r="E817" s="1091"/>
      <c r="F817" s="1092"/>
      <c r="G817" s="1498" t="s">
        <v>317</v>
      </c>
      <c r="H817" s="1499"/>
      <c r="I817" s="653"/>
      <c r="FA817" s="1049"/>
      <c r="FB817" s="1049"/>
      <c r="FC817" s="1049"/>
      <c r="FD817" s="1049"/>
      <c r="FE817" s="1049"/>
      <c r="FF817" s="1049"/>
      <c r="FG817" s="1049"/>
      <c r="FH817" s="1049"/>
      <c r="FI817" s="1049"/>
      <c r="FJ817" s="1049"/>
      <c r="FK817" s="1049"/>
      <c r="FL817" s="1049"/>
    </row>
    <row r="818" spans="1:168" s="1034" customFormat="1" ht="66" x14ac:dyDescent="0.25">
      <c r="A818" s="261"/>
      <c r="B818" s="261" t="s">
        <v>232</v>
      </c>
      <c r="C818" s="638" t="s">
        <v>233</v>
      </c>
      <c r="D818" s="638" t="s">
        <v>108</v>
      </c>
      <c r="E818" s="691" t="s">
        <v>228</v>
      </c>
      <c r="F818" s="654" t="s">
        <v>1232</v>
      </c>
      <c r="G818" s="655" t="s">
        <v>221</v>
      </c>
      <c r="H818" s="656" t="s">
        <v>316</v>
      </c>
      <c r="I818" s="1248" t="s">
        <v>315</v>
      </c>
      <c r="EZ818" s="1035" t="s">
        <v>315</v>
      </c>
      <c r="FA818" s="1049"/>
      <c r="FB818" s="1049"/>
      <c r="FC818" s="1049"/>
      <c r="FD818" s="1049"/>
      <c r="FE818" s="1049"/>
      <c r="FF818" s="1049"/>
      <c r="FG818" s="1049"/>
      <c r="FH818" s="1049"/>
      <c r="FI818" s="1049"/>
      <c r="FJ818" s="1049"/>
      <c r="FK818" s="1049"/>
      <c r="FL818" s="1049"/>
    </row>
    <row r="819" spans="1:168" s="1034" customFormat="1" x14ac:dyDescent="0.25">
      <c r="A819" s="145"/>
      <c r="B819" s="427" t="s">
        <v>310</v>
      </c>
      <c r="C819" s="750"/>
      <c r="D819" s="750"/>
      <c r="E819" s="657"/>
      <c r="F819" s="658"/>
      <c r="G819" s="658"/>
      <c r="H819" s="1264"/>
      <c r="I819" s="658"/>
      <c r="EZ819" s="674"/>
      <c r="FA819" s="1049"/>
      <c r="FB819" s="1049"/>
      <c r="FC819" s="1049"/>
      <c r="FD819" s="1049"/>
      <c r="FE819" s="1049"/>
      <c r="FF819" s="1049"/>
      <c r="FG819" s="1049"/>
      <c r="FH819" s="1049"/>
      <c r="FI819" s="1049"/>
      <c r="FJ819" s="1049"/>
      <c r="FK819" s="1049"/>
      <c r="FL819" s="1049"/>
    </row>
    <row r="820" spans="1:168" s="1034" customFormat="1" x14ac:dyDescent="0.25">
      <c r="A820" s="133">
        <v>1</v>
      </c>
      <c r="B820" s="770" t="str">
        <f>J14</f>
        <v>Говядина (бескостное мясо)</v>
      </c>
      <c r="C820" s="710" t="e">
        <f>#REF!+#REF!++#REF!++#REF!+#REF!+#REF!+#REF!+#REF!++#REF!+#REF!</f>
        <v>#REF!</v>
      </c>
      <c r="D820" s="779">
        <f>цены!$F$7</f>
        <v>560</v>
      </c>
      <c r="E820" s="812" t="e">
        <f>#REF!+#REF!++#REF!++#REF!+#REF!+#REF!+#REF!+#REF!++#REF!+#REF!</f>
        <v>#REF!</v>
      </c>
      <c r="F820" s="710" t="e">
        <f>#REF!+#REF!+#REF!+#REF!+#REF!+#REF!+#REF!+#REF!+#REF!+#REF!</f>
        <v>#REF!</v>
      </c>
      <c r="G820" s="119" t="e">
        <f>#REF!+#REF!+#REF!+#REF!+#REF!+#REF!+#REF!+#REF!+#REF!+#REF!</f>
        <v>#REF!</v>
      </c>
      <c r="H820" s="1256"/>
      <c r="I820" s="659"/>
      <c r="EZ820" s="673"/>
      <c r="FA820" s="1049"/>
      <c r="FB820" s="1049"/>
      <c r="FC820" s="1049"/>
      <c r="FD820" s="1049"/>
      <c r="FE820" s="1049"/>
      <c r="FF820" s="1049"/>
      <c r="FG820" s="1049"/>
      <c r="FH820" s="1049"/>
      <c r="FI820" s="1049"/>
      <c r="FJ820" s="1049"/>
      <c r="FK820" s="1049"/>
      <c r="FL820" s="1049"/>
    </row>
    <row r="821" spans="1:168" s="1034" customFormat="1" x14ac:dyDescent="0.25">
      <c r="A821" s="133">
        <v>2</v>
      </c>
      <c r="B821" s="770" t="str">
        <f>K14</f>
        <v>Мясо птицы  (окорочка, бедра) охлажденные</v>
      </c>
      <c r="C821" s="710" t="e">
        <f>#REF!+#REF!++#REF!++#REF!+#REF!+#REF!+#REF!+#REF!++#REF!+#REF!</f>
        <v>#REF!</v>
      </c>
      <c r="D821" s="779">
        <f>цены!$F$8</f>
        <v>193</v>
      </c>
      <c r="E821" s="812" t="e">
        <f>E$820</f>
        <v>#REF!</v>
      </c>
      <c r="F821" s="710" t="e">
        <f>#REF!+#REF!+#REF!+#REF!+#REF!+#REF!+#REF!+#REF!+#REF!+#REF!</f>
        <v>#REF!</v>
      </c>
      <c r="G821" s="119" t="e">
        <f>#REF!+#REF!+#REF!+#REF!+#REF!+#REF!+#REF!+#REF!+#REF!+#REF!</f>
        <v>#REF!</v>
      </c>
      <c r="H821" s="1256"/>
      <c r="I821" s="659"/>
      <c r="EZ821" s="675"/>
      <c r="FA821" s="1049"/>
      <c r="FB821" s="1049"/>
      <c r="FC821" s="1049"/>
      <c r="FD821" s="1049"/>
      <c r="FE821" s="1049"/>
      <c r="FF821" s="1049"/>
      <c r="FG821" s="1049"/>
      <c r="FH821" s="1049"/>
      <c r="FI821" s="1049"/>
      <c r="FJ821" s="1049"/>
      <c r="FK821" s="1049"/>
      <c r="FL821" s="1049"/>
    </row>
    <row r="822" spans="1:168" s="1034" customFormat="1" x14ac:dyDescent="0.25">
      <c r="A822" s="133">
        <v>3</v>
      </c>
      <c r="B822" s="770" t="str">
        <f>L14</f>
        <v>Мясо птицы  (тушка)</v>
      </c>
      <c r="C822" s="710" t="e">
        <f>#REF!+#REF!++#REF!++#REF!+#REF!+#REF!+#REF!+#REF!++#REF!+#REF!</f>
        <v>#REF!</v>
      </c>
      <c r="D822" s="779">
        <f>цены!$F$9</f>
        <v>195</v>
      </c>
      <c r="E822" s="812" t="e">
        <f t="shared" ref="E822:E830" si="498">E$820</f>
        <v>#REF!</v>
      </c>
      <c r="F822" s="710" t="e">
        <f>#REF!+#REF!+#REF!+#REF!+#REF!+#REF!+#REF!+#REF!+#REF!+#REF!</f>
        <v>#REF!</v>
      </c>
      <c r="G822" s="119" t="e">
        <f>#REF!+#REF!+#REF!+#REF!+#REF!+#REF!+#REF!+#REF!+#REF!+#REF!</f>
        <v>#REF!</v>
      </c>
      <c r="H822" s="1256"/>
      <c r="I822" s="659"/>
      <c r="EZ822" s="675"/>
      <c r="FA822" s="1049"/>
      <c r="FB822" s="1049"/>
      <c r="FC822" s="1049"/>
      <c r="FD822" s="1049"/>
      <c r="FE822" s="1049"/>
      <c r="FF822" s="1049"/>
      <c r="FG822" s="1049"/>
      <c r="FH822" s="1049"/>
      <c r="FI822" s="1049"/>
      <c r="FJ822" s="1049"/>
      <c r="FK822" s="1049"/>
      <c r="FL822" s="1049"/>
    </row>
    <row r="823" spans="1:168" s="1034" customFormat="1" x14ac:dyDescent="0.25">
      <c r="A823" s="133">
        <v>4</v>
      </c>
      <c r="B823" s="770" t="str">
        <f>M14</f>
        <v>Мясо птицы филе</v>
      </c>
      <c r="C823" s="710" t="e">
        <f>#REF!+#REF!++#REF!++#REF!+#REF!+#REF!+#REF!+#REF!++#REF!+#REF!</f>
        <v>#REF!</v>
      </c>
      <c r="D823" s="779">
        <f>цены!$F$10</f>
        <v>320</v>
      </c>
      <c r="E823" s="812" t="e">
        <f t="shared" si="498"/>
        <v>#REF!</v>
      </c>
      <c r="F823" s="710" t="e">
        <f>#REF!+#REF!+#REF!+#REF!+#REF!+#REF!+#REF!+#REF!+#REF!+#REF!</f>
        <v>#REF!</v>
      </c>
      <c r="G823" s="119" t="e">
        <f>#REF!+#REF!+#REF!+#REF!+#REF!+#REF!+#REF!+#REF!+#REF!+#REF!</f>
        <v>#REF!</v>
      </c>
      <c r="H823" s="1256"/>
      <c r="I823" s="659"/>
      <c r="EZ823" s="675"/>
      <c r="FA823" s="1049"/>
      <c r="FB823" s="1049"/>
      <c r="FC823" s="1049"/>
      <c r="FD823" s="1049"/>
      <c r="FE823" s="1049"/>
      <c r="FF823" s="1049"/>
      <c r="FG823" s="1049"/>
      <c r="FH823" s="1049"/>
      <c r="FI823" s="1049"/>
      <c r="FJ823" s="1049"/>
      <c r="FK823" s="1049"/>
      <c r="FL823" s="1049"/>
    </row>
    <row r="824" spans="1:168" s="1034" customFormat="1" x14ac:dyDescent="0.25">
      <c r="A824" s="133">
        <v>5</v>
      </c>
      <c r="B824" s="770" t="str">
        <f>N14</f>
        <v xml:space="preserve">Сосиски "Халяль" </v>
      </c>
      <c r="C824" s="710" t="e">
        <f>#REF!+#REF!++#REF!++#REF!+#REF!+#REF!+#REF!+#REF!++#REF!+#REF!</f>
        <v>#REF!</v>
      </c>
      <c r="D824" s="779">
        <f>цены!$F$11</f>
        <v>325</v>
      </c>
      <c r="E824" s="812" t="e">
        <f t="shared" si="498"/>
        <v>#REF!</v>
      </c>
      <c r="F824" s="710" t="e">
        <f>#REF!+#REF!+#REF!+#REF!+#REF!+#REF!+#REF!+#REF!+#REF!+#REF!</f>
        <v>#REF!</v>
      </c>
      <c r="G824" s="119" t="e">
        <f>#REF!+#REF!+#REF!+#REF!+#REF!+#REF!+#REF!+#REF!+#REF!+#REF!</f>
        <v>#REF!</v>
      </c>
      <c r="H824" s="1256"/>
      <c r="I824" s="659"/>
      <c r="EZ824" s="675"/>
      <c r="FA824" s="1049"/>
      <c r="FB824" s="1049"/>
      <c r="FC824" s="1049"/>
      <c r="FD824" s="1049"/>
      <c r="FE824" s="1049"/>
      <c r="FF824" s="1049"/>
      <c r="FG824" s="1049"/>
      <c r="FH824" s="1049"/>
      <c r="FI824" s="1049"/>
      <c r="FJ824" s="1049"/>
      <c r="FK824" s="1049"/>
      <c r="FL824" s="1049"/>
    </row>
    <row r="825" spans="1:168" s="1034" customFormat="1" x14ac:dyDescent="0.25">
      <c r="A825" s="133">
        <v>6</v>
      </c>
      <c r="B825" s="770" t="str">
        <f>O14</f>
        <v>Колбаса полукопченная</v>
      </c>
      <c r="C825" s="710" t="e">
        <f>#REF!+#REF!++#REF!++#REF!+#REF!+#REF!+#REF!+#REF!++#REF!+#REF!</f>
        <v>#REF!</v>
      </c>
      <c r="D825" s="779">
        <f>цены!$F$12</f>
        <v>400</v>
      </c>
      <c r="E825" s="812" t="e">
        <f t="shared" si="498"/>
        <v>#REF!</v>
      </c>
      <c r="F825" s="710" t="e">
        <f>#REF!+#REF!+#REF!+#REF!+#REF!+#REF!+#REF!+#REF!+#REF!+#REF!</f>
        <v>#REF!</v>
      </c>
      <c r="G825" s="119" t="e">
        <f>#REF!+#REF!+#REF!+#REF!+#REF!+#REF!+#REF!+#REF!+#REF!+#REF!</f>
        <v>#REF!</v>
      </c>
      <c r="H825" s="1256"/>
      <c r="I825" s="659"/>
      <c r="EZ825" s="675"/>
      <c r="FA825" s="1049"/>
      <c r="FB825" s="1049"/>
      <c r="FC825" s="1049"/>
      <c r="FD825" s="1049"/>
      <c r="FE825" s="1049"/>
      <c r="FF825" s="1049"/>
      <c r="FG825" s="1049"/>
      <c r="FH825" s="1049"/>
      <c r="FI825" s="1049"/>
      <c r="FJ825" s="1049"/>
      <c r="FK825" s="1049"/>
      <c r="FL825" s="1049"/>
    </row>
    <row r="826" spans="1:168" s="1034" customFormat="1" x14ac:dyDescent="0.25">
      <c r="A826" s="133">
        <v>7</v>
      </c>
      <c r="B826" s="770" t="str">
        <f>P14</f>
        <v>Жир сырой крупного рогатого скота</v>
      </c>
      <c r="C826" s="710" t="e">
        <f>#REF!+#REF!++#REF!++#REF!+#REF!+#REF!+#REF!+#REF!++#REF!+#REF!</f>
        <v>#REF!</v>
      </c>
      <c r="D826" s="779">
        <f>цены!$F$13</f>
        <v>100</v>
      </c>
      <c r="E826" s="812" t="e">
        <f t="shared" si="498"/>
        <v>#REF!</v>
      </c>
      <c r="F826" s="710" t="e">
        <f>#REF!+#REF!+#REF!+#REF!+#REF!+#REF!+#REF!+#REF!+#REF!+#REF!</f>
        <v>#REF!</v>
      </c>
      <c r="G826" s="119" t="e">
        <f>#REF!+#REF!+#REF!+#REF!+#REF!+#REF!+#REF!+#REF!+#REF!+#REF!</f>
        <v>#REF!</v>
      </c>
      <c r="H826" s="1256"/>
      <c r="I826" s="659"/>
      <c r="EZ826" s="675"/>
      <c r="FA826" s="1049"/>
      <c r="FB826" s="1049"/>
      <c r="FC826" s="1049"/>
      <c r="FD826" s="1049"/>
      <c r="FE826" s="1049"/>
      <c r="FF826" s="1049"/>
      <c r="FG826" s="1049"/>
      <c r="FH826" s="1049"/>
      <c r="FI826" s="1049"/>
      <c r="FJ826" s="1049"/>
      <c r="FK826" s="1049"/>
      <c r="FL826" s="1049"/>
    </row>
    <row r="827" spans="1:168" s="1034" customFormat="1" ht="26.4" x14ac:dyDescent="0.25">
      <c r="A827" s="133">
        <v>8</v>
      </c>
      <c r="B827" s="771" t="str">
        <f>Q14</f>
        <v>Минтай (рыба замороженная, обезглавленная, потрошеная)</v>
      </c>
      <c r="C827" s="710" t="e">
        <f>#REF!+#REF!++#REF!++#REF!+#REF!+#REF!+#REF!+#REF!++#REF!+#REF!</f>
        <v>#REF!</v>
      </c>
      <c r="D827" s="779">
        <f>цены!$F$14</f>
        <v>178</v>
      </c>
      <c r="E827" s="812" t="e">
        <f t="shared" si="498"/>
        <v>#REF!</v>
      </c>
      <c r="F827" s="710" t="e">
        <f>#REF!+#REF!+#REF!+#REF!+#REF!+#REF!+#REF!+#REF!+#REF!+#REF!</f>
        <v>#REF!</v>
      </c>
      <c r="G827" s="119" t="e">
        <f>#REF!+#REF!+#REF!+#REF!+#REF!+#REF!+#REF!+#REF!+#REF!+#REF!</f>
        <v>#REF!</v>
      </c>
      <c r="H827" s="1256"/>
      <c r="I827" s="659"/>
      <c r="EZ827" s="675"/>
      <c r="FA827" s="1049"/>
      <c r="FB827" s="1049"/>
      <c r="FC827" s="1049"/>
      <c r="FD827" s="1049"/>
      <c r="FE827" s="1049"/>
      <c r="FF827" s="1049"/>
      <c r="FG827" s="1049"/>
      <c r="FH827" s="1049"/>
      <c r="FI827" s="1049"/>
      <c r="FJ827" s="1049"/>
      <c r="FK827" s="1049"/>
      <c r="FL827" s="1049"/>
    </row>
    <row r="828" spans="1:168" s="1034" customFormat="1" x14ac:dyDescent="0.25">
      <c r="A828" s="133">
        <v>9</v>
      </c>
      <c r="B828" s="770" t="str">
        <f>R14</f>
        <v>Хек филе</v>
      </c>
      <c r="C828" s="710" t="e">
        <f>#REF!+#REF!++#REF!++#REF!+#REF!+#REF!+#REF!+#REF!++#REF!+#REF!</f>
        <v>#REF!</v>
      </c>
      <c r="D828" s="779">
        <f>цены!$F$15</f>
        <v>400</v>
      </c>
      <c r="E828" s="812" t="e">
        <f t="shared" si="498"/>
        <v>#REF!</v>
      </c>
      <c r="F828" s="710" t="e">
        <f>#REF!+#REF!+#REF!+#REF!+#REF!+#REF!+#REF!+#REF!+#REF!+#REF!</f>
        <v>#REF!</v>
      </c>
      <c r="G828" s="119" t="e">
        <f>#REF!+#REF!+#REF!+#REF!+#REF!+#REF!+#REF!+#REF!+#REF!+#REF!</f>
        <v>#REF!</v>
      </c>
      <c r="H828" s="1256"/>
      <c r="I828" s="659"/>
      <c r="EZ828" s="675"/>
      <c r="FA828" s="1049"/>
      <c r="FB828" s="1049"/>
      <c r="FC828" s="1049"/>
      <c r="FD828" s="1049"/>
      <c r="FE828" s="1049"/>
      <c r="FF828" s="1049"/>
      <c r="FG828" s="1049"/>
      <c r="FH828" s="1049"/>
      <c r="FI828" s="1049"/>
      <c r="FJ828" s="1049"/>
      <c r="FK828" s="1049"/>
      <c r="FL828" s="1049"/>
    </row>
    <row r="829" spans="1:168" s="1034" customFormat="1" x14ac:dyDescent="0.25">
      <c r="A829" s="133">
        <v>10</v>
      </c>
      <c r="B829" s="770" t="str">
        <f>S14</f>
        <v>Минтай филе</v>
      </c>
      <c r="C829" s="710" t="e">
        <f>#REF!+#REF!++#REF!++#REF!+#REF!+#REF!+#REF!+#REF!++#REF!+#REF!</f>
        <v>#REF!</v>
      </c>
      <c r="D829" s="779">
        <f>цены!$F$16</f>
        <v>332</v>
      </c>
      <c r="E829" s="812" t="e">
        <f t="shared" si="498"/>
        <v>#REF!</v>
      </c>
      <c r="F829" s="710" t="e">
        <f>#REF!+#REF!+#REF!+#REF!+#REF!+#REF!+#REF!+#REF!+#REF!+#REF!</f>
        <v>#REF!</v>
      </c>
      <c r="G829" s="119" t="e">
        <f>#REF!+#REF!+#REF!+#REF!+#REF!+#REF!+#REF!+#REF!+#REF!+#REF!</f>
        <v>#REF!</v>
      </c>
      <c r="H829" s="1256"/>
      <c r="I829" s="659"/>
      <c r="EZ829" s="675"/>
      <c r="FA829" s="1049"/>
      <c r="FB829" s="1049"/>
      <c r="FC829" s="1049"/>
      <c r="FD829" s="1049"/>
      <c r="FE829" s="1049"/>
      <c r="FF829" s="1049"/>
      <c r="FG829" s="1049"/>
      <c r="FH829" s="1049"/>
      <c r="FI829" s="1049"/>
      <c r="FJ829" s="1049"/>
      <c r="FK829" s="1049"/>
      <c r="FL829" s="1049"/>
    </row>
    <row r="830" spans="1:168" s="1034" customFormat="1" x14ac:dyDescent="0.25">
      <c r="A830" s="133">
        <v>11</v>
      </c>
      <c r="B830" s="770" t="str">
        <f>T14</f>
        <v>Сельдь слабосоленая</v>
      </c>
      <c r="C830" s="710" t="e">
        <f>#REF!+#REF!++#REF!++#REF!+#REF!+#REF!+#REF!+#REF!++#REF!+#REF!</f>
        <v>#REF!</v>
      </c>
      <c r="D830" s="779">
        <f>цены!$F$17</f>
        <v>180</v>
      </c>
      <c r="E830" s="812" t="e">
        <f t="shared" si="498"/>
        <v>#REF!</v>
      </c>
      <c r="F830" s="710" t="e">
        <f>#REF!+#REF!+#REF!+#REF!+#REF!+#REF!+#REF!+#REF!+#REF!+#REF!</f>
        <v>#REF!</v>
      </c>
      <c r="G830" s="119" t="e">
        <f>#REF!+#REF!+#REF!+#REF!+#REF!+#REF!+#REF!+#REF!+#REF!+#REF!</f>
        <v>#REF!</v>
      </c>
      <c r="H830" s="1256"/>
      <c r="I830" s="659"/>
      <c r="EZ830" s="675"/>
      <c r="FA830" s="1049"/>
      <c r="FB830" s="1049"/>
      <c r="FC830" s="1049"/>
      <c r="FD830" s="1049"/>
      <c r="FE830" s="1049"/>
      <c r="FF830" s="1049"/>
      <c r="FG830" s="1049"/>
      <c r="FH830" s="1049"/>
      <c r="FI830" s="1049"/>
      <c r="FJ830" s="1049"/>
      <c r="FK830" s="1049"/>
      <c r="FL830" s="1049"/>
    </row>
    <row r="831" spans="1:168" s="1034" customFormat="1" x14ac:dyDescent="0.25">
      <c r="A831" s="146"/>
      <c r="B831" s="257" t="s">
        <v>260</v>
      </c>
      <c r="C831" s="774" t="e">
        <f>SUM(C820:C830)</f>
        <v>#REF!</v>
      </c>
      <c r="D831" s="780">
        <f>SUM(D820:D830)</f>
        <v>3183</v>
      </c>
      <c r="E831" s="792"/>
      <c r="F831" s="661" t="e">
        <f>SUM(F820:F830)</f>
        <v>#REF!</v>
      </c>
      <c r="G831" s="661" t="e">
        <f t="shared" ref="G831:H831" si="499">SUM(G820:G830)</f>
        <v>#REF!</v>
      </c>
      <c r="H831" s="1257">
        <f t="shared" si="499"/>
        <v>0</v>
      </c>
      <c r="I831" s="661"/>
      <c r="EZ831" s="661">
        <f t="shared" ref="EZ831" si="500">SUM(EZ820:EZ830)</f>
        <v>0</v>
      </c>
      <c r="FA831" s="1049"/>
      <c r="FB831" s="1049"/>
      <c r="FC831" s="1049"/>
      <c r="FD831" s="1049"/>
      <c r="FE831" s="1049"/>
      <c r="FF831" s="1049"/>
      <c r="FG831" s="1049"/>
      <c r="FH831" s="1049"/>
      <c r="FI831" s="1049"/>
      <c r="FJ831" s="1049"/>
      <c r="FK831" s="1049"/>
      <c r="FL831" s="1049"/>
    </row>
    <row r="832" spans="1:168" s="1034" customFormat="1" x14ac:dyDescent="0.25">
      <c r="A832" s="148"/>
      <c r="B832" s="427" t="s">
        <v>314</v>
      </c>
      <c r="C832" s="775"/>
      <c r="D832" s="781"/>
      <c r="E832" s="793"/>
      <c r="F832" s="662"/>
      <c r="G832" s="662"/>
      <c r="H832" s="1265"/>
      <c r="I832" s="662"/>
      <c r="EZ832" s="676"/>
      <c r="FA832" s="1049"/>
      <c r="FB832" s="1049"/>
      <c r="FC832" s="1049"/>
      <c r="FD832" s="1049"/>
      <c r="FE832" s="1049"/>
      <c r="FF832" s="1049"/>
      <c r="FG832" s="1049"/>
      <c r="FH832" s="1049"/>
      <c r="FI832" s="1049"/>
      <c r="FJ832" s="1049"/>
      <c r="FK832" s="1049"/>
      <c r="FL832" s="1049"/>
    </row>
    <row r="833" spans="1:168" s="1034" customFormat="1" x14ac:dyDescent="0.25">
      <c r="A833" s="133">
        <v>12</v>
      </c>
      <c r="B833" s="541" t="str">
        <f>U14</f>
        <v>Молоко пастеризованное 2,5% жирн.</v>
      </c>
      <c r="C833" s="710" t="e">
        <f>#REF!+#REF!++#REF!++#REF!+#REF!+#REF!+#REF!+#REF!++#REF!+#REF!</f>
        <v>#REF!</v>
      </c>
      <c r="D833" s="779">
        <f>цены!$F$20</f>
        <v>80</v>
      </c>
      <c r="E833" s="812" t="e">
        <f t="shared" ref="E833:E843" si="501">E$820</f>
        <v>#REF!</v>
      </c>
      <c r="F833" s="710" t="e">
        <f>#REF!+#REF!+#REF!+#REF!+#REF!+#REF!+#REF!+#REF!+#REF!+#REF!</f>
        <v>#REF!</v>
      </c>
      <c r="G833" s="119" t="e">
        <f>#REF!+#REF!+#REF!+#REF!+#REF!+#REF!+#REF!+#REF!+#REF!+#REF!</f>
        <v>#REF!</v>
      </c>
      <c r="H833" s="1256"/>
      <c r="I833" s="659"/>
      <c r="EZ833" s="675"/>
      <c r="FA833" s="1049"/>
      <c r="FB833" s="1049"/>
      <c r="FC833" s="1049"/>
      <c r="FD833" s="1049"/>
      <c r="FE833" s="1049"/>
      <c r="FF833" s="1049"/>
      <c r="FG833" s="1049"/>
      <c r="FH833" s="1049"/>
      <c r="FI833" s="1049"/>
      <c r="FJ833" s="1049"/>
      <c r="FK833" s="1049"/>
      <c r="FL833" s="1049"/>
    </row>
    <row r="834" spans="1:168" s="1034" customFormat="1" x14ac:dyDescent="0.25">
      <c r="A834" s="133">
        <v>13</v>
      </c>
      <c r="B834" s="541" t="str">
        <f>V14</f>
        <v xml:space="preserve">Масло сливочное фасованное 72,5% жир. </v>
      </c>
      <c r="C834" s="710" t="e">
        <f>#REF!+#REF!++#REF!++#REF!+#REF!+#REF!+#REF!+#REF!++#REF!+#REF!</f>
        <v>#REF!</v>
      </c>
      <c r="D834" s="779">
        <f>цены!$F$21</f>
        <v>710</v>
      </c>
      <c r="E834" s="812" t="e">
        <f t="shared" si="501"/>
        <v>#REF!</v>
      </c>
      <c r="F834" s="710" t="e">
        <f>#REF!+#REF!+#REF!+#REF!+#REF!+#REF!+#REF!+#REF!+#REF!+#REF!</f>
        <v>#REF!</v>
      </c>
      <c r="G834" s="119" t="e">
        <f>#REF!+#REF!+#REF!+#REF!+#REF!+#REF!+#REF!+#REF!+#REF!+#REF!</f>
        <v>#REF!</v>
      </c>
      <c r="H834" s="1256"/>
      <c r="I834" s="659"/>
      <c r="EZ834" s="675"/>
      <c r="FA834" s="1049"/>
      <c r="FB834" s="1049"/>
      <c r="FC834" s="1049"/>
      <c r="FD834" s="1049"/>
      <c r="FE834" s="1049"/>
      <c r="FF834" s="1049"/>
      <c r="FG834" s="1049"/>
      <c r="FH834" s="1049"/>
      <c r="FI834" s="1049"/>
      <c r="FJ834" s="1049"/>
      <c r="FK834" s="1049"/>
      <c r="FL834" s="1049"/>
    </row>
    <row r="835" spans="1:168" s="1034" customFormat="1" x14ac:dyDescent="0.25">
      <c r="A835" s="133">
        <v>14</v>
      </c>
      <c r="B835" s="541" t="str">
        <f>W14</f>
        <v>Сыр российский 45% жирн.</v>
      </c>
      <c r="C835" s="710" t="e">
        <f>#REF!+#REF!++#REF!++#REF!+#REF!+#REF!+#REF!+#REF!++#REF!+#REF!</f>
        <v>#REF!</v>
      </c>
      <c r="D835" s="779">
        <f>цены!$F$22</f>
        <v>719</v>
      </c>
      <c r="E835" s="812" t="e">
        <f t="shared" si="501"/>
        <v>#REF!</v>
      </c>
      <c r="F835" s="710" t="e">
        <f>#REF!+#REF!+#REF!+#REF!+#REF!+#REF!+#REF!+#REF!+#REF!+#REF!</f>
        <v>#REF!</v>
      </c>
      <c r="G835" s="119" t="e">
        <f>#REF!+#REF!+#REF!+#REF!+#REF!+#REF!+#REF!+#REF!+#REF!+#REF!</f>
        <v>#REF!</v>
      </c>
      <c r="H835" s="1256"/>
      <c r="I835" s="659"/>
      <c r="EZ835" s="675"/>
      <c r="FA835" s="1049"/>
      <c r="FB835" s="1049"/>
      <c r="FC835" s="1049"/>
      <c r="FD835" s="1049"/>
      <c r="FE835" s="1049"/>
      <c r="FF835" s="1049"/>
      <c r="FG835" s="1049"/>
      <c r="FH835" s="1049"/>
      <c r="FI835" s="1049"/>
      <c r="FJ835" s="1049"/>
      <c r="FK835" s="1049"/>
      <c r="FL835" s="1049"/>
    </row>
    <row r="836" spans="1:168" s="1034" customFormat="1" x14ac:dyDescent="0.25">
      <c r="A836" s="133">
        <v>15</v>
      </c>
      <c r="B836" s="541" t="str">
        <f>X14</f>
        <v xml:space="preserve">Творог с массовой долей жира от 9,0% </v>
      </c>
      <c r="C836" s="710" t="e">
        <f>#REF!+#REF!++#REF!++#REF!+#REF!+#REF!+#REF!+#REF!++#REF!+#REF!</f>
        <v>#REF!</v>
      </c>
      <c r="D836" s="779">
        <f>цены!$F$23</f>
        <v>350</v>
      </c>
      <c r="E836" s="812" t="e">
        <f t="shared" si="501"/>
        <v>#REF!</v>
      </c>
      <c r="F836" s="710" t="e">
        <f>#REF!+#REF!+#REF!+#REF!+#REF!+#REF!+#REF!+#REF!+#REF!+#REF!</f>
        <v>#REF!</v>
      </c>
      <c r="G836" s="119" t="e">
        <f>#REF!+#REF!+#REF!+#REF!+#REF!+#REF!+#REF!+#REF!+#REF!+#REF!</f>
        <v>#REF!</v>
      </c>
      <c r="H836" s="1256"/>
      <c r="I836" s="659"/>
      <c r="EZ836" s="675"/>
      <c r="FA836" s="1049"/>
      <c r="FB836" s="1049"/>
      <c r="FC836" s="1049"/>
      <c r="FD836" s="1049"/>
      <c r="FE836" s="1049"/>
      <c r="FF836" s="1049"/>
      <c r="FG836" s="1049"/>
      <c r="FH836" s="1049"/>
      <c r="FI836" s="1049"/>
      <c r="FJ836" s="1049"/>
      <c r="FK836" s="1049"/>
      <c r="FL836" s="1049"/>
    </row>
    <row r="837" spans="1:168" s="1034" customFormat="1" x14ac:dyDescent="0.25">
      <c r="A837" s="133">
        <v>16</v>
      </c>
      <c r="B837" s="541" t="str">
        <f>Y14</f>
        <v>Сметана 20% жирности</v>
      </c>
      <c r="C837" s="710" t="e">
        <f>#REF!+#REF!++#REF!++#REF!+#REF!+#REF!+#REF!+#REF!++#REF!+#REF!</f>
        <v>#REF!</v>
      </c>
      <c r="D837" s="779">
        <f>цены!$F$24</f>
        <v>234</v>
      </c>
      <c r="E837" s="812" t="e">
        <f t="shared" si="501"/>
        <v>#REF!</v>
      </c>
      <c r="F837" s="710" t="e">
        <f>#REF!+#REF!+#REF!+#REF!+#REF!+#REF!+#REF!+#REF!+#REF!+#REF!</f>
        <v>#REF!</v>
      </c>
      <c r="G837" s="119" t="e">
        <f>#REF!+#REF!+#REF!+#REF!+#REF!+#REF!+#REF!+#REF!+#REF!+#REF!</f>
        <v>#REF!</v>
      </c>
      <c r="H837" s="1256"/>
      <c r="I837" s="659"/>
      <c r="EZ837" s="675"/>
      <c r="FA837" s="1049"/>
      <c r="FB837" s="1049"/>
      <c r="FC837" s="1049"/>
      <c r="FD837" s="1049"/>
      <c r="FE837" s="1049"/>
      <c r="FF837" s="1049"/>
      <c r="FG837" s="1049"/>
      <c r="FH837" s="1049"/>
      <c r="FI837" s="1049"/>
      <c r="FJ837" s="1049"/>
      <c r="FK837" s="1049"/>
      <c r="FL837" s="1049"/>
    </row>
    <row r="838" spans="1:168" s="1034" customFormat="1" x14ac:dyDescent="0.25">
      <c r="A838" s="133">
        <v>17</v>
      </c>
      <c r="B838" s="541" t="str">
        <f>Z14</f>
        <v>Молоко цельное сгущенное с сахаром 8,5% жир.</v>
      </c>
      <c r="C838" s="710" t="e">
        <f>#REF!+#REF!++#REF!++#REF!+#REF!+#REF!+#REF!+#REF!++#REF!+#REF!</f>
        <v>#REF!</v>
      </c>
      <c r="D838" s="779">
        <f>цены!$F$25</f>
        <v>250</v>
      </c>
      <c r="E838" s="812" t="e">
        <f t="shared" si="501"/>
        <v>#REF!</v>
      </c>
      <c r="F838" s="710" t="e">
        <f>#REF!+#REF!+#REF!+#REF!+#REF!+#REF!+#REF!+#REF!+#REF!+#REF!</f>
        <v>#REF!</v>
      </c>
      <c r="G838" s="119" t="e">
        <f>#REF!+#REF!+#REF!+#REF!+#REF!+#REF!+#REF!+#REF!+#REF!+#REF!</f>
        <v>#REF!</v>
      </c>
      <c r="H838" s="1256"/>
      <c r="I838" s="659"/>
      <c r="EZ838" s="675"/>
      <c r="FA838" s="1049"/>
      <c r="FB838" s="1049"/>
      <c r="FC838" s="1049"/>
      <c r="FD838" s="1049"/>
      <c r="FE838" s="1049"/>
      <c r="FF838" s="1049"/>
      <c r="FG838" s="1049"/>
      <c r="FH838" s="1049"/>
      <c r="FI838" s="1049"/>
      <c r="FJ838" s="1049"/>
      <c r="FK838" s="1049"/>
      <c r="FL838" s="1049"/>
    </row>
    <row r="839" spans="1:168" s="1034" customFormat="1" x14ac:dyDescent="0.25">
      <c r="A839" s="133">
        <v>18</v>
      </c>
      <c r="B839" s="542" t="str">
        <f>AA14</f>
        <v>Кефир 2,5 % жирности</v>
      </c>
      <c r="C839" s="710" t="e">
        <f>#REF!+#REF!++#REF!++#REF!+#REF!+#REF!+#REF!+#REF!++#REF!+#REF!</f>
        <v>#REF!</v>
      </c>
      <c r="D839" s="779">
        <f>цены!$F$26</f>
        <v>108</v>
      </c>
      <c r="E839" s="812" t="e">
        <f t="shared" si="501"/>
        <v>#REF!</v>
      </c>
      <c r="F839" s="710" t="e">
        <f>#REF!+#REF!+#REF!+#REF!+#REF!+#REF!+#REF!+#REF!+#REF!+#REF!</f>
        <v>#REF!</v>
      </c>
      <c r="G839" s="119" t="e">
        <f>#REF!+#REF!+#REF!+#REF!+#REF!+#REF!+#REF!+#REF!+#REF!+#REF!</f>
        <v>#REF!</v>
      </c>
      <c r="H839" s="1256"/>
      <c r="I839" s="659"/>
      <c r="EZ839" s="675"/>
      <c r="FA839" s="1049"/>
      <c r="FB839" s="1049"/>
      <c r="FC839" s="1049"/>
      <c r="FD839" s="1049"/>
      <c r="FE839" s="1049"/>
      <c r="FF839" s="1049"/>
      <c r="FG839" s="1049"/>
      <c r="FH839" s="1049"/>
      <c r="FI839" s="1049"/>
      <c r="FJ839" s="1049"/>
      <c r="FK839" s="1049"/>
      <c r="FL839" s="1049"/>
    </row>
    <row r="840" spans="1:168" s="1034" customFormat="1" x14ac:dyDescent="0.25">
      <c r="A840" s="133">
        <v>19</v>
      </c>
      <c r="B840" s="542" t="str">
        <f>AB14</f>
        <v>Йогурт питьевой 1,5% жирности</v>
      </c>
      <c r="C840" s="710" t="e">
        <f>#REF!+#REF!++#REF!++#REF!+#REF!+#REF!+#REF!+#REF!++#REF!+#REF!</f>
        <v>#REF!</v>
      </c>
      <c r="D840" s="779">
        <f>цены!$F$27</f>
        <v>125</v>
      </c>
      <c r="E840" s="812" t="e">
        <f t="shared" si="501"/>
        <v>#REF!</v>
      </c>
      <c r="F840" s="710" t="e">
        <f>#REF!+#REF!+#REF!+#REF!+#REF!+#REF!+#REF!+#REF!+#REF!+#REF!</f>
        <v>#REF!</v>
      </c>
      <c r="G840" s="119" t="e">
        <f>#REF!+#REF!+#REF!+#REF!+#REF!+#REF!+#REF!+#REF!+#REF!+#REF!</f>
        <v>#REF!</v>
      </c>
      <c r="H840" s="1256"/>
      <c r="I840" s="659"/>
      <c r="EZ840" s="675"/>
      <c r="FA840" s="1049"/>
      <c r="FB840" s="1049"/>
      <c r="FC840" s="1049"/>
      <c r="FD840" s="1049"/>
      <c r="FE840" s="1049"/>
      <c r="FF840" s="1049"/>
      <c r="FG840" s="1049"/>
      <c r="FH840" s="1049"/>
      <c r="FI840" s="1049"/>
      <c r="FJ840" s="1049"/>
      <c r="FK840" s="1049"/>
      <c r="FL840" s="1049"/>
    </row>
    <row r="841" spans="1:168" s="1034" customFormat="1" x14ac:dyDescent="0.25">
      <c r="A841" s="133">
        <v>20</v>
      </c>
      <c r="B841" s="770" t="str">
        <f>AC14</f>
        <v>Йогурт натуральный 5% (Fruttis) в пакетиках</v>
      </c>
      <c r="C841" s="710" t="e">
        <f>#REF!+#REF!++#REF!++#REF!+#REF!+#REF!+#REF!+#REF!++#REF!+#REF!</f>
        <v>#REF!</v>
      </c>
      <c r="D841" s="779">
        <f>цены!$F$28</f>
        <v>440</v>
      </c>
      <c r="E841" s="812" t="e">
        <f t="shared" si="501"/>
        <v>#REF!</v>
      </c>
      <c r="F841" s="710" t="e">
        <f>#REF!+#REF!+#REF!+#REF!+#REF!+#REF!+#REF!+#REF!+#REF!+#REF!</f>
        <v>#REF!</v>
      </c>
      <c r="G841" s="119" t="e">
        <f>#REF!+#REF!+#REF!+#REF!+#REF!+#REF!+#REF!+#REF!+#REF!+#REF!</f>
        <v>#REF!</v>
      </c>
      <c r="H841" s="1256"/>
      <c r="I841" s="659"/>
      <c r="EZ841" s="675"/>
      <c r="FA841" s="1049"/>
      <c r="FB841" s="1049"/>
      <c r="FC841" s="1049"/>
      <c r="FD841" s="1049"/>
      <c r="FE841" s="1049"/>
      <c r="FF841" s="1049"/>
      <c r="FG841" s="1049"/>
      <c r="FH841" s="1049"/>
      <c r="FI841" s="1049"/>
      <c r="FJ841" s="1049"/>
      <c r="FK841" s="1049"/>
      <c r="FL841" s="1049"/>
    </row>
    <row r="842" spans="1:168" s="1034" customFormat="1" x14ac:dyDescent="0.25">
      <c r="A842" s="133">
        <v>21</v>
      </c>
      <c r="B842" s="770" t="str">
        <f>AD14</f>
        <v>Мед натуральный пчелиный</v>
      </c>
      <c r="C842" s="710" t="e">
        <f>#REF!+#REF!++#REF!++#REF!+#REF!+#REF!+#REF!+#REF!++#REF!+#REF!</f>
        <v>#REF!</v>
      </c>
      <c r="D842" s="779">
        <f>цены!$F$29</f>
        <v>320</v>
      </c>
      <c r="E842" s="812" t="e">
        <f t="shared" si="501"/>
        <v>#REF!</v>
      </c>
      <c r="F842" s="710" t="e">
        <f>#REF!+#REF!+#REF!+#REF!+#REF!+#REF!+#REF!+#REF!+#REF!+#REF!</f>
        <v>#REF!</v>
      </c>
      <c r="G842" s="119" t="e">
        <f>#REF!+#REF!+#REF!+#REF!+#REF!+#REF!+#REF!+#REF!+#REF!+#REF!</f>
        <v>#REF!</v>
      </c>
      <c r="H842" s="1256"/>
      <c r="I842" s="659"/>
      <c r="EZ842" s="675"/>
      <c r="FA842" s="1049"/>
      <c r="FB842" s="1049"/>
      <c r="FC842" s="1049"/>
      <c r="FD842" s="1049"/>
      <c r="FE842" s="1049"/>
      <c r="FF842" s="1049"/>
      <c r="FG842" s="1049"/>
      <c r="FH842" s="1049"/>
      <c r="FI842" s="1049"/>
      <c r="FJ842" s="1049"/>
      <c r="FK842" s="1049"/>
      <c r="FL842" s="1049"/>
    </row>
    <row r="843" spans="1:168" s="1034" customFormat="1" x14ac:dyDescent="0.25">
      <c r="A843" s="133">
        <v>22</v>
      </c>
      <c r="B843" s="770" t="str">
        <f>AE14</f>
        <v xml:space="preserve">Яйца куриные                                              </v>
      </c>
      <c r="C843" s="710" t="e">
        <f>#REF!+#REF!++#REF!++#REF!+#REF!+#REF!+#REF!+#REF!++#REF!+#REF!</f>
        <v>#REF!</v>
      </c>
      <c r="D843" s="779">
        <f>цены!$F$30</f>
        <v>152.16999999999999</v>
      </c>
      <c r="E843" s="812" t="e">
        <f t="shared" si="501"/>
        <v>#REF!</v>
      </c>
      <c r="F843" s="710" t="e">
        <f>#REF!+#REF!+#REF!+#REF!+#REF!+#REF!+#REF!+#REF!+#REF!+#REF!</f>
        <v>#REF!</v>
      </c>
      <c r="G843" s="119" t="e">
        <f>#REF!+#REF!+#REF!+#REF!+#REF!+#REF!+#REF!+#REF!+#REF!+#REF!</f>
        <v>#REF!</v>
      </c>
      <c r="H843" s="1256"/>
      <c r="I843" s="659"/>
      <c r="EZ843" s="675"/>
      <c r="FA843" s="1049"/>
      <c r="FB843" s="1049"/>
      <c r="FC843" s="1049"/>
      <c r="FD843" s="1049"/>
      <c r="FE843" s="1049"/>
      <c r="FF843" s="1049"/>
      <c r="FG843" s="1049"/>
      <c r="FH843" s="1049"/>
      <c r="FI843" s="1049"/>
      <c r="FJ843" s="1049"/>
      <c r="FK843" s="1049"/>
      <c r="FL843" s="1049"/>
    </row>
    <row r="844" spans="1:168" s="1034" customFormat="1" x14ac:dyDescent="0.25">
      <c r="A844" s="146"/>
      <c r="B844" s="621" t="s">
        <v>261</v>
      </c>
      <c r="C844" s="774" t="e">
        <f>SUM(C833:C843)</f>
        <v>#REF!</v>
      </c>
      <c r="D844" s="780">
        <f>SUM(D833:D843)</f>
        <v>3488.17</v>
      </c>
      <c r="E844" s="792" t="e">
        <f>SUM(E833:E843)</f>
        <v>#REF!</v>
      </c>
      <c r="F844" s="661" t="e">
        <f>SUM(F833:F843)</f>
        <v>#REF!</v>
      </c>
      <c r="G844" s="661" t="e">
        <f t="shared" ref="G844:H844" si="502">SUM(G833:G843)</f>
        <v>#REF!</v>
      </c>
      <c r="H844" s="1257">
        <f t="shared" si="502"/>
        <v>0</v>
      </c>
      <c r="I844" s="661"/>
      <c r="EZ844" s="661">
        <f t="shared" ref="EZ844" si="503">SUM(EZ833:EZ843)</f>
        <v>0</v>
      </c>
      <c r="FA844" s="1049"/>
      <c r="FB844" s="1049"/>
      <c r="FC844" s="1049"/>
      <c r="FD844" s="1049"/>
      <c r="FE844" s="1049"/>
      <c r="FF844" s="1049"/>
      <c r="FG844" s="1049"/>
      <c r="FH844" s="1049"/>
      <c r="FI844" s="1049"/>
      <c r="FJ844" s="1049"/>
      <c r="FK844" s="1049"/>
      <c r="FL844" s="1049"/>
    </row>
    <row r="845" spans="1:168" s="1034" customFormat="1" x14ac:dyDescent="0.25">
      <c r="A845" s="147"/>
      <c r="B845" s="427" t="s">
        <v>274</v>
      </c>
      <c r="C845" s="775"/>
      <c r="D845" s="781"/>
      <c r="E845" s="793"/>
      <c r="F845" s="662"/>
      <c r="G845" s="662"/>
      <c r="H845" s="1265"/>
      <c r="I845" s="662"/>
      <c r="EZ845" s="676"/>
      <c r="FA845" s="1049"/>
      <c r="FB845" s="1049"/>
      <c r="FC845" s="1049"/>
      <c r="FD845" s="1049"/>
      <c r="FE845" s="1049"/>
      <c r="FF845" s="1049"/>
      <c r="FG845" s="1049"/>
      <c r="FH845" s="1049"/>
      <c r="FI845" s="1049"/>
      <c r="FJ845" s="1049"/>
      <c r="FK845" s="1049"/>
      <c r="FL845" s="1049"/>
    </row>
    <row r="846" spans="1:168" s="1034" customFormat="1" x14ac:dyDescent="0.25">
      <c r="A846" s="133">
        <v>23</v>
      </c>
      <c r="B846" s="541" t="str">
        <f>AF14</f>
        <v>Капуста свежая</v>
      </c>
      <c r="C846" s="710" t="e">
        <f>#REF!+#REF!++#REF!++#REF!+#REF!+#REF!+#REF!+#REF!++#REF!+#REF!</f>
        <v>#REF!</v>
      </c>
      <c r="D846" s="779">
        <f>цены!$F$33</f>
        <v>53</v>
      </c>
      <c r="E846" s="812" t="e">
        <f t="shared" ref="E846:E884" si="504">E$820</f>
        <v>#REF!</v>
      </c>
      <c r="F846" s="710" t="e">
        <f>#REF!+#REF!+#REF!+#REF!+#REF!+#REF!+#REF!+#REF!+#REF!+#REF!</f>
        <v>#REF!</v>
      </c>
      <c r="G846" s="119" t="e">
        <f>#REF!+#REF!+#REF!+#REF!+#REF!+#REF!+#REF!+#REF!+#REF!+#REF!</f>
        <v>#REF!</v>
      </c>
      <c r="H846" s="1256"/>
      <c r="I846" s="659"/>
      <c r="EZ846" s="675"/>
      <c r="FA846" s="1049"/>
      <c r="FB846" s="1049"/>
      <c r="FC846" s="1049"/>
      <c r="FD846" s="1049"/>
      <c r="FE846" s="1049"/>
      <c r="FF846" s="1049"/>
      <c r="FG846" s="1049"/>
      <c r="FH846" s="1049"/>
      <c r="FI846" s="1049"/>
      <c r="FJ846" s="1049"/>
      <c r="FK846" s="1049"/>
      <c r="FL846" s="1049"/>
    </row>
    <row r="847" spans="1:168" s="1034" customFormat="1" x14ac:dyDescent="0.25">
      <c r="A847" s="133">
        <v>24</v>
      </c>
      <c r="B847" s="542" t="str">
        <f>AG14</f>
        <v>Капуста свежая молодая</v>
      </c>
      <c r="C847" s="710" t="e">
        <f>#REF!+#REF!++#REF!++#REF!+#REF!+#REF!+#REF!+#REF!++#REF!+#REF!</f>
        <v>#REF!</v>
      </c>
      <c r="D847" s="779">
        <f>цены!$F$34</f>
        <v>20</v>
      </c>
      <c r="E847" s="812" t="e">
        <f t="shared" si="504"/>
        <v>#REF!</v>
      </c>
      <c r="F847" s="710" t="e">
        <f>#REF!+#REF!+#REF!+#REF!+#REF!+#REF!+#REF!+#REF!+#REF!+#REF!</f>
        <v>#REF!</v>
      </c>
      <c r="G847" s="119" t="e">
        <f>#REF!+#REF!+#REF!+#REF!+#REF!+#REF!+#REF!+#REF!+#REF!+#REF!</f>
        <v>#REF!</v>
      </c>
      <c r="H847" s="1256"/>
      <c r="I847" s="659"/>
      <c r="EZ847" s="675"/>
      <c r="FA847" s="1049"/>
      <c r="FB847" s="1049"/>
      <c r="FC847" s="1049"/>
      <c r="FD847" s="1049"/>
      <c r="FE847" s="1049"/>
      <c r="FF847" s="1049"/>
      <c r="FG847" s="1049"/>
      <c r="FH847" s="1049"/>
      <c r="FI847" s="1049"/>
      <c r="FJ847" s="1049"/>
      <c r="FK847" s="1049"/>
      <c r="FL847" s="1049"/>
    </row>
    <row r="848" spans="1:168" s="1034" customFormat="1" x14ac:dyDescent="0.25">
      <c r="A848" s="133">
        <v>25</v>
      </c>
      <c r="B848" s="542" t="str">
        <f>AH14</f>
        <v>Картофель</v>
      </c>
      <c r="C848" s="710" t="e">
        <f>#REF!+#REF!++#REF!++#REF!+#REF!+#REF!+#REF!+#REF!++#REF!+#REF!</f>
        <v>#REF!</v>
      </c>
      <c r="D848" s="779">
        <f>цены!$F$35</f>
        <v>50</v>
      </c>
      <c r="E848" s="812" t="e">
        <f t="shared" si="504"/>
        <v>#REF!</v>
      </c>
      <c r="F848" s="710" t="e">
        <f>#REF!+#REF!+#REF!+#REF!+#REF!+#REF!+#REF!+#REF!+#REF!+#REF!</f>
        <v>#REF!</v>
      </c>
      <c r="G848" s="119" t="e">
        <f>#REF!+#REF!+#REF!+#REF!+#REF!+#REF!+#REF!+#REF!+#REF!+#REF!</f>
        <v>#REF!</v>
      </c>
      <c r="H848" s="1256"/>
      <c r="I848" s="659"/>
      <c r="EZ848" s="675"/>
      <c r="FA848" s="1049"/>
      <c r="FB848" s="1049"/>
      <c r="FC848" s="1049"/>
      <c r="FD848" s="1049"/>
      <c r="FE848" s="1049"/>
      <c r="FF848" s="1049"/>
      <c r="FG848" s="1049"/>
      <c r="FH848" s="1049"/>
      <c r="FI848" s="1049"/>
      <c r="FJ848" s="1049"/>
      <c r="FK848" s="1049"/>
      <c r="FL848" s="1049"/>
    </row>
    <row r="849" spans="1:168" s="1034" customFormat="1" x14ac:dyDescent="0.25">
      <c r="A849" s="133">
        <v>26</v>
      </c>
      <c r="B849" s="542" t="str">
        <f>AI14</f>
        <v>Картофель молодой</v>
      </c>
      <c r="C849" s="710" t="e">
        <f>#REF!+#REF!++#REF!++#REF!+#REF!+#REF!+#REF!+#REF!++#REF!+#REF!</f>
        <v>#REF!</v>
      </c>
      <c r="D849" s="779">
        <f>цены!$F$36</f>
        <v>25</v>
      </c>
      <c r="E849" s="812" t="e">
        <f t="shared" si="504"/>
        <v>#REF!</v>
      </c>
      <c r="F849" s="710" t="e">
        <f>#REF!+#REF!+#REF!+#REF!+#REF!+#REF!+#REF!+#REF!+#REF!+#REF!</f>
        <v>#REF!</v>
      </c>
      <c r="G849" s="119" t="e">
        <f>#REF!+#REF!+#REF!+#REF!+#REF!+#REF!+#REF!+#REF!+#REF!+#REF!</f>
        <v>#REF!</v>
      </c>
      <c r="H849" s="1256"/>
      <c r="I849" s="659"/>
      <c r="EZ849" s="675"/>
      <c r="FA849" s="1049"/>
      <c r="FB849" s="1049"/>
      <c r="FC849" s="1049"/>
      <c r="FD849" s="1049"/>
      <c r="FE849" s="1049"/>
      <c r="FF849" s="1049"/>
      <c r="FG849" s="1049"/>
      <c r="FH849" s="1049"/>
      <c r="FI849" s="1049"/>
      <c r="FJ849" s="1049"/>
      <c r="FK849" s="1049"/>
      <c r="FL849" s="1049"/>
    </row>
    <row r="850" spans="1:168" s="1034" customFormat="1" x14ac:dyDescent="0.25">
      <c r="A850" s="133">
        <v>27</v>
      </c>
      <c r="B850" s="542" t="str">
        <f>AJ14</f>
        <v xml:space="preserve">Лимон </v>
      </c>
      <c r="C850" s="710" t="e">
        <f>#REF!+#REF!++#REF!++#REF!+#REF!+#REF!+#REF!+#REF!++#REF!+#REF!</f>
        <v>#REF!</v>
      </c>
      <c r="D850" s="779">
        <f>цены!$F$37</f>
        <v>180</v>
      </c>
      <c r="E850" s="812" t="e">
        <f t="shared" si="504"/>
        <v>#REF!</v>
      </c>
      <c r="F850" s="710" t="e">
        <f>#REF!+#REF!+#REF!+#REF!+#REF!+#REF!+#REF!+#REF!+#REF!+#REF!</f>
        <v>#REF!</v>
      </c>
      <c r="G850" s="119" t="e">
        <f>#REF!+#REF!+#REF!+#REF!+#REF!+#REF!+#REF!+#REF!+#REF!+#REF!</f>
        <v>#REF!</v>
      </c>
      <c r="H850" s="1256"/>
      <c r="I850" s="659"/>
      <c r="EZ850" s="675"/>
      <c r="FA850" s="1049"/>
      <c r="FB850" s="1049"/>
      <c r="FC850" s="1049"/>
      <c r="FD850" s="1049"/>
      <c r="FE850" s="1049"/>
      <c r="FF850" s="1049"/>
      <c r="FG850" s="1049"/>
      <c r="FH850" s="1049"/>
      <c r="FI850" s="1049"/>
      <c r="FJ850" s="1049"/>
      <c r="FK850" s="1049"/>
      <c r="FL850" s="1049"/>
    </row>
    <row r="851" spans="1:168" s="1034" customFormat="1" x14ac:dyDescent="0.25">
      <c r="A851" s="133">
        <v>28</v>
      </c>
      <c r="B851" s="542" t="str">
        <f>AK14</f>
        <v>Лук репчатый</v>
      </c>
      <c r="C851" s="710" t="e">
        <f>#REF!+#REF!++#REF!++#REF!+#REF!+#REF!+#REF!+#REF!++#REF!+#REF!</f>
        <v>#REF!</v>
      </c>
      <c r="D851" s="779">
        <f>цены!$F$38</f>
        <v>50</v>
      </c>
      <c r="E851" s="812" t="e">
        <f t="shared" si="504"/>
        <v>#REF!</v>
      </c>
      <c r="F851" s="710" t="e">
        <f>#REF!+#REF!+#REF!+#REF!+#REF!+#REF!+#REF!+#REF!+#REF!+#REF!</f>
        <v>#REF!</v>
      </c>
      <c r="G851" s="119" t="e">
        <f>#REF!+#REF!+#REF!+#REF!+#REF!+#REF!+#REF!+#REF!+#REF!+#REF!</f>
        <v>#REF!</v>
      </c>
      <c r="H851" s="1256"/>
      <c r="I851" s="659"/>
      <c r="EZ851" s="675"/>
      <c r="FA851" s="1049"/>
      <c r="FB851" s="1049"/>
      <c r="FC851" s="1049"/>
      <c r="FD851" s="1049"/>
      <c r="FE851" s="1049"/>
      <c r="FF851" s="1049"/>
      <c r="FG851" s="1049"/>
      <c r="FH851" s="1049"/>
      <c r="FI851" s="1049"/>
      <c r="FJ851" s="1049"/>
      <c r="FK851" s="1049"/>
      <c r="FL851" s="1049"/>
    </row>
    <row r="852" spans="1:168" s="1034" customFormat="1" x14ac:dyDescent="0.25">
      <c r="A852" s="133">
        <v>29</v>
      </c>
      <c r="B852" s="542" t="str">
        <f>AL14</f>
        <v>Лук зеленый</v>
      </c>
      <c r="C852" s="710" t="e">
        <f>#REF!+#REF!++#REF!++#REF!+#REF!+#REF!+#REF!+#REF!++#REF!+#REF!</f>
        <v>#REF!</v>
      </c>
      <c r="D852" s="779">
        <f>цены!$F$39</f>
        <v>300</v>
      </c>
      <c r="E852" s="812" t="e">
        <f t="shared" si="504"/>
        <v>#REF!</v>
      </c>
      <c r="F852" s="710" t="e">
        <f>#REF!+#REF!+#REF!+#REF!+#REF!+#REF!+#REF!+#REF!+#REF!+#REF!</f>
        <v>#REF!</v>
      </c>
      <c r="G852" s="119" t="e">
        <f>#REF!+#REF!+#REF!+#REF!+#REF!+#REF!+#REF!+#REF!+#REF!+#REF!</f>
        <v>#REF!</v>
      </c>
      <c r="H852" s="1256"/>
      <c r="I852" s="659"/>
      <c r="EZ852" s="675"/>
      <c r="FA852" s="1049"/>
      <c r="FB852" s="1049"/>
      <c r="FC852" s="1049"/>
      <c r="FD852" s="1049"/>
      <c r="FE852" s="1049"/>
      <c r="FF852" s="1049"/>
      <c r="FG852" s="1049"/>
      <c r="FH852" s="1049"/>
      <c r="FI852" s="1049"/>
      <c r="FJ852" s="1049"/>
      <c r="FK852" s="1049"/>
      <c r="FL852" s="1049"/>
    </row>
    <row r="853" spans="1:168" s="1034" customFormat="1" x14ac:dyDescent="0.25">
      <c r="A853" s="133">
        <v>30</v>
      </c>
      <c r="B853" s="542" t="str">
        <f>AM14</f>
        <v>Чеснок</v>
      </c>
      <c r="C853" s="710" t="e">
        <f>#REF!+#REF!++#REF!++#REF!+#REF!+#REF!+#REF!+#REF!++#REF!+#REF!</f>
        <v>#REF!</v>
      </c>
      <c r="D853" s="779">
        <f>цены!$F$40</f>
        <v>200</v>
      </c>
      <c r="E853" s="812" t="e">
        <f t="shared" si="504"/>
        <v>#REF!</v>
      </c>
      <c r="F853" s="710" t="e">
        <f>#REF!+#REF!+#REF!+#REF!+#REF!+#REF!+#REF!+#REF!+#REF!+#REF!</f>
        <v>#REF!</v>
      </c>
      <c r="G853" s="119" t="e">
        <f>#REF!+#REF!+#REF!+#REF!+#REF!+#REF!+#REF!+#REF!+#REF!+#REF!</f>
        <v>#REF!</v>
      </c>
      <c r="H853" s="1256"/>
      <c r="I853" s="659"/>
      <c r="EZ853" s="675"/>
      <c r="FA853" s="1049"/>
      <c r="FB853" s="1049"/>
      <c r="FC853" s="1049"/>
      <c r="FD853" s="1049"/>
      <c r="FE853" s="1049"/>
      <c r="FF853" s="1049"/>
      <c r="FG853" s="1049"/>
      <c r="FH853" s="1049"/>
      <c r="FI853" s="1049"/>
      <c r="FJ853" s="1049"/>
      <c r="FK853" s="1049"/>
      <c r="FL853" s="1049"/>
    </row>
    <row r="854" spans="1:168" s="1034" customFormat="1" x14ac:dyDescent="0.25">
      <c r="A854" s="133">
        <v>31</v>
      </c>
      <c r="B854" s="542" t="str">
        <f>AN14</f>
        <v>Помидоры</v>
      </c>
      <c r="C854" s="710" t="e">
        <f>#REF!+#REF!++#REF!++#REF!+#REF!+#REF!+#REF!+#REF!++#REF!+#REF!</f>
        <v>#REF!</v>
      </c>
      <c r="D854" s="779">
        <f>цены!$F$41</f>
        <v>106</v>
      </c>
      <c r="E854" s="812" t="e">
        <f t="shared" si="504"/>
        <v>#REF!</v>
      </c>
      <c r="F854" s="710" t="e">
        <f>#REF!+#REF!+#REF!+#REF!+#REF!+#REF!+#REF!+#REF!+#REF!+#REF!</f>
        <v>#REF!</v>
      </c>
      <c r="G854" s="119" t="e">
        <f>#REF!+#REF!+#REF!+#REF!+#REF!+#REF!+#REF!+#REF!+#REF!+#REF!</f>
        <v>#REF!</v>
      </c>
      <c r="H854" s="1256"/>
      <c r="I854" s="659"/>
      <c r="EZ854" s="675"/>
      <c r="FA854" s="1049"/>
      <c r="FB854" s="1049"/>
      <c r="FC854" s="1049"/>
      <c r="FD854" s="1049"/>
      <c r="FE854" s="1049"/>
      <c r="FF854" s="1049"/>
      <c r="FG854" s="1049"/>
      <c r="FH854" s="1049"/>
      <c r="FI854" s="1049"/>
      <c r="FJ854" s="1049"/>
      <c r="FK854" s="1049"/>
      <c r="FL854" s="1049"/>
    </row>
    <row r="855" spans="1:168" s="1034" customFormat="1" x14ac:dyDescent="0.25">
      <c r="A855" s="133">
        <v>32</v>
      </c>
      <c r="B855" s="542" t="str">
        <f>AO14</f>
        <v>Огурцы</v>
      </c>
      <c r="C855" s="710" t="e">
        <f>#REF!+#REF!++#REF!++#REF!+#REF!+#REF!+#REF!+#REF!++#REF!+#REF!</f>
        <v>#REF!</v>
      </c>
      <c r="D855" s="779">
        <f>цены!$F$42</f>
        <v>60</v>
      </c>
      <c r="E855" s="812" t="e">
        <f t="shared" si="504"/>
        <v>#REF!</v>
      </c>
      <c r="F855" s="710" t="e">
        <f>#REF!+#REF!+#REF!+#REF!+#REF!+#REF!+#REF!+#REF!+#REF!+#REF!</f>
        <v>#REF!</v>
      </c>
      <c r="G855" s="119" t="e">
        <f>#REF!+#REF!+#REF!+#REF!+#REF!+#REF!+#REF!+#REF!+#REF!+#REF!</f>
        <v>#REF!</v>
      </c>
      <c r="H855" s="1256"/>
      <c r="I855" s="659"/>
      <c r="EZ855" s="675"/>
      <c r="FA855" s="1049"/>
      <c r="FB855" s="1049"/>
      <c r="FC855" s="1049"/>
      <c r="FD855" s="1049"/>
      <c r="FE855" s="1049"/>
      <c r="FF855" s="1049"/>
      <c r="FG855" s="1049"/>
      <c r="FH855" s="1049"/>
      <c r="FI855" s="1049"/>
      <c r="FJ855" s="1049"/>
      <c r="FK855" s="1049"/>
      <c r="FL855" s="1049"/>
    </row>
    <row r="856" spans="1:168" s="1034" customFormat="1" x14ac:dyDescent="0.25">
      <c r="A856" s="133">
        <v>33</v>
      </c>
      <c r="B856" s="542" t="str">
        <f>AP14</f>
        <v>Салат зеленый</v>
      </c>
      <c r="C856" s="710" t="e">
        <f>#REF!+#REF!++#REF!++#REF!+#REF!+#REF!+#REF!+#REF!++#REF!+#REF!</f>
        <v>#REF!</v>
      </c>
      <c r="D856" s="779">
        <f>цены!$F$43</f>
        <v>200</v>
      </c>
      <c r="E856" s="812" t="e">
        <f t="shared" si="504"/>
        <v>#REF!</v>
      </c>
      <c r="F856" s="710" t="e">
        <f>#REF!+#REF!+#REF!+#REF!+#REF!+#REF!+#REF!+#REF!+#REF!+#REF!</f>
        <v>#REF!</v>
      </c>
      <c r="G856" s="119" t="e">
        <f>#REF!+#REF!+#REF!+#REF!+#REF!+#REF!+#REF!+#REF!+#REF!+#REF!</f>
        <v>#REF!</v>
      </c>
      <c r="H856" s="1256"/>
      <c r="I856" s="659"/>
      <c r="EZ856" s="675"/>
      <c r="FA856" s="1049"/>
      <c r="FB856" s="1049"/>
      <c r="FC856" s="1049"/>
      <c r="FD856" s="1049"/>
      <c r="FE856" s="1049"/>
      <c r="FF856" s="1049"/>
      <c r="FG856" s="1049"/>
      <c r="FH856" s="1049"/>
      <c r="FI856" s="1049"/>
      <c r="FJ856" s="1049"/>
      <c r="FK856" s="1049"/>
      <c r="FL856" s="1049"/>
    </row>
    <row r="857" spans="1:168" s="1034" customFormat="1" x14ac:dyDescent="0.25">
      <c r="A857" s="133">
        <v>34</v>
      </c>
      <c r="B857" s="542" t="str">
        <f>AQ14</f>
        <v>Морковь столовая</v>
      </c>
      <c r="C857" s="710" t="e">
        <f>#REF!+#REF!++#REF!++#REF!+#REF!+#REF!+#REF!+#REF!++#REF!+#REF!</f>
        <v>#REF!</v>
      </c>
      <c r="D857" s="779">
        <f>цены!$F$44</f>
        <v>50</v>
      </c>
      <c r="E857" s="812" t="e">
        <f t="shared" si="504"/>
        <v>#REF!</v>
      </c>
      <c r="F857" s="710" t="e">
        <f>#REF!+#REF!+#REF!+#REF!+#REF!+#REF!+#REF!+#REF!+#REF!+#REF!</f>
        <v>#REF!</v>
      </c>
      <c r="G857" s="119" t="e">
        <f>#REF!+#REF!+#REF!+#REF!+#REF!+#REF!+#REF!+#REF!+#REF!+#REF!</f>
        <v>#REF!</v>
      </c>
      <c r="H857" s="1256"/>
      <c r="I857" s="659"/>
      <c r="EZ857" s="675"/>
      <c r="FA857" s="1049"/>
      <c r="FB857" s="1049"/>
      <c r="FC857" s="1049"/>
      <c r="FD857" s="1049"/>
      <c r="FE857" s="1049"/>
      <c r="FF857" s="1049"/>
      <c r="FG857" s="1049"/>
      <c r="FH857" s="1049"/>
      <c r="FI857" s="1049"/>
      <c r="FJ857" s="1049"/>
      <c r="FK857" s="1049"/>
      <c r="FL857" s="1049"/>
    </row>
    <row r="858" spans="1:168" s="1034" customFormat="1" x14ac:dyDescent="0.25">
      <c r="A858" s="133">
        <v>35</v>
      </c>
      <c r="B858" s="542" t="str">
        <f>AR14</f>
        <v>Морковь столовая молодая</v>
      </c>
      <c r="C858" s="710" t="e">
        <f>#REF!+#REF!++#REF!++#REF!+#REF!+#REF!+#REF!+#REF!++#REF!+#REF!</f>
        <v>#REF!</v>
      </c>
      <c r="D858" s="779">
        <f>цены!$F$45</f>
        <v>35</v>
      </c>
      <c r="E858" s="812" t="e">
        <f t="shared" si="504"/>
        <v>#REF!</v>
      </c>
      <c r="F858" s="710" t="e">
        <f>#REF!+#REF!+#REF!+#REF!+#REF!+#REF!+#REF!+#REF!+#REF!+#REF!</f>
        <v>#REF!</v>
      </c>
      <c r="G858" s="119" t="e">
        <f>#REF!+#REF!+#REF!+#REF!+#REF!+#REF!+#REF!+#REF!+#REF!+#REF!</f>
        <v>#REF!</v>
      </c>
      <c r="H858" s="1256"/>
      <c r="I858" s="659"/>
      <c r="EZ858" s="675"/>
      <c r="FA858" s="1049"/>
      <c r="FB858" s="1049"/>
      <c r="FC858" s="1049"/>
      <c r="FD858" s="1049"/>
      <c r="FE858" s="1049"/>
      <c r="FF858" s="1049"/>
      <c r="FG858" s="1049"/>
      <c r="FH858" s="1049"/>
      <c r="FI858" s="1049"/>
      <c r="FJ858" s="1049"/>
      <c r="FK858" s="1049"/>
      <c r="FL858" s="1049"/>
    </row>
    <row r="859" spans="1:168" s="1034" customFormat="1" x14ac:dyDescent="0.25">
      <c r="A859" s="133">
        <v>36</v>
      </c>
      <c r="B859" s="542" t="str">
        <f>AS14</f>
        <v>Перец сладкий</v>
      </c>
      <c r="C859" s="710" t="e">
        <f>#REF!+#REF!++#REF!++#REF!+#REF!+#REF!+#REF!+#REF!++#REF!+#REF!</f>
        <v>#REF!</v>
      </c>
      <c r="D859" s="779">
        <f>цены!$F$46</f>
        <v>250</v>
      </c>
      <c r="E859" s="812" t="e">
        <f t="shared" si="504"/>
        <v>#REF!</v>
      </c>
      <c r="F859" s="710" t="e">
        <f>#REF!+#REF!+#REF!+#REF!+#REF!+#REF!+#REF!+#REF!+#REF!+#REF!</f>
        <v>#REF!</v>
      </c>
      <c r="G859" s="119" t="e">
        <f>#REF!+#REF!+#REF!+#REF!+#REF!+#REF!+#REF!+#REF!+#REF!+#REF!</f>
        <v>#REF!</v>
      </c>
      <c r="H859" s="1256"/>
      <c r="I859" s="659"/>
      <c r="EZ859" s="675"/>
      <c r="FA859" s="1049"/>
      <c r="FB859" s="1049"/>
      <c r="FC859" s="1049"/>
      <c r="FD859" s="1049"/>
      <c r="FE859" s="1049"/>
      <c r="FF859" s="1049"/>
      <c r="FG859" s="1049"/>
      <c r="FH859" s="1049"/>
      <c r="FI859" s="1049"/>
      <c r="FJ859" s="1049"/>
      <c r="FK859" s="1049"/>
      <c r="FL859" s="1049"/>
    </row>
    <row r="860" spans="1:168" s="1034" customFormat="1" x14ac:dyDescent="0.25">
      <c r="A860" s="133">
        <v>37</v>
      </c>
      <c r="B860" s="542" t="str">
        <f>AT14</f>
        <v>Петрушка корневая</v>
      </c>
      <c r="C860" s="710" t="e">
        <f>#REF!+#REF!++#REF!++#REF!+#REF!+#REF!+#REF!+#REF!++#REF!+#REF!</f>
        <v>#REF!</v>
      </c>
      <c r="D860" s="779">
        <f>цены!$F$47</f>
        <v>300</v>
      </c>
      <c r="E860" s="812" t="e">
        <f t="shared" si="504"/>
        <v>#REF!</v>
      </c>
      <c r="F860" s="710" t="e">
        <f>#REF!+#REF!+#REF!+#REF!+#REF!+#REF!+#REF!+#REF!+#REF!+#REF!</f>
        <v>#REF!</v>
      </c>
      <c r="G860" s="119" t="e">
        <f>#REF!+#REF!+#REF!+#REF!+#REF!+#REF!+#REF!+#REF!+#REF!+#REF!</f>
        <v>#REF!</v>
      </c>
      <c r="H860" s="1256"/>
      <c r="I860" s="659"/>
      <c r="EZ860" s="675"/>
      <c r="FA860" s="1049"/>
      <c r="FB860" s="1049"/>
      <c r="FC860" s="1049"/>
      <c r="FD860" s="1049"/>
      <c r="FE860" s="1049"/>
      <c r="FF860" s="1049"/>
      <c r="FG860" s="1049"/>
      <c r="FH860" s="1049"/>
      <c r="FI860" s="1049"/>
      <c r="FJ860" s="1049"/>
      <c r="FK860" s="1049"/>
      <c r="FL860" s="1049"/>
    </row>
    <row r="861" spans="1:168" s="1034" customFormat="1" x14ac:dyDescent="0.25">
      <c r="A861" s="133">
        <v>38</v>
      </c>
      <c r="B861" s="542" t="str">
        <f>AU14</f>
        <v>Петрушка зеленая</v>
      </c>
      <c r="C861" s="710" t="e">
        <f>#REF!+#REF!++#REF!++#REF!+#REF!+#REF!+#REF!+#REF!++#REF!+#REF!</f>
        <v>#REF!</v>
      </c>
      <c r="D861" s="779">
        <f>цены!$F$48</f>
        <v>300</v>
      </c>
      <c r="E861" s="812" t="e">
        <f t="shared" si="504"/>
        <v>#REF!</v>
      </c>
      <c r="F861" s="710" t="e">
        <f>#REF!+#REF!+#REF!+#REF!+#REF!+#REF!+#REF!+#REF!+#REF!+#REF!</f>
        <v>#REF!</v>
      </c>
      <c r="G861" s="119" t="e">
        <f>#REF!+#REF!+#REF!+#REF!+#REF!+#REF!+#REF!+#REF!+#REF!+#REF!</f>
        <v>#REF!</v>
      </c>
      <c r="H861" s="1256"/>
      <c r="I861" s="659"/>
      <c r="EZ861" s="675"/>
      <c r="FA861" s="1049"/>
      <c r="FB861" s="1049"/>
      <c r="FC861" s="1049"/>
      <c r="FD861" s="1049"/>
      <c r="FE861" s="1049"/>
      <c r="FF861" s="1049"/>
      <c r="FG861" s="1049"/>
      <c r="FH861" s="1049"/>
      <c r="FI861" s="1049"/>
      <c r="FJ861" s="1049"/>
      <c r="FK861" s="1049"/>
      <c r="FL861" s="1049"/>
    </row>
    <row r="862" spans="1:168" s="1034" customFormat="1" x14ac:dyDescent="0.25">
      <c r="A862" s="133">
        <v>39</v>
      </c>
      <c r="B862" s="542" t="str">
        <f>AV14</f>
        <v>Щавель</v>
      </c>
      <c r="C862" s="710" t="e">
        <f>#REF!+#REF!++#REF!++#REF!+#REF!+#REF!+#REF!+#REF!++#REF!+#REF!</f>
        <v>#REF!</v>
      </c>
      <c r="D862" s="779">
        <f>цены!$F$49</f>
        <v>260</v>
      </c>
      <c r="E862" s="812" t="e">
        <f t="shared" si="504"/>
        <v>#REF!</v>
      </c>
      <c r="F862" s="710" t="e">
        <f>#REF!+#REF!+#REF!+#REF!+#REF!+#REF!+#REF!+#REF!+#REF!+#REF!</f>
        <v>#REF!</v>
      </c>
      <c r="G862" s="119" t="e">
        <f>#REF!+#REF!+#REF!+#REF!+#REF!+#REF!+#REF!+#REF!+#REF!+#REF!</f>
        <v>#REF!</v>
      </c>
      <c r="H862" s="1256"/>
      <c r="I862" s="659"/>
      <c r="EZ862" s="675"/>
      <c r="FA862" s="1049"/>
      <c r="FB862" s="1049"/>
      <c r="FC862" s="1049"/>
      <c r="FD862" s="1049"/>
      <c r="FE862" s="1049"/>
      <c r="FF862" s="1049"/>
      <c r="FG862" s="1049"/>
      <c r="FH862" s="1049"/>
      <c r="FI862" s="1049"/>
      <c r="FJ862" s="1049"/>
      <c r="FK862" s="1049"/>
      <c r="FL862" s="1049"/>
    </row>
    <row r="863" spans="1:168" s="1034" customFormat="1" x14ac:dyDescent="0.25">
      <c r="A863" s="133">
        <v>40</v>
      </c>
      <c r="B863" s="542" t="str">
        <f>AW14</f>
        <v>Шпинат</v>
      </c>
      <c r="C863" s="710" t="e">
        <f>#REF!+#REF!++#REF!++#REF!+#REF!+#REF!+#REF!+#REF!++#REF!+#REF!</f>
        <v>#REF!</v>
      </c>
      <c r="D863" s="779">
        <f>цены!$F$50</f>
        <v>260</v>
      </c>
      <c r="E863" s="812" t="e">
        <f t="shared" si="504"/>
        <v>#REF!</v>
      </c>
      <c r="F863" s="710" t="e">
        <f>#REF!+#REF!+#REF!+#REF!+#REF!+#REF!+#REF!+#REF!+#REF!+#REF!</f>
        <v>#REF!</v>
      </c>
      <c r="G863" s="119" t="e">
        <f>#REF!+#REF!+#REF!+#REF!+#REF!+#REF!+#REF!+#REF!+#REF!+#REF!</f>
        <v>#REF!</v>
      </c>
      <c r="H863" s="1256"/>
      <c r="I863" s="659"/>
      <c r="EZ863" s="675"/>
      <c r="FA863" s="1049"/>
      <c r="FB863" s="1049"/>
      <c r="FC863" s="1049"/>
      <c r="FD863" s="1049"/>
      <c r="FE863" s="1049"/>
      <c r="FF863" s="1049"/>
      <c r="FG863" s="1049"/>
      <c r="FH863" s="1049"/>
      <c r="FI863" s="1049"/>
      <c r="FJ863" s="1049"/>
      <c r="FK863" s="1049"/>
      <c r="FL863" s="1049"/>
    </row>
    <row r="864" spans="1:168" s="1034" customFormat="1" x14ac:dyDescent="0.25">
      <c r="A864" s="133">
        <v>41</v>
      </c>
      <c r="B864" s="542" t="str">
        <f>AX14</f>
        <v>Свекла столовая</v>
      </c>
      <c r="C864" s="710" t="e">
        <f>#REF!+#REF!++#REF!++#REF!+#REF!+#REF!+#REF!+#REF!++#REF!+#REF!</f>
        <v>#REF!</v>
      </c>
      <c r="D864" s="779">
        <f>цены!$F$51</f>
        <v>30</v>
      </c>
      <c r="E864" s="812" t="e">
        <f t="shared" si="504"/>
        <v>#REF!</v>
      </c>
      <c r="F864" s="710" t="e">
        <f>#REF!+#REF!+#REF!+#REF!+#REF!+#REF!+#REF!+#REF!+#REF!+#REF!</f>
        <v>#REF!</v>
      </c>
      <c r="G864" s="119" t="e">
        <f>#REF!+#REF!+#REF!+#REF!+#REF!+#REF!+#REF!+#REF!+#REF!+#REF!</f>
        <v>#REF!</v>
      </c>
      <c r="H864" s="1256"/>
      <c r="I864" s="659"/>
      <c r="EZ864" s="675"/>
      <c r="FA864" s="1049"/>
      <c r="FB864" s="1049"/>
      <c r="FC864" s="1049"/>
      <c r="FD864" s="1049"/>
      <c r="FE864" s="1049"/>
      <c r="FF864" s="1049"/>
      <c r="FG864" s="1049"/>
      <c r="FH864" s="1049"/>
      <c r="FI864" s="1049"/>
      <c r="FJ864" s="1049"/>
      <c r="FK864" s="1049"/>
      <c r="FL864" s="1049"/>
    </row>
    <row r="865" spans="1:168" s="1034" customFormat="1" x14ac:dyDescent="0.25">
      <c r="A865" s="133">
        <v>42</v>
      </c>
      <c r="B865" s="542" t="str">
        <f>AY14</f>
        <v>Свекла столовая свежая</v>
      </c>
      <c r="C865" s="710" t="e">
        <f>#REF!+#REF!++#REF!++#REF!+#REF!+#REF!+#REF!+#REF!++#REF!+#REF!</f>
        <v>#REF!</v>
      </c>
      <c r="D865" s="779">
        <f>цены!$F$52</f>
        <v>36</v>
      </c>
      <c r="E865" s="812" t="e">
        <f t="shared" si="504"/>
        <v>#REF!</v>
      </c>
      <c r="F865" s="710" t="e">
        <f>#REF!+#REF!+#REF!+#REF!+#REF!+#REF!+#REF!+#REF!+#REF!+#REF!</f>
        <v>#REF!</v>
      </c>
      <c r="G865" s="119" t="e">
        <f>#REF!+#REF!+#REF!+#REF!+#REF!+#REF!+#REF!+#REF!+#REF!+#REF!</f>
        <v>#REF!</v>
      </c>
      <c r="H865" s="1256"/>
      <c r="I865" s="659"/>
      <c r="EZ865" s="675"/>
      <c r="FA865" s="1049"/>
      <c r="FB865" s="1049"/>
      <c r="FC865" s="1049"/>
      <c r="FD865" s="1049"/>
      <c r="FE865" s="1049"/>
      <c r="FF865" s="1049"/>
      <c r="FG865" s="1049"/>
      <c r="FH865" s="1049"/>
      <c r="FI865" s="1049"/>
      <c r="FJ865" s="1049"/>
      <c r="FK865" s="1049"/>
      <c r="FL865" s="1049"/>
    </row>
    <row r="866" spans="1:168" s="1034" customFormat="1" x14ac:dyDescent="0.25">
      <c r="A866" s="133">
        <v>43</v>
      </c>
      <c r="B866" s="542" t="str">
        <f>AZ14</f>
        <v>Кабачки</v>
      </c>
      <c r="C866" s="710" t="e">
        <f>#REF!+#REF!++#REF!++#REF!+#REF!+#REF!+#REF!+#REF!++#REF!+#REF!</f>
        <v>#REF!</v>
      </c>
      <c r="D866" s="779">
        <f>цены!$F$53</f>
        <v>160</v>
      </c>
      <c r="E866" s="812" t="e">
        <f t="shared" si="504"/>
        <v>#REF!</v>
      </c>
      <c r="F866" s="710" t="e">
        <f>#REF!+#REF!+#REF!+#REF!+#REF!+#REF!+#REF!+#REF!+#REF!+#REF!</f>
        <v>#REF!</v>
      </c>
      <c r="G866" s="119" t="e">
        <f>#REF!+#REF!+#REF!+#REF!+#REF!+#REF!+#REF!+#REF!+#REF!+#REF!</f>
        <v>#REF!</v>
      </c>
      <c r="H866" s="1256"/>
      <c r="I866" s="659"/>
      <c r="EZ866" s="675"/>
      <c r="FA866" s="1049"/>
      <c r="FB866" s="1049"/>
      <c r="FC866" s="1049"/>
      <c r="FD866" s="1049"/>
      <c r="FE866" s="1049"/>
      <c r="FF866" s="1049"/>
      <c r="FG866" s="1049"/>
      <c r="FH866" s="1049"/>
      <c r="FI866" s="1049"/>
      <c r="FJ866" s="1049"/>
      <c r="FK866" s="1049"/>
      <c r="FL866" s="1049"/>
    </row>
    <row r="867" spans="1:168" s="1034" customFormat="1" x14ac:dyDescent="0.25">
      <c r="A867" s="133">
        <v>44</v>
      </c>
      <c r="B867" s="542" t="str">
        <f>BA14</f>
        <v>Репа</v>
      </c>
      <c r="C867" s="710" t="e">
        <f>#REF!+#REF!++#REF!++#REF!+#REF!+#REF!+#REF!+#REF!++#REF!+#REF!</f>
        <v>#REF!</v>
      </c>
      <c r="D867" s="779">
        <f>цены!$F$54</f>
        <v>60</v>
      </c>
      <c r="E867" s="812" t="e">
        <f t="shared" si="504"/>
        <v>#REF!</v>
      </c>
      <c r="F867" s="710" t="e">
        <f>#REF!+#REF!+#REF!+#REF!+#REF!+#REF!+#REF!+#REF!+#REF!+#REF!</f>
        <v>#REF!</v>
      </c>
      <c r="G867" s="119" t="e">
        <f>#REF!+#REF!+#REF!+#REF!+#REF!+#REF!+#REF!+#REF!+#REF!+#REF!</f>
        <v>#REF!</v>
      </c>
      <c r="H867" s="1256"/>
      <c r="I867" s="659"/>
      <c r="EZ867" s="675"/>
      <c r="FA867" s="1049"/>
      <c r="FB867" s="1049"/>
      <c r="FC867" s="1049"/>
      <c r="FD867" s="1049"/>
      <c r="FE867" s="1049"/>
      <c r="FF867" s="1049"/>
      <c r="FG867" s="1049"/>
      <c r="FH867" s="1049"/>
      <c r="FI867" s="1049"/>
      <c r="FJ867" s="1049"/>
      <c r="FK867" s="1049"/>
      <c r="FL867" s="1049"/>
    </row>
    <row r="868" spans="1:168" s="1034" customFormat="1" x14ac:dyDescent="0.25">
      <c r="A868" s="133">
        <v>45</v>
      </c>
      <c r="B868" s="542" t="str">
        <f>BB14</f>
        <v>Сливы</v>
      </c>
      <c r="C868" s="710" t="e">
        <f>#REF!+#REF!++#REF!++#REF!+#REF!+#REF!+#REF!+#REF!++#REF!+#REF!</f>
        <v>#REF!</v>
      </c>
      <c r="D868" s="779">
        <f>цены!$F$55</f>
        <v>100</v>
      </c>
      <c r="E868" s="812" t="e">
        <f t="shared" si="504"/>
        <v>#REF!</v>
      </c>
      <c r="F868" s="710" t="e">
        <f>#REF!+#REF!+#REF!+#REF!+#REF!+#REF!+#REF!+#REF!+#REF!+#REF!</f>
        <v>#REF!</v>
      </c>
      <c r="G868" s="119" t="e">
        <f>#REF!+#REF!+#REF!+#REF!+#REF!+#REF!+#REF!+#REF!+#REF!+#REF!</f>
        <v>#REF!</v>
      </c>
      <c r="H868" s="1256"/>
      <c r="I868" s="659"/>
      <c r="EZ868" s="675"/>
      <c r="FA868" s="1049"/>
      <c r="FB868" s="1049"/>
      <c r="FC868" s="1049"/>
      <c r="FD868" s="1049"/>
      <c r="FE868" s="1049"/>
      <c r="FF868" s="1049"/>
      <c r="FG868" s="1049"/>
      <c r="FH868" s="1049"/>
      <c r="FI868" s="1049"/>
      <c r="FJ868" s="1049"/>
      <c r="FK868" s="1049"/>
      <c r="FL868" s="1049"/>
    </row>
    <row r="869" spans="1:168" s="1034" customFormat="1" x14ac:dyDescent="0.25">
      <c r="A869" s="133">
        <v>46</v>
      </c>
      <c r="B869" s="542" t="str">
        <f>BC14</f>
        <v>Редис красный</v>
      </c>
      <c r="C869" s="710" t="e">
        <f>#REF!+#REF!++#REF!++#REF!+#REF!+#REF!+#REF!+#REF!++#REF!+#REF!</f>
        <v>#REF!</v>
      </c>
      <c r="D869" s="779">
        <f>цены!$F$56</f>
        <v>50</v>
      </c>
      <c r="E869" s="812" t="e">
        <f t="shared" si="504"/>
        <v>#REF!</v>
      </c>
      <c r="F869" s="710" t="e">
        <f>#REF!+#REF!+#REF!+#REF!+#REF!+#REF!+#REF!+#REF!+#REF!+#REF!</f>
        <v>#REF!</v>
      </c>
      <c r="G869" s="119" t="e">
        <f>#REF!+#REF!+#REF!+#REF!+#REF!+#REF!+#REF!+#REF!+#REF!+#REF!</f>
        <v>#REF!</v>
      </c>
      <c r="H869" s="1256"/>
      <c r="I869" s="659"/>
      <c r="EZ869" s="675"/>
      <c r="FA869" s="1049"/>
      <c r="FB869" s="1049"/>
      <c r="FC869" s="1049"/>
      <c r="FD869" s="1049"/>
      <c r="FE869" s="1049"/>
      <c r="FF869" s="1049"/>
      <c r="FG869" s="1049"/>
      <c r="FH869" s="1049"/>
      <c r="FI869" s="1049"/>
      <c r="FJ869" s="1049"/>
      <c r="FK869" s="1049"/>
      <c r="FL869" s="1049"/>
    </row>
    <row r="870" spans="1:168" s="1034" customFormat="1" x14ac:dyDescent="0.25">
      <c r="A870" s="133">
        <v>47</v>
      </c>
      <c r="B870" s="542" t="str">
        <f>BD14</f>
        <v>Черешня</v>
      </c>
      <c r="C870" s="710" t="e">
        <f>#REF!+#REF!++#REF!++#REF!+#REF!+#REF!+#REF!+#REF!++#REF!+#REF!</f>
        <v>#REF!</v>
      </c>
      <c r="D870" s="779">
        <f>цены!$F$57</f>
        <v>160</v>
      </c>
      <c r="E870" s="812" t="e">
        <f t="shared" si="504"/>
        <v>#REF!</v>
      </c>
      <c r="F870" s="710" t="e">
        <f>#REF!+#REF!+#REF!+#REF!+#REF!+#REF!+#REF!+#REF!+#REF!+#REF!</f>
        <v>#REF!</v>
      </c>
      <c r="G870" s="119" t="e">
        <f>#REF!+#REF!+#REF!+#REF!+#REF!+#REF!+#REF!+#REF!+#REF!+#REF!</f>
        <v>#REF!</v>
      </c>
      <c r="H870" s="1256"/>
      <c r="I870" s="659"/>
      <c r="EZ870" s="675"/>
      <c r="FA870" s="1049"/>
      <c r="FB870" s="1049"/>
      <c r="FC870" s="1049"/>
      <c r="FD870" s="1049"/>
      <c r="FE870" s="1049"/>
      <c r="FF870" s="1049"/>
      <c r="FG870" s="1049"/>
      <c r="FH870" s="1049"/>
      <c r="FI870" s="1049"/>
      <c r="FJ870" s="1049"/>
      <c r="FK870" s="1049"/>
      <c r="FL870" s="1049"/>
    </row>
    <row r="871" spans="1:168" s="1034" customFormat="1" x14ac:dyDescent="0.25">
      <c r="A871" s="133">
        <v>48</v>
      </c>
      <c r="B871" s="542" t="str">
        <f>BE14</f>
        <v>Земляника садовая (клубника)</v>
      </c>
      <c r="C871" s="710" t="e">
        <f>#REF!+#REF!++#REF!++#REF!+#REF!+#REF!+#REF!+#REF!++#REF!+#REF!</f>
        <v>#REF!</v>
      </c>
      <c r="D871" s="779">
        <f>цены!$F$58</f>
        <v>160</v>
      </c>
      <c r="E871" s="812" t="e">
        <f t="shared" si="504"/>
        <v>#REF!</v>
      </c>
      <c r="F871" s="710" t="e">
        <f>#REF!+#REF!+#REF!+#REF!+#REF!+#REF!+#REF!+#REF!+#REF!+#REF!</f>
        <v>#REF!</v>
      </c>
      <c r="G871" s="119" t="e">
        <f>#REF!+#REF!+#REF!+#REF!+#REF!+#REF!+#REF!+#REF!+#REF!+#REF!</f>
        <v>#REF!</v>
      </c>
      <c r="H871" s="1256"/>
      <c r="I871" s="659"/>
      <c r="EZ871" s="675"/>
      <c r="FA871" s="1049"/>
      <c r="FB871" s="1049"/>
      <c r="FC871" s="1049"/>
      <c r="FD871" s="1049"/>
      <c r="FE871" s="1049"/>
      <c r="FF871" s="1049"/>
      <c r="FG871" s="1049"/>
      <c r="FH871" s="1049"/>
      <c r="FI871" s="1049"/>
      <c r="FJ871" s="1049"/>
      <c r="FK871" s="1049"/>
      <c r="FL871" s="1049"/>
    </row>
    <row r="872" spans="1:168" s="1034" customFormat="1" x14ac:dyDescent="0.25">
      <c r="A872" s="133">
        <v>49</v>
      </c>
      <c r="B872" s="542" t="str">
        <f>BF14</f>
        <v>Малина</v>
      </c>
      <c r="C872" s="710" t="e">
        <f>#REF!+#REF!++#REF!++#REF!+#REF!+#REF!+#REF!+#REF!++#REF!+#REF!</f>
        <v>#REF!</v>
      </c>
      <c r="D872" s="779">
        <f>цены!$F$59</f>
        <v>250</v>
      </c>
      <c r="E872" s="812" t="e">
        <f t="shared" si="504"/>
        <v>#REF!</v>
      </c>
      <c r="F872" s="710" t="e">
        <f>#REF!+#REF!+#REF!+#REF!+#REF!+#REF!+#REF!+#REF!+#REF!+#REF!</f>
        <v>#REF!</v>
      </c>
      <c r="G872" s="119" t="e">
        <f>#REF!+#REF!+#REF!+#REF!+#REF!+#REF!+#REF!+#REF!+#REF!+#REF!</f>
        <v>#REF!</v>
      </c>
      <c r="H872" s="1256"/>
      <c r="I872" s="659"/>
      <c r="EZ872" s="675"/>
      <c r="FA872" s="1049"/>
      <c r="FB872" s="1049"/>
      <c r="FC872" s="1049"/>
      <c r="FD872" s="1049"/>
      <c r="FE872" s="1049"/>
      <c r="FF872" s="1049"/>
      <c r="FG872" s="1049"/>
      <c r="FH872" s="1049"/>
      <c r="FI872" s="1049"/>
      <c r="FJ872" s="1049"/>
      <c r="FK872" s="1049"/>
      <c r="FL872" s="1049"/>
    </row>
    <row r="873" spans="1:168" s="1034" customFormat="1" x14ac:dyDescent="0.25">
      <c r="A873" s="133">
        <v>50</v>
      </c>
      <c r="B873" s="542" t="str">
        <f>BG14</f>
        <v>Вишня</v>
      </c>
      <c r="C873" s="710" t="e">
        <f>#REF!+#REF!++#REF!++#REF!+#REF!+#REF!+#REF!+#REF!++#REF!+#REF!</f>
        <v>#REF!</v>
      </c>
      <c r="D873" s="779">
        <f>цены!$F$60</f>
        <v>250</v>
      </c>
      <c r="E873" s="812" t="e">
        <f t="shared" si="504"/>
        <v>#REF!</v>
      </c>
      <c r="F873" s="710" t="e">
        <f>#REF!+#REF!+#REF!+#REF!+#REF!+#REF!+#REF!+#REF!+#REF!+#REF!</f>
        <v>#REF!</v>
      </c>
      <c r="G873" s="119" t="e">
        <f>#REF!+#REF!+#REF!+#REF!+#REF!+#REF!+#REF!+#REF!+#REF!+#REF!</f>
        <v>#REF!</v>
      </c>
      <c r="H873" s="1256"/>
      <c r="I873" s="659"/>
      <c r="EZ873" s="675"/>
      <c r="FA873" s="1049"/>
      <c r="FB873" s="1049"/>
      <c r="FC873" s="1049"/>
      <c r="FD873" s="1049"/>
      <c r="FE873" s="1049"/>
      <c r="FF873" s="1049"/>
      <c r="FG873" s="1049"/>
      <c r="FH873" s="1049"/>
      <c r="FI873" s="1049"/>
      <c r="FJ873" s="1049"/>
      <c r="FK873" s="1049"/>
      <c r="FL873" s="1049"/>
    </row>
    <row r="874" spans="1:168" s="1034" customFormat="1" x14ac:dyDescent="0.25">
      <c r="A874" s="133">
        <v>51</v>
      </c>
      <c r="B874" s="542" t="str">
        <f>BH14</f>
        <v>Черная смородина</v>
      </c>
      <c r="C874" s="710" t="e">
        <f>#REF!+#REF!++#REF!++#REF!+#REF!+#REF!+#REF!+#REF!++#REF!+#REF!</f>
        <v>#REF!</v>
      </c>
      <c r="D874" s="779">
        <f>цены!$F$61</f>
        <v>250</v>
      </c>
      <c r="E874" s="812" t="e">
        <f t="shared" si="504"/>
        <v>#REF!</v>
      </c>
      <c r="F874" s="710" t="e">
        <f>#REF!+#REF!+#REF!+#REF!+#REF!+#REF!+#REF!+#REF!+#REF!+#REF!</f>
        <v>#REF!</v>
      </c>
      <c r="G874" s="119" t="e">
        <f>#REF!+#REF!+#REF!+#REF!+#REF!+#REF!+#REF!+#REF!+#REF!+#REF!</f>
        <v>#REF!</v>
      </c>
      <c r="H874" s="1256"/>
      <c r="I874" s="659"/>
      <c r="EZ874" s="675"/>
      <c r="FA874" s="1049"/>
      <c r="FB874" s="1049"/>
      <c r="FC874" s="1049"/>
      <c r="FD874" s="1049"/>
      <c r="FE874" s="1049"/>
      <c r="FF874" s="1049"/>
      <c r="FG874" s="1049"/>
      <c r="FH874" s="1049"/>
      <c r="FI874" s="1049"/>
      <c r="FJ874" s="1049"/>
      <c r="FK874" s="1049"/>
      <c r="FL874" s="1049"/>
    </row>
    <row r="875" spans="1:168" s="1034" customFormat="1" x14ac:dyDescent="0.25">
      <c r="A875" s="133">
        <v>52</v>
      </c>
      <c r="B875" s="542" t="str">
        <f>BI14</f>
        <v>Арбуз</v>
      </c>
      <c r="C875" s="710" t="e">
        <f>#REF!+#REF!++#REF!++#REF!+#REF!+#REF!+#REF!+#REF!++#REF!+#REF!</f>
        <v>#REF!</v>
      </c>
      <c r="D875" s="779">
        <f>цены!$F$62</f>
        <v>25</v>
      </c>
      <c r="E875" s="812" t="e">
        <f t="shared" si="504"/>
        <v>#REF!</v>
      </c>
      <c r="F875" s="710" t="e">
        <f>#REF!+#REF!+#REF!+#REF!+#REF!+#REF!+#REF!+#REF!+#REF!+#REF!</f>
        <v>#REF!</v>
      </c>
      <c r="G875" s="119" t="e">
        <f>#REF!+#REF!+#REF!+#REF!+#REF!+#REF!+#REF!+#REF!+#REF!+#REF!</f>
        <v>#REF!</v>
      </c>
      <c r="H875" s="1256"/>
      <c r="I875" s="659"/>
      <c r="EZ875" s="675"/>
      <c r="FA875" s="1049"/>
      <c r="FB875" s="1049"/>
      <c r="FC875" s="1049"/>
      <c r="FD875" s="1049"/>
      <c r="FE875" s="1049"/>
      <c r="FF875" s="1049"/>
      <c r="FG875" s="1049"/>
      <c r="FH875" s="1049"/>
      <c r="FI875" s="1049"/>
      <c r="FJ875" s="1049"/>
      <c r="FK875" s="1049"/>
      <c r="FL875" s="1049"/>
    </row>
    <row r="876" spans="1:168" s="1034" customFormat="1" x14ac:dyDescent="0.25">
      <c r="A876" s="133">
        <v>53</v>
      </c>
      <c r="B876" s="542" t="str">
        <f>BJ14</f>
        <v>Дыня</v>
      </c>
      <c r="C876" s="710" t="e">
        <f>#REF!+#REF!++#REF!++#REF!+#REF!+#REF!+#REF!+#REF!++#REF!+#REF!</f>
        <v>#REF!</v>
      </c>
      <c r="D876" s="779">
        <f>цены!$F$63</f>
        <v>25</v>
      </c>
      <c r="E876" s="812" t="e">
        <f t="shared" si="504"/>
        <v>#REF!</v>
      </c>
      <c r="F876" s="710" t="e">
        <f>#REF!+#REF!+#REF!+#REF!+#REF!+#REF!+#REF!+#REF!+#REF!+#REF!</f>
        <v>#REF!</v>
      </c>
      <c r="G876" s="119" t="e">
        <f>#REF!+#REF!+#REF!+#REF!+#REF!+#REF!+#REF!+#REF!+#REF!+#REF!</f>
        <v>#REF!</v>
      </c>
      <c r="H876" s="1256"/>
      <c r="I876" s="659"/>
      <c r="EZ876" s="675"/>
      <c r="FA876" s="1049"/>
      <c r="FB876" s="1049"/>
      <c r="FC876" s="1049"/>
      <c r="FD876" s="1049"/>
      <c r="FE876" s="1049"/>
      <c r="FF876" s="1049"/>
      <c r="FG876" s="1049"/>
      <c r="FH876" s="1049"/>
      <c r="FI876" s="1049"/>
      <c r="FJ876" s="1049"/>
      <c r="FK876" s="1049"/>
      <c r="FL876" s="1049"/>
    </row>
    <row r="877" spans="1:168" s="1034" customFormat="1" x14ac:dyDescent="0.25">
      <c r="A877" s="133">
        <v>54</v>
      </c>
      <c r="B877" s="542" t="str">
        <f>BK14</f>
        <v>Апельсин</v>
      </c>
      <c r="C877" s="710" t="e">
        <f>#REF!+#REF!++#REF!++#REF!+#REF!+#REF!+#REF!+#REF!++#REF!+#REF!</f>
        <v>#REF!</v>
      </c>
      <c r="D877" s="779">
        <f>цены!$F$64</f>
        <v>124</v>
      </c>
      <c r="E877" s="812" t="e">
        <f t="shared" si="504"/>
        <v>#REF!</v>
      </c>
      <c r="F877" s="710" t="e">
        <f>#REF!+#REF!+#REF!+#REF!+#REF!+#REF!+#REF!+#REF!+#REF!+#REF!</f>
        <v>#REF!</v>
      </c>
      <c r="G877" s="119" t="e">
        <f>#REF!+#REF!+#REF!+#REF!+#REF!+#REF!+#REF!+#REF!+#REF!+#REF!</f>
        <v>#REF!</v>
      </c>
      <c r="H877" s="1256"/>
      <c r="I877" s="659"/>
      <c r="EZ877" s="675"/>
      <c r="FA877" s="1049"/>
      <c r="FB877" s="1049"/>
      <c r="FC877" s="1049"/>
      <c r="FD877" s="1049"/>
      <c r="FE877" s="1049"/>
      <c r="FF877" s="1049"/>
      <c r="FG877" s="1049"/>
      <c r="FH877" s="1049"/>
      <c r="FI877" s="1049"/>
      <c r="FJ877" s="1049"/>
      <c r="FK877" s="1049"/>
      <c r="FL877" s="1049"/>
    </row>
    <row r="878" spans="1:168" s="1034" customFormat="1" x14ac:dyDescent="0.25">
      <c r="A878" s="133">
        <v>55</v>
      </c>
      <c r="B878" s="542" t="str">
        <f>BL14</f>
        <v>Мандарин (мандора)</v>
      </c>
      <c r="C878" s="710" t="e">
        <f>#REF!+#REF!++#REF!++#REF!+#REF!+#REF!+#REF!+#REF!++#REF!+#REF!</f>
        <v>#REF!</v>
      </c>
      <c r="D878" s="779">
        <f>цены!$F$65</f>
        <v>120</v>
      </c>
      <c r="E878" s="812" t="e">
        <f t="shared" si="504"/>
        <v>#REF!</v>
      </c>
      <c r="F878" s="710" t="e">
        <f>#REF!+#REF!+#REF!+#REF!+#REF!+#REF!+#REF!+#REF!+#REF!+#REF!</f>
        <v>#REF!</v>
      </c>
      <c r="G878" s="119" t="e">
        <f>#REF!+#REF!+#REF!+#REF!+#REF!+#REF!+#REF!+#REF!+#REF!+#REF!</f>
        <v>#REF!</v>
      </c>
      <c r="H878" s="1256"/>
      <c r="I878" s="659"/>
      <c r="EZ878" s="675"/>
      <c r="FA878" s="1049"/>
      <c r="FB878" s="1049"/>
      <c r="FC878" s="1049"/>
      <c r="FD878" s="1049"/>
      <c r="FE878" s="1049"/>
      <c r="FF878" s="1049"/>
      <c r="FG878" s="1049"/>
      <c r="FH878" s="1049"/>
      <c r="FI878" s="1049"/>
      <c r="FJ878" s="1049"/>
      <c r="FK878" s="1049"/>
      <c r="FL878" s="1049"/>
    </row>
    <row r="879" spans="1:168" s="1034" customFormat="1" x14ac:dyDescent="0.25">
      <c r="A879" s="133">
        <v>56</v>
      </c>
      <c r="B879" s="542" t="str">
        <f>BM14</f>
        <v>Бананы</v>
      </c>
      <c r="C879" s="710" t="e">
        <f>#REF!+#REF!++#REF!++#REF!+#REF!+#REF!+#REF!+#REF!++#REF!+#REF!</f>
        <v>#REF!</v>
      </c>
      <c r="D879" s="779">
        <f>цены!$F$66</f>
        <v>115</v>
      </c>
      <c r="E879" s="812" t="e">
        <f t="shared" si="504"/>
        <v>#REF!</v>
      </c>
      <c r="F879" s="710" t="e">
        <f>#REF!+#REF!+#REF!+#REF!+#REF!+#REF!+#REF!+#REF!+#REF!+#REF!</f>
        <v>#REF!</v>
      </c>
      <c r="G879" s="119" t="e">
        <f>#REF!+#REF!+#REF!+#REF!+#REF!+#REF!+#REF!+#REF!+#REF!+#REF!</f>
        <v>#REF!</v>
      </c>
      <c r="H879" s="1256"/>
      <c r="I879" s="659"/>
      <c r="EZ879" s="675"/>
      <c r="FA879" s="1049"/>
      <c r="FB879" s="1049"/>
      <c r="FC879" s="1049"/>
      <c r="FD879" s="1049"/>
      <c r="FE879" s="1049"/>
      <c r="FF879" s="1049"/>
      <c r="FG879" s="1049"/>
      <c r="FH879" s="1049"/>
      <c r="FI879" s="1049"/>
      <c r="FJ879" s="1049"/>
      <c r="FK879" s="1049"/>
      <c r="FL879" s="1049"/>
    </row>
    <row r="880" spans="1:168" s="1034" customFormat="1" x14ac:dyDescent="0.25">
      <c r="A880" s="133">
        <v>57</v>
      </c>
      <c r="B880" s="542" t="str">
        <f>BN14</f>
        <v>Груши</v>
      </c>
      <c r="C880" s="710" t="e">
        <f>#REF!+#REF!++#REF!++#REF!+#REF!+#REF!+#REF!+#REF!++#REF!+#REF!</f>
        <v>#REF!</v>
      </c>
      <c r="D880" s="779">
        <f>цены!$F$67</f>
        <v>240</v>
      </c>
      <c r="E880" s="812" t="e">
        <f t="shared" si="504"/>
        <v>#REF!</v>
      </c>
      <c r="F880" s="710" t="e">
        <f>#REF!+#REF!+#REF!+#REF!+#REF!+#REF!+#REF!+#REF!+#REF!+#REF!</f>
        <v>#REF!</v>
      </c>
      <c r="G880" s="119" t="e">
        <f>#REF!+#REF!+#REF!+#REF!+#REF!+#REF!+#REF!+#REF!+#REF!+#REF!</f>
        <v>#REF!</v>
      </c>
      <c r="H880" s="1256"/>
      <c r="I880" s="659"/>
      <c r="EZ880" s="675"/>
      <c r="FA880" s="1049"/>
      <c r="FB880" s="1049"/>
      <c r="FC880" s="1049"/>
      <c r="FD880" s="1049"/>
      <c r="FE880" s="1049"/>
      <c r="FF880" s="1049"/>
      <c r="FG880" s="1049"/>
      <c r="FH880" s="1049"/>
      <c r="FI880" s="1049"/>
      <c r="FJ880" s="1049"/>
      <c r="FK880" s="1049"/>
      <c r="FL880" s="1049"/>
    </row>
    <row r="881" spans="1:168" s="1034" customFormat="1" x14ac:dyDescent="0.25">
      <c r="A881" s="133">
        <v>58</v>
      </c>
      <c r="B881" s="542" t="str">
        <f>BO14</f>
        <v>Абрикосы</v>
      </c>
      <c r="C881" s="710" t="e">
        <f>#REF!+#REF!++#REF!++#REF!+#REF!+#REF!+#REF!+#REF!++#REF!+#REF!</f>
        <v>#REF!</v>
      </c>
      <c r="D881" s="779">
        <f>цены!$F$68</f>
        <v>180</v>
      </c>
      <c r="E881" s="812" t="e">
        <f t="shared" si="504"/>
        <v>#REF!</v>
      </c>
      <c r="F881" s="710" t="e">
        <f>#REF!+#REF!+#REF!+#REF!+#REF!+#REF!+#REF!+#REF!+#REF!+#REF!</f>
        <v>#REF!</v>
      </c>
      <c r="G881" s="119" t="e">
        <f>#REF!+#REF!+#REF!+#REF!+#REF!+#REF!+#REF!+#REF!+#REF!+#REF!</f>
        <v>#REF!</v>
      </c>
      <c r="H881" s="1256"/>
      <c r="I881" s="659"/>
      <c r="EZ881" s="675"/>
      <c r="FA881" s="1049"/>
      <c r="FB881" s="1049"/>
      <c r="FC881" s="1049"/>
      <c r="FD881" s="1049"/>
      <c r="FE881" s="1049"/>
      <c r="FF881" s="1049"/>
      <c r="FG881" s="1049"/>
      <c r="FH881" s="1049"/>
      <c r="FI881" s="1049"/>
      <c r="FJ881" s="1049"/>
      <c r="FK881" s="1049"/>
      <c r="FL881" s="1049"/>
    </row>
    <row r="882" spans="1:168" s="1034" customFormat="1" x14ac:dyDescent="0.25">
      <c r="A882" s="133">
        <v>59</v>
      </c>
      <c r="B882" s="542" t="str">
        <f>BP14</f>
        <v>Персики</v>
      </c>
      <c r="C882" s="710" t="e">
        <f>#REF!+#REF!++#REF!++#REF!+#REF!+#REF!+#REF!+#REF!++#REF!+#REF!</f>
        <v>#REF!</v>
      </c>
      <c r="D882" s="779">
        <f>цены!$F$69</f>
        <v>180</v>
      </c>
      <c r="E882" s="812" t="e">
        <f t="shared" si="504"/>
        <v>#REF!</v>
      </c>
      <c r="F882" s="710" t="e">
        <f>#REF!+#REF!+#REF!+#REF!+#REF!+#REF!+#REF!+#REF!+#REF!+#REF!</f>
        <v>#REF!</v>
      </c>
      <c r="G882" s="119" t="e">
        <f>#REF!+#REF!+#REF!+#REF!+#REF!+#REF!+#REF!+#REF!+#REF!+#REF!</f>
        <v>#REF!</v>
      </c>
      <c r="H882" s="1256"/>
      <c r="I882" s="659"/>
      <c r="EZ882" s="675"/>
      <c r="FA882" s="1049"/>
      <c r="FB882" s="1049"/>
      <c r="FC882" s="1049"/>
      <c r="FD882" s="1049"/>
      <c r="FE882" s="1049"/>
      <c r="FF882" s="1049"/>
      <c r="FG882" s="1049"/>
      <c r="FH882" s="1049"/>
      <c r="FI882" s="1049"/>
      <c r="FJ882" s="1049"/>
      <c r="FK882" s="1049"/>
      <c r="FL882" s="1049"/>
    </row>
    <row r="883" spans="1:168" s="1034" customFormat="1" x14ac:dyDescent="0.25">
      <c r="A883" s="133">
        <v>60</v>
      </c>
      <c r="B883" s="542" t="str">
        <f>BQ14</f>
        <v xml:space="preserve">Виноград </v>
      </c>
      <c r="C883" s="710" t="e">
        <f>#REF!+#REF!++#REF!++#REF!+#REF!+#REF!+#REF!+#REF!++#REF!+#REF!</f>
        <v>#REF!</v>
      </c>
      <c r="D883" s="779">
        <f>цены!$F$70</f>
        <v>250</v>
      </c>
      <c r="E883" s="812" t="e">
        <f t="shared" si="504"/>
        <v>#REF!</v>
      </c>
      <c r="F883" s="710" t="e">
        <f>#REF!+#REF!+#REF!+#REF!+#REF!+#REF!+#REF!+#REF!+#REF!+#REF!</f>
        <v>#REF!</v>
      </c>
      <c r="G883" s="119" t="e">
        <f>#REF!+#REF!+#REF!+#REF!+#REF!+#REF!+#REF!+#REF!+#REF!+#REF!</f>
        <v>#REF!</v>
      </c>
      <c r="H883" s="1256"/>
      <c r="I883" s="659"/>
      <c r="EZ883" s="675"/>
      <c r="FA883" s="1049"/>
      <c r="FB883" s="1049"/>
      <c r="FC883" s="1049"/>
      <c r="FD883" s="1049"/>
      <c r="FE883" s="1049"/>
      <c r="FF883" s="1049"/>
      <c r="FG883" s="1049"/>
      <c r="FH883" s="1049"/>
      <c r="FI883" s="1049"/>
      <c r="FJ883" s="1049"/>
      <c r="FK883" s="1049"/>
      <c r="FL883" s="1049"/>
    </row>
    <row r="884" spans="1:168" s="1034" customFormat="1" x14ac:dyDescent="0.25">
      <c r="A884" s="133">
        <v>61</v>
      </c>
      <c r="B884" s="541" t="str">
        <f>BR14</f>
        <v xml:space="preserve">Яблоки </v>
      </c>
      <c r="C884" s="710" t="e">
        <f>#REF!+#REF!++#REF!++#REF!+#REF!+#REF!+#REF!+#REF!++#REF!+#REF!</f>
        <v>#REF!</v>
      </c>
      <c r="D884" s="779">
        <f>цены!$F$71</f>
        <v>91</v>
      </c>
      <c r="E884" s="812" t="e">
        <f t="shared" si="504"/>
        <v>#REF!</v>
      </c>
      <c r="F884" s="710" t="e">
        <f>#REF!+#REF!+#REF!+#REF!+#REF!+#REF!+#REF!+#REF!+#REF!+#REF!</f>
        <v>#REF!</v>
      </c>
      <c r="G884" s="119" t="e">
        <f>#REF!+#REF!+#REF!+#REF!+#REF!+#REF!+#REF!+#REF!+#REF!+#REF!</f>
        <v>#REF!</v>
      </c>
      <c r="H884" s="1256"/>
      <c r="I884" s="659"/>
      <c r="EZ884" s="675"/>
      <c r="FA884" s="1049"/>
      <c r="FB884" s="1049"/>
      <c r="FC884" s="1049"/>
      <c r="FD884" s="1049"/>
      <c r="FE884" s="1049"/>
      <c r="FF884" s="1049"/>
      <c r="FG884" s="1049"/>
      <c r="FH884" s="1049"/>
      <c r="FI884" s="1049"/>
      <c r="FJ884" s="1049"/>
      <c r="FK884" s="1049"/>
      <c r="FL884" s="1049"/>
    </row>
    <row r="885" spans="1:168" s="1034" customFormat="1" x14ac:dyDescent="0.25">
      <c r="A885" s="146"/>
      <c r="B885" s="621" t="s">
        <v>275</v>
      </c>
      <c r="C885" s="774" t="e">
        <f>SUM(C846:C884)</f>
        <v>#REF!</v>
      </c>
      <c r="D885" s="780">
        <f>SUM(D846:D884)</f>
        <v>5555</v>
      </c>
      <c r="E885" s="792" t="e">
        <f>SUM(E846:E884)</f>
        <v>#REF!</v>
      </c>
      <c r="F885" s="661" t="e">
        <f>SUM(F846:F884)</f>
        <v>#REF!</v>
      </c>
      <c r="G885" s="661" t="e">
        <f t="shared" ref="G885:H885" si="505">SUM(G846:G884)</f>
        <v>#REF!</v>
      </c>
      <c r="H885" s="1257">
        <f t="shared" si="505"/>
        <v>0</v>
      </c>
      <c r="I885" s="661"/>
      <c r="EZ885" s="661">
        <f t="shared" ref="EZ885" si="506">SUM(EZ846:EZ884)</f>
        <v>0</v>
      </c>
      <c r="FA885" s="1049"/>
      <c r="FB885" s="1049"/>
      <c r="FC885" s="1049"/>
      <c r="FD885" s="1049"/>
      <c r="FE885" s="1049"/>
      <c r="FF885" s="1049"/>
      <c r="FG885" s="1049"/>
      <c r="FH885" s="1049"/>
      <c r="FI885" s="1049"/>
      <c r="FJ885" s="1049"/>
      <c r="FK885" s="1049"/>
      <c r="FL885" s="1049"/>
    </row>
    <row r="886" spans="1:168" s="1034" customFormat="1" ht="26.4" x14ac:dyDescent="0.25">
      <c r="A886" s="149"/>
      <c r="B886" s="427" t="s">
        <v>276</v>
      </c>
      <c r="C886" s="776"/>
      <c r="D886" s="782"/>
      <c r="E886" s="794"/>
      <c r="F886" s="644"/>
      <c r="G886" s="644"/>
      <c r="H886" s="1266"/>
      <c r="I886" s="644"/>
      <c r="EZ886" s="671"/>
      <c r="FA886" s="1049"/>
      <c r="FB886" s="1049"/>
      <c r="FC886" s="1049"/>
      <c r="FD886" s="1049"/>
      <c r="FE886" s="1049"/>
      <c r="FF886" s="1049"/>
      <c r="FG886" s="1049"/>
      <c r="FH886" s="1049"/>
      <c r="FI886" s="1049"/>
      <c r="FJ886" s="1049"/>
      <c r="FK886" s="1049"/>
      <c r="FL886" s="1049"/>
    </row>
    <row r="887" spans="1:168" s="1034" customFormat="1" x14ac:dyDescent="0.25">
      <c r="A887" s="133">
        <v>62</v>
      </c>
      <c r="B887" s="770" t="str">
        <f>BS14</f>
        <v>Мука пшеничная высшего сорта</v>
      </c>
      <c r="C887" s="710" t="e">
        <f>#REF!+#REF!++#REF!++#REF!+#REF!+#REF!+#REF!+#REF!++#REF!+#REF!</f>
        <v>#REF!</v>
      </c>
      <c r="D887" s="779">
        <f>цены!$F$74</f>
        <v>36</v>
      </c>
      <c r="E887" s="812" t="e">
        <f t="shared" ref="E887:E950" si="507">E$820</f>
        <v>#REF!</v>
      </c>
      <c r="F887" s="710" t="e">
        <f>#REF!+#REF!+#REF!+#REF!+#REF!+#REF!+#REF!+#REF!+#REF!+#REF!</f>
        <v>#REF!</v>
      </c>
      <c r="G887" s="119" t="e">
        <f>#REF!+#REF!+#REF!+#REF!+#REF!+#REF!+#REF!+#REF!+#REF!+#REF!</f>
        <v>#REF!</v>
      </c>
      <c r="H887" s="1256"/>
      <c r="I887" s="659"/>
      <c r="EZ887" s="675"/>
      <c r="FA887" s="1049"/>
      <c r="FB887" s="1049"/>
      <c r="FC887" s="1049"/>
      <c r="FD887" s="1049"/>
      <c r="FE887" s="1049"/>
      <c r="FF887" s="1049"/>
      <c r="FG887" s="1049"/>
      <c r="FH887" s="1049"/>
      <c r="FI887" s="1049"/>
      <c r="FJ887" s="1049"/>
      <c r="FK887" s="1049"/>
      <c r="FL887" s="1049"/>
    </row>
    <row r="888" spans="1:168" s="1034" customFormat="1" ht="27.6" x14ac:dyDescent="0.25">
      <c r="A888" s="133">
        <v>63</v>
      </c>
      <c r="B888" s="770" t="str">
        <f>BT14</f>
        <v>Крупа гречневая - ядрица быстроразваривающаяся</v>
      </c>
      <c r="C888" s="710" t="e">
        <f>#REF!+#REF!++#REF!++#REF!+#REF!+#REF!+#REF!+#REF!++#REF!+#REF!</f>
        <v>#REF!</v>
      </c>
      <c r="D888" s="779">
        <f>цены!$F$75</f>
        <v>100</v>
      </c>
      <c r="E888" s="812" t="e">
        <f t="shared" si="507"/>
        <v>#REF!</v>
      </c>
      <c r="F888" s="710" t="e">
        <f>#REF!+#REF!+#REF!+#REF!+#REF!+#REF!+#REF!+#REF!+#REF!+#REF!</f>
        <v>#REF!</v>
      </c>
      <c r="G888" s="119" t="e">
        <f>#REF!+#REF!+#REF!+#REF!+#REF!+#REF!+#REF!+#REF!+#REF!+#REF!</f>
        <v>#REF!</v>
      </c>
      <c r="H888" s="1256"/>
      <c r="I888" s="659"/>
      <c r="EZ888" s="675"/>
      <c r="FA888" s="1049"/>
      <c r="FB888" s="1049"/>
      <c r="FC888" s="1049"/>
      <c r="FD888" s="1049"/>
      <c r="FE888" s="1049"/>
      <c r="FF888" s="1049"/>
      <c r="FG888" s="1049"/>
      <c r="FH888" s="1049"/>
      <c r="FI888" s="1049"/>
      <c r="FJ888" s="1049"/>
      <c r="FK888" s="1049"/>
      <c r="FL888" s="1049"/>
    </row>
    <row r="889" spans="1:168" s="1034" customFormat="1" x14ac:dyDescent="0.25">
      <c r="A889" s="133">
        <v>64</v>
      </c>
      <c r="B889" s="770" t="str">
        <f>BU14</f>
        <v>Крупа манная</v>
      </c>
      <c r="C889" s="710" t="e">
        <f>#REF!+#REF!++#REF!++#REF!+#REF!+#REF!+#REF!+#REF!++#REF!+#REF!</f>
        <v>#REF!</v>
      </c>
      <c r="D889" s="779">
        <f>цены!$F$76</f>
        <v>40</v>
      </c>
      <c r="E889" s="812" t="e">
        <f t="shared" si="507"/>
        <v>#REF!</v>
      </c>
      <c r="F889" s="710" t="e">
        <f>#REF!+#REF!+#REF!+#REF!+#REF!+#REF!+#REF!+#REF!+#REF!+#REF!</f>
        <v>#REF!</v>
      </c>
      <c r="G889" s="119" t="e">
        <f>#REF!+#REF!+#REF!+#REF!+#REF!+#REF!+#REF!+#REF!+#REF!+#REF!</f>
        <v>#REF!</v>
      </c>
      <c r="H889" s="1256"/>
      <c r="I889" s="659"/>
      <c r="EZ889" s="675"/>
      <c r="FA889" s="1049"/>
      <c r="FB889" s="1049"/>
      <c r="FC889" s="1049"/>
      <c r="FD889" s="1049"/>
      <c r="FE889" s="1049"/>
      <c r="FF889" s="1049"/>
      <c r="FG889" s="1049"/>
      <c r="FH889" s="1049"/>
      <c r="FI889" s="1049"/>
      <c r="FJ889" s="1049"/>
      <c r="FK889" s="1049"/>
      <c r="FL889" s="1049"/>
    </row>
    <row r="890" spans="1:168" s="1034" customFormat="1" x14ac:dyDescent="0.25">
      <c r="A890" s="133">
        <v>65</v>
      </c>
      <c r="B890" s="770" t="str">
        <f>BV14</f>
        <v>Крупа перловая</v>
      </c>
      <c r="C890" s="710" t="e">
        <f>#REF!+#REF!++#REF!++#REF!+#REF!+#REF!+#REF!+#REF!++#REF!+#REF!</f>
        <v>#REF!</v>
      </c>
      <c r="D890" s="779">
        <f>цены!$F$77</f>
        <v>40</v>
      </c>
      <c r="E890" s="812" t="e">
        <f t="shared" si="507"/>
        <v>#REF!</v>
      </c>
      <c r="F890" s="710" t="e">
        <f>#REF!+#REF!+#REF!+#REF!+#REF!+#REF!+#REF!+#REF!+#REF!+#REF!</f>
        <v>#REF!</v>
      </c>
      <c r="G890" s="119" t="e">
        <f>#REF!+#REF!+#REF!+#REF!+#REF!+#REF!+#REF!+#REF!+#REF!+#REF!</f>
        <v>#REF!</v>
      </c>
      <c r="H890" s="1256"/>
      <c r="I890" s="659"/>
      <c r="EZ890" s="675"/>
      <c r="FA890" s="1049"/>
      <c r="FB890" s="1049"/>
      <c r="FC890" s="1049"/>
      <c r="FD890" s="1049"/>
      <c r="FE890" s="1049"/>
      <c r="FF890" s="1049"/>
      <c r="FG890" s="1049"/>
      <c r="FH890" s="1049"/>
      <c r="FI890" s="1049"/>
      <c r="FJ890" s="1049"/>
      <c r="FK890" s="1049"/>
      <c r="FL890" s="1049"/>
    </row>
    <row r="891" spans="1:168" s="1034" customFormat="1" x14ac:dyDescent="0.25">
      <c r="A891" s="133">
        <v>66</v>
      </c>
      <c r="B891" s="770" t="str">
        <f>BW14</f>
        <v>Крупа овсяная</v>
      </c>
      <c r="C891" s="710" t="e">
        <f>#REF!+#REF!++#REF!++#REF!+#REF!+#REF!+#REF!+#REF!++#REF!+#REF!</f>
        <v>#REF!</v>
      </c>
      <c r="D891" s="779">
        <f>цены!$F$78</f>
        <v>35</v>
      </c>
      <c r="E891" s="812" t="e">
        <f t="shared" si="507"/>
        <v>#REF!</v>
      </c>
      <c r="F891" s="710" t="e">
        <f>#REF!+#REF!+#REF!+#REF!+#REF!+#REF!+#REF!+#REF!+#REF!+#REF!</f>
        <v>#REF!</v>
      </c>
      <c r="G891" s="119" t="e">
        <f>#REF!+#REF!+#REF!+#REF!+#REF!+#REF!+#REF!+#REF!+#REF!+#REF!</f>
        <v>#REF!</v>
      </c>
      <c r="H891" s="1260"/>
      <c r="I891" s="1270"/>
      <c r="EZ891" s="540"/>
      <c r="FA891" s="1049"/>
      <c r="FB891" s="1049"/>
      <c r="FC891" s="1049"/>
      <c r="FD891" s="1049"/>
      <c r="FE891" s="1049"/>
      <c r="FF891" s="1049"/>
      <c r="FG891" s="1049"/>
      <c r="FH891" s="1049"/>
      <c r="FI891" s="1049"/>
      <c r="FJ891" s="1049"/>
      <c r="FK891" s="1049"/>
      <c r="FL891" s="1049"/>
    </row>
    <row r="892" spans="1:168" s="1034" customFormat="1" x14ac:dyDescent="0.25">
      <c r="A892" s="133">
        <v>67</v>
      </c>
      <c r="B892" s="770" t="str">
        <f>BX14</f>
        <v>Крупа ячневая</v>
      </c>
      <c r="C892" s="710" t="e">
        <f>#REF!+#REF!++#REF!++#REF!+#REF!+#REF!+#REF!+#REF!++#REF!+#REF!</f>
        <v>#REF!</v>
      </c>
      <c r="D892" s="779">
        <f>цены!$F$79</f>
        <v>35</v>
      </c>
      <c r="E892" s="812" t="e">
        <f t="shared" si="507"/>
        <v>#REF!</v>
      </c>
      <c r="F892" s="710" t="e">
        <f>#REF!+#REF!+#REF!+#REF!+#REF!+#REF!+#REF!+#REF!+#REF!+#REF!</f>
        <v>#REF!</v>
      </c>
      <c r="G892" s="119" t="e">
        <f>#REF!+#REF!+#REF!+#REF!+#REF!+#REF!+#REF!+#REF!+#REF!+#REF!</f>
        <v>#REF!</v>
      </c>
      <c r="H892" s="1260"/>
      <c r="I892" s="1270"/>
      <c r="EZ892" s="540"/>
      <c r="FA892" s="1049"/>
      <c r="FB892" s="1049"/>
      <c r="FC892" s="1049"/>
      <c r="FD892" s="1049"/>
      <c r="FE892" s="1049"/>
      <c r="FF892" s="1049"/>
      <c r="FG892" s="1049"/>
      <c r="FH892" s="1049"/>
      <c r="FI892" s="1049"/>
      <c r="FJ892" s="1049"/>
      <c r="FK892" s="1049"/>
      <c r="FL892" s="1049"/>
    </row>
    <row r="893" spans="1:168" s="1034" customFormat="1" x14ac:dyDescent="0.25">
      <c r="A893" s="133">
        <v>68</v>
      </c>
      <c r="B893" s="770" t="str">
        <f>BY14</f>
        <v>Крупа пшеничная</v>
      </c>
      <c r="C893" s="710" t="e">
        <f>#REF!+#REF!++#REF!++#REF!+#REF!+#REF!+#REF!+#REF!++#REF!+#REF!</f>
        <v>#REF!</v>
      </c>
      <c r="D893" s="779">
        <f>цены!$F$80</f>
        <v>35</v>
      </c>
      <c r="E893" s="812" t="e">
        <f t="shared" si="507"/>
        <v>#REF!</v>
      </c>
      <c r="F893" s="710" t="e">
        <f>#REF!+#REF!+#REF!+#REF!+#REF!+#REF!+#REF!+#REF!+#REF!+#REF!</f>
        <v>#REF!</v>
      </c>
      <c r="G893" s="119" t="e">
        <f>#REF!+#REF!+#REF!+#REF!+#REF!+#REF!+#REF!+#REF!+#REF!+#REF!</f>
        <v>#REF!</v>
      </c>
      <c r="H893" s="1260"/>
      <c r="I893" s="1270"/>
      <c r="EZ893" s="540"/>
      <c r="FA893" s="1049"/>
      <c r="FB893" s="1049"/>
      <c r="FC893" s="1049"/>
      <c r="FD893" s="1049"/>
      <c r="FE893" s="1049"/>
      <c r="FF893" s="1049"/>
      <c r="FG893" s="1049"/>
      <c r="FH893" s="1049"/>
      <c r="FI893" s="1049"/>
      <c r="FJ893" s="1049"/>
      <c r="FK893" s="1049"/>
      <c r="FL893" s="1049"/>
    </row>
    <row r="894" spans="1:168" s="1034" customFormat="1" x14ac:dyDescent="0.25">
      <c r="A894" s="133">
        <v>69</v>
      </c>
      <c r="B894" s="770" t="str">
        <f>BZ14</f>
        <v>Крупа кукурузная</v>
      </c>
      <c r="C894" s="710" t="e">
        <f>#REF!+#REF!++#REF!++#REF!+#REF!+#REF!+#REF!+#REF!++#REF!+#REF!</f>
        <v>#REF!</v>
      </c>
      <c r="D894" s="779">
        <f>цены!$F$81</f>
        <v>36</v>
      </c>
      <c r="E894" s="812" t="e">
        <f t="shared" si="507"/>
        <v>#REF!</v>
      </c>
      <c r="F894" s="710" t="e">
        <f>#REF!+#REF!+#REF!+#REF!+#REF!+#REF!+#REF!+#REF!+#REF!+#REF!</f>
        <v>#REF!</v>
      </c>
      <c r="G894" s="119" t="e">
        <f>#REF!+#REF!+#REF!+#REF!+#REF!+#REF!+#REF!+#REF!+#REF!+#REF!</f>
        <v>#REF!</v>
      </c>
      <c r="H894" s="1260"/>
      <c r="I894" s="1270"/>
      <c r="EZ894" s="540"/>
      <c r="FA894" s="1049"/>
      <c r="FB894" s="1049"/>
      <c r="FC894" s="1049"/>
      <c r="FD894" s="1049"/>
      <c r="FE894" s="1049"/>
      <c r="FF894" s="1049"/>
      <c r="FG894" s="1049"/>
      <c r="FH894" s="1049"/>
      <c r="FI894" s="1049"/>
      <c r="FJ894" s="1049"/>
      <c r="FK894" s="1049"/>
      <c r="FL894" s="1049"/>
    </row>
    <row r="895" spans="1:168" s="1034" customFormat="1" x14ac:dyDescent="0.25">
      <c r="A895" s="133">
        <v>70</v>
      </c>
      <c r="B895" s="770" t="str">
        <f>CA14</f>
        <v>Пшено шлифованное высшего сорта</v>
      </c>
      <c r="C895" s="710" t="e">
        <f>#REF!+#REF!++#REF!++#REF!+#REF!+#REF!+#REF!+#REF!++#REF!+#REF!</f>
        <v>#REF!</v>
      </c>
      <c r="D895" s="779">
        <f>цены!$F$82</f>
        <v>60</v>
      </c>
      <c r="E895" s="812" t="e">
        <f t="shared" si="507"/>
        <v>#REF!</v>
      </c>
      <c r="F895" s="710" t="e">
        <f>#REF!+#REF!+#REF!+#REF!+#REF!+#REF!+#REF!+#REF!+#REF!+#REF!</f>
        <v>#REF!</v>
      </c>
      <c r="G895" s="119" t="e">
        <f>#REF!+#REF!+#REF!+#REF!+#REF!+#REF!+#REF!+#REF!+#REF!+#REF!</f>
        <v>#REF!</v>
      </c>
      <c r="H895" s="1256"/>
      <c r="I895" s="659"/>
      <c r="EZ895" s="675"/>
      <c r="FA895" s="1049"/>
      <c r="FB895" s="1049"/>
      <c r="FC895" s="1049"/>
      <c r="FD895" s="1049"/>
      <c r="FE895" s="1049"/>
      <c r="FF895" s="1049"/>
      <c r="FG895" s="1049"/>
      <c r="FH895" s="1049"/>
      <c r="FI895" s="1049"/>
      <c r="FJ895" s="1049"/>
      <c r="FK895" s="1049"/>
      <c r="FL895" s="1049"/>
    </row>
    <row r="896" spans="1:168" s="1034" customFormat="1" x14ac:dyDescent="0.25">
      <c r="A896" s="133">
        <v>71</v>
      </c>
      <c r="B896" s="770" t="str">
        <f>CB14</f>
        <v>Рис шлифованный</v>
      </c>
      <c r="C896" s="710" t="e">
        <f>#REF!+#REF!++#REF!++#REF!+#REF!+#REF!+#REF!+#REF!++#REF!+#REF!</f>
        <v>#REF!</v>
      </c>
      <c r="D896" s="779">
        <f>цены!$F$83</f>
        <v>98</v>
      </c>
      <c r="E896" s="812" t="e">
        <f t="shared" si="507"/>
        <v>#REF!</v>
      </c>
      <c r="F896" s="710" t="e">
        <f>#REF!+#REF!+#REF!+#REF!+#REF!+#REF!+#REF!+#REF!+#REF!+#REF!</f>
        <v>#REF!</v>
      </c>
      <c r="G896" s="119" t="e">
        <f>#REF!+#REF!+#REF!+#REF!+#REF!+#REF!+#REF!+#REF!+#REF!+#REF!</f>
        <v>#REF!</v>
      </c>
      <c r="H896" s="1256"/>
      <c r="I896" s="659"/>
      <c r="EZ896" s="675"/>
      <c r="FA896" s="1049"/>
      <c r="FB896" s="1049"/>
      <c r="FC896" s="1049"/>
      <c r="FD896" s="1049"/>
      <c r="FE896" s="1049"/>
      <c r="FF896" s="1049"/>
      <c r="FG896" s="1049"/>
      <c r="FH896" s="1049"/>
      <c r="FI896" s="1049"/>
      <c r="FJ896" s="1049"/>
      <c r="FK896" s="1049"/>
      <c r="FL896" s="1049"/>
    </row>
    <row r="897" spans="1:168" s="1034" customFormat="1" x14ac:dyDescent="0.25">
      <c r="A897" s="133">
        <v>72</v>
      </c>
      <c r="B897" s="770" t="str">
        <f>CC14</f>
        <v>Хлопья овсяные "Геркулес"</v>
      </c>
      <c r="C897" s="710" t="e">
        <f>#REF!+#REF!++#REF!++#REF!+#REF!+#REF!+#REF!+#REF!++#REF!+#REF!</f>
        <v>#REF!</v>
      </c>
      <c r="D897" s="779">
        <f>цены!$F$84</f>
        <v>65</v>
      </c>
      <c r="E897" s="812" t="e">
        <f t="shared" si="507"/>
        <v>#REF!</v>
      </c>
      <c r="F897" s="710" t="e">
        <f>#REF!+#REF!+#REF!+#REF!+#REF!+#REF!+#REF!+#REF!+#REF!+#REF!</f>
        <v>#REF!</v>
      </c>
      <c r="G897" s="119" t="e">
        <f>#REF!+#REF!+#REF!+#REF!+#REF!+#REF!+#REF!+#REF!+#REF!+#REF!</f>
        <v>#REF!</v>
      </c>
      <c r="H897" s="1256"/>
      <c r="I897" s="659"/>
      <c r="EZ897" s="675"/>
      <c r="FA897" s="1049"/>
      <c r="FB897" s="1049"/>
      <c r="FC897" s="1049"/>
      <c r="FD897" s="1049"/>
      <c r="FE897" s="1049"/>
      <c r="FF897" s="1049"/>
      <c r="FG897" s="1049"/>
      <c r="FH897" s="1049"/>
      <c r="FI897" s="1049"/>
      <c r="FJ897" s="1049"/>
      <c r="FK897" s="1049"/>
      <c r="FL897" s="1049"/>
    </row>
    <row r="898" spans="1:168" s="1034" customFormat="1" x14ac:dyDescent="0.25">
      <c r="A898" s="133">
        <v>73</v>
      </c>
      <c r="B898" s="770" t="str">
        <f>CD14</f>
        <v>Хлопья овсяные "Ясно солнышко"</v>
      </c>
      <c r="C898" s="710" t="e">
        <f>#REF!+#REF!++#REF!++#REF!+#REF!+#REF!+#REF!+#REF!++#REF!+#REF!</f>
        <v>#REF!</v>
      </c>
      <c r="D898" s="779">
        <f>цены!$F$85</f>
        <v>150</v>
      </c>
      <c r="E898" s="812" t="e">
        <f t="shared" si="507"/>
        <v>#REF!</v>
      </c>
      <c r="F898" s="710" t="e">
        <f>#REF!+#REF!+#REF!+#REF!+#REF!+#REF!+#REF!+#REF!+#REF!+#REF!</f>
        <v>#REF!</v>
      </c>
      <c r="G898" s="119" t="e">
        <f>#REF!+#REF!+#REF!+#REF!+#REF!+#REF!+#REF!+#REF!+#REF!+#REF!</f>
        <v>#REF!</v>
      </c>
      <c r="H898" s="1256"/>
      <c r="I898" s="659"/>
      <c r="EZ898" s="675"/>
      <c r="FA898" s="1049"/>
      <c r="FB898" s="1049"/>
      <c r="FC898" s="1049"/>
      <c r="FD898" s="1049"/>
      <c r="FE898" s="1049"/>
      <c r="FF898" s="1049"/>
      <c r="FG898" s="1049"/>
      <c r="FH898" s="1049"/>
      <c r="FI898" s="1049"/>
      <c r="FJ898" s="1049"/>
      <c r="FK898" s="1049"/>
      <c r="FL898" s="1049"/>
    </row>
    <row r="899" spans="1:168" s="1034" customFormat="1" x14ac:dyDescent="0.25">
      <c r="A899" s="133">
        <v>74</v>
      </c>
      <c r="B899" s="770" t="str">
        <f>CE14</f>
        <v>Маргарин столовый</v>
      </c>
      <c r="C899" s="710" t="e">
        <f>#REF!+#REF!++#REF!++#REF!+#REF!+#REF!+#REF!+#REF!++#REF!+#REF!</f>
        <v>#REF!</v>
      </c>
      <c r="D899" s="779">
        <f>цены!$F$86</f>
        <v>198</v>
      </c>
      <c r="E899" s="812" t="e">
        <f t="shared" si="507"/>
        <v>#REF!</v>
      </c>
      <c r="F899" s="710" t="e">
        <f>#REF!+#REF!+#REF!+#REF!+#REF!+#REF!+#REF!+#REF!+#REF!+#REF!</f>
        <v>#REF!</v>
      </c>
      <c r="G899" s="119" t="e">
        <f>#REF!+#REF!+#REF!+#REF!+#REF!+#REF!+#REF!+#REF!+#REF!+#REF!</f>
        <v>#REF!</v>
      </c>
      <c r="H899" s="1256"/>
      <c r="I899" s="659"/>
      <c r="EZ899" s="675"/>
      <c r="FA899" s="1049"/>
      <c r="FB899" s="1049"/>
      <c r="FC899" s="1049"/>
      <c r="FD899" s="1049"/>
      <c r="FE899" s="1049"/>
      <c r="FF899" s="1049"/>
      <c r="FG899" s="1049"/>
      <c r="FH899" s="1049"/>
      <c r="FI899" s="1049"/>
      <c r="FJ899" s="1049"/>
      <c r="FK899" s="1049"/>
      <c r="FL899" s="1049"/>
    </row>
    <row r="900" spans="1:168" s="1034" customFormat="1" x14ac:dyDescent="0.25">
      <c r="A900" s="133">
        <v>75</v>
      </c>
      <c r="B900" s="770" t="str">
        <f>CF14</f>
        <v>Масло подсолнечное рафинированное</v>
      </c>
      <c r="C900" s="710" t="e">
        <f>#REF!+#REF!++#REF!++#REF!+#REF!+#REF!+#REF!+#REF!++#REF!+#REF!</f>
        <v>#REF!</v>
      </c>
      <c r="D900" s="779">
        <f>цены!$F$87</f>
        <v>120</v>
      </c>
      <c r="E900" s="812" t="e">
        <f t="shared" si="507"/>
        <v>#REF!</v>
      </c>
      <c r="F900" s="710" t="e">
        <f>#REF!+#REF!+#REF!+#REF!+#REF!+#REF!+#REF!+#REF!+#REF!+#REF!</f>
        <v>#REF!</v>
      </c>
      <c r="G900" s="119" t="e">
        <f>#REF!+#REF!+#REF!+#REF!+#REF!+#REF!+#REF!+#REF!+#REF!+#REF!</f>
        <v>#REF!</v>
      </c>
      <c r="H900" s="1256"/>
      <c r="I900" s="659"/>
      <c r="EZ900" s="675"/>
      <c r="FA900" s="1049"/>
      <c r="FB900" s="1049"/>
      <c r="FC900" s="1049"/>
      <c r="FD900" s="1049"/>
      <c r="FE900" s="1049"/>
      <c r="FF900" s="1049"/>
      <c r="FG900" s="1049"/>
      <c r="FH900" s="1049"/>
      <c r="FI900" s="1049"/>
      <c r="FJ900" s="1049"/>
      <c r="FK900" s="1049"/>
      <c r="FL900" s="1049"/>
    </row>
    <row r="901" spans="1:168" s="1034" customFormat="1" x14ac:dyDescent="0.25">
      <c r="A901" s="133">
        <v>76</v>
      </c>
      <c r="B901" s="770" t="str">
        <f>CG14</f>
        <v>Макаронные изделия высшего сорта</v>
      </c>
      <c r="C901" s="710" t="e">
        <f>#REF!+#REF!++#REF!++#REF!+#REF!+#REF!+#REF!+#REF!++#REF!+#REF!</f>
        <v>#REF!</v>
      </c>
      <c r="D901" s="779">
        <f>цены!$F$88</f>
        <v>50</v>
      </c>
      <c r="E901" s="812" t="e">
        <f t="shared" si="507"/>
        <v>#REF!</v>
      </c>
      <c r="F901" s="710" t="e">
        <f>#REF!+#REF!+#REF!+#REF!+#REF!+#REF!+#REF!+#REF!+#REF!+#REF!</f>
        <v>#REF!</v>
      </c>
      <c r="G901" s="119" t="e">
        <f>#REF!+#REF!+#REF!+#REF!+#REF!+#REF!+#REF!+#REF!+#REF!+#REF!</f>
        <v>#REF!</v>
      </c>
      <c r="H901" s="1256"/>
      <c r="I901" s="659"/>
      <c r="EZ901" s="675"/>
      <c r="FA901" s="1049"/>
      <c r="FB901" s="1049"/>
      <c r="FC901" s="1049"/>
      <c r="FD901" s="1049"/>
      <c r="FE901" s="1049"/>
      <c r="FF901" s="1049"/>
      <c r="FG901" s="1049"/>
      <c r="FH901" s="1049"/>
      <c r="FI901" s="1049"/>
      <c r="FJ901" s="1049"/>
      <c r="FK901" s="1049"/>
      <c r="FL901" s="1049"/>
    </row>
    <row r="902" spans="1:168" s="1034" customFormat="1" x14ac:dyDescent="0.25">
      <c r="A902" s="133">
        <v>77</v>
      </c>
      <c r="B902" s="770" t="str">
        <f>CH14</f>
        <v>Вермишель</v>
      </c>
      <c r="C902" s="710" t="e">
        <f>#REF!+#REF!++#REF!++#REF!+#REF!+#REF!+#REF!+#REF!++#REF!+#REF!</f>
        <v>#REF!</v>
      </c>
      <c r="D902" s="779">
        <f>цены!$F$89</f>
        <v>50</v>
      </c>
      <c r="E902" s="812" t="e">
        <f t="shared" si="507"/>
        <v>#REF!</v>
      </c>
      <c r="F902" s="710" t="e">
        <f>#REF!+#REF!+#REF!+#REF!+#REF!+#REF!+#REF!+#REF!+#REF!+#REF!</f>
        <v>#REF!</v>
      </c>
      <c r="G902" s="119" t="e">
        <f>#REF!+#REF!+#REF!+#REF!+#REF!+#REF!+#REF!+#REF!+#REF!+#REF!</f>
        <v>#REF!</v>
      </c>
      <c r="H902" s="1256"/>
      <c r="I902" s="659"/>
      <c r="EZ902" s="675"/>
      <c r="FA902" s="1049"/>
      <c r="FB902" s="1049"/>
      <c r="FC902" s="1049"/>
      <c r="FD902" s="1049"/>
      <c r="FE902" s="1049"/>
      <c r="FF902" s="1049"/>
      <c r="FG902" s="1049"/>
      <c r="FH902" s="1049"/>
      <c r="FI902" s="1049"/>
      <c r="FJ902" s="1049"/>
      <c r="FK902" s="1049"/>
      <c r="FL902" s="1049"/>
    </row>
    <row r="903" spans="1:168" s="1034" customFormat="1" x14ac:dyDescent="0.25">
      <c r="A903" s="133">
        <v>78</v>
      </c>
      <c r="B903" s="770" t="str">
        <f>CI14</f>
        <v>Ванилин</v>
      </c>
      <c r="C903" s="710" t="e">
        <f>#REF!+#REF!++#REF!++#REF!+#REF!+#REF!+#REF!+#REF!++#REF!+#REF!</f>
        <v>#REF!</v>
      </c>
      <c r="D903" s="779">
        <f>цены!$F$90</f>
        <v>5000</v>
      </c>
      <c r="E903" s="812" t="e">
        <f t="shared" si="507"/>
        <v>#REF!</v>
      </c>
      <c r="F903" s="710" t="e">
        <f>#REF!+#REF!+#REF!+#REF!+#REF!+#REF!+#REF!+#REF!+#REF!+#REF!</f>
        <v>#REF!</v>
      </c>
      <c r="G903" s="119" t="e">
        <f>#REF!+#REF!+#REF!+#REF!+#REF!+#REF!+#REF!+#REF!+#REF!+#REF!</f>
        <v>#REF!</v>
      </c>
      <c r="H903" s="1256"/>
      <c r="I903" s="659"/>
      <c r="EZ903" s="675"/>
      <c r="FA903" s="1049"/>
      <c r="FB903" s="1049"/>
      <c r="FC903" s="1049"/>
      <c r="FD903" s="1049"/>
      <c r="FE903" s="1049"/>
      <c r="FF903" s="1049"/>
      <c r="FG903" s="1049"/>
      <c r="FH903" s="1049"/>
      <c r="FI903" s="1049"/>
      <c r="FJ903" s="1049"/>
      <c r="FK903" s="1049"/>
      <c r="FL903" s="1049"/>
    </row>
    <row r="904" spans="1:168" s="1034" customFormat="1" x14ac:dyDescent="0.25">
      <c r="A904" s="133">
        <v>79</v>
      </c>
      <c r="B904" s="770" t="str">
        <f>CJ14</f>
        <v>Эссенция</v>
      </c>
      <c r="C904" s="710" t="e">
        <f>#REF!+#REF!++#REF!++#REF!+#REF!+#REF!+#REF!+#REF!++#REF!+#REF!</f>
        <v>#REF!</v>
      </c>
      <c r="D904" s="779">
        <f>цены!$F$91</f>
        <v>100</v>
      </c>
      <c r="E904" s="812" t="e">
        <f t="shared" si="507"/>
        <v>#REF!</v>
      </c>
      <c r="F904" s="710" t="e">
        <f>#REF!+#REF!+#REF!+#REF!+#REF!+#REF!+#REF!+#REF!+#REF!+#REF!</f>
        <v>#REF!</v>
      </c>
      <c r="G904" s="119" t="e">
        <f>#REF!+#REF!+#REF!+#REF!+#REF!+#REF!+#REF!+#REF!+#REF!+#REF!</f>
        <v>#REF!</v>
      </c>
      <c r="H904" s="1256"/>
      <c r="I904" s="659"/>
      <c r="EZ904" s="675"/>
      <c r="FA904" s="1049"/>
      <c r="FB904" s="1049"/>
      <c r="FC904" s="1049"/>
      <c r="FD904" s="1049"/>
      <c r="FE904" s="1049"/>
      <c r="FF904" s="1049"/>
      <c r="FG904" s="1049"/>
      <c r="FH904" s="1049"/>
      <c r="FI904" s="1049"/>
      <c r="FJ904" s="1049"/>
      <c r="FK904" s="1049"/>
      <c r="FL904" s="1049"/>
    </row>
    <row r="905" spans="1:168" s="1034" customFormat="1" x14ac:dyDescent="0.25">
      <c r="A905" s="133">
        <v>80</v>
      </c>
      <c r="B905" s="770" t="str">
        <f>CK14</f>
        <v>Сода пищевая</v>
      </c>
      <c r="C905" s="710" t="e">
        <f>#REF!+#REF!++#REF!++#REF!+#REF!+#REF!+#REF!+#REF!++#REF!+#REF!</f>
        <v>#REF!</v>
      </c>
      <c r="D905" s="779">
        <f>цены!$F$92</f>
        <v>40</v>
      </c>
      <c r="E905" s="812" t="e">
        <f t="shared" si="507"/>
        <v>#REF!</v>
      </c>
      <c r="F905" s="710" t="e">
        <f>#REF!+#REF!+#REF!+#REF!+#REF!+#REF!+#REF!+#REF!+#REF!+#REF!</f>
        <v>#REF!</v>
      </c>
      <c r="G905" s="119" t="e">
        <f>#REF!+#REF!+#REF!+#REF!+#REF!+#REF!+#REF!+#REF!+#REF!+#REF!</f>
        <v>#REF!</v>
      </c>
      <c r="H905" s="1256"/>
      <c r="I905" s="659"/>
      <c r="EZ905" s="675"/>
      <c r="FA905" s="1049"/>
      <c r="FB905" s="1049"/>
      <c r="FC905" s="1049"/>
      <c r="FD905" s="1049"/>
      <c r="FE905" s="1049"/>
      <c r="FF905" s="1049"/>
      <c r="FG905" s="1049"/>
      <c r="FH905" s="1049"/>
      <c r="FI905" s="1049"/>
      <c r="FJ905" s="1049"/>
      <c r="FK905" s="1049"/>
      <c r="FL905" s="1049"/>
    </row>
    <row r="906" spans="1:168" s="1034" customFormat="1" x14ac:dyDescent="0.25">
      <c r="A906" s="133">
        <v>81</v>
      </c>
      <c r="B906" s="770" t="str">
        <f>CL14</f>
        <v>Дрожжи пекарные прессованные</v>
      </c>
      <c r="C906" s="710" t="e">
        <f>#REF!+#REF!++#REF!++#REF!+#REF!+#REF!+#REF!+#REF!++#REF!+#REF!</f>
        <v>#REF!</v>
      </c>
      <c r="D906" s="779">
        <f>цены!$F$93</f>
        <v>455</v>
      </c>
      <c r="E906" s="812" t="e">
        <f t="shared" si="507"/>
        <v>#REF!</v>
      </c>
      <c r="F906" s="710" t="e">
        <f>#REF!+#REF!+#REF!+#REF!+#REF!+#REF!+#REF!+#REF!+#REF!+#REF!</f>
        <v>#REF!</v>
      </c>
      <c r="G906" s="119" t="e">
        <f>#REF!+#REF!+#REF!+#REF!+#REF!+#REF!+#REF!+#REF!+#REF!+#REF!</f>
        <v>#REF!</v>
      </c>
      <c r="H906" s="1256"/>
      <c r="I906" s="659"/>
      <c r="EZ906" s="675"/>
      <c r="FA906" s="1049"/>
      <c r="FB906" s="1049"/>
      <c r="FC906" s="1049"/>
      <c r="FD906" s="1049"/>
      <c r="FE906" s="1049"/>
      <c r="FF906" s="1049"/>
      <c r="FG906" s="1049"/>
      <c r="FH906" s="1049"/>
      <c r="FI906" s="1049"/>
      <c r="FJ906" s="1049"/>
      <c r="FK906" s="1049"/>
      <c r="FL906" s="1049"/>
    </row>
    <row r="907" spans="1:168" s="1034" customFormat="1" x14ac:dyDescent="0.25">
      <c r="A907" s="133">
        <v>82</v>
      </c>
      <c r="B907" s="770" t="str">
        <f>CM14</f>
        <v>Виноград сушеный (изюм)</v>
      </c>
      <c r="C907" s="710" t="e">
        <f>#REF!+#REF!++#REF!++#REF!+#REF!+#REF!+#REF!+#REF!++#REF!+#REF!</f>
        <v>#REF!</v>
      </c>
      <c r="D907" s="779">
        <f>цены!$F$94</f>
        <v>400</v>
      </c>
      <c r="E907" s="812" t="e">
        <f t="shared" si="507"/>
        <v>#REF!</v>
      </c>
      <c r="F907" s="710" t="e">
        <f>#REF!+#REF!+#REF!+#REF!+#REF!+#REF!+#REF!+#REF!+#REF!+#REF!</f>
        <v>#REF!</v>
      </c>
      <c r="G907" s="119" t="e">
        <f>#REF!+#REF!+#REF!+#REF!+#REF!+#REF!+#REF!+#REF!+#REF!+#REF!</f>
        <v>#REF!</v>
      </c>
      <c r="H907" s="1256"/>
      <c r="I907" s="659"/>
      <c r="EZ907" s="675"/>
      <c r="FA907" s="1049"/>
      <c r="FB907" s="1049"/>
      <c r="FC907" s="1049"/>
      <c r="FD907" s="1049"/>
      <c r="FE907" s="1049"/>
      <c r="FF907" s="1049"/>
      <c r="FG907" s="1049"/>
      <c r="FH907" s="1049"/>
      <c r="FI907" s="1049"/>
      <c r="FJ907" s="1049"/>
      <c r="FK907" s="1049"/>
      <c r="FL907" s="1049"/>
    </row>
    <row r="908" spans="1:168" s="1034" customFormat="1" x14ac:dyDescent="0.25">
      <c r="A908" s="133">
        <v>83</v>
      </c>
      <c r="B908" s="770" t="str">
        <f>CN14</f>
        <v xml:space="preserve">Порошок какао без добавок сахара </v>
      </c>
      <c r="C908" s="710" t="e">
        <f>#REF!+#REF!++#REF!++#REF!+#REF!+#REF!+#REF!+#REF!++#REF!+#REF!</f>
        <v>#REF!</v>
      </c>
      <c r="D908" s="779">
        <f>цены!$F$95</f>
        <v>625</v>
      </c>
      <c r="E908" s="812" t="e">
        <f t="shared" si="507"/>
        <v>#REF!</v>
      </c>
      <c r="F908" s="710" t="e">
        <f>#REF!+#REF!+#REF!+#REF!+#REF!+#REF!+#REF!+#REF!+#REF!+#REF!</f>
        <v>#REF!</v>
      </c>
      <c r="G908" s="119" t="e">
        <f>#REF!+#REF!+#REF!+#REF!+#REF!+#REF!+#REF!+#REF!+#REF!+#REF!</f>
        <v>#REF!</v>
      </c>
      <c r="H908" s="1256"/>
      <c r="I908" s="659"/>
      <c r="EZ908" s="675"/>
      <c r="FA908" s="1049"/>
      <c r="FB908" s="1049"/>
      <c r="FC908" s="1049"/>
      <c r="FD908" s="1049"/>
      <c r="FE908" s="1049"/>
      <c r="FF908" s="1049"/>
      <c r="FG908" s="1049"/>
      <c r="FH908" s="1049"/>
      <c r="FI908" s="1049"/>
      <c r="FJ908" s="1049"/>
      <c r="FK908" s="1049"/>
      <c r="FL908" s="1049"/>
    </row>
    <row r="909" spans="1:168" s="1034" customFormat="1" x14ac:dyDescent="0.25">
      <c r="A909" s="133">
        <v>84</v>
      </c>
      <c r="B909" s="770" t="str">
        <f>CO14</f>
        <v>Кофейный напиток</v>
      </c>
      <c r="C909" s="710" t="e">
        <f>#REF!+#REF!++#REF!++#REF!+#REF!+#REF!+#REF!+#REF!++#REF!+#REF!</f>
        <v>#REF!</v>
      </c>
      <c r="D909" s="779">
        <f>цены!$F$96</f>
        <v>435</v>
      </c>
      <c r="E909" s="812" t="e">
        <f t="shared" si="507"/>
        <v>#REF!</v>
      </c>
      <c r="F909" s="710" t="e">
        <f>#REF!+#REF!+#REF!+#REF!+#REF!+#REF!+#REF!+#REF!+#REF!+#REF!</f>
        <v>#REF!</v>
      </c>
      <c r="G909" s="119" t="e">
        <f>#REF!+#REF!+#REF!+#REF!+#REF!+#REF!+#REF!+#REF!+#REF!+#REF!</f>
        <v>#REF!</v>
      </c>
      <c r="H909" s="1256"/>
      <c r="I909" s="659"/>
      <c r="EZ909" s="675"/>
      <c r="FA909" s="1049"/>
      <c r="FB909" s="1049"/>
      <c r="FC909" s="1049"/>
      <c r="FD909" s="1049"/>
      <c r="FE909" s="1049"/>
      <c r="FF909" s="1049"/>
      <c r="FG909" s="1049"/>
      <c r="FH909" s="1049"/>
      <c r="FI909" s="1049"/>
      <c r="FJ909" s="1049"/>
      <c r="FK909" s="1049"/>
      <c r="FL909" s="1049"/>
    </row>
    <row r="910" spans="1:168" s="1034" customFormat="1" x14ac:dyDescent="0.25">
      <c r="A910" s="133">
        <v>85</v>
      </c>
      <c r="B910" s="770" t="str">
        <f>CP14</f>
        <v>Кетчуп томатный</v>
      </c>
      <c r="C910" s="710" t="e">
        <f>#REF!+#REF!++#REF!++#REF!+#REF!+#REF!+#REF!+#REF!++#REF!+#REF!</f>
        <v>#REF!</v>
      </c>
      <c r="D910" s="779">
        <f>цены!$F$97</f>
        <v>150</v>
      </c>
      <c r="E910" s="812" t="e">
        <f t="shared" si="507"/>
        <v>#REF!</v>
      </c>
      <c r="F910" s="710" t="e">
        <f>#REF!+#REF!+#REF!+#REF!+#REF!+#REF!+#REF!+#REF!+#REF!+#REF!</f>
        <v>#REF!</v>
      </c>
      <c r="G910" s="119" t="e">
        <f>#REF!+#REF!+#REF!+#REF!+#REF!+#REF!+#REF!+#REF!+#REF!+#REF!</f>
        <v>#REF!</v>
      </c>
      <c r="H910" s="1256"/>
      <c r="I910" s="659"/>
      <c r="EZ910" s="675"/>
      <c r="FA910" s="1049"/>
      <c r="FB910" s="1049"/>
      <c r="FC910" s="1049"/>
      <c r="FD910" s="1049"/>
      <c r="FE910" s="1049"/>
      <c r="FF910" s="1049"/>
      <c r="FG910" s="1049"/>
      <c r="FH910" s="1049"/>
      <c r="FI910" s="1049"/>
      <c r="FJ910" s="1049"/>
      <c r="FK910" s="1049"/>
      <c r="FL910" s="1049"/>
    </row>
    <row r="911" spans="1:168" s="1034" customFormat="1" x14ac:dyDescent="0.25">
      <c r="A911" s="133">
        <v>86</v>
      </c>
      <c r="B911" s="770" t="str">
        <f>CQ14</f>
        <v>Кислота лимонная</v>
      </c>
      <c r="C911" s="710" t="e">
        <f>#REF!+#REF!++#REF!++#REF!+#REF!+#REF!+#REF!+#REF!++#REF!+#REF!</f>
        <v>#REF!</v>
      </c>
      <c r="D911" s="779">
        <f>цены!$F$98</f>
        <v>290</v>
      </c>
      <c r="E911" s="812" t="e">
        <f t="shared" si="507"/>
        <v>#REF!</v>
      </c>
      <c r="F911" s="710" t="e">
        <f>#REF!+#REF!+#REF!+#REF!+#REF!+#REF!+#REF!+#REF!+#REF!+#REF!</f>
        <v>#REF!</v>
      </c>
      <c r="G911" s="119" t="e">
        <f>#REF!+#REF!+#REF!+#REF!+#REF!+#REF!+#REF!+#REF!+#REF!+#REF!</f>
        <v>#REF!</v>
      </c>
      <c r="H911" s="1256"/>
      <c r="I911" s="659"/>
      <c r="EZ911" s="675"/>
      <c r="FA911" s="1049"/>
      <c r="FB911" s="1049"/>
      <c r="FC911" s="1049"/>
      <c r="FD911" s="1049"/>
      <c r="FE911" s="1049"/>
      <c r="FF911" s="1049"/>
      <c r="FG911" s="1049"/>
      <c r="FH911" s="1049"/>
      <c r="FI911" s="1049"/>
      <c r="FJ911" s="1049"/>
      <c r="FK911" s="1049"/>
      <c r="FL911" s="1049"/>
    </row>
    <row r="912" spans="1:168" s="1034" customFormat="1" x14ac:dyDescent="0.25">
      <c r="A912" s="133">
        <v>87</v>
      </c>
      <c r="B912" s="770" t="str">
        <f>CR14</f>
        <v>Крахмал картофельный</v>
      </c>
      <c r="C912" s="710" t="e">
        <f>#REF!+#REF!++#REF!++#REF!+#REF!+#REF!+#REF!+#REF!++#REF!+#REF!</f>
        <v>#REF!</v>
      </c>
      <c r="D912" s="779">
        <f>цены!$F$99</f>
        <v>111</v>
      </c>
      <c r="E912" s="812" t="e">
        <f t="shared" si="507"/>
        <v>#REF!</v>
      </c>
      <c r="F912" s="710" t="e">
        <f>#REF!+#REF!+#REF!+#REF!+#REF!+#REF!+#REF!+#REF!+#REF!+#REF!</f>
        <v>#REF!</v>
      </c>
      <c r="G912" s="119" t="e">
        <f>#REF!+#REF!+#REF!+#REF!+#REF!+#REF!+#REF!+#REF!+#REF!+#REF!</f>
        <v>#REF!</v>
      </c>
      <c r="H912" s="1256"/>
      <c r="I912" s="659"/>
      <c r="EZ912" s="675"/>
      <c r="FA912" s="1049"/>
      <c r="FB912" s="1049"/>
      <c r="FC912" s="1049"/>
      <c r="FD912" s="1049"/>
      <c r="FE912" s="1049"/>
      <c r="FF912" s="1049"/>
      <c r="FG912" s="1049"/>
      <c r="FH912" s="1049"/>
      <c r="FI912" s="1049"/>
      <c r="FJ912" s="1049"/>
      <c r="FK912" s="1049"/>
      <c r="FL912" s="1049"/>
    </row>
    <row r="913" spans="1:168" s="1034" customFormat="1" x14ac:dyDescent="0.25">
      <c r="A913" s="133">
        <v>88</v>
      </c>
      <c r="B913" s="770" t="str">
        <f>CS14</f>
        <v>Лист лавровый обработанный</v>
      </c>
      <c r="C913" s="710" t="e">
        <f>#REF!+#REF!++#REF!++#REF!+#REF!+#REF!+#REF!+#REF!++#REF!+#REF!</f>
        <v>#REF!</v>
      </c>
      <c r="D913" s="779">
        <f>цены!$F$100</f>
        <v>1000</v>
      </c>
      <c r="E913" s="812" t="e">
        <f t="shared" si="507"/>
        <v>#REF!</v>
      </c>
      <c r="F913" s="710" t="e">
        <f>#REF!+#REF!+#REF!+#REF!+#REF!+#REF!+#REF!+#REF!+#REF!+#REF!</f>
        <v>#REF!</v>
      </c>
      <c r="G913" s="119" t="e">
        <f>#REF!+#REF!+#REF!+#REF!+#REF!+#REF!+#REF!+#REF!+#REF!+#REF!</f>
        <v>#REF!</v>
      </c>
      <c r="H913" s="1256"/>
      <c r="I913" s="659"/>
      <c r="EZ913" s="675"/>
      <c r="FA913" s="1049"/>
      <c r="FB913" s="1049"/>
      <c r="FC913" s="1049"/>
      <c r="FD913" s="1049"/>
      <c r="FE913" s="1049"/>
      <c r="FF913" s="1049"/>
      <c r="FG913" s="1049"/>
      <c r="FH913" s="1049"/>
      <c r="FI913" s="1049"/>
      <c r="FJ913" s="1049"/>
      <c r="FK913" s="1049"/>
      <c r="FL913" s="1049"/>
    </row>
    <row r="914" spans="1:168" s="1034" customFormat="1" x14ac:dyDescent="0.25">
      <c r="A914" s="133">
        <v>89</v>
      </c>
      <c r="B914" s="770" t="str">
        <f>CT14</f>
        <v>Огурцы консервированные</v>
      </c>
      <c r="C914" s="710" t="e">
        <f>#REF!+#REF!++#REF!++#REF!+#REF!+#REF!+#REF!+#REF!++#REF!+#REF!</f>
        <v>#REF!</v>
      </c>
      <c r="D914" s="779">
        <f>цены!$F$101</f>
        <v>120</v>
      </c>
      <c r="E914" s="812" t="e">
        <f t="shared" si="507"/>
        <v>#REF!</v>
      </c>
      <c r="F914" s="710" t="e">
        <f>#REF!+#REF!+#REF!+#REF!+#REF!+#REF!+#REF!+#REF!+#REF!+#REF!</f>
        <v>#REF!</v>
      </c>
      <c r="G914" s="119" t="e">
        <f>#REF!+#REF!+#REF!+#REF!+#REF!+#REF!+#REF!+#REF!+#REF!+#REF!</f>
        <v>#REF!</v>
      </c>
      <c r="H914" s="1256"/>
      <c r="I914" s="659"/>
      <c r="EZ914" s="675"/>
      <c r="FA914" s="1049"/>
      <c r="FB914" s="1049"/>
      <c r="FC914" s="1049"/>
      <c r="FD914" s="1049"/>
      <c r="FE914" s="1049"/>
      <c r="FF914" s="1049"/>
      <c r="FG914" s="1049"/>
      <c r="FH914" s="1049"/>
      <c r="FI914" s="1049"/>
      <c r="FJ914" s="1049"/>
      <c r="FK914" s="1049"/>
      <c r="FL914" s="1049"/>
    </row>
    <row r="915" spans="1:168" s="1034" customFormat="1" x14ac:dyDescent="0.25">
      <c r="A915" s="133">
        <v>90</v>
      </c>
      <c r="B915" s="770" t="str">
        <f>CU14</f>
        <v>Помидоры соленые</v>
      </c>
      <c r="C915" s="710" t="e">
        <f>#REF!+#REF!++#REF!++#REF!+#REF!+#REF!+#REF!+#REF!++#REF!+#REF!</f>
        <v>#REF!</v>
      </c>
      <c r="D915" s="779">
        <f>цены!$F$102</f>
        <v>120</v>
      </c>
      <c r="E915" s="812" t="e">
        <f t="shared" si="507"/>
        <v>#REF!</v>
      </c>
      <c r="F915" s="710" t="e">
        <f>#REF!+#REF!+#REF!+#REF!+#REF!+#REF!+#REF!+#REF!+#REF!+#REF!</f>
        <v>#REF!</v>
      </c>
      <c r="G915" s="119" t="e">
        <f>#REF!+#REF!+#REF!+#REF!+#REF!+#REF!+#REF!+#REF!+#REF!+#REF!</f>
        <v>#REF!</v>
      </c>
      <c r="H915" s="1256"/>
      <c r="I915" s="659"/>
      <c r="EZ915" s="675"/>
      <c r="FA915" s="1049"/>
      <c r="FB915" s="1049"/>
      <c r="FC915" s="1049"/>
      <c r="FD915" s="1049"/>
      <c r="FE915" s="1049"/>
      <c r="FF915" s="1049"/>
      <c r="FG915" s="1049"/>
      <c r="FH915" s="1049"/>
      <c r="FI915" s="1049"/>
      <c r="FJ915" s="1049"/>
      <c r="FK915" s="1049"/>
      <c r="FL915" s="1049"/>
    </row>
    <row r="916" spans="1:168" s="1034" customFormat="1" x14ac:dyDescent="0.25">
      <c r="A916" s="133">
        <v>91</v>
      </c>
      <c r="B916" s="770" t="str">
        <f>CV14</f>
        <v>Капуста квашеная</v>
      </c>
      <c r="C916" s="710" t="e">
        <f>#REF!+#REF!++#REF!++#REF!+#REF!+#REF!+#REF!+#REF!++#REF!+#REF!</f>
        <v>#REF!</v>
      </c>
      <c r="D916" s="779">
        <f>цены!$F$103</f>
        <v>112</v>
      </c>
      <c r="E916" s="812" t="e">
        <f t="shared" si="507"/>
        <v>#REF!</v>
      </c>
      <c r="F916" s="710" t="e">
        <f>#REF!+#REF!+#REF!+#REF!+#REF!+#REF!+#REF!+#REF!+#REF!+#REF!</f>
        <v>#REF!</v>
      </c>
      <c r="G916" s="119" t="e">
        <f>#REF!+#REF!+#REF!+#REF!+#REF!+#REF!+#REF!+#REF!+#REF!+#REF!</f>
        <v>#REF!</v>
      </c>
      <c r="H916" s="1256"/>
      <c r="I916" s="659"/>
      <c r="EZ916" s="675"/>
      <c r="FA916" s="1049"/>
      <c r="FB916" s="1049"/>
      <c r="FC916" s="1049"/>
      <c r="FD916" s="1049"/>
      <c r="FE916" s="1049"/>
      <c r="FF916" s="1049"/>
      <c r="FG916" s="1049"/>
      <c r="FH916" s="1049"/>
      <c r="FI916" s="1049"/>
      <c r="FJ916" s="1049"/>
      <c r="FK916" s="1049"/>
      <c r="FL916" s="1049"/>
    </row>
    <row r="917" spans="1:168" s="1034" customFormat="1" x14ac:dyDescent="0.25">
      <c r="A917" s="133">
        <v>92</v>
      </c>
      <c r="B917" s="770" t="str">
        <f>CW14</f>
        <v>Повидло из яблок</v>
      </c>
      <c r="C917" s="710" t="e">
        <f>#REF!+#REF!++#REF!++#REF!+#REF!+#REF!+#REF!+#REF!++#REF!+#REF!</f>
        <v>#REF!</v>
      </c>
      <c r="D917" s="779">
        <f>цены!$F$104</f>
        <v>140</v>
      </c>
      <c r="E917" s="812" t="e">
        <f t="shared" si="507"/>
        <v>#REF!</v>
      </c>
      <c r="F917" s="710" t="e">
        <f>#REF!+#REF!+#REF!+#REF!+#REF!+#REF!+#REF!+#REF!+#REF!+#REF!</f>
        <v>#REF!</v>
      </c>
      <c r="G917" s="119" t="e">
        <f>#REF!+#REF!+#REF!+#REF!+#REF!+#REF!+#REF!+#REF!+#REF!+#REF!</f>
        <v>#REF!</v>
      </c>
      <c r="H917" s="1256"/>
      <c r="I917" s="659"/>
      <c r="EZ917" s="675"/>
      <c r="FA917" s="1049"/>
      <c r="FB917" s="1049"/>
      <c r="FC917" s="1049"/>
      <c r="FD917" s="1049"/>
      <c r="FE917" s="1049"/>
      <c r="FF917" s="1049"/>
      <c r="FG917" s="1049"/>
      <c r="FH917" s="1049"/>
      <c r="FI917" s="1049"/>
      <c r="FJ917" s="1049"/>
      <c r="FK917" s="1049"/>
      <c r="FL917" s="1049"/>
    </row>
    <row r="918" spans="1:168" s="1034" customFormat="1" x14ac:dyDescent="0.25">
      <c r="A918" s="133">
        <v>93</v>
      </c>
      <c r="B918" s="770" t="str">
        <f>CX14</f>
        <v>Джем абрикосовый (клубничный и др)</v>
      </c>
      <c r="C918" s="710" t="e">
        <f>#REF!+#REF!++#REF!++#REF!+#REF!+#REF!+#REF!+#REF!++#REF!+#REF!</f>
        <v>#REF!</v>
      </c>
      <c r="D918" s="779">
        <f>цены!$F$105</f>
        <v>160</v>
      </c>
      <c r="E918" s="812" t="e">
        <f t="shared" si="507"/>
        <v>#REF!</v>
      </c>
      <c r="F918" s="710" t="e">
        <f>#REF!+#REF!+#REF!+#REF!+#REF!+#REF!+#REF!+#REF!+#REF!+#REF!</f>
        <v>#REF!</v>
      </c>
      <c r="G918" s="119" t="e">
        <f>#REF!+#REF!+#REF!+#REF!+#REF!+#REF!+#REF!+#REF!+#REF!+#REF!</f>
        <v>#REF!</v>
      </c>
      <c r="H918" s="1256"/>
      <c r="I918" s="659"/>
      <c r="EZ918" s="675"/>
      <c r="FA918" s="1049"/>
      <c r="FB918" s="1049"/>
      <c r="FC918" s="1049"/>
      <c r="FD918" s="1049"/>
      <c r="FE918" s="1049"/>
      <c r="FF918" s="1049"/>
      <c r="FG918" s="1049"/>
      <c r="FH918" s="1049"/>
      <c r="FI918" s="1049"/>
      <c r="FJ918" s="1049"/>
      <c r="FK918" s="1049"/>
      <c r="FL918" s="1049"/>
    </row>
    <row r="919" spans="1:168" s="1034" customFormat="1" x14ac:dyDescent="0.25">
      <c r="A919" s="133">
        <v>94</v>
      </c>
      <c r="B919" s="770" t="str">
        <f>CY14</f>
        <v>Варенье (абрикосовое)</v>
      </c>
      <c r="C919" s="710" t="e">
        <f>#REF!+#REF!++#REF!++#REF!+#REF!+#REF!+#REF!+#REF!++#REF!+#REF!</f>
        <v>#REF!</v>
      </c>
      <c r="D919" s="779">
        <f>цены!$F$106</f>
        <v>400</v>
      </c>
      <c r="E919" s="812" t="e">
        <f t="shared" si="507"/>
        <v>#REF!</v>
      </c>
      <c r="F919" s="710" t="e">
        <f>#REF!+#REF!+#REF!+#REF!+#REF!+#REF!+#REF!+#REF!+#REF!+#REF!</f>
        <v>#REF!</v>
      </c>
      <c r="G919" s="119" t="e">
        <f>#REF!+#REF!+#REF!+#REF!+#REF!+#REF!+#REF!+#REF!+#REF!+#REF!</f>
        <v>#REF!</v>
      </c>
      <c r="H919" s="1256"/>
      <c r="I919" s="659"/>
      <c r="EZ919" s="675"/>
      <c r="FA919" s="1049"/>
      <c r="FB919" s="1049"/>
      <c r="FC919" s="1049"/>
      <c r="FD919" s="1049"/>
      <c r="FE919" s="1049"/>
      <c r="FF919" s="1049"/>
      <c r="FG919" s="1049"/>
      <c r="FH919" s="1049"/>
      <c r="FI919" s="1049"/>
      <c r="FJ919" s="1049"/>
      <c r="FK919" s="1049"/>
      <c r="FL919" s="1049"/>
    </row>
    <row r="920" spans="1:168" s="1034" customFormat="1" x14ac:dyDescent="0.25">
      <c r="A920" s="133">
        <v>95</v>
      </c>
      <c r="B920" s="770" t="str">
        <f>CZ14</f>
        <v>Сахар белый свекловичный</v>
      </c>
      <c r="C920" s="710" t="e">
        <f>#REF!+#REF!++#REF!++#REF!+#REF!+#REF!+#REF!+#REF!++#REF!+#REF!</f>
        <v>#REF!</v>
      </c>
      <c r="D920" s="779">
        <f>цены!$F$107</f>
        <v>76</v>
      </c>
      <c r="E920" s="812" t="e">
        <f t="shared" si="507"/>
        <v>#REF!</v>
      </c>
      <c r="F920" s="710" t="e">
        <f>#REF!+#REF!+#REF!+#REF!+#REF!+#REF!+#REF!+#REF!+#REF!+#REF!</f>
        <v>#REF!</v>
      </c>
      <c r="G920" s="119" t="e">
        <f>#REF!+#REF!+#REF!+#REF!+#REF!+#REF!+#REF!+#REF!+#REF!+#REF!</f>
        <v>#REF!</v>
      </c>
      <c r="H920" s="1256"/>
      <c r="I920" s="659"/>
      <c r="EZ920" s="675"/>
      <c r="FA920" s="1049"/>
      <c r="FB920" s="1049"/>
      <c r="FC920" s="1049"/>
      <c r="FD920" s="1049"/>
      <c r="FE920" s="1049"/>
      <c r="FF920" s="1049"/>
      <c r="FG920" s="1049"/>
      <c r="FH920" s="1049"/>
      <c r="FI920" s="1049"/>
      <c r="FJ920" s="1049"/>
      <c r="FK920" s="1049"/>
      <c r="FL920" s="1049"/>
    </row>
    <row r="921" spans="1:168" s="1034" customFormat="1" x14ac:dyDescent="0.25">
      <c r="A921" s="133">
        <v>96</v>
      </c>
      <c r="B921" s="770" t="str">
        <f>DA14</f>
        <v xml:space="preserve">Пудра рафинированная сахарная </v>
      </c>
      <c r="C921" s="710" t="e">
        <f>#REF!+#REF!++#REF!++#REF!+#REF!+#REF!+#REF!+#REF!++#REF!+#REF!</f>
        <v>#REF!</v>
      </c>
      <c r="D921" s="779">
        <f>цены!$F$108</f>
        <v>140</v>
      </c>
      <c r="E921" s="812" t="e">
        <f t="shared" si="507"/>
        <v>#REF!</v>
      </c>
      <c r="F921" s="710" t="e">
        <f>#REF!+#REF!+#REF!+#REF!+#REF!+#REF!+#REF!+#REF!+#REF!+#REF!</f>
        <v>#REF!</v>
      </c>
      <c r="G921" s="119" t="e">
        <f>#REF!+#REF!+#REF!+#REF!+#REF!+#REF!+#REF!+#REF!+#REF!+#REF!</f>
        <v>#REF!</v>
      </c>
      <c r="H921" s="1256"/>
      <c r="I921" s="659"/>
      <c r="EZ921" s="675"/>
      <c r="FA921" s="1049"/>
      <c r="FB921" s="1049"/>
      <c r="FC921" s="1049"/>
      <c r="FD921" s="1049"/>
      <c r="FE921" s="1049"/>
      <c r="FF921" s="1049"/>
      <c r="FG921" s="1049"/>
      <c r="FH921" s="1049"/>
      <c r="FI921" s="1049"/>
      <c r="FJ921" s="1049"/>
      <c r="FK921" s="1049"/>
      <c r="FL921" s="1049"/>
    </row>
    <row r="922" spans="1:168" s="1034" customFormat="1" x14ac:dyDescent="0.25">
      <c r="A922" s="133">
        <v>97</v>
      </c>
      <c r="B922" s="770" t="str">
        <f>DB14</f>
        <v>Сок натуральный фруктовый с сахаром (3л.)</v>
      </c>
      <c r="C922" s="710" t="e">
        <f>#REF!+#REF!++#REF!++#REF!+#REF!+#REF!+#REF!+#REF!++#REF!+#REF!</f>
        <v>#REF!</v>
      </c>
      <c r="D922" s="779">
        <f>цены!$F$109</f>
        <v>39</v>
      </c>
      <c r="E922" s="812" t="e">
        <f t="shared" si="507"/>
        <v>#REF!</v>
      </c>
      <c r="F922" s="710" t="e">
        <f>#REF!+#REF!+#REF!+#REF!+#REF!+#REF!+#REF!+#REF!+#REF!+#REF!</f>
        <v>#REF!</v>
      </c>
      <c r="G922" s="119" t="e">
        <f>#REF!+#REF!+#REF!+#REF!+#REF!+#REF!+#REF!+#REF!+#REF!+#REF!</f>
        <v>#REF!</v>
      </c>
      <c r="H922" s="1256"/>
      <c r="I922" s="659"/>
      <c r="EZ922" s="675"/>
      <c r="FA922" s="1049"/>
      <c r="FB922" s="1049"/>
      <c r="FC922" s="1049"/>
      <c r="FD922" s="1049"/>
      <c r="FE922" s="1049"/>
      <c r="FF922" s="1049"/>
      <c r="FG922" s="1049"/>
      <c r="FH922" s="1049"/>
      <c r="FI922" s="1049"/>
      <c r="FJ922" s="1049"/>
      <c r="FK922" s="1049"/>
      <c r="FL922" s="1049"/>
    </row>
    <row r="923" spans="1:168" s="1034" customFormat="1" x14ac:dyDescent="0.25">
      <c r="A923" s="133">
        <v>98</v>
      </c>
      <c r="B923" s="770" t="str">
        <f>DC14</f>
        <v>Соль йодированная</v>
      </c>
      <c r="C923" s="710" t="e">
        <f>#REF!+#REF!++#REF!++#REF!+#REF!+#REF!+#REF!+#REF!++#REF!+#REF!</f>
        <v>#REF!</v>
      </c>
      <c r="D923" s="779">
        <f>цены!$F$110</f>
        <v>24</v>
      </c>
      <c r="E923" s="812" t="e">
        <f t="shared" si="507"/>
        <v>#REF!</v>
      </c>
      <c r="F923" s="710" t="e">
        <f>#REF!+#REF!+#REF!+#REF!+#REF!+#REF!+#REF!+#REF!+#REF!+#REF!</f>
        <v>#REF!</v>
      </c>
      <c r="G923" s="119" t="e">
        <f>#REF!+#REF!+#REF!+#REF!+#REF!+#REF!+#REF!+#REF!+#REF!+#REF!</f>
        <v>#REF!</v>
      </c>
      <c r="H923" s="1256"/>
      <c r="I923" s="659"/>
      <c r="EZ923" s="675"/>
      <c r="FA923" s="1049"/>
      <c r="FB923" s="1049"/>
      <c r="FC923" s="1049"/>
      <c r="FD923" s="1049"/>
      <c r="FE923" s="1049"/>
      <c r="FF923" s="1049"/>
      <c r="FG923" s="1049"/>
      <c r="FH923" s="1049"/>
      <c r="FI923" s="1049"/>
      <c r="FJ923" s="1049"/>
      <c r="FK923" s="1049"/>
      <c r="FL923" s="1049"/>
    </row>
    <row r="924" spans="1:168" s="1034" customFormat="1" x14ac:dyDescent="0.25">
      <c r="A924" s="133">
        <v>99</v>
      </c>
      <c r="B924" s="770" t="str">
        <f>DD14</f>
        <v>Сухари панировочные</v>
      </c>
      <c r="C924" s="710" t="e">
        <f>#REF!+#REF!++#REF!++#REF!+#REF!+#REF!+#REF!+#REF!++#REF!+#REF!</f>
        <v>#REF!</v>
      </c>
      <c r="D924" s="779">
        <f>цены!$F$111</f>
        <v>118</v>
      </c>
      <c r="E924" s="812" t="e">
        <f t="shared" si="507"/>
        <v>#REF!</v>
      </c>
      <c r="F924" s="710" t="e">
        <f>#REF!+#REF!+#REF!+#REF!+#REF!+#REF!+#REF!+#REF!+#REF!+#REF!</f>
        <v>#REF!</v>
      </c>
      <c r="G924" s="119" t="e">
        <f>#REF!+#REF!+#REF!+#REF!+#REF!+#REF!+#REF!+#REF!+#REF!+#REF!</f>
        <v>#REF!</v>
      </c>
      <c r="H924" s="1256"/>
      <c r="I924" s="659"/>
      <c r="EZ924" s="675"/>
      <c r="FA924" s="1049"/>
      <c r="FB924" s="1049"/>
      <c r="FC924" s="1049"/>
      <c r="FD924" s="1049"/>
      <c r="FE924" s="1049"/>
      <c r="FF924" s="1049"/>
      <c r="FG924" s="1049"/>
      <c r="FH924" s="1049"/>
      <c r="FI924" s="1049"/>
      <c r="FJ924" s="1049"/>
      <c r="FK924" s="1049"/>
      <c r="FL924" s="1049"/>
    </row>
    <row r="925" spans="1:168" s="1034" customFormat="1" x14ac:dyDescent="0.25">
      <c r="A925" s="133">
        <v>100</v>
      </c>
      <c r="B925" s="770" t="str">
        <f>DE14</f>
        <v>Смеси сушеных фруктов</v>
      </c>
      <c r="C925" s="710" t="e">
        <f>#REF!+#REF!++#REF!++#REF!+#REF!+#REF!+#REF!+#REF!++#REF!+#REF!</f>
        <v>#REF!</v>
      </c>
      <c r="D925" s="779">
        <f>цены!$F$112</f>
        <v>130</v>
      </c>
      <c r="E925" s="812" t="e">
        <f t="shared" si="507"/>
        <v>#REF!</v>
      </c>
      <c r="F925" s="710" t="e">
        <f>#REF!+#REF!+#REF!+#REF!+#REF!+#REF!+#REF!+#REF!+#REF!+#REF!</f>
        <v>#REF!</v>
      </c>
      <c r="G925" s="119" t="e">
        <f>#REF!+#REF!+#REF!+#REF!+#REF!+#REF!+#REF!+#REF!+#REF!+#REF!</f>
        <v>#REF!</v>
      </c>
      <c r="H925" s="1256"/>
      <c r="I925" s="659"/>
      <c r="EZ925" s="675"/>
      <c r="FA925" s="1049"/>
      <c r="FB925" s="1049"/>
      <c r="FC925" s="1049"/>
      <c r="FD925" s="1049"/>
      <c r="FE925" s="1049"/>
      <c r="FF925" s="1049"/>
      <c r="FG925" s="1049"/>
      <c r="FH925" s="1049"/>
      <c r="FI925" s="1049"/>
      <c r="FJ925" s="1049"/>
      <c r="FK925" s="1049"/>
      <c r="FL925" s="1049"/>
    </row>
    <row r="926" spans="1:168" s="1034" customFormat="1" x14ac:dyDescent="0.25">
      <c r="A926" s="133">
        <v>101</v>
      </c>
      <c r="B926" s="770" t="str">
        <f>DF14</f>
        <v>Пюре томатное концентрированное</v>
      </c>
      <c r="C926" s="710" t="e">
        <f>#REF!+#REF!++#REF!++#REF!+#REF!+#REF!+#REF!+#REF!++#REF!+#REF!</f>
        <v>#REF!</v>
      </c>
      <c r="D926" s="779">
        <f>цены!$F$113</f>
        <v>230</v>
      </c>
      <c r="E926" s="812" t="e">
        <f t="shared" si="507"/>
        <v>#REF!</v>
      </c>
      <c r="F926" s="710" t="e">
        <f>#REF!+#REF!+#REF!+#REF!+#REF!+#REF!+#REF!+#REF!+#REF!+#REF!</f>
        <v>#REF!</v>
      </c>
      <c r="G926" s="119" t="e">
        <f>#REF!+#REF!+#REF!+#REF!+#REF!+#REF!+#REF!+#REF!+#REF!+#REF!</f>
        <v>#REF!</v>
      </c>
      <c r="H926" s="1256"/>
      <c r="I926" s="659"/>
      <c r="EZ926" s="675"/>
      <c r="FA926" s="1049"/>
      <c r="FB926" s="1049"/>
      <c r="FC926" s="1049"/>
      <c r="FD926" s="1049"/>
      <c r="FE926" s="1049"/>
      <c r="FF926" s="1049"/>
      <c r="FG926" s="1049"/>
      <c r="FH926" s="1049"/>
      <c r="FI926" s="1049"/>
      <c r="FJ926" s="1049"/>
      <c r="FK926" s="1049"/>
      <c r="FL926" s="1049"/>
    </row>
    <row r="927" spans="1:168" s="1034" customFormat="1" x14ac:dyDescent="0.25">
      <c r="A927" s="133">
        <v>102</v>
      </c>
      <c r="B927" s="770" t="str">
        <f>DG14</f>
        <v>Икра кабачковая</v>
      </c>
      <c r="C927" s="710" t="e">
        <f>#REF!+#REF!++#REF!++#REF!+#REF!+#REF!+#REF!+#REF!++#REF!+#REF!</f>
        <v>#REF!</v>
      </c>
      <c r="D927" s="779">
        <f>цены!$F$114</f>
        <v>120</v>
      </c>
      <c r="E927" s="812" t="e">
        <f t="shared" si="507"/>
        <v>#REF!</v>
      </c>
      <c r="F927" s="710" t="e">
        <f>#REF!+#REF!+#REF!+#REF!+#REF!+#REF!+#REF!+#REF!+#REF!+#REF!</f>
        <v>#REF!</v>
      </c>
      <c r="G927" s="119" t="e">
        <f>#REF!+#REF!+#REF!+#REF!+#REF!+#REF!+#REF!+#REF!+#REF!+#REF!</f>
        <v>#REF!</v>
      </c>
      <c r="H927" s="1256"/>
      <c r="I927" s="659"/>
      <c r="EZ927" s="675"/>
      <c r="FA927" s="1049"/>
      <c r="FB927" s="1049"/>
      <c r="FC927" s="1049"/>
      <c r="FD927" s="1049"/>
      <c r="FE927" s="1049"/>
      <c r="FF927" s="1049"/>
      <c r="FG927" s="1049"/>
      <c r="FH927" s="1049"/>
      <c r="FI927" s="1049"/>
      <c r="FJ927" s="1049"/>
      <c r="FK927" s="1049"/>
      <c r="FL927" s="1049"/>
    </row>
    <row r="928" spans="1:168" s="1034" customFormat="1" x14ac:dyDescent="0.25">
      <c r="A928" s="133">
        <v>103</v>
      </c>
      <c r="B928" s="770" t="str">
        <f>DH14</f>
        <v>Плоды шиповника сушеные</v>
      </c>
      <c r="C928" s="710" t="e">
        <f>#REF!+#REF!++#REF!++#REF!+#REF!+#REF!+#REF!+#REF!++#REF!+#REF!</f>
        <v>#REF!</v>
      </c>
      <c r="D928" s="779">
        <f>цены!$F$115</f>
        <v>100</v>
      </c>
      <c r="E928" s="812" t="e">
        <f t="shared" si="507"/>
        <v>#REF!</v>
      </c>
      <c r="F928" s="710" t="e">
        <f>#REF!+#REF!+#REF!+#REF!+#REF!+#REF!+#REF!+#REF!+#REF!+#REF!</f>
        <v>#REF!</v>
      </c>
      <c r="G928" s="119" t="e">
        <f>#REF!+#REF!+#REF!+#REF!+#REF!+#REF!+#REF!+#REF!+#REF!+#REF!</f>
        <v>#REF!</v>
      </c>
      <c r="H928" s="1256"/>
      <c r="I928" s="659"/>
      <c r="EZ928" s="675"/>
      <c r="FA928" s="1049"/>
      <c r="FB928" s="1049"/>
      <c r="FC928" s="1049"/>
      <c r="FD928" s="1049"/>
      <c r="FE928" s="1049"/>
      <c r="FF928" s="1049"/>
      <c r="FG928" s="1049"/>
      <c r="FH928" s="1049"/>
      <c r="FI928" s="1049"/>
      <c r="FJ928" s="1049"/>
      <c r="FK928" s="1049"/>
      <c r="FL928" s="1049"/>
    </row>
    <row r="929" spans="1:168" s="1034" customFormat="1" x14ac:dyDescent="0.25">
      <c r="A929" s="133">
        <v>104</v>
      </c>
      <c r="B929" s="770" t="str">
        <f>DI14</f>
        <v>Разрыхлитель (аммоний углекислый)</v>
      </c>
      <c r="C929" s="710" t="e">
        <f>#REF!+#REF!++#REF!++#REF!+#REF!+#REF!+#REF!+#REF!++#REF!+#REF!</f>
        <v>#REF!</v>
      </c>
      <c r="D929" s="779">
        <f>цены!$F$116</f>
        <v>2000</v>
      </c>
      <c r="E929" s="812" t="e">
        <f t="shared" si="507"/>
        <v>#REF!</v>
      </c>
      <c r="F929" s="710" t="e">
        <f>#REF!+#REF!+#REF!+#REF!+#REF!+#REF!+#REF!+#REF!+#REF!+#REF!</f>
        <v>#REF!</v>
      </c>
      <c r="G929" s="119" t="e">
        <f>#REF!+#REF!+#REF!+#REF!+#REF!+#REF!+#REF!+#REF!+#REF!+#REF!</f>
        <v>#REF!</v>
      </c>
      <c r="H929" s="1256"/>
      <c r="I929" s="659"/>
      <c r="EZ929" s="675"/>
      <c r="FA929" s="1049"/>
      <c r="FB929" s="1049"/>
      <c r="FC929" s="1049"/>
      <c r="FD929" s="1049"/>
      <c r="FE929" s="1049"/>
      <c r="FF929" s="1049"/>
      <c r="FG929" s="1049"/>
      <c r="FH929" s="1049"/>
      <c r="FI929" s="1049"/>
      <c r="FJ929" s="1049"/>
      <c r="FK929" s="1049"/>
      <c r="FL929" s="1049"/>
    </row>
    <row r="930" spans="1:168" s="1034" customFormat="1" x14ac:dyDescent="0.25">
      <c r="A930" s="133">
        <v>105</v>
      </c>
      <c r="B930" s="770" t="str">
        <f>DJ14</f>
        <v>Корица молотая</v>
      </c>
      <c r="C930" s="710" t="e">
        <f>#REF!+#REF!++#REF!++#REF!+#REF!+#REF!+#REF!+#REF!++#REF!+#REF!</f>
        <v>#REF!</v>
      </c>
      <c r="D930" s="779">
        <f>цены!$F$117</f>
        <v>1210</v>
      </c>
      <c r="E930" s="812" t="e">
        <f t="shared" si="507"/>
        <v>#REF!</v>
      </c>
      <c r="F930" s="710" t="e">
        <f>#REF!+#REF!+#REF!+#REF!+#REF!+#REF!+#REF!+#REF!+#REF!+#REF!</f>
        <v>#REF!</v>
      </c>
      <c r="G930" s="119" t="e">
        <f>#REF!+#REF!+#REF!+#REF!+#REF!+#REF!+#REF!+#REF!+#REF!+#REF!</f>
        <v>#REF!</v>
      </c>
      <c r="H930" s="1256"/>
      <c r="I930" s="659"/>
      <c r="EZ930" s="675"/>
      <c r="FA930" s="1049"/>
      <c r="FB930" s="1049"/>
      <c r="FC930" s="1049"/>
      <c r="FD930" s="1049"/>
      <c r="FE930" s="1049"/>
      <c r="FF930" s="1049"/>
      <c r="FG930" s="1049"/>
      <c r="FH930" s="1049"/>
      <c r="FI930" s="1049"/>
      <c r="FJ930" s="1049"/>
      <c r="FK930" s="1049"/>
      <c r="FL930" s="1049"/>
    </row>
    <row r="931" spans="1:168" s="1034" customFormat="1" x14ac:dyDescent="0.25">
      <c r="A931" s="133">
        <v>106</v>
      </c>
      <c r="B931" s="770" t="str">
        <f>DK14</f>
        <v>Пряности обработанные прочие</v>
      </c>
      <c r="C931" s="710" t="e">
        <f>#REF!+#REF!++#REF!++#REF!+#REF!+#REF!+#REF!+#REF!++#REF!+#REF!</f>
        <v>#REF!</v>
      </c>
      <c r="D931" s="779">
        <f>цены!$F$118</f>
        <v>1420</v>
      </c>
      <c r="E931" s="812" t="e">
        <f t="shared" si="507"/>
        <v>#REF!</v>
      </c>
      <c r="F931" s="710" t="e">
        <f>#REF!+#REF!+#REF!+#REF!+#REF!+#REF!+#REF!+#REF!+#REF!+#REF!</f>
        <v>#REF!</v>
      </c>
      <c r="G931" s="119" t="e">
        <f>#REF!+#REF!+#REF!+#REF!+#REF!+#REF!+#REF!+#REF!+#REF!+#REF!</f>
        <v>#REF!</v>
      </c>
      <c r="H931" s="1256"/>
      <c r="I931" s="659"/>
      <c r="EZ931" s="675"/>
      <c r="FA931" s="1049"/>
      <c r="FB931" s="1049"/>
      <c r="FC931" s="1049"/>
      <c r="FD931" s="1049"/>
      <c r="FE931" s="1049"/>
      <c r="FF931" s="1049"/>
      <c r="FG931" s="1049"/>
      <c r="FH931" s="1049"/>
      <c r="FI931" s="1049"/>
      <c r="FJ931" s="1049"/>
      <c r="FK931" s="1049"/>
      <c r="FL931" s="1049"/>
    </row>
    <row r="932" spans="1:168" s="1034" customFormat="1" x14ac:dyDescent="0.25">
      <c r="A932" s="133">
        <v>107</v>
      </c>
      <c r="B932" s="770" t="str">
        <f>DL14</f>
        <v>Горох</v>
      </c>
      <c r="C932" s="710" t="e">
        <f>#REF!+#REF!++#REF!++#REF!+#REF!+#REF!+#REF!+#REF!++#REF!+#REF!</f>
        <v>#REF!</v>
      </c>
      <c r="D932" s="779">
        <f>цены!$F$119</f>
        <v>50</v>
      </c>
      <c r="E932" s="812" t="e">
        <f t="shared" si="507"/>
        <v>#REF!</v>
      </c>
      <c r="F932" s="710" t="e">
        <f>#REF!+#REF!+#REF!+#REF!+#REF!+#REF!+#REF!+#REF!+#REF!+#REF!</f>
        <v>#REF!</v>
      </c>
      <c r="G932" s="119" t="e">
        <f>#REF!+#REF!+#REF!+#REF!+#REF!+#REF!+#REF!+#REF!+#REF!+#REF!</f>
        <v>#REF!</v>
      </c>
      <c r="H932" s="1256"/>
      <c r="I932" s="659"/>
      <c r="EZ932" s="675"/>
      <c r="FA932" s="1049"/>
      <c r="FB932" s="1049"/>
      <c r="FC932" s="1049"/>
      <c r="FD932" s="1049"/>
      <c r="FE932" s="1049"/>
      <c r="FF932" s="1049"/>
      <c r="FG932" s="1049"/>
      <c r="FH932" s="1049"/>
      <c r="FI932" s="1049"/>
      <c r="FJ932" s="1049"/>
      <c r="FK932" s="1049"/>
      <c r="FL932" s="1049"/>
    </row>
    <row r="933" spans="1:168" s="1034" customFormat="1" x14ac:dyDescent="0.25">
      <c r="A933" s="133">
        <v>108</v>
      </c>
      <c r="B933" s="770" t="str">
        <f>DM14</f>
        <v>Фасоль</v>
      </c>
      <c r="C933" s="710" t="e">
        <f>#REF!+#REF!++#REF!++#REF!+#REF!+#REF!+#REF!+#REF!++#REF!+#REF!</f>
        <v>#REF!</v>
      </c>
      <c r="D933" s="779">
        <f>цены!$F$120</f>
        <v>180</v>
      </c>
      <c r="E933" s="812" t="e">
        <f t="shared" si="507"/>
        <v>#REF!</v>
      </c>
      <c r="F933" s="710" t="e">
        <f>#REF!+#REF!+#REF!+#REF!+#REF!+#REF!+#REF!+#REF!+#REF!+#REF!</f>
        <v>#REF!</v>
      </c>
      <c r="G933" s="119" t="e">
        <f>#REF!+#REF!+#REF!+#REF!+#REF!+#REF!+#REF!+#REF!+#REF!+#REF!</f>
        <v>#REF!</v>
      </c>
      <c r="H933" s="1256"/>
      <c r="I933" s="659"/>
      <c r="EZ933" s="675"/>
      <c r="FA933" s="1049"/>
      <c r="FB933" s="1049"/>
      <c r="FC933" s="1049"/>
      <c r="FD933" s="1049"/>
      <c r="FE933" s="1049"/>
      <c r="FF933" s="1049"/>
      <c r="FG933" s="1049"/>
      <c r="FH933" s="1049"/>
      <c r="FI933" s="1049"/>
      <c r="FJ933" s="1049"/>
      <c r="FK933" s="1049"/>
      <c r="FL933" s="1049"/>
    </row>
    <row r="934" spans="1:168" s="1034" customFormat="1" x14ac:dyDescent="0.25">
      <c r="A934" s="133">
        <v>109</v>
      </c>
      <c r="B934" s="770" t="str">
        <f>DN14</f>
        <v>Чечевица</v>
      </c>
      <c r="C934" s="710" t="e">
        <f>#REF!+#REF!++#REF!++#REF!+#REF!+#REF!+#REF!+#REF!++#REF!+#REF!</f>
        <v>#REF!</v>
      </c>
      <c r="D934" s="779">
        <f>цены!$F$121</f>
        <v>125</v>
      </c>
      <c r="E934" s="812" t="e">
        <f t="shared" si="507"/>
        <v>#REF!</v>
      </c>
      <c r="F934" s="710" t="e">
        <f>#REF!+#REF!+#REF!+#REF!+#REF!+#REF!+#REF!+#REF!+#REF!+#REF!</f>
        <v>#REF!</v>
      </c>
      <c r="G934" s="119" t="e">
        <f>#REF!+#REF!+#REF!+#REF!+#REF!+#REF!+#REF!+#REF!+#REF!+#REF!</f>
        <v>#REF!</v>
      </c>
      <c r="H934" s="1256"/>
      <c r="I934" s="659"/>
      <c r="EZ934" s="675"/>
      <c r="FA934" s="1049"/>
      <c r="FB934" s="1049"/>
      <c r="FC934" s="1049"/>
      <c r="FD934" s="1049"/>
      <c r="FE934" s="1049"/>
      <c r="FF934" s="1049"/>
      <c r="FG934" s="1049"/>
      <c r="FH934" s="1049"/>
      <c r="FI934" s="1049"/>
      <c r="FJ934" s="1049"/>
      <c r="FK934" s="1049"/>
      <c r="FL934" s="1049"/>
    </row>
    <row r="935" spans="1:168" s="1034" customFormat="1" x14ac:dyDescent="0.25">
      <c r="A935" s="133">
        <v>110</v>
      </c>
      <c r="B935" s="770" t="str">
        <f>DO14</f>
        <v>Курага</v>
      </c>
      <c r="C935" s="710" t="e">
        <f>#REF!+#REF!++#REF!++#REF!+#REF!+#REF!+#REF!+#REF!++#REF!+#REF!</f>
        <v>#REF!</v>
      </c>
      <c r="D935" s="779">
        <f>цены!$F$122</f>
        <v>250</v>
      </c>
      <c r="E935" s="812" t="e">
        <f t="shared" si="507"/>
        <v>#REF!</v>
      </c>
      <c r="F935" s="710" t="e">
        <f>#REF!+#REF!+#REF!+#REF!+#REF!+#REF!+#REF!+#REF!+#REF!+#REF!</f>
        <v>#REF!</v>
      </c>
      <c r="G935" s="119" t="e">
        <f>#REF!+#REF!+#REF!+#REF!+#REF!+#REF!+#REF!+#REF!+#REF!+#REF!</f>
        <v>#REF!</v>
      </c>
      <c r="H935" s="1256"/>
      <c r="I935" s="659"/>
      <c r="EZ935" s="675"/>
      <c r="FA935" s="1049"/>
      <c r="FB935" s="1049"/>
      <c r="FC935" s="1049"/>
      <c r="FD935" s="1049"/>
      <c r="FE935" s="1049"/>
      <c r="FF935" s="1049"/>
      <c r="FG935" s="1049"/>
      <c r="FH935" s="1049"/>
      <c r="FI935" s="1049"/>
      <c r="FJ935" s="1049"/>
      <c r="FK935" s="1049"/>
      <c r="FL935" s="1049"/>
    </row>
    <row r="936" spans="1:168" s="1034" customFormat="1" x14ac:dyDescent="0.25">
      <c r="A936" s="133">
        <v>111</v>
      </c>
      <c r="B936" s="770" t="str">
        <f>DP14</f>
        <v>Финики</v>
      </c>
      <c r="C936" s="710" t="e">
        <f>#REF!+#REF!++#REF!++#REF!+#REF!+#REF!+#REF!+#REF!++#REF!+#REF!</f>
        <v>#REF!</v>
      </c>
      <c r="D936" s="779">
        <f>цены!$F$123</f>
        <v>250</v>
      </c>
      <c r="E936" s="812" t="e">
        <f t="shared" si="507"/>
        <v>#REF!</v>
      </c>
      <c r="F936" s="710" t="e">
        <f>#REF!+#REF!+#REF!+#REF!+#REF!+#REF!+#REF!+#REF!+#REF!+#REF!</f>
        <v>#REF!</v>
      </c>
      <c r="G936" s="119" t="e">
        <f>#REF!+#REF!+#REF!+#REF!+#REF!+#REF!+#REF!+#REF!+#REF!+#REF!</f>
        <v>#REF!</v>
      </c>
      <c r="H936" s="1256"/>
      <c r="I936" s="659"/>
      <c r="EZ936" s="675"/>
      <c r="FA936" s="1049"/>
      <c r="FB936" s="1049"/>
      <c r="FC936" s="1049"/>
      <c r="FD936" s="1049"/>
      <c r="FE936" s="1049"/>
      <c r="FF936" s="1049"/>
      <c r="FG936" s="1049"/>
      <c r="FH936" s="1049"/>
      <c r="FI936" s="1049"/>
      <c r="FJ936" s="1049"/>
      <c r="FK936" s="1049"/>
      <c r="FL936" s="1049"/>
    </row>
    <row r="937" spans="1:168" s="1034" customFormat="1" x14ac:dyDescent="0.25">
      <c r="A937" s="133">
        <v>112</v>
      </c>
      <c r="B937" s="770" t="str">
        <f>DQ14</f>
        <v>Орех грецкий</v>
      </c>
      <c r="C937" s="710" t="e">
        <f>#REF!+#REF!++#REF!++#REF!+#REF!+#REF!+#REF!+#REF!++#REF!+#REF!</f>
        <v>#REF!</v>
      </c>
      <c r="D937" s="779">
        <f>цены!$F$124</f>
        <v>250</v>
      </c>
      <c r="E937" s="812" t="e">
        <f t="shared" si="507"/>
        <v>#REF!</v>
      </c>
      <c r="F937" s="710" t="e">
        <f>#REF!+#REF!+#REF!+#REF!+#REF!+#REF!+#REF!+#REF!+#REF!+#REF!</f>
        <v>#REF!</v>
      </c>
      <c r="G937" s="119" t="e">
        <f>#REF!+#REF!+#REF!+#REF!+#REF!+#REF!+#REF!+#REF!+#REF!+#REF!</f>
        <v>#REF!</v>
      </c>
      <c r="H937" s="1256"/>
      <c r="I937" s="659"/>
      <c r="EZ937" s="675"/>
      <c r="FA937" s="1049"/>
      <c r="FB937" s="1049"/>
      <c r="FC937" s="1049"/>
      <c r="FD937" s="1049"/>
      <c r="FE937" s="1049"/>
      <c r="FF937" s="1049"/>
      <c r="FG937" s="1049"/>
      <c r="FH937" s="1049"/>
      <c r="FI937" s="1049"/>
      <c r="FJ937" s="1049"/>
      <c r="FK937" s="1049"/>
      <c r="FL937" s="1049"/>
    </row>
    <row r="938" spans="1:168" s="1034" customFormat="1" x14ac:dyDescent="0.25">
      <c r="A938" s="133">
        <v>113</v>
      </c>
      <c r="B938" s="770" t="str">
        <f>DR14</f>
        <v>Чай черный байховый высшего сорта</v>
      </c>
      <c r="C938" s="710" t="e">
        <f>#REF!+#REF!++#REF!++#REF!+#REF!+#REF!+#REF!+#REF!++#REF!+#REF!</f>
        <v>#REF!</v>
      </c>
      <c r="D938" s="779">
        <f>цены!$F$125</f>
        <v>900</v>
      </c>
      <c r="E938" s="812" t="e">
        <f t="shared" si="507"/>
        <v>#REF!</v>
      </c>
      <c r="F938" s="710" t="e">
        <f>#REF!+#REF!+#REF!+#REF!+#REF!+#REF!+#REF!+#REF!+#REF!+#REF!</f>
        <v>#REF!</v>
      </c>
      <c r="G938" s="119" t="e">
        <f>#REF!+#REF!+#REF!+#REF!+#REF!+#REF!+#REF!+#REF!+#REF!+#REF!</f>
        <v>#REF!</v>
      </c>
      <c r="H938" s="1256"/>
      <c r="I938" s="659"/>
      <c r="EZ938" s="675"/>
      <c r="FA938" s="1049"/>
      <c r="FB938" s="1049"/>
      <c r="FC938" s="1049"/>
      <c r="FD938" s="1049"/>
      <c r="FE938" s="1049"/>
      <c r="FF938" s="1049"/>
      <c r="FG938" s="1049"/>
      <c r="FH938" s="1049"/>
      <c r="FI938" s="1049"/>
      <c r="FJ938" s="1049"/>
      <c r="FK938" s="1049"/>
      <c r="FL938" s="1049"/>
    </row>
    <row r="939" spans="1:168" s="1034" customFormat="1" x14ac:dyDescent="0.25">
      <c r="A939" s="133">
        <v>114</v>
      </c>
      <c r="B939" s="770" t="str">
        <f>DS14</f>
        <v>Яблоки сушеные</v>
      </c>
      <c r="C939" s="710" t="e">
        <f>#REF!+#REF!++#REF!++#REF!+#REF!+#REF!+#REF!+#REF!++#REF!+#REF!</f>
        <v>#REF!</v>
      </c>
      <c r="D939" s="779">
        <f>цены!$F$126</f>
        <v>130</v>
      </c>
      <c r="E939" s="812" t="e">
        <f t="shared" si="507"/>
        <v>#REF!</v>
      </c>
      <c r="F939" s="710" t="e">
        <f>#REF!+#REF!+#REF!+#REF!+#REF!+#REF!+#REF!+#REF!+#REF!+#REF!</f>
        <v>#REF!</v>
      </c>
      <c r="G939" s="119" t="e">
        <f>#REF!+#REF!+#REF!+#REF!+#REF!+#REF!+#REF!+#REF!+#REF!+#REF!</f>
        <v>#REF!</v>
      </c>
      <c r="H939" s="1256"/>
      <c r="I939" s="659"/>
      <c r="EZ939" s="675"/>
      <c r="FA939" s="1049"/>
      <c r="FB939" s="1049"/>
      <c r="FC939" s="1049"/>
      <c r="FD939" s="1049"/>
      <c r="FE939" s="1049"/>
      <c r="FF939" s="1049"/>
      <c r="FG939" s="1049"/>
      <c r="FH939" s="1049"/>
      <c r="FI939" s="1049"/>
      <c r="FJ939" s="1049"/>
      <c r="FK939" s="1049"/>
      <c r="FL939" s="1049"/>
    </row>
    <row r="940" spans="1:168" s="1034" customFormat="1" ht="27.6" x14ac:dyDescent="0.25">
      <c r="A940" s="133">
        <v>115</v>
      </c>
      <c r="B940" s="770" t="str">
        <f>DT14</f>
        <v>Компот концентрированный из плодов консервированных</v>
      </c>
      <c r="C940" s="710" t="e">
        <f>#REF!+#REF!++#REF!++#REF!+#REF!+#REF!+#REF!+#REF!++#REF!+#REF!</f>
        <v>#REF!</v>
      </c>
      <c r="D940" s="779">
        <f>цены!$F$127</f>
        <v>181</v>
      </c>
      <c r="E940" s="812" t="e">
        <f t="shared" si="507"/>
        <v>#REF!</v>
      </c>
      <c r="F940" s="710" t="e">
        <f>#REF!+#REF!+#REF!+#REF!+#REF!+#REF!+#REF!+#REF!+#REF!+#REF!</f>
        <v>#REF!</v>
      </c>
      <c r="G940" s="119" t="e">
        <f>#REF!+#REF!+#REF!+#REF!+#REF!+#REF!+#REF!+#REF!+#REF!+#REF!</f>
        <v>#REF!</v>
      </c>
      <c r="H940" s="1256"/>
      <c r="I940" s="659"/>
      <c r="EZ940" s="675"/>
      <c r="FA940" s="1049"/>
      <c r="FB940" s="1049"/>
      <c r="FC940" s="1049"/>
      <c r="FD940" s="1049"/>
      <c r="FE940" s="1049"/>
      <c r="FF940" s="1049"/>
      <c r="FG940" s="1049"/>
      <c r="FH940" s="1049"/>
      <c r="FI940" s="1049"/>
      <c r="FJ940" s="1049"/>
      <c r="FK940" s="1049"/>
      <c r="FL940" s="1049"/>
    </row>
    <row r="941" spans="1:168" s="1034" customFormat="1" x14ac:dyDescent="0.25">
      <c r="A941" s="133">
        <v>116</v>
      </c>
      <c r="B941" s="770" t="str">
        <f>DU14</f>
        <v>Зеленый горошек консервированный</v>
      </c>
      <c r="C941" s="710" t="e">
        <f>#REF!+#REF!++#REF!++#REF!+#REF!+#REF!+#REF!+#REF!++#REF!+#REF!</f>
        <v>#REF!</v>
      </c>
      <c r="D941" s="779">
        <f>цены!$F$128</f>
        <v>126</v>
      </c>
      <c r="E941" s="812" t="e">
        <f t="shared" si="507"/>
        <v>#REF!</v>
      </c>
      <c r="F941" s="710" t="e">
        <f>#REF!+#REF!+#REF!+#REF!+#REF!+#REF!+#REF!+#REF!+#REF!+#REF!</f>
        <v>#REF!</v>
      </c>
      <c r="G941" s="119" t="e">
        <f>#REF!+#REF!+#REF!+#REF!+#REF!+#REF!+#REF!+#REF!+#REF!+#REF!</f>
        <v>#REF!</v>
      </c>
      <c r="H941" s="1256"/>
      <c r="I941" s="659"/>
      <c r="EZ941" s="675"/>
      <c r="FA941" s="1049"/>
      <c r="FB941" s="1049"/>
      <c r="FC941" s="1049"/>
      <c r="FD941" s="1049"/>
      <c r="FE941" s="1049"/>
      <c r="FF941" s="1049"/>
      <c r="FG941" s="1049"/>
      <c r="FH941" s="1049"/>
      <c r="FI941" s="1049"/>
      <c r="FJ941" s="1049"/>
      <c r="FK941" s="1049"/>
      <c r="FL941" s="1049"/>
    </row>
    <row r="942" spans="1:168" s="1034" customFormat="1" x14ac:dyDescent="0.25">
      <c r="A942" s="133">
        <v>117</v>
      </c>
      <c r="B942" s="770" t="str">
        <f>DV14</f>
        <v>Фасоль стручковая консервированная</v>
      </c>
      <c r="C942" s="710" t="e">
        <f>#REF!+#REF!++#REF!++#REF!+#REF!+#REF!+#REF!+#REF!++#REF!+#REF!</f>
        <v>#REF!</v>
      </c>
      <c r="D942" s="779">
        <f>цены!$F$129</f>
        <v>147</v>
      </c>
      <c r="E942" s="812" t="e">
        <f t="shared" si="507"/>
        <v>#REF!</v>
      </c>
      <c r="F942" s="710" t="e">
        <f>#REF!+#REF!+#REF!+#REF!+#REF!+#REF!+#REF!+#REF!+#REF!+#REF!</f>
        <v>#REF!</v>
      </c>
      <c r="G942" s="119" t="e">
        <f>#REF!+#REF!+#REF!+#REF!+#REF!+#REF!+#REF!+#REF!+#REF!+#REF!</f>
        <v>#REF!</v>
      </c>
      <c r="H942" s="1256"/>
      <c r="I942" s="659"/>
      <c r="EZ942" s="675"/>
      <c r="FA942" s="1049"/>
      <c r="FB942" s="1049"/>
      <c r="FC942" s="1049"/>
      <c r="FD942" s="1049"/>
      <c r="FE942" s="1049"/>
      <c r="FF942" s="1049"/>
      <c r="FG942" s="1049"/>
      <c r="FH942" s="1049"/>
      <c r="FI942" s="1049"/>
      <c r="FJ942" s="1049"/>
      <c r="FK942" s="1049"/>
      <c r="FL942" s="1049"/>
    </row>
    <row r="943" spans="1:168" s="1034" customFormat="1" x14ac:dyDescent="0.25">
      <c r="A943" s="133">
        <v>118</v>
      </c>
      <c r="B943" s="770" t="str">
        <f>DW14</f>
        <v>Кукуруза консервированная</v>
      </c>
      <c r="C943" s="710" t="e">
        <f>#REF!+#REF!++#REF!++#REF!+#REF!+#REF!+#REF!+#REF!++#REF!+#REF!</f>
        <v>#REF!</v>
      </c>
      <c r="D943" s="779">
        <f>цены!$F$130</f>
        <v>143</v>
      </c>
      <c r="E943" s="812" t="e">
        <f t="shared" si="507"/>
        <v>#REF!</v>
      </c>
      <c r="F943" s="710" t="e">
        <f>#REF!+#REF!+#REF!+#REF!+#REF!+#REF!+#REF!+#REF!+#REF!+#REF!</f>
        <v>#REF!</v>
      </c>
      <c r="G943" s="119" t="e">
        <f>#REF!+#REF!+#REF!+#REF!+#REF!+#REF!+#REF!+#REF!+#REF!+#REF!</f>
        <v>#REF!</v>
      </c>
      <c r="H943" s="1256"/>
      <c r="I943" s="659"/>
      <c r="EZ943" s="675"/>
      <c r="FA943" s="1049"/>
      <c r="FB943" s="1049"/>
      <c r="FC943" s="1049"/>
      <c r="FD943" s="1049"/>
      <c r="FE943" s="1049"/>
      <c r="FF943" s="1049"/>
      <c r="FG943" s="1049"/>
      <c r="FH943" s="1049"/>
      <c r="FI943" s="1049"/>
      <c r="FJ943" s="1049"/>
      <c r="FK943" s="1049"/>
      <c r="FL943" s="1049"/>
    </row>
    <row r="944" spans="1:168" s="1034" customFormat="1" x14ac:dyDescent="0.25">
      <c r="A944" s="133">
        <v>119</v>
      </c>
      <c r="B944" s="770" t="str">
        <f>DX14</f>
        <v>Меланж</v>
      </c>
      <c r="C944" s="710" t="e">
        <f>#REF!+#REF!++#REF!++#REF!+#REF!+#REF!+#REF!+#REF!++#REF!+#REF!</f>
        <v>#REF!</v>
      </c>
      <c r="D944" s="779">
        <f>цены!$F$131</f>
        <v>180</v>
      </c>
      <c r="E944" s="812" t="e">
        <f t="shared" si="507"/>
        <v>#REF!</v>
      </c>
      <c r="F944" s="710" t="e">
        <f>#REF!+#REF!+#REF!+#REF!+#REF!+#REF!+#REF!+#REF!+#REF!+#REF!</f>
        <v>#REF!</v>
      </c>
      <c r="G944" s="119" t="e">
        <f>#REF!+#REF!+#REF!+#REF!+#REF!+#REF!+#REF!+#REF!+#REF!+#REF!</f>
        <v>#REF!</v>
      </c>
      <c r="H944" s="1256"/>
      <c r="I944" s="659"/>
      <c r="EZ944" s="675"/>
      <c r="FA944" s="1049"/>
      <c r="FB944" s="1049"/>
      <c r="FC944" s="1049"/>
      <c r="FD944" s="1049"/>
      <c r="FE944" s="1049"/>
      <c r="FF944" s="1049"/>
      <c r="FG944" s="1049"/>
      <c r="FH944" s="1049"/>
      <c r="FI944" s="1049"/>
      <c r="FJ944" s="1049"/>
      <c r="FK944" s="1049"/>
      <c r="FL944" s="1049"/>
    </row>
    <row r="945" spans="1:168" s="1034" customFormat="1" x14ac:dyDescent="0.25">
      <c r="A945" s="133">
        <v>120</v>
      </c>
      <c r="B945" s="770" t="str">
        <f>DY14</f>
        <v>Перец черный</v>
      </c>
      <c r="C945" s="710" t="e">
        <f>#REF!+#REF!++#REF!++#REF!+#REF!+#REF!+#REF!+#REF!++#REF!+#REF!</f>
        <v>#REF!</v>
      </c>
      <c r="D945" s="779">
        <f>цены!$F$132</f>
        <v>1420</v>
      </c>
      <c r="E945" s="812" t="e">
        <f t="shared" si="507"/>
        <v>#REF!</v>
      </c>
      <c r="F945" s="710" t="e">
        <f>#REF!+#REF!+#REF!+#REF!+#REF!+#REF!+#REF!+#REF!+#REF!+#REF!</f>
        <v>#REF!</v>
      </c>
      <c r="G945" s="119" t="e">
        <f>#REF!+#REF!+#REF!+#REF!+#REF!+#REF!+#REF!+#REF!+#REF!+#REF!</f>
        <v>#REF!</v>
      </c>
      <c r="H945" s="1256"/>
      <c r="I945" s="659"/>
      <c r="EZ945" s="675"/>
      <c r="FA945" s="1049"/>
      <c r="FB945" s="1049"/>
      <c r="FC945" s="1049"/>
      <c r="FD945" s="1049"/>
      <c r="FE945" s="1049"/>
      <c r="FF945" s="1049"/>
      <c r="FG945" s="1049"/>
      <c r="FH945" s="1049"/>
      <c r="FI945" s="1049"/>
      <c r="FJ945" s="1049"/>
      <c r="FK945" s="1049"/>
      <c r="FL945" s="1049"/>
    </row>
    <row r="946" spans="1:168" s="1034" customFormat="1" x14ac:dyDescent="0.25">
      <c r="A946" s="133">
        <v>121</v>
      </c>
      <c r="B946" s="770" t="str">
        <f>DZ14</f>
        <v>Перец черный горошком</v>
      </c>
      <c r="C946" s="710" t="e">
        <f>#REF!+#REF!++#REF!++#REF!+#REF!+#REF!+#REF!+#REF!++#REF!+#REF!</f>
        <v>#REF!</v>
      </c>
      <c r="D946" s="779">
        <f>цены!$F$133</f>
        <v>1420</v>
      </c>
      <c r="E946" s="812" t="e">
        <f t="shared" si="507"/>
        <v>#REF!</v>
      </c>
      <c r="F946" s="710" t="e">
        <f>#REF!+#REF!+#REF!+#REF!+#REF!+#REF!+#REF!+#REF!+#REF!+#REF!</f>
        <v>#REF!</v>
      </c>
      <c r="G946" s="119" t="e">
        <f>#REF!+#REF!+#REF!+#REF!+#REF!+#REF!+#REF!+#REF!+#REF!+#REF!</f>
        <v>#REF!</v>
      </c>
      <c r="H946" s="1256"/>
      <c r="I946" s="659"/>
      <c r="EZ946" s="675"/>
      <c r="FA946" s="1049"/>
      <c r="FB946" s="1049"/>
      <c r="FC946" s="1049"/>
      <c r="FD946" s="1049"/>
      <c r="FE946" s="1049"/>
      <c r="FF946" s="1049"/>
      <c r="FG946" s="1049"/>
      <c r="FH946" s="1049"/>
      <c r="FI946" s="1049"/>
      <c r="FJ946" s="1049"/>
      <c r="FK946" s="1049"/>
      <c r="FL946" s="1049"/>
    </row>
    <row r="947" spans="1:168" s="1034" customFormat="1" x14ac:dyDescent="0.25">
      <c r="A947" s="133">
        <v>122</v>
      </c>
      <c r="B947" s="770" t="str">
        <f>EA14</f>
        <v>Мороженое пломбир</v>
      </c>
      <c r="C947" s="710" t="e">
        <f>#REF!+#REF!++#REF!++#REF!+#REF!+#REF!+#REF!+#REF!++#REF!+#REF!</f>
        <v>#REF!</v>
      </c>
      <c r="D947" s="779">
        <f>цены!$F$134</f>
        <v>750</v>
      </c>
      <c r="E947" s="812" t="e">
        <f t="shared" si="507"/>
        <v>#REF!</v>
      </c>
      <c r="F947" s="710" t="e">
        <f>#REF!+#REF!+#REF!+#REF!+#REF!+#REF!+#REF!+#REF!+#REF!+#REF!</f>
        <v>#REF!</v>
      </c>
      <c r="G947" s="119" t="e">
        <f>#REF!+#REF!+#REF!+#REF!+#REF!+#REF!+#REF!+#REF!+#REF!+#REF!</f>
        <v>#REF!</v>
      </c>
      <c r="H947" s="1256"/>
      <c r="I947" s="659"/>
      <c r="EZ947" s="675"/>
      <c r="FA947" s="1049"/>
      <c r="FB947" s="1049"/>
      <c r="FC947" s="1049"/>
      <c r="FD947" s="1049"/>
      <c r="FE947" s="1049"/>
      <c r="FF947" s="1049"/>
      <c r="FG947" s="1049"/>
      <c r="FH947" s="1049"/>
      <c r="FI947" s="1049"/>
      <c r="FJ947" s="1049"/>
      <c r="FK947" s="1049"/>
      <c r="FL947" s="1049"/>
    </row>
    <row r="948" spans="1:168" s="1034" customFormat="1" x14ac:dyDescent="0.25">
      <c r="A948" s="133">
        <v>123</v>
      </c>
      <c r="B948" s="770" t="str">
        <f>EB14</f>
        <v>Вода питьевая 19 л</v>
      </c>
      <c r="C948" s="710" t="e">
        <f>#REF!+#REF!++#REF!++#REF!+#REF!+#REF!+#REF!+#REF!++#REF!+#REF!</f>
        <v>#REF!</v>
      </c>
      <c r="D948" s="779">
        <f>цены!$F$135</f>
        <v>5.79</v>
      </c>
      <c r="E948" s="812" t="e">
        <f t="shared" si="507"/>
        <v>#REF!</v>
      </c>
      <c r="F948" s="710" t="e">
        <f>#REF!+#REF!+#REF!+#REF!+#REF!+#REF!+#REF!+#REF!+#REF!+#REF!</f>
        <v>#REF!</v>
      </c>
      <c r="G948" s="119" t="e">
        <f>#REF!+#REF!+#REF!+#REF!+#REF!+#REF!+#REF!+#REF!+#REF!+#REF!</f>
        <v>#REF!</v>
      </c>
      <c r="H948" s="1256"/>
      <c r="I948" s="659"/>
      <c r="EZ948" s="675"/>
      <c r="FA948" s="1049"/>
      <c r="FB948" s="1049"/>
      <c r="FC948" s="1049"/>
      <c r="FD948" s="1049"/>
      <c r="FE948" s="1049"/>
      <c r="FF948" s="1049"/>
      <c r="FG948" s="1049"/>
      <c r="FH948" s="1049"/>
      <c r="FI948" s="1049"/>
      <c r="FJ948" s="1049"/>
      <c r="FK948" s="1049"/>
      <c r="FL948" s="1049"/>
    </row>
    <row r="949" spans="1:168" s="1034" customFormat="1" x14ac:dyDescent="0.25">
      <c r="A949" s="133">
        <v>124</v>
      </c>
      <c r="B949" s="770" t="str">
        <f>EC14</f>
        <v>Печенье сахарное "Юбилейное"</v>
      </c>
      <c r="C949" s="710" t="e">
        <f>#REF!+#REF!++#REF!++#REF!+#REF!+#REF!+#REF!+#REF!++#REF!+#REF!</f>
        <v>#REF!</v>
      </c>
      <c r="D949" s="779">
        <f>цены!$F$136</f>
        <v>120</v>
      </c>
      <c r="E949" s="812" t="e">
        <f t="shared" si="507"/>
        <v>#REF!</v>
      </c>
      <c r="F949" s="710" t="e">
        <f>#REF!+#REF!+#REF!+#REF!+#REF!+#REF!+#REF!+#REF!+#REF!+#REF!</f>
        <v>#REF!</v>
      </c>
      <c r="G949" s="119" t="e">
        <f>#REF!+#REF!+#REF!+#REF!+#REF!+#REF!+#REF!+#REF!+#REF!+#REF!</f>
        <v>#REF!</v>
      </c>
      <c r="H949" s="1256"/>
      <c r="I949" s="659"/>
      <c r="EZ949" s="675"/>
      <c r="FA949" s="1049"/>
      <c r="FB949" s="1049"/>
      <c r="FC949" s="1049"/>
      <c r="FD949" s="1049"/>
      <c r="FE949" s="1049"/>
      <c r="FF949" s="1049"/>
      <c r="FG949" s="1049"/>
      <c r="FH949" s="1049"/>
      <c r="FI949" s="1049"/>
      <c r="FJ949" s="1049"/>
      <c r="FK949" s="1049"/>
      <c r="FL949" s="1049"/>
    </row>
    <row r="950" spans="1:168" s="1034" customFormat="1" x14ac:dyDescent="0.25">
      <c r="A950" s="133">
        <v>125</v>
      </c>
      <c r="B950" s="770" t="str">
        <f>ED14</f>
        <v>Печенье овсяное</v>
      </c>
      <c r="C950" s="710" t="e">
        <f>#REF!+#REF!++#REF!++#REF!+#REF!+#REF!+#REF!+#REF!++#REF!+#REF!</f>
        <v>#REF!</v>
      </c>
      <c r="D950" s="779">
        <f>цены!$F$137</f>
        <v>72</v>
      </c>
      <c r="E950" s="812" t="e">
        <f t="shared" si="507"/>
        <v>#REF!</v>
      </c>
      <c r="F950" s="710" t="e">
        <f>#REF!+#REF!+#REF!+#REF!+#REF!+#REF!+#REF!+#REF!+#REF!+#REF!</f>
        <v>#REF!</v>
      </c>
      <c r="G950" s="119" t="e">
        <f>#REF!+#REF!+#REF!+#REF!+#REF!+#REF!+#REF!+#REF!+#REF!+#REF!</f>
        <v>#REF!</v>
      </c>
      <c r="H950" s="1256"/>
      <c r="I950" s="659"/>
      <c r="EZ950" s="675"/>
      <c r="FA950" s="1049"/>
      <c r="FB950" s="1049"/>
      <c r="FC950" s="1049"/>
      <c r="FD950" s="1049"/>
      <c r="FE950" s="1049"/>
      <c r="FF950" s="1049"/>
      <c r="FG950" s="1049"/>
      <c r="FH950" s="1049"/>
      <c r="FI950" s="1049"/>
      <c r="FJ950" s="1049"/>
      <c r="FK950" s="1049"/>
      <c r="FL950" s="1049"/>
    </row>
    <row r="951" spans="1:168" s="1034" customFormat="1" x14ac:dyDescent="0.25">
      <c r="A951" s="133">
        <v>126</v>
      </c>
      <c r="B951" s="770" t="str">
        <f>EE14</f>
        <v>Пряники</v>
      </c>
      <c r="C951" s="710" t="e">
        <f>#REF!+#REF!++#REF!++#REF!+#REF!+#REF!+#REF!+#REF!++#REF!+#REF!</f>
        <v>#REF!</v>
      </c>
      <c r="D951" s="779">
        <f>цены!$F$138</f>
        <v>120</v>
      </c>
      <c r="E951" s="812" t="e">
        <f t="shared" ref="E951:E967" si="508">E$820</f>
        <v>#REF!</v>
      </c>
      <c r="F951" s="710" t="e">
        <f>#REF!+#REF!+#REF!+#REF!+#REF!+#REF!+#REF!+#REF!+#REF!+#REF!</f>
        <v>#REF!</v>
      </c>
      <c r="G951" s="119" t="e">
        <f>#REF!+#REF!+#REF!+#REF!+#REF!+#REF!+#REF!+#REF!+#REF!+#REF!</f>
        <v>#REF!</v>
      </c>
      <c r="H951" s="1256"/>
      <c r="I951" s="659"/>
      <c r="EZ951" s="675"/>
      <c r="FA951" s="1049"/>
      <c r="FB951" s="1049"/>
      <c r="FC951" s="1049"/>
      <c r="FD951" s="1049"/>
      <c r="FE951" s="1049"/>
      <c r="FF951" s="1049"/>
      <c r="FG951" s="1049"/>
      <c r="FH951" s="1049"/>
      <c r="FI951" s="1049"/>
      <c r="FJ951" s="1049"/>
      <c r="FK951" s="1049"/>
      <c r="FL951" s="1049"/>
    </row>
    <row r="952" spans="1:168" s="1034" customFormat="1" x14ac:dyDescent="0.25">
      <c r="A952" s="133">
        <v>127</v>
      </c>
      <c r="B952" s="770" t="str">
        <f>EF14</f>
        <v>Кексы</v>
      </c>
      <c r="C952" s="710" t="e">
        <f>#REF!+#REF!++#REF!++#REF!+#REF!+#REF!+#REF!+#REF!++#REF!+#REF!</f>
        <v>#REF!</v>
      </c>
      <c r="D952" s="779">
        <f>цены!$F$139</f>
        <v>215</v>
      </c>
      <c r="E952" s="812" t="e">
        <f t="shared" si="508"/>
        <v>#REF!</v>
      </c>
      <c r="F952" s="710" t="e">
        <f>#REF!+#REF!+#REF!+#REF!+#REF!+#REF!+#REF!+#REF!+#REF!+#REF!</f>
        <v>#REF!</v>
      </c>
      <c r="G952" s="119" t="e">
        <f>#REF!+#REF!+#REF!+#REF!+#REF!+#REF!+#REF!+#REF!+#REF!+#REF!</f>
        <v>#REF!</v>
      </c>
      <c r="H952" s="1256"/>
      <c r="I952" s="659"/>
      <c r="EZ952" s="675"/>
      <c r="FA952" s="1049"/>
      <c r="FB952" s="1049"/>
      <c r="FC952" s="1049"/>
      <c r="FD952" s="1049"/>
      <c r="FE952" s="1049"/>
      <c r="FF952" s="1049"/>
      <c r="FG952" s="1049"/>
      <c r="FH952" s="1049"/>
      <c r="FI952" s="1049"/>
      <c r="FJ952" s="1049"/>
      <c r="FK952" s="1049"/>
      <c r="FL952" s="1049"/>
    </row>
    <row r="953" spans="1:168" s="1034" customFormat="1" x14ac:dyDescent="0.25">
      <c r="A953" s="133">
        <v>128</v>
      </c>
      <c r="B953" s="770" t="str">
        <f>EG14</f>
        <v>Вафли с пралиновыми начинками</v>
      </c>
      <c r="C953" s="710" t="e">
        <f>#REF!+#REF!++#REF!++#REF!+#REF!+#REF!+#REF!+#REF!++#REF!+#REF!</f>
        <v>#REF!</v>
      </c>
      <c r="D953" s="779">
        <f>цены!$F$140</f>
        <v>135</v>
      </c>
      <c r="E953" s="812" t="e">
        <f t="shared" si="508"/>
        <v>#REF!</v>
      </c>
      <c r="F953" s="710" t="e">
        <f>#REF!+#REF!+#REF!+#REF!+#REF!+#REF!+#REF!+#REF!+#REF!+#REF!</f>
        <v>#REF!</v>
      </c>
      <c r="G953" s="119" t="e">
        <f>#REF!+#REF!+#REF!+#REF!+#REF!+#REF!+#REF!+#REF!+#REF!+#REF!</f>
        <v>#REF!</v>
      </c>
      <c r="H953" s="1256"/>
      <c r="I953" s="659"/>
      <c r="EZ953" s="675"/>
      <c r="FA953" s="1049"/>
      <c r="FB953" s="1049"/>
      <c r="FC953" s="1049"/>
      <c r="FD953" s="1049"/>
      <c r="FE953" s="1049"/>
      <c r="FF953" s="1049"/>
      <c r="FG953" s="1049"/>
      <c r="FH953" s="1049"/>
      <c r="FI953" s="1049"/>
      <c r="FJ953" s="1049"/>
      <c r="FK953" s="1049"/>
      <c r="FL953" s="1049"/>
    </row>
    <row r="954" spans="1:168" s="1034" customFormat="1" x14ac:dyDescent="0.25">
      <c r="A954" s="133">
        <v>129</v>
      </c>
      <c r="B954" s="770" t="str">
        <f>EH14</f>
        <v>Зефир</v>
      </c>
      <c r="C954" s="710" t="e">
        <f>#REF!+#REF!++#REF!++#REF!+#REF!+#REF!+#REF!+#REF!++#REF!+#REF!</f>
        <v>#REF!</v>
      </c>
      <c r="D954" s="779">
        <f>цены!$F$141</f>
        <v>130</v>
      </c>
      <c r="E954" s="812" t="e">
        <f t="shared" si="508"/>
        <v>#REF!</v>
      </c>
      <c r="F954" s="710" t="e">
        <f>#REF!+#REF!+#REF!+#REF!+#REF!+#REF!+#REF!+#REF!+#REF!+#REF!</f>
        <v>#REF!</v>
      </c>
      <c r="G954" s="119" t="e">
        <f>#REF!+#REF!+#REF!+#REF!+#REF!+#REF!+#REF!+#REF!+#REF!+#REF!</f>
        <v>#REF!</v>
      </c>
      <c r="H954" s="1256"/>
      <c r="I954" s="659"/>
      <c r="EZ954" s="675"/>
      <c r="FA954" s="1049"/>
      <c r="FB954" s="1049"/>
      <c r="FC954" s="1049"/>
      <c r="FD954" s="1049"/>
      <c r="FE954" s="1049"/>
      <c r="FF954" s="1049"/>
      <c r="FG954" s="1049"/>
      <c r="FH954" s="1049"/>
      <c r="FI954" s="1049"/>
      <c r="FJ954" s="1049"/>
      <c r="FK954" s="1049"/>
      <c r="FL954" s="1049"/>
    </row>
    <row r="955" spans="1:168" s="1034" customFormat="1" ht="27.6" x14ac:dyDescent="0.25">
      <c r="A955" s="133">
        <v>130</v>
      </c>
      <c r="B955" s="770" t="str">
        <f>EI14</f>
        <v>Сок натуральный (виноградный, яблочный и др. в пакетах)</v>
      </c>
      <c r="C955" s="710" t="e">
        <f>#REF!+#REF!++#REF!++#REF!+#REF!+#REF!+#REF!+#REF!++#REF!+#REF!</f>
        <v>#REF!</v>
      </c>
      <c r="D955" s="779">
        <f>цены!$F$142</f>
        <v>75</v>
      </c>
      <c r="E955" s="812" t="e">
        <f t="shared" si="508"/>
        <v>#REF!</v>
      </c>
      <c r="F955" s="710" t="e">
        <f>#REF!+#REF!+#REF!+#REF!+#REF!+#REF!+#REF!+#REF!+#REF!+#REF!</f>
        <v>#REF!</v>
      </c>
      <c r="G955" s="119" t="e">
        <f>#REF!+#REF!+#REF!+#REF!+#REF!+#REF!+#REF!+#REF!+#REF!+#REF!</f>
        <v>#REF!</v>
      </c>
      <c r="H955" s="1256"/>
      <c r="I955" s="659"/>
      <c r="EZ955" s="675"/>
      <c r="FA955" s="1049"/>
      <c r="FB955" s="1049"/>
      <c r="FC955" s="1049"/>
      <c r="FD955" s="1049"/>
      <c r="FE955" s="1049"/>
      <c r="FF955" s="1049"/>
      <c r="FG955" s="1049"/>
      <c r="FH955" s="1049"/>
      <c r="FI955" s="1049"/>
      <c r="FJ955" s="1049"/>
      <c r="FK955" s="1049"/>
      <c r="FL955" s="1049"/>
    </row>
    <row r="956" spans="1:168" s="1034" customFormat="1" x14ac:dyDescent="0.25">
      <c r="A956" s="133">
        <v>131</v>
      </c>
      <c r="B956" s="770" t="str">
        <f>EJ14</f>
        <v>Сок натуральный виноградный (в банках 3 л)</v>
      </c>
      <c r="C956" s="710" t="e">
        <f>#REF!+#REF!++#REF!++#REF!+#REF!+#REF!+#REF!+#REF!++#REF!+#REF!</f>
        <v>#REF!</v>
      </c>
      <c r="D956" s="779">
        <f>цены!$F$143</f>
        <v>26</v>
      </c>
      <c r="E956" s="812" t="e">
        <f t="shared" si="508"/>
        <v>#REF!</v>
      </c>
      <c r="F956" s="710" t="e">
        <f>#REF!+#REF!+#REF!+#REF!+#REF!+#REF!+#REF!+#REF!+#REF!+#REF!</f>
        <v>#REF!</v>
      </c>
      <c r="G956" s="119" t="e">
        <f>#REF!+#REF!+#REF!+#REF!+#REF!+#REF!+#REF!+#REF!+#REF!+#REF!</f>
        <v>#REF!</v>
      </c>
      <c r="H956" s="1256"/>
      <c r="I956" s="659"/>
      <c r="EZ956" s="675"/>
      <c r="FA956" s="1049"/>
      <c r="FB956" s="1049"/>
      <c r="FC956" s="1049"/>
      <c r="FD956" s="1049"/>
      <c r="FE956" s="1049"/>
      <c r="FF956" s="1049"/>
      <c r="FG956" s="1049"/>
      <c r="FH956" s="1049"/>
      <c r="FI956" s="1049"/>
      <c r="FJ956" s="1049"/>
      <c r="FK956" s="1049"/>
      <c r="FL956" s="1049"/>
    </row>
    <row r="957" spans="1:168" s="1034" customFormat="1" x14ac:dyDescent="0.25">
      <c r="A957" s="133">
        <v>132</v>
      </c>
      <c r="B957" s="770" t="str">
        <f>EK14</f>
        <v>Конфеты, глазированные шоколадом (Морские)</v>
      </c>
      <c r="C957" s="710" t="e">
        <f>#REF!+#REF!++#REF!++#REF!+#REF!+#REF!+#REF!+#REF!++#REF!+#REF!</f>
        <v>#REF!</v>
      </c>
      <c r="D957" s="779">
        <f>цены!$F$144</f>
        <v>385</v>
      </c>
      <c r="E957" s="812" t="e">
        <f t="shared" si="508"/>
        <v>#REF!</v>
      </c>
      <c r="F957" s="710" t="e">
        <f>#REF!+#REF!+#REF!+#REF!+#REF!+#REF!+#REF!+#REF!+#REF!+#REF!</f>
        <v>#REF!</v>
      </c>
      <c r="G957" s="119" t="e">
        <f>#REF!+#REF!+#REF!+#REF!+#REF!+#REF!+#REF!+#REF!+#REF!+#REF!</f>
        <v>#REF!</v>
      </c>
      <c r="H957" s="1256"/>
      <c r="I957" s="659"/>
      <c r="EZ957" s="675"/>
      <c r="FA957" s="1049"/>
      <c r="FB957" s="1049"/>
      <c r="FC957" s="1049"/>
      <c r="FD957" s="1049"/>
      <c r="FE957" s="1049"/>
      <c r="FF957" s="1049"/>
      <c r="FG957" s="1049"/>
      <c r="FH957" s="1049"/>
      <c r="FI957" s="1049"/>
      <c r="FJ957" s="1049"/>
      <c r="FK957" s="1049"/>
      <c r="FL957" s="1049"/>
    </row>
    <row r="958" spans="1:168" s="1034" customFormat="1" x14ac:dyDescent="0.25">
      <c r="A958" s="133">
        <v>133</v>
      </c>
      <c r="B958" s="770" t="str">
        <f>EL14</f>
        <v>Конфеты сливочные (Коровка)</v>
      </c>
      <c r="C958" s="710" t="e">
        <f>#REF!+#REF!++#REF!++#REF!+#REF!+#REF!+#REF!+#REF!++#REF!+#REF!</f>
        <v>#REF!</v>
      </c>
      <c r="D958" s="779">
        <f>цены!$F$145</f>
        <v>200</v>
      </c>
      <c r="E958" s="812" t="e">
        <f t="shared" si="508"/>
        <v>#REF!</v>
      </c>
      <c r="F958" s="710" t="e">
        <f>#REF!+#REF!+#REF!+#REF!+#REF!+#REF!+#REF!+#REF!+#REF!+#REF!</f>
        <v>#REF!</v>
      </c>
      <c r="G958" s="119" t="e">
        <f>#REF!+#REF!+#REF!+#REF!+#REF!+#REF!+#REF!+#REF!+#REF!+#REF!</f>
        <v>#REF!</v>
      </c>
      <c r="H958" s="1256"/>
      <c r="I958" s="659"/>
      <c r="EZ958" s="675"/>
      <c r="FA958" s="1049"/>
      <c r="FB958" s="1049"/>
      <c r="FC958" s="1049"/>
      <c r="FD958" s="1049"/>
      <c r="FE958" s="1049"/>
      <c r="FF958" s="1049"/>
      <c r="FG958" s="1049"/>
      <c r="FH958" s="1049"/>
      <c r="FI958" s="1049"/>
      <c r="FJ958" s="1049"/>
      <c r="FK958" s="1049"/>
      <c r="FL958" s="1049"/>
    </row>
    <row r="959" spans="1:168" s="1034" customFormat="1" x14ac:dyDescent="0.25">
      <c r="A959" s="133">
        <v>134</v>
      </c>
      <c r="B959" s="771" t="str">
        <f>EM14</f>
        <v>Конфеты шоколадные ("Российские" (плитка)</v>
      </c>
      <c r="C959" s="710" t="e">
        <f>#REF!+#REF!++#REF!++#REF!+#REF!+#REF!+#REF!+#REF!++#REF!+#REF!</f>
        <v>#REF!</v>
      </c>
      <c r="D959" s="779">
        <f>цены!$F$146</f>
        <v>1000</v>
      </c>
      <c r="E959" s="812" t="e">
        <f t="shared" si="508"/>
        <v>#REF!</v>
      </c>
      <c r="F959" s="710" t="e">
        <f>#REF!+#REF!+#REF!+#REF!+#REF!+#REF!+#REF!+#REF!+#REF!+#REF!</f>
        <v>#REF!</v>
      </c>
      <c r="G959" s="119" t="e">
        <f>#REF!+#REF!+#REF!+#REF!+#REF!+#REF!+#REF!+#REF!+#REF!+#REF!</f>
        <v>#REF!</v>
      </c>
      <c r="H959" s="1256"/>
      <c r="I959" s="659"/>
      <c r="EZ959" s="675"/>
      <c r="FA959" s="1049"/>
      <c r="FB959" s="1049"/>
      <c r="FC959" s="1049"/>
      <c r="FD959" s="1049"/>
      <c r="FE959" s="1049"/>
      <c r="FF959" s="1049"/>
      <c r="FG959" s="1049"/>
      <c r="FH959" s="1049"/>
      <c r="FI959" s="1049"/>
      <c r="FJ959" s="1049"/>
      <c r="FK959" s="1049"/>
      <c r="FL959" s="1049"/>
    </row>
    <row r="960" spans="1:168" s="1034" customFormat="1" x14ac:dyDescent="0.25">
      <c r="A960" s="133">
        <v>135</v>
      </c>
      <c r="B960" s="771" t="str">
        <f>EN14</f>
        <v>Конфеты сливочные ( Лёвушка)</v>
      </c>
      <c r="C960" s="710" t="e">
        <f>#REF!+#REF!++#REF!++#REF!+#REF!+#REF!+#REF!+#REF!++#REF!+#REF!</f>
        <v>#REF!</v>
      </c>
      <c r="D960" s="779">
        <f>цены!$F$147</f>
        <v>340</v>
      </c>
      <c r="E960" s="812" t="e">
        <f t="shared" si="508"/>
        <v>#REF!</v>
      </c>
      <c r="F960" s="710" t="e">
        <f>#REF!+#REF!+#REF!+#REF!+#REF!+#REF!+#REF!+#REF!+#REF!+#REF!</f>
        <v>#REF!</v>
      </c>
      <c r="G960" s="119" t="e">
        <f>#REF!+#REF!+#REF!+#REF!+#REF!+#REF!+#REF!+#REF!+#REF!+#REF!</f>
        <v>#REF!</v>
      </c>
      <c r="H960" s="1256"/>
      <c r="I960" s="659"/>
      <c r="EZ960" s="675"/>
      <c r="FA960" s="1049"/>
      <c r="FB960" s="1049"/>
      <c r="FC960" s="1049"/>
      <c r="FD960" s="1049"/>
      <c r="FE960" s="1049"/>
      <c r="FF960" s="1049"/>
      <c r="FG960" s="1049"/>
      <c r="FH960" s="1049"/>
      <c r="FI960" s="1049"/>
      <c r="FJ960" s="1049"/>
      <c r="FK960" s="1049"/>
      <c r="FL960" s="1049"/>
    </row>
    <row r="961" spans="1:168" s="1034" customFormat="1" x14ac:dyDescent="0.25">
      <c r="A961" s="133">
        <v>136</v>
      </c>
      <c r="B961" s="771" t="str">
        <f>EO14</f>
        <v>Конфеты, глазированные шоколадом (Степ, Марс)</v>
      </c>
      <c r="C961" s="710" t="e">
        <f>#REF!+#REF!++#REF!++#REF!+#REF!+#REF!+#REF!+#REF!++#REF!+#REF!</f>
        <v>#REF!</v>
      </c>
      <c r="D961" s="779">
        <f>цены!$F$148</f>
        <v>630</v>
      </c>
      <c r="E961" s="812" t="e">
        <f t="shared" si="508"/>
        <v>#REF!</v>
      </c>
      <c r="F961" s="710" t="e">
        <f>#REF!+#REF!+#REF!+#REF!+#REF!+#REF!+#REF!+#REF!+#REF!+#REF!</f>
        <v>#REF!</v>
      </c>
      <c r="G961" s="119" t="e">
        <f>#REF!+#REF!+#REF!+#REF!+#REF!+#REF!+#REF!+#REF!+#REF!+#REF!</f>
        <v>#REF!</v>
      </c>
      <c r="H961" s="1256"/>
      <c r="I961" s="659"/>
      <c r="EZ961" s="675"/>
      <c r="FA961" s="1049"/>
      <c r="FB961" s="1049"/>
      <c r="FC961" s="1049"/>
      <c r="FD961" s="1049"/>
      <c r="FE961" s="1049"/>
      <c r="FF961" s="1049"/>
      <c r="FG961" s="1049"/>
      <c r="FH961" s="1049"/>
      <c r="FI961" s="1049"/>
      <c r="FJ961" s="1049"/>
      <c r="FK961" s="1049"/>
      <c r="FL961" s="1049"/>
    </row>
    <row r="962" spans="1:168" s="1034" customFormat="1" x14ac:dyDescent="0.25">
      <c r="A962" s="133">
        <v>137</v>
      </c>
      <c r="B962" s="771" t="str">
        <f>EP14</f>
        <v>Конфеты "Тортимилка" 1 шт. 17,5 гр</v>
      </c>
      <c r="C962" s="710" t="e">
        <f>#REF!+#REF!++#REF!++#REF!+#REF!+#REF!+#REF!+#REF!++#REF!+#REF!</f>
        <v>#REF!</v>
      </c>
      <c r="D962" s="779">
        <f>цены!$F$149</f>
        <v>430</v>
      </c>
      <c r="E962" s="812" t="e">
        <f t="shared" si="508"/>
        <v>#REF!</v>
      </c>
      <c r="F962" s="710" t="e">
        <f>#REF!+#REF!+#REF!+#REF!+#REF!+#REF!+#REF!+#REF!+#REF!+#REF!</f>
        <v>#REF!</v>
      </c>
      <c r="G962" s="119" t="e">
        <f>#REF!+#REF!+#REF!+#REF!+#REF!+#REF!+#REF!+#REF!+#REF!+#REF!</f>
        <v>#REF!</v>
      </c>
      <c r="H962" s="1256"/>
      <c r="I962" s="659"/>
      <c r="EZ962" s="675"/>
      <c r="FA962" s="1049"/>
      <c r="FB962" s="1049"/>
      <c r="FC962" s="1049"/>
      <c r="FD962" s="1049"/>
      <c r="FE962" s="1049"/>
      <c r="FF962" s="1049"/>
      <c r="FG962" s="1049"/>
      <c r="FH962" s="1049"/>
      <c r="FI962" s="1049"/>
      <c r="FJ962" s="1049"/>
      <c r="FK962" s="1049"/>
      <c r="FL962" s="1049"/>
    </row>
    <row r="963" spans="1:168" s="1034" customFormat="1" x14ac:dyDescent="0.25">
      <c r="A963" s="133">
        <v>138</v>
      </c>
      <c r="B963" s="771" t="str">
        <f>EQ14</f>
        <v>Конфеты желейные (мармелад)</v>
      </c>
      <c r="C963" s="710" t="e">
        <f>#REF!+#REF!++#REF!++#REF!+#REF!+#REF!+#REF!+#REF!++#REF!+#REF!</f>
        <v>#REF!</v>
      </c>
      <c r="D963" s="779">
        <f>цены!$F$150</f>
        <v>275</v>
      </c>
      <c r="E963" s="812" t="e">
        <f t="shared" si="508"/>
        <v>#REF!</v>
      </c>
      <c r="F963" s="710" t="e">
        <f>#REF!+#REF!+#REF!+#REF!+#REF!+#REF!+#REF!+#REF!+#REF!+#REF!</f>
        <v>#REF!</v>
      </c>
      <c r="G963" s="119" t="e">
        <f>#REF!+#REF!+#REF!+#REF!+#REF!+#REF!+#REF!+#REF!+#REF!+#REF!</f>
        <v>#REF!</v>
      </c>
      <c r="H963" s="1256"/>
      <c r="I963" s="659"/>
      <c r="EZ963" s="675"/>
      <c r="FA963" s="1049"/>
      <c r="FB963" s="1049"/>
      <c r="FC963" s="1049"/>
      <c r="FD963" s="1049"/>
      <c r="FE963" s="1049"/>
      <c r="FF963" s="1049"/>
      <c r="FG963" s="1049"/>
      <c r="FH963" s="1049"/>
      <c r="FI963" s="1049"/>
      <c r="FJ963" s="1049"/>
      <c r="FK963" s="1049"/>
      <c r="FL963" s="1049"/>
    </row>
    <row r="964" spans="1:168" s="1034" customFormat="1" x14ac:dyDescent="0.25">
      <c r="A964" s="133">
        <v>139</v>
      </c>
      <c r="B964" s="771" t="str">
        <f>ER14</f>
        <v>Конфеты Батончики</v>
      </c>
      <c r="C964" s="710" t="e">
        <f>#REF!+#REF!++#REF!++#REF!+#REF!+#REF!+#REF!+#REF!++#REF!+#REF!</f>
        <v>#REF!</v>
      </c>
      <c r="D964" s="779">
        <f>цены!$F$151</f>
        <v>350</v>
      </c>
      <c r="E964" s="812" t="e">
        <f t="shared" si="508"/>
        <v>#REF!</v>
      </c>
      <c r="F964" s="710" t="e">
        <f>#REF!+#REF!+#REF!+#REF!+#REF!+#REF!+#REF!+#REF!+#REF!+#REF!</f>
        <v>#REF!</v>
      </c>
      <c r="G964" s="119" t="e">
        <f>#REF!+#REF!+#REF!+#REF!+#REF!+#REF!+#REF!+#REF!+#REF!+#REF!</f>
        <v>#REF!</v>
      </c>
      <c r="H964" s="1256"/>
      <c r="I964" s="659"/>
      <c r="EZ964" s="675"/>
      <c r="FA964" s="1049"/>
      <c r="FB964" s="1049"/>
      <c r="FC964" s="1049"/>
      <c r="FD964" s="1049"/>
      <c r="FE964" s="1049"/>
      <c r="FF964" s="1049"/>
      <c r="FG964" s="1049"/>
      <c r="FH964" s="1049"/>
      <c r="FI964" s="1049"/>
      <c r="FJ964" s="1049"/>
      <c r="FK964" s="1049"/>
      <c r="FL964" s="1049"/>
    </row>
    <row r="965" spans="1:168" s="1034" customFormat="1" x14ac:dyDescent="0.25">
      <c r="A965" s="133">
        <v>140</v>
      </c>
      <c r="B965" s="771" t="str">
        <f>ES14</f>
        <v>Конфеты ирис (Золотой ключик)</v>
      </c>
      <c r="C965" s="710" t="e">
        <f>#REF!+#REF!++#REF!++#REF!+#REF!+#REF!+#REF!+#REF!++#REF!+#REF!</f>
        <v>#REF!</v>
      </c>
      <c r="D965" s="779">
        <f>цены!$F$152</f>
        <v>275</v>
      </c>
      <c r="E965" s="812" t="e">
        <f t="shared" si="508"/>
        <v>#REF!</v>
      </c>
      <c r="F965" s="710" t="e">
        <f>#REF!+#REF!+#REF!+#REF!+#REF!+#REF!+#REF!+#REF!+#REF!+#REF!</f>
        <v>#REF!</v>
      </c>
      <c r="G965" s="119" t="e">
        <f>#REF!+#REF!+#REF!+#REF!+#REF!+#REF!+#REF!+#REF!+#REF!+#REF!</f>
        <v>#REF!</v>
      </c>
      <c r="H965" s="1256"/>
      <c r="I965" s="659"/>
      <c r="EZ965" s="675"/>
      <c r="FA965" s="1049"/>
      <c r="FB965" s="1049"/>
      <c r="FC965" s="1049"/>
      <c r="FD965" s="1049"/>
      <c r="FE965" s="1049"/>
      <c r="FF965" s="1049"/>
      <c r="FG965" s="1049"/>
      <c r="FH965" s="1049"/>
      <c r="FI965" s="1049"/>
      <c r="FJ965" s="1049"/>
      <c r="FK965" s="1049"/>
      <c r="FL965" s="1049"/>
    </row>
    <row r="966" spans="1:168" s="1034" customFormat="1" x14ac:dyDescent="0.25">
      <c r="A966" s="133">
        <v>141</v>
      </c>
      <c r="B966" s="772">
        <f>ET14</f>
        <v>0</v>
      </c>
      <c r="C966" s="710" t="e">
        <f>#REF!+#REF!++#REF!++#REF!+#REF!+#REF!+#REF!+#REF!++#REF!+#REF!</f>
        <v>#REF!</v>
      </c>
      <c r="D966" s="779">
        <f>цены!$F$153</f>
        <v>0</v>
      </c>
      <c r="E966" s="812" t="e">
        <f t="shared" si="508"/>
        <v>#REF!</v>
      </c>
      <c r="F966" s="710" t="e">
        <f>#REF!+#REF!+#REF!+#REF!+#REF!+#REF!+#REF!+#REF!+#REF!+#REF!</f>
        <v>#REF!</v>
      </c>
      <c r="G966" s="119" t="e">
        <f>#REF!+#REF!+#REF!+#REF!+#REF!+#REF!+#REF!+#REF!+#REF!+#REF!</f>
        <v>#REF!</v>
      </c>
      <c r="H966" s="1256"/>
      <c r="I966" s="659"/>
      <c r="EZ966" s="675"/>
      <c r="FA966" s="1049"/>
      <c r="FB966" s="1049"/>
      <c r="FC966" s="1049"/>
      <c r="FD966" s="1049"/>
      <c r="FE966" s="1049"/>
      <c r="FF966" s="1049"/>
      <c r="FG966" s="1049"/>
      <c r="FH966" s="1049"/>
      <c r="FI966" s="1049"/>
      <c r="FJ966" s="1049"/>
      <c r="FK966" s="1049"/>
      <c r="FL966" s="1049"/>
    </row>
    <row r="967" spans="1:168" s="1034" customFormat="1" x14ac:dyDescent="0.25">
      <c r="A967" s="133">
        <v>142</v>
      </c>
      <c r="B967" s="772">
        <f>EU14</f>
        <v>0</v>
      </c>
      <c r="C967" s="710" t="e">
        <f>#REF!+#REF!++#REF!++#REF!+#REF!+#REF!+#REF!+#REF!++#REF!+#REF!</f>
        <v>#REF!</v>
      </c>
      <c r="D967" s="779">
        <f>цены!$F$154</f>
        <v>0</v>
      </c>
      <c r="E967" s="812" t="e">
        <f t="shared" si="508"/>
        <v>#REF!</v>
      </c>
      <c r="F967" s="710" t="e">
        <f>#REF!+#REF!+#REF!+#REF!+#REF!+#REF!+#REF!+#REF!+#REF!+#REF!</f>
        <v>#REF!</v>
      </c>
      <c r="G967" s="119" t="e">
        <f>#REF!+#REF!+#REF!+#REF!+#REF!+#REF!+#REF!+#REF!+#REF!+#REF!</f>
        <v>#REF!</v>
      </c>
      <c r="H967" s="1256"/>
      <c r="I967" s="659"/>
      <c r="EZ967" s="675"/>
      <c r="FA967" s="1049"/>
      <c r="FB967" s="1049"/>
      <c r="FC967" s="1049"/>
      <c r="FD967" s="1049"/>
      <c r="FE967" s="1049"/>
      <c r="FF967" s="1049"/>
      <c r="FG967" s="1049"/>
      <c r="FH967" s="1049"/>
      <c r="FI967" s="1049"/>
      <c r="FJ967" s="1049"/>
      <c r="FK967" s="1049"/>
      <c r="FL967" s="1049"/>
    </row>
    <row r="968" spans="1:168" s="1034" customFormat="1" ht="26.4" x14ac:dyDescent="0.25">
      <c r="A968" s="1036"/>
      <c r="B968" s="1037" t="s">
        <v>312</v>
      </c>
      <c r="C968" s="1038" t="e">
        <f>SUM(C887:C967)</f>
        <v>#REF!</v>
      </c>
      <c r="D968" s="1039">
        <f>SUM(D887:D967)</f>
        <v>27698.79</v>
      </c>
      <c r="E968" s="1041" t="e">
        <f>SUM(E887:E967)</f>
        <v>#REF!</v>
      </c>
      <c r="F968" s="1039" t="e">
        <f>SUM(F887:F967)</f>
        <v>#REF!</v>
      </c>
      <c r="G968" s="1040" t="e">
        <f t="shared" ref="G968:H968" si="509">SUM(G887:G967)</f>
        <v>#REF!</v>
      </c>
      <c r="H968" s="1268">
        <f t="shared" si="509"/>
        <v>0</v>
      </c>
      <c r="I968" s="1040"/>
      <c r="EZ968" s="1040">
        <f t="shared" ref="EZ968" si="510">SUM(EZ887:EZ967)</f>
        <v>0</v>
      </c>
      <c r="FA968" s="1049"/>
      <c r="FB968" s="1049"/>
      <c r="FC968" s="1049"/>
      <c r="FD968" s="1049"/>
      <c r="FE968" s="1049"/>
      <c r="FF968" s="1049"/>
      <c r="FG968" s="1049"/>
      <c r="FH968" s="1049"/>
      <c r="FI968" s="1049"/>
      <c r="FJ968" s="1049"/>
      <c r="FK968" s="1049"/>
      <c r="FL968" s="1049"/>
    </row>
    <row r="969" spans="1:168" s="1034" customFormat="1" x14ac:dyDescent="0.25">
      <c r="A969" s="150"/>
      <c r="B969" s="622" t="s">
        <v>304</v>
      </c>
      <c r="C969" s="777"/>
      <c r="D969" s="783"/>
      <c r="E969" s="796"/>
      <c r="F969" s="664"/>
      <c r="G969" s="664"/>
      <c r="H969" s="664"/>
      <c r="I969" s="664"/>
      <c r="EZ969" s="675"/>
      <c r="FA969" s="1049"/>
      <c r="FB969" s="1049"/>
      <c r="FC969" s="1049"/>
      <c r="FD969" s="1049"/>
      <c r="FE969" s="1049"/>
      <c r="FF969" s="1049"/>
      <c r="FG969" s="1049"/>
      <c r="FH969" s="1049"/>
      <c r="FI969" s="1049"/>
      <c r="FJ969" s="1049"/>
      <c r="FK969" s="1049"/>
      <c r="FL969" s="1049"/>
    </row>
    <row r="970" spans="1:168" s="1034" customFormat="1" x14ac:dyDescent="0.25">
      <c r="A970" s="133">
        <v>143</v>
      </c>
      <c r="B970" s="773" t="str">
        <f>EV14</f>
        <v>Хлеб пшеничный нарезной</v>
      </c>
      <c r="C970" s="710" t="e">
        <f>#REF!+#REF!++#REF!++#REF!+#REF!+#REF!+#REF!+#REF!++#REF!+#REF!</f>
        <v>#REF!</v>
      </c>
      <c r="D970" s="779">
        <f>цены!$F$157</f>
        <v>65</v>
      </c>
      <c r="E970" s="812" t="e">
        <f t="shared" ref="E970:E972" si="511">E$820</f>
        <v>#REF!</v>
      </c>
      <c r="F970" s="710" t="e">
        <f>#REF!+#REF!+#REF!+#REF!+#REF!+#REF!+#REF!+#REF!+#REF!+#REF!</f>
        <v>#REF!</v>
      </c>
      <c r="G970" s="119" t="e">
        <f>#REF!+#REF!+#REF!+#REF!+#REF!+#REF!+#REF!+#REF!+#REF!+#REF!</f>
        <v>#REF!</v>
      </c>
      <c r="H970" s="1256"/>
      <c r="I970" s="659"/>
      <c r="EZ970" s="675"/>
      <c r="FA970" s="1049"/>
      <c r="FB970" s="1049"/>
      <c r="FC970" s="1049"/>
      <c r="FD970" s="1049"/>
      <c r="FE970" s="1049"/>
      <c r="FF970" s="1049"/>
      <c r="FG970" s="1049"/>
      <c r="FH970" s="1049"/>
      <c r="FI970" s="1049"/>
      <c r="FJ970" s="1049"/>
      <c r="FK970" s="1049"/>
      <c r="FL970" s="1049"/>
    </row>
    <row r="971" spans="1:168" s="1034" customFormat="1" x14ac:dyDescent="0.25">
      <c r="A971" s="133">
        <v>144</v>
      </c>
      <c r="B971" s="773" t="str">
        <f>EW14</f>
        <v>Хлеб пшенично-ржаной нарезной</v>
      </c>
      <c r="C971" s="710" t="e">
        <f>#REF!+#REF!++#REF!++#REF!+#REF!+#REF!+#REF!+#REF!++#REF!+#REF!</f>
        <v>#REF!</v>
      </c>
      <c r="D971" s="779">
        <f>цены!$F$158</f>
        <v>65</v>
      </c>
      <c r="E971" s="812" t="e">
        <f t="shared" si="511"/>
        <v>#REF!</v>
      </c>
      <c r="F971" s="710" t="e">
        <f>#REF!+#REF!+#REF!+#REF!+#REF!+#REF!+#REF!+#REF!+#REF!+#REF!</f>
        <v>#REF!</v>
      </c>
      <c r="G971" s="119" t="e">
        <f>#REF!+#REF!+#REF!+#REF!+#REF!+#REF!+#REF!+#REF!+#REF!+#REF!</f>
        <v>#REF!</v>
      </c>
      <c r="H971" s="1256"/>
      <c r="I971" s="659"/>
      <c r="EZ971" s="675"/>
      <c r="FA971" s="1049"/>
      <c r="FB971" s="1049"/>
      <c r="FC971" s="1049"/>
      <c r="FD971" s="1049"/>
      <c r="FE971" s="1049"/>
      <c r="FF971" s="1049"/>
      <c r="FG971" s="1049"/>
      <c r="FH971" s="1049"/>
      <c r="FI971" s="1049"/>
      <c r="FJ971" s="1049"/>
      <c r="FK971" s="1049"/>
      <c r="FL971" s="1049"/>
    </row>
    <row r="972" spans="1:168" s="1034" customFormat="1" x14ac:dyDescent="0.25">
      <c r="A972" s="133">
        <v>145</v>
      </c>
      <c r="B972" s="773" t="str">
        <f>EX14</f>
        <v>Батон белого хлеба</v>
      </c>
      <c r="C972" s="710" t="e">
        <f>#REF!+#REF!++#REF!++#REF!+#REF!+#REF!+#REF!+#REF!++#REF!+#REF!</f>
        <v>#REF!</v>
      </c>
      <c r="D972" s="779">
        <f>цены!$F$159</f>
        <v>69</v>
      </c>
      <c r="E972" s="812" t="e">
        <f t="shared" si="511"/>
        <v>#REF!</v>
      </c>
      <c r="F972" s="710" t="e">
        <f>#REF!+#REF!+#REF!+#REF!+#REF!+#REF!+#REF!+#REF!+#REF!+#REF!</f>
        <v>#REF!</v>
      </c>
      <c r="G972" s="119" t="e">
        <f>#REF!+#REF!+#REF!+#REF!+#REF!+#REF!+#REF!+#REF!+#REF!+#REF!</f>
        <v>#REF!</v>
      </c>
      <c r="H972" s="1256"/>
      <c r="I972" s="659"/>
      <c r="EZ972" s="675"/>
      <c r="FA972" s="1049"/>
      <c r="FB972" s="1049"/>
      <c r="FC972" s="1049"/>
      <c r="FD972" s="1049"/>
      <c r="FE972" s="1049"/>
      <c r="FF972" s="1049"/>
      <c r="FG972" s="1049"/>
      <c r="FH972" s="1049"/>
      <c r="FI972" s="1049"/>
      <c r="FJ972" s="1049"/>
      <c r="FK972" s="1049"/>
      <c r="FL972" s="1049"/>
    </row>
    <row r="973" spans="1:168" s="1034" customFormat="1" x14ac:dyDescent="0.25">
      <c r="A973" s="146"/>
      <c r="B973" s="259" t="s">
        <v>313</v>
      </c>
      <c r="C973" s="774" t="e">
        <f>SUM(C970:C972)</f>
        <v>#REF!</v>
      </c>
      <c r="D973" s="780">
        <f>SUM(D970:D972)</f>
        <v>199</v>
      </c>
      <c r="E973" s="792"/>
      <c r="F973" s="801" t="e">
        <f>SUM(F970:F972)</f>
        <v>#REF!</v>
      </c>
      <c r="G973" s="660" t="e">
        <f>SUM(G970:G972)</f>
        <v>#REF!</v>
      </c>
      <c r="H973" s="1262">
        <f>SUM(H970:H972)</f>
        <v>0</v>
      </c>
      <c r="I973" s="660"/>
      <c r="EZ973" s="660"/>
      <c r="FA973" s="1049"/>
      <c r="FB973" s="1049"/>
      <c r="FC973" s="1049"/>
      <c r="FD973" s="1049"/>
      <c r="FE973" s="1049"/>
      <c r="FF973" s="1049"/>
      <c r="FG973" s="1049"/>
      <c r="FH973" s="1049"/>
      <c r="FI973" s="1049"/>
      <c r="FJ973" s="1049"/>
      <c r="FK973" s="1049"/>
      <c r="FL973" s="1049"/>
    </row>
    <row r="974" spans="1:168" s="1034" customFormat="1" x14ac:dyDescent="0.25">
      <c r="A974" s="1058"/>
      <c r="B974" s="1059" t="s">
        <v>1298</v>
      </c>
      <c r="C974" s="1060" t="e">
        <f>C831+C844+C885+C968+C973</f>
        <v>#REF!</v>
      </c>
      <c r="D974" s="1061">
        <f>D831+D844+D885+D968+D973</f>
        <v>40123.96</v>
      </c>
      <c r="E974" s="1063"/>
      <c r="F974" s="1281" t="e">
        <f>F831+F844+F885+F968+F973</f>
        <v>#REF!</v>
      </c>
      <c r="G974" s="1062" t="e">
        <f>G831+G844+G885+G968+G973</f>
        <v>#REF!</v>
      </c>
      <c r="H974" s="1269">
        <f>H831+H844+H885+H968+H973</f>
        <v>0</v>
      </c>
      <c r="I974" s="1062"/>
      <c r="EZ974" s="1062"/>
      <c r="FA974" s="1049"/>
      <c r="FB974" s="1049"/>
      <c r="FC974" s="1049"/>
      <c r="FD974" s="1049"/>
      <c r="FE974" s="1049"/>
      <c r="FF974" s="1049"/>
      <c r="FG974" s="1049"/>
      <c r="FH974" s="1049"/>
      <c r="FI974" s="1049"/>
      <c r="FJ974" s="1049"/>
      <c r="FK974" s="1049"/>
      <c r="FL974" s="1049"/>
    </row>
    <row r="975" spans="1:168" s="1223" customFormat="1" x14ac:dyDescent="0.25">
      <c r="A975" s="1249"/>
      <c r="B975" s="754"/>
      <c r="C975" s="1250"/>
      <c r="D975" s="1251"/>
      <c r="E975" s="1252"/>
      <c r="F975" s="1253"/>
      <c r="G975" s="1253"/>
      <c r="H975" s="1253"/>
      <c r="I975" s="1254"/>
      <c r="J975" s="759"/>
      <c r="EZ975" s="1062"/>
      <c r="FA975" s="1049"/>
      <c r="FB975" s="1049"/>
      <c r="FC975" s="1049"/>
      <c r="FD975" s="1049"/>
      <c r="FE975" s="1049"/>
      <c r="FF975" s="1049"/>
      <c r="FG975" s="1049"/>
      <c r="FH975" s="1049"/>
      <c r="FI975" s="1049"/>
      <c r="FJ975" s="1049"/>
      <c r="FK975" s="1049"/>
      <c r="FL975" s="1049"/>
    </row>
    <row r="976" spans="1:168" s="1223" customFormat="1" x14ac:dyDescent="0.25">
      <c r="A976" s="1249"/>
      <c r="B976" s="754"/>
      <c r="C976" s="1250"/>
      <c r="D976" s="1251"/>
      <c r="E976" s="1252"/>
      <c r="F976" s="1253"/>
      <c r="G976" s="1253"/>
      <c r="H976" s="1253"/>
      <c r="I976" s="1254"/>
      <c r="J976" s="759"/>
      <c r="EZ976" s="1062"/>
      <c r="FA976" s="1049"/>
      <c r="FB976" s="1049"/>
      <c r="FC976" s="1049"/>
      <c r="FD976" s="1049"/>
      <c r="FE976" s="1049"/>
      <c r="FF976" s="1049"/>
      <c r="FG976" s="1049"/>
      <c r="FH976" s="1049"/>
      <c r="FI976" s="1049"/>
      <c r="FJ976" s="1049"/>
      <c r="FK976" s="1049"/>
      <c r="FL976" s="1049"/>
    </row>
    <row r="977" spans="1:168" s="1223" customFormat="1" x14ac:dyDescent="0.25">
      <c r="A977" s="1249"/>
      <c r="B977" s="754"/>
      <c r="C977" s="1250"/>
      <c r="D977" s="1251"/>
      <c r="E977" s="1252"/>
      <c r="F977" s="1253"/>
      <c r="G977" s="1253"/>
      <c r="H977" s="1253"/>
      <c r="I977" s="1254"/>
      <c r="J977" s="759"/>
      <c r="EZ977" s="1062"/>
      <c r="FA977" s="1049"/>
      <c r="FB977" s="1049"/>
      <c r="FC977" s="1049"/>
      <c r="FD977" s="1049"/>
      <c r="FE977" s="1049"/>
      <c r="FF977" s="1049"/>
      <c r="FG977" s="1049"/>
      <c r="FH977" s="1049"/>
      <c r="FI977" s="1049"/>
      <c r="FJ977" s="1049"/>
      <c r="FK977" s="1049"/>
      <c r="FL977" s="1049"/>
    </row>
    <row r="978" spans="1:168" s="1223" customFormat="1" x14ac:dyDescent="0.25">
      <c r="A978" s="1249"/>
      <c r="B978" s="754"/>
      <c r="C978" s="1250"/>
      <c r="D978" s="1251"/>
      <c r="E978" s="1252"/>
      <c r="F978" s="1253"/>
      <c r="G978" s="1253"/>
      <c r="H978" s="1253"/>
      <c r="I978" s="1254"/>
      <c r="J978" s="759"/>
      <c r="EZ978" s="1062"/>
      <c r="FA978" s="1049"/>
      <c r="FB978" s="1049"/>
      <c r="FC978" s="1049"/>
      <c r="FD978" s="1049"/>
      <c r="FE978" s="1049"/>
      <c r="FF978" s="1049"/>
      <c r="FG978" s="1049"/>
      <c r="FH978" s="1049"/>
      <c r="FI978" s="1049"/>
      <c r="FJ978" s="1049"/>
      <c r="FK978" s="1049"/>
      <c r="FL978" s="1049"/>
    </row>
    <row r="979" spans="1:168" s="1223" customFormat="1" x14ac:dyDescent="0.25">
      <c r="A979" s="1249"/>
      <c r="B979" s="754"/>
      <c r="C979" s="1250"/>
      <c r="D979" s="1251"/>
      <c r="E979" s="1252"/>
      <c r="F979" s="1253"/>
      <c r="G979" s="1253"/>
      <c r="H979" s="1253"/>
      <c r="I979" s="1254"/>
      <c r="J979" s="759"/>
      <c r="EZ979" s="1062"/>
      <c r="FA979" s="1049"/>
      <c r="FB979" s="1049"/>
      <c r="FC979" s="1049"/>
      <c r="FD979" s="1049"/>
      <c r="FE979" s="1049"/>
      <c r="FF979" s="1049"/>
      <c r="FG979" s="1049"/>
      <c r="FH979" s="1049"/>
      <c r="FI979" s="1049"/>
      <c r="FJ979" s="1049"/>
      <c r="FK979" s="1049"/>
      <c r="FL979" s="1049"/>
    </row>
    <row r="980" spans="1:168" s="1223" customFormat="1" x14ac:dyDescent="0.25">
      <c r="A980" s="1249"/>
      <c r="B980" s="754"/>
      <c r="C980" s="1250"/>
      <c r="D980" s="1251"/>
      <c r="E980" s="1252"/>
      <c r="F980" s="1253"/>
      <c r="G980" s="1253"/>
      <c r="H980" s="1253"/>
      <c r="I980" s="1254"/>
      <c r="J980" s="759"/>
      <c r="EZ980" s="1062"/>
      <c r="FA980" s="1049"/>
      <c r="FB980" s="1049"/>
      <c r="FC980" s="1049"/>
      <c r="FD980" s="1049"/>
      <c r="FE980" s="1049"/>
      <c r="FF980" s="1049"/>
      <c r="FG980" s="1049"/>
      <c r="FH980" s="1049"/>
      <c r="FI980" s="1049"/>
      <c r="FJ980" s="1049"/>
      <c r="FK980" s="1049"/>
      <c r="FL980" s="1049"/>
    </row>
    <row r="981" spans="1:168" x14ac:dyDescent="0.25">
      <c r="A981" s="1048"/>
      <c r="B981" s="1050"/>
      <c r="C981" s="1051"/>
      <c r="D981" s="1051"/>
      <c r="E981" s="1052"/>
      <c r="F981" s="1052"/>
      <c r="G981" s="1052"/>
      <c r="H981" s="1053"/>
      <c r="I981" s="1052"/>
      <c r="J981" s="1495" t="s">
        <v>425</v>
      </c>
      <c r="K981" s="1495"/>
      <c r="L981" s="1495"/>
      <c r="M981" s="1495"/>
      <c r="N981" s="1495"/>
      <c r="O981" s="1495"/>
      <c r="P981" s="1495"/>
      <c r="Q981" s="1495"/>
      <c r="R981" s="1054"/>
      <c r="S981" s="1054"/>
      <c r="T981" s="1054"/>
      <c r="U981" s="1496" t="s">
        <v>424</v>
      </c>
      <c r="V981" s="1496"/>
      <c r="W981" s="1496"/>
      <c r="X981" s="1496"/>
      <c r="Y981" s="1496"/>
      <c r="Z981" s="1496"/>
      <c r="AA981" s="1496"/>
      <c r="AB981" s="1496"/>
      <c r="AC981" s="1496"/>
      <c r="AD981" s="1496"/>
      <c r="AE981" s="1496"/>
      <c r="AF981" s="1468" t="s">
        <v>274</v>
      </c>
      <c r="AG981" s="1468"/>
      <c r="AH981" s="1468"/>
      <c r="AI981" s="1468"/>
      <c r="AJ981" s="1468"/>
      <c r="AK981" s="1468"/>
      <c r="AL981" s="1468"/>
      <c r="AM981" s="1468"/>
      <c r="AN981" s="1468"/>
      <c r="AO981" s="1468"/>
      <c r="AP981" s="1468"/>
      <c r="AQ981" s="1468"/>
      <c r="AR981" s="1468"/>
      <c r="AS981" s="1468"/>
      <c r="AT981" s="1468"/>
      <c r="AU981" s="1468"/>
      <c r="AV981" s="1468"/>
      <c r="AW981" s="1468"/>
      <c r="AX981" s="1468"/>
      <c r="AY981" s="1055"/>
      <c r="AZ981" s="1055"/>
      <c r="BA981" s="1055"/>
      <c r="BB981" s="1055"/>
      <c r="BC981" s="1055"/>
      <c r="BD981" s="1055"/>
      <c r="BE981" s="1055"/>
      <c r="BF981" s="1055"/>
      <c r="BG981" s="1055"/>
      <c r="BH981" s="1055"/>
      <c r="BI981" s="1055"/>
      <c r="BJ981" s="1055"/>
      <c r="BK981" s="1055"/>
      <c r="BL981" s="1055"/>
      <c r="BM981" s="1055"/>
      <c r="BN981" s="1055"/>
      <c r="BO981" s="1055"/>
      <c r="BP981" s="1055"/>
      <c r="BQ981" s="1055"/>
      <c r="BR981" s="1055"/>
      <c r="BS981" s="1469" t="s">
        <v>276</v>
      </c>
      <c r="BT981" s="1470"/>
      <c r="BU981" s="1470"/>
      <c r="BV981" s="1470"/>
      <c r="BW981" s="1470"/>
      <c r="BX981" s="1470"/>
      <c r="BY981" s="1470"/>
      <c r="BZ981" s="1470"/>
      <c r="CA981" s="1470"/>
      <c r="CB981" s="1470"/>
      <c r="CC981" s="1470"/>
      <c r="CD981" s="1470"/>
      <c r="CE981" s="1470"/>
      <c r="CF981" s="1470"/>
      <c r="CG981" s="1470"/>
      <c r="CH981" s="1470"/>
      <c r="CI981" s="1470"/>
      <c r="CJ981" s="1470"/>
      <c r="CK981" s="1470"/>
      <c r="CL981" s="1470"/>
      <c r="CM981" s="1470"/>
      <c r="CN981" s="1470"/>
      <c r="CO981" s="1470"/>
      <c r="CP981" s="1470"/>
      <c r="CQ981" s="1470"/>
      <c r="CR981" s="1470"/>
      <c r="CS981" s="1470"/>
      <c r="CT981" s="1470"/>
      <c r="CU981" s="1470"/>
      <c r="CV981" s="1470"/>
      <c r="CW981" s="1470"/>
      <c r="CX981" s="1470"/>
      <c r="CY981" s="1470"/>
      <c r="CZ981" s="1470"/>
      <c r="DA981" s="1470"/>
      <c r="DB981" s="1470"/>
      <c r="DC981" s="1470"/>
      <c r="DD981" s="1470"/>
      <c r="DE981" s="1470"/>
      <c r="DF981" s="1470"/>
      <c r="DG981" s="1470"/>
      <c r="DH981" s="1470"/>
      <c r="DI981" s="1470"/>
      <c r="DJ981" s="1470"/>
      <c r="DK981" s="1470"/>
      <c r="DL981" s="1470"/>
      <c r="DM981" s="1470"/>
      <c r="DN981" s="1470"/>
      <c r="DO981" s="1470"/>
      <c r="DP981" s="1470"/>
      <c r="DQ981" s="1470"/>
      <c r="DR981" s="1470"/>
      <c r="DS981" s="1056"/>
      <c r="DT981" s="1056"/>
      <c r="DU981" s="1056"/>
      <c r="DV981" s="1056"/>
      <c r="DW981" s="1056"/>
      <c r="DX981" s="1056"/>
      <c r="DY981" s="1056"/>
      <c r="DZ981" s="1056"/>
      <c r="EA981" s="1056"/>
      <c r="EB981" s="1056"/>
      <c r="EC981" s="1056"/>
      <c r="ED981" s="1056"/>
      <c r="EE981" s="1056"/>
      <c r="EF981" s="1056"/>
      <c r="EG981" s="1056"/>
      <c r="EH981" s="1056"/>
      <c r="EI981" s="1056"/>
      <c r="EJ981" s="1056"/>
      <c r="EK981" s="1056"/>
      <c r="EL981" s="1056"/>
      <c r="EM981" s="1056"/>
      <c r="EN981" s="1056"/>
      <c r="EO981" s="1056"/>
      <c r="EP981" s="1056"/>
      <c r="EQ981" s="1056"/>
      <c r="ER981" s="1056"/>
      <c r="ES981" s="1056"/>
      <c r="ET981" s="1056"/>
      <c r="EU981" s="1056"/>
      <c r="EV981" s="1057"/>
      <c r="EW981" s="1057"/>
      <c r="EX981" s="1057"/>
      <c r="EY981" s="696"/>
      <c r="EZ981" s="1053"/>
      <c r="FA981" s="1053"/>
      <c r="FB981" s="1053"/>
      <c r="FC981" s="1053"/>
      <c r="FD981" s="1053"/>
      <c r="FE981" s="1053"/>
      <c r="FF981" s="1053"/>
      <c r="FG981" s="1053"/>
      <c r="FH981" s="1053"/>
      <c r="FI981" s="1053"/>
      <c r="FJ981" s="1053"/>
      <c r="FK981" s="1053"/>
      <c r="FL981" s="1053"/>
    </row>
    <row r="982" spans="1:168" s="759" customFormat="1" ht="49.95" customHeight="1" x14ac:dyDescent="0.25">
      <c r="A982" s="1129"/>
      <c r="B982" s="1130" t="s">
        <v>555</v>
      </c>
      <c r="C982" s="1131"/>
      <c r="D982" s="1131"/>
      <c r="E982" s="1132"/>
      <c r="F982" s="1132"/>
      <c r="G982" s="1132"/>
      <c r="H982" s="1133"/>
      <c r="I982" s="1132"/>
      <c r="J982" s="1134" t="str">
        <f>J14</f>
        <v>Говядина (бескостное мясо)</v>
      </c>
      <c r="K982" s="1134" t="str">
        <f t="shared" ref="K982:BV982" si="512">K14</f>
        <v>Мясо птицы  (окорочка, бедра) охлажденные</v>
      </c>
      <c r="L982" s="1134" t="str">
        <f t="shared" si="512"/>
        <v>Мясо птицы  (тушка)</v>
      </c>
      <c r="M982" s="1134" t="str">
        <f t="shared" si="512"/>
        <v>Мясо птицы филе</v>
      </c>
      <c r="N982" s="1134" t="str">
        <f t="shared" si="512"/>
        <v xml:space="preserve">Сосиски "Халяль" </v>
      </c>
      <c r="O982" s="1134" t="str">
        <f t="shared" si="512"/>
        <v>Колбаса полукопченная</v>
      </c>
      <c r="P982" s="1134" t="str">
        <f t="shared" si="512"/>
        <v>Жир сырой крупного рогатого скота</v>
      </c>
      <c r="Q982" s="1134" t="str">
        <f t="shared" si="512"/>
        <v>Минтай (рыба замороженная, обезглавленная, потрошеная)</v>
      </c>
      <c r="R982" s="1134" t="str">
        <f t="shared" si="512"/>
        <v>Хек филе</v>
      </c>
      <c r="S982" s="1134" t="str">
        <f t="shared" si="512"/>
        <v>Минтай филе</v>
      </c>
      <c r="T982" s="1134" t="str">
        <f t="shared" si="512"/>
        <v>Сельдь слабосоленая</v>
      </c>
      <c r="U982" s="1134" t="str">
        <f t="shared" si="512"/>
        <v>Молоко пастеризованное 2,5% жирн.</v>
      </c>
      <c r="V982" s="1134" t="str">
        <f t="shared" si="512"/>
        <v xml:space="preserve">Масло сливочное фасованное 72,5% жир. </v>
      </c>
      <c r="W982" s="1134" t="str">
        <f t="shared" si="512"/>
        <v>Сыр российский 45% жирн.</v>
      </c>
      <c r="X982" s="1134" t="str">
        <f t="shared" si="512"/>
        <v xml:space="preserve">Творог с массовой долей жира от 9,0% </v>
      </c>
      <c r="Y982" s="1134" t="str">
        <f t="shared" si="512"/>
        <v>Сметана 20% жирности</v>
      </c>
      <c r="Z982" s="1134" t="str">
        <f t="shared" si="512"/>
        <v>Молоко цельное сгущенное с сахаром 8,5% жир.</v>
      </c>
      <c r="AA982" s="1134" t="str">
        <f t="shared" si="512"/>
        <v>Кефир 2,5 % жирности</v>
      </c>
      <c r="AB982" s="1134" t="str">
        <f t="shared" si="512"/>
        <v>Йогурт питьевой 1,5% жирности</v>
      </c>
      <c r="AC982" s="1134" t="str">
        <f t="shared" si="512"/>
        <v>Йогурт натуральный 5% (Fruttis) в пакетиках</v>
      </c>
      <c r="AD982" s="1134" t="str">
        <f t="shared" si="512"/>
        <v>Мед натуральный пчелиный</v>
      </c>
      <c r="AE982" s="1134" t="str">
        <f t="shared" si="512"/>
        <v xml:space="preserve">Яйца куриные                                              </v>
      </c>
      <c r="AF982" s="1134" t="str">
        <f t="shared" si="512"/>
        <v>Капуста свежая</v>
      </c>
      <c r="AG982" s="1134" t="str">
        <f t="shared" si="512"/>
        <v>Капуста свежая молодая</v>
      </c>
      <c r="AH982" s="1134" t="str">
        <f t="shared" si="512"/>
        <v>Картофель</v>
      </c>
      <c r="AI982" s="1134" t="str">
        <f t="shared" si="512"/>
        <v>Картофель молодой</v>
      </c>
      <c r="AJ982" s="1134" t="str">
        <f t="shared" si="512"/>
        <v xml:space="preserve">Лимон </v>
      </c>
      <c r="AK982" s="1134" t="str">
        <f t="shared" si="512"/>
        <v>Лук репчатый</v>
      </c>
      <c r="AL982" s="1134" t="str">
        <f t="shared" si="512"/>
        <v>Лук зеленый</v>
      </c>
      <c r="AM982" s="1134" t="str">
        <f t="shared" si="512"/>
        <v>Чеснок</v>
      </c>
      <c r="AN982" s="1134" t="str">
        <f t="shared" si="512"/>
        <v>Помидоры</v>
      </c>
      <c r="AO982" s="1134" t="str">
        <f t="shared" si="512"/>
        <v>Огурцы</v>
      </c>
      <c r="AP982" s="1134" t="str">
        <f t="shared" si="512"/>
        <v>Салат зеленый</v>
      </c>
      <c r="AQ982" s="1134" t="str">
        <f t="shared" si="512"/>
        <v>Морковь столовая</v>
      </c>
      <c r="AR982" s="1134" t="str">
        <f t="shared" si="512"/>
        <v>Морковь столовая молодая</v>
      </c>
      <c r="AS982" s="1134" t="str">
        <f t="shared" si="512"/>
        <v>Перец сладкий</v>
      </c>
      <c r="AT982" s="1134" t="str">
        <f t="shared" si="512"/>
        <v>Петрушка корневая</v>
      </c>
      <c r="AU982" s="1134" t="str">
        <f t="shared" si="512"/>
        <v>Петрушка зеленая</v>
      </c>
      <c r="AV982" s="1134" t="str">
        <f t="shared" si="512"/>
        <v>Щавель</v>
      </c>
      <c r="AW982" s="1134" t="str">
        <f t="shared" si="512"/>
        <v>Шпинат</v>
      </c>
      <c r="AX982" s="1134" t="str">
        <f t="shared" si="512"/>
        <v>Свекла столовая</v>
      </c>
      <c r="AY982" s="1134" t="str">
        <f t="shared" si="512"/>
        <v>Свекла столовая свежая</v>
      </c>
      <c r="AZ982" s="1134" t="str">
        <f t="shared" si="512"/>
        <v>Кабачки</v>
      </c>
      <c r="BA982" s="1134" t="str">
        <f t="shared" si="512"/>
        <v>Репа</v>
      </c>
      <c r="BB982" s="1134" t="str">
        <f t="shared" si="512"/>
        <v>Сливы</v>
      </c>
      <c r="BC982" s="1134" t="str">
        <f t="shared" si="512"/>
        <v>Редис красный</v>
      </c>
      <c r="BD982" s="1134" t="str">
        <f t="shared" si="512"/>
        <v>Черешня</v>
      </c>
      <c r="BE982" s="1134" t="str">
        <f t="shared" si="512"/>
        <v>Земляника садовая (клубника)</v>
      </c>
      <c r="BF982" s="1134" t="str">
        <f t="shared" si="512"/>
        <v>Малина</v>
      </c>
      <c r="BG982" s="1134" t="str">
        <f t="shared" si="512"/>
        <v>Вишня</v>
      </c>
      <c r="BH982" s="1134" t="str">
        <f t="shared" si="512"/>
        <v>Черная смородина</v>
      </c>
      <c r="BI982" s="1134" t="str">
        <f t="shared" si="512"/>
        <v>Арбуз</v>
      </c>
      <c r="BJ982" s="1134" t="str">
        <f t="shared" si="512"/>
        <v>Дыня</v>
      </c>
      <c r="BK982" s="1134" t="str">
        <f t="shared" si="512"/>
        <v>Апельсин</v>
      </c>
      <c r="BL982" s="1134" t="str">
        <f t="shared" si="512"/>
        <v>Мандарин (мандора)</v>
      </c>
      <c r="BM982" s="1134" t="str">
        <f t="shared" si="512"/>
        <v>Бананы</v>
      </c>
      <c r="BN982" s="1134" t="str">
        <f t="shared" si="512"/>
        <v>Груши</v>
      </c>
      <c r="BO982" s="1134" t="str">
        <f t="shared" si="512"/>
        <v>Абрикосы</v>
      </c>
      <c r="BP982" s="1134" t="str">
        <f t="shared" si="512"/>
        <v>Персики</v>
      </c>
      <c r="BQ982" s="1134" t="str">
        <f t="shared" si="512"/>
        <v xml:space="preserve">Виноград </v>
      </c>
      <c r="BR982" s="1134" t="str">
        <f t="shared" si="512"/>
        <v xml:space="preserve">Яблоки </v>
      </c>
      <c r="BS982" s="1134" t="str">
        <f t="shared" si="512"/>
        <v>Мука пшеничная высшего сорта</v>
      </c>
      <c r="BT982" s="1134" t="str">
        <f t="shared" si="512"/>
        <v>Крупа гречневая - ядрица быстроразваривающаяся</v>
      </c>
      <c r="BU982" s="1134" t="str">
        <f t="shared" si="512"/>
        <v>Крупа манная</v>
      </c>
      <c r="BV982" s="1134" t="str">
        <f t="shared" si="512"/>
        <v>Крупа перловая</v>
      </c>
      <c r="BW982" s="1134" t="str">
        <f t="shared" ref="BW982:EH982" si="513">BW14</f>
        <v>Крупа овсяная</v>
      </c>
      <c r="BX982" s="1134" t="str">
        <f t="shared" si="513"/>
        <v>Крупа ячневая</v>
      </c>
      <c r="BY982" s="1134" t="str">
        <f t="shared" si="513"/>
        <v>Крупа пшеничная</v>
      </c>
      <c r="BZ982" s="1134" t="str">
        <f t="shared" si="513"/>
        <v>Крупа кукурузная</v>
      </c>
      <c r="CA982" s="1134" t="str">
        <f t="shared" si="513"/>
        <v>Пшено шлифованное высшего сорта</v>
      </c>
      <c r="CB982" s="1134" t="str">
        <f t="shared" si="513"/>
        <v>Рис шлифованный</v>
      </c>
      <c r="CC982" s="1134" t="str">
        <f t="shared" si="513"/>
        <v>Хлопья овсяные "Геркулес"</v>
      </c>
      <c r="CD982" s="1134" t="str">
        <f t="shared" si="513"/>
        <v>Хлопья овсяные "Ясно солнышко"</v>
      </c>
      <c r="CE982" s="1134" t="str">
        <f t="shared" si="513"/>
        <v>Маргарин столовый</v>
      </c>
      <c r="CF982" s="1134" t="str">
        <f t="shared" si="513"/>
        <v>Масло подсолнечное рафинированное</v>
      </c>
      <c r="CG982" s="1134" t="str">
        <f t="shared" si="513"/>
        <v>Макаронные изделия высшего сорта</v>
      </c>
      <c r="CH982" s="1134" t="str">
        <f t="shared" si="513"/>
        <v>Вермишель</v>
      </c>
      <c r="CI982" s="1134" t="str">
        <f t="shared" si="513"/>
        <v>Ванилин</v>
      </c>
      <c r="CJ982" s="1134" t="str">
        <f t="shared" si="513"/>
        <v>Эссенция</v>
      </c>
      <c r="CK982" s="1134" t="str">
        <f t="shared" si="513"/>
        <v>Сода пищевая</v>
      </c>
      <c r="CL982" s="1134" t="str">
        <f t="shared" si="513"/>
        <v>Дрожжи пекарные прессованные</v>
      </c>
      <c r="CM982" s="1134" t="str">
        <f t="shared" si="513"/>
        <v>Виноград сушеный (изюм)</v>
      </c>
      <c r="CN982" s="1134" t="str">
        <f t="shared" si="513"/>
        <v xml:space="preserve">Порошок какао без добавок сахара </v>
      </c>
      <c r="CO982" s="1134" t="str">
        <f t="shared" si="513"/>
        <v>Кофейный напиток</v>
      </c>
      <c r="CP982" s="1134" t="str">
        <f t="shared" si="513"/>
        <v>Кетчуп томатный</v>
      </c>
      <c r="CQ982" s="1134" t="str">
        <f t="shared" si="513"/>
        <v>Кислота лимонная</v>
      </c>
      <c r="CR982" s="1134" t="str">
        <f t="shared" si="513"/>
        <v>Крахмал картофельный</v>
      </c>
      <c r="CS982" s="1134" t="str">
        <f t="shared" si="513"/>
        <v>Лист лавровый обработанный</v>
      </c>
      <c r="CT982" s="1134" t="str">
        <f t="shared" si="513"/>
        <v>Огурцы консервированные</v>
      </c>
      <c r="CU982" s="1134" t="str">
        <f t="shared" si="513"/>
        <v>Помидоры соленые</v>
      </c>
      <c r="CV982" s="1134" t="str">
        <f t="shared" si="513"/>
        <v>Капуста квашеная</v>
      </c>
      <c r="CW982" s="1134" t="str">
        <f t="shared" si="513"/>
        <v>Повидло из яблок</v>
      </c>
      <c r="CX982" s="1134" t="str">
        <f t="shared" si="513"/>
        <v>Джем абрикосовый (клубничный и др)</v>
      </c>
      <c r="CY982" s="1134" t="str">
        <f t="shared" si="513"/>
        <v>Варенье (абрикосовое)</v>
      </c>
      <c r="CZ982" s="1134" t="str">
        <f t="shared" si="513"/>
        <v>Сахар белый свекловичный</v>
      </c>
      <c r="DA982" s="1134" t="str">
        <f t="shared" si="513"/>
        <v xml:space="preserve">Пудра рафинированная сахарная </v>
      </c>
      <c r="DB982" s="1134" t="str">
        <f t="shared" si="513"/>
        <v>Сок натуральный фруктовый с сахаром (3л.)</v>
      </c>
      <c r="DC982" s="1134" t="str">
        <f t="shared" si="513"/>
        <v>Соль йодированная</v>
      </c>
      <c r="DD982" s="1134" t="str">
        <f t="shared" si="513"/>
        <v>Сухари панировочные</v>
      </c>
      <c r="DE982" s="1134" t="str">
        <f t="shared" si="513"/>
        <v>Смеси сушеных фруктов</v>
      </c>
      <c r="DF982" s="1134" t="str">
        <f t="shared" si="513"/>
        <v>Пюре томатное концентрированное</v>
      </c>
      <c r="DG982" s="1134" t="str">
        <f t="shared" si="513"/>
        <v>Икра кабачковая</v>
      </c>
      <c r="DH982" s="1134" t="str">
        <f t="shared" si="513"/>
        <v>Плоды шиповника сушеные</v>
      </c>
      <c r="DI982" s="1134" t="str">
        <f t="shared" si="513"/>
        <v>Разрыхлитель (аммоний углекислый)</v>
      </c>
      <c r="DJ982" s="1134" t="str">
        <f t="shared" si="513"/>
        <v>Корица молотая</v>
      </c>
      <c r="DK982" s="1134" t="str">
        <f t="shared" si="513"/>
        <v>Пряности обработанные прочие</v>
      </c>
      <c r="DL982" s="1134" t="str">
        <f t="shared" si="513"/>
        <v>Горох</v>
      </c>
      <c r="DM982" s="1134" t="str">
        <f t="shared" si="513"/>
        <v>Фасоль</v>
      </c>
      <c r="DN982" s="1134" t="str">
        <f t="shared" si="513"/>
        <v>Чечевица</v>
      </c>
      <c r="DO982" s="1134" t="str">
        <f t="shared" si="513"/>
        <v>Курага</v>
      </c>
      <c r="DP982" s="1134" t="str">
        <f t="shared" si="513"/>
        <v>Финики</v>
      </c>
      <c r="DQ982" s="1134" t="str">
        <f t="shared" si="513"/>
        <v>Орех грецкий</v>
      </c>
      <c r="DR982" s="1134" t="str">
        <f t="shared" si="513"/>
        <v>Чай черный байховый высшего сорта</v>
      </c>
      <c r="DS982" s="1134" t="str">
        <f t="shared" si="513"/>
        <v>Яблоки сушеные</v>
      </c>
      <c r="DT982" s="1134" t="str">
        <f t="shared" si="513"/>
        <v>Компот концентрированный из плодов консервированных</v>
      </c>
      <c r="DU982" s="1134" t="str">
        <f t="shared" si="513"/>
        <v>Зеленый горошек консервированный</v>
      </c>
      <c r="DV982" s="1134" t="str">
        <f t="shared" si="513"/>
        <v>Фасоль стручковая консервированная</v>
      </c>
      <c r="DW982" s="1134" t="str">
        <f t="shared" si="513"/>
        <v>Кукуруза консервированная</v>
      </c>
      <c r="DX982" s="1134" t="str">
        <f t="shared" si="513"/>
        <v>Меланж</v>
      </c>
      <c r="DY982" s="1134" t="str">
        <f t="shared" si="513"/>
        <v>Перец черный</v>
      </c>
      <c r="DZ982" s="1134" t="str">
        <f t="shared" si="513"/>
        <v>Перец черный горошком</v>
      </c>
      <c r="EA982" s="1134" t="str">
        <f t="shared" si="513"/>
        <v>Мороженое пломбир</v>
      </c>
      <c r="EB982" s="1134" t="str">
        <f t="shared" si="513"/>
        <v>Вода питьевая 19 л</v>
      </c>
      <c r="EC982" s="1134" t="str">
        <f t="shared" si="513"/>
        <v>Печенье сахарное "Юбилейное"</v>
      </c>
      <c r="ED982" s="1134" t="str">
        <f t="shared" si="513"/>
        <v>Печенье овсяное</v>
      </c>
      <c r="EE982" s="1134" t="str">
        <f t="shared" si="513"/>
        <v>Пряники</v>
      </c>
      <c r="EF982" s="1134" t="str">
        <f t="shared" si="513"/>
        <v>Кексы</v>
      </c>
      <c r="EG982" s="1134" t="str">
        <f t="shared" si="513"/>
        <v>Вафли с пралиновыми начинками</v>
      </c>
      <c r="EH982" s="1134" t="str">
        <f t="shared" si="513"/>
        <v>Зефир</v>
      </c>
      <c r="EI982" s="1134" t="str">
        <f t="shared" ref="EI982:EX982" si="514">EI14</f>
        <v>Сок натуральный (виноградный, яблочный и др. в пакетах)</v>
      </c>
      <c r="EJ982" s="1134" t="str">
        <f t="shared" si="514"/>
        <v>Сок натуральный виноградный (в банках 3 л)</v>
      </c>
      <c r="EK982" s="1134" t="str">
        <f t="shared" si="514"/>
        <v>Конфеты, глазированные шоколадом (Морские)</v>
      </c>
      <c r="EL982" s="1134" t="str">
        <f t="shared" si="514"/>
        <v>Конфеты сливочные (Коровка)</v>
      </c>
      <c r="EM982" s="1134" t="str">
        <f t="shared" si="514"/>
        <v>Конфеты шоколадные ("Российские" (плитка)</v>
      </c>
      <c r="EN982" s="1134" t="str">
        <f t="shared" si="514"/>
        <v>Конфеты сливочные ( Лёвушка)</v>
      </c>
      <c r="EO982" s="1134" t="str">
        <f t="shared" si="514"/>
        <v>Конфеты, глазированные шоколадом (Степ, Марс)</v>
      </c>
      <c r="EP982" s="1134" t="str">
        <f t="shared" si="514"/>
        <v>Конфеты "Тортимилка" 1 шт. 17,5 гр</v>
      </c>
      <c r="EQ982" s="1134" t="str">
        <f t="shared" si="514"/>
        <v>Конфеты желейные (мармелад)</v>
      </c>
      <c r="ER982" s="1134" t="str">
        <f t="shared" si="514"/>
        <v>Конфеты Батончики</v>
      </c>
      <c r="ES982" s="1134" t="str">
        <f t="shared" si="514"/>
        <v>Конфеты ирис (Золотой ключик)</v>
      </c>
      <c r="ET982" s="1134">
        <f t="shared" si="514"/>
        <v>0</v>
      </c>
      <c r="EU982" s="1134">
        <f t="shared" si="514"/>
        <v>0</v>
      </c>
      <c r="EV982" s="1134" t="str">
        <f t="shared" si="514"/>
        <v>Хлеб пшеничный нарезной</v>
      </c>
      <c r="EW982" s="1134" t="str">
        <f t="shared" si="514"/>
        <v>Хлеб пшенично-ржаной нарезной</v>
      </c>
      <c r="EX982" s="1134" t="str">
        <f t="shared" si="514"/>
        <v>Батон белого хлеба</v>
      </c>
      <c r="EY982" s="243"/>
      <c r="EZ982" s="1133"/>
      <c r="FA982" s="1133"/>
      <c r="FB982" s="1133"/>
      <c r="FC982" s="1133"/>
      <c r="FD982" s="1133"/>
      <c r="FE982" s="1133"/>
      <c r="FF982" s="1133"/>
      <c r="FG982" s="1133"/>
      <c r="FH982" s="1133"/>
      <c r="FI982" s="1133"/>
      <c r="FJ982" s="1133"/>
      <c r="FK982" s="1133"/>
      <c r="FL982" s="1133"/>
    </row>
    <row r="983" spans="1:168" s="759" customFormat="1" x14ac:dyDescent="0.25">
      <c r="A983" s="760"/>
      <c r="B983" s="754"/>
      <c r="C983" s="755"/>
      <c r="D983" s="755"/>
      <c r="E983" s="756"/>
      <c r="F983" s="756"/>
      <c r="G983" s="756"/>
      <c r="H983" s="757"/>
      <c r="I983" s="756"/>
      <c r="J983" s="798">
        <v>1</v>
      </c>
      <c r="K983" s="798">
        <v>2</v>
      </c>
      <c r="L983" s="798">
        <v>2</v>
      </c>
      <c r="M983" s="798">
        <v>4</v>
      </c>
      <c r="N983" s="798">
        <v>5</v>
      </c>
      <c r="O983" s="798">
        <v>6</v>
      </c>
      <c r="P983" s="798">
        <v>7</v>
      </c>
      <c r="Q983" s="798">
        <v>8</v>
      </c>
      <c r="R983" s="798">
        <v>9</v>
      </c>
      <c r="S983" s="798">
        <v>10</v>
      </c>
      <c r="T983" s="798">
        <v>11</v>
      </c>
      <c r="U983" s="798">
        <v>12</v>
      </c>
      <c r="V983" s="798">
        <v>13</v>
      </c>
      <c r="W983" s="798">
        <v>14</v>
      </c>
      <c r="X983" s="798">
        <v>15</v>
      </c>
      <c r="Y983" s="798">
        <v>16</v>
      </c>
      <c r="Z983" s="798">
        <v>17</v>
      </c>
      <c r="AA983" s="798">
        <v>18</v>
      </c>
      <c r="AB983" s="798">
        <v>19</v>
      </c>
      <c r="AC983" s="798"/>
      <c r="AD983" s="798">
        <v>21</v>
      </c>
      <c r="AE983" s="798">
        <v>22</v>
      </c>
      <c r="AF983" s="798">
        <v>23</v>
      </c>
      <c r="AG983" s="798">
        <v>24</v>
      </c>
      <c r="AH983" s="798">
        <v>25</v>
      </c>
      <c r="AI983" s="798">
        <v>26</v>
      </c>
      <c r="AJ983" s="798">
        <v>27</v>
      </c>
      <c r="AK983" s="798">
        <v>28</v>
      </c>
      <c r="AL983" s="798">
        <v>29</v>
      </c>
      <c r="AM983" s="798">
        <v>30</v>
      </c>
      <c r="AN983" s="798">
        <v>31</v>
      </c>
      <c r="AO983" s="798">
        <v>32</v>
      </c>
      <c r="AP983" s="798">
        <v>33</v>
      </c>
      <c r="AQ983" s="798">
        <v>34</v>
      </c>
      <c r="AR983" s="798">
        <v>35</v>
      </c>
      <c r="AS983" s="798">
        <v>36</v>
      </c>
      <c r="AT983" s="798">
        <v>37</v>
      </c>
      <c r="AU983" s="798">
        <v>38</v>
      </c>
      <c r="AV983" s="798">
        <v>39</v>
      </c>
      <c r="AW983" s="798">
        <v>40</v>
      </c>
      <c r="AX983" s="798">
        <v>41</v>
      </c>
      <c r="AY983" s="798">
        <v>42</v>
      </c>
      <c r="AZ983" s="798">
        <v>43</v>
      </c>
      <c r="BA983" s="798">
        <v>44</v>
      </c>
      <c r="BB983" s="798">
        <v>45</v>
      </c>
      <c r="BC983" s="798">
        <v>46</v>
      </c>
      <c r="BD983" s="798">
        <v>47</v>
      </c>
      <c r="BE983" s="798">
        <v>48</v>
      </c>
      <c r="BF983" s="798"/>
      <c r="BG983" s="798"/>
      <c r="BH983" s="798"/>
      <c r="BI983" s="798">
        <v>52</v>
      </c>
      <c r="BJ983" s="798">
        <v>53</v>
      </c>
      <c r="BK983" s="798">
        <v>54</v>
      </c>
      <c r="BL983" s="798">
        <v>55</v>
      </c>
      <c r="BM983" s="798">
        <v>56</v>
      </c>
      <c r="BN983" s="798">
        <v>57</v>
      </c>
      <c r="BO983" s="798">
        <v>58</v>
      </c>
      <c r="BP983" s="798">
        <v>59</v>
      </c>
      <c r="BQ983" s="798">
        <v>60</v>
      </c>
      <c r="BR983" s="798">
        <v>61</v>
      </c>
      <c r="BS983" s="798">
        <v>62</v>
      </c>
      <c r="BT983" s="798">
        <v>63</v>
      </c>
      <c r="BU983" s="798">
        <v>64</v>
      </c>
      <c r="BV983" s="798">
        <v>65</v>
      </c>
      <c r="BW983" s="798">
        <v>66</v>
      </c>
      <c r="BX983" s="798">
        <v>67</v>
      </c>
      <c r="BY983" s="798">
        <v>68</v>
      </c>
      <c r="BZ983" s="798"/>
      <c r="CA983" s="798">
        <v>70</v>
      </c>
      <c r="CB983" s="798">
        <v>71</v>
      </c>
      <c r="CC983" s="798"/>
      <c r="CD983" s="798">
        <v>73</v>
      </c>
      <c r="CE983" s="798">
        <v>74</v>
      </c>
      <c r="CF983" s="798">
        <v>75</v>
      </c>
      <c r="CG983" s="798">
        <v>76</v>
      </c>
      <c r="CH983" s="798">
        <v>77</v>
      </c>
      <c r="CI983" s="798">
        <v>78</v>
      </c>
      <c r="CJ983" s="798">
        <v>79</v>
      </c>
      <c r="CK983" s="798">
        <v>80</v>
      </c>
      <c r="CL983" s="798">
        <v>81</v>
      </c>
      <c r="CM983" s="798">
        <v>82</v>
      </c>
      <c r="CN983" s="798">
        <v>83</v>
      </c>
      <c r="CO983" s="798">
        <v>84</v>
      </c>
      <c r="CP983" s="798">
        <v>85</v>
      </c>
      <c r="CQ983" s="798">
        <v>86</v>
      </c>
      <c r="CR983" s="798">
        <v>87</v>
      </c>
      <c r="CS983" s="798">
        <v>88</v>
      </c>
      <c r="CT983" s="798">
        <v>89</v>
      </c>
      <c r="CU983" s="798">
        <v>90</v>
      </c>
      <c r="CV983" s="798">
        <v>91</v>
      </c>
      <c r="CW983" s="798">
        <v>92</v>
      </c>
      <c r="CX983" s="798">
        <v>93</v>
      </c>
      <c r="CY983" s="798">
        <v>94</v>
      </c>
      <c r="CZ983" s="798">
        <v>95</v>
      </c>
      <c r="DA983" s="798">
        <v>96</v>
      </c>
      <c r="DB983" s="798">
        <v>97</v>
      </c>
      <c r="DC983" s="798">
        <v>98</v>
      </c>
      <c r="DD983" s="798">
        <v>99</v>
      </c>
      <c r="DE983" s="798">
        <v>100</v>
      </c>
      <c r="DF983" s="798">
        <v>101</v>
      </c>
      <c r="DG983" s="798">
        <v>102</v>
      </c>
      <c r="DH983" s="798">
        <v>103</v>
      </c>
      <c r="DI983" s="798">
        <v>104</v>
      </c>
      <c r="DJ983" s="798">
        <v>105</v>
      </c>
      <c r="DK983" s="798">
        <v>106</v>
      </c>
      <c r="DL983" s="798">
        <v>107</v>
      </c>
      <c r="DM983" s="798">
        <v>108</v>
      </c>
      <c r="DN983" s="798">
        <v>109</v>
      </c>
      <c r="DO983" s="798">
        <v>110</v>
      </c>
      <c r="DP983" s="798">
        <v>111</v>
      </c>
      <c r="DQ983" s="798">
        <v>112</v>
      </c>
      <c r="DR983" s="798">
        <v>113</v>
      </c>
      <c r="DS983" s="798">
        <v>114</v>
      </c>
      <c r="DT983" s="798">
        <v>115</v>
      </c>
      <c r="DU983" s="798">
        <v>116</v>
      </c>
      <c r="DV983" s="798">
        <v>117</v>
      </c>
      <c r="DW983" s="798">
        <v>118</v>
      </c>
      <c r="DX983" s="798">
        <v>119</v>
      </c>
      <c r="DY983" s="798">
        <v>120</v>
      </c>
      <c r="DZ983" s="798">
        <v>121</v>
      </c>
      <c r="EA983" s="798">
        <v>122</v>
      </c>
      <c r="EB983" s="798">
        <v>123</v>
      </c>
      <c r="EC983" s="798">
        <v>124</v>
      </c>
      <c r="ED983" s="798">
        <v>125</v>
      </c>
      <c r="EE983" s="798">
        <v>126</v>
      </c>
      <c r="EF983" s="798">
        <v>127</v>
      </c>
      <c r="EG983" s="798">
        <v>128</v>
      </c>
      <c r="EH983" s="798">
        <v>129</v>
      </c>
      <c r="EI983" s="798">
        <v>130</v>
      </c>
      <c r="EJ983" s="798">
        <v>131</v>
      </c>
      <c r="EK983" s="798">
        <v>132</v>
      </c>
      <c r="EL983" s="798">
        <v>133</v>
      </c>
      <c r="EM983" s="798">
        <v>134</v>
      </c>
      <c r="EN983" s="798">
        <v>135</v>
      </c>
      <c r="EO983" s="798">
        <v>136</v>
      </c>
      <c r="EP983" s="798">
        <v>137</v>
      </c>
      <c r="EQ983" s="798">
        <v>138</v>
      </c>
      <c r="ER983" s="798">
        <v>139</v>
      </c>
      <c r="ES983" s="798">
        <v>140</v>
      </c>
      <c r="ET983" s="798">
        <v>141</v>
      </c>
      <c r="EU983" s="798">
        <v>142</v>
      </c>
      <c r="EV983" s="798">
        <v>143</v>
      </c>
      <c r="EW983" s="798">
        <v>144</v>
      </c>
      <c r="EX983" s="798">
        <v>145</v>
      </c>
      <c r="EY983" s="758"/>
      <c r="EZ983" s="757"/>
      <c r="FA983" s="757"/>
      <c r="FB983" s="757"/>
      <c r="FC983" s="757"/>
      <c r="FD983" s="757"/>
      <c r="FE983" s="757"/>
      <c r="FF983" s="757"/>
      <c r="FG983" s="757"/>
      <c r="FH983" s="757"/>
      <c r="FI983" s="757"/>
      <c r="FJ983" s="757"/>
      <c r="FK983" s="757"/>
      <c r="FL983" s="757"/>
    </row>
    <row r="984" spans="1:168" s="759" customFormat="1" x14ac:dyDescent="0.25">
      <c r="A984" s="761"/>
      <c r="B984" s="762" t="s">
        <v>578</v>
      </c>
      <c r="C984" s="751"/>
      <c r="D984" s="751"/>
      <c r="E984" s="752"/>
      <c r="F984" s="752"/>
      <c r="G984" s="752"/>
      <c r="H984" s="753"/>
      <c r="I984" s="752"/>
      <c r="J984" s="763"/>
      <c r="K984" s="763"/>
      <c r="L984" s="763"/>
      <c r="M984" s="763"/>
      <c r="N984" s="763"/>
      <c r="O984" s="763"/>
      <c r="P984" s="763"/>
      <c r="Q984" s="763"/>
      <c r="R984" s="763"/>
      <c r="S984" s="763"/>
      <c r="T984" s="763"/>
      <c r="U984" s="763"/>
      <c r="V984" s="763"/>
      <c r="W984" s="763"/>
      <c r="X984" s="763"/>
      <c r="Y984" s="763"/>
      <c r="Z984" s="763"/>
      <c r="AA984" s="763"/>
      <c r="AB984" s="763"/>
      <c r="AC984" s="763"/>
      <c r="AD984" s="763"/>
      <c r="AE984" s="763"/>
      <c r="AF984" s="763"/>
      <c r="AG984" s="763"/>
      <c r="AH984" s="763"/>
      <c r="AI984" s="763"/>
      <c r="AJ984" s="763"/>
      <c r="AK984" s="763"/>
      <c r="AL984" s="763"/>
      <c r="AM984" s="763"/>
      <c r="AN984" s="763"/>
      <c r="AO984" s="763"/>
      <c r="AP984" s="763"/>
      <c r="AQ984" s="763"/>
      <c r="AR984" s="763"/>
      <c r="AS984" s="763"/>
      <c r="AT984" s="763"/>
      <c r="AU984" s="763"/>
      <c r="AV984" s="763"/>
      <c r="AW984" s="763"/>
      <c r="AX984" s="763"/>
      <c r="AY984" s="763"/>
      <c r="AZ984" s="763"/>
      <c r="BA984" s="763"/>
      <c r="BB984" s="763"/>
      <c r="BC984" s="763"/>
      <c r="BD984" s="763"/>
      <c r="BE984" s="763"/>
      <c r="BF984" s="763"/>
      <c r="BG984" s="763"/>
      <c r="BH984" s="763"/>
      <c r="BI984" s="763"/>
      <c r="BJ984" s="763"/>
      <c r="BK984" s="763"/>
      <c r="BL984" s="763"/>
      <c r="BM984" s="763"/>
      <c r="BN984" s="763"/>
      <c r="BO984" s="763"/>
      <c r="BP984" s="763"/>
      <c r="BQ984" s="763"/>
      <c r="BR984" s="763"/>
      <c r="BS984" s="763"/>
      <c r="BT984" s="763"/>
      <c r="BU984" s="763"/>
      <c r="BV984" s="763"/>
      <c r="BW984" s="763"/>
      <c r="BX984" s="763"/>
      <c r="BY984" s="763"/>
      <c r="BZ984" s="763"/>
      <c r="CA984" s="763"/>
      <c r="CB984" s="763"/>
      <c r="CC984" s="763"/>
      <c r="CD984" s="763"/>
      <c r="CE984" s="763"/>
      <c r="CF984" s="763"/>
      <c r="CG984" s="763"/>
      <c r="CH984" s="763"/>
      <c r="CI984" s="763"/>
      <c r="CJ984" s="763"/>
      <c r="CK984" s="763"/>
      <c r="CL984" s="763"/>
      <c r="CM984" s="763"/>
      <c r="CN984" s="763"/>
      <c r="CO984" s="763"/>
      <c r="CP984" s="763"/>
      <c r="CQ984" s="763"/>
      <c r="CR984" s="763"/>
      <c r="CS984" s="763"/>
      <c r="CT984" s="763"/>
      <c r="CU984" s="763"/>
      <c r="CV984" s="763"/>
      <c r="CW984" s="763"/>
      <c r="CX984" s="763"/>
      <c r="CY984" s="763"/>
      <c r="CZ984" s="763"/>
      <c r="DA984" s="763"/>
      <c r="DB984" s="763"/>
      <c r="DC984" s="763"/>
      <c r="DD984" s="763"/>
      <c r="DE984" s="763"/>
      <c r="DF984" s="763"/>
      <c r="DG984" s="763"/>
      <c r="DH984" s="763"/>
      <c r="DI984" s="763"/>
      <c r="DJ984" s="763"/>
      <c r="DK984" s="763"/>
      <c r="DL984" s="763"/>
      <c r="DM984" s="763"/>
      <c r="DN984" s="763"/>
      <c r="DO984" s="763"/>
      <c r="DP984" s="763"/>
      <c r="DQ984" s="763"/>
      <c r="DR984" s="763"/>
      <c r="DS984" s="763"/>
      <c r="DT984" s="763"/>
      <c r="DU984" s="763"/>
      <c r="DV984" s="763"/>
      <c r="DW984" s="763"/>
      <c r="DX984" s="763"/>
      <c r="DY984" s="763"/>
      <c r="DZ984" s="763"/>
      <c r="EA984" s="763"/>
      <c r="EB984" s="763"/>
      <c r="EC984" s="763"/>
      <c r="ED984" s="763"/>
      <c r="EE984" s="763"/>
      <c r="EF984" s="763"/>
      <c r="EG984" s="763"/>
      <c r="EH984" s="763"/>
      <c r="EI984" s="763"/>
      <c r="EJ984" s="763"/>
      <c r="EK984" s="763"/>
      <c r="EL984" s="763"/>
      <c r="EM984" s="763"/>
      <c r="EN984" s="763"/>
      <c r="EO984" s="763"/>
      <c r="EP984" s="763"/>
      <c r="EQ984" s="763"/>
      <c r="ER984" s="763"/>
      <c r="ES984" s="763"/>
      <c r="ET984" s="763"/>
      <c r="EU984" s="763"/>
      <c r="EV984" s="763"/>
      <c r="EW984" s="763"/>
      <c r="EX984" s="763"/>
      <c r="EY984" s="764" t="s">
        <v>825</v>
      </c>
      <c r="EZ984" s="753"/>
      <c r="FA984" s="753"/>
      <c r="FB984" s="753"/>
      <c r="FC984" s="753"/>
      <c r="FD984" s="753"/>
      <c r="FE984" s="753"/>
      <c r="FF984" s="753"/>
      <c r="FG984" s="753"/>
      <c r="FH984" s="753"/>
      <c r="FI984" s="753"/>
      <c r="FJ984" s="753"/>
      <c r="FK984" s="753"/>
      <c r="FL984" s="753"/>
    </row>
    <row r="985" spans="1:168" s="551" customFormat="1" ht="27.6" x14ac:dyDescent="0.25">
      <c r="A985" s="1497" t="s">
        <v>109</v>
      </c>
      <c r="B985" s="1064" t="str">
        <f t="shared" ref="B985:D993" si="515">B17</f>
        <v>Каша жидкая молочная из гречневой крупы с маслом и сахаром</v>
      </c>
      <c r="C985" s="1064">
        <f t="shared" si="515"/>
        <v>220</v>
      </c>
      <c r="D985" s="1064">
        <f t="shared" si="515"/>
        <v>9.09</v>
      </c>
      <c r="E985" s="1158">
        <f>EY985</f>
        <v>23.56</v>
      </c>
      <c r="F985" s="1276"/>
      <c r="G985" s="1276"/>
      <c r="H985" s="1276"/>
      <c r="I985" s="1276"/>
      <c r="J985" s="552">
        <f t="shared" ref="J985:AO985" si="516">J17*J$338</f>
        <v>0</v>
      </c>
      <c r="K985" s="552">
        <f t="shared" si="516"/>
        <v>0</v>
      </c>
      <c r="L985" s="552">
        <f t="shared" si="516"/>
        <v>0</v>
      </c>
      <c r="M985" s="552">
        <f t="shared" si="516"/>
        <v>0</v>
      </c>
      <c r="N985" s="552">
        <f t="shared" si="516"/>
        <v>0</v>
      </c>
      <c r="O985" s="552">
        <f t="shared" si="516"/>
        <v>0</v>
      </c>
      <c r="P985" s="552">
        <f t="shared" si="516"/>
        <v>0</v>
      </c>
      <c r="Q985" s="552">
        <f t="shared" si="516"/>
        <v>0</v>
      </c>
      <c r="R985" s="552">
        <f t="shared" si="516"/>
        <v>0</v>
      </c>
      <c r="S985" s="552">
        <f t="shared" si="516"/>
        <v>0</v>
      </c>
      <c r="T985" s="552">
        <f t="shared" si="516"/>
        <v>0</v>
      </c>
      <c r="U985" s="552">
        <f t="shared" si="516"/>
        <v>11.2</v>
      </c>
      <c r="V985" s="552">
        <f t="shared" si="516"/>
        <v>7.1</v>
      </c>
      <c r="W985" s="552">
        <f t="shared" si="516"/>
        <v>0</v>
      </c>
      <c r="X985" s="552">
        <f t="shared" si="516"/>
        <v>0</v>
      </c>
      <c r="Y985" s="552">
        <f t="shared" si="516"/>
        <v>0</v>
      </c>
      <c r="Z985" s="552">
        <f t="shared" si="516"/>
        <v>0</v>
      </c>
      <c r="AA985" s="552">
        <f t="shared" si="516"/>
        <v>0</v>
      </c>
      <c r="AB985" s="552">
        <f t="shared" si="516"/>
        <v>0</v>
      </c>
      <c r="AC985" s="552">
        <f t="shared" si="516"/>
        <v>0</v>
      </c>
      <c r="AD985" s="552">
        <f t="shared" si="516"/>
        <v>0</v>
      </c>
      <c r="AE985" s="552">
        <f t="shared" si="516"/>
        <v>0</v>
      </c>
      <c r="AF985" s="552">
        <f t="shared" si="516"/>
        <v>0</v>
      </c>
      <c r="AG985" s="552">
        <f t="shared" si="516"/>
        <v>0</v>
      </c>
      <c r="AH985" s="552">
        <f t="shared" si="516"/>
        <v>0</v>
      </c>
      <c r="AI985" s="552">
        <f t="shared" si="516"/>
        <v>0</v>
      </c>
      <c r="AJ985" s="552">
        <f t="shared" si="516"/>
        <v>0</v>
      </c>
      <c r="AK985" s="552">
        <f t="shared" si="516"/>
        <v>0</v>
      </c>
      <c r="AL985" s="552">
        <f t="shared" si="516"/>
        <v>0</v>
      </c>
      <c r="AM985" s="552">
        <f t="shared" si="516"/>
        <v>0</v>
      </c>
      <c r="AN985" s="552">
        <f t="shared" si="516"/>
        <v>0</v>
      </c>
      <c r="AO985" s="552">
        <f t="shared" si="516"/>
        <v>0</v>
      </c>
      <c r="AP985" s="552">
        <f t="shared" ref="AP985:BU985" si="517">AP17*AP$338</f>
        <v>0</v>
      </c>
      <c r="AQ985" s="552">
        <f t="shared" si="517"/>
        <v>0</v>
      </c>
      <c r="AR985" s="552">
        <f t="shared" si="517"/>
        <v>0</v>
      </c>
      <c r="AS985" s="552">
        <f t="shared" si="517"/>
        <v>0</v>
      </c>
      <c r="AT985" s="552">
        <f t="shared" si="517"/>
        <v>0</v>
      </c>
      <c r="AU985" s="552">
        <f t="shared" si="517"/>
        <v>0</v>
      </c>
      <c r="AV985" s="552">
        <f t="shared" si="517"/>
        <v>0</v>
      </c>
      <c r="AW985" s="552">
        <f t="shared" si="517"/>
        <v>0</v>
      </c>
      <c r="AX985" s="552">
        <f t="shared" si="517"/>
        <v>0</v>
      </c>
      <c r="AY985" s="552">
        <f t="shared" si="517"/>
        <v>0</v>
      </c>
      <c r="AZ985" s="552">
        <f t="shared" si="517"/>
        <v>0</v>
      </c>
      <c r="BA985" s="552">
        <f t="shared" si="517"/>
        <v>0</v>
      </c>
      <c r="BB985" s="552">
        <f t="shared" si="517"/>
        <v>0</v>
      </c>
      <c r="BC985" s="552">
        <f t="shared" si="517"/>
        <v>0</v>
      </c>
      <c r="BD985" s="552">
        <f t="shared" si="517"/>
        <v>0</v>
      </c>
      <c r="BE985" s="552">
        <f t="shared" si="517"/>
        <v>0</v>
      </c>
      <c r="BF985" s="552">
        <f t="shared" si="517"/>
        <v>0</v>
      </c>
      <c r="BG985" s="552">
        <f t="shared" si="517"/>
        <v>0</v>
      </c>
      <c r="BH985" s="552">
        <f t="shared" si="517"/>
        <v>0</v>
      </c>
      <c r="BI985" s="552">
        <f t="shared" si="517"/>
        <v>0</v>
      </c>
      <c r="BJ985" s="552">
        <f t="shared" si="517"/>
        <v>0</v>
      </c>
      <c r="BK985" s="552">
        <f t="shared" si="517"/>
        <v>0</v>
      </c>
      <c r="BL985" s="552">
        <f t="shared" si="517"/>
        <v>0</v>
      </c>
      <c r="BM985" s="552">
        <f t="shared" si="517"/>
        <v>0</v>
      </c>
      <c r="BN985" s="552">
        <f t="shared" si="517"/>
        <v>0</v>
      </c>
      <c r="BO985" s="552">
        <f t="shared" si="517"/>
        <v>0</v>
      </c>
      <c r="BP985" s="552">
        <f t="shared" si="517"/>
        <v>0</v>
      </c>
      <c r="BQ985" s="552">
        <f t="shared" si="517"/>
        <v>0</v>
      </c>
      <c r="BR985" s="552">
        <f t="shared" si="517"/>
        <v>0</v>
      </c>
      <c r="BS985" s="552">
        <f t="shared" si="517"/>
        <v>0</v>
      </c>
      <c r="BT985" s="552">
        <f t="shared" si="517"/>
        <v>4</v>
      </c>
      <c r="BU985" s="552">
        <f t="shared" si="517"/>
        <v>0</v>
      </c>
      <c r="BV985" s="552">
        <f t="shared" ref="BV985:DA985" si="518">BV17*BV$338</f>
        <v>0</v>
      </c>
      <c r="BW985" s="552">
        <f t="shared" si="518"/>
        <v>0</v>
      </c>
      <c r="BX985" s="552">
        <f t="shared" si="518"/>
        <v>0</v>
      </c>
      <c r="BY985" s="552">
        <f t="shared" si="518"/>
        <v>0</v>
      </c>
      <c r="BZ985" s="552">
        <f t="shared" si="518"/>
        <v>0</v>
      </c>
      <c r="CA985" s="552">
        <f t="shared" si="518"/>
        <v>0</v>
      </c>
      <c r="CB985" s="552">
        <f t="shared" si="518"/>
        <v>0</v>
      </c>
      <c r="CC985" s="552">
        <f t="shared" si="518"/>
        <v>0</v>
      </c>
      <c r="CD985" s="552">
        <f t="shared" si="518"/>
        <v>0</v>
      </c>
      <c r="CE985" s="552">
        <f t="shared" si="518"/>
        <v>0</v>
      </c>
      <c r="CF985" s="552">
        <f t="shared" si="518"/>
        <v>0</v>
      </c>
      <c r="CG985" s="552">
        <f t="shared" si="518"/>
        <v>0</v>
      </c>
      <c r="CH985" s="552">
        <f t="shared" si="518"/>
        <v>0</v>
      </c>
      <c r="CI985" s="552">
        <f t="shared" si="518"/>
        <v>0</v>
      </c>
      <c r="CJ985" s="552">
        <f t="shared" si="518"/>
        <v>0</v>
      </c>
      <c r="CK985" s="552">
        <f t="shared" si="518"/>
        <v>0</v>
      </c>
      <c r="CL985" s="552">
        <f t="shared" si="518"/>
        <v>0</v>
      </c>
      <c r="CM985" s="552">
        <f t="shared" si="518"/>
        <v>0</v>
      </c>
      <c r="CN985" s="552">
        <f t="shared" si="518"/>
        <v>0</v>
      </c>
      <c r="CO985" s="552">
        <f t="shared" si="518"/>
        <v>0</v>
      </c>
      <c r="CP985" s="552">
        <f t="shared" si="518"/>
        <v>0</v>
      </c>
      <c r="CQ985" s="552">
        <f t="shared" si="518"/>
        <v>0</v>
      </c>
      <c r="CR985" s="552">
        <f t="shared" si="518"/>
        <v>0</v>
      </c>
      <c r="CS985" s="552">
        <f t="shared" si="518"/>
        <v>0</v>
      </c>
      <c r="CT985" s="552">
        <f t="shared" si="518"/>
        <v>0</v>
      </c>
      <c r="CU985" s="552">
        <f t="shared" si="518"/>
        <v>0</v>
      </c>
      <c r="CV985" s="552">
        <f t="shared" si="518"/>
        <v>0</v>
      </c>
      <c r="CW985" s="552">
        <f t="shared" si="518"/>
        <v>0</v>
      </c>
      <c r="CX985" s="552">
        <f t="shared" si="518"/>
        <v>0</v>
      </c>
      <c r="CY985" s="552">
        <f t="shared" si="518"/>
        <v>0</v>
      </c>
      <c r="CZ985" s="552">
        <f t="shared" si="518"/>
        <v>1.22</v>
      </c>
      <c r="DA985" s="552">
        <f t="shared" si="518"/>
        <v>0</v>
      </c>
      <c r="DB985" s="552">
        <f t="shared" ref="DB985:EG985" si="519">DB17*DB$338</f>
        <v>0</v>
      </c>
      <c r="DC985" s="552">
        <f t="shared" si="519"/>
        <v>0.04</v>
      </c>
      <c r="DD985" s="552">
        <f t="shared" si="519"/>
        <v>0</v>
      </c>
      <c r="DE985" s="552">
        <f t="shared" si="519"/>
        <v>0</v>
      </c>
      <c r="DF985" s="552">
        <f t="shared" si="519"/>
        <v>0</v>
      </c>
      <c r="DG985" s="552">
        <f t="shared" si="519"/>
        <v>0</v>
      </c>
      <c r="DH985" s="552">
        <f t="shared" si="519"/>
        <v>0</v>
      </c>
      <c r="DI985" s="552">
        <f t="shared" si="519"/>
        <v>0</v>
      </c>
      <c r="DJ985" s="552">
        <f t="shared" si="519"/>
        <v>0</v>
      </c>
      <c r="DK985" s="552">
        <f t="shared" si="519"/>
        <v>0</v>
      </c>
      <c r="DL985" s="552">
        <f t="shared" si="519"/>
        <v>0</v>
      </c>
      <c r="DM985" s="552">
        <f t="shared" si="519"/>
        <v>0</v>
      </c>
      <c r="DN985" s="552">
        <f t="shared" si="519"/>
        <v>0</v>
      </c>
      <c r="DO985" s="552">
        <f t="shared" si="519"/>
        <v>0</v>
      </c>
      <c r="DP985" s="552">
        <f t="shared" si="519"/>
        <v>0</v>
      </c>
      <c r="DQ985" s="552">
        <f t="shared" si="519"/>
        <v>0</v>
      </c>
      <c r="DR985" s="552">
        <f t="shared" si="519"/>
        <v>0</v>
      </c>
      <c r="DS985" s="552">
        <f t="shared" si="519"/>
        <v>0</v>
      </c>
      <c r="DT985" s="552">
        <f t="shared" si="519"/>
        <v>0</v>
      </c>
      <c r="DU985" s="552">
        <f t="shared" si="519"/>
        <v>0</v>
      </c>
      <c r="DV985" s="552">
        <f t="shared" si="519"/>
        <v>0</v>
      </c>
      <c r="DW985" s="552">
        <f t="shared" si="519"/>
        <v>0</v>
      </c>
      <c r="DX985" s="552">
        <f t="shared" si="519"/>
        <v>0</v>
      </c>
      <c r="DY985" s="552">
        <f t="shared" si="519"/>
        <v>0</v>
      </c>
      <c r="DZ985" s="552">
        <f t="shared" si="519"/>
        <v>0</v>
      </c>
      <c r="EA985" s="552">
        <f t="shared" si="519"/>
        <v>0</v>
      </c>
      <c r="EB985" s="552">
        <f t="shared" si="519"/>
        <v>0</v>
      </c>
      <c r="EC985" s="552">
        <f t="shared" si="519"/>
        <v>0</v>
      </c>
      <c r="ED985" s="552">
        <f t="shared" si="519"/>
        <v>0</v>
      </c>
      <c r="EE985" s="552">
        <f t="shared" si="519"/>
        <v>0</v>
      </c>
      <c r="EF985" s="552">
        <f t="shared" si="519"/>
        <v>0</v>
      </c>
      <c r="EG985" s="552">
        <f t="shared" si="519"/>
        <v>0</v>
      </c>
      <c r="EH985" s="552">
        <f t="shared" ref="EH985:EX985" si="520">EH17*EH$338</f>
        <v>0</v>
      </c>
      <c r="EI985" s="552">
        <f t="shared" si="520"/>
        <v>0</v>
      </c>
      <c r="EJ985" s="552">
        <f t="shared" si="520"/>
        <v>0</v>
      </c>
      <c r="EK985" s="552">
        <f t="shared" si="520"/>
        <v>0</v>
      </c>
      <c r="EL985" s="552">
        <f t="shared" si="520"/>
        <v>0</v>
      </c>
      <c r="EM985" s="552">
        <f t="shared" si="520"/>
        <v>0</v>
      </c>
      <c r="EN985" s="552">
        <f t="shared" si="520"/>
        <v>0</v>
      </c>
      <c r="EO985" s="552">
        <f t="shared" si="520"/>
        <v>0</v>
      </c>
      <c r="EP985" s="552">
        <f t="shared" si="520"/>
        <v>0</v>
      </c>
      <c r="EQ985" s="552">
        <f t="shared" si="520"/>
        <v>0</v>
      </c>
      <c r="ER985" s="552">
        <f t="shared" si="520"/>
        <v>0</v>
      </c>
      <c r="ES985" s="552">
        <f t="shared" si="520"/>
        <v>0</v>
      </c>
      <c r="ET985" s="552">
        <f t="shared" si="520"/>
        <v>0</v>
      </c>
      <c r="EU985" s="552">
        <f t="shared" si="520"/>
        <v>0</v>
      </c>
      <c r="EV985" s="552">
        <f t="shared" si="520"/>
        <v>0</v>
      </c>
      <c r="EW985" s="552">
        <f t="shared" si="520"/>
        <v>0</v>
      </c>
      <c r="EX985" s="552">
        <f t="shared" si="520"/>
        <v>0</v>
      </c>
      <c r="EY985" s="799">
        <f>SUM(J985:EX985)</f>
        <v>23.56</v>
      </c>
      <c r="EZ985" s="561"/>
      <c r="FA985" s="561"/>
      <c r="FB985" s="561"/>
      <c r="FC985" s="561"/>
      <c r="FD985" s="561"/>
      <c r="FE985" s="561"/>
      <c r="FF985" s="561"/>
      <c r="FG985" s="561"/>
      <c r="FH985" s="561"/>
      <c r="FI985" s="561"/>
      <c r="FJ985" s="561"/>
      <c r="FK985" s="561"/>
      <c r="FL985" s="561"/>
    </row>
    <row r="986" spans="1:168" s="551" customFormat="1" x14ac:dyDescent="0.25">
      <c r="A986" s="1492"/>
      <c r="B986" s="1064" t="str">
        <f t="shared" si="515"/>
        <v>Чай с сахаром</v>
      </c>
      <c r="C986" s="1064">
        <f t="shared" si="515"/>
        <v>200</v>
      </c>
      <c r="D986" s="1064">
        <f t="shared" si="515"/>
        <v>7.0000000000000007E-2</v>
      </c>
      <c r="E986" s="1158">
        <f t="shared" ref="E986:E993" si="521">EY986</f>
        <v>1.59</v>
      </c>
      <c r="F986" s="1276"/>
      <c r="G986" s="1276"/>
      <c r="H986" s="1276"/>
      <c r="I986" s="1276"/>
      <c r="J986" s="552">
        <f t="shared" ref="J986:AO986" si="522">J18*J$338</f>
        <v>0</v>
      </c>
      <c r="K986" s="552">
        <f t="shared" si="522"/>
        <v>0</v>
      </c>
      <c r="L986" s="552">
        <f t="shared" si="522"/>
        <v>0</v>
      </c>
      <c r="M986" s="552">
        <f t="shared" si="522"/>
        <v>0</v>
      </c>
      <c r="N986" s="552">
        <f t="shared" si="522"/>
        <v>0</v>
      </c>
      <c r="O986" s="552">
        <f t="shared" si="522"/>
        <v>0</v>
      </c>
      <c r="P986" s="552">
        <f t="shared" si="522"/>
        <v>0</v>
      </c>
      <c r="Q986" s="552">
        <f t="shared" si="522"/>
        <v>0</v>
      </c>
      <c r="R986" s="552">
        <f t="shared" si="522"/>
        <v>0</v>
      </c>
      <c r="S986" s="552">
        <f t="shared" si="522"/>
        <v>0</v>
      </c>
      <c r="T986" s="552">
        <f t="shared" si="522"/>
        <v>0</v>
      </c>
      <c r="U986" s="552">
        <f t="shared" si="522"/>
        <v>0</v>
      </c>
      <c r="V986" s="552">
        <f t="shared" si="522"/>
        <v>0</v>
      </c>
      <c r="W986" s="552">
        <f t="shared" si="522"/>
        <v>0</v>
      </c>
      <c r="X986" s="552">
        <f t="shared" si="522"/>
        <v>0</v>
      </c>
      <c r="Y986" s="552">
        <f t="shared" si="522"/>
        <v>0</v>
      </c>
      <c r="Z986" s="552">
        <f t="shared" si="522"/>
        <v>0</v>
      </c>
      <c r="AA986" s="552">
        <f t="shared" si="522"/>
        <v>0</v>
      </c>
      <c r="AB986" s="552">
        <f t="shared" si="522"/>
        <v>0</v>
      </c>
      <c r="AC986" s="552">
        <f t="shared" si="522"/>
        <v>0</v>
      </c>
      <c r="AD986" s="552">
        <f t="shared" si="522"/>
        <v>0</v>
      </c>
      <c r="AE986" s="552">
        <f t="shared" si="522"/>
        <v>0</v>
      </c>
      <c r="AF986" s="552">
        <f t="shared" si="522"/>
        <v>0</v>
      </c>
      <c r="AG986" s="552">
        <f t="shared" si="522"/>
        <v>0</v>
      </c>
      <c r="AH986" s="552">
        <f t="shared" si="522"/>
        <v>0</v>
      </c>
      <c r="AI986" s="552">
        <f t="shared" si="522"/>
        <v>0</v>
      </c>
      <c r="AJ986" s="552">
        <f t="shared" si="522"/>
        <v>0</v>
      </c>
      <c r="AK986" s="552">
        <f t="shared" si="522"/>
        <v>0</v>
      </c>
      <c r="AL986" s="552">
        <f t="shared" si="522"/>
        <v>0</v>
      </c>
      <c r="AM986" s="552">
        <f t="shared" si="522"/>
        <v>0</v>
      </c>
      <c r="AN986" s="552">
        <f t="shared" si="522"/>
        <v>0</v>
      </c>
      <c r="AO986" s="552">
        <f t="shared" si="522"/>
        <v>0</v>
      </c>
      <c r="AP986" s="552">
        <f t="shared" ref="AP986:BU986" si="523">AP18*AP$338</f>
        <v>0</v>
      </c>
      <c r="AQ986" s="552">
        <f t="shared" si="523"/>
        <v>0</v>
      </c>
      <c r="AR986" s="552">
        <f t="shared" si="523"/>
        <v>0</v>
      </c>
      <c r="AS986" s="552">
        <f t="shared" si="523"/>
        <v>0</v>
      </c>
      <c r="AT986" s="552">
        <f t="shared" si="523"/>
        <v>0</v>
      </c>
      <c r="AU986" s="552">
        <f t="shared" si="523"/>
        <v>0</v>
      </c>
      <c r="AV986" s="552">
        <f t="shared" si="523"/>
        <v>0</v>
      </c>
      <c r="AW986" s="552">
        <f t="shared" si="523"/>
        <v>0</v>
      </c>
      <c r="AX986" s="552">
        <f t="shared" si="523"/>
        <v>0</v>
      </c>
      <c r="AY986" s="552">
        <f t="shared" si="523"/>
        <v>0</v>
      </c>
      <c r="AZ986" s="552">
        <f t="shared" si="523"/>
        <v>0</v>
      </c>
      <c r="BA986" s="552">
        <f t="shared" si="523"/>
        <v>0</v>
      </c>
      <c r="BB986" s="552">
        <f t="shared" si="523"/>
        <v>0</v>
      </c>
      <c r="BC986" s="552">
        <f t="shared" si="523"/>
        <v>0</v>
      </c>
      <c r="BD986" s="552">
        <f t="shared" si="523"/>
        <v>0</v>
      </c>
      <c r="BE986" s="552">
        <f t="shared" si="523"/>
        <v>0</v>
      </c>
      <c r="BF986" s="552">
        <f t="shared" si="523"/>
        <v>0</v>
      </c>
      <c r="BG986" s="552">
        <f t="shared" si="523"/>
        <v>0</v>
      </c>
      <c r="BH986" s="552">
        <f t="shared" si="523"/>
        <v>0</v>
      </c>
      <c r="BI986" s="552">
        <f t="shared" si="523"/>
        <v>0</v>
      </c>
      <c r="BJ986" s="552">
        <f t="shared" si="523"/>
        <v>0</v>
      </c>
      <c r="BK986" s="552">
        <f t="shared" si="523"/>
        <v>0</v>
      </c>
      <c r="BL986" s="552">
        <f t="shared" si="523"/>
        <v>0</v>
      </c>
      <c r="BM986" s="552">
        <f t="shared" si="523"/>
        <v>0</v>
      </c>
      <c r="BN986" s="552">
        <f t="shared" si="523"/>
        <v>0</v>
      </c>
      <c r="BO986" s="552">
        <f t="shared" si="523"/>
        <v>0</v>
      </c>
      <c r="BP986" s="552">
        <f t="shared" si="523"/>
        <v>0</v>
      </c>
      <c r="BQ986" s="552">
        <f t="shared" si="523"/>
        <v>0</v>
      </c>
      <c r="BR986" s="552">
        <f t="shared" si="523"/>
        <v>0</v>
      </c>
      <c r="BS986" s="552">
        <f t="shared" si="523"/>
        <v>0</v>
      </c>
      <c r="BT986" s="552">
        <f t="shared" si="523"/>
        <v>0</v>
      </c>
      <c r="BU986" s="552">
        <f t="shared" si="523"/>
        <v>0</v>
      </c>
      <c r="BV986" s="552">
        <f t="shared" ref="BV986:DA986" si="524">BV18*BV$338</f>
        <v>0</v>
      </c>
      <c r="BW986" s="552">
        <f t="shared" si="524"/>
        <v>0</v>
      </c>
      <c r="BX986" s="552">
        <f t="shared" si="524"/>
        <v>0</v>
      </c>
      <c r="BY986" s="552">
        <f t="shared" si="524"/>
        <v>0</v>
      </c>
      <c r="BZ986" s="552">
        <f t="shared" si="524"/>
        <v>0</v>
      </c>
      <c r="CA986" s="552">
        <f t="shared" si="524"/>
        <v>0</v>
      </c>
      <c r="CB986" s="552">
        <f t="shared" si="524"/>
        <v>0</v>
      </c>
      <c r="CC986" s="552">
        <f t="shared" si="524"/>
        <v>0</v>
      </c>
      <c r="CD986" s="552">
        <f t="shared" si="524"/>
        <v>0</v>
      </c>
      <c r="CE986" s="552">
        <f t="shared" si="524"/>
        <v>0</v>
      </c>
      <c r="CF986" s="552">
        <f t="shared" si="524"/>
        <v>0</v>
      </c>
      <c r="CG986" s="552">
        <f t="shared" si="524"/>
        <v>0</v>
      </c>
      <c r="CH986" s="552">
        <f t="shared" si="524"/>
        <v>0</v>
      </c>
      <c r="CI986" s="552">
        <f t="shared" si="524"/>
        <v>0</v>
      </c>
      <c r="CJ986" s="552">
        <f t="shared" si="524"/>
        <v>0</v>
      </c>
      <c r="CK986" s="552">
        <f t="shared" si="524"/>
        <v>0</v>
      </c>
      <c r="CL986" s="552">
        <f t="shared" si="524"/>
        <v>0</v>
      </c>
      <c r="CM986" s="552">
        <f t="shared" si="524"/>
        <v>0</v>
      </c>
      <c r="CN986" s="552">
        <f t="shared" si="524"/>
        <v>0</v>
      </c>
      <c r="CO986" s="552">
        <f t="shared" si="524"/>
        <v>0</v>
      </c>
      <c r="CP986" s="552">
        <f t="shared" si="524"/>
        <v>0</v>
      </c>
      <c r="CQ986" s="552">
        <f t="shared" si="524"/>
        <v>0</v>
      </c>
      <c r="CR986" s="552">
        <f t="shared" si="524"/>
        <v>0</v>
      </c>
      <c r="CS986" s="552">
        <f t="shared" si="524"/>
        <v>0</v>
      </c>
      <c r="CT986" s="552">
        <f t="shared" si="524"/>
        <v>0</v>
      </c>
      <c r="CU986" s="552">
        <f t="shared" si="524"/>
        <v>0</v>
      </c>
      <c r="CV986" s="552">
        <f t="shared" si="524"/>
        <v>0</v>
      </c>
      <c r="CW986" s="552">
        <f t="shared" si="524"/>
        <v>0</v>
      </c>
      <c r="CX986" s="552">
        <f t="shared" si="524"/>
        <v>0</v>
      </c>
      <c r="CY986" s="552">
        <f t="shared" si="524"/>
        <v>0</v>
      </c>
      <c r="CZ986" s="552">
        <f t="shared" si="524"/>
        <v>1.1399999999999999</v>
      </c>
      <c r="DA986" s="552">
        <f t="shared" si="524"/>
        <v>0</v>
      </c>
      <c r="DB986" s="552">
        <f t="shared" ref="DB986:EG986" si="525">DB18*DB$338</f>
        <v>0</v>
      </c>
      <c r="DC986" s="552">
        <f t="shared" si="525"/>
        <v>0</v>
      </c>
      <c r="DD986" s="552">
        <f t="shared" si="525"/>
        <v>0</v>
      </c>
      <c r="DE986" s="552">
        <f t="shared" si="525"/>
        <v>0</v>
      </c>
      <c r="DF986" s="552">
        <f t="shared" si="525"/>
        <v>0</v>
      </c>
      <c r="DG986" s="552">
        <f t="shared" si="525"/>
        <v>0</v>
      </c>
      <c r="DH986" s="552">
        <f t="shared" si="525"/>
        <v>0</v>
      </c>
      <c r="DI986" s="552">
        <f t="shared" si="525"/>
        <v>0</v>
      </c>
      <c r="DJ986" s="552">
        <f t="shared" si="525"/>
        <v>0</v>
      </c>
      <c r="DK986" s="552">
        <f t="shared" si="525"/>
        <v>0</v>
      </c>
      <c r="DL986" s="552">
        <f t="shared" si="525"/>
        <v>0</v>
      </c>
      <c r="DM986" s="552">
        <f t="shared" si="525"/>
        <v>0</v>
      </c>
      <c r="DN986" s="552">
        <f t="shared" si="525"/>
        <v>0</v>
      </c>
      <c r="DO986" s="552">
        <f t="shared" si="525"/>
        <v>0</v>
      </c>
      <c r="DP986" s="552">
        <f t="shared" si="525"/>
        <v>0</v>
      </c>
      <c r="DQ986" s="552">
        <f t="shared" si="525"/>
        <v>0</v>
      </c>
      <c r="DR986" s="552">
        <f t="shared" si="525"/>
        <v>0.45</v>
      </c>
      <c r="DS986" s="552">
        <f t="shared" si="525"/>
        <v>0</v>
      </c>
      <c r="DT986" s="552">
        <f t="shared" si="525"/>
        <v>0</v>
      </c>
      <c r="DU986" s="552">
        <f t="shared" si="525"/>
        <v>0</v>
      </c>
      <c r="DV986" s="552">
        <f t="shared" si="525"/>
        <v>0</v>
      </c>
      <c r="DW986" s="552">
        <f t="shared" si="525"/>
        <v>0</v>
      </c>
      <c r="DX986" s="552">
        <f t="shared" si="525"/>
        <v>0</v>
      </c>
      <c r="DY986" s="552">
        <f t="shared" si="525"/>
        <v>0</v>
      </c>
      <c r="DZ986" s="552">
        <f t="shared" si="525"/>
        <v>0</v>
      </c>
      <c r="EA986" s="552">
        <f t="shared" si="525"/>
        <v>0</v>
      </c>
      <c r="EB986" s="552">
        <f t="shared" si="525"/>
        <v>0</v>
      </c>
      <c r="EC986" s="552">
        <f t="shared" si="525"/>
        <v>0</v>
      </c>
      <c r="ED986" s="552">
        <f t="shared" si="525"/>
        <v>0</v>
      </c>
      <c r="EE986" s="552">
        <f t="shared" si="525"/>
        <v>0</v>
      </c>
      <c r="EF986" s="552">
        <f t="shared" si="525"/>
        <v>0</v>
      </c>
      <c r="EG986" s="552">
        <f t="shared" si="525"/>
        <v>0</v>
      </c>
      <c r="EH986" s="552">
        <f t="shared" ref="EH986:EX986" si="526">EH18*EH$338</f>
        <v>0</v>
      </c>
      <c r="EI986" s="552">
        <f t="shared" si="526"/>
        <v>0</v>
      </c>
      <c r="EJ986" s="552">
        <f t="shared" si="526"/>
        <v>0</v>
      </c>
      <c r="EK986" s="552">
        <f t="shared" si="526"/>
        <v>0</v>
      </c>
      <c r="EL986" s="552">
        <f t="shared" si="526"/>
        <v>0</v>
      </c>
      <c r="EM986" s="552">
        <f t="shared" si="526"/>
        <v>0</v>
      </c>
      <c r="EN986" s="552">
        <f t="shared" si="526"/>
        <v>0</v>
      </c>
      <c r="EO986" s="552">
        <f t="shared" si="526"/>
        <v>0</v>
      </c>
      <c r="EP986" s="552">
        <f t="shared" si="526"/>
        <v>0</v>
      </c>
      <c r="EQ986" s="552">
        <f t="shared" si="526"/>
        <v>0</v>
      </c>
      <c r="ER986" s="552">
        <f t="shared" si="526"/>
        <v>0</v>
      </c>
      <c r="ES986" s="552">
        <f t="shared" si="526"/>
        <v>0</v>
      </c>
      <c r="ET986" s="552">
        <f t="shared" si="526"/>
        <v>0</v>
      </c>
      <c r="EU986" s="552">
        <f t="shared" si="526"/>
        <v>0</v>
      </c>
      <c r="EV986" s="552">
        <f t="shared" si="526"/>
        <v>0</v>
      </c>
      <c r="EW986" s="552">
        <f t="shared" si="526"/>
        <v>0</v>
      </c>
      <c r="EX986" s="552">
        <f t="shared" si="526"/>
        <v>0</v>
      </c>
      <c r="EY986" s="799">
        <f t="shared" ref="EY986:EY1049" si="527">SUM(J986:EX986)</f>
        <v>1.59</v>
      </c>
      <c r="EZ986" s="561"/>
      <c r="FA986" s="561"/>
      <c r="FB986" s="561"/>
      <c r="FC986" s="561"/>
      <c r="FD986" s="561"/>
      <c r="FE986" s="561"/>
      <c r="FF986" s="561"/>
      <c r="FG986" s="561"/>
      <c r="FH986" s="561"/>
      <c r="FI986" s="561"/>
      <c r="FJ986" s="561"/>
      <c r="FK986" s="561"/>
      <c r="FL986" s="561"/>
    </row>
    <row r="987" spans="1:168" s="551" customFormat="1" x14ac:dyDescent="0.25">
      <c r="A987" s="1492"/>
      <c r="B987" s="1064" t="str">
        <f t="shared" si="515"/>
        <v>Масло сливочное (порциями)</v>
      </c>
      <c r="C987" s="1064">
        <f t="shared" si="515"/>
        <v>10</v>
      </c>
      <c r="D987" s="1064">
        <f t="shared" si="515"/>
        <v>0.08</v>
      </c>
      <c r="E987" s="1158">
        <f t="shared" si="521"/>
        <v>7.1</v>
      </c>
      <c r="F987" s="1276"/>
      <c r="G987" s="1276"/>
      <c r="H987" s="1276"/>
      <c r="I987" s="1276"/>
      <c r="J987" s="552">
        <f t="shared" ref="J987:AO987" si="528">J19*J$338</f>
        <v>0</v>
      </c>
      <c r="K987" s="552">
        <f t="shared" si="528"/>
        <v>0</v>
      </c>
      <c r="L987" s="552">
        <f t="shared" si="528"/>
        <v>0</v>
      </c>
      <c r="M987" s="552">
        <f t="shared" si="528"/>
        <v>0</v>
      </c>
      <c r="N987" s="552">
        <f t="shared" si="528"/>
        <v>0</v>
      </c>
      <c r="O987" s="552">
        <f t="shared" si="528"/>
        <v>0</v>
      </c>
      <c r="P987" s="552">
        <f t="shared" si="528"/>
        <v>0</v>
      </c>
      <c r="Q987" s="552">
        <f t="shared" si="528"/>
        <v>0</v>
      </c>
      <c r="R987" s="552">
        <f t="shared" si="528"/>
        <v>0</v>
      </c>
      <c r="S987" s="552">
        <f t="shared" si="528"/>
        <v>0</v>
      </c>
      <c r="T987" s="552">
        <f t="shared" si="528"/>
        <v>0</v>
      </c>
      <c r="U987" s="552">
        <f t="shared" si="528"/>
        <v>0</v>
      </c>
      <c r="V987" s="552">
        <f t="shared" si="528"/>
        <v>7.1</v>
      </c>
      <c r="W987" s="552">
        <f t="shared" si="528"/>
        <v>0</v>
      </c>
      <c r="X987" s="552">
        <f t="shared" si="528"/>
        <v>0</v>
      </c>
      <c r="Y987" s="552">
        <f t="shared" si="528"/>
        <v>0</v>
      </c>
      <c r="Z987" s="552">
        <f t="shared" si="528"/>
        <v>0</v>
      </c>
      <c r="AA987" s="552">
        <f t="shared" si="528"/>
        <v>0</v>
      </c>
      <c r="AB987" s="552">
        <f t="shared" si="528"/>
        <v>0</v>
      </c>
      <c r="AC987" s="552">
        <f t="shared" si="528"/>
        <v>0</v>
      </c>
      <c r="AD987" s="552">
        <f t="shared" si="528"/>
        <v>0</v>
      </c>
      <c r="AE987" s="552">
        <f t="shared" si="528"/>
        <v>0</v>
      </c>
      <c r="AF987" s="552">
        <f t="shared" si="528"/>
        <v>0</v>
      </c>
      <c r="AG987" s="552">
        <f t="shared" si="528"/>
        <v>0</v>
      </c>
      <c r="AH987" s="552">
        <f t="shared" si="528"/>
        <v>0</v>
      </c>
      <c r="AI987" s="552">
        <f t="shared" si="528"/>
        <v>0</v>
      </c>
      <c r="AJ987" s="552">
        <f t="shared" si="528"/>
        <v>0</v>
      </c>
      <c r="AK987" s="552">
        <f t="shared" si="528"/>
        <v>0</v>
      </c>
      <c r="AL987" s="552">
        <f t="shared" si="528"/>
        <v>0</v>
      </c>
      <c r="AM987" s="552">
        <f t="shared" si="528"/>
        <v>0</v>
      </c>
      <c r="AN987" s="552">
        <f t="shared" si="528"/>
        <v>0</v>
      </c>
      <c r="AO987" s="552">
        <f t="shared" si="528"/>
        <v>0</v>
      </c>
      <c r="AP987" s="552">
        <f t="shared" ref="AP987:BU987" si="529">AP19*AP$338</f>
        <v>0</v>
      </c>
      <c r="AQ987" s="552">
        <f t="shared" si="529"/>
        <v>0</v>
      </c>
      <c r="AR987" s="552">
        <f t="shared" si="529"/>
        <v>0</v>
      </c>
      <c r="AS987" s="552">
        <f t="shared" si="529"/>
        <v>0</v>
      </c>
      <c r="AT987" s="552">
        <f t="shared" si="529"/>
        <v>0</v>
      </c>
      <c r="AU987" s="552">
        <f t="shared" si="529"/>
        <v>0</v>
      </c>
      <c r="AV987" s="552">
        <f t="shared" si="529"/>
        <v>0</v>
      </c>
      <c r="AW987" s="552">
        <f t="shared" si="529"/>
        <v>0</v>
      </c>
      <c r="AX987" s="552">
        <f t="shared" si="529"/>
        <v>0</v>
      </c>
      <c r="AY987" s="552">
        <f t="shared" si="529"/>
        <v>0</v>
      </c>
      <c r="AZ987" s="552">
        <f t="shared" si="529"/>
        <v>0</v>
      </c>
      <c r="BA987" s="552">
        <f t="shared" si="529"/>
        <v>0</v>
      </c>
      <c r="BB987" s="552">
        <f t="shared" si="529"/>
        <v>0</v>
      </c>
      <c r="BC987" s="552">
        <f t="shared" si="529"/>
        <v>0</v>
      </c>
      <c r="BD987" s="552">
        <f t="shared" si="529"/>
        <v>0</v>
      </c>
      <c r="BE987" s="552">
        <f t="shared" si="529"/>
        <v>0</v>
      </c>
      <c r="BF987" s="552">
        <f t="shared" si="529"/>
        <v>0</v>
      </c>
      <c r="BG987" s="552">
        <f t="shared" si="529"/>
        <v>0</v>
      </c>
      <c r="BH987" s="552">
        <f t="shared" si="529"/>
        <v>0</v>
      </c>
      <c r="BI987" s="552">
        <f t="shared" si="529"/>
        <v>0</v>
      </c>
      <c r="BJ987" s="552">
        <f t="shared" si="529"/>
        <v>0</v>
      </c>
      <c r="BK987" s="552">
        <f t="shared" si="529"/>
        <v>0</v>
      </c>
      <c r="BL987" s="552">
        <f t="shared" si="529"/>
        <v>0</v>
      </c>
      <c r="BM987" s="552">
        <f t="shared" si="529"/>
        <v>0</v>
      </c>
      <c r="BN987" s="552">
        <f t="shared" si="529"/>
        <v>0</v>
      </c>
      <c r="BO987" s="552">
        <f t="shared" si="529"/>
        <v>0</v>
      </c>
      <c r="BP987" s="552">
        <f t="shared" si="529"/>
        <v>0</v>
      </c>
      <c r="BQ987" s="552">
        <f t="shared" si="529"/>
        <v>0</v>
      </c>
      <c r="BR987" s="552">
        <f t="shared" si="529"/>
        <v>0</v>
      </c>
      <c r="BS987" s="552">
        <f t="shared" si="529"/>
        <v>0</v>
      </c>
      <c r="BT987" s="552">
        <f t="shared" si="529"/>
        <v>0</v>
      </c>
      <c r="BU987" s="552">
        <f t="shared" si="529"/>
        <v>0</v>
      </c>
      <c r="BV987" s="552">
        <f t="shared" ref="BV987:DA987" si="530">BV19*BV$338</f>
        <v>0</v>
      </c>
      <c r="BW987" s="552">
        <f t="shared" si="530"/>
        <v>0</v>
      </c>
      <c r="BX987" s="552">
        <f t="shared" si="530"/>
        <v>0</v>
      </c>
      <c r="BY987" s="552">
        <f t="shared" si="530"/>
        <v>0</v>
      </c>
      <c r="BZ987" s="552">
        <f t="shared" si="530"/>
        <v>0</v>
      </c>
      <c r="CA987" s="552">
        <f t="shared" si="530"/>
        <v>0</v>
      </c>
      <c r="CB987" s="552">
        <f t="shared" si="530"/>
        <v>0</v>
      </c>
      <c r="CC987" s="552">
        <f t="shared" si="530"/>
        <v>0</v>
      </c>
      <c r="CD987" s="552">
        <f t="shared" si="530"/>
        <v>0</v>
      </c>
      <c r="CE987" s="552">
        <f t="shared" si="530"/>
        <v>0</v>
      </c>
      <c r="CF987" s="552">
        <f t="shared" si="530"/>
        <v>0</v>
      </c>
      <c r="CG987" s="552">
        <f t="shared" si="530"/>
        <v>0</v>
      </c>
      <c r="CH987" s="552">
        <f t="shared" si="530"/>
        <v>0</v>
      </c>
      <c r="CI987" s="552">
        <f t="shared" si="530"/>
        <v>0</v>
      </c>
      <c r="CJ987" s="552">
        <f t="shared" si="530"/>
        <v>0</v>
      </c>
      <c r="CK987" s="552">
        <f t="shared" si="530"/>
        <v>0</v>
      </c>
      <c r="CL987" s="552">
        <f t="shared" si="530"/>
        <v>0</v>
      </c>
      <c r="CM987" s="552">
        <f t="shared" si="530"/>
        <v>0</v>
      </c>
      <c r="CN987" s="552">
        <f t="shared" si="530"/>
        <v>0</v>
      </c>
      <c r="CO987" s="552">
        <f t="shared" si="530"/>
        <v>0</v>
      </c>
      <c r="CP987" s="552">
        <f t="shared" si="530"/>
        <v>0</v>
      </c>
      <c r="CQ987" s="552">
        <f t="shared" si="530"/>
        <v>0</v>
      </c>
      <c r="CR987" s="552">
        <f t="shared" si="530"/>
        <v>0</v>
      </c>
      <c r="CS987" s="552">
        <f t="shared" si="530"/>
        <v>0</v>
      </c>
      <c r="CT987" s="552">
        <f t="shared" si="530"/>
        <v>0</v>
      </c>
      <c r="CU987" s="552">
        <f t="shared" si="530"/>
        <v>0</v>
      </c>
      <c r="CV987" s="552">
        <f t="shared" si="530"/>
        <v>0</v>
      </c>
      <c r="CW987" s="552">
        <f t="shared" si="530"/>
        <v>0</v>
      </c>
      <c r="CX987" s="552">
        <f t="shared" si="530"/>
        <v>0</v>
      </c>
      <c r="CY987" s="552">
        <f t="shared" si="530"/>
        <v>0</v>
      </c>
      <c r="CZ987" s="552">
        <f t="shared" si="530"/>
        <v>0</v>
      </c>
      <c r="DA987" s="552">
        <f t="shared" si="530"/>
        <v>0</v>
      </c>
      <c r="DB987" s="552">
        <f t="shared" ref="DB987:EG987" si="531">DB19*DB$338</f>
        <v>0</v>
      </c>
      <c r="DC987" s="552">
        <f t="shared" si="531"/>
        <v>0</v>
      </c>
      <c r="DD987" s="552">
        <f t="shared" si="531"/>
        <v>0</v>
      </c>
      <c r="DE987" s="552">
        <f t="shared" si="531"/>
        <v>0</v>
      </c>
      <c r="DF987" s="552">
        <f t="shared" si="531"/>
        <v>0</v>
      </c>
      <c r="DG987" s="552">
        <f t="shared" si="531"/>
        <v>0</v>
      </c>
      <c r="DH987" s="552">
        <f t="shared" si="531"/>
        <v>0</v>
      </c>
      <c r="DI987" s="552">
        <f t="shared" si="531"/>
        <v>0</v>
      </c>
      <c r="DJ987" s="552">
        <f t="shared" si="531"/>
        <v>0</v>
      </c>
      <c r="DK987" s="552">
        <f t="shared" si="531"/>
        <v>0</v>
      </c>
      <c r="DL987" s="552">
        <f t="shared" si="531"/>
        <v>0</v>
      </c>
      <c r="DM987" s="552">
        <f t="shared" si="531"/>
        <v>0</v>
      </c>
      <c r="DN987" s="552">
        <f t="shared" si="531"/>
        <v>0</v>
      </c>
      <c r="DO987" s="552">
        <f t="shared" si="531"/>
        <v>0</v>
      </c>
      <c r="DP987" s="552">
        <f t="shared" si="531"/>
        <v>0</v>
      </c>
      <c r="DQ987" s="552">
        <f t="shared" si="531"/>
        <v>0</v>
      </c>
      <c r="DR987" s="552">
        <f t="shared" si="531"/>
        <v>0</v>
      </c>
      <c r="DS987" s="552">
        <f t="shared" si="531"/>
        <v>0</v>
      </c>
      <c r="DT987" s="552">
        <f t="shared" si="531"/>
        <v>0</v>
      </c>
      <c r="DU987" s="552">
        <f t="shared" si="531"/>
        <v>0</v>
      </c>
      <c r="DV987" s="552">
        <f t="shared" si="531"/>
        <v>0</v>
      </c>
      <c r="DW987" s="552">
        <f t="shared" si="531"/>
        <v>0</v>
      </c>
      <c r="DX987" s="552">
        <f t="shared" si="531"/>
        <v>0</v>
      </c>
      <c r="DY987" s="552">
        <f t="shared" si="531"/>
        <v>0</v>
      </c>
      <c r="DZ987" s="552">
        <f t="shared" si="531"/>
        <v>0</v>
      </c>
      <c r="EA987" s="552">
        <f t="shared" si="531"/>
        <v>0</v>
      </c>
      <c r="EB987" s="552">
        <f t="shared" si="531"/>
        <v>0</v>
      </c>
      <c r="EC987" s="552">
        <f t="shared" si="531"/>
        <v>0</v>
      </c>
      <c r="ED987" s="552">
        <f t="shared" si="531"/>
        <v>0</v>
      </c>
      <c r="EE987" s="552">
        <f t="shared" si="531"/>
        <v>0</v>
      </c>
      <c r="EF987" s="552">
        <f t="shared" si="531"/>
        <v>0</v>
      </c>
      <c r="EG987" s="552">
        <f t="shared" si="531"/>
        <v>0</v>
      </c>
      <c r="EH987" s="552">
        <f t="shared" ref="EH987:EX987" si="532">EH19*EH$338</f>
        <v>0</v>
      </c>
      <c r="EI987" s="552">
        <f t="shared" si="532"/>
        <v>0</v>
      </c>
      <c r="EJ987" s="552">
        <f t="shared" si="532"/>
        <v>0</v>
      </c>
      <c r="EK987" s="552">
        <f t="shared" si="532"/>
        <v>0</v>
      </c>
      <c r="EL987" s="552">
        <f t="shared" si="532"/>
        <v>0</v>
      </c>
      <c r="EM987" s="552">
        <f t="shared" si="532"/>
        <v>0</v>
      </c>
      <c r="EN987" s="552">
        <f t="shared" si="532"/>
        <v>0</v>
      </c>
      <c r="EO987" s="552">
        <f t="shared" si="532"/>
        <v>0</v>
      </c>
      <c r="EP987" s="552">
        <f t="shared" si="532"/>
        <v>0</v>
      </c>
      <c r="EQ987" s="552">
        <f t="shared" si="532"/>
        <v>0</v>
      </c>
      <c r="ER987" s="552">
        <f t="shared" si="532"/>
        <v>0</v>
      </c>
      <c r="ES987" s="552">
        <f t="shared" si="532"/>
        <v>0</v>
      </c>
      <c r="ET987" s="552">
        <f t="shared" si="532"/>
        <v>0</v>
      </c>
      <c r="EU987" s="552">
        <f t="shared" si="532"/>
        <v>0</v>
      </c>
      <c r="EV987" s="552">
        <f t="shared" si="532"/>
        <v>0</v>
      </c>
      <c r="EW987" s="552">
        <f t="shared" si="532"/>
        <v>0</v>
      </c>
      <c r="EX987" s="552">
        <f t="shared" si="532"/>
        <v>0</v>
      </c>
      <c r="EY987" s="799">
        <f t="shared" si="527"/>
        <v>7.1</v>
      </c>
      <c r="EZ987" s="561"/>
      <c r="FA987" s="561"/>
      <c r="FB987" s="561"/>
      <c r="FC987" s="561"/>
      <c r="FD987" s="561"/>
      <c r="FE987" s="561"/>
      <c r="FF987" s="561"/>
      <c r="FG987" s="561"/>
      <c r="FH987" s="561"/>
      <c r="FI987" s="561"/>
      <c r="FJ987" s="561"/>
      <c r="FK987" s="561"/>
      <c r="FL987" s="561"/>
    </row>
    <row r="988" spans="1:168" s="551" customFormat="1" x14ac:dyDescent="0.25">
      <c r="A988" s="1492"/>
      <c r="B988" s="1064" t="str">
        <f t="shared" si="515"/>
        <v>Хлеб пшеничный нарезной</v>
      </c>
      <c r="C988" s="1064">
        <f t="shared" si="515"/>
        <v>30</v>
      </c>
      <c r="D988" s="1064">
        <f t="shared" si="515"/>
        <v>3.21</v>
      </c>
      <c r="E988" s="1158">
        <f t="shared" si="521"/>
        <v>1.95</v>
      </c>
      <c r="F988" s="1276"/>
      <c r="G988" s="1276"/>
      <c r="H988" s="1276"/>
      <c r="I988" s="1276"/>
      <c r="J988" s="552">
        <f t="shared" ref="J988:AO988" si="533">J20*J$338</f>
        <v>0</v>
      </c>
      <c r="K988" s="552">
        <f t="shared" si="533"/>
        <v>0</v>
      </c>
      <c r="L988" s="552">
        <f t="shared" si="533"/>
        <v>0</v>
      </c>
      <c r="M988" s="552">
        <f t="shared" si="533"/>
        <v>0</v>
      </c>
      <c r="N988" s="552">
        <f t="shared" si="533"/>
        <v>0</v>
      </c>
      <c r="O988" s="552">
        <f t="shared" si="533"/>
        <v>0</v>
      </c>
      <c r="P988" s="552">
        <f t="shared" si="533"/>
        <v>0</v>
      </c>
      <c r="Q988" s="552">
        <f t="shared" si="533"/>
        <v>0</v>
      </c>
      <c r="R988" s="552">
        <f t="shared" si="533"/>
        <v>0</v>
      </c>
      <c r="S988" s="552">
        <f t="shared" si="533"/>
        <v>0</v>
      </c>
      <c r="T988" s="552">
        <f t="shared" si="533"/>
        <v>0</v>
      </c>
      <c r="U988" s="552">
        <f t="shared" si="533"/>
        <v>0</v>
      </c>
      <c r="V988" s="552">
        <f t="shared" si="533"/>
        <v>0</v>
      </c>
      <c r="W988" s="552">
        <f t="shared" si="533"/>
        <v>0</v>
      </c>
      <c r="X988" s="552">
        <f t="shared" si="533"/>
        <v>0</v>
      </c>
      <c r="Y988" s="552">
        <f t="shared" si="533"/>
        <v>0</v>
      </c>
      <c r="Z988" s="552">
        <f t="shared" si="533"/>
        <v>0</v>
      </c>
      <c r="AA988" s="552">
        <f t="shared" si="533"/>
        <v>0</v>
      </c>
      <c r="AB988" s="552">
        <f t="shared" si="533"/>
        <v>0</v>
      </c>
      <c r="AC988" s="552">
        <f t="shared" si="533"/>
        <v>0</v>
      </c>
      <c r="AD988" s="552">
        <f t="shared" si="533"/>
        <v>0</v>
      </c>
      <c r="AE988" s="552">
        <f t="shared" si="533"/>
        <v>0</v>
      </c>
      <c r="AF988" s="552">
        <f t="shared" si="533"/>
        <v>0</v>
      </c>
      <c r="AG988" s="552">
        <f t="shared" si="533"/>
        <v>0</v>
      </c>
      <c r="AH988" s="552">
        <f t="shared" si="533"/>
        <v>0</v>
      </c>
      <c r="AI988" s="552">
        <f t="shared" si="533"/>
        <v>0</v>
      </c>
      <c r="AJ988" s="552">
        <f t="shared" si="533"/>
        <v>0</v>
      </c>
      <c r="AK988" s="552">
        <f t="shared" si="533"/>
        <v>0</v>
      </c>
      <c r="AL988" s="552">
        <f t="shared" si="533"/>
        <v>0</v>
      </c>
      <c r="AM988" s="552">
        <f t="shared" si="533"/>
        <v>0</v>
      </c>
      <c r="AN988" s="552">
        <f t="shared" si="533"/>
        <v>0</v>
      </c>
      <c r="AO988" s="552">
        <f t="shared" si="533"/>
        <v>0</v>
      </c>
      <c r="AP988" s="552">
        <f t="shared" ref="AP988:BU988" si="534">AP20*AP$338</f>
        <v>0</v>
      </c>
      <c r="AQ988" s="552">
        <f t="shared" si="534"/>
        <v>0</v>
      </c>
      <c r="AR988" s="552">
        <f t="shared" si="534"/>
        <v>0</v>
      </c>
      <c r="AS988" s="552">
        <f t="shared" si="534"/>
        <v>0</v>
      </c>
      <c r="AT988" s="552">
        <f t="shared" si="534"/>
        <v>0</v>
      </c>
      <c r="AU988" s="552">
        <f t="shared" si="534"/>
        <v>0</v>
      </c>
      <c r="AV988" s="552">
        <f t="shared" si="534"/>
        <v>0</v>
      </c>
      <c r="AW988" s="552">
        <f t="shared" si="534"/>
        <v>0</v>
      </c>
      <c r="AX988" s="552">
        <f t="shared" si="534"/>
        <v>0</v>
      </c>
      <c r="AY988" s="552">
        <f t="shared" si="534"/>
        <v>0</v>
      </c>
      <c r="AZ988" s="552">
        <f t="shared" si="534"/>
        <v>0</v>
      </c>
      <c r="BA988" s="552">
        <f t="shared" si="534"/>
        <v>0</v>
      </c>
      <c r="BB988" s="552">
        <f t="shared" si="534"/>
        <v>0</v>
      </c>
      <c r="BC988" s="552">
        <f t="shared" si="534"/>
        <v>0</v>
      </c>
      <c r="BD988" s="552">
        <f t="shared" si="534"/>
        <v>0</v>
      </c>
      <c r="BE988" s="552">
        <f t="shared" si="534"/>
        <v>0</v>
      </c>
      <c r="BF988" s="552">
        <f t="shared" si="534"/>
        <v>0</v>
      </c>
      <c r="BG988" s="552">
        <f t="shared" si="534"/>
        <v>0</v>
      </c>
      <c r="BH988" s="552">
        <f t="shared" si="534"/>
        <v>0</v>
      </c>
      <c r="BI988" s="552">
        <f t="shared" si="534"/>
        <v>0</v>
      </c>
      <c r="BJ988" s="552">
        <f t="shared" si="534"/>
        <v>0</v>
      </c>
      <c r="BK988" s="552">
        <f t="shared" si="534"/>
        <v>0</v>
      </c>
      <c r="BL988" s="552">
        <f t="shared" si="534"/>
        <v>0</v>
      </c>
      <c r="BM988" s="552">
        <f t="shared" si="534"/>
        <v>0</v>
      </c>
      <c r="BN988" s="552">
        <f t="shared" si="534"/>
        <v>0</v>
      </c>
      <c r="BO988" s="552">
        <f t="shared" si="534"/>
        <v>0</v>
      </c>
      <c r="BP988" s="552">
        <f t="shared" si="534"/>
        <v>0</v>
      </c>
      <c r="BQ988" s="552">
        <f t="shared" si="534"/>
        <v>0</v>
      </c>
      <c r="BR988" s="552">
        <f t="shared" si="534"/>
        <v>0</v>
      </c>
      <c r="BS988" s="552">
        <f t="shared" si="534"/>
        <v>0</v>
      </c>
      <c r="BT988" s="552">
        <f t="shared" si="534"/>
        <v>0</v>
      </c>
      <c r="BU988" s="552">
        <f t="shared" si="534"/>
        <v>0</v>
      </c>
      <c r="BV988" s="552">
        <f t="shared" ref="BV988:DA988" si="535">BV20*BV$338</f>
        <v>0</v>
      </c>
      <c r="BW988" s="552">
        <f t="shared" si="535"/>
        <v>0</v>
      </c>
      <c r="BX988" s="552">
        <f t="shared" si="535"/>
        <v>0</v>
      </c>
      <c r="BY988" s="552">
        <f t="shared" si="535"/>
        <v>0</v>
      </c>
      <c r="BZ988" s="552">
        <f t="shared" si="535"/>
        <v>0</v>
      </c>
      <c r="CA988" s="552">
        <f t="shared" si="535"/>
        <v>0</v>
      </c>
      <c r="CB988" s="552">
        <f t="shared" si="535"/>
        <v>0</v>
      </c>
      <c r="CC988" s="552">
        <f t="shared" si="535"/>
        <v>0</v>
      </c>
      <c r="CD988" s="552">
        <f t="shared" si="535"/>
        <v>0</v>
      </c>
      <c r="CE988" s="552">
        <f t="shared" si="535"/>
        <v>0</v>
      </c>
      <c r="CF988" s="552">
        <f t="shared" si="535"/>
        <v>0</v>
      </c>
      <c r="CG988" s="552">
        <f t="shared" si="535"/>
        <v>0</v>
      </c>
      <c r="CH988" s="552">
        <f t="shared" si="535"/>
        <v>0</v>
      </c>
      <c r="CI988" s="552">
        <f t="shared" si="535"/>
        <v>0</v>
      </c>
      <c r="CJ988" s="552">
        <f t="shared" si="535"/>
        <v>0</v>
      </c>
      <c r="CK988" s="552">
        <f t="shared" si="535"/>
        <v>0</v>
      </c>
      <c r="CL988" s="552">
        <f t="shared" si="535"/>
        <v>0</v>
      </c>
      <c r="CM988" s="552">
        <f t="shared" si="535"/>
        <v>0</v>
      </c>
      <c r="CN988" s="552">
        <f t="shared" si="535"/>
        <v>0</v>
      </c>
      <c r="CO988" s="552">
        <f t="shared" si="535"/>
        <v>0</v>
      </c>
      <c r="CP988" s="552">
        <f t="shared" si="535"/>
        <v>0</v>
      </c>
      <c r="CQ988" s="552">
        <f t="shared" si="535"/>
        <v>0</v>
      </c>
      <c r="CR988" s="552">
        <f t="shared" si="535"/>
        <v>0</v>
      </c>
      <c r="CS988" s="552">
        <f t="shared" si="535"/>
        <v>0</v>
      </c>
      <c r="CT988" s="552">
        <f t="shared" si="535"/>
        <v>0</v>
      </c>
      <c r="CU988" s="552">
        <f t="shared" si="535"/>
        <v>0</v>
      </c>
      <c r="CV988" s="552">
        <f t="shared" si="535"/>
        <v>0</v>
      </c>
      <c r="CW988" s="552">
        <f t="shared" si="535"/>
        <v>0</v>
      </c>
      <c r="CX988" s="552">
        <f t="shared" si="535"/>
        <v>0</v>
      </c>
      <c r="CY988" s="552">
        <f t="shared" si="535"/>
        <v>0</v>
      </c>
      <c r="CZ988" s="552">
        <f t="shared" si="535"/>
        <v>0</v>
      </c>
      <c r="DA988" s="552">
        <f t="shared" si="535"/>
        <v>0</v>
      </c>
      <c r="DB988" s="552">
        <f t="shared" ref="DB988:EG988" si="536">DB20*DB$338</f>
        <v>0</v>
      </c>
      <c r="DC988" s="552">
        <f t="shared" si="536"/>
        <v>0</v>
      </c>
      <c r="DD988" s="552">
        <f t="shared" si="536"/>
        <v>0</v>
      </c>
      <c r="DE988" s="552">
        <f t="shared" si="536"/>
        <v>0</v>
      </c>
      <c r="DF988" s="552">
        <f t="shared" si="536"/>
        <v>0</v>
      </c>
      <c r="DG988" s="552">
        <f t="shared" si="536"/>
        <v>0</v>
      </c>
      <c r="DH988" s="552">
        <f t="shared" si="536"/>
        <v>0</v>
      </c>
      <c r="DI988" s="552">
        <f t="shared" si="536"/>
        <v>0</v>
      </c>
      <c r="DJ988" s="552">
        <f t="shared" si="536"/>
        <v>0</v>
      </c>
      <c r="DK988" s="552">
        <f t="shared" si="536"/>
        <v>0</v>
      </c>
      <c r="DL988" s="552">
        <f t="shared" si="536"/>
        <v>0</v>
      </c>
      <c r="DM988" s="552">
        <f t="shared" si="536"/>
        <v>0</v>
      </c>
      <c r="DN988" s="552">
        <f t="shared" si="536"/>
        <v>0</v>
      </c>
      <c r="DO988" s="552">
        <f t="shared" si="536"/>
        <v>0</v>
      </c>
      <c r="DP988" s="552">
        <f t="shared" si="536"/>
        <v>0</v>
      </c>
      <c r="DQ988" s="552">
        <f t="shared" si="536"/>
        <v>0</v>
      </c>
      <c r="DR988" s="552">
        <f t="shared" si="536"/>
        <v>0</v>
      </c>
      <c r="DS988" s="552">
        <f t="shared" si="536"/>
        <v>0</v>
      </c>
      <c r="DT988" s="552">
        <f t="shared" si="536"/>
        <v>0</v>
      </c>
      <c r="DU988" s="552">
        <f t="shared" si="536"/>
        <v>0</v>
      </c>
      <c r="DV988" s="552">
        <f t="shared" si="536"/>
        <v>0</v>
      </c>
      <c r="DW988" s="552">
        <f t="shared" si="536"/>
        <v>0</v>
      </c>
      <c r="DX988" s="552">
        <f t="shared" si="536"/>
        <v>0</v>
      </c>
      <c r="DY988" s="552">
        <f t="shared" si="536"/>
        <v>0</v>
      </c>
      <c r="DZ988" s="552">
        <f t="shared" si="536"/>
        <v>0</v>
      </c>
      <c r="EA988" s="552">
        <f t="shared" si="536"/>
        <v>0</v>
      </c>
      <c r="EB988" s="552">
        <f t="shared" si="536"/>
        <v>0</v>
      </c>
      <c r="EC988" s="552">
        <f t="shared" si="536"/>
        <v>0</v>
      </c>
      <c r="ED988" s="552">
        <f t="shared" si="536"/>
        <v>0</v>
      </c>
      <c r="EE988" s="552">
        <f t="shared" si="536"/>
        <v>0</v>
      </c>
      <c r="EF988" s="552">
        <f t="shared" si="536"/>
        <v>0</v>
      </c>
      <c r="EG988" s="552">
        <f t="shared" si="536"/>
        <v>0</v>
      </c>
      <c r="EH988" s="552">
        <f t="shared" ref="EH988:EX988" si="537">EH20*EH$338</f>
        <v>0</v>
      </c>
      <c r="EI988" s="552">
        <f t="shared" si="537"/>
        <v>0</v>
      </c>
      <c r="EJ988" s="552">
        <f t="shared" si="537"/>
        <v>0</v>
      </c>
      <c r="EK988" s="552">
        <f t="shared" si="537"/>
        <v>0</v>
      </c>
      <c r="EL988" s="552">
        <f t="shared" si="537"/>
        <v>0</v>
      </c>
      <c r="EM988" s="552">
        <f t="shared" si="537"/>
        <v>0</v>
      </c>
      <c r="EN988" s="552">
        <f t="shared" si="537"/>
        <v>0</v>
      </c>
      <c r="EO988" s="552">
        <f t="shared" si="537"/>
        <v>0</v>
      </c>
      <c r="EP988" s="552">
        <f t="shared" si="537"/>
        <v>0</v>
      </c>
      <c r="EQ988" s="552">
        <f t="shared" si="537"/>
        <v>0</v>
      </c>
      <c r="ER988" s="552">
        <f t="shared" si="537"/>
        <v>0</v>
      </c>
      <c r="ES988" s="552">
        <f t="shared" si="537"/>
        <v>0</v>
      </c>
      <c r="ET988" s="552">
        <f t="shared" si="537"/>
        <v>0</v>
      </c>
      <c r="EU988" s="552">
        <f t="shared" si="537"/>
        <v>0</v>
      </c>
      <c r="EV988" s="552">
        <f t="shared" si="537"/>
        <v>1.95</v>
      </c>
      <c r="EW988" s="552">
        <f t="shared" si="537"/>
        <v>0</v>
      </c>
      <c r="EX988" s="552">
        <f t="shared" si="537"/>
        <v>0</v>
      </c>
      <c r="EY988" s="799">
        <f t="shared" si="527"/>
        <v>1.95</v>
      </c>
      <c r="EZ988" s="561"/>
      <c r="FA988" s="561"/>
      <c r="FB988" s="561"/>
      <c r="FC988" s="561"/>
      <c r="FD988" s="561"/>
      <c r="FE988" s="561"/>
      <c r="FF988" s="561"/>
      <c r="FG988" s="561"/>
      <c r="FH988" s="561"/>
      <c r="FI988" s="561"/>
      <c r="FJ988" s="561"/>
      <c r="FK988" s="561"/>
      <c r="FL988" s="561"/>
    </row>
    <row r="989" spans="1:168" s="551" customFormat="1" x14ac:dyDescent="0.25">
      <c r="A989" s="1492"/>
      <c r="B989" s="1064" t="str">
        <f t="shared" si="515"/>
        <v>Хлеб пшенично-ржаной нарезной</v>
      </c>
      <c r="C989" s="1064">
        <f t="shared" si="515"/>
        <v>20</v>
      </c>
      <c r="D989" s="1064">
        <f t="shared" si="515"/>
        <v>1.5</v>
      </c>
      <c r="E989" s="1158">
        <f t="shared" si="521"/>
        <v>1.3</v>
      </c>
      <c r="F989" s="1276"/>
      <c r="G989" s="1276"/>
      <c r="H989" s="1276"/>
      <c r="I989" s="1276"/>
      <c r="J989" s="552">
        <f t="shared" ref="J989:AO989" si="538">J21*J$338</f>
        <v>0</v>
      </c>
      <c r="K989" s="552">
        <f t="shared" si="538"/>
        <v>0</v>
      </c>
      <c r="L989" s="552">
        <f t="shared" si="538"/>
        <v>0</v>
      </c>
      <c r="M989" s="552">
        <f t="shared" si="538"/>
        <v>0</v>
      </c>
      <c r="N989" s="552">
        <f t="shared" si="538"/>
        <v>0</v>
      </c>
      <c r="O989" s="552">
        <f t="shared" si="538"/>
        <v>0</v>
      </c>
      <c r="P989" s="552">
        <f t="shared" si="538"/>
        <v>0</v>
      </c>
      <c r="Q989" s="552">
        <f t="shared" si="538"/>
        <v>0</v>
      </c>
      <c r="R989" s="552">
        <f t="shared" si="538"/>
        <v>0</v>
      </c>
      <c r="S989" s="552">
        <f t="shared" si="538"/>
        <v>0</v>
      </c>
      <c r="T989" s="552">
        <f t="shared" si="538"/>
        <v>0</v>
      </c>
      <c r="U989" s="552">
        <f t="shared" si="538"/>
        <v>0</v>
      </c>
      <c r="V989" s="552">
        <f t="shared" si="538"/>
        <v>0</v>
      </c>
      <c r="W989" s="552">
        <f t="shared" si="538"/>
        <v>0</v>
      </c>
      <c r="X989" s="552">
        <f t="shared" si="538"/>
        <v>0</v>
      </c>
      <c r="Y989" s="552">
        <f t="shared" si="538"/>
        <v>0</v>
      </c>
      <c r="Z989" s="552">
        <f t="shared" si="538"/>
        <v>0</v>
      </c>
      <c r="AA989" s="552">
        <f t="shared" si="538"/>
        <v>0</v>
      </c>
      <c r="AB989" s="552">
        <f t="shared" si="538"/>
        <v>0</v>
      </c>
      <c r="AC989" s="552">
        <f t="shared" si="538"/>
        <v>0</v>
      </c>
      <c r="AD989" s="552">
        <f t="shared" si="538"/>
        <v>0</v>
      </c>
      <c r="AE989" s="552">
        <f t="shared" si="538"/>
        <v>0</v>
      </c>
      <c r="AF989" s="552">
        <f t="shared" si="538"/>
        <v>0</v>
      </c>
      <c r="AG989" s="552">
        <f t="shared" si="538"/>
        <v>0</v>
      </c>
      <c r="AH989" s="552">
        <f t="shared" si="538"/>
        <v>0</v>
      </c>
      <c r="AI989" s="552">
        <f t="shared" si="538"/>
        <v>0</v>
      </c>
      <c r="AJ989" s="552">
        <f t="shared" si="538"/>
        <v>0</v>
      </c>
      <c r="AK989" s="552">
        <f t="shared" si="538"/>
        <v>0</v>
      </c>
      <c r="AL989" s="552">
        <f t="shared" si="538"/>
        <v>0</v>
      </c>
      <c r="AM989" s="552">
        <f t="shared" si="538"/>
        <v>0</v>
      </c>
      <c r="AN989" s="552">
        <f t="shared" si="538"/>
        <v>0</v>
      </c>
      <c r="AO989" s="552">
        <f t="shared" si="538"/>
        <v>0</v>
      </c>
      <c r="AP989" s="552">
        <f t="shared" ref="AP989:BU989" si="539">AP21*AP$338</f>
        <v>0</v>
      </c>
      <c r="AQ989" s="552">
        <f t="shared" si="539"/>
        <v>0</v>
      </c>
      <c r="AR989" s="552">
        <f t="shared" si="539"/>
        <v>0</v>
      </c>
      <c r="AS989" s="552">
        <f t="shared" si="539"/>
        <v>0</v>
      </c>
      <c r="AT989" s="552">
        <f t="shared" si="539"/>
        <v>0</v>
      </c>
      <c r="AU989" s="552">
        <f t="shared" si="539"/>
        <v>0</v>
      </c>
      <c r="AV989" s="552">
        <f t="shared" si="539"/>
        <v>0</v>
      </c>
      <c r="AW989" s="552">
        <f t="shared" si="539"/>
        <v>0</v>
      </c>
      <c r="AX989" s="552">
        <f t="shared" si="539"/>
        <v>0</v>
      </c>
      <c r="AY989" s="552">
        <f t="shared" si="539"/>
        <v>0</v>
      </c>
      <c r="AZ989" s="552">
        <f t="shared" si="539"/>
        <v>0</v>
      </c>
      <c r="BA989" s="552">
        <f t="shared" si="539"/>
        <v>0</v>
      </c>
      <c r="BB989" s="552">
        <f t="shared" si="539"/>
        <v>0</v>
      </c>
      <c r="BC989" s="552">
        <f t="shared" si="539"/>
        <v>0</v>
      </c>
      <c r="BD989" s="552">
        <f t="shared" si="539"/>
        <v>0</v>
      </c>
      <c r="BE989" s="552">
        <f t="shared" si="539"/>
        <v>0</v>
      </c>
      <c r="BF989" s="552">
        <f t="shared" si="539"/>
        <v>0</v>
      </c>
      <c r="BG989" s="552">
        <f t="shared" si="539"/>
        <v>0</v>
      </c>
      <c r="BH989" s="552">
        <f t="shared" si="539"/>
        <v>0</v>
      </c>
      <c r="BI989" s="552">
        <f t="shared" si="539"/>
        <v>0</v>
      </c>
      <c r="BJ989" s="552">
        <f t="shared" si="539"/>
        <v>0</v>
      </c>
      <c r="BK989" s="552">
        <f t="shared" si="539"/>
        <v>0</v>
      </c>
      <c r="BL989" s="552">
        <f t="shared" si="539"/>
        <v>0</v>
      </c>
      <c r="BM989" s="552">
        <f t="shared" si="539"/>
        <v>0</v>
      </c>
      <c r="BN989" s="552">
        <f t="shared" si="539"/>
        <v>0</v>
      </c>
      <c r="BO989" s="552">
        <f t="shared" si="539"/>
        <v>0</v>
      </c>
      <c r="BP989" s="552">
        <f t="shared" si="539"/>
        <v>0</v>
      </c>
      <c r="BQ989" s="552">
        <f t="shared" si="539"/>
        <v>0</v>
      </c>
      <c r="BR989" s="552">
        <f t="shared" si="539"/>
        <v>0</v>
      </c>
      <c r="BS989" s="552">
        <f t="shared" si="539"/>
        <v>0</v>
      </c>
      <c r="BT989" s="552">
        <f t="shared" si="539"/>
        <v>0</v>
      </c>
      <c r="BU989" s="552">
        <f t="shared" si="539"/>
        <v>0</v>
      </c>
      <c r="BV989" s="552">
        <f t="shared" ref="BV989:DA989" si="540">BV21*BV$338</f>
        <v>0</v>
      </c>
      <c r="BW989" s="552">
        <f t="shared" si="540"/>
        <v>0</v>
      </c>
      <c r="BX989" s="552">
        <f t="shared" si="540"/>
        <v>0</v>
      </c>
      <c r="BY989" s="552">
        <f t="shared" si="540"/>
        <v>0</v>
      </c>
      <c r="BZ989" s="552">
        <f t="shared" si="540"/>
        <v>0</v>
      </c>
      <c r="CA989" s="552">
        <f t="shared" si="540"/>
        <v>0</v>
      </c>
      <c r="CB989" s="552">
        <f t="shared" si="540"/>
        <v>0</v>
      </c>
      <c r="CC989" s="552">
        <f t="shared" si="540"/>
        <v>0</v>
      </c>
      <c r="CD989" s="552">
        <f t="shared" si="540"/>
        <v>0</v>
      </c>
      <c r="CE989" s="552">
        <f t="shared" si="540"/>
        <v>0</v>
      </c>
      <c r="CF989" s="552">
        <f t="shared" si="540"/>
        <v>0</v>
      </c>
      <c r="CG989" s="552">
        <f t="shared" si="540"/>
        <v>0</v>
      </c>
      <c r="CH989" s="552">
        <f t="shared" si="540"/>
        <v>0</v>
      </c>
      <c r="CI989" s="552">
        <f t="shared" si="540"/>
        <v>0</v>
      </c>
      <c r="CJ989" s="552">
        <f t="shared" si="540"/>
        <v>0</v>
      </c>
      <c r="CK989" s="552">
        <f t="shared" si="540"/>
        <v>0</v>
      </c>
      <c r="CL989" s="552">
        <f t="shared" si="540"/>
        <v>0</v>
      </c>
      <c r="CM989" s="552">
        <f t="shared" si="540"/>
        <v>0</v>
      </c>
      <c r="CN989" s="552">
        <f t="shared" si="540"/>
        <v>0</v>
      </c>
      <c r="CO989" s="552">
        <f t="shared" si="540"/>
        <v>0</v>
      </c>
      <c r="CP989" s="552">
        <f t="shared" si="540"/>
        <v>0</v>
      </c>
      <c r="CQ989" s="552">
        <f t="shared" si="540"/>
        <v>0</v>
      </c>
      <c r="CR989" s="552">
        <f t="shared" si="540"/>
        <v>0</v>
      </c>
      <c r="CS989" s="552">
        <f t="shared" si="540"/>
        <v>0</v>
      </c>
      <c r="CT989" s="552">
        <f t="shared" si="540"/>
        <v>0</v>
      </c>
      <c r="CU989" s="552">
        <f t="shared" si="540"/>
        <v>0</v>
      </c>
      <c r="CV989" s="552">
        <f t="shared" si="540"/>
        <v>0</v>
      </c>
      <c r="CW989" s="552">
        <f t="shared" si="540"/>
        <v>0</v>
      </c>
      <c r="CX989" s="552">
        <f t="shared" si="540"/>
        <v>0</v>
      </c>
      <c r="CY989" s="552">
        <f t="shared" si="540"/>
        <v>0</v>
      </c>
      <c r="CZ989" s="552">
        <f t="shared" si="540"/>
        <v>0</v>
      </c>
      <c r="DA989" s="552">
        <f t="shared" si="540"/>
        <v>0</v>
      </c>
      <c r="DB989" s="552">
        <f t="shared" ref="DB989:EG989" si="541">DB21*DB$338</f>
        <v>0</v>
      </c>
      <c r="DC989" s="552">
        <f t="shared" si="541"/>
        <v>0</v>
      </c>
      <c r="DD989" s="552">
        <f t="shared" si="541"/>
        <v>0</v>
      </c>
      <c r="DE989" s="552">
        <f t="shared" si="541"/>
        <v>0</v>
      </c>
      <c r="DF989" s="552">
        <f t="shared" si="541"/>
        <v>0</v>
      </c>
      <c r="DG989" s="552">
        <f t="shared" si="541"/>
        <v>0</v>
      </c>
      <c r="DH989" s="552">
        <f t="shared" si="541"/>
        <v>0</v>
      </c>
      <c r="DI989" s="552">
        <f t="shared" si="541"/>
        <v>0</v>
      </c>
      <c r="DJ989" s="552">
        <f t="shared" si="541"/>
        <v>0</v>
      </c>
      <c r="DK989" s="552">
        <f t="shared" si="541"/>
        <v>0</v>
      </c>
      <c r="DL989" s="552">
        <f t="shared" si="541"/>
        <v>0</v>
      </c>
      <c r="DM989" s="552">
        <f t="shared" si="541"/>
        <v>0</v>
      </c>
      <c r="DN989" s="552">
        <f t="shared" si="541"/>
        <v>0</v>
      </c>
      <c r="DO989" s="552">
        <f t="shared" si="541"/>
        <v>0</v>
      </c>
      <c r="DP989" s="552">
        <f t="shared" si="541"/>
        <v>0</v>
      </c>
      <c r="DQ989" s="552">
        <f t="shared" si="541"/>
        <v>0</v>
      </c>
      <c r="DR989" s="552">
        <f t="shared" si="541"/>
        <v>0</v>
      </c>
      <c r="DS989" s="552">
        <f t="shared" si="541"/>
        <v>0</v>
      </c>
      <c r="DT989" s="552">
        <f t="shared" si="541"/>
        <v>0</v>
      </c>
      <c r="DU989" s="552">
        <f t="shared" si="541"/>
        <v>0</v>
      </c>
      <c r="DV989" s="552">
        <f t="shared" si="541"/>
        <v>0</v>
      </c>
      <c r="DW989" s="552">
        <f t="shared" si="541"/>
        <v>0</v>
      </c>
      <c r="DX989" s="552">
        <f t="shared" si="541"/>
        <v>0</v>
      </c>
      <c r="DY989" s="552">
        <f t="shared" si="541"/>
        <v>0</v>
      </c>
      <c r="DZ989" s="552">
        <f t="shared" si="541"/>
        <v>0</v>
      </c>
      <c r="EA989" s="552">
        <f t="shared" si="541"/>
        <v>0</v>
      </c>
      <c r="EB989" s="552">
        <f t="shared" si="541"/>
        <v>0</v>
      </c>
      <c r="EC989" s="552">
        <f t="shared" si="541"/>
        <v>0</v>
      </c>
      <c r="ED989" s="552">
        <f t="shared" si="541"/>
        <v>0</v>
      </c>
      <c r="EE989" s="552">
        <f t="shared" si="541"/>
        <v>0</v>
      </c>
      <c r="EF989" s="552">
        <f t="shared" si="541"/>
        <v>0</v>
      </c>
      <c r="EG989" s="552">
        <f t="shared" si="541"/>
        <v>0</v>
      </c>
      <c r="EH989" s="552">
        <f t="shared" ref="EH989:EX989" si="542">EH21*EH$338</f>
        <v>0</v>
      </c>
      <c r="EI989" s="552">
        <f t="shared" si="542"/>
        <v>0</v>
      </c>
      <c r="EJ989" s="552">
        <f t="shared" si="542"/>
        <v>0</v>
      </c>
      <c r="EK989" s="552">
        <f t="shared" si="542"/>
        <v>0</v>
      </c>
      <c r="EL989" s="552">
        <f t="shared" si="542"/>
        <v>0</v>
      </c>
      <c r="EM989" s="552">
        <f t="shared" si="542"/>
        <v>0</v>
      </c>
      <c r="EN989" s="552">
        <f t="shared" si="542"/>
        <v>0</v>
      </c>
      <c r="EO989" s="552">
        <f t="shared" si="542"/>
        <v>0</v>
      </c>
      <c r="EP989" s="552">
        <f t="shared" si="542"/>
        <v>0</v>
      </c>
      <c r="EQ989" s="552">
        <f t="shared" si="542"/>
        <v>0</v>
      </c>
      <c r="ER989" s="552">
        <f t="shared" si="542"/>
        <v>0</v>
      </c>
      <c r="ES989" s="552">
        <f t="shared" si="542"/>
        <v>0</v>
      </c>
      <c r="ET989" s="552">
        <f t="shared" si="542"/>
        <v>0</v>
      </c>
      <c r="EU989" s="552">
        <f t="shared" si="542"/>
        <v>0</v>
      </c>
      <c r="EV989" s="552">
        <f t="shared" si="542"/>
        <v>0</v>
      </c>
      <c r="EW989" s="552">
        <f t="shared" si="542"/>
        <v>1.3</v>
      </c>
      <c r="EX989" s="552">
        <f t="shared" si="542"/>
        <v>0</v>
      </c>
      <c r="EY989" s="799">
        <f t="shared" si="527"/>
        <v>1.3</v>
      </c>
      <c r="EZ989" s="561"/>
      <c r="FA989" s="561"/>
      <c r="FB989" s="561"/>
      <c r="FC989" s="561"/>
      <c r="FD989" s="561"/>
      <c r="FE989" s="561"/>
      <c r="FF989" s="561"/>
      <c r="FG989" s="561"/>
      <c r="FH989" s="561"/>
      <c r="FI989" s="561"/>
      <c r="FJ989" s="561"/>
      <c r="FK989" s="561"/>
      <c r="FL989" s="561"/>
    </row>
    <row r="990" spans="1:168" s="551" customFormat="1" x14ac:dyDescent="0.25">
      <c r="A990" s="1493"/>
      <c r="B990" s="1064" t="str">
        <f t="shared" si="515"/>
        <v>Яблоки свежие</v>
      </c>
      <c r="C990" s="1064">
        <f t="shared" si="515"/>
        <v>200</v>
      </c>
      <c r="D990" s="1064">
        <f t="shared" si="515"/>
        <v>0.8</v>
      </c>
      <c r="E990" s="1158">
        <f t="shared" si="521"/>
        <v>18.2</v>
      </c>
      <c r="F990" s="1276"/>
      <c r="G990" s="1276"/>
      <c r="H990" s="1276"/>
      <c r="I990" s="1276"/>
      <c r="J990" s="552">
        <f t="shared" ref="J990:AO990" si="543">J22*J$338</f>
        <v>0</v>
      </c>
      <c r="K990" s="552">
        <f t="shared" si="543"/>
        <v>0</v>
      </c>
      <c r="L990" s="552">
        <f t="shared" si="543"/>
        <v>0</v>
      </c>
      <c r="M990" s="552">
        <f t="shared" si="543"/>
        <v>0</v>
      </c>
      <c r="N990" s="552">
        <f t="shared" si="543"/>
        <v>0</v>
      </c>
      <c r="O990" s="552">
        <f t="shared" si="543"/>
        <v>0</v>
      </c>
      <c r="P990" s="552">
        <f t="shared" si="543"/>
        <v>0</v>
      </c>
      <c r="Q990" s="552">
        <f t="shared" si="543"/>
        <v>0</v>
      </c>
      <c r="R990" s="552">
        <f t="shared" si="543"/>
        <v>0</v>
      </c>
      <c r="S990" s="552">
        <f t="shared" si="543"/>
        <v>0</v>
      </c>
      <c r="T990" s="552">
        <f t="shared" si="543"/>
        <v>0</v>
      </c>
      <c r="U990" s="552">
        <f t="shared" si="543"/>
        <v>0</v>
      </c>
      <c r="V990" s="552">
        <f t="shared" si="543"/>
        <v>0</v>
      </c>
      <c r="W990" s="552">
        <f t="shared" si="543"/>
        <v>0</v>
      </c>
      <c r="X990" s="552">
        <f t="shared" si="543"/>
        <v>0</v>
      </c>
      <c r="Y990" s="552">
        <f t="shared" si="543"/>
        <v>0</v>
      </c>
      <c r="Z990" s="552">
        <f t="shared" si="543"/>
        <v>0</v>
      </c>
      <c r="AA990" s="552">
        <f t="shared" si="543"/>
        <v>0</v>
      </c>
      <c r="AB990" s="552">
        <f t="shared" si="543"/>
        <v>0</v>
      </c>
      <c r="AC990" s="552">
        <f t="shared" si="543"/>
        <v>0</v>
      </c>
      <c r="AD990" s="552">
        <f t="shared" si="543"/>
        <v>0</v>
      </c>
      <c r="AE990" s="552">
        <f t="shared" si="543"/>
        <v>0</v>
      </c>
      <c r="AF990" s="552">
        <f t="shared" si="543"/>
        <v>0</v>
      </c>
      <c r="AG990" s="552">
        <f t="shared" si="543"/>
        <v>0</v>
      </c>
      <c r="AH990" s="552">
        <f t="shared" si="543"/>
        <v>0</v>
      </c>
      <c r="AI990" s="552">
        <f t="shared" si="543"/>
        <v>0</v>
      </c>
      <c r="AJ990" s="552">
        <f t="shared" si="543"/>
        <v>0</v>
      </c>
      <c r="AK990" s="552">
        <f t="shared" si="543"/>
        <v>0</v>
      </c>
      <c r="AL990" s="552">
        <f t="shared" si="543"/>
        <v>0</v>
      </c>
      <c r="AM990" s="552">
        <f t="shared" si="543"/>
        <v>0</v>
      </c>
      <c r="AN990" s="552">
        <f t="shared" si="543"/>
        <v>0</v>
      </c>
      <c r="AO990" s="552">
        <f t="shared" si="543"/>
        <v>0</v>
      </c>
      <c r="AP990" s="552">
        <f t="shared" ref="AP990:BU990" si="544">AP22*AP$338</f>
        <v>0</v>
      </c>
      <c r="AQ990" s="552">
        <f t="shared" si="544"/>
        <v>0</v>
      </c>
      <c r="AR990" s="552">
        <f t="shared" si="544"/>
        <v>0</v>
      </c>
      <c r="AS990" s="552">
        <f t="shared" si="544"/>
        <v>0</v>
      </c>
      <c r="AT990" s="552">
        <f t="shared" si="544"/>
        <v>0</v>
      </c>
      <c r="AU990" s="552">
        <f t="shared" si="544"/>
        <v>0</v>
      </c>
      <c r="AV990" s="552">
        <f t="shared" si="544"/>
        <v>0</v>
      </c>
      <c r="AW990" s="552">
        <f t="shared" si="544"/>
        <v>0</v>
      </c>
      <c r="AX990" s="552">
        <f t="shared" si="544"/>
        <v>0</v>
      </c>
      <c r="AY990" s="552">
        <f t="shared" si="544"/>
        <v>0</v>
      </c>
      <c r="AZ990" s="552">
        <f t="shared" si="544"/>
        <v>0</v>
      </c>
      <c r="BA990" s="552">
        <f t="shared" si="544"/>
        <v>0</v>
      </c>
      <c r="BB990" s="552">
        <f t="shared" si="544"/>
        <v>0</v>
      </c>
      <c r="BC990" s="552">
        <f t="shared" si="544"/>
        <v>0</v>
      </c>
      <c r="BD990" s="552">
        <f t="shared" si="544"/>
        <v>0</v>
      </c>
      <c r="BE990" s="552">
        <f t="shared" si="544"/>
        <v>0</v>
      </c>
      <c r="BF990" s="552">
        <f t="shared" si="544"/>
        <v>0</v>
      </c>
      <c r="BG990" s="552">
        <f t="shared" si="544"/>
        <v>0</v>
      </c>
      <c r="BH990" s="552">
        <f t="shared" si="544"/>
        <v>0</v>
      </c>
      <c r="BI990" s="552">
        <f t="shared" si="544"/>
        <v>0</v>
      </c>
      <c r="BJ990" s="552">
        <f t="shared" si="544"/>
        <v>0</v>
      </c>
      <c r="BK990" s="552">
        <f t="shared" si="544"/>
        <v>0</v>
      </c>
      <c r="BL990" s="552">
        <f t="shared" si="544"/>
        <v>0</v>
      </c>
      <c r="BM990" s="552">
        <f t="shared" si="544"/>
        <v>0</v>
      </c>
      <c r="BN990" s="552">
        <f t="shared" si="544"/>
        <v>0</v>
      </c>
      <c r="BO990" s="552">
        <f t="shared" si="544"/>
        <v>0</v>
      </c>
      <c r="BP990" s="552">
        <f t="shared" si="544"/>
        <v>0</v>
      </c>
      <c r="BQ990" s="552">
        <f t="shared" si="544"/>
        <v>0</v>
      </c>
      <c r="BR990" s="552">
        <f t="shared" si="544"/>
        <v>18.2</v>
      </c>
      <c r="BS990" s="552">
        <f t="shared" si="544"/>
        <v>0</v>
      </c>
      <c r="BT990" s="552">
        <f t="shared" si="544"/>
        <v>0</v>
      </c>
      <c r="BU990" s="552">
        <f t="shared" si="544"/>
        <v>0</v>
      </c>
      <c r="BV990" s="552">
        <f t="shared" ref="BV990:DA990" si="545">BV22*BV$338</f>
        <v>0</v>
      </c>
      <c r="BW990" s="552">
        <f t="shared" si="545"/>
        <v>0</v>
      </c>
      <c r="BX990" s="552">
        <f t="shared" si="545"/>
        <v>0</v>
      </c>
      <c r="BY990" s="552">
        <f t="shared" si="545"/>
        <v>0</v>
      </c>
      <c r="BZ990" s="552">
        <f t="shared" si="545"/>
        <v>0</v>
      </c>
      <c r="CA990" s="552">
        <f t="shared" si="545"/>
        <v>0</v>
      </c>
      <c r="CB990" s="552">
        <f t="shared" si="545"/>
        <v>0</v>
      </c>
      <c r="CC990" s="552">
        <f t="shared" si="545"/>
        <v>0</v>
      </c>
      <c r="CD990" s="552">
        <f t="shared" si="545"/>
        <v>0</v>
      </c>
      <c r="CE990" s="552">
        <f t="shared" si="545"/>
        <v>0</v>
      </c>
      <c r="CF990" s="552">
        <f t="shared" si="545"/>
        <v>0</v>
      </c>
      <c r="CG990" s="552">
        <f t="shared" si="545"/>
        <v>0</v>
      </c>
      <c r="CH990" s="552">
        <f t="shared" si="545"/>
        <v>0</v>
      </c>
      <c r="CI990" s="552">
        <f t="shared" si="545"/>
        <v>0</v>
      </c>
      <c r="CJ990" s="552">
        <f t="shared" si="545"/>
        <v>0</v>
      </c>
      <c r="CK990" s="552">
        <f t="shared" si="545"/>
        <v>0</v>
      </c>
      <c r="CL990" s="552">
        <f t="shared" si="545"/>
        <v>0</v>
      </c>
      <c r="CM990" s="552">
        <f t="shared" si="545"/>
        <v>0</v>
      </c>
      <c r="CN990" s="552">
        <f t="shared" si="545"/>
        <v>0</v>
      </c>
      <c r="CO990" s="552">
        <f t="shared" si="545"/>
        <v>0</v>
      </c>
      <c r="CP990" s="552">
        <f t="shared" si="545"/>
        <v>0</v>
      </c>
      <c r="CQ990" s="552">
        <f t="shared" si="545"/>
        <v>0</v>
      </c>
      <c r="CR990" s="552">
        <f t="shared" si="545"/>
        <v>0</v>
      </c>
      <c r="CS990" s="552">
        <f t="shared" si="545"/>
        <v>0</v>
      </c>
      <c r="CT990" s="552">
        <f t="shared" si="545"/>
        <v>0</v>
      </c>
      <c r="CU990" s="552">
        <f t="shared" si="545"/>
        <v>0</v>
      </c>
      <c r="CV990" s="552">
        <f t="shared" si="545"/>
        <v>0</v>
      </c>
      <c r="CW990" s="552">
        <f t="shared" si="545"/>
        <v>0</v>
      </c>
      <c r="CX990" s="552">
        <f t="shared" si="545"/>
        <v>0</v>
      </c>
      <c r="CY990" s="552">
        <f t="shared" si="545"/>
        <v>0</v>
      </c>
      <c r="CZ990" s="552">
        <f t="shared" si="545"/>
        <v>0</v>
      </c>
      <c r="DA990" s="552">
        <f t="shared" si="545"/>
        <v>0</v>
      </c>
      <c r="DB990" s="552">
        <f t="shared" ref="DB990:EG990" si="546">DB22*DB$338</f>
        <v>0</v>
      </c>
      <c r="DC990" s="552">
        <f t="shared" si="546"/>
        <v>0</v>
      </c>
      <c r="DD990" s="552">
        <f t="shared" si="546"/>
        <v>0</v>
      </c>
      <c r="DE990" s="552">
        <f t="shared" si="546"/>
        <v>0</v>
      </c>
      <c r="DF990" s="552">
        <f t="shared" si="546"/>
        <v>0</v>
      </c>
      <c r="DG990" s="552">
        <f t="shared" si="546"/>
        <v>0</v>
      </c>
      <c r="DH990" s="552">
        <f t="shared" si="546"/>
        <v>0</v>
      </c>
      <c r="DI990" s="552">
        <f t="shared" si="546"/>
        <v>0</v>
      </c>
      <c r="DJ990" s="552">
        <f t="shared" si="546"/>
        <v>0</v>
      </c>
      <c r="DK990" s="552">
        <f t="shared" si="546"/>
        <v>0</v>
      </c>
      <c r="DL990" s="552">
        <f t="shared" si="546"/>
        <v>0</v>
      </c>
      <c r="DM990" s="552">
        <f t="shared" si="546"/>
        <v>0</v>
      </c>
      <c r="DN990" s="552">
        <f t="shared" si="546"/>
        <v>0</v>
      </c>
      <c r="DO990" s="552">
        <f t="shared" si="546"/>
        <v>0</v>
      </c>
      <c r="DP990" s="552">
        <f t="shared" si="546"/>
        <v>0</v>
      </c>
      <c r="DQ990" s="552">
        <f t="shared" si="546"/>
        <v>0</v>
      </c>
      <c r="DR990" s="552">
        <f t="shared" si="546"/>
        <v>0</v>
      </c>
      <c r="DS990" s="552">
        <f t="shared" si="546"/>
        <v>0</v>
      </c>
      <c r="DT990" s="552">
        <f t="shared" si="546"/>
        <v>0</v>
      </c>
      <c r="DU990" s="552">
        <f t="shared" si="546"/>
        <v>0</v>
      </c>
      <c r="DV990" s="552">
        <f t="shared" si="546"/>
        <v>0</v>
      </c>
      <c r="DW990" s="552">
        <f t="shared" si="546"/>
        <v>0</v>
      </c>
      <c r="DX990" s="552">
        <f t="shared" si="546"/>
        <v>0</v>
      </c>
      <c r="DY990" s="552">
        <f t="shared" si="546"/>
        <v>0</v>
      </c>
      <c r="DZ990" s="552">
        <f t="shared" si="546"/>
        <v>0</v>
      </c>
      <c r="EA990" s="552">
        <f t="shared" si="546"/>
        <v>0</v>
      </c>
      <c r="EB990" s="552">
        <f t="shared" si="546"/>
        <v>0</v>
      </c>
      <c r="EC990" s="552">
        <f t="shared" si="546"/>
        <v>0</v>
      </c>
      <c r="ED990" s="552">
        <f t="shared" si="546"/>
        <v>0</v>
      </c>
      <c r="EE990" s="552">
        <f t="shared" si="546"/>
        <v>0</v>
      </c>
      <c r="EF990" s="552">
        <f t="shared" si="546"/>
        <v>0</v>
      </c>
      <c r="EG990" s="552">
        <f t="shared" si="546"/>
        <v>0</v>
      </c>
      <c r="EH990" s="552">
        <f t="shared" ref="EH990:EX990" si="547">EH22*EH$338</f>
        <v>0</v>
      </c>
      <c r="EI990" s="552">
        <f t="shared" si="547"/>
        <v>0</v>
      </c>
      <c r="EJ990" s="552">
        <f t="shared" si="547"/>
        <v>0</v>
      </c>
      <c r="EK990" s="552">
        <f t="shared" si="547"/>
        <v>0</v>
      </c>
      <c r="EL990" s="552">
        <f t="shared" si="547"/>
        <v>0</v>
      </c>
      <c r="EM990" s="552">
        <f t="shared" si="547"/>
        <v>0</v>
      </c>
      <c r="EN990" s="552">
        <f t="shared" si="547"/>
        <v>0</v>
      </c>
      <c r="EO990" s="552">
        <f t="shared" si="547"/>
        <v>0</v>
      </c>
      <c r="EP990" s="552">
        <f t="shared" si="547"/>
        <v>0</v>
      </c>
      <c r="EQ990" s="552">
        <f t="shared" si="547"/>
        <v>0</v>
      </c>
      <c r="ER990" s="552">
        <f t="shared" si="547"/>
        <v>0</v>
      </c>
      <c r="ES990" s="552">
        <f t="shared" si="547"/>
        <v>0</v>
      </c>
      <c r="ET990" s="552">
        <f t="shared" si="547"/>
        <v>0</v>
      </c>
      <c r="EU990" s="552">
        <f t="shared" si="547"/>
        <v>0</v>
      </c>
      <c r="EV990" s="552">
        <f t="shared" si="547"/>
        <v>0</v>
      </c>
      <c r="EW990" s="552">
        <f t="shared" si="547"/>
        <v>0</v>
      </c>
      <c r="EX990" s="552">
        <f t="shared" si="547"/>
        <v>0</v>
      </c>
      <c r="EY990" s="799">
        <f t="shared" si="527"/>
        <v>18.2</v>
      </c>
      <c r="EZ990" s="561"/>
      <c r="FA990" s="561"/>
      <c r="FB990" s="561"/>
      <c r="FC990" s="561"/>
      <c r="FD990" s="561"/>
      <c r="FE990" s="561"/>
      <c r="FF990" s="561"/>
      <c r="FG990" s="561"/>
      <c r="FH990" s="561"/>
      <c r="FI990" s="561"/>
      <c r="FJ990" s="561"/>
      <c r="FK990" s="561"/>
      <c r="FL990" s="561"/>
    </row>
    <row r="991" spans="1:168" s="551" customFormat="1" x14ac:dyDescent="0.25">
      <c r="A991" s="1033"/>
      <c r="B991" s="1064" t="str">
        <f t="shared" si="515"/>
        <v>Вода питьевая 19 л</v>
      </c>
      <c r="C991" s="1064">
        <f t="shared" si="515"/>
        <v>500</v>
      </c>
      <c r="D991" s="1064">
        <f t="shared" si="515"/>
        <v>0</v>
      </c>
      <c r="E991" s="1158">
        <f t="shared" si="521"/>
        <v>2.9</v>
      </c>
      <c r="F991" s="1276"/>
      <c r="G991" s="1276"/>
      <c r="H991" s="1276"/>
      <c r="I991" s="1276"/>
      <c r="J991" s="552">
        <f t="shared" ref="J991:AO991" si="548">J23*J$338</f>
        <v>0</v>
      </c>
      <c r="K991" s="552">
        <f t="shared" si="548"/>
        <v>0</v>
      </c>
      <c r="L991" s="552">
        <f t="shared" si="548"/>
        <v>0</v>
      </c>
      <c r="M991" s="552">
        <f t="shared" si="548"/>
        <v>0</v>
      </c>
      <c r="N991" s="552">
        <f t="shared" si="548"/>
        <v>0</v>
      </c>
      <c r="O991" s="552">
        <f t="shared" si="548"/>
        <v>0</v>
      </c>
      <c r="P991" s="552">
        <f t="shared" si="548"/>
        <v>0</v>
      </c>
      <c r="Q991" s="552">
        <f t="shared" si="548"/>
        <v>0</v>
      </c>
      <c r="R991" s="552">
        <f t="shared" si="548"/>
        <v>0</v>
      </c>
      <c r="S991" s="552">
        <f t="shared" si="548"/>
        <v>0</v>
      </c>
      <c r="T991" s="552">
        <f t="shared" si="548"/>
        <v>0</v>
      </c>
      <c r="U991" s="552">
        <f t="shared" si="548"/>
        <v>0</v>
      </c>
      <c r="V991" s="552">
        <f t="shared" si="548"/>
        <v>0</v>
      </c>
      <c r="W991" s="552">
        <f t="shared" si="548"/>
        <v>0</v>
      </c>
      <c r="X991" s="552">
        <f t="shared" si="548"/>
        <v>0</v>
      </c>
      <c r="Y991" s="552">
        <f t="shared" si="548"/>
        <v>0</v>
      </c>
      <c r="Z991" s="552">
        <f t="shared" si="548"/>
        <v>0</v>
      </c>
      <c r="AA991" s="552">
        <f t="shared" si="548"/>
        <v>0</v>
      </c>
      <c r="AB991" s="552">
        <f t="shared" si="548"/>
        <v>0</v>
      </c>
      <c r="AC991" s="552">
        <f t="shared" si="548"/>
        <v>0</v>
      </c>
      <c r="AD991" s="552">
        <f t="shared" si="548"/>
        <v>0</v>
      </c>
      <c r="AE991" s="552">
        <f t="shared" si="548"/>
        <v>0</v>
      </c>
      <c r="AF991" s="552">
        <f t="shared" si="548"/>
        <v>0</v>
      </c>
      <c r="AG991" s="552">
        <f t="shared" si="548"/>
        <v>0</v>
      </c>
      <c r="AH991" s="552">
        <f t="shared" si="548"/>
        <v>0</v>
      </c>
      <c r="AI991" s="552">
        <f t="shared" si="548"/>
        <v>0</v>
      </c>
      <c r="AJ991" s="552">
        <f t="shared" si="548"/>
        <v>0</v>
      </c>
      <c r="AK991" s="552">
        <f t="shared" si="548"/>
        <v>0</v>
      </c>
      <c r="AL991" s="552">
        <f t="shared" si="548"/>
        <v>0</v>
      </c>
      <c r="AM991" s="552">
        <f t="shared" si="548"/>
        <v>0</v>
      </c>
      <c r="AN991" s="552">
        <f t="shared" si="548"/>
        <v>0</v>
      </c>
      <c r="AO991" s="552">
        <f t="shared" si="548"/>
        <v>0</v>
      </c>
      <c r="AP991" s="552">
        <f t="shared" ref="AP991:BU991" si="549">AP23*AP$338</f>
        <v>0</v>
      </c>
      <c r="AQ991" s="552">
        <f t="shared" si="549"/>
        <v>0</v>
      </c>
      <c r="AR991" s="552">
        <f t="shared" si="549"/>
        <v>0</v>
      </c>
      <c r="AS991" s="552">
        <f t="shared" si="549"/>
        <v>0</v>
      </c>
      <c r="AT991" s="552">
        <f t="shared" si="549"/>
        <v>0</v>
      </c>
      <c r="AU991" s="552">
        <f t="shared" si="549"/>
        <v>0</v>
      </c>
      <c r="AV991" s="552">
        <f t="shared" si="549"/>
        <v>0</v>
      </c>
      <c r="AW991" s="552">
        <f t="shared" si="549"/>
        <v>0</v>
      </c>
      <c r="AX991" s="552">
        <f t="shared" si="549"/>
        <v>0</v>
      </c>
      <c r="AY991" s="552">
        <f t="shared" si="549"/>
        <v>0</v>
      </c>
      <c r="AZ991" s="552">
        <f t="shared" si="549"/>
        <v>0</v>
      </c>
      <c r="BA991" s="552">
        <f t="shared" si="549"/>
        <v>0</v>
      </c>
      <c r="BB991" s="552">
        <f t="shared" si="549"/>
        <v>0</v>
      </c>
      <c r="BC991" s="552">
        <f t="shared" si="549"/>
        <v>0</v>
      </c>
      <c r="BD991" s="552">
        <f t="shared" si="549"/>
        <v>0</v>
      </c>
      <c r="BE991" s="552">
        <f t="shared" si="549"/>
        <v>0</v>
      </c>
      <c r="BF991" s="552">
        <f t="shared" si="549"/>
        <v>0</v>
      </c>
      <c r="BG991" s="552">
        <f t="shared" si="549"/>
        <v>0</v>
      </c>
      <c r="BH991" s="552">
        <f t="shared" si="549"/>
        <v>0</v>
      </c>
      <c r="BI991" s="552">
        <f t="shared" si="549"/>
        <v>0</v>
      </c>
      <c r="BJ991" s="552">
        <f t="shared" si="549"/>
        <v>0</v>
      </c>
      <c r="BK991" s="552">
        <f t="shared" si="549"/>
        <v>0</v>
      </c>
      <c r="BL991" s="552">
        <f t="shared" si="549"/>
        <v>0</v>
      </c>
      <c r="BM991" s="552">
        <f t="shared" si="549"/>
        <v>0</v>
      </c>
      <c r="BN991" s="552">
        <f t="shared" si="549"/>
        <v>0</v>
      </c>
      <c r="BO991" s="552">
        <f t="shared" si="549"/>
        <v>0</v>
      </c>
      <c r="BP991" s="552">
        <f t="shared" si="549"/>
        <v>0</v>
      </c>
      <c r="BQ991" s="552">
        <f t="shared" si="549"/>
        <v>0</v>
      </c>
      <c r="BR991" s="552">
        <f t="shared" si="549"/>
        <v>0</v>
      </c>
      <c r="BS991" s="552">
        <f t="shared" si="549"/>
        <v>0</v>
      </c>
      <c r="BT991" s="552">
        <f t="shared" si="549"/>
        <v>0</v>
      </c>
      <c r="BU991" s="552">
        <f t="shared" si="549"/>
        <v>0</v>
      </c>
      <c r="BV991" s="552">
        <f t="shared" ref="BV991:DA991" si="550">BV23*BV$338</f>
        <v>0</v>
      </c>
      <c r="BW991" s="552">
        <f t="shared" si="550"/>
        <v>0</v>
      </c>
      <c r="BX991" s="552">
        <f t="shared" si="550"/>
        <v>0</v>
      </c>
      <c r="BY991" s="552">
        <f t="shared" si="550"/>
        <v>0</v>
      </c>
      <c r="BZ991" s="552">
        <f t="shared" si="550"/>
        <v>0</v>
      </c>
      <c r="CA991" s="552">
        <f t="shared" si="550"/>
        <v>0</v>
      </c>
      <c r="CB991" s="552">
        <f t="shared" si="550"/>
        <v>0</v>
      </c>
      <c r="CC991" s="552">
        <f t="shared" si="550"/>
        <v>0</v>
      </c>
      <c r="CD991" s="552">
        <f t="shared" si="550"/>
        <v>0</v>
      </c>
      <c r="CE991" s="552">
        <f t="shared" si="550"/>
        <v>0</v>
      </c>
      <c r="CF991" s="552">
        <f t="shared" si="550"/>
        <v>0</v>
      </c>
      <c r="CG991" s="552">
        <f t="shared" si="550"/>
        <v>0</v>
      </c>
      <c r="CH991" s="552">
        <f t="shared" si="550"/>
        <v>0</v>
      </c>
      <c r="CI991" s="552">
        <f t="shared" si="550"/>
        <v>0</v>
      </c>
      <c r="CJ991" s="552">
        <f t="shared" si="550"/>
        <v>0</v>
      </c>
      <c r="CK991" s="552">
        <f t="shared" si="550"/>
        <v>0</v>
      </c>
      <c r="CL991" s="552">
        <f t="shared" si="550"/>
        <v>0</v>
      </c>
      <c r="CM991" s="552">
        <f t="shared" si="550"/>
        <v>0</v>
      </c>
      <c r="CN991" s="552">
        <f t="shared" si="550"/>
        <v>0</v>
      </c>
      <c r="CO991" s="552">
        <f t="shared" si="550"/>
        <v>0</v>
      </c>
      <c r="CP991" s="552">
        <f t="shared" si="550"/>
        <v>0</v>
      </c>
      <c r="CQ991" s="552">
        <f t="shared" si="550"/>
        <v>0</v>
      </c>
      <c r="CR991" s="552">
        <f t="shared" si="550"/>
        <v>0</v>
      </c>
      <c r="CS991" s="552">
        <f t="shared" si="550"/>
        <v>0</v>
      </c>
      <c r="CT991" s="552">
        <f t="shared" si="550"/>
        <v>0</v>
      </c>
      <c r="CU991" s="552">
        <f t="shared" si="550"/>
        <v>0</v>
      </c>
      <c r="CV991" s="552">
        <f t="shared" si="550"/>
        <v>0</v>
      </c>
      <c r="CW991" s="552">
        <f t="shared" si="550"/>
        <v>0</v>
      </c>
      <c r="CX991" s="552">
        <f t="shared" si="550"/>
        <v>0</v>
      </c>
      <c r="CY991" s="552">
        <f t="shared" si="550"/>
        <v>0</v>
      </c>
      <c r="CZ991" s="552">
        <f t="shared" si="550"/>
        <v>0</v>
      </c>
      <c r="DA991" s="552">
        <f t="shared" si="550"/>
        <v>0</v>
      </c>
      <c r="DB991" s="552">
        <f t="shared" ref="DB991:EG991" si="551">DB23*DB$338</f>
        <v>0</v>
      </c>
      <c r="DC991" s="552">
        <f t="shared" si="551"/>
        <v>0</v>
      </c>
      <c r="DD991" s="552">
        <f t="shared" si="551"/>
        <v>0</v>
      </c>
      <c r="DE991" s="552">
        <f t="shared" si="551"/>
        <v>0</v>
      </c>
      <c r="DF991" s="552">
        <f t="shared" si="551"/>
        <v>0</v>
      </c>
      <c r="DG991" s="552">
        <f t="shared" si="551"/>
        <v>0</v>
      </c>
      <c r="DH991" s="552">
        <f t="shared" si="551"/>
        <v>0</v>
      </c>
      <c r="DI991" s="552">
        <f t="shared" si="551"/>
        <v>0</v>
      </c>
      <c r="DJ991" s="552">
        <f t="shared" si="551"/>
        <v>0</v>
      </c>
      <c r="DK991" s="552">
        <f t="shared" si="551"/>
        <v>0</v>
      </c>
      <c r="DL991" s="552">
        <f t="shared" si="551"/>
        <v>0</v>
      </c>
      <c r="DM991" s="552">
        <f t="shared" si="551"/>
        <v>0</v>
      </c>
      <c r="DN991" s="552">
        <f t="shared" si="551"/>
        <v>0</v>
      </c>
      <c r="DO991" s="552">
        <f t="shared" si="551"/>
        <v>0</v>
      </c>
      <c r="DP991" s="552">
        <f t="shared" si="551"/>
        <v>0</v>
      </c>
      <c r="DQ991" s="552">
        <f t="shared" si="551"/>
        <v>0</v>
      </c>
      <c r="DR991" s="552">
        <f t="shared" si="551"/>
        <v>0</v>
      </c>
      <c r="DS991" s="552">
        <f t="shared" si="551"/>
        <v>0</v>
      </c>
      <c r="DT991" s="552">
        <f t="shared" si="551"/>
        <v>0</v>
      </c>
      <c r="DU991" s="552">
        <f t="shared" si="551"/>
        <v>0</v>
      </c>
      <c r="DV991" s="552">
        <f t="shared" si="551"/>
        <v>0</v>
      </c>
      <c r="DW991" s="552">
        <f t="shared" si="551"/>
        <v>0</v>
      </c>
      <c r="DX991" s="552">
        <f t="shared" si="551"/>
        <v>0</v>
      </c>
      <c r="DY991" s="552">
        <f t="shared" si="551"/>
        <v>0</v>
      </c>
      <c r="DZ991" s="552">
        <f t="shared" si="551"/>
        <v>0</v>
      </c>
      <c r="EA991" s="552">
        <f t="shared" si="551"/>
        <v>0</v>
      </c>
      <c r="EB991" s="552">
        <f t="shared" si="551"/>
        <v>2.9</v>
      </c>
      <c r="EC991" s="552">
        <f t="shared" si="551"/>
        <v>0</v>
      </c>
      <c r="ED991" s="552">
        <f t="shared" si="551"/>
        <v>0</v>
      </c>
      <c r="EE991" s="552">
        <f t="shared" si="551"/>
        <v>0</v>
      </c>
      <c r="EF991" s="552">
        <f t="shared" si="551"/>
        <v>0</v>
      </c>
      <c r="EG991" s="552">
        <f t="shared" si="551"/>
        <v>0</v>
      </c>
      <c r="EH991" s="552">
        <f t="shared" ref="EH991:EX991" si="552">EH23*EH$338</f>
        <v>0</v>
      </c>
      <c r="EI991" s="552">
        <f t="shared" si="552"/>
        <v>0</v>
      </c>
      <c r="EJ991" s="552">
        <f t="shared" si="552"/>
        <v>0</v>
      </c>
      <c r="EK991" s="552">
        <f t="shared" si="552"/>
        <v>0</v>
      </c>
      <c r="EL991" s="552">
        <f t="shared" si="552"/>
        <v>0</v>
      </c>
      <c r="EM991" s="552">
        <f t="shared" si="552"/>
        <v>0</v>
      </c>
      <c r="EN991" s="552">
        <f t="shared" si="552"/>
        <v>0</v>
      </c>
      <c r="EO991" s="552">
        <f t="shared" si="552"/>
        <v>0</v>
      </c>
      <c r="EP991" s="552">
        <f t="shared" si="552"/>
        <v>0</v>
      </c>
      <c r="EQ991" s="552">
        <f t="shared" si="552"/>
        <v>0</v>
      </c>
      <c r="ER991" s="552">
        <f t="shared" si="552"/>
        <v>0</v>
      </c>
      <c r="ES991" s="552">
        <f t="shared" si="552"/>
        <v>0</v>
      </c>
      <c r="ET991" s="552">
        <f t="shared" si="552"/>
        <v>0</v>
      </c>
      <c r="EU991" s="552">
        <f t="shared" si="552"/>
        <v>0</v>
      </c>
      <c r="EV991" s="552">
        <f t="shared" si="552"/>
        <v>0</v>
      </c>
      <c r="EW991" s="552">
        <f t="shared" si="552"/>
        <v>0</v>
      </c>
      <c r="EX991" s="552">
        <f t="shared" si="552"/>
        <v>0</v>
      </c>
      <c r="EY991" s="799">
        <f t="shared" si="527"/>
        <v>2.9</v>
      </c>
      <c r="EZ991" s="561"/>
      <c r="FA991" s="561"/>
      <c r="FB991" s="561"/>
      <c r="FC991" s="561"/>
      <c r="FD991" s="561"/>
      <c r="FE991" s="561"/>
      <c r="FF991" s="561"/>
      <c r="FG991" s="561"/>
      <c r="FH991" s="561"/>
      <c r="FI991" s="561"/>
      <c r="FJ991" s="561"/>
      <c r="FK991" s="561"/>
      <c r="FL991" s="561"/>
    </row>
    <row r="992" spans="1:168" s="551" customFormat="1" x14ac:dyDescent="0.25">
      <c r="A992" s="1033"/>
      <c r="B992" s="1064">
        <f t="shared" si="515"/>
        <v>0</v>
      </c>
      <c r="C992" s="1064">
        <f t="shared" si="515"/>
        <v>0</v>
      </c>
      <c r="D992" s="1064">
        <f t="shared" si="515"/>
        <v>0</v>
      </c>
      <c r="E992" s="1158">
        <f t="shared" si="521"/>
        <v>0</v>
      </c>
      <c r="F992" s="1276"/>
      <c r="G992" s="1276"/>
      <c r="H992" s="1276"/>
      <c r="I992" s="1276"/>
      <c r="J992" s="552">
        <f t="shared" ref="J992:AO992" si="553">J24*J$338</f>
        <v>0</v>
      </c>
      <c r="K992" s="552">
        <f t="shared" si="553"/>
        <v>0</v>
      </c>
      <c r="L992" s="552">
        <f t="shared" si="553"/>
        <v>0</v>
      </c>
      <c r="M992" s="552">
        <f t="shared" si="553"/>
        <v>0</v>
      </c>
      <c r="N992" s="552">
        <f t="shared" si="553"/>
        <v>0</v>
      </c>
      <c r="O992" s="552">
        <f t="shared" si="553"/>
        <v>0</v>
      </c>
      <c r="P992" s="552">
        <f t="shared" si="553"/>
        <v>0</v>
      </c>
      <c r="Q992" s="552">
        <f t="shared" si="553"/>
        <v>0</v>
      </c>
      <c r="R992" s="552">
        <f t="shared" si="553"/>
        <v>0</v>
      </c>
      <c r="S992" s="552">
        <f t="shared" si="553"/>
        <v>0</v>
      </c>
      <c r="T992" s="552">
        <f t="shared" si="553"/>
        <v>0</v>
      </c>
      <c r="U992" s="552">
        <f t="shared" si="553"/>
        <v>0</v>
      </c>
      <c r="V992" s="552">
        <f t="shared" si="553"/>
        <v>0</v>
      </c>
      <c r="W992" s="552">
        <f t="shared" si="553"/>
        <v>0</v>
      </c>
      <c r="X992" s="552">
        <f t="shared" si="553"/>
        <v>0</v>
      </c>
      <c r="Y992" s="552">
        <f t="shared" si="553"/>
        <v>0</v>
      </c>
      <c r="Z992" s="552">
        <f t="shared" si="553"/>
        <v>0</v>
      </c>
      <c r="AA992" s="552">
        <f t="shared" si="553"/>
        <v>0</v>
      </c>
      <c r="AB992" s="552">
        <f t="shared" si="553"/>
        <v>0</v>
      </c>
      <c r="AC992" s="552">
        <f t="shared" si="553"/>
        <v>0</v>
      </c>
      <c r="AD992" s="552">
        <f t="shared" si="553"/>
        <v>0</v>
      </c>
      <c r="AE992" s="552">
        <f t="shared" si="553"/>
        <v>0</v>
      </c>
      <c r="AF992" s="552">
        <f t="shared" si="553"/>
        <v>0</v>
      </c>
      <c r="AG992" s="552">
        <f t="shared" si="553"/>
        <v>0</v>
      </c>
      <c r="AH992" s="552">
        <f t="shared" si="553"/>
        <v>0</v>
      </c>
      <c r="AI992" s="552">
        <f t="shared" si="553"/>
        <v>0</v>
      </c>
      <c r="AJ992" s="552">
        <f t="shared" si="553"/>
        <v>0</v>
      </c>
      <c r="AK992" s="552">
        <f t="shared" si="553"/>
        <v>0</v>
      </c>
      <c r="AL992" s="552">
        <f t="shared" si="553"/>
        <v>0</v>
      </c>
      <c r="AM992" s="552">
        <f t="shared" si="553"/>
        <v>0</v>
      </c>
      <c r="AN992" s="552">
        <f t="shared" si="553"/>
        <v>0</v>
      </c>
      <c r="AO992" s="552">
        <f t="shared" si="553"/>
        <v>0</v>
      </c>
      <c r="AP992" s="552">
        <f t="shared" ref="AP992:BU992" si="554">AP24*AP$338</f>
        <v>0</v>
      </c>
      <c r="AQ992" s="552">
        <f t="shared" si="554"/>
        <v>0</v>
      </c>
      <c r="AR992" s="552">
        <f t="shared" si="554"/>
        <v>0</v>
      </c>
      <c r="AS992" s="552">
        <f t="shared" si="554"/>
        <v>0</v>
      </c>
      <c r="AT992" s="552">
        <f t="shared" si="554"/>
        <v>0</v>
      </c>
      <c r="AU992" s="552">
        <f t="shared" si="554"/>
        <v>0</v>
      </c>
      <c r="AV992" s="552">
        <f t="shared" si="554"/>
        <v>0</v>
      </c>
      <c r="AW992" s="552">
        <f t="shared" si="554"/>
        <v>0</v>
      </c>
      <c r="AX992" s="552">
        <f t="shared" si="554"/>
        <v>0</v>
      </c>
      <c r="AY992" s="552">
        <f t="shared" si="554"/>
        <v>0</v>
      </c>
      <c r="AZ992" s="552">
        <f t="shared" si="554"/>
        <v>0</v>
      </c>
      <c r="BA992" s="552">
        <f t="shared" si="554"/>
        <v>0</v>
      </c>
      <c r="BB992" s="552">
        <f t="shared" si="554"/>
        <v>0</v>
      </c>
      <c r="BC992" s="552">
        <f t="shared" si="554"/>
        <v>0</v>
      </c>
      <c r="BD992" s="552">
        <f t="shared" si="554"/>
        <v>0</v>
      </c>
      <c r="BE992" s="552">
        <f t="shared" si="554"/>
        <v>0</v>
      </c>
      <c r="BF992" s="552">
        <f t="shared" si="554"/>
        <v>0</v>
      </c>
      <c r="BG992" s="552">
        <f t="shared" si="554"/>
        <v>0</v>
      </c>
      <c r="BH992" s="552">
        <f t="shared" si="554"/>
        <v>0</v>
      </c>
      <c r="BI992" s="552">
        <f t="shared" si="554"/>
        <v>0</v>
      </c>
      <c r="BJ992" s="552">
        <f t="shared" si="554"/>
        <v>0</v>
      </c>
      <c r="BK992" s="552">
        <f t="shared" si="554"/>
        <v>0</v>
      </c>
      <c r="BL992" s="552">
        <f t="shared" si="554"/>
        <v>0</v>
      </c>
      <c r="BM992" s="552">
        <f t="shared" si="554"/>
        <v>0</v>
      </c>
      <c r="BN992" s="552">
        <f t="shared" si="554"/>
        <v>0</v>
      </c>
      <c r="BO992" s="552">
        <f t="shared" si="554"/>
        <v>0</v>
      </c>
      <c r="BP992" s="552">
        <f t="shared" si="554"/>
        <v>0</v>
      </c>
      <c r="BQ992" s="552">
        <f t="shared" si="554"/>
        <v>0</v>
      </c>
      <c r="BR992" s="552">
        <f t="shared" si="554"/>
        <v>0</v>
      </c>
      <c r="BS992" s="552">
        <f t="shared" si="554"/>
        <v>0</v>
      </c>
      <c r="BT992" s="552">
        <f t="shared" si="554"/>
        <v>0</v>
      </c>
      <c r="BU992" s="552">
        <f t="shared" si="554"/>
        <v>0</v>
      </c>
      <c r="BV992" s="552">
        <f t="shared" ref="BV992:DA992" si="555">BV24*BV$338</f>
        <v>0</v>
      </c>
      <c r="BW992" s="552">
        <f t="shared" si="555"/>
        <v>0</v>
      </c>
      <c r="BX992" s="552">
        <f t="shared" si="555"/>
        <v>0</v>
      </c>
      <c r="BY992" s="552">
        <f t="shared" si="555"/>
        <v>0</v>
      </c>
      <c r="BZ992" s="552">
        <f t="shared" si="555"/>
        <v>0</v>
      </c>
      <c r="CA992" s="552">
        <f t="shared" si="555"/>
        <v>0</v>
      </c>
      <c r="CB992" s="552">
        <f t="shared" si="555"/>
        <v>0</v>
      </c>
      <c r="CC992" s="552">
        <f t="shared" si="555"/>
        <v>0</v>
      </c>
      <c r="CD992" s="552">
        <f t="shared" si="555"/>
        <v>0</v>
      </c>
      <c r="CE992" s="552">
        <f t="shared" si="555"/>
        <v>0</v>
      </c>
      <c r="CF992" s="552">
        <f t="shared" si="555"/>
        <v>0</v>
      </c>
      <c r="CG992" s="552">
        <f t="shared" si="555"/>
        <v>0</v>
      </c>
      <c r="CH992" s="552">
        <f t="shared" si="555"/>
        <v>0</v>
      </c>
      <c r="CI992" s="552">
        <f t="shared" si="555"/>
        <v>0</v>
      </c>
      <c r="CJ992" s="552">
        <f t="shared" si="555"/>
        <v>0</v>
      </c>
      <c r="CK992" s="552">
        <f t="shared" si="555"/>
        <v>0</v>
      </c>
      <c r="CL992" s="552">
        <f t="shared" si="555"/>
        <v>0</v>
      </c>
      <c r="CM992" s="552">
        <f t="shared" si="555"/>
        <v>0</v>
      </c>
      <c r="CN992" s="552">
        <f t="shared" si="555"/>
        <v>0</v>
      </c>
      <c r="CO992" s="552">
        <f t="shared" si="555"/>
        <v>0</v>
      </c>
      <c r="CP992" s="552">
        <f t="shared" si="555"/>
        <v>0</v>
      </c>
      <c r="CQ992" s="552">
        <f t="shared" si="555"/>
        <v>0</v>
      </c>
      <c r="CR992" s="552">
        <f t="shared" si="555"/>
        <v>0</v>
      </c>
      <c r="CS992" s="552">
        <f t="shared" si="555"/>
        <v>0</v>
      </c>
      <c r="CT992" s="552">
        <f t="shared" si="555"/>
        <v>0</v>
      </c>
      <c r="CU992" s="552">
        <f t="shared" si="555"/>
        <v>0</v>
      </c>
      <c r="CV992" s="552">
        <f t="shared" si="555"/>
        <v>0</v>
      </c>
      <c r="CW992" s="552">
        <f t="shared" si="555"/>
        <v>0</v>
      </c>
      <c r="CX992" s="552">
        <f t="shared" si="555"/>
        <v>0</v>
      </c>
      <c r="CY992" s="552">
        <f t="shared" si="555"/>
        <v>0</v>
      </c>
      <c r="CZ992" s="552">
        <f t="shared" si="555"/>
        <v>0</v>
      </c>
      <c r="DA992" s="552">
        <f t="shared" si="555"/>
        <v>0</v>
      </c>
      <c r="DB992" s="552">
        <f t="shared" ref="DB992:EG992" si="556">DB24*DB$338</f>
        <v>0</v>
      </c>
      <c r="DC992" s="552">
        <f t="shared" si="556"/>
        <v>0</v>
      </c>
      <c r="DD992" s="552">
        <f t="shared" si="556"/>
        <v>0</v>
      </c>
      <c r="DE992" s="552">
        <f t="shared" si="556"/>
        <v>0</v>
      </c>
      <c r="DF992" s="552">
        <f t="shared" si="556"/>
        <v>0</v>
      </c>
      <c r="DG992" s="552">
        <f t="shared" si="556"/>
        <v>0</v>
      </c>
      <c r="DH992" s="552">
        <f t="shared" si="556"/>
        <v>0</v>
      </c>
      <c r="DI992" s="552">
        <f t="shared" si="556"/>
        <v>0</v>
      </c>
      <c r="DJ992" s="552">
        <f t="shared" si="556"/>
        <v>0</v>
      </c>
      <c r="DK992" s="552">
        <f t="shared" si="556"/>
        <v>0</v>
      </c>
      <c r="DL992" s="552">
        <f t="shared" si="556"/>
        <v>0</v>
      </c>
      <c r="DM992" s="552">
        <f t="shared" si="556"/>
        <v>0</v>
      </c>
      <c r="DN992" s="552">
        <f t="shared" si="556"/>
        <v>0</v>
      </c>
      <c r="DO992" s="552">
        <f t="shared" si="556"/>
        <v>0</v>
      </c>
      <c r="DP992" s="552">
        <f t="shared" si="556"/>
        <v>0</v>
      </c>
      <c r="DQ992" s="552">
        <f t="shared" si="556"/>
        <v>0</v>
      </c>
      <c r="DR992" s="552">
        <f t="shared" si="556"/>
        <v>0</v>
      </c>
      <c r="DS992" s="552">
        <f t="shared" si="556"/>
        <v>0</v>
      </c>
      <c r="DT992" s="552">
        <f t="shared" si="556"/>
        <v>0</v>
      </c>
      <c r="DU992" s="552">
        <f t="shared" si="556"/>
        <v>0</v>
      </c>
      <c r="DV992" s="552">
        <f t="shared" si="556"/>
        <v>0</v>
      </c>
      <c r="DW992" s="552">
        <f t="shared" si="556"/>
        <v>0</v>
      </c>
      <c r="DX992" s="552">
        <f t="shared" si="556"/>
        <v>0</v>
      </c>
      <c r="DY992" s="552">
        <f t="shared" si="556"/>
        <v>0</v>
      </c>
      <c r="DZ992" s="552">
        <f t="shared" si="556"/>
        <v>0</v>
      </c>
      <c r="EA992" s="552">
        <f t="shared" si="556"/>
        <v>0</v>
      </c>
      <c r="EB992" s="552">
        <f t="shared" si="556"/>
        <v>0</v>
      </c>
      <c r="EC992" s="552">
        <f t="shared" si="556"/>
        <v>0</v>
      </c>
      <c r="ED992" s="552">
        <f t="shared" si="556"/>
        <v>0</v>
      </c>
      <c r="EE992" s="552">
        <f t="shared" si="556"/>
        <v>0</v>
      </c>
      <c r="EF992" s="552">
        <f t="shared" si="556"/>
        <v>0</v>
      </c>
      <c r="EG992" s="552">
        <f t="shared" si="556"/>
        <v>0</v>
      </c>
      <c r="EH992" s="552">
        <f t="shared" ref="EH992:EX992" si="557">EH24*EH$338</f>
        <v>0</v>
      </c>
      <c r="EI992" s="552">
        <f t="shared" si="557"/>
        <v>0</v>
      </c>
      <c r="EJ992" s="552">
        <f t="shared" si="557"/>
        <v>0</v>
      </c>
      <c r="EK992" s="552">
        <f t="shared" si="557"/>
        <v>0</v>
      </c>
      <c r="EL992" s="552">
        <f t="shared" si="557"/>
        <v>0</v>
      </c>
      <c r="EM992" s="552">
        <f t="shared" si="557"/>
        <v>0</v>
      </c>
      <c r="EN992" s="552">
        <f t="shared" si="557"/>
        <v>0</v>
      </c>
      <c r="EO992" s="552">
        <f t="shared" si="557"/>
        <v>0</v>
      </c>
      <c r="EP992" s="552">
        <f t="shared" si="557"/>
        <v>0</v>
      </c>
      <c r="EQ992" s="552">
        <f t="shared" si="557"/>
        <v>0</v>
      </c>
      <c r="ER992" s="552">
        <f t="shared" si="557"/>
        <v>0</v>
      </c>
      <c r="ES992" s="552">
        <f t="shared" si="557"/>
        <v>0</v>
      </c>
      <c r="ET992" s="552">
        <f t="shared" si="557"/>
        <v>0</v>
      </c>
      <c r="EU992" s="552">
        <f t="shared" si="557"/>
        <v>0</v>
      </c>
      <c r="EV992" s="552">
        <f t="shared" si="557"/>
        <v>0</v>
      </c>
      <c r="EW992" s="552">
        <f t="shared" si="557"/>
        <v>0</v>
      </c>
      <c r="EX992" s="552">
        <f t="shared" si="557"/>
        <v>0</v>
      </c>
      <c r="EY992" s="799">
        <f t="shared" si="527"/>
        <v>0</v>
      </c>
      <c r="EZ992" s="561"/>
      <c r="FA992" s="561"/>
      <c r="FB992" s="561"/>
      <c r="FC992" s="561"/>
      <c r="FD992" s="561"/>
      <c r="FE992" s="561"/>
      <c r="FF992" s="561"/>
      <c r="FG992" s="561"/>
      <c r="FH992" s="561"/>
      <c r="FI992" s="561"/>
      <c r="FJ992" s="561"/>
      <c r="FK992" s="561"/>
      <c r="FL992" s="561"/>
    </row>
    <row r="993" spans="1:168" s="551" customFormat="1" x14ac:dyDescent="0.25">
      <c r="A993" s="1033"/>
      <c r="B993" s="1064">
        <f t="shared" si="515"/>
        <v>0</v>
      </c>
      <c r="C993" s="1064">
        <f t="shared" si="515"/>
        <v>0</v>
      </c>
      <c r="D993" s="1064">
        <f t="shared" si="515"/>
        <v>0</v>
      </c>
      <c r="E993" s="1158">
        <f t="shared" si="521"/>
        <v>0</v>
      </c>
      <c r="F993" s="1276"/>
      <c r="G993" s="1276"/>
      <c r="H993" s="1276"/>
      <c r="I993" s="1276"/>
      <c r="J993" s="552">
        <f t="shared" ref="J993:AO993" si="558">J25*J$338</f>
        <v>0</v>
      </c>
      <c r="K993" s="552">
        <f t="shared" si="558"/>
        <v>0</v>
      </c>
      <c r="L993" s="552">
        <f t="shared" si="558"/>
        <v>0</v>
      </c>
      <c r="M993" s="552">
        <f t="shared" si="558"/>
        <v>0</v>
      </c>
      <c r="N993" s="552">
        <f t="shared" si="558"/>
        <v>0</v>
      </c>
      <c r="O993" s="552">
        <f t="shared" si="558"/>
        <v>0</v>
      </c>
      <c r="P993" s="552">
        <f t="shared" si="558"/>
        <v>0</v>
      </c>
      <c r="Q993" s="552">
        <f t="shared" si="558"/>
        <v>0</v>
      </c>
      <c r="R993" s="552">
        <f t="shared" si="558"/>
        <v>0</v>
      </c>
      <c r="S993" s="552">
        <f t="shared" si="558"/>
        <v>0</v>
      </c>
      <c r="T993" s="552">
        <f t="shared" si="558"/>
        <v>0</v>
      </c>
      <c r="U993" s="552">
        <f t="shared" si="558"/>
        <v>0</v>
      </c>
      <c r="V993" s="552">
        <f t="shared" si="558"/>
        <v>0</v>
      </c>
      <c r="W993" s="552">
        <f t="shared" si="558"/>
        <v>0</v>
      </c>
      <c r="X993" s="552">
        <f t="shared" si="558"/>
        <v>0</v>
      </c>
      <c r="Y993" s="552">
        <f t="shared" si="558"/>
        <v>0</v>
      </c>
      <c r="Z993" s="552">
        <f t="shared" si="558"/>
        <v>0</v>
      </c>
      <c r="AA993" s="552">
        <f t="shared" si="558"/>
        <v>0</v>
      </c>
      <c r="AB993" s="552">
        <f t="shared" si="558"/>
        <v>0</v>
      </c>
      <c r="AC993" s="552">
        <f t="shared" si="558"/>
        <v>0</v>
      </c>
      <c r="AD993" s="552">
        <f t="shared" si="558"/>
        <v>0</v>
      </c>
      <c r="AE993" s="552">
        <f t="shared" si="558"/>
        <v>0</v>
      </c>
      <c r="AF993" s="552">
        <f t="shared" si="558"/>
        <v>0</v>
      </c>
      <c r="AG993" s="552">
        <f t="shared" si="558"/>
        <v>0</v>
      </c>
      <c r="AH993" s="552">
        <f t="shared" si="558"/>
        <v>0</v>
      </c>
      <c r="AI993" s="552">
        <f t="shared" si="558"/>
        <v>0</v>
      </c>
      <c r="AJ993" s="552">
        <f t="shared" si="558"/>
        <v>0</v>
      </c>
      <c r="AK993" s="552">
        <f t="shared" si="558"/>
        <v>0</v>
      </c>
      <c r="AL993" s="552">
        <f t="shared" si="558"/>
        <v>0</v>
      </c>
      <c r="AM993" s="552">
        <f t="shared" si="558"/>
        <v>0</v>
      </c>
      <c r="AN993" s="552">
        <f t="shared" si="558"/>
        <v>0</v>
      </c>
      <c r="AO993" s="552">
        <f t="shared" si="558"/>
        <v>0</v>
      </c>
      <c r="AP993" s="552">
        <f t="shared" ref="AP993:BU993" si="559">AP25*AP$338</f>
        <v>0</v>
      </c>
      <c r="AQ993" s="552">
        <f t="shared" si="559"/>
        <v>0</v>
      </c>
      <c r="AR993" s="552">
        <f t="shared" si="559"/>
        <v>0</v>
      </c>
      <c r="AS993" s="552">
        <f t="shared" si="559"/>
        <v>0</v>
      </c>
      <c r="AT993" s="552">
        <f t="shared" si="559"/>
        <v>0</v>
      </c>
      <c r="AU993" s="552">
        <f t="shared" si="559"/>
        <v>0</v>
      </c>
      <c r="AV993" s="552">
        <f t="shared" si="559"/>
        <v>0</v>
      </c>
      <c r="AW993" s="552">
        <f t="shared" si="559"/>
        <v>0</v>
      </c>
      <c r="AX993" s="552">
        <f t="shared" si="559"/>
        <v>0</v>
      </c>
      <c r="AY993" s="552">
        <f t="shared" si="559"/>
        <v>0</v>
      </c>
      <c r="AZ993" s="552">
        <f t="shared" si="559"/>
        <v>0</v>
      </c>
      <c r="BA993" s="552">
        <f t="shared" si="559"/>
        <v>0</v>
      </c>
      <c r="BB993" s="552">
        <f t="shared" si="559"/>
        <v>0</v>
      </c>
      <c r="BC993" s="552">
        <f t="shared" si="559"/>
        <v>0</v>
      </c>
      <c r="BD993" s="552">
        <f t="shared" si="559"/>
        <v>0</v>
      </c>
      <c r="BE993" s="552">
        <f t="shared" si="559"/>
        <v>0</v>
      </c>
      <c r="BF993" s="552">
        <f t="shared" si="559"/>
        <v>0</v>
      </c>
      <c r="BG993" s="552">
        <f t="shared" si="559"/>
        <v>0</v>
      </c>
      <c r="BH993" s="552">
        <f t="shared" si="559"/>
        <v>0</v>
      </c>
      <c r="BI993" s="552">
        <f t="shared" si="559"/>
        <v>0</v>
      </c>
      <c r="BJ993" s="552">
        <f t="shared" si="559"/>
        <v>0</v>
      </c>
      <c r="BK993" s="552">
        <f t="shared" si="559"/>
        <v>0</v>
      </c>
      <c r="BL993" s="552">
        <f t="shared" si="559"/>
        <v>0</v>
      </c>
      <c r="BM993" s="552">
        <f t="shared" si="559"/>
        <v>0</v>
      </c>
      <c r="BN993" s="552">
        <f t="shared" si="559"/>
        <v>0</v>
      </c>
      <c r="BO993" s="552">
        <f t="shared" si="559"/>
        <v>0</v>
      </c>
      <c r="BP993" s="552">
        <f t="shared" si="559"/>
        <v>0</v>
      </c>
      <c r="BQ993" s="552">
        <f t="shared" si="559"/>
        <v>0</v>
      </c>
      <c r="BR993" s="552">
        <f t="shared" si="559"/>
        <v>0</v>
      </c>
      <c r="BS993" s="552">
        <f t="shared" si="559"/>
        <v>0</v>
      </c>
      <c r="BT993" s="552">
        <f t="shared" si="559"/>
        <v>0</v>
      </c>
      <c r="BU993" s="552">
        <f t="shared" si="559"/>
        <v>0</v>
      </c>
      <c r="BV993" s="552">
        <f t="shared" ref="BV993:DA993" si="560">BV25*BV$338</f>
        <v>0</v>
      </c>
      <c r="BW993" s="552">
        <f t="shared" si="560"/>
        <v>0</v>
      </c>
      <c r="BX993" s="552">
        <f t="shared" si="560"/>
        <v>0</v>
      </c>
      <c r="BY993" s="552">
        <f t="shared" si="560"/>
        <v>0</v>
      </c>
      <c r="BZ993" s="552">
        <f t="shared" si="560"/>
        <v>0</v>
      </c>
      <c r="CA993" s="552">
        <f t="shared" si="560"/>
        <v>0</v>
      </c>
      <c r="CB993" s="552">
        <f t="shared" si="560"/>
        <v>0</v>
      </c>
      <c r="CC993" s="552">
        <f t="shared" si="560"/>
        <v>0</v>
      </c>
      <c r="CD993" s="552">
        <f t="shared" si="560"/>
        <v>0</v>
      </c>
      <c r="CE993" s="552">
        <f t="shared" si="560"/>
        <v>0</v>
      </c>
      <c r="CF993" s="552">
        <f t="shared" si="560"/>
        <v>0</v>
      </c>
      <c r="CG993" s="552">
        <f t="shared" si="560"/>
        <v>0</v>
      </c>
      <c r="CH993" s="552">
        <f t="shared" si="560"/>
        <v>0</v>
      </c>
      <c r="CI993" s="552">
        <f t="shared" si="560"/>
        <v>0</v>
      </c>
      <c r="CJ993" s="552">
        <f t="shared" si="560"/>
        <v>0</v>
      </c>
      <c r="CK993" s="552">
        <f t="shared" si="560"/>
        <v>0</v>
      </c>
      <c r="CL993" s="552">
        <f t="shared" si="560"/>
        <v>0</v>
      </c>
      <c r="CM993" s="552">
        <f t="shared" si="560"/>
        <v>0</v>
      </c>
      <c r="CN993" s="552">
        <f t="shared" si="560"/>
        <v>0</v>
      </c>
      <c r="CO993" s="552">
        <f t="shared" si="560"/>
        <v>0</v>
      </c>
      <c r="CP993" s="552">
        <f t="shared" si="560"/>
        <v>0</v>
      </c>
      <c r="CQ993" s="552">
        <f t="shared" si="560"/>
        <v>0</v>
      </c>
      <c r="CR993" s="552">
        <f t="shared" si="560"/>
        <v>0</v>
      </c>
      <c r="CS993" s="552">
        <f t="shared" si="560"/>
        <v>0</v>
      </c>
      <c r="CT993" s="552">
        <f t="shared" si="560"/>
        <v>0</v>
      </c>
      <c r="CU993" s="552">
        <f t="shared" si="560"/>
        <v>0</v>
      </c>
      <c r="CV993" s="552">
        <f t="shared" si="560"/>
        <v>0</v>
      </c>
      <c r="CW993" s="552">
        <f t="shared" si="560"/>
        <v>0</v>
      </c>
      <c r="CX993" s="552">
        <f t="shared" si="560"/>
        <v>0</v>
      </c>
      <c r="CY993" s="552">
        <f t="shared" si="560"/>
        <v>0</v>
      </c>
      <c r="CZ993" s="552">
        <f t="shared" si="560"/>
        <v>0</v>
      </c>
      <c r="DA993" s="552">
        <f t="shared" si="560"/>
        <v>0</v>
      </c>
      <c r="DB993" s="552">
        <f t="shared" ref="DB993:EG993" si="561">DB25*DB$338</f>
        <v>0</v>
      </c>
      <c r="DC993" s="552">
        <f t="shared" si="561"/>
        <v>0</v>
      </c>
      <c r="DD993" s="552">
        <f t="shared" si="561"/>
        <v>0</v>
      </c>
      <c r="DE993" s="552">
        <f t="shared" si="561"/>
        <v>0</v>
      </c>
      <c r="DF993" s="552">
        <f t="shared" si="561"/>
        <v>0</v>
      </c>
      <c r="DG993" s="552">
        <f t="shared" si="561"/>
        <v>0</v>
      </c>
      <c r="DH993" s="552">
        <f t="shared" si="561"/>
        <v>0</v>
      </c>
      <c r="DI993" s="552">
        <f t="shared" si="561"/>
        <v>0</v>
      </c>
      <c r="DJ993" s="552">
        <f t="shared" si="561"/>
        <v>0</v>
      </c>
      <c r="DK993" s="552">
        <f t="shared" si="561"/>
        <v>0</v>
      </c>
      <c r="DL993" s="552">
        <f t="shared" si="561"/>
        <v>0</v>
      </c>
      <c r="DM993" s="552">
        <f t="shared" si="561"/>
        <v>0</v>
      </c>
      <c r="DN993" s="552">
        <f t="shared" si="561"/>
        <v>0</v>
      </c>
      <c r="DO993" s="552">
        <f t="shared" si="561"/>
        <v>0</v>
      </c>
      <c r="DP993" s="552">
        <f t="shared" si="561"/>
        <v>0</v>
      </c>
      <c r="DQ993" s="552">
        <f t="shared" si="561"/>
        <v>0</v>
      </c>
      <c r="DR993" s="552">
        <f t="shared" si="561"/>
        <v>0</v>
      </c>
      <c r="DS993" s="552">
        <f t="shared" si="561"/>
        <v>0</v>
      </c>
      <c r="DT993" s="552">
        <f t="shared" si="561"/>
        <v>0</v>
      </c>
      <c r="DU993" s="552">
        <f t="shared" si="561"/>
        <v>0</v>
      </c>
      <c r="DV993" s="552">
        <f t="shared" si="561"/>
        <v>0</v>
      </c>
      <c r="DW993" s="552">
        <f t="shared" si="561"/>
        <v>0</v>
      </c>
      <c r="DX993" s="552">
        <f t="shared" si="561"/>
        <v>0</v>
      </c>
      <c r="DY993" s="552">
        <f t="shared" si="561"/>
        <v>0</v>
      </c>
      <c r="DZ993" s="552">
        <f t="shared" si="561"/>
        <v>0</v>
      </c>
      <c r="EA993" s="552">
        <f t="shared" si="561"/>
        <v>0</v>
      </c>
      <c r="EB993" s="552">
        <f t="shared" si="561"/>
        <v>0</v>
      </c>
      <c r="EC993" s="552">
        <f t="shared" si="561"/>
        <v>0</v>
      </c>
      <c r="ED993" s="552">
        <f t="shared" si="561"/>
        <v>0</v>
      </c>
      <c r="EE993" s="552">
        <f t="shared" si="561"/>
        <v>0</v>
      </c>
      <c r="EF993" s="552">
        <f t="shared" si="561"/>
        <v>0</v>
      </c>
      <c r="EG993" s="552">
        <f t="shared" si="561"/>
        <v>0</v>
      </c>
      <c r="EH993" s="552">
        <f t="shared" ref="EH993:EX993" si="562">EH25*EH$338</f>
        <v>0</v>
      </c>
      <c r="EI993" s="552">
        <f t="shared" si="562"/>
        <v>0</v>
      </c>
      <c r="EJ993" s="552">
        <f t="shared" si="562"/>
        <v>0</v>
      </c>
      <c r="EK993" s="552">
        <f t="shared" si="562"/>
        <v>0</v>
      </c>
      <c r="EL993" s="552">
        <f t="shared" si="562"/>
        <v>0</v>
      </c>
      <c r="EM993" s="552">
        <f t="shared" si="562"/>
        <v>0</v>
      </c>
      <c r="EN993" s="552">
        <f t="shared" si="562"/>
        <v>0</v>
      </c>
      <c r="EO993" s="552">
        <f t="shared" si="562"/>
        <v>0</v>
      </c>
      <c r="EP993" s="552">
        <f t="shared" si="562"/>
        <v>0</v>
      </c>
      <c r="EQ993" s="552">
        <f t="shared" si="562"/>
        <v>0</v>
      </c>
      <c r="ER993" s="552">
        <f t="shared" si="562"/>
        <v>0</v>
      </c>
      <c r="ES993" s="552">
        <f t="shared" si="562"/>
        <v>0</v>
      </c>
      <c r="ET993" s="552">
        <f t="shared" si="562"/>
        <v>0</v>
      </c>
      <c r="EU993" s="552">
        <f t="shared" si="562"/>
        <v>0</v>
      </c>
      <c r="EV993" s="552">
        <f t="shared" si="562"/>
        <v>0</v>
      </c>
      <c r="EW993" s="552">
        <f t="shared" si="562"/>
        <v>0</v>
      </c>
      <c r="EX993" s="552">
        <f t="shared" si="562"/>
        <v>0</v>
      </c>
      <c r="EY993" s="799">
        <f t="shared" si="527"/>
        <v>0</v>
      </c>
      <c r="EZ993" s="561"/>
      <c r="FA993" s="561"/>
      <c r="FB993" s="561"/>
      <c r="FC993" s="561"/>
      <c r="FD993" s="561"/>
      <c r="FE993" s="561"/>
      <c r="FF993" s="561"/>
      <c r="FG993" s="561"/>
      <c r="FH993" s="561"/>
      <c r="FI993" s="561"/>
      <c r="FJ993" s="561"/>
      <c r="FK993" s="561"/>
      <c r="FL993" s="561"/>
    </row>
    <row r="994" spans="1:168" s="548" customFormat="1" x14ac:dyDescent="0.25">
      <c r="A994" s="254"/>
      <c r="B994" s="625" t="s">
        <v>111</v>
      </c>
      <c r="C994" s="1135"/>
      <c r="D994" s="1138">
        <f>SUM(D985:D993)</f>
        <v>14.75</v>
      </c>
      <c r="E994" s="1138">
        <f t="shared" ref="E994:BC994" si="563">SUM(E985:E993)</f>
        <v>56.6</v>
      </c>
      <c r="F994" s="1138"/>
      <c r="G994" s="1138"/>
      <c r="H994" s="1138"/>
      <c r="I994" s="554"/>
      <c r="J994" s="554">
        <f t="shared" si="563"/>
        <v>0</v>
      </c>
      <c r="K994" s="554">
        <f t="shared" si="563"/>
        <v>0</v>
      </c>
      <c r="L994" s="554">
        <f t="shared" si="563"/>
        <v>0</v>
      </c>
      <c r="M994" s="554">
        <f t="shared" si="563"/>
        <v>0</v>
      </c>
      <c r="N994" s="554">
        <f t="shared" si="563"/>
        <v>0</v>
      </c>
      <c r="O994" s="554">
        <f t="shared" si="563"/>
        <v>0</v>
      </c>
      <c r="P994" s="554">
        <f t="shared" si="563"/>
        <v>0</v>
      </c>
      <c r="Q994" s="554">
        <f t="shared" si="563"/>
        <v>0</v>
      </c>
      <c r="R994" s="554">
        <f t="shared" si="563"/>
        <v>0</v>
      </c>
      <c r="S994" s="554">
        <f t="shared" si="563"/>
        <v>0</v>
      </c>
      <c r="T994" s="554">
        <f t="shared" si="563"/>
        <v>0</v>
      </c>
      <c r="U994" s="554">
        <f t="shared" si="563"/>
        <v>11.2</v>
      </c>
      <c r="V994" s="554">
        <f t="shared" si="563"/>
        <v>14.2</v>
      </c>
      <c r="W994" s="554">
        <f t="shared" si="563"/>
        <v>0</v>
      </c>
      <c r="X994" s="554">
        <f t="shared" si="563"/>
        <v>0</v>
      </c>
      <c r="Y994" s="554">
        <f t="shared" si="563"/>
        <v>0</v>
      </c>
      <c r="Z994" s="554">
        <f t="shared" si="563"/>
        <v>0</v>
      </c>
      <c r="AA994" s="554">
        <f t="shared" si="563"/>
        <v>0</v>
      </c>
      <c r="AB994" s="554">
        <f t="shared" si="563"/>
        <v>0</v>
      </c>
      <c r="AC994" s="554">
        <f t="shared" si="563"/>
        <v>0</v>
      </c>
      <c r="AD994" s="554">
        <f t="shared" si="563"/>
        <v>0</v>
      </c>
      <c r="AE994" s="554">
        <f t="shared" si="563"/>
        <v>0</v>
      </c>
      <c r="AF994" s="554">
        <f t="shared" si="563"/>
        <v>0</v>
      </c>
      <c r="AG994" s="554">
        <f t="shared" si="563"/>
        <v>0</v>
      </c>
      <c r="AH994" s="554">
        <f t="shared" si="563"/>
        <v>0</v>
      </c>
      <c r="AI994" s="554">
        <f t="shared" si="563"/>
        <v>0</v>
      </c>
      <c r="AJ994" s="554">
        <f t="shared" si="563"/>
        <v>0</v>
      </c>
      <c r="AK994" s="554">
        <f t="shared" si="563"/>
        <v>0</v>
      </c>
      <c r="AL994" s="554">
        <f t="shared" si="563"/>
        <v>0</v>
      </c>
      <c r="AM994" s="554">
        <f t="shared" si="563"/>
        <v>0</v>
      </c>
      <c r="AN994" s="554">
        <f t="shared" si="563"/>
        <v>0</v>
      </c>
      <c r="AO994" s="554">
        <f t="shared" si="563"/>
        <v>0</v>
      </c>
      <c r="AP994" s="554">
        <f t="shared" si="563"/>
        <v>0</v>
      </c>
      <c r="AQ994" s="554">
        <f t="shared" si="563"/>
        <v>0</v>
      </c>
      <c r="AR994" s="554">
        <f t="shared" si="563"/>
        <v>0</v>
      </c>
      <c r="AS994" s="554">
        <f t="shared" si="563"/>
        <v>0</v>
      </c>
      <c r="AT994" s="554">
        <f t="shared" si="563"/>
        <v>0</v>
      </c>
      <c r="AU994" s="554">
        <f t="shared" si="563"/>
        <v>0</v>
      </c>
      <c r="AV994" s="554">
        <f t="shared" si="563"/>
        <v>0</v>
      </c>
      <c r="AW994" s="554">
        <f t="shared" si="563"/>
        <v>0</v>
      </c>
      <c r="AX994" s="554">
        <f t="shared" si="563"/>
        <v>0</v>
      </c>
      <c r="AY994" s="554">
        <f t="shared" si="563"/>
        <v>0</v>
      </c>
      <c r="AZ994" s="554">
        <f t="shared" si="563"/>
        <v>0</v>
      </c>
      <c r="BA994" s="554">
        <f t="shared" si="563"/>
        <v>0</v>
      </c>
      <c r="BB994" s="554">
        <f t="shared" si="563"/>
        <v>0</v>
      </c>
      <c r="BC994" s="554">
        <f t="shared" si="563"/>
        <v>0</v>
      </c>
      <c r="BD994" s="554">
        <f t="shared" ref="BD994:DO994" si="564">SUM(BD985:BD993)</f>
        <v>0</v>
      </c>
      <c r="BE994" s="554">
        <f t="shared" si="564"/>
        <v>0</v>
      </c>
      <c r="BF994" s="554">
        <f t="shared" si="564"/>
        <v>0</v>
      </c>
      <c r="BG994" s="554">
        <f t="shared" si="564"/>
        <v>0</v>
      </c>
      <c r="BH994" s="554">
        <f t="shared" si="564"/>
        <v>0</v>
      </c>
      <c r="BI994" s="554">
        <f t="shared" si="564"/>
        <v>0</v>
      </c>
      <c r="BJ994" s="554">
        <f t="shared" si="564"/>
        <v>0</v>
      </c>
      <c r="BK994" s="554">
        <f t="shared" si="564"/>
        <v>0</v>
      </c>
      <c r="BL994" s="554">
        <f t="shared" si="564"/>
        <v>0</v>
      </c>
      <c r="BM994" s="554">
        <f t="shared" si="564"/>
        <v>0</v>
      </c>
      <c r="BN994" s="554">
        <f t="shared" si="564"/>
        <v>0</v>
      </c>
      <c r="BO994" s="554">
        <f t="shared" si="564"/>
        <v>0</v>
      </c>
      <c r="BP994" s="554">
        <f t="shared" si="564"/>
        <v>0</v>
      </c>
      <c r="BQ994" s="554">
        <f t="shared" si="564"/>
        <v>0</v>
      </c>
      <c r="BR994" s="554">
        <f t="shared" si="564"/>
        <v>18.2</v>
      </c>
      <c r="BS994" s="554">
        <f t="shared" si="564"/>
        <v>0</v>
      </c>
      <c r="BT994" s="554">
        <f t="shared" si="564"/>
        <v>4</v>
      </c>
      <c r="BU994" s="554">
        <f t="shared" si="564"/>
        <v>0</v>
      </c>
      <c r="BV994" s="554">
        <f t="shared" si="564"/>
        <v>0</v>
      </c>
      <c r="BW994" s="554">
        <f t="shared" si="564"/>
        <v>0</v>
      </c>
      <c r="BX994" s="554">
        <f t="shared" si="564"/>
        <v>0</v>
      </c>
      <c r="BY994" s="554">
        <f t="shared" si="564"/>
        <v>0</v>
      </c>
      <c r="BZ994" s="554">
        <f t="shared" si="564"/>
        <v>0</v>
      </c>
      <c r="CA994" s="554">
        <f t="shared" si="564"/>
        <v>0</v>
      </c>
      <c r="CB994" s="554">
        <f t="shared" si="564"/>
        <v>0</v>
      </c>
      <c r="CC994" s="554">
        <f t="shared" si="564"/>
        <v>0</v>
      </c>
      <c r="CD994" s="554">
        <f t="shared" si="564"/>
        <v>0</v>
      </c>
      <c r="CE994" s="554">
        <f t="shared" si="564"/>
        <v>0</v>
      </c>
      <c r="CF994" s="554">
        <f t="shared" si="564"/>
        <v>0</v>
      </c>
      <c r="CG994" s="554">
        <f t="shared" si="564"/>
        <v>0</v>
      </c>
      <c r="CH994" s="554">
        <f t="shared" si="564"/>
        <v>0</v>
      </c>
      <c r="CI994" s="554">
        <f t="shared" si="564"/>
        <v>0</v>
      </c>
      <c r="CJ994" s="554">
        <f t="shared" si="564"/>
        <v>0</v>
      </c>
      <c r="CK994" s="554">
        <f t="shared" si="564"/>
        <v>0</v>
      </c>
      <c r="CL994" s="554">
        <f t="shared" si="564"/>
        <v>0</v>
      </c>
      <c r="CM994" s="554">
        <f t="shared" si="564"/>
        <v>0</v>
      </c>
      <c r="CN994" s="554">
        <f t="shared" si="564"/>
        <v>0</v>
      </c>
      <c r="CO994" s="554">
        <f t="shared" si="564"/>
        <v>0</v>
      </c>
      <c r="CP994" s="554">
        <f t="shared" si="564"/>
        <v>0</v>
      </c>
      <c r="CQ994" s="554">
        <f t="shared" si="564"/>
        <v>0</v>
      </c>
      <c r="CR994" s="554">
        <f t="shared" si="564"/>
        <v>0</v>
      </c>
      <c r="CS994" s="554">
        <f t="shared" si="564"/>
        <v>0</v>
      </c>
      <c r="CT994" s="554">
        <f t="shared" si="564"/>
        <v>0</v>
      </c>
      <c r="CU994" s="554">
        <f t="shared" si="564"/>
        <v>0</v>
      </c>
      <c r="CV994" s="554">
        <f t="shared" si="564"/>
        <v>0</v>
      </c>
      <c r="CW994" s="554">
        <f t="shared" si="564"/>
        <v>0</v>
      </c>
      <c r="CX994" s="554">
        <f t="shared" si="564"/>
        <v>0</v>
      </c>
      <c r="CY994" s="554">
        <f t="shared" si="564"/>
        <v>0</v>
      </c>
      <c r="CZ994" s="554">
        <f t="shared" si="564"/>
        <v>2.36</v>
      </c>
      <c r="DA994" s="554">
        <f t="shared" si="564"/>
        <v>0</v>
      </c>
      <c r="DB994" s="554">
        <f t="shared" si="564"/>
        <v>0</v>
      </c>
      <c r="DC994" s="554">
        <f t="shared" si="564"/>
        <v>0.04</v>
      </c>
      <c r="DD994" s="554">
        <f t="shared" si="564"/>
        <v>0</v>
      </c>
      <c r="DE994" s="554">
        <f t="shared" si="564"/>
        <v>0</v>
      </c>
      <c r="DF994" s="554">
        <f t="shared" si="564"/>
        <v>0</v>
      </c>
      <c r="DG994" s="554">
        <f t="shared" si="564"/>
        <v>0</v>
      </c>
      <c r="DH994" s="554">
        <f t="shared" si="564"/>
        <v>0</v>
      </c>
      <c r="DI994" s="554">
        <f t="shared" si="564"/>
        <v>0</v>
      </c>
      <c r="DJ994" s="554">
        <f t="shared" si="564"/>
        <v>0</v>
      </c>
      <c r="DK994" s="554">
        <f t="shared" si="564"/>
        <v>0</v>
      </c>
      <c r="DL994" s="554">
        <f t="shared" si="564"/>
        <v>0</v>
      </c>
      <c r="DM994" s="554">
        <f t="shared" si="564"/>
        <v>0</v>
      </c>
      <c r="DN994" s="554">
        <f t="shared" si="564"/>
        <v>0</v>
      </c>
      <c r="DO994" s="554">
        <f t="shared" si="564"/>
        <v>0</v>
      </c>
      <c r="DP994" s="554">
        <f t="shared" ref="DP994:FL994" si="565">SUM(DP985:DP993)</f>
        <v>0</v>
      </c>
      <c r="DQ994" s="554">
        <f t="shared" si="565"/>
        <v>0</v>
      </c>
      <c r="DR994" s="554">
        <f t="shared" si="565"/>
        <v>0.45</v>
      </c>
      <c r="DS994" s="554">
        <f t="shared" si="565"/>
        <v>0</v>
      </c>
      <c r="DT994" s="554">
        <f t="shared" si="565"/>
        <v>0</v>
      </c>
      <c r="DU994" s="554">
        <f t="shared" si="565"/>
        <v>0</v>
      </c>
      <c r="DV994" s="554">
        <f t="shared" si="565"/>
        <v>0</v>
      </c>
      <c r="DW994" s="554">
        <f t="shared" si="565"/>
        <v>0</v>
      </c>
      <c r="DX994" s="554">
        <f t="shared" si="565"/>
        <v>0</v>
      </c>
      <c r="DY994" s="554">
        <f t="shared" si="565"/>
        <v>0</v>
      </c>
      <c r="DZ994" s="554">
        <f t="shared" si="565"/>
        <v>0</v>
      </c>
      <c r="EA994" s="554">
        <f t="shared" si="565"/>
        <v>0</v>
      </c>
      <c r="EB994" s="554">
        <f t="shared" si="565"/>
        <v>2.9</v>
      </c>
      <c r="EC994" s="554">
        <f t="shared" si="565"/>
        <v>0</v>
      </c>
      <c r="ED994" s="554">
        <f t="shared" si="565"/>
        <v>0</v>
      </c>
      <c r="EE994" s="554">
        <f t="shared" si="565"/>
        <v>0</v>
      </c>
      <c r="EF994" s="554">
        <f t="shared" si="565"/>
        <v>0</v>
      </c>
      <c r="EG994" s="554">
        <f t="shared" si="565"/>
        <v>0</v>
      </c>
      <c r="EH994" s="554">
        <f t="shared" si="565"/>
        <v>0</v>
      </c>
      <c r="EI994" s="554">
        <f t="shared" si="565"/>
        <v>0</v>
      </c>
      <c r="EJ994" s="554">
        <f t="shared" si="565"/>
        <v>0</v>
      </c>
      <c r="EK994" s="554">
        <f t="shared" si="565"/>
        <v>0</v>
      </c>
      <c r="EL994" s="554">
        <f t="shared" si="565"/>
        <v>0</v>
      </c>
      <c r="EM994" s="554">
        <f t="shared" si="565"/>
        <v>0</v>
      </c>
      <c r="EN994" s="554">
        <f t="shared" si="565"/>
        <v>0</v>
      </c>
      <c r="EO994" s="554">
        <f t="shared" si="565"/>
        <v>0</v>
      </c>
      <c r="EP994" s="554">
        <f t="shared" si="565"/>
        <v>0</v>
      </c>
      <c r="EQ994" s="554">
        <f t="shared" si="565"/>
        <v>0</v>
      </c>
      <c r="ER994" s="554">
        <f t="shared" si="565"/>
        <v>0</v>
      </c>
      <c r="ES994" s="554">
        <f t="shared" si="565"/>
        <v>0</v>
      </c>
      <c r="ET994" s="554">
        <f t="shared" si="565"/>
        <v>0</v>
      </c>
      <c r="EU994" s="554">
        <f t="shared" si="565"/>
        <v>0</v>
      </c>
      <c r="EV994" s="554">
        <f t="shared" si="565"/>
        <v>1.95</v>
      </c>
      <c r="EW994" s="554">
        <f t="shared" si="565"/>
        <v>1.3</v>
      </c>
      <c r="EX994" s="554">
        <f t="shared" si="565"/>
        <v>0</v>
      </c>
      <c r="EY994" s="554">
        <f t="shared" si="565"/>
        <v>56.6</v>
      </c>
      <c r="EZ994" s="554">
        <f t="shared" si="565"/>
        <v>0</v>
      </c>
      <c r="FA994" s="554">
        <f t="shared" si="565"/>
        <v>0</v>
      </c>
      <c r="FB994" s="554">
        <f t="shared" si="565"/>
        <v>0</v>
      </c>
      <c r="FC994" s="554">
        <f t="shared" si="565"/>
        <v>0</v>
      </c>
      <c r="FD994" s="554">
        <f t="shared" si="565"/>
        <v>0</v>
      </c>
      <c r="FE994" s="554">
        <f t="shared" si="565"/>
        <v>0</v>
      </c>
      <c r="FF994" s="554">
        <f t="shared" si="565"/>
        <v>0</v>
      </c>
      <c r="FG994" s="554">
        <f t="shared" si="565"/>
        <v>0</v>
      </c>
      <c r="FH994" s="554">
        <f t="shared" si="565"/>
        <v>0</v>
      </c>
      <c r="FI994" s="554">
        <f t="shared" si="565"/>
        <v>0</v>
      </c>
      <c r="FJ994" s="554">
        <f t="shared" si="565"/>
        <v>0</v>
      </c>
      <c r="FK994" s="554">
        <f t="shared" si="565"/>
        <v>0</v>
      </c>
      <c r="FL994" s="554">
        <f t="shared" si="565"/>
        <v>0</v>
      </c>
    </row>
    <row r="995" spans="1:168" s="551" customFormat="1" x14ac:dyDescent="0.25">
      <c r="A995" s="1491" t="s">
        <v>112</v>
      </c>
      <c r="B995" s="1064" t="str">
        <f t="shared" ref="B995:B1003" si="566">B27</f>
        <v>Салат из свежих помидоров с луком зеленым</v>
      </c>
      <c r="C995" s="1064">
        <f t="shared" ref="C995:D995" si="567">C27</f>
        <v>60</v>
      </c>
      <c r="D995" s="1064">
        <f t="shared" si="567"/>
        <v>0.65</v>
      </c>
      <c r="E995" s="1158">
        <f t="shared" ref="E995" si="568">EY995</f>
        <v>11.05</v>
      </c>
      <c r="F995" s="1142"/>
      <c r="G995" s="1142"/>
      <c r="H995" s="1142"/>
      <c r="I995" s="790"/>
      <c r="J995" s="552">
        <f t="shared" ref="J995:AO995" si="569">J27*J$338</f>
        <v>0</v>
      </c>
      <c r="K995" s="552">
        <f t="shared" si="569"/>
        <v>0</v>
      </c>
      <c r="L995" s="552">
        <f t="shared" si="569"/>
        <v>0</v>
      </c>
      <c r="M995" s="552">
        <f t="shared" si="569"/>
        <v>0</v>
      </c>
      <c r="N995" s="552">
        <f t="shared" si="569"/>
        <v>0</v>
      </c>
      <c r="O995" s="552">
        <f t="shared" si="569"/>
        <v>0</v>
      </c>
      <c r="P995" s="552">
        <f t="shared" si="569"/>
        <v>0</v>
      </c>
      <c r="Q995" s="552">
        <f t="shared" si="569"/>
        <v>0</v>
      </c>
      <c r="R995" s="552">
        <f t="shared" si="569"/>
        <v>0</v>
      </c>
      <c r="S995" s="552">
        <f t="shared" si="569"/>
        <v>0</v>
      </c>
      <c r="T995" s="552">
        <f t="shared" si="569"/>
        <v>0</v>
      </c>
      <c r="U995" s="552">
        <f t="shared" si="569"/>
        <v>0</v>
      </c>
      <c r="V995" s="552">
        <f t="shared" si="569"/>
        <v>0</v>
      </c>
      <c r="W995" s="552">
        <f t="shared" si="569"/>
        <v>0</v>
      </c>
      <c r="X995" s="552">
        <f t="shared" si="569"/>
        <v>0</v>
      </c>
      <c r="Y995" s="552">
        <f t="shared" si="569"/>
        <v>0</v>
      </c>
      <c r="Z995" s="552">
        <f t="shared" si="569"/>
        <v>0</v>
      </c>
      <c r="AA995" s="552">
        <f t="shared" si="569"/>
        <v>0</v>
      </c>
      <c r="AB995" s="552">
        <f t="shared" si="569"/>
        <v>0</v>
      </c>
      <c r="AC995" s="552">
        <f t="shared" si="569"/>
        <v>0</v>
      </c>
      <c r="AD995" s="552">
        <f t="shared" si="569"/>
        <v>0</v>
      </c>
      <c r="AE995" s="552">
        <f t="shared" si="569"/>
        <v>0</v>
      </c>
      <c r="AF995" s="552">
        <f t="shared" si="569"/>
        <v>0</v>
      </c>
      <c r="AG995" s="552">
        <f t="shared" si="569"/>
        <v>0</v>
      </c>
      <c r="AH995" s="552">
        <f t="shared" si="569"/>
        <v>0</v>
      </c>
      <c r="AI995" s="552">
        <f t="shared" si="569"/>
        <v>0</v>
      </c>
      <c r="AJ995" s="552">
        <f t="shared" si="569"/>
        <v>0</v>
      </c>
      <c r="AK995" s="552">
        <f t="shared" si="569"/>
        <v>0</v>
      </c>
      <c r="AL995" s="552">
        <f t="shared" si="569"/>
        <v>5.18</v>
      </c>
      <c r="AM995" s="552">
        <f t="shared" si="569"/>
        <v>0</v>
      </c>
      <c r="AN995" s="552">
        <f t="shared" si="569"/>
        <v>5.39</v>
      </c>
      <c r="AO995" s="552">
        <f t="shared" si="569"/>
        <v>0</v>
      </c>
      <c r="AP995" s="552">
        <f t="shared" ref="AP995:BU995" si="570">AP27*AP$338</f>
        <v>0</v>
      </c>
      <c r="AQ995" s="552">
        <f t="shared" si="570"/>
        <v>0</v>
      </c>
      <c r="AR995" s="552">
        <f t="shared" si="570"/>
        <v>0</v>
      </c>
      <c r="AS995" s="552">
        <f t="shared" si="570"/>
        <v>0</v>
      </c>
      <c r="AT995" s="552">
        <f t="shared" si="570"/>
        <v>0</v>
      </c>
      <c r="AU995" s="552">
        <f t="shared" si="570"/>
        <v>0</v>
      </c>
      <c r="AV995" s="552">
        <f t="shared" si="570"/>
        <v>0</v>
      </c>
      <c r="AW995" s="552">
        <f t="shared" si="570"/>
        <v>0</v>
      </c>
      <c r="AX995" s="552">
        <f t="shared" si="570"/>
        <v>0</v>
      </c>
      <c r="AY995" s="552">
        <f t="shared" si="570"/>
        <v>0</v>
      </c>
      <c r="AZ995" s="552">
        <f t="shared" si="570"/>
        <v>0</v>
      </c>
      <c r="BA995" s="552">
        <f t="shared" si="570"/>
        <v>0</v>
      </c>
      <c r="BB995" s="552">
        <f t="shared" si="570"/>
        <v>0</v>
      </c>
      <c r="BC995" s="552">
        <f t="shared" si="570"/>
        <v>0</v>
      </c>
      <c r="BD995" s="552">
        <f t="shared" si="570"/>
        <v>0</v>
      </c>
      <c r="BE995" s="552">
        <f t="shared" si="570"/>
        <v>0</v>
      </c>
      <c r="BF995" s="552">
        <f t="shared" si="570"/>
        <v>0</v>
      </c>
      <c r="BG995" s="552">
        <f t="shared" si="570"/>
        <v>0</v>
      </c>
      <c r="BH995" s="552">
        <f t="shared" si="570"/>
        <v>0</v>
      </c>
      <c r="BI995" s="552">
        <f t="shared" si="570"/>
        <v>0</v>
      </c>
      <c r="BJ995" s="552">
        <f t="shared" si="570"/>
        <v>0</v>
      </c>
      <c r="BK995" s="552">
        <f t="shared" si="570"/>
        <v>0</v>
      </c>
      <c r="BL995" s="552">
        <f t="shared" si="570"/>
        <v>0</v>
      </c>
      <c r="BM995" s="552">
        <f t="shared" si="570"/>
        <v>0</v>
      </c>
      <c r="BN995" s="552">
        <f t="shared" si="570"/>
        <v>0</v>
      </c>
      <c r="BO995" s="552">
        <f t="shared" si="570"/>
        <v>0</v>
      </c>
      <c r="BP995" s="552">
        <f t="shared" si="570"/>
        <v>0</v>
      </c>
      <c r="BQ995" s="552">
        <f t="shared" si="570"/>
        <v>0</v>
      </c>
      <c r="BR995" s="552">
        <f t="shared" si="570"/>
        <v>0</v>
      </c>
      <c r="BS995" s="552">
        <f t="shared" si="570"/>
        <v>0</v>
      </c>
      <c r="BT995" s="552">
        <f t="shared" si="570"/>
        <v>0</v>
      </c>
      <c r="BU995" s="552">
        <f t="shared" si="570"/>
        <v>0</v>
      </c>
      <c r="BV995" s="552">
        <f t="shared" ref="BV995:DA995" si="571">BV27*BV$338</f>
        <v>0</v>
      </c>
      <c r="BW995" s="552">
        <f t="shared" si="571"/>
        <v>0</v>
      </c>
      <c r="BX995" s="552">
        <f t="shared" si="571"/>
        <v>0</v>
      </c>
      <c r="BY995" s="552">
        <f t="shared" si="571"/>
        <v>0</v>
      </c>
      <c r="BZ995" s="552">
        <f t="shared" si="571"/>
        <v>0</v>
      </c>
      <c r="CA995" s="552">
        <f t="shared" si="571"/>
        <v>0</v>
      </c>
      <c r="CB995" s="552">
        <f t="shared" si="571"/>
        <v>0</v>
      </c>
      <c r="CC995" s="552">
        <f t="shared" si="571"/>
        <v>0</v>
      </c>
      <c r="CD995" s="552">
        <f t="shared" si="571"/>
        <v>0</v>
      </c>
      <c r="CE995" s="552">
        <f t="shared" si="571"/>
        <v>0</v>
      </c>
      <c r="CF995" s="552">
        <f t="shared" si="571"/>
        <v>0.43</v>
      </c>
      <c r="CG995" s="552">
        <f t="shared" si="571"/>
        <v>0</v>
      </c>
      <c r="CH995" s="552">
        <f t="shared" si="571"/>
        <v>0</v>
      </c>
      <c r="CI995" s="552">
        <f t="shared" si="571"/>
        <v>0</v>
      </c>
      <c r="CJ995" s="552">
        <f t="shared" si="571"/>
        <v>0</v>
      </c>
      <c r="CK995" s="552">
        <f t="shared" si="571"/>
        <v>0</v>
      </c>
      <c r="CL995" s="552">
        <f t="shared" si="571"/>
        <v>0</v>
      </c>
      <c r="CM995" s="552">
        <f t="shared" si="571"/>
        <v>0</v>
      </c>
      <c r="CN995" s="552">
        <f t="shared" si="571"/>
        <v>0</v>
      </c>
      <c r="CO995" s="552">
        <f t="shared" si="571"/>
        <v>0</v>
      </c>
      <c r="CP995" s="552">
        <f t="shared" si="571"/>
        <v>0</v>
      </c>
      <c r="CQ995" s="552">
        <f t="shared" si="571"/>
        <v>0</v>
      </c>
      <c r="CR995" s="552">
        <f t="shared" si="571"/>
        <v>0</v>
      </c>
      <c r="CS995" s="552">
        <f t="shared" si="571"/>
        <v>0</v>
      </c>
      <c r="CT995" s="552">
        <f t="shared" si="571"/>
        <v>0</v>
      </c>
      <c r="CU995" s="552">
        <f t="shared" si="571"/>
        <v>0</v>
      </c>
      <c r="CV995" s="552">
        <f t="shared" si="571"/>
        <v>0</v>
      </c>
      <c r="CW995" s="552">
        <f t="shared" si="571"/>
        <v>0</v>
      </c>
      <c r="CX995" s="552">
        <f t="shared" si="571"/>
        <v>0</v>
      </c>
      <c r="CY995" s="552">
        <f t="shared" si="571"/>
        <v>0</v>
      </c>
      <c r="CZ995" s="552">
        <f t="shared" si="571"/>
        <v>0</v>
      </c>
      <c r="DA995" s="552">
        <f t="shared" si="571"/>
        <v>0</v>
      </c>
      <c r="DB995" s="552">
        <f t="shared" ref="DB995:EG995" si="572">DB27*DB$338</f>
        <v>0</v>
      </c>
      <c r="DC995" s="552">
        <f t="shared" si="572"/>
        <v>0.05</v>
      </c>
      <c r="DD995" s="552">
        <f t="shared" si="572"/>
        <v>0</v>
      </c>
      <c r="DE995" s="552">
        <f t="shared" si="572"/>
        <v>0</v>
      </c>
      <c r="DF995" s="552">
        <f t="shared" si="572"/>
        <v>0</v>
      </c>
      <c r="DG995" s="552">
        <f t="shared" si="572"/>
        <v>0</v>
      </c>
      <c r="DH995" s="552">
        <f t="shared" si="572"/>
        <v>0</v>
      </c>
      <c r="DI995" s="552">
        <f t="shared" si="572"/>
        <v>0</v>
      </c>
      <c r="DJ995" s="552">
        <f t="shared" si="572"/>
        <v>0</v>
      </c>
      <c r="DK995" s="552">
        <f t="shared" si="572"/>
        <v>0</v>
      </c>
      <c r="DL995" s="552">
        <f t="shared" si="572"/>
        <v>0</v>
      </c>
      <c r="DM995" s="552">
        <f t="shared" si="572"/>
        <v>0</v>
      </c>
      <c r="DN995" s="552">
        <f t="shared" si="572"/>
        <v>0</v>
      </c>
      <c r="DO995" s="552">
        <f t="shared" si="572"/>
        <v>0</v>
      </c>
      <c r="DP995" s="552">
        <f t="shared" si="572"/>
        <v>0</v>
      </c>
      <c r="DQ995" s="552">
        <f t="shared" si="572"/>
        <v>0</v>
      </c>
      <c r="DR995" s="552">
        <f t="shared" si="572"/>
        <v>0</v>
      </c>
      <c r="DS995" s="552">
        <f t="shared" si="572"/>
        <v>0</v>
      </c>
      <c r="DT995" s="552">
        <f t="shared" si="572"/>
        <v>0</v>
      </c>
      <c r="DU995" s="552">
        <f t="shared" si="572"/>
        <v>0</v>
      </c>
      <c r="DV995" s="552">
        <f t="shared" si="572"/>
        <v>0</v>
      </c>
      <c r="DW995" s="552">
        <f t="shared" si="572"/>
        <v>0</v>
      </c>
      <c r="DX995" s="552">
        <f t="shared" si="572"/>
        <v>0</v>
      </c>
      <c r="DY995" s="552">
        <f t="shared" si="572"/>
        <v>0</v>
      </c>
      <c r="DZ995" s="552">
        <f t="shared" si="572"/>
        <v>0</v>
      </c>
      <c r="EA995" s="552">
        <f t="shared" si="572"/>
        <v>0</v>
      </c>
      <c r="EB995" s="552">
        <f t="shared" si="572"/>
        <v>0</v>
      </c>
      <c r="EC995" s="552">
        <f t="shared" si="572"/>
        <v>0</v>
      </c>
      <c r="ED995" s="552">
        <f t="shared" si="572"/>
        <v>0</v>
      </c>
      <c r="EE995" s="552">
        <f t="shared" si="572"/>
        <v>0</v>
      </c>
      <c r="EF995" s="552">
        <f t="shared" si="572"/>
        <v>0</v>
      </c>
      <c r="EG995" s="552">
        <f t="shared" si="572"/>
        <v>0</v>
      </c>
      <c r="EH995" s="552">
        <f t="shared" ref="EH995:EX995" si="573">EH27*EH$338</f>
        <v>0</v>
      </c>
      <c r="EI995" s="552">
        <f t="shared" si="573"/>
        <v>0</v>
      </c>
      <c r="EJ995" s="552">
        <f t="shared" si="573"/>
        <v>0</v>
      </c>
      <c r="EK995" s="552">
        <f t="shared" si="573"/>
        <v>0</v>
      </c>
      <c r="EL995" s="552">
        <f t="shared" si="573"/>
        <v>0</v>
      </c>
      <c r="EM995" s="552">
        <f t="shared" si="573"/>
        <v>0</v>
      </c>
      <c r="EN995" s="552">
        <f t="shared" si="573"/>
        <v>0</v>
      </c>
      <c r="EO995" s="552">
        <f t="shared" si="573"/>
        <v>0</v>
      </c>
      <c r="EP995" s="552">
        <f t="shared" si="573"/>
        <v>0</v>
      </c>
      <c r="EQ995" s="552">
        <f t="shared" si="573"/>
        <v>0</v>
      </c>
      <c r="ER995" s="552">
        <f t="shared" si="573"/>
        <v>0</v>
      </c>
      <c r="ES995" s="552">
        <f t="shared" si="573"/>
        <v>0</v>
      </c>
      <c r="ET995" s="552">
        <f t="shared" si="573"/>
        <v>0</v>
      </c>
      <c r="EU995" s="552">
        <f t="shared" si="573"/>
        <v>0</v>
      </c>
      <c r="EV995" s="552">
        <f t="shared" si="573"/>
        <v>0</v>
      </c>
      <c r="EW995" s="552">
        <f t="shared" si="573"/>
        <v>0</v>
      </c>
      <c r="EX995" s="552">
        <f t="shared" si="573"/>
        <v>0</v>
      </c>
      <c r="EY995" s="799">
        <f t="shared" si="527"/>
        <v>11.05</v>
      </c>
      <c r="EZ995" s="561"/>
      <c r="FA995" s="561"/>
      <c r="FB995" s="561"/>
      <c r="FC995" s="561"/>
      <c r="FD995" s="561"/>
      <c r="FE995" s="561"/>
      <c r="FF995" s="561"/>
      <c r="FG995" s="561"/>
      <c r="FH995" s="561"/>
      <c r="FI995" s="561"/>
      <c r="FJ995" s="561"/>
      <c r="FK995" s="561"/>
      <c r="FL995" s="561"/>
    </row>
    <row r="996" spans="1:168" s="551" customFormat="1" x14ac:dyDescent="0.25">
      <c r="A996" s="1492"/>
      <c r="B996" s="1064" t="str">
        <f t="shared" si="566"/>
        <v>Суп картофельный с горохом</v>
      </c>
      <c r="C996" s="1064">
        <f t="shared" ref="C996:D1003" si="574">C28</f>
        <v>250</v>
      </c>
      <c r="D996" s="1064">
        <f t="shared" si="574"/>
        <v>5.49</v>
      </c>
      <c r="E996" s="1158">
        <f t="shared" ref="E996:E1003" si="575">EY996</f>
        <v>9.01</v>
      </c>
      <c r="F996" s="1142"/>
      <c r="G996" s="1142"/>
      <c r="H996" s="1142"/>
      <c r="I996" s="790"/>
      <c r="J996" s="552">
        <f t="shared" ref="J996:BU996" si="576">J28*J$338</f>
        <v>0</v>
      </c>
      <c r="K996" s="552">
        <f t="shared" si="576"/>
        <v>0</v>
      </c>
      <c r="L996" s="552">
        <f t="shared" si="576"/>
        <v>0</v>
      </c>
      <c r="M996" s="552">
        <f t="shared" si="576"/>
        <v>0</v>
      </c>
      <c r="N996" s="552">
        <f t="shared" si="576"/>
        <v>0</v>
      </c>
      <c r="O996" s="552">
        <f t="shared" si="576"/>
        <v>0</v>
      </c>
      <c r="P996" s="552">
        <f t="shared" si="576"/>
        <v>0</v>
      </c>
      <c r="Q996" s="552">
        <f t="shared" si="576"/>
        <v>0</v>
      </c>
      <c r="R996" s="552">
        <f t="shared" si="576"/>
        <v>0</v>
      </c>
      <c r="S996" s="552">
        <f t="shared" si="576"/>
        <v>0</v>
      </c>
      <c r="T996" s="552">
        <f t="shared" si="576"/>
        <v>0</v>
      </c>
      <c r="U996" s="552">
        <f t="shared" si="576"/>
        <v>0</v>
      </c>
      <c r="V996" s="552">
        <f t="shared" si="576"/>
        <v>0</v>
      </c>
      <c r="W996" s="552">
        <f t="shared" si="576"/>
        <v>0</v>
      </c>
      <c r="X996" s="552">
        <f t="shared" si="576"/>
        <v>0</v>
      </c>
      <c r="Y996" s="552">
        <f t="shared" si="576"/>
        <v>1.17</v>
      </c>
      <c r="Z996" s="552">
        <f t="shared" si="576"/>
        <v>0</v>
      </c>
      <c r="AA996" s="552">
        <f t="shared" si="576"/>
        <v>0</v>
      </c>
      <c r="AB996" s="552">
        <f t="shared" si="576"/>
        <v>0</v>
      </c>
      <c r="AC996" s="552">
        <f t="shared" si="576"/>
        <v>0</v>
      </c>
      <c r="AD996" s="552">
        <f t="shared" si="576"/>
        <v>0</v>
      </c>
      <c r="AE996" s="552">
        <f t="shared" si="576"/>
        <v>0</v>
      </c>
      <c r="AF996" s="552">
        <f t="shared" si="576"/>
        <v>0</v>
      </c>
      <c r="AG996" s="552">
        <f t="shared" si="576"/>
        <v>0</v>
      </c>
      <c r="AH996" s="552">
        <f t="shared" si="576"/>
        <v>3.34</v>
      </c>
      <c r="AI996" s="552">
        <f t="shared" si="576"/>
        <v>0</v>
      </c>
      <c r="AJ996" s="552">
        <f t="shared" si="576"/>
        <v>0</v>
      </c>
      <c r="AK996" s="552">
        <f t="shared" si="576"/>
        <v>0.6</v>
      </c>
      <c r="AL996" s="552">
        <f t="shared" si="576"/>
        <v>0</v>
      </c>
      <c r="AM996" s="552">
        <f t="shared" si="576"/>
        <v>0</v>
      </c>
      <c r="AN996" s="552">
        <f t="shared" si="576"/>
        <v>0</v>
      </c>
      <c r="AO996" s="552">
        <f t="shared" si="576"/>
        <v>0</v>
      </c>
      <c r="AP996" s="552">
        <f t="shared" si="576"/>
        <v>0</v>
      </c>
      <c r="AQ996" s="552">
        <f t="shared" si="576"/>
        <v>0.63</v>
      </c>
      <c r="AR996" s="552">
        <f t="shared" si="576"/>
        <v>0</v>
      </c>
      <c r="AS996" s="552">
        <f t="shared" si="576"/>
        <v>0</v>
      </c>
      <c r="AT996" s="552">
        <f t="shared" si="576"/>
        <v>0.98</v>
      </c>
      <c r="AU996" s="552">
        <f t="shared" si="576"/>
        <v>0.45</v>
      </c>
      <c r="AV996" s="552">
        <f t="shared" si="576"/>
        <v>0</v>
      </c>
      <c r="AW996" s="552">
        <f t="shared" si="576"/>
        <v>0</v>
      </c>
      <c r="AX996" s="552">
        <f t="shared" si="576"/>
        <v>0</v>
      </c>
      <c r="AY996" s="552">
        <f t="shared" si="576"/>
        <v>0</v>
      </c>
      <c r="AZ996" s="552">
        <f t="shared" si="576"/>
        <v>0</v>
      </c>
      <c r="BA996" s="552">
        <f t="shared" si="576"/>
        <v>0</v>
      </c>
      <c r="BB996" s="552">
        <f t="shared" si="576"/>
        <v>0</v>
      </c>
      <c r="BC996" s="552">
        <f t="shared" si="576"/>
        <v>0</v>
      </c>
      <c r="BD996" s="552">
        <f t="shared" si="576"/>
        <v>0</v>
      </c>
      <c r="BE996" s="552">
        <f t="shared" si="576"/>
        <v>0</v>
      </c>
      <c r="BF996" s="552">
        <f t="shared" si="576"/>
        <v>0</v>
      </c>
      <c r="BG996" s="552">
        <f t="shared" si="576"/>
        <v>0</v>
      </c>
      <c r="BH996" s="552">
        <f t="shared" si="576"/>
        <v>0</v>
      </c>
      <c r="BI996" s="552">
        <f t="shared" si="576"/>
        <v>0</v>
      </c>
      <c r="BJ996" s="552">
        <f t="shared" si="576"/>
        <v>0</v>
      </c>
      <c r="BK996" s="552">
        <f t="shared" si="576"/>
        <v>0</v>
      </c>
      <c r="BL996" s="552">
        <f t="shared" si="576"/>
        <v>0</v>
      </c>
      <c r="BM996" s="552">
        <f t="shared" si="576"/>
        <v>0</v>
      </c>
      <c r="BN996" s="552">
        <f t="shared" si="576"/>
        <v>0</v>
      </c>
      <c r="BO996" s="552">
        <f t="shared" si="576"/>
        <v>0</v>
      </c>
      <c r="BP996" s="552">
        <f t="shared" si="576"/>
        <v>0</v>
      </c>
      <c r="BQ996" s="552">
        <f t="shared" si="576"/>
        <v>0</v>
      </c>
      <c r="BR996" s="552">
        <f t="shared" si="576"/>
        <v>0</v>
      </c>
      <c r="BS996" s="552">
        <f t="shared" si="576"/>
        <v>0</v>
      </c>
      <c r="BT996" s="552">
        <f t="shared" si="576"/>
        <v>0</v>
      </c>
      <c r="BU996" s="552">
        <f t="shared" si="576"/>
        <v>0</v>
      </c>
      <c r="BV996" s="552">
        <f t="shared" ref="BV996:DA996" si="577">BV28*BV$338</f>
        <v>0</v>
      </c>
      <c r="BW996" s="552">
        <f t="shared" si="577"/>
        <v>0</v>
      </c>
      <c r="BX996" s="552">
        <f t="shared" si="577"/>
        <v>0</v>
      </c>
      <c r="BY996" s="552">
        <f t="shared" si="577"/>
        <v>0</v>
      </c>
      <c r="BZ996" s="552">
        <f t="shared" si="577"/>
        <v>0</v>
      </c>
      <c r="CA996" s="552">
        <f t="shared" si="577"/>
        <v>0</v>
      </c>
      <c r="CB996" s="552">
        <f t="shared" si="577"/>
        <v>0</v>
      </c>
      <c r="CC996" s="552">
        <f t="shared" si="577"/>
        <v>0</v>
      </c>
      <c r="CD996" s="552">
        <f t="shared" si="577"/>
        <v>0</v>
      </c>
      <c r="CE996" s="552">
        <f t="shared" si="577"/>
        <v>0</v>
      </c>
      <c r="CF996" s="552">
        <f t="shared" si="577"/>
        <v>0.6</v>
      </c>
      <c r="CG996" s="552">
        <f t="shared" si="577"/>
        <v>0</v>
      </c>
      <c r="CH996" s="552">
        <f t="shared" si="577"/>
        <v>0</v>
      </c>
      <c r="CI996" s="552">
        <f t="shared" si="577"/>
        <v>0</v>
      </c>
      <c r="CJ996" s="552">
        <f t="shared" si="577"/>
        <v>0</v>
      </c>
      <c r="CK996" s="552">
        <f t="shared" si="577"/>
        <v>0</v>
      </c>
      <c r="CL996" s="552">
        <f t="shared" si="577"/>
        <v>0</v>
      </c>
      <c r="CM996" s="552">
        <f t="shared" si="577"/>
        <v>0</v>
      </c>
      <c r="CN996" s="552">
        <f t="shared" si="577"/>
        <v>0</v>
      </c>
      <c r="CO996" s="552">
        <f t="shared" si="577"/>
        <v>0</v>
      </c>
      <c r="CP996" s="552">
        <f t="shared" si="577"/>
        <v>0</v>
      </c>
      <c r="CQ996" s="552">
        <f t="shared" si="577"/>
        <v>0</v>
      </c>
      <c r="CR996" s="552">
        <f t="shared" si="577"/>
        <v>0</v>
      </c>
      <c r="CS996" s="552">
        <f t="shared" si="577"/>
        <v>0.18</v>
      </c>
      <c r="CT996" s="552">
        <f t="shared" si="577"/>
        <v>0</v>
      </c>
      <c r="CU996" s="552">
        <f t="shared" si="577"/>
        <v>0</v>
      </c>
      <c r="CV996" s="552">
        <f t="shared" si="577"/>
        <v>0</v>
      </c>
      <c r="CW996" s="552">
        <f t="shared" si="577"/>
        <v>0</v>
      </c>
      <c r="CX996" s="552">
        <f t="shared" si="577"/>
        <v>0</v>
      </c>
      <c r="CY996" s="552">
        <f t="shared" si="577"/>
        <v>0</v>
      </c>
      <c r="CZ996" s="552">
        <f t="shared" si="577"/>
        <v>0</v>
      </c>
      <c r="DA996" s="552">
        <f t="shared" si="577"/>
        <v>0</v>
      </c>
      <c r="DB996" s="552">
        <f t="shared" ref="DB996:EG996" si="578">DB28*DB$338</f>
        <v>0</v>
      </c>
      <c r="DC996" s="552">
        <f t="shared" si="578"/>
        <v>0.05</v>
      </c>
      <c r="DD996" s="552">
        <f t="shared" si="578"/>
        <v>0</v>
      </c>
      <c r="DE996" s="552">
        <f t="shared" si="578"/>
        <v>0</v>
      </c>
      <c r="DF996" s="552">
        <f t="shared" si="578"/>
        <v>0</v>
      </c>
      <c r="DG996" s="552">
        <f t="shared" si="578"/>
        <v>0</v>
      </c>
      <c r="DH996" s="552">
        <f t="shared" si="578"/>
        <v>0</v>
      </c>
      <c r="DI996" s="552">
        <f t="shared" si="578"/>
        <v>0</v>
      </c>
      <c r="DJ996" s="552">
        <f t="shared" si="578"/>
        <v>0</v>
      </c>
      <c r="DK996" s="552">
        <f t="shared" si="578"/>
        <v>0</v>
      </c>
      <c r="DL996" s="552">
        <f t="shared" si="578"/>
        <v>1.01</v>
      </c>
      <c r="DM996" s="552">
        <f t="shared" si="578"/>
        <v>0</v>
      </c>
      <c r="DN996" s="552">
        <f t="shared" si="578"/>
        <v>0</v>
      </c>
      <c r="DO996" s="552">
        <f t="shared" si="578"/>
        <v>0</v>
      </c>
      <c r="DP996" s="552">
        <f t="shared" si="578"/>
        <v>0</v>
      </c>
      <c r="DQ996" s="552">
        <f t="shared" si="578"/>
        <v>0</v>
      </c>
      <c r="DR996" s="552">
        <f t="shared" si="578"/>
        <v>0</v>
      </c>
      <c r="DS996" s="552">
        <f t="shared" si="578"/>
        <v>0</v>
      </c>
      <c r="DT996" s="552">
        <f t="shared" si="578"/>
        <v>0</v>
      </c>
      <c r="DU996" s="552">
        <f t="shared" si="578"/>
        <v>0</v>
      </c>
      <c r="DV996" s="552">
        <f t="shared" si="578"/>
        <v>0</v>
      </c>
      <c r="DW996" s="552">
        <f t="shared" si="578"/>
        <v>0</v>
      </c>
      <c r="DX996" s="552">
        <f t="shared" si="578"/>
        <v>0</v>
      </c>
      <c r="DY996" s="552">
        <f t="shared" si="578"/>
        <v>0</v>
      </c>
      <c r="DZ996" s="552">
        <f t="shared" si="578"/>
        <v>0</v>
      </c>
      <c r="EA996" s="552">
        <f t="shared" si="578"/>
        <v>0</v>
      </c>
      <c r="EB996" s="552">
        <f t="shared" si="578"/>
        <v>0</v>
      </c>
      <c r="EC996" s="552">
        <f t="shared" si="578"/>
        <v>0</v>
      </c>
      <c r="ED996" s="552">
        <f t="shared" si="578"/>
        <v>0</v>
      </c>
      <c r="EE996" s="552">
        <f t="shared" si="578"/>
        <v>0</v>
      </c>
      <c r="EF996" s="552">
        <f t="shared" si="578"/>
        <v>0</v>
      </c>
      <c r="EG996" s="552">
        <f t="shared" si="578"/>
        <v>0</v>
      </c>
      <c r="EH996" s="552">
        <f t="shared" ref="EH996:EX996" si="579">EH28*EH$338</f>
        <v>0</v>
      </c>
      <c r="EI996" s="552">
        <f t="shared" si="579"/>
        <v>0</v>
      </c>
      <c r="EJ996" s="552">
        <f t="shared" si="579"/>
        <v>0</v>
      </c>
      <c r="EK996" s="552">
        <f t="shared" si="579"/>
        <v>0</v>
      </c>
      <c r="EL996" s="552">
        <f t="shared" si="579"/>
        <v>0</v>
      </c>
      <c r="EM996" s="552">
        <f t="shared" si="579"/>
        <v>0</v>
      </c>
      <c r="EN996" s="552">
        <f t="shared" si="579"/>
        <v>0</v>
      </c>
      <c r="EO996" s="552">
        <f t="shared" si="579"/>
        <v>0</v>
      </c>
      <c r="EP996" s="552">
        <f t="shared" si="579"/>
        <v>0</v>
      </c>
      <c r="EQ996" s="552">
        <f t="shared" si="579"/>
        <v>0</v>
      </c>
      <c r="ER996" s="552">
        <f t="shared" si="579"/>
        <v>0</v>
      </c>
      <c r="ES996" s="552">
        <f t="shared" si="579"/>
        <v>0</v>
      </c>
      <c r="ET996" s="552">
        <f t="shared" si="579"/>
        <v>0</v>
      </c>
      <c r="EU996" s="552">
        <f t="shared" si="579"/>
        <v>0</v>
      </c>
      <c r="EV996" s="552">
        <f t="shared" si="579"/>
        <v>0</v>
      </c>
      <c r="EW996" s="552">
        <f t="shared" si="579"/>
        <v>0</v>
      </c>
      <c r="EX996" s="552">
        <f t="shared" si="579"/>
        <v>0</v>
      </c>
      <c r="EY996" s="799">
        <f t="shared" si="527"/>
        <v>9.01</v>
      </c>
      <c r="EZ996" s="561"/>
      <c r="FA996" s="561"/>
      <c r="FB996" s="561"/>
      <c r="FC996" s="561"/>
      <c r="FD996" s="561"/>
      <c r="FE996" s="561"/>
      <c r="FF996" s="561"/>
      <c r="FG996" s="561"/>
      <c r="FH996" s="561"/>
      <c r="FI996" s="561"/>
      <c r="FJ996" s="561"/>
      <c r="FK996" s="561"/>
      <c r="FL996" s="561"/>
    </row>
    <row r="997" spans="1:168" s="551" customFormat="1" ht="27.6" x14ac:dyDescent="0.25">
      <c r="A997" s="1492"/>
      <c r="B997" s="1064" t="str">
        <f t="shared" si="566"/>
        <v>Котлеты (биточки, шницели) из говядины с томатным соусом</v>
      </c>
      <c r="C997" s="1064">
        <f t="shared" si="574"/>
        <v>80</v>
      </c>
      <c r="D997" s="1064">
        <f t="shared" si="574"/>
        <v>8.3800000000000008</v>
      </c>
      <c r="E997" s="1158">
        <f t="shared" si="575"/>
        <v>32.630000000000003</v>
      </c>
      <c r="F997" s="1142"/>
      <c r="G997" s="1142"/>
      <c r="H997" s="1142"/>
      <c r="I997" s="790"/>
      <c r="J997" s="552">
        <f t="shared" ref="J997:BU997" si="580">J29*J$338</f>
        <v>28</v>
      </c>
      <c r="K997" s="552">
        <f t="shared" si="580"/>
        <v>0</v>
      </c>
      <c r="L997" s="552">
        <f t="shared" si="580"/>
        <v>0</v>
      </c>
      <c r="M997" s="552">
        <f t="shared" si="580"/>
        <v>0</v>
      </c>
      <c r="N997" s="552">
        <f t="shared" si="580"/>
        <v>0</v>
      </c>
      <c r="O997" s="552">
        <f t="shared" si="580"/>
        <v>0</v>
      </c>
      <c r="P997" s="552">
        <f t="shared" si="580"/>
        <v>0</v>
      </c>
      <c r="Q997" s="552">
        <f t="shared" si="580"/>
        <v>0</v>
      </c>
      <c r="R997" s="552">
        <f t="shared" si="580"/>
        <v>0</v>
      </c>
      <c r="S997" s="552">
        <f t="shared" si="580"/>
        <v>0</v>
      </c>
      <c r="T997" s="552">
        <f t="shared" si="580"/>
        <v>0</v>
      </c>
      <c r="U997" s="552">
        <f t="shared" si="580"/>
        <v>0.48</v>
      </c>
      <c r="V997" s="552">
        <f t="shared" si="580"/>
        <v>0</v>
      </c>
      <c r="W997" s="552">
        <f t="shared" si="580"/>
        <v>0</v>
      </c>
      <c r="X997" s="552">
        <f t="shared" si="580"/>
        <v>0</v>
      </c>
      <c r="Y997" s="552">
        <f t="shared" si="580"/>
        <v>1.76</v>
      </c>
      <c r="Z997" s="552">
        <f t="shared" si="580"/>
        <v>0</v>
      </c>
      <c r="AA997" s="552">
        <f t="shared" si="580"/>
        <v>0</v>
      </c>
      <c r="AB997" s="552">
        <f t="shared" si="580"/>
        <v>0</v>
      </c>
      <c r="AC997" s="552">
        <f t="shared" si="580"/>
        <v>0</v>
      </c>
      <c r="AD997" s="552">
        <f t="shared" si="580"/>
        <v>0</v>
      </c>
      <c r="AE997" s="552">
        <f t="shared" si="580"/>
        <v>0</v>
      </c>
      <c r="AF997" s="552">
        <f t="shared" si="580"/>
        <v>0</v>
      </c>
      <c r="AG997" s="552">
        <f t="shared" si="580"/>
        <v>0</v>
      </c>
      <c r="AH997" s="552">
        <f t="shared" si="580"/>
        <v>0</v>
      </c>
      <c r="AI997" s="552">
        <f t="shared" si="580"/>
        <v>0</v>
      </c>
      <c r="AJ997" s="552">
        <f t="shared" si="580"/>
        <v>0</v>
      </c>
      <c r="AK997" s="552">
        <f t="shared" si="580"/>
        <v>0</v>
      </c>
      <c r="AL997" s="552">
        <f t="shared" si="580"/>
        <v>0</v>
      </c>
      <c r="AM997" s="552">
        <f t="shared" si="580"/>
        <v>0</v>
      </c>
      <c r="AN997" s="552">
        <f t="shared" si="580"/>
        <v>0</v>
      </c>
      <c r="AO997" s="552">
        <f t="shared" si="580"/>
        <v>0</v>
      </c>
      <c r="AP997" s="552">
        <f t="shared" si="580"/>
        <v>0</v>
      </c>
      <c r="AQ997" s="552">
        <f t="shared" si="580"/>
        <v>0</v>
      </c>
      <c r="AR997" s="552">
        <f t="shared" si="580"/>
        <v>0</v>
      </c>
      <c r="AS997" s="552">
        <f t="shared" si="580"/>
        <v>0</v>
      </c>
      <c r="AT997" s="552">
        <f t="shared" si="580"/>
        <v>0</v>
      </c>
      <c r="AU997" s="552">
        <f t="shared" si="580"/>
        <v>0</v>
      </c>
      <c r="AV997" s="552">
        <f t="shared" si="580"/>
        <v>0</v>
      </c>
      <c r="AW997" s="552">
        <f t="shared" si="580"/>
        <v>0</v>
      </c>
      <c r="AX997" s="552">
        <f t="shared" si="580"/>
        <v>0</v>
      </c>
      <c r="AY997" s="552">
        <f t="shared" si="580"/>
        <v>0</v>
      </c>
      <c r="AZ997" s="552">
        <f t="shared" si="580"/>
        <v>0</v>
      </c>
      <c r="BA997" s="552">
        <f t="shared" si="580"/>
        <v>0</v>
      </c>
      <c r="BB997" s="552">
        <f t="shared" si="580"/>
        <v>0</v>
      </c>
      <c r="BC997" s="552">
        <f t="shared" si="580"/>
        <v>0</v>
      </c>
      <c r="BD997" s="552">
        <f t="shared" si="580"/>
        <v>0</v>
      </c>
      <c r="BE997" s="552">
        <f t="shared" si="580"/>
        <v>0</v>
      </c>
      <c r="BF997" s="552">
        <f t="shared" si="580"/>
        <v>0</v>
      </c>
      <c r="BG997" s="552">
        <f t="shared" si="580"/>
        <v>0</v>
      </c>
      <c r="BH997" s="552">
        <f t="shared" si="580"/>
        <v>0</v>
      </c>
      <c r="BI997" s="552">
        <f t="shared" si="580"/>
        <v>0</v>
      </c>
      <c r="BJ997" s="552">
        <f t="shared" si="580"/>
        <v>0</v>
      </c>
      <c r="BK997" s="552">
        <f t="shared" si="580"/>
        <v>0</v>
      </c>
      <c r="BL997" s="552">
        <f t="shared" si="580"/>
        <v>0</v>
      </c>
      <c r="BM997" s="552">
        <f t="shared" si="580"/>
        <v>0</v>
      </c>
      <c r="BN997" s="552">
        <f t="shared" si="580"/>
        <v>0</v>
      </c>
      <c r="BO997" s="552">
        <f t="shared" si="580"/>
        <v>0</v>
      </c>
      <c r="BP997" s="552">
        <f t="shared" si="580"/>
        <v>0</v>
      </c>
      <c r="BQ997" s="552">
        <f t="shared" si="580"/>
        <v>0</v>
      </c>
      <c r="BR997" s="552">
        <f t="shared" si="580"/>
        <v>0</v>
      </c>
      <c r="BS997" s="552">
        <f t="shared" si="580"/>
        <v>0.08</v>
      </c>
      <c r="BT997" s="552">
        <f t="shared" si="580"/>
        <v>0</v>
      </c>
      <c r="BU997" s="552">
        <f t="shared" si="580"/>
        <v>0</v>
      </c>
      <c r="BV997" s="552">
        <f t="shared" ref="BV997:DA997" si="581">BV29*BV$338</f>
        <v>0</v>
      </c>
      <c r="BW997" s="552">
        <f t="shared" si="581"/>
        <v>0</v>
      </c>
      <c r="BX997" s="552">
        <f t="shared" si="581"/>
        <v>0</v>
      </c>
      <c r="BY997" s="552">
        <f t="shared" si="581"/>
        <v>0</v>
      </c>
      <c r="BZ997" s="552">
        <f t="shared" si="581"/>
        <v>0</v>
      </c>
      <c r="CA997" s="552">
        <f t="shared" si="581"/>
        <v>0</v>
      </c>
      <c r="CB997" s="552">
        <f t="shared" si="581"/>
        <v>0</v>
      </c>
      <c r="CC997" s="552">
        <f t="shared" si="581"/>
        <v>0</v>
      </c>
      <c r="CD997" s="552">
        <f t="shared" si="581"/>
        <v>0</v>
      </c>
      <c r="CE997" s="552">
        <f t="shared" si="581"/>
        <v>0</v>
      </c>
      <c r="CF997" s="552">
        <f t="shared" si="581"/>
        <v>0.36</v>
      </c>
      <c r="CG997" s="552">
        <f t="shared" si="581"/>
        <v>0</v>
      </c>
      <c r="CH997" s="552">
        <f t="shared" si="581"/>
        <v>0</v>
      </c>
      <c r="CI997" s="552">
        <f t="shared" si="581"/>
        <v>0</v>
      </c>
      <c r="CJ997" s="552">
        <f t="shared" si="581"/>
        <v>0</v>
      </c>
      <c r="CK997" s="552">
        <f t="shared" si="581"/>
        <v>0</v>
      </c>
      <c r="CL997" s="552">
        <f t="shared" si="581"/>
        <v>0</v>
      </c>
      <c r="CM997" s="552">
        <f t="shared" si="581"/>
        <v>0</v>
      </c>
      <c r="CN997" s="552">
        <f t="shared" si="581"/>
        <v>0</v>
      </c>
      <c r="CO997" s="552">
        <f t="shared" si="581"/>
        <v>0</v>
      </c>
      <c r="CP997" s="552">
        <f t="shared" si="581"/>
        <v>0</v>
      </c>
      <c r="CQ997" s="552">
        <f t="shared" si="581"/>
        <v>0</v>
      </c>
      <c r="CR997" s="552">
        <f t="shared" si="581"/>
        <v>0</v>
      </c>
      <c r="CS997" s="552">
        <f t="shared" si="581"/>
        <v>0</v>
      </c>
      <c r="CT997" s="552">
        <f t="shared" si="581"/>
        <v>0</v>
      </c>
      <c r="CU997" s="552">
        <f t="shared" si="581"/>
        <v>0</v>
      </c>
      <c r="CV997" s="552">
        <f t="shared" si="581"/>
        <v>0</v>
      </c>
      <c r="CW997" s="552">
        <f t="shared" si="581"/>
        <v>0</v>
      </c>
      <c r="CX997" s="552">
        <f t="shared" si="581"/>
        <v>0</v>
      </c>
      <c r="CY997" s="552">
        <f t="shared" si="581"/>
        <v>0</v>
      </c>
      <c r="CZ997" s="552">
        <f t="shared" si="581"/>
        <v>0</v>
      </c>
      <c r="DA997" s="552">
        <f t="shared" si="581"/>
        <v>0</v>
      </c>
      <c r="DB997" s="552">
        <f t="shared" ref="DB997:EG997" si="582">DB29*DB$338</f>
        <v>0</v>
      </c>
      <c r="DC997" s="552">
        <f t="shared" si="582"/>
        <v>0.08</v>
      </c>
      <c r="DD997" s="552">
        <f t="shared" si="582"/>
        <v>0.59</v>
      </c>
      <c r="DE997" s="552">
        <f t="shared" si="582"/>
        <v>0</v>
      </c>
      <c r="DF997" s="552">
        <f t="shared" si="582"/>
        <v>0.69</v>
      </c>
      <c r="DG997" s="552">
        <f t="shared" si="582"/>
        <v>0</v>
      </c>
      <c r="DH997" s="552">
        <f t="shared" si="582"/>
        <v>0</v>
      </c>
      <c r="DI997" s="552">
        <f t="shared" si="582"/>
        <v>0</v>
      </c>
      <c r="DJ997" s="552">
        <f t="shared" si="582"/>
        <v>0</v>
      </c>
      <c r="DK997" s="552">
        <f t="shared" si="582"/>
        <v>0</v>
      </c>
      <c r="DL997" s="552">
        <f t="shared" si="582"/>
        <v>0</v>
      </c>
      <c r="DM997" s="552">
        <f t="shared" si="582"/>
        <v>0</v>
      </c>
      <c r="DN997" s="552">
        <f t="shared" si="582"/>
        <v>0</v>
      </c>
      <c r="DO997" s="552">
        <f t="shared" si="582"/>
        <v>0</v>
      </c>
      <c r="DP997" s="552">
        <f t="shared" si="582"/>
        <v>0</v>
      </c>
      <c r="DQ997" s="552">
        <f t="shared" si="582"/>
        <v>0</v>
      </c>
      <c r="DR997" s="552">
        <f t="shared" si="582"/>
        <v>0</v>
      </c>
      <c r="DS997" s="552">
        <f t="shared" si="582"/>
        <v>0</v>
      </c>
      <c r="DT997" s="552">
        <f t="shared" si="582"/>
        <v>0</v>
      </c>
      <c r="DU997" s="552">
        <f t="shared" si="582"/>
        <v>0</v>
      </c>
      <c r="DV997" s="552">
        <f t="shared" si="582"/>
        <v>0</v>
      </c>
      <c r="DW997" s="552">
        <f t="shared" si="582"/>
        <v>0</v>
      </c>
      <c r="DX997" s="552">
        <f t="shared" si="582"/>
        <v>0</v>
      </c>
      <c r="DY997" s="552">
        <f t="shared" si="582"/>
        <v>0</v>
      </c>
      <c r="DZ997" s="552">
        <f t="shared" si="582"/>
        <v>0</v>
      </c>
      <c r="EA997" s="552">
        <f t="shared" si="582"/>
        <v>0</v>
      </c>
      <c r="EB997" s="552">
        <f t="shared" si="582"/>
        <v>0</v>
      </c>
      <c r="EC997" s="552">
        <f t="shared" si="582"/>
        <v>0</v>
      </c>
      <c r="ED997" s="552">
        <f t="shared" si="582"/>
        <v>0</v>
      </c>
      <c r="EE997" s="552">
        <f t="shared" si="582"/>
        <v>0</v>
      </c>
      <c r="EF997" s="552">
        <f t="shared" si="582"/>
        <v>0</v>
      </c>
      <c r="EG997" s="552">
        <f t="shared" si="582"/>
        <v>0</v>
      </c>
      <c r="EH997" s="552">
        <f t="shared" ref="EH997:EX997" si="583">EH29*EH$338</f>
        <v>0</v>
      </c>
      <c r="EI997" s="552">
        <f t="shared" si="583"/>
        <v>0</v>
      </c>
      <c r="EJ997" s="552">
        <f t="shared" si="583"/>
        <v>0</v>
      </c>
      <c r="EK997" s="552">
        <f t="shared" si="583"/>
        <v>0</v>
      </c>
      <c r="EL997" s="552">
        <f t="shared" si="583"/>
        <v>0</v>
      </c>
      <c r="EM997" s="552">
        <f t="shared" si="583"/>
        <v>0</v>
      </c>
      <c r="EN997" s="552">
        <f t="shared" si="583"/>
        <v>0</v>
      </c>
      <c r="EO997" s="552">
        <f t="shared" si="583"/>
        <v>0</v>
      </c>
      <c r="EP997" s="552">
        <f t="shared" si="583"/>
        <v>0</v>
      </c>
      <c r="EQ997" s="552">
        <f t="shared" si="583"/>
        <v>0</v>
      </c>
      <c r="ER997" s="552">
        <f t="shared" si="583"/>
        <v>0</v>
      </c>
      <c r="ES997" s="552">
        <f t="shared" si="583"/>
        <v>0</v>
      </c>
      <c r="ET997" s="552">
        <f t="shared" si="583"/>
        <v>0</v>
      </c>
      <c r="EU997" s="552">
        <f t="shared" si="583"/>
        <v>0</v>
      </c>
      <c r="EV997" s="552">
        <f t="shared" si="583"/>
        <v>0.59</v>
      </c>
      <c r="EW997" s="552">
        <f t="shared" si="583"/>
        <v>0</v>
      </c>
      <c r="EX997" s="552">
        <f t="shared" si="583"/>
        <v>0</v>
      </c>
      <c r="EY997" s="799">
        <f t="shared" si="527"/>
        <v>32.630000000000003</v>
      </c>
      <c r="EZ997" s="561"/>
      <c r="FA997" s="561"/>
      <c r="FB997" s="561"/>
      <c r="FC997" s="561"/>
      <c r="FD997" s="561"/>
      <c r="FE997" s="561"/>
      <c r="FF997" s="561"/>
      <c r="FG997" s="561"/>
      <c r="FH997" s="561"/>
      <c r="FI997" s="561"/>
      <c r="FJ997" s="561"/>
      <c r="FK997" s="561"/>
      <c r="FL997" s="561"/>
    </row>
    <row r="998" spans="1:168" s="551" customFormat="1" x14ac:dyDescent="0.25">
      <c r="A998" s="1492"/>
      <c r="B998" s="1064" t="str">
        <f t="shared" si="566"/>
        <v>Рагу из овощей</v>
      </c>
      <c r="C998" s="1064">
        <f t="shared" si="574"/>
        <v>160</v>
      </c>
      <c r="D998" s="1064">
        <f t="shared" si="574"/>
        <v>2.7</v>
      </c>
      <c r="E998" s="1158">
        <f t="shared" si="575"/>
        <v>19.170000000000002</v>
      </c>
      <c r="F998" s="1142"/>
      <c r="G998" s="1142"/>
      <c r="H998" s="1142"/>
      <c r="I998" s="790"/>
      <c r="J998" s="552">
        <f t="shared" ref="J998:BU998" si="584">J30*J$338</f>
        <v>0</v>
      </c>
      <c r="K998" s="552">
        <f t="shared" si="584"/>
        <v>0</v>
      </c>
      <c r="L998" s="552">
        <f t="shared" si="584"/>
        <v>0</v>
      </c>
      <c r="M998" s="552">
        <f t="shared" si="584"/>
        <v>0</v>
      </c>
      <c r="N998" s="552">
        <f t="shared" si="584"/>
        <v>0</v>
      </c>
      <c r="O998" s="552">
        <f t="shared" si="584"/>
        <v>0</v>
      </c>
      <c r="P998" s="552">
        <f t="shared" si="584"/>
        <v>0</v>
      </c>
      <c r="Q998" s="552">
        <f t="shared" si="584"/>
        <v>0</v>
      </c>
      <c r="R998" s="552">
        <f t="shared" si="584"/>
        <v>0</v>
      </c>
      <c r="S998" s="552">
        <f t="shared" si="584"/>
        <v>0</v>
      </c>
      <c r="T998" s="552">
        <f t="shared" si="584"/>
        <v>0</v>
      </c>
      <c r="U998" s="552">
        <f t="shared" si="584"/>
        <v>0</v>
      </c>
      <c r="V998" s="552">
        <f t="shared" si="584"/>
        <v>5.68</v>
      </c>
      <c r="W998" s="552">
        <f t="shared" si="584"/>
        <v>0</v>
      </c>
      <c r="X998" s="552">
        <f t="shared" si="584"/>
        <v>0</v>
      </c>
      <c r="Y998" s="552">
        <f t="shared" si="584"/>
        <v>2.63</v>
      </c>
      <c r="Z998" s="552">
        <f t="shared" si="584"/>
        <v>0</v>
      </c>
      <c r="AA998" s="552">
        <f t="shared" si="584"/>
        <v>0</v>
      </c>
      <c r="AB998" s="552">
        <f t="shared" si="584"/>
        <v>0</v>
      </c>
      <c r="AC998" s="552">
        <f t="shared" si="584"/>
        <v>0</v>
      </c>
      <c r="AD998" s="552">
        <f t="shared" si="584"/>
        <v>0</v>
      </c>
      <c r="AE998" s="552">
        <f t="shared" si="584"/>
        <v>0</v>
      </c>
      <c r="AF998" s="552">
        <f t="shared" si="584"/>
        <v>1.99</v>
      </c>
      <c r="AG998" s="552">
        <f t="shared" si="584"/>
        <v>0</v>
      </c>
      <c r="AH998" s="552">
        <f t="shared" si="584"/>
        <v>3.23</v>
      </c>
      <c r="AI998" s="552">
        <f t="shared" si="584"/>
        <v>0</v>
      </c>
      <c r="AJ998" s="552">
        <f t="shared" si="584"/>
        <v>0</v>
      </c>
      <c r="AK998" s="552">
        <f t="shared" si="584"/>
        <v>0.75</v>
      </c>
      <c r="AL998" s="552">
        <f t="shared" si="584"/>
        <v>0</v>
      </c>
      <c r="AM998" s="552">
        <f t="shared" si="584"/>
        <v>0</v>
      </c>
      <c r="AN998" s="552">
        <f t="shared" si="584"/>
        <v>0</v>
      </c>
      <c r="AO998" s="552">
        <f t="shared" si="584"/>
        <v>0</v>
      </c>
      <c r="AP998" s="552">
        <f t="shared" si="584"/>
        <v>0</v>
      </c>
      <c r="AQ998" s="552">
        <f t="shared" si="584"/>
        <v>1.5</v>
      </c>
      <c r="AR998" s="552">
        <f t="shared" si="584"/>
        <v>0</v>
      </c>
      <c r="AS998" s="552">
        <f t="shared" si="584"/>
        <v>0</v>
      </c>
      <c r="AT998" s="552">
        <f t="shared" si="584"/>
        <v>0</v>
      </c>
      <c r="AU998" s="552">
        <f t="shared" si="584"/>
        <v>0.6</v>
      </c>
      <c r="AV998" s="552">
        <f t="shared" si="584"/>
        <v>0</v>
      </c>
      <c r="AW998" s="552">
        <f t="shared" si="584"/>
        <v>0</v>
      </c>
      <c r="AX998" s="552">
        <f t="shared" si="584"/>
        <v>0</v>
      </c>
      <c r="AY998" s="552">
        <f t="shared" si="584"/>
        <v>0</v>
      </c>
      <c r="AZ998" s="552">
        <f t="shared" si="584"/>
        <v>0</v>
      </c>
      <c r="BA998" s="552">
        <f t="shared" si="584"/>
        <v>1.89</v>
      </c>
      <c r="BB998" s="552">
        <f t="shared" si="584"/>
        <v>0</v>
      </c>
      <c r="BC998" s="552">
        <f t="shared" si="584"/>
        <v>0</v>
      </c>
      <c r="BD998" s="552">
        <f t="shared" si="584"/>
        <v>0</v>
      </c>
      <c r="BE998" s="552">
        <f t="shared" si="584"/>
        <v>0</v>
      </c>
      <c r="BF998" s="552">
        <f t="shared" si="584"/>
        <v>0</v>
      </c>
      <c r="BG998" s="552">
        <f t="shared" si="584"/>
        <v>0</v>
      </c>
      <c r="BH998" s="552">
        <f t="shared" si="584"/>
        <v>0</v>
      </c>
      <c r="BI998" s="552">
        <f t="shared" si="584"/>
        <v>0</v>
      </c>
      <c r="BJ998" s="552">
        <f t="shared" si="584"/>
        <v>0</v>
      </c>
      <c r="BK998" s="552">
        <f t="shared" si="584"/>
        <v>0</v>
      </c>
      <c r="BL998" s="552">
        <f t="shared" si="584"/>
        <v>0</v>
      </c>
      <c r="BM998" s="552">
        <f t="shared" si="584"/>
        <v>0</v>
      </c>
      <c r="BN998" s="552">
        <f t="shared" si="584"/>
        <v>0</v>
      </c>
      <c r="BO998" s="552">
        <f t="shared" si="584"/>
        <v>0</v>
      </c>
      <c r="BP998" s="552">
        <f t="shared" si="584"/>
        <v>0</v>
      </c>
      <c r="BQ998" s="552">
        <f t="shared" si="584"/>
        <v>0</v>
      </c>
      <c r="BR998" s="552">
        <f t="shared" si="584"/>
        <v>0</v>
      </c>
      <c r="BS998" s="552">
        <f t="shared" si="584"/>
        <v>0.12</v>
      </c>
      <c r="BT998" s="552">
        <f t="shared" si="584"/>
        <v>0</v>
      </c>
      <c r="BU998" s="552">
        <f t="shared" si="584"/>
        <v>0</v>
      </c>
      <c r="BV998" s="552">
        <f t="shared" ref="BV998:DA998" si="585">BV30*BV$338</f>
        <v>0</v>
      </c>
      <c r="BW998" s="552">
        <f t="shared" si="585"/>
        <v>0</v>
      </c>
      <c r="BX998" s="552">
        <f t="shared" si="585"/>
        <v>0</v>
      </c>
      <c r="BY998" s="552">
        <f t="shared" si="585"/>
        <v>0</v>
      </c>
      <c r="BZ998" s="552">
        <f t="shared" si="585"/>
        <v>0</v>
      </c>
      <c r="CA998" s="552">
        <f t="shared" si="585"/>
        <v>0</v>
      </c>
      <c r="CB998" s="552">
        <f t="shared" si="585"/>
        <v>0</v>
      </c>
      <c r="CC998" s="552">
        <f t="shared" si="585"/>
        <v>0</v>
      </c>
      <c r="CD998" s="552">
        <f t="shared" si="585"/>
        <v>0</v>
      </c>
      <c r="CE998" s="552">
        <f t="shared" si="585"/>
        <v>0</v>
      </c>
      <c r="CF998" s="552">
        <f t="shared" si="585"/>
        <v>0.72</v>
      </c>
      <c r="CG998" s="552">
        <f t="shared" si="585"/>
        <v>0</v>
      </c>
      <c r="CH998" s="552">
        <f t="shared" si="585"/>
        <v>0</v>
      </c>
      <c r="CI998" s="552">
        <f t="shared" si="585"/>
        <v>0</v>
      </c>
      <c r="CJ998" s="552">
        <f t="shared" si="585"/>
        <v>0</v>
      </c>
      <c r="CK998" s="552">
        <f t="shared" si="585"/>
        <v>0</v>
      </c>
      <c r="CL998" s="552">
        <f t="shared" si="585"/>
        <v>0</v>
      </c>
      <c r="CM998" s="552">
        <f t="shared" si="585"/>
        <v>0</v>
      </c>
      <c r="CN998" s="552">
        <f t="shared" si="585"/>
        <v>0</v>
      </c>
      <c r="CO998" s="552">
        <f t="shared" si="585"/>
        <v>0</v>
      </c>
      <c r="CP998" s="552">
        <f t="shared" si="585"/>
        <v>0</v>
      </c>
      <c r="CQ998" s="552">
        <f t="shared" si="585"/>
        <v>0</v>
      </c>
      <c r="CR998" s="552">
        <f t="shared" si="585"/>
        <v>0</v>
      </c>
      <c r="CS998" s="552">
        <f t="shared" si="585"/>
        <v>0.02</v>
      </c>
      <c r="CT998" s="552">
        <f t="shared" si="585"/>
        <v>0</v>
      </c>
      <c r="CU998" s="552">
        <f t="shared" si="585"/>
        <v>0</v>
      </c>
      <c r="CV998" s="552">
        <f t="shared" si="585"/>
        <v>0</v>
      </c>
      <c r="CW998" s="552">
        <f t="shared" si="585"/>
        <v>0</v>
      </c>
      <c r="CX998" s="552">
        <f t="shared" si="585"/>
        <v>0</v>
      </c>
      <c r="CY998" s="552">
        <f t="shared" si="585"/>
        <v>0</v>
      </c>
      <c r="CZ998" s="552">
        <f t="shared" si="585"/>
        <v>0</v>
      </c>
      <c r="DA998" s="552">
        <f t="shared" si="585"/>
        <v>0</v>
      </c>
      <c r="DB998" s="552">
        <f t="shared" ref="DB998:EG998" si="586">DB30*DB$338</f>
        <v>0</v>
      </c>
      <c r="DC998" s="552">
        <f t="shared" si="586"/>
        <v>0.04</v>
      </c>
      <c r="DD998" s="552">
        <f t="shared" si="586"/>
        <v>0</v>
      </c>
      <c r="DE998" s="552">
        <f t="shared" si="586"/>
        <v>0</v>
      </c>
      <c r="DF998" s="552">
        <f t="shared" si="586"/>
        <v>0</v>
      </c>
      <c r="DG998" s="552">
        <f t="shared" si="586"/>
        <v>0</v>
      </c>
      <c r="DH998" s="552">
        <f t="shared" si="586"/>
        <v>0</v>
      </c>
      <c r="DI998" s="552">
        <f t="shared" si="586"/>
        <v>0</v>
      </c>
      <c r="DJ998" s="552">
        <f t="shared" si="586"/>
        <v>0</v>
      </c>
      <c r="DK998" s="552">
        <f t="shared" si="586"/>
        <v>0</v>
      </c>
      <c r="DL998" s="552">
        <f t="shared" si="586"/>
        <v>0</v>
      </c>
      <c r="DM998" s="552">
        <f t="shared" si="586"/>
        <v>0</v>
      </c>
      <c r="DN998" s="552">
        <f t="shared" si="586"/>
        <v>0</v>
      </c>
      <c r="DO998" s="552">
        <f t="shared" si="586"/>
        <v>0</v>
      </c>
      <c r="DP998" s="552">
        <f t="shared" si="586"/>
        <v>0</v>
      </c>
      <c r="DQ998" s="552">
        <f t="shared" si="586"/>
        <v>0</v>
      </c>
      <c r="DR998" s="552">
        <f t="shared" si="586"/>
        <v>0</v>
      </c>
      <c r="DS998" s="552">
        <f t="shared" si="586"/>
        <v>0</v>
      </c>
      <c r="DT998" s="552">
        <f t="shared" si="586"/>
        <v>0</v>
      </c>
      <c r="DU998" s="552">
        <f t="shared" si="586"/>
        <v>0</v>
      </c>
      <c r="DV998" s="552">
        <f t="shared" si="586"/>
        <v>0</v>
      </c>
      <c r="DW998" s="552">
        <f t="shared" si="586"/>
        <v>0</v>
      </c>
      <c r="DX998" s="552">
        <f t="shared" si="586"/>
        <v>0</v>
      </c>
      <c r="DY998" s="552">
        <f t="shared" si="586"/>
        <v>0</v>
      </c>
      <c r="DZ998" s="552">
        <f t="shared" si="586"/>
        <v>0</v>
      </c>
      <c r="EA998" s="552">
        <f t="shared" si="586"/>
        <v>0</v>
      </c>
      <c r="EB998" s="552">
        <f t="shared" si="586"/>
        <v>0</v>
      </c>
      <c r="EC998" s="552">
        <f t="shared" si="586"/>
        <v>0</v>
      </c>
      <c r="ED998" s="552">
        <f t="shared" si="586"/>
        <v>0</v>
      </c>
      <c r="EE998" s="552">
        <f t="shared" si="586"/>
        <v>0</v>
      </c>
      <c r="EF998" s="552">
        <f t="shared" si="586"/>
        <v>0</v>
      </c>
      <c r="EG998" s="552">
        <f t="shared" si="586"/>
        <v>0</v>
      </c>
      <c r="EH998" s="552">
        <f t="shared" ref="EH998:EX998" si="587">EH30*EH$338</f>
        <v>0</v>
      </c>
      <c r="EI998" s="552">
        <f t="shared" si="587"/>
        <v>0</v>
      </c>
      <c r="EJ998" s="552">
        <f t="shared" si="587"/>
        <v>0</v>
      </c>
      <c r="EK998" s="552">
        <f t="shared" si="587"/>
        <v>0</v>
      </c>
      <c r="EL998" s="552">
        <f t="shared" si="587"/>
        <v>0</v>
      </c>
      <c r="EM998" s="552">
        <f t="shared" si="587"/>
        <v>0</v>
      </c>
      <c r="EN998" s="552">
        <f t="shared" si="587"/>
        <v>0</v>
      </c>
      <c r="EO998" s="552">
        <f t="shared" si="587"/>
        <v>0</v>
      </c>
      <c r="EP998" s="552">
        <f t="shared" si="587"/>
        <v>0</v>
      </c>
      <c r="EQ998" s="552">
        <f t="shared" si="587"/>
        <v>0</v>
      </c>
      <c r="ER998" s="552">
        <f t="shared" si="587"/>
        <v>0</v>
      </c>
      <c r="ES998" s="552">
        <f t="shared" si="587"/>
        <v>0</v>
      </c>
      <c r="ET998" s="552">
        <f t="shared" si="587"/>
        <v>0</v>
      </c>
      <c r="EU998" s="552">
        <f t="shared" si="587"/>
        <v>0</v>
      </c>
      <c r="EV998" s="552">
        <f t="shared" si="587"/>
        <v>0</v>
      </c>
      <c r="EW998" s="552">
        <f t="shared" si="587"/>
        <v>0</v>
      </c>
      <c r="EX998" s="552">
        <f t="shared" si="587"/>
        <v>0</v>
      </c>
      <c r="EY998" s="799">
        <f t="shared" si="527"/>
        <v>19.170000000000002</v>
      </c>
      <c r="EZ998" s="561"/>
      <c r="FA998" s="561"/>
      <c r="FB998" s="561"/>
      <c r="FC998" s="561"/>
      <c r="FD998" s="561"/>
      <c r="FE998" s="561"/>
      <c r="FF998" s="561"/>
      <c r="FG998" s="561"/>
      <c r="FH998" s="561"/>
      <c r="FI998" s="561"/>
      <c r="FJ998" s="561"/>
      <c r="FK998" s="561"/>
      <c r="FL998" s="561"/>
    </row>
    <row r="999" spans="1:168" s="551" customFormat="1" x14ac:dyDescent="0.25">
      <c r="A999" s="1492"/>
      <c r="B999" s="1064" t="str">
        <f t="shared" si="566"/>
        <v>Компот из смеси сухофруктов</v>
      </c>
      <c r="C999" s="1064">
        <f t="shared" si="574"/>
        <v>200</v>
      </c>
      <c r="D999" s="1064">
        <f t="shared" si="574"/>
        <v>0.66</v>
      </c>
      <c r="E999" s="1158">
        <f t="shared" si="575"/>
        <v>4.18</v>
      </c>
      <c r="F999" s="1142"/>
      <c r="G999" s="1142"/>
      <c r="H999" s="1142"/>
      <c r="I999" s="790"/>
      <c r="J999" s="552">
        <f t="shared" ref="J999:BU999" si="588">J31*J$338</f>
        <v>0</v>
      </c>
      <c r="K999" s="552">
        <f t="shared" si="588"/>
        <v>0</v>
      </c>
      <c r="L999" s="552">
        <f t="shared" si="588"/>
        <v>0</v>
      </c>
      <c r="M999" s="552">
        <f t="shared" si="588"/>
        <v>0</v>
      </c>
      <c r="N999" s="552">
        <f t="shared" si="588"/>
        <v>0</v>
      </c>
      <c r="O999" s="552">
        <f t="shared" si="588"/>
        <v>0</v>
      </c>
      <c r="P999" s="552">
        <f t="shared" si="588"/>
        <v>0</v>
      </c>
      <c r="Q999" s="552">
        <f t="shared" si="588"/>
        <v>0</v>
      </c>
      <c r="R999" s="552">
        <f t="shared" si="588"/>
        <v>0</v>
      </c>
      <c r="S999" s="552">
        <f t="shared" si="588"/>
        <v>0</v>
      </c>
      <c r="T999" s="552">
        <f t="shared" si="588"/>
        <v>0</v>
      </c>
      <c r="U999" s="552">
        <f t="shared" si="588"/>
        <v>0</v>
      </c>
      <c r="V999" s="552">
        <f t="shared" si="588"/>
        <v>0</v>
      </c>
      <c r="W999" s="552">
        <f t="shared" si="588"/>
        <v>0</v>
      </c>
      <c r="X999" s="552">
        <f t="shared" si="588"/>
        <v>0</v>
      </c>
      <c r="Y999" s="552">
        <f t="shared" si="588"/>
        <v>0</v>
      </c>
      <c r="Z999" s="552">
        <f t="shared" si="588"/>
        <v>0</v>
      </c>
      <c r="AA999" s="552">
        <f t="shared" si="588"/>
        <v>0</v>
      </c>
      <c r="AB999" s="552">
        <f t="shared" si="588"/>
        <v>0</v>
      </c>
      <c r="AC999" s="552">
        <f t="shared" si="588"/>
        <v>0</v>
      </c>
      <c r="AD999" s="552">
        <f t="shared" si="588"/>
        <v>0</v>
      </c>
      <c r="AE999" s="552">
        <f t="shared" si="588"/>
        <v>0</v>
      </c>
      <c r="AF999" s="552">
        <f t="shared" si="588"/>
        <v>0</v>
      </c>
      <c r="AG999" s="552">
        <f t="shared" si="588"/>
        <v>0</v>
      </c>
      <c r="AH999" s="552">
        <f t="shared" si="588"/>
        <v>0</v>
      </c>
      <c r="AI999" s="552">
        <f t="shared" si="588"/>
        <v>0</v>
      </c>
      <c r="AJ999" s="552">
        <f t="shared" si="588"/>
        <v>0</v>
      </c>
      <c r="AK999" s="552">
        <f t="shared" si="588"/>
        <v>0</v>
      </c>
      <c r="AL999" s="552">
        <f t="shared" si="588"/>
        <v>0</v>
      </c>
      <c r="AM999" s="552">
        <f t="shared" si="588"/>
        <v>0</v>
      </c>
      <c r="AN999" s="552">
        <f t="shared" si="588"/>
        <v>0</v>
      </c>
      <c r="AO999" s="552">
        <f t="shared" si="588"/>
        <v>0</v>
      </c>
      <c r="AP999" s="552">
        <f t="shared" si="588"/>
        <v>0</v>
      </c>
      <c r="AQ999" s="552">
        <f t="shared" si="588"/>
        <v>0</v>
      </c>
      <c r="AR999" s="552">
        <f t="shared" si="588"/>
        <v>0</v>
      </c>
      <c r="AS999" s="552">
        <f t="shared" si="588"/>
        <v>0</v>
      </c>
      <c r="AT999" s="552">
        <f t="shared" si="588"/>
        <v>0</v>
      </c>
      <c r="AU999" s="552">
        <f t="shared" si="588"/>
        <v>0</v>
      </c>
      <c r="AV999" s="552">
        <f t="shared" si="588"/>
        <v>0</v>
      </c>
      <c r="AW999" s="552">
        <f t="shared" si="588"/>
        <v>0</v>
      </c>
      <c r="AX999" s="552">
        <f t="shared" si="588"/>
        <v>0</v>
      </c>
      <c r="AY999" s="552">
        <f t="shared" si="588"/>
        <v>0</v>
      </c>
      <c r="AZ999" s="552">
        <f t="shared" si="588"/>
        <v>0</v>
      </c>
      <c r="BA999" s="552">
        <f t="shared" si="588"/>
        <v>0</v>
      </c>
      <c r="BB999" s="552">
        <f t="shared" si="588"/>
        <v>0</v>
      </c>
      <c r="BC999" s="552">
        <f t="shared" si="588"/>
        <v>0</v>
      </c>
      <c r="BD999" s="552">
        <f t="shared" si="588"/>
        <v>0</v>
      </c>
      <c r="BE999" s="552">
        <f t="shared" si="588"/>
        <v>0</v>
      </c>
      <c r="BF999" s="552">
        <f t="shared" si="588"/>
        <v>0</v>
      </c>
      <c r="BG999" s="552">
        <f t="shared" si="588"/>
        <v>0</v>
      </c>
      <c r="BH999" s="552">
        <f t="shared" si="588"/>
        <v>0</v>
      </c>
      <c r="BI999" s="552">
        <f t="shared" si="588"/>
        <v>0</v>
      </c>
      <c r="BJ999" s="552">
        <f t="shared" si="588"/>
        <v>0</v>
      </c>
      <c r="BK999" s="552">
        <f t="shared" si="588"/>
        <v>0</v>
      </c>
      <c r="BL999" s="552">
        <f t="shared" si="588"/>
        <v>0</v>
      </c>
      <c r="BM999" s="552">
        <f t="shared" si="588"/>
        <v>0</v>
      </c>
      <c r="BN999" s="552">
        <f t="shared" si="588"/>
        <v>0</v>
      </c>
      <c r="BO999" s="552">
        <f t="shared" si="588"/>
        <v>0</v>
      </c>
      <c r="BP999" s="552">
        <f t="shared" si="588"/>
        <v>0</v>
      </c>
      <c r="BQ999" s="552">
        <f t="shared" si="588"/>
        <v>0</v>
      </c>
      <c r="BR999" s="552">
        <f t="shared" si="588"/>
        <v>0</v>
      </c>
      <c r="BS999" s="552">
        <f t="shared" si="588"/>
        <v>0</v>
      </c>
      <c r="BT999" s="552">
        <f t="shared" si="588"/>
        <v>0</v>
      </c>
      <c r="BU999" s="552">
        <f t="shared" si="588"/>
        <v>0</v>
      </c>
      <c r="BV999" s="552">
        <f t="shared" ref="BV999:DA999" si="589">BV31*BV$338</f>
        <v>0</v>
      </c>
      <c r="BW999" s="552">
        <f t="shared" si="589"/>
        <v>0</v>
      </c>
      <c r="BX999" s="552">
        <f t="shared" si="589"/>
        <v>0</v>
      </c>
      <c r="BY999" s="552">
        <f t="shared" si="589"/>
        <v>0</v>
      </c>
      <c r="BZ999" s="552">
        <f t="shared" si="589"/>
        <v>0</v>
      </c>
      <c r="CA999" s="552">
        <f t="shared" si="589"/>
        <v>0</v>
      </c>
      <c r="CB999" s="552">
        <f t="shared" si="589"/>
        <v>0</v>
      </c>
      <c r="CC999" s="552">
        <f t="shared" si="589"/>
        <v>0</v>
      </c>
      <c r="CD999" s="552">
        <f t="shared" si="589"/>
        <v>0</v>
      </c>
      <c r="CE999" s="552">
        <f t="shared" si="589"/>
        <v>0</v>
      </c>
      <c r="CF999" s="552">
        <f t="shared" si="589"/>
        <v>0</v>
      </c>
      <c r="CG999" s="552">
        <f t="shared" si="589"/>
        <v>0</v>
      </c>
      <c r="CH999" s="552">
        <f t="shared" si="589"/>
        <v>0</v>
      </c>
      <c r="CI999" s="552">
        <f t="shared" si="589"/>
        <v>0</v>
      </c>
      <c r="CJ999" s="552">
        <f t="shared" si="589"/>
        <v>0</v>
      </c>
      <c r="CK999" s="552">
        <f t="shared" si="589"/>
        <v>0</v>
      </c>
      <c r="CL999" s="552">
        <f t="shared" si="589"/>
        <v>0</v>
      </c>
      <c r="CM999" s="552">
        <f t="shared" si="589"/>
        <v>0</v>
      </c>
      <c r="CN999" s="552">
        <f t="shared" si="589"/>
        <v>0</v>
      </c>
      <c r="CO999" s="552">
        <f t="shared" si="589"/>
        <v>0</v>
      </c>
      <c r="CP999" s="552">
        <f t="shared" si="589"/>
        <v>0</v>
      </c>
      <c r="CQ999" s="552">
        <f t="shared" si="589"/>
        <v>0.06</v>
      </c>
      <c r="CR999" s="552">
        <f t="shared" si="589"/>
        <v>0</v>
      </c>
      <c r="CS999" s="552">
        <f t="shared" si="589"/>
        <v>0</v>
      </c>
      <c r="CT999" s="552">
        <f t="shared" si="589"/>
        <v>0</v>
      </c>
      <c r="CU999" s="552">
        <f t="shared" si="589"/>
        <v>0</v>
      </c>
      <c r="CV999" s="552">
        <f t="shared" si="589"/>
        <v>0</v>
      </c>
      <c r="CW999" s="552">
        <f t="shared" si="589"/>
        <v>0</v>
      </c>
      <c r="CX999" s="552">
        <f t="shared" si="589"/>
        <v>0</v>
      </c>
      <c r="CY999" s="552">
        <f t="shared" si="589"/>
        <v>0</v>
      </c>
      <c r="CZ999" s="552">
        <f t="shared" si="589"/>
        <v>1.52</v>
      </c>
      <c r="DA999" s="552">
        <f t="shared" si="589"/>
        <v>0</v>
      </c>
      <c r="DB999" s="552">
        <f t="shared" ref="DB999:EG999" si="590">DB31*DB$338</f>
        <v>0</v>
      </c>
      <c r="DC999" s="552">
        <f t="shared" si="590"/>
        <v>0</v>
      </c>
      <c r="DD999" s="552">
        <f t="shared" si="590"/>
        <v>0</v>
      </c>
      <c r="DE999" s="552">
        <f t="shared" si="590"/>
        <v>2.6</v>
      </c>
      <c r="DF999" s="552">
        <f t="shared" si="590"/>
        <v>0</v>
      </c>
      <c r="DG999" s="552">
        <f t="shared" si="590"/>
        <v>0</v>
      </c>
      <c r="DH999" s="552">
        <f t="shared" si="590"/>
        <v>0</v>
      </c>
      <c r="DI999" s="552">
        <f t="shared" si="590"/>
        <v>0</v>
      </c>
      <c r="DJ999" s="552">
        <f t="shared" si="590"/>
        <v>0</v>
      </c>
      <c r="DK999" s="552">
        <f t="shared" si="590"/>
        <v>0</v>
      </c>
      <c r="DL999" s="552">
        <f t="shared" si="590"/>
        <v>0</v>
      </c>
      <c r="DM999" s="552">
        <f t="shared" si="590"/>
        <v>0</v>
      </c>
      <c r="DN999" s="552">
        <f t="shared" si="590"/>
        <v>0</v>
      </c>
      <c r="DO999" s="552">
        <f t="shared" si="590"/>
        <v>0</v>
      </c>
      <c r="DP999" s="552">
        <f t="shared" si="590"/>
        <v>0</v>
      </c>
      <c r="DQ999" s="552">
        <f t="shared" si="590"/>
        <v>0</v>
      </c>
      <c r="DR999" s="552">
        <f t="shared" si="590"/>
        <v>0</v>
      </c>
      <c r="DS999" s="552">
        <f t="shared" si="590"/>
        <v>0</v>
      </c>
      <c r="DT999" s="552">
        <f t="shared" si="590"/>
        <v>0</v>
      </c>
      <c r="DU999" s="552">
        <f t="shared" si="590"/>
        <v>0</v>
      </c>
      <c r="DV999" s="552">
        <f t="shared" si="590"/>
        <v>0</v>
      </c>
      <c r="DW999" s="552">
        <f t="shared" si="590"/>
        <v>0</v>
      </c>
      <c r="DX999" s="552">
        <f t="shared" si="590"/>
        <v>0</v>
      </c>
      <c r="DY999" s="552">
        <f t="shared" si="590"/>
        <v>0</v>
      </c>
      <c r="DZ999" s="552">
        <f t="shared" si="590"/>
        <v>0</v>
      </c>
      <c r="EA999" s="552">
        <f t="shared" si="590"/>
        <v>0</v>
      </c>
      <c r="EB999" s="552">
        <f t="shared" si="590"/>
        <v>0</v>
      </c>
      <c r="EC999" s="552">
        <f t="shared" si="590"/>
        <v>0</v>
      </c>
      <c r="ED999" s="552">
        <f t="shared" si="590"/>
        <v>0</v>
      </c>
      <c r="EE999" s="552">
        <f t="shared" si="590"/>
        <v>0</v>
      </c>
      <c r="EF999" s="552">
        <f t="shared" si="590"/>
        <v>0</v>
      </c>
      <c r="EG999" s="552">
        <f t="shared" si="590"/>
        <v>0</v>
      </c>
      <c r="EH999" s="552">
        <f t="shared" ref="EH999:EX999" si="591">EH31*EH$338</f>
        <v>0</v>
      </c>
      <c r="EI999" s="552">
        <f t="shared" si="591"/>
        <v>0</v>
      </c>
      <c r="EJ999" s="552">
        <f t="shared" si="591"/>
        <v>0</v>
      </c>
      <c r="EK999" s="552">
        <f t="shared" si="591"/>
        <v>0</v>
      </c>
      <c r="EL999" s="552">
        <f t="shared" si="591"/>
        <v>0</v>
      </c>
      <c r="EM999" s="552">
        <f t="shared" si="591"/>
        <v>0</v>
      </c>
      <c r="EN999" s="552">
        <f t="shared" si="591"/>
        <v>0</v>
      </c>
      <c r="EO999" s="552">
        <f t="shared" si="591"/>
        <v>0</v>
      </c>
      <c r="EP999" s="552">
        <f t="shared" si="591"/>
        <v>0</v>
      </c>
      <c r="EQ999" s="552">
        <f t="shared" si="591"/>
        <v>0</v>
      </c>
      <c r="ER999" s="552">
        <f t="shared" si="591"/>
        <v>0</v>
      </c>
      <c r="ES999" s="552">
        <f t="shared" si="591"/>
        <v>0</v>
      </c>
      <c r="ET999" s="552">
        <f t="shared" si="591"/>
        <v>0</v>
      </c>
      <c r="EU999" s="552">
        <f t="shared" si="591"/>
        <v>0</v>
      </c>
      <c r="EV999" s="552">
        <f t="shared" si="591"/>
        <v>0</v>
      </c>
      <c r="EW999" s="552">
        <f t="shared" si="591"/>
        <v>0</v>
      </c>
      <c r="EX999" s="552">
        <f t="shared" si="591"/>
        <v>0</v>
      </c>
      <c r="EY999" s="799">
        <f t="shared" si="527"/>
        <v>4.18</v>
      </c>
      <c r="EZ999" s="561"/>
      <c r="FA999" s="561"/>
      <c r="FB999" s="561"/>
      <c r="FC999" s="561"/>
      <c r="FD999" s="561"/>
      <c r="FE999" s="561"/>
      <c r="FF999" s="561"/>
      <c r="FG999" s="561"/>
      <c r="FH999" s="561"/>
      <c r="FI999" s="561"/>
      <c r="FJ999" s="561"/>
      <c r="FK999" s="561"/>
      <c r="FL999" s="561"/>
    </row>
    <row r="1000" spans="1:168" s="551" customFormat="1" x14ac:dyDescent="0.25">
      <c r="A1000" s="1492"/>
      <c r="B1000" s="1064" t="str">
        <f t="shared" si="566"/>
        <v>Хлеб пшеничный нарезной</v>
      </c>
      <c r="C1000" s="1064">
        <f t="shared" si="574"/>
        <v>20</v>
      </c>
      <c r="D1000" s="1064">
        <f t="shared" si="574"/>
        <v>2.14</v>
      </c>
      <c r="E1000" s="1158">
        <f t="shared" si="575"/>
        <v>1.3</v>
      </c>
      <c r="F1000" s="1142"/>
      <c r="G1000" s="1142"/>
      <c r="H1000" s="1142"/>
      <c r="I1000" s="790"/>
      <c r="J1000" s="552">
        <f t="shared" ref="J1000:BU1000" si="592">J32*J$338</f>
        <v>0</v>
      </c>
      <c r="K1000" s="552">
        <f t="shared" si="592"/>
        <v>0</v>
      </c>
      <c r="L1000" s="552">
        <f t="shared" si="592"/>
        <v>0</v>
      </c>
      <c r="M1000" s="552">
        <f t="shared" si="592"/>
        <v>0</v>
      </c>
      <c r="N1000" s="552">
        <f t="shared" si="592"/>
        <v>0</v>
      </c>
      <c r="O1000" s="552">
        <f t="shared" si="592"/>
        <v>0</v>
      </c>
      <c r="P1000" s="552">
        <f t="shared" si="592"/>
        <v>0</v>
      </c>
      <c r="Q1000" s="552">
        <f t="shared" si="592"/>
        <v>0</v>
      </c>
      <c r="R1000" s="552">
        <f t="shared" si="592"/>
        <v>0</v>
      </c>
      <c r="S1000" s="552">
        <f t="shared" si="592"/>
        <v>0</v>
      </c>
      <c r="T1000" s="552">
        <f t="shared" si="592"/>
        <v>0</v>
      </c>
      <c r="U1000" s="552">
        <f t="shared" si="592"/>
        <v>0</v>
      </c>
      <c r="V1000" s="552">
        <f t="shared" si="592"/>
        <v>0</v>
      </c>
      <c r="W1000" s="552">
        <f t="shared" si="592"/>
        <v>0</v>
      </c>
      <c r="X1000" s="552">
        <f t="shared" si="592"/>
        <v>0</v>
      </c>
      <c r="Y1000" s="552">
        <f t="shared" si="592"/>
        <v>0</v>
      </c>
      <c r="Z1000" s="552">
        <f t="shared" si="592"/>
        <v>0</v>
      </c>
      <c r="AA1000" s="552">
        <f t="shared" si="592"/>
        <v>0</v>
      </c>
      <c r="AB1000" s="552">
        <f t="shared" si="592"/>
        <v>0</v>
      </c>
      <c r="AC1000" s="552">
        <f t="shared" si="592"/>
        <v>0</v>
      </c>
      <c r="AD1000" s="552">
        <f t="shared" si="592"/>
        <v>0</v>
      </c>
      <c r="AE1000" s="552">
        <f t="shared" si="592"/>
        <v>0</v>
      </c>
      <c r="AF1000" s="552">
        <f t="shared" si="592"/>
        <v>0</v>
      </c>
      <c r="AG1000" s="552">
        <f t="shared" si="592"/>
        <v>0</v>
      </c>
      <c r="AH1000" s="552">
        <f t="shared" si="592"/>
        <v>0</v>
      </c>
      <c r="AI1000" s="552">
        <f t="shared" si="592"/>
        <v>0</v>
      </c>
      <c r="AJ1000" s="552">
        <f t="shared" si="592"/>
        <v>0</v>
      </c>
      <c r="AK1000" s="552">
        <f t="shared" si="592"/>
        <v>0</v>
      </c>
      <c r="AL1000" s="552">
        <f t="shared" si="592"/>
        <v>0</v>
      </c>
      <c r="AM1000" s="552">
        <f t="shared" si="592"/>
        <v>0</v>
      </c>
      <c r="AN1000" s="552">
        <f t="shared" si="592"/>
        <v>0</v>
      </c>
      <c r="AO1000" s="552">
        <f t="shared" si="592"/>
        <v>0</v>
      </c>
      <c r="AP1000" s="552">
        <f t="shared" si="592"/>
        <v>0</v>
      </c>
      <c r="AQ1000" s="552">
        <f t="shared" si="592"/>
        <v>0</v>
      </c>
      <c r="AR1000" s="552">
        <f t="shared" si="592"/>
        <v>0</v>
      </c>
      <c r="AS1000" s="552">
        <f t="shared" si="592"/>
        <v>0</v>
      </c>
      <c r="AT1000" s="552">
        <f t="shared" si="592"/>
        <v>0</v>
      </c>
      <c r="AU1000" s="552">
        <f t="shared" si="592"/>
        <v>0</v>
      </c>
      <c r="AV1000" s="552">
        <f t="shared" si="592"/>
        <v>0</v>
      </c>
      <c r="AW1000" s="552">
        <f t="shared" si="592"/>
        <v>0</v>
      </c>
      <c r="AX1000" s="552">
        <f t="shared" si="592"/>
        <v>0</v>
      </c>
      <c r="AY1000" s="552">
        <f t="shared" si="592"/>
        <v>0</v>
      </c>
      <c r="AZ1000" s="552">
        <f t="shared" si="592"/>
        <v>0</v>
      </c>
      <c r="BA1000" s="552">
        <f t="shared" si="592"/>
        <v>0</v>
      </c>
      <c r="BB1000" s="552">
        <f t="shared" si="592"/>
        <v>0</v>
      </c>
      <c r="BC1000" s="552">
        <f t="shared" si="592"/>
        <v>0</v>
      </c>
      <c r="BD1000" s="552">
        <f t="shared" si="592"/>
        <v>0</v>
      </c>
      <c r="BE1000" s="552">
        <f t="shared" si="592"/>
        <v>0</v>
      </c>
      <c r="BF1000" s="552">
        <f t="shared" si="592"/>
        <v>0</v>
      </c>
      <c r="BG1000" s="552">
        <f t="shared" si="592"/>
        <v>0</v>
      </c>
      <c r="BH1000" s="552">
        <f t="shared" si="592"/>
        <v>0</v>
      </c>
      <c r="BI1000" s="552">
        <f t="shared" si="592"/>
        <v>0</v>
      </c>
      <c r="BJ1000" s="552">
        <f t="shared" si="592"/>
        <v>0</v>
      </c>
      <c r="BK1000" s="552">
        <f t="shared" si="592"/>
        <v>0</v>
      </c>
      <c r="BL1000" s="552">
        <f t="shared" si="592"/>
        <v>0</v>
      </c>
      <c r="BM1000" s="552">
        <f t="shared" si="592"/>
        <v>0</v>
      </c>
      <c r="BN1000" s="552">
        <f t="shared" si="592"/>
        <v>0</v>
      </c>
      <c r="BO1000" s="552">
        <f t="shared" si="592"/>
        <v>0</v>
      </c>
      <c r="BP1000" s="552">
        <f t="shared" si="592"/>
        <v>0</v>
      </c>
      <c r="BQ1000" s="552">
        <f t="shared" si="592"/>
        <v>0</v>
      </c>
      <c r="BR1000" s="552">
        <f t="shared" si="592"/>
        <v>0</v>
      </c>
      <c r="BS1000" s="552">
        <f t="shared" si="592"/>
        <v>0</v>
      </c>
      <c r="BT1000" s="552">
        <f t="shared" si="592"/>
        <v>0</v>
      </c>
      <c r="BU1000" s="552">
        <f t="shared" si="592"/>
        <v>0</v>
      </c>
      <c r="BV1000" s="552">
        <f t="shared" ref="BV1000:DA1000" si="593">BV32*BV$338</f>
        <v>0</v>
      </c>
      <c r="BW1000" s="552">
        <f t="shared" si="593"/>
        <v>0</v>
      </c>
      <c r="BX1000" s="552">
        <f t="shared" si="593"/>
        <v>0</v>
      </c>
      <c r="BY1000" s="552">
        <f t="shared" si="593"/>
        <v>0</v>
      </c>
      <c r="BZ1000" s="552">
        <f t="shared" si="593"/>
        <v>0</v>
      </c>
      <c r="CA1000" s="552">
        <f t="shared" si="593"/>
        <v>0</v>
      </c>
      <c r="CB1000" s="552">
        <f t="shared" si="593"/>
        <v>0</v>
      </c>
      <c r="CC1000" s="552">
        <f t="shared" si="593"/>
        <v>0</v>
      </c>
      <c r="CD1000" s="552">
        <f t="shared" si="593"/>
        <v>0</v>
      </c>
      <c r="CE1000" s="552">
        <f t="shared" si="593"/>
        <v>0</v>
      </c>
      <c r="CF1000" s="552">
        <f t="shared" si="593"/>
        <v>0</v>
      </c>
      <c r="CG1000" s="552">
        <f t="shared" si="593"/>
        <v>0</v>
      </c>
      <c r="CH1000" s="552">
        <f t="shared" si="593"/>
        <v>0</v>
      </c>
      <c r="CI1000" s="552">
        <f t="shared" si="593"/>
        <v>0</v>
      </c>
      <c r="CJ1000" s="552">
        <f t="shared" si="593"/>
        <v>0</v>
      </c>
      <c r="CK1000" s="552">
        <f t="shared" si="593"/>
        <v>0</v>
      </c>
      <c r="CL1000" s="552">
        <f t="shared" si="593"/>
        <v>0</v>
      </c>
      <c r="CM1000" s="552">
        <f t="shared" si="593"/>
        <v>0</v>
      </c>
      <c r="CN1000" s="552">
        <f t="shared" si="593"/>
        <v>0</v>
      </c>
      <c r="CO1000" s="552">
        <f t="shared" si="593"/>
        <v>0</v>
      </c>
      <c r="CP1000" s="552">
        <f t="shared" si="593"/>
        <v>0</v>
      </c>
      <c r="CQ1000" s="552">
        <f t="shared" si="593"/>
        <v>0</v>
      </c>
      <c r="CR1000" s="552">
        <f t="shared" si="593"/>
        <v>0</v>
      </c>
      <c r="CS1000" s="552">
        <f t="shared" si="593"/>
        <v>0</v>
      </c>
      <c r="CT1000" s="552">
        <f t="shared" si="593"/>
        <v>0</v>
      </c>
      <c r="CU1000" s="552">
        <f t="shared" si="593"/>
        <v>0</v>
      </c>
      <c r="CV1000" s="552">
        <f t="shared" si="593"/>
        <v>0</v>
      </c>
      <c r="CW1000" s="552">
        <f t="shared" si="593"/>
        <v>0</v>
      </c>
      <c r="CX1000" s="552">
        <f t="shared" si="593"/>
        <v>0</v>
      </c>
      <c r="CY1000" s="552">
        <f t="shared" si="593"/>
        <v>0</v>
      </c>
      <c r="CZ1000" s="552">
        <f t="shared" si="593"/>
        <v>0</v>
      </c>
      <c r="DA1000" s="552">
        <f t="shared" si="593"/>
        <v>0</v>
      </c>
      <c r="DB1000" s="552">
        <f t="shared" ref="DB1000:EG1000" si="594">DB32*DB$338</f>
        <v>0</v>
      </c>
      <c r="DC1000" s="552">
        <f t="shared" si="594"/>
        <v>0</v>
      </c>
      <c r="DD1000" s="552">
        <f t="shared" si="594"/>
        <v>0</v>
      </c>
      <c r="DE1000" s="552">
        <f t="shared" si="594"/>
        <v>0</v>
      </c>
      <c r="DF1000" s="552">
        <f t="shared" si="594"/>
        <v>0</v>
      </c>
      <c r="DG1000" s="552">
        <f t="shared" si="594"/>
        <v>0</v>
      </c>
      <c r="DH1000" s="552">
        <f t="shared" si="594"/>
        <v>0</v>
      </c>
      <c r="DI1000" s="552">
        <f t="shared" si="594"/>
        <v>0</v>
      </c>
      <c r="DJ1000" s="552">
        <f t="shared" si="594"/>
        <v>0</v>
      </c>
      <c r="DK1000" s="552">
        <f t="shared" si="594"/>
        <v>0</v>
      </c>
      <c r="DL1000" s="552">
        <f t="shared" si="594"/>
        <v>0</v>
      </c>
      <c r="DM1000" s="552">
        <f t="shared" si="594"/>
        <v>0</v>
      </c>
      <c r="DN1000" s="552">
        <f t="shared" si="594"/>
        <v>0</v>
      </c>
      <c r="DO1000" s="552">
        <f t="shared" si="594"/>
        <v>0</v>
      </c>
      <c r="DP1000" s="552">
        <f t="shared" si="594"/>
        <v>0</v>
      </c>
      <c r="DQ1000" s="552">
        <f t="shared" si="594"/>
        <v>0</v>
      </c>
      <c r="DR1000" s="552">
        <f t="shared" si="594"/>
        <v>0</v>
      </c>
      <c r="DS1000" s="552">
        <f t="shared" si="594"/>
        <v>0</v>
      </c>
      <c r="DT1000" s="552">
        <f t="shared" si="594"/>
        <v>0</v>
      </c>
      <c r="DU1000" s="552">
        <f t="shared" si="594"/>
        <v>0</v>
      </c>
      <c r="DV1000" s="552">
        <f t="shared" si="594"/>
        <v>0</v>
      </c>
      <c r="DW1000" s="552">
        <f t="shared" si="594"/>
        <v>0</v>
      </c>
      <c r="DX1000" s="552">
        <f t="shared" si="594"/>
        <v>0</v>
      </c>
      <c r="DY1000" s="552">
        <f t="shared" si="594"/>
        <v>0</v>
      </c>
      <c r="DZ1000" s="552">
        <f t="shared" si="594"/>
        <v>0</v>
      </c>
      <c r="EA1000" s="552">
        <f t="shared" si="594"/>
        <v>0</v>
      </c>
      <c r="EB1000" s="552">
        <f t="shared" si="594"/>
        <v>0</v>
      </c>
      <c r="EC1000" s="552">
        <f t="shared" si="594"/>
        <v>0</v>
      </c>
      <c r="ED1000" s="552">
        <f t="shared" si="594"/>
        <v>0</v>
      </c>
      <c r="EE1000" s="552">
        <f t="shared" si="594"/>
        <v>0</v>
      </c>
      <c r="EF1000" s="552">
        <f t="shared" si="594"/>
        <v>0</v>
      </c>
      <c r="EG1000" s="552">
        <f t="shared" si="594"/>
        <v>0</v>
      </c>
      <c r="EH1000" s="552">
        <f t="shared" ref="EH1000:EX1000" si="595">EH32*EH$338</f>
        <v>0</v>
      </c>
      <c r="EI1000" s="552">
        <f t="shared" si="595"/>
        <v>0</v>
      </c>
      <c r="EJ1000" s="552">
        <f t="shared" si="595"/>
        <v>0</v>
      </c>
      <c r="EK1000" s="552">
        <f t="shared" si="595"/>
        <v>0</v>
      </c>
      <c r="EL1000" s="552">
        <f t="shared" si="595"/>
        <v>0</v>
      </c>
      <c r="EM1000" s="552">
        <f t="shared" si="595"/>
        <v>0</v>
      </c>
      <c r="EN1000" s="552">
        <f t="shared" si="595"/>
        <v>0</v>
      </c>
      <c r="EO1000" s="552">
        <f t="shared" si="595"/>
        <v>0</v>
      </c>
      <c r="EP1000" s="552">
        <f t="shared" si="595"/>
        <v>0</v>
      </c>
      <c r="EQ1000" s="552">
        <f t="shared" si="595"/>
        <v>0</v>
      </c>
      <c r="ER1000" s="552">
        <f t="shared" si="595"/>
        <v>0</v>
      </c>
      <c r="ES1000" s="552">
        <f t="shared" si="595"/>
        <v>0</v>
      </c>
      <c r="ET1000" s="552">
        <f t="shared" si="595"/>
        <v>0</v>
      </c>
      <c r="EU1000" s="552">
        <f t="shared" si="595"/>
        <v>0</v>
      </c>
      <c r="EV1000" s="552">
        <f t="shared" si="595"/>
        <v>1.3</v>
      </c>
      <c r="EW1000" s="552">
        <f t="shared" si="595"/>
        <v>0</v>
      </c>
      <c r="EX1000" s="552">
        <f t="shared" si="595"/>
        <v>0</v>
      </c>
      <c r="EY1000" s="799">
        <f t="shared" si="527"/>
        <v>1.3</v>
      </c>
      <c r="EZ1000" s="561"/>
      <c r="FA1000" s="561"/>
      <c r="FB1000" s="561"/>
      <c r="FC1000" s="561"/>
      <c r="FD1000" s="561"/>
      <c r="FE1000" s="561"/>
      <c r="FF1000" s="561"/>
      <c r="FG1000" s="561"/>
      <c r="FH1000" s="561"/>
      <c r="FI1000" s="561"/>
      <c r="FJ1000" s="561"/>
      <c r="FK1000" s="561"/>
      <c r="FL1000" s="561"/>
    </row>
    <row r="1001" spans="1:168" s="551" customFormat="1" x14ac:dyDescent="0.25">
      <c r="A1001" s="1492"/>
      <c r="B1001" s="1064" t="str">
        <f t="shared" si="566"/>
        <v>Хлеб пшенично-ржаной нарезной</v>
      </c>
      <c r="C1001" s="1064">
        <f t="shared" si="574"/>
        <v>30</v>
      </c>
      <c r="D1001" s="1064">
        <f t="shared" si="574"/>
        <v>2.25</v>
      </c>
      <c r="E1001" s="1158">
        <f t="shared" si="575"/>
        <v>1.95</v>
      </c>
      <c r="F1001" s="1142"/>
      <c r="G1001" s="1142"/>
      <c r="H1001" s="1142"/>
      <c r="I1001" s="790"/>
      <c r="J1001" s="552">
        <f t="shared" ref="J1001:BU1001" si="596">J33*J$338</f>
        <v>0</v>
      </c>
      <c r="K1001" s="552">
        <f t="shared" si="596"/>
        <v>0</v>
      </c>
      <c r="L1001" s="552">
        <f t="shared" si="596"/>
        <v>0</v>
      </c>
      <c r="M1001" s="552">
        <f t="shared" si="596"/>
        <v>0</v>
      </c>
      <c r="N1001" s="552">
        <f t="shared" si="596"/>
        <v>0</v>
      </c>
      <c r="O1001" s="552">
        <f t="shared" si="596"/>
        <v>0</v>
      </c>
      <c r="P1001" s="552">
        <f t="shared" si="596"/>
        <v>0</v>
      </c>
      <c r="Q1001" s="552">
        <f t="shared" si="596"/>
        <v>0</v>
      </c>
      <c r="R1001" s="552">
        <f t="shared" si="596"/>
        <v>0</v>
      </c>
      <c r="S1001" s="552">
        <f t="shared" si="596"/>
        <v>0</v>
      </c>
      <c r="T1001" s="552">
        <f t="shared" si="596"/>
        <v>0</v>
      </c>
      <c r="U1001" s="552">
        <f t="shared" si="596"/>
        <v>0</v>
      </c>
      <c r="V1001" s="552">
        <f t="shared" si="596"/>
        <v>0</v>
      </c>
      <c r="W1001" s="552">
        <f t="shared" si="596"/>
        <v>0</v>
      </c>
      <c r="X1001" s="552">
        <f t="shared" si="596"/>
        <v>0</v>
      </c>
      <c r="Y1001" s="552">
        <f t="shared" si="596"/>
        <v>0</v>
      </c>
      <c r="Z1001" s="552">
        <f t="shared" si="596"/>
        <v>0</v>
      </c>
      <c r="AA1001" s="552">
        <f t="shared" si="596"/>
        <v>0</v>
      </c>
      <c r="AB1001" s="552">
        <f t="shared" si="596"/>
        <v>0</v>
      </c>
      <c r="AC1001" s="552">
        <f t="shared" si="596"/>
        <v>0</v>
      </c>
      <c r="AD1001" s="552">
        <f t="shared" si="596"/>
        <v>0</v>
      </c>
      <c r="AE1001" s="552">
        <f t="shared" si="596"/>
        <v>0</v>
      </c>
      <c r="AF1001" s="552">
        <f t="shared" si="596"/>
        <v>0</v>
      </c>
      <c r="AG1001" s="552">
        <f t="shared" si="596"/>
        <v>0</v>
      </c>
      <c r="AH1001" s="552">
        <f t="shared" si="596"/>
        <v>0</v>
      </c>
      <c r="AI1001" s="552">
        <f t="shared" si="596"/>
        <v>0</v>
      </c>
      <c r="AJ1001" s="552">
        <f t="shared" si="596"/>
        <v>0</v>
      </c>
      <c r="AK1001" s="552">
        <f t="shared" si="596"/>
        <v>0</v>
      </c>
      <c r="AL1001" s="552">
        <f t="shared" si="596"/>
        <v>0</v>
      </c>
      <c r="AM1001" s="552">
        <f t="shared" si="596"/>
        <v>0</v>
      </c>
      <c r="AN1001" s="552">
        <f t="shared" si="596"/>
        <v>0</v>
      </c>
      <c r="AO1001" s="552">
        <f t="shared" si="596"/>
        <v>0</v>
      </c>
      <c r="AP1001" s="552">
        <f t="shared" si="596"/>
        <v>0</v>
      </c>
      <c r="AQ1001" s="552">
        <f t="shared" si="596"/>
        <v>0</v>
      </c>
      <c r="AR1001" s="552">
        <f t="shared" si="596"/>
        <v>0</v>
      </c>
      <c r="AS1001" s="552">
        <f t="shared" si="596"/>
        <v>0</v>
      </c>
      <c r="AT1001" s="552">
        <f t="shared" si="596"/>
        <v>0</v>
      </c>
      <c r="AU1001" s="552">
        <f t="shared" si="596"/>
        <v>0</v>
      </c>
      <c r="AV1001" s="552">
        <f t="shared" si="596"/>
        <v>0</v>
      </c>
      <c r="AW1001" s="552">
        <f t="shared" si="596"/>
        <v>0</v>
      </c>
      <c r="AX1001" s="552">
        <f t="shared" si="596"/>
        <v>0</v>
      </c>
      <c r="AY1001" s="552">
        <f t="shared" si="596"/>
        <v>0</v>
      </c>
      <c r="AZ1001" s="552">
        <f t="shared" si="596"/>
        <v>0</v>
      </c>
      <c r="BA1001" s="552">
        <f t="shared" si="596"/>
        <v>0</v>
      </c>
      <c r="BB1001" s="552">
        <f t="shared" si="596"/>
        <v>0</v>
      </c>
      <c r="BC1001" s="552">
        <f t="shared" si="596"/>
        <v>0</v>
      </c>
      <c r="BD1001" s="552">
        <f t="shared" si="596"/>
        <v>0</v>
      </c>
      <c r="BE1001" s="552">
        <f t="shared" si="596"/>
        <v>0</v>
      </c>
      <c r="BF1001" s="552">
        <f t="shared" si="596"/>
        <v>0</v>
      </c>
      <c r="BG1001" s="552">
        <f t="shared" si="596"/>
        <v>0</v>
      </c>
      <c r="BH1001" s="552">
        <f t="shared" si="596"/>
        <v>0</v>
      </c>
      <c r="BI1001" s="552">
        <f t="shared" si="596"/>
        <v>0</v>
      </c>
      <c r="BJ1001" s="552">
        <f t="shared" si="596"/>
        <v>0</v>
      </c>
      <c r="BK1001" s="552">
        <f t="shared" si="596"/>
        <v>0</v>
      </c>
      <c r="BL1001" s="552">
        <f t="shared" si="596"/>
        <v>0</v>
      </c>
      <c r="BM1001" s="552">
        <f t="shared" si="596"/>
        <v>0</v>
      </c>
      <c r="BN1001" s="552">
        <f t="shared" si="596"/>
        <v>0</v>
      </c>
      <c r="BO1001" s="552">
        <f t="shared" si="596"/>
        <v>0</v>
      </c>
      <c r="BP1001" s="552">
        <f t="shared" si="596"/>
        <v>0</v>
      </c>
      <c r="BQ1001" s="552">
        <f t="shared" si="596"/>
        <v>0</v>
      </c>
      <c r="BR1001" s="552">
        <f t="shared" si="596"/>
        <v>0</v>
      </c>
      <c r="BS1001" s="552">
        <f t="shared" si="596"/>
        <v>0</v>
      </c>
      <c r="BT1001" s="552">
        <f t="shared" si="596"/>
        <v>0</v>
      </c>
      <c r="BU1001" s="552">
        <f t="shared" si="596"/>
        <v>0</v>
      </c>
      <c r="BV1001" s="552">
        <f t="shared" ref="BV1001:DA1001" si="597">BV33*BV$338</f>
        <v>0</v>
      </c>
      <c r="BW1001" s="552">
        <f t="shared" si="597"/>
        <v>0</v>
      </c>
      <c r="BX1001" s="552">
        <f t="shared" si="597"/>
        <v>0</v>
      </c>
      <c r="BY1001" s="552">
        <f t="shared" si="597"/>
        <v>0</v>
      </c>
      <c r="BZ1001" s="552">
        <f t="shared" si="597"/>
        <v>0</v>
      </c>
      <c r="CA1001" s="552">
        <f t="shared" si="597"/>
        <v>0</v>
      </c>
      <c r="CB1001" s="552">
        <f t="shared" si="597"/>
        <v>0</v>
      </c>
      <c r="CC1001" s="552">
        <f t="shared" si="597"/>
        <v>0</v>
      </c>
      <c r="CD1001" s="552">
        <f t="shared" si="597"/>
        <v>0</v>
      </c>
      <c r="CE1001" s="552">
        <f t="shared" si="597"/>
        <v>0</v>
      </c>
      <c r="CF1001" s="552">
        <f t="shared" si="597"/>
        <v>0</v>
      </c>
      <c r="CG1001" s="552">
        <f t="shared" si="597"/>
        <v>0</v>
      </c>
      <c r="CH1001" s="552">
        <f t="shared" si="597"/>
        <v>0</v>
      </c>
      <c r="CI1001" s="552">
        <f t="shared" si="597"/>
        <v>0</v>
      </c>
      <c r="CJ1001" s="552">
        <f t="shared" si="597"/>
        <v>0</v>
      </c>
      <c r="CK1001" s="552">
        <f t="shared" si="597"/>
        <v>0</v>
      </c>
      <c r="CL1001" s="552">
        <f t="shared" si="597"/>
        <v>0</v>
      </c>
      <c r="CM1001" s="552">
        <f t="shared" si="597"/>
        <v>0</v>
      </c>
      <c r="CN1001" s="552">
        <f t="shared" si="597"/>
        <v>0</v>
      </c>
      <c r="CO1001" s="552">
        <f t="shared" si="597"/>
        <v>0</v>
      </c>
      <c r="CP1001" s="552">
        <f t="shared" si="597"/>
        <v>0</v>
      </c>
      <c r="CQ1001" s="552">
        <f t="shared" si="597"/>
        <v>0</v>
      </c>
      <c r="CR1001" s="552">
        <f t="shared" si="597"/>
        <v>0</v>
      </c>
      <c r="CS1001" s="552">
        <f t="shared" si="597"/>
        <v>0</v>
      </c>
      <c r="CT1001" s="552">
        <f t="shared" si="597"/>
        <v>0</v>
      </c>
      <c r="CU1001" s="552">
        <f t="shared" si="597"/>
        <v>0</v>
      </c>
      <c r="CV1001" s="552">
        <f t="shared" si="597"/>
        <v>0</v>
      </c>
      <c r="CW1001" s="552">
        <f t="shared" si="597"/>
        <v>0</v>
      </c>
      <c r="CX1001" s="552">
        <f t="shared" si="597"/>
        <v>0</v>
      </c>
      <c r="CY1001" s="552">
        <f t="shared" si="597"/>
        <v>0</v>
      </c>
      <c r="CZ1001" s="552">
        <f t="shared" si="597"/>
        <v>0</v>
      </c>
      <c r="DA1001" s="552">
        <f t="shared" si="597"/>
        <v>0</v>
      </c>
      <c r="DB1001" s="552">
        <f t="shared" ref="DB1001:EG1001" si="598">DB33*DB$338</f>
        <v>0</v>
      </c>
      <c r="DC1001" s="552">
        <f t="shared" si="598"/>
        <v>0</v>
      </c>
      <c r="DD1001" s="552">
        <f t="shared" si="598"/>
        <v>0</v>
      </c>
      <c r="DE1001" s="552">
        <f t="shared" si="598"/>
        <v>0</v>
      </c>
      <c r="DF1001" s="552">
        <f t="shared" si="598"/>
        <v>0</v>
      </c>
      <c r="DG1001" s="552">
        <f t="shared" si="598"/>
        <v>0</v>
      </c>
      <c r="DH1001" s="552">
        <f t="shared" si="598"/>
        <v>0</v>
      </c>
      <c r="DI1001" s="552">
        <f t="shared" si="598"/>
        <v>0</v>
      </c>
      <c r="DJ1001" s="552">
        <f t="shared" si="598"/>
        <v>0</v>
      </c>
      <c r="DK1001" s="552">
        <f t="shared" si="598"/>
        <v>0</v>
      </c>
      <c r="DL1001" s="552">
        <f t="shared" si="598"/>
        <v>0</v>
      </c>
      <c r="DM1001" s="552">
        <f t="shared" si="598"/>
        <v>0</v>
      </c>
      <c r="DN1001" s="552">
        <f t="shared" si="598"/>
        <v>0</v>
      </c>
      <c r="DO1001" s="552">
        <f t="shared" si="598"/>
        <v>0</v>
      </c>
      <c r="DP1001" s="552">
        <f t="shared" si="598"/>
        <v>0</v>
      </c>
      <c r="DQ1001" s="552">
        <f t="shared" si="598"/>
        <v>0</v>
      </c>
      <c r="DR1001" s="552">
        <f t="shared" si="598"/>
        <v>0</v>
      </c>
      <c r="DS1001" s="552">
        <f t="shared" si="598"/>
        <v>0</v>
      </c>
      <c r="DT1001" s="552">
        <f t="shared" si="598"/>
        <v>0</v>
      </c>
      <c r="DU1001" s="552">
        <f t="shared" si="598"/>
        <v>0</v>
      </c>
      <c r="DV1001" s="552">
        <f t="shared" si="598"/>
        <v>0</v>
      </c>
      <c r="DW1001" s="552">
        <f t="shared" si="598"/>
        <v>0</v>
      </c>
      <c r="DX1001" s="552">
        <f t="shared" si="598"/>
        <v>0</v>
      </c>
      <c r="DY1001" s="552">
        <f t="shared" si="598"/>
        <v>0</v>
      </c>
      <c r="DZ1001" s="552">
        <f t="shared" si="598"/>
        <v>0</v>
      </c>
      <c r="EA1001" s="552">
        <f t="shared" si="598"/>
        <v>0</v>
      </c>
      <c r="EB1001" s="552">
        <f t="shared" si="598"/>
        <v>0</v>
      </c>
      <c r="EC1001" s="552">
        <f t="shared" si="598"/>
        <v>0</v>
      </c>
      <c r="ED1001" s="552">
        <f t="shared" si="598"/>
        <v>0</v>
      </c>
      <c r="EE1001" s="552">
        <f t="shared" si="598"/>
        <v>0</v>
      </c>
      <c r="EF1001" s="552">
        <f t="shared" si="598"/>
        <v>0</v>
      </c>
      <c r="EG1001" s="552">
        <f t="shared" si="598"/>
        <v>0</v>
      </c>
      <c r="EH1001" s="552">
        <f t="shared" ref="EH1001:EX1001" si="599">EH33*EH$338</f>
        <v>0</v>
      </c>
      <c r="EI1001" s="552">
        <f t="shared" si="599"/>
        <v>0</v>
      </c>
      <c r="EJ1001" s="552">
        <f t="shared" si="599"/>
        <v>0</v>
      </c>
      <c r="EK1001" s="552">
        <f t="shared" si="599"/>
        <v>0</v>
      </c>
      <c r="EL1001" s="552">
        <f t="shared" si="599"/>
        <v>0</v>
      </c>
      <c r="EM1001" s="552">
        <f t="shared" si="599"/>
        <v>0</v>
      </c>
      <c r="EN1001" s="552">
        <f t="shared" si="599"/>
        <v>0</v>
      </c>
      <c r="EO1001" s="552">
        <f t="shared" si="599"/>
        <v>0</v>
      </c>
      <c r="EP1001" s="552">
        <f t="shared" si="599"/>
        <v>0</v>
      </c>
      <c r="EQ1001" s="552">
        <f t="shared" si="599"/>
        <v>0</v>
      </c>
      <c r="ER1001" s="552">
        <f t="shared" si="599"/>
        <v>0</v>
      </c>
      <c r="ES1001" s="552">
        <f t="shared" si="599"/>
        <v>0</v>
      </c>
      <c r="ET1001" s="552">
        <f t="shared" si="599"/>
        <v>0</v>
      </c>
      <c r="EU1001" s="552">
        <f t="shared" si="599"/>
        <v>0</v>
      </c>
      <c r="EV1001" s="552">
        <f t="shared" si="599"/>
        <v>0</v>
      </c>
      <c r="EW1001" s="552">
        <f t="shared" si="599"/>
        <v>1.95</v>
      </c>
      <c r="EX1001" s="552">
        <f t="shared" si="599"/>
        <v>0</v>
      </c>
      <c r="EY1001" s="799">
        <f t="shared" si="527"/>
        <v>1.95</v>
      </c>
      <c r="EZ1001" s="561"/>
      <c r="FA1001" s="561"/>
      <c r="FB1001" s="561"/>
      <c r="FC1001" s="561"/>
      <c r="FD1001" s="561"/>
      <c r="FE1001" s="561"/>
      <c r="FF1001" s="561"/>
      <c r="FG1001" s="561"/>
      <c r="FH1001" s="561"/>
      <c r="FI1001" s="561"/>
      <c r="FJ1001" s="561"/>
      <c r="FK1001" s="561"/>
      <c r="FL1001" s="561"/>
    </row>
    <row r="1002" spans="1:168" s="551" customFormat="1" x14ac:dyDescent="0.25">
      <c r="A1002" s="1492"/>
      <c r="B1002" s="1064">
        <f t="shared" si="566"/>
        <v>0</v>
      </c>
      <c r="C1002" s="1064">
        <f t="shared" si="574"/>
        <v>0</v>
      </c>
      <c r="D1002" s="1064">
        <f t="shared" si="574"/>
        <v>0</v>
      </c>
      <c r="E1002" s="1158">
        <f t="shared" si="575"/>
        <v>0</v>
      </c>
      <c r="F1002" s="1142"/>
      <c r="G1002" s="1142"/>
      <c r="H1002" s="1142"/>
      <c r="I1002" s="790"/>
      <c r="J1002" s="552">
        <f t="shared" ref="J1002:AO1002" si="600">J34*J$338</f>
        <v>0</v>
      </c>
      <c r="K1002" s="552">
        <f t="shared" si="600"/>
        <v>0</v>
      </c>
      <c r="L1002" s="552">
        <f t="shared" si="600"/>
        <v>0</v>
      </c>
      <c r="M1002" s="552">
        <f t="shared" si="600"/>
        <v>0</v>
      </c>
      <c r="N1002" s="552">
        <f t="shared" si="600"/>
        <v>0</v>
      </c>
      <c r="O1002" s="552">
        <f t="shared" si="600"/>
        <v>0</v>
      </c>
      <c r="P1002" s="552">
        <f t="shared" si="600"/>
        <v>0</v>
      </c>
      <c r="Q1002" s="552">
        <f t="shared" si="600"/>
        <v>0</v>
      </c>
      <c r="R1002" s="552">
        <f t="shared" si="600"/>
        <v>0</v>
      </c>
      <c r="S1002" s="552">
        <f t="shared" si="600"/>
        <v>0</v>
      </c>
      <c r="T1002" s="552">
        <f t="shared" si="600"/>
        <v>0</v>
      </c>
      <c r="U1002" s="552">
        <f t="shared" si="600"/>
        <v>0</v>
      </c>
      <c r="V1002" s="552">
        <f t="shared" si="600"/>
        <v>0</v>
      </c>
      <c r="W1002" s="552">
        <f t="shared" si="600"/>
        <v>0</v>
      </c>
      <c r="X1002" s="552">
        <f t="shared" si="600"/>
        <v>0</v>
      </c>
      <c r="Y1002" s="552">
        <f t="shared" si="600"/>
        <v>0</v>
      </c>
      <c r="Z1002" s="552">
        <f t="shared" si="600"/>
        <v>0</v>
      </c>
      <c r="AA1002" s="552">
        <f t="shared" si="600"/>
        <v>0</v>
      </c>
      <c r="AB1002" s="552">
        <f t="shared" si="600"/>
        <v>0</v>
      </c>
      <c r="AC1002" s="552">
        <f t="shared" si="600"/>
        <v>0</v>
      </c>
      <c r="AD1002" s="552">
        <f t="shared" si="600"/>
        <v>0</v>
      </c>
      <c r="AE1002" s="552">
        <f t="shared" si="600"/>
        <v>0</v>
      </c>
      <c r="AF1002" s="552">
        <f t="shared" si="600"/>
        <v>0</v>
      </c>
      <c r="AG1002" s="552">
        <f t="shared" si="600"/>
        <v>0</v>
      </c>
      <c r="AH1002" s="552">
        <f t="shared" si="600"/>
        <v>0</v>
      </c>
      <c r="AI1002" s="552">
        <f t="shared" si="600"/>
        <v>0</v>
      </c>
      <c r="AJ1002" s="552">
        <f t="shared" si="600"/>
        <v>0</v>
      </c>
      <c r="AK1002" s="552">
        <f t="shared" si="600"/>
        <v>0</v>
      </c>
      <c r="AL1002" s="552">
        <f t="shared" si="600"/>
        <v>0</v>
      </c>
      <c r="AM1002" s="552">
        <f t="shared" si="600"/>
        <v>0</v>
      </c>
      <c r="AN1002" s="552">
        <f t="shared" si="600"/>
        <v>0</v>
      </c>
      <c r="AO1002" s="552">
        <f t="shared" si="600"/>
        <v>0</v>
      </c>
      <c r="AP1002" s="552">
        <f t="shared" ref="AP1002:BU1002" si="601">AP34*AP$338</f>
        <v>0</v>
      </c>
      <c r="AQ1002" s="552">
        <f t="shared" si="601"/>
        <v>0</v>
      </c>
      <c r="AR1002" s="552">
        <f t="shared" si="601"/>
        <v>0</v>
      </c>
      <c r="AS1002" s="552">
        <f t="shared" si="601"/>
        <v>0</v>
      </c>
      <c r="AT1002" s="552">
        <f t="shared" si="601"/>
        <v>0</v>
      </c>
      <c r="AU1002" s="552">
        <f t="shared" si="601"/>
        <v>0</v>
      </c>
      <c r="AV1002" s="552">
        <f t="shared" si="601"/>
        <v>0</v>
      </c>
      <c r="AW1002" s="552">
        <f t="shared" si="601"/>
        <v>0</v>
      </c>
      <c r="AX1002" s="552">
        <f t="shared" si="601"/>
        <v>0</v>
      </c>
      <c r="AY1002" s="552">
        <f t="shared" si="601"/>
        <v>0</v>
      </c>
      <c r="AZ1002" s="552">
        <f t="shared" si="601"/>
        <v>0</v>
      </c>
      <c r="BA1002" s="552">
        <f t="shared" si="601"/>
        <v>0</v>
      </c>
      <c r="BB1002" s="552">
        <f t="shared" si="601"/>
        <v>0</v>
      </c>
      <c r="BC1002" s="552">
        <f t="shared" si="601"/>
        <v>0</v>
      </c>
      <c r="BD1002" s="552">
        <f t="shared" si="601"/>
        <v>0</v>
      </c>
      <c r="BE1002" s="552">
        <f t="shared" si="601"/>
        <v>0</v>
      </c>
      <c r="BF1002" s="552">
        <f t="shared" si="601"/>
        <v>0</v>
      </c>
      <c r="BG1002" s="552">
        <f t="shared" si="601"/>
        <v>0</v>
      </c>
      <c r="BH1002" s="552">
        <f t="shared" si="601"/>
        <v>0</v>
      </c>
      <c r="BI1002" s="552">
        <f t="shared" si="601"/>
        <v>0</v>
      </c>
      <c r="BJ1002" s="552">
        <f t="shared" si="601"/>
        <v>0</v>
      </c>
      <c r="BK1002" s="552">
        <f t="shared" si="601"/>
        <v>0</v>
      </c>
      <c r="BL1002" s="552">
        <f t="shared" si="601"/>
        <v>0</v>
      </c>
      <c r="BM1002" s="552">
        <f t="shared" si="601"/>
        <v>0</v>
      </c>
      <c r="BN1002" s="552">
        <f t="shared" si="601"/>
        <v>0</v>
      </c>
      <c r="BO1002" s="552">
        <f t="shared" si="601"/>
        <v>0</v>
      </c>
      <c r="BP1002" s="552">
        <f t="shared" si="601"/>
        <v>0</v>
      </c>
      <c r="BQ1002" s="552">
        <f t="shared" si="601"/>
        <v>0</v>
      </c>
      <c r="BR1002" s="552">
        <f t="shared" si="601"/>
        <v>0</v>
      </c>
      <c r="BS1002" s="552">
        <f t="shared" si="601"/>
        <v>0</v>
      </c>
      <c r="BT1002" s="552">
        <f t="shared" si="601"/>
        <v>0</v>
      </c>
      <c r="BU1002" s="552">
        <f t="shared" si="601"/>
        <v>0</v>
      </c>
      <c r="BV1002" s="552">
        <f t="shared" ref="BV1002:DA1002" si="602">BV34*BV$338</f>
        <v>0</v>
      </c>
      <c r="BW1002" s="552">
        <f t="shared" si="602"/>
        <v>0</v>
      </c>
      <c r="BX1002" s="552">
        <f t="shared" si="602"/>
        <v>0</v>
      </c>
      <c r="BY1002" s="552">
        <f t="shared" si="602"/>
        <v>0</v>
      </c>
      <c r="BZ1002" s="552">
        <f t="shared" si="602"/>
        <v>0</v>
      </c>
      <c r="CA1002" s="552">
        <f t="shared" si="602"/>
        <v>0</v>
      </c>
      <c r="CB1002" s="552">
        <f t="shared" si="602"/>
        <v>0</v>
      </c>
      <c r="CC1002" s="552">
        <f t="shared" si="602"/>
        <v>0</v>
      </c>
      <c r="CD1002" s="552">
        <f t="shared" si="602"/>
        <v>0</v>
      </c>
      <c r="CE1002" s="552">
        <f t="shared" si="602"/>
        <v>0</v>
      </c>
      <c r="CF1002" s="552">
        <f t="shared" si="602"/>
        <v>0</v>
      </c>
      <c r="CG1002" s="552">
        <f t="shared" si="602"/>
        <v>0</v>
      </c>
      <c r="CH1002" s="552">
        <f t="shared" si="602"/>
        <v>0</v>
      </c>
      <c r="CI1002" s="552">
        <f t="shared" si="602"/>
        <v>0</v>
      </c>
      <c r="CJ1002" s="552">
        <f t="shared" si="602"/>
        <v>0</v>
      </c>
      <c r="CK1002" s="552">
        <f t="shared" si="602"/>
        <v>0</v>
      </c>
      <c r="CL1002" s="552">
        <f t="shared" si="602"/>
        <v>0</v>
      </c>
      <c r="CM1002" s="552">
        <f t="shared" si="602"/>
        <v>0</v>
      </c>
      <c r="CN1002" s="552">
        <f t="shared" si="602"/>
        <v>0</v>
      </c>
      <c r="CO1002" s="552">
        <f t="shared" si="602"/>
        <v>0</v>
      </c>
      <c r="CP1002" s="552">
        <f t="shared" si="602"/>
        <v>0</v>
      </c>
      <c r="CQ1002" s="552">
        <f t="shared" si="602"/>
        <v>0</v>
      </c>
      <c r="CR1002" s="552">
        <f t="shared" si="602"/>
        <v>0</v>
      </c>
      <c r="CS1002" s="552">
        <f t="shared" si="602"/>
        <v>0</v>
      </c>
      <c r="CT1002" s="552">
        <f t="shared" si="602"/>
        <v>0</v>
      </c>
      <c r="CU1002" s="552">
        <f t="shared" si="602"/>
        <v>0</v>
      </c>
      <c r="CV1002" s="552">
        <f t="shared" si="602"/>
        <v>0</v>
      </c>
      <c r="CW1002" s="552">
        <f t="shared" si="602"/>
        <v>0</v>
      </c>
      <c r="CX1002" s="552">
        <f t="shared" si="602"/>
        <v>0</v>
      </c>
      <c r="CY1002" s="552">
        <f t="shared" si="602"/>
        <v>0</v>
      </c>
      <c r="CZ1002" s="552">
        <f t="shared" si="602"/>
        <v>0</v>
      </c>
      <c r="DA1002" s="552">
        <f t="shared" si="602"/>
        <v>0</v>
      </c>
      <c r="DB1002" s="552">
        <f t="shared" ref="DB1002:EG1002" si="603">DB34*DB$338</f>
        <v>0</v>
      </c>
      <c r="DC1002" s="552">
        <f t="shared" si="603"/>
        <v>0</v>
      </c>
      <c r="DD1002" s="552">
        <f t="shared" si="603"/>
        <v>0</v>
      </c>
      <c r="DE1002" s="552">
        <f t="shared" si="603"/>
        <v>0</v>
      </c>
      <c r="DF1002" s="552">
        <f t="shared" si="603"/>
        <v>0</v>
      </c>
      <c r="DG1002" s="552">
        <f t="shared" si="603"/>
        <v>0</v>
      </c>
      <c r="DH1002" s="552">
        <f t="shared" si="603"/>
        <v>0</v>
      </c>
      <c r="DI1002" s="552">
        <f t="shared" si="603"/>
        <v>0</v>
      </c>
      <c r="DJ1002" s="552">
        <f t="shared" si="603"/>
        <v>0</v>
      </c>
      <c r="DK1002" s="552">
        <f t="shared" si="603"/>
        <v>0</v>
      </c>
      <c r="DL1002" s="552">
        <f t="shared" si="603"/>
        <v>0</v>
      </c>
      <c r="DM1002" s="552">
        <f t="shared" si="603"/>
        <v>0</v>
      </c>
      <c r="DN1002" s="552">
        <f t="shared" si="603"/>
        <v>0</v>
      </c>
      <c r="DO1002" s="552">
        <f t="shared" si="603"/>
        <v>0</v>
      </c>
      <c r="DP1002" s="552">
        <f t="shared" si="603"/>
        <v>0</v>
      </c>
      <c r="DQ1002" s="552">
        <f t="shared" si="603"/>
        <v>0</v>
      </c>
      <c r="DR1002" s="552">
        <f t="shared" si="603"/>
        <v>0</v>
      </c>
      <c r="DS1002" s="552">
        <f t="shared" si="603"/>
        <v>0</v>
      </c>
      <c r="DT1002" s="552">
        <f t="shared" si="603"/>
        <v>0</v>
      </c>
      <c r="DU1002" s="552">
        <f t="shared" si="603"/>
        <v>0</v>
      </c>
      <c r="DV1002" s="552">
        <f t="shared" si="603"/>
        <v>0</v>
      </c>
      <c r="DW1002" s="552">
        <f t="shared" si="603"/>
        <v>0</v>
      </c>
      <c r="DX1002" s="552">
        <f t="shared" si="603"/>
        <v>0</v>
      </c>
      <c r="DY1002" s="552">
        <f t="shared" si="603"/>
        <v>0</v>
      </c>
      <c r="DZ1002" s="552">
        <f t="shared" si="603"/>
        <v>0</v>
      </c>
      <c r="EA1002" s="552">
        <f t="shared" si="603"/>
        <v>0</v>
      </c>
      <c r="EB1002" s="552">
        <f t="shared" si="603"/>
        <v>0</v>
      </c>
      <c r="EC1002" s="552">
        <f t="shared" si="603"/>
        <v>0</v>
      </c>
      <c r="ED1002" s="552">
        <f t="shared" si="603"/>
        <v>0</v>
      </c>
      <c r="EE1002" s="552">
        <f t="shared" si="603"/>
        <v>0</v>
      </c>
      <c r="EF1002" s="552">
        <f t="shared" si="603"/>
        <v>0</v>
      </c>
      <c r="EG1002" s="552">
        <f t="shared" si="603"/>
        <v>0</v>
      </c>
      <c r="EH1002" s="552">
        <f t="shared" ref="EH1002:EX1002" si="604">EH34*EH$338</f>
        <v>0</v>
      </c>
      <c r="EI1002" s="552">
        <f t="shared" si="604"/>
        <v>0</v>
      </c>
      <c r="EJ1002" s="552">
        <f t="shared" si="604"/>
        <v>0</v>
      </c>
      <c r="EK1002" s="552">
        <f t="shared" si="604"/>
        <v>0</v>
      </c>
      <c r="EL1002" s="552">
        <f t="shared" si="604"/>
        <v>0</v>
      </c>
      <c r="EM1002" s="552">
        <f t="shared" si="604"/>
        <v>0</v>
      </c>
      <c r="EN1002" s="552">
        <f t="shared" si="604"/>
        <v>0</v>
      </c>
      <c r="EO1002" s="552">
        <f t="shared" si="604"/>
        <v>0</v>
      </c>
      <c r="EP1002" s="552">
        <f t="shared" si="604"/>
        <v>0</v>
      </c>
      <c r="EQ1002" s="552">
        <f t="shared" si="604"/>
        <v>0</v>
      </c>
      <c r="ER1002" s="552">
        <f t="shared" si="604"/>
        <v>0</v>
      </c>
      <c r="ES1002" s="552">
        <f t="shared" si="604"/>
        <v>0</v>
      </c>
      <c r="ET1002" s="552">
        <f t="shared" si="604"/>
        <v>0</v>
      </c>
      <c r="EU1002" s="552">
        <f t="shared" si="604"/>
        <v>0</v>
      </c>
      <c r="EV1002" s="552">
        <f t="shared" si="604"/>
        <v>0</v>
      </c>
      <c r="EW1002" s="552">
        <f t="shared" si="604"/>
        <v>0</v>
      </c>
      <c r="EX1002" s="552">
        <f t="shared" si="604"/>
        <v>0</v>
      </c>
      <c r="EY1002" s="799">
        <f t="shared" si="527"/>
        <v>0</v>
      </c>
      <c r="EZ1002" s="789"/>
      <c r="FA1002" s="789"/>
      <c r="FB1002" s="789"/>
      <c r="FC1002" s="789"/>
      <c r="FD1002" s="789"/>
      <c r="FE1002" s="789"/>
      <c r="FF1002" s="789"/>
      <c r="FG1002" s="789"/>
      <c r="FH1002" s="789"/>
      <c r="FI1002" s="789"/>
      <c r="FJ1002" s="789"/>
      <c r="FK1002" s="789"/>
      <c r="FL1002" s="789"/>
    </row>
    <row r="1003" spans="1:168" s="551" customFormat="1" x14ac:dyDescent="0.25">
      <c r="A1003" s="1493"/>
      <c r="B1003" s="1064">
        <f t="shared" si="566"/>
        <v>0</v>
      </c>
      <c r="C1003" s="1064">
        <f t="shared" si="574"/>
        <v>0</v>
      </c>
      <c r="D1003" s="1064">
        <f t="shared" si="574"/>
        <v>0</v>
      </c>
      <c r="E1003" s="1158">
        <f t="shared" si="575"/>
        <v>0</v>
      </c>
      <c r="F1003" s="1142"/>
      <c r="G1003" s="1142"/>
      <c r="H1003" s="1142"/>
      <c r="I1003" s="790"/>
      <c r="J1003" s="552">
        <f t="shared" ref="J1003:AO1003" si="605">J35*J$338</f>
        <v>0</v>
      </c>
      <c r="K1003" s="552">
        <f t="shared" si="605"/>
        <v>0</v>
      </c>
      <c r="L1003" s="552">
        <f t="shared" si="605"/>
        <v>0</v>
      </c>
      <c r="M1003" s="552">
        <f t="shared" si="605"/>
        <v>0</v>
      </c>
      <c r="N1003" s="552">
        <f t="shared" si="605"/>
        <v>0</v>
      </c>
      <c r="O1003" s="552">
        <f t="shared" si="605"/>
        <v>0</v>
      </c>
      <c r="P1003" s="552">
        <f t="shared" si="605"/>
        <v>0</v>
      </c>
      <c r="Q1003" s="552">
        <f t="shared" si="605"/>
        <v>0</v>
      </c>
      <c r="R1003" s="552">
        <f t="shared" si="605"/>
        <v>0</v>
      </c>
      <c r="S1003" s="552">
        <f t="shared" si="605"/>
        <v>0</v>
      </c>
      <c r="T1003" s="552">
        <f t="shared" si="605"/>
        <v>0</v>
      </c>
      <c r="U1003" s="552">
        <f t="shared" si="605"/>
        <v>0</v>
      </c>
      <c r="V1003" s="552">
        <f t="shared" si="605"/>
        <v>0</v>
      </c>
      <c r="W1003" s="552">
        <f t="shared" si="605"/>
        <v>0</v>
      </c>
      <c r="X1003" s="552">
        <f t="shared" si="605"/>
        <v>0</v>
      </c>
      <c r="Y1003" s="552">
        <f t="shared" si="605"/>
        <v>0</v>
      </c>
      <c r="Z1003" s="552">
        <f t="shared" si="605"/>
        <v>0</v>
      </c>
      <c r="AA1003" s="552">
        <f t="shared" si="605"/>
        <v>0</v>
      </c>
      <c r="AB1003" s="552">
        <f t="shared" si="605"/>
        <v>0</v>
      </c>
      <c r="AC1003" s="552">
        <f t="shared" si="605"/>
        <v>0</v>
      </c>
      <c r="AD1003" s="552">
        <f t="shared" si="605"/>
        <v>0</v>
      </c>
      <c r="AE1003" s="552">
        <f t="shared" si="605"/>
        <v>0</v>
      </c>
      <c r="AF1003" s="552">
        <f t="shared" si="605"/>
        <v>0</v>
      </c>
      <c r="AG1003" s="552">
        <f t="shared" si="605"/>
        <v>0</v>
      </c>
      <c r="AH1003" s="552">
        <f t="shared" si="605"/>
        <v>0</v>
      </c>
      <c r="AI1003" s="552">
        <f t="shared" si="605"/>
        <v>0</v>
      </c>
      <c r="AJ1003" s="552">
        <f t="shared" si="605"/>
        <v>0</v>
      </c>
      <c r="AK1003" s="552">
        <f t="shared" si="605"/>
        <v>0</v>
      </c>
      <c r="AL1003" s="552">
        <f t="shared" si="605"/>
        <v>0</v>
      </c>
      <c r="AM1003" s="552">
        <f t="shared" si="605"/>
        <v>0</v>
      </c>
      <c r="AN1003" s="552">
        <f t="shared" si="605"/>
        <v>0</v>
      </c>
      <c r="AO1003" s="552">
        <f t="shared" si="605"/>
        <v>0</v>
      </c>
      <c r="AP1003" s="552">
        <f t="shared" ref="AP1003:BU1003" si="606">AP35*AP$338</f>
        <v>0</v>
      </c>
      <c r="AQ1003" s="552">
        <f t="shared" si="606"/>
        <v>0</v>
      </c>
      <c r="AR1003" s="552">
        <f t="shared" si="606"/>
        <v>0</v>
      </c>
      <c r="AS1003" s="552">
        <f t="shared" si="606"/>
        <v>0</v>
      </c>
      <c r="AT1003" s="552">
        <f t="shared" si="606"/>
        <v>0</v>
      </c>
      <c r="AU1003" s="552">
        <f t="shared" si="606"/>
        <v>0</v>
      </c>
      <c r="AV1003" s="552">
        <f t="shared" si="606"/>
        <v>0</v>
      </c>
      <c r="AW1003" s="552">
        <f t="shared" si="606"/>
        <v>0</v>
      </c>
      <c r="AX1003" s="552">
        <f t="shared" si="606"/>
        <v>0</v>
      </c>
      <c r="AY1003" s="552">
        <f t="shared" si="606"/>
        <v>0</v>
      </c>
      <c r="AZ1003" s="552">
        <f t="shared" si="606"/>
        <v>0</v>
      </c>
      <c r="BA1003" s="552">
        <f t="shared" si="606"/>
        <v>0</v>
      </c>
      <c r="BB1003" s="552">
        <f t="shared" si="606"/>
        <v>0</v>
      </c>
      <c r="BC1003" s="552">
        <f t="shared" si="606"/>
        <v>0</v>
      </c>
      <c r="BD1003" s="552">
        <f t="shared" si="606"/>
        <v>0</v>
      </c>
      <c r="BE1003" s="552">
        <f t="shared" si="606"/>
        <v>0</v>
      </c>
      <c r="BF1003" s="552">
        <f t="shared" si="606"/>
        <v>0</v>
      </c>
      <c r="BG1003" s="552">
        <f t="shared" si="606"/>
        <v>0</v>
      </c>
      <c r="BH1003" s="552">
        <f t="shared" si="606"/>
        <v>0</v>
      </c>
      <c r="BI1003" s="552">
        <f t="shared" si="606"/>
        <v>0</v>
      </c>
      <c r="BJ1003" s="552">
        <f t="shared" si="606"/>
        <v>0</v>
      </c>
      <c r="BK1003" s="552">
        <f t="shared" si="606"/>
        <v>0</v>
      </c>
      <c r="BL1003" s="552">
        <f t="shared" si="606"/>
        <v>0</v>
      </c>
      <c r="BM1003" s="552">
        <f t="shared" si="606"/>
        <v>0</v>
      </c>
      <c r="BN1003" s="552">
        <f t="shared" si="606"/>
        <v>0</v>
      </c>
      <c r="BO1003" s="552">
        <f t="shared" si="606"/>
        <v>0</v>
      </c>
      <c r="BP1003" s="552">
        <f t="shared" si="606"/>
        <v>0</v>
      </c>
      <c r="BQ1003" s="552">
        <f t="shared" si="606"/>
        <v>0</v>
      </c>
      <c r="BR1003" s="552">
        <f t="shared" si="606"/>
        <v>0</v>
      </c>
      <c r="BS1003" s="552">
        <f t="shared" si="606"/>
        <v>0</v>
      </c>
      <c r="BT1003" s="552">
        <f t="shared" si="606"/>
        <v>0</v>
      </c>
      <c r="BU1003" s="552">
        <f t="shared" si="606"/>
        <v>0</v>
      </c>
      <c r="BV1003" s="552">
        <f>BV35*BV$338</f>
        <v>0</v>
      </c>
      <c r="BW1003" s="552">
        <f t="shared" ref="BW1003:EH1003" si="607">BW35*BW$338</f>
        <v>0</v>
      </c>
      <c r="BX1003" s="552">
        <f t="shared" si="607"/>
        <v>0</v>
      </c>
      <c r="BY1003" s="552">
        <f t="shared" si="607"/>
        <v>0</v>
      </c>
      <c r="BZ1003" s="552">
        <f t="shared" si="607"/>
        <v>0</v>
      </c>
      <c r="CA1003" s="552">
        <f t="shared" si="607"/>
        <v>0</v>
      </c>
      <c r="CB1003" s="552">
        <f t="shared" si="607"/>
        <v>0</v>
      </c>
      <c r="CC1003" s="552">
        <f t="shared" si="607"/>
        <v>0</v>
      </c>
      <c r="CD1003" s="552">
        <f t="shared" si="607"/>
        <v>0</v>
      </c>
      <c r="CE1003" s="552">
        <f t="shared" si="607"/>
        <v>0</v>
      </c>
      <c r="CF1003" s="552">
        <f t="shared" si="607"/>
        <v>0</v>
      </c>
      <c r="CG1003" s="552">
        <f t="shared" si="607"/>
        <v>0</v>
      </c>
      <c r="CH1003" s="552">
        <f t="shared" si="607"/>
        <v>0</v>
      </c>
      <c r="CI1003" s="552">
        <f t="shared" si="607"/>
        <v>0</v>
      </c>
      <c r="CJ1003" s="552">
        <f t="shared" si="607"/>
        <v>0</v>
      </c>
      <c r="CK1003" s="552">
        <f t="shared" si="607"/>
        <v>0</v>
      </c>
      <c r="CL1003" s="552">
        <f t="shared" si="607"/>
        <v>0</v>
      </c>
      <c r="CM1003" s="552">
        <f t="shared" si="607"/>
        <v>0</v>
      </c>
      <c r="CN1003" s="552">
        <f t="shared" si="607"/>
        <v>0</v>
      </c>
      <c r="CO1003" s="552">
        <f t="shared" si="607"/>
        <v>0</v>
      </c>
      <c r="CP1003" s="552">
        <f t="shared" si="607"/>
        <v>0</v>
      </c>
      <c r="CQ1003" s="552">
        <f t="shared" si="607"/>
        <v>0</v>
      </c>
      <c r="CR1003" s="552">
        <f t="shared" si="607"/>
        <v>0</v>
      </c>
      <c r="CS1003" s="552">
        <f t="shared" si="607"/>
        <v>0</v>
      </c>
      <c r="CT1003" s="552">
        <f t="shared" si="607"/>
        <v>0</v>
      </c>
      <c r="CU1003" s="552">
        <f t="shared" si="607"/>
        <v>0</v>
      </c>
      <c r="CV1003" s="552">
        <f t="shared" si="607"/>
        <v>0</v>
      </c>
      <c r="CW1003" s="552">
        <f t="shared" si="607"/>
        <v>0</v>
      </c>
      <c r="CX1003" s="552">
        <f t="shared" si="607"/>
        <v>0</v>
      </c>
      <c r="CY1003" s="552">
        <f t="shared" si="607"/>
        <v>0</v>
      </c>
      <c r="CZ1003" s="552">
        <f t="shared" si="607"/>
        <v>0</v>
      </c>
      <c r="DA1003" s="552">
        <f t="shared" si="607"/>
        <v>0</v>
      </c>
      <c r="DB1003" s="552">
        <f t="shared" si="607"/>
        <v>0</v>
      </c>
      <c r="DC1003" s="552">
        <f t="shared" si="607"/>
        <v>0</v>
      </c>
      <c r="DD1003" s="552">
        <f t="shared" si="607"/>
        <v>0</v>
      </c>
      <c r="DE1003" s="552">
        <f t="shared" si="607"/>
        <v>0</v>
      </c>
      <c r="DF1003" s="552">
        <f t="shared" si="607"/>
        <v>0</v>
      </c>
      <c r="DG1003" s="552">
        <f t="shared" si="607"/>
        <v>0</v>
      </c>
      <c r="DH1003" s="552">
        <f t="shared" si="607"/>
        <v>0</v>
      </c>
      <c r="DI1003" s="552">
        <f t="shared" si="607"/>
        <v>0</v>
      </c>
      <c r="DJ1003" s="552">
        <f t="shared" si="607"/>
        <v>0</v>
      </c>
      <c r="DK1003" s="552">
        <f t="shared" si="607"/>
        <v>0</v>
      </c>
      <c r="DL1003" s="552">
        <f t="shared" si="607"/>
        <v>0</v>
      </c>
      <c r="DM1003" s="552">
        <f t="shared" si="607"/>
        <v>0</v>
      </c>
      <c r="DN1003" s="552">
        <f t="shared" si="607"/>
        <v>0</v>
      </c>
      <c r="DO1003" s="552">
        <f t="shared" si="607"/>
        <v>0</v>
      </c>
      <c r="DP1003" s="552">
        <f t="shared" si="607"/>
        <v>0</v>
      </c>
      <c r="DQ1003" s="552">
        <f t="shared" si="607"/>
        <v>0</v>
      </c>
      <c r="DR1003" s="552">
        <f t="shared" si="607"/>
        <v>0</v>
      </c>
      <c r="DS1003" s="552">
        <f t="shared" si="607"/>
        <v>0</v>
      </c>
      <c r="DT1003" s="552">
        <f t="shared" si="607"/>
        <v>0</v>
      </c>
      <c r="DU1003" s="552">
        <f t="shared" si="607"/>
        <v>0</v>
      </c>
      <c r="DV1003" s="552">
        <f t="shared" si="607"/>
        <v>0</v>
      </c>
      <c r="DW1003" s="552">
        <f t="shared" si="607"/>
        <v>0</v>
      </c>
      <c r="DX1003" s="552">
        <f t="shared" si="607"/>
        <v>0</v>
      </c>
      <c r="DY1003" s="552">
        <f t="shared" si="607"/>
        <v>0</v>
      </c>
      <c r="DZ1003" s="552">
        <f t="shared" si="607"/>
        <v>0</v>
      </c>
      <c r="EA1003" s="552">
        <f t="shared" si="607"/>
        <v>0</v>
      </c>
      <c r="EB1003" s="552">
        <f t="shared" si="607"/>
        <v>0</v>
      </c>
      <c r="EC1003" s="552">
        <f t="shared" si="607"/>
        <v>0</v>
      </c>
      <c r="ED1003" s="552">
        <f t="shared" si="607"/>
        <v>0</v>
      </c>
      <c r="EE1003" s="552">
        <f t="shared" si="607"/>
        <v>0</v>
      </c>
      <c r="EF1003" s="552">
        <f t="shared" si="607"/>
        <v>0</v>
      </c>
      <c r="EG1003" s="552">
        <f t="shared" si="607"/>
        <v>0</v>
      </c>
      <c r="EH1003" s="552">
        <f t="shared" si="607"/>
        <v>0</v>
      </c>
      <c r="EI1003" s="552">
        <f t="shared" ref="EI1003:EX1003" si="608">EI35*EI$338</f>
        <v>0</v>
      </c>
      <c r="EJ1003" s="552">
        <f t="shared" si="608"/>
        <v>0</v>
      </c>
      <c r="EK1003" s="552">
        <f t="shared" si="608"/>
        <v>0</v>
      </c>
      <c r="EL1003" s="552">
        <f t="shared" si="608"/>
        <v>0</v>
      </c>
      <c r="EM1003" s="552">
        <f t="shared" si="608"/>
        <v>0</v>
      </c>
      <c r="EN1003" s="552">
        <f t="shared" si="608"/>
        <v>0</v>
      </c>
      <c r="EO1003" s="552">
        <f t="shared" si="608"/>
        <v>0</v>
      </c>
      <c r="EP1003" s="552">
        <f t="shared" si="608"/>
        <v>0</v>
      </c>
      <c r="EQ1003" s="552">
        <f t="shared" si="608"/>
        <v>0</v>
      </c>
      <c r="ER1003" s="552">
        <f t="shared" si="608"/>
        <v>0</v>
      </c>
      <c r="ES1003" s="552">
        <f t="shared" si="608"/>
        <v>0</v>
      </c>
      <c r="ET1003" s="552">
        <f t="shared" si="608"/>
        <v>0</v>
      </c>
      <c r="EU1003" s="552">
        <f t="shared" si="608"/>
        <v>0</v>
      </c>
      <c r="EV1003" s="552">
        <f t="shared" si="608"/>
        <v>0</v>
      </c>
      <c r="EW1003" s="552">
        <f t="shared" si="608"/>
        <v>0</v>
      </c>
      <c r="EX1003" s="552">
        <f t="shared" si="608"/>
        <v>0</v>
      </c>
      <c r="EY1003" s="799">
        <f t="shared" si="527"/>
        <v>0</v>
      </c>
      <c r="EZ1003" s="789"/>
      <c r="FA1003" s="789"/>
      <c r="FB1003" s="789"/>
      <c r="FC1003" s="789"/>
      <c r="FD1003" s="789"/>
      <c r="FE1003" s="789"/>
      <c r="FF1003" s="789"/>
      <c r="FG1003" s="789"/>
      <c r="FH1003" s="789"/>
      <c r="FI1003" s="789"/>
      <c r="FJ1003" s="789"/>
      <c r="FK1003" s="789"/>
      <c r="FL1003" s="789"/>
    </row>
    <row r="1004" spans="1:168" s="548" customFormat="1" x14ac:dyDescent="0.25">
      <c r="A1004" s="254"/>
      <c r="B1004" s="625" t="s">
        <v>113</v>
      </c>
      <c r="C1004" s="1135"/>
      <c r="D1004" s="1135">
        <v>760</v>
      </c>
      <c r="E1004" s="1138">
        <f t="shared" ref="E1004" si="609">SUM(E995:E1003)</f>
        <v>79.290000000000006</v>
      </c>
      <c r="F1004" s="1138"/>
      <c r="G1004" s="1138"/>
      <c r="H1004" s="1138"/>
      <c r="I1004" s="554"/>
      <c r="J1004" s="554">
        <f>SUM(J995:J1003)</f>
        <v>28</v>
      </c>
      <c r="K1004" s="554">
        <f t="shared" ref="K1004:BV1004" si="610">SUM(K995:K1003)</f>
        <v>0</v>
      </c>
      <c r="L1004" s="554">
        <f t="shared" si="610"/>
        <v>0</v>
      </c>
      <c r="M1004" s="554">
        <f t="shared" si="610"/>
        <v>0</v>
      </c>
      <c r="N1004" s="554">
        <f t="shared" si="610"/>
        <v>0</v>
      </c>
      <c r="O1004" s="554">
        <f t="shared" si="610"/>
        <v>0</v>
      </c>
      <c r="P1004" s="554">
        <f t="shared" si="610"/>
        <v>0</v>
      </c>
      <c r="Q1004" s="554">
        <f t="shared" si="610"/>
        <v>0</v>
      </c>
      <c r="R1004" s="554">
        <f t="shared" si="610"/>
        <v>0</v>
      </c>
      <c r="S1004" s="554">
        <f t="shared" si="610"/>
        <v>0</v>
      </c>
      <c r="T1004" s="554">
        <f t="shared" si="610"/>
        <v>0</v>
      </c>
      <c r="U1004" s="554">
        <f t="shared" si="610"/>
        <v>0.48</v>
      </c>
      <c r="V1004" s="554">
        <f t="shared" si="610"/>
        <v>5.68</v>
      </c>
      <c r="W1004" s="554">
        <f t="shared" si="610"/>
        <v>0</v>
      </c>
      <c r="X1004" s="554">
        <f t="shared" si="610"/>
        <v>0</v>
      </c>
      <c r="Y1004" s="554">
        <f t="shared" si="610"/>
        <v>5.56</v>
      </c>
      <c r="Z1004" s="554">
        <f t="shared" si="610"/>
        <v>0</v>
      </c>
      <c r="AA1004" s="554">
        <f t="shared" si="610"/>
        <v>0</v>
      </c>
      <c r="AB1004" s="554">
        <f t="shared" si="610"/>
        <v>0</v>
      </c>
      <c r="AC1004" s="554">
        <f t="shared" si="610"/>
        <v>0</v>
      </c>
      <c r="AD1004" s="554">
        <f t="shared" si="610"/>
        <v>0</v>
      </c>
      <c r="AE1004" s="554">
        <f t="shared" si="610"/>
        <v>0</v>
      </c>
      <c r="AF1004" s="554">
        <f t="shared" si="610"/>
        <v>1.99</v>
      </c>
      <c r="AG1004" s="554">
        <f t="shared" si="610"/>
        <v>0</v>
      </c>
      <c r="AH1004" s="554">
        <f t="shared" si="610"/>
        <v>6.57</v>
      </c>
      <c r="AI1004" s="554">
        <f t="shared" si="610"/>
        <v>0</v>
      </c>
      <c r="AJ1004" s="554">
        <f t="shared" si="610"/>
        <v>0</v>
      </c>
      <c r="AK1004" s="554">
        <f t="shared" si="610"/>
        <v>1.35</v>
      </c>
      <c r="AL1004" s="554">
        <f t="shared" si="610"/>
        <v>5.18</v>
      </c>
      <c r="AM1004" s="554">
        <f t="shared" si="610"/>
        <v>0</v>
      </c>
      <c r="AN1004" s="554">
        <f t="shared" si="610"/>
        <v>5.39</v>
      </c>
      <c r="AO1004" s="554">
        <f t="shared" si="610"/>
        <v>0</v>
      </c>
      <c r="AP1004" s="554">
        <f t="shared" si="610"/>
        <v>0</v>
      </c>
      <c r="AQ1004" s="554">
        <f t="shared" si="610"/>
        <v>2.13</v>
      </c>
      <c r="AR1004" s="554">
        <f t="shared" si="610"/>
        <v>0</v>
      </c>
      <c r="AS1004" s="554">
        <f t="shared" si="610"/>
        <v>0</v>
      </c>
      <c r="AT1004" s="554">
        <f t="shared" si="610"/>
        <v>0.98</v>
      </c>
      <c r="AU1004" s="554">
        <f t="shared" si="610"/>
        <v>1.05</v>
      </c>
      <c r="AV1004" s="554">
        <f t="shared" si="610"/>
        <v>0</v>
      </c>
      <c r="AW1004" s="554">
        <f t="shared" si="610"/>
        <v>0</v>
      </c>
      <c r="AX1004" s="554">
        <f t="shared" si="610"/>
        <v>0</v>
      </c>
      <c r="AY1004" s="554">
        <f t="shared" si="610"/>
        <v>0</v>
      </c>
      <c r="AZ1004" s="554">
        <f t="shared" si="610"/>
        <v>0</v>
      </c>
      <c r="BA1004" s="554">
        <f t="shared" si="610"/>
        <v>1.89</v>
      </c>
      <c r="BB1004" s="554">
        <f t="shared" si="610"/>
        <v>0</v>
      </c>
      <c r="BC1004" s="554">
        <f t="shared" si="610"/>
        <v>0</v>
      </c>
      <c r="BD1004" s="554">
        <f t="shared" si="610"/>
        <v>0</v>
      </c>
      <c r="BE1004" s="554">
        <f t="shared" si="610"/>
        <v>0</v>
      </c>
      <c r="BF1004" s="554">
        <f t="shared" si="610"/>
        <v>0</v>
      </c>
      <c r="BG1004" s="554">
        <f t="shared" si="610"/>
        <v>0</v>
      </c>
      <c r="BH1004" s="554">
        <f t="shared" si="610"/>
        <v>0</v>
      </c>
      <c r="BI1004" s="554">
        <f t="shared" si="610"/>
        <v>0</v>
      </c>
      <c r="BJ1004" s="554">
        <f t="shared" si="610"/>
        <v>0</v>
      </c>
      <c r="BK1004" s="554">
        <f t="shared" si="610"/>
        <v>0</v>
      </c>
      <c r="BL1004" s="554">
        <f t="shared" si="610"/>
        <v>0</v>
      </c>
      <c r="BM1004" s="554">
        <f t="shared" si="610"/>
        <v>0</v>
      </c>
      <c r="BN1004" s="554">
        <f t="shared" si="610"/>
        <v>0</v>
      </c>
      <c r="BO1004" s="554">
        <f t="shared" si="610"/>
        <v>0</v>
      </c>
      <c r="BP1004" s="554">
        <f t="shared" si="610"/>
        <v>0</v>
      </c>
      <c r="BQ1004" s="554">
        <f t="shared" si="610"/>
        <v>0</v>
      </c>
      <c r="BR1004" s="554">
        <f t="shared" si="610"/>
        <v>0</v>
      </c>
      <c r="BS1004" s="554">
        <f t="shared" si="610"/>
        <v>0.2</v>
      </c>
      <c r="BT1004" s="554">
        <f t="shared" si="610"/>
        <v>0</v>
      </c>
      <c r="BU1004" s="554">
        <f t="shared" si="610"/>
        <v>0</v>
      </c>
      <c r="BV1004" s="554">
        <f t="shared" si="610"/>
        <v>0</v>
      </c>
      <c r="BW1004" s="554">
        <f t="shared" ref="BW1004:EH1004" si="611">SUM(BW995:BW1003)</f>
        <v>0</v>
      </c>
      <c r="BX1004" s="554">
        <f t="shared" si="611"/>
        <v>0</v>
      </c>
      <c r="BY1004" s="554">
        <f t="shared" si="611"/>
        <v>0</v>
      </c>
      <c r="BZ1004" s="554">
        <f t="shared" si="611"/>
        <v>0</v>
      </c>
      <c r="CA1004" s="554">
        <f t="shared" si="611"/>
        <v>0</v>
      </c>
      <c r="CB1004" s="554">
        <f t="shared" si="611"/>
        <v>0</v>
      </c>
      <c r="CC1004" s="554">
        <f t="shared" si="611"/>
        <v>0</v>
      </c>
      <c r="CD1004" s="554">
        <f t="shared" si="611"/>
        <v>0</v>
      </c>
      <c r="CE1004" s="554">
        <f t="shared" si="611"/>
        <v>0</v>
      </c>
      <c r="CF1004" s="554">
        <f t="shared" si="611"/>
        <v>2.11</v>
      </c>
      <c r="CG1004" s="554">
        <f t="shared" si="611"/>
        <v>0</v>
      </c>
      <c r="CH1004" s="554">
        <f t="shared" si="611"/>
        <v>0</v>
      </c>
      <c r="CI1004" s="554">
        <f t="shared" si="611"/>
        <v>0</v>
      </c>
      <c r="CJ1004" s="554">
        <f t="shared" si="611"/>
        <v>0</v>
      </c>
      <c r="CK1004" s="554">
        <f t="shared" si="611"/>
        <v>0</v>
      </c>
      <c r="CL1004" s="554">
        <f t="shared" si="611"/>
        <v>0</v>
      </c>
      <c r="CM1004" s="554">
        <f t="shared" si="611"/>
        <v>0</v>
      </c>
      <c r="CN1004" s="554">
        <f t="shared" si="611"/>
        <v>0</v>
      </c>
      <c r="CO1004" s="554">
        <f t="shared" si="611"/>
        <v>0</v>
      </c>
      <c r="CP1004" s="554">
        <f t="shared" si="611"/>
        <v>0</v>
      </c>
      <c r="CQ1004" s="554">
        <f t="shared" si="611"/>
        <v>0.06</v>
      </c>
      <c r="CR1004" s="554">
        <f t="shared" si="611"/>
        <v>0</v>
      </c>
      <c r="CS1004" s="554">
        <f t="shared" si="611"/>
        <v>0.2</v>
      </c>
      <c r="CT1004" s="554">
        <f t="shared" si="611"/>
        <v>0</v>
      </c>
      <c r="CU1004" s="554">
        <f t="shared" si="611"/>
        <v>0</v>
      </c>
      <c r="CV1004" s="554">
        <f t="shared" si="611"/>
        <v>0</v>
      </c>
      <c r="CW1004" s="554">
        <f t="shared" si="611"/>
        <v>0</v>
      </c>
      <c r="CX1004" s="554">
        <f t="shared" si="611"/>
        <v>0</v>
      </c>
      <c r="CY1004" s="554">
        <f t="shared" si="611"/>
        <v>0</v>
      </c>
      <c r="CZ1004" s="554">
        <f t="shared" si="611"/>
        <v>1.52</v>
      </c>
      <c r="DA1004" s="554">
        <f t="shared" si="611"/>
        <v>0</v>
      </c>
      <c r="DB1004" s="554">
        <f t="shared" si="611"/>
        <v>0</v>
      </c>
      <c r="DC1004" s="554">
        <f t="shared" si="611"/>
        <v>0.22</v>
      </c>
      <c r="DD1004" s="554">
        <f t="shared" si="611"/>
        <v>0.59</v>
      </c>
      <c r="DE1004" s="554">
        <f t="shared" si="611"/>
        <v>2.6</v>
      </c>
      <c r="DF1004" s="554">
        <f t="shared" si="611"/>
        <v>0.69</v>
      </c>
      <c r="DG1004" s="554">
        <f t="shared" si="611"/>
        <v>0</v>
      </c>
      <c r="DH1004" s="554">
        <f t="shared" si="611"/>
        <v>0</v>
      </c>
      <c r="DI1004" s="554">
        <f t="shared" si="611"/>
        <v>0</v>
      </c>
      <c r="DJ1004" s="554">
        <f t="shared" si="611"/>
        <v>0</v>
      </c>
      <c r="DK1004" s="554">
        <f t="shared" si="611"/>
        <v>0</v>
      </c>
      <c r="DL1004" s="554">
        <f t="shared" si="611"/>
        <v>1.01</v>
      </c>
      <c r="DM1004" s="554">
        <f t="shared" si="611"/>
        <v>0</v>
      </c>
      <c r="DN1004" s="554">
        <f t="shared" si="611"/>
        <v>0</v>
      </c>
      <c r="DO1004" s="554">
        <f t="shared" si="611"/>
        <v>0</v>
      </c>
      <c r="DP1004" s="554">
        <f t="shared" si="611"/>
        <v>0</v>
      </c>
      <c r="DQ1004" s="554">
        <f t="shared" si="611"/>
        <v>0</v>
      </c>
      <c r="DR1004" s="554">
        <f t="shared" si="611"/>
        <v>0</v>
      </c>
      <c r="DS1004" s="554">
        <f t="shared" si="611"/>
        <v>0</v>
      </c>
      <c r="DT1004" s="554">
        <f t="shared" si="611"/>
        <v>0</v>
      </c>
      <c r="DU1004" s="554">
        <f t="shared" si="611"/>
        <v>0</v>
      </c>
      <c r="DV1004" s="554">
        <f t="shared" si="611"/>
        <v>0</v>
      </c>
      <c r="DW1004" s="554">
        <f t="shared" si="611"/>
        <v>0</v>
      </c>
      <c r="DX1004" s="554">
        <f t="shared" si="611"/>
        <v>0</v>
      </c>
      <c r="DY1004" s="554">
        <f t="shared" si="611"/>
        <v>0</v>
      </c>
      <c r="DZ1004" s="554">
        <f t="shared" si="611"/>
        <v>0</v>
      </c>
      <c r="EA1004" s="554">
        <f t="shared" si="611"/>
        <v>0</v>
      </c>
      <c r="EB1004" s="554">
        <f t="shared" si="611"/>
        <v>0</v>
      </c>
      <c r="EC1004" s="554">
        <f t="shared" si="611"/>
        <v>0</v>
      </c>
      <c r="ED1004" s="554">
        <f t="shared" si="611"/>
        <v>0</v>
      </c>
      <c r="EE1004" s="554">
        <f t="shared" si="611"/>
        <v>0</v>
      </c>
      <c r="EF1004" s="554">
        <f t="shared" si="611"/>
        <v>0</v>
      </c>
      <c r="EG1004" s="554">
        <f t="shared" si="611"/>
        <v>0</v>
      </c>
      <c r="EH1004" s="554">
        <f t="shared" si="611"/>
        <v>0</v>
      </c>
      <c r="EI1004" s="554">
        <f t="shared" ref="EI1004:EY1004" si="612">SUM(EI995:EI1003)</f>
        <v>0</v>
      </c>
      <c r="EJ1004" s="554">
        <f t="shared" si="612"/>
        <v>0</v>
      </c>
      <c r="EK1004" s="554">
        <f t="shared" si="612"/>
        <v>0</v>
      </c>
      <c r="EL1004" s="554">
        <f t="shared" si="612"/>
        <v>0</v>
      </c>
      <c r="EM1004" s="554">
        <f t="shared" si="612"/>
        <v>0</v>
      </c>
      <c r="EN1004" s="554">
        <f t="shared" si="612"/>
        <v>0</v>
      </c>
      <c r="EO1004" s="554">
        <f t="shared" si="612"/>
        <v>0</v>
      </c>
      <c r="EP1004" s="554">
        <f t="shared" si="612"/>
        <v>0</v>
      </c>
      <c r="EQ1004" s="554">
        <f t="shared" si="612"/>
        <v>0</v>
      </c>
      <c r="ER1004" s="554">
        <f t="shared" si="612"/>
        <v>0</v>
      </c>
      <c r="ES1004" s="554">
        <f t="shared" si="612"/>
        <v>0</v>
      </c>
      <c r="ET1004" s="554">
        <f t="shared" si="612"/>
        <v>0</v>
      </c>
      <c r="EU1004" s="554">
        <f t="shared" si="612"/>
        <v>0</v>
      </c>
      <c r="EV1004" s="554">
        <f t="shared" si="612"/>
        <v>1.89</v>
      </c>
      <c r="EW1004" s="554">
        <f t="shared" si="612"/>
        <v>1.95</v>
      </c>
      <c r="EX1004" s="554">
        <f t="shared" si="612"/>
        <v>0</v>
      </c>
      <c r="EY1004" s="554">
        <f t="shared" si="612"/>
        <v>79.290000000000006</v>
      </c>
      <c r="EZ1004" s="562"/>
      <c r="FA1004" s="562"/>
      <c r="FB1004" s="562"/>
      <c r="FC1004" s="562"/>
      <c r="FD1004" s="562"/>
      <c r="FE1004" s="562"/>
      <c r="FF1004" s="562"/>
      <c r="FG1004" s="562"/>
      <c r="FH1004" s="562"/>
      <c r="FI1004" s="562"/>
      <c r="FJ1004" s="562"/>
      <c r="FK1004" s="562"/>
      <c r="FL1004" s="562"/>
    </row>
    <row r="1005" spans="1:168" s="551" customFormat="1" x14ac:dyDescent="0.25">
      <c r="A1005" s="1491" t="s">
        <v>800</v>
      </c>
      <c r="B1005" s="1064">
        <f t="shared" ref="B1005" si="613">B37</f>
        <v>0</v>
      </c>
      <c r="C1005" s="1064">
        <f t="shared" ref="C1005:D1009" si="614">C37</f>
        <v>0</v>
      </c>
      <c r="D1005" s="1064">
        <f t="shared" si="614"/>
        <v>0</v>
      </c>
      <c r="E1005" s="1158">
        <f t="shared" ref="E1005:E1009" si="615">EY1005</f>
        <v>0</v>
      </c>
      <c r="F1005" s="1158"/>
      <c r="G1005" s="1142"/>
      <c r="H1005" s="1142"/>
      <c r="I1005" s="790"/>
      <c r="J1005" s="552">
        <f t="shared" ref="J1005:AO1005" si="616">J37*J$338</f>
        <v>0</v>
      </c>
      <c r="K1005" s="552">
        <f t="shared" si="616"/>
        <v>0</v>
      </c>
      <c r="L1005" s="552">
        <f t="shared" si="616"/>
        <v>0</v>
      </c>
      <c r="M1005" s="552">
        <f t="shared" si="616"/>
        <v>0</v>
      </c>
      <c r="N1005" s="552">
        <f t="shared" si="616"/>
        <v>0</v>
      </c>
      <c r="O1005" s="552">
        <f t="shared" si="616"/>
        <v>0</v>
      </c>
      <c r="P1005" s="552">
        <f t="shared" si="616"/>
        <v>0</v>
      </c>
      <c r="Q1005" s="552">
        <f t="shared" si="616"/>
        <v>0</v>
      </c>
      <c r="R1005" s="552">
        <f t="shared" si="616"/>
        <v>0</v>
      </c>
      <c r="S1005" s="552">
        <f t="shared" si="616"/>
        <v>0</v>
      </c>
      <c r="T1005" s="552">
        <f t="shared" si="616"/>
        <v>0</v>
      </c>
      <c r="U1005" s="552">
        <f t="shared" si="616"/>
        <v>0</v>
      </c>
      <c r="V1005" s="552">
        <f t="shared" si="616"/>
        <v>0</v>
      </c>
      <c r="W1005" s="552">
        <f t="shared" si="616"/>
        <v>0</v>
      </c>
      <c r="X1005" s="552">
        <f t="shared" si="616"/>
        <v>0</v>
      </c>
      <c r="Y1005" s="552">
        <f t="shared" si="616"/>
        <v>0</v>
      </c>
      <c r="Z1005" s="552">
        <f t="shared" si="616"/>
        <v>0</v>
      </c>
      <c r="AA1005" s="552">
        <f t="shared" si="616"/>
        <v>0</v>
      </c>
      <c r="AB1005" s="552">
        <f t="shared" si="616"/>
        <v>0</v>
      </c>
      <c r="AC1005" s="552">
        <f t="shared" si="616"/>
        <v>0</v>
      </c>
      <c r="AD1005" s="552">
        <f t="shared" si="616"/>
        <v>0</v>
      </c>
      <c r="AE1005" s="552">
        <f t="shared" si="616"/>
        <v>0</v>
      </c>
      <c r="AF1005" s="552">
        <f t="shared" si="616"/>
        <v>0</v>
      </c>
      <c r="AG1005" s="552">
        <f t="shared" si="616"/>
        <v>0</v>
      </c>
      <c r="AH1005" s="552">
        <f t="shared" si="616"/>
        <v>0</v>
      </c>
      <c r="AI1005" s="552">
        <f t="shared" si="616"/>
        <v>0</v>
      </c>
      <c r="AJ1005" s="552">
        <f t="shared" si="616"/>
        <v>0</v>
      </c>
      <c r="AK1005" s="552">
        <f t="shared" si="616"/>
        <v>0</v>
      </c>
      <c r="AL1005" s="552">
        <f t="shared" si="616"/>
        <v>0</v>
      </c>
      <c r="AM1005" s="552">
        <f t="shared" si="616"/>
        <v>0</v>
      </c>
      <c r="AN1005" s="552">
        <f t="shared" si="616"/>
        <v>0</v>
      </c>
      <c r="AO1005" s="552">
        <f t="shared" si="616"/>
        <v>0</v>
      </c>
      <c r="AP1005" s="552">
        <f t="shared" ref="AP1005:BU1005" si="617">AP37*AP$338</f>
        <v>0</v>
      </c>
      <c r="AQ1005" s="552">
        <f t="shared" si="617"/>
        <v>0</v>
      </c>
      <c r="AR1005" s="552">
        <f t="shared" si="617"/>
        <v>0</v>
      </c>
      <c r="AS1005" s="552">
        <f t="shared" si="617"/>
        <v>0</v>
      </c>
      <c r="AT1005" s="552">
        <f t="shared" si="617"/>
        <v>0</v>
      </c>
      <c r="AU1005" s="552">
        <f t="shared" si="617"/>
        <v>0</v>
      </c>
      <c r="AV1005" s="552">
        <f t="shared" si="617"/>
        <v>0</v>
      </c>
      <c r="AW1005" s="552">
        <f t="shared" si="617"/>
        <v>0</v>
      </c>
      <c r="AX1005" s="552">
        <f t="shared" si="617"/>
        <v>0</v>
      </c>
      <c r="AY1005" s="552">
        <f t="shared" si="617"/>
        <v>0</v>
      </c>
      <c r="AZ1005" s="552">
        <f t="shared" si="617"/>
        <v>0</v>
      </c>
      <c r="BA1005" s="552">
        <f t="shared" si="617"/>
        <v>0</v>
      </c>
      <c r="BB1005" s="552">
        <f t="shared" si="617"/>
        <v>0</v>
      </c>
      <c r="BC1005" s="552">
        <f t="shared" si="617"/>
        <v>0</v>
      </c>
      <c r="BD1005" s="552">
        <f t="shared" si="617"/>
        <v>0</v>
      </c>
      <c r="BE1005" s="552">
        <f t="shared" si="617"/>
        <v>0</v>
      </c>
      <c r="BF1005" s="552">
        <f t="shared" si="617"/>
        <v>0</v>
      </c>
      <c r="BG1005" s="552">
        <f t="shared" si="617"/>
        <v>0</v>
      </c>
      <c r="BH1005" s="552">
        <f t="shared" si="617"/>
        <v>0</v>
      </c>
      <c r="BI1005" s="552">
        <f t="shared" si="617"/>
        <v>0</v>
      </c>
      <c r="BJ1005" s="552">
        <f t="shared" si="617"/>
        <v>0</v>
      </c>
      <c r="BK1005" s="552">
        <f t="shared" si="617"/>
        <v>0</v>
      </c>
      <c r="BL1005" s="552">
        <f t="shared" si="617"/>
        <v>0</v>
      </c>
      <c r="BM1005" s="552">
        <f t="shared" si="617"/>
        <v>0</v>
      </c>
      <c r="BN1005" s="552">
        <f t="shared" si="617"/>
        <v>0</v>
      </c>
      <c r="BO1005" s="552">
        <f t="shared" si="617"/>
        <v>0</v>
      </c>
      <c r="BP1005" s="552">
        <f t="shared" si="617"/>
        <v>0</v>
      </c>
      <c r="BQ1005" s="552">
        <f t="shared" si="617"/>
        <v>0</v>
      </c>
      <c r="BR1005" s="552">
        <f t="shared" si="617"/>
        <v>0</v>
      </c>
      <c r="BS1005" s="552">
        <f t="shared" si="617"/>
        <v>0</v>
      </c>
      <c r="BT1005" s="552">
        <f t="shared" si="617"/>
        <v>0</v>
      </c>
      <c r="BU1005" s="552">
        <f t="shared" si="617"/>
        <v>0</v>
      </c>
      <c r="BV1005" s="552">
        <f t="shared" ref="BV1005:DA1005" si="618">BV37*BV$338</f>
        <v>0</v>
      </c>
      <c r="BW1005" s="552">
        <f t="shared" si="618"/>
        <v>0</v>
      </c>
      <c r="BX1005" s="552">
        <f t="shared" si="618"/>
        <v>0</v>
      </c>
      <c r="BY1005" s="552">
        <f t="shared" si="618"/>
        <v>0</v>
      </c>
      <c r="BZ1005" s="552">
        <f t="shared" si="618"/>
        <v>0</v>
      </c>
      <c r="CA1005" s="552">
        <f t="shared" si="618"/>
        <v>0</v>
      </c>
      <c r="CB1005" s="552">
        <f t="shared" si="618"/>
        <v>0</v>
      </c>
      <c r="CC1005" s="552">
        <f t="shared" si="618"/>
        <v>0</v>
      </c>
      <c r="CD1005" s="552">
        <f t="shared" si="618"/>
        <v>0</v>
      </c>
      <c r="CE1005" s="552">
        <f t="shared" si="618"/>
        <v>0</v>
      </c>
      <c r="CF1005" s="552">
        <f t="shared" si="618"/>
        <v>0</v>
      </c>
      <c r="CG1005" s="552">
        <f t="shared" si="618"/>
        <v>0</v>
      </c>
      <c r="CH1005" s="552">
        <f t="shared" si="618"/>
        <v>0</v>
      </c>
      <c r="CI1005" s="552">
        <f t="shared" si="618"/>
        <v>0</v>
      </c>
      <c r="CJ1005" s="552">
        <f t="shared" si="618"/>
        <v>0</v>
      </c>
      <c r="CK1005" s="552">
        <f t="shared" si="618"/>
        <v>0</v>
      </c>
      <c r="CL1005" s="552">
        <f t="shared" si="618"/>
        <v>0</v>
      </c>
      <c r="CM1005" s="552">
        <f t="shared" si="618"/>
        <v>0</v>
      </c>
      <c r="CN1005" s="552">
        <f t="shared" si="618"/>
        <v>0</v>
      </c>
      <c r="CO1005" s="552">
        <f t="shared" si="618"/>
        <v>0</v>
      </c>
      <c r="CP1005" s="552">
        <f t="shared" si="618"/>
        <v>0</v>
      </c>
      <c r="CQ1005" s="552">
        <f t="shared" si="618"/>
        <v>0</v>
      </c>
      <c r="CR1005" s="552">
        <f t="shared" si="618"/>
        <v>0</v>
      </c>
      <c r="CS1005" s="552">
        <f t="shared" si="618"/>
        <v>0</v>
      </c>
      <c r="CT1005" s="552">
        <f t="shared" si="618"/>
        <v>0</v>
      </c>
      <c r="CU1005" s="552">
        <f t="shared" si="618"/>
        <v>0</v>
      </c>
      <c r="CV1005" s="552">
        <f t="shared" si="618"/>
        <v>0</v>
      </c>
      <c r="CW1005" s="552">
        <f t="shared" si="618"/>
        <v>0</v>
      </c>
      <c r="CX1005" s="552">
        <f t="shared" si="618"/>
        <v>0</v>
      </c>
      <c r="CY1005" s="552">
        <f t="shared" si="618"/>
        <v>0</v>
      </c>
      <c r="CZ1005" s="552">
        <f t="shared" si="618"/>
        <v>0</v>
      </c>
      <c r="DA1005" s="552">
        <f t="shared" si="618"/>
        <v>0</v>
      </c>
      <c r="DB1005" s="552">
        <f t="shared" ref="DB1005:EG1005" si="619">DB37*DB$338</f>
        <v>0</v>
      </c>
      <c r="DC1005" s="552">
        <f t="shared" si="619"/>
        <v>0</v>
      </c>
      <c r="DD1005" s="552">
        <f t="shared" si="619"/>
        <v>0</v>
      </c>
      <c r="DE1005" s="552">
        <f t="shared" si="619"/>
        <v>0</v>
      </c>
      <c r="DF1005" s="552">
        <f t="shared" si="619"/>
        <v>0</v>
      </c>
      <c r="DG1005" s="552">
        <f t="shared" si="619"/>
        <v>0</v>
      </c>
      <c r="DH1005" s="552">
        <f t="shared" si="619"/>
        <v>0</v>
      </c>
      <c r="DI1005" s="552">
        <f t="shared" si="619"/>
        <v>0</v>
      </c>
      <c r="DJ1005" s="552">
        <f t="shared" si="619"/>
        <v>0</v>
      </c>
      <c r="DK1005" s="552">
        <f t="shared" si="619"/>
        <v>0</v>
      </c>
      <c r="DL1005" s="552">
        <f t="shared" si="619"/>
        <v>0</v>
      </c>
      <c r="DM1005" s="552">
        <f t="shared" si="619"/>
        <v>0</v>
      </c>
      <c r="DN1005" s="552">
        <f t="shared" si="619"/>
        <v>0</v>
      </c>
      <c r="DO1005" s="552">
        <f t="shared" si="619"/>
        <v>0</v>
      </c>
      <c r="DP1005" s="552">
        <f t="shared" si="619"/>
        <v>0</v>
      </c>
      <c r="DQ1005" s="552">
        <f t="shared" si="619"/>
        <v>0</v>
      </c>
      <c r="DR1005" s="552">
        <f t="shared" si="619"/>
        <v>0</v>
      </c>
      <c r="DS1005" s="552">
        <f t="shared" si="619"/>
        <v>0</v>
      </c>
      <c r="DT1005" s="552">
        <f t="shared" si="619"/>
        <v>0</v>
      </c>
      <c r="DU1005" s="552">
        <f t="shared" si="619"/>
        <v>0</v>
      </c>
      <c r="DV1005" s="552">
        <f t="shared" si="619"/>
        <v>0</v>
      </c>
      <c r="DW1005" s="552">
        <f t="shared" si="619"/>
        <v>0</v>
      </c>
      <c r="DX1005" s="552">
        <f t="shared" si="619"/>
        <v>0</v>
      </c>
      <c r="DY1005" s="552">
        <f t="shared" si="619"/>
        <v>0</v>
      </c>
      <c r="DZ1005" s="552">
        <f t="shared" si="619"/>
        <v>0</v>
      </c>
      <c r="EA1005" s="552">
        <f t="shared" si="619"/>
        <v>0</v>
      </c>
      <c r="EB1005" s="552">
        <f t="shared" si="619"/>
        <v>0</v>
      </c>
      <c r="EC1005" s="552">
        <f t="shared" si="619"/>
        <v>0</v>
      </c>
      <c r="ED1005" s="552">
        <f t="shared" si="619"/>
        <v>0</v>
      </c>
      <c r="EE1005" s="552">
        <f t="shared" si="619"/>
        <v>0</v>
      </c>
      <c r="EF1005" s="552">
        <f t="shared" si="619"/>
        <v>0</v>
      </c>
      <c r="EG1005" s="552">
        <f t="shared" si="619"/>
        <v>0</v>
      </c>
      <c r="EH1005" s="552">
        <f t="shared" ref="EH1005:EX1005" si="620">EH37*EH$338</f>
        <v>0</v>
      </c>
      <c r="EI1005" s="552">
        <f t="shared" si="620"/>
        <v>0</v>
      </c>
      <c r="EJ1005" s="552">
        <f t="shared" si="620"/>
        <v>0</v>
      </c>
      <c r="EK1005" s="552">
        <f t="shared" si="620"/>
        <v>0</v>
      </c>
      <c r="EL1005" s="552">
        <f t="shared" si="620"/>
        <v>0</v>
      </c>
      <c r="EM1005" s="552">
        <f t="shared" si="620"/>
        <v>0</v>
      </c>
      <c r="EN1005" s="552">
        <f t="shared" si="620"/>
        <v>0</v>
      </c>
      <c r="EO1005" s="552">
        <f t="shared" si="620"/>
        <v>0</v>
      </c>
      <c r="EP1005" s="552">
        <f t="shared" si="620"/>
        <v>0</v>
      </c>
      <c r="EQ1005" s="552">
        <f t="shared" si="620"/>
        <v>0</v>
      </c>
      <c r="ER1005" s="552">
        <f t="shared" si="620"/>
        <v>0</v>
      </c>
      <c r="ES1005" s="552">
        <f t="shared" si="620"/>
        <v>0</v>
      </c>
      <c r="ET1005" s="552">
        <f t="shared" si="620"/>
        <v>0</v>
      </c>
      <c r="EU1005" s="552">
        <f t="shared" si="620"/>
        <v>0</v>
      </c>
      <c r="EV1005" s="552">
        <f t="shared" si="620"/>
        <v>0</v>
      </c>
      <c r="EW1005" s="552">
        <f t="shared" si="620"/>
        <v>0</v>
      </c>
      <c r="EX1005" s="552">
        <f t="shared" si="620"/>
        <v>0</v>
      </c>
      <c r="EY1005" s="799">
        <f t="shared" si="527"/>
        <v>0</v>
      </c>
      <c r="EZ1005" s="561"/>
      <c r="FA1005" s="561"/>
      <c r="FB1005" s="561"/>
      <c r="FC1005" s="561"/>
      <c r="FD1005" s="561"/>
      <c r="FE1005" s="561"/>
      <c r="FF1005" s="561"/>
      <c r="FG1005" s="561"/>
      <c r="FH1005" s="561"/>
      <c r="FI1005" s="561"/>
      <c r="FJ1005" s="561"/>
      <c r="FK1005" s="561"/>
      <c r="FL1005" s="561"/>
    </row>
    <row r="1006" spans="1:168" s="551" customFormat="1" x14ac:dyDescent="0.25">
      <c r="A1006" s="1492"/>
      <c r="B1006" s="1064">
        <f>B38</f>
        <v>0</v>
      </c>
      <c r="C1006" s="1064">
        <f t="shared" si="614"/>
        <v>0</v>
      </c>
      <c r="D1006" s="1064">
        <f t="shared" si="614"/>
        <v>0</v>
      </c>
      <c r="E1006" s="1158">
        <f t="shared" si="615"/>
        <v>0</v>
      </c>
      <c r="F1006" s="1158"/>
      <c r="G1006" s="1142"/>
      <c r="H1006" s="1142"/>
      <c r="I1006" s="790"/>
      <c r="J1006" s="552">
        <f t="shared" ref="J1006:AO1006" si="621">J38*J$338</f>
        <v>0</v>
      </c>
      <c r="K1006" s="552">
        <f t="shared" si="621"/>
        <v>0</v>
      </c>
      <c r="L1006" s="552">
        <f t="shared" si="621"/>
        <v>0</v>
      </c>
      <c r="M1006" s="552">
        <f t="shared" si="621"/>
        <v>0</v>
      </c>
      <c r="N1006" s="552">
        <f t="shared" si="621"/>
        <v>0</v>
      </c>
      <c r="O1006" s="552">
        <f t="shared" si="621"/>
        <v>0</v>
      </c>
      <c r="P1006" s="552">
        <f t="shared" si="621"/>
        <v>0</v>
      </c>
      <c r="Q1006" s="552">
        <f t="shared" si="621"/>
        <v>0</v>
      </c>
      <c r="R1006" s="552">
        <f t="shared" si="621"/>
        <v>0</v>
      </c>
      <c r="S1006" s="552">
        <f t="shared" si="621"/>
        <v>0</v>
      </c>
      <c r="T1006" s="552">
        <f t="shared" si="621"/>
        <v>0</v>
      </c>
      <c r="U1006" s="552">
        <f t="shared" si="621"/>
        <v>0</v>
      </c>
      <c r="V1006" s="552">
        <f t="shared" si="621"/>
        <v>0</v>
      </c>
      <c r="W1006" s="552">
        <f t="shared" si="621"/>
        <v>0</v>
      </c>
      <c r="X1006" s="552">
        <f t="shared" si="621"/>
        <v>0</v>
      </c>
      <c r="Y1006" s="552">
        <f t="shared" si="621"/>
        <v>0</v>
      </c>
      <c r="Z1006" s="552">
        <f t="shared" si="621"/>
        <v>0</v>
      </c>
      <c r="AA1006" s="552">
        <f t="shared" si="621"/>
        <v>0</v>
      </c>
      <c r="AB1006" s="552">
        <f t="shared" si="621"/>
        <v>0</v>
      </c>
      <c r="AC1006" s="552">
        <f t="shared" si="621"/>
        <v>0</v>
      </c>
      <c r="AD1006" s="552">
        <f t="shared" si="621"/>
        <v>0</v>
      </c>
      <c r="AE1006" s="552">
        <f t="shared" si="621"/>
        <v>0</v>
      </c>
      <c r="AF1006" s="552">
        <f t="shared" si="621"/>
        <v>0</v>
      </c>
      <c r="AG1006" s="552">
        <f t="shared" si="621"/>
        <v>0</v>
      </c>
      <c r="AH1006" s="552">
        <f t="shared" si="621"/>
        <v>0</v>
      </c>
      <c r="AI1006" s="552">
        <f t="shared" si="621"/>
        <v>0</v>
      </c>
      <c r="AJ1006" s="552">
        <f t="shared" si="621"/>
        <v>0</v>
      </c>
      <c r="AK1006" s="552">
        <f t="shared" si="621"/>
        <v>0</v>
      </c>
      <c r="AL1006" s="552">
        <f t="shared" si="621"/>
        <v>0</v>
      </c>
      <c r="AM1006" s="552">
        <f t="shared" si="621"/>
        <v>0</v>
      </c>
      <c r="AN1006" s="552">
        <f t="shared" si="621"/>
        <v>0</v>
      </c>
      <c r="AO1006" s="552">
        <f t="shared" si="621"/>
        <v>0</v>
      </c>
      <c r="AP1006" s="552">
        <f t="shared" ref="AP1006:BU1006" si="622">AP38*AP$338</f>
        <v>0</v>
      </c>
      <c r="AQ1006" s="552">
        <f t="shared" si="622"/>
        <v>0</v>
      </c>
      <c r="AR1006" s="552">
        <f t="shared" si="622"/>
        <v>0</v>
      </c>
      <c r="AS1006" s="552">
        <f t="shared" si="622"/>
        <v>0</v>
      </c>
      <c r="AT1006" s="552">
        <f t="shared" si="622"/>
        <v>0</v>
      </c>
      <c r="AU1006" s="552">
        <f t="shared" si="622"/>
        <v>0</v>
      </c>
      <c r="AV1006" s="552">
        <f t="shared" si="622"/>
        <v>0</v>
      </c>
      <c r="AW1006" s="552">
        <f t="shared" si="622"/>
        <v>0</v>
      </c>
      <c r="AX1006" s="552">
        <f t="shared" si="622"/>
        <v>0</v>
      </c>
      <c r="AY1006" s="552">
        <f t="shared" si="622"/>
        <v>0</v>
      </c>
      <c r="AZ1006" s="552">
        <f t="shared" si="622"/>
        <v>0</v>
      </c>
      <c r="BA1006" s="552">
        <f t="shared" si="622"/>
        <v>0</v>
      </c>
      <c r="BB1006" s="552">
        <f t="shared" si="622"/>
        <v>0</v>
      </c>
      <c r="BC1006" s="552">
        <f t="shared" si="622"/>
        <v>0</v>
      </c>
      <c r="BD1006" s="552">
        <f t="shared" si="622"/>
        <v>0</v>
      </c>
      <c r="BE1006" s="552">
        <f t="shared" si="622"/>
        <v>0</v>
      </c>
      <c r="BF1006" s="552">
        <f t="shared" si="622"/>
        <v>0</v>
      </c>
      <c r="BG1006" s="552">
        <f t="shared" si="622"/>
        <v>0</v>
      </c>
      <c r="BH1006" s="552">
        <f t="shared" si="622"/>
        <v>0</v>
      </c>
      <c r="BI1006" s="552">
        <f t="shared" si="622"/>
        <v>0</v>
      </c>
      <c r="BJ1006" s="552">
        <f t="shared" si="622"/>
        <v>0</v>
      </c>
      <c r="BK1006" s="552">
        <f t="shared" si="622"/>
        <v>0</v>
      </c>
      <c r="BL1006" s="552">
        <f t="shared" si="622"/>
        <v>0</v>
      </c>
      <c r="BM1006" s="552">
        <f t="shared" si="622"/>
        <v>0</v>
      </c>
      <c r="BN1006" s="552">
        <f t="shared" si="622"/>
        <v>0</v>
      </c>
      <c r="BO1006" s="552">
        <f t="shared" si="622"/>
        <v>0</v>
      </c>
      <c r="BP1006" s="552">
        <f t="shared" si="622"/>
        <v>0</v>
      </c>
      <c r="BQ1006" s="552">
        <f t="shared" si="622"/>
        <v>0</v>
      </c>
      <c r="BR1006" s="552">
        <f t="shared" si="622"/>
        <v>0</v>
      </c>
      <c r="BS1006" s="552">
        <f t="shared" si="622"/>
        <v>0</v>
      </c>
      <c r="BT1006" s="552">
        <f t="shared" si="622"/>
        <v>0</v>
      </c>
      <c r="BU1006" s="552">
        <f t="shared" si="622"/>
        <v>0</v>
      </c>
      <c r="BV1006" s="552">
        <f t="shared" ref="BV1006:DA1006" si="623">BV38*BV$338</f>
        <v>0</v>
      </c>
      <c r="BW1006" s="552">
        <f t="shared" si="623"/>
        <v>0</v>
      </c>
      <c r="BX1006" s="552">
        <f t="shared" si="623"/>
        <v>0</v>
      </c>
      <c r="BY1006" s="552">
        <f t="shared" si="623"/>
        <v>0</v>
      </c>
      <c r="BZ1006" s="552">
        <f t="shared" si="623"/>
        <v>0</v>
      </c>
      <c r="CA1006" s="552">
        <f t="shared" si="623"/>
        <v>0</v>
      </c>
      <c r="CB1006" s="552">
        <f t="shared" si="623"/>
        <v>0</v>
      </c>
      <c r="CC1006" s="552">
        <f t="shared" si="623"/>
        <v>0</v>
      </c>
      <c r="CD1006" s="552">
        <f t="shared" si="623"/>
        <v>0</v>
      </c>
      <c r="CE1006" s="552">
        <f t="shared" si="623"/>
        <v>0</v>
      </c>
      <c r="CF1006" s="552">
        <f t="shared" si="623"/>
        <v>0</v>
      </c>
      <c r="CG1006" s="552">
        <f t="shared" si="623"/>
        <v>0</v>
      </c>
      <c r="CH1006" s="552">
        <f t="shared" si="623"/>
        <v>0</v>
      </c>
      <c r="CI1006" s="552">
        <f t="shared" si="623"/>
        <v>0</v>
      </c>
      <c r="CJ1006" s="552">
        <f t="shared" si="623"/>
        <v>0</v>
      </c>
      <c r="CK1006" s="552">
        <f t="shared" si="623"/>
        <v>0</v>
      </c>
      <c r="CL1006" s="552">
        <f t="shared" si="623"/>
        <v>0</v>
      </c>
      <c r="CM1006" s="552">
        <f t="shared" si="623"/>
        <v>0</v>
      </c>
      <c r="CN1006" s="552">
        <f t="shared" si="623"/>
        <v>0</v>
      </c>
      <c r="CO1006" s="552">
        <f t="shared" si="623"/>
        <v>0</v>
      </c>
      <c r="CP1006" s="552">
        <f t="shared" si="623"/>
        <v>0</v>
      </c>
      <c r="CQ1006" s="552">
        <f t="shared" si="623"/>
        <v>0</v>
      </c>
      <c r="CR1006" s="552">
        <f t="shared" si="623"/>
        <v>0</v>
      </c>
      <c r="CS1006" s="552">
        <f t="shared" si="623"/>
        <v>0</v>
      </c>
      <c r="CT1006" s="552">
        <f t="shared" si="623"/>
        <v>0</v>
      </c>
      <c r="CU1006" s="552">
        <f t="shared" si="623"/>
        <v>0</v>
      </c>
      <c r="CV1006" s="552">
        <f t="shared" si="623"/>
        <v>0</v>
      </c>
      <c r="CW1006" s="552">
        <f t="shared" si="623"/>
        <v>0</v>
      </c>
      <c r="CX1006" s="552">
        <f t="shared" si="623"/>
        <v>0</v>
      </c>
      <c r="CY1006" s="552">
        <f t="shared" si="623"/>
        <v>0</v>
      </c>
      <c r="CZ1006" s="552">
        <f t="shared" si="623"/>
        <v>0</v>
      </c>
      <c r="DA1006" s="552">
        <f t="shared" si="623"/>
        <v>0</v>
      </c>
      <c r="DB1006" s="552">
        <f t="shared" ref="DB1006:EG1006" si="624">DB38*DB$338</f>
        <v>0</v>
      </c>
      <c r="DC1006" s="552">
        <f t="shared" si="624"/>
        <v>0</v>
      </c>
      <c r="DD1006" s="552">
        <f t="shared" si="624"/>
        <v>0</v>
      </c>
      <c r="DE1006" s="552">
        <f t="shared" si="624"/>
        <v>0</v>
      </c>
      <c r="DF1006" s="552">
        <f t="shared" si="624"/>
        <v>0</v>
      </c>
      <c r="DG1006" s="552">
        <f t="shared" si="624"/>
        <v>0</v>
      </c>
      <c r="DH1006" s="552">
        <f t="shared" si="624"/>
        <v>0</v>
      </c>
      <c r="DI1006" s="552">
        <f t="shared" si="624"/>
        <v>0</v>
      </c>
      <c r="DJ1006" s="552">
        <f t="shared" si="624"/>
        <v>0</v>
      </c>
      <c r="DK1006" s="552">
        <f t="shared" si="624"/>
        <v>0</v>
      </c>
      <c r="DL1006" s="552">
        <f t="shared" si="624"/>
        <v>0</v>
      </c>
      <c r="DM1006" s="552">
        <f t="shared" si="624"/>
        <v>0</v>
      </c>
      <c r="DN1006" s="552">
        <f t="shared" si="624"/>
        <v>0</v>
      </c>
      <c r="DO1006" s="552">
        <f t="shared" si="624"/>
        <v>0</v>
      </c>
      <c r="DP1006" s="552">
        <f t="shared" si="624"/>
        <v>0</v>
      </c>
      <c r="DQ1006" s="552">
        <f t="shared" si="624"/>
        <v>0</v>
      </c>
      <c r="DR1006" s="552">
        <f t="shared" si="624"/>
        <v>0</v>
      </c>
      <c r="DS1006" s="552">
        <f t="shared" si="624"/>
        <v>0</v>
      </c>
      <c r="DT1006" s="552">
        <f t="shared" si="624"/>
        <v>0</v>
      </c>
      <c r="DU1006" s="552">
        <f t="shared" si="624"/>
        <v>0</v>
      </c>
      <c r="DV1006" s="552">
        <f t="shared" si="624"/>
        <v>0</v>
      </c>
      <c r="DW1006" s="552">
        <f t="shared" si="624"/>
        <v>0</v>
      </c>
      <c r="DX1006" s="552">
        <f t="shared" si="624"/>
        <v>0</v>
      </c>
      <c r="DY1006" s="552">
        <f t="shared" si="624"/>
        <v>0</v>
      </c>
      <c r="DZ1006" s="552">
        <f t="shared" si="624"/>
        <v>0</v>
      </c>
      <c r="EA1006" s="552">
        <f t="shared" si="624"/>
        <v>0</v>
      </c>
      <c r="EB1006" s="552">
        <f t="shared" si="624"/>
        <v>0</v>
      </c>
      <c r="EC1006" s="552">
        <f t="shared" si="624"/>
        <v>0</v>
      </c>
      <c r="ED1006" s="552">
        <f t="shared" si="624"/>
        <v>0</v>
      </c>
      <c r="EE1006" s="552">
        <f t="shared" si="624"/>
        <v>0</v>
      </c>
      <c r="EF1006" s="552">
        <f t="shared" si="624"/>
        <v>0</v>
      </c>
      <c r="EG1006" s="552">
        <f t="shared" si="624"/>
        <v>0</v>
      </c>
      <c r="EH1006" s="552">
        <f t="shared" ref="EH1006:EX1006" si="625">EH38*EH$338</f>
        <v>0</v>
      </c>
      <c r="EI1006" s="552">
        <f t="shared" si="625"/>
        <v>0</v>
      </c>
      <c r="EJ1006" s="552">
        <f t="shared" si="625"/>
        <v>0</v>
      </c>
      <c r="EK1006" s="552">
        <f t="shared" si="625"/>
        <v>0</v>
      </c>
      <c r="EL1006" s="552">
        <f t="shared" si="625"/>
        <v>0</v>
      </c>
      <c r="EM1006" s="552">
        <f t="shared" si="625"/>
        <v>0</v>
      </c>
      <c r="EN1006" s="552">
        <f t="shared" si="625"/>
        <v>0</v>
      </c>
      <c r="EO1006" s="552">
        <f t="shared" si="625"/>
        <v>0</v>
      </c>
      <c r="EP1006" s="552">
        <f t="shared" si="625"/>
        <v>0</v>
      </c>
      <c r="EQ1006" s="552">
        <f t="shared" si="625"/>
        <v>0</v>
      </c>
      <c r="ER1006" s="552">
        <f t="shared" si="625"/>
        <v>0</v>
      </c>
      <c r="ES1006" s="552">
        <f t="shared" si="625"/>
        <v>0</v>
      </c>
      <c r="ET1006" s="552">
        <f t="shared" si="625"/>
        <v>0</v>
      </c>
      <c r="EU1006" s="552">
        <f t="shared" si="625"/>
        <v>0</v>
      </c>
      <c r="EV1006" s="552">
        <f t="shared" si="625"/>
        <v>0</v>
      </c>
      <c r="EW1006" s="552">
        <f t="shared" si="625"/>
        <v>0</v>
      </c>
      <c r="EX1006" s="552">
        <f t="shared" si="625"/>
        <v>0</v>
      </c>
      <c r="EY1006" s="799">
        <f t="shared" si="527"/>
        <v>0</v>
      </c>
      <c r="EZ1006" s="561"/>
      <c r="FA1006" s="561"/>
      <c r="FB1006" s="561"/>
      <c r="FC1006" s="561"/>
      <c r="FD1006" s="561"/>
      <c r="FE1006" s="561"/>
      <c r="FF1006" s="561"/>
      <c r="FG1006" s="561"/>
      <c r="FH1006" s="561"/>
      <c r="FI1006" s="561"/>
      <c r="FJ1006" s="561"/>
      <c r="FK1006" s="561"/>
      <c r="FL1006" s="561"/>
    </row>
    <row r="1007" spans="1:168" s="551" customFormat="1" x14ac:dyDescent="0.25">
      <c r="A1007" s="1492"/>
      <c r="B1007" s="1064">
        <f>B39</f>
        <v>0</v>
      </c>
      <c r="C1007" s="1064">
        <f t="shared" si="614"/>
        <v>0</v>
      </c>
      <c r="D1007" s="1064">
        <f t="shared" si="614"/>
        <v>0</v>
      </c>
      <c r="E1007" s="1158">
        <f t="shared" si="615"/>
        <v>0</v>
      </c>
      <c r="F1007" s="1158"/>
      <c r="G1007" s="1142"/>
      <c r="H1007" s="1142"/>
      <c r="I1007" s="790"/>
      <c r="J1007" s="552">
        <f t="shared" ref="J1007:AO1007" si="626">J39*J$338</f>
        <v>0</v>
      </c>
      <c r="K1007" s="552">
        <f t="shared" si="626"/>
        <v>0</v>
      </c>
      <c r="L1007" s="552">
        <f t="shared" si="626"/>
        <v>0</v>
      </c>
      <c r="M1007" s="552">
        <f t="shared" si="626"/>
        <v>0</v>
      </c>
      <c r="N1007" s="552">
        <f t="shared" si="626"/>
        <v>0</v>
      </c>
      <c r="O1007" s="552">
        <f t="shared" si="626"/>
        <v>0</v>
      </c>
      <c r="P1007" s="552">
        <f t="shared" si="626"/>
        <v>0</v>
      </c>
      <c r="Q1007" s="552">
        <f t="shared" si="626"/>
        <v>0</v>
      </c>
      <c r="R1007" s="552">
        <f t="shared" si="626"/>
        <v>0</v>
      </c>
      <c r="S1007" s="552">
        <f t="shared" si="626"/>
        <v>0</v>
      </c>
      <c r="T1007" s="552">
        <f t="shared" si="626"/>
        <v>0</v>
      </c>
      <c r="U1007" s="552">
        <f t="shared" si="626"/>
        <v>0</v>
      </c>
      <c r="V1007" s="552">
        <f t="shared" si="626"/>
        <v>0</v>
      </c>
      <c r="W1007" s="552">
        <f t="shared" si="626"/>
        <v>0</v>
      </c>
      <c r="X1007" s="552">
        <f t="shared" si="626"/>
        <v>0</v>
      </c>
      <c r="Y1007" s="552">
        <f t="shared" si="626"/>
        <v>0</v>
      </c>
      <c r="Z1007" s="552">
        <f t="shared" si="626"/>
        <v>0</v>
      </c>
      <c r="AA1007" s="552">
        <f t="shared" si="626"/>
        <v>0</v>
      </c>
      <c r="AB1007" s="552">
        <f t="shared" si="626"/>
        <v>0</v>
      </c>
      <c r="AC1007" s="552">
        <f t="shared" si="626"/>
        <v>0</v>
      </c>
      <c r="AD1007" s="552">
        <f t="shared" si="626"/>
        <v>0</v>
      </c>
      <c r="AE1007" s="552">
        <f t="shared" si="626"/>
        <v>0</v>
      </c>
      <c r="AF1007" s="552">
        <f t="shared" si="626"/>
        <v>0</v>
      </c>
      <c r="AG1007" s="552">
        <f t="shared" si="626"/>
        <v>0</v>
      </c>
      <c r="AH1007" s="552">
        <f t="shared" si="626"/>
        <v>0</v>
      </c>
      <c r="AI1007" s="552">
        <f t="shared" si="626"/>
        <v>0</v>
      </c>
      <c r="AJ1007" s="552">
        <f t="shared" si="626"/>
        <v>0</v>
      </c>
      <c r="AK1007" s="552">
        <f t="shared" si="626"/>
        <v>0</v>
      </c>
      <c r="AL1007" s="552">
        <f t="shared" si="626"/>
        <v>0</v>
      </c>
      <c r="AM1007" s="552">
        <f t="shared" si="626"/>
        <v>0</v>
      </c>
      <c r="AN1007" s="552">
        <f t="shared" si="626"/>
        <v>0</v>
      </c>
      <c r="AO1007" s="552">
        <f t="shared" si="626"/>
        <v>0</v>
      </c>
      <c r="AP1007" s="552">
        <f t="shared" ref="AP1007:BU1007" si="627">AP39*AP$338</f>
        <v>0</v>
      </c>
      <c r="AQ1007" s="552">
        <f t="shared" si="627"/>
        <v>0</v>
      </c>
      <c r="AR1007" s="552">
        <f t="shared" si="627"/>
        <v>0</v>
      </c>
      <c r="AS1007" s="552">
        <f t="shared" si="627"/>
        <v>0</v>
      </c>
      <c r="AT1007" s="552">
        <f t="shared" si="627"/>
        <v>0</v>
      </c>
      <c r="AU1007" s="552">
        <f t="shared" si="627"/>
        <v>0</v>
      </c>
      <c r="AV1007" s="552">
        <f t="shared" si="627"/>
        <v>0</v>
      </c>
      <c r="AW1007" s="552">
        <f t="shared" si="627"/>
        <v>0</v>
      </c>
      <c r="AX1007" s="552">
        <f t="shared" si="627"/>
        <v>0</v>
      </c>
      <c r="AY1007" s="552">
        <f t="shared" si="627"/>
        <v>0</v>
      </c>
      <c r="AZ1007" s="552">
        <f t="shared" si="627"/>
        <v>0</v>
      </c>
      <c r="BA1007" s="552">
        <f t="shared" si="627"/>
        <v>0</v>
      </c>
      <c r="BB1007" s="552">
        <f t="shared" si="627"/>
        <v>0</v>
      </c>
      <c r="BC1007" s="552">
        <f t="shared" si="627"/>
        <v>0</v>
      </c>
      <c r="BD1007" s="552">
        <f t="shared" si="627"/>
        <v>0</v>
      </c>
      <c r="BE1007" s="552">
        <f t="shared" si="627"/>
        <v>0</v>
      </c>
      <c r="BF1007" s="552">
        <f t="shared" si="627"/>
        <v>0</v>
      </c>
      <c r="BG1007" s="552">
        <f t="shared" si="627"/>
        <v>0</v>
      </c>
      <c r="BH1007" s="552">
        <f t="shared" si="627"/>
        <v>0</v>
      </c>
      <c r="BI1007" s="552">
        <f t="shared" si="627"/>
        <v>0</v>
      </c>
      <c r="BJ1007" s="552">
        <f t="shared" si="627"/>
        <v>0</v>
      </c>
      <c r="BK1007" s="552">
        <f t="shared" si="627"/>
        <v>0</v>
      </c>
      <c r="BL1007" s="552">
        <f t="shared" si="627"/>
        <v>0</v>
      </c>
      <c r="BM1007" s="552">
        <f t="shared" si="627"/>
        <v>0</v>
      </c>
      <c r="BN1007" s="552">
        <f t="shared" si="627"/>
        <v>0</v>
      </c>
      <c r="BO1007" s="552">
        <f t="shared" si="627"/>
        <v>0</v>
      </c>
      <c r="BP1007" s="552">
        <f t="shared" si="627"/>
        <v>0</v>
      </c>
      <c r="BQ1007" s="552">
        <f t="shared" si="627"/>
        <v>0</v>
      </c>
      <c r="BR1007" s="552">
        <f t="shared" si="627"/>
        <v>0</v>
      </c>
      <c r="BS1007" s="552">
        <f t="shared" si="627"/>
        <v>0</v>
      </c>
      <c r="BT1007" s="552">
        <f t="shared" si="627"/>
        <v>0</v>
      </c>
      <c r="BU1007" s="552">
        <f t="shared" si="627"/>
        <v>0</v>
      </c>
      <c r="BV1007" s="552">
        <f t="shared" ref="BV1007:DA1007" si="628">BV39*BV$338</f>
        <v>0</v>
      </c>
      <c r="BW1007" s="552">
        <f t="shared" si="628"/>
        <v>0</v>
      </c>
      <c r="BX1007" s="552">
        <f t="shared" si="628"/>
        <v>0</v>
      </c>
      <c r="BY1007" s="552">
        <f t="shared" si="628"/>
        <v>0</v>
      </c>
      <c r="BZ1007" s="552">
        <f t="shared" si="628"/>
        <v>0</v>
      </c>
      <c r="CA1007" s="552">
        <f t="shared" si="628"/>
        <v>0</v>
      </c>
      <c r="CB1007" s="552">
        <f t="shared" si="628"/>
        <v>0</v>
      </c>
      <c r="CC1007" s="552">
        <f t="shared" si="628"/>
        <v>0</v>
      </c>
      <c r="CD1007" s="552">
        <f t="shared" si="628"/>
        <v>0</v>
      </c>
      <c r="CE1007" s="552">
        <f t="shared" si="628"/>
        <v>0</v>
      </c>
      <c r="CF1007" s="552">
        <f t="shared" si="628"/>
        <v>0</v>
      </c>
      <c r="CG1007" s="552">
        <f t="shared" si="628"/>
        <v>0</v>
      </c>
      <c r="CH1007" s="552">
        <f t="shared" si="628"/>
        <v>0</v>
      </c>
      <c r="CI1007" s="552">
        <f t="shared" si="628"/>
        <v>0</v>
      </c>
      <c r="CJ1007" s="552">
        <f t="shared" si="628"/>
        <v>0</v>
      </c>
      <c r="CK1007" s="552">
        <f t="shared" si="628"/>
        <v>0</v>
      </c>
      <c r="CL1007" s="552">
        <f t="shared" si="628"/>
        <v>0</v>
      </c>
      <c r="CM1007" s="552">
        <f t="shared" si="628"/>
        <v>0</v>
      </c>
      <c r="CN1007" s="552">
        <f t="shared" si="628"/>
        <v>0</v>
      </c>
      <c r="CO1007" s="552">
        <f t="shared" si="628"/>
        <v>0</v>
      </c>
      <c r="CP1007" s="552">
        <f t="shared" si="628"/>
        <v>0</v>
      </c>
      <c r="CQ1007" s="552">
        <f t="shared" si="628"/>
        <v>0</v>
      </c>
      <c r="CR1007" s="552">
        <f t="shared" si="628"/>
        <v>0</v>
      </c>
      <c r="CS1007" s="552">
        <f t="shared" si="628"/>
        <v>0</v>
      </c>
      <c r="CT1007" s="552">
        <f t="shared" si="628"/>
        <v>0</v>
      </c>
      <c r="CU1007" s="552">
        <f t="shared" si="628"/>
        <v>0</v>
      </c>
      <c r="CV1007" s="552">
        <f t="shared" si="628"/>
        <v>0</v>
      </c>
      <c r="CW1007" s="552">
        <f t="shared" si="628"/>
        <v>0</v>
      </c>
      <c r="CX1007" s="552">
        <f t="shared" si="628"/>
        <v>0</v>
      </c>
      <c r="CY1007" s="552">
        <f t="shared" si="628"/>
        <v>0</v>
      </c>
      <c r="CZ1007" s="552">
        <f t="shared" si="628"/>
        <v>0</v>
      </c>
      <c r="DA1007" s="552">
        <f t="shared" si="628"/>
        <v>0</v>
      </c>
      <c r="DB1007" s="552">
        <f t="shared" ref="DB1007:EG1007" si="629">DB39*DB$338</f>
        <v>0</v>
      </c>
      <c r="DC1007" s="552">
        <f t="shared" si="629"/>
        <v>0</v>
      </c>
      <c r="DD1007" s="552">
        <f t="shared" si="629"/>
        <v>0</v>
      </c>
      <c r="DE1007" s="552">
        <f t="shared" si="629"/>
        <v>0</v>
      </c>
      <c r="DF1007" s="552">
        <f t="shared" si="629"/>
        <v>0</v>
      </c>
      <c r="DG1007" s="552">
        <f t="shared" si="629"/>
        <v>0</v>
      </c>
      <c r="DH1007" s="552">
        <f t="shared" si="629"/>
        <v>0</v>
      </c>
      <c r="DI1007" s="552">
        <f t="shared" si="629"/>
        <v>0</v>
      </c>
      <c r="DJ1007" s="552">
        <f t="shared" si="629"/>
        <v>0</v>
      </c>
      <c r="DK1007" s="552">
        <f t="shared" si="629"/>
        <v>0</v>
      </c>
      <c r="DL1007" s="552">
        <f t="shared" si="629"/>
        <v>0</v>
      </c>
      <c r="DM1007" s="552">
        <f t="shared" si="629"/>
        <v>0</v>
      </c>
      <c r="DN1007" s="552">
        <f t="shared" si="629"/>
        <v>0</v>
      </c>
      <c r="DO1007" s="552">
        <f t="shared" si="629"/>
        <v>0</v>
      </c>
      <c r="DP1007" s="552">
        <f t="shared" si="629"/>
        <v>0</v>
      </c>
      <c r="DQ1007" s="552">
        <f t="shared" si="629"/>
        <v>0</v>
      </c>
      <c r="DR1007" s="552">
        <f t="shared" si="629"/>
        <v>0</v>
      </c>
      <c r="DS1007" s="552">
        <f t="shared" si="629"/>
        <v>0</v>
      </c>
      <c r="DT1007" s="552">
        <f t="shared" si="629"/>
        <v>0</v>
      </c>
      <c r="DU1007" s="552">
        <f t="shared" si="629"/>
        <v>0</v>
      </c>
      <c r="DV1007" s="552">
        <f t="shared" si="629"/>
        <v>0</v>
      </c>
      <c r="DW1007" s="552">
        <f t="shared" si="629"/>
        <v>0</v>
      </c>
      <c r="DX1007" s="552">
        <f t="shared" si="629"/>
        <v>0</v>
      </c>
      <c r="DY1007" s="552">
        <f t="shared" si="629"/>
        <v>0</v>
      </c>
      <c r="DZ1007" s="552">
        <f t="shared" si="629"/>
        <v>0</v>
      </c>
      <c r="EA1007" s="552">
        <f t="shared" si="629"/>
        <v>0</v>
      </c>
      <c r="EB1007" s="552">
        <f t="shared" si="629"/>
        <v>0</v>
      </c>
      <c r="EC1007" s="552">
        <f t="shared" si="629"/>
        <v>0</v>
      </c>
      <c r="ED1007" s="552">
        <f t="shared" si="629"/>
        <v>0</v>
      </c>
      <c r="EE1007" s="552">
        <f t="shared" si="629"/>
        <v>0</v>
      </c>
      <c r="EF1007" s="552">
        <f t="shared" si="629"/>
        <v>0</v>
      </c>
      <c r="EG1007" s="552">
        <f t="shared" si="629"/>
        <v>0</v>
      </c>
      <c r="EH1007" s="552">
        <f t="shared" ref="EH1007:EX1007" si="630">EH39*EH$338</f>
        <v>0</v>
      </c>
      <c r="EI1007" s="552">
        <f t="shared" si="630"/>
        <v>0</v>
      </c>
      <c r="EJ1007" s="552">
        <f t="shared" si="630"/>
        <v>0</v>
      </c>
      <c r="EK1007" s="552">
        <f t="shared" si="630"/>
        <v>0</v>
      </c>
      <c r="EL1007" s="552">
        <f t="shared" si="630"/>
        <v>0</v>
      </c>
      <c r="EM1007" s="552">
        <f t="shared" si="630"/>
        <v>0</v>
      </c>
      <c r="EN1007" s="552">
        <f t="shared" si="630"/>
        <v>0</v>
      </c>
      <c r="EO1007" s="552">
        <f t="shared" si="630"/>
        <v>0</v>
      </c>
      <c r="EP1007" s="552">
        <f t="shared" si="630"/>
        <v>0</v>
      </c>
      <c r="EQ1007" s="552">
        <f t="shared" si="630"/>
        <v>0</v>
      </c>
      <c r="ER1007" s="552">
        <f t="shared" si="630"/>
        <v>0</v>
      </c>
      <c r="ES1007" s="552">
        <f t="shared" si="630"/>
        <v>0</v>
      </c>
      <c r="ET1007" s="552">
        <f t="shared" si="630"/>
        <v>0</v>
      </c>
      <c r="EU1007" s="552">
        <f t="shared" si="630"/>
        <v>0</v>
      </c>
      <c r="EV1007" s="552">
        <f t="shared" si="630"/>
        <v>0</v>
      </c>
      <c r="EW1007" s="552">
        <f t="shared" si="630"/>
        <v>0</v>
      </c>
      <c r="EX1007" s="552">
        <f t="shared" si="630"/>
        <v>0</v>
      </c>
      <c r="EY1007" s="799">
        <f t="shared" si="527"/>
        <v>0</v>
      </c>
      <c r="EZ1007" s="561"/>
      <c r="FA1007" s="561"/>
      <c r="FB1007" s="561"/>
      <c r="FC1007" s="561"/>
      <c r="FD1007" s="561"/>
      <c r="FE1007" s="561"/>
      <c r="FF1007" s="561"/>
      <c r="FG1007" s="561"/>
      <c r="FH1007" s="561"/>
      <c r="FI1007" s="561"/>
      <c r="FJ1007" s="561"/>
      <c r="FK1007" s="561"/>
      <c r="FL1007" s="561"/>
    </row>
    <row r="1008" spans="1:168" s="551" customFormat="1" x14ac:dyDescent="0.25">
      <c r="A1008" s="1492"/>
      <c r="B1008" s="1064">
        <f>B40</f>
        <v>0</v>
      </c>
      <c r="C1008" s="1064">
        <f t="shared" si="614"/>
        <v>0</v>
      </c>
      <c r="D1008" s="1064">
        <f t="shared" si="614"/>
        <v>0</v>
      </c>
      <c r="E1008" s="1158">
        <f t="shared" si="615"/>
        <v>0</v>
      </c>
      <c r="F1008" s="1158"/>
      <c r="G1008" s="1142"/>
      <c r="H1008" s="1142"/>
      <c r="I1008" s="790"/>
      <c r="J1008" s="552">
        <f t="shared" ref="J1008:AO1008" si="631">J40*J$338</f>
        <v>0</v>
      </c>
      <c r="K1008" s="552">
        <f t="shared" si="631"/>
        <v>0</v>
      </c>
      <c r="L1008" s="552">
        <f t="shared" si="631"/>
        <v>0</v>
      </c>
      <c r="M1008" s="552">
        <f t="shared" si="631"/>
        <v>0</v>
      </c>
      <c r="N1008" s="552">
        <f t="shared" si="631"/>
        <v>0</v>
      </c>
      <c r="O1008" s="552">
        <f t="shared" si="631"/>
        <v>0</v>
      </c>
      <c r="P1008" s="552">
        <f t="shared" si="631"/>
        <v>0</v>
      </c>
      <c r="Q1008" s="552">
        <f t="shared" si="631"/>
        <v>0</v>
      </c>
      <c r="R1008" s="552">
        <f t="shared" si="631"/>
        <v>0</v>
      </c>
      <c r="S1008" s="552">
        <f t="shared" si="631"/>
        <v>0</v>
      </c>
      <c r="T1008" s="552">
        <f t="shared" si="631"/>
        <v>0</v>
      </c>
      <c r="U1008" s="552">
        <f t="shared" si="631"/>
        <v>0</v>
      </c>
      <c r="V1008" s="552">
        <f t="shared" si="631"/>
        <v>0</v>
      </c>
      <c r="W1008" s="552">
        <f t="shared" si="631"/>
        <v>0</v>
      </c>
      <c r="X1008" s="552">
        <f t="shared" si="631"/>
        <v>0</v>
      </c>
      <c r="Y1008" s="552">
        <f t="shared" si="631"/>
        <v>0</v>
      </c>
      <c r="Z1008" s="552">
        <f t="shared" si="631"/>
        <v>0</v>
      </c>
      <c r="AA1008" s="552">
        <f t="shared" si="631"/>
        <v>0</v>
      </c>
      <c r="AB1008" s="552">
        <f t="shared" si="631"/>
        <v>0</v>
      </c>
      <c r="AC1008" s="552">
        <f t="shared" si="631"/>
        <v>0</v>
      </c>
      <c r="AD1008" s="552">
        <f t="shared" si="631"/>
        <v>0</v>
      </c>
      <c r="AE1008" s="552">
        <f t="shared" si="631"/>
        <v>0</v>
      </c>
      <c r="AF1008" s="552">
        <f t="shared" si="631"/>
        <v>0</v>
      </c>
      <c r="AG1008" s="552">
        <f t="shared" si="631"/>
        <v>0</v>
      </c>
      <c r="AH1008" s="552">
        <f t="shared" si="631"/>
        <v>0</v>
      </c>
      <c r="AI1008" s="552">
        <f t="shared" si="631"/>
        <v>0</v>
      </c>
      <c r="AJ1008" s="552">
        <f t="shared" si="631"/>
        <v>0</v>
      </c>
      <c r="AK1008" s="552">
        <f t="shared" si="631"/>
        <v>0</v>
      </c>
      <c r="AL1008" s="552">
        <f t="shared" si="631"/>
        <v>0</v>
      </c>
      <c r="AM1008" s="552">
        <f t="shared" si="631"/>
        <v>0</v>
      </c>
      <c r="AN1008" s="552">
        <f t="shared" si="631"/>
        <v>0</v>
      </c>
      <c r="AO1008" s="552">
        <f t="shared" si="631"/>
        <v>0</v>
      </c>
      <c r="AP1008" s="552">
        <f t="shared" ref="AP1008:BU1008" si="632">AP40*AP$338</f>
        <v>0</v>
      </c>
      <c r="AQ1008" s="552">
        <f t="shared" si="632"/>
        <v>0</v>
      </c>
      <c r="AR1008" s="552">
        <f t="shared" si="632"/>
        <v>0</v>
      </c>
      <c r="AS1008" s="552">
        <f t="shared" si="632"/>
        <v>0</v>
      </c>
      <c r="AT1008" s="552">
        <f t="shared" si="632"/>
        <v>0</v>
      </c>
      <c r="AU1008" s="552">
        <f t="shared" si="632"/>
        <v>0</v>
      </c>
      <c r="AV1008" s="552">
        <f t="shared" si="632"/>
        <v>0</v>
      </c>
      <c r="AW1008" s="552">
        <f t="shared" si="632"/>
        <v>0</v>
      </c>
      <c r="AX1008" s="552">
        <f t="shared" si="632"/>
        <v>0</v>
      </c>
      <c r="AY1008" s="552">
        <f t="shared" si="632"/>
        <v>0</v>
      </c>
      <c r="AZ1008" s="552">
        <f t="shared" si="632"/>
        <v>0</v>
      </c>
      <c r="BA1008" s="552">
        <f t="shared" si="632"/>
        <v>0</v>
      </c>
      <c r="BB1008" s="552">
        <f t="shared" si="632"/>
        <v>0</v>
      </c>
      <c r="BC1008" s="552">
        <f t="shared" si="632"/>
        <v>0</v>
      </c>
      <c r="BD1008" s="552">
        <f t="shared" si="632"/>
        <v>0</v>
      </c>
      <c r="BE1008" s="552">
        <f t="shared" si="632"/>
        <v>0</v>
      </c>
      <c r="BF1008" s="552">
        <f t="shared" si="632"/>
        <v>0</v>
      </c>
      <c r="BG1008" s="552">
        <f t="shared" si="632"/>
        <v>0</v>
      </c>
      <c r="BH1008" s="552">
        <f t="shared" si="632"/>
        <v>0</v>
      </c>
      <c r="BI1008" s="552">
        <f t="shared" si="632"/>
        <v>0</v>
      </c>
      <c r="BJ1008" s="552">
        <f t="shared" si="632"/>
        <v>0</v>
      </c>
      <c r="BK1008" s="552">
        <f t="shared" si="632"/>
        <v>0</v>
      </c>
      <c r="BL1008" s="552">
        <f t="shared" si="632"/>
        <v>0</v>
      </c>
      <c r="BM1008" s="552">
        <f t="shared" si="632"/>
        <v>0</v>
      </c>
      <c r="BN1008" s="552">
        <f t="shared" si="632"/>
        <v>0</v>
      </c>
      <c r="BO1008" s="552">
        <f t="shared" si="632"/>
        <v>0</v>
      </c>
      <c r="BP1008" s="552">
        <f t="shared" si="632"/>
        <v>0</v>
      </c>
      <c r="BQ1008" s="552">
        <f t="shared" si="632"/>
        <v>0</v>
      </c>
      <c r="BR1008" s="552">
        <f t="shared" si="632"/>
        <v>0</v>
      </c>
      <c r="BS1008" s="552">
        <f t="shared" si="632"/>
        <v>0</v>
      </c>
      <c r="BT1008" s="552">
        <f t="shared" si="632"/>
        <v>0</v>
      </c>
      <c r="BU1008" s="552">
        <f t="shared" si="632"/>
        <v>0</v>
      </c>
      <c r="BV1008" s="552">
        <f t="shared" ref="BV1008:DA1008" si="633">BV40*BV$338</f>
        <v>0</v>
      </c>
      <c r="BW1008" s="552">
        <f t="shared" si="633"/>
        <v>0</v>
      </c>
      <c r="BX1008" s="552">
        <f t="shared" si="633"/>
        <v>0</v>
      </c>
      <c r="BY1008" s="552">
        <f t="shared" si="633"/>
        <v>0</v>
      </c>
      <c r="BZ1008" s="552">
        <f t="shared" si="633"/>
        <v>0</v>
      </c>
      <c r="CA1008" s="552">
        <f t="shared" si="633"/>
        <v>0</v>
      </c>
      <c r="CB1008" s="552">
        <f t="shared" si="633"/>
        <v>0</v>
      </c>
      <c r="CC1008" s="552">
        <f t="shared" si="633"/>
        <v>0</v>
      </c>
      <c r="CD1008" s="552">
        <f t="shared" si="633"/>
        <v>0</v>
      </c>
      <c r="CE1008" s="552">
        <f t="shared" si="633"/>
        <v>0</v>
      </c>
      <c r="CF1008" s="552">
        <f t="shared" si="633"/>
        <v>0</v>
      </c>
      <c r="CG1008" s="552">
        <f t="shared" si="633"/>
        <v>0</v>
      </c>
      <c r="CH1008" s="552">
        <f t="shared" si="633"/>
        <v>0</v>
      </c>
      <c r="CI1008" s="552">
        <f t="shared" si="633"/>
        <v>0</v>
      </c>
      <c r="CJ1008" s="552">
        <f t="shared" si="633"/>
        <v>0</v>
      </c>
      <c r="CK1008" s="552">
        <f t="shared" si="633"/>
        <v>0</v>
      </c>
      <c r="CL1008" s="552">
        <f t="shared" si="633"/>
        <v>0</v>
      </c>
      <c r="CM1008" s="552">
        <f t="shared" si="633"/>
        <v>0</v>
      </c>
      <c r="CN1008" s="552">
        <f t="shared" si="633"/>
        <v>0</v>
      </c>
      <c r="CO1008" s="552">
        <f t="shared" si="633"/>
        <v>0</v>
      </c>
      <c r="CP1008" s="552">
        <f t="shared" si="633"/>
        <v>0</v>
      </c>
      <c r="CQ1008" s="552">
        <f t="shared" si="633"/>
        <v>0</v>
      </c>
      <c r="CR1008" s="552">
        <f t="shared" si="633"/>
        <v>0</v>
      </c>
      <c r="CS1008" s="552">
        <f t="shared" si="633"/>
        <v>0</v>
      </c>
      <c r="CT1008" s="552">
        <f t="shared" si="633"/>
        <v>0</v>
      </c>
      <c r="CU1008" s="552">
        <f t="shared" si="633"/>
        <v>0</v>
      </c>
      <c r="CV1008" s="552">
        <f t="shared" si="633"/>
        <v>0</v>
      </c>
      <c r="CW1008" s="552">
        <f t="shared" si="633"/>
        <v>0</v>
      </c>
      <c r="CX1008" s="552">
        <f t="shared" si="633"/>
        <v>0</v>
      </c>
      <c r="CY1008" s="552">
        <f t="shared" si="633"/>
        <v>0</v>
      </c>
      <c r="CZ1008" s="552">
        <f t="shared" si="633"/>
        <v>0</v>
      </c>
      <c r="DA1008" s="552">
        <f t="shared" si="633"/>
        <v>0</v>
      </c>
      <c r="DB1008" s="552">
        <f t="shared" ref="DB1008:EG1008" si="634">DB40*DB$338</f>
        <v>0</v>
      </c>
      <c r="DC1008" s="552">
        <f t="shared" si="634"/>
        <v>0</v>
      </c>
      <c r="DD1008" s="552">
        <f t="shared" si="634"/>
        <v>0</v>
      </c>
      <c r="DE1008" s="552">
        <f t="shared" si="634"/>
        <v>0</v>
      </c>
      <c r="DF1008" s="552">
        <f t="shared" si="634"/>
        <v>0</v>
      </c>
      <c r="DG1008" s="552">
        <f t="shared" si="634"/>
        <v>0</v>
      </c>
      <c r="DH1008" s="552">
        <f t="shared" si="634"/>
        <v>0</v>
      </c>
      <c r="DI1008" s="552">
        <f t="shared" si="634"/>
        <v>0</v>
      </c>
      <c r="DJ1008" s="552">
        <f t="shared" si="634"/>
        <v>0</v>
      </c>
      <c r="DK1008" s="552">
        <f t="shared" si="634"/>
        <v>0</v>
      </c>
      <c r="DL1008" s="552">
        <f t="shared" si="634"/>
        <v>0</v>
      </c>
      <c r="DM1008" s="552">
        <f t="shared" si="634"/>
        <v>0</v>
      </c>
      <c r="DN1008" s="552">
        <f t="shared" si="634"/>
        <v>0</v>
      </c>
      <c r="DO1008" s="552">
        <f t="shared" si="634"/>
        <v>0</v>
      </c>
      <c r="DP1008" s="552">
        <f t="shared" si="634"/>
        <v>0</v>
      </c>
      <c r="DQ1008" s="552">
        <f t="shared" si="634"/>
        <v>0</v>
      </c>
      <c r="DR1008" s="552">
        <f t="shared" si="634"/>
        <v>0</v>
      </c>
      <c r="DS1008" s="552">
        <f t="shared" si="634"/>
        <v>0</v>
      </c>
      <c r="DT1008" s="552">
        <f t="shared" si="634"/>
        <v>0</v>
      </c>
      <c r="DU1008" s="552">
        <f t="shared" si="634"/>
        <v>0</v>
      </c>
      <c r="DV1008" s="552">
        <f t="shared" si="634"/>
        <v>0</v>
      </c>
      <c r="DW1008" s="552">
        <f t="shared" si="634"/>
        <v>0</v>
      </c>
      <c r="DX1008" s="552">
        <f t="shared" si="634"/>
        <v>0</v>
      </c>
      <c r="DY1008" s="552">
        <f t="shared" si="634"/>
        <v>0</v>
      </c>
      <c r="DZ1008" s="552">
        <f t="shared" si="634"/>
        <v>0</v>
      </c>
      <c r="EA1008" s="552">
        <f t="shared" si="634"/>
        <v>0</v>
      </c>
      <c r="EB1008" s="552">
        <f t="shared" si="634"/>
        <v>0</v>
      </c>
      <c r="EC1008" s="552">
        <f t="shared" si="634"/>
        <v>0</v>
      </c>
      <c r="ED1008" s="552">
        <f t="shared" si="634"/>
        <v>0</v>
      </c>
      <c r="EE1008" s="552">
        <f t="shared" si="634"/>
        <v>0</v>
      </c>
      <c r="EF1008" s="552">
        <f t="shared" si="634"/>
        <v>0</v>
      </c>
      <c r="EG1008" s="552">
        <f t="shared" si="634"/>
        <v>0</v>
      </c>
      <c r="EH1008" s="552">
        <f t="shared" ref="EH1008:EX1008" si="635">EH40*EH$338</f>
        <v>0</v>
      </c>
      <c r="EI1008" s="552">
        <f t="shared" si="635"/>
        <v>0</v>
      </c>
      <c r="EJ1008" s="552">
        <f t="shared" si="635"/>
        <v>0</v>
      </c>
      <c r="EK1008" s="552">
        <f t="shared" si="635"/>
        <v>0</v>
      </c>
      <c r="EL1008" s="552">
        <f t="shared" si="635"/>
        <v>0</v>
      </c>
      <c r="EM1008" s="552">
        <f t="shared" si="635"/>
        <v>0</v>
      </c>
      <c r="EN1008" s="552">
        <f t="shared" si="635"/>
        <v>0</v>
      </c>
      <c r="EO1008" s="552">
        <f t="shared" si="635"/>
        <v>0</v>
      </c>
      <c r="EP1008" s="552">
        <f t="shared" si="635"/>
        <v>0</v>
      </c>
      <c r="EQ1008" s="552">
        <f t="shared" si="635"/>
        <v>0</v>
      </c>
      <c r="ER1008" s="552">
        <f t="shared" si="635"/>
        <v>0</v>
      </c>
      <c r="ES1008" s="552">
        <f t="shared" si="635"/>
        <v>0</v>
      </c>
      <c r="ET1008" s="552">
        <f t="shared" si="635"/>
        <v>0</v>
      </c>
      <c r="EU1008" s="552">
        <f t="shared" si="635"/>
        <v>0</v>
      </c>
      <c r="EV1008" s="552">
        <f t="shared" si="635"/>
        <v>0</v>
      </c>
      <c r="EW1008" s="552">
        <f t="shared" si="635"/>
        <v>0</v>
      </c>
      <c r="EX1008" s="552">
        <f t="shared" si="635"/>
        <v>0</v>
      </c>
      <c r="EY1008" s="799">
        <f t="shared" si="527"/>
        <v>0</v>
      </c>
      <c r="EZ1008" s="561"/>
      <c r="FA1008" s="561"/>
      <c r="FB1008" s="561"/>
      <c r="FC1008" s="561"/>
      <c r="FD1008" s="561"/>
      <c r="FE1008" s="561"/>
      <c r="FF1008" s="561"/>
      <c r="FG1008" s="561"/>
      <c r="FH1008" s="561"/>
      <c r="FI1008" s="561"/>
      <c r="FJ1008" s="561"/>
      <c r="FK1008" s="561"/>
      <c r="FL1008" s="561"/>
    </row>
    <row r="1009" spans="1:168" s="551" customFormat="1" x14ac:dyDescent="0.25">
      <c r="A1009" s="1493"/>
      <c r="B1009" s="1064">
        <f>B41</f>
        <v>0</v>
      </c>
      <c r="C1009" s="1064">
        <f t="shared" si="614"/>
        <v>0</v>
      </c>
      <c r="D1009" s="1064">
        <f t="shared" si="614"/>
        <v>0</v>
      </c>
      <c r="E1009" s="1158">
        <f t="shared" si="615"/>
        <v>0</v>
      </c>
      <c r="F1009" s="1158"/>
      <c r="G1009" s="1142"/>
      <c r="H1009" s="1142"/>
      <c r="I1009" s="790"/>
      <c r="J1009" s="552">
        <f>J41*J$338</f>
        <v>0</v>
      </c>
      <c r="K1009" s="552">
        <f t="shared" ref="K1009:BV1009" si="636">K41*K$338</f>
        <v>0</v>
      </c>
      <c r="L1009" s="552">
        <f t="shared" si="636"/>
        <v>0</v>
      </c>
      <c r="M1009" s="552">
        <f t="shared" si="636"/>
        <v>0</v>
      </c>
      <c r="N1009" s="552">
        <f t="shared" si="636"/>
        <v>0</v>
      </c>
      <c r="O1009" s="552">
        <f t="shared" si="636"/>
        <v>0</v>
      </c>
      <c r="P1009" s="552">
        <f t="shared" si="636"/>
        <v>0</v>
      </c>
      <c r="Q1009" s="552">
        <f t="shared" si="636"/>
        <v>0</v>
      </c>
      <c r="R1009" s="552">
        <f t="shared" si="636"/>
        <v>0</v>
      </c>
      <c r="S1009" s="552">
        <f t="shared" si="636"/>
        <v>0</v>
      </c>
      <c r="T1009" s="552">
        <f t="shared" si="636"/>
        <v>0</v>
      </c>
      <c r="U1009" s="552">
        <f t="shared" si="636"/>
        <v>0</v>
      </c>
      <c r="V1009" s="552">
        <f t="shared" si="636"/>
        <v>0</v>
      </c>
      <c r="W1009" s="552">
        <f t="shared" si="636"/>
        <v>0</v>
      </c>
      <c r="X1009" s="552">
        <f t="shared" si="636"/>
        <v>0</v>
      </c>
      <c r="Y1009" s="552">
        <f t="shared" si="636"/>
        <v>0</v>
      </c>
      <c r="Z1009" s="552">
        <f t="shared" si="636"/>
        <v>0</v>
      </c>
      <c r="AA1009" s="552">
        <f t="shared" si="636"/>
        <v>0</v>
      </c>
      <c r="AB1009" s="552">
        <f t="shared" si="636"/>
        <v>0</v>
      </c>
      <c r="AC1009" s="552">
        <f t="shared" si="636"/>
        <v>0</v>
      </c>
      <c r="AD1009" s="552">
        <f t="shared" si="636"/>
        <v>0</v>
      </c>
      <c r="AE1009" s="552">
        <f t="shared" si="636"/>
        <v>0</v>
      </c>
      <c r="AF1009" s="552">
        <f t="shared" si="636"/>
        <v>0</v>
      </c>
      <c r="AG1009" s="552">
        <f t="shared" si="636"/>
        <v>0</v>
      </c>
      <c r="AH1009" s="552">
        <f t="shared" si="636"/>
        <v>0</v>
      </c>
      <c r="AI1009" s="552">
        <f t="shared" si="636"/>
        <v>0</v>
      </c>
      <c r="AJ1009" s="552">
        <f t="shared" si="636"/>
        <v>0</v>
      </c>
      <c r="AK1009" s="552">
        <f t="shared" si="636"/>
        <v>0</v>
      </c>
      <c r="AL1009" s="552">
        <f t="shared" si="636"/>
        <v>0</v>
      </c>
      <c r="AM1009" s="552">
        <f t="shared" si="636"/>
        <v>0</v>
      </c>
      <c r="AN1009" s="552">
        <f t="shared" si="636"/>
        <v>0</v>
      </c>
      <c r="AO1009" s="552">
        <f t="shared" si="636"/>
        <v>0</v>
      </c>
      <c r="AP1009" s="552">
        <f t="shared" si="636"/>
        <v>0</v>
      </c>
      <c r="AQ1009" s="552">
        <f t="shared" si="636"/>
        <v>0</v>
      </c>
      <c r="AR1009" s="552">
        <f t="shared" si="636"/>
        <v>0</v>
      </c>
      <c r="AS1009" s="552">
        <f t="shared" si="636"/>
        <v>0</v>
      </c>
      <c r="AT1009" s="552">
        <f t="shared" si="636"/>
        <v>0</v>
      </c>
      <c r="AU1009" s="552">
        <f t="shared" si="636"/>
        <v>0</v>
      </c>
      <c r="AV1009" s="552">
        <f t="shared" si="636"/>
        <v>0</v>
      </c>
      <c r="AW1009" s="552">
        <f t="shared" si="636"/>
        <v>0</v>
      </c>
      <c r="AX1009" s="552">
        <f t="shared" si="636"/>
        <v>0</v>
      </c>
      <c r="AY1009" s="552">
        <f t="shared" si="636"/>
        <v>0</v>
      </c>
      <c r="AZ1009" s="552">
        <f t="shared" si="636"/>
        <v>0</v>
      </c>
      <c r="BA1009" s="552">
        <f t="shared" si="636"/>
        <v>0</v>
      </c>
      <c r="BB1009" s="552">
        <f t="shared" si="636"/>
        <v>0</v>
      </c>
      <c r="BC1009" s="552">
        <f t="shared" si="636"/>
        <v>0</v>
      </c>
      <c r="BD1009" s="552">
        <f t="shared" si="636"/>
        <v>0</v>
      </c>
      <c r="BE1009" s="552">
        <f t="shared" si="636"/>
        <v>0</v>
      </c>
      <c r="BF1009" s="552">
        <f t="shared" si="636"/>
        <v>0</v>
      </c>
      <c r="BG1009" s="552">
        <f t="shared" si="636"/>
        <v>0</v>
      </c>
      <c r="BH1009" s="552">
        <f t="shared" si="636"/>
        <v>0</v>
      </c>
      <c r="BI1009" s="552">
        <f t="shared" si="636"/>
        <v>0</v>
      </c>
      <c r="BJ1009" s="552">
        <f t="shared" si="636"/>
        <v>0</v>
      </c>
      <c r="BK1009" s="552">
        <f t="shared" si="636"/>
        <v>0</v>
      </c>
      <c r="BL1009" s="552">
        <f t="shared" si="636"/>
        <v>0</v>
      </c>
      <c r="BM1009" s="552">
        <f t="shared" si="636"/>
        <v>0</v>
      </c>
      <c r="BN1009" s="552">
        <f t="shared" si="636"/>
        <v>0</v>
      </c>
      <c r="BO1009" s="552">
        <f t="shared" si="636"/>
        <v>0</v>
      </c>
      <c r="BP1009" s="552">
        <f t="shared" si="636"/>
        <v>0</v>
      </c>
      <c r="BQ1009" s="552">
        <f t="shared" si="636"/>
        <v>0</v>
      </c>
      <c r="BR1009" s="552">
        <f t="shared" si="636"/>
        <v>0</v>
      </c>
      <c r="BS1009" s="552">
        <f t="shared" si="636"/>
        <v>0</v>
      </c>
      <c r="BT1009" s="552">
        <f t="shared" si="636"/>
        <v>0</v>
      </c>
      <c r="BU1009" s="552">
        <f t="shared" si="636"/>
        <v>0</v>
      </c>
      <c r="BV1009" s="552">
        <f t="shared" si="636"/>
        <v>0</v>
      </c>
      <c r="BW1009" s="552">
        <f t="shared" ref="BW1009:DB1009" si="637">BW41*BW$338</f>
        <v>0</v>
      </c>
      <c r="BX1009" s="552">
        <f t="shared" si="637"/>
        <v>0</v>
      </c>
      <c r="BY1009" s="552">
        <f t="shared" si="637"/>
        <v>0</v>
      </c>
      <c r="BZ1009" s="552">
        <f t="shared" si="637"/>
        <v>0</v>
      </c>
      <c r="CA1009" s="552">
        <f t="shared" si="637"/>
        <v>0</v>
      </c>
      <c r="CB1009" s="552">
        <f t="shared" si="637"/>
        <v>0</v>
      </c>
      <c r="CC1009" s="552">
        <f t="shared" si="637"/>
        <v>0</v>
      </c>
      <c r="CD1009" s="552">
        <f t="shared" si="637"/>
        <v>0</v>
      </c>
      <c r="CE1009" s="552">
        <f t="shared" si="637"/>
        <v>0</v>
      </c>
      <c r="CF1009" s="552">
        <f t="shared" si="637"/>
        <v>0</v>
      </c>
      <c r="CG1009" s="552">
        <f t="shared" si="637"/>
        <v>0</v>
      </c>
      <c r="CH1009" s="552">
        <f t="shared" si="637"/>
        <v>0</v>
      </c>
      <c r="CI1009" s="552">
        <f t="shared" si="637"/>
        <v>0</v>
      </c>
      <c r="CJ1009" s="552">
        <f t="shared" si="637"/>
        <v>0</v>
      </c>
      <c r="CK1009" s="552">
        <f t="shared" si="637"/>
        <v>0</v>
      </c>
      <c r="CL1009" s="552">
        <f t="shared" si="637"/>
        <v>0</v>
      </c>
      <c r="CM1009" s="552">
        <f t="shared" si="637"/>
        <v>0</v>
      </c>
      <c r="CN1009" s="552">
        <f t="shared" si="637"/>
        <v>0</v>
      </c>
      <c r="CO1009" s="552">
        <f t="shared" si="637"/>
        <v>0</v>
      </c>
      <c r="CP1009" s="552">
        <f t="shared" si="637"/>
        <v>0</v>
      </c>
      <c r="CQ1009" s="552">
        <f t="shared" si="637"/>
        <v>0</v>
      </c>
      <c r="CR1009" s="552">
        <f t="shared" si="637"/>
        <v>0</v>
      </c>
      <c r="CS1009" s="552">
        <f t="shared" si="637"/>
        <v>0</v>
      </c>
      <c r="CT1009" s="552">
        <f t="shared" si="637"/>
        <v>0</v>
      </c>
      <c r="CU1009" s="552">
        <f t="shared" si="637"/>
        <v>0</v>
      </c>
      <c r="CV1009" s="552">
        <f t="shared" si="637"/>
        <v>0</v>
      </c>
      <c r="CW1009" s="552">
        <f t="shared" si="637"/>
        <v>0</v>
      </c>
      <c r="CX1009" s="552">
        <f t="shared" si="637"/>
        <v>0</v>
      </c>
      <c r="CY1009" s="552">
        <f t="shared" si="637"/>
        <v>0</v>
      </c>
      <c r="CZ1009" s="552">
        <f t="shared" si="637"/>
        <v>0</v>
      </c>
      <c r="DA1009" s="552">
        <f t="shared" si="637"/>
        <v>0</v>
      </c>
      <c r="DB1009" s="552">
        <f t="shared" si="637"/>
        <v>0</v>
      </c>
      <c r="DC1009" s="552">
        <f t="shared" ref="DC1009:EH1009" si="638">DC41*DC$338</f>
        <v>0</v>
      </c>
      <c r="DD1009" s="552">
        <f t="shared" si="638"/>
        <v>0</v>
      </c>
      <c r="DE1009" s="552">
        <f t="shared" si="638"/>
        <v>0</v>
      </c>
      <c r="DF1009" s="552">
        <f t="shared" si="638"/>
        <v>0</v>
      </c>
      <c r="DG1009" s="552">
        <f t="shared" si="638"/>
        <v>0</v>
      </c>
      <c r="DH1009" s="552">
        <f t="shared" si="638"/>
        <v>0</v>
      </c>
      <c r="DI1009" s="552">
        <f t="shared" si="638"/>
        <v>0</v>
      </c>
      <c r="DJ1009" s="552">
        <f t="shared" si="638"/>
        <v>0</v>
      </c>
      <c r="DK1009" s="552">
        <f t="shared" si="638"/>
        <v>0</v>
      </c>
      <c r="DL1009" s="552">
        <f t="shared" si="638"/>
        <v>0</v>
      </c>
      <c r="DM1009" s="552">
        <f t="shared" si="638"/>
        <v>0</v>
      </c>
      <c r="DN1009" s="552">
        <f t="shared" si="638"/>
        <v>0</v>
      </c>
      <c r="DO1009" s="552">
        <f t="shared" si="638"/>
        <v>0</v>
      </c>
      <c r="DP1009" s="552">
        <f t="shared" si="638"/>
        <v>0</v>
      </c>
      <c r="DQ1009" s="552">
        <f t="shared" si="638"/>
        <v>0</v>
      </c>
      <c r="DR1009" s="552">
        <f t="shared" si="638"/>
        <v>0</v>
      </c>
      <c r="DS1009" s="552">
        <f t="shared" si="638"/>
        <v>0</v>
      </c>
      <c r="DT1009" s="552">
        <f t="shared" si="638"/>
        <v>0</v>
      </c>
      <c r="DU1009" s="552">
        <f t="shared" si="638"/>
        <v>0</v>
      </c>
      <c r="DV1009" s="552">
        <f t="shared" si="638"/>
        <v>0</v>
      </c>
      <c r="DW1009" s="552">
        <f t="shared" si="638"/>
        <v>0</v>
      </c>
      <c r="DX1009" s="552">
        <f t="shared" si="638"/>
        <v>0</v>
      </c>
      <c r="DY1009" s="552">
        <f t="shared" si="638"/>
        <v>0</v>
      </c>
      <c r="DZ1009" s="552">
        <f t="shared" si="638"/>
        <v>0</v>
      </c>
      <c r="EA1009" s="552">
        <f t="shared" si="638"/>
        <v>0</v>
      </c>
      <c r="EB1009" s="552">
        <f t="shared" si="638"/>
        <v>0</v>
      </c>
      <c r="EC1009" s="552">
        <f t="shared" si="638"/>
        <v>0</v>
      </c>
      <c r="ED1009" s="552">
        <f t="shared" si="638"/>
        <v>0</v>
      </c>
      <c r="EE1009" s="552">
        <f t="shared" si="638"/>
        <v>0</v>
      </c>
      <c r="EF1009" s="552">
        <f t="shared" si="638"/>
        <v>0</v>
      </c>
      <c r="EG1009" s="552">
        <f t="shared" si="638"/>
        <v>0</v>
      </c>
      <c r="EH1009" s="552">
        <f t="shared" si="638"/>
        <v>0</v>
      </c>
      <c r="EI1009" s="552">
        <f t="shared" ref="EI1009:EX1009" si="639">EI41*EI$338</f>
        <v>0</v>
      </c>
      <c r="EJ1009" s="552">
        <f t="shared" si="639"/>
        <v>0</v>
      </c>
      <c r="EK1009" s="552">
        <f t="shared" si="639"/>
        <v>0</v>
      </c>
      <c r="EL1009" s="552">
        <f t="shared" si="639"/>
        <v>0</v>
      </c>
      <c r="EM1009" s="552">
        <f t="shared" si="639"/>
        <v>0</v>
      </c>
      <c r="EN1009" s="552">
        <f t="shared" si="639"/>
        <v>0</v>
      </c>
      <c r="EO1009" s="552">
        <f t="shared" si="639"/>
        <v>0</v>
      </c>
      <c r="EP1009" s="552">
        <f t="shared" si="639"/>
        <v>0</v>
      </c>
      <c r="EQ1009" s="552">
        <f t="shared" si="639"/>
        <v>0</v>
      </c>
      <c r="ER1009" s="552">
        <f t="shared" si="639"/>
        <v>0</v>
      </c>
      <c r="ES1009" s="552">
        <f t="shared" si="639"/>
        <v>0</v>
      </c>
      <c r="ET1009" s="552">
        <f t="shared" si="639"/>
        <v>0</v>
      </c>
      <c r="EU1009" s="552">
        <f t="shared" si="639"/>
        <v>0</v>
      </c>
      <c r="EV1009" s="552">
        <f t="shared" si="639"/>
        <v>0</v>
      </c>
      <c r="EW1009" s="552">
        <f t="shared" si="639"/>
        <v>0</v>
      </c>
      <c r="EX1009" s="552">
        <f t="shared" si="639"/>
        <v>0</v>
      </c>
      <c r="EY1009" s="799">
        <f t="shared" si="527"/>
        <v>0</v>
      </c>
      <c r="EZ1009" s="561"/>
      <c r="FA1009" s="561"/>
      <c r="FB1009" s="561"/>
      <c r="FC1009" s="561"/>
      <c r="FD1009" s="561"/>
      <c r="FE1009" s="561"/>
      <c r="FF1009" s="561"/>
      <c r="FG1009" s="561"/>
      <c r="FH1009" s="561"/>
      <c r="FI1009" s="561"/>
      <c r="FJ1009" s="561"/>
      <c r="FK1009" s="561"/>
      <c r="FL1009" s="561"/>
    </row>
    <row r="1010" spans="1:168" s="548" customFormat="1" x14ac:dyDescent="0.25">
      <c r="A1010" s="254"/>
      <c r="B1010" s="625" t="s">
        <v>801</v>
      </c>
      <c r="C1010" s="1135"/>
      <c r="D1010" s="1135">
        <v>230</v>
      </c>
      <c r="E1010" s="1138">
        <f t="shared" ref="E1010" si="640">SUM(E1005:E1009)</f>
        <v>0</v>
      </c>
      <c r="F1010" s="1138"/>
      <c r="G1010" s="1138"/>
      <c r="H1010" s="1138"/>
      <c r="I1010" s="554"/>
      <c r="J1010" s="553">
        <f>SUM(J1005:J1009)</f>
        <v>0</v>
      </c>
      <c r="K1010" s="553">
        <f t="shared" ref="K1010:BV1010" si="641">SUM(K1005:K1009)</f>
        <v>0</v>
      </c>
      <c r="L1010" s="553">
        <f t="shared" si="641"/>
        <v>0</v>
      </c>
      <c r="M1010" s="553">
        <f t="shared" si="641"/>
        <v>0</v>
      </c>
      <c r="N1010" s="553">
        <f t="shared" si="641"/>
        <v>0</v>
      </c>
      <c r="O1010" s="553">
        <f t="shared" si="641"/>
        <v>0</v>
      </c>
      <c r="P1010" s="553">
        <f t="shared" si="641"/>
        <v>0</v>
      </c>
      <c r="Q1010" s="553">
        <f t="shared" si="641"/>
        <v>0</v>
      </c>
      <c r="R1010" s="553">
        <f t="shared" si="641"/>
        <v>0</v>
      </c>
      <c r="S1010" s="553">
        <f t="shared" si="641"/>
        <v>0</v>
      </c>
      <c r="T1010" s="553">
        <f t="shared" si="641"/>
        <v>0</v>
      </c>
      <c r="U1010" s="553">
        <f t="shared" si="641"/>
        <v>0</v>
      </c>
      <c r="V1010" s="553">
        <f t="shared" si="641"/>
        <v>0</v>
      </c>
      <c r="W1010" s="553">
        <f t="shared" si="641"/>
        <v>0</v>
      </c>
      <c r="X1010" s="553">
        <f t="shared" si="641"/>
        <v>0</v>
      </c>
      <c r="Y1010" s="553">
        <f t="shared" si="641"/>
        <v>0</v>
      </c>
      <c r="Z1010" s="553">
        <f t="shared" si="641"/>
        <v>0</v>
      </c>
      <c r="AA1010" s="553">
        <f t="shared" si="641"/>
        <v>0</v>
      </c>
      <c r="AB1010" s="553">
        <f t="shared" si="641"/>
        <v>0</v>
      </c>
      <c r="AC1010" s="553">
        <f t="shared" si="641"/>
        <v>0</v>
      </c>
      <c r="AD1010" s="553">
        <f t="shared" si="641"/>
        <v>0</v>
      </c>
      <c r="AE1010" s="553">
        <f t="shared" si="641"/>
        <v>0</v>
      </c>
      <c r="AF1010" s="553">
        <f t="shared" si="641"/>
        <v>0</v>
      </c>
      <c r="AG1010" s="553">
        <f t="shared" si="641"/>
        <v>0</v>
      </c>
      <c r="AH1010" s="553">
        <f t="shared" si="641"/>
        <v>0</v>
      </c>
      <c r="AI1010" s="553">
        <f t="shared" si="641"/>
        <v>0</v>
      </c>
      <c r="AJ1010" s="553">
        <f t="shared" si="641"/>
        <v>0</v>
      </c>
      <c r="AK1010" s="553">
        <f t="shared" si="641"/>
        <v>0</v>
      </c>
      <c r="AL1010" s="553">
        <f t="shared" si="641"/>
        <v>0</v>
      </c>
      <c r="AM1010" s="553">
        <f t="shared" si="641"/>
        <v>0</v>
      </c>
      <c r="AN1010" s="553">
        <f t="shared" si="641"/>
        <v>0</v>
      </c>
      <c r="AO1010" s="553">
        <f t="shared" si="641"/>
        <v>0</v>
      </c>
      <c r="AP1010" s="553">
        <f t="shared" si="641"/>
        <v>0</v>
      </c>
      <c r="AQ1010" s="553">
        <f t="shared" si="641"/>
        <v>0</v>
      </c>
      <c r="AR1010" s="553">
        <f t="shared" si="641"/>
        <v>0</v>
      </c>
      <c r="AS1010" s="553">
        <f t="shared" si="641"/>
        <v>0</v>
      </c>
      <c r="AT1010" s="553">
        <f t="shared" si="641"/>
        <v>0</v>
      </c>
      <c r="AU1010" s="553">
        <f t="shared" si="641"/>
        <v>0</v>
      </c>
      <c r="AV1010" s="553">
        <f t="shared" si="641"/>
        <v>0</v>
      </c>
      <c r="AW1010" s="553">
        <f t="shared" si="641"/>
        <v>0</v>
      </c>
      <c r="AX1010" s="553">
        <f t="shared" si="641"/>
        <v>0</v>
      </c>
      <c r="AY1010" s="553">
        <f t="shared" si="641"/>
        <v>0</v>
      </c>
      <c r="AZ1010" s="553">
        <f t="shared" si="641"/>
        <v>0</v>
      </c>
      <c r="BA1010" s="553">
        <f t="shared" si="641"/>
        <v>0</v>
      </c>
      <c r="BB1010" s="553">
        <f t="shared" si="641"/>
        <v>0</v>
      </c>
      <c r="BC1010" s="553">
        <f t="shared" si="641"/>
        <v>0</v>
      </c>
      <c r="BD1010" s="553">
        <f t="shared" si="641"/>
        <v>0</v>
      </c>
      <c r="BE1010" s="553">
        <f t="shared" si="641"/>
        <v>0</v>
      </c>
      <c r="BF1010" s="553">
        <f t="shared" si="641"/>
        <v>0</v>
      </c>
      <c r="BG1010" s="553">
        <f t="shared" si="641"/>
        <v>0</v>
      </c>
      <c r="BH1010" s="553">
        <f t="shared" si="641"/>
        <v>0</v>
      </c>
      <c r="BI1010" s="553">
        <f t="shared" si="641"/>
        <v>0</v>
      </c>
      <c r="BJ1010" s="553">
        <f t="shared" si="641"/>
        <v>0</v>
      </c>
      <c r="BK1010" s="553">
        <f t="shared" si="641"/>
        <v>0</v>
      </c>
      <c r="BL1010" s="553">
        <f t="shared" si="641"/>
        <v>0</v>
      </c>
      <c r="BM1010" s="553">
        <f t="shared" si="641"/>
        <v>0</v>
      </c>
      <c r="BN1010" s="553">
        <f t="shared" si="641"/>
        <v>0</v>
      </c>
      <c r="BO1010" s="553">
        <f t="shared" si="641"/>
        <v>0</v>
      </c>
      <c r="BP1010" s="553">
        <f t="shared" si="641"/>
        <v>0</v>
      </c>
      <c r="BQ1010" s="553">
        <f t="shared" si="641"/>
        <v>0</v>
      </c>
      <c r="BR1010" s="553">
        <f t="shared" si="641"/>
        <v>0</v>
      </c>
      <c r="BS1010" s="553">
        <f t="shared" si="641"/>
        <v>0</v>
      </c>
      <c r="BT1010" s="553">
        <f t="shared" si="641"/>
        <v>0</v>
      </c>
      <c r="BU1010" s="553">
        <f t="shared" si="641"/>
        <v>0</v>
      </c>
      <c r="BV1010" s="553">
        <f t="shared" si="641"/>
        <v>0</v>
      </c>
      <c r="BW1010" s="553">
        <f t="shared" ref="BW1010:EH1010" si="642">SUM(BW1005:BW1009)</f>
        <v>0</v>
      </c>
      <c r="BX1010" s="553">
        <f t="shared" si="642"/>
        <v>0</v>
      </c>
      <c r="BY1010" s="553">
        <f t="shared" si="642"/>
        <v>0</v>
      </c>
      <c r="BZ1010" s="553">
        <f t="shared" si="642"/>
        <v>0</v>
      </c>
      <c r="CA1010" s="553">
        <f t="shared" si="642"/>
        <v>0</v>
      </c>
      <c r="CB1010" s="553">
        <f t="shared" si="642"/>
        <v>0</v>
      </c>
      <c r="CC1010" s="553">
        <f t="shared" si="642"/>
        <v>0</v>
      </c>
      <c r="CD1010" s="553">
        <f t="shared" si="642"/>
        <v>0</v>
      </c>
      <c r="CE1010" s="553">
        <f t="shared" si="642"/>
        <v>0</v>
      </c>
      <c r="CF1010" s="553">
        <f t="shared" si="642"/>
        <v>0</v>
      </c>
      <c r="CG1010" s="553">
        <f t="shared" si="642"/>
        <v>0</v>
      </c>
      <c r="CH1010" s="553">
        <f t="shared" si="642"/>
        <v>0</v>
      </c>
      <c r="CI1010" s="553">
        <f t="shared" si="642"/>
        <v>0</v>
      </c>
      <c r="CJ1010" s="553">
        <f t="shared" si="642"/>
        <v>0</v>
      </c>
      <c r="CK1010" s="553">
        <f t="shared" si="642"/>
        <v>0</v>
      </c>
      <c r="CL1010" s="553">
        <f t="shared" si="642"/>
        <v>0</v>
      </c>
      <c r="CM1010" s="553">
        <f t="shared" si="642"/>
        <v>0</v>
      </c>
      <c r="CN1010" s="553">
        <f t="shared" si="642"/>
        <v>0</v>
      </c>
      <c r="CO1010" s="553">
        <f t="shared" si="642"/>
        <v>0</v>
      </c>
      <c r="CP1010" s="553">
        <f t="shared" si="642"/>
        <v>0</v>
      </c>
      <c r="CQ1010" s="553">
        <f t="shared" si="642"/>
        <v>0</v>
      </c>
      <c r="CR1010" s="553">
        <f t="shared" si="642"/>
        <v>0</v>
      </c>
      <c r="CS1010" s="553">
        <f t="shared" si="642"/>
        <v>0</v>
      </c>
      <c r="CT1010" s="553">
        <f t="shared" si="642"/>
        <v>0</v>
      </c>
      <c r="CU1010" s="553">
        <f t="shared" si="642"/>
        <v>0</v>
      </c>
      <c r="CV1010" s="553">
        <f t="shared" si="642"/>
        <v>0</v>
      </c>
      <c r="CW1010" s="553">
        <f t="shared" si="642"/>
        <v>0</v>
      </c>
      <c r="CX1010" s="553">
        <f t="shared" si="642"/>
        <v>0</v>
      </c>
      <c r="CY1010" s="553">
        <f t="shared" si="642"/>
        <v>0</v>
      </c>
      <c r="CZ1010" s="553">
        <f t="shared" si="642"/>
        <v>0</v>
      </c>
      <c r="DA1010" s="553">
        <f t="shared" si="642"/>
        <v>0</v>
      </c>
      <c r="DB1010" s="553">
        <f t="shared" si="642"/>
        <v>0</v>
      </c>
      <c r="DC1010" s="553">
        <f t="shared" si="642"/>
        <v>0</v>
      </c>
      <c r="DD1010" s="553">
        <f t="shared" si="642"/>
        <v>0</v>
      </c>
      <c r="DE1010" s="553">
        <f t="shared" si="642"/>
        <v>0</v>
      </c>
      <c r="DF1010" s="553">
        <f t="shared" si="642"/>
        <v>0</v>
      </c>
      <c r="DG1010" s="553">
        <f t="shared" si="642"/>
        <v>0</v>
      </c>
      <c r="DH1010" s="553">
        <f t="shared" si="642"/>
        <v>0</v>
      </c>
      <c r="DI1010" s="553">
        <f t="shared" si="642"/>
        <v>0</v>
      </c>
      <c r="DJ1010" s="553">
        <f t="shared" si="642"/>
        <v>0</v>
      </c>
      <c r="DK1010" s="553">
        <f t="shared" si="642"/>
        <v>0</v>
      </c>
      <c r="DL1010" s="553">
        <f t="shared" si="642"/>
        <v>0</v>
      </c>
      <c r="DM1010" s="553">
        <f t="shared" si="642"/>
        <v>0</v>
      </c>
      <c r="DN1010" s="553">
        <f t="shared" si="642"/>
        <v>0</v>
      </c>
      <c r="DO1010" s="553">
        <f t="shared" si="642"/>
        <v>0</v>
      </c>
      <c r="DP1010" s="553">
        <f t="shared" si="642"/>
        <v>0</v>
      </c>
      <c r="DQ1010" s="553">
        <f t="shared" si="642"/>
        <v>0</v>
      </c>
      <c r="DR1010" s="553">
        <f t="shared" si="642"/>
        <v>0</v>
      </c>
      <c r="DS1010" s="553">
        <f t="shared" si="642"/>
        <v>0</v>
      </c>
      <c r="DT1010" s="553">
        <f t="shared" si="642"/>
        <v>0</v>
      </c>
      <c r="DU1010" s="553">
        <f t="shared" si="642"/>
        <v>0</v>
      </c>
      <c r="DV1010" s="553">
        <f t="shared" si="642"/>
        <v>0</v>
      </c>
      <c r="DW1010" s="553">
        <f t="shared" si="642"/>
        <v>0</v>
      </c>
      <c r="DX1010" s="553">
        <f t="shared" si="642"/>
        <v>0</v>
      </c>
      <c r="DY1010" s="553">
        <f t="shared" si="642"/>
        <v>0</v>
      </c>
      <c r="DZ1010" s="553">
        <f t="shared" si="642"/>
        <v>0</v>
      </c>
      <c r="EA1010" s="553">
        <f t="shared" si="642"/>
        <v>0</v>
      </c>
      <c r="EB1010" s="553">
        <f t="shared" si="642"/>
        <v>0</v>
      </c>
      <c r="EC1010" s="553">
        <f t="shared" si="642"/>
        <v>0</v>
      </c>
      <c r="ED1010" s="553">
        <f t="shared" si="642"/>
        <v>0</v>
      </c>
      <c r="EE1010" s="553">
        <f t="shared" si="642"/>
        <v>0</v>
      </c>
      <c r="EF1010" s="553">
        <f t="shared" si="642"/>
        <v>0</v>
      </c>
      <c r="EG1010" s="553">
        <f t="shared" si="642"/>
        <v>0</v>
      </c>
      <c r="EH1010" s="553">
        <f t="shared" si="642"/>
        <v>0</v>
      </c>
      <c r="EI1010" s="553">
        <f t="shared" ref="EI1010:EX1010" si="643">SUM(EI1005:EI1009)</f>
        <v>0</v>
      </c>
      <c r="EJ1010" s="553">
        <f t="shared" si="643"/>
        <v>0</v>
      </c>
      <c r="EK1010" s="553">
        <f t="shared" si="643"/>
        <v>0</v>
      </c>
      <c r="EL1010" s="553">
        <f t="shared" si="643"/>
        <v>0</v>
      </c>
      <c r="EM1010" s="553">
        <f t="shared" si="643"/>
        <v>0</v>
      </c>
      <c r="EN1010" s="553">
        <f t="shared" si="643"/>
        <v>0</v>
      </c>
      <c r="EO1010" s="553">
        <f t="shared" si="643"/>
        <v>0</v>
      </c>
      <c r="EP1010" s="553">
        <f t="shared" si="643"/>
        <v>0</v>
      </c>
      <c r="EQ1010" s="553">
        <f t="shared" si="643"/>
        <v>0</v>
      </c>
      <c r="ER1010" s="553">
        <f t="shared" si="643"/>
        <v>0</v>
      </c>
      <c r="ES1010" s="553">
        <f t="shared" si="643"/>
        <v>0</v>
      </c>
      <c r="ET1010" s="553">
        <f t="shared" si="643"/>
        <v>0</v>
      </c>
      <c r="EU1010" s="553">
        <f t="shared" si="643"/>
        <v>0</v>
      </c>
      <c r="EV1010" s="553">
        <f t="shared" si="643"/>
        <v>0</v>
      </c>
      <c r="EW1010" s="553">
        <f t="shared" si="643"/>
        <v>0</v>
      </c>
      <c r="EX1010" s="553">
        <f t="shared" si="643"/>
        <v>0</v>
      </c>
      <c r="EY1010" s="553">
        <f t="shared" ref="EY1010" si="644">SUM(EY1005:EY1009)</f>
        <v>0</v>
      </c>
      <c r="EZ1010" s="562"/>
      <c r="FA1010" s="562"/>
      <c r="FB1010" s="562"/>
      <c r="FC1010" s="562"/>
      <c r="FD1010" s="562"/>
      <c r="FE1010" s="562"/>
      <c r="FF1010" s="562"/>
      <c r="FG1010" s="562"/>
      <c r="FH1010" s="562"/>
      <c r="FI1010" s="562"/>
      <c r="FJ1010" s="562"/>
      <c r="FK1010" s="562"/>
      <c r="FL1010" s="562"/>
    </row>
    <row r="1011" spans="1:168" s="548" customFormat="1" x14ac:dyDescent="0.25">
      <c r="A1011" s="1143"/>
      <c r="B1011" s="1144" t="s">
        <v>208</v>
      </c>
      <c r="C1011" s="1145"/>
      <c r="D1011" s="1145">
        <v>1960</v>
      </c>
      <c r="E1011" s="1146">
        <f t="shared" ref="E1011" si="645">E994+E1004+E1010</f>
        <v>135.88999999999999</v>
      </c>
      <c r="F1011" s="1146"/>
      <c r="G1011" s="1146"/>
      <c r="H1011" s="1146"/>
      <c r="I1011" s="1148"/>
      <c r="J1011" s="1148">
        <f>J994+J1004+J1010</f>
        <v>28</v>
      </c>
      <c r="K1011" s="1148">
        <f t="shared" ref="K1011:BV1011" si="646">K994+K1004+K1010</f>
        <v>0</v>
      </c>
      <c r="L1011" s="1148">
        <f t="shared" si="646"/>
        <v>0</v>
      </c>
      <c r="M1011" s="1148">
        <f t="shared" si="646"/>
        <v>0</v>
      </c>
      <c r="N1011" s="1148">
        <f t="shared" si="646"/>
        <v>0</v>
      </c>
      <c r="O1011" s="1148">
        <f t="shared" si="646"/>
        <v>0</v>
      </c>
      <c r="P1011" s="1148">
        <f t="shared" si="646"/>
        <v>0</v>
      </c>
      <c r="Q1011" s="1148">
        <f t="shared" si="646"/>
        <v>0</v>
      </c>
      <c r="R1011" s="1148">
        <f t="shared" si="646"/>
        <v>0</v>
      </c>
      <c r="S1011" s="1148">
        <f t="shared" si="646"/>
        <v>0</v>
      </c>
      <c r="T1011" s="1148">
        <f t="shared" si="646"/>
        <v>0</v>
      </c>
      <c r="U1011" s="1148">
        <f t="shared" si="646"/>
        <v>11.68</v>
      </c>
      <c r="V1011" s="1148">
        <f t="shared" si="646"/>
        <v>19.88</v>
      </c>
      <c r="W1011" s="1148">
        <f t="shared" si="646"/>
        <v>0</v>
      </c>
      <c r="X1011" s="1148">
        <f t="shared" si="646"/>
        <v>0</v>
      </c>
      <c r="Y1011" s="1148">
        <f t="shared" si="646"/>
        <v>5.56</v>
      </c>
      <c r="Z1011" s="1148">
        <f t="shared" si="646"/>
        <v>0</v>
      </c>
      <c r="AA1011" s="1148">
        <f t="shared" si="646"/>
        <v>0</v>
      </c>
      <c r="AB1011" s="1148">
        <f t="shared" si="646"/>
        <v>0</v>
      </c>
      <c r="AC1011" s="1148">
        <f t="shared" si="646"/>
        <v>0</v>
      </c>
      <c r="AD1011" s="1148">
        <f t="shared" si="646"/>
        <v>0</v>
      </c>
      <c r="AE1011" s="1148">
        <f t="shared" si="646"/>
        <v>0</v>
      </c>
      <c r="AF1011" s="1148">
        <f t="shared" si="646"/>
        <v>1.99</v>
      </c>
      <c r="AG1011" s="1148">
        <f t="shared" si="646"/>
        <v>0</v>
      </c>
      <c r="AH1011" s="1148">
        <f t="shared" si="646"/>
        <v>6.57</v>
      </c>
      <c r="AI1011" s="1148">
        <f t="shared" si="646"/>
        <v>0</v>
      </c>
      <c r="AJ1011" s="1148">
        <f t="shared" si="646"/>
        <v>0</v>
      </c>
      <c r="AK1011" s="1148">
        <f t="shared" si="646"/>
        <v>1.35</v>
      </c>
      <c r="AL1011" s="1148">
        <f t="shared" si="646"/>
        <v>5.18</v>
      </c>
      <c r="AM1011" s="1148">
        <f t="shared" si="646"/>
        <v>0</v>
      </c>
      <c r="AN1011" s="1148">
        <f t="shared" si="646"/>
        <v>5.39</v>
      </c>
      <c r="AO1011" s="1148">
        <f t="shared" si="646"/>
        <v>0</v>
      </c>
      <c r="AP1011" s="1148">
        <f t="shared" si="646"/>
        <v>0</v>
      </c>
      <c r="AQ1011" s="1148">
        <f t="shared" si="646"/>
        <v>2.13</v>
      </c>
      <c r="AR1011" s="1148">
        <f t="shared" si="646"/>
        <v>0</v>
      </c>
      <c r="AS1011" s="1148">
        <f t="shared" si="646"/>
        <v>0</v>
      </c>
      <c r="AT1011" s="1148">
        <f t="shared" si="646"/>
        <v>0.98</v>
      </c>
      <c r="AU1011" s="1148">
        <f t="shared" si="646"/>
        <v>1.05</v>
      </c>
      <c r="AV1011" s="1148">
        <f t="shared" si="646"/>
        <v>0</v>
      </c>
      <c r="AW1011" s="1148">
        <f t="shared" si="646"/>
        <v>0</v>
      </c>
      <c r="AX1011" s="1148">
        <f t="shared" si="646"/>
        <v>0</v>
      </c>
      <c r="AY1011" s="1148">
        <f t="shared" si="646"/>
        <v>0</v>
      </c>
      <c r="AZ1011" s="1148">
        <f t="shared" si="646"/>
        <v>0</v>
      </c>
      <c r="BA1011" s="1148">
        <f t="shared" si="646"/>
        <v>1.89</v>
      </c>
      <c r="BB1011" s="1148">
        <f t="shared" si="646"/>
        <v>0</v>
      </c>
      <c r="BC1011" s="1148">
        <f t="shared" si="646"/>
        <v>0</v>
      </c>
      <c r="BD1011" s="1148">
        <f t="shared" si="646"/>
        <v>0</v>
      </c>
      <c r="BE1011" s="1148">
        <f t="shared" si="646"/>
        <v>0</v>
      </c>
      <c r="BF1011" s="1148">
        <f t="shared" si="646"/>
        <v>0</v>
      </c>
      <c r="BG1011" s="1148">
        <f t="shared" si="646"/>
        <v>0</v>
      </c>
      <c r="BH1011" s="1148">
        <f t="shared" si="646"/>
        <v>0</v>
      </c>
      <c r="BI1011" s="1148">
        <f t="shared" si="646"/>
        <v>0</v>
      </c>
      <c r="BJ1011" s="1148">
        <f t="shared" si="646"/>
        <v>0</v>
      </c>
      <c r="BK1011" s="1148">
        <f t="shared" si="646"/>
        <v>0</v>
      </c>
      <c r="BL1011" s="1148">
        <f t="shared" si="646"/>
        <v>0</v>
      </c>
      <c r="BM1011" s="1148">
        <f t="shared" si="646"/>
        <v>0</v>
      </c>
      <c r="BN1011" s="1148">
        <f t="shared" si="646"/>
        <v>0</v>
      </c>
      <c r="BO1011" s="1148">
        <f t="shared" si="646"/>
        <v>0</v>
      </c>
      <c r="BP1011" s="1148">
        <f t="shared" si="646"/>
        <v>0</v>
      </c>
      <c r="BQ1011" s="1148">
        <f t="shared" si="646"/>
        <v>0</v>
      </c>
      <c r="BR1011" s="1148">
        <f t="shared" si="646"/>
        <v>18.2</v>
      </c>
      <c r="BS1011" s="1148">
        <f t="shared" si="646"/>
        <v>0.2</v>
      </c>
      <c r="BT1011" s="1148">
        <f t="shared" si="646"/>
        <v>4</v>
      </c>
      <c r="BU1011" s="1148">
        <f t="shared" si="646"/>
        <v>0</v>
      </c>
      <c r="BV1011" s="1148">
        <f t="shared" si="646"/>
        <v>0</v>
      </c>
      <c r="BW1011" s="1148">
        <f t="shared" ref="BW1011:EH1011" si="647">BW994+BW1004+BW1010</f>
        <v>0</v>
      </c>
      <c r="BX1011" s="1148">
        <f t="shared" si="647"/>
        <v>0</v>
      </c>
      <c r="BY1011" s="1148">
        <f t="shared" si="647"/>
        <v>0</v>
      </c>
      <c r="BZ1011" s="1148">
        <f t="shared" si="647"/>
        <v>0</v>
      </c>
      <c r="CA1011" s="1148">
        <f t="shared" si="647"/>
        <v>0</v>
      </c>
      <c r="CB1011" s="1148">
        <f t="shared" si="647"/>
        <v>0</v>
      </c>
      <c r="CC1011" s="1148">
        <f t="shared" si="647"/>
        <v>0</v>
      </c>
      <c r="CD1011" s="1148">
        <f t="shared" si="647"/>
        <v>0</v>
      </c>
      <c r="CE1011" s="1148">
        <f t="shared" si="647"/>
        <v>0</v>
      </c>
      <c r="CF1011" s="1148">
        <f t="shared" si="647"/>
        <v>2.11</v>
      </c>
      <c r="CG1011" s="1148">
        <f t="shared" si="647"/>
        <v>0</v>
      </c>
      <c r="CH1011" s="1148">
        <f t="shared" si="647"/>
        <v>0</v>
      </c>
      <c r="CI1011" s="1148">
        <f t="shared" si="647"/>
        <v>0</v>
      </c>
      <c r="CJ1011" s="1148">
        <f t="shared" si="647"/>
        <v>0</v>
      </c>
      <c r="CK1011" s="1148">
        <f t="shared" si="647"/>
        <v>0</v>
      </c>
      <c r="CL1011" s="1148">
        <f t="shared" si="647"/>
        <v>0</v>
      </c>
      <c r="CM1011" s="1148">
        <f t="shared" si="647"/>
        <v>0</v>
      </c>
      <c r="CN1011" s="1148">
        <f t="shared" si="647"/>
        <v>0</v>
      </c>
      <c r="CO1011" s="1148">
        <f t="shared" si="647"/>
        <v>0</v>
      </c>
      <c r="CP1011" s="1148">
        <f t="shared" si="647"/>
        <v>0</v>
      </c>
      <c r="CQ1011" s="1148">
        <f t="shared" si="647"/>
        <v>0.06</v>
      </c>
      <c r="CR1011" s="1148">
        <f t="shared" si="647"/>
        <v>0</v>
      </c>
      <c r="CS1011" s="1148">
        <f t="shared" si="647"/>
        <v>0.2</v>
      </c>
      <c r="CT1011" s="1148">
        <f t="shared" si="647"/>
        <v>0</v>
      </c>
      <c r="CU1011" s="1148">
        <f t="shared" si="647"/>
        <v>0</v>
      </c>
      <c r="CV1011" s="1148">
        <f t="shared" si="647"/>
        <v>0</v>
      </c>
      <c r="CW1011" s="1148">
        <f t="shared" si="647"/>
        <v>0</v>
      </c>
      <c r="CX1011" s="1148">
        <f t="shared" si="647"/>
        <v>0</v>
      </c>
      <c r="CY1011" s="1148">
        <f t="shared" si="647"/>
        <v>0</v>
      </c>
      <c r="CZ1011" s="1148">
        <f t="shared" si="647"/>
        <v>3.88</v>
      </c>
      <c r="DA1011" s="1148">
        <f t="shared" si="647"/>
        <v>0</v>
      </c>
      <c r="DB1011" s="1148">
        <f t="shared" si="647"/>
        <v>0</v>
      </c>
      <c r="DC1011" s="1148">
        <f t="shared" si="647"/>
        <v>0.26</v>
      </c>
      <c r="DD1011" s="1148">
        <f t="shared" si="647"/>
        <v>0.59</v>
      </c>
      <c r="DE1011" s="1148">
        <f t="shared" si="647"/>
        <v>2.6</v>
      </c>
      <c r="DF1011" s="1148">
        <f t="shared" si="647"/>
        <v>0.69</v>
      </c>
      <c r="DG1011" s="1148">
        <f t="shared" si="647"/>
        <v>0</v>
      </c>
      <c r="DH1011" s="1148">
        <f t="shared" si="647"/>
        <v>0</v>
      </c>
      <c r="DI1011" s="1148">
        <f t="shared" si="647"/>
        <v>0</v>
      </c>
      <c r="DJ1011" s="1148">
        <f t="shared" si="647"/>
        <v>0</v>
      </c>
      <c r="DK1011" s="1148">
        <f t="shared" si="647"/>
        <v>0</v>
      </c>
      <c r="DL1011" s="1148">
        <f t="shared" si="647"/>
        <v>1.01</v>
      </c>
      <c r="DM1011" s="1148">
        <f t="shared" si="647"/>
        <v>0</v>
      </c>
      <c r="DN1011" s="1148">
        <f t="shared" si="647"/>
        <v>0</v>
      </c>
      <c r="DO1011" s="1148">
        <f t="shared" si="647"/>
        <v>0</v>
      </c>
      <c r="DP1011" s="1148">
        <f t="shared" si="647"/>
        <v>0</v>
      </c>
      <c r="DQ1011" s="1148">
        <f t="shared" si="647"/>
        <v>0</v>
      </c>
      <c r="DR1011" s="1148">
        <f t="shared" si="647"/>
        <v>0.45</v>
      </c>
      <c r="DS1011" s="1148">
        <f t="shared" si="647"/>
        <v>0</v>
      </c>
      <c r="DT1011" s="1148">
        <f t="shared" si="647"/>
        <v>0</v>
      </c>
      <c r="DU1011" s="1148">
        <f t="shared" si="647"/>
        <v>0</v>
      </c>
      <c r="DV1011" s="1148">
        <f t="shared" si="647"/>
        <v>0</v>
      </c>
      <c r="DW1011" s="1148">
        <f t="shared" si="647"/>
        <v>0</v>
      </c>
      <c r="DX1011" s="1148">
        <f t="shared" si="647"/>
        <v>0</v>
      </c>
      <c r="DY1011" s="1148">
        <f t="shared" si="647"/>
        <v>0</v>
      </c>
      <c r="DZ1011" s="1148">
        <f t="shared" si="647"/>
        <v>0</v>
      </c>
      <c r="EA1011" s="1148">
        <f t="shared" si="647"/>
        <v>0</v>
      </c>
      <c r="EB1011" s="1148">
        <f t="shared" si="647"/>
        <v>2.9</v>
      </c>
      <c r="EC1011" s="1148">
        <f t="shared" si="647"/>
        <v>0</v>
      </c>
      <c r="ED1011" s="1148">
        <f t="shared" si="647"/>
        <v>0</v>
      </c>
      <c r="EE1011" s="1148">
        <f t="shared" si="647"/>
        <v>0</v>
      </c>
      <c r="EF1011" s="1148">
        <f t="shared" si="647"/>
        <v>0</v>
      </c>
      <c r="EG1011" s="1148">
        <f t="shared" si="647"/>
        <v>0</v>
      </c>
      <c r="EH1011" s="1148">
        <f t="shared" si="647"/>
        <v>0</v>
      </c>
      <c r="EI1011" s="1148">
        <f t="shared" ref="EI1011:EX1011" si="648">EI994+EI1004+EI1010</f>
        <v>0</v>
      </c>
      <c r="EJ1011" s="1148">
        <f t="shared" si="648"/>
        <v>0</v>
      </c>
      <c r="EK1011" s="1148">
        <f t="shared" si="648"/>
        <v>0</v>
      </c>
      <c r="EL1011" s="1148">
        <f t="shared" si="648"/>
        <v>0</v>
      </c>
      <c r="EM1011" s="1148">
        <f t="shared" si="648"/>
        <v>0</v>
      </c>
      <c r="EN1011" s="1148">
        <f t="shared" si="648"/>
        <v>0</v>
      </c>
      <c r="EO1011" s="1148">
        <f t="shared" si="648"/>
        <v>0</v>
      </c>
      <c r="EP1011" s="1148">
        <f t="shared" si="648"/>
        <v>0</v>
      </c>
      <c r="EQ1011" s="1148">
        <f t="shared" si="648"/>
        <v>0</v>
      </c>
      <c r="ER1011" s="1148">
        <f t="shared" si="648"/>
        <v>0</v>
      </c>
      <c r="ES1011" s="1148">
        <f t="shared" si="648"/>
        <v>0</v>
      </c>
      <c r="ET1011" s="1148">
        <f t="shared" si="648"/>
        <v>0</v>
      </c>
      <c r="EU1011" s="1148">
        <f t="shared" si="648"/>
        <v>0</v>
      </c>
      <c r="EV1011" s="1148">
        <f t="shared" si="648"/>
        <v>3.84</v>
      </c>
      <c r="EW1011" s="1148">
        <f t="shared" si="648"/>
        <v>3.25</v>
      </c>
      <c r="EX1011" s="1148">
        <f t="shared" si="648"/>
        <v>0</v>
      </c>
      <c r="EY1011" s="1148">
        <f t="shared" ref="EY1011" si="649">EY994+EY1004+EY1010</f>
        <v>135.88999999999999</v>
      </c>
      <c r="EZ1011" s="1147"/>
      <c r="FA1011" s="1147"/>
      <c r="FB1011" s="1147"/>
      <c r="FC1011" s="1147"/>
      <c r="FD1011" s="1147"/>
      <c r="FE1011" s="1147"/>
      <c r="FF1011" s="1147"/>
      <c r="FG1011" s="1147"/>
      <c r="FH1011" s="1147"/>
      <c r="FI1011" s="1147"/>
      <c r="FJ1011" s="1147"/>
      <c r="FK1011" s="1147"/>
      <c r="FL1011" s="1147"/>
    </row>
    <row r="1012" spans="1:168" s="550" customFormat="1" x14ac:dyDescent="0.25">
      <c r="A1012" s="549"/>
      <c r="B1012" s="626" t="s">
        <v>579</v>
      </c>
      <c r="C1012" s="1136"/>
      <c r="D1012" s="1136"/>
      <c r="E1012" s="1139"/>
      <c r="F1012" s="1139"/>
      <c r="G1012" s="1139"/>
      <c r="H1012" s="1139"/>
      <c r="I1012" s="666"/>
      <c r="J1012" s="560"/>
      <c r="K1012" s="560"/>
      <c r="L1012" s="560"/>
      <c r="M1012" s="560"/>
      <c r="N1012" s="560"/>
      <c r="O1012" s="560"/>
      <c r="P1012" s="560"/>
      <c r="Q1012" s="560"/>
      <c r="R1012" s="560"/>
      <c r="S1012" s="560"/>
      <c r="T1012" s="560"/>
      <c r="U1012" s="560"/>
      <c r="V1012" s="560"/>
      <c r="W1012" s="560"/>
      <c r="X1012" s="560"/>
      <c r="Y1012" s="560"/>
      <c r="Z1012" s="560"/>
      <c r="AA1012" s="560"/>
      <c r="AB1012" s="560"/>
      <c r="AC1012" s="560"/>
      <c r="AD1012" s="560"/>
      <c r="AE1012" s="560"/>
      <c r="AF1012" s="560"/>
      <c r="AG1012" s="560"/>
      <c r="AH1012" s="560"/>
      <c r="AI1012" s="560"/>
      <c r="AJ1012" s="560"/>
      <c r="AK1012" s="560"/>
      <c r="AL1012" s="560"/>
      <c r="AM1012" s="560"/>
      <c r="AN1012" s="560"/>
      <c r="AO1012" s="560"/>
      <c r="AP1012" s="560"/>
      <c r="AQ1012" s="560"/>
      <c r="AR1012" s="560"/>
      <c r="AS1012" s="560"/>
      <c r="AT1012" s="560"/>
      <c r="AU1012" s="560"/>
      <c r="AV1012" s="560"/>
      <c r="AW1012" s="560"/>
      <c r="AX1012" s="560"/>
      <c r="AY1012" s="560"/>
      <c r="AZ1012" s="560"/>
      <c r="BA1012" s="560"/>
      <c r="BB1012" s="560"/>
      <c r="BC1012" s="560"/>
      <c r="BD1012" s="560"/>
      <c r="BE1012" s="560"/>
      <c r="BF1012" s="560"/>
      <c r="BG1012" s="560"/>
      <c r="BH1012" s="560"/>
      <c r="BI1012" s="560"/>
      <c r="BJ1012" s="560"/>
      <c r="BK1012" s="560"/>
      <c r="BL1012" s="560"/>
      <c r="BM1012" s="560"/>
      <c r="BN1012" s="560"/>
      <c r="BO1012" s="560"/>
      <c r="BP1012" s="560"/>
      <c r="BQ1012" s="560"/>
      <c r="BR1012" s="560"/>
      <c r="BS1012" s="560"/>
      <c r="BT1012" s="560"/>
      <c r="BU1012" s="560"/>
      <c r="BV1012" s="560"/>
      <c r="BW1012" s="560"/>
      <c r="BX1012" s="560"/>
      <c r="BY1012" s="560"/>
      <c r="BZ1012" s="560"/>
      <c r="CA1012" s="560"/>
      <c r="CB1012" s="560"/>
      <c r="CC1012" s="560"/>
      <c r="CD1012" s="560"/>
      <c r="CE1012" s="560"/>
      <c r="CF1012" s="560"/>
      <c r="CG1012" s="560"/>
      <c r="CH1012" s="560"/>
      <c r="CI1012" s="560"/>
      <c r="CJ1012" s="560"/>
      <c r="CK1012" s="560"/>
      <c r="CL1012" s="560"/>
      <c r="CM1012" s="560"/>
      <c r="CN1012" s="560"/>
      <c r="CO1012" s="560"/>
      <c r="CP1012" s="560"/>
      <c r="CQ1012" s="560"/>
      <c r="CR1012" s="560"/>
      <c r="CS1012" s="560"/>
      <c r="CT1012" s="560"/>
      <c r="CU1012" s="560"/>
      <c r="CV1012" s="560"/>
      <c r="CW1012" s="560"/>
      <c r="CX1012" s="560"/>
      <c r="CY1012" s="560"/>
      <c r="CZ1012" s="560"/>
      <c r="DA1012" s="560"/>
      <c r="DB1012" s="560"/>
      <c r="DC1012" s="560"/>
      <c r="DD1012" s="560"/>
      <c r="DE1012" s="560"/>
      <c r="DF1012" s="560"/>
      <c r="DG1012" s="560"/>
      <c r="DH1012" s="560"/>
      <c r="DI1012" s="560"/>
      <c r="DJ1012" s="560"/>
      <c r="DK1012" s="560"/>
      <c r="DL1012" s="560"/>
      <c r="DM1012" s="560"/>
      <c r="DN1012" s="560"/>
      <c r="DO1012" s="560"/>
      <c r="DP1012" s="560"/>
      <c r="DQ1012" s="560"/>
      <c r="DR1012" s="560"/>
      <c r="DS1012" s="560"/>
      <c r="DT1012" s="560"/>
      <c r="DU1012" s="560"/>
      <c r="DV1012" s="560"/>
      <c r="DW1012" s="560"/>
      <c r="DX1012" s="560"/>
      <c r="DY1012" s="560"/>
      <c r="DZ1012" s="560"/>
      <c r="EA1012" s="560"/>
      <c r="EB1012" s="560"/>
      <c r="EC1012" s="560"/>
      <c r="ED1012" s="560"/>
      <c r="EE1012" s="560"/>
      <c r="EF1012" s="560"/>
      <c r="EG1012" s="560"/>
      <c r="EH1012" s="560"/>
      <c r="EI1012" s="560"/>
      <c r="EJ1012" s="560"/>
      <c r="EK1012" s="560"/>
      <c r="EL1012" s="560"/>
      <c r="EM1012" s="560"/>
      <c r="EN1012" s="560"/>
      <c r="EO1012" s="560"/>
      <c r="EP1012" s="560"/>
      <c r="EQ1012" s="560"/>
      <c r="ER1012" s="560"/>
      <c r="ES1012" s="560"/>
      <c r="ET1012" s="560"/>
      <c r="EU1012" s="560"/>
      <c r="EV1012" s="560"/>
      <c r="EW1012" s="560"/>
      <c r="EX1012" s="560"/>
      <c r="EY1012" s="800" t="s">
        <v>826</v>
      </c>
      <c r="EZ1012" s="639"/>
      <c r="FA1012" s="639"/>
      <c r="FB1012" s="639"/>
      <c r="FC1012" s="639"/>
      <c r="FD1012" s="639"/>
      <c r="FE1012" s="639"/>
      <c r="FF1012" s="639"/>
      <c r="FG1012" s="639"/>
      <c r="FH1012" s="639"/>
      <c r="FI1012" s="639"/>
      <c r="FJ1012" s="639"/>
      <c r="FK1012" s="639"/>
      <c r="FL1012" s="639"/>
    </row>
    <row r="1013" spans="1:168" x14ac:dyDescent="0.25">
      <c r="A1013" s="1491" t="s">
        <v>109</v>
      </c>
      <c r="B1013" s="624" t="str">
        <f t="shared" ref="B1013:B1021" si="650">B47</f>
        <v>Омлет натуральный с маслом</v>
      </c>
      <c r="C1013" s="624">
        <f t="shared" ref="C1013:D1013" si="651">C47</f>
        <v>140</v>
      </c>
      <c r="D1013" s="624">
        <f t="shared" si="651"/>
        <v>13.01</v>
      </c>
      <c r="E1013" s="1158">
        <f t="shared" ref="E1013:E1021" si="652">EY1013</f>
        <v>27.56</v>
      </c>
      <c r="F1013" s="1158"/>
      <c r="G1013" s="1140"/>
      <c r="H1013" s="1140"/>
      <c r="I1013" s="552"/>
      <c r="J1013" s="552">
        <f t="shared" ref="J1013:J1021" si="653">J47*J$338</f>
        <v>0</v>
      </c>
      <c r="K1013" s="552">
        <f t="shared" ref="K1013:BV1013" si="654">K47*K$338</f>
        <v>0</v>
      </c>
      <c r="L1013" s="552">
        <f t="shared" si="654"/>
        <v>0</v>
      </c>
      <c r="M1013" s="552">
        <f t="shared" si="654"/>
        <v>0</v>
      </c>
      <c r="N1013" s="552">
        <f t="shared" si="654"/>
        <v>0</v>
      </c>
      <c r="O1013" s="552">
        <f t="shared" si="654"/>
        <v>0</v>
      </c>
      <c r="P1013" s="552">
        <f t="shared" si="654"/>
        <v>0</v>
      </c>
      <c r="Q1013" s="552">
        <f t="shared" si="654"/>
        <v>0</v>
      </c>
      <c r="R1013" s="552">
        <f t="shared" si="654"/>
        <v>0</v>
      </c>
      <c r="S1013" s="552">
        <f t="shared" si="654"/>
        <v>0</v>
      </c>
      <c r="T1013" s="552">
        <f t="shared" si="654"/>
        <v>0</v>
      </c>
      <c r="U1013" s="552">
        <f t="shared" si="654"/>
        <v>2.73</v>
      </c>
      <c r="V1013" s="552">
        <f t="shared" si="654"/>
        <v>7.1</v>
      </c>
      <c r="W1013" s="552">
        <f t="shared" si="654"/>
        <v>0</v>
      </c>
      <c r="X1013" s="552">
        <f t="shared" si="654"/>
        <v>0</v>
      </c>
      <c r="Y1013" s="552">
        <f t="shared" si="654"/>
        <v>0</v>
      </c>
      <c r="Z1013" s="552">
        <f t="shared" si="654"/>
        <v>0</v>
      </c>
      <c r="AA1013" s="552">
        <f t="shared" si="654"/>
        <v>0</v>
      </c>
      <c r="AB1013" s="552">
        <f t="shared" si="654"/>
        <v>0</v>
      </c>
      <c r="AC1013" s="552">
        <f t="shared" si="654"/>
        <v>0</v>
      </c>
      <c r="AD1013" s="552">
        <f t="shared" si="654"/>
        <v>0</v>
      </c>
      <c r="AE1013" s="552">
        <f t="shared" si="654"/>
        <v>15.9</v>
      </c>
      <c r="AF1013" s="552">
        <f t="shared" si="654"/>
        <v>0</v>
      </c>
      <c r="AG1013" s="552">
        <f t="shared" si="654"/>
        <v>0</v>
      </c>
      <c r="AH1013" s="552">
        <f t="shared" si="654"/>
        <v>0</v>
      </c>
      <c r="AI1013" s="552">
        <f t="shared" si="654"/>
        <v>0</v>
      </c>
      <c r="AJ1013" s="552">
        <f t="shared" si="654"/>
        <v>0</v>
      </c>
      <c r="AK1013" s="552">
        <f t="shared" si="654"/>
        <v>0</v>
      </c>
      <c r="AL1013" s="552">
        <f t="shared" si="654"/>
        <v>0.6</v>
      </c>
      <c r="AM1013" s="552">
        <f t="shared" si="654"/>
        <v>0</v>
      </c>
      <c r="AN1013" s="552">
        <f t="shared" si="654"/>
        <v>0</v>
      </c>
      <c r="AO1013" s="552">
        <f t="shared" si="654"/>
        <v>0</v>
      </c>
      <c r="AP1013" s="552">
        <f t="shared" si="654"/>
        <v>0</v>
      </c>
      <c r="AQ1013" s="552">
        <f t="shared" si="654"/>
        <v>0</v>
      </c>
      <c r="AR1013" s="552">
        <f t="shared" si="654"/>
        <v>0</v>
      </c>
      <c r="AS1013" s="552">
        <f t="shared" si="654"/>
        <v>0</v>
      </c>
      <c r="AT1013" s="552">
        <f t="shared" si="654"/>
        <v>0</v>
      </c>
      <c r="AU1013" s="552">
        <f t="shared" si="654"/>
        <v>1.2</v>
      </c>
      <c r="AV1013" s="552">
        <f t="shared" si="654"/>
        <v>0</v>
      </c>
      <c r="AW1013" s="552">
        <f t="shared" si="654"/>
        <v>0</v>
      </c>
      <c r="AX1013" s="552">
        <f t="shared" si="654"/>
        <v>0</v>
      </c>
      <c r="AY1013" s="552">
        <f t="shared" si="654"/>
        <v>0</v>
      </c>
      <c r="AZ1013" s="552">
        <f t="shared" si="654"/>
        <v>0</v>
      </c>
      <c r="BA1013" s="552">
        <f t="shared" si="654"/>
        <v>0</v>
      </c>
      <c r="BB1013" s="552">
        <f t="shared" si="654"/>
        <v>0</v>
      </c>
      <c r="BC1013" s="552">
        <f t="shared" si="654"/>
        <v>0</v>
      </c>
      <c r="BD1013" s="552">
        <f t="shared" si="654"/>
        <v>0</v>
      </c>
      <c r="BE1013" s="552">
        <f t="shared" si="654"/>
        <v>0</v>
      </c>
      <c r="BF1013" s="552">
        <f t="shared" si="654"/>
        <v>0</v>
      </c>
      <c r="BG1013" s="552">
        <f t="shared" si="654"/>
        <v>0</v>
      </c>
      <c r="BH1013" s="552">
        <f t="shared" si="654"/>
        <v>0</v>
      </c>
      <c r="BI1013" s="552">
        <f t="shared" si="654"/>
        <v>0</v>
      </c>
      <c r="BJ1013" s="552">
        <f t="shared" si="654"/>
        <v>0</v>
      </c>
      <c r="BK1013" s="552">
        <f t="shared" si="654"/>
        <v>0</v>
      </c>
      <c r="BL1013" s="552">
        <f t="shared" si="654"/>
        <v>0</v>
      </c>
      <c r="BM1013" s="552">
        <f t="shared" si="654"/>
        <v>0</v>
      </c>
      <c r="BN1013" s="552">
        <f t="shared" si="654"/>
        <v>0</v>
      </c>
      <c r="BO1013" s="552">
        <f t="shared" si="654"/>
        <v>0</v>
      </c>
      <c r="BP1013" s="552">
        <f t="shared" si="654"/>
        <v>0</v>
      </c>
      <c r="BQ1013" s="552">
        <f t="shared" si="654"/>
        <v>0</v>
      </c>
      <c r="BR1013" s="552">
        <f t="shared" si="654"/>
        <v>0</v>
      </c>
      <c r="BS1013" s="552">
        <f t="shared" si="654"/>
        <v>0</v>
      </c>
      <c r="BT1013" s="552">
        <f t="shared" si="654"/>
        <v>0</v>
      </c>
      <c r="BU1013" s="552">
        <f t="shared" si="654"/>
        <v>0</v>
      </c>
      <c r="BV1013" s="552">
        <f t="shared" si="654"/>
        <v>0</v>
      </c>
      <c r="BW1013" s="552">
        <f t="shared" ref="BW1013:EH1013" si="655">BW47*BW$338</f>
        <v>0</v>
      </c>
      <c r="BX1013" s="552">
        <f t="shared" si="655"/>
        <v>0</v>
      </c>
      <c r="BY1013" s="552">
        <f t="shared" si="655"/>
        <v>0</v>
      </c>
      <c r="BZ1013" s="552">
        <f t="shared" si="655"/>
        <v>0</v>
      </c>
      <c r="CA1013" s="552">
        <f t="shared" si="655"/>
        <v>0</v>
      </c>
      <c r="CB1013" s="552">
        <f t="shared" si="655"/>
        <v>0</v>
      </c>
      <c r="CC1013" s="552">
        <f t="shared" si="655"/>
        <v>0</v>
      </c>
      <c r="CD1013" s="552">
        <f t="shared" si="655"/>
        <v>0</v>
      </c>
      <c r="CE1013" s="552">
        <f t="shared" si="655"/>
        <v>0</v>
      </c>
      <c r="CF1013" s="552">
        <f t="shared" si="655"/>
        <v>0</v>
      </c>
      <c r="CG1013" s="552">
        <f t="shared" si="655"/>
        <v>0</v>
      </c>
      <c r="CH1013" s="552">
        <f t="shared" si="655"/>
        <v>0</v>
      </c>
      <c r="CI1013" s="552">
        <f t="shared" si="655"/>
        <v>0</v>
      </c>
      <c r="CJ1013" s="552">
        <f t="shared" si="655"/>
        <v>0</v>
      </c>
      <c r="CK1013" s="552">
        <f t="shared" si="655"/>
        <v>0</v>
      </c>
      <c r="CL1013" s="552">
        <f t="shared" si="655"/>
        <v>0</v>
      </c>
      <c r="CM1013" s="552">
        <f t="shared" si="655"/>
        <v>0</v>
      </c>
      <c r="CN1013" s="552">
        <f t="shared" si="655"/>
        <v>0</v>
      </c>
      <c r="CO1013" s="552">
        <f t="shared" si="655"/>
        <v>0</v>
      </c>
      <c r="CP1013" s="552">
        <f t="shared" si="655"/>
        <v>0</v>
      </c>
      <c r="CQ1013" s="552">
        <f t="shared" si="655"/>
        <v>0</v>
      </c>
      <c r="CR1013" s="552">
        <f t="shared" si="655"/>
        <v>0</v>
      </c>
      <c r="CS1013" s="552">
        <f t="shared" si="655"/>
        <v>0</v>
      </c>
      <c r="CT1013" s="552">
        <f t="shared" si="655"/>
        <v>0</v>
      </c>
      <c r="CU1013" s="552">
        <f t="shared" si="655"/>
        <v>0</v>
      </c>
      <c r="CV1013" s="552">
        <f t="shared" si="655"/>
        <v>0</v>
      </c>
      <c r="CW1013" s="552">
        <f t="shared" si="655"/>
        <v>0</v>
      </c>
      <c r="CX1013" s="552">
        <f t="shared" si="655"/>
        <v>0</v>
      </c>
      <c r="CY1013" s="552">
        <f t="shared" si="655"/>
        <v>0</v>
      </c>
      <c r="CZ1013" s="552">
        <f t="shared" si="655"/>
        <v>0</v>
      </c>
      <c r="DA1013" s="552">
        <f t="shared" si="655"/>
        <v>0</v>
      </c>
      <c r="DB1013" s="552">
        <f t="shared" si="655"/>
        <v>0</v>
      </c>
      <c r="DC1013" s="552">
        <f t="shared" si="655"/>
        <v>0.03</v>
      </c>
      <c r="DD1013" s="552">
        <f t="shared" si="655"/>
        <v>0</v>
      </c>
      <c r="DE1013" s="552">
        <f t="shared" si="655"/>
        <v>0</v>
      </c>
      <c r="DF1013" s="552">
        <f t="shared" si="655"/>
        <v>0</v>
      </c>
      <c r="DG1013" s="552">
        <f t="shared" si="655"/>
        <v>0</v>
      </c>
      <c r="DH1013" s="552">
        <f t="shared" si="655"/>
        <v>0</v>
      </c>
      <c r="DI1013" s="552">
        <f t="shared" si="655"/>
        <v>0</v>
      </c>
      <c r="DJ1013" s="552">
        <f t="shared" si="655"/>
        <v>0</v>
      </c>
      <c r="DK1013" s="552">
        <f t="shared" si="655"/>
        <v>0</v>
      </c>
      <c r="DL1013" s="552">
        <f t="shared" si="655"/>
        <v>0</v>
      </c>
      <c r="DM1013" s="552">
        <f t="shared" si="655"/>
        <v>0</v>
      </c>
      <c r="DN1013" s="552">
        <f t="shared" si="655"/>
        <v>0</v>
      </c>
      <c r="DO1013" s="552">
        <f t="shared" si="655"/>
        <v>0</v>
      </c>
      <c r="DP1013" s="552">
        <f t="shared" si="655"/>
        <v>0</v>
      </c>
      <c r="DQ1013" s="552">
        <f t="shared" si="655"/>
        <v>0</v>
      </c>
      <c r="DR1013" s="552">
        <f t="shared" si="655"/>
        <v>0</v>
      </c>
      <c r="DS1013" s="552">
        <f t="shared" si="655"/>
        <v>0</v>
      </c>
      <c r="DT1013" s="552">
        <f t="shared" si="655"/>
        <v>0</v>
      </c>
      <c r="DU1013" s="552">
        <f t="shared" si="655"/>
        <v>0</v>
      </c>
      <c r="DV1013" s="552">
        <f t="shared" si="655"/>
        <v>0</v>
      </c>
      <c r="DW1013" s="552">
        <f t="shared" si="655"/>
        <v>0</v>
      </c>
      <c r="DX1013" s="552">
        <f t="shared" si="655"/>
        <v>0</v>
      </c>
      <c r="DY1013" s="552">
        <f t="shared" si="655"/>
        <v>0</v>
      </c>
      <c r="DZ1013" s="552">
        <f t="shared" si="655"/>
        <v>0</v>
      </c>
      <c r="EA1013" s="552">
        <f t="shared" si="655"/>
        <v>0</v>
      </c>
      <c r="EB1013" s="552">
        <f t="shared" si="655"/>
        <v>0</v>
      </c>
      <c r="EC1013" s="552">
        <f t="shared" si="655"/>
        <v>0</v>
      </c>
      <c r="ED1013" s="552">
        <f t="shared" si="655"/>
        <v>0</v>
      </c>
      <c r="EE1013" s="552">
        <f t="shared" si="655"/>
        <v>0</v>
      </c>
      <c r="EF1013" s="552">
        <f t="shared" si="655"/>
        <v>0</v>
      </c>
      <c r="EG1013" s="552">
        <f t="shared" si="655"/>
        <v>0</v>
      </c>
      <c r="EH1013" s="552">
        <f t="shared" si="655"/>
        <v>0</v>
      </c>
      <c r="EI1013" s="552">
        <f t="shared" ref="EI1013:EX1013" si="656">EI47*EI$338</f>
        <v>0</v>
      </c>
      <c r="EJ1013" s="552">
        <f t="shared" si="656"/>
        <v>0</v>
      </c>
      <c r="EK1013" s="552">
        <f t="shared" si="656"/>
        <v>0</v>
      </c>
      <c r="EL1013" s="552">
        <f t="shared" si="656"/>
        <v>0</v>
      </c>
      <c r="EM1013" s="552">
        <f t="shared" si="656"/>
        <v>0</v>
      </c>
      <c r="EN1013" s="552">
        <f t="shared" si="656"/>
        <v>0</v>
      </c>
      <c r="EO1013" s="552">
        <f t="shared" si="656"/>
        <v>0</v>
      </c>
      <c r="EP1013" s="552">
        <f t="shared" si="656"/>
        <v>0</v>
      </c>
      <c r="EQ1013" s="552">
        <f t="shared" si="656"/>
        <v>0</v>
      </c>
      <c r="ER1013" s="552">
        <f t="shared" si="656"/>
        <v>0</v>
      </c>
      <c r="ES1013" s="552">
        <f t="shared" si="656"/>
        <v>0</v>
      </c>
      <c r="ET1013" s="552">
        <f t="shared" si="656"/>
        <v>0</v>
      </c>
      <c r="EU1013" s="552">
        <f t="shared" si="656"/>
        <v>0</v>
      </c>
      <c r="EV1013" s="552">
        <f t="shared" si="656"/>
        <v>0</v>
      </c>
      <c r="EW1013" s="552">
        <f t="shared" si="656"/>
        <v>0</v>
      </c>
      <c r="EX1013" s="552">
        <f t="shared" si="656"/>
        <v>0</v>
      </c>
      <c r="EY1013" s="799">
        <f t="shared" si="527"/>
        <v>27.56</v>
      </c>
      <c r="EZ1013" s="640"/>
      <c r="FA1013" s="640"/>
      <c r="FB1013" s="640"/>
      <c r="FC1013" s="640"/>
      <c r="FD1013" s="640"/>
      <c r="FE1013" s="640"/>
      <c r="FF1013" s="640"/>
      <c r="FG1013" s="640"/>
      <c r="FH1013" s="640"/>
      <c r="FI1013" s="640"/>
      <c r="FJ1013" s="640"/>
      <c r="FK1013" s="640"/>
      <c r="FL1013" s="640"/>
    </row>
    <row r="1014" spans="1:168" x14ac:dyDescent="0.25">
      <c r="A1014" s="1492"/>
      <c r="B1014" s="624" t="str">
        <f t="shared" si="650"/>
        <v>Зеленый горошек консервированный</v>
      </c>
      <c r="C1014" s="624">
        <f t="shared" ref="C1014:D1021" si="657">C48</f>
        <v>25</v>
      </c>
      <c r="D1014" s="624">
        <f t="shared" si="657"/>
        <v>0.75</v>
      </c>
      <c r="E1014" s="1158">
        <f t="shared" si="652"/>
        <v>3.15</v>
      </c>
      <c r="F1014" s="1158"/>
      <c r="G1014" s="1140"/>
      <c r="H1014" s="1140"/>
      <c r="I1014" s="552"/>
      <c r="J1014" s="552">
        <f t="shared" si="653"/>
        <v>0</v>
      </c>
      <c r="K1014" s="552">
        <f t="shared" ref="K1014:BV1014" si="658">K48*K$338</f>
        <v>0</v>
      </c>
      <c r="L1014" s="552">
        <f t="shared" si="658"/>
        <v>0</v>
      </c>
      <c r="M1014" s="552">
        <f t="shared" si="658"/>
        <v>0</v>
      </c>
      <c r="N1014" s="552">
        <f t="shared" si="658"/>
        <v>0</v>
      </c>
      <c r="O1014" s="552">
        <f t="shared" si="658"/>
        <v>0</v>
      </c>
      <c r="P1014" s="552">
        <f t="shared" si="658"/>
        <v>0</v>
      </c>
      <c r="Q1014" s="552">
        <f t="shared" si="658"/>
        <v>0</v>
      </c>
      <c r="R1014" s="552">
        <f t="shared" si="658"/>
        <v>0</v>
      </c>
      <c r="S1014" s="552">
        <f t="shared" si="658"/>
        <v>0</v>
      </c>
      <c r="T1014" s="552">
        <f t="shared" si="658"/>
        <v>0</v>
      </c>
      <c r="U1014" s="552">
        <f t="shared" si="658"/>
        <v>0</v>
      </c>
      <c r="V1014" s="552">
        <f t="shared" si="658"/>
        <v>0</v>
      </c>
      <c r="W1014" s="552">
        <f t="shared" si="658"/>
        <v>0</v>
      </c>
      <c r="X1014" s="552">
        <f t="shared" si="658"/>
        <v>0</v>
      </c>
      <c r="Y1014" s="552">
        <f t="shared" si="658"/>
        <v>0</v>
      </c>
      <c r="Z1014" s="552">
        <f t="shared" si="658"/>
        <v>0</v>
      </c>
      <c r="AA1014" s="552">
        <f t="shared" si="658"/>
        <v>0</v>
      </c>
      <c r="AB1014" s="552">
        <f t="shared" si="658"/>
        <v>0</v>
      </c>
      <c r="AC1014" s="552">
        <f t="shared" si="658"/>
        <v>0</v>
      </c>
      <c r="AD1014" s="552">
        <f t="shared" si="658"/>
        <v>0</v>
      </c>
      <c r="AE1014" s="552">
        <f t="shared" si="658"/>
        <v>0</v>
      </c>
      <c r="AF1014" s="552">
        <f t="shared" si="658"/>
        <v>0</v>
      </c>
      <c r="AG1014" s="552">
        <f t="shared" si="658"/>
        <v>0</v>
      </c>
      <c r="AH1014" s="552">
        <f t="shared" si="658"/>
        <v>0</v>
      </c>
      <c r="AI1014" s="552">
        <f t="shared" si="658"/>
        <v>0</v>
      </c>
      <c r="AJ1014" s="552">
        <f t="shared" si="658"/>
        <v>0</v>
      </c>
      <c r="AK1014" s="552">
        <f t="shared" si="658"/>
        <v>0</v>
      </c>
      <c r="AL1014" s="552">
        <f t="shared" si="658"/>
        <v>0</v>
      </c>
      <c r="AM1014" s="552">
        <f t="shared" si="658"/>
        <v>0</v>
      </c>
      <c r="AN1014" s="552">
        <f t="shared" si="658"/>
        <v>0</v>
      </c>
      <c r="AO1014" s="552">
        <f t="shared" si="658"/>
        <v>0</v>
      </c>
      <c r="AP1014" s="552">
        <f t="shared" si="658"/>
        <v>0</v>
      </c>
      <c r="AQ1014" s="552">
        <f t="shared" si="658"/>
        <v>0</v>
      </c>
      <c r="AR1014" s="552">
        <f t="shared" si="658"/>
        <v>0</v>
      </c>
      <c r="AS1014" s="552">
        <f t="shared" si="658"/>
        <v>0</v>
      </c>
      <c r="AT1014" s="552">
        <f t="shared" si="658"/>
        <v>0</v>
      </c>
      <c r="AU1014" s="552">
        <f t="shared" si="658"/>
        <v>0</v>
      </c>
      <c r="AV1014" s="552">
        <f t="shared" si="658"/>
        <v>0</v>
      </c>
      <c r="AW1014" s="552">
        <f t="shared" si="658"/>
        <v>0</v>
      </c>
      <c r="AX1014" s="552">
        <f t="shared" si="658"/>
        <v>0</v>
      </c>
      <c r="AY1014" s="552">
        <f t="shared" si="658"/>
        <v>0</v>
      </c>
      <c r="AZ1014" s="552">
        <f t="shared" si="658"/>
        <v>0</v>
      </c>
      <c r="BA1014" s="552">
        <f t="shared" si="658"/>
        <v>0</v>
      </c>
      <c r="BB1014" s="552">
        <f t="shared" si="658"/>
        <v>0</v>
      </c>
      <c r="BC1014" s="552">
        <f t="shared" si="658"/>
        <v>0</v>
      </c>
      <c r="BD1014" s="552">
        <f t="shared" si="658"/>
        <v>0</v>
      </c>
      <c r="BE1014" s="552">
        <f t="shared" si="658"/>
        <v>0</v>
      </c>
      <c r="BF1014" s="552">
        <f t="shared" si="658"/>
        <v>0</v>
      </c>
      <c r="BG1014" s="552">
        <f t="shared" si="658"/>
        <v>0</v>
      </c>
      <c r="BH1014" s="552">
        <f t="shared" si="658"/>
        <v>0</v>
      </c>
      <c r="BI1014" s="552">
        <f t="shared" si="658"/>
        <v>0</v>
      </c>
      <c r="BJ1014" s="552">
        <f t="shared" si="658"/>
        <v>0</v>
      </c>
      <c r="BK1014" s="552">
        <f t="shared" si="658"/>
        <v>0</v>
      </c>
      <c r="BL1014" s="552">
        <f t="shared" si="658"/>
        <v>0</v>
      </c>
      <c r="BM1014" s="552">
        <f t="shared" si="658"/>
        <v>0</v>
      </c>
      <c r="BN1014" s="552">
        <f t="shared" si="658"/>
        <v>0</v>
      </c>
      <c r="BO1014" s="552">
        <f t="shared" si="658"/>
        <v>0</v>
      </c>
      <c r="BP1014" s="552">
        <f t="shared" si="658"/>
        <v>0</v>
      </c>
      <c r="BQ1014" s="552">
        <f t="shared" si="658"/>
        <v>0</v>
      </c>
      <c r="BR1014" s="552">
        <f t="shared" si="658"/>
        <v>0</v>
      </c>
      <c r="BS1014" s="552">
        <f t="shared" si="658"/>
        <v>0</v>
      </c>
      <c r="BT1014" s="552">
        <f t="shared" si="658"/>
        <v>0</v>
      </c>
      <c r="BU1014" s="552">
        <f t="shared" si="658"/>
        <v>0</v>
      </c>
      <c r="BV1014" s="552">
        <f t="shared" si="658"/>
        <v>0</v>
      </c>
      <c r="BW1014" s="552">
        <f t="shared" ref="BW1014:EH1014" si="659">BW48*BW$338</f>
        <v>0</v>
      </c>
      <c r="BX1014" s="552">
        <f t="shared" si="659"/>
        <v>0</v>
      </c>
      <c r="BY1014" s="552">
        <f t="shared" si="659"/>
        <v>0</v>
      </c>
      <c r="BZ1014" s="552">
        <f t="shared" si="659"/>
        <v>0</v>
      </c>
      <c r="CA1014" s="552">
        <f t="shared" si="659"/>
        <v>0</v>
      </c>
      <c r="CB1014" s="552">
        <f t="shared" si="659"/>
        <v>0</v>
      </c>
      <c r="CC1014" s="552">
        <f t="shared" si="659"/>
        <v>0</v>
      </c>
      <c r="CD1014" s="552">
        <f t="shared" si="659"/>
        <v>0</v>
      </c>
      <c r="CE1014" s="552">
        <f t="shared" si="659"/>
        <v>0</v>
      </c>
      <c r="CF1014" s="552">
        <f t="shared" si="659"/>
        <v>0</v>
      </c>
      <c r="CG1014" s="552">
        <f t="shared" si="659"/>
        <v>0</v>
      </c>
      <c r="CH1014" s="552">
        <f t="shared" si="659"/>
        <v>0</v>
      </c>
      <c r="CI1014" s="552">
        <f t="shared" si="659"/>
        <v>0</v>
      </c>
      <c r="CJ1014" s="552">
        <f t="shared" si="659"/>
        <v>0</v>
      </c>
      <c r="CK1014" s="552">
        <f t="shared" si="659"/>
        <v>0</v>
      </c>
      <c r="CL1014" s="552">
        <f t="shared" si="659"/>
        <v>0</v>
      </c>
      <c r="CM1014" s="552">
        <f t="shared" si="659"/>
        <v>0</v>
      </c>
      <c r="CN1014" s="552">
        <f t="shared" si="659"/>
        <v>0</v>
      </c>
      <c r="CO1014" s="552">
        <f t="shared" si="659"/>
        <v>0</v>
      </c>
      <c r="CP1014" s="552">
        <f t="shared" si="659"/>
        <v>0</v>
      </c>
      <c r="CQ1014" s="552">
        <f t="shared" si="659"/>
        <v>0</v>
      </c>
      <c r="CR1014" s="552">
        <f t="shared" si="659"/>
        <v>0</v>
      </c>
      <c r="CS1014" s="552">
        <f t="shared" si="659"/>
        <v>0</v>
      </c>
      <c r="CT1014" s="552">
        <f t="shared" si="659"/>
        <v>0</v>
      </c>
      <c r="CU1014" s="552">
        <f t="shared" si="659"/>
        <v>0</v>
      </c>
      <c r="CV1014" s="552">
        <f t="shared" si="659"/>
        <v>0</v>
      </c>
      <c r="CW1014" s="552">
        <f t="shared" si="659"/>
        <v>0</v>
      </c>
      <c r="CX1014" s="552">
        <f t="shared" si="659"/>
        <v>0</v>
      </c>
      <c r="CY1014" s="552">
        <f t="shared" si="659"/>
        <v>0</v>
      </c>
      <c r="CZ1014" s="552">
        <f t="shared" si="659"/>
        <v>0</v>
      </c>
      <c r="DA1014" s="552">
        <f t="shared" si="659"/>
        <v>0</v>
      </c>
      <c r="DB1014" s="552">
        <f t="shared" si="659"/>
        <v>0</v>
      </c>
      <c r="DC1014" s="552">
        <f t="shared" si="659"/>
        <v>0</v>
      </c>
      <c r="DD1014" s="552">
        <f t="shared" si="659"/>
        <v>0</v>
      </c>
      <c r="DE1014" s="552">
        <f t="shared" si="659"/>
        <v>0</v>
      </c>
      <c r="DF1014" s="552">
        <f t="shared" si="659"/>
        <v>0</v>
      </c>
      <c r="DG1014" s="552">
        <f t="shared" si="659"/>
        <v>0</v>
      </c>
      <c r="DH1014" s="552">
        <f t="shared" si="659"/>
        <v>0</v>
      </c>
      <c r="DI1014" s="552">
        <f t="shared" si="659"/>
        <v>0</v>
      </c>
      <c r="DJ1014" s="552">
        <f t="shared" si="659"/>
        <v>0</v>
      </c>
      <c r="DK1014" s="552">
        <f t="shared" si="659"/>
        <v>0</v>
      </c>
      <c r="DL1014" s="552">
        <f t="shared" si="659"/>
        <v>0</v>
      </c>
      <c r="DM1014" s="552">
        <f t="shared" si="659"/>
        <v>0</v>
      </c>
      <c r="DN1014" s="552">
        <f t="shared" si="659"/>
        <v>0</v>
      </c>
      <c r="DO1014" s="552">
        <f t="shared" si="659"/>
        <v>0</v>
      </c>
      <c r="DP1014" s="552">
        <f t="shared" si="659"/>
        <v>0</v>
      </c>
      <c r="DQ1014" s="552">
        <f t="shared" si="659"/>
        <v>0</v>
      </c>
      <c r="DR1014" s="552">
        <f t="shared" si="659"/>
        <v>0</v>
      </c>
      <c r="DS1014" s="552">
        <f t="shared" si="659"/>
        <v>0</v>
      </c>
      <c r="DT1014" s="552">
        <f t="shared" si="659"/>
        <v>0</v>
      </c>
      <c r="DU1014" s="552">
        <f t="shared" si="659"/>
        <v>3.15</v>
      </c>
      <c r="DV1014" s="552">
        <f t="shared" si="659"/>
        <v>0</v>
      </c>
      <c r="DW1014" s="552">
        <f t="shared" si="659"/>
        <v>0</v>
      </c>
      <c r="DX1014" s="552">
        <f t="shared" si="659"/>
        <v>0</v>
      </c>
      <c r="DY1014" s="552">
        <f t="shared" si="659"/>
        <v>0</v>
      </c>
      <c r="DZ1014" s="552">
        <f t="shared" si="659"/>
        <v>0</v>
      </c>
      <c r="EA1014" s="552">
        <f t="shared" si="659"/>
        <v>0</v>
      </c>
      <c r="EB1014" s="552">
        <f t="shared" si="659"/>
        <v>0</v>
      </c>
      <c r="EC1014" s="552">
        <f t="shared" si="659"/>
        <v>0</v>
      </c>
      <c r="ED1014" s="552">
        <f t="shared" si="659"/>
        <v>0</v>
      </c>
      <c r="EE1014" s="552">
        <f t="shared" si="659"/>
        <v>0</v>
      </c>
      <c r="EF1014" s="552">
        <f t="shared" si="659"/>
        <v>0</v>
      </c>
      <c r="EG1014" s="552">
        <f t="shared" si="659"/>
        <v>0</v>
      </c>
      <c r="EH1014" s="552">
        <f t="shared" si="659"/>
        <v>0</v>
      </c>
      <c r="EI1014" s="552">
        <f t="shared" ref="EI1014:EX1014" si="660">EI48*EI$338</f>
        <v>0</v>
      </c>
      <c r="EJ1014" s="552">
        <f t="shared" si="660"/>
        <v>0</v>
      </c>
      <c r="EK1014" s="552">
        <f t="shared" si="660"/>
        <v>0</v>
      </c>
      <c r="EL1014" s="552">
        <f t="shared" si="660"/>
        <v>0</v>
      </c>
      <c r="EM1014" s="552">
        <f t="shared" si="660"/>
        <v>0</v>
      </c>
      <c r="EN1014" s="552">
        <f t="shared" si="660"/>
        <v>0</v>
      </c>
      <c r="EO1014" s="552">
        <f t="shared" si="660"/>
        <v>0</v>
      </c>
      <c r="EP1014" s="552">
        <f t="shared" si="660"/>
        <v>0</v>
      </c>
      <c r="EQ1014" s="552">
        <f t="shared" si="660"/>
        <v>0</v>
      </c>
      <c r="ER1014" s="552">
        <f t="shared" si="660"/>
        <v>0</v>
      </c>
      <c r="ES1014" s="552">
        <f t="shared" si="660"/>
        <v>0</v>
      </c>
      <c r="ET1014" s="552">
        <f t="shared" si="660"/>
        <v>0</v>
      </c>
      <c r="EU1014" s="552">
        <f t="shared" si="660"/>
        <v>0</v>
      </c>
      <c r="EV1014" s="552">
        <f t="shared" si="660"/>
        <v>0</v>
      </c>
      <c r="EW1014" s="552">
        <f t="shared" si="660"/>
        <v>0</v>
      </c>
      <c r="EX1014" s="552">
        <f t="shared" si="660"/>
        <v>0</v>
      </c>
      <c r="EY1014" s="799">
        <f t="shared" si="527"/>
        <v>3.15</v>
      </c>
      <c r="EZ1014" s="640"/>
      <c r="FA1014" s="640"/>
      <c r="FB1014" s="640"/>
      <c r="FC1014" s="640"/>
      <c r="FD1014" s="640"/>
      <c r="FE1014" s="640"/>
      <c r="FF1014" s="640"/>
      <c r="FG1014" s="640"/>
      <c r="FH1014" s="640"/>
      <c r="FI1014" s="640"/>
      <c r="FJ1014" s="640"/>
      <c r="FK1014" s="640"/>
      <c r="FL1014" s="640"/>
    </row>
    <row r="1015" spans="1:168" x14ac:dyDescent="0.25">
      <c r="A1015" s="1492"/>
      <c r="B1015" s="624" t="str">
        <f t="shared" si="650"/>
        <v>Чай с сахаром</v>
      </c>
      <c r="C1015" s="624">
        <f t="shared" si="657"/>
        <v>200</v>
      </c>
      <c r="D1015" s="624">
        <f t="shared" si="657"/>
        <v>7.0000000000000007E-2</v>
      </c>
      <c r="E1015" s="1158">
        <f t="shared" si="652"/>
        <v>1.59</v>
      </c>
      <c r="F1015" s="1158"/>
      <c r="G1015" s="1140"/>
      <c r="H1015" s="1140"/>
      <c r="I1015" s="552"/>
      <c r="J1015" s="552">
        <f t="shared" si="653"/>
        <v>0</v>
      </c>
      <c r="K1015" s="552">
        <f t="shared" ref="K1015:BV1015" si="661">K49*K$338</f>
        <v>0</v>
      </c>
      <c r="L1015" s="552">
        <f t="shared" si="661"/>
        <v>0</v>
      </c>
      <c r="M1015" s="552">
        <f t="shared" si="661"/>
        <v>0</v>
      </c>
      <c r="N1015" s="552">
        <f t="shared" si="661"/>
        <v>0</v>
      </c>
      <c r="O1015" s="552">
        <f t="shared" si="661"/>
        <v>0</v>
      </c>
      <c r="P1015" s="552">
        <f t="shared" si="661"/>
        <v>0</v>
      </c>
      <c r="Q1015" s="552">
        <f t="shared" si="661"/>
        <v>0</v>
      </c>
      <c r="R1015" s="552">
        <f t="shared" si="661"/>
        <v>0</v>
      </c>
      <c r="S1015" s="552">
        <f t="shared" si="661"/>
        <v>0</v>
      </c>
      <c r="T1015" s="552">
        <f t="shared" si="661"/>
        <v>0</v>
      </c>
      <c r="U1015" s="552">
        <f t="shared" si="661"/>
        <v>0</v>
      </c>
      <c r="V1015" s="552">
        <f t="shared" si="661"/>
        <v>0</v>
      </c>
      <c r="W1015" s="552">
        <f t="shared" si="661"/>
        <v>0</v>
      </c>
      <c r="X1015" s="552">
        <f t="shared" si="661"/>
        <v>0</v>
      </c>
      <c r="Y1015" s="552">
        <f t="shared" si="661"/>
        <v>0</v>
      </c>
      <c r="Z1015" s="552">
        <f t="shared" si="661"/>
        <v>0</v>
      </c>
      <c r="AA1015" s="552">
        <f t="shared" si="661"/>
        <v>0</v>
      </c>
      <c r="AB1015" s="552">
        <f t="shared" si="661"/>
        <v>0</v>
      </c>
      <c r="AC1015" s="552">
        <f t="shared" si="661"/>
        <v>0</v>
      </c>
      <c r="AD1015" s="552">
        <f t="shared" si="661"/>
        <v>0</v>
      </c>
      <c r="AE1015" s="552">
        <f t="shared" si="661"/>
        <v>0</v>
      </c>
      <c r="AF1015" s="552">
        <f t="shared" si="661"/>
        <v>0</v>
      </c>
      <c r="AG1015" s="552">
        <f t="shared" si="661"/>
        <v>0</v>
      </c>
      <c r="AH1015" s="552">
        <f t="shared" si="661"/>
        <v>0</v>
      </c>
      <c r="AI1015" s="552">
        <f t="shared" si="661"/>
        <v>0</v>
      </c>
      <c r="AJ1015" s="552">
        <f t="shared" si="661"/>
        <v>0</v>
      </c>
      <c r="AK1015" s="552">
        <f t="shared" si="661"/>
        <v>0</v>
      </c>
      <c r="AL1015" s="552">
        <f t="shared" si="661"/>
        <v>0</v>
      </c>
      <c r="AM1015" s="552">
        <f t="shared" si="661"/>
        <v>0</v>
      </c>
      <c r="AN1015" s="552">
        <f t="shared" si="661"/>
        <v>0</v>
      </c>
      <c r="AO1015" s="552">
        <f t="shared" si="661"/>
        <v>0</v>
      </c>
      <c r="AP1015" s="552">
        <f t="shared" si="661"/>
        <v>0</v>
      </c>
      <c r="AQ1015" s="552">
        <f t="shared" si="661"/>
        <v>0</v>
      </c>
      <c r="AR1015" s="552">
        <f t="shared" si="661"/>
        <v>0</v>
      </c>
      <c r="AS1015" s="552">
        <f t="shared" si="661"/>
        <v>0</v>
      </c>
      <c r="AT1015" s="552">
        <f t="shared" si="661"/>
        <v>0</v>
      </c>
      <c r="AU1015" s="552">
        <f t="shared" si="661"/>
        <v>0</v>
      </c>
      <c r="AV1015" s="552">
        <f t="shared" si="661"/>
        <v>0</v>
      </c>
      <c r="AW1015" s="552">
        <f t="shared" si="661"/>
        <v>0</v>
      </c>
      <c r="AX1015" s="552">
        <f t="shared" si="661"/>
        <v>0</v>
      </c>
      <c r="AY1015" s="552">
        <f t="shared" si="661"/>
        <v>0</v>
      </c>
      <c r="AZ1015" s="552">
        <f t="shared" si="661"/>
        <v>0</v>
      </c>
      <c r="BA1015" s="552">
        <f t="shared" si="661"/>
        <v>0</v>
      </c>
      <c r="BB1015" s="552">
        <f t="shared" si="661"/>
        <v>0</v>
      </c>
      <c r="BC1015" s="552">
        <f t="shared" si="661"/>
        <v>0</v>
      </c>
      <c r="BD1015" s="552">
        <f t="shared" si="661"/>
        <v>0</v>
      </c>
      <c r="BE1015" s="552">
        <f t="shared" si="661"/>
        <v>0</v>
      </c>
      <c r="BF1015" s="552">
        <f t="shared" si="661"/>
        <v>0</v>
      </c>
      <c r="BG1015" s="552">
        <f t="shared" si="661"/>
        <v>0</v>
      </c>
      <c r="BH1015" s="552">
        <f t="shared" si="661"/>
        <v>0</v>
      </c>
      <c r="BI1015" s="552">
        <f t="shared" si="661"/>
        <v>0</v>
      </c>
      <c r="BJ1015" s="552">
        <f t="shared" si="661"/>
        <v>0</v>
      </c>
      <c r="BK1015" s="552">
        <f t="shared" si="661"/>
        <v>0</v>
      </c>
      <c r="BL1015" s="552">
        <f t="shared" si="661"/>
        <v>0</v>
      </c>
      <c r="BM1015" s="552">
        <f t="shared" si="661"/>
        <v>0</v>
      </c>
      <c r="BN1015" s="552">
        <f t="shared" si="661"/>
        <v>0</v>
      </c>
      <c r="BO1015" s="552">
        <f t="shared" si="661"/>
        <v>0</v>
      </c>
      <c r="BP1015" s="552">
        <f t="shared" si="661"/>
        <v>0</v>
      </c>
      <c r="BQ1015" s="552">
        <f t="shared" si="661"/>
        <v>0</v>
      </c>
      <c r="BR1015" s="552">
        <f t="shared" si="661"/>
        <v>0</v>
      </c>
      <c r="BS1015" s="552">
        <f t="shared" si="661"/>
        <v>0</v>
      </c>
      <c r="BT1015" s="552">
        <f t="shared" si="661"/>
        <v>0</v>
      </c>
      <c r="BU1015" s="552">
        <f t="shared" si="661"/>
        <v>0</v>
      </c>
      <c r="BV1015" s="552">
        <f t="shared" si="661"/>
        <v>0</v>
      </c>
      <c r="BW1015" s="552">
        <f t="shared" ref="BW1015:EH1015" si="662">BW49*BW$338</f>
        <v>0</v>
      </c>
      <c r="BX1015" s="552">
        <f t="shared" si="662"/>
        <v>0</v>
      </c>
      <c r="BY1015" s="552">
        <f t="shared" si="662"/>
        <v>0</v>
      </c>
      <c r="BZ1015" s="552">
        <f t="shared" si="662"/>
        <v>0</v>
      </c>
      <c r="CA1015" s="552">
        <f t="shared" si="662"/>
        <v>0</v>
      </c>
      <c r="CB1015" s="552">
        <f t="shared" si="662"/>
        <v>0</v>
      </c>
      <c r="CC1015" s="552">
        <f t="shared" si="662"/>
        <v>0</v>
      </c>
      <c r="CD1015" s="552">
        <f t="shared" si="662"/>
        <v>0</v>
      </c>
      <c r="CE1015" s="552">
        <f t="shared" si="662"/>
        <v>0</v>
      </c>
      <c r="CF1015" s="552">
        <f t="shared" si="662"/>
        <v>0</v>
      </c>
      <c r="CG1015" s="552">
        <f t="shared" si="662"/>
        <v>0</v>
      </c>
      <c r="CH1015" s="552">
        <f t="shared" si="662"/>
        <v>0</v>
      </c>
      <c r="CI1015" s="552">
        <f t="shared" si="662"/>
        <v>0</v>
      </c>
      <c r="CJ1015" s="552">
        <f t="shared" si="662"/>
        <v>0</v>
      </c>
      <c r="CK1015" s="552">
        <f t="shared" si="662"/>
        <v>0</v>
      </c>
      <c r="CL1015" s="552">
        <f t="shared" si="662"/>
        <v>0</v>
      </c>
      <c r="CM1015" s="552">
        <f t="shared" si="662"/>
        <v>0</v>
      </c>
      <c r="CN1015" s="552">
        <f t="shared" si="662"/>
        <v>0</v>
      </c>
      <c r="CO1015" s="552">
        <f t="shared" si="662"/>
        <v>0</v>
      </c>
      <c r="CP1015" s="552">
        <f t="shared" si="662"/>
        <v>0</v>
      </c>
      <c r="CQ1015" s="552">
        <f t="shared" si="662"/>
        <v>0</v>
      </c>
      <c r="CR1015" s="552">
        <f t="shared" si="662"/>
        <v>0</v>
      </c>
      <c r="CS1015" s="552">
        <f t="shared" si="662"/>
        <v>0</v>
      </c>
      <c r="CT1015" s="552">
        <f t="shared" si="662"/>
        <v>0</v>
      </c>
      <c r="CU1015" s="552">
        <f t="shared" si="662"/>
        <v>0</v>
      </c>
      <c r="CV1015" s="552">
        <f t="shared" si="662"/>
        <v>0</v>
      </c>
      <c r="CW1015" s="552">
        <f t="shared" si="662"/>
        <v>0</v>
      </c>
      <c r="CX1015" s="552">
        <f t="shared" si="662"/>
        <v>0</v>
      </c>
      <c r="CY1015" s="552">
        <f t="shared" si="662"/>
        <v>0</v>
      </c>
      <c r="CZ1015" s="552">
        <f t="shared" si="662"/>
        <v>1.1399999999999999</v>
      </c>
      <c r="DA1015" s="552">
        <f t="shared" si="662"/>
        <v>0</v>
      </c>
      <c r="DB1015" s="552">
        <f t="shared" si="662"/>
        <v>0</v>
      </c>
      <c r="DC1015" s="552">
        <f t="shared" si="662"/>
        <v>0</v>
      </c>
      <c r="DD1015" s="552">
        <f t="shared" si="662"/>
        <v>0</v>
      </c>
      <c r="DE1015" s="552">
        <f t="shared" si="662"/>
        <v>0</v>
      </c>
      <c r="DF1015" s="552">
        <f t="shared" si="662"/>
        <v>0</v>
      </c>
      <c r="DG1015" s="552">
        <f t="shared" si="662"/>
        <v>0</v>
      </c>
      <c r="DH1015" s="552">
        <f t="shared" si="662"/>
        <v>0</v>
      </c>
      <c r="DI1015" s="552">
        <f t="shared" si="662"/>
        <v>0</v>
      </c>
      <c r="DJ1015" s="552">
        <f t="shared" si="662"/>
        <v>0</v>
      </c>
      <c r="DK1015" s="552">
        <f t="shared" si="662"/>
        <v>0</v>
      </c>
      <c r="DL1015" s="552">
        <f t="shared" si="662"/>
        <v>0</v>
      </c>
      <c r="DM1015" s="552">
        <f t="shared" si="662"/>
        <v>0</v>
      </c>
      <c r="DN1015" s="552">
        <f t="shared" si="662"/>
        <v>0</v>
      </c>
      <c r="DO1015" s="552">
        <f t="shared" si="662"/>
        <v>0</v>
      </c>
      <c r="DP1015" s="552">
        <f t="shared" si="662"/>
        <v>0</v>
      </c>
      <c r="DQ1015" s="552">
        <f t="shared" si="662"/>
        <v>0</v>
      </c>
      <c r="DR1015" s="552">
        <f t="shared" si="662"/>
        <v>0.45</v>
      </c>
      <c r="DS1015" s="552">
        <f t="shared" si="662"/>
        <v>0</v>
      </c>
      <c r="DT1015" s="552">
        <f t="shared" si="662"/>
        <v>0</v>
      </c>
      <c r="DU1015" s="552">
        <f t="shared" si="662"/>
        <v>0</v>
      </c>
      <c r="DV1015" s="552">
        <f t="shared" si="662"/>
        <v>0</v>
      </c>
      <c r="DW1015" s="552">
        <f t="shared" si="662"/>
        <v>0</v>
      </c>
      <c r="DX1015" s="552">
        <f t="shared" si="662"/>
        <v>0</v>
      </c>
      <c r="DY1015" s="552">
        <f t="shared" si="662"/>
        <v>0</v>
      </c>
      <c r="DZ1015" s="552">
        <f t="shared" si="662"/>
        <v>0</v>
      </c>
      <c r="EA1015" s="552">
        <f t="shared" si="662"/>
        <v>0</v>
      </c>
      <c r="EB1015" s="552">
        <f t="shared" si="662"/>
        <v>0</v>
      </c>
      <c r="EC1015" s="552">
        <f t="shared" si="662"/>
        <v>0</v>
      </c>
      <c r="ED1015" s="552">
        <f t="shared" si="662"/>
        <v>0</v>
      </c>
      <c r="EE1015" s="552">
        <f t="shared" si="662"/>
        <v>0</v>
      </c>
      <c r="EF1015" s="552">
        <f t="shared" si="662"/>
        <v>0</v>
      </c>
      <c r="EG1015" s="552">
        <f t="shared" si="662"/>
        <v>0</v>
      </c>
      <c r="EH1015" s="552">
        <f t="shared" si="662"/>
        <v>0</v>
      </c>
      <c r="EI1015" s="552">
        <f t="shared" ref="EI1015:EX1015" si="663">EI49*EI$338</f>
        <v>0</v>
      </c>
      <c r="EJ1015" s="552">
        <f t="shared" si="663"/>
        <v>0</v>
      </c>
      <c r="EK1015" s="552">
        <f t="shared" si="663"/>
        <v>0</v>
      </c>
      <c r="EL1015" s="552">
        <f t="shared" si="663"/>
        <v>0</v>
      </c>
      <c r="EM1015" s="552">
        <f t="shared" si="663"/>
        <v>0</v>
      </c>
      <c r="EN1015" s="552">
        <f t="shared" si="663"/>
        <v>0</v>
      </c>
      <c r="EO1015" s="552">
        <f t="shared" si="663"/>
        <v>0</v>
      </c>
      <c r="EP1015" s="552">
        <f t="shared" si="663"/>
        <v>0</v>
      </c>
      <c r="EQ1015" s="552">
        <f t="shared" si="663"/>
        <v>0</v>
      </c>
      <c r="ER1015" s="552">
        <f t="shared" si="663"/>
        <v>0</v>
      </c>
      <c r="ES1015" s="552">
        <f t="shared" si="663"/>
        <v>0</v>
      </c>
      <c r="ET1015" s="552">
        <f t="shared" si="663"/>
        <v>0</v>
      </c>
      <c r="EU1015" s="552">
        <f t="shared" si="663"/>
        <v>0</v>
      </c>
      <c r="EV1015" s="552">
        <f t="shared" si="663"/>
        <v>0</v>
      </c>
      <c r="EW1015" s="552">
        <f t="shared" si="663"/>
        <v>0</v>
      </c>
      <c r="EX1015" s="552">
        <f t="shared" si="663"/>
        <v>0</v>
      </c>
      <c r="EY1015" s="799">
        <f t="shared" si="527"/>
        <v>1.59</v>
      </c>
      <c r="EZ1015" s="640"/>
      <c r="FA1015" s="640"/>
      <c r="FB1015" s="640"/>
      <c r="FC1015" s="640"/>
      <c r="FD1015" s="640"/>
      <c r="FE1015" s="640"/>
      <c r="FF1015" s="640"/>
      <c r="FG1015" s="640"/>
      <c r="FH1015" s="640"/>
      <c r="FI1015" s="640"/>
      <c r="FJ1015" s="640"/>
      <c r="FK1015" s="640"/>
      <c r="FL1015" s="640"/>
    </row>
    <row r="1016" spans="1:168" x14ac:dyDescent="0.25">
      <c r="A1016" s="1492"/>
      <c r="B1016" s="624" t="str">
        <f t="shared" si="650"/>
        <v>Хлеб пшеничный нарезной</v>
      </c>
      <c r="C1016" s="624">
        <f t="shared" si="657"/>
        <v>30</v>
      </c>
      <c r="D1016" s="624">
        <f t="shared" si="657"/>
        <v>3.21</v>
      </c>
      <c r="E1016" s="1158">
        <f t="shared" si="652"/>
        <v>1.95</v>
      </c>
      <c r="F1016" s="1158"/>
      <c r="G1016" s="1140"/>
      <c r="H1016" s="1140"/>
      <c r="I1016" s="552"/>
      <c r="J1016" s="552">
        <f t="shared" si="653"/>
        <v>0</v>
      </c>
      <c r="K1016" s="552">
        <f t="shared" ref="K1016:BV1016" si="664">K50*K$338</f>
        <v>0</v>
      </c>
      <c r="L1016" s="552">
        <f t="shared" si="664"/>
        <v>0</v>
      </c>
      <c r="M1016" s="552">
        <f t="shared" si="664"/>
        <v>0</v>
      </c>
      <c r="N1016" s="552">
        <f t="shared" si="664"/>
        <v>0</v>
      </c>
      <c r="O1016" s="552">
        <f t="shared" si="664"/>
        <v>0</v>
      </c>
      <c r="P1016" s="552">
        <f t="shared" si="664"/>
        <v>0</v>
      </c>
      <c r="Q1016" s="552">
        <f t="shared" si="664"/>
        <v>0</v>
      </c>
      <c r="R1016" s="552">
        <f t="shared" si="664"/>
        <v>0</v>
      </c>
      <c r="S1016" s="552">
        <f t="shared" si="664"/>
        <v>0</v>
      </c>
      <c r="T1016" s="552">
        <f t="shared" si="664"/>
        <v>0</v>
      </c>
      <c r="U1016" s="552">
        <f t="shared" si="664"/>
        <v>0</v>
      </c>
      <c r="V1016" s="552">
        <f t="shared" si="664"/>
        <v>0</v>
      </c>
      <c r="W1016" s="552">
        <f t="shared" si="664"/>
        <v>0</v>
      </c>
      <c r="X1016" s="552">
        <f t="shared" si="664"/>
        <v>0</v>
      </c>
      <c r="Y1016" s="552">
        <f t="shared" si="664"/>
        <v>0</v>
      </c>
      <c r="Z1016" s="552">
        <f t="shared" si="664"/>
        <v>0</v>
      </c>
      <c r="AA1016" s="552">
        <f t="shared" si="664"/>
        <v>0</v>
      </c>
      <c r="AB1016" s="552">
        <f t="shared" si="664"/>
        <v>0</v>
      </c>
      <c r="AC1016" s="552">
        <f t="shared" si="664"/>
        <v>0</v>
      </c>
      <c r="AD1016" s="552">
        <f t="shared" si="664"/>
        <v>0</v>
      </c>
      <c r="AE1016" s="552">
        <f t="shared" si="664"/>
        <v>0</v>
      </c>
      <c r="AF1016" s="552">
        <f t="shared" si="664"/>
        <v>0</v>
      </c>
      <c r="AG1016" s="552">
        <f t="shared" si="664"/>
        <v>0</v>
      </c>
      <c r="AH1016" s="552">
        <f t="shared" si="664"/>
        <v>0</v>
      </c>
      <c r="AI1016" s="552">
        <f t="shared" si="664"/>
        <v>0</v>
      </c>
      <c r="AJ1016" s="552">
        <f t="shared" si="664"/>
        <v>0</v>
      </c>
      <c r="AK1016" s="552">
        <f t="shared" si="664"/>
        <v>0</v>
      </c>
      <c r="AL1016" s="552">
        <f t="shared" si="664"/>
        <v>0</v>
      </c>
      <c r="AM1016" s="552">
        <f t="shared" si="664"/>
        <v>0</v>
      </c>
      <c r="AN1016" s="552">
        <f t="shared" si="664"/>
        <v>0</v>
      </c>
      <c r="AO1016" s="552">
        <f t="shared" si="664"/>
        <v>0</v>
      </c>
      <c r="AP1016" s="552">
        <f t="shared" si="664"/>
        <v>0</v>
      </c>
      <c r="AQ1016" s="552">
        <f t="shared" si="664"/>
        <v>0</v>
      </c>
      <c r="AR1016" s="552">
        <f t="shared" si="664"/>
        <v>0</v>
      </c>
      <c r="AS1016" s="552">
        <f t="shared" si="664"/>
        <v>0</v>
      </c>
      <c r="AT1016" s="552">
        <f t="shared" si="664"/>
        <v>0</v>
      </c>
      <c r="AU1016" s="552">
        <f t="shared" si="664"/>
        <v>0</v>
      </c>
      <c r="AV1016" s="552">
        <f t="shared" si="664"/>
        <v>0</v>
      </c>
      <c r="AW1016" s="552">
        <f t="shared" si="664"/>
        <v>0</v>
      </c>
      <c r="AX1016" s="552">
        <f t="shared" si="664"/>
        <v>0</v>
      </c>
      <c r="AY1016" s="552">
        <f t="shared" si="664"/>
        <v>0</v>
      </c>
      <c r="AZ1016" s="552">
        <f t="shared" si="664"/>
        <v>0</v>
      </c>
      <c r="BA1016" s="552">
        <f t="shared" si="664"/>
        <v>0</v>
      </c>
      <c r="BB1016" s="552">
        <f t="shared" si="664"/>
        <v>0</v>
      </c>
      <c r="BC1016" s="552">
        <f t="shared" si="664"/>
        <v>0</v>
      </c>
      <c r="BD1016" s="552">
        <f t="shared" si="664"/>
        <v>0</v>
      </c>
      <c r="BE1016" s="552">
        <f t="shared" si="664"/>
        <v>0</v>
      </c>
      <c r="BF1016" s="552">
        <f t="shared" si="664"/>
        <v>0</v>
      </c>
      <c r="BG1016" s="552">
        <f t="shared" si="664"/>
        <v>0</v>
      </c>
      <c r="BH1016" s="552">
        <f t="shared" si="664"/>
        <v>0</v>
      </c>
      <c r="BI1016" s="552">
        <f t="shared" si="664"/>
        <v>0</v>
      </c>
      <c r="BJ1016" s="552">
        <f t="shared" si="664"/>
        <v>0</v>
      </c>
      <c r="BK1016" s="552">
        <f t="shared" si="664"/>
        <v>0</v>
      </c>
      <c r="BL1016" s="552">
        <f t="shared" si="664"/>
        <v>0</v>
      </c>
      <c r="BM1016" s="552">
        <f t="shared" si="664"/>
        <v>0</v>
      </c>
      <c r="BN1016" s="552">
        <f t="shared" si="664"/>
        <v>0</v>
      </c>
      <c r="BO1016" s="552">
        <f t="shared" si="664"/>
        <v>0</v>
      </c>
      <c r="BP1016" s="552">
        <f t="shared" si="664"/>
        <v>0</v>
      </c>
      <c r="BQ1016" s="552">
        <f t="shared" si="664"/>
        <v>0</v>
      </c>
      <c r="BR1016" s="552">
        <f t="shared" si="664"/>
        <v>0</v>
      </c>
      <c r="BS1016" s="552">
        <f t="shared" si="664"/>
        <v>0</v>
      </c>
      <c r="BT1016" s="552">
        <f t="shared" si="664"/>
        <v>0</v>
      </c>
      <c r="BU1016" s="552">
        <f t="shared" si="664"/>
        <v>0</v>
      </c>
      <c r="BV1016" s="552">
        <f t="shared" si="664"/>
        <v>0</v>
      </c>
      <c r="BW1016" s="552">
        <f t="shared" ref="BW1016:EH1016" si="665">BW50*BW$338</f>
        <v>0</v>
      </c>
      <c r="BX1016" s="552">
        <f t="shared" si="665"/>
        <v>0</v>
      </c>
      <c r="BY1016" s="552">
        <f t="shared" si="665"/>
        <v>0</v>
      </c>
      <c r="BZ1016" s="552">
        <f t="shared" si="665"/>
        <v>0</v>
      </c>
      <c r="CA1016" s="552">
        <f t="shared" si="665"/>
        <v>0</v>
      </c>
      <c r="CB1016" s="552">
        <f t="shared" si="665"/>
        <v>0</v>
      </c>
      <c r="CC1016" s="552">
        <f t="shared" si="665"/>
        <v>0</v>
      </c>
      <c r="CD1016" s="552">
        <f t="shared" si="665"/>
        <v>0</v>
      </c>
      <c r="CE1016" s="552">
        <f t="shared" si="665"/>
        <v>0</v>
      </c>
      <c r="CF1016" s="552">
        <f t="shared" si="665"/>
        <v>0</v>
      </c>
      <c r="CG1016" s="552">
        <f t="shared" si="665"/>
        <v>0</v>
      </c>
      <c r="CH1016" s="552">
        <f t="shared" si="665"/>
        <v>0</v>
      </c>
      <c r="CI1016" s="552">
        <f t="shared" si="665"/>
        <v>0</v>
      </c>
      <c r="CJ1016" s="552">
        <f t="shared" si="665"/>
        <v>0</v>
      </c>
      <c r="CK1016" s="552">
        <f t="shared" si="665"/>
        <v>0</v>
      </c>
      <c r="CL1016" s="552">
        <f t="shared" si="665"/>
        <v>0</v>
      </c>
      <c r="CM1016" s="552">
        <f t="shared" si="665"/>
        <v>0</v>
      </c>
      <c r="CN1016" s="552">
        <f t="shared" si="665"/>
        <v>0</v>
      </c>
      <c r="CO1016" s="552">
        <f t="shared" si="665"/>
        <v>0</v>
      </c>
      <c r="CP1016" s="552">
        <f t="shared" si="665"/>
        <v>0</v>
      </c>
      <c r="CQ1016" s="552">
        <f t="shared" si="665"/>
        <v>0</v>
      </c>
      <c r="CR1016" s="552">
        <f t="shared" si="665"/>
        <v>0</v>
      </c>
      <c r="CS1016" s="552">
        <f t="shared" si="665"/>
        <v>0</v>
      </c>
      <c r="CT1016" s="552">
        <f t="shared" si="665"/>
        <v>0</v>
      </c>
      <c r="CU1016" s="552">
        <f t="shared" si="665"/>
        <v>0</v>
      </c>
      <c r="CV1016" s="552">
        <f t="shared" si="665"/>
        <v>0</v>
      </c>
      <c r="CW1016" s="552">
        <f t="shared" si="665"/>
        <v>0</v>
      </c>
      <c r="CX1016" s="552">
        <f t="shared" si="665"/>
        <v>0</v>
      </c>
      <c r="CY1016" s="552">
        <f t="shared" si="665"/>
        <v>0</v>
      </c>
      <c r="CZ1016" s="552">
        <f t="shared" si="665"/>
        <v>0</v>
      </c>
      <c r="DA1016" s="552">
        <f t="shared" si="665"/>
        <v>0</v>
      </c>
      <c r="DB1016" s="552">
        <f t="shared" si="665"/>
        <v>0</v>
      </c>
      <c r="DC1016" s="552">
        <f t="shared" si="665"/>
        <v>0</v>
      </c>
      <c r="DD1016" s="552">
        <f t="shared" si="665"/>
        <v>0</v>
      </c>
      <c r="DE1016" s="552">
        <f t="shared" si="665"/>
        <v>0</v>
      </c>
      <c r="DF1016" s="552">
        <f t="shared" si="665"/>
        <v>0</v>
      </c>
      <c r="DG1016" s="552">
        <f t="shared" si="665"/>
        <v>0</v>
      </c>
      <c r="DH1016" s="552">
        <f t="shared" si="665"/>
        <v>0</v>
      </c>
      <c r="DI1016" s="552">
        <f t="shared" si="665"/>
        <v>0</v>
      </c>
      <c r="DJ1016" s="552">
        <f t="shared" si="665"/>
        <v>0</v>
      </c>
      <c r="DK1016" s="552">
        <f t="shared" si="665"/>
        <v>0</v>
      </c>
      <c r="DL1016" s="552">
        <f t="shared" si="665"/>
        <v>0</v>
      </c>
      <c r="DM1016" s="552">
        <f t="shared" si="665"/>
        <v>0</v>
      </c>
      <c r="DN1016" s="552">
        <f t="shared" si="665"/>
        <v>0</v>
      </c>
      <c r="DO1016" s="552">
        <f t="shared" si="665"/>
        <v>0</v>
      </c>
      <c r="DP1016" s="552">
        <f t="shared" si="665"/>
        <v>0</v>
      </c>
      <c r="DQ1016" s="552">
        <f t="shared" si="665"/>
        <v>0</v>
      </c>
      <c r="DR1016" s="552">
        <f t="shared" si="665"/>
        <v>0</v>
      </c>
      <c r="DS1016" s="552">
        <f t="shared" si="665"/>
        <v>0</v>
      </c>
      <c r="DT1016" s="552">
        <f t="shared" si="665"/>
        <v>0</v>
      </c>
      <c r="DU1016" s="552">
        <f t="shared" si="665"/>
        <v>0</v>
      </c>
      <c r="DV1016" s="552">
        <f t="shared" si="665"/>
        <v>0</v>
      </c>
      <c r="DW1016" s="552">
        <f t="shared" si="665"/>
        <v>0</v>
      </c>
      <c r="DX1016" s="552">
        <f t="shared" si="665"/>
        <v>0</v>
      </c>
      <c r="DY1016" s="552">
        <f t="shared" si="665"/>
        <v>0</v>
      </c>
      <c r="DZ1016" s="552">
        <f t="shared" si="665"/>
        <v>0</v>
      </c>
      <c r="EA1016" s="552">
        <f t="shared" si="665"/>
        <v>0</v>
      </c>
      <c r="EB1016" s="552">
        <f t="shared" si="665"/>
        <v>0</v>
      </c>
      <c r="EC1016" s="552">
        <f t="shared" si="665"/>
        <v>0</v>
      </c>
      <c r="ED1016" s="552">
        <f t="shared" si="665"/>
        <v>0</v>
      </c>
      <c r="EE1016" s="552">
        <f t="shared" si="665"/>
        <v>0</v>
      </c>
      <c r="EF1016" s="552">
        <f t="shared" si="665"/>
        <v>0</v>
      </c>
      <c r="EG1016" s="552">
        <f t="shared" si="665"/>
        <v>0</v>
      </c>
      <c r="EH1016" s="552">
        <f t="shared" si="665"/>
        <v>0</v>
      </c>
      <c r="EI1016" s="552">
        <f t="shared" ref="EI1016:EX1016" si="666">EI50*EI$338</f>
        <v>0</v>
      </c>
      <c r="EJ1016" s="552">
        <f t="shared" si="666"/>
        <v>0</v>
      </c>
      <c r="EK1016" s="552">
        <f t="shared" si="666"/>
        <v>0</v>
      </c>
      <c r="EL1016" s="552">
        <f t="shared" si="666"/>
        <v>0</v>
      </c>
      <c r="EM1016" s="552">
        <f t="shared" si="666"/>
        <v>0</v>
      </c>
      <c r="EN1016" s="552">
        <f t="shared" si="666"/>
        <v>0</v>
      </c>
      <c r="EO1016" s="552">
        <f t="shared" si="666"/>
        <v>0</v>
      </c>
      <c r="EP1016" s="552">
        <f t="shared" si="666"/>
        <v>0</v>
      </c>
      <c r="EQ1016" s="552">
        <f t="shared" si="666"/>
        <v>0</v>
      </c>
      <c r="ER1016" s="552">
        <f t="shared" si="666"/>
        <v>0</v>
      </c>
      <c r="ES1016" s="552">
        <f t="shared" si="666"/>
        <v>0</v>
      </c>
      <c r="ET1016" s="552">
        <f t="shared" si="666"/>
        <v>0</v>
      </c>
      <c r="EU1016" s="552">
        <f t="shared" si="666"/>
        <v>0</v>
      </c>
      <c r="EV1016" s="552">
        <f t="shared" si="666"/>
        <v>1.95</v>
      </c>
      <c r="EW1016" s="552">
        <f t="shared" si="666"/>
        <v>0</v>
      </c>
      <c r="EX1016" s="552">
        <f t="shared" si="666"/>
        <v>0</v>
      </c>
      <c r="EY1016" s="799">
        <f t="shared" si="527"/>
        <v>1.95</v>
      </c>
      <c r="EZ1016" s="640"/>
      <c r="FA1016" s="640"/>
      <c r="FB1016" s="640"/>
      <c r="FC1016" s="640"/>
      <c r="FD1016" s="640"/>
      <c r="FE1016" s="640"/>
      <c r="FF1016" s="640"/>
      <c r="FG1016" s="640"/>
      <c r="FH1016" s="640"/>
      <c r="FI1016" s="640"/>
      <c r="FJ1016" s="640"/>
      <c r="FK1016" s="640"/>
      <c r="FL1016" s="640"/>
    </row>
    <row r="1017" spans="1:168" x14ac:dyDescent="0.25">
      <c r="A1017" s="1492"/>
      <c r="B1017" s="624" t="str">
        <f t="shared" si="650"/>
        <v>Хлеб пшенично-ржаной нарезной</v>
      </c>
      <c r="C1017" s="624">
        <f t="shared" si="657"/>
        <v>20</v>
      </c>
      <c r="D1017" s="624">
        <f t="shared" si="657"/>
        <v>1.5</v>
      </c>
      <c r="E1017" s="1158">
        <f t="shared" si="652"/>
        <v>1.3</v>
      </c>
      <c r="F1017" s="1158"/>
      <c r="G1017" s="1140"/>
      <c r="H1017" s="1140"/>
      <c r="I1017" s="552"/>
      <c r="J1017" s="552">
        <f t="shared" si="653"/>
        <v>0</v>
      </c>
      <c r="K1017" s="552">
        <f t="shared" ref="K1017:BV1017" si="667">K51*K$338</f>
        <v>0</v>
      </c>
      <c r="L1017" s="552">
        <f t="shared" si="667"/>
        <v>0</v>
      </c>
      <c r="M1017" s="552">
        <f t="shared" si="667"/>
        <v>0</v>
      </c>
      <c r="N1017" s="552">
        <f t="shared" si="667"/>
        <v>0</v>
      </c>
      <c r="O1017" s="552">
        <f t="shared" si="667"/>
        <v>0</v>
      </c>
      <c r="P1017" s="552">
        <f t="shared" si="667"/>
        <v>0</v>
      </c>
      <c r="Q1017" s="552">
        <f t="shared" si="667"/>
        <v>0</v>
      </c>
      <c r="R1017" s="552">
        <f t="shared" si="667"/>
        <v>0</v>
      </c>
      <c r="S1017" s="552">
        <f t="shared" si="667"/>
        <v>0</v>
      </c>
      <c r="T1017" s="552">
        <f t="shared" si="667"/>
        <v>0</v>
      </c>
      <c r="U1017" s="552">
        <f t="shared" si="667"/>
        <v>0</v>
      </c>
      <c r="V1017" s="552">
        <f t="shared" si="667"/>
        <v>0</v>
      </c>
      <c r="W1017" s="552">
        <f t="shared" si="667"/>
        <v>0</v>
      </c>
      <c r="X1017" s="552">
        <f t="shared" si="667"/>
        <v>0</v>
      </c>
      <c r="Y1017" s="552">
        <f t="shared" si="667"/>
        <v>0</v>
      </c>
      <c r="Z1017" s="552">
        <f t="shared" si="667"/>
        <v>0</v>
      </c>
      <c r="AA1017" s="552">
        <f t="shared" si="667"/>
        <v>0</v>
      </c>
      <c r="AB1017" s="552">
        <f t="shared" si="667"/>
        <v>0</v>
      </c>
      <c r="AC1017" s="552">
        <f t="shared" si="667"/>
        <v>0</v>
      </c>
      <c r="AD1017" s="552">
        <f t="shared" si="667"/>
        <v>0</v>
      </c>
      <c r="AE1017" s="552">
        <f t="shared" si="667"/>
        <v>0</v>
      </c>
      <c r="AF1017" s="552">
        <f t="shared" si="667"/>
        <v>0</v>
      </c>
      <c r="AG1017" s="552">
        <f t="shared" si="667"/>
        <v>0</v>
      </c>
      <c r="AH1017" s="552">
        <f t="shared" si="667"/>
        <v>0</v>
      </c>
      <c r="AI1017" s="552">
        <f t="shared" si="667"/>
        <v>0</v>
      </c>
      <c r="AJ1017" s="552">
        <f t="shared" si="667"/>
        <v>0</v>
      </c>
      <c r="AK1017" s="552">
        <f t="shared" si="667"/>
        <v>0</v>
      </c>
      <c r="AL1017" s="552">
        <f t="shared" si="667"/>
        <v>0</v>
      </c>
      <c r="AM1017" s="552">
        <f t="shared" si="667"/>
        <v>0</v>
      </c>
      <c r="AN1017" s="552">
        <f t="shared" si="667"/>
        <v>0</v>
      </c>
      <c r="AO1017" s="552">
        <f t="shared" si="667"/>
        <v>0</v>
      </c>
      <c r="AP1017" s="552">
        <f t="shared" si="667"/>
        <v>0</v>
      </c>
      <c r="AQ1017" s="552">
        <f t="shared" si="667"/>
        <v>0</v>
      </c>
      <c r="AR1017" s="552">
        <f t="shared" si="667"/>
        <v>0</v>
      </c>
      <c r="AS1017" s="552">
        <f t="shared" si="667"/>
        <v>0</v>
      </c>
      <c r="AT1017" s="552">
        <f t="shared" si="667"/>
        <v>0</v>
      </c>
      <c r="AU1017" s="552">
        <f t="shared" si="667"/>
        <v>0</v>
      </c>
      <c r="AV1017" s="552">
        <f t="shared" si="667"/>
        <v>0</v>
      </c>
      <c r="AW1017" s="552">
        <f t="shared" si="667"/>
        <v>0</v>
      </c>
      <c r="AX1017" s="552">
        <f t="shared" si="667"/>
        <v>0</v>
      </c>
      <c r="AY1017" s="552">
        <f t="shared" si="667"/>
        <v>0</v>
      </c>
      <c r="AZ1017" s="552">
        <f t="shared" si="667"/>
        <v>0</v>
      </c>
      <c r="BA1017" s="552">
        <f t="shared" si="667"/>
        <v>0</v>
      </c>
      <c r="BB1017" s="552">
        <f t="shared" si="667"/>
        <v>0</v>
      </c>
      <c r="BC1017" s="552">
        <f t="shared" si="667"/>
        <v>0</v>
      </c>
      <c r="BD1017" s="552">
        <f t="shared" si="667"/>
        <v>0</v>
      </c>
      <c r="BE1017" s="552">
        <f t="shared" si="667"/>
        <v>0</v>
      </c>
      <c r="BF1017" s="552">
        <f t="shared" si="667"/>
        <v>0</v>
      </c>
      <c r="BG1017" s="552">
        <f t="shared" si="667"/>
        <v>0</v>
      </c>
      <c r="BH1017" s="552">
        <f t="shared" si="667"/>
        <v>0</v>
      </c>
      <c r="BI1017" s="552">
        <f t="shared" si="667"/>
        <v>0</v>
      </c>
      <c r="BJ1017" s="552">
        <f t="shared" si="667"/>
        <v>0</v>
      </c>
      <c r="BK1017" s="552">
        <f t="shared" si="667"/>
        <v>0</v>
      </c>
      <c r="BL1017" s="552">
        <f t="shared" si="667"/>
        <v>0</v>
      </c>
      <c r="BM1017" s="552">
        <f t="shared" si="667"/>
        <v>0</v>
      </c>
      <c r="BN1017" s="552">
        <f t="shared" si="667"/>
        <v>0</v>
      </c>
      <c r="BO1017" s="552">
        <f t="shared" si="667"/>
        <v>0</v>
      </c>
      <c r="BP1017" s="552">
        <f t="shared" si="667"/>
        <v>0</v>
      </c>
      <c r="BQ1017" s="552">
        <f t="shared" si="667"/>
        <v>0</v>
      </c>
      <c r="BR1017" s="552">
        <f t="shared" si="667"/>
        <v>0</v>
      </c>
      <c r="BS1017" s="552">
        <f t="shared" si="667"/>
        <v>0</v>
      </c>
      <c r="BT1017" s="552">
        <f t="shared" si="667"/>
        <v>0</v>
      </c>
      <c r="BU1017" s="552">
        <f t="shared" si="667"/>
        <v>0</v>
      </c>
      <c r="BV1017" s="552">
        <f t="shared" si="667"/>
        <v>0</v>
      </c>
      <c r="BW1017" s="552">
        <f t="shared" ref="BW1017:EH1017" si="668">BW51*BW$338</f>
        <v>0</v>
      </c>
      <c r="BX1017" s="552">
        <f t="shared" si="668"/>
        <v>0</v>
      </c>
      <c r="BY1017" s="552">
        <f t="shared" si="668"/>
        <v>0</v>
      </c>
      <c r="BZ1017" s="552">
        <f t="shared" si="668"/>
        <v>0</v>
      </c>
      <c r="CA1017" s="552">
        <f t="shared" si="668"/>
        <v>0</v>
      </c>
      <c r="CB1017" s="552">
        <f t="shared" si="668"/>
        <v>0</v>
      </c>
      <c r="CC1017" s="552">
        <f t="shared" si="668"/>
        <v>0</v>
      </c>
      <c r="CD1017" s="552">
        <f t="shared" si="668"/>
        <v>0</v>
      </c>
      <c r="CE1017" s="552">
        <f t="shared" si="668"/>
        <v>0</v>
      </c>
      <c r="CF1017" s="552">
        <f t="shared" si="668"/>
        <v>0</v>
      </c>
      <c r="CG1017" s="552">
        <f t="shared" si="668"/>
        <v>0</v>
      </c>
      <c r="CH1017" s="552">
        <f t="shared" si="668"/>
        <v>0</v>
      </c>
      <c r="CI1017" s="552">
        <f t="shared" si="668"/>
        <v>0</v>
      </c>
      <c r="CJ1017" s="552">
        <f t="shared" si="668"/>
        <v>0</v>
      </c>
      <c r="CK1017" s="552">
        <f t="shared" si="668"/>
        <v>0</v>
      </c>
      <c r="CL1017" s="552">
        <f t="shared" si="668"/>
        <v>0</v>
      </c>
      <c r="CM1017" s="552">
        <f t="shared" si="668"/>
        <v>0</v>
      </c>
      <c r="CN1017" s="552">
        <f t="shared" si="668"/>
        <v>0</v>
      </c>
      <c r="CO1017" s="552">
        <f t="shared" si="668"/>
        <v>0</v>
      </c>
      <c r="CP1017" s="552">
        <f t="shared" si="668"/>
        <v>0</v>
      </c>
      <c r="CQ1017" s="552">
        <f t="shared" si="668"/>
        <v>0</v>
      </c>
      <c r="CR1017" s="552">
        <f t="shared" si="668"/>
        <v>0</v>
      </c>
      <c r="CS1017" s="552">
        <f t="shared" si="668"/>
        <v>0</v>
      </c>
      <c r="CT1017" s="552">
        <f t="shared" si="668"/>
        <v>0</v>
      </c>
      <c r="CU1017" s="552">
        <f t="shared" si="668"/>
        <v>0</v>
      </c>
      <c r="CV1017" s="552">
        <f t="shared" si="668"/>
        <v>0</v>
      </c>
      <c r="CW1017" s="552">
        <f t="shared" si="668"/>
        <v>0</v>
      </c>
      <c r="CX1017" s="552">
        <f t="shared" si="668"/>
        <v>0</v>
      </c>
      <c r="CY1017" s="552">
        <f t="shared" si="668"/>
        <v>0</v>
      </c>
      <c r="CZ1017" s="552">
        <f t="shared" si="668"/>
        <v>0</v>
      </c>
      <c r="DA1017" s="552">
        <f t="shared" si="668"/>
        <v>0</v>
      </c>
      <c r="DB1017" s="552">
        <f t="shared" si="668"/>
        <v>0</v>
      </c>
      <c r="DC1017" s="552">
        <f t="shared" si="668"/>
        <v>0</v>
      </c>
      <c r="DD1017" s="552">
        <f t="shared" si="668"/>
        <v>0</v>
      </c>
      <c r="DE1017" s="552">
        <f t="shared" si="668"/>
        <v>0</v>
      </c>
      <c r="DF1017" s="552">
        <f t="shared" si="668"/>
        <v>0</v>
      </c>
      <c r="DG1017" s="552">
        <f t="shared" si="668"/>
        <v>0</v>
      </c>
      <c r="DH1017" s="552">
        <f t="shared" si="668"/>
        <v>0</v>
      </c>
      <c r="DI1017" s="552">
        <f t="shared" si="668"/>
        <v>0</v>
      </c>
      <c r="DJ1017" s="552">
        <f t="shared" si="668"/>
        <v>0</v>
      </c>
      <c r="DK1017" s="552">
        <f t="shared" si="668"/>
        <v>0</v>
      </c>
      <c r="DL1017" s="552">
        <f t="shared" si="668"/>
        <v>0</v>
      </c>
      <c r="DM1017" s="552">
        <f t="shared" si="668"/>
        <v>0</v>
      </c>
      <c r="DN1017" s="552">
        <f t="shared" si="668"/>
        <v>0</v>
      </c>
      <c r="DO1017" s="552">
        <f t="shared" si="668"/>
        <v>0</v>
      </c>
      <c r="DP1017" s="552">
        <f t="shared" si="668"/>
        <v>0</v>
      </c>
      <c r="DQ1017" s="552">
        <f t="shared" si="668"/>
        <v>0</v>
      </c>
      <c r="DR1017" s="552">
        <f t="shared" si="668"/>
        <v>0</v>
      </c>
      <c r="DS1017" s="552">
        <f t="shared" si="668"/>
        <v>0</v>
      </c>
      <c r="DT1017" s="552">
        <f t="shared" si="668"/>
        <v>0</v>
      </c>
      <c r="DU1017" s="552">
        <f t="shared" si="668"/>
        <v>0</v>
      </c>
      <c r="DV1017" s="552">
        <f t="shared" si="668"/>
        <v>0</v>
      </c>
      <c r="DW1017" s="552">
        <f t="shared" si="668"/>
        <v>0</v>
      </c>
      <c r="DX1017" s="552">
        <f t="shared" si="668"/>
        <v>0</v>
      </c>
      <c r="DY1017" s="552">
        <f t="shared" si="668"/>
        <v>0</v>
      </c>
      <c r="DZ1017" s="552">
        <f t="shared" si="668"/>
        <v>0</v>
      </c>
      <c r="EA1017" s="552">
        <f t="shared" si="668"/>
        <v>0</v>
      </c>
      <c r="EB1017" s="552">
        <f t="shared" si="668"/>
        <v>0</v>
      </c>
      <c r="EC1017" s="552">
        <f t="shared" si="668"/>
        <v>0</v>
      </c>
      <c r="ED1017" s="552">
        <f t="shared" si="668"/>
        <v>0</v>
      </c>
      <c r="EE1017" s="552">
        <f t="shared" si="668"/>
        <v>0</v>
      </c>
      <c r="EF1017" s="552">
        <f t="shared" si="668"/>
        <v>0</v>
      </c>
      <c r="EG1017" s="552">
        <f t="shared" si="668"/>
        <v>0</v>
      </c>
      <c r="EH1017" s="552">
        <f t="shared" si="668"/>
        <v>0</v>
      </c>
      <c r="EI1017" s="552">
        <f t="shared" ref="EI1017:EX1017" si="669">EI51*EI$338</f>
        <v>0</v>
      </c>
      <c r="EJ1017" s="552">
        <f t="shared" si="669"/>
        <v>0</v>
      </c>
      <c r="EK1017" s="552">
        <f t="shared" si="669"/>
        <v>0</v>
      </c>
      <c r="EL1017" s="552">
        <f t="shared" si="669"/>
        <v>0</v>
      </c>
      <c r="EM1017" s="552">
        <f t="shared" si="669"/>
        <v>0</v>
      </c>
      <c r="EN1017" s="552">
        <f t="shared" si="669"/>
        <v>0</v>
      </c>
      <c r="EO1017" s="552">
        <f t="shared" si="669"/>
        <v>0</v>
      </c>
      <c r="EP1017" s="552">
        <f t="shared" si="669"/>
        <v>0</v>
      </c>
      <c r="EQ1017" s="552">
        <f t="shared" si="669"/>
        <v>0</v>
      </c>
      <c r="ER1017" s="552">
        <f t="shared" si="669"/>
        <v>0</v>
      </c>
      <c r="ES1017" s="552">
        <f t="shared" si="669"/>
        <v>0</v>
      </c>
      <c r="ET1017" s="552">
        <f t="shared" si="669"/>
        <v>0</v>
      </c>
      <c r="EU1017" s="552">
        <f t="shared" si="669"/>
        <v>0</v>
      </c>
      <c r="EV1017" s="552">
        <f t="shared" si="669"/>
        <v>0</v>
      </c>
      <c r="EW1017" s="552">
        <f t="shared" si="669"/>
        <v>1.3</v>
      </c>
      <c r="EX1017" s="552">
        <f t="shared" si="669"/>
        <v>0</v>
      </c>
      <c r="EY1017" s="799">
        <f t="shared" si="527"/>
        <v>1.3</v>
      </c>
      <c r="EZ1017" s="640"/>
      <c r="FA1017" s="640"/>
      <c r="FB1017" s="640"/>
      <c r="FC1017" s="640"/>
      <c r="FD1017" s="640"/>
      <c r="FE1017" s="640"/>
      <c r="FF1017" s="640"/>
      <c r="FG1017" s="640"/>
      <c r="FH1017" s="640"/>
      <c r="FI1017" s="640"/>
      <c r="FJ1017" s="640"/>
      <c r="FK1017" s="640"/>
      <c r="FL1017" s="640"/>
    </row>
    <row r="1018" spans="1:168" x14ac:dyDescent="0.25">
      <c r="A1018" s="1493"/>
      <c r="B1018" s="624" t="str">
        <f t="shared" si="650"/>
        <v>Масло сливочное (порциями)</v>
      </c>
      <c r="C1018" s="624">
        <f t="shared" si="657"/>
        <v>10</v>
      </c>
      <c r="D1018" s="624">
        <f t="shared" si="657"/>
        <v>0.08</v>
      </c>
      <c r="E1018" s="1158">
        <f t="shared" si="652"/>
        <v>7.1</v>
      </c>
      <c r="F1018" s="1158"/>
      <c r="G1018" s="1140"/>
      <c r="H1018" s="1140"/>
      <c r="I1018" s="552"/>
      <c r="J1018" s="552">
        <f t="shared" si="653"/>
        <v>0</v>
      </c>
      <c r="K1018" s="552">
        <f t="shared" ref="K1018:BV1018" si="670">K52*K$338</f>
        <v>0</v>
      </c>
      <c r="L1018" s="552">
        <f t="shared" si="670"/>
        <v>0</v>
      </c>
      <c r="M1018" s="552">
        <f t="shared" si="670"/>
        <v>0</v>
      </c>
      <c r="N1018" s="552">
        <f t="shared" si="670"/>
        <v>0</v>
      </c>
      <c r="O1018" s="552">
        <f t="shared" si="670"/>
        <v>0</v>
      </c>
      <c r="P1018" s="552">
        <f t="shared" si="670"/>
        <v>0</v>
      </c>
      <c r="Q1018" s="552">
        <f t="shared" si="670"/>
        <v>0</v>
      </c>
      <c r="R1018" s="552">
        <f t="shared" si="670"/>
        <v>0</v>
      </c>
      <c r="S1018" s="552">
        <f t="shared" si="670"/>
        <v>0</v>
      </c>
      <c r="T1018" s="552">
        <f t="shared" si="670"/>
        <v>0</v>
      </c>
      <c r="U1018" s="552">
        <f t="shared" si="670"/>
        <v>0</v>
      </c>
      <c r="V1018" s="552">
        <f t="shared" si="670"/>
        <v>7.1</v>
      </c>
      <c r="W1018" s="552">
        <f t="shared" si="670"/>
        <v>0</v>
      </c>
      <c r="X1018" s="552">
        <f t="shared" si="670"/>
        <v>0</v>
      </c>
      <c r="Y1018" s="552">
        <f t="shared" si="670"/>
        <v>0</v>
      </c>
      <c r="Z1018" s="552">
        <f t="shared" si="670"/>
        <v>0</v>
      </c>
      <c r="AA1018" s="552">
        <f t="shared" si="670"/>
        <v>0</v>
      </c>
      <c r="AB1018" s="552">
        <f t="shared" si="670"/>
        <v>0</v>
      </c>
      <c r="AC1018" s="552">
        <f t="shared" si="670"/>
        <v>0</v>
      </c>
      <c r="AD1018" s="552">
        <f t="shared" si="670"/>
        <v>0</v>
      </c>
      <c r="AE1018" s="552">
        <f t="shared" si="670"/>
        <v>0</v>
      </c>
      <c r="AF1018" s="552">
        <f t="shared" si="670"/>
        <v>0</v>
      </c>
      <c r="AG1018" s="552">
        <f t="shared" si="670"/>
        <v>0</v>
      </c>
      <c r="AH1018" s="552">
        <f t="shared" si="670"/>
        <v>0</v>
      </c>
      <c r="AI1018" s="552">
        <f t="shared" si="670"/>
        <v>0</v>
      </c>
      <c r="AJ1018" s="552">
        <f t="shared" si="670"/>
        <v>0</v>
      </c>
      <c r="AK1018" s="552">
        <f t="shared" si="670"/>
        <v>0</v>
      </c>
      <c r="AL1018" s="552">
        <f t="shared" si="670"/>
        <v>0</v>
      </c>
      <c r="AM1018" s="552">
        <f t="shared" si="670"/>
        <v>0</v>
      </c>
      <c r="AN1018" s="552">
        <f t="shared" si="670"/>
        <v>0</v>
      </c>
      <c r="AO1018" s="552">
        <f t="shared" si="670"/>
        <v>0</v>
      </c>
      <c r="AP1018" s="552">
        <f t="shared" si="670"/>
        <v>0</v>
      </c>
      <c r="AQ1018" s="552">
        <f t="shared" si="670"/>
        <v>0</v>
      </c>
      <c r="AR1018" s="552">
        <f t="shared" si="670"/>
        <v>0</v>
      </c>
      <c r="AS1018" s="552">
        <f t="shared" si="670"/>
        <v>0</v>
      </c>
      <c r="AT1018" s="552">
        <f t="shared" si="670"/>
        <v>0</v>
      </c>
      <c r="AU1018" s="552">
        <f t="shared" si="670"/>
        <v>0</v>
      </c>
      <c r="AV1018" s="552">
        <f t="shared" si="670"/>
        <v>0</v>
      </c>
      <c r="AW1018" s="552">
        <f t="shared" si="670"/>
        <v>0</v>
      </c>
      <c r="AX1018" s="552">
        <f t="shared" si="670"/>
        <v>0</v>
      </c>
      <c r="AY1018" s="552">
        <f t="shared" si="670"/>
        <v>0</v>
      </c>
      <c r="AZ1018" s="552">
        <f t="shared" si="670"/>
        <v>0</v>
      </c>
      <c r="BA1018" s="552">
        <f t="shared" si="670"/>
        <v>0</v>
      </c>
      <c r="BB1018" s="552">
        <f t="shared" si="670"/>
        <v>0</v>
      </c>
      <c r="BC1018" s="552">
        <f t="shared" si="670"/>
        <v>0</v>
      </c>
      <c r="BD1018" s="552">
        <f t="shared" si="670"/>
        <v>0</v>
      </c>
      <c r="BE1018" s="552">
        <f t="shared" si="670"/>
        <v>0</v>
      </c>
      <c r="BF1018" s="552">
        <f t="shared" si="670"/>
        <v>0</v>
      </c>
      <c r="BG1018" s="552">
        <f t="shared" si="670"/>
        <v>0</v>
      </c>
      <c r="BH1018" s="552">
        <f t="shared" si="670"/>
        <v>0</v>
      </c>
      <c r="BI1018" s="552">
        <f t="shared" si="670"/>
        <v>0</v>
      </c>
      <c r="BJ1018" s="552">
        <f t="shared" si="670"/>
        <v>0</v>
      </c>
      <c r="BK1018" s="552">
        <f t="shared" si="670"/>
        <v>0</v>
      </c>
      <c r="BL1018" s="552">
        <f t="shared" si="670"/>
        <v>0</v>
      </c>
      <c r="BM1018" s="552">
        <f t="shared" si="670"/>
        <v>0</v>
      </c>
      <c r="BN1018" s="552">
        <f t="shared" si="670"/>
        <v>0</v>
      </c>
      <c r="BO1018" s="552">
        <f t="shared" si="670"/>
        <v>0</v>
      </c>
      <c r="BP1018" s="552">
        <f t="shared" si="670"/>
        <v>0</v>
      </c>
      <c r="BQ1018" s="552">
        <f t="shared" si="670"/>
        <v>0</v>
      </c>
      <c r="BR1018" s="552">
        <f t="shared" si="670"/>
        <v>0</v>
      </c>
      <c r="BS1018" s="552">
        <f t="shared" si="670"/>
        <v>0</v>
      </c>
      <c r="BT1018" s="552">
        <f t="shared" si="670"/>
        <v>0</v>
      </c>
      <c r="BU1018" s="552">
        <f t="shared" si="670"/>
        <v>0</v>
      </c>
      <c r="BV1018" s="552">
        <f t="shared" si="670"/>
        <v>0</v>
      </c>
      <c r="BW1018" s="552">
        <f t="shared" ref="BW1018:EH1018" si="671">BW52*BW$338</f>
        <v>0</v>
      </c>
      <c r="BX1018" s="552">
        <f t="shared" si="671"/>
        <v>0</v>
      </c>
      <c r="BY1018" s="552">
        <f t="shared" si="671"/>
        <v>0</v>
      </c>
      <c r="BZ1018" s="552">
        <f t="shared" si="671"/>
        <v>0</v>
      </c>
      <c r="CA1018" s="552">
        <f t="shared" si="671"/>
        <v>0</v>
      </c>
      <c r="CB1018" s="552">
        <f t="shared" si="671"/>
        <v>0</v>
      </c>
      <c r="CC1018" s="552">
        <f t="shared" si="671"/>
        <v>0</v>
      </c>
      <c r="CD1018" s="552">
        <f t="shared" si="671"/>
        <v>0</v>
      </c>
      <c r="CE1018" s="552">
        <f t="shared" si="671"/>
        <v>0</v>
      </c>
      <c r="CF1018" s="552">
        <f t="shared" si="671"/>
        <v>0</v>
      </c>
      <c r="CG1018" s="552">
        <f t="shared" si="671"/>
        <v>0</v>
      </c>
      <c r="CH1018" s="552">
        <f t="shared" si="671"/>
        <v>0</v>
      </c>
      <c r="CI1018" s="552">
        <f t="shared" si="671"/>
        <v>0</v>
      </c>
      <c r="CJ1018" s="552">
        <f t="shared" si="671"/>
        <v>0</v>
      </c>
      <c r="CK1018" s="552">
        <f t="shared" si="671"/>
        <v>0</v>
      </c>
      <c r="CL1018" s="552">
        <f t="shared" si="671"/>
        <v>0</v>
      </c>
      <c r="CM1018" s="552">
        <f t="shared" si="671"/>
        <v>0</v>
      </c>
      <c r="CN1018" s="552">
        <f t="shared" si="671"/>
        <v>0</v>
      </c>
      <c r="CO1018" s="552">
        <f t="shared" si="671"/>
        <v>0</v>
      </c>
      <c r="CP1018" s="552">
        <f t="shared" si="671"/>
        <v>0</v>
      </c>
      <c r="CQ1018" s="552">
        <f t="shared" si="671"/>
        <v>0</v>
      </c>
      <c r="CR1018" s="552">
        <f t="shared" si="671"/>
        <v>0</v>
      </c>
      <c r="CS1018" s="552">
        <f t="shared" si="671"/>
        <v>0</v>
      </c>
      <c r="CT1018" s="552">
        <f t="shared" si="671"/>
        <v>0</v>
      </c>
      <c r="CU1018" s="552">
        <f t="shared" si="671"/>
        <v>0</v>
      </c>
      <c r="CV1018" s="552">
        <f t="shared" si="671"/>
        <v>0</v>
      </c>
      <c r="CW1018" s="552">
        <f t="shared" si="671"/>
        <v>0</v>
      </c>
      <c r="CX1018" s="552">
        <f t="shared" si="671"/>
        <v>0</v>
      </c>
      <c r="CY1018" s="552">
        <f t="shared" si="671"/>
        <v>0</v>
      </c>
      <c r="CZ1018" s="552">
        <f t="shared" si="671"/>
        <v>0</v>
      </c>
      <c r="DA1018" s="552">
        <f t="shared" si="671"/>
        <v>0</v>
      </c>
      <c r="DB1018" s="552">
        <f t="shared" si="671"/>
        <v>0</v>
      </c>
      <c r="DC1018" s="552">
        <f t="shared" si="671"/>
        <v>0</v>
      </c>
      <c r="DD1018" s="552">
        <f t="shared" si="671"/>
        <v>0</v>
      </c>
      <c r="DE1018" s="552">
        <f t="shared" si="671"/>
        <v>0</v>
      </c>
      <c r="DF1018" s="552">
        <f t="shared" si="671"/>
        <v>0</v>
      </c>
      <c r="DG1018" s="552">
        <f t="shared" si="671"/>
        <v>0</v>
      </c>
      <c r="DH1018" s="552">
        <f t="shared" si="671"/>
        <v>0</v>
      </c>
      <c r="DI1018" s="552">
        <f t="shared" si="671"/>
        <v>0</v>
      </c>
      <c r="DJ1018" s="552">
        <f t="shared" si="671"/>
        <v>0</v>
      </c>
      <c r="DK1018" s="552">
        <f t="shared" si="671"/>
        <v>0</v>
      </c>
      <c r="DL1018" s="552">
        <f t="shared" si="671"/>
        <v>0</v>
      </c>
      <c r="DM1018" s="552">
        <f t="shared" si="671"/>
        <v>0</v>
      </c>
      <c r="DN1018" s="552">
        <f t="shared" si="671"/>
        <v>0</v>
      </c>
      <c r="DO1018" s="552">
        <f t="shared" si="671"/>
        <v>0</v>
      </c>
      <c r="DP1018" s="552">
        <f t="shared" si="671"/>
        <v>0</v>
      </c>
      <c r="DQ1018" s="552">
        <f t="shared" si="671"/>
        <v>0</v>
      </c>
      <c r="DR1018" s="552">
        <f t="shared" si="671"/>
        <v>0</v>
      </c>
      <c r="DS1018" s="552">
        <f t="shared" si="671"/>
        <v>0</v>
      </c>
      <c r="DT1018" s="552">
        <f t="shared" si="671"/>
        <v>0</v>
      </c>
      <c r="DU1018" s="552">
        <f t="shared" si="671"/>
        <v>0</v>
      </c>
      <c r="DV1018" s="552">
        <f t="shared" si="671"/>
        <v>0</v>
      </c>
      <c r="DW1018" s="552">
        <f t="shared" si="671"/>
        <v>0</v>
      </c>
      <c r="DX1018" s="552">
        <f t="shared" si="671"/>
        <v>0</v>
      </c>
      <c r="DY1018" s="552">
        <f t="shared" si="671"/>
        <v>0</v>
      </c>
      <c r="DZ1018" s="552">
        <f t="shared" si="671"/>
        <v>0</v>
      </c>
      <c r="EA1018" s="552">
        <f t="shared" si="671"/>
        <v>0</v>
      </c>
      <c r="EB1018" s="552">
        <f t="shared" si="671"/>
        <v>0</v>
      </c>
      <c r="EC1018" s="552">
        <f t="shared" si="671"/>
        <v>0</v>
      </c>
      <c r="ED1018" s="552">
        <f t="shared" si="671"/>
        <v>0</v>
      </c>
      <c r="EE1018" s="552">
        <f t="shared" si="671"/>
        <v>0</v>
      </c>
      <c r="EF1018" s="552">
        <f t="shared" si="671"/>
        <v>0</v>
      </c>
      <c r="EG1018" s="552">
        <f t="shared" si="671"/>
        <v>0</v>
      </c>
      <c r="EH1018" s="552">
        <f t="shared" si="671"/>
        <v>0</v>
      </c>
      <c r="EI1018" s="552">
        <f t="shared" ref="EI1018:EX1018" si="672">EI52*EI$338</f>
        <v>0</v>
      </c>
      <c r="EJ1018" s="552">
        <f t="shared" si="672"/>
        <v>0</v>
      </c>
      <c r="EK1018" s="552">
        <f t="shared" si="672"/>
        <v>0</v>
      </c>
      <c r="EL1018" s="552">
        <f t="shared" si="672"/>
        <v>0</v>
      </c>
      <c r="EM1018" s="552">
        <f t="shared" si="672"/>
        <v>0</v>
      </c>
      <c r="EN1018" s="552">
        <f t="shared" si="672"/>
        <v>0</v>
      </c>
      <c r="EO1018" s="552">
        <f t="shared" si="672"/>
        <v>0</v>
      </c>
      <c r="EP1018" s="552">
        <f t="shared" si="672"/>
        <v>0</v>
      </c>
      <c r="EQ1018" s="552">
        <f t="shared" si="672"/>
        <v>0</v>
      </c>
      <c r="ER1018" s="552">
        <f t="shared" si="672"/>
        <v>0</v>
      </c>
      <c r="ES1018" s="552">
        <f t="shared" si="672"/>
        <v>0</v>
      </c>
      <c r="ET1018" s="552">
        <f t="shared" si="672"/>
        <v>0</v>
      </c>
      <c r="EU1018" s="552">
        <f t="shared" si="672"/>
        <v>0</v>
      </c>
      <c r="EV1018" s="552">
        <f t="shared" si="672"/>
        <v>0</v>
      </c>
      <c r="EW1018" s="552">
        <f t="shared" si="672"/>
        <v>0</v>
      </c>
      <c r="EX1018" s="552">
        <f t="shared" si="672"/>
        <v>0</v>
      </c>
      <c r="EY1018" s="799">
        <f t="shared" si="527"/>
        <v>7.1</v>
      </c>
      <c r="EZ1018" s="640"/>
      <c r="FA1018" s="640"/>
      <c r="FB1018" s="640"/>
      <c r="FC1018" s="640"/>
      <c r="FD1018" s="640"/>
      <c r="FE1018" s="640"/>
      <c r="FF1018" s="640"/>
      <c r="FG1018" s="640"/>
      <c r="FH1018" s="640"/>
      <c r="FI1018" s="640"/>
      <c r="FJ1018" s="640"/>
      <c r="FK1018" s="640"/>
      <c r="FL1018" s="640"/>
    </row>
    <row r="1019" spans="1:168" s="1034" customFormat="1" x14ac:dyDescent="0.25">
      <c r="A1019" s="1033"/>
      <c r="B1019" s="624" t="str">
        <f t="shared" si="650"/>
        <v>Вода питьевая 19 л</v>
      </c>
      <c r="C1019" s="624">
        <f t="shared" si="657"/>
        <v>500</v>
      </c>
      <c r="D1019" s="624">
        <f t="shared" si="657"/>
        <v>0</v>
      </c>
      <c r="E1019" s="1158">
        <f t="shared" si="652"/>
        <v>2.9</v>
      </c>
      <c r="F1019" s="1158"/>
      <c r="G1019" s="1140"/>
      <c r="H1019" s="1140"/>
      <c r="I1019" s="552"/>
      <c r="J1019" s="552">
        <f t="shared" si="653"/>
        <v>0</v>
      </c>
      <c r="K1019" s="552">
        <f t="shared" ref="K1019:BV1019" si="673">K53*K$338</f>
        <v>0</v>
      </c>
      <c r="L1019" s="552">
        <f t="shared" si="673"/>
        <v>0</v>
      </c>
      <c r="M1019" s="552">
        <f t="shared" si="673"/>
        <v>0</v>
      </c>
      <c r="N1019" s="552">
        <f t="shared" si="673"/>
        <v>0</v>
      </c>
      <c r="O1019" s="552">
        <f t="shared" si="673"/>
        <v>0</v>
      </c>
      <c r="P1019" s="552">
        <f t="shared" si="673"/>
        <v>0</v>
      </c>
      <c r="Q1019" s="552">
        <f t="shared" si="673"/>
        <v>0</v>
      </c>
      <c r="R1019" s="552">
        <f t="shared" si="673"/>
        <v>0</v>
      </c>
      <c r="S1019" s="552">
        <f t="shared" si="673"/>
        <v>0</v>
      </c>
      <c r="T1019" s="552">
        <f t="shared" si="673"/>
        <v>0</v>
      </c>
      <c r="U1019" s="552">
        <f t="shared" si="673"/>
        <v>0</v>
      </c>
      <c r="V1019" s="552">
        <f t="shared" si="673"/>
        <v>0</v>
      </c>
      <c r="W1019" s="552">
        <f t="shared" si="673"/>
        <v>0</v>
      </c>
      <c r="X1019" s="552">
        <f t="shared" si="673"/>
        <v>0</v>
      </c>
      <c r="Y1019" s="552">
        <f t="shared" si="673"/>
        <v>0</v>
      </c>
      <c r="Z1019" s="552">
        <f t="shared" si="673"/>
        <v>0</v>
      </c>
      <c r="AA1019" s="552">
        <f t="shared" si="673"/>
        <v>0</v>
      </c>
      <c r="AB1019" s="552">
        <f t="shared" si="673"/>
        <v>0</v>
      </c>
      <c r="AC1019" s="552">
        <f t="shared" si="673"/>
        <v>0</v>
      </c>
      <c r="AD1019" s="552">
        <f t="shared" si="673"/>
        <v>0</v>
      </c>
      <c r="AE1019" s="552">
        <f t="shared" si="673"/>
        <v>0</v>
      </c>
      <c r="AF1019" s="552">
        <f t="shared" si="673"/>
        <v>0</v>
      </c>
      <c r="AG1019" s="552">
        <f t="shared" si="673"/>
        <v>0</v>
      </c>
      <c r="AH1019" s="552">
        <f t="shared" si="673"/>
        <v>0</v>
      </c>
      <c r="AI1019" s="552">
        <f t="shared" si="673"/>
        <v>0</v>
      </c>
      <c r="AJ1019" s="552">
        <f t="shared" si="673"/>
        <v>0</v>
      </c>
      <c r="AK1019" s="552">
        <f t="shared" si="673"/>
        <v>0</v>
      </c>
      <c r="AL1019" s="552">
        <f t="shared" si="673"/>
        <v>0</v>
      </c>
      <c r="AM1019" s="552">
        <f t="shared" si="673"/>
        <v>0</v>
      </c>
      <c r="AN1019" s="552">
        <f t="shared" si="673"/>
        <v>0</v>
      </c>
      <c r="AO1019" s="552">
        <f t="shared" si="673"/>
        <v>0</v>
      </c>
      <c r="AP1019" s="552">
        <f t="shared" si="673"/>
        <v>0</v>
      </c>
      <c r="AQ1019" s="552">
        <f t="shared" si="673"/>
        <v>0</v>
      </c>
      <c r="AR1019" s="552">
        <f t="shared" si="673"/>
        <v>0</v>
      </c>
      <c r="AS1019" s="552">
        <f t="shared" si="673"/>
        <v>0</v>
      </c>
      <c r="AT1019" s="552">
        <f t="shared" si="673"/>
        <v>0</v>
      </c>
      <c r="AU1019" s="552">
        <f t="shared" si="673"/>
        <v>0</v>
      </c>
      <c r="AV1019" s="552">
        <f t="shared" si="673"/>
        <v>0</v>
      </c>
      <c r="AW1019" s="552">
        <f t="shared" si="673"/>
        <v>0</v>
      </c>
      <c r="AX1019" s="552">
        <f t="shared" si="673"/>
        <v>0</v>
      </c>
      <c r="AY1019" s="552">
        <f t="shared" si="673"/>
        <v>0</v>
      </c>
      <c r="AZ1019" s="552">
        <f t="shared" si="673"/>
        <v>0</v>
      </c>
      <c r="BA1019" s="552">
        <f t="shared" si="673"/>
        <v>0</v>
      </c>
      <c r="BB1019" s="552">
        <f t="shared" si="673"/>
        <v>0</v>
      </c>
      <c r="BC1019" s="552">
        <f t="shared" si="673"/>
        <v>0</v>
      </c>
      <c r="BD1019" s="552">
        <f t="shared" si="673"/>
        <v>0</v>
      </c>
      <c r="BE1019" s="552">
        <f t="shared" si="673"/>
        <v>0</v>
      </c>
      <c r="BF1019" s="552">
        <f t="shared" si="673"/>
        <v>0</v>
      </c>
      <c r="BG1019" s="552">
        <f t="shared" si="673"/>
        <v>0</v>
      </c>
      <c r="BH1019" s="552">
        <f t="shared" si="673"/>
        <v>0</v>
      </c>
      <c r="BI1019" s="552">
        <f t="shared" si="673"/>
        <v>0</v>
      </c>
      <c r="BJ1019" s="552">
        <f t="shared" si="673"/>
        <v>0</v>
      </c>
      <c r="BK1019" s="552">
        <f t="shared" si="673"/>
        <v>0</v>
      </c>
      <c r="BL1019" s="552">
        <f t="shared" si="673"/>
        <v>0</v>
      </c>
      <c r="BM1019" s="552">
        <f t="shared" si="673"/>
        <v>0</v>
      </c>
      <c r="BN1019" s="552">
        <f t="shared" si="673"/>
        <v>0</v>
      </c>
      <c r="BO1019" s="552">
        <f t="shared" si="673"/>
        <v>0</v>
      </c>
      <c r="BP1019" s="552">
        <f t="shared" si="673"/>
        <v>0</v>
      </c>
      <c r="BQ1019" s="552">
        <f t="shared" si="673"/>
        <v>0</v>
      </c>
      <c r="BR1019" s="552">
        <f t="shared" si="673"/>
        <v>0</v>
      </c>
      <c r="BS1019" s="552">
        <f t="shared" si="673"/>
        <v>0</v>
      </c>
      <c r="BT1019" s="552">
        <f t="shared" si="673"/>
        <v>0</v>
      </c>
      <c r="BU1019" s="552">
        <f t="shared" si="673"/>
        <v>0</v>
      </c>
      <c r="BV1019" s="552">
        <f t="shared" si="673"/>
        <v>0</v>
      </c>
      <c r="BW1019" s="552">
        <f t="shared" ref="BW1019:EH1019" si="674">BW53*BW$338</f>
        <v>0</v>
      </c>
      <c r="BX1019" s="552">
        <f t="shared" si="674"/>
        <v>0</v>
      </c>
      <c r="BY1019" s="552">
        <f t="shared" si="674"/>
        <v>0</v>
      </c>
      <c r="BZ1019" s="552">
        <f t="shared" si="674"/>
        <v>0</v>
      </c>
      <c r="CA1019" s="552">
        <f t="shared" si="674"/>
        <v>0</v>
      </c>
      <c r="CB1019" s="552">
        <f t="shared" si="674"/>
        <v>0</v>
      </c>
      <c r="CC1019" s="552">
        <f t="shared" si="674"/>
        <v>0</v>
      </c>
      <c r="CD1019" s="552">
        <f t="shared" si="674"/>
        <v>0</v>
      </c>
      <c r="CE1019" s="552">
        <f t="shared" si="674"/>
        <v>0</v>
      </c>
      <c r="CF1019" s="552">
        <f t="shared" si="674"/>
        <v>0</v>
      </c>
      <c r="CG1019" s="552">
        <f t="shared" si="674"/>
        <v>0</v>
      </c>
      <c r="CH1019" s="552">
        <f t="shared" si="674"/>
        <v>0</v>
      </c>
      <c r="CI1019" s="552">
        <f t="shared" si="674"/>
        <v>0</v>
      </c>
      <c r="CJ1019" s="552">
        <f t="shared" si="674"/>
        <v>0</v>
      </c>
      <c r="CK1019" s="552">
        <f t="shared" si="674"/>
        <v>0</v>
      </c>
      <c r="CL1019" s="552">
        <f t="shared" si="674"/>
        <v>0</v>
      </c>
      <c r="CM1019" s="552">
        <f t="shared" si="674"/>
        <v>0</v>
      </c>
      <c r="CN1019" s="552">
        <f t="shared" si="674"/>
        <v>0</v>
      </c>
      <c r="CO1019" s="552">
        <f t="shared" si="674"/>
        <v>0</v>
      </c>
      <c r="CP1019" s="552">
        <f t="shared" si="674"/>
        <v>0</v>
      </c>
      <c r="CQ1019" s="552">
        <f t="shared" si="674"/>
        <v>0</v>
      </c>
      <c r="CR1019" s="552">
        <f t="shared" si="674"/>
        <v>0</v>
      </c>
      <c r="CS1019" s="552">
        <f t="shared" si="674"/>
        <v>0</v>
      </c>
      <c r="CT1019" s="552">
        <f t="shared" si="674"/>
        <v>0</v>
      </c>
      <c r="CU1019" s="552">
        <f t="shared" si="674"/>
        <v>0</v>
      </c>
      <c r="CV1019" s="552">
        <f t="shared" si="674"/>
        <v>0</v>
      </c>
      <c r="CW1019" s="552">
        <f t="shared" si="674"/>
        <v>0</v>
      </c>
      <c r="CX1019" s="552">
        <f t="shared" si="674"/>
        <v>0</v>
      </c>
      <c r="CY1019" s="552">
        <f t="shared" si="674"/>
        <v>0</v>
      </c>
      <c r="CZ1019" s="552">
        <f t="shared" si="674"/>
        <v>0</v>
      </c>
      <c r="DA1019" s="552">
        <f t="shared" si="674"/>
        <v>0</v>
      </c>
      <c r="DB1019" s="552">
        <f t="shared" si="674"/>
        <v>0</v>
      </c>
      <c r="DC1019" s="552">
        <f t="shared" si="674"/>
        <v>0</v>
      </c>
      <c r="DD1019" s="552">
        <f t="shared" si="674"/>
        <v>0</v>
      </c>
      <c r="DE1019" s="552">
        <f t="shared" si="674"/>
        <v>0</v>
      </c>
      <c r="DF1019" s="552">
        <f t="shared" si="674"/>
        <v>0</v>
      </c>
      <c r="DG1019" s="552">
        <f t="shared" si="674"/>
        <v>0</v>
      </c>
      <c r="DH1019" s="552">
        <f t="shared" si="674"/>
        <v>0</v>
      </c>
      <c r="DI1019" s="552">
        <f t="shared" si="674"/>
        <v>0</v>
      </c>
      <c r="DJ1019" s="552">
        <f t="shared" si="674"/>
        <v>0</v>
      </c>
      <c r="DK1019" s="552">
        <f t="shared" si="674"/>
        <v>0</v>
      </c>
      <c r="DL1019" s="552">
        <f t="shared" si="674"/>
        <v>0</v>
      </c>
      <c r="DM1019" s="552">
        <f t="shared" si="674"/>
        <v>0</v>
      </c>
      <c r="DN1019" s="552">
        <f t="shared" si="674"/>
        <v>0</v>
      </c>
      <c r="DO1019" s="552">
        <f t="shared" si="674"/>
        <v>0</v>
      </c>
      <c r="DP1019" s="552">
        <f t="shared" si="674"/>
        <v>0</v>
      </c>
      <c r="DQ1019" s="552">
        <f t="shared" si="674"/>
        <v>0</v>
      </c>
      <c r="DR1019" s="552">
        <f t="shared" si="674"/>
        <v>0</v>
      </c>
      <c r="DS1019" s="552">
        <f t="shared" si="674"/>
        <v>0</v>
      </c>
      <c r="DT1019" s="552">
        <f t="shared" si="674"/>
        <v>0</v>
      </c>
      <c r="DU1019" s="552">
        <f t="shared" si="674"/>
        <v>0</v>
      </c>
      <c r="DV1019" s="552">
        <f t="shared" si="674"/>
        <v>0</v>
      </c>
      <c r="DW1019" s="552">
        <f t="shared" si="674"/>
        <v>0</v>
      </c>
      <c r="DX1019" s="552">
        <f t="shared" si="674"/>
        <v>0</v>
      </c>
      <c r="DY1019" s="552">
        <f t="shared" si="674"/>
        <v>0</v>
      </c>
      <c r="DZ1019" s="552">
        <f t="shared" si="674"/>
        <v>0</v>
      </c>
      <c r="EA1019" s="552">
        <f t="shared" si="674"/>
        <v>0</v>
      </c>
      <c r="EB1019" s="552">
        <f t="shared" si="674"/>
        <v>2.9</v>
      </c>
      <c r="EC1019" s="552">
        <f t="shared" si="674"/>
        <v>0</v>
      </c>
      <c r="ED1019" s="552">
        <f t="shared" si="674"/>
        <v>0</v>
      </c>
      <c r="EE1019" s="552">
        <f t="shared" si="674"/>
        <v>0</v>
      </c>
      <c r="EF1019" s="552">
        <f t="shared" si="674"/>
        <v>0</v>
      </c>
      <c r="EG1019" s="552">
        <f t="shared" si="674"/>
        <v>0</v>
      </c>
      <c r="EH1019" s="552">
        <f t="shared" si="674"/>
        <v>0</v>
      </c>
      <c r="EI1019" s="552">
        <f t="shared" ref="EI1019:EX1019" si="675">EI53*EI$338</f>
        <v>0</v>
      </c>
      <c r="EJ1019" s="552">
        <f t="shared" si="675"/>
        <v>0</v>
      </c>
      <c r="EK1019" s="552">
        <f t="shared" si="675"/>
        <v>0</v>
      </c>
      <c r="EL1019" s="552">
        <f t="shared" si="675"/>
        <v>0</v>
      </c>
      <c r="EM1019" s="552">
        <f t="shared" si="675"/>
        <v>0</v>
      </c>
      <c r="EN1019" s="552">
        <f t="shared" si="675"/>
        <v>0</v>
      </c>
      <c r="EO1019" s="552">
        <f t="shared" si="675"/>
        <v>0</v>
      </c>
      <c r="EP1019" s="552">
        <f t="shared" si="675"/>
        <v>0</v>
      </c>
      <c r="EQ1019" s="552">
        <f t="shared" si="675"/>
        <v>0</v>
      </c>
      <c r="ER1019" s="552">
        <f t="shared" si="675"/>
        <v>0</v>
      </c>
      <c r="ES1019" s="552">
        <f t="shared" si="675"/>
        <v>0</v>
      </c>
      <c r="ET1019" s="552">
        <f t="shared" si="675"/>
        <v>0</v>
      </c>
      <c r="EU1019" s="552">
        <f t="shared" si="675"/>
        <v>0</v>
      </c>
      <c r="EV1019" s="552">
        <f t="shared" si="675"/>
        <v>0</v>
      </c>
      <c r="EW1019" s="552">
        <f t="shared" si="675"/>
        <v>0</v>
      </c>
      <c r="EX1019" s="552">
        <f t="shared" si="675"/>
        <v>0</v>
      </c>
      <c r="EY1019" s="799">
        <f t="shared" si="527"/>
        <v>2.9</v>
      </c>
      <c r="EZ1019" s="640"/>
      <c r="FA1019" s="640"/>
      <c r="FB1019" s="640"/>
      <c r="FC1019" s="640"/>
      <c r="FD1019" s="640"/>
      <c r="FE1019" s="640"/>
      <c r="FF1019" s="640"/>
      <c r="FG1019" s="640"/>
      <c r="FH1019" s="640"/>
      <c r="FI1019" s="640"/>
      <c r="FJ1019" s="640"/>
      <c r="FK1019" s="640"/>
      <c r="FL1019" s="640"/>
    </row>
    <row r="1020" spans="1:168" s="1034" customFormat="1" x14ac:dyDescent="0.25">
      <c r="A1020" s="1033"/>
      <c r="B1020" s="624">
        <f t="shared" si="650"/>
        <v>0</v>
      </c>
      <c r="C1020" s="624">
        <f t="shared" si="657"/>
        <v>0</v>
      </c>
      <c r="D1020" s="624">
        <f t="shared" si="657"/>
        <v>0</v>
      </c>
      <c r="E1020" s="1158">
        <f t="shared" si="652"/>
        <v>0</v>
      </c>
      <c r="F1020" s="1158"/>
      <c r="G1020" s="1140"/>
      <c r="H1020" s="1140"/>
      <c r="I1020" s="552"/>
      <c r="J1020" s="552">
        <f t="shared" si="653"/>
        <v>0</v>
      </c>
      <c r="K1020" s="552">
        <f t="shared" ref="K1020:BV1020" si="676">K54*K$338</f>
        <v>0</v>
      </c>
      <c r="L1020" s="552">
        <f t="shared" si="676"/>
        <v>0</v>
      </c>
      <c r="M1020" s="552">
        <f t="shared" si="676"/>
        <v>0</v>
      </c>
      <c r="N1020" s="552">
        <f t="shared" si="676"/>
        <v>0</v>
      </c>
      <c r="O1020" s="552">
        <f t="shared" si="676"/>
        <v>0</v>
      </c>
      <c r="P1020" s="552">
        <f t="shared" si="676"/>
        <v>0</v>
      </c>
      <c r="Q1020" s="552">
        <f t="shared" si="676"/>
        <v>0</v>
      </c>
      <c r="R1020" s="552">
        <f t="shared" si="676"/>
        <v>0</v>
      </c>
      <c r="S1020" s="552">
        <f t="shared" si="676"/>
        <v>0</v>
      </c>
      <c r="T1020" s="552">
        <f t="shared" si="676"/>
        <v>0</v>
      </c>
      <c r="U1020" s="552">
        <f t="shared" si="676"/>
        <v>0</v>
      </c>
      <c r="V1020" s="552">
        <f t="shared" si="676"/>
        <v>0</v>
      </c>
      <c r="W1020" s="552">
        <f t="shared" si="676"/>
        <v>0</v>
      </c>
      <c r="X1020" s="552">
        <f t="shared" si="676"/>
        <v>0</v>
      </c>
      <c r="Y1020" s="552">
        <f t="shared" si="676"/>
        <v>0</v>
      </c>
      <c r="Z1020" s="552">
        <f t="shared" si="676"/>
        <v>0</v>
      </c>
      <c r="AA1020" s="552">
        <f t="shared" si="676"/>
        <v>0</v>
      </c>
      <c r="AB1020" s="552">
        <f t="shared" si="676"/>
        <v>0</v>
      </c>
      <c r="AC1020" s="552">
        <f t="shared" si="676"/>
        <v>0</v>
      </c>
      <c r="AD1020" s="552">
        <f t="shared" si="676"/>
        <v>0</v>
      </c>
      <c r="AE1020" s="552">
        <f t="shared" si="676"/>
        <v>0</v>
      </c>
      <c r="AF1020" s="552">
        <f t="shared" si="676"/>
        <v>0</v>
      </c>
      <c r="AG1020" s="552">
        <f t="shared" si="676"/>
        <v>0</v>
      </c>
      <c r="AH1020" s="552">
        <f t="shared" si="676"/>
        <v>0</v>
      </c>
      <c r="AI1020" s="552">
        <f t="shared" si="676"/>
        <v>0</v>
      </c>
      <c r="AJ1020" s="552">
        <f t="shared" si="676"/>
        <v>0</v>
      </c>
      <c r="AK1020" s="552">
        <f t="shared" si="676"/>
        <v>0</v>
      </c>
      <c r="AL1020" s="552">
        <f t="shared" si="676"/>
        <v>0</v>
      </c>
      <c r="AM1020" s="552">
        <f t="shared" si="676"/>
        <v>0</v>
      </c>
      <c r="AN1020" s="552">
        <f t="shared" si="676"/>
        <v>0</v>
      </c>
      <c r="AO1020" s="552">
        <f t="shared" si="676"/>
        <v>0</v>
      </c>
      <c r="AP1020" s="552">
        <f t="shared" si="676"/>
        <v>0</v>
      </c>
      <c r="AQ1020" s="552">
        <f t="shared" si="676"/>
        <v>0</v>
      </c>
      <c r="AR1020" s="552">
        <f t="shared" si="676"/>
        <v>0</v>
      </c>
      <c r="AS1020" s="552">
        <f t="shared" si="676"/>
        <v>0</v>
      </c>
      <c r="AT1020" s="552">
        <f t="shared" si="676"/>
        <v>0</v>
      </c>
      <c r="AU1020" s="552">
        <f t="shared" si="676"/>
        <v>0</v>
      </c>
      <c r="AV1020" s="552">
        <f t="shared" si="676"/>
        <v>0</v>
      </c>
      <c r="AW1020" s="552">
        <f t="shared" si="676"/>
        <v>0</v>
      </c>
      <c r="AX1020" s="552">
        <f t="shared" si="676"/>
        <v>0</v>
      </c>
      <c r="AY1020" s="552">
        <f t="shared" si="676"/>
        <v>0</v>
      </c>
      <c r="AZ1020" s="552">
        <f t="shared" si="676"/>
        <v>0</v>
      </c>
      <c r="BA1020" s="552">
        <f t="shared" si="676"/>
        <v>0</v>
      </c>
      <c r="BB1020" s="552">
        <f t="shared" si="676"/>
        <v>0</v>
      </c>
      <c r="BC1020" s="552">
        <f t="shared" si="676"/>
        <v>0</v>
      </c>
      <c r="BD1020" s="552">
        <f t="shared" si="676"/>
        <v>0</v>
      </c>
      <c r="BE1020" s="552">
        <f t="shared" si="676"/>
        <v>0</v>
      </c>
      <c r="BF1020" s="552">
        <f t="shared" si="676"/>
        <v>0</v>
      </c>
      <c r="BG1020" s="552">
        <f t="shared" si="676"/>
        <v>0</v>
      </c>
      <c r="BH1020" s="552">
        <f t="shared" si="676"/>
        <v>0</v>
      </c>
      <c r="BI1020" s="552">
        <f t="shared" si="676"/>
        <v>0</v>
      </c>
      <c r="BJ1020" s="552">
        <f t="shared" si="676"/>
        <v>0</v>
      </c>
      <c r="BK1020" s="552">
        <f t="shared" si="676"/>
        <v>0</v>
      </c>
      <c r="BL1020" s="552">
        <f t="shared" si="676"/>
        <v>0</v>
      </c>
      <c r="BM1020" s="552">
        <f t="shared" si="676"/>
        <v>0</v>
      </c>
      <c r="BN1020" s="552">
        <f t="shared" si="676"/>
        <v>0</v>
      </c>
      <c r="BO1020" s="552">
        <f t="shared" si="676"/>
        <v>0</v>
      </c>
      <c r="BP1020" s="552">
        <f t="shared" si="676"/>
        <v>0</v>
      </c>
      <c r="BQ1020" s="552">
        <f t="shared" si="676"/>
        <v>0</v>
      </c>
      <c r="BR1020" s="552">
        <f t="shared" si="676"/>
        <v>0</v>
      </c>
      <c r="BS1020" s="552">
        <f t="shared" si="676"/>
        <v>0</v>
      </c>
      <c r="BT1020" s="552">
        <f t="shared" si="676"/>
        <v>0</v>
      </c>
      <c r="BU1020" s="552">
        <f t="shared" si="676"/>
        <v>0</v>
      </c>
      <c r="BV1020" s="552">
        <f t="shared" si="676"/>
        <v>0</v>
      </c>
      <c r="BW1020" s="552">
        <f t="shared" ref="BW1020:EH1020" si="677">BW54*BW$338</f>
        <v>0</v>
      </c>
      <c r="BX1020" s="552">
        <f t="shared" si="677"/>
        <v>0</v>
      </c>
      <c r="BY1020" s="552">
        <f t="shared" si="677"/>
        <v>0</v>
      </c>
      <c r="BZ1020" s="552">
        <f t="shared" si="677"/>
        <v>0</v>
      </c>
      <c r="CA1020" s="552">
        <f t="shared" si="677"/>
        <v>0</v>
      </c>
      <c r="CB1020" s="552">
        <f t="shared" si="677"/>
        <v>0</v>
      </c>
      <c r="CC1020" s="552">
        <f t="shared" si="677"/>
        <v>0</v>
      </c>
      <c r="CD1020" s="552">
        <f t="shared" si="677"/>
        <v>0</v>
      </c>
      <c r="CE1020" s="552">
        <f t="shared" si="677"/>
        <v>0</v>
      </c>
      <c r="CF1020" s="552">
        <f t="shared" si="677"/>
        <v>0</v>
      </c>
      <c r="CG1020" s="552">
        <f t="shared" si="677"/>
        <v>0</v>
      </c>
      <c r="CH1020" s="552">
        <f t="shared" si="677"/>
        <v>0</v>
      </c>
      <c r="CI1020" s="552">
        <f t="shared" si="677"/>
        <v>0</v>
      </c>
      <c r="CJ1020" s="552">
        <f t="shared" si="677"/>
        <v>0</v>
      </c>
      <c r="CK1020" s="552">
        <f t="shared" si="677"/>
        <v>0</v>
      </c>
      <c r="CL1020" s="552">
        <f t="shared" si="677"/>
        <v>0</v>
      </c>
      <c r="CM1020" s="552">
        <f t="shared" si="677"/>
        <v>0</v>
      </c>
      <c r="CN1020" s="552">
        <f t="shared" si="677"/>
        <v>0</v>
      </c>
      <c r="CO1020" s="552">
        <f t="shared" si="677"/>
        <v>0</v>
      </c>
      <c r="CP1020" s="552">
        <f t="shared" si="677"/>
        <v>0</v>
      </c>
      <c r="CQ1020" s="552">
        <f t="shared" si="677"/>
        <v>0</v>
      </c>
      <c r="CR1020" s="552">
        <f t="shared" si="677"/>
        <v>0</v>
      </c>
      <c r="CS1020" s="552">
        <f t="shared" si="677"/>
        <v>0</v>
      </c>
      <c r="CT1020" s="552">
        <f t="shared" si="677"/>
        <v>0</v>
      </c>
      <c r="CU1020" s="552">
        <f t="shared" si="677"/>
        <v>0</v>
      </c>
      <c r="CV1020" s="552">
        <f t="shared" si="677"/>
        <v>0</v>
      </c>
      <c r="CW1020" s="552">
        <f t="shared" si="677"/>
        <v>0</v>
      </c>
      <c r="CX1020" s="552">
        <f t="shared" si="677"/>
        <v>0</v>
      </c>
      <c r="CY1020" s="552">
        <f t="shared" si="677"/>
        <v>0</v>
      </c>
      <c r="CZ1020" s="552">
        <f t="shared" si="677"/>
        <v>0</v>
      </c>
      <c r="DA1020" s="552">
        <f t="shared" si="677"/>
        <v>0</v>
      </c>
      <c r="DB1020" s="552">
        <f t="shared" si="677"/>
        <v>0</v>
      </c>
      <c r="DC1020" s="552">
        <f t="shared" si="677"/>
        <v>0</v>
      </c>
      <c r="DD1020" s="552">
        <f t="shared" si="677"/>
        <v>0</v>
      </c>
      <c r="DE1020" s="552">
        <f t="shared" si="677"/>
        <v>0</v>
      </c>
      <c r="DF1020" s="552">
        <f t="shared" si="677"/>
        <v>0</v>
      </c>
      <c r="DG1020" s="552">
        <f t="shared" si="677"/>
        <v>0</v>
      </c>
      <c r="DH1020" s="552">
        <f t="shared" si="677"/>
        <v>0</v>
      </c>
      <c r="DI1020" s="552">
        <f t="shared" si="677"/>
        <v>0</v>
      </c>
      <c r="DJ1020" s="552">
        <f t="shared" si="677"/>
        <v>0</v>
      </c>
      <c r="DK1020" s="552">
        <f t="shared" si="677"/>
        <v>0</v>
      </c>
      <c r="DL1020" s="552">
        <f t="shared" si="677"/>
        <v>0</v>
      </c>
      <c r="DM1020" s="552">
        <f t="shared" si="677"/>
        <v>0</v>
      </c>
      <c r="DN1020" s="552">
        <f t="shared" si="677"/>
        <v>0</v>
      </c>
      <c r="DO1020" s="552">
        <f t="shared" si="677"/>
        <v>0</v>
      </c>
      <c r="DP1020" s="552">
        <f t="shared" si="677"/>
        <v>0</v>
      </c>
      <c r="DQ1020" s="552">
        <f t="shared" si="677"/>
        <v>0</v>
      </c>
      <c r="DR1020" s="552">
        <f t="shared" si="677"/>
        <v>0</v>
      </c>
      <c r="DS1020" s="552">
        <f t="shared" si="677"/>
        <v>0</v>
      </c>
      <c r="DT1020" s="552">
        <f t="shared" si="677"/>
        <v>0</v>
      </c>
      <c r="DU1020" s="552">
        <f t="shared" si="677"/>
        <v>0</v>
      </c>
      <c r="DV1020" s="552">
        <f t="shared" si="677"/>
        <v>0</v>
      </c>
      <c r="DW1020" s="552">
        <f t="shared" si="677"/>
        <v>0</v>
      </c>
      <c r="DX1020" s="552">
        <f t="shared" si="677"/>
        <v>0</v>
      </c>
      <c r="DY1020" s="552">
        <f t="shared" si="677"/>
        <v>0</v>
      </c>
      <c r="DZ1020" s="552">
        <f t="shared" si="677"/>
        <v>0</v>
      </c>
      <c r="EA1020" s="552">
        <f t="shared" si="677"/>
        <v>0</v>
      </c>
      <c r="EB1020" s="552">
        <f t="shared" si="677"/>
        <v>0</v>
      </c>
      <c r="EC1020" s="552">
        <f t="shared" si="677"/>
        <v>0</v>
      </c>
      <c r="ED1020" s="552">
        <f t="shared" si="677"/>
        <v>0</v>
      </c>
      <c r="EE1020" s="552">
        <f t="shared" si="677"/>
        <v>0</v>
      </c>
      <c r="EF1020" s="552">
        <f t="shared" si="677"/>
        <v>0</v>
      </c>
      <c r="EG1020" s="552">
        <f t="shared" si="677"/>
        <v>0</v>
      </c>
      <c r="EH1020" s="552">
        <f t="shared" si="677"/>
        <v>0</v>
      </c>
      <c r="EI1020" s="552">
        <f t="shared" ref="EI1020:EX1020" si="678">EI54*EI$338</f>
        <v>0</v>
      </c>
      <c r="EJ1020" s="552">
        <f t="shared" si="678"/>
        <v>0</v>
      </c>
      <c r="EK1020" s="552">
        <f t="shared" si="678"/>
        <v>0</v>
      </c>
      <c r="EL1020" s="552">
        <f t="shared" si="678"/>
        <v>0</v>
      </c>
      <c r="EM1020" s="552">
        <f t="shared" si="678"/>
        <v>0</v>
      </c>
      <c r="EN1020" s="552">
        <f t="shared" si="678"/>
        <v>0</v>
      </c>
      <c r="EO1020" s="552">
        <f t="shared" si="678"/>
        <v>0</v>
      </c>
      <c r="EP1020" s="552">
        <f t="shared" si="678"/>
        <v>0</v>
      </c>
      <c r="EQ1020" s="552">
        <f t="shared" si="678"/>
        <v>0</v>
      </c>
      <c r="ER1020" s="552">
        <f t="shared" si="678"/>
        <v>0</v>
      </c>
      <c r="ES1020" s="552">
        <f t="shared" si="678"/>
        <v>0</v>
      </c>
      <c r="ET1020" s="552">
        <f t="shared" si="678"/>
        <v>0</v>
      </c>
      <c r="EU1020" s="552">
        <f t="shared" si="678"/>
        <v>0</v>
      </c>
      <c r="EV1020" s="552">
        <f t="shared" si="678"/>
        <v>0</v>
      </c>
      <c r="EW1020" s="552">
        <f t="shared" si="678"/>
        <v>0</v>
      </c>
      <c r="EX1020" s="552">
        <f t="shared" si="678"/>
        <v>0</v>
      </c>
      <c r="EY1020" s="799">
        <f t="shared" si="527"/>
        <v>0</v>
      </c>
      <c r="EZ1020" s="640"/>
      <c r="FA1020" s="640"/>
      <c r="FB1020" s="640"/>
      <c r="FC1020" s="640"/>
      <c r="FD1020" s="640"/>
      <c r="FE1020" s="640"/>
      <c r="FF1020" s="640"/>
      <c r="FG1020" s="640"/>
      <c r="FH1020" s="640"/>
      <c r="FI1020" s="640"/>
      <c r="FJ1020" s="640"/>
      <c r="FK1020" s="640"/>
      <c r="FL1020" s="640"/>
    </row>
    <row r="1021" spans="1:168" s="1034" customFormat="1" x14ac:dyDescent="0.25">
      <c r="A1021" s="1033"/>
      <c r="B1021" s="624">
        <f t="shared" si="650"/>
        <v>0</v>
      </c>
      <c r="C1021" s="624">
        <f t="shared" si="657"/>
        <v>0</v>
      </c>
      <c r="D1021" s="624">
        <f t="shared" si="657"/>
        <v>0</v>
      </c>
      <c r="E1021" s="1158">
        <f t="shared" si="652"/>
        <v>0</v>
      </c>
      <c r="F1021" s="1158"/>
      <c r="G1021" s="1140"/>
      <c r="H1021" s="1140"/>
      <c r="I1021" s="552"/>
      <c r="J1021" s="552">
        <f t="shared" si="653"/>
        <v>0</v>
      </c>
      <c r="K1021" s="552">
        <f t="shared" ref="K1021:BV1021" si="679">K55*K$338</f>
        <v>0</v>
      </c>
      <c r="L1021" s="552">
        <f t="shared" si="679"/>
        <v>0</v>
      </c>
      <c r="M1021" s="552">
        <f t="shared" si="679"/>
        <v>0</v>
      </c>
      <c r="N1021" s="552">
        <f t="shared" si="679"/>
        <v>0</v>
      </c>
      <c r="O1021" s="552">
        <f t="shared" si="679"/>
        <v>0</v>
      </c>
      <c r="P1021" s="552">
        <f t="shared" si="679"/>
        <v>0</v>
      </c>
      <c r="Q1021" s="552">
        <f t="shared" si="679"/>
        <v>0</v>
      </c>
      <c r="R1021" s="552">
        <f t="shared" si="679"/>
        <v>0</v>
      </c>
      <c r="S1021" s="552">
        <f t="shared" si="679"/>
        <v>0</v>
      </c>
      <c r="T1021" s="552">
        <f t="shared" si="679"/>
        <v>0</v>
      </c>
      <c r="U1021" s="552">
        <f t="shared" si="679"/>
        <v>0</v>
      </c>
      <c r="V1021" s="552">
        <f t="shared" si="679"/>
        <v>0</v>
      </c>
      <c r="W1021" s="552">
        <f t="shared" si="679"/>
        <v>0</v>
      </c>
      <c r="X1021" s="552">
        <f t="shared" si="679"/>
        <v>0</v>
      </c>
      <c r="Y1021" s="552">
        <f t="shared" si="679"/>
        <v>0</v>
      </c>
      <c r="Z1021" s="552">
        <f t="shared" si="679"/>
        <v>0</v>
      </c>
      <c r="AA1021" s="552">
        <f t="shared" si="679"/>
        <v>0</v>
      </c>
      <c r="AB1021" s="552">
        <f t="shared" si="679"/>
        <v>0</v>
      </c>
      <c r="AC1021" s="552">
        <f t="shared" si="679"/>
        <v>0</v>
      </c>
      <c r="AD1021" s="552">
        <f t="shared" si="679"/>
        <v>0</v>
      </c>
      <c r="AE1021" s="552">
        <f t="shared" si="679"/>
        <v>0</v>
      </c>
      <c r="AF1021" s="552">
        <f t="shared" si="679"/>
        <v>0</v>
      </c>
      <c r="AG1021" s="552">
        <f t="shared" si="679"/>
        <v>0</v>
      </c>
      <c r="AH1021" s="552">
        <f t="shared" si="679"/>
        <v>0</v>
      </c>
      <c r="AI1021" s="552">
        <f t="shared" si="679"/>
        <v>0</v>
      </c>
      <c r="AJ1021" s="552">
        <f t="shared" si="679"/>
        <v>0</v>
      </c>
      <c r="AK1021" s="552">
        <f t="shared" si="679"/>
        <v>0</v>
      </c>
      <c r="AL1021" s="552">
        <f t="shared" si="679"/>
        <v>0</v>
      </c>
      <c r="AM1021" s="552">
        <f t="shared" si="679"/>
        <v>0</v>
      </c>
      <c r="AN1021" s="552">
        <f t="shared" si="679"/>
        <v>0</v>
      </c>
      <c r="AO1021" s="552">
        <f t="shared" si="679"/>
        <v>0</v>
      </c>
      <c r="AP1021" s="552">
        <f t="shared" si="679"/>
        <v>0</v>
      </c>
      <c r="AQ1021" s="552">
        <f t="shared" si="679"/>
        <v>0</v>
      </c>
      <c r="AR1021" s="552">
        <f t="shared" si="679"/>
        <v>0</v>
      </c>
      <c r="AS1021" s="552">
        <f t="shared" si="679"/>
        <v>0</v>
      </c>
      <c r="AT1021" s="552">
        <f t="shared" si="679"/>
        <v>0</v>
      </c>
      <c r="AU1021" s="552">
        <f t="shared" si="679"/>
        <v>0</v>
      </c>
      <c r="AV1021" s="552">
        <f t="shared" si="679"/>
        <v>0</v>
      </c>
      <c r="AW1021" s="552">
        <f t="shared" si="679"/>
        <v>0</v>
      </c>
      <c r="AX1021" s="552">
        <f t="shared" si="679"/>
        <v>0</v>
      </c>
      <c r="AY1021" s="552">
        <f t="shared" si="679"/>
        <v>0</v>
      </c>
      <c r="AZ1021" s="552">
        <f t="shared" si="679"/>
        <v>0</v>
      </c>
      <c r="BA1021" s="552">
        <f t="shared" si="679"/>
        <v>0</v>
      </c>
      <c r="BB1021" s="552">
        <f t="shared" si="679"/>
        <v>0</v>
      </c>
      <c r="BC1021" s="552">
        <f t="shared" si="679"/>
        <v>0</v>
      </c>
      <c r="BD1021" s="552">
        <f t="shared" si="679"/>
        <v>0</v>
      </c>
      <c r="BE1021" s="552">
        <f t="shared" si="679"/>
        <v>0</v>
      </c>
      <c r="BF1021" s="552">
        <f t="shared" si="679"/>
        <v>0</v>
      </c>
      <c r="BG1021" s="552">
        <f t="shared" si="679"/>
        <v>0</v>
      </c>
      <c r="BH1021" s="552">
        <f t="shared" si="679"/>
        <v>0</v>
      </c>
      <c r="BI1021" s="552">
        <f t="shared" si="679"/>
        <v>0</v>
      </c>
      <c r="BJ1021" s="552">
        <f t="shared" si="679"/>
        <v>0</v>
      </c>
      <c r="BK1021" s="552">
        <f t="shared" si="679"/>
        <v>0</v>
      </c>
      <c r="BL1021" s="552">
        <f t="shared" si="679"/>
        <v>0</v>
      </c>
      <c r="BM1021" s="552">
        <f t="shared" si="679"/>
        <v>0</v>
      </c>
      <c r="BN1021" s="552">
        <f t="shared" si="679"/>
        <v>0</v>
      </c>
      <c r="BO1021" s="552">
        <f t="shared" si="679"/>
        <v>0</v>
      </c>
      <c r="BP1021" s="552">
        <f t="shared" si="679"/>
        <v>0</v>
      </c>
      <c r="BQ1021" s="552">
        <f t="shared" si="679"/>
        <v>0</v>
      </c>
      <c r="BR1021" s="552">
        <f t="shared" si="679"/>
        <v>0</v>
      </c>
      <c r="BS1021" s="552">
        <f t="shared" si="679"/>
        <v>0</v>
      </c>
      <c r="BT1021" s="552">
        <f t="shared" si="679"/>
        <v>0</v>
      </c>
      <c r="BU1021" s="552">
        <f t="shared" si="679"/>
        <v>0</v>
      </c>
      <c r="BV1021" s="552">
        <f t="shared" si="679"/>
        <v>0</v>
      </c>
      <c r="BW1021" s="552">
        <f t="shared" ref="BW1021:EH1021" si="680">BW55*BW$338</f>
        <v>0</v>
      </c>
      <c r="BX1021" s="552">
        <f t="shared" si="680"/>
        <v>0</v>
      </c>
      <c r="BY1021" s="552">
        <f t="shared" si="680"/>
        <v>0</v>
      </c>
      <c r="BZ1021" s="552">
        <f t="shared" si="680"/>
        <v>0</v>
      </c>
      <c r="CA1021" s="552">
        <f t="shared" si="680"/>
        <v>0</v>
      </c>
      <c r="CB1021" s="552">
        <f t="shared" si="680"/>
        <v>0</v>
      </c>
      <c r="CC1021" s="552">
        <f t="shared" si="680"/>
        <v>0</v>
      </c>
      <c r="CD1021" s="552">
        <f t="shared" si="680"/>
        <v>0</v>
      </c>
      <c r="CE1021" s="552">
        <f t="shared" si="680"/>
        <v>0</v>
      </c>
      <c r="CF1021" s="552">
        <f t="shared" si="680"/>
        <v>0</v>
      </c>
      <c r="CG1021" s="552">
        <f t="shared" si="680"/>
        <v>0</v>
      </c>
      <c r="CH1021" s="552">
        <f t="shared" si="680"/>
        <v>0</v>
      </c>
      <c r="CI1021" s="552">
        <f t="shared" si="680"/>
        <v>0</v>
      </c>
      <c r="CJ1021" s="552">
        <f t="shared" si="680"/>
        <v>0</v>
      </c>
      <c r="CK1021" s="552">
        <f t="shared" si="680"/>
        <v>0</v>
      </c>
      <c r="CL1021" s="552">
        <f t="shared" si="680"/>
        <v>0</v>
      </c>
      <c r="CM1021" s="552">
        <f t="shared" si="680"/>
        <v>0</v>
      </c>
      <c r="CN1021" s="552">
        <f t="shared" si="680"/>
        <v>0</v>
      </c>
      <c r="CO1021" s="552">
        <f t="shared" si="680"/>
        <v>0</v>
      </c>
      <c r="CP1021" s="552">
        <f t="shared" si="680"/>
        <v>0</v>
      </c>
      <c r="CQ1021" s="552">
        <f t="shared" si="680"/>
        <v>0</v>
      </c>
      <c r="CR1021" s="552">
        <f t="shared" si="680"/>
        <v>0</v>
      </c>
      <c r="CS1021" s="552">
        <f t="shared" si="680"/>
        <v>0</v>
      </c>
      <c r="CT1021" s="552">
        <f t="shared" si="680"/>
        <v>0</v>
      </c>
      <c r="CU1021" s="552">
        <f t="shared" si="680"/>
        <v>0</v>
      </c>
      <c r="CV1021" s="552">
        <f t="shared" si="680"/>
        <v>0</v>
      </c>
      <c r="CW1021" s="552">
        <f t="shared" si="680"/>
        <v>0</v>
      </c>
      <c r="CX1021" s="552">
        <f t="shared" si="680"/>
        <v>0</v>
      </c>
      <c r="CY1021" s="552">
        <f t="shared" si="680"/>
        <v>0</v>
      </c>
      <c r="CZ1021" s="552">
        <f t="shared" si="680"/>
        <v>0</v>
      </c>
      <c r="DA1021" s="552">
        <f t="shared" si="680"/>
        <v>0</v>
      </c>
      <c r="DB1021" s="552">
        <f t="shared" si="680"/>
        <v>0</v>
      </c>
      <c r="DC1021" s="552">
        <f t="shared" si="680"/>
        <v>0</v>
      </c>
      <c r="DD1021" s="552">
        <f t="shared" si="680"/>
        <v>0</v>
      </c>
      <c r="DE1021" s="552">
        <f t="shared" si="680"/>
        <v>0</v>
      </c>
      <c r="DF1021" s="552">
        <f t="shared" si="680"/>
        <v>0</v>
      </c>
      <c r="DG1021" s="552">
        <f t="shared" si="680"/>
        <v>0</v>
      </c>
      <c r="DH1021" s="552">
        <f t="shared" si="680"/>
        <v>0</v>
      </c>
      <c r="DI1021" s="552">
        <f t="shared" si="680"/>
        <v>0</v>
      </c>
      <c r="DJ1021" s="552">
        <f t="shared" si="680"/>
        <v>0</v>
      </c>
      <c r="DK1021" s="552">
        <f t="shared" si="680"/>
        <v>0</v>
      </c>
      <c r="DL1021" s="552">
        <f t="shared" si="680"/>
        <v>0</v>
      </c>
      <c r="DM1021" s="552">
        <f t="shared" si="680"/>
        <v>0</v>
      </c>
      <c r="DN1021" s="552">
        <f t="shared" si="680"/>
        <v>0</v>
      </c>
      <c r="DO1021" s="552">
        <f t="shared" si="680"/>
        <v>0</v>
      </c>
      <c r="DP1021" s="552">
        <f t="shared" si="680"/>
        <v>0</v>
      </c>
      <c r="DQ1021" s="552">
        <f t="shared" si="680"/>
        <v>0</v>
      </c>
      <c r="DR1021" s="552">
        <f t="shared" si="680"/>
        <v>0</v>
      </c>
      <c r="DS1021" s="552">
        <f t="shared" si="680"/>
        <v>0</v>
      </c>
      <c r="DT1021" s="552">
        <f t="shared" si="680"/>
        <v>0</v>
      </c>
      <c r="DU1021" s="552">
        <f t="shared" si="680"/>
        <v>0</v>
      </c>
      <c r="DV1021" s="552">
        <f t="shared" si="680"/>
        <v>0</v>
      </c>
      <c r="DW1021" s="552">
        <f t="shared" si="680"/>
        <v>0</v>
      </c>
      <c r="DX1021" s="552">
        <f t="shared" si="680"/>
        <v>0</v>
      </c>
      <c r="DY1021" s="552">
        <f t="shared" si="680"/>
        <v>0</v>
      </c>
      <c r="DZ1021" s="552">
        <f t="shared" si="680"/>
        <v>0</v>
      </c>
      <c r="EA1021" s="552">
        <f t="shared" si="680"/>
        <v>0</v>
      </c>
      <c r="EB1021" s="552">
        <f t="shared" si="680"/>
        <v>0</v>
      </c>
      <c r="EC1021" s="552">
        <f t="shared" si="680"/>
        <v>0</v>
      </c>
      <c r="ED1021" s="552">
        <f t="shared" si="680"/>
        <v>0</v>
      </c>
      <c r="EE1021" s="552">
        <f t="shared" si="680"/>
        <v>0</v>
      </c>
      <c r="EF1021" s="552">
        <f t="shared" si="680"/>
        <v>0</v>
      </c>
      <c r="EG1021" s="552">
        <f t="shared" si="680"/>
        <v>0</v>
      </c>
      <c r="EH1021" s="552">
        <f t="shared" si="680"/>
        <v>0</v>
      </c>
      <c r="EI1021" s="552">
        <f t="shared" ref="EI1021:EX1021" si="681">EI55*EI$338</f>
        <v>0</v>
      </c>
      <c r="EJ1021" s="552">
        <f t="shared" si="681"/>
        <v>0</v>
      </c>
      <c r="EK1021" s="552">
        <f t="shared" si="681"/>
        <v>0</v>
      </c>
      <c r="EL1021" s="552">
        <f t="shared" si="681"/>
        <v>0</v>
      </c>
      <c r="EM1021" s="552">
        <f t="shared" si="681"/>
        <v>0</v>
      </c>
      <c r="EN1021" s="552">
        <f t="shared" si="681"/>
        <v>0</v>
      </c>
      <c r="EO1021" s="552">
        <f t="shared" si="681"/>
        <v>0</v>
      </c>
      <c r="EP1021" s="552">
        <f t="shared" si="681"/>
        <v>0</v>
      </c>
      <c r="EQ1021" s="552">
        <f t="shared" si="681"/>
        <v>0</v>
      </c>
      <c r="ER1021" s="552">
        <f t="shared" si="681"/>
        <v>0</v>
      </c>
      <c r="ES1021" s="552">
        <f t="shared" si="681"/>
        <v>0</v>
      </c>
      <c r="ET1021" s="552">
        <f t="shared" si="681"/>
        <v>0</v>
      </c>
      <c r="EU1021" s="552">
        <f t="shared" si="681"/>
        <v>0</v>
      </c>
      <c r="EV1021" s="552">
        <f t="shared" si="681"/>
        <v>0</v>
      </c>
      <c r="EW1021" s="552">
        <f t="shared" si="681"/>
        <v>0</v>
      </c>
      <c r="EX1021" s="552">
        <f t="shared" si="681"/>
        <v>0</v>
      </c>
      <c r="EY1021" s="799">
        <f t="shared" si="527"/>
        <v>0</v>
      </c>
      <c r="EZ1021" s="640"/>
      <c r="FA1021" s="640"/>
      <c r="FB1021" s="640"/>
      <c r="FC1021" s="640"/>
      <c r="FD1021" s="640"/>
      <c r="FE1021" s="640"/>
      <c r="FF1021" s="640"/>
      <c r="FG1021" s="640"/>
      <c r="FH1021" s="640"/>
      <c r="FI1021" s="640"/>
      <c r="FJ1021" s="640"/>
      <c r="FK1021" s="640"/>
      <c r="FL1021" s="640"/>
    </row>
    <row r="1022" spans="1:168" x14ac:dyDescent="0.25">
      <c r="A1022" s="254">
        <v>0</v>
      </c>
      <c r="B1022" s="625" t="s">
        <v>111</v>
      </c>
      <c r="C1022" s="1135"/>
      <c r="D1022" s="1138">
        <f>SUM(D1013:D1021)</f>
        <v>18.62</v>
      </c>
      <c r="E1022" s="1138">
        <f t="shared" ref="E1022:G1022" si="682">SUM(E1013:E1021)</f>
        <v>45.55</v>
      </c>
      <c r="F1022" s="1138"/>
      <c r="G1022" s="1138">
        <f t="shared" si="682"/>
        <v>0</v>
      </c>
      <c r="H1022" s="1138">
        <f t="shared" ref="H1022" si="683">SUM(H1013:H1021)</f>
        <v>0</v>
      </c>
      <c r="I1022" s="554"/>
      <c r="J1022" s="1138">
        <f t="shared" ref="J1022" si="684">SUM(J1013:J1021)</f>
        <v>0</v>
      </c>
      <c r="K1022" s="1138">
        <f t="shared" ref="K1022" si="685">SUM(K1013:K1021)</f>
        <v>0</v>
      </c>
      <c r="L1022" s="1138">
        <f t="shared" ref="L1022" si="686">SUM(L1013:L1021)</f>
        <v>0</v>
      </c>
      <c r="M1022" s="1138">
        <f t="shared" ref="M1022" si="687">SUM(M1013:M1021)</f>
        <v>0</v>
      </c>
      <c r="N1022" s="1138">
        <f t="shared" ref="N1022" si="688">SUM(N1013:N1021)</f>
        <v>0</v>
      </c>
      <c r="O1022" s="1138">
        <f t="shared" ref="O1022" si="689">SUM(O1013:O1021)</f>
        <v>0</v>
      </c>
      <c r="P1022" s="1138">
        <f t="shared" ref="P1022" si="690">SUM(P1013:P1021)</f>
        <v>0</v>
      </c>
      <c r="Q1022" s="1138">
        <f t="shared" ref="Q1022" si="691">SUM(Q1013:Q1021)</f>
        <v>0</v>
      </c>
      <c r="R1022" s="1138">
        <f t="shared" ref="R1022" si="692">SUM(R1013:R1021)</f>
        <v>0</v>
      </c>
      <c r="S1022" s="1138">
        <f t="shared" ref="S1022" si="693">SUM(S1013:S1021)</f>
        <v>0</v>
      </c>
      <c r="T1022" s="1138">
        <f t="shared" ref="T1022" si="694">SUM(T1013:T1021)</f>
        <v>0</v>
      </c>
      <c r="U1022" s="1138">
        <f t="shared" ref="U1022" si="695">SUM(U1013:U1021)</f>
        <v>2.73</v>
      </c>
      <c r="V1022" s="1138">
        <f t="shared" ref="V1022" si="696">SUM(V1013:V1021)</f>
        <v>14.2</v>
      </c>
      <c r="W1022" s="1138">
        <f t="shared" ref="W1022" si="697">SUM(W1013:W1021)</f>
        <v>0</v>
      </c>
      <c r="X1022" s="1138">
        <f t="shared" ref="X1022" si="698">SUM(X1013:X1021)</f>
        <v>0</v>
      </c>
      <c r="Y1022" s="1138">
        <f t="shared" ref="Y1022" si="699">SUM(Y1013:Y1021)</f>
        <v>0</v>
      </c>
      <c r="Z1022" s="1138">
        <f t="shared" ref="Z1022" si="700">SUM(Z1013:Z1021)</f>
        <v>0</v>
      </c>
      <c r="AA1022" s="1138">
        <f t="shared" ref="AA1022" si="701">SUM(AA1013:AA1021)</f>
        <v>0</v>
      </c>
      <c r="AB1022" s="1138">
        <f t="shared" ref="AB1022" si="702">SUM(AB1013:AB1021)</f>
        <v>0</v>
      </c>
      <c r="AC1022" s="1138">
        <f t="shared" ref="AC1022" si="703">SUM(AC1013:AC1021)</f>
        <v>0</v>
      </c>
      <c r="AD1022" s="1138">
        <f t="shared" ref="AD1022" si="704">SUM(AD1013:AD1021)</f>
        <v>0</v>
      </c>
      <c r="AE1022" s="1138">
        <f t="shared" ref="AE1022" si="705">SUM(AE1013:AE1021)</f>
        <v>15.9</v>
      </c>
      <c r="AF1022" s="1138">
        <f t="shared" ref="AF1022" si="706">SUM(AF1013:AF1021)</f>
        <v>0</v>
      </c>
      <c r="AG1022" s="1138">
        <f t="shared" ref="AG1022" si="707">SUM(AG1013:AG1021)</f>
        <v>0</v>
      </c>
      <c r="AH1022" s="1138">
        <f t="shared" ref="AH1022" si="708">SUM(AH1013:AH1021)</f>
        <v>0</v>
      </c>
      <c r="AI1022" s="1138">
        <f t="shared" ref="AI1022" si="709">SUM(AI1013:AI1021)</f>
        <v>0</v>
      </c>
      <c r="AJ1022" s="1138">
        <f t="shared" ref="AJ1022" si="710">SUM(AJ1013:AJ1021)</f>
        <v>0</v>
      </c>
      <c r="AK1022" s="1138">
        <f t="shared" ref="AK1022" si="711">SUM(AK1013:AK1021)</f>
        <v>0</v>
      </c>
      <c r="AL1022" s="1138">
        <f t="shared" ref="AL1022" si="712">SUM(AL1013:AL1021)</f>
        <v>0.6</v>
      </c>
      <c r="AM1022" s="1138">
        <f t="shared" ref="AM1022" si="713">SUM(AM1013:AM1021)</f>
        <v>0</v>
      </c>
      <c r="AN1022" s="1138">
        <f t="shared" ref="AN1022" si="714">SUM(AN1013:AN1021)</f>
        <v>0</v>
      </c>
      <c r="AO1022" s="1138">
        <f t="shared" ref="AO1022" si="715">SUM(AO1013:AO1021)</f>
        <v>0</v>
      </c>
      <c r="AP1022" s="1138">
        <f t="shared" ref="AP1022" si="716">SUM(AP1013:AP1021)</f>
        <v>0</v>
      </c>
      <c r="AQ1022" s="1138">
        <f t="shared" ref="AQ1022" si="717">SUM(AQ1013:AQ1021)</f>
        <v>0</v>
      </c>
      <c r="AR1022" s="1138">
        <f t="shared" ref="AR1022" si="718">SUM(AR1013:AR1021)</f>
        <v>0</v>
      </c>
      <c r="AS1022" s="1138">
        <f t="shared" ref="AS1022" si="719">SUM(AS1013:AS1021)</f>
        <v>0</v>
      </c>
      <c r="AT1022" s="1138">
        <f t="shared" ref="AT1022" si="720">SUM(AT1013:AT1021)</f>
        <v>0</v>
      </c>
      <c r="AU1022" s="1138">
        <f t="shared" ref="AU1022" si="721">SUM(AU1013:AU1021)</f>
        <v>1.2</v>
      </c>
      <c r="AV1022" s="1138">
        <f t="shared" ref="AV1022" si="722">SUM(AV1013:AV1021)</f>
        <v>0</v>
      </c>
      <c r="AW1022" s="1138">
        <f t="shared" ref="AW1022" si="723">SUM(AW1013:AW1021)</f>
        <v>0</v>
      </c>
      <c r="AX1022" s="1138">
        <f t="shared" ref="AX1022" si="724">SUM(AX1013:AX1021)</f>
        <v>0</v>
      </c>
      <c r="AY1022" s="1138">
        <f t="shared" ref="AY1022" si="725">SUM(AY1013:AY1021)</f>
        <v>0</v>
      </c>
      <c r="AZ1022" s="1138">
        <f t="shared" ref="AZ1022" si="726">SUM(AZ1013:AZ1021)</f>
        <v>0</v>
      </c>
      <c r="BA1022" s="1138">
        <f t="shared" ref="BA1022" si="727">SUM(BA1013:BA1021)</f>
        <v>0</v>
      </c>
      <c r="BB1022" s="1138">
        <f t="shared" ref="BB1022" si="728">SUM(BB1013:BB1021)</f>
        <v>0</v>
      </c>
      <c r="BC1022" s="1138">
        <f t="shared" ref="BC1022" si="729">SUM(BC1013:BC1021)</f>
        <v>0</v>
      </c>
      <c r="BD1022" s="1138">
        <f t="shared" ref="BD1022" si="730">SUM(BD1013:BD1021)</f>
        <v>0</v>
      </c>
      <c r="BE1022" s="1138">
        <f t="shared" ref="BE1022" si="731">SUM(BE1013:BE1021)</f>
        <v>0</v>
      </c>
      <c r="BF1022" s="1138">
        <f t="shared" ref="BF1022" si="732">SUM(BF1013:BF1021)</f>
        <v>0</v>
      </c>
      <c r="BG1022" s="1138">
        <f t="shared" ref="BG1022" si="733">SUM(BG1013:BG1021)</f>
        <v>0</v>
      </c>
      <c r="BH1022" s="1138">
        <f t="shared" ref="BH1022" si="734">SUM(BH1013:BH1021)</f>
        <v>0</v>
      </c>
      <c r="BI1022" s="1138">
        <f t="shared" ref="BI1022" si="735">SUM(BI1013:BI1021)</f>
        <v>0</v>
      </c>
      <c r="BJ1022" s="1138">
        <f t="shared" ref="BJ1022" si="736">SUM(BJ1013:BJ1021)</f>
        <v>0</v>
      </c>
      <c r="BK1022" s="1138">
        <f t="shared" ref="BK1022" si="737">SUM(BK1013:BK1021)</f>
        <v>0</v>
      </c>
      <c r="BL1022" s="1138">
        <f t="shared" ref="BL1022" si="738">SUM(BL1013:BL1021)</f>
        <v>0</v>
      </c>
      <c r="BM1022" s="1138">
        <f t="shared" ref="BM1022" si="739">SUM(BM1013:BM1021)</f>
        <v>0</v>
      </c>
      <c r="BN1022" s="1138">
        <f t="shared" ref="BN1022" si="740">SUM(BN1013:BN1021)</f>
        <v>0</v>
      </c>
      <c r="BO1022" s="1138">
        <f t="shared" ref="BO1022" si="741">SUM(BO1013:BO1021)</f>
        <v>0</v>
      </c>
      <c r="BP1022" s="1138">
        <f t="shared" ref="BP1022" si="742">SUM(BP1013:BP1021)</f>
        <v>0</v>
      </c>
      <c r="BQ1022" s="1138">
        <f t="shared" ref="BQ1022" si="743">SUM(BQ1013:BQ1021)</f>
        <v>0</v>
      </c>
      <c r="BR1022" s="1138">
        <f t="shared" ref="BR1022" si="744">SUM(BR1013:BR1021)</f>
        <v>0</v>
      </c>
      <c r="BS1022" s="1138">
        <f t="shared" ref="BS1022" si="745">SUM(BS1013:BS1021)</f>
        <v>0</v>
      </c>
      <c r="BT1022" s="1138">
        <f t="shared" ref="BT1022" si="746">SUM(BT1013:BT1021)</f>
        <v>0</v>
      </c>
      <c r="BU1022" s="1138">
        <f t="shared" ref="BU1022" si="747">SUM(BU1013:BU1021)</f>
        <v>0</v>
      </c>
      <c r="BV1022" s="1138">
        <f t="shared" ref="BV1022" si="748">SUM(BV1013:BV1021)</f>
        <v>0</v>
      </c>
      <c r="BW1022" s="1138">
        <f t="shared" ref="BW1022" si="749">SUM(BW1013:BW1021)</f>
        <v>0</v>
      </c>
      <c r="BX1022" s="1138">
        <f t="shared" ref="BX1022" si="750">SUM(BX1013:BX1021)</f>
        <v>0</v>
      </c>
      <c r="BY1022" s="1138">
        <f t="shared" ref="BY1022" si="751">SUM(BY1013:BY1021)</f>
        <v>0</v>
      </c>
      <c r="BZ1022" s="1138">
        <f t="shared" ref="BZ1022" si="752">SUM(BZ1013:BZ1021)</f>
        <v>0</v>
      </c>
      <c r="CA1022" s="1138">
        <f t="shared" ref="CA1022" si="753">SUM(CA1013:CA1021)</f>
        <v>0</v>
      </c>
      <c r="CB1022" s="1138">
        <f t="shared" ref="CB1022" si="754">SUM(CB1013:CB1021)</f>
        <v>0</v>
      </c>
      <c r="CC1022" s="1138">
        <f t="shared" ref="CC1022" si="755">SUM(CC1013:CC1021)</f>
        <v>0</v>
      </c>
      <c r="CD1022" s="1138">
        <f t="shared" ref="CD1022" si="756">SUM(CD1013:CD1021)</f>
        <v>0</v>
      </c>
      <c r="CE1022" s="1138">
        <f t="shared" ref="CE1022" si="757">SUM(CE1013:CE1021)</f>
        <v>0</v>
      </c>
      <c r="CF1022" s="1138">
        <f t="shared" ref="CF1022" si="758">SUM(CF1013:CF1021)</f>
        <v>0</v>
      </c>
      <c r="CG1022" s="1138">
        <f t="shared" ref="CG1022" si="759">SUM(CG1013:CG1021)</f>
        <v>0</v>
      </c>
      <c r="CH1022" s="1138">
        <f t="shared" ref="CH1022" si="760">SUM(CH1013:CH1021)</f>
        <v>0</v>
      </c>
      <c r="CI1022" s="1138">
        <f t="shared" ref="CI1022" si="761">SUM(CI1013:CI1021)</f>
        <v>0</v>
      </c>
      <c r="CJ1022" s="1138">
        <f t="shared" ref="CJ1022" si="762">SUM(CJ1013:CJ1021)</f>
        <v>0</v>
      </c>
      <c r="CK1022" s="1138">
        <f t="shared" ref="CK1022" si="763">SUM(CK1013:CK1021)</f>
        <v>0</v>
      </c>
      <c r="CL1022" s="1138">
        <f t="shared" ref="CL1022" si="764">SUM(CL1013:CL1021)</f>
        <v>0</v>
      </c>
      <c r="CM1022" s="1138">
        <f t="shared" ref="CM1022" si="765">SUM(CM1013:CM1021)</f>
        <v>0</v>
      </c>
      <c r="CN1022" s="1138">
        <f t="shared" ref="CN1022" si="766">SUM(CN1013:CN1021)</f>
        <v>0</v>
      </c>
      <c r="CO1022" s="1138">
        <f t="shared" ref="CO1022" si="767">SUM(CO1013:CO1021)</f>
        <v>0</v>
      </c>
      <c r="CP1022" s="1138">
        <f t="shared" ref="CP1022" si="768">SUM(CP1013:CP1021)</f>
        <v>0</v>
      </c>
      <c r="CQ1022" s="1138">
        <f t="shared" ref="CQ1022" si="769">SUM(CQ1013:CQ1021)</f>
        <v>0</v>
      </c>
      <c r="CR1022" s="1138">
        <f t="shared" ref="CR1022" si="770">SUM(CR1013:CR1021)</f>
        <v>0</v>
      </c>
      <c r="CS1022" s="1138">
        <f t="shared" ref="CS1022" si="771">SUM(CS1013:CS1021)</f>
        <v>0</v>
      </c>
      <c r="CT1022" s="1138">
        <f t="shared" ref="CT1022" si="772">SUM(CT1013:CT1021)</f>
        <v>0</v>
      </c>
      <c r="CU1022" s="1138">
        <f t="shared" ref="CU1022" si="773">SUM(CU1013:CU1021)</f>
        <v>0</v>
      </c>
      <c r="CV1022" s="1138">
        <f t="shared" ref="CV1022" si="774">SUM(CV1013:CV1021)</f>
        <v>0</v>
      </c>
      <c r="CW1022" s="1138">
        <f t="shared" ref="CW1022" si="775">SUM(CW1013:CW1021)</f>
        <v>0</v>
      </c>
      <c r="CX1022" s="1138">
        <f t="shared" ref="CX1022" si="776">SUM(CX1013:CX1021)</f>
        <v>0</v>
      </c>
      <c r="CY1022" s="1138">
        <f t="shared" ref="CY1022" si="777">SUM(CY1013:CY1021)</f>
        <v>0</v>
      </c>
      <c r="CZ1022" s="1138">
        <f t="shared" ref="CZ1022" si="778">SUM(CZ1013:CZ1021)</f>
        <v>1.1399999999999999</v>
      </c>
      <c r="DA1022" s="1138">
        <f t="shared" ref="DA1022" si="779">SUM(DA1013:DA1021)</f>
        <v>0</v>
      </c>
      <c r="DB1022" s="1138">
        <f t="shared" ref="DB1022" si="780">SUM(DB1013:DB1021)</f>
        <v>0</v>
      </c>
      <c r="DC1022" s="1138">
        <f t="shared" ref="DC1022" si="781">SUM(DC1013:DC1021)</f>
        <v>0.03</v>
      </c>
      <c r="DD1022" s="1138">
        <f t="shared" ref="DD1022" si="782">SUM(DD1013:DD1021)</f>
        <v>0</v>
      </c>
      <c r="DE1022" s="1138">
        <f t="shared" ref="DE1022" si="783">SUM(DE1013:DE1021)</f>
        <v>0</v>
      </c>
      <c r="DF1022" s="1138">
        <f t="shared" ref="DF1022" si="784">SUM(DF1013:DF1021)</f>
        <v>0</v>
      </c>
      <c r="DG1022" s="1138">
        <f t="shared" ref="DG1022" si="785">SUM(DG1013:DG1021)</f>
        <v>0</v>
      </c>
      <c r="DH1022" s="1138">
        <f t="shared" ref="DH1022" si="786">SUM(DH1013:DH1021)</f>
        <v>0</v>
      </c>
      <c r="DI1022" s="1138">
        <f t="shared" ref="DI1022" si="787">SUM(DI1013:DI1021)</f>
        <v>0</v>
      </c>
      <c r="DJ1022" s="1138">
        <f t="shared" ref="DJ1022" si="788">SUM(DJ1013:DJ1021)</f>
        <v>0</v>
      </c>
      <c r="DK1022" s="1138">
        <f t="shared" ref="DK1022" si="789">SUM(DK1013:DK1021)</f>
        <v>0</v>
      </c>
      <c r="DL1022" s="1138">
        <f t="shared" ref="DL1022" si="790">SUM(DL1013:DL1021)</f>
        <v>0</v>
      </c>
      <c r="DM1022" s="1138">
        <f t="shared" ref="DM1022" si="791">SUM(DM1013:DM1021)</f>
        <v>0</v>
      </c>
      <c r="DN1022" s="1138">
        <f t="shared" ref="DN1022" si="792">SUM(DN1013:DN1021)</f>
        <v>0</v>
      </c>
      <c r="DO1022" s="1138">
        <f t="shared" ref="DO1022" si="793">SUM(DO1013:DO1021)</f>
        <v>0</v>
      </c>
      <c r="DP1022" s="1138">
        <f t="shared" ref="DP1022" si="794">SUM(DP1013:DP1021)</f>
        <v>0</v>
      </c>
      <c r="DQ1022" s="1138">
        <f t="shared" ref="DQ1022" si="795">SUM(DQ1013:DQ1021)</f>
        <v>0</v>
      </c>
      <c r="DR1022" s="1138">
        <f t="shared" ref="DR1022" si="796">SUM(DR1013:DR1021)</f>
        <v>0.45</v>
      </c>
      <c r="DS1022" s="1138">
        <f t="shared" ref="DS1022" si="797">SUM(DS1013:DS1021)</f>
        <v>0</v>
      </c>
      <c r="DT1022" s="1138">
        <f t="shared" ref="DT1022" si="798">SUM(DT1013:DT1021)</f>
        <v>0</v>
      </c>
      <c r="DU1022" s="1138">
        <f t="shared" ref="DU1022" si="799">SUM(DU1013:DU1021)</f>
        <v>3.15</v>
      </c>
      <c r="DV1022" s="1138">
        <f t="shared" ref="DV1022" si="800">SUM(DV1013:DV1021)</f>
        <v>0</v>
      </c>
      <c r="DW1022" s="1138">
        <f t="shared" ref="DW1022" si="801">SUM(DW1013:DW1021)</f>
        <v>0</v>
      </c>
      <c r="DX1022" s="1138">
        <f t="shared" ref="DX1022" si="802">SUM(DX1013:DX1021)</f>
        <v>0</v>
      </c>
      <c r="DY1022" s="1138">
        <f t="shared" ref="DY1022" si="803">SUM(DY1013:DY1021)</f>
        <v>0</v>
      </c>
      <c r="DZ1022" s="1138">
        <f t="shared" ref="DZ1022" si="804">SUM(DZ1013:DZ1021)</f>
        <v>0</v>
      </c>
      <c r="EA1022" s="1138">
        <f t="shared" ref="EA1022" si="805">SUM(EA1013:EA1021)</f>
        <v>0</v>
      </c>
      <c r="EB1022" s="1138">
        <f t="shared" ref="EB1022" si="806">SUM(EB1013:EB1021)</f>
        <v>2.9</v>
      </c>
      <c r="EC1022" s="1138">
        <f t="shared" ref="EC1022" si="807">SUM(EC1013:EC1021)</f>
        <v>0</v>
      </c>
      <c r="ED1022" s="1138">
        <f t="shared" ref="ED1022" si="808">SUM(ED1013:ED1021)</f>
        <v>0</v>
      </c>
      <c r="EE1022" s="1138">
        <f t="shared" ref="EE1022" si="809">SUM(EE1013:EE1021)</f>
        <v>0</v>
      </c>
      <c r="EF1022" s="1138">
        <f t="shared" ref="EF1022" si="810">SUM(EF1013:EF1021)</f>
        <v>0</v>
      </c>
      <c r="EG1022" s="1138">
        <f t="shared" ref="EG1022" si="811">SUM(EG1013:EG1021)</f>
        <v>0</v>
      </c>
      <c r="EH1022" s="1138">
        <f t="shared" ref="EH1022" si="812">SUM(EH1013:EH1021)</f>
        <v>0</v>
      </c>
      <c r="EI1022" s="1138">
        <f t="shared" ref="EI1022" si="813">SUM(EI1013:EI1021)</f>
        <v>0</v>
      </c>
      <c r="EJ1022" s="1138">
        <f t="shared" ref="EJ1022" si="814">SUM(EJ1013:EJ1021)</f>
        <v>0</v>
      </c>
      <c r="EK1022" s="1138">
        <f t="shared" ref="EK1022" si="815">SUM(EK1013:EK1021)</f>
        <v>0</v>
      </c>
      <c r="EL1022" s="1138">
        <f t="shared" ref="EL1022" si="816">SUM(EL1013:EL1021)</f>
        <v>0</v>
      </c>
      <c r="EM1022" s="1138">
        <f t="shared" ref="EM1022" si="817">SUM(EM1013:EM1021)</f>
        <v>0</v>
      </c>
      <c r="EN1022" s="1138">
        <f t="shared" ref="EN1022" si="818">SUM(EN1013:EN1021)</f>
        <v>0</v>
      </c>
      <c r="EO1022" s="1138">
        <f t="shared" ref="EO1022" si="819">SUM(EO1013:EO1021)</f>
        <v>0</v>
      </c>
      <c r="EP1022" s="1138">
        <f t="shared" ref="EP1022" si="820">SUM(EP1013:EP1021)</f>
        <v>0</v>
      </c>
      <c r="EQ1022" s="1138">
        <f t="shared" ref="EQ1022" si="821">SUM(EQ1013:EQ1021)</f>
        <v>0</v>
      </c>
      <c r="ER1022" s="1138">
        <f t="shared" ref="ER1022" si="822">SUM(ER1013:ER1021)</f>
        <v>0</v>
      </c>
      <c r="ES1022" s="1138">
        <f t="shared" ref="ES1022" si="823">SUM(ES1013:ES1021)</f>
        <v>0</v>
      </c>
      <c r="ET1022" s="1138">
        <f t="shared" ref="ET1022" si="824">SUM(ET1013:ET1021)</f>
        <v>0</v>
      </c>
      <c r="EU1022" s="1138">
        <f t="shared" ref="EU1022" si="825">SUM(EU1013:EU1021)</f>
        <v>0</v>
      </c>
      <c r="EV1022" s="1138">
        <f t="shared" ref="EV1022" si="826">SUM(EV1013:EV1021)</f>
        <v>1.95</v>
      </c>
      <c r="EW1022" s="1138">
        <f t="shared" ref="EW1022" si="827">SUM(EW1013:EW1021)</f>
        <v>1.3</v>
      </c>
      <c r="EX1022" s="1138">
        <f t="shared" ref="EX1022" si="828">SUM(EX1013:EX1021)</f>
        <v>0</v>
      </c>
      <c r="EY1022" s="1138">
        <f t="shared" ref="EY1022:FL1022" si="829">SUM(EY1013:EY1021)</f>
        <v>45.55</v>
      </c>
      <c r="EZ1022" s="1138">
        <f t="shared" si="829"/>
        <v>0</v>
      </c>
      <c r="FA1022" s="1138">
        <f t="shared" si="829"/>
        <v>0</v>
      </c>
      <c r="FB1022" s="1138">
        <f t="shared" si="829"/>
        <v>0</v>
      </c>
      <c r="FC1022" s="1138">
        <f t="shared" si="829"/>
        <v>0</v>
      </c>
      <c r="FD1022" s="1138">
        <f t="shared" si="829"/>
        <v>0</v>
      </c>
      <c r="FE1022" s="1138">
        <f t="shared" si="829"/>
        <v>0</v>
      </c>
      <c r="FF1022" s="1138">
        <f t="shared" si="829"/>
        <v>0</v>
      </c>
      <c r="FG1022" s="1138">
        <f t="shared" si="829"/>
        <v>0</v>
      </c>
      <c r="FH1022" s="1138">
        <f t="shared" si="829"/>
        <v>0</v>
      </c>
      <c r="FI1022" s="1138">
        <f t="shared" si="829"/>
        <v>0</v>
      </c>
      <c r="FJ1022" s="1138">
        <f t="shared" si="829"/>
        <v>0</v>
      </c>
      <c r="FK1022" s="1138">
        <f t="shared" si="829"/>
        <v>0</v>
      </c>
      <c r="FL1022" s="1138">
        <f t="shared" si="829"/>
        <v>0</v>
      </c>
    </row>
    <row r="1023" spans="1:168" x14ac:dyDescent="0.25">
      <c r="A1023" s="1491" t="s">
        <v>112</v>
      </c>
      <c r="B1023" s="624" t="str">
        <f t="shared" ref="B1023" si="830">B57</f>
        <v>Помидоры свежие в нарезке</v>
      </c>
      <c r="C1023" s="624">
        <f t="shared" ref="C1023:D1023" si="831">C57</f>
        <v>60</v>
      </c>
      <c r="D1023" s="624">
        <f t="shared" si="831"/>
        <v>0.6</v>
      </c>
      <c r="E1023" s="1158">
        <f t="shared" ref="E1023:E1031" si="832">EY1023</f>
        <v>6.36</v>
      </c>
      <c r="F1023" s="1158"/>
      <c r="G1023" s="1140"/>
      <c r="H1023" s="1140"/>
      <c r="I1023" s="552"/>
      <c r="J1023" s="552">
        <f t="shared" ref="J1023:AO1023" si="833">J57*J$338</f>
        <v>0</v>
      </c>
      <c r="K1023" s="552">
        <f t="shared" si="833"/>
        <v>0</v>
      </c>
      <c r="L1023" s="552">
        <f t="shared" si="833"/>
        <v>0</v>
      </c>
      <c r="M1023" s="552">
        <f t="shared" si="833"/>
        <v>0</v>
      </c>
      <c r="N1023" s="552">
        <f t="shared" si="833"/>
        <v>0</v>
      </c>
      <c r="O1023" s="552">
        <f t="shared" si="833"/>
        <v>0</v>
      </c>
      <c r="P1023" s="552">
        <f t="shared" si="833"/>
        <v>0</v>
      </c>
      <c r="Q1023" s="552">
        <f t="shared" si="833"/>
        <v>0</v>
      </c>
      <c r="R1023" s="552">
        <f t="shared" si="833"/>
        <v>0</v>
      </c>
      <c r="S1023" s="552">
        <f t="shared" si="833"/>
        <v>0</v>
      </c>
      <c r="T1023" s="552">
        <f t="shared" si="833"/>
        <v>0</v>
      </c>
      <c r="U1023" s="552">
        <f t="shared" si="833"/>
        <v>0</v>
      </c>
      <c r="V1023" s="552">
        <f t="shared" si="833"/>
        <v>0</v>
      </c>
      <c r="W1023" s="552">
        <f t="shared" si="833"/>
        <v>0</v>
      </c>
      <c r="X1023" s="552">
        <f t="shared" si="833"/>
        <v>0</v>
      </c>
      <c r="Y1023" s="552">
        <f t="shared" si="833"/>
        <v>0</v>
      </c>
      <c r="Z1023" s="552">
        <f t="shared" si="833"/>
        <v>0</v>
      </c>
      <c r="AA1023" s="552">
        <f t="shared" si="833"/>
        <v>0</v>
      </c>
      <c r="AB1023" s="552">
        <f t="shared" si="833"/>
        <v>0</v>
      </c>
      <c r="AC1023" s="552">
        <f t="shared" si="833"/>
        <v>0</v>
      </c>
      <c r="AD1023" s="552">
        <f t="shared" si="833"/>
        <v>0</v>
      </c>
      <c r="AE1023" s="552">
        <f t="shared" si="833"/>
        <v>0</v>
      </c>
      <c r="AF1023" s="552">
        <f t="shared" si="833"/>
        <v>0</v>
      </c>
      <c r="AG1023" s="552">
        <f t="shared" si="833"/>
        <v>0</v>
      </c>
      <c r="AH1023" s="552">
        <f t="shared" si="833"/>
        <v>0</v>
      </c>
      <c r="AI1023" s="552">
        <f t="shared" si="833"/>
        <v>0</v>
      </c>
      <c r="AJ1023" s="552">
        <f t="shared" si="833"/>
        <v>0</v>
      </c>
      <c r="AK1023" s="552">
        <f t="shared" si="833"/>
        <v>0</v>
      </c>
      <c r="AL1023" s="552">
        <f t="shared" si="833"/>
        <v>0</v>
      </c>
      <c r="AM1023" s="552">
        <f t="shared" si="833"/>
        <v>0</v>
      </c>
      <c r="AN1023" s="552">
        <f t="shared" si="833"/>
        <v>6.36</v>
      </c>
      <c r="AO1023" s="552">
        <f t="shared" si="833"/>
        <v>0</v>
      </c>
      <c r="AP1023" s="552">
        <f t="shared" ref="AP1023:BU1023" si="834">AP57*AP$338</f>
        <v>0</v>
      </c>
      <c r="AQ1023" s="552">
        <f t="shared" si="834"/>
        <v>0</v>
      </c>
      <c r="AR1023" s="552">
        <f t="shared" si="834"/>
        <v>0</v>
      </c>
      <c r="AS1023" s="552">
        <f t="shared" si="834"/>
        <v>0</v>
      </c>
      <c r="AT1023" s="552">
        <f t="shared" si="834"/>
        <v>0</v>
      </c>
      <c r="AU1023" s="552">
        <f t="shared" si="834"/>
        <v>0</v>
      </c>
      <c r="AV1023" s="552">
        <f t="shared" si="834"/>
        <v>0</v>
      </c>
      <c r="AW1023" s="552">
        <f t="shared" si="834"/>
        <v>0</v>
      </c>
      <c r="AX1023" s="552">
        <f t="shared" si="834"/>
        <v>0</v>
      </c>
      <c r="AY1023" s="552">
        <f t="shared" si="834"/>
        <v>0</v>
      </c>
      <c r="AZ1023" s="552">
        <f t="shared" si="834"/>
        <v>0</v>
      </c>
      <c r="BA1023" s="552">
        <f t="shared" si="834"/>
        <v>0</v>
      </c>
      <c r="BB1023" s="552">
        <f t="shared" si="834"/>
        <v>0</v>
      </c>
      <c r="BC1023" s="552">
        <f t="shared" si="834"/>
        <v>0</v>
      </c>
      <c r="BD1023" s="552">
        <f t="shared" si="834"/>
        <v>0</v>
      </c>
      <c r="BE1023" s="552">
        <f t="shared" si="834"/>
        <v>0</v>
      </c>
      <c r="BF1023" s="552">
        <f t="shared" si="834"/>
        <v>0</v>
      </c>
      <c r="BG1023" s="552">
        <f t="shared" si="834"/>
        <v>0</v>
      </c>
      <c r="BH1023" s="552">
        <f t="shared" si="834"/>
        <v>0</v>
      </c>
      <c r="BI1023" s="552">
        <f t="shared" si="834"/>
        <v>0</v>
      </c>
      <c r="BJ1023" s="552">
        <f t="shared" si="834"/>
        <v>0</v>
      </c>
      <c r="BK1023" s="552">
        <f t="shared" si="834"/>
        <v>0</v>
      </c>
      <c r="BL1023" s="552">
        <f t="shared" si="834"/>
        <v>0</v>
      </c>
      <c r="BM1023" s="552">
        <f t="shared" si="834"/>
        <v>0</v>
      </c>
      <c r="BN1023" s="552">
        <f t="shared" si="834"/>
        <v>0</v>
      </c>
      <c r="BO1023" s="552">
        <f t="shared" si="834"/>
        <v>0</v>
      </c>
      <c r="BP1023" s="552">
        <f t="shared" si="834"/>
        <v>0</v>
      </c>
      <c r="BQ1023" s="552">
        <f t="shared" si="834"/>
        <v>0</v>
      </c>
      <c r="BR1023" s="552">
        <f t="shared" si="834"/>
        <v>0</v>
      </c>
      <c r="BS1023" s="552">
        <f t="shared" si="834"/>
        <v>0</v>
      </c>
      <c r="BT1023" s="552">
        <f t="shared" si="834"/>
        <v>0</v>
      </c>
      <c r="BU1023" s="552">
        <f t="shared" si="834"/>
        <v>0</v>
      </c>
      <c r="BV1023" s="552">
        <f t="shared" ref="BV1023:DA1023" si="835">BV57*BV$338</f>
        <v>0</v>
      </c>
      <c r="BW1023" s="552">
        <f t="shared" si="835"/>
        <v>0</v>
      </c>
      <c r="BX1023" s="552">
        <f t="shared" si="835"/>
        <v>0</v>
      </c>
      <c r="BY1023" s="552">
        <f t="shared" si="835"/>
        <v>0</v>
      </c>
      <c r="BZ1023" s="552">
        <f t="shared" si="835"/>
        <v>0</v>
      </c>
      <c r="CA1023" s="552">
        <f t="shared" si="835"/>
        <v>0</v>
      </c>
      <c r="CB1023" s="552">
        <f t="shared" si="835"/>
        <v>0</v>
      </c>
      <c r="CC1023" s="552">
        <f t="shared" si="835"/>
        <v>0</v>
      </c>
      <c r="CD1023" s="552">
        <f t="shared" si="835"/>
        <v>0</v>
      </c>
      <c r="CE1023" s="552">
        <f t="shared" si="835"/>
        <v>0</v>
      </c>
      <c r="CF1023" s="552">
        <f t="shared" si="835"/>
        <v>0</v>
      </c>
      <c r="CG1023" s="552">
        <f t="shared" si="835"/>
        <v>0</v>
      </c>
      <c r="CH1023" s="552">
        <f t="shared" si="835"/>
        <v>0</v>
      </c>
      <c r="CI1023" s="552">
        <f t="shared" si="835"/>
        <v>0</v>
      </c>
      <c r="CJ1023" s="552">
        <f t="shared" si="835"/>
        <v>0</v>
      </c>
      <c r="CK1023" s="552">
        <f t="shared" si="835"/>
        <v>0</v>
      </c>
      <c r="CL1023" s="552">
        <f t="shared" si="835"/>
        <v>0</v>
      </c>
      <c r="CM1023" s="552">
        <f t="shared" si="835"/>
        <v>0</v>
      </c>
      <c r="CN1023" s="552">
        <f t="shared" si="835"/>
        <v>0</v>
      </c>
      <c r="CO1023" s="552">
        <f t="shared" si="835"/>
        <v>0</v>
      </c>
      <c r="CP1023" s="552">
        <f t="shared" si="835"/>
        <v>0</v>
      </c>
      <c r="CQ1023" s="552">
        <f t="shared" si="835"/>
        <v>0</v>
      </c>
      <c r="CR1023" s="552">
        <f t="shared" si="835"/>
        <v>0</v>
      </c>
      <c r="CS1023" s="552">
        <f t="shared" si="835"/>
        <v>0</v>
      </c>
      <c r="CT1023" s="552">
        <f t="shared" si="835"/>
        <v>0</v>
      </c>
      <c r="CU1023" s="552">
        <f t="shared" si="835"/>
        <v>0</v>
      </c>
      <c r="CV1023" s="552">
        <f t="shared" si="835"/>
        <v>0</v>
      </c>
      <c r="CW1023" s="552">
        <f t="shared" si="835"/>
        <v>0</v>
      </c>
      <c r="CX1023" s="552">
        <f t="shared" si="835"/>
        <v>0</v>
      </c>
      <c r="CY1023" s="552">
        <f t="shared" si="835"/>
        <v>0</v>
      </c>
      <c r="CZ1023" s="552">
        <f t="shared" si="835"/>
        <v>0</v>
      </c>
      <c r="DA1023" s="552">
        <f t="shared" si="835"/>
        <v>0</v>
      </c>
      <c r="DB1023" s="552">
        <f t="shared" ref="DB1023:EG1023" si="836">DB57*DB$338</f>
        <v>0</v>
      </c>
      <c r="DC1023" s="552">
        <f t="shared" si="836"/>
        <v>0</v>
      </c>
      <c r="DD1023" s="552">
        <f t="shared" si="836"/>
        <v>0</v>
      </c>
      <c r="DE1023" s="552">
        <f t="shared" si="836"/>
        <v>0</v>
      </c>
      <c r="DF1023" s="552">
        <f t="shared" si="836"/>
        <v>0</v>
      </c>
      <c r="DG1023" s="552">
        <f t="shared" si="836"/>
        <v>0</v>
      </c>
      <c r="DH1023" s="552">
        <f t="shared" si="836"/>
        <v>0</v>
      </c>
      <c r="DI1023" s="552">
        <f t="shared" si="836"/>
        <v>0</v>
      </c>
      <c r="DJ1023" s="552">
        <f t="shared" si="836"/>
        <v>0</v>
      </c>
      <c r="DK1023" s="552">
        <f t="shared" si="836"/>
        <v>0</v>
      </c>
      <c r="DL1023" s="552">
        <f t="shared" si="836"/>
        <v>0</v>
      </c>
      <c r="DM1023" s="552">
        <f t="shared" si="836"/>
        <v>0</v>
      </c>
      <c r="DN1023" s="552">
        <f t="shared" si="836"/>
        <v>0</v>
      </c>
      <c r="DO1023" s="552">
        <f t="shared" si="836"/>
        <v>0</v>
      </c>
      <c r="DP1023" s="552">
        <f t="shared" si="836"/>
        <v>0</v>
      </c>
      <c r="DQ1023" s="552">
        <f t="shared" si="836"/>
        <v>0</v>
      </c>
      <c r="DR1023" s="552">
        <f t="shared" si="836"/>
        <v>0</v>
      </c>
      <c r="DS1023" s="552">
        <f t="shared" si="836"/>
        <v>0</v>
      </c>
      <c r="DT1023" s="552">
        <f t="shared" si="836"/>
        <v>0</v>
      </c>
      <c r="DU1023" s="552">
        <f t="shared" si="836"/>
        <v>0</v>
      </c>
      <c r="DV1023" s="552">
        <f t="shared" si="836"/>
        <v>0</v>
      </c>
      <c r="DW1023" s="552">
        <f t="shared" si="836"/>
        <v>0</v>
      </c>
      <c r="DX1023" s="552">
        <f t="shared" si="836"/>
        <v>0</v>
      </c>
      <c r="DY1023" s="552">
        <f t="shared" si="836"/>
        <v>0</v>
      </c>
      <c r="DZ1023" s="552">
        <f t="shared" si="836"/>
        <v>0</v>
      </c>
      <c r="EA1023" s="552">
        <f t="shared" si="836"/>
        <v>0</v>
      </c>
      <c r="EB1023" s="552">
        <f t="shared" si="836"/>
        <v>0</v>
      </c>
      <c r="EC1023" s="552">
        <f t="shared" si="836"/>
        <v>0</v>
      </c>
      <c r="ED1023" s="552">
        <f t="shared" si="836"/>
        <v>0</v>
      </c>
      <c r="EE1023" s="552">
        <f t="shared" si="836"/>
        <v>0</v>
      </c>
      <c r="EF1023" s="552">
        <f t="shared" si="836"/>
        <v>0</v>
      </c>
      <c r="EG1023" s="552">
        <f t="shared" si="836"/>
        <v>0</v>
      </c>
      <c r="EH1023" s="552">
        <f t="shared" ref="EH1023:EX1023" si="837">EH57*EH$338</f>
        <v>0</v>
      </c>
      <c r="EI1023" s="552">
        <f t="shared" si="837"/>
        <v>0</v>
      </c>
      <c r="EJ1023" s="552">
        <f t="shared" si="837"/>
        <v>0</v>
      </c>
      <c r="EK1023" s="552">
        <f t="shared" si="837"/>
        <v>0</v>
      </c>
      <c r="EL1023" s="552">
        <f t="shared" si="837"/>
        <v>0</v>
      </c>
      <c r="EM1023" s="552">
        <f t="shared" si="837"/>
        <v>0</v>
      </c>
      <c r="EN1023" s="552">
        <f t="shared" si="837"/>
        <v>0</v>
      </c>
      <c r="EO1023" s="552">
        <f t="shared" si="837"/>
        <v>0</v>
      </c>
      <c r="EP1023" s="552">
        <f t="shared" si="837"/>
        <v>0</v>
      </c>
      <c r="EQ1023" s="552">
        <f t="shared" si="837"/>
        <v>0</v>
      </c>
      <c r="ER1023" s="552">
        <f t="shared" si="837"/>
        <v>0</v>
      </c>
      <c r="ES1023" s="552">
        <f t="shared" si="837"/>
        <v>0</v>
      </c>
      <c r="ET1023" s="552">
        <f t="shared" si="837"/>
        <v>0</v>
      </c>
      <c r="EU1023" s="552">
        <f t="shared" si="837"/>
        <v>0</v>
      </c>
      <c r="EV1023" s="552">
        <f t="shared" si="837"/>
        <v>0</v>
      </c>
      <c r="EW1023" s="552">
        <f t="shared" si="837"/>
        <v>0</v>
      </c>
      <c r="EX1023" s="552">
        <f t="shared" si="837"/>
        <v>0</v>
      </c>
      <c r="EY1023" s="799">
        <f t="shared" si="527"/>
        <v>6.36</v>
      </c>
      <c r="EZ1023" s="640"/>
      <c r="FA1023" s="640"/>
      <c r="FB1023" s="640"/>
      <c r="FC1023" s="640"/>
      <c r="FD1023" s="640"/>
      <c r="FE1023" s="640"/>
      <c r="FF1023" s="640"/>
      <c r="FG1023" s="640"/>
      <c r="FH1023" s="640"/>
      <c r="FI1023" s="640"/>
      <c r="FJ1023" s="640"/>
      <c r="FK1023" s="640"/>
      <c r="FL1023" s="640"/>
    </row>
    <row r="1024" spans="1:168" x14ac:dyDescent="0.25">
      <c r="A1024" s="1492"/>
      <c r="B1024" s="624" t="str">
        <f t="shared" ref="B1024:D1031" si="838">B58</f>
        <v>Суп крестьянский с рисом</v>
      </c>
      <c r="C1024" s="624">
        <f t="shared" si="838"/>
        <v>250</v>
      </c>
      <c r="D1024" s="624">
        <f t="shared" si="838"/>
        <v>1.48</v>
      </c>
      <c r="E1024" s="1158">
        <f t="shared" si="832"/>
        <v>8.3000000000000007</v>
      </c>
      <c r="F1024" s="1158"/>
      <c r="G1024" s="1140"/>
      <c r="H1024" s="1140"/>
      <c r="I1024" s="552"/>
      <c r="J1024" s="552">
        <f t="shared" ref="J1024:AO1024" si="839">J58*J$338</f>
        <v>0</v>
      </c>
      <c r="K1024" s="552">
        <f t="shared" si="839"/>
        <v>0</v>
      </c>
      <c r="L1024" s="552">
        <f t="shared" si="839"/>
        <v>0</v>
      </c>
      <c r="M1024" s="552">
        <f t="shared" si="839"/>
        <v>0</v>
      </c>
      <c r="N1024" s="552">
        <f t="shared" si="839"/>
        <v>0</v>
      </c>
      <c r="O1024" s="552">
        <f t="shared" si="839"/>
        <v>0</v>
      </c>
      <c r="P1024" s="552">
        <f t="shared" si="839"/>
        <v>0</v>
      </c>
      <c r="Q1024" s="552">
        <f t="shared" si="839"/>
        <v>0</v>
      </c>
      <c r="R1024" s="552">
        <f t="shared" si="839"/>
        <v>0</v>
      </c>
      <c r="S1024" s="552">
        <f t="shared" si="839"/>
        <v>0</v>
      </c>
      <c r="T1024" s="552">
        <f t="shared" si="839"/>
        <v>0</v>
      </c>
      <c r="U1024" s="552">
        <f t="shared" si="839"/>
        <v>0</v>
      </c>
      <c r="V1024" s="552">
        <f t="shared" si="839"/>
        <v>0</v>
      </c>
      <c r="W1024" s="552">
        <f t="shared" si="839"/>
        <v>0</v>
      </c>
      <c r="X1024" s="552">
        <f t="shared" si="839"/>
        <v>0</v>
      </c>
      <c r="Y1024" s="552">
        <f t="shared" si="839"/>
        <v>1.17</v>
      </c>
      <c r="Z1024" s="552">
        <f t="shared" si="839"/>
        <v>0</v>
      </c>
      <c r="AA1024" s="552">
        <f t="shared" si="839"/>
        <v>0</v>
      </c>
      <c r="AB1024" s="552">
        <f t="shared" si="839"/>
        <v>0</v>
      </c>
      <c r="AC1024" s="552">
        <f t="shared" si="839"/>
        <v>0</v>
      </c>
      <c r="AD1024" s="552">
        <f t="shared" si="839"/>
        <v>0</v>
      </c>
      <c r="AE1024" s="552">
        <f t="shared" si="839"/>
        <v>0</v>
      </c>
      <c r="AF1024" s="552">
        <f t="shared" si="839"/>
        <v>1.99</v>
      </c>
      <c r="AG1024" s="552">
        <f t="shared" si="839"/>
        <v>0</v>
      </c>
      <c r="AH1024" s="552">
        <f t="shared" si="839"/>
        <v>1.66</v>
      </c>
      <c r="AI1024" s="552">
        <f t="shared" si="839"/>
        <v>0</v>
      </c>
      <c r="AJ1024" s="552">
        <f t="shared" si="839"/>
        <v>0</v>
      </c>
      <c r="AK1024" s="552">
        <f t="shared" si="839"/>
        <v>0.6</v>
      </c>
      <c r="AL1024" s="552">
        <f t="shared" si="839"/>
        <v>0</v>
      </c>
      <c r="AM1024" s="552">
        <f t="shared" si="839"/>
        <v>0</v>
      </c>
      <c r="AN1024" s="552">
        <f t="shared" si="839"/>
        <v>0</v>
      </c>
      <c r="AO1024" s="552">
        <f t="shared" si="839"/>
        <v>0</v>
      </c>
      <c r="AP1024" s="552">
        <f t="shared" ref="AP1024:BU1024" si="840">AP58*AP$338</f>
        <v>0</v>
      </c>
      <c r="AQ1024" s="552">
        <f t="shared" si="840"/>
        <v>0.63</v>
      </c>
      <c r="AR1024" s="552">
        <f t="shared" si="840"/>
        <v>0</v>
      </c>
      <c r="AS1024" s="552">
        <f t="shared" si="840"/>
        <v>0</v>
      </c>
      <c r="AT1024" s="552">
        <f t="shared" si="840"/>
        <v>0</v>
      </c>
      <c r="AU1024" s="552">
        <f t="shared" si="840"/>
        <v>0.6</v>
      </c>
      <c r="AV1024" s="552">
        <f t="shared" si="840"/>
        <v>0</v>
      </c>
      <c r="AW1024" s="552">
        <f t="shared" si="840"/>
        <v>0</v>
      </c>
      <c r="AX1024" s="552">
        <f t="shared" si="840"/>
        <v>0</v>
      </c>
      <c r="AY1024" s="552">
        <f t="shared" si="840"/>
        <v>0</v>
      </c>
      <c r="AZ1024" s="552">
        <f t="shared" si="840"/>
        <v>0</v>
      </c>
      <c r="BA1024" s="552">
        <f t="shared" si="840"/>
        <v>0</v>
      </c>
      <c r="BB1024" s="552">
        <f t="shared" si="840"/>
        <v>0</v>
      </c>
      <c r="BC1024" s="552">
        <f t="shared" si="840"/>
        <v>0</v>
      </c>
      <c r="BD1024" s="552">
        <f t="shared" si="840"/>
        <v>0</v>
      </c>
      <c r="BE1024" s="552">
        <f t="shared" si="840"/>
        <v>0</v>
      </c>
      <c r="BF1024" s="552">
        <f t="shared" si="840"/>
        <v>0</v>
      </c>
      <c r="BG1024" s="552">
        <f t="shared" si="840"/>
        <v>0</v>
      </c>
      <c r="BH1024" s="552">
        <f t="shared" si="840"/>
        <v>0</v>
      </c>
      <c r="BI1024" s="552">
        <f t="shared" si="840"/>
        <v>0</v>
      </c>
      <c r="BJ1024" s="552">
        <f t="shared" si="840"/>
        <v>0</v>
      </c>
      <c r="BK1024" s="552">
        <f t="shared" si="840"/>
        <v>0</v>
      </c>
      <c r="BL1024" s="552">
        <f t="shared" si="840"/>
        <v>0</v>
      </c>
      <c r="BM1024" s="552">
        <f t="shared" si="840"/>
        <v>0</v>
      </c>
      <c r="BN1024" s="552">
        <f t="shared" si="840"/>
        <v>0</v>
      </c>
      <c r="BO1024" s="552">
        <f t="shared" si="840"/>
        <v>0</v>
      </c>
      <c r="BP1024" s="552">
        <f t="shared" si="840"/>
        <v>0</v>
      </c>
      <c r="BQ1024" s="552">
        <f t="shared" si="840"/>
        <v>0</v>
      </c>
      <c r="BR1024" s="552">
        <f t="shared" si="840"/>
        <v>0</v>
      </c>
      <c r="BS1024" s="552">
        <f t="shared" si="840"/>
        <v>0</v>
      </c>
      <c r="BT1024" s="552">
        <f t="shared" si="840"/>
        <v>0</v>
      </c>
      <c r="BU1024" s="552">
        <f t="shared" si="840"/>
        <v>0</v>
      </c>
      <c r="BV1024" s="552">
        <f t="shared" ref="BV1024:DA1024" si="841">BV58*BV$338</f>
        <v>0</v>
      </c>
      <c r="BW1024" s="552">
        <f t="shared" si="841"/>
        <v>0</v>
      </c>
      <c r="BX1024" s="552">
        <f t="shared" si="841"/>
        <v>0</v>
      </c>
      <c r="BY1024" s="552">
        <f t="shared" si="841"/>
        <v>0</v>
      </c>
      <c r="BZ1024" s="552">
        <f t="shared" si="841"/>
        <v>0</v>
      </c>
      <c r="CA1024" s="552">
        <f t="shared" si="841"/>
        <v>0</v>
      </c>
      <c r="CB1024" s="552">
        <f t="shared" si="841"/>
        <v>0.98</v>
      </c>
      <c r="CC1024" s="552">
        <f t="shared" si="841"/>
        <v>0</v>
      </c>
      <c r="CD1024" s="552">
        <f t="shared" si="841"/>
        <v>0</v>
      </c>
      <c r="CE1024" s="552">
        <f t="shared" si="841"/>
        <v>0</v>
      </c>
      <c r="CF1024" s="552">
        <f t="shared" si="841"/>
        <v>0.6</v>
      </c>
      <c r="CG1024" s="552">
        <f t="shared" si="841"/>
        <v>0</v>
      </c>
      <c r="CH1024" s="552">
        <f t="shared" si="841"/>
        <v>0</v>
      </c>
      <c r="CI1024" s="552">
        <f t="shared" si="841"/>
        <v>0</v>
      </c>
      <c r="CJ1024" s="552">
        <f t="shared" si="841"/>
        <v>0</v>
      </c>
      <c r="CK1024" s="552">
        <f t="shared" si="841"/>
        <v>0</v>
      </c>
      <c r="CL1024" s="552">
        <f t="shared" si="841"/>
        <v>0</v>
      </c>
      <c r="CM1024" s="552">
        <f t="shared" si="841"/>
        <v>0</v>
      </c>
      <c r="CN1024" s="552">
        <f t="shared" si="841"/>
        <v>0</v>
      </c>
      <c r="CO1024" s="552">
        <f t="shared" si="841"/>
        <v>0</v>
      </c>
      <c r="CP1024" s="552">
        <f t="shared" si="841"/>
        <v>0</v>
      </c>
      <c r="CQ1024" s="552">
        <f t="shared" si="841"/>
        <v>0</v>
      </c>
      <c r="CR1024" s="552">
        <f t="shared" si="841"/>
        <v>0</v>
      </c>
      <c r="CS1024" s="552">
        <f t="shared" si="841"/>
        <v>0.01</v>
      </c>
      <c r="CT1024" s="552">
        <f t="shared" si="841"/>
        <v>0</v>
      </c>
      <c r="CU1024" s="552">
        <f t="shared" si="841"/>
        <v>0</v>
      </c>
      <c r="CV1024" s="552">
        <f t="shared" si="841"/>
        <v>0</v>
      </c>
      <c r="CW1024" s="552">
        <f t="shared" si="841"/>
        <v>0</v>
      </c>
      <c r="CX1024" s="552">
        <f t="shared" si="841"/>
        <v>0</v>
      </c>
      <c r="CY1024" s="552">
        <f t="shared" si="841"/>
        <v>0</v>
      </c>
      <c r="CZ1024" s="552">
        <f t="shared" si="841"/>
        <v>0</v>
      </c>
      <c r="DA1024" s="552">
        <f t="shared" si="841"/>
        <v>0</v>
      </c>
      <c r="DB1024" s="552">
        <f t="shared" ref="DB1024:EG1024" si="842">DB58*DB$338</f>
        <v>0</v>
      </c>
      <c r="DC1024" s="552">
        <f t="shared" si="842"/>
        <v>0.06</v>
      </c>
      <c r="DD1024" s="552">
        <f t="shared" si="842"/>
        <v>0</v>
      </c>
      <c r="DE1024" s="552">
        <f t="shared" si="842"/>
        <v>0</v>
      </c>
      <c r="DF1024" s="552">
        <f t="shared" si="842"/>
        <v>0</v>
      </c>
      <c r="DG1024" s="552">
        <f t="shared" si="842"/>
        <v>0</v>
      </c>
      <c r="DH1024" s="552">
        <f t="shared" si="842"/>
        <v>0</v>
      </c>
      <c r="DI1024" s="552">
        <f t="shared" si="842"/>
        <v>0</v>
      </c>
      <c r="DJ1024" s="552">
        <f t="shared" si="842"/>
        <v>0</v>
      </c>
      <c r="DK1024" s="552">
        <f t="shared" si="842"/>
        <v>0</v>
      </c>
      <c r="DL1024" s="552">
        <f t="shared" si="842"/>
        <v>0</v>
      </c>
      <c r="DM1024" s="552">
        <f t="shared" si="842"/>
        <v>0</v>
      </c>
      <c r="DN1024" s="552">
        <f t="shared" si="842"/>
        <v>0</v>
      </c>
      <c r="DO1024" s="552">
        <f t="shared" si="842"/>
        <v>0</v>
      </c>
      <c r="DP1024" s="552">
        <f t="shared" si="842"/>
        <v>0</v>
      </c>
      <c r="DQ1024" s="552">
        <f t="shared" si="842"/>
        <v>0</v>
      </c>
      <c r="DR1024" s="552">
        <f t="shared" si="842"/>
        <v>0</v>
      </c>
      <c r="DS1024" s="552">
        <f t="shared" si="842"/>
        <v>0</v>
      </c>
      <c r="DT1024" s="552">
        <f t="shared" si="842"/>
        <v>0</v>
      </c>
      <c r="DU1024" s="552">
        <f t="shared" si="842"/>
        <v>0</v>
      </c>
      <c r="DV1024" s="552">
        <f t="shared" si="842"/>
        <v>0</v>
      </c>
      <c r="DW1024" s="552">
        <f t="shared" si="842"/>
        <v>0</v>
      </c>
      <c r="DX1024" s="552">
        <f t="shared" si="842"/>
        <v>0</v>
      </c>
      <c r="DY1024" s="552">
        <f t="shared" si="842"/>
        <v>0</v>
      </c>
      <c r="DZ1024" s="552">
        <f t="shared" si="842"/>
        <v>0</v>
      </c>
      <c r="EA1024" s="552">
        <f t="shared" si="842"/>
        <v>0</v>
      </c>
      <c r="EB1024" s="552">
        <f t="shared" si="842"/>
        <v>0</v>
      </c>
      <c r="EC1024" s="552">
        <f t="shared" si="842"/>
        <v>0</v>
      </c>
      <c r="ED1024" s="552">
        <f t="shared" si="842"/>
        <v>0</v>
      </c>
      <c r="EE1024" s="552">
        <f t="shared" si="842"/>
        <v>0</v>
      </c>
      <c r="EF1024" s="552">
        <f t="shared" si="842"/>
        <v>0</v>
      </c>
      <c r="EG1024" s="552">
        <f t="shared" si="842"/>
        <v>0</v>
      </c>
      <c r="EH1024" s="552">
        <f t="shared" ref="EH1024:EX1024" si="843">EH58*EH$338</f>
        <v>0</v>
      </c>
      <c r="EI1024" s="552">
        <f t="shared" si="843"/>
        <v>0</v>
      </c>
      <c r="EJ1024" s="552">
        <f t="shared" si="843"/>
        <v>0</v>
      </c>
      <c r="EK1024" s="552">
        <f t="shared" si="843"/>
        <v>0</v>
      </c>
      <c r="EL1024" s="552">
        <f t="shared" si="843"/>
        <v>0</v>
      </c>
      <c r="EM1024" s="552">
        <f t="shared" si="843"/>
        <v>0</v>
      </c>
      <c r="EN1024" s="552">
        <f t="shared" si="843"/>
        <v>0</v>
      </c>
      <c r="EO1024" s="552">
        <f t="shared" si="843"/>
        <v>0</v>
      </c>
      <c r="EP1024" s="552">
        <f t="shared" si="843"/>
        <v>0</v>
      </c>
      <c r="EQ1024" s="552">
        <f t="shared" si="843"/>
        <v>0</v>
      </c>
      <c r="ER1024" s="552">
        <f t="shared" si="843"/>
        <v>0</v>
      </c>
      <c r="ES1024" s="552">
        <f t="shared" si="843"/>
        <v>0</v>
      </c>
      <c r="ET1024" s="552">
        <f t="shared" si="843"/>
        <v>0</v>
      </c>
      <c r="EU1024" s="552">
        <f t="shared" si="843"/>
        <v>0</v>
      </c>
      <c r="EV1024" s="552">
        <f t="shared" si="843"/>
        <v>0</v>
      </c>
      <c r="EW1024" s="552">
        <f t="shared" si="843"/>
        <v>0</v>
      </c>
      <c r="EX1024" s="552">
        <f t="shared" si="843"/>
        <v>0</v>
      </c>
      <c r="EY1024" s="799">
        <f t="shared" si="527"/>
        <v>8.3000000000000007</v>
      </c>
      <c r="EZ1024" s="640"/>
      <c r="FA1024" s="640"/>
      <c r="FB1024" s="640"/>
      <c r="FC1024" s="640"/>
      <c r="FD1024" s="640"/>
      <c r="FE1024" s="640"/>
      <c r="FF1024" s="640"/>
      <c r="FG1024" s="640"/>
      <c r="FH1024" s="640"/>
      <c r="FI1024" s="640"/>
      <c r="FJ1024" s="640"/>
      <c r="FK1024" s="640"/>
      <c r="FL1024" s="640"/>
    </row>
    <row r="1025" spans="1:168" ht="27.6" x14ac:dyDescent="0.25">
      <c r="A1025" s="1492"/>
      <c r="B1025" s="624" t="str">
        <f t="shared" si="838"/>
        <v>Котлеты рубленные из филе птицы со сметанным соусом с томатом и луком</v>
      </c>
      <c r="C1025" s="624">
        <f t="shared" si="838"/>
        <v>110</v>
      </c>
      <c r="D1025" s="624">
        <f t="shared" si="838"/>
        <v>10.33</v>
      </c>
      <c r="E1025" s="1158">
        <f t="shared" si="832"/>
        <v>35.049999999999997</v>
      </c>
      <c r="F1025" s="1158"/>
      <c r="G1025" s="1140"/>
      <c r="H1025" s="1140"/>
      <c r="I1025" s="552"/>
      <c r="J1025" s="552">
        <f t="shared" ref="J1025:AO1025" si="844">J59*J$338</f>
        <v>0</v>
      </c>
      <c r="K1025" s="552">
        <f t="shared" si="844"/>
        <v>0</v>
      </c>
      <c r="L1025" s="552">
        <f t="shared" si="844"/>
        <v>0</v>
      </c>
      <c r="M1025" s="552">
        <f t="shared" si="844"/>
        <v>27.2</v>
      </c>
      <c r="N1025" s="552">
        <f t="shared" si="844"/>
        <v>0</v>
      </c>
      <c r="O1025" s="552">
        <f t="shared" si="844"/>
        <v>0</v>
      </c>
      <c r="P1025" s="552">
        <f t="shared" si="844"/>
        <v>0.3</v>
      </c>
      <c r="Q1025" s="552">
        <f t="shared" si="844"/>
        <v>0</v>
      </c>
      <c r="R1025" s="552">
        <f t="shared" si="844"/>
        <v>0</v>
      </c>
      <c r="S1025" s="552">
        <f t="shared" si="844"/>
        <v>0</v>
      </c>
      <c r="T1025" s="552">
        <f t="shared" si="844"/>
        <v>0</v>
      </c>
      <c r="U1025" s="552">
        <f t="shared" si="844"/>
        <v>1.84</v>
      </c>
      <c r="V1025" s="552">
        <f t="shared" si="844"/>
        <v>0.43</v>
      </c>
      <c r="W1025" s="552">
        <f t="shared" si="844"/>
        <v>0</v>
      </c>
      <c r="X1025" s="552">
        <f t="shared" si="844"/>
        <v>0</v>
      </c>
      <c r="Y1025" s="552">
        <f t="shared" si="844"/>
        <v>1.58</v>
      </c>
      <c r="Z1025" s="552">
        <f t="shared" si="844"/>
        <v>0</v>
      </c>
      <c r="AA1025" s="552">
        <f t="shared" si="844"/>
        <v>0</v>
      </c>
      <c r="AB1025" s="552">
        <f t="shared" si="844"/>
        <v>0</v>
      </c>
      <c r="AC1025" s="552">
        <f t="shared" si="844"/>
        <v>0</v>
      </c>
      <c r="AD1025" s="552">
        <f t="shared" si="844"/>
        <v>0</v>
      </c>
      <c r="AE1025" s="552">
        <f t="shared" si="844"/>
        <v>0</v>
      </c>
      <c r="AF1025" s="552">
        <f t="shared" si="844"/>
        <v>0</v>
      </c>
      <c r="AG1025" s="552">
        <f t="shared" si="844"/>
        <v>0</v>
      </c>
      <c r="AH1025" s="552">
        <f t="shared" si="844"/>
        <v>0</v>
      </c>
      <c r="AI1025" s="552">
        <f t="shared" si="844"/>
        <v>0</v>
      </c>
      <c r="AJ1025" s="552">
        <f t="shared" si="844"/>
        <v>0</v>
      </c>
      <c r="AK1025" s="552">
        <f t="shared" si="844"/>
        <v>0.36</v>
      </c>
      <c r="AL1025" s="552">
        <f t="shared" si="844"/>
        <v>0</v>
      </c>
      <c r="AM1025" s="552">
        <f t="shared" si="844"/>
        <v>0</v>
      </c>
      <c r="AN1025" s="552">
        <f t="shared" si="844"/>
        <v>0</v>
      </c>
      <c r="AO1025" s="552">
        <f t="shared" si="844"/>
        <v>0</v>
      </c>
      <c r="AP1025" s="552">
        <f t="shared" ref="AP1025:BU1025" si="845">AP59*AP$338</f>
        <v>0</v>
      </c>
      <c r="AQ1025" s="552">
        <f t="shared" si="845"/>
        <v>0</v>
      </c>
      <c r="AR1025" s="552">
        <f t="shared" si="845"/>
        <v>0</v>
      </c>
      <c r="AS1025" s="552">
        <f t="shared" si="845"/>
        <v>0</v>
      </c>
      <c r="AT1025" s="552">
        <f t="shared" si="845"/>
        <v>0</v>
      </c>
      <c r="AU1025" s="552">
        <f t="shared" si="845"/>
        <v>0</v>
      </c>
      <c r="AV1025" s="552">
        <f t="shared" si="845"/>
        <v>0</v>
      </c>
      <c r="AW1025" s="552">
        <f t="shared" si="845"/>
        <v>0</v>
      </c>
      <c r="AX1025" s="552">
        <f t="shared" si="845"/>
        <v>0</v>
      </c>
      <c r="AY1025" s="552">
        <f t="shared" si="845"/>
        <v>0</v>
      </c>
      <c r="AZ1025" s="552">
        <f t="shared" si="845"/>
        <v>0</v>
      </c>
      <c r="BA1025" s="552">
        <f t="shared" si="845"/>
        <v>0</v>
      </c>
      <c r="BB1025" s="552">
        <f t="shared" si="845"/>
        <v>0</v>
      </c>
      <c r="BC1025" s="552">
        <f t="shared" si="845"/>
        <v>0</v>
      </c>
      <c r="BD1025" s="552">
        <f t="shared" si="845"/>
        <v>0</v>
      </c>
      <c r="BE1025" s="552">
        <f t="shared" si="845"/>
        <v>0</v>
      </c>
      <c r="BF1025" s="552">
        <f t="shared" si="845"/>
        <v>0</v>
      </c>
      <c r="BG1025" s="552">
        <f t="shared" si="845"/>
        <v>0</v>
      </c>
      <c r="BH1025" s="552">
        <f t="shared" si="845"/>
        <v>0</v>
      </c>
      <c r="BI1025" s="552">
        <f t="shared" si="845"/>
        <v>0</v>
      </c>
      <c r="BJ1025" s="552">
        <f t="shared" si="845"/>
        <v>0</v>
      </c>
      <c r="BK1025" s="552">
        <f t="shared" si="845"/>
        <v>0</v>
      </c>
      <c r="BL1025" s="552">
        <f t="shared" si="845"/>
        <v>0</v>
      </c>
      <c r="BM1025" s="552">
        <f t="shared" si="845"/>
        <v>0</v>
      </c>
      <c r="BN1025" s="552">
        <f t="shared" si="845"/>
        <v>0</v>
      </c>
      <c r="BO1025" s="552">
        <f t="shared" si="845"/>
        <v>0</v>
      </c>
      <c r="BP1025" s="552">
        <f t="shared" si="845"/>
        <v>0</v>
      </c>
      <c r="BQ1025" s="552">
        <f t="shared" si="845"/>
        <v>0</v>
      </c>
      <c r="BR1025" s="552">
        <f t="shared" si="845"/>
        <v>0</v>
      </c>
      <c r="BS1025" s="552">
        <f t="shared" si="845"/>
        <v>7.0000000000000007E-2</v>
      </c>
      <c r="BT1025" s="552">
        <f t="shared" si="845"/>
        <v>0</v>
      </c>
      <c r="BU1025" s="552">
        <f t="shared" si="845"/>
        <v>0</v>
      </c>
      <c r="BV1025" s="552">
        <f t="shared" ref="BV1025:DA1025" si="846">BV59*BV$338</f>
        <v>0</v>
      </c>
      <c r="BW1025" s="552">
        <f t="shared" si="846"/>
        <v>0</v>
      </c>
      <c r="BX1025" s="552">
        <f t="shared" si="846"/>
        <v>0</v>
      </c>
      <c r="BY1025" s="552">
        <f t="shared" si="846"/>
        <v>0</v>
      </c>
      <c r="BZ1025" s="552">
        <f t="shared" si="846"/>
        <v>0</v>
      </c>
      <c r="CA1025" s="552">
        <f t="shared" si="846"/>
        <v>0</v>
      </c>
      <c r="CB1025" s="552">
        <f t="shared" si="846"/>
        <v>0</v>
      </c>
      <c r="CC1025" s="552">
        <f t="shared" si="846"/>
        <v>0</v>
      </c>
      <c r="CD1025" s="552">
        <f t="shared" si="846"/>
        <v>0</v>
      </c>
      <c r="CE1025" s="552">
        <f t="shared" si="846"/>
        <v>0</v>
      </c>
      <c r="CF1025" s="552">
        <f t="shared" si="846"/>
        <v>0.6</v>
      </c>
      <c r="CG1025" s="552">
        <f t="shared" si="846"/>
        <v>0</v>
      </c>
      <c r="CH1025" s="552">
        <f t="shared" si="846"/>
        <v>0</v>
      </c>
      <c r="CI1025" s="552">
        <f t="shared" si="846"/>
        <v>0</v>
      </c>
      <c r="CJ1025" s="552">
        <f t="shared" si="846"/>
        <v>0</v>
      </c>
      <c r="CK1025" s="552">
        <f t="shared" si="846"/>
        <v>0</v>
      </c>
      <c r="CL1025" s="552">
        <f t="shared" si="846"/>
        <v>0</v>
      </c>
      <c r="CM1025" s="552">
        <f t="shared" si="846"/>
        <v>0</v>
      </c>
      <c r="CN1025" s="552">
        <f t="shared" si="846"/>
        <v>0</v>
      </c>
      <c r="CO1025" s="552">
        <f t="shared" si="846"/>
        <v>0</v>
      </c>
      <c r="CP1025" s="552">
        <f t="shared" si="846"/>
        <v>0</v>
      </c>
      <c r="CQ1025" s="552">
        <f t="shared" si="846"/>
        <v>0</v>
      </c>
      <c r="CR1025" s="552">
        <f t="shared" si="846"/>
        <v>0</v>
      </c>
      <c r="CS1025" s="552">
        <f t="shared" si="846"/>
        <v>0</v>
      </c>
      <c r="CT1025" s="552">
        <f t="shared" si="846"/>
        <v>0</v>
      </c>
      <c r="CU1025" s="552">
        <f t="shared" si="846"/>
        <v>0</v>
      </c>
      <c r="CV1025" s="552">
        <f t="shared" si="846"/>
        <v>0</v>
      </c>
      <c r="CW1025" s="552">
        <f t="shared" si="846"/>
        <v>0</v>
      </c>
      <c r="CX1025" s="552">
        <f t="shared" si="846"/>
        <v>0</v>
      </c>
      <c r="CY1025" s="552">
        <f t="shared" si="846"/>
        <v>0</v>
      </c>
      <c r="CZ1025" s="552">
        <f t="shared" si="846"/>
        <v>0</v>
      </c>
      <c r="DA1025" s="552">
        <f t="shared" si="846"/>
        <v>0</v>
      </c>
      <c r="DB1025" s="552">
        <f t="shared" ref="DB1025:EG1025" si="847">DB59*DB$338</f>
        <v>0</v>
      </c>
      <c r="DC1025" s="552">
        <f t="shared" si="847"/>
        <v>0.13</v>
      </c>
      <c r="DD1025" s="552">
        <f t="shared" si="847"/>
        <v>0.94</v>
      </c>
      <c r="DE1025" s="552">
        <f t="shared" si="847"/>
        <v>0</v>
      </c>
      <c r="DF1025" s="552">
        <f t="shared" si="847"/>
        <v>0.69</v>
      </c>
      <c r="DG1025" s="552">
        <f t="shared" si="847"/>
        <v>0</v>
      </c>
      <c r="DH1025" s="552">
        <f t="shared" si="847"/>
        <v>0</v>
      </c>
      <c r="DI1025" s="552">
        <f t="shared" si="847"/>
        <v>0</v>
      </c>
      <c r="DJ1025" s="552">
        <f t="shared" si="847"/>
        <v>0</v>
      </c>
      <c r="DK1025" s="552">
        <f t="shared" si="847"/>
        <v>0</v>
      </c>
      <c r="DL1025" s="552">
        <f t="shared" si="847"/>
        <v>0</v>
      </c>
      <c r="DM1025" s="552">
        <f t="shared" si="847"/>
        <v>0</v>
      </c>
      <c r="DN1025" s="552">
        <f t="shared" si="847"/>
        <v>0</v>
      </c>
      <c r="DO1025" s="552">
        <f t="shared" si="847"/>
        <v>0</v>
      </c>
      <c r="DP1025" s="552">
        <f t="shared" si="847"/>
        <v>0</v>
      </c>
      <c r="DQ1025" s="552">
        <f t="shared" si="847"/>
        <v>0</v>
      </c>
      <c r="DR1025" s="552">
        <f t="shared" si="847"/>
        <v>0</v>
      </c>
      <c r="DS1025" s="552">
        <f t="shared" si="847"/>
        <v>0</v>
      </c>
      <c r="DT1025" s="552">
        <f t="shared" si="847"/>
        <v>0</v>
      </c>
      <c r="DU1025" s="552">
        <f t="shared" si="847"/>
        <v>0</v>
      </c>
      <c r="DV1025" s="552">
        <f t="shared" si="847"/>
        <v>0</v>
      </c>
      <c r="DW1025" s="552">
        <f t="shared" si="847"/>
        <v>0</v>
      </c>
      <c r="DX1025" s="552">
        <f t="shared" si="847"/>
        <v>0</v>
      </c>
      <c r="DY1025" s="552">
        <f t="shared" si="847"/>
        <v>0</v>
      </c>
      <c r="DZ1025" s="552">
        <f t="shared" si="847"/>
        <v>0</v>
      </c>
      <c r="EA1025" s="552">
        <f t="shared" si="847"/>
        <v>0</v>
      </c>
      <c r="EB1025" s="552">
        <f t="shared" si="847"/>
        <v>0</v>
      </c>
      <c r="EC1025" s="552">
        <f t="shared" si="847"/>
        <v>0</v>
      </c>
      <c r="ED1025" s="552">
        <f t="shared" si="847"/>
        <v>0</v>
      </c>
      <c r="EE1025" s="552">
        <f t="shared" si="847"/>
        <v>0</v>
      </c>
      <c r="EF1025" s="552">
        <f t="shared" si="847"/>
        <v>0</v>
      </c>
      <c r="EG1025" s="552">
        <f t="shared" si="847"/>
        <v>0</v>
      </c>
      <c r="EH1025" s="552">
        <f t="shared" ref="EH1025:EX1025" si="848">EH59*EH$338</f>
        <v>0</v>
      </c>
      <c r="EI1025" s="552">
        <f t="shared" si="848"/>
        <v>0</v>
      </c>
      <c r="EJ1025" s="552">
        <f t="shared" si="848"/>
        <v>0</v>
      </c>
      <c r="EK1025" s="552">
        <f t="shared" si="848"/>
        <v>0</v>
      </c>
      <c r="EL1025" s="552">
        <f t="shared" si="848"/>
        <v>0</v>
      </c>
      <c r="EM1025" s="552">
        <f t="shared" si="848"/>
        <v>0</v>
      </c>
      <c r="EN1025" s="552">
        <f t="shared" si="848"/>
        <v>0</v>
      </c>
      <c r="EO1025" s="552">
        <f t="shared" si="848"/>
        <v>0</v>
      </c>
      <c r="EP1025" s="552">
        <f t="shared" si="848"/>
        <v>0</v>
      </c>
      <c r="EQ1025" s="552">
        <f t="shared" si="848"/>
        <v>0</v>
      </c>
      <c r="ER1025" s="552">
        <f t="shared" si="848"/>
        <v>0</v>
      </c>
      <c r="ES1025" s="552">
        <f t="shared" si="848"/>
        <v>0</v>
      </c>
      <c r="ET1025" s="552">
        <f t="shared" si="848"/>
        <v>0</v>
      </c>
      <c r="EU1025" s="552">
        <f t="shared" si="848"/>
        <v>0</v>
      </c>
      <c r="EV1025" s="552">
        <f t="shared" si="848"/>
        <v>0.91</v>
      </c>
      <c r="EW1025" s="552">
        <f t="shared" si="848"/>
        <v>0</v>
      </c>
      <c r="EX1025" s="552">
        <f t="shared" si="848"/>
        <v>0</v>
      </c>
      <c r="EY1025" s="799">
        <f t="shared" si="527"/>
        <v>35.049999999999997</v>
      </c>
      <c r="EZ1025" s="640"/>
      <c r="FA1025" s="640"/>
      <c r="FB1025" s="640"/>
      <c r="FC1025" s="640"/>
      <c r="FD1025" s="640"/>
      <c r="FE1025" s="640"/>
      <c r="FF1025" s="640"/>
      <c r="FG1025" s="640"/>
      <c r="FH1025" s="640"/>
      <c r="FI1025" s="640"/>
      <c r="FJ1025" s="640"/>
      <c r="FK1025" s="640"/>
      <c r="FL1025" s="640"/>
    </row>
    <row r="1026" spans="1:168" x14ac:dyDescent="0.25">
      <c r="A1026" s="1492"/>
      <c r="B1026" s="624" t="str">
        <f t="shared" si="838"/>
        <v>Пюре картофельное</v>
      </c>
      <c r="C1026" s="624">
        <f t="shared" si="838"/>
        <v>150</v>
      </c>
      <c r="D1026" s="624">
        <f t="shared" si="838"/>
        <v>3.06</v>
      </c>
      <c r="E1026" s="1158">
        <f t="shared" si="832"/>
        <v>14.18</v>
      </c>
      <c r="F1026" s="1158"/>
      <c r="G1026" s="1140"/>
      <c r="H1026" s="1140"/>
      <c r="I1026" s="552"/>
      <c r="J1026" s="552">
        <f t="shared" ref="J1026:AO1026" si="849">J60*J$338</f>
        <v>0</v>
      </c>
      <c r="K1026" s="552">
        <f t="shared" si="849"/>
        <v>0</v>
      </c>
      <c r="L1026" s="552">
        <f t="shared" si="849"/>
        <v>0</v>
      </c>
      <c r="M1026" s="552">
        <f t="shared" si="849"/>
        <v>0</v>
      </c>
      <c r="N1026" s="552">
        <f t="shared" si="849"/>
        <v>0</v>
      </c>
      <c r="O1026" s="552">
        <f t="shared" si="849"/>
        <v>0</v>
      </c>
      <c r="P1026" s="552">
        <f t="shared" si="849"/>
        <v>0</v>
      </c>
      <c r="Q1026" s="552">
        <f t="shared" si="849"/>
        <v>0</v>
      </c>
      <c r="R1026" s="552">
        <f t="shared" si="849"/>
        <v>0</v>
      </c>
      <c r="S1026" s="552">
        <f t="shared" si="849"/>
        <v>0</v>
      </c>
      <c r="T1026" s="552">
        <f t="shared" si="849"/>
        <v>0</v>
      </c>
      <c r="U1026" s="552">
        <f t="shared" si="849"/>
        <v>1.9</v>
      </c>
      <c r="V1026" s="552">
        <f t="shared" si="849"/>
        <v>3.73</v>
      </c>
      <c r="W1026" s="552">
        <f t="shared" si="849"/>
        <v>0</v>
      </c>
      <c r="X1026" s="552">
        <f t="shared" si="849"/>
        <v>0</v>
      </c>
      <c r="Y1026" s="552">
        <f t="shared" si="849"/>
        <v>0</v>
      </c>
      <c r="Z1026" s="552">
        <f t="shared" si="849"/>
        <v>0</v>
      </c>
      <c r="AA1026" s="552">
        <f t="shared" si="849"/>
        <v>0</v>
      </c>
      <c r="AB1026" s="552">
        <f t="shared" si="849"/>
        <v>0</v>
      </c>
      <c r="AC1026" s="552">
        <f t="shared" si="849"/>
        <v>0</v>
      </c>
      <c r="AD1026" s="552">
        <f t="shared" si="849"/>
        <v>0</v>
      </c>
      <c r="AE1026" s="552">
        <f t="shared" si="849"/>
        <v>0</v>
      </c>
      <c r="AF1026" s="552">
        <f t="shared" si="849"/>
        <v>0</v>
      </c>
      <c r="AG1026" s="552">
        <f t="shared" si="849"/>
        <v>0</v>
      </c>
      <c r="AH1026" s="552">
        <f t="shared" si="849"/>
        <v>8.5500000000000007</v>
      </c>
      <c r="AI1026" s="552">
        <f t="shared" si="849"/>
        <v>0</v>
      </c>
      <c r="AJ1026" s="552">
        <f t="shared" si="849"/>
        <v>0</v>
      </c>
      <c r="AK1026" s="552">
        <f t="shared" si="849"/>
        <v>0</v>
      </c>
      <c r="AL1026" s="552">
        <f t="shared" si="849"/>
        <v>0</v>
      </c>
      <c r="AM1026" s="552">
        <f t="shared" si="849"/>
        <v>0</v>
      </c>
      <c r="AN1026" s="552">
        <f t="shared" si="849"/>
        <v>0</v>
      </c>
      <c r="AO1026" s="552">
        <f t="shared" si="849"/>
        <v>0</v>
      </c>
      <c r="AP1026" s="552">
        <f t="shared" ref="AP1026:BU1026" si="850">AP60*AP$338</f>
        <v>0</v>
      </c>
      <c r="AQ1026" s="552">
        <f t="shared" si="850"/>
        <v>0</v>
      </c>
      <c r="AR1026" s="552">
        <f t="shared" si="850"/>
        <v>0</v>
      </c>
      <c r="AS1026" s="552">
        <f t="shared" si="850"/>
        <v>0</v>
      </c>
      <c r="AT1026" s="552">
        <f t="shared" si="850"/>
        <v>0</v>
      </c>
      <c r="AU1026" s="552">
        <f t="shared" si="850"/>
        <v>0</v>
      </c>
      <c r="AV1026" s="552">
        <f t="shared" si="850"/>
        <v>0</v>
      </c>
      <c r="AW1026" s="552">
        <f t="shared" si="850"/>
        <v>0</v>
      </c>
      <c r="AX1026" s="552">
        <f t="shared" si="850"/>
        <v>0</v>
      </c>
      <c r="AY1026" s="552">
        <f t="shared" si="850"/>
        <v>0</v>
      </c>
      <c r="AZ1026" s="552">
        <f t="shared" si="850"/>
        <v>0</v>
      </c>
      <c r="BA1026" s="552">
        <f t="shared" si="850"/>
        <v>0</v>
      </c>
      <c r="BB1026" s="552">
        <f t="shared" si="850"/>
        <v>0</v>
      </c>
      <c r="BC1026" s="552">
        <f t="shared" si="850"/>
        <v>0</v>
      </c>
      <c r="BD1026" s="552">
        <f t="shared" si="850"/>
        <v>0</v>
      </c>
      <c r="BE1026" s="552">
        <f t="shared" si="850"/>
        <v>0</v>
      </c>
      <c r="BF1026" s="552">
        <f t="shared" si="850"/>
        <v>0</v>
      </c>
      <c r="BG1026" s="552">
        <f t="shared" si="850"/>
        <v>0</v>
      </c>
      <c r="BH1026" s="552">
        <f t="shared" si="850"/>
        <v>0</v>
      </c>
      <c r="BI1026" s="552">
        <f t="shared" si="850"/>
        <v>0</v>
      </c>
      <c r="BJ1026" s="552">
        <f t="shared" si="850"/>
        <v>0</v>
      </c>
      <c r="BK1026" s="552">
        <f t="shared" si="850"/>
        <v>0</v>
      </c>
      <c r="BL1026" s="552">
        <f t="shared" si="850"/>
        <v>0</v>
      </c>
      <c r="BM1026" s="552">
        <f t="shared" si="850"/>
        <v>0</v>
      </c>
      <c r="BN1026" s="552">
        <f t="shared" si="850"/>
        <v>0</v>
      </c>
      <c r="BO1026" s="552">
        <f t="shared" si="850"/>
        <v>0</v>
      </c>
      <c r="BP1026" s="552">
        <f t="shared" si="850"/>
        <v>0</v>
      </c>
      <c r="BQ1026" s="552">
        <f t="shared" si="850"/>
        <v>0</v>
      </c>
      <c r="BR1026" s="552">
        <f t="shared" si="850"/>
        <v>0</v>
      </c>
      <c r="BS1026" s="552">
        <f t="shared" si="850"/>
        <v>0</v>
      </c>
      <c r="BT1026" s="552">
        <f t="shared" si="850"/>
        <v>0</v>
      </c>
      <c r="BU1026" s="552">
        <f t="shared" si="850"/>
        <v>0</v>
      </c>
      <c r="BV1026" s="552">
        <f t="shared" ref="BV1026:DA1026" si="851">BV60*BV$338</f>
        <v>0</v>
      </c>
      <c r="BW1026" s="552">
        <f t="shared" si="851"/>
        <v>0</v>
      </c>
      <c r="BX1026" s="552">
        <f t="shared" si="851"/>
        <v>0</v>
      </c>
      <c r="BY1026" s="552">
        <f t="shared" si="851"/>
        <v>0</v>
      </c>
      <c r="BZ1026" s="552">
        <f t="shared" si="851"/>
        <v>0</v>
      </c>
      <c r="CA1026" s="552">
        <f t="shared" si="851"/>
        <v>0</v>
      </c>
      <c r="CB1026" s="552">
        <f t="shared" si="851"/>
        <v>0</v>
      </c>
      <c r="CC1026" s="552">
        <f t="shared" si="851"/>
        <v>0</v>
      </c>
      <c r="CD1026" s="552">
        <f t="shared" si="851"/>
        <v>0</v>
      </c>
      <c r="CE1026" s="552">
        <f t="shared" si="851"/>
        <v>0</v>
      </c>
      <c r="CF1026" s="552">
        <f t="shared" si="851"/>
        <v>0</v>
      </c>
      <c r="CG1026" s="552">
        <f t="shared" si="851"/>
        <v>0</v>
      </c>
      <c r="CH1026" s="552">
        <f t="shared" si="851"/>
        <v>0</v>
      </c>
      <c r="CI1026" s="552">
        <f t="shared" si="851"/>
        <v>0</v>
      </c>
      <c r="CJ1026" s="552">
        <f t="shared" si="851"/>
        <v>0</v>
      </c>
      <c r="CK1026" s="552">
        <f t="shared" si="851"/>
        <v>0</v>
      </c>
      <c r="CL1026" s="552">
        <f t="shared" si="851"/>
        <v>0</v>
      </c>
      <c r="CM1026" s="552">
        <f t="shared" si="851"/>
        <v>0</v>
      </c>
      <c r="CN1026" s="552">
        <f t="shared" si="851"/>
        <v>0</v>
      </c>
      <c r="CO1026" s="552">
        <f t="shared" si="851"/>
        <v>0</v>
      </c>
      <c r="CP1026" s="552">
        <f t="shared" si="851"/>
        <v>0</v>
      </c>
      <c r="CQ1026" s="552">
        <f t="shared" si="851"/>
        <v>0</v>
      </c>
      <c r="CR1026" s="552">
        <f t="shared" si="851"/>
        <v>0</v>
      </c>
      <c r="CS1026" s="552">
        <f t="shared" si="851"/>
        <v>0</v>
      </c>
      <c r="CT1026" s="552">
        <f t="shared" si="851"/>
        <v>0</v>
      </c>
      <c r="CU1026" s="552">
        <f t="shared" si="851"/>
        <v>0</v>
      </c>
      <c r="CV1026" s="552">
        <f t="shared" si="851"/>
        <v>0</v>
      </c>
      <c r="CW1026" s="552">
        <f t="shared" si="851"/>
        <v>0</v>
      </c>
      <c r="CX1026" s="552">
        <f t="shared" si="851"/>
        <v>0</v>
      </c>
      <c r="CY1026" s="552">
        <f t="shared" si="851"/>
        <v>0</v>
      </c>
      <c r="CZ1026" s="552">
        <f t="shared" si="851"/>
        <v>0</v>
      </c>
      <c r="DA1026" s="552">
        <f t="shared" si="851"/>
        <v>0</v>
      </c>
      <c r="DB1026" s="552">
        <f t="shared" ref="DB1026:EG1026" si="852">DB60*DB$338</f>
        <v>0</v>
      </c>
      <c r="DC1026" s="552">
        <f t="shared" si="852"/>
        <v>0</v>
      </c>
      <c r="DD1026" s="552">
        <f t="shared" si="852"/>
        <v>0</v>
      </c>
      <c r="DE1026" s="552">
        <f t="shared" si="852"/>
        <v>0</v>
      </c>
      <c r="DF1026" s="552">
        <f t="shared" si="852"/>
        <v>0</v>
      </c>
      <c r="DG1026" s="552">
        <f t="shared" si="852"/>
        <v>0</v>
      </c>
      <c r="DH1026" s="552">
        <f t="shared" si="852"/>
        <v>0</v>
      </c>
      <c r="DI1026" s="552">
        <f t="shared" si="852"/>
        <v>0</v>
      </c>
      <c r="DJ1026" s="552">
        <f t="shared" si="852"/>
        <v>0</v>
      </c>
      <c r="DK1026" s="552">
        <f t="shared" si="852"/>
        <v>0</v>
      </c>
      <c r="DL1026" s="552">
        <f t="shared" si="852"/>
        <v>0</v>
      </c>
      <c r="DM1026" s="552">
        <f t="shared" si="852"/>
        <v>0</v>
      </c>
      <c r="DN1026" s="552">
        <f t="shared" si="852"/>
        <v>0</v>
      </c>
      <c r="DO1026" s="552">
        <f t="shared" si="852"/>
        <v>0</v>
      </c>
      <c r="DP1026" s="552">
        <f t="shared" si="852"/>
        <v>0</v>
      </c>
      <c r="DQ1026" s="552">
        <f t="shared" si="852"/>
        <v>0</v>
      </c>
      <c r="DR1026" s="552">
        <f t="shared" si="852"/>
        <v>0</v>
      </c>
      <c r="DS1026" s="552">
        <f t="shared" si="852"/>
        <v>0</v>
      </c>
      <c r="DT1026" s="552">
        <f t="shared" si="852"/>
        <v>0</v>
      </c>
      <c r="DU1026" s="552">
        <f t="shared" si="852"/>
        <v>0</v>
      </c>
      <c r="DV1026" s="552">
        <f t="shared" si="852"/>
        <v>0</v>
      </c>
      <c r="DW1026" s="552">
        <f t="shared" si="852"/>
        <v>0</v>
      </c>
      <c r="DX1026" s="552">
        <f t="shared" si="852"/>
        <v>0</v>
      </c>
      <c r="DY1026" s="552">
        <f t="shared" si="852"/>
        <v>0</v>
      </c>
      <c r="DZ1026" s="552">
        <f t="shared" si="852"/>
        <v>0</v>
      </c>
      <c r="EA1026" s="552">
        <f t="shared" si="852"/>
        <v>0</v>
      </c>
      <c r="EB1026" s="552">
        <f t="shared" si="852"/>
        <v>0</v>
      </c>
      <c r="EC1026" s="552">
        <f t="shared" si="852"/>
        <v>0</v>
      </c>
      <c r="ED1026" s="552">
        <f t="shared" si="852"/>
        <v>0</v>
      </c>
      <c r="EE1026" s="552">
        <f t="shared" si="852"/>
        <v>0</v>
      </c>
      <c r="EF1026" s="552">
        <f t="shared" si="852"/>
        <v>0</v>
      </c>
      <c r="EG1026" s="552">
        <f t="shared" si="852"/>
        <v>0</v>
      </c>
      <c r="EH1026" s="552">
        <f t="shared" ref="EH1026:EX1026" si="853">EH60*EH$338</f>
        <v>0</v>
      </c>
      <c r="EI1026" s="552">
        <f t="shared" si="853"/>
        <v>0</v>
      </c>
      <c r="EJ1026" s="552">
        <f t="shared" si="853"/>
        <v>0</v>
      </c>
      <c r="EK1026" s="552">
        <f t="shared" si="853"/>
        <v>0</v>
      </c>
      <c r="EL1026" s="552">
        <f t="shared" si="853"/>
        <v>0</v>
      </c>
      <c r="EM1026" s="552">
        <f t="shared" si="853"/>
        <v>0</v>
      </c>
      <c r="EN1026" s="552">
        <f t="shared" si="853"/>
        <v>0</v>
      </c>
      <c r="EO1026" s="552">
        <f t="shared" si="853"/>
        <v>0</v>
      </c>
      <c r="EP1026" s="552">
        <f t="shared" si="853"/>
        <v>0</v>
      </c>
      <c r="EQ1026" s="552">
        <f t="shared" si="853"/>
        <v>0</v>
      </c>
      <c r="ER1026" s="552">
        <f t="shared" si="853"/>
        <v>0</v>
      </c>
      <c r="ES1026" s="552">
        <f t="shared" si="853"/>
        <v>0</v>
      </c>
      <c r="ET1026" s="552">
        <f t="shared" si="853"/>
        <v>0</v>
      </c>
      <c r="EU1026" s="552">
        <f t="shared" si="853"/>
        <v>0</v>
      </c>
      <c r="EV1026" s="552">
        <f t="shared" si="853"/>
        <v>0</v>
      </c>
      <c r="EW1026" s="552">
        <f t="shared" si="853"/>
        <v>0</v>
      </c>
      <c r="EX1026" s="552">
        <f t="shared" si="853"/>
        <v>0</v>
      </c>
      <c r="EY1026" s="799">
        <f t="shared" si="527"/>
        <v>14.18</v>
      </c>
      <c r="EZ1026" s="640"/>
      <c r="FA1026" s="640"/>
      <c r="FB1026" s="640"/>
      <c r="FC1026" s="640"/>
      <c r="FD1026" s="640"/>
      <c r="FE1026" s="640"/>
      <c r="FF1026" s="640"/>
      <c r="FG1026" s="640"/>
      <c r="FH1026" s="640"/>
      <c r="FI1026" s="640"/>
      <c r="FJ1026" s="640"/>
      <c r="FK1026" s="640"/>
      <c r="FL1026" s="640"/>
    </row>
    <row r="1027" spans="1:168" x14ac:dyDescent="0.25">
      <c r="A1027" s="1492"/>
      <c r="B1027" s="624" t="str">
        <f t="shared" si="838"/>
        <v xml:space="preserve">Компот из яблок </v>
      </c>
      <c r="C1027" s="624">
        <f t="shared" si="838"/>
        <v>200</v>
      </c>
      <c r="D1027" s="624">
        <f t="shared" si="838"/>
        <v>0.16</v>
      </c>
      <c r="E1027" s="1158">
        <f t="shared" si="832"/>
        <v>6.01</v>
      </c>
      <c r="F1027" s="1158"/>
      <c r="G1027" s="1140"/>
      <c r="H1027" s="1140"/>
      <c r="I1027" s="552"/>
      <c r="J1027" s="552">
        <f t="shared" ref="J1027:AO1027" si="854">J61*J$338</f>
        <v>0</v>
      </c>
      <c r="K1027" s="552">
        <f t="shared" si="854"/>
        <v>0</v>
      </c>
      <c r="L1027" s="552">
        <f t="shared" si="854"/>
        <v>0</v>
      </c>
      <c r="M1027" s="552">
        <f t="shared" si="854"/>
        <v>0</v>
      </c>
      <c r="N1027" s="552">
        <f t="shared" si="854"/>
        <v>0</v>
      </c>
      <c r="O1027" s="552">
        <f t="shared" si="854"/>
        <v>0</v>
      </c>
      <c r="P1027" s="552">
        <f t="shared" si="854"/>
        <v>0</v>
      </c>
      <c r="Q1027" s="552">
        <f t="shared" si="854"/>
        <v>0</v>
      </c>
      <c r="R1027" s="552">
        <f t="shared" si="854"/>
        <v>0</v>
      </c>
      <c r="S1027" s="552">
        <f t="shared" si="854"/>
        <v>0</v>
      </c>
      <c r="T1027" s="552">
        <f t="shared" si="854"/>
        <v>0</v>
      </c>
      <c r="U1027" s="552">
        <f t="shared" si="854"/>
        <v>0</v>
      </c>
      <c r="V1027" s="552">
        <f t="shared" si="854"/>
        <v>0</v>
      </c>
      <c r="W1027" s="552">
        <f t="shared" si="854"/>
        <v>0</v>
      </c>
      <c r="X1027" s="552">
        <f t="shared" si="854"/>
        <v>0</v>
      </c>
      <c r="Y1027" s="552">
        <f t="shared" si="854"/>
        <v>0</v>
      </c>
      <c r="Z1027" s="552">
        <f t="shared" si="854"/>
        <v>0</v>
      </c>
      <c r="AA1027" s="552">
        <f t="shared" si="854"/>
        <v>0</v>
      </c>
      <c r="AB1027" s="552">
        <f t="shared" si="854"/>
        <v>0</v>
      </c>
      <c r="AC1027" s="552">
        <f t="shared" si="854"/>
        <v>0</v>
      </c>
      <c r="AD1027" s="552">
        <f t="shared" si="854"/>
        <v>0</v>
      </c>
      <c r="AE1027" s="552">
        <f t="shared" si="854"/>
        <v>0</v>
      </c>
      <c r="AF1027" s="552">
        <f t="shared" si="854"/>
        <v>0</v>
      </c>
      <c r="AG1027" s="552">
        <f t="shared" si="854"/>
        <v>0</v>
      </c>
      <c r="AH1027" s="552">
        <f t="shared" si="854"/>
        <v>0</v>
      </c>
      <c r="AI1027" s="552">
        <f t="shared" si="854"/>
        <v>0</v>
      </c>
      <c r="AJ1027" s="552">
        <f t="shared" si="854"/>
        <v>0</v>
      </c>
      <c r="AK1027" s="552">
        <f t="shared" si="854"/>
        <v>0</v>
      </c>
      <c r="AL1027" s="552">
        <f t="shared" si="854"/>
        <v>0</v>
      </c>
      <c r="AM1027" s="552">
        <f t="shared" si="854"/>
        <v>0</v>
      </c>
      <c r="AN1027" s="552">
        <f t="shared" si="854"/>
        <v>0</v>
      </c>
      <c r="AO1027" s="552">
        <f t="shared" si="854"/>
        <v>0</v>
      </c>
      <c r="AP1027" s="552">
        <f t="shared" ref="AP1027:BU1027" si="855">AP61*AP$338</f>
        <v>0</v>
      </c>
      <c r="AQ1027" s="552">
        <f t="shared" si="855"/>
        <v>0</v>
      </c>
      <c r="AR1027" s="552">
        <f t="shared" si="855"/>
        <v>0</v>
      </c>
      <c r="AS1027" s="552">
        <f t="shared" si="855"/>
        <v>0</v>
      </c>
      <c r="AT1027" s="552">
        <f t="shared" si="855"/>
        <v>0</v>
      </c>
      <c r="AU1027" s="552">
        <f t="shared" si="855"/>
        <v>0</v>
      </c>
      <c r="AV1027" s="552">
        <f t="shared" si="855"/>
        <v>0</v>
      </c>
      <c r="AW1027" s="552">
        <f t="shared" si="855"/>
        <v>0</v>
      </c>
      <c r="AX1027" s="552">
        <f t="shared" si="855"/>
        <v>0</v>
      </c>
      <c r="AY1027" s="552">
        <f t="shared" si="855"/>
        <v>0</v>
      </c>
      <c r="AZ1027" s="552">
        <f t="shared" si="855"/>
        <v>0</v>
      </c>
      <c r="BA1027" s="552">
        <f t="shared" si="855"/>
        <v>0</v>
      </c>
      <c r="BB1027" s="552">
        <f t="shared" si="855"/>
        <v>0</v>
      </c>
      <c r="BC1027" s="552">
        <f t="shared" si="855"/>
        <v>0</v>
      </c>
      <c r="BD1027" s="552">
        <f t="shared" si="855"/>
        <v>0</v>
      </c>
      <c r="BE1027" s="552">
        <f t="shared" si="855"/>
        <v>0</v>
      </c>
      <c r="BF1027" s="552">
        <f t="shared" si="855"/>
        <v>0</v>
      </c>
      <c r="BG1027" s="552">
        <f t="shared" si="855"/>
        <v>0</v>
      </c>
      <c r="BH1027" s="552">
        <f t="shared" si="855"/>
        <v>0</v>
      </c>
      <c r="BI1027" s="552">
        <f t="shared" si="855"/>
        <v>0</v>
      </c>
      <c r="BJ1027" s="552">
        <f t="shared" si="855"/>
        <v>0</v>
      </c>
      <c r="BK1027" s="552">
        <f t="shared" si="855"/>
        <v>0</v>
      </c>
      <c r="BL1027" s="552">
        <f t="shared" si="855"/>
        <v>0</v>
      </c>
      <c r="BM1027" s="552">
        <f t="shared" si="855"/>
        <v>0</v>
      </c>
      <c r="BN1027" s="552">
        <f t="shared" si="855"/>
        <v>0</v>
      </c>
      <c r="BO1027" s="552">
        <f t="shared" si="855"/>
        <v>0</v>
      </c>
      <c r="BP1027" s="552">
        <f t="shared" si="855"/>
        <v>0</v>
      </c>
      <c r="BQ1027" s="552">
        <f t="shared" si="855"/>
        <v>0</v>
      </c>
      <c r="BR1027" s="552">
        <f t="shared" si="855"/>
        <v>4.13</v>
      </c>
      <c r="BS1027" s="552">
        <f t="shared" si="855"/>
        <v>0</v>
      </c>
      <c r="BT1027" s="552">
        <f t="shared" si="855"/>
        <v>0</v>
      </c>
      <c r="BU1027" s="552">
        <f t="shared" si="855"/>
        <v>0</v>
      </c>
      <c r="BV1027" s="552">
        <f t="shared" ref="BV1027:DA1027" si="856">BV61*BV$338</f>
        <v>0</v>
      </c>
      <c r="BW1027" s="552">
        <f t="shared" si="856"/>
        <v>0</v>
      </c>
      <c r="BX1027" s="552">
        <f t="shared" si="856"/>
        <v>0</v>
      </c>
      <c r="BY1027" s="552">
        <f t="shared" si="856"/>
        <v>0</v>
      </c>
      <c r="BZ1027" s="552">
        <f t="shared" si="856"/>
        <v>0</v>
      </c>
      <c r="CA1027" s="552">
        <f t="shared" si="856"/>
        <v>0</v>
      </c>
      <c r="CB1027" s="552">
        <f t="shared" si="856"/>
        <v>0</v>
      </c>
      <c r="CC1027" s="552">
        <f t="shared" si="856"/>
        <v>0</v>
      </c>
      <c r="CD1027" s="552">
        <f t="shared" si="856"/>
        <v>0</v>
      </c>
      <c r="CE1027" s="552">
        <f t="shared" si="856"/>
        <v>0</v>
      </c>
      <c r="CF1027" s="552">
        <f t="shared" si="856"/>
        <v>0</v>
      </c>
      <c r="CG1027" s="552">
        <f t="shared" si="856"/>
        <v>0</v>
      </c>
      <c r="CH1027" s="552">
        <f t="shared" si="856"/>
        <v>0</v>
      </c>
      <c r="CI1027" s="552">
        <f t="shared" si="856"/>
        <v>0</v>
      </c>
      <c r="CJ1027" s="552">
        <f t="shared" si="856"/>
        <v>0</v>
      </c>
      <c r="CK1027" s="552">
        <f t="shared" si="856"/>
        <v>0</v>
      </c>
      <c r="CL1027" s="552">
        <f t="shared" si="856"/>
        <v>0</v>
      </c>
      <c r="CM1027" s="552">
        <f t="shared" si="856"/>
        <v>0</v>
      </c>
      <c r="CN1027" s="552">
        <f t="shared" si="856"/>
        <v>0</v>
      </c>
      <c r="CO1027" s="552">
        <f t="shared" si="856"/>
        <v>0</v>
      </c>
      <c r="CP1027" s="552">
        <f t="shared" si="856"/>
        <v>0</v>
      </c>
      <c r="CQ1027" s="552">
        <f t="shared" si="856"/>
        <v>0.06</v>
      </c>
      <c r="CR1027" s="552">
        <f t="shared" si="856"/>
        <v>0</v>
      </c>
      <c r="CS1027" s="552">
        <f t="shared" si="856"/>
        <v>0</v>
      </c>
      <c r="CT1027" s="552">
        <f t="shared" si="856"/>
        <v>0</v>
      </c>
      <c r="CU1027" s="552">
        <f t="shared" si="856"/>
        <v>0</v>
      </c>
      <c r="CV1027" s="552">
        <f t="shared" si="856"/>
        <v>0</v>
      </c>
      <c r="CW1027" s="552">
        <f t="shared" si="856"/>
        <v>0</v>
      </c>
      <c r="CX1027" s="552">
        <f t="shared" si="856"/>
        <v>0</v>
      </c>
      <c r="CY1027" s="552">
        <f t="shared" si="856"/>
        <v>0</v>
      </c>
      <c r="CZ1027" s="552">
        <f t="shared" si="856"/>
        <v>1.82</v>
      </c>
      <c r="DA1027" s="552">
        <f t="shared" si="856"/>
        <v>0</v>
      </c>
      <c r="DB1027" s="552">
        <f t="shared" ref="DB1027:EG1027" si="857">DB61*DB$338</f>
        <v>0</v>
      </c>
      <c r="DC1027" s="552">
        <f t="shared" si="857"/>
        <v>0</v>
      </c>
      <c r="DD1027" s="552">
        <f t="shared" si="857"/>
        <v>0</v>
      </c>
      <c r="DE1027" s="552">
        <f t="shared" si="857"/>
        <v>0</v>
      </c>
      <c r="DF1027" s="552">
        <f t="shared" si="857"/>
        <v>0</v>
      </c>
      <c r="DG1027" s="552">
        <f t="shared" si="857"/>
        <v>0</v>
      </c>
      <c r="DH1027" s="552">
        <f t="shared" si="857"/>
        <v>0</v>
      </c>
      <c r="DI1027" s="552">
        <f t="shared" si="857"/>
        <v>0</v>
      </c>
      <c r="DJ1027" s="552">
        <f t="shared" si="857"/>
        <v>0</v>
      </c>
      <c r="DK1027" s="552">
        <f t="shared" si="857"/>
        <v>0</v>
      </c>
      <c r="DL1027" s="552">
        <f t="shared" si="857"/>
        <v>0</v>
      </c>
      <c r="DM1027" s="552">
        <f t="shared" si="857"/>
        <v>0</v>
      </c>
      <c r="DN1027" s="552">
        <f t="shared" si="857"/>
        <v>0</v>
      </c>
      <c r="DO1027" s="552">
        <f t="shared" si="857"/>
        <v>0</v>
      </c>
      <c r="DP1027" s="552">
        <f t="shared" si="857"/>
        <v>0</v>
      </c>
      <c r="DQ1027" s="552">
        <f t="shared" si="857"/>
        <v>0</v>
      </c>
      <c r="DR1027" s="552">
        <f t="shared" si="857"/>
        <v>0</v>
      </c>
      <c r="DS1027" s="552">
        <f t="shared" si="857"/>
        <v>0</v>
      </c>
      <c r="DT1027" s="552">
        <f t="shared" si="857"/>
        <v>0</v>
      </c>
      <c r="DU1027" s="552">
        <f t="shared" si="857"/>
        <v>0</v>
      </c>
      <c r="DV1027" s="552">
        <f t="shared" si="857"/>
        <v>0</v>
      </c>
      <c r="DW1027" s="552">
        <f t="shared" si="857"/>
        <v>0</v>
      </c>
      <c r="DX1027" s="552">
        <f t="shared" si="857"/>
        <v>0</v>
      </c>
      <c r="DY1027" s="552">
        <f t="shared" si="857"/>
        <v>0</v>
      </c>
      <c r="DZ1027" s="552">
        <f t="shared" si="857"/>
        <v>0</v>
      </c>
      <c r="EA1027" s="552">
        <f t="shared" si="857"/>
        <v>0</v>
      </c>
      <c r="EB1027" s="552">
        <f t="shared" si="857"/>
        <v>0</v>
      </c>
      <c r="EC1027" s="552">
        <f t="shared" si="857"/>
        <v>0</v>
      </c>
      <c r="ED1027" s="552">
        <f t="shared" si="857"/>
        <v>0</v>
      </c>
      <c r="EE1027" s="552">
        <f t="shared" si="857"/>
        <v>0</v>
      </c>
      <c r="EF1027" s="552">
        <f t="shared" si="857"/>
        <v>0</v>
      </c>
      <c r="EG1027" s="552">
        <f t="shared" si="857"/>
        <v>0</v>
      </c>
      <c r="EH1027" s="552">
        <f t="shared" ref="EH1027:EX1027" si="858">EH61*EH$338</f>
        <v>0</v>
      </c>
      <c r="EI1027" s="552">
        <f t="shared" si="858"/>
        <v>0</v>
      </c>
      <c r="EJ1027" s="552">
        <f t="shared" si="858"/>
        <v>0</v>
      </c>
      <c r="EK1027" s="552">
        <f t="shared" si="858"/>
        <v>0</v>
      </c>
      <c r="EL1027" s="552">
        <f t="shared" si="858"/>
        <v>0</v>
      </c>
      <c r="EM1027" s="552">
        <f t="shared" si="858"/>
        <v>0</v>
      </c>
      <c r="EN1027" s="552">
        <f t="shared" si="858"/>
        <v>0</v>
      </c>
      <c r="EO1027" s="552">
        <f t="shared" si="858"/>
        <v>0</v>
      </c>
      <c r="EP1027" s="552">
        <f t="shared" si="858"/>
        <v>0</v>
      </c>
      <c r="EQ1027" s="552">
        <f t="shared" si="858"/>
        <v>0</v>
      </c>
      <c r="ER1027" s="552">
        <f t="shared" si="858"/>
        <v>0</v>
      </c>
      <c r="ES1027" s="552">
        <f t="shared" si="858"/>
        <v>0</v>
      </c>
      <c r="ET1027" s="552">
        <f t="shared" si="858"/>
        <v>0</v>
      </c>
      <c r="EU1027" s="552">
        <f t="shared" si="858"/>
        <v>0</v>
      </c>
      <c r="EV1027" s="552">
        <f t="shared" si="858"/>
        <v>0</v>
      </c>
      <c r="EW1027" s="552">
        <f t="shared" si="858"/>
        <v>0</v>
      </c>
      <c r="EX1027" s="552">
        <f t="shared" si="858"/>
        <v>0</v>
      </c>
      <c r="EY1027" s="799">
        <f t="shared" si="527"/>
        <v>6.01</v>
      </c>
      <c r="EZ1027" s="640"/>
      <c r="FA1027" s="640"/>
      <c r="FB1027" s="640"/>
      <c r="FC1027" s="640"/>
      <c r="FD1027" s="640"/>
      <c r="FE1027" s="640"/>
      <c r="FF1027" s="640"/>
      <c r="FG1027" s="640"/>
      <c r="FH1027" s="640"/>
      <c r="FI1027" s="640"/>
      <c r="FJ1027" s="640"/>
      <c r="FK1027" s="640"/>
      <c r="FL1027" s="640"/>
    </row>
    <row r="1028" spans="1:168" x14ac:dyDescent="0.25">
      <c r="A1028" s="1492"/>
      <c r="B1028" s="624" t="str">
        <f t="shared" si="838"/>
        <v>Хлеб пшеничный нарезной</v>
      </c>
      <c r="C1028" s="624">
        <f t="shared" si="838"/>
        <v>20</v>
      </c>
      <c r="D1028" s="624">
        <f t="shared" si="838"/>
        <v>2.14</v>
      </c>
      <c r="E1028" s="1158">
        <f t="shared" si="832"/>
        <v>1.3</v>
      </c>
      <c r="F1028" s="1158"/>
      <c r="G1028" s="1140"/>
      <c r="H1028" s="1140"/>
      <c r="I1028" s="552"/>
      <c r="J1028" s="552">
        <f t="shared" ref="J1028:AO1028" si="859">J62*J$338</f>
        <v>0</v>
      </c>
      <c r="K1028" s="552">
        <f t="shared" si="859"/>
        <v>0</v>
      </c>
      <c r="L1028" s="552">
        <f t="shared" si="859"/>
        <v>0</v>
      </c>
      <c r="M1028" s="552">
        <f t="shared" si="859"/>
        <v>0</v>
      </c>
      <c r="N1028" s="552">
        <f t="shared" si="859"/>
        <v>0</v>
      </c>
      <c r="O1028" s="552">
        <f t="shared" si="859"/>
        <v>0</v>
      </c>
      <c r="P1028" s="552">
        <f t="shared" si="859"/>
        <v>0</v>
      </c>
      <c r="Q1028" s="552">
        <f t="shared" si="859"/>
        <v>0</v>
      </c>
      <c r="R1028" s="552">
        <f t="shared" si="859"/>
        <v>0</v>
      </c>
      <c r="S1028" s="552">
        <f t="shared" si="859"/>
        <v>0</v>
      </c>
      <c r="T1028" s="552">
        <f t="shared" si="859"/>
        <v>0</v>
      </c>
      <c r="U1028" s="552">
        <f t="shared" si="859"/>
        <v>0</v>
      </c>
      <c r="V1028" s="552">
        <f t="shared" si="859"/>
        <v>0</v>
      </c>
      <c r="W1028" s="552">
        <f t="shared" si="859"/>
        <v>0</v>
      </c>
      <c r="X1028" s="552">
        <f t="shared" si="859"/>
        <v>0</v>
      </c>
      <c r="Y1028" s="552">
        <f t="shared" si="859"/>
        <v>0</v>
      </c>
      <c r="Z1028" s="552">
        <f t="shared" si="859"/>
        <v>0</v>
      </c>
      <c r="AA1028" s="552">
        <f t="shared" si="859"/>
        <v>0</v>
      </c>
      <c r="AB1028" s="552">
        <f t="shared" si="859"/>
        <v>0</v>
      </c>
      <c r="AC1028" s="552">
        <f t="shared" si="859"/>
        <v>0</v>
      </c>
      <c r="AD1028" s="552">
        <f t="shared" si="859"/>
        <v>0</v>
      </c>
      <c r="AE1028" s="552">
        <f t="shared" si="859"/>
        <v>0</v>
      </c>
      <c r="AF1028" s="552">
        <f t="shared" si="859"/>
        <v>0</v>
      </c>
      <c r="AG1028" s="552">
        <f t="shared" si="859"/>
        <v>0</v>
      </c>
      <c r="AH1028" s="552">
        <f t="shared" si="859"/>
        <v>0</v>
      </c>
      <c r="AI1028" s="552">
        <f t="shared" si="859"/>
        <v>0</v>
      </c>
      <c r="AJ1028" s="552">
        <f t="shared" si="859"/>
        <v>0</v>
      </c>
      <c r="AK1028" s="552">
        <f t="shared" si="859"/>
        <v>0</v>
      </c>
      <c r="AL1028" s="552">
        <f t="shared" si="859"/>
        <v>0</v>
      </c>
      <c r="AM1028" s="552">
        <f t="shared" si="859"/>
        <v>0</v>
      </c>
      <c r="AN1028" s="552">
        <f t="shared" si="859"/>
        <v>0</v>
      </c>
      <c r="AO1028" s="552">
        <f t="shared" si="859"/>
        <v>0</v>
      </c>
      <c r="AP1028" s="552">
        <f t="shared" ref="AP1028:BU1028" si="860">AP62*AP$338</f>
        <v>0</v>
      </c>
      <c r="AQ1028" s="552">
        <f t="shared" si="860"/>
        <v>0</v>
      </c>
      <c r="AR1028" s="552">
        <f t="shared" si="860"/>
        <v>0</v>
      </c>
      <c r="AS1028" s="552">
        <f t="shared" si="860"/>
        <v>0</v>
      </c>
      <c r="AT1028" s="552">
        <f t="shared" si="860"/>
        <v>0</v>
      </c>
      <c r="AU1028" s="552">
        <f t="shared" si="860"/>
        <v>0</v>
      </c>
      <c r="AV1028" s="552">
        <f t="shared" si="860"/>
        <v>0</v>
      </c>
      <c r="AW1028" s="552">
        <f t="shared" si="860"/>
        <v>0</v>
      </c>
      <c r="AX1028" s="552">
        <f t="shared" si="860"/>
        <v>0</v>
      </c>
      <c r="AY1028" s="552">
        <f t="shared" si="860"/>
        <v>0</v>
      </c>
      <c r="AZ1028" s="552">
        <f t="shared" si="860"/>
        <v>0</v>
      </c>
      <c r="BA1028" s="552">
        <f t="shared" si="860"/>
        <v>0</v>
      </c>
      <c r="BB1028" s="552">
        <f t="shared" si="860"/>
        <v>0</v>
      </c>
      <c r="BC1028" s="552">
        <f t="shared" si="860"/>
        <v>0</v>
      </c>
      <c r="BD1028" s="552">
        <f t="shared" si="860"/>
        <v>0</v>
      </c>
      <c r="BE1028" s="552">
        <f t="shared" si="860"/>
        <v>0</v>
      </c>
      <c r="BF1028" s="552">
        <f t="shared" si="860"/>
        <v>0</v>
      </c>
      <c r="BG1028" s="552">
        <f t="shared" si="860"/>
        <v>0</v>
      </c>
      <c r="BH1028" s="552">
        <f t="shared" si="860"/>
        <v>0</v>
      </c>
      <c r="BI1028" s="552">
        <f t="shared" si="860"/>
        <v>0</v>
      </c>
      <c r="BJ1028" s="552">
        <f t="shared" si="860"/>
        <v>0</v>
      </c>
      <c r="BK1028" s="552">
        <f t="shared" si="860"/>
        <v>0</v>
      </c>
      <c r="BL1028" s="552">
        <f t="shared" si="860"/>
        <v>0</v>
      </c>
      <c r="BM1028" s="552">
        <f t="shared" si="860"/>
        <v>0</v>
      </c>
      <c r="BN1028" s="552">
        <f t="shared" si="860"/>
        <v>0</v>
      </c>
      <c r="BO1028" s="552">
        <f t="shared" si="860"/>
        <v>0</v>
      </c>
      <c r="BP1028" s="552">
        <f t="shared" si="860"/>
        <v>0</v>
      </c>
      <c r="BQ1028" s="552">
        <f t="shared" si="860"/>
        <v>0</v>
      </c>
      <c r="BR1028" s="552">
        <f t="shared" si="860"/>
        <v>0</v>
      </c>
      <c r="BS1028" s="552">
        <f t="shared" si="860"/>
        <v>0</v>
      </c>
      <c r="BT1028" s="552">
        <f t="shared" si="860"/>
        <v>0</v>
      </c>
      <c r="BU1028" s="552">
        <f t="shared" si="860"/>
        <v>0</v>
      </c>
      <c r="BV1028" s="552">
        <f t="shared" ref="BV1028:DA1028" si="861">BV62*BV$338</f>
        <v>0</v>
      </c>
      <c r="BW1028" s="552">
        <f t="shared" si="861"/>
        <v>0</v>
      </c>
      <c r="BX1028" s="552">
        <f t="shared" si="861"/>
        <v>0</v>
      </c>
      <c r="BY1028" s="552">
        <f t="shared" si="861"/>
        <v>0</v>
      </c>
      <c r="BZ1028" s="552">
        <f t="shared" si="861"/>
        <v>0</v>
      </c>
      <c r="CA1028" s="552">
        <f t="shared" si="861"/>
        <v>0</v>
      </c>
      <c r="CB1028" s="552">
        <f t="shared" si="861"/>
        <v>0</v>
      </c>
      <c r="CC1028" s="552">
        <f t="shared" si="861"/>
        <v>0</v>
      </c>
      <c r="CD1028" s="552">
        <f t="shared" si="861"/>
        <v>0</v>
      </c>
      <c r="CE1028" s="552">
        <f t="shared" si="861"/>
        <v>0</v>
      </c>
      <c r="CF1028" s="552">
        <f t="shared" si="861"/>
        <v>0</v>
      </c>
      <c r="CG1028" s="552">
        <f t="shared" si="861"/>
        <v>0</v>
      </c>
      <c r="CH1028" s="552">
        <f t="shared" si="861"/>
        <v>0</v>
      </c>
      <c r="CI1028" s="552">
        <f t="shared" si="861"/>
        <v>0</v>
      </c>
      <c r="CJ1028" s="552">
        <f t="shared" si="861"/>
        <v>0</v>
      </c>
      <c r="CK1028" s="552">
        <f t="shared" si="861"/>
        <v>0</v>
      </c>
      <c r="CL1028" s="552">
        <f t="shared" si="861"/>
        <v>0</v>
      </c>
      <c r="CM1028" s="552">
        <f t="shared" si="861"/>
        <v>0</v>
      </c>
      <c r="CN1028" s="552">
        <f t="shared" si="861"/>
        <v>0</v>
      </c>
      <c r="CO1028" s="552">
        <f t="shared" si="861"/>
        <v>0</v>
      </c>
      <c r="CP1028" s="552">
        <f t="shared" si="861"/>
        <v>0</v>
      </c>
      <c r="CQ1028" s="552">
        <f t="shared" si="861"/>
        <v>0</v>
      </c>
      <c r="CR1028" s="552">
        <f t="shared" si="861"/>
        <v>0</v>
      </c>
      <c r="CS1028" s="552">
        <f t="shared" si="861"/>
        <v>0</v>
      </c>
      <c r="CT1028" s="552">
        <f t="shared" si="861"/>
        <v>0</v>
      </c>
      <c r="CU1028" s="552">
        <f t="shared" si="861"/>
        <v>0</v>
      </c>
      <c r="CV1028" s="552">
        <f t="shared" si="861"/>
        <v>0</v>
      </c>
      <c r="CW1028" s="552">
        <f t="shared" si="861"/>
        <v>0</v>
      </c>
      <c r="CX1028" s="552">
        <f t="shared" si="861"/>
        <v>0</v>
      </c>
      <c r="CY1028" s="552">
        <f t="shared" si="861"/>
        <v>0</v>
      </c>
      <c r="CZ1028" s="552">
        <f t="shared" si="861"/>
        <v>0</v>
      </c>
      <c r="DA1028" s="552">
        <f t="shared" si="861"/>
        <v>0</v>
      </c>
      <c r="DB1028" s="552">
        <f t="shared" ref="DB1028:EG1028" si="862">DB62*DB$338</f>
        <v>0</v>
      </c>
      <c r="DC1028" s="552">
        <f t="shared" si="862"/>
        <v>0</v>
      </c>
      <c r="DD1028" s="552">
        <f t="shared" si="862"/>
        <v>0</v>
      </c>
      <c r="DE1028" s="552">
        <f t="shared" si="862"/>
        <v>0</v>
      </c>
      <c r="DF1028" s="552">
        <f t="shared" si="862"/>
        <v>0</v>
      </c>
      <c r="DG1028" s="552">
        <f t="shared" si="862"/>
        <v>0</v>
      </c>
      <c r="DH1028" s="552">
        <f t="shared" si="862"/>
        <v>0</v>
      </c>
      <c r="DI1028" s="552">
        <f t="shared" si="862"/>
        <v>0</v>
      </c>
      <c r="DJ1028" s="552">
        <f t="shared" si="862"/>
        <v>0</v>
      </c>
      <c r="DK1028" s="552">
        <f t="shared" si="862"/>
        <v>0</v>
      </c>
      <c r="DL1028" s="552">
        <f t="shared" si="862"/>
        <v>0</v>
      </c>
      <c r="DM1028" s="552">
        <f t="shared" si="862"/>
        <v>0</v>
      </c>
      <c r="DN1028" s="552">
        <f t="shared" si="862"/>
        <v>0</v>
      </c>
      <c r="DO1028" s="552">
        <f t="shared" si="862"/>
        <v>0</v>
      </c>
      <c r="DP1028" s="552">
        <f t="shared" si="862"/>
        <v>0</v>
      </c>
      <c r="DQ1028" s="552">
        <f t="shared" si="862"/>
        <v>0</v>
      </c>
      <c r="DR1028" s="552">
        <f t="shared" si="862"/>
        <v>0</v>
      </c>
      <c r="DS1028" s="552">
        <f t="shared" si="862"/>
        <v>0</v>
      </c>
      <c r="DT1028" s="552">
        <f t="shared" si="862"/>
        <v>0</v>
      </c>
      <c r="DU1028" s="552">
        <f t="shared" si="862"/>
        <v>0</v>
      </c>
      <c r="DV1028" s="552">
        <f t="shared" si="862"/>
        <v>0</v>
      </c>
      <c r="DW1028" s="552">
        <f t="shared" si="862"/>
        <v>0</v>
      </c>
      <c r="DX1028" s="552">
        <f t="shared" si="862"/>
        <v>0</v>
      </c>
      <c r="DY1028" s="552">
        <f t="shared" si="862"/>
        <v>0</v>
      </c>
      <c r="DZ1028" s="552">
        <f t="shared" si="862"/>
        <v>0</v>
      </c>
      <c r="EA1028" s="552">
        <f t="shared" si="862"/>
        <v>0</v>
      </c>
      <c r="EB1028" s="552">
        <f t="shared" si="862"/>
        <v>0</v>
      </c>
      <c r="EC1028" s="552">
        <f t="shared" si="862"/>
        <v>0</v>
      </c>
      <c r="ED1028" s="552">
        <f t="shared" si="862"/>
        <v>0</v>
      </c>
      <c r="EE1028" s="552">
        <f t="shared" si="862"/>
        <v>0</v>
      </c>
      <c r="EF1028" s="552">
        <f t="shared" si="862"/>
        <v>0</v>
      </c>
      <c r="EG1028" s="552">
        <f t="shared" si="862"/>
        <v>0</v>
      </c>
      <c r="EH1028" s="552">
        <f t="shared" ref="EH1028:EX1028" si="863">EH62*EH$338</f>
        <v>0</v>
      </c>
      <c r="EI1028" s="552">
        <f t="shared" si="863"/>
        <v>0</v>
      </c>
      <c r="EJ1028" s="552">
        <f t="shared" si="863"/>
        <v>0</v>
      </c>
      <c r="EK1028" s="552">
        <f t="shared" si="863"/>
        <v>0</v>
      </c>
      <c r="EL1028" s="552">
        <f t="shared" si="863"/>
        <v>0</v>
      </c>
      <c r="EM1028" s="552">
        <f t="shared" si="863"/>
        <v>0</v>
      </c>
      <c r="EN1028" s="552">
        <f t="shared" si="863"/>
        <v>0</v>
      </c>
      <c r="EO1028" s="552">
        <f t="shared" si="863"/>
        <v>0</v>
      </c>
      <c r="EP1028" s="552">
        <f t="shared" si="863"/>
        <v>0</v>
      </c>
      <c r="EQ1028" s="552">
        <f t="shared" si="863"/>
        <v>0</v>
      </c>
      <c r="ER1028" s="552">
        <f t="shared" si="863"/>
        <v>0</v>
      </c>
      <c r="ES1028" s="552">
        <f t="shared" si="863"/>
        <v>0</v>
      </c>
      <c r="ET1028" s="552">
        <f t="shared" si="863"/>
        <v>0</v>
      </c>
      <c r="EU1028" s="552">
        <f t="shared" si="863"/>
        <v>0</v>
      </c>
      <c r="EV1028" s="552">
        <f t="shared" si="863"/>
        <v>1.3</v>
      </c>
      <c r="EW1028" s="552">
        <f t="shared" si="863"/>
        <v>0</v>
      </c>
      <c r="EX1028" s="552">
        <f t="shared" si="863"/>
        <v>0</v>
      </c>
      <c r="EY1028" s="799">
        <f t="shared" si="527"/>
        <v>1.3</v>
      </c>
      <c r="EZ1028" s="640"/>
      <c r="FA1028" s="640"/>
      <c r="FB1028" s="640"/>
      <c r="FC1028" s="640"/>
      <c r="FD1028" s="640"/>
      <c r="FE1028" s="640"/>
      <c r="FF1028" s="640"/>
      <c r="FG1028" s="640"/>
      <c r="FH1028" s="640"/>
      <c r="FI1028" s="640"/>
      <c r="FJ1028" s="640"/>
      <c r="FK1028" s="640"/>
      <c r="FL1028" s="640"/>
    </row>
    <row r="1029" spans="1:168" x14ac:dyDescent="0.25">
      <c r="A1029" s="1492"/>
      <c r="B1029" s="624" t="str">
        <f t="shared" si="838"/>
        <v>Хлеб пшенично-ржаной нарезной</v>
      </c>
      <c r="C1029" s="624">
        <f t="shared" si="838"/>
        <v>30</v>
      </c>
      <c r="D1029" s="624">
        <f t="shared" si="838"/>
        <v>2.25</v>
      </c>
      <c r="E1029" s="1158">
        <f t="shared" si="832"/>
        <v>1.95</v>
      </c>
      <c r="F1029" s="1158"/>
      <c r="G1029" s="1140"/>
      <c r="H1029" s="1140"/>
      <c r="I1029" s="552"/>
      <c r="J1029" s="552">
        <f t="shared" ref="J1029:AO1029" si="864">J63*J$338</f>
        <v>0</v>
      </c>
      <c r="K1029" s="552">
        <f t="shared" si="864"/>
        <v>0</v>
      </c>
      <c r="L1029" s="552">
        <f t="shared" si="864"/>
        <v>0</v>
      </c>
      <c r="M1029" s="552">
        <f t="shared" si="864"/>
        <v>0</v>
      </c>
      <c r="N1029" s="552">
        <f t="shared" si="864"/>
        <v>0</v>
      </c>
      <c r="O1029" s="552">
        <f t="shared" si="864"/>
        <v>0</v>
      </c>
      <c r="P1029" s="552">
        <f t="shared" si="864"/>
        <v>0</v>
      </c>
      <c r="Q1029" s="552">
        <f t="shared" si="864"/>
        <v>0</v>
      </c>
      <c r="R1029" s="552">
        <f t="shared" si="864"/>
        <v>0</v>
      </c>
      <c r="S1029" s="552">
        <f t="shared" si="864"/>
        <v>0</v>
      </c>
      <c r="T1029" s="552">
        <f t="shared" si="864"/>
        <v>0</v>
      </c>
      <c r="U1029" s="552">
        <f t="shared" si="864"/>
        <v>0</v>
      </c>
      <c r="V1029" s="552">
        <f t="shared" si="864"/>
        <v>0</v>
      </c>
      <c r="W1029" s="552">
        <f t="shared" si="864"/>
        <v>0</v>
      </c>
      <c r="X1029" s="552">
        <f t="shared" si="864"/>
        <v>0</v>
      </c>
      <c r="Y1029" s="552">
        <f t="shared" si="864"/>
        <v>0</v>
      </c>
      <c r="Z1029" s="552">
        <f t="shared" si="864"/>
        <v>0</v>
      </c>
      <c r="AA1029" s="552">
        <f t="shared" si="864"/>
        <v>0</v>
      </c>
      <c r="AB1029" s="552">
        <f t="shared" si="864"/>
        <v>0</v>
      </c>
      <c r="AC1029" s="552">
        <f t="shared" si="864"/>
        <v>0</v>
      </c>
      <c r="AD1029" s="552">
        <f t="shared" si="864"/>
        <v>0</v>
      </c>
      <c r="AE1029" s="552">
        <f t="shared" si="864"/>
        <v>0</v>
      </c>
      <c r="AF1029" s="552">
        <f t="shared" si="864"/>
        <v>0</v>
      </c>
      <c r="AG1029" s="552">
        <f t="shared" si="864"/>
        <v>0</v>
      </c>
      <c r="AH1029" s="552">
        <f t="shared" si="864"/>
        <v>0</v>
      </c>
      <c r="AI1029" s="552">
        <f t="shared" si="864"/>
        <v>0</v>
      </c>
      <c r="AJ1029" s="552">
        <f t="shared" si="864"/>
        <v>0</v>
      </c>
      <c r="AK1029" s="552">
        <f t="shared" si="864"/>
        <v>0</v>
      </c>
      <c r="AL1029" s="552">
        <f t="shared" si="864"/>
        <v>0</v>
      </c>
      <c r="AM1029" s="552">
        <f t="shared" si="864"/>
        <v>0</v>
      </c>
      <c r="AN1029" s="552">
        <f t="shared" si="864"/>
        <v>0</v>
      </c>
      <c r="AO1029" s="552">
        <f t="shared" si="864"/>
        <v>0</v>
      </c>
      <c r="AP1029" s="552">
        <f t="shared" ref="AP1029:BU1029" si="865">AP63*AP$338</f>
        <v>0</v>
      </c>
      <c r="AQ1029" s="552">
        <f t="shared" si="865"/>
        <v>0</v>
      </c>
      <c r="AR1029" s="552">
        <f t="shared" si="865"/>
        <v>0</v>
      </c>
      <c r="AS1029" s="552">
        <f t="shared" si="865"/>
        <v>0</v>
      </c>
      <c r="AT1029" s="552">
        <f t="shared" si="865"/>
        <v>0</v>
      </c>
      <c r="AU1029" s="552">
        <f t="shared" si="865"/>
        <v>0</v>
      </c>
      <c r="AV1029" s="552">
        <f t="shared" si="865"/>
        <v>0</v>
      </c>
      <c r="AW1029" s="552">
        <f t="shared" si="865"/>
        <v>0</v>
      </c>
      <c r="AX1029" s="552">
        <f t="shared" si="865"/>
        <v>0</v>
      </c>
      <c r="AY1029" s="552">
        <f t="shared" si="865"/>
        <v>0</v>
      </c>
      <c r="AZ1029" s="552">
        <f t="shared" si="865"/>
        <v>0</v>
      </c>
      <c r="BA1029" s="552">
        <f t="shared" si="865"/>
        <v>0</v>
      </c>
      <c r="BB1029" s="552">
        <f t="shared" si="865"/>
        <v>0</v>
      </c>
      <c r="BC1029" s="552">
        <f t="shared" si="865"/>
        <v>0</v>
      </c>
      <c r="BD1029" s="552">
        <f t="shared" si="865"/>
        <v>0</v>
      </c>
      <c r="BE1029" s="552">
        <f t="shared" si="865"/>
        <v>0</v>
      </c>
      <c r="BF1029" s="552">
        <f t="shared" si="865"/>
        <v>0</v>
      </c>
      <c r="BG1029" s="552">
        <f t="shared" si="865"/>
        <v>0</v>
      </c>
      <c r="BH1029" s="552">
        <f t="shared" si="865"/>
        <v>0</v>
      </c>
      <c r="BI1029" s="552">
        <f t="shared" si="865"/>
        <v>0</v>
      </c>
      <c r="BJ1029" s="552">
        <f t="shared" si="865"/>
        <v>0</v>
      </c>
      <c r="BK1029" s="552">
        <f t="shared" si="865"/>
        <v>0</v>
      </c>
      <c r="BL1029" s="552">
        <f t="shared" si="865"/>
        <v>0</v>
      </c>
      <c r="BM1029" s="552">
        <f t="shared" si="865"/>
        <v>0</v>
      </c>
      <c r="BN1029" s="552">
        <f t="shared" si="865"/>
        <v>0</v>
      </c>
      <c r="BO1029" s="552">
        <f t="shared" si="865"/>
        <v>0</v>
      </c>
      <c r="BP1029" s="552">
        <f t="shared" si="865"/>
        <v>0</v>
      </c>
      <c r="BQ1029" s="552">
        <f t="shared" si="865"/>
        <v>0</v>
      </c>
      <c r="BR1029" s="552">
        <f t="shared" si="865"/>
        <v>0</v>
      </c>
      <c r="BS1029" s="552">
        <f t="shared" si="865"/>
        <v>0</v>
      </c>
      <c r="BT1029" s="552">
        <f t="shared" si="865"/>
        <v>0</v>
      </c>
      <c r="BU1029" s="552">
        <f t="shared" si="865"/>
        <v>0</v>
      </c>
      <c r="BV1029" s="552">
        <f t="shared" ref="BV1029:DA1029" si="866">BV63*BV$338</f>
        <v>0</v>
      </c>
      <c r="BW1029" s="552">
        <f t="shared" si="866"/>
        <v>0</v>
      </c>
      <c r="BX1029" s="552">
        <f t="shared" si="866"/>
        <v>0</v>
      </c>
      <c r="BY1029" s="552">
        <f t="shared" si="866"/>
        <v>0</v>
      </c>
      <c r="BZ1029" s="552">
        <f t="shared" si="866"/>
        <v>0</v>
      </c>
      <c r="CA1029" s="552">
        <f t="shared" si="866"/>
        <v>0</v>
      </c>
      <c r="CB1029" s="552">
        <f t="shared" si="866"/>
        <v>0</v>
      </c>
      <c r="CC1029" s="552">
        <f t="shared" si="866"/>
        <v>0</v>
      </c>
      <c r="CD1029" s="552">
        <f t="shared" si="866"/>
        <v>0</v>
      </c>
      <c r="CE1029" s="552">
        <f t="shared" si="866"/>
        <v>0</v>
      </c>
      <c r="CF1029" s="552">
        <f t="shared" si="866"/>
        <v>0</v>
      </c>
      <c r="CG1029" s="552">
        <f t="shared" si="866"/>
        <v>0</v>
      </c>
      <c r="CH1029" s="552">
        <f t="shared" si="866"/>
        <v>0</v>
      </c>
      <c r="CI1029" s="552">
        <f t="shared" si="866"/>
        <v>0</v>
      </c>
      <c r="CJ1029" s="552">
        <f t="shared" si="866"/>
        <v>0</v>
      </c>
      <c r="CK1029" s="552">
        <f t="shared" si="866"/>
        <v>0</v>
      </c>
      <c r="CL1029" s="552">
        <f t="shared" si="866"/>
        <v>0</v>
      </c>
      <c r="CM1029" s="552">
        <f t="shared" si="866"/>
        <v>0</v>
      </c>
      <c r="CN1029" s="552">
        <f t="shared" si="866"/>
        <v>0</v>
      </c>
      <c r="CO1029" s="552">
        <f t="shared" si="866"/>
        <v>0</v>
      </c>
      <c r="CP1029" s="552">
        <f t="shared" si="866"/>
        <v>0</v>
      </c>
      <c r="CQ1029" s="552">
        <f t="shared" si="866"/>
        <v>0</v>
      </c>
      <c r="CR1029" s="552">
        <f t="shared" si="866"/>
        <v>0</v>
      </c>
      <c r="CS1029" s="552">
        <f t="shared" si="866"/>
        <v>0</v>
      </c>
      <c r="CT1029" s="552">
        <f t="shared" si="866"/>
        <v>0</v>
      </c>
      <c r="CU1029" s="552">
        <f t="shared" si="866"/>
        <v>0</v>
      </c>
      <c r="CV1029" s="552">
        <f t="shared" si="866"/>
        <v>0</v>
      </c>
      <c r="CW1029" s="552">
        <f t="shared" si="866"/>
        <v>0</v>
      </c>
      <c r="CX1029" s="552">
        <f t="shared" si="866"/>
        <v>0</v>
      </c>
      <c r="CY1029" s="552">
        <f t="shared" si="866"/>
        <v>0</v>
      </c>
      <c r="CZ1029" s="552">
        <f t="shared" si="866"/>
        <v>0</v>
      </c>
      <c r="DA1029" s="552">
        <f t="shared" si="866"/>
        <v>0</v>
      </c>
      <c r="DB1029" s="552">
        <f t="shared" ref="DB1029:EG1029" si="867">DB63*DB$338</f>
        <v>0</v>
      </c>
      <c r="DC1029" s="552">
        <f t="shared" si="867"/>
        <v>0</v>
      </c>
      <c r="DD1029" s="552">
        <f t="shared" si="867"/>
        <v>0</v>
      </c>
      <c r="DE1029" s="552">
        <f t="shared" si="867"/>
        <v>0</v>
      </c>
      <c r="DF1029" s="552">
        <f t="shared" si="867"/>
        <v>0</v>
      </c>
      <c r="DG1029" s="552">
        <f t="shared" si="867"/>
        <v>0</v>
      </c>
      <c r="DH1029" s="552">
        <f t="shared" si="867"/>
        <v>0</v>
      </c>
      <c r="DI1029" s="552">
        <f t="shared" si="867"/>
        <v>0</v>
      </c>
      <c r="DJ1029" s="552">
        <f t="shared" si="867"/>
        <v>0</v>
      </c>
      <c r="DK1029" s="552">
        <f t="shared" si="867"/>
        <v>0</v>
      </c>
      <c r="DL1029" s="552">
        <f t="shared" si="867"/>
        <v>0</v>
      </c>
      <c r="DM1029" s="552">
        <f t="shared" si="867"/>
        <v>0</v>
      </c>
      <c r="DN1029" s="552">
        <f t="shared" si="867"/>
        <v>0</v>
      </c>
      <c r="DO1029" s="552">
        <f t="shared" si="867"/>
        <v>0</v>
      </c>
      <c r="DP1029" s="552">
        <f t="shared" si="867"/>
        <v>0</v>
      </c>
      <c r="DQ1029" s="552">
        <f t="shared" si="867"/>
        <v>0</v>
      </c>
      <c r="DR1029" s="552">
        <f t="shared" si="867"/>
        <v>0</v>
      </c>
      <c r="DS1029" s="552">
        <f t="shared" si="867"/>
        <v>0</v>
      </c>
      <c r="DT1029" s="552">
        <f t="shared" si="867"/>
        <v>0</v>
      </c>
      <c r="DU1029" s="552">
        <f t="shared" si="867"/>
        <v>0</v>
      </c>
      <c r="DV1029" s="552">
        <f t="shared" si="867"/>
        <v>0</v>
      </c>
      <c r="DW1029" s="552">
        <f t="shared" si="867"/>
        <v>0</v>
      </c>
      <c r="DX1029" s="552">
        <f t="shared" si="867"/>
        <v>0</v>
      </c>
      <c r="DY1029" s="552">
        <f t="shared" si="867"/>
        <v>0</v>
      </c>
      <c r="DZ1029" s="552">
        <f t="shared" si="867"/>
        <v>0</v>
      </c>
      <c r="EA1029" s="552">
        <f t="shared" si="867"/>
        <v>0</v>
      </c>
      <c r="EB1029" s="552">
        <f t="shared" si="867"/>
        <v>0</v>
      </c>
      <c r="EC1029" s="552">
        <f t="shared" si="867"/>
        <v>0</v>
      </c>
      <c r="ED1029" s="552">
        <f t="shared" si="867"/>
        <v>0</v>
      </c>
      <c r="EE1029" s="552">
        <f t="shared" si="867"/>
        <v>0</v>
      </c>
      <c r="EF1029" s="552">
        <f t="shared" si="867"/>
        <v>0</v>
      </c>
      <c r="EG1029" s="552">
        <f t="shared" si="867"/>
        <v>0</v>
      </c>
      <c r="EH1029" s="552">
        <f t="shared" ref="EH1029:EX1029" si="868">EH63*EH$338</f>
        <v>0</v>
      </c>
      <c r="EI1029" s="552">
        <f t="shared" si="868"/>
        <v>0</v>
      </c>
      <c r="EJ1029" s="552">
        <f t="shared" si="868"/>
        <v>0</v>
      </c>
      <c r="EK1029" s="552">
        <f t="shared" si="868"/>
        <v>0</v>
      </c>
      <c r="EL1029" s="552">
        <f t="shared" si="868"/>
        <v>0</v>
      </c>
      <c r="EM1029" s="552">
        <f t="shared" si="868"/>
        <v>0</v>
      </c>
      <c r="EN1029" s="552">
        <f t="shared" si="868"/>
        <v>0</v>
      </c>
      <c r="EO1029" s="552">
        <f t="shared" si="868"/>
        <v>0</v>
      </c>
      <c r="EP1029" s="552">
        <f t="shared" si="868"/>
        <v>0</v>
      </c>
      <c r="EQ1029" s="552">
        <f t="shared" si="868"/>
        <v>0</v>
      </c>
      <c r="ER1029" s="552">
        <f t="shared" si="868"/>
        <v>0</v>
      </c>
      <c r="ES1029" s="552">
        <f t="shared" si="868"/>
        <v>0</v>
      </c>
      <c r="ET1029" s="552">
        <f t="shared" si="868"/>
        <v>0</v>
      </c>
      <c r="EU1029" s="552">
        <f t="shared" si="868"/>
        <v>0</v>
      </c>
      <c r="EV1029" s="552">
        <f t="shared" si="868"/>
        <v>0</v>
      </c>
      <c r="EW1029" s="552">
        <f t="shared" si="868"/>
        <v>1.95</v>
      </c>
      <c r="EX1029" s="552">
        <f t="shared" si="868"/>
        <v>0</v>
      </c>
      <c r="EY1029" s="799">
        <f t="shared" si="527"/>
        <v>1.95</v>
      </c>
      <c r="EZ1029" s="640"/>
      <c r="FA1029" s="640"/>
      <c r="FB1029" s="640"/>
      <c r="FC1029" s="640"/>
      <c r="FD1029" s="640"/>
      <c r="FE1029" s="640"/>
      <c r="FF1029" s="640"/>
      <c r="FG1029" s="640"/>
      <c r="FH1029" s="640"/>
      <c r="FI1029" s="640"/>
      <c r="FJ1029" s="640"/>
      <c r="FK1029" s="640"/>
      <c r="FL1029" s="640"/>
    </row>
    <row r="1030" spans="1:168" x14ac:dyDescent="0.25">
      <c r="A1030" s="1492"/>
      <c r="B1030" s="624" t="str">
        <f t="shared" si="838"/>
        <v>Мороженое пломбир Кореновское</v>
      </c>
      <c r="C1030" s="624">
        <f t="shared" si="838"/>
        <v>100</v>
      </c>
      <c r="D1030" s="624">
        <f t="shared" si="838"/>
        <v>3.7</v>
      </c>
      <c r="E1030" s="1158">
        <f t="shared" si="832"/>
        <v>75</v>
      </c>
      <c r="F1030" s="1158"/>
      <c r="G1030" s="1140"/>
      <c r="H1030" s="1140"/>
      <c r="I1030" s="552"/>
      <c r="J1030" s="552">
        <f t="shared" ref="J1030:AO1030" si="869">J64*J$338</f>
        <v>0</v>
      </c>
      <c r="K1030" s="552">
        <f t="shared" si="869"/>
        <v>0</v>
      </c>
      <c r="L1030" s="552">
        <f t="shared" si="869"/>
        <v>0</v>
      </c>
      <c r="M1030" s="552">
        <f t="shared" si="869"/>
        <v>0</v>
      </c>
      <c r="N1030" s="552">
        <f t="shared" si="869"/>
        <v>0</v>
      </c>
      <c r="O1030" s="552">
        <f t="shared" si="869"/>
        <v>0</v>
      </c>
      <c r="P1030" s="552">
        <f t="shared" si="869"/>
        <v>0</v>
      </c>
      <c r="Q1030" s="552">
        <f t="shared" si="869"/>
        <v>0</v>
      </c>
      <c r="R1030" s="552">
        <f t="shared" si="869"/>
        <v>0</v>
      </c>
      <c r="S1030" s="552">
        <f t="shared" si="869"/>
        <v>0</v>
      </c>
      <c r="T1030" s="552">
        <f t="shared" si="869"/>
        <v>0</v>
      </c>
      <c r="U1030" s="552">
        <f t="shared" si="869"/>
        <v>0</v>
      </c>
      <c r="V1030" s="552">
        <f t="shared" si="869"/>
        <v>0</v>
      </c>
      <c r="W1030" s="552">
        <f t="shared" si="869"/>
        <v>0</v>
      </c>
      <c r="X1030" s="552">
        <f t="shared" si="869"/>
        <v>0</v>
      </c>
      <c r="Y1030" s="552">
        <f t="shared" si="869"/>
        <v>0</v>
      </c>
      <c r="Z1030" s="552">
        <f t="shared" si="869"/>
        <v>0</v>
      </c>
      <c r="AA1030" s="552">
        <f t="shared" si="869"/>
        <v>0</v>
      </c>
      <c r="AB1030" s="552">
        <f t="shared" si="869"/>
        <v>0</v>
      </c>
      <c r="AC1030" s="552">
        <f t="shared" si="869"/>
        <v>0</v>
      </c>
      <c r="AD1030" s="552">
        <f t="shared" si="869"/>
        <v>0</v>
      </c>
      <c r="AE1030" s="552">
        <f t="shared" si="869"/>
        <v>0</v>
      </c>
      <c r="AF1030" s="552">
        <f t="shared" si="869"/>
        <v>0</v>
      </c>
      <c r="AG1030" s="552">
        <f t="shared" si="869"/>
        <v>0</v>
      </c>
      <c r="AH1030" s="552">
        <f t="shared" si="869"/>
        <v>0</v>
      </c>
      <c r="AI1030" s="552">
        <f t="shared" si="869"/>
        <v>0</v>
      </c>
      <c r="AJ1030" s="552">
        <f t="shared" si="869"/>
        <v>0</v>
      </c>
      <c r="AK1030" s="552">
        <f t="shared" si="869"/>
        <v>0</v>
      </c>
      <c r="AL1030" s="552">
        <f t="shared" si="869"/>
        <v>0</v>
      </c>
      <c r="AM1030" s="552">
        <f t="shared" si="869"/>
        <v>0</v>
      </c>
      <c r="AN1030" s="552">
        <f t="shared" si="869"/>
        <v>0</v>
      </c>
      <c r="AO1030" s="552">
        <f t="shared" si="869"/>
        <v>0</v>
      </c>
      <c r="AP1030" s="552">
        <f t="shared" ref="AP1030:BU1030" si="870">AP64*AP$338</f>
        <v>0</v>
      </c>
      <c r="AQ1030" s="552">
        <f t="shared" si="870"/>
        <v>0</v>
      </c>
      <c r="AR1030" s="552">
        <f t="shared" si="870"/>
        <v>0</v>
      </c>
      <c r="AS1030" s="552">
        <f t="shared" si="870"/>
        <v>0</v>
      </c>
      <c r="AT1030" s="552">
        <f t="shared" si="870"/>
        <v>0</v>
      </c>
      <c r="AU1030" s="552">
        <f t="shared" si="870"/>
        <v>0</v>
      </c>
      <c r="AV1030" s="552">
        <f t="shared" si="870"/>
        <v>0</v>
      </c>
      <c r="AW1030" s="552">
        <f t="shared" si="870"/>
        <v>0</v>
      </c>
      <c r="AX1030" s="552">
        <f t="shared" si="870"/>
        <v>0</v>
      </c>
      <c r="AY1030" s="552">
        <f t="shared" si="870"/>
        <v>0</v>
      </c>
      <c r="AZ1030" s="552">
        <f t="shared" si="870"/>
        <v>0</v>
      </c>
      <c r="BA1030" s="552">
        <f t="shared" si="870"/>
        <v>0</v>
      </c>
      <c r="BB1030" s="552">
        <f t="shared" si="870"/>
        <v>0</v>
      </c>
      <c r="BC1030" s="552">
        <f t="shared" si="870"/>
        <v>0</v>
      </c>
      <c r="BD1030" s="552">
        <f t="shared" si="870"/>
        <v>0</v>
      </c>
      <c r="BE1030" s="552">
        <f t="shared" si="870"/>
        <v>0</v>
      </c>
      <c r="BF1030" s="552">
        <f t="shared" si="870"/>
        <v>0</v>
      </c>
      <c r="BG1030" s="552">
        <f t="shared" si="870"/>
        <v>0</v>
      </c>
      <c r="BH1030" s="552">
        <f t="shared" si="870"/>
        <v>0</v>
      </c>
      <c r="BI1030" s="552">
        <f t="shared" si="870"/>
        <v>0</v>
      </c>
      <c r="BJ1030" s="552">
        <f t="shared" si="870"/>
        <v>0</v>
      </c>
      <c r="BK1030" s="552">
        <f t="shared" si="870"/>
        <v>0</v>
      </c>
      <c r="BL1030" s="552">
        <f t="shared" si="870"/>
        <v>0</v>
      </c>
      <c r="BM1030" s="552">
        <f t="shared" si="870"/>
        <v>0</v>
      </c>
      <c r="BN1030" s="552">
        <f t="shared" si="870"/>
        <v>0</v>
      </c>
      <c r="BO1030" s="552">
        <f t="shared" si="870"/>
        <v>0</v>
      </c>
      <c r="BP1030" s="552">
        <f t="shared" si="870"/>
        <v>0</v>
      </c>
      <c r="BQ1030" s="552">
        <f t="shared" si="870"/>
        <v>0</v>
      </c>
      <c r="BR1030" s="552">
        <f t="shared" si="870"/>
        <v>0</v>
      </c>
      <c r="BS1030" s="552">
        <f t="shared" si="870"/>
        <v>0</v>
      </c>
      <c r="BT1030" s="552">
        <f t="shared" si="870"/>
        <v>0</v>
      </c>
      <c r="BU1030" s="552">
        <f t="shared" si="870"/>
        <v>0</v>
      </c>
      <c r="BV1030" s="552">
        <f t="shared" ref="BV1030:DA1030" si="871">BV64*BV$338</f>
        <v>0</v>
      </c>
      <c r="BW1030" s="552">
        <f t="shared" si="871"/>
        <v>0</v>
      </c>
      <c r="BX1030" s="552">
        <f t="shared" si="871"/>
        <v>0</v>
      </c>
      <c r="BY1030" s="552">
        <f t="shared" si="871"/>
        <v>0</v>
      </c>
      <c r="BZ1030" s="552">
        <f t="shared" si="871"/>
        <v>0</v>
      </c>
      <c r="CA1030" s="552">
        <f t="shared" si="871"/>
        <v>0</v>
      </c>
      <c r="CB1030" s="552">
        <f t="shared" si="871"/>
        <v>0</v>
      </c>
      <c r="CC1030" s="552">
        <f t="shared" si="871"/>
        <v>0</v>
      </c>
      <c r="CD1030" s="552">
        <f t="shared" si="871"/>
        <v>0</v>
      </c>
      <c r="CE1030" s="552">
        <f t="shared" si="871"/>
        <v>0</v>
      </c>
      <c r="CF1030" s="552">
        <f t="shared" si="871"/>
        <v>0</v>
      </c>
      <c r="CG1030" s="552">
        <f t="shared" si="871"/>
        <v>0</v>
      </c>
      <c r="CH1030" s="552">
        <f t="shared" si="871"/>
        <v>0</v>
      </c>
      <c r="CI1030" s="552">
        <f t="shared" si="871"/>
        <v>0</v>
      </c>
      <c r="CJ1030" s="552">
        <f t="shared" si="871"/>
        <v>0</v>
      </c>
      <c r="CK1030" s="552">
        <f t="shared" si="871"/>
        <v>0</v>
      </c>
      <c r="CL1030" s="552">
        <f t="shared" si="871"/>
        <v>0</v>
      </c>
      <c r="CM1030" s="552">
        <f t="shared" si="871"/>
        <v>0</v>
      </c>
      <c r="CN1030" s="552">
        <f t="shared" si="871"/>
        <v>0</v>
      </c>
      <c r="CO1030" s="552">
        <f t="shared" si="871"/>
        <v>0</v>
      </c>
      <c r="CP1030" s="552">
        <f t="shared" si="871"/>
        <v>0</v>
      </c>
      <c r="CQ1030" s="552">
        <f t="shared" si="871"/>
        <v>0</v>
      </c>
      <c r="CR1030" s="552">
        <f t="shared" si="871"/>
        <v>0</v>
      </c>
      <c r="CS1030" s="552">
        <f t="shared" si="871"/>
        <v>0</v>
      </c>
      <c r="CT1030" s="552">
        <f t="shared" si="871"/>
        <v>0</v>
      </c>
      <c r="CU1030" s="552">
        <f t="shared" si="871"/>
        <v>0</v>
      </c>
      <c r="CV1030" s="552">
        <f t="shared" si="871"/>
        <v>0</v>
      </c>
      <c r="CW1030" s="552">
        <f t="shared" si="871"/>
        <v>0</v>
      </c>
      <c r="CX1030" s="552">
        <f t="shared" si="871"/>
        <v>0</v>
      </c>
      <c r="CY1030" s="552">
        <f t="shared" si="871"/>
        <v>0</v>
      </c>
      <c r="CZ1030" s="552">
        <f t="shared" si="871"/>
        <v>0</v>
      </c>
      <c r="DA1030" s="552">
        <f t="shared" si="871"/>
        <v>0</v>
      </c>
      <c r="DB1030" s="552">
        <f t="shared" ref="DB1030:EG1030" si="872">DB64*DB$338</f>
        <v>0</v>
      </c>
      <c r="DC1030" s="552">
        <f t="shared" si="872"/>
        <v>0</v>
      </c>
      <c r="DD1030" s="552">
        <f t="shared" si="872"/>
        <v>0</v>
      </c>
      <c r="DE1030" s="552">
        <f t="shared" si="872"/>
        <v>0</v>
      </c>
      <c r="DF1030" s="552">
        <f t="shared" si="872"/>
        <v>0</v>
      </c>
      <c r="DG1030" s="552">
        <f t="shared" si="872"/>
        <v>0</v>
      </c>
      <c r="DH1030" s="552">
        <f t="shared" si="872"/>
        <v>0</v>
      </c>
      <c r="DI1030" s="552">
        <f t="shared" si="872"/>
        <v>0</v>
      </c>
      <c r="DJ1030" s="552">
        <f t="shared" si="872"/>
        <v>0</v>
      </c>
      <c r="DK1030" s="552">
        <f t="shared" si="872"/>
        <v>0</v>
      </c>
      <c r="DL1030" s="552">
        <f t="shared" si="872"/>
        <v>0</v>
      </c>
      <c r="DM1030" s="552">
        <f t="shared" si="872"/>
        <v>0</v>
      </c>
      <c r="DN1030" s="552">
        <f t="shared" si="872"/>
        <v>0</v>
      </c>
      <c r="DO1030" s="552">
        <f t="shared" si="872"/>
        <v>0</v>
      </c>
      <c r="DP1030" s="552">
        <f t="shared" si="872"/>
        <v>0</v>
      </c>
      <c r="DQ1030" s="552">
        <f t="shared" si="872"/>
        <v>0</v>
      </c>
      <c r="DR1030" s="552">
        <f t="shared" si="872"/>
        <v>0</v>
      </c>
      <c r="DS1030" s="552">
        <f t="shared" si="872"/>
        <v>0</v>
      </c>
      <c r="DT1030" s="552">
        <f t="shared" si="872"/>
        <v>0</v>
      </c>
      <c r="DU1030" s="552">
        <f t="shared" si="872"/>
        <v>0</v>
      </c>
      <c r="DV1030" s="552">
        <f t="shared" si="872"/>
        <v>0</v>
      </c>
      <c r="DW1030" s="552">
        <f t="shared" si="872"/>
        <v>0</v>
      </c>
      <c r="DX1030" s="552">
        <f t="shared" si="872"/>
        <v>0</v>
      </c>
      <c r="DY1030" s="552">
        <f t="shared" si="872"/>
        <v>0</v>
      </c>
      <c r="DZ1030" s="552">
        <f t="shared" si="872"/>
        <v>0</v>
      </c>
      <c r="EA1030" s="552">
        <f t="shared" si="872"/>
        <v>75</v>
      </c>
      <c r="EB1030" s="552">
        <f t="shared" si="872"/>
        <v>0</v>
      </c>
      <c r="EC1030" s="552">
        <f t="shared" si="872"/>
        <v>0</v>
      </c>
      <c r="ED1030" s="552">
        <f t="shared" si="872"/>
        <v>0</v>
      </c>
      <c r="EE1030" s="552">
        <f t="shared" si="872"/>
        <v>0</v>
      </c>
      <c r="EF1030" s="552">
        <f t="shared" si="872"/>
        <v>0</v>
      </c>
      <c r="EG1030" s="552">
        <f t="shared" si="872"/>
        <v>0</v>
      </c>
      <c r="EH1030" s="552">
        <f t="shared" ref="EH1030:EX1030" si="873">EH64*EH$338</f>
        <v>0</v>
      </c>
      <c r="EI1030" s="552">
        <f t="shared" si="873"/>
        <v>0</v>
      </c>
      <c r="EJ1030" s="552">
        <f t="shared" si="873"/>
        <v>0</v>
      </c>
      <c r="EK1030" s="552">
        <f t="shared" si="873"/>
        <v>0</v>
      </c>
      <c r="EL1030" s="552">
        <f t="shared" si="873"/>
        <v>0</v>
      </c>
      <c r="EM1030" s="552">
        <f t="shared" si="873"/>
        <v>0</v>
      </c>
      <c r="EN1030" s="552">
        <f t="shared" si="873"/>
        <v>0</v>
      </c>
      <c r="EO1030" s="552">
        <f t="shared" si="873"/>
        <v>0</v>
      </c>
      <c r="EP1030" s="552">
        <f t="shared" si="873"/>
        <v>0</v>
      </c>
      <c r="EQ1030" s="552">
        <f t="shared" si="873"/>
        <v>0</v>
      </c>
      <c r="ER1030" s="552">
        <f t="shared" si="873"/>
        <v>0</v>
      </c>
      <c r="ES1030" s="552">
        <f t="shared" si="873"/>
        <v>0</v>
      </c>
      <c r="ET1030" s="552">
        <f t="shared" si="873"/>
        <v>0</v>
      </c>
      <c r="EU1030" s="552">
        <f t="shared" si="873"/>
        <v>0</v>
      </c>
      <c r="EV1030" s="552">
        <f t="shared" si="873"/>
        <v>0</v>
      </c>
      <c r="EW1030" s="552">
        <f t="shared" si="873"/>
        <v>0</v>
      </c>
      <c r="EX1030" s="552">
        <f t="shared" si="873"/>
        <v>0</v>
      </c>
      <c r="EY1030" s="799">
        <f t="shared" si="527"/>
        <v>75</v>
      </c>
      <c r="EZ1030" s="640"/>
      <c r="FA1030" s="640"/>
      <c r="FB1030" s="640"/>
      <c r="FC1030" s="640"/>
      <c r="FD1030" s="640"/>
      <c r="FE1030" s="640"/>
      <c r="FF1030" s="640"/>
      <c r="FG1030" s="640"/>
      <c r="FH1030" s="640"/>
      <c r="FI1030" s="640"/>
      <c r="FJ1030" s="640"/>
      <c r="FK1030" s="640"/>
      <c r="FL1030" s="640"/>
    </row>
    <row r="1031" spans="1:168" x14ac:dyDescent="0.25">
      <c r="A1031" s="1493"/>
      <c r="B1031" s="624">
        <f t="shared" si="838"/>
        <v>0</v>
      </c>
      <c r="C1031" s="624">
        <f t="shared" si="838"/>
        <v>0</v>
      </c>
      <c r="D1031" s="624">
        <f t="shared" si="838"/>
        <v>0</v>
      </c>
      <c r="E1031" s="1158">
        <f t="shared" si="832"/>
        <v>0</v>
      </c>
      <c r="F1031" s="1158"/>
      <c r="G1031" s="1140"/>
      <c r="H1031" s="1140"/>
      <c r="I1031" s="552"/>
      <c r="J1031" s="552">
        <f>J65*J$338</f>
        <v>0</v>
      </c>
      <c r="K1031" s="552">
        <f t="shared" ref="K1031:BV1031" si="874">K65*K$338</f>
        <v>0</v>
      </c>
      <c r="L1031" s="552">
        <f t="shared" si="874"/>
        <v>0</v>
      </c>
      <c r="M1031" s="552">
        <f t="shared" si="874"/>
        <v>0</v>
      </c>
      <c r="N1031" s="552">
        <f t="shared" si="874"/>
        <v>0</v>
      </c>
      <c r="O1031" s="552">
        <f t="shared" si="874"/>
        <v>0</v>
      </c>
      <c r="P1031" s="552">
        <f t="shared" si="874"/>
        <v>0</v>
      </c>
      <c r="Q1031" s="552">
        <f t="shared" si="874"/>
        <v>0</v>
      </c>
      <c r="R1031" s="552">
        <f t="shared" si="874"/>
        <v>0</v>
      </c>
      <c r="S1031" s="552">
        <f t="shared" si="874"/>
        <v>0</v>
      </c>
      <c r="T1031" s="552">
        <f t="shared" si="874"/>
        <v>0</v>
      </c>
      <c r="U1031" s="552">
        <f t="shared" si="874"/>
        <v>0</v>
      </c>
      <c r="V1031" s="552">
        <f t="shared" si="874"/>
        <v>0</v>
      </c>
      <c r="W1031" s="552">
        <f t="shared" si="874"/>
        <v>0</v>
      </c>
      <c r="X1031" s="552">
        <f t="shared" si="874"/>
        <v>0</v>
      </c>
      <c r="Y1031" s="552">
        <f t="shared" si="874"/>
        <v>0</v>
      </c>
      <c r="Z1031" s="552">
        <f t="shared" si="874"/>
        <v>0</v>
      </c>
      <c r="AA1031" s="552">
        <f t="shared" si="874"/>
        <v>0</v>
      </c>
      <c r="AB1031" s="552">
        <f t="shared" si="874"/>
        <v>0</v>
      </c>
      <c r="AC1031" s="552">
        <f t="shared" si="874"/>
        <v>0</v>
      </c>
      <c r="AD1031" s="552">
        <f t="shared" si="874"/>
        <v>0</v>
      </c>
      <c r="AE1031" s="552">
        <f t="shared" si="874"/>
        <v>0</v>
      </c>
      <c r="AF1031" s="552">
        <f t="shared" si="874"/>
        <v>0</v>
      </c>
      <c r="AG1031" s="552">
        <f t="shared" si="874"/>
        <v>0</v>
      </c>
      <c r="AH1031" s="552">
        <f t="shared" si="874"/>
        <v>0</v>
      </c>
      <c r="AI1031" s="552">
        <f t="shared" si="874"/>
        <v>0</v>
      </c>
      <c r="AJ1031" s="552">
        <f t="shared" si="874"/>
        <v>0</v>
      </c>
      <c r="AK1031" s="552">
        <f t="shared" si="874"/>
        <v>0</v>
      </c>
      <c r="AL1031" s="552">
        <f t="shared" si="874"/>
        <v>0</v>
      </c>
      <c r="AM1031" s="552">
        <f t="shared" si="874"/>
        <v>0</v>
      </c>
      <c r="AN1031" s="552">
        <f t="shared" si="874"/>
        <v>0</v>
      </c>
      <c r="AO1031" s="552">
        <f t="shared" si="874"/>
        <v>0</v>
      </c>
      <c r="AP1031" s="552">
        <f t="shared" si="874"/>
        <v>0</v>
      </c>
      <c r="AQ1031" s="552">
        <f t="shared" si="874"/>
        <v>0</v>
      </c>
      <c r="AR1031" s="552">
        <f t="shared" si="874"/>
        <v>0</v>
      </c>
      <c r="AS1031" s="552">
        <f t="shared" si="874"/>
        <v>0</v>
      </c>
      <c r="AT1031" s="552">
        <f t="shared" si="874"/>
        <v>0</v>
      </c>
      <c r="AU1031" s="552">
        <f t="shared" si="874"/>
        <v>0</v>
      </c>
      <c r="AV1031" s="552">
        <f t="shared" si="874"/>
        <v>0</v>
      </c>
      <c r="AW1031" s="552">
        <f t="shared" si="874"/>
        <v>0</v>
      </c>
      <c r="AX1031" s="552">
        <f t="shared" si="874"/>
        <v>0</v>
      </c>
      <c r="AY1031" s="552">
        <f t="shared" si="874"/>
        <v>0</v>
      </c>
      <c r="AZ1031" s="552">
        <f t="shared" si="874"/>
        <v>0</v>
      </c>
      <c r="BA1031" s="552">
        <f t="shared" si="874"/>
        <v>0</v>
      </c>
      <c r="BB1031" s="552">
        <f t="shared" si="874"/>
        <v>0</v>
      </c>
      <c r="BC1031" s="552">
        <f t="shared" si="874"/>
        <v>0</v>
      </c>
      <c r="BD1031" s="552">
        <f t="shared" si="874"/>
        <v>0</v>
      </c>
      <c r="BE1031" s="552">
        <f t="shared" si="874"/>
        <v>0</v>
      </c>
      <c r="BF1031" s="552">
        <f t="shared" si="874"/>
        <v>0</v>
      </c>
      <c r="BG1031" s="552">
        <f t="shared" si="874"/>
        <v>0</v>
      </c>
      <c r="BH1031" s="552">
        <f t="shared" si="874"/>
        <v>0</v>
      </c>
      <c r="BI1031" s="552">
        <f t="shared" si="874"/>
        <v>0</v>
      </c>
      <c r="BJ1031" s="552">
        <f t="shared" si="874"/>
        <v>0</v>
      </c>
      <c r="BK1031" s="552">
        <f t="shared" si="874"/>
        <v>0</v>
      </c>
      <c r="BL1031" s="552">
        <f t="shared" si="874"/>
        <v>0</v>
      </c>
      <c r="BM1031" s="552">
        <f t="shared" si="874"/>
        <v>0</v>
      </c>
      <c r="BN1031" s="552">
        <f t="shared" si="874"/>
        <v>0</v>
      </c>
      <c r="BO1031" s="552">
        <f t="shared" si="874"/>
        <v>0</v>
      </c>
      <c r="BP1031" s="552">
        <f t="shared" si="874"/>
        <v>0</v>
      </c>
      <c r="BQ1031" s="552">
        <f t="shared" si="874"/>
        <v>0</v>
      </c>
      <c r="BR1031" s="552">
        <f t="shared" si="874"/>
        <v>0</v>
      </c>
      <c r="BS1031" s="552">
        <f t="shared" si="874"/>
        <v>0</v>
      </c>
      <c r="BT1031" s="552">
        <f t="shared" si="874"/>
        <v>0</v>
      </c>
      <c r="BU1031" s="552">
        <f t="shared" si="874"/>
        <v>0</v>
      </c>
      <c r="BV1031" s="552">
        <f t="shared" si="874"/>
        <v>0</v>
      </c>
      <c r="BW1031" s="552">
        <f t="shared" ref="BW1031:DB1031" si="875">BW65*BW$338</f>
        <v>0</v>
      </c>
      <c r="BX1031" s="552">
        <f t="shared" si="875"/>
        <v>0</v>
      </c>
      <c r="BY1031" s="552">
        <f t="shared" si="875"/>
        <v>0</v>
      </c>
      <c r="BZ1031" s="552">
        <f t="shared" si="875"/>
        <v>0</v>
      </c>
      <c r="CA1031" s="552">
        <f t="shared" si="875"/>
        <v>0</v>
      </c>
      <c r="CB1031" s="552">
        <f t="shared" si="875"/>
        <v>0</v>
      </c>
      <c r="CC1031" s="552">
        <f t="shared" si="875"/>
        <v>0</v>
      </c>
      <c r="CD1031" s="552">
        <f t="shared" si="875"/>
        <v>0</v>
      </c>
      <c r="CE1031" s="552">
        <f t="shared" si="875"/>
        <v>0</v>
      </c>
      <c r="CF1031" s="552">
        <f t="shared" si="875"/>
        <v>0</v>
      </c>
      <c r="CG1031" s="552">
        <f t="shared" si="875"/>
        <v>0</v>
      </c>
      <c r="CH1031" s="552">
        <f t="shared" si="875"/>
        <v>0</v>
      </c>
      <c r="CI1031" s="552">
        <f t="shared" si="875"/>
        <v>0</v>
      </c>
      <c r="CJ1031" s="552">
        <f t="shared" si="875"/>
        <v>0</v>
      </c>
      <c r="CK1031" s="552">
        <f t="shared" si="875"/>
        <v>0</v>
      </c>
      <c r="CL1031" s="552">
        <f t="shared" si="875"/>
        <v>0</v>
      </c>
      <c r="CM1031" s="552">
        <f t="shared" si="875"/>
        <v>0</v>
      </c>
      <c r="CN1031" s="552">
        <f t="shared" si="875"/>
        <v>0</v>
      </c>
      <c r="CO1031" s="552">
        <f t="shared" si="875"/>
        <v>0</v>
      </c>
      <c r="CP1031" s="552">
        <f t="shared" si="875"/>
        <v>0</v>
      </c>
      <c r="CQ1031" s="552">
        <f t="shared" si="875"/>
        <v>0</v>
      </c>
      <c r="CR1031" s="552">
        <f t="shared" si="875"/>
        <v>0</v>
      </c>
      <c r="CS1031" s="552">
        <f t="shared" si="875"/>
        <v>0</v>
      </c>
      <c r="CT1031" s="552">
        <f t="shared" si="875"/>
        <v>0</v>
      </c>
      <c r="CU1031" s="552">
        <f t="shared" si="875"/>
        <v>0</v>
      </c>
      <c r="CV1031" s="552">
        <f t="shared" si="875"/>
        <v>0</v>
      </c>
      <c r="CW1031" s="552">
        <f t="shared" si="875"/>
        <v>0</v>
      </c>
      <c r="CX1031" s="552">
        <f t="shared" si="875"/>
        <v>0</v>
      </c>
      <c r="CY1031" s="552">
        <f t="shared" si="875"/>
        <v>0</v>
      </c>
      <c r="CZ1031" s="552">
        <f t="shared" si="875"/>
        <v>0</v>
      </c>
      <c r="DA1031" s="552">
        <f t="shared" si="875"/>
        <v>0</v>
      </c>
      <c r="DB1031" s="552">
        <f t="shared" si="875"/>
        <v>0</v>
      </c>
      <c r="DC1031" s="552">
        <f t="shared" ref="DC1031:EH1031" si="876">DC65*DC$338</f>
        <v>0</v>
      </c>
      <c r="DD1031" s="552">
        <f t="shared" si="876"/>
        <v>0</v>
      </c>
      <c r="DE1031" s="552">
        <f t="shared" si="876"/>
        <v>0</v>
      </c>
      <c r="DF1031" s="552">
        <f t="shared" si="876"/>
        <v>0</v>
      </c>
      <c r="DG1031" s="552">
        <f t="shared" si="876"/>
        <v>0</v>
      </c>
      <c r="DH1031" s="552">
        <f t="shared" si="876"/>
        <v>0</v>
      </c>
      <c r="DI1031" s="552">
        <f t="shared" si="876"/>
        <v>0</v>
      </c>
      <c r="DJ1031" s="552">
        <f t="shared" si="876"/>
        <v>0</v>
      </c>
      <c r="DK1031" s="552">
        <f t="shared" si="876"/>
        <v>0</v>
      </c>
      <c r="DL1031" s="552">
        <f t="shared" si="876"/>
        <v>0</v>
      </c>
      <c r="DM1031" s="552">
        <f t="shared" si="876"/>
        <v>0</v>
      </c>
      <c r="DN1031" s="552">
        <f t="shared" si="876"/>
        <v>0</v>
      </c>
      <c r="DO1031" s="552">
        <f t="shared" si="876"/>
        <v>0</v>
      </c>
      <c r="DP1031" s="552">
        <f t="shared" si="876"/>
        <v>0</v>
      </c>
      <c r="DQ1031" s="552">
        <f t="shared" si="876"/>
        <v>0</v>
      </c>
      <c r="DR1031" s="552">
        <f t="shared" si="876"/>
        <v>0</v>
      </c>
      <c r="DS1031" s="552">
        <f t="shared" si="876"/>
        <v>0</v>
      </c>
      <c r="DT1031" s="552">
        <f t="shared" si="876"/>
        <v>0</v>
      </c>
      <c r="DU1031" s="552">
        <f t="shared" si="876"/>
        <v>0</v>
      </c>
      <c r="DV1031" s="552">
        <f t="shared" si="876"/>
        <v>0</v>
      </c>
      <c r="DW1031" s="552">
        <f t="shared" si="876"/>
        <v>0</v>
      </c>
      <c r="DX1031" s="552">
        <f t="shared" si="876"/>
        <v>0</v>
      </c>
      <c r="DY1031" s="552">
        <f t="shared" si="876"/>
        <v>0</v>
      </c>
      <c r="DZ1031" s="552">
        <f t="shared" si="876"/>
        <v>0</v>
      </c>
      <c r="EA1031" s="552">
        <f t="shared" si="876"/>
        <v>0</v>
      </c>
      <c r="EB1031" s="552">
        <f t="shared" si="876"/>
        <v>0</v>
      </c>
      <c r="EC1031" s="552">
        <f t="shared" si="876"/>
        <v>0</v>
      </c>
      <c r="ED1031" s="552">
        <f t="shared" si="876"/>
        <v>0</v>
      </c>
      <c r="EE1031" s="552">
        <f t="shared" si="876"/>
        <v>0</v>
      </c>
      <c r="EF1031" s="552">
        <f t="shared" si="876"/>
        <v>0</v>
      </c>
      <c r="EG1031" s="552">
        <f t="shared" si="876"/>
        <v>0</v>
      </c>
      <c r="EH1031" s="552">
        <f t="shared" si="876"/>
        <v>0</v>
      </c>
      <c r="EI1031" s="552">
        <f t="shared" ref="EI1031:EX1031" si="877">EI65*EI$338</f>
        <v>0</v>
      </c>
      <c r="EJ1031" s="552">
        <f t="shared" si="877"/>
        <v>0</v>
      </c>
      <c r="EK1031" s="552">
        <f t="shared" si="877"/>
        <v>0</v>
      </c>
      <c r="EL1031" s="552">
        <f t="shared" si="877"/>
        <v>0</v>
      </c>
      <c r="EM1031" s="552">
        <f t="shared" si="877"/>
        <v>0</v>
      </c>
      <c r="EN1031" s="552">
        <f t="shared" si="877"/>
        <v>0</v>
      </c>
      <c r="EO1031" s="552">
        <f t="shared" si="877"/>
        <v>0</v>
      </c>
      <c r="EP1031" s="552">
        <f t="shared" si="877"/>
        <v>0</v>
      </c>
      <c r="EQ1031" s="552">
        <f t="shared" si="877"/>
        <v>0</v>
      </c>
      <c r="ER1031" s="552">
        <f t="shared" si="877"/>
        <v>0</v>
      </c>
      <c r="ES1031" s="552">
        <f t="shared" si="877"/>
        <v>0</v>
      </c>
      <c r="ET1031" s="552">
        <f t="shared" si="877"/>
        <v>0</v>
      </c>
      <c r="EU1031" s="552">
        <f t="shared" si="877"/>
        <v>0</v>
      </c>
      <c r="EV1031" s="552">
        <f t="shared" si="877"/>
        <v>0</v>
      </c>
      <c r="EW1031" s="552">
        <f t="shared" si="877"/>
        <v>0</v>
      </c>
      <c r="EX1031" s="552">
        <f t="shared" si="877"/>
        <v>0</v>
      </c>
      <c r="EY1031" s="799">
        <f t="shared" si="527"/>
        <v>0</v>
      </c>
      <c r="EZ1031" s="640"/>
      <c r="FA1031" s="640"/>
      <c r="FB1031" s="640"/>
      <c r="FC1031" s="640"/>
      <c r="FD1031" s="640"/>
      <c r="FE1031" s="640"/>
      <c r="FF1031" s="640"/>
      <c r="FG1031" s="640"/>
      <c r="FH1031" s="640"/>
      <c r="FI1031" s="640"/>
      <c r="FJ1031" s="640"/>
      <c r="FK1031" s="640"/>
      <c r="FL1031" s="640"/>
    </row>
    <row r="1032" spans="1:168" x14ac:dyDescent="0.25">
      <c r="A1032" s="254">
        <v>0</v>
      </c>
      <c r="B1032" s="625" t="s">
        <v>113</v>
      </c>
      <c r="C1032" s="1135"/>
      <c r="D1032" s="1138">
        <f>SUM(D1023:D1031)</f>
        <v>23.72</v>
      </c>
      <c r="E1032" s="1138">
        <f t="shared" ref="E1032:H1032" si="878">SUM(E1023:E1031)</f>
        <v>148.15</v>
      </c>
      <c r="F1032" s="1138"/>
      <c r="G1032" s="1138">
        <f t="shared" si="878"/>
        <v>0</v>
      </c>
      <c r="H1032" s="1138">
        <f t="shared" si="878"/>
        <v>0</v>
      </c>
      <c r="I1032" s="554"/>
      <c r="J1032" s="1138">
        <f t="shared" ref="J1032" si="879">SUM(J1023:J1031)</f>
        <v>0</v>
      </c>
      <c r="K1032" s="1138">
        <f t="shared" ref="K1032" si="880">SUM(K1023:K1031)</f>
        <v>0</v>
      </c>
      <c r="L1032" s="1138">
        <f t="shared" ref="L1032" si="881">SUM(L1023:L1031)</f>
        <v>0</v>
      </c>
      <c r="M1032" s="1138">
        <f t="shared" ref="M1032" si="882">SUM(M1023:M1031)</f>
        <v>27.2</v>
      </c>
      <c r="N1032" s="1138">
        <f t="shared" ref="N1032" si="883">SUM(N1023:N1031)</f>
        <v>0</v>
      </c>
      <c r="O1032" s="1138">
        <f t="shared" ref="O1032" si="884">SUM(O1023:O1031)</f>
        <v>0</v>
      </c>
      <c r="P1032" s="1138">
        <f t="shared" ref="P1032" si="885">SUM(P1023:P1031)</f>
        <v>0.3</v>
      </c>
      <c r="Q1032" s="1138">
        <f t="shared" ref="Q1032" si="886">SUM(Q1023:Q1031)</f>
        <v>0</v>
      </c>
      <c r="R1032" s="1138">
        <f t="shared" ref="R1032" si="887">SUM(R1023:R1031)</f>
        <v>0</v>
      </c>
      <c r="S1032" s="1138">
        <f t="shared" ref="S1032" si="888">SUM(S1023:S1031)</f>
        <v>0</v>
      </c>
      <c r="T1032" s="1138">
        <f t="shared" ref="T1032" si="889">SUM(T1023:T1031)</f>
        <v>0</v>
      </c>
      <c r="U1032" s="1138">
        <f t="shared" ref="U1032" si="890">SUM(U1023:U1031)</f>
        <v>3.74</v>
      </c>
      <c r="V1032" s="1138">
        <f t="shared" ref="V1032" si="891">SUM(V1023:V1031)</f>
        <v>4.16</v>
      </c>
      <c r="W1032" s="1138">
        <f t="shared" ref="W1032" si="892">SUM(W1023:W1031)</f>
        <v>0</v>
      </c>
      <c r="X1032" s="1138">
        <f t="shared" ref="X1032" si="893">SUM(X1023:X1031)</f>
        <v>0</v>
      </c>
      <c r="Y1032" s="1138">
        <f t="shared" ref="Y1032" si="894">SUM(Y1023:Y1031)</f>
        <v>2.75</v>
      </c>
      <c r="Z1032" s="1138">
        <f t="shared" ref="Z1032" si="895">SUM(Z1023:Z1031)</f>
        <v>0</v>
      </c>
      <c r="AA1032" s="1138">
        <f t="shared" ref="AA1032" si="896">SUM(AA1023:AA1031)</f>
        <v>0</v>
      </c>
      <c r="AB1032" s="1138">
        <f t="shared" ref="AB1032" si="897">SUM(AB1023:AB1031)</f>
        <v>0</v>
      </c>
      <c r="AC1032" s="1138">
        <f t="shared" ref="AC1032" si="898">SUM(AC1023:AC1031)</f>
        <v>0</v>
      </c>
      <c r="AD1032" s="1138">
        <f t="shared" ref="AD1032" si="899">SUM(AD1023:AD1031)</f>
        <v>0</v>
      </c>
      <c r="AE1032" s="1138">
        <f t="shared" ref="AE1032" si="900">SUM(AE1023:AE1031)</f>
        <v>0</v>
      </c>
      <c r="AF1032" s="1138">
        <f t="shared" ref="AF1032" si="901">SUM(AF1023:AF1031)</f>
        <v>1.99</v>
      </c>
      <c r="AG1032" s="1138">
        <f t="shared" ref="AG1032" si="902">SUM(AG1023:AG1031)</f>
        <v>0</v>
      </c>
      <c r="AH1032" s="1138">
        <f t="shared" ref="AH1032" si="903">SUM(AH1023:AH1031)</f>
        <v>10.210000000000001</v>
      </c>
      <c r="AI1032" s="1138">
        <f t="shared" ref="AI1032" si="904">SUM(AI1023:AI1031)</f>
        <v>0</v>
      </c>
      <c r="AJ1032" s="1138">
        <f t="shared" ref="AJ1032" si="905">SUM(AJ1023:AJ1031)</f>
        <v>0</v>
      </c>
      <c r="AK1032" s="1138">
        <f t="shared" ref="AK1032" si="906">SUM(AK1023:AK1031)</f>
        <v>0.96</v>
      </c>
      <c r="AL1032" s="1138">
        <f t="shared" ref="AL1032" si="907">SUM(AL1023:AL1031)</f>
        <v>0</v>
      </c>
      <c r="AM1032" s="1138">
        <f t="shared" ref="AM1032" si="908">SUM(AM1023:AM1031)</f>
        <v>0</v>
      </c>
      <c r="AN1032" s="1138">
        <f t="shared" ref="AN1032" si="909">SUM(AN1023:AN1031)</f>
        <v>6.36</v>
      </c>
      <c r="AO1032" s="1138">
        <f t="shared" ref="AO1032" si="910">SUM(AO1023:AO1031)</f>
        <v>0</v>
      </c>
      <c r="AP1032" s="1138">
        <f t="shared" ref="AP1032" si="911">SUM(AP1023:AP1031)</f>
        <v>0</v>
      </c>
      <c r="AQ1032" s="1138">
        <f t="shared" ref="AQ1032" si="912">SUM(AQ1023:AQ1031)</f>
        <v>0.63</v>
      </c>
      <c r="AR1032" s="1138">
        <f t="shared" ref="AR1032" si="913">SUM(AR1023:AR1031)</f>
        <v>0</v>
      </c>
      <c r="AS1032" s="1138">
        <f t="shared" ref="AS1032" si="914">SUM(AS1023:AS1031)</f>
        <v>0</v>
      </c>
      <c r="AT1032" s="1138">
        <f t="shared" ref="AT1032" si="915">SUM(AT1023:AT1031)</f>
        <v>0</v>
      </c>
      <c r="AU1032" s="1138">
        <f t="shared" ref="AU1032" si="916">SUM(AU1023:AU1031)</f>
        <v>0.6</v>
      </c>
      <c r="AV1032" s="1138">
        <f t="shared" ref="AV1032" si="917">SUM(AV1023:AV1031)</f>
        <v>0</v>
      </c>
      <c r="AW1032" s="1138">
        <f t="shared" ref="AW1032" si="918">SUM(AW1023:AW1031)</f>
        <v>0</v>
      </c>
      <c r="AX1032" s="1138">
        <f t="shared" ref="AX1032" si="919">SUM(AX1023:AX1031)</f>
        <v>0</v>
      </c>
      <c r="AY1032" s="1138">
        <f t="shared" ref="AY1032" si="920">SUM(AY1023:AY1031)</f>
        <v>0</v>
      </c>
      <c r="AZ1032" s="1138">
        <f t="shared" ref="AZ1032" si="921">SUM(AZ1023:AZ1031)</f>
        <v>0</v>
      </c>
      <c r="BA1032" s="1138">
        <f t="shared" ref="BA1032" si="922">SUM(BA1023:BA1031)</f>
        <v>0</v>
      </c>
      <c r="BB1032" s="1138">
        <f t="shared" ref="BB1032" si="923">SUM(BB1023:BB1031)</f>
        <v>0</v>
      </c>
      <c r="BC1032" s="1138">
        <f t="shared" ref="BC1032" si="924">SUM(BC1023:BC1031)</f>
        <v>0</v>
      </c>
      <c r="BD1032" s="1138">
        <f t="shared" ref="BD1032" si="925">SUM(BD1023:BD1031)</f>
        <v>0</v>
      </c>
      <c r="BE1032" s="1138">
        <f t="shared" ref="BE1032" si="926">SUM(BE1023:BE1031)</f>
        <v>0</v>
      </c>
      <c r="BF1032" s="1138">
        <f t="shared" ref="BF1032" si="927">SUM(BF1023:BF1031)</f>
        <v>0</v>
      </c>
      <c r="BG1032" s="1138">
        <f t="shared" ref="BG1032" si="928">SUM(BG1023:BG1031)</f>
        <v>0</v>
      </c>
      <c r="BH1032" s="1138">
        <f t="shared" ref="BH1032" si="929">SUM(BH1023:BH1031)</f>
        <v>0</v>
      </c>
      <c r="BI1032" s="1138">
        <f t="shared" ref="BI1032" si="930">SUM(BI1023:BI1031)</f>
        <v>0</v>
      </c>
      <c r="BJ1032" s="1138">
        <f t="shared" ref="BJ1032" si="931">SUM(BJ1023:BJ1031)</f>
        <v>0</v>
      </c>
      <c r="BK1032" s="1138">
        <f t="shared" ref="BK1032" si="932">SUM(BK1023:BK1031)</f>
        <v>0</v>
      </c>
      <c r="BL1032" s="1138">
        <f t="shared" ref="BL1032" si="933">SUM(BL1023:BL1031)</f>
        <v>0</v>
      </c>
      <c r="BM1032" s="1138">
        <f t="shared" ref="BM1032" si="934">SUM(BM1023:BM1031)</f>
        <v>0</v>
      </c>
      <c r="BN1032" s="1138">
        <f t="shared" ref="BN1032" si="935">SUM(BN1023:BN1031)</f>
        <v>0</v>
      </c>
      <c r="BO1032" s="1138">
        <f t="shared" ref="BO1032" si="936">SUM(BO1023:BO1031)</f>
        <v>0</v>
      </c>
      <c r="BP1032" s="1138">
        <f t="shared" ref="BP1032" si="937">SUM(BP1023:BP1031)</f>
        <v>0</v>
      </c>
      <c r="BQ1032" s="1138">
        <f t="shared" ref="BQ1032" si="938">SUM(BQ1023:BQ1031)</f>
        <v>0</v>
      </c>
      <c r="BR1032" s="1138">
        <f t="shared" ref="BR1032" si="939">SUM(BR1023:BR1031)</f>
        <v>4.13</v>
      </c>
      <c r="BS1032" s="1138">
        <f t="shared" ref="BS1032" si="940">SUM(BS1023:BS1031)</f>
        <v>7.0000000000000007E-2</v>
      </c>
      <c r="BT1032" s="1138">
        <f t="shared" ref="BT1032" si="941">SUM(BT1023:BT1031)</f>
        <v>0</v>
      </c>
      <c r="BU1032" s="1138">
        <f t="shared" ref="BU1032" si="942">SUM(BU1023:BU1031)</f>
        <v>0</v>
      </c>
      <c r="BV1032" s="1138">
        <f t="shared" ref="BV1032" si="943">SUM(BV1023:BV1031)</f>
        <v>0</v>
      </c>
      <c r="BW1032" s="1138">
        <f t="shared" ref="BW1032" si="944">SUM(BW1023:BW1031)</f>
        <v>0</v>
      </c>
      <c r="BX1032" s="1138">
        <f t="shared" ref="BX1032" si="945">SUM(BX1023:BX1031)</f>
        <v>0</v>
      </c>
      <c r="BY1032" s="1138">
        <f t="shared" ref="BY1032" si="946">SUM(BY1023:BY1031)</f>
        <v>0</v>
      </c>
      <c r="BZ1032" s="1138">
        <f t="shared" ref="BZ1032" si="947">SUM(BZ1023:BZ1031)</f>
        <v>0</v>
      </c>
      <c r="CA1032" s="1138">
        <f t="shared" ref="CA1032" si="948">SUM(CA1023:CA1031)</f>
        <v>0</v>
      </c>
      <c r="CB1032" s="1138">
        <f t="shared" ref="CB1032" si="949">SUM(CB1023:CB1031)</f>
        <v>0.98</v>
      </c>
      <c r="CC1032" s="1138">
        <f t="shared" ref="CC1032" si="950">SUM(CC1023:CC1031)</f>
        <v>0</v>
      </c>
      <c r="CD1032" s="1138">
        <f t="shared" ref="CD1032" si="951">SUM(CD1023:CD1031)</f>
        <v>0</v>
      </c>
      <c r="CE1032" s="1138">
        <f t="shared" ref="CE1032" si="952">SUM(CE1023:CE1031)</f>
        <v>0</v>
      </c>
      <c r="CF1032" s="1138">
        <f t="shared" ref="CF1032" si="953">SUM(CF1023:CF1031)</f>
        <v>1.2</v>
      </c>
      <c r="CG1032" s="1138">
        <f t="shared" ref="CG1032" si="954">SUM(CG1023:CG1031)</f>
        <v>0</v>
      </c>
      <c r="CH1032" s="1138">
        <f t="shared" ref="CH1032" si="955">SUM(CH1023:CH1031)</f>
        <v>0</v>
      </c>
      <c r="CI1032" s="1138">
        <f t="shared" ref="CI1032" si="956">SUM(CI1023:CI1031)</f>
        <v>0</v>
      </c>
      <c r="CJ1032" s="1138">
        <f t="shared" ref="CJ1032" si="957">SUM(CJ1023:CJ1031)</f>
        <v>0</v>
      </c>
      <c r="CK1032" s="1138">
        <f t="shared" ref="CK1032" si="958">SUM(CK1023:CK1031)</f>
        <v>0</v>
      </c>
      <c r="CL1032" s="1138">
        <f t="shared" ref="CL1032" si="959">SUM(CL1023:CL1031)</f>
        <v>0</v>
      </c>
      <c r="CM1032" s="1138">
        <f t="shared" ref="CM1032" si="960">SUM(CM1023:CM1031)</f>
        <v>0</v>
      </c>
      <c r="CN1032" s="1138">
        <f t="shared" ref="CN1032" si="961">SUM(CN1023:CN1031)</f>
        <v>0</v>
      </c>
      <c r="CO1032" s="1138">
        <f t="shared" ref="CO1032" si="962">SUM(CO1023:CO1031)</f>
        <v>0</v>
      </c>
      <c r="CP1032" s="1138">
        <f t="shared" ref="CP1032" si="963">SUM(CP1023:CP1031)</f>
        <v>0</v>
      </c>
      <c r="CQ1032" s="1138">
        <f t="shared" ref="CQ1032" si="964">SUM(CQ1023:CQ1031)</f>
        <v>0.06</v>
      </c>
      <c r="CR1032" s="1138">
        <f t="shared" ref="CR1032" si="965">SUM(CR1023:CR1031)</f>
        <v>0</v>
      </c>
      <c r="CS1032" s="1138">
        <f t="shared" ref="CS1032" si="966">SUM(CS1023:CS1031)</f>
        <v>0.01</v>
      </c>
      <c r="CT1032" s="1138">
        <f t="shared" ref="CT1032" si="967">SUM(CT1023:CT1031)</f>
        <v>0</v>
      </c>
      <c r="CU1032" s="1138">
        <f t="shared" ref="CU1032" si="968">SUM(CU1023:CU1031)</f>
        <v>0</v>
      </c>
      <c r="CV1032" s="1138">
        <f t="shared" ref="CV1032" si="969">SUM(CV1023:CV1031)</f>
        <v>0</v>
      </c>
      <c r="CW1032" s="1138">
        <f t="shared" ref="CW1032" si="970">SUM(CW1023:CW1031)</f>
        <v>0</v>
      </c>
      <c r="CX1032" s="1138">
        <f t="shared" ref="CX1032" si="971">SUM(CX1023:CX1031)</f>
        <v>0</v>
      </c>
      <c r="CY1032" s="1138">
        <f t="shared" ref="CY1032" si="972">SUM(CY1023:CY1031)</f>
        <v>0</v>
      </c>
      <c r="CZ1032" s="1138">
        <f t="shared" ref="CZ1032" si="973">SUM(CZ1023:CZ1031)</f>
        <v>1.82</v>
      </c>
      <c r="DA1032" s="1138">
        <f t="shared" ref="DA1032" si="974">SUM(DA1023:DA1031)</f>
        <v>0</v>
      </c>
      <c r="DB1032" s="1138">
        <f t="shared" ref="DB1032" si="975">SUM(DB1023:DB1031)</f>
        <v>0</v>
      </c>
      <c r="DC1032" s="1138">
        <f t="shared" ref="DC1032" si="976">SUM(DC1023:DC1031)</f>
        <v>0.19</v>
      </c>
      <c r="DD1032" s="1138">
        <f t="shared" ref="DD1032" si="977">SUM(DD1023:DD1031)</f>
        <v>0.94</v>
      </c>
      <c r="DE1032" s="1138">
        <f t="shared" ref="DE1032" si="978">SUM(DE1023:DE1031)</f>
        <v>0</v>
      </c>
      <c r="DF1032" s="1138">
        <f t="shared" ref="DF1032" si="979">SUM(DF1023:DF1031)</f>
        <v>0.69</v>
      </c>
      <c r="DG1032" s="1138">
        <f t="shared" ref="DG1032" si="980">SUM(DG1023:DG1031)</f>
        <v>0</v>
      </c>
      <c r="DH1032" s="1138">
        <f t="shared" ref="DH1032" si="981">SUM(DH1023:DH1031)</f>
        <v>0</v>
      </c>
      <c r="DI1032" s="1138">
        <f t="shared" ref="DI1032" si="982">SUM(DI1023:DI1031)</f>
        <v>0</v>
      </c>
      <c r="DJ1032" s="1138">
        <f t="shared" ref="DJ1032" si="983">SUM(DJ1023:DJ1031)</f>
        <v>0</v>
      </c>
      <c r="DK1032" s="1138">
        <f t="shared" ref="DK1032" si="984">SUM(DK1023:DK1031)</f>
        <v>0</v>
      </c>
      <c r="DL1032" s="1138">
        <f t="shared" ref="DL1032" si="985">SUM(DL1023:DL1031)</f>
        <v>0</v>
      </c>
      <c r="DM1032" s="1138">
        <f t="shared" ref="DM1032" si="986">SUM(DM1023:DM1031)</f>
        <v>0</v>
      </c>
      <c r="DN1032" s="1138">
        <f t="shared" ref="DN1032" si="987">SUM(DN1023:DN1031)</f>
        <v>0</v>
      </c>
      <c r="DO1032" s="1138">
        <f t="shared" ref="DO1032" si="988">SUM(DO1023:DO1031)</f>
        <v>0</v>
      </c>
      <c r="DP1032" s="1138">
        <f t="shared" ref="DP1032" si="989">SUM(DP1023:DP1031)</f>
        <v>0</v>
      </c>
      <c r="DQ1032" s="1138">
        <f t="shared" ref="DQ1032" si="990">SUM(DQ1023:DQ1031)</f>
        <v>0</v>
      </c>
      <c r="DR1032" s="1138">
        <f t="shared" ref="DR1032" si="991">SUM(DR1023:DR1031)</f>
        <v>0</v>
      </c>
      <c r="DS1032" s="1138">
        <f t="shared" ref="DS1032" si="992">SUM(DS1023:DS1031)</f>
        <v>0</v>
      </c>
      <c r="DT1032" s="1138">
        <f t="shared" ref="DT1032" si="993">SUM(DT1023:DT1031)</f>
        <v>0</v>
      </c>
      <c r="DU1032" s="1138">
        <f t="shared" ref="DU1032" si="994">SUM(DU1023:DU1031)</f>
        <v>0</v>
      </c>
      <c r="DV1032" s="1138">
        <f t="shared" ref="DV1032" si="995">SUM(DV1023:DV1031)</f>
        <v>0</v>
      </c>
      <c r="DW1032" s="1138">
        <f t="shared" ref="DW1032" si="996">SUM(DW1023:DW1031)</f>
        <v>0</v>
      </c>
      <c r="DX1032" s="1138">
        <f t="shared" ref="DX1032" si="997">SUM(DX1023:DX1031)</f>
        <v>0</v>
      </c>
      <c r="DY1032" s="1138">
        <f t="shared" ref="DY1032" si="998">SUM(DY1023:DY1031)</f>
        <v>0</v>
      </c>
      <c r="DZ1032" s="1138">
        <f t="shared" ref="DZ1032" si="999">SUM(DZ1023:DZ1031)</f>
        <v>0</v>
      </c>
      <c r="EA1032" s="1138">
        <f t="shared" ref="EA1032" si="1000">SUM(EA1023:EA1031)</f>
        <v>75</v>
      </c>
      <c r="EB1032" s="1138">
        <f t="shared" ref="EB1032" si="1001">SUM(EB1023:EB1031)</f>
        <v>0</v>
      </c>
      <c r="EC1032" s="1138">
        <f t="shared" ref="EC1032" si="1002">SUM(EC1023:EC1031)</f>
        <v>0</v>
      </c>
      <c r="ED1032" s="1138">
        <f t="shared" ref="ED1032" si="1003">SUM(ED1023:ED1031)</f>
        <v>0</v>
      </c>
      <c r="EE1032" s="1138">
        <f t="shared" ref="EE1032" si="1004">SUM(EE1023:EE1031)</f>
        <v>0</v>
      </c>
      <c r="EF1032" s="1138">
        <f t="shared" ref="EF1032" si="1005">SUM(EF1023:EF1031)</f>
        <v>0</v>
      </c>
      <c r="EG1032" s="1138">
        <f t="shared" ref="EG1032" si="1006">SUM(EG1023:EG1031)</f>
        <v>0</v>
      </c>
      <c r="EH1032" s="1138">
        <f t="shared" ref="EH1032" si="1007">SUM(EH1023:EH1031)</f>
        <v>0</v>
      </c>
      <c r="EI1032" s="1138">
        <f t="shared" ref="EI1032" si="1008">SUM(EI1023:EI1031)</f>
        <v>0</v>
      </c>
      <c r="EJ1032" s="1138">
        <f t="shared" ref="EJ1032" si="1009">SUM(EJ1023:EJ1031)</f>
        <v>0</v>
      </c>
      <c r="EK1032" s="1138">
        <f t="shared" ref="EK1032" si="1010">SUM(EK1023:EK1031)</f>
        <v>0</v>
      </c>
      <c r="EL1032" s="1138">
        <f t="shared" ref="EL1032" si="1011">SUM(EL1023:EL1031)</f>
        <v>0</v>
      </c>
      <c r="EM1032" s="1138">
        <f t="shared" ref="EM1032" si="1012">SUM(EM1023:EM1031)</f>
        <v>0</v>
      </c>
      <c r="EN1032" s="1138">
        <f t="shared" ref="EN1032" si="1013">SUM(EN1023:EN1031)</f>
        <v>0</v>
      </c>
      <c r="EO1032" s="1138">
        <f t="shared" ref="EO1032" si="1014">SUM(EO1023:EO1031)</f>
        <v>0</v>
      </c>
      <c r="EP1032" s="1138">
        <f t="shared" ref="EP1032" si="1015">SUM(EP1023:EP1031)</f>
        <v>0</v>
      </c>
      <c r="EQ1032" s="1138">
        <f t="shared" ref="EQ1032" si="1016">SUM(EQ1023:EQ1031)</f>
        <v>0</v>
      </c>
      <c r="ER1032" s="1138">
        <f t="shared" ref="ER1032" si="1017">SUM(ER1023:ER1031)</f>
        <v>0</v>
      </c>
      <c r="ES1032" s="1138">
        <f t="shared" ref="ES1032" si="1018">SUM(ES1023:ES1031)</f>
        <v>0</v>
      </c>
      <c r="ET1032" s="1138">
        <f t="shared" ref="ET1032" si="1019">SUM(ET1023:ET1031)</f>
        <v>0</v>
      </c>
      <c r="EU1032" s="1138">
        <f t="shared" ref="EU1032" si="1020">SUM(EU1023:EU1031)</f>
        <v>0</v>
      </c>
      <c r="EV1032" s="1138">
        <f t="shared" ref="EV1032" si="1021">SUM(EV1023:EV1031)</f>
        <v>2.21</v>
      </c>
      <c r="EW1032" s="1138">
        <f t="shared" ref="EW1032" si="1022">SUM(EW1023:EW1031)</f>
        <v>1.95</v>
      </c>
      <c r="EX1032" s="1138">
        <f t="shared" ref="EX1032" si="1023">SUM(EX1023:EX1031)</f>
        <v>0</v>
      </c>
      <c r="EY1032" s="1138">
        <f t="shared" ref="EY1032:FL1032" si="1024">SUM(EY1023:EY1031)</f>
        <v>148.15</v>
      </c>
      <c r="EZ1032" s="1138">
        <f t="shared" si="1024"/>
        <v>0</v>
      </c>
      <c r="FA1032" s="1138">
        <f t="shared" si="1024"/>
        <v>0</v>
      </c>
      <c r="FB1032" s="1138">
        <f t="shared" si="1024"/>
        <v>0</v>
      </c>
      <c r="FC1032" s="1138">
        <f t="shared" si="1024"/>
        <v>0</v>
      </c>
      <c r="FD1032" s="1138">
        <f t="shared" si="1024"/>
        <v>0</v>
      </c>
      <c r="FE1032" s="1138">
        <f t="shared" si="1024"/>
        <v>0</v>
      </c>
      <c r="FF1032" s="1138">
        <f t="shared" si="1024"/>
        <v>0</v>
      </c>
      <c r="FG1032" s="1138">
        <f t="shared" si="1024"/>
        <v>0</v>
      </c>
      <c r="FH1032" s="1138">
        <f t="shared" si="1024"/>
        <v>0</v>
      </c>
      <c r="FI1032" s="1138">
        <f t="shared" si="1024"/>
        <v>0</v>
      </c>
      <c r="FJ1032" s="1138">
        <f t="shared" si="1024"/>
        <v>0</v>
      </c>
      <c r="FK1032" s="1138">
        <f t="shared" si="1024"/>
        <v>0</v>
      </c>
      <c r="FL1032" s="1138">
        <f t="shared" si="1024"/>
        <v>0</v>
      </c>
    </row>
    <row r="1033" spans="1:168" x14ac:dyDescent="0.25">
      <c r="A1033" s="1491" t="s">
        <v>800</v>
      </c>
      <c r="B1033" s="624">
        <f t="shared" ref="B1033" si="1025">B67</f>
        <v>0</v>
      </c>
      <c r="C1033" s="624">
        <f t="shared" ref="C1033:D1033" si="1026">C67</f>
        <v>0</v>
      </c>
      <c r="D1033" s="624">
        <f t="shared" si="1026"/>
        <v>0</v>
      </c>
      <c r="E1033" s="1158">
        <f t="shared" ref="E1033:E1037" si="1027">EY1033</f>
        <v>0</v>
      </c>
      <c r="F1033" s="1158"/>
      <c r="G1033" s="1140"/>
      <c r="H1033" s="1140"/>
      <c r="I1033" s="552"/>
      <c r="J1033" s="552">
        <f t="shared" ref="J1033:AO1033" si="1028">J67*J$338</f>
        <v>0</v>
      </c>
      <c r="K1033" s="552">
        <f t="shared" si="1028"/>
        <v>0</v>
      </c>
      <c r="L1033" s="552">
        <f t="shared" si="1028"/>
        <v>0</v>
      </c>
      <c r="M1033" s="552">
        <f t="shared" si="1028"/>
        <v>0</v>
      </c>
      <c r="N1033" s="552">
        <f t="shared" si="1028"/>
        <v>0</v>
      </c>
      <c r="O1033" s="552">
        <f t="shared" si="1028"/>
        <v>0</v>
      </c>
      <c r="P1033" s="552">
        <f t="shared" si="1028"/>
        <v>0</v>
      </c>
      <c r="Q1033" s="552">
        <f t="shared" si="1028"/>
        <v>0</v>
      </c>
      <c r="R1033" s="552">
        <f t="shared" si="1028"/>
        <v>0</v>
      </c>
      <c r="S1033" s="552">
        <f t="shared" si="1028"/>
        <v>0</v>
      </c>
      <c r="T1033" s="552">
        <f t="shared" si="1028"/>
        <v>0</v>
      </c>
      <c r="U1033" s="552">
        <f t="shared" si="1028"/>
        <v>0</v>
      </c>
      <c r="V1033" s="552">
        <f t="shared" si="1028"/>
        <v>0</v>
      </c>
      <c r="W1033" s="552">
        <f t="shared" si="1028"/>
        <v>0</v>
      </c>
      <c r="X1033" s="552">
        <f t="shared" si="1028"/>
        <v>0</v>
      </c>
      <c r="Y1033" s="552">
        <f t="shared" si="1028"/>
        <v>0</v>
      </c>
      <c r="Z1033" s="552">
        <f t="shared" si="1028"/>
        <v>0</v>
      </c>
      <c r="AA1033" s="552">
        <f t="shared" si="1028"/>
        <v>0</v>
      </c>
      <c r="AB1033" s="552">
        <f t="shared" si="1028"/>
        <v>0</v>
      </c>
      <c r="AC1033" s="552">
        <f t="shared" si="1028"/>
        <v>0</v>
      </c>
      <c r="AD1033" s="552">
        <f t="shared" si="1028"/>
        <v>0</v>
      </c>
      <c r="AE1033" s="552">
        <f t="shared" si="1028"/>
        <v>0</v>
      </c>
      <c r="AF1033" s="552">
        <f t="shared" si="1028"/>
        <v>0</v>
      </c>
      <c r="AG1033" s="552">
        <f t="shared" si="1028"/>
        <v>0</v>
      </c>
      <c r="AH1033" s="552">
        <f t="shared" si="1028"/>
        <v>0</v>
      </c>
      <c r="AI1033" s="552">
        <f t="shared" si="1028"/>
        <v>0</v>
      </c>
      <c r="AJ1033" s="552">
        <f t="shared" si="1028"/>
        <v>0</v>
      </c>
      <c r="AK1033" s="552">
        <f t="shared" si="1028"/>
        <v>0</v>
      </c>
      <c r="AL1033" s="552">
        <f t="shared" si="1028"/>
        <v>0</v>
      </c>
      <c r="AM1033" s="552">
        <f t="shared" si="1028"/>
        <v>0</v>
      </c>
      <c r="AN1033" s="552">
        <f t="shared" si="1028"/>
        <v>0</v>
      </c>
      <c r="AO1033" s="552">
        <f t="shared" si="1028"/>
        <v>0</v>
      </c>
      <c r="AP1033" s="552">
        <f t="shared" ref="AP1033:BU1033" si="1029">AP67*AP$338</f>
        <v>0</v>
      </c>
      <c r="AQ1033" s="552">
        <f t="shared" si="1029"/>
        <v>0</v>
      </c>
      <c r="AR1033" s="552">
        <f t="shared" si="1029"/>
        <v>0</v>
      </c>
      <c r="AS1033" s="552">
        <f t="shared" si="1029"/>
        <v>0</v>
      </c>
      <c r="AT1033" s="552">
        <f t="shared" si="1029"/>
        <v>0</v>
      </c>
      <c r="AU1033" s="552">
        <f t="shared" si="1029"/>
        <v>0</v>
      </c>
      <c r="AV1033" s="552">
        <f t="shared" si="1029"/>
        <v>0</v>
      </c>
      <c r="AW1033" s="552">
        <f t="shared" si="1029"/>
        <v>0</v>
      </c>
      <c r="AX1033" s="552">
        <f t="shared" si="1029"/>
        <v>0</v>
      </c>
      <c r="AY1033" s="552">
        <f t="shared" si="1029"/>
        <v>0</v>
      </c>
      <c r="AZ1033" s="552">
        <f t="shared" si="1029"/>
        <v>0</v>
      </c>
      <c r="BA1033" s="552">
        <f t="shared" si="1029"/>
        <v>0</v>
      </c>
      <c r="BB1033" s="552">
        <f t="shared" si="1029"/>
        <v>0</v>
      </c>
      <c r="BC1033" s="552">
        <f t="shared" si="1029"/>
        <v>0</v>
      </c>
      <c r="BD1033" s="552">
        <f t="shared" si="1029"/>
        <v>0</v>
      </c>
      <c r="BE1033" s="552">
        <f t="shared" si="1029"/>
        <v>0</v>
      </c>
      <c r="BF1033" s="552">
        <f t="shared" si="1029"/>
        <v>0</v>
      </c>
      <c r="BG1033" s="552">
        <f t="shared" si="1029"/>
        <v>0</v>
      </c>
      <c r="BH1033" s="552">
        <f t="shared" si="1029"/>
        <v>0</v>
      </c>
      <c r="BI1033" s="552">
        <f t="shared" si="1029"/>
        <v>0</v>
      </c>
      <c r="BJ1033" s="552">
        <f t="shared" si="1029"/>
        <v>0</v>
      </c>
      <c r="BK1033" s="552">
        <f t="shared" si="1029"/>
        <v>0</v>
      </c>
      <c r="BL1033" s="552">
        <f t="shared" si="1029"/>
        <v>0</v>
      </c>
      <c r="BM1033" s="552">
        <f t="shared" si="1029"/>
        <v>0</v>
      </c>
      <c r="BN1033" s="552">
        <f t="shared" si="1029"/>
        <v>0</v>
      </c>
      <c r="BO1033" s="552">
        <f t="shared" si="1029"/>
        <v>0</v>
      </c>
      <c r="BP1033" s="552">
        <f t="shared" si="1029"/>
        <v>0</v>
      </c>
      <c r="BQ1033" s="552">
        <f t="shared" si="1029"/>
        <v>0</v>
      </c>
      <c r="BR1033" s="552">
        <f t="shared" si="1029"/>
        <v>0</v>
      </c>
      <c r="BS1033" s="552">
        <f t="shared" si="1029"/>
        <v>0</v>
      </c>
      <c r="BT1033" s="552">
        <f t="shared" si="1029"/>
        <v>0</v>
      </c>
      <c r="BU1033" s="552">
        <f t="shared" si="1029"/>
        <v>0</v>
      </c>
      <c r="BV1033" s="552">
        <f t="shared" ref="BV1033:DA1033" si="1030">BV67*BV$338</f>
        <v>0</v>
      </c>
      <c r="BW1033" s="552">
        <f t="shared" si="1030"/>
        <v>0</v>
      </c>
      <c r="BX1033" s="552">
        <f t="shared" si="1030"/>
        <v>0</v>
      </c>
      <c r="BY1033" s="552">
        <f t="shared" si="1030"/>
        <v>0</v>
      </c>
      <c r="BZ1033" s="552">
        <f t="shared" si="1030"/>
        <v>0</v>
      </c>
      <c r="CA1033" s="552">
        <f t="shared" si="1030"/>
        <v>0</v>
      </c>
      <c r="CB1033" s="552">
        <f t="shared" si="1030"/>
        <v>0</v>
      </c>
      <c r="CC1033" s="552">
        <f t="shared" si="1030"/>
        <v>0</v>
      </c>
      <c r="CD1033" s="552">
        <f t="shared" si="1030"/>
        <v>0</v>
      </c>
      <c r="CE1033" s="552">
        <f t="shared" si="1030"/>
        <v>0</v>
      </c>
      <c r="CF1033" s="552">
        <f t="shared" si="1030"/>
        <v>0</v>
      </c>
      <c r="CG1033" s="552">
        <f t="shared" si="1030"/>
        <v>0</v>
      </c>
      <c r="CH1033" s="552">
        <f t="shared" si="1030"/>
        <v>0</v>
      </c>
      <c r="CI1033" s="552">
        <f t="shared" si="1030"/>
        <v>0</v>
      </c>
      <c r="CJ1033" s="552">
        <f t="shared" si="1030"/>
        <v>0</v>
      </c>
      <c r="CK1033" s="552">
        <f t="shared" si="1030"/>
        <v>0</v>
      </c>
      <c r="CL1033" s="552">
        <f t="shared" si="1030"/>
        <v>0</v>
      </c>
      <c r="CM1033" s="552">
        <f t="shared" si="1030"/>
        <v>0</v>
      </c>
      <c r="CN1033" s="552">
        <f t="shared" si="1030"/>
        <v>0</v>
      </c>
      <c r="CO1033" s="552">
        <f t="shared" si="1030"/>
        <v>0</v>
      </c>
      <c r="CP1033" s="552">
        <f t="shared" si="1030"/>
        <v>0</v>
      </c>
      <c r="CQ1033" s="552">
        <f t="shared" si="1030"/>
        <v>0</v>
      </c>
      <c r="CR1033" s="552">
        <f t="shared" si="1030"/>
        <v>0</v>
      </c>
      <c r="CS1033" s="552">
        <f t="shared" si="1030"/>
        <v>0</v>
      </c>
      <c r="CT1033" s="552">
        <f t="shared" si="1030"/>
        <v>0</v>
      </c>
      <c r="CU1033" s="552">
        <f t="shared" si="1030"/>
        <v>0</v>
      </c>
      <c r="CV1033" s="552">
        <f t="shared" si="1030"/>
        <v>0</v>
      </c>
      <c r="CW1033" s="552">
        <f t="shared" si="1030"/>
        <v>0</v>
      </c>
      <c r="CX1033" s="552">
        <f t="shared" si="1030"/>
        <v>0</v>
      </c>
      <c r="CY1033" s="552">
        <f t="shared" si="1030"/>
        <v>0</v>
      </c>
      <c r="CZ1033" s="552">
        <f t="shared" si="1030"/>
        <v>0</v>
      </c>
      <c r="DA1033" s="552">
        <f t="shared" si="1030"/>
        <v>0</v>
      </c>
      <c r="DB1033" s="552">
        <f t="shared" ref="DB1033:EG1033" si="1031">DB67*DB$338</f>
        <v>0</v>
      </c>
      <c r="DC1033" s="552">
        <f t="shared" si="1031"/>
        <v>0</v>
      </c>
      <c r="DD1033" s="552">
        <f t="shared" si="1031"/>
        <v>0</v>
      </c>
      <c r="DE1033" s="552">
        <f t="shared" si="1031"/>
        <v>0</v>
      </c>
      <c r="DF1033" s="552">
        <f t="shared" si="1031"/>
        <v>0</v>
      </c>
      <c r="DG1033" s="552">
        <f t="shared" si="1031"/>
        <v>0</v>
      </c>
      <c r="DH1033" s="552">
        <f t="shared" si="1031"/>
        <v>0</v>
      </c>
      <c r="DI1033" s="552">
        <f t="shared" si="1031"/>
        <v>0</v>
      </c>
      <c r="DJ1033" s="552">
        <f t="shared" si="1031"/>
        <v>0</v>
      </c>
      <c r="DK1033" s="552">
        <f t="shared" si="1031"/>
        <v>0</v>
      </c>
      <c r="DL1033" s="552">
        <f t="shared" si="1031"/>
        <v>0</v>
      </c>
      <c r="DM1033" s="552">
        <f t="shared" si="1031"/>
        <v>0</v>
      </c>
      <c r="DN1033" s="552">
        <f t="shared" si="1031"/>
        <v>0</v>
      </c>
      <c r="DO1033" s="552">
        <f t="shared" si="1031"/>
        <v>0</v>
      </c>
      <c r="DP1033" s="552">
        <f t="shared" si="1031"/>
        <v>0</v>
      </c>
      <c r="DQ1033" s="552">
        <f t="shared" si="1031"/>
        <v>0</v>
      </c>
      <c r="DR1033" s="552">
        <f t="shared" si="1031"/>
        <v>0</v>
      </c>
      <c r="DS1033" s="552">
        <f t="shared" si="1031"/>
        <v>0</v>
      </c>
      <c r="DT1033" s="552">
        <f t="shared" si="1031"/>
        <v>0</v>
      </c>
      <c r="DU1033" s="552">
        <f t="shared" si="1031"/>
        <v>0</v>
      </c>
      <c r="DV1033" s="552">
        <f t="shared" si="1031"/>
        <v>0</v>
      </c>
      <c r="DW1033" s="552">
        <f t="shared" si="1031"/>
        <v>0</v>
      </c>
      <c r="DX1033" s="552">
        <f t="shared" si="1031"/>
        <v>0</v>
      </c>
      <c r="DY1033" s="552">
        <f t="shared" si="1031"/>
        <v>0</v>
      </c>
      <c r="DZ1033" s="552">
        <f t="shared" si="1031"/>
        <v>0</v>
      </c>
      <c r="EA1033" s="552">
        <f t="shared" si="1031"/>
        <v>0</v>
      </c>
      <c r="EB1033" s="552">
        <f t="shared" si="1031"/>
        <v>0</v>
      </c>
      <c r="EC1033" s="552">
        <f t="shared" si="1031"/>
        <v>0</v>
      </c>
      <c r="ED1033" s="552">
        <f t="shared" si="1031"/>
        <v>0</v>
      </c>
      <c r="EE1033" s="552">
        <f t="shared" si="1031"/>
        <v>0</v>
      </c>
      <c r="EF1033" s="552">
        <f t="shared" si="1031"/>
        <v>0</v>
      </c>
      <c r="EG1033" s="552">
        <f t="shared" si="1031"/>
        <v>0</v>
      </c>
      <c r="EH1033" s="552">
        <f t="shared" ref="EH1033:EX1033" si="1032">EH67*EH$338</f>
        <v>0</v>
      </c>
      <c r="EI1033" s="552">
        <f t="shared" si="1032"/>
        <v>0</v>
      </c>
      <c r="EJ1033" s="552">
        <f t="shared" si="1032"/>
        <v>0</v>
      </c>
      <c r="EK1033" s="552">
        <f t="shared" si="1032"/>
        <v>0</v>
      </c>
      <c r="EL1033" s="552">
        <f t="shared" si="1032"/>
        <v>0</v>
      </c>
      <c r="EM1033" s="552">
        <f t="shared" si="1032"/>
        <v>0</v>
      </c>
      <c r="EN1033" s="552">
        <f t="shared" si="1032"/>
        <v>0</v>
      </c>
      <c r="EO1033" s="552">
        <f t="shared" si="1032"/>
        <v>0</v>
      </c>
      <c r="EP1033" s="552">
        <f t="shared" si="1032"/>
        <v>0</v>
      </c>
      <c r="EQ1033" s="552">
        <f t="shared" si="1032"/>
        <v>0</v>
      </c>
      <c r="ER1033" s="552">
        <f t="shared" si="1032"/>
        <v>0</v>
      </c>
      <c r="ES1033" s="552">
        <f t="shared" si="1032"/>
        <v>0</v>
      </c>
      <c r="ET1033" s="552">
        <f t="shared" si="1032"/>
        <v>0</v>
      </c>
      <c r="EU1033" s="552">
        <f t="shared" si="1032"/>
        <v>0</v>
      </c>
      <c r="EV1033" s="552">
        <f t="shared" si="1032"/>
        <v>0</v>
      </c>
      <c r="EW1033" s="552">
        <f t="shared" si="1032"/>
        <v>0</v>
      </c>
      <c r="EX1033" s="552">
        <f t="shared" si="1032"/>
        <v>0</v>
      </c>
      <c r="EY1033" s="799">
        <f t="shared" si="527"/>
        <v>0</v>
      </c>
      <c r="EZ1033" s="640"/>
      <c r="FA1033" s="640"/>
      <c r="FB1033" s="640"/>
      <c r="FC1033" s="640"/>
      <c r="FD1033" s="640"/>
      <c r="FE1033" s="640"/>
      <c r="FF1033" s="640"/>
      <c r="FG1033" s="640"/>
      <c r="FH1033" s="640"/>
      <c r="FI1033" s="640"/>
      <c r="FJ1033" s="640"/>
      <c r="FK1033" s="640"/>
      <c r="FL1033" s="640"/>
    </row>
    <row r="1034" spans="1:168" x14ac:dyDescent="0.25">
      <c r="A1034" s="1492"/>
      <c r="B1034" s="624">
        <f t="shared" ref="B1034:D1037" si="1033">B68</f>
        <v>0</v>
      </c>
      <c r="C1034" s="624">
        <f t="shared" si="1033"/>
        <v>0</v>
      </c>
      <c r="D1034" s="624">
        <f t="shared" si="1033"/>
        <v>0</v>
      </c>
      <c r="E1034" s="1158">
        <f t="shared" si="1027"/>
        <v>0</v>
      </c>
      <c r="F1034" s="1158"/>
      <c r="G1034" s="1140"/>
      <c r="H1034" s="1140"/>
      <c r="I1034" s="552"/>
      <c r="J1034" s="552">
        <f t="shared" ref="J1034:AO1034" si="1034">J68*J$338</f>
        <v>0</v>
      </c>
      <c r="K1034" s="552">
        <f t="shared" si="1034"/>
        <v>0</v>
      </c>
      <c r="L1034" s="552">
        <f t="shared" si="1034"/>
        <v>0</v>
      </c>
      <c r="M1034" s="552">
        <f t="shared" si="1034"/>
        <v>0</v>
      </c>
      <c r="N1034" s="552">
        <f t="shared" si="1034"/>
        <v>0</v>
      </c>
      <c r="O1034" s="552">
        <f t="shared" si="1034"/>
        <v>0</v>
      </c>
      <c r="P1034" s="552">
        <f t="shared" si="1034"/>
        <v>0</v>
      </c>
      <c r="Q1034" s="552">
        <f t="shared" si="1034"/>
        <v>0</v>
      </c>
      <c r="R1034" s="552">
        <f t="shared" si="1034"/>
        <v>0</v>
      </c>
      <c r="S1034" s="552">
        <f t="shared" si="1034"/>
        <v>0</v>
      </c>
      <c r="T1034" s="552">
        <f t="shared" si="1034"/>
        <v>0</v>
      </c>
      <c r="U1034" s="552">
        <f t="shared" si="1034"/>
        <v>0</v>
      </c>
      <c r="V1034" s="552">
        <f t="shared" si="1034"/>
        <v>0</v>
      </c>
      <c r="W1034" s="552">
        <f t="shared" si="1034"/>
        <v>0</v>
      </c>
      <c r="X1034" s="552">
        <f t="shared" si="1034"/>
        <v>0</v>
      </c>
      <c r="Y1034" s="552">
        <f t="shared" si="1034"/>
        <v>0</v>
      </c>
      <c r="Z1034" s="552">
        <f t="shared" si="1034"/>
        <v>0</v>
      </c>
      <c r="AA1034" s="552">
        <f t="shared" si="1034"/>
        <v>0</v>
      </c>
      <c r="AB1034" s="552">
        <f t="shared" si="1034"/>
        <v>0</v>
      </c>
      <c r="AC1034" s="552">
        <f t="shared" si="1034"/>
        <v>0</v>
      </c>
      <c r="AD1034" s="552">
        <f t="shared" si="1034"/>
        <v>0</v>
      </c>
      <c r="AE1034" s="552">
        <f t="shared" si="1034"/>
        <v>0</v>
      </c>
      <c r="AF1034" s="552">
        <f t="shared" si="1034"/>
        <v>0</v>
      </c>
      <c r="AG1034" s="552">
        <f t="shared" si="1034"/>
        <v>0</v>
      </c>
      <c r="AH1034" s="552">
        <f t="shared" si="1034"/>
        <v>0</v>
      </c>
      <c r="AI1034" s="552">
        <f t="shared" si="1034"/>
        <v>0</v>
      </c>
      <c r="AJ1034" s="552">
        <f t="shared" si="1034"/>
        <v>0</v>
      </c>
      <c r="AK1034" s="552">
        <f t="shared" si="1034"/>
        <v>0</v>
      </c>
      <c r="AL1034" s="552">
        <f t="shared" si="1034"/>
        <v>0</v>
      </c>
      <c r="AM1034" s="552">
        <f t="shared" si="1034"/>
        <v>0</v>
      </c>
      <c r="AN1034" s="552">
        <f t="shared" si="1034"/>
        <v>0</v>
      </c>
      <c r="AO1034" s="552">
        <f t="shared" si="1034"/>
        <v>0</v>
      </c>
      <c r="AP1034" s="552">
        <f t="shared" ref="AP1034:BU1034" si="1035">AP68*AP$338</f>
        <v>0</v>
      </c>
      <c r="AQ1034" s="552">
        <f t="shared" si="1035"/>
        <v>0</v>
      </c>
      <c r="AR1034" s="552">
        <f t="shared" si="1035"/>
        <v>0</v>
      </c>
      <c r="AS1034" s="552">
        <f t="shared" si="1035"/>
        <v>0</v>
      </c>
      <c r="AT1034" s="552">
        <f t="shared" si="1035"/>
        <v>0</v>
      </c>
      <c r="AU1034" s="552">
        <f t="shared" si="1035"/>
        <v>0</v>
      </c>
      <c r="AV1034" s="552">
        <f t="shared" si="1035"/>
        <v>0</v>
      </c>
      <c r="AW1034" s="552">
        <f t="shared" si="1035"/>
        <v>0</v>
      </c>
      <c r="AX1034" s="552">
        <f t="shared" si="1035"/>
        <v>0</v>
      </c>
      <c r="AY1034" s="552">
        <f t="shared" si="1035"/>
        <v>0</v>
      </c>
      <c r="AZ1034" s="552">
        <f t="shared" si="1035"/>
        <v>0</v>
      </c>
      <c r="BA1034" s="552">
        <f t="shared" si="1035"/>
        <v>0</v>
      </c>
      <c r="BB1034" s="552">
        <f t="shared" si="1035"/>
        <v>0</v>
      </c>
      <c r="BC1034" s="552">
        <f t="shared" si="1035"/>
        <v>0</v>
      </c>
      <c r="BD1034" s="552">
        <f t="shared" si="1035"/>
        <v>0</v>
      </c>
      <c r="BE1034" s="552">
        <f t="shared" si="1035"/>
        <v>0</v>
      </c>
      <c r="BF1034" s="552">
        <f t="shared" si="1035"/>
        <v>0</v>
      </c>
      <c r="BG1034" s="552">
        <f t="shared" si="1035"/>
        <v>0</v>
      </c>
      <c r="BH1034" s="552">
        <f t="shared" si="1035"/>
        <v>0</v>
      </c>
      <c r="BI1034" s="552">
        <f t="shared" si="1035"/>
        <v>0</v>
      </c>
      <c r="BJ1034" s="552">
        <f t="shared" si="1035"/>
        <v>0</v>
      </c>
      <c r="BK1034" s="552">
        <f t="shared" si="1035"/>
        <v>0</v>
      </c>
      <c r="BL1034" s="552">
        <f t="shared" si="1035"/>
        <v>0</v>
      </c>
      <c r="BM1034" s="552">
        <f t="shared" si="1035"/>
        <v>0</v>
      </c>
      <c r="BN1034" s="552">
        <f t="shared" si="1035"/>
        <v>0</v>
      </c>
      <c r="BO1034" s="552">
        <f t="shared" si="1035"/>
        <v>0</v>
      </c>
      <c r="BP1034" s="552">
        <f t="shared" si="1035"/>
        <v>0</v>
      </c>
      <c r="BQ1034" s="552">
        <f t="shared" si="1035"/>
        <v>0</v>
      </c>
      <c r="BR1034" s="552">
        <f t="shared" si="1035"/>
        <v>0</v>
      </c>
      <c r="BS1034" s="552">
        <f t="shared" si="1035"/>
        <v>0</v>
      </c>
      <c r="BT1034" s="552">
        <f t="shared" si="1035"/>
        <v>0</v>
      </c>
      <c r="BU1034" s="552">
        <f t="shared" si="1035"/>
        <v>0</v>
      </c>
      <c r="BV1034" s="552">
        <f t="shared" ref="BV1034:DA1034" si="1036">BV68*BV$338</f>
        <v>0</v>
      </c>
      <c r="BW1034" s="552">
        <f t="shared" si="1036"/>
        <v>0</v>
      </c>
      <c r="BX1034" s="552">
        <f t="shared" si="1036"/>
        <v>0</v>
      </c>
      <c r="BY1034" s="552">
        <f t="shared" si="1036"/>
        <v>0</v>
      </c>
      <c r="BZ1034" s="552">
        <f t="shared" si="1036"/>
        <v>0</v>
      </c>
      <c r="CA1034" s="552">
        <f t="shared" si="1036"/>
        <v>0</v>
      </c>
      <c r="CB1034" s="552">
        <f t="shared" si="1036"/>
        <v>0</v>
      </c>
      <c r="CC1034" s="552">
        <f t="shared" si="1036"/>
        <v>0</v>
      </c>
      <c r="CD1034" s="552">
        <f t="shared" si="1036"/>
        <v>0</v>
      </c>
      <c r="CE1034" s="552">
        <f t="shared" si="1036"/>
        <v>0</v>
      </c>
      <c r="CF1034" s="552">
        <f t="shared" si="1036"/>
        <v>0</v>
      </c>
      <c r="CG1034" s="552">
        <f t="shared" si="1036"/>
        <v>0</v>
      </c>
      <c r="CH1034" s="552">
        <f t="shared" si="1036"/>
        <v>0</v>
      </c>
      <c r="CI1034" s="552">
        <f t="shared" si="1036"/>
        <v>0</v>
      </c>
      <c r="CJ1034" s="552">
        <f t="shared" si="1036"/>
        <v>0</v>
      </c>
      <c r="CK1034" s="552">
        <f t="shared" si="1036"/>
        <v>0</v>
      </c>
      <c r="CL1034" s="552">
        <f t="shared" si="1036"/>
        <v>0</v>
      </c>
      <c r="CM1034" s="552">
        <f t="shared" si="1036"/>
        <v>0</v>
      </c>
      <c r="CN1034" s="552">
        <f t="shared" si="1036"/>
        <v>0</v>
      </c>
      <c r="CO1034" s="552">
        <f t="shared" si="1036"/>
        <v>0</v>
      </c>
      <c r="CP1034" s="552">
        <f t="shared" si="1036"/>
        <v>0</v>
      </c>
      <c r="CQ1034" s="552">
        <f t="shared" si="1036"/>
        <v>0</v>
      </c>
      <c r="CR1034" s="552">
        <f t="shared" si="1036"/>
        <v>0</v>
      </c>
      <c r="CS1034" s="552">
        <f t="shared" si="1036"/>
        <v>0</v>
      </c>
      <c r="CT1034" s="552">
        <f t="shared" si="1036"/>
        <v>0</v>
      </c>
      <c r="CU1034" s="552">
        <f t="shared" si="1036"/>
        <v>0</v>
      </c>
      <c r="CV1034" s="552">
        <f t="shared" si="1036"/>
        <v>0</v>
      </c>
      <c r="CW1034" s="552">
        <f t="shared" si="1036"/>
        <v>0</v>
      </c>
      <c r="CX1034" s="552">
        <f t="shared" si="1036"/>
        <v>0</v>
      </c>
      <c r="CY1034" s="552">
        <f t="shared" si="1036"/>
        <v>0</v>
      </c>
      <c r="CZ1034" s="552">
        <f t="shared" si="1036"/>
        <v>0</v>
      </c>
      <c r="DA1034" s="552">
        <f t="shared" si="1036"/>
        <v>0</v>
      </c>
      <c r="DB1034" s="552">
        <f t="shared" ref="DB1034:EG1034" si="1037">DB68*DB$338</f>
        <v>0</v>
      </c>
      <c r="DC1034" s="552">
        <f t="shared" si="1037"/>
        <v>0</v>
      </c>
      <c r="DD1034" s="552">
        <f t="shared" si="1037"/>
        <v>0</v>
      </c>
      <c r="DE1034" s="552">
        <f t="shared" si="1037"/>
        <v>0</v>
      </c>
      <c r="DF1034" s="552">
        <f t="shared" si="1037"/>
        <v>0</v>
      </c>
      <c r="DG1034" s="552">
        <f t="shared" si="1037"/>
        <v>0</v>
      </c>
      <c r="DH1034" s="552">
        <f t="shared" si="1037"/>
        <v>0</v>
      </c>
      <c r="DI1034" s="552">
        <f t="shared" si="1037"/>
        <v>0</v>
      </c>
      <c r="DJ1034" s="552">
        <f t="shared" si="1037"/>
        <v>0</v>
      </c>
      <c r="DK1034" s="552">
        <f t="shared" si="1037"/>
        <v>0</v>
      </c>
      <c r="DL1034" s="552">
        <f t="shared" si="1037"/>
        <v>0</v>
      </c>
      <c r="DM1034" s="552">
        <f t="shared" si="1037"/>
        <v>0</v>
      </c>
      <c r="DN1034" s="552">
        <f t="shared" si="1037"/>
        <v>0</v>
      </c>
      <c r="DO1034" s="552">
        <f t="shared" si="1037"/>
        <v>0</v>
      </c>
      <c r="DP1034" s="552">
        <f t="shared" si="1037"/>
        <v>0</v>
      </c>
      <c r="DQ1034" s="552">
        <f t="shared" si="1037"/>
        <v>0</v>
      </c>
      <c r="DR1034" s="552">
        <f t="shared" si="1037"/>
        <v>0</v>
      </c>
      <c r="DS1034" s="552">
        <f t="shared" si="1037"/>
        <v>0</v>
      </c>
      <c r="DT1034" s="552">
        <f t="shared" si="1037"/>
        <v>0</v>
      </c>
      <c r="DU1034" s="552">
        <f t="shared" si="1037"/>
        <v>0</v>
      </c>
      <c r="DV1034" s="552">
        <f t="shared" si="1037"/>
        <v>0</v>
      </c>
      <c r="DW1034" s="552">
        <f t="shared" si="1037"/>
        <v>0</v>
      </c>
      <c r="DX1034" s="552">
        <f t="shared" si="1037"/>
        <v>0</v>
      </c>
      <c r="DY1034" s="552">
        <f t="shared" si="1037"/>
        <v>0</v>
      </c>
      <c r="DZ1034" s="552">
        <f t="shared" si="1037"/>
        <v>0</v>
      </c>
      <c r="EA1034" s="552">
        <f t="shared" si="1037"/>
        <v>0</v>
      </c>
      <c r="EB1034" s="552">
        <f t="shared" si="1037"/>
        <v>0</v>
      </c>
      <c r="EC1034" s="552">
        <f t="shared" si="1037"/>
        <v>0</v>
      </c>
      <c r="ED1034" s="552">
        <f t="shared" si="1037"/>
        <v>0</v>
      </c>
      <c r="EE1034" s="552">
        <f t="shared" si="1037"/>
        <v>0</v>
      </c>
      <c r="EF1034" s="552">
        <f t="shared" si="1037"/>
        <v>0</v>
      </c>
      <c r="EG1034" s="552">
        <f t="shared" si="1037"/>
        <v>0</v>
      </c>
      <c r="EH1034" s="552">
        <f t="shared" ref="EH1034:EX1034" si="1038">EH68*EH$338</f>
        <v>0</v>
      </c>
      <c r="EI1034" s="552">
        <f t="shared" si="1038"/>
        <v>0</v>
      </c>
      <c r="EJ1034" s="552">
        <f t="shared" si="1038"/>
        <v>0</v>
      </c>
      <c r="EK1034" s="552">
        <f t="shared" si="1038"/>
        <v>0</v>
      </c>
      <c r="EL1034" s="552">
        <f t="shared" si="1038"/>
        <v>0</v>
      </c>
      <c r="EM1034" s="552">
        <f t="shared" si="1038"/>
        <v>0</v>
      </c>
      <c r="EN1034" s="552">
        <f t="shared" si="1038"/>
        <v>0</v>
      </c>
      <c r="EO1034" s="552">
        <f t="shared" si="1038"/>
        <v>0</v>
      </c>
      <c r="EP1034" s="552">
        <f t="shared" si="1038"/>
        <v>0</v>
      </c>
      <c r="EQ1034" s="552">
        <f t="shared" si="1038"/>
        <v>0</v>
      </c>
      <c r="ER1034" s="552">
        <f t="shared" si="1038"/>
        <v>0</v>
      </c>
      <c r="ES1034" s="552">
        <f t="shared" si="1038"/>
        <v>0</v>
      </c>
      <c r="ET1034" s="552">
        <f t="shared" si="1038"/>
        <v>0</v>
      </c>
      <c r="EU1034" s="552">
        <f t="shared" si="1038"/>
        <v>0</v>
      </c>
      <c r="EV1034" s="552">
        <f t="shared" si="1038"/>
        <v>0</v>
      </c>
      <c r="EW1034" s="552">
        <f t="shared" si="1038"/>
        <v>0</v>
      </c>
      <c r="EX1034" s="552">
        <f t="shared" si="1038"/>
        <v>0</v>
      </c>
      <c r="EY1034" s="799">
        <f t="shared" si="527"/>
        <v>0</v>
      </c>
      <c r="EZ1034" s="640"/>
      <c r="FA1034" s="640"/>
      <c r="FB1034" s="640"/>
      <c r="FC1034" s="640"/>
      <c r="FD1034" s="640"/>
      <c r="FE1034" s="640"/>
      <c r="FF1034" s="640"/>
      <c r="FG1034" s="640"/>
      <c r="FH1034" s="640"/>
      <c r="FI1034" s="640"/>
      <c r="FJ1034" s="640"/>
      <c r="FK1034" s="640"/>
      <c r="FL1034" s="640"/>
    </row>
    <row r="1035" spans="1:168" x14ac:dyDescent="0.25">
      <c r="A1035" s="1492"/>
      <c r="B1035" s="624">
        <f t="shared" si="1033"/>
        <v>0</v>
      </c>
      <c r="C1035" s="624">
        <f t="shared" si="1033"/>
        <v>0</v>
      </c>
      <c r="D1035" s="624">
        <f t="shared" si="1033"/>
        <v>0</v>
      </c>
      <c r="E1035" s="1158">
        <f t="shared" si="1027"/>
        <v>0</v>
      </c>
      <c r="F1035" s="1158"/>
      <c r="G1035" s="1140"/>
      <c r="H1035" s="1140"/>
      <c r="I1035" s="552"/>
      <c r="J1035" s="552">
        <f t="shared" ref="J1035:AO1035" si="1039">J69*J$338</f>
        <v>0</v>
      </c>
      <c r="K1035" s="552">
        <f t="shared" si="1039"/>
        <v>0</v>
      </c>
      <c r="L1035" s="552">
        <f t="shared" si="1039"/>
        <v>0</v>
      </c>
      <c r="M1035" s="552">
        <f t="shared" si="1039"/>
        <v>0</v>
      </c>
      <c r="N1035" s="552">
        <f t="shared" si="1039"/>
        <v>0</v>
      </c>
      <c r="O1035" s="552">
        <f t="shared" si="1039"/>
        <v>0</v>
      </c>
      <c r="P1035" s="552">
        <f t="shared" si="1039"/>
        <v>0</v>
      </c>
      <c r="Q1035" s="552">
        <f t="shared" si="1039"/>
        <v>0</v>
      </c>
      <c r="R1035" s="552">
        <f t="shared" si="1039"/>
        <v>0</v>
      </c>
      <c r="S1035" s="552">
        <f t="shared" si="1039"/>
        <v>0</v>
      </c>
      <c r="T1035" s="552">
        <f t="shared" si="1039"/>
        <v>0</v>
      </c>
      <c r="U1035" s="552">
        <f t="shared" si="1039"/>
        <v>0</v>
      </c>
      <c r="V1035" s="552">
        <f t="shared" si="1039"/>
        <v>0</v>
      </c>
      <c r="W1035" s="552">
        <f t="shared" si="1039"/>
        <v>0</v>
      </c>
      <c r="X1035" s="552">
        <f t="shared" si="1039"/>
        <v>0</v>
      </c>
      <c r="Y1035" s="552">
        <f t="shared" si="1039"/>
        <v>0</v>
      </c>
      <c r="Z1035" s="552">
        <f t="shared" si="1039"/>
        <v>0</v>
      </c>
      <c r="AA1035" s="552">
        <f t="shared" si="1039"/>
        <v>0</v>
      </c>
      <c r="AB1035" s="552">
        <f t="shared" si="1039"/>
        <v>0</v>
      </c>
      <c r="AC1035" s="552">
        <f t="shared" si="1039"/>
        <v>0</v>
      </c>
      <c r="AD1035" s="552">
        <f t="shared" si="1039"/>
        <v>0</v>
      </c>
      <c r="AE1035" s="552">
        <f t="shared" si="1039"/>
        <v>0</v>
      </c>
      <c r="AF1035" s="552">
        <f t="shared" si="1039"/>
        <v>0</v>
      </c>
      <c r="AG1035" s="552">
        <f t="shared" si="1039"/>
        <v>0</v>
      </c>
      <c r="AH1035" s="552">
        <f t="shared" si="1039"/>
        <v>0</v>
      </c>
      <c r="AI1035" s="552">
        <f t="shared" si="1039"/>
        <v>0</v>
      </c>
      <c r="AJ1035" s="552">
        <f t="shared" si="1039"/>
        <v>0</v>
      </c>
      <c r="AK1035" s="552">
        <f t="shared" si="1039"/>
        <v>0</v>
      </c>
      <c r="AL1035" s="552">
        <f t="shared" si="1039"/>
        <v>0</v>
      </c>
      <c r="AM1035" s="552">
        <f t="shared" si="1039"/>
        <v>0</v>
      </c>
      <c r="AN1035" s="552">
        <f t="shared" si="1039"/>
        <v>0</v>
      </c>
      <c r="AO1035" s="552">
        <f t="shared" si="1039"/>
        <v>0</v>
      </c>
      <c r="AP1035" s="552">
        <f t="shared" ref="AP1035:BU1035" si="1040">AP69*AP$338</f>
        <v>0</v>
      </c>
      <c r="AQ1035" s="552">
        <f t="shared" si="1040"/>
        <v>0</v>
      </c>
      <c r="AR1035" s="552">
        <f t="shared" si="1040"/>
        <v>0</v>
      </c>
      <c r="AS1035" s="552">
        <f t="shared" si="1040"/>
        <v>0</v>
      </c>
      <c r="AT1035" s="552">
        <f t="shared" si="1040"/>
        <v>0</v>
      </c>
      <c r="AU1035" s="552">
        <f t="shared" si="1040"/>
        <v>0</v>
      </c>
      <c r="AV1035" s="552">
        <f t="shared" si="1040"/>
        <v>0</v>
      </c>
      <c r="AW1035" s="552">
        <f t="shared" si="1040"/>
        <v>0</v>
      </c>
      <c r="AX1035" s="552">
        <f t="shared" si="1040"/>
        <v>0</v>
      </c>
      <c r="AY1035" s="552">
        <f t="shared" si="1040"/>
        <v>0</v>
      </c>
      <c r="AZ1035" s="552">
        <f t="shared" si="1040"/>
        <v>0</v>
      </c>
      <c r="BA1035" s="552">
        <f t="shared" si="1040"/>
        <v>0</v>
      </c>
      <c r="BB1035" s="552">
        <f t="shared" si="1040"/>
        <v>0</v>
      </c>
      <c r="BC1035" s="552">
        <f t="shared" si="1040"/>
        <v>0</v>
      </c>
      <c r="BD1035" s="552">
        <f t="shared" si="1040"/>
        <v>0</v>
      </c>
      <c r="BE1035" s="552">
        <f t="shared" si="1040"/>
        <v>0</v>
      </c>
      <c r="BF1035" s="552">
        <f t="shared" si="1040"/>
        <v>0</v>
      </c>
      <c r="BG1035" s="552">
        <f t="shared" si="1040"/>
        <v>0</v>
      </c>
      <c r="BH1035" s="552">
        <f t="shared" si="1040"/>
        <v>0</v>
      </c>
      <c r="BI1035" s="552">
        <f t="shared" si="1040"/>
        <v>0</v>
      </c>
      <c r="BJ1035" s="552">
        <f t="shared" si="1040"/>
        <v>0</v>
      </c>
      <c r="BK1035" s="552">
        <f t="shared" si="1040"/>
        <v>0</v>
      </c>
      <c r="BL1035" s="552">
        <f t="shared" si="1040"/>
        <v>0</v>
      </c>
      <c r="BM1035" s="552">
        <f t="shared" si="1040"/>
        <v>0</v>
      </c>
      <c r="BN1035" s="552">
        <f t="shared" si="1040"/>
        <v>0</v>
      </c>
      <c r="BO1035" s="552">
        <f t="shared" si="1040"/>
        <v>0</v>
      </c>
      <c r="BP1035" s="552">
        <f t="shared" si="1040"/>
        <v>0</v>
      </c>
      <c r="BQ1035" s="552">
        <f t="shared" si="1040"/>
        <v>0</v>
      </c>
      <c r="BR1035" s="552">
        <f t="shared" si="1040"/>
        <v>0</v>
      </c>
      <c r="BS1035" s="552">
        <f t="shared" si="1040"/>
        <v>0</v>
      </c>
      <c r="BT1035" s="552">
        <f t="shared" si="1040"/>
        <v>0</v>
      </c>
      <c r="BU1035" s="552">
        <f t="shared" si="1040"/>
        <v>0</v>
      </c>
      <c r="BV1035" s="552">
        <f t="shared" ref="BV1035:DA1035" si="1041">BV69*BV$338</f>
        <v>0</v>
      </c>
      <c r="BW1035" s="552">
        <f t="shared" si="1041"/>
        <v>0</v>
      </c>
      <c r="BX1035" s="552">
        <f t="shared" si="1041"/>
        <v>0</v>
      </c>
      <c r="BY1035" s="552">
        <f t="shared" si="1041"/>
        <v>0</v>
      </c>
      <c r="BZ1035" s="552">
        <f t="shared" si="1041"/>
        <v>0</v>
      </c>
      <c r="CA1035" s="552">
        <f t="shared" si="1041"/>
        <v>0</v>
      </c>
      <c r="CB1035" s="552">
        <f t="shared" si="1041"/>
        <v>0</v>
      </c>
      <c r="CC1035" s="552">
        <f t="shared" si="1041"/>
        <v>0</v>
      </c>
      <c r="CD1035" s="552">
        <f t="shared" si="1041"/>
        <v>0</v>
      </c>
      <c r="CE1035" s="552">
        <f t="shared" si="1041"/>
        <v>0</v>
      </c>
      <c r="CF1035" s="552">
        <f t="shared" si="1041"/>
        <v>0</v>
      </c>
      <c r="CG1035" s="552">
        <f t="shared" si="1041"/>
        <v>0</v>
      </c>
      <c r="CH1035" s="552">
        <f t="shared" si="1041"/>
        <v>0</v>
      </c>
      <c r="CI1035" s="552">
        <f t="shared" si="1041"/>
        <v>0</v>
      </c>
      <c r="CJ1035" s="552">
        <f t="shared" si="1041"/>
        <v>0</v>
      </c>
      <c r="CK1035" s="552">
        <f t="shared" si="1041"/>
        <v>0</v>
      </c>
      <c r="CL1035" s="552">
        <f t="shared" si="1041"/>
        <v>0</v>
      </c>
      <c r="CM1035" s="552">
        <f t="shared" si="1041"/>
        <v>0</v>
      </c>
      <c r="CN1035" s="552">
        <f t="shared" si="1041"/>
        <v>0</v>
      </c>
      <c r="CO1035" s="552">
        <f t="shared" si="1041"/>
        <v>0</v>
      </c>
      <c r="CP1035" s="552">
        <f t="shared" si="1041"/>
        <v>0</v>
      </c>
      <c r="CQ1035" s="552">
        <f t="shared" si="1041"/>
        <v>0</v>
      </c>
      <c r="CR1035" s="552">
        <f t="shared" si="1041"/>
        <v>0</v>
      </c>
      <c r="CS1035" s="552">
        <f t="shared" si="1041"/>
        <v>0</v>
      </c>
      <c r="CT1035" s="552">
        <f t="shared" si="1041"/>
        <v>0</v>
      </c>
      <c r="CU1035" s="552">
        <f t="shared" si="1041"/>
        <v>0</v>
      </c>
      <c r="CV1035" s="552">
        <f t="shared" si="1041"/>
        <v>0</v>
      </c>
      <c r="CW1035" s="552">
        <f t="shared" si="1041"/>
        <v>0</v>
      </c>
      <c r="CX1035" s="552">
        <f t="shared" si="1041"/>
        <v>0</v>
      </c>
      <c r="CY1035" s="552">
        <f t="shared" si="1041"/>
        <v>0</v>
      </c>
      <c r="CZ1035" s="552">
        <f t="shared" si="1041"/>
        <v>0</v>
      </c>
      <c r="DA1035" s="552">
        <f t="shared" si="1041"/>
        <v>0</v>
      </c>
      <c r="DB1035" s="552">
        <f t="shared" ref="DB1035:EG1035" si="1042">DB69*DB$338</f>
        <v>0</v>
      </c>
      <c r="DC1035" s="552">
        <f t="shared" si="1042"/>
        <v>0</v>
      </c>
      <c r="DD1035" s="552">
        <f t="shared" si="1042"/>
        <v>0</v>
      </c>
      <c r="DE1035" s="552">
        <f t="shared" si="1042"/>
        <v>0</v>
      </c>
      <c r="DF1035" s="552">
        <f t="shared" si="1042"/>
        <v>0</v>
      </c>
      <c r="DG1035" s="552">
        <f t="shared" si="1042"/>
        <v>0</v>
      </c>
      <c r="DH1035" s="552">
        <f t="shared" si="1042"/>
        <v>0</v>
      </c>
      <c r="DI1035" s="552">
        <f t="shared" si="1042"/>
        <v>0</v>
      </c>
      <c r="DJ1035" s="552">
        <f t="shared" si="1042"/>
        <v>0</v>
      </c>
      <c r="DK1035" s="552">
        <f t="shared" si="1042"/>
        <v>0</v>
      </c>
      <c r="DL1035" s="552">
        <f t="shared" si="1042"/>
        <v>0</v>
      </c>
      <c r="DM1035" s="552">
        <f t="shared" si="1042"/>
        <v>0</v>
      </c>
      <c r="DN1035" s="552">
        <f t="shared" si="1042"/>
        <v>0</v>
      </c>
      <c r="DO1035" s="552">
        <f t="shared" si="1042"/>
        <v>0</v>
      </c>
      <c r="DP1035" s="552">
        <f t="shared" si="1042"/>
        <v>0</v>
      </c>
      <c r="DQ1035" s="552">
        <f t="shared" si="1042"/>
        <v>0</v>
      </c>
      <c r="DR1035" s="552">
        <f t="shared" si="1042"/>
        <v>0</v>
      </c>
      <c r="DS1035" s="552">
        <f t="shared" si="1042"/>
        <v>0</v>
      </c>
      <c r="DT1035" s="552">
        <f t="shared" si="1042"/>
        <v>0</v>
      </c>
      <c r="DU1035" s="552">
        <f t="shared" si="1042"/>
        <v>0</v>
      </c>
      <c r="DV1035" s="552">
        <f t="shared" si="1042"/>
        <v>0</v>
      </c>
      <c r="DW1035" s="552">
        <f t="shared" si="1042"/>
        <v>0</v>
      </c>
      <c r="DX1035" s="552">
        <f t="shared" si="1042"/>
        <v>0</v>
      </c>
      <c r="DY1035" s="552">
        <f t="shared" si="1042"/>
        <v>0</v>
      </c>
      <c r="DZ1035" s="552">
        <f t="shared" si="1042"/>
        <v>0</v>
      </c>
      <c r="EA1035" s="552">
        <f t="shared" si="1042"/>
        <v>0</v>
      </c>
      <c r="EB1035" s="552">
        <f t="shared" si="1042"/>
        <v>0</v>
      </c>
      <c r="EC1035" s="552">
        <f t="shared" si="1042"/>
        <v>0</v>
      </c>
      <c r="ED1035" s="552">
        <f t="shared" si="1042"/>
        <v>0</v>
      </c>
      <c r="EE1035" s="552">
        <f t="shared" si="1042"/>
        <v>0</v>
      </c>
      <c r="EF1035" s="552">
        <f t="shared" si="1042"/>
        <v>0</v>
      </c>
      <c r="EG1035" s="552">
        <f t="shared" si="1042"/>
        <v>0</v>
      </c>
      <c r="EH1035" s="552">
        <f t="shared" ref="EH1035:EX1035" si="1043">EH69*EH$338</f>
        <v>0</v>
      </c>
      <c r="EI1035" s="552">
        <f t="shared" si="1043"/>
        <v>0</v>
      </c>
      <c r="EJ1035" s="552">
        <f t="shared" si="1043"/>
        <v>0</v>
      </c>
      <c r="EK1035" s="552">
        <f t="shared" si="1043"/>
        <v>0</v>
      </c>
      <c r="EL1035" s="552">
        <f t="shared" si="1043"/>
        <v>0</v>
      </c>
      <c r="EM1035" s="552">
        <f t="shared" si="1043"/>
        <v>0</v>
      </c>
      <c r="EN1035" s="552">
        <f t="shared" si="1043"/>
        <v>0</v>
      </c>
      <c r="EO1035" s="552">
        <f t="shared" si="1043"/>
        <v>0</v>
      </c>
      <c r="EP1035" s="552">
        <f t="shared" si="1043"/>
        <v>0</v>
      </c>
      <c r="EQ1035" s="552">
        <f t="shared" si="1043"/>
        <v>0</v>
      </c>
      <c r="ER1035" s="552">
        <f t="shared" si="1043"/>
        <v>0</v>
      </c>
      <c r="ES1035" s="552">
        <f t="shared" si="1043"/>
        <v>0</v>
      </c>
      <c r="ET1035" s="552">
        <f t="shared" si="1043"/>
        <v>0</v>
      </c>
      <c r="EU1035" s="552">
        <f t="shared" si="1043"/>
        <v>0</v>
      </c>
      <c r="EV1035" s="552">
        <f t="shared" si="1043"/>
        <v>0</v>
      </c>
      <c r="EW1035" s="552">
        <f t="shared" si="1043"/>
        <v>0</v>
      </c>
      <c r="EX1035" s="552">
        <f t="shared" si="1043"/>
        <v>0</v>
      </c>
      <c r="EY1035" s="799">
        <f t="shared" si="527"/>
        <v>0</v>
      </c>
      <c r="EZ1035" s="640"/>
      <c r="FA1035" s="640"/>
      <c r="FB1035" s="640"/>
      <c r="FC1035" s="640"/>
      <c r="FD1035" s="640"/>
      <c r="FE1035" s="640"/>
      <c r="FF1035" s="640"/>
      <c r="FG1035" s="640"/>
      <c r="FH1035" s="640"/>
      <c r="FI1035" s="640"/>
      <c r="FJ1035" s="640"/>
      <c r="FK1035" s="640"/>
      <c r="FL1035" s="640"/>
    </row>
    <row r="1036" spans="1:168" x14ac:dyDescent="0.25">
      <c r="A1036" s="1492"/>
      <c r="B1036" s="624">
        <f t="shared" si="1033"/>
        <v>0</v>
      </c>
      <c r="C1036" s="624">
        <f t="shared" si="1033"/>
        <v>0</v>
      </c>
      <c r="D1036" s="624">
        <f t="shared" si="1033"/>
        <v>0</v>
      </c>
      <c r="E1036" s="1158">
        <f t="shared" si="1027"/>
        <v>0</v>
      </c>
      <c r="F1036" s="1158"/>
      <c r="G1036" s="1140"/>
      <c r="H1036" s="1140"/>
      <c r="I1036" s="552"/>
      <c r="J1036" s="552">
        <f t="shared" ref="J1036:AO1036" si="1044">J70*J$338</f>
        <v>0</v>
      </c>
      <c r="K1036" s="552">
        <f t="shared" si="1044"/>
        <v>0</v>
      </c>
      <c r="L1036" s="552">
        <f t="shared" si="1044"/>
        <v>0</v>
      </c>
      <c r="M1036" s="552">
        <f t="shared" si="1044"/>
        <v>0</v>
      </c>
      <c r="N1036" s="552">
        <f t="shared" si="1044"/>
        <v>0</v>
      </c>
      <c r="O1036" s="552">
        <f t="shared" si="1044"/>
        <v>0</v>
      </c>
      <c r="P1036" s="552">
        <f t="shared" si="1044"/>
        <v>0</v>
      </c>
      <c r="Q1036" s="552">
        <f t="shared" si="1044"/>
        <v>0</v>
      </c>
      <c r="R1036" s="552">
        <f t="shared" si="1044"/>
        <v>0</v>
      </c>
      <c r="S1036" s="552">
        <f t="shared" si="1044"/>
        <v>0</v>
      </c>
      <c r="T1036" s="552">
        <f t="shared" si="1044"/>
        <v>0</v>
      </c>
      <c r="U1036" s="552">
        <f t="shared" si="1044"/>
        <v>0</v>
      </c>
      <c r="V1036" s="552">
        <f t="shared" si="1044"/>
        <v>0</v>
      </c>
      <c r="W1036" s="552">
        <f t="shared" si="1044"/>
        <v>0</v>
      </c>
      <c r="X1036" s="552">
        <f t="shared" si="1044"/>
        <v>0</v>
      </c>
      <c r="Y1036" s="552">
        <f t="shared" si="1044"/>
        <v>0</v>
      </c>
      <c r="Z1036" s="552">
        <f t="shared" si="1044"/>
        <v>0</v>
      </c>
      <c r="AA1036" s="552">
        <f t="shared" si="1044"/>
        <v>0</v>
      </c>
      <c r="AB1036" s="552">
        <f t="shared" si="1044"/>
        <v>0</v>
      </c>
      <c r="AC1036" s="552">
        <f t="shared" si="1044"/>
        <v>0</v>
      </c>
      <c r="AD1036" s="552">
        <f t="shared" si="1044"/>
        <v>0</v>
      </c>
      <c r="AE1036" s="552">
        <f t="shared" si="1044"/>
        <v>0</v>
      </c>
      <c r="AF1036" s="552">
        <f t="shared" si="1044"/>
        <v>0</v>
      </c>
      <c r="AG1036" s="552">
        <f t="shared" si="1044"/>
        <v>0</v>
      </c>
      <c r="AH1036" s="552">
        <f t="shared" si="1044"/>
        <v>0</v>
      </c>
      <c r="AI1036" s="552">
        <f t="shared" si="1044"/>
        <v>0</v>
      </c>
      <c r="AJ1036" s="552">
        <f t="shared" si="1044"/>
        <v>0</v>
      </c>
      <c r="AK1036" s="552">
        <f t="shared" si="1044"/>
        <v>0</v>
      </c>
      <c r="AL1036" s="552">
        <f t="shared" si="1044"/>
        <v>0</v>
      </c>
      <c r="AM1036" s="552">
        <f t="shared" si="1044"/>
        <v>0</v>
      </c>
      <c r="AN1036" s="552">
        <f t="shared" si="1044"/>
        <v>0</v>
      </c>
      <c r="AO1036" s="552">
        <f t="shared" si="1044"/>
        <v>0</v>
      </c>
      <c r="AP1036" s="552">
        <f t="shared" ref="AP1036:BU1036" si="1045">AP70*AP$338</f>
        <v>0</v>
      </c>
      <c r="AQ1036" s="552">
        <f t="shared" si="1045"/>
        <v>0</v>
      </c>
      <c r="AR1036" s="552">
        <f t="shared" si="1045"/>
        <v>0</v>
      </c>
      <c r="AS1036" s="552">
        <f t="shared" si="1045"/>
        <v>0</v>
      </c>
      <c r="AT1036" s="552">
        <f t="shared" si="1045"/>
        <v>0</v>
      </c>
      <c r="AU1036" s="552">
        <f t="shared" si="1045"/>
        <v>0</v>
      </c>
      <c r="AV1036" s="552">
        <f t="shared" si="1045"/>
        <v>0</v>
      </c>
      <c r="AW1036" s="552">
        <f t="shared" si="1045"/>
        <v>0</v>
      </c>
      <c r="AX1036" s="552">
        <f t="shared" si="1045"/>
        <v>0</v>
      </c>
      <c r="AY1036" s="552">
        <f t="shared" si="1045"/>
        <v>0</v>
      </c>
      <c r="AZ1036" s="552">
        <f t="shared" si="1045"/>
        <v>0</v>
      </c>
      <c r="BA1036" s="552">
        <f t="shared" si="1045"/>
        <v>0</v>
      </c>
      <c r="BB1036" s="552">
        <f t="shared" si="1045"/>
        <v>0</v>
      </c>
      <c r="BC1036" s="552">
        <f t="shared" si="1045"/>
        <v>0</v>
      </c>
      <c r="BD1036" s="552">
        <f t="shared" si="1045"/>
        <v>0</v>
      </c>
      <c r="BE1036" s="552">
        <f t="shared" si="1045"/>
        <v>0</v>
      </c>
      <c r="BF1036" s="552">
        <f t="shared" si="1045"/>
        <v>0</v>
      </c>
      <c r="BG1036" s="552">
        <f t="shared" si="1045"/>
        <v>0</v>
      </c>
      <c r="BH1036" s="552">
        <f t="shared" si="1045"/>
        <v>0</v>
      </c>
      <c r="BI1036" s="552">
        <f t="shared" si="1045"/>
        <v>0</v>
      </c>
      <c r="BJ1036" s="552">
        <f t="shared" si="1045"/>
        <v>0</v>
      </c>
      <c r="BK1036" s="552">
        <f t="shared" si="1045"/>
        <v>0</v>
      </c>
      <c r="BL1036" s="552">
        <f t="shared" si="1045"/>
        <v>0</v>
      </c>
      <c r="BM1036" s="552">
        <f t="shared" si="1045"/>
        <v>0</v>
      </c>
      <c r="BN1036" s="552">
        <f t="shared" si="1045"/>
        <v>0</v>
      </c>
      <c r="BO1036" s="552">
        <f t="shared" si="1045"/>
        <v>0</v>
      </c>
      <c r="BP1036" s="552">
        <f t="shared" si="1045"/>
        <v>0</v>
      </c>
      <c r="BQ1036" s="552">
        <f t="shared" si="1045"/>
        <v>0</v>
      </c>
      <c r="BR1036" s="552">
        <f t="shared" si="1045"/>
        <v>0</v>
      </c>
      <c r="BS1036" s="552">
        <f t="shared" si="1045"/>
        <v>0</v>
      </c>
      <c r="BT1036" s="552">
        <f t="shared" si="1045"/>
        <v>0</v>
      </c>
      <c r="BU1036" s="552">
        <f t="shared" si="1045"/>
        <v>0</v>
      </c>
      <c r="BV1036" s="552">
        <f t="shared" ref="BV1036:DA1036" si="1046">BV70*BV$338</f>
        <v>0</v>
      </c>
      <c r="BW1036" s="552">
        <f t="shared" si="1046"/>
        <v>0</v>
      </c>
      <c r="BX1036" s="552">
        <f t="shared" si="1046"/>
        <v>0</v>
      </c>
      <c r="BY1036" s="552">
        <f t="shared" si="1046"/>
        <v>0</v>
      </c>
      <c r="BZ1036" s="552">
        <f t="shared" si="1046"/>
        <v>0</v>
      </c>
      <c r="CA1036" s="552">
        <f t="shared" si="1046"/>
        <v>0</v>
      </c>
      <c r="CB1036" s="552">
        <f t="shared" si="1046"/>
        <v>0</v>
      </c>
      <c r="CC1036" s="552">
        <f t="shared" si="1046"/>
        <v>0</v>
      </c>
      <c r="CD1036" s="552">
        <f t="shared" si="1046"/>
        <v>0</v>
      </c>
      <c r="CE1036" s="552">
        <f t="shared" si="1046"/>
        <v>0</v>
      </c>
      <c r="CF1036" s="552">
        <f t="shared" si="1046"/>
        <v>0</v>
      </c>
      <c r="CG1036" s="552">
        <f t="shared" si="1046"/>
        <v>0</v>
      </c>
      <c r="CH1036" s="552">
        <f t="shared" si="1046"/>
        <v>0</v>
      </c>
      <c r="CI1036" s="552">
        <f t="shared" si="1046"/>
        <v>0</v>
      </c>
      <c r="CJ1036" s="552">
        <f t="shared" si="1046"/>
        <v>0</v>
      </c>
      <c r="CK1036" s="552">
        <f t="shared" si="1046"/>
        <v>0</v>
      </c>
      <c r="CL1036" s="552">
        <f t="shared" si="1046"/>
        <v>0</v>
      </c>
      <c r="CM1036" s="552">
        <f t="shared" si="1046"/>
        <v>0</v>
      </c>
      <c r="CN1036" s="552">
        <f t="shared" si="1046"/>
        <v>0</v>
      </c>
      <c r="CO1036" s="552">
        <f t="shared" si="1046"/>
        <v>0</v>
      </c>
      <c r="CP1036" s="552">
        <f t="shared" si="1046"/>
        <v>0</v>
      </c>
      <c r="CQ1036" s="552">
        <f t="shared" si="1046"/>
        <v>0</v>
      </c>
      <c r="CR1036" s="552">
        <f t="shared" si="1046"/>
        <v>0</v>
      </c>
      <c r="CS1036" s="552">
        <f t="shared" si="1046"/>
        <v>0</v>
      </c>
      <c r="CT1036" s="552">
        <f t="shared" si="1046"/>
        <v>0</v>
      </c>
      <c r="CU1036" s="552">
        <f t="shared" si="1046"/>
        <v>0</v>
      </c>
      <c r="CV1036" s="552">
        <f t="shared" si="1046"/>
        <v>0</v>
      </c>
      <c r="CW1036" s="552">
        <f t="shared" si="1046"/>
        <v>0</v>
      </c>
      <c r="CX1036" s="552">
        <f t="shared" si="1046"/>
        <v>0</v>
      </c>
      <c r="CY1036" s="552">
        <f t="shared" si="1046"/>
        <v>0</v>
      </c>
      <c r="CZ1036" s="552">
        <f t="shared" si="1046"/>
        <v>0</v>
      </c>
      <c r="DA1036" s="552">
        <f t="shared" si="1046"/>
        <v>0</v>
      </c>
      <c r="DB1036" s="552">
        <f t="shared" ref="DB1036:EG1036" si="1047">DB70*DB$338</f>
        <v>0</v>
      </c>
      <c r="DC1036" s="552">
        <f t="shared" si="1047"/>
        <v>0</v>
      </c>
      <c r="DD1036" s="552">
        <f t="shared" si="1047"/>
        <v>0</v>
      </c>
      <c r="DE1036" s="552">
        <f t="shared" si="1047"/>
        <v>0</v>
      </c>
      <c r="DF1036" s="552">
        <f t="shared" si="1047"/>
        <v>0</v>
      </c>
      <c r="DG1036" s="552">
        <f t="shared" si="1047"/>
        <v>0</v>
      </c>
      <c r="DH1036" s="552">
        <f t="shared" si="1047"/>
        <v>0</v>
      </c>
      <c r="DI1036" s="552">
        <f t="shared" si="1047"/>
        <v>0</v>
      </c>
      <c r="DJ1036" s="552">
        <f t="shared" si="1047"/>
        <v>0</v>
      </c>
      <c r="DK1036" s="552">
        <f t="shared" si="1047"/>
        <v>0</v>
      </c>
      <c r="DL1036" s="552">
        <f t="shared" si="1047"/>
        <v>0</v>
      </c>
      <c r="DM1036" s="552">
        <f t="shared" si="1047"/>
        <v>0</v>
      </c>
      <c r="DN1036" s="552">
        <f t="shared" si="1047"/>
        <v>0</v>
      </c>
      <c r="DO1036" s="552">
        <f t="shared" si="1047"/>
        <v>0</v>
      </c>
      <c r="DP1036" s="552">
        <f t="shared" si="1047"/>
        <v>0</v>
      </c>
      <c r="DQ1036" s="552">
        <f t="shared" si="1047"/>
        <v>0</v>
      </c>
      <c r="DR1036" s="552">
        <f t="shared" si="1047"/>
        <v>0</v>
      </c>
      <c r="DS1036" s="552">
        <f t="shared" si="1047"/>
        <v>0</v>
      </c>
      <c r="DT1036" s="552">
        <f t="shared" si="1047"/>
        <v>0</v>
      </c>
      <c r="DU1036" s="552">
        <f t="shared" si="1047"/>
        <v>0</v>
      </c>
      <c r="DV1036" s="552">
        <f t="shared" si="1047"/>
        <v>0</v>
      </c>
      <c r="DW1036" s="552">
        <f t="shared" si="1047"/>
        <v>0</v>
      </c>
      <c r="DX1036" s="552">
        <f t="shared" si="1047"/>
        <v>0</v>
      </c>
      <c r="DY1036" s="552">
        <f t="shared" si="1047"/>
        <v>0</v>
      </c>
      <c r="DZ1036" s="552">
        <f t="shared" si="1047"/>
        <v>0</v>
      </c>
      <c r="EA1036" s="552">
        <f t="shared" si="1047"/>
        <v>0</v>
      </c>
      <c r="EB1036" s="552">
        <f t="shared" si="1047"/>
        <v>0</v>
      </c>
      <c r="EC1036" s="552">
        <f t="shared" si="1047"/>
        <v>0</v>
      </c>
      <c r="ED1036" s="552">
        <f t="shared" si="1047"/>
        <v>0</v>
      </c>
      <c r="EE1036" s="552">
        <f t="shared" si="1047"/>
        <v>0</v>
      </c>
      <c r="EF1036" s="552">
        <f t="shared" si="1047"/>
        <v>0</v>
      </c>
      <c r="EG1036" s="552">
        <f t="shared" si="1047"/>
        <v>0</v>
      </c>
      <c r="EH1036" s="552">
        <f t="shared" ref="EH1036:EX1036" si="1048">EH70*EH$338</f>
        <v>0</v>
      </c>
      <c r="EI1036" s="552">
        <f t="shared" si="1048"/>
        <v>0</v>
      </c>
      <c r="EJ1036" s="552">
        <f t="shared" si="1048"/>
        <v>0</v>
      </c>
      <c r="EK1036" s="552">
        <f t="shared" si="1048"/>
        <v>0</v>
      </c>
      <c r="EL1036" s="552">
        <f t="shared" si="1048"/>
        <v>0</v>
      </c>
      <c r="EM1036" s="552">
        <f t="shared" si="1048"/>
        <v>0</v>
      </c>
      <c r="EN1036" s="552">
        <f t="shared" si="1048"/>
        <v>0</v>
      </c>
      <c r="EO1036" s="552">
        <f t="shared" si="1048"/>
        <v>0</v>
      </c>
      <c r="EP1036" s="552">
        <f t="shared" si="1048"/>
        <v>0</v>
      </c>
      <c r="EQ1036" s="552">
        <f t="shared" si="1048"/>
        <v>0</v>
      </c>
      <c r="ER1036" s="552">
        <f t="shared" si="1048"/>
        <v>0</v>
      </c>
      <c r="ES1036" s="552">
        <f t="shared" si="1048"/>
        <v>0</v>
      </c>
      <c r="ET1036" s="552">
        <f t="shared" si="1048"/>
        <v>0</v>
      </c>
      <c r="EU1036" s="552">
        <f t="shared" si="1048"/>
        <v>0</v>
      </c>
      <c r="EV1036" s="552">
        <f t="shared" si="1048"/>
        <v>0</v>
      </c>
      <c r="EW1036" s="552">
        <f t="shared" si="1048"/>
        <v>0</v>
      </c>
      <c r="EX1036" s="552">
        <f t="shared" si="1048"/>
        <v>0</v>
      </c>
      <c r="EY1036" s="799">
        <f t="shared" si="527"/>
        <v>0</v>
      </c>
      <c r="EZ1036" s="640"/>
      <c r="FA1036" s="640"/>
      <c r="FB1036" s="640"/>
      <c r="FC1036" s="640"/>
      <c r="FD1036" s="640"/>
      <c r="FE1036" s="640"/>
      <c r="FF1036" s="640"/>
      <c r="FG1036" s="640"/>
      <c r="FH1036" s="640"/>
      <c r="FI1036" s="640"/>
      <c r="FJ1036" s="640"/>
      <c r="FK1036" s="640"/>
      <c r="FL1036" s="640"/>
    </row>
    <row r="1037" spans="1:168" x14ac:dyDescent="0.25">
      <c r="A1037" s="1493"/>
      <c r="B1037" s="624">
        <f t="shared" si="1033"/>
        <v>0</v>
      </c>
      <c r="C1037" s="624">
        <f t="shared" si="1033"/>
        <v>0</v>
      </c>
      <c r="D1037" s="624">
        <f t="shared" si="1033"/>
        <v>0</v>
      </c>
      <c r="E1037" s="1158">
        <f t="shared" si="1027"/>
        <v>0</v>
      </c>
      <c r="F1037" s="1158"/>
      <c r="G1037" s="1140"/>
      <c r="H1037" s="1140"/>
      <c r="I1037" s="552"/>
      <c r="J1037" s="552">
        <f>J71*J$338</f>
        <v>0</v>
      </c>
      <c r="K1037" s="552">
        <f t="shared" ref="K1037:BV1037" si="1049">K71*K$338</f>
        <v>0</v>
      </c>
      <c r="L1037" s="552">
        <f t="shared" si="1049"/>
        <v>0</v>
      </c>
      <c r="M1037" s="552">
        <f t="shared" si="1049"/>
        <v>0</v>
      </c>
      <c r="N1037" s="552">
        <f t="shared" si="1049"/>
        <v>0</v>
      </c>
      <c r="O1037" s="552">
        <f t="shared" si="1049"/>
        <v>0</v>
      </c>
      <c r="P1037" s="552">
        <f t="shared" si="1049"/>
        <v>0</v>
      </c>
      <c r="Q1037" s="552">
        <f t="shared" si="1049"/>
        <v>0</v>
      </c>
      <c r="R1037" s="552">
        <f t="shared" si="1049"/>
        <v>0</v>
      </c>
      <c r="S1037" s="552">
        <f t="shared" si="1049"/>
        <v>0</v>
      </c>
      <c r="T1037" s="552">
        <f t="shared" si="1049"/>
        <v>0</v>
      </c>
      <c r="U1037" s="552">
        <f t="shared" si="1049"/>
        <v>0</v>
      </c>
      <c r="V1037" s="552">
        <f t="shared" si="1049"/>
        <v>0</v>
      </c>
      <c r="W1037" s="552">
        <f t="shared" si="1049"/>
        <v>0</v>
      </c>
      <c r="X1037" s="552">
        <f t="shared" si="1049"/>
        <v>0</v>
      </c>
      <c r="Y1037" s="552">
        <f t="shared" si="1049"/>
        <v>0</v>
      </c>
      <c r="Z1037" s="552">
        <f t="shared" si="1049"/>
        <v>0</v>
      </c>
      <c r="AA1037" s="552">
        <f t="shared" si="1049"/>
        <v>0</v>
      </c>
      <c r="AB1037" s="552">
        <f t="shared" si="1049"/>
        <v>0</v>
      </c>
      <c r="AC1037" s="552">
        <f t="shared" si="1049"/>
        <v>0</v>
      </c>
      <c r="AD1037" s="552">
        <f t="shared" si="1049"/>
        <v>0</v>
      </c>
      <c r="AE1037" s="552">
        <f t="shared" si="1049"/>
        <v>0</v>
      </c>
      <c r="AF1037" s="552">
        <f t="shared" si="1049"/>
        <v>0</v>
      </c>
      <c r="AG1037" s="552">
        <f t="shared" si="1049"/>
        <v>0</v>
      </c>
      <c r="AH1037" s="552">
        <f t="shared" si="1049"/>
        <v>0</v>
      </c>
      <c r="AI1037" s="552">
        <f t="shared" si="1049"/>
        <v>0</v>
      </c>
      <c r="AJ1037" s="552">
        <f t="shared" si="1049"/>
        <v>0</v>
      </c>
      <c r="AK1037" s="552">
        <f t="shared" si="1049"/>
        <v>0</v>
      </c>
      <c r="AL1037" s="552">
        <f t="shared" si="1049"/>
        <v>0</v>
      </c>
      <c r="AM1037" s="552">
        <f t="shared" si="1049"/>
        <v>0</v>
      </c>
      <c r="AN1037" s="552">
        <f t="shared" si="1049"/>
        <v>0</v>
      </c>
      <c r="AO1037" s="552">
        <f t="shared" si="1049"/>
        <v>0</v>
      </c>
      <c r="AP1037" s="552">
        <f t="shared" si="1049"/>
        <v>0</v>
      </c>
      <c r="AQ1037" s="552">
        <f t="shared" si="1049"/>
        <v>0</v>
      </c>
      <c r="AR1037" s="552">
        <f t="shared" si="1049"/>
        <v>0</v>
      </c>
      <c r="AS1037" s="552">
        <f t="shared" si="1049"/>
        <v>0</v>
      </c>
      <c r="AT1037" s="552">
        <f t="shared" si="1049"/>
        <v>0</v>
      </c>
      <c r="AU1037" s="552">
        <f t="shared" si="1049"/>
        <v>0</v>
      </c>
      <c r="AV1037" s="552">
        <f t="shared" si="1049"/>
        <v>0</v>
      </c>
      <c r="AW1037" s="552">
        <f t="shared" si="1049"/>
        <v>0</v>
      </c>
      <c r="AX1037" s="552">
        <f t="shared" si="1049"/>
        <v>0</v>
      </c>
      <c r="AY1037" s="552">
        <f t="shared" si="1049"/>
        <v>0</v>
      </c>
      <c r="AZ1037" s="552">
        <f t="shared" si="1049"/>
        <v>0</v>
      </c>
      <c r="BA1037" s="552">
        <f t="shared" si="1049"/>
        <v>0</v>
      </c>
      <c r="BB1037" s="552">
        <f t="shared" si="1049"/>
        <v>0</v>
      </c>
      <c r="BC1037" s="552">
        <f t="shared" si="1049"/>
        <v>0</v>
      </c>
      <c r="BD1037" s="552">
        <f t="shared" si="1049"/>
        <v>0</v>
      </c>
      <c r="BE1037" s="552">
        <f t="shared" si="1049"/>
        <v>0</v>
      </c>
      <c r="BF1037" s="552">
        <f t="shared" si="1049"/>
        <v>0</v>
      </c>
      <c r="BG1037" s="552">
        <f t="shared" si="1049"/>
        <v>0</v>
      </c>
      <c r="BH1037" s="552">
        <f t="shared" si="1049"/>
        <v>0</v>
      </c>
      <c r="BI1037" s="552">
        <f t="shared" si="1049"/>
        <v>0</v>
      </c>
      <c r="BJ1037" s="552">
        <f t="shared" si="1049"/>
        <v>0</v>
      </c>
      <c r="BK1037" s="552">
        <f t="shared" si="1049"/>
        <v>0</v>
      </c>
      <c r="BL1037" s="552">
        <f t="shared" si="1049"/>
        <v>0</v>
      </c>
      <c r="BM1037" s="552">
        <f t="shared" si="1049"/>
        <v>0</v>
      </c>
      <c r="BN1037" s="552">
        <f t="shared" si="1049"/>
        <v>0</v>
      </c>
      <c r="BO1037" s="552">
        <f t="shared" si="1049"/>
        <v>0</v>
      </c>
      <c r="BP1037" s="552">
        <f t="shared" si="1049"/>
        <v>0</v>
      </c>
      <c r="BQ1037" s="552">
        <f t="shared" si="1049"/>
        <v>0</v>
      </c>
      <c r="BR1037" s="552">
        <f t="shared" si="1049"/>
        <v>0</v>
      </c>
      <c r="BS1037" s="552">
        <f t="shared" si="1049"/>
        <v>0</v>
      </c>
      <c r="BT1037" s="552">
        <f t="shared" si="1049"/>
        <v>0</v>
      </c>
      <c r="BU1037" s="552">
        <f t="shared" si="1049"/>
        <v>0</v>
      </c>
      <c r="BV1037" s="552">
        <f t="shared" si="1049"/>
        <v>0</v>
      </c>
      <c r="BW1037" s="552">
        <f t="shared" ref="BW1037:DB1037" si="1050">BW71*BW$338</f>
        <v>0</v>
      </c>
      <c r="BX1037" s="552">
        <f t="shared" si="1050"/>
        <v>0</v>
      </c>
      <c r="BY1037" s="552">
        <f t="shared" si="1050"/>
        <v>0</v>
      </c>
      <c r="BZ1037" s="552">
        <f t="shared" si="1050"/>
        <v>0</v>
      </c>
      <c r="CA1037" s="552">
        <f t="shared" si="1050"/>
        <v>0</v>
      </c>
      <c r="CB1037" s="552">
        <f t="shared" si="1050"/>
        <v>0</v>
      </c>
      <c r="CC1037" s="552">
        <f t="shared" si="1050"/>
        <v>0</v>
      </c>
      <c r="CD1037" s="552">
        <f t="shared" si="1050"/>
        <v>0</v>
      </c>
      <c r="CE1037" s="552">
        <f t="shared" si="1050"/>
        <v>0</v>
      </c>
      <c r="CF1037" s="552">
        <f t="shared" si="1050"/>
        <v>0</v>
      </c>
      <c r="CG1037" s="552">
        <f t="shared" si="1050"/>
        <v>0</v>
      </c>
      <c r="CH1037" s="552">
        <f t="shared" si="1050"/>
        <v>0</v>
      </c>
      <c r="CI1037" s="552">
        <f t="shared" si="1050"/>
        <v>0</v>
      </c>
      <c r="CJ1037" s="552">
        <f t="shared" si="1050"/>
        <v>0</v>
      </c>
      <c r="CK1037" s="552">
        <f t="shared" si="1050"/>
        <v>0</v>
      </c>
      <c r="CL1037" s="552">
        <f t="shared" si="1050"/>
        <v>0</v>
      </c>
      <c r="CM1037" s="552">
        <f t="shared" si="1050"/>
        <v>0</v>
      </c>
      <c r="CN1037" s="552">
        <f t="shared" si="1050"/>
        <v>0</v>
      </c>
      <c r="CO1037" s="552">
        <f t="shared" si="1050"/>
        <v>0</v>
      </c>
      <c r="CP1037" s="552">
        <f t="shared" si="1050"/>
        <v>0</v>
      </c>
      <c r="CQ1037" s="552">
        <f t="shared" si="1050"/>
        <v>0</v>
      </c>
      <c r="CR1037" s="552">
        <f t="shared" si="1050"/>
        <v>0</v>
      </c>
      <c r="CS1037" s="552">
        <f t="shared" si="1050"/>
        <v>0</v>
      </c>
      <c r="CT1037" s="552">
        <f t="shared" si="1050"/>
        <v>0</v>
      </c>
      <c r="CU1037" s="552">
        <f t="shared" si="1050"/>
        <v>0</v>
      </c>
      <c r="CV1037" s="552">
        <f t="shared" si="1050"/>
        <v>0</v>
      </c>
      <c r="CW1037" s="552">
        <f t="shared" si="1050"/>
        <v>0</v>
      </c>
      <c r="CX1037" s="552">
        <f t="shared" si="1050"/>
        <v>0</v>
      </c>
      <c r="CY1037" s="552">
        <f t="shared" si="1050"/>
        <v>0</v>
      </c>
      <c r="CZ1037" s="552">
        <f t="shared" si="1050"/>
        <v>0</v>
      </c>
      <c r="DA1037" s="552">
        <f t="shared" si="1050"/>
        <v>0</v>
      </c>
      <c r="DB1037" s="552">
        <f t="shared" si="1050"/>
        <v>0</v>
      </c>
      <c r="DC1037" s="552">
        <f t="shared" ref="DC1037:EH1037" si="1051">DC71*DC$338</f>
        <v>0</v>
      </c>
      <c r="DD1037" s="552">
        <f t="shared" si="1051"/>
        <v>0</v>
      </c>
      <c r="DE1037" s="552">
        <f t="shared" si="1051"/>
        <v>0</v>
      </c>
      <c r="DF1037" s="552">
        <f t="shared" si="1051"/>
        <v>0</v>
      </c>
      <c r="DG1037" s="552">
        <f t="shared" si="1051"/>
        <v>0</v>
      </c>
      <c r="DH1037" s="552">
        <f t="shared" si="1051"/>
        <v>0</v>
      </c>
      <c r="DI1037" s="552">
        <f t="shared" si="1051"/>
        <v>0</v>
      </c>
      <c r="DJ1037" s="552">
        <f t="shared" si="1051"/>
        <v>0</v>
      </c>
      <c r="DK1037" s="552">
        <f t="shared" si="1051"/>
        <v>0</v>
      </c>
      <c r="DL1037" s="552">
        <f t="shared" si="1051"/>
        <v>0</v>
      </c>
      <c r="DM1037" s="552">
        <f t="shared" si="1051"/>
        <v>0</v>
      </c>
      <c r="DN1037" s="552">
        <f t="shared" si="1051"/>
        <v>0</v>
      </c>
      <c r="DO1037" s="552">
        <f t="shared" si="1051"/>
        <v>0</v>
      </c>
      <c r="DP1037" s="552">
        <f t="shared" si="1051"/>
        <v>0</v>
      </c>
      <c r="DQ1037" s="552">
        <f t="shared" si="1051"/>
        <v>0</v>
      </c>
      <c r="DR1037" s="552">
        <f t="shared" si="1051"/>
        <v>0</v>
      </c>
      <c r="DS1037" s="552">
        <f t="shared" si="1051"/>
        <v>0</v>
      </c>
      <c r="DT1037" s="552">
        <f t="shared" si="1051"/>
        <v>0</v>
      </c>
      <c r="DU1037" s="552">
        <f t="shared" si="1051"/>
        <v>0</v>
      </c>
      <c r="DV1037" s="552">
        <f t="shared" si="1051"/>
        <v>0</v>
      </c>
      <c r="DW1037" s="552">
        <f t="shared" si="1051"/>
        <v>0</v>
      </c>
      <c r="DX1037" s="552">
        <f t="shared" si="1051"/>
        <v>0</v>
      </c>
      <c r="DY1037" s="552">
        <f t="shared" si="1051"/>
        <v>0</v>
      </c>
      <c r="DZ1037" s="552">
        <f t="shared" si="1051"/>
        <v>0</v>
      </c>
      <c r="EA1037" s="552">
        <f t="shared" si="1051"/>
        <v>0</v>
      </c>
      <c r="EB1037" s="552">
        <f t="shared" si="1051"/>
        <v>0</v>
      </c>
      <c r="EC1037" s="552">
        <f t="shared" si="1051"/>
        <v>0</v>
      </c>
      <c r="ED1037" s="552">
        <f t="shared" si="1051"/>
        <v>0</v>
      </c>
      <c r="EE1037" s="552">
        <f t="shared" si="1051"/>
        <v>0</v>
      </c>
      <c r="EF1037" s="552">
        <f t="shared" si="1051"/>
        <v>0</v>
      </c>
      <c r="EG1037" s="552">
        <f t="shared" si="1051"/>
        <v>0</v>
      </c>
      <c r="EH1037" s="552">
        <f t="shared" si="1051"/>
        <v>0</v>
      </c>
      <c r="EI1037" s="552">
        <f t="shared" ref="EI1037:EX1037" si="1052">EI71*EI$338</f>
        <v>0</v>
      </c>
      <c r="EJ1037" s="552">
        <f t="shared" si="1052"/>
        <v>0</v>
      </c>
      <c r="EK1037" s="552">
        <f t="shared" si="1052"/>
        <v>0</v>
      </c>
      <c r="EL1037" s="552">
        <f t="shared" si="1052"/>
        <v>0</v>
      </c>
      <c r="EM1037" s="552">
        <f t="shared" si="1052"/>
        <v>0</v>
      </c>
      <c r="EN1037" s="552">
        <f t="shared" si="1052"/>
        <v>0</v>
      </c>
      <c r="EO1037" s="552">
        <f t="shared" si="1052"/>
        <v>0</v>
      </c>
      <c r="EP1037" s="552">
        <f t="shared" si="1052"/>
        <v>0</v>
      </c>
      <c r="EQ1037" s="552">
        <f t="shared" si="1052"/>
        <v>0</v>
      </c>
      <c r="ER1037" s="552">
        <f t="shared" si="1052"/>
        <v>0</v>
      </c>
      <c r="ES1037" s="552">
        <f t="shared" si="1052"/>
        <v>0</v>
      </c>
      <c r="ET1037" s="552">
        <f t="shared" si="1052"/>
        <v>0</v>
      </c>
      <c r="EU1037" s="552">
        <f t="shared" si="1052"/>
        <v>0</v>
      </c>
      <c r="EV1037" s="552">
        <f t="shared" si="1052"/>
        <v>0</v>
      </c>
      <c r="EW1037" s="552">
        <f t="shared" si="1052"/>
        <v>0</v>
      </c>
      <c r="EX1037" s="552">
        <f t="shared" si="1052"/>
        <v>0</v>
      </c>
      <c r="EY1037" s="799">
        <f t="shared" si="527"/>
        <v>0</v>
      </c>
      <c r="EZ1037" s="640"/>
      <c r="FA1037" s="640"/>
      <c r="FB1037" s="640"/>
      <c r="FC1037" s="640"/>
      <c r="FD1037" s="640"/>
      <c r="FE1037" s="640"/>
      <c r="FF1037" s="640"/>
      <c r="FG1037" s="640"/>
      <c r="FH1037" s="640"/>
      <c r="FI1037" s="640"/>
      <c r="FJ1037" s="640"/>
      <c r="FK1037" s="640"/>
      <c r="FL1037" s="640"/>
    </row>
    <row r="1038" spans="1:168" x14ac:dyDescent="0.25">
      <c r="A1038" s="254"/>
      <c r="B1038" s="625" t="s">
        <v>801</v>
      </c>
      <c r="C1038" s="1135"/>
      <c r="D1038" s="1138">
        <f>SUM(D1033:D1037)</f>
        <v>0</v>
      </c>
      <c r="E1038" s="1138">
        <f t="shared" ref="E1038:H1038" si="1053">SUM(E1033:E1037)</f>
        <v>0</v>
      </c>
      <c r="F1038" s="1138"/>
      <c r="G1038" s="1135">
        <f t="shared" si="1053"/>
        <v>0</v>
      </c>
      <c r="H1038" s="1135">
        <f t="shared" si="1053"/>
        <v>0</v>
      </c>
      <c r="I1038" s="554"/>
      <c r="J1038" s="554">
        <f>SUM(J1033:J1037)</f>
        <v>0</v>
      </c>
      <c r="K1038" s="554">
        <f t="shared" ref="K1038:BV1038" si="1054">SUM(K1033:K1037)</f>
        <v>0</v>
      </c>
      <c r="L1038" s="554">
        <f t="shared" si="1054"/>
        <v>0</v>
      </c>
      <c r="M1038" s="554">
        <f t="shared" si="1054"/>
        <v>0</v>
      </c>
      <c r="N1038" s="554">
        <f t="shared" si="1054"/>
        <v>0</v>
      </c>
      <c r="O1038" s="554">
        <f t="shared" si="1054"/>
        <v>0</v>
      </c>
      <c r="P1038" s="554">
        <f t="shared" si="1054"/>
        <v>0</v>
      </c>
      <c r="Q1038" s="554">
        <f t="shared" si="1054"/>
        <v>0</v>
      </c>
      <c r="R1038" s="554">
        <f t="shared" si="1054"/>
        <v>0</v>
      </c>
      <c r="S1038" s="554">
        <f t="shared" si="1054"/>
        <v>0</v>
      </c>
      <c r="T1038" s="554">
        <f t="shared" si="1054"/>
        <v>0</v>
      </c>
      <c r="U1038" s="554">
        <f t="shared" si="1054"/>
        <v>0</v>
      </c>
      <c r="V1038" s="554">
        <f t="shared" si="1054"/>
        <v>0</v>
      </c>
      <c r="W1038" s="554">
        <f t="shared" si="1054"/>
        <v>0</v>
      </c>
      <c r="X1038" s="554">
        <f t="shared" si="1054"/>
        <v>0</v>
      </c>
      <c r="Y1038" s="554">
        <f t="shared" si="1054"/>
        <v>0</v>
      </c>
      <c r="Z1038" s="554">
        <f t="shared" si="1054"/>
        <v>0</v>
      </c>
      <c r="AA1038" s="554">
        <f t="shared" si="1054"/>
        <v>0</v>
      </c>
      <c r="AB1038" s="554">
        <f t="shared" si="1054"/>
        <v>0</v>
      </c>
      <c r="AC1038" s="554">
        <f t="shared" si="1054"/>
        <v>0</v>
      </c>
      <c r="AD1038" s="554">
        <f t="shared" si="1054"/>
        <v>0</v>
      </c>
      <c r="AE1038" s="554">
        <f t="shared" si="1054"/>
        <v>0</v>
      </c>
      <c r="AF1038" s="554">
        <f t="shared" si="1054"/>
        <v>0</v>
      </c>
      <c r="AG1038" s="554">
        <f t="shared" si="1054"/>
        <v>0</v>
      </c>
      <c r="AH1038" s="554">
        <f t="shared" si="1054"/>
        <v>0</v>
      </c>
      <c r="AI1038" s="554">
        <f t="shared" si="1054"/>
        <v>0</v>
      </c>
      <c r="AJ1038" s="554">
        <f t="shared" si="1054"/>
        <v>0</v>
      </c>
      <c r="AK1038" s="554">
        <f t="shared" si="1054"/>
        <v>0</v>
      </c>
      <c r="AL1038" s="554">
        <f t="shared" si="1054"/>
        <v>0</v>
      </c>
      <c r="AM1038" s="554">
        <f t="shared" si="1054"/>
        <v>0</v>
      </c>
      <c r="AN1038" s="554">
        <f t="shared" si="1054"/>
        <v>0</v>
      </c>
      <c r="AO1038" s="554">
        <f t="shared" si="1054"/>
        <v>0</v>
      </c>
      <c r="AP1038" s="554">
        <f t="shared" si="1054"/>
        <v>0</v>
      </c>
      <c r="AQ1038" s="554">
        <f t="shared" si="1054"/>
        <v>0</v>
      </c>
      <c r="AR1038" s="554">
        <f t="shared" si="1054"/>
        <v>0</v>
      </c>
      <c r="AS1038" s="554">
        <f t="shared" si="1054"/>
        <v>0</v>
      </c>
      <c r="AT1038" s="554">
        <f t="shared" si="1054"/>
        <v>0</v>
      </c>
      <c r="AU1038" s="554">
        <f t="shared" si="1054"/>
        <v>0</v>
      </c>
      <c r="AV1038" s="554">
        <f t="shared" si="1054"/>
        <v>0</v>
      </c>
      <c r="AW1038" s="554">
        <f t="shared" si="1054"/>
        <v>0</v>
      </c>
      <c r="AX1038" s="554">
        <f t="shared" si="1054"/>
        <v>0</v>
      </c>
      <c r="AY1038" s="554">
        <f t="shared" si="1054"/>
        <v>0</v>
      </c>
      <c r="AZ1038" s="554">
        <f t="shared" si="1054"/>
        <v>0</v>
      </c>
      <c r="BA1038" s="554">
        <f t="shared" si="1054"/>
        <v>0</v>
      </c>
      <c r="BB1038" s="554">
        <f t="shared" si="1054"/>
        <v>0</v>
      </c>
      <c r="BC1038" s="554">
        <f t="shared" si="1054"/>
        <v>0</v>
      </c>
      <c r="BD1038" s="554">
        <f t="shared" si="1054"/>
        <v>0</v>
      </c>
      <c r="BE1038" s="554">
        <f t="shared" si="1054"/>
        <v>0</v>
      </c>
      <c r="BF1038" s="554">
        <f t="shared" si="1054"/>
        <v>0</v>
      </c>
      <c r="BG1038" s="554">
        <f t="shared" si="1054"/>
        <v>0</v>
      </c>
      <c r="BH1038" s="554">
        <f t="shared" si="1054"/>
        <v>0</v>
      </c>
      <c r="BI1038" s="554">
        <f t="shared" si="1054"/>
        <v>0</v>
      </c>
      <c r="BJ1038" s="554">
        <f t="shared" si="1054"/>
        <v>0</v>
      </c>
      <c r="BK1038" s="554">
        <f t="shared" si="1054"/>
        <v>0</v>
      </c>
      <c r="BL1038" s="554">
        <f t="shared" si="1054"/>
        <v>0</v>
      </c>
      <c r="BM1038" s="554">
        <f t="shared" si="1054"/>
        <v>0</v>
      </c>
      <c r="BN1038" s="554">
        <f t="shared" si="1054"/>
        <v>0</v>
      </c>
      <c r="BO1038" s="554">
        <f t="shared" si="1054"/>
        <v>0</v>
      </c>
      <c r="BP1038" s="554">
        <f t="shared" si="1054"/>
        <v>0</v>
      </c>
      <c r="BQ1038" s="554">
        <f t="shared" si="1054"/>
        <v>0</v>
      </c>
      <c r="BR1038" s="554">
        <f t="shared" si="1054"/>
        <v>0</v>
      </c>
      <c r="BS1038" s="554">
        <f t="shared" si="1054"/>
        <v>0</v>
      </c>
      <c r="BT1038" s="554">
        <f t="shared" si="1054"/>
        <v>0</v>
      </c>
      <c r="BU1038" s="554">
        <f t="shared" si="1054"/>
        <v>0</v>
      </c>
      <c r="BV1038" s="554">
        <f t="shared" si="1054"/>
        <v>0</v>
      </c>
      <c r="BW1038" s="554">
        <f t="shared" ref="BW1038:EH1038" si="1055">SUM(BW1033:BW1037)</f>
        <v>0</v>
      </c>
      <c r="BX1038" s="554">
        <f t="shared" si="1055"/>
        <v>0</v>
      </c>
      <c r="BY1038" s="554">
        <f t="shared" si="1055"/>
        <v>0</v>
      </c>
      <c r="BZ1038" s="554">
        <f t="shared" si="1055"/>
        <v>0</v>
      </c>
      <c r="CA1038" s="554">
        <f t="shared" si="1055"/>
        <v>0</v>
      </c>
      <c r="CB1038" s="554">
        <f t="shared" si="1055"/>
        <v>0</v>
      </c>
      <c r="CC1038" s="554">
        <f t="shared" si="1055"/>
        <v>0</v>
      </c>
      <c r="CD1038" s="554">
        <f t="shared" si="1055"/>
        <v>0</v>
      </c>
      <c r="CE1038" s="554">
        <f t="shared" si="1055"/>
        <v>0</v>
      </c>
      <c r="CF1038" s="554">
        <f t="shared" si="1055"/>
        <v>0</v>
      </c>
      <c r="CG1038" s="554">
        <f t="shared" si="1055"/>
        <v>0</v>
      </c>
      <c r="CH1038" s="554">
        <f t="shared" si="1055"/>
        <v>0</v>
      </c>
      <c r="CI1038" s="554">
        <f t="shared" si="1055"/>
        <v>0</v>
      </c>
      <c r="CJ1038" s="554">
        <f t="shared" si="1055"/>
        <v>0</v>
      </c>
      <c r="CK1038" s="554">
        <f t="shared" si="1055"/>
        <v>0</v>
      </c>
      <c r="CL1038" s="554">
        <f t="shared" si="1055"/>
        <v>0</v>
      </c>
      <c r="CM1038" s="554">
        <f t="shared" si="1055"/>
        <v>0</v>
      </c>
      <c r="CN1038" s="554">
        <f t="shared" si="1055"/>
        <v>0</v>
      </c>
      <c r="CO1038" s="554">
        <f t="shared" si="1055"/>
        <v>0</v>
      </c>
      <c r="CP1038" s="554">
        <f t="shared" si="1055"/>
        <v>0</v>
      </c>
      <c r="CQ1038" s="554">
        <f t="shared" si="1055"/>
        <v>0</v>
      </c>
      <c r="CR1038" s="554">
        <f t="shared" si="1055"/>
        <v>0</v>
      </c>
      <c r="CS1038" s="554">
        <f t="shared" si="1055"/>
        <v>0</v>
      </c>
      <c r="CT1038" s="554">
        <f t="shared" si="1055"/>
        <v>0</v>
      </c>
      <c r="CU1038" s="554">
        <f t="shared" si="1055"/>
        <v>0</v>
      </c>
      <c r="CV1038" s="554">
        <f t="shared" si="1055"/>
        <v>0</v>
      </c>
      <c r="CW1038" s="554">
        <f t="shared" si="1055"/>
        <v>0</v>
      </c>
      <c r="CX1038" s="554">
        <f t="shared" si="1055"/>
        <v>0</v>
      </c>
      <c r="CY1038" s="554">
        <f t="shared" si="1055"/>
        <v>0</v>
      </c>
      <c r="CZ1038" s="554">
        <f t="shared" si="1055"/>
        <v>0</v>
      </c>
      <c r="DA1038" s="554">
        <f t="shared" si="1055"/>
        <v>0</v>
      </c>
      <c r="DB1038" s="554">
        <f t="shared" si="1055"/>
        <v>0</v>
      </c>
      <c r="DC1038" s="554">
        <f t="shared" si="1055"/>
        <v>0</v>
      </c>
      <c r="DD1038" s="554">
        <f t="shared" si="1055"/>
        <v>0</v>
      </c>
      <c r="DE1038" s="554">
        <f t="shared" si="1055"/>
        <v>0</v>
      </c>
      <c r="DF1038" s="554">
        <f t="shared" si="1055"/>
        <v>0</v>
      </c>
      <c r="DG1038" s="554">
        <f t="shared" si="1055"/>
        <v>0</v>
      </c>
      <c r="DH1038" s="554">
        <f t="shared" si="1055"/>
        <v>0</v>
      </c>
      <c r="DI1038" s="554">
        <f t="shared" si="1055"/>
        <v>0</v>
      </c>
      <c r="DJ1038" s="554">
        <f t="shared" si="1055"/>
        <v>0</v>
      </c>
      <c r="DK1038" s="554">
        <f t="shared" si="1055"/>
        <v>0</v>
      </c>
      <c r="DL1038" s="554">
        <f t="shared" si="1055"/>
        <v>0</v>
      </c>
      <c r="DM1038" s="554">
        <f t="shared" si="1055"/>
        <v>0</v>
      </c>
      <c r="DN1038" s="554">
        <f t="shared" si="1055"/>
        <v>0</v>
      </c>
      <c r="DO1038" s="554">
        <f t="shared" si="1055"/>
        <v>0</v>
      </c>
      <c r="DP1038" s="554">
        <f t="shared" si="1055"/>
        <v>0</v>
      </c>
      <c r="DQ1038" s="554">
        <f t="shared" si="1055"/>
        <v>0</v>
      </c>
      <c r="DR1038" s="554">
        <f t="shared" si="1055"/>
        <v>0</v>
      </c>
      <c r="DS1038" s="554">
        <f t="shared" si="1055"/>
        <v>0</v>
      </c>
      <c r="DT1038" s="554">
        <f t="shared" si="1055"/>
        <v>0</v>
      </c>
      <c r="DU1038" s="554">
        <f t="shared" si="1055"/>
        <v>0</v>
      </c>
      <c r="DV1038" s="554">
        <f t="shared" si="1055"/>
        <v>0</v>
      </c>
      <c r="DW1038" s="554">
        <f t="shared" si="1055"/>
        <v>0</v>
      </c>
      <c r="DX1038" s="554">
        <f t="shared" si="1055"/>
        <v>0</v>
      </c>
      <c r="DY1038" s="554">
        <f t="shared" si="1055"/>
        <v>0</v>
      </c>
      <c r="DZ1038" s="554">
        <f t="shared" si="1055"/>
        <v>0</v>
      </c>
      <c r="EA1038" s="554">
        <f t="shared" si="1055"/>
        <v>0</v>
      </c>
      <c r="EB1038" s="554">
        <f t="shared" si="1055"/>
        <v>0</v>
      </c>
      <c r="EC1038" s="554">
        <f t="shared" si="1055"/>
        <v>0</v>
      </c>
      <c r="ED1038" s="554">
        <f t="shared" si="1055"/>
        <v>0</v>
      </c>
      <c r="EE1038" s="554">
        <f t="shared" si="1055"/>
        <v>0</v>
      </c>
      <c r="EF1038" s="554">
        <f t="shared" si="1055"/>
        <v>0</v>
      </c>
      <c r="EG1038" s="554">
        <f t="shared" si="1055"/>
        <v>0</v>
      </c>
      <c r="EH1038" s="554">
        <f t="shared" si="1055"/>
        <v>0</v>
      </c>
      <c r="EI1038" s="554">
        <f t="shared" ref="EI1038:EX1038" si="1056">SUM(EI1033:EI1037)</f>
        <v>0</v>
      </c>
      <c r="EJ1038" s="554">
        <f t="shared" si="1056"/>
        <v>0</v>
      </c>
      <c r="EK1038" s="554">
        <f t="shared" si="1056"/>
        <v>0</v>
      </c>
      <c r="EL1038" s="554">
        <f t="shared" si="1056"/>
        <v>0</v>
      </c>
      <c r="EM1038" s="554">
        <f t="shared" si="1056"/>
        <v>0</v>
      </c>
      <c r="EN1038" s="554">
        <f t="shared" si="1056"/>
        <v>0</v>
      </c>
      <c r="EO1038" s="554">
        <f t="shared" si="1056"/>
        <v>0</v>
      </c>
      <c r="EP1038" s="554">
        <f t="shared" si="1056"/>
        <v>0</v>
      </c>
      <c r="EQ1038" s="554">
        <f t="shared" si="1056"/>
        <v>0</v>
      </c>
      <c r="ER1038" s="554">
        <f t="shared" si="1056"/>
        <v>0</v>
      </c>
      <c r="ES1038" s="554">
        <f t="shared" si="1056"/>
        <v>0</v>
      </c>
      <c r="ET1038" s="554">
        <f t="shared" si="1056"/>
        <v>0</v>
      </c>
      <c r="EU1038" s="554">
        <f t="shared" si="1056"/>
        <v>0</v>
      </c>
      <c r="EV1038" s="554">
        <f t="shared" si="1056"/>
        <v>0</v>
      </c>
      <c r="EW1038" s="554">
        <f t="shared" si="1056"/>
        <v>0</v>
      </c>
      <c r="EX1038" s="554">
        <f t="shared" si="1056"/>
        <v>0</v>
      </c>
      <c r="EY1038" s="554">
        <f t="shared" ref="EY1038:FL1038" si="1057">SUM(EY1033:EY1037)</f>
        <v>0</v>
      </c>
      <c r="EZ1038" s="1135">
        <f t="shared" si="1057"/>
        <v>0</v>
      </c>
      <c r="FA1038" s="1135">
        <f t="shared" si="1057"/>
        <v>0</v>
      </c>
      <c r="FB1038" s="1135">
        <f t="shared" si="1057"/>
        <v>0</v>
      </c>
      <c r="FC1038" s="1135">
        <f t="shared" si="1057"/>
        <v>0</v>
      </c>
      <c r="FD1038" s="1135">
        <f t="shared" si="1057"/>
        <v>0</v>
      </c>
      <c r="FE1038" s="1135">
        <f t="shared" si="1057"/>
        <v>0</v>
      </c>
      <c r="FF1038" s="1135">
        <f t="shared" si="1057"/>
        <v>0</v>
      </c>
      <c r="FG1038" s="1135">
        <f t="shared" si="1057"/>
        <v>0</v>
      </c>
      <c r="FH1038" s="1135">
        <f t="shared" si="1057"/>
        <v>0</v>
      </c>
      <c r="FI1038" s="1135">
        <f t="shared" si="1057"/>
        <v>0</v>
      </c>
      <c r="FJ1038" s="1135">
        <f t="shared" si="1057"/>
        <v>0</v>
      </c>
      <c r="FK1038" s="1135">
        <f t="shared" si="1057"/>
        <v>0</v>
      </c>
      <c r="FL1038" s="1135">
        <f t="shared" si="1057"/>
        <v>0</v>
      </c>
    </row>
    <row r="1039" spans="1:168" x14ac:dyDescent="0.25">
      <c r="A1039" s="254"/>
      <c r="B1039" s="625" t="s">
        <v>209</v>
      </c>
      <c r="C1039" s="1135"/>
      <c r="D1039" s="1138">
        <f>D1022+D1032+D1038</f>
        <v>42.34</v>
      </c>
      <c r="E1039" s="1138">
        <f t="shared" ref="E1039:H1039" si="1058">E1022+E1032+E1038</f>
        <v>193.7</v>
      </c>
      <c r="F1039" s="1138"/>
      <c r="G1039" s="1135">
        <f t="shared" si="1058"/>
        <v>0</v>
      </c>
      <c r="H1039" s="1135">
        <f t="shared" si="1058"/>
        <v>0</v>
      </c>
      <c r="I1039" s="554"/>
      <c r="J1039" s="554">
        <f>J1022+J1032+J1038</f>
        <v>0</v>
      </c>
      <c r="K1039" s="554">
        <f t="shared" ref="K1039:BV1039" si="1059">K1022+K1032+K1038</f>
        <v>0</v>
      </c>
      <c r="L1039" s="554">
        <f t="shared" si="1059"/>
        <v>0</v>
      </c>
      <c r="M1039" s="554">
        <f t="shared" si="1059"/>
        <v>27.2</v>
      </c>
      <c r="N1039" s="554">
        <f t="shared" si="1059"/>
        <v>0</v>
      </c>
      <c r="O1039" s="554">
        <f t="shared" si="1059"/>
        <v>0</v>
      </c>
      <c r="P1039" s="554">
        <f t="shared" si="1059"/>
        <v>0.3</v>
      </c>
      <c r="Q1039" s="554">
        <f t="shared" si="1059"/>
        <v>0</v>
      </c>
      <c r="R1039" s="554">
        <f t="shared" si="1059"/>
        <v>0</v>
      </c>
      <c r="S1039" s="554">
        <f t="shared" si="1059"/>
        <v>0</v>
      </c>
      <c r="T1039" s="554">
        <f t="shared" si="1059"/>
        <v>0</v>
      </c>
      <c r="U1039" s="554">
        <f t="shared" si="1059"/>
        <v>6.47</v>
      </c>
      <c r="V1039" s="554">
        <f t="shared" si="1059"/>
        <v>18.36</v>
      </c>
      <c r="W1039" s="554">
        <f t="shared" si="1059"/>
        <v>0</v>
      </c>
      <c r="X1039" s="554">
        <f t="shared" si="1059"/>
        <v>0</v>
      </c>
      <c r="Y1039" s="554">
        <f t="shared" si="1059"/>
        <v>2.75</v>
      </c>
      <c r="Z1039" s="554">
        <f t="shared" si="1059"/>
        <v>0</v>
      </c>
      <c r="AA1039" s="554">
        <f t="shared" si="1059"/>
        <v>0</v>
      </c>
      <c r="AB1039" s="554">
        <f t="shared" si="1059"/>
        <v>0</v>
      </c>
      <c r="AC1039" s="554">
        <f t="shared" si="1059"/>
        <v>0</v>
      </c>
      <c r="AD1039" s="554">
        <f t="shared" si="1059"/>
        <v>0</v>
      </c>
      <c r="AE1039" s="554">
        <f t="shared" si="1059"/>
        <v>15.9</v>
      </c>
      <c r="AF1039" s="554">
        <f t="shared" si="1059"/>
        <v>1.99</v>
      </c>
      <c r="AG1039" s="554">
        <f t="shared" si="1059"/>
        <v>0</v>
      </c>
      <c r="AH1039" s="554">
        <f t="shared" si="1059"/>
        <v>10.210000000000001</v>
      </c>
      <c r="AI1039" s="554">
        <f t="shared" si="1059"/>
        <v>0</v>
      </c>
      <c r="AJ1039" s="554">
        <f t="shared" si="1059"/>
        <v>0</v>
      </c>
      <c r="AK1039" s="554">
        <f t="shared" si="1059"/>
        <v>0.96</v>
      </c>
      <c r="AL1039" s="554">
        <f t="shared" si="1059"/>
        <v>0.6</v>
      </c>
      <c r="AM1039" s="554">
        <f t="shared" si="1059"/>
        <v>0</v>
      </c>
      <c r="AN1039" s="554">
        <f t="shared" si="1059"/>
        <v>6.36</v>
      </c>
      <c r="AO1039" s="554">
        <f t="shared" si="1059"/>
        <v>0</v>
      </c>
      <c r="AP1039" s="554">
        <f t="shared" si="1059"/>
        <v>0</v>
      </c>
      <c r="AQ1039" s="554">
        <f t="shared" si="1059"/>
        <v>0.63</v>
      </c>
      <c r="AR1039" s="554">
        <f t="shared" si="1059"/>
        <v>0</v>
      </c>
      <c r="AS1039" s="554">
        <f t="shared" si="1059"/>
        <v>0</v>
      </c>
      <c r="AT1039" s="554">
        <f t="shared" si="1059"/>
        <v>0</v>
      </c>
      <c r="AU1039" s="554">
        <f t="shared" si="1059"/>
        <v>1.8</v>
      </c>
      <c r="AV1039" s="554">
        <f t="shared" si="1059"/>
        <v>0</v>
      </c>
      <c r="AW1039" s="554">
        <f t="shared" si="1059"/>
        <v>0</v>
      </c>
      <c r="AX1039" s="554">
        <f t="shared" si="1059"/>
        <v>0</v>
      </c>
      <c r="AY1039" s="554">
        <f t="shared" si="1059"/>
        <v>0</v>
      </c>
      <c r="AZ1039" s="554">
        <f t="shared" si="1059"/>
        <v>0</v>
      </c>
      <c r="BA1039" s="554">
        <f t="shared" si="1059"/>
        <v>0</v>
      </c>
      <c r="BB1039" s="554">
        <f t="shared" si="1059"/>
        <v>0</v>
      </c>
      <c r="BC1039" s="554">
        <f t="shared" si="1059"/>
        <v>0</v>
      </c>
      <c r="BD1039" s="554">
        <f t="shared" si="1059"/>
        <v>0</v>
      </c>
      <c r="BE1039" s="554">
        <f t="shared" si="1059"/>
        <v>0</v>
      </c>
      <c r="BF1039" s="554">
        <f t="shared" si="1059"/>
        <v>0</v>
      </c>
      <c r="BG1039" s="554">
        <f t="shared" si="1059"/>
        <v>0</v>
      </c>
      <c r="BH1039" s="554">
        <f t="shared" si="1059"/>
        <v>0</v>
      </c>
      <c r="BI1039" s="554">
        <f t="shared" si="1059"/>
        <v>0</v>
      </c>
      <c r="BJ1039" s="554">
        <f t="shared" si="1059"/>
        <v>0</v>
      </c>
      <c r="BK1039" s="554">
        <f t="shared" si="1059"/>
        <v>0</v>
      </c>
      <c r="BL1039" s="554">
        <f t="shared" si="1059"/>
        <v>0</v>
      </c>
      <c r="BM1039" s="554">
        <f t="shared" si="1059"/>
        <v>0</v>
      </c>
      <c r="BN1039" s="554">
        <f t="shared" si="1059"/>
        <v>0</v>
      </c>
      <c r="BO1039" s="554">
        <f t="shared" si="1059"/>
        <v>0</v>
      </c>
      <c r="BP1039" s="554">
        <f t="shared" si="1059"/>
        <v>0</v>
      </c>
      <c r="BQ1039" s="554">
        <f t="shared" si="1059"/>
        <v>0</v>
      </c>
      <c r="BR1039" s="554">
        <f t="shared" si="1059"/>
        <v>4.13</v>
      </c>
      <c r="BS1039" s="554">
        <f t="shared" si="1059"/>
        <v>7.0000000000000007E-2</v>
      </c>
      <c r="BT1039" s="554">
        <f t="shared" si="1059"/>
        <v>0</v>
      </c>
      <c r="BU1039" s="554">
        <f t="shared" si="1059"/>
        <v>0</v>
      </c>
      <c r="BV1039" s="554">
        <f t="shared" si="1059"/>
        <v>0</v>
      </c>
      <c r="BW1039" s="554">
        <f t="shared" ref="BW1039:EH1039" si="1060">BW1022+BW1032+BW1038</f>
        <v>0</v>
      </c>
      <c r="BX1039" s="554">
        <f t="shared" si="1060"/>
        <v>0</v>
      </c>
      <c r="BY1039" s="554">
        <f t="shared" si="1060"/>
        <v>0</v>
      </c>
      <c r="BZ1039" s="554">
        <f t="shared" si="1060"/>
        <v>0</v>
      </c>
      <c r="CA1039" s="554">
        <f t="shared" si="1060"/>
        <v>0</v>
      </c>
      <c r="CB1039" s="554">
        <f t="shared" si="1060"/>
        <v>0.98</v>
      </c>
      <c r="CC1039" s="554">
        <f t="shared" si="1060"/>
        <v>0</v>
      </c>
      <c r="CD1039" s="554">
        <f t="shared" si="1060"/>
        <v>0</v>
      </c>
      <c r="CE1039" s="554">
        <f t="shared" si="1060"/>
        <v>0</v>
      </c>
      <c r="CF1039" s="554">
        <f t="shared" si="1060"/>
        <v>1.2</v>
      </c>
      <c r="CG1039" s="554">
        <f t="shared" si="1060"/>
        <v>0</v>
      </c>
      <c r="CH1039" s="554">
        <f t="shared" si="1060"/>
        <v>0</v>
      </c>
      <c r="CI1039" s="554">
        <f t="shared" si="1060"/>
        <v>0</v>
      </c>
      <c r="CJ1039" s="554">
        <f t="shared" si="1060"/>
        <v>0</v>
      </c>
      <c r="CK1039" s="554">
        <f t="shared" si="1060"/>
        <v>0</v>
      </c>
      <c r="CL1039" s="554">
        <f t="shared" si="1060"/>
        <v>0</v>
      </c>
      <c r="CM1039" s="554">
        <f t="shared" si="1060"/>
        <v>0</v>
      </c>
      <c r="CN1039" s="554">
        <f t="shared" si="1060"/>
        <v>0</v>
      </c>
      <c r="CO1039" s="554">
        <f t="shared" si="1060"/>
        <v>0</v>
      </c>
      <c r="CP1039" s="554">
        <f t="shared" si="1060"/>
        <v>0</v>
      </c>
      <c r="CQ1039" s="554">
        <f t="shared" si="1060"/>
        <v>0.06</v>
      </c>
      <c r="CR1039" s="554">
        <f t="shared" si="1060"/>
        <v>0</v>
      </c>
      <c r="CS1039" s="554">
        <f t="shared" si="1060"/>
        <v>0.01</v>
      </c>
      <c r="CT1039" s="554">
        <f t="shared" si="1060"/>
        <v>0</v>
      </c>
      <c r="CU1039" s="554">
        <f t="shared" si="1060"/>
        <v>0</v>
      </c>
      <c r="CV1039" s="554">
        <f t="shared" si="1060"/>
        <v>0</v>
      </c>
      <c r="CW1039" s="554">
        <f t="shared" si="1060"/>
        <v>0</v>
      </c>
      <c r="CX1039" s="554">
        <f t="shared" si="1060"/>
        <v>0</v>
      </c>
      <c r="CY1039" s="554">
        <f t="shared" si="1060"/>
        <v>0</v>
      </c>
      <c r="CZ1039" s="554">
        <f t="shared" si="1060"/>
        <v>2.96</v>
      </c>
      <c r="DA1039" s="554">
        <f t="shared" si="1060"/>
        <v>0</v>
      </c>
      <c r="DB1039" s="554">
        <f t="shared" si="1060"/>
        <v>0</v>
      </c>
      <c r="DC1039" s="554">
        <f t="shared" si="1060"/>
        <v>0.22</v>
      </c>
      <c r="DD1039" s="554">
        <f t="shared" si="1060"/>
        <v>0.94</v>
      </c>
      <c r="DE1039" s="554">
        <f t="shared" si="1060"/>
        <v>0</v>
      </c>
      <c r="DF1039" s="554">
        <f t="shared" si="1060"/>
        <v>0.69</v>
      </c>
      <c r="DG1039" s="554">
        <f t="shared" si="1060"/>
        <v>0</v>
      </c>
      <c r="DH1039" s="554">
        <f t="shared" si="1060"/>
        <v>0</v>
      </c>
      <c r="DI1039" s="554">
        <f t="shared" si="1060"/>
        <v>0</v>
      </c>
      <c r="DJ1039" s="554">
        <f t="shared" si="1060"/>
        <v>0</v>
      </c>
      <c r="DK1039" s="554">
        <f t="shared" si="1060"/>
        <v>0</v>
      </c>
      <c r="DL1039" s="554">
        <f t="shared" si="1060"/>
        <v>0</v>
      </c>
      <c r="DM1039" s="554">
        <f t="shared" si="1060"/>
        <v>0</v>
      </c>
      <c r="DN1039" s="554">
        <f t="shared" si="1060"/>
        <v>0</v>
      </c>
      <c r="DO1039" s="554">
        <f t="shared" si="1060"/>
        <v>0</v>
      </c>
      <c r="DP1039" s="554">
        <f t="shared" si="1060"/>
        <v>0</v>
      </c>
      <c r="DQ1039" s="554">
        <f t="shared" si="1060"/>
        <v>0</v>
      </c>
      <c r="DR1039" s="554">
        <f t="shared" si="1060"/>
        <v>0.45</v>
      </c>
      <c r="DS1039" s="554">
        <f t="shared" si="1060"/>
        <v>0</v>
      </c>
      <c r="DT1039" s="554">
        <f t="shared" si="1060"/>
        <v>0</v>
      </c>
      <c r="DU1039" s="554">
        <f t="shared" si="1060"/>
        <v>3.15</v>
      </c>
      <c r="DV1039" s="554">
        <f t="shared" si="1060"/>
        <v>0</v>
      </c>
      <c r="DW1039" s="554">
        <f t="shared" si="1060"/>
        <v>0</v>
      </c>
      <c r="DX1039" s="554">
        <f t="shared" si="1060"/>
        <v>0</v>
      </c>
      <c r="DY1039" s="554">
        <f t="shared" si="1060"/>
        <v>0</v>
      </c>
      <c r="DZ1039" s="554">
        <f t="shared" si="1060"/>
        <v>0</v>
      </c>
      <c r="EA1039" s="554">
        <f t="shared" si="1060"/>
        <v>75</v>
      </c>
      <c r="EB1039" s="554">
        <f t="shared" si="1060"/>
        <v>2.9</v>
      </c>
      <c r="EC1039" s="554">
        <f t="shared" si="1060"/>
        <v>0</v>
      </c>
      <c r="ED1039" s="554">
        <f t="shared" si="1060"/>
        <v>0</v>
      </c>
      <c r="EE1039" s="554">
        <f t="shared" si="1060"/>
        <v>0</v>
      </c>
      <c r="EF1039" s="554">
        <f t="shared" si="1060"/>
        <v>0</v>
      </c>
      <c r="EG1039" s="554">
        <f t="shared" si="1060"/>
        <v>0</v>
      </c>
      <c r="EH1039" s="554">
        <f t="shared" si="1060"/>
        <v>0</v>
      </c>
      <c r="EI1039" s="554">
        <f t="shared" ref="EI1039:EX1039" si="1061">EI1022+EI1032+EI1038</f>
        <v>0</v>
      </c>
      <c r="EJ1039" s="554">
        <f t="shared" si="1061"/>
        <v>0</v>
      </c>
      <c r="EK1039" s="554">
        <f t="shared" si="1061"/>
        <v>0</v>
      </c>
      <c r="EL1039" s="554">
        <f t="shared" si="1061"/>
        <v>0</v>
      </c>
      <c r="EM1039" s="554">
        <f t="shared" si="1061"/>
        <v>0</v>
      </c>
      <c r="EN1039" s="554">
        <f t="shared" si="1061"/>
        <v>0</v>
      </c>
      <c r="EO1039" s="554">
        <f t="shared" si="1061"/>
        <v>0</v>
      </c>
      <c r="EP1039" s="554">
        <f t="shared" si="1061"/>
        <v>0</v>
      </c>
      <c r="EQ1039" s="554">
        <f t="shared" si="1061"/>
        <v>0</v>
      </c>
      <c r="ER1039" s="554">
        <f t="shared" si="1061"/>
        <v>0</v>
      </c>
      <c r="ES1039" s="554">
        <f t="shared" si="1061"/>
        <v>0</v>
      </c>
      <c r="ET1039" s="554">
        <f t="shared" si="1061"/>
        <v>0</v>
      </c>
      <c r="EU1039" s="554">
        <f t="shared" si="1061"/>
        <v>0</v>
      </c>
      <c r="EV1039" s="554">
        <f t="shared" si="1061"/>
        <v>4.16</v>
      </c>
      <c r="EW1039" s="554">
        <f t="shared" si="1061"/>
        <v>3.25</v>
      </c>
      <c r="EX1039" s="554">
        <f t="shared" si="1061"/>
        <v>0</v>
      </c>
      <c r="EY1039" s="554">
        <f t="shared" ref="EY1039:FL1039" si="1062">EY1022+EY1032+EY1038</f>
        <v>193.7</v>
      </c>
      <c r="EZ1039" s="1135">
        <f t="shared" si="1062"/>
        <v>0</v>
      </c>
      <c r="FA1039" s="1135">
        <f t="shared" si="1062"/>
        <v>0</v>
      </c>
      <c r="FB1039" s="1135">
        <f t="shared" si="1062"/>
        <v>0</v>
      </c>
      <c r="FC1039" s="1135">
        <f t="shared" si="1062"/>
        <v>0</v>
      </c>
      <c r="FD1039" s="1135">
        <f t="shared" si="1062"/>
        <v>0</v>
      </c>
      <c r="FE1039" s="1135">
        <f t="shared" si="1062"/>
        <v>0</v>
      </c>
      <c r="FF1039" s="1135">
        <f t="shared" si="1062"/>
        <v>0</v>
      </c>
      <c r="FG1039" s="1135">
        <f t="shared" si="1062"/>
        <v>0</v>
      </c>
      <c r="FH1039" s="1135">
        <f t="shared" si="1062"/>
        <v>0</v>
      </c>
      <c r="FI1039" s="1135">
        <f t="shared" si="1062"/>
        <v>0</v>
      </c>
      <c r="FJ1039" s="1135">
        <f t="shared" si="1062"/>
        <v>0</v>
      </c>
      <c r="FK1039" s="1135">
        <f t="shared" si="1062"/>
        <v>0</v>
      </c>
      <c r="FL1039" s="1135">
        <f t="shared" si="1062"/>
        <v>0</v>
      </c>
    </row>
    <row r="1040" spans="1:168" s="550" customFormat="1" x14ac:dyDescent="0.25">
      <c r="A1040" s="549"/>
      <c r="B1040" s="626" t="s">
        <v>580</v>
      </c>
      <c r="C1040" s="1136"/>
      <c r="D1040" s="1136"/>
      <c r="E1040" s="1141"/>
      <c r="F1040" s="1141"/>
      <c r="G1040" s="1141"/>
      <c r="H1040" s="1141"/>
      <c r="I1040" s="560"/>
      <c r="J1040" s="560"/>
      <c r="K1040" s="560"/>
      <c r="L1040" s="560"/>
      <c r="M1040" s="560"/>
      <c r="N1040" s="560"/>
      <c r="O1040" s="560"/>
      <c r="P1040" s="560"/>
      <c r="Q1040" s="560"/>
      <c r="R1040" s="560"/>
      <c r="S1040" s="560"/>
      <c r="T1040" s="560"/>
      <c r="U1040" s="560"/>
      <c r="V1040" s="560"/>
      <c r="W1040" s="560"/>
      <c r="X1040" s="560"/>
      <c r="Y1040" s="560"/>
      <c r="Z1040" s="560"/>
      <c r="AA1040" s="560"/>
      <c r="AB1040" s="560"/>
      <c r="AC1040" s="560"/>
      <c r="AD1040" s="560"/>
      <c r="AE1040" s="560"/>
      <c r="AF1040" s="560"/>
      <c r="AG1040" s="560"/>
      <c r="AH1040" s="560"/>
      <c r="AI1040" s="560"/>
      <c r="AJ1040" s="560"/>
      <c r="AK1040" s="560"/>
      <c r="AL1040" s="560"/>
      <c r="AM1040" s="560"/>
      <c r="AN1040" s="560"/>
      <c r="AO1040" s="560"/>
      <c r="AP1040" s="560"/>
      <c r="AQ1040" s="560"/>
      <c r="AR1040" s="560"/>
      <c r="AS1040" s="560"/>
      <c r="AT1040" s="560"/>
      <c r="AU1040" s="560"/>
      <c r="AV1040" s="560"/>
      <c r="AW1040" s="560"/>
      <c r="AX1040" s="560"/>
      <c r="AY1040" s="560"/>
      <c r="AZ1040" s="560"/>
      <c r="BA1040" s="560"/>
      <c r="BB1040" s="560"/>
      <c r="BC1040" s="560"/>
      <c r="BD1040" s="560"/>
      <c r="BE1040" s="560"/>
      <c r="BF1040" s="560"/>
      <c r="BG1040" s="560"/>
      <c r="BH1040" s="560"/>
      <c r="BI1040" s="560"/>
      <c r="BJ1040" s="560"/>
      <c r="BK1040" s="560"/>
      <c r="BL1040" s="560"/>
      <c r="BM1040" s="560"/>
      <c r="BN1040" s="560"/>
      <c r="BO1040" s="560"/>
      <c r="BP1040" s="560"/>
      <c r="BQ1040" s="560"/>
      <c r="BR1040" s="560"/>
      <c r="BS1040" s="560"/>
      <c r="BT1040" s="560"/>
      <c r="BU1040" s="560"/>
      <c r="BV1040" s="560"/>
      <c r="BW1040" s="560"/>
      <c r="BX1040" s="560"/>
      <c r="BY1040" s="560"/>
      <c r="BZ1040" s="560"/>
      <c r="CA1040" s="560"/>
      <c r="CB1040" s="560"/>
      <c r="CC1040" s="560"/>
      <c r="CD1040" s="560"/>
      <c r="CE1040" s="560"/>
      <c r="CF1040" s="560"/>
      <c r="CG1040" s="560"/>
      <c r="CH1040" s="560"/>
      <c r="CI1040" s="560"/>
      <c r="CJ1040" s="560"/>
      <c r="CK1040" s="560"/>
      <c r="CL1040" s="560"/>
      <c r="CM1040" s="560"/>
      <c r="CN1040" s="560"/>
      <c r="CO1040" s="560"/>
      <c r="CP1040" s="560"/>
      <c r="CQ1040" s="560"/>
      <c r="CR1040" s="560"/>
      <c r="CS1040" s="560"/>
      <c r="CT1040" s="560"/>
      <c r="CU1040" s="560"/>
      <c r="CV1040" s="560"/>
      <c r="CW1040" s="560"/>
      <c r="CX1040" s="560"/>
      <c r="CY1040" s="560"/>
      <c r="CZ1040" s="560"/>
      <c r="DA1040" s="560"/>
      <c r="DB1040" s="560"/>
      <c r="DC1040" s="560"/>
      <c r="DD1040" s="560"/>
      <c r="DE1040" s="560"/>
      <c r="DF1040" s="560"/>
      <c r="DG1040" s="560"/>
      <c r="DH1040" s="560"/>
      <c r="DI1040" s="560"/>
      <c r="DJ1040" s="560"/>
      <c r="DK1040" s="560"/>
      <c r="DL1040" s="560"/>
      <c r="DM1040" s="560"/>
      <c r="DN1040" s="560"/>
      <c r="DO1040" s="560"/>
      <c r="DP1040" s="560"/>
      <c r="DQ1040" s="560"/>
      <c r="DR1040" s="560"/>
      <c r="DS1040" s="560"/>
      <c r="DT1040" s="560"/>
      <c r="DU1040" s="560"/>
      <c r="DV1040" s="560"/>
      <c r="DW1040" s="560"/>
      <c r="DX1040" s="560"/>
      <c r="DY1040" s="560"/>
      <c r="DZ1040" s="560"/>
      <c r="EA1040" s="560"/>
      <c r="EB1040" s="560"/>
      <c r="EC1040" s="560"/>
      <c r="ED1040" s="560"/>
      <c r="EE1040" s="560"/>
      <c r="EF1040" s="560"/>
      <c r="EG1040" s="560"/>
      <c r="EH1040" s="560"/>
      <c r="EI1040" s="560"/>
      <c r="EJ1040" s="560"/>
      <c r="EK1040" s="560"/>
      <c r="EL1040" s="560"/>
      <c r="EM1040" s="560"/>
      <c r="EN1040" s="560"/>
      <c r="EO1040" s="560"/>
      <c r="EP1040" s="560"/>
      <c r="EQ1040" s="560"/>
      <c r="ER1040" s="560"/>
      <c r="ES1040" s="560"/>
      <c r="ET1040" s="560"/>
      <c r="EU1040" s="560"/>
      <c r="EV1040" s="560"/>
      <c r="EW1040" s="560"/>
      <c r="EX1040" s="560"/>
      <c r="EY1040" s="800" t="s">
        <v>827</v>
      </c>
      <c r="EZ1040" s="563"/>
      <c r="FA1040" s="563"/>
      <c r="FB1040" s="563"/>
      <c r="FC1040" s="563"/>
      <c r="FD1040" s="563"/>
      <c r="FE1040" s="563"/>
      <c r="FF1040" s="563"/>
      <c r="FG1040" s="563"/>
      <c r="FH1040" s="563"/>
      <c r="FI1040" s="563"/>
      <c r="FJ1040" s="563"/>
      <c r="FK1040" s="563"/>
      <c r="FL1040" s="563"/>
    </row>
    <row r="1041" spans="1:168" x14ac:dyDescent="0.25">
      <c r="A1041" s="1491" t="s">
        <v>109</v>
      </c>
      <c r="B1041" s="624" t="str">
        <f t="shared" ref="B1041:B1049" si="1063">B77</f>
        <v>Суп молочный с макаронными изделиями</v>
      </c>
      <c r="C1041" s="624">
        <f t="shared" ref="C1041:D1041" si="1064">C77</f>
        <v>250</v>
      </c>
      <c r="D1041" s="624">
        <f t="shared" si="1064"/>
        <v>5.47</v>
      </c>
      <c r="E1041" s="1158">
        <f t="shared" ref="E1041" si="1065">EY1041</f>
        <v>12.53</v>
      </c>
      <c r="F1041" s="1158"/>
      <c r="G1041" s="1140"/>
      <c r="H1041" s="1140"/>
      <c r="I1041" s="552"/>
      <c r="J1041" s="552">
        <f t="shared" ref="J1041:AO1041" si="1066">J77*J$338</f>
        <v>0</v>
      </c>
      <c r="K1041" s="552">
        <f t="shared" si="1066"/>
        <v>0</v>
      </c>
      <c r="L1041" s="552">
        <f t="shared" si="1066"/>
        <v>0</v>
      </c>
      <c r="M1041" s="552">
        <f t="shared" si="1066"/>
        <v>0</v>
      </c>
      <c r="N1041" s="552">
        <f t="shared" si="1066"/>
        <v>0</v>
      </c>
      <c r="O1041" s="552">
        <f t="shared" si="1066"/>
        <v>0</v>
      </c>
      <c r="P1041" s="552">
        <f t="shared" si="1066"/>
        <v>0</v>
      </c>
      <c r="Q1041" s="552">
        <f t="shared" si="1066"/>
        <v>0</v>
      </c>
      <c r="R1041" s="552">
        <f t="shared" si="1066"/>
        <v>0</v>
      </c>
      <c r="S1041" s="552">
        <f t="shared" si="1066"/>
        <v>0</v>
      </c>
      <c r="T1041" s="552">
        <f t="shared" si="1066"/>
        <v>0</v>
      </c>
      <c r="U1041" s="552">
        <f t="shared" si="1066"/>
        <v>10</v>
      </c>
      <c r="V1041" s="552">
        <f t="shared" si="1066"/>
        <v>1.42</v>
      </c>
      <c r="W1041" s="552">
        <f t="shared" si="1066"/>
        <v>0</v>
      </c>
      <c r="X1041" s="552">
        <f t="shared" si="1066"/>
        <v>0</v>
      </c>
      <c r="Y1041" s="552">
        <f t="shared" si="1066"/>
        <v>0</v>
      </c>
      <c r="Z1041" s="552">
        <f t="shared" si="1066"/>
        <v>0</v>
      </c>
      <c r="AA1041" s="552">
        <f t="shared" si="1066"/>
        <v>0</v>
      </c>
      <c r="AB1041" s="552">
        <f t="shared" si="1066"/>
        <v>0</v>
      </c>
      <c r="AC1041" s="552">
        <f t="shared" si="1066"/>
        <v>0</v>
      </c>
      <c r="AD1041" s="552">
        <f t="shared" si="1066"/>
        <v>0</v>
      </c>
      <c r="AE1041" s="552">
        <f t="shared" si="1066"/>
        <v>0</v>
      </c>
      <c r="AF1041" s="552">
        <f t="shared" si="1066"/>
        <v>0</v>
      </c>
      <c r="AG1041" s="552">
        <f t="shared" si="1066"/>
        <v>0</v>
      </c>
      <c r="AH1041" s="552">
        <f t="shared" si="1066"/>
        <v>0</v>
      </c>
      <c r="AI1041" s="552">
        <f t="shared" si="1066"/>
        <v>0</v>
      </c>
      <c r="AJ1041" s="552">
        <f t="shared" si="1066"/>
        <v>0</v>
      </c>
      <c r="AK1041" s="552">
        <f t="shared" si="1066"/>
        <v>0</v>
      </c>
      <c r="AL1041" s="552">
        <f t="shared" si="1066"/>
        <v>0</v>
      </c>
      <c r="AM1041" s="552">
        <f t="shared" si="1066"/>
        <v>0</v>
      </c>
      <c r="AN1041" s="552">
        <f t="shared" si="1066"/>
        <v>0</v>
      </c>
      <c r="AO1041" s="552">
        <f t="shared" si="1066"/>
        <v>0</v>
      </c>
      <c r="AP1041" s="552">
        <f t="shared" ref="AP1041:BU1041" si="1067">AP77*AP$338</f>
        <v>0</v>
      </c>
      <c r="AQ1041" s="552">
        <f t="shared" si="1067"/>
        <v>0</v>
      </c>
      <c r="AR1041" s="552">
        <f t="shared" si="1067"/>
        <v>0</v>
      </c>
      <c r="AS1041" s="552">
        <f t="shared" si="1067"/>
        <v>0</v>
      </c>
      <c r="AT1041" s="552">
        <f t="shared" si="1067"/>
        <v>0</v>
      </c>
      <c r="AU1041" s="552">
        <f t="shared" si="1067"/>
        <v>0</v>
      </c>
      <c r="AV1041" s="552">
        <f t="shared" si="1067"/>
        <v>0</v>
      </c>
      <c r="AW1041" s="552">
        <f t="shared" si="1067"/>
        <v>0</v>
      </c>
      <c r="AX1041" s="552">
        <f t="shared" si="1067"/>
        <v>0</v>
      </c>
      <c r="AY1041" s="552">
        <f t="shared" si="1067"/>
        <v>0</v>
      </c>
      <c r="AZ1041" s="552">
        <f t="shared" si="1067"/>
        <v>0</v>
      </c>
      <c r="BA1041" s="552">
        <f t="shared" si="1067"/>
        <v>0</v>
      </c>
      <c r="BB1041" s="552">
        <f t="shared" si="1067"/>
        <v>0</v>
      </c>
      <c r="BC1041" s="552">
        <f t="shared" si="1067"/>
        <v>0</v>
      </c>
      <c r="BD1041" s="552">
        <f t="shared" si="1067"/>
        <v>0</v>
      </c>
      <c r="BE1041" s="552">
        <f t="shared" si="1067"/>
        <v>0</v>
      </c>
      <c r="BF1041" s="552">
        <f t="shared" si="1067"/>
        <v>0</v>
      </c>
      <c r="BG1041" s="552">
        <f t="shared" si="1067"/>
        <v>0</v>
      </c>
      <c r="BH1041" s="552">
        <f t="shared" si="1067"/>
        <v>0</v>
      </c>
      <c r="BI1041" s="552">
        <f t="shared" si="1067"/>
        <v>0</v>
      </c>
      <c r="BJ1041" s="552">
        <f t="shared" si="1067"/>
        <v>0</v>
      </c>
      <c r="BK1041" s="552">
        <f t="shared" si="1067"/>
        <v>0</v>
      </c>
      <c r="BL1041" s="552">
        <f t="shared" si="1067"/>
        <v>0</v>
      </c>
      <c r="BM1041" s="552">
        <f t="shared" si="1067"/>
        <v>0</v>
      </c>
      <c r="BN1041" s="552">
        <f t="shared" si="1067"/>
        <v>0</v>
      </c>
      <c r="BO1041" s="552">
        <f t="shared" si="1067"/>
        <v>0</v>
      </c>
      <c r="BP1041" s="552">
        <f t="shared" si="1067"/>
        <v>0</v>
      </c>
      <c r="BQ1041" s="552">
        <f t="shared" si="1067"/>
        <v>0</v>
      </c>
      <c r="BR1041" s="552">
        <f t="shared" si="1067"/>
        <v>0</v>
      </c>
      <c r="BS1041" s="552">
        <f t="shared" si="1067"/>
        <v>0</v>
      </c>
      <c r="BT1041" s="552">
        <f t="shared" si="1067"/>
        <v>0</v>
      </c>
      <c r="BU1041" s="552">
        <f t="shared" si="1067"/>
        <v>0</v>
      </c>
      <c r="BV1041" s="552">
        <f t="shared" ref="BV1041:DA1041" si="1068">BV77*BV$338</f>
        <v>0</v>
      </c>
      <c r="BW1041" s="552">
        <f t="shared" si="1068"/>
        <v>0</v>
      </c>
      <c r="BX1041" s="552">
        <f t="shared" si="1068"/>
        <v>0</v>
      </c>
      <c r="BY1041" s="552">
        <f t="shared" si="1068"/>
        <v>0</v>
      </c>
      <c r="BZ1041" s="552">
        <f t="shared" si="1068"/>
        <v>0</v>
      </c>
      <c r="CA1041" s="552">
        <f t="shared" si="1068"/>
        <v>0</v>
      </c>
      <c r="CB1041" s="552">
        <f t="shared" si="1068"/>
        <v>0</v>
      </c>
      <c r="CC1041" s="552">
        <f t="shared" si="1068"/>
        <v>0</v>
      </c>
      <c r="CD1041" s="552">
        <f t="shared" si="1068"/>
        <v>0</v>
      </c>
      <c r="CE1041" s="552">
        <f t="shared" si="1068"/>
        <v>0</v>
      </c>
      <c r="CF1041" s="552">
        <f t="shared" si="1068"/>
        <v>0</v>
      </c>
      <c r="CG1041" s="552">
        <f t="shared" si="1068"/>
        <v>1</v>
      </c>
      <c r="CH1041" s="552">
        <f t="shared" si="1068"/>
        <v>0</v>
      </c>
      <c r="CI1041" s="552">
        <f t="shared" si="1068"/>
        <v>0</v>
      </c>
      <c r="CJ1041" s="552">
        <f t="shared" si="1068"/>
        <v>0</v>
      </c>
      <c r="CK1041" s="552">
        <f t="shared" si="1068"/>
        <v>0</v>
      </c>
      <c r="CL1041" s="552">
        <f t="shared" si="1068"/>
        <v>0</v>
      </c>
      <c r="CM1041" s="552">
        <f t="shared" si="1068"/>
        <v>0</v>
      </c>
      <c r="CN1041" s="552">
        <f t="shared" si="1068"/>
        <v>0</v>
      </c>
      <c r="CO1041" s="552">
        <f t="shared" si="1068"/>
        <v>0</v>
      </c>
      <c r="CP1041" s="552">
        <f t="shared" si="1068"/>
        <v>0</v>
      </c>
      <c r="CQ1041" s="552">
        <f t="shared" si="1068"/>
        <v>0</v>
      </c>
      <c r="CR1041" s="552">
        <f t="shared" si="1068"/>
        <v>0</v>
      </c>
      <c r="CS1041" s="552">
        <f t="shared" si="1068"/>
        <v>0</v>
      </c>
      <c r="CT1041" s="552">
        <f t="shared" si="1068"/>
        <v>0</v>
      </c>
      <c r="CU1041" s="552">
        <f t="shared" si="1068"/>
        <v>0</v>
      </c>
      <c r="CV1041" s="552">
        <f t="shared" si="1068"/>
        <v>0</v>
      </c>
      <c r="CW1041" s="552">
        <f t="shared" si="1068"/>
        <v>0</v>
      </c>
      <c r="CX1041" s="552">
        <f t="shared" si="1068"/>
        <v>0</v>
      </c>
      <c r="CY1041" s="552">
        <f t="shared" si="1068"/>
        <v>0</v>
      </c>
      <c r="CZ1041" s="552">
        <f t="shared" si="1068"/>
        <v>0.11</v>
      </c>
      <c r="DA1041" s="552">
        <f t="shared" si="1068"/>
        <v>0</v>
      </c>
      <c r="DB1041" s="552">
        <f t="shared" ref="DB1041:EG1041" si="1069">DB77*DB$338</f>
        <v>0</v>
      </c>
      <c r="DC1041" s="552">
        <f t="shared" si="1069"/>
        <v>0</v>
      </c>
      <c r="DD1041" s="552">
        <f t="shared" si="1069"/>
        <v>0</v>
      </c>
      <c r="DE1041" s="552">
        <f t="shared" si="1069"/>
        <v>0</v>
      </c>
      <c r="DF1041" s="552">
        <f t="shared" si="1069"/>
        <v>0</v>
      </c>
      <c r="DG1041" s="552">
        <f t="shared" si="1069"/>
        <v>0</v>
      </c>
      <c r="DH1041" s="552">
        <f t="shared" si="1069"/>
        <v>0</v>
      </c>
      <c r="DI1041" s="552">
        <f t="shared" si="1069"/>
        <v>0</v>
      </c>
      <c r="DJ1041" s="552">
        <f t="shared" si="1069"/>
        <v>0</v>
      </c>
      <c r="DK1041" s="552">
        <f t="shared" si="1069"/>
        <v>0</v>
      </c>
      <c r="DL1041" s="552">
        <f t="shared" si="1069"/>
        <v>0</v>
      </c>
      <c r="DM1041" s="552">
        <f t="shared" si="1069"/>
        <v>0</v>
      </c>
      <c r="DN1041" s="552">
        <f t="shared" si="1069"/>
        <v>0</v>
      </c>
      <c r="DO1041" s="552">
        <f t="shared" si="1069"/>
        <v>0</v>
      </c>
      <c r="DP1041" s="552">
        <f t="shared" si="1069"/>
        <v>0</v>
      </c>
      <c r="DQ1041" s="552">
        <f t="shared" si="1069"/>
        <v>0</v>
      </c>
      <c r="DR1041" s="552">
        <f t="shared" si="1069"/>
        <v>0</v>
      </c>
      <c r="DS1041" s="552">
        <f t="shared" si="1069"/>
        <v>0</v>
      </c>
      <c r="DT1041" s="552">
        <f t="shared" si="1069"/>
        <v>0</v>
      </c>
      <c r="DU1041" s="552">
        <f t="shared" si="1069"/>
        <v>0</v>
      </c>
      <c r="DV1041" s="552">
        <f t="shared" si="1069"/>
        <v>0</v>
      </c>
      <c r="DW1041" s="552">
        <f t="shared" si="1069"/>
        <v>0</v>
      </c>
      <c r="DX1041" s="552">
        <f t="shared" si="1069"/>
        <v>0</v>
      </c>
      <c r="DY1041" s="552">
        <f t="shared" si="1069"/>
        <v>0</v>
      </c>
      <c r="DZ1041" s="552">
        <f t="shared" si="1069"/>
        <v>0</v>
      </c>
      <c r="EA1041" s="552">
        <f t="shared" si="1069"/>
        <v>0</v>
      </c>
      <c r="EB1041" s="552">
        <f t="shared" si="1069"/>
        <v>0</v>
      </c>
      <c r="EC1041" s="552">
        <f t="shared" si="1069"/>
        <v>0</v>
      </c>
      <c r="ED1041" s="552">
        <f t="shared" si="1069"/>
        <v>0</v>
      </c>
      <c r="EE1041" s="552">
        <f t="shared" si="1069"/>
        <v>0</v>
      </c>
      <c r="EF1041" s="552">
        <f t="shared" si="1069"/>
        <v>0</v>
      </c>
      <c r="EG1041" s="552">
        <f t="shared" si="1069"/>
        <v>0</v>
      </c>
      <c r="EH1041" s="552">
        <f t="shared" ref="EH1041:EX1041" si="1070">EH77*EH$338</f>
        <v>0</v>
      </c>
      <c r="EI1041" s="552">
        <f t="shared" si="1070"/>
        <v>0</v>
      </c>
      <c r="EJ1041" s="552">
        <f t="shared" si="1070"/>
        <v>0</v>
      </c>
      <c r="EK1041" s="552">
        <f t="shared" si="1070"/>
        <v>0</v>
      </c>
      <c r="EL1041" s="552">
        <f t="shared" si="1070"/>
        <v>0</v>
      </c>
      <c r="EM1041" s="552">
        <f t="shared" si="1070"/>
        <v>0</v>
      </c>
      <c r="EN1041" s="552">
        <f t="shared" si="1070"/>
        <v>0</v>
      </c>
      <c r="EO1041" s="552">
        <f t="shared" si="1070"/>
        <v>0</v>
      </c>
      <c r="EP1041" s="552">
        <f t="shared" si="1070"/>
        <v>0</v>
      </c>
      <c r="EQ1041" s="552">
        <f t="shared" si="1070"/>
        <v>0</v>
      </c>
      <c r="ER1041" s="552">
        <f t="shared" si="1070"/>
        <v>0</v>
      </c>
      <c r="ES1041" s="552">
        <f t="shared" si="1070"/>
        <v>0</v>
      </c>
      <c r="ET1041" s="552">
        <f t="shared" si="1070"/>
        <v>0</v>
      </c>
      <c r="EU1041" s="552">
        <f t="shared" si="1070"/>
        <v>0</v>
      </c>
      <c r="EV1041" s="552">
        <f t="shared" si="1070"/>
        <v>0</v>
      </c>
      <c r="EW1041" s="552">
        <f t="shared" si="1070"/>
        <v>0</v>
      </c>
      <c r="EX1041" s="552">
        <f t="shared" si="1070"/>
        <v>0</v>
      </c>
      <c r="EY1041" s="799">
        <f t="shared" si="527"/>
        <v>12.53</v>
      </c>
      <c r="EZ1041" s="640"/>
      <c r="FA1041" s="640"/>
      <c r="FB1041" s="640"/>
      <c r="FC1041" s="640"/>
      <c r="FD1041" s="640"/>
      <c r="FE1041" s="640"/>
      <c r="FF1041" s="640"/>
      <c r="FG1041" s="640"/>
      <c r="FH1041" s="640"/>
      <c r="FI1041" s="640"/>
      <c r="FJ1041" s="640"/>
      <c r="FK1041" s="640"/>
      <c r="FL1041" s="640"/>
    </row>
    <row r="1042" spans="1:168" x14ac:dyDescent="0.25">
      <c r="A1042" s="1492"/>
      <c r="B1042" s="624" t="str">
        <f t="shared" si="1063"/>
        <v xml:space="preserve">Сыр российский (порциями) </v>
      </c>
      <c r="C1042" s="624">
        <f t="shared" ref="C1042:D1049" si="1071">C78</f>
        <v>15</v>
      </c>
      <c r="D1042" s="624">
        <f t="shared" si="1071"/>
        <v>3.48</v>
      </c>
      <c r="E1042" s="1158">
        <f t="shared" ref="E1042:E1049" si="1072">EY1042</f>
        <v>11.5</v>
      </c>
      <c r="F1042" s="1158"/>
      <c r="G1042" s="1140"/>
      <c r="H1042" s="1140"/>
      <c r="I1042" s="552"/>
      <c r="J1042" s="552">
        <f t="shared" ref="J1042:AO1042" si="1073">J78*J$338</f>
        <v>0</v>
      </c>
      <c r="K1042" s="552">
        <f t="shared" si="1073"/>
        <v>0</v>
      </c>
      <c r="L1042" s="552">
        <f t="shared" si="1073"/>
        <v>0</v>
      </c>
      <c r="M1042" s="552">
        <f t="shared" si="1073"/>
        <v>0</v>
      </c>
      <c r="N1042" s="552">
        <f t="shared" si="1073"/>
        <v>0</v>
      </c>
      <c r="O1042" s="552">
        <f t="shared" si="1073"/>
        <v>0</v>
      </c>
      <c r="P1042" s="552">
        <f t="shared" si="1073"/>
        <v>0</v>
      </c>
      <c r="Q1042" s="552">
        <f t="shared" si="1073"/>
        <v>0</v>
      </c>
      <c r="R1042" s="552">
        <f t="shared" si="1073"/>
        <v>0</v>
      </c>
      <c r="S1042" s="552">
        <f t="shared" si="1073"/>
        <v>0</v>
      </c>
      <c r="T1042" s="552">
        <f t="shared" si="1073"/>
        <v>0</v>
      </c>
      <c r="U1042" s="552">
        <f t="shared" si="1073"/>
        <v>0</v>
      </c>
      <c r="V1042" s="552">
        <f t="shared" si="1073"/>
        <v>0</v>
      </c>
      <c r="W1042" s="552">
        <f t="shared" si="1073"/>
        <v>11.5</v>
      </c>
      <c r="X1042" s="552">
        <f t="shared" si="1073"/>
        <v>0</v>
      </c>
      <c r="Y1042" s="552">
        <f t="shared" si="1073"/>
        <v>0</v>
      </c>
      <c r="Z1042" s="552">
        <f t="shared" si="1073"/>
        <v>0</v>
      </c>
      <c r="AA1042" s="552">
        <f t="shared" si="1073"/>
        <v>0</v>
      </c>
      <c r="AB1042" s="552">
        <f t="shared" si="1073"/>
        <v>0</v>
      </c>
      <c r="AC1042" s="552">
        <f t="shared" si="1073"/>
        <v>0</v>
      </c>
      <c r="AD1042" s="552">
        <f t="shared" si="1073"/>
        <v>0</v>
      </c>
      <c r="AE1042" s="552">
        <f t="shared" si="1073"/>
        <v>0</v>
      </c>
      <c r="AF1042" s="552">
        <f t="shared" si="1073"/>
        <v>0</v>
      </c>
      <c r="AG1042" s="552">
        <f t="shared" si="1073"/>
        <v>0</v>
      </c>
      <c r="AH1042" s="552">
        <f t="shared" si="1073"/>
        <v>0</v>
      </c>
      <c r="AI1042" s="552">
        <f t="shared" si="1073"/>
        <v>0</v>
      </c>
      <c r="AJ1042" s="552">
        <f t="shared" si="1073"/>
        <v>0</v>
      </c>
      <c r="AK1042" s="552">
        <f t="shared" si="1073"/>
        <v>0</v>
      </c>
      <c r="AL1042" s="552">
        <f t="shared" si="1073"/>
        <v>0</v>
      </c>
      <c r="AM1042" s="552">
        <f t="shared" si="1073"/>
        <v>0</v>
      </c>
      <c r="AN1042" s="552">
        <f t="shared" si="1073"/>
        <v>0</v>
      </c>
      <c r="AO1042" s="552">
        <f t="shared" si="1073"/>
        <v>0</v>
      </c>
      <c r="AP1042" s="552">
        <f t="shared" ref="AP1042:BU1042" si="1074">AP78*AP$338</f>
        <v>0</v>
      </c>
      <c r="AQ1042" s="552">
        <f t="shared" si="1074"/>
        <v>0</v>
      </c>
      <c r="AR1042" s="552">
        <f t="shared" si="1074"/>
        <v>0</v>
      </c>
      <c r="AS1042" s="552">
        <f t="shared" si="1074"/>
        <v>0</v>
      </c>
      <c r="AT1042" s="552">
        <f t="shared" si="1074"/>
        <v>0</v>
      </c>
      <c r="AU1042" s="552">
        <f t="shared" si="1074"/>
        <v>0</v>
      </c>
      <c r="AV1042" s="552">
        <f t="shared" si="1074"/>
        <v>0</v>
      </c>
      <c r="AW1042" s="552">
        <f t="shared" si="1074"/>
        <v>0</v>
      </c>
      <c r="AX1042" s="552">
        <f t="shared" si="1074"/>
        <v>0</v>
      </c>
      <c r="AY1042" s="552">
        <f t="shared" si="1074"/>
        <v>0</v>
      </c>
      <c r="AZ1042" s="552">
        <f t="shared" si="1074"/>
        <v>0</v>
      </c>
      <c r="BA1042" s="552">
        <f t="shared" si="1074"/>
        <v>0</v>
      </c>
      <c r="BB1042" s="552">
        <f t="shared" si="1074"/>
        <v>0</v>
      </c>
      <c r="BC1042" s="552">
        <f t="shared" si="1074"/>
        <v>0</v>
      </c>
      <c r="BD1042" s="552">
        <f t="shared" si="1074"/>
        <v>0</v>
      </c>
      <c r="BE1042" s="552">
        <f t="shared" si="1074"/>
        <v>0</v>
      </c>
      <c r="BF1042" s="552">
        <f t="shared" si="1074"/>
        <v>0</v>
      </c>
      <c r="BG1042" s="552">
        <f t="shared" si="1074"/>
        <v>0</v>
      </c>
      <c r="BH1042" s="552">
        <f t="shared" si="1074"/>
        <v>0</v>
      </c>
      <c r="BI1042" s="552">
        <f t="shared" si="1074"/>
        <v>0</v>
      </c>
      <c r="BJ1042" s="552">
        <f t="shared" si="1074"/>
        <v>0</v>
      </c>
      <c r="BK1042" s="552">
        <f t="shared" si="1074"/>
        <v>0</v>
      </c>
      <c r="BL1042" s="552">
        <f t="shared" si="1074"/>
        <v>0</v>
      </c>
      <c r="BM1042" s="552">
        <f t="shared" si="1074"/>
        <v>0</v>
      </c>
      <c r="BN1042" s="552">
        <f t="shared" si="1074"/>
        <v>0</v>
      </c>
      <c r="BO1042" s="552">
        <f t="shared" si="1074"/>
        <v>0</v>
      </c>
      <c r="BP1042" s="552">
        <f t="shared" si="1074"/>
        <v>0</v>
      </c>
      <c r="BQ1042" s="552">
        <f t="shared" si="1074"/>
        <v>0</v>
      </c>
      <c r="BR1042" s="552">
        <f t="shared" si="1074"/>
        <v>0</v>
      </c>
      <c r="BS1042" s="552">
        <f t="shared" si="1074"/>
        <v>0</v>
      </c>
      <c r="BT1042" s="552">
        <f t="shared" si="1074"/>
        <v>0</v>
      </c>
      <c r="BU1042" s="552">
        <f t="shared" si="1074"/>
        <v>0</v>
      </c>
      <c r="BV1042" s="552">
        <f t="shared" ref="BV1042:DA1042" si="1075">BV78*BV$338</f>
        <v>0</v>
      </c>
      <c r="BW1042" s="552">
        <f t="shared" si="1075"/>
        <v>0</v>
      </c>
      <c r="BX1042" s="552">
        <f t="shared" si="1075"/>
        <v>0</v>
      </c>
      <c r="BY1042" s="552">
        <f t="shared" si="1075"/>
        <v>0</v>
      </c>
      <c r="BZ1042" s="552">
        <f t="shared" si="1075"/>
        <v>0</v>
      </c>
      <c r="CA1042" s="552">
        <f t="shared" si="1075"/>
        <v>0</v>
      </c>
      <c r="CB1042" s="552">
        <f t="shared" si="1075"/>
        <v>0</v>
      </c>
      <c r="CC1042" s="552">
        <f t="shared" si="1075"/>
        <v>0</v>
      </c>
      <c r="CD1042" s="552">
        <f t="shared" si="1075"/>
        <v>0</v>
      </c>
      <c r="CE1042" s="552">
        <f t="shared" si="1075"/>
        <v>0</v>
      </c>
      <c r="CF1042" s="552">
        <f t="shared" si="1075"/>
        <v>0</v>
      </c>
      <c r="CG1042" s="552">
        <f t="shared" si="1075"/>
        <v>0</v>
      </c>
      <c r="CH1042" s="552">
        <f t="shared" si="1075"/>
        <v>0</v>
      </c>
      <c r="CI1042" s="552">
        <f t="shared" si="1075"/>
        <v>0</v>
      </c>
      <c r="CJ1042" s="552">
        <f t="shared" si="1075"/>
        <v>0</v>
      </c>
      <c r="CK1042" s="552">
        <f t="shared" si="1075"/>
        <v>0</v>
      </c>
      <c r="CL1042" s="552">
        <f t="shared" si="1075"/>
        <v>0</v>
      </c>
      <c r="CM1042" s="552">
        <f t="shared" si="1075"/>
        <v>0</v>
      </c>
      <c r="CN1042" s="552">
        <f t="shared" si="1075"/>
        <v>0</v>
      </c>
      <c r="CO1042" s="552">
        <f t="shared" si="1075"/>
        <v>0</v>
      </c>
      <c r="CP1042" s="552">
        <f t="shared" si="1075"/>
        <v>0</v>
      </c>
      <c r="CQ1042" s="552">
        <f t="shared" si="1075"/>
        <v>0</v>
      </c>
      <c r="CR1042" s="552">
        <f t="shared" si="1075"/>
        <v>0</v>
      </c>
      <c r="CS1042" s="552">
        <f t="shared" si="1075"/>
        <v>0</v>
      </c>
      <c r="CT1042" s="552">
        <f t="shared" si="1075"/>
        <v>0</v>
      </c>
      <c r="CU1042" s="552">
        <f t="shared" si="1075"/>
        <v>0</v>
      </c>
      <c r="CV1042" s="552">
        <f t="shared" si="1075"/>
        <v>0</v>
      </c>
      <c r="CW1042" s="552">
        <f t="shared" si="1075"/>
        <v>0</v>
      </c>
      <c r="CX1042" s="552">
        <f t="shared" si="1075"/>
        <v>0</v>
      </c>
      <c r="CY1042" s="552">
        <f t="shared" si="1075"/>
        <v>0</v>
      </c>
      <c r="CZ1042" s="552">
        <f t="shared" si="1075"/>
        <v>0</v>
      </c>
      <c r="DA1042" s="552">
        <f t="shared" si="1075"/>
        <v>0</v>
      </c>
      <c r="DB1042" s="552">
        <f t="shared" ref="DB1042:EG1042" si="1076">DB78*DB$338</f>
        <v>0</v>
      </c>
      <c r="DC1042" s="552">
        <f t="shared" si="1076"/>
        <v>0</v>
      </c>
      <c r="DD1042" s="552">
        <f t="shared" si="1076"/>
        <v>0</v>
      </c>
      <c r="DE1042" s="552">
        <f t="shared" si="1076"/>
        <v>0</v>
      </c>
      <c r="DF1042" s="552">
        <f t="shared" si="1076"/>
        <v>0</v>
      </c>
      <c r="DG1042" s="552">
        <f t="shared" si="1076"/>
        <v>0</v>
      </c>
      <c r="DH1042" s="552">
        <f t="shared" si="1076"/>
        <v>0</v>
      </c>
      <c r="DI1042" s="552">
        <f t="shared" si="1076"/>
        <v>0</v>
      </c>
      <c r="DJ1042" s="552">
        <f t="shared" si="1076"/>
        <v>0</v>
      </c>
      <c r="DK1042" s="552">
        <f t="shared" si="1076"/>
        <v>0</v>
      </c>
      <c r="DL1042" s="552">
        <f t="shared" si="1076"/>
        <v>0</v>
      </c>
      <c r="DM1042" s="552">
        <f t="shared" si="1076"/>
        <v>0</v>
      </c>
      <c r="DN1042" s="552">
        <f t="shared" si="1076"/>
        <v>0</v>
      </c>
      <c r="DO1042" s="552">
        <f t="shared" si="1076"/>
        <v>0</v>
      </c>
      <c r="DP1042" s="552">
        <f t="shared" si="1076"/>
        <v>0</v>
      </c>
      <c r="DQ1042" s="552">
        <f t="shared" si="1076"/>
        <v>0</v>
      </c>
      <c r="DR1042" s="552">
        <f t="shared" si="1076"/>
        <v>0</v>
      </c>
      <c r="DS1042" s="552">
        <f t="shared" si="1076"/>
        <v>0</v>
      </c>
      <c r="DT1042" s="552">
        <f t="shared" si="1076"/>
        <v>0</v>
      </c>
      <c r="DU1042" s="552">
        <f t="shared" si="1076"/>
        <v>0</v>
      </c>
      <c r="DV1042" s="552">
        <f t="shared" si="1076"/>
        <v>0</v>
      </c>
      <c r="DW1042" s="552">
        <f t="shared" si="1076"/>
        <v>0</v>
      </c>
      <c r="DX1042" s="552">
        <f t="shared" si="1076"/>
        <v>0</v>
      </c>
      <c r="DY1042" s="552">
        <f t="shared" si="1076"/>
        <v>0</v>
      </c>
      <c r="DZ1042" s="552">
        <f t="shared" si="1076"/>
        <v>0</v>
      </c>
      <c r="EA1042" s="552">
        <f t="shared" si="1076"/>
        <v>0</v>
      </c>
      <c r="EB1042" s="552">
        <f t="shared" si="1076"/>
        <v>0</v>
      </c>
      <c r="EC1042" s="552">
        <f t="shared" si="1076"/>
        <v>0</v>
      </c>
      <c r="ED1042" s="552">
        <f t="shared" si="1076"/>
        <v>0</v>
      </c>
      <c r="EE1042" s="552">
        <f t="shared" si="1076"/>
        <v>0</v>
      </c>
      <c r="EF1042" s="552">
        <f t="shared" si="1076"/>
        <v>0</v>
      </c>
      <c r="EG1042" s="552">
        <f t="shared" si="1076"/>
        <v>0</v>
      </c>
      <c r="EH1042" s="552">
        <f t="shared" ref="EH1042:EX1042" si="1077">EH78*EH$338</f>
        <v>0</v>
      </c>
      <c r="EI1042" s="552">
        <f t="shared" si="1077"/>
        <v>0</v>
      </c>
      <c r="EJ1042" s="552">
        <f t="shared" si="1077"/>
        <v>0</v>
      </c>
      <c r="EK1042" s="552">
        <f t="shared" si="1077"/>
        <v>0</v>
      </c>
      <c r="EL1042" s="552">
        <f t="shared" si="1077"/>
        <v>0</v>
      </c>
      <c r="EM1042" s="552">
        <f t="shared" si="1077"/>
        <v>0</v>
      </c>
      <c r="EN1042" s="552">
        <f t="shared" si="1077"/>
        <v>0</v>
      </c>
      <c r="EO1042" s="552">
        <f t="shared" si="1077"/>
        <v>0</v>
      </c>
      <c r="EP1042" s="552">
        <f t="shared" si="1077"/>
        <v>0</v>
      </c>
      <c r="EQ1042" s="552">
        <f t="shared" si="1077"/>
        <v>0</v>
      </c>
      <c r="ER1042" s="552">
        <f t="shared" si="1077"/>
        <v>0</v>
      </c>
      <c r="ES1042" s="552">
        <f t="shared" si="1077"/>
        <v>0</v>
      </c>
      <c r="ET1042" s="552">
        <f t="shared" si="1077"/>
        <v>0</v>
      </c>
      <c r="EU1042" s="552">
        <f t="shared" si="1077"/>
        <v>0</v>
      </c>
      <c r="EV1042" s="552">
        <f t="shared" si="1077"/>
        <v>0</v>
      </c>
      <c r="EW1042" s="552">
        <f t="shared" si="1077"/>
        <v>0</v>
      </c>
      <c r="EX1042" s="552">
        <f t="shared" si="1077"/>
        <v>0</v>
      </c>
      <c r="EY1042" s="799">
        <f t="shared" si="527"/>
        <v>11.5</v>
      </c>
      <c r="EZ1042" s="640"/>
      <c r="FA1042" s="640"/>
      <c r="FB1042" s="640"/>
      <c r="FC1042" s="640"/>
      <c r="FD1042" s="640"/>
      <c r="FE1042" s="640"/>
      <c r="FF1042" s="640"/>
      <c r="FG1042" s="640"/>
      <c r="FH1042" s="640"/>
      <c r="FI1042" s="640"/>
      <c r="FJ1042" s="640"/>
      <c r="FK1042" s="640"/>
      <c r="FL1042" s="640"/>
    </row>
    <row r="1043" spans="1:168" x14ac:dyDescent="0.25">
      <c r="A1043" s="1492"/>
      <c r="B1043" s="624" t="str">
        <f t="shared" si="1063"/>
        <v>Масло сливочное (порциями)</v>
      </c>
      <c r="C1043" s="624">
        <f t="shared" si="1071"/>
        <v>10</v>
      </c>
      <c r="D1043" s="624">
        <f t="shared" si="1071"/>
        <v>0.08</v>
      </c>
      <c r="E1043" s="1158">
        <f t="shared" si="1072"/>
        <v>7.1</v>
      </c>
      <c r="F1043" s="1158"/>
      <c r="G1043" s="1140"/>
      <c r="H1043" s="1140"/>
      <c r="I1043" s="552"/>
      <c r="J1043" s="552">
        <f t="shared" ref="J1043:AO1043" si="1078">J79*J$338</f>
        <v>0</v>
      </c>
      <c r="K1043" s="552">
        <f t="shared" si="1078"/>
        <v>0</v>
      </c>
      <c r="L1043" s="552">
        <f t="shared" si="1078"/>
        <v>0</v>
      </c>
      <c r="M1043" s="552">
        <f t="shared" si="1078"/>
        <v>0</v>
      </c>
      <c r="N1043" s="552">
        <f t="shared" si="1078"/>
        <v>0</v>
      </c>
      <c r="O1043" s="552">
        <f t="shared" si="1078"/>
        <v>0</v>
      </c>
      <c r="P1043" s="552">
        <f t="shared" si="1078"/>
        <v>0</v>
      </c>
      <c r="Q1043" s="552">
        <f t="shared" si="1078"/>
        <v>0</v>
      </c>
      <c r="R1043" s="552">
        <f t="shared" si="1078"/>
        <v>0</v>
      </c>
      <c r="S1043" s="552">
        <f t="shared" si="1078"/>
        <v>0</v>
      </c>
      <c r="T1043" s="552">
        <f t="shared" si="1078"/>
        <v>0</v>
      </c>
      <c r="U1043" s="552">
        <f t="shared" si="1078"/>
        <v>0</v>
      </c>
      <c r="V1043" s="552">
        <f t="shared" si="1078"/>
        <v>7.1</v>
      </c>
      <c r="W1043" s="552">
        <f t="shared" si="1078"/>
        <v>0</v>
      </c>
      <c r="X1043" s="552">
        <f t="shared" si="1078"/>
        <v>0</v>
      </c>
      <c r="Y1043" s="552">
        <f t="shared" si="1078"/>
        <v>0</v>
      </c>
      <c r="Z1043" s="552">
        <f t="shared" si="1078"/>
        <v>0</v>
      </c>
      <c r="AA1043" s="552">
        <f t="shared" si="1078"/>
        <v>0</v>
      </c>
      <c r="AB1043" s="552">
        <f t="shared" si="1078"/>
        <v>0</v>
      </c>
      <c r="AC1043" s="552">
        <f t="shared" si="1078"/>
        <v>0</v>
      </c>
      <c r="AD1043" s="552">
        <f t="shared" si="1078"/>
        <v>0</v>
      </c>
      <c r="AE1043" s="552">
        <f t="shared" si="1078"/>
        <v>0</v>
      </c>
      <c r="AF1043" s="552">
        <f t="shared" si="1078"/>
        <v>0</v>
      </c>
      <c r="AG1043" s="552">
        <f t="shared" si="1078"/>
        <v>0</v>
      </c>
      <c r="AH1043" s="552">
        <f t="shared" si="1078"/>
        <v>0</v>
      </c>
      <c r="AI1043" s="552">
        <f t="shared" si="1078"/>
        <v>0</v>
      </c>
      <c r="AJ1043" s="552">
        <f t="shared" si="1078"/>
        <v>0</v>
      </c>
      <c r="AK1043" s="552">
        <f t="shared" si="1078"/>
        <v>0</v>
      </c>
      <c r="AL1043" s="552">
        <f t="shared" si="1078"/>
        <v>0</v>
      </c>
      <c r="AM1043" s="552">
        <f t="shared" si="1078"/>
        <v>0</v>
      </c>
      <c r="AN1043" s="552">
        <f t="shared" si="1078"/>
        <v>0</v>
      </c>
      <c r="AO1043" s="552">
        <f t="shared" si="1078"/>
        <v>0</v>
      </c>
      <c r="AP1043" s="552">
        <f t="shared" ref="AP1043:BU1043" si="1079">AP79*AP$338</f>
        <v>0</v>
      </c>
      <c r="AQ1043" s="552">
        <f t="shared" si="1079"/>
        <v>0</v>
      </c>
      <c r="AR1043" s="552">
        <f t="shared" si="1079"/>
        <v>0</v>
      </c>
      <c r="AS1043" s="552">
        <f t="shared" si="1079"/>
        <v>0</v>
      </c>
      <c r="AT1043" s="552">
        <f t="shared" si="1079"/>
        <v>0</v>
      </c>
      <c r="AU1043" s="552">
        <f t="shared" si="1079"/>
        <v>0</v>
      </c>
      <c r="AV1043" s="552">
        <f t="shared" si="1079"/>
        <v>0</v>
      </c>
      <c r="AW1043" s="552">
        <f t="shared" si="1079"/>
        <v>0</v>
      </c>
      <c r="AX1043" s="552">
        <f t="shared" si="1079"/>
        <v>0</v>
      </c>
      <c r="AY1043" s="552">
        <f t="shared" si="1079"/>
        <v>0</v>
      </c>
      <c r="AZ1043" s="552">
        <f t="shared" si="1079"/>
        <v>0</v>
      </c>
      <c r="BA1043" s="552">
        <f t="shared" si="1079"/>
        <v>0</v>
      </c>
      <c r="BB1043" s="552">
        <f t="shared" si="1079"/>
        <v>0</v>
      </c>
      <c r="BC1043" s="552">
        <f t="shared" si="1079"/>
        <v>0</v>
      </c>
      <c r="BD1043" s="552">
        <f t="shared" si="1079"/>
        <v>0</v>
      </c>
      <c r="BE1043" s="552">
        <f t="shared" si="1079"/>
        <v>0</v>
      </c>
      <c r="BF1043" s="552">
        <f t="shared" si="1079"/>
        <v>0</v>
      </c>
      <c r="BG1043" s="552">
        <f t="shared" si="1079"/>
        <v>0</v>
      </c>
      <c r="BH1043" s="552">
        <f t="shared" si="1079"/>
        <v>0</v>
      </c>
      <c r="BI1043" s="552">
        <f t="shared" si="1079"/>
        <v>0</v>
      </c>
      <c r="BJ1043" s="552">
        <f t="shared" si="1079"/>
        <v>0</v>
      </c>
      <c r="BK1043" s="552">
        <f t="shared" si="1079"/>
        <v>0</v>
      </c>
      <c r="BL1043" s="552">
        <f t="shared" si="1079"/>
        <v>0</v>
      </c>
      <c r="BM1043" s="552">
        <f t="shared" si="1079"/>
        <v>0</v>
      </c>
      <c r="BN1043" s="552">
        <f t="shared" si="1079"/>
        <v>0</v>
      </c>
      <c r="BO1043" s="552">
        <f t="shared" si="1079"/>
        <v>0</v>
      </c>
      <c r="BP1043" s="552">
        <f t="shared" si="1079"/>
        <v>0</v>
      </c>
      <c r="BQ1043" s="552">
        <f t="shared" si="1079"/>
        <v>0</v>
      </c>
      <c r="BR1043" s="552">
        <f t="shared" si="1079"/>
        <v>0</v>
      </c>
      <c r="BS1043" s="552">
        <f t="shared" si="1079"/>
        <v>0</v>
      </c>
      <c r="BT1043" s="552">
        <f t="shared" si="1079"/>
        <v>0</v>
      </c>
      <c r="BU1043" s="552">
        <f t="shared" si="1079"/>
        <v>0</v>
      </c>
      <c r="BV1043" s="552">
        <f t="shared" ref="BV1043:DA1043" si="1080">BV79*BV$338</f>
        <v>0</v>
      </c>
      <c r="BW1043" s="552">
        <f t="shared" si="1080"/>
        <v>0</v>
      </c>
      <c r="BX1043" s="552">
        <f t="shared" si="1080"/>
        <v>0</v>
      </c>
      <c r="BY1043" s="552">
        <f t="shared" si="1080"/>
        <v>0</v>
      </c>
      <c r="BZ1043" s="552">
        <f t="shared" si="1080"/>
        <v>0</v>
      </c>
      <c r="CA1043" s="552">
        <f t="shared" si="1080"/>
        <v>0</v>
      </c>
      <c r="CB1043" s="552">
        <f t="shared" si="1080"/>
        <v>0</v>
      </c>
      <c r="CC1043" s="552">
        <f t="shared" si="1080"/>
        <v>0</v>
      </c>
      <c r="CD1043" s="552">
        <f t="shared" si="1080"/>
        <v>0</v>
      </c>
      <c r="CE1043" s="552">
        <f t="shared" si="1080"/>
        <v>0</v>
      </c>
      <c r="CF1043" s="552">
        <f t="shared" si="1080"/>
        <v>0</v>
      </c>
      <c r="CG1043" s="552">
        <f t="shared" si="1080"/>
        <v>0</v>
      </c>
      <c r="CH1043" s="552">
        <f t="shared" si="1080"/>
        <v>0</v>
      </c>
      <c r="CI1043" s="552">
        <f t="shared" si="1080"/>
        <v>0</v>
      </c>
      <c r="CJ1043" s="552">
        <f t="shared" si="1080"/>
        <v>0</v>
      </c>
      <c r="CK1043" s="552">
        <f t="shared" si="1080"/>
        <v>0</v>
      </c>
      <c r="CL1043" s="552">
        <f t="shared" si="1080"/>
        <v>0</v>
      </c>
      <c r="CM1043" s="552">
        <f t="shared" si="1080"/>
        <v>0</v>
      </c>
      <c r="CN1043" s="552">
        <f t="shared" si="1080"/>
        <v>0</v>
      </c>
      <c r="CO1043" s="552">
        <f t="shared" si="1080"/>
        <v>0</v>
      </c>
      <c r="CP1043" s="552">
        <f t="shared" si="1080"/>
        <v>0</v>
      </c>
      <c r="CQ1043" s="552">
        <f t="shared" si="1080"/>
        <v>0</v>
      </c>
      <c r="CR1043" s="552">
        <f t="shared" si="1080"/>
        <v>0</v>
      </c>
      <c r="CS1043" s="552">
        <f t="shared" si="1080"/>
        <v>0</v>
      </c>
      <c r="CT1043" s="552">
        <f t="shared" si="1080"/>
        <v>0</v>
      </c>
      <c r="CU1043" s="552">
        <f t="shared" si="1080"/>
        <v>0</v>
      </c>
      <c r="CV1043" s="552">
        <f t="shared" si="1080"/>
        <v>0</v>
      </c>
      <c r="CW1043" s="552">
        <f t="shared" si="1080"/>
        <v>0</v>
      </c>
      <c r="CX1043" s="552">
        <f t="shared" si="1080"/>
        <v>0</v>
      </c>
      <c r="CY1043" s="552">
        <f t="shared" si="1080"/>
        <v>0</v>
      </c>
      <c r="CZ1043" s="552">
        <f t="shared" si="1080"/>
        <v>0</v>
      </c>
      <c r="DA1043" s="552">
        <f t="shared" si="1080"/>
        <v>0</v>
      </c>
      <c r="DB1043" s="552">
        <f t="shared" ref="DB1043:EG1043" si="1081">DB79*DB$338</f>
        <v>0</v>
      </c>
      <c r="DC1043" s="552">
        <f t="shared" si="1081"/>
        <v>0</v>
      </c>
      <c r="DD1043" s="552">
        <f t="shared" si="1081"/>
        <v>0</v>
      </c>
      <c r="DE1043" s="552">
        <f t="shared" si="1081"/>
        <v>0</v>
      </c>
      <c r="DF1043" s="552">
        <f t="shared" si="1081"/>
        <v>0</v>
      </c>
      <c r="DG1043" s="552">
        <f t="shared" si="1081"/>
        <v>0</v>
      </c>
      <c r="DH1043" s="552">
        <f t="shared" si="1081"/>
        <v>0</v>
      </c>
      <c r="DI1043" s="552">
        <f t="shared" si="1081"/>
        <v>0</v>
      </c>
      <c r="DJ1043" s="552">
        <f t="shared" si="1081"/>
        <v>0</v>
      </c>
      <c r="DK1043" s="552">
        <f t="shared" si="1081"/>
        <v>0</v>
      </c>
      <c r="DL1043" s="552">
        <f t="shared" si="1081"/>
        <v>0</v>
      </c>
      <c r="DM1043" s="552">
        <f t="shared" si="1081"/>
        <v>0</v>
      </c>
      <c r="DN1043" s="552">
        <f t="shared" si="1081"/>
        <v>0</v>
      </c>
      <c r="DO1043" s="552">
        <f t="shared" si="1081"/>
        <v>0</v>
      </c>
      <c r="DP1043" s="552">
        <f t="shared" si="1081"/>
        <v>0</v>
      </c>
      <c r="DQ1043" s="552">
        <f t="shared" si="1081"/>
        <v>0</v>
      </c>
      <c r="DR1043" s="552">
        <f t="shared" si="1081"/>
        <v>0</v>
      </c>
      <c r="DS1043" s="552">
        <f t="shared" si="1081"/>
        <v>0</v>
      </c>
      <c r="DT1043" s="552">
        <f t="shared" si="1081"/>
        <v>0</v>
      </c>
      <c r="DU1043" s="552">
        <f t="shared" si="1081"/>
        <v>0</v>
      </c>
      <c r="DV1043" s="552">
        <f t="shared" si="1081"/>
        <v>0</v>
      </c>
      <c r="DW1043" s="552">
        <f t="shared" si="1081"/>
        <v>0</v>
      </c>
      <c r="DX1043" s="552">
        <f t="shared" si="1081"/>
        <v>0</v>
      </c>
      <c r="DY1043" s="552">
        <f t="shared" si="1081"/>
        <v>0</v>
      </c>
      <c r="DZ1043" s="552">
        <f t="shared" si="1081"/>
        <v>0</v>
      </c>
      <c r="EA1043" s="552">
        <f t="shared" si="1081"/>
        <v>0</v>
      </c>
      <c r="EB1043" s="552">
        <f t="shared" si="1081"/>
        <v>0</v>
      </c>
      <c r="EC1043" s="552">
        <f t="shared" si="1081"/>
        <v>0</v>
      </c>
      <c r="ED1043" s="552">
        <f t="shared" si="1081"/>
        <v>0</v>
      </c>
      <c r="EE1043" s="552">
        <f t="shared" si="1081"/>
        <v>0</v>
      </c>
      <c r="EF1043" s="552">
        <f t="shared" si="1081"/>
        <v>0</v>
      </c>
      <c r="EG1043" s="552">
        <f t="shared" si="1081"/>
        <v>0</v>
      </c>
      <c r="EH1043" s="552">
        <f t="shared" ref="EH1043:EX1043" si="1082">EH79*EH$338</f>
        <v>0</v>
      </c>
      <c r="EI1043" s="552">
        <f t="shared" si="1082"/>
        <v>0</v>
      </c>
      <c r="EJ1043" s="552">
        <f t="shared" si="1082"/>
        <v>0</v>
      </c>
      <c r="EK1043" s="552">
        <f t="shared" si="1082"/>
        <v>0</v>
      </c>
      <c r="EL1043" s="552">
        <f t="shared" si="1082"/>
        <v>0</v>
      </c>
      <c r="EM1043" s="552">
        <f t="shared" si="1082"/>
        <v>0</v>
      </c>
      <c r="EN1043" s="552">
        <f t="shared" si="1082"/>
        <v>0</v>
      </c>
      <c r="EO1043" s="552">
        <f t="shared" si="1082"/>
        <v>0</v>
      </c>
      <c r="EP1043" s="552">
        <f t="shared" si="1082"/>
        <v>0</v>
      </c>
      <c r="EQ1043" s="552">
        <f t="shared" si="1082"/>
        <v>0</v>
      </c>
      <c r="ER1043" s="552">
        <f t="shared" si="1082"/>
        <v>0</v>
      </c>
      <c r="ES1043" s="552">
        <f t="shared" si="1082"/>
        <v>0</v>
      </c>
      <c r="ET1043" s="552">
        <f t="shared" si="1082"/>
        <v>0</v>
      </c>
      <c r="EU1043" s="552">
        <f t="shared" si="1082"/>
        <v>0</v>
      </c>
      <c r="EV1043" s="552">
        <f t="shared" si="1082"/>
        <v>0</v>
      </c>
      <c r="EW1043" s="552">
        <f t="shared" si="1082"/>
        <v>0</v>
      </c>
      <c r="EX1043" s="552">
        <f t="shared" si="1082"/>
        <v>0</v>
      </c>
      <c r="EY1043" s="799">
        <f t="shared" si="527"/>
        <v>7.1</v>
      </c>
      <c r="EZ1043" s="640"/>
      <c r="FA1043" s="640"/>
      <c r="FB1043" s="640"/>
      <c r="FC1043" s="640"/>
      <c r="FD1043" s="640"/>
      <c r="FE1043" s="640"/>
      <c r="FF1043" s="640"/>
      <c r="FG1043" s="640"/>
      <c r="FH1043" s="640"/>
      <c r="FI1043" s="640"/>
      <c r="FJ1043" s="640"/>
      <c r="FK1043" s="640"/>
      <c r="FL1043" s="640"/>
    </row>
    <row r="1044" spans="1:168" x14ac:dyDescent="0.25">
      <c r="A1044" s="1492"/>
      <c r="B1044" s="624" t="str">
        <f t="shared" si="1063"/>
        <v>Хлеб пшенично-ржаной нарезной</v>
      </c>
      <c r="C1044" s="624">
        <f t="shared" si="1071"/>
        <v>40</v>
      </c>
      <c r="D1044" s="624">
        <f t="shared" si="1071"/>
        <v>3</v>
      </c>
      <c r="E1044" s="1158">
        <f t="shared" si="1072"/>
        <v>2.6</v>
      </c>
      <c r="F1044" s="1158"/>
      <c r="G1044" s="1140"/>
      <c r="H1044" s="1140"/>
      <c r="I1044" s="552"/>
      <c r="J1044" s="552">
        <f t="shared" ref="J1044:AO1044" si="1083">J80*J$338</f>
        <v>0</v>
      </c>
      <c r="K1044" s="552">
        <f t="shared" si="1083"/>
        <v>0</v>
      </c>
      <c r="L1044" s="552">
        <f t="shared" si="1083"/>
        <v>0</v>
      </c>
      <c r="M1044" s="552">
        <f t="shared" si="1083"/>
        <v>0</v>
      </c>
      <c r="N1044" s="552">
        <f t="shared" si="1083"/>
        <v>0</v>
      </c>
      <c r="O1044" s="552">
        <f t="shared" si="1083"/>
        <v>0</v>
      </c>
      <c r="P1044" s="552">
        <f t="shared" si="1083"/>
        <v>0</v>
      </c>
      <c r="Q1044" s="552">
        <f t="shared" si="1083"/>
        <v>0</v>
      </c>
      <c r="R1044" s="552">
        <f t="shared" si="1083"/>
        <v>0</v>
      </c>
      <c r="S1044" s="552">
        <f t="shared" si="1083"/>
        <v>0</v>
      </c>
      <c r="T1044" s="552">
        <f t="shared" si="1083"/>
        <v>0</v>
      </c>
      <c r="U1044" s="552">
        <f t="shared" si="1083"/>
        <v>0</v>
      </c>
      <c r="V1044" s="552">
        <f t="shared" si="1083"/>
        <v>0</v>
      </c>
      <c r="W1044" s="552">
        <f t="shared" si="1083"/>
        <v>0</v>
      </c>
      <c r="X1044" s="552">
        <f t="shared" si="1083"/>
        <v>0</v>
      </c>
      <c r="Y1044" s="552">
        <f t="shared" si="1083"/>
        <v>0</v>
      </c>
      <c r="Z1044" s="552">
        <f t="shared" si="1083"/>
        <v>0</v>
      </c>
      <c r="AA1044" s="552">
        <f t="shared" si="1083"/>
        <v>0</v>
      </c>
      <c r="AB1044" s="552">
        <f t="shared" si="1083"/>
        <v>0</v>
      </c>
      <c r="AC1044" s="552">
        <f t="shared" si="1083"/>
        <v>0</v>
      </c>
      <c r="AD1044" s="552">
        <f t="shared" si="1083"/>
        <v>0</v>
      </c>
      <c r="AE1044" s="552">
        <f t="shared" si="1083"/>
        <v>0</v>
      </c>
      <c r="AF1044" s="552">
        <f t="shared" si="1083"/>
        <v>0</v>
      </c>
      <c r="AG1044" s="552">
        <f t="shared" si="1083"/>
        <v>0</v>
      </c>
      <c r="AH1044" s="552">
        <f t="shared" si="1083"/>
        <v>0</v>
      </c>
      <c r="AI1044" s="552">
        <f t="shared" si="1083"/>
        <v>0</v>
      </c>
      <c r="AJ1044" s="552">
        <f t="shared" si="1083"/>
        <v>0</v>
      </c>
      <c r="AK1044" s="552">
        <f t="shared" si="1083"/>
        <v>0</v>
      </c>
      <c r="AL1044" s="552">
        <f t="shared" si="1083"/>
        <v>0</v>
      </c>
      <c r="AM1044" s="552">
        <f t="shared" si="1083"/>
        <v>0</v>
      </c>
      <c r="AN1044" s="552">
        <f t="shared" si="1083"/>
        <v>0</v>
      </c>
      <c r="AO1044" s="552">
        <f t="shared" si="1083"/>
        <v>0</v>
      </c>
      <c r="AP1044" s="552">
        <f t="shared" ref="AP1044:BU1044" si="1084">AP80*AP$338</f>
        <v>0</v>
      </c>
      <c r="AQ1044" s="552">
        <f t="shared" si="1084"/>
        <v>0</v>
      </c>
      <c r="AR1044" s="552">
        <f t="shared" si="1084"/>
        <v>0</v>
      </c>
      <c r="AS1044" s="552">
        <f t="shared" si="1084"/>
        <v>0</v>
      </c>
      <c r="AT1044" s="552">
        <f t="shared" si="1084"/>
        <v>0</v>
      </c>
      <c r="AU1044" s="552">
        <f t="shared" si="1084"/>
        <v>0</v>
      </c>
      <c r="AV1044" s="552">
        <f t="shared" si="1084"/>
        <v>0</v>
      </c>
      <c r="AW1044" s="552">
        <f t="shared" si="1084"/>
        <v>0</v>
      </c>
      <c r="AX1044" s="552">
        <f t="shared" si="1084"/>
        <v>0</v>
      </c>
      <c r="AY1044" s="552">
        <f t="shared" si="1084"/>
        <v>0</v>
      </c>
      <c r="AZ1044" s="552">
        <f t="shared" si="1084"/>
        <v>0</v>
      </c>
      <c r="BA1044" s="552">
        <f t="shared" si="1084"/>
        <v>0</v>
      </c>
      <c r="BB1044" s="552">
        <f t="shared" si="1084"/>
        <v>0</v>
      </c>
      <c r="BC1044" s="552">
        <f t="shared" si="1084"/>
        <v>0</v>
      </c>
      <c r="BD1044" s="552">
        <f t="shared" si="1084"/>
        <v>0</v>
      </c>
      <c r="BE1044" s="552">
        <f t="shared" si="1084"/>
        <v>0</v>
      </c>
      <c r="BF1044" s="552">
        <f t="shared" si="1084"/>
        <v>0</v>
      </c>
      <c r="BG1044" s="552">
        <f t="shared" si="1084"/>
        <v>0</v>
      </c>
      <c r="BH1044" s="552">
        <f t="shared" si="1084"/>
        <v>0</v>
      </c>
      <c r="BI1044" s="552">
        <f t="shared" si="1084"/>
        <v>0</v>
      </c>
      <c r="BJ1044" s="552">
        <f t="shared" si="1084"/>
        <v>0</v>
      </c>
      <c r="BK1044" s="552">
        <f t="shared" si="1084"/>
        <v>0</v>
      </c>
      <c r="BL1044" s="552">
        <f t="shared" si="1084"/>
        <v>0</v>
      </c>
      <c r="BM1044" s="552">
        <f t="shared" si="1084"/>
        <v>0</v>
      </c>
      <c r="BN1044" s="552">
        <f t="shared" si="1084"/>
        <v>0</v>
      </c>
      <c r="BO1044" s="552">
        <f t="shared" si="1084"/>
        <v>0</v>
      </c>
      <c r="BP1044" s="552">
        <f t="shared" si="1084"/>
        <v>0</v>
      </c>
      <c r="BQ1044" s="552">
        <f t="shared" si="1084"/>
        <v>0</v>
      </c>
      <c r="BR1044" s="552">
        <f t="shared" si="1084"/>
        <v>0</v>
      </c>
      <c r="BS1044" s="552">
        <f t="shared" si="1084"/>
        <v>0</v>
      </c>
      <c r="BT1044" s="552">
        <f t="shared" si="1084"/>
        <v>0</v>
      </c>
      <c r="BU1044" s="552">
        <f t="shared" si="1084"/>
        <v>0</v>
      </c>
      <c r="BV1044" s="552">
        <f t="shared" ref="BV1044:DA1044" si="1085">BV80*BV$338</f>
        <v>0</v>
      </c>
      <c r="BW1044" s="552">
        <f t="shared" si="1085"/>
        <v>0</v>
      </c>
      <c r="BX1044" s="552">
        <f t="shared" si="1085"/>
        <v>0</v>
      </c>
      <c r="BY1044" s="552">
        <f t="shared" si="1085"/>
        <v>0</v>
      </c>
      <c r="BZ1044" s="552">
        <f t="shared" si="1085"/>
        <v>0</v>
      </c>
      <c r="CA1044" s="552">
        <f t="shared" si="1085"/>
        <v>0</v>
      </c>
      <c r="CB1044" s="552">
        <f t="shared" si="1085"/>
        <v>0</v>
      </c>
      <c r="CC1044" s="552">
        <f t="shared" si="1085"/>
        <v>0</v>
      </c>
      <c r="CD1044" s="552">
        <f t="shared" si="1085"/>
        <v>0</v>
      </c>
      <c r="CE1044" s="552">
        <f t="shared" si="1085"/>
        <v>0</v>
      </c>
      <c r="CF1044" s="552">
        <f t="shared" si="1085"/>
        <v>0</v>
      </c>
      <c r="CG1044" s="552">
        <f t="shared" si="1085"/>
        <v>0</v>
      </c>
      <c r="CH1044" s="552">
        <f t="shared" si="1085"/>
        <v>0</v>
      </c>
      <c r="CI1044" s="552">
        <f t="shared" si="1085"/>
        <v>0</v>
      </c>
      <c r="CJ1044" s="552">
        <f t="shared" si="1085"/>
        <v>0</v>
      </c>
      <c r="CK1044" s="552">
        <f t="shared" si="1085"/>
        <v>0</v>
      </c>
      <c r="CL1044" s="552">
        <f t="shared" si="1085"/>
        <v>0</v>
      </c>
      <c r="CM1044" s="552">
        <f t="shared" si="1085"/>
        <v>0</v>
      </c>
      <c r="CN1044" s="552">
        <f t="shared" si="1085"/>
        <v>0</v>
      </c>
      <c r="CO1044" s="552">
        <f t="shared" si="1085"/>
        <v>0</v>
      </c>
      <c r="CP1044" s="552">
        <f t="shared" si="1085"/>
        <v>0</v>
      </c>
      <c r="CQ1044" s="552">
        <f t="shared" si="1085"/>
        <v>0</v>
      </c>
      <c r="CR1044" s="552">
        <f t="shared" si="1085"/>
        <v>0</v>
      </c>
      <c r="CS1044" s="552">
        <f t="shared" si="1085"/>
        <v>0</v>
      </c>
      <c r="CT1044" s="552">
        <f t="shared" si="1085"/>
        <v>0</v>
      </c>
      <c r="CU1044" s="552">
        <f t="shared" si="1085"/>
        <v>0</v>
      </c>
      <c r="CV1044" s="552">
        <f t="shared" si="1085"/>
        <v>0</v>
      </c>
      <c r="CW1044" s="552">
        <f t="shared" si="1085"/>
        <v>0</v>
      </c>
      <c r="CX1044" s="552">
        <f t="shared" si="1085"/>
        <v>0</v>
      </c>
      <c r="CY1044" s="552">
        <f t="shared" si="1085"/>
        <v>0</v>
      </c>
      <c r="CZ1044" s="552">
        <f t="shared" si="1085"/>
        <v>0</v>
      </c>
      <c r="DA1044" s="552">
        <f t="shared" si="1085"/>
        <v>0</v>
      </c>
      <c r="DB1044" s="552">
        <f t="shared" ref="DB1044:EG1044" si="1086">DB80*DB$338</f>
        <v>0</v>
      </c>
      <c r="DC1044" s="552">
        <f t="shared" si="1086"/>
        <v>0</v>
      </c>
      <c r="DD1044" s="552">
        <f t="shared" si="1086"/>
        <v>0</v>
      </c>
      <c r="DE1044" s="552">
        <f t="shared" si="1086"/>
        <v>0</v>
      </c>
      <c r="DF1044" s="552">
        <f t="shared" si="1086"/>
        <v>0</v>
      </c>
      <c r="DG1044" s="552">
        <f t="shared" si="1086"/>
        <v>0</v>
      </c>
      <c r="DH1044" s="552">
        <f t="shared" si="1086"/>
        <v>0</v>
      </c>
      <c r="DI1044" s="552">
        <f t="shared" si="1086"/>
        <v>0</v>
      </c>
      <c r="DJ1044" s="552">
        <f t="shared" si="1086"/>
        <v>0</v>
      </c>
      <c r="DK1044" s="552">
        <f t="shared" si="1086"/>
        <v>0</v>
      </c>
      <c r="DL1044" s="552">
        <f t="shared" si="1086"/>
        <v>0</v>
      </c>
      <c r="DM1044" s="552">
        <f t="shared" si="1086"/>
        <v>0</v>
      </c>
      <c r="DN1044" s="552">
        <f t="shared" si="1086"/>
        <v>0</v>
      </c>
      <c r="DO1044" s="552">
        <f t="shared" si="1086"/>
        <v>0</v>
      </c>
      <c r="DP1044" s="552">
        <f t="shared" si="1086"/>
        <v>0</v>
      </c>
      <c r="DQ1044" s="552">
        <f t="shared" si="1086"/>
        <v>0</v>
      </c>
      <c r="DR1044" s="552">
        <f t="shared" si="1086"/>
        <v>0</v>
      </c>
      <c r="DS1044" s="552">
        <f t="shared" si="1086"/>
        <v>0</v>
      </c>
      <c r="DT1044" s="552">
        <f t="shared" si="1086"/>
        <v>0</v>
      </c>
      <c r="DU1044" s="552">
        <f t="shared" si="1086"/>
        <v>0</v>
      </c>
      <c r="DV1044" s="552">
        <f t="shared" si="1086"/>
        <v>0</v>
      </c>
      <c r="DW1044" s="552">
        <f t="shared" si="1086"/>
        <v>0</v>
      </c>
      <c r="DX1044" s="552">
        <f t="shared" si="1086"/>
        <v>0</v>
      </c>
      <c r="DY1044" s="552">
        <f t="shared" si="1086"/>
        <v>0</v>
      </c>
      <c r="DZ1044" s="552">
        <f t="shared" si="1086"/>
        <v>0</v>
      </c>
      <c r="EA1044" s="552">
        <f t="shared" si="1086"/>
        <v>0</v>
      </c>
      <c r="EB1044" s="552">
        <f t="shared" si="1086"/>
        <v>0</v>
      </c>
      <c r="EC1044" s="552">
        <f t="shared" si="1086"/>
        <v>0</v>
      </c>
      <c r="ED1044" s="552">
        <f t="shared" si="1086"/>
        <v>0</v>
      </c>
      <c r="EE1044" s="552">
        <f t="shared" si="1086"/>
        <v>0</v>
      </c>
      <c r="EF1044" s="552">
        <f t="shared" si="1086"/>
        <v>0</v>
      </c>
      <c r="EG1044" s="552">
        <f t="shared" si="1086"/>
        <v>0</v>
      </c>
      <c r="EH1044" s="552">
        <f t="shared" ref="EH1044:EX1044" si="1087">EH80*EH$338</f>
        <v>0</v>
      </c>
      <c r="EI1044" s="552">
        <f t="shared" si="1087"/>
        <v>0</v>
      </c>
      <c r="EJ1044" s="552">
        <f t="shared" si="1087"/>
        <v>0</v>
      </c>
      <c r="EK1044" s="552">
        <f t="shared" si="1087"/>
        <v>0</v>
      </c>
      <c r="EL1044" s="552">
        <f t="shared" si="1087"/>
        <v>0</v>
      </c>
      <c r="EM1044" s="552">
        <f t="shared" si="1087"/>
        <v>0</v>
      </c>
      <c r="EN1044" s="552">
        <f t="shared" si="1087"/>
        <v>0</v>
      </c>
      <c r="EO1044" s="552">
        <f t="shared" si="1087"/>
        <v>0</v>
      </c>
      <c r="EP1044" s="552">
        <f t="shared" si="1087"/>
        <v>0</v>
      </c>
      <c r="EQ1044" s="552">
        <f t="shared" si="1087"/>
        <v>0</v>
      </c>
      <c r="ER1044" s="552">
        <f t="shared" si="1087"/>
        <v>0</v>
      </c>
      <c r="ES1044" s="552">
        <f t="shared" si="1087"/>
        <v>0</v>
      </c>
      <c r="ET1044" s="552">
        <f t="shared" si="1087"/>
        <v>0</v>
      </c>
      <c r="EU1044" s="552">
        <f t="shared" si="1087"/>
        <v>0</v>
      </c>
      <c r="EV1044" s="552">
        <f t="shared" si="1087"/>
        <v>0</v>
      </c>
      <c r="EW1044" s="552">
        <f t="shared" si="1087"/>
        <v>2.6</v>
      </c>
      <c r="EX1044" s="552">
        <f t="shared" si="1087"/>
        <v>0</v>
      </c>
      <c r="EY1044" s="799">
        <f t="shared" si="527"/>
        <v>2.6</v>
      </c>
      <c r="EZ1044" s="640"/>
      <c r="FA1044" s="640"/>
      <c r="FB1044" s="640"/>
      <c r="FC1044" s="640"/>
      <c r="FD1044" s="640"/>
      <c r="FE1044" s="640"/>
      <c r="FF1044" s="640"/>
      <c r="FG1044" s="640"/>
      <c r="FH1044" s="640"/>
      <c r="FI1044" s="640"/>
      <c r="FJ1044" s="640"/>
      <c r="FK1044" s="640"/>
      <c r="FL1044" s="640"/>
    </row>
    <row r="1045" spans="1:168" x14ac:dyDescent="0.25">
      <c r="A1045" s="1492"/>
      <c r="B1045" s="624" t="str">
        <f t="shared" si="1063"/>
        <v>Чай с сахаром</v>
      </c>
      <c r="C1045" s="624">
        <f t="shared" si="1071"/>
        <v>200</v>
      </c>
      <c r="D1045" s="624">
        <f t="shared" si="1071"/>
        <v>7.0000000000000007E-2</v>
      </c>
      <c r="E1045" s="1158">
        <f t="shared" si="1072"/>
        <v>1.59</v>
      </c>
      <c r="F1045" s="1158"/>
      <c r="G1045" s="1140"/>
      <c r="H1045" s="1140"/>
      <c r="I1045" s="552"/>
      <c r="J1045" s="552">
        <f t="shared" ref="J1045:AO1045" si="1088">J81*J$338</f>
        <v>0</v>
      </c>
      <c r="K1045" s="552">
        <f t="shared" si="1088"/>
        <v>0</v>
      </c>
      <c r="L1045" s="552">
        <f t="shared" si="1088"/>
        <v>0</v>
      </c>
      <c r="M1045" s="552">
        <f t="shared" si="1088"/>
        <v>0</v>
      </c>
      <c r="N1045" s="552">
        <f t="shared" si="1088"/>
        <v>0</v>
      </c>
      <c r="O1045" s="552">
        <f t="shared" si="1088"/>
        <v>0</v>
      </c>
      <c r="P1045" s="552">
        <f t="shared" si="1088"/>
        <v>0</v>
      </c>
      <c r="Q1045" s="552">
        <f t="shared" si="1088"/>
        <v>0</v>
      </c>
      <c r="R1045" s="552">
        <f t="shared" si="1088"/>
        <v>0</v>
      </c>
      <c r="S1045" s="552">
        <f t="shared" si="1088"/>
        <v>0</v>
      </c>
      <c r="T1045" s="552">
        <f t="shared" si="1088"/>
        <v>0</v>
      </c>
      <c r="U1045" s="552">
        <f t="shared" si="1088"/>
        <v>0</v>
      </c>
      <c r="V1045" s="552">
        <f t="shared" si="1088"/>
        <v>0</v>
      </c>
      <c r="W1045" s="552">
        <f t="shared" si="1088"/>
        <v>0</v>
      </c>
      <c r="X1045" s="552">
        <f t="shared" si="1088"/>
        <v>0</v>
      </c>
      <c r="Y1045" s="552">
        <f t="shared" si="1088"/>
        <v>0</v>
      </c>
      <c r="Z1045" s="552">
        <f t="shared" si="1088"/>
        <v>0</v>
      </c>
      <c r="AA1045" s="552">
        <f t="shared" si="1088"/>
        <v>0</v>
      </c>
      <c r="AB1045" s="552">
        <f t="shared" si="1088"/>
        <v>0</v>
      </c>
      <c r="AC1045" s="552">
        <f t="shared" si="1088"/>
        <v>0</v>
      </c>
      <c r="AD1045" s="552">
        <f t="shared" si="1088"/>
        <v>0</v>
      </c>
      <c r="AE1045" s="552">
        <f t="shared" si="1088"/>
        <v>0</v>
      </c>
      <c r="AF1045" s="552">
        <f t="shared" si="1088"/>
        <v>0</v>
      </c>
      <c r="AG1045" s="552">
        <f t="shared" si="1088"/>
        <v>0</v>
      </c>
      <c r="AH1045" s="552">
        <f t="shared" si="1088"/>
        <v>0</v>
      </c>
      <c r="AI1045" s="552">
        <f t="shared" si="1088"/>
        <v>0</v>
      </c>
      <c r="AJ1045" s="552">
        <f t="shared" si="1088"/>
        <v>0</v>
      </c>
      <c r="AK1045" s="552">
        <f t="shared" si="1088"/>
        <v>0</v>
      </c>
      <c r="AL1045" s="552">
        <f t="shared" si="1088"/>
        <v>0</v>
      </c>
      <c r="AM1045" s="552">
        <f t="shared" si="1088"/>
        <v>0</v>
      </c>
      <c r="AN1045" s="552">
        <f t="shared" si="1088"/>
        <v>0</v>
      </c>
      <c r="AO1045" s="552">
        <f t="shared" si="1088"/>
        <v>0</v>
      </c>
      <c r="AP1045" s="552">
        <f t="shared" ref="AP1045:BU1045" si="1089">AP81*AP$338</f>
        <v>0</v>
      </c>
      <c r="AQ1045" s="552">
        <f t="shared" si="1089"/>
        <v>0</v>
      </c>
      <c r="AR1045" s="552">
        <f t="shared" si="1089"/>
        <v>0</v>
      </c>
      <c r="AS1045" s="552">
        <f t="shared" si="1089"/>
        <v>0</v>
      </c>
      <c r="AT1045" s="552">
        <f t="shared" si="1089"/>
        <v>0</v>
      </c>
      <c r="AU1045" s="552">
        <f t="shared" si="1089"/>
        <v>0</v>
      </c>
      <c r="AV1045" s="552">
        <f t="shared" si="1089"/>
        <v>0</v>
      </c>
      <c r="AW1045" s="552">
        <f t="shared" si="1089"/>
        <v>0</v>
      </c>
      <c r="AX1045" s="552">
        <f t="shared" si="1089"/>
        <v>0</v>
      </c>
      <c r="AY1045" s="552">
        <f t="shared" si="1089"/>
        <v>0</v>
      </c>
      <c r="AZ1045" s="552">
        <f t="shared" si="1089"/>
        <v>0</v>
      </c>
      <c r="BA1045" s="552">
        <f t="shared" si="1089"/>
        <v>0</v>
      </c>
      <c r="BB1045" s="552">
        <f t="shared" si="1089"/>
        <v>0</v>
      </c>
      <c r="BC1045" s="552">
        <f t="shared" si="1089"/>
        <v>0</v>
      </c>
      <c r="BD1045" s="552">
        <f t="shared" si="1089"/>
        <v>0</v>
      </c>
      <c r="BE1045" s="552">
        <f t="shared" si="1089"/>
        <v>0</v>
      </c>
      <c r="BF1045" s="552">
        <f t="shared" si="1089"/>
        <v>0</v>
      </c>
      <c r="BG1045" s="552">
        <f t="shared" si="1089"/>
        <v>0</v>
      </c>
      <c r="BH1045" s="552">
        <f t="shared" si="1089"/>
        <v>0</v>
      </c>
      <c r="BI1045" s="552">
        <f t="shared" si="1089"/>
        <v>0</v>
      </c>
      <c r="BJ1045" s="552">
        <f t="shared" si="1089"/>
        <v>0</v>
      </c>
      <c r="BK1045" s="552">
        <f t="shared" si="1089"/>
        <v>0</v>
      </c>
      <c r="BL1045" s="552">
        <f t="shared" si="1089"/>
        <v>0</v>
      </c>
      <c r="BM1045" s="552">
        <f t="shared" si="1089"/>
        <v>0</v>
      </c>
      <c r="BN1045" s="552">
        <f t="shared" si="1089"/>
        <v>0</v>
      </c>
      <c r="BO1045" s="552">
        <f t="shared" si="1089"/>
        <v>0</v>
      </c>
      <c r="BP1045" s="552">
        <f t="shared" si="1089"/>
        <v>0</v>
      </c>
      <c r="BQ1045" s="552">
        <f t="shared" si="1089"/>
        <v>0</v>
      </c>
      <c r="BR1045" s="552">
        <f t="shared" si="1089"/>
        <v>0</v>
      </c>
      <c r="BS1045" s="552">
        <f t="shared" si="1089"/>
        <v>0</v>
      </c>
      <c r="BT1045" s="552">
        <f t="shared" si="1089"/>
        <v>0</v>
      </c>
      <c r="BU1045" s="552">
        <f t="shared" si="1089"/>
        <v>0</v>
      </c>
      <c r="BV1045" s="552">
        <f t="shared" ref="BV1045:DA1045" si="1090">BV81*BV$338</f>
        <v>0</v>
      </c>
      <c r="BW1045" s="552">
        <f t="shared" si="1090"/>
        <v>0</v>
      </c>
      <c r="BX1045" s="552">
        <f t="shared" si="1090"/>
        <v>0</v>
      </c>
      <c r="BY1045" s="552">
        <f t="shared" si="1090"/>
        <v>0</v>
      </c>
      <c r="BZ1045" s="552">
        <f t="shared" si="1090"/>
        <v>0</v>
      </c>
      <c r="CA1045" s="552">
        <f t="shared" si="1090"/>
        <v>0</v>
      </c>
      <c r="CB1045" s="552">
        <f t="shared" si="1090"/>
        <v>0</v>
      </c>
      <c r="CC1045" s="552">
        <f t="shared" si="1090"/>
        <v>0</v>
      </c>
      <c r="CD1045" s="552">
        <f t="shared" si="1090"/>
        <v>0</v>
      </c>
      <c r="CE1045" s="552">
        <f t="shared" si="1090"/>
        <v>0</v>
      </c>
      <c r="CF1045" s="552">
        <f t="shared" si="1090"/>
        <v>0</v>
      </c>
      <c r="CG1045" s="552">
        <f t="shared" si="1090"/>
        <v>0</v>
      </c>
      <c r="CH1045" s="552">
        <f t="shared" si="1090"/>
        <v>0</v>
      </c>
      <c r="CI1045" s="552">
        <f t="shared" si="1090"/>
        <v>0</v>
      </c>
      <c r="CJ1045" s="552">
        <f t="shared" si="1090"/>
        <v>0</v>
      </c>
      <c r="CK1045" s="552">
        <f t="shared" si="1090"/>
        <v>0</v>
      </c>
      <c r="CL1045" s="552">
        <f t="shared" si="1090"/>
        <v>0</v>
      </c>
      <c r="CM1045" s="552">
        <f t="shared" si="1090"/>
        <v>0</v>
      </c>
      <c r="CN1045" s="552">
        <f t="shared" si="1090"/>
        <v>0</v>
      </c>
      <c r="CO1045" s="552">
        <f t="shared" si="1090"/>
        <v>0</v>
      </c>
      <c r="CP1045" s="552">
        <f t="shared" si="1090"/>
        <v>0</v>
      </c>
      <c r="CQ1045" s="552">
        <f t="shared" si="1090"/>
        <v>0</v>
      </c>
      <c r="CR1045" s="552">
        <f t="shared" si="1090"/>
        <v>0</v>
      </c>
      <c r="CS1045" s="552">
        <f t="shared" si="1090"/>
        <v>0</v>
      </c>
      <c r="CT1045" s="552">
        <f t="shared" si="1090"/>
        <v>0</v>
      </c>
      <c r="CU1045" s="552">
        <f t="shared" si="1090"/>
        <v>0</v>
      </c>
      <c r="CV1045" s="552">
        <f t="shared" si="1090"/>
        <v>0</v>
      </c>
      <c r="CW1045" s="552">
        <f t="shared" si="1090"/>
        <v>0</v>
      </c>
      <c r="CX1045" s="552">
        <f t="shared" si="1090"/>
        <v>0</v>
      </c>
      <c r="CY1045" s="552">
        <f t="shared" si="1090"/>
        <v>0</v>
      </c>
      <c r="CZ1045" s="552">
        <f t="shared" si="1090"/>
        <v>1.1399999999999999</v>
      </c>
      <c r="DA1045" s="552">
        <f t="shared" si="1090"/>
        <v>0</v>
      </c>
      <c r="DB1045" s="552">
        <f t="shared" ref="DB1045:EG1045" si="1091">DB81*DB$338</f>
        <v>0</v>
      </c>
      <c r="DC1045" s="552">
        <f t="shared" si="1091"/>
        <v>0</v>
      </c>
      <c r="DD1045" s="552">
        <f t="shared" si="1091"/>
        <v>0</v>
      </c>
      <c r="DE1045" s="552">
        <f t="shared" si="1091"/>
        <v>0</v>
      </c>
      <c r="DF1045" s="552">
        <f t="shared" si="1091"/>
        <v>0</v>
      </c>
      <c r="DG1045" s="552">
        <f t="shared" si="1091"/>
        <v>0</v>
      </c>
      <c r="DH1045" s="552">
        <f t="shared" si="1091"/>
        <v>0</v>
      </c>
      <c r="DI1045" s="552">
        <f t="shared" si="1091"/>
        <v>0</v>
      </c>
      <c r="DJ1045" s="552">
        <f t="shared" si="1091"/>
        <v>0</v>
      </c>
      <c r="DK1045" s="552">
        <f t="shared" si="1091"/>
        <v>0</v>
      </c>
      <c r="DL1045" s="552">
        <f t="shared" si="1091"/>
        <v>0</v>
      </c>
      <c r="DM1045" s="552">
        <f t="shared" si="1091"/>
        <v>0</v>
      </c>
      <c r="DN1045" s="552">
        <f t="shared" si="1091"/>
        <v>0</v>
      </c>
      <c r="DO1045" s="552">
        <f t="shared" si="1091"/>
        <v>0</v>
      </c>
      <c r="DP1045" s="552">
        <f t="shared" si="1091"/>
        <v>0</v>
      </c>
      <c r="DQ1045" s="552">
        <f t="shared" si="1091"/>
        <v>0</v>
      </c>
      <c r="DR1045" s="552">
        <f t="shared" si="1091"/>
        <v>0.45</v>
      </c>
      <c r="DS1045" s="552">
        <f t="shared" si="1091"/>
        <v>0</v>
      </c>
      <c r="DT1045" s="552">
        <f t="shared" si="1091"/>
        <v>0</v>
      </c>
      <c r="DU1045" s="552">
        <f t="shared" si="1091"/>
        <v>0</v>
      </c>
      <c r="DV1045" s="552">
        <f t="shared" si="1091"/>
        <v>0</v>
      </c>
      <c r="DW1045" s="552">
        <f t="shared" si="1091"/>
        <v>0</v>
      </c>
      <c r="DX1045" s="552">
        <f t="shared" si="1091"/>
        <v>0</v>
      </c>
      <c r="DY1045" s="552">
        <f t="shared" si="1091"/>
        <v>0</v>
      </c>
      <c r="DZ1045" s="552">
        <f t="shared" si="1091"/>
        <v>0</v>
      </c>
      <c r="EA1045" s="552">
        <f t="shared" si="1091"/>
        <v>0</v>
      </c>
      <c r="EB1045" s="552">
        <f t="shared" si="1091"/>
        <v>0</v>
      </c>
      <c r="EC1045" s="552">
        <f t="shared" si="1091"/>
        <v>0</v>
      </c>
      <c r="ED1045" s="552">
        <f t="shared" si="1091"/>
        <v>0</v>
      </c>
      <c r="EE1045" s="552">
        <f t="shared" si="1091"/>
        <v>0</v>
      </c>
      <c r="EF1045" s="552">
        <f t="shared" si="1091"/>
        <v>0</v>
      </c>
      <c r="EG1045" s="552">
        <f t="shared" si="1091"/>
        <v>0</v>
      </c>
      <c r="EH1045" s="552">
        <f t="shared" ref="EH1045:EX1045" si="1092">EH81*EH$338</f>
        <v>0</v>
      </c>
      <c r="EI1045" s="552">
        <f t="shared" si="1092"/>
        <v>0</v>
      </c>
      <c r="EJ1045" s="552">
        <f t="shared" si="1092"/>
        <v>0</v>
      </c>
      <c r="EK1045" s="552">
        <f t="shared" si="1092"/>
        <v>0</v>
      </c>
      <c r="EL1045" s="552">
        <f t="shared" si="1092"/>
        <v>0</v>
      </c>
      <c r="EM1045" s="552">
        <f t="shared" si="1092"/>
        <v>0</v>
      </c>
      <c r="EN1045" s="552">
        <f t="shared" si="1092"/>
        <v>0</v>
      </c>
      <c r="EO1045" s="552">
        <f t="shared" si="1092"/>
        <v>0</v>
      </c>
      <c r="EP1045" s="552">
        <f t="shared" si="1092"/>
        <v>0</v>
      </c>
      <c r="EQ1045" s="552">
        <f t="shared" si="1092"/>
        <v>0</v>
      </c>
      <c r="ER1045" s="552">
        <f t="shared" si="1092"/>
        <v>0</v>
      </c>
      <c r="ES1045" s="552">
        <f t="shared" si="1092"/>
        <v>0</v>
      </c>
      <c r="ET1045" s="552">
        <f t="shared" si="1092"/>
        <v>0</v>
      </c>
      <c r="EU1045" s="552">
        <f t="shared" si="1092"/>
        <v>0</v>
      </c>
      <c r="EV1045" s="552">
        <f t="shared" si="1092"/>
        <v>0</v>
      </c>
      <c r="EW1045" s="552">
        <f t="shared" si="1092"/>
        <v>0</v>
      </c>
      <c r="EX1045" s="552">
        <f t="shared" si="1092"/>
        <v>0</v>
      </c>
      <c r="EY1045" s="799">
        <f t="shared" si="527"/>
        <v>1.59</v>
      </c>
      <c r="EZ1045" s="640"/>
      <c r="FA1045" s="640"/>
      <c r="FB1045" s="640"/>
      <c r="FC1045" s="640"/>
      <c r="FD1045" s="640"/>
      <c r="FE1045" s="640"/>
      <c r="FF1045" s="640"/>
      <c r="FG1045" s="640"/>
      <c r="FH1045" s="640"/>
      <c r="FI1045" s="640"/>
      <c r="FJ1045" s="640"/>
      <c r="FK1045" s="640"/>
      <c r="FL1045" s="640"/>
    </row>
    <row r="1046" spans="1:168" x14ac:dyDescent="0.25">
      <c r="A1046" s="1493"/>
      <c r="B1046" s="624" t="str">
        <f t="shared" si="1063"/>
        <v>Яблоки свежие</v>
      </c>
      <c r="C1046" s="624">
        <f t="shared" si="1071"/>
        <v>200</v>
      </c>
      <c r="D1046" s="624">
        <f t="shared" si="1071"/>
        <v>0.8</v>
      </c>
      <c r="E1046" s="1158">
        <f t="shared" si="1072"/>
        <v>18.2</v>
      </c>
      <c r="F1046" s="1158"/>
      <c r="G1046" s="1140"/>
      <c r="H1046" s="1140"/>
      <c r="I1046" s="552"/>
      <c r="J1046" s="552">
        <f t="shared" ref="J1046:AO1046" si="1093">J82*J$338</f>
        <v>0</v>
      </c>
      <c r="K1046" s="552">
        <f t="shared" si="1093"/>
        <v>0</v>
      </c>
      <c r="L1046" s="552">
        <f t="shared" si="1093"/>
        <v>0</v>
      </c>
      <c r="M1046" s="552">
        <f t="shared" si="1093"/>
        <v>0</v>
      </c>
      <c r="N1046" s="552">
        <f t="shared" si="1093"/>
        <v>0</v>
      </c>
      <c r="O1046" s="552">
        <f t="shared" si="1093"/>
        <v>0</v>
      </c>
      <c r="P1046" s="552">
        <f t="shared" si="1093"/>
        <v>0</v>
      </c>
      <c r="Q1046" s="552">
        <f t="shared" si="1093"/>
        <v>0</v>
      </c>
      <c r="R1046" s="552">
        <f t="shared" si="1093"/>
        <v>0</v>
      </c>
      <c r="S1046" s="552">
        <f t="shared" si="1093"/>
        <v>0</v>
      </c>
      <c r="T1046" s="552">
        <f t="shared" si="1093"/>
        <v>0</v>
      </c>
      <c r="U1046" s="552">
        <f t="shared" si="1093"/>
        <v>0</v>
      </c>
      <c r="V1046" s="552">
        <f t="shared" si="1093"/>
        <v>0</v>
      </c>
      <c r="W1046" s="552">
        <f t="shared" si="1093"/>
        <v>0</v>
      </c>
      <c r="X1046" s="552">
        <f t="shared" si="1093"/>
        <v>0</v>
      </c>
      <c r="Y1046" s="552">
        <f t="shared" si="1093"/>
        <v>0</v>
      </c>
      <c r="Z1046" s="552">
        <f t="shared" si="1093"/>
        <v>0</v>
      </c>
      <c r="AA1046" s="552">
        <f t="shared" si="1093"/>
        <v>0</v>
      </c>
      <c r="AB1046" s="552">
        <f t="shared" si="1093"/>
        <v>0</v>
      </c>
      <c r="AC1046" s="552">
        <f t="shared" si="1093"/>
        <v>0</v>
      </c>
      <c r="AD1046" s="552">
        <f t="shared" si="1093"/>
        <v>0</v>
      </c>
      <c r="AE1046" s="552">
        <f t="shared" si="1093"/>
        <v>0</v>
      </c>
      <c r="AF1046" s="552">
        <f t="shared" si="1093"/>
        <v>0</v>
      </c>
      <c r="AG1046" s="552">
        <f t="shared" si="1093"/>
        <v>0</v>
      </c>
      <c r="AH1046" s="552">
        <f t="shared" si="1093"/>
        <v>0</v>
      </c>
      <c r="AI1046" s="552">
        <f t="shared" si="1093"/>
        <v>0</v>
      </c>
      <c r="AJ1046" s="552">
        <f t="shared" si="1093"/>
        <v>0</v>
      </c>
      <c r="AK1046" s="552">
        <f t="shared" si="1093"/>
        <v>0</v>
      </c>
      <c r="AL1046" s="552">
        <f t="shared" si="1093"/>
        <v>0</v>
      </c>
      <c r="AM1046" s="552">
        <f t="shared" si="1093"/>
        <v>0</v>
      </c>
      <c r="AN1046" s="552">
        <f t="shared" si="1093"/>
        <v>0</v>
      </c>
      <c r="AO1046" s="552">
        <f t="shared" si="1093"/>
        <v>0</v>
      </c>
      <c r="AP1046" s="552">
        <f t="shared" ref="AP1046:BU1046" si="1094">AP82*AP$338</f>
        <v>0</v>
      </c>
      <c r="AQ1046" s="552">
        <f t="shared" si="1094"/>
        <v>0</v>
      </c>
      <c r="AR1046" s="552">
        <f t="shared" si="1094"/>
        <v>0</v>
      </c>
      <c r="AS1046" s="552">
        <f t="shared" si="1094"/>
        <v>0</v>
      </c>
      <c r="AT1046" s="552">
        <f t="shared" si="1094"/>
        <v>0</v>
      </c>
      <c r="AU1046" s="552">
        <f t="shared" si="1094"/>
        <v>0</v>
      </c>
      <c r="AV1046" s="552">
        <f t="shared" si="1094"/>
        <v>0</v>
      </c>
      <c r="AW1046" s="552">
        <f t="shared" si="1094"/>
        <v>0</v>
      </c>
      <c r="AX1046" s="552">
        <f t="shared" si="1094"/>
        <v>0</v>
      </c>
      <c r="AY1046" s="552">
        <f t="shared" si="1094"/>
        <v>0</v>
      </c>
      <c r="AZ1046" s="552">
        <f t="shared" si="1094"/>
        <v>0</v>
      </c>
      <c r="BA1046" s="552">
        <f t="shared" si="1094"/>
        <v>0</v>
      </c>
      <c r="BB1046" s="552">
        <f t="shared" si="1094"/>
        <v>0</v>
      </c>
      <c r="BC1046" s="552">
        <f t="shared" si="1094"/>
        <v>0</v>
      </c>
      <c r="BD1046" s="552">
        <f t="shared" si="1094"/>
        <v>0</v>
      </c>
      <c r="BE1046" s="552">
        <f t="shared" si="1094"/>
        <v>0</v>
      </c>
      <c r="BF1046" s="552">
        <f t="shared" si="1094"/>
        <v>0</v>
      </c>
      <c r="BG1046" s="552">
        <f t="shared" si="1094"/>
        <v>0</v>
      </c>
      <c r="BH1046" s="552">
        <f t="shared" si="1094"/>
        <v>0</v>
      </c>
      <c r="BI1046" s="552">
        <f t="shared" si="1094"/>
        <v>0</v>
      </c>
      <c r="BJ1046" s="552">
        <f t="shared" si="1094"/>
        <v>0</v>
      </c>
      <c r="BK1046" s="552">
        <f t="shared" si="1094"/>
        <v>0</v>
      </c>
      <c r="BL1046" s="552">
        <f t="shared" si="1094"/>
        <v>0</v>
      </c>
      <c r="BM1046" s="552">
        <f t="shared" si="1094"/>
        <v>0</v>
      </c>
      <c r="BN1046" s="552">
        <f t="shared" si="1094"/>
        <v>0</v>
      </c>
      <c r="BO1046" s="552">
        <f t="shared" si="1094"/>
        <v>0</v>
      </c>
      <c r="BP1046" s="552">
        <f t="shared" si="1094"/>
        <v>0</v>
      </c>
      <c r="BQ1046" s="552">
        <f t="shared" si="1094"/>
        <v>0</v>
      </c>
      <c r="BR1046" s="552">
        <f t="shared" si="1094"/>
        <v>18.2</v>
      </c>
      <c r="BS1046" s="552">
        <f t="shared" si="1094"/>
        <v>0</v>
      </c>
      <c r="BT1046" s="552">
        <f t="shared" si="1094"/>
        <v>0</v>
      </c>
      <c r="BU1046" s="552">
        <f t="shared" si="1094"/>
        <v>0</v>
      </c>
      <c r="BV1046" s="552">
        <f t="shared" ref="BV1046:DA1046" si="1095">BV82*BV$338</f>
        <v>0</v>
      </c>
      <c r="BW1046" s="552">
        <f t="shared" si="1095"/>
        <v>0</v>
      </c>
      <c r="BX1046" s="552">
        <f t="shared" si="1095"/>
        <v>0</v>
      </c>
      <c r="BY1046" s="552">
        <f t="shared" si="1095"/>
        <v>0</v>
      </c>
      <c r="BZ1046" s="552">
        <f t="shared" si="1095"/>
        <v>0</v>
      </c>
      <c r="CA1046" s="552">
        <f t="shared" si="1095"/>
        <v>0</v>
      </c>
      <c r="CB1046" s="552">
        <f t="shared" si="1095"/>
        <v>0</v>
      </c>
      <c r="CC1046" s="552">
        <f t="shared" si="1095"/>
        <v>0</v>
      </c>
      <c r="CD1046" s="552">
        <f t="shared" si="1095"/>
        <v>0</v>
      </c>
      <c r="CE1046" s="552">
        <f t="shared" si="1095"/>
        <v>0</v>
      </c>
      <c r="CF1046" s="552">
        <f t="shared" si="1095"/>
        <v>0</v>
      </c>
      <c r="CG1046" s="552">
        <f t="shared" si="1095"/>
        <v>0</v>
      </c>
      <c r="CH1046" s="552">
        <f t="shared" si="1095"/>
        <v>0</v>
      </c>
      <c r="CI1046" s="552">
        <f t="shared" si="1095"/>
        <v>0</v>
      </c>
      <c r="CJ1046" s="552">
        <f t="shared" si="1095"/>
        <v>0</v>
      </c>
      <c r="CK1046" s="552">
        <f t="shared" si="1095"/>
        <v>0</v>
      </c>
      <c r="CL1046" s="552">
        <f t="shared" si="1095"/>
        <v>0</v>
      </c>
      <c r="CM1046" s="552">
        <f t="shared" si="1095"/>
        <v>0</v>
      </c>
      <c r="CN1046" s="552">
        <f t="shared" si="1095"/>
        <v>0</v>
      </c>
      <c r="CO1046" s="552">
        <f t="shared" si="1095"/>
        <v>0</v>
      </c>
      <c r="CP1046" s="552">
        <f t="shared" si="1095"/>
        <v>0</v>
      </c>
      <c r="CQ1046" s="552">
        <f t="shared" si="1095"/>
        <v>0</v>
      </c>
      <c r="CR1046" s="552">
        <f t="shared" si="1095"/>
        <v>0</v>
      </c>
      <c r="CS1046" s="552">
        <f t="shared" si="1095"/>
        <v>0</v>
      </c>
      <c r="CT1046" s="552">
        <f t="shared" si="1095"/>
        <v>0</v>
      </c>
      <c r="CU1046" s="552">
        <f t="shared" si="1095"/>
        <v>0</v>
      </c>
      <c r="CV1046" s="552">
        <f t="shared" si="1095"/>
        <v>0</v>
      </c>
      <c r="CW1046" s="552">
        <f t="shared" si="1095"/>
        <v>0</v>
      </c>
      <c r="CX1046" s="552">
        <f t="shared" si="1095"/>
        <v>0</v>
      </c>
      <c r="CY1046" s="552">
        <f t="shared" si="1095"/>
        <v>0</v>
      </c>
      <c r="CZ1046" s="552">
        <f t="shared" si="1095"/>
        <v>0</v>
      </c>
      <c r="DA1046" s="552">
        <f t="shared" si="1095"/>
        <v>0</v>
      </c>
      <c r="DB1046" s="552">
        <f t="shared" ref="DB1046:EG1046" si="1096">DB82*DB$338</f>
        <v>0</v>
      </c>
      <c r="DC1046" s="552">
        <f t="shared" si="1096"/>
        <v>0</v>
      </c>
      <c r="DD1046" s="552">
        <f t="shared" si="1096"/>
        <v>0</v>
      </c>
      <c r="DE1046" s="552">
        <f t="shared" si="1096"/>
        <v>0</v>
      </c>
      <c r="DF1046" s="552">
        <f t="shared" si="1096"/>
        <v>0</v>
      </c>
      <c r="DG1046" s="552">
        <f t="shared" si="1096"/>
        <v>0</v>
      </c>
      <c r="DH1046" s="552">
        <f t="shared" si="1096"/>
        <v>0</v>
      </c>
      <c r="DI1046" s="552">
        <f t="shared" si="1096"/>
        <v>0</v>
      </c>
      <c r="DJ1046" s="552">
        <f t="shared" si="1096"/>
        <v>0</v>
      </c>
      <c r="DK1046" s="552">
        <f t="shared" si="1096"/>
        <v>0</v>
      </c>
      <c r="DL1046" s="552">
        <f t="shared" si="1096"/>
        <v>0</v>
      </c>
      <c r="DM1046" s="552">
        <f t="shared" si="1096"/>
        <v>0</v>
      </c>
      <c r="DN1046" s="552">
        <f t="shared" si="1096"/>
        <v>0</v>
      </c>
      <c r="DO1046" s="552">
        <f t="shared" si="1096"/>
        <v>0</v>
      </c>
      <c r="DP1046" s="552">
        <f t="shared" si="1096"/>
        <v>0</v>
      </c>
      <c r="DQ1046" s="552">
        <f t="shared" si="1096"/>
        <v>0</v>
      </c>
      <c r="DR1046" s="552">
        <f t="shared" si="1096"/>
        <v>0</v>
      </c>
      <c r="DS1046" s="552">
        <f t="shared" si="1096"/>
        <v>0</v>
      </c>
      <c r="DT1046" s="552">
        <f t="shared" si="1096"/>
        <v>0</v>
      </c>
      <c r="DU1046" s="552">
        <f t="shared" si="1096"/>
        <v>0</v>
      </c>
      <c r="DV1046" s="552">
        <f t="shared" si="1096"/>
        <v>0</v>
      </c>
      <c r="DW1046" s="552">
        <f t="shared" si="1096"/>
        <v>0</v>
      </c>
      <c r="DX1046" s="552">
        <f t="shared" si="1096"/>
        <v>0</v>
      </c>
      <c r="DY1046" s="552">
        <f t="shared" si="1096"/>
        <v>0</v>
      </c>
      <c r="DZ1046" s="552">
        <f t="shared" si="1096"/>
        <v>0</v>
      </c>
      <c r="EA1046" s="552">
        <f t="shared" si="1096"/>
        <v>0</v>
      </c>
      <c r="EB1046" s="552">
        <f t="shared" si="1096"/>
        <v>0</v>
      </c>
      <c r="EC1046" s="552">
        <f t="shared" si="1096"/>
        <v>0</v>
      </c>
      <c r="ED1046" s="552">
        <f t="shared" si="1096"/>
        <v>0</v>
      </c>
      <c r="EE1046" s="552">
        <f t="shared" si="1096"/>
        <v>0</v>
      </c>
      <c r="EF1046" s="552">
        <f t="shared" si="1096"/>
        <v>0</v>
      </c>
      <c r="EG1046" s="552">
        <f t="shared" si="1096"/>
        <v>0</v>
      </c>
      <c r="EH1046" s="552">
        <f t="shared" ref="EH1046:EX1046" si="1097">EH82*EH$338</f>
        <v>0</v>
      </c>
      <c r="EI1046" s="552">
        <f t="shared" si="1097"/>
        <v>0</v>
      </c>
      <c r="EJ1046" s="552">
        <f t="shared" si="1097"/>
        <v>0</v>
      </c>
      <c r="EK1046" s="552">
        <f t="shared" si="1097"/>
        <v>0</v>
      </c>
      <c r="EL1046" s="552">
        <f t="shared" si="1097"/>
        <v>0</v>
      </c>
      <c r="EM1046" s="552">
        <f t="shared" si="1097"/>
        <v>0</v>
      </c>
      <c r="EN1046" s="552">
        <f t="shared" si="1097"/>
        <v>0</v>
      </c>
      <c r="EO1046" s="552">
        <f t="shared" si="1097"/>
        <v>0</v>
      </c>
      <c r="EP1046" s="552">
        <f t="shared" si="1097"/>
        <v>0</v>
      </c>
      <c r="EQ1046" s="552">
        <f t="shared" si="1097"/>
        <v>0</v>
      </c>
      <c r="ER1046" s="552">
        <f t="shared" si="1097"/>
        <v>0</v>
      </c>
      <c r="ES1046" s="552">
        <f t="shared" si="1097"/>
        <v>0</v>
      </c>
      <c r="ET1046" s="552">
        <f t="shared" si="1097"/>
        <v>0</v>
      </c>
      <c r="EU1046" s="552">
        <f t="shared" si="1097"/>
        <v>0</v>
      </c>
      <c r="EV1046" s="552">
        <f t="shared" si="1097"/>
        <v>0</v>
      </c>
      <c r="EW1046" s="552">
        <f t="shared" si="1097"/>
        <v>0</v>
      </c>
      <c r="EX1046" s="552">
        <f t="shared" si="1097"/>
        <v>0</v>
      </c>
      <c r="EY1046" s="799">
        <f t="shared" si="527"/>
        <v>18.2</v>
      </c>
      <c r="EZ1046" s="640"/>
      <c r="FA1046" s="640"/>
      <c r="FB1046" s="640"/>
      <c r="FC1046" s="640"/>
      <c r="FD1046" s="640"/>
      <c r="FE1046" s="640"/>
      <c r="FF1046" s="640"/>
      <c r="FG1046" s="640"/>
      <c r="FH1046" s="640"/>
      <c r="FI1046" s="640"/>
      <c r="FJ1046" s="640"/>
      <c r="FK1046" s="640"/>
      <c r="FL1046" s="640"/>
    </row>
    <row r="1047" spans="1:168" s="1034" customFormat="1" x14ac:dyDescent="0.25">
      <c r="A1047" s="1033"/>
      <c r="B1047" s="624" t="str">
        <f t="shared" si="1063"/>
        <v>Вода питьевая 19 л</v>
      </c>
      <c r="C1047" s="624">
        <f t="shared" si="1071"/>
        <v>500</v>
      </c>
      <c r="D1047" s="624">
        <f t="shared" si="1071"/>
        <v>0</v>
      </c>
      <c r="E1047" s="1158">
        <f t="shared" si="1072"/>
        <v>2.9</v>
      </c>
      <c r="F1047" s="1158"/>
      <c r="G1047" s="1140"/>
      <c r="H1047" s="1140"/>
      <c r="I1047" s="552"/>
      <c r="J1047" s="552">
        <f t="shared" ref="J1047:AO1047" si="1098">J83*J$338</f>
        <v>0</v>
      </c>
      <c r="K1047" s="552">
        <f t="shared" si="1098"/>
        <v>0</v>
      </c>
      <c r="L1047" s="552">
        <f t="shared" si="1098"/>
        <v>0</v>
      </c>
      <c r="M1047" s="552">
        <f t="shared" si="1098"/>
        <v>0</v>
      </c>
      <c r="N1047" s="552">
        <f t="shared" si="1098"/>
        <v>0</v>
      </c>
      <c r="O1047" s="552">
        <f t="shared" si="1098"/>
        <v>0</v>
      </c>
      <c r="P1047" s="552">
        <f t="shared" si="1098"/>
        <v>0</v>
      </c>
      <c r="Q1047" s="552">
        <f t="shared" si="1098"/>
        <v>0</v>
      </c>
      <c r="R1047" s="552">
        <f t="shared" si="1098"/>
        <v>0</v>
      </c>
      <c r="S1047" s="552">
        <f t="shared" si="1098"/>
        <v>0</v>
      </c>
      <c r="T1047" s="552">
        <f t="shared" si="1098"/>
        <v>0</v>
      </c>
      <c r="U1047" s="552">
        <f t="shared" si="1098"/>
        <v>0</v>
      </c>
      <c r="V1047" s="552">
        <f t="shared" si="1098"/>
        <v>0</v>
      </c>
      <c r="W1047" s="552">
        <f t="shared" si="1098"/>
        <v>0</v>
      </c>
      <c r="X1047" s="552">
        <f t="shared" si="1098"/>
        <v>0</v>
      </c>
      <c r="Y1047" s="552">
        <f t="shared" si="1098"/>
        <v>0</v>
      </c>
      <c r="Z1047" s="552">
        <f t="shared" si="1098"/>
        <v>0</v>
      </c>
      <c r="AA1047" s="552">
        <f t="shared" si="1098"/>
        <v>0</v>
      </c>
      <c r="AB1047" s="552">
        <f t="shared" si="1098"/>
        <v>0</v>
      </c>
      <c r="AC1047" s="552">
        <f t="shared" si="1098"/>
        <v>0</v>
      </c>
      <c r="AD1047" s="552">
        <f t="shared" si="1098"/>
        <v>0</v>
      </c>
      <c r="AE1047" s="552">
        <f t="shared" si="1098"/>
        <v>0</v>
      </c>
      <c r="AF1047" s="552">
        <f t="shared" si="1098"/>
        <v>0</v>
      </c>
      <c r="AG1047" s="552">
        <f t="shared" si="1098"/>
        <v>0</v>
      </c>
      <c r="AH1047" s="552">
        <f t="shared" si="1098"/>
        <v>0</v>
      </c>
      <c r="AI1047" s="552">
        <f t="shared" si="1098"/>
        <v>0</v>
      </c>
      <c r="AJ1047" s="552">
        <f t="shared" si="1098"/>
        <v>0</v>
      </c>
      <c r="AK1047" s="552">
        <f t="shared" si="1098"/>
        <v>0</v>
      </c>
      <c r="AL1047" s="552">
        <f t="shared" si="1098"/>
        <v>0</v>
      </c>
      <c r="AM1047" s="552">
        <f t="shared" si="1098"/>
        <v>0</v>
      </c>
      <c r="AN1047" s="552">
        <f t="shared" si="1098"/>
        <v>0</v>
      </c>
      <c r="AO1047" s="552">
        <f t="shared" si="1098"/>
        <v>0</v>
      </c>
      <c r="AP1047" s="552">
        <f t="shared" ref="AP1047:BU1047" si="1099">AP83*AP$338</f>
        <v>0</v>
      </c>
      <c r="AQ1047" s="552">
        <f t="shared" si="1099"/>
        <v>0</v>
      </c>
      <c r="AR1047" s="552">
        <f t="shared" si="1099"/>
        <v>0</v>
      </c>
      <c r="AS1047" s="552">
        <f t="shared" si="1099"/>
        <v>0</v>
      </c>
      <c r="AT1047" s="552">
        <f t="shared" si="1099"/>
        <v>0</v>
      </c>
      <c r="AU1047" s="552">
        <f t="shared" si="1099"/>
        <v>0</v>
      </c>
      <c r="AV1047" s="552">
        <f t="shared" si="1099"/>
        <v>0</v>
      </c>
      <c r="AW1047" s="552">
        <f t="shared" si="1099"/>
        <v>0</v>
      </c>
      <c r="AX1047" s="552">
        <f t="shared" si="1099"/>
        <v>0</v>
      </c>
      <c r="AY1047" s="552">
        <f t="shared" si="1099"/>
        <v>0</v>
      </c>
      <c r="AZ1047" s="552">
        <f t="shared" si="1099"/>
        <v>0</v>
      </c>
      <c r="BA1047" s="552">
        <f t="shared" si="1099"/>
        <v>0</v>
      </c>
      <c r="BB1047" s="552">
        <f t="shared" si="1099"/>
        <v>0</v>
      </c>
      <c r="BC1047" s="552">
        <f t="shared" si="1099"/>
        <v>0</v>
      </c>
      <c r="BD1047" s="552">
        <f t="shared" si="1099"/>
        <v>0</v>
      </c>
      <c r="BE1047" s="552">
        <f t="shared" si="1099"/>
        <v>0</v>
      </c>
      <c r="BF1047" s="552">
        <f t="shared" si="1099"/>
        <v>0</v>
      </c>
      <c r="BG1047" s="552">
        <f t="shared" si="1099"/>
        <v>0</v>
      </c>
      <c r="BH1047" s="552">
        <f t="shared" si="1099"/>
        <v>0</v>
      </c>
      <c r="BI1047" s="552">
        <f t="shared" si="1099"/>
        <v>0</v>
      </c>
      <c r="BJ1047" s="552">
        <f t="shared" si="1099"/>
        <v>0</v>
      </c>
      <c r="BK1047" s="552">
        <f t="shared" si="1099"/>
        <v>0</v>
      </c>
      <c r="BL1047" s="552">
        <f t="shared" si="1099"/>
        <v>0</v>
      </c>
      <c r="BM1047" s="552">
        <f t="shared" si="1099"/>
        <v>0</v>
      </c>
      <c r="BN1047" s="552">
        <f t="shared" si="1099"/>
        <v>0</v>
      </c>
      <c r="BO1047" s="552">
        <f t="shared" si="1099"/>
        <v>0</v>
      </c>
      <c r="BP1047" s="552">
        <f t="shared" si="1099"/>
        <v>0</v>
      </c>
      <c r="BQ1047" s="552">
        <f t="shared" si="1099"/>
        <v>0</v>
      </c>
      <c r="BR1047" s="552">
        <f t="shared" si="1099"/>
        <v>0</v>
      </c>
      <c r="BS1047" s="552">
        <f t="shared" si="1099"/>
        <v>0</v>
      </c>
      <c r="BT1047" s="552">
        <f t="shared" si="1099"/>
        <v>0</v>
      </c>
      <c r="BU1047" s="552">
        <f t="shared" si="1099"/>
        <v>0</v>
      </c>
      <c r="BV1047" s="552">
        <f t="shared" ref="BV1047:DA1047" si="1100">BV83*BV$338</f>
        <v>0</v>
      </c>
      <c r="BW1047" s="552">
        <f t="shared" si="1100"/>
        <v>0</v>
      </c>
      <c r="BX1047" s="552">
        <f t="shared" si="1100"/>
        <v>0</v>
      </c>
      <c r="BY1047" s="552">
        <f t="shared" si="1100"/>
        <v>0</v>
      </c>
      <c r="BZ1047" s="552">
        <f t="shared" si="1100"/>
        <v>0</v>
      </c>
      <c r="CA1047" s="552">
        <f t="shared" si="1100"/>
        <v>0</v>
      </c>
      <c r="CB1047" s="552">
        <f t="shared" si="1100"/>
        <v>0</v>
      </c>
      <c r="CC1047" s="552">
        <f t="shared" si="1100"/>
        <v>0</v>
      </c>
      <c r="CD1047" s="552">
        <f t="shared" si="1100"/>
        <v>0</v>
      </c>
      <c r="CE1047" s="552">
        <f t="shared" si="1100"/>
        <v>0</v>
      </c>
      <c r="CF1047" s="552">
        <f t="shared" si="1100"/>
        <v>0</v>
      </c>
      <c r="CG1047" s="552">
        <f t="shared" si="1100"/>
        <v>0</v>
      </c>
      <c r="CH1047" s="552">
        <f t="shared" si="1100"/>
        <v>0</v>
      </c>
      <c r="CI1047" s="552">
        <f t="shared" si="1100"/>
        <v>0</v>
      </c>
      <c r="CJ1047" s="552">
        <f t="shared" si="1100"/>
        <v>0</v>
      </c>
      <c r="CK1047" s="552">
        <f t="shared" si="1100"/>
        <v>0</v>
      </c>
      <c r="CL1047" s="552">
        <f t="shared" si="1100"/>
        <v>0</v>
      </c>
      <c r="CM1047" s="552">
        <f t="shared" si="1100"/>
        <v>0</v>
      </c>
      <c r="CN1047" s="552">
        <f t="shared" si="1100"/>
        <v>0</v>
      </c>
      <c r="CO1047" s="552">
        <f t="shared" si="1100"/>
        <v>0</v>
      </c>
      <c r="CP1047" s="552">
        <f t="shared" si="1100"/>
        <v>0</v>
      </c>
      <c r="CQ1047" s="552">
        <f t="shared" si="1100"/>
        <v>0</v>
      </c>
      <c r="CR1047" s="552">
        <f t="shared" si="1100"/>
        <v>0</v>
      </c>
      <c r="CS1047" s="552">
        <f t="shared" si="1100"/>
        <v>0</v>
      </c>
      <c r="CT1047" s="552">
        <f t="shared" si="1100"/>
        <v>0</v>
      </c>
      <c r="CU1047" s="552">
        <f t="shared" si="1100"/>
        <v>0</v>
      </c>
      <c r="CV1047" s="552">
        <f t="shared" si="1100"/>
        <v>0</v>
      </c>
      <c r="CW1047" s="552">
        <f t="shared" si="1100"/>
        <v>0</v>
      </c>
      <c r="CX1047" s="552">
        <f t="shared" si="1100"/>
        <v>0</v>
      </c>
      <c r="CY1047" s="552">
        <f t="shared" si="1100"/>
        <v>0</v>
      </c>
      <c r="CZ1047" s="552">
        <f t="shared" si="1100"/>
        <v>0</v>
      </c>
      <c r="DA1047" s="552">
        <f t="shared" si="1100"/>
        <v>0</v>
      </c>
      <c r="DB1047" s="552">
        <f t="shared" ref="DB1047:EG1047" si="1101">DB83*DB$338</f>
        <v>0</v>
      </c>
      <c r="DC1047" s="552">
        <f t="shared" si="1101"/>
        <v>0</v>
      </c>
      <c r="DD1047" s="552">
        <f t="shared" si="1101"/>
        <v>0</v>
      </c>
      <c r="DE1047" s="552">
        <f t="shared" si="1101"/>
        <v>0</v>
      </c>
      <c r="DF1047" s="552">
        <f t="shared" si="1101"/>
        <v>0</v>
      </c>
      <c r="DG1047" s="552">
        <f t="shared" si="1101"/>
        <v>0</v>
      </c>
      <c r="DH1047" s="552">
        <f t="shared" si="1101"/>
        <v>0</v>
      </c>
      <c r="DI1047" s="552">
        <f t="shared" si="1101"/>
        <v>0</v>
      </c>
      <c r="DJ1047" s="552">
        <f t="shared" si="1101"/>
        <v>0</v>
      </c>
      <c r="DK1047" s="552">
        <f t="shared" si="1101"/>
        <v>0</v>
      </c>
      <c r="DL1047" s="552">
        <f t="shared" si="1101"/>
        <v>0</v>
      </c>
      <c r="DM1047" s="552">
        <f t="shared" si="1101"/>
        <v>0</v>
      </c>
      <c r="DN1047" s="552">
        <f t="shared" si="1101"/>
        <v>0</v>
      </c>
      <c r="DO1047" s="552">
        <f t="shared" si="1101"/>
        <v>0</v>
      </c>
      <c r="DP1047" s="552">
        <f t="shared" si="1101"/>
        <v>0</v>
      </c>
      <c r="DQ1047" s="552">
        <f t="shared" si="1101"/>
        <v>0</v>
      </c>
      <c r="DR1047" s="552">
        <f t="shared" si="1101"/>
        <v>0</v>
      </c>
      <c r="DS1047" s="552">
        <f t="shared" si="1101"/>
        <v>0</v>
      </c>
      <c r="DT1047" s="552">
        <f t="shared" si="1101"/>
        <v>0</v>
      </c>
      <c r="DU1047" s="552">
        <f t="shared" si="1101"/>
        <v>0</v>
      </c>
      <c r="DV1047" s="552">
        <f t="shared" si="1101"/>
        <v>0</v>
      </c>
      <c r="DW1047" s="552">
        <f t="shared" si="1101"/>
        <v>0</v>
      </c>
      <c r="DX1047" s="552">
        <f t="shared" si="1101"/>
        <v>0</v>
      </c>
      <c r="DY1047" s="552">
        <f t="shared" si="1101"/>
        <v>0</v>
      </c>
      <c r="DZ1047" s="552">
        <f t="shared" si="1101"/>
        <v>0</v>
      </c>
      <c r="EA1047" s="552">
        <f t="shared" si="1101"/>
        <v>0</v>
      </c>
      <c r="EB1047" s="552">
        <f t="shared" si="1101"/>
        <v>2.9</v>
      </c>
      <c r="EC1047" s="552">
        <f t="shared" si="1101"/>
        <v>0</v>
      </c>
      <c r="ED1047" s="552">
        <f t="shared" si="1101"/>
        <v>0</v>
      </c>
      <c r="EE1047" s="552">
        <f t="shared" si="1101"/>
        <v>0</v>
      </c>
      <c r="EF1047" s="552">
        <f t="shared" si="1101"/>
        <v>0</v>
      </c>
      <c r="EG1047" s="552">
        <f t="shared" si="1101"/>
        <v>0</v>
      </c>
      <c r="EH1047" s="552">
        <f t="shared" ref="EH1047:EX1047" si="1102">EH83*EH$338</f>
        <v>0</v>
      </c>
      <c r="EI1047" s="552">
        <f t="shared" si="1102"/>
        <v>0</v>
      </c>
      <c r="EJ1047" s="552">
        <f t="shared" si="1102"/>
        <v>0</v>
      </c>
      <c r="EK1047" s="552">
        <f t="shared" si="1102"/>
        <v>0</v>
      </c>
      <c r="EL1047" s="552">
        <f t="shared" si="1102"/>
        <v>0</v>
      </c>
      <c r="EM1047" s="552">
        <f t="shared" si="1102"/>
        <v>0</v>
      </c>
      <c r="EN1047" s="552">
        <f t="shared" si="1102"/>
        <v>0</v>
      </c>
      <c r="EO1047" s="552">
        <f t="shared" si="1102"/>
        <v>0</v>
      </c>
      <c r="EP1047" s="552">
        <f t="shared" si="1102"/>
        <v>0</v>
      </c>
      <c r="EQ1047" s="552">
        <f t="shared" si="1102"/>
        <v>0</v>
      </c>
      <c r="ER1047" s="552">
        <f t="shared" si="1102"/>
        <v>0</v>
      </c>
      <c r="ES1047" s="552">
        <f t="shared" si="1102"/>
        <v>0</v>
      </c>
      <c r="ET1047" s="552">
        <f t="shared" si="1102"/>
        <v>0</v>
      </c>
      <c r="EU1047" s="552">
        <f t="shared" si="1102"/>
        <v>0</v>
      </c>
      <c r="EV1047" s="552">
        <f t="shared" si="1102"/>
        <v>0</v>
      </c>
      <c r="EW1047" s="552">
        <f t="shared" si="1102"/>
        <v>0</v>
      </c>
      <c r="EX1047" s="552">
        <f t="shared" si="1102"/>
        <v>0</v>
      </c>
      <c r="EY1047" s="799">
        <f t="shared" si="527"/>
        <v>2.9</v>
      </c>
      <c r="EZ1047" s="640"/>
      <c r="FA1047" s="640"/>
      <c r="FB1047" s="640"/>
      <c r="FC1047" s="640"/>
      <c r="FD1047" s="640"/>
      <c r="FE1047" s="640"/>
      <c r="FF1047" s="640"/>
      <c r="FG1047" s="640"/>
      <c r="FH1047" s="640"/>
      <c r="FI1047" s="640"/>
      <c r="FJ1047" s="640"/>
      <c r="FK1047" s="640"/>
      <c r="FL1047" s="640"/>
    </row>
    <row r="1048" spans="1:168" s="1034" customFormat="1" x14ac:dyDescent="0.25">
      <c r="A1048" s="1033"/>
      <c r="B1048" s="624">
        <f t="shared" si="1063"/>
        <v>0</v>
      </c>
      <c r="C1048" s="624">
        <f t="shared" si="1071"/>
        <v>0</v>
      </c>
      <c r="D1048" s="624">
        <f t="shared" si="1071"/>
        <v>0</v>
      </c>
      <c r="E1048" s="1158">
        <f t="shared" si="1072"/>
        <v>0</v>
      </c>
      <c r="F1048" s="1158"/>
      <c r="G1048" s="1140"/>
      <c r="H1048" s="1140"/>
      <c r="I1048" s="552"/>
      <c r="J1048" s="552">
        <f t="shared" ref="J1048:AO1048" si="1103">J84*J$338</f>
        <v>0</v>
      </c>
      <c r="K1048" s="552">
        <f t="shared" si="1103"/>
        <v>0</v>
      </c>
      <c r="L1048" s="552">
        <f t="shared" si="1103"/>
        <v>0</v>
      </c>
      <c r="M1048" s="552">
        <f t="shared" si="1103"/>
        <v>0</v>
      </c>
      <c r="N1048" s="552">
        <f t="shared" si="1103"/>
        <v>0</v>
      </c>
      <c r="O1048" s="552">
        <f t="shared" si="1103"/>
        <v>0</v>
      </c>
      <c r="P1048" s="552">
        <f t="shared" si="1103"/>
        <v>0</v>
      </c>
      <c r="Q1048" s="552">
        <f t="shared" si="1103"/>
        <v>0</v>
      </c>
      <c r="R1048" s="552">
        <f t="shared" si="1103"/>
        <v>0</v>
      </c>
      <c r="S1048" s="552">
        <f t="shared" si="1103"/>
        <v>0</v>
      </c>
      <c r="T1048" s="552">
        <f t="shared" si="1103"/>
        <v>0</v>
      </c>
      <c r="U1048" s="552">
        <f t="shared" si="1103"/>
        <v>0</v>
      </c>
      <c r="V1048" s="552">
        <f t="shared" si="1103"/>
        <v>0</v>
      </c>
      <c r="W1048" s="552">
        <f t="shared" si="1103"/>
        <v>0</v>
      </c>
      <c r="X1048" s="552">
        <f t="shared" si="1103"/>
        <v>0</v>
      </c>
      <c r="Y1048" s="552">
        <f t="shared" si="1103"/>
        <v>0</v>
      </c>
      <c r="Z1048" s="552">
        <f t="shared" si="1103"/>
        <v>0</v>
      </c>
      <c r="AA1048" s="552">
        <f t="shared" si="1103"/>
        <v>0</v>
      </c>
      <c r="AB1048" s="552">
        <f t="shared" si="1103"/>
        <v>0</v>
      </c>
      <c r="AC1048" s="552">
        <f t="shared" si="1103"/>
        <v>0</v>
      </c>
      <c r="AD1048" s="552">
        <f t="shared" si="1103"/>
        <v>0</v>
      </c>
      <c r="AE1048" s="552">
        <f t="shared" si="1103"/>
        <v>0</v>
      </c>
      <c r="AF1048" s="552">
        <f t="shared" si="1103"/>
        <v>0</v>
      </c>
      <c r="AG1048" s="552">
        <f t="shared" si="1103"/>
        <v>0</v>
      </c>
      <c r="AH1048" s="552">
        <f t="shared" si="1103"/>
        <v>0</v>
      </c>
      <c r="AI1048" s="552">
        <f t="shared" si="1103"/>
        <v>0</v>
      </c>
      <c r="AJ1048" s="552">
        <f t="shared" si="1103"/>
        <v>0</v>
      </c>
      <c r="AK1048" s="552">
        <f t="shared" si="1103"/>
        <v>0</v>
      </c>
      <c r="AL1048" s="552">
        <f t="shared" si="1103"/>
        <v>0</v>
      </c>
      <c r="AM1048" s="552">
        <f t="shared" si="1103"/>
        <v>0</v>
      </c>
      <c r="AN1048" s="552">
        <f t="shared" si="1103"/>
        <v>0</v>
      </c>
      <c r="AO1048" s="552">
        <f t="shared" si="1103"/>
        <v>0</v>
      </c>
      <c r="AP1048" s="552">
        <f t="shared" ref="AP1048:BU1048" si="1104">AP84*AP$338</f>
        <v>0</v>
      </c>
      <c r="AQ1048" s="552">
        <f t="shared" si="1104"/>
        <v>0</v>
      </c>
      <c r="AR1048" s="552">
        <f t="shared" si="1104"/>
        <v>0</v>
      </c>
      <c r="AS1048" s="552">
        <f t="shared" si="1104"/>
        <v>0</v>
      </c>
      <c r="AT1048" s="552">
        <f t="shared" si="1104"/>
        <v>0</v>
      </c>
      <c r="AU1048" s="552">
        <f t="shared" si="1104"/>
        <v>0</v>
      </c>
      <c r="AV1048" s="552">
        <f t="shared" si="1104"/>
        <v>0</v>
      </c>
      <c r="AW1048" s="552">
        <f t="shared" si="1104"/>
        <v>0</v>
      </c>
      <c r="AX1048" s="552">
        <f t="shared" si="1104"/>
        <v>0</v>
      </c>
      <c r="AY1048" s="552">
        <f t="shared" si="1104"/>
        <v>0</v>
      </c>
      <c r="AZ1048" s="552">
        <f t="shared" si="1104"/>
        <v>0</v>
      </c>
      <c r="BA1048" s="552">
        <f t="shared" si="1104"/>
        <v>0</v>
      </c>
      <c r="BB1048" s="552">
        <f t="shared" si="1104"/>
        <v>0</v>
      </c>
      <c r="BC1048" s="552">
        <f t="shared" si="1104"/>
        <v>0</v>
      </c>
      <c r="BD1048" s="552">
        <f t="shared" si="1104"/>
        <v>0</v>
      </c>
      <c r="BE1048" s="552">
        <f t="shared" si="1104"/>
        <v>0</v>
      </c>
      <c r="BF1048" s="552">
        <f t="shared" si="1104"/>
        <v>0</v>
      </c>
      <c r="BG1048" s="552">
        <f t="shared" si="1104"/>
        <v>0</v>
      </c>
      <c r="BH1048" s="552">
        <f t="shared" si="1104"/>
        <v>0</v>
      </c>
      <c r="BI1048" s="552">
        <f t="shared" si="1104"/>
        <v>0</v>
      </c>
      <c r="BJ1048" s="552">
        <f t="shared" si="1104"/>
        <v>0</v>
      </c>
      <c r="BK1048" s="552">
        <f t="shared" si="1104"/>
        <v>0</v>
      </c>
      <c r="BL1048" s="552">
        <f t="shared" si="1104"/>
        <v>0</v>
      </c>
      <c r="BM1048" s="552">
        <f t="shared" si="1104"/>
        <v>0</v>
      </c>
      <c r="BN1048" s="552">
        <f t="shared" si="1104"/>
        <v>0</v>
      </c>
      <c r="BO1048" s="552">
        <f t="shared" si="1104"/>
        <v>0</v>
      </c>
      <c r="BP1048" s="552">
        <f t="shared" si="1104"/>
        <v>0</v>
      </c>
      <c r="BQ1048" s="552">
        <f t="shared" si="1104"/>
        <v>0</v>
      </c>
      <c r="BR1048" s="552">
        <f t="shared" si="1104"/>
        <v>0</v>
      </c>
      <c r="BS1048" s="552">
        <f t="shared" si="1104"/>
        <v>0</v>
      </c>
      <c r="BT1048" s="552">
        <f t="shared" si="1104"/>
        <v>0</v>
      </c>
      <c r="BU1048" s="552">
        <f t="shared" si="1104"/>
        <v>0</v>
      </c>
      <c r="BV1048" s="552">
        <f t="shared" ref="BV1048:DA1048" si="1105">BV84*BV$338</f>
        <v>0</v>
      </c>
      <c r="BW1048" s="552">
        <f t="shared" si="1105"/>
        <v>0</v>
      </c>
      <c r="BX1048" s="552">
        <f t="shared" si="1105"/>
        <v>0</v>
      </c>
      <c r="BY1048" s="552">
        <f t="shared" si="1105"/>
        <v>0</v>
      </c>
      <c r="BZ1048" s="552">
        <f t="shared" si="1105"/>
        <v>0</v>
      </c>
      <c r="CA1048" s="552">
        <f t="shared" si="1105"/>
        <v>0</v>
      </c>
      <c r="CB1048" s="552">
        <f t="shared" si="1105"/>
        <v>0</v>
      </c>
      <c r="CC1048" s="552">
        <f t="shared" si="1105"/>
        <v>0</v>
      </c>
      <c r="CD1048" s="552">
        <f t="shared" si="1105"/>
        <v>0</v>
      </c>
      <c r="CE1048" s="552">
        <f t="shared" si="1105"/>
        <v>0</v>
      </c>
      <c r="CF1048" s="552">
        <f t="shared" si="1105"/>
        <v>0</v>
      </c>
      <c r="CG1048" s="552">
        <f t="shared" si="1105"/>
        <v>0</v>
      </c>
      <c r="CH1048" s="552">
        <f t="shared" si="1105"/>
        <v>0</v>
      </c>
      <c r="CI1048" s="552">
        <f t="shared" si="1105"/>
        <v>0</v>
      </c>
      <c r="CJ1048" s="552">
        <f t="shared" si="1105"/>
        <v>0</v>
      </c>
      <c r="CK1048" s="552">
        <f t="shared" si="1105"/>
        <v>0</v>
      </c>
      <c r="CL1048" s="552">
        <f t="shared" si="1105"/>
        <v>0</v>
      </c>
      <c r="CM1048" s="552">
        <f t="shared" si="1105"/>
        <v>0</v>
      </c>
      <c r="CN1048" s="552">
        <f t="shared" si="1105"/>
        <v>0</v>
      </c>
      <c r="CO1048" s="552">
        <f t="shared" si="1105"/>
        <v>0</v>
      </c>
      <c r="CP1048" s="552">
        <f t="shared" si="1105"/>
        <v>0</v>
      </c>
      <c r="CQ1048" s="552">
        <f t="shared" si="1105"/>
        <v>0</v>
      </c>
      <c r="CR1048" s="552">
        <f t="shared" si="1105"/>
        <v>0</v>
      </c>
      <c r="CS1048" s="552">
        <f t="shared" si="1105"/>
        <v>0</v>
      </c>
      <c r="CT1048" s="552">
        <f t="shared" si="1105"/>
        <v>0</v>
      </c>
      <c r="CU1048" s="552">
        <f t="shared" si="1105"/>
        <v>0</v>
      </c>
      <c r="CV1048" s="552">
        <f t="shared" si="1105"/>
        <v>0</v>
      </c>
      <c r="CW1048" s="552">
        <f t="shared" si="1105"/>
        <v>0</v>
      </c>
      <c r="CX1048" s="552">
        <f t="shared" si="1105"/>
        <v>0</v>
      </c>
      <c r="CY1048" s="552">
        <f t="shared" si="1105"/>
        <v>0</v>
      </c>
      <c r="CZ1048" s="552">
        <f t="shared" si="1105"/>
        <v>0</v>
      </c>
      <c r="DA1048" s="552">
        <f t="shared" si="1105"/>
        <v>0</v>
      </c>
      <c r="DB1048" s="552">
        <f t="shared" ref="DB1048:EG1048" si="1106">DB84*DB$338</f>
        <v>0</v>
      </c>
      <c r="DC1048" s="552">
        <f t="shared" si="1106"/>
        <v>0</v>
      </c>
      <c r="DD1048" s="552">
        <f t="shared" si="1106"/>
        <v>0</v>
      </c>
      <c r="DE1048" s="552">
        <f t="shared" si="1106"/>
        <v>0</v>
      </c>
      <c r="DF1048" s="552">
        <f t="shared" si="1106"/>
        <v>0</v>
      </c>
      <c r="DG1048" s="552">
        <f t="shared" si="1106"/>
        <v>0</v>
      </c>
      <c r="DH1048" s="552">
        <f t="shared" si="1106"/>
        <v>0</v>
      </c>
      <c r="DI1048" s="552">
        <f t="shared" si="1106"/>
        <v>0</v>
      </c>
      <c r="DJ1048" s="552">
        <f t="shared" si="1106"/>
        <v>0</v>
      </c>
      <c r="DK1048" s="552">
        <f t="shared" si="1106"/>
        <v>0</v>
      </c>
      <c r="DL1048" s="552">
        <f t="shared" si="1106"/>
        <v>0</v>
      </c>
      <c r="DM1048" s="552">
        <f t="shared" si="1106"/>
        <v>0</v>
      </c>
      <c r="DN1048" s="552">
        <f t="shared" si="1106"/>
        <v>0</v>
      </c>
      <c r="DO1048" s="552">
        <f t="shared" si="1106"/>
        <v>0</v>
      </c>
      <c r="DP1048" s="552">
        <f t="shared" si="1106"/>
        <v>0</v>
      </c>
      <c r="DQ1048" s="552">
        <f t="shared" si="1106"/>
        <v>0</v>
      </c>
      <c r="DR1048" s="552">
        <f t="shared" si="1106"/>
        <v>0</v>
      </c>
      <c r="DS1048" s="552">
        <f t="shared" si="1106"/>
        <v>0</v>
      </c>
      <c r="DT1048" s="552">
        <f t="shared" si="1106"/>
        <v>0</v>
      </c>
      <c r="DU1048" s="552">
        <f t="shared" si="1106"/>
        <v>0</v>
      </c>
      <c r="DV1048" s="552">
        <f t="shared" si="1106"/>
        <v>0</v>
      </c>
      <c r="DW1048" s="552">
        <f t="shared" si="1106"/>
        <v>0</v>
      </c>
      <c r="DX1048" s="552">
        <f t="shared" si="1106"/>
        <v>0</v>
      </c>
      <c r="DY1048" s="552">
        <f t="shared" si="1106"/>
        <v>0</v>
      </c>
      <c r="DZ1048" s="552">
        <f t="shared" si="1106"/>
        <v>0</v>
      </c>
      <c r="EA1048" s="552">
        <f t="shared" si="1106"/>
        <v>0</v>
      </c>
      <c r="EB1048" s="552">
        <f t="shared" si="1106"/>
        <v>0</v>
      </c>
      <c r="EC1048" s="552">
        <f t="shared" si="1106"/>
        <v>0</v>
      </c>
      <c r="ED1048" s="552">
        <f t="shared" si="1106"/>
        <v>0</v>
      </c>
      <c r="EE1048" s="552">
        <f t="shared" si="1106"/>
        <v>0</v>
      </c>
      <c r="EF1048" s="552">
        <f t="shared" si="1106"/>
        <v>0</v>
      </c>
      <c r="EG1048" s="552">
        <f t="shared" si="1106"/>
        <v>0</v>
      </c>
      <c r="EH1048" s="552">
        <f t="shared" ref="EH1048:EX1048" si="1107">EH84*EH$338</f>
        <v>0</v>
      </c>
      <c r="EI1048" s="552">
        <f t="shared" si="1107"/>
        <v>0</v>
      </c>
      <c r="EJ1048" s="552">
        <f t="shared" si="1107"/>
        <v>0</v>
      </c>
      <c r="EK1048" s="552">
        <f t="shared" si="1107"/>
        <v>0</v>
      </c>
      <c r="EL1048" s="552">
        <f t="shared" si="1107"/>
        <v>0</v>
      </c>
      <c r="EM1048" s="552">
        <f t="shared" si="1107"/>
        <v>0</v>
      </c>
      <c r="EN1048" s="552">
        <f t="shared" si="1107"/>
        <v>0</v>
      </c>
      <c r="EO1048" s="552">
        <f t="shared" si="1107"/>
        <v>0</v>
      </c>
      <c r="EP1048" s="552">
        <f t="shared" si="1107"/>
        <v>0</v>
      </c>
      <c r="EQ1048" s="552">
        <f t="shared" si="1107"/>
        <v>0</v>
      </c>
      <c r="ER1048" s="552">
        <f t="shared" si="1107"/>
        <v>0</v>
      </c>
      <c r="ES1048" s="552">
        <f t="shared" si="1107"/>
        <v>0</v>
      </c>
      <c r="ET1048" s="552">
        <f t="shared" si="1107"/>
        <v>0</v>
      </c>
      <c r="EU1048" s="552">
        <f t="shared" si="1107"/>
        <v>0</v>
      </c>
      <c r="EV1048" s="552">
        <f t="shared" si="1107"/>
        <v>0</v>
      </c>
      <c r="EW1048" s="552">
        <f t="shared" si="1107"/>
        <v>0</v>
      </c>
      <c r="EX1048" s="552">
        <f t="shared" si="1107"/>
        <v>0</v>
      </c>
      <c r="EY1048" s="799">
        <f t="shared" si="527"/>
        <v>0</v>
      </c>
      <c r="EZ1048" s="640"/>
      <c r="FA1048" s="640"/>
      <c r="FB1048" s="640"/>
      <c r="FC1048" s="640"/>
      <c r="FD1048" s="640"/>
      <c r="FE1048" s="640"/>
      <c r="FF1048" s="640"/>
      <c r="FG1048" s="640"/>
      <c r="FH1048" s="640"/>
      <c r="FI1048" s="640"/>
      <c r="FJ1048" s="640"/>
      <c r="FK1048" s="640"/>
      <c r="FL1048" s="640"/>
    </row>
    <row r="1049" spans="1:168" s="1034" customFormat="1" x14ac:dyDescent="0.25">
      <c r="A1049" s="1033"/>
      <c r="B1049" s="624">
        <f t="shared" si="1063"/>
        <v>0</v>
      </c>
      <c r="C1049" s="624">
        <f t="shared" si="1071"/>
        <v>0</v>
      </c>
      <c r="D1049" s="624">
        <f t="shared" si="1071"/>
        <v>0</v>
      </c>
      <c r="E1049" s="1158">
        <f t="shared" si="1072"/>
        <v>0</v>
      </c>
      <c r="F1049" s="1158"/>
      <c r="G1049" s="1140"/>
      <c r="H1049" s="1140"/>
      <c r="I1049" s="552"/>
      <c r="J1049" s="552">
        <f t="shared" ref="J1049:AO1049" si="1108">J85*J$338</f>
        <v>0</v>
      </c>
      <c r="K1049" s="552">
        <f t="shared" si="1108"/>
        <v>0</v>
      </c>
      <c r="L1049" s="552">
        <f t="shared" si="1108"/>
        <v>0</v>
      </c>
      <c r="M1049" s="552">
        <f t="shared" si="1108"/>
        <v>0</v>
      </c>
      <c r="N1049" s="552">
        <f t="shared" si="1108"/>
        <v>0</v>
      </c>
      <c r="O1049" s="552">
        <f t="shared" si="1108"/>
        <v>0</v>
      </c>
      <c r="P1049" s="552">
        <f t="shared" si="1108"/>
        <v>0</v>
      </c>
      <c r="Q1049" s="552">
        <f t="shared" si="1108"/>
        <v>0</v>
      </c>
      <c r="R1049" s="552">
        <f t="shared" si="1108"/>
        <v>0</v>
      </c>
      <c r="S1049" s="552">
        <f t="shared" si="1108"/>
        <v>0</v>
      </c>
      <c r="T1049" s="552">
        <f t="shared" si="1108"/>
        <v>0</v>
      </c>
      <c r="U1049" s="552">
        <f t="shared" si="1108"/>
        <v>0</v>
      </c>
      <c r="V1049" s="552">
        <f t="shared" si="1108"/>
        <v>0</v>
      </c>
      <c r="W1049" s="552">
        <f t="shared" si="1108"/>
        <v>0</v>
      </c>
      <c r="X1049" s="552">
        <f t="shared" si="1108"/>
        <v>0</v>
      </c>
      <c r="Y1049" s="552">
        <f t="shared" si="1108"/>
        <v>0</v>
      </c>
      <c r="Z1049" s="552">
        <f t="shared" si="1108"/>
        <v>0</v>
      </c>
      <c r="AA1049" s="552">
        <f t="shared" si="1108"/>
        <v>0</v>
      </c>
      <c r="AB1049" s="552">
        <f t="shared" si="1108"/>
        <v>0</v>
      </c>
      <c r="AC1049" s="552">
        <f t="shared" si="1108"/>
        <v>0</v>
      </c>
      <c r="AD1049" s="552">
        <f t="shared" si="1108"/>
        <v>0</v>
      </c>
      <c r="AE1049" s="552">
        <f t="shared" si="1108"/>
        <v>0</v>
      </c>
      <c r="AF1049" s="552">
        <f t="shared" si="1108"/>
        <v>0</v>
      </c>
      <c r="AG1049" s="552">
        <f t="shared" si="1108"/>
        <v>0</v>
      </c>
      <c r="AH1049" s="552">
        <f t="shared" si="1108"/>
        <v>0</v>
      </c>
      <c r="AI1049" s="552">
        <f t="shared" si="1108"/>
        <v>0</v>
      </c>
      <c r="AJ1049" s="552">
        <f t="shared" si="1108"/>
        <v>0</v>
      </c>
      <c r="AK1049" s="552">
        <f t="shared" si="1108"/>
        <v>0</v>
      </c>
      <c r="AL1049" s="552">
        <f t="shared" si="1108"/>
        <v>0</v>
      </c>
      <c r="AM1049" s="552">
        <f t="shared" si="1108"/>
        <v>0</v>
      </c>
      <c r="AN1049" s="552">
        <f t="shared" si="1108"/>
        <v>0</v>
      </c>
      <c r="AO1049" s="552">
        <f t="shared" si="1108"/>
        <v>0</v>
      </c>
      <c r="AP1049" s="552">
        <f t="shared" ref="AP1049:BU1049" si="1109">AP85*AP$338</f>
        <v>0</v>
      </c>
      <c r="AQ1049" s="552">
        <f t="shared" si="1109"/>
        <v>0</v>
      </c>
      <c r="AR1049" s="552">
        <f t="shared" si="1109"/>
        <v>0</v>
      </c>
      <c r="AS1049" s="552">
        <f t="shared" si="1109"/>
        <v>0</v>
      </c>
      <c r="AT1049" s="552">
        <f t="shared" si="1109"/>
        <v>0</v>
      </c>
      <c r="AU1049" s="552">
        <f t="shared" si="1109"/>
        <v>0</v>
      </c>
      <c r="AV1049" s="552">
        <f t="shared" si="1109"/>
        <v>0</v>
      </c>
      <c r="AW1049" s="552">
        <f t="shared" si="1109"/>
        <v>0</v>
      </c>
      <c r="AX1049" s="552">
        <f t="shared" si="1109"/>
        <v>0</v>
      </c>
      <c r="AY1049" s="552">
        <f t="shared" si="1109"/>
        <v>0</v>
      </c>
      <c r="AZ1049" s="552">
        <f t="shared" si="1109"/>
        <v>0</v>
      </c>
      <c r="BA1049" s="552">
        <f t="shared" si="1109"/>
        <v>0</v>
      </c>
      <c r="BB1049" s="552">
        <f t="shared" si="1109"/>
        <v>0</v>
      </c>
      <c r="BC1049" s="552">
        <f t="shared" si="1109"/>
        <v>0</v>
      </c>
      <c r="BD1049" s="552">
        <f t="shared" si="1109"/>
        <v>0</v>
      </c>
      <c r="BE1049" s="552">
        <f t="shared" si="1109"/>
        <v>0</v>
      </c>
      <c r="BF1049" s="552">
        <f t="shared" si="1109"/>
        <v>0</v>
      </c>
      <c r="BG1049" s="552">
        <f t="shared" si="1109"/>
        <v>0</v>
      </c>
      <c r="BH1049" s="552">
        <f t="shared" si="1109"/>
        <v>0</v>
      </c>
      <c r="BI1049" s="552">
        <f t="shared" si="1109"/>
        <v>0</v>
      </c>
      <c r="BJ1049" s="552">
        <f t="shared" si="1109"/>
        <v>0</v>
      </c>
      <c r="BK1049" s="552">
        <f t="shared" si="1109"/>
        <v>0</v>
      </c>
      <c r="BL1049" s="552">
        <f t="shared" si="1109"/>
        <v>0</v>
      </c>
      <c r="BM1049" s="552">
        <f t="shared" si="1109"/>
        <v>0</v>
      </c>
      <c r="BN1049" s="552">
        <f t="shared" si="1109"/>
        <v>0</v>
      </c>
      <c r="BO1049" s="552">
        <f t="shared" si="1109"/>
        <v>0</v>
      </c>
      <c r="BP1049" s="552">
        <f t="shared" si="1109"/>
        <v>0</v>
      </c>
      <c r="BQ1049" s="552">
        <f t="shared" si="1109"/>
        <v>0</v>
      </c>
      <c r="BR1049" s="552">
        <f t="shared" si="1109"/>
        <v>0</v>
      </c>
      <c r="BS1049" s="552">
        <f t="shared" si="1109"/>
        <v>0</v>
      </c>
      <c r="BT1049" s="552">
        <f t="shared" si="1109"/>
        <v>0</v>
      </c>
      <c r="BU1049" s="552">
        <f t="shared" si="1109"/>
        <v>0</v>
      </c>
      <c r="BV1049" s="552">
        <f t="shared" ref="BV1049:DA1049" si="1110">BV85*BV$338</f>
        <v>0</v>
      </c>
      <c r="BW1049" s="552">
        <f t="shared" si="1110"/>
        <v>0</v>
      </c>
      <c r="BX1049" s="552">
        <f t="shared" si="1110"/>
        <v>0</v>
      </c>
      <c r="BY1049" s="552">
        <f t="shared" si="1110"/>
        <v>0</v>
      </c>
      <c r="BZ1049" s="552">
        <f t="shared" si="1110"/>
        <v>0</v>
      </c>
      <c r="CA1049" s="552">
        <f t="shared" si="1110"/>
        <v>0</v>
      </c>
      <c r="CB1049" s="552">
        <f t="shared" si="1110"/>
        <v>0</v>
      </c>
      <c r="CC1049" s="552">
        <f t="shared" si="1110"/>
        <v>0</v>
      </c>
      <c r="CD1049" s="552">
        <f t="shared" si="1110"/>
        <v>0</v>
      </c>
      <c r="CE1049" s="552">
        <f t="shared" si="1110"/>
        <v>0</v>
      </c>
      <c r="CF1049" s="552">
        <f t="shared" si="1110"/>
        <v>0</v>
      </c>
      <c r="CG1049" s="552">
        <f t="shared" si="1110"/>
        <v>0</v>
      </c>
      <c r="CH1049" s="552">
        <f t="shared" si="1110"/>
        <v>0</v>
      </c>
      <c r="CI1049" s="552">
        <f t="shared" si="1110"/>
        <v>0</v>
      </c>
      <c r="CJ1049" s="552">
        <f t="shared" si="1110"/>
        <v>0</v>
      </c>
      <c r="CK1049" s="552">
        <f t="shared" si="1110"/>
        <v>0</v>
      </c>
      <c r="CL1049" s="552">
        <f t="shared" si="1110"/>
        <v>0</v>
      </c>
      <c r="CM1049" s="552">
        <f t="shared" si="1110"/>
        <v>0</v>
      </c>
      <c r="CN1049" s="552">
        <f t="shared" si="1110"/>
        <v>0</v>
      </c>
      <c r="CO1049" s="552">
        <f t="shared" si="1110"/>
        <v>0</v>
      </c>
      <c r="CP1049" s="552">
        <f t="shared" si="1110"/>
        <v>0</v>
      </c>
      <c r="CQ1049" s="552">
        <f t="shared" si="1110"/>
        <v>0</v>
      </c>
      <c r="CR1049" s="552">
        <f t="shared" si="1110"/>
        <v>0</v>
      </c>
      <c r="CS1049" s="552">
        <f t="shared" si="1110"/>
        <v>0</v>
      </c>
      <c r="CT1049" s="552">
        <f t="shared" si="1110"/>
        <v>0</v>
      </c>
      <c r="CU1049" s="552">
        <f t="shared" si="1110"/>
        <v>0</v>
      </c>
      <c r="CV1049" s="552">
        <f t="shared" si="1110"/>
        <v>0</v>
      </c>
      <c r="CW1049" s="552">
        <f t="shared" si="1110"/>
        <v>0</v>
      </c>
      <c r="CX1049" s="552">
        <f t="shared" si="1110"/>
        <v>0</v>
      </c>
      <c r="CY1049" s="552">
        <f t="shared" si="1110"/>
        <v>0</v>
      </c>
      <c r="CZ1049" s="552">
        <f t="shared" si="1110"/>
        <v>0</v>
      </c>
      <c r="DA1049" s="552">
        <f t="shared" si="1110"/>
        <v>0</v>
      </c>
      <c r="DB1049" s="552">
        <f t="shared" ref="DB1049:EG1049" si="1111">DB85*DB$338</f>
        <v>0</v>
      </c>
      <c r="DC1049" s="552">
        <f t="shared" si="1111"/>
        <v>0</v>
      </c>
      <c r="DD1049" s="552">
        <f t="shared" si="1111"/>
        <v>0</v>
      </c>
      <c r="DE1049" s="552">
        <f t="shared" si="1111"/>
        <v>0</v>
      </c>
      <c r="DF1049" s="552">
        <f t="shared" si="1111"/>
        <v>0</v>
      </c>
      <c r="DG1049" s="552">
        <f t="shared" si="1111"/>
        <v>0</v>
      </c>
      <c r="DH1049" s="552">
        <f t="shared" si="1111"/>
        <v>0</v>
      </c>
      <c r="DI1049" s="552">
        <f t="shared" si="1111"/>
        <v>0</v>
      </c>
      <c r="DJ1049" s="552">
        <f t="shared" si="1111"/>
        <v>0</v>
      </c>
      <c r="DK1049" s="552">
        <f t="shared" si="1111"/>
        <v>0</v>
      </c>
      <c r="DL1049" s="552">
        <f t="shared" si="1111"/>
        <v>0</v>
      </c>
      <c r="DM1049" s="552">
        <f t="shared" si="1111"/>
        <v>0</v>
      </c>
      <c r="DN1049" s="552">
        <f t="shared" si="1111"/>
        <v>0</v>
      </c>
      <c r="DO1049" s="552">
        <f t="shared" si="1111"/>
        <v>0</v>
      </c>
      <c r="DP1049" s="552">
        <f t="shared" si="1111"/>
        <v>0</v>
      </c>
      <c r="DQ1049" s="552">
        <f t="shared" si="1111"/>
        <v>0</v>
      </c>
      <c r="DR1049" s="552">
        <f t="shared" si="1111"/>
        <v>0</v>
      </c>
      <c r="DS1049" s="552">
        <f t="shared" si="1111"/>
        <v>0</v>
      </c>
      <c r="DT1049" s="552">
        <f t="shared" si="1111"/>
        <v>0</v>
      </c>
      <c r="DU1049" s="552">
        <f t="shared" si="1111"/>
        <v>0</v>
      </c>
      <c r="DV1049" s="552">
        <f t="shared" si="1111"/>
        <v>0</v>
      </c>
      <c r="DW1049" s="552">
        <f t="shared" si="1111"/>
        <v>0</v>
      </c>
      <c r="DX1049" s="552">
        <f t="shared" si="1111"/>
        <v>0</v>
      </c>
      <c r="DY1049" s="552">
        <f t="shared" si="1111"/>
        <v>0</v>
      </c>
      <c r="DZ1049" s="552">
        <f t="shared" si="1111"/>
        <v>0</v>
      </c>
      <c r="EA1049" s="552">
        <f t="shared" si="1111"/>
        <v>0</v>
      </c>
      <c r="EB1049" s="552">
        <f t="shared" si="1111"/>
        <v>0</v>
      </c>
      <c r="EC1049" s="552">
        <f t="shared" si="1111"/>
        <v>0</v>
      </c>
      <c r="ED1049" s="552">
        <f t="shared" si="1111"/>
        <v>0</v>
      </c>
      <c r="EE1049" s="552">
        <f t="shared" si="1111"/>
        <v>0</v>
      </c>
      <c r="EF1049" s="552">
        <f t="shared" si="1111"/>
        <v>0</v>
      </c>
      <c r="EG1049" s="552">
        <f t="shared" si="1111"/>
        <v>0</v>
      </c>
      <c r="EH1049" s="552">
        <f t="shared" ref="EH1049:EX1049" si="1112">EH85*EH$338</f>
        <v>0</v>
      </c>
      <c r="EI1049" s="552">
        <f t="shared" si="1112"/>
        <v>0</v>
      </c>
      <c r="EJ1049" s="552">
        <f t="shared" si="1112"/>
        <v>0</v>
      </c>
      <c r="EK1049" s="552">
        <f t="shared" si="1112"/>
        <v>0</v>
      </c>
      <c r="EL1049" s="552">
        <f t="shared" si="1112"/>
        <v>0</v>
      </c>
      <c r="EM1049" s="552">
        <f t="shared" si="1112"/>
        <v>0</v>
      </c>
      <c r="EN1049" s="552">
        <f t="shared" si="1112"/>
        <v>0</v>
      </c>
      <c r="EO1049" s="552">
        <f t="shared" si="1112"/>
        <v>0</v>
      </c>
      <c r="EP1049" s="552">
        <f t="shared" si="1112"/>
        <v>0</v>
      </c>
      <c r="EQ1049" s="552">
        <f t="shared" si="1112"/>
        <v>0</v>
      </c>
      <c r="ER1049" s="552">
        <f t="shared" si="1112"/>
        <v>0</v>
      </c>
      <c r="ES1049" s="552">
        <f t="shared" si="1112"/>
        <v>0</v>
      </c>
      <c r="ET1049" s="552">
        <f t="shared" si="1112"/>
        <v>0</v>
      </c>
      <c r="EU1049" s="552">
        <f t="shared" si="1112"/>
        <v>0</v>
      </c>
      <c r="EV1049" s="552">
        <f t="shared" si="1112"/>
        <v>0</v>
      </c>
      <c r="EW1049" s="552">
        <f t="shared" si="1112"/>
        <v>0</v>
      </c>
      <c r="EX1049" s="552">
        <f t="shared" si="1112"/>
        <v>0</v>
      </c>
      <c r="EY1049" s="799">
        <f t="shared" si="527"/>
        <v>0</v>
      </c>
      <c r="EZ1049" s="640"/>
      <c r="FA1049" s="640"/>
      <c r="FB1049" s="640"/>
      <c r="FC1049" s="640"/>
      <c r="FD1049" s="640"/>
      <c r="FE1049" s="640"/>
      <c r="FF1049" s="640"/>
      <c r="FG1049" s="640"/>
      <c r="FH1049" s="640"/>
      <c r="FI1049" s="640"/>
      <c r="FJ1049" s="640"/>
      <c r="FK1049" s="640"/>
      <c r="FL1049" s="640"/>
    </row>
    <row r="1050" spans="1:168" x14ac:dyDescent="0.25">
      <c r="A1050" s="254"/>
      <c r="B1050" s="625" t="s">
        <v>111</v>
      </c>
      <c r="C1050" s="1135"/>
      <c r="D1050" s="1138">
        <f>SUM(D1041:D1049)</f>
        <v>12.9</v>
      </c>
      <c r="E1050" s="1138">
        <f t="shared" ref="E1050:J1050" si="1113">SUM(E1041:E1049)</f>
        <v>56.42</v>
      </c>
      <c r="F1050" s="1138"/>
      <c r="G1050" s="1138">
        <f t="shared" si="1113"/>
        <v>0</v>
      </c>
      <c r="H1050" s="1138">
        <f t="shared" si="1113"/>
        <v>0</v>
      </c>
      <c r="I1050" s="554"/>
      <c r="J1050" s="1138">
        <f t="shared" si="1113"/>
        <v>0</v>
      </c>
      <c r="K1050" s="1138">
        <f t="shared" ref="K1050" si="1114">SUM(K1041:K1049)</f>
        <v>0</v>
      </c>
      <c r="L1050" s="1138">
        <f t="shared" ref="L1050" si="1115">SUM(L1041:L1049)</f>
        <v>0</v>
      </c>
      <c r="M1050" s="1138">
        <f t="shared" ref="M1050" si="1116">SUM(M1041:M1049)</f>
        <v>0</v>
      </c>
      <c r="N1050" s="1138">
        <f t="shared" ref="N1050" si="1117">SUM(N1041:N1049)</f>
        <v>0</v>
      </c>
      <c r="O1050" s="1138">
        <f t="shared" ref="O1050" si="1118">SUM(O1041:O1049)</f>
        <v>0</v>
      </c>
      <c r="P1050" s="1138">
        <f t="shared" ref="P1050" si="1119">SUM(P1041:P1049)</f>
        <v>0</v>
      </c>
      <c r="Q1050" s="1138">
        <f t="shared" ref="Q1050" si="1120">SUM(Q1041:Q1049)</f>
        <v>0</v>
      </c>
      <c r="R1050" s="1138">
        <f t="shared" ref="R1050" si="1121">SUM(R1041:R1049)</f>
        <v>0</v>
      </c>
      <c r="S1050" s="1138">
        <f t="shared" ref="S1050" si="1122">SUM(S1041:S1049)</f>
        <v>0</v>
      </c>
      <c r="T1050" s="1138">
        <f t="shared" ref="T1050" si="1123">SUM(T1041:T1049)</f>
        <v>0</v>
      </c>
      <c r="U1050" s="1138">
        <f t="shared" ref="U1050" si="1124">SUM(U1041:U1049)</f>
        <v>10</v>
      </c>
      <c r="V1050" s="1138">
        <f t="shared" ref="V1050" si="1125">SUM(V1041:V1049)</f>
        <v>8.52</v>
      </c>
      <c r="W1050" s="1138">
        <f t="shared" ref="W1050" si="1126">SUM(W1041:W1049)</f>
        <v>11.5</v>
      </c>
      <c r="X1050" s="1138">
        <f t="shared" ref="X1050" si="1127">SUM(X1041:X1049)</f>
        <v>0</v>
      </c>
      <c r="Y1050" s="1138">
        <f t="shared" ref="Y1050" si="1128">SUM(Y1041:Y1049)</f>
        <v>0</v>
      </c>
      <c r="Z1050" s="1138">
        <f t="shared" ref="Z1050" si="1129">SUM(Z1041:Z1049)</f>
        <v>0</v>
      </c>
      <c r="AA1050" s="1138">
        <f t="shared" ref="AA1050" si="1130">SUM(AA1041:AA1049)</f>
        <v>0</v>
      </c>
      <c r="AB1050" s="1138">
        <f t="shared" ref="AB1050" si="1131">SUM(AB1041:AB1049)</f>
        <v>0</v>
      </c>
      <c r="AC1050" s="1138">
        <f t="shared" ref="AC1050" si="1132">SUM(AC1041:AC1049)</f>
        <v>0</v>
      </c>
      <c r="AD1050" s="1138">
        <f t="shared" ref="AD1050" si="1133">SUM(AD1041:AD1049)</f>
        <v>0</v>
      </c>
      <c r="AE1050" s="1138">
        <f t="shared" ref="AE1050" si="1134">SUM(AE1041:AE1049)</f>
        <v>0</v>
      </c>
      <c r="AF1050" s="1138">
        <f t="shared" ref="AF1050" si="1135">SUM(AF1041:AF1049)</f>
        <v>0</v>
      </c>
      <c r="AG1050" s="1138">
        <f t="shared" ref="AG1050" si="1136">SUM(AG1041:AG1049)</f>
        <v>0</v>
      </c>
      <c r="AH1050" s="1138">
        <f t="shared" ref="AH1050" si="1137">SUM(AH1041:AH1049)</f>
        <v>0</v>
      </c>
      <c r="AI1050" s="1138">
        <f t="shared" ref="AI1050" si="1138">SUM(AI1041:AI1049)</f>
        <v>0</v>
      </c>
      <c r="AJ1050" s="1138">
        <f t="shared" ref="AJ1050" si="1139">SUM(AJ1041:AJ1049)</f>
        <v>0</v>
      </c>
      <c r="AK1050" s="1138">
        <f t="shared" ref="AK1050" si="1140">SUM(AK1041:AK1049)</f>
        <v>0</v>
      </c>
      <c r="AL1050" s="1138">
        <f t="shared" ref="AL1050" si="1141">SUM(AL1041:AL1049)</f>
        <v>0</v>
      </c>
      <c r="AM1050" s="1138">
        <f t="shared" ref="AM1050" si="1142">SUM(AM1041:AM1049)</f>
        <v>0</v>
      </c>
      <c r="AN1050" s="1138">
        <f t="shared" ref="AN1050" si="1143">SUM(AN1041:AN1049)</f>
        <v>0</v>
      </c>
      <c r="AO1050" s="1138">
        <f t="shared" ref="AO1050" si="1144">SUM(AO1041:AO1049)</f>
        <v>0</v>
      </c>
      <c r="AP1050" s="1138">
        <f t="shared" ref="AP1050" si="1145">SUM(AP1041:AP1049)</f>
        <v>0</v>
      </c>
      <c r="AQ1050" s="1138">
        <f t="shared" ref="AQ1050" si="1146">SUM(AQ1041:AQ1049)</f>
        <v>0</v>
      </c>
      <c r="AR1050" s="1138">
        <f t="shared" ref="AR1050" si="1147">SUM(AR1041:AR1049)</f>
        <v>0</v>
      </c>
      <c r="AS1050" s="1138">
        <f t="shared" ref="AS1050" si="1148">SUM(AS1041:AS1049)</f>
        <v>0</v>
      </c>
      <c r="AT1050" s="1138">
        <f t="shared" ref="AT1050" si="1149">SUM(AT1041:AT1049)</f>
        <v>0</v>
      </c>
      <c r="AU1050" s="1138">
        <f t="shared" ref="AU1050" si="1150">SUM(AU1041:AU1049)</f>
        <v>0</v>
      </c>
      <c r="AV1050" s="1138">
        <f t="shared" ref="AV1050" si="1151">SUM(AV1041:AV1049)</f>
        <v>0</v>
      </c>
      <c r="AW1050" s="1138">
        <f t="shared" ref="AW1050" si="1152">SUM(AW1041:AW1049)</f>
        <v>0</v>
      </c>
      <c r="AX1050" s="1138">
        <f t="shared" ref="AX1050" si="1153">SUM(AX1041:AX1049)</f>
        <v>0</v>
      </c>
      <c r="AY1050" s="1138">
        <f t="shared" ref="AY1050" si="1154">SUM(AY1041:AY1049)</f>
        <v>0</v>
      </c>
      <c r="AZ1050" s="1138">
        <f t="shared" ref="AZ1050" si="1155">SUM(AZ1041:AZ1049)</f>
        <v>0</v>
      </c>
      <c r="BA1050" s="1138">
        <f t="shared" ref="BA1050" si="1156">SUM(BA1041:BA1049)</f>
        <v>0</v>
      </c>
      <c r="BB1050" s="1138">
        <f t="shared" ref="BB1050" si="1157">SUM(BB1041:BB1049)</f>
        <v>0</v>
      </c>
      <c r="BC1050" s="1138">
        <f t="shared" ref="BC1050" si="1158">SUM(BC1041:BC1049)</f>
        <v>0</v>
      </c>
      <c r="BD1050" s="1138">
        <f t="shared" ref="BD1050" si="1159">SUM(BD1041:BD1049)</f>
        <v>0</v>
      </c>
      <c r="BE1050" s="1138">
        <f t="shared" ref="BE1050" si="1160">SUM(BE1041:BE1049)</f>
        <v>0</v>
      </c>
      <c r="BF1050" s="1138">
        <f t="shared" ref="BF1050" si="1161">SUM(BF1041:BF1049)</f>
        <v>0</v>
      </c>
      <c r="BG1050" s="1138">
        <f t="shared" ref="BG1050" si="1162">SUM(BG1041:BG1049)</f>
        <v>0</v>
      </c>
      <c r="BH1050" s="1138">
        <f t="shared" ref="BH1050" si="1163">SUM(BH1041:BH1049)</f>
        <v>0</v>
      </c>
      <c r="BI1050" s="1138">
        <f t="shared" ref="BI1050" si="1164">SUM(BI1041:BI1049)</f>
        <v>0</v>
      </c>
      <c r="BJ1050" s="1138">
        <f t="shared" ref="BJ1050" si="1165">SUM(BJ1041:BJ1049)</f>
        <v>0</v>
      </c>
      <c r="BK1050" s="1138">
        <f t="shared" ref="BK1050" si="1166">SUM(BK1041:BK1049)</f>
        <v>0</v>
      </c>
      <c r="BL1050" s="1138">
        <f t="shared" ref="BL1050" si="1167">SUM(BL1041:BL1049)</f>
        <v>0</v>
      </c>
      <c r="BM1050" s="1138">
        <f t="shared" ref="BM1050" si="1168">SUM(BM1041:BM1049)</f>
        <v>0</v>
      </c>
      <c r="BN1050" s="1138">
        <f t="shared" ref="BN1050" si="1169">SUM(BN1041:BN1049)</f>
        <v>0</v>
      </c>
      <c r="BO1050" s="1138">
        <f t="shared" ref="BO1050" si="1170">SUM(BO1041:BO1049)</f>
        <v>0</v>
      </c>
      <c r="BP1050" s="1138">
        <f t="shared" ref="BP1050" si="1171">SUM(BP1041:BP1049)</f>
        <v>0</v>
      </c>
      <c r="BQ1050" s="1138">
        <f t="shared" ref="BQ1050" si="1172">SUM(BQ1041:BQ1049)</f>
        <v>0</v>
      </c>
      <c r="BR1050" s="1138">
        <f t="shared" ref="BR1050" si="1173">SUM(BR1041:BR1049)</f>
        <v>18.2</v>
      </c>
      <c r="BS1050" s="1138">
        <f t="shared" ref="BS1050" si="1174">SUM(BS1041:BS1049)</f>
        <v>0</v>
      </c>
      <c r="BT1050" s="1138">
        <f t="shared" ref="BT1050" si="1175">SUM(BT1041:BT1049)</f>
        <v>0</v>
      </c>
      <c r="BU1050" s="1138">
        <f t="shared" ref="BU1050" si="1176">SUM(BU1041:BU1049)</f>
        <v>0</v>
      </c>
      <c r="BV1050" s="1138">
        <f t="shared" ref="BV1050" si="1177">SUM(BV1041:BV1049)</f>
        <v>0</v>
      </c>
      <c r="BW1050" s="1138">
        <f t="shared" ref="BW1050" si="1178">SUM(BW1041:BW1049)</f>
        <v>0</v>
      </c>
      <c r="BX1050" s="1138">
        <f t="shared" ref="BX1050" si="1179">SUM(BX1041:BX1049)</f>
        <v>0</v>
      </c>
      <c r="BY1050" s="1138">
        <f t="shared" ref="BY1050" si="1180">SUM(BY1041:BY1049)</f>
        <v>0</v>
      </c>
      <c r="BZ1050" s="1138">
        <f t="shared" ref="BZ1050" si="1181">SUM(BZ1041:BZ1049)</f>
        <v>0</v>
      </c>
      <c r="CA1050" s="1138">
        <f t="shared" ref="CA1050" si="1182">SUM(CA1041:CA1049)</f>
        <v>0</v>
      </c>
      <c r="CB1050" s="1138">
        <f t="shared" ref="CB1050" si="1183">SUM(CB1041:CB1049)</f>
        <v>0</v>
      </c>
      <c r="CC1050" s="1138">
        <f t="shared" ref="CC1050" si="1184">SUM(CC1041:CC1049)</f>
        <v>0</v>
      </c>
      <c r="CD1050" s="1138">
        <f t="shared" ref="CD1050" si="1185">SUM(CD1041:CD1049)</f>
        <v>0</v>
      </c>
      <c r="CE1050" s="1138">
        <f t="shared" ref="CE1050" si="1186">SUM(CE1041:CE1049)</f>
        <v>0</v>
      </c>
      <c r="CF1050" s="1138">
        <f t="shared" ref="CF1050" si="1187">SUM(CF1041:CF1049)</f>
        <v>0</v>
      </c>
      <c r="CG1050" s="1138">
        <f t="shared" ref="CG1050" si="1188">SUM(CG1041:CG1049)</f>
        <v>1</v>
      </c>
      <c r="CH1050" s="1138">
        <f t="shared" ref="CH1050" si="1189">SUM(CH1041:CH1049)</f>
        <v>0</v>
      </c>
      <c r="CI1050" s="1138">
        <f t="shared" ref="CI1050" si="1190">SUM(CI1041:CI1049)</f>
        <v>0</v>
      </c>
      <c r="CJ1050" s="1138">
        <f t="shared" ref="CJ1050" si="1191">SUM(CJ1041:CJ1049)</f>
        <v>0</v>
      </c>
      <c r="CK1050" s="1138">
        <f t="shared" ref="CK1050" si="1192">SUM(CK1041:CK1049)</f>
        <v>0</v>
      </c>
      <c r="CL1050" s="1138">
        <f t="shared" ref="CL1050" si="1193">SUM(CL1041:CL1049)</f>
        <v>0</v>
      </c>
      <c r="CM1050" s="1138">
        <f t="shared" ref="CM1050" si="1194">SUM(CM1041:CM1049)</f>
        <v>0</v>
      </c>
      <c r="CN1050" s="1138">
        <f t="shared" ref="CN1050" si="1195">SUM(CN1041:CN1049)</f>
        <v>0</v>
      </c>
      <c r="CO1050" s="1138">
        <f t="shared" ref="CO1050" si="1196">SUM(CO1041:CO1049)</f>
        <v>0</v>
      </c>
      <c r="CP1050" s="1138">
        <f t="shared" ref="CP1050" si="1197">SUM(CP1041:CP1049)</f>
        <v>0</v>
      </c>
      <c r="CQ1050" s="1138">
        <f t="shared" ref="CQ1050" si="1198">SUM(CQ1041:CQ1049)</f>
        <v>0</v>
      </c>
      <c r="CR1050" s="1138">
        <f t="shared" ref="CR1050" si="1199">SUM(CR1041:CR1049)</f>
        <v>0</v>
      </c>
      <c r="CS1050" s="1138">
        <f t="shared" ref="CS1050" si="1200">SUM(CS1041:CS1049)</f>
        <v>0</v>
      </c>
      <c r="CT1050" s="1138">
        <f t="shared" ref="CT1050" si="1201">SUM(CT1041:CT1049)</f>
        <v>0</v>
      </c>
      <c r="CU1050" s="1138">
        <f t="shared" ref="CU1050" si="1202">SUM(CU1041:CU1049)</f>
        <v>0</v>
      </c>
      <c r="CV1050" s="1138">
        <f t="shared" ref="CV1050" si="1203">SUM(CV1041:CV1049)</f>
        <v>0</v>
      </c>
      <c r="CW1050" s="1138">
        <f t="shared" ref="CW1050" si="1204">SUM(CW1041:CW1049)</f>
        <v>0</v>
      </c>
      <c r="CX1050" s="1138">
        <f t="shared" ref="CX1050" si="1205">SUM(CX1041:CX1049)</f>
        <v>0</v>
      </c>
      <c r="CY1050" s="1138">
        <f t="shared" ref="CY1050" si="1206">SUM(CY1041:CY1049)</f>
        <v>0</v>
      </c>
      <c r="CZ1050" s="1138">
        <f t="shared" ref="CZ1050" si="1207">SUM(CZ1041:CZ1049)</f>
        <v>1.25</v>
      </c>
      <c r="DA1050" s="1138">
        <f t="shared" ref="DA1050" si="1208">SUM(DA1041:DA1049)</f>
        <v>0</v>
      </c>
      <c r="DB1050" s="1138">
        <f t="shared" ref="DB1050" si="1209">SUM(DB1041:DB1049)</f>
        <v>0</v>
      </c>
      <c r="DC1050" s="1138">
        <f t="shared" ref="DC1050" si="1210">SUM(DC1041:DC1049)</f>
        <v>0</v>
      </c>
      <c r="DD1050" s="1138">
        <f t="shared" ref="DD1050" si="1211">SUM(DD1041:DD1049)</f>
        <v>0</v>
      </c>
      <c r="DE1050" s="1138">
        <f t="shared" ref="DE1050" si="1212">SUM(DE1041:DE1049)</f>
        <v>0</v>
      </c>
      <c r="DF1050" s="1138">
        <f t="shared" ref="DF1050" si="1213">SUM(DF1041:DF1049)</f>
        <v>0</v>
      </c>
      <c r="DG1050" s="1138">
        <f t="shared" ref="DG1050" si="1214">SUM(DG1041:DG1049)</f>
        <v>0</v>
      </c>
      <c r="DH1050" s="1138">
        <f t="shared" ref="DH1050" si="1215">SUM(DH1041:DH1049)</f>
        <v>0</v>
      </c>
      <c r="DI1050" s="1138">
        <f t="shared" ref="DI1050" si="1216">SUM(DI1041:DI1049)</f>
        <v>0</v>
      </c>
      <c r="DJ1050" s="1138">
        <f t="shared" ref="DJ1050" si="1217">SUM(DJ1041:DJ1049)</f>
        <v>0</v>
      </c>
      <c r="DK1050" s="1138">
        <f t="shared" ref="DK1050" si="1218">SUM(DK1041:DK1049)</f>
        <v>0</v>
      </c>
      <c r="DL1050" s="1138">
        <f t="shared" ref="DL1050" si="1219">SUM(DL1041:DL1049)</f>
        <v>0</v>
      </c>
      <c r="DM1050" s="1138">
        <f t="shared" ref="DM1050" si="1220">SUM(DM1041:DM1049)</f>
        <v>0</v>
      </c>
      <c r="DN1050" s="1138">
        <f t="shared" ref="DN1050" si="1221">SUM(DN1041:DN1049)</f>
        <v>0</v>
      </c>
      <c r="DO1050" s="1138">
        <f t="shared" ref="DO1050" si="1222">SUM(DO1041:DO1049)</f>
        <v>0</v>
      </c>
      <c r="DP1050" s="1138">
        <f t="shared" ref="DP1050" si="1223">SUM(DP1041:DP1049)</f>
        <v>0</v>
      </c>
      <c r="DQ1050" s="1138">
        <f t="shared" ref="DQ1050" si="1224">SUM(DQ1041:DQ1049)</f>
        <v>0</v>
      </c>
      <c r="DR1050" s="1138">
        <f t="shared" ref="DR1050" si="1225">SUM(DR1041:DR1049)</f>
        <v>0.45</v>
      </c>
      <c r="DS1050" s="1138">
        <f t="shared" ref="DS1050" si="1226">SUM(DS1041:DS1049)</f>
        <v>0</v>
      </c>
      <c r="DT1050" s="1138">
        <f t="shared" ref="DT1050" si="1227">SUM(DT1041:DT1049)</f>
        <v>0</v>
      </c>
      <c r="DU1050" s="1138">
        <f t="shared" ref="DU1050" si="1228">SUM(DU1041:DU1049)</f>
        <v>0</v>
      </c>
      <c r="DV1050" s="1138">
        <f t="shared" ref="DV1050" si="1229">SUM(DV1041:DV1049)</f>
        <v>0</v>
      </c>
      <c r="DW1050" s="1138">
        <f t="shared" ref="DW1050" si="1230">SUM(DW1041:DW1049)</f>
        <v>0</v>
      </c>
      <c r="DX1050" s="1138">
        <f t="shared" ref="DX1050" si="1231">SUM(DX1041:DX1049)</f>
        <v>0</v>
      </c>
      <c r="DY1050" s="1138">
        <f t="shared" ref="DY1050" si="1232">SUM(DY1041:DY1049)</f>
        <v>0</v>
      </c>
      <c r="DZ1050" s="1138">
        <f t="shared" ref="DZ1050" si="1233">SUM(DZ1041:DZ1049)</f>
        <v>0</v>
      </c>
      <c r="EA1050" s="1138">
        <f t="shared" ref="EA1050" si="1234">SUM(EA1041:EA1049)</f>
        <v>0</v>
      </c>
      <c r="EB1050" s="1138">
        <f t="shared" ref="EB1050" si="1235">SUM(EB1041:EB1049)</f>
        <v>2.9</v>
      </c>
      <c r="EC1050" s="1138">
        <f t="shared" ref="EC1050" si="1236">SUM(EC1041:EC1049)</f>
        <v>0</v>
      </c>
      <c r="ED1050" s="1138">
        <f t="shared" ref="ED1050" si="1237">SUM(ED1041:ED1049)</f>
        <v>0</v>
      </c>
      <c r="EE1050" s="1138">
        <f t="shared" ref="EE1050" si="1238">SUM(EE1041:EE1049)</f>
        <v>0</v>
      </c>
      <c r="EF1050" s="1138">
        <f t="shared" ref="EF1050" si="1239">SUM(EF1041:EF1049)</f>
        <v>0</v>
      </c>
      <c r="EG1050" s="1138">
        <f t="shared" ref="EG1050" si="1240">SUM(EG1041:EG1049)</f>
        <v>0</v>
      </c>
      <c r="EH1050" s="1138">
        <f t="shared" ref="EH1050" si="1241">SUM(EH1041:EH1049)</f>
        <v>0</v>
      </c>
      <c r="EI1050" s="1138">
        <f t="shared" ref="EI1050" si="1242">SUM(EI1041:EI1049)</f>
        <v>0</v>
      </c>
      <c r="EJ1050" s="1138">
        <f t="shared" ref="EJ1050" si="1243">SUM(EJ1041:EJ1049)</f>
        <v>0</v>
      </c>
      <c r="EK1050" s="1138">
        <f t="shared" ref="EK1050" si="1244">SUM(EK1041:EK1049)</f>
        <v>0</v>
      </c>
      <c r="EL1050" s="1138">
        <f t="shared" ref="EL1050" si="1245">SUM(EL1041:EL1049)</f>
        <v>0</v>
      </c>
      <c r="EM1050" s="1138">
        <f t="shared" ref="EM1050" si="1246">SUM(EM1041:EM1049)</f>
        <v>0</v>
      </c>
      <c r="EN1050" s="1138">
        <f t="shared" ref="EN1050" si="1247">SUM(EN1041:EN1049)</f>
        <v>0</v>
      </c>
      <c r="EO1050" s="1138">
        <f t="shared" ref="EO1050" si="1248">SUM(EO1041:EO1049)</f>
        <v>0</v>
      </c>
      <c r="EP1050" s="1138">
        <f t="shared" ref="EP1050" si="1249">SUM(EP1041:EP1049)</f>
        <v>0</v>
      </c>
      <c r="EQ1050" s="1138">
        <f t="shared" ref="EQ1050" si="1250">SUM(EQ1041:EQ1049)</f>
        <v>0</v>
      </c>
      <c r="ER1050" s="1138">
        <f t="shared" ref="ER1050" si="1251">SUM(ER1041:ER1049)</f>
        <v>0</v>
      </c>
      <c r="ES1050" s="1138">
        <f t="shared" ref="ES1050" si="1252">SUM(ES1041:ES1049)</f>
        <v>0</v>
      </c>
      <c r="ET1050" s="1138">
        <f t="shared" ref="ET1050" si="1253">SUM(ET1041:ET1049)</f>
        <v>0</v>
      </c>
      <c r="EU1050" s="1138">
        <f t="shared" ref="EU1050" si="1254">SUM(EU1041:EU1049)</f>
        <v>0</v>
      </c>
      <c r="EV1050" s="1138">
        <f t="shared" ref="EV1050" si="1255">SUM(EV1041:EV1049)</f>
        <v>0</v>
      </c>
      <c r="EW1050" s="1138">
        <f t="shared" ref="EW1050" si="1256">SUM(EW1041:EW1049)</f>
        <v>2.6</v>
      </c>
      <c r="EX1050" s="1138">
        <f t="shared" ref="EX1050:FL1050" si="1257">SUM(EX1041:EX1049)</f>
        <v>0</v>
      </c>
      <c r="EY1050" s="1138">
        <f t="shared" si="1257"/>
        <v>56.42</v>
      </c>
      <c r="EZ1050" s="1138">
        <f t="shared" si="1257"/>
        <v>0</v>
      </c>
      <c r="FA1050" s="1138">
        <f t="shared" si="1257"/>
        <v>0</v>
      </c>
      <c r="FB1050" s="1138">
        <f t="shared" si="1257"/>
        <v>0</v>
      </c>
      <c r="FC1050" s="1138">
        <f t="shared" si="1257"/>
        <v>0</v>
      </c>
      <c r="FD1050" s="1138">
        <f t="shared" si="1257"/>
        <v>0</v>
      </c>
      <c r="FE1050" s="1138">
        <f t="shared" si="1257"/>
        <v>0</v>
      </c>
      <c r="FF1050" s="1138">
        <f t="shared" si="1257"/>
        <v>0</v>
      </c>
      <c r="FG1050" s="1138">
        <f t="shared" si="1257"/>
        <v>0</v>
      </c>
      <c r="FH1050" s="1138">
        <f t="shared" si="1257"/>
        <v>0</v>
      </c>
      <c r="FI1050" s="1138">
        <f t="shared" si="1257"/>
        <v>0</v>
      </c>
      <c r="FJ1050" s="1138">
        <f t="shared" si="1257"/>
        <v>0</v>
      </c>
      <c r="FK1050" s="1138">
        <f t="shared" si="1257"/>
        <v>0</v>
      </c>
      <c r="FL1050" s="1138">
        <f t="shared" si="1257"/>
        <v>0</v>
      </c>
    </row>
    <row r="1051" spans="1:168" x14ac:dyDescent="0.25">
      <c r="A1051" s="1491" t="s">
        <v>112</v>
      </c>
      <c r="B1051" s="624" t="str">
        <f t="shared" ref="B1051:D1059" si="1258">B87</f>
        <v>Огурцы, помидоры в нарезке</v>
      </c>
      <c r="C1051" s="624">
        <f t="shared" si="1258"/>
        <v>60</v>
      </c>
      <c r="D1051" s="624">
        <f t="shared" si="1258"/>
        <v>0.42</v>
      </c>
      <c r="E1051" s="1158">
        <f t="shared" ref="E1051" si="1259">EY1051</f>
        <v>5.66</v>
      </c>
      <c r="F1051" s="1158"/>
      <c r="G1051" s="1140"/>
      <c r="H1051" s="1140"/>
      <c r="I1051" s="552"/>
      <c r="J1051" s="552">
        <f t="shared" ref="J1051:AO1051" si="1260">J87*J$338</f>
        <v>0</v>
      </c>
      <c r="K1051" s="552">
        <f t="shared" si="1260"/>
        <v>0</v>
      </c>
      <c r="L1051" s="552">
        <f t="shared" si="1260"/>
        <v>0</v>
      </c>
      <c r="M1051" s="552">
        <f t="shared" si="1260"/>
        <v>0</v>
      </c>
      <c r="N1051" s="552">
        <f t="shared" si="1260"/>
        <v>0</v>
      </c>
      <c r="O1051" s="552">
        <f t="shared" si="1260"/>
        <v>0</v>
      </c>
      <c r="P1051" s="552">
        <f t="shared" si="1260"/>
        <v>0</v>
      </c>
      <c r="Q1051" s="552">
        <f t="shared" si="1260"/>
        <v>0</v>
      </c>
      <c r="R1051" s="552">
        <f t="shared" si="1260"/>
        <v>0</v>
      </c>
      <c r="S1051" s="552">
        <f t="shared" si="1260"/>
        <v>0</v>
      </c>
      <c r="T1051" s="552">
        <f t="shared" si="1260"/>
        <v>0</v>
      </c>
      <c r="U1051" s="552">
        <f t="shared" si="1260"/>
        <v>0</v>
      </c>
      <c r="V1051" s="552">
        <f t="shared" si="1260"/>
        <v>0</v>
      </c>
      <c r="W1051" s="552">
        <f t="shared" si="1260"/>
        <v>0</v>
      </c>
      <c r="X1051" s="552">
        <f t="shared" si="1260"/>
        <v>0</v>
      </c>
      <c r="Y1051" s="552">
        <f t="shared" si="1260"/>
        <v>0</v>
      </c>
      <c r="Z1051" s="552">
        <f t="shared" si="1260"/>
        <v>0</v>
      </c>
      <c r="AA1051" s="552">
        <f t="shared" si="1260"/>
        <v>0</v>
      </c>
      <c r="AB1051" s="552">
        <f t="shared" si="1260"/>
        <v>0</v>
      </c>
      <c r="AC1051" s="552">
        <f t="shared" si="1260"/>
        <v>0</v>
      </c>
      <c r="AD1051" s="552">
        <f t="shared" si="1260"/>
        <v>0</v>
      </c>
      <c r="AE1051" s="552">
        <f t="shared" si="1260"/>
        <v>0</v>
      </c>
      <c r="AF1051" s="552">
        <f t="shared" si="1260"/>
        <v>0</v>
      </c>
      <c r="AG1051" s="552">
        <f t="shared" si="1260"/>
        <v>0</v>
      </c>
      <c r="AH1051" s="552">
        <f t="shared" si="1260"/>
        <v>0</v>
      </c>
      <c r="AI1051" s="552">
        <f t="shared" si="1260"/>
        <v>0</v>
      </c>
      <c r="AJ1051" s="552">
        <f t="shared" si="1260"/>
        <v>0</v>
      </c>
      <c r="AK1051" s="552">
        <f t="shared" si="1260"/>
        <v>0</v>
      </c>
      <c r="AL1051" s="552">
        <f t="shared" si="1260"/>
        <v>0</v>
      </c>
      <c r="AM1051" s="552">
        <f t="shared" si="1260"/>
        <v>0</v>
      </c>
      <c r="AN1051" s="552">
        <f t="shared" si="1260"/>
        <v>3.76</v>
      </c>
      <c r="AO1051" s="552">
        <f t="shared" si="1260"/>
        <v>1.9</v>
      </c>
      <c r="AP1051" s="552">
        <f t="shared" ref="AP1051:BU1051" si="1261">AP87*AP$338</f>
        <v>0</v>
      </c>
      <c r="AQ1051" s="552">
        <f t="shared" si="1261"/>
        <v>0</v>
      </c>
      <c r="AR1051" s="552">
        <f t="shared" si="1261"/>
        <v>0</v>
      </c>
      <c r="AS1051" s="552">
        <f t="shared" si="1261"/>
        <v>0</v>
      </c>
      <c r="AT1051" s="552">
        <f t="shared" si="1261"/>
        <v>0</v>
      </c>
      <c r="AU1051" s="552">
        <f t="shared" si="1261"/>
        <v>0</v>
      </c>
      <c r="AV1051" s="552">
        <f t="shared" si="1261"/>
        <v>0</v>
      </c>
      <c r="AW1051" s="552">
        <f t="shared" si="1261"/>
        <v>0</v>
      </c>
      <c r="AX1051" s="552">
        <f t="shared" si="1261"/>
        <v>0</v>
      </c>
      <c r="AY1051" s="552">
        <f t="shared" si="1261"/>
        <v>0</v>
      </c>
      <c r="AZ1051" s="552">
        <f t="shared" si="1261"/>
        <v>0</v>
      </c>
      <c r="BA1051" s="552">
        <f t="shared" si="1261"/>
        <v>0</v>
      </c>
      <c r="BB1051" s="552">
        <f t="shared" si="1261"/>
        <v>0</v>
      </c>
      <c r="BC1051" s="552">
        <f t="shared" si="1261"/>
        <v>0</v>
      </c>
      <c r="BD1051" s="552">
        <f t="shared" si="1261"/>
        <v>0</v>
      </c>
      <c r="BE1051" s="552">
        <f t="shared" si="1261"/>
        <v>0</v>
      </c>
      <c r="BF1051" s="552">
        <f t="shared" si="1261"/>
        <v>0</v>
      </c>
      <c r="BG1051" s="552">
        <f t="shared" si="1261"/>
        <v>0</v>
      </c>
      <c r="BH1051" s="552">
        <f t="shared" si="1261"/>
        <v>0</v>
      </c>
      <c r="BI1051" s="552">
        <f t="shared" si="1261"/>
        <v>0</v>
      </c>
      <c r="BJ1051" s="552">
        <f t="shared" si="1261"/>
        <v>0</v>
      </c>
      <c r="BK1051" s="552">
        <f t="shared" si="1261"/>
        <v>0</v>
      </c>
      <c r="BL1051" s="552">
        <f t="shared" si="1261"/>
        <v>0</v>
      </c>
      <c r="BM1051" s="552">
        <f t="shared" si="1261"/>
        <v>0</v>
      </c>
      <c r="BN1051" s="552">
        <f t="shared" si="1261"/>
        <v>0</v>
      </c>
      <c r="BO1051" s="552">
        <f t="shared" si="1261"/>
        <v>0</v>
      </c>
      <c r="BP1051" s="552">
        <f t="shared" si="1261"/>
        <v>0</v>
      </c>
      <c r="BQ1051" s="552">
        <f t="shared" si="1261"/>
        <v>0</v>
      </c>
      <c r="BR1051" s="552">
        <f t="shared" si="1261"/>
        <v>0</v>
      </c>
      <c r="BS1051" s="552">
        <f t="shared" si="1261"/>
        <v>0</v>
      </c>
      <c r="BT1051" s="552">
        <f t="shared" si="1261"/>
        <v>0</v>
      </c>
      <c r="BU1051" s="552">
        <f t="shared" si="1261"/>
        <v>0</v>
      </c>
      <c r="BV1051" s="552">
        <f t="shared" ref="BV1051:DA1051" si="1262">BV87*BV$338</f>
        <v>0</v>
      </c>
      <c r="BW1051" s="552">
        <f t="shared" si="1262"/>
        <v>0</v>
      </c>
      <c r="BX1051" s="552">
        <f t="shared" si="1262"/>
        <v>0</v>
      </c>
      <c r="BY1051" s="552">
        <f t="shared" si="1262"/>
        <v>0</v>
      </c>
      <c r="BZ1051" s="552">
        <f t="shared" si="1262"/>
        <v>0</v>
      </c>
      <c r="CA1051" s="552">
        <f t="shared" si="1262"/>
        <v>0</v>
      </c>
      <c r="CB1051" s="552">
        <f t="shared" si="1262"/>
        <v>0</v>
      </c>
      <c r="CC1051" s="552">
        <f t="shared" si="1262"/>
        <v>0</v>
      </c>
      <c r="CD1051" s="552">
        <f t="shared" si="1262"/>
        <v>0</v>
      </c>
      <c r="CE1051" s="552">
        <f t="shared" si="1262"/>
        <v>0</v>
      </c>
      <c r="CF1051" s="552">
        <f t="shared" si="1262"/>
        <v>0</v>
      </c>
      <c r="CG1051" s="552">
        <f t="shared" si="1262"/>
        <v>0</v>
      </c>
      <c r="CH1051" s="552">
        <f t="shared" si="1262"/>
        <v>0</v>
      </c>
      <c r="CI1051" s="552">
        <f t="shared" si="1262"/>
        <v>0</v>
      </c>
      <c r="CJ1051" s="552">
        <f t="shared" si="1262"/>
        <v>0</v>
      </c>
      <c r="CK1051" s="552">
        <f t="shared" si="1262"/>
        <v>0</v>
      </c>
      <c r="CL1051" s="552">
        <f t="shared" si="1262"/>
        <v>0</v>
      </c>
      <c r="CM1051" s="552">
        <f t="shared" si="1262"/>
        <v>0</v>
      </c>
      <c r="CN1051" s="552">
        <f t="shared" si="1262"/>
        <v>0</v>
      </c>
      <c r="CO1051" s="552">
        <f t="shared" si="1262"/>
        <v>0</v>
      </c>
      <c r="CP1051" s="552">
        <f t="shared" si="1262"/>
        <v>0</v>
      </c>
      <c r="CQ1051" s="552">
        <f t="shared" si="1262"/>
        <v>0</v>
      </c>
      <c r="CR1051" s="552">
        <f t="shared" si="1262"/>
        <v>0</v>
      </c>
      <c r="CS1051" s="552">
        <f t="shared" si="1262"/>
        <v>0</v>
      </c>
      <c r="CT1051" s="552">
        <f t="shared" si="1262"/>
        <v>0</v>
      </c>
      <c r="CU1051" s="552">
        <f t="shared" si="1262"/>
        <v>0</v>
      </c>
      <c r="CV1051" s="552">
        <f t="shared" si="1262"/>
        <v>0</v>
      </c>
      <c r="CW1051" s="552">
        <f t="shared" si="1262"/>
        <v>0</v>
      </c>
      <c r="CX1051" s="552">
        <f t="shared" si="1262"/>
        <v>0</v>
      </c>
      <c r="CY1051" s="552">
        <f t="shared" si="1262"/>
        <v>0</v>
      </c>
      <c r="CZ1051" s="552">
        <f t="shared" si="1262"/>
        <v>0</v>
      </c>
      <c r="DA1051" s="552">
        <f t="shared" si="1262"/>
        <v>0</v>
      </c>
      <c r="DB1051" s="552">
        <f t="shared" ref="DB1051:EG1051" si="1263">DB87*DB$338</f>
        <v>0</v>
      </c>
      <c r="DC1051" s="552">
        <f t="shared" si="1263"/>
        <v>0</v>
      </c>
      <c r="DD1051" s="552">
        <f t="shared" si="1263"/>
        <v>0</v>
      </c>
      <c r="DE1051" s="552">
        <f t="shared" si="1263"/>
        <v>0</v>
      </c>
      <c r="DF1051" s="552">
        <f t="shared" si="1263"/>
        <v>0</v>
      </c>
      <c r="DG1051" s="552">
        <f t="shared" si="1263"/>
        <v>0</v>
      </c>
      <c r="DH1051" s="552">
        <f t="shared" si="1263"/>
        <v>0</v>
      </c>
      <c r="DI1051" s="552">
        <f t="shared" si="1263"/>
        <v>0</v>
      </c>
      <c r="DJ1051" s="552">
        <f t="shared" si="1263"/>
        <v>0</v>
      </c>
      <c r="DK1051" s="552">
        <f t="shared" si="1263"/>
        <v>0</v>
      </c>
      <c r="DL1051" s="552">
        <f t="shared" si="1263"/>
        <v>0</v>
      </c>
      <c r="DM1051" s="552">
        <f t="shared" si="1263"/>
        <v>0</v>
      </c>
      <c r="DN1051" s="552">
        <f t="shared" si="1263"/>
        <v>0</v>
      </c>
      <c r="DO1051" s="552">
        <f t="shared" si="1263"/>
        <v>0</v>
      </c>
      <c r="DP1051" s="552">
        <f t="shared" si="1263"/>
        <v>0</v>
      </c>
      <c r="DQ1051" s="552">
        <f t="shared" si="1263"/>
        <v>0</v>
      </c>
      <c r="DR1051" s="552">
        <f t="shared" si="1263"/>
        <v>0</v>
      </c>
      <c r="DS1051" s="552">
        <f t="shared" si="1263"/>
        <v>0</v>
      </c>
      <c r="DT1051" s="552">
        <f t="shared" si="1263"/>
        <v>0</v>
      </c>
      <c r="DU1051" s="552">
        <f t="shared" si="1263"/>
        <v>0</v>
      </c>
      <c r="DV1051" s="552">
        <f t="shared" si="1263"/>
        <v>0</v>
      </c>
      <c r="DW1051" s="552">
        <f t="shared" si="1263"/>
        <v>0</v>
      </c>
      <c r="DX1051" s="552">
        <f t="shared" si="1263"/>
        <v>0</v>
      </c>
      <c r="DY1051" s="552">
        <f t="shared" si="1263"/>
        <v>0</v>
      </c>
      <c r="DZ1051" s="552">
        <f t="shared" si="1263"/>
        <v>0</v>
      </c>
      <c r="EA1051" s="552">
        <f t="shared" si="1263"/>
        <v>0</v>
      </c>
      <c r="EB1051" s="552">
        <f t="shared" si="1263"/>
        <v>0</v>
      </c>
      <c r="EC1051" s="552">
        <f t="shared" si="1263"/>
        <v>0</v>
      </c>
      <c r="ED1051" s="552">
        <f t="shared" si="1263"/>
        <v>0</v>
      </c>
      <c r="EE1051" s="552">
        <f t="shared" si="1263"/>
        <v>0</v>
      </c>
      <c r="EF1051" s="552">
        <f t="shared" si="1263"/>
        <v>0</v>
      </c>
      <c r="EG1051" s="552">
        <f t="shared" si="1263"/>
        <v>0</v>
      </c>
      <c r="EH1051" s="552">
        <f t="shared" ref="EH1051:EX1051" si="1264">EH87*EH$338</f>
        <v>0</v>
      </c>
      <c r="EI1051" s="552">
        <f t="shared" si="1264"/>
        <v>0</v>
      </c>
      <c r="EJ1051" s="552">
        <f t="shared" si="1264"/>
        <v>0</v>
      </c>
      <c r="EK1051" s="552">
        <f t="shared" si="1264"/>
        <v>0</v>
      </c>
      <c r="EL1051" s="552">
        <f t="shared" si="1264"/>
        <v>0</v>
      </c>
      <c r="EM1051" s="552">
        <f t="shared" si="1264"/>
        <v>0</v>
      </c>
      <c r="EN1051" s="552">
        <f t="shared" si="1264"/>
        <v>0</v>
      </c>
      <c r="EO1051" s="552">
        <f t="shared" si="1264"/>
        <v>0</v>
      </c>
      <c r="EP1051" s="552">
        <f t="shared" si="1264"/>
        <v>0</v>
      </c>
      <c r="EQ1051" s="552">
        <f t="shared" si="1264"/>
        <v>0</v>
      </c>
      <c r="ER1051" s="552">
        <f t="shared" si="1264"/>
        <v>0</v>
      </c>
      <c r="ES1051" s="552">
        <f t="shared" si="1264"/>
        <v>0</v>
      </c>
      <c r="ET1051" s="552">
        <f t="shared" si="1264"/>
        <v>0</v>
      </c>
      <c r="EU1051" s="552">
        <f t="shared" si="1264"/>
        <v>0</v>
      </c>
      <c r="EV1051" s="552">
        <f t="shared" si="1264"/>
        <v>0</v>
      </c>
      <c r="EW1051" s="552">
        <f t="shared" si="1264"/>
        <v>0</v>
      </c>
      <c r="EX1051" s="552">
        <f t="shared" si="1264"/>
        <v>0</v>
      </c>
      <c r="EY1051" s="799">
        <f t="shared" ref="EY1051:EY1065" si="1265">SUM(J1051:EX1051)</f>
        <v>5.66</v>
      </c>
      <c r="EZ1051" s="640"/>
      <c r="FA1051" s="640"/>
      <c r="FB1051" s="640"/>
      <c r="FC1051" s="640"/>
      <c r="FD1051" s="640"/>
      <c r="FE1051" s="640"/>
      <c r="FF1051" s="640"/>
      <c r="FG1051" s="640"/>
      <c r="FH1051" s="640"/>
      <c r="FI1051" s="640"/>
      <c r="FJ1051" s="640"/>
      <c r="FK1051" s="640"/>
      <c r="FL1051" s="640"/>
    </row>
    <row r="1052" spans="1:168" x14ac:dyDescent="0.25">
      <c r="A1052" s="1492"/>
      <c r="B1052" s="624" t="str">
        <f t="shared" si="1258"/>
        <v>Борщ с фасолью и картофелем</v>
      </c>
      <c r="C1052" s="624">
        <f t="shared" si="1258"/>
        <v>250</v>
      </c>
      <c r="D1052" s="624">
        <f t="shared" si="1258"/>
        <v>3.56</v>
      </c>
      <c r="E1052" s="1158">
        <f t="shared" ref="E1052:E1059" si="1266">EY1052</f>
        <v>11.73</v>
      </c>
      <c r="F1052" s="1158"/>
      <c r="G1052" s="1140"/>
      <c r="H1052" s="1140"/>
      <c r="I1052" s="552"/>
      <c r="J1052" s="552">
        <f t="shared" ref="J1052:AO1052" si="1267">J88*J$338</f>
        <v>0</v>
      </c>
      <c r="K1052" s="552">
        <f t="shared" si="1267"/>
        <v>0</v>
      </c>
      <c r="L1052" s="552">
        <f t="shared" si="1267"/>
        <v>0</v>
      </c>
      <c r="M1052" s="552">
        <f t="shared" si="1267"/>
        <v>0</v>
      </c>
      <c r="N1052" s="552">
        <f t="shared" si="1267"/>
        <v>0</v>
      </c>
      <c r="O1052" s="552">
        <f t="shared" si="1267"/>
        <v>0</v>
      </c>
      <c r="P1052" s="552">
        <f t="shared" si="1267"/>
        <v>0</v>
      </c>
      <c r="Q1052" s="552">
        <f t="shared" si="1267"/>
        <v>0</v>
      </c>
      <c r="R1052" s="552">
        <f t="shared" si="1267"/>
        <v>0</v>
      </c>
      <c r="S1052" s="552">
        <f t="shared" si="1267"/>
        <v>0</v>
      </c>
      <c r="T1052" s="552">
        <f t="shared" si="1267"/>
        <v>0</v>
      </c>
      <c r="U1052" s="552">
        <f t="shared" si="1267"/>
        <v>0</v>
      </c>
      <c r="V1052" s="552">
        <f t="shared" si="1267"/>
        <v>0</v>
      </c>
      <c r="W1052" s="552">
        <f t="shared" si="1267"/>
        <v>0</v>
      </c>
      <c r="X1052" s="552">
        <f t="shared" si="1267"/>
        <v>0</v>
      </c>
      <c r="Y1052" s="552">
        <f t="shared" si="1267"/>
        <v>1.17</v>
      </c>
      <c r="Z1052" s="552">
        <f t="shared" si="1267"/>
        <v>0</v>
      </c>
      <c r="AA1052" s="552">
        <f t="shared" si="1267"/>
        <v>0</v>
      </c>
      <c r="AB1052" s="552">
        <f t="shared" si="1267"/>
        <v>0</v>
      </c>
      <c r="AC1052" s="552">
        <f t="shared" si="1267"/>
        <v>0</v>
      </c>
      <c r="AD1052" s="552">
        <f t="shared" si="1267"/>
        <v>0</v>
      </c>
      <c r="AE1052" s="552">
        <f t="shared" si="1267"/>
        <v>0</v>
      </c>
      <c r="AF1052" s="552">
        <f t="shared" si="1267"/>
        <v>0</v>
      </c>
      <c r="AG1052" s="552">
        <f t="shared" si="1267"/>
        <v>0</v>
      </c>
      <c r="AH1052" s="552">
        <f t="shared" si="1267"/>
        <v>1.66</v>
      </c>
      <c r="AI1052" s="552">
        <f t="shared" si="1267"/>
        <v>0</v>
      </c>
      <c r="AJ1052" s="552">
        <f t="shared" si="1267"/>
        <v>0</v>
      </c>
      <c r="AK1052" s="552">
        <f t="shared" si="1267"/>
        <v>0.6</v>
      </c>
      <c r="AL1052" s="552">
        <f t="shared" si="1267"/>
        <v>0</v>
      </c>
      <c r="AM1052" s="552">
        <f t="shared" si="1267"/>
        <v>0.2</v>
      </c>
      <c r="AN1052" s="552">
        <f t="shared" si="1267"/>
        <v>0</v>
      </c>
      <c r="AO1052" s="552">
        <f t="shared" si="1267"/>
        <v>0</v>
      </c>
      <c r="AP1052" s="552">
        <f t="shared" ref="AP1052:BU1052" si="1268">AP88*AP$338</f>
        <v>0</v>
      </c>
      <c r="AQ1052" s="552">
        <f t="shared" si="1268"/>
        <v>0.63</v>
      </c>
      <c r="AR1052" s="552">
        <f t="shared" si="1268"/>
        <v>0</v>
      </c>
      <c r="AS1052" s="552">
        <f t="shared" si="1268"/>
        <v>0</v>
      </c>
      <c r="AT1052" s="552">
        <f t="shared" si="1268"/>
        <v>0.98</v>
      </c>
      <c r="AU1052" s="552">
        <f t="shared" si="1268"/>
        <v>0.6</v>
      </c>
      <c r="AV1052" s="552">
        <f t="shared" si="1268"/>
        <v>0</v>
      </c>
      <c r="AW1052" s="552">
        <f t="shared" si="1268"/>
        <v>0</v>
      </c>
      <c r="AX1052" s="552">
        <f t="shared" si="1268"/>
        <v>1.5</v>
      </c>
      <c r="AY1052" s="552">
        <f t="shared" si="1268"/>
        <v>0</v>
      </c>
      <c r="AZ1052" s="552">
        <f t="shared" si="1268"/>
        <v>0</v>
      </c>
      <c r="BA1052" s="552">
        <f t="shared" si="1268"/>
        <v>0</v>
      </c>
      <c r="BB1052" s="552">
        <f t="shared" si="1268"/>
        <v>0</v>
      </c>
      <c r="BC1052" s="552">
        <f t="shared" si="1268"/>
        <v>0</v>
      </c>
      <c r="BD1052" s="552">
        <f t="shared" si="1268"/>
        <v>0</v>
      </c>
      <c r="BE1052" s="552">
        <f t="shared" si="1268"/>
        <v>0</v>
      </c>
      <c r="BF1052" s="552">
        <f t="shared" si="1268"/>
        <v>0</v>
      </c>
      <c r="BG1052" s="552">
        <f t="shared" si="1268"/>
        <v>0</v>
      </c>
      <c r="BH1052" s="552">
        <f t="shared" si="1268"/>
        <v>0</v>
      </c>
      <c r="BI1052" s="552">
        <f t="shared" si="1268"/>
        <v>0</v>
      </c>
      <c r="BJ1052" s="552">
        <f t="shared" si="1268"/>
        <v>0</v>
      </c>
      <c r="BK1052" s="552">
        <f t="shared" si="1268"/>
        <v>0</v>
      </c>
      <c r="BL1052" s="552">
        <f t="shared" si="1268"/>
        <v>0</v>
      </c>
      <c r="BM1052" s="552">
        <f t="shared" si="1268"/>
        <v>0</v>
      </c>
      <c r="BN1052" s="552">
        <f t="shared" si="1268"/>
        <v>0</v>
      </c>
      <c r="BO1052" s="552">
        <f t="shared" si="1268"/>
        <v>0</v>
      </c>
      <c r="BP1052" s="552">
        <f t="shared" si="1268"/>
        <v>0</v>
      </c>
      <c r="BQ1052" s="552">
        <f t="shared" si="1268"/>
        <v>0</v>
      </c>
      <c r="BR1052" s="552">
        <f t="shared" si="1268"/>
        <v>0</v>
      </c>
      <c r="BS1052" s="552">
        <f t="shared" si="1268"/>
        <v>0.09</v>
      </c>
      <c r="BT1052" s="552">
        <f t="shared" si="1268"/>
        <v>0</v>
      </c>
      <c r="BU1052" s="552">
        <f t="shared" si="1268"/>
        <v>0</v>
      </c>
      <c r="BV1052" s="552">
        <f t="shared" ref="BV1052:DA1052" si="1269">BV88*BV$338</f>
        <v>0</v>
      </c>
      <c r="BW1052" s="552">
        <f t="shared" si="1269"/>
        <v>0</v>
      </c>
      <c r="BX1052" s="552">
        <f t="shared" si="1269"/>
        <v>0</v>
      </c>
      <c r="BY1052" s="552">
        <f t="shared" si="1269"/>
        <v>0</v>
      </c>
      <c r="BZ1052" s="552">
        <f t="shared" si="1269"/>
        <v>0</v>
      </c>
      <c r="CA1052" s="552">
        <f t="shared" si="1269"/>
        <v>0</v>
      </c>
      <c r="CB1052" s="552">
        <f t="shared" si="1269"/>
        <v>0</v>
      </c>
      <c r="CC1052" s="552">
        <f t="shared" si="1269"/>
        <v>0</v>
      </c>
      <c r="CD1052" s="552">
        <f t="shared" si="1269"/>
        <v>0</v>
      </c>
      <c r="CE1052" s="552">
        <f t="shared" si="1269"/>
        <v>0</v>
      </c>
      <c r="CF1052" s="552">
        <f t="shared" si="1269"/>
        <v>0.6</v>
      </c>
      <c r="CG1052" s="552">
        <f t="shared" si="1269"/>
        <v>0</v>
      </c>
      <c r="CH1052" s="552">
        <f t="shared" si="1269"/>
        <v>0</v>
      </c>
      <c r="CI1052" s="552">
        <f t="shared" si="1269"/>
        <v>0</v>
      </c>
      <c r="CJ1052" s="552">
        <f t="shared" si="1269"/>
        <v>0</v>
      </c>
      <c r="CK1052" s="552">
        <f t="shared" si="1269"/>
        <v>0</v>
      </c>
      <c r="CL1052" s="552">
        <f t="shared" si="1269"/>
        <v>0</v>
      </c>
      <c r="CM1052" s="552">
        <f t="shared" si="1269"/>
        <v>0</v>
      </c>
      <c r="CN1052" s="552">
        <f t="shared" si="1269"/>
        <v>0</v>
      </c>
      <c r="CO1052" s="552">
        <f t="shared" si="1269"/>
        <v>0</v>
      </c>
      <c r="CP1052" s="552">
        <f t="shared" si="1269"/>
        <v>0</v>
      </c>
      <c r="CQ1052" s="552">
        <f t="shared" si="1269"/>
        <v>0</v>
      </c>
      <c r="CR1052" s="552">
        <f t="shared" si="1269"/>
        <v>0</v>
      </c>
      <c r="CS1052" s="552">
        <f t="shared" si="1269"/>
        <v>0</v>
      </c>
      <c r="CT1052" s="552">
        <f t="shared" si="1269"/>
        <v>0</v>
      </c>
      <c r="CU1052" s="552">
        <f t="shared" si="1269"/>
        <v>0</v>
      </c>
      <c r="CV1052" s="552">
        <f t="shared" si="1269"/>
        <v>0</v>
      </c>
      <c r="CW1052" s="552">
        <f t="shared" si="1269"/>
        <v>0</v>
      </c>
      <c r="CX1052" s="552">
        <f t="shared" si="1269"/>
        <v>0</v>
      </c>
      <c r="CY1052" s="552">
        <f t="shared" si="1269"/>
        <v>0</v>
      </c>
      <c r="CZ1052" s="552">
        <f t="shared" si="1269"/>
        <v>0.11</v>
      </c>
      <c r="DA1052" s="552">
        <f t="shared" si="1269"/>
        <v>0</v>
      </c>
      <c r="DB1052" s="552">
        <f t="shared" ref="DB1052:EG1052" si="1270">DB88*DB$338</f>
        <v>0</v>
      </c>
      <c r="DC1052" s="552">
        <f t="shared" si="1270"/>
        <v>0.06</v>
      </c>
      <c r="DD1052" s="552">
        <f t="shared" si="1270"/>
        <v>0</v>
      </c>
      <c r="DE1052" s="552">
        <f t="shared" si="1270"/>
        <v>0</v>
      </c>
      <c r="DF1052" s="552">
        <f t="shared" si="1270"/>
        <v>1.73</v>
      </c>
      <c r="DG1052" s="552">
        <f t="shared" si="1270"/>
        <v>0</v>
      </c>
      <c r="DH1052" s="552">
        <f t="shared" si="1270"/>
        <v>0</v>
      </c>
      <c r="DI1052" s="552">
        <f t="shared" si="1270"/>
        <v>0</v>
      </c>
      <c r="DJ1052" s="552">
        <f t="shared" si="1270"/>
        <v>0</v>
      </c>
      <c r="DK1052" s="552">
        <f t="shared" si="1270"/>
        <v>0</v>
      </c>
      <c r="DL1052" s="552">
        <f t="shared" si="1270"/>
        <v>0</v>
      </c>
      <c r="DM1052" s="552">
        <f t="shared" si="1270"/>
        <v>1.8</v>
      </c>
      <c r="DN1052" s="552">
        <f t="shared" si="1270"/>
        <v>0</v>
      </c>
      <c r="DO1052" s="552">
        <f t="shared" si="1270"/>
        <v>0</v>
      </c>
      <c r="DP1052" s="552">
        <f t="shared" si="1270"/>
        <v>0</v>
      </c>
      <c r="DQ1052" s="552">
        <f t="shared" si="1270"/>
        <v>0</v>
      </c>
      <c r="DR1052" s="552">
        <f t="shared" si="1270"/>
        <v>0</v>
      </c>
      <c r="DS1052" s="552">
        <f t="shared" si="1270"/>
        <v>0</v>
      </c>
      <c r="DT1052" s="552">
        <f t="shared" si="1270"/>
        <v>0</v>
      </c>
      <c r="DU1052" s="552">
        <f t="shared" si="1270"/>
        <v>0</v>
      </c>
      <c r="DV1052" s="552">
        <f t="shared" si="1270"/>
        <v>0</v>
      </c>
      <c r="DW1052" s="552">
        <f t="shared" si="1270"/>
        <v>0</v>
      </c>
      <c r="DX1052" s="552">
        <f t="shared" si="1270"/>
        <v>0</v>
      </c>
      <c r="DY1052" s="552">
        <f t="shared" si="1270"/>
        <v>0</v>
      </c>
      <c r="DZ1052" s="552">
        <f t="shared" si="1270"/>
        <v>0</v>
      </c>
      <c r="EA1052" s="552">
        <f t="shared" si="1270"/>
        <v>0</v>
      </c>
      <c r="EB1052" s="552">
        <f t="shared" si="1270"/>
        <v>0</v>
      </c>
      <c r="EC1052" s="552">
        <f t="shared" si="1270"/>
        <v>0</v>
      </c>
      <c r="ED1052" s="552">
        <f t="shared" si="1270"/>
        <v>0</v>
      </c>
      <c r="EE1052" s="552">
        <f t="shared" si="1270"/>
        <v>0</v>
      </c>
      <c r="EF1052" s="552">
        <f t="shared" si="1270"/>
        <v>0</v>
      </c>
      <c r="EG1052" s="552">
        <f t="shared" si="1270"/>
        <v>0</v>
      </c>
      <c r="EH1052" s="552">
        <f t="shared" ref="EH1052:EX1052" si="1271">EH88*EH$338</f>
        <v>0</v>
      </c>
      <c r="EI1052" s="552">
        <f t="shared" si="1271"/>
        <v>0</v>
      </c>
      <c r="EJ1052" s="552">
        <f t="shared" si="1271"/>
        <v>0</v>
      </c>
      <c r="EK1052" s="552">
        <f t="shared" si="1271"/>
        <v>0</v>
      </c>
      <c r="EL1052" s="552">
        <f t="shared" si="1271"/>
        <v>0</v>
      </c>
      <c r="EM1052" s="552">
        <f t="shared" si="1271"/>
        <v>0</v>
      </c>
      <c r="EN1052" s="552">
        <f t="shared" si="1271"/>
        <v>0</v>
      </c>
      <c r="EO1052" s="552">
        <f t="shared" si="1271"/>
        <v>0</v>
      </c>
      <c r="EP1052" s="552">
        <f t="shared" si="1271"/>
        <v>0</v>
      </c>
      <c r="EQ1052" s="552">
        <f t="shared" si="1271"/>
        <v>0</v>
      </c>
      <c r="ER1052" s="552">
        <f t="shared" si="1271"/>
        <v>0</v>
      </c>
      <c r="ES1052" s="552">
        <f t="shared" si="1271"/>
        <v>0</v>
      </c>
      <c r="ET1052" s="552">
        <f t="shared" si="1271"/>
        <v>0</v>
      </c>
      <c r="EU1052" s="552">
        <f t="shared" si="1271"/>
        <v>0</v>
      </c>
      <c r="EV1052" s="552">
        <f t="shared" si="1271"/>
        <v>0</v>
      </c>
      <c r="EW1052" s="552">
        <f t="shared" si="1271"/>
        <v>0</v>
      </c>
      <c r="EX1052" s="552">
        <f t="shared" si="1271"/>
        <v>0</v>
      </c>
      <c r="EY1052" s="799">
        <f t="shared" si="1265"/>
        <v>11.73</v>
      </c>
      <c r="EZ1052" s="640"/>
      <c r="FA1052" s="640"/>
      <c r="FB1052" s="640"/>
      <c r="FC1052" s="640"/>
      <c r="FD1052" s="640"/>
      <c r="FE1052" s="640"/>
      <c r="FF1052" s="640"/>
      <c r="FG1052" s="640"/>
      <c r="FH1052" s="640"/>
      <c r="FI1052" s="640"/>
      <c r="FJ1052" s="640"/>
      <c r="FK1052" s="640"/>
      <c r="FL1052" s="640"/>
    </row>
    <row r="1053" spans="1:168" ht="27.6" x14ac:dyDescent="0.25">
      <c r="A1053" s="1492"/>
      <c r="B1053" s="624" t="str">
        <f t="shared" si="1258"/>
        <v>Тефтели из говядины 2-й вариант (с рисом (2 шт) и соусом сметанным с томатом)</v>
      </c>
      <c r="C1053" s="624">
        <f t="shared" si="1258"/>
        <v>170</v>
      </c>
      <c r="D1053" s="624">
        <f t="shared" si="1258"/>
        <v>11.53</v>
      </c>
      <c r="E1053" s="1158">
        <f t="shared" si="1266"/>
        <v>68.63</v>
      </c>
      <c r="F1053" s="1158"/>
      <c r="G1053" s="1140"/>
      <c r="H1053" s="1140"/>
      <c r="I1053" s="552"/>
      <c r="J1053" s="552">
        <f t="shared" ref="J1053:AO1053" si="1272">J89*J$338</f>
        <v>58.24</v>
      </c>
      <c r="K1053" s="552">
        <f t="shared" si="1272"/>
        <v>0</v>
      </c>
      <c r="L1053" s="552">
        <f t="shared" si="1272"/>
        <v>0</v>
      </c>
      <c r="M1053" s="552">
        <f t="shared" si="1272"/>
        <v>0</v>
      </c>
      <c r="N1053" s="552">
        <f t="shared" si="1272"/>
        <v>0</v>
      </c>
      <c r="O1053" s="552">
        <f t="shared" si="1272"/>
        <v>0</v>
      </c>
      <c r="P1053" s="552">
        <f t="shared" si="1272"/>
        <v>0</v>
      </c>
      <c r="Q1053" s="552">
        <f t="shared" si="1272"/>
        <v>0</v>
      </c>
      <c r="R1053" s="552">
        <f t="shared" si="1272"/>
        <v>0</v>
      </c>
      <c r="S1053" s="552">
        <f t="shared" si="1272"/>
        <v>0</v>
      </c>
      <c r="T1053" s="552">
        <f t="shared" si="1272"/>
        <v>0</v>
      </c>
      <c r="U1053" s="552">
        <f t="shared" si="1272"/>
        <v>0</v>
      </c>
      <c r="V1053" s="552">
        <f t="shared" si="1272"/>
        <v>0</v>
      </c>
      <c r="W1053" s="552">
        <f t="shared" si="1272"/>
        <v>0</v>
      </c>
      <c r="X1053" s="552">
        <f t="shared" si="1272"/>
        <v>0</v>
      </c>
      <c r="Y1053" s="552">
        <f t="shared" si="1272"/>
        <v>2.93</v>
      </c>
      <c r="Z1053" s="552">
        <f t="shared" si="1272"/>
        <v>0</v>
      </c>
      <c r="AA1053" s="552">
        <f t="shared" si="1272"/>
        <v>0</v>
      </c>
      <c r="AB1053" s="552">
        <f t="shared" si="1272"/>
        <v>0</v>
      </c>
      <c r="AC1053" s="552">
        <f t="shared" si="1272"/>
        <v>0</v>
      </c>
      <c r="AD1053" s="552">
        <f t="shared" si="1272"/>
        <v>0</v>
      </c>
      <c r="AE1053" s="552">
        <f t="shared" si="1272"/>
        <v>0</v>
      </c>
      <c r="AF1053" s="552">
        <f t="shared" si="1272"/>
        <v>0</v>
      </c>
      <c r="AG1053" s="552">
        <f t="shared" si="1272"/>
        <v>0</v>
      </c>
      <c r="AH1053" s="552">
        <f t="shared" si="1272"/>
        <v>0</v>
      </c>
      <c r="AI1053" s="552">
        <f t="shared" si="1272"/>
        <v>0</v>
      </c>
      <c r="AJ1053" s="552">
        <f t="shared" si="1272"/>
        <v>0</v>
      </c>
      <c r="AK1053" s="552">
        <f t="shared" si="1272"/>
        <v>2.1</v>
      </c>
      <c r="AL1053" s="552">
        <f t="shared" si="1272"/>
        <v>0</v>
      </c>
      <c r="AM1053" s="552">
        <f t="shared" si="1272"/>
        <v>0</v>
      </c>
      <c r="AN1053" s="552">
        <f t="shared" si="1272"/>
        <v>0</v>
      </c>
      <c r="AO1053" s="552">
        <f t="shared" si="1272"/>
        <v>0</v>
      </c>
      <c r="AP1053" s="552">
        <f t="shared" ref="AP1053:BU1053" si="1273">AP89*AP$338</f>
        <v>0</v>
      </c>
      <c r="AQ1053" s="552">
        <f t="shared" si="1273"/>
        <v>0</v>
      </c>
      <c r="AR1053" s="552">
        <f t="shared" si="1273"/>
        <v>0</v>
      </c>
      <c r="AS1053" s="552">
        <f t="shared" si="1273"/>
        <v>0</v>
      </c>
      <c r="AT1053" s="552">
        <f t="shared" si="1273"/>
        <v>0</v>
      </c>
      <c r="AU1053" s="552">
        <f t="shared" si="1273"/>
        <v>1.2</v>
      </c>
      <c r="AV1053" s="552">
        <f t="shared" si="1273"/>
        <v>0</v>
      </c>
      <c r="AW1053" s="552">
        <f t="shared" si="1273"/>
        <v>0</v>
      </c>
      <c r="AX1053" s="552">
        <f t="shared" si="1273"/>
        <v>0</v>
      </c>
      <c r="AY1053" s="552">
        <f t="shared" si="1273"/>
        <v>0</v>
      </c>
      <c r="AZ1053" s="552">
        <f t="shared" si="1273"/>
        <v>0</v>
      </c>
      <c r="BA1053" s="552">
        <f t="shared" si="1273"/>
        <v>0</v>
      </c>
      <c r="BB1053" s="552">
        <f t="shared" si="1273"/>
        <v>0</v>
      </c>
      <c r="BC1053" s="552">
        <f t="shared" si="1273"/>
        <v>0</v>
      </c>
      <c r="BD1053" s="552">
        <f t="shared" si="1273"/>
        <v>0</v>
      </c>
      <c r="BE1053" s="552">
        <f t="shared" si="1273"/>
        <v>0</v>
      </c>
      <c r="BF1053" s="552">
        <f t="shared" si="1273"/>
        <v>0</v>
      </c>
      <c r="BG1053" s="552">
        <f t="shared" si="1273"/>
        <v>0</v>
      </c>
      <c r="BH1053" s="552">
        <f t="shared" si="1273"/>
        <v>0</v>
      </c>
      <c r="BI1053" s="552">
        <f t="shared" si="1273"/>
        <v>0</v>
      </c>
      <c r="BJ1053" s="552">
        <f t="shared" si="1273"/>
        <v>0</v>
      </c>
      <c r="BK1053" s="552">
        <f t="shared" si="1273"/>
        <v>0</v>
      </c>
      <c r="BL1053" s="552">
        <f t="shared" si="1273"/>
        <v>0</v>
      </c>
      <c r="BM1053" s="552">
        <f t="shared" si="1273"/>
        <v>0</v>
      </c>
      <c r="BN1053" s="552">
        <f t="shared" si="1273"/>
        <v>0</v>
      </c>
      <c r="BO1053" s="552">
        <f t="shared" si="1273"/>
        <v>0</v>
      </c>
      <c r="BP1053" s="552">
        <f t="shared" si="1273"/>
        <v>0</v>
      </c>
      <c r="BQ1053" s="552">
        <f t="shared" si="1273"/>
        <v>0</v>
      </c>
      <c r="BR1053" s="552">
        <f t="shared" si="1273"/>
        <v>0</v>
      </c>
      <c r="BS1053" s="552">
        <f t="shared" si="1273"/>
        <v>0.42</v>
      </c>
      <c r="BT1053" s="552">
        <f t="shared" si="1273"/>
        <v>0</v>
      </c>
      <c r="BU1053" s="552">
        <f t="shared" si="1273"/>
        <v>0</v>
      </c>
      <c r="BV1053" s="552">
        <f t="shared" ref="BV1053:DA1053" si="1274">BV89*BV$338</f>
        <v>0</v>
      </c>
      <c r="BW1053" s="552">
        <f t="shared" si="1274"/>
        <v>0</v>
      </c>
      <c r="BX1053" s="552">
        <f t="shared" si="1274"/>
        <v>0</v>
      </c>
      <c r="BY1053" s="552">
        <f t="shared" si="1274"/>
        <v>0</v>
      </c>
      <c r="BZ1053" s="552">
        <f t="shared" si="1274"/>
        <v>0</v>
      </c>
      <c r="CA1053" s="552">
        <f t="shared" si="1274"/>
        <v>0</v>
      </c>
      <c r="CB1053" s="552">
        <f t="shared" si="1274"/>
        <v>0.98</v>
      </c>
      <c r="CC1053" s="552">
        <f t="shared" si="1274"/>
        <v>0</v>
      </c>
      <c r="CD1053" s="552">
        <f t="shared" si="1274"/>
        <v>0</v>
      </c>
      <c r="CE1053" s="552">
        <f t="shared" si="1274"/>
        <v>0</v>
      </c>
      <c r="CF1053" s="552">
        <f t="shared" si="1274"/>
        <v>1.44</v>
      </c>
      <c r="CG1053" s="552">
        <f t="shared" si="1274"/>
        <v>0</v>
      </c>
      <c r="CH1053" s="552">
        <f t="shared" si="1274"/>
        <v>0</v>
      </c>
      <c r="CI1053" s="552">
        <f t="shared" si="1274"/>
        <v>0</v>
      </c>
      <c r="CJ1053" s="552">
        <f t="shared" si="1274"/>
        <v>0</v>
      </c>
      <c r="CK1053" s="552">
        <f t="shared" si="1274"/>
        <v>0</v>
      </c>
      <c r="CL1053" s="552">
        <f t="shared" si="1274"/>
        <v>0</v>
      </c>
      <c r="CM1053" s="552">
        <f t="shared" si="1274"/>
        <v>0</v>
      </c>
      <c r="CN1053" s="552">
        <f t="shared" si="1274"/>
        <v>0</v>
      </c>
      <c r="CO1053" s="552">
        <f t="shared" si="1274"/>
        <v>0</v>
      </c>
      <c r="CP1053" s="552">
        <f t="shared" si="1274"/>
        <v>0</v>
      </c>
      <c r="CQ1053" s="552">
        <f t="shared" si="1274"/>
        <v>0</v>
      </c>
      <c r="CR1053" s="552">
        <f t="shared" si="1274"/>
        <v>0</v>
      </c>
      <c r="CS1053" s="552">
        <f t="shared" si="1274"/>
        <v>0.04</v>
      </c>
      <c r="CT1053" s="552">
        <f t="shared" si="1274"/>
        <v>0</v>
      </c>
      <c r="CU1053" s="552">
        <f t="shared" si="1274"/>
        <v>0</v>
      </c>
      <c r="CV1053" s="552">
        <f t="shared" si="1274"/>
        <v>0</v>
      </c>
      <c r="CW1053" s="552">
        <f t="shared" si="1274"/>
        <v>0</v>
      </c>
      <c r="CX1053" s="552">
        <f t="shared" si="1274"/>
        <v>0</v>
      </c>
      <c r="CY1053" s="552">
        <f t="shared" si="1274"/>
        <v>0</v>
      </c>
      <c r="CZ1053" s="552">
        <f t="shared" si="1274"/>
        <v>0</v>
      </c>
      <c r="DA1053" s="552">
        <f t="shared" si="1274"/>
        <v>0</v>
      </c>
      <c r="DB1053" s="552">
        <f t="shared" ref="DB1053:EG1053" si="1275">DB89*DB$338</f>
        <v>0</v>
      </c>
      <c r="DC1053" s="552">
        <f t="shared" si="1275"/>
        <v>0.13</v>
      </c>
      <c r="DD1053" s="552">
        <f t="shared" si="1275"/>
        <v>0</v>
      </c>
      <c r="DE1053" s="552">
        <f t="shared" si="1275"/>
        <v>0</v>
      </c>
      <c r="DF1053" s="552">
        <f t="shared" si="1275"/>
        <v>1.1499999999999999</v>
      </c>
      <c r="DG1053" s="552">
        <f t="shared" si="1275"/>
        <v>0</v>
      </c>
      <c r="DH1053" s="552">
        <f t="shared" si="1275"/>
        <v>0</v>
      </c>
      <c r="DI1053" s="552">
        <f t="shared" si="1275"/>
        <v>0</v>
      </c>
      <c r="DJ1053" s="552">
        <f t="shared" si="1275"/>
        <v>0</v>
      </c>
      <c r="DK1053" s="552">
        <f t="shared" si="1275"/>
        <v>0</v>
      </c>
      <c r="DL1053" s="552">
        <f t="shared" si="1275"/>
        <v>0</v>
      </c>
      <c r="DM1053" s="552">
        <f t="shared" si="1275"/>
        <v>0</v>
      </c>
      <c r="DN1053" s="552">
        <f t="shared" si="1275"/>
        <v>0</v>
      </c>
      <c r="DO1053" s="552">
        <f t="shared" si="1275"/>
        <v>0</v>
      </c>
      <c r="DP1053" s="552">
        <f t="shared" si="1275"/>
        <v>0</v>
      </c>
      <c r="DQ1053" s="552">
        <f t="shared" si="1275"/>
        <v>0</v>
      </c>
      <c r="DR1053" s="552">
        <f t="shared" si="1275"/>
        <v>0</v>
      </c>
      <c r="DS1053" s="552">
        <f t="shared" si="1275"/>
        <v>0</v>
      </c>
      <c r="DT1053" s="552">
        <f t="shared" si="1275"/>
        <v>0</v>
      </c>
      <c r="DU1053" s="552">
        <f t="shared" si="1275"/>
        <v>0</v>
      </c>
      <c r="DV1053" s="552">
        <f t="shared" si="1275"/>
        <v>0</v>
      </c>
      <c r="DW1053" s="552">
        <f t="shared" si="1275"/>
        <v>0</v>
      </c>
      <c r="DX1053" s="552">
        <f t="shared" si="1275"/>
        <v>0</v>
      </c>
      <c r="DY1053" s="552">
        <f t="shared" si="1275"/>
        <v>0</v>
      </c>
      <c r="DZ1053" s="552">
        <f t="shared" si="1275"/>
        <v>0</v>
      </c>
      <c r="EA1053" s="552">
        <f t="shared" si="1275"/>
        <v>0</v>
      </c>
      <c r="EB1053" s="552">
        <f t="shared" si="1275"/>
        <v>0</v>
      </c>
      <c r="EC1053" s="552">
        <f t="shared" si="1275"/>
        <v>0</v>
      </c>
      <c r="ED1053" s="552">
        <f t="shared" si="1275"/>
        <v>0</v>
      </c>
      <c r="EE1053" s="552">
        <f t="shared" si="1275"/>
        <v>0</v>
      </c>
      <c r="EF1053" s="552">
        <f t="shared" si="1275"/>
        <v>0</v>
      </c>
      <c r="EG1053" s="552">
        <f t="shared" si="1275"/>
        <v>0</v>
      </c>
      <c r="EH1053" s="552">
        <f t="shared" ref="EH1053:EX1053" si="1276">EH89*EH$338</f>
        <v>0</v>
      </c>
      <c r="EI1053" s="552">
        <f t="shared" si="1276"/>
        <v>0</v>
      </c>
      <c r="EJ1053" s="552">
        <f t="shared" si="1276"/>
        <v>0</v>
      </c>
      <c r="EK1053" s="552">
        <f t="shared" si="1276"/>
        <v>0</v>
      </c>
      <c r="EL1053" s="552">
        <f t="shared" si="1276"/>
        <v>0</v>
      </c>
      <c r="EM1053" s="552">
        <f t="shared" si="1276"/>
        <v>0</v>
      </c>
      <c r="EN1053" s="552">
        <f t="shared" si="1276"/>
        <v>0</v>
      </c>
      <c r="EO1053" s="552">
        <f t="shared" si="1276"/>
        <v>0</v>
      </c>
      <c r="EP1053" s="552">
        <f t="shared" si="1276"/>
        <v>0</v>
      </c>
      <c r="EQ1053" s="552">
        <f t="shared" si="1276"/>
        <v>0</v>
      </c>
      <c r="ER1053" s="552">
        <f t="shared" si="1276"/>
        <v>0</v>
      </c>
      <c r="ES1053" s="552">
        <f t="shared" si="1276"/>
        <v>0</v>
      </c>
      <c r="ET1053" s="552">
        <f t="shared" si="1276"/>
        <v>0</v>
      </c>
      <c r="EU1053" s="552">
        <f t="shared" si="1276"/>
        <v>0</v>
      </c>
      <c r="EV1053" s="552">
        <f t="shared" si="1276"/>
        <v>0</v>
      </c>
      <c r="EW1053" s="552">
        <f t="shared" si="1276"/>
        <v>0</v>
      </c>
      <c r="EX1053" s="552">
        <f t="shared" si="1276"/>
        <v>0</v>
      </c>
      <c r="EY1053" s="799">
        <f t="shared" si="1265"/>
        <v>68.63</v>
      </c>
      <c r="EZ1053" s="640"/>
      <c r="FA1053" s="640"/>
      <c r="FB1053" s="640"/>
      <c r="FC1053" s="640"/>
      <c r="FD1053" s="640"/>
      <c r="FE1053" s="640"/>
      <c r="FF1053" s="640"/>
      <c r="FG1053" s="640"/>
      <c r="FH1053" s="640"/>
      <c r="FI1053" s="640"/>
      <c r="FJ1053" s="640"/>
      <c r="FK1053" s="640"/>
      <c r="FL1053" s="640"/>
    </row>
    <row r="1054" spans="1:168" x14ac:dyDescent="0.25">
      <c r="A1054" s="1492"/>
      <c r="B1054" s="624" t="str">
        <f t="shared" si="1258"/>
        <v>Картофель отварной</v>
      </c>
      <c r="C1054" s="624">
        <f t="shared" si="1258"/>
        <v>150</v>
      </c>
      <c r="D1054" s="624">
        <f t="shared" si="1258"/>
        <v>2.86</v>
      </c>
      <c r="E1054" s="1158">
        <f t="shared" si="1266"/>
        <v>13.73</v>
      </c>
      <c r="F1054" s="1158"/>
      <c r="G1054" s="1140"/>
      <c r="H1054" s="1140"/>
      <c r="I1054" s="552"/>
      <c r="J1054" s="552">
        <f t="shared" ref="J1054:AO1054" si="1277">J90*J$338</f>
        <v>0</v>
      </c>
      <c r="K1054" s="552">
        <f t="shared" si="1277"/>
        <v>0</v>
      </c>
      <c r="L1054" s="552">
        <f t="shared" si="1277"/>
        <v>0</v>
      </c>
      <c r="M1054" s="552">
        <f t="shared" si="1277"/>
        <v>0</v>
      </c>
      <c r="N1054" s="552">
        <f t="shared" si="1277"/>
        <v>0</v>
      </c>
      <c r="O1054" s="552">
        <f t="shared" si="1277"/>
        <v>0</v>
      </c>
      <c r="P1054" s="552">
        <f t="shared" si="1277"/>
        <v>0</v>
      </c>
      <c r="Q1054" s="552">
        <f t="shared" si="1277"/>
        <v>0</v>
      </c>
      <c r="R1054" s="552">
        <f t="shared" si="1277"/>
        <v>0</v>
      </c>
      <c r="S1054" s="552">
        <f t="shared" si="1277"/>
        <v>0</v>
      </c>
      <c r="T1054" s="552">
        <f t="shared" si="1277"/>
        <v>0</v>
      </c>
      <c r="U1054" s="552">
        <f t="shared" si="1277"/>
        <v>0</v>
      </c>
      <c r="V1054" s="552">
        <f t="shared" si="1277"/>
        <v>3.73</v>
      </c>
      <c r="W1054" s="552">
        <f t="shared" si="1277"/>
        <v>0</v>
      </c>
      <c r="X1054" s="552">
        <f t="shared" si="1277"/>
        <v>0</v>
      </c>
      <c r="Y1054" s="552">
        <f t="shared" si="1277"/>
        <v>0</v>
      </c>
      <c r="Z1054" s="552">
        <f t="shared" si="1277"/>
        <v>0</v>
      </c>
      <c r="AA1054" s="552">
        <f t="shared" si="1277"/>
        <v>0</v>
      </c>
      <c r="AB1054" s="552">
        <f t="shared" si="1277"/>
        <v>0</v>
      </c>
      <c r="AC1054" s="552">
        <f t="shared" si="1277"/>
        <v>0</v>
      </c>
      <c r="AD1054" s="552">
        <f t="shared" si="1277"/>
        <v>0</v>
      </c>
      <c r="AE1054" s="552">
        <f t="shared" si="1277"/>
        <v>0</v>
      </c>
      <c r="AF1054" s="552">
        <f t="shared" si="1277"/>
        <v>0</v>
      </c>
      <c r="AG1054" s="552">
        <f t="shared" si="1277"/>
        <v>0</v>
      </c>
      <c r="AH1054" s="552">
        <f t="shared" si="1277"/>
        <v>10</v>
      </c>
      <c r="AI1054" s="552">
        <f t="shared" si="1277"/>
        <v>0</v>
      </c>
      <c r="AJ1054" s="552">
        <f t="shared" si="1277"/>
        <v>0</v>
      </c>
      <c r="AK1054" s="552">
        <f t="shared" si="1277"/>
        <v>0</v>
      </c>
      <c r="AL1054" s="552">
        <f t="shared" si="1277"/>
        <v>0</v>
      </c>
      <c r="AM1054" s="552">
        <f t="shared" si="1277"/>
        <v>0</v>
      </c>
      <c r="AN1054" s="552">
        <f t="shared" si="1277"/>
        <v>0</v>
      </c>
      <c r="AO1054" s="552">
        <f t="shared" si="1277"/>
        <v>0</v>
      </c>
      <c r="AP1054" s="552">
        <f t="shared" ref="AP1054:BU1054" si="1278">AP90*AP$338</f>
        <v>0</v>
      </c>
      <c r="AQ1054" s="552">
        <f t="shared" si="1278"/>
        <v>0</v>
      </c>
      <c r="AR1054" s="552">
        <f t="shared" si="1278"/>
        <v>0</v>
      </c>
      <c r="AS1054" s="552">
        <f t="shared" si="1278"/>
        <v>0</v>
      </c>
      <c r="AT1054" s="552">
        <f t="shared" si="1278"/>
        <v>0</v>
      </c>
      <c r="AU1054" s="552">
        <f t="shared" si="1278"/>
        <v>0</v>
      </c>
      <c r="AV1054" s="552">
        <f t="shared" si="1278"/>
        <v>0</v>
      </c>
      <c r="AW1054" s="552">
        <f t="shared" si="1278"/>
        <v>0</v>
      </c>
      <c r="AX1054" s="552">
        <f t="shared" si="1278"/>
        <v>0</v>
      </c>
      <c r="AY1054" s="552">
        <f t="shared" si="1278"/>
        <v>0</v>
      </c>
      <c r="AZ1054" s="552">
        <f t="shared" si="1278"/>
        <v>0</v>
      </c>
      <c r="BA1054" s="552">
        <f t="shared" si="1278"/>
        <v>0</v>
      </c>
      <c r="BB1054" s="552">
        <f t="shared" si="1278"/>
        <v>0</v>
      </c>
      <c r="BC1054" s="552">
        <f t="shared" si="1278"/>
        <v>0</v>
      </c>
      <c r="BD1054" s="552">
        <f t="shared" si="1278"/>
        <v>0</v>
      </c>
      <c r="BE1054" s="552">
        <f t="shared" si="1278"/>
        <v>0</v>
      </c>
      <c r="BF1054" s="552">
        <f t="shared" si="1278"/>
        <v>0</v>
      </c>
      <c r="BG1054" s="552">
        <f t="shared" si="1278"/>
        <v>0</v>
      </c>
      <c r="BH1054" s="552">
        <f t="shared" si="1278"/>
        <v>0</v>
      </c>
      <c r="BI1054" s="552">
        <f t="shared" si="1278"/>
        <v>0</v>
      </c>
      <c r="BJ1054" s="552">
        <f t="shared" si="1278"/>
        <v>0</v>
      </c>
      <c r="BK1054" s="552">
        <f t="shared" si="1278"/>
        <v>0</v>
      </c>
      <c r="BL1054" s="552">
        <f t="shared" si="1278"/>
        <v>0</v>
      </c>
      <c r="BM1054" s="552">
        <f t="shared" si="1278"/>
        <v>0</v>
      </c>
      <c r="BN1054" s="552">
        <f t="shared" si="1278"/>
        <v>0</v>
      </c>
      <c r="BO1054" s="552">
        <f t="shared" si="1278"/>
        <v>0</v>
      </c>
      <c r="BP1054" s="552">
        <f t="shared" si="1278"/>
        <v>0</v>
      </c>
      <c r="BQ1054" s="552">
        <f t="shared" si="1278"/>
        <v>0</v>
      </c>
      <c r="BR1054" s="552">
        <f t="shared" si="1278"/>
        <v>0</v>
      </c>
      <c r="BS1054" s="552">
        <f t="shared" si="1278"/>
        <v>0</v>
      </c>
      <c r="BT1054" s="552">
        <f t="shared" si="1278"/>
        <v>0</v>
      </c>
      <c r="BU1054" s="552">
        <f t="shared" si="1278"/>
        <v>0</v>
      </c>
      <c r="BV1054" s="552">
        <f t="shared" ref="BV1054:DA1054" si="1279">BV90*BV$338</f>
        <v>0</v>
      </c>
      <c r="BW1054" s="552">
        <f t="shared" si="1279"/>
        <v>0</v>
      </c>
      <c r="BX1054" s="552">
        <f t="shared" si="1279"/>
        <v>0</v>
      </c>
      <c r="BY1054" s="552">
        <f t="shared" si="1279"/>
        <v>0</v>
      </c>
      <c r="BZ1054" s="552">
        <f t="shared" si="1279"/>
        <v>0</v>
      </c>
      <c r="CA1054" s="552">
        <f t="shared" si="1279"/>
        <v>0</v>
      </c>
      <c r="CB1054" s="552">
        <f t="shared" si="1279"/>
        <v>0</v>
      </c>
      <c r="CC1054" s="552">
        <f t="shared" si="1279"/>
        <v>0</v>
      </c>
      <c r="CD1054" s="552">
        <f t="shared" si="1279"/>
        <v>0</v>
      </c>
      <c r="CE1054" s="552">
        <f t="shared" si="1279"/>
        <v>0</v>
      </c>
      <c r="CF1054" s="552">
        <f t="shared" si="1279"/>
        <v>0</v>
      </c>
      <c r="CG1054" s="552">
        <f t="shared" si="1279"/>
        <v>0</v>
      </c>
      <c r="CH1054" s="552">
        <f t="shared" si="1279"/>
        <v>0</v>
      </c>
      <c r="CI1054" s="552">
        <f t="shared" si="1279"/>
        <v>0</v>
      </c>
      <c r="CJ1054" s="552">
        <f t="shared" si="1279"/>
        <v>0</v>
      </c>
      <c r="CK1054" s="552">
        <f t="shared" si="1279"/>
        <v>0</v>
      </c>
      <c r="CL1054" s="552">
        <f t="shared" si="1279"/>
        <v>0</v>
      </c>
      <c r="CM1054" s="552">
        <f t="shared" si="1279"/>
        <v>0</v>
      </c>
      <c r="CN1054" s="552">
        <f t="shared" si="1279"/>
        <v>0</v>
      </c>
      <c r="CO1054" s="552">
        <f t="shared" si="1279"/>
        <v>0</v>
      </c>
      <c r="CP1054" s="552">
        <f t="shared" si="1279"/>
        <v>0</v>
      </c>
      <c r="CQ1054" s="552">
        <f t="shared" si="1279"/>
        <v>0</v>
      </c>
      <c r="CR1054" s="552">
        <f t="shared" si="1279"/>
        <v>0</v>
      </c>
      <c r="CS1054" s="552">
        <f t="shared" si="1279"/>
        <v>0</v>
      </c>
      <c r="CT1054" s="552">
        <f t="shared" si="1279"/>
        <v>0</v>
      </c>
      <c r="CU1054" s="552">
        <f t="shared" si="1279"/>
        <v>0</v>
      </c>
      <c r="CV1054" s="552">
        <f t="shared" si="1279"/>
        <v>0</v>
      </c>
      <c r="CW1054" s="552">
        <f t="shared" si="1279"/>
        <v>0</v>
      </c>
      <c r="CX1054" s="552">
        <f t="shared" si="1279"/>
        <v>0</v>
      </c>
      <c r="CY1054" s="552">
        <f t="shared" si="1279"/>
        <v>0</v>
      </c>
      <c r="CZ1054" s="552">
        <f t="shared" si="1279"/>
        <v>0</v>
      </c>
      <c r="DA1054" s="552">
        <f t="shared" si="1279"/>
        <v>0</v>
      </c>
      <c r="DB1054" s="552">
        <f t="shared" ref="DB1054:EG1054" si="1280">DB90*DB$338</f>
        <v>0</v>
      </c>
      <c r="DC1054" s="552">
        <f t="shared" si="1280"/>
        <v>0</v>
      </c>
      <c r="DD1054" s="552">
        <f t="shared" si="1280"/>
        <v>0</v>
      </c>
      <c r="DE1054" s="552">
        <f t="shared" si="1280"/>
        <v>0</v>
      </c>
      <c r="DF1054" s="552">
        <f t="shared" si="1280"/>
        <v>0</v>
      </c>
      <c r="DG1054" s="552">
        <f t="shared" si="1280"/>
        <v>0</v>
      </c>
      <c r="DH1054" s="552">
        <f t="shared" si="1280"/>
        <v>0</v>
      </c>
      <c r="DI1054" s="552">
        <f t="shared" si="1280"/>
        <v>0</v>
      </c>
      <c r="DJ1054" s="552">
        <f t="shared" si="1280"/>
        <v>0</v>
      </c>
      <c r="DK1054" s="552">
        <f t="shared" si="1280"/>
        <v>0</v>
      </c>
      <c r="DL1054" s="552">
        <f t="shared" si="1280"/>
        <v>0</v>
      </c>
      <c r="DM1054" s="552">
        <f t="shared" si="1280"/>
        <v>0</v>
      </c>
      <c r="DN1054" s="552">
        <f t="shared" si="1280"/>
        <v>0</v>
      </c>
      <c r="DO1054" s="552">
        <f t="shared" si="1280"/>
        <v>0</v>
      </c>
      <c r="DP1054" s="552">
        <f t="shared" si="1280"/>
        <v>0</v>
      </c>
      <c r="DQ1054" s="552">
        <f t="shared" si="1280"/>
        <v>0</v>
      </c>
      <c r="DR1054" s="552">
        <f t="shared" si="1280"/>
        <v>0</v>
      </c>
      <c r="DS1054" s="552">
        <f t="shared" si="1280"/>
        <v>0</v>
      </c>
      <c r="DT1054" s="552">
        <f t="shared" si="1280"/>
        <v>0</v>
      </c>
      <c r="DU1054" s="552">
        <f t="shared" si="1280"/>
        <v>0</v>
      </c>
      <c r="DV1054" s="552">
        <f t="shared" si="1280"/>
        <v>0</v>
      </c>
      <c r="DW1054" s="552">
        <f t="shared" si="1280"/>
        <v>0</v>
      </c>
      <c r="DX1054" s="552">
        <f t="shared" si="1280"/>
        <v>0</v>
      </c>
      <c r="DY1054" s="552">
        <f t="shared" si="1280"/>
        <v>0</v>
      </c>
      <c r="DZ1054" s="552">
        <f t="shared" si="1280"/>
        <v>0</v>
      </c>
      <c r="EA1054" s="552">
        <f t="shared" si="1280"/>
        <v>0</v>
      </c>
      <c r="EB1054" s="552">
        <f t="shared" si="1280"/>
        <v>0</v>
      </c>
      <c r="EC1054" s="552">
        <f t="shared" si="1280"/>
        <v>0</v>
      </c>
      <c r="ED1054" s="552">
        <f t="shared" si="1280"/>
        <v>0</v>
      </c>
      <c r="EE1054" s="552">
        <f t="shared" si="1280"/>
        <v>0</v>
      </c>
      <c r="EF1054" s="552">
        <f t="shared" si="1280"/>
        <v>0</v>
      </c>
      <c r="EG1054" s="552">
        <f t="shared" si="1280"/>
        <v>0</v>
      </c>
      <c r="EH1054" s="552">
        <f t="shared" ref="EH1054:EX1054" si="1281">EH90*EH$338</f>
        <v>0</v>
      </c>
      <c r="EI1054" s="552">
        <f t="shared" si="1281"/>
        <v>0</v>
      </c>
      <c r="EJ1054" s="552">
        <f t="shared" si="1281"/>
        <v>0</v>
      </c>
      <c r="EK1054" s="552">
        <f t="shared" si="1281"/>
        <v>0</v>
      </c>
      <c r="EL1054" s="552">
        <f t="shared" si="1281"/>
        <v>0</v>
      </c>
      <c r="EM1054" s="552">
        <f t="shared" si="1281"/>
        <v>0</v>
      </c>
      <c r="EN1054" s="552">
        <f t="shared" si="1281"/>
        <v>0</v>
      </c>
      <c r="EO1054" s="552">
        <f t="shared" si="1281"/>
        <v>0</v>
      </c>
      <c r="EP1054" s="552">
        <f t="shared" si="1281"/>
        <v>0</v>
      </c>
      <c r="EQ1054" s="552">
        <f t="shared" si="1281"/>
        <v>0</v>
      </c>
      <c r="ER1054" s="552">
        <f t="shared" si="1281"/>
        <v>0</v>
      </c>
      <c r="ES1054" s="552">
        <f t="shared" si="1281"/>
        <v>0</v>
      </c>
      <c r="ET1054" s="552">
        <f t="shared" si="1281"/>
        <v>0</v>
      </c>
      <c r="EU1054" s="552">
        <f t="shared" si="1281"/>
        <v>0</v>
      </c>
      <c r="EV1054" s="552">
        <f t="shared" si="1281"/>
        <v>0</v>
      </c>
      <c r="EW1054" s="552">
        <f t="shared" si="1281"/>
        <v>0</v>
      </c>
      <c r="EX1054" s="552">
        <f t="shared" si="1281"/>
        <v>0</v>
      </c>
      <c r="EY1054" s="799">
        <f t="shared" si="1265"/>
        <v>13.73</v>
      </c>
      <c r="EZ1054" s="640"/>
      <c r="FA1054" s="640"/>
      <c r="FB1054" s="640"/>
      <c r="FC1054" s="640"/>
      <c r="FD1054" s="640"/>
      <c r="FE1054" s="640"/>
      <c r="FF1054" s="640"/>
      <c r="FG1054" s="640"/>
      <c r="FH1054" s="640"/>
      <c r="FI1054" s="640"/>
      <c r="FJ1054" s="640"/>
      <c r="FK1054" s="640"/>
      <c r="FL1054" s="640"/>
    </row>
    <row r="1055" spans="1:168" x14ac:dyDescent="0.25">
      <c r="A1055" s="1492"/>
      <c r="B1055" s="624" t="str">
        <f t="shared" si="1258"/>
        <v xml:space="preserve">Компот из яблок </v>
      </c>
      <c r="C1055" s="624">
        <f t="shared" si="1258"/>
        <v>200</v>
      </c>
      <c r="D1055" s="624">
        <f t="shared" si="1258"/>
        <v>0.16</v>
      </c>
      <c r="E1055" s="1158">
        <f t="shared" si="1266"/>
        <v>6.01</v>
      </c>
      <c r="F1055" s="1158"/>
      <c r="G1055" s="1140"/>
      <c r="H1055" s="1140"/>
      <c r="I1055" s="552"/>
      <c r="J1055" s="552">
        <f t="shared" ref="J1055:AO1055" si="1282">J91*J$338</f>
        <v>0</v>
      </c>
      <c r="K1055" s="552">
        <f t="shared" si="1282"/>
        <v>0</v>
      </c>
      <c r="L1055" s="552">
        <f t="shared" si="1282"/>
        <v>0</v>
      </c>
      <c r="M1055" s="552">
        <f t="shared" si="1282"/>
        <v>0</v>
      </c>
      <c r="N1055" s="552">
        <f t="shared" si="1282"/>
        <v>0</v>
      </c>
      <c r="O1055" s="552">
        <f t="shared" si="1282"/>
        <v>0</v>
      </c>
      <c r="P1055" s="552">
        <f t="shared" si="1282"/>
        <v>0</v>
      </c>
      <c r="Q1055" s="552">
        <f t="shared" si="1282"/>
        <v>0</v>
      </c>
      <c r="R1055" s="552">
        <f t="shared" si="1282"/>
        <v>0</v>
      </c>
      <c r="S1055" s="552">
        <f t="shared" si="1282"/>
        <v>0</v>
      </c>
      <c r="T1055" s="552">
        <f t="shared" si="1282"/>
        <v>0</v>
      </c>
      <c r="U1055" s="552">
        <f t="shared" si="1282"/>
        <v>0</v>
      </c>
      <c r="V1055" s="552">
        <f t="shared" si="1282"/>
        <v>0</v>
      </c>
      <c r="W1055" s="552">
        <f t="shared" si="1282"/>
        <v>0</v>
      </c>
      <c r="X1055" s="552">
        <f t="shared" si="1282"/>
        <v>0</v>
      </c>
      <c r="Y1055" s="552">
        <f t="shared" si="1282"/>
        <v>0</v>
      </c>
      <c r="Z1055" s="552">
        <f t="shared" si="1282"/>
        <v>0</v>
      </c>
      <c r="AA1055" s="552">
        <f t="shared" si="1282"/>
        <v>0</v>
      </c>
      <c r="AB1055" s="552">
        <f t="shared" si="1282"/>
        <v>0</v>
      </c>
      <c r="AC1055" s="552">
        <f t="shared" si="1282"/>
        <v>0</v>
      </c>
      <c r="AD1055" s="552">
        <f t="shared" si="1282"/>
        <v>0</v>
      </c>
      <c r="AE1055" s="552">
        <f t="shared" si="1282"/>
        <v>0</v>
      </c>
      <c r="AF1055" s="552">
        <f t="shared" si="1282"/>
        <v>0</v>
      </c>
      <c r="AG1055" s="552">
        <f t="shared" si="1282"/>
        <v>0</v>
      </c>
      <c r="AH1055" s="552">
        <f t="shared" si="1282"/>
        <v>0</v>
      </c>
      <c r="AI1055" s="552">
        <f t="shared" si="1282"/>
        <v>0</v>
      </c>
      <c r="AJ1055" s="552">
        <f t="shared" si="1282"/>
        <v>0</v>
      </c>
      <c r="AK1055" s="552">
        <f t="shared" si="1282"/>
        <v>0</v>
      </c>
      <c r="AL1055" s="552">
        <f t="shared" si="1282"/>
        <v>0</v>
      </c>
      <c r="AM1055" s="552">
        <f t="shared" si="1282"/>
        <v>0</v>
      </c>
      <c r="AN1055" s="552">
        <f t="shared" si="1282"/>
        <v>0</v>
      </c>
      <c r="AO1055" s="552">
        <f t="shared" si="1282"/>
        <v>0</v>
      </c>
      <c r="AP1055" s="552">
        <f t="shared" ref="AP1055:BU1055" si="1283">AP91*AP$338</f>
        <v>0</v>
      </c>
      <c r="AQ1055" s="552">
        <f t="shared" si="1283"/>
        <v>0</v>
      </c>
      <c r="AR1055" s="552">
        <f t="shared" si="1283"/>
        <v>0</v>
      </c>
      <c r="AS1055" s="552">
        <f t="shared" si="1283"/>
        <v>0</v>
      </c>
      <c r="AT1055" s="552">
        <f t="shared" si="1283"/>
        <v>0</v>
      </c>
      <c r="AU1055" s="552">
        <f t="shared" si="1283"/>
        <v>0</v>
      </c>
      <c r="AV1055" s="552">
        <f t="shared" si="1283"/>
        <v>0</v>
      </c>
      <c r="AW1055" s="552">
        <f t="shared" si="1283"/>
        <v>0</v>
      </c>
      <c r="AX1055" s="552">
        <f t="shared" si="1283"/>
        <v>0</v>
      </c>
      <c r="AY1055" s="552">
        <f t="shared" si="1283"/>
        <v>0</v>
      </c>
      <c r="AZ1055" s="552">
        <f t="shared" si="1283"/>
        <v>0</v>
      </c>
      <c r="BA1055" s="552">
        <f t="shared" si="1283"/>
        <v>0</v>
      </c>
      <c r="BB1055" s="552">
        <f t="shared" si="1283"/>
        <v>0</v>
      </c>
      <c r="BC1055" s="552">
        <f t="shared" si="1283"/>
        <v>0</v>
      </c>
      <c r="BD1055" s="552">
        <f t="shared" si="1283"/>
        <v>0</v>
      </c>
      <c r="BE1055" s="552">
        <f t="shared" si="1283"/>
        <v>0</v>
      </c>
      <c r="BF1055" s="552">
        <f t="shared" si="1283"/>
        <v>0</v>
      </c>
      <c r="BG1055" s="552">
        <f t="shared" si="1283"/>
        <v>0</v>
      </c>
      <c r="BH1055" s="552">
        <f t="shared" si="1283"/>
        <v>0</v>
      </c>
      <c r="BI1055" s="552">
        <f t="shared" si="1283"/>
        <v>0</v>
      </c>
      <c r="BJ1055" s="552">
        <f t="shared" si="1283"/>
        <v>0</v>
      </c>
      <c r="BK1055" s="552">
        <f t="shared" si="1283"/>
        <v>0</v>
      </c>
      <c r="BL1055" s="552">
        <f t="shared" si="1283"/>
        <v>0</v>
      </c>
      <c r="BM1055" s="552">
        <f t="shared" si="1283"/>
        <v>0</v>
      </c>
      <c r="BN1055" s="552">
        <f t="shared" si="1283"/>
        <v>0</v>
      </c>
      <c r="BO1055" s="552">
        <f t="shared" si="1283"/>
        <v>0</v>
      </c>
      <c r="BP1055" s="552">
        <f t="shared" si="1283"/>
        <v>0</v>
      </c>
      <c r="BQ1055" s="552">
        <f t="shared" si="1283"/>
        <v>0</v>
      </c>
      <c r="BR1055" s="552">
        <f t="shared" si="1283"/>
        <v>4.13</v>
      </c>
      <c r="BS1055" s="552">
        <f t="shared" si="1283"/>
        <v>0</v>
      </c>
      <c r="BT1055" s="552">
        <f t="shared" si="1283"/>
        <v>0</v>
      </c>
      <c r="BU1055" s="552">
        <f t="shared" si="1283"/>
        <v>0</v>
      </c>
      <c r="BV1055" s="552">
        <f t="shared" ref="BV1055:DA1055" si="1284">BV91*BV$338</f>
        <v>0</v>
      </c>
      <c r="BW1055" s="552">
        <f t="shared" si="1284"/>
        <v>0</v>
      </c>
      <c r="BX1055" s="552">
        <f t="shared" si="1284"/>
        <v>0</v>
      </c>
      <c r="BY1055" s="552">
        <f t="shared" si="1284"/>
        <v>0</v>
      </c>
      <c r="BZ1055" s="552">
        <f t="shared" si="1284"/>
        <v>0</v>
      </c>
      <c r="CA1055" s="552">
        <f t="shared" si="1284"/>
        <v>0</v>
      </c>
      <c r="CB1055" s="552">
        <f t="shared" si="1284"/>
        <v>0</v>
      </c>
      <c r="CC1055" s="552">
        <f t="shared" si="1284"/>
        <v>0</v>
      </c>
      <c r="CD1055" s="552">
        <f t="shared" si="1284"/>
        <v>0</v>
      </c>
      <c r="CE1055" s="552">
        <f t="shared" si="1284"/>
        <v>0</v>
      </c>
      <c r="CF1055" s="552">
        <f t="shared" si="1284"/>
        <v>0</v>
      </c>
      <c r="CG1055" s="552">
        <f t="shared" si="1284"/>
        <v>0</v>
      </c>
      <c r="CH1055" s="552">
        <f t="shared" si="1284"/>
        <v>0</v>
      </c>
      <c r="CI1055" s="552">
        <f t="shared" si="1284"/>
        <v>0</v>
      </c>
      <c r="CJ1055" s="552">
        <f t="shared" si="1284"/>
        <v>0</v>
      </c>
      <c r="CK1055" s="552">
        <f t="shared" si="1284"/>
        <v>0</v>
      </c>
      <c r="CL1055" s="552">
        <f t="shared" si="1284"/>
        <v>0</v>
      </c>
      <c r="CM1055" s="552">
        <f t="shared" si="1284"/>
        <v>0</v>
      </c>
      <c r="CN1055" s="552">
        <f t="shared" si="1284"/>
        <v>0</v>
      </c>
      <c r="CO1055" s="552">
        <f t="shared" si="1284"/>
        <v>0</v>
      </c>
      <c r="CP1055" s="552">
        <f t="shared" si="1284"/>
        <v>0</v>
      </c>
      <c r="CQ1055" s="552">
        <f t="shared" si="1284"/>
        <v>0.06</v>
      </c>
      <c r="CR1055" s="552">
        <f t="shared" si="1284"/>
        <v>0</v>
      </c>
      <c r="CS1055" s="552">
        <f t="shared" si="1284"/>
        <v>0</v>
      </c>
      <c r="CT1055" s="552">
        <f t="shared" si="1284"/>
        <v>0</v>
      </c>
      <c r="CU1055" s="552">
        <f t="shared" si="1284"/>
        <v>0</v>
      </c>
      <c r="CV1055" s="552">
        <f t="shared" si="1284"/>
        <v>0</v>
      </c>
      <c r="CW1055" s="552">
        <f t="shared" si="1284"/>
        <v>0</v>
      </c>
      <c r="CX1055" s="552">
        <f t="shared" si="1284"/>
        <v>0</v>
      </c>
      <c r="CY1055" s="552">
        <f t="shared" si="1284"/>
        <v>0</v>
      </c>
      <c r="CZ1055" s="552">
        <f t="shared" si="1284"/>
        <v>1.82</v>
      </c>
      <c r="DA1055" s="552">
        <f t="shared" si="1284"/>
        <v>0</v>
      </c>
      <c r="DB1055" s="552">
        <f t="shared" ref="DB1055:EG1055" si="1285">DB91*DB$338</f>
        <v>0</v>
      </c>
      <c r="DC1055" s="552">
        <f t="shared" si="1285"/>
        <v>0</v>
      </c>
      <c r="DD1055" s="552">
        <f t="shared" si="1285"/>
        <v>0</v>
      </c>
      <c r="DE1055" s="552">
        <f t="shared" si="1285"/>
        <v>0</v>
      </c>
      <c r="DF1055" s="552">
        <f t="shared" si="1285"/>
        <v>0</v>
      </c>
      <c r="DG1055" s="552">
        <f t="shared" si="1285"/>
        <v>0</v>
      </c>
      <c r="DH1055" s="552">
        <f t="shared" si="1285"/>
        <v>0</v>
      </c>
      <c r="DI1055" s="552">
        <f t="shared" si="1285"/>
        <v>0</v>
      </c>
      <c r="DJ1055" s="552">
        <f t="shared" si="1285"/>
        <v>0</v>
      </c>
      <c r="DK1055" s="552">
        <f t="shared" si="1285"/>
        <v>0</v>
      </c>
      <c r="DL1055" s="552">
        <f t="shared" si="1285"/>
        <v>0</v>
      </c>
      <c r="DM1055" s="552">
        <f t="shared" si="1285"/>
        <v>0</v>
      </c>
      <c r="DN1055" s="552">
        <f t="shared" si="1285"/>
        <v>0</v>
      </c>
      <c r="DO1055" s="552">
        <f t="shared" si="1285"/>
        <v>0</v>
      </c>
      <c r="DP1055" s="552">
        <f t="shared" si="1285"/>
        <v>0</v>
      </c>
      <c r="DQ1055" s="552">
        <f t="shared" si="1285"/>
        <v>0</v>
      </c>
      <c r="DR1055" s="552">
        <f t="shared" si="1285"/>
        <v>0</v>
      </c>
      <c r="DS1055" s="552">
        <f t="shared" si="1285"/>
        <v>0</v>
      </c>
      <c r="DT1055" s="552">
        <f t="shared" si="1285"/>
        <v>0</v>
      </c>
      <c r="DU1055" s="552">
        <f t="shared" si="1285"/>
        <v>0</v>
      </c>
      <c r="DV1055" s="552">
        <f t="shared" si="1285"/>
        <v>0</v>
      </c>
      <c r="DW1055" s="552">
        <f t="shared" si="1285"/>
        <v>0</v>
      </c>
      <c r="DX1055" s="552">
        <f t="shared" si="1285"/>
        <v>0</v>
      </c>
      <c r="DY1055" s="552">
        <f t="shared" si="1285"/>
        <v>0</v>
      </c>
      <c r="DZ1055" s="552">
        <f t="shared" si="1285"/>
        <v>0</v>
      </c>
      <c r="EA1055" s="552">
        <f t="shared" si="1285"/>
        <v>0</v>
      </c>
      <c r="EB1055" s="552">
        <f t="shared" si="1285"/>
        <v>0</v>
      </c>
      <c r="EC1055" s="552">
        <f t="shared" si="1285"/>
        <v>0</v>
      </c>
      <c r="ED1055" s="552">
        <f t="shared" si="1285"/>
        <v>0</v>
      </c>
      <c r="EE1055" s="552">
        <f t="shared" si="1285"/>
        <v>0</v>
      </c>
      <c r="EF1055" s="552">
        <f t="shared" si="1285"/>
        <v>0</v>
      </c>
      <c r="EG1055" s="552">
        <f t="shared" si="1285"/>
        <v>0</v>
      </c>
      <c r="EH1055" s="552">
        <f t="shared" ref="EH1055:EX1055" si="1286">EH91*EH$338</f>
        <v>0</v>
      </c>
      <c r="EI1055" s="552">
        <f t="shared" si="1286"/>
        <v>0</v>
      </c>
      <c r="EJ1055" s="552">
        <f t="shared" si="1286"/>
        <v>0</v>
      </c>
      <c r="EK1055" s="552">
        <f t="shared" si="1286"/>
        <v>0</v>
      </c>
      <c r="EL1055" s="552">
        <f t="shared" si="1286"/>
        <v>0</v>
      </c>
      <c r="EM1055" s="552">
        <f t="shared" si="1286"/>
        <v>0</v>
      </c>
      <c r="EN1055" s="552">
        <f t="shared" si="1286"/>
        <v>0</v>
      </c>
      <c r="EO1055" s="552">
        <f t="shared" si="1286"/>
        <v>0</v>
      </c>
      <c r="EP1055" s="552">
        <f t="shared" si="1286"/>
        <v>0</v>
      </c>
      <c r="EQ1055" s="552">
        <f t="shared" si="1286"/>
        <v>0</v>
      </c>
      <c r="ER1055" s="552">
        <f t="shared" si="1286"/>
        <v>0</v>
      </c>
      <c r="ES1055" s="552">
        <f t="shared" si="1286"/>
        <v>0</v>
      </c>
      <c r="ET1055" s="552">
        <f t="shared" si="1286"/>
        <v>0</v>
      </c>
      <c r="EU1055" s="552">
        <f t="shared" si="1286"/>
        <v>0</v>
      </c>
      <c r="EV1055" s="552">
        <f t="shared" si="1286"/>
        <v>0</v>
      </c>
      <c r="EW1055" s="552">
        <f t="shared" si="1286"/>
        <v>0</v>
      </c>
      <c r="EX1055" s="552">
        <f t="shared" si="1286"/>
        <v>0</v>
      </c>
      <c r="EY1055" s="799">
        <f t="shared" si="1265"/>
        <v>6.01</v>
      </c>
      <c r="EZ1055" s="640"/>
      <c r="FA1055" s="640"/>
      <c r="FB1055" s="640"/>
      <c r="FC1055" s="640"/>
      <c r="FD1055" s="640"/>
      <c r="FE1055" s="640"/>
      <c r="FF1055" s="640"/>
      <c r="FG1055" s="640"/>
      <c r="FH1055" s="640"/>
      <c r="FI1055" s="640"/>
      <c r="FJ1055" s="640"/>
      <c r="FK1055" s="640"/>
      <c r="FL1055" s="640"/>
    </row>
    <row r="1056" spans="1:168" x14ac:dyDescent="0.25">
      <c r="A1056" s="1492"/>
      <c r="B1056" s="624" t="str">
        <f t="shared" si="1258"/>
        <v>Хлеб пшеничный нарезной</v>
      </c>
      <c r="C1056" s="624">
        <f t="shared" si="1258"/>
        <v>20</v>
      </c>
      <c r="D1056" s="624">
        <f t="shared" si="1258"/>
        <v>2.14</v>
      </c>
      <c r="E1056" s="1158">
        <f t="shared" si="1266"/>
        <v>1.3</v>
      </c>
      <c r="F1056" s="1158"/>
      <c r="G1056" s="1140"/>
      <c r="H1056" s="1140"/>
      <c r="I1056" s="552"/>
      <c r="J1056" s="552">
        <f t="shared" ref="J1056:AO1056" si="1287">J92*J$338</f>
        <v>0</v>
      </c>
      <c r="K1056" s="552">
        <f t="shared" si="1287"/>
        <v>0</v>
      </c>
      <c r="L1056" s="552">
        <f t="shared" si="1287"/>
        <v>0</v>
      </c>
      <c r="M1056" s="552">
        <f t="shared" si="1287"/>
        <v>0</v>
      </c>
      <c r="N1056" s="552">
        <f t="shared" si="1287"/>
        <v>0</v>
      </c>
      <c r="O1056" s="552">
        <f t="shared" si="1287"/>
        <v>0</v>
      </c>
      <c r="P1056" s="552">
        <f t="shared" si="1287"/>
        <v>0</v>
      </c>
      <c r="Q1056" s="552">
        <f t="shared" si="1287"/>
        <v>0</v>
      </c>
      <c r="R1056" s="552">
        <f t="shared" si="1287"/>
        <v>0</v>
      </c>
      <c r="S1056" s="552">
        <f t="shared" si="1287"/>
        <v>0</v>
      </c>
      <c r="T1056" s="552">
        <f t="shared" si="1287"/>
        <v>0</v>
      </c>
      <c r="U1056" s="552">
        <f t="shared" si="1287"/>
        <v>0</v>
      </c>
      <c r="V1056" s="552">
        <f t="shared" si="1287"/>
        <v>0</v>
      </c>
      <c r="W1056" s="552">
        <f t="shared" si="1287"/>
        <v>0</v>
      </c>
      <c r="X1056" s="552">
        <f t="shared" si="1287"/>
        <v>0</v>
      </c>
      <c r="Y1056" s="552">
        <f t="shared" si="1287"/>
        <v>0</v>
      </c>
      <c r="Z1056" s="552">
        <f t="shared" si="1287"/>
        <v>0</v>
      </c>
      <c r="AA1056" s="552">
        <f t="shared" si="1287"/>
        <v>0</v>
      </c>
      <c r="AB1056" s="552">
        <f t="shared" si="1287"/>
        <v>0</v>
      </c>
      <c r="AC1056" s="552">
        <f t="shared" si="1287"/>
        <v>0</v>
      </c>
      <c r="AD1056" s="552">
        <f t="shared" si="1287"/>
        <v>0</v>
      </c>
      <c r="AE1056" s="552">
        <f t="shared" si="1287"/>
        <v>0</v>
      </c>
      <c r="AF1056" s="552">
        <f t="shared" si="1287"/>
        <v>0</v>
      </c>
      <c r="AG1056" s="552">
        <f t="shared" si="1287"/>
        <v>0</v>
      </c>
      <c r="AH1056" s="552">
        <f t="shared" si="1287"/>
        <v>0</v>
      </c>
      <c r="AI1056" s="552">
        <f t="shared" si="1287"/>
        <v>0</v>
      </c>
      <c r="AJ1056" s="552">
        <f t="shared" si="1287"/>
        <v>0</v>
      </c>
      <c r="AK1056" s="552">
        <f t="shared" si="1287"/>
        <v>0</v>
      </c>
      <c r="AL1056" s="552">
        <f t="shared" si="1287"/>
        <v>0</v>
      </c>
      <c r="AM1056" s="552">
        <f t="shared" si="1287"/>
        <v>0</v>
      </c>
      <c r="AN1056" s="552">
        <f t="shared" si="1287"/>
        <v>0</v>
      </c>
      <c r="AO1056" s="552">
        <f t="shared" si="1287"/>
        <v>0</v>
      </c>
      <c r="AP1056" s="552">
        <f t="shared" ref="AP1056:BU1056" si="1288">AP92*AP$338</f>
        <v>0</v>
      </c>
      <c r="AQ1056" s="552">
        <f t="shared" si="1288"/>
        <v>0</v>
      </c>
      <c r="AR1056" s="552">
        <f t="shared" si="1288"/>
        <v>0</v>
      </c>
      <c r="AS1056" s="552">
        <f t="shared" si="1288"/>
        <v>0</v>
      </c>
      <c r="AT1056" s="552">
        <f t="shared" si="1288"/>
        <v>0</v>
      </c>
      <c r="AU1056" s="552">
        <f t="shared" si="1288"/>
        <v>0</v>
      </c>
      <c r="AV1056" s="552">
        <f t="shared" si="1288"/>
        <v>0</v>
      </c>
      <c r="AW1056" s="552">
        <f t="shared" si="1288"/>
        <v>0</v>
      </c>
      <c r="AX1056" s="552">
        <f t="shared" si="1288"/>
        <v>0</v>
      </c>
      <c r="AY1056" s="552">
        <f t="shared" si="1288"/>
        <v>0</v>
      </c>
      <c r="AZ1056" s="552">
        <f t="shared" si="1288"/>
        <v>0</v>
      </c>
      <c r="BA1056" s="552">
        <f t="shared" si="1288"/>
        <v>0</v>
      </c>
      <c r="BB1056" s="552">
        <f t="shared" si="1288"/>
        <v>0</v>
      </c>
      <c r="BC1056" s="552">
        <f t="shared" si="1288"/>
        <v>0</v>
      </c>
      <c r="BD1056" s="552">
        <f t="shared" si="1288"/>
        <v>0</v>
      </c>
      <c r="BE1056" s="552">
        <f t="shared" si="1288"/>
        <v>0</v>
      </c>
      <c r="BF1056" s="552">
        <f t="shared" si="1288"/>
        <v>0</v>
      </c>
      <c r="BG1056" s="552">
        <f t="shared" si="1288"/>
        <v>0</v>
      </c>
      <c r="BH1056" s="552">
        <f t="shared" si="1288"/>
        <v>0</v>
      </c>
      <c r="BI1056" s="552">
        <f t="shared" si="1288"/>
        <v>0</v>
      </c>
      <c r="BJ1056" s="552">
        <f t="shared" si="1288"/>
        <v>0</v>
      </c>
      <c r="BK1056" s="552">
        <f t="shared" si="1288"/>
        <v>0</v>
      </c>
      <c r="BL1056" s="552">
        <f t="shared" si="1288"/>
        <v>0</v>
      </c>
      <c r="BM1056" s="552">
        <f t="shared" si="1288"/>
        <v>0</v>
      </c>
      <c r="BN1056" s="552">
        <f t="shared" si="1288"/>
        <v>0</v>
      </c>
      <c r="BO1056" s="552">
        <f t="shared" si="1288"/>
        <v>0</v>
      </c>
      <c r="BP1056" s="552">
        <f t="shared" si="1288"/>
        <v>0</v>
      </c>
      <c r="BQ1056" s="552">
        <f t="shared" si="1288"/>
        <v>0</v>
      </c>
      <c r="BR1056" s="552">
        <f t="shared" si="1288"/>
        <v>0</v>
      </c>
      <c r="BS1056" s="552">
        <f t="shared" si="1288"/>
        <v>0</v>
      </c>
      <c r="BT1056" s="552">
        <f t="shared" si="1288"/>
        <v>0</v>
      </c>
      <c r="BU1056" s="552">
        <f t="shared" si="1288"/>
        <v>0</v>
      </c>
      <c r="BV1056" s="552">
        <f t="shared" ref="BV1056:DA1056" si="1289">BV92*BV$338</f>
        <v>0</v>
      </c>
      <c r="BW1056" s="552">
        <f t="shared" si="1289"/>
        <v>0</v>
      </c>
      <c r="BX1056" s="552">
        <f t="shared" si="1289"/>
        <v>0</v>
      </c>
      <c r="BY1056" s="552">
        <f t="shared" si="1289"/>
        <v>0</v>
      </c>
      <c r="BZ1056" s="552">
        <f t="shared" si="1289"/>
        <v>0</v>
      </c>
      <c r="CA1056" s="552">
        <f t="shared" si="1289"/>
        <v>0</v>
      </c>
      <c r="CB1056" s="552">
        <f t="shared" si="1289"/>
        <v>0</v>
      </c>
      <c r="CC1056" s="552">
        <f t="shared" si="1289"/>
        <v>0</v>
      </c>
      <c r="CD1056" s="552">
        <f t="shared" si="1289"/>
        <v>0</v>
      </c>
      <c r="CE1056" s="552">
        <f t="shared" si="1289"/>
        <v>0</v>
      </c>
      <c r="CF1056" s="552">
        <f t="shared" si="1289"/>
        <v>0</v>
      </c>
      <c r="CG1056" s="552">
        <f t="shared" si="1289"/>
        <v>0</v>
      </c>
      <c r="CH1056" s="552">
        <f t="shared" si="1289"/>
        <v>0</v>
      </c>
      <c r="CI1056" s="552">
        <f t="shared" si="1289"/>
        <v>0</v>
      </c>
      <c r="CJ1056" s="552">
        <f t="shared" si="1289"/>
        <v>0</v>
      </c>
      <c r="CK1056" s="552">
        <f t="shared" si="1289"/>
        <v>0</v>
      </c>
      <c r="CL1056" s="552">
        <f t="shared" si="1289"/>
        <v>0</v>
      </c>
      <c r="CM1056" s="552">
        <f t="shared" si="1289"/>
        <v>0</v>
      </c>
      <c r="CN1056" s="552">
        <f t="shared" si="1289"/>
        <v>0</v>
      </c>
      <c r="CO1056" s="552">
        <f t="shared" si="1289"/>
        <v>0</v>
      </c>
      <c r="CP1056" s="552">
        <f t="shared" si="1289"/>
        <v>0</v>
      </c>
      <c r="CQ1056" s="552">
        <f t="shared" si="1289"/>
        <v>0</v>
      </c>
      <c r="CR1056" s="552">
        <f t="shared" si="1289"/>
        <v>0</v>
      </c>
      <c r="CS1056" s="552">
        <f t="shared" si="1289"/>
        <v>0</v>
      </c>
      <c r="CT1056" s="552">
        <f t="shared" si="1289"/>
        <v>0</v>
      </c>
      <c r="CU1056" s="552">
        <f t="shared" si="1289"/>
        <v>0</v>
      </c>
      <c r="CV1056" s="552">
        <f t="shared" si="1289"/>
        <v>0</v>
      </c>
      <c r="CW1056" s="552">
        <f t="shared" si="1289"/>
        <v>0</v>
      </c>
      <c r="CX1056" s="552">
        <f t="shared" si="1289"/>
        <v>0</v>
      </c>
      <c r="CY1056" s="552">
        <f t="shared" si="1289"/>
        <v>0</v>
      </c>
      <c r="CZ1056" s="552">
        <f t="shared" si="1289"/>
        <v>0</v>
      </c>
      <c r="DA1056" s="552">
        <f t="shared" si="1289"/>
        <v>0</v>
      </c>
      <c r="DB1056" s="552">
        <f t="shared" ref="DB1056:EG1056" si="1290">DB92*DB$338</f>
        <v>0</v>
      </c>
      <c r="DC1056" s="552">
        <f t="shared" si="1290"/>
        <v>0</v>
      </c>
      <c r="DD1056" s="552">
        <f t="shared" si="1290"/>
        <v>0</v>
      </c>
      <c r="DE1056" s="552">
        <f t="shared" si="1290"/>
        <v>0</v>
      </c>
      <c r="DF1056" s="552">
        <f t="shared" si="1290"/>
        <v>0</v>
      </c>
      <c r="DG1056" s="552">
        <f t="shared" si="1290"/>
        <v>0</v>
      </c>
      <c r="DH1056" s="552">
        <f t="shared" si="1290"/>
        <v>0</v>
      </c>
      <c r="DI1056" s="552">
        <f t="shared" si="1290"/>
        <v>0</v>
      </c>
      <c r="DJ1056" s="552">
        <f t="shared" si="1290"/>
        <v>0</v>
      </c>
      <c r="DK1056" s="552">
        <f t="shared" si="1290"/>
        <v>0</v>
      </c>
      <c r="DL1056" s="552">
        <f t="shared" si="1290"/>
        <v>0</v>
      </c>
      <c r="DM1056" s="552">
        <f t="shared" si="1290"/>
        <v>0</v>
      </c>
      <c r="DN1056" s="552">
        <f t="shared" si="1290"/>
        <v>0</v>
      </c>
      <c r="DO1056" s="552">
        <f t="shared" si="1290"/>
        <v>0</v>
      </c>
      <c r="DP1056" s="552">
        <f t="shared" si="1290"/>
        <v>0</v>
      </c>
      <c r="DQ1056" s="552">
        <f t="shared" si="1290"/>
        <v>0</v>
      </c>
      <c r="DR1056" s="552">
        <f t="shared" si="1290"/>
        <v>0</v>
      </c>
      <c r="DS1056" s="552">
        <f t="shared" si="1290"/>
        <v>0</v>
      </c>
      <c r="DT1056" s="552">
        <f t="shared" si="1290"/>
        <v>0</v>
      </c>
      <c r="DU1056" s="552">
        <f t="shared" si="1290"/>
        <v>0</v>
      </c>
      <c r="DV1056" s="552">
        <f t="shared" si="1290"/>
        <v>0</v>
      </c>
      <c r="DW1056" s="552">
        <f t="shared" si="1290"/>
        <v>0</v>
      </c>
      <c r="DX1056" s="552">
        <f t="shared" si="1290"/>
        <v>0</v>
      </c>
      <c r="DY1056" s="552">
        <f t="shared" si="1290"/>
        <v>0</v>
      </c>
      <c r="DZ1056" s="552">
        <f t="shared" si="1290"/>
        <v>0</v>
      </c>
      <c r="EA1056" s="552">
        <f t="shared" si="1290"/>
        <v>0</v>
      </c>
      <c r="EB1056" s="552">
        <f t="shared" si="1290"/>
        <v>0</v>
      </c>
      <c r="EC1056" s="552">
        <f t="shared" si="1290"/>
        <v>0</v>
      </c>
      <c r="ED1056" s="552">
        <f t="shared" si="1290"/>
        <v>0</v>
      </c>
      <c r="EE1056" s="552">
        <f t="shared" si="1290"/>
        <v>0</v>
      </c>
      <c r="EF1056" s="552">
        <f t="shared" si="1290"/>
        <v>0</v>
      </c>
      <c r="EG1056" s="552">
        <f t="shared" si="1290"/>
        <v>0</v>
      </c>
      <c r="EH1056" s="552">
        <f t="shared" ref="EH1056:EX1056" si="1291">EH92*EH$338</f>
        <v>0</v>
      </c>
      <c r="EI1056" s="552">
        <f t="shared" si="1291"/>
        <v>0</v>
      </c>
      <c r="EJ1056" s="552">
        <f t="shared" si="1291"/>
        <v>0</v>
      </c>
      <c r="EK1056" s="552">
        <f t="shared" si="1291"/>
        <v>0</v>
      </c>
      <c r="EL1056" s="552">
        <f t="shared" si="1291"/>
        <v>0</v>
      </c>
      <c r="EM1056" s="552">
        <f t="shared" si="1291"/>
        <v>0</v>
      </c>
      <c r="EN1056" s="552">
        <f t="shared" si="1291"/>
        <v>0</v>
      </c>
      <c r="EO1056" s="552">
        <f t="shared" si="1291"/>
        <v>0</v>
      </c>
      <c r="EP1056" s="552">
        <f t="shared" si="1291"/>
        <v>0</v>
      </c>
      <c r="EQ1056" s="552">
        <f t="shared" si="1291"/>
        <v>0</v>
      </c>
      <c r="ER1056" s="552">
        <f t="shared" si="1291"/>
        <v>0</v>
      </c>
      <c r="ES1056" s="552">
        <f t="shared" si="1291"/>
        <v>0</v>
      </c>
      <c r="ET1056" s="552">
        <f t="shared" si="1291"/>
        <v>0</v>
      </c>
      <c r="EU1056" s="552">
        <f t="shared" si="1291"/>
        <v>0</v>
      </c>
      <c r="EV1056" s="552">
        <f t="shared" si="1291"/>
        <v>1.3</v>
      </c>
      <c r="EW1056" s="552">
        <f t="shared" si="1291"/>
        <v>0</v>
      </c>
      <c r="EX1056" s="552">
        <f t="shared" si="1291"/>
        <v>0</v>
      </c>
      <c r="EY1056" s="799">
        <f t="shared" si="1265"/>
        <v>1.3</v>
      </c>
      <c r="EZ1056" s="640"/>
      <c r="FA1056" s="640"/>
      <c r="FB1056" s="640"/>
      <c r="FC1056" s="640"/>
      <c r="FD1056" s="640"/>
      <c r="FE1056" s="640"/>
      <c r="FF1056" s="640"/>
      <c r="FG1056" s="640"/>
      <c r="FH1056" s="640"/>
      <c r="FI1056" s="640"/>
      <c r="FJ1056" s="640"/>
      <c r="FK1056" s="640"/>
      <c r="FL1056" s="640"/>
    </row>
    <row r="1057" spans="1:168" x14ac:dyDescent="0.25">
      <c r="A1057" s="1492"/>
      <c r="B1057" s="624" t="str">
        <f t="shared" si="1258"/>
        <v>Хлеб пшенично-ржаной нарезной</v>
      </c>
      <c r="C1057" s="624">
        <f t="shared" si="1258"/>
        <v>30</v>
      </c>
      <c r="D1057" s="624">
        <f t="shared" si="1258"/>
        <v>2.25</v>
      </c>
      <c r="E1057" s="1158">
        <f t="shared" si="1266"/>
        <v>1.95</v>
      </c>
      <c r="F1057" s="1158"/>
      <c r="G1057" s="1140"/>
      <c r="H1057" s="1140"/>
      <c r="I1057" s="552"/>
      <c r="J1057" s="552">
        <f t="shared" ref="J1057:AO1057" si="1292">J93*J$338</f>
        <v>0</v>
      </c>
      <c r="K1057" s="552">
        <f t="shared" si="1292"/>
        <v>0</v>
      </c>
      <c r="L1057" s="552">
        <f t="shared" si="1292"/>
        <v>0</v>
      </c>
      <c r="M1057" s="552">
        <f t="shared" si="1292"/>
        <v>0</v>
      </c>
      <c r="N1057" s="552">
        <f t="shared" si="1292"/>
        <v>0</v>
      </c>
      <c r="O1057" s="552">
        <f t="shared" si="1292"/>
        <v>0</v>
      </c>
      <c r="P1057" s="552">
        <f t="shared" si="1292"/>
        <v>0</v>
      </c>
      <c r="Q1057" s="552">
        <f t="shared" si="1292"/>
        <v>0</v>
      </c>
      <c r="R1057" s="552">
        <f t="shared" si="1292"/>
        <v>0</v>
      </c>
      <c r="S1057" s="552">
        <f t="shared" si="1292"/>
        <v>0</v>
      </c>
      <c r="T1057" s="552">
        <f t="shared" si="1292"/>
        <v>0</v>
      </c>
      <c r="U1057" s="552">
        <f t="shared" si="1292"/>
        <v>0</v>
      </c>
      <c r="V1057" s="552">
        <f t="shared" si="1292"/>
        <v>0</v>
      </c>
      <c r="W1057" s="552">
        <f t="shared" si="1292"/>
        <v>0</v>
      </c>
      <c r="X1057" s="552">
        <f t="shared" si="1292"/>
        <v>0</v>
      </c>
      <c r="Y1057" s="552">
        <f t="shared" si="1292"/>
        <v>0</v>
      </c>
      <c r="Z1057" s="552">
        <f t="shared" si="1292"/>
        <v>0</v>
      </c>
      <c r="AA1057" s="552">
        <f t="shared" si="1292"/>
        <v>0</v>
      </c>
      <c r="AB1057" s="552">
        <f t="shared" si="1292"/>
        <v>0</v>
      </c>
      <c r="AC1057" s="552">
        <f t="shared" si="1292"/>
        <v>0</v>
      </c>
      <c r="AD1057" s="552">
        <f t="shared" si="1292"/>
        <v>0</v>
      </c>
      <c r="AE1057" s="552">
        <f t="shared" si="1292"/>
        <v>0</v>
      </c>
      <c r="AF1057" s="552">
        <f t="shared" si="1292"/>
        <v>0</v>
      </c>
      <c r="AG1057" s="552">
        <f t="shared" si="1292"/>
        <v>0</v>
      </c>
      <c r="AH1057" s="552">
        <f t="shared" si="1292"/>
        <v>0</v>
      </c>
      <c r="AI1057" s="552">
        <f t="shared" si="1292"/>
        <v>0</v>
      </c>
      <c r="AJ1057" s="552">
        <f t="shared" si="1292"/>
        <v>0</v>
      </c>
      <c r="AK1057" s="552">
        <f t="shared" si="1292"/>
        <v>0</v>
      </c>
      <c r="AL1057" s="552">
        <f t="shared" si="1292"/>
        <v>0</v>
      </c>
      <c r="AM1057" s="552">
        <f t="shared" si="1292"/>
        <v>0</v>
      </c>
      <c r="AN1057" s="552">
        <f t="shared" si="1292"/>
        <v>0</v>
      </c>
      <c r="AO1057" s="552">
        <f t="shared" si="1292"/>
        <v>0</v>
      </c>
      <c r="AP1057" s="552">
        <f t="shared" ref="AP1057:BU1057" si="1293">AP93*AP$338</f>
        <v>0</v>
      </c>
      <c r="AQ1057" s="552">
        <f t="shared" si="1293"/>
        <v>0</v>
      </c>
      <c r="AR1057" s="552">
        <f t="shared" si="1293"/>
        <v>0</v>
      </c>
      <c r="AS1057" s="552">
        <f t="shared" si="1293"/>
        <v>0</v>
      </c>
      <c r="AT1057" s="552">
        <f t="shared" si="1293"/>
        <v>0</v>
      </c>
      <c r="AU1057" s="552">
        <f t="shared" si="1293"/>
        <v>0</v>
      </c>
      <c r="AV1057" s="552">
        <f t="shared" si="1293"/>
        <v>0</v>
      </c>
      <c r="AW1057" s="552">
        <f t="shared" si="1293"/>
        <v>0</v>
      </c>
      <c r="AX1057" s="552">
        <f t="shared" si="1293"/>
        <v>0</v>
      </c>
      <c r="AY1057" s="552">
        <f t="shared" si="1293"/>
        <v>0</v>
      </c>
      <c r="AZ1057" s="552">
        <f t="shared" si="1293"/>
        <v>0</v>
      </c>
      <c r="BA1057" s="552">
        <f t="shared" si="1293"/>
        <v>0</v>
      </c>
      <c r="BB1057" s="552">
        <f t="shared" si="1293"/>
        <v>0</v>
      </c>
      <c r="BC1057" s="552">
        <f t="shared" si="1293"/>
        <v>0</v>
      </c>
      <c r="BD1057" s="552">
        <f t="shared" si="1293"/>
        <v>0</v>
      </c>
      <c r="BE1057" s="552">
        <f t="shared" si="1293"/>
        <v>0</v>
      </c>
      <c r="BF1057" s="552">
        <f t="shared" si="1293"/>
        <v>0</v>
      </c>
      <c r="BG1057" s="552">
        <f t="shared" si="1293"/>
        <v>0</v>
      </c>
      <c r="BH1057" s="552">
        <f t="shared" si="1293"/>
        <v>0</v>
      </c>
      <c r="BI1057" s="552">
        <f t="shared" si="1293"/>
        <v>0</v>
      </c>
      <c r="BJ1057" s="552">
        <f t="shared" si="1293"/>
        <v>0</v>
      </c>
      <c r="BK1057" s="552">
        <f t="shared" si="1293"/>
        <v>0</v>
      </c>
      <c r="BL1057" s="552">
        <f t="shared" si="1293"/>
        <v>0</v>
      </c>
      <c r="BM1057" s="552">
        <f t="shared" si="1293"/>
        <v>0</v>
      </c>
      <c r="BN1057" s="552">
        <f t="shared" si="1293"/>
        <v>0</v>
      </c>
      <c r="BO1057" s="552">
        <f t="shared" si="1293"/>
        <v>0</v>
      </c>
      <c r="BP1057" s="552">
        <f t="shared" si="1293"/>
        <v>0</v>
      </c>
      <c r="BQ1057" s="552">
        <f t="shared" si="1293"/>
        <v>0</v>
      </c>
      <c r="BR1057" s="552">
        <f t="shared" si="1293"/>
        <v>0</v>
      </c>
      <c r="BS1057" s="552">
        <f t="shared" si="1293"/>
        <v>0</v>
      </c>
      <c r="BT1057" s="552">
        <f t="shared" si="1293"/>
        <v>0</v>
      </c>
      <c r="BU1057" s="552">
        <f t="shared" si="1293"/>
        <v>0</v>
      </c>
      <c r="BV1057" s="552">
        <f t="shared" ref="BV1057:DA1057" si="1294">BV93*BV$338</f>
        <v>0</v>
      </c>
      <c r="BW1057" s="552">
        <f t="shared" si="1294"/>
        <v>0</v>
      </c>
      <c r="BX1057" s="552">
        <f t="shared" si="1294"/>
        <v>0</v>
      </c>
      <c r="BY1057" s="552">
        <f t="shared" si="1294"/>
        <v>0</v>
      </c>
      <c r="BZ1057" s="552">
        <f t="shared" si="1294"/>
        <v>0</v>
      </c>
      <c r="CA1057" s="552">
        <f t="shared" si="1294"/>
        <v>0</v>
      </c>
      <c r="CB1057" s="552">
        <f t="shared" si="1294"/>
        <v>0</v>
      </c>
      <c r="CC1057" s="552">
        <f t="shared" si="1294"/>
        <v>0</v>
      </c>
      <c r="CD1057" s="552">
        <f t="shared" si="1294"/>
        <v>0</v>
      </c>
      <c r="CE1057" s="552">
        <f t="shared" si="1294"/>
        <v>0</v>
      </c>
      <c r="CF1057" s="552">
        <f t="shared" si="1294"/>
        <v>0</v>
      </c>
      <c r="CG1057" s="552">
        <f t="shared" si="1294"/>
        <v>0</v>
      </c>
      <c r="CH1057" s="552">
        <f t="shared" si="1294"/>
        <v>0</v>
      </c>
      <c r="CI1057" s="552">
        <f t="shared" si="1294"/>
        <v>0</v>
      </c>
      <c r="CJ1057" s="552">
        <f t="shared" si="1294"/>
        <v>0</v>
      </c>
      <c r="CK1057" s="552">
        <f t="shared" si="1294"/>
        <v>0</v>
      </c>
      <c r="CL1057" s="552">
        <f t="shared" si="1294"/>
        <v>0</v>
      </c>
      <c r="CM1057" s="552">
        <f t="shared" si="1294"/>
        <v>0</v>
      </c>
      <c r="CN1057" s="552">
        <f t="shared" si="1294"/>
        <v>0</v>
      </c>
      <c r="CO1057" s="552">
        <f t="shared" si="1294"/>
        <v>0</v>
      </c>
      <c r="CP1057" s="552">
        <f t="shared" si="1294"/>
        <v>0</v>
      </c>
      <c r="CQ1057" s="552">
        <f t="shared" si="1294"/>
        <v>0</v>
      </c>
      <c r="CR1057" s="552">
        <f t="shared" si="1294"/>
        <v>0</v>
      </c>
      <c r="CS1057" s="552">
        <f t="shared" si="1294"/>
        <v>0</v>
      </c>
      <c r="CT1057" s="552">
        <f t="shared" si="1294"/>
        <v>0</v>
      </c>
      <c r="CU1057" s="552">
        <f t="shared" si="1294"/>
        <v>0</v>
      </c>
      <c r="CV1057" s="552">
        <f t="shared" si="1294"/>
        <v>0</v>
      </c>
      <c r="CW1057" s="552">
        <f t="shared" si="1294"/>
        <v>0</v>
      </c>
      <c r="CX1057" s="552">
        <f t="shared" si="1294"/>
        <v>0</v>
      </c>
      <c r="CY1057" s="552">
        <f t="shared" si="1294"/>
        <v>0</v>
      </c>
      <c r="CZ1057" s="552">
        <f t="shared" si="1294"/>
        <v>0</v>
      </c>
      <c r="DA1057" s="552">
        <f t="shared" si="1294"/>
        <v>0</v>
      </c>
      <c r="DB1057" s="552">
        <f t="shared" ref="DB1057:EG1057" si="1295">DB93*DB$338</f>
        <v>0</v>
      </c>
      <c r="DC1057" s="552">
        <f t="shared" si="1295"/>
        <v>0</v>
      </c>
      <c r="DD1057" s="552">
        <f t="shared" si="1295"/>
        <v>0</v>
      </c>
      <c r="DE1057" s="552">
        <f t="shared" si="1295"/>
        <v>0</v>
      </c>
      <c r="DF1057" s="552">
        <f t="shared" si="1295"/>
        <v>0</v>
      </c>
      <c r="DG1057" s="552">
        <f t="shared" si="1295"/>
        <v>0</v>
      </c>
      <c r="DH1057" s="552">
        <f t="shared" si="1295"/>
        <v>0</v>
      </c>
      <c r="DI1057" s="552">
        <f t="shared" si="1295"/>
        <v>0</v>
      </c>
      <c r="DJ1057" s="552">
        <f t="shared" si="1295"/>
        <v>0</v>
      </c>
      <c r="DK1057" s="552">
        <f t="shared" si="1295"/>
        <v>0</v>
      </c>
      <c r="DL1057" s="552">
        <f t="shared" si="1295"/>
        <v>0</v>
      </c>
      <c r="DM1057" s="552">
        <f t="shared" si="1295"/>
        <v>0</v>
      </c>
      <c r="DN1057" s="552">
        <f t="shared" si="1295"/>
        <v>0</v>
      </c>
      <c r="DO1057" s="552">
        <f t="shared" si="1295"/>
        <v>0</v>
      </c>
      <c r="DP1057" s="552">
        <f t="shared" si="1295"/>
        <v>0</v>
      </c>
      <c r="DQ1057" s="552">
        <f t="shared" si="1295"/>
        <v>0</v>
      </c>
      <c r="DR1057" s="552">
        <f t="shared" si="1295"/>
        <v>0</v>
      </c>
      <c r="DS1057" s="552">
        <f t="shared" si="1295"/>
        <v>0</v>
      </c>
      <c r="DT1057" s="552">
        <f t="shared" si="1295"/>
        <v>0</v>
      </c>
      <c r="DU1057" s="552">
        <f t="shared" si="1295"/>
        <v>0</v>
      </c>
      <c r="DV1057" s="552">
        <f t="shared" si="1295"/>
        <v>0</v>
      </c>
      <c r="DW1057" s="552">
        <f t="shared" si="1295"/>
        <v>0</v>
      </c>
      <c r="DX1057" s="552">
        <f t="shared" si="1295"/>
        <v>0</v>
      </c>
      <c r="DY1057" s="552">
        <f t="shared" si="1295"/>
        <v>0</v>
      </c>
      <c r="DZ1057" s="552">
        <f t="shared" si="1295"/>
        <v>0</v>
      </c>
      <c r="EA1057" s="552">
        <f t="shared" si="1295"/>
        <v>0</v>
      </c>
      <c r="EB1057" s="552">
        <f t="shared" si="1295"/>
        <v>0</v>
      </c>
      <c r="EC1057" s="552">
        <f t="shared" si="1295"/>
        <v>0</v>
      </c>
      <c r="ED1057" s="552">
        <f t="shared" si="1295"/>
        <v>0</v>
      </c>
      <c r="EE1057" s="552">
        <f t="shared" si="1295"/>
        <v>0</v>
      </c>
      <c r="EF1057" s="552">
        <f t="shared" si="1295"/>
        <v>0</v>
      </c>
      <c r="EG1057" s="552">
        <f t="shared" si="1295"/>
        <v>0</v>
      </c>
      <c r="EH1057" s="552">
        <f t="shared" ref="EH1057:EX1057" si="1296">EH93*EH$338</f>
        <v>0</v>
      </c>
      <c r="EI1057" s="552">
        <f t="shared" si="1296"/>
        <v>0</v>
      </c>
      <c r="EJ1057" s="552">
        <f t="shared" si="1296"/>
        <v>0</v>
      </c>
      <c r="EK1057" s="552">
        <f t="shared" si="1296"/>
        <v>0</v>
      </c>
      <c r="EL1057" s="552">
        <f t="shared" si="1296"/>
        <v>0</v>
      </c>
      <c r="EM1057" s="552">
        <f t="shared" si="1296"/>
        <v>0</v>
      </c>
      <c r="EN1057" s="552">
        <f t="shared" si="1296"/>
        <v>0</v>
      </c>
      <c r="EO1057" s="552">
        <f t="shared" si="1296"/>
        <v>0</v>
      </c>
      <c r="EP1057" s="552">
        <f t="shared" si="1296"/>
        <v>0</v>
      </c>
      <c r="EQ1057" s="552">
        <f t="shared" si="1296"/>
        <v>0</v>
      </c>
      <c r="ER1057" s="552">
        <f t="shared" si="1296"/>
        <v>0</v>
      </c>
      <c r="ES1057" s="552">
        <f t="shared" si="1296"/>
        <v>0</v>
      </c>
      <c r="ET1057" s="552">
        <f t="shared" si="1296"/>
        <v>0</v>
      </c>
      <c r="EU1057" s="552">
        <f t="shared" si="1296"/>
        <v>0</v>
      </c>
      <c r="EV1057" s="552">
        <f t="shared" si="1296"/>
        <v>0</v>
      </c>
      <c r="EW1057" s="552">
        <f t="shared" si="1296"/>
        <v>1.95</v>
      </c>
      <c r="EX1057" s="552">
        <f t="shared" si="1296"/>
        <v>0</v>
      </c>
      <c r="EY1057" s="799">
        <f t="shared" si="1265"/>
        <v>1.95</v>
      </c>
      <c r="EZ1057" s="640"/>
      <c r="FA1057" s="640"/>
      <c r="FB1057" s="640"/>
      <c r="FC1057" s="640"/>
      <c r="FD1057" s="640"/>
      <c r="FE1057" s="640"/>
      <c r="FF1057" s="640"/>
      <c r="FG1057" s="640"/>
      <c r="FH1057" s="640"/>
      <c r="FI1057" s="640"/>
      <c r="FJ1057" s="640"/>
      <c r="FK1057" s="640"/>
      <c r="FL1057" s="640"/>
    </row>
    <row r="1058" spans="1:168" x14ac:dyDescent="0.25">
      <c r="A1058" s="1492"/>
      <c r="B1058" s="624">
        <f t="shared" si="1258"/>
        <v>0</v>
      </c>
      <c r="C1058" s="624">
        <f t="shared" si="1258"/>
        <v>0</v>
      </c>
      <c r="D1058" s="624">
        <f t="shared" si="1258"/>
        <v>0</v>
      </c>
      <c r="E1058" s="1158">
        <f t="shared" si="1266"/>
        <v>0</v>
      </c>
      <c r="F1058" s="1158"/>
      <c r="G1058" s="1140"/>
      <c r="H1058" s="1140"/>
      <c r="I1058" s="552"/>
      <c r="J1058" s="552">
        <f t="shared" ref="J1058:AO1058" si="1297">J94*J$338</f>
        <v>0</v>
      </c>
      <c r="K1058" s="552">
        <f t="shared" si="1297"/>
        <v>0</v>
      </c>
      <c r="L1058" s="552">
        <f t="shared" si="1297"/>
        <v>0</v>
      </c>
      <c r="M1058" s="552">
        <f t="shared" si="1297"/>
        <v>0</v>
      </c>
      <c r="N1058" s="552">
        <f t="shared" si="1297"/>
        <v>0</v>
      </c>
      <c r="O1058" s="552">
        <f t="shared" si="1297"/>
        <v>0</v>
      </c>
      <c r="P1058" s="552">
        <f t="shared" si="1297"/>
        <v>0</v>
      </c>
      <c r="Q1058" s="552">
        <f t="shared" si="1297"/>
        <v>0</v>
      </c>
      <c r="R1058" s="552">
        <f t="shared" si="1297"/>
        <v>0</v>
      </c>
      <c r="S1058" s="552">
        <f t="shared" si="1297"/>
        <v>0</v>
      </c>
      <c r="T1058" s="552">
        <f t="shared" si="1297"/>
        <v>0</v>
      </c>
      <c r="U1058" s="552">
        <f t="shared" si="1297"/>
        <v>0</v>
      </c>
      <c r="V1058" s="552">
        <f t="shared" si="1297"/>
        <v>0</v>
      </c>
      <c r="W1058" s="552">
        <f t="shared" si="1297"/>
        <v>0</v>
      </c>
      <c r="X1058" s="552">
        <f t="shared" si="1297"/>
        <v>0</v>
      </c>
      <c r="Y1058" s="552">
        <f t="shared" si="1297"/>
        <v>0</v>
      </c>
      <c r="Z1058" s="552">
        <f t="shared" si="1297"/>
        <v>0</v>
      </c>
      <c r="AA1058" s="552">
        <f t="shared" si="1297"/>
        <v>0</v>
      </c>
      <c r="AB1058" s="552">
        <f t="shared" si="1297"/>
        <v>0</v>
      </c>
      <c r="AC1058" s="552">
        <f t="shared" si="1297"/>
        <v>0</v>
      </c>
      <c r="AD1058" s="552">
        <f t="shared" si="1297"/>
        <v>0</v>
      </c>
      <c r="AE1058" s="552">
        <f t="shared" si="1297"/>
        <v>0</v>
      </c>
      <c r="AF1058" s="552">
        <f t="shared" si="1297"/>
        <v>0</v>
      </c>
      <c r="AG1058" s="552">
        <f t="shared" si="1297"/>
        <v>0</v>
      </c>
      <c r="AH1058" s="552">
        <f t="shared" si="1297"/>
        <v>0</v>
      </c>
      <c r="AI1058" s="552">
        <f t="shared" si="1297"/>
        <v>0</v>
      </c>
      <c r="AJ1058" s="552">
        <f t="shared" si="1297"/>
        <v>0</v>
      </c>
      <c r="AK1058" s="552">
        <f t="shared" si="1297"/>
        <v>0</v>
      </c>
      <c r="AL1058" s="552">
        <f t="shared" si="1297"/>
        <v>0</v>
      </c>
      <c r="AM1058" s="552">
        <f t="shared" si="1297"/>
        <v>0</v>
      </c>
      <c r="AN1058" s="552">
        <f t="shared" si="1297"/>
        <v>0</v>
      </c>
      <c r="AO1058" s="552">
        <f t="shared" si="1297"/>
        <v>0</v>
      </c>
      <c r="AP1058" s="552">
        <f t="shared" ref="AP1058:BU1058" si="1298">AP94*AP$338</f>
        <v>0</v>
      </c>
      <c r="AQ1058" s="552">
        <f t="shared" si="1298"/>
        <v>0</v>
      </c>
      <c r="AR1058" s="552">
        <f t="shared" si="1298"/>
        <v>0</v>
      </c>
      <c r="AS1058" s="552">
        <f t="shared" si="1298"/>
        <v>0</v>
      </c>
      <c r="AT1058" s="552">
        <f t="shared" si="1298"/>
        <v>0</v>
      </c>
      <c r="AU1058" s="552">
        <f t="shared" si="1298"/>
        <v>0</v>
      </c>
      <c r="AV1058" s="552">
        <f t="shared" si="1298"/>
        <v>0</v>
      </c>
      <c r="AW1058" s="552">
        <f t="shared" si="1298"/>
        <v>0</v>
      </c>
      <c r="AX1058" s="552">
        <f t="shared" si="1298"/>
        <v>0</v>
      </c>
      <c r="AY1058" s="552">
        <f t="shared" si="1298"/>
        <v>0</v>
      </c>
      <c r="AZ1058" s="552">
        <f t="shared" si="1298"/>
        <v>0</v>
      </c>
      <c r="BA1058" s="552">
        <f t="shared" si="1298"/>
        <v>0</v>
      </c>
      <c r="BB1058" s="552">
        <f t="shared" si="1298"/>
        <v>0</v>
      </c>
      <c r="BC1058" s="552">
        <f t="shared" si="1298"/>
        <v>0</v>
      </c>
      <c r="BD1058" s="552">
        <f t="shared" si="1298"/>
        <v>0</v>
      </c>
      <c r="BE1058" s="552">
        <f t="shared" si="1298"/>
        <v>0</v>
      </c>
      <c r="BF1058" s="552">
        <f t="shared" si="1298"/>
        <v>0</v>
      </c>
      <c r="BG1058" s="552">
        <f t="shared" si="1298"/>
        <v>0</v>
      </c>
      <c r="BH1058" s="552">
        <f t="shared" si="1298"/>
        <v>0</v>
      </c>
      <c r="BI1058" s="552">
        <f t="shared" si="1298"/>
        <v>0</v>
      </c>
      <c r="BJ1058" s="552">
        <f t="shared" si="1298"/>
        <v>0</v>
      </c>
      <c r="BK1058" s="552">
        <f t="shared" si="1298"/>
        <v>0</v>
      </c>
      <c r="BL1058" s="552">
        <f t="shared" si="1298"/>
        <v>0</v>
      </c>
      <c r="BM1058" s="552">
        <f t="shared" si="1298"/>
        <v>0</v>
      </c>
      <c r="BN1058" s="552">
        <f t="shared" si="1298"/>
        <v>0</v>
      </c>
      <c r="BO1058" s="552">
        <f t="shared" si="1298"/>
        <v>0</v>
      </c>
      <c r="BP1058" s="552">
        <f t="shared" si="1298"/>
        <v>0</v>
      </c>
      <c r="BQ1058" s="552">
        <f t="shared" si="1298"/>
        <v>0</v>
      </c>
      <c r="BR1058" s="552">
        <f t="shared" si="1298"/>
        <v>0</v>
      </c>
      <c r="BS1058" s="552">
        <f t="shared" si="1298"/>
        <v>0</v>
      </c>
      <c r="BT1058" s="552">
        <f t="shared" si="1298"/>
        <v>0</v>
      </c>
      <c r="BU1058" s="552">
        <f t="shared" si="1298"/>
        <v>0</v>
      </c>
      <c r="BV1058" s="552">
        <f t="shared" ref="BV1058:DA1058" si="1299">BV94*BV$338</f>
        <v>0</v>
      </c>
      <c r="BW1058" s="552">
        <f t="shared" si="1299"/>
        <v>0</v>
      </c>
      <c r="BX1058" s="552">
        <f t="shared" si="1299"/>
        <v>0</v>
      </c>
      <c r="BY1058" s="552">
        <f t="shared" si="1299"/>
        <v>0</v>
      </c>
      <c r="BZ1058" s="552">
        <f t="shared" si="1299"/>
        <v>0</v>
      </c>
      <c r="CA1058" s="552">
        <f t="shared" si="1299"/>
        <v>0</v>
      </c>
      <c r="CB1058" s="552">
        <f t="shared" si="1299"/>
        <v>0</v>
      </c>
      <c r="CC1058" s="552">
        <f t="shared" si="1299"/>
        <v>0</v>
      </c>
      <c r="CD1058" s="552">
        <f t="shared" si="1299"/>
        <v>0</v>
      </c>
      <c r="CE1058" s="552">
        <f t="shared" si="1299"/>
        <v>0</v>
      </c>
      <c r="CF1058" s="552">
        <f t="shared" si="1299"/>
        <v>0</v>
      </c>
      <c r="CG1058" s="552">
        <f t="shared" si="1299"/>
        <v>0</v>
      </c>
      <c r="CH1058" s="552">
        <f t="shared" si="1299"/>
        <v>0</v>
      </c>
      <c r="CI1058" s="552">
        <f t="shared" si="1299"/>
        <v>0</v>
      </c>
      <c r="CJ1058" s="552">
        <f t="shared" si="1299"/>
        <v>0</v>
      </c>
      <c r="CK1058" s="552">
        <f t="shared" si="1299"/>
        <v>0</v>
      </c>
      <c r="CL1058" s="552">
        <f t="shared" si="1299"/>
        <v>0</v>
      </c>
      <c r="CM1058" s="552">
        <f t="shared" si="1299"/>
        <v>0</v>
      </c>
      <c r="CN1058" s="552">
        <f t="shared" si="1299"/>
        <v>0</v>
      </c>
      <c r="CO1058" s="552">
        <f t="shared" si="1299"/>
        <v>0</v>
      </c>
      <c r="CP1058" s="552">
        <f t="shared" si="1299"/>
        <v>0</v>
      </c>
      <c r="CQ1058" s="552">
        <f t="shared" si="1299"/>
        <v>0</v>
      </c>
      <c r="CR1058" s="552">
        <f t="shared" si="1299"/>
        <v>0</v>
      </c>
      <c r="CS1058" s="552">
        <f t="shared" si="1299"/>
        <v>0</v>
      </c>
      <c r="CT1058" s="552">
        <f t="shared" si="1299"/>
        <v>0</v>
      </c>
      <c r="CU1058" s="552">
        <f t="shared" si="1299"/>
        <v>0</v>
      </c>
      <c r="CV1058" s="552">
        <f t="shared" si="1299"/>
        <v>0</v>
      </c>
      <c r="CW1058" s="552">
        <f t="shared" si="1299"/>
        <v>0</v>
      </c>
      <c r="CX1058" s="552">
        <f t="shared" si="1299"/>
        <v>0</v>
      </c>
      <c r="CY1058" s="552">
        <f t="shared" si="1299"/>
        <v>0</v>
      </c>
      <c r="CZ1058" s="552">
        <f t="shared" si="1299"/>
        <v>0</v>
      </c>
      <c r="DA1058" s="552">
        <f t="shared" si="1299"/>
        <v>0</v>
      </c>
      <c r="DB1058" s="552">
        <f t="shared" ref="DB1058:EG1058" si="1300">DB94*DB$338</f>
        <v>0</v>
      </c>
      <c r="DC1058" s="552">
        <f t="shared" si="1300"/>
        <v>0</v>
      </c>
      <c r="DD1058" s="552">
        <f t="shared" si="1300"/>
        <v>0</v>
      </c>
      <c r="DE1058" s="552">
        <f t="shared" si="1300"/>
        <v>0</v>
      </c>
      <c r="DF1058" s="552">
        <f t="shared" si="1300"/>
        <v>0</v>
      </c>
      <c r="DG1058" s="552">
        <f t="shared" si="1300"/>
        <v>0</v>
      </c>
      <c r="DH1058" s="552">
        <f t="shared" si="1300"/>
        <v>0</v>
      </c>
      <c r="DI1058" s="552">
        <f t="shared" si="1300"/>
        <v>0</v>
      </c>
      <c r="DJ1058" s="552">
        <f t="shared" si="1300"/>
        <v>0</v>
      </c>
      <c r="DK1058" s="552">
        <f t="shared" si="1300"/>
        <v>0</v>
      </c>
      <c r="DL1058" s="552">
        <f t="shared" si="1300"/>
        <v>0</v>
      </c>
      <c r="DM1058" s="552">
        <f t="shared" si="1300"/>
        <v>0</v>
      </c>
      <c r="DN1058" s="552">
        <f t="shared" si="1300"/>
        <v>0</v>
      </c>
      <c r="DO1058" s="552">
        <f t="shared" si="1300"/>
        <v>0</v>
      </c>
      <c r="DP1058" s="552">
        <f t="shared" si="1300"/>
        <v>0</v>
      </c>
      <c r="DQ1058" s="552">
        <f t="shared" si="1300"/>
        <v>0</v>
      </c>
      <c r="DR1058" s="552">
        <f t="shared" si="1300"/>
        <v>0</v>
      </c>
      <c r="DS1058" s="552">
        <f t="shared" si="1300"/>
        <v>0</v>
      </c>
      <c r="DT1058" s="552">
        <f t="shared" si="1300"/>
        <v>0</v>
      </c>
      <c r="DU1058" s="552">
        <f t="shared" si="1300"/>
        <v>0</v>
      </c>
      <c r="DV1058" s="552">
        <f t="shared" si="1300"/>
        <v>0</v>
      </c>
      <c r="DW1058" s="552">
        <f t="shared" si="1300"/>
        <v>0</v>
      </c>
      <c r="DX1058" s="552">
        <f t="shared" si="1300"/>
        <v>0</v>
      </c>
      <c r="DY1058" s="552">
        <f t="shared" si="1300"/>
        <v>0</v>
      </c>
      <c r="DZ1058" s="552">
        <f t="shared" si="1300"/>
        <v>0</v>
      </c>
      <c r="EA1058" s="552">
        <f t="shared" si="1300"/>
        <v>0</v>
      </c>
      <c r="EB1058" s="552">
        <f t="shared" si="1300"/>
        <v>0</v>
      </c>
      <c r="EC1058" s="552">
        <f t="shared" si="1300"/>
        <v>0</v>
      </c>
      <c r="ED1058" s="552">
        <f t="shared" si="1300"/>
        <v>0</v>
      </c>
      <c r="EE1058" s="552">
        <f t="shared" si="1300"/>
        <v>0</v>
      </c>
      <c r="EF1058" s="552">
        <f t="shared" si="1300"/>
        <v>0</v>
      </c>
      <c r="EG1058" s="552">
        <f t="shared" si="1300"/>
        <v>0</v>
      </c>
      <c r="EH1058" s="552">
        <f t="shared" ref="EH1058:EX1058" si="1301">EH94*EH$338</f>
        <v>0</v>
      </c>
      <c r="EI1058" s="552">
        <f t="shared" si="1301"/>
        <v>0</v>
      </c>
      <c r="EJ1058" s="552">
        <f t="shared" si="1301"/>
        <v>0</v>
      </c>
      <c r="EK1058" s="552">
        <f t="shared" si="1301"/>
        <v>0</v>
      </c>
      <c r="EL1058" s="552">
        <f t="shared" si="1301"/>
        <v>0</v>
      </c>
      <c r="EM1058" s="552">
        <f t="shared" si="1301"/>
        <v>0</v>
      </c>
      <c r="EN1058" s="552">
        <f t="shared" si="1301"/>
        <v>0</v>
      </c>
      <c r="EO1058" s="552">
        <f t="shared" si="1301"/>
        <v>0</v>
      </c>
      <c r="EP1058" s="552">
        <f t="shared" si="1301"/>
        <v>0</v>
      </c>
      <c r="EQ1058" s="552">
        <f t="shared" si="1301"/>
        <v>0</v>
      </c>
      <c r="ER1058" s="552">
        <f t="shared" si="1301"/>
        <v>0</v>
      </c>
      <c r="ES1058" s="552">
        <f t="shared" si="1301"/>
        <v>0</v>
      </c>
      <c r="ET1058" s="552">
        <f t="shared" si="1301"/>
        <v>0</v>
      </c>
      <c r="EU1058" s="552">
        <f t="shared" si="1301"/>
        <v>0</v>
      </c>
      <c r="EV1058" s="552">
        <f t="shared" si="1301"/>
        <v>0</v>
      </c>
      <c r="EW1058" s="552">
        <f t="shared" si="1301"/>
        <v>0</v>
      </c>
      <c r="EX1058" s="552">
        <f t="shared" si="1301"/>
        <v>0</v>
      </c>
      <c r="EY1058" s="799">
        <f t="shared" si="1265"/>
        <v>0</v>
      </c>
      <c r="EZ1058" s="640"/>
      <c r="FA1058" s="640"/>
      <c r="FB1058" s="640"/>
      <c r="FC1058" s="640"/>
      <c r="FD1058" s="640"/>
      <c r="FE1058" s="640"/>
      <c r="FF1058" s="640"/>
      <c r="FG1058" s="640"/>
      <c r="FH1058" s="640"/>
      <c r="FI1058" s="640"/>
      <c r="FJ1058" s="640"/>
      <c r="FK1058" s="640"/>
      <c r="FL1058" s="640"/>
    </row>
    <row r="1059" spans="1:168" x14ac:dyDescent="0.25">
      <c r="A1059" s="1493"/>
      <c r="B1059" s="624">
        <f t="shared" si="1258"/>
        <v>0</v>
      </c>
      <c r="C1059" s="624">
        <f t="shared" si="1258"/>
        <v>0</v>
      </c>
      <c r="D1059" s="624">
        <f t="shared" si="1258"/>
        <v>0</v>
      </c>
      <c r="E1059" s="1158">
        <f t="shared" si="1266"/>
        <v>0</v>
      </c>
      <c r="F1059" s="1158"/>
      <c r="G1059" s="1140"/>
      <c r="H1059" s="1140"/>
      <c r="I1059" s="552"/>
      <c r="J1059" s="552">
        <f>J95*J$338</f>
        <v>0</v>
      </c>
      <c r="K1059" s="552">
        <f t="shared" ref="K1059:BV1059" si="1302">K95*K$338</f>
        <v>0</v>
      </c>
      <c r="L1059" s="552">
        <f t="shared" si="1302"/>
        <v>0</v>
      </c>
      <c r="M1059" s="552">
        <f t="shared" si="1302"/>
        <v>0</v>
      </c>
      <c r="N1059" s="552">
        <f t="shared" si="1302"/>
        <v>0</v>
      </c>
      <c r="O1059" s="552">
        <f t="shared" si="1302"/>
        <v>0</v>
      </c>
      <c r="P1059" s="552">
        <f t="shared" si="1302"/>
        <v>0</v>
      </c>
      <c r="Q1059" s="552">
        <f t="shared" si="1302"/>
        <v>0</v>
      </c>
      <c r="R1059" s="552">
        <f t="shared" si="1302"/>
        <v>0</v>
      </c>
      <c r="S1059" s="552">
        <f t="shared" si="1302"/>
        <v>0</v>
      </c>
      <c r="T1059" s="552">
        <f t="shared" si="1302"/>
        <v>0</v>
      </c>
      <c r="U1059" s="552">
        <f t="shared" si="1302"/>
        <v>0</v>
      </c>
      <c r="V1059" s="552">
        <f t="shared" si="1302"/>
        <v>0</v>
      </c>
      <c r="W1059" s="552">
        <f t="shared" si="1302"/>
        <v>0</v>
      </c>
      <c r="X1059" s="552">
        <f t="shared" si="1302"/>
        <v>0</v>
      </c>
      <c r="Y1059" s="552">
        <f t="shared" si="1302"/>
        <v>0</v>
      </c>
      <c r="Z1059" s="552">
        <f t="shared" si="1302"/>
        <v>0</v>
      </c>
      <c r="AA1059" s="552">
        <f t="shared" si="1302"/>
        <v>0</v>
      </c>
      <c r="AB1059" s="552">
        <f t="shared" si="1302"/>
        <v>0</v>
      </c>
      <c r="AC1059" s="552">
        <f t="shared" si="1302"/>
        <v>0</v>
      </c>
      <c r="AD1059" s="552">
        <f t="shared" si="1302"/>
        <v>0</v>
      </c>
      <c r="AE1059" s="552">
        <f t="shared" si="1302"/>
        <v>0</v>
      </c>
      <c r="AF1059" s="552">
        <f t="shared" si="1302"/>
        <v>0</v>
      </c>
      <c r="AG1059" s="552">
        <f t="shared" si="1302"/>
        <v>0</v>
      </c>
      <c r="AH1059" s="552">
        <f t="shared" si="1302"/>
        <v>0</v>
      </c>
      <c r="AI1059" s="552">
        <f t="shared" si="1302"/>
        <v>0</v>
      </c>
      <c r="AJ1059" s="552">
        <f t="shared" si="1302"/>
        <v>0</v>
      </c>
      <c r="AK1059" s="552">
        <f t="shared" si="1302"/>
        <v>0</v>
      </c>
      <c r="AL1059" s="552">
        <f t="shared" si="1302"/>
        <v>0</v>
      </c>
      <c r="AM1059" s="552">
        <f t="shared" si="1302"/>
        <v>0</v>
      </c>
      <c r="AN1059" s="552">
        <f t="shared" si="1302"/>
        <v>0</v>
      </c>
      <c r="AO1059" s="552">
        <f t="shared" si="1302"/>
        <v>0</v>
      </c>
      <c r="AP1059" s="552">
        <f t="shared" si="1302"/>
        <v>0</v>
      </c>
      <c r="AQ1059" s="552">
        <f t="shared" si="1302"/>
        <v>0</v>
      </c>
      <c r="AR1059" s="552">
        <f t="shared" si="1302"/>
        <v>0</v>
      </c>
      <c r="AS1059" s="552">
        <f t="shared" si="1302"/>
        <v>0</v>
      </c>
      <c r="AT1059" s="552">
        <f t="shared" si="1302"/>
        <v>0</v>
      </c>
      <c r="AU1059" s="552">
        <f t="shared" si="1302"/>
        <v>0</v>
      </c>
      <c r="AV1059" s="552">
        <f t="shared" si="1302"/>
        <v>0</v>
      </c>
      <c r="AW1059" s="552">
        <f t="shared" si="1302"/>
        <v>0</v>
      </c>
      <c r="AX1059" s="552">
        <f t="shared" si="1302"/>
        <v>0</v>
      </c>
      <c r="AY1059" s="552">
        <f t="shared" si="1302"/>
        <v>0</v>
      </c>
      <c r="AZ1059" s="552">
        <f t="shared" si="1302"/>
        <v>0</v>
      </c>
      <c r="BA1059" s="552">
        <f t="shared" si="1302"/>
        <v>0</v>
      </c>
      <c r="BB1059" s="552">
        <f t="shared" si="1302"/>
        <v>0</v>
      </c>
      <c r="BC1059" s="552">
        <f t="shared" si="1302"/>
        <v>0</v>
      </c>
      <c r="BD1059" s="552">
        <f t="shared" si="1302"/>
        <v>0</v>
      </c>
      <c r="BE1059" s="552">
        <f t="shared" si="1302"/>
        <v>0</v>
      </c>
      <c r="BF1059" s="552">
        <f t="shared" si="1302"/>
        <v>0</v>
      </c>
      <c r="BG1059" s="552">
        <f t="shared" si="1302"/>
        <v>0</v>
      </c>
      <c r="BH1059" s="552">
        <f t="shared" si="1302"/>
        <v>0</v>
      </c>
      <c r="BI1059" s="552">
        <f t="shared" si="1302"/>
        <v>0</v>
      </c>
      <c r="BJ1059" s="552">
        <f t="shared" si="1302"/>
        <v>0</v>
      </c>
      <c r="BK1059" s="552">
        <f t="shared" si="1302"/>
        <v>0</v>
      </c>
      <c r="BL1059" s="552">
        <f t="shared" si="1302"/>
        <v>0</v>
      </c>
      <c r="BM1059" s="552">
        <f t="shared" si="1302"/>
        <v>0</v>
      </c>
      <c r="BN1059" s="552">
        <f t="shared" si="1302"/>
        <v>0</v>
      </c>
      <c r="BO1059" s="552">
        <f t="shared" si="1302"/>
        <v>0</v>
      </c>
      <c r="BP1059" s="552">
        <f t="shared" si="1302"/>
        <v>0</v>
      </c>
      <c r="BQ1059" s="552">
        <f t="shared" si="1302"/>
        <v>0</v>
      </c>
      <c r="BR1059" s="552">
        <f t="shared" si="1302"/>
        <v>0</v>
      </c>
      <c r="BS1059" s="552">
        <f t="shared" si="1302"/>
        <v>0</v>
      </c>
      <c r="BT1059" s="552">
        <f t="shared" si="1302"/>
        <v>0</v>
      </c>
      <c r="BU1059" s="552">
        <f t="shared" si="1302"/>
        <v>0</v>
      </c>
      <c r="BV1059" s="552">
        <f t="shared" si="1302"/>
        <v>0</v>
      </c>
      <c r="BW1059" s="552">
        <f t="shared" ref="BW1059:DB1059" si="1303">BW95*BW$338</f>
        <v>0</v>
      </c>
      <c r="BX1059" s="552">
        <f t="shared" si="1303"/>
        <v>0</v>
      </c>
      <c r="BY1059" s="552">
        <f t="shared" si="1303"/>
        <v>0</v>
      </c>
      <c r="BZ1059" s="552">
        <f t="shared" si="1303"/>
        <v>0</v>
      </c>
      <c r="CA1059" s="552">
        <f t="shared" si="1303"/>
        <v>0</v>
      </c>
      <c r="CB1059" s="552">
        <f t="shared" si="1303"/>
        <v>0</v>
      </c>
      <c r="CC1059" s="552">
        <f t="shared" si="1303"/>
        <v>0</v>
      </c>
      <c r="CD1059" s="552">
        <f t="shared" si="1303"/>
        <v>0</v>
      </c>
      <c r="CE1059" s="552">
        <f t="shared" si="1303"/>
        <v>0</v>
      </c>
      <c r="CF1059" s="552">
        <f t="shared" si="1303"/>
        <v>0</v>
      </c>
      <c r="CG1059" s="552">
        <f t="shared" si="1303"/>
        <v>0</v>
      </c>
      <c r="CH1059" s="552">
        <f t="shared" si="1303"/>
        <v>0</v>
      </c>
      <c r="CI1059" s="552">
        <f t="shared" si="1303"/>
        <v>0</v>
      </c>
      <c r="CJ1059" s="552">
        <f t="shared" si="1303"/>
        <v>0</v>
      </c>
      <c r="CK1059" s="552">
        <f t="shared" si="1303"/>
        <v>0</v>
      </c>
      <c r="CL1059" s="552">
        <f t="shared" si="1303"/>
        <v>0</v>
      </c>
      <c r="CM1059" s="552">
        <f t="shared" si="1303"/>
        <v>0</v>
      </c>
      <c r="CN1059" s="552">
        <f t="shared" si="1303"/>
        <v>0</v>
      </c>
      <c r="CO1059" s="552">
        <f t="shared" si="1303"/>
        <v>0</v>
      </c>
      <c r="CP1059" s="552">
        <f t="shared" si="1303"/>
        <v>0</v>
      </c>
      <c r="CQ1059" s="552">
        <f t="shared" si="1303"/>
        <v>0</v>
      </c>
      <c r="CR1059" s="552">
        <f t="shared" si="1303"/>
        <v>0</v>
      </c>
      <c r="CS1059" s="552">
        <f t="shared" si="1303"/>
        <v>0</v>
      </c>
      <c r="CT1059" s="552">
        <f t="shared" si="1303"/>
        <v>0</v>
      </c>
      <c r="CU1059" s="552">
        <f t="shared" si="1303"/>
        <v>0</v>
      </c>
      <c r="CV1059" s="552">
        <f t="shared" si="1303"/>
        <v>0</v>
      </c>
      <c r="CW1059" s="552">
        <f t="shared" si="1303"/>
        <v>0</v>
      </c>
      <c r="CX1059" s="552">
        <f t="shared" si="1303"/>
        <v>0</v>
      </c>
      <c r="CY1059" s="552">
        <f t="shared" si="1303"/>
        <v>0</v>
      </c>
      <c r="CZ1059" s="552">
        <f t="shared" si="1303"/>
        <v>0</v>
      </c>
      <c r="DA1059" s="552">
        <f t="shared" si="1303"/>
        <v>0</v>
      </c>
      <c r="DB1059" s="552">
        <f t="shared" si="1303"/>
        <v>0</v>
      </c>
      <c r="DC1059" s="552">
        <f t="shared" ref="DC1059:EH1059" si="1304">DC95*DC$338</f>
        <v>0</v>
      </c>
      <c r="DD1059" s="552">
        <f t="shared" si="1304"/>
        <v>0</v>
      </c>
      <c r="DE1059" s="552">
        <f t="shared" si="1304"/>
        <v>0</v>
      </c>
      <c r="DF1059" s="552">
        <f t="shared" si="1304"/>
        <v>0</v>
      </c>
      <c r="DG1059" s="552">
        <f t="shared" si="1304"/>
        <v>0</v>
      </c>
      <c r="DH1059" s="552">
        <f t="shared" si="1304"/>
        <v>0</v>
      </c>
      <c r="DI1059" s="552">
        <f t="shared" si="1304"/>
        <v>0</v>
      </c>
      <c r="DJ1059" s="552">
        <f t="shared" si="1304"/>
        <v>0</v>
      </c>
      <c r="DK1059" s="552">
        <f t="shared" si="1304"/>
        <v>0</v>
      </c>
      <c r="DL1059" s="552">
        <f t="shared" si="1304"/>
        <v>0</v>
      </c>
      <c r="DM1059" s="552">
        <f t="shared" si="1304"/>
        <v>0</v>
      </c>
      <c r="DN1059" s="552">
        <f t="shared" si="1304"/>
        <v>0</v>
      </c>
      <c r="DO1059" s="552">
        <f t="shared" si="1304"/>
        <v>0</v>
      </c>
      <c r="DP1059" s="552">
        <f t="shared" si="1304"/>
        <v>0</v>
      </c>
      <c r="DQ1059" s="552">
        <f t="shared" si="1304"/>
        <v>0</v>
      </c>
      <c r="DR1059" s="552">
        <f t="shared" si="1304"/>
        <v>0</v>
      </c>
      <c r="DS1059" s="552">
        <f t="shared" si="1304"/>
        <v>0</v>
      </c>
      <c r="DT1059" s="552">
        <f t="shared" si="1304"/>
        <v>0</v>
      </c>
      <c r="DU1059" s="552">
        <f t="shared" si="1304"/>
        <v>0</v>
      </c>
      <c r="DV1059" s="552">
        <f t="shared" si="1304"/>
        <v>0</v>
      </c>
      <c r="DW1059" s="552">
        <f t="shared" si="1304"/>
        <v>0</v>
      </c>
      <c r="DX1059" s="552">
        <f t="shared" si="1304"/>
        <v>0</v>
      </c>
      <c r="DY1059" s="552">
        <f t="shared" si="1304"/>
        <v>0</v>
      </c>
      <c r="DZ1059" s="552">
        <f t="shared" si="1304"/>
        <v>0</v>
      </c>
      <c r="EA1059" s="552">
        <f t="shared" si="1304"/>
        <v>0</v>
      </c>
      <c r="EB1059" s="552">
        <f t="shared" si="1304"/>
        <v>0</v>
      </c>
      <c r="EC1059" s="552">
        <f t="shared" si="1304"/>
        <v>0</v>
      </c>
      <c r="ED1059" s="552">
        <f t="shared" si="1304"/>
        <v>0</v>
      </c>
      <c r="EE1059" s="552">
        <f t="shared" si="1304"/>
        <v>0</v>
      </c>
      <c r="EF1059" s="552">
        <f t="shared" si="1304"/>
        <v>0</v>
      </c>
      <c r="EG1059" s="552">
        <f t="shared" si="1304"/>
        <v>0</v>
      </c>
      <c r="EH1059" s="552">
        <f t="shared" si="1304"/>
        <v>0</v>
      </c>
      <c r="EI1059" s="552">
        <f t="shared" ref="EI1059:EX1059" si="1305">EI95*EI$338</f>
        <v>0</v>
      </c>
      <c r="EJ1059" s="552">
        <f t="shared" si="1305"/>
        <v>0</v>
      </c>
      <c r="EK1059" s="552">
        <f t="shared" si="1305"/>
        <v>0</v>
      </c>
      <c r="EL1059" s="552">
        <f t="shared" si="1305"/>
        <v>0</v>
      </c>
      <c r="EM1059" s="552">
        <f t="shared" si="1305"/>
        <v>0</v>
      </c>
      <c r="EN1059" s="552">
        <f t="shared" si="1305"/>
        <v>0</v>
      </c>
      <c r="EO1059" s="552">
        <f t="shared" si="1305"/>
        <v>0</v>
      </c>
      <c r="EP1059" s="552">
        <f t="shared" si="1305"/>
        <v>0</v>
      </c>
      <c r="EQ1059" s="552">
        <f t="shared" si="1305"/>
        <v>0</v>
      </c>
      <c r="ER1059" s="552">
        <f t="shared" si="1305"/>
        <v>0</v>
      </c>
      <c r="ES1059" s="552">
        <f t="shared" si="1305"/>
        <v>0</v>
      </c>
      <c r="ET1059" s="552">
        <f t="shared" si="1305"/>
        <v>0</v>
      </c>
      <c r="EU1059" s="552">
        <f t="shared" si="1305"/>
        <v>0</v>
      </c>
      <c r="EV1059" s="552">
        <f t="shared" si="1305"/>
        <v>0</v>
      </c>
      <c r="EW1059" s="552">
        <f t="shared" si="1305"/>
        <v>0</v>
      </c>
      <c r="EX1059" s="552">
        <f t="shared" si="1305"/>
        <v>0</v>
      </c>
      <c r="EY1059" s="799">
        <f t="shared" si="1265"/>
        <v>0</v>
      </c>
      <c r="EZ1059" s="640"/>
      <c r="FA1059" s="640"/>
      <c r="FB1059" s="640"/>
      <c r="FC1059" s="640"/>
      <c r="FD1059" s="640"/>
      <c r="FE1059" s="640"/>
      <c r="FF1059" s="640"/>
      <c r="FG1059" s="640"/>
      <c r="FH1059" s="640"/>
      <c r="FI1059" s="640"/>
      <c r="FJ1059" s="640"/>
      <c r="FK1059" s="640"/>
      <c r="FL1059" s="640"/>
    </row>
    <row r="1060" spans="1:168" x14ac:dyDescent="0.25">
      <c r="A1060" s="254"/>
      <c r="B1060" s="625" t="s">
        <v>113</v>
      </c>
      <c r="C1060" s="1135"/>
      <c r="D1060" s="1138">
        <f>SUM(D1051:D1059)</f>
        <v>22.92</v>
      </c>
      <c r="E1060" s="1138">
        <f t="shared" ref="E1060:J1060" si="1306">SUM(E1051:E1059)</f>
        <v>109.01</v>
      </c>
      <c r="F1060" s="1138"/>
      <c r="G1060" s="1138">
        <f t="shared" si="1306"/>
        <v>0</v>
      </c>
      <c r="H1060" s="1138">
        <f t="shared" si="1306"/>
        <v>0</v>
      </c>
      <c r="I1060" s="554"/>
      <c r="J1060" s="1138">
        <f t="shared" si="1306"/>
        <v>58.24</v>
      </c>
      <c r="K1060" s="1138">
        <f t="shared" ref="K1060" si="1307">SUM(K1051:K1059)</f>
        <v>0</v>
      </c>
      <c r="L1060" s="1138">
        <f t="shared" ref="L1060" si="1308">SUM(L1051:L1059)</f>
        <v>0</v>
      </c>
      <c r="M1060" s="1138">
        <f t="shared" ref="M1060" si="1309">SUM(M1051:M1059)</f>
        <v>0</v>
      </c>
      <c r="N1060" s="1138">
        <f t="shared" ref="N1060" si="1310">SUM(N1051:N1059)</f>
        <v>0</v>
      </c>
      <c r="O1060" s="1138">
        <f t="shared" ref="O1060" si="1311">SUM(O1051:O1059)</f>
        <v>0</v>
      </c>
      <c r="P1060" s="1138">
        <f t="shared" ref="P1060" si="1312">SUM(P1051:P1059)</f>
        <v>0</v>
      </c>
      <c r="Q1060" s="1138">
        <f t="shared" ref="Q1060" si="1313">SUM(Q1051:Q1059)</f>
        <v>0</v>
      </c>
      <c r="R1060" s="1138">
        <f t="shared" ref="R1060" si="1314">SUM(R1051:R1059)</f>
        <v>0</v>
      </c>
      <c r="S1060" s="1138">
        <f t="shared" ref="S1060" si="1315">SUM(S1051:S1059)</f>
        <v>0</v>
      </c>
      <c r="T1060" s="1138">
        <f t="shared" ref="T1060" si="1316">SUM(T1051:T1059)</f>
        <v>0</v>
      </c>
      <c r="U1060" s="1138">
        <f t="shared" ref="U1060" si="1317">SUM(U1051:U1059)</f>
        <v>0</v>
      </c>
      <c r="V1060" s="1138">
        <f t="shared" ref="V1060" si="1318">SUM(V1051:V1059)</f>
        <v>3.73</v>
      </c>
      <c r="W1060" s="1138">
        <f t="shared" ref="W1060" si="1319">SUM(W1051:W1059)</f>
        <v>0</v>
      </c>
      <c r="X1060" s="1138">
        <f t="shared" ref="X1060" si="1320">SUM(X1051:X1059)</f>
        <v>0</v>
      </c>
      <c r="Y1060" s="1138">
        <f t="shared" ref="Y1060" si="1321">SUM(Y1051:Y1059)</f>
        <v>4.0999999999999996</v>
      </c>
      <c r="Z1060" s="1138">
        <f t="shared" ref="Z1060" si="1322">SUM(Z1051:Z1059)</f>
        <v>0</v>
      </c>
      <c r="AA1060" s="1138">
        <f t="shared" ref="AA1060" si="1323">SUM(AA1051:AA1059)</f>
        <v>0</v>
      </c>
      <c r="AB1060" s="1138">
        <f t="shared" ref="AB1060" si="1324">SUM(AB1051:AB1059)</f>
        <v>0</v>
      </c>
      <c r="AC1060" s="1138">
        <f t="shared" ref="AC1060" si="1325">SUM(AC1051:AC1059)</f>
        <v>0</v>
      </c>
      <c r="AD1060" s="1138">
        <f t="shared" ref="AD1060" si="1326">SUM(AD1051:AD1059)</f>
        <v>0</v>
      </c>
      <c r="AE1060" s="1138">
        <f t="shared" ref="AE1060" si="1327">SUM(AE1051:AE1059)</f>
        <v>0</v>
      </c>
      <c r="AF1060" s="1138">
        <f t="shared" ref="AF1060" si="1328">SUM(AF1051:AF1059)</f>
        <v>0</v>
      </c>
      <c r="AG1060" s="1138">
        <f t="shared" ref="AG1060" si="1329">SUM(AG1051:AG1059)</f>
        <v>0</v>
      </c>
      <c r="AH1060" s="1138">
        <f t="shared" ref="AH1060" si="1330">SUM(AH1051:AH1059)</f>
        <v>11.66</v>
      </c>
      <c r="AI1060" s="1138">
        <f t="shared" ref="AI1060" si="1331">SUM(AI1051:AI1059)</f>
        <v>0</v>
      </c>
      <c r="AJ1060" s="1138">
        <f t="shared" ref="AJ1060" si="1332">SUM(AJ1051:AJ1059)</f>
        <v>0</v>
      </c>
      <c r="AK1060" s="1138">
        <f t="shared" ref="AK1060" si="1333">SUM(AK1051:AK1059)</f>
        <v>2.7</v>
      </c>
      <c r="AL1060" s="1138">
        <f t="shared" ref="AL1060" si="1334">SUM(AL1051:AL1059)</f>
        <v>0</v>
      </c>
      <c r="AM1060" s="1138">
        <f t="shared" ref="AM1060" si="1335">SUM(AM1051:AM1059)</f>
        <v>0.2</v>
      </c>
      <c r="AN1060" s="1138">
        <f t="shared" ref="AN1060" si="1336">SUM(AN1051:AN1059)</f>
        <v>3.76</v>
      </c>
      <c r="AO1060" s="1138">
        <f t="shared" ref="AO1060" si="1337">SUM(AO1051:AO1059)</f>
        <v>1.9</v>
      </c>
      <c r="AP1060" s="1138">
        <f t="shared" ref="AP1060" si="1338">SUM(AP1051:AP1059)</f>
        <v>0</v>
      </c>
      <c r="AQ1060" s="1138">
        <f t="shared" ref="AQ1060" si="1339">SUM(AQ1051:AQ1059)</f>
        <v>0.63</v>
      </c>
      <c r="AR1060" s="1138">
        <f t="shared" ref="AR1060" si="1340">SUM(AR1051:AR1059)</f>
        <v>0</v>
      </c>
      <c r="AS1060" s="1138">
        <f t="shared" ref="AS1060" si="1341">SUM(AS1051:AS1059)</f>
        <v>0</v>
      </c>
      <c r="AT1060" s="1138">
        <f t="shared" ref="AT1060" si="1342">SUM(AT1051:AT1059)</f>
        <v>0.98</v>
      </c>
      <c r="AU1060" s="1138">
        <f t="shared" ref="AU1060" si="1343">SUM(AU1051:AU1059)</f>
        <v>1.8</v>
      </c>
      <c r="AV1060" s="1138">
        <f t="shared" ref="AV1060" si="1344">SUM(AV1051:AV1059)</f>
        <v>0</v>
      </c>
      <c r="AW1060" s="1138">
        <f t="shared" ref="AW1060" si="1345">SUM(AW1051:AW1059)</f>
        <v>0</v>
      </c>
      <c r="AX1060" s="1138">
        <f t="shared" ref="AX1060" si="1346">SUM(AX1051:AX1059)</f>
        <v>1.5</v>
      </c>
      <c r="AY1060" s="1138">
        <f t="shared" ref="AY1060" si="1347">SUM(AY1051:AY1059)</f>
        <v>0</v>
      </c>
      <c r="AZ1060" s="1138">
        <f t="shared" ref="AZ1060" si="1348">SUM(AZ1051:AZ1059)</f>
        <v>0</v>
      </c>
      <c r="BA1060" s="1138">
        <f t="shared" ref="BA1060" si="1349">SUM(BA1051:BA1059)</f>
        <v>0</v>
      </c>
      <c r="BB1060" s="1138">
        <f t="shared" ref="BB1060" si="1350">SUM(BB1051:BB1059)</f>
        <v>0</v>
      </c>
      <c r="BC1060" s="1138">
        <f t="shared" ref="BC1060" si="1351">SUM(BC1051:BC1059)</f>
        <v>0</v>
      </c>
      <c r="BD1060" s="1138">
        <f t="shared" ref="BD1060" si="1352">SUM(BD1051:BD1059)</f>
        <v>0</v>
      </c>
      <c r="BE1060" s="1138">
        <f t="shared" ref="BE1060" si="1353">SUM(BE1051:BE1059)</f>
        <v>0</v>
      </c>
      <c r="BF1060" s="1138">
        <f t="shared" ref="BF1060" si="1354">SUM(BF1051:BF1059)</f>
        <v>0</v>
      </c>
      <c r="BG1060" s="1138">
        <f t="shared" ref="BG1060" si="1355">SUM(BG1051:BG1059)</f>
        <v>0</v>
      </c>
      <c r="BH1060" s="1138">
        <f t="shared" ref="BH1060" si="1356">SUM(BH1051:BH1059)</f>
        <v>0</v>
      </c>
      <c r="BI1060" s="1138">
        <f t="shared" ref="BI1060" si="1357">SUM(BI1051:BI1059)</f>
        <v>0</v>
      </c>
      <c r="BJ1060" s="1138">
        <f t="shared" ref="BJ1060" si="1358">SUM(BJ1051:BJ1059)</f>
        <v>0</v>
      </c>
      <c r="BK1060" s="1138">
        <f t="shared" ref="BK1060" si="1359">SUM(BK1051:BK1059)</f>
        <v>0</v>
      </c>
      <c r="BL1060" s="1138">
        <f t="shared" ref="BL1060" si="1360">SUM(BL1051:BL1059)</f>
        <v>0</v>
      </c>
      <c r="BM1060" s="1138">
        <f t="shared" ref="BM1060" si="1361">SUM(BM1051:BM1059)</f>
        <v>0</v>
      </c>
      <c r="BN1060" s="1138">
        <f t="shared" ref="BN1060" si="1362">SUM(BN1051:BN1059)</f>
        <v>0</v>
      </c>
      <c r="BO1060" s="1138">
        <f t="shared" ref="BO1060" si="1363">SUM(BO1051:BO1059)</f>
        <v>0</v>
      </c>
      <c r="BP1060" s="1138">
        <f t="shared" ref="BP1060" si="1364">SUM(BP1051:BP1059)</f>
        <v>0</v>
      </c>
      <c r="BQ1060" s="1138">
        <f t="shared" ref="BQ1060" si="1365">SUM(BQ1051:BQ1059)</f>
        <v>0</v>
      </c>
      <c r="BR1060" s="1138">
        <f t="shared" ref="BR1060" si="1366">SUM(BR1051:BR1059)</f>
        <v>4.13</v>
      </c>
      <c r="BS1060" s="1138">
        <f t="shared" ref="BS1060" si="1367">SUM(BS1051:BS1059)</f>
        <v>0.51</v>
      </c>
      <c r="BT1060" s="1138">
        <f t="shared" ref="BT1060" si="1368">SUM(BT1051:BT1059)</f>
        <v>0</v>
      </c>
      <c r="BU1060" s="1138">
        <f t="shared" ref="BU1060" si="1369">SUM(BU1051:BU1059)</f>
        <v>0</v>
      </c>
      <c r="BV1060" s="1138">
        <f t="shared" ref="BV1060" si="1370">SUM(BV1051:BV1059)</f>
        <v>0</v>
      </c>
      <c r="BW1060" s="1138">
        <f t="shared" ref="BW1060" si="1371">SUM(BW1051:BW1059)</f>
        <v>0</v>
      </c>
      <c r="BX1060" s="1138">
        <f t="shared" ref="BX1060" si="1372">SUM(BX1051:BX1059)</f>
        <v>0</v>
      </c>
      <c r="BY1060" s="1138">
        <f t="shared" ref="BY1060" si="1373">SUM(BY1051:BY1059)</f>
        <v>0</v>
      </c>
      <c r="BZ1060" s="1138">
        <f t="shared" ref="BZ1060" si="1374">SUM(BZ1051:BZ1059)</f>
        <v>0</v>
      </c>
      <c r="CA1060" s="1138">
        <f t="shared" ref="CA1060" si="1375">SUM(CA1051:CA1059)</f>
        <v>0</v>
      </c>
      <c r="CB1060" s="1138">
        <f t="shared" ref="CB1060" si="1376">SUM(CB1051:CB1059)</f>
        <v>0.98</v>
      </c>
      <c r="CC1060" s="1138">
        <f t="shared" ref="CC1060" si="1377">SUM(CC1051:CC1059)</f>
        <v>0</v>
      </c>
      <c r="CD1060" s="1138">
        <f t="shared" ref="CD1060" si="1378">SUM(CD1051:CD1059)</f>
        <v>0</v>
      </c>
      <c r="CE1060" s="1138">
        <f t="shared" ref="CE1060" si="1379">SUM(CE1051:CE1059)</f>
        <v>0</v>
      </c>
      <c r="CF1060" s="1138">
        <f t="shared" ref="CF1060" si="1380">SUM(CF1051:CF1059)</f>
        <v>2.04</v>
      </c>
      <c r="CG1060" s="1138">
        <f t="shared" ref="CG1060" si="1381">SUM(CG1051:CG1059)</f>
        <v>0</v>
      </c>
      <c r="CH1060" s="1138">
        <f t="shared" ref="CH1060" si="1382">SUM(CH1051:CH1059)</f>
        <v>0</v>
      </c>
      <c r="CI1060" s="1138">
        <f t="shared" ref="CI1060" si="1383">SUM(CI1051:CI1059)</f>
        <v>0</v>
      </c>
      <c r="CJ1060" s="1138">
        <f t="shared" ref="CJ1060" si="1384">SUM(CJ1051:CJ1059)</f>
        <v>0</v>
      </c>
      <c r="CK1060" s="1138">
        <f t="shared" ref="CK1060" si="1385">SUM(CK1051:CK1059)</f>
        <v>0</v>
      </c>
      <c r="CL1060" s="1138">
        <f t="shared" ref="CL1060" si="1386">SUM(CL1051:CL1059)</f>
        <v>0</v>
      </c>
      <c r="CM1060" s="1138">
        <f t="shared" ref="CM1060" si="1387">SUM(CM1051:CM1059)</f>
        <v>0</v>
      </c>
      <c r="CN1060" s="1138">
        <f t="shared" ref="CN1060" si="1388">SUM(CN1051:CN1059)</f>
        <v>0</v>
      </c>
      <c r="CO1060" s="1138">
        <f t="shared" ref="CO1060" si="1389">SUM(CO1051:CO1059)</f>
        <v>0</v>
      </c>
      <c r="CP1060" s="1138">
        <f t="shared" ref="CP1060" si="1390">SUM(CP1051:CP1059)</f>
        <v>0</v>
      </c>
      <c r="CQ1060" s="1138">
        <f t="shared" ref="CQ1060" si="1391">SUM(CQ1051:CQ1059)</f>
        <v>0.06</v>
      </c>
      <c r="CR1060" s="1138">
        <f t="shared" ref="CR1060" si="1392">SUM(CR1051:CR1059)</f>
        <v>0</v>
      </c>
      <c r="CS1060" s="1138">
        <f t="shared" ref="CS1060" si="1393">SUM(CS1051:CS1059)</f>
        <v>0.04</v>
      </c>
      <c r="CT1060" s="1138">
        <f t="shared" ref="CT1060" si="1394">SUM(CT1051:CT1059)</f>
        <v>0</v>
      </c>
      <c r="CU1060" s="1138">
        <f t="shared" ref="CU1060" si="1395">SUM(CU1051:CU1059)</f>
        <v>0</v>
      </c>
      <c r="CV1060" s="1138">
        <f t="shared" ref="CV1060" si="1396">SUM(CV1051:CV1059)</f>
        <v>0</v>
      </c>
      <c r="CW1060" s="1138">
        <f t="shared" ref="CW1060" si="1397">SUM(CW1051:CW1059)</f>
        <v>0</v>
      </c>
      <c r="CX1060" s="1138">
        <f t="shared" ref="CX1060" si="1398">SUM(CX1051:CX1059)</f>
        <v>0</v>
      </c>
      <c r="CY1060" s="1138">
        <f t="shared" ref="CY1060" si="1399">SUM(CY1051:CY1059)</f>
        <v>0</v>
      </c>
      <c r="CZ1060" s="1138">
        <f t="shared" ref="CZ1060" si="1400">SUM(CZ1051:CZ1059)</f>
        <v>1.93</v>
      </c>
      <c r="DA1060" s="1138">
        <f t="shared" ref="DA1060" si="1401">SUM(DA1051:DA1059)</f>
        <v>0</v>
      </c>
      <c r="DB1060" s="1138">
        <f t="shared" ref="DB1060" si="1402">SUM(DB1051:DB1059)</f>
        <v>0</v>
      </c>
      <c r="DC1060" s="1138">
        <f t="shared" ref="DC1060" si="1403">SUM(DC1051:DC1059)</f>
        <v>0.19</v>
      </c>
      <c r="DD1060" s="1138">
        <f t="shared" ref="DD1060" si="1404">SUM(DD1051:DD1059)</f>
        <v>0</v>
      </c>
      <c r="DE1060" s="1138">
        <f t="shared" ref="DE1060" si="1405">SUM(DE1051:DE1059)</f>
        <v>0</v>
      </c>
      <c r="DF1060" s="1138">
        <f t="shared" ref="DF1060" si="1406">SUM(DF1051:DF1059)</f>
        <v>2.88</v>
      </c>
      <c r="DG1060" s="1138">
        <f t="shared" ref="DG1060" si="1407">SUM(DG1051:DG1059)</f>
        <v>0</v>
      </c>
      <c r="DH1060" s="1138">
        <f t="shared" ref="DH1060" si="1408">SUM(DH1051:DH1059)</f>
        <v>0</v>
      </c>
      <c r="DI1060" s="1138">
        <f t="shared" ref="DI1060" si="1409">SUM(DI1051:DI1059)</f>
        <v>0</v>
      </c>
      <c r="DJ1060" s="1138">
        <f t="shared" ref="DJ1060" si="1410">SUM(DJ1051:DJ1059)</f>
        <v>0</v>
      </c>
      <c r="DK1060" s="1138">
        <f t="shared" ref="DK1060" si="1411">SUM(DK1051:DK1059)</f>
        <v>0</v>
      </c>
      <c r="DL1060" s="1138">
        <f t="shared" ref="DL1060" si="1412">SUM(DL1051:DL1059)</f>
        <v>0</v>
      </c>
      <c r="DM1060" s="1138">
        <f t="shared" ref="DM1060" si="1413">SUM(DM1051:DM1059)</f>
        <v>1.8</v>
      </c>
      <c r="DN1060" s="1138">
        <f t="shared" ref="DN1060" si="1414">SUM(DN1051:DN1059)</f>
        <v>0</v>
      </c>
      <c r="DO1060" s="1138">
        <f t="shared" ref="DO1060" si="1415">SUM(DO1051:DO1059)</f>
        <v>0</v>
      </c>
      <c r="DP1060" s="1138">
        <f t="shared" ref="DP1060" si="1416">SUM(DP1051:DP1059)</f>
        <v>0</v>
      </c>
      <c r="DQ1060" s="1138">
        <f t="shared" ref="DQ1060" si="1417">SUM(DQ1051:DQ1059)</f>
        <v>0</v>
      </c>
      <c r="DR1060" s="1138">
        <f t="shared" ref="DR1060" si="1418">SUM(DR1051:DR1059)</f>
        <v>0</v>
      </c>
      <c r="DS1060" s="1138">
        <f t="shared" ref="DS1060" si="1419">SUM(DS1051:DS1059)</f>
        <v>0</v>
      </c>
      <c r="DT1060" s="1138">
        <f t="shared" ref="DT1060" si="1420">SUM(DT1051:DT1059)</f>
        <v>0</v>
      </c>
      <c r="DU1060" s="1138">
        <f t="shared" ref="DU1060" si="1421">SUM(DU1051:DU1059)</f>
        <v>0</v>
      </c>
      <c r="DV1060" s="1138">
        <f t="shared" ref="DV1060" si="1422">SUM(DV1051:DV1059)</f>
        <v>0</v>
      </c>
      <c r="DW1060" s="1138">
        <f t="shared" ref="DW1060" si="1423">SUM(DW1051:DW1059)</f>
        <v>0</v>
      </c>
      <c r="DX1060" s="1138">
        <f t="shared" ref="DX1060" si="1424">SUM(DX1051:DX1059)</f>
        <v>0</v>
      </c>
      <c r="DY1060" s="1138">
        <f t="shared" ref="DY1060" si="1425">SUM(DY1051:DY1059)</f>
        <v>0</v>
      </c>
      <c r="DZ1060" s="1138">
        <f t="shared" ref="DZ1060" si="1426">SUM(DZ1051:DZ1059)</f>
        <v>0</v>
      </c>
      <c r="EA1060" s="1138">
        <f t="shared" ref="EA1060" si="1427">SUM(EA1051:EA1059)</f>
        <v>0</v>
      </c>
      <c r="EB1060" s="1138">
        <f t="shared" ref="EB1060" si="1428">SUM(EB1051:EB1059)</f>
        <v>0</v>
      </c>
      <c r="EC1060" s="1138">
        <f t="shared" ref="EC1060" si="1429">SUM(EC1051:EC1059)</f>
        <v>0</v>
      </c>
      <c r="ED1060" s="1138">
        <f t="shared" ref="ED1060" si="1430">SUM(ED1051:ED1059)</f>
        <v>0</v>
      </c>
      <c r="EE1060" s="1138">
        <f t="shared" ref="EE1060" si="1431">SUM(EE1051:EE1059)</f>
        <v>0</v>
      </c>
      <c r="EF1060" s="1138">
        <f t="shared" ref="EF1060" si="1432">SUM(EF1051:EF1059)</f>
        <v>0</v>
      </c>
      <c r="EG1060" s="1138">
        <f t="shared" ref="EG1060" si="1433">SUM(EG1051:EG1059)</f>
        <v>0</v>
      </c>
      <c r="EH1060" s="1138">
        <f t="shared" ref="EH1060" si="1434">SUM(EH1051:EH1059)</f>
        <v>0</v>
      </c>
      <c r="EI1060" s="1138">
        <f t="shared" ref="EI1060" si="1435">SUM(EI1051:EI1059)</f>
        <v>0</v>
      </c>
      <c r="EJ1060" s="1138">
        <f t="shared" ref="EJ1060" si="1436">SUM(EJ1051:EJ1059)</f>
        <v>0</v>
      </c>
      <c r="EK1060" s="1138">
        <f t="shared" ref="EK1060" si="1437">SUM(EK1051:EK1059)</f>
        <v>0</v>
      </c>
      <c r="EL1060" s="1138">
        <f t="shared" ref="EL1060" si="1438">SUM(EL1051:EL1059)</f>
        <v>0</v>
      </c>
      <c r="EM1060" s="1138">
        <f t="shared" ref="EM1060" si="1439">SUM(EM1051:EM1059)</f>
        <v>0</v>
      </c>
      <c r="EN1060" s="1138">
        <f t="shared" ref="EN1060" si="1440">SUM(EN1051:EN1059)</f>
        <v>0</v>
      </c>
      <c r="EO1060" s="1138">
        <f t="shared" ref="EO1060" si="1441">SUM(EO1051:EO1059)</f>
        <v>0</v>
      </c>
      <c r="EP1060" s="1138">
        <f t="shared" ref="EP1060" si="1442">SUM(EP1051:EP1059)</f>
        <v>0</v>
      </c>
      <c r="EQ1060" s="1138">
        <f t="shared" ref="EQ1060" si="1443">SUM(EQ1051:EQ1059)</f>
        <v>0</v>
      </c>
      <c r="ER1060" s="1138">
        <f t="shared" ref="ER1060" si="1444">SUM(ER1051:ER1059)</f>
        <v>0</v>
      </c>
      <c r="ES1060" s="1138">
        <f t="shared" ref="ES1060" si="1445">SUM(ES1051:ES1059)</f>
        <v>0</v>
      </c>
      <c r="ET1060" s="1138">
        <f t="shared" ref="ET1060" si="1446">SUM(ET1051:ET1059)</f>
        <v>0</v>
      </c>
      <c r="EU1060" s="1138">
        <f t="shared" ref="EU1060" si="1447">SUM(EU1051:EU1059)</f>
        <v>0</v>
      </c>
      <c r="EV1060" s="1138">
        <f t="shared" ref="EV1060" si="1448">SUM(EV1051:EV1059)</f>
        <v>1.3</v>
      </c>
      <c r="EW1060" s="1138">
        <f t="shared" ref="EW1060" si="1449">SUM(EW1051:EW1059)</f>
        <v>1.95</v>
      </c>
      <c r="EX1060" s="1138">
        <f t="shared" ref="EX1060:FL1060" si="1450">SUM(EX1051:EX1059)</f>
        <v>0</v>
      </c>
      <c r="EY1060" s="1138">
        <f t="shared" si="1450"/>
        <v>109.01</v>
      </c>
      <c r="EZ1060" s="1138">
        <f t="shared" si="1450"/>
        <v>0</v>
      </c>
      <c r="FA1060" s="1138">
        <f t="shared" si="1450"/>
        <v>0</v>
      </c>
      <c r="FB1060" s="1138">
        <f t="shared" si="1450"/>
        <v>0</v>
      </c>
      <c r="FC1060" s="1138">
        <f t="shared" si="1450"/>
        <v>0</v>
      </c>
      <c r="FD1060" s="1138">
        <f t="shared" si="1450"/>
        <v>0</v>
      </c>
      <c r="FE1060" s="1138">
        <f t="shared" si="1450"/>
        <v>0</v>
      </c>
      <c r="FF1060" s="1138">
        <f t="shared" si="1450"/>
        <v>0</v>
      </c>
      <c r="FG1060" s="1138">
        <f t="shared" si="1450"/>
        <v>0</v>
      </c>
      <c r="FH1060" s="1138">
        <f t="shared" si="1450"/>
        <v>0</v>
      </c>
      <c r="FI1060" s="1138">
        <f t="shared" si="1450"/>
        <v>0</v>
      </c>
      <c r="FJ1060" s="1138">
        <f t="shared" si="1450"/>
        <v>0</v>
      </c>
      <c r="FK1060" s="1138">
        <f t="shared" si="1450"/>
        <v>0</v>
      </c>
      <c r="FL1060" s="1138">
        <f t="shared" si="1450"/>
        <v>0</v>
      </c>
    </row>
    <row r="1061" spans="1:168" x14ac:dyDescent="0.25">
      <c r="A1061" s="1491" t="s">
        <v>800</v>
      </c>
      <c r="B1061" s="624">
        <f t="shared" ref="B1061:D1065" si="1451">B97</f>
        <v>0</v>
      </c>
      <c r="C1061" s="624">
        <f t="shared" si="1451"/>
        <v>0</v>
      </c>
      <c r="D1061" s="624">
        <f t="shared" si="1451"/>
        <v>0</v>
      </c>
      <c r="E1061" s="1158">
        <f t="shared" ref="E1061" si="1452">EY1061</f>
        <v>0</v>
      </c>
      <c r="F1061" s="1158"/>
      <c r="G1061" s="1140"/>
      <c r="H1061" s="1140"/>
      <c r="I1061" s="552"/>
      <c r="J1061" s="552">
        <f t="shared" ref="J1061:AO1061" si="1453">J97*J$338</f>
        <v>0</v>
      </c>
      <c r="K1061" s="552">
        <f t="shared" si="1453"/>
        <v>0</v>
      </c>
      <c r="L1061" s="552">
        <f t="shared" si="1453"/>
        <v>0</v>
      </c>
      <c r="M1061" s="552">
        <f t="shared" si="1453"/>
        <v>0</v>
      </c>
      <c r="N1061" s="552">
        <f t="shared" si="1453"/>
        <v>0</v>
      </c>
      <c r="O1061" s="552">
        <f t="shared" si="1453"/>
        <v>0</v>
      </c>
      <c r="P1061" s="552">
        <f t="shared" si="1453"/>
        <v>0</v>
      </c>
      <c r="Q1061" s="552">
        <f t="shared" si="1453"/>
        <v>0</v>
      </c>
      <c r="R1061" s="552">
        <f t="shared" si="1453"/>
        <v>0</v>
      </c>
      <c r="S1061" s="552">
        <f t="shared" si="1453"/>
        <v>0</v>
      </c>
      <c r="T1061" s="552">
        <f t="shared" si="1453"/>
        <v>0</v>
      </c>
      <c r="U1061" s="552">
        <f t="shared" si="1453"/>
        <v>0</v>
      </c>
      <c r="V1061" s="552">
        <f t="shared" si="1453"/>
        <v>0</v>
      </c>
      <c r="W1061" s="552">
        <f t="shared" si="1453"/>
        <v>0</v>
      </c>
      <c r="X1061" s="552">
        <f t="shared" si="1453"/>
        <v>0</v>
      </c>
      <c r="Y1061" s="552">
        <f t="shared" si="1453"/>
        <v>0</v>
      </c>
      <c r="Z1061" s="552">
        <f t="shared" si="1453"/>
        <v>0</v>
      </c>
      <c r="AA1061" s="552">
        <f t="shared" si="1453"/>
        <v>0</v>
      </c>
      <c r="AB1061" s="552">
        <f t="shared" si="1453"/>
        <v>0</v>
      </c>
      <c r="AC1061" s="552">
        <f t="shared" si="1453"/>
        <v>0</v>
      </c>
      <c r="AD1061" s="552">
        <f t="shared" si="1453"/>
        <v>0</v>
      </c>
      <c r="AE1061" s="552">
        <f t="shared" si="1453"/>
        <v>0</v>
      </c>
      <c r="AF1061" s="552">
        <f t="shared" si="1453"/>
        <v>0</v>
      </c>
      <c r="AG1061" s="552">
        <f t="shared" si="1453"/>
        <v>0</v>
      </c>
      <c r="AH1061" s="552">
        <f t="shared" si="1453"/>
        <v>0</v>
      </c>
      <c r="AI1061" s="552">
        <f t="shared" si="1453"/>
        <v>0</v>
      </c>
      <c r="AJ1061" s="552">
        <f t="shared" si="1453"/>
        <v>0</v>
      </c>
      <c r="AK1061" s="552">
        <f t="shared" si="1453"/>
        <v>0</v>
      </c>
      <c r="AL1061" s="552">
        <f t="shared" si="1453"/>
        <v>0</v>
      </c>
      <c r="AM1061" s="552">
        <f t="shared" si="1453"/>
        <v>0</v>
      </c>
      <c r="AN1061" s="552">
        <f t="shared" si="1453"/>
        <v>0</v>
      </c>
      <c r="AO1061" s="552">
        <f t="shared" si="1453"/>
        <v>0</v>
      </c>
      <c r="AP1061" s="552">
        <f t="shared" ref="AP1061:BU1061" si="1454">AP97*AP$338</f>
        <v>0</v>
      </c>
      <c r="AQ1061" s="552">
        <f t="shared" si="1454"/>
        <v>0</v>
      </c>
      <c r="AR1061" s="552">
        <f t="shared" si="1454"/>
        <v>0</v>
      </c>
      <c r="AS1061" s="552">
        <f t="shared" si="1454"/>
        <v>0</v>
      </c>
      <c r="AT1061" s="552">
        <f t="shared" si="1454"/>
        <v>0</v>
      </c>
      <c r="AU1061" s="552">
        <f t="shared" si="1454"/>
        <v>0</v>
      </c>
      <c r="AV1061" s="552">
        <f t="shared" si="1454"/>
        <v>0</v>
      </c>
      <c r="AW1061" s="552">
        <f t="shared" si="1454"/>
        <v>0</v>
      </c>
      <c r="AX1061" s="552">
        <f t="shared" si="1454"/>
        <v>0</v>
      </c>
      <c r="AY1061" s="552">
        <f t="shared" si="1454"/>
        <v>0</v>
      </c>
      <c r="AZ1061" s="552">
        <f t="shared" si="1454"/>
        <v>0</v>
      </c>
      <c r="BA1061" s="552">
        <f t="shared" si="1454"/>
        <v>0</v>
      </c>
      <c r="BB1061" s="552">
        <f t="shared" si="1454"/>
        <v>0</v>
      </c>
      <c r="BC1061" s="552">
        <f t="shared" si="1454"/>
        <v>0</v>
      </c>
      <c r="BD1061" s="552">
        <f t="shared" si="1454"/>
        <v>0</v>
      </c>
      <c r="BE1061" s="552">
        <f t="shared" si="1454"/>
        <v>0</v>
      </c>
      <c r="BF1061" s="552">
        <f t="shared" si="1454"/>
        <v>0</v>
      </c>
      <c r="BG1061" s="552">
        <f t="shared" si="1454"/>
        <v>0</v>
      </c>
      <c r="BH1061" s="552">
        <f t="shared" si="1454"/>
        <v>0</v>
      </c>
      <c r="BI1061" s="552">
        <f t="shared" si="1454"/>
        <v>0</v>
      </c>
      <c r="BJ1061" s="552">
        <f t="shared" si="1454"/>
        <v>0</v>
      </c>
      <c r="BK1061" s="552">
        <f t="shared" si="1454"/>
        <v>0</v>
      </c>
      <c r="BL1061" s="552">
        <f t="shared" si="1454"/>
        <v>0</v>
      </c>
      <c r="BM1061" s="552">
        <f t="shared" si="1454"/>
        <v>0</v>
      </c>
      <c r="BN1061" s="552">
        <f t="shared" si="1454"/>
        <v>0</v>
      </c>
      <c r="BO1061" s="552">
        <f t="shared" si="1454"/>
        <v>0</v>
      </c>
      <c r="BP1061" s="552">
        <f t="shared" si="1454"/>
        <v>0</v>
      </c>
      <c r="BQ1061" s="552">
        <f t="shared" si="1454"/>
        <v>0</v>
      </c>
      <c r="BR1061" s="552">
        <f t="shared" si="1454"/>
        <v>0</v>
      </c>
      <c r="BS1061" s="552">
        <f t="shared" si="1454"/>
        <v>0</v>
      </c>
      <c r="BT1061" s="552">
        <f t="shared" si="1454"/>
        <v>0</v>
      </c>
      <c r="BU1061" s="552">
        <f t="shared" si="1454"/>
        <v>0</v>
      </c>
      <c r="BV1061" s="552">
        <f t="shared" ref="BV1061:DA1061" si="1455">BV97*BV$338</f>
        <v>0</v>
      </c>
      <c r="BW1061" s="552">
        <f t="shared" si="1455"/>
        <v>0</v>
      </c>
      <c r="BX1061" s="552">
        <f t="shared" si="1455"/>
        <v>0</v>
      </c>
      <c r="BY1061" s="552">
        <f t="shared" si="1455"/>
        <v>0</v>
      </c>
      <c r="BZ1061" s="552">
        <f t="shared" si="1455"/>
        <v>0</v>
      </c>
      <c r="CA1061" s="552">
        <f t="shared" si="1455"/>
        <v>0</v>
      </c>
      <c r="CB1061" s="552">
        <f t="shared" si="1455"/>
        <v>0</v>
      </c>
      <c r="CC1061" s="552">
        <f t="shared" si="1455"/>
        <v>0</v>
      </c>
      <c r="CD1061" s="552">
        <f t="shared" si="1455"/>
        <v>0</v>
      </c>
      <c r="CE1061" s="552">
        <f t="shared" si="1455"/>
        <v>0</v>
      </c>
      <c r="CF1061" s="552">
        <f t="shared" si="1455"/>
        <v>0</v>
      </c>
      <c r="CG1061" s="552">
        <f t="shared" si="1455"/>
        <v>0</v>
      </c>
      <c r="CH1061" s="552">
        <f t="shared" si="1455"/>
        <v>0</v>
      </c>
      <c r="CI1061" s="552">
        <f t="shared" si="1455"/>
        <v>0</v>
      </c>
      <c r="CJ1061" s="552">
        <f t="shared" si="1455"/>
        <v>0</v>
      </c>
      <c r="CK1061" s="552">
        <f t="shared" si="1455"/>
        <v>0</v>
      </c>
      <c r="CL1061" s="552">
        <f t="shared" si="1455"/>
        <v>0</v>
      </c>
      <c r="CM1061" s="552">
        <f t="shared" si="1455"/>
        <v>0</v>
      </c>
      <c r="CN1061" s="552">
        <f t="shared" si="1455"/>
        <v>0</v>
      </c>
      <c r="CO1061" s="552">
        <f t="shared" si="1455"/>
        <v>0</v>
      </c>
      <c r="CP1061" s="552">
        <f t="shared" si="1455"/>
        <v>0</v>
      </c>
      <c r="CQ1061" s="552">
        <f t="shared" si="1455"/>
        <v>0</v>
      </c>
      <c r="CR1061" s="552">
        <f t="shared" si="1455"/>
        <v>0</v>
      </c>
      <c r="CS1061" s="552">
        <f t="shared" si="1455"/>
        <v>0</v>
      </c>
      <c r="CT1061" s="552">
        <f t="shared" si="1455"/>
        <v>0</v>
      </c>
      <c r="CU1061" s="552">
        <f t="shared" si="1455"/>
        <v>0</v>
      </c>
      <c r="CV1061" s="552">
        <f t="shared" si="1455"/>
        <v>0</v>
      </c>
      <c r="CW1061" s="552">
        <f t="shared" si="1455"/>
        <v>0</v>
      </c>
      <c r="CX1061" s="552">
        <f t="shared" si="1455"/>
        <v>0</v>
      </c>
      <c r="CY1061" s="552">
        <f t="shared" si="1455"/>
        <v>0</v>
      </c>
      <c r="CZ1061" s="552">
        <f t="shared" si="1455"/>
        <v>0</v>
      </c>
      <c r="DA1061" s="552">
        <f t="shared" si="1455"/>
        <v>0</v>
      </c>
      <c r="DB1061" s="552">
        <f t="shared" ref="DB1061:EG1061" si="1456">DB97*DB$338</f>
        <v>0</v>
      </c>
      <c r="DC1061" s="552">
        <f t="shared" si="1456"/>
        <v>0</v>
      </c>
      <c r="DD1061" s="552">
        <f t="shared" si="1456"/>
        <v>0</v>
      </c>
      <c r="DE1061" s="552">
        <f t="shared" si="1456"/>
        <v>0</v>
      </c>
      <c r="DF1061" s="552">
        <f t="shared" si="1456"/>
        <v>0</v>
      </c>
      <c r="DG1061" s="552">
        <f t="shared" si="1456"/>
        <v>0</v>
      </c>
      <c r="DH1061" s="552">
        <f t="shared" si="1456"/>
        <v>0</v>
      </c>
      <c r="DI1061" s="552">
        <f t="shared" si="1456"/>
        <v>0</v>
      </c>
      <c r="DJ1061" s="552">
        <f t="shared" si="1456"/>
        <v>0</v>
      </c>
      <c r="DK1061" s="552">
        <f t="shared" si="1456"/>
        <v>0</v>
      </c>
      <c r="DL1061" s="552">
        <f t="shared" si="1456"/>
        <v>0</v>
      </c>
      <c r="DM1061" s="552">
        <f t="shared" si="1456"/>
        <v>0</v>
      </c>
      <c r="DN1061" s="552">
        <f t="shared" si="1456"/>
        <v>0</v>
      </c>
      <c r="DO1061" s="552">
        <f t="shared" si="1456"/>
        <v>0</v>
      </c>
      <c r="DP1061" s="552">
        <f t="shared" si="1456"/>
        <v>0</v>
      </c>
      <c r="DQ1061" s="552">
        <f t="shared" si="1456"/>
        <v>0</v>
      </c>
      <c r="DR1061" s="552">
        <f t="shared" si="1456"/>
        <v>0</v>
      </c>
      <c r="DS1061" s="552">
        <f t="shared" si="1456"/>
        <v>0</v>
      </c>
      <c r="DT1061" s="552">
        <f t="shared" si="1456"/>
        <v>0</v>
      </c>
      <c r="DU1061" s="552">
        <f t="shared" si="1456"/>
        <v>0</v>
      </c>
      <c r="DV1061" s="552">
        <f t="shared" si="1456"/>
        <v>0</v>
      </c>
      <c r="DW1061" s="552">
        <f t="shared" si="1456"/>
        <v>0</v>
      </c>
      <c r="DX1061" s="552">
        <f t="shared" si="1456"/>
        <v>0</v>
      </c>
      <c r="DY1061" s="552">
        <f t="shared" si="1456"/>
        <v>0</v>
      </c>
      <c r="DZ1061" s="552">
        <f t="shared" si="1456"/>
        <v>0</v>
      </c>
      <c r="EA1061" s="552">
        <f t="shared" si="1456"/>
        <v>0</v>
      </c>
      <c r="EB1061" s="552">
        <f t="shared" si="1456"/>
        <v>0</v>
      </c>
      <c r="EC1061" s="552">
        <f t="shared" si="1456"/>
        <v>0</v>
      </c>
      <c r="ED1061" s="552">
        <f t="shared" si="1456"/>
        <v>0</v>
      </c>
      <c r="EE1061" s="552">
        <f t="shared" si="1456"/>
        <v>0</v>
      </c>
      <c r="EF1061" s="552">
        <f t="shared" si="1456"/>
        <v>0</v>
      </c>
      <c r="EG1061" s="552">
        <f t="shared" si="1456"/>
        <v>0</v>
      </c>
      <c r="EH1061" s="552">
        <f t="shared" ref="EH1061:EX1061" si="1457">EH97*EH$338</f>
        <v>0</v>
      </c>
      <c r="EI1061" s="552">
        <f t="shared" si="1457"/>
        <v>0</v>
      </c>
      <c r="EJ1061" s="552">
        <f t="shared" si="1457"/>
        <v>0</v>
      </c>
      <c r="EK1061" s="552">
        <f t="shared" si="1457"/>
        <v>0</v>
      </c>
      <c r="EL1061" s="552">
        <f t="shared" si="1457"/>
        <v>0</v>
      </c>
      <c r="EM1061" s="552">
        <f t="shared" si="1457"/>
        <v>0</v>
      </c>
      <c r="EN1061" s="552">
        <f t="shared" si="1457"/>
        <v>0</v>
      </c>
      <c r="EO1061" s="552">
        <f t="shared" si="1457"/>
        <v>0</v>
      </c>
      <c r="EP1061" s="552">
        <f t="shared" si="1457"/>
        <v>0</v>
      </c>
      <c r="EQ1061" s="552">
        <f t="shared" si="1457"/>
        <v>0</v>
      </c>
      <c r="ER1061" s="552">
        <f t="shared" si="1457"/>
        <v>0</v>
      </c>
      <c r="ES1061" s="552">
        <f t="shared" si="1457"/>
        <v>0</v>
      </c>
      <c r="ET1061" s="552">
        <f t="shared" si="1457"/>
        <v>0</v>
      </c>
      <c r="EU1061" s="552">
        <f t="shared" si="1457"/>
        <v>0</v>
      </c>
      <c r="EV1061" s="552">
        <f t="shared" si="1457"/>
        <v>0</v>
      </c>
      <c r="EW1061" s="552">
        <f t="shared" si="1457"/>
        <v>0</v>
      </c>
      <c r="EX1061" s="552">
        <f t="shared" si="1457"/>
        <v>0</v>
      </c>
      <c r="EY1061" s="799">
        <f t="shared" si="1265"/>
        <v>0</v>
      </c>
      <c r="EZ1061" s="640"/>
      <c r="FA1061" s="640"/>
      <c r="FB1061" s="640"/>
      <c r="FC1061" s="640"/>
      <c r="FD1061" s="640"/>
      <c r="FE1061" s="640"/>
      <c r="FF1061" s="640"/>
      <c r="FG1061" s="640"/>
      <c r="FH1061" s="640"/>
      <c r="FI1061" s="640"/>
      <c r="FJ1061" s="640"/>
      <c r="FK1061" s="640"/>
      <c r="FL1061" s="640"/>
    </row>
    <row r="1062" spans="1:168" x14ac:dyDescent="0.25">
      <c r="A1062" s="1492"/>
      <c r="B1062" s="624">
        <f t="shared" si="1451"/>
        <v>0</v>
      </c>
      <c r="C1062" s="624">
        <f t="shared" si="1451"/>
        <v>0</v>
      </c>
      <c r="D1062" s="624">
        <f t="shared" si="1451"/>
        <v>0</v>
      </c>
      <c r="E1062" s="1158">
        <f t="shared" ref="E1062:E1065" si="1458">EY1062</f>
        <v>0</v>
      </c>
      <c r="F1062" s="1158"/>
      <c r="G1062" s="1140"/>
      <c r="H1062" s="1140"/>
      <c r="I1062" s="552"/>
      <c r="J1062" s="552">
        <f t="shared" ref="J1062:AO1062" si="1459">J98*J$338</f>
        <v>0</v>
      </c>
      <c r="K1062" s="552">
        <f t="shared" si="1459"/>
        <v>0</v>
      </c>
      <c r="L1062" s="552">
        <f t="shared" si="1459"/>
        <v>0</v>
      </c>
      <c r="M1062" s="552">
        <f t="shared" si="1459"/>
        <v>0</v>
      </c>
      <c r="N1062" s="552">
        <f t="shared" si="1459"/>
        <v>0</v>
      </c>
      <c r="O1062" s="552">
        <f t="shared" si="1459"/>
        <v>0</v>
      </c>
      <c r="P1062" s="552">
        <f t="shared" si="1459"/>
        <v>0</v>
      </c>
      <c r="Q1062" s="552">
        <f t="shared" si="1459"/>
        <v>0</v>
      </c>
      <c r="R1062" s="552">
        <f t="shared" si="1459"/>
        <v>0</v>
      </c>
      <c r="S1062" s="552">
        <f t="shared" si="1459"/>
        <v>0</v>
      </c>
      <c r="T1062" s="552">
        <f t="shared" si="1459"/>
        <v>0</v>
      </c>
      <c r="U1062" s="552">
        <f t="shared" si="1459"/>
        <v>0</v>
      </c>
      <c r="V1062" s="552">
        <f t="shared" si="1459"/>
        <v>0</v>
      </c>
      <c r="W1062" s="552">
        <f t="shared" si="1459"/>
        <v>0</v>
      </c>
      <c r="X1062" s="552">
        <f t="shared" si="1459"/>
        <v>0</v>
      </c>
      <c r="Y1062" s="552">
        <f t="shared" si="1459"/>
        <v>0</v>
      </c>
      <c r="Z1062" s="552">
        <f t="shared" si="1459"/>
        <v>0</v>
      </c>
      <c r="AA1062" s="552">
        <f t="shared" si="1459"/>
        <v>0</v>
      </c>
      <c r="AB1062" s="552">
        <f t="shared" si="1459"/>
        <v>0</v>
      </c>
      <c r="AC1062" s="552">
        <f t="shared" si="1459"/>
        <v>0</v>
      </c>
      <c r="AD1062" s="552">
        <f t="shared" si="1459"/>
        <v>0</v>
      </c>
      <c r="AE1062" s="552">
        <f t="shared" si="1459"/>
        <v>0</v>
      </c>
      <c r="AF1062" s="552">
        <f t="shared" si="1459"/>
        <v>0</v>
      </c>
      <c r="AG1062" s="552">
        <f t="shared" si="1459"/>
        <v>0</v>
      </c>
      <c r="AH1062" s="552">
        <f t="shared" si="1459"/>
        <v>0</v>
      </c>
      <c r="AI1062" s="552">
        <f t="shared" si="1459"/>
        <v>0</v>
      </c>
      <c r="AJ1062" s="552">
        <f t="shared" si="1459"/>
        <v>0</v>
      </c>
      <c r="AK1062" s="552">
        <f t="shared" si="1459"/>
        <v>0</v>
      </c>
      <c r="AL1062" s="552">
        <f t="shared" si="1459"/>
        <v>0</v>
      </c>
      <c r="AM1062" s="552">
        <f t="shared" si="1459"/>
        <v>0</v>
      </c>
      <c r="AN1062" s="552">
        <f t="shared" si="1459"/>
        <v>0</v>
      </c>
      <c r="AO1062" s="552">
        <f t="shared" si="1459"/>
        <v>0</v>
      </c>
      <c r="AP1062" s="552">
        <f t="shared" ref="AP1062:BU1062" si="1460">AP98*AP$338</f>
        <v>0</v>
      </c>
      <c r="AQ1062" s="552">
        <f t="shared" si="1460"/>
        <v>0</v>
      </c>
      <c r="AR1062" s="552">
        <f t="shared" si="1460"/>
        <v>0</v>
      </c>
      <c r="AS1062" s="552">
        <f t="shared" si="1460"/>
        <v>0</v>
      </c>
      <c r="AT1062" s="552">
        <f t="shared" si="1460"/>
        <v>0</v>
      </c>
      <c r="AU1062" s="552">
        <f t="shared" si="1460"/>
        <v>0</v>
      </c>
      <c r="AV1062" s="552">
        <f t="shared" si="1460"/>
        <v>0</v>
      </c>
      <c r="AW1062" s="552">
        <f t="shared" si="1460"/>
        <v>0</v>
      </c>
      <c r="AX1062" s="552">
        <f t="shared" si="1460"/>
        <v>0</v>
      </c>
      <c r="AY1062" s="552">
        <f t="shared" si="1460"/>
        <v>0</v>
      </c>
      <c r="AZ1062" s="552">
        <f t="shared" si="1460"/>
        <v>0</v>
      </c>
      <c r="BA1062" s="552">
        <f t="shared" si="1460"/>
        <v>0</v>
      </c>
      <c r="BB1062" s="552">
        <f t="shared" si="1460"/>
        <v>0</v>
      </c>
      <c r="BC1062" s="552">
        <f t="shared" si="1460"/>
        <v>0</v>
      </c>
      <c r="BD1062" s="552">
        <f t="shared" si="1460"/>
        <v>0</v>
      </c>
      <c r="BE1062" s="552">
        <f t="shared" si="1460"/>
        <v>0</v>
      </c>
      <c r="BF1062" s="552">
        <f t="shared" si="1460"/>
        <v>0</v>
      </c>
      <c r="BG1062" s="552">
        <f t="shared" si="1460"/>
        <v>0</v>
      </c>
      <c r="BH1062" s="552">
        <f t="shared" si="1460"/>
        <v>0</v>
      </c>
      <c r="BI1062" s="552">
        <f t="shared" si="1460"/>
        <v>0</v>
      </c>
      <c r="BJ1062" s="552">
        <f t="shared" si="1460"/>
        <v>0</v>
      </c>
      <c r="BK1062" s="552">
        <f t="shared" si="1460"/>
        <v>0</v>
      </c>
      <c r="BL1062" s="552">
        <f t="shared" si="1460"/>
        <v>0</v>
      </c>
      <c r="BM1062" s="552">
        <f t="shared" si="1460"/>
        <v>0</v>
      </c>
      <c r="BN1062" s="552">
        <f t="shared" si="1460"/>
        <v>0</v>
      </c>
      <c r="BO1062" s="552">
        <f t="shared" si="1460"/>
        <v>0</v>
      </c>
      <c r="BP1062" s="552">
        <f t="shared" si="1460"/>
        <v>0</v>
      </c>
      <c r="BQ1062" s="552">
        <f t="shared" si="1460"/>
        <v>0</v>
      </c>
      <c r="BR1062" s="552">
        <f t="shared" si="1460"/>
        <v>0</v>
      </c>
      <c r="BS1062" s="552">
        <f t="shared" si="1460"/>
        <v>0</v>
      </c>
      <c r="BT1062" s="552">
        <f t="shared" si="1460"/>
        <v>0</v>
      </c>
      <c r="BU1062" s="552">
        <f t="shared" si="1460"/>
        <v>0</v>
      </c>
      <c r="BV1062" s="552">
        <f t="shared" ref="BV1062:DA1062" si="1461">BV98*BV$338</f>
        <v>0</v>
      </c>
      <c r="BW1062" s="552">
        <f t="shared" si="1461"/>
        <v>0</v>
      </c>
      <c r="BX1062" s="552">
        <f t="shared" si="1461"/>
        <v>0</v>
      </c>
      <c r="BY1062" s="552">
        <f t="shared" si="1461"/>
        <v>0</v>
      </c>
      <c r="BZ1062" s="552">
        <f t="shared" si="1461"/>
        <v>0</v>
      </c>
      <c r="CA1062" s="552">
        <f t="shared" si="1461"/>
        <v>0</v>
      </c>
      <c r="CB1062" s="552">
        <f t="shared" si="1461"/>
        <v>0</v>
      </c>
      <c r="CC1062" s="552">
        <f t="shared" si="1461"/>
        <v>0</v>
      </c>
      <c r="CD1062" s="552">
        <f t="shared" si="1461"/>
        <v>0</v>
      </c>
      <c r="CE1062" s="552">
        <f t="shared" si="1461"/>
        <v>0</v>
      </c>
      <c r="CF1062" s="552">
        <f t="shared" si="1461"/>
        <v>0</v>
      </c>
      <c r="CG1062" s="552">
        <f t="shared" si="1461"/>
        <v>0</v>
      </c>
      <c r="CH1062" s="552">
        <f t="shared" si="1461"/>
        <v>0</v>
      </c>
      <c r="CI1062" s="552">
        <f t="shared" si="1461"/>
        <v>0</v>
      </c>
      <c r="CJ1062" s="552">
        <f t="shared" si="1461"/>
        <v>0</v>
      </c>
      <c r="CK1062" s="552">
        <f t="shared" si="1461"/>
        <v>0</v>
      </c>
      <c r="CL1062" s="552">
        <f t="shared" si="1461"/>
        <v>0</v>
      </c>
      <c r="CM1062" s="552">
        <f t="shared" si="1461"/>
        <v>0</v>
      </c>
      <c r="CN1062" s="552">
        <f t="shared" si="1461"/>
        <v>0</v>
      </c>
      <c r="CO1062" s="552">
        <f t="shared" si="1461"/>
        <v>0</v>
      </c>
      <c r="CP1062" s="552">
        <f t="shared" si="1461"/>
        <v>0</v>
      </c>
      <c r="CQ1062" s="552">
        <f t="shared" si="1461"/>
        <v>0</v>
      </c>
      <c r="CR1062" s="552">
        <f t="shared" si="1461"/>
        <v>0</v>
      </c>
      <c r="CS1062" s="552">
        <f t="shared" si="1461"/>
        <v>0</v>
      </c>
      <c r="CT1062" s="552">
        <f t="shared" si="1461"/>
        <v>0</v>
      </c>
      <c r="CU1062" s="552">
        <f t="shared" si="1461"/>
        <v>0</v>
      </c>
      <c r="CV1062" s="552">
        <f t="shared" si="1461"/>
        <v>0</v>
      </c>
      <c r="CW1062" s="552">
        <f t="shared" si="1461"/>
        <v>0</v>
      </c>
      <c r="CX1062" s="552">
        <f t="shared" si="1461"/>
        <v>0</v>
      </c>
      <c r="CY1062" s="552">
        <f t="shared" si="1461"/>
        <v>0</v>
      </c>
      <c r="CZ1062" s="552">
        <f t="shared" si="1461"/>
        <v>0</v>
      </c>
      <c r="DA1062" s="552">
        <f t="shared" si="1461"/>
        <v>0</v>
      </c>
      <c r="DB1062" s="552">
        <f t="shared" ref="DB1062:EG1062" si="1462">DB98*DB$338</f>
        <v>0</v>
      </c>
      <c r="DC1062" s="552">
        <f t="shared" si="1462"/>
        <v>0</v>
      </c>
      <c r="DD1062" s="552">
        <f t="shared" si="1462"/>
        <v>0</v>
      </c>
      <c r="DE1062" s="552">
        <f t="shared" si="1462"/>
        <v>0</v>
      </c>
      <c r="DF1062" s="552">
        <f t="shared" si="1462"/>
        <v>0</v>
      </c>
      <c r="DG1062" s="552">
        <f t="shared" si="1462"/>
        <v>0</v>
      </c>
      <c r="DH1062" s="552">
        <f t="shared" si="1462"/>
        <v>0</v>
      </c>
      <c r="DI1062" s="552">
        <f t="shared" si="1462"/>
        <v>0</v>
      </c>
      <c r="DJ1062" s="552">
        <f t="shared" si="1462"/>
        <v>0</v>
      </c>
      <c r="DK1062" s="552">
        <f t="shared" si="1462"/>
        <v>0</v>
      </c>
      <c r="DL1062" s="552">
        <f t="shared" si="1462"/>
        <v>0</v>
      </c>
      <c r="DM1062" s="552">
        <f t="shared" si="1462"/>
        <v>0</v>
      </c>
      <c r="DN1062" s="552">
        <f t="shared" si="1462"/>
        <v>0</v>
      </c>
      <c r="DO1062" s="552">
        <f t="shared" si="1462"/>
        <v>0</v>
      </c>
      <c r="DP1062" s="552">
        <f t="shared" si="1462"/>
        <v>0</v>
      </c>
      <c r="DQ1062" s="552">
        <f t="shared" si="1462"/>
        <v>0</v>
      </c>
      <c r="DR1062" s="552">
        <f t="shared" si="1462"/>
        <v>0</v>
      </c>
      <c r="DS1062" s="552">
        <f t="shared" si="1462"/>
        <v>0</v>
      </c>
      <c r="DT1062" s="552">
        <f t="shared" si="1462"/>
        <v>0</v>
      </c>
      <c r="DU1062" s="552">
        <f t="shared" si="1462"/>
        <v>0</v>
      </c>
      <c r="DV1062" s="552">
        <f t="shared" si="1462"/>
        <v>0</v>
      </c>
      <c r="DW1062" s="552">
        <f t="shared" si="1462"/>
        <v>0</v>
      </c>
      <c r="DX1062" s="552">
        <f t="shared" si="1462"/>
        <v>0</v>
      </c>
      <c r="DY1062" s="552">
        <f t="shared" si="1462"/>
        <v>0</v>
      </c>
      <c r="DZ1062" s="552">
        <f t="shared" si="1462"/>
        <v>0</v>
      </c>
      <c r="EA1062" s="552">
        <f t="shared" si="1462"/>
        <v>0</v>
      </c>
      <c r="EB1062" s="552">
        <f t="shared" si="1462"/>
        <v>0</v>
      </c>
      <c r="EC1062" s="552">
        <f t="shared" si="1462"/>
        <v>0</v>
      </c>
      <c r="ED1062" s="552">
        <f t="shared" si="1462"/>
        <v>0</v>
      </c>
      <c r="EE1062" s="552">
        <f t="shared" si="1462"/>
        <v>0</v>
      </c>
      <c r="EF1062" s="552">
        <f t="shared" si="1462"/>
        <v>0</v>
      </c>
      <c r="EG1062" s="552">
        <f t="shared" si="1462"/>
        <v>0</v>
      </c>
      <c r="EH1062" s="552">
        <f t="shared" ref="EH1062:EX1062" si="1463">EH98*EH$338</f>
        <v>0</v>
      </c>
      <c r="EI1062" s="552">
        <f t="shared" si="1463"/>
        <v>0</v>
      </c>
      <c r="EJ1062" s="552">
        <f t="shared" si="1463"/>
        <v>0</v>
      </c>
      <c r="EK1062" s="552">
        <f t="shared" si="1463"/>
        <v>0</v>
      </c>
      <c r="EL1062" s="552">
        <f t="shared" si="1463"/>
        <v>0</v>
      </c>
      <c r="EM1062" s="552">
        <f t="shared" si="1463"/>
        <v>0</v>
      </c>
      <c r="EN1062" s="552">
        <f t="shared" si="1463"/>
        <v>0</v>
      </c>
      <c r="EO1062" s="552">
        <f t="shared" si="1463"/>
        <v>0</v>
      </c>
      <c r="EP1062" s="552">
        <f t="shared" si="1463"/>
        <v>0</v>
      </c>
      <c r="EQ1062" s="552">
        <f t="shared" si="1463"/>
        <v>0</v>
      </c>
      <c r="ER1062" s="552">
        <f t="shared" si="1463"/>
        <v>0</v>
      </c>
      <c r="ES1062" s="552">
        <f t="shared" si="1463"/>
        <v>0</v>
      </c>
      <c r="ET1062" s="552">
        <f t="shared" si="1463"/>
        <v>0</v>
      </c>
      <c r="EU1062" s="552">
        <f t="shared" si="1463"/>
        <v>0</v>
      </c>
      <c r="EV1062" s="552">
        <f t="shared" si="1463"/>
        <v>0</v>
      </c>
      <c r="EW1062" s="552">
        <f t="shared" si="1463"/>
        <v>0</v>
      </c>
      <c r="EX1062" s="552">
        <f t="shared" si="1463"/>
        <v>0</v>
      </c>
      <c r="EY1062" s="799">
        <f t="shared" si="1265"/>
        <v>0</v>
      </c>
      <c r="EZ1062" s="640"/>
      <c r="FA1062" s="640"/>
      <c r="FB1062" s="640"/>
      <c r="FC1062" s="640"/>
      <c r="FD1062" s="640"/>
      <c r="FE1062" s="640"/>
      <c r="FF1062" s="640"/>
      <c r="FG1062" s="640"/>
      <c r="FH1062" s="640"/>
      <c r="FI1062" s="640"/>
      <c r="FJ1062" s="640"/>
      <c r="FK1062" s="640"/>
      <c r="FL1062" s="640"/>
    </row>
    <row r="1063" spans="1:168" x14ac:dyDescent="0.25">
      <c r="A1063" s="1492"/>
      <c r="B1063" s="624">
        <f t="shared" si="1451"/>
        <v>0</v>
      </c>
      <c r="C1063" s="624">
        <f t="shared" si="1451"/>
        <v>0</v>
      </c>
      <c r="D1063" s="624">
        <f t="shared" si="1451"/>
        <v>0</v>
      </c>
      <c r="E1063" s="1158">
        <f t="shared" si="1458"/>
        <v>0</v>
      </c>
      <c r="F1063" s="1158"/>
      <c r="G1063" s="1140"/>
      <c r="H1063" s="1140"/>
      <c r="I1063" s="552"/>
      <c r="J1063" s="552">
        <f t="shared" ref="J1063:AO1063" si="1464">J99*J$338</f>
        <v>0</v>
      </c>
      <c r="K1063" s="552">
        <f t="shared" si="1464"/>
        <v>0</v>
      </c>
      <c r="L1063" s="552">
        <f t="shared" si="1464"/>
        <v>0</v>
      </c>
      <c r="M1063" s="552">
        <f t="shared" si="1464"/>
        <v>0</v>
      </c>
      <c r="N1063" s="552">
        <f t="shared" si="1464"/>
        <v>0</v>
      </c>
      <c r="O1063" s="552">
        <f t="shared" si="1464"/>
        <v>0</v>
      </c>
      <c r="P1063" s="552">
        <f t="shared" si="1464"/>
        <v>0</v>
      </c>
      <c r="Q1063" s="552">
        <f t="shared" si="1464"/>
        <v>0</v>
      </c>
      <c r="R1063" s="552">
        <f t="shared" si="1464"/>
        <v>0</v>
      </c>
      <c r="S1063" s="552">
        <f t="shared" si="1464"/>
        <v>0</v>
      </c>
      <c r="T1063" s="552">
        <f t="shared" si="1464"/>
        <v>0</v>
      </c>
      <c r="U1063" s="552">
        <f t="shared" si="1464"/>
        <v>0</v>
      </c>
      <c r="V1063" s="552">
        <f t="shared" si="1464"/>
        <v>0</v>
      </c>
      <c r="W1063" s="552">
        <f t="shared" si="1464"/>
        <v>0</v>
      </c>
      <c r="X1063" s="552">
        <f t="shared" si="1464"/>
        <v>0</v>
      </c>
      <c r="Y1063" s="552">
        <f t="shared" si="1464"/>
        <v>0</v>
      </c>
      <c r="Z1063" s="552">
        <f t="shared" si="1464"/>
        <v>0</v>
      </c>
      <c r="AA1063" s="552">
        <f t="shared" si="1464"/>
        <v>0</v>
      </c>
      <c r="AB1063" s="552">
        <f t="shared" si="1464"/>
        <v>0</v>
      </c>
      <c r="AC1063" s="552">
        <f t="shared" si="1464"/>
        <v>0</v>
      </c>
      <c r="AD1063" s="552">
        <f t="shared" si="1464"/>
        <v>0</v>
      </c>
      <c r="AE1063" s="552">
        <f t="shared" si="1464"/>
        <v>0</v>
      </c>
      <c r="AF1063" s="552">
        <f t="shared" si="1464"/>
        <v>0</v>
      </c>
      <c r="AG1063" s="552">
        <f t="shared" si="1464"/>
        <v>0</v>
      </c>
      <c r="AH1063" s="552">
        <f t="shared" si="1464"/>
        <v>0</v>
      </c>
      <c r="AI1063" s="552">
        <f t="shared" si="1464"/>
        <v>0</v>
      </c>
      <c r="AJ1063" s="552">
        <f t="shared" si="1464"/>
        <v>0</v>
      </c>
      <c r="AK1063" s="552">
        <f t="shared" si="1464"/>
        <v>0</v>
      </c>
      <c r="AL1063" s="552">
        <f t="shared" si="1464"/>
        <v>0</v>
      </c>
      <c r="AM1063" s="552">
        <f t="shared" si="1464"/>
        <v>0</v>
      </c>
      <c r="AN1063" s="552">
        <f t="shared" si="1464"/>
        <v>0</v>
      </c>
      <c r="AO1063" s="552">
        <f t="shared" si="1464"/>
        <v>0</v>
      </c>
      <c r="AP1063" s="552">
        <f t="shared" ref="AP1063:BU1063" si="1465">AP99*AP$338</f>
        <v>0</v>
      </c>
      <c r="AQ1063" s="552">
        <f t="shared" si="1465"/>
        <v>0</v>
      </c>
      <c r="AR1063" s="552">
        <f t="shared" si="1465"/>
        <v>0</v>
      </c>
      <c r="AS1063" s="552">
        <f t="shared" si="1465"/>
        <v>0</v>
      </c>
      <c r="AT1063" s="552">
        <f t="shared" si="1465"/>
        <v>0</v>
      </c>
      <c r="AU1063" s="552">
        <f t="shared" si="1465"/>
        <v>0</v>
      </c>
      <c r="AV1063" s="552">
        <f t="shared" si="1465"/>
        <v>0</v>
      </c>
      <c r="AW1063" s="552">
        <f t="shared" si="1465"/>
        <v>0</v>
      </c>
      <c r="AX1063" s="552">
        <f t="shared" si="1465"/>
        <v>0</v>
      </c>
      <c r="AY1063" s="552">
        <f t="shared" si="1465"/>
        <v>0</v>
      </c>
      <c r="AZ1063" s="552">
        <f t="shared" si="1465"/>
        <v>0</v>
      </c>
      <c r="BA1063" s="552">
        <f t="shared" si="1465"/>
        <v>0</v>
      </c>
      <c r="BB1063" s="552">
        <f t="shared" si="1465"/>
        <v>0</v>
      </c>
      <c r="BC1063" s="552">
        <f t="shared" si="1465"/>
        <v>0</v>
      </c>
      <c r="BD1063" s="552">
        <f t="shared" si="1465"/>
        <v>0</v>
      </c>
      <c r="BE1063" s="552">
        <f t="shared" si="1465"/>
        <v>0</v>
      </c>
      <c r="BF1063" s="552">
        <f t="shared" si="1465"/>
        <v>0</v>
      </c>
      <c r="BG1063" s="552">
        <f t="shared" si="1465"/>
        <v>0</v>
      </c>
      <c r="BH1063" s="552">
        <f t="shared" si="1465"/>
        <v>0</v>
      </c>
      <c r="BI1063" s="552">
        <f t="shared" si="1465"/>
        <v>0</v>
      </c>
      <c r="BJ1063" s="552">
        <f t="shared" si="1465"/>
        <v>0</v>
      </c>
      <c r="BK1063" s="552">
        <f t="shared" si="1465"/>
        <v>0</v>
      </c>
      <c r="BL1063" s="552">
        <f t="shared" si="1465"/>
        <v>0</v>
      </c>
      <c r="BM1063" s="552">
        <f t="shared" si="1465"/>
        <v>0</v>
      </c>
      <c r="BN1063" s="552">
        <f t="shared" si="1465"/>
        <v>0</v>
      </c>
      <c r="BO1063" s="552">
        <f t="shared" si="1465"/>
        <v>0</v>
      </c>
      <c r="BP1063" s="552">
        <f t="shared" si="1465"/>
        <v>0</v>
      </c>
      <c r="BQ1063" s="552">
        <f t="shared" si="1465"/>
        <v>0</v>
      </c>
      <c r="BR1063" s="552">
        <f t="shared" si="1465"/>
        <v>0</v>
      </c>
      <c r="BS1063" s="552">
        <f t="shared" si="1465"/>
        <v>0</v>
      </c>
      <c r="BT1063" s="552">
        <f t="shared" si="1465"/>
        <v>0</v>
      </c>
      <c r="BU1063" s="552">
        <f t="shared" si="1465"/>
        <v>0</v>
      </c>
      <c r="BV1063" s="552">
        <f t="shared" ref="BV1063:DA1063" si="1466">BV99*BV$338</f>
        <v>0</v>
      </c>
      <c r="BW1063" s="552">
        <f t="shared" si="1466"/>
        <v>0</v>
      </c>
      <c r="BX1063" s="552">
        <f t="shared" si="1466"/>
        <v>0</v>
      </c>
      <c r="BY1063" s="552">
        <f t="shared" si="1466"/>
        <v>0</v>
      </c>
      <c r="BZ1063" s="552">
        <f t="shared" si="1466"/>
        <v>0</v>
      </c>
      <c r="CA1063" s="552">
        <f t="shared" si="1466"/>
        <v>0</v>
      </c>
      <c r="CB1063" s="552">
        <f t="shared" si="1466"/>
        <v>0</v>
      </c>
      <c r="CC1063" s="552">
        <f t="shared" si="1466"/>
        <v>0</v>
      </c>
      <c r="CD1063" s="552">
        <f t="shared" si="1466"/>
        <v>0</v>
      </c>
      <c r="CE1063" s="552">
        <f t="shared" si="1466"/>
        <v>0</v>
      </c>
      <c r="CF1063" s="552">
        <f t="shared" si="1466"/>
        <v>0</v>
      </c>
      <c r="CG1063" s="552">
        <f t="shared" si="1466"/>
        <v>0</v>
      </c>
      <c r="CH1063" s="552">
        <f t="shared" si="1466"/>
        <v>0</v>
      </c>
      <c r="CI1063" s="552">
        <f t="shared" si="1466"/>
        <v>0</v>
      </c>
      <c r="CJ1063" s="552">
        <f t="shared" si="1466"/>
        <v>0</v>
      </c>
      <c r="CK1063" s="552">
        <f t="shared" si="1466"/>
        <v>0</v>
      </c>
      <c r="CL1063" s="552">
        <f t="shared" si="1466"/>
        <v>0</v>
      </c>
      <c r="CM1063" s="552">
        <f t="shared" si="1466"/>
        <v>0</v>
      </c>
      <c r="CN1063" s="552">
        <f t="shared" si="1466"/>
        <v>0</v>
      </c>
      <c r="CO1063" s="552">
        <f t="shared" si="1466"/>
        <v>0</v>
      </c>
      <c r="CP1063" s="552">
        <f t="shared" si="1466"/>
        <v>0</v>
      </c>
      <c r="CQ1063" s="552">
        <f t="shared" si="1466"/>
        <v>0</v>
      </c>
      <c r="CR1063" s="552">
        <f t="shared" si="1466"/>
        <v>0</v>
      </c>
      <c r="CS1063" s="552">
        <f t="shared" si="1466"/>
        <v>0</v>
      </c>
      <c r="CT1063" s="552">
        <f t="shared" si="1466"/>
        <v>0</v>
      </c>
      <c r="CU1063" s="552">
        <f t="shared" si="1466"/>
        <v>0</v>
      </c>
      <c r="CV1063" s="552">
        <f t="shared" si="1466"/>
        <v>0</v>
      </c>
      <c r="CW1063" s="552">
        <f t="shared" si="1466"/>
        <v>0</v>
      </c>
      <c r="CX1063" s="552">
        <f t="shared" si="1466"/>
        <v>0</v>
      </c>
      <c r="CY1063" s="552">
        <f t="shared" si="1466"/>
        <v>0</v>
      </c>
      <c r="CZ1063" s="552">
        <f t="shared" si="1466"/>
        <v>0</v>
      </c>
      <c r="DA1063" s="552">
        <f t="shared" si="1466"/>
        <v>0</v>
      </c>
      <c r="DB1063" s="552">
        <f t="shared" ref="DB1063:EG1063" si="1467">DB99*DB$338</f>
        <v>0</v>
      </c>
      <c r="DC1063" s="552">
        <f t="shared" si="1467"/>
        <v>0</v>
      </c>
      <c r="DD1063" s="552">
        <f t="shared" si="1467"/>
        <v>0</v>
      </c>
      <c r="DE1063" s="552">
        <f t="shared" si="1467"/>
        <v>0</v>
      </c>
      <c r="DF1063" s="552">
        <f t="shared" si="1467"/>
        <v>0</v>
      </c>
      <c r="DG1063" s="552">
        <f t="shared" si="1467"/>
        <v>0</v>
      </c>
      <c r="DH1063" s="552">
        <f t="shared" si="1467"/>
        <v>0</v>
      </c>
      <c r="DI1063" s="552">
        <f t="shared" si="1467"/>
        <v>0</v>
      </c>
      <c r="DJ1063" s="552">
        <f t="shared" si="1467"/>
        <v>0</v>
      </c>
      <c r="DK1063" s="552">
        <f t="shared" si="1467"/>
        <v>0</v>
      </c>
      <c r="DL1063" s="552">
        <f t="shared" si="1467"/>
        <v>0</v>
      </c>
      <c r="DM1063" s="552">
        <f t="shared" si="1467"/>
        <v>0</v>
      </c>
      <c r="DN1063" s="552">
        <f t="shared" si="1467"/>
        <v>0</v>
      </c>
      <c r="DO1063" s="552">
        <f t="shared" si="1467"/>
        <v>0</v>
      </c>
      <c r="DP1063" s="552">
        <f t="shared" si="1467"/>
        <v>0</v>
      </c>
      <c r="DQ1063" s="552">
        <f t="shared" si="1467"/>
        <v>0</v>
      </c>
      <c r="DR1063" s="552">
        <f t="shared" si="1467"/>
        <v>0</v>
      </c>
      <c r="DS1063" s="552">
        <f t="shared" si="1467"/>
        <v>0</v>
      </c>
      <c r="DT1063" s="552">
        <f t="shared" si="1467"/>
        <v>0</v>
      </c>
      <c r="DU1063" s="552">
        <f t="shared" si="1467"/>
        <v>0</v>
      </c>
      <c r="DV1063" s="552">
        <f t="shared" si="1467"/>
        <v>0</v>
      </c>
      <c r="DW1063" s="552">
        <f t="shared" si="1467"/>
        <v>0</v>
      </c>
      <c r="DX1063" s="552">
        <f t="shared" si="1467"/>
        <v>0</v>
      </c>
      <c r="DY1063" s="552">
        <f t="shared" si="1467"/>
        <v>0</v>
      </c>
      <c r="DZ1063" s="552">
        <f t="shared" si="1467"/>
        <v>0</v>
      </c>
      <c r="EA1063" s="552">
        <f t="shared" si="1467"/>
        <v>0</v>
      </c>
      <c r="EB1063" s="552">
        <f t="shared" si="1467"/>
        <v>0</v>
      </c>
      <c r="EC1063" s="552">
        <f t="shared" si="1467"/>
        <v>0</v>
      </c>
      <c r="ED1063" s="552">
        <f t="shared" si="1467"/>
        <v>0</v>
      </c>
      <c r="EE1063" s="552">
        <f t="shared" si="1467"/>
        <v>0</v>
      </c>
      <c r="EF1063" s="552">
        <f t="shared" si="1467"/>
        <v>0</v>
      </c>
      <c r="EG1063" s="552">
        <f t="shared" si="1467"/>
        <v>0</v>
      </c>
      <c r="EH1063" s="552">
        <f t="shared" ref="EH1063:EX1063" si="1468">EH99*EH$338</f>
        <v>0</v>
      </c>
      <c r="EI1063" s="552">
        <f t="shared" si="1468"/>
        <v>0</v>
      </c>
      <c r="EJ1063" s="552">
        <f t="shared" si="1468"/>
        <v>0</v>
      </c>
      <c r="EK1063" s="552">
        <f t="shared" si="1468"/>
        <v>0</v>
      </c>
      <c r="EL1063" s="552">
        <f t="shared" si="1468"/>
        <v>0</v>
      </c>
      <c r="EM1063" s="552">
        <f t="shared" si="1468"/>
        <v>0</v>
      </c>
      <c r="EN1063" s="552">
        <f t="shared" si="1468"/>
        <v>0</v>
      </c>
      <c r="EO1063" s="552">
        <f t="shared" si="1468"/>
        <v>0</v>
      </c>
      <c r="EP1063" s="552">
        <f t="shared" si="1468"/>
        <v>0</v>
      </c>
      <c r="EQ1063" s="552">
        <f t="shared" si="1468"/>
        <v>0</v>
      </c>
      <c r="ER1063" s="552">
        <f t="shared" si="1468"/>
        <v>0</v>
      </c>
      <c r="ES1063" s="552">
        <f t="shared" si="1468"/>
        <v>0</v>
      </c>
      <c r="ET1063" s="552">
        <f t="shared" si="1468"/>
        <v>0</v>
      </c>
      <c r="EU1063" s="552">
        <f t="shared" si="1468"/>
        <v>0</v>
      </c>
      <c r="EV1063" s="552">
        <f t="shared" si="1468"/>
        <v>0</v>
      </c>
      <c r="EW1063" s="552">
        <f t="shared" si="1468"/>
        <v>0</v>
      </c>
      <c r="EX1063" s="552">
        <f t="shared" si="1468"/>
        <v>0</v>
      </c>
      <c r="EY1063" s="799">
        <f t="shared" si="1265"/>
        <v>0</v>
      </c>
      <c r="EZ1063" s="640"/>
      <c r="FA1063" s="640"/>
      <c r="FB1063" s="640"/>
      <c r="FC1063" s="640"/>
      <c r="FD1063" s="640"/>
      <c r="FE1063" s="640"/>
      <c r="FF1063" s="640"/>
      <c r="FG1063" s="640"/>
      <c r="FH1063" s="640"/>
      <c r="FI1063" s="640"/>
      <c r="FJ1063" s="640"/>
      <c r="FK1063" s="640"/>
      <c r="FL1063" s="640"/>
    </row>
    <row r="1064" spans="1:168" x14ac:dyDescent="0.25">
      <c r="A1064" s="1492"/>
      <c r="B1064" s="624">
        <f t="shared" si="1451"/>
        <v>0</v>
      </c>
      <c r="C1064" s="624">
        <f t="shared" si="1451"/>
        <v>0</v>
      </c>
      <c r="D1064" s="624">
        <f t="shared" si="1451"/>
        <v>0</v>
      </c>
      <c r="E1064" s="1158">
        <f t="shared" si="1458"/>
        <v>0</v>
      </c>
      <c r="F1064" s="1158"/>
      <c r="G1064" s="1140"/>
      <c r="H1064" s="1140"/>
      <c r="I1064" s="552"/>
      <c r="J1064" s="552">
        <f t="shared" ref="J1064:AO1064" si="1469">J100*J$338</f>
        <v>0</v>
      </c>
      <c r="K1064" s="552">
        <f t="shared" si="1469"/>
        <v>0</v>
      </c>
      <c r="L1064" s="552">
        <f t="shared" si="1469"/>
        <v>0</v>
      </c>
      <c r="M1064" s="552">
        <f t="shared" si="1469"/>
        <v>0</v>
      </c>
      <c r="N1064" s="552">
        <f t="shared" si="1469"/>
        <v>0</v>
      </c>
      <c r="O1064" s="552">
        <f t="shared" si="1469"/>
        <v>0</v>
      </c>
      <c r="P1064" s="552">
        <f t="shared" si="1469"/>
        <v>0</v>
      </c>
      <c r="Q1064" s="552">
        <f t="shared" si="1469"/>
        <v>0</v>
      </c>
      <c r="R1064" s="552">
        <f t="shared" si="1469"/>
        <v>0</v>
      </c>
      <c r="S1064" s="552">
        <f t="shared" si="1469"/>
        <v>0</v>
      </c>
      <c r="T1064" s="552">
        <f t="shared" si="1469"/>
        <v>0</v>
      </c>
      <c r="U1064" s="552">
        <f t="shared" si="1469"/>
        <v>0</v>
      </c>
      <c r="V1064" s="552">
        <f t="shared" si="1469"/>
        <v>0</v>
      </c>
      <c r="W1064" s="552">
        <f t="shared" si="1469"/>
        <v>0</v>
      </c>
      <c r="X1064" s="552">
        <f t="shared" si="1469"/>
        <v>0</v>
      </c>
      <c r="Y1064" s="552">
        <f t="shared" si="1469"/>
        <v>0</v>
      </c>
      <c r="Z1064" s="552">
        <f t="shared" si="1469"/>
        <v>0</v>
      </c>
      <c r="AA1064" s="552">
        <f t="shared" si="1469"/>
        <v>0</v>
      </c>
      <c r="AB1064" s="552">
        <f t="shared" si="1469"/>
        <v>0</v>
      </c>
      <c r="AC1064" s="552">
        <f t="shared" si="1469"/>
        <v>0</v>
      </c>
      <c r="AD1064" s="552">
        <f t="shared" si="1469"/>
        <v>0</v>
      </c>
      <c r="AE1064" s="552">
        <f t="shared" si="1469"/>
        <v>0</v>
      </c>
      <c r="AF1064" s="552">
        <f t="shared" si="1469"/>
        <v>0</v>
      </c>
      <c r="AG1064" s="552">
        <f t="shared" si="1469"/>
        <v>0</v>
      </c>
      <c r="AH1064" s="552">
        <f t="shared" si="1469"/>
        <v>0</v>
      </c>
      <c r="AI1064" s="552">
        <f t="shared" si="1469"/>
        <v>0</v>
      </c>
      <c r="AJ1064" s="552">
        <f t="shared" si="1469"/>
        <v>0</v>
      </c>
      <c r="AK1064" s="552">
        <f t="shared" si="1469"/>
        <v>0</v>
      </c>
      <c r="AL1064" s="552">
        <f t="shared" si="1469"/>
        <v>0</v>
      </c>
      <c r="AM1064" s="552">
        <f t="shared" si="1469"/>
        <v>0</v>
      </c>
      <c r="AN1064" s="552">
        <f t="shared" si="1469"/>
        <v>0</v>
      </c>
      <c r="AO1064" s="552">
        <f t="shared" si="1469"/>
        <v>0</v>
      </c>
      <c r="AP1064" s="552">
        <f t="shared" ref="AP1064:BU1064" si="1470">AP100*AP$338</f>
        <v>0</v>
      </c>
      <c r="AQ1064" s="552">
        <f t="shared" si="1470"/>
        <v>0</v>
      </c>
      <c r="AR1064" s="552">
        <f t="shared" si="1470"/>
        <v>0</v>
      </c>
      <c r="AS1064" s="552">
        <f t="shared" si="1470"/>
        <v>0</v>
      </c>
      <c r="AT1064" s="552">
        <f t="shared" si="1470"/>
        <v>0</v>
      </c>
      <c r="AU1064" s="552">
        <f t="shared" si="1470"/>
        <v>0</v>
      </c>
      <c r="AV1064" s="552">
        <f t="shared" si="1470"/>
        <v>0</v>
      </c>
      <c r="AW1064" s="552">
        <f t="shared" si="1470"/>
        <v>0</v>
      </c>
      <c r="AX1064" s="552">
        <f t="shared" si="1470"/>
        <v>0</v>
      </c>
      <c r="AY1064" s="552">
        <f t="shared" si="1470"/>
        <v>0</v>
      </c>
      <c r="AZ1064" s="552">
        <f t="shared" si="1470"/>
        <v>0</v>
      </c>
      <c r="BA1064" s="552">
        <f t="shared" si="1470"/>
        <v>0</v>
      </c>
      <c r="BB1064" s="552">
        <f t="shared" si="1470"/>
        <v>0</v>
      </c>
      <c r="BC1064" s="552">
        <f t="shared" si="1470"/>
        <v>0</v>
      </c>
      <c r="BD1064" s="552">
        <f t="shared" si="1470"/>
        <v>0</v>
      </c>
      <c r="BE1064" s="552">
        <f t="shared" si="1470"/>
        <v>0</v>
      </c>
      <c r="BF1064" s="552">
        <f t="shared" si="1470"/>
        <v>0</v>
      </c>
      <c r="BG1064" s="552">
        <f t="shared" si="1470"/>
        <v>0</v>
      </c>
      <c r="BH1064" s="552">
        <f t="shared" si="1470"/>
        <v>0</v>
      </c>
      <c r="BI1064" s="552">
        <f t="shared" si="1470"/>
        <v>0</v>
      </c>
      <c r="BJ1064" s="552">
        <f t="shared" si="1470"/>
        <v>0</v>
      </c>
      <c r="BK1064" s="552">
        <f t="shared" si="1470"/>
        <v>0</v>
      </c>
      <c r="BL1064" s="552">
        <f t="shared" si="1470"/>
        <v>0</v>
      </c>
      <c r="BM1064" s="552">
        <f t="shared" si="1470"/>
        <v>0</v>
      </c>
      <c r="BN1064" s="552">
        <f t="shared" si="1470"/>
        <v>0</v>
      </c>
      <c r="BO1064" s="552">
        <f t="shared" si="1470"/>
        <v>0</v>
      </c>
      <c r="BP1064" s="552">
        <f t="shared" si="1470"/>
        <v>0</v>
      </c>
      <c r="BQ1064" s="552">
        <f t="shared" si="1470"/>
        <v>0</v>
      </c>
      <c r="BR1064" s="552">
        <f t="shared" si="1470"/>
        <v>0</v>
      </c>
      <c r="BS1064" s="552">
        <f t="shared" si="1470"/>
        <v>0</v>
      </c>
      <c r="BT1064" s="552">
        <f t="shared" si="1470"/>
        <v>0</v>
      </c>
      <c r="BU1064" s="552">
        <f t="shared" si="1470"/>
        <v>0</v>
      </c>
      <c r="BV1064" s="552">
        <f t="shared" ref="BV1064:DA1064" si="1471">BV100*BV$338</f>
        <v>0</v>
      </c>
      <c r="BW1064" s="552">
        <f t="shared" si="1471"/>
        <v>0</v>
      </c>
      <c r="BX1064" s="552">
        <f t="shared" si="1471"/>
        <v>0</v>
      </c>
      <c r="BY1064" s="552">
        <f t="shared" si="1471"/>
        <v>0</v>
      </c>
      <c r="BZ1064" s="552">
        <f t="shared" si="1471"/>
        <v>0</v>
      </c>
      <c r="CA1064" s="552">
        <f t="shared" si="1471"/>
        <v>0</v>
      </c>
      <c r="CB1064" s="552">
        <f t="shared" si="1471"/>
        <v>0</v>
      </c>
      <c r="CC1064" s="552">
        <f t="shared" si="1471"/>
        <v>0</v>
      </c>
      <c r="CD1064" s="552">
        <f t="shared" si="1471"/>
        <v>0</v>
      </c>
      <c r="CE1064" s="552">
        <f t="shared" si="1471"/>
        <v>0</v>
      </c>
      <c r="CF1064" s="552">
        <f t="shared" si="1471"/>
        <v>0</v>
      </c>
      <c r="CG1064" s="552">
        <f t="shared" si="1471"/>
        <v>0</v>
      </c>
      <c r="CH1064" s="552">
        <f t="shared" si="1471"/>
        <v>0</v>
      </c>
      <c r="CI1064" s="552">
        <f t="shared" si="1471"/>
        <v>0</v>
      </c>
      <c r="CJ1064" s="552">
        <f t="shared" si="1471"/>
        <v>0</v>
      </c>
      <c r="CK1064" s="552">
        <f t="shared" si="1471"/>
        <v>0</v>
      </c>
      <c r="CL1064" s="552">
        <f t="shared" si="1471"/>
        <v>0</v>
      </c>
      <c r="CM1064" s="552">
        <f t="shared" si="1471"/>
        <v>0</v>
      </c>
      <c r="CN1064" s="552">
        <f t="shared" si="1471"/>
        <v>0</v>
      </c>
      <c r="CO1064" s="552">
        <f t="shared" si="1471"/>
        <v>0</v>
      </c>
      <c r="CP1064" s="552">
        <f t="shared" si="1471"/>
        <v>0</v>
      </c>
      <c r="CQ1064" s="552">
        <f t="shared" si="1471"/>
        <v>0</v>
      </c>
      <c r="CR1064" s="552">
        <f t="shared" si="1471"/>
        <v>0</v>
      </c>
      <c r="CS1064" s="552">
        <f t="shared" si="1471"/>
        <v>0</v>
      </c>
      <c r="CT1064" s="552">
        <f t="shared" si="1471"/>
        <v>0</v>
      </c>
      <c r="CU1064" s="552">
        <f t="shared" si="1471"/>
        <v>0</v>
      </c>
      <c r="CV1064" s="552">
        <f t="shared" si="1471"/>
        <v>0</v>
      </c>
      <c r="CW1064" s="552">
        <f t="shared" si="1471"/>
        <v>0</v>
      </c>
      <c r="CX1064" s="552">
        <f t="shared" si="1471"/>
        <v>0</v>
      </c>
      <c r="CY1064" s="552">
        <f t="shared" si="1471"/>
        <v>0</v>
      </c>
      <c r="CZ1064" s="552">
        <f t="shared" si="1471"/>
        <v>0</v>
      </c>
      <c r="DA1064" s="552">
        <f t="shared" si="1471"/>
        <v>0</v>
      </c>
      <c r="DB1064" s="552">
        <f t="shared" ref="DB1064:EG1064" si="1472">DB100*DB$338</f>
        <v>0</v>
      </c>
      <c r="DC1064" s="552">
        <f t="shared" si="1472"/>
        <v>0</v>
      </c>
      <c r="DD1064" s="552">
        <f t="shared" si="1472"/>
        <v>0</v>
      </c>
      <c r="DE1064" s="552">
        <f t="shared" si="1472"/>
        <v>0</v>
      </c>
      <c r="DF1064" s="552">
        <f t="shared" si="1472"/>
        <v>0</v>
      </c>
      <c r="DG1064" s="552">
        <f t="shared" si="1472"/>
        <v>0</v>
      </c>
      <c r="DH1064" s="552">
        <f t="shared" si="1472"/>
        <v>0</v>
      </c>
      <c r="DI1064" s="552">
        <f t="shared" si="1472"/>
        <v>0</v>
      </c>
      <c r="DJ1064" s="552">
        <f t="shared" si="1472"/>
        <v>0</v>
      </c>
      <c r="DK1064" s="552">
        <f t="shared" si="1472"/>
        <v>0</v>
      </c>
      <c r="DL1064" s="552">
        <f t="shared" si="1472"/>
        <v>0</v>
      </c>
      <c r="DM1064" s="552">
        <f t="shared" si="1472"/>
        <v>0</v>
      </c>
      <c r="DN1064" s="552">
        <f t="shared" si="1472"/>
        <v>0</v>
      </c>
      <c r="DO1064" s="552">
        <f t="shared" si="1472"/>
        <v>0</v>
      </c>
      <c r="DP1064" s="552">
        <f t="shared" si="1472"/>
        <v>0</v>
      </c>
      <c r="DQ1064" s="552">
        <f t="shared" si="1472"/>
        <v>0</v>
      </c>
      <c r="DR1064" s="552">
        <f t="shared" si="1472"/>
        <v>0</v>
      </c>
      <c r="DS1064" s="552">
        <f t="shared" si="1472"/>
        <v>0</v>
      </c>
      <c r="DT1064" s="552">
        <f t="shared" si="1472"/>
        <v>0</v>
      </c>
      <c r="DU1064" s="552">
        <f t="shared" si="1472"/>
        <v>0</v>
      </c>
      <c r="DV1064" s="552">
        <f t="shared" si="1472"/>
        <v>0</v>
      </c>
      <c r="DW1064" s="552">
        <f t="shared" si="1472"/>
        <v>0</v>
      </c>
      <c r="DX1064" s="552">
        <f t="shared" si="1472"/>
        <v>0</v>
      </c>
      <c r="DY1064" s="552">
        <f t="shared" si="1472"/>
        <v>0</v>
      </c>
      <c r="DZ1064" s="552">
        <f t="shared" si="1472"/>
        <v>0</v>
      </c>
      <c r="EA1064" s="552">
        <f t="shared" si="1472"/>
        <v>0</v>
      </c>
      <c r="EB1064" s="552">
        <f t="shared" si="1472"/>
        <v>0</v>
      </c>
      <c r="EC1064" s="552">
        <f t="shared" si="1472"/>
        <v>0</v>
      </c>
      <c r="ED1064" s="552">
        <f t="shared" si="1472"/>
        <v>0</v>
      </c>
      <c r="EE1064" s="552">
        <f t="shared" si="1472"/>
        <v>0</v>
      </c>
      <c r="EF1064" s="552">
        <f t="shared" si="1472"/>
        <v>0</v>
      </c>
      <c r="EG1064" s="552">
        <f t="shared" si="1472"/>
        <v>0</v>
      </c>
      <c r="EH1064" s="552">
        <f t="shared" ref="EH1064:EX1064" si="1473">EH100*EH$338</f>
        <v>0</v>
      </c>
      <c r="EI1064" s="552">
        <f t="shared" si="1473"/>
        <v>0</v>
      </c>
      <c r="EJ1064" s="552">
        <f t="shared" si="1473"/>
        <v>0</v>
      </c>
      <c r="EK1064" s="552">
        <f t="shared" si="1473"/>
        <v>0</v>
      </c>
      <c r="EL1064" s="552">
        <f t="shared" si="1473"/>
        <v>0</v>
      </c>
      <c r="EM1064" s="552">
        <f t="shared" si="1473"/>
        <v>0</v>
      </c>
      <c r="EN1064" s="552">
        <f t="shared" si="1473"/>
        <v>0</v>
      </c>
      <c r="EO1064" s="552">
        <f t="shared" si="1473"/>
        <v>0</v>
      </c>
      <c r="EP1064" s="552">
        <f t="shared" si="1473"/>
        <v>0</v>
      </c>
      <c r="EQ1064" s="552">
        <f t="shared" si="1473"/>
        <v>0</v>
      </c>
      <c r="ER1064" s="552">
        <f t="shared" si="1473"/>
        <v>0</v>
      </c>
      <c r="ES1064" s="552">
        <f t="shared" si="1473"/>
        <v>0</v>
      </c>
      <c r="ET1064" s="552">
        <f t="shared" si="1473"/>
        <v>0</v>
      </c>
      <c r="EU1064" s="552">
        <f t="shared" si="1473"/>
        <v>0</v>
      </c>
      <c r="EV1064" s="552">
        <f t="shared" si="1473"/>
        <v>0</v>
      </c>
      <c r="EW1064" s="552">
        <f t="shared" si="1473"/>
        <v>0</v>
      </c>
      <c r="EX1064" s="552">
        <f t="shared" si="1473"/>
        <v>0</v>
      </c>
      <c r="EY1064" s="799">
        <f t="shared" si="1265"/>
        <v>0</v>
      </c>
      <c r="EZ1064" s="640"/>
      <c r="FA1064" s="640"/>
      <c r="FB1064" s="640"/>
      <c r="FC1064" s="640"/>
      <c r="FD1064" s="640"/>
      <c r="FE1064" s="640"/>
      <c r="FF1064" s="640"/>
      <c r="FG1064" s="640"/>
      <c r="FH1064" s="640"/>
      <c r="FI1064" s="640"/>
      <c r="FJ1064" s="640"/>
      <c r="FK1064" s="640"/>
      <c r="FL1064" s="640"/>
    </row>
    <row r="1065" spans="1:168" x14ac:dyDescent="0.25">
      <c r="A1065" s="1493"/>
      <c r="B1065" s="624">
        <f t="shared" si="1451"/>
        <v>0</v>
      </c>
      <c r="C1065" s="624">
        <f t="shared" si="1451"/>
        <v>0</v>
      </c>
      <c r="D1065" s="624">
        <f t="shared" si="1451"/>
        <v>0</v>
      </c>
      <c r="E1065" s="1158">
        <f t="shared" si="1458"/>
        <v>0</v>
      </c>
      <c r="F1065" s="1158"/>
      <c r="G1065" s="1140"/>
      <c r="H1065" s="1140"/>
      <c r="I1065" s="552"/>
      <c r="J1065" s="552">
        <f>J101*J$338</f>
        <v>0</v>
      </c>
      <c r="K1065" s="552">
        <f t="shared" ref="K1065:BV1065" si="1474">K101*K$338</f>
        <v>0</v>
      </c>
      <c r="L1065" s="552">
        <f t="shared" si="1474"/>
        <v>0</v>
      </c>
      <c r="M1065" s="552">
        <f t="shared" si="1474"/>
        <v>0</v>
      </c>
      <c r="N1065" s="552">
        <f t="shared" si="1474"/>
        <v>0</v>
      </c>
      <c r="O1065" s="552">
        <f t="shared" si="1474"/>
        <v>0</v>
      </c>
      <c r="P1065" s="552">
        <f t="shared" si="1474"/>
        <v>0</v>
      </c>
      <c r="Q1065" s="552">
        <f t="shared" si="1474"/>
        <v>0</v>
      </c>
      <c r="R1065" s="552">
        <f t="shared" si="1474"/>
        <v>0</v>
      </c>
      <c r="S1065" s="552">
        <f t="shared" si="1474"/>
        <v>0</v>
      </c>
      <c r="T1065" s="552">
        <f t="shared" si="1474"/>
        <v>0</v>
      </c>
      <c r="U1065" s="552">
        <f t="shared" si="1474"/>
        <v>0</v>
      </c>
      <c r="V1065" s="552">
        <f t="shared" si="1474"/>
        <v>0</v>
      </c>
      <c r="W1065" s="552">
        <f t="shared" si="1474"/>
        <v>0</v>
      </c>
      <c r="X1065" s="552">
        <f t="shared" si="1474"/>
        <v>0</v>
      </c>
      <c r="Y1065" s="552">
        <f t="shared" si="1474"/>
        <v>0</v>
      </c>
      <c r="Z1065" s="552">
        <f t="shared" si="1474"/>
        <v>0</v>
      </c>
      <c r="AA1065" s="552">
        <f t="shared" si="1474"/>
        <v>0</v>
      </c>
      <c r="AB1065" s="552">
        <f t="shared" si="1474"/>
        <v>0</v>
      </c>
      <c r="AC1065" s="552">
        <f t="shared" si="1474"/>
        <v>0</v>
      </c>
      <c r="AD1065" s="552">
        <f t="shared" si="1474"/>
        <v>0</v>
      </c>
      <c r="AE1065" s="552">
        <f t="shared" si="1474"/>
        <v>0</v>
      </c>
      <c r="AF1065" s="552">
        <f t="shared" si="1474"/>
        <v>0</v>
      </c>
      <c r="AG1065" s="552">
        <f t="shared" si="1474"/>
        <v>0</v>
      </c>
      <c r="AH1065" s="552">
        <f t="shared" si="1474"/>
        <v>0</v>
      </c>
      <c r="AI1065" s="552">
        <f t="shared" si="1474"/>
        <v>0</v>
      </c>
      <c r="AJ1065" s="552">
        <f t="shared" si="1474"/>
        <v>0</v>
      </c>
      <c r="AK1065" s="552">
        <f t="shared" si="1474"/>
        <v>0</v>
      </c>
      <c r="AL1065" s="552">
        <f t="shared" si="1474"/>
        <v>0</v>
      </c>
      <c r="AM1065" s="552">
        <f t="shared" si="1474"/>
        <v>0</v>
      </c>
      <c r="AN1065" s="552">
        <f t="shared" si="1474"/>
        <v>0</v>
      </c>
      <c r="AO1065" s="552">
        <f t="shared" si="1474"/>
        <v>0</v>
      </c>
      <c r="AP1065" s="552">
        <f t="shared" si="1474"/>
        <v>0</v>
      </c>
      <c r="AQ1065" s="552">
        <f t="shared" si="1474"/>
        <v>0</v>
      </c>
      <c r="AR1065" s="552">
        <f t="shared" si="1474"/>
        <v>0</v>
      </c>
      <c r="AS1065" s="552">
        <f t="shared" si="1474"/>
        <v>0</v>
      </c>
      <c r="AT1065" s="552">
        <f t="shared" si="1474"/>
        <v>0</v>
      </c>
      <c r="AU1065" s="552">
        <f t="shared" si="1474"/>
        <v>0</v>
      </c>
      <c r="AV1065" s="552">
        <f t="shared" si="1474"/>
        <v>0</v>
      </c>
      <c r="AW1065" s="552">
        <f t="shared" si="1474"/>
        <v>0</v>
      </c>
      <c r="AX1065" s="552">
        <f t="shared" si="1474"/>
        <v>0</v>
      </c>
      <c r="AY1065" s="552">
        <f t="shared" si="1474"/>
        <v>0</v>
      </c>
      <c r="AZ1065" s="552">
        <f t="shared" si="1474"/>
        <v>0</v>
      </c>
      <c r="BA1065" s="552">
        <f t="shared" si="1474"/>
        <v>0</v>
      </c>
      <c r="BB1065" s="552">
        <f t="shared" si="1474"/>
        <v>0</v>
      </c>
      <c r="BC1065" s="552">
        <f t="shared" si="1474"/>
        <v>0</v>
      </c>
      <c r="BD1065" s="552">
        <f t="shared" si="1474"/>
        <v>0</v>
      </c>
      <c r="BE1065" s="552">
        <f t="shared" si="1474"/>
        <v>0</v>
      </c>
      <c r="BF1065" s="552">
        <f t="shared" si="1474"/>
        <v>0</v>
      </c>
      <c r="BG1065" s="552">
        <f t="shared" si="1474"/>
        <v>0</v>
      </c>
      <c r="BH1065" s="552">
        <f t="shared" si="1474"/>
        <v>0</v>
      </c>
      <c r="BI1065" s="552">
        <f t="shared" si="1474"/>
        <v>0</v>
      </c>
      <c r="BJ1065" s="552">
        <f t="shared" si="1474"/>
        <v>0</v>
      </c>
      <c r="BK1065" s="552">
        <f t="shared" si="1474"/>
        <v>0</v>
      </c>
      <c r="BL1065" s="552">
        <f t="shared" si="1474"/>
        <v>0</v>
      </c>
      <c r="BM1065" s="552">
        <f t="shared" si="1474"/>
        <v>0</v>
      </c>
      <c r="BN1065" s="552">
        <f t="shared" si="1474"/>
        <v>0</v>
      </c>
      <c r="BO1065" s="552">
        <f t="shared" si="1474"/>
        <v>0</v>
      </c>
      <c r="BP1065" s="552">
        <f t="shared" si="1474"/>
        <v>0</v>
      </c>
      <c r="BQ1065" s="552">
        <f t="shared" si="1474"/>
        <v>0</v>
      </c>
      <c r="BR1065" s="552">
        <f t="shared" si="1474"/>
        <v>0</v>
      </c>
      <c r="BS1065" s="552">
        <f t="shared" si="1474"/>
        <v>0</v>
      </c>
      <c r="BT1065" s="552">
        <f t="shared" si="1474"/>
        <v>0</v>
      </c>
      <c r="BU1065" s="552">
        <f t="shared" si="1474"/>
        <v>0</v>
      </c>
      <c r="BV1065" s="552">
        <f t="shared" si="1474"/>
        <v>0</v>
      </c>
      <c r="BW1065" s="552">
        <f t="shared" ref="BW1065:DB1065" si="1475">BW101*BW$338</f>
        <v>0</v>
      </c>
      <c r="BX1065" s="552">
        <f t="shared" si="1475"/>
        <v>0</v>
      </c>
      <c r="BY1065" s="552">
        <f t="shared" si="1475"/>
        <v>0</v>
      </c>
      <c r="BZ1065" s="552">
        <f t="shared" si="1475"/>
        <v>0</v>
      </c>
      <c r="CA1065" s="552">
        <f t="shared" si="1475"/>
        <v>0</v>
      </c>
      <c r="CB1065" s="552">
        <f t="shared" si="1475"/>
        <v>0</v>
      </c>
      <c r="CC1065" s="552">
        <f t="shared" si="1475"/>
        <v>0</v>
      </c>
      <c r="CD1065" s="552">
        <f t="shared" si="1475"/>
        <v>0</v>
      </c>
      <c r="CE1065" s="552">
        <f t="shared" si="1475"/>
        <v>0</v>
      </c>
      <c r="CF1065" s="552">
        <f t="shared" si="1475"/>
        <v>0</v>
      </c>
      <c r="CG1065" s="552">
        <f t="shared" si="1475"/>
        <v>0</v>
      </c>
      <c r="CH1065" s="552">
        <f t="shared" si="1475"/>
        <v>0</v>
      </c>
      <c r="CI1065" s="552">
        <f t="shared" si="1475"/>
        <v>0</v>
      </c>
      <c r="CJ1065" s="552">
        <f t="shared" si="1475"/>
        <v>0</v>
      </c>
      <c r="CK1065" s="552">
        <f t="shared" si="1475"/>
        <v>0</v>
      </c>
      <c r="CL1065" s="552">
        <f t="shared" si="1475"/>
        <v>0</v>
      </c>
      <c r="CM1065" s="552">
        <f t="shared" si="1475"/>
        <v>0</v>
      </c>
      <c r="CN1065" s="552">
        <f t="shared" si="1475"/>
        <v>0</v>
      </c>
      <c r="CO1065" s="552">
        <f t="shared" si="1475"/>
        <v>0</v>
      </c>
      <c r="CP1065" s="552">
        <f t="shared" si="1475"/>
        <v>0</v>
      </c>
      <c r="CQ1065" s="552">
        <f t="shared" si="1475"/>
        <v>0</v>
      </c>
      <c r="CR1065" s="552">
        <f t="shared" si="1475"/>
        <v>0</v>
      </c>
      <c r="CS1065" s="552">
        <f t="shared" si="1475"/>
        <v>0</v>
      </c>
      <c r="CT1065" s="552">
        <f t="shared" si="1475"/>
        <v>0</v>
      </c>
      <c r="CU1065" s="552">
        <f t="shared" si="1475"/>
        <v>0</v>
      </c>
      <c r="CV1065" s="552">
        <f t="shared" si="1475"/>
        <v>0</v>
      </c>
      <c r="CW1065" s="552">
        <f t="shared" si="1475"/>
        <v>0</v>
      </c>
      <c r="CX1065" s="552">
        <f t="shared" si="1475"/>
        <v>0</v>
      </c>
      <c r="CY1065" s="552">
        <f t="shared" si="1475"/>
        <v>0</v>
      </c>
      <c r="CZ1065" s="552">
        <f t="shared" si="1475"/>
        <v>0</v>
      </c>
      <c r="DA1065" s="552">
        <f t="shared" si="1475"/>
        <v>0</v>
      </c>
      <c r="DB1065" s="552">
        <f t="shared" si="1475"/>
        <v>0</v>
      </c>
      <c r="DC1065" s="552">
        <f t="shared" ref="DC1065:EH1065" si="1476">DC101*DC$338</f>
        <v>0</v>
      </c>
      <c r="DD1065" s="552">
        <f t="shared" si="1476"/>
        <v>0</v>
      </c>
      <c r="DE1065" s="552">
        <f t="shared" si="1476"/>
        <v>0</v>
      </c>
      <c r="DF1065" s="552">
        <f t="shared" si="1476"/>
        <v>0</v>
      </c>
      <c r="DG1065" s="552">
        <f t="shared" si="1476"/>
        <v>0</v>
      </c>
      <c r="DH1065" s="552">
        <f t="shared" si="1476"/>
        <v>0</v>
      </c>
      <c r="DI1065" s="552">
        <f t="shared" si="1476"/>
        <v>0</v>
      </c>
      <c r="DJ1065" s="552">
        <f t="shared" si="1476"/>
        <v>0</v>
      </c>
      <c r="DK1065" s="552">
        <f t="shared" si="1476"/>
        <v>0</v>
      </c>
      <c r="DL1065" s="552">
        <f t="shared" si="1476"/>
        <v>0</v>
      </c>
      <c r="DM1065" s="552">
        <f t="shared" si="1476"/>
        <v>0</v>
      </c>
      <c r="DN1065" s="552">
        <f t="shared" si="1476"/>
        <v>0</v>
      </c>
      <c r="DO1065" s="552">
        <f t="shared" si="1476"/>
        <v>0</v>
      </c>
      <c r="DP1065" s="552">
        <f t="shared" si="1476"/>
        <v>0</v>
      </c>
      <c r="DQ1065" s="552">
        <f t="shared" si="1476"/>
        <v>0</v>
      </c>
      <c r="DR1065" s="552">
        <f t="shared" si="1476"/>
        <v>0</v>
      </c>
      <c r="DS1065" s="552">
        <f t="shared" si="1476"/>
        <v>0</v>
      </c>
      <c r="DT1065" s="552">
        <f t="shared" si="1476"/>
        <v>0</v>
      </c>
      <c r="DU1065" s="552">
        <f t="shared" si="1476"/>
        <v>0</v>
      </c>
      <c r="DV1065" s="552">
        <f t="shared" si="1476"/>
        <v>0</v>
      </c>
      <c r="DW1065" s="552">
        <f t="shared" si="1476"/>
        <v>0</v>
      </c>
      <c r="DX1065" s="552">
        <f t="shared" si="1476"/>
        <v>0</v>
      </c>
      <c r="DY1065" s="552">
        <f t="shared" si="1476"/>
        <v>0</v>
      </c>
      <c r="DZ1065" s="552">
        <f t="shared" si="1476"/>
        <v>0</v>
      </c>
      <c r="EA1065" s="552">
        <f t="shared" si="1476"/>
        <v>0</v>
      </c>
      <c r="EB1065" s="552">
        <f t="shared" si="1476"/>
        <v>0</v>
      </c>
      <c r="EC1065" s="552">
        <f t="shared" si="1476"/>
        <v>0</v>
      </c>
      <c r="ED1065" s="552">
        <f t="shared" si="1476"/>
        <v>0</v>
      </c>
      <c r="EE1065" s="552">
        <f t="shared" si="1476"/>
        <v>0</v>
      </c>
      <c r="EF1065" s="552">
        <f t="shared" si="1476"/>
        <v>0</v>
      </c>
      <c r="EG1065" s="552">
        <f t="shared" si="1476"/>
        <v>0</v>
      </c>
      <c r="EH1065" s="552">
        <f t="shared" si="1476"/>
        <v>0</v>
      </c>
      <c r="EI1065" s="552">
        <f t="shared" ref="EI1065:EX1065" si="1477">EI101*EI$338</f>
        <v>0</v>
      </c>
      <c r="EJ1065" s="552">
        <f t="shared" si="1477"/>
        <v>0</v>
      </c>
      <c r="EK1065" s="552">
        <f t="shared" si="1477"/>
        <v>0</v>
      </c>
      <c r="EL1065" s="552">
        <f t="shared" si="1477"/>
        <v>0</v>
      </c>
      <c r="EM1065" s="552">
        <f t="shared" si="1477"/>
        <v>0</v>
      </c>
      <c r="EN1065" s="552">
        <f t="shared" si="1477"/>
        <v>0</v>
      </c>
      <c r="EO1065" s="552">
        <f t="shared" si="1477"/>
        <v>0</v>
      </c>
      <c r="EP1065" s="552">
        <f t="shared" si="1477"/>
        <v>0</v>
      </c>
      <c r="EQ1065" s="552">
        <f t="shared" si="1477"/>
        <v>0</v>
      </c>
      <c r="ER1065" s="552">
        <f t="shared" si="1477"/>
        <v>0</v>
      </c>
      <c r="ES1065" s="552">
        <f t="shared" si="1477"/>
        <v>0</v>
      </c>
      <c r="ET1065" s="552">
        <f t="shared" si="1477"/>
        <v>0</v>
      </c>
      <c r="EU1065" s="552">
        <f t="shared" si="1477"/>
        <v>0</v>
      </c>
      <c r="EV1065" s="552">
        <f t="shared" si="1477"/>
        <v>0</v>
      </c>
      <c r="EW1065" s="552">
        <f t="shared" si="1477"/>
        <v>0</v>
      </c>
      <c r="EX1065" s="552">
        <f t="shared" si="1477"/>
        <v>0</v>
      </c>
      <c r="EY1065" s="799">
        <f t="shared" si="1265"/>
        <v>0</v>
      </c>
      <c r="EZ1065" s="640"/>
      <c r="FA1065" s="640"/>
      <c r="FB1065" s="640"/>
      <c r="FC1065" s="640"/>
      <c r="FD1065" s="640"/>
      <c r="FE1065" s="640"/>
      <c r="FF1065" s="640"/>
      <c r="FG1065" s="640"/>
      <c r="FH1065" s="640"/>
      <c r="FI1065" s="640"/>
      <c r="FJ1065" s="640"/>
      <c r="FK1065" s="640"/>
      <c r="FL1065" s="640"/>
    </row>
    <row r="1066" spans="1:168" x14ac:dyDescent="0.25">
      <c r="A1066" s="254"/>
      <c r="B1066" s="625" t="s">
        <v>801</v>
      </c>
      <c r="C1066" s="1135"/>
      <c r="D1066" s="1138">
        <f>SUM(D1061:D1065)</f>
        <v>0</v>
      </c>
      <c r="E1066" s="1138">
        <f t="shared" ref="E1066:J1066" si="1478">SUM(E1061:E1065)</f>
        <v>0</v>
      </c>
      <c r="F1066" s="1138"/>
      <c r="G1066" s="1138">
        <f t="shared" si="1478"/>
        <v>0</v>
      </c>
      <c r="H1066" s="1138">
        <f t="shared" si="1478"/>
        <v>0</v>
      </c>
      <c r="I1066" s="554"/>
      <c r="J1066" s="1138">
        <f t="shared" si="1478"/>
        <v>0</v>
      </c>
      <c r="K1066" s="1138">
        <f t="shared" ref="K1066" si="1479">SUM(K1061:K1065)</f>
        <v>0</v>
      </c>
      <c r="L1066" s="1138">
        <f t="shared" ref="L1066" si="1480">SUM(L1061:L1065)</f>
        <v>0</v>
      </c>
      <c r="M1066" s="1138">
        <f t="shared" ref="M1066" si="1481">SUM(M1061:M1065)</f>
        <v>0</v>
      </c>
      <c r="N1066" s="1138">
        <f t="shared" ref="N1066" si="1482">SUM(N1061:N1065)</f>
        <v>0</v>
      </c>
      <c r="O1066" s="1138">
        <f t="shared" ref="O1066" si="1483">SUM(O1061:O1065)</f>
        <v>0</v>
      </c>
      <c r="P1066" s="1138">
        <f t="shared" ref="P1066" si="1484">SUM(P1061:P1065)</f>
        <v>0</v>
      </c>
      <c r="Q1066" s="1138">
        <f t="shared" ref="Q1066" si="1485">SUM(Q1061:Q1065)</f>
        <v>0</v>
      </c>
      <c r="R1066" s="1138">
        <f t="shared" ref="R1066" si="1486">SUM(R1061:R1065)</f>
        <v>0</v>
      </c>
      <c r="S1066" s="1138">
        <f t="shared" ref="S1066" si="1487">SUM(S1061:S1065)</f>
        <v>0</v>
      </c>
      <c r="T1066" s="1138">
        <f t="shared" ref="T1066" si="1488">SUM(T1061:T1065)</f>
        <v>0</v>
      </c>
      <c r="U1066" s="1138">
        <f t="shared" ref="U1066" si="1489">SUM(U1061:U1065)</f>
        <v>0</v>
      </c>
      <c r="V1066" s="1138">
        <f t="shared" ref="V1066" si="1490">SUM(V1061:V1065)</f>
        <v>0</v>
      </c>
      <c r="W1066" s="1138">
        <f t="shared" ref="W1066" si="1491">SUM(W1061:W1065)</f>
        <v>0</v>
      </c>
      <c r="X1066" s="1138">
        <f t="shared" ref="X1066" si="1492">SUM(X1061:X1065)</f>
        <v>0</v>
      </c>
      <c r="Y1066" s="1138">
        <f t="shared" ref="Y1066" si="1493">SUM(Y1061:Y1065)</f>
        <v>0</v>
      </c>
      <c r="Z1066" s="1138">
        <f t="shared" ref="Z1066" si="1494">SUM(Z1061:Z1065)</f>
        <v>0</v>
      </c>
      <c r="AA1066" s="1138">
        <f t="shared" ref="AA1066" si="1495">SUM(AA1061:AA1065)</f>
        <v>0</v>
      </c>
      <c r="AB1066" s="1138">
        <f t="shared" ref="AB1066" si="1496">SUM(AB1061:AB1065)</f>
        <v>0</v>
      </c>
      <c r="AC1066" s="1138">
        <f t="shared" ref="AC1066" si="1497">SUM(AC1061:AC1065)</f>
        <v>0</v>
      </c>
      <c r="AD1066" s="1138">
        <f t="shared" ref="AD1066" si="1498">SUM(AD1061:AD1065)</f>
        <v>0</v>
      </c>
      <c r="AE1066" s="1138">
        <f t="shared" ref="AE1066" si="1499">SUM(AE1061:AE1065)</f>
        <v>0</v>
      </c>
      <c r="AF1066" s="1138">
        <f t="shared" ref="AF1066" si="1500">SUM(AF1061:AF1065)</f>
        <v>0</v>
      </c>
      <c r="AG1066" s="1138">
        <f t="shared" ref="AG1066" si="1501">SUM(AG1061:AG1065)</f>
        <v>0</v>
      </c>
      <c r="AH1066" s="1138">
        <f t="shared" ref="AH1066" si="1502">SUM(AH1061:AH1065)</f>
        <v>0</v>
      </c>
      <c r="AI1066" s="1138">
        <f t="shared" ref="AI1066" si="1503">SUM(AI1061:AI1065)</f>
        <v>0</v>
      </c>
      <c r="AJ1066" s="1138">
        <f t="shared" ref="AJ1066" si="1504">SUM(AJ1061:AJ1065)</f>
        <v>0</v>
      </c>
      <c r="AK1066" s="1138">
        <f t="shared" ref="AK1066" si="1505">SUM(AK1061:AK1065)</f>
        <v>0</v>
      </c>
      <c r="AL1066" s="1138">
        <f t="shared" ref="AL1066" si="1506">SUM(AL1061:AL1065)</f>
        <v>0</v>
      </c>
      <c r="AM1066" s="1138">
        <f t="shared" ref="AM1066" si="1507">SUM(AM1061:AM1065)</f>
        <v>0</v>
      </c>
      <c r="AN1066" s="1138">
        <f t="shared" ref="AN1066" si="1508">SUM(AN1061:AN1065)</f>
        <v>0</v>
      </c>
      <c r="AO1066" s="1138">
        <f t="shared" ref="AO1066" si="1509">SUM(AO1061:AO1065)</f>
        <v>0</v>
      </c>
      <c r="AP1066" s="1138">
        <f t="shared" ref="AP1066" si="1510">SUM(AP1061:AP1065)</f>
        <v>0</v>
      </c>
      <c r="AQ1066" s="1138">
        <f t="shared" ref="AQ1066" si="1511">SUM(AQ1061:AQ1065)</f>
        <v>0</v>
      </c>
      <c r="AR1066" s="1138">
        <f t="shared" ref="AR1066" si="1512">SUM(AR1061:AR1065)</f>
        <v>0</v>
      </c>
      <c r="AS1066" s="1138">
        <f t="shared" ref="AS1066" si="1513">SUM(AS1061:AS1065)</f>
        <v>0</v>
      </c>
      <c r="AT1066" s="1138">
        <f t="shared" ref="AT1066" si="1514">SUM(AT1061:AT1065)</f>
        <v>0</v>
      </c>
      <c r="AU1066" s="1138">
        <f t="shared" ref="AU1066" si="1515">SUM(AU1061:AU1065)</f>
        <v>0</v>
      </c>
      <c r="AV1066" s="1138">
        <f t="shared" ref="AV1066" si="1516">SUM(AV1061:AV1065)</f>
        <v>0</v>
      </c>
      <c r="AW1066" s="1138">
        <f t="shared" ref="AW1066" si="1517">SUM(AW1061:AW1065)</f>
        <v>0</v>
      </c>
      <c r="AX1066" s="1138">
        <f t="shared" ref="AX1066" si="1518">SUM(AX1061:AX1065)</f>
        <v>0</v>
      </c>
      <c r="AY1066" s="1138">
        <f t="shared" ref="AY1066" si="1519">SUM(AY1061:AY1065)</f>
        <v>0</v>
      </c>
      <c r="AZ1066" s="1138">
        <f t="shared" ref="AZ1066" si="1520">SUM(AZ1061:AZ1065)</f>
        <v>0</v>
      </c>
      <c r="BA1066" s="1138">
        <f t="shared" ref="BA1066" si="1521">SUM(BA1061:BA1065)</f>
        <v>0</v>
      </c>
      <c r="BB1066" s="1138">
        <f t="shared" ref="BB1066" si="1522">SUM(BB1061:BB1065)</f>
        <v>0</v>
      </c>
      <c r="BC1066" s="1138">
        <f t="shared" ref="BC1066" si="1523">SUM(BC1061:BC1065)</f>
        <v>0</v>
      </c>
      <c r="BD1066" s="1138">
        <f t="shared" ref="BD1066" si="1524">SUM(BD1061:BD1065)</f>
        <v>0</v>
      </c>
      <c r="BE1066" s="1138">
        <f t="shared" ref="BE1066" si="1525">SUM(BE1061:BE1065)</f>
        <v>0</v>
      </c>
      <c r="BF1066" s="1138">
        <f t="shared" ref="BF1066" si="1526">SUM(BF1061:BF1065)</f>
        <v>0</v>
      </c>
      <c r="BG1066" s="1138">
        <f t="shared" ref="BG1066" si="1527">SUM(BG1061:BG1065)</f>
        <v>0</v>
      </c>
      <c r="BH1066" s="1138">
        <f t="shared" ref="BH1066" si="1528">SUM(BH1061:BH1065)</f>
        <v>0</v>
      </c>
      <c r="BI1066" s="1138">
        <f t="shared" ref="BI1066" si="1529">SUM(BI1061:BI1065)</f>
        <v>0</v>
      </c>
      <c r="BJ1066" s="1138">
        <f t="shared" ref="BJ1066" si="1530">SUM(BJ1061:BJ1065)</f>
        <v>0</v>
      </c>
      <c r="BK1066" s="1138">
        <f t="shared" ref="BK1066" si="1531">SUM(BK1061:BK1065)</f>
        <v>0</v>
      </c>
      <c r="BL1066" s="1138">
        <f t="shared" ref="BL1066" si="1532">SUM(BL1061:BL1065)</f>
        <v>0</v>
      </c>
      <c r="BM1066" s="1138">
        <f t="shared" ref="BM1066" si="1533">SUM(BM1061:BM1065)</f>
        <v>0</v>
      </c>
      <c r="BN1066" s="1138">
        <f t="shared" ref="BN1066" si="1534">SUM(BN1061:BN1065)</f>
        <v>0</v>
      </c>
      <c r="BO1066" s="1138">
        <f t="shared" ref="BO1066" si="1535">SUM(BO1061:BO1065)</f>
        <v>0</v>
      </c>
      <c r="BP1066" s="1138">
        <f t="shared" ref="BP1066" si="1536">SUM(BP1061:BP1065)</f>
        <v>0</v>
      </c>
      <c r="BQ1066" s="1138">
        <f t="shared" ref="BQ1066" si="1537">SUM(BQ1061:BQ1065)</f>
        <v>0</v>
      </c>
      <c r="BR1066" s="1138">
        <f t="shared" ref="BR1066" si="1538">SUM(BR1061:BR1065)</f>
        <v>0</v>
      </c>
      <c r="BS1066" s="1138">
        <f t="shared" ref="BS1066" si="1539">SUM(BS1061:BS1065)</f>
        <v>0</v>
      </c>
      <c r="BT1066" s="1138">
        <f t="shared" ref="BT1066" si="1540">SUM(BT1061:BT1065)</f>
        <v>0</v>
      </c>
      <c r="BU1066" s="1138">
        <f t="shared" ref="BU1066" si="1541">SUM(BU1061:BU1065)</f>
        <v>0</v>
      </c>
      <c r="BV1066" s="1138">
        <f t="shared" ref="BV1066" si="1542">SUM(BV1061:BV1065)</f>
        <v>0</v>
      </c>
      <c r="BW1066" s="1138">
        <f t="shared" ref="BW1066" si="1543">SUM(BW1061:BW1065)</f>
        <v>0</v>
      </c>
      <c r="BX1066" s="1138">
        <f t="shared" ref="BX1066" si="1544">SUM(BX1061:BX1065)</f>
        <v>0</v>
      </c>
      <c r="BY1066" s="1138">
        <f t="shared" ref="BY1066" si="1545">SUM(BY1061:BY1065)</f>
        <v>0</v>
      </c>
      <c r="BZ1066" s="1138">
        <f t="shared" ref="BZ1066" si="1546">SUM(BZ1061:BZ1065)</f>
        <v>0</v>
      </c>
      <c r="CA1066" s="1138">
        <f t="shared" ref="CA1066" si="1547">SUM(CA1061:CA1065)</f>
        <v>0</v>
      </c>
      <c r="CB1066" s="1138">
        <f t="shared" ref="CB1066" si="1548">SUM(CB1061:CB1065)</f>
        <v>0</v>
      </c>
      <c r="CC1066" s="1138">
        <f t="shared" ref="CC1066" si="1549">SUM(CC1061:CC1065)</f>
        <v>0</v>
      </c>
      <c r="CD1066" s="1138">
        <f t="shared" ref="CD1066" si="1550">SUM(CD1061:CD1065)</f>
        <v>0</v>
      </c>
      <c r="CE1066" s="1138">
        <f t="shared" ref="CE1066" si="1551">SUM(CE1061:CE1065)</f>
        <v>0</v>
      </c>
      <c r="CF1066" s="1138">
        <f t="shared" ref="CF1066" si="1552">SUM(CF1061:CF1065)</f>
        <v>0</v>
      </c>
      <c r="CG1066" s="1138">
        <f t="shared" ref="CG1066" si="1553">SUM(CG1061:CG1065)</f>
        <v>0</v>
      </c>
      <c r="CH1066" s="1138">
        <f t="shared" ref="CH1066" si="1554">SUM(CH1061:CH1065)</f>
        <v>0</v>
      </c>
      <c r="CI1066" s="1138">
        <f t="shared" ref="CI1066" si="1555">SUM(CI1061:CI1065)</f>
        <v>0</v>
      </c>
      <c r="CJ1066" s="1138">
        <f t="shared" ref="CJ1066" si="1556">SUM(CJ1061:CJ1065)</f>
        <v>0</v>
      </c>
      <c r="CK1066" s="1138">
        <f t="shared" ref="CK1066" si="1557">SUM(CK1061:CK1065)</f>
        <v>0</v>
      </c>
      <c r="CL1066" s="1138">
        <f t="shared" ref="CL1066" si="1558">SUM(CL1061:CL1065)</f>
        <v>0</v>
      </c>
      <c r="CM1066" s="1138">
        <f t="shared" ref="CM1066" si="1559">SUM(CM1061:CM1065)</f>
        <v>0</v>
      </c>
      <c r="CN1066" s="1138">
        <f t="shared" ref="CN1066" si="1560">SUM(CN1061:CN1065)</f>
        <v>0</v>
      </c>
      <c r="CO1066" s="1138">
        <f t="shared" ref="CO1066" si="1561">SUM(CO1061:CO1065)</f>
        <v>0</v>
      </c>
      <c r="CP1066" s="1138">
        <f t="shared" ref="CP1066" si="1562">SUM(CP1061:CP1065)</f>
        <v>0</v>
      </c>
      <c r="CQ1066" s="1138">
        <f t="shared" ref="CQ1066" si="1563">SUM(CQ1061:CQ1065)</f>
        <v>0</v>
      </c>
      <c r="CR1066" s="1138">
        <f t="shared" ref="CR1066" si="1564">SUM(CR1061:CR1065)</f>
        <v>0</v>
      </c>
      <c r="CS1066" s="1138">
        <f t="shared" ref="CS1066" si="1565">SUM(CS1061:CS1065)</f>
        <v>0</v>
      </c>
      <c r="CT1066" s="1138">
        <f t="shared" ref="CT1066" si="1566">SUM(CT1061:CT1065)</f>
        <v>0</v>
      </c>
      <c r="CU1066" s="1138">
        <f t="shared" ref="CU1066" si="1567">SUM(CU1061:CU1065)</f>
        <v>0</v>
      </c>
      <c r="CV1066" s="1138">
        <f t="shared" ref="CV1066" si="1568">SUM(CV1061:CV1065)</f>
        <v>0</v>
      </c>
      <c r="CW1066" s="1138">
        <f t="shared" ref="CW1066" si="1569">SUM(CW1061:CW1065)</f>
        <v>0</v>
      </c>
      <c r="CX1066" s="1138">
        <f t="shared" ref="CX1066" si="1570">SUM(CX1061:CX1065)</f>
        <v>0</v>
      </c>
      <c r="CY1066" s="1138">
        <f t="shared" ref="CY1066" si="1571">SUM(CY1061:CY1065)</f>
        <v>0</v>
      </c>
      <c r="CZ1066" s="1138">
        <f t="shared" ref="CZ1066" si="1572">SUM(CZ1061:CZ1065)</f>
        <v>0</v>
      </c>
      <c r="DA1066" s="1138">
        <f t="shared" ref="DA1066" si="1573">SUM(DA1061:DA1065)</f>
        <v>0</v>
      </c>
      <c r="DB1066" s="1138">
        <f t="shared" ref="DB1066" si="1574">SUM(DB1061:DB1065)</f>
        <v>0</v>
      </c>
      <c r="DC1066" s="1138">
        <f t="shared" ref="DC1066" si="1575">SUM(DC1061:DC1065)</f>
        <v>0</v>
      </c>
      <c r="DD1066" s="1138">
        <f t="shared" ref="DD1066" si="1576">SUM(DD1061:DD1065)</f>
        <v>0</v>
      </c>
      <c r="DE1066" s="1138">
        <f t="shared" ref="DE1066" si="1577">SUM(DE1061:DE1065)</f>
        <v>0</v>
      </c>
      <c r="DF1066" s="1138">
        <f t="shared" ref="DF1066" si="1578">SUM(DF1061:DF1065)</f>
        <v>0</v>
      </c>
      <c r="DG1066" s="1138">
        <f t="shared" ref="DG1066" si="1579">SUM(DG1061:DG1065)</f>
        <v>0</v>
      </c>
      <c r="DH1066" s="1138">
        <f t="shared" ref="DH1066" si="1580">SUM(DH1061:DH1065)</f>
        <v>0</v>
      </c>
      <c r="DI1066" s="1138">
        <f t="shared" ref="DI1066" si="1581">SUM(DI1061:DI1065)</f>
        <v>0</v>
      </c>
      <c r="DJ1066" s="1138">
        <f t="shared" ref="DJ1066" si="1582">SUM(DJ1061:DJ1065)</f>
        <v>0</v>
      </c>
      <c r="DK1066" s="1138">
        <f t="shared" ref="DK1066" si="1583">SUM(DK1061:DK1065)</f>
        <v>0</v>
      </c>
      <c r="DL1066" s="1138">
        <f t="shared" ref="DL1066" si="1584">SUM(DL1061:DL1065)</f>
        <v>0</v>
      </c>
      <c r="DM1066" s="1138">
        <f t="shared" ref="DM1066" si="1585">SUM(DM1061:DM1065)</f>
        <v>0</v>
      </c>
      <c r="DN1066" s="1138">
        <f t="shared" ref="DN1066" si="1586">SUM(DN1061:DN1065)</f>
        <v>0</v>
      </c>
      <c r="DO1066" s="1138">
        <f t="shared" ref="DO1066" si="1587">SUM(DO1061:DO1065)</f>
        <v>0</v>
      </c>
      <c r="DP1066" s="1138">
        <f t="shared" ref="DP1066" si="1588">SUM(DP1061:DP1065)</f>
        <v>0</v>
      </c>
      <c r="DQ1066" s="1138">
        <f t="shared" ref="DQ1066" si="1589">SUM(DQ1061:DQ1065)</f>
        <v>0</v>
      </c>
      <c r="DR1066" s="1138">
        <f t="shared" ref="DR1066" si="1590">SUM(DR1061:DR1065)</f>
        <v>0</v>
      </c>
      <c r="DS1066" s="1138">
        <f t="shared" ref="DS1066" si="1591">SUM(DS1061:DS1065)</f>
        <v>0</v>
      </c>
      <c r="DT1066" s="1138">
        <f t="shared" ref="DT1066" si="1592">SUM(DT1061:DT1065)</f>
        <v>0</v>
      </c>
      <c r="DU1066" s="1138">
        <f t="shared" ref="DU1066" si="1593">SUM(DU1061:DU1065)</f>
        <v>0</v>
      </c>
      <c r="DV1066" s="1138">
        <f t="shared" ref="DV1066" si="1594">SUM(DV1061:DV1065)</f>
        <v>0</v>
      </c>
      <c r="DW1066" s="1138">
        <f t="shared" ref="DW1066" si="1595">SUM(DW1061:DW1065)</f>
        <v>0</v>
      </c>
      <c r="DX1066" s="1138">
        <f t="shared" ref="DX1066" si="1596">SUM(DX1061:DX1065)</f>
        <v>0</v>
      </c>
      <c r="DY1066" s="1138">
        <f t="shared" ref="DY1066" si="1597">SUM(DY1061:DY1065)</f>
        <v>0</v>
      </c>
      <c r="DZ1066" s="1138">
        <f t="shared" ref="DZ1066" si="1598">SUM(DZ1061:DZ1065)</f>
        <v>0</v>
      </c>
      <c r="EA1066" s="1138">
        <f t="shared" ref="EA1066" si="1599">SUM(EA1061:EA1065)</f>
        <v>0</v>
      </c>
      <c r="EB1066" s="1138">
        <f t="shared" ref="EB1066" si="1600">SUM(EB1061:EB1065)</f>
        <v>0</v>
      </c>
      <c r="EC1066" s="1138">
        <f t="shared" ref="EC1066" si="1601">SUM(EC1061:EC1065)</f>
        <v>0</v>
      </c>
      <c r="ED1066" s="1138">
        <f t="shared" ref="ED1066" si="1602">SUM(ED1061:ED1065)</f>
        <v>0</v>
      </c>
      <c r="EE1066" s="1138">
        <f t="shared" ref="EE1066" si="1603">SUM(EE1061:EE1065)</f>
        <v>0</v>
      </c>
      <c r="EF1066" s="1138">
        <f t="shared" ref="EF1066" si="1604">SUM(EF1061:EF1065)</f>
        <v>0</v>
      </c>
      <c r="EG1066" s="1138">
        <f t="shared" ref="EG1066" si="1605">SUM(EG1061:EG1065)</f>
        <v>0</v>
      </c>
      <c r="EH1066" s="1138">
        <f t="shared" ref="EH1066" si="1606">SUM(EH1061:EH1065)</f>
        <v>0</v>
      </c>
      <c r="EI1066" s="1138">
        <f t="shared" ref="EI1066" si="1607">SUM(EI1061:EI1065)</f>
        <v>0</v>
      </c>
      <c r="EJ1066" s="1138">
        <f t="shared" ref="EJ1066" si="1608">SUM(EJ1061:EJ1065)</f>
        <v>0</v>
      </c>
      <c r="EK1066" s="1138">
        <f t="shared" ref="EK1066" si="1609">SUM(EK1061:EK1065)</f>
        <v>0</v>
      </c>
      <c r="EL1066" s="1138">
        <f t="shared" ref="EL1066" si="1610">SUM(EL1061:EL1065)</f>
        <v>0</v>
      </c>
      <c r="EM1066" s="1138">
        <f t="shared" ref="EM1066" si="1611">SUM(EM1061:EM1065)</f>
        <v>0</v>
      </c>
      <c r="EN1066" s="1138">
        <f t="shared" ref="EN1066" si="1612">SUM(EN1061:EN1065)</f>
        <v>0</v>
      </c>
      <c r="EO1066" s="1138">
        <f t="shared" ref="EO1066" si="1613">SUM(EO1061:EO1065)</f>
        <v>0</v>
      </c>
      <c r="EP1066" s="1138">
        <f t="shared" ref="EP1066" si="1614">SUM(EP1061:EP1065)</f>
        <v>0</v>
      </c>
      <c r="EQ1066" s="1138">
        <f t="shared" ref="EQ1066" si="1615">SUM(EQ1061:EQ1065)</f>
        <v>0</v>
      </c>
      <c r="ER1066" s="1138">
        <f t="shared" ref="ER1066" si="1616">SUM(ER1061:ER1065)</f>
        <v>0</v>
      </c>
      <c r="ES1066" s="1138">
        <f t="shared" ref="ES1066" si="1617">SUM(ES1061:ES1065)</f>
        <v>0</v>
      </c>
      <c r="ET1066" s="1138">
        <f t="shared" ref="ET1066" si="1618">SUM(ET1061:ET1065)</f>
        <v>0</v>
      </c>
      <c r="EU1066" s="1138">
        <f t="shared" ref="EU1066" si="1619">SUM(EU1061:EU1065)</f>
        <v>0</v>
      </c>
      <c r="EV1066" s="1138">
        <f t="shared" ref="EV1066" si="1620">SUM(EV1061:EV1065)</f>
        <v>0</v>
      </c>
      <c r="EW1066" s="1138">
        <f t="shared" ref="EW1066" si="1621">SUM(EW1061:EW1065)</f>
        <v>0</v>
      </c>
      <c r="EX1066" s="1138">
        <f t="shared" ref="EX1066:FL1066" si="1622">SUM(EX1061:EX1065)</f>
        <v>0</v>
      </c>
      <c r="EY1066" s="1138">
        <f t="shared" si="1622"/>
        <v>0</v>
      </c>
      <c r="EZ1066" s="1138">
        <f t="shared" si="1622"/>
        <v>0</v>
      </c>
      <c r="FA1066" s="1138">
        <f t="shared" si="1622"/>
        <v>0</v>
      </c>
      <c r="FB1066" s="1138">
        <f t="shared" si="1622"/>
        <v>0</v>
      </c>
      <c r="FC1066" s="1138">
        <f t="shared" si="1622"/>
        <v>0</v>
      </c>
      <c r="FD1066" s="1138">
        <f t="shared" si="1622"/>
        <v>0</v>
      </c>
      <c r="FE1066" s="1138">
        <f t="shared" si="1622"/>
        <v>0</v>
      </c>
      <c r="FF1066" s="1138">
        <f t="shared" si="1622"/>
        <v>0</v>
      </c>
      <c r="FG1066" s="1138">
        <f t="shared" si="1622"/>
        <v>0</v>
      </c>
      <c r="FH1066" s="1138">
        <f t="shared" si="1622"/>
        <v>0</v>
      </c>
      <c r="FI1066" s="1138">
        <f t="shared" si="1622"/>
        <v>0</v>
      </c>
      <c r="FJ1066" s="1138">
        <f t="shared" si="1622"/>
        <v>0</v>
      </c>
      <c r="FK1066" s="1138">
        <f t="shared" si="1622"/>
        <v>0</v>
      </c>
      <c r="FL1066" s="1138">
        <f t="shared" si="1622"/>
        <v>0</v>
      </c>
    </row>
    <row r="1067" spans="1:168" x14ac:dyDescent="0.25">
      <c r="A1067" s="254"/>
      <c r="B1067" s="625" t="s">
        <v>210</v>
      </c>
      <c r="C1067" s="1135"/>
      <c r="D1067" s="1138">
        <f>D1050+D1060+D1066</f>
        <v>35.82</v>
      </c>
      <c r="E1067" s="1138">
        <f t="shared" ref="E1067:J1067" si="1623">E1050+E1060+E1066</f>
        <v>165.43</v>
      </c>
      <c r="F1067" s="1138"/>
      <c r="G1067" s="1138">
        <f t="shared" si="1623"/>
        <v>0</v>
      </c>
      <c r="H1067" s="1138">
        <f t="shared" si="1623"/>
        <v>0</v>
      </c>
      <c r="I1067" s="554"/>
      <c r="J1067" s="1138">
        <f t="shared" si="1623"/>
        <v>58.24</v>
      </c>
      <c r="K1067" s="1138">
        <f t="shared" ref="K1067" si="1624">K1050+K1060+K1066</f>
        <v>0</v>
      </c>
      <c r="L1067" s="1138">
        <f t="shared" ref="L1067" si="1625">L1050+L1060+L1066</f>
        <v>0</v>
      </c>
      <c r="M1067" s="1138">
        <f t="shared" ref="M1067" si="1626">M1050+M1060+M1066</f>
        <v>0</v>
      </c>
      <c r="N1067" s="1138">
        <f t="shared" ref="N1067" si="1627">N1050+N1060+N1066</f>
        <v>0</v>
      </c>
      <c r="O1067" s="1138">
        <f t="shared" ref="O1067" si="1628">O1050+O1060+O1066</f>
        <v>0</v>
      </c>
      <c r="P1067" s="1138">
        <f t="shared" ref="P1067" si="1629">P1050+P1060+P1066</f>
        <v>0</v>
      </c>
      <c r="Q1067" s="1138">
        <f t="shared" ref="Q1067" si="1630">Q1050+Q1060+Q1066</f>
        <v>0</v>
      </c>
      <c r="R1067" s="1138">
        <f t="shared" ref="R1067" si="1631">R1050+R1060+R1066</f>
        <v>0</v>
      </c>
      <c r="S1067" s="1138">
        <f t="shared" ref="S1067" si="1632">S1050+S1060+S1066</f>
        <v>0</v>
      </c>
      <c r="T1067" s="1138">
        <f t="shared" ref="T1067" si="1633">T1050+T1060+T1066</f>
        <v>0</v>
      </c>
      <c r="U1067" s="1138">
        <f t="shared" ref="U1067" si="1634">U1050+U1060+U1066</f>
        <v>10</v>
      </c>
      <c r="V1067" s="1138">
        <f t="shared" ref="V1067" si="1635">V1050+V1060+V1066</f>
        <v>12.25</v>
      </c>
      <c r="W1067" s="1138">
        <f t="shared" ref="W1067" si="1636">W1050+W1060+W1066</f>
        <v>11.5</v>
      </c>
      <c r="X1067" s="1138">
        <f t="shared" ref="X1067" si="1637">X1050+X1060+X1066</f>
        <v>0</v>
      </c>
      <c r="Y1067" s="1138">
        <f t="shared" ref="Y1067" si="1638">Y1050+Y1060+Y1066</f>
        <v>4.0999999999999996</v>
      </c>
      <c r="Z1067" s="1138">
        <f t="shared" ref="Z1067" si="1639">Z1050+Z1060+Z1066</f>
        <v>0</v>
      </c>
      <c r="AA1067" s="1138">
        <f t="shared" ref="AA1067" si="1640">AA1050+AA1060+AA1066</f>
        <v>0</v>
      </c>
      <c r="AB1067" s="1138">
        <f t="shared" ref="AB1067" si="1641">AB1050+AB1060+AB1066</f>
        <v>0</v>
      </c>
      <c r="AC1067" s="1138">
        <f t="shared" ref="AC1067" si="1642">AC1050+AC1060+AC1066</f>
        <v>0</v>
      </c>
      <c r="AD1067" s="1138">
        <f t="shared" ref="AD1067" si="1643">AD1050+AD1060+AD1066</f>
        <v>0</v>
      </c>
      <c r="AE1067" s="1138">
        <f t="shared" ref="AE1067" si="1644">AE1050+AE1060+AE1066</f>
        <v>0</v>
      </c>
      <c r="AF1067" s="1138">
        <f t="shared" ref="AF1067" si="1645">AF1050+AF1060+AF1066</f>
        <v>0</v>
      </c>
      <c r="AG1067" s="1138">
        <f t="shared" ref="AG1067" si="1646">AG1050+AG1060+AG1066</f>
        <v>0</v>
      </c>
      <c r="AH1067" s="1138">
        <f t="shared" ref="AH1067" si="1647">AH1050+AH1060+AH1066</f>
        <v>11.66</v>
      </c>
      <c r="AI1067" s="1138">
        <f t="shared" ref="AI1067" si="1648">AI1050+AI1060+AI1066</f>
        <v>0</v>
      </c>
      <c r="AJ1067" s="1138">
        <f t="shared" ref="AJ1067" si="1649">AJ1050+AJ1060+AJ1066</f>
        <v>0</v>
      </c>
      <c r="AK1067" s="1138">
        <f t="shared" ref="AK1067" si="1650">AK1050+AK1060+AK1066</f>
        <v>2.7</v>
      </c>
      <c r="AL1067" s="1138">
        <f t="shared" ref="AL1067" si="1651">AL1050+AL1060+AL1066</f>
        <v>0</v>
      </c>
      <c r="AM1067" s="1138">
        <f t="shared" ref="AM1067" si="1652">AM1050+AM1060+AM1066</f>
        <v>0.2</v>
      </c>
      <c r="AN1067" s="1138">
        <f t="shared" ref="AN1067" si="1653">AN1050+AN1060+AN1066</f>
        <v>3.76</v>
      </c>
      <c r="AO1067" s="1138">
        <f t="shared" ref="AO1067" si="1654">AO1050+AO1060+AO1066</f>
        <v>1.9</v>
      </c>
      <c r="AP1067" s="1138">
        <f t="shared" ref="AP1067" si="1655">AP1050+AP1060+AP1066</f>
        <v>0</v>
      </c>
      <c r="AQ1067" s="1138">
        <f t="shared" ref="AQ1067" si="1656">AQ1050+AQ1060+AQ1066</f>
        <v>0.63</v>
      </c>
      <c r="AR1067" s="1138">
        <f t="shared" ref="AR1067" si="1657">AR1050+AR1060+AR1066</f>
        <v>0</v>
      </c>
      <c r="AS1067" s="1138">
        <f t="shared" ref="AS1067" si="1658">AS1050+AS1060+AS1066</f>
        <v>0</v>
      </c>
      <c r="AT1067" s="1138">
        <f t="shared" ref="AT1067" si="1659">AT1050+AT1060+AT1066</f>
        <v>0.98</v>
      </c>
      <c r="AU1067" s="1138">
        <f t="shared" ref="AU1067" si="1660">AU1050+AU1060+AU1066</f>
        <v>1.8</v>
      </c>
      <c r="AV1067" s="1138">
        <f t="shared" ref="AV1067" si="1661">AV1050+AV1060+AV1066</f>
        <v>0</v>
      </c>
      <c r="AW1067" s="1138">
        <f t="shared" ref="AW1067" si="1662">AW1050+AW1060+AW1066</f>
        <v>0</v>
      </c>
      <c r="AX1067" s="1138">
        <f t="shared" ref="AX1067" si="1663">AX1050+AX1060+AX1066</f>
        <v>1.5</v>
      </c>
      <c r="AY1067" s="1138">
        <f t="shared" ref="AY1067" si="1664">AY1050+AY1060+AY1066</f>
        <v>0</v>
      </c>
      <c r="AZ1067" s="1138">
        <f t="shared" ref="AZ1067" si="1665">AZ1050+AZ1060+AZ1066</f>
        <v>0</v>
      </c>
      <c r="BA1067" s="1138">
        <f t="shared" ref="BA1067" si="1666">BA1050+BA1060+BA1066</f>
        <v>0</v>
      </c>
      <c r="BB1067" s="1138">
        <f t="shared" ref="BB1067" si="1667">BB1050+BB1060+BB1066</f>
        <v>0</v>
      </c>
      <c r="BC1067" s="1138">
        <f t="shared" ref="BC1067" si="1668">BC1050+BC1060+BC1066</f>
        <v>0</v>
      </c>
      <c r="BD1067" s="1138">
        <f t="shared" ref="BD1067" si="1669">BD1050+BD1060+BD1066</f>
        <v>0</v>
      </c>
      <c r="BE1067" s="1138">
        <f t="shared" ref="BE1067" si="1670">BE1050+BE1060+BE1066</f>
        <v>0</v>
      </c>
      <c r="BF1067" s="1138">
        <f t="shared" ref="BF1067" si="1671">BF1050+BF1060+BF1066</f>
        <v>0</v>
      </c>
      <c r="BG1067" s="1138">
        <f t="shared" ref="BG1067" si="1672">BG1050+BG1060+BG1066</f>
        <v>0</v>
      </c>
      <c r="BH1067" s="1138">
        <f t="shared" ref="BH1067" si="1673">BH1050+BH1060+BH1066</f>
        <v>0</v>
      </c>
      <c r="BI1067" s="1138">
        <f t="shared" ref="BI1067" si="1674">BI1050+BI1060+BI1066</f>
        <v>0</v>
      </c>
      <c r="BJ1067" s="1138">
        <f t="shared" ref="BJ1067" si="1675">BJ1050+BJ1060+BJ1066</f>
        <v>0</v>
      </c>
      <c r="BK1067" s="1138">
        <f t="shared" ref="BK1067" si="1676">BK1050+BK1060+BK1066</f>
        <v>0</v>
      </c>
      <c r="BL1067" s="1138">
        <f t="shared" ref="BL1067" si="1677">BL1050+BL1060+BL1066</f>
        <v>0</v>
      </c>
      <c r="BM1067" s="1138">
        <f t="shared" ref="BM1067" si="1678">BM1050+BM1060+BM1066</f>
        <v>0</v>
      </c>
      <c r="BN1067" s="1138">
        <f t="shared" ref="BN1067" si="1679">BN1050+BN1060+BN1066</f>
        <v>0</v>
      </c>
      <c r="BO1067" s="1138">
        <f t="shared" ref="BO1067" si="1680">BO1050+BO1060+BO1066</f>
        <v>0</v>
      </c>
      <c r="BP1067" s="1138">
        <f t="shared" ref="BP1067" si="1681">BP1050+BP1060+BP1066</f>
        <v>0</v>
      </c>
      <c r="BQ1067" s="1138">
        <f t="shared" ref="BQ1067" si="1682">BQ1050+BQ1060+BQ1066</f>
        <v>0</v>
      </c>
      <c r="BR1067" s="1138">
        <f t="shared" ref="BR1067" si="1683">BR1050+BR1060+BR1066</f>
        <v>22.33</v>
      </c>
      <c r="BS1067" s="1138">
        <f t="shared" ref="BS1067" si="1684">BS1050+BS1060+BS1066</f>
        <v>0.51</v>
      </c>
      <c r="BT1067" s="1138">
        <f t="shared" ref="BT1067" si="1685">BT1050+BT1060+BT1066</f>
        <v>0</v>
      </c>
      <c r="BU1067" s="1138">
        <f t="shared" ref="BU1067" si="1686">BU1050+BU1060+BU1066</f>
        <v>0</v>
      </c>
      <c r="BV1067" s="1138">
        <f t="shared" ref="BV1067" si="1687">BV1050+BV1060+BV1066</f>
        <v>0</v>
      </c>
      <c r="BW1067" s="1138">
        <f t="shared" ref="BW1067" si="1688">BW1050+BW1060+BW1066</f>
        <v>0</v>
      </c>
      <c r="BX1067" s="1138">
        <f t="shared" ref="BX1067" si="1689">BX1050+BX1060+BX1066</f>
        <v>0</v>
      </c>
      <c r="BY1067" s="1138">
        <f t="shared" ref="BY1067" si="1690">BY1050+BY1060+BY1066</f>
        <v>0</v>
      </c>
      <c r="BZ1067" s="1138">
        <f t="shared" ref="BZ1067" si="1691">BZ1050+BZ1060+BZ1066</f>
        <v>0</v>
      </c>
      <c r="CA1067" s="1138">
        <f t="shared" ref="CA1067" si="1692">CA1050+CA1060+CA1066</f>
        <v>0</v>
      </c>
      <c r="CB1067" s="1138">
        <f t="shared" ref="CB1067" si="1693">CB1050+CB1060+CB1066</f>
        <v>0.98</v>
      </c>
      <c r="CC1067" s="1138">
        <f t="shared" ref="CC1067" si="1694">CC1050+CC1060+CC1066</f>
        <v>0</v>
      </c>
      <c r="CD1067" s="1138">
        <f t="shared" ref="CD1067" si="1695">CD1050+CD1060+CD1066</f>
        <v>0</v>
      </c>
      <c r="CE1067" s="1138">
        <f t="shared" ref="CE1067" si="1696">CE1050+CE1060+CE1066</f>
        <v>0</v>
      </c>
      <c r="CF1067" s="1138">
        <f t="shared" ref="CF1067" si="1697">CF1050+CF1060+CF1066</f>
        <v>2.04</v>
      </c>
      <c r="CG1067" s="1138">
        <f t="shared" ref="CG1067" si="1698">CG1050+CG1060+CG1066</f>
        <v>1</v>
      </c>
      <c r="CH1067" s="1138">
        <f t="shared" ref="CH1067" si="1699">CH1050+CH1060+CH1066</f>
        <v>0</v>
      </c>
      <c r="CI1067" s="1138">
        <f t="shared" ref="CI1067" si="1700">CI1050+CI1060+CI1066</f>
        <v>0</v>
      </c>
      <c r="CJ1067" s="1138">
        <f t="shared" ref="CJ1067" si="1701">CJ1050+CJ1060+CJ1066</f>
        <v>0</v>
      </c>
      <c r="CK1067" s="1138">
        <f t="shared" ref="CK1067" si="1702">CK1050+CK1060+CK1066</f>
        <v>0</v>
      </c>
      <c r="CL1067" s="1138">
        <f t="shared" ref="CL1067" si="1703">CL1050+CL1060+CL1066</f>
        <v>0</v>
      </c>
      <c r="CM1067" s="1138">
        <f t="shared" ref="CM1067" si="1704">CM1050+CM1060+CM1066</f>
        <v>0</v>
      </c>
      <c r="CN1067" s="1138">
        <f t="shared" ref="CN1067" si="1705">CN1050+CN1060+CN1066</f>
        <v>0</v>
      </c>
      <c r="CO1067" s="1138">
        <f t="shared" ref="CO1067" si="1706">CO1050+CO1060+CO1066</f>
        <v>0</v>
      </c>
      <c r="CP1067" s="1138">
        <f t="shared" ref="CP1067" si="1707">CP1050+CP1060+CP1066</f>
        <v>0</v>
      </c>
      <c r="CQ1067" s="1138">
        <f t="shared" ref="CQ1067" si="1708">CQ1050+CQ1060+CQ1066</f>
        <v>0.06</v>
      </c>
      <c r="CR1067" s="1138">
        <f t="shared" ref="CR1067" si="1709">CR1050+CR1060+CR1066</f>
        <v>0</v>
      </c>
      <c r="CS1067" s="1138">
        <f t="shared" ref="CS1067" si="1710">CS1050+CS1060+CS1066</f>
        <v>0.04</v>
      </c>
      <c r="CT1067" s="1138">
        <f t="shared" ref="CT1067" si="1711">CT1050+CT1060+CT1066</f>
        <v>0</v>
      </c>
      <c r="CU1067" s="1138">
        <f t="shared" ref="CU1067" si="1712">CU1050+CU1060+CU1066</f>
        <v>0</v>
      </c>
      <c r="CV1067" s="1138">
        <f t="shared" ref="CV1067" si="1713">CV1050+CV1060+CV1066</f>
        <v>0</v>
      </c>
      <c r="CW1067" s="1138">
        <f t="shared" ref="CW1067" si="1714">CW1050+CW1060+CW1066</f>
        <v>0</v>
      </c>
      <c r="CX1067" s="1138">
        <f t="shared" ref="CX1067" si="1715">CX1050+CX1060+CX1066</f>
        <v>0</v>
      </c>
      <c r="CY1067" s="1138">
        <f t="shared" ref="CY1067" si="1716">CY1050+CY1060+CY1066</f>
        <v>0</v>
      </c>
      <c r="CZ1067" s="1138">
        <f t="shared" ref="CZ1067" si="1717">CZ1050+CZ1060+CZ1066</f>
        <v>3.18</v>
      </c>
      <c r="DA1067" s="1138">
        <f t="shared" ref="DA1067" si="1718">DA1050+DA1060+DA1066</f>
        <v>0</v>
      </c>
      <c r="DB1067" s="1138">
        <f t="shared" ref="DB1067" si="1719">DB1050+DB1060+DB1066</f>
        <v>0</v>
      </c>
      <c r="DC1067" s="1138">
        <f t="shared" ref="DC1067" si="1720">DC1050+DC1060+DC1066</f>
        <v>0.19</v>
      </c>
      <c r="DD1067" s="1138">
        <f t="shared" ref="DD1067" si="1721">DD1050+DD1060+DD1066</f>
        <v>0</v>
      </c>
      <c r="DE1067" s="1138">
        <f t="shared" ref="DE1067" si="1722">DE1050+DE1060+DE1066</f>
        <v>0</v>
      </c>
      <c r="DF1067" s="1138">
        <f t="shared" ref="DF1067" si="1723">DF1050+DF1060+DF1066</f>
        <v>2.88</v>
      </c>
      <c r="DG1067" s="1138">
        <f t="shared" ref="DG1067" si="1724">DG1050+DG1060+DG1066</f>
        <v>0</v>
      </c>
      <c r="DH1067" s="1138">
        <f t="shared" ref="DH1067" si="1725">DH1050+DH1060+DH1066</f>
        <v>0</v>
      </c>
      <c r="DI1067" s="1138">
        <f t="shared" ref="DI1067" si="1726">DI1050+DI1060+DI1066</f>
        <v>0</v>
      </c>
      <c r="DJ1067" s="1138">
        <f t="shared" ref="DJ1067" si="1727">DJ1050+DJ1060+DJ1066</f>
        <v>0</v>
      </c>
      <c r="DK1067" s="1138">
        <f t="shared" ref="DK1067" si="1728">DK1050+DK1060+DK1066</f>
        <v>0</v>
      </c>
      <c r="DL1067" s="1138">
        <f t="shared" ref="DL1067" si="1729">DL1050+DL1060+DL1066</f>
        <v>0</v>
      </c>
      <c r="DM1067" s="1138">
        <f t="shared" ref="DM1067" si="1730">DM1050+DM1060+DM1066</f>
        <v>1.8</v>
      </c>
      <c r="DN1067" s="1138">
        <f t="shared" ref="DN1067" si="1731">DN1050+DN1060+DN1066</f>
        <v>0</v>
      </c>
      <c r="DO1067" s="1138">
        <f t="shared" ref="DO1067" si="1732">DO1050+DO1060+DO1066</f>
        <v>0</v>
      </c>
      <c r="DP1067" s="1138">
        <f t="shared" ref="DP1067" si="1733">DP1050+DP1060+DP1066</f>
        <v>0</v>
      </c>
      <c r="DQ1067" s="1138">
        <f t="shared" ref="DQ1067" si="1734">DQ1050+DQ1060+DQ1066</f>
        <v>0</v>
      </c>
      <c r="DR1067" s="1138">
        <f t="shared" ref="DR1067" si="1735">DR1050+DR1060+DR1066</f>
        <v>0.45</v>
      </c>
      <c r="DS1067" s="1138">
        <f t="shared" ref="DS1067" si="1736">DS1050+DS1060+DS1066</f>
        <v>0</v>
      </c>
      <c r="DT1067" s="1138">
        <f t="shared" ref="DT1067" si="1737">DT1050+DT1060+DT1066</f>
        <v>0</v>
      </c>
      <c r="DU1067" s="1138">
        <f t="shared" ref="DU1067" si="1738">DU1050+DU1060+DU1066</f>
        <v>0</v>
      </c>
      <c r="DV1067" s="1138">
        <f t="shared" ref="DV1067" si="1739">DV1050+DV1060+DV1066</f>
        <v>0</v>
      </c>
      <c r="DW1067" s="1138">
        <f t="shared" ref="DW1067" si="1740">DW1050+DW1060+DW1066</f>
        <v>0</v>
      </c>
      <c r="DX1067" s="1138">
        <f t="shared" ref="DX1067" si="1741">DX1050+DX1060+DX1066</f>
        <v>0</v>
      </c>
      <c r="DY1067" s="1138">
        <f t="shared" ref="DY1067" si="1742">DY1050+DY1060+DY1066</f>
        <v>0</v>
      </c>
      <c r="DZ1067" s="1138">
        <f t="shared" ref="DZ1067" si="1743">DZ1050+DZ1060+DZ1066</f>
        <v>0</v>
      </c>
      <c r="EA1067" s="1138">
        <f t="shared" ref="EA1067" si="1744">EA1050+EA1060+EA1066</f>
        <v>0</v>
      </c>
      <c r="EB1067" s="1138">
        <f t="shared" ref="EB1067" si="1745">EB1050+EB1060+EB1066</f>
        <v>2.9</v>
      </c>
      <c r="EC1067" s="1138">
        <f t="shared" ref="EC1067" si="1746">EC1050+EC1060+EC1066</f>
        <v>0</v>
      </c>
      <c r="ED1067" s="1138">
        <f t="shared" ref="ED1067" si="1747">ED1050+ED1060+ED1066</f>
        <v>0</v>
      </c>
      <c r="EE1067" s="1138">
        <f t="shared" ref="EE1067" si="1748">EE1050+EE1060+EE1066</f>
        <v>0</v>
      </c>
      <c r="EF1067" s="1138">
        <f t="shared" ref="EF1067" si="1749">EF1050+EF1060+EF1066</f>
        <v>0</v>
      </c>
      <c r="EG1067" s="1138">
        <f t="shared" ref="EG1067" si="1750">EG1050+EG1060+EG1066</f>
        <v>0</v>
      </c>
      <c r="EH1067" s="1138">
        <f t="shared" ref="EH1067" si="1751">EH1050+EH1060+EH1066</f>
        <v>0</v>
      </c>
      <c r="EI1067" s="1138">
        <f t="shared" ref="EI1067" si="1752">EI1050+EI1060+EI1066</f>
        <v>0</v>
      </c>
      <c r="EJ1067" s="1138">
        <f t="shared" ref="EJ1067" si="1753">EJ1050+EJ1060+EJ1066</f>
        <v>0</v>
      </c>
      <c r="EK1067" s="1138">
        <f t="shared" ref="EK1067" si="1754">EK1050+EK1060+EK1066</f>
        <v>0</v>
      </c>
      <c r="EL1067" s="1138">
        <f t="shared" ref="EL1067" si="1755">EL1050+EL1060+EL1066</f>
        <v>0</v>
      </c>
      <c r="EM1067" s="1138">
        <f t="shared" ref="EM1067" si="1756">EM1050+EM1060+EM1066</f>
        <v>0</v>
      </c>
      <c r="EN1067" s="1138">
        <f t="shared" ref="EN1067" si="1757">EN1050+EN1060+EN1066</f>
        <v>0</v>
      </c>
      <c r="EO1067" s="1138">
        <f t="shared" ref="EO1067" si="1758">EO1050+EO1060+EO1066</f>
        <v>0</v>
      </c>
      <c r="EP1067" s="1138">
        <f t="shared" ref="EP1067" si="1759">EP1050+EP1060+EP1066</f>
        <v>0</v>
      </c>
      <c r="EQ1067" s="1138">
        <f t="shared" ref="EQ1067" si="1760">EQ1050+EQ1060+EQ1066</f>
        <v>0</v>
      </c>
      <c r="ER1067" s="1138">
        <f t="shared" ref="ER1067" si="1761">ER1050+ER1060+ER1066</f>
        <v>0</v>
      </c>
      <c r="ES1067" s="1138">
        <f t="shared" ref="ES1067" si="1762">ES1050+ES1060+ES1066</f>
        <v>0</v>
      </c>
      <c r="ET1067" s="1138">
        <f t="shared" ref="ET1067" si="1763">ET1050+ET1060+ET1066</f>
        <v>0</v>
      </c>
      <c r="EU1067" s="1138">
        <f t="shared" ref="EU1067" si="1764">EU1050+EU1060+EU1066</f>
        <v>0</v>
      </c>
      <c r="EV1067" s="1138">
        <f t="shared" ref="EV1067" si="1765">EV1050+EV1060+EV1066</f>
        <v>1.3</v>
      </c>
      <c r="EW1067" s="1138">
        <f t="shared" ref="EW1067" si="1766">EW1050+EW1060+EW1066</f>
        <v>4.55</v>
      </c>
      <c r="EX1067" s="1138">
        <f t="shared" ref="EX1067:FL1067" si="1767">EX1050+EX1060+EX1066</f>
        <v>0</v>
      </c>
      <c r="EY1067" s="1138">
        <f t="shared" si="1767"/>
        <v>165.43</v>
      </c>
      <c r="EZ1067" s="1138">
        <f t="shared" si="1767"/>
        <v>0</v>
      </c>
      <c r="FA1067" s="1138">
        <f t="shared" si="1767"/>
        <v>0</v>
      </c>
      <c r="FB1067" s="1138">
        <f t="shared" si="1767"/>
        <v>0</v>
      </c>
      <c r="FC1067" s="1138">
        <f t="shared" si="1767"/>
        <v>0</v>
      </c>
      <c r="FD1067" s="1138">
        <f t="shared" si="1767"/>
        <v>0</v>
      </c>
      <c r="FE1067" s="1138">
        <f t="shared" si="1767"/>
        <v>0</v>
      </c>
      <c r="FF1067" s="1138">
        <f t="shared" si="1767"/>
        <v>0</v>
      </c>
      <c r="FG1067" s="1138">
        <f t="shared" si="1767"/>
        <v>0</v>
      </c>
      <c r="FH1067" s="1138">
        <f t="shared" si="1767"/>
        <v>0</v>
      </c>
      <c r="FI1067" s="1138">
        <f t="shared" si="1767"/>
        <v>0</v>
      </c>
      <c r="FJ1067" s="1138">
        <f t="shared" si="1767"/>
        <v>0</v>
      </c>
      <c r="FK1067" s="1138">
        <f t="shared" si="1767"/>
        <v>0</v>
      </c>
      <c r="FL1067" s="1138">
        <f t="shared" si="1767"/>
        <v>0</v>
      </c>
    </row>
    <row r="1068" spans="1:168" s="550" customFormat="1" x14ac:dyDescent="0.25">
      <c r="A1068" s="549"/>
      <c r="B1068" s="626" t="s">
        <v>581</v>
      </c>
      <c r="C1068" s="1136"/>
      <c r="D1068" s="1136"/>
      <c r="E1068" s="1141"/>
      <c r="F1068" s="1141"/>
      <c r="G1068" s="1141"/>
      <c r="H1068" s="1141"/>
      <c r="I1068" s="560"/>
      <c r="J1068" s="560"/>
      <c r="K1068" s="560"/>
      <c r="L1068" s="560"/>
      <c r="M1068" s="560"/>
      <c r="N1068" s="560"/>
      <c r="O1068" s="560"/>
      <c r="P1068" s="560"/>
      <c r="Q1068" s="560"/>
      <c r="R1068" s="560"/>
      <c r="S1068" s="560"/>
      <c r="T1068" s="560"/>
      <c r="U1068" s="560"/>
      <c r="V1068" s="560"/>
      <c r="W1068" s="560"/>
      <c r="X1068" s="560"/>
      <c r="Y1068" s="560"/>
      <c r="Z1068" s="560"/>
      <c r="AA1068" s="560"/>
      <c r="AB1068" s="560"/>
      <c r="AC1068" s="560"/>
      <c r="AD1068" s="560"/>
      <c r="AE1068" s="560"/>
      <c r="AF1068" s="560"/>
      <c r="AG1068" s="560"/>
      <c r="AH1068" s="560"/>
      <c r="AI1068" s="560"/>
      <c r="AJ1068" s="560"/>
      <c r="AK1068" s="560"/>
      <c r="AL1068" s="560"/>
      <c r="AM1068" s="560"/>
      <c r="AN1068" s="560"/>
      <c r="AO1068" s="560"/>
      <c r="AP1068" s="560"/>
      <c r="AQ1068" s="560"/>
      <c r="AR1068" s="560"/>
      <c r="AS1068" s="560"/>
      <c r="AT1068" s="560"/>
      <c r="AU1068" s="560"/>
      <c r="AV1068" s="560"/>
      <c r="AW1068" s="560"/>
      <c r="AX1068" s="560"/>
      <c r="AY1068" s="560"/>
      <c r="AZ1068" s="560"/>
      <c r="BA1068" s="560"/>
      <c r="BB1068" s="560"/>
      <c r="BC1068" s="560"/>
      <c r="BD1068" s="560"/>
      <c r="BE1068" s="560"/>
      <c r="BF1068" s="560"/>
      <c r="BG1068" s="560"/>
      <c r="BH1068" s="560"/>
      <c r="BI1068" s="560"/>
      <c r="BJ1068" s="560"/>
      <c r="BK1068" s="560"/>
      <c r="BL1068" s="560"/>
      <c r="BM1068" s="560"/>
      <c r="BN1068" s="560"/>
      <c r="BO1068" s="560"/>
      <c r="BP1068" s="560"/>
      <c r="BQ1068" s="560"/>
      <c r="BR1068" s="560"/>
      <c r="BS1068" s="560"/>
      <c r="BT1068" s="560"/>
      <c r="BU1068" s="560"/>
      <c r="BV1068" s="560"/>
      <c r="BW1068" s="560"/>
      <c r="BX1068" s="560"/>
      <c r="BY1068" s="560"/>
      <c r="BZ1068" s="560"/>
      <c r="CA1068" s="560"/>
      <c r="CB1068" s="560"/>
      <c r="CC1068" s="560"/>
      <c r="CD1068" s="560"/>
      <c r="CE1068" s="560"/>
      <c r="CF1068" s="560"/>
      <c r="CG1068" s="560"/>
      <c r="CH1068" s="560"/>
      <c r="CI1068" s="560"/>
      <c r="CJ1068" s="560"/>
      <c r="CK1068" s="560"/>
      <c r="CL1068" s="560"/>
      <c r="CM1068" s="560"/>
      <c r="CN1068" s="560"/>
      <c r="CO1068" s="560"/>
      <c r="CP1068" s="560"/>
      <c r="CQ1068" s="560"/>
      <c r="CR1068" s="560"/>
      <c r="CS1068" s="560"/>
      <c r="CT1068" s="560"/>
      <c r="CU1068" s="560"/>
      <c r="CV1068" s="560"/>
      <c r="CW1068" s="560"/>
      <c r="CX1068" s="560"/>
      <c r="CY1068" s="560"/>
      <c r="CZ1068" s="560"/>
      <c r="DA1068" s="560"/>
      <c r="DB1068" s="560"/>
      <c r="DC1068" s="560"/>
      <c r="DD1068" s="560"/>
      <c r="DE1068" s="560"/>
      <c r="DF1068" s="560"/>
      <c r="DG1068" s="560"/>
      <c r="DH1068" s="560"/>
      <c r="DI1068" s="560"/>
      <c r="DJ1068" s="560"/>
      <c r="DK1068" s="560"/>
      <c r="DL1068" s="560"/>
      <c r="DM1068" s="560"/>
      <c r="DN1068" s="560"/>
      <c r="DO1068" s="560"/>
      <c r="DP1068" s="560"/>
      <c r="DQ1068" s="560"/>
      <c r="DR1068" s="560"/>
      <c r="DS1068" s="560"/>
      <c r="DT1068" s="560"/>
      <c r="DU1068" s="560"/>
      <c r="DV1068" s="560"/>
      <c r="DW1068" s="560"/>
      <c r="DX1068" s="560"/>
      <c r="DY1068" s="560"/>
      <c r="DZ1068" s="560"/>
      <c r="EA1068" s="560"/>
      <c r="EB1068" s="560"/>
      <c r="EC1068" s="560"/>
      <c r="ED1068" s="560"/>
      <c r="EE1068" s="560"/>
      <c r="EF1068" s="560"/>
      <c r="EG1068" s="560"/>
      <c r="EH1068" s="560"/>
      <c r="EI1068" s="560"/>
      <c r="EJ1068" s="560"/>
      <c r="EK1068" s="560"/>
      <c r="EL1068" s="560"/>
      <c r="EM1068" s="560"/>
      <c r="EN1068" s="560"/>
      <c r="EO1068" s="560"/>
      <c r="EP1068" s="560"/>
      <c r="EQ1068" s="560"/>
      <c r="ER1068" s="560"/>
      <c r="ES1068" s="560"/>
      <c r="ET1068" s="560"/>
      <c r="EU1068" s="560"/>
      <c r="EV1068" s="560"/>
      <c r="EW1068" s="560"/>
      <c r="EX1068" s="560"/>
      <c r="EY1068" s="800" t="s">
        <v>831</v>
      </c>
      <c r="EZ1068" s="563"/>
      <c r="FA1068" s="563"/>
      <c r="FB1068" s="563"/>
      <c r="FC1068" s="563"/>
      <c r="FD1068" s="563"/>
      <c r="FE1068" s="563"/>
      <c r="FF1068" s="563"/>
      <c r="FG1068" s="563"/>
      <c r="FH1068" s="563"/>
      <c r="FI1068" s="563"/>
      <c r="FJ1068" s="563"/>
      <c r="FK1068" s="563"/>
      <c r="FL1068" s="563"/>
    </row>
    <row r="1069" spans="1:168" ht="27.6" x14ac:dyDescent="0.25">
      <c r="A1069" s="1491" t="s">
        <v>109</v>
      </c>
      <c r="B1069" s="624" t="str">
        <f t="shared" ref="B1069:D1077" si="1768">B107</f>
        <v>Каша жидкая молочная из крупы пшенной с маслом и сахаром</v>
      </c>
      <c r="C1069" s="624">
        <f t="shared" si="1768"/>
        <v>220</v>
      </c>
      <c r="D1069" s="624">
        <f t="shared" si="1768"/>
        <v>7.51</v>
      </c>
      <c r="E1069" s="1158">
        <f t="shared" ref="E1069" si="1769">EY1069</f>
        <v>18.72</v>
      </c>
      <c r="F1069" s="1158"/>
      <c r="G1069" s="1140"/>
      <c r="H1069" s="1140"/>
      <c r="I1069" s="552"/>
      <c r="J1069" s="552">
        <f t="shared" ref="J1069:AO1069" si="1770">J107*J$338</f>
        <v>0</v>
      </c>
      <c r="K1069" s="552">
        <f t="shared" si="1770"/>
        <v>0</v>
      </c>
      <c r="L1069" s="552">
        <f t="shared" si="1770"/>
        <v>0</v>
      </c>
      <c r="M1069" s="552">
        <f t="shared" si="1770"/>
        <v>0</v>
      </c>
      <c r="N1069" s="552">
        <f t="shared" si="1770"/>
        <v>0</v>
      </c>
      <c r="O1069" s="552">
        <f t="shared" si="1770"/>
        <v>0</v>
      </c>
      <c r="P1069" s="552">
        <f t="shared" si="1770"/>
        <v>0</v>
      </c>
      <c r="Q1069" s="552">
        <f t="shared" si="1770"/>
        <v>0</v>
      </c>
      <c r="R1069" s="552">
        <f t="shared" si="1770"/>
        <v>0</v>
      </c>
      <c r="S1069" s="552">
        <f t="shared" si="1770"/>
        <v>0</v>
      </c>
      <c r="T1069" s="552">
        <f t="shared" si="1770"/>
        <v>0</v>
      </c>
      <c r="U1069" s="552">
        <f t="shared" si="1770"/>
        <v>8</v>
      </c>
      <c r="V1069" s="552">
        <f t="shared" si="1770"/>
        <v>7.1</v>
      </c>
      <c r="W1069" s="552">
        <f t="shared" si="1770"/>
        <v>0</v>
      </c>
      <c r="X1069" s="552">
        <f t="shared" si="1770"/>
        <v>0</v>
      </c>
      <c r="Y1069" s="552">
        <f t="shared" si="1770"/>
        <v>0</v>
      </c>
      <c r="Z1069" s="552">
        <f t="shared" si="1770"/>
        <v>0</v>
      </c>
      <c r="AA1069" s="552">
        <f t="shared" si="1770"/>
        <v>0</v>
      </c>
      <c r="AB1069" s="552">
        <f t="shared" si="1770"/>
        <v>0</v>
      </c>
      <c r="AC1069" s="552">
        <f t="shared" si="1770"/>
        <v>0</v>
      </c>
      <c r="AD1069" s="552">
        <f t="shared" si="1770"/>
        <v>0</v>
      </c>
      <c r="AE1069" s="552">
        <f t="shared" si="1770"/>
        <v>0</v>
      </c>
      <c r="AF1069" s="552">
        <f t="shared" si="1770"/>
        <v>0</v>
      </c>
      <c r="AG1069" s="552">
        <f t="shared" si="1770"/>
        <v>0</v>
      </c>
      <c r="AH1069" s="552">
        <f t="shared" si="1770"/>
        <v>0</v>
      </c>
      <c r="AI1069" s="552">
        <f t="shared" si="1770"/>
        <v>0</v>
      </c>
      <c r="AJ1069" s="552">
        <f t="shared" si="1770"/>
        <v>0</v>
      </c>
      <c r="AK1069" s="552">
        <f t="shared" si="1770"/>
        <v>0</v>
      </c>
      <c r="AL1069" s="552">
        <f t="shared" si="1770"/>
        <v>0</v>
      </c>
      <c r="AM1069" s="552">
        <f t="shared" si="1770"/>
        <v>0</v>
      </c>
      <c r="AN1069" s="552">
        <f t="shared" si="1770"/>
        <v>0</v>
      </c>
      <c r="AO1069" s="552">
        <f t="shared" si="1770"/>
        <v>0</v>
      </c>
      <c r="AP1069" s="552">
        <f t="shared" ref="AP1069:BU1069" si="1771">AP107*AP$338</f>
        <v>0</v>
      </c>
      <c r="AQ1069" s="552">
        <f t="shared" si="1771"/>
        <v>0</v>
      </c>
      <c r="AR1069" s="552">
        <f t="shared" si="1771"/>
        <v>0</v>
      </c>
      <c r="AS1069" s="552">
        <f t="shared" si="1771"/>
        <v>0</v>
      </c>
      <c r="AT1069" s="552">
        <f t="shared" si="1771"/>
        <v>0</v>
      </c>
      <c r="AU1069" s="552">
        <f t="shared" si="1771"/>
        <v>0</v>
      </c>
      <c r="AV1069" s="552">
        <f t="shared" si="1771"/>
        <v>0</v>
      </c>
      <c r="AW1069" s="552">
        <f t="shared" si="1771"/>
        <v>0</v>
      </c>
      <c r="AX1069" s="552">
        <f t="shared" si="1771"/>
        <v>0</v>
      </c>
      <c r="AY1069" s="552">
        <f t="shared" si="1771"/>
        <v>0</v>
      </c>
      <c r="AZ1069" s="552">
        <f t="shared" si="1771"/>
        <v>0</v>
      </c>
      <c r="BA1069" s="552">
        <f t="shared" si="1771"/>
        <v>0</v>
      </c>
      <c r="BB1069" s="552">
        <f t="shared" si="1771"/>
        <v>0</v>
      </c>
      <c r="BC1069" s="552">
        <f t="shared" si="1771"/>
        <v>0</v>
      </c>
      <c r="BD1069" s="552">
        <f t="shared" si="1771"/>
        <v>0</v>
      </c>
      <c r="BE1069" s="552">
        <f t="shared" si="1771"/>
        <v>0</v>
      </c>
      <c r="BF1069" s="552">
        <f t="shared" si="1771"/>
        <v>0</v>
      </c>
      <c r="BG1069" s="552">
        <f t="shared" si="1771"/>
        <v>0</v>
      </c>
      <c r="BH1069" s="552">
        <f t="shared" si="1771"/>
        <v>0</v>
      </c>
      <c r="BI1069" s="552">
        <f t="shared" si="1771"/>
        <v>0</v>
      </c>
      <c r="BJ1069" s="552">
        <f t="shared" si="1771"/>
        <v>0</v>
      </c>
      <c r="BK1069" s="552">
        <f t="shared" si="1771"/>
        <v>0</v>
      </c>
      <c r="BL1069" s="552">
        <f t="shared" si="1771"/>
        <v>0</v>
      </c>
      <c r="BM1069" s="552">
        <f t="shared" si="1771"/>
        <v>0</v>
      </c>
      <c r="BN1069" s="552">
        <f t="shared" si="1771"/>
        <v>0</v>
      </c>
      <c r="BO1069" s="552">
        <f t="shared" si="1771"/>
        <v>0</v>
      </c>
      <c r="BP1069" s="552">
        <f t="shared" si="1771"/>
        <v>0</v>
      </c>
      <c r="BQ1069" s="552">
        <f t="shared" si="1771"/>
        <v>0</v>
      </c>
      <c r="BR1069" s="552">
        <f t="shared" si="1771"/>
        <v>0</v>
      </c>
      <c r="BS1069" s="552">
        <f t="shared" si="1771"/>
        <v>0</v>
      </c>
      <c r="BT1069" s="552">
        <f t="shared" si="1771"/>
        <v>0</v>
      </c>
      <c r="BU1069" s="552">
        <f t="shared" si="1771"/>
        <v>0</v>
      </c>
      <c r="BV1069" s="552">
        <f t="shared" ref="BV1069:DA1069" si="1772">BV107*BV$338</f>
        <v>0</v>
      </c>
      <c r="BW1069" s="552">
        <f t="shared" si="1772"/>
        <v>0</v>
      </c>
      <c r="BX1069" s="552">
        <f t="shared" si="1772"/>
        <v>0</v>
      </c>
      <c r="BY1069" s="552">
        <f t="shared" si="1772"/>
        <v>0</v>
      </c>
      <c r="BZ1069" s="552">
        <f t="shared" si="1772"/>
        <v>0</v>
      </c>
      <c r="CA1069" s="552">
        <f t="shared" si="1772"/>
        <v>2.4</v>
      </c>
      <c r="CB1069" s="552">
        <f t="shared" si="1772"/>
        <v>0</v>
      </c>
      <c r="CC1069" s="552">
        <f t="shared" si="1772"/>
        <v>0</v>
      </c>
      <c r="CD1069" s="552">
        <f t="shared" si="1772"/>
        <v>0</v>
      </c>
      <c r="CE1069" s="552">
        <f t="shared" si="1772"/>
        <v>0</v>
      </c>
      <c r="CF1069" s="552">
        <f t="shared" si="1772"/>
        <v>0</v>
      </c>
      <c r="CG1069" s="552">
        <f t="shared" si="1772"/>
        <v>0</v>
      </c>
      <c r="CH1069" s="552">
        <f t="shared" si="1772"/>
        <v>0</v>
      </c>
      <c r="CI1069" s="552">
        <f t="shared" si="1772"/>
        <v>0</v>
      </c>
      <c r="CJ1069" s="552">
        <f t="shared" si="1772"/>
        <v>0</v>
      </c>
      <c r="CK1069" s="552">
        <f t="shared" si="1772"/>
        <v>0</v>
      </c>
      <c r="CL1069" s="552">
        <f t="shared" si="1772"/>
        <v>0</v>
      </c>
      <c r="CM1069" s="552">
        <f t="shared" si="1772"/>
        <v>0</v>
      </c>
      <c r="CN1069" s="552">
        <f t="shared" si="1772"/>
        <v>0</v>
      </c>
      <c r="CO1069" s="552">
        <f t="shared" si="1772"/>
        <v>0</v>
      </c>
      <c r="CP1069" s="552">
        <f t="shared" si="1772"/>
        <v>0</v>
      </c>
      <c r="CQ1069" s="552">
        <f t="shared" si="1772"/>
        <v>0</v>
      </c>
      <c r="CR1069" s="552">
        <f t="shared" si="1772"/>
        <v>0</v>
      </c>
      <c r="CS1069" s="552">
        <f t="shared" si="1772"/>
        <v>0</v>
      </c>
      <c r="CT1069" s="552">
        <f t="shared" si="1772"/>
        <v>0</v>
      </c>
      <c r="CU1069" s="552">
        <f t="shared" si="1772"/>
        <v>0</v>
      </c>
      <c r="CV1069" s="552">
        <f t="shared" si="1772"/>
        <v>0</v>
      </c>
      <c r="CW1069" s="552">
        <f t="shared" si="1772"/>
        <v>0</v>
      </c>
      <c r="CX1069" s="552">
        <f t="shared" si="1772"/>
        <v>0</v>
      </c>
      <c r="CY1069" s="552">
        <f t="shared" si="1772"/>
        <v>0</v>
      </c>
      <c r="CZ1069" s="552">
        <f t="shared" si="1772"/>
        <v>1.22</v>
      </c>
      <c r="DA1069" s="552">
        <f t="shared" si="1772"/>
        <v>0</v>
      </c>
      <c r="DB1069" s="552">
        <f t="shared" ref="DB1069:EG1069" si="1773">DB107*DB$338</f>
        <v>0</v>
      </c>
      <c r="DC1069" s="552">
        <f t="shared" si="1773"/>
        <v>0</v>
      </c>
      <c r="DD1069" s="552">
        <f t="shared" si="1773"/>
        <v>0</v>
      </c>
      <c r="DE1069" s="552">
        <f t="shared" si="1773"/>
        <v>0</v>
      </c>
      <c r="DF1069" s="552">
        <f t="shared" si="1773"/>
        <v>0</v>
      </c>
      <c r="DG1069" s="552">
        <f t="shared" si="1773"/>
        <v>0</v>
      </c>
      <c r="DH1069" s="552">
        <f t="shared" si="1773"/>
        <v>0</v>
      </c>
      <c r="DI1069" s="552">
        <f t="shared" si="1773"/>
        <v>0</v>
      </c>
      <c r="DJ1069" s="552">
        <f t="shared" si="1773"/>
        <v>0</v>
      </c>
      <c r="DK1069" s="552">
        <f t="shared" si="1773"/>
        <v>0</v>
      </c>
      <c r="DL1069" s="552">
        <f t="shared" si="1773"/>
        <v>0</v>
      </c>
      <c r="DM1069" s="552">
        <f t="shared" si="1773"/>
        <v>0</v>
      </c>
      <c r="DN1069" s="552">
        <f t="shared" si="1773"/>
        <v>0</v>
      </c>
      <c r="DO1069" s="552">
        <f t="shared" si="1773"/>
        <v>0</v>
      </c>
      <c r="DP1069" s="552">
        <f t="shared" si="1773"/>
        <v>0</v>
      </c>
      <c r="DQ1069" s="552">
        <f t="shared" si="1773"/>
        <v>0</v>
      </c>
      <c r="DR1069" s="552">
        <f t="shared" si="1773"/>
        <v>0</v>
      </c>
      <c r="DS1069" s="552">
        <f t="shared" si="1773"/>
        <v>0</v>
      </c>
      <c r="DT1069" s="552">
        <f t="shared" si="1773"/>
        <v>0</v>
      </c>
      <c r="DU1069" s="552">
        <f t="shared" si="1773"/>
        <v>0</v>
      </c>
      <c r="DV1069" s="552">
        <f t="shared" si="1773"/>
        <v>0</v>
      </c>
      <c r="DW1069" s="552">
        <f t="shared" si="1773"/>
        <v>0</v>
      </c>
      <c r="DX1069" s="552">
        <f t="shared" si="1773"/>
        <v>0</v>
      </c>
      <c r="DY1069" s="552">
        <f t="shared" si="1773"/>
        <v>0</v>
      </c>
      <c r="DZ1069" s="552">
        <f t="shared" si="1773"/>
        <v>0</v>
      </c>
      <c r="EA1069" s="552">
        <f t="shared" si="1773"/>
        <v>0</v>
      </c>
      <c r="EB1069" s="552">
        <f t="shared" si="1773"/>
        <v>0</v>
      </c>
      <c r="EC1069" s="552">
        <f t="shared" si="1773"/>
        <v>0</v>
      </c>
      <c r="ED1069" s="552">
        <f t="shared" si="1773"/>
        <v>0</v>
      </c>
      <c r="EE1069" s="552">
        <f t="shared" si="1773"/>
        <v>0</v>
      </c>
      <c r="EF1069" s="552">
        <f t="shared" si="1773"/>
        <v>0</v>
      </c>
      <c r="EG1069" s="552">
        <f t="shared" si="1773"/>
        <v>0</v>
      </c>
      <c r="EH1069" s="552">
        <f t="shared" ref="EH1069:EX1069" si="1774">EH107*EH$338</f>
        <v>0</v>
      </c>
      <c r="EI1069" s="552">
        <f t="shared" si="1774"/>
        <v>0</v>
      </c>
      <c r="EJ1069" s="552">
        <f t="shared" si="1774"/>
        <v>0</v>
      </c>
      <c r="EK1069" s="552">
        <f t="shared" si="1774"/>
        <v>0</v>
      </c>
      <c r="EL1069" s="552">
        <f t="shared" si="1774"/>
        <v>0</v>
      </c>
      <c r="EM1069" s="552">
        <f t="shared" si="1774"/>
        <v>0</v>
      </c>
      <c r="EN1069" s="552">
        <f t="shared" si="1774"/>
        <v>0</v>
      </c>
      <c r="EO1069" s="552">
        <f t="shared" si="1774"/>
        <v>0</v>
      </c>
      <c r="EP1069" s="552">
        <f t="shared" si="1774"/>
        <v>0</v>
      </c>
      <c r="EQ1069" s="552">
        <f t="shared" si="1774"/>
        <v>0</v>
      </c>
      <c r="ER1069" s="552">
        <f t="shared" si="1774"/>
        <v>0</v>
      </c>
      <c r="ES1069" s="552">
        <f t="shared" si="1774"/>
        <v>0</v>
      </c>
      <c r="ET1069" s="552">
        <f t="shared" si="1774"/>
        <v>0</v>
      </c>
      <c r="EU1069" s="552">
        <f t="shared" si="1774"/>
        <v>0</v>
      </c>
      <c r="EV1069" s="552">
        <f t="shared" si="1774"/>
        <v>0</v>
      </c>
      <c r="EW1069" s="552">
        <f t="shared" si="1774"/>
        <v>0</v>
      </c>
      <c r="EX1069" s="552">
        <f t="shared" si="1774"/>
        <v>0</v>
      </c>
      <c r="EY1069" s="799">
        <f t="shared" ref="EY1069:EY1093" si="1775">SUM(J1069:EX1069)</f>
        <v>18.72</v>
      </c>
      <c r="EZ1069" s="640"/>
      <c r="FA1069" s="640"/>
      <c r="FB1069" s="640"/>
      <c r="FC1069" s="640"/>
      <c r="FD1069" s="640"/>
      <c r="FE1069" s="640"/>
      <c r="FF1069" s="640"/>
      <c r="FG1069" s="640"/>
      <c r="FH1069" s="640"/>
      <c r="FI1069" s="640"/>
      <c r="FJ1069" s="640"/>
      <c r="FK1069" s="640"/>
      <c r="FL1069" s="640"/>
    </row>
    <row r="1070" spans="1:168" x14ac:dyDescent="0.25">
      <c r="A1070" s="1492"/>
      <c r="B1070" s="624" t="str">
        <f t="shared" si="1768"/>
        <v>Масло сливочное (порциями)</v>
      </c>
      <c r="C1070" s="624">
        <f t="shared" si="1768"/>
        <v>10</v>
      </c>
      <c r="D1070" s="624">
        <f t="shared" si="1768"/>
        <v>0.08</v>
      </c>
      <c r="E1070" s="1158">
        <f t="shared" ref="E1070:E1077" si="1776">EY1070</f>
        <v>7.1</v>
      </c>
      <c r="F1070" s="1158"/>
      <c r="G1070" s="1140"/>
      <c r="H1070" s="1140"/>
      <c r="I1070" s="552"/>
      <c r="J1070" s="552">
        <f t="shared" ref="J1070:AO1070" si="1777">J108*J$338</f>
        <v>0</v>
      </c>
      <c r="K1070" s="552">
        <f t="shared" si="1777"/>
        <v>0</v>
      </c>
      <c r="L1070" s="552">
        <f t="shared" si="1777"/>
        <v>0</v>
      </c>
      <c r="M1070" s="552">
        <f t="shared" si="1777"/>
        <v>0</v>
      </c>
      <c r="N1070" s="552">
        <f t="shared" si="1777"/>
        <v>0</v>
      </c>
      <c r="O1070" s="552">
        <f t="shared" si="1777"/>
        <v>0</v>
      </c>
      <c r="P1070" s="552">
        <f t="shared" si="1777"/>
        <v>0</v>
      </c>
      <c r="Q1070" s="552">
        <f t="shared" si="1777"/>
        <v>0</v>
      </c>
      <c r="R1070" s="552">
        <f t="shared" si="1777"/>
        <v>0</v>
      </c>
      <c r="S1070" s="552">
        <f t="shared" si="1777"/>
        <v>0</v>
      </c>
      <c r="T1070" s="552">
        <f t="shared" si="1777"/>
        <v>0</v>
      </c>
      <c r="U1070" s="552">
        <f t="shared" si="1777"/>
        <v>0</v>
      </c>
      <c r="V1070" s="552">
        <f t="shared" si="1777"/>
        <v>7.1</v>
      </c>
      <c r="W1070" s="552">
        <f t="shared" si="1777"/>
        <v>0</v>
      </c>
      <c r="X1070" s="552">
        <f t="shared" si="1777"/>
        <v>0</v>
      </c>
      <c r="Y1070" s="552">
        <f t="shared" si="1777"/>
        <v>0</v>
      </c>
      <c r="Z1070" s="552">
        <f t="shared" si="1777"/>
        <v>0</v>
      </c>
      <c r="AA1070" s="552">
        <f t="shared" si="1777"/>
        <v>0</v>
      </c>
      <c r="AB1070" s="552">
        <f t="shared" si="1777"/>
        <v>0</v>
      </c>
      <c r="AC1070" s="552">
        <f t="shared" si="1777"/>
        <v>0</v>
      </c>
      <c r="AD1070" s="552">
        <f t="shared" si="1777"/>
        <v>0</v>
      </c>
      <c r="AE1070" s="552">
        <f t="shared" si="1777"/>
        <v>0</v>
      </c>
      <c r="AF1070" s="552">
        <f t="shared" si="1777"/>
        <v>0</v>
      </c>
      <c r="AG1070" s="552">
        <f t="shared" si="1777"/>
        <v>0</v>
      </c>
      <c r="AH1070" s="552">
        <f t="shared" si="1777"/>
        <v>0</v>
      </c>
      <c r="AI1070" s="552">
        <f t="shared" si="1777"/>
        <v>0</v>
      </c>
      <c r="AJ1070" s="552">
        <f t="shared" si="1777"/>
        <v>0</v>
      </c>
      <c r="AK1070" s="552">
        <f t="shared" si="1777"/>
        <v>0</v>
      </c>
      <c r="AL1070" s="552">
        <f t="shared" si="1777"/>
        <v>0</v>
      </c>
      <c r="AM1070" s="552">
        <f t="shared" si="1777"/>
        <v>0</v>
      </c>
      <c r="AN1070" s="552">
        <f t="shared" si="1777"/>
        <v>0</v>
      </c>
      <c r="AO1070" s="552">
        <f t="shared" si="1777"/>
        <v>0</v>
      </c>
      <c r="AP1070" s="552">
        <f t="shared" ref="AP1070:BU1070" si="1778">AP108*AP$338</f>
        <v>0</v>
      </c>
      <c r="AQ1070" s="552">
        <f t="shared" si="1778"/>
        <v>0</v>
      </c>
      <c r="AR1070" s="552">
        <f t="shared" si="1778"/>
        <v>0</v>
      </c>
      <c r="AS1070" s="552">
        <f t="shared" si="1778"/>
        <v>0</v>
      </c>
      <c r="AT1070" s="552">
        <f t="shared" si="1778"/>
        <v>0</v>
      </c>
      <c r="AU1070" s="552">
        <f t="shared" si="1778"/>
        <v>0</v>
      </c>
      <c r="AV1070" s="552">
        <f t="shared" si="1778"/>
        <v>0</v>
      </c>
      <c r="AW1070" s="552">
        <f t="shared" si="1778"/>
        <v>0</v>
      </c>
      <c r="AX1070" s="552">
        <f t="shared" si="1778"/>
        <v>0</v>
      </c>
      <c r="AY1070" s="552">
        <f t="shared" si="1778"/>
        <v>0</v>
      </c>
      <c r="AZ1070" s="552">
        <f t="shared" si="1778"/>
        <v>0</v>
      </c>
      <c r="BA1070" s="552">
        <f t="shared" si="1778"/>
        <v>0</v>
      </c>
      <c r="BB1070" s="552">
        <f t="shared" si="1778"/>
        <v>0</v>
      </c>
      <c r="BC1070" s="552">
        <f t="shared" si="1778"/>
        <v>0</v>
      </c>
      <c r="BD1070" s="552">
        <f t="shared" si="1778"/>
        <v>0</v>
      </c>
      <c r="BE1070" s="552">
        <f t="shared" si="1778"/>
        <v>0</v>
      </c>
      <c r="BF1070" s="552">
        <f t="shared" si="1778"/>
        <v>0</v>
      </c>
      <c r="BG1070" s="552">
        <f t="shared" si="1778"/>
        <v>0</v>
      </c>
      <c r="BH1070" s="552">
        <f t="shared" si="1778"/>
        <v>0</v>
      </c>
      <c r="BI1070" s="552">
        <f t="shared" si="1778"/>
        <v>0</v>
      </c>
      <c r="BJ1070" s="552">
        <f t="shared" si="1778"/>
        <v>0</v>
      </c>
      <c r="BK1070" s="552">
        <f t="shared" si="1778"/>
        <v>0</v>
      </c>
      <c r="BL1070" s="552">
        <f t="shared" si="1778"/>
        <v>0</v>
      </c>
      <c r="BM1070" s="552">
        <f t="shared" si="1778"/>
        <v>0</v>
      </c>
      <c r="BN1070" s="552">
        <f t="shared" si="1778"/>
        <v>0</v>
      </c>
      <c r="BO1070" s="552">
        <f t="shared" si="1778"/>
        <v>0</v>
      </c>
      <c r="BP1070" s="552">
        <f t="shared" si="1778"/>
        <v>0</v>
      </c>
      <c r="BQ1070" s="552">
        <f t="shared" si="1778"/>
        <v>0</v>
      </c>
      <c r="BR1070" s="552">
        <f t="shared" si="1778"/>
        <v>0</v>
      </c>
      <c r="BS1070" s="552">
        <f t="shared" si="1778"/>
        <v>0</v>
      </c>
      <c r="BT1070" s="552">
        <f t="shared" si="1778"/>
        <v>0</v>
      </c>
      <c r="BU1070" s="552">
        <f t="shared" si="1778"/>
        <v>0</v>
      </c>
      <c r="BV1070" s="552">
        <f t="shared" ref="BV1070:DA1070" si="1779">BV108*BV$338</f>
        <v>0</v>
      </c>
      <c r="BW1070" s="552">
        <f t="shared" si="1779"/>
        <v>0</v>
      </c>
      <c r="BX1070" s="552">
        <f t="shared" si="1779"/>
        <v>0</v>
      </c>
      <c r="BY1070" s="552">
        <f t="shared" si="1779"/>
        <v>0</v>
      </c>
      <c r="BZ1070" s="552">
        <f t="shared" si="1779"/>
        <v>0</v>
      </c>
      <c r="CA1070" s="552">
        <f t="shared" si="1779"/>
        <v>0</v>
      </c>
      <c r="CB1070" s="552">
        <f t="shared" si="1779"/>
        <v>0</v>
      </c>
      <c r="CC1070" s="552">
        <f t="shared" si="1779"/>
        <v>0</v>
      </c>
      <c r="CD1070" s="552">
        <f t="shared" si="1779"/>
        <v>0</v>
      </c>
      <c r="CE1070" s="552">
        <f t="shared" si="1779"/>
        <v>0</v>
      </c>
      <c r="CF1070" s="552">
        <f t="shared" si="1779"/>
        <v>0</v>
      </c>
      <c r="CG1070" s="552">
        <f t="shared" si="1779"/>
        <v>0</v>
      </c>
      <c r="CH1070" s="552">
        <f t="shared" si="1779"/>
        <v>0</v>
      </c>
      <c r="CI1070" s="552">
        <f t="shared" si="1779"/>
        <v>0</v>
      </c>
      <c r="CJ1070" s="552">
        <f t="shared" si="1779"/>
        <v>0</v>
      </c>
      <c r="CK1070" s="552">
        <f t="shared" si="1779"/>
        <v>0</v>
      </c>
      <c r="CL1070" s="552">
        <f t="shared" si="1779"/>
        <v>0</v>
      </c>
      <c r="CM1070" s="552">
        <f t="shared" si="1779"/>
        <v>0</v>
      </c>
      <c r="CN1070" s="552">
        <f t="shared" si="1779"/>
        <v>0</v>
      </c>
      <c r="CO1070" s="552">
        <f t="shared" si="1779"/>
        <v>0</v>
      </c>
      <c r="CP1070" s="552">
        <f t="shared" si="1779"/>
        <v>0</v>
      </c>
      <c r="CQ1070" s="552">
        <f t="shared" si="1779"/>
        <v>0</v>
      </c>
      <c r="CR1070" s="552">
        <f t="shared" si="1779"/>
        <v>0</v>
      </c>
      <c r="CS1070" s="552">
        <f t="shared" si="1779"/>
        <v>0</v>
      </c>
      <c r="CT1070" s="552">
        <f t="shared" si="1779"/>
        <v>0</v>
      </c>
      <c r="CU1070" s="552">
        <f t="shared" si="1779"/>
        <v>0</v>
      </c>
      <c r="CV1070" s="552">
        <f t="shared" si="1779"/>
        <v>0</v>
      </c>
      <c r="CW1070" s="552">
        <f t="shared" si="1779"/>
        <v>0</v>
      </c>
      <c r="CX1070" s="552">
        <f t="shared" si="1779"/>
        <v>0</v>
      </c>
      <c r="CY1070" s="552">
        <f t="shared" si="1779"/>
        <v>0</v>
      </c>
      <c r="CZ1070" s="552">
        <f t="shared" si="1779"/>
        <v>0</v>
      </c>
      <c r="DA1070" s="552">
        <f t="shared" si="1779"/>
        <v>0</v>
      </c>
      <c r="DB1070" s="552">
        <f t="shared" ref="DB1070:EG1070" si="1780">DB108*DB$338</f>
        <v>0</v>
      </c>
      <c r="DC1070" s="552">
        <f t="shared" si="1780"/>
        <v>0</v>
      </c>
      <c r="DD1070" s="552">
        <f t="shared" si="1780"/>
        <v>0</v>
      </c>
      <c r="DE1070" s="552">
        <f t="shared" si="1780"/>
        <v>0</v>
      </c>
      <c r="DF1070" s="552">
        <f t="shared" si="1780"/>
        <v>0</v>
      </c>
      <c r="DG1070" s="552">
        <f t="shared" si="1780"/>
        <v>0</v>
      </c>
      <c r="DH1070" s="552">
        <f t="shared" si="1780"/>
        <v>0</v>
      </c>
      <c r="DI1070" s="552">
        <f t="shared" si="1780"/>
        <v>0</v>
      </c>
      <c r="DJ1070" s="552">
        <f t="shared" si="1780"/>
        <v>0</v>
      </c>
      <c r="DK1070" s="552">
        <f t="shared" si="1780"/>
        <v>0</v>
      </c>
      <c r="DL1070" s="552">
        <f t="shared" si="1780"/>
        <v>0</v>
      </c>
      <c r="DM1070" s="552">
        <f t="shared" si="1780"/>
        <v>0</v>
      </c>
      <c r="DN1070" s="552">
        <f t="shared" si="1780"/>
        <v>0</v>
      </c>
      <c r="DO1070" s="552">
        <f t="shared" si="1780"/>
        <v>0</v>
      </c>
      <c r="DP1070" s="552">
        <f t="shared" si="1780"/>
        <v>0</v>
      </c>
      <c r="DQ1070" s="552">
        <f t="shared" si="1780"/>
        <v>0</v>
      </c>
      <c r="DR1070" s="552">
        <f t="shared" si="1780"/>
        <v>0</v>
      </c>
      <c r="DS1070" s="552">
        <f t="shared" si="1780"/>
        <v>0</v>
      </c>
      <c r="DT1070" s="552">
        <f t="shared" si="1780"/>
        <v>0</v>
      </c>
      <c r="DU1070" s="552">
        <f t="shared" si="1780"/>
        <v>0</v>
      </c>
      <c r="DV1070" s="552">
        <f t="shared" si="1780"/>
        <v>0</v>
      </c>
      <c r="DW1070" s="552">
        <f t="shared" si="1780"/>
        <v>0</v>
      </c>
      <c r="DX1070" s="552">
        <f t="shared" si="1780"/>
        <v>0</v>
      </c>
      <c r="DY1070" s="552">
        <f t="shared" si="1780"/>
        <v>0</v>
      </c>
      <c r="DZ1070" s="552">
        <f t="shared" si="1780"/>
        <v>0</v>
      </c>
      <c r="EA1070" s="552">
        <f t="shared" si="1780"/>
        <v>0</v>
      </c>
      <c r="EB1070" s="552">
        <f t="shared" si="1780"/>
        <v>0</v>
      </c>
      <c r="EC1070" s="552">
        <f t="shared" si="1780"/>
        <v>0</v>
      </c>
      <c r="ED1070" s="552">
        <f t="shared" si="1780"/>
        <v>0</v>
      </c>
      <c r="EE1070" s="552">
        <f t="shared" si="1780"/>
        <v>0</v>
      </c>
      <c r="EF1070" s="552">
        <f t="shared" si="1780"/>
        <v>0</v>
      </c>
      <c r="EG1070" s="552">
        <f t="shared" si="1780"/>
        <v>0</v>
      </c>
      <c r="EH1070" s="552">
        <f t="shared" ref="EH1070:EX1070" si="1781">EH108*EH$338</f>
        <v>0</v>
      </c>
      <c r="EI1070" s="552">
        <f t="shared" si="1781"/>
        <v>0</v>
      </c>
      <c r="EJ1070" s="552">
        <f t="shared" si="1781"/>
        <v>0</v>
      </c>
      <c r="EK1070" s="552">
        <f t="shared" si="1781"/>
        <v>0</v>
      </c>
      <c r="EL1070" s="552">
        <f t="shared" si="1781"/>
        <v>0</v>
      </c>
      <c r="EM1070" s="552">
        <f t="shared" si="1781"/>
        <v>0</v>
      </c>
      <c r="EN1070" s="552">
        <f t="shared" si="1781"/>
        <v>0</v>
      </c>
      <c r="EO1070" s="552">
        <f t="shared" si="1781"/>
        <v>0</v>
      </c>
      <c r="EP1070" s="552">
        <f t="shared" si="1781"/>
        <v>0</v>
      </c>
      <c r="EQ1070" s="552">
        <f t="shared" si="1781"/>
        <v>0</v>
      </c>
      <c r="ER1070" s="552">
        <f t="shared" si="1781"/>
        <v>0</v>
      </c>
      <c r="ES1070" s="552">
        <f t="shared" si="1781"/>
        <v>0</v>
      </c>
      <c r="ET1070" s="552">
        <f t="shared" si="1781"/>
        <v>0</v>
      </c>
      <c r="EU1070" s="552">
        <f t="shared" si="1781"/>
        <v>0</v>
      </c>
      <c r="EV1070" s="552">
        <f t="shared" si="1781"/>
        <v>0</v>
      </c>
      <c r="EW1070" s="552">
        <f t="shared" si="1781"/>
        <v>0</v>
      </c>
      <c r="EX1070" s="552">
        <f t="shared" si="1781"/>
        <v>0</v>
      </c>
      <c r="EY1070" s="799">
        <f t="shared" si="1775"/>
        <v>7.1</v>
      </c>
      <c r="EZ1070" s="640"/>
      <c r="FA1070" s="640"/>
      <c r="FB1070" s="640"/>
      <c r="FC1070" s="640"/>
      <c r="FD1070" s="640"/>
      <c r="FE1070" s="640"/>
      <c r="FF1070" s="640"/>
      <c r="FG1070" s="640"/>
      <c r="FH1070" s="640"/>
      <c r="FI1070" s="640"/>
      <c r="FJ1070" s="640"/>
      <c r="FK1070" s="640"/>
      <c r="FL1070" s="640"/>
    </row>
    <row r="1071" spans="1:168" x14ac:dyDescent="0.25">
      <c r="A1071" s="1492"/>
      <c r="B1071" s="624" t="str">
        <f t="shared" si="1768"/>
        <v>Хлеб пшенично-ржаной нарезной</v>
      </c>
      <c r="C1071" s="624">
        <f t="shared" si="1768"/>
        <v>40</v>
      </c>
      <c r="D1071" s="624">
        <f t="shared" si="1768"/>
        <v>3</v>
      </c>
      <c r="E1071" s="1158">
        <f t="shared" si="1776"/>
        <v>2.6</v>
      </c>
      <c r="F1071" s="1158"/>
      <c r="G1071" s="1140"/>
      <c r="H1071" s="1140"/>
      <c r="I1071" s="552"/>
      <c r="J1071" s="552">
        <f t="shared" ref="J1071:AO1071" si="1782">J109*J$338</f>
        <v>0</v>
      </c>
      <c r="K1071" s="552">
        <f t="shared" si="1782"/>
        <v>0</v>
      </c>
      <c r="L1071" s="552">
        <f t="shared" si="1782"/>
        <v>0</v>
      </c>
      <c r="M1071" s="552">
        <f t="shared" si="1782"/>
        <v>0</v>
      </c>
      <c r="N1071" s="552">
        <f t="shared" si="1782"/>
        <v>0</v>
      </c>
      <c r="O1071" s="552">
        <f t="shared" si="1782"/>
        <v>0</v>
      </c>
      <c r="P1071" s="552">
        <f t="shared" si="1782"/>
        <v>0</v>
      </c>
      <c r="Q1071" s="552">
        <f t="shared" si="1782"/>
        <v>0</v>
      </c>
      <c r="R1071" s="552">
        <f t="shared" si="1782"/>
        <v>0</v>
      </c>
      <c r="S1071" s="552">
        <f t="shared" si="1782"/>
        <v>0</v>
      </c>
      <c r="T1071" s="552">
        <f t="shared" si="1782"/>
        <v>0</v>
      </c>
      <c r="U1071" s="552">
        <f t="shared" si="1782"/>
        <v>0</v>
      </c>
      <c r="V1071" s="552">
        <f t="shared" si="1782"/>
        <v>0</v>
      </c>
      <c r="W1071" s="552">
        <f t="shared" si="1782"/>
        <v>0</v>
      </c>
      <c r="X1071" s="552">
        <f t="shared" si="1782"/>
        <v>0</v>
      </c>
      <c r="Y1071" s="552">
        <f t="shared" si="1782"/>
        <v>0</v>
      </c>
      <c r="Z1071" s="552">
        <f t="shared" si="1782"/>
        <v>0</v>
      </c>
      <c r="AA1071" s="552">
        <f t="shared" si="1782"/>
        <v>0</v>
      </c>
      <c r="AB1071" s="552">
        <f t="shared" si="1782"/>
        <v>0</v>
      </c>
      <c r="AC1071" s="552">
        <f t="shared" si="1782"/>
        <v>0</v>
      </c>
      <c r="AD1071" s="552">
        <f t="shared" si="1782"/>
        <v>0</v>
      </c>
      <c r="AE1071" s="552">
        <f t="shared" si="1782"/>
        <v>0</v>
      </c>
      <c r="AF1071" s="552">
        <f t="shared" si="1782"/>
        <v>0</v>
      </c>
      <c r="AG1071" s="552">
        <f t="shared" si="1782"/>
        <v>0</v>
      </c>
      <c r="AH1071" s="552">
        <f t="shared" si="1782"/>
        <v>0</v>
      </c>
      <c r="AI1071" s="552">
        <f t="shared" si="1782"/>
        <v>0</v>
      </c>
      <c r="AJ1071" s="552">
        <f t="shared" si="1782"/>
        <v>0</v>
      </c>
      <c r="AK1071" s="552">
        <f t="shared" si="1782"/>
        <v>0</v>
      </c>
      <c r="AL1071" s="552">
        <f t="shared" si="1782"/>
        <v>0</v>
      </c>
      <c r="AM1071" s="552">
        <f t="shared" si="1782"/>
        <v>0</v>
      </c>
      <c r="AN1071" s="552">
        <f t="shared" si="1782"/>
        <v>0</v>
      </c>
      <c r="AO1071" s="552">
        <f t="shared" si="1782"/>
        <v>0</v>
      </c>
      <c r="AP1071" s="552">
        <f t="shared" ref="AP1071:BU1071" si="1783">AP109*AP$338</f>
        <v>0</v>
      </c>
      <c r="AQ1071" s="552">
        <f t="shared" si="1783"/>
        <v>0</v>
      </c>
      <c r="AR1071" s="552">
        <f t="shared" si="1783"/>
        <v>0</v>
      </c>
      <c r="AS1071" s="552">
        <f t="shared" si="1783"/>
        <v>0</v>
      </c>
      <c r="AT1071" s="552">
        <f t="shared" si="1783"/>
        <v>0</v>
      </c>
      <c r="AU1071" s="552">
        <f t="shared" si="1783"/>
        <v>0</v>
      </c>
      <c r="AV1071" s="552">
        <f t="shared" si="1783"/>
        <v>0</v>
      </c>
      <c r="AW1071" s="552">
        <f t="shared" si="1783"/>
        <v>0</v>
      </c>
      <c r="AX1071" s="552">
        <f t="shared" si="1783"/>
        <v>0</v>
      </c>
      <c r="AY1071" s="552">
        <f t="shared" si="1783"/>
        <v>0</v>
      </c>
      <c r="AZ1071" s="552">
        <f t="shared" si="1783"/>
        <v>0</v>
      </c>
      <c r="BA1071" s="552">
        <f t="shared" si="1783"/>
        <v>0</v>
      </c>
      <c r="BB1071" s="552">
        <f t="shared" si="1783"/>
        <v>0</v>
      </c>
      <c r="BC1071" s="552">
        <f t="shared" si="1783"/>
        <v>0</v>
      </c>
      <c r="BD1071" s="552">
        <f t="shared" si="1783"/>
        <v>0</v>
      </c>
      <c r="BE1071" s="552">
        <f t="shared" si="1783"/>
        <v>0</v>
      </c>
      <c r="BF1071" s="552">
        <f t="shared" si="1783"/>
        <v>0</v>
      </c>
      <c r="BG1071" s="552">
        <f t="shared" si="1783"/>
        <v>0</v>
      </c>
      <c r="BH1071" s="552">
        <f t="shared" si="1783"/>
        <v>0</v>
      </c>
      <c r="BI1071" s="552">
        <f t="shared" si="1783"/>
        <v>0</v>
      </c>
      <c r="BJ1071" s="552">
        <f t="shared" si="1783"/>
        <v>0</v>
      </c>
      <c r="BK1071" s="552">
        <f t="shared" si="1783"/>
        <v>0</v>
      </c>
      <c r="BL1071" s="552">
        <f t="shared" si="1783"/>
        <v>0</v>
      </c>
      <c r="BM1071" s="552">
        <f t="shared" si="1783"/>
        <v>0</v>
      </c>
      <c r="BN1071" s="552">
        <f t="shared" si="1783"/>
        <v>0</v>
      </c>
      <c r="BO1071" s="552">
        <f t="shared" si="1783"/>
        <v>0</v>
      </c>
      <c r="BP1071" s="552">
        <f t="shared" si="1783"/>
        <v>0</v>
      </c>
      <c r="BQ1071" s="552">
        <f t="shared" si="1783"/>
        <v>0</v>
      </c>
      <c r="BR1071" s="552">
        <f t="shared" si="1783"/>
        <v>0</v>
      </c>
      <c r="BS1071" s="552">
        <f t="shared" si="1783"/>
        <v>0</v>
      </c>
      <c r="BT1071" s="552">
        <f t="shared" si="1783"/>
        <v>0</v>
      </c>
      <c r="BU1071" s="552">
        <f t="shared" si="1783"/>
        <v>0</v>
      </c>
      <c r="BV1071" s="552">
        <f t="shared" ref="BV1071:DA1071" si="1784">BV109*BV$338</f>
        <v>0</v>
      </c>
      <c r="BW1071" s="552">
        <f t="shared" si="1784"/>
        <v>0</v>
      </c>
      <c r="BX1071" s="552">
        <f t="shared" si="1784"/>
        <v>0</v>
      </c>
      <c r="BY1071" s="552">
        <f t="shared" si="1784"/>
        <v>0</v>
      </c>
      <c r="BZ1071" s="552">
        <f t="shared" si="1784"/>
        <v>0</v>
      </c>
      <c r="CA1071" s="552">
        <f t="shared" si="1784"/>
        <v>0</v>
      </c>
      <c r="CB1071" s="552">
        <f t="shared" si="1784"/>
        <v>0</v>
      </c>
      <c r="CC1071" s="552">
        <f t="shared" si="1784"/>
        <v>0</v>
      </c>
      <c r="CD1071" s="552">
        <f t="shared" si="1784"/>
        <v>0</v>
      </c>
      <c r="CE1071" s="552">
        <f t="shared" si="1784"/>
        <v>0</v>
      </c>
      <c r="CF1071" s="552">
        <f t="shared" si="1784"/>
        <v>0</v>
      </c>
      <c r="CG1071" s="552">
        <f t="shared" si="1784"/>
        <v>0</v>
      </c>
      <c r="CH1071" s="552">
        <f t="shared" si="1784"/>
        <v>0</v>
      </c>
      <c r="CI1071" s="552">
        <f t="shared" si="1784"/>
        <v>0</v>
      </c>
      <c r="CJ1071" s="552">
        <f t="shared" si="1784"/>
        <v>0</v>
      </c>
      <c r="CK1071" s="552">
        <f t="shared" si="1784"/>
        <v>0</v>
      </c>
      <c r="CL1071" s="552">
        <f t="shared" si="1784"/>
        <v>0</v>
      </c>
      <c r="CM1071" s="552">
        <f t="shared" si="1784"/>
        <v>0</v>
      </c>
      <c r="CN1071" s="552">
        <f t="shared" si="1784"/>
        <v>0</v>
      </c>
      <c r="CO1071" s="552">
        <f t="shared" si="1784"/>
        <v>0</v>
      </c>
      <c r="CP1071" s="552">
        <f t="shared" si="1784"/>
        <v>0</v>
      </c>
      <c r="CQ1071" s="552">
        <f t="shared" si="1784"/>
        <v>0</v>
      </c>
      <c r="CR1071" s="552">
        <f t="shared" si="1784"/>
        <v>0</v>
      </c>
      <c r="CS1071" s="552">
        <f t="shared" si="1784"/>
        <v>0</v>
      </c>
      <c r="CT1071" s="552">
        <f t="shared" si="1784"/>
        <v>0</v>
      </c>
      <c r="CU1071" s="552">
        <f t="shared" si="1784"/>
        <v>0</v>
      </c>
      <c r="CV1071" s="552">
        <f t="shared" si="1784"/>
        <v>0</v>
      </c>
      <c r="CW1071" s="552">
        <f t="shared" si="1784"/>
        <v>0</v>
      </c>
      <c r="CX1071" s="552">
        <f t="shared" si="1784"/>
        <v>0</v>
      </c>
      <c r="CY1071" s="552">
        <f t="shared" si="1784"/>
        <v>0</v>
      </c>
      <c r="CZ1071" s="552">
        <f t="shared" si="1784"/>
        <v>0</v>
      </c>
      <c r="DA1071" s="552">
        <f t="shared" si="1784"/>
        <v>0</v>
      </c>
      <c r="DB1071" s="552">
        <f t="shared" ref="DB1071:EG1071" si="1785">DB109*DB$338</f>
        <v>0</v>
      </c>
      <c r="DC1071" s="552">
        <f t="shared" si="1785"/>
        <v>0</v>
      </c>
      <c r="DD1071" s="552">
        <f t="shared" si="1785"/>
        <v>0</v>
      </c>
      <c r="DE1071" s="552">
        <f t="shared" si="1785"/>
        <v>0</v>
      </c>
      <c r="DF1071" s="552">
        <f t="shared" si="1785"/>
        <v>0</v>
      </c>
      <c r="DG1071" s="552">
        <f t="shared" si="1785"/>
        <v>0</v>
      </c>
      <c r="DH1071" s="552">
        <f t="shared" si="1785"/>
        <v>0</v>
      </c>
      <c r="DI1071" s="552">
        <f t="shared" si="1785"/>
        <v>0</v>
      </c>
      <c r="DJ1071" s="552">
        <f t="shared" si="1785"/>
        <v>0</v>
      </c>
      <c r="DK1071" s="552">
        <f t="shared" si="1785"/>
        <v>0</v>
      </c>
      <c r="DL1071" s="552">
        <f t="shared" si="1785"/>
        <v>0</v>
      </c>
      <c r="DM1071" s="552">
        <f t="shared" si="1785"/>
        <v>0</v>
      </c>
      <c r="DN1071" s="552">
        <f t="shared" si="1785"/>
        <v>0</v>
      </c>
      <c r="DO1071" s="552">
        <f t="shared" si="1785"/>
        <v>0</v>
      </c>
      <c r="DP1071" s="552">
        <f t="shared" si="1785"/>
        <v>0</v>
      </c>
      <c r="DQ1071" s="552">
        <f t="shared" si="1785"/>
        <v>0</v>
      </c>
      <c r="DR1071" s="552">
        <f t="shared" si="1785"/>
        <v>0</v>
      </c>
      <c r="DS1071" s="552">
        <f t="shared" si="1785"/>
        <v>0</v>
      </c>
      <c r="DT1071" s="552">
        <f t="shared" si="1785"/>
        <v>0</v>
      </c>
      <c r="DU1071" s="552">
        <f t="shared" si="1785"/>
        <v>0</v>
      </c>
      <c r="DV1071" s="552">
        <f t="shared" si="1785"/>
        <v>0</v>
      </c>
      <c r="DW1071" s="552">
        <f t="shared" si="1785"/>
        <v>0</v>
      </c>
      <c r="DX1071" s="552">
        <f t="shared" si="1785"/>
        <v>0</v>
      </c>
      <c r="DY1071" s="552">
        <f t="shared" si="1785"/>
        <v>0</v>
      </c>
      <c r="DZ1071" s="552">
        <f t="shared" si="1785"/>
        <v>0</v>
      </c>
      <c r="EA1071" s="552">
        <f t="shared" si="1785"/>
        <v>0</v>
      </c>
      <c r="EB1071" s="552">
        <f t="shared" si="1785"/>
        <v>0</v>
      </c>
      <c r="EC1071" s="552">
        <f t="shared" si="1785"/>
        <v>0</v>
      </c>
      <c r="ED1071" s="552">
        <f t="shared" si="1785"/>
        <v>0</v>
      </c>
      <c r="EE1071" s="552">
        <f t="shared" si="1785"/>
        <v>0</v>
      </c>
      <c r="EF1071" s="552">
        <f t="shared" si="1785"/>
        <v>0</v>
      </c>
      <c r="EG1071" s="552">
        <f t="shared" si="1785"/>
        <v>0</v>
      </c>
      <c r="EH1071" s="552">
        <f t="shared" ref="EH1071:EX1071" si="1786">EH109*EH$338</f>
        <v>0</v>
      </c>
      <c r="EI1071" s="552">
        <f t="shared" si="1786"/>
        <v>0</v>
      </c>
      <c r="EJ1071" s="552">
        <f t="shared" si="1786"/>
        <v>0</v>
      </c>
      <c r="EK1071" s="552">
        <f t="shared" si="1786"/>
        <v>0</v>
      </c>
      <c r="EL1071" s="552">
        <f t="shared" si="1786"/>
        <v>0</v>
      </c>
      <c r="EM1071" s="552">
        <f t="shared" si="1786"/>
        <v>0</v>
      </c>
      <c r="EN1071" s="552">
        <f t="shared" si="1786"/>
        <v>0</v>
      </c>
      <c r="EO1071" s="552">
        <f t="shared" si="1786"/>
        <v>0</v>
      </c>
      <c r="EP1071" s="552">
        <f t="shared" si="1786"/>
        <v>0</v>
      </c>
      <c r="EQ1071" s="552">
        <f t="shared" si="1786"/>
        <v>0</v>
      </c>
      <c r="ER1071" s="552">
        <f t="shared" si="1786"/>
        <v>0</v>
      </c>
      <c r="ES1071" s="552">
        <f t="shared" si="1786"/>
        <v>0</v>
      </c>
      <c r="ET1071" s="552">
        <f t="shared" si="1786"/>
        <v>0</v>
      </c>
      <c r="EU1071" s="552">
        <f t="shared" si="1786"/>
        <v>0</v>
      </c>
      <c r="EV1071" s="552">
        <f t="shared" si="1786"/>
        <v>0</v>
      </c>
      <c r="EW1071" s="552">
        <f t="shared" si="1786"/>
        <v>2.6</v>
      </c>
      <c r="EX1071" s="552">
        <f t="shared" si="1786"/>
        <v>0</v>
      </c>
      <c r="EY1071" s="799">
        <f t="shared" si="1775"/>
        <v>2.6</v>
      </c>
      <c r="EZ1071" s="640"/>
      <c r="FA1071" s="640"/>
      <c r="FB1071" s="640"/>
      <c r="FC1071" s="640"/>
      <c r="FD1071" s="640"/>
      <c r="FE1071" s="640"/>
      <c r="FF1071" s="640"/>
      <c r="FG1071" s="640"/>
      <c r="FH1071" s="640"/>
      <c r="FI1071" s="640"/>
      <c r="FJ1071" s="640"/>
      <c r="FK1071" s="640"/>
      <c r="FL1071" s="640"/>
    </row>
    <row r="1072" spans="1:168" x14ac:dyDescent="0.25">
      <c r="A1072" s="1492"/>
      <c r="B1072" s="624" t="str">
        <f t="shared" si="1768"/>
        <v>Чай с сахаром</v>
      </c>
      <c r="C1072" s="624">
        <f t="shared" si="1768"/>
        <v>200</v>
      </c>
      <c r="D1072" s="624">
        <f t="shared" si="1768"/>
        <v>7.0000000000000007E-2</v>
      </c>
      <c r="E1072" s="1158">
        <f t="shared" si="1776"/>
        <v>1.59</v>
      </c>
      <c r="F1072" s="1158"/>
      <c r="G1072" s="1140"/>
      <c r="H1072" s="1140"/>
      <c r="I1072" s="552"/>
      <c r="J1072" s="552">
        <f t="shared" ref="J1072:AO1072" si="1787">J110*J$338</f>
        <v>0</v>
      </c>
      <c r="K1072" s="552">
        <f t="shared" si="1787"/>
        <v>0</v>
      </c>
      <c r="L1072" s="552">
        <f t="shared" si="1787"/>
        <v>0</v>
      </c>
      <c r="M1072" s="552">
        <f t="shared" si="1787"/>
        <v>0</v>
      </c>
      <c r="N1072" s="552">
        <f t="shared" si="1787"/>
        <v>0</v>
      </c>
      <c r="O1072" s="552">
        <f t="shared" si="1787"/>
        <v>0</v>
      </c>
      <c r="P1072" s="552">
        <f t="shared" si="1787"/>
        <v>0</v>
      </c>
      <c r="Q1072" s="552">
        <f t="shared" si="1787"/>
        <v>0</v>
      </c>
      <c r="R1072" s="552">
        <f t="shared" si="1787"/>
        <v>0</v>
      </c>
      <c r="S1072" s="552">
        <f t="shared" si="1787"/>
        <v>0</v>
      </c>
      <c r="T1072" s="552">
        <f t="shared" si="1787"/>
        <v>0</v>
      </c>
      <c r="U1072" s="552">
        <f t="shared" si="1787"/>
        <v>0</v>
      </c>
      <c r="V1072" s="552">
        <f t="shared" si="1787"/>
        <v>0</v>
      </c>
      <c r="W1072" s="552">
        <f t="shared" si="1787"/>
        <v>0</v>
      </c>
      <c r="X1072" s="552">
        <f t="shared" si="1787"/>
        <v>0</v>
      </c>
      <c r="Y1072" s="552">
        <f t="shared" si="1787"/>
        <v>0</v>
      </c>
      <c r="Z1072" s="552">
        <f t="shared" si="1787"/>
        <v>0</v>
      </c>
      <c r="AA1072" s="552">
        <f t="shared" si="1787"/>
        <v>0</v>
      </c>
      <c r="AB1072" s="552">
        <f t="shared" si="1787"/>
        <v>0</v>
      </c>
      <c r="AC1072" s="552">
        <f t="shared" si="1787"/>
        <v>0</v>
      </c>
      <c r="AD1072" s="552">
        <f t="shared" si="1787"/>
        <v>0</v>
      </c>
      <c r="AE1072" s="552">
        <f t="shared" si="1787"/>
        <v>0</v>
      </c>
      <c r="AF1072" s="552">
        <f t="shared" si="1787"/>
        <v>0</v>
      </c>
      <c r="AG1072" s="552">
        <f t="shared" si="1787"/>
        <v>0</v>
      </c>
      <c r="AH1072" s="552">
        <f t="shared" si="1787"/>
        <v>0</v>
      </c>
      <c r="AI1072" s="552">
        <f t="shared" si="1787"/>
        <v>0</v>
      </c>
      <c r="AJ1072" s="552">
        <f t="shared" si="1787"/>
        <v>0</v>
      </c>
      <c r="AK1072" s="552">
        <f t="shared" si="1787"/>
        <v>0</v>
      </c>
      <c r="AL1072" s="552">
        <f t="shared" si="1787"/>
        <v>0</v>
      </c>
      <c r="AM1072" s="552">
        <f t="shared" si="1787"/>
        <v>0</v>
      </c>
      <c r="AN1072" s="552">
        <f t="shared" si="1787"/>
        <v>0</v>
      </c>
      <c r="AO1072" s="552">
        <f t="shared" si="1787"/>
        <v>0</v>
      </c>
      <c r="AP1072" s="552">
        <f t="shared" ref="AP1072:BU1072" si="1788">AP110*AP$338</f>
        <v>0</v>
      </c>
      <c r="AQ1072" s="552">
        <f t="shared" si="1788"/>
        <v>0</v>
      </c>
      <c r="AR1072" s="552">
        <f t="shared" si="1788"/>
        <v>0</v>
      </c>
      <c r="AS1072" s="552">
        <f t="shared" si="1788"/>
        <v>0</v>
      </c>
      <c r="AT1072" s="552">
        <f t="shared" si="1788"/>
        <v>0</v>
      </c>
      <c r="AU1072" s="552">
        <f t="shared" si="1788"/>
        <v>0</v>
      </c>
      <c r="AV1072" s="552">
        <f t="shared" si="1788"/>
        <v>0</v>
      </c>
      <c r="AW1072" s="552">
        <f t="shared" si="1788"/>
        <v>0</v>
      </c>
      <c r="AX1072" s="552">
        <f t="shared" si="1788"/>
        <v>0</v>
      </c>
      <c r="AY1072" s="552">
        <f t="shared" si="1788"/>
        <v>0</v>
      </c>
      <c r="AZ1072" s="552">
        <f t="shared" si="1788"/>
        <v>0</v>
      </c>
      <c r="BA1072" s="552">
        <f t="shared" si="1788"/>
        <v>0</v>
      </c>
      <c r="BB1072" s="552">
        <f t="shared" si="1788"/>
        <v>0</v>
      </c>
      <c r="BC1072" s="552">
        <f t="shared" si="1788"/>
        <v>0</v>
      </c>
      <c r="BD1072" s="552">
        <f t="shared" si="1788"/>
        <v>0</v>
      </c>
      <c r="BE1072" s="552">
        <f t="shared" si="1788"/>
        <v>0</v>
      </c>
      <c r="BF1072" s="552">
        <f t="shared" si="1788"/>
        <v>0</v>
      </c>
      <c r="BG1072" s="552">
        <f t="shared" si="1788"/>
        <v>0</v>
      </c>
      <c r="BH1072" s="552">
        <f t="shared" si="1788"/>
        <v>0</v>
      </c>
      <c r="BI1072" s="552">
        <f t="shared" si="1788"/>
        <v>0</v>
      </c>
      <c r="BJ1072" s="552">
        <f t="shared" si="1788"/>
        <v>0</v>
      </c>
      <c r="BK1072" s="552">
        <f t="shared" si="1788"/>
        <v>0</v>
      </c>
      <c r="BL1072" s="552">
        <f t="shared" si="1788"/>
        <v>0</v>
      </c>
      <c r="BM1072" s="552">
        <f t="shared" si="1788"/>
        <v>0</v>
      </c>
      <c r="BN1072" s="552">
        <f t="shared" si="1788"/>
        <v>0</v>
      </c>
      <c r="BO1072" s="552">
        <f t="shared" si="1788"/>
        <v>0</v>
      </c>
      <c r="BP1072" s="552">
        <f t="shared" si="1788"/>
        <v>0</v>
      </c>
      <c r="BQ1072" s="552">
        <f t="shared" si="1788"/>
        <v>0</v>
      </c>
      <c r="BR1072" s="552">
        <f t="shared" si="1788"/>
        <v>0</v>
      </c>
      <c r="BS1072" s="552">
        <f t="shared" si="1788"/>
        <v>0</v>
      </c>
      <c r="BT1072" s="552">
        <f t="shared" si="1788"/>
        <v>0</v>
      </c>
      <c r="BU1072" s="552">
        <f t="shared" si="1788"/>
        <v>0</v>
      </c>
      <c r="BV1072" s="552">
        <f t="shared" ref="BV1072:DA1072" si="1789">BV110*BV$338</f>
        <v>0</v>
      </c>
      <c r="BW1072" s="552">
        <f t="shared" si="1789"/>
        <v>0</v>
      </c>
      <c r="BX1072" s="552">
        <f t="shared" si="1789"/>
        <v>0</v>
      </c>
      <c r="BY1072" s="552">
        <f t="shared" si="1789"/>
        <v>0</v>
      </c>
      <c r="BZ1072" s="552">
        <f t="shared" si="1789"/>
        <v>0</v>
      </c>
      <c r="CA1072" s="552">
        <f t="shared" si="1789"/>
        <v>0</v>
      </c>
      <c r="CB1072" s="552">
        <f t="shared" si="1789"/>
        <v>0</v>
      </c>
      <c r="CC1072" s="552">
        <f t="shared" si="1789"/>
        <v>0</v>
      </c>
      <c r="CD1072" s="552">
        <f t="shared" si="1789"/>
        <v>0</v>
      </c>
      <c r="CE1072" s="552">
        <f t="shared" si="1789"/>
        <v>0</v>
      </c>
      <c r="CF1072" s="552">
        <f t="shared" si="1789"/>
        <v>0</v>
      </c>
      <c r="CG1072" s="552">
        <f t="shared" si="1789"/>
        <v>0</v>
      </c>
      <c r="CH1072" s="552">
        <f t="shared" si="1789"/>
        <v>0</v>
      </c>
      <c r="CI1072" s="552">
        <f t="shared" si="1789"/>
        <v>0</v>
      </c>
      <c r="CJ1072" s="552">
        <f t="shared" si="1789"/>
        <v>0</v>
      </c>
      <c r="CK1072" s="552">
        <f t="shared" si="1789"/>
        <v>0</v>
      </c>
      <c r="CL1072" s="552">
        <f t="shared" si="1789"/>
        <v>0</v>
      </c>
      <c r="CM1072" s="552">
        <f t="shared" si="1789"/>
        <v>0</v>
      </c>
      <c r="CN1072" s="552">
        <f t="shared" si="1789"/>
        <v>0</v>
      </c>
      <c r="CO1072" s="552">
        <f t="shared" si="1789"/>
        <v>0</v>
      </c>
      <c r="CP1072" s="552">
        <f t="shared" si="1789"/>
        <v>0</v>
      </c>
      <c r="CQ1072" s="552">
        <f t="shared" si="1789"/>
        <v>0</v>
      </c>
      <c r="CR1072" s="552">
        <f t="shared" si="1789"/>
        <v>0</v>
      </c>
      <c r="CS1072" s="552">
        <f t="shared" si="1789"/>
        <v>0</v>
      </c>
      <c r="CT1072" s="552">
        <f t="shared" si="1789"/>
        <v>0</v>
      </c>
      <c r="CU1072" s="552">
        <f t="shared" si="1789"/>
        <v>0</v>
      </c>
      <c r="CV1072" s="552">
        <f t="shared" si="1789"/>
        <v>0</v>
      </c>
      <c r="CW1072" s="552">
        <f t="shared" si="1789"/>
        <v>0</v>
      </c>
      <c r="CX1072" s="552">
        <f t="shared" si="1789"/>
        <v>0</v>
      </c>
      <c r="CY1072" s="552">
        <f t="shared" si="1789"/>
        <v>0</v>
      </c>
      <c r="CZ1072" s="552">
        <f t="shared" si="1789"/>
        <v>1.1399999999999999</v>
      </c>
      <c r="DA1072" s="552">
        <f t="shared" si="1789"/>
        <v>0</v>
      </c>
      <c r="DB1072" s="552">
        <f t="shared" ref="DB1072:EG1072" si="1790">DB110*DB$338</f>
        <v>0</v>
      </c>
      <c r="DC1072" s="552">
        <f t="shared" si="1790"/>
        <v>0</v>
      </c>
      <c r="DD1072" s="552">
        <f t="shared" si="1790"/>
        <v>0</v>
      </c>
      <c r="DE1072" s="552">
        <f t="shared" si="1790"/>
        <v>0</v>
      </c>
      <c r="DF1072" s="552">
        <f t="shared" si="1790"/>
        <v>0</v>
      </c>
      <c r="DG1072" s="552">
        <f t="shared" si="1790"/>
        <v>0</v>
      </c>
      <c r="DH1072" s="552">
        <f t="shared" si="1790"/>
        <v>0</v>
      </c>
      <c r="DI1072" s="552">
        <f t="shared" si="1790"/>
        <v>0</v>
      </c>
      <c r="DJ1072" s="552">
        <f t="shared" si="1790"/>
        <v>0</v>
      </c>
      <c r="DK1072" s="552">
        <f t="shared" si="1790"/>
        <v>0</v>
      </c>
      <c r="DL1072" s="552">
        <f t="shared" si="1790"/>
        <v>0</v>
      </c>
      <c r="DM1072" s="552">
        <f t="shared" si="1790"/>
        <v>0</v>
      </c>
      <c r="DN1072" s="552">
        <f t="shared" si="1790"/>
        <v>0</v>
      </c>
      <c r="DO1072" s="552">
        <f t="shared" si="1790"/>
        <v>0</v>
      </c>
      <c r="DP1072" s="552">
        <f t="shared" si="1790"/>
        <v>0</v>
      </c>
      <c r="DQ1072" s="552">
        <f t="shared" si="1790"/>
        <v>0</v>
      </c>
      <c r="DR1072" s="552">
        <f t="shared" si="1790"/>
        <v>0.45</v>
      </c>
      <c r="DS1072" s="552">
        <f t="shared" si="1790"/>
        <v>0</v>
      </c>
      <c r="DT1072" s="552">
        <f t="shared" si="1790"/>
        <v>0</v>
      </c>
      <c r="DU1072" s="552">
        <f t="shared" si="1790"/>
        <v>0</v>
      </c>
      <c r="DV1072" s="552">
        <f t="shared" si="1790"/>
        <v>0</v>
      </c>
      <c r="DW1072" s="552">
        <f t="shared" si="1790"/>
        <v>0</v>
      </c>
      <c r="DX1072" s="552">
        <f t="shared" si="1790"/>
        <v>0</v>
      </c>
      <c r="DY1072" s="552">
        <f t="shared" si="1790"/>
        <v>0</v>
      </c>
      <c r="DZ1072" s="552">
        <f t="shared" si="1790"/>
        <v>0</v>
      </c>
      <c r="EA1072" s="552">
        <f t="shared" si="1790"/>
        <v>0</v>
      </c>
      <c r="EB1072" s="552">
        <f t="shared" si="1790"/>
        <v>0</v>
      </c>
      <c r="EC1072" s="552">
        <f t="shared" si="1790"/>
        <v>0</v>
      </c>
      <c r="ED1072" s="552">
        <f t="shared" si="1790"/>
        <v>0</v>
      </c>
      <c r="EE1072" s="552">
        <f t="shared" si="1790"/>
        <v>0</v>
      </c>
      <c r="EF1072" s="552">
        <f t="shared" si="1790"/>
        <v>0</v>
      </c>
      <c r="EG1072" s="552">
        <f t="shared" si="1790"/>
        <v>0</v>
      </c>
      <c r="EH1072" s="552">
        <f t="shared" ref="EH1072:EX1072" si="1791">EH110*EH$338</f>
        <v>0</v>
      </c>
      <c r="EI1072" s="552">
        <f t="shared" si="1791"/>
        <v>0</v>
      </c>
      <c r="EJ1072" s="552">
        <f t="shared" si="1791"/>
        <v>0</v>
      </c>
      <c r="EK1072" s="552">
        <f t="shared" si="1791"/>
        <v>0</v>
      </c>
      <c r="EL1072" s="552">
        <f t="shared" si="1791"/>
        <v>0</v>
      </c>
      <c r="EM1072" s="552">
        <f t="shared" si="1791"/>
        <v>0</v>
      </c>
      <c r="EN1072" s="552">
        <f t="shared" si="1791"/>
        <v>0</v>
      </c>
      <c r="EO1072" s="552">
        <f t="shared" si="1791"/>
        <v>0</v>
      </c>
      <c r="EP1072" s="552">
        <f t="shared" si="1791"/>
        <v>0</v>
      </c>
      <c r="EQ1072" s="552">
        <f t="shared" si="1791"/>
        <v>0</v>
      </c>
      <c r="ER1072" s="552">
        <f t="shared" si="1791"/>
        <v>0</v>
      </c>
      <c r="ES1072" s="552">
        <f t="shared" si="1791"/>
        <v>0</v>
      </c>
      <c r="ET1072" s="552">
        <f t="shared" si="1791"/>
        <v>0</v>
      </c>
      <c r="EU1072" s="552">
        <f t="shared" si="1791"/>
        <v>0</v>
      </c>
      <c r="EV1072" s="552">
        <f t="shared" si="1791"/>
        <v>0</v>
      </c>
      <c r="EW1072" s="552">
        <f t="shared" si="1791"/>
        <v>0</v>
      </c>
      <c r="EX1072" s="552">
        <f t="shared" si="1791"/>
        <v>0</v>
      </c>
      <c r="EY1072" s="799">
        <f t="shared" si="1775"/>
        <v>1.59</v>
      </c>
      <c r="EZ1072" s="640"/>
      <c r="FA1072" s="640"/>
      <c r="FB1072" s="640"/>
      <c r="FC1072" s="640"/>
      <c r="FD1072" s="640"/>
      <c r="FE1072" s="640"/>
      <c r="FF1072" s="640"/>
      <c r="FG1072" s="640"/>
      <c r="FH1072" s="640"/>
      <c r="FI1072" s="640"/>
      <c r="FJ1072" s="640"/>
      <c r="FK1072" s="640"/>
      <c r="FL1072" s="640"/>
    </row>
    <row r="1073" spans="1:168" x14ac:dyDescent="0.25">
      <c r="A1073" s="1492"/>
      <c r="B1073" s="624" t="str">
        <f t="shared" si="1768"/>
        <v>Вода питьевая 19 л</v>
      </c>
      <c r="C1073" s="624">
        <f t="shared" si="1768"/>
        <v>500</v>
      </c>
      <c r="D1073" s="624">
        <f t="shared" si="1768"/>
        <v>0</v>
      </c>
      <c r="E1073" s="1158">
        <f t="shared" si="1776"/>
        <v>2.9</v>
      </c>
      <c r="F1073" s="1158"/>
      <c r="G1073" s="1140"/>
      <c r="H1073" s="1140"/>
      <c r="I1073" s="552"/>
      <c r="J1073" s="552">
        <f t="shared" ref="J1073:AO1073" si="1792">J111*J$338</f>
        <v>0</v>
      </c>
      <c r="K1073" s="552">
        <f t="shared" si="1792"/>
        <v>0</v>
      </c>
      <c r="L1073" s="552">
        <f t="shared" si="1792"/>
        <v>0</v>
      </c>
      <c r="M1073" s="552">
        <f t="shared" si="1792"/>
        <v>0</v>
      </c>
      <c r="N1073" s="552">
        <f t="shared" si="1792"/>
        <v>0</v>
      </c>
      <c r="O1073" s="552">
        <f t="shared" si="1792"/>
        <v>0</v>
      </c>
      <c r="P1073" s="552">
        <f t="shared" si="1792"/>
        <v>0</v>
      </c>
      <c r="Q1073" s="552">
        <f t="shared" si="1792"/>
        <v>0</v>
      </c>
      <c r="R1073" s="552">
        <f t="shared" si="1792"/>
        <v>0</v>
      </c>
      <c r="S1073" s="552">
        <f t="shared" si="1792"/>
        <v>0</v>
      </c>
      <c r="T1073" s="552">
        <f t="shared" si="1792"/>
        <v>0</v>
      </c>
      <c r="U1073" s="552">
        <f t="shared" si="1792"/>
        <v>0</v>
      </c>
      <c r="V1073" s="552">
        <f t="shared" si="1792"/>
        <v>0</v>
      </c>
      <c r="W1073" s="552">
        <f t="shared" si="1792"/>
        <v>0</v>
      </c>
      <c r="X1073" s="552">
        <f t="shared" si="1792"/>
        <v>0</v>
      </c>
      <c r="Y1073" s="552">
        <f t="shared" si="1792"/>
        <v>0</v>
      </c>
      <c r="Z1073" s="552">
        <f t="shared" si="1792"/>
        <v>0</v>
      </c>
      <c r="AA1073" s="552">
        <f t="shared" si="1792"/>
        <v>0</v>
      </c>
      <c r="AB1073" s="552">
        <f t="shared" si="1792"/>
        <v>0</v>
      </c>
      <c r="AC1073" s="552">
        <f t="shared" si="1792"/>
        <v>0</v>
      </c>
      <c r="AD1073" s="552">
        <f t="shared" si="1792"/>
        <v>0</v>
      </c>
      <c r="AE1073" s="552">
        <f t="shared" si="1792"/>
        <v>0</v>
      </c>
      <c r="AF1073" s="552">
        <f t="shared" si="1792"/>
        <v>0</v>
      </c>
      <c r="AG1073" s="552">
        <f t="shared" si="1792"/>
        <v>0</v>
      </c>
      <c r="AH1073" s="552">
        <f t="shared" si="1792"/>
        <v>0</v>
      </c>
      <c r="AI1073" s="552">
        <f t="shared" si="1792"/>
        <v>0</v>
      </c>
      <c r="AJ1073" s="552">
        <f t="shared" si="1792"/>
        <v>0</v>
      </c>
      <c r="AK1073" s="552">
        <f t="shared" si="1792"/>
        <v>0</v>
      </c>
      <c r="AL1073" s="552">
        <f t="shared" si="1792"/>
        <v>0</v>
      </c>
      <c r="AM1073" s="552">
        <f t="shared" si="1792"/>
        <v>0</v>
      </c>
      <c r="AN1073" s="552">
        <f t="shared" si="1792"/>
        <v>0</v>
      </c>
      <c r="AO1073" s="552">
        <f t="shared" si="1792"/>
        <v>0</v>
      </c>
      <c r="AP1073" s="552">
        <f t="shared" ref="AP1073:BU1073" si="1793">AP111*AP$338</f>
        <v>0</v>
      </c>
      <c r="AQ1073" s="552">
        <f t="shared" si="1793"/>
        <v>0</v>
      </c>
      <c r="AR1073" s="552">
        <f t="shared" si="1793"/>
        <v>0</v>
      </c>
      <c r="AS1073" s="552">
        <f t="shared" si="1793"/>
        <v>0</v>
      </c>
      <c r="AT1073" s="552">
        <f t="shared" si="1793"/>
        <v>0</v>
      </c>
      <c r="AU1073" s="552">
        <f t="shared" si="1793"/>
        <v>0</v>
      </c>
      <c r="AV1073" s="552">
        <f t="shared" si="1793"/>
        <v>0</v>
      </c>
      <c r="AW1073" s="552">
        <f t="shared" si="1793"/>
        <v>0</v>
      </c>
      <c r="AX1073" s="552">
        <f t="shared" si="1793"/>
        <v>0</v>
      </c>
      <c r="AY1073" s="552">
        <f t="shared" si="1793"/>
        <v>0</v>
      </c>
      <c r="AZ1073" s="552">
        <f t="shared" si="1793"/>
        <v>0</v>
      </c>
      <c r="BA1073" s="552">
        <f t="shared" si="1793"/>
        <v>0</v>
      </c>
      <c r="BB1073" s="552">
        <f t="shared" si="1793"/>
        <v>0</v>
      </c>
      <c r="BC1073" s="552">
        <f t="shared" si="1793"/>
        <v>0</v>
      </c>
      <c r="BD1073" s="552">
        <f t="shared" si="1793"/>
        <v>0</v>
      </c>
      <c r="BE1073" s="552">
        <f t="shared" si="1793"/>
        <v>0</v>
      </c>
      <c r="BF1073" s="552">
        <f t="shared" si="1793"/>
        <v>0</v>
      </c>
      <c r="BG1073" s="552">
        <f t="shared" si="1793"/>
        <v>0</v>
      </c>
      <c r="BH1073" s="552">
        <f t="shared" si="1793"/>
        <v>0</v>
      </c>
      <c r="BI1073" s="552">
        <f t="shared" si="1793"/>
        <v>0</v>
      </c>
      <c r="BJ1073" s="552">
        <f t="shared" si="1793"/>
        <v>0</v>
      </c>
      <c r="BK1073" s="552">
        <f t="shared" si="1793"/>
        <v>0</v>
      </c>
      <c r="BL1073" s="552">
        <f t="shared" si="1793"/>
        <v>0</v>
      </c>
      <c r="BM1073" s="552">
        <f t="shared" si="1793"/>
        <v>0</v>
      </c>
      <c r="BN1073" s="552">
        <f t="shared" si="1793"/>
        <v>0</v>
      </c>
      <c r="BO1073" s="552">
        <f t="shared" si="1793"/>
        <v>0</v>
      </c>
      <c r="BP1073" s="552">
        <f t="shared" si="1793"/>
        <v>0</v>
      </c>
      <c r="BQ1073" s="552">
        <f t="shared" si="1793"/>
        <v>0</v>
      </c>
      <c r="BR1073" s="552">
        <f t="shared" si="1793"/>
        <v>0</v>
      </c>
      <c r="BS1073" s="552">
        <f t="shared" si="1793"/>
        <v>0</v>
      </c>
      <c r="BT1073" s="552">
        <f t="shared" si="1793"/>
        <v>0</v>
      </c>
      <c r="BU1073" s="552">
        <f t="shared" si="1793"/>
        <v>0</v>
      </c>
      <c r="BV1073" s="552">
        <f t="shared" ref="BV1073:DA1073" si="1794">BV111*BV$338</f>
        <v>0</v>
      </c>
      <c r="BW1073" s="552">
        <f t="shared" si="1794"/>
        <v>0</v>
      </c>
      <c r="BX1073" s="552">
        <f t="shared" si="1794"/>
        <v>0</v>
      </c>
      <c r="BY1073" s="552">
        <f t="shared" si="1794"/>
        <v>0</v>
      </c>
      <c r="BZ1073" s="552">
        <f t="shared" si="1794"/>
        <v>0</v>
      </c>
      <c r="CA1073" s="552">
        <f t="shared" si="1794"/>
        <v>0</v>
      </c>
      <c r="CB1073" s="552">
        <f t="shared" si="1794"/>
        <v>0</v>
      </c>
      <c r="CC1073" s="552">
        <f t="shared" si="1794"/>
        <v>0</v>
      </c>
      <c r="CD1073" s="552">
        <f t="shared" si="1794"/>
        <v>0</v>
      </c>
      <c r="CE1073" s="552">
        <f t="shared" si="1794"/>
        <v>0</v>
      </c>
      <c r="CF1073" s="552">
        <f t="shared" si="1794"/>
        <v>0</v>
      </c>
      <c r="CG1073" s="552">
        <f t="shared" si="1794"/>
        <v>0</v>
      </c>
      <c r="CH1073" s="552">
        <f t="shared" si="1794"/>
        <v>0</v>
      </c>
      <c r="CI1073" s="552">
        <f t="shared" si="1794"/>
        <v>0</v>
      </c>
      <c r="CJ1073" s="552">
        <f t="shared" si="1794"/>
        <v>0</v>
      </c>
      <c r="CK1073" s="552">
        <f t="shared" si="1794"/>
        <v>0</v>
      </c>
      <c r="CL1073" s="552">
        <f t="shared" si="1794"/>
        <v>0</v>
      </c>
      <c r="CM1073" s="552">
        <f t="shared" si="1794"/>
        <v>0</v>
      </c>
      <c r="CN1073" s="552">
        <f t="shared" si="1794"/>
        <v>0</v>
      </c>
      <c r="CO1073" s="552">
        <f t="shared" si="1794"/>
        <v>0</v>
      </c>
      <c r="CP1073" s="552">
        <f t="shared" si="1794"/>
        <v>0</v>
      </c>
      <c r="CQ1073" s="552">
        <f t="shared" si="1794"/>
        <v>0</v>
      </c>
      <c r="CR1073" s="552">
        <f t="shared" si="1794"/>
        <v>0</v>
      </c>
      <c r="CS1073" s="552">
        <f t="shared" si="1794"/>
        <v>0</v>
      </c>
      <c r="CT1073" s="552">
        <f t="shared" si="1794"/>
        <v>0</v>
      </c>
      <c r="CU1073" s="552">
        <f t="shared" si="1794"/>
        <v>0</v>
      </c>
      <c r="CV1073" s="552">
        <f t="shared" si="1794"/>
        <v>0</v>
      </c>
      <c r="CW1073" s="552">
        <f t="shared" si="1794"/>
        <v>0</v>
      </c>
      <c r="CX1073" s="552">
        <f t="shared" si="1794"/>
        <v>0</v>
      </c>
      <c r="CY1073" s="552">
        <f t="shared" si="1794"/>
        <v>0</v>
      </c>
      <c r="CZ1073" s="552">
        <f t="shared" si="1794"/>
        <v>0</v>
      </c>
      <c r="DA1073" s="552">
        <f t="shared" si="1794"/>
        <v>0</v>
      </c>
      <c r="DB1073" s="552">
        <f t="shared" ref="DB1073:EG1073" si="1795">DB111*DB$338</f>
        <v>0</v>
      </c>
      <c r="DC1073" s="552">
        <f t="shared" si="1795"/>
        <v>0</v>
      </c>
      <c r="DD1073" s="552">
        <f t="shared" si="1795"/>
        <v>0</v>
      </c>
      <c r="DE1073" s="552">
        <f t="shared" si="1795"/>
        <v>0</v>
      </c>
      <c r="DF1073" s="552">
        <f t="shared" si="1795"/>
        <v>0</v>
      </c>
      <c r="DG1073" s="552">
        <f t="shared" si="1795"/>
        <v>0</v>
      </c>
      <c r="DH1073" s="552">
        <f t="shared" si="1795"/>
        <v>0</v>
      </c>
      <c r="DI1073" s="552">
        <f t="shared" si="1795"/>
        <v>0</v>
      </c>
      <c r="DJ1073" s="552">
        <f t="shared" si="1795"/>
        <v>0</v>
      </c>
      <c r="DK1073" s="552">
        <f t="shared" si="1795"/>
        <v>0</v>
      </c>
      <c r="DL1073" s="552">
        <f t="shared" si="1795"/>
        <v>0</v>
      </c>
      <c r="DM1073" s="552">
        <f t="shared" si="1795"/>
        <v>0</v>
      </c>
      <c r="DN1073" s="552">
        <f t="shared" si="1795"/>
        <v>0</v>
      </c>
      <c r="DO1073" s="552">
        <f t="shared" si="1795"/>
        <v>0</v>
      </c>
      <c r="DP1073" s="552">
        <f t="shared" si="1795"/>
        <v>0</v>
      </c>
      <c r="DQ1073" s="552">
        <f t="shared" si="1795"/>
        <v>0</v>
      </c>
      <c r="DR1073" s="552">
        <f t="shared" si="1795"/>
        <v>0</v>
      </c>
      <c r="DS1073" s="552">
        <f t="shared" si="1795"/>
        <v>0</v>
      </c>
      <c r="DT1073" s="552">
        <f t="shared" si="1795"/>
        <v>0</v>
      </c>
      <c r="DU1073" s="552">
        <f t="shared" si="1795"/>
        <v>0</v>
      </c>
      <c r="DV1073" s="552">
        <f t="shared" si="1795"/>
        <v>0</v>
      </c>
      <c r="DW1073" s="552">
        <f t="shared" si="1795"/>
        <v>0</v>
      </c>
      <c r="DX1073" s="552">
        <f t="shared" si="1795"/>
        <v>0</v>
      </c>
      <c r="DY1073" s="552">
        <f t="shared" si="1795"/>
        <v>0</v>
      </c>
      <c r="DZ1073" s="552">
        <f t="shared" si="1795"/>
        <v>0</v>
      </c>
      <c r="EA1073" s="552">
        <f t="shared" si="1795"/>
        <v>0</v>
      </c>
      <c r="EB1073" s="552">
        <f t="shared" si="1795"/>
        <v>2.9</v>
      </c>
      <c r="EC1073" s="552">
        <f t="shared" si="1795"/>
        <v>0</v>
      </c>
      <c r="ED1073" s="552">
        <f t="shared" si="1795"/>
        <v>0</v>
      </c>
      <c r="EE1073" s="552">
        <f t="shared" si="1795"/>
        <v>0</v>
      </c>
      <c r="EF1073" s="552">
        <f t="shared" si="1795"/>
        <v>0</v>
      </c>
      <c r="EG1073" s="552">
        <f t="shared" si="1795"/>
        <v>0</v>
      </c>
      <c r="EH1073" s="552">
        <f t="shared" ref="EH1073:EX1073" si="1796">EH111*EH$338</f>
        <v>0</v>
      </c>
      <c r="EI1073" s="552">
        <f t="shared" si="1796"/>
        <v>0</v>
      </c>
      <c r="EJ1073" s="552">
        <f t="shared" si="1796"/>
        <v>0</v>
      </c>
      <c r="EK1073" s="552">
        <f t="shared" si="1796"/>
        <v>0</v>
      </c>
      <c r="EL1073" s="552">
        <f t="shared" si="1796"/>
        <v>0</v>
      </c>
      <c r="EM1073" s="552">
        <f t="shared" si="1796"/>
        <v>0</v>
      </c>
      <c r="EN1073" s="552">
        <f t="shared" si="1796"/>
        <v>0</v>
      </c>
      <c r="EO1073" s="552">
        <f t="shared" si="1796"/>
        <v>0</v>
      </c>
      <c r="EP1073" s="552">
        <f t="shared" si="1796"/>
        <v>0</v>
      </c>
      <c r="EQ1073" s="552">
        <f t="shared" si="1796"/>
        <v>0</v>
      </c>
      <c r="ER1073" s="552">
        <f t="shared" si="1796"/>
        <v>0</v>
      </c>
      <c r="ES1073" s="552">
        <f t="shared" si="1796"/>
        <v>0</v>
      </c>
      <c r="ET1073" s="552">
        <f t="shared" si="1796"/>
        <v>0</v>
      </c>
      <c r="EU1073" s="552">
        <f t="shared" si="1796"/>
        <v>0</v>
      </c>
      <c r="EV1073" s="552">
        <f t="shared" si="1796"/>
        <v>0</v>
      </c>
      <c r="EW1073" s="552">
        <f t="shared" si="1796"/>
        <v>0</v>
      </c>
      <c r="EX1073" s="552">
        <f t="shared" si="1796"/>
        <v>0</v>
      </c>
      <c r="EY1073" s="799">
        <f t="shared" si="1775"/>
        <v>2.9</v>
      </c>
      <c r="EZ1073" s="640"/>
      <c r="FA1073" s="640"/>
      <c r="FB1073" s="640"/>
      <c r="FC1073" s="640"/>
      <c r="FD1073" s="640"/>
      <c r="FE1073" s="640"/>
      <c r="FF1073" s="640"/>
      <c r="FG1073" s="640"/>
      <c r="FH1073" s="640"/>
      <c r="FI1073" s="640"/>
      <c r="FJ1073" s="640"/>
      <c r="FK1073" s="640"/>
      <c r="FL1073" s="640"/>
    </row>
    <row r="1074" spans="1:168" x14ac:dyDescent="0.25">
      <c r="A1074" s="1493"/>
      <c r="B1074" s="624">
        <f t="shared" si="1768"/>
        <v>0</v>
      </c>
      <c r="C1074" s="624">
        <f t="shared" si="1768"/>
        <v>0</v>
      </c>
      <c r="D1074" s="624">
        <f t="shared" si="1768"/>
        <v>0</v>
      </c>
      <c r="E1074" s="1158">
        <f t="shared" si="1776"/>
        <v>0</v>
      </c>
      <c r="F1074" s="1158"/>
      <c r="G1074" s="1140"/>
      <c r="H1074" s="1140"/>
      <c r="I1074" s="552"/>
      <c r="J1074" s="552">
        <f t="shared" ref="J1074:AO1074" si="1797">J112*J$338</f>
        <v>0</v>
      </c>
      <c r="K1074" s="552">
        <f t="shared" si="1797"/>
        <v>0</v>
      </c>
      <c r="L1074" s="552">
        <f t="shared" si="1797"/>
        <v>0</v>
      </c>
      <c r="M1074" s="552">
        <f t="shared" si="1797"/>
        <v>0</v>
      </c>
      <c r="N1074" s="552">
        <f t="shared" si="1797"/>
        <v>0</v>
      </c>
      <c r="O1074" s="552">
        <f t="shared" si="1797"/>
        <v>0</v>
      </c>
      <c r="P1074" s="552">
        <f t="shared" si="1797"/>
        <v>0</v>
      </c>
      <c r="Q1074" s="552">
        <f t="shared" si="1797"/>
        <v>0</v>
      </c>
      <c r="R1074" s="552">
        <f t="shared" si="1797"/>
        <v>0</v>
      </c>
      <c r="S1074" s="552">
        <f t="shared" si="1797"/>
        <v>0</v>
      </c>
      <c r="T1074" s="552">
        <f t="shared" si="1797"/>
        <v>0</v>
      </c>
      <c r="U1074" s="552">
        <f t="shared" si="1797"/>
        <v>0</v>
      </c>
      <c r="V1074" s="552">
        <f t="shared" si="1797"/>
        <v>0</v>
      </c>
      <c r="W1074" s="552">
        <f t="shared" si="1797"/>
        <v>0</v>
      </c>
      <c r="X1074" s="552">
        <f t="shared" si="1797"/>
        <v>0</v>
      </c>
      <c r="Y1074" s="552">
        <f t="shared" si="1797"/>
        <v>0</v>
      </c>
      <c r="Z1074" s="552">
        <f t="shared" si="1797"/>
        <v>0</v>
      </c>
      <c r="AA1074" s="552">
        <f t="shared" si="1797"/>
        <v>0</v>
      </c>
      <c r="AB1074" s="552">
        <f t="shared" si="1797"/>
        <v>0</v>
      </c>
      <c r="AC1074" s="552">
        <f t="shared" si="1797"/>
        <v>0</v>
      </c>
      <c r="AD1074" s="552">
        <f t="shared" si="1797"/>
        <v>0</v>
      </c>
      <c r="AE1074" s="552">
        <f t="shared" si="1797"/>
        <v>0</v>
      </c>
      <c r="AF1074" s="552">
        <f t="shared" si="1797"/>
        <v>0</v>
      </c>
      <c r="AG1074" s="552">
        <f t="shared" si="1797"/>
        <v>0</v>
      </c>
      <c r="AH1074" s="552">
        <f t="shared" si="1797"/>
        <v>0</v>
      </c>
      <c r="AI1074" s="552">
        <f t="shared" si="1797"/>
        <v>0</v>
      </c>
      <c r="AJ1074" s="552">
        <f t="shared" si="1797"/>
        <v>0</v>
      </c>
      <c r="AK1074" s="552">
        <f t="shared" si="1797"/>
        <v>0</v>
      </c>
      <c r="AL1074" s="552">
        <f t="shared" si="1797"/>
        <v>0</v>
      </c>
      <c r="AM1074" s="552">
        <f t="shared" si="1797"/>
        <v>0</v>
      </c>
      <c r="AN1074" s="552">
        <f t="shared" si="1797"/>
        <v>0</v>
      </c>
      <c r="AO1074" s="552">
        <f t="shared" si="1797"/>
        <v>0</v>
      </c>
      <c r="AP1074" s="552">
        <f t="shared" ref="AP1074:BU1074" si="1798">AP112*AP$338</f>
        <v>0</v>
      </c>
      <c r="AQ1074" s="552">
        <f t="shared" si="1798"/>
        <v>0</v>
      </c>
      <c r="AR1074" s="552">
        <f t="shared" si="1798"/>
        <v>0</v>
      </c>
      <c r="AS1074" s="552">
        <f t="shared" si="1798"/>
        <v>0</v>
      </c>
      <c r="AT1074" s="552">
        <f t="shared" si="1798"/>
        <v>0</v>
      </c>
      <c r="AU1074" s="552">
        <f t="shared" si="1798"/>
        <v>0</v>
      </c>
      <c r="AV1074" s="552">
        <f t="shared" si="1798"/>
        <v>0</v>
      </c>
      <c r="AW1074" s="552">
        <f t="shared" si="1798"/>
        <v>0</v>
      </c>
      <c r="AX1074" s="552">
        <f t="shared" si="1798"/>
        <v>0</v>
      </c>
      <c r="AY1074" s="552">
        <f t="shared" si="1798"/>
        <v>0</v>
      </c>
      <c r="AZ1074" s="552">
        <f t="shared" si="1798"/>
        <v>0</v>
      </c>
      <c r="BA1074" s="552">
        <f t="shared" si="1798"/>
        <v>0</v>
      </c>
      <c r="BB1074" s="552">
        <f t="shared" si="1798"/>
        <v>0</v>
      </c>
      <c r="BC1074" s="552">
        <f t="shared" si="1798"/>
        <v>0</v>
      </c>
      <c r="BD1074" s="552">
        <f t="shared" si="1798"/>
        <v>0</v>
      </c>
      <c r="BE1074" s="552">
        <f t="shared" si="1798"/>
        <v>0</v>
      </c>
      <c r="BF1074" s="552">
        <f t="shared" si="1798"/>
        <v>0</v>
      </c>
      <c r="BG1074" s="552">
        <f t="shared" si="1798"/>
        <v>0</v>
      </c>
      <c r="BH1074" s="552">
        <f t="shared" si="1798"/>
        <v>0</v>
      </c>
      <c r="BI1074" s="552">
        <f t="shared" si="1798"/>
        <v>0</v>
      </c>
      <c r="BJ1074" s="552">
        <f t="shared" si="1798"/>
        <v>0</v>
      </c>
      <c r="BK1074" s="552">
        <f t="shared" si="1798"/>
        <v>0</v>
      </c>
      <c r="BL1074" s="552">
        <f t="shared" si="1798"/>
        <v>0</v>
      </c>
      <c r="BM1074" s="552">
        <f t="shared" si="1798"/>
        <v>0</v>
      </c>
      <c r="BN1074" s="552">
        <f t="shared" si="1798"/>
        <v>0</v>
      </c>
      <c r="BO1074" s="552">
        <f t="shared" si="1798"/>
        <v>0</v>
      </c>
      <c r="BP1074" s="552">
        <f t="shared" si="1798"/>
        <v>0</v>
      </c>
      <c r="BQ1074" s="552">
        <f t="shared" si="1798"/>
        <v>0</v>
      </c>
      <c r="BR1074" s="552">
        <f t="shared" si="1798"/>
        <v>0</v>
      </c>
      <c r="BS1074" s="552">
        <f t="shared" si="1798"/>
        <v>0</v>
      </c>
      <c r="BT1074" s="552">
        <f t="shared" si="1798"/>
        <v>0</v>
      </c>
      <c r="BU1074" s="552">
        <f t="shared" si="1798"/>
        <v>0</v>
      </c>
      <c r="BV1074" s="552">
        <f t="shared" ref="BV1074:DA1074" si="1799">BV112*BV$338</f>
        <v>0</v>
      </c>
      <c r="BW1074" s="552">
        <f t="shared" si="1799"/>
        <v>0</v>
      </c>
      <c r="BX1074" s="552">
        <f t="shared" si="1799"/>
        <v>0</v>
      </c>
      <c r="BY1074" s="552">
        <f t="shared" si="1799"/>
        <v>0</v>
      </c>
      <c r="BZ1074" s="552">
        <f t="shared" si="1799"/>
        <v>0</v>
      </c>
      <c r="CA1074" s="552">
        <f t="shared" si="1799"/>
        <v>0</v>
      </c>
      <c r="CB1074" s="552">
        <f t="shared" si="1799"/>
        <v>0</v>
      </c>
      <c r="CC1074" s="552">
        <f t="shared" si="1799"/>
        <v>0</v>
      </c>
      <c r="CD1074" s="552">
        <f t="shared" si="1799"/>
        <v>0</v>
      </c>
      <c r="CE1074" s="552">
        <f t="shared" si="1799"/>
        <v>0</v>
      </c>
      <c r="CF1074" s="552">
        <f t="shared" si="1799"/>
        <v>0</v>
      </c>
      <c r="CG1074" s="552">
        <f t="shared" si="1799"/>
        <v>0</v>
      </c>
      <c r="CH1074" s="552">
        <f t="shared" si="1799"/>
        <v>0</v>
      </c>
      <c r="CI1074" s="552">
        <f t="shared" si="1799"/>
        <v>0</v>
      </c>
      <c r="CJ1074" s="552">
        <f t="shared" si="1799"/>
        <v>0</v>
      </c>
      <c r="CK1074" s="552">
        <f t="shared" si="1799"/>
        <v>0</v>
      </c>
      <c r="CL1074" s="552">
        <f t="shared" si="1799"/>
        <v>0</v>
      </c>
      <c r="CM1074" s="552">
        <f t="shared" si="1799"/>
        <v>0</v>
      </c>
      <c r="CN1074" s="552">
        <f t="shared" si="1799"/>
        <v>0</v>
      </c>
      <c r="CO1074" s="552">
        <f t="shared" si="1799"/>
        <v>0</v>
      </c>
      <c r="CP1074" s="552">
        <f t="shared" si="1799"/>
        <v>0</v>
      </c>
      <c r="CQ1074" s="552">
        <f t="shared" si="1799"/>
        <v>0</v>
      </c>
      <c r="CR1074" s="552">
        <f t="shared" si="1799"/>
        <v>0</v>
      </c>
      <c r="CS1074" s="552">
        <f t="shared" si="1799"/>
        <v>0</v>
      </c>
      <c r="CT1074" s="552">
        <f t="shared" si="1799"/>
        <v>0</v>
      </c>
      <c r="CU1074" s="552">
        <f t="shared" si="1799"/>
        <v>0</v>
      </c>
      <c r="CV1074" s="552">
        <f t="shared" si="1799"/>
        <v>0</v>
      </c>
      <c r="CW1074" s="552">
        <f t="shared" si="1799"/>
        <v>0</v>
      </c>
      <c r="CX1074" s="552">
        <f t="shared" si="1799"/>
        <v>0</v>
      </c>
      <c r="CY1074" s="552">
        <f t="shared" si="1799"/>
        <v>0</v>
      </c>
      <c r="CZ1074" s="552">
        <f t="shared" si="1799"/>
        <v>0</v>
      </c>
      <c r="DA1074" s="552">
        <f t="shared" si="1799"/>
        <v>0</v>
      </c>
      <c r="DB1074" s="552">
        <f t="shared" ref="DB1074:EG1074" si="1800">DB112*DB$338</f>
        <v>0</v>
      </c>
      <c r="DC1074" s="552">
        <f t="shared" si="1800"/>
        <v>0</v>
      </c>
      <c r="DD1074" s="552">
        <f t="shared" si="1800"/>
        <v>0</v>
      </c>
      <c r="DE1074" s="552">
        <f t="shared" si="1800"/>
        <v>0</v>
      </c>
      <c r="DF1074" s="552">
        <f t="shared" si="1800"/>
        <v>0</v>
      </c>
      <c r="DG1074" s="552">
        <f t="shared" si="1800"/>
        <v>0</v>
      </c>
      <c r="DH1074" s="552">
        <f t="shared" si="1800"/>
        <v>0</v>
      </c>
      <c r="DI1074" s="552">
        <f t="shared" si="1800"/>
        <v>0</v>
      </c>
      <c r="DJ1074" s="552">
        <f t="shared" si="1800"/>
        <v>0</v>
      </c>
      <c r="DK1074" s="552">
        <f t="shared" si="1800"/>
        <v>0</v>
      </c>
      <c r="DL1074" s="552">
        <f t="shared" si="1800"/>
        <v>0</v>
      </c>
      <c r="DM1074" s="552">
        <f t="shared" si="1800"/>
        <v>0</v>
      </c>
      <c r="DN1074" s="552">
        <f t="shared" si="1800"/>
        <v>0</v>
      </c>
      <c r="DO1074" s="552">
        <f t="shared" si="1800"/>
        <v>0</v>
      </c>
      <c r="DP1074" s="552">
        <f t="shared" si="1800"/>
        <v>0</v>
      </c>
      <c r="DQ1074" s="552">
        <f t="shared" si="1800"/>
        <v>0</v>
      </c>
      <c r="DR1074" s="552">
        <f t="shared" si="1800"/>
        <v>0</v>
      </c>
      <c r="DS1074" s="552">
        <f t="shared" si="1800"/>
        <v>0</v>
      </c>
      <c r="DT1074" s="552">
        <f t="shared" si="1800"/>
        <v>0</v>
      </c>
      <c r="DU1074" s="552">
        <f t="shared" si="1800"/>
        <v>0</v>
      </c>
      <c r="DV1074" s="552">
        <f t="shared" si="1800"/>
        <v>0</v>
      </c>
      <c r="DW1074" s="552">
        <f t="shared" si="1800"/>
        <v>0</v>
      </c>
      <c r="DX1074" s="552">
        <f t="shared" si="1800"/>
        <v>0</v>
      </c>
      <c r="DY1074" s="552">
        <f t="shared" si="1800"/>
        <v>0</v>
      </c>
      <c r="DZ1074" s="552">
        <f t="shared" si="1800"/>
        <v>0</v>
      </c>
      <c r="EA1074" s="552">
        <f t="shared" si="1800"/>
        <v>0</v>
      </c>
      <c r="EB1074" s="552">
        <f t="shared" si="1800"/>
        <v>0</v>
      </c>
      <c r="EC1074" s="552">
        <f t="shared" si="1800"/>
        <v>0</v>
      </c>
      <c r="ED1074" s="552">
        <f t="shared" si="1800"/>
        <v>0</v>
      </c>
      <c r="EE1074" s="552">
        <f t="shared" si="1800"/>
        <v>0</v>
      </c>
      <c r="EF1074" s="552">
        <f t="shared" si="1800"/>
        <v>0</v>
      </c>
      <c r="EG1074" s="552">
        <f t="shared" si="1800"/>
        <v>0</v>
      </c>
      <c r="EH1074" s="552">
        <f t="shared" ref="EH1074:EX1074" si="1801">EH112*EH$338</f>
        <v>0</v>
      </c>
      <c r="EI1074" s="552">
        <f t="shared" si="1801"/>
        <v>0</v>
      </c>
      <c r="EJ1074" s="552">
        <f t="shared" si="1801"/>
        <v>0</v>
      </c>
      <c r="EK1074" s="552">
        <f t="shared" si="1801"/>
        <v>0</v>
      </c>
      <c r="EL1074" s="552">
        <f t="shared" si="1801"/>
        <v>0</v>
      </c>
      <c r="EM1074" s="552">
        <f t="shared" si="1801"/>
        <v>0</v>
      </c>
      <c r="EN1074" s="552">
        <f t="shared" si="1801"/>
        <v>0</v>
      </c>
      <c r="EO1074" s="552">
        <f t="shared" si="1801"/>
        <v>0</v>
      </c>
      <c r="EP1074" s="552">
        <f t="shared" si="1801"/>
        <v>0</v>
      </c>
      <c r="EQ1074" s="552">
        <f t="shared" si="1801"/>
        <v>0</v>
      </c>
      <c r="ER1074" s="552">
        <f t="shared" si="1801"/>
        <v>0</v>
      </c>
      <c r="ES1074" s="552">
        <f t="shared" si="1801"/>
        <v>0</v>
      </c>
      <c r="ET1074" s="552">
        <f t="shared" si="1801"/>
        <v>0</v>
      </c>
      <c r="EU1074" s="552">
        <f t="shared" si="1801"/>
        <v>0</v>
      </c>
      <c r="EV1074" s="552">
        <f t="shared" si="1801"/>
        <v>0</v>
      </c>
      <c r="EW1074" s="552">
        <f t="shared" si="1801"/>
        <v>0</v>
      </c>
      <c r="EX1074" s="552">
        <f t="shared" si="1801"/>
        <v>0</v>
      </c>
      <c r="EY1074" s="799">
        <f t="shared" si="1775"/>
        <v>0</v>
      </c>
      <c r="EZ1074" s="640"/>
      <c r="FA1074" s="640"/>
      <c r="FB1074" s="640"/>
      <c r="FC1074" s="640"/>
      <c r="FD1074" s="640"/>
      <c r="FE1074" s="640"/>
      <c r="FF1074" s="640"/>
      <c r="FG1074" s="640"/>
      <c r="FH1074" s="640"/>
      <c r="FI1074" s="640"/>
      <c r="FJ1074" s="640"/>
      <c r="FK1074" s="640"/>
      <c r="FL1074" s="640"/>
    </row>
    <row r="1075" spans="1:168" s="1034" customFormat="1" x14ac:dyDescent="0.25">
      <c r="A1075" s="1033"/>
      <c r="B1075" s="624">
        <f t="shared" si="1768"/>
        <v>0</v>
      </c>
      <c r="C1075" s="624">
        <f t="shared" si="1768"/>
        <v>0</v>
      </c>
      <c r="D1075" s="624">
        <f t="shared" si="1768"/>
        <v>0</v>
      </c>
      <c r="E1075" s="1158">
        <f t="shared" si="1776"/>
        <v>0</v>
      </c>
      <c r="F1075" s="1158"/>
      <c r="G1075" s="1140"/>
      <c r="H1075" s="1140"/>
      <c r="I1075" s="552"/>
      <c r="J1075" s="552">
        <f t="shared" ref="J1075:AO1075" si="1802">J113*J$338</f>
        <v>0</v>
      </c>
      <c r="K1075" s="552">
        <f t="shared" si="1802"/>
        <v>0</v>
      </c>
      <c r="L1075" s="552">
        <f t="shared" si="1802"/>
        <v>0</v>
      </c>
      <c r="M1075" s="552">
        <f t="shared" si="1802"/>
        <v>0</v>
      </c>
      <c r="N1075" s="552">
        <f t="shared" si="1802"/>
        <v>0</v>
      </c>
      <c r="O1075" s="552">
        <f t="shared" si="1802"/>
        <v>0</v>
      </c>
      <c r="P1075" s="552">
        <f t="shared" si="1802"/>
        <v>0</v>
      </c>
      <c r="Q1075" s="552">
        <f t="shared" si="1802"/>
        <v>0</v>
      </c>
      <c r="R1075" s="552">
        <f t="shared" si="1802"/>
        <v>0</v>
      </c>
      <c r="S1075" s="552">
        <f t="shared" si="1802"/>
        <v>0</v>
      </c>
      <c r="T1075" s="552">
        <f t="shared" si="1802"/>
        <v>0</v>
      </c>
      <c r="U1075" s="552">
        <f t="shared" si="1802"/>
        <v>0</v>
      </c>
      <c r="V1075" s="552">
        <f t="shared" si="1802"/>
        <v>0</v>
      </c>
      <c r="W1075" s="552">
        <f t="shared" si="1802"/>
        <v>0</v>
      </c>
      <c r="X1075" s="552">
        <f t="shared" si="1802"/>
        <v>0</v>
      </c>
      <c r="Y1075" s="552">
        <f t="shared" si="1802"/>
        <v>0</v>
      </c>
      <c r="Z1075" s="552">
        <f t="shared" si="1802"/>
        <v>0</v>
      </c>
      <c r="AA1075" s="552">
        <f t="shared" si="1802"/>
        <v>0</v>
      </c>
      <c r="AB1075" s="552">
        <f t="shared" si="1802"/>
        <v>0</v>
      </c>
      <c r="AC1075" s="552">
        <f t="shared" si="1802"/>
        <v>0</v>
      </c>
      <c r="AD1075" s="552">
        <f t="shared" si="1802"/>
        <v>0</v>
      </c>
      <c r="AE1075" s="552">
        <f t="shared" si="1802"/>
        <v>0</v>
      </c>
      <c r="AF1075" s="552">
        <f t="shared" si="1802"/>
        <v>0</v>
      </c>
      <c r="AG1075" s="552">
        <f t="shared" si="1802"/>
        <v>0</v>
      </c>
      <c r="AH1075" s="552">
        <f t="shared" si="1802"/>
        <v>0</v>
      </c>
      <c r="AI1075" s="552">
        <f t="shared" si="1802"/>
        <v>0</v>
      </c>
      <c r="AJ1075" s="552">
        <f t="shared" si="1802"/>
        <v>0</v>
      </c>
      <c r="AK1075" s="552">
        <f t="shared" si="1802"/>
        <v>0</v>
      </c>
      <c r="AL1075" s="552">
        <f t="shared" si="1802"/>
        <v>0</v>
      </c>
      <c r="AM1075" s="552">
        <f t="shared" si="1802"/>
        <v>0</v>
      </c>
      <c r="AN1075" s="552">
        <f t="shared" si="1802"/>
        <v>0</v>
      </c>
      <c r="AO1075" s="552">
        <f t="shared" si="1802"/>
        <v>0</v>
      </c>
      <c r="AP1075" s="552">
        <f t="shared" ref="AP1075:BU1075" si="1803">AP113*AP$338</f>
        <v>0</v>
      </c>
      <c r="AQ1075" s="552">
        <f t="shared" si="1803"/>
        <v>0</v>
      </c>
      <c r="AR1075" s="552">
        <f t="shared" si="1803"/>
        <v>0</v>
      </c>
      <c r="AS1075" s="552">
        <f t="shared" si="1803"/>
        <v>0</v>
      </c>
      <c r="AT1075" s="552">
        <f t="shared" si="1803"/>
        <v>0</v>
      </c>
      <c r="AU1075" s="552">
        <f t="shared" si="1803"/>
        <v>0</v>
      </c>
      <c r="AV1075" s="552">
        <f t="shared" si="1803"/>
        <v>0</v>
      </c>
      <c r="AW1075" s="552">
        <f t="shared" si="1803"/>
        <v>0</v>
      </c>
      <c r="AX1075" s="552">
        <f t="shared" si="1803"/>
        <v>0</v>
      </c>
      <c r="AY1075" s="552">
        <f t="shared" si="1803"/>
        <v>0</v>
      </c>
      <c r="AZ1075" s="552">
        <f t="shared" si="1803"/>
        <v>0</v>
      </c>
      <c r="BA1075" s="552">
        <f t="shared" si="1803"/>
        <v>0</v>
      </c>
      <c r="BB1075" s="552">
        <f t="shared" si="1803"/>
        <v>0</v>
      </c>
      <c r="BC1075" s="552">
        <f t="shared" si="1803"/>
        <v>0</v>
      </c>
      <c r="BD1075" s="552">
        <f t="shared" si="1803"/>
        <v>0</v>
      </c>
      <c r="BE1075" s="552">
        <f t="shared" si="1803"/>
        <v>0</v>
      </c>
      <c r="BF1075" s="552">
        <f t="shared" si="1803"/>
        <v>0</v>
      </c>
      <c r="BG1075" s="552">
        <f t="shared" si="1803"/>
        <v>0</v>
      </c>
      <c r="BH1075" s="552">
        <f t="shared" si="1803"/>
        <v>0</v>
      </c>
      <c r="BI1075" s="552">
        <f t="shared" si="1803"/>
        <v>0</v>
      </c>
      <c r="BJ1075" s="552">
        <f t="shared" si="1803"/>
        <v>0</v>
      </c>
      <c r="BK1075" s="552">
        <f t="shared" si="1803"/>
        <v>0</v>
      </c>
      <c r="BL1075" s="552">
        <f t="shared" si="1803"/>
        <v>0</v>
      </c>
      <c r="BM1075" s="552">
        <f t="shared" si="1803"/>
        <v>0</v>
      </c>
      <c r="BN1075" s="552">
        <f t="shared" si="1803"/>
        <v>0</v>
      </c>
      <c r="BO1075" s="552">
        <f t="shared" si="1803"/>
        <v>0</v>
      </c>
      <c r="BP1075" s="552">
        <f t="shared" si="1803"/>
        <v>0</v>
      </c>
      <c r="BQ1075" s="552">
        <f t="shared" si="1803"/>
        <v>0</v>
      </c>
      <c r="BR1075" s="552">
        <f t="shared" si="1803"/>
        <v>0</v>
      </c>
      <c r="BS1075" s="552">
        <f t="shared" si="1803"/>
        <v>0</v>
      </c>
      <c r="BT1075" s="552">
        <f t="shared" si="1803"/>
        <v>0</v>
      </c>
      <c r="BU1075" s="552">
        <f t="shared" si="1803"/>
        <v>0</v>
      </c>
      <c r="BV1075" s="552">
        <f t="shared" ref="BV1075:DA1075" si="1804">BV113*BV$338</f>
        <v>0</v>
      </c>
      <c r="BW1075" s="552">
        <f t="shared" si="1804"/>
        <v>0</v>
      </c>
      <c r="BX1075" s="552">
        <f t="shared" si="1804"/>
        <v>0</v>
      </c>
      <c r="BY1075" s="552">
        <f t="shared" si="1804"/>
        <v>0</v>
      </c>
      <c r="BZ1075" s="552">
        <f t="shared" si="1804"/>
        <v>0</v>
      </c>
      <c r="CA1075" s="552">
        <f t="shared" si="1804"/>
        <v>0</v>
      </c>
      <c r="CB1075" s="552">
        <f t="shared" si="1804"/>
        <v>0</v>
      </c>
      <c r="CC1075" s="552">
        <f t="shared" si="1804"/>
        <v>0</v>
      </c>
      <c r="CD1075" s="552">
        <f t="shared" si="1804"/>
        <v>0</v>
      </c>
      <c r="CE1075" s="552">
        <f t="shared" si="1804"/>
        <v>0</v>
      </c>
      <c r="CF1075" s="552">
        <f t="shared" si="1804"/>
        <v>0</v>
      </c>
      <c r="CG1075" s="552">
        <f t="shared" si="1804"/>
        <v>0</v>
      </c>
      <c r="CH1075" s="552">
        <f t="shared" si="1804"/>
        <v>0</v>
      </c>
      <c r="CI1075" s="552">
        <f t="shared" si="1804"/>
        <v>0</v>
      </c>
      <c r="CJ1075" s="552">
        <f t="shared" si="1804"/>
        <v>0</v>
      </c>
      <c r="CK1075" s="552">
        <f t="shared" si="1804"/>
        <v>0</v>
      </c>
      <c r="CL1075" s="552">
        <f t="shared" si="1804"/>
        <v>0</v>
      </c>
      <c r="CM1075" s="552">
        <f t="shared" si="1804"/>
        <v>0</v>
      </c>
      <c r="CN1075" s="552">
        <f t="shared" si="1804"/>
        <v>0</v>
      </c>
      <c r="CO1075" s="552">
        <f t="shared" si="1804"/>
        <v>0</v>
      </c>
      <c r="CP1075" s="552">
        <f t="shared" si="1804"/>
        <v>0</v>
      </c>
      <c r="CQ1075" s="552">
        <f t="shared" si="1804"/>
        <v>0</v>
      </c>
      <c r="CR1075" s="552">
        <f t="shared" si="1804"/>
        <v>0</v>
      </c>
      <c r="CS1075" s="552">
        <f t="shared" si="1804"/>
        <v>0</v>
      </c>
      <c r="CT1075" s="552">
        <f t="shared" si="1804"/>
        <v>0</v>
      </c>
      <c r="CU1075" s="552">
        <f t="shared" si="1804"/>
        <v>0</v>
      </c>
      <c r="CV1075" s="552">
        <f t="shared" si="1804"/>
        <v>0</v>
      </c>
      <c r="CW1075" s="552">
        <f t="shared" si="1804"/>
        <v>0</v>
      </c>
      <c r="CX1075" s="552">
        <f t="shared" si="1804"/>
        <v>0</v>
      </c>
      <c r="CY1075" s="552">
        <f t="shared" si="1804"/>
        <v>0</v>
      </c>
      <c r="CZ1075" s="552">
        <f t="shared" si="1804"/>
        <v>0</v>
      </c>
      <c r="DA1075" s="552">
        <f t="shared" si="1804"/>
        <v>0</v>
      </c>
      <c r="DB1075" s="552">
        <f t="shared" ref="DB1075:EG1075" si="1805">DB113*DB$338</f>
        <v>0</v>
      </c>
      <c r="DC1075" s="552">
        <f t="shared" si="1805"/>
        <v>0</v>
      </c>
      <c r="DD1075" s="552">
        <f t="shared" si="1805"/>
        <v>0</v>
      </c>
      <c r="DE1075" s="552">
        <f t="shared" si="1805"/>
        <v>0</v>
      </c>
      <c r="DF1075" s="552">
        <f t="shared" si="1805"/>
        <v>0</v>
      </c>
      <c r="DG1075" s="552">
        <f t="shared" si="1805"/>
        <v>0</v>
      </c>
      <c r="DH1075" s="552">
        <f t="shared" si="1805"/>
        <v>0</v>
      </c>
      <c r="DI1075" s="552">
        <f t="shared" si="1805"/>
        <v>0</v>
      </c>
      <c r="DJ1075" s="552">
        <f t="shared" si="1805"/>
        <v>0</v>
      </c>
      <c r="DK1075" s="552">
        <f t="shared" si="1805"/>
        <v>0</v>
      </c>
      <c r="DL1075" s="552">
        <f t="shared" si="1805"/>
        <v>0</v>
      </c>
      <c r="DM1075" s="552">
        <f t="shared" si="1805"/>
        <v>0</v>
      </c>
      <c r="DN1075" s="552">
        <f t="shared" si="1805"/>
        <v>0</v>
      </c>
      <c r="DO1075" s="552">
        <f t="shared" si="1805"/>
        <v>0</v>
      </c>
      <c r="DP1075" s="552">
        <f t="shared" si="1805"/>
        <v>0</v>
      </c>
      <c r="DQ1075" s="552">
        <f t="shared" si="1805"/>
        <v>0</v>
      </c>
      <c r="DR1075" s="552">
        <f t="shared" si="1805"/>
        <v>0</v>
      </c>
      <c r="DS1075" s="552">
        <f t="shared" si="1805"/>
        <v>0</v>
      </c>
      <c r="DT1075" s="552">
        <f t="shared" si="1805"/>
        <v>0</v>
      </c>
      <c r="DU1075" s="552">
        <f t="shared" si="1805"/>
        <v>0</v>
      </c>
      <c r="DV1075" s="552">
        <f t="shared" si="1805"/>
        <v>0</v>
      </c>
      <c r="DW1075" s="552">
        <f t="shared" si="1805"/>
        <v>0</v>
      </c>
      <c r="DX1075" s="552">
        <f t="shared" si="1805"/>
        <v>0</v>
      </c>
      <c r="DY1075" s="552">
        <f t="shared" si="1805"/>
        <v>0</v>
      </c>
      <c r="DZ1075" s="552">
        <f t="shared" si="1805"/>
        <v>0</v>
      </c>
      <c r="EA1075" s="552">
        <f t="shared" si="1805"/>
        <v>0</v>
      </c>
      <c r="EB1075" s="552">
        <f t="shared" si="1805"/>
        <v>0</v>
      </c>
      <c r="EC1075" s="552">
        <f t="shared" si="1805"/>
        <v>0</v>
      </c>
      <c r="ED1075" s="552">
        <f t="shared" si="1805"/>
        <v>0</v>
      </c>
      <c r="EE1075" s="552">
        <f t="shared" si="1805"/>
        <v>0</v>
      </c>
      <c r="EF1075" s="552">
        <f t="shared" si="1805"/>
        <v>0</v>
      </c>
      <c r="EG1075" s="552">
        <f t="shared" si="1805"/>
        <v>0</v>
      </c>
      <c r="EH1075" s="552">
        <f t="shared" ref="EH1075:EX1075" si="1806">EH113*EH$338</f>
        <v>0</v>
      </c>
      <c r="EI1075" s="552">
        <f t="shared" si="1806"/>
        <v>0</v>
      </c>
      <c r="EJ1075" s="552">
        <f t="shared" si="1806"/>
        <v>0</v>
      </c>
      <c r="EK1075" s="552">
        <f t="shared" si="1806"/>
        <v>0</v>
      </c>
      <c r="EL1075" s="552">
        <f t="shared" si="1806"/>
        <v>0</v>
      </c>
      <c r="EM1075" s="552">
        <f t="shared" si="1806"/>
        <v>0</v>
      </c>
      <c r="EN1075" s="552">
        <f t="shared" si="1806"/>
        <v>0</v>
      </c>
      <c r="EO1075" s="552">
        <f t="shared" si="1806"/>
        <v>0</v>
      </c>
      <c r="EP1075" s="552">
        <f t="shared" si="1806"/>
        <v>0</v>
      </c>
      <c r="EQ1075" s="552">
        <f t="shared" si="1806"/>
        <v>0</v>
      </c>
      <c r="ER1075" s="552">
        <f t="shared" si="1806"/>
        <v>0</v>
      </c>
      <c r="ES1075" s="552">
        <f t="shared" si="1806"/>
        <v>0</v>
      </c>
      <c r="ET1075" s="552">
        <f t="shared" si="1806"/>
        <v>0</v>
      </c>
      <c r="EU1075" s="552">
        <f t="shared" si="1806"/>
        <v>0</v>
      </c>
      <c r="EV1075" s="552">
        <f t="shared" si="1806"/>
        <v>0</v>
      </c>
      <c r="EW1075" s="552">
        <f t="shared" si="1806"/>
        <v>0</v>
      </c>
      <c r="EX1075" s="552">
        <f t="shared" si="1806"/>
        <v>0</v>
      </c>
      <c r="EY1075" s="799">
        <f t="shared" si="1775"/>
        <v>0</v>
      </c>
      <c r="EZ1075" s="640"/>
      <c r="FA1075" s="640"/>
      <c r="FB1075" s="640"/>
      <c r="FC1075" s="640"/>
      <c r="FD1075" s="640"/>
      <c r="FE1075" s="640"/>
      <c r="FF1075" s="640"/>
      <c r="FG1075" s="640"/>
      <c r="FH1075" s="640"/>
      <c r="FI1075" s="640"/>
      <c r="FJ1075" s="640"/>
      <c r="FK1075" s="640"/>
      <c r="FL1075" s="640"/>
    </row>
    <row r="1076" spans="1:168" s="1034" customFormat="1" x14ac:dyDescent="0.25">
      <c r="A1076" s="1033"/>
      <c r="B1076" s="624">
        <f t="shared" si="1768"/>
        <v>0</v>
      </c>
      <c r="C1076" s="624">
        <f t="shared" si="1768"/>
        <v>0</v>
      </c>
      <c r="D1076" s="624">
        <f t="shared" si="1768"/>
        <v>0</v>
      </c>
      <c r="E1076" s="1158">
        <f t="shared" si="1776"/>
        <v>0</v>
      </c>
      <c r="F1076" s="1158"/>
      <c r="G1076" s="1140"/>
      <c r="H1076" s="1140"/>
      <c r="I1076" s="552"/>
      <c r="J1076" s="552">
        <f t="shared" ref="J1076:AO1076" si="1807">J114*J$338</f>
        <v>0</v>
      </c>
      <c r="K1076" s="552">
        <f t="shared" si="1807"/>
        <v>0</v>
      </c>
      <c r="L1076" s="552">
        <f t="shared" si="1807"/>
        <v>0</v>
      </c>
      <c r="M1076" s="552">
        <f t="shared" si="1807"/>
        <v>0</v>
      </c>
      <c r="N1076" s="552">
        <f t="shared" si="1807"/>
        <v>0</v>
      </c>
      <c r="O1076" s="552">
        <f t="shared" si="1807"/>
        <v>0</v>
      </c>
      <c r="P1076" s="552">
        <f t="shared" si="1807"/>
        <v>0</v>
      </c>
      <c r="Q1076" s="552">
        <f t="shared" si="1807"/>
        <v>0</v>
      </c>
      <c r="R1076" s="552">
        <f t="shared" si="1807"/>
        <v>0</v>
      </c>
      <c r="S1076" s="552">
        <f t="shared" si="1807"/>
        <v>0</v>
      </c>
      <c r="T1076" s="552">
        <f t="shared" si="1807"/>
        <v>0</v>
      </c>
      <c r="U1076" s="552">
        <f t="shared" si="1807"/>
        <v>0</v>
      </c>
      <c r="V1076" s="552">
        <f t="shared" si="1807"/>
        <v>0</v>
      </c>
      <c r="W1076" s="552">
        <f t="shared" si="1807"/>
        <v>0</v>
      </c>
      <c r="X1076" s="552">
        <f t="shared" si="1807"/>
        <v>0</v>
      </c>
      <c r="Y1076" s="552">
        <f t="shared" si="1807"/>
        <v>0</v>
      </c>
      <c r="Z1076" s="552">
        <f t="shared" si="1807"/>
        <v>0</v>
      </c>
      <c r="AA1076" s="552">
        <f t="shared" si="1807"/>
        <v>0</v>
      </c>
      <c r="AB1076" s="552">
        <f t="shared" si="1807"/>
        <v>0</v>
      </c>
      <c r="AC1076" s="552">
        <f t="shared" si="1807"/>
        <v>0</v>
      </c>
      <c r="AD1076" s="552">
        <f t="shared" si="1807"/>
        <v>0</v>
      </c>
      <c r="AE1076" s="552">
        <f t="shared" si="1807"/>
        <v>0</v>
      </c>
      <c r="AF1076" s="552">
        <f t="shared" si="1807"/>
        <v>0</v>
      </c>
      <c r="AG1076" s="552">
        <f t="shared" si="1807"/>
        <v>0</v>
      </c>
      <c r="AH1076" s="552">
        <f t="shared" si="1807"/>
        <v>0</v>
      </c>
      <c r="AI1076" s="552">
        <f t="shared" si="1807"/>
        <v>0</v>
      </c>
      <c r="AJ1076" s="552">
        <f t="shared" si="1807"/>
        <v>0</v>
      </c>
      <c r="AK1076" s="552">
        <f t="shared" si="1807"/>
        <v>0</v>
      </c>
      <c r="AL1076" s="552">
        <f t="shared" si="1807"/>
        <v>0</v>
      </c>
      <c r="AM1076" s="552">
        <f t="shared" si="1807"/>
        <v>0</v>
      </c>
      <c r="AN1076" s="552">
        <f t="shared" si="1807"/>
        <v>0</v>
      </c>
      <c r="AO1076" s="552">
        <f t="shared" si="1807"/>
        <v>0</v>
      </c>
      <c r="AP1076" s="552">
        <f t="shared" ref="AP1076:BU1076" si="1808">AP114*AP$338</f>
        <v>0</v>
      </c>
      <c r="AQ1076" s="552">
        <f t="shared" si="1808"/>
        <v>0</v>
      </c>
      <c r="AR1076" s="552">
        <f t="shared" si="1808"/>
        <v>0</v>
      </c>
      <c r="AS1076" s="552">
        <f t="shared" si="1808"/>
        <v>0</v>
      </c>
      <c r="AT1076" s="552">
        <f t="shared" si="1808"/>
        <v>0</v>
      </c>
      <c r="AU1076" s="552">
        <f t="shared" si="1808"/>
        <v>0</v>
      </c>
      <c r="AV1076" s="552">
        <f t="shared" si="1808"/>
        <v>0</v>
      </c>
      <c r="AW1076" s="552">
        <f t="shared" si="1808"/>
        <v>0</v>
      </c>
      <c r="AX1076" s="552">
        <f t="shared" si="1808"/>
        <v>0</v>
      </c>
      <c r="AY1076" s="552">
        <f t="shared" si="1808"/>
        <v>0</v>
      </c>
      <c r="AZ1076" s="552">
        <f t="shared" si="1808"/>
        <v>0</v>
      </c>
      <c r="BA1076" s="552">
        <f t="shared" si="1808"/>
        <v>0</v>
      </c>
      <c r="BB1076" s="552">
        <f t="shared" si="1808"/>
        <v>0</v>
      </c>
      <c r="BC1076" s="552">
        <f t="shared" si="1808"/>
        <v>0</v>
      </c>
      <c r="BD1076" s="552">
        <f t="shared" si="1808"/>
        <v>0</v>
      </c>
      <c r="BE1076" s="552">
        <f t="shared" si="1808"/>
        <v>0</v>
      </c>
      <c r="BF1076" s="552">
        <f t="shared" si="1808"/>
        <v>0</v>
      </c>
      <c r="BG1076" s="552">
        <f t="shared" si="1808"/>
        <v>0</v>
      </c>
      <c r="BH1076" s="552">
        <f t="shared" si="1808"/>
        <v>0</v>
      </c>
      <c r="BI1076" s="552">
        <f t="shared" si="1808"/>
        <v>0</v>
      </c>
      <c r="BJ1076" s="552">
        <f t="shared" si="1808"/>
        <v>0</v>
      </c>
      <c r="BK1076" s="552">
        <f t="shared" si="1808"/>
        <v>0</v>
      </c>
      <c r="BL1076" s="552">
        <f t="shared" si="1808"/>
        <v>0</v>
      </c>
      <c r="BM1076" s="552">
        <f t="shared" si="1808"/>
        <v>0</v>
      </c>
      <c r="BN1076" s="552">
        <f t="shared" si="1808"/>
        <v>0</v>
      </c>
      <c r="BO1076" s="552">
        <f t="shared" si="1808"/>
        <v>0</v>
      </c>
      <c r="BP1076" s="552">
        <f t="shared" si="1808"/>
        <v>0</v>
      </c>
      <c r="BQ1076" s="552">
        <f t="shared" si="1808"/>
        <v>0</v>
      </c>
      <c r="BR1076" s="552">
        <f t="shared" si="1808"/>
        <v>0</v>
      </c>
      <c r="BS1076" s="552">
        <f t="shared" si="1808"/>
        <v>0</v>
      </c>
      <c r="BT1076" s="552">
        <f t="shared" si="1808"/>
        <v>0</v>
      </c>
      <c r="BU1076" s="552">
        <f t="shared" si="1808"/>
        <v>0</v>
      </c>
      <c r="BV1076" s="552">
        <f t="shared" ref="BV1076:DA1076" si="1809">BV114*BV$338</f>
        <v>0</v>
      </c>
      <c r="BW1076" s="552">
        <f t="shared" si="1809"/>
        <v>0</v>
      </c>
      <c r="BX1076" s="552">
        <f t="shared" si="1809"/>
        <v>0</v>
      </c>
      <c r="BY1076" s="552">
        <f t="shared" si="1809"/>
        <v>0</v>
      </c>
      <c r="BZ1076" s="552">
        <f t="shared" si="1809"/>
        <v>0</v>
      </c>
      <c r="CA1076" s="552">
        <f t="shared" si="1809"/>
        <v>0</v>
      </c>
      <c r="CB1076" s="552">
        <f t="shared" si="1809"/>
        <v>0</v>
      </c>
      <c r="CC1076" s="552">
        <f t="shared" si="1809"/>
        <v>0</v>
      </c>
      <c r="CD1076" s="552">
        <f t="shared" si="1809"/>
        <v>0</v>
      </c>
      <c r="CE1076" s="552">
        <f t="shared" si="1809"/>
        <v>0</v>
      </c>
      <c r="CF1076" s="552">
        <f t="shared" si="1809"/>
        <v>0</v>
      </c>
      <c r="CG1076" s="552">
        <f t="shared" si="1809"/>
        <v>0</v>
      </c>
      <c r="CH1076" s="552">
        <f t="shared" si="1809"/>
        <v>0</v>
      </c>
      <c r="CI1076" s="552">
        <f t="shared" si="1809"/>
        <v>0</v>
      </c>
      <c r="CJ1076" s="552">
        <f t="shared" si="1809"/>
        <v>0</v>
      </c>
      <c r="CK1076" s="552">
        <f t="shared" si="1809"/>
        <v>0</v>
      </c>
      <c r="CL1076" s="552">
        <f t="shared" si="1809"/>
        <v>0</v>
      </c>
      <c r="CM1076" s="552">
        <f t="shared" si="1809"/>
        <v>0</v>
      </c>
      <c r="CN1076" s="552">
        <f t="shared" si="1809"/>
        <v>0</v>
      </c>
      <c r="CO1076" s="552">
        <f t="shared" si="1809"/>
        <v>0</v>
      </c>
      <c r="CP1076" s="552">
        <f t="shared" si="1809"/>
        <v>0</v>
      </c>
      <c r="CQ1076" s="552">
        <f t="shared" si="1809"/>
        <v>0</v>
      </c>
      <c r="CR1076" s="552">
        <f t="shared" si="1809"/>
        <v>0</v>
      </c>
      <c r="CS1076" s="552">
        <f t="shared" si="1809"/>
        <v>0</v>
      </c>
      <c r="CT1076" s="552">
        <f t="shared" si="1809"/>
        <v>0</v>
      </c>
      <c r="CU1076" s="552">
        <f t="shared" si="1809"/>
        <v>0</v>
      </c>
      <c r="CV1076" s="552">
        <f t="shared" si="1809"/>
        <v>0</v>
      </c>
      <c r="CW1076" s="552">
        <f t="shared" si="1809"/>
        <v>0</v>
      </c>
      <c r="CX1076" s="552">
        <f t="shared" si="1809"/>
        <v>0</v>
      </c>
      <c r="CY1076" s="552">
        <f t="shared" si="1809"/>
        <v>0</v>
      </c>
      <c r="CZ1076" s="552">
        <f t="shared" si="1809"/>
        <v>0</v>
      </c>
      <c r="DA1076" s="552">
        <f t="shared" si="1809"/>
        <v>0</v>
      </c>
      <c r="DB1076" s="552">
        <f t="shared" ref="DB1076:EG1076" si="1810">DB114*DB$338</f>
        <v>0</v>
      </c>
      <c r="DC1076" s="552">
        <f t="shared" si="1810"/>
        <v>0</v>
      </c>
      <c r="DD1076" s="552">
        <f t="shared" si="1810"/>
        <v>0</v>
      </c>
      <c r="DE1076" s="552">
        <f t="shared" si="1810"/>
        <v>0</v>
      </c>
      <c r="DF1076" s="552">
        <f t="shared" si="1810"/>
        <v>0</v>
      </c>
      <c r="DG1076" s="552">
        <f t="shared" si="1810"/>
        <v>0</v>
      </c>
      <c r="DH1076" s="552">
        <f t="shared" si="1810"/>
        <v>0</v>
      </c>
      <c r="DI1076" s="552">
        <f t="shared" si="1810"/>
        <v>0</v>
      </c>
      <c r="DJ1076" s="552">
        <f t="shared" si="1810"/>
        <v>0</v>
      </c>
      <c r="DK1076" s="552">
        <f t="shared" si="1810"/>
        <v>0</v>
      </c>
      <c r="DL1076" s="552">
        <f t="shared" si="1810"/>
        <v>0</v>
      </c>
      <c r="DM1076" s="552">
        <f t="shared" si="1810"/>
        <v>0</v>
      </c>
      <c r="DN1076" s="552">
        <f t="shared" si="1810"/>
        <v>0</v>
      </c>
      <c r="DO1076" s="552">
        <f t="shared" si="1810"/>
        <v>0</v>
      </c>
      <c r="DP1076" s="552">
        <f t="shared" si="1810"/>
        <v>0</v>
      </c>
      <c r="DQ1076" s="552">
        <f t="shared" si="1810"/>
        <v>0</v>
      </c>
      <c r="DR1076" s="552">
        <f t="shared" si="1810"/>
        <v>0</v>
      </c>
      <c r="DS1076" s="552">
        <f t="shared" si="1810"/>
        <v>0</v>
      </c>
      <c r="DT1076" s="552">
        <f t="shared" si="1810"/>
        <v>0</v>
      </c>
      <c r="DU1076" s="552">
        <f t="shared" si="1810"/>
        <v>0</v>
      </c>
      <c r="DV1076" s="552">
        <f t="shared" si="1810"/>
        <v>0</v>
      </c>
      <c r="DW1076" s="552">
        <f t="shared" si="1810"/>
        <v>0</v>
      </c>
      <c r="DX1076" s="552">
        <f t="shared" si="1810"/>
        <v>0</v>
      </c>
      <c r="DY1076" s="552">
        <f t="shared" si="1810"/>
        <v>0</v>
      </c>
      <c r="DZ1076" s="552">
        <f t="shared" si="1810"/>
        <v>0</v>
      </c>
      <c r="EA1076" s="552">
        <f t="shared" si="1810"/>
        <v>0</v>
      </c>
      <c r="EB1076" s="552">
        <f t="shared" si="1810"/>
        <v>0</v>
      </c>
      <c r="EC1076" s="552">
        <f t="shared" si="1810"/>
        <v>0</v>
      </c>
      <c r="ED1076" s="552">
        <f t="shared" si="1810"/>
        <v>0</v>
      </c>
      <c r="EE1076" s="552">
        <f t="shared" si="1810"/>
        <v>0</v>
      </c>
      <c r="EF1076" s="552">
        <f t="shared" si="1810"/>
        <v>0</v>
      </c>
      <c r="EG1076" s="552">
        <f t="shared" si="1810"/>
        <v>0</v>
      </c>
      <c r="EH1076" s="552">
        <f t="shared" ref="EH1076:EX1076" si="1811">EH114*EH$338</f>
        <v>0</v>
      </c>
      <c r="EI1076" s="552">
        <f t="shared" si="1811"/>
        <v>0</v>
      </c>
      <c r="EJ1076" s="552">
        <f t="shared" si="1811"/>
        <v>0</v>
      </c>
      <c r="EK1076" s="552">
        <f t="shared" si="1811"/>
        <v>0</v>
      </c>
      <c r="EL1076" s="552">
        <f t="shared" si="1811"/>
        <v>0</v>
      </c>
      <c r="EM1076" s="552">
        <f t="shared" si="1811"/>
        <v>0</v>
      </c>
      <c r="EN1076" s="552">
        <f t="shared" si="1811"/>
        <v>0</v>
      </c>
      <c r="EO1076" s="552">
        <f t="shared" si="1811"/>
        <v>0</v>
      </c>
      <c r="EP1076" s="552">
        <f t="shared" si="1811"/>
        <v>0</v>
      </c>
      <c r="EQ1076" s="552">
        <f t="shared" si="1811"/>
        <v>0</v>
      </c>
      <c r="ER1076" s="552">
        <f t="shared" si="1811"/>
        <v>0</v>
      </c>
      <c r="ES1076" s="552">
        <f t="shared" si="1811"/>
        <v>0</v>
      </c>
      <c r="ET1076" s="552">
        <f t="shared" si="1811"/>
        <v>0</v>
      </c>
      <c r="EU1076" s="552">
        <f t="shared" si="1811"/>
        <v>0</v>
      </c>
      <c r="EV1076" s="552">
        <f t="shared" si="1811"/>
        <v>0</v>
      </c>
      <c r="EW1076" s="552">
        <f t="shared" si="1811"/>
        <v>0</v>
      </c>
      <c r="EX1076" s="552">
        <f t="shared" si="1811"/>
        <v>0</v>
      </c>
      <c r="EY1076" s="799">
        <f t="shared" si="1775"/>
        <v>0</v>
      </c>
      <c r="EZ1076" s="640"/>
      <c r="FA1076" s="640"/>
      <c r="FB1076" s="640"/>
      <c r="FC1076" s="640"/>
      <c r="FD1076" s="640"/>
      <c r="FE1076" s="640"/>
      <c r="FF1076" s="640"/>
      <c r="FG1076" s="640"/>
      <c r="FH1076" s="640"/>
      <c r="FI1076" s="640"/>
      <c r="FJ1076" s="640"/>
      <c r="FK1076" s="640"/>
      <c r="FL1076" s="640"/>
    </row>
    <row r="1077" spans="1:168" s="1034" customFormat="1" x14ac:dyDescent="0.25">
      <c r="A1077" s="1033"/>
      <c r="B1077" s="624">
        <f t="shared" si="1768"/>
        <v>0</v>
      </c>
      <c r="C1077" s="624">
        <f t="shared" si="1768"/>
        <v>0</v>
      </c>
      <c r="D1077" s="624">
        <f t="shared" si="1768"/>
        <v>0</v>
      </c>
      <c r="E1077" s="1158">
        <f t="shared" si="1776"/>
        <v>0</v>
      </c>
      <c r="F1077" s="1158"/>
      <c r="G1077" s="1140"/>
      <c r="H1077" s="1140"/>
      <c r="I1077" s="552"/>
      <c r="J1077" s="552">
        <f t="shared" ref="J1077:AO1077" si="1812">J115*J$338</f>
        <v>0</v>
      </c>
      <c r="K1077" s="552">
        <f t="shared" si="1812"/>
        <v>0</v>
      </c>
      <c r="L1077" s="552">
        <f t="shared" si="1812"/>
        <v>0</v>
      </c>
      <c r="M1077" s="552">
        <f t="shared" si="1812"/>
        <v>0</v>
      </c>
      <c r="N1077" s="552">
        <f t="shared" si="1812"/>
        <v>0</v>
      </c>
      <c r="O1077" s="552">
        <f t="shared" si="1812"/>
        <v>0</v>
      </c>
      <c r="P1077" s="552">
        <f t="shared" si="1812"/>
        <v>0</v>
      </c>
      <c r="Q1077" s="552">
        <f t="shared" si="1812"/>
        <v>0</v>
      </c>
      <c r="R1077" s="552">
        <f t="shared" si="1812"/>
        <v>0</v>
      </c>
      <c r="S1077" s="552">
        <f t="shared" si="1812"/>
        <v>0</v>
      </c>
      <c r="T1077" s="552">
        <f t="shared" si="1812"/>
        <v>0</v>
      </c>
      <c r="U1077" s="552">
        <f t="shared" si="1812"/>
        <v>0</v>
      </c>
      <c r="V1077" s="552">
        <f t="shared" si="1812"/>
        <v>0</v>
      </c>
      <c r="W1077" s="552">
        <f t="shared" si="1812"/>
        <v>0</v>
      </c>
      <c r="X1077" s="552">
        <f t="shared" si="1812"/>
        <v>0</v>
      </c>
      <c r="Y1077" s="552">
        <f t="shared" si="1812"/>
        <v>0</v>
      </c>
      <c r="Z1077" s="552">
        <f t="shared" si="1812"/>
        <v>0</v>
      </c>
      <c r="AA1077" s="552">
        <f t="shared" si="1812"/>
        <v>0</v>
      </c>
      <c r="AB1077" s="552">
        <f t="shared" si="1812"/>
        <v>0</v>
      </c>
      <c r="AC1077" s="552">
        <f t="shared" si="1812"/>
        <v>0</v>
      </c>
      <c r="AD1077" s="552">
        <f t="shared" si="1812"/>
        <v>0</v>
      </c>
      <c r="AE1077" s="552">
        <f t="shared" si="1812"/>
        <v>0</v>
      </c>
      <c r="AF1077" s="552">
        <f t="shared" si="1812"/>
        <v>0</v>
      </c>
      <c r="AG1077" s="552">
        <f t="shared" si="1812"/>
        <v>0</v>
      </c>
      <c r="AH1077" s="552">
        <f t="shared" si="1812"/>
        <v>0</v>
      </c>
      <c r="AI1077" s="552">
        <f t="shared" si="1812"/>
        <v>0</v>
      </c>
      <c r="AJ1077" s="552">
        <f t="shared" si="1812"/>
        <v>0</v>
      </c>
      <c r="AK1077" s="552">
        <f t="shared" si="1812"/>
        <v>0</v>
      </c>
      <c r="AL1077" s="552">
        <f t="shared" si="1812"/>
        <v>0</v>
      </c>
      <c r="AM1077" s="552">
        <f t="shared" si="1812"/>
        <v>0</v>
      </c>
      <c r="AN1077" s="552">
        <f t="shared" si="1812"/>
        <v>0</v>
      </c>
      <c r="AO1077" s="552">
        <f t="shared" si="1812"/>
        <v>0</v>
      </c>
      <c r="AP1077" s="552">
        <f t="shared" ref="AP1077:BU1077" si="1813">AP115*AP$338</f>
        <v>0</v>
      </c>
      <c r="AQ1077" s="552">
        <f t="shared" si="1813"/>
        <v>0</v>
      </c>
      <c r="AR1077" s="552">
        <f t="shared" si="1813"/>
        <v>0</v>
      </c>
      <c r="AS1077" s="552">
        <f t="shared" si="1813"/>
        <v>0</v>
      </c>
      <c r="AT1077" s="552">
        <f t="shared" si="1813"/>
        <v>0</v>
      </c>
      <c r="AU1077" s="552">
        <f t="shared" si="1813"/>
        <v>0</v>
      </c>
      <c r="AV1077" s="552">
        <f t="shared" si="1813"/>
        <v>0</v>
      </c>
      <c r="AW1077" s="552">
        <f t="shared" si="1813"/>
        <v>0</v>
      </c>
      <c r="AX1077" s="552">
        <f t="shared" si="1813"/>
        <v>0</v>
      </c>
      <c r="AY1077" s="552">
        <f t="shared" si="1813"/>
        <v>0</v>
      </c>
      <c r="AZ1077" s="552">
        <f t="shared" si="1813"/>
        <v>0</v>
      </c>
      <c r="BA1077" s="552">
        <f t="shared" si="1813"/>
        <v>0</v>
      </c>
      <c r="BB1077" s="552">
        <f t="shared" si="1813"/>
        <v>0</v>
      </c>
      <c r="BC1077" s="552">
        <f t="shared" si="1813"/>
        <v>0</v>
      </c>
      <c r="BD1077" s="552">
        <f t="shared" si="1813"/>
        <v>0</v>
      </c>
      <c r="BE1077" s="552">
        <f t="shared" si="1813"/>
        <v>0</v>
      </c>
      <c r="BF1077" s="552">
        <f t="shared" si="1813"/>
        <v>0</v>
      </c>
      <c r="BG1077" s="552">
        <f t="shared" si="1813"/>
        <v>0</v>
      </c>
      <c r="BH1077" s="552">
        <f t="shared" si="1813"/>
        <v>0</v>
      </c>
      <c r="BI1077" s="552">
        <f t="shared" si="1813"/>
        <v>0</v>
      </c>
      <c r="BJ1077" s="552">
        <f t="shared" si="1813"/>
        <v>0</v>
      </c>
      <c r="BK1077" s="552">
        <f t="shared" si="1813"/>
        <v>0</v>
      </c>
      <c r="BL1077" s="552">
        <f t="shared" si="1813"/>
        <v>0</v>
      </c>
      <c r="BM1077" s="552">
        <f t="shared" si="1813"/>
        <v>0</v>
      </c>
      <c r="BN1077" s="552">
        <f t="shared" si="1813"/>
        <v>0</v>
      </c>
      <c r="BO1077" s="552">
        <f t="shared" si="1813"/>
        <v>0</v>
      </c>
      <c r="BP1077" s="552">
        <f t="shared" si="1813"/>
        <v>0</v>
      </c>
      <c r="BQ1077" s="552">
        <f t="shared" si="1813"/>
        <v>0</v>
      </c>
      <c r="BR1077" s="552">
        <f t="shared" si="1813"/>
        <v>0</v>
      </c>
      <c r="BS1077" s="552">
        <f t="shared" si="1813"/>
        <v>0</v>
      </c>
      <c r="BT1077" s="552">
        <f t="shared" si="1813"/>
        <v>0</v>
      </c>
      <c r="BU1077" s="552">
        <f t="shared" si="1813"/>
        <v>0</v>
      </c>
      <c r="BV1077" s="552">
        <f t="shared" ref="BV1077:DA1077" si="1814">BV115*BV$338</f>
        <v>0</v>
      </c>
      <c r="BW1077" s="552">
        <f t="shared" si="1814"/>
        <v>0</v>
      </c>
      <c r="BX1077" s="552">
        <f t="shared" si="1814"/>
        <v>0</v>
      </c>
      <c r="BY1077" s="552">
        <f t="shared" si="1814"/>
        <v>0</v>
      </c>
      <c r="BZ1077" s="552">
        <f t="shared" si="1814"/>
        <v>0</v>
      </c>
      <c r="CA1077" s="552">
        <f t="shared" si="1814"/>
        <v>0</v>
      </c>
      <c r="CB1077" s="552">
        <f t="shared" si="1814"/>
        <v>0</v>
      </c>
      <c r="CC1077" s="552">
        <f t="shared" si="1814"/>
        <v>0</v>
      </c>
      <c r="CD1077" s="552">
        <f t="shared" si="1814"/>
        <v>0</v>
      </c>
      <c r="CE1077" s="552">
        <f t="shared" si="1814"/>
        <v>0</v>
      </c>
      <c r="CF1077" s="552">
        <f t="shared" si="1814"/>
        <v>0</v>
      </c>
      <c r="CG1077" s="552">
        <f t="shared" si="1814"/>
        <v>0</v>
      </c>
      <c r="CH1077" s="552">
        <f t="shared" si="1814"/>
        <v>0</v>
      </c>
      <c r="CI1077" s="552">
        <f t="shared" si="1814"/>
        <v>0</v>
      </c>
      <c r="CJ1077" s="552">
        <f t="shared" si="1814"/>
        <v>0</v>
      </c>
      <c r="CK1077" s="552">
        <f t="shared" si="1814"/>
        <v>0</v>
      </c>
      <c r="CL1077" s="552">
        <f t="shared" si="1814"/>
        <v>0</v>
      </c>
      <c r="CM1077" s="552">
        <f t="shared" si="1814"/>
        <v>0</v>
      </c>
      <c r="CN1077" s="552">
        <f t="shared" si="1814"/>
        <v>0</v>
      </c>
      <c r="CO1077" s="552">
        <f t="shared" si="1814"/>
        <v>0</v>
      </c>
      <c r="CP1077" s="552">
        <f t="shared" si="1814"/>
        <v>0</v>
      </c>
      <c r="CQ1077" s="552">
        <f t="shared" si="1814"/>
        <v>0</v>
      </c>
      <c r="CR1077" s="552">
        <f t="shared" si="1814"/>
        <v>0</v>
      </c>
      <c r="CS1077" s="552">
        <f t="shared" si="1814"/>
        <v>0</v>
      </c>
      <c r="CT1077" s="552">
        <f t="shared" si="1814"/>
        <v>0</v>
      </c>
      <c r="CU1077" s="552">
        <f t="shared" si="1814"/>
        <v>0</v>
      </c>
      <c r="CV1077" s="552">
        <f t="shared" si="1814"/>
        <v>0</v>
      </c>
      <c r="CW1077" s="552">
        <f t="shared" si="1814"/>
        <v>0</v>
      </c>
      <c r="CX1077" s="552">
        <f t="shared" si="1814"/>
        <v>0</v>
      </c>
      <c r="CY1077" s="552">
        <f t="shared" si="1814"/>
        <v>0</v>
      </c>
      <c r="CZ1077" s="552">
        <f t="shared" si="1814"/>
        <v>0</v>
      </c>
      <c r="DA1077" s="552">
        <f t="shared" si="1814"/>
        <v>0</v>
      </c>
      <c r="DB1077" s="552">
        <f t="shared" ref="DB1077:EG1077" si="1815">DB115*DB$338</f>
        <v>0</v>
      </c>
      <c r="DC1077" s="552">
        <f t="shared" si="1815"/>
        <v>0</v>
      </c>
      <c r="DD1077" s="552">
        <f t="shared" si="1815"/>
        <v>0</v>
      </c>
      <c r="DE1077" s="552">
        <f t="shared" si="1815"/>
        <v>0</v>
      </c>
      <c r="DF1077" s="552">
        <f t="shared" si="1815"/>
        <v>0</v>
      </c>
      <c r="DG1077" s="552">
        <f t="shared" si="1815"/>
        <v>0</v>
      </c>
      <c r="DH1077" s="552">
        <f t="shared" si="1815"/>
        <v>0</v>
      </c>
      <c r="DI1077" s="552">
        <f t="shared" si="1815"/>
        <v>0</v>
      </c>
      <c r="DJ1077" s="552">
        <f t="shared" si="1815"/>
        <v>0</v>
      </c>
      <c r="DK1077" s="552">
        <f t="shared" si="1815"/>
        <v>0</v>
      </c>
      <c r="DL1077" s="552">
        <f t="shared" si="1815"/>
        <v>0</v>
      </c>
      <c r="DM1077" s="552">
        <f t="shared" si="1815"/>
        <v>0</v>
      </c>
      <c r="DN1077" s="552">
        <f t="shared" si="1815"/>
        <v>0</v>
      </c>
      <c r="DO1077" s="552">
        <f t="shared" si="1815"/>
        <v>0</v>
      </c>
      <c r="DP1077" s="552">
        <f t="shared" si="1815"/>
        <v>0</v>
      </c>
      <c r="DQ1077" s="552">
        <f t="shared" si="1815"/>
        <v>0</v>
      </c>
      <c r="DR1077" s="552">
        <f t="shared" si="1815"/>
        <v>0</v>
      </c>
      <c r="DS1077" s="552">
        <f t="shared" si="1815"/>
        <v>0</v>
      </c>
      <c r="DT1077" s="552">
        <f t="shared" si="1815"/>
        <v>0</v>
      </c>
      <c r="DU1077" s="552">
        <f t="shared" si="1815"/>
        <v>0</v>
      </c>
      <c r="DV1077" s="552">
        <f t="shared" si="1815"/>
        <v>0</v>
      </c>
      <c r="DW1077" s="552">
        <f t="shared" si="1815"/>
        <v>0</v>
      </c>
      <c r="DX1077" s="552">
        <f t="shared" si="1815"/>
        <v>0</v>
      </c>
      <c r="DY1077" s="552">
        <f t="shared" si="1815"/>
        <v>0</v>
      </c>
      <c r="DZ1077" s="552">
        <f t="shared" si="1815"/>
        <v>0</v>
      </c>
      <c r="EA1077" s="552">
        <f t="shared" si="1815"/>
        <v>0</v>
      </c>
      <c r="EB1077" s="552">
        <f t="shared" si="1815"/>
        <v>0</v>
      </c>
      <c r="EC1077" s="552">
        <f t="shared" si="1815"/>
        <v>0</v>
      </c>
      <c r="ED1077" s="552">
        <f t="shared" si="1815"/>
        <v>0</v>
      </c>
      <c r="EE1077" s="552">
        <f t="shared" si="1815"/>
        <v>0</v>
      </c>
      <c r="EF1077" s="552">
        <f t="shared" si="1815"/>
        <v>0</v>
      </c>
      <c r="EG1077" s="552">
        <f t="shared" si="1815"/>
        <v>0</v>
      </c>
      <c r="EH1077" s="552">
        <f t="shared" ref="EH1077:EX1077" si="1816">EH115*EH$338</f>
        <v>0</v>
      </c>
      <c r="EI1077" s="552">
        <f t="shared" si="1816"/>
        <v>0</v>
      </c>
      <c r="EJ1077" s="552">
        <f t="shared" si="1816"/>
        <v>0</v>
      </c>
      <c r="EK1077" s="552">
        <f t="shared" si="1816"/>
        <v>0</v>
      </c>
      <c r="EL1077" s="552">
        <f t="shared" si="1816"/>
        <v>0</v>
      </c>
      <c r="EM1077" s="552">
        <f t="shared" si="1816"/>
        <v>0</v>
      </c>
      <c r="EN1077" s="552">
        <f t="shared" si="1816"/>
        <v>0</v>
      </c>
      <c r="EO1077" s="552">
        <f t="shared" si="1816"/>
        <v>0</v>
      </c>
      <c r="EP1077" s="552">
        <f t="shared" si="1816"/>
        <v>0</v>
      </c>
      <c r="EQ1077" s="552">
        <f t="shared" si="1816"/>
        <v>0</v>
      </c>
      <c r="ER1077" s="552">
        <f t="shared" si="1816"/>
        <v>0</v>
      </c>
      <c r="ES1077" s="552">
        <f t="shared" si="1816"/>
        <v>0</v>
      </c>
      <c r="ET1077" s="552">
        <f t="shared" si="1816"/>
        <v>0</v>
      </c>
      <c r="EU1077" s="552">
        <f t="shared" si="1816"/>
        <v>0</v>
      </c>
      <c r="EV1077" s="552">
        <f t="shared" si="1816"/>
        <v>0</v>
      </c>
      <c r="EW1077" s="552">
        <f t="shared" si="1816"/>
        <v>0</v>
      </c>
      <c r="EX1077" s="552">
        <f t="shared" si="1816"/>
        <v>0</v>
      </c>
      <c r="EY1077" s="799">
        <f t="shared" si="1775"/>
        <v>0</v>
      </c>
      <c r="EZ1077" s="640"/>
      <c r="FA1077" s="640"/>
      <c r="FB1077" s="640"/>
      <c r="FC1077" s="640"/>
      <c r="FD1077" s="640"/>
      <c r="FE1077" s="640"/>
      <c r="FF1077" s="640"/>
      <c r="FG1077" s="640"/>
      <c r="FH1077" s="640"/>
      <c r="FI1077" s="640"/>
      <c r="FJ1077" s="640"/>
      <c r="FK1077" s="640"/>
      <c r="FL1077" s="640"/>
    </row>
    <row r="1078" spans="1:168" x14ac:dyDescent="0.25">
      <c r="A1078" s="254"/>
      <c r="B1078" s="625" t="s">
        <v>111</v>
      </c>
      <c r="C1078" s="1135"/>
      <c r="D1078" s="1138">
        <f>SUM(D1069:D1077)</f>
        <v>10.66</v>
      </c>
      <c r="E1078" s="1138">
        <f t="shared" ref="E1078:J1078" si="1817">SUM(E1069:E1077)</f>
        <v>32.909999999999997</v>
      </c>
      <c r="F1078" s="1138"/>
      <c r="G1078" s="1138">
        <f t="shared" si="1817"/>
        <v>0</v>
      </c>
      <c r="H1078" s="1138">
        <f t="shared" si="1817"/>
        <v>0</v>
      </c>
      <c r="I1078" s="554"/>
      <c r="J1078" s="1138">
        <f t="shared" si="1817"/>
        <v>0</v>
      </c>
      <c r="K1078" s="1138">
        <f t="shared" ref="K1078" si="1818">SUM(K1069:K1077)</f>
        <v>0</v>
      </c>
      <c r="L1078" s="1138">
        <f t="shared" ref="L1078" si="1819">SUM(L1069:L1077)</f>
        <v>0</v>
      </c>
      <c r="M1078" s="1138">
        <f t="shared" ref="M1078" si="1820">SUM(M1069:M1077)</f>
        <v>0</v>
      </c>
      <c r="N1078" s="1138">
        <f t="shared" ref="N1078" si="1821">SUM(N1069:N1077)</f>
        <v>0</v>
      </c>
      <c r="O1078" s="1138">
        <f t="shared" ref="O1078" si="1822">SUM(O1069:O1077)</f>
        <v>0</v>
      </c>
      <c r="P1078" s="1138">
        <f t="shared" ref="P1078" si="1823">SUM(P1069:P1077)</f>
        <v>0</v>
      </c>
      <c r="Q1078" s="1138">
        <f t="shared" ref="Q1078" si="1824">SUM(Q1069:Q1077)</f>
        <v>0</v>
      </c>
      <c r="R1078" s="1138">
        <f t="shared" ref="R1078" si="1825">SUM(R1069:R1077)</f>
        <v>0</v>
      </c>
      <c r="S1078" s="1138">
        <f t="shared" ref="S1078" si="1826">SUM(S1069:S1077)</f>
        <v>0</v>
      </c>
      <c r="T1078" s="1138">
        <f t="shared" ref="T1078" si="1827">SUM(T1069:T1077)</f>
        <v>0</v>
      </c>
      <c r="U1078" s="1138">
        <f t="shared" ref="U1078" si="1828">SUM(U1069:U1077)</f>
        <v>8</v>
      </c>
      <c r="V1078" s="1138">
        <f t="shared" ref="V1078" si="1829">SUM(V1069:V1077)</f>
        <v>14.2</v>
      </c>
      <c r="W1078" s="1138">
        <f t="shared" ref="W1078" si="1830">SUM(W1069:W1077)</f>
        <v>0</v>
      </c>
      <c r="X1078" s="1138">
        <f t="shared" ref="X1078" si="1831">SUM(X1069:X1077)</f>
        <v>0</v>
      </c>
      <c r="Y1078" s="1138">
        <f t="shared" ref="Y1078" si="1832">SUM(Y1069:Y1077)</f>
        <v>0</v>
      </c>
      <c r="Z1078" s="1138">
        <f t="shared" ref="Z1078" si="1833">SUM(Z1069:Z1077)</f>
        <v>0</v>
      </c>
      <c r="AA1078" s="1138">
        <f t="shared" ref="AA1078" si="1834">SUM(AA1069:AA1077)</f>
        <v>0</v>
      </c>
      <c r="AB1078" s="1138">
        <f t="shared" ref="AB1078" si="1835">SUM(AB1069:AB1077)</f>
        <v>0</v>
      </c>
      <c r="AC1078" s="1138">
        <f t="shared" ref="AC1078" si="1836">SUM(AC1069:AC1077)</f>
        <v>0</v>
      </c>
      <c r="AD1078" s="1138">
        <f t="shared" ref="AD1078" si="1837">SUM(AD1069:AD1077)</f>
        <v>0</v>
      </c>
      <c r="AE1078" s="1138">
        <f t="shared" ref="AE1078" si="1838">SUM(AE1069:AE1077)</f>
        <v>0</v>
      </c>
      <c r="AF1078" s="1138">
        <f t="shared" ref="AF1078" si="1839">SUM(AF1069:AF1077)</f>
        <v>0</v>
      </c>
      <c r="AG1078" s="1138">
        <f t="shared" ref="AG1078" si="1840">SUM(AG1069:AG1077)</f>
        <v>0</v>
      </c>
      <c r="AH1078" s="1138">
        <f t="shared" ref="AH1078" si="1841">SUM(AH1069:AH1077)</f>
        <v>0</v>
      </c>
      <c r="AI1078" s="1138">
        <f t="shared" ref="AI1078" si="1842">SUM(AI1069:AI1077)</f>
        <v>0</v>
      </c>
      <c r="AJ1078" s="1138">
        <f t="shared" ref="AJ1078" si="1843">SUM(AJ1069:AJ1077)</f>
        <v>0</v>
      </c>
      <c r="AK1078" s="1138">
        <f t="shared" ref="AK1078" si="1844">SUM(AK1069:AK1077)</f>
        <v>0</v>
      </c>
      <c r="AL1078" s="1138">
        <f t="shared" ref="AL1078" si="1845">SUM(AL1069:AL1077)</f>
        <v>0</v>
      </c>
      <c r="AM1078" s="1138">
        <f t="shared" ref="AM1078" si="1846">SUM(AM1069:AM1077)</f>
        <v>0</v>
      </c>
      <c r="AN1078" s="1138">
        <f t="shared" ref="AN1078" si="1847">SUM(AN1069:AN1077)</f>
        <v>0</v>
      </c>
      <c r="AO1078" s="1138">
        <f t="shared" ref="AO1078" si="1848">SUM(AO1069:AO1077)</f>
        <v>0</v>
      </c>
      <c r="AP1078" s="1138">
        <f t="shared" ref="AP1078" si="1849">SUM(AP1069:AP1077)</f>
        <v>0</v>
      </c>
      <c r="AQ1078" s="1138">
        <f t="shared" ref="AQ1078" si="1850">SUM(AQ1069:AQ1077)</f>
        <v>0</v>
      </c>
      <c r="AR1078" s="1138">
        <f t="shared" ref="AR1078" si="1851">SUM(AR1069:AR1077)</f>
        <v>0</v>
      </c>
      <c r="AS1078" s="1138">
        <f t="shared" ref="AS1078" si="1852">SUM(AS1069:AS1077)</f>
        <v>0</v>
      </c>
      <c r="AT1078" s="1138">
        <f t="shared" ref="AT1078" si="1853">SUM(AT1069:AT1077)</f>
        <v>0</v>
      </c>
      <c r="AU1078" s="1138">
        <f t="shared" ref="AU1078" si="1854">SUM(AU1069:AU1077)</f>
        <v>0</v>
      </c>
      <c r="AV1078" s="1138">
        <f t="shared" ref="AV1078" si="1855">SUM(AV1069:AV1077)</f>
        <v>0</v>
      </c>
      <c r="AW1078" s="1138">
        <f t="shared" ref="AW1078" si="1856">SUM(AW1069:AW1077)</f>
        <v>0</v>
      </c>
      <c r="AX1078" s="1138">
        <f t="shared" ref="AX1078" si="1857">SUM(AX1069:AX1077)</f>
        <v>0</v>
      </c>
      <c r="AY1078" s="1138">
        <f t="shared" ref="AY1078" si="1858">SUM(AY1069:AY1077)</f>
        <v>0</v>
      </c>
      <c r="AZ1078" s="1138">
        <f t="shared" ref="AZ1078" si="1859">SUM(AZ1069:AZ1077)</f>
        <v>0</v>
      </c>
      <c r="BA1078" s="1138">
        <f t="shared" ref="BA1078" si="1860">SUM(BA1069:BA1077)</f>
        <v>0</v>
      </c>
      <c r="BB1078" s="1138">
        <f t="shared" ref="BB1078" si="1861">SUM(BB1069:BB1077)</f>
        <v>0</v>
      </c>
      <c r="BC1078" s="1138">
        <f t="shared" ref="BC1078" si="1862">SUM(BC1069:BC1077)</f>
        <v>0</v>
      </c>
      <c r="BD1078" s="1138">
        <f t="shared" ref="BD1078" si="1863">SUM(BD1069:BD1077)</f>
        <v>0</v>
      </c>
      <c r="BE1078" s="1138">
        <f t="shared" ref="BE1078" si="1864">SUM(BE1069:BE1077)</f>
        <v>0</v>
      </c>
      <c r="BF1078" s="1138">
        <f t="shared" ref="BF1078" si="1865">SUM(BF1069:BF1077)</f>
        <v>0</v>
      </c>
      <c r="BG1078" s="1138">
        <f t="shared" ref="BG1078" si="1866">SUM(BG1069:BG1077)</f>
        <v>0</v>
      </c>
      <c r="BH1078" s="1138">
        <f t="shared" ref="BH1078" si="1867">SUM(BH1069:BH1077)</f>
        <v>0</v>
      </c>
      <c r="BI1078" s="1138">
        <f t="shared" ref="BI1078" si="1868">SUM(BI1069:BI1077)</f>
        <v>0</v>
      </c>
      <c r="BJ1078" s="1138">
        <f t="shared" ref="BJ1078" si="1869">SUM(BJ1069:BJ1077)</f>
        <v>0</v>
      </c>
      <c r="BK1078" s="1138">
        <f t="shared" ref="BK1078" si="1870">SUM(BK1069:BK1077)</f>
        <v>0</v>
      </c>
      <c r="BL1078" s="1138">
        <f t="shared" ref="BL1078" si="1871">SUM(BL1069:BL1077)</f>
        <v>0</v>
      </c>
      <c r="BM1078" s="1138">
        <f t="shared" ref="BM1078" si="1872">SUM(BM1069:BM1077)</f>
        <v>0</v>
      </c>
      <c r="BN1078" s="1138">
        <f t="shared" ref="BN1078" si="1873">SUM(BN1069:BN1077)</f>
        <v>0</v>
      </c>
      <c r="BO1078" s="1138">
        <f t="shared" ref="BO1078" si="1874">SUM(BO1069:BO1077)</f>
        <v>0</v>
      </c>
      <c r="BP1078" s="1138">
        <f t="shared" ref="BP1078" si="1875">SUM(BP1069:BP1077)</f>
        <v>0</v>
      </c>
      <c r="BQ1078" s="1138">
        <f t="shared" ref="BQ1078" si="1876">SUM(BQ1069:BQ1077)</f>
        <v>0</v>
      </c>
      <c r="BR1078" s="1138">
        <f t="shared" ref="BR1078" si="1877">SUM(BR1069:BR1077)</f>
        <v>0</v>
      </c>
      <c r="BS1078" s="1138">
        <f t="shared" ref="BS1078" si="1878">SUM(BS1069:BS1077)</f>
        <v>0</v>
      </c>
      <c r="BT1078" s="1138">
        <f t="shared" ref="BT1078" si="1879">SUM(BT1069:BT1077)</f>
        <v>0</v>
      </c>
      <c r="BU1078" s="1138">
        <f t="shared" ref="BU1078" si="1880">SUM(BU1069:BU1077)</f>
        <v>0</v>
      </c>
      <c r="BV1078" s="1138">
        <f t="shared" ref="BV1078" si="1881">SUM(BV1069:BV1077)</f>
        <v>0</v>
      </c>
      <c r="BW1078" s="1138">
        <f t="shared" ref="BW1078" si="1882">SUM(BW1069:BW1077)</f>
        <v>0</v>
      </c>
      <c r="BX1078" s="1138">
        <f t="shared" ref="BX1078" si="1883">SUM(BX1069:BX1077)</f>
        <v>0</v>
      </c>
      <c r="BY1078" s="1138">
        <f t="shared" ref="BY1078" si="1884">SUM(BY1069:BY1077)</f>
        <v>0</v>
      </c>
      <c r="BZ1078" s="1138">
        <f t="shared" ref="BZ1078" si="1885">SUM(BZ1069:BZ1077)</f>
        <v>0</v>
      </c>
      <c r="CA1078" s="1138">
        <f t="shared" ref="CA1078" si="1886">SUM(CA1069:CA1077)</f>
        <v>2.4</v>
      </c>
      <c r="CB1078" s="1138">
        <f t="shared" ref="CB1078" si="1887">SUM(CB1069:CB1077)</f>
        <v>0</v>
      </c>
      <c r="CC1078" s="1138">
        <f t="shared" ref="CC1078" si="1888">SUM(CC1069:CC1077)</f>
        <v>0</v>
      </c>
      <c r="CD1078" s="1138">
        <f t="shared" ref="CD1078" si="1889">SUM(CD1069:CD1077)</f>
        <v>0</v>
      </c>
      <c r="CE1078" s="1138">
        <f t="shared" ref="CE1078" si="1890">SUM(CE1069:CE1077)</f>
        <v>0</v>
      </c>
      <c r="CF1078" s="1138">
        <f t="shared" ref="CF1078" si="1891">SUM(CF1069:CF1077)</f>
        <v>0</v>
      </c>
      <c r="CG1078" s="1138">
        <f t="shared" ref="CG1078" si="1892">SUM(CG1069:CG1077)</f>
        <v>0</v>
      </c>
      <c r="CH1078" s="1138">
        <f t="shared" ref="CH1078" si="1893">SUM(CH1069:CH1077)</f>
        <v>0</v>
      </c>
      <c r="CI1078" s="1138">
        <f t="shared" ref="CI1078" si="1894">SUM(CI1069:CI1077)</f>
        <v>0</v>
      </c>
      <c r="CJ1078" s="1138">
        <f t="shared" ref="CJ1078" si="1895">SUM(CJ1069:CJ1077)</f>
        <v>0</v>
      </c>
      <c r="CK1078" s="1138">
        <f t="shared" ref="CK1078" si="1896">SUM(CK1069:CK1077)</f>
        <v>0</v>
      </c>
      <c r="CL1078" s="1138">
        <f t="shared" ref="CL1078" si="1897">SUM(CL1069:CL1077)</f>
        <v>0</v>
      </c>
      <c r="CM1078" s="1138">
        <f t="shared" ref="CM1078" si="1898">SUM(CM1069:CM1077)</f>
        <v>0</v>
      </c>
      <c r="CN1078" s="1138">
        <f t="shared" ref="CN1078" si="1899">SUM(CN1069:CN1077)</f>
        <v>0</v>
      </c>
      <c r="CO1078" s="1138">
        <f t="shared" ref="CO1078" si="1900">SUM(CO1069:CO1077)</f>
        <v>0</v>
      </c>
      <c r="CP1078" s="1138">
        <f t="shared" ref="CP1078" si="1901">SUM(CP1069:CP1077)</f>
        <v>0</v>
      </c>
      <c r="CQ1078" s="1138">
        <f t="shared" ref="CQ1078" si="1902">SUM(CQ1069:CQ1077)</f>
        <v>0</v>
      </c>
      <c r="CR1078" s="1138">
        <f t="shared" ref="CR1078" si="1903">SUM(CR1069:CR1077)</f>
        <v>0</v>
      </c>
      <c r="CS1078" s="1138">
        <f t="shared" ref="CS1078" si="1904">SUM(CS1069:CS1077)</f>
        <v>0</v>
      </c>
      <c r="CT1078" s="1138">
        <f t="shared" ref="CT1078" si="1905">SUM(CT1069:CT1077)</f>
        <v>0</v>
      </c>
      <c r="CU1078" s="1138">
        <f t="shared" ref="CU1078" si="1906">SUM(CU1069:CU1077)</f>
        <v>0</v>
      </c>
      <c r="CV1078" s="1138">
        <f t="shared" ref="CV1078" si="1907">SUM(CV1069:CV1077)</f>
        <v>0</v>
      </c>
      <c r="CW1078" s="1138">
        <f t="shared" ref="CW1078" si="1908">SUM(CW1069:CW1077)</f>
        <v>0</v>
      </c>
      <c r="CX1078" s="1138">
        <f t="shared" ref="CX1078" si="1909">SUM(CX1069:CX1077)</f>
        <v>0</v>
      </c>
      <c r="CY1078" s="1138">
        <f t="shared" ref="CY1078" si="1910">SUM(CY1069:CY1077)</f>
        <v>0</v>
      </c>
      <c r="CZ1078" s="1138">
        <f t="shared" ref="CZ1078" si="1911">SUM(CZ1069:CZ1077)</f>
        <v>2.36</v>
      </c>
      <c r="DA1078" s="1138">
        <f t="shared" ref="DA1078" si="1912">SUM(DA1069:DA1077)</f>
        <v>0</v>
      </c>
      <c r="DB1078" s="1138">
        <f t="shared" ref="DB1078" si="1913">SUM(DB1069:DB1077)</f>
        <v>0</v>
      </c>
      <c r="DC1078" s="1138">
        <f t="shared" ref="DC1078" si="1914">SUM(DC1069:DC1077)</f>
        <v>0</v>
      </c>
      <c r="DD1078" s="1138">
        <f t="shared" ref="DD1078" si="1915">SUM(DD1069:DD1077)</f>
        <v>0</v>
      </c>
      <c r="DE1078" s="1138">
        <f t="shared" ref="DE1078" si="1916">SUM(DE1069:DE1077)</f>
        <v>0</v>
      </c>
      <c r="DF1078" s="1138">
        <f t="shared" ref="DF1078" si="1917">SUM(DF1069:DF1077)</f>
        <v>0</v>
      </c>
      <c r="DG1078" s="1138">
        <f t="shared" ref="DG1078" si="1918">SUM(DG1069:DG1077)</f>
        <v>0</v>
      </c>
      <c r="DH1078" s="1138">
        <f t="shared" ref="DH1078" si="1919">SUM(DH1069:DH1077)</f>
        <v>0</v>
      </c>
      <c r="DI1078" s="1138">
        <f t="shared" ref="DI1078" si="1920">SUM(DI1069:DI1077)</f>
        <v>0</v>
      </c>
      <c r="DJ1078" s="1138">
        <f t="shared" ref="DJ1078" si="1921">SUM(DJ1069:DJ1077)</f>
        <v>0</v>
      </c>
      <c r="DK1078" s="1138">
        <f t="shared" ref="DK1078" si="1922">SUM(DK1069:DK1077)</f>
        <v>0</v>
      </c>
      <c r="DL1078" s="1138">
        <f t="shared" ref="DL1078" si="1923">SUM(DL1069:DL1077)</f>
        <v>0</v>
      </c>
      <c r="DM1078" s="1138">
        <f t="shared" ref="DM1078" si="1924">SUM(DM1069:DM1077)</f>
        <v>0</v>
      </c>
      <c r="DN1078" s="1138">
        <f t="shared" ref="DN1078" si="1925">SUM(DN1069:DN1077)</f>
        <v>0</v>
      </c>
      <c r="DO1078" s="1138">
        <f t="shared" ref="DO1078" si="1926">SUM(DO1069:DO1077)</f>
        <v>0</v>
      </c>
      <c r="DP1078" s="1138">
        <f t="shared" ref="DP1078" si="1927">SUM(DP1069:DP1077)</f>
        <v>0</v>
      </c>
      <c r="DQ1078" s="1138">
        <f t="shared" ref="DQ1078" si="1928">SUM(DQ1069:DQ1077)</f>
        <v>0</v>
      </c>
      <c r="DR1078" s="1138">
        <f t="shared" ref="DR1078" si="1929">SUM(DR1069:DR1077)</f>
        <v>0.45</v>
      </c>
      <c r="DS1078" s="1138">
        <f t="shared" ref="DS1078" si="1930">SUM(DS1069:DS1077)</f>
        <v>0</v>
      </c>
      <c r="DT1078" s="1138">
        <f t="shared" ref="DT1078" si="1931">SUM(DT1069:DT1077)</f>
        <v>0</v>
      </c>
      <c r="DU1078" s="1138">
        <f t="shared" ref="DU1078" si="1932">SUM(DU1069:DU1077)</f>
        <v>0</v>
      </c>
      <c r="DV1078" s="1138">
        <f t="shared" ref="DV1078" si="1933">SUM(DV1069:DV1077)</f>
        <v>0</v>
      </c>
      <c r="DW1078" s="1138">
        <f t="shared" ref="DW1078" si="1934">SUM(DW1069:DW1077)</f>
        <v>0</v>
      </c>
      <c r="DX1078" s="1138">
        <f t="shared" ref="DX1078" si="1935">SUM(DX1069:DX1077)</f>
        <v>0</v>
      </c>
      <c r="DY1078" s="1138">
        <f t="shared" ref="DY1078" si="1936">SUM(DY1069:DY1077)</f>
        <v>0</v>
      </c>
      <c r="DZ1078" s="1138">
        <f t="shared" ref="DZ1078" si="1937">SUM(DZ1069:DZ1077)</f>
        <v>0</v>
      </c>
      <c r="EA1078" s="1138">
        <f t="shared" ref="EA1078" si="1938">SUM(EA1069:EA1077)</f>
        <v>0</v>
      </c>
      <c r="EB1078" s="1138">
        <f t="shared" ref="EB1078" si="1939">SUM(EB1069:EB1077)</f>
        <v>2.9</v>
      </c>
      <c r="EC1078" s="1138">
        <f t="shared" ref="EC1078" si="1940">SUM(EC1069:EC1077)</f>
        <v>0</v>
      </c>
      <c r="ED1078" s="1138">
        <f t="shared" ref="ED1078" si="1941">SUM(ED1069:ED1077)</f>
        <v>0</v>
      </c>
      <c r="EE1078" s="1138">
        <f t="shared" ref="EE1078" si="1942">SUM(EE1069:EE1077)</f>
        <v>0</v>
      </c>
      <c r="EF1078" s="1138">
        <f t="shared" ref="EF1078" si="1943">SUM(EF1069:EF1077)</f>
        <v>0</v>
      </c>
      <c r="EG1078" s="1138">
        <f t="shared" ref="EG1078" si="1944">SUM(EG1069:EG1077)</f>
        <v>0</v>
      </c>
      <c r="EH1078" s="1138">
        <f t="shared" ref="EH1078" si="1945">SUM(EH1069:EH1077)</f>
        <v>0</v>
      </c>
      <c r="EI1078" s="1138">
        <f t="shared" ref="EI1078" si="1946">SUM(EI1069:EI1077)</f>
        <v>0</v>
      </c>
      <c r="EJ1078" s="1138">
        <f t="shared" ref="EJ1078" si="1947">SUM(EJ1069:EJ1077)</f>
        <v>0</v>
      </c>
      <c r="EK1078" s="1138">
        <f t="shared" ref="EK1078" si="1948">SUM(EK1069:EK1077)</f>
        <v>0</v>
      </c>
      <c r="EL1078" s="1138">
        <f t="shared" ref="EL1078" si="1949">SUM(EL1069:EL1077)</f>
        <v>0</v>
      </c>
      <c r="EM1078" s="1138">
        <f t="shared" ref="EM1078" si="1950">SUM(EM1069:EM1077)</f>
        <v>0</v>
      </c>
      <c r="EN1078" s="1138">
        <f t="shared" ref="EN1078" si="1951">SUM(EN1069:EN1077)</f>
        <v>0</v>
      </c>
      <c r="EO1078" s="1138">
        <f t="shared" ref="EO1078" si="1952">SUM(EO1069:EO1077)</f>
        <v>0</v>
      </c>
      <c r="EP1078" s="1138">
        <f t="shared" ref="EP1078" si="1953">SUM(EP1069:EP1077)</f>
        <v>0</v>
      </c>
      <c r="EQ1078" s="1138">
        <f t="shared" ref="EQ1078" si="1954">SUM(EQ1069:EQ1077)</f>
        <v>0</v>
      </c>
      <c r="ER1078" s="1138">
        <f t="shared" ref="ER1078" si="1955">SUM(ER1069:ER1077)</f>
        <v>0</v>
      </c>
      <c r="ES1078" s="1138">
        <f t="shared" ref="ES1078" si="1956">SUM(ES1069:ES1077)</f>
        <v>0</v>
      </c>
      <c r="ET1078" s="1138">
        <f t="shared" ref="ET1078" si="1957">SUM(ET1069:ET1077)</f>
        <v>0</v>
      </c>
      <c r="EU1078" s="1138">
        <f t="shared" ref="EU1078" si="1958">SUM(EU1069:EU1077)</f>
        <v>0</v>
      </c>
      <c r="EV1078" s="1138">
        <f t="shared" ref="EV1078" si="1959">SUM(EV1069:EV1077)</f>
        <v>0</v>
      </c>
      <c r="EW1078" s="1138">
        <f t="shared" ref="EW1078" si="1960">SUM(EW1069:EW1077)</f>
        <v>2.6</v>
      </c>
      <c r="EX1078" s="1138">
        <f t="shared" ref="EX1078:FL1078" si="1961">SUM(EX1069:EX1077)</f>
        <v>0</v>
      </c>
      <c r="EY1078" s="1138">
        <f t="shared" si="1961"/>
        <v>32.909999999999997</v>
      </c>
      <c r="EZ1078" s="1138">
        <f t="shared" si="1961"/>
        <v>0</v>
      </c>
      <c r="FA1078" s="1138">
        <f t="shared" si="1961"/>
        <v>0</v>
      </c>
      <c r="FB1078" s="1138">
        <f t="shared" si="1961"/>
        <v>0</v>
      </c>
      <c r="FC1078" s="1138">
        <f t="shared" si="1961"/>
        <v>0</v>
      </c>
      <c r="FD1078" s="1138">
        <f t="shared" si="1961"/>
        <v>0</v>
      </c>
      <c r="FE1078" s="1138">
        <f t="shared" si="1961"/>
        <v>0</v>
      </c>
      <c r="FF1078" s="1138">
        <f t="shared" si="1961"/>
        <v>0</v>
      </c>
      <c r="FG1078" s="1138">
        <f t="shared" si="1961"/>
        <v>0</v>
      </c>
      <c r="FH1078" s="1138">
        <f t="shared" si="1961"/>
        <v>0</v>
      </c>
      <c r="FI1078" s="1138">
        <f t="shared" si="1961"/>
        <v>0</v>
      </c>
      <c r="FJ1078" s="1138">
        <f t="shared" si="1961"/>
        <v>0</v>
      </c>
      <c r="FK1078" s="1138">
        <f t="shared" si="1961"/>
        <v>0</v>
      </c>
      <c r="FL1078" s="1138">
        <f t="shared" si="1961"/>
        <v>0</v>
      </c>
    </row>
    <row r="1079" spans="1:168" x14ac:dyDescent="0.25">
      <c r="A1079" s="1491" t="s">
        <v>112</v>
      </c>
      <c r="B1079" s="624" t="str">
        <f t="shared" ref="B1079:D1087" si="1962">B117</f>
        <v>Салат из белокачанной капусты с морковью</v>
      </c>
      <c r="C1079" s="624">
        <f t="shared" si="1962"/>
        <v>60</v>
      </c>
      <c r="D1079" s="624">
        <f t="shared" si="1962"/>
        <v>0.79</v>
      </c>
      <c r="E1079" s="1158">
        <f t="shared" ref="E1079" si="1963">EY1079</f>
        <v>5.05</v>
      </c>
      <c r="F1079" s="1158"/>
      <c r="G1079" s="1140"/>
      <c r="H1079" s="1140"/>
      <c r="I1079" s="552"/>
      <c r="J1079" s="552">
        <f t="shared" ref="J1079:AO1079" si="1964">J117*J$338</f>
        <v>0</v>
      </c>
      <c r="K1079" s="552">
        <f t="shared" si="1964"/>
        <v>0</v>
      </c>
      <c r="L1079" s="552">
        <f t="shared" si="1964"/>
        <v>0</v>
      </c>
      <c r="M1079" s="552">
        <f t="shared" si="1964"/>
        <v>0</v>
      </c>
      <c r="N1079" s="552">
        <f t="shared" si="1964"/>
        <v>0</v>
      </c>
      <c r="O1079" s="552">
        <f t="shared" si="1964"/>
        <v>0</v>
      </c>
      <c r="P1079" s="552">
        <f t="shared" si="1964"/>
        <v>0</v>
      </c>
      <c r="Q1079" s="552">
        <f t="shared" si="1964"/>
        <v>0</v>
      </c>
      <c r="R1079" s="552">
        <f t="shared" si="1964"/>
        <v>0</v>
      </c>
      <c r="S1079" s="552">
        <f t="shared" si="1964"/>
        <v>0</v>
      </c>
      <c r="T1079" s="552">
        <f t="shared" si="1964"/>
        <v>0</v>
      </c>
      <c r="U1079" s="552">
        <f t="shared" si="1964"/>
        <v>0</v>
      </c>
      <c r="V1079" s="552">
        <f t="shared" si="1964"/>
        <v>0</v>
      </c>
      <c r="W1079" s="552">
        <f t="shared" si="1964"/>
        <v>0</v>
      </c>
      <c r="X1079" s="552">
        <f t="shared" si="1964"/>
        <v>0</v>
      </c>
      <c r="Y1079" s="552">
        <f t="shared" si="1964"/>
        <v>0</v>
      </c>
      <c r="Z1079" s="552">
        <f t="shared" si="1964"/>
        <v>0</v>
      </c>
      <c r="AA1079" s="552">
        <f t="shared" si="1964"/>
        <v>0</v>
      </c>
      <c r="AB1079" s="552">
        <f t="shared" si="1964"/>
        <v>0</v>
      </c>
      <c r="AC1079" s="552">
        <f t="shared" si="1964"/>
        <v>0</v>
      </c>
      <c r="AD1079" s="552">
        <f t="shared" si="1964"/>
        <v>0</v>
      </c>
      <c r="AE1079" s="552">
        <f t="shared" si="1964"/>
        <v>0</v>
      </c>
      <c r="AF1079" s="552">
        <f t="shared" si="1964"/>
        <v>3.14</v>
      </c>
      <c r="AG1079" s="552">
        <f t="shared" si="1964"/>
        <v>0</v>
      </c>
      <c r="AH1079" s="552">
        <f t="shared" si="1964"/>
        <v>0</v>
      </c>
      <c r="AI1079" s="552">
        <f t="shared" si="1964"/>
        <v>0</v>
      </c>
      <c r="AJ1079" s="552">
        <f t="shared" si="1964"/>
        <v>0</v>
      </c>
      <c r="AK1079" s="552">
        <f t="shared" si="1964"/>
        <v>0</v>
      </c>
      <c r="AL1079" s="552">
        <f t="shared" si="1964"/>
        <v>0</v>
      </c>
      <c r="AM1079" s="552">
        <f t="shared" si="1964"/>
        <v>0</v>
      </c>
      <c r="AN1079" s="552">
        <f t="shared" si="1964"/>
        <v>0</v>
      </c>
      <c r="AO1079" s="552">
        <f t="shared" si="1964"/>
        <v>0</v>
      </c>
      <c r="AP1079" s="552">
        <f t="shared" ref="AP1079:BU1079" si="1965">AP117*AP$338</f>
        <v>0</v>
      </c>
      <c r="AQ1079" s="552">
        <f t="shared" si="1965"/>
        <v>1.25</v>
      </c>
      <c r="AR1079" s="552">
        <f t="shared" si="1965"/>
        <v>0</v>
      </c>
      <c r="AS1079" s="552">
        <f t="shared" si="1965"/>
        <v>0</v>
      </c>
      <c r="AT1079" s="552">
        <f t="shared" si="1965"/>
        <v>0</v>
      </c>
      <c r="AU1079" s="552">
        <f t="shared" si="1965"/>
        <v>0</v>
      </c>
      <c r="AV1079" s="552">
        <f t="shared" si="1965"/>
        <v>0</v>
      </c>
      <c r="AW1079" s="552">
        <f t="shared" si="1965"/>
        <v>0</v>
      </c>
      <c r="AX1079" s="552">
        <f t="shared" si="1965"/>
        <v>0</v>
      </c>
      <c r="AY1079" s="552">
        <f t="shared" si="1965"/>
        <v>0</v>
      </c>
      <c r="AZ1079" s="552">
        <f t="shared" si="1965"/>
        <v>0</v>
      </c>
      <c r="BA1079" s="552">
        <f t="shared" si="1965"/>
        <v>0</v>
      </c>
      <c r="BB1079" s="552">
        <f t="shared" si="1965"/>
        <v>0</v>
      </c>
      <c r="BC1079" s="552">
        <f t="shared" si="1965"/>
        <v>0</v>
      </c>
      <c r="BD1079" s="552">
        <f t="shared" si="1965"/>
        <v>0</v>
      </c>
      <c r="BE1079" s="552">
        <f t="shared" si="1965"/>
        <v>0</v>
      </c>
      <c r="BF1079" s="552">
        <f t="shared" si="1965"/>
        <v>0</v>
      </c>
      <c r="BG1079" s="552">
        <f t="shared" si="1965"/>
        <v>0</v>
      </c>
      <c r="BH1079" s="552">
        <f t="shared" si="1965"/>
        <v>0</v>
      </c>
      <c r="BI1079" s="552">
        <f t="shared" si="1965"/>
        <v>0</v>
      </c>
      <c r="BJ1079" s="552">
        <f t="shared" si="1965"/>
        <v>0</v>
      </c>
      <c r="BK1079" s="552">
        <f t="shared" si="1965"/>
        <v>0</v>
      </c>
      <c r="BL1079" s="552">
        <f t="shared" si="1965"/>
        <v>0</v>
      </c>
      <c r="BM1079" s="552">
        <f t="shared" si="1965"/>
        <v>0</v>
      </c>
      <c r="BN1079" s="552">
        <f t="shared" si="1965"/>
        <v>0</v>
      </c>
      <c r="BO1079" s="552">
        <f t="shared" si="1965"/>
        <v>0</v>
      </c>
      <c r="BP1079" s="552">
        <f t="shared" si="1965"/>
        <v>0</v>
      </c>
      <c r="BQ1079" s="552">
        <f t="shared" si="1965"/>
        <v>0</v>
      </c>
      <c r="BR1079" s="552">
        <f t="shared" si="1965"/>
        <v>0</v>
      </c>
      <c r="BS1079" s="552">
        <f t="shared" si="1965"/>
        <v>0</v>
      </c>
      <c r="BT1079" s="552">
        <f t="shared" si="1965"/>
        <v>0</v>
      </c>
      <c r="BU1079" s="552">
        <f t="shared" si="1965"/>
        <v>0</v>
      </c>
      <c r="BV1079" s="552">
        <f t="shared" ref="BV1079:DA1079" si="1966">BV117*BV$338</f>
        <v>0</v>
      </c>
      <c r="BW1079" s="552">
        <f t="shared" si="1966"/>
        <v>0</v>
      </c>
      <c r="BX1079" s="552">
        <f t="shared" si="1966"/>
        <v>0</v>
      </c>
      <c r="BY1079" s="552">
        <f t="shared" si="1966"/>
        <v>0</v>
      </c>
      <c r="BZ1079" s="552">
        <f t="shared" si="1966"/>
        <v>0</v>
      </c>
      <c r="CA1079" s="552">
        <f t="shared" si="1966"/>
        <v>0</v>
      </c>
      <c r="CB1079" s="552">
        <f t="shared" si="1966"/>
        <v>0</v>
      </c>
      <c r="CC1079" s="552">
        <f t="shared" si="1966"/>
        <v>0</v>
      </c>
      <c r="CD1079" s="552">
        <f t="shared" si="1966"/>
        <v>0</v>
      </c>
      <c r="CE1079" s="552">
        <f t="shared" si="1966"/>
        <v>0</v>
      </c>
      <c r="CF1079" s="552">
        <f t="shared" si="1966"/>
        <v>0.36</v>
      </c>
      <c r="CG1079" s="552">
        <f t="shared" si="1966"/>
        <v>0</v>
      </c>
      <c r="CH1079" s="552">
        <f t="shared" si="1966"/>
        <v>0</v>
      </c>
      <c r="CI1079" s="552">
        <f t="shared" si="1966"/>
        <v>0</v>
      </c>
      <c r="CJ1079" s="552">
        <f t="shared" si="1966"/>
        <v>0</v>
      </c>
      <c r="CK1079" s="552">
        <f t="shared" si="1966"/>
        <v>0</v>
      </c>
      <c r="CL1079" s="552">
        <f t="shared" si="1966"/>
        <v>0</v>
      </c>
      <c r="CM1079" s="552">
        <f t="shared" si="1966"/>
        <v>0</v>
      </c>
      <c r="CN1079" s="552">
        <f t="shared" si="1966"/>
        <v>0</v>
      </c>
      <c r="CO1079" s="552">
        <f t="shared" si="1966"/>
        <v>0</v>
      </c>
      <c r="CP1079" s="552">
        <f t="shared" si="1966"/>
        <v>0</v>
      </c>
      <c r="CQ1079" s="552">
        <f t="shared" si="1966"/>
        <v>0.05</v>
      </c>
      <c r="CR1079" s="552">
        <f t="shared" si="1966"/>
        <v>0</v>
      </c>
      <c r="CS1079" s="552">
        <f t="shared" si="1966"/>
        <v>0</v>
      </c>
      <c r="CT1079" s="552">
        <f t="shared" si="1966"/>
        <v>0</v>
      </c>
      <c r="CU1079" s="552">
        <f t="shared" si="1966"/>
        <v>0</v>
      </c>
      <c r="CV1079" s="552">
        <f t="shared" si="1966"/>
        <v>0</v>
      </c>
      <c r="CW1079" s="552">
        <f t="shared" si="1966"/>
        <v>0</v>
      </c>
      <c r="CX1079" s="552">
        <f t="shared" si="1966"/>
        <v>0</v>
      </c>
      <c r="CY1079" s="552">
        <f t="shared" si="1966"/>
        <v>0</v>
      </c>
      <c r="CZ1079" s="552">
        <f t="shared" si="1966"/>
        <v>0.23</v>
      </c>
      <c r="DA1079" s="552">
        <f t="shared" si="1966"/>
        <v>0</v>
      </c>
      <c r="DB1079" s="552">
        <f t="shared" ref="DB1079:EG1079" si="1967">DB117*DB$338</f>
        <v>0</v>
      </c>
      <c r="DC1079" s="552">
        <f t="shared" si="1967"/>
        <v>0.02</v>
      </c>
      <c r="DD1079" s="552">
        <f t="shared" si="1967"/>
        <v>0</v>
      </c>
      <c r="DE1079" s="552">
        <f t="shared" si="1967"/>
        <v>0</v>
      </c>
      <c r="DF1079" s="552">
        <f t="shared" si="1967"/>
        <v>0</v>
      </c>
      <c r="DG1079" s="552">
        <f t="shared" si="1967"/>
        <v>0</v>
      </c>
      <c r="DH1079" s="552">
        <f t="shared" si="1967"/>
        <v>0</v>
      </c>
      <c r="DI1079" s="552">
        <f t="shared" si="1967"/>
        <v>0</v>
      </c>
      <c r="DJ1079" s="552">
        <f t="shared" si="1967"/>
        <v>0</v>
      </c>
      <c r="DK1079" s="552">
        <f t="shared" si="1967"/>
        <v>0</v>
      </c>
      <c r="DL1079" s="552">
        <f t="shared" si="1967"/>
        <v>0</v>
      </c>
      <c r="DM1079" s="552">
        <f t="shared" si="1967"/>
        <v>0</v>
      </c>
      <c r="DN1079" s="552">
        <f t="shared" si="1967"/>
        <v>0</v>
      </c>
      <c r="DO1079" s="552">
        <f t="shared" si="1967"/>
        <v>0</v>
      </c>
      <c r="DP1079" s="552">
        <f t="shared" si="1967"/>
        <v>0</v>
      </c>
      <c r="DQ1079" s="552">
        <f t="shared" si="1967"/>
        <v>0</v>
      </c>
      <c r="DR1079" s="552">
        <f t="shared" si="1967"/>
        <v>0</v>
      </c>
      <c r="DS1079" s="552">
        <f t="shared" si="1967"/>
        <v>0</v>
      </c>
      <c r="DT1079" s="552">
        <f t="shared" si="1967"/>
        <v>0</v>
      </c>
      <c r="DU1079" s="552">
        <f t="shared" si="1967"/>
        <v>0</v>
      </c>
      <c r="DV1079" s="552">
        <f t="shared" si="1967"/>
        <v>0</v>
      </c>
      <c r="DW1079" s="552">
        <f t="shared" si="1967"/>
        <v>0</v>
      </c>
      <c r="DX1079" s="552">
        <f t="shared" si="1967"/>
        <v>0</v>
      </c>
      <c r="DY1079" s="552">
        <f t="shared" si="1967"/>
        <v>0</v>
      </c>
      <c r="DZ1079" s="552">
        <f t="shared" si="1967"/>
        <v>0</v>
      </c>
      <c r="EA1079" s="552">
        <f t="shared" si="1967"/>
        <v>0</v>
      </c>
      <c r="EB1079" s="552">
        <f t="shared" si="1967"/>
        <v>0</v>
      </c>
      <c r="EC1079" s="552">
        <f t="shared" si="1967"/>
        <v>0</v>
      </c>
      <c r="ED1079" s="552">
        <f t="shared" si="1967"/>
        <v>0</v>
      </c>
      <c r="EE1079" s="552">
        <f t="shared" si="1967"/>
        <v>0</v>
      </c>
      <c r="EF1079" s="552">
        <f t="shared" si="1967"/>
        <v>0</v>
      </c>
      <c r="EG1079" s="552">
        <f t="shared" si="1967"/>
        <v>0</v>
      </c>
      <c r="EH1079" s="552">
        <f t="shared" ref="EH1079:EX1079" si="1968">EH117*EH$338</f>
        <v>0</v>
      </c>
      <c r="EI1079" s="552">
        <f t="shared" si="1968"/>
        <v>0</v>
      </c>
      <c r="EJ1079" s="552">
        <f t="shared" si="1968"/>
        <v>0</v>
      </c>
      <c r="EK1079" s="552">
        <f t="shared" si="1968"/>
        <v>0</v>
      </c>
      <c r="EL1079" s="552">
        <f t="shared" si="1968"/>
        <v>0</v>
      </c>
      <c r="EM1079" s="552">
        <f t="shared" si="1968"/>
        <v>0</v>
      </c>
      <c r="EN1079" s="552">
        <f t="shared" si="1968"/>
        <v>0</v>
      </c>
      <c r="EO1079" s="552">
        <f t="shared" si="1968"/>
        <v>0</v>
      </c>
      <c r="EP1079" s="552">
        <f t="shared" si="1968"/>
        <v>0</v>
      </c>
      <c r="EQ1079" s="552">
        <f t="shared" si="1968"/>
        <v>0</v>
      </c>
      <c r="ER1079" s="552">
        <f t="shared" si="1968"/>
        <v>0</v>
      </c>
      <c r="ES1079" s="552">
        <f t="shared" si="1968"/>
        <v>0</v>
      </c>
      <c r="ET1079" s="552">
        <f t="shared" si="1968"/>
        <v>0</v>
      </c>
      <c r="EU1079" s="552">
        <f t="shared" si="1968"/>
        <v>0</v>
      </c>
      <c r="EV1079" s="552">
        <f t="shared" si="1968"/>
        <v>0</v>
      </c>
      <c r="EW1079" s="552">
        <f t="shared" si="1968"/>
        <v>0</v>
      </c>
      <c r="EX1079" s="552">
        <f t="shared" si="1968"/>
        <v>0</v>
      </c>
      <c r="EY1079" s="799">
        <f t="shared" si="1775"/>
        <v>5.05</v>
      </c>
      <c r="EZ1079" s="640"/>
      <c r="FA1079" s="640"/>
      <c r="FB1079" s="640"/>
      <c r="FC1079" s="640"/>
      <c r="FD1079" s="640"/>
      <c r="FE1079" s="640"/>
      <c r="FF1079" s="640"/>
      <c r="FG1079" s="640"/>
      <c r="FH1079" s="640"/>
      <c r="FI1079" s="640"/>
      <c r="FJ1079" s="640"/>
      <c r="FK1079" s="640"/>
      <c r="FL1079" s="640"/>
    </row>
    <row r="1080" spans="1:168" x14ac:dyDescent="0.25">
      <c r="A1080" s="1492"/>
      <c r="B1080" s="624" t="str">
        <f t="shared" si="1962"/>
        <v>Рассольник ленинградский</v>
      </c>
      <c r="C1080" s="624">
        <f t="shared" si="1962"/>
        <v>250</v>
      </c>
      <c r="D1080" s="624">
        <f t="shared" si="1962"/>
        <v>2.02</v>
      </c>
      <c r="E1080" s="1158">
        <f t="shared" ref="E1080:E1087" si="1969">EY1080</f>
        <v>10.199999999999999</v>
      </c>
      <c r="F1080" s="1158"/>
      <c r="G1080" s="1140"/>
      <c r="H1080" s="1140"/>
      <c r="I1080" s="552"/>
      <c r="J1080" s="552">
        <f t="shared" ref="J1080:AO1080" si="1970">J118*J$338</f>
        <v>0</v>
      </c>
      <c r="K1080" s="552">
        <f t="shared" si="1970"/>
        <v>0</v>
      </c>
      <c r="L1080" s="552">
        <f t="shared" si="1970"/>
        <v>0</v>
      </c>
      <c r="M1080" s="552">
        <f t="shared" si="1970"/>
        <v>0</v>
      </c>
      <c r="N1080" s="552">
        <f t="shared" si="1970"/>
        <v>0</v>
      </c>
      <c r="O1080" s="552">
        <f t="shared" si="1970"/>
        <v>0</v>
      </c>
      <c r="P1080" s="552">
        <f t="shared" si="1970"/>
        <v>0</v>
      </c>
      <c r="Q1080" s="552">
        <f t="shared" si="1970"/>
        <v>0</v>
      </c>
      <c r="R1080" s="552">
        <f t="shared" si="1970"/>
        <v>0</v>
      </c>
      <c r="S1080" s="552">
        <f t="shared" si="1970"/>
        <v>0</v>
      </c>
      <c r="T1080" s="552">
        <f t="shared" si="1970"/>
        <v>0</v>
      </c>
      <c r="U1080" s="552">
        <f t="shared" si="1970"/>
        <v>0</v>
      </c>
      <c r="V1080" s="552">
        <f t="shared" si="1970"/>
        <v>0</v>
      </c>
      <c r="W1080" s="552">
        <f t="shared" si="1970"/>
        <v>0</v>
      </c>
      <c r="X1080" s="552">
        <f t="shared" si="1970"/>
        <v>0</v>
      </c>
      <c r="Y1080" s="552">
        <f t="shared" si="1970"/>
        <v>1.17</v>
      </c>
      <c r="Z1080" s="552">
        <f t="shared" si="1970"/>
        <v>0</v>
      </c>
      <c r="AA1080" s="552">
        <f t="shared" si="1970"/>
        <v>0</v>
      </c>
      <c r="AB1080" s="552">
        <f t="shared" si="1970"/>
        <v>0</v>
      </c>
      <c r="AC1080" s="552">
        <f t="shared" si="1970"/>
        <v>0</v>
      </c>
      <c r="AD1080" s="552">
        <f t="shared" si="1970"/>
        <v>0</v>
      </c>
      <c r="AE1080" s="552">
        <f t="shared" si="1970"/>
        <v>0</v>
      </c>
      <c r="AF1080" s="552">
        <f t="shared" si="1970"/>
        <v>0</v>
      </c>
      <c r="AG1080" s="552">
        <f t="shared" si="1970"/>
        <v>0</v>
      </c>
      <c r="AH1080" s="552">
        <f t="shared" si="1970"/>
        <v>5</v>
      </c>
      <c r="AI1080" s="552">
        <f t="shared" si="1970"/>
        <v>0</v>
      </c>
      <c r="AJ1080" s="552">
        <f t="shared" si="1970"/>
        <v>0</v>
      </c>
      <c r="AK1080" s="552">
        <f t="shared" si="1970"/>
        <v>0.3</v>
      </c>
      <c r="AL1080" s="552">
        <f t="shared" si="1970"/>
        <v>0</v>
      </c>
      <c r="AM1080" s="552">
        <f t="shared" si="1970"/>
        <v>0</v>
      </c>
      <c r="AN1080" s="552">
        <f t="shared" si="1970"/>
        <v>0</v>
      </c>
      <c r="AO1080" s="552">
        <f t="shared" si="1970"/>
        <v>0</v>
      </c>
      <c r="AP1080" s="552">
        <f t="shared" ref="AP1080:BU1080" si="1971">AP118*AP$338</f>
        <v>0</v>
      </c>
      <c r="AQ1080" s="552">
        <f t="shared" si="1971"/>
        <v>0.63</v>
      </c>
      <c r="AR1080" s="552">
        <f t="shared" si="1971"/>
        <v>0</v>
      </c>
      <c r="AS1080" s="552">
        <f t="shared" si="1971"/>
        <v>0</v>
      </c>
      <c r="AT1080" s="552">
        <f t="shared" si="1971"/>
        <v>0</v>
      </c>
      <c r="AU1080" s="552">
        <f t="shared" si="1971"/>
        <v>0</v>
      </c>
      <c r="AV1080" s="552">
        <f t="shared" si="1971"/>
        <v>0</v>
      </c>
      <c r="AW1080" s="552">
        <f t="shared" si="1971"/>
        <v>0</v>
      </c>
      <c r="AX1080" s="552">
        <f t="shared" si="1971"/>
        <v>0</v>
      </c>
      <c r="AY1080" s="552">
        <f t="shared" si="1971"/>
        <v>0</v>
      </c>
      <c r="AZ1080" s="552">
        <f t="shared" si="1971"/>
        <v>0</v>
      </c>
      <c r="BA1080" s="552">
        <f t="shared" si="1971"/>
        <v>0</v>
      </c>
      <c r="BB1080" s="552">
        <f t="shared" si="1971"/>
        <v>0</v>
      </c>
      <c r="BC1080" s="552">
        <f t="shared" si="1971"/>
        <v>0</v>
      </c>
      <c r="BD1080" s="552">
        <f t="shared" si="1971"/>
        <v>0</v>
      </c>
      <c r="BE1080" s="552">
        <f t="shared" si="1971"/>
        <v>0</v>
      </c>
      <c r="BF1080" s="552">
        <f t="shared" si="1971"/>
        <v>0</v>
      </c>
      <c r="BG1080" s="552">
        <f t="shared" si="1971"/>
        <v>0</v>
      </c>
      <c r="BH1080" s="552">
        <f t="shared" si="1971"/>
        <v>0</v>
      </c>
      <c r="BI1080" s="552">
        <f t="shared" si="1971"/>
        <v>0</v>
      </c>
      <c r="BJ1080" s="552">
        <f t="shared" si="1971"/>
        <v>0</v>
      </c>
      <c r="BK1080" s="552">
        <f t="shared" si="1971"/>
        <v>0</v>
      </c>
      <c r="BL1080" s="552">
        <f t="shared" si="1971"/>
        <v>0</v>
      </c>
      <c r="BM1080" s="552">
        <f t="shared" si="1971"/>
        <v>0</v>
      </c>
      <c r="BN1080" s="552">
        <f t="shared" si="1971"/>
        <v>0</v>
      </c>
      <c r="BO1080" s="552">
        <f t="shared" si="1971"/>
        <v>0</v>
      </c>
      <c r="BP1080" s="552">
        <f t="shared" si="1971"/>
        <v>0</v>
      </c>
      <c r="BQ1080" s="552">
        <f t="shared" si="1971"/>
        <v>0</v>
      </c>
      <c r="BR1080" s="552">
        <f t="shared" si="1971"/>
        <v>0</v>
      </c>
      <c r="BS1080" s="552">
        <f t="shared" si="1971"/>
        <v>0</v>
      </c>
      <c r="BT1080" s="552">
        <f t="shared" si="1971"/>
        <v>0</v>
      </c>
      <c r="BU1080" s="552">
        <f t="shared" si="1971"/>
        <v>0</v>
      </c>
      <c r="BV1080" s="552">
        <f t="shared" ref="BV1080:DA1080" si="1972">BV118*BV$338</f>
        <v>0</v>
      </c>
      <c r="BW1080" s="552">
        <f t="shared" si="1972"/>
        <v>0</v>
      </c>
      <c r="BX1080" s="552">
        <f t="shared" si="1972"/>
        <v>0</v>
      </c>
      <c r="BY1080" s="552">
        <f t="shared" si="1972"/>
        <v>0</v>
      </c>
      <c r="BZ1080" s="552">
        <f t="shared" si="1972"/>
        <v>0</v>
      </c>
      <c r="CA1080" s="552">
        <f t="shared" si="1972"/>
        <v>0</v>
      </c>
      <c r="CB1080" s="552">
        <f t="shared" si="1972"/>
        <v>0.49</v>
      </c>
      <c r="CC1080" s="552">
        <f t="shared" si="1972"/>
        <v>0</v>
      </c>
      <c r="CD1080" s="552">
        <f t="shared" si="1972"/>
        <v>0</v>
      </c>
      <c r="CE1080" s="552">
        <f t="shared" si="1972"/>
        <v>0</v>
      </c>
      <c r="CF1080" s="552">
        <f t="shared" si="1972"/>
        <v>0.6</v>
      </c>
      <c r="CG1080" s="552">
        <f t="shared" si="1972"/>
        <v>0</v>
      </c>
      <c r="CH1080" s="552">
        <f t="shared" si="1972"/>
        <v>0</v>
      </c>
      <c r="CI1080" s="552">
        <f t="shared" si="1972"/>
        <v>0</v>
      </c>
      <c r="CJ1080" s="552">
        <f t="shared" si="1972"/>
        <v>0</v>
      </c>
      <c r="CK1080" s="552">
        <f t="shared" si="1972"/>
        <v>0</v>
      </c>
      <c r="CL1080" s="552">
        <f t="shared" si="1972"/>
        <v>0</v>
      </c>
      <c r="CM1080" s="552">
        <f t="shared" si="1972"/>
        <v>0</v>
      </c>
      <c r="CN1080" s="552">
        <f t="shared" si="1972"/>
        <v>0</v>
      </c>
      <c r="CO1080" s="552">
        <f t="shared" si="1972"/>
        <v>0</v>
      </c>
      <c r="CP1080" s="552">
        <f t="shared" si="1972"/>
        <v>0</v>
      </c>
      <c r="CQ1080" s="552">
        <f t="shared" si="1972"/>
        <v>0</v>
      </c>
      <c r="CR1080" s="552">
        <f t="shared" si="1972"/>
        <v>0</v>
      </c>
      <c r="CS1080" s="552">
        <f t="shared" si="1972"/>
        <v>0</v>
      </c>
      <c r="CT1080" s="552">
        <f t="shared" si="1972"/>
        <v>2.0099999999999998</v>
      </c>
      <c r="CU1080" s="552">
        <f t="shared" si="1972"/>
        <v>0</v>
      </c>
      <c r="CV1080" s="552">
        <f t="shared" si="1972"/>
        <v>0</v>
      </c>
      <c r="CW1080" s="552">
        <f t="shared" si="1972"/>
        <v>0</v>
      </c>
      <c r="CX1080" s="552">
        <f t="shared" si="1972"/>
        <v>0</v>
      </c>
      <c r="CY1080" s="552">
        <f t="shared" si="1972"/>
        <v>0</v>
      </c>
      <c r="CZ1080" s="552">
        <f t="shared" si="1972"/>
        <v>0</v>
      </c>
      <c r="DA1080" s="552">
        <f t="shared" si="1972"/>
        <v>0</v>
      </c>
      <c r="DB1080" s="552">
        <f t="shared" ref="DB1080:EG1080" si="1973">DB118*DB$338</f>
        <v>0</v>
      </c>
      <c r="DC1080" s="552">
        <f t="shared" si="1973"/>
        <v>0</v>
      </c>
      <c r="DD1080" s="552">
        <f t="shared" si="1973"/>
        <v>0</v>
      </c>
      <c r="DE1080" s="552">
        <f t="shared" si="1973"/>
        <v>0</v>
      </c>
      <c r="DF1080" s="552">
        <f t="shared" si="1973"/>
        <v>0</v>
      </c>
      <c r="DG1080" s="552">
        <f t="shared" si="1973"/>
        <v>0</v>
      </c>
      <c r="DH1080" s="552">
        <f t="shared" si="1973"/>
        <v>0</v>
      </c>
      <c r="DI1080" s="552">
        <f t="shared" si="1973"/>
        <v>0</v>
      </c>
      <c r="DJ1080" s="552">
        <f t="shared" si="1973"/>
        <v>0</v>
      </c>
      <c r="DK1080" s="552">
        <f t="shared" si="1973"/>
        <v>0</v>
      </c>
      <c r="DL1080" s="552">
        <f t="shared" si="1973"/>
        <v>0</v>
      </c>
      <c r="DM1080" s="552">
        <f t="shared" si="1973"/>
        <v>0</v>
      </c>
      <c r="DN1080" s="552">
        <f t="shared" si="1973"/>
        <v>0</v>
      </c>
      <c r="DO1080" s="552">
        <f t="shared" si="1973"/>
        <v>0</v>
      </c>
      <c r="DP1080" s="552">
        <f t="shared" si="1973"/>
        <v>0</v>
      </c>
      <c r="DQ1080" s="552">
        <f t="shared" si="1973"/>
        <v>0</v>
      </c>
      <c r="DR1080" s="552">
        <f t="shared" si="1973"/>
        <v>0</v>
      </c>
      <c r="DS1080" s="552">
        <f t="shared" si="1973"/>
        <v>0</v>
      </c>
      <c r="DT1080" s="552">
        <f t="shared" si="1973"/>
        <v>0</v>
      </c>
      <c r="DU1080" s="552">
        <f t="shared" si="1973"/>
        <v>0</v>
      </c>
      <c r="DV1080" s="552">
        <f t="shared" si="1973"/>
        <v>0</v>
      </c>
      <c r="DW1080" s="552">
        <f t="shared" si="1973"/>
        <v>0</v>
      </c>
      <c r="DX1080" s="552">
        <f t="shared" si="1973"/>
        <v>0</v>
      </c>
      <c r="DY1080" s="552">
        <f t="shared" si="1973"/>
        <v>0</v>
      </c>
      <c r="DZ1080" s="552">
        <f t="shared" si="1973"/>
        <v>0</v>
      </c>
      <c r="EA1080" s="552">
        <f t="shared" si="1973"/>
        <v>0</v>
      </c>
      <c r="EB1080" s="552">
        <f t="shared" si="1973"/>
        <v>0</v>
      </c>
      <c r="EC1080" s="552">
        <f t="shared" si="1973"/>
        <v>0</v>
      </c>
      <c r="ED1080" s="552">
        <f t="shared" si="1973"/>
        <v>0</v>
      </c>
      <c r="EE1080" s="552">
        <f t="shared" si="1973"/>
        <v>0</v>
      </c>
      <c r="EF1080" s="552">
        <f t="shared" si="1973"/>
        <v>0</v>
      </c>
      <c r="EG1080" s="552">
        <f t="shared" si="1973"/>
        <v>0</v>
      </c>
      <c r="EH1080" s="552">
        <f t="shared" ref="EH1080:EX1080" si="1974">EH118*EH$338</f>
        <v>0</v>
      </c>
      <c r="EI1080" s="552">
        <f t="shared" si="1974"/>
        <v>0</v>
      </c>
      <c r="EJ1080" s="552">
        <f t="shared" si="1974"/>
        <v>0</v>
      </c>
      <c r="EK1080" s="552">
        <f t="shared" si="1974"/>
        <v>0</v>
      </c>
      <c r="EL1080" s="552">
        <f t="shared" si="1974"/>
        <v>0</v>
      </c>
      <c r="EM1080" s="552">
        <f t="shared" si="1974"/>
        <v>0</v>
      </c>
      <c r="EN1080" s="552">
        <f t="shared" si="1974"/>
        <v>0</v>
      </c>
      <c r="EO1080" s="552">
        <f t="shared" si="1974"/>
        <v>0</v>
      </c>
      <c r="EP1080" s="552">
        <f t="shared" si="1974"/>
        <v>0</v>
      </c>
      <c r="EQ1080" s="552">
        <f t="shared" si="1974"/>
        <v>0</v>
      </c>
      <c r="ER1080" s="552">
        <f t="shared" si="1974"/>
        <v>0</v>
      </c>
      <c r="ES1080" s="552">
        <f t="shared" si="1974"/>
        <v>0</v>
      </c>
      <c r="ET1080" s="552">
        <f t="shared" si="1974"/>
        <v>0</v>
      </c>
      <c r="EU1080" s="552">
        <f t="shared" si="1974"/>
        <v>0</v>
      </c>
      <c r="EV1080" s="552">
        <f t="shared" si="1974"/>
        <v>0</v>
      </c>
      <c r="EW1080" s="552">
        <f t="shared" si="1974"/>
        <v>0</v>
      </c>
      <c r="EX1080" s="552">
        <f t="shared" si="1974"/>
        <v>0</v>
      </c>
      <c r="EY1080" s="799">
        <f t="shared" si="1775"/>
        <v>10.199999999999999</v>
      </c>
      <c r="EZ1080" s="640"/>
      <c r="FA1080" s="640"/>
      <c r="FB1080" s="640"/>
      <c r="FC1080" s="640"/>
      <c r="FD1080" s="640"/>
      <c r="FE1080" s="640"/>
      <c r="FF1080" s="640"/>
      <c r="FG1080" s="640"/>
      <c r="FH1080" s="640"/>
      <c r="FI1080" s="640"/>
      <c r="FJ1080" s="640"/>
      <c r="FK1080" s="640"/>
      <c r="FL1080" s="640"/>
    </row>
    <row r="1081" spans="1:168" ht="27.6" x14ac:dyDescent="0.25">
      <c r="A1081" s="1492"/>
      <c r="B1081" s="624" t="str">
        <f t="shared" si="1962"/>
        <v>Рыба минтай (филе), тушенная в томате с овощами</v>
      </c>
      <c r="C1081" s="624">
        <f t="shared" si="1962"/>
        <v>140</v>
      </c>
      <c r="D1081" s="624">
        <f t="shared" si="1962"/>
        <v>19.399999999999999</v>
      </c>
      <c r="E1081" s="1158">
        <f t="shared" si="1969"/>
        <v>62.5</v>
      </c>
      <c r="F1081" s="1158"/>
      <c r="G1081" s="1140"/>
      <c r="H1081" s="1140"/>
      <c r="I1081" s="552"/>
      <c r="J1081" s="552">
        <f t="shared" ref="J1081:AO1081" si="1975">J119*J$338</f>
        <v>0</v>
      </c>
      <c r="K1081" s="552">
        <f t="shared" si="1975"/>
        <v>0</v>
      </c>
      <c r="L1081" s="552">
        <f t="shared" si="1975"/>
        <v>0</v>
      </c>
      <c r="M1081" s="552">
        <f t="shared" si="1975"/>
        <v>0</v>
      </c>
      <c r="N1081" s="552">
        <f t="shared" si="1975"/>
        <v>0</v>
      </c>
      <c r="O1081" s="552">
        <f t="shared" si="1975"/>
        <v>0</v>
      </c>
      <c r="P1081" s="552">
        <f t="shared" si="1975"/>
        <v>0</v>
      </c>
      <c r="Q1081" s="552">
        <f t="shared" si="1975"/>
        <v>0</v>
      </c>
      <c r="R1081" s="552">
        <f t="shared" si="1975"/>
        <v>0</v>
      </c>
      <c r="S1081" s="552">
        <f t="shared" si="1975"/>
        <v>52.52</v>
      </c>
      <c r="T1081" s="552">
        <f t="shared" si="1975"/>
        <v>0</v>
      </c>
      <c r="U1081" s="552">
        <f t="shared" si="1975"/>
        <v>0</v>
      </c>
      <c r="V1081" s="552">
        <f t="shared" si="1975"/>
        <v>0</v>
      </c>
      <c r="W1081" s="552">
        <f t="shared" si="1975"/>
        <v>0</v>
      </c>
      <c r="X1081" s="552">
        <f t="shared" si="1975"/>
        <v>0</v>
      </c>
      <c r="Y1081" s="552">
        <f t="shared" si="1975"/>
        <v>0</v>
      </c>
      <c r="Z1081" s="552">
        <f t="shared" si="1975"/>
        <v>0</v>
      </c>
      <c r="AA1081" s="552">
        <f t="shared" si="1975"/>
        <v>0</v>
      </c>
      <c r="AB1081" s="552">
        <f t="shared" si="1975"/>
        <v>0</v>
      </c>
      <c r="AC1081" s="552">
        <f t="shared" si="1975"/>
        <v>0</v>
      </c>
      <c r="AD1081" s="552">
        <f t="shared" si="1975"/>
        <v>0</v>
      </c>
      <c r="AE1081" s="552">
        <f t="shared" si="1975"/>
        <v>0</v>
      </c>
      <c r="AF1081" s="552">
        <f t="shared" si="1975"/>
        <v>0</v>
      </c>
      <c r="AG1081" s="552">
        <f t="shared" si="1975"/>
        <v>0</v>
      </c>
      <c r="AH1081" s="552">
        <f t="shared" si="1975"/>
        <v>0</v>
      </c>
      <c r="AI1081" s="552">
        <f t="shared" si="1975"/>
        <v>0</v>
      </c>
      <c r="AJ1081" s="552">
        <f t="shared" si="1975"/>
        <v>0</v>
      </c>
      <c r="AK1081" s="552">
        <f t="shared" si="1975"/>
        <v>1.19</v>
      </c>
      <c r="AL1081" s="552">
        <f t="shared" si="1975"/>
        <v>0</v>
      </c>
      <c r="AM1081" s="552">
        <f t="shared" si="1975"/>
        <v>0</v>
      </c>
      <c r="AN1081" s="552">
        <f t="shared" si="1975"/>
        <v>0</v>
      </c>
      <c r="AO1081" s="552">
        <f t="shared" si="1975"/>
        <v>0</v>
      </c>
      <c r="AP1081" s="552">
        <f t="shared" ref="AP1081:BU1081" si="1976">AP119*AP$338</f>
        <v>0</v>
      </c>
      <c r="AQ1081" s="552">
        <f t="shared" si="1976"/>
        <v>2.2400000000000002</v>
      </c>
      <c r="AR1081" s="552">
        <f t="shared" si="1976"/>
        <v>0</v>
      </c>
      <c r="AS1081" s="552">
        <f t="shared" si="1976"/>
        <v>0</v>
      </c>
      <c r="AT1081" s="552">
        <f t="shared" si="1976"/>
        <v>2.1</v>
      </c>
      <c r="AU1081" s="552">
        <f t="shared" si="1976"/>
        <v>0</v>
      </c>
      <c r="AV1081" s="552">
        <f t="shared" si="1976"/>
        <v>0</v>
      </c>
      <c r="AW1081" s="552">
        <f t="shared" si="1976"/>
        <v>0</v>
      </c>
      <c r="AX1081" s="552">
        <f t="shared" si="1976"/>
        <v>0</v>
      </c>
      <c r="AY1081" s="552">
        <f t="shared" si="1976"/>
        <v>0</v>
      </c>
      <c r="AZ1081" s="552">
        <f t="shared" si="1976"/>
        <v>0</v>
      </c>
      <c r="BA1081" s="552">
        <f t="shared" si="1976"/>
        <v>0</v>
      </c>
      <c r="BB1081" s="552">
        <f t="shared" si="1976"/>
        <v>0</v>
      </c>
      <c r="BC1081" s="552">
        <f t="shared" si="1976"/>
        <v>0</v>
      </c>
      <c r="BD1081" s="552">
        <f t="shared" si="1976"/>
        <v>0</v>
      </c>
      <c r="BE1081" s="552">
        <f t="shared" si="1976"/>
        <v>0</v>
      </c>
      <c r="BF1081" s="552">
        <f t="shared" si="1976"/>
        <v>0</v>
      </c>
      <c r="BG1081" s="552">
        <f t="shared" si="1976"/>
        <v>0</v>
      </c>
      <c r="BH1081" s="552">
        <f t="shared" si="1976"/>
        <v>0</v>
      </c>
      <c r="BI1081" s="552">
        <f t="shared" si="1976"/>
        <v>0</v>
      </c>
      <c r="BJ1081" s="552">
        <f t="shared" si="1976"/>
        <v>0</v>
      </c>
      <c r="BK1081" s="552">
        <f t="shared" si="1976"/>
        <v>0</v>
      </c>
      <c r="BL1081" s="552">
        <f t="shared" si="1976"/>
        <v>0</v>
      </c>
      <c r="BM1081" s="552">
        <f t="shared" si="1976"/>
        <v>0</v>
      </c>
      <c r="BN1081" s="552">
        <f t="shared" si="1976"/>
        <v>0</v>
      </c>
      <c r="BO1081" s="552">
        <f t="shared" si="1976"/>
        <v>0</v>
      </c>
      <c r="BP1081" s="552">
        <f t="shared" si="1976"/>
        <v>0</v>
      </c>
      <c r="BQ1081" s="552">
        <f t="shared" si="1976"/>
        <v>0</v>
      </c>
      <c r="BR1081" s="552">
        <f t="shared" si="1976"/>
        <v>0</v>
      </c>
      <c r="BS1081" s="552">
        <f t="shared" si="1976"/>
        <v>0</v>
      </c>
      <c r="BT1081" s="552">
        <f t="shared" si="1976"/>
        <v>0</v>
      </c>
      <c r="BU1081" s="552">
        <f t="shared" si="1976"/>
        <v>0</v>
      </c>
      <c r="BV1081" s="552">
        <f t="shared" ref="BV1081:DA1081" si="1977">BV119*BV$338</f>
        <v>0</v>
      </c>
      <c r="BW1081" s="552">
        <f t="shared" si="1977"/>
        <v>0</v>
      </c>
      <c r="BX1081" s="552">
        <f t="shared" si="1977"/>
        <v>0</v>
      </c>
      <c r="BY1081" s="552">
        <f t="shared" si="1977"/>
        <v>0</v>
      </c>
      <c r="BZ1081" s="552">
        <f t="shared" si="1977"/>
        <v>0</v>
      </c>
      <c r="CA1081" s="552">
        <f t="shared" si="1977"/>
        <v>0</v>
      </c>
      <c r="CB1081" s="552">
        <f t="shared" si="1977"/>
        <v>0</v>
      </c>
      <c r="CC1081" s="552">
        <f t="shared" si="1977"/>
        <v>0</v>
      </c>
      <c r="CD1081" s="552">
        <f t="shared" si="1977"/>
        <v>0</v>
      </c>
      <c r="CE1081" s="552">
        <f t="shared" si="1977"/>
        <v>0</v>
      </c>
      <c r="CF1081" s="552">
        <f t="shared" si="1977"/>
        <v>1.27</v>
      </c>
      <c r="CG1081" s="552">
        <f t="shared" si="1977"/>
        <v>0</v>
      </c>
      <c r="CH1081" s="552">
        <f t="shared" si="1977"/>
        <v>0</v>
      </c>
      <c r="CI1081" s="552">
        <f t="shared" si="1977"/>
        <v>0</v>
      </c>
      <c r="CJ1081" s="552">
        <f t="shared" si="1977"/>
        <v>0</v>
      </c>
      <c r="CK1081" s="552">
        <f t="shared" si="1977"/>
        <v>0</v>
      </c>
      <c r="CL1081" s="552">
        <f t="shared" si="1977"/>
        <v>0</v>
      </c>
      <c r="CM1081" s="552">
        <f t="shared" si="1977"/>
        <v>0</v>
      </c>
      <c r="CN1081" s="552">
        <f t="shared" si="1977"/>
        <v>0</v>
      </c>
      <c r="CO1081" s="552">
        <f t="shared" si="1977"/>
        <v>0</v>
      </c>
      <c r="CP1081" s="552">
        <f t="shared" si="1977"/>
        <v>0</v>
      </c>
      <c r="CQ1081" s="552">
        <f t="shared" si="1977"/>
        <v>0</v>
      </c>
      <c r="CR1081" s="552">
        <f t="shared" si="1977"/>
        <v>0</v>
      </c>
      <c r="CS1081" s="552">
        <f t="shared" si="1977"/>
        <v>0</v>
      </c>
      <c r="CT1081" s="552">
        <f t="shared" si="1977"/>
        <v>0</v>
      </c>
      <c r="CU1081" s="552">
        <f t="shared" si="1977"/>
        <v>0</v>
      </c>
      <c r="CV1081" s="552">
        <f t="shared" si="1977"/>
        <v>0</v>
      </c>
      <c r="CW1081" s="552">
        <f t="shared" si="1977"/>
        <v>0</v>
      </c>
      <c r="CX1081" s="552">
        <f t="shared" si="1977"/>
        <v>0</v>
      </c>
      <c r="CY1081" s="552">
        <f t="shared" si="1977"/>
        <v>0</v>
      </c>
      <c r="CZ1081" s="552">
        <f t="shared" si="1977"/>
        <v>0.27</v>
      </c>
      <c r="DA1081" s="552">
        <f t="shared" si="1977"/>
        <v>0</v>
      </c>
      <c r="DB1081" s="552">
        <f t="shared" ref="DB1081:EG1081" si="1978">DB119*DB$338</f>
        <v>0</v>
      </c>
      <c r="DC1081" s="552">
        <f t="shared" si="1978"/>
        <v>0.01</v>
      </c>
      <c r="DD1081" s="552">
        <f t="shared" si="1978"/>
        <v>0</v>
      </c>
      <c r="DE1081" s="552">
        <f t="shared" si="1978"/>
        <v>0</v>
      </c>
      <c r="DF1081" s="552">
        <f t="shared" si="1978"/>
        <v>2.9</v>
      </c>
      <c r="DG1081" s="552">
        <f t="shared" si="1978"/>
        <v>0</v>
      </c>
      <c r="DH1081" s="552">
        <f t="shared" si="1978"/>
        <v>0</v>
      </c>
      <c r="DI1081" s="552">
        <f t="shared" si="1978"/>
        <v>0</v>
      </c>
      <c r="DJ1081" s="552">
        <f t="shared" si="1978"/>
        <v>0</v>
      </c>
      <c r="DK1081" s="552">
        <f t="shared" si="1978"/>
        <v>0</v>
      </c>
      <c r="DL1081" s="552">
        <f t="shared" si="1978"/>
        <v>0</v>
      </c>
      <c r="DM1081" s="552">
        <f t="shared" si="1978"/>
        <v>0</v>
      </c>
      <c r="DN1081" s="552">
        <f t="shared" si="1978"/>
        <v>0</v>
      </c>
      <c r="DO1081" s="552">
        <f t="shared" si="1978"/>
        <v>0</v>
      </c>
      <c r="DP1081" s="552">
        <f t="shared" si="1978"/>
        <v>0</v>
      </c>
      <c r="DQ1081" s="552">
        <f t="shared" si="1978"/>
        <v>0</v>
      </c>
      <c r="DR1081" s="552">
        <f t="shared" si="1978"/>
        <v>0</v>
      </c>
      <c r="DS1081" s="552">
        <f t="shared" si="1978"/>
        <v>0</v>
      </c>
      <c r="DT1081" s="552">
        <f t="shared" si="1978"/>
        <v>0</v>
      </c>
      <c r="DU1081" s="552">
        <f t="shared" si="1978"/>
        <v>0</v>
      </c>
      <c r="DV1081" s="552">
        <f t="shared" si="1978"/>
        <v>0</v>
      </c>
      <c r="DW1081" s="552">
        <f t="shared" si="1978"/>
        <v>0</v>
      </c>
      <c r="DX1081" s="552">
        <f t="shared" si="1978"/>
        <v>0</v>
      </c>
      <c r="DY1081" s="552">
        <f t="shared" si="1978"/>
        <v>0</v>
      </c>
      <c r="DZ1081" s="552">
        <f t="shared" si="1978"/>
        <v>0</v>
      </c>
      <c r="EA1081" s="552">
        <f t="shared" si="1978"/>
        <v>0</v>
      </c>
      <c r="EB1081" s="552">
        <f t="shared" si="1978"/>
        <v>0</v>
      </c>
      <c r="EC1081" s="552">
        <f t="shared" si="1978"/>
        <v>0</v>
      </c>
      <c r="ED1081" s="552">
        <f t="shared" si="1978"/>
        <v>0</v>
      </c>
      <c r="EE1081" s="552">
        <f t="shared" si="1978"/>
        <v>0</v>
      </c>
      <c r="EF1081" s="552">
        <f t="shared" si="1978"/>
        <v>0</v>
      </c>
      <c r="EG1081" s="552">
        <f t="shared" si="1978"/>
        <v>0</v>
      </c>
      <c r="EH1081" s="552">
        <f t="shared" ref="EH1081:EX1081" si="1979">EH119*EH$338</f>
        <v>0</v>
      </c>
      <c r="EI1081" s="552">
        <f t="shared" si="1979"/>
        <v>0</v>
      </c>
      <c r="EJ1081" s="552">
        <f t="shared" si="1979"/>
        <v>0</v>
      </c>
      <c r="EK1081" s="552">
        <f t="shared" si="1979"/>
        <v>0</v>
      </c>
      <c r="EL1081" s="552">
        <f t="shared" si="1979"/>
        <v>0</v>
      </c>
      <c r="EM1081" s="552">
        <f t="shared" si="1979"/>
        <v>0</v>
      </c>
      <c r="EN1081" s="552">
        <f t="shared" si="1979"/>
        <v>0</v>
      </c>
      <c r="EO1081" s="552">
        <f t="shared" si="1979"/>
        <v>0</v>
      </c>
      <c r="EP1081" s="552">
        <f t="shared" si="1979"/>
        <v>0</v>
      </c>
      <c r="EQ1081" s="552">
        <f t="shared" si="1979"/>
        <v>0</v>
      </c>
      <c r="ER1081" s="552">
        <f t="shared" si="1979"/>
        <v>0</v>
      </c>
      <c r="ES1081" s="552">
        <f t="shared" si="1979"/>
        <v>0</v>
      </c>
      <c r="ET1081" s="552">
        <f t="shared" si="1979"/>
        <v>0</v>
      </c>
      <c r="EU1081" s="552">
        <f t="shared" si="1979"/>
        <v>0</v>
      </c>
      <c r="EV1081" s="552">
        <f t="shared" si="1979"/>
        <v>0</v>
      </c>
      <c r="EW1081" s="552">
        <f t="shared" si="1979"/>
        <v>0</v>
      </c>
      <c r="EX1081" s="552">
        <f t="shared" si="1979"/>
        <v>0</v>
      </c>
      <c r="EY1081" s="799">
        <f t="shared" si="1775"/>
        <v>62.5</v>
      </c>
      <c r="EZ1081" s="640"/>
      <c r="FA1081" s="640"/>
      <c r="FB1081" s="640"/>
      <c r="FC1081" s="640"/>
      <c r="FD1081" s="640"/>
      <c r="FE1081" s="640"/>
      <c r="FF1081" s="640"/>
      <c r="FG1081" s="640"/>
      <c r="FH1081" s="640"/>
      <c r="FI1081" s="640"/>
      <c r="FJ1081" s="640"/>
      <c r="FK1081" s="640"/>
      <c r="FL1081" s="640"/>
    </row>
    <row r="1082" spans="1:168" x14ac:dyDescent="0.25">
      <c r="A1082" s="1492"/>
      <c r="B1082" s="624" t="str">
        <f t="shared" si="1962"/>
        <v>Пюре картофельное</v>
      </c>
      <c r="C1082" s="624">
        <f t="shared" si="1962"/>
        <v>150</v>
      </c>
      <c r="D1082" s="624">
        <f t="shared" si="1962"/>
        <v>3.06</v>
      </c>
      <c r="E1082" s="1158">
        <f t="shared" si="1969"/>
        <v>14.18</v>
      </c>
      <c r="F1082" s="1158"/>
      <c r="G1082" s="1140"/>
      <c r="H1082" s="1140"/>
      <c r="I1082" s="552"/>
      <c r="J1082" s="552">
        <f t="shared" ref="J1082:AO1082" si="1980">J120*J$338</f>
        <v>0</v>
      </c>
      <c r="K1082" s="552">
        <f t="shared" si="1980"/>
        <v>0</v>
      </c>
      <c r="L1082" s="552">
        <f t="shared" si="1980"/>
        <v>0</v>
      </c>
      <c r="M1082" s="552">
        <f t="shared" si="1980"/>
        <v>0</v>
      </c>
      <c r="N1082" s="552">
        <f t="shared" si="1980"/>
        <v>0</v>
      </c>
      <c r="O1082" s="552">
        <f t="shared" si="1980"/>
        <v>0</v>
      </c>
      <c r="P1082" s="552">
        <f t="shared" si="1980"/>
        <v>0</v>
      </c>
      <c r="Q1082" s="552">
        <f t="shared" si="1980"/>
        <v>0</v>
      </c>
      <c r="R1082" s="552">
        <f t="shared" si="1980"/>
        <v>0</v>
      </c>
      <c r="S1082" s="552">
        <f t="shared" si="1980"/>
        <v>0</v>
      </c>
      <c r="T1082" s="552">
        <f t="shared" si="1980"/>
        <v>0</v>
      </c>
      <c r="U1082" s="552">
        <f t="shared" si="1980"/>
        <v>1.9</v>
      </c>
      <c r="V1082" s="552">
        <f t="shared" si="1980"/>
        <v>3.73</v>
      </c>
      <c r="W1082" s="552">
        <f t="shared" si="1980"/>
        <v>0</v>
      </c>
      <c r="X1082" s="552">
        <f t="shared" si="1980"/>
        <v>0</v>
      </c>
      <c r="Y1082" s="552">
        <f t="shared" si="1980"/>
        <v>0</v>
      </c>
      <c r="Z1082" s="552">
        <f t="shared" si="1980"/>
        <v>0</v>
      </c>
      <c r="AA1082" s="552">
        <f t="shared" si="1980"/>
        <v>0</v>
      </c>
      <c r="AB1082" s="552">
        <f t="shared" si="1980"/>
        <v>0</v>
      </c>
      <c r="AC1082" s="552">
        <f t="shared" si="1980"/>
        <v>0</v>
      </c>
      <c r="AD1082" s="552">
        <f t="shared" si="1980"/>
        <v>0</v>
      </c>
      <c r="AE1082" s="552">
        <f t="shared" si="1980"/>
        <v>0</v>
      </c>
      <c r="AF1082" s="552">
        <f t="shared" si="1980"/>
        <v>0</v>
      </c>
      <c r="AG1082" s="552">
        <f t="shared" si="1980"/>
        <v>0</v>
      </c>
      <c r="AH1082" s="552">
        <f t="shared" si="1980"/>
        <v>8.5500000000000007</v>
      </c>
      <c r="AI1082" s="552">
        <f t="shared" si="1980"/>
        <v>0</v>
      </c>
      <c r="AJ1082" s="552">
        <f t="shared" si="1980"/>
        <v>0</v>
      </c>
      <c r="AK1082" s="552">
        <f t="shared" si="1980"/>
        <v>0</v>
      </c>
      <c r="AL1082" s="552">
        <f t="shared" si="1980"/>
        <v>0</v>
      </c>
      <c r="AM1082" s="552">
        <f t="shared" si="1980"/>
        <v>0</v>
      </c>
      <c r="AN1082" s="552">
        <f t="shared" si="1980"/>
        <v>0</v>
      </c>
      <c r="AO1082" s="552">
        <f t="shared" si="1980"/>
        <v>0</v>
      </c>
      <c r="AP1082" s="552">
        <f t="shared" ref="AP1082:BU1082" si="1981">AP120*AP$338</f>
        <v>0</v>
      </c>
      <c r="AQ1082" s="552">
        <f t="shared" si="1981"/>
        <v>0</v>
      </c>
      <c r="AR1082" s="552">
        <f t="shared" si="1981"/>
        <v>0</v>
      </c>
      <c r="AS1082" s="552">
        <f t="shared" si="1981"/>
        <v>0</v>
      </c>
      <c r="AT1082" s="552">
        <f t="shared" si="1981"/>
        <v>0</v>
      </c>
      <c r="AU1082" s="552">
        <f t="shared" si="1981"/>
        <v>0</v>
      </c>
      <c r="AV1082" s="552">
        <f t="shared" si="1981"/>
        <v>0</v>
      </c>
      <c r="AW1082" s="552">
        <f t="shared" si="1981"/>
        <v>0</v>
      </c>
      <c r="AX1082" s="552">
        <f t="shared" si="1981"/>
        <v>0</v>
      </c>
      <c r="AY1082" s="552">
        <f t="shared" si="1981"/>
        <v>0</v>
      </c>
      <c r="AZ1082" s="552">
        <f t="shared" si="1981"/>
        <v>0</v>
      </c>
      <c r="BA1082" s="552">
        <f t="shared" si="1981"/>
        <v>0</v>
      </c>
      <c r="BB1082" s="552">
        <f t="shared" si="1981"/>
        <v>0</v>
      </c>
      <c r="BC1082" s="552">
        <f t="shared" si="1981"/>
        <v>0</v>
      </c>
      <c r="BD1082" s="552">
        <f t="shared" si="1981"/>
        <v>0</v>
      </c>
      <c r="BE1082" s="552">
        <f t="shared" si="1981"/>
        <v>0</v>
      </c>
      <c r="BF1082" s="552">
        <f t="shared" si="1981"/>
        <v>0</v>
      </c>
      <c r="BG1082" s="552">
        <f t="shared" si="1981"/>
        <v>0</v>
      </c>
      <c r="BH1082" s="552">
        <f t="shared" si="1981"/>
        <v>0</v>
      </c>
      <c r="BI1082" s="552">
        <f t="shared" si="1981"/>
        <v>0</v>
      </c>
      <c r="BJ1082" s="552">
        <f t="shared" si="1981"/>
        <v>0</v>
      </c>
      <c r="BK1082" s="552">
        <f t="shared" si="1981"/>
        <v>0</v>
      </c>
      <c r="BL1082" s="552">
        <f t="shared" si="1981"/>
        <v>0</v>
      </c>
      <c r="BM1082" s="552">
        <f t="shared" si="1981"/>
        <v>0</v>
      </c>
      <c r="BN1082" s="552">
        <f t="shared" si="1981"/>
        <v>0</v>
      </c>
      <c r="BO1082" s="552">
        <f t="shared" si="1981"/>
        <v>0</v>
      </c>
      <c r="BP1082" s="552">
        <f t="shared" si="1981"/>
        <v>0</v>
      </c>
      <c r="BQ1082" s="552">
        <f t="shared" si="1981"/>
        <v>0</v>
      </c>
      <c r="BR1082" s="552">
        <f t="shared" si="1981"/>
        <v>0</v>
      </c>
      <c r="BS1082" s="552">
        <f t="shared" si="1981"/>
        <v>0</v>
      </c>
      <c r="BT1082" s="552">
        <f t="shared" si="1981"/>
        <v>0</v>
      </c>
      <c r="BU1082" s="552">
        <f t="shared" si="1981"/>
        <v>0</v>
      </c>
      <c r="BV1082" s="552">
        <f t="shared" ref="BV1082:DA1082" si="1982">BV120*BV$338</f>
        <v>0</v>
      </c>
      <c r="BW1082" s="552">
        <f t="shared" si="1982"/>
        <v>0</v>
      </c>
      <c r="BX1082" s="552">
        <f t="shared" si="1982"/>
        <v>0</v>
      </c>
      <c r="BY1082" s="552">
        <f t="shared" si="1982"/>
        <v>0</v>
      </c>
      <c r="BZ1082" s="552">
        <f t="shared" si="1982"/>
        <v>0</v>
      </c>
      <c r="CA1082" s="552">
        <f t="shared" si="1982"/>
        <v>0</v>
      </c>
      <c r="CB1082" s="552">
        <f t="shared" si="1982"/>
        <v>0</v>
      </c>
      <c r="CC1082" s="552">
        <f t="shared" si="1982"/>
        <v>0</v>
      </c>
      <c r="CD1082" s="552">
        <f t="shared" si="1982"/>
        <v>0</v>
      </c>
      <c r="CE1082" s="552">
        <f t="shared" si="1982"/>
        <v>0</v>
      </c>
      <c r="CF1082" s="552">
        <f t="shared" si="1982"/>
        <v>0</v>
      </c>
      <c r="CG1082" s="552">
        <f t="shared" si="1982"/>
        <v>0</v>
      </c>
      <c r="CH1082" s="552">
        <f t="shared" si="1982"/>
        <v>0</v>
      </c>
      <c r="CI1082" s="552">
        <f t="shared" si="1982"/>
        <v>0</v>
      </c>
      <c r="CJ1082" s="552">
        <f t="shared" si="1982"/>
        <v>0</v>
      </c>
      <c r="CK1082" s="552">
        <f t="shared" si="1982"/>
        <v>0</v>
      </c>
      <c r="CL1082" s="552">
        <f t="shared" si="1982"/>
        <v>0</v>
      </c>
      <c r="CM1082" s="552">
        <f t="shared" si="1982"/>
        <v>0</v>
      </c>
      <c r="CN1082" s="552">
        <f t="shared" si="1982"/>
        <v>0</v>
      </c>
      <c r="CO1082" s="552">
        <f t="shared" si="1982"/>
        <v>0</v>
      </c>
      <c r="CP1082" s="552">
        <f t="shared" si="1982"/>
        <v>0</v>
      </c>
      <c r="CQ1082" s="552">
        <f t="shared" si="1982"/>
        <v>0</v>
      </c>
      <c r="CR1082" s="552">
        <f t="shared" si="1982"/>
        <v>0</v>
      </c>
      <c r="CS1082" s="552">
        <f t="shared" si="1982"/>
        <v>0</v>
      </c>
      <c r="CT1082" s="552">
        <f t="shared" si="1982"/>
        <v>0</v>
      </c>
      <c r="CU1082" s="552">
        <f t="shared" si="1982"/>
        <v>0</v>
      </c>
      <c r="CV1082" s="552">
        <f t="shared" si="1982"/>
        <v>0</v>
      </c>
      <c r="CW1082" s="552">
        <f t="shared" si="1982"/>
        <v>0</v>
      </c>
      <c r="CX1082" s="552">
        <f t="shared" si="1982"/>
        <v>0</v>
      </c>
      <c r="CY1082" s="552">
        <f t="shared" si="1982"/>
        <v>0</v>
      </c>
      <c r="CZ1082" s="552">
        <f t="shared" si="1982"/>
        <v>0</v>
      </c>
      <c r="DA1082" s="552">
        <f t="shared" si="1982"/>
        <v>0</v>
      </c>
      <c r="DB1082" s="552">
        <f t="shared" ref="DB1082:EG1082" si="1983">DB120*DB$338</f>
        <v>0</v>
      </c>
      <c r="DC1082" s="552">
        <f t="shared" si="1983"/>
        <v>0</v>
      </c>
      <c r="DD1082" s="552">
        <f t="shared" si="1983"/>
        <v>0</v>
      </c>
      <c r="DE1082" s="552">
        <f t="shared" si="1983"/>
        <v>0</v>
      </c>
      <c r="DF1082" s="552">
        <f t="shared" si="1983"/>
        <v>0</v>
      </c>
      <c r="DG1082" s="552">
        <f t="shared" si="1983"/>
        <v>0</v>
      </c>
      <c r="DH1082" s="552">
        <f t="shared" si="1983"/>
        <v>0</v>
      </c>
      <c r="DI1082" s="552">
        <f t="shared" si="1983"/>
        <v>0</v>
      </c>
      <c r="DJ1082" s="552">
        <f t="shared" si="1983"/>
        <v>0</v>
      </c>
      <c r="DK1082" s="552">
        <f t="shared" si="1983"/>
        <v>0</v>
      </c>
      <c r="DL1082" s="552">
        <f t="shared" si="1983"/>
        <v>0</v>
      </c>
      <c r="DM1082" s="552">
        <f t="shared" si="1983"/>
        <v>0</v>
      </c>
      <c r="DN1082" s="552">
        <f t="shared" si="1983"/>
        <v>0</v>
      </c>
      <c r="DO1082" s="552">
        <f t="shared" si="1983"/>
        <v>0</v>
      </c>
      <c r="DP1082" s="552">
        <f t="shared" si="1983"/>
        <v>0</v>
      </c>
      <c r="DQ1082" s="552">
        <f t="shared" si="1983"/>
        <v>0</v>
      </c>
      <c r="DR1082" s="552">
        <f t="shared" si="1983"/>
        <v>0</v>
      </c>
      <c r="DS1082" s="552">
        <f t="shared" si="1983"/>
        <v>0</v>
      </c>
      <c r="DT1082" s="552">
        <f t="shared" si="1983"/>
        <v>0</v>
      </c>
      <c r="DU1082" s="552">
        <f t="shared" si="1983"/>
        <v>0</v>
      </c>
      <c r="DV1082" s="552">
        <f t="shared" si="1983"/>
        <v>0</v>
      </c>
      <c r="DW1082" s="552">
        <f t="shared" si="1983"/>
        <v>0</v>
      </c>
      <c r="DX1082" s="552">
        <f t="shared" si="1983"/>
        <v>0</v>
      </c>
      <c r="DY1082" s="552">
        <f t="shared" si="1983"/>
        <v>0</v>
      </c>
      <c r="DZ1082" s="552">
        <f t="shared" si="1983"/>
        <v>0</v>
      </c>
      <c r="EA1082" s="552">
        <f t="shared" si="1983"/>
        <v>0</v>
      </c>
      <c r="EB1082" s="552">
        <f t="shared" si="1983"/>
        <v>0</v>
      </c>
      <c r="EC1082" s="552">
        <f t="shared" si="1983"/>
        <v>0</v>
      </c>
      <c r="ED1082" s="552">
        <f t="shared" si="1983"/>
        <v>0</v>
      </c>
      <c r="EE1082" s="552">
        <f t="shared" si="1983"/>
        <v>0</v>
      </c>
      <c r="EF1082" s="552">
        <f t="shared" si="1983"/>
        <v>0</v>
      </c>
      <c r="EG1082" s="552">
        <f t="shared" si="1983"/>
        <v>0</v>
      </c>
      <c r="EH1082" s="552">
        <f t="shared" ref="EH1082:EX1082" si="1984">EH120*EH$338</f>
        <v>0</v>
      </c>
      <c r="EI1082" s="552">
        <f t="shared" si="1984"/>
        <v>0</v>
      </c>
      <c r="EJ1082" s="552">
        <f t="shared" si="1984"/>
        <v>0</v>
      </c>
      <c r="EK1082" s="552">
        <f t="shared" si="1984"/>
        <v>0</v>
      </c>
      <c r="EL1082" s="552">
        <f t="shared" si="1984"/>
        <v>0</v>
      </c>
      <c r="EM1082" s="552">
        <f t="shared" si="1984"/>
        <v>0</v>
      </c>
      <c r="EN1082" s="552">
        <f t="shared" si="1984"/>
        <v>0</v>
      </c>
      <c r="EO1082" s="552">
        <f t="shared" si="1984"/>
        <v>0</v>
      </c>
      <c r="EP1082" s="552">
        <f t="shared" si="1984"/>
        <v>0</v>
      </c>
      <c r="EQ1082" s="552">
        <f t="shared" si="1984"/>
        <v>0</v>
      </c>
      <c r="ER1082" s="552">
        <f t="shared" si="1984"/>
        <v>0</v>
      </c>
      <c r="ES1082" s="552">
        <f t="shared" si="1984"/>
        <v>0</v>
      </c>
      <c r="ET1082" s="552">
        <f t="shared" si="1984"/>
        <v>0</v>
      </c>
      <c r="EU1082" s="552">
        <f t="shared" si="1984"/>
        <v>0</v>
      </c>
      <c r="EV1082" s="552">
        <f t="shared" si="1984"/>
        <v>0</v>
      </c>
      <c r="EW1082" s="552">
        <f t="shared" si="1984"/>
        <v>0</v>
      </c>
      <c r="EX1082" s="552">
        <f t="shared" si="1984"/>
        <v>0</v>
      </c>
      <c r="EY1082" s="799">
        <f t="shared" si="1775"/>
        <v>14.18</v>
      </c>
      <c r="EZ1082" s="640"/>
      <c r="FA1082" s="640"/>
      <c r="FB1082" s="640"/>
      <c r="FC1082" s="640"/>
      <c r="FD1082" s="640"/>
      <c r="FE1082" s="640"/>
      <c r="FF1082" s="640"/>
      <c r="FG1082" s="640"/>
      <c r="FH1082" s="640"/>
      <c r="FI1082" s="640"/>
      <c r="FJ1082" s="640"/>
      <c r="FK1082" s="640"/>
      <c r="FL1082" s="640"/>
    </row>
    <row r="1083" spans="1:168" x14ac:dyDescent="0.25">
      <c r="A1083" s="1492"/>
      <c r="B1083" s="624" t="str">
        <f t="shared" si="1962"/>
        <v>Компот из смеси сухофруктов</v>
      </c>
      <c r="C1083" s="624">
        <f t="shared" si="1962"/>
        <v>200</v>
      </c>
      <c r="D1083" s="624">
        <f t="shared" si="1962"/>
        <v>0.66</v>
      </c>
      <c r="E1083" s="1158">
        <f t="shared" si="1969"/>
        <v>4.18</v>
      </c>
      <c r="F1083" s="1158"/>
      <c r="G1083" s="1140"/>
      <c r="H1083" s="1140"/>
      <c r="I1083" s="552"/>
      <c r="J1083" s="552">
        <f t="shared" ref="J1083:AO1083" si="1985">J121*J$338</f>
        <v>0</v>
      </c>
      <c r="K1083" s="552">
        <f t="shared" si="1985"/>
        <v>0</v>
      </c>
      <c r="L1083" s="552">
        <f t="shared" si="1985"/>
        <v>0</v>
      </c>
      <c r="M1083" s="552">
        <f t="shared" si="1985"/>
        <v>0</v>
      </c>
      <c r="N1083" s="552">
        <f t="shared" si="1985"/>
        <v>0</v>
      </c>
      <c r="O1083" s="552">
        <f t="shared" si="1985"/>
        <v>0</v>
      </c>
      <c r="P1083" s="552">
        <f t="shared" si="1985"/>
        <v>0</v>
      </c>
      <c r="Q1083" s="552">
        <f t="shared" si="1985"/>
        <v>0</v>
      </c>
      <c r="R1083" s="552">
        <f t="shared" si="1985"/>
        <v>0</v>
      </c>
      <c r="S1083" s="552">
        <f t="shared" si="1985"/>
        <v>0</v>
      </c>
      <c r="T1083" s="552">
        <f t="shared" si="1985"/>
        <v>0</v>
      </c>
      <c r="U1083" s="552">
        <f t="shared" si="1985"/>
        <v>0</v>
      </c>
      <c r="V1083" s="552">
        <f t="shared" si="1985"/>
        <v>0</v>
      </c>
      <c r="W1083" s="552">
        <f t="shared" si="1985"/>
        <v>0</v>
      </c>
      <c r="X1083" s="552">
        <f t="shared" si="1985"/>
        <v>0</v>
      </c>
      <c r="Y1083" s="552">
        <f t="shared" si="1985"/>
        <v>0</v>
      </c>
      <c r="Z1083" s="552">
        <f t="shared" si="1985"/>
        <v>0</v>
      </c>
      <c r="AA1083" s="552">
        <f t="shared" si="1985"/>
        <v>0</v>
      </c>
      <c r="AB1083" s="552">
        <f t="shared" si="1985"/>
        <v>0</v>
      </c>
      <c r="AC1083" s="552">
        <f t="shared" si="1985"/>
        <v>0</v>
      </c>
      <c r="AD1083" s="552">
        <f t="shared" si="1985"/>
        <v>0</v>
      </c>
      <c r="AE1083" s="552">
        <f t="shared" si="1985"/>
        <v>0</v>
      </c>
      <c r="AF1083" s="552">
        <f t="shared" si="1985"/>
        <v>0</v>
      </c>
      <c r="AG1083" s="552">
        <f t="shared" si="1985"/>
        <v>0</v>
      </c>
      <c r="AH1083" s="552">
        <f t="shared" si="1985"/>
        <v>0</v>
      </c>
      <c r="AI1083" s="552">
        <f t="shared" si="1985"/>
        <v>0</v>
      </c>
      <c r="AJ1083" s="552">
        <f t="shared" si="1985"/>
        <v>0</v>
      </c>
      <c r="AK1083" s="552">
        <f t="shared" si="1985"/>
        <v>0</v>
      </c>
      <c r="AL1083" s="552">
        <f t="shared" si="1985"/>
        <v>0</v>
      </c>
      <c r="AM1083" s="552">
        <f t="shared" si="1985"/>
        <v>0</v>
      </c>
      <c r="AN1083" s="552">
        <f t="shared" si="1985"/>
        <v>0</v>
      </c>
      <c r="AO1083" s="552">
        <f t="shared" si="1985"/>
        <v>0</v>
      </c>
      <c r="AP1083" s="552">
        <f t="shared" ref="AP1083:BU1083" si="1986">AP121*AP$338</f>
        <v>0</v>
      </c>
      <c r="AQ1083" s="552">
        <f t="shared" si="1986"/>
        <v>0</v>
      </c>
      <c r="AR1083" s="552">
        <f t="shared" si="1986"/>
        <v>0</v>
      </c>
      <c r="AS1083" s="552">
        <f t="shared" si="1986"/>
        <v>0</v>
      </c>
      <c r="AT1083" s="552">
        <f t="shared" si="1986"/>
        <v>0</v>
      </c>
      <c r="AU1083" s="552">
        <f t="shared" si="1986"/>
        <v>0</v>
      </c>
      <c r="AV1083" s="552">
        <f t="shared" si="1986"/>
        <v>0</v>
      </c>
      <c r="AW1083" s="552">
        <f t="shared" si="1986"/>
        <v>0</v>
      </c>
      <c r="AX1083" s="552">
        <f t="shared" si="1986"/>
        <v>0</v>
      </c>
      <c r="AY1083" s="552">
        <f t="shared" si="1986"/>
        <v>0</v>
      </c>
      <c r="AZ1083" s="552">
        <f t="shared" si="1986"/>
        <v>0</v>
      </c>
      <c r="BA1083" s="552">
        <f t="shared" si="1986"/>
        <v>0</v>
      </c>
      <c r="BB1083" s="552">
        <f t="shared" si="1986"/>
        <v>0</v>
      </c>
      <c r="BC1083" s="552">
        <f t="shared" si="1986"/>
        <v>0</v>
      </c>
      <c r="BD1083" s="552">
        <f t="shared" si="1986"/>
        <v>0</v>
      </c>
      <c r="BE1083" s="552">
        <f t="shared" si="1986"/>
        <v>0</v>
      </c>
      <c r="BF1083" s="552">
        <f t="shared" si="1986"/>
        <v>0</v>
      </c>
      <c r="BG1083" s="552">
        <f t="shared" si="1986"/>
        <v>0</v>
      </c>
      <c r="BH1083" s="552">
        <f t="shared" si="1986"/>
        <v>0</v>
      </c>
      <c r="BI1083" s="552">
        <f t="shared" si="1986"/>
        <v>0</v>
      </c>
      <c r="BJ1083" s="552">
        <f t="shared" si="1986"/>
        <v>0</v>
      </c>
      <c r="BK1083" s="552">
        <f t="shared" si="1986"/>
        <v>0</v>
      </c>
      <c r="BL1083" s="552">
        <f t="shared" si="1986"/>
        <v>0</v>
      </c>
      <c r="BM1083" s="552">
        <f t="shared" si="1986"/>
        <v>0</v>
      </c>
      <c r="BN1083" s="552">
        <f t="shared" si="1986"/>
        <v>0</v>
      </c>
      <c r="BO1083" s="552">
        <f t="shared" si="1986"/>
        <v>0</v>
      </c>
      <c r="BP1083" s="552">
        <f t="shared" si="1986"/>
        <v>0</v>
      </c>
      <c r="BQ1083" s="552">
        <f t="shared" si="1986"/>
        <v>0</v>
      </c>
      <c r="BR1083" s="552">
        <f t="shared" si="1986"/>
        <v>0</v>
      </c>
      <c r="BS1083" s="552">
        <f t="shared" si="1986"/>
        <v>0</v>
      </c>
      <c r="BT1083" s="552">
        <f t="shared" si="1986"/>
        <v>0</v>
      </c>
      <c r="BU1083" s="552">
        <f t="shared" si="1986"/>
        <v>0</v>
      </c>
      <c r="BV1083" s="552">
        <f t="shared" ref="BV1083:DA1083" si="1987">BV121*BV$338</f>
        <v>0</v>
      </c>
      <c r="BW1083" s="552">
        <f t="shared" si="1987"/>
        <v>0</v>
      </c>
      <c r="BX1083" s="552">
        <f t="shared" si="1987"/>
        <v>0</v>
      </c>
      <c r="BY1083" s="552">
        <f t="shared" si="1987"/>
        <v>0</v>
      </c>
      <c r="BZ1083" s="552">
        <f t="shared" si="1987"/>
        <v>0</v>
      </c>
      <c r="CA1083" s="552">
        <f t="shared" si="1987"/>
        <v>0</v>
      </c>
      <c r="CB1083" s="552">
        <f t="shared" si="1987"/>
        <v>0</v>
      </c>
      <c r="CC1083" s="552">
        <f t="shared" si="1987"/>
        <v>0</v>
      </c>
      <c r="CD1083" s="552">
        <f t="shared" si="1987"/>
        <v>0</v>
      </c>
      <c r="CE1083" s="552">
        <f t="shared" si="1987"/>
        <v>0</v>
      </c>
      <c r="CF1083" s="552">
        <f t="shared" si="1987"/>
        <v>0</v>
      </c>
      <c r="CG1083" s="552">
        <f t="shared" si="1987"/>
        <v>0</v>
      </c>
      <c r="CH1083" s="552">
        <f t="shared" si="1987"/>
        <v>0</v>
      </c>
      <c r="CI1083" s="552">
        <f t="shared" si="1987"/>
        <v>0</v>
      </c>
      <c r="CJ1083" s="552">
        <f t="shared" si="1987"/>
        <v>0</v>
      </c>
      <c r="CK1083" s="552">
        <f t="shared" si="1987"/>
        <v>0</v>
      </c>
      <c r="CL1083" s="552">
        <f t="shared" si="1987"/>
        <v>0</v>
      </c>
      <c r="CM1083" s="552">
        <f t="shared" si="1987"/>
        <v>0</v>
      </c>
      <c r="CN1083" s="552">
        <f t="shared" si="1987"/>
        <v>0</v>
      </c>
      <c r="CO1083" s="552">
        <f t="shared" si="1987"/>
        <v>0</v>
      </c>
      <c r="CP1083" s="552">
        <f t="shared" si="1987"/>
        <v>0</v>
      </c>
      <c r="CQ1083" s="552">
        <f t="shared" si="1987"/>
        <v>0.06</v>
      </c>
      <c r="CR1083" s="552">
        <f t="shared" si="1987"/>
        <v>0</v>
      </c>
      <c r="CS1083" s="552">
        <f t="shared" si="1987"/>
        <v>0</v>
      </c>
      <c r="CT1083" s="552">
        <f t="shared" si="1987"/>
        <v>0</v>
      </c>
      <c r="CU1083" s="552">
        <f t="shared" si="1987"/>
        <v>0</v>
      </c>
      <c r="CV1083" s="552">
        <f t="shared" si="1987"/>
        <v>0</v>
      </c>
      <c r="CW1083" s="552">
        <f t="shared" si="1987"/>
        <v>0</v>
      </c>
      <c r="CX1083" s="552">
        <f t="shared" si="1987"/>
        <v>0</v>
      </c>
      <c r="CY1083" s="552">
        <f t="shared" si="1987"/>
        <v>0</v>
      </c>
      <c r="CZ1083" s="552">
        <f t="shared" si="1987"/>
        <v>1.52</v>
      </c>
      <c r="DA1083" s="552">
        <f t="shared" si="1987"/>
        <v>0</v>
      </c>
      <c r="DB1083" s="552">
        <f t="shared" ref="DB1083:EG1083" si="1988">DB121*DB$338</f>
        <v>0</v>
      </c>
      <c r="DC1083" s="552">
        <f t="shared" si="1988"/>
        <v>0</v>
      </c>
      <c r="DD1083" s="552">
        <f t="shared" si="1988"/>
        <v>0</v>
      </c>
      <c r="DE1083" s="552">
        <f t="shared" si="1988"/>
        <v>2.6</v>
      </c>
      <c r="DF1083" s="552">
        <f t="shared" si="1988"/>
        <v>0</v>
      </c>
      <c r="DG1083" s="552">
        <f t="shared" si="1988"/>
        <v>0</v>
      </c>
      <c r="DH1083" s="552">
        <f t="shared" si="1988"/>
        <v>0</v>
      </c>
      <c r="DI1083" s="552">
        <f t="shared" si="1988"/>
        <v>0</v>
      </c>
      <c r="DJ1083" s="552">
        <f t="shared" si="1988"/>
        <v>0</v>
      </c>
      <c r="DK1083" s="552">
        <f t="shared" si="1988"/>
        <v>0</v>
      </c>
      <c r="DL1083" s="552">
        <f t="shared" si="1988"/>
        <v>0</v>
      </c>
      <c r="DM1083" s="552">
        <f t="shared" si="1988"/>
        <v>0</v>
      </c>
      <c r="DN1083" s="552">
        <f t="shared" si="1988"/>
        <v>0</v>
      </c>
      <c r="DO1083" s="552">
        <f t="shared" si="1988"/>
        <v>0</v>
      </c>
      <c r="DP1083" s="552">
        <f t="shared" si="1988"/>
        <v>0</v>
      </c>
      <c r="DQ1083" s="552">
        <f t="shared" si="1988"/>
        <v>0</v>
      </c>
      <c r="DR1083" s="552">
        <f t="shared" si="1988"/>
        <v>0</v>
      </c>
      <c r="DS1083" s="552">
        <f t="shared" si="1988"/>
        <v>0</v>
      </c>
      <c r="DT1083" s="552">
        <f t="shared" si="1988"/>
        <v>0</v>
      </c>
      <c r="DU1083" s="552">
        <f t="shared" si="1988"/>
        <v>0</v>
      </c>
      <c r="DV1083" s="552">
        <f t="shared" si="1988"/>
        <v>0</v>
      </c>
      <c r="DW1083" s="552">
        <f t="shared" si="1988"/>
        <v>0</v>
      </c>
      <c r="DX1083" s="552">
        <f t="shared" si="1988"/>
        <v>0</v>
      </c>
      <c r="DY1083" s="552">
        <f t="shared" si="1988"/>
        <v>0</v>
      </c>
      <c r="DZ1083" s="552">
        <f t="shared" si="1988"/>
        <v>0</v>
      </c>
      <c r="EA1083" s="552">
        <f t="shared" si="1988"/>
        <v>0</v>
      </c>
      <c r="EB1083" s="552">
        <f t="shared" si="1988"/>
        <v>0</v>
      </c>
      <c r="EC1083" s="552">
        <f t="shared" si="1988"/>
        <v>0</v>
      </c>
      <c r="ED1083" s="552">
        <f t="shared" si="1988"/>
        <v>0</v>
      </c>
      <c r="EE1083" s="552">
        <f t="shared" si="1988"/>
        <v>0</v>
      </c>
      <c r="EF1083" s="552">
        <f t="shared" si="1988"/>
        <v>0</v>
      </c>
      <c r="EG1083" s="552">
        <f t="shared" si="1988"/>
        <v>0</v>
      </c>
      <c r="EH1083" s="552">
        <f t="shared" ref="EH1083:EX1083" si="1989">EH121*EH$338</f>
        <v>0</v>
      </c>
      <c r="EI1083" s="552">
        <f t="shared" si="1989"/>
        <v>0</v>
      </c>
      <c r="EJ1083" s="552">
        <f t="shared" si="1989"/>
        <v>0</v>
      </c>
      <c r="EK1083" s="552">
        <f t="shared" si="1989"/>
        <v>0</v>
      </c>
      <c r="EL1083" s="552">
        <f t="shared" si="1989"/>
        <v>0</v>
      </c>
      <c r="EM1083" s="552">
        <f t="shared" si="1989"/>
        <v>0</v>
      </c>
      <c r="EN1083" s="552">
        <f t="shared" si="1989"/>
        <v>0</v>
      </c>
      <c r="EO1083" s="552">
        <f t="shared" si="1989"/>
        <v>0</v>
      </c>
      <c r="EP1083" s="552">
        <f t="shared" si="1989"/>
        <v>0</v>
      </c>
      <c r="EQ1083" s="552">
        <f t="shared" si="1989"/>
        <v>0</v>
      </c>
      <c r="ER1083" s="552">
        <f t="shared" si="1989"/>
        <v>0</v>
      </c>
      <c r="ES1083" s="552">
        <f t="shared" si="1989"/>
        <v>0</v>
      </c>
      <c r="ET1083" s="552">
        <f t="shared" si="1989"/>
        <v>0</v>
      </c>
      <c r="EU1083" s="552">
        <f t="shared" si="1989"/>
        <v>0</v>
      </c>
      <c r="EV1083" s="552">
        <f t="shared" si="1989"/>
        <v>0</v>
      </c>
      <c r="EW1083" s="552">
        <f t="shared" si="1989"/>
        <v>0</v>
      </c>
      <c r="EX1083" s="552">
        <f t="shared" si="1989"/>
        <v>0</v>
      </c>
      <c r="EY1083" s="799">
        <f t="shared" si="1775"/>
        <v>4.18</v>
      </c>
      <c r="EZ1083" s="640"/>
      <c r="FA1083" s="640"/>
      <c r="FB1083" s="640"/>
      <c r="FC1083" s="640"/>
      <c r="FD1083" s="640"/>
      <c r="FE1083" s="640"/>
      <c r="FF1083" s="640"/>
      <c r="FG1083" s="640"/>
      <c r="FH1083" s="640"/>
      <c r="FI1083" s="640"/>
      <c r="FJ1083" s="640"/>
      <c r="FK1083" s="640"/>
      <c r="FL1083" s="640"/>
    </row>
    <row r="1084" spans="1:168" x14ac:dyDescent="0.25">
      <c r="A1084" s="1492"/>
      <c r="B1084" s="624" t="str">
        <f t="shared" si="1962"/>
        <v>Хлеб пшеничный нарезной</v>
      </c>
      <c r="C1084" s="624">
        <f t="shared" si="1962"/>
        <v>20</v>
      </c>
      <c r="D1084" s="624">
        <f t="shared" si="1962"/>
        <v>2.14</v>
      </c>
      <c r="E1084" s="1158">
        <f t="shared" si="1969"/>
        <v>1.3</v>
      </c>
      <c r="F1084" s="1158"/>
      <c r="G1084" s="1140"/>
      <c r="H1084" s="1140"/>
      <c r="I1084" s="552"/>
      <c r="J1084" s="552">
        <f t="shared" ref="J1084:AO1084" si="1990">J122*J$338</f>
        <v>0</v>
      </c>
      <c r="K1084" s="552">
        <f t="shared" si="1990"/>
        <v>0</v>
      </c>
      <c r="L1084" s="552">
        <f t="shared" si="1990"/>
        <v>0</v>
      </c>
      <c r="M1084" s="552">
        <f t="shared" si="1990"/>
        <v>0</v>
      </c>
      <c r="N1084" s="552">
        <f t="shared" si="1990"/>
        <v>0</v>
      </c>
      <c r="O1084" s="552">
        <f t="shared" si="1990"/>
        <v>0</v>
      </c>
      <c r="P1084" s="552">
        <f t="shared" si="1990"/>
        <v>0</v>
      </c>
      <c r="Q1084" s="552">
        <f t="shared" si="1990"/>
        <v>0</v>
      </c>
      <c r="R1084" s="552">
        <f t="shared" si="1990"/>
        <v>0</v>
      </c>
      <c r="S1084" s="552">
        <f t="shared" si="1990"/>
        <v>0</v>
      </c>
      <c r="T1084" s="552">
        <f t="shared" si="1990"/>
        <v>0</v>
      </c>
      <c r="U1084" s="552">
        <f t="shared" si="1990"/>
        <v>0</v>
      </c>
      <c r="V1084" s="552">
        <f t="shared" si="1990"/>
        <v>0</v>
      </c>
      <c r="W1084" s="552">
        <f t="shared" si="1990"/>
        <v>0</v>
      </c>
      <c r="X1084" s="552">
        <f t="shared" si="1990"/>
        <v>0</v>
      </c>
      <c r="Y1084" s="552">
        <f t="shared" si="1990"/>
        <v>0</v>
      </c>
      <c r="Z1084" s="552">
        <f t="shared" si="1990"/>
        <v>0</v>
      </c>
      <c r="AA1084" s="552">
        <f t="shared" si="1990"/>
        <v>0</v>
      </c>
      <c r="AB1084" s="552">
        <f t="shared" si="1990"/>
        <v>0</v>
      </c>
      <c r="AC1084" s="552">
        <f t="shared" si="1990"/>
        <v>0</v>
      </c>
      <c r="AD1084" s="552">
        <f t="shared" si="1990"/>
        <v>0</v>
      </c>
      <c r="AE1084" s="552">
        <f t="shared" si="1990"/>
        <v>0</v>
      </c>
      <c r="AF1084" s="552">
        <f t="shared" si="1990"/>
        <v>0</v>
      </c>
      <c r="AG1084" s="552">
        <f t="shared" si="1990"/>
        <v>0</v>
      </c>
      <c r="AH1084" s="552">
        <f t="shared" si="1990"/>
        <v>0</v>
      </c>
      <c r="AI1084" s="552">
        <f t="shared" si="1990"/>
        <v>0</v>
      </c>
      <c r="AJ1084" s="552">
        <f t="shared" si="1990"/>
        <v>0</v>
      </c>
      <c r="AK1084" s="552">
        <f t="shared" si="1990"/>
        <v>0</v>
      </c>
      <c r="AL1084" s="552">
        <f t="shared" si="1990"/>
        <v>0</v>
      </c>
      <c r="AM1084" s="552">
        <f t="shared" si="1990"/>
        <v>0</v>
      </c>
      <c r="AN1084" s="552">
        <f t="shared" si="1990"/>
        <v>0</v>
      </c>
      <c r="AO1084" s="552">
        <f t="shared" si="1990"/>
        <v>0</v>
      </c>
      <c r="AP1084" s="552">
        <f t="shared" ref="AP1084:BU1084" si="1991">AP122*AP$338</f>
        <v>0</v>
      </c>
      <c r="AQ1084" s="552">
        <f t="shared" si="1991"/>
        <v>0</v>
      </c>
      <c r="AR1084" s="552">
        <f t="shared" si="1991"/>
        <v>0</v>
      </c>
      <c r="AS1084" s="552">
        <f t="shared" si="1991"/>
        <v>0</v>
      </c>
      <c r="AT1084" s="552">
        <f t="shared" si="1991"/>
        <v>0</v>
      </c>
      <c r="AU1084" s="552">
        <f t="shared" si="1991"/>
        <v>0</v>
      </c>
      <c r="AV1084" s="552">
        <f t="shared" si="1991"/>
        <v>0</v>
      </c>
      <c r="AW1084" s="552">
        <f t="shared" si="1991"/>
        <v>0</v>
      </c>
      <c r="AX1084" s="552">
        <f t="shared" si="1991"/>
        <v>0</v>
      </c>
      <c r="AY1084" s="552">
        <f t="shared" si="1991"/>
        <v>0</v>
      </c>
      <c r="AZ1084" s="552">
        <f t="shared" si="1991"/>
        <v>0</v>
      </c>
      <c r="BA1084" s="552">
        <f t="shared" si="1991"/>
        <v>0</v>
      </c>
      <c r="BB1084" s="552">
        <f t="shared" si="1991"/>
        <v>0</v>
      </c>
      <c r="BC1084" s="552">
        <f t="shared" si="1991"/>
        <v>0</v>
      </c>
      <c r="BD1084" s="552">
        <f t="shared" si="1991"/>
        <v>0</v>
      </c>
      <c r="BE1084" s="552">
        <f t="shared" si="1991"/>
        <v>0</v>
      </c>
      <c r="BF1084" s="552">
        <f t="shared" si="1991"/>
        <v>0</v>
      </c>
      <c r="BG1084" s="552">
        <f t="shared" si="1991"/>
        <v>0</v>
      </c>
      <c r="BH1084" s="552">
        <f t="shared" si="1991"/>
        <v>0</v>
      </c>
      <c r="BI1084" s="552">
        <f t="shared" si="1991"/>
        <v>0</v>
      </c>
      <c r="BJ1084" s="552">
        <f t="shared" si="1991"/>
        <v>0</v>
      </c>
      <c r="BK1084" s="552">
        <f t="shared" si="1991"/>
        <v>0</v>
      </c>
      <c r="BL1084" s="552">
        <f t="shared" si="1991"/>
        <v>0</v>
      </c>
      <c r="BM1084" s="552">
        <f t="shared" si="1991"/>
        <v>0</v>
      </c>
      <c r="BN1084" s="552">
        <f t="shared" si="1991"/>
        <v>0</v>
      </c>
      <c r="BO1084" s="552">
        <f t="shared" si="1991"/>
        <v>0</v>
      </c>
      <c r="BP1084" s="552">
        <f t="shared" si="1991"/>
        <v>0</v>
      </c>
      <c r="BQ1084" s="552">
        <f t="shared" si="1991"/>
        <v>0</v>
      </c>
      <c r="BR1084" s="552">
        <f t="shared" si="1991"/>
        <v>0</v>
      </c>
      <c r="BS1084" s="552">
        <f t="shared" si="1991"/>
        <v>0</v>
      </c>
      <c r="BT1084" s="552">
        <f t="shared" si="1991"/>
        <v>0</v>
      </c>
      <c r="BU1084" s="552">
        <f t="shared" si="1991"/>
        <v>0</v>
      </c>
      <c r="BV1084" s="552">
        <f t="shared" ref="BV1084:DA1084" si="1992">BV122*BV$338</f>
        <v>0</v>
      </c>
      <c r="BW1084" s="552">
        <f t="shared" si="1992"/>
        <v>0</v>
      </c>
      <c r="BX1084" s="552">
        <f t="shared" si="1992"/>
        <v>0</v>
      </c>
      <c r="BY1084" s="552">
        <f t="shared" si="1992"/>
        <v>0</v>
      </c>
      <c r="BZ1084" s="552">
        <f t="shared" si="1992"/>
        <v>0</v>
      </c>
      <c r="CA1084" s="552">
        <f t="shared" si="1992"/>
        <v>0</v>
      </c>
      <c r="CB1084" s="552">
        <f t="shared" si="1992"/>
        <v>0</v>
      </c>
      <c r="CC1084" s="552">
        <f t="shared" si="1992"/>
        <v>0</v>
      </c>
      <c r="CD1084" s="552">
        <f t="shared" si="1992"/>
        <v>0</v>
      </c>
      <c r="CE1084" s="552">
        <f t="shared" si="1992"/>
        <v>0</v>
      </c>
      <c r="CF1084" s="552">
        <f t="shared" si="1992"/>
        <v>0</v>
      </c>
      <c r="CG1084" s="552">
        <f t="shared" si="1992"/>
        <v>0</v>
      </c>
      <c r="CH1084" s="552">
        <f t="shared" si="1992"/>
        <v>0</v>
      </c>
      <c r="CI1084" s="552">
        <f t="shared" si="1992"/>
        <v>0</v>
      </c>
      <c r="CJ1084" s="552">
        <f t="shared" si="1992"/>
        <v>0</v>
      </c>
      <c r="CK1084" s="552">
        <f t="shared" si="1992"/>
        <v>0</v>
      </c>
      <c r="CL1084" s="552">
        <f t="shared" si="1992"/>
        <v>0</v>
      </c>
      <c r="CM1084" s="552">
        <f t="shared" si="1992"/>
        <v>0</v>
      </c>
      <c r="CN1084" s="552">
        <f t="shared" si="1992"/>
        <v>0</v>
      </c>
      <c r="CO1084" s="552">
        <f t="shared" si="1992"/>
        <v>0</v>
      </c>
      <c r="CP1084" s="552">
        <f t="shared" si="1992"/>
        <v>0</v>
      </c>
      <c r="CQ1084" s="552">
        <f t="shared" si="1992"/>
        <v>0</v>
      </c>
      <c r="CR1084" s="552">
        <f t="shared" si="1992"/>
        <v>0</v>
      </c>
      <c r="CS1084" s="552">
        <f t="shared" si="1992"/>
        <v>0</v>
      </c>
      <c r="CT1084" s="552">
        <f t="shared" si="1992"/>
        <v>0</v>
      </c>
      <c r="CU1084" s="552">
        <f t="shared" si="1992"/>
        <v>0</v>
      </c>
      <c r="CV1084" s="552">
        <f t="shared" si="1992"/>
        <v>0</v>
      </c>
      <c r="CW1084" s="552">
        <f t="shared" si="1992"/>
        <v>0</v>
      </c>
      <c r="CX1084" s="552">
        <f t="shared" si="1992"/>
        <v>0</v>
      </c>
      <c r="CY1084" s="552">
        <f t="shared" si="1992"/>
        <v>0</v>
      </c>
      <c r="CZ1084" s="552">
        <f t="shared" si="1992"/>
        <v>0</v>
      </c>
      <c r="DA1084" s="552">
        <f t="shared" si="1992"/>
        <v>0</v>
      </c>
      <c r="DB1084" s="552">
        <f t="shared" ref="DB1084:EG1084" si="1993">DB122*DB$338</f>
        <v>0</v>
      </c>
      <c r="DC1084" s="552">
        <f t="shared" si="1993"/>
        <v>0</v>
      </c>
      <c r="DD1084" s="552">
        <f t="shared" si="1993"/>
        <v>0</v>
      </c>
      <c r="DE1084" s="552">
        <f t="shared" si="1993"/>
        <v>0</v>
      </c>
      <c r="DF1084" s="552">
        <f t="shared" si="1993"/>
        <v>0</v>
      </c>
      <c r="DG1084" s="552">
        <f t="shared" si="1993"/>
        <v>0</v>
      </c>
      <c r="DH1084" s="552">
        <f t="shared" si="1993"/>
        <v>0</v>
      </c>
      <c r="DI1084" s="552">
        <f t="shared" si="1993"/>
        <v>0</v>
      </c>
      <c r="DJ1084" s="552">
        <f t="shared" si="1993"/>
        <v>0</v>
      </c>
      <c r="DK1084" s="552">
        <f t="shared" si="1993"/>
        <v>0</v>
      </c>
      <c r="DL1084" s="552">
        <f t="shared" si="1993"/>
        <v>0</v>
      </c>
      <c r="DM1084" s="552">
        <f t="shared" si="1993"/>
        <v>0</v>
      </c>
      <c r="DN1084" s="552">
        <f t="shared" si="1993"/>
        <v>0</v>
      </c>
      <c r="DO1084" s="552">
        <f t="shared" si="1993"/>
        <v>0</v>
      </c>
      <c r="DP1084" s="552">
        <f t="shared" si="1993"/>
        <v>0</v>
      </c>
      <c r="DQ1084" s="552">
        <f t="shared" si="1993"/>
        <v>0</v>
      </c>
      <c r="DR1084" s="552">
        <f t="shared" si="1993"/>
        <v>0</v>
      </c>
      <c r="DS1084" s="552">
        <f t="shared" si="1993"/>
        <v>0</v>
      </c>
      <c r="DT1084" s="552">
        <f t="shared" si="1993"/>
        <v>0</v>
      </c>
      <c r="DU1084" s="552">
        <f t="shared" si="1993"/>
        <v>0</v>
      </c>
      <c r="DV1084" s="552">
        <f t="shared" si="1993"/>
        <v>0</v>
      </c>
      <c r="DW1084" s="552">
        <f t="shared" si="1993"/>
        <v>0</v>
      </c>
      <c r="DX1084" s="552">
        <f t="shared" si="1993"/>
        <v>0</v>
      </c>
      <c r="DY1084" s="552">
        <f t="shared" si="1993"/>
        <v>0</v>
      </c>
      <c r="DZ1084" s="552">
        <f t="shared" si="1993"/>
        <v>0</v>
      </c>
      <c r="EA1084" s="552">
        <f t="shared" si="1993"/>
        <v>0</v>
      </c>
      <c r="EB1084" s="552">
        <f t="shared" si="1993"/>
        <v>0</v>
      </c>
      <c r="EC1084" s="552">
        <f t="shared" si="1993"/>
        <v>0</v>
      </c>
      <c r="ED1084" s="552">
        <f t="shared" si="1993"/>
        <v>0</v>
      </c>
      <c r="EE1084" s="552">
        <f t="shared" si="1993"/>
        <v>0</v>
      </c>
      <c r="EF1084" s="552">
        <f t="shared" si="1993"/>
        <v>0</v>
      </c>
      <c r="EG1084" s="552">
        <f t="shared" si="1993"/>
        <v>0</v>
      </c>
      <c r="EH1084" s="552">
        <f t="shared" ref="EH1084:EX1084" si="1994">EH122*EH$338</f>
        <v>0</v>
      </c>
      <c r="EI1084" s="552">
        <f t="shared" si="1994"/>
        <v>0</v>
      </c>
      <c r="EJ1084" s="552">
        <f t="shared" si="1994"/>
        <v>0</v>
      </c>
      <c r="EK1084" s="552">
        <f t="shared" si="1994"/>
        <v>0</v>
      </c>
      <c r="EL1084" s="552">
        <f t="shared" si="1994"/>
        <v>0</v>
      </c>
      <c r="EM1084" s="552">
        <f t="shared" si="1994"/>
        <v>0</v>
      </c>
      <c r="EN1084" s="552">
        <f t="shared" si="1994"/>
        <v>0</v>
      </c>
      <c r="EO1084" s="552">
        <f t="shared" si="1994"/>
        <v>0</v>
      </c>
      <c r="EP1084" s="552">
        <f t="shared" si="1994"/>
        <v>0</v>
      </c>
      <c r="EQ1084" s="552">
        <f t="shared" si="1994"/>
        <v>0</v>
      </c>
      <c r="ER1084" s="552">
        <f t="shared" si="1994"/>
        <v>0</v>
      </c>
      <c r="ES1084" s="552">
        <f t="shared" si="1994"/>
        <v>0</v>
      </c>
      <c r="ET1084" s="552">
        <f t="shared" si="1994"/>
        <v>0</v>
      </c>
      <c r="EU1084" s="552">
        <f t="shared" si="1994"/>
        <v>0</v>
      </c>
      <c r="EV1084" s="552">
        <f t="shared" si="1994"/>
        <v>1.3</v>
      </c>
      <c r="EW1084" s="552">
        <f t="shared" si="1994"/>
        <v>0</v>
      </c>
      <c r="EX1084" s="552">
        <f t="shared" si="1994"/>
        <v>0</v>
      </c>
      <c r="EY1084" s="799">
        <f t="shared" si="1775"/>
        <v>1.3</v>
      </c>
      <c r="EZ1084" s="640"/>
      <c r="FA1084" s="640"/>
      <c r="FB1084" s="640"/>
      <c r="FC1084" s="640"/>
      <c r="FD1084" s="640"/>
      <c r="FE1084" s="640"/>
      <c r="FF1084" s="640"/>
      <c r="FG1084" s="640"/>
      <c r="FH1084" s="640"/>
      <c r="FI1084" s="640"/>
      <c r="FJ1084" s="640"/>
      <c r="FK1084" s="640"/>
      <c r="FL1084" s="640"/>
    </row>
    <row r="1085" spans="1:168" x14ac:dyDescent="0.25">
      <c r="A1085" s="1492"/>
      <c r="B1085" s="624" t="str">
        <f t="shared" si="1962"/>
        <v>Хлеб пшенично-ржаной нарезной</v>
      </c>
      <c r="C1085" s="624">
        <f t="shared" si="1962"/>
        <v>30</v>
      </c>
      <c r="D1085" s="624">
        <f t="shared" si="1962"/>
        <v>2.25</v>
      </c>
      <c r="E1085" s="1158">
        <f t="shared" si="1969"/>
        <v>1.95</v>
      </c>
      <c r="F1085" s="1158"/>
      <c r="G1085" s="1140"/>
      <c r="H1085" s="1140"/>
      <c r="I1085" s="552"/>
      <c r="J1085" s="552">
        <f t="shared" ref="J1085:AO1085" si="1995">J123*J$338</f>
        <v>0</v>
      </c>
      <c r="K1085" s="552">
        <f t="shared" si="1995"/>
        <v>0</v>
      </c>
      <c r="L1085" s="552">
        <f t="shared" si="1995"/>
        <v>0</v>
      </c>
      <c r="M1085" s="552">
        <f t="shared" si="1995"/>
        <v>0</v>
      </c>
      <c r="N1085" s="552">
        <f t="shared" si="1995"/>
        <v>0</v>
      </c>
      <c r="O1085" s="552">
        <f t="shared" si="1995"/>
        <v>0</v>
      </c>
      <c r="P1085" s="552">
        <f t="shared" si="1995"/>
        <v>0</v>
      </c>
      <c r="Q1085" s="552">
        <f t="shared" si="1995"/>
        <v>0</v>
      </c>
      <c r="R1085" s="552">
        <f t="shared" si="1995"/>
        <v>0</v>
      </c>
      <c r="S1085" s="552">
        <f t="shared" si="1995"/>
        <v>0</v>
      </c>
      <c r="T1085" s="552">
        <f t="shared" si="1995"/>
        <v>0</v>
      </c>
      <c r="U1085" s="552">
        <f t="shared" si="1995"/>
        <v>0</v>
      </c>
      <c r="V1085" s="552">
        <f t="shared" si="1995"/>
        <v>0</v>
      </c>
      <c r="W1085" s="552">
        <f t="shared" si="1995"/>
        <v>0</v>
      </c>
      <c r="X1085" s="552">
        <f t="shared" si="1995"/>
        <v>0</v>
      </c>
      <c r="Y1085" s="552">
        <f t="shared" si="1995"/>
        <v>0</v>
      </c>
      <c r="Z1085" s="552">
        <f t="shared" si="1995"/>
        <v>0</v>
      </c>
      <c r="AA1085" s="552">
        <f t="shared" si="1995"/>
        <v>0</v>
      </c>
      <c r="AB1085" s="552">
        <f t="shared" si="1995"/>
        <v>0</v>
      </c>
      <c r="AC1085" s="552">
        <f t="shared" si="1995"/>
        <v>0</v>
      </c>
      <c r="AD1085" s="552">
        <f t="shared" si="1995"/>
        <v>0</v>
      </c>
      <c r="AE1085" s="552">
        <f t="shared" si="1995"/>
        <v>0</v>
      </c>
      <c r="AF1085" s="552">
        <f t="shared" si="1995"/>
        <v>0</v>
      </c>
      <c r="AG1085" s="552">
        <f t="shared" si="1995"/>
        <v>0</v>
      </c>
      <c r="AH1085" s="552">
        <f t="shared" si="1995"/>
        <v>0</v>
      </c>
      <c r="AI1085" s="552">
        <f t="shared" si="1995"/>
        <v>0</v>
      </c>
      <c r="AJ1085" s="552">
        <f t="shared" si="1995"/>
        <v>0</v>
      </c>
      <c r="AK1085" s="552">
        <f t="shared" si="1995"/>
        <v>0</v>
      </c>
      <c r="AL1085" s="552">
        <f t="shared" si="1995"/>
        <v>0</v>
      </c>
      <c r="AM1085" s="552">
        <f t="shared" si="1995"/>
        <v>0</v>
      </c>
      <c r="AN1085" s="552">
        <f t="shared" si="1995"/>
        <v>0</v>
      </c>
      <c r="AO1085" s="552">
        <f t="shared" si="1995"/>
        <v>0</v>
      </c>
      <c r="AP1085" s="552">
        <f t="shared" ref="AP1085:BU1085" si="1996">AP123*AP$338</f>
        <v>0</v>
      </c>
      <c r="AQ1085" s="552">
        <f t="shared" si="1996"/>
        <v>0</v>
      </c>
      <c r="AR1085" s="552">
        <f t="shared" si="1996"/>
        <v>0</v>
      </c>
      <c r="AS1085" s="552">
        <f t="shared" si="1996"/>
        <v>0</v>
      </c>
      <c r="AT1085" s="552">
        <f t="shared" si="1996"/>
        <v>0</v>
      </c>
      <c r="AU1085" s="552">
        <f t="shared" si="1996"/>
        <v>0</v>
      </c>
      <c r="AV1085" s="552">
        <f t="shared" si="1996"/>
        <v>0</v>
      </c>
      <c r="AW1085" s="552">
        <f t="shared" si="1996"/>
        <v>0</v>
      </c>
      <c r="AX1085" s="552">
        <f t="shared" si="1996"/>
        <v>0</v>
      </c>
      <c r="AY1085" s="552">
        <f t="shared" si="1996"/>
        <v>0</v>
      </c>
      <c r="AZ1085" s="552">
        <f t="shared" si="1996"/>
        <v>0</v>
      </c>
      <c r="BA1085" s="552">
        <f t="shared" si="1996"/>
        <v>0</v>
      </c>
      <c r="BB1085" s="552">
        <f t="shared" si="1996"/>
        <v>0</v>
      </c>
      <c r="BC1085" s="552">
        <f t="shared" si="1996"/>
        <v>0</v>
      </c>
      <c r="BD1085" s="552">
        <f t="shared" si="1996"/>
        <v>0</v>
      </c>
      <c r="BE1085" s="552">
        <f t="shared" si="1996"/>
        <v>0</v>
      </c>
      <c r="BF1085" s="552">
        <f t="shared" si="1996"/>
        <v>0</v>
      </c>
      <c r="BG1085" s="552">
        <f t="shared" si="1996"/>
        <v>0</v>
      </c>
      <c r="BH1085" s="552">
        <f t="shared" si="1996"/>
        <v>0</v>
      </c>
      <c r="BI1085" s="552">
        <f t="shared" si="1996"/>
        <v>0</v>
      </c>
      <c r="BJ1085" s="552">
        <f t="shared" si="1996"/>
        <v>0</v>
      </c>
      <c r="BK1085" s="552">
        <f t="shared" si="1996"/>
        <v>0</v>
      </c>
      <c r="BL1085" s="552">
        <f t="shared" si="1996"/>
        <v>0</v>
      </c>
      <c r="BM1085" s="552">
        <f t="shared" si="1996"/>
        <v>0</v>
      </c>
      <c r="BN1085" s="552">
        <f t="shared" si="1996"/>
        <v>0</v>
      </c>
      <c r="BO1085" s="552">
        <f t="shared" si="1996"/>
        <v>0</v>
      </c>
      <c r="BP1085" s="552">
        <f t="shared" si="1996"/>
        <v>0</v>
      </c>
      <c r="BQ1085" s="552">
        <f t="shared" si="1996"/>
        <v>0</v>
      </c>
      <c r="BR1085" s="552">
        <f t="shared" si="1996"/>
        <v>0</v>
      </c>
      <c r="BS1085" s="552">
        <f t="shared" si="1996"/>
        <v>0</v>
      </c>
      <c r="BT1085" s="552">
        <f t="shared" si="1996"/>
        <v>0</v>
      </c>
      <c r="BU1085" s="552">
        <f t="shared" si="1996"/>
        <v>0</v>
      </c>
      <c r="BV1085" s="552">
        <f t="shared" ref="BV1085:DA1085" si="1997">BV123*BV$338</f>
        <v>0</v>
      </c>
      <c r="BW1085" s="552">
        <f t="shared" si="1997"/>
        <v>0</v>
      </c>
      <c r="BX1085" s="552">
        <f t="shared" si="1997"/>
        <v>0</v>
      </c>
      <c r="BY1085" s="552">
        <f t="shared" si="1997"/>
        <v>0</v>
      </c>
      <c r="BZ1085" s="552">
        <f t="shared" si="1997"/>
        <v>0</v>
      </c>
      <c r="CA1085" s="552">
        <f t="shared" si="1997"/>
        <v>0</v>
      </c>
      <c r="CB1085" s="552">
        <f t="shared" si="1997"/>
        <v>0</v>
      </c>
      <c r="CC1085" s="552">
        <f t="shared" si="1997"/>
        <v>0</v>
      </c>
      <c r="CD1085" s="552">
        <f t="shared" si="1997"/>
        <v>0</v>
      </c>
      <c r="CE1085" s="552">
        <f t="shared" si="1997"/>
        <v>0</v>
      </c>
      <c r="CF1085" s="552">
        <f t="shared" si="1997"/>
        <v>0</v>
      </c>
      <c r="CG1085" s="552">
        <f t="shared" si="1997"/>
        <v>0</v>
      </c>
      <c r="CH1085" s="552">
        <f t="shared" si="1997"/>
        <v>0</v>
      </c>
      <c r="CI1085" s="552">
        <f t="shared" si="1997"/>
        <v>0</v>
      </c>
      <c r="CJ1085" s="552">
        <f t="shared" si="1997"/>
        <v>0</v>
      </c>
      <c r="CK1085" s="552">
        <f t="shared" si="1997"/>
        <v>0</v>
      </c>
      <c r="CL1085" s="552">
        <f t="shared" si="1997"/>
        <v>0</v>
      </c>
      <c r="CM1085" s="552">
        <f t="shared" si="1997"/>
        <v>0</v>
      </c>
      <c r="CN1085" s="552">
        <f t="shared" si="1997"/>
        <v>0</v>
      </c>
      <c r="CO1085" s="552">
        <f t="shared" si="1997"/>
        <v>0</v>
      </c>
      <c r="CP1085" s="552">
        <f t="shared" si="1997"/>
        <v>0</v>
      </c>
      <c r="CQ1085" s="552">
        <f t="shared" si="1997"/>
        <v>0</v>
      </c>
      <c r="CR1085" s="552">
        <f t="shared" si="1997"/>
        <v>0</v>
      </c>
      <c r="CS1085" s="552">
        <f t="shared" si="1997"/>
        <v>0</v>
      </c>
      <c r="CT1085" s="552">
        <f t="shared" si="1997"/>
        <v>0</v>
      </c>
      <c r="CU1085" s="552">
        <f t="shared" si="1997"/>
        <v>0</v>
      </c>
      <c r="CV1085" s="552">
        <f t="shared" si="1997"/>
        <v>0</v>
      </c>
      <c r="CW1085" s="552">
        <f t="shared" si="1997"/>
        <v>0</v>
      </c>
      <c r="CX1085" s="552">
        <f t="shared" si="1997"/>
        <v>0</v>
      </c>
      <c r="CY1085" s="552">
        <f t="shared" si="1997"/>
        <v>0</v>
      </c>
      <c r="CZ1085" s="552">
        <f t="shared" si="1997"/>
        <v>0</v>
      </c>
      <c r="DA1085" s="552">
        <f t="shared" si="1997"/>
        <v>0</v>
      </c>
      <c r="DB1085" s="552">
        <f t="shared" ref="DB1085:EG1085" si="1998">DB123*DB$338</f>
        <v>0</v>
      </c>
      <c r="DC1085" s="552">
        <f t="shared" si="1998"/>
        <v>0</v>
      </c>
      <c r="DD1085" s="552">
        <f t="shared" si="1998"/>
        <v>0</v>
      </c>
      <c r="DE1085" s="552">
        <f t="shared" si="1998"/>
        <v>0</v>
      </c>
      <c r="DF1085" s="552">
        <f t="shared" si="1998"/>
        <v>0</v>
      </c>
      <c r="DG1085" s="552">
        <f t="shared" si="1998"/>
        <v>0</v>
      </c>
      <c r="DH1085" s="552">
        <f t="shared" si="1998"/>
        <v>0</v>
      </c>
      <c r="DI1085" s="552">
        <f t="shared" si="1998"/>
        <v>0</v>
      </c>
      <c r="DJ1085" s="552">
        <f t="shared" si="1998"/>
        <v>0</v>
      </c>
      <c r="DK1085" s="552">
        <f t="shared" si="1998"/>
        <v>0</v>
      </c>
      <c r="DL1085" s="552">
        <f t="shared" si="1998"/>
        <v>0</v>
      </c>
      <c r="DM1085" s="552">
        <f t="shared" si="1998"/>
        <v>0</v>
      </c>
      <c r="DN1085" s="552">
        <f t="shared" si="1998"/>
        <v>0</v>
      </c>
      <c r="DO1085" s="552">
        <f t="shared" si="1998"/>
        <v>0</v>
      </c>
      <c r="DP1085" s="552">
        <f t="shared" si="1998"/>
        <v>0</v>
      </c>
      <c r="DQ1085" s="552">
        <f t="shared" si="1998"/>
        <v>0</v>
      </c>
      <c r="DR1085" s="552">
        <f t="shared" si="1998"/>
        <v>0</v>
      </c>
      <c r="DS1085" s="552">
        <f t="shared" si="1998"/>
        <v>0</v>
      </c>
      <c r="DT1085" s="552">
        <f t="shared" si="1998"/>
        <v>0</v>
      </c>
      <c r="DU1085" s="552">
        <f t="shared" si="1998"/>
        <v>0</v>
      </c>
      <c r="DV1085" s="552">
        <f t="shared" si="1998"/>
        <v>0</v>
      </c>
      <c r="DW1085" s="552">
        <f t="shared" si="1998"/>
        <v>0</v>
      </c>
      <c r="DX1085" s="552">
        <f t="shared" si="1998"/>
        <v>0</v>
      </c>
      <c r="DY1085" s="552">
        <f t="shared" si="1998"/>
        <v>0</v>
      </c>
      <c r="DZ1085" s="552">
        <f t="shared" si="1998"/>
        <v>0</v>
      </c>
      <c r="EA1085" s="552">
        <f t="shared" si="1998"/>
        <v>0</v>
      </c>
      <c r="EB1085" s="552">
        <f t="shared" si="1998"/>
        <v>0</v>
      </c>
      <c r="EC1085" s="552">
        <f t="shared" si="1998"/>
        <v>0</v>
      </c>
      <c r="ED1085" s="552">
        <f t="shared" si="1998"/>
        <v>0</v>
      </c>
      <c r="EE1085" s="552">
        <f t="shared" si="1998"/>
        <v>0</v>
      </c>
      <c r="EF1085" s="552">
        <f t="shared" si="1998"/>
        <v>0</v>
      </c>
      <c r="EG1085" s="552">
        <f t="shared" si="1998"/>
        <v>0</v>
      </c>
      <c r="EH1085" s="552">
        <f t="shared" ref="EH1085:EX1085" si="1999">EH123*EH$338</f>
        <v>0</v>
      </c>
      <c r="EI1085" s="552">
        <f t="shared" si="1999"/>
        <v>0</v>
      </c>
      <c r="EJ1085" s="552">
        <f t="shared" si="1999"/>
        <v>0</v>
      </c>
      <c r="EK1085" s="552">
        <f t="shared" si="1999"/>
        <v>0</v>
      </c>
      <c r="EL1085" s="552">
        <f t="shared" si="1999"/>
        <v>0</v>
      </c>
      <c r="EM1085" s="552">
        <f t="shared" si="1999"/>
        <v>0</v>
      </c>
      <c r="EN1085" s="552">
        <f t="shared" si="1999"/>
        <v>0</v>
      </c>
      <c r="EO1085" s="552">
        <f t="shared" si="1999"/>
        <v>0</v>
      </c>
      <c r="EP1085" s="552">
        <f t="shared" si="1999"/>
        <v>0</v>
      </c>
      <c r="EQ1085" s="552">
        <f t="shared" si="1999"/>
        <v>0</v>
      </c>
      <c r="ER1085" s="552">
        <f t="shared" si="1999"/>
        <v>0</v>
      </c>
      <c r="ES1085" s="552">
        <f t="shared" si="1999"/>
        <v>0</v>
      </c>
      <c r="ET1085" s="552">
        <f t="shared" si="1999"/>
        <v>0</v>
      </c>
      <c r="EU1085" s="552">
        <f t="shared" si="1999"/>
        <v>0</v>
      </c>
      <c r="EV1085" s="552">
        <f t="shared" si="1999"/>
        <v>0</v>
      </c>
      <c r="EW1085" s="552">
        <f t="shared" si="1999"/>
        <v>1.95</v>
      </c>
      <c r="EX1085" s="552">
        <f t="shared" si="1999"/>
        <v>0</v>
      </c>
      <c r="EY1085" s="799">
        <f t="shared" si="1775"/>
        <v>1.95</v>
      </c>
      <c r="EZ1085" s="640"/>
      <c r="FA1085" s="640"/>
      <c r="FB1085" s="640"/>
      <c r="FC1085" s="640"/>
      <c r="FD1085" s="640"/>
      <c r="FE1085" s="640"/>
      <c r="FF1085" s="640"/>
      <c r="FG1085" s="640"/>
      <c r="FH1085" s="640"/>
      <c r="FI1085" s="640"/>
      <c r="FJ1085" s="640"/>
      <c r="FK1085" s="640"/>
      <c r="FL1085" s="640"/>
    </row>
    <row r="1086" spans="1:168" x14ac:dyDescent="0.25">
      <c r="A1086" s="1492"/>
      <c r="B1086" s="624" t="str">
        <f t="shared" si="1962"/>
        <v>Мороженое пломбир Кореновское</v>
      </c>
      <c r="C1086" s="624">
        <f t="shared" si="1962"/>
        <v>100</v>
      </c>
      <c r="D1086" s="624">
        <f t="shared" si="1962"/>
        <v>3.7</v>
      </c>
      <c r="E1086" s="1158">
        <f t="shared" si="1969"/>
        <v>75</v>
      </c>
      <c r="F1086" s="1158"/>
      <c r="G1086" s="1140"/>
      <c r="H1086" s="1140"/>
      <c r="I1086" s="552"/>
      <c r="J1086" s="552">
        <f t="shared" ref="J1086:AO1086" si="2000">J124*J$338</f>
        <v>0</v>
      </c>
      <c r="K1086" s="552">
        <f t="shared" si="2000"/>
        <v>0</v>
      </c>
      <c r="L1086" s="552">
        <f t="shared" si="2000"/>
        <v>0</v>
      </c>
      <c r="M1086" s="552">
        <f t="shared" si="2000"/>
        <v>0</v>
      </c>
      <c r="N1086" s="552">
        <f t="shared" si="2000"/>
        <v>0</v>
      </c>
      <c r="O1086" s="552">
        <f t="shared" si="2000"/>
        <v>0</v>
      </c>
      <c r="P1086" s="552">
        <f t="shared" si="2000"/>
        <v>0</v>
      </c>
      <c r="Q1086" s="552">
        <f t="shared" si="2000"/>
        <v>0</v>
      </c>
      <c r="R1086" s="552">
        <f t="shared" si="2000"/>
        <v>0</v>
      </c>
      <c r="S1086" s="552">
        <f t="shared" si="2000"/>
        <v>0</v>
      </c>
      <c r="T1086" s="552">
        <f t="shared" si="2000"/>
        <v>0</v>
      </c>
      <c r="U1086" s="552">
        <f t="shared" si="2000"/>
        <v>0</v>
      </c>
      <c r="V1086" s="552">
        <f t="shared" si="2000"/>
        <v>0</v>
      </c>
      <c r="W1086" s="552">
        <f t="shared" si="2000"/>
        <v>0</v>
      </c>
      <c r="X1086" s="552">
        <f t="shared" si="2000"/>
        <v>0</v>
      </c>
      <c r="Y1086" s="552">
        <f t="shared" si="2000"/>
        <v>0</v>
      </c>
      <c r="Z1086" s="552">
        <f t="shared" si="2000"/>
        <v>0</v>
      </c>
      <c r="AA1086" s="552">
        <f t="shared" si="2000"/>
        <v>0</v>
      </c>
      <c r="AB1086" s="552">
        <f t="shared" si="2000"/>
        <v>0</v>
      </c>
      <c r="AC1086" s="552">
        <f t="shared" si="2000"/>
        <v>0</v>
      </c>
      <c r="AD1086" s="552">
        <f t="shared" si="2000"/>
        <v>0</v>
      </c>
      <c r="AE1086" s="552">
        <f t="shared" si="2000"/>
        <v>0</v>
      </c>
      <c r="AF1086" s="552">
        <f t="shared" si="2000"/>
        <v>0</v>
      </c>
      <c r="AG1086" s="552">
        <f t="shared" si="2000"/>
        <v>0</v>
      </c>
      <c r="AH1086" s="552">
        <f t="shared" si="2000"/>
        <v>0</v>
      </c>
      <c r="AI1086" s="552">
        <f t="shared" si="2000"/>
        <v>0</v>
      </c>
      <c r="AJ1086" s="552">
        <f t="shared" si="2000"/>
        <v>0</v>
      </c>
      <c r="AK1086" s="552">
        <f t="shared" si="2000"/>
        <v>0</v>
      </c>
      <c r="AL1086" s="552">
        <f t="shared" si="2000"/>
        <v>0</v>
      </c>
      <c r="AM1086" s="552">
        <f t="shared" si="2000"/>
        <v>0</v>
      </c>
      <c r="AN1086" s="552">
        <f t="shared" si="2000"/>
        <v>0</v>
      </c>
      <c r="AO1086" s="552">
        <f t="shared" si="2000"/>
        <v>0</v>
      </c>
      <c r="AP1086" s="552">
        <f t="shared" ref="AP1086:BU1086" si="2001">AP124*AP$338</f>
        <v>0</v>
      </c>
      <c r="AQ1086" s="552">
        <f t="shared" si="2001"/>
        <v>0</v>
      </c>
      <c r="AR1086" s="552">
        <f t="shared" si="2001"/>
        <v>0</v>
      </c>
      <c r="AS1086" s="552">
        <f t="shared" si="2001"/>
        <v>0</v>
      </c>
      <c r="AT1086" s="552">
        <f t="shared" si="2001"/>
        <v>0</v>
      </c>
      <c r="AU1086" s="552">
        <f t="shared" si="2001"/>
        <v>0</v>
      </c>
      <c r="AV1086" s="552">
        <f t="shared" si="2001"/>
        <v>0</v>
      </c>
      <c r="AW1086" s="552">
        <f t="shared" si="2001"/>
        <v>0</v>
      </c>
      <c r="AX1086" s="552">
        <f t="shared" si="2001"/>
        <v>0</v>
      </c>
      <c r="AY1086" s="552">
        <f t="shared" si="2001"/>
        <v>0</v>
      </c>
      <c r="AZ1086" s="552">
        <f t="shared" si="2001"/>
        <v>0</v>
      </c>
      <c r="BA1086" s="552">
        <f t="shared" si="2001"/>
        <v>0</v>
      </c>
      <c r="BB1086" s="552">
        <f t="shared" si="2001"/>
        <v>0</v>
      </c>
      <c r="BC1086" s="552">
        <f t="shared" si="2001"/>
        <v>0</v>
      </c>
      <c r="BD1086" s="552">
        <f t="shared" si="2001"/>
        <v>0</v>
      </c>
      <c r="BE1086" s="552">
        <f t="shared" si="2001"/>
        <v>0</v>
      </c>
      <c r="BF1086" s="552">
        <f t="shared" si="2001"/>
        <v>0</v>
      </c>
      <c r="BG1086" s="552">
        <f t="shared" si="2001"/>
        <v>0</v>
      </c>
      <c r="BH1086" s="552">
        <f t="shared" si="2001"/>
        <v>0</v>
      </c>
      <c r="BI1086" s="552">
        <f t="shared" si="2001"/>
        <v>0</v>
      </c>
      <c r="BJ1086" s="552">
        <f t="shared" si="2001"/>
        <v>0</v>
      </c>
      <c r="BK1086" s="552">
        <f t="shared" si="2001"/>
        <v>0</v>
      </c>
      <c r="BL1086" s="552">
        <f t="shared" si="2001"/>
        <v>0</v>
      </c>
      <c r="BM1086" s="552">
        <f t="shared" si="2001"/>
        <v>0</v>
      </c>
      <c r="BN1086" s="552">
        <f t="shared" si="2001"/>
        <v>0</v>
      </c>
      <c r="BO1086" s="552">
        <f t="shared" si="2001"/>
        <v>0</v>
      </c>
      <c r="BP1086" s="552">
        <f t="shared" si="2001"/>
        <v>0</v>
      </c>
      <c r="BQ1086" s="552">
        <f t="shared" si="2001"/>
        <v>0</v>
      </c>
      <c r="BR1086" s="552">
        <f t="shared" si="2001"/>
        <v>0</v>
      </c>
      <c r="BS1086" s="552">
        <f t="shared" si="2001"/>
        <v>0</v>
      </c>
      <c r="BT1086" s="552">
        <f t="shared" si="2001"/>
        <v>0</v>
      </c>
      <c r="BU1086" s="552">
        <f t="shared" si="2001"/>
        <v>0</v>
      </c>
      <c r="BV1086" s="552">
        <f t="shared" ref="BV1086:DA1086" si="2002">BV124*BV$338</f>
        <v>0</v>
      </c>
      <c r="BW1086" s="552">
        <f t="shared" si="2002"/>
        <v>0</v>
      </c>
      <c r="BX1086" s="552">
        <f t="shared" si="2002"/>
        <v>0</v>
      </c>
      <c r="BY1086" s="552">
        <f t="shared" si="2002"/>
        <v>0</v>
      </c>
      <c r="BZ1086" s="552">
        <f t="shared" si="2002"/>
        <v>0</v>
      </c>
      <c r="CA1086" s="552">
        <f t="shared" si="2002"/>
        <v>0</v>
      </c>
      <c r="CB1086" s="552">
        <f t="shared" si="2002"/>
        <v>0</v>
      </c>
      <c r="CC1086" s="552">
        <f t="shared" si="2002"/>
        <v>0</v>
      </c>
      <c r="CD1086" s="552">
        <f t="shared" si="2002"/>
        <v>0</v>
      </c>
      <c r="CE1086" s="552">
        <f t="shared" si="2002"/>
        <v>0</v>
      </c>
      <c r="CF1086" s="552">
        <f t="shared" si="2002"/>
        <v>0</v>
      </c>
      <c r="CG1086" s="552">
        <f t="shared" si="2002"/>
        <v>0</v>
      </c>
      <c r="CH1086" s="552">
        <f t="shared" si="2002"/>
        <v>0</v>
      </c>
      <c r="CI1086" s="552">
        <f t="shared" si="2002"/>
        <v>0</v>
      </c>
      <c r="CJ1086" s="552">
        <f t="shared" si="2002"/>
        <v>0</v>
      </c>
      <c r="CK1086" s="552">
        <f t="shared" si="2002"/>
        <v>0</v>
      </c>
      <c r="CL1086" s="552">
        <f t="shared" si="2002"/>
        <v>0</v>
      </c>
      <c r="CM1086" s="552">
        <f t="shared" si="2002"/>
        <v>0</v>
      </c>
      <c r="CN1086" s="552">
        <f t="shared" si="2002"/>
        <v>0</v>
      </c>
      <c r="CO1086" s="552">
        <f t="shared" si="2002"/>
        <v>0</v>
      </c>
      <c r="CP1086" s="552">
        <f t="shared" si="2002"/>
        <v>0</v>
      </c>
      <c r="CQ1086" s="552">
        <f t="shared" si="2002"/>
        <v>0</v>
      </c>
      <c r="CR1086" s="552">
        <f t="shared" si="2002"/>
        <v>0</v>
      </c>
      <c r="CS1086" s="552">
        <f t="shared" si="2002"/>
        <v>0</v>
      </c>
      <c r="CT1086" s="552">
        <f t="shared" si="2002"/>
        <v>0</v>
      </c>
      <c r="CU1086" s="552">
        <f t="shared" si="2002"/>
        <v>0</v>
      </c>
      <c r="CV1086" s="552">
        <f t="shared" si="2002"/>
        <v>0</v>
      </c>
      <c r="CW1086" s="552">
        <f t="shared" si="2002"/>
        <v>0</v>
      </c>
      <c r="CX1086" s="552">
        <f t="shared" si="2002"/>
        <v>0</v>
      </c>
      <c r="CY1086" s="552">
        <f t="shared" si="2002"/>
        <v>0</v>
      </c>
      <c r="CZ1086" s="552">
        <f t="shared" si="2002"/>
        <v>0</v>
      </c>
      <c r="DA1086" s="552">
        <f t="shared" si="2002"/>
        <v>0</v>
      </c>
      <c r="DB1086" s="552">
        <f t="shared" ref="DB1086:EG1086" si="2003">DB124*DB$338</f>
        <v>0</v>
      </c>
      <c r="DC1086" s="552">
        <f t="shared" si="2003"/>
        <v>0</v>
      </c>
      <c r="DD1086" s="552">
        <f t="shared" si="2003"/>
        <v>0</v>
      </c>
      <c r="DE1086" s="552">
        <f t="shared" si="2003"/>
        <v>0</v>
      </c>
      <c r="DF1086" s="552">
        <f t="shared" si="2003"/>
        <v>0</v>
      </c>
      <c r="DG1086" s="552">
        <f t="shared" si="2003"/>
        <v>0</v>
      </c>
      <c r="DH1086" s="552">
        <f t="shared" si="2003"/>
        <v>0</v>
      </c>
      <c r="DI1086" s="552">
        <f t="shared" si="2003"/>
        <v>0</v>
      </c>
      <c r="DJ1086" s="552">
        <f t="shared" si="2003"/>
        <v>0</v>
      </c>
      <c r="DK1086" s="552">
        <f t="shared" si="2003"/>
        <v>0</v>
      </c>
      <c r="DL1086" s="552">
        <f t="shared" si="2003"/>
        <v>0</v>
      </c>
      <c r="DM1086" s="552">
        <f t="shared" si="2003"/>
        <v>0</v>
      </c>
      <c r="DN1086" s="552">
        <f t="shared" si="2003"/>
        <v>0</v>
      </c>
      <c r="DO1086" s="552">
        <f t="shared" si="2003"/>
        <v>0</v>
      </c>
      <c r="DP1086" s="552">
        <f t="shared" si="2003"/>
        <v>0</v>
      </c>
      <c r="DQ1086" s="552">
        <f t="shared" si="2003"/>
        <v>0</v>
      </c>
      <c r="DR1086" s="552">
        <f t="shared" si="2003"/>
        <v>0</v>
      </c>
      <c r="DS1086" s="552">
        <f t="shared" si="2003"/>
        <v>0</v>
      </c>
      <c r="DT1086" s="552">
        <f t="shared" si="2003"/>
        <v>0</v>
      </c>
      <c r="DU1086" s="552">
        <f t="shared" si="2003"/>
        <v>0</v>
      </c>
      <c r="DV1086" s="552">
        <f t="shared" si="2003"/>
        <v>0</v>
      </c>
      <c r="DW1086" s="552">
        <f t="shared" si="2003"/>
        <v>0</v>
      </c>
      <c r="DX1086" s="552">
        <f t="shared" si="2003"/>
        <v>0</v>
      </c>
      <c r="DY1086" s="552">
        <f t="shared" si="2003"/>
        <v>0</v>
      </c>
      <c r="DZ1086" s="552">
        <f t="shared" si="2003"/>
        <v>0</v>
      </c>
      <c r="EA1086" s="552">
        <f t="shared" si="2003"/>
        <v>75</v>
      </c>
      <c r="EB1086" s="552">
        <f t="shared" si="2003"/>
        <v>0</v>
      </c>
      <c r="EC1086" s="552">
        <f t="shared" si="2003"/>
        <v>0</v>
      </c>
      <c r="ED1086" s="552">
        <f t="shared" si="2003"/>
        <v>0</v>
      </c>
      <c r="EE1086" s="552">
        <f t="shared" si="2003"/>
        <v>0</v>
      </c>
      <c r="EF1086" s="552">
        <f t="shared" si="2003"/>
        <v>0</v>
      </c>
      <c r="EG1086" s="552">
        <f t="shared" si="2003"/>
        <v>0</v>
      </c>
      <c r="EH1086" s="552">
        <f t="shared" ref="EH1086:EX1086" si="2004">EH124*EH$338</f>
        <v>0</v>
      </c>
      <c r="EI1086" s="552">
        <f t="shared" si="2004"/>
        <v>0</v>
      </c>
      <c r="EJ1086" s="552">
        <f t="shared" si="2004"/>
        <v>0</v>
      </c>
      <c r="EK1086" s="552">
        <f t="shared" si="2004"/>
        <v>0</v>
      </c>
      <c r="EL1086" s="552">
        <f t="shared" si="2004"/>
        <v>0</v>
      </c>
      <c r="EM1086" s="552">
        <f t="shared" si="2004"/>
        <v>0</v>
      </c>
      <c r="EN1086" s="552">
        <f t="shared" si="2004"/>
        <v>0</v>
      </c>
      <c r="EO1086" s="552">
        <f t="shared" si="2004"/>
        <v>0</v>
      </c>
      <c r="EP1086" s="552">
        <f t="shared" si="2004"/>
        <v>0</v>
      </c>
      <c r="EQ1086" s="552">
        <f t="shared" si="2004"/>
        <v>0</v>
      </c>
      <c r="ER1086" s="552">
        <f t="shared" si="2004"/>
        <v>0</v>
      </c>
      <c r="ES1086" s="552">
        <f t="shared" si="2004"/>
        <v>0</v>
      </c>
      <c r="ET1086" s="552">
        <f t="shared" si="2004"/>
        <v>0</v>
      </c>
      <c r="EU1086" s="552">
        <f t="shared" si="2004"/>
        <v>0</v>
      </c>
      <c r="EV1086" s="552">
        <f t="shared" si="2004"/>
        <v>0</v>
      </c>
      <c r="EW1086" s="552">
        <f t="shared" si="2004"/>
        <v>0</v>
      </c>
      <c r="EX1086" s="552">
        <f t="shared" si="2004"/>
        <v>0</v>
      </c>
      <c r="EY1086" s="799">
        <f t="shared" si="1775"/>
        <v>75</v>
      </c>
      <c r="EZ1086" s="640"/>
      <c r="FA1086" s="640"/>
      <c r="FB1086" s="640"/>
      <c r="FC1086" s="640"/>
      <c r="FD1086" s="640"/>
      <c r="FE1086" s="640"/>
      <c r="FF1086" s="640"/>
      <c r="FG1086" s="640"/>
      <c r="FH1086" s="640"/>
      <c r="FI1086" s="640"/>
      <c r="FJ1086" s="640"/>
      <c r="FK1086" s="640"/>
      <c r="FL1086" s="640"/>
    </row>
    <row r="1087" spans="1:168" x14ac:dyDescent="0.25">
      <c r="A1087" s="1493"/>
      <c r="B1087" s="624">
        <f t="shared" si="1962"/>
        <v>0</v>
      </c>
      <c r="C1087" s="624">
        <f t="shared" si="1962"/>
        <v>0</v>
      </c>
      <c r="D1087" s="624">
        <f t="shared" si="1962"/>
        <v>0</v>
      </c>
      <c r="E1087" s="1158">
        <f t="shared" si="1969"/>
        <v>0</v>
      </c>
      <c r="F1087" s="1158"/>
      <c r="G1087" s="1140"/>
      <c r="H1087" s="1140"/>
      <c r="I1087" s="552"/>
      <c r="J1087" s="552">
        <f>J125*J$338</f>
        <v>0</v>
      </c>
      <c r="K1087" s="552">
        <f t="shared" ref="K1087:BV1087" si="2005">K125*K$338</f>
        <v>0</v>
      </c>
      <c r="L1087" s="552">
        <f t="shared" si="2005"/>
        <v>0</v>
      </c>
      <c r="M1087" s="552">
        <f t="shared" si="2005"/>
        <v>0</v>
      </c>
      <c r="N1087" s="552">
        <f t="shared" si="2005"/>
        <v>0</v>
      </c>
      <c r="O1087" s="552">
        <f t="shared" si="2005"/>
        <v>0</v>
      </c>
      <c r="P1087" s="552">
        <f t="shared" si="2005"/>
        <v>0</v>
      </c>
      <c r="Q1087" s="552">
        <f t="shared" si="2005"/>
        <v>0</v>
      </c>
      <c r="R1087" s="552">
        <f t="shared" si="2005"/>
        <v>0</v>
      </c>
      <c r="S1087" s="552">
        <f t="shared" si="2005"/>
        <v>0</v>
      </c>
      <c r="T1087" s="552">
        <f t="shared" si="2005"/>
        <v>0</v>
      </c>
      <c r="U1087" s="552">
        <f t="shared" si="2005"/>
        <v>0</v>
      </c>
      <c r="V1087" s="552">
        <f t="shared" si="2005"/>
        <v>0</v>
      </c>
      <c r="W1087" s="552">
        <f t="shared" si="2005"/>
        <v>0</v>
      </c>
      <c r="X1087" s="552">
        <f t="shared" si="2005"/>
        <v>0</v>
      </c>
      <c r="Y1087" s="552">
        <f t="shared" si="2005"/>
        <v>0</v>
      </c>
      <c r="Z1087" s="552">
        <f t="shared" si="2005"/>
        <v>0</v>
      </c>
      <c r="AA1087" s="552">
        <f t="shared" si="2005"/>
        <v>0</v>
      </c>
      <c r="AB1087" s="552">
        <f t="shared" si="2005"/>
        <v>0</v>
      </c>
      <c r="AC1087" s="552">
        <f t="shared" si="2005"/>
        <v>0</v>
      </c>
      <c r="AD1087" s="552">
        <f t="shared" si="2005"/>
        <v>0</v>
      </c>
      <c r="AE1087" s="552">
        <f t="shared" si="2005"/>
        <v>0</v>
      </c>
      <c r="AF1087" s="552">
        <f t="shared" si="2005"/>
        <v>0</v>
      </c>
      <c r="AG1087" s="552">
        <f t="shared" si="2005"/>
        <v>0</v>
      </c>
      <c r="AH1087" s="552">
        <f t="shared" si="2005"/>
        <v>0</v>
      </c>
      <c r="AI1087" s="552">
        <f t="shared" si="2005"/>
        <v>0</v>
      </c>
      <c r="AJ1087" s="552">
        <f t="shared" si="2005"/>
        <v>0</v>
      </c>
      <c r="AK1087" s="552">
        <f t="shared" si="2005"/>
        <v>0</v>
      </c>
      <c r="AL1087" s="552">
        <f t="shared" si="2005"/>
        <v>0</v>
      </c>
      <c r="AM1087" s="552">
        <f t="shared" si="2005"/>
        <v>0</v>
      </c>
      <c r="AN1087" s="552">
        <f t="shared" si="2005"/>
        <v>0</v>
      </c>
      <c r="AO1087" s="552">
        <f t="shared" si="2005"/>
        <v>0</v>
      </c>
      <c r="AP1087" s="552">
        <f t="shared" si="2005"/>
        <v>0</v>
      </c>
      <c r="AQ1087" s="552">
        <f t="shared" si="2005"/>
        <v>0</v>
      </c>
      <c r="AR1087" s="552">
        <f t="shared" si="2005"/>
        <v>0</v>
      </c>
      <c r="AS1087" s="552">
        <f t="shared" si="2005"/>
        <v>0</v>
      </c>
      <c r="AT1087" s="552">
        <f t="shared" si="2005"/>
        <v>0</v>
      </c>
      <c r="AU1087" s="552">
        <f t="shared" si="2005"/>
        <v>0</v>
      </c>
      <c r="AV1087" s="552">
        <f t="shared" si="2005"/>
        <v>0</v>
      </c>
      <c r="AW1087" s="552">
        <f t="shared" si="2005"/>
        <v>0</v>
      </c>
      <c r="AX1087" s="552">
        <f t="shared" si="2005"/>
        <v>0</v>
      </c>
      <c r="AY1087" s="552">
        <f t="shared" si="2005"/>
        <v>0</v>
      </c>
      <c r="AZ1087" s="552">
        <f t="shared" si="2005"/>
        <v>0</v>
      </c>
      <c r="BA1087" s="552">
        <f t="shared" si="2005"/>
        <v>0</v>
      </c>
      <c r="BB1087" s="552">
        <f t="shared" si="2005"/>
        <v>0</v>
      </c>
      <c r="BC1087" s="552">
        <f t="shared" si="2005"/>
        <v>0</v>
      </c>
      <c r="BD1087" s="552">
        <f t="shared" si="2005"/>
        <v>0</v>
      </c>
      <c r="BE1087" s="552">
        <f t="shared" si="2005"/>
        <v>0</v>
      </c>
      <c r="BF1087" s="552">
        <f t="shared" si="2005"/>
        <v>0</v>
      </c>
      <c r="BG1087" s="552">
        <f t="shared" si="2005"/>
        <v>0</v>
      </c>
      <c r="BH1087" s="552">
        <f t="shared" si="2005"/>
        <v>0</v>
      </c>
      <c r="BI1087" s="552">
        <f t="shared" si="2005"/>
        <v>0</v>
      </c>
      <c r="BJ1087" s="552">
        <f t="shared" si="2005"/>
        <v>0</v>
      </c>
      <c r="BK1087" s="552">
        <f t="shared" si="2005"/>
        <v>0</v>
      </c>
      <c r="BL1087" s="552">
        <f t="shared" si="2005"/>
        <v>0</v>
      </c>
      <c r="BM1087" s="552">
        <f t="shared" si="2005"/>
        <v>0</v>
      </c>
      <c r="BN1087" s="552">
        <f t="shared" si="2005"/>
        <v>0</v>
      </c>
      <c r="BO1087" s="552">
        <f t="shared" si="2005"/>
        <v>0</v>
      </c>
      <c r="BP1087" s="552">
        <f t="shared" si="2005"/>
        <v>0</v>
      </c>
      <c r="BQ1087" s="552">
        <f t="shared" si="2005"/>
        <v>0</v>
      </c>
      <c r="BR1087" s="552">
        <f t="shared" si="2005"/>
        <v>0</v>
      </c>
      <c r="BS1087" s="552">
        <f t="shared" si="2005"/>
        <v>0</v>
      </c>
      <c r="BT1087" s="552">
        <f t="shared" si="2005"/>
        <v>0</v>
      </c>
      <c r="BU1087" s="552">
        <f t="shared" si="2005"/>
        <v>0</v>
      </c>
      <c r="BV1087" s="552">
        <f t="shared" si="2005"/>
        <v>0</v>
      </c>
      <c r="BW1087" s="552">
        <f t="shared" ref="BW1087:DB1087" si="2006">BW125*BW$338</f>
        <v>0</v>
      </c>
      <c r="BX1087" s="552">
        <f t="shared" si="2006"/>
        <v>0</v>
      </c>
      <c r="BY1087" s="552">
        <f t="shared" si="2006"/>
        <v>0</v>
      </c>
      <c r="BZ1087" s="552">
        <f t="shared" si="2006"/>
        <v>0</v>
      </c>
      <c r="CA1087" s="552">
        <f t="shared" si="2006"/>
        <v>0</v>
      </c>
      <c r="CB1087" s="552">
        <f t="shared" si="2006"/>
        <v>0</v>
      </c>
      <c r="CC1087" s="552">
        <f t="shared" si="2006"/>
        <v>0</v>
      </c>
      <c r="CD1087" s="552">
        <f t="shared" si="2006"/>
        <v>0</v>
      </c>
      <c r="CE1087" s="552">
        <f t="shared" si="2006"/>
        <v>0</v>
      </c>
      <c r="CF1087" s="552">
        <f t="shared" si="2006"/>
        <v>0</v>
      </c>
      <c r="CG1087" s="552">
        <f t="shared" si="2006"/>
        <v>0</v>
      </c>
      <c r="CH1087" s="552">
        <f t="shared" si="2006"/>
        <v>0</v>
      </c>
      <c r="CI1087" s="552">
        <f t="shared" si="2006"/>
        <v>0</v>
      </c>
      <c r="CJ1087" s="552">
        <f t="shared" si="2006"/>
        <v>0</v>
      </c>
      <c r="CK1087" s="552">
        <f t="shared" si="2006"/>
        <v>0</v>
      </c>
      <c r="CL1087" s="552">
        <f t="shared" si="2006"/>
        <v>0</v>
      </c>
      <c r="CM1087" s="552">
        <f t="shared" si="2006"/>
        <v>0</v>
      </c>
      <c r="CN1087" s="552">
        <f t="shared" si="2006"/>
        <v>0</v>
      </c>
      <c r="CO1087" s="552">
        <f t="shared" si="2006"/>
        <v>0</v>
      </c>
      <c r="CP1087" s="552">
        <f t="shared" si="2006"/>
        <v>0</v>
      </c>
      <c r="CQ1087" s="552">
        <f t="shared" si="2006"/>
        <v>0</v>
      </c>
      <c r="CR1087" s="552">
        <f t="shared" si="2006"/>
        <v>0</v>
      </c>
      <c r="CS1087" s="552">
        <f t="shared" si="2006"/>
        <v>0</v>
      </c>
      <c r="CT1087" s="552">
        <f t="shared" si="2006"/>
        <v>0</v>
      </c>
      <c r="CU1087" s="552">
        <f t="shared" si="2006"/>
        <v>0</v>
      </c>
      <c r="CV1087" s="552">
        <f t="shared" si="2006"/>
        <v>0</v>
      </c>
      <c r="CW1087" s="552">
        <f t="shared" si="2006"/>
        <v>0</v>
      </c>
      <c r="CX1087" s="552">
        <f t="shared" si="2006"/>
        <v>0</v>
      </c>
      <c r="CY1087" s="552">
        <f t="shared" si="2006"/>
        <v>0</v>
      </c>
      <c r="CZ1087" s="552">
        <f t="shared" si="2006"/>
        <v>0</v>
      </c>
      <c r="DA1087" s="552">
        <f t="shared" si="2006"/>
        <v>0</v>
      </c>
      <c r="DB1087" s="552">
        <f t="shared" si="2006"/>
        <v>0</v>
      </c>
      <c r="DC1087" s="552">
        <f t="shared" ref="DC1087:EH1087" si="2007">DC125*DC$338</f>
        <v>0</v>
      </c>
      <c r="DD1087" s="552">
        <f t="shared" si="2007"/>
        <v>0</v>
      </c>
      <c r="DE1087" s="552">
        <f t="shared" si="2007"/>
        <v>0</v>
      </c>
      <c r="DF1087" s="552">
        <f t="shared" si="2007"/>
        <v>0</v>
      </c>
      <c r="DG1087" s="552">
        <f t="shared" si="2007"/>
        <v>0</v>
      </c>
      <c r="DH1087" s="552">
        <f t="shared" si="2007"/>
        <v>0</v>
      </c>
      <c r="DI1087" s="552">
        <f t="shared" si="2007"/>
        <v>0</v>
      </c>
      <c r="DJ1087" s="552">
        <f t="shared" si="2007"/>
        <v>0</v>
      </c>
      <c r="DK1087" s="552">
        <f t="shared" si="2007"/>
        <v>0</v>
      </c>
      <c r="DL1087" s="552">
        <f t="shared" si="2007"/>
        <v>0</v>
      </c>
      <c r="DM1087" s="552">
        <f t="shared" si="2007"/>
        <v>0</v>
      </c>
      <c r="DN1087" s="552">
        <f t="shared" si="2007"/>
        <v>0</v>
      </c>
      <c r="DO1087" s="552">
        <f t="shared" si="2007"/>
        <v>0</v>
      </c>
      <c r="DP1087" s="552">
        <f t="shared" si="2007"/>
        <v>0</v>
      </c>
      <c r="DQ1087" s="552">
        <f t="shared" si="2007"/>
        <v>0</v>
      </c>
      <c r="DR1087" s="552">
        <f t="shared" si="2007"/>
        <v>0</v>
      </c>
      <c r="DS1087" s="552">
        <f t="shared" si="2007"/>
        <v>0</v>
      </c>
      <c r="DT1087" s="552">
        <f t="shared" si="2007"/>
        <v>0</v>
      </c>
      <c r="DU1087" s="552">
        <f t="shared" si="2007"/>
        <v>0</v>
      </c>
      <c r="DV1087" s="552">
        <f t="shared" si="2007"/>
        <v>0</v>
      </c>
      <c r="DW1087" s="552">
        <f t="shared" si="2007"/>
        <v>0</v>
      </c>
      <c r="DX1087" s="552">
        <f t="shared" si="2007"/>
        <v>0</v>
      </c>
      <c r="DY1087" s="552">
        <f t="shared" si="2007"/>
        <v>0</v>
      </c>
      <c r="DZ1087" s="552">
        <f t="shared" si="2007"/>
        <v>0</v>
      </c>
      <c r="EA1087" s="552">
        <f t="shared" si="2007"/>
        <v>0</v>
      </c>
      <c r="EB1087" s="552">
        <f t="shared" si="2007"/>
        <v>0</v>
      </c>
      <c r="EC1087" s="552">
        <f t="shared" si="2007"/>
        <v>0</v>
      </c>
      <c r="ED1087" s="552">
        <f t="shared" si="2007"/>
        <v>0</v>
      </c>
      <c r="EE1087" s="552">
        <f t="shared" si="2007"/>
        <v>0</v>
      </c>
      <c r="EF1087" s="552">
        <f t="shared" si="2007"/>
        <v>0</v>
      </c>
      <c r="EG1087" s="552">
        <f t="shared" si="2007"/>
        <v>0</v>
      </c>
      <c r="EH1087" s="552">
        <f t="shared" si="2007"/>
        <v>0</v>
      </c>
      <c r="EI1087" s="552">
        <f t="shared" ref="EI1087:EX1087" si="2008">EI125*EI$338</f>
        <v>0</v>
      </c>
      <c r="EJ1087" s="552">
        <f t="shared" si="2008"/>
        <v>0</v>
      </c>
      <c r="EK1087" s="552">
        <f t="shared" si="2008"/>
        <v>0</v>
      </c>
      <c r="EL1087" s="552">
        <f t="shared" si="2008"/>
        <v>0</v>
      </c>
      <c r="EM1087" s="552">
        <f t="shared" si="2008"/>
        <v>0</v>
      </c>
      <c r="EN1087" s="552">
        <f t="shared" si="2008"/>
        <v>0</v>
      </c>
      <c r="EO1087" s="552">
        <f t="shared" si="2008"/>
        <v>0</v>
      </c>
      <c r="EP1087" s="552">
        <f t="shared" si="2008"/>
        <v>0</v>
      </c>
      <c r="EQ1087" s="552">
        <f t="shared" si="2008"/>
        <v>0</v>
      </c>
      <c r="ER1087" s="552">
        <f t="shared" si="2008"/>
        <v>0</v>
      </c>
      <c r="ES1087" s="552">
        <f t="shared" si="2008"/>
        <v>0</v>
      </c>
      <c r="ET1087" s="552">
        <f t="shared" si="2008"/>
        <v>0</v>
      </c>
      <c r="EU1087" s="552">
        <f t="shared" si="2008"/>
        <v>0</v>
      </c>
      <c r="EV1087" s="552">
        <f t="shared" si="2008"/>
        <v>0</v>
      </c>
      <c r="EW1087" s="552">
        <f t="shared" si="2008"/>
        <v>0</v>
      </c>
      <c r="EX1087" s="552">
        <f t="shared" si="2008"/>
        <v>0</v>
      </c>
      <c r="EY1087" s="799">
        <f t="shared" si="1775"/>
        <v>0</v>
      </c>
      <c r="EZ1087" s="640"/>
      <c r="FA1087" s="640"/>
      <c r="FB1087" s="640"/>
      <c r="FC1087" s="640"/>
      <c r="FD1087" s="640"/>
      <c r="FE1087" s="640"/>
      <c r="FF1087" s="640"/>
      <c r="FG1087" s="640"/>
      <c r="FH1087" s="640"/>
      <c r="FI1087" s="640"/>
      <c r="FJ1087" s="640"/>
      <c r="FK1087" s="640"/>
      <c r="FL1087" s="640"/>
    </row>
    <row r="1088" spans="1:168" x14ac:dyDescent="0.25">
      <c r="A1088" s="254"/>
      <c r="B1088" s="625" t="s">
        <v>113</v>
      </c>
      <c r="C1088" s="1135"/>
      <c r="D1088" s="1138">
        <f>SUM(D1079:D1087)</f>
        <v>34.020000000000003</v>
      </c>
      <c r="E1088" s="1138">
        <f t="shared" ref="E1088:J1088" si="2009">SUM(E1079:E1087)</f>
        <v>174.36</v>
      </c>
      <c r="F1088" s="1138"/>
      <c r="G1088" s="1138">
        <f t="shared" si="2009"/>
        <v>0</v>
      </c>
      <c r="H1088" s="1138">
        <f t="shared" si="2009"/>
        <v>0</v>
      </c>
      <c r="I1088" s="554"/>
      <c r="J1088" s="1138">
        <f t="shared" si="2009"/>
        <v>0</v>
      </c>
      <c r="K1088" s="1138">
        <f t="shared" ref="K1088" si="2010">SUM(K1079:K1087)</f>
        <v>0</v>
      </c>
      <c r="L1088" s="1138">
        <f t="shared" ref="L1088" si="2011">SUM(L1079:L1087)</f>
        <v>0</v>
      </c>
      <c r="M1088" s="1138">
        <f t="shared" ref="M1088" si="2012">SUM(M1079:M1087)</f>
        <v>0</v>
      </c>
      <c r="N1088" s="1138">
        <f t="shared" ref="N1088" si="2013">SUM(N1079:N1087)</f>
        <v>0</v>
      </c>
      <c r="O1088" s="1138">
        <f t="shared" ref="O1088" si="2014">SUM(O1079:O1087)</f>
        <v>0</v>
      </c>
      <c r="P1088" s="1138">
        <f t="shared" ref="P1088" si="2015">SUM(P1079:P1087)</f>
        <v>0</v>
      </c>
      <c r="Q1088" s="1138">
        <f t="shared" ref="Q1088" si="2016">SUM(Q1079:Q1087)</f>
        <v>0</v>
      </c>
      <c r="R1088" s="1138">
        <f t="shared" ref="R1088" si="2017">SUM(R1079:R1087)</f>
        <v>0</v>
      </c>
      <c r="S1088" s="1138">
        <f t="shared" ref="S1088" si="2018">SUM(S1079:S1087)</f>
        <v>52.52</v>
      </c>
      <c r="T1088" s="1138">
        <f t="shared" ref="T1088" si="2019">SUM(T1079:T1087)</f>
        <v>0</v>
      </c>
      <c r="U1088" s="1138">
        <f t="shared" ref="U1088" si="2020">SUM(U1079:U1087)</f>
        <v>1.9</v>
      </c>
      <c r="V1088" s="1138">
        <f t="shared" ref="V1088" si="2021">SUM(V1079:V1087)</f>
        <v>3.73</v>
      </c>
      <c r="W1088" s="1138">
        <f t="shared" ref="W1088" si="2022">SUM(W1079:W1087)</f>
        <v>0</v>
      </c>
      <c r="X1088" s="1138">
        <f t="shared" ref="X1088" si="2023">SUM(X1079:X1087)</f>
        <v>0</v>
      </c>
      <c r="Y1088" s="1138">
        <f t="shared" ref="Y1088" si="2024">SUM(Y1079:Y1087)</f>
        <v>1.17</v>
      </c>
      <c r="Z1088" s="1138">
        <f t="shared" ref="Z1088" si="2025">SUM(Z1079:Z1087)</f>
        <v>0</v>
      </c>
      <c r="AA1088" s="1138">
        <f t="shared" ref="AA1088" si="2026">SUM(AA1079:AA1087)</f>
        <v>0</v>
      </c>
      <c r="AB1088" s="1138">
        <f t="shared" ref="AB1088" si="2027">SUM(AB1079:AB1087)</f>
        <v>0</v>
      </c>
      <c r="AC1088" s="1138">
        <f t="shared" ref="AC1088" si="2028">SUM(AC1079:AC1087)</f>
        <v>0</v>
      </c>
      <c r="AD1088" s="1138">
        <f t="shared" ref="AD1088" si="2029">SUM(AD1079:AD1087)</f>
        <v>0</v>
      </c>
      <c r="AE1088" s="1138">
        <f t="shared" ref="AE1088" si="2030">SUM(AE1079:AE1087)</f>
        <v>0</v>
      </c>
      <c r="AF1088" s="1138">
        <f t="shared" ref="AF1088" si="2031">SUM(AF1079:AF1087)</f>
        <v>3.14</v>
      </c>
      <c r="AG1088" s="1138">
        <f t="shared" ref="AG1088" si="2032">SUM(AG1079:AG1087)</f>
        <v>0</v>
      </c>
      <c r="AH1088" s="1138">
        <f t="shared" ref="AH1088" si="2033">SUM(AH1079:AH1087)</f>
        <v>13.55</v>
      </c>
      <c r="AI1088" s="1138">
        <f t="shared" ref="AI1088" si="2034">SUM(AI1079:AI1087)</f>
        <v>0</v>
      </c>
      <c r="AJ1088" s="1138">
        <f t="shared" ref="AJ1088" si="2035">SUM(AJ1079:AJ1087)</f>
        <v>0</v>
      </c>
      <c r="AK1088" s="1138">
        <f t="shared" ref="AK1088" si="2036">SUM(AK1079:AK1087)</f>
        <v>1.49</v>
      </c>
      <c r="AL1088" s="1138">
        <f t="shared" ref="AL1088" si="2037">SUM(AL1079:AL1087)</f>
        <v>0</v>
      </c>
      <c r="AM1088" s="1138">
        <f t="shared" ref="AM1088" si="2038">SUM(AM1079:AM1087)</f>
        <v>0</v>
      </c>
      <c r="AN1088" s="1138">
        <f t="shared" ref="AN1088" si="2039">SUM(AN1079:AN1087)</f>
        <v>0</v>
      </c>
      <c r="AO1088" s="1138">
        <f t="shared" ref="AO1088" si="2040">SUM(AO1079:AO1087)</f>
        <v>0</v>
      </c>
      <c r="AP1088" s="1138">
        <f t="shared" ref="AP1088" si="2041">SUM(AP1079:AP1087)</f>
        <v>0</v>
      </c>
      <c r="AQ1088" s="1138">
        <f t="shared" ref="AQ1088" si="2042">SUM(AQ1079:AQ1087)</f>
        <v>4.12</v>
      </c>
      <c r="AR1088" s="1138">
        <f t="shared" ref="AR1088" si="2043">SUM(AR1079:AR1087)</f>
        <v>0</v>
      </c>
      <c r="AS1088" s="1138">
        <f t="shared" ref="AS1088" si="2044">SUM(AS1079:AS1087)</f>
        <v>0</v>
      </c>
      <c r="AT1088" s="1138">
        <f t="shared" ref="AT1088" si="2045">SUM(AT1079:AT1087)</f>
        <v>2.1</v>
      </c>
      <c r="AU1088" s="1138">
        <f t="shared" ref="AU1088" si="2046">SUM(AU1079:AU1087)</f>
        <v>0</v>
      </c>
      <c r="AV1088" s="1138">
        <f t="shared" ref="AV1088" si="2047">SUM(AV1079:AV1087)</f>
        <v>0</v>
      </c>
      <c r="AW1088" s="1138">
        <f t="shared" ref="AW1088" si="2048">SUM(AW1079:AW1087)</f>
        <v>0</v>
      </c>
      <c r="AX1088" s="1138">
        <f t="shared" ref="AX1088" si="2049">SUM(AX1079:AX1087)</f>
        <v>0</v>
      </c>
      <c r="AY1088" s="1138">
        <f t="shared" ref="AY1088" si="2050">SUM(AY1079:AY1087)</f>
        <v>0</v>
      </c>
      <c r="AZ1088" s="1138">
        <f t="shared" ref="AZ1088" si="2051">SUM(AZ1079:AZ1087)</f>
        <v>0</v>
      </c>
      <c r="BA1088" s="1138">
        <f t="shared" ref="BA1088" si="2052">SUM(BA1079:BA1087)</f>
        <v>0</v>
      </c>
      <c r="BB1088" s="1138">
        <f t="shared" ref="BB1088" si="2053">SUM(BB1079:BB1087)</f>
        <v>0</v>
      </c>
      <c r="BC1088" s="1138">
        <f t="shared" ref="BC1088" si="2054">SUM(BC1079:BC1087)</f>
        <v>0</v>
      </c>
      <c r="BD1088" s="1138">
        <f t="shared" ref="BD1088" si="2055">SUM(BD1079:BD1087)</f>
        <v>0</v>
      </c>
      <c r="BE1088" s="1138">
        <f t="shared" ref="BE1088" si="2056">SUM(BE1079:BE1087)</f>
        <v>0</v>
      </c>
      <c r="BF1088" s="1138">
        <f t="shared" ref="BF1088" si="2057">SUM(BF1079:BF1087)</f>
        <v>0</v>
      </c>
      <c r="BG1088" s="1138">
        <f t="shared" ref="BG1088" si="2058">SUM(BG1079:BG1087)</f>
        <v>0</v>
      </c>
      <c r="BH1088" s="1138">
        <f t="shared" ref="BH1088" si="2059">SUM(BH1079:BH1087)</f>
        <v>0</v>
      </c>
      <c r="BI1088" s="1138">
        <f t="shared" ref="BI1088" si="2060">SUM(BI1079:BI1087)</f>
        <v>0</v>
      </c>
      <c r="BJ1088" s="1138">
        <f t="shared" ref="BJ1088" si="2061">SUM(BJ1079:BJ1087)</f>
        <v>0</v>
      </c>
      <c r="BK1088" s="1138">
        <f t="shared" ref="BK1088" si="2062">SUM(BK1079:BK1087)</f>
        <v>0</v>
      </c>
      <c r="BL1088" s="1138">
        <f t="shared" ref="BL1088" si="2063">SUM(BL1079:BL1087)</f>
        <v>0</v>
      </c>
      <c r="BM1088" s="1138">
        <f t="shared" ref="BM1088" si="2064">SUM(BM1079:BM1087)</f>
        <v>0</v>
      </c>
      <c r="BN1088" s="1138">
        <f t="shared" ref="BN1088" si="2065">SUM(BN1079:BN1087)</f>
        <v>0</v>
      </c>
      <c r="BO1088" s="1138">
        <f t="shared" ref="BO1088" si="2066">SUM(BO1079:BO1087)</f>
        <v>0</v>
      </c>
      <c r="BP1088" s="1138">
        <f t="shared" ref="BP1088" si="2067">SUM(BP1079:BP1087)</f>
        <v>0</v>
      </c>
      <c r="BQ1088" s="1138">
        <f t="shared" ref="BQ1088" si="2068">SUM(BQ1079:BQ1087)</f>
        <v>0</v>
      </c>
      <c r="BR1088" s="1138">
        <f t="shared" ref="BR1088" si="2069">SUM(BR1079:BR1087)</f>
        <v>0</v>
      </c>
      <c r="BS1088" s="1138">
        <f t="shared" ref="BS1088" si="2070">SUM(BS1079:BS1087)</f>
        <v>0</v>
      </c>
      <c r="BT1088" s="1138">
        <f t="shared" ref="BT1088" si="2071">SUM(BT1079:BT1087)</f>
        <v>0</v>
      </c>
      <c r="BU1088" s="1138">
        <f t="shared" ref="BU1088" si="2072">SUM(BU1079:BU1087)</f>
        <v>0</v>
      </c>
      <c r="BV1088" s="1138">
        <f t="shared" ref="BV1088" si="2073">SUM(BV1079:BV1087)</f>
        <v>0</v>
      </c>
      <c r="BW1088" s="1138">
        <f t="shared" ref="BW1088" si="2074">SUM(BW1079:BW1087)</f>
        <v>0</v>
      </c>
      <c r="BX1088" s="1138">
        <f t="shared" ref="BX1088" si="2075">SUM(BX1079:BX1087)</f>
        <v>0</v>
      </c>
      <c r="BY1088" s="1138">
        <f t="shared" ref="BY1088" si="2076">SUM(BY1079:BY1087)</f>
        <v>0</v>
      </c>
      <c r="BZ1088" s="1138">
        <f t="shared" ref="BZ1088" si="2077">SUM(BZ1079:BZ1087)</f>
        <v>0</v>
      </c>
      <c r="CA1088" s="1138">
        <f t="shared" ref="CA1088" si="2078">SUM(CA1079:CA1087)</f>
        <v>0</v>
      </c>
      <c r="CB1088" s="1138">
        <f t="shared" ref="CB1088" si="2079">SUM(CB1079:CB1087)</f>
        <v>0.49</v>
      </c>
      <c r="CC1088" s="1138">
        <f t="shared" ref="CC1088" si="2080">SUM(CC1079:CC1087)</f>
        <v>0</v>
      </c>
      <c r="CD1088" s="1138">
        <f t="shared" ref="CD1088" si="2081">SUM(CD1079:CD1087)</f>
        <v>0</v>
      </c>
      <c r="CE1088" s="1138">
        <f t="shared" ref="CE1088" si="2082">SUM(CE1079:CE1087)</f>
        <v>0</v>
      </c>
      <c r="CF1088" s="1138">
        <f t="shared" ref="CF1088" si="2083">SUM(CF1079:CF1087)</f>
        <v>2.23</v>
      </c>
      <c r="CG1088" s="1138">
        <f t="shared" ref="CG1088" si="2084">SUM(CG1079:CG1087)</f>
        <v>0</v>
      </c>
      <c r="CH1088" s="1138">
        <f t="shared" ref="CH1088" si="2085">SUM(CH1079:CH1087)</f>
        <v>0</v>
      </c>
      <c r="CI1088" s="1138">
        <f t="shared" ref="CI1088" si="2086">SUM(CI1079:CI1087)</f>
        <v>0</v>
      </c>
      <c r="CJ1088" s="1138">
        <f t="shared" ref="CJ1088" si="2087">SUM(CJ1079:CJ1087)</f>
        <v>0</v>
      </c>
      <c r="CK1088" s="1138">
        <f t="shared" ref="CK1088" si="2088">SUM(CK1079:CK1087)</f>
        <v>0</v>
      </c>
      <c r="CL1088" s="1138">
        <f t="shared" ref="CL1088" si="2089">SUM(CL1079:CL1087)</f>
        <v>0</v>
      </c>
      <c r="CM1088" s="1138">
        <f t="shared" ref="CM1088" si="2090">SUM(CM1079:CM1087)</f>
        <v>0</v>
      </c>
      <c r="CN1088" s="1138">
        <f t="shared" ref="CN1088" si="2091">SUM(CN1079:CN1087)</f>
        <v>0</v>
      </c>
      <c r="CO1088" s="1138">
        <f t="shared" ref="CO1088" si="2092">SUM(CO1079:CO1087)</f>
        <v>0</v>
      </c>
      <c r="CP1088" s="1138">
        <f t="shared" ref="CP1088" si="2093">SUM(CP1079:CP1087)</f>
        <v>0</v>
      </c>
      <c r="CQ1088" s="1138">
        <f t="shared" ref="CQ1088" si="2094">SUM(CQ1079:CQ1087)</f>
        <v>0.11</v>
      </c>
      <c r="CR1088" s="1138">
        <f t="shared" ref="CR1088" si="2095">SUM(CR1079:CR1087)</f>
        <v>0</v>
      </c>
      <c r="CS1088" s="1138">
        <f t="shared" ref="CS1088" si="2096">SUM(CS1079:CS1087)</f>
        <v>0</v>
      </c>
      <c r="CT1088" s="1138">
        <f t="shared" ref="CT1088" si="2097">SUM(CT1079:CT1087)</f>
        <v>2.0099999999999998</v>
      </c>
      <c r="CU1088" s="1138">
        <f t="shared" ref="CU1088" si="2098">SUM(CU1079:CU1087)</f>
        <v>0</v>
      </c>
      <c r="CV1088" s="1138">
        <f t="shared" ref="CV1088" si="2099">SUM(CV1079:CV1087)</f>
        <v>0</v>
      </c>
      <c r="CW1088" s="1138">
        <f t="shared" ref="CW1088" si="2100">SUM(CW1079:CW1087)</f>
        <v>0</v>
      </c>
      <c r="CX1088" s="1138">
        <f t="shared" ref="CX1088" si="2101">SUM(CX1079:CX1087)</f>
        <v>0</v>
      </c>
      <c r="CY1088" s="1138">
        <f t="shared" ref="CY1088" si="2102">SUM(CY1079:CY1087)</f>
        <v>0</v>
      </c>
      <c r="CZ1088" s="1138">
        <f t="shared" ref="CZ1088" si="2103">SUM(CZ1079:CZ1087)</f>
        <v>2.02</v>
      </c>
      <c r="DA1088" s="1138">
        <f t="shared" ref="DA1088" si="2104">SUM(DA1079:DA1087)</f>
        <v>0</v>
      </c>
      <c r="DB1088" s="1138">
        <f t="shared" ref="DB1088" si="2105">SUM(DB1079:DB1087)</f>
        <v>0</v>
      </c>
      <c r="DC1088" s="1138">
        <f t="shared" ref="DC1088" si="2106">SUM(DC1079:DC1087)</f>
        <v>0.03</v>
      </c>
      <c r="DD1088" s="1138">
        <f t="shared" ref="DD1088" si="2107">SUM(DD1079:DD1087)</f>
        <v>0</v>
      </c>
      <c r="DE1088" s="1138">
        <f t="shared" ref="DE1088" si="2108">SUM(DE1079:DE1087)</f>
        <v>2.6</v>
      </c>
      <c r="DF1088" s="1138">
        <f t="shared" ref="DF1088" si="2109">SUM(DF1079:DF1087)</f>
        <v>2.9</v>
      </c>
      <c r="DG1088" s="1138">
        <f t="shared" ref="DG1088" si="2110">SUM(DG1079:DG1087)</f>
        <v>0</v>
      </c>
      <c r="DH1088" s="1138">
        <f t="shared" ref="DH1088" si="2111">SUM(DH1079:DH1087)</f>
        <v>0</v>
      </c>
      <c r="DI1088" s="1138">
        <f t="shared" ref="DI1088" si="2112">SUM(DI1079:DI1087)</f>
        <v>0</v>
      </c>
      <c r="DJ1088" s="1138">
        <f t="shared" ref="DJ1088" si="2113">SUM(DJ1079:DJ1087)</f>
        <v>0</v>
      </c>
      <c r="DK1088" s="1138">
        <f t="shared" ref="DK1088" si="2114">SUM(DK1079:DK1087)</f>
        <v>0</v>
      </c>
      <c r="DL1088" s="1138">
        <f t="shared" ref="DL1088" si="2115">SUM(DL1079:DL1087)</f>
        <v>0</v>
      </c>
      <c r="DM1088" s="1138">
        <f t="shared" ref="DM1088" si="2116">SUM(DM1079:DM1087)</f>
        <v>0</v>
      </c>
      <c r="DN1088" s="1138">
        <f t="shared" ref="DN1088" si="2117">SUM(DN1079:DN1087)</f>
        <v>0</v>
      </c>
      <c r="DO1088" s="1138">
        <f t="shared" ref="DO1088" si="2118">SUM(DO1079:DO1087)</f>
        <v>0</v>
      </c>
      <c r="DP1088" s="1138">
        <f t="shared" ref="DP1088" si="2119">SUM(DP1079:DP1087)</f>
        <v>0</v>
      </c>
      <c r="DQ1088" s="1138">
        <f t="shared" ref="DQ1088" si="2120">SUM(DQ1079:DQ1087)</f>
        <v>0</v>
      </c>
      <c r="DR1088" s="1138">
        <f t="shared" ref="DR1088" si="2121">SUM(DR1079:DR1087)</f>
        <v>0</v>
      </c>
      <c r="DS1088" s="1138">
        <f t="shared" ref="DS1088" si="2122">SUM(DS1079:DS1087)</f>
        <v>0</v>
      </c>
      <c r="DT1088" s="1138">
        <f t="shared" ref="DT1088" si="2123">SUM(DT1079:DT1087)</f>
        <v>0</v>
      </c>
      <c r="DU1088" s="1138">
        <f t="shared" ref="DU1088" si="2124">SUM(DU1079:DU1087)</f>
        <v>0</v>
      </c>
      <c r="DV1088" s="1138">
        <f t="shared" ref="DV1088" si="2125">SUM(DV1079:DV1087)</f>
        <v>0</v>
      </c>
      <c r="DW1088" s="1138">
        <f t="shared" ref="DW1088" si="2126">SUM(DW1079:DW1087)</f>
        <v>0</v>
      </c>
      <c r="DX1088" s="1138">
        <f t="shared" ref="DX1088" si="2127">SUM(DX1079:DX1087)</f>
        <v>0</v>
      </c>
      <c r="DY1088" s="1138">
        <f t="shared" ref="DY1088" si="2128">SUM(DY1079:DY1087)</f>
        <v>0</v>
      </c>
      <c r="DZ1088" s="1138">
        <f t="shared" ref="DZ1088" si="2129">SUM(DZ1079:DZ1087)</f>
        <v>0</v>
      </c>
      <c r="EA1088" s="1138">
        <f t="shared" ref="EA1088" si="2130">SUM(EA1079:EA1087)</f>
        <v>75</v>
      </c>
      <c r="EB1088" s="1138">
        <f t="shared" ref="EB1088" si="2131">SUM(EB1079:EB1087)</f>
        <v>0</v>
      </c>
      <c r="EC1088" s="1138">
        <f t="shared" ref="EC1088" si="2132">SUM(EC1079:EC1087)</f>
        <v>0</v>
      </c>
      <c r="ED1088" s="1138">
        <f t="shared" ref="ED1088" si="2133">SUM(ED1079:ED1087)</f>
        <v>0</v>
      </c>
      <c r="EE1088" s="1138">
        <f t="shared" ref="EE1088" si="2134">SUM(EE1079:EE1087)</f>
        <v>0</v>
      </c>
      <c r="EF1088" s="1138">
        <f t="shared" ref="EF1088" si="2135">SUM(EF1079:EF1087)</f>
        <v>0</v>
      </c>
      <c r="EG1088" s="1138">
        <f t="shared" ref="EG1088" si="2136">SUM(EG1079:EG1087)</f>
        <v>0</v>
      </c>
      <c r="EH1088" s="1138">
        <f t="shared" ref="EH1088" si="2137">SUM(EH1079:EH1087)</f>
        <v>0</v>
      </c>
      <c r="EI1088" s="1138">
        <f t="shared" ref="EI1088" si="2138">SUM(EI1079:EI1087)</f>
        <v>0</v>
      </c>
      <c r="EJ1088" s="1138">
        <f t="shared" ref="EJ1088" si="2139">SUM(EJ1079:EJ1087)</f>
        <v>0</v>
      </c>
      <c r="EK1088" s="1138">
        <f t="shared" ref="EK1088" si="2140">SUM(EK1079:EK1087)</f>
        <v>0</v>
      </c>
      <c r="EL1088" s="1138">
        <f t="shared" ref="EL1088" si="2141">SUM(EL1079:EL1087)</f>
        <v>0</v>
      </c>
      <c r="EM1088" s="1138">
        <f t="shared" ref="EM1088" si="2142">SUM(EM1079:EM1087)</f>
        <v>0</v>
      </c>
      <c r="EN1088" s="1138">
        <f t="shared" ref="EN1088" si="2143">SUM(EN1079:EN1087)</f>
        <v>0</v>
      </c>
      <c r="EO1088" s="1138">
        <f t="shared" ref="EO1088" si="2144">SUM(EO1079:EO1087)</f>
        <v>0</v>
      </c>
      <c r="EP1088" s="1138">
        <f t="shared" ref="EP1088" si="2145">SUM(EP1079:EP1087)</f>
        <v>0</v>
      </c>
      <c r="EQ1088" s="1138">
        <f t="shared" ref="EQ1088" si="2146">SUM(EQ1079:EQ1087)</f>
        <v>0</v>
      </c>
      <c r="ER1088" s="1138">
        <f t="shared" ref="ER1088" si="2147">SUM(ER1079:ER1087)</f>
        <v>0</v>
      </c>
      <c r="ES1088" s="1138">
        <f t="shared" ref="ES1088" si="2148">SUM(ES1079:ES1087)</f>
        <v>0</v>
      </c>
      <c r="ET1088" s="1138">
        <f t="shared" ref="ET1088" si="2149">SUM(ET1079:ET1087)</f>
        <v>0</v>
      </c>
      <c r="EU1088" s="1138">
        <f t="shared" ref="EU1088" si="2150">SUM(EU1079:EU1087)</f>
        <v>0</v>
      </c>
      <c r="EV1088" s="1138">
        <f t="shared" ref="EV1088" si="2151">SUM(EV1079:EV1087)</f>
        <v>1.3</v>
      </c>
      <c r="EW1088" s="1138">
        <f t="shared" ref="EW1088" si="2152">SUM(EW1079:EW1087)</f>
        <v>1.95</v>
      </c>
      <c r="EX1088" s="1138">
        <f t="shared" ref="EX1088:FL1088" si="2153">SUM(EX1079:EX1087)</f>
        <v>0</v>
      </c>
      <c r="EY1088" s="1138">
        <f t="shared" si="2153"/>
        <v>174.36</v>
      </c>
      <c r="EZ1088" s="1138">
        <f t="shared" si="2153"/>
        <v>0</v>
      </c>
      <c r="FA1088" s="1138">
        <f t="shared" si="2153"/>
        <v>0</v>
      </c>
      <c r="FB1088" s="1138">
        <f t="shared" si="2153"/>
        <v>0</v>
      </c>
      <c r="FC1088" s="1138">
        <f t="shared" si="2153"/>
        <v>0</v>
      </c>
      <c r="FD1088" s="1138">
        <f t="shared" si="2153"/>
        <v>0</v>
      </c>
      <c r="FE1088" s="1138">
        <f t="shared" si="2153"/>
        <v>0</v>
      </c>
      <c r="FF1088" s="1138">
        <f t="shared" si="2153"/>
        <v>0</v>
      </c>
      <c r="FG1088" s="1138">
        <f t="shared" si="2153"/>
        <v>0</v>
      </c>
      <c r="FH1088" s="1138">
        <f t="shared" si="2153"/>
        <v>0</v>
      </c>
      <c r="FI1088" s="1138">
        <f t="shared" si="2153"/>
        <v>0</v>
      </c>
      <c r="FJ1088" s="1138">
        <f t="shared" si="2153"/>
        <v>0</v>
      </c>
      <c r="FK1088" s="1138">
        <f t="shared" si="2153"/>
        <v>0</v>
      </c>
      <c r="FL1088" s="1138">
        <f t="shared" si="2153"/>
        <v>0</v>
      </c>
    </row>
    <row r="1089" spans="1:168" x14ac:dyDescent="0.25">
      <c r="A1089" s="1491" t="s">
        <v>800</v>
      </c>
      <c r="B1089" s="624">
        <f t="shared" ref="B1089:D1093" si="2154">B127</f>
        <v>0</v>
      </c>
      <c r="C1089" s="624">
        <f t="shared" si="2154"/>
        <v>0</v>
      </c>
      <c r="D1089" s="624">
        <f t="shared" si="2154"/>
        <v>0</v>
      </c>
      <c r="E1089" s="1158">
        <f t="shared" ref="E1089" si="2155">EY1089</f>
        <v>0</v>
      </c>
      <c r="F1089" s="1158"/>
      <c r="G1089" s="1140"/>
      <c r="H1089" s="1140"/>
      <c r="I1089" s="552"/>
      <c r="J1089" s="552">
        <f t="shared" ref="J1089:AO1089" si="2156">J127*J$338</f>
        <v>0</v>
      </c>
      <c r="K1089" s="552">
        <f t="shared" si="2156"/>
        <v>0</v>
      </c>
      <c r="L1089" s="552">
        <f t="shared" si="2156"/>
        <v>0</v>
      </c>
      <c r="M1089" s="552">
        <f t="shared" si="2156"/>
        <v>0</v>
      </c>
      <c r="N1089" s="552">
        <f t="shared" si="2156"/>
        <v>0</v>
      </c>
      <c r="O1089" s="552">
        <f t="shared" si="2156"/>
        <v>0</v>
      </c>
      <c r="P1089" s="552">
        <f t="shared" si="2156"/>
        <v>0</v>
      </c>
      <c r="Q1089" s="552">
        <f t="shared" si="2156"/>
        <v>0</v>
      </c>
      <c r="R1089" s="552">
        <f t="shared" si="2156"/>
        <v>0</v>
      </c>
      <c r="S1089" s="552">
        <f t="shared" si="2156"/>
        <v>0</v>
      </c>
      <c r="T1089" s="552">
        <f t="shared" si="2156"/>
        <v>0</v>
      </c>
      <c r="U1089" s="552">
        <f t="shared" si="2156"/>
        <v>0</v>
      </c>
      <c r="V1089" s="552">
        <f t="shared" si="2156"/>
        <v>0</v>
      </c>
      <c r="W1089" s="552">
        <f t="shared" si="2156"/>
        <v>0</v>
      </c>
      <c r="X1089" s="552">
        <f t="shared" si="2156"/>
        <v>0</v>
      </c>
      <c r="Y1089" s="552">
        <f t="shared" si="2156"/>
        <v>0</v>
      </c>
      <c r="Z1089" s="552">
        <f t="shared" si="2156"/>
        <v>0</v>
      </c>
      <c r="AA1089" s="552">
        <f t="shared" si="2156"/>
        <v>0</v>
      </c>
      <c r="AB1089" s="552">
        <f t="shared" si="2156"/>
        <v>0</v>
      </c>
      <c r="AC1089" s="552">
        <f t="shared" si="2156"/>
        <v>0</v>
      </c>
      <c r="AD1089" s="552">
        <f t="shared" si="2156"/>
        <v>0</v>
      </c>
      <c r="AE1089" s="552">
        <f t="shared" si="2156"/>
        <v>0</v>
      </c>
      <c r="AF1089" s="552">
        <f t="shared" si="2156"/>
        <v>0</v>
      </c>
      <c r="AG1089" s="552">
        <f t="shared" si="2156"/>
        <v>0</v>
      </c>
      <c r="AH1089" s="552">
        <f t="shared" si="2156"/>
        <v>0</v>
      </c>
      <c r="AI1089" s="552">
        <f t="shared" si="2156"/>
        <v>0</v>
      </c>
      <c r="AJ1089" s="552">
        <f t="shared" si="2156"/>
        <v>0</v>
      </c>
      <c r="AK1089" s="552">
        <f t="shared" si="2156"/>
        <v>0</v>
      </c>
      <c r="AL1089" s="552">
        <f t="shared" si="2156"/>
        <v>0</v>
      </c>
      <c r="AM1089" s="552">
        <f t="shared" si="2156"/>
        <v>0</v>
      </c>
      <c r="AN1089" s="552">
        <f t="shared" si="2156"/>
        <v>0</v>
      </c>
      <c r="AO1089" s="552">
        <f t="shared" si="2156"/>
        <v>0</v>
      </c>
      <c r="AP1089" s="552">
        <f t="shared" ref="AP1089:BU1089" si="2157">AP127*AP$338</f>
        <v>0</v>
      </c>
      <c r="AQ1089" s="552">
        <f t="shared" si="2157"/>
        <v>0</v>
      </c>
      <c r="AR1089" s="552">
        <f t="shared" si="2157"/>
        <v>0</v>
      </c>
      <c r="AS1089" s="552">
        <f t="shared" si="2157"/>
        <v>0</v>
      </c>
      <c r="AT1089" s="552">
        <f t="shared" si="2157"/>
        <v>0</v>
      </c>
      <c r="AU1089" s="552">
        <f t="shared" si="2157"/>
        <v>0</v>
      </c>
      <c r="AV1089" s="552">
        <f t="shared" si="2157"/>
        <v>0</v>
      </c>
      <c r="AW1089" s="552">
        <f t="shared" si="2157"/>
        <v>0</v>
      </c>
      <c r="AX1089" s="552">
        <f t="shared" si="2157"/>
        <v>0</v>
      </c>
      <c r="AY1089" s="552">
        <f t="shared" si="2157"/>
        <v>0</v>
      </c>
      <c r="AZ1089" s="552">
        <f t="shared" si="2157"/>
        <v>0</v>
      </c>
      <c r="BA1089" s="552">
        <f t="shared" si="2157"/>
        <v>0</v>
      </c>
      <c r="BB1089" s="552">
        <f t="shared" si="2157"/>
        <v>0</v>
      </c>
      <c r="BC1089" s="552">
        <f t="shared" si="2157"/>
        <v>0</v>
      </c>
      <c r="BD1089" s="552">
        <f t="shared" si="2157"/>
        <v>0</v>
      </c>
      <c r="BE1089" s="552">
        <f t="shared" si="2157"/>
        <v>0</v>
      </c>
      <c r="BF1089" s="552">
        <f t="shared" si="2157"/>
        <v>0</v>
      </c>
      <c r="BG1089" s="552">
        <f t="shared" si="2157"/>
        <v>0</v>
      </c>
      <c r="BH1089" s="552">
        <f t="shared" si="2157"/>
        <v>0</v>
      </c>
      <c r="BI1089" s="552">
        <f t="shared" si="2157"/>
        <v>0</v>
      </c>
      <c r="BJ1089" s="552">
        <f t="shared" si="2157"/>
        <v>0</v>
      </c>
      <c r="BK1089" s="552">
        <f t="shared" si="2157"/>
        <v>0</v>
      </c>
      <c r="BL1089" s="552">
        <f t="shared" si="2157"/>
        <v>0</v>
      </c>
      <c r="BM1089" s="552">
        <f t="shared" si="2157"/>
        <v>0</v>
      </c>
      <c r="BN1089" s="552">
        <f t="shared" si="2157"/>
        <v>0</v>
      </c>
      <c r="BO1089" s="552">
        <f t="shared" si="2157"/>
        <v>0</v>
      </c>
      <c r="BP1089" s="552">
        <f t="shared" si="2157"/>
        <v>0</v>
      </c>
      <c r="BQ1089" s="552">
        <f t="shared" si="2157"/>
        <v>0</v>
      </c>
      <c r="BR1089" s="552">
        <f t="shared" si="2157"/>
        <v>0</v>
      </c>
      <c r="BS1089" s="552">
        <f t="shared" si="2157"/>
        <v>0</v>
      </c>
      <c r="BT1089" s="552">
        <f t="shared" si="2157"/>
        <v>0</v>
      </c>
      <c r="BU1089" s="552">
        <f t="shared" si="2157"/>
        <v>0</v>
      </c>
      <c r="BV1089" s="552">
        <f t="shared" ref="BV1089:DA1089" si="2158">BV127*BV$338</f>
        <v>0</v>
      </c>
      <c r="BW1089" s="552">
        <f t="shared" si="2158"/>
        <v>0</v>
      </c>
      <c r="BX1089" s="552">
        <f t="shared" si="2158"/>
        <v>0</v>
      </c>
      <c r="BY1089" s="552">
        <f t="shared" si="2158"/>
        <v>0</v>
      </c>
      <c r="BZ1089" s="552">
        <f t="shared" si="2158"/>
        <v>0</v>
      </c>
      <c r="CA1089" s="552">
        <f t="shared" si="2158"/>
        <v>0</v>
      </c>
      <c r="CB1089" s="552">
        <f t="shared" si="2158"/>
        <v>0</v>
      </c>
      <c r="CC1089" s="552">
        <f t="shared" si="2158"/>
        <v>0</v>
      </c>
      <c r="CD1089" s="552">
        <f t="shared" si="2158"/>
        <v>0</v>
      </c>
      <c r="CE1089" s="552">
        <f t="shared" si="2158"/>
        <v>0</v>
      </c>
      <c r="CF1089" s="552">
        <f t="shared" si="2158"/>
        <v>0</v>
      </c>
      <c r="CG1089" s="552">
        <f t="shared" si="2158"/>
        <v>0</v>
      </c>
      <c r="CH1089" s="552">
        <f t="shared" si="2158"/>
        <v>0</v>
      </c>
      <c r="CI1089" s="552">
        <f t="shared" si="2158"/>
        <v>0</v>
      </c>
      <c r="CJ1089" s="552">
        <f t="shared" si="2158"/>
        <v>0</v>
      </c>
      <c r="CK1089" s="552">
        <f t="shared" si="2158"/>
        <v>0</v>
      </c>
      <c r="CL1089" s="552">
        <f t="shared" si="2158"/>
        <v>0</v>
      </c>
      <c r="CM1089" s="552">
        <f t="shared" si="2158"/>
        <v>0</v>
      </c>
      <c r="CN1089" s="552">
        <f t="shared" si="2158"/>
        <v>0</v>
      </c>
      <c r="CO1089" s="552">
        <f t="shared" si="2158"/>
        <v>0</v>
      </c>
      <c r="CP1089" s="552">
        <f t="shared" si="2158"/>
        <v>0</v>
      </c>
      <c r="CQ1089" s="552">
        <f t="shared" si="2158"/>
        <v>0</v>
      </c>
      <c r="CR1089" s="552">
        <f t="shared" si="2158"/>
        <v>0</v>
      </c>
      <c r="CS1089" s="552">
        <f t="shared" si="2158"/>
        <v>0</v>
      </c>
      <c r="CT1089" s="552">
        <f t="shared" si="2158"/>
        <v>0</v>
      </c>
      <c r="CU1089" s="552">
        <f t="shared" si="2158"/>
        <v>0</v>
      </c>
      <c r="CV1089" s="552">
        <f t="shared" si="2158"/>
        <v>0</v>
      </c>
      <c r="CW1089" s="552">
        <f t="shared" si="2158"/>
        <v>0</v>
      </c>
      <c r="CX1089" s="552">
        <f t="shared" si="2158"/>
        <v>0</v>
      </c>
      <c r="CY1089" s="552">
        <f t="shared" si="2158"/>
        <v>0</v>
      </c>
      <c r="CZ1089" s="552">
        <f t="shared" si="2158"/>
        <v>0</v>
      </c>
      <c r="DA1089" s="552">
        <f t="shared" si="2158"/>
        <v>0</v>
      </c>
      <c r="DB1089" s="552">
        <f t="shared" ref="DB1089:EG1089" si="2159">DB127*DB$338</f>
        <v>0</v>
      </c>
      <c r="DC1089" s="552">
        <f t="shared" si="2159"/>
        <v>0</v>
      </c>
      <c r="DD1089" s="552">
        <f t="shared" si="2159"/>
        <v>0</v>
      </c>
      <c r="DE1089" s="552">
        <f t="shared" si="2159"/>
        <v>0</v>
      </c>
      <c r="DF1089" s="552">
        <f t="shared" si="2159"/>
        <v>0</v>
      </c>
      <c r="DG1089" s="552">
        <f t="shared" si="2159"/>
        <v>0</v>
      </c>
      <c r="DH1089" s="552">
        <f t="shared" si="2159"/>
        <v>0</v>
      </c>
      <c r="DI1089" s="552">
        <f t="shared" si="2159"/>
        <v>0</v>
      </c>
      <c r="DJ1089" s="552">
        <f t="shared" si="2159"/>
        <v>0</v>
      </c>
      <c r="DK1089" s="552">
        <f t="shared" si="2159"/>
        <v>0</v>
      </c>
      <c r="DL1089" s="552">
        <f t="shared" si="2159"/>
        <v>0</v>
      </c>
      <c r="DM1089" s="552">
        <f t="shared" si="2159"/>
        <v>0</v>
      </c>
      <c r="DN1089" s="552">
        <f t="shared" si="2159"/>
        <v>0</v>
      </c>
      <c r="DO1089" s="552">
        <f t="shared" si="2159"/>
        <v>0</v>
      </c>
      <c r="DP1089" s="552">
        <f t="shared" si="2159"/>
        <v>0</v>
      </c>
      <c r="DQ1089" s="552">
        <f t="shared" si="2159"/>
        <v>0</v>
      </c>
      <c r="DR1089" s="552">
        <f t="shared" si="2159"/>
        <v>0</v>
      </c>
      <c r="DS1089" s="552">
        <f t="shared" si="2159"/>
        <v>0</v>
      </c>
      <c r="DT1089" s="552">
        <f t="shared" si="2159"/>
        <v>0</v>
      </c>
      <c r="DU1089" s="552">
        <f t="shared" si="2159"/>
        <v>0</v>
      </c>
      <c r="DV1089" s="552">
        <f t="shared" si="2159"/>
        <v>0</v>
      </c>
      <c r="DW1089" s="552">
        <f t="shared" si="2159"/>
        <v>0</v>
      </c>
      <c r="DX1089" s="552">
        <f t="shared" si="2159"/>
        <v>0</v>
      </c>
      <c r="DY1089" s="552">
        <f t="shared" si="2159"/>
        <v>0</v>
      </c>
      <c r="DZ1089" s="552">
        <f t="shared" si="2159"/>
        <v>0</v>
      </c>
      <c r="EA1089" s="552">
        <f t="shared" si="2159"/>
        <v>0</v>
      </c>
      <c r="EB1089" s="552">
        <f t="shared" si="2159"/>
        <v>0</v>
      </c>
      <c r="EC1089" s="552">
        <f t="shared" si="2159"/>
        <v>0</v>
      </c>
      <c r="ED1089" s="552">
        <f t="shared" si="2159"/>
        <v>0</v>
      </c>
      <c r="EE1089" s="552">
        <f t="shared" si="2159"/>
        <v>0</v>
      </c>
      <c r="EF1089" s="552">
        <f t="shared" si="2159"/>
        <v>0</v>
      </c>
      <c r="EG1089" s="552">
        <f t="shared" si="2159"/>
        <v>0</v>
      </c>
      <c r="EH1089" s="552">
        <f t="shared" ref="EH1089:EX1089" si="2160">EH127*EH$338</f>
        <v>0</v>
      </c>
      <c r="EI1089" s="552">
        <f t="shared" si="2160"/>
        <v>0</v>
      </c>
      <c r="EJ1089" s="552">
        <f t="shared" si="2160"/>
        <v>0</v>
      </c>
      <c r="EK1089" s="552">
        <f t="shared" si="2160"/>
        <v>0</v>
      </c>
      <c r="EL1089" s="552">
        <f t="shared" si="2160"/>
        <v>0</v>
      </c>
      <c r="EM1089" s="552">
        <f t="shared" si="2160"/>
        <v>0</v>
      </c>
      <c r="EN1089" s="552">
        <f t="shared" si="2160"/>
        <v>0</v>
      </c>
      <c r="EO1089" s="552">
        <f t="shared" si="2160"/>
        <v>0</v>
      </c>
      <c r="EP1089" s="552">
        <f t="shared" si="2160"/>
        <v>0</v>
      </c>
      <c r="EQ1089" s="552">
        <f t="shared" si="2160"/>
        <v>0</v>
      </c>
      <c r="ER1089" s="552">
        <f t="shared" si="2160"/>
        <v>0</v>
      </c>
      <c r="ES1089" s="552">
        <f t="shared" si="2160"/>
        <v>0</v>
      </c>
      <c r="ET1089" s="552">
        <f t="shared" si="2160"/>
        <v>0</v>
      </c>
      <c r="EU1089" s="552">
        <f t="shared" si="2160"/>
        <v>0</v>
      </c>
      <c r="EV1089" s="552">
        <f t="shared" si="2160"/>
        <v>0</v>
      </c>
      <c r="EW1089" s="552">
        <f t="shared" si="2160"/>
        <v>0</v>
      </c>
      <c r="EX1089" s="552">
        <f t="shared" si="2160"/>
        <v>0</v>
      </c>
      <c r="EY1089" s="799">
        <f t="shared" si="1775"/>
        <v>0</v>
      </c>
      <c r="EZ1089" s="640"/>
      <c r="FA1089" s="640"/>
      <c r="FB1089" s="640"/>
      <c r="FC1089" s="640"/>
      <c r="FD1089" s="640"/>
      <c r="FE1089" s="640"/>
      <c r="FF1089" s="640"/>
      <c r="FG1089" s="640"/>
      <c r="FH1089" s="640"/>
      <c r="FI1089" s="640"/>
      <c r="FJ1089" s="640"/>
      <c r="FK1089" s="640"/>
      <c r="FL1089" s="640"/>
    </row>
    <row r="1090" spans="1:168" x14ac:dyDescent="0.25">
      <c r="A1090" s="1492"/>
      <c r="B1090" s="624">
        <f t="shared" si="2154"/>
        <v>0</v>
      </c>
      <c r="C1090" s="624">
        <f t="shared" si="2154"/>
        <v>0</v>
      </c>
      <c r="D1090" s="624">
        <f t="shared" si="2154"/>
        <v>0</v>
      </c>
      <c r="E1090" s="1158">
        <f t="shared" ref="E1090:E1093" si="2161">EY1090</f>
        <v>0</v>
      </c>
      <c r="F1090" s="1158"/>
      <c r="G1090" s="1140"/>
      <c r="H1090" s="1140"/>
      <c r="I1090" s="552"/>
      <c r="J1090" s="552">
        <f t="shared" ref="J1090:AO1090" si="2162">J128*J$338</f>
        <v>0</v>
      </c>
      <c r="K1090" s="552">
        <f t="shared" si="2162"/>
        <v>0</v>
      </c>
      <c r="L1090" s="552">
        <f t="shared" si="2162"/>
        <v>0</v>
      </c>
      <c r="M1090" s="552">
        <f t="shared" si="2162"/>
        <v>0</v>
      </c>
      <c r="N1090" s="552">
        <f t="shared" si="2162"/>
        <v>0</v>
      </c>
      <c r="O1090" s="552">
        <f t="shared" si="2162"/>
        <v>0</v>
      </c>
      <c r="P1090" s="552">
        <f t="shared" si="2162"/>
        <v>0</v>
      </c>
      <c r="Q1090" s="552">
        <f t="shared" si="2162"/>
        <v>0</v>
      </c>
      <c r="R1090" s="552">
        <f t="shared" si="2162"/>
        <v>0</v>
      </c>
      <c r="S1090" s="552">
        <f t="shared" si="2162"/>
        <v>0</v>
      </c>
      <c r="T1090" s="552">
        <f t="shared" si="2162"/>
        <v>0</v>
      </c>
      <c r="U1090" s="552">
        <f t="shared" si="2162"/>
        <v>0</v>
      </c>
      <c r="V1090" s="552">
        <f t="shared" si="2162"/>
        <v>0</v>
      </c>
      <c r="W1090" s="552">
        <f t="shared" si="2162"/>
        <v>0</v>
      </c>
      <c r="X1090" s="552">
        <f t="shared" si="2162"/>
        <v>0</v>
      </c>
      <c r="Y1090" s="552">
        <f t="shared" si="2162"/>
        <v>0</v>
      </c>
      <c r="Z1090" s="552">
        <f t="shared" si="2162"/>
        <v>0</v>
      </c>
      <c r="AA1090" s="552">
        <f t="shared" si="2162"/>
        <v>0</v>
      </c>
      <c r="AB1090" s="552">
        <f t="shared" si="2162"/>
        <v>0</v>
      </c>
      <c r="AC1090" s="552">
        <f t="shared" si="2162"/>
        <v>0</v>
      </c>
      <c r="AD1090" s="552">
        <f t="shared" si="2162"/>
        <v>0</v>
      </c>
      <c r="AE1090" s="552">
        <f t="shared" si="2162"/>
        <v>0</v>
      </c>
      <c r="AF1090" s="552">
        <f t="shared" si="2162"/>
        <v>0</v>
      </c>
      <c r="AG1090" s="552">
        <f t="shared" si="2162"/>
        <v>0</v>
      </c>
      <c r="AH1090" s="552">
        <f t="shared" si="2162"/>
        <v>0</v>
      </c>
      <c r="AI1090" s="552">
        <f t="shared" si="2162"/>
        <v>0</v>
      </c>
      <c r="AJ1090" s="552">
        <f t="shared" si="2162"/>
        <v>0</v>
      </c>
      <c r="AK1090" s="552">
        <f t="shared" si="2162"/>
        <v>0</v>
      </c>
      <c r="AL1090" s="552">
        <f t="shared" si="2162"/>
        <v>0</v>
      </c>
      <c r="AM1090" s="552">
        <f t="shared" si="2162"/>
        <v>0</v>
      </c>
      <c r="AN1090" s="552">
        <f t="shared" si="2162"/>
        <v>0</v>
      </c>
      <c r="AO1090" s="552">
        <f t="shared" si="2162"/>
        <v>0</v>
      </c>
      <c r="AP1090" s="552">
        <f t="shared" ref="AP1090:BU1090" si="2163">AP128*AP$338</f>
        <v>0</v>
      </c>
      <c r="AQ1090" s="552">
        <f t="shared" si="2163"/>
        <v>0</v>
      </c>
      <c r="AR1090" s="552">
        <f t="shared" si="2163"/>
        <v>0</v>
      </c>
      <c r="AS1090" s="552">
        <f t="shared" si="2163"/>
        <v>0</v>
      </c>
      <c r="AT1090" s="552">
        <f t="shared" si="2163"/>
        <v>0</v>
      </c>
      <c r="AU1090" s="552">
        <f t="shared" si="2163"/>
        <v>0</v>
      </c>
      <c r="AV1090" s="552">
        <f t="shared" si="2163"/>
        <v>0</v>
      </c>
      <c r="AW1090" s="552">
        <f t="shared" si="2163"/>
        <v>0</v>
      </c>
      <c r="AX1090" s="552">
        <f t="shared" si="2163"/>
        <v>0</v>
      </c>
      <c r="AY1090" s="552">
        <f t="shared" si="2163"/>
        <v>0</v>
      </c>
      <c r="AZ1090" s="552">
        <f t="shared" si="2163"/>
        <v>0</v>
      </c>
      <c r="BA1090" s="552">
        <f t="shared" si="2163"/>
        <v>0</v>
      </c>
      <c r="BB1090" s="552">
        <f t="shared" si="2163"/>
        <v>0</v>
      </c>
      <c r="BC1090" s="552">
        <f t="shared" si="2163"/>
        <v>0</v>
      </c>
      <c r="BD1090" s="552">
        <f t="shared" si="2163"/>
        <v>0</v>
      </c>
      <c r="BE1090" s="552">
        <f t="shared" si="2163"/>
        <v>0</v>
      </c>
      <c r="BF1090" s="552">
        <f t="shared" si="2163"/>
        <v>0</v>
      </c>
      <c r="BG1090" s="552">
        <f t="shared" si="2163"/>
        <v>0</v>
      </c>
      <c r="BH1090" s="552">
        <f t="shared" si="2163"/>
        <v>0</v>
      </c>
      <c r="BI1090" s="552">
        <f t="shared" si="2163"/>
        <v>0</v>
      </c>
      <c r="BJ1090" s="552">
        <f t="shared" si="2163"/>
        <v>0</v>
      </c>
      <c r="BK1090" s="552">
        <f t="shared" si="2163"/>
        <v>0</v>
      </c>
      <c r="BL1090" s="552">
        <f t="shared" si="2163"/>
        <v>0</v>
      </c>
      <c r="BM1090" s="552">
        <f t="shared" si="2163"/>
        <v>0</v>
      </c>
      <c r="BN1090" s="552">
        <f t="shared" si="2163"/>
        <v>0</v>
      </c>
      <c r="BO1090" s="552">
        <f t="shared" si="2163"/>
        <v>0</v>
      </c>
      <c r="BP1090" s="552">
        <f t="shared" si="2163"/>
        <v>0</v>
      </c>
      <c r="BQ1090" s="552">
        <f t="shared" si="2163"/>
        <v>0</v>
      </c>
      <c r="BR1090" s="552">
        <f t="shared" si="2163"/>
        <v>0</v>
      </c>
      <c r="BS1090" s="552">
        <f t="shared" si="2163"/>
        <v>0</v>
      </c>
      <c r="BT1090" s="552">
        <f t="shared" si="2163"/>
        <v>0</v>
      </c>
      <c r="BU1090" s="552">
        <f t="shared" si="2163"/>
        <v>0</v>
      </c>
      <c r="BV1090" s="552">
        <f t="shared" ref="BV1090:DA1090" si="2164">BV128*BV$338</f>
        <v>0</v>
      </c>
      <c r="BW1090" s="552">
        <f t="shared" si="2164"/>
        <v>0</v>
      </c>
      <c r="BX1090" s="552">
        <f t="shared" si="2164"/>
        <v>0</v>
      </c>
      <c r="BY1090" s="552">
        <f t="shared" si="2164"/>
        <v>0</v>
      </c>
      <c r="BZ1090" s="552">
        <f t="shared" si="2164"/>
        <v>0</v>
      </c>
      <c r="CA1090" s="552">
        <f t="shared" si="2164"/>
        <v>0</v>
      </c>
      <c r="CB1090" s="552">
        <f t="shared" si="2164"/>
        <v>0</v>
      </c>
      <c r="CC1090" s="552">
        <f t="shared" si="2164"/>
        <v>0</v>
      </c>
      <c r="CD1090" s="552">
        <f t="shared" si="2164"/>
        <v>0</v>
      </c>
      <c r="CE1090" s="552">
        <f t="shared" si="2164"/>
        <v>0</v>
      </c>
      <c r="CF1090" s="552">
        <f t="shared" si="2164"/>
        <v>0</v>
      </c>
      <c r="CG1090" s="552">
        <f t="shared" si="2164"/>
        <v>0</v>
      </c>
      <c r="CH1090" s="552">
        <f t="shared" si="2164"/>
        <v>0</v>
      </c>
      <c r="CI1090" s="552">
        <f t="shared" si="2164"/>
        <v>0</v>
      </c>
      <c r="CJ1090" s="552">
        <f t="shared" si="2164"/>
        <v>0</v>
      </c>
      <c r="CK1090" s="552">
        <f t="shared" si="2164"/>
        <v>0</v>
      </c>
      <c r="CL1090" s="552">
        <f t="shared" si="2164"/>
        <v>0</v>
      </c>
      <c r="CM1090" s="552">
        <f t="shared" si="2164"/>
        <v>0</v>
      </c>
      <c r="CN1090" s="552">
        <f t="shared" si="2164"/>
        <v>0</v>
      </c>
      <c r="CO1090" s="552">
        <f t="shared" si="2164"/>
        <v>0</v>
      </c>
      <c r="CP1090" s="552">
        <f t="shared" si="2164"/>
        <v>0</v>
      </c>
      <c r="CQ1090" s="552">
        <f t="shared" si="2164"/>
        <v>0</v>
      </c>
      <c r="CR1090" s="552">
        <f t="shared" si="2164"/>
        <v>0</v>
      </c>
      <c r="CS1090" s="552">
        <f t="shared" si="2164"/>
        <v>0</v>
      </c>
      <c r="CT1090" s="552">
        <f t="shared" si="2164"/>
        <v>0</v>
      </c>
      <c r="CU1090" s="552">
        <f t="shared" si="2164"/>
        <v>0</v>
      </c>
      <c r="CV1090" s="552">
        <f t="shared" si="2164"/>
        <v>0</v>
      </c>
      <c r="CW1090" s="552">
        <f t="shared" si="2164"/>
        <v>0</v>
      </c>
      <c r="CX1090" s="552">
        <f t="shared" si="2164"/>
        <v>0</v>
      </c>
      <c r="CY1090" s="552">
        <f t="shared" si="2164"/>
        <v>0</v>
      </c>
      <c r="CZ1090" s="552">
        <f t="shared" si="2164"/>
        <v>0</v>
      </c>
      <c r="DA1090" s="552">
        <f t="shared" si="2164"/>
        <v>0</v>
      </c>
      <c r="DB1090" s="552">
        <f t="shared" ref="DB1090:EG1090" si="2165">DB128*DB$338</f>
        <v>0</v>
      </c>
      <c r="DC1090" s="552">
        <f t="shared" si="2165"/>
        <v>0</v>
      </c>
      <c r="DD1090" s="552">
        <f t="shared" si="2165"/>
        <v>0</v>
      </c>
      <c r="DE1090" s="552">
        <f t="shared" si="2165"/>
        <v>0</v>
      </c>
      <c r="DF1090" s="552">
        <f t="shared" si="2165"/>
        <v>0</v>
      </c>
      <c r="DG1090" s="552">
        <f t="shared" si="2165"/>
        <v>0</v>
      </c>
      <c r="DH1090" s="552">
        <f t="shared" si="2165"/>
        <v>0</v>
      </c>
      <c r="DI1090" s="552">
        <f t="shared" si="2165"/>
        <v>0</v>
      </c>
      <c r="DJ1090" s="552">
        <f t="shared" si="2165"/>
        <v>0</v>
      </c>
      <c r="DK1090" s="552">
        <f t="shared" si="2165"/>
        <v>0</v>
      </c>
      <c r="DL1090" s="552">
        <f t="shared" si="2165"/>
        <v>0</v>
      </c>
      <c r="DM1090" s="552">
        <f t="shared" si="2165"/>
        <v>0</v>
      </c>
      <c r="DN1090" s="552">
        <f t="shared" si="2165"/>
        <v>0</v>
      </c>
      <c r="DO1090" s="552">
        <f t="shared" si="2165"/>
        <v>0</v>
      </c>
      <c r="DP1090" s="552">
        <f t="shared" si="2165"/>
        <v>0</v>
      </c>
      <c r="DQ1090" s="552">
        <f t="shared" si="2165"/>
        <v>0</v>
      </c>
      <c r="DR1090" s="552">
        <f t="shared" si="2165"/>
        <v>0</v>
      </c>
      <c r="DS1090" s="552">
        <f t="shared" si="2165"/>
        <v>0</v>
      </c>
      <c r="DT1090" s="552">
        <f t="shared" si="2165"/>
        <v>0</v>
      </c>
      <c r="DU1090" s="552">
        <f t="shared" si="2165"/>
        <v>0</v>
      </c>
      <c r="DV1090" s="552">
        <f t="shared" si="2165"/>
        <v>0</v>
      </c>
      <c r="DW1090" s="552">
        <f t="shared" si="2165"/>
        <v>0</v>
      </c>
      <c r="DX1090" s="552">
        <f t="shared" si="2165"/>
        <v>0</v>
      </c>
      <c r="DY1090" s="552">
        <f t="shared" si="2165"/>
        <v>0</v>
      </c>
      <c r="DZ1090" s="552">
        <f t="shared" si="2165"/>
        <v>0</v>
      </c>
      <c r="EA1090" s="552">
        <f t="shared" si="2165"/>
        <v>0</v>
      </c>
      <c r="EB1090" s="552">
        <f t="shared" si="2165"/>
        <v>0</v>
      </c>
      <c r="EC1090" s="552">
        <f t="shared" si="2165"/>
        <v>0</v>
      </c>
      <c r="ED1090" s="552">
        <f t="shared" si="2165"/>
        <v>0</v>
      </c>
      <c r="EE1090" s="552">
        <f t="shared" si="2165"/>
        <v>0</v>
      </c>
      <c r="EF1090" s="552">
        <f t="shared" si="2165"/>
        <v>0</v>
      </c>
      <c r="EG1090" s="552">
        <f t="shared" si="2165"/>
        <v>0</v>
      </c>
      <c r="EH1090" s="552">
        <f t="shared" ref="EH1090:EX1090" si="2166">EH128*EH$338</f>
        <v>0</v>
      </c>
      <c r="EI1090" s="552">
        <f t="shared" si="2166"/>
        <v>0</v>
      </c>
      <c r="EJ1090" s="552">
        <f t="shared" si="2166"/>
        <v>0</v>
      </c>
      <c r="EK1090" s="552">
        <f t="shared" si="2166"/>
        <v>0</v>
      </c>
      <c r="EL1090" s="552">
        <f t="shared" si="2166"/>
        <v>0</v>
      </c>
      <c r="EM1090" s="552">
        <f t="shared" si="2166"/>
        <v>0</v>
      </c>
      <c r="EN1090" s="552">
        <f t="shared" si="2166"/>
        <v>0</v>
      </c>
      <c r="EO1090" s="552">
        <f t="shared" si="2166"/>
        <v>0</v>
      </c>
      <c r="EP1090" s="552">
        <f t="shared" si="2166"/>
        <v>0</v>
      </c>
      <c r="EQ1090" s="552">
        <f t="shared" si="2166"/>
        <v>0</v>
      </c>
      <c r="ER1090" s="552">
        <f t="shared" si="2166"/>
        <v>0</v>
      </c>
      <c r="ES1090" s="552">
        <f t="shared" si="2166"/>
        <v>0</v>
      </c>
      <c r="ET1090" s="552">
        <f t="shared" si="2166"/>
        <v>0</v>
      </c>
      <c r="EU1090" s="552">
        <f t="shared" si="2166"/>
        <v>0</v>
      </c>
      <c r="EV1090" s="552">
        <f t="shared" si="2166"/>
        <v>0</v>
      </c>
      <c r="EW1090" s="552">
        <f t="shared" si="2166"/>
        <v>0</v>
      </c>
      <c r="EX1090" s="552">
        <f t="shared" si="2166"/>
        <v>0</v>
      </c>
      <c r="EY1090" s="799">
        <f t="shared" si="1775"/>
        <v>0</v>
      </c>
      <c r="EZ1090" s="640"/>
      <c r="FA1090" s="640"/>
      <c r="FB1090" s="640"/>
      <c r="FC1090" s="640"/>
      <c r="FD1090" s="640"/>
      <c r="FE1090" s="640"/>
      <c r="FF1090" s="640"/>
      <c r="FG1090" s="640"/>
      <c r="FH1090" s="640"/>
      <c r="FI1090" s="640"/>
      <c r="FJ1090" s="640"/>
      <c r="FK1090" s="640"/>
      <c r="FL1090" s="640"/>
    </row>
    <row r="1091" spans="1:168" x14ac:dyDescent="0.25">
      <c r="A1091" s="1492"/>
      <c r="B1091" s="624">
        <f t="shared" si="2154"/>
        <v>0</v>
      </c>
      <c r="C1091" s="624">
        <f t="shared" si="2154"/>
        <v>0</v>
      </c>
      <c r="D1091" s="624">
        <f t="shared" si="2154"/>
        <v>0</v>
      </c>
      <c r="E1091" s="1158">
        <f t="shared" si="2161"/>
        <v>0</v>
      </c>
      <c r="F1091" s="1158"/>
      <c r="G1091" s="1140"/>
      <c r="H1091" s="1140"/>
      <c r="I1091" s="552"/>
      <c r="J1091" s="552">
        <f t="shared" ref="J1091:AO1091" si="2167">J129*J$338</f>
        <v>0</v>
      </c>
      <c r="K1091" s="552">
        <f t="shared" si="2167"/>
        <v>0</v>
      </c>
      <c r="L1091" s="552">
        <f t="shared" si="2167"/>
        <v>0</v>
      </c>
      <c r="M1091" s="552">
        <f t="shared" si="2167"/>
        <v>0</v>
      </c>
      <c r="N1091" s="552">
        <f t="shared" si="2167"/>
        <v>0</v>
      </c>
      <c r="O1091" s="552">
        <f t="shared" si="2167"/>
        <v>0</v>
      </c>
      <c r="P1091" s="552">
        <f t="shared" si="2167"/>
        <v>0</v>
      </c>
      <c r="Q1091" s="552">
        <f t="shared" si="2167"/>
        <v>0</v>
      </c>
      <c r="R1091" s="552">
        <f t="shared" si="2167"/>
        <v>0</v>
      </c>
      <c r="S1091" s="552">
        <f t="shared" si="2167"/>
        <v>0</v>
      </c>
      <c r="T1091" s="552">
        <f t="shared" si="2167"/>
        <v>0</v>
      </c>
      <c r="U1091" s="552">
        <f t="shared" si="2167"/>
        <v>0</v>
      </c>
      <c r="V1091" s="552">
        <f t="shared" si="2167"/>
        <v>0</v>
      </c>
      <c r="W1091" s="552">
        <f t="shared" si="2167"/>
        <v>0</v>
      </c>
      <c r="X1091" s="552">
        <f t="shared" si="2167"/>
        <v>0</v>
      </c>
      <c r="Y1091" s="552">
        <f t="shared" si="2167"/>
        <v>0</v>
      </c>
      <c r="Z1091" s="552">
        <f t="shared" si="2167"/>
        <v>0</v>
      </c>
      <c r="AA1091" s="552">
        <f t="shared" si="2167"/>
        <v>0</v>
      </c>
      <c r="AB1091" s="552">
        <f t="shared" si="2167"/>
        <v>0</v>
      </c>
      <c r="AC1091" s="552">
        <f t="shared" si="2167"/>
        <v>0</v>
      </c>
      <c r="AD1091" s="552">
        <f t="shared" si="2167"/>
        <v>0</v>
      </c>
      <c r="AE1091" s="552">
        <f t="shared" si="2167"/>
        <v>0</v>
      </c>
      <c r="AF1091" s="552">
        <f t="shared" si="2167"/>
        <v>0</v>
      </c>
      <c r="AG1091" s="552">
        <f t="shared" si="2167"/>
        <v>0</v>
      </c>
      <c r="AH1091" s="552">
        <f t="shared" si="2167"/>
        <v>0</v>
      </c>
      <c r="AI1091" s="552">
        <f t="shared" si="2167"/>
        <v>0</v>
      </c>
      <c r="AJ1091" s="552">
        <f t="shared" si="2167"/>
        <v>0</v>
      </c>
      <c r="AK1091" s="552">
        <f t="shared" si="2167"/>
        <v>0</v>
      </c>
      <c r="AL1091" s="552">
        <f t="shared" si="2167"/>
        <v>0</v>
      </c>
      <c r="AM1091" s="552">
        <f t="shared" si="2167"/>
        <v>0</v>
      </c>
      <c r="AN1091" s="552">
        <f t="shared" si="2167"/>
        <v>0</v>
      </c>
      <c r="AO1091" s="552">
        <f t="shared" si="2167"/>
        <v>0</v>
      </c>
      <c r="AP1091" s="552">
        <f t="shared" ref="AP1091:BU1091" si="2168">AP129*AP$338</f>
        <v>0</v>
      </c>
      <c r="AQ1091" s="552">
        <f t="shared" si="2168"/>
        <v>0</v>
      </c>
      <c r="AR1091" s="552">
        <f t="shared" si="2168"/>
        <v>0</v>
      </c>
      <c r="AS1091" s="552">
        <f t="shared" si="2168"/>
        <v>0</v>
      </c>
      <c r="AT1091" s="552">
        <f t="shared" si="2168"/>
        <v>0</v>
      </c>
      <c r="AU1091" s="552">
        <f t="shared" si="2168"/>
        <v>0</v>
      </c>
      <c r="AV1091" s="552">
        <f t="shared" si="2168"/>
        <v>0</v>
      </c>
      <c r="AW1091" s="552">
        <f t="shared" si="2168"/>
        <v>0</v>
      </c>
      <c r="AX1091" s="552">
        <f t="shared" si="2168"/>
        <v>0</v>
      </c>
      <c r="AY1091" s="552">
        <f t="shared" si="2168"/>
        <v>0</v>
      </c>
      <c r="AZ1091" s="552">
        <f t="shared" si="2168"/>
        <v>0</v>
      </c>
      <c r="BA1091" s="552">
        <f t="shared" si="2168"/>
        <v>0</v>
      </c>
      <c r="BB1091" s="552">
        <f t="shared" si="2168"/>
        <v>0</v>
      </c>
      <c r="BC1091" s="552">
        <f t="shared" si="2168"/>
        <v>0</v>
      </c>
      <c r="BD1091" s="552">
        <f t="shared" si="2168"/>
        <v>0</v>
      </c>
      <c r="BE1091" s="552">
        <f t="shared" si="2168"/>
        <v>0</v>
      </c>
      <c r="BF1091" s="552">
        <f t="shared" si="2168"/>
        <v>0</v>
      </c>
      <c r="BG1091" s="552">
        <f t="shared" si="2168"/>
        <v>0</v>
      </c>
      <c r="BH1091" s="552">
        <f t="shared" si="2168"/>
        <v>0</v>
      </c>
      <c r="BI1091" s="552">
        <f t="shared" si="2168"/>
        <v>0</v>
      </c>
      <c r="BJ1091" s="552">
        <f t="shared" si="2168"/>
        <v>0</v>
      </c>
      <c r="BK1091" s="552">
        <f t="shared" si="2168"/>
        <v>0</v>
      </c>
      <c r="BL1091" s="552">
        <f t="shared" si="2168"/>
        <v>0</v>
      </c>
      <c r="BM1091" s="552">
        <f t="shared" si="2168"/>
        <v>0</v>
      </c>
      <c r="BN1091" s="552">
        <f t="shared" si="2168"/>
        <v>0</v>
      </c>
      <c r="BO1091" s="552">
        <f t="shared" si="2168"/>
        <v>0</v>
      </c>
      <c r="BP1091" s="552">
        <f t="shared" si="2168"/>
        <v>0</v>
      </c>
      <c r="BQ1091" s="552">
        <f t="shared" si="2168"/>
        <v>0</v>
      </c>
      <c r="BR1091" s="552">
        <f t="shared" si="2168"/>
        <v>0</v>
      </c>
      <c r="BS1091" s="552">
        <f t="shared" si="2168"/>
        <v>0</v>
      </c>
      <c r="BT1091" s="552">
        <f t="shared" si="2168"/>
        <v>0</v>
      </c>
      <c r="BU1091" s="552">
        <f t="shared" si="2168"/>
        <v>0</v>
      </c>
      <c r="BV1091" s="552">
        <f t="shared" ref="BV1091:DA1091" si="2169">BV129*BV$338</f>
        <v>0</v>
      </c>
      <c r="BW1091" s="552">
        <f t="shared" si="2169"/>
        <v>0</v>
      </c>
      <c r="BX1091" s="552">
        <f t="shared" si="2169"/>
        <v>0</v>
      </c>
      <c r="BY1091" s="552">
        <f t="shared" si="2169"/>
        <v>0</v>
      </c>
      <c r="BZ1091" s="552">
        <f t="shared" si="2169"/>
        <v>0</v>
      </c>
      <c r="CA1091" s="552">
        <f t="shared" si="2169"/>
        <v>0</v>
      </c>
      <c r="CB1091" s="552">
        <f t="shared" si="2169"/>
        <v>0</v>
      </c>
      <c r="CC1091" s="552">
        <f t="shared" si="2169"/>
        <v>0</v>
      </c>
      <c r="CD1091" s="552">
        <f t="shared" si="2169"/>
        <v>0</v>
      </c>
      <c r="CE1091" s="552">
        <f t="shared" si="2169"/>
        <v>0</v>
      </c>
      <c r="CF1091" s="552">
        <f t="shared" si="2169"/>
        <v>0</v>
      </c>
      <c r="CG1091" s="552">
        <f t="shared" si="2169"/>
        <v>0</v>
      </c>
      <c r="CH1091" s="552">
        <f t="shared" si="2169"/>
        <v>0</v>
      </c>
      <c r="CI1091" s="552">
        <f t="shared" si="2169"/>
        <v>0</v>
      </c>
      <c r="CJ1091" s="552">
        <f t="shared" si="2169"/>
        <v>0</v>
      </c>
      <c r="CK1091" s="552">
        <f t="shared" si="2169"/>
        <v>0</v>
      </c>
      <c r="CL1091" s="552">
        <f t="shared" si="2169"/>
        <v>0</v>
      </c>
      <c r="CM1091" s="552">
        <f t="shared" si="2169"/>
        <v>0</v>
      </c>
      <c r="CN1091" s="552">
        <f t="shared" si="2169"/>
        <v>0</v>
      </c>
      <c r="CO1091" s="552">
        <f t="shared" si="2169"/>
        <v>0</v>
      </c>
      <c r="CP1091" s="552">
        <f t="shared" si="2169"/>
        <v>0</v>
      </c>
      <c r="CQ1091" s="552">
        <f t="shared" si="2169"/>
        <v>0</v>
      </c>
      <c r="CR1091" s="552">
        <f t="shared" si="2169"/>
        <v>0</v>
      </c>
      <c r="CS1091" s="552">
        <f t="shared" si="2169"/>
        <v>0</v>
      </c>
      <c r="CT1091" s="552">
        <f t="shared" si="2169"/>
        <v>0</v>
      </c>
      <c r="CU1091" s="552">
        <f t="shared" si="2169"/>
        <v>0</v>
      </c>
      <c r="CV1091" s="552">
        <f t="shared" si="2169"/>
        <v>0</v>
      </c>
      <c r="CW1091" s="552">
        <f t="shared" si="2169"/>
        <v>0</v>
      </c>
      <c r="CX1091" s="552">
        <f t="shared" si="2169"/>
        <v>0</v>
      </c>
      <c r="CY1091" s="552">
        <f t="shared" si="2169"/>
        <v>0</v>
      </c>
      <c r="CZ1091" s="552">
        <f t="shared" si="2169"/>
        <v>0</v>
      </c>
      <c r="DA1091" s="552">
        <f t="shared" si="2169"/>
        <v>0</v>
      </c>
      <c r="DB1091" s="552">
        <f t="shared" ref="DB1091:EG1091" si="2170">DB129*DB$338</f>
        <v>0</v>
      </c>
      <c r="DC1091" s="552">
        <f t="shared" si="2170"/>
        <v>0</v>
      </c>
      <c r="DD1091" s="552">
        <f t="shared" si="2170"/>
        <v>0</v>
      </c>
      <c r="DE1091" s="552">
        <f t="shared" si="2170"/>
        <v>0</v>
      </c>
      <c r="DF1091" s="552">
        <f t="shared" si="2170"/>
        <v>0</v>
      </c>
      <c r="DG1091" s="552">
        <f t="shared" si="2170"/>
        <v>0</v>
      </c>
      <c r="DH1091" s="552">
        <f t="shared" si="2170"/>
        <v>0</v>
      </c>
      <c r="DI1091" s="552">
        <f t="shared" si="2170"/>
        <v>0</v>
      </c>
      <c r="DJ1091" s="552">
        <f t="shared" si="2170"/>
        <v>0</v>
      </c>
      <c r="DK1091" s="552">
        <f t="shared" si="2170"/>
        <v>0</v>
      </c>
      <c r="DL1091" s="552">
        <f t="shared" si="2170"/>
        <v>0</v>
      </c>
      <c r="DM1091" s="552">
        <f t="shared" si="2170"/>
        <v>0</v>
      </c>
      <c r="DN1091" s="552">
        <f t="shared" si="2170"/>
        <v>0</v>
      </c>
      <c r="DO1091" s="552">
        <f t="shared" si="2170"/>
        <v>0</v>
      </c>
      <c r="DP1091" s="552">
        <f t="shared" si="2170"/>
        <v>0</v>
      </c>
      <c r="DQ1091" s="552">
        <f t="shared" si="2170"/>
        <v>0</v>
      </c>
      <c r="DR1091" s="552">
        <f t="shared" si="2170"/>
        <v>0</v>
      </c>
      <c r="DS1091" s="552">
        <f t="shared" si="2170"/>
        <v>0</v>
      </c>
      <c r="DT1091" s="552">
        <f t="shared" si="2170"/>
        <v>0</v>
      </c>
      <c r="DU1091" s="552">
        <f t="shared" si="2170"/>
        <v>0</v>
      </c>
      <c r="DV1091" s="552">
        <f t="shared" si="2170"/>
        <v>0</v>
      </c>
      <c r="DW1091" s="552">
        <f t="shared" si="2170"/>
        <v>0</v>
      </c>
      <c r="DX1091" s="552">
        <f t="shared" si="2170"/>
        <v>0</v>
      </c>
      <c r="DY1091" s="552">
        <f t="shared" si="2170"/>
        <v>0</v>
      </c>
      <c r="DZ1091" s="552">
        <f t="shared" si="2170"/>
        <v>0</v>
      </c>
      <c r="EA1091" s="552">
        <f t="shared" si="2170"/>
        <v>0</v>
      </c>
      <c r="EB1091" s="552">
        <f t="shared" si="2170"/>
        <v>0</v>
      </c>
      <c r="EC1091" s="552">
        <f t="shared" si="2170"/>
        <v>0</v>
      </c>
      <c r="ED1091" s="552">
        <f t="shared" si="2170"/>
        <v>0</v>
      </c>
      <c r="EE1091" s="552">
        <f t="shared" si="2170"/>
        <v>0</v>
      </c>
      <c r="EF1091" s="552">
        <f t="shared" si="2170"/>
        <v>0</v>
      </c>
      <c r="EG1091" s="552">
        <f t="shared" si="2170"/>
        <v>0</v>
      </c>
      <c r="EH1091" s="552">
        <f t="shared" ref="EH1091:EX1091" si="2171">EH129*EH$338</f>
        <v>0</v>
      </c>
      <c r="EI1091" s="552">
        <f t="shared" si="2171"/>
        <v>0</v>
      </c>
      <c r="EJ1091" s="552">
        <f t="shared" si="2171"/>
        <v>0</v>
      </c>
      <c r="EK1091" s="552">
        <f t="shared" si="2171"/>
        <v>0</v>
      </c>
      <c r="EL1091" s="552">
        <f t="shared" si="2171"/>
        <v>0</v>
      </c>
      <c r="EM1091" s="552">
        <f t="shared" si="2171"/>
        <v>0</v>
      </c>
      <c r="EN1091" s="552">
        <f t="shared" si="2171"/>
        <v>0</v>
      </c>
      <c r="EO1091" s="552">
        <f t="shared" si="2171"/>
        <v>0</v>
      </c>
      <c r="EP1091" s="552">
        <f t="shared" si="2171"/>
        <v>0</v>
      </c>
      <c r="EQ1091" s="552">
        <f t="shared" si="2171"/>
        <v>0</v>
      </c>
      <c r="ER1091" s="552">
        <f t="shared" si="2171"/>
        <v>0</v>
      </c>
      <c r="ES1091" s="552">
        <f t="shared" si="2171"/>
        <v>0</v>
      </c>
      <c r="ET1091" s="552">
        <f t="shared" si="2171"/>
        <v>0</v>
      </c>
      <c r="EU1091" s="552">
        <f t="shared" si="2171"/>
        <v>0</v>
      </c>
      <c r="EV1091" s="552">
        <f t="shared" si="2171"/>
        <v>0</v>
      </c>
      <c r="EW1091" s="552">
        <f t="shared" si="2171"/>
        <v>0</v>
      </c>
      <c r="EX1091" s="552">
        <f t="shared" si="2171"/>
        <v>0</v>
      </c>
      <c r="EY1091" s="799">
        <f t="shared" si="1775"/>
        <v>0</v>
      </c>
      <c r="EZ1091" s="640"/>
      <c r="FA1091" s="640"/>
      <c r="FB1091" s="640"/>
      <c r="FC1091" s="640"/>
      <c r="FD1091" s="640"/>
      <c r="FE1091" s="640"/>
      <c r="FF1091" s="640"/>
      <c r="FG1091" s="640"/>
      <c r="FH1091" s="640"/>
      <c r="FI1091" s="640"/>
      <c r="FJ1091" s="640"/>
      <c r="FK1091" s="640"/>
      <c r="FL1091" s="640"/>
    </row>
    <row r="1092" spans="1:168" x14ac:dyDescent="0.25">
      <c r="A1092" s="1492"/>
      <c r="B1092" s="624">
        <f t="shared" si="2154"/>
        <v>0</v>
      </c>
      <c r="C1092" s="624">
        <f t="shared" si="2154"/>
        <v>0</v>
      </c>
      <c r="D1092" s="624">
        <f t="shared" si="2154"/>
        <v>0</v>
      </c>
      <c r="E1092" s="1158">
        <f t="shared" si="2161"/>
        <v>0</v>
      </c>
      <c r="F1092" s="1158"/>
      <c r="G1092" s="1140"/>
      <c r="H1092" s="1140"/>
      <c r="I1092" s="552"/>
      <c r="J1092" s="552">
        <f t="shared" ref="J1092:AO1092" si="2172">J130*J$338</f>
        <v>0</v>
      </c>
      <c r="K1092" s="552">
        <f t="shared" si="2172"/>
        <v>0</v>
      </c>
      <c r="L1092" s="552">
        <f t="shared" si="2172"/>
        <v>0</v>
      </c>
      <c r="M1092" s="552">
        <f t="shared" si="2172"/>
        <v>0</v>
      </c>
      <c r="N1092" s="552">
        <f t="shared" si="2172"/>
        <v>0</v>
      </c>
      <c r="O1092" s="552">
        <f t="shared" si="2172"/>
        <v>0</v>
      </c>
      <c r="P1092" s="552">
        <f t="shared" si="2172"/>
        <v>0</v>
      </c>
      <c r="Q1092" s="552">
        <f t="shared" si="2172"/>
        <v>0</v>
      </c>
      <c r="R1092" s="552">
        <f t="shared" si="2172"/>
        <v>0</v>
      </c>
      <c r="S1092" s="552">
        <f t="shared" si="2172"/>
        <v>0</v>
      </c>
      <c r="T1092" s="552">
        <f t="shared" si="2172"/>
        <v>0</v>
      </c>
      <c r="U1092" s="552">
        <f t="shared" si="2172"/>
        <v>0</v>
      </c>
      <c r="V1092" s="552">
        <f t="shared" si="2172"/>
        <v>0</v>
      </c>
      <c r="W1092" s="552">
        <f t="shared" si="2172"/>
        <v>0</v>
      </c>
      <c r="X1092" s="552">
        <f t="shared" si="2172"/>
        <v>0</v>
      </c>
      <c r="Y1092" s="552">
        <f t="shared" si="2172"/>
        <v>0</v>
      </c>
      <c r="Z1092" s="552">
        <f t="shared" si="2172"/>
        <v>0</v>
      </c>
      <c r="AA1092" s="552">
        <f t="shared" si="2172"/>
        <v>0</v>
      </c>
      <c r="AB1092" s="552">
        <f t="shared" si="2172"/>
        <v>0</v>
      </c>
      <c r="AC1092" s="552">
        <f t="shared" si="2172"/>
        <v>0</v>
      </c>
      <c r="AD1092" s="552">
        <f t="shared" si="2172"/>
        <v>0</v>
      </c>
      <c r="AE1092" s="552">
        <f t="shared" si="2172"/>
        <v>0</v>
      </c>
      <c r="AF1092" s="552">
        <f t="shared" si="2172"/>
        <v>0</v>
      </c>
      <c r="AG1092" s="552">
        <f t="shared" si="2172"/>
        <v>0</v>
      </c>
      <c r="AH1092" s="552">
        <f t="shared" si="2172"/>
        <v>0</v>
      </c>
      <c r="AI1092" s="552">
        <f t="shared" si="2172"/>
        <v>0</v>
      </c>
      <c r="AJ1092" s="552">
        <f t="shared" si="2172"/>
        <v>0</v>
      </c>
      <c r="AK1092" s="552">
        <f t="shared" si="2172"/>
        <v>0</v>
      </c>
      <c r="AL1092" s="552">
        <f t="shared" si="2172"/>
        <v>0</v>
      </c>
      <c r="AM1092" s="552">
        <f t="shared" si="2172"/>
        <v>0</v>
      </c>
      <c r="AN1092" s="552">
        <f t="shared" si="2172"/>
        <v>0</v>
      </c>
      <c r="AO1092" s="552">
        <f t="shared" si="2172"/>
        <v>0</v>
      </c>
      <c r="AP1092" s="552">
        <f t="shared" ref="AP1092:BU1092" si="2173">AP130*AP$338</f>
        <v>0</v>
      </c>
      <c r="AQ1092" s="552">
        <f t="shared" si="2173"/>
        <v>0</v>
      </c>
      <c r="AR1092" s="552">
        <f t="shared" si="2173"/>
        <v>0</v>
      </c>
      <c r="AS1092" s="552">
        <f t="shared" si="2173"/>
        <v>0</v>
      </c>
      <c r="AT1092" s="552">
        <f t="shared" si="2173"/>
        <v>0</v>
      </c>
      <c r="AU1092" s="552">
        <f t="shared" si="2173"/>
        <v>0</v>
      </c>
      <c r="AV1092" s="552">
        <f t="shared" si="2173"/>
        <v>0</v>
      </c>
      <c r="AW1092" s="552">
        <f t="shared" si="2173"/>
        <v>0</v>
      </c>
      <c r="AX1092" s="552">
        <f t="shared" si="2173"/>
        <v>0</v>
      </c>
      <c r="AY1092" s="552">
        <f t="shared" si="2173"/>
        <v>0</v>
      </c>
      <c r="AZ1092" s="552">
        <f t="shared" si="2173"/>
        <v>0</v>
      </c>
      <c r="BA1092" s="552">
        <f t="shared" si="2173"/>
        <v>0</v>
      </c>
      <c r="BB1092" s="552">
        <f t="shared" si="2173"/>
        <v>0</v>
      </c>
      <c r="BC1092" s="552">
        <f t="shared" si="2173"/>
        <v>0</v>
      </c>
      <c r="BD1092" s="552">
        <f t="shared" si="2173"/>
        <v>0</v>
      </c>
      <c r="BE1092" s="552">
        <f t="shared" si="2173"/>
        <v>0</v>
      </c>
      <c r="BF1092" s="552">
        <f t="shared" si="2173"/>
        <v>0</v>
      </c>
      <c r="BG1092" s="552">
        <f t="shared" si="2173"/>
        <v>0</v>
      </c>
      <c r="BH1092" s="552">
        <f t="shared" si="2173"/>
        <v>0</v>
      </c>
      <c r="BI1092" s="552">
        <f t="shared" si="2173"/>
        <v>0</v>
      </c>
      <c r="BJ1092" s="552">
        <f t="shared" si="2173"/>
        <v>0</v>
      </c>
      <c r="BK1092" s="552">
        <f t="shared" si="2173"/>
        <v>0</v>
      </c>
      <c r="BL1092" s="552">
        <f t="shared" si="2173"/>
        <v>0</v>
      </c>
      <c r="BM1092" s="552">
        <f t="shared" si="2173"/>
        <v>0</v>
      </c>
      <c r="BN1092" s="552">
        <f t="shared" si="2173"/>
        <v>0</v>
      </c>
      <c r="BO1092" s="552">
        <f t="shared" si="2173"/>
        <v>0</v>
      </c>
      <c r="BP1092" s="552">
        <f t="shared" si="2173"/>
        <v>0</v>
      </c>
      <c r="BQ1092" s="552">
        <f t="shared" si="2173"/>
        <v>0</v>
      </c>
      <c r="BR1092" s="552">
        <f t="shared" si="2173"/>
        <v>0</v>
      </c>
      <c r="BS1092" s="552">
        <f t="shared" si="2173"/>
        <v>0</v>
      </c>
      <c r="BT1092" s="552">
        <f t="shared" si="2173"/>
        <v>0</v>
      </c>
      <c r="BU1092" s="552">
        <f t="shared" si="2173"/>
        <v>0</v>
      </c>
      <c r="BV1092" s="552">
        <f t="shared" ref="BV1092:DA1092" si="2174">BV130*BV$338</f>
        <v>0</v>
      </c>
      <c r="BW1092" s="552">
        <f t="shared" si="2174"/>
        <v>0</v>
      </c>
      <c r="BX1092" s="552">
        <f t="shared" si="2174"/>
        <v>0</v>
      </c>
      <c r="BY1092" s="552">
        <f t="shared" si="2174"/>
        <v>0</v>
      </c>
      <c r="BZ1092" s="552">
        <f t="shared" si="2174"/>
        <v>0</v>
      </c>
      <c r="CA1092" s="552">
        <f t="shared" si="2174"/>
        <v>0</v>
      </c>
      <c r="CB1092" s="552">
        <f t="shared" si="2174"/>
        <v>0</v>
      </c>
      <c r="CC1092" s="552">
        <f t="shared" si="2174"/>
        <v>0</v>
      </c>
      <c r="CD1092" s="552">
        <f t="shared" si="2174"/>
        <v>0</v>
      </c>
      <c r="CE1092" s="552">
        <f t="shared" si="2174"/>
        <v>0</v>
      </c>
      <c r="CF1092" s="552">
        <f t="shared" si="2174"/>
        <v>0</v>
      </c>
      <c r="CG1092" s="552">
        <f t="shared" si="2174"/>
        <v>0</v>
      </c>
      <c r="CH1092" s="552">
        <f t="shared" si="2174"/>
        <v>0</v>
      </c>
      <c r="CI1092" s="552">
        <f t="shared" si="2174"/>
        <v>0</v>
      </c>
      <c r="CJ1092" s="552">
        <f t="shared" si="2174"/>
        <v>0</v>
      </c>
      <c r="CK1092" s="552">
        <f t="shared" si="2174"/>
        <v>0</v>
      </c>
      <c r="CL1092" s="552">
        <f t="shared" si="2174"/>
        <v>0</v>
      </c>
      <c r="CM1092" s="552">
        <f t="shared" si="2174"/>
        <v>0</v>
      </c>
      <c r="CN1092" s="552">
        <f t="shared" si="2174"/>
        <v>0</v>
      </c>
      <c r="CO1092" s="552">
        <f t="shared" si="2174"/>
        <v>0</v>
      </c>
      <c r="CP1092" s="552">
        <f t="shared" si="2174"/>
        <v>0</v>
      </c>
      <c r="CQ1092" s="552">
        <f t="shared" si="2174"/>
        <v>0</v>
      </c>
      <c r="CR1092" s="552">
        <f t="shared" si="2174"/>
        <v>0</v>
      </c>
      <c r="CS1092" s="552">
        <f t="shared" si="2174"/>
        <v>0</v>
      </c>
      <c r="CT1092" s="552">
        <f t="shared" si="2174"/>
        <v>0</v>
      </c>
      <c r="CU1092" s="552">
        <f t="shared" si="2174"/>
        <v>0</v>
      </c>
      <c r="CV1092" s="552">
        <f t="shared" si="2174"/>
        <v>0</v>
      </c>
      <c r="CW1092" s="552">
        <f t="shared" si="2174"/>
        <v>0</v>
      </c>
      <c r="CX1092" s="552">
        <f t="shared" si="2174"/>
        <v>0</v>
      </c>
      <c r="CY1092" s="552">
        <f t="shared" si="2174"/>
        <v>0</v>
      </c>
      <c r="CZ1092" s="552">
        <f t="shared" si="2174"/>
        <v>0</v>
      </c>
      <c r="DA1092" s="552">
        <f t="shared" si="2174"/>
        <v>0</v>
      </c>
      <c r="DB1092" s="552">
        <f t="shared" ref="DB1092:EG1092" si="2175">DB130*DB$338</f>
        <v>0</v>
      </c>
      <c r="DC1092" s="552">
        <f t="shared" si="2175"/>
        <v>0</v>
      </c>
      <c r="DD1092" s="552">
        <f t="shared" si="2175"/>
        <v>0</v>
      </c>
      <c r="DE1092" s="552">
        <f t="shared" si="2175"/>
        <v>0</v>
      </c>
      <c r="DF1092" s="552">
        <f t="shared" si="2175"/>
        <v>0</v>
      </c>
      <c r="DG1092" s="552">
        <f t="shared" si="2175"/>
        <v>0</v>
      </c>
      <c r="DH1092" s="552">
        <f t="shared" si="2175"/>
        <v>0</v>
      </c>
      <c r="DI1092" s="552">
        <f t="shared" si="2175"/>
        <v>0</v>
      </c>
      <c r="DJ1092" s="552">
        <f t="shared" si="2175"/>
        <v>0</v>
      </c>
      <c r="DK1092" s="552">
        <f t="shared" si="2175"/>
        <v>0</v>
      </c>
      <c r="DL1092" s="552">
        <f t="shared" si="2175"/>
        <v>0</v>
      </c>
      <c r="DM1092" s="552">
        <f t="shared" si="2175"/>
        <v>0</v>
      </c>
      <c r="DN1092" s="552">
        <f t="shared" si="2175"/>
        <v>0</v>
      </c>
      <c r="DO1092" s="552">
        <f t="shared" si="2175"/>
        <v>0</v>
      </c>
      <c r="DP1092" s="552">
        <f t="shared" si="2175"/>
        <v>0</v>
      </c>
      <c r="DQ1092" s="552">
        <f t="shared" si="2175"/>
        <v>0</v>
      </c>
      <c r="DR1092" s="552">
        <f t="shared" si="2175"/>
        <v>0</v>
      </c>
      <c r="DS1092" s="552">
        <f t="shared" si="2175"/>
        <v>0</v>
      </c>
      <c r="DT1092" s="552">
        <f t="shared" si="2175"/>
        <v>0</v>
      </c>
      <c r="DU1092" s="552">
        <f t="shared" si="2175"/>
        <v>0</v>
      </c>
      <c r="DV1092" s="552">
        <f t="shared" si="2175"/>
        <v>0</v>
      </c>
      <c r="DW1092" s="552">
        <f t="shared" si="2175"/>
        <v>0</v>
      </c>
      <c r="DX1092" s="552">
        <f t="shared" si="2175"/>
        <v>0</v>
      </c>
      <c r="DY1092" s="552">
        <f t="shared" si="2175"/>
        <v>0</v>
      </c>
      <c r="DZ1092" s="552">
        <f t="shared" si="2175"/>
        <v>0</v>
      </c>
      <c r="EA1092" s="552">
        <f t="shared" si="2175"/>
        <v>0</v>
      </c>
      <c r="EB1092" s="552">
        <f t="shared" si="2175"/>
        <v>0</v>
      </c>
      <c r="EC1092" s="552">
        <f t="shared" si="2175"/>
        <v>0</v>
      </c>
      <c r="ED1092" s="552">
        <f t="shared" si="2175"/>
        <v>0</v>
      </c>
      <c r="EE1092" s="552">
        <f t="shared" si="2175"/>
        <v>0</v>
      </c>
      <c r="EF1092" s="552">
        <f t="shared" si="2175"/>
        <v>0</v>
      </c>
      <c r="EG1092" s="552">
        <f t="shared" si="2175"/>
        <v>0</v>
      </c>
      <c r="EH1092" s="552">
        <f t="shared" ref="EH1092:EX1092" si="2176">EH130*EH$338</f>
        <v>0</v>
      </c>
      <c r="EI1092" s="552">
        <f t="shared" si="2176"/>
        <v>0</v>
      </c>
      <c r="EJ1092" s="552">
        <f t="shared" si="2176"/>
        <v>0</v>
      </c>
      <c r="EK1092" s="552">
        <f t="shared" si="2176"/>
        <v>0</v>
      </c>
      <c r="EL1092" s="552">
        <f t="shared" si="2176"/>
        <v>0</v>
      </c>
      <c r="EM1092" s="552">
        <f t="shared" si="2176"/>
        <v>0</v>
      </c>
      <c r="EN1092" s="552">
        <f t="shared" si="2176"/>
        <v>0</v>
      </c>
      <c r="EO1092" s="552">
        <f t="shared" si="2176"/>
        <v>0</v>
      </c>
      <c r="EP1092" s="552">
        <f t="shared" si="2176"/>
        <v>0</v>
      </c>
      <c r="EQ1092" s="552">
        <f t="shared" si="2176"/>
        <v>0</v>
      </c>
      <c r="ER1092" s="552">
        <f t="shared" si="2176"/>
        <v>0</v>
      </c>
      <c r="ES1092" s="552">
        <f t="shared" si="2176"/>
        <v>0</v>
      </c>
      <c r="ET1092" s="552">
        <f t="shared" si="2176"/>
        <v>0</v>
      </c>
      <c r="EU1092" s="552">
        <f t="shared" si="2176"/>
        <v>0</v>
      </c>
      <c r="EV1092" s="552">
        <f t="shared" si="2176"/>
        <v>0</v>
      </c>
      <c r="EW1092" s="552">
        <f t="shared" si="2176"/>
        <v>0</v>
      </c>
      <c r="EX1092" s="552">
        <f t="shared" si="2176"/>
        <v>0</v>
      </c>
      <c r="EY1092" s="799">
        <f t="shared" si="1775"/>
        <v>0</v>
      </c>
      <c r="EZ1092" s="640"/>
      <c r="FA1092" s="640"/>
      <c r="FB1092" s="640"/>
      <c r="FC1092" s="640"/>
      <c r="FD1092" s="640"/>
      <c r="FE1092" s="640"/>
      <c r="FF1092" s="640"/>
      <c r="FG1092" s="640"/>
      <c r="FH1092" s="640"/>
      <c r="FI1092" s="640"/>
      <c r="FJ1092" s="640"/>
      <c r="FK1092" s="640"/>
      <c r="FL1092" s="640"/>
    </row>
    <row r="1093" spans="1:168" x14ac:dyDescent="0.25">
      <c r="A1093" s="1493"/>
      <c r="B1093" s="624">
        <f t="shared" si="2154"/>
        <v>0</v>
      </c>
      <c r="C1093" s="624">
        <f t="shared" si="2154"/>
        <v>0</v>
      </c>
      <c r="D1093" s="624">
        <f t="shared" si="2154"/>
        <v>0</v>
      </c>
      <c r="E1093" s="1158">
        <f t="shared" si="2161"/>
        <v>0</v>
      </c>
      <c r="F1093" s="1158"/>
      <c r="G1093" s="1140"/>
      <c r="H1093" s="1140"/>
      <c r="I1093" s="552"/>
      <c r="J1093" s="552">
        <f>J131*J$338</f>
        <v>0</v>
      </c>
      <c r="K1093" s="552">
        <f t="shared" ref="K1093:BV1093" si="2177">K131*K$338</f>
        <v>0</v>
      </c>
      <c r="L1093" s="552">
        <f t="shared" si="2177"/>
        <v>0</v>
      </c>
      <c r="M1093" s="552">
        <f t="shared" si="2177"/>
        <v>0</v>
      </c>
      <c r="N1093" s="552">
        <f t="shared" si="2177"/>
        <v>0</v>
      </c>
      <c r="O1093" s="552">
        <f t="shared" si="2177"/>
        <v>0</v>
      </c>
      <c r="P1093" s="552">
        <f t="shared" si="2177"/>
        <v>0</v>
      </c>
      <c r="Q1093" s="552">
        <f t="shared" si="2177"/>
        <v>0</v>
      </c>
      <c r="R1093" s="552">
        <f t="shared" si="2177"/>
        <v>0</v>
      </c>
      <c r="S1093" s="552">
        <f t="shared" si="2177"/>
        <v>0</v>
      </c>
      <c r="T1093" s="552">
        <f t="shared" si="2177"/>
        <v>0</v>
      </c>
      <c r="U1093" s="552">
        <f t="shared" si="2177"/>
        <v>0</v>
      </c>
      <c r="V1093" s="552">
        <f t="shared" si="2177"/>
        <v>0</v>
      </c>
      <c r="W1093" s="552">
        <f t="shared" si="2177"/>
        <v>0</v>
      </c>
      <c r="X1093" s="552">
        <f t="shared" si="2177"/>
        <v>0</v>
      </c>
      <c r="Y1093" s="552">
        <f t="shared" si="2177"/>
        <v>0</v>
      </c>
      <c r="Z1093" s="552">
        <f t="shared" si="2177"/>
        <v>0</v>
      </c>
      <c r="AA1093" s="552">
        <f t="shared" si="2177"/>
        <v>0</v>
      </c>
      <c r="AB1093" s="552">
        <f t="shared" si="2177"/>
        <v>0</v>
      </c>
      <c r="AC1093" s="552">
        <f t="shared" si="2177"/>
        <v>0</v>
      </c>
      <c r="AD1093" s="552">
        <f t="shared" si="2177"/>
        <v>0</v>
      </c>
      <c r="AE1093" s="552">
        <f t="shared" si="2177"/>
        <v>0</v>
      </c>
      <c r="AF1093" s="552">
        <f t="shared" si="2177"/>
        <v>0</v>
      </c>
      <c r="AG1093" s="552">
        <f t="shared" si="2177"/>
        <v>0</v>
      </c>
      <c r="AH1093" s="552">
        <f t="shared" si="2177"/>
        <v>0</v>
      </c>
      <c r="AI1093" s="552">
        <f t="shared" si="2177"/>
        <v>0</v>
      </c>
      <c r="AJ1093" s="552">
        <f t="shared" si="2177"/>
        <v>0</v>
      </c>
      <c r="AK1093" s="552">
        <f t="shared" si="2177"/>
        <v>0</v>
      </c>
      <c r="AL1093" s="552">
        <f t="shared" si="2177"/>
        <v>0</v>
      </c>
      <c r="AM1093" s="552">
        <f t="shared" si="2177"/>
        <v>0</v>
      </c>
      <c r="AN1093" s="552">
        <f t="shared" si="2177"/>
        <v>0</v>
      </c>
      <c r="AO1093" s="552">
        <f t="shared" si="2177"/>
        <v>0</v>
      </c>
      <c r="AP1093" s="552">
        <f t="shared" si="2177"/>
        <v>0</v>
      </c>
      <c r="AQ1093" s="552">
        <f t="shared" si="2177"/>
        <v>0</v>
      </c>
      <c r="AR1093" s="552">
        <f t="shared" si="2177"/>
        <v>0</v>
      </c>
      <c r="AS1093" s="552">
        <f t="shared" si="2177"/>
        <v>0</v>
      </c>
      <c r="AT1093" s="552">
        <f t="shared" si="2177"/>
        <v>0</v>
      </c>
      <c r="AU1093" s="552">
        <f t="shared" si="2177"/>
        <v>0</v>
      </c>
      <c r="AV1093" s="552">
        <f t="shared" si="2177"/>
        <v>0</v>
      </c>
      <c r="AW1093" s="552">
        <f t="shared" si="2177"/>
        <v>0</v>
      </c>
      <c r="AX1093" s="552">
        <f t="shared" si="2177"/>
        <v>0</v>
      </c>
      <c r="AY1093" s="552">
        <f t="shared" si="2177"/>
        <v>0</v>
      </c>
      <c r="AZ1093" s="552">
        <f t="shared" si="2177"/>
        <v>0</v>
      </c>
      <c r="BA1093" s="552">
        <f t="shared" si="2177"/>
        <v>0</v>
      </c>
      <c r="BB1093" s="552">
        <f t="shared" si="2177"/>
        <v>0</v>
      </c>
      <c r="BC1093" s="552">
        <f t="shared" si="2177"/>
        <v>0</v>
      </c>
      <c r="BD1093" s="552">
        <f t="shared" si="2177"/>
        <v>0</v>
      </c>
      <c r="BE1093" s="552">
        <f t="shared" si="2177"/>
        <v>0</v>
      </c>
      <c r="BF1093" s="552">
        <f t="shared" si="2177"/>
        <v>0</v>
      </c>
      <c r="BG1093" s="552">
        <f t="shared" si="2177"/>
        <v>0</v>
      </c>
      <c r="BH1093" s="552">
        <f t="shared" si="2177"/>
        <v>0</v>
      </c>
      <c r="BI1093" s="552">
        <f t="shared" si="2177"/>
        <v>0</v>
      </c>
      <c r="BJ1093" s="552">
        <f t="shared" si="2177"/>
        <v>0</v>
      </c>
      <c r="BK1093" s="552">
        <f t="shared" si="2177"/>
        <v>0</v>
      </c>
      <c r="BL1093" s="552">
        <f t="shared" si="2177"/>
        <v>0</v>
      </c>
      <c r="BM1093" s="552">
        <f t="shared" si="2177"/>
        <v>0</v>
      </c>
      <c r="BN1093" s="552">
        <f t="shared" si="2177"/>
        <v>0</v>
      </c>
      <c r="BO1093" s="552">
        <f t="shared" si="2177"/>
        <v>0</v>
      </c>
      <c r="BP1093" s="552">
        <f t="shared" si="2177"/>
        <v>0</v>
      </c>
      <c r="BQ1093" s="552">
        <f t="shared" si="2177"/>
        <v>0</v>
      </c>
      <c r="BR1093" s="552">
        <f t="shared" si="2177"/>
        <v>0</v>
      </c>
      <c r="BS1093" s="552">
        <f t="shared" si="2177"/>
        <v>0</v>
      </c>
      <c r="BT1093" s="552">
        <f t="shared" si="2177"/>
        <v>0</v>
      </c>
      <c r="BU1093" s="552">
        <f t="shared" si="2177"/>
        <v>0</v>
      </c>
      <c r="BV1093" s="552">
        <f t="shared" si="2177"/>
        <v>0</v>
      </c>
      <c r="BW1093" s="552">
        <f t="shared" ref="BW1093:DB1093" si="2178">BW131*BW$338</f>
        <v>0</v>
      </c>
      <c r="BX1093" s="552">
        <f t="shared" si="2178"/>
        <v>0</v>
      </c>
      <c r="BY1093" s="552">
        <f t="shared" si="2178"/>
        <v>0</v>
      </c>
      <c r="BZ1093" s="552">
        <f t="shared" si="2178"/>
        <v>0</v>
      </c>
      <c r="CA1093" s="552">
        <f t="shared" si="2178"/>
        <v>0</v>
      </c>
      <c r="CB1093" s="552">
        <f t="shared" si="2178"/>
        <v>0</v>
      </c>
      <c r="CC1093" s="552">
        <f t="shared" si="2178"/>
        <v>0</v>
      </c>
      <c r="CD1093" s="552">
        <f t="shared" si="2178"/>
        <v>0</v>
      </c>
      <c r="CE1093" s="552">
        <f t="shared" si="2178"/>
        <v>0</v>
      </c>
      <c r="CF1093" s="552">
        <f t="shared" si="2178"/>
        <v>0</v>
      </c>
      <c r="CG1093" s="552">
        <f t="shared" si="2178"/>
        <v>0</v>
      </c>
      <c r="CH1093" s="552">
        <f t="shared" si="2178"/>
        <v>0</v>
      </c>
      <c r="CI1093" s="552">
        <f t="shared" si="2178"/>
        <v>0</v>
      </c>
      <c r="CJ1093" s="552">
        <f t="shared" si="2178"/>
        <v>0</v>
      </c>
      <c r="CK1093" s="552">
        <f t="shared" si="2178"/>
        <v>0</v>
      </c>
      <c r="CL1093" s="552">
        <f t="shared" si="2178"/>
        <v>0</v>
      </c>
      <c r="CM1093" s="552">
        <f t="shared" si="2178"/>
        <v>0</v>
      </c>
      <c r="CN1093" s="552">
        <f t="shared" si="2178"/>
        <v>0</v>
      </c>
      <c r="CO1093" s="552">
        <f t="shared" si="2178"/>
        <v>0</v>
      </c>
      <c r="CP1093" s="552">
        <f t="shared" si="2178"/>
        <v>0</v>
      </c>
      <c r="CQ1093" s="552">
        <f t="shared" si="2178"/>
        <v>0</v>
      </c>
      <c r="CR1093" s="552">
        <f t="shared" si="2178"/>
        <v>0</v>
      </c>
      <c r="CS1093" s="552">
        <f t="shared" si="2178"/>
        <v>0</v>
      </c>
      <c r="CT1093" s="552">
        <f t="shared" si="2178"/>
        <v>0</v>
      </c>
      <c r="CU1093" s="552">
        <f t="shared" si="2178"/>
        <v>0</v>
      </c>
      <c r="CV1093" s="552">
        <f t="shared" si="2178"/>
        <v>0</v>
      </c>
      <c r="CW1093" s="552">
        <f t="shared" si="2178"/>
        <v>0</v>
      </c>
      <c r="CX1093" s="552">
        <f t="shared" si="2178"/>
        <v>0</v>
      </c>
      <c r="CY1093" s="552">
        <f t="shared" si="2178"/>
        <v>0</v>
      </c>
      <c r="CZ1093" s="552">
        <f t="shared" si="2178"/>
        <v>0</v>
      </c>
      <c r="DA1093" s="552">
        <f t="shared" si="2178"/>
        <v>0</v>
      </c>
      <c r="DB1093" s="552">
        <f t="shared" si="2178"/>
        <v>0</v>
      </c>
      <c r="DC1093" s="552">
        <f t="shared" ref="DC1093:EH1093" si="2179">DC131*DC$338</f>
        <v>0</v>
      </c>
      <c r="DD1093" s="552">
        <f t="shared" si="2179"/>
        <v>0</v>
      </c>
      <c r="DE1093" s="552">
        <f t="shared" si="2179"/>
        <v>0</v>
      </c>
      <c r="DF1093" s="552">
        <f t="shared" si="2179"/>
        <v>0</v>
      </c>
      <c r="DG1093" s="552">
        <f t="shared" si="2179"/>
        <v>0</v>
      </c>
      <c r="DH1093" s="552">
        <f t="shared" si="2179"/>
        <v>0</v>
      </c>
      <c r="DI1093" s="552">
        <f t="shared" si="2179"/>
        <v>0</v>
      </c>
      <c r="DJ1093" s="552">
        <f t="shared" si="2179"/>
        <v>0</v>
      </c>
      <c r="DK1093" s="552">
        <f t="shared" si="2179"/>
        <v>0</v>
      </c>
      <c r="DL1093" s="552">
        <f t="shared" si="2179"/>
        <v>0</v>
      </c>
      <c r="DM1093" s="552">
        <f t="shared" si="2179"/>
        <v>0</v>
      </c>
      <c r="DN1093" s="552">
        <f t="shared" si="2179"/>
        <v>0</v>
      </c>
      <c r="DO1093" s="552">
        <f t="shared" si="2179"/>
        <v>0</v>
      </c>
      <c r="DP1093" s="552">
        <f t="shared" si="2179"/>
        <v>0</v>
      </c>
      <c r="DQ1093" s="552">
        <f t="shared" si="2179"/>
        <v>0</v>
      </c>
      <c r="DR1093" s="552">
        <f t="shared" si="2179"/>
        <v>0</v>
      </c>
      <c r="DS1093" s="552">
        <f t="shared" si="2179"/>
        <v>0</v>
      </c>
      <c r="DT1093" s="552">
        <f t="shared" si="2179"/>
        <v>0</v>
      </c>
      <c r="DU1093" s="552">
        <f t="shared" si="2179"/>
        <v>0</v>
      </c>
      <c r="DV1093" s="552">
        <f t="shared" si="2179"/>
        <v>0</v>
      </c>
      <c r="DW1093" s="552">
        <f t="shared" si="2179"/>
        <v>0</v>
      </c>
      <c r="DX1093" s="552">
        <f t="shared" si="2179"/>
        <v>0</v>
      </c>
      <c r="DY1093" s="552">
        <f t="shared" si="2179"/>
        <v>0</v>
      </c>
      <c r="DZ1093" s="552">
        <f t="shared" si="2179"/>
        <v>0</v>
      </c>
      <c r="EA1093" s="552">
        <f t="shared" si="2179"/>
        <v>0</v>
      </c>
      <c r="EB1093" s="552">
        <f t="shared" si="2179"/>
        <v>0</v>
      </c>
      <c r="EC1093" s="552">
        <f t="shared" si="2179"/>
        <v>0</v>
      </c>
      <c r="ED1093" s="552">
        <f t="shared" si="2179"/>
        <v>0</v>
      </c>
      <c r="EE1093" s="552">
        <f t="shared" si="2179"/>
        <v>0</v>
      </c>
      <c r="EF1093" s="552">
        <f t="shared" si="2179"/>
        <v>0</v>
      </c>
      <c r="EG1093" s="552">
        <f t="shared" si="2179"/>
        <v>0</v>
      </c>
      <c r="EH1093" s="552">
        <f t="shared" si="2179"/>
        <v>0</v>
      </c>
      <c r="EI1093" s="552">
        <f t="shared" ref="EI1093:EX1093" si="2180">EI131*EI$338</f>
        <v>0</v>
      </c>
      <c r="EJ1093" s="552">
        <f t="shared" si="2180"/>
        <v>0</v>
      </c>
      <c r="EK1093" s="552">
        <f t="shared" si="2180"/>
        <v>0</v>
      </c>
      <c r="EL1093" s="552">
        <f t="shared" si="2180"/>
        <v>0</v>
      </c>
      <c r="EM1093" s="552">
        <f t="shared" si="2180"/>
        <v>0</v>
      </c>
      <c r="EN1093" s="552">
        <f t="shared" si="2180"/>
        <v>0</v>
      </c>
      <c r="EO1093" s="552">
        <f t="shared" si="2180"/>
        <v>0</v>
      </c>
      <c r="EP1093" s="552">
        <f t="shared" si="2180"/>
        <v>0</v>
      </c>
      <c r="EQ1093" s="552">
        <f t="shared" si="2180"/>
        <v>0</v>
      </c>
      <c r="ER1093" s="552">
        <f t="shared" si="2180"/>
        <v>0</v>
      </c>
      <c r="ES1093" s="552">
        <f t="shared" si="2180"/>
        <v>0</v>
      </c>
      <c r="ET1093" s="552">
        <f t="shared" si="2180"/>
        <v>0</v>
      </c>
      <c r="EU1093" s="552">
        <f t="shared" si="2180"/>
        <v>0</v>
      </c>
      <c r="EV1093" s="552">
        <f t="shared" si="2180"/>
        <v>0</v>
      </c>
      <c r="EW1093" s="552">
        <f t="shared" si="2180"/>
        <v>0</v>
      </c>
      <c r="EX1093" s="552">
        <f t="shared" si="2180"/>
        <v>0</v>
      </c>
      <c r="EY1093" s="799">
        <f t="shared" si="1775"/>
        <v>0</v>
      </c>
      <c r="EZ1093" s="640"/>
      <c r="FA1093" s="640"/>
      <c r="FB1093" s="640"/>
      <c r="FC1093" s="640"/>
      <c r="FD1093" s="640"/>
      <c r="FE1093" s="640"/>
      <c r="FF1093" s="640"/>
      <c r="FG1093" s="640"/>
      <c r="FH1093" s="640"/>
      <c r="FI1093" s="640"/>
      <c r="FJ1093" s="640"/>
      <c r="FK1093" s="640"/>
      <c r="FL1093" s="640"/>
    </row>
    <row r="1094" spans="1:168" x14ac:dyDescent="0.25">
      <c r="A1094" s="254"/>
      <c r="B1094" s="625" t="s">
        <v>801</v>
      </c>
      <c r="C1094" s="1135"/>
      <c r="D1094" s="1138">
        <f>SUM(D1089:D1093)</f>
        <v>0</v>
      </c>
      <c r="E1094" s="1138">
        <f t="shared" ref="E1094:J1094" si="2181">SUM(E1089:E1093)</f>
        <v>0</v>
      </c>
      <c r="F1094" s="1138"/>
      <c r="G1094" s="1138">
        <f t="shared" si="2181"/>
        <v>0</v>
      </c>
      <c r="H1094" s="1138">
        <f t="shared" si="2181"/>
        <v>0</v>
      </c>
      <c r="I1094" s="554"/>
      <c r="J1094" s="1138">
        <f t="shared" si="2181"/>
        <v>0</v>
      </c>
      <c r="K1094" s="1138">
        <f t="shared" ref="K1094" si="2182">SUM(K1089:K1093)</f>
        <v>0</v>
      </c>
      <c r="L1094" s="1138">
        <f t="shared" ref="L1094" si="2183">SUM(L1089:L1093)</f>
        <v>0</v>
      </c>
      <c r="M1094" s="1138">
        <f t="shared" ref="M1094" si="2184">SUM(M1089:M1093)</f>
        <v>0</v>
      </c>
      <c r="N1094" s="1138">
        <f t="shared" ref="N1094" si="2185">SUM(N1089:N1093)</f>
        <v>0</v>
      </c>
      <c r="O1094" s="1138">
        <f t="shared" ref="O1094" si="2186">SUM(O1089:O1093)</f>
        <v>0</v>
      </c>
      <c r="P1094" s="1138">
        <f t="shared" ref="P1094" si="2187">SUM(P1089:P1093)</f>
        <v>0</v>
      </c>
      <c r="Q1094" s="1138">
        <f t="shared" ref="Q1094" si="2188">SUM(Q1089:Q1093)</f>
        <v>0</v>
      </c>
      <c r="R1094" s="1138">
        <f t="shared" ref="R1094" si="2189">SUM(R1089:R1093)</f>
        <v>0</v>
      </c>
      <c r="S1094" s="1138">
        <f t="shared" ref="S1094" si="2190">SUM(S1089:S1093)</f>
        <v>0</v>
      </c>
      <c r="T1094" s="1138">
        <f t="shared" ref="T1094" si="2191">SUM(T1089:T1093)</f>
        <v>0</v>
      </c>
      <c r="U1094" s="1138">
        <f t="shared" ref="U1094" si="2192">SUM(U1089:U1093)</f>
        <v>0</v>
      </c>
      <c r="V1094" s="1138">
        <f t="shared" ref="V1094" si="2193">SUM(V1089:V1093)</f>
        <v>0</v>
      </c>
      <c r="W1094" s="1138">
        <f t="shared" ref="W1094" si="2194">SUM(W1089:W1093)</f>
        <v>0</v>
      </c>
      <c r="X1094" s="1138">
        <f t="shared" ref="X1094" si="2195">SUM(X1089:X1093)</f>
        <v>0</v>
      </c>
      <c r="Y1094" s="1138">
        <f t="shared" ref="Y1094" si="2196">SUM(Y1089:Y1093)</f>
        <v>0</v>
      </c>
      <c r="Z1094" s="1138">
        <f t="shared" ref="Z1094" si="2197">SUM(Z1089:Z1093)</f>
        <v>0</v>
      </c>
      <c r="AA1094" s="1138">
        <f t="shared" ref="AA1094" si="2198">SUM(AA1089:AA1093)</f>
        <v>0</v>
      </c>
      <c r="AB1094" s="1138">
        <f t="shared" ref="AB1094" si="2199">SUM(AB1089:AB1093)</f>
        <v>0</v>
      </c>
      <c r="AC1094" s="1138">
        <f t="shared" ref="AC1094" si="2200">SUM(AC1089:AC1093)</f>
        <v>0</v>
      </c>
      <c r="AD1094" s="1138">
        <f t="shared" ref="AD1094" si="2201">SUM(AD1089:AD1093)</f>
        <v>0</v>
      </c>
      <c r="AE1094" s="1138">
        <f t="shared" ref="AE1094" si="2202">SUM(AE1089:AE1093)</f>
        <v>0</v>
      </c>
      <c r="AF1094" s="1138">
        <f t="shared" ref="AF1094" si="2203">SUM(AF1089:AF1093)</f>
        <v>0</v>
      </c>
      <c r="AG1094" s="1138">
        <f t="shared" ref="AG1094" si="2204">SUM(AG1089:AG1093)</f>
        <v>0</v>
      </c>
      <c r="AH1094" s="1138">
        <f t="shared" ref="AH1094" si="2205">SUM(AH1089:AH1093)</f>
        <v>0</v>
      </c>
      <c r="AI1094" s="1138">
        <f t="shared" ref="AI1094" si="2206">SUM(AI1089:AI1093)</f>
        <v>0</v>
      </c>
      <c r="AJ1094" s="1138">
        <f t="shared" ref="AJ1094" si="2207">SUM(AJ1089:AJ1093)</f>
        <v>0</v>
      </c>
      <c r="AK1094" s="1138">
        <f t="shared" ref="AK1094" si="2208">SUM(AK1089:AK1093)</f>
        <v>0</v>
      </c>
      <c r="AL1094" s="1138">
        <f t="shared" ref="AL1094" si="2209">SUM(AL1089:AL1093)</f>
        <v>0</v>
      </c>
      <c r="AM1094" s="1138">
        <f t="shared" ref="AM1094" si="2210">SUM(AM1089:AM1093)</f>
        <v>0</v>
      </c>
      <c r="AN1094" s="1138">
        <f t="shared" ref="AN1094" si="2211">SUM(AN1089:AN1093)</f>
        <v>0</v>
      </c>
      <c r="AO1094" s="1138">
        <f t="shared" ref="AO1094" si="2212">SUM(AO1089:AO1093)</f>
        <v>0</v>
      </c>
      <c r="AP1094" s="1138">
        <f t="shared" ref="AP1094" si="2213">SUM(AP1089:AP1093)</f>
        <v>0</v>
      </c>
      <c r="AQ1094" s="1138">
        <f t="shared" ref="AQ1094" si="2214">SUM(AQ1089:AQ1093)</f>
        <v>0</v>
      </c>
      <c r="AR1094" s="1138">
        <f t="shared" ref="AR1094" si="2215">SUM(AR1089:AR1093)</f>
        <v>0</v>
      </c>
      <c r="AS1094" s="1138">
        <f t="shared" ref="AS1094" si="2216">SUM(AS1089:AS1093)</f>
        <v>0</v>
      </c>
      <c r="AT1094" s="1138">
        <f t="shared" ref="AT1094" si="2217">SUM(AT1089:AT1093)</f>
        <v>0</v>
      </c>
      <c r="AU1094" s="1138">
        <f t="shared" ref="AU1094" si="2218">SUM(AU1089:AU1093)</f>
        <v>0</v>
      </c>
      <c r="AV1094" s="1138">
        <f t="shared" ref="AV1094" si="2219">SUM(AV1089:AV1093)</f>
        <v>0</v>
      </c>
      <c r="AW1094" s="1138">
        <f t="shared" ref="AW1094" si="2220">SUM(AW1089:AW1093)</f>
        <v>0</v>
      </c>
      <c r="AX1094" s="1138">
        <f t="shared" ref="AX1094" si="2221">SUM(AX1089:AX1093)</f>
        <v>0</v>
      </c>
      <c r="AY1094" s="1138">
        <f t="shared" ref="AY1094" si="2222">SUM(AY1089:AY1093)</f>
        <v>0</v>
      </c>
      <c r="AZ1094" s="1138">
        <f t="shared" ref="AZ1094" si="2223">SUM(AZ1089:AZ1093)</f>
        <v>0</v>
      </c>
      <c r="BA1094" s="1138">
        <f t="shared" ref="BA1094" si="2224">SUM(BA1089:BA1093)</f>
        <v>0</v>
      </c>
      <c r="BB1094" s="1138">
        <f t="shared" ref="BB1094" si="2225">SUM(BB1089:BB1093)</f>
        <v>0</v>
      </c>
      <c r="BC1094" s="1138">
        <f t="shared" ref="BC1094" si="2226">SUM(BC1089:BC1093)</f>
        <v>0</v>
      </c>
      <c r="BD1094" s="1138">
        <f t="shared" ref="BD1094" si="2227">SUM(BD1089:BD1093)</f>
        <v>0</v>
      </c>
      <c r="BE1094" s="1138">
        <f t="shared" ref="BE1094" si="2228">SUM(BE1089:BE1093)</f>
        <v>0</v>
      </c>
      <c r="BF1094" s="1138">
        <f t="shared" ref="BF1094" si="2229">SUM(BF1089:BF1093)</f>
        <v>0</v>
      </c>
      <c r="BG1094" s="1138">
        <f t="shared" ref="BG1094" si="2230">SUM(BG1089:BG1093)</f>
        <v>0</v>
      </c>
      <c r="BH1094" s="1138">
        <f t="shared" ref="BH1094" si="2231">SUM(BH1089:BH1093)</f>
        <v>0</v>
      </c>
      <c r="BI1094" s="1138">
        <f t="shared" ref="BI1094" si="2232">SUM(BI1089:BI1093)</f>
        <v>0</v>
      </c>
      <c r="BJ1094" s="1138">
        <f t="shared" ref="BJ1094" si="2233">SUM(BJ1089:BJ1093)</f>
        <v>0</v>
      </c>
      <c r="BK1094" s="1138">
        <f t="shared" ref="BK1094" si="2234">SUM(BK1089:BK1093)</f>
        <v>0</v>
      </c>
      <c r="BL1094" s="1138">
        <f t="shared" ref="BL1094" si="2235">SUM(BL1089:BL1093)</f>
        <v>0</v>
      </c>
      <c r="BM1094" s="1138">
        <f t="shared" ref="BM1094" si="2236">SUM(BM1089:BM1093)</f>
        <v>0</v>
      </c>
      <c r="BN1094" s="1138">
        <f t="shared" ref="BN1094" si="2237">SUM(BN1089:BN1093)</f>
        <v>0</v>
      </c>
      <c r="BO1094" s="1138">
        <f t="shared" ref="BO1094" si="2238">SUM(BO1089:BO1093)</f>
        <v>0</v>
      </c>
      <c r="BP1094" s="1138">
        <f t="shared" ref="BP1094" si="2239">SUM(BP1089:BP1093)</f>
        <v>0</v>
      </c>
      <c r="BQ1094" s="1138">
        <f t="shared" ref="BQ1094" si="2240">SUM(BQ1089:BQ1093)</f>
        <v>0</v>
      </c>
      <c r="BR1094" s="1138">
        <f t="shared" ref="BR1094" si="2241">SUM(BR1089:BR1093)</f>
        <v>0</v>
      </c>
      <c r="BS1094" s="1138">
        <f t="shared" ref="BS1094" si="2242">SUM(BS1089:BS1093)</f>
        <v>0</v>
      </c>
      <c r="BT1094" s="1138">
        <f t="shared" ref="BT1094" si="2243">SUM(BT1089:BT1093)</f>
        <v>0</v>
      </c>
      <c r="BU1094" s="1138">
        <f t="shared" ref="BU1094" si="2244">SUM(BU1089:BU1093)</f>
        <v>0</v>
      </c>
      <c r="BV1094" s="1138">
        <f t="shared" ref="BV1094" si="2245">SUM(BV1089:BV1093)</f>
        <v>0</v>
      </c>
      <c r="BW1094" s="1138">
        <f t="shared" ref="BW1094" si="2246">SUM(BW1089:BW1093)</f>
        <v>0</v>
      </c>
      <c r="BX1094" s="1138">
        <f t="shared" ref="BX1094" si="2247">SUM(BX1089:BX1093)</f>
        <v>0</v>
      </c>
      <c r="BY1094" s="1138">
        <f t="shared" ref="BY1094" si="2248">SUM(BY1089:BY1093)</f>
        <v>0</v>
      </c>
      <c r="BZ1094" s="1138">
        <f t="shared" ref="BZ1094" si="2249">SUM(BZ1089:BZ1093)</f>
        <v>0</v>
      </c>
      <c r="CA1094" s="1138">
        <f t="shared" ref="CA1094" si="2250">SUM(CA1089:CA1093)</f>
        <v>0</v>
      </c>
      <c r="CB1094" s="1138">
        <f t="shared" ref="CB1094" si="2251">SUM(CB1089:CB1093)</f>
        <v>0</v>
      </c>
      <c r="CC1094" s="1138">
        <f t="shared" ref="CC1094" si="2252">SUM(CC1089:CC1093)</f>
        <v>0</v>
      </c>
      <c r="CD1094" s="1138">
        <f t="shared" ref="CD1094" si="2253">SUM(CD1089:CD1093)</f>
        <v>0</v>
      </c>
      <c r="CE1094" s="1138">
        <f t="shared" ref="CE1094" si="2254">SUM(CE1089:CE1093)</f>
        <v>0</v>
      </c>
      <c r="CF1094" s="1138">
        <f t="shared" ref="CF1094" si="2255">SUM(CF1089:CF1093)</f>
        <v>0</v>
      </c>
      <c r="CG1094" s="1138">
        <f t="shared" ref="CG1094" si="2256">SUM(CG1089:CG1093)</f>
        <v>0</v>
      </c>
      <c r="CH1094" s="1138">
        <f t="shared" ref="CH1094" si="2257">SUM(CH1089:CH1093)</f>
        <v>0</v>
      </c>
      <c r="CI1094" s="1138">
        <f t="shared" ref="CI1094" si="2258">SUM(CI1089:CI1093)</f>
        <v>0</v>
      </c>
      <c r="CJ1094" s="1138">
        <f t="shared" ref="CJ1094" si="2259">SUM(CJ1089:CJ1093)</f>
        <v>0</v>
      </c>
      <c r="CK1094" s="1138">
        <f t="shared" ref="CK1094" si="2260">SUM(CK1089:CK1093)</f>
        <v>0</v>
      </c>
      <c r="CL1094" s="1138">
        <f t="shared" ref="CL1094" si="2261">SUM(CL1089:CL1093)</f>
        <v>0</v>
      </c>
      <c r="CM1094" s="1138">
        <f t="shared" ref="CM1094" si="2262">SUM(CM1089:CM1093)</f>
        <v>0</v>
      </c>
      <c r="CN1094" s="1138">
        <f t="shared" ref="CN1094" si="2263">SUM(CN1089:CN1093)</f>
        <v>0</v>
      </c>
      <c r="CO1094" s="1138">
        <f t="shared" ref="CO1094" si="2264">SUM(CO1089:CO1093)</f>
        <v>0</v>
      </c>
      <c r="CP1094" s="1138">
        <f t="shared" ref="CP1094" si="2265">SUM(CP1089:CP1093)</f>
        <v>0</v>
      </c>
      <c r="CQ1094" s="1138">
        <f t="shared" ref="CQ1094" si="2266">SUM(CQ1089:CQ1093)</f>
        <v>0</v>
      </c>
      <c r="CR1094" s="1138">
        <f t="shared" ref="CR1094" si="2267">SUM(CR1089:CR1093)</f>
        <v>0</v>
      </c>
      <c r="CS1094" s="1138">
        <f t="shared" ref="CS1094" si="2268">SUM(CS1089:CS1093)</f>
        <v>0</v>
      </c>
      <c r="CT1094" s="1138">
        <f t="shared" ref="CT1094" si="2269">SUM(CT1089:CT1093)</f>
        <v>0</v>
      </c>
      <c r="CU1094" s="1138">
        <f t="shared" ref="CU1094" si="2270">SUM(CU1089:CU1093)</f>
        <v>0</v>
      </c>
      <c r="CV1094" s="1138">
        <f t="shared" ref="CV1094" si="2271">SUM(CV1089:CV1093)</f>
        <v>0</v>
      </c>
      <c r="CW1094" s="1138">
        <f t="shared" ref="CW1094" si="2272">SUM(CW1089:CW1093)</f>
        <v>0</v>
      </c>
      <c r="CX1094" s="1138">
        <f t="shared" ref="CX1094" si="2273">SUM(CX1089:CX1093)</f>
        <v>0</v>
      </c>
      <c r="CY1094" s="1138">
        <f t="shared" ref="CY1094" si="2274">SUM(CY1089:CY1093)</f>
        <v>0</v>
      </c>
      <c r="CZ1094" s="1138">
        <f t="shared" ref="CZ1094" si="2275">SUM(CZ1089:CZ1093)</f>
        <v>0</v>
      </c>
      <c r="DA1094" s="1138">
        <f t="shared" ref="DA1094" si="2276">SUM(DA1089:DA1093)</f>
        <v>0</v>
      </c>
      <c r="DB1094" s="1138">
        <f t="shared" ref="DB1094" si="2277">SUM(DB1089:DB1093)</f>
        <v>0</v>
      </c>
      <c r="DC1094" s="1138">
        <f t="shared" ref="DC1094" si="2278">SUM(DC1089:DC1093)</f>
        <v>0</v>
      </c>
      <c r="DD1094" s="1138">
        <f t="shared" ref="DD1094" si="2279">SUM(DD1089:DD1093)</f>
        <v>0</v>
      </c>
      <c r="DE1094" s="1138">
        <f t="shared" ref="DE1094" si="2280">SUM(DE1089:DE1093)</f>
        <v>0</v>
      </c>
      <c r="DF1094" s="1138">
        <f t="shared" ref="DF1094" si="2281">SUM(DF1089:DF1093)</f>
        <v>0</v>
      </c>
      <c r="DG1094" s="1138">
        <f t="shared" ref="DG1094" si="2282">SUM(DG1089:DG1093)</f>
        <v>0</v>
      </c>
      <c r="DH1094" s="1138">
        <f t="shared" ref="DH1094" si="2283">SUM(DH1089:DH1093)</f>
        <v>0</v>
      </c>
      <c r="DI1094" s="1138">
        <f t="shared" ref="DI1094" si="2284">SUM(DI1089:DI1093)</f>
        <v>0</v>
      </c>
      <c r="DJ1094" s="1138">
        <f t="shared" ref="DJ1094" si="2285">SUM(DJ1089:DJ1093)</f>
        <v>0</v>
      </c>
      <c r="DK1094" s="1138">
        <f t="shared" ref="DK1094" si="2286">SUM(DK1089:DK1093)</f>
        <v>0</v>
      </c>
      <c r="DL1094" s="1138">
        <f t="shared" ref="DL1094" si="2287">SUM(DL1089:DL1093)</f>
        <v>0</v>
      </c>
      <c r="DM1094" s="1138">
        <f t="shared" ref="DM1094" si="2288">SUM(DM1089:DM1093)</f>
        <v>0</v>
      </c>
      <c r="DN1094" s="1138">
        <f t="shared" ref="DN1094" si="2289">SUM(DN1089:DN1093)</f>
        <v>0</v>
      </c>
      <c r="DO1094" s="1138">
        <f t="shared" ref="DO1094" si="2290">SUM(DO1089:DO1093)</f>
        <v>0</v>
      </c>
      <c r="DP1094" s="1138">
        <f t="shared" ref="DP1094" si="2291">SUM(DP1089:DP1093)</f>
        <v>0</v>
      </c>
      <c r="DQ1094" s="1138">
        <f t="shared" ref="DQ1094" si="2292">SUM(DQ1089:DQ1093)</f>
        <v>0</v>
      </c>
      <c r="DR1094" s="1138">
        <f t="shared" ref="DR1094" si="2293">SUM(DR1089:DR1093)</f>
        <v>0</v>
      </c>
      <c r="DS1094" s="1138">
        <f t="shared" ref="DS1094" si="2294">SUM(DS1089:DS1093)</f>
        <v>0</v>
      </c>
      <c r="DT1094" s="1138">
        <f t="shared" ref="DT1094" si="2295">SUM(DT1089:DT1093)</f>
        <v>0</v>
      </c>
      <c r="DU1094" s="1138">
        <f t="shared" ref="DU1094" si="2296">SUM(DU1089:DU1093)</f>
        <v>0</v>
      </c>
      <c r="DV1094" s="1138">
        <f t="shared" ref="DV1094" si="2297">SUM(DV1089:DV1093)</f>
        <v>0</v>
      </c>
      <c r="DW1094" s="1138">
        <f t="shared" ref="DW1094" si="2298">SUM(DW1089:DW1093)</f>
        <v>0</v>
      </c>
      <c r="DX1094" s="1138">
        <f t="shared" ref="DX1094" si="2299">SUM(DX1089:DX1093)</f>
        <v>0</v>
      </c>
      <c r="DY1094" s="1138">
        <f t="shared" ref="DY1094" si="2300">SUM(DY1089:DY1093)</f>
        <v>0</v>
      </c>
      <c r="DZ1094" s="1138">
        <f t="shared" ref="DZ1094" si="2301">SUM(DZ1089:DZ1093)</f>
        <v>0</v>
      </c>
      <c r="EA1094" s="1138">
        <f t="shared" ref="EA1094" si="2302">SUM(EA1089:EA1093)</f>
        <v>0</v>
      </c>
      <c r="EB1094" s="1138">
        <f t="shared" ref="EB1094" si="2303">SUM(EB1089:EB1093)</f>
        <v>0</v>
      </c>
      <c r="EC1094" s="1138">
        <f t="shared" ref="EC1094" si="2304">SUM(EC1089:EC1093)</f>
        <v>0</v>
      </c>
      <c r="ED1094" s="1138">
        <f t="shared" ref="ED1094" si="2305">SUM(ED1089:ED1093)</f>
        <v>0</v>
      </c>
      <c r="EE1094" s="1138">
        <f t="shared" ref="EE1094" si="2306">SUM(EE1089:EE1093)</f>
        <v>0</v>
      </c>
      <c r="EF1094" s="1138">
        <f t="shared" ref="EF1094" si="2307">SUM(EF1089:EF1093)</f>
        <v>0</v>
      </c>
      <c r="EG1094" s="1138">
        <f t="shared" ref="EG1094" si="2308">SUM(EG1089:EG1093)</f>
        <v>0</v>
      </c>
      <c r="EH1094" s="1138">
        <f t="shared" ref="EH1094" si="2309">SUM(EH1089:EH1093)</f>
        <v>0</v>
      </c>
      <c r="EI1094" s="1138">
        <f t="shared" ref="EI1094" si="2310">SUM(EI1089:EI1093)</f>
        <v>0</v>
      </c>
      <c r="EJ1094" s="1138">
        <f t="shared" ref="EJ1094" si="2311">SUM(EJ1089:EJ1093)</f>
        <v>0</v>
      </c>
      <c r="EK1094" s="1138">
        <f t="shared" ref="EK1094" si="2312">SUM(EK1089:EK1093)</f>
        <v>0</v>
      </c>
      <c r="EL1094" s="1138">
        <f t="shared" ref="EL1094" si="2313">SUM(EL1089:EL1093)</f>
        <v>0</v>
      </c>
      <c r="EM1094" s="1138">
        <f t="shared" ref="EM1094" si="2314">SUM(EM1089:EM1093)</f>
        <v>0</v>
      </c>
      <c r="EN1094" s="1138">
        <f t="shared" ref="EN1094" si="2315">SUM(EN1089:EN1093)</f>
        <v>0</v>
      </c>
      <c r="EO1094" s="1138">
        <f t="shared" ref="EO1094" si="2316">SUM(EO1089:EO1093)</f>
        <v>0</v>
      </c>
      <c r="EP1094" s="1138">
        <f t="shared" ref="EP1094" si="2317">SUM(EP1089:EP1093)</f>
        <v>0</v>
      </c>
      <c r="EQ1094" s="1138">
        <f t="shared" ref="EQ1094" si="2318">SUM(EQ1089:EQ1093)</f>
        <v>0</v>
      </c>
      <c r="ER1094" s="1138">
        <f t="shared" ref="ER1094" si="2319">SUM(ER1089:ER1093)</f>
        <v>0</v>
      </c>
      <c r="ES1094" s="1138">
        <f t="shared" ref="ES1094" si="2320">SUM(ES1089:ES1093)</f>
        <v>0</v>
      </c>
      <c r="ET1094" s="1138">
        <f t="shared" ref="ET1094" si="2321">SUM(ET1089:ET1093)</f>
        <v>0</v>
      </c>
      <c r="EU1094" s="1138">
        <f t="shared" ref="EU1094" si="2322">SUM(EU1089:EU1093)</f>
        <v>0</v>
      </c>
      <c r="EV1094" s="1138">
        <f t="shared" ref="EV1094" si="2323">SUM(EV1089:EV1093)</f>
        <v>0</v>
      </c>
      <c r="EW1094" s="1138">
        <f t="shared" ref="EW1094" si="2324">SUM(EW1089:EW1093)</f>
        <v>0</v>
      </c>
      <c r="EX1094" s="1138">
        <f t="shared" ref="EX1094:FL1094" si="2325">SUM(EX1089:EX1093)</f>
        <v>0</v>
      </c>
      <c r="EY1094" s="1138">
        <f t="shared" si="2325"/>
        <v>0</v>
      </c>
      <c r="EZ1094" s="1138">
        <f t="shared" si="2325"/>
        <v>0</v>
      </c>
      <c r="FA1094" s="1138">
        <f t="shared" si="2325"/>
        <v>0</v>
      </c>
      <c r="FB1094" s="1138">
        <f t="shared" si="2325"/>
        <v>0</v>
      </c>
      <c r="FC1094" s="1138">
        <f t="shared" si="2325"/>
        <v>0</v>
      </c>
      <c r="FD1094" s="1138">
        <f t="shared" si="2325"/>
        <v>0</v>
      </c>
      <c r="FE1094" s="1138">
        <f t="shared" si="2325"/>
        <v>0</v>
      </c>
      <c r="FF1094" s="1138">
        <f t="shared" si="2325"/>
        <v>0</v>
      </c>
      <c r="FG1094" s="1138">
        <f t="shared" si="2325"/>
        <v>0</v>
      </c>
      <c r="FH1094" s="1138">
        <f t="shared" si="2325"/>
        <v>0</v>
      </c>
      <c r="FI1094" s="1138">
        <f t="shared" si="2325"/>
        <v>0</v>
      </c>
      <c r="FJ1094" s="1138">
        <f t="shared" si="2325"/>
        <v>0</v>
      </c>
      <c r="FK1094" s="1138">
        <f t="shared" si="2325"/>
        <v>0</v>
      </c>
      <c r="FL1094" s="1138">
        <f t="shared" si="2325"/>
        <v>0</v>
      </c>
    </row>
    <row r="1095" spans="1:168" x14ac:dyDescent="0.25">
      <c r="A1095" s="254"/>
      <c r="B1095" s="625" t="s">
        <v>211</v>
      </c>
      <c r="C1095" s="1135"/>
      <c r="D1095" s="1138">
        <f>D1078+D1088+D1094</f>
        <v>44.68</v>
      </c>
      <c r="E1095" s="1138">
        <f t="shared" ref="E1095:J1095" si="2326">E1078+E1088+E1094</f>
        <v>207.27</v>
      </c>
      <c r="F1095" s="1138"/>
      <c r="G1095" s="1138">
        <f t="shared" si="2326"/>
        <v>0</v>
      </c>
      <c r="H1095" s="1138">
        <f t="shared" si="2326"/>
        <v>0</v>
      </c>
      <c r="I1095" s="554"/>
      <c r="J1095" s="1138">
        <f t="shared" si="2326"/>
        <v>0</v>
      </c>
      <c r="K1095" s="1138">
        <f t="shared" ref="K1095" si="2327">K1078+K1088+K1094</f>
        <v>0</v>
      </c>
      <c r="L1095" s="1138">
        <f t="shared" ref="L1095" si="2328">L1078+L1088+L1094</f>
        <v>0</v>
      </c>
      <c r="M1095" s="1138">
        <f t="shared" ref="M1095" si="2329">M1078+M1088+M1094</f>
        <v>0</v>
      </c>
      <c r="N1095" s="1138">
        <f t="shared" ref="N1095" si="2330">N1078+N1088+N1094</f>
        <v>0</v>
      </c>
      <c r="O1095" s="1138">
        <f t="shared" ref="O1095" si="2331">O1078+O1088+O1094</f>
        <v>0</v>
      </c>
      <c r="P1095" s="1138">
        <f t="shared" ref="P1095" si="2332">P1078+P1088+P1094</f>
        <v>0</v>
      </c>
      <c r="Q1095" s="1138">
        <f t="shared" ref="Q1095" si="2333">Q1078+Q1088+Q1094</f>
        <v>0</v>
      </c>
      <c r="R1095" s="1138">
        <f t="shared" ref="R1095" si="2334">R1078+R1088+R1094</f>
        <v>0</v>
      </c>
      <c r="S1095" s="1138">
        <f t="shared" ref="S1095" si="2335">S1078+S1088+S1094</f>
        <v>52.52</v>
      </c>
      <c r="T1095" s="1138">
        <f t="shared" ref="T1095" si="2336">T1078+T1088+T1094</f>
        <v>0</v>
      </c>
      <c r="U1095" s="1138">
        <f t="shared" ref="U1095" si="2337">U1078+U1088+U1094</f>
        <v>9.9</v>
      </c>
      <c r="V1095" s="1138">
        <f t="shared" ref="V1095" si="2338">V1078+V1088+V1094</f>
        <v>17.93</v>
      </c>
      <c r="W1095" s="1138">
        <f t="shared" ref="W1095" si="2339">W1078+W1088+W1094</f>
        <v>0</v>
      </c>
      <c r="X1095" s="1138">
        <f t="shared" ref="X1095" si="2340">X1078+X1088+X1094</f>
        <v>0</v>
      </c>
      <c r="Y1095" s="1138">
        <f t="shared" ref="Y1095" si="2341">Y1078+Y1088+Y1094</f>
        <v>1.17</v>
      </c>
      <c r="Z1095" s="1138">
        <f t="shared" ref="Z1095" si="2342">Z1078+Z1088+Z1094</f>
        <v>0</v>
      </c>
      <c r="AA1095" s="1138">
        <f t="shared" ref="AA1095" si="2343">AA1078+AA1088+AA1094</f>
        <v>0</v>
      </c>
      <c r="AB1095" s="1138">
        <f t="shared" ref="AB1095" si="2344">AB1078+AB1088+AB1094</f>
        <v>0</v>
      </c>
      <c r="AC1095" s="1138">
        <f t="shared" ref="AC1095" si="2345">AC1078+AC1088+AC1094</f>
        <v>0</v>
      </c>
      <c r="AD1095" s="1138">
        <f t="shared" ref="AD1095" si="2346">AD1078+AD1088+AD1094</f>
        <v>0</v>
      </c>
      <c r="AE1095" s="1138">
        <f t="shared" ref="AE1095" si="2347">AE1078+AE1088+AE1094</f>
        <v>0</v>
      </c>
      <c r="AF1095" s="1138">
        <f t="shared" ref="AF1095" si="2348">AF1078+AF1088+AF1094</f>
        <v>3.14</v>
      </c>
      <c r="AG1095" s="1138">
        <f t="shared" ref="AG1095" si="2349">AG1078+AG1088+AG1094</f>
        <v>0</v>
      </c>
      <c r="AH1095" s="1138">
        <f t="shared" ref="AH1095" si="2350">AH1078+AH1088+AH1094</f>
        <v>13.55</v>
      </c>
      <c r="AI1095" s="1138">
        <f t="shared" ref="AI1095" si="2351">AI1078+AI1088+AI1094</f>
        <v>0</v>
      </c>
      <c r="AJ1095" s="1138">
        <f t="shared" ref="AJ1095" si="2352">AJ1078+AJ1088+AJ1094</f>
        <v>0</v>
      </c>
      <c r="AK1095" s="1138">
        <f t="shared" ref="AK1095" si="2353">AK1078+AK1088+AK1094</f>
        <v>1.49</v>
      </c>
      <c r="AL1095" s="1138">
        <f t="shared" ref="AL1095" si="2354">AL1078+AL1088+AL1094</f>
        <v>0</v>
      </c>
      <c r="AM1095" s="1138">
        <f t="shared" ref="AM1095" si="2355">AM1078+AM1088+AM1094</f>
        <v>0</v>
      </c>
      <c r="AN1095" s="1138">
        <f t="shared" ref="AN1095" si="2356">AN1078+AN1088+AN1094</f>
        <v>0</v>
      </c>
      <c r="AO1095" s="1138">
        <f t="shared" ref="AO1095" si="2357">AO1078+AO1088+AO1094</f>
        <v>0</v>
      </c>
      <c r="AP1095" s="1138">
        <f t="shared" ref="AP1095" si="2358">AP1078+AP1088+AP1094</f>
        <v>0</v>
      </c>
      <c r="AQ1095" s="1138">
        <f t="shared" ref="AQ1095" si="2359">AQ1078+AQ1088+AQ1094</f>
        <v>4.12</v>
      </c>
      <c r="AR1095" s="1138">
        <f t="shared" ref="AR1095" si="2360">AR1078+AR1088+AR1094</f>
        <v>0</v>
      </c>
      <c r="AS1095" s="1138">
        <f t="shared" ref="AS1095" si="2361">AS1078+AS1088+AS1094</f>
        <v>0</v>
      </c>
      <c r="AT1095" s="1138">
        <f t="shared" ref="AT1095" si="2362">AT1078+AT1088+AT1094</f>
        <v>2.1</v>
      </c>
      <c r="AU1095" s="1138">
        <f t="shared" ref="AU1095" si="2363">AU1078+AU1088+AU1094</f>
        <v>0</v>
      </c>
      <c r="AV1095" s="1138">
        <f t="shared" ref="AV1095" si="2364">AV1078+AV1088+AV1094</f>
        <v>0</v>
      </c>
      <c r="AW1095" s="1138">
        <f t="shared" ref="AW1095" si="2365">AW1078+AW1088+AW1094</f>
        <v>0</v>
      </c>
      <c r="AX1095" s="1138">
        <f t="shared" ref="AX1095" si="2366">AX1078+AX1088+AX1094</f>
        <v>0</v>
      </c>
      <c r="AY1095" s="1138">
        <f t="shared" ref="AY1095" si="2367">AY1078+AY1088+AY1094</f>
        <v>0</v>
      </c>
      <c r="AZ1095" s="1138">
        <f t="shared" ref="AZ1095" si="2368">AZ1078+AZ1088+AZ1094</f>
        <v>0</v>
      </c>
      <c r="BA1095" s="1138">
        <f t="shared" ref="BA1095" si="2369">BA1078+BA1088+BA1094</f>
        <v>0</v>
      </c>
      <c r="BB1095" s="1138">
        <f t="shared" ref="BB1095" si="2370">BB1078+BB1088+BB1094</f>
        <v>0</v>
      </c>
      <c r="BC1095" s="1138">
        <f t="shared" ref="BC1095" si="2371">BC1078+BC1088+BC1094</f>
        <v>0</v>
      </c>
      <c r="BD1095" s="1138">
        <f t="shared" ref="BD1095" si="2372">BD1078+BD1088+BD1094</f>
        <v>0</v>
      </c>
      <c r="BE1095" s="1138">
        <f t="shared" ref="BE1095" si="2373">BE1078+BE1088+BE1094</f>
        <v>0</v>
      </c>
      <c r="BF1095" s="1138">
        <f t="shared" ref="BF1095" si="2374">BF1078+BF1088+BF1094</f>
        <v>0</v>
      </c>
      <c r="BG1095" s="1138">
        <f t="shared" ref="BG1095" si="2375">BG1078+BG1088+BG1094</f>
        <v>0</v>
      </c>
      <c r="BH1095" s="1138">
        <f t="shared" ref="BH1095" si="2376">BH1078+BH1088+BH1094</f>
        <v>0</v>
      </c>
      <c r="BI1095" s="1138">
        <f t="shared" ref="BI1095" si="2377">BI1078+BI1088+BI1094</f>
        <v>0</v>
      </c>
      <c r="BJ1095" s="1138">
        <f t="shared" ref="BJ1095" si="2378">BJ1078+BJ1088+BJ1094</f>
        <v>0</v>
      </c>
      <c r="BK1095" s="1138">
        <f t="shared" ref="BK1095" si="2379">BK1078+BK1088+BK1094</f>
        <v>0</v>
      </c>
      <c r="BL1095" s="1138">
        <f t="shared" ref="BL1095" si="2380">BL1078+BL1088+BL1094</f>
        <v>0</v>
      </c>
      <c r="BM1095" s="1138">
        <f t="shared" ref="BM1095" si="2381">BM1078+BM1088+BM1094</f>
        <v>0</v>
      </c>
      <c r="BN1095" s="1138">
        <f t="shared" ref="BN1095" si="2382">BN1078+BN1088+BN1094</f>
        <v>0</v>
      </c>
      <c r="BO1095" s="1138">
        <f t="shared" ref="BO1095" si="2383">BO1078+BO1088+BO1094</f>
        <v>0</v>
      </c>
      <c r="BP1095" s="1138">
        <f t="shared" ref="BP1095" si="2384">BP1078+BP1088+BP1094</f>
        <v>0</v>
      </c>
      <c r="BQ1095" s="1138">
        <f t="shared" ref="BQ1095" si="2385">BQ1078+BQ1088+BQ1094</f>
        <v>0</v>
      </c>
      <c r="BR1095" s="1138">
        <f t="shared" ref="BR1095" si="2386">BR1078+BR1088+BR1094</f>
        <v>0</v>
      </c>
      <c r="BS1095" s="1138">
        <f t="shared" ref="BS1095" si="2387">BS1078+BS1088+BS1094</f>
        <v>0</v>
      </c>
      <c r="BT1095" s="1138">
        <f t="shared" ref="BT1095" si="2388">BT1078+BT1088+BT1094</f>
        <v>0</v>
      </c>
      <c r="BU1095" s="1138">
        <f t="shared" ref="BU1095" si="2389">BU1078+BU1088+BU1094</f>
        <v>0</v>
      </c>
      <c r="BV1095" s="1138">
        <f t="shared" ref="BV1095" si="2390">BV1078+BV1088+BV1094</f>
        <v>0</v>
      </c>
      <c r="BW1095" s="1138">
        <f t="shared" ref="BW1095" si="2391">BW1078+BW1088+BW1094</f>
        <v>0</v>
      </c>
      <c r="BX1095" s="1138">
        <f t="shared" ref="BX1095" si="2392">BX1078+BX1088+BX1094</f>
        <v>0</v>
      </c>
      <c r="BY1095" s="1138">
        <f t="shared" ref="BY1095" si="2393">BY1078+BY1088+BY1094</f>
        <v>0</v>
      </c>
      <c r="BZ1095" s="1138">
        <f t="shared" ref="BZ1095" si="2394">BZ1078+BZ1088+BZ1094</f>
        <v>0</v>
      </c>
      <c r="CA1095" s="1138">
        <f t="shared" ref="CA1095" si="2395">CA1078+CA1088+CA1094</f>
        <v>2.4</v>
      </c>
      <c r="CB1095" s="1138">
        <f t="shared" ref="CB1095" si="2396">CB1078+CB1088+CB1094</f>
        <v>0.49</v>
      </c>
      <c r="CC1095" s="1138">
        <f t="shared" ref="CC1095" si="2397">CC1078+CC1088+CC1094</f>
        <v>0</v>
      </c>
      <c r="CD1095" s="1138">
        <f t="shared" ref="CD1095" si="2398">CD1078+CD1088+CD1094</f>
        <v>0</v>
      </c>
      <c r="CE1095" s="1138">
        <f t="shared" ref="CE1095" si="2399">CE1078+CE1088+CE1094</f>
        <v>0</v>
      </c>
      <c r="CF1095" s="1138">
        <f t="shared" ref="CF1095" si="2400">CF1078+CF1088+CF1094</f>
        <v>2.23</v>
      </c>
      <c r="CG1095" s="1138">
        <f t="shared" ref="CG1095" si="2401">CG1078+CG1088+CG1094</f>
        <v>0</v>
      </c>
      <c r="CH1095" s="1138">
        <f t="shared" ref="CH1095" si="2402">CH1078+CH1088+CH1094</f>
        <v>0</v>
      </c>
      <c r="CI1095" s="1138">
        <f t="shared" ref="CI1095" si="2403">CI1078+CI1088+CI1094</f>
        <v>0</v>
      </c>
      <c r="CJ1095" s="1138">
        <f t="shared" ref="CJ1095" si="2404">CJ1078+CJ1088+CJ1094</f>
        <v>0</v>
      </c>
      <c r="CK1095" s="1138">
        <f t="shared" ref="CK1095" si="2405">CK1078+CK1088+CK1094</f>
        <v>0</v>
      </c>
      <c r="CL1095" s="1138">
        <f t="shared" ref="CL1095" si="2406">CL1078+CL1088+CL1094</f>
        <v>0</v>
      </c>
      <c r="CM1095" s="1138">
        <f t="shared" ref="CM1095" si="2407">CM1078+CM1088+CM1094</f>
        <v>0</v>
      </c>
      <c r="CN1095" s="1138">
        <f t="shared" ref="CN1095" si="2408">CN1078+CN1088+CN1094</f>
        <v>0</v>
      </c>
      <c r="CO1095" s="1138">
        <f t="shared" ref="CO1095" si="2409">CO1078+CO1088+CO1094</f>
        <v>0</v>
      </c>
      <c r="CP1095" s="1138">
        <f t="shared" ref="CP1095" si="2410">CP1078+CP1088+CP1094</f>
        <v>0</v>
      </c>
      <c r="CQ1095" s="1138">
        <f t="shared" ref="CQ1095" si="2411">CQ1078+CQ1088+CQ1094</f>
        <v>0.11</v>
      </c>
      <c r="CR1095" s="1138">
        <f t="shared" ref="CR1095" si="2412">CR1078+CR1088+CR1094</f>
        <v>0</v>
      </c>
      <c r="CS1095" s="1138">
        <f t="shared" ref="CS1095" si="2413">CS1078+CS1088+CS1094</f>
        <v>0</v>
      </c>
      <c r="CT1095" s="1138">
        <f t="shared" ref="CT1095" si="2414">CT1078+CT1088+CT1094</f>
        <v>2.0099999999999998</v>
      </c>
      <c r="CU1095" s="1138">
        <f t="shared" ref="CU1095" si="2415">CU1078+CU1088+CU1094</f>
        <v>0</v>
      </c>
      <c r="CV1095" s="1138">
        <f t="shared" ref="CV1095" si="2416">CV1078+CV1088+CV1094</f>
        <v>0</v>
      </c>
      <c r="CW1095" s="1138">
        <f t="shared" ref="CW1095" si="2417">CW1078+CW1088+CW1094</f>
        <v>0</v>
      </c>
      <c r="CX1095" s="1138">
        <f t="shared" ref="CX1095" si="2418">CX1078+CX1088+CX1094</f>
        <v>0</v>
      </c>
      <c r="CY1095" s="1138">
        <f t="shared" ref="CY1095" si="2419">CY1078+CY1088+CY1094</f>
        <v>0</v>
      </c>
      <c r="CZ1095" s="1138">
        <f t="shared" ref="CZ1095" si="2420">CZ1078+CZ1088+CZ1094</f>
        <v>4.38</v>
      </c>
      <c r="DA1095" s="1138">
        <f t="shared" ref="DA1095" si="2421">DA1078+DA1088+DA1094</f>
        <v>0</v>
      </c>
      <c r="DB1095" s="1138">
        <f t="shared" ref="DB1095" si="2422">DB1078+DB1088+DB1094</f>
        <v>0</v>
      </c>
      <c r="DC1095" s="1138">
        <f t="shared" ref="DC1095" si="2423">DC1078+DC1088+DC1094</f>
        <v>0.03</v>
      </c>
      <c r="DD1095" s="1138">
        <f t="shared" ref="DD1095" si="2424">DD1078+DD1088+DD1094</f>
        <v>0</v>
      </c>
      <c r="DE1095" s="1138">
        <f t="shared" ref="DE1095" si="2425">DE1078+DE1088+DE1094</f>
        <v>2.6</v>
      </c>
      <c r="DF1095" s="1138">
        <f t="shared" ref="DF1095" si="2426">DF1078+DF1088+DF1094</f>
        <v>2.9</v>
      </c>
      <c r="DG1095" s="1138">
        <f t="shared" ref="DG1095" si="2427">DG1078+DG1088+DG1094</f>
        <v>0</v>
      </c>
      <c r="DH1095" s="1138">
        <f t="shared" ref="DH1095" si="2428">DH1078+DH1088+DH1094</f>
        <v>0</v>
      </c>
      <c r="DI1095" s="1138">
        <f t="shared" ref="DI1095" si="2429">DI1078+DI1088+DI1094</f>
        <v>0</v>
      </c>
      <c r="DJ1095" s="1138">
        <f t="shared" ref="DJ1095" si="2430">DJ1078+DJ1088+DJ1094</f>
        <v>0</v>
      </c>
      <c r="DK1095" s="1138">
        <f t="shared" ref="DK1095" si="2431">DK1078+DK1088+DK1094</f>
        <v>0</v>
      </c>
      <c r="DL1095" s="1138">
        <f t="shared" ref="DL1095" si="2432">DL1078+DL1088+DL1094</f>
        <v>0</v>
      </c>
      <c r="DM1095" s="1138">
        <f t="shared" ref="DM1095" si="2433">DM1078+DM1088+DM1094</f>
        <v>0</v>
      </c>
      <c r="DN1095" s="1138">
        <f t="shared" ref="DN1095" si="2434">DN1078+DN1088+DN1094</f>
        <v>0</v>
      </c>
      <c r="DO1095" s="1138">
        <f t="shared" ref="DO1095" si="2435">DO1078+DO1088+DO1094</f>
        <v>0</v>
      </c>
      <c r="DP1095" s="1138">
        <f t="shared" ref="DP1095" si="2436">DP1078+DP1088+DP1094</f>
        <v>0</v>
      </c>
      <c r="DQ1095" s="1138">
        <f t="shared" ref="DQ1095" si="2437">DQ1078+DQ1088+DQ1094</f>
        <v>0</v>
      </c>
      <c r="DR1095" s="1138">
        <f t="shared" ref="DR1095" si="2438">DR1078+DR1088+DR1094</f>
        <v>0.45</v>
      </c>
      <c r="DS1095" s="1138">
        <f t="shared" ref="DS1095" si="2439">DS1078+DS1088+DS1094</f>
        <v>0</v>
      </c>
      <c r="DT1095" s="1138">
        <f t="shared" ref="DT1095" si="2440">DT1078+DT1088+DT1094</f>
        <v>0</v>
      </c>
      <c r="DU1095" s="1138">
        <f t="shared" ref="DU1095" si="2441">DU1078+DU1088+DU1094</f>
        <v>0</v>
      </c>
      <c r="DV1095" s="1138">
        <f t="shared" ref="DV1095" si="2442">DV1078+DV1088+DV1094</f>
        <v>0</v>
      </c>
      <c r="DW1095" s="1138">
        <f t="shared" ref="DW1095" si="2443">DW1078+DW1088+DW1094</f>
        <v>0</v>
      </c>
      <c r="DX1095" s="1138">
        <f t="shared" ref="DX1095" si="2444">DX1078+DX1088+DX1094</f>
        <v>0</v>
      </c>
      <c r="DY1095" s="1138">
        <f t="shared" ref="DY1095" si="2445">DY1078+DY1088+DY1094</f>
        <v>0</v>
      </c>
      <c r="DZ1095" s="1138">
        <f t="shared" ref="DZ1095" si="2446">DZ1078+DZ1088+DZ1094</f>
        <v>0</v>
      </c>
      <c r="EA1095" s="1138">
        <f t="shared" ref="EA1095" si="2447">EA1078+EA1088+EA1094</f>
        <v>75</v>
      </c>
      <c r="EB1095" s="1138">
        <f t="shared" ref="EB1095" si="2448">EB1078+EB1088+EB1094</f>
        <v>2.9</v>
      </c>
      <c r="EC1095" s="1138">
        <f t="shared" ref="EC1095" si="2449">EC1078+EC1088+EC1094</f>
        <v>0</v>
      </c>
      <c r="ED1095" s="1138">
        <f t="shared" ref="ED1095" si="2450">ED1078+ED1088+ED1094</f>
        <v>0</v>
      </c>
      <c r="EE1095" s="1138">
        <f t="shared" ref="EE1095" si="2451">EE1078+EE1088+EE1094</f>
        <v>0</v>
      </c>
      <c r="EF1095" s="1138">
        <f t="shared" ref="EF1095" si="2452">EF1078+EF1088+EF1094</f>
        <v>0</v>
      </c>
      <c r="EG1095" s="1138">
        <f t="shared" ref="EG1095" si="2453">EG1078+EG1088+EG1094</f>
        <v>0</v>
      </c>
      <c r="EH1095" s="1138">
        <f t="shared" ref="EH1095" si="2454">EH1078+EH1088+EH1094</f>
        <v>0</v>
      </c>
      <c r="EI1095" s="1138">
        <f t="shared" ref="EI1095" si="2455">EI1078+EI1088+EI1094</f>
        <v>0</v>
      </c>
      <c r="EJ1095" s="1138">
        <f t="shared" ref="EJ1095" si="2456">EJ1078+EJ1088+EJ1094</f>
        <v>0</v>
      </c>
      <c r="EK1095" s="1138">
        <f t="shared" ref="EK1095" si="2457">EK1078+EK1088+EK1094</f>
        <v>0</v>
      </c>
      <c r="EL1095" s="1138">
        <f t="shared" ref="EL1095" si="2458">EL1078+EL1088+EL1094</f>
        <v>0</v>
      </c>
      <c r="EM1095" s="1138">
        <f t="shared" ref="EM1095" si="2459">EM1078+EM1088+EM1094</f>
        <v>0</v>
      </c>
      <c r="EN1095" s="1138">
        <f t="shared" ref="EN1095" si="2460">EN1078+EN1088+EN1094</f>
        <v>0</v>
      </c>
      <c r="EO1095" s="1138">
        <f t="shared" ref="EO1095" si="2461">EO1078+EO1088+EO1094</f>
        <v>0</v>
      </c>
      <c r="EP1095" s="1138">
        <f t="shared" ref="EP1095" si="2462">EP1078+EP1088+EP1094</f>
        <v>0</v>
      </c>
      <c r="EQ1095" s="1138">
        <f t="shared" ref="EQ1095" si="2463">EQ1078+EQ1088+EQ1094</f>
        <v>0</v>
      </c>
      <c r="ER1095" s="1138">
        <f t="shared" ref="ER1095" si="2464">ER1078+ER1088+ER1094</f>
        <v>0</v>
      </c>
      <c r="ES1095" s="1138">
        <f t="shared" ref="ES1095" si="2465">ES1078+ES1088+ES1094</f>
        <v>0</v>
      </c>
      <c r="ET1095" s="1138">
        <f t="shared" ref="ET1095" si="2466">ET1078+ET1088+ET1094</f>
        <v>0</v>
      </c>
      <c r="EU1095" s="1138">
        <f t="shared" ref="EU1095" si="2467">EU1078+EU1088+EU1094</f>
        <v>0</v>
      </c>
      <c r="EV1095" s="1138">
        <f t="shared" ref="EV1095" si="2468">EV1078+EV1088+EV1094</f>
        <v>1.3</v>
      </c>
      <c r="EW1095" s="1138">
        <f t="shared" ref="EW1095" si="2469">EW1078+EW1088+EW1094</f>
        <v>4.55</v>
      </c>
      <c r="EX1095" s="1138">
        <f t="shared" ref="EX1095:FL1095" si="2470">EX1078+EX1088+EX1094</f>
        <v>0</v>
      </c>
      <c r="EY1095" s="1138">
        <f t="shared" si="2470"/>
        <v>207.27</v>
      </c>
      <c r="EZ1095" s="1138">
        <f t="shared" si="2470"/>
        <v>0</v>
      </c>
      <c r="FA1095" s="1138">
        <f t="shared" si="2470"/>
        <v>0</v>
      </c>
      <c r="FB1095" s="1138">
        <f t="shared" si="2470"/>
        <v>0</v>
      </c>
      <c r="FC1095" s="1138">
        <f t="shared" si="2470"/>
        <v>0</v>
      </c>
      <c r="FD1095" s="1138">
        <f t="shared" si="2470"/>
        <v>0</v>
      </c>
      <c r="FE1095" s="1138">
        <f t="shared" si="2470"/>
        <v>0</v>
      </c>
      <c r="FF1095" s="1138">
        <f t="shared" si="2470"/>
        <v>0</v>
      </c>
      <c r="FG1095" s="1138">
        <f t="shared" si="2470"/>
        <v>0</v>
      </c>
      <c r="FH1095" s="1138">
        <f t="shared" si="2470"/>
        <v>0</v>
      </c>
      <c r="FI1095" s="1138">
        <f t="shared" si="2470"/>
        <v>0</v>
      </c>
      <c r="FJ1095" s="1138">
        <f t="shared" si="2470"/>
        <v>0</v>
      </c>
      <c r="FK1095" s="1138">
        <f t="shared" si="2470"/>
        <v>0</v>
      </c>
      <c r="FL1095" s="1138">
        <f t="shared" si="2470"/>
        <v>0</v>
      </c>
    </row>
    <row r="1096" spans="1:168" s="550" customFormat="1" x14ac:dyDescent="0.25">
      <c r="A1096" s="549"/>
      <c r="B1096" s="626" t="s">
        <v>582</v>
      </c>
      <c r="C1096" s="1136"/>
      <c r="D1096" s="1136"/>
      <c r="E1096" s="1141"/>
      <c r="F1096" s="1141"/>
      <c r="G1096" s="1141"/>
      <c r="H1096" s="1141"/>
      <c r="I1096" s="560"/>
      <c r="J1096" s="560"/>
      <c r="K1096" s="560"/>
      <c r="L1096" s="560"/>
      <c r="M1096" s="560"/>
      <c r="N1096" s="560"/>
      <c r="O1096" s="560"/>
      <c r="P1096" s="560"/>
      <c r="Q1096" s="560"/>
      <c r="R1096" s="560"/>
      <c r="S1096" s="560"/>
      <c r="T1096" s="560"/>
      <c r="U1096" s="560"/>
      <c r="V1096" s="560"/>
      <c r="W1096" s="560"/>
      <c r="X1096" s="560"/>
      <c r="Y1096" s="560"/>
      <c r="Z1096" s="560"/>
      <c r="AA1096" s="560"/>
      <c r="AB1096" s="560"/>
      <c r="AC1096" s="560"/>
      <c r="AD1096" s="560"/>
      <c r="AE1096" s="560"/>
      <c r="AF1096" s="560"/>
      <c r="AG1096" s="560"/>
      <c r="AH1096" s="560"/>
      <c r="AI1096" s="560"/>
      <c r="AJ1096" s="560"/>
      <c r="AK1096" s="560"/>
      <c r="AL1096" s="560"/>
      <c r="AM1096" s="560"/>
      <c r="AN1096" s="560"/>
      <c r="AO1096" s="560"/>
      <c r="AP1096" s="560"/>
      <c r="AQ1096" s="560"/>
      <c r="AR1096" s="560"/>
      <c r="AS1096" s="560"/>
      <c r="AT1096" s="560"/>
      <c r="AU1096" s="560"/>
      <c r="AV1096" s="560"/>
      <c r="AW1096" s="560"/>
      <c r="AX1096" s="560"/>
      <c r="AY1096" s="560"/>
      <c r="AZ1096" s="560"/>
      <c r="BA1096" s="560"/>
      <c r="BB1096" s="560"/>
      <c r="BC1096" s="560"/>
      <c r="BD1096" s="560"/>
      <c r="BE1096" s="560"/>
      <c r="BF1096" s="560"/>
      <c r="BG1096" s="560"/>
      <c r="BH1096" s="560"/>
      <c r="BI1096" s="560"/>
      <c r="BJ1096" s="560"/>
      <c r="BK1096" s="560"/>
      <c r="BL1096" s="560"/>
      <c r="BM1096" s="560"/>
      <c r="BN1096" s="560"/>
      <c r="BO1096" s="560"/>
      <c r="BP1096" s="560"/>
      <c r="BQ1096" s="560"/>
      <c r="BR1096" s="560"/>
      <c r="BS1096" s="560"/>
      <c r="BT1096" s="560"/>
      <c r="BU1096" s="560"/>
      <c r="BV1096" s="560"/>
      <c r="BW1096" s="560"/>
      <c r="BX1096" s="560"/>
      <c r="BY1096" s="560"/>
      <c r="BZ1096" s="560"/>
      <c r="CA1096" s="560"/>
      <c r="CB1096" s="560"/>
      <c r="CC1096" s="560"/>
      <c r="CD1096" s="560"/>
      <c r="CE1096" s="560"/>
      <c r="CF1096" s="560"/>
      <c r="CG1096" s="560"/>
      <c r="CH1096" s="560"/>
      <c r="CI1096" s="560"/>
      <c r="CJ1096" s="560"/>
      <c r="CK1096" s="560"/>
      <c r="CL1096" s="560"/>
      <c r="CM1096" s="560"/>
      <c r="CN1096" s="560"/>
      <c r="CO1096" s="560"/>
      <c r="CP1096" s="560"/>
      <c r="CQ1096" s="560"/>
      <c r="CR1096" s="560"/>
      <c r="CS1096" s="560"/>
      <c r="CT1096" s="560"/>
      <c r="CU1096" s="560"/>
      <c r="CV1096" s="560"/>
      <c r="CW1096" s="560"/>
      <c r="CX1096" s="560"/>
      <c r="CY1096" s="560"/>
      <c r="CZ1096" s="560"/>
      <c r="DA1096" s="560"/>
      <c r="DB1096" s="560"/>
      <c r="DC1096" s="560"/>
      <c r="DD1096" s="560"/>
      <c r="DE1096" s="560"/>
      <c r="DF1096" s="560"/>
      <c r="DG1096" s="560"/>
      <c r="DH1096" s="560"/>
      <c r="DI1096" s="560"/>
      <c r="DJ1096" s="560"/>
      <c r="DK1096" s="560"/>
      <c r="DL1096" s="560"/>
      <c r="DM1096" s="560"/>
      <c r="DN1096" s="560"/>
      <c r="DO1096" s="560"/>
      <c r="DP1096" s="560"/>
      <c r="DQ1096" s="560"/>
      <c r="DR1096" s="560"/>
      <c r="DS1096" s="560"/>
      <c r="DT1096" s="560"/>
      <c r="DU1096" s="560"/>
      <c r="DV1096" s="560"/>
      <c r="DW1096" s="560"/>
      <c r="DX1096" s="560"/>
      <c r="DY1096" s="560"/>
      <c r="DZ1096" s="560"/>
      <c r="EA1096" s="560"/>
      <c r="EB1096" s="560"/>
      <c r="EC1096" s="560"/>
      <c r="ED1096" s="560"/>
      <c r="EE1096" s="560"/>
      <c r="EF1096" s="560"/>
      <c r="EG1096" s="560"/>
      <c r="EH1096" s="560"/>
      <c r="EI1096" s="560"/>
      <c r="EJ1096" s="560"/>
      <c r="EK1096" s="560"/>
      <c r="EL1096" s="560"/>
      <c r="EM1096" s="560"/>
      <c r="EN1096" s="560"/>
      <c r="EO1096" s="560"/>
      <c r="EP1096" s="560"/>
      <c r="EQ1096" s="560"/>
      <c r="ER1096" s="560"/>
      <c r="ES1096" s="560"/>
      <c r="ET1096" s="560"/>
      <c r="EU1096" s="560"/>
      <c r="EV1096" s="560"/>
      <c r="EW1096" s="560"/>
      <c r="EX1096" s="560"/>
      <c r="EY1096" s="800" t="s">
        <v>832</v>
      </c>
      <c r="EZ1096" s="563"/>
      <c r="FA1096" s="563"/>
      <c r="FB1096" s="563"/>
      <c r="FC1096" s="563"/>
      <c r="FD1096" s="563"/>
      <c r="FE1096" s="563"/>
      <c r="FF1096" s="563"/>
      <c r="FG1096" s="563"/>
      <c r="FH1096" s="563"/>
      <c r="FI1096" s="563"/>
      <c r="FJ1096" s="563"/>
      <c r="FK1096" s="563"/>
      <c r="FL1096" s="563"/>
    </row>
    <row r="1097" spans="1:168" x14ac:dyDescent="0.25">
      <c r="A1097" s="1491" t="s">
        <v>109</v>
      </c>
      <c r="B1097" s="624" t="str">
        <f t="shared" ref="B1097:D1105" si="2471">B137</f>
        <v>Каша молочная "Дружба"</v>
      </c>
      <c r="C1097" s="624">
        <f t="shared" si="2471"/>
        <v>250</v>
      </c>
      <c r="D1097" s="624">
        <f t="shared" si="2471"/>
        <v>6.38</v>
      </c>
      <c r="E1097" s="1158">
        <f t="shared" ref="E1097" si="2472">EY1097</f>
        <v>17.52</v>
      </c>
      <c r="F1097" s="1158"/>
      <c r="G1097" s="1140"/>
      <c r="H1097" s="1140"/>
      <c r="I1097" s="552"/>
      <c r="J1097" s="552">
        <f t="shared" ref="J1097:AO1097" si="2473">J137*J$338</f>
        <v>0</v>
      </c>
      <c r="K1097" s="552">
        <f t="shared" si="2473"/>
        <v>0</v>
      </c>
      <c r="L1097" s="552">
        <f t="shared" si="2473"/>
        <v>0</v>
      </c>
      <c r="M1097" s="552">
        <f t="shared" si="2473"/>
        <v>0</v>
      </c>
      <c r="N1097" s="552">
        <f t="shared" si="2473"/>
        <v>0</v>
      </c>
      <c r="O1097" s="552">
        <f t="shared" si="2473"/>
        <v>0</v>
      </c>
      <c r="P1097" s="552">
        <f t="shared" si="2473"/>
        <v>0</v>
      </c>
      <c r="Q1097" s="552">
        <f t="shared" si="2473"/>
        <v>0</v>
      </c>
      <c r="R1097" s="552">
        <f t="shared" si="2473"/>
        <v>0</v>
      </c>
      <c r="S1097" s="552">
        <f t="shared" si="2473"/>
        <v>0</v>
      </c>
      <c r="T1097" s="552">
        <f t="shared" si="2473"/>
        <v>0</v>
      </c>
      <c r="U1097" s="552">
        <f t="shared" si="2473"/>
        <v>10.24</v>
      </c>
      <c r="V1097" s="552">
        <f t="shared" si="2473"/>
        <v>4.26</v>
      </c>
      <c r="W1097" s="552">
        <f t="shared" si="2473"/>
        <v>0</v>
      </c>
      <c r="X1097" s="552">
        <f t="shared" si="2473"/>
        <v>0</v>
      </c>
      <c r="Y1097" s="552">
        <f t="shared" si="2473"/>
        <v>0</v>
      </c>
      <c r="Z1097" s="552">
        <f t="shared" si="2473"/>
        <v>0</v>
      </c>
      <c r="AA1097" s="552">
        <f t="shared" si="2473"/>
        <v>0</v>
      </c>
      <c r="AB1097" s="552">
        <f t="shared" si="2473"/>
        <v>0</v>
      </c>
      <c r="AC1097" s="552">
        <f t="shared" si="2473"/>
        <v>0</v>
      </c>
      <c r="AD1097" s="552">
        <f t="shared" si="2473"/>
        <v>0</v>
      </c>
      <c r="AE1097" s="552">
        <f t="shared" si="2473"/>
        <v>0</v>
      </c>
      <c r="AF1097" s="552">
        <f t="shared" si="2473"/>
        <v>0</v>
      </c>
      <c r="AG1097" s="552">
        <f t="shared" si="2473"/>
        <v>0</v>
      </c>
      <c r="AH1097" s="552">
        <f t="shared" si="2473"/>
        <v>0</v>
      </c>
      <c r="AI1097" s="552">
        <f t="shared" si="2473"/>
        <v>0</v>
      </c>
      <c r="AJ1097" s="552">
        <f t="shared" si="2473"/>
        <v>0</v>
      </c>
      <c r="AK1097" s="552">
        <f t="shared" si="2473"/>
        <v>0</v>
      </c>
      <c r="AL1097" s="552">
        <f t="shared" si="2473"/>
        <v>0</v>
      </c>
      <c r="AM1097" s="552">
        <f t="shared" si="2473"/>
        <v>0</v>
      </c>
      <c r="AN1097" s="552">
        <f t="shared" si="2473"/>
        <v>0</v>
      </c>
      <c r="AO1097" s="552">
        <f t="shared" si="2473"/>
        <v>0</v>
      </c>
      <c r="AP1097" s="552">
        <f t="shared" ref="AP1097:BU1097" si="2474">AP137*AP$338</f>
        <v>0</v>
      </c>
      <c r="AQ1097" s="552">
        <f t="shared" si="2474"/>
        <v>0</v>
      </c>
      <c r="AR1097" s="552">
        <f t="shared" si="2474"/>
        <v>0</v>
      </c>
      <c r="AS1097" s="552">
        <f t="shared" si="2474"/>
        <v>0</v>
      </c>
      <c r="AT1097" s="552">
        <f t="shared" si="2474"/>
        <v>0</v>
      </c>
      <c r="AU1097" s="552">
        <f t="shared" si="2474"/>
        <v>0</v>
      </c>
      <c r="AV1097" s="552">
        <f t="shared" si="2474"/>
        <v>0</v>
      </c>
      <c r="AW1097" s="552">
        <f t="shared" si="2474"/>
        <v>0</v>
      </c>
      <c r="AX1097" s="552">
        <f t="shared" si="2474"/>
        <v>0</v>
      </c>
      <c r="AY1097" s="552">
        <f t="shared" si="2474"/>
        <v>0</v>
      </c>
      <c r="AZ1097" s="552">
        <f t="shared" si="2474"/>
        <v>0</v>
      </c>
      <c r="BA1097" s="552">
        <f t="shared" si="2474"/>
        <v>0</v>
      </c>
      <c r="BB1097" s="552">
        <f t="shared" si="2474"/>
        <v>0</v>
      </c>
      <c r="BC1097" s="552">
        <f t="shared" si="2474"/>
        <v>0</v>
      </c>
      <c r="BD1097" s="552">
        <f t="shared" si="2474"/>
        <v>0</v>
      </c>
      <c r="BE1097" s="552">
        <f t="shared" si="2474"/>
        <v>0</v>
      </c>
      <c r="BF1097" s="552">
        <f t="shared" si="2474"/>
        <v>0</v>
      </c>
      <c r="BG1097" s="552">
        <f t="shared" si="2474"/>
        <v>0</v>
      </c>
      <c r="BH1097" s="552">
        <f t="shared" si="2474"/>
        <v>0</v>
      </c>
      <c r="BI1097" s="552">
        <f t="shared" si="2474"/>
        <v>0</v>
      </c>
      <c r="BJ1097" s="552">
        <f t="shared" si="2474"/>
        <v>0</v>
      </c>
      <c r="BK1097" s="552">
        <f t="shared" si="2474"/>
        <v>0</v>
      </c>
      <c r="BL1097" s="552">
        <f t="shared" si="2474"/>
        <v>0</v>
      </c>
      <c r="BM1097" s="552">
        <f t="shared" si="2474"/>
        <v>0</v>
      </c>
      <c r="BN1097" s="552">
        <f t="shared" si="2474"/>
        <v>0</v>
      </c>
      <c r="BO1097" s="552">
        <f t="shared" si="2474"/>
        <v>0</v>
      </c>
      <c r="BP1097" s="552">
        <f t="shared" si="2474"/>
        <v>0</v>
      </c>
      <c r="BQ1097" s="552">
        <f t="shared" si="2474"/>
        <v>0</v>
      </c>
      <c r="BR1097" s="552">
        <f t="shared" si="2474"/>
        <v>0</v>
      </c>
      <c r="BS1097" s="552">
        <f t="shared" si="2474"/>
        <v>0</v>
      </c>
      <c r="BT1097" s="552">
        <f t="shared" si="2474"/>
        <v>0</v>
      </c>
      <c r="BU1097" s="552">
        <f t="shared" si="2474"/>
        <v>0</v>
      </c>
      <c r="BV1097" s="552">
        <f t="shared" ref="BV1097:DA1097" si="2475">BV137*BV$338</f>
        <v>0</v>
      </c>
      <c r="BW1097" s="552">
        <f t="shared" si="2475"/>
        <v>0</v>
      </c>
      <c r="BX1097" s="552">
        <f t="shared" si="2475"/>
        <v>0</v>
      </c>
      <c r="BY1097" s="552">
        <f t="shared" si="2475"/>
        <v>0</v>
      </c>
      <c r="BZ1097" s="552">
        <f t="shared" si="2475"/>
        <v>0</v>
      </c>
      <c r="CA1097" s="552">
        <f t="shared" si="2475"/>
        <v>0.84</v>
      </c>
      <c r="CB1097" s="552">
        <f t="shared" si="2475"/>
        <v>1.86</v>
      </c>
      <c r="CC1097" s="552">
        <f t="shared" si="2475"/>
        <v>0</v>
      </c>
      <c r="CD1097" s="552">
        <f t="shared" si="2475"/>
        <v>0</v>
      </c>
      <c r="CE1097" s="552">
        <f t="shared" si="2475"/>
        <v>0</v>
      </c>
      <c r="CF1097" s="552">
        <f t="shared" si="2475"/>
        <v>0</v>
      </c>
      <c r="CG1097" s="552">
        <f t="shared" si="2475"/>
        <v>0</v>
      </c>
      <c r="CH1097" s="552">
        <f t="shared" si="2475"/>
        <v>0</v>
      </c>
      <c r="CI1097" s="552">
        <f t="shared" si="2475"/>
        <v>0</v>
      </c>
      <c r="CJ1097" s="552">
        <f t="shared" si="2475"/>
        <v>0</v>
      </c>
      <c r="CK1097" s="552">
        <f t="shared" si="2475"/>
        <v>0</v>
      </c>
      <c r="CL1097" s="552">
        <f t="shared" si="2475"/>
        <v>0</v>
      </c>
      <c r="CM1097" s="552">
        <f t="shared" si="2475"/>
        <v>0</v>
      </c>
      <c r="CN1097" s="552">
        <f t="shared" si="2475"/>
        <v>0</v>
      </c>
      <c r="CO1097" s="552">
        <f t="shared" si="2475"/>
        <v>0</v>
      </c>
      <c r="CP1097" s="552">
        <f t="shared" si="2475"/>
        <v>0</v>
      </c>
      <c r="CQ1097" s="552">
        <f t="shared" si="2475"/>
        <v>0</v>
      </c>
      <c r="CR1097" s="552">
        <f t="shared" si="2475"/>
        <v>0</v>
      </c>
      <c r="CS1097" s="552">
        <f t="shared" si="2475"/>
        <v>0</v>
      </c>
      <c r="CT1097" s="552">
        <f t="shared" si="2475"/>
        <v>0</v>
      </c>
      <c r="CU1097" s="552">
        <f t="shared" si="2475"/>
        <v>0</v>
      </c>
      <c r="CV1097" s="552">
        <f t="shared" si="2475"/>
        <v>0</v>
      </c>
      <c r="CW1097" s="552">
        <f t="shared" si="2475"/>
        <v>0</v>
      </c>
      <c r="CX1097" s="552">
        <f t="shared" si="2475"/>
        <v>0</v>
      </c>
      <c r="CY1097" s="552">
        <f t="shared" si="2475"/>
        <v>0</v>
      </c>
      <c r="CZ1097" s="552">
        <f t="shared" si="2475"/>
        <v>0.3</v>
      </c>
      <c r="DA1097" s="552">
        <f t="shared" si="2475"/>
        <v>0</v>
      </c>
      <c r="DB1097" s="552">
        <f t="shared" ref="DB1097:EG1097" si="2476">DB137*DB$338</f>
        <v>0</v>
      </c>
      <c r="DC1097" s="552">
        <f t="shared" si="2476"/>
        <v>0.02</v>
      </c>
      <c r="DD1097" s="552">
        <f t="shared" si="2476"/>
        <v>0</v>
      </c>
      <c r="DE1097" s="552">
        <f t="shared" si="2476"/>
        <v>0</v>
      </c>
      <c r="DF1097" s="552">
        <f t="shared" si="2476"/>
        <v>0</v>
      </c>
      <c r="DG1097" s="552">
        <f t="shared" si="2476"/>
        <v>0</v>
      </c>
      <c r="DH1097" s="552">
        <f t="shared" si="2476"/>
        <v>0</v>
      </c>
      <c r="DI1097" s="552">
        <f t="shared" si="2476"/>
        <v>0</v>
      </c>
      <c r="DJ1097" s="552">
        <f t="shared" si="2476"/>
        <v>0</v>
      </c>
      <c r="DK1097" s="552">
        <f t="shared" si="2476"/>
        <v>0</v>
      </c>
      <c r="DL1097" s="552">
        <f t="shared" si="2476"/>
        <v>0</v>
      </c>
      <c r="DM1097" s="552">
        <f t="shared" si="2476"/>
        <v>0</v>
      </c>
      <c r="DN1097" s="552">
        <f t="shared" si="2476"/>
        <v>0</v>
      </c>
      <c r="DO1097" s="552">
        <f t="shared" si="2476"/>
        <v>0</v>
      </c>
      <c r="DP1097" s="552">
        <f t="shared" si="2476"/>
        <v>0</v>
      </c>
      <c r="DQ1097" s="552">
        <f t="shared" si="2476"/>
        <v>0</v>
      </c>
      <c r="DR1097" s="552">
        <f t="shared" si="2476"/>
        <v>0</v>
      </c>
      <c r="DS1097" s="552">
        <f t="shared" si="2476"/>
        <v>0</v>
      </c>
      <c r="DT1097" s="552">
        <f t="shared" si="2476"/>
        <v>0</v>
      </c>
      <c r="DU1097" s="552">
        <f t="shared" si="2476"/>
        <v>0</v>
      </c>
      <c r="DV1097" s="552">
        <f t="shared" si="2476"/>
        <v>0</v>
      </c>
      <c r="DW1097" s="552">
        <f t="shared" si="2476"/>
        <v>0</v>
      </c>
      <c r="DX1097" s="552">
        <f t="shared" si="2476"/>
        <v>0</v>
      </c>
      <c r="DY1097" s="552">
        <f t="shared" si="2476"/>
        <v>0</v>
      </c>
      <c r="DZ1097" s="552">
        <f t="shared" si="2476"/>
        <v>0</v>
      </c>
      <c r="EA1097" s="552">
        <f t="shared" si="2476"/>
        <v>0</v>
      </c>
      <c r="EB1097" s="552">
        <f t="shared" si="2476"/>
        <v>0</v>
      </c>
      <c r="EC1097" s="552">
        <f t="shared" si="2476"/>
        <v>0</v>
      </c>
      <c r="ED1097" s="552">
        <f t="shared" si="2476"/>
        <v>0</v>
      </c>
      <c r="EE1097" s="552">
        <f t="shared" si="2476"/>
        <v>0</v>
      </c>
      <c r="EF1097" s="552">
        <f t="shared" si="2476"/>
        <v>0</v>
      </c>
      <c r="EG1097" s="552">
        <f t="shared" si="2476"/>
        <v>0</v>
      </c>
      <c r="EH1097" s="552">
        <f t="shared" ref="EH1097:EX1097" si="2477">EH137*EH$338</f>
        <v>0</v>
      </c>
      <c r="EI1097" s="552">
        <f t="shared" si="2477"/>
        <v>0</v>
      </c>
      <c r="EJ1097" s="552">
        <f t="shared" si="2477"/>
        <v>0</v>
      </c>
      <c r="EK1097" s="552">
        <f t="shared" si="2477"/>
        <v>0</v>
      </c>
      <c r="EL1097" s="552">
        <f t="shared" si="2477"/>
        <v>0</v>
      </c>
      <c r="EM1097" s="552">
        <f t="shared" si="2477"/>
        <v>0</v>
      </c>
      <c r="EN1097" s="552">
        <f t="shared" si="2477"/>
        <v>0</v>
      </c>
      <c r="EO1097" s="552">
        <f t="shared" si="2477"/>
        <v>0</v>
      </c>
      <c r="EP1097" s="552">
        <f t="shared" si="2477"/>
        <v>0</v>
      </c>
      <c r="EQ1097" s="552">
        <f t="shared" si="2477"/>
        <v>0</v>
      </c>
      <c r="ER1097" s="552">
        <f t="shared" si="2477"/>
        <v>0</v>
      </c>
      <c r="ES1097" s="552">
        <f t="shared" si="2477"/>
        <v>0</v>
      </c>
      <c r="ET1097" s="552">
        <f t="shared" si="2477"/>
        <v>0</v>
      </c>
      <c r="EU1097" s="552">
        <f t="shared" si="2477"/>
        <v>0</v>
      </c>
      <c r="EV1097" s="552">
        <f t="shared" si="2477"/>
        <v>0</v>
      </c>
      <c r="EW1097" s="552">
        <f t="shared" si="2477"/>
        <v>0</v>
      </c>
      <c r="EX1097" s="552">
        <f t="shared" si="2477"/>
        <v>0</v>
      </c>
      <c r="EY1097" s="799">
        <f t="shared" ref="EY1097:EY1121" si="2478">SUM(J1097:EX1097)</f>
        <v>17.52</v>
      </c>
      <c r="EZ1097" s="640"/>
      <c r="FA1097" s="640"/>
      <c r="FB1097" s="640"/>
      <c r="FC1097" s="640"/>
      <c r="FD1097" s="640"/>
      <c r="FE1097" s="640"/>
      <c r="FF1097" s="640"/>
      <c r="FG1097" s="640"/>
      <c r="FH1097" s="640"/>
      <c r="FI1097" s="640"/>
      <c r="FJ1097" s="640"/>
      <c r="FK1097" s="640"/>
      <c r="FL1097" s="640"/>
    </row>
    <row r="1098" spans="1:168" x14ac:dyDescent="0.25">
      <c r="A1098" s="1492"/>
      <c r="B1098" s="624" t="str">
        <f t="shared" si="2471"/>
        <v>Масло сливочное (порциями)</v>
      </c>
      <c r="C1098" s="624">
        <f t="shared" si="2471"/>
        <v>10</v>
      </c>
      <c r="D1098" s="624">
        <f t="shared" si="2471"/>
        <v>0.08</v>
      </c>
      <c r="E1098" s="1158">
        <f t="shared" ref="E1098:E1121" si="2479">EY1098</f>
        <v>7.1</v>
      </c>
      <c r="F1098" s="1158"/>
      <c r="G1098" s="1140"/>
      <c r="H1098" s="1140"/>
      <c r="I1098" s="552"/>
      <c r="J1098" s="552">
        <f t="shared" ref="J1098:AO1098" si="2480">J138*J$338</f>
        <v>0</v>
      </c>
      <c r="K1098" s="552">
        <f t="shared" si="2480"/>
        <v>0</v>
      </c>
      <c r="L1098" s="552">
        <f t="shared" si="2480"/>
        <v>0</v>
      </c>
      <c r="M1098" s="552">
        <f t="shared" si="2480"/>
        <v>0</v>
      </c>
      <c r="N1098" s="552">
        <f t="shared" si="2480"/>
        <v>0</v>
      </c>
      <c r="O1098" s="552">
        <f t="shared" si="2480"/>
        <v>0</v>
      </c>
      <c r="P1098" s="552">
        <f t="shared" si="2480"/>
        <v>0</v>
      </c>
      <c r="Q1098" s="552">
        <f t="shared" si="2480"/>
        <v>0</v>
      </c>
      <c r="R1098" s="552">
        <f t="shared" si="2480"/>
        <v>0</v>
      </c>
      <c r="S1098" s="552">
        <f t="shared" si="2480"/>
        <v>0</v>
      </c>
      <c r="T1098" s="552">
        <f t="shared" si="2480"/>
        <v>0</v>
      </c>
      <c r="U1098" s="552">
        <f t="shared" si="2480"/>
        <v>0</v>
      </c>
      <c r="V1098" s="552">
        <f t="shared" si="2480"/>
        <v>7.1</v>
      </c>
      <c r="W1098" s="552">
        <f t="shared" si="2480"/>
        <v>0</v>
      </c>
      <c r="X1098" s="552">
        <f t="shared" si="2480"/>
        <v>0</v>
      </c>
      <c r="Y1098" s="552">
        <f t="shared" si="2480"/>
        <v>0</v>
      </c>
      <c r="Z1098" s="552">
        <f t="shared" si="2480"/>
        <v>0</v>
      </c>
      <c r="AA1098" s="552">
        <f t="shared" si="2480"/>
        <v>0</v>
      </c>
      <c r="AB1098" s="552">
        <f t="shared" si="2480"/>
        <v>0</v>
      </c>
      <c r="AC1098" s="552">
        <f t="shared" si="2480"/>
        <v>0</v>
      </c>
      <c r="AD1098" s="552">
        <f t="shared" si="2480"/>
        <v>0</v>
      </c>
      <c r="AE1098" s="552">
        <f t="shared" si="2480"/>
        <v>0</v>
      </c>
      <c r="AF1098" s="552">
        <f t="shared" si="2480"/>
        <v>0</v>
      </c>
      <c r="AG1098" s="552">
        <f t="shared" si="2480"/>
        <v>0</v>
      </c>
      <c r="AH1098" s="552">
        <f t="shared" si="2480"/>
        <v>0</v>
      </c>
      <c r="AI1098" s="552">
        <f t="shared" si="2480"/>
        <v>0</v>
      </c>
      <c r="AJ1098" s="552">
        <f t="shared" si="2480"/>
        <v>0</v>
      </c>
      <c r="AK1098" s="552">
        <f t="shared" si="2480"/>
        <v>0</v>
      </c>
      <c r="AL1098" s="552">
        <f t="shared" si="2480"/>
        <v>0</v>
      </c>
      <c r="AM1098" s="552">
        <f t="shared" si="2480"/>
        <v>0</v>
      </c>
      <c r="AN1098" s="552">
        <f t="shared" si="2480"/>
        <v>0</v>
      </c>
      <c r="AO1098" s="552">
        <f t="shared" si="2480"/>
        <v>0</v>
      </c>
      <c r="AP1098" s="552">
        <f t="shared" ref="AP1098:BU1098" si="2481">AP138*AP$338</f>
        <v>0</v>
      </c>
      <c r="AQ1098" s="552">
        <f t="shared" si="2481"/>
        <v>0</v>
      </c>
      <c r="AR1098" s="552">
        <f t="shared" si="2481"/>
        <v>0</v>
      </c>
      <c r="AS1098" s="552">
        <f t="shared" si="2481"/>
        <v>0</v>
      </c>
      <c r="AT1098" s="552">
        <f t="shared" si="2481"/>
        <v>0</v>
      </c>
      <c r="AU1098" s="552">
        <f t="shared" si="2481"/>
        <v>0</v>
      </c>
      <c r="AV1098" s="552">
        <f t="shared" si="2481"/>
        <v>0</v>
      </c>
      <c r="AW1098" s="552">
        <f t="shared" si="2481"/>
        <v>0</v>
      </c>
      <c r="AX1098" s="552">
        <f t="shared" si="2481"/>
        <v>0</v>
      </c>
      <c r="AY1098" s="552">
        <f t="shared" si="2481"/>
        <v>0</v>
      </c>
      <c r="AZ1098" s="552">
        <f t="shared" si="2481"/>
        <v>0</v>
      </c>
      <c r="BA1098" s="552">
        <f t="shared" si="2481"/>
        <v>0</v>
      </c>
      <c r="BB1098" s="552">
        <f t="shared" si="2481"/>
        <v>0</v>
      </c>
      <c r="BC1098" s="552">
        <f t="shared" si="2481"/>
        <v>0</v>
      </c>
      <c r="BD1098" s="552">
        <f t="shared" si="2481"/>
        <v>0</v>
      </c>
      <c r="BE1098" s="552">
        <f t="shared" si="2481"/>
        <v>0</v>
      </c>
      <c r="BF1098" s="552">
        <f t="shared" si="2481"/>
        <v>0</v>
      </c>
      <c r="BG1098" s="552">
        <f t="shared" si="2481"/>
        <v>0</v>
      </c>
      <c r="BH1098" s="552">
        <f t="shared" si="2481"/>
        <v>0</v>
      </c>
      <c r="BI1098" s="552">
        <f t="shared" si="2481"/>
        <v>0</v>
      </c>
      <c r="BJ1098" s="552">
        <f t="shared" si="2481"/>
        <v>0</v>
      </c>
      <c r="BK1098" s="552">
        <f t="shared" si="2481"/>
        <v>0</v>
      </c>
      <c r="BL1098" s="552">
        <f t="shared" si="2481"/>
        <v>0</v>
      </c>
      <c r="BM1098" s="552">
        <f t="shared" si="2481"/>
        <v>0</v>
      </c>
      <c r="BN1098" s="552">
        <f t="shared" si="2481"/>
        <v>0</v>
      </c>
      <c r="BO1098" s="552">
        <f t="shared" si="2481"/>
        <v>0</v>
      </c>
      <c r="BP1098" s="552">
        <f t="shared" si="2481"/>
        <v>0</v>
      </c>
      <c r="BQ1098" s="552">
        <f t="shared" si="2481"/>
        <v>0</v>
      </c>
      <c r="BR1098" s="552">
        <f t="shared" si="2481"/>
        <v>0</v>
      </c>
      <c r="BS1098" s="552">
        <f t="shared" si="2481"/>
        <v>0</v>
      </c>
      <c r="BT1098" s="552">
        <f t="shared" si="2481"/>
        <v>0</v>
      </c>
      <c r="BU1098" s="552">
        <f t="shared" si="2481"/>
        <v>0</v>
      </c>
      <c r="BV1098" s="552">
        <f t="shared" ref="BV1098:DA1098" si="2482">BV138*BV$338</f>
        <v>0</v>
      </c>
      <c r="BW1098" s="552">
        <f t="shared" si="2482"/>
        <v>0</v>
      </c>
      <c r="BX1098" s="552">
        <f t="shared" si="2482"/>
        <v>0</v>
      </c>
      <c r="BY1098" s="552">
        <f t="shared" si="2482"/>
        <v>0</v>
      </c>
      <c r="BZ1098" s="552">
        <f t="shared" si="2482"/>
        <v>0</v>
      </c>
      <c r="CA1098" s="552">
        <f t="shared" si="2482"/>
        <v>0</v>
      </c>
      <c r="CB1098" s="552">
        <f t="shared" si="2482"/>
        <v>0</v>
      </c>
      <c r="CC1098" s="552">
        <f t="shared" si="2482"/>
        <v>0</v>
      </c>
      <c r="CD1098" s="552">
        <f t="shared" si="2482"/>
        <v>0</v>
      </c>
      <c r="CE1098" s="552">
        <f t="shared" si="2482"/>
        <v>0</v>
      </c>
      <c r="CF1098" s="552">
        <f t="shared" si="2482"/>
        <v>0</v>
      </c>
      <c r="CG1098" s="552">
        <f t="shared" si="2482"/>
        <v>0</v>
      </c>
      <c r="CH1098" s="552">
        <f t="shared" si="2482"/>
        <v>0</v>
      </c>
      <c r="CI1098" s="552">
        <f t="shared" si="2482"/>
        <v>0</v>
      </c>
      <c r="CJ1098" s="552">
        <f t="shared" si="2482"/>
        <v>0</v>
      </c>
      <c r="CK1098" s="552">
        <f t="shared" si="2482"/>
        <v>0</v>
      </c>
      <c r="CL1098" s="552">
        <f t="shared" si="2482"/>
        <v>0</v>
      </c>
      <c r="CM1098" s="552">
        <f t="shared" si="2482"/>
        <v>0</v>
      </c>
      <c r="CN1098" s="552">
        <f t="shared" si="2482"/>
        <v>0</v>
      </c>
      <c r="CO1098" s="552">
        <f t="shared" si="2482"/>
        <v>0</v>
      </c>
      <c r="CP1098" s="552">
        <f t="shared" si="2482"/>
        <v>0</v>
      </c>
      <c r="CQ1098" s="552">
        <f t="shared" si="2482"/>
        <v>0</v>
      </c>
      <c r="CR1098" s="552">
        <f t="shared" si="2482"/>
        <v>0</v>
      </c>
      <c r="CS1098" s="552">
        <f t="shared" si="2482"/>
        <v>0</v>
      </c>
      <c r="CT1098" s="552">
        <f t="shared" si="2482"/>
        <v>0</v>
      </c>
      <c r="CU1098" s="552">
        <f t="shared" si="2482"/>
        <v>0</v>
      </c>
      <c r="CV1098" s="552">
        <f t="shared" si="2482"/>
        <v>0</v>
      </c>
      <c r="CW1098" s="552">
        <f t="shared" si="2482"/>
        <v>0</v>
      </c>
      <c r="CX1098" s="552">
        <f t="shared" si="2482"/>
        <v>0</v>
      </c>
      <c r="CY1098" s="552">
        <f t="shared" si="2482"/>
        <v>0</v>
      </c>
      <c r="CZ1098" s="552">
        <f t="shared" si="2482"/>
        <v>0</v>
      </c>
      <c r="DA1098" s="552">
        <f t="shared" si="2482"/>
        <v>0</v>
      </c>
      <c r="DB1098" s="552">
        <f t="shared" ref="DB1098:EG1098" si="2483">DB138*DB$338</f>
        <v>0</v>
      </c>
      <c r="DC1098" s="552">
        <f t="shared" si="2483"/>
        <v>0</v>
      </c>
      <c r="DD1098" s="552">
        <f t="shared" si="2483"/>
        <v>0</v>
      </c>
      <c r="DE1098" s="552">
        <f t="shared" si="2483"/>
        <v>0</v>
      </c>
      <c r="DF1098" s="552">
        <f t="shared" si="2483"/>
        <v>0</v>
      </c>
      <c r="DG1098" s="552">
        <f t="shared" si="2483"/>
        <v>0</v>
      </c>
      <c r="DH1098" s="552">
        <f t="shared" si="2483"/>
        <v>0</v>
      </c>
      <c r="DI1098" s="552">
        <f t="shared" si="2483"/>
        <v>0</v>
      </c>
      <c r="DJ1098" s="552">
        <f t="shared" si="2483"/>
        <v>0</v>
      </c>
      <c r="DK1098" s="552">
        <f t="shared" si="2483"/>
        <v>0</v>
      </c>
      <c r="DL1098" s="552">
        <f t="shared" si="2483"/>
        <v>0</v>
      </c>
      <c r="DM1098" s="552">
        <f t="shared" si="2483"/>
        <v>0</v>
      </c>
      <c r="DN1098" s="552">
        <f t="shared" si="2483"/>
        <v>0</v>
      </c>
      <c r="DO1098" s="552">
        <f t="shared" si="2483"/>
        <v>0</v>
      </c>
      <c r="DP1098" s="552">
        <f t="shared" si="2483"/>
        <v>0</v>
      </c>
      <c r="DQ1098" s="552">
        <f t="shared" si="2483"/>
        <v>0</v>
      </c>
      <c r="DR1098" s="552">
        <f t="shared" si="2483"/>
        <v>0</v>
      </c>
      <c r="DS1098" s="552">
        <f t="shared" si="2483"/>
        <v>0</v>
      </c>
      <c r="DT1098" s="552">
        <f t="shared" si="2483"/>
        <v>0</v>
      </c>
      <c r="DU1098" s="552">
        <f t="shared" si="2483"/>
        <v>0</v>
      </c>
      <c r="DV1098" s="552">
        <f t="shared" si="2483"/>
        <v>0</v>
      </c>
      <c r="DW1098" s="552">
        <f t="shared" si="2483"/>
        <v>0</v>
      </c>
      <c r="DX1098" s="552">
        <f t="shared" si="2483"/>
        <v>0</v>
      </c>
      <c r="DY1098" s="552">
        <f t="shared" si="2483"/>
        <v>0</v>
      </c>
      <c r="DZ1098" s="552">
        <f t="shared" si="2483"/>
        <v>0</v>
      </c>
      <c r="EA1098" s="552">
        <f t="shared" si="2483"/>
        <v>0</v>
      </c>
      <c r="EB1098" s="552">
        <f t="shared" si="2483"/>
        <v>0</v>
      </c>
      <c r="EC1098" s="552">
        <f t="shared" si="2483"/>
        <v>0</v>
      </c>
      <c r="ED1098" s="552">
        <f t="shared" si="2483"/>
        <v>0</v>
      </c>
      <c r="EE1098" s="552">
        <f t="shared" si="2483"/>
        <v>0</v>
      </c>
      <c r="EF1098" s="552">
        <f t="shared" si="2483"/>
        <v>0</v>
      </c>
      <c r="EG1098" s="552">
        <f t="shared" si="2483"/>
        <v>0</v>
      </c>
      <c r="EH1098" s="552">
        <f t="shared" ref="EH1098:EX1098" si="2484">EH138*EH$338</f>
        <v>0</v>
      </c>
      <c r="EI1098" s="552">
        <f t="shared" si="2484"/>
        <v>0</v>
      </c>
      <c r="EJ1098" s="552">
        <f t="shared" si="2484"/>
        <v>0</v>
      </c>
      <c r="EK1098" s="552">
        <f t="shared" si="2484"/>
        <v>0</v>
      </c>
      <c r="EL1098" s="552">
        <f t="shared" si="2484"/>
        <v>0</v>
      </c>
      <c r="EM1098" s="552">
        <f t="shared" si="2484"/>
        <v>0</v>
      </c>
      <c r="EN1098" s="552">
        <f t="shared" si="2484"/>
        <v>0</v>
      </c>
      <c r="EO1098" s="552">
        <f t="shared" si="2484"/>
        <v>0</v>
      </c>
      <c r="EP1098" s="552">
        <f t="shared" si="2484"/>
        <v>0</v>
      </c>
      <c r="EQ1098" s="552">
        <f t="shared" si="2484"/>
        <v>0</v>
      </c>
      <c r="ER1098" s="552">
        <f t="shared" si="2484"/>
        <v>0</v>
      </c>
      <c r="ES1098" s="552">
        <f t="shared" si="2484"/>
        <v>0</v>
      </c>
      <c r="ET1098" s="552">
        <f t="shared" si="2484"/>
        <v>0</v>
      </c>
      <c r="EU1098" s="552">
        <f t="shared" si="2484"/>
        <v>0</v>
      </c>
      <c r="EV1098" s="552">
        <f t="shared" si="2484"/>
        <v>0</v>
      </c>
      <c r="EW1098" s="552">
        <f t="shared" si="2484"/>
        <v>0</v>
      </c>
      <c r="EX1098" s="552">
        <f t="shared" si="2484"/>
        <v>0</v>
      </c>
      <c r="EY1098" s="799">
        <f t="shared" si="2478"/>
        <v>7.1</v>
      </c>
      <c r="EZ1098" s="640"/>
      <c r="FA1098" s="640"/>
      <c r="FB1098" s="640"/>
      <c r="FC1098" s="640"/>
      <c r="FD1098" s="640"/>
      <c r="FE1098" s="640"/>
      <c r="FF1098" s="640"/>
      <c r="FG1098" s="640"/>
      <c r="FH1098" s="640"/>
      <c r="FI1098" s="640"/>
      <c r="FJ1098" s="640"/>
      <c r="FK1098" s="640"/>
      <c r="FL1098" s="640"/>
    </row>
    <row r="1099" spans="1:168" x14ac:dyDescent="0.25">
      <c r="A1099" s="1492"/>
      <c r="B1099" s="624" t="str">
        <f t="shared" si="2471"/>
        <v xml:space="preserve">Сыр российский (порциями) </v>
      </c>
      <c r="C1099" s="624">
        <f t="shared" si="2471"/>
        <v>15</v>
      </c>
      <c r="D1099" s="624">
        <f t="shared" si="2471"/>
        <v>3.48</v>
      </c>
      <c r="E1099" s="1158">
        <f t="shared" si="2479"/>
        <v>11.5</v>
      </c>
      <c r="F1099" s="1158"/>
      <c r="G1099" s="1140"/>
      <c r="H1099" s="1140"/>
      <c r="I1099" s="552"/>
      <c r="J1099" s="552">
        <f t="shared" ref="J1099:AO1099" si="2485">J139*J$338</f>
        <v>0</v>
      </c>
      <c r="K1099" s="552">
        <f t="shared" si="2485"/>
        <v>0</v>
      </c>
      <c r="L1099" s="552">
        <f t="shared" si="2485"/>
        <v>0</v>
      </c>
      <c r="M1099" s="552">
        <f t="shared" si="2485"/>
        <v>0</v>
      </c>
      <c r="N1099" s="552">
        <f t="shared" si="2485"/>
        <v>0</v>
      </c>
      <c r="O1099" s="552">
        <f t="shared" si="2485"/>
        <v>0</v>
      </c>
      <c r="P1099" s="552">
        <f t="shared" si="2485"/>
        <v>0</v>
      </c>
      <c r="Q1099" s="552">
        <f t="shared" si="2485"/>
        <v>0</v>
      </c>
      <c r="R1099" s="552">
        <f t="shared" si="2485"/>
        <v>0</v>
      </c>
      <c r="S1099" s="552">
        <f t="shared" si="2485"/>
        <v>0</v>
      </c>
      <c r="T1099" s="552">
        <f t="shared" si="2485"/>
        <v>0</v>
      </c>
      <c r="U1099" s="552">
        <f t="shared" si="2485"/>
        <v>0</v>
      </c>
      <c r="V1099" s="552">
        <f t="shared" si="2485"/>
        <v>0</v>
      </c>
      <c r="W1099" s="552">
        <f t="shared" si="2485"/>
        <v>11.5</v>
      </c>
      <c r="X1099" s="552">
        <f t="shared" si="2485"/>
        <v>0</v>
      </c>
      <c r="Y1099" s="552">
        <f t="shared" si="2485"/>
        <v>0</v>
      </c>
      <c r="Z1099" s="552">
        <f t="shared" si="2485"/>
        <v>0</v>
      </c>
      <c r="AA1099" s="552">
        <f t="shared" si="2485"/>
        <v>0</v>
      </c>
      <c r="AB1099" s="552">
        <f t="shared" si="2485"/>
        <v>0</v>
      </c>
      <c r="AC1099" s="552">
        <f t="shared" si="2485"/>
        <v>0</v>
      </c>
      <c r="AD1099" s="552">
        <f t="shared" si="2485"/>
        <v>0</v>
      </c>
      <c r="AE1099" s="552">
        <f t="shared" si="2485"/>
        <v>0</v>
      </c>
      <c r="AF1099" s="552">
        <f t="shared" si="2485"/>
        <v>0</v>
      </c>
      <c r="AG1099" s="552">
        <f t="shared" si="2485"/>
        <v>0</v>
      </c>
      <c r="AH1099" s="552">
        <f t="shared" si="2485"/>
        <v>0</v>
      </c>
      <c r="AI1099" s="552">
        <f t="shared" si="2485"/>
        <v>0</v>
      </c>
      <c r="AJ1099" s="552">
        <f t="shared" si="2485"/>
        <v>0</v>
      </c>
      <c r="AK1099" s="552">
        <f t="shared" si="2485"/>
        <v>0</v>
      </c>
      <c r="AL1099" s="552">
        <f t="shared" si="2485"/>
        <v>0</v>
      </c>
      <c r="AM1099" s="552">
        <f t="shared" si="2485"/>
        <v>0</v>
      </c>
      <c r="AN1099" s="552">
        <f t="shared" si="2485"/>
        <v>0</v>
      </c>
      <c r="AO1099" s="552">
        <f t="shared" si="2485"/>
        <v>0</v>
      </c>
      <c r="AP1099" s="552">
        <f t="shared" ref="AP1099:BU1099" si="2486">AP139*AP$338</f>
        <v>0</v>
      </c>
      <c r="AQ1099" s="552">
        <f t="shared" si="2486"/>
        <v>0</v>
      </c>
      <c r="AR1099" s="552">
        <f t="shared" si="2486"/>
        <v>0</v>
      </c>
      <c r="AS1099" s="552">
        <f t="shared" si="2486"/>
        <v>0</v>
      </c>
      <c r="AT1099" s="552">
        <f t="shared" si="2486"/>
        <v>0</v>
      </c>
      <c r="AU1099" s="552">
        <f t="shared" si="2486"/>
        <v>0</v>
      </c>
      <c r="AV1099" s="552">
        <f t="shared" si="2486"/>
        <v>0</v>
      </c>
      <c r="AW1099" s="552">
        <f t="shared" si="2486"/>
        <v>0</v>
      </c>
      <c r="AX1099" s="552">
        <f t="shared" si="2486"/>
        <v>0</v>
      </c>
      <c r="AY1099" s="552">
        <f t="shared" si="2486"/>
        <v>0</v>
      </c>
      <c r="AZ1099" s="552">
        <f t="shared" si="2486"/>
        <v>0</v>
      </c>
      <c r="BA1099" s="552">
        <f t="shared" si="2486"/>
        <v>0</v>
      </c>
      <c r="BB1099" s="552">
        <f t="shared" si="2486"/>
        <v>0</v>
      </c>
      <c r="BC1099" s="552">
        <f t="shared" si="2486"/>
        <v>0</v>
      </c>
      <c r="BD1099" s="552">
        <f t="shared" si="2486"/>
        <v>0</v>
      </c>
      <c r="BE1099" s="552">
        <f t="shared" si="2486"/>
        <v>0</v>
      </c>
      <c r="BF1099" s="552">
        <f t="shared" si="2486"/>
        <v>0</v>
      </c>
      <c r="BG1099" s="552">
        <f t="shared" si="2486"/>
        <v>0</v>
      </c>
      <c r="BH1099" s="552">
        <f t="shared" si="2486"/>
        <v>0</v>
      </c>
      <c r="BI1099" s="552">
        <f t="shared" si="2486"/>
        <v>0</v>
      </c>
      <c r="BJ1099" s="552">
        <f t="shared" si="2486"/>
        <v>0</v>
      </c>
      <c r="BK1099" s="552">
        <f t="shared" si="2486"/>
        <v>0</v>
      </c>
      <c r="BL1099" s="552">
        <f t="shared" si="2486"/>
        <v>0</v>
      </c>
      <c r="BM1099" s="552">
        <f t="shared" si="2486"/>
        <v>0</v>
      </c>
      <c r="BN1099" s="552">
        <f t="shared" si="2486"/>
        <v>0</v>
      </c>
      <c r="BO1099" s="552">
        <f t="shared" si="2486"/>
        <v>0</v>
      </c>
      <c r="BP1099" s="552">
        <f t="shared" si="2486"/>
        <v>0</v>
      </c>
      <c r="BQ1099" s="552">
        <f t="shared" si="2486"/>
        <v>0</v>
      </c>
      <c r="BR1099" s="552">
        <f t="shared" si="2486"/>
        <v>0</v>
      </c>
      <c r="BS1099" s="552">
        <f t="shared" si="2486"/>
        <v>0</v>
      </c>
      <c r="BT1099" s="552">
        <f t="shared" si="2486"/>
        <v>0</v>
      </c>
      <c r="BU1099" s="552">
        <f t="shared" si="2486"/>
        <v>0</v>
      </c>
      <c r="BV1099" s="552">
        <f t="shared" ref="BV1099:DA1099" si="2487">BV139*BV$338</f>
        <v>0</v>
      </c>
      <c r="BW1099" s="552">
        <f t="shared" si="2487"/>
        <v>0</v>
      </c>
      <c r="BX1099" s="552">
        <f t="shared" si="2487"/>
        <v>0</v>
      </c>
      <c r="BY1099" s="552">
        <f t="shared" si="2487"/>
        <v>0</v>
      </c>
      <c r="BZ1099" s="552">
        <f t="shared" si="2487"/>
        <v>0</v>
      </c>
      <c r="CA1099" s="552">
        <f t="shared" si="2487"/>
        <v>0</v>
      </c>
      <c r="CB1099" s="552">
        <f t="shared" si="2487"/>
        <v>0</v>
      </c>
      <c r="CC1099" s="552">
        <f t="shared" si="2487"/>
        <v>0</v>
      </c>
      <c r="CD1099" s="552">
        <f t="shared" si="2487"/>
        <v>0</v>
      </c>
      <c r="CE1099" s="552">
        <f t="shared" si="2487"/>
        <v>0</v>
      </c>
      <c r="CF1099" s="552">
        <f t="shared" si="2487"/>
        <v>0</v>
      </c>
      <c r="CG1099" s="552">
        <f t="shared" si="2487"/>
        <v>0</v>
      </c>
      <c r="CH1099" s="552">
        <f t="shared" si="2487"/>
        <v>0</v>
      </c>
      <c r="CI1099" s="552">
        <f t="shared" si="2487"/>
        <v>0</v>
      </c>
      <c r="CJ1099" s="552">
        <f t="shared" si="2487"/>
        <v>0</v>
      </c>
      <c r="CK1099" s="552">
        <f t="shared" si="2487"/>
        <v>0</v>
      </c>
      <c r="CL1099" s="552">
        <f t="shared" si="2487"/>
        <v>0</v>
      </c>
      <c r="CM1099" s="552">
        <f t="shared" si="2487"/>
        <v>0</v>
      </c>
      <c r="CN1099" s="552">
        <f t="shared" si="2487"/>
        <v>0</v>
      </c>
      <c r="CO1099" s="552">
        <f t="shared" si="2487"/>
        <v>0</v>
      </c>
      <c r="CP1099" s="552">
        <f t="shared" si="2487"/>
        <v>0</v>
      </c>
      <c r="CQ1099" s="552">
        <f t="shared" si="2487"/>
        <v>0</v>
      </c>
      <c r="CR1099" s="552">
        <f t="shared" si="2487"/>
        <v>0</v>
      </c>
      <c r="CS1099" s="552">
        <f t="shared" si="2487"/>
        <v>0</v>
      </c>
      <c r="CT1099" s="552">
        <f t="shared" si="2487"/>
        <v>0</v>
      </c>
      <c r="CU1099" s="552">
        <f t="shared" si="2487"/>
        <v>0</v>
      </c>
      <c r="CV1099" s="552">
        <f t="shared" si="2487"/>
        <v>0</v>
      </c>
      <c r="CW1099" s="552">
        <f t="shared" si="2487"/>
        <v>0</v>
      </c>
      <c r="CX1099" s="552">
        <f t="shared" si="2487"/>
        <v>0</v>
      </c>
      <c r="CY1099" s="552">
        <f t="shared" si="2487"/>
        <v>0</v>
      </c>
      <c r="CZ1099" s="552">
        <f t="shared" si="2487"/>
        <v>0</v>
      </c>
      <c r="DA1099" s="552">
        <f t="shared" si="2487"/>
        <v>0</v>
      </c>
      <c r="DB1099" s="552">
        <f t="shared" ref="DB1099:EG1099" si="2488">DB139*DB$338</f>
        <v>0</v>
      </c>
      <c r="DC1099" s="552">
        <f t="shared" si="2488"/>
        <v>0</v>
      </c>
      <c r="DD1099" s="552">
        <f t="shared" si="2488"/>
        <v>0</v>
      </c>
      <c r="DE1099" s="552">
        <f t="shared" si="2488"/>
        <v>0</v>
      </c>
      <c r="DF1099" s="552">
        <f t="shared" si="2488"/>
        <v>0</v>
      </c>
      <c r="DG1099" s="552">
        <f t="shared" si="2488"/>
        <v>0</v>
      </c>
      <c r="DH1099" s="552">
        <f t="shared" si="2488"/>
        <v>0</v>
      </c>
      <c r="DI1099" s="552">
        <f t="shared" si="2488"/>
        <v>0</v>
      </c>
      <c r="DJ1099" s="552">
        <f t="shared" si="2488"/>
        <v>0</v>
      </c>
      <c r="DK1099" s="552">
        <f t="shared" si="2488"/>
        <v>0</v>
      </c>
      <c r="DL1099" s="552">
        <f t="shared" si="2488"/>
        <v>0</v>
      </c>
      <c r="DM1099" s="552">
        <f t="shared" si="2488"/>
        <v>0</v>
      </c>
      <c r="DN1099" s="552">
        <f t="shared" si="2488"/>
        <v>0</v>
      </c>
      <c r="DO1099" s="552">
        <f t="shared" si="2488"/>
        <v>0</v>
      </c>
      <c r="DP1099" s="552">
        <f t="shared" si="2488"/>
        <v>0</v>
      </c>
      <c r="DQ1099" s="552">
        <f t="shared" si="2488"/>
        <v>0</v>
      </c>
      <c r="DR1099" s="552">
        <f t="shared" si="2488"/>
        <v>0</v>
      </c>
      <c r="DS1099" s="552">
        <f t="shared" si="2488"/>
        <v>0</v>
      </c>
      <c r="DT1099" s="552">
        <f t="shared" si="2488"/>
        <v>0</v>
      </c>
      <c r="DU1099" s="552">
        <f t="shared" si="2488"/>
        <v>0</v>
      </c>
      <c r="DV1099" s="552">
        <f t="shared" si="2488"/>
        <v>0</v>
      </c>
      <c r="DW1099" s="552">
        <f t="shared" si="2488"/>
        <v>0</v>
      </c>
      <c r="DX1099" s="552">
        <f t="shared" si="2488"/>
        <v>0</v>
      </c>
      <c r="DY1099" s="552">
        <f t="shared" si="2488"/>
        <v>0</v>
      </c>
      <c r="DZ1099" s="552">
        <f t="shared" si="2488"/>
        <v>0</v>
      </c>
      <c r="EA1099" s="552">
        <f t="shared" si="2488"/>
        <v>0</v>
      </c>
      <c r="EB1099" s="552">
        <f t="shared" si="2488"/>
        <v>0</v>
      </c>
      <c r="EC1099" s="552">
        <f t="shared" si="2488"/>
        <v>0</v>
      </c>
      <c r="ED1099" s="552">
        <f t="shared" si="2488"/>
        <v>0</v>
      </c>
      <c r="EE1099" s="552">
        <f t="shared" si="2488"/>
        <v>0</v>
      </c>
      <c r="EF1099" s="552">
        <f t="shared" si="2488"/>
        <v>0</v>
      </c>
      <c r="EG1099" s="552">
        <f t="shared" si="2488"/>
        <v>0</v>
      </c>
      <c r="EH1099" s="552">
        <f t="shared" ref="EH1099:EX1099" si="2489">EH139*EH$338</f>
        <v>0</v>
      </c>
      <c r="EI1099" s="552">
        <f t="shared" si="2489"/>
        <v>0</v>
      </c>
      <c r="EJ1099" s="552">
        <f t="shared" si="2489"/>
        <v>0</v>
      </c>
      <c r="EK1099" s="552">
        <f t="shared" si="2489"/>
        <v>0</v>
      </c>
      <c r="EL1099" s="552">
        <f t="shared" si="2489"/>
        <v>0</v>
      </c>
      <c r="EM1099" s="552">
        <f t="shared" si="2489"/>
        <v>0</v>
      </c>
      <c r="EN1099" s="552">
        <f t="shared" si="2489"/>
        <v>0</v>
      </c>
      <c r="EO1099" s="552">
        <f t="shared" si="2489"/>
        <v>0</v>
      </c>
      <c r="EP1099" s="552">
        <f t="shared" si="2489"/>
        <v>0</v>
      </c>
      <c r="EQ1099" s="552">
        <f t="shared" si="2489"/>
        <v>0</v>
      </c>
      <c r="ER1099" s="552">
        <f t="shared" si="2489"/>
        <v>0</v>
      </c>
      <c r="ES1099" s="552">
        <f t="shared" si="2489"/>
        <v>0</v>
      </c>
      <c r="ET1099" s="552">
        <f t="shared" si="2489"/>
        <v>0</v>
      </c>
      <c r="EU1099" s="552">
        <f t="shared" si="2489"/>
        <v>0</v>
      </c>
      <c r="EV1099" s="552">
        <f t="shared" si="2489"/>
        <v>0</v>
      </c>
      <c r="EW1099" s="552">
        <f t="shared" si="2489"/>
        <v>0</v>
      </c>
      <c r="EX1099" s="552">
        <f t="shared" si="2489"/>
        <v>0</v>
      </c>
      <c r="EY1099" s="799">
        <f t="shared" si="2478"/>
        <v>11.5</v>
      </c>
      <c r="EZ1099" s="640"/>
      <c r="FA1099" s="640"/>
      <c r="FB1099" s="640"/>
      <c r="FC1099" s="640"/>
      <c r="FD1099" s="640"/>
      <c r="FE1099" s="640"/>
      <c r="FF1099" s="640"/>
      <c r="FG1099" s="640"/>
      <c r="FH1099" s="640"/>
      <c r="FI1099" s="640"/>
      <c r="FJ1099" s="640"/>
      <c r="FK1099" s="640"/>
      <c r="FL1099" s="640"/>
    </row>
    <row r="1100" spans="1:168" x14ac:dyDescent="0.25">
      <c r="A1100" s="1492"/>
      <c r="B1100" s="624" t="str">
        <f t="shared" si="2471"/>
        <v>Хлеб пшенично-ржаной нарезной</v>
      </c>
      <c r="C1100" s="624">
        <f t="shared" si="2471"/>
        <v>40</v>
      </c>
      <c r="D1100" s="624">
        <f t="shared" si="2471"/>
        <v>3</v>
      </c>
      <c r="E1100" s="1158">
        <f t="shared" si="2479"/>
        <v>2.6</v>
      </c>
      <c r="F1100" s="1158"/>
      <c r="G1100" s="1140"/>
      <c r="H1100" s="1140"/>
      <c r="I1100" s="552"/>
      <c r="J1100" s="552">
        <f t="shared" ref="J1100:AO1100" si="2490">J140*J$338</f>
        <v>0</v>
      </c>
      <c r="K1100" s="552">
        <f t="shared" si="2490"/>
        <v>0</v>
      </c>
      <c r="L1100" s="552">
        <f t="shared" si="2490"/>
        <v>0</v>
      </c>
      <c r="M1100" s="552">
        <f t="shared" si="2490"/>
        <v>0</v>
      </c>
      <c r="N1100" s="552">
        <f t="shared" si="2490"/>
        <v>0</v>
      </c>
      <c r="O1100" s="552">
        <f t="shared" si="2490"/>
        <v>0</v>
      </c>
      <c r="P1100" s="552">
        <f t="shared" si="2490"/>
        <v>0</v>
      </c>
      <c r="Q1100" s="552">
        <f t="shared" si="2490"/>
        <v>0</v>
      </c>
      <c r="R1100" s="552">
        <f t="shared" si="2490"/>
        <v>0</v>
      </c>
      <c r="S1100" s="552">
        <f t="shared" si="2490"/>
        <v>0</v>
      </c>
      <c r="T1100" s="552">
        <f t="shared" si="2490"/>
        <v>0</v>
      </c>
      <c r="U1100" s="552">
        <f t="shared" si="2490"/>
        <v>0</v>
      </c>
      <c r="V1100" s="552">
        <f t="shared" si="2490"/>
        <v>0</v>
      </c>
      <c r="W1100" s="552">
        <f t="shared" si="2490"/>
        <v>0</v>
      </c>
      <c r="X1100" s="552">
        <f t="shared" si="2490"/>
        <v>0</v>
      </c>
      <c r="Y1100" s="552">
        <f t="shared" si="2490"/>
        <v>0</v>
      </c>
      <c r="Z1100" s="552">
        <f t="shared" si="2490"/>
        <v>0</v>
      </c>
      <c r="AA1100" s="552">
        <f t="shared" si="2490"/>
        <v>0</v>
      </c>
      <c r="AB1100" s="552">
        <f t="shared" si="2490"/>
        <v>0</v>
      </c>
      <c r="AC1100" s="552">
        <f t="shared" si="2490"/>
        <v>0</v>
      </c>
      <c r="AD1100" s="552">
        <f t="shared" si="2490"/>
        <v>0</v>
      </c>
      <c r="AE1100" s="552">
        <f t="shared" si="2490"/>
        <v>0</v>
      </c>
      <c r="AF1100" s="552">
        <f t="shared" si="2490"/>
        <v>0</v>
      </c>
      <c r="AG1100" s="552">
        <f t="shared" si="2490"/>
        <v>0</v>
      </c>
      <c r="AH1100" s="552">
        <f t="shared" si="2490"/>
        <v>0</v>
      </c>
      <c r="AI1100" s="552">
        <f t="shared" si="2490"/>
        <v>0</v>
      </c>
      <c r="AJ1100" s="552">
        <f t="shared" si="2490"/>
        <v>0</v>
      </c>
      <c r="AK1100" s="552">
        <f t="shared" si="2490"/>
        <v>0</v>
      </c>
      <c r="AL1100" s="552">
        <f t="shared" si="2490"/>
        <v>0</v>
      </c>
      <c r="AM1100" s="552">
        <f t="shared" si="2490"/>
        <v>0</v>
      </c>
      <c r="AN1100" s="552">
        <f t="shared" si="2490"/>
        <v>0</v>
      </c>
      <c r="AO1100" s="552">
        <f t="shared" si="2490"/>
        <v>0</v>
      </c>
      <c r="AP1100" s="552">
        <f t="shared" ref="AP1100:BU1100" si="2491">AP140*AP$338</f>
        <v>0</v>
      </c>
      <c r="AQ1100" s="552">
        <f t="shared" si="2491"/>
        <v>0</v>
      </c>
      <c r="AR1100" s="552">
        <f t="shared" si="2491"/>
        <v>0</v>
      </c>
      <c r="AS1100" s="552">
        <f t="shared" si="2491"/>
        <v>0</v>
      </c>
      <c r="AT1100" s="552">
        <f t="shared" si="2491"/>
        <v>0</v>
      </c>
      <c r="AU1100" s="552">
        <f t="shared" si="2491"/>
        <v>0</v>
      </c>
      <c r="AV1100" s="552">
        <f t="shared" si="2491"/>
        <v>0</v>
      </c>
      <c r="AW1100" s="552">
        <f t="shared" si="2491"/>
        <v>0</v>
      </c>
      <c r="AX1100" s="552">
        <f t="shared" si="2491"/>
        <v>0</v>
      </c>
      <c r="AY1100" s="552">
        <f t="shared" si="2491"/>
        <v>0</v>
      </c>
      <c r="AZ1100" s="552">
        <f t="shared" si="2491"/>
        <v>0</v>
      </c>
      <c r="BA1100" s="552">
        <f t="shared" si="2491"/>
        <v>0</v>
      </c>
      <c r="BB1100" s="552">
        <f t="shared" si="2491"/>
        <v>0</v>
      </c>
      <c r="BC1100" s="552">
        <f t="shared" si="2491"/>
        <v>0</v>
      </c>
      <c r="BD1100" s="552">
        <f t="shared" si="2491"/>
        <v>0</v>
      </c>
      <c r="BE1100" s="552">
        <f t="shared" si="2491"/>
        <v>0</v>
      </c>
      <c r="BF1100" s="552">
        <f t="shared" si="2491"/>
        <v>0</v>
      </c>
      <c r="BG1100" s="552">
        <f t="shared" si="2491"/>
        <v>0</v>
      </c>
      <c r="BH1100" s="552">
        <f t="shared" si="2491"/>
        <v>0</v>
      </c>
      <c r="BI1100" s="552">
        <f t="shared" si="2491"/>
        <v>0</v>
      </c>
      <c r="BJ1100" s="552">
        <f t="shared" si="2491"/>
        <v>0</v>
      </c>
      <c r="BK1100" s="552">
        <f t="shared" si="2491"/>
        <v>0</v>
      </c>
      <c r="BL1100" s="552">
        <f t="shared" si="2491"/>
        <v>0</v>
      </c>
      <c r="BM1100" s="552">
        <f t="shared" si="2491"/>
        <v>0</v>
      </c>
      <c r="BN1100" s="552">
        <f t="shared" si="2491"/>
        <v>0</v>
      </c>
      <c r="BO1100" s="552">
        <f t="shared" si="2491"/>
        <v>0</v>
      </c>
      <c r="BP1100" s="552">
        <f t="shared" si="2491"/>
        <v>0</v>
      </c>
      <c r="BQ1100" s="552">
        <f t="shared" si="2491"/>
        <v>0</v>
      </c>
      <c r="BR1100" s="552">
        <f t="shared" si="2491"/>
        <v>0</v>
      </c>
      <c r="BS1100" s="552">
        <f t="shared" si="2491"/>
        <v>0</v>
      </c>
      <c r="BT1100" s="552">
        <f t="shared" si="2491"/>
        <v>0</v>
      </c>
      <c r="BU1100" s="552">
        <f t="shared" si="2491"/>
        <v>0</v>
      </c>
      <c r="BV1100" s="552">
        <f t="shared" ref="BV1100:DA1100" si="2492">BV140*BV$338</f>
        <v>0</v>
      </c>
      <c r="BW1100" s="552">
        <f t="shared" si="2492"/>
        <v>0</v>
      </c>
      <c r="BX1100" s="552">
        <f t="shared" si="2492"/>
        <v>0</v>
      </c>
      <c r="BY1100" s="552">
        <f t="shared" si="2492"/>
        <v>0</v>
      </c>
      <c r="BZ1100" s="552">
        <f t="shared" si="2492"/>
        <v>0</v>
      </c>
      <c r="CA1100" s="552">
        <f t="shared" si="2492"/>
        <v>0</v>
      </c>
      <c r="CB1100" s="552">
        <f t="shared" si="2492"/>
        <v>0</v>
      </c>
      <c r="CC1100" s="552">
        <f t="shared" si="2492"/>
        <v>0</v>
      </c>
      <c r="CD1100" s="552">
        <f t="shared" si="2492"/>
        <v>0</v>
      </c>
      <c r="CE1100" s="552">
        <f t="shared" si="2492"/>
        <v>0</v>
      </c>
      <c r="CF1100" s="552">
        <f t="shared" si="2492"/>
        <v>0</v>
      </c>
      <c r="CG1100" s="552">
        <f t="shared" si="2492"/>
        <v>0</v>
      </c>
      <c r="CH1100" s="552">
        <f t="shared" si="2492"/>
        <v>0</v>
      </c>
      <c r="CI1100" s="552">
        <f t="shared" si="2492"/>
        <v>0</v>
      </c>
      <c r="CJ1100" s="552">
        <f t="shared" si="2492"/>
        <v>0</v>
      </c>
      <c r="CK1100" s="552">
        <f t="shared" si="2492"/>
        <v>0</v>
      </c>
      <c r="CL1100" s="552">
        <f t="shared" si="2492"/>
        <v>0</v>
      </c>
      <c r="CM1100" s="552">
        <f t="shared" si="2492"/>
        <v>0</v>
      </c>
      <c r="CN1100" s="552">
        <f t="shared" si="2492"/>
        <v>0</v>
      </c>
      <c r="CO1100" s="552">
        <f t="shared" si="2492"/>
        <v>0</v>
      </c>
      <c r="CP1100" s="552">
        <f t="shared" si="2492"/>
        <v>0</v>
      </c>
      <c r="CQ1100" s="552">
        <f t="shared" si="2492"/>
        <v>0</v>
      </c>
      <c r="CR1100" s="552">
        <f t="shared" si="2492"/>
        <v>0</v>
      </c>
      <c r="CS1100" s="552">
        <f t="shared" si="2492"/>
        <v>0</v>
      </c>
      <c r="CT1100" s="552">
        <f t="shared" si="2492"/>
        <v>0</v>
      </c>
      <c r="CU1100" s="552">
        <f t="shared" si="2492"/>
        <v>0</v>
      </c>
      <c r="CV1100" s="552">
        <f t="shared" si="2492"/>
        <v>0</v>
      </c>
      <c r="CW1100" s="552">
        <f t="shared" si="2492"/>
        <v>0</v>
      </c>
      <c r="CX1100" s="552">
        <f t="shared" si="2492"/>
        <v>0</v>
      </c>
      <c r="CY1100" s="552">
        <f t="shared" si="2492"/>
        <v>0</v>
      </c>
      <c r="CZ1100" s="552">
        <f t="shared" si="2492"/>
        <v>0</v>
      </c>
      <c r="DA1100" s="552">
        <f t="shared" si="2492"/>
        <v>0</v>
      </c>
      <c r="DB1100" s="552">
        <f t="shared" ref="DB1100:EG1100" si="2493">DB140*DB$338</f>
        <v>0</v>
      </c>
      <c r="DC1100" s="552">
        <f t="shared" si="2493"/>
        <v>0</v>
      </c>
      <c r="DD1100" s="552">
        <f t="shared" si="2493"/>
        <v>0</v>
      </c>
      <c r="DE1100" s="552">
        <f t="shared" si="2493"/>
        <v>0</v>
      </c>
      <c r="DF1100" s="552">
        <f t="shared" si="2493"/>
        <v>0</v>
      </c>
      <c r="DG1100" s="552">
        <f t="shared" si="2493"/>
        <v>0</v>
      </c>
      <c r="DH1100" s="552">
        <f t="shared" si="2493"/>
        <v>0</v>
      </c>
      <c r="DI1100" s="552">
        <f t="shared" si="2493"/>
        <v>0</v>
      </c>
      <c r="DJ1100" s="552">
        <f t="shared" si="2493"/>
        <v>0</v>
      </c>
      <c r="DK1100" s="552">
        <f t="shared" si="2493"/>
        <v>0</v>
      </c>
      <c r="DL1100" s="552">
        <f t="shared" si="2493"/>
        <v>0</v>
      </c>
      <c r="DM1100" s="552">
        <f t="shared" si="2493"/>
        <v>0</v>
      </c>
      <c r="DN1100" s="552">
        <f t="shared" si="2493"/>
        <v>0</v>
      </c>
      <c r="DO1100" s="552">
        <f t="shared" si="2493"/>
        <v>0</v>
      </c>
      <c r="DP1100" s="552">
        <f t="shared" si="2493"/>
        <v>0</v>
      </c>
      <c r="DQ1100" s="552">
        <f t="shared" si="2493"/>
        <v>0</v>
      </c>
      <c r="DR1100" s="552">
        <f t="shared" si="2493"/>
        <v>0</v>
      </c>
      <c r="DS1100" s="552">
        <f t="shared" si="2493"/>
        <v>0</v>
      </c>
      <c r="DT1100" s="552">
        <f t="shared" si="2493"/>
        <v>0</v>
      </c>
      <c r="DU1100" s="552">
        <f t="shared" si="2493"/>
        <v>0</v>
      </c>
      <c r="DV1100" s="552">
        <f t="shared" si="2493"/>
        <v>0</v>
      </c>
      <c r="DW1100" s="552">
        <f t="shared" si="2493"/>
        <v>0</v>
      </c>
      <c r="DX1100" s="552">
        <f t="shared" si="2493"/>
        <v>0</v>
      </c>
      <c r="DY1100" s="552">
        <f t="shared" si="2493"/>
        <v>0</v>
      </c>
      <c r="DZ1100" s="552">
        <f t="shared" si="2493"/>
        <v>0</v>
      </c>
      <c r="EA1100" s="552">
        <f t="shared" si="2493"/>
        <v>0</v>
      </c>
      <c r="EB1100" s="552">
        <f t="shared" si="2493"/>
        <v>0</v>
      </c>
      <c r="EC1100" s="552">
        <f t="shared" si="2493"/>
        <v>0</v>
      </c>
      <c r="ED1100" s="552">
        <f t="shared" si="2493"/>
        <v>0</v>
      </c>
      <c r="EE1100" s="552">
        <f t="shared" si="2493"/>
        <v>0</v>
      </c>
      <c r="EF1100" s="552">
        <f t="shared" si="2493"/>
        <v>0</v>
      </c>
      <c r="EG1100" s="552">
        <f t="shared" si="2493"/>
        <v>0</v>
      </c>
      <c r="EH1100" s="552">
        <f t="shared" ref="EH1100:EX1100" si="2494">EH140*EH$338</f>
        <v>0</v>
      </c>
      <c r="EI1100" s="552">
        <f t="shared" si="2494"/>
        <v>0</v>
      </c>
      <c r="EJ1100" s="552">
        <f t="shared" si="2494"/>
        <v>0</v>
      </c>
      <c r="EK1100" s="552">
        <f t="shared" si="2494"/>
        <v>0</v>
      </c>
      <c r="EL1100" s="552">
        <f t="shared" si="2494"/>
        <v>0</v>
      </c>
      <c r="EM1100" s="552">
        <f t="shared" si="2494"/>
        <v>0</v>
      </c>
      <c r="EN1100" s="552">
        <f t="shared" si="2494"/>
        <v>0</v>
      </c>
      <c r="EO1100" s="552">
        <f t="shared" si="2494"/>
        <v>0</v>
      </c>
      <c r="EP1100" s="552">
        <f t="shared" si="2494"/>
        <v>0</v>
      </c>
      <c r="EQ1100" s="552">
        <f t="shared" si="2494"/>
        <v>0</v>
      </c>
      <c r="ER1100" s="552">
        <f t="shared" si="2494"/>
        <v>0</v>
      </c>
      <c r="ES1100" s="552">
        <f t="shared" si="2494"/>
        <v>0</v>
      </c>
      <c r="ET1100" s="552">
        <f t="shared" si="2494"/>
        <v>0</v>
      </c>
      <c r="EU1100" s="552">
        <f t="shared" si="2494"/>
        <v>0</v>
      </c>
      <c r="EV1100" s="552">
        <f t="shared" si="2494"/>
        <v>0</v>
      </c>
      <c r="EW1100" s="552">
        <f t="shared" si="2494"/>
        <v>2.6</v>
      </c>
      <c r="EX1100" s="552">
        <f t="shared" si="2494"/>
        <v>0</v>
      </c>
      <c r="EY1100" s="799">
        <f t="shared" si="2478"/>
        <v>2.6</v>
      </c>
      <c r="EZ1100" s="640"/>
      <c r="FA1100" s="640"/>
      <c r="FB1100" s="640"/>
      <c r="FC1100" s="640"/>
      <c r="FD1100" s="640"/>
      <c r="FE1100" s="640"/>
      <c r="FF1100" s="640"/>
      <c r="FG1100" s="640"/>
      <c r="FH1100" s="640"/>
      <c r="FI1100" s="640"/>
      <c r="FJ1100" s="640"/>
      <c r="FK1100" s="640"/>
      <c r="FL1100" s="640"/>
    </row>
    <row r="1101" spans="1:168" x14ac:dyDescent="0.25">
      <c r="A1101" s="1492"/>
      <c r="B1101" s="624" t="str">
        <f t="shared" si="2471"/>
        <v>Чай с сахаром</v>
      </c>
      <c r="C1101" s="624">
        <f t="shared" si="2471"/>
        <v>200</v>
      </c>
      <c r="D1101" s="624">
        <f t="shared" si="2471"/>
        <v>7.0000000000000007E-2</v>
      </c>
      <c r="E1101" s="1158">
        <f t="shared" si="2479"/>
        <v>1.59</v>
      </c>
      <c r="F1101" s="1158"/>
      <c r="G1101" s="1140"/>
      <c r="H1101" s="1140"/>
      <c r="I1101" s="552"/>
      <c r="J1101" s="552">
        <f t="shared" ref="J1101:AO1101" si="2495">J141*J$338</f>
        <v>0</v>
      </c>
      <c r="K1101" s="552">
        <f t="shared" si="2495"/>
        <v>0</v>
      </c>
      <c r="L1101" s="552">
        <f t="shared" si="2495"/>
        <v>0</v>
      </c>
      <c r="M1101" s="552">
        <f t="shared" si="2495"/>
        <v>0</v>
      </c>
      <c r="N1101" s="552">
        <f t="shared" si="2495"/>
        <v>0</v>
      </c>
      <c r="O1101" s="552">
        <f t="shared" si="2495"/>
        <v>0</v>
      </c>
      <c r="P1101" s="552">
        <f t="shared" si="2495"/>
        <v>0</v>
      </c>
      <c r="Q1101" s="552">
        <f t="shared" si="2495"/>
        <v>0</v>
      </c>
      <c r="R1101" s="552">
        <f t="shared" si="2495"/>
        <v>0</v>
      </c>
      <c r="S1101" s="552">
        <f t="shared" si="2495"/>
        <v>0</v>
      </c>
      <c r="T1101" s="552">
        <f t="shared" si="2495"/>
        <v>0</v>
      </c>
      <c r="U1101" s="552">
        <f t="shared" si="2495"/>
        <v>0</v>
      </c>
      <c r="V1101" s="552">
        <f t="shared" si="2495"/>
        <v>0</v>
      </c>
      <c r="W1101" s="552">
        <f t="shared" si="2495"/>
        <v>0</v>
      </c>
      <c r="X1101" s="552">
        <f t="shared" si="2495"/>
        <v>0</v>
      </c>
      <c r="Y1101" s="552">
        <f t="shared" si="2495"/>
        <v>0</v>
      </c>
      <c r="Z1101" s="552">
        <f t="shared" si="2495"/>
        <v>0</v>
      </c>
      <c r="AA1101" s="552">
        <f t="shared" si="2495"/>
        <v>0</v>
      </c>
      <c r="AB1101" s="552">
        <f t="shared" si="2495"/>
        <v>0</v>
      </c>
      <c r="AC1101" s="552">
        <f t="shared" si="2495"/>
        <v>0</v>
      </c>
      <c r="AD1101" s="552">
        <f t="shared" si="2495"/>
        <v>0</v>
      </c>
      <c r="AE1101" s="552">
        <f t="shared" si="2495"/>
        <v>0</v>
      </c>
      <c r="AF1101" s="552">
        <f t="shared" si="2495"/>
        <v>0</v>
      </c>
      <c r="AG1101" s="552">
        <f t="shared" si="2495"/>
        <v>0</v>
      </c>
      <c r="AH1101" s="552">
        <f t="shared" si="2495"/>
        <v>0</v>
      </c>
      <c r="AI1101" s="552">
        <f t="shared" si="2495"/>
        <v>0</v>
      </c>
      <c r="AJ1101" s="552">
        <f t="shared" si="2495"/>
        <v>0</v>
      </c>
      <c r="AK1101" s="552">
        <f t="shared" si="2495"/>
        <v>0</v>
      </c>
      <c r="AL1101" s="552">
        <f t="shared" si="2495"/>
        <v>0</v>
      </c>
      <c r="AM1101" s="552">
        <f t="shared" si="2495"/>
        <v>0</v>
      </c>
      <c r="AN1101" s="552">
        <f t="shared" si="2495"/>
        <v>0</v>
      </c>
      <c r="AO1101" s="552">
        <f t="shared" si="2495"/>
        <v>0</v>
      </c>
      <c r="AP1101" s="552">
        <f t="shared" ref="AP1101:BU1101" si="2496">AP141*AP$338</f>
        <v>0</v>
      </c>
      <c r="AQ1101" s="552">
        <f t="shared" si="2496"/>
        <v>0</v>
      </c>
      <c r="AR1101" s="552">
        <f t="shared" si="2496"/>
        <v>0</v>
      </c>
      <c r="AS1101" s="552">
        <f t="shared" si="2496"/>
        <v>0</v>
      </c>
      <c r="AT1101" s="552">
        <f t="shared" si="2496"/>
        <v>0</v>
      </c>
      <c r="AU1101" s="552">
        <f t="shared" si="2496"/>
        <v>0</v>
      </c>
      <c r="AV1101" s="552">
        <f t="shared" si="2496"/>
        <v>0</v>
      </c>
      <c r="AW1101" s="552">
        <f t="shared" si="2496"/>
        <v>0</v>
      </c>
      <c r="AX1101" s="552">
        <f t="shared" si="2496"/>
        <v>0</v>
      </c>
      <c r="AY1101" s="552">
        <f t="shared" si="2496"/>
        <v>0</v>
      </c>
      <c r="AZ1101" s="552">
        <f t="shared" si="2496"/>
        <v>0</v>
      </c>
      <c r="BA1101" s="552">
        <f t="shared" si="2496"/>
        <v>0</v>
      </c>
      <c r="BB1101" s="552">
        <f t="shared" si="2496"/>
        <v>0</v>
      </c>
      <c r="BC1101" s="552">
        <f t="shared" si="2496"/>
        <v>0</v>
      </c>
      <c r="BD1101" s="552">
        <f t="shared" si="2496"/>
        <v>0</v>
      </c>
      <c r="BE1101" s="552">
        <f t="shared" si="2496"/>
        <v>0</v>
      </c>
      <c r="BF1101" s="552">
        <f t="shared" si="2496"/>
        <v>0</v>
      </c>
      <c r="BG1101" s="552">
        <f t="shared" si="2496"/>
        <v>0</v>
      </c>
      <c r="BH1101" s="552">
        <f t="shared" si="2496"/>
        <v>0</v>
      </c>
      <c r="BI1101" s="552">
        <f t="shared" si="2496"/>
        <v>0</v>
      </c>
      <c r="BJ1101" s="552">
        <f t="shared" si="2496"/>
        <v>0</v>
      </c>
      <c r="BK1101" s="552">
        <f t="shared" si="2496"/>
        <v>0</v>
      </c>
      <c r="BL1101" s="552">
        <f t="shared" si="2496"/>
        <v>0</v>
      </c>
      <c r="BM1101" s="552">
        <f t="shared" si="2496"/>
        <v>0</v>
      </c>
      <c r="BN1101" s="552">
        <f t="shared" si="2496"/>
        <v>0</v>
      </c>
      <c r="BO1101" s="552">
        <f t="shared" si="2496"/>
        <v>0</v>
      </c>
      <c r="BP1101" s="552">
        <f t="shared" si="2496"/>
        <v>0</v>
      </c>
      <c r="BQ1101" s="552">
        <f t="shared" si="2496"/>
        <v>0</v>
      </c>
      <c r="BR1101" s="552">
        <f t="shared" si="2496"/>
        <v>0</v>
      </c>
      <c r="BS1101" s="552">
        <f t="shared" si="2496"/>
        <v>0</v>
      </c>
      <c r="BT1101" s="552">
        <f t="shared" si="2496"/>
        <v>0</v>
      </c>
      <c r="BU1101" s="552">
        <f t="shared" si="2496"/>
        <v>0</v>
      </c>
      <c r="BV1101" s="552">
        <f t="shared" ref="BV1101:DA1101" si="2497">BV141*BV$338</f>
        <v>0</v>
      </c>
      <c r="BW1101" s="552">
        <f t="shared" si="2497"/>
        <v>0</v>
      </c>
      <c r="BX1101" s="552">
        <f t="shared" si="2497"/>
        <v>0</v>
      </c>
      <c r="BY1101" s="552">
        <f t="shared" si="2497"/>
        <v>0</v>
      </c>
      <c r="BZ1101" s="552">
        <f t="shared" si="2497"/>
        <v>0</v>
      </c>
      <c r="CA1101" s="552">
        <f t="shared" si="2497"/>
        <v>0</v>
      </c>
      <c r="CB1101" s="552">
        <f t="shared" si="2497"/>
        <v>0</v>
      </c>
      <c r="CC1101" s="552">
        <f t="shared" si="2497"/>
        <v>0</v>
      </c>
      <c r="CD1101" s="552">
        <f t="shared" si="2497"/>
        <v>0</v>
      </c>
      <c r="CE1101" s="552">
        <f t="shared" si="2497"/>
        <v>0</v>
      </c>
      <c r="CF1101" s="552">
        <f t="shared" si="2497"/>
        <v>0</v>
      </c>
      <c r="CG1101" s="552">
        <f t="shared" si="2497"/>
        <v>0</v>
      </c>
      <c r="CH1101" s="552">
        <f t="shared" si="2497"/>
        <v>0</v>
      </c>
      <c r="CI1101" s="552">
        <f t="shared" si="2497"/>
        <v>0</v>
      </c>
      <c r="CJ1101" s="552">
        <f t="shared" si="2497"/>
        <v>0</v>
      </c>
      <c r="CK1101" s="552">
        <f t="shared" si="2497"/>
        <v>0</v>
      </c>
      <c r="CL1101" s="552">
        <f t="shared" si="2497"/>
        <v>0</v>
      </c>
      <c r="CM1101" s="552">
        <f t="shared" si="2497"/>
        <v>0</v>
      </c>
      <c r="CN1101" s="552">
        <f t="shared" si="2497"/>
        <v>0</v>
      </c>
      <c r="CO1101" s="552">
        <f t="shared" si="2497"/>
        <v>0</v>
      </c>
      <c r="CP1101" s="552">
        <f t="shared" si="2497"/>
        <v>0</v>
      </c>
      <c r="CQ1101" s="552">
        <f t="shared" si="2497"/>
        <v>0</v>
      </c>
      <c r="CR1101" s="552">
        <f t="shared" si="2497"/>
        <v>0</v>
      </c>
      <c r="CS1101" s="552">
        <f t="shared" si="2497"/>
        <v>0</v>
      </c>
      <c r="CT1101" s="552">
        <f t="shared" si="2497"/>
        <v>0</v>
      </c>
      <c r="CU1101" s="552">
        <f t="shared" si="2497"/>
        <v>0</v>
      </c>
      <c r="CV1101" s="552">
        <f t="shared" si="2497"/>
        <v>0</v>
      </c>
      <c r="CW1101" s="552">
        <f t="shared" si="2497"/>
        <v>0</v>
      </c>
      <c r="CX1101" s="552">
        <f t="shared" si="2497"/>
        <v>0</v>
      </c>
      <c r="CY1101" s="552">
        <f t="shared" si="2497"/>
        <v>0</v>
      </c>
      <c r="CZ1101" s="552">
        <f t="shared" si="2497"/>
        <v>1.1399999999999999</v>
      </c>
      <c r="DA1101" s="552">
        <f t="shared" si="2497"/>
        <v>0</v>
      </c>
      <c r="DB1101" s="552">
        <f t="shared" ref="DB1101:EG1101" si="2498">DB141*DB$338</f>
        <v>0</v>
      </c>
      <c r="DC1101" s="552">
        <f t="shared" si="2498"/>
        <v>0</v>
      </c>
      <c r="DD1101" s="552">
        <f t="shared" si="2498"/>
        <v>0</v>
      </c>
      <c r="DE1101" s="552">
        <f t="shared" si="2498"/>
        <v>0</v>
      </c>
      <c r="DF1101" s="552">
        <f t="shared" si="2498"/>
        <v>0</v>
      </c>
      <c r="DG1101" s="552">
        <f t="shared" si="2498"/>
        <v>0</v>
      </c>
      <c r="DH1101" s="552">
        <f t="shared" si="2498"/>
        <v>0</v>
      </c>
      <c r="DI1101" s="552">
        <f t="shared" si="2498"/>
        <v>0</v>
      </c>
      <c r="DJ1101" s="552">
        <f t="shared" si="2498"/>
        <v>0</v>
      </c>
      <c r="DK1101" s="552">
        <f t="shared" si="2498"/>
        <v>0</v>
      </c>
      <c r="DL1101" s="552">
        <f t="shared" si="2498"/>
        <v>0</v>
      </c>
      <c r="DM1101" s="552">
        <f t="shared" si="2498"/>
        <v>0</v>
      </c>
      <c r="DN1101" s="552">
        <f t="shared" si="2498"/>
        <v>0</v>
      </c>
      <c r="DO1101" s="552">
        <f t="shared" si="2498"/>
        <v>0</v>
      </c>
      <c r="DP1101" s="552">
        <f t="shared" si="2498"/>
        <v>0</v>
      </c>
      <c r="DQ1101" s="552">
        <f t="shared" si="2498"/>
        <v>0</v>
      </c>
      <c r="DR1101" s="552">
        <f t="shared" si="2498"/>
        <v>0.45</v>
      </c>
      <c r="DS1101" s="552">
        <f t="shared" si="2498"/>
        <v>0</v>
      </c>
      <c r="DT1101" s="552">
        <f t="shared" si="2498"/>
        <v>0</v>
      </c>
      <c r="DU1101" s="552">
        <f t="shared" si="2498"/>
        <v>0</v>
      </c>
      <c r="DV1101" s="552">
        <f t="shared" si="2498"/>
        <v>0</v>
      </c>
      <c r="DW1101" s="552">
        <f t="shared" si="2498"/>
        <v>0</v>
      </c>
      <c r="DX1101" s="552">
        <f t="shared" si="2498"/>
        <v>0</v>
      </c>
      <c r="DY1101" s="552">
        <f t="shared" si="2498"/>
        <v>0</v>
      </c>
      <c r="DZ1101" s="552">
        <f t="shared" si="2498"/>
        <v>0</v>
      </c>
      <c r="EA1101" s="552">
        <f t="shared" si="2498"/>
        <v>0</v>
      </c>
      <c r="EB1101" s="552">
        <f t="shared" si="2498"/>
        <v>0</v>
      </c>
      <c r="EC1101" s="552">
        <f t="shared" si="2498"/>
        <v>0</v>
      </c>
      <c r="ED1101" s="552">
        <f t="shared" si="2498"/>
        <v>0</v>
      </c>
      <c r="EE1101" s="552">
        <f t="shared" si="2498"/>
        <v>0</v>
      </c>
      <c r="EF1101" s="552">
        <f t="shared" si="2498"/>
        <v>0</v>
      </c>
      <c r="EG1101" s="552">
        <f t="shared" si="2498"/>
        <v>0</v>
      </c>
      <c r="EH1101" s="552">
        <f t="shared" ref="EH1101:EX1101" si="2499">EH141*EH$338</f>
        <v>0</v>
      </c>
      <c r="EI1101" s="552">
        <f t="shared" si="2499"/>
        <v>0</v>
      </c>
      <c r="EJ1101" s="552">
        <f t="shared" si="2499"/>
        <v>0</v>
      </c>
      <c r="EK1101" s="552">
        <f t="shared" si="2499"/>
        <v>0</v>
      </c>
      <c r="EL1101" s="552">
        <f t="shared" si="2499"/>
        <v>0</v>
      </c>
      <c r="EM1101" s="552">
        <f t="shared" si="2499"/>
        <v>0</v>
      </c>
      <c r="EN1101" s="552">
        <f t="shared" si="2499"/>
        <v>0</v>
      </c>
      <c r="EO1101" s="552">
        <f t="shared" si="2499"/>
        <v>0</v>
      </c>
      <c r="EP1101" s="552">
        <f t="shared" si="2499"/>
        <v>0</v>
      </c>
      <c r="EQ1101" s="552">
        <f t="shared" si="2499"/>
        <v>0</v>
      </c>
      <c r="ER1101" s="552">
        <f t="shared" si="2499"/>
        <v>0</v>
      </c>
      <c r="ES1101" s="552">
        <f t="shared" si="2499"/>
        <v>0</v>
      </c>
      <c r="ET1101" s="552">
        <f t="shared" si="2499"/>
        <v>0</v>
      </c>
      <c r="EU1101" s="552">
        <f t="shared" si="2499"/>
        <v>0</v>
      </c>
      <c r="EV1101" s="552">
        <f t="shared" si="2499"/>
        <v>0</v>
      </c>
      <c r="EW1101" s="552">
        <f t="shared" si="2499"/>
        <v>0</v>
      </c>
      <c r="EX1101" s="552">
        <f t="shared" si="2499"/>
        <v>0</v>
      </c>
      <c r="EY1101" s="799">
        <f t="shared" si="2478"/>
        <v>1.59</v>
      </c>
      <c r="EZ1101" s="640"/>
      <c r="FA1101" s="640"/>
      <c r="FB1101" s="640"/>
      <c r="FC1101" s="640"/>
      <c r="FD1101" s="640"/>
      <c r="FE1101" s="640"/>
      <c r="FF1101" s="640"/>
      <c r="FG1101" s="640"/>
      <c r="FH1101" s="640"/>
      <c r="FI1101" s="640"/>
      <c r="FJ1101" s="640"/>
      <c r="FK1101" s="640"/>
      <c r="FL1101" s="640"/>
    </row>
    <row r="1102" spans="1:168" x14ac:dyDescent="0.25">
      <c r="A1102" s="1493"/>
      <c r="B1102" s="624" t="str">
        <f t="shared" si="2471"/>
        <v>Вода питьевая 19 л</v>
      </c>
      <c r="C1102" s="624">
        <f t="shared" si="2471"/>
        <v>500</v>
      </c>
      <c r="D1102" s="624">
        <f t="shared" si="2471"/>
        <v>0</v>
      </c>
      <c r="E1102" s="1158">
        <f t="shared" si="2479"/>
        <v>2.9</v>
      </c>
      <c r="F1102" s="1158"/>
      <c r="G1102" s="1140"/>
      <c r="H1102" s="1140"/>
      <c r="I1102" s="552"/>
      <c r="J1102" s="552">
        <f t="shared" ref="J1102:AO1102" si="2500">J142*J$338</f>
        <v>0</v>
      </c>
      <c r="K1102" s="552">
        <f t="shared" si="2500"/>
        <v>0</v>
      </c>
      <c r="L1102" s="552">
        <f t="shared" si="2500"/>
        <v>0</v>
      </c>
      <c r="M1102" s="552">
        <f t="shared" si="2500"/>
        <v>0</v>
      </c>
      <c r="N1102" s="552">
        <f t="shared" si="2500"/>
        <v>0</v>
      </c>
      <c r="O1102" s="552">
        <f t="shared" si="2500"/>
        <v>0</v>
      </c>
      <c r="P1102" s="552">
        <f t="shared" si="2500"/>
        <v>0</v>
      </c>
      <c r="Q1102" s="552">
        <f t="shared" si="2500"/>
        <v>0</v>
      </c>
      <c r="R1102" s="552">
        <f t="shared" si="2500"/>
        <v>0</v>
      </c>
      <c r="S1102" s="552">
        <f t="shared" si="2500"/>
        <v>0</v>
      </c>
      <c r="T1102" s="552">
        <f t="shared" si="2500"/>
        <v>0</v>
      </c>
      <c r="U1102" s="552">
        <f t="shared" si="2500"/>
        <v>0</v>
      </c>
      <c r="V1102" s="552">
        <f t="shared" si="2500"/>
        <v>0</v>
      </c>
      <c r="W1102" s="552">
        <f t="shared" si="2500"/>
        <v>0</v>
      </c>
      <c r="X1102" s="552">
        <f t="shared" si="2500"/>
        <v>0</v>
      </c>
      <c r="Y1102" s="552">
        <f t="shared" si="2500"/>
        <v>0</v>
      </c>
      <c r="Z1102" s="552">
        <f t="shared" si="2500"/>
        <v>0</v>
      </c>
      <c r="AA1102" s="552">
        <f t="shared" si="2500"/>
        <v>0</v>
      </c>
      <c r="AB1102" s="552">
        <f t="shared" si="2500"/>
        <v>0</v>
      </c>
      <c r="AC1102" s="552">
        <f t="shared" si="2500"/>
        <v>0</v>
      </c>
      <c r="AD1102" s="552">
        <f t="shared" si="2500"/>
        <v>0</v>
      </c>
      <c r="AE1102" s="552">
        <f t="shared" si="2500"/>
        <v>0</v>
      </c>
      <c r="AF1102" s="552">
        <f t="shared" si="2500"/>
        <v>0</v>
      </c>
      <c r="AG1102" s="552">
        <f t="shared" si="2500"/>
        <v>0</v>
      </c>
      <c r="AH1102" s="552">
        <f t="shared" si="2500"/>
        <v>0</v>
      </c>
      <c r="AI1102" s="552">
        <f t="shared" si="2500"/>
        <v>0</v>
      </c>
      <c r="AJ1102" s="552">
        <f t="shared" si="2500"/>
        <v>0</v>
      </c>
      <c r="AK1102" s="552">
        <f t="shared" si="2500"/>
        <v>0</v>
      </c>
      <c r="AL1102" s="552">
        <f t="shared" si="2500"/>
        <v>0</v>
      </c>
      <c r="AM1102" s="552">
        <f t="shared" si="2500"/>
        <v>0</v>
      </c>
      <c r="AN1102" s="552">
        <f t="shared" si="2500"/>
        <v>0</v>
      </c>
      <c r="AO1102" s="552">
        <f t="shared" si="2500"/>
        <v>0</v>
      </c>
      <c r="AP1102" s="552">
        <f t="shared" ref="AP1102:BU1102" si="2501">AP142*AP$338</f>
        <v>0</v>
      </c>
      <c r="AQ1102" s="552">
        <f t="shared" si="2501"/>
        <v>0</v>
      </c>
      <c r="AR1102" s="552">
        <f t="shared" si="2501"/>
        <v>0</v>
      </c>
      <c r="AS1102" s="552">
        <f t="shared" si="2501"/>
        <v>0</v>
      </c>
      <c r="AT1102" s="552">
        <f t="shared" si="2501"/>
        <v>0</v>
      </c>
      <c r="AU1102" s="552">
        <f t="shared" si="2501"/>
        <v>0</v>
      </c>
      <c r="AV1102" s="552">
        <f t="shared" si="2501"/>
        <v>0</v>
      </c>
      <c r="AW1102" s="552">
        <f t="shared" si="2501"/>
        <v>0</v>
      </c>
      <c r="AX1102" s="552">
        <f t="shared" si="2501"/>
        <v>0</v>
      </c>
      <c r="AY1102" s="552">
        <f t="shared" si="2501"/>
        <v>0</v>
      </c>
      <c r="AZ1102" s="552">
        <f t="shared" si="2501"/>
        <v>0</v>
      </c>
      <c r="BA1102" s="552">
        <f t="shared" si="2501"/>
        <v>0</v>
      </c>
      <c r="BB1102" s="552">
        <f t="shared" si="2501"/>
        <v>0</v>
      </c>
      <c r="BC1102" s="552">
        <f t="shared" si="2501"/>
        <v>0</v>
      </c>
      <c r="BD1102" s="552">
        <f t="shared" si="2501"/>
        <v>0</v>
      </c>
      <c r="BE1102" s="552">
        <f t="shared" si="2501"/>
        <v>0</v>
      </c>
      <c r="BF1102" s="552">
        <f t="shared" si="2501"/>
        <v>0</v>
      </c>
      <c r="BG1102" s="552">
        <f t="shared" si="2501"/>
        <v>0</v>
      </c>
      <c r="BH1102" s="552">
        <f t="shared" si="2501"/>
        <v>0</v>
      </c>
      <c r="BI1102" s="552">
        <f t="shared" si="2501"/>
        <v>0</v>
      </c>
      <c r="BJ1102" s="552">
        <f t="shared" si="2501"/>
        <v>0</v>
      </c>
      <c r="BK1102" s="552">
        <f t="shared" si="2501"/>
        <v>0</v>
      </c>
      <c r="BL1102" s="552">
        <f t="shared" si="2501"/>
        <v>0</v>
      </c>
      <c r="BM1102" s="552">
        <f t="shared" si="2501"/>
        <v>0</v>
      </c>
      <c r="BN1102" s="552">
        <f t="shared" si="2501"/>
        <v>0</v>
      </c>
      <c r="BO1102" s="552">
        <f t="shared" si="2501"/>
        <v>0</v>
      </c>
      <c r="BP1102" s="552">
        <f t="shared" si="2501"/>
        <v>0</v>
      </c>
      <c r="BQ1102" s="552">
        <f t="shared" si="2501"/>
        <v>0</v>
      </c>
      <c r="BR1102" s="552">
        <f t="shared" si="2501"/>
        <v>0</v>
      </c>
      <c r="BS1102" s="552">
        <f t="shared" si="2501"/>
        <v>0</v>
      </c>
      <c r="BT1102" s="552">
        <f t="shared" si="2501"/>
        <v>0</v>
      </c>
      <c r="BU1102" s="552">
        <f t="shared" si="2501"/>
        <v>0</v>
      </c>
      <c r="BV1102" s="552">
        <f t="shared" ref="BV1102:DA1102" si="2502">BV142*BV$338</f>
        <v>0</v>
      </c>
      <c r="BW1102" s="552">
        <f t="shared" si="2502"/>
        <v>0</v>
      </c>
      <c r="BX1102" s="552">
        <f t="shared" si="2502"/>
        <v>0</v>
      </c>
      <c r="BY1102" s="552">
        <f t="shared" si="2502"/>
        <v>0</v>
      </c>
      <c r="BZ1102" s="552">
        <f t="shared" si="2502"/>
        <v>0</v>
      </c>
      <c r="CA1102" s="552">
        <f t="shared" si="2502"/>
        <v>0</v>
      </c>
      <c r="CB1102" s="552">
        <f t="shared" si="2502"/>
        <v>0</v>
      </c>
      <c r="CC1102" s="552">
        <f t="shared" si="2502"/>
        <v>0</v>
      </c>
      <c r="CD1102" s="552">
        <f t="shared" si="2502"/>
        <v>0</v>
      </c>
      <c r="CE1102" s="552">
        <f t="shared" si="2502"/>
        <v>0</v>
      </c>
      <c r="CF1102" s="552">
        <f t="shared" si="2502"/>
        <v>0</v>
      </c>
      <c r="CG1102" s="552">
        <f t="shared" si="2502"/>
        <v>0</v>
      </c>
      <c r="CH1102" s="552">
        <f t="shared" si="2502"/>
        <v>0</v>
      </c>
      <c r="CI1102" s="552">
        <f t="shared" si="2502"/>
        <v>0</v>
      </c>
      <c r="CJ1102" s="552">
        <f t="shared" si="2502"/>
        <v>0</v>
      </c>
      <c r="CK1102" s="552">
        <f t="shared" si="2502"/>
        <v>0</v>
      </c>
      <c r="CL1102" s="552">
        <f t="shared" si="2502"/>
        <v>0</v>
      </c>
      <c r="CM1102" s="552">
        <f t="shared" si="2502"/>
        <v>0</v>
      </c>
      <c r="CN1102" s="552">
        <f t="shared" si="2502"/>
        <v>0</v>
      </c>
      <c r="CO1102" s="552">
        <f t="shared" si="2502"/>
        <v>0</v>
      </c>
      <c r="CP1102" s="552">
        <f t="shared" si="2502"/>
        <v>0</v>
      </c>
      <c r="CQ1102" s="552">
        <f t="shared" si="2502"/>
        <v>0</v>
      </c>
      <c r="CR1102" s="552">
        <f t="shared" si="2502"/>
        <v>0</v>
      </c>
      <c r="CS1102" s="552">
        <f t="shared" si="2502"/>
        <v>0</v>
      </c>
      <c r="CT1102" s="552">
        <f t="shared" si="2502"/>
        <v>0</v>
      </c>
      <c r="CU1102" s="552">
        <f t="shared" si="2502"/>
        <v>0</v>
      </c>
      <c r="CV1102" s="552">
        <f t="shared" si="2502"/>
        <v>0</v>
      </c>
      <c r="CW1102" s="552">
        <f t="shared" si="2502"/>
        <v>0</v>
      </c>
      <c r="CX1102" s="552">
        <f t="shared" si="2502"/>
        <v>0</v>
      </c>
      <c r="CY1102" s="552">
        <f t="shared" si="2502"/>
        <v>0</v>
      </c>
      <c r="CZ1102" s="552">
        <f t="shared" si="2502"/>
        <v>0</v>
      </c>
      <c r="DA1102" s="552">
        <f t="shared" si="2502"/>
        <v>0</v>
      </c>
      <c r="DB1102" s="552">
        <f t="shared" ref="DB1102:EG1102" si="2503">DB142*DB$338</f>
        <v>0</v>
      </c>
      <c r="DC1102" s="552">
        <f t="shared" si="2503"/>
        <v>0</v>
      </c>
      <c r="DD1102" s="552">
        <f t="shared" si="2503"/>
        <v>0</v>
      </c>
      <c r="DE1102" s="552">
        <f t="shared" si="2503"/>
        <v>0</v>
      </c>
      <c r="DF1102" s="552">
        <f t="shared" si="2503"/>
        <v>0</v>
      </c>
      <c r="DG1102" s="552">
        <f t="shared" si="2503"/>
        <v>0</v>
      </c>
      <c r="DH1102" s="552">
        <f t="shared" si="2503"/>
        <v>0</v>
      </c>
      <c r="DI1102" s="552">
        <f t="shared" si="2503"/>
        <v>0</v>
      </c>
      <c r="DJ1102" s="552">
        <f t="shared" si="2503"/>
        <v>0</v>
      </c>
      <c r="DK1102" s="552">
        <f t="shared" si="2503"/>
        <v>0</v>
      </c>
      <c r="DL1102" s="552">
        <f t="shared" si="2503"/>
        <v>0</v>
      </c>
      <c r="DM1102" s="552">
        <f t="shared" si="2503"/>
        <v>0</v>
      </c>
      <c r="DN1102" s="552">
        <f t="shared" si="2503"/>
        <v>0</v>
      </c>
      <c r="DO1102" s="552">
        <f t="shared" si="2503"/>
        <v>0</v>
      </c>
      <c r="DP1102" s="552">
        <f t="shared" si="2503"/>
        <v>0</v>
      </c>
      <c r="DQ1102" s="552">
        <f t="shared" si="2503"/>
        <v>0</v>
      </c>
      <c r="DR1102" s="552">
        <f t="shared" si="2503"/>
        <v>0</v>
      </c>
      <c r="DS1102" s="552">
        <f t="shared" si="2503"/>
        <v>0</v>
      </c>
      <c r="DT1102" s="552">
        <f t="shared" si="2503"/>
        <v>0</v>
      </c>
      <c r="DU1102" s="552">
        <f t="shared" si="2503"/>
        <v>0</v>
      </c>
      <c r="DV1102" s="552">
        <f t="shared" si="2503"/>
        <v>0</v>
      </c>
      <c r="DW1102" s="552">
        <f t="shared" si="2503"/>
        <v>0</v>
      </c>
      <c r="DX1102" s="552">
        <f t="shared" si="2503"/>
        <v>0</v>
      </c>
      <c r="DY1102" s="552">
        <f t="shared" si="2503"/>
        <v>0</v>
      </c>
      <c r="DZ1102" s="552">
        <f t="shared" si="2503"/>
        <v>0</v>
      </c>
      <c r="EA1102" s="552">
        <f t="shared" si="2503"/>
        <v>0</v>
      </c>
      <c r="EB1102" s="552">
        <f t="shared" si="2503"/>
        <v>2.9</v>
      </c>
      <c r="EC1102" s="552">
        <f t="shared" si="2503"/>
        <v>0</v>
      </c>
      <c r="ED1102" s="552">
        <f t="shared" si="2503"/>
        <v>0</v>
      </c>
      <c r="EE1102" s="552">
        <f t="shared" si="2503"/>
        <v>0</v>
      </c>
      <c r="EF1102" s="552">
        <f t="shared" si="2503"/>
        <v>0</v>
      </c>
      <c r="EG1102" s="552">
        <f t="shared" si="2503"/>
        <v>0</v>
      </c>
      <c r="EH1102" s="552">
        <f t="shared" ref="EH1102:EX1102" si="2504">EH142*EH$338</f>
        <v>0</v>
      </c>
      <c r="EI1102" s="552">
        <f t="shared" si="2504"/>
        <v>0</v>
      </c>
      <c r="EJ1102" s="552">
        <f t="shared" si="2504"/>
        <v>0</v>
      </c>
      <c r="EK1102" s="552">
        <f t="shared" si="2504"/>
        <v>0</v>
      </c>
      <c r="EL1102" s="552">
        <f t="shared" si="2504"/>
        <v>0</v>
      </c>
      <c r="EM1102" s="552">
        <f t="shared" si="2504"/>
        <v>0</v>
      </c>
      <c r="EN1102" s="552">
        <f t="shared" si="2504"/>
        <v>0</v>
      </c>
      <c r="EO1102" s="552">
        <f t="shared" si="2504"/>
        <v>0</v>
      </c>
      <c r="EP1102" s="552">
        <f t="shared" si="2504"/>
        <v>0</v>
      </c>
      <c r="EQ1102" s="552">
        <f t="shared" si="2504"/>
        <v>0</v>
      </c>
      <c r="ER1102" s="552">
        <f t="shared" si="2504"/>
        <v>0</v>
      </c>
      <c r="ES1102" s="552">
        <f t="shared" si="2504"/>
        <v>0</v>
      </c>
      <c r="ET1102" s="552">
        <f t="shared" si="2504"/>
        <v>0</v>
      </c>
      <c r="EU1102" s="552">
        <f t="shared" si="2504"/>
        <v>0</v>
      </c>
      <c r="EV1102" s="552">
        <f t="shared" si="2504"/>
        <v>0</v>
      </c>
      <c r="EW1102" s="552">
        <f t="shared" si="2504"/>
        <v>0</v>
      </c>
      <c r="EX1102" s="552">
        <f t="shared" si="2504"/>
        <v>0</v>
      </c>
      <c r="EY1102" s="799">
        <f t="shared" si="2478"/>
        <v>2.9</v>
      </c>
      <c r="EZ1102" s="640"/>
      <c r="FA1102" s="640"/>
      <c r="FB1102" s="640"/>
      <c r="FC1102" s="640"/>
      <c r="FD1102" s="640"/>
      <c r="FE1102" s="640"/>
      <c r="FF1102" s="640"/>
      <c r="FG1102" s="640"/>
      <c r="FH1102" s="640"/>
      <c r="FI1102" s="640"/>
      <c r="FJ1102" s="640"/>
      <c r="FK1102" s="640"/>
      <c r="FL1102" s="640"/>
    </row>
    <row r="1103" spans="1:168" s="1034" customFormat="1" x14ac:dyDescent="0.25">
      <c r="A1103" s="1033"/>
      <c r="B1103" s="624">
        <f t="shared" si="2471"/>
        <v>0</v>
      </c>
      <c r="C1103" s="624">
        <f t="shared" si="2471"/>
        <v>0</v>
      </c>
      <c r="D1103" s="624">
        <f t="shared" si="2471"/>
        <v>0</v>
      </c>
      <c r="E1103" s="1158">
        <f t="shared" si="2479"/>
        <v>0</v>
      </c>
      <c r="F1103" s="1158"/>
      <c r="G1103" s="1140"/>
      <c r="H1103" s="1140"/>
      <c r="I1103" s="552"/>
      <c r="J1103" s="552">
        <f t="shared" ref="J1103:AO1103" si="2505">J143*J$338</f>
        <v>0</v>
      </c>
      <c r="K1103" s="552">
        <f t="shared" si="2505"/>
        <v>0</v>
      </c>
      <c r="L1103" s="552">
        <f t="shared" si="2505"/>
        <v>0</v>
      </c>
      <c r="M1103" s="552">
        <f t="shared" si="2505"/>
        <v>0</v>
      </c>
      <c r="N1103" s="552">
        <f t="shared" si="2505"/>
        <v>0</v>
      </c>
      <c r="O1103" s="552">
        <f t="shared" si="2505"/>
        <v>0</v>
      </c>
      <c r="P1103" s="552">
        <f t="shared" si="2505"/>
        <v>0</v>
      </c>
      <c r="Q1103" s="552">
        <f t="shared" si="2505"/>
        <v>0</v>
      </c>
      <c r="R1103" s="552">
        <f t="shared" si="2505"/>
        <v>0</v>
      </c>
      <c r="S1103" s="552">
        <f t="shared" si="2505"/>
        <v>0</v>
      </c>
      <c r="T1103" s="552">
        <f t="shared" si="2505"/>
        <v>0</v>
      </c>
      <c r="U1103" s="552">
        <f t="shared" si="2505"/>
        <v>0</v>
      </c>
      <c r="V1103" s="552">
        <f t="shared" si="2505"/>
        <v>0</v>
      </c>
      <c r="W1103" s="552">
        <f t="shared" si="2505"/>
        <v>0</v>
      </c>
      <c r="X1103" s="552">
        <f t="shared" si="2505"/>
        <v>0</v>
      </c>
      <c r="Y1103" s="552">
        <f t="shared" si="2505"/>
        <v>0</v>
      </c>
      <c r="Z1103" s="552">
        <f t="shared" si="2505"/>
        <v>0</v>
      </c>
      <c r="AA1103" s="552">
        <f t="shared" si="2505"/>
        <v>0</v>
      </c>
      <c r="AB1103" s="552">
        <f t="shared" si="2505"/>
        <v>0</v>
      </c>
      <c r="AC1103" s="552">
        <f t="shared" si="2505"/>
        <v>0</v>
      </c>
      <c r="AD1103" s="552">
        <f t="shared" si="2505"/>
        <v>0</v>
      </c>
      <c r="AE1103" s="552">
        <f t="shared" si="2505"/>
        <v>0</v>
      </c>
      <c r="AF1103" s="552">
        <f t="shared" si="2505"/>
        <v>0</v>
      </c>
      <c r="AG1103" s="552">
        <f t="shared" si="2505"/>
        <v>0</v>
      </c>
      <c r="AH1103" s="552">
        <f t="shared" si="2505"/>
        <v>0</v>
      </c>
      <c r="AI1103" s="552">
        <f t="shared" si="2505"/>
        <v>0</v>
      </c>
      <c r="AJ1103" s="552">
        <f t="shared" si="2505"/>
        <v>0</v>
      </c>
      <c r="AK1103" s="552">
        <f t="shared" si="2505"/>
        <v>0</v>
      </c>
      <c r="AL1103" s="552">
        <f t="shared" si="2505"/>
        <v>0</v>
      </c>
      <c r="AM1103" s="552">
        <f t="shared" si="2505"/>
        <v>0</v>
      </c>
      <c r="AN1103" s="552">
        <f t="shared" si="2505"/>
        <v>0</v>
      </c>
      <c r="AO1103" s="552">
        <f t="shared" si="2505"/>
        <v>0</v>
      </c>
      <c r="AP1103" s="552">
        <f t="shared" ref="AP1103:BU1103" si="2506">AP143*AP$338</f>
        <v>0</v>
      </c>
      <c r="AQ1103" s="552">
        <f t="shared" si="2506"/>
        <v>0</v>
      </c>
      <c r="AR1103" s="552">
        <f t="shared" si="2506"/>
        <v>0</v>
      </c>
      <c r="AS1103" s="552">
        <f t="shared" si="2506"/>
        <v>0</v>
      </c>
      <c r="AT1103" s="552">
        <f t="shared" si="2506"/>
        <v>0</v>
      </c>
      <c r="AU1103" s="552">
        <f t="shared" si="2506"/>
        <v>0</v>
      </c>
      <c r="AV1103" s="552">
        <f t="shared" si="2506"/>
        <v>0</v>
      </c>
      <c r="AW1103" s="552">
        <f t="shared" si="2506"/>
        <v>0</v>
      </c>
      <c r="AX1103" s="552">
        <f t="shared" si="2506"/>
        <v>0</v>
      </c>
      <c r="AY1103" s="552">
        <f t="shared" si="2506"/>
        <v>0</v>
      </c>
      <c r="AZ1103" s="552">
        <f t="shared" si="2506"/>
        <v>0</v>
      </c>
      <c r="BA1103" s="552">
        <f t="shared" si="2506"/>
        <v>0</v>
      </c>
      <c r="BB1103" s="552">
        <f t="shared" si="2506"/>
        <v>0</v>
      </c>
      <c r="BC1103" s="552">
        <f t="shared" si="2506"/>
        <v>0</v>
      </c>
      <c r="BD1103" s="552">
        <f t="shared" si="2506"/>
        <v>0</v>
      </c>
      <c r="BE1103" s="552">
        <f t="shared" si="2506"/>
        <v>0</v>
      </c>
      <c r="BF1103" s="552">
        <f t="shared" si="2506"/>
        <v>0</v>
      </c>
      <c r="BG1103" s="552">
        <f t="shared" si="2506"/>
        <v>0</v>
      </c>
      <c r="BH1103" s="552">
        <f t="shared" si="2506"/>
        <v>0</v>
      </c>
      <c r="BI1103" s="552">
        <f t="shared" si="2506"/>
        <v>0</v>
      </c>
      <c r="BJ1103" s="552">
        <f t="shared" si="2506"/>
        <v>0</v>
      </c>
      <c r="BK1103" s="552">
        <f t="shared" si="2506"/>
        <v>0</v>
      </c>
      <c r="BL1103" s="552">
        <f t="shared" si="2506"/>
        <v>0</v>
      </c>
      <c r="BM1103" s="552">
        <f t="shared" si="2506"/>
        <v>0</v>
      </c>
      <c r="BN1103" s="552">
        <f t="shared" si="2506"/>
        <v>0</v>
      </c>
      <c r="BO1103" s="552">
        <f t="shared" si="2506"/>
        <v>0</v>
      </c>
      <c r="BP1103" s="552">
        <f t="shared" si="2506"/>
        <v>0</v>
      </c>
      <c r="BQ1103" s="552">
        <f t="shared" si="2506"/>
        <v>0</v>
      </c>
      <c r="BR1103" s="552">
        <f t="shared" si="2506"/>
        <v>0</v>
      </c>
      <c r="BS1103" s="552">
        <f t="shared" si="2506"/>
        <v>0</v>
      </c>
      <c r="BT1103" s="552">
        <f t="shared" si="2506"/>
        <v>0</v>
      </c>
      <c r="BU1103" s="552">
        <f t="shared" si="2506"/>
        <v>0</v>
      </c>
      <c r="BV1103" s="552">
        <f t="shared" ref="BV1103:DA1103" si="2507">BV143*BV$338</f>
        <v>0</v>
      </c>
      <c r="BW1103" s="552">
        <f t="shared" si="2507"/>
        <v>0</v>
      </c>
      <c r="BX1103" s="552">
        <f t="shared" si="2507"/>
        <v>0</v>
      </c>
      <c r="BY1103" s="552">
        <f t="shared" si="2507"/>
        <v>0</v>
      </c>
      <c r="BZ1103" s="552">
        <f t="shared" si="2507"/>
        <v>0</v>
      </c>
      <c r="CA1103" s="552">
        <f t="shared" si="2507"/>
        <v>0</v>
      </c>
      <c r="CB1103" s="552">
        <f t="shared" si="2507"/>
        <v>0</v>
      </c>
      <c r="CC1103" s="552">
        <f t="shared" si="2507"/>
        <v>0</v>
      </c>
      <c r="CD1103" s="552">
        <f t="shared" si="2507"/>
        <v>0</v>
      </c>
      <c r="CE1103" s="552">
        <f t="shared" si="2507"/>
        <v>0</v>
      </c>
      <c r="CF1103" s="552">
        <f t="shared" si="2507"/>
        <v>0</v>
      </c>
      <c r="CG1103" s="552">
        <f t="shared" si="2507"/>
        <v>0</v>
      </c>
      <c r="CH1103" s="552">
        <f t="shared" si="2507"/>
        <v>0</v>
      </c>
      <c r="CI1103" s="552">
        <f t="shared" si="2507"/>
        <v>0</v>
      </c>
      <c r="CJ1103" s="552">
        <f t="shared" si="2507"/>
        <v>0</v>
      </c>
      <c r="CK1103" s="552">
        <f t="shared" si="2507"/>
        <v>0</v>
      </c>
      <c r="CL1103" s="552">
        <f t="shared" si="2507"/>
        <v>0</v>
      </c>
      <c r="CM1103" s="552">
        <f t="shared" si="2507"/>
        <v>0</v>
      </c>
      <c r="CN1103" s="552">
        <f t="shared" si="2507"/>
        <v>0</v>
      </c>
      <c r="CO1103" s="552">
        <f t="shared" si="2507"/>
        <v>0</v>
      </c>
      <c r="CP1103" s="552">
        <f t="shared" si="2507"/>
        <v>0</v>
      </c>
      <c r="CQ1103" s="552">
        <f t="shared" si="2507"/>
        <v>0</v>
      </c>
      <c r="CR1103" s="552">
        <f t="shared" si="2507"/>
        <v>0</v>
      </c>
      <c r="CS1103" s="552">
        <f t="shared" si="2507"/>
        <v>0</v>
      </c>
      <c r="CT1103" s="552">
        <f t="shared" si="2507"/>
        <v>0</v>
      </c>
      <c r="CU1103" s="552">
        <f t="shared" si="2507"/>
        <v>0</v>
      </c>
      <c r="CV1103" s="552">
        <f t="shared" si="2507"/>
        <v>0</v>
      </c>
      <c r="CW1103" s="552">
        <f t="shared" si="2507"/>
        <v>0</v>
      </c>
      <c r="CX1103" s="552">
        <f t="shared" si="2507"/>
        <v>0</v>
      </c>
      <c r="CY1103" s="552">
        <f t="shared" si="2507"/>
        <v>0</v>
      </c>
      <c r="CZ1103" s="552">
        <f t="shared" si="2507"/>
        <v>0</v>
      </c>
      <c r="DA1103" s="552">
        <f t="shared" si="2507"/>
        <v>0</v>
      </c>
      <c r="DB1103" s="552">
        <f t="shared" ref="DB1103:EG1103" si="2508">DB143*DB$338</f>
        <v>0</v>
      </c>
      <c r="DC1103" s="552">
        <f t="shared" si="2508"/>
        <v>0</v>
      </c>
      <c r="DD1103" s="552">
        <f t="shared" si="2508"/>
        <v>0</v>
      </c>
      <c r="DE1103" s="552">
        <f t="shared" si="2508"/>
        <v>0</v>
      </c>
      <c r="DF1103" s="552">
        <f t="shared" si="2508"/>
        <v>0</v>
      </c>
      <c r="DG1103" s="552">
        <f t="shared" si="2508"/>
        <v>0</v>
      </c>
      <c r="DH1103" s="552">
        <f t="shared" si="2508"/>
        <v>0</v>
      </c>
      <c r="DI1103" s="552">
        <f t="shared" si="2508"/>
        <v>0</v>
      </c>
      <c r="DJ1103" s="552">
        <f t="shared" si="2508"/>
        <v>0</v>
      </c>
      <c r="DK1103" s="552">
        <f t="shared" si="2508"/>
        <v>0</v>
      </c>
      <c r="DL1103" s="552">
        <f t="shared" si="2508"/>
        <v>0</v>
      </c>
      <c r="DM1103" s="552">
        <f t="shared" si="2508"/>
        <v>0</v>
      </c>
      <c r="DN1103" s="552">
        <f t="shared" si="2508"/>
        <v>0</v>
      </c>
      <c r="DO1103" s="552">
        <f t="shared" si="2508"/>
        <v>0</v>
      </c>
      <c r="DP1103" s="552">
        <f t="shared" si="2508"/>
        <v>0</v>
      </c>
      <c r="DQ1103" s="552">
        <f t="shared" si="2508"/>
        <v>0</v>
      </c>
      <c r="DR1103" s="552">
        <f t="shared" si="2508"/>
        <v>0</v>
      </c>
      <c r="DS1103" s="552">
        <f t="shared" si="2508"/>
        <v>0</v>
      </c>
      <c r="DT1103" s="552">
        <f t="shared" si="2508"/>
        <v>0</v>
      </c>
      <c r="DU1103" s="552">
        <f t="shared" si="2508"/>
        <v>0</v>
      </c>
      <c r="DV1103" s="552">
        <f t="shared" si="2508"/>
        <v>0</v>
      </c>
      <c r="DW1103" s="552">
        <f t="shared" si="2508"/>
        <v>0</v>
      </c>
      <c r="DX1103" s="552">
        <f t="shared" si="2508"/>
        <v>0</v>
      </c>
      <c r="DY1103" s="552">
        <f t="shared" si="2508"/>
        <v>0</v>
      </c>
      <c r="DZ1103" s="552">
        <f t="shared" si="2508"/>
        <v>0</v>
      </c>
      <c r="EA1103" s="552">
        <f t="shared" si="2508"/>
        <v>0</v>
      </c>
      <c r="EB1103" s="552">
        <f t="shared" si="2508"/>
        <v>0</v>
      </c>
      <c r="EC1103" s="552">
        <f t="shared" si="2508"/>
        <v>0</v>
      </c>
      <c r="ED1103" s="552">
        <f t="shared" si="2508"/>
        <v>0</v>
      </c>
      <c r="EE1103" s="552">
        <f t="shared" si="2508"/>
        <v>0</v>
      </c>
      <c r="EF1103" s="552">
        <f t="shared" si="2508"/>
        <v>0</v>
      </c>
      <c r="EG1103" s="552">
        <f t="shared" si="2508"/>
        <v>0</v>
      </c>
      <c r="EH1103" s="552">
        <f t="shared" ref="EH1103:EX1103" si="2509">EH143*EH$338</f>
        <v>0</v>
      </c>
      <c r="EI1103" s="552">
        <f t="shared" si="2509"/>
        <v>0</v>
      </c>
      <c r="EJ1103" s="552">
        <f t="shared" si="2509"/>
        <v>0</v>
      </c>
      <c r="EK1103" s="552">
        <f t="shared" si="2509"/>
        <v>0</v>
      </c>
      <c r="EL1103" s="552">
        <f t="shared" si="2509"/>
        <v>0</v>
      </c>
      <c r="EM1103" s="552">
        <f t="shared" si="2509"/>
        <v>0</v>
      </c>
      <c r="EN1103" s="552">
        <f t="shared" si="2509"/>
        <v>0</v>
      </c>
      <c r="EO1103" s="552">
        <f t="shared" si="2509"/>
        <v>0</v>
      </c>
      <c r="EP1103" s="552">
        <f t="shared" si="2509"/>
        <v>0</v>
      </c>
      <c r="EQ1103" s="552">
        <f t="shared" si="2509"/>
        <v>0</v>
      </c>
      <c r="ER1103" s="552">
        <f t="shared" si="2509"/>
        <v>0</v>
      </c>
      <c r="ES1103" s="552">
        <f t="shared" si="2509"/>
        <v>0</v>
      </c>
      <c r="ET1103" s="552">
        <f t="shared" si="2509"/>
        <v>0</v>
      </c>
      <c r="EU1103" s="552">
        <f t="shared" si="2509"/>
        <v>0</v>
      </c>
      <c r="EV1103" s="552">
        <f t="shared" si="2509"/>
        <v>0</v>
      </c>
      <c r="EW1103" s="552">
        <f t="shared" si="2509"/>
        <v>0</v>
      </c>
      <c r="EX1103" s="552">
        <f t="shared" si="2509"/>
        <v>0</v>
      </c>
      <c r="EY1103" s="799">
        <f t="shared" si="2478"/>
        <v>0</v>
      </c>
      <c r="EZ1103" s="640"/>
      <c r="FA1103" s="640"/>
      <c r="FB1103" s="640"/>
      <c r="FC1103" s="640"/>
      <c r="FD1103" s="640"/>
      <c r="FE1103" s="640"/>
      <c r="FF1103" s="640"/>
      <c r="FG1103" s="640"/>
      <c r="FH1103" s="640"/>
      <c r="FI1103" s="640"/>
      <c r="FJ1103" s="640"/>
      <c r="FK1103" s="640"/>
      <c r="FL1103" s="640"/>
    </row>
    <row r="1104" spans="1:168" s="1034" customFormat="1" x14ac:dyDescent="0.25">
      <c r="A1104" s="1033"/>
      <c r="B1104" s="624">
        <f t="shared" si="2471"/>
        <v>0</v>
      </c>
      <c r="C1104" s="624">
        <f t="shared" si="2471"/>
        <v>0</v>
      </c>
      <c r="D1104" s="624">
        <f t="shared" si="2471"/>
        <v>0</v>
      </c>
      <c r="E1104" s="1158">
        <f t="shared" si="2479"/>
        <v>0</v>
      </c>
      <c r="F1104" s="1158"/>
      <c r="G1104" s="1140"/>
      <c r="H1104" s="1140"/>
      <c r="I1104" s="552"/>
      <c r="J1104" s="552">
        <f t="shared" ref="J1104:AO1104" si="2510">J144*J$338</f>
        <v>0</v>
      </c>
      <c r="K1104" s="552">
        <f t="shared" si="2510"/>
        <v>0</v>
      </c>
      <c r="L1104" s="552">
        <f t="shared" si="2510"/>
        <v>0</v>
      </c>
      <c r="M1104" s="552">
        <f t="shared" si="2510"/>
        <v>0</v>
      </c>
      <c r="N1104" s="552">
        <f t="shared" si="2510"/>
        <v>0</v>
      </c>
      <c r="O1104" s="552">
        <f t="shared" si="2510"/>
        <v>0</v>
      </c>
      <c r="P1104" s="552">
        <f t="shared" si="2510"/>
        <v>0</v>
      </c>
      <c r="Q1104" s="552">
        <f t="shared" si="2510"/>
        <v>0</v>
      </c>
      <c r="R1104" s="552">
        <f t="shared" si="2510"/>
        <v>0</v>
      </c>
      <c r="S1104" s="552">
        <f t="shared" si="2510"/>
        <v>0</v>
      </c>
      <c r="T1104" s="552">
        <f t="shared" si="2510"/>
        <v>0</v>
      </c>
      <c r="U1104" s="552">
        <f t="shared" si="2510"/>
        <v>0</v>
      </c>
      <c r="V1104" s="552">
        <f t="shared" si="2510"/>
        <v>0</v>
      </c>
      <c r="W1104" s="552">
        <f t="shared" si="2510"/>
        <v>0</v>
      </c>
      <c r="X1104" s="552">
        <f t="shared" si="2510"/>
        <v>0</v>
      </c>
      <c r="Y1104" s="552">
        <f t="shared" si="2510"/>
        <v>0</v>
      </c>
      <c r="Z1104" s="552">
        <f t="shared" si="2510"/>
        <v>0</v>
      </c>
      <c r="AA1104" s="552">
        <f t="shared" si="2510"/>
        <v>0</v>
      </c>
      <c r="AB1104" s="552">
        <f t="shared" si="2510"/>
        <v>0</v>
      </c>
      <c r="AC1104" s="552">
        <f t="shared" si="2510"/>
        <v>0</v>
      </c>
      <c r="AD1104" s="552">
        <f t="shared" si="2510"/>
        <v>0</v>
      </c>
      <c r="AE1104" s="552">
        <f t="shared" si="2510"/>
        <v>0</v>
      </c>
      <c r="AF1104" s="552">
        <f t="shared" si="2510"/>
        <v>0</v>
      </c>
      <c r="AG1104" s="552">
        <f t="shared" si="2510"/>
        <v>0</v>
      </c>
      <c r="AH1104" s="552">
        <f t="shared" si="2510"/>
        <v>0</v>
      </c>
      <c r="AI1104" s="552">
        <f t="shared" si="2510"/>
        <v>0</v>
      </c>
      <c r="AJ1104" s="552">
        <f t="shared" si="2510"/>
        <v>0</v>
      </c>
      <c r="AK1104" s="552">
        <f t="shared" si="2510"/>
        <v>0</v>
      </c>
      <c r="AL1104" s="552">
        <f t="shared" si="2510"/>
        <v>0</v>
      </c>
      <c r="AM1104" s="552">
        <f t="shared" si="2510"/>
        <v>0</v>
      </c>
      <c r="AN1104" s="552">
        <f t="shared" si="2510"/>
        <v>0</v>
      </c>
      <c r="AO1104" s="552">
        <f t="shared" si="2510"/>
        <v>0</v>
      </c>
      <c r="AP1104" s="552">
        <f t="shared" ref="AP1104:BU1104" si="2511">AP144*AP$338</f>
        <v>0</v>
      </c>
      <c r="AQ1104" s="552">
        <f t="shared" si="2511"/>
        <v>0</v>
      </c>
      <c r="AR1104" s="552">
        <f t="shared" si="2511"/>
        <v>0</v>
      </c>
      <c r="AS1104" s="552">
        <f t="shared" si="2511"/>
        <v>0</v>
      </c>
      <c r="AT1104" s="552">
        <f t="shared" si="2511"/>
        <v>0</v>
      </c>
      <c r="AU1104" s="552">
        <f t="shared" si="2511"/>
        <v>0</v>
      </c>
      <c r="AV1104" s="552">
        <f t="shared" si="2511"/>
        <v>0</v>
      </c>
      <c r="AW1104" s="552">
        <f t="shared" si="2511"/>
        <v>0</v>
      </c>
      <c r="AX1104" s="552">
        <f t="shared" si="2511"/>
        <v>0</v>
      </c>
      <c r="AY1104" s="552">
        <f t="shared" si="2511"/>
        <v>0</v>
      </c>
      <c r="AZ1104" s="552">
        <f t="shared" si="2511"/>
        <v>0</v>
      </c>
      <c r="BA1104" s="552">
        <f t="shared" si="2511"/>
        <v>0</v>
      </c>
      <c r="BB1104" s="552">
        <f t="shared" si="2511"/>
        <v>0</v>
      </c>
      <c r="BC1104" s="552">
        <f t="shared" si="2511"/>
        <v>0</v>
      </c>
      <c r="BD1104" s="552">
        <f t="shared" si="2511"/>
        <v>0</v>
      </c>
      <c r="BE1104" s="552">
        <f t="shared" si="2511"/>
        <v>0</v>
      </c>
      <c r="BF1104" s="552">
        <f t="shared" si="2511"/>
        <v>0</v>
      </c>
      <c r="BG1104" s="552">
        <f t="shared" si="2511"/>
        <v>0</v>
      </c>
      <c r="BH1104" s="552">
        <f t="shared" si="2511"/>
        <v>0</v>
      </c>
      <c r="BI1104" s="552">
        <f t="shared" si="2511"/>
        <v>0</v>
      </c>
      <c r="BJ1104" s="552">
        <f t="shared" si="2511"/>
        <v>0</v>
      </c>
      <c r="BK1104" s="552">
        <f t="shared" si="2511"/>
        <v>0</v>
      </c>
      <c r="BL1104" s="552">
        <f t="shared" si="2511"/>
        <v>0</v>
      </c>
      <c r="BM1104" s="552">
        <f t="shared" si="2511"/>
        <v>0</v>
      </c>
      <c r="BN1104" s="552">
        <f t="shared" si="2511"/>
        <v>0</v>
      </c>
      <c r="BO1104" s="552">
        <f t="shared" si="2511"/>
        <v>0</v>
      </c>
      <c r="BP1104" s="552">
        <f t="shared" si="2511"/>
        <v>0</v>
      </c>
      <c r="BQ1104" s="552">
        <f t="shared" si="2511"/>
        <v>0</v>
      </c>
      <c r="BR1104" s="552">
        <f t="shared" si="2511"/>
        <v>0</v>
      </c>
      <c r="BS1104" s="552">
        <f t="shared" si="2511"/>
        <v>0</v>
      </c>
      <c r="BT1104" s="552">
        <f t="shared" si="2511"/>
        <v>0</v>
      </c>
      <c r="BU1104" s="552">
        <f t="shared" si="2511"/>
        <v>0</v>
      </c>
      <c r="BV1104" s="552">
        <f t="shared" ref="BV1104:DA1104" si="2512">BV144*BV$338</f>
        <v>0</v>
      </c>
      <c r="BW1104" s="552">
        <f t="shared" si="2512"/>
        <v>0</v>
      </c>
      <c r="BX1104" s="552">
        <f t="shared" si="2512"/>
        <v>0</v>
      </c>
      <c r="BY1104" s="552">
        <f t="shared" si="2512"/>
        <v>0</v>
      </c>
      <c r="BZ1104" s="552">
        <f t="shared" si="2512"/>
        <v>0</v>
      </c>
      <c r="CA1104" s="552">
        <f t="shared" si="2512"/>
        <v>0</v>
      </c>
      <c r="CB1104" s="552">
        <f t="shared" si="2512"/>
        <v>0</v>
      </c>
      <c r="CC1104" s="552">
        <f t="shared" si="2512"/>
        <v>0</v>
      </c>
      <c r="CD1104" s="552">
        <f t="shared" si="2512"/>
        <v>0</v>
      </c>
      <c r="CE1104" s="552">
        <f t="shared" si="2512"/>
        <v>0</v>
      </c>
      <c r="CF1104" s="552">
        <f t="shared" si="2512"/>
        <v>0</v>
      </c>
      <c r="CG1104" s="552">
        <f t="shared" si="2512"/>
        <v>0</v>
      </c>
      <c r="CH1104" s="552">
        <f t="shared" si="2512"/>
        <v>0</v>
      </c>
      <c r="CI1104" s="552">
        <f t="shared" si="2512"/>
        <v>0</v>
      </c>
      <c r="CJ1104" s="552">
        <f t="shared" si="2512"/>
        <v>0</v>
      </c>
      <c r="CK1104" s="552">
        <f t="shared" si="2512"/>
        <v>0</v>
      </c>
      <c r="CL1104" s="552">
        <f t="shared" si="2512"/>
        <v>0</v>
      </c>
      <c r="CM1104" s="552">
        <f t="shared" si="2512"/>
        <v>0</v>
      </c>
      <c r="CN1104" s="552">
        <f t="shared" si="2512"/>
        <v>0</v>
      </c>
      <c r="CO1104" s="552">
        <f t="shared" si="2512"/>
        <v>0</v>
      </c>
      <c r="CP1104" s="552">
        <f t="shared" si="2512"/>
        <v>0</v>
      </c>
      <c r="CQ1104" s="552">
        <f t="shared" si="2512"/>
        <v>0</v>
      </c>
      <c r="CR1104" s="552">
        <f t="shared" si="2512"/>
        <v>0</v>
      </c>
      <c r="CS1104" s="552">
        <f t="shared" si="2512"/>
        <v>0</v>
      </c>
      <c r="CT1104" s="552">
        <f t="shared" si="2512"/>
        <v>0</v>
      </c>
      <c r="CU1104" s="552">
        <f t="shared" si="2512"/>
        <v>0</v>
      </c>
      <c r="CV1104" s="552">
        <f t="shared" si="2512"/>
        <v>0</v>
      </c>
      <c r="CW1104" s="552">
        <f t="shared" si="2512"/>
        <v>0</v>
      </c>
      <c r="CX1104" s="552">
        <f t="shared" si="2512"/>
        <v>0</v>
      </c>
      <c r="CY1104" s="552">
        <f t="shared" si="2512"/>
        <v>0</v>
      </c>
      <c r="CZ1104" s="552">
        <f t="shared" si="2512"/>
        <v>0</v>
      </c>
      <c r="DA1104" s="552">
        <f t="shared" si="2512"/>
        <v>0</v>
      </c>
      <c r="DB1104" s="552">
        <f t="shared" ref="DB1104:EG1104" si="2513">DB144*DB$338</f>
        <v>0</v>
      </c>
      <c r="DC1104" s="552">
        <f t="shared" si="2513"/>
        <v>0</v>
      </c>
      <c r="DD1104" s="552">
        <f t="shared" si="2513"/>
        <v>0</v>
      </c>
      <c r="DE1104" s="552">
        <f t="shared" si="2513"/>
        <v>0</v>
      </c>
      <c r="DF1104" s="552">
        <f t="shared" si="2513"/>
        <v>0</v>
      </c>
      <c r="DG1104" s="552">
        <f t="shared" si="2513"/>
        <v>0</v>
      </c>
      <c r="DH1104" s="552">
        <f t="shared" si="2513"/>
        <v>0</v>
      </c>
      <c r="DI1104" s="552">
        <f t="shared" si="2513"/>
        <v>0</v>
      </c>
      <c r="DJ1104" s="552">
        <f t="shared" si="2513"/>
        <v>0</v>
      </c>
      <c r="DK1104" s="552">
        <f t="shared" si="2513"/>
        <v>0</v>
      </c>
      <c r="DL1104" s="552">
        <f t="shared" si="2513"/>
        <v>0</v>
      </c>
      <c r="DM1104" s="552">
        <f t="shared" si="2513"/>
        <v>0</v>
      </c>
      <c r="DN1104" s="552">
        <f t="shared" si="2513"/>
        <v>0</v>
      </c>
      <c r="DO1104" s="552">
        <f t="shared" si="2513"/>
        <v>0</v>
      </c>
      <c r="DP1104" s="552">
        <f t="shared" si="2513"/>
        <v>0</v>
      </c>
      <c r="DQ1104" s="552">
        <f t="shared" si="2513"/>
        <v>0</v>
      </c>
      <c r="DR1104" s="552">
        <f t="shared" si="2513"/>
        <v>0</v>
      </c>
      <c r="DS1104" s="552">
        <f t="shared" si="2513"/>
        <v>0</v>
      </c>
      <c r="DT1104" s="552">
        <f t="shared" si="2513"/>
        <v>0</v>
      </c>
      <c r="DU1104" s="552">
        <f t="shared" si="2513"/>
        <v>0</v>
      </c>
      <c r="DV1104" s="552">
        <f t="shared" si="2513"/>
        <v>0</v>
      </c>
      <c r="DW1104" s="552">
        <f t="shared" si="2513"/>
        <v>0</v>
      </c>
      <c r="DX1104" s="552">
        <f t="shared" si="2513"/>
        <v>0</v>
      </c>
      <c r="DY1104" s="552">
        <f t="shared" si="2513"/>
        <v>0</v>
      </c>
      <c r="DZ1104" s="552">
        <f t="shared" si="2513"/>
        <v>0</v>
      </c>
      <c r="EA1104" s="552">
        <f t="shared" si="2513"/>
        <v>0</v>
      </c>
      <c r="EB1104" s="552">
        <f t="shared" si="2513"/>
        <v>0</v>
      </c>
      <c r="EC1104" s="552">
        <f t="shared" si="2513"/>
        <v>0</v>
      </c>
      <c r="ED1104" s="552">
        <f t="shared" si="2513"/>
        <v>0</v>
      </c>
      <c r="EE1104" s="552">
        <f t="shared" si="2513"/>
        <v>0</v>
      </c>
      <c r="EF1104" s="552">
        <f t="shared" si="2513"/>
        <v>0</v>
      </c>
      <c r="EG1104" s="552">
        <f t="shared" si="2513"/>
        <v>0</v>
      </c>
      <c r="EH1104" s="552">
        <f t="shared" ref="EH1104:EX1104" si="2514">EH144*EH$338</f>
        <v>0</v>
      </c>
      <c r="EI1104" s="552">
        <f t="shared" si="2514"/>
        <v>0</v>
      </c>
      <c r="EJ1104" s="552">
        <f t="shared" si="2514"/>
        <v>0</v>
      </c>
      <c r="EK1104" s="552">
        <f t="shared" si="2514"/>
        <v>0</v>
      </c>
      <c r="EL1104" s="552">
        <f t="shared" si="2514"/>
        <v>0</v>
      </c>
      <c r="EM1104" s="552">
        <f t="shared" si="2514"/>
        <v>0</v>
      </c>
      <c r="EN1104" s="552">
        <f t="shared" si="2514"/>
        <v>0</v>
      </c>
      <c r="EO1104" s="552">
        <f t="shared" si="2514"/>
        <v>0</v>
      </c>
      <c r="EP1104" s="552">
        <f t="shared" si="2514"/>
        <v>0</v>
      </c>
      <c r="EQ1104" s="552">
        <f t="shared" si="2514"/>
        <v>0</v>
      </c>
      <c r="ER1104" s="552">
        <f t="shared" si="2514"/>
        <v>0</v>
      </c>
      <c r="ES1104" s="552">
        <f t="shared" si="2514"/>
        <v>0</v>
      </c>
      <c r="ET1104" s="552">
        <f t="shared" si="2514"/>
        <v>0</v>
      </c>
      <c r="EU1104" s="552">
        <f t="shared" si="2514"/>
        <v>0</v>
      </c>
      <c r="EV1104" s="552">
        <f t="shared" si="2514"/>
        <v>0</v>
      </c>
      <c r="EW1104" s="552">
        <f t="shared" si="2514"/>
        <v>0</v>
      </c>
      <c r="EX1104" s="552">
        <f t="shared" si="2514"/>
        <v>0</v>
      </c>
      <c r="EY1104" s="799">
        <f t="shared" si="2478"/>
        <v>0</v>
      </c>
      <c r="EZ1104" s="640"/>
      <c r="FA1104" s="640"/>
      <c r="FB1104" s="640"/>
      <c r="FC1104" s="640"/>
      <c r="FD1104" s="640"/>
      <c r="FE1104" s="640"/>
      <c r="FF1104" s="640"/>
      <c r="FG1104" s="640"/>
      <c r="FH1104" s="640"/>
      <c r="FI1104" s="640"/>
      <c r="FJ1104" s="640"/>
      <c r="FK1104" s="640"/>
      <c r="FL1104" s="640"/>
    </row>
    <row r="1105" spans="1:168" s="1034" customFormat="1" x14ac:dyDescent="0.25">
      <c r="A1105" s="1033"/>
      <c r="B1105" s="624">
        <f t="shared" si="2471"/>
        <v>0</v>
      </c>
      <c r="C1105" s="624">
        <f t="shared" si="2471"/>
        <v>0</v>
      </c>
      <c r="D1105" s="624">
        <f t="shared" si="2471"/>
        <v>0</v>
      </c>
      <c r="E1105" s="1158">
        <f t="shared" si="2479"/>
        <v>0</v>
      </c>
      <c r="F1105" s="1158"/>
      <c r="G1105" s="1140"/>
      <c r="H1105" s="1140"/>
      <c r="I1105" s="552"/>
      <c r="J1105" s="552">
        <f t="shared" ref="J1105:AO1105" si="2515">J145*J$338</f>
        <v>0</v>
      </c>
      <c r="K1105" s="552">
        <f t="shared" si="2515"/>
        <v>0</v>
      </c>
      <c r="L1105" s="552">
        <f t="shared" si="2515"/>
        <v>0</v>
      </c>
      <c r="M1105" s="552">
        <f t="shared" si="2515"/>
        <v>0</v>
      </c>
      <c r="N1105" s="552">
        <f t="shared" si="2515"/>
        <v>0</v>
      </c>
      <c r="O1105" s="552">
        <f t="shared" si="2515"/>
        <v>0</v>
      </c>
      <c r="P1105" s="552">
        <f t="shared" si="2515"/>
        <v>0</v>
      </c>
      <c r="Q1105" s="552">
        <f t="shared" si="2515"/>
        <v>0</v>
      </c>
      <c r="R1105" s="552">
        <f t="shared" si="2515"/>
        <v>0</v>
      </c>
      <c r="S1105" s="552">
        <f t="shared" si="2515"/>
        <v>0</v>
      </c>
      <c r="T1105" s="552">
        <f t="shared" si="2515"/>
        <v>0</v>
      </c>
      <c r="U1105" s="552">
        <f t="shared" si="2515"/>
        <v>0</v>
      </c>
      <c r="V1105" s="552">
        <f t="shared" si="2515"/>
        <v>0</v>
      </c>
      <c r="W1105" s="552">
        <f t="shared" si="2515"/>
        <v>0</v>
      </c>
      <c r="X1105" s="552">
        <f t="shared" si="2515"/>
        <v>0</v>
      </c>
      <c r="Y1105" s="552">
        <f t="shared" si="2515"/>
        <v>0</v>
      </c>
      <c r="Z1105" s="552">
        <f t="shared" si="2515"/>
        <v>0</v>
      </c>
      <c r="AA1105" s="552">
        <f t="shared" si="2515"/>
        <v>0</v>
      </c>
      <c r="AB1105" s="552">
        <f t="shared" si="2515"/>
        <v>0</v>
      </c>
      <c r="AC1105" s="552">
        <f t="shared" si="2515"/>
        <v>0</v>
      </c>
      <c r="AD1105" s="552">
        <f t="shared" si="2515"/>
        <v>0</v>
      </c>
      <c r="AE1105" s="552">
        <f t="shared" si="2515"/>
        <v>0</v>
      </c>
      <c r="AF1105" s="552">
        <f t="shared" si="2515"/>
        <v>0</v>
      </c>
      <c r="AG1105" s="552">
        <f t="shared" si="2515"/>
        <v>0</v>
      </c>
      <c r="AH1105" s="552">
        <f t="shared" si="2515"/>
        <v>0</v>
      </c>
      <c r="AI1105" s="552">
        <f t="shared" si="2515"/>
        <v>0</v>
      </c>
      <c r="AJ1105" s="552">
        <f t="shared" si="2515"/>
        <v>0</v>
      </c>
      <c r="AK1105" s="552">
        <f t="shared" si="2515"/>
        <v>0</v>
      </c>
      <c r="AL1105" s="552">
        <f t="shared" si="2515"/>
        <v>0</v>
      </c>
      <c r="AM1105" s="552">
        <f t="shared" si="2515"/>
        <v>0</v>
      </c>
      <c r="AN1105" s="552">
        <f t="shared" si="2515"/>
        <v>0</v>
      </c>
      <c r="AO1105" s="552">
        <f t="shared" si="2515"/>
        <v>0</v>
      </c>
      <c r="AP1105" s="552">
        <f t="shared" ref="AP1105:BU1105" si="2516">AP145*AP$338</f>
        <v>0</v>
      </c>
      <c r="AQ1105" s="552">
        <f t="shared" si="2516"/>
        <v>0</v>
      </c>
      <c r="AR1105" s="552">
        <f t="shared" si="2516"/>
        <v>0</v>
      </c>
      <c r="AS1105" s="552">
        <f t="shared" si="2516"/>
        <v>0</v>
      </c>
      <c r="AT1105" s="552">
        <f t="shared" si="2516"/>
        <v>0</v>
      </c>
      <c r="AU1105" s="552">
        <f t="shared" si="2516"/>
        <v>0</v>
      </c>
      <c r="AV1105" s="552">
        <f t="shared" si="2516"/>
        <v>0</v>
      </c>
      <c r="AW1105" s="552">
        <f t="shared" si="2516"/>
        <v>0</v>
      </c>
      <c r="AX1105" s="552">
        <f t="shared" si="2516"/>
        <v>0</v>
      </c>
      <c r="AY1105" s="552">
        <f t="shared" si="2516"/>
        <v>0</v>
      </c>
      <c r="AZ1105" s="552">
        <f t="shared" si="2516"/>
        <v>0</v>
      </c>
      <c r="BA1105" s="552">
        <f t="shared" si="2516"/>
        <v>0</v>
      </c>
      <c r="BB1105" s="552">
        <f t="shared" si="2516"/>
        <v>0</v>
      </c>
      <c r="BC1105" s="552">
        <f t="shared" si="2516"/>
        <v>0</v>
      </c>
      <c r="BD1105" s="552">
        <f t="shared" si="2516"/>
        <v>0</v>
      </c>
      <c r="BE1105" s="552">
        <f t="shared" si="2516"/>
        <v>0</v>
      </c>
      <c r="BF1105" s="552">
        <f t="shared" si="2516"/>
        <v>0</v>
      </c>
      <c r="BG1105" s="552">
        <f t="shared" si="2516"/>
        <v>0</v>
      </c>
      <c r="BH1105" s="552">
        <f t="shared" si="2516"/>
        <v>0</v>
      </c>
      <c r="BI1105" s="552">
        <f t="shared" si="2516"/>
        <v>0</v>
      </c>
      <c r="BJ1105" s="552">
        <f t="shared" si="2516"/>
        <v>0</v>
      </c>
      <c r="BK1105" s="552">
        <f t="shared" si="2516"/>
        <v>0</v>
      </c>
      <c r="BL1105" s="552">
        <f t="shared" si="2516"/>
        <v>0</v>
      </c>
      <c r="BM1105" s="552">
        <f t="shared" si="2516"/>
        <v>0</v>
      </c>
      <c r="BN1105" s="552">
        <f t="shared" si="2516"/>
        <v>0</v>
      </c>
      <c r="BO1105" s="552">
        <f t="shared" si="2516"/>
        <v>0</v>
      </c>
      <c r="BP1105" s="552">
        <f t="shared" si="2516"/>
        <v>0</v>
      </c>
      <c r="BQ1105" s="552">
        <f t="shared" si="2516"/>
        <v>0</v>
      </c>
      <c r="BR1105" s="552">
        <f t="shared" si="2516"/>
        <v>0</v>
      </c>
      <c r="BS1105" s="552">
        <f t="shared" si="2516"/>
        <v>0</v>
      </c>
      <c r="BT1105" s="552">
        <f t="shared" si="2516"/>
        <v>0</v>
      </c>
      <c r="BU1105" s="552">
        <f t="shared" si="2516"/>
        <v>0</v>
      </c>
      <c r="BV1105" s="552">
        <f t="shared" ref="BV1105:DA1105" si="2517">BV145*BV$338</f>
        <v>0</v>
      </c>
      <c r="BW1105" s="552">
        <f t="shared" si="2517"/>
        <v>0</v>
      </c>
      <c r="BX1105" s="552">
        <f t="shared" si="2517"/>
        <v>0</v>
      </c>
      <c r="BY1105" s="552">
        <f t="shared" si="2517"/>
        <v>0</v>
      </c>
      <c r="BZ1105" s="552">
        <f t="shared" si="2517"/>
        <v>0</v>
      </c>
      <c r="CA1105" s="552">
        <f t="shared" si="2517"/>
        <v>0</v>
      </c>
      <c r="CB1105" s="552">
        <f t="shared" si="2517"/>
        <v>0</v>
      </c>
      <c r="CC1105" s="552">
        <f t="shared" si="2517"/>
        <v>0</v>
      </c>
      <c r="CD1105" s="552">
        <f t="shared" si="2517"/>
        <v>0</v>
      </c>
      <c r="CE1105" s="552">
        <f t="shared" si="2517"/>
        <v>0</v>
      </c>
      <c r="CF1105" s="552">
        <f t="shared" si="2517"/>
        <v>0</v>
      </c>
      <c r="CG1105" s="552">
        <f t="shared" si="2517"/>
        <v>0</v>
      </c>
      <c r="CH1105" s="552">
        <f t="shared" si="2517"/>
        <v>0</v>
      </c>
      <c r="CI1105" s="552">
        <f t="shared" si="2517"/>
        <v>0</v>
      </c>
      <c r="CJ1105" s="552">
        <f t="shared" si="2517"/>
        <v>0</v>
      </c>
      <c r="CK1105" s="552">
        <f t="shared" si="2517"/>
        <v>0</v>
      </c>
      <c r="CL1105" s="552">
        <f t="shared" si="2517"/>
        <v>0</v>
      </c>
      <c r="CM1105" s="552">
        <f t="shared" si="2517"/>
        <v>0</v>
      </c>
      <c r="CN1105" s="552">
        <f t="shared" si="2517"/>
        <v>0</v>
      </c>
      <c r="CO1105" s="552">
        <f t="shared" si="2517"/>
        <v>0</v>
      </c>
      <c r="CP1105" s="552">
        <f t="shared" si="2517"/>
        <v>0</v>
      </c>
      <c r="CQ1105" s="552">
        <f t="shared" si="2517"/>
        <v>0</v>
      </c>
      <c r="CR1105" s="552">
        <f t="shared" si="2517"/>
        <v>0</v>
      </c>
      <c r="CS1105" s="552">
        <f t="shared" si="2517"/>
        <v>0</v>
      </c>
      <c r="CT1105" s="552">
        <f t="shared" si="2517"/>
        <v>0</v>
      </c>
      <c r="CU1105" s="552">
        <f t="shared" si="2517"/>
        <v>0</v>
      </c>
      <c r="CV1105" s="552">
        <f t="shared" si="2517"/>
        <v>0</v>
      </c>
      <c r="CW1105" s="552">
        <f t="shared" si="2517"/>
        <v>0</v>
      </c>
      <c r="CX1105" s="552">
        <f t="shared" si="2517"/>
        <v>0</v>
      </c>
      <c r="CY1105" s="552">
        <f t="shared" si="2517"/>
        <v>0</v>
      </c>
      <c r="CZ1105" s="552">
        <f t="shared" si="2517"/>
        <v>0</v>
      </c>
      <c r="DA1105" s="552">
        <f t="shared" si="2517"/>
        <v>0</v>
      </c>
      <c r="DB1105" s="552">
        <f t="shared" ref="DB1105:EG1105" si="2518">DB145*DB$338</f>
        <v>0</v>
      </c>
      <c r="DC1105" s="552">
        <f t="shared" si="2518"/>
        <v>0</v>
      </c>
      <c r="DD1105" s="552">
        <f t="shared" si="2518"/>
        <v>0</v>
      </c>
      <c r="DE1105" s="552">
        <f t="shared" si="2518"/>
        <v>0</v>
      </c>
      <c r="DF1105" s="552">
        <f t="shared" si="2518"/>
        <v>0</v>
      </c>
      <c r="DG1105" s="552">
        <f t="shared" si="2518"/>
        <v>0</v>
      </c>
      <c r="DH1105" s="552">
        <f t="shared" si="2518"/>
        <v>0</v>
      </c>
      <c r="DI1105" s="552">
        <f t="shared" si="2518"/>
        <v>0</v>
      </c>
      <c r="DJ1105" s="552">
        <f t="shared" si="2518"/>
        <v>0</v>
      </c>
      <c r="DK1105" s="552">
        <f t="shared" si="2518"/>
        <v>0</v>
      </c>
      <c r="DL1105" s="552">
        <f t="shared" si="2518"/>
        <v>0</v>
      </c>
      <c r="DM1105" s="552">
        <f t="shared" si="2518"/>
        <v>0</v>
      </c>
      <c r="DN1105" s="552">
        <f t="shared" si="2518"/>
        <v>0</v>
      </c>
      <c r="DO1105" s="552">
        <f t="shared" si="2518"/>
        <v>0</v>
      </c>
      <c r="DP1105" s="552">
        <f t="shared" si="2518"/>
        <v>0</v>
      </c>
      <c r="DQ1105" s="552">
        <f t="shared" si="2518"/>
        <v>0</v>
      </c>
      <c r="DR1105" s="552">
        <f t="shared" si="2518"/>
        <v>0</v>
      </c>
      <c r="DS1105" s="552">
        <f t="shared" si="2518"/>
        <v>0</v>
      </c>
      <c r="DT1105" s="552">
        <f t="shared" si="2518"/>
        <v>0</v>
      </c>
      <c r="DU1105" s="552">
        <f t="shared" si="2518"/>
        <v>0</v>
      </c>
      <c r="DV1105" s="552">
        <f t="shared" si="2518"/>
        <v>0</v>
      </c>
      <c r="DW1105" s="552">
        <f t="shared" si="2518"/>
        <v>0</v>
      </c>
      <c r="DX1105" s="552">
        <f t="shared" si="2518"/>
        <v>0</v>
      </c>
      <c r="DY1105" s="552">
        <f t="shared" si="2518"/>
        <v>0</v>
      </c>
      <c r="DZ1105" s="552">
        <f t="shared" si="2518"/>
        <v>0</v>
      </c>
      <c r="EA1105" s="552">
        <f t="shared" si="2518"/>
        <v>0</v>
      </c>
      <c r="EB1105" s="552">
        <f t="shared" si="2518"/>
        <v>0</v>
      </c>
      <c r="EC1105" s="552">
        <f t="shared" si="2518"/>
        <v>0</v>
      </c>
      <c r="ED1105" s="552">
        <f t="shared" si="2518"/>
        <v>0</v>
      </c>
      <c r="EE1105" s="552">
        <f t="shared" si="2518"/>
        <v>0</v>
      </c>
      <c r="EF1105" s="552">
        <f t="shared" si="2518"/>
        <v>0</v>
      </c>
      <c r="EG1105" s="552">
        <f t="shared" si="2518"/>
        <v>0</v>
      </c>
      <c r="EH1105" s="552">
        <f t="shared" ref="EH1105:EX1105" si="2519">EH145*EH$338</f>
        <v>0</v>
      </c>
      <c r="EI1105" s="552">
        <f t="shared" si="2519"/>
        <v>0</v>
      </c>
      <c r="EJ1105" s="552">
        <f t="shared" si="2519"/>
        <v>0</v>
      </c>
      <c r="EK1105" s="552">
        <f t="shared" si="2519"/>
        <v>0</v>
      </c>
      <c r="EL1105" s="552">
        <f t="shared" si="2519"/>
        <v>0</v>
      </c>
      <c r="EM1105" s="552">
        <f t="shared" si="2519"/>
        <v>0</v>
      </c>
      <c r="EN1105" s="552">
        <f t="shared" si="2519"/>
        <v>0</v>
      </c>
      <c r="EO1105" s="552">
        <f t="shared" si="2519"/>
        <v>0</v>
      </c>
      <c r="EP1105" s="552">
        <f t="shared" si="2519"/>
        <v>0</v>
      </c>
      <c r="EQ1105" s="552">
        <f t="shared" si="2519"/>
        <v>0</v>
      </c>
      <c r="ER1105" s="552">
        <f t="shared" si="2519"/>
        <v>0</v>
      </c>
      <c r="ES1105" s="552">
        <f t="shared" si="2519"/>
        <v>0</v>
      </c>
      <c r="ET1105" s="552">
        <f t="shared" si="2519"/>
        <v>0</v>
      </c>
      <c r="EU1105" s="552">
        <f t="shared" si="2519"/>
        <v>0</v>
      </c>
      <c r="EV1105" s="552">
        <f t="shared" si="2519"/>
        <v>0</v>
      </c>
      <c r="EW1105" s="552">
        <f t="shared" si="2519"/>
        <v>0</v>
      </c>
      <c r="EX1105" s="552">
        <f t="shared" si="2519"/>
        <v>0</v>
      </c>
      <c r="EY1105" s="799">
        <f t="shared" si="2478"/>
        <v>0</v>
      </c>
      <c r="EZ1105" s="640"/>
      <c r="FA1105" s="640"/>
      <c r="FB1105" s="640"/>
      <c r="FC1105" s="640"/>
      <c r="FD1105" s="640"/>
      <c r="FE1105" s="640"/>
      <c r="FF1105" s="640"/>
      <c r="FG1105" s="640"/>
      <c r="FH1105" s="640"/>
      <c r="FI1105" s="640"/>
      <c r="FJ1105" s="640"/>
      <c r="FK1105" s="640"/>
      <c r="FL1105" s="640"/>
    </row>
    <row r="1106" spans="1:168" x14ac:dyDescent="0.25">
      <c r="A1106" s="254"/>
      <c r="B1106" s="625" t="s">
        <v>111</v>
      </c>
      <c r="C1106" s="1135"/>
      <c r="D1106" s="1138">
        <f>SUM(D1097:D1105)</f>
        <v>13.01</v>
      </c>
      <c r="E1106" s="1138">
        <f t="shared" ref="E1106:J1106" si="2520">SUM(E1097:E1105)</f>
        <v>43.21</v>
      </c>
      <c r="F1106" s="1138"/>
      <c r="G1106" s="1138">
        <f t="shared" si="2520"/>
        <v>0</v>
      </c>
      <c r="H1106" s="1138">
        <f t="shared" si="2520"/>
        <v>0</v>
      </c>
      <c r="I1106" s="554"/>
      <c r="J1106" s="1138">
        <f t="shared" si="2520"/>
        <v>0</v>
      </c>
      <c r="K1106" s="1138">
        <f t="shared" ref="K1106" si="2521">SUM(K1097:K1105)</f>
        <v>0</v>
      </c>
      <c r="L1106" s="1138">
        <f t="shared" ref="L1106" si="2522">SUM(L1097:L1105)</f>
        <v>0</v>
      </c>
      <c r="M1106" s="1138">
        <f t="shared" ref="M1106" si="2523">SUM(M1097:M1105)</f>
        <v>0</v>
      </c>
      <c r="N1106" s="1138">
        <f t="shared" ref="N1106" si="2524">SUM(N1097:N1105)</f>
        <v>0</v>
      </c>
      <c r="O1106" s="1138">
        <f t="shared" ref="O1106" si="2525">SUM(O1097:O1105)</f>
        <v>0</v>
      </c>
      <c r="P1106" s="1138">
        <f t="shared" ref="P1106" si="2526">SUM(P1097:P1105)</f>
        <v>0</v>
      </c>
      <c r="Q1106" s="1138">
        <f t="shared" ref="Q1106" si="2527">SUM(Q1097:Q1105)</f>
        <v>0</v>
      </c>
      <c r="R1106" s="1138">
        <f t="shared" ref="R1106" si="2528">SUM(R1097:R1105)</f>
        <v>0</v>
      </c>
      <c r="S1106" s="1138">
        <f t="shared" ref="S1106" si="2529">SUM(S1097:S1105)</f>
        <v>0</v>
      </c>
      <c r="T1106" s="1138">
        <f t="shared" ref="T1106" si="2530">SUM(T1097:T1105)</f>
        <v>0</v>
      </c>
      <c r="U1106" s="1138">
        <f t="shared" ref="U1106" si="2531">SUM(U1097:U1105)</f>
        <v>10.24</v>
      </c>
      <c r="V1106" s="1138">
        <f t="shared" ref="V1106" si="2532">SUM(V1097:V1105)</f>
        <v>11.36</v>
      </c>
      <c r="W1106" s="1138">
        <f t="shared" ref="W1106" si="2533">SUM(W1097:W1105)</f>
        <v>11.5</v>
      </c>
      <c r="X1106" s="1138">
        <f t="shared" ref="X1106" si="2534">SUM(X1097:X1105)</f>
        <v>0</v>
      </c>
      <c r="Y1106" s="1138">
        <f t="shared" ref="Y1106" si="2535">SUM(Y1097:Y1105)</f>
        <v>0</v>
      </c>
      <c r="Z1106" s="1138">
        <f t="shared" ref="Z1106" si="2536">SUM(Z1097:Z1105)</f>
        <v>0</v>
      </c>
      <c r="AA1106" s="1138">
        <f t="shared" ref="AA1106" si="2537">SUM(AA1097:AA1105)</f>
        <v>0</v>
      </c>
      <c r="AB1106" s="1138">
        <f t="shared" ref="AB1106" si="2538">SUM(AB1097:AB1105)</f>
        <v>0</v>
      </c>
      <c r="AC1106" s="1138">
        <f t="shared" ref="AC1106" si="2539">SUM(AC1097:AC1105)</f>
        <v>0</v>
      </c>
      <c r="AD1106" s="1138">
        <f t="shared" ref="AD1106" si="2540">SUM(AD1097:AD1105)</f>
        <v>0</v>
      </c>
      <c r="AE1106" s="1138">
        <f t="shared" ref="AE1106" si="2541">SUM(AE1097:AE1105)</f>
        <v>0</v>
      </c>
      <c r="AF1106" s="1138">
        <f t="shared" ref="AF1106" si="2542">SUM(AF1097:AF1105)</f>
        <v>0</v>
      </c>
      <c r="AG1106" s="1138">
        <f t="shared" ref="AG1106" si="2543">SUM(AG1097:AG1105)</f>
        <v>0</v>
      </c>
      <c r="AH1106" s="1138">
        <f t="shared" ref="AH1106" si="2544">SUM(AH1097:AH1105)</f>
        <v>0</v>
      </c>
      <c r="AI1106" s="1138">
        <f t="shared" ref="AI1106" si="2545">SUM(AI1097:AI1105)</f>
        <v>0</v>
      </c>
      <c r="AJ1106" s="1138">
        <f t="shared" ref="AJ1106" si="2546">SUM(AJ1097:AJ1105)</f>
        <v>0</v>
      </c>
      <c r="AK1106" s="1138">
        <f t="shared" ref="AK1106" si="2547">SUM(AK1097:AK1105)</f>
        <v>0</v>
      </c>
      <c r="AL1106" s="1138">
        <f t="shared" ref="AL1106" si="2548">SUM(AL1097:AL1105)</f>
        <v>0</v>
      </c>
      <c r="AM1106" s="1138">
        <f t="shared" ref="AM1106" si="2549">SUM(AM1097:AM1105)</f>
        <v>0</v>
      </c>
      <c r="AN1106" s="1138">
        <f t="shared" ref="AN1106" si="2550">SUM(AN1097:AN1105)</f>
        <v>0</v>
      </c>
      <c r="AO1106" s="1138">
        <f t="shared" ref="AO1106" si="2551">SUM(AO1097:AO1105)</f>
        <v>0</v>
      </c>
      <c r="AP1106" s="1138">
        <f t="shared" ref="AP1106" si="2552">SUM(AP1097:AP1105)</f>
        <v>0</v>
      </c>
      <c r="AQ1106" s="1138">
        <f t="shared" ref="AQ1106" si="2553">SUM(AQ1097:AQ1105)</f>
        <v>0</v>
      </c>
      <c r="AR1106" s="1138">
        <f t="shared" ref="AR1106" si="2554">SUM(AR1097:AR1105)</f>
        <v>0</v>
      </c>
      <c r="AS1106" s="1138">
        <f t="shared" ref="AS1106" si="2555">SUM(AS1097:AS1105)</f>
        <v>0</v>
      </c>
      <c r="AT1106" s="1138">
        <f t="shared" ref="AT1106" si="2556">SUM(AT1097:AT1105)</f>
        <v>0</v>
      </c>
      <c r="AU1106" s="1138">
        <f t="shared" ref="AU1106" si="2557">SUM(AU1097:AU1105)</f>
        <v>0</v>
      </c>
      <c r="AV1106" s="1138">
        <f t="shared" ref="AV1106" si="2558">SUM(AV1097:AV1105)</f>
        <v>0</v>
      </c>
      <c r="AW1106" s="1138">
        <f t="shared" ref="AW1106" si="2559">SUM(AW1097:AW1105)</f>
        <v>0</v>
      </c>
      <c r="AX1106" s="1138">
        <f t="shared" ref="AX1106" si="2560">SUM(AX1097:AX1105)</f>
        <v>0</v>
      </c>
      <c r="AY1106" s="1138">
        <f t="shared" ref="AY1106" si="2561">SUM(AY1097:AY1105)</f>
        <v>0</v>
      </c>
      <c r="AZ1106" s="1138">
        <f t="shared" ref="AZ1106" si="2562">SUM(AZ1097:AZ1105)</f>
        <v>0</v>
      </c>
      <c r="BA1106" s="1138">
        <f t="shared" ref="BA1106" si="2563">SUM(BA1097:BA1105)</f>
        <v>0</v>
      </c>
      <c r="BB1106" s="1138">
        <f t="shared" ref="BB1106" si="2564">SUM(BB1097:BB1105)</f>
        <v>0</v>
      </c>
      <c r="BC1106" s="1138">
        <f t="shared" ref="BC1106" si="2565">SUM(BC1097:BC1105)</f>
        <v>0</v>
      </c>
      <c r="BD1106" s="1138">
        <f t="shared" ref="BD1106" si="2566">SUM(BD1097:BD1105)</f>
        <v>0</v>
      </c>
      <c r="BE1106" s="1138">
        <f t="shared" ref="BE1106" si="2567">SUM(BE1097:BE1105)</f>
        <v>0</v>
      </c>
      <c r="BF1106" s="1138">
        <f t="shared" ref="BF1106" si="2568">SUM(BF1097:BF1105)</f>
        <v>0</v>
      </c>
      <c r="BG1106" s="1138">
        <f t="shared" ref="BG1106" si="2569">SUM(BG1097:BG1105)</f>
        <v>0</v>
      </c>
      <c r="BH1106" s="1138">
        <f t="shared" ref="BH1106" si="2570">SUM(BH1097:BH1105)</f>
        <v>0</v>
      </c>
      <c r="BI1106" s="1138">
        <f t="shared" ref="BI1106" si="2571">SUM(BI1097:BI1105)</f>
        <v>0</v>
      </c>
      <c r="BJ1106" s="1138">
        <f t="shared" ref="BJ1106" si="2572">SUM(BJ1097:BJ1105)</f>
        <v>0</v>
      </c>
      <c r="BK1106" s="1138">
        <f t="shared" ref="BK1106" si="2573">SUM(BK1097:BK1105)</f>
        <v>0</v>
      </c>
      <c r="BL1106" s="1138">
        <f t="shared" ref="BL1106" si="2574">SUM(BL1097:BL1105)</f>
        <v>0</v>
      </c>
      <c r="BM1106" s="1138">
        <f t="shared" ref="BM1106" si="2575">SUM(BM1097:BM1105)</f>
        <v>0</v>
      </c>
      <c r="BN1106" s="1138">
        <f t="shared" ref="BN1106" si="2576">SUM(BN1097:BN1105)</f>
        <v>0</v>
      </c>
      <c r="BO1106" s="1138">
        <f t="shared" ref="BO1106" si="2577">SUM(BO1097:BO1105)</f>
        <v>0</v>
      </c>
      <c r="BP1106" s="1138">
        <f t="shared" ref="BP1106" si="2578">SUM(BP1097:BP1105)</f>
        <v>0</v>
      </c>
      <c r="BQ1106" s="1138">
        <f t="shared" ref="BQ1106" si="2579">SUM(BQ1097:BQ1105)</f>
        <v>0</v>
      </c>
      <c r="BR1106" s="1138">
        <f t="shared" ref="BR1106" si="2580">SUM(BR1097:BR1105)</f>
        <v>0</v>
      </c>
      <c r="BS1106" s="1138">
        <f t="shared" ref="BS1106" si="2581">SUM(BS1097:BS1105)</f>
        <v>0</v>
      </c>
      <c r="BT1106" s="1138">
        <f t="shared" ref="BT1106" si="2582">SUM(BT1097:BT1105)</f>
        <v>0</v>
      </c>
      <c r="BU1106" s="1138">
        <f t="shared" ref="BU1106" si="2583">SUM(BU1097:BU1105)</f>
        <v>0</v>
      </c>
      <c r="BV1106" s="1138">
        <f t="shared" ref="BV1106" si="2584">SUM(BV1097:BV1105)</f>
        <v>0</v>
      </c>
      <c r="BW1106" s="1138">
        <f t="shared" ref="BW1106" si="2585">SUM(BW1097:BW1105)</f>
        <v>0</v>
      </c>
      <c r="BX1106" s="1138">
        <f t="shared" ref="BX1106" si="2586">SUM(BX1097:BX1105)</f>
        <v>0</v>
      </c>
      <c r="BY1106" s="1138">
        <f t="shared" ref="BY1106" si="2587">SUM(BY1097:BY1105)</f>
        <v>0</v>
      </c>
      <c r="BZ1106" s="1138">
        <f t="shared" ref="BZ1106" si="2588">SUM(BZ1097:BZ1105)</f>
        <v>0</v>
      </c>
      <c r="CA1106" s="1138">
        <f t="shared" ref="CA1106" si="2589">SUM(CA1097:CA1105)</f>
        <v>0.84</v>
      </c>
      <c r="CB1106" s="1138">
        <f t="shared" ref="CB1106" si="2590">SUM(CB1097:CB1105)</f>
        <v>1.86</v>
      </c>
      <c r="CC1106" s="1138">
        <f t="shared" ref="CC1106" si="2591">SUM(CC1097:CC1105)</f>
        <v>0</v>
      </c>
      <c r="CD1106" s="1138">
        <f t="shared" ref="CD1106" si="2592">SUM(CD1097:CD1105)</f>
        <v>0</v>
      </c>
      <c r="CE1106" s="1138">
        <f t="shared" ref="CE1106" si="2593">SUM(CE1097:CE1105)</f>
        <v>0</v>
      </c>
      <c r="CF1106" s="1138">
        <f t="shared" ref="CF1106" si="2594">SUM(CF1097:CF1105)</f>
        <v>0</v>
      </c>
      <c r="CG1106" s="1138">
        <f t="shared" ref="CG1106" si="2595">SUM(CG1097:CG1105)</f>
        <v>0</v>
      </c>
      <c r="CH1106" s="1138">
        <f t="shared" ref="CH1106" si="2596">SUM(CH1097:CH1105)</f>
        <v>0</v>
      </c>
      <c r="CI1106" s="1138">
        <f t="shared" ref="CI1106" si="2597">SUM(CI1097:CI1105)</f>
        <v>0</v>
      </c>
      <c r="CJ1106" s="1138">
        <f t="shared" ref="CJ1106" si="2598">SUM(CJ1097:CJ1105)</f>
        <v>0</v>
      </c>
      <c r="CK1106" s="1138">
        <f t="shared" ref="CK1106" si="2599">SUM(CK1097:CK1105)</f>
        <v>0</v>
      </c>
      <c r="CL1106" s="1138">
        <f t="shared" ref="CL1106" si="2600">SUM(CL1097:CL1105)</f>
        <v>0</v>
      </c>
      <c r="CM1106" s="1138">
        <f t="shared" ref="CM1106" si="2601">SUM(CM1097:CM1105)</f>
        <v>0</v>
      </c>
      <c r="CN1106" s="1138">
        <f t="shared" ref="CN1106" si="2602">SUM(CN1097:CN1105)</f>
        <v>0</v>
      </c>
      <c r="CO1106" s="1138">
        <f t="shared" ref="CO1106" si="2603">SUM(CO1097:CO1105)</f>
        <v>0</v>
      </c>
      <c r="CP1106" s="1138">
        <f t="shared" ref="CP1106" si="2604">SUM(CP1097:CP1105)</f>
        <v>0</v>
      </c>
      <c r="CQ1106" s="1138">
        <f t="shared" ref="CQ1106" si="2605">SUM(CQ1097:CQ1105)</f>
        <v>0</v>
      </c>
      <c r="CR1106" s="1138">
        <f t="shared" ref="CR1106" si="2606">SUM(CR1097:CR1105)</f>
        <v>0</v>
      </c>
      <c r="CS1106" s="1138">
        <f t="shared" ref="CS1106" si="2607">SUM(CS1097:CS1105)</f>
        <v>0</v>
      </c>
      <c r="CT1106" s="1138">
        <f t="shared" ref="CT1106" si="2608">SUM(CT1097:CT1105)</f>
        <v>0</v>
      </c>
      <c r="CU1106" s="1138">
        <f t="shared" ref="CU1106" si="2609">SUM(CU1097:CU1105)</f>
        <v>0</v>
      </c>
      <c r="CV1106" s="1138">
        <f t="shared" ref="CV1106" si="2610">SUM(CV1097:CV1105)</f>
        <v>0</v>
      </c>
      <c r="CW1106" s="1138">
        <f t="shared" ref="CW1106" si="2611">SUM(CW1097:CW1105)</f>
        <v>0</v>
      </c>
      <c r="CX1106" s="1138">
        <f t="shared" ref="CX1106" si="2612">SUM(CX1097:CX1105)</f>
        <v>0</v>
      </c>
      <c r="CY1106" s="1138">
        <f t="shared" ref="CY1106" si="2613">SUM(CY1097:CY1105)</f>
        <v>0</v>
      </c>
      <c r="CZ1106" s="1138">
        <f t="shared" ref="CZ1106" si="2614">SUM(CZ1097:CZ1105)</f>
        <v>1.44</v>
      </c>
      <c r="DA1106" s="1138">
        <f t="shared" ref="DA1106" si="2615">SUM(DA1097:DA1105)</f>
        <v>0</v>
      </c>
      <c r="DB1106" s="1138">
        <f t="shared" ref="DB1106" si="2616">SUM(DB1097:DB1105)</f>
        <v>0</v>
      </c>
      <c r="DC1106" s="1138">
        <f t="shared" ref="DC1106" si="2617">SUM(DC1097:DC1105)</f>
        <v>0.02</v>
      </c>
      <c r="DD1106" s="1138">
        <f t="shared" ref="DD1106" si="2618">SUM(DD1097:DD1105)</f>
        <v>0</v>
      </c>
      <c r="DE1106" s="1138">
        <f t="shared" ref="DE1106" si="2619">SUM(DE1097:DE1105)</f>
        <v>0</v>
      </c>
      <c r="DF1106" s="1138">
        <f t="shared" ref="DF1106" si="2620">SUM(DF1097:DF1105)</f>
        <v>0</v>
      </c>
      <c r="DG1106" s="1138">
        <f t="shared" ref="DG1106" si="2621">SUM(DG1097:DG1105)</f>
        <v>0</v>
      </c>
      <c r="DH1106" s="1138">
        <f t="shared" ref="DH1106" si="2622">SUM(DH1097:DH1105)</f>
        <v>0</v>
      </c>
      <c r="DI1106" s="1138">
        <f t="shared" ref="DI1106" si="2623">SUM(DI1097:DI1105)</f>
        <v>0</v>
      </c>
      <c r="DJ1106" s="1138">
        <f t="shared" ref="DJ1106" si="2624">SUM(DJ1097:DJ1105)</f>
        <v>0</v>
      </c>
      <c r="DK1106" s="1138">
        <f t="shared" ref="DK1106" si="2625">SUM(DK1097:DK1105)</f>
        <v>0</v>
      </c>
      <c r="DL1106" s="1138">
        <f t="shared" ref="DL1106" si="2626">SUM(DL1097:DL1105)</f>
        <v>0</v>
      </c>
      <c r="DM1106" s="1138">
        <f t="shared" ref="DM1106" si="2627">SUM(DM1097:DM1105)</f>
        <v>0</v>
      </c>
      <c r="DN1106" s="1138">
        <f t="shared" ref="DN1106" si="2628">SUM(DN1097:DN1105)</f>
        <v>0</v>
      </c>
      <c r="DO1106" s="1138">
        <f t="shared" ref="DO1106" si="2629">SUM(DO1097:DO1105)</f>
        <v>0</v>
      </c>
      <c r="DP1106" s="1138">
        <f t="shared" ref="DP1106" si="2630">SUM(DP1097:DP1105)</f>
        <v>0</v>
      </c>
      <c r="DQ1106" s="1138">
        <f t="shared" ref="DQ1106" si="2631">SUM(DQ1097:DQ1105)</f>
        <v>0</v>
      </c>
      <c r="DR1106" s="1138">
        <f t="shared" ref="DR1106" si="2632">SUM(DR1097:DR1105)</f>
        <v>0.45</v>
      </c>
      <c r="DS1106" s="1138">
        <f t="shared" ref="DS1106" si="2633">SUM(DS1097:DS1105)</f>
        <v>0</v>
      </c>
      <c r="DT1106" s="1138">
        <f t="shared" ref="DT1106" si="2634">SUM(DT1097:DT1105)</f>
        <v>0</v>
      </c>
      <c r="DU1106" s="1138">
        <f t="shared" ref="DU1106" si="2635">SUM(DU1097:DU1105)</f>
        <v>0</v>
      </c>
      <c r="DV1106" s="1138">
        <f t="shared" ref="DV1106" si="2636">SUM(DV1097:DV1105)</f>
        <v>0</v>
      </c>
      <c r="DW1106" s="1138">
        <f t="shared" ref="DW1106" si="2637">SUM(DW1097:DW1105)</f>
        <v>0</v>
      </c>
      <c r="DX1106" s="1138">
        <f t="shared" ref="DX1106" si="2638">SUM(DX1097:DX1105)</f>
        <v>0</v>
      </c>
      <c r="DY1106" s="1138">
        <f t="shared" ref="DY1106" si="2639">SUM(DY1097:DY1105)</f>
        <v>0</v>
      </c>
      <c r="DZ1106" s="1138">
        <f t="shared" ref="DZ1106" si="2640">SUM(DZ1097:DZ1105)</f>
        <v>0</v>
      </c>
      <c r="EA1106" s="1138">
        <f t="shared" ref="EA1106" si="2641">SUM(EA1097:EA1105)</f>
        <v>0</v>
      </c>
      <c r="EB1106" s="1138">
        <f t="shared" ref="EB1106" si="2642">SUM(EB1097:EB1105)</f>
        <v>2.9</v>
      </c>
      <c r="EC1106" s="1138">
        <f t="shared" ref="EC1106" si="2643">SUM(EC1097:EC1105)</f>
        <v>0</v>
      </c>
      <c r="ED1106" s="1138">
        <f t="shared" ref="ED1106" si="2644">SUM(ED1097:ED1105)</f>
        <v>0</v>
      </c>
      <c r="EE1106" s="1138">
        <f t="shared" ref="EE1106" si="2645">SUM(EE1097:EE1105)</f>
        <v>0</v>
      </c>
      <c r="EF1106" s="1138">
        <f t="shared" ref="EF1106" si="2646">SUM(EF1097:EF1105)</f>
        <v>0</v>
      </c>
      <c r="EG1106" s="1138">
        <f t="shared" ref="EG1106" si="2647">SUM(EG1097:EG1105)</f>
        <v>0</v>
      </c>
      <c r="EH1106" s="1138">
        <f t="shared" ref="EH1106" si="2648">SUM(EH1097:EH1105)</f>
        <v>0</v>
      </c>
      <c r="EI1106" s="1138">
        <f t="shared" ref="EI1106" si="2649">SUM(EI1097:EI1105)</f>
        <v>0</v>
      </c>
      <c r="EJ1106" s="1138">
        <f t="shared" ref="EJ1106" si="2650">SUM(EJ1097:EJ1105)</f>
        <v>0</v>
      </c>
      <c r="EK1106" s="1138">
        <f t="shared" ref="EK1106" si="2651">SUM(EK1097:EK1105)</f>
        <v>0</v>
      </c>
      <c r="EL1106" s="1138">
        <f t="shared" ref="EL1106" si="2652">SUM(EL1097:EL1105)</f>
        <v>0</v>
      </c>
      <c r="EM1106" s="1138">
        <f t="shared" ref="EM1106" si="2653">SUM(EM1097:EM1105)</f>
        <v>0</v>
      </c>
      <c r="EN1106" s="1138">
        <f t="shared" ref="EN1106" si="2654">SUM(EN1097:EN1105)</f>
        <v>0</v>
      </c>
      <c r="EO1106" s="1138">
        <f t="shared" ref="EO1106" si="2655">SUM(EO1097:EO1105)</f>
        <v>0</v>
      </c>
      <c r="EP1106" s="1138">
        <f t="shared" ref="EP1106" si="2656">SUM(EP1097:EP1105)</f>
        <v>0</v>
      </c>
      <c r="EQ1106" s="1138">
        <f t="shared" ref="EQ1106" si="2657">SUM(EQ1097:EQ1105)</f>
        <v>0</v>
      </c>
      <c r="ER1106" s="1138">
        <f t="shared" ref="ER1106" si="2658">SUM(ER1097:ER1105)</f>
        <v>0</v>
      </c>
      <c r="ES1106" s="1138">
        <f t="shared" ref="ES1106" si="2659">SUM(ES1097:ES1105)</f>
        <v>0</v>
      </c>
      <c r="ET1106" s="1138">
        <f t="shared" ref="ET1106" si="2660">SUM(ET1097:ET1105)</f>
        <v>0</v>
      </c>
      <c r="EU1106" s="1138">
        <f t="shared" ref="EU1106" si="2661">SUM(EU1097:EU1105)</f>
        <v>0</v>
      </c>
      <c r="EV1106" s="1138">
        <f t="shared" ref="EV1106" si="2662">SUM(EV1097:EV1105)</f>
        <v>0</v>
      </c>
      <c r="EW1106" s="1138">
        <f t="shared" ref="EW1106" si="2663">SUM(EW1097:EW1105)</f>
        <v>2.6</v>
      </c>
      <c r="EX1106" s="1138">
        <f t="shared" ref="EX1106:FL1106" si="2664">SUM(EX1097:EX1105)</f>
        <v>0</v>
      </c>
      <c r="EY1106" s="1138">
        <f t="shared" si="2664"/>
        <v>43.21</v>
      </c>
      <c r="EZ1106" s="1138">
        <f t="shared" si="2664"/>
        <v>0</v>
      </c>
      <c r="FA1106" s="1138">
        <f t="shared" si="2664"/>
        <v>0</v>
      </c>
      <c r="FB1106" s="1138">
        <f t="shared" si="2664"/>
        <v>0</v>
      </c>
      <c r="FC1106" s="1138">
        <f t="shared" si="2664"/>
        <v>0</v>
      </c>
      <c r="FD1106" s="1138">
        <f t="shared" si="2664"/>
        <v>0</v>
      </c>
      <c r="FE1106" s="1138">
        <f t="shared" si="2664"/>
        <v>0</v>
      </c>
      <c r="FF1106" s="1138">
        <f t="shared" si="2664"/>
        <v>0</v>
      </c>
      <c r="FG1106" s="1138">
        <f t="shared" si="2664"/>
        <v>0</v>
      </c>
      <c r="FH1106" s="1138">
        <f t="shared" si="2664"/>
        <v>0</v>
      </c>
      <c r="FI1106" s="1138">
        <f t="shared" si="2664"/>
        <v>0</v>
      </c>
      <c r="FJ1106" s="1138">
        <f t="shared" si="2664"/>
        <v>0</v>
      </c>
      <c r="FK1106" s="1138">
        <f t="shared" si="2664"/>
        <v>0</v>
      </c>
      <c r="FL1106" s="1138">
        <f t="shared" si="2664"/>
        <v>0</v>
      </c>
    </row>
    <row r="1107" spans="1:168" x14ac:dyDescent="0.25">
      <c r="A1107" s="1491" t="s">
        <v>112</v>
      </c>
      <c r="B1107" s="624" t="str">
        <f t="shared" ref="B1107:D1115" si="2665">B147</f>
        <v>Салат из свежих огурцов</v>
      </c>
      <c r="C1107" s="624">
        <f t="shared" si="2665"/>
        <v>60</v>
      </c>
      <c r="D1107" s="624">
        <f t="shared" si="2665"/>
        <v>0.45</v>
      </c>
      <c r="E1107" s="1158">
        <f t="shared" si="2479"/>
        <v>4.76</v>
      </c>
      <c r="F1107" s="1158"/>
      <c r="G1107" s="1140"/>
      <c r="H1107" s="1140"/>
      <c r="I1107" s="552"/>
      <c r="J1107" s="552">
        <f t="shared" ref="J1107:AO1107" si="2666">J147*J$338</f>
        <v>0</v>
      </c>
      <c r="K1107" s="552">
        <f t="shared" si="2666"/>
        <v>0</v>
      </c>
      <c r="L1107" s="552">
        <f t="shared" si="2666"/>
        <v>0</v>
      </c>
      <c r="M1107" s="552">
        <f t="shared" si="2666"/>
        <v>0</v>
      </c>
      <c r="N1107" s="552">
        <f t="shared" si="2666"/>
        <v>0</v>
      </c>
      <c r="O1107" s="552">
        <f t="shared" si="2666"/>
        <v>0</v>
      </c>
      <c r="P1107" s="552">
        <f t="shared" si="2666"/>
        <v>0</v>
      </c>
      <c r="Q1107" s="552">
        <f t="shared" si="2666"/>
        <v>0</v>
      </c>
      <c r="R1107" s="552">
        <f t="shared" si="2666"/>
        <v>0</v>
      </c>
      <c r="S1107" s="552">
        <f t="shared" si="2666"/>
        <v>0</v>
      </c>
      <c r="T1107" s="552">
        <f t="shared" si="2666"/>
        <v>0</v>
      </c>
      <c r="U1107" s="552">
        <f t="shared" si="2666"/>
        <v>0</v>
      </c>
      <c r="V1107" s="552">
        <f t="shared" si="2666"/>
        <v>0</v>
      </c>
      <c r="W1107" s="552">
        <f t="shared" si="2666"/>
        <v>0</v>
      </c>
      <c r="X1107" s="552">
        <f t="shared" si="2666"/>
        <v>0</v>
      </c>
      <c r="Y1107" s="552">
        <f t="shared" si="2666"/>
        <v>0</v>
      </c>
      <c r="Z1107" s="552">
        <f t="shared" si="2666"/>
        <v>0</v>
      </c>
      <c r="AA1107" s="552">
        <f t="shared" si="2666"/>
        <v>0</v>
      </c>
      <c r="AB1107" s="552">
        <f t="shared" si="2666"/>
        <v>0</v>
      </c>
      <c r="AC1107" s="552">
        <f t="shared" si="2666"/>
        <v>0</v>
      </c>
      <c r="AD1107" s="552">
        <f t="shared" si="2666"/>
        <v>0</v>
      </c>
      <c r="AE1107" s="552">
        <f t="shared" si="2666"/>
        <v>0</v>
      </c>
      <c r="AF1107" s="552">
        <f t="shared" si="2666"/>
        <v>0</v>
      </c>
      <c r="AG1107" s="552">
        <f t="shared" si="2666"/>
        <v>0</v>
      </c>
      <c r="AH1107" s="552">
        <f t="shared" si="2666"/>
        <v>0</v>
      </c>
      <c r="AI1107" s="552">
        <f t="shared" si="2666"/>
        <v>0</v>
      </c>
      <c r="AJ1107" s="552">
        <f t="shared" si="2666"/>
        <v>0</v>
      </c>
      <c r="AK1107" s="552">
        <f t="shared" si="2666"/>
        <v>0</v>
      </c>
      <c r="AL1107" s="552">
        <f t="shared" si="2666"/>
        <v>0</v>
      </c>
      <c r="AM1107" s="552">
        <f t="shared" si="2666"/>
        <v>0</v>
      </c>
      <c r="AN1107" s="552">
        <f t="shared" si="2666"/>
        <v>0</v>
      </c>
      <c r="AO1107" s="552">
        <f t="shared" si="2666"/>
        <v>4.28</v>
      </c>
      <c r="AP1107" s="552">
        <f t="shared" ref="AP1107:BU1107" si="2667">AP147*AP$338</f>
        <v>0</v>
      </c>
      <c r="AQ1107" s="552">
        <f t="shared" si="2667"/>
        <v>0</v>
      </c>
      <c r="AR1107" s="552">
        <f t="shared" si="2667"/>
        <v>0</v>
      </c>
      <c r="AS1107" s="552">
        <f t="shared" si="2667"/>
        <v>0</v>
      </c>
      <c r="AT1107" s="552">
        <f t="shared" si="2667"/>
        <v>0</v>
      </c>
      <c r="AU1107" s="552">
        <f t="shared" si="2667"/>
        <v>0</v>
      </c>
      <c r="AV1107" s="552">
        <f t="shared" si="2667"/>
        <v>0</v>
      </c>
      <c r="AW1107" s="552">
        <f t="shared" si="2667"/>
        <v>0</v>
      </c>
      <c r="AX1107" s="552">
        <f t="shared" si="2667"/>
        <v>0</v>
      </c>
      <c r="AY1107" s="552">
        <f t="shared" si="2667"/>
        <v>0</v>
      </c>
      <c r="AZ1107" s="552">
        <f t="shared" si="2667"/>
        <v>0</v>
      </c>
      <c r="BA1107" s="552">
        <f t="shared" si="2667"/>
        <v>0</v>
      </c>
      <c r="BB1107" s="552">
        <f t="shared" si="2667"/>
        <v>0</v>
      </c>
      <c r="BC1107" s="552">
        <f t="shared" si="2667"/>
        <v>0</v>
      </c>
      <c r="BD1107" s="552">
        <f t="shared" si="2667"/>
        <v>0</v>
      </c>
      <c r="BE1107" s="552">
        <f t="shared" si="2667"/>
        <v>0</v>
      </c>
      <c r="BF1107" s="552">
        <f t="shared" si="2667"/>
        <v>0</v>
      </c>
      <c r="BG1107" s="552">
        <f t="shared" si="2667"/>
        <v>0</v>
      </c>
      <c r="BH1107" s="552">
        <f t="shared" si="2667"/>
        <v>0</v>
      </c>
      <c r="BI1107" s="552">
        <f t="shared" si="2667"/>
        <v>0</v>
      </c>
      <c r="BJ1107" s="552">
        <f t="shared" si="2667"/>
        <v>0</v>
      </c>
      <c r="BK1107" s="552">
        <f t="shared" si="2667"/>
        <v>0</v>
      </c>
      <c r="BL1107" s="552">
        <f t="shared" si="2667"/>
        <v>0</v>
      </c>
      <c r="BM1107" s="552">
        <f t="shared" si="2667"/>
        <v>0</v>
      </c>
      <c r="BN1107" s="552">
        <f t="shared" si="2667"/>
        <v>0</v>
      </c>
      <c r="BO1107" s="552">
        <f t="shared" si="2667"/>
        <v>0</v>
      </c>
      <c r="BP1107" s="552">
        <f t="shared" si="2667"/>
        <v>0</v>
      </c>
      <c r="BQ1107" s="552">
        <f t="shared" si="2667"/>
        <v>0</v>
      </c>
      <c r="BR1107" s="552">
        <f t="shared" si="2667"/>
        <v>0</v>
      </c>
      <c r="BS1107" s="552">
        <f t="shared" si="2667"/>
        <v>0</v>
      </c>
      <c r="BT1107" s="552">
        <f t="shared" si="2667"/>
        <v>0</v>
      </c>
      <c r="BU1107" s="552">
        <f t="shared" si="2667"/>
        <v>0</v>
      </c>
      <c r="BV1107" s="552">
        <f t="shared" ref="BV1107:DA1107" si="2668">BV147*BV$338</f>
        <v>0</v>
      </c>
      <c r="BW1107" s="552">
        <f t="shared" si="2668"/>
        <v>0</v>
      </c>
      <c r="BX1107" s="552">
        <f t="shared" si="2668"/>
        <v>0</v>
      </c>
      <c r="BY1107" s="552">
        <f t="shared" si="2668"/>
        <v>0</v>
      </c>
      <c r="BZ1107" s="552">
        <f t="shared" si="2668"/>
        <v>0</v>
      </c>
      <c r="CA1107" s="552">
        <f t="shared" si="2668"/>
        <v>0</v>
      </c>
      <c r="CB1107" s="552">
        <f t="shared" si="2668"/>
        <v>0</v>
      </c>
      <c r="CC1107" s="552">
        <f t="shared" si="2668"/>
        <v>0</v>
      </c>
      <c r="CD1107" s="552">
        <f t="shared" si="2668"/>
        <v>0</v>
      </c>
      <c r="CE1107" s="552">
        <f t="shared" si="2668"/>
        <v>0</v>
      </c>
      <c r="CF1107" s="552">
        <f t="shared" si="2668"/>
        <v>0.43</v>
      </c>
      <c r="CG1107" s="552">
        <f t="shared" si="2668"/>
        <v>0</v>
      </c>
      <c r="CH1107" s="552">
        <f t="shared" si="2668"/>
        <v>0</v>
      </c>
      <c r="CI1107" s="552">
        <f t="shared" si="2668"/>
        <v>0</v>
      </c>
      <c r="CJ1107" s="552">
        <f t="shared" si="2668"/>
        <v>0</v>
      </c>
      <c r="CK1107" s="552">
        <f t="shared" si="2668"/>
        <v>0</v>
      </c>
      <c r="CL1107" s="552">
        <f t="shared" si="2668"/>
        <v>0</v>
      </c>
      <c r="CM1107" s="552">
        <f t="shared" si="2668"/>
        <v>0</v>
      </c>
      <c r="CN1107" s="552">
        <f t="shared" si="2668"/>
        <v>0</v>
      </c>
      <c r="CO1107" s="552">
        <f t="shared" si="2668"/>
        <v>0</v>
      </c>
      <c r="CP1107" s="552">
        <f t="shared" si="2668"/>
        <v>0</v>
      </c>
      <c r="CQ1107" s="552">
        <f t="shared" si="2668"/>
        <v>0</v>
      </c>
      <c r="CR1107" s="552">
        <f t="shared" si="2668"/>
        <v>0</v>
      </c>
      <c r="CS1107" s="552">
        <f t="shared" si="2668"/>
        <v>0</v>
      </c>
      <c r="CT1107" s="552">
        <f t="shared" si="2668"/>
        <v>0</v>
      </c>
      <c r="CU1107" s="552">
        <f t="shared" si="2668"/>
        <v>0</v>
      </c>
      <c r="CV1107" s="552">
        <f t="shared" si="2668"/>
        <v>0</v>
      </c>
      <c r="CW1107" s="552">
        <f t="shared" si="2668"/>
        <v>0</v>
      </c>
      <c r="CX1107" s="552">
        <f t="shared" si="2668"/>
        <v>0</v>
      </c>
      <c r="CY1107" s="552">
        <f t="shared" si="2668"/>
        <v>0</v>
      </c>
      <c r="CZ1107" s="552">
        <f t="shared" si="2668"/>
        <v>0</v>
      </c>
      <c r="DA1107" s="552">
        <f t="shared" si="2668"/>
        <v>0</v>
      </c>
      <c r="DB1107" s="552">
        <f t="shared" ref="DB1107:EG1107" si="2669">DB147*DB$338</f>
        <v>0</v>
      </c>
      <c r="DC1107" s="552">
        <f t="shared" si="2669"/>
        <v>0.05</v>
      </c>
      <c r="DD1107" s="552">
        <f t="shared" si="2669"/>
        <v>0</v>
      </c>
      <c r="DE1107" s="552">
        <f t="shared" si="2669"/>
        <v>0</v>
      </c>
      <c r="DF1107" s="552">
        <f t="shared" si="2669"/>
        <v>0</v>
      </c>
      <c r="DG1107" s="552">
        <f t="shared" si="2669"/>
        <v>0</v>
      </c>
      <c r="DH1107" s="552">
        <f t="shared" si="2669"/>
        <v>0</v>
      </c>
      <c r="DI1107" s="552">
        <f t="shared" si="2669"/>
        <v>0</v>
      </c>
      <c r="DJ1107" s="552">
        <f t="shared" si="2669"/>
        <v>0</v>
      </c>
      <c r="DK1107" s="552">
        <f t="shared" si="2669"/>
        <v>0</v>
      </c>
      <c r="DL1107" s="552">
        <f t="shared" si="2669"/>
        <v>0</v>
      </c>
      <c r="DM1107" s="552">
        <f t="shared" si="2669"/>
        <v>0</v>
      </c>
      <c r="DN1107" s="552">
        <f t="shared" si="2669"/>
        <v>0</v>
      </c>
      <c r="DO1107" s="552">
        <f t="shared" si="2669"/>
        <v>0</v>
      </c>
      <c r="DP1107" s="552">
        <f t="shared" si="2669"/>
        <v>0</v>
      </c>
      <c r="DQ1107" s="552">
        <f t="shared" si="2669"/>
        <v>0</v>
      </c>
      <c r="DR1107" s="552">
        <f t="shared" si="2669"/>
        <v>0</v>
      </c>
      <c r="DS1107" s="552">
        <f t="shared" si="2669"/>
        <v>0</v>
      </c>
      <c r="DT1107" s="552">
        <f t="shared" si="2669"/>
        <v>0</v>
      </c>
      <c r="DU1107" s="552">
        <f t="shared" si="2669"/>
        <v>0</v>
      </c>
      <c r="DV1107" s="552">
        <f t="shared" si="2669"/>
        <v>0</v>
      </c>
      <c r="DW1107" s="552">
        <f t="shared" si="2669"/>
        <v>0</v>
      </c>
      <c r="DX1107" s="552">
        <f t="shared" si="2669"/>
        <v>0</v>
      </c>
      <c r="DY1107" s="552">
        <f t="shared" si="2669"/>
        <v>0</v>
      </c>
      <c r="DZ1107" s="552">
        <f t="shared" si="2669"/>
        <v>0</v>
      </c>
      <c r="EA1107" s="552">
        <f t="shared" si="2669"/>
        <v>0</v>
      </c>
      <c r="EB1107" s="552">
        <f t="shared" si="2669"/>
        <v>0</v>
      </c>
      <c r="EC1107" s="552">
        <f t="shared" si="2669"/>
        <v>0</v>
      </c>
      <c r="ED1107" s="552">
        <f t="shared" si="2669"/>
        <v>0</v>
      </c>
      <c r="EE1107" s="552">
        <f t="shared" si="2669"/>
        <v>0</v>
      </c>
      <c r="EF1107" s="552">
        <f t="shared" si="2669"/>
        <v>0</v>
      </c>
      <c r="EG1107" s="552">
        <f t="shared" si="2669"/>
        <v>0</v>
      </c>
      <c r="EH1107" s="552">
        <f t="shared" ref="EH1107:EX1107" si="2670">EH147*EH$338</f>
        <v>0</v>
      </c>
      <c r="EI1107" s="552">
        <f t="shared" si="2670"/>
        <v>0</v>
      </c>
      <c r="EJ1107" s="552">
        <f t="shared" si="2670"/>
        <v>0</v>
      </c>
      <c r="EK1107" s="552">
        <f t="shared" si="2670"/>
        <v>0</v>
      </c>
      <c r="EL1107" s="552">
        <f t="shared" si="2670"/>
        <v>0</v>
      </c>
      <c r="EM1107" s="552">
        <f t="shared" si="2670"/>
        <v>0</v>
      </c>
      <c r="EN1107" s="552">
        <f t="shared" si="2670"/>
        <v>0</v>
      </c>
      <c r="EO1107" s="552">
        <f t="shared" si="2670"/>
        <v>0</v>
      </c>
      <c r="EP1107" s="552">
        <f t="shared" si="2670"/>
        <v>0</v>
      </c>
      <c r="EQ1107" s="552">
        <f t="shared" si="2670"/>
        <v>0</v>
      </c>
      <c r="ER1107" s="552">
        <f t="shared" si="2670"/>
        <v>0</v>
      </c>
      <c r="ES1107" s="552">
        <f t="shared" si="2670"/>
        <v>0</v>
      </c>
      <c r="ET1107" s="552">
        <f t="shared" si="2670"/>
        <v>0</v>
      </c>
      <c r="EU1107" s="552">
        <f t="shared" si="2670"/>
        <v>0</v>
      </c>
      <c r="EV1107" s="552">
        <f t="shared" si="2670"/>
        <v>0</v>
      </c>
      <c r="EW1107" s="552">
        <f t="shared" si="2670"/>
        <v>0</v>
      </c>
      <c r="EX1107" s="552">
        <f t="shared" si="2670"/>
        <v>0</v>
      </c>
      <c r="EY1107" s="799">
        <f t="shared" si="2478"/>
        <v>4.76</v>
      </c>
      <c r="EZ1107" s="640"/>
      <c r="FA1107" s="640"/>
      <c r="FB1107" s="640"/>
      <c r="FC1107" s="640"/>
      <c r="FD1107" s="640"/>
      <c r="FE1107" s="640"/>
      <c r="FF1107" s="640"/>
      <c r="FG1107" s="640"/>
      <c r="FH1107" s="640"/>
      <c r="FI1107" s="640"/>
      <c r="FJ1107" s="640"/>
      <c r="FK1107" s="640"/>
      <c r="FL1107" s="640"/>
    </row>
    <row r="1108" spans="1:168" x14ac:dyDescent="0.25">
      <c r="A1108" s="1492"/>
      <c r="B1108" s="624" t="str">
        <f t="shared" si="2665"/>
        <v>Свекольник со сметаной и яйцом</v>
      </c>
      <c r="C1108" s="624">
        <f t="shared" si="2665"/>
        <v>250</v>
      </c>
      <c r="D1108" s="624">
        <f t="shared" si="2665"/>
        <v>2.27</v>
      </c>
      <c r="E1108" s="1158">
        <f t="shared" si="2479"/>
        <v>10.02</v>
      </c>
      <c r="F1108" s="1158"/>
      <c r="G1108" s="1140"/>
      <c r="H1108" s="1140"/>
      <c r="I1108" s="552"/>
      <c r="J1108" s="552">
        <f t="shared" ref="J1108:AO1108" si="2671">J148*J$338</f>
        <v>0</v>
      </c>
      <c r="K1108" s="552">
        <f t="shared" si="2671"/>
        <v>0</v>
      </c>
      <c r="L1108" s="552">
        <f t="shared" si="2671"/>
        <v>0</v>
      </c>
      <c r="M1108" s="552">
        <f t="shared" si="2671"/>
        <v>0</v>
      </c>
      <c r="N1108" s="552">
        <f t="shared" si="2671"/>
        <v>0</v>
      </c>
      <c r="O1108" s="552">
        <f t="shared" si="2671"/>
        <v>0</v>
      </c>
      <c r="P1108" s="552">
        <f t="shared" si="2671"/>
        <v>0</v>
      </c>
      <c r="Q1108" s="552">
        <f t="shared" si="2671"/>
        <v>0</v>
      </c>
      <c r="R1108" s="552">
        <f t="shared" si="2671"/>
        <v>0</v>
      </c>
      <c r="S1108" s="552">
        <f t="shared" si="2671"/>
        <v>0</v>
      </c>
      <c r="T1108" s="552">
        <f t="shared" si="2671"/>
        <v>0</v>
      </c>
      <c r="U1108" s="552">
        <f t="shared" si="2671"/>
        <v>0</v>
      </c>
      <c r="V1108" s="552">
        <f t="shared" si="2671"/>
        <v>1.42</v>
      </c>
      <c r="W1108" s="552">
        <f t="shared" si="2671"/>
        <v>0</v>
      </c>
      <c r="X1108" s="552">
        <f t="shared" si="2671"/>
        <v>0</v>
      </c>
      <c r="Y1108" s="552">
        <f t="shared" si="2671"/>
        <v>1.17</v>
      </c>
      <c r="Z1108" s="552">
        <f t="shared" si="2671"/>
        <v>0</v>
      </c>
      <c r="AA1108" s="552">
        <f t="shared" si="2671"/>
        <v>0</v>
      </c>
      <c r="AB1108" s="552">
        <f t="shared" si="2671"/>
        <v>0</v>
      </c>
      <c r="AC1108" s="552">
        <f t="shared" si="2671"/>
        <v>0</v>
      </c>
      <c r="AD1108" s="552">
        <f t="shared" si="2671"/>
        <v>0</v>
      </c>
      <c r="AE1108" s="552">
        <f t="shared" si="2671"/>
        <v>1.37</v>
      </c>
      <c r="AF1108" s="552">
        <f t="shared" si="2671"/>
        <v>0</v>
      </c>
      <c r="AG1108" s="552">
        <f t="shared" si="2671"/>
        <v>0</v>
      </c>
      <c r="AH1108" s="552">
        <f t="shared" si="2671"/>
        <v>2</v>
      </c>
      <c r="AI1108" s="552">
        <f t="shared" si="2671"/>
        <v>0</v>
      </c>
      <c r="AJ1108" s="552">
        <f t="shared" si="2671"/>
        <v>0</v>
      </c>
      <c r="AK1108" s="552">
        <f t="shared" si="2671"/>
        <v>0.5</v>
      </c>
      <c r="AL1108" s="552">
        <f t="shared" si="2671"/>
        <v>0</v>
      </c>
      <c r="AM1108" s="552">
        <f t="shared" si="2671"/>
        <v>0</v>
      </c>
      <c r="AN1108" s="552">
        <f t="shared" si="2671"/>
        <v>0</v>
      </c>
      <c r="AO1108" s="552">
        <f t="shared" si="2671"/>
        <v>0</v>
      </c>
      <c r="AP1108" s="552">
        <f t="shared" ref="AP1108:BU1108" si="2672">AP148*AP$338</f>
        <v>0</v>
      </c>
      <c r="AQ1108" s="552">
        <f t="shared" si="2672"/>
        <v>0.5</v>
      </c>
      <c r="AR1108" s="552">
        <f t="shared" si="2672"/>
        <v>0</v>
      </c>
      <c r="AS1108" s="552">
        <f t="shared" si="2672"/>
        <v>0</v>
      </c>
      <c r="AT1108" s="552">
        <f t="shared" si="2672"/>
        <v>0</v>
      </c>
      <c r="AU1108" s="552">
        <f t="shared" si="2672"/>
        <v>0.6</v>
      </c>
      <c r="AV1108" s="552">
        <f t="shared" si="2672"/>
        <v>0</v>
      </c>
      <c r="AW1108" s="552">
        <f t="shared" si="2672"/>
        <v>0</v>
      </c>
      <c r="AX1108" s="552">
        <f t="shared" si="2672"/>
        <v>1.95</v>
      </c>
      <c r="AY1108" s="552">
        <f t="shared" si="2672"/>
        <v>0</v>
      </c>
      <c r="AZ1108" s="552">
        <f t="shared" si="2672"/>
        <v>0</v>
      </c>
      <c r="BA1108" s="552">
        <f t="shared" si="2672"/>
        <v>0</v>
      </c>
      <c r="BB1108" s="552">
        <f t="shared" si="2672"/>
        <v>0</v>
      </c>
      <c r="BC1108" s="552">
        <f t="shared" si="2672"/>
        <v>0</v>
      </c>
      <c r="BD1108" s="552">
        <f t="shared" si="2672"/>
        <v>0</v>
      </c>
      <c r="BE1108" s="552">
        <f t="shared" si="2672"/>
        <v>0</v>
      </c>
      <c r="BF1108" s="552">
        <f t="shared" si="2672"/>
        <v>0</v>
      </c>
      <c r="BG1108" s="552">
        <f t="shared" si="2672"/>
        <v>0</v>
      </c>
      <c r="BH1108" s="552">
        <f t="shared" si="2672"/>
        <v>0</v>
      </c>
      <c r="BI1108" s="552">
        <f t="shared" si="2672"/>
        <v>0</v>
      </c>
      <c r="BJ1108" s="552">
        <f t="shared" si="2672"/>
        <v>0</v>
      </c>
      <c r="BK1108" s="552">
        <f t="shared" si="2672"/>
        <v>0</v>
      </c>
      <c r="BL1108" s="552">
        <f t="shared" si="2672"/>
        <v>0</v>
      </c>
      <c r="BM1108" s="552">
        <f t="shared" si="2672"/>
        <v>0</v>
      </c>
      <c r="BN1108" s="552">
        <f t="shared" si="2672"/>
        <v>0</v>
      </c>
      <c r="BO1108" s="552">
        <f t="shared" si="2672"/>
        <v>0</v>
      </c>
      <c r="BP1108" s="552">
        <f t="shared" si="2672"/>
        <v>0</v>
      </c>
      <c r="BQ1108" s="552">
        <f t="shared" si="2672"/>
        <v>0</v>
      </c>
      <c r="BR1108" s="552">
        <f t="shared" si="2672"/>
        <v>0</v>
      </c>
      <c r="BS1108" s="552">
        <f t="shared" si="2672"/>
        <v>0</v>
      </c>
      <c r="BT1108" s="552">
        <f t="shared" si="2672"/>
        <v>0</v>
      </c>
      <c r="BU1108" s="552">
        <f t="shared" si="2672"/>
        <v>0</v>
      </c>
      <c r="BV1108" s="552">
        <f t="shared" ref="BV1108:DA1108" si="2673">BV148*BV$338</f>
        <v>0</v>
      </c>
      <c r="BW1108" s="552">
        <f t="shared" si="2673"/>
        <v>0</v>
      </c>
      <c r="BX1108" s="552">
        <f t="shared" si="2673"/>
        <v>0</v>
      </c>
      <c r="BY1108" s="552">
        <f t="shared" si="2673"/>
        <v>0</v>
      </c>
      <c r="BZ1108" s="552">
        <f t="shared" si="2673"/>
        <v>0</v>
      </c>
      <c r="CA1108" s="552">
        <f t="shared" si="2673"/>
        <v>0</v>
      </c>
      <c r="CB1108" s="552">
        <f t="shared" si="2673"/>
        <v>0</v>
      </c>
      <c r="CC1108" s="552">
        <f t="shared" si="2673"/>
        <v>0</v>
      </c>
      <c r="CD1108" s="552">
        <f t="shared" si="2673"/>
        <v>0</v>
      </c>
      <c r="CE1108" s="552">
        <f t="shared" si="2673"/>
        <v>0</v>
      </c>
      <c r="CF1108" s="552">
        <f t="shared" si="2673"/>
        <v>0</v>
      </c>
      <c r="CG1108" s="552">
        <f t="shared" si="2673"/>
        <v>0</v>
      </c>
      <c r="CH1108" s="552">
        <f t="shared" si="2673"/>
        <v>0</v>
      </c>
      <c r="CI1108" s="552">
        <f t="shared" si="2673"/>
        <v>0</v>
      </c>
      <c r="CJ1108" s="552">
        <f t="shared" si="2673"/>
        <v>0</v>
      </c>
      <c r="CK1108" s="552">
        <f t="shared" si="2673"/>
        <v>0</v>
      </c>
      <c r="CL1108" s="552">
        <f t="shared" si="2673"/>
        <v>0</v>
      </c>
      <c r="CM1108" s="552">
        <f t="shared" si="2673"/>
        <v>0</v>
      </c>
      <c r="CN1108" s="552">
        <f t="shared" si="2673"/>
        <v>0</v>
      </c>
      <c r="CO1108" s="552">
        <f t="shared" si="2673"/>
        <v>0</v>
      </c>
      <c r="CP1108" s="552">
        <f t="shared" si="2673"/>
        <v>0</v>
      </c>
      <c r="CQ1108" s="552">
        <f t="shared" si="2673"/>
        <v>0</v>
      </c>
      <c r="CR1108" s="552">
        <f t="shared" si="2673"/>
        <v>0</v>
      </c>
      <c r="CS1108" s="552">
        <f t="shared" si="2673"/>
        <v>0</v>
      </c>
      <c r="CT1108" s="552">
        <f t="shared" si="2673"/>
        <v>0</v>
      </c>
      <c r="CU1108" s="552">
        <f t="shared" si="2673"/>
        <v>0</v>
      </c>
      <c r="CV1108" s="552">
        <f t="shared" si="2673"/>
        <v>0</v>
      </c>
      <c r="CW1108" s="552">
        <f t="shared" si="2673"/>
        <v>0</v>
      </c>
      <c r="CX1108" s="552">
        <f t="shared" si="2673"/>
        <v>0</v>
      </c>
      <c r="CY1108" s="552">
        <f t="shared" si="2673"/>
        <v>0</v>
      </c>
      <c r="CZ1108" s="552">
        <f t="shared" si="2673"/>
        <v>0</v>
      </c>
      <c r="DA1108" s="552">
        <f t="shared" si="2673"/>
        <v>0</v>
      </c>
      <c r="DB1108" s="552">
        <f t="shared" ref="DB1108:EG1108" si="2674">DB148*DB$338</f>
        <v>0</v>
      </c>
      <c r="DC1108" s="552">
        <f t="shared" si="2674"/>
        <v>0.05</v>
      </c>
      <c r="DD1108" s="552">
        <f t="shared" si="2674"/>
        <v>0</v>
      </c>
      <c r="DE1108" s="552">
        <f t="shared" si="2674"/>
        <v>0</v>
      </c>
      <c r="DF1108" s="552">
        <f t="shared" si="2674"/>
        <v>0.46</v>
      </c>
      <c r="DG1108" s="552">
        <f t="shared" si="2674"/>
        <v>0</v>
      </c>
      <c r="DH1108" s="552">
        <f t="shared" si="2674"/>
        <v>0</v>
      </c>
      <c r="DI1108" s="552">
        <f t="shared" si="2674"/>
        <v>0</v>
      </c>
      <c r="DJ1108" s="552">
        <f t="shared" si="2674"/>
        <v>0</v>
      </c>
      <c r="DK1108" s="552">
        <f t="shared" si="2674"/>
        <v>0</v>
      </c>
      <c r="DL1108" s="552">
        <f t="shared" si="2674"/>
        <v>0</v>
      </c>
      <c r="DM1108" s="552">
        <f t="shared" si="2674"/>
        <v>0</v>
      </c>
      <c r="DN1108" s="552">
        <f t="shared" si="2674"/>
        <v>0</v>
      </c>
      <c r="DO1108" s="552">
        <f t="shared" si="2674"/>
        <v>0</v>
      </c>
      <c r="DP1108" s="552">
        <f t="shared" si="2674"/>
        <v>0</v>
      </c>
      <c r="DQ1108" s="552">
        <f t="shared" si="2674"/>
        <v>0</v>
      </c>
      <c r="DR1108" s="552">
        <f t="shared" si="2674"/>
        <v>0</v>
      </c>
      <c r="DS1108" s="552">
        <f t="shared" si="2674"/>
        <v>0</v>
      </c>
      <c r="DT1108" s="552">
        <f t="shared" si="2674"/>
        <v>0</v>
      </c>
      <c r="DU1108" s="552">
        <f t="shared" si="2674"/>
        <v>0</v>
      </c>
      <c r="DV1108" s="552">
        <f t="shared" si="2674"/>
        <v>0</v>
      </c>
      <c r="DW1108" s="552">
        <f t="shared" si="2674"/>
        <v>0</v>
      </c>
      <c r="DX1108" s="552">
        <f t="shared" si="2674"/>
        <v>0</v>
      </c>
      <c r="DY1108" s="552">
        <f t="shared" si="2674"/>
        <v>0</v>
      </c>
      <c r="DZ1108" s="552">
        <f t="shared" si="2674"/>
        <v>0</v>
      </c>
      <c r="EA1108" s="552">
        <f t="shared" si="2674"/>
        <v>0</v>
      </c>
      <c r="EB1108" s="552">
        <f t="shared" si="2674"/>
        <v>0</v>
      </c>
      <c r="EC1108" s="552">
        <f t="shared" si="2674"/>
        <v>0</v>
      </c>
      <c r="ED1108" s="552">
        <f t="shared" si="2674"/>
        <v>0</v>
      </c>
      <c r="EE1108" s="552">
        <f t="shared" si="2674"/>
        <v>0</v>
      </c>
      <c r="EF1108" s="552">
        <f t="shared" si="2674"/>
        <v>0</v>
      </c>
      <c r="EG1108" s="552">
        <f t="shared" si="2674"/>
        <v>0</v>
      </c>
      <c r="EH1108" s="552">
        <f t="shared" ref="EH1108:EX1108" si="2675">EH148*EH$338</f>
        <v>0</v>
      </c>
      <c r="EI1108" s="552">
        <f t="shared" si="2675"/>
        <v>0</v>
      </c>
      <c r="EJ1108" s="552">
        <f t="shared" si="2675"/>
        <v>0</v>
      </c>
      <c r="EK1108" s="552">
        <f t="shared" si="2675"/>
        <v>0</v>
      </c>
      <c r="EL1108" s="552">
        <f t="shared" si="2675"/>
        <v>0</v>
      </c>
      <c r="EM1108" s="552">
        <f t="shared" si="2675"/>
        <v>0</v>
      </c>
      <c r="EN1108" s="552">
        <f t="shared" si="2675"/>
        <v>0</v>
      </c>
      <c r="EO1108" s="552">
        <f t="shared" si="2675"/>
        <v>0</v>
      </c>
      <c r="EP1108" s="552">
        <f t="shared" si="2675"/>
        <v>0</v>
      </c>
      <c r="EQ1108" s="552">
        <f t="shared" si="2675"/>
        <v>0</v>
      </c>
      <c r="ER1108" s="552">
        <f t="shared" si="2675"/>
        <v>0</v>
      </c>
      <c r="ES1108" s="552">
        <f t="shared" si="2675"/>
        <v>0</v>
      </c>
      <c r="ET1108" s="552">
        <f t="shared" si="2675"/>
        <v>0</v>
      </c>
      <c r="EU1108" s="552">
        <f t="shared" si="2675"/>
        <v>0</v>
      </c>
      <c r="EV1108" s="552">
        <f t="shared" si="2675"/>
        <v>0</v>
      </c>
      <c r="EW1108" s="552">
        <f t="shared" si="2675"/>
        <v>0</v>
      </c>
      <c r="EX1108" s="552">
        <f t="shared" si="2675"/>
        <v>0</v>
      </c>
      <c r="EY1108" s="799">
        <f t="shared" si="2478"/>
        <v>10.02</v>
      </c>
      <c r="EZ1108" s="640"/>
      <c r="FA1108" s="640"/>
      <c r="FB1108" s="640"/>
      <c r="FC1108" s="640"/>
      <c r="FD1108" s="640"/>
      <c r="FE1108" s="640"/>
      <c r="FF1108" s="640"/>
      <c r="FG1108" s="640"/>
      <c r="FH1108" s="640"/>
      <c r="FI1108" s="640"/>
      <c r="FJ1108" s="640"/>
      <c r="FK1108" s="640"/>
      <c r="FL1108" s="640"/>
    </row>
    <row r="1109" spans="1:168" x14ac:dyDescent="0.25">
      <c r="A1109" s="1492"/>
      <c r="B1109" s="624" t="str">
        <f t="shared" si="2665"/>
        <v>Плов из куриных окорочков</v>
      </c>
      <c r="C1109" s="624">
        <f t="shared" si="2665"/>
        <v>150</v>
      </c>
      <c r="D1109" s="624">
        <f t="shared" si="2665"/>
        <v>12.67</v>
      </c>
      <c r="E1109" s="1158">
        <f t="shared" si="2479"/>
        <v>21.06</v>
      </c>
      <c r="F1109" s="1158"/>
      <c r="G1109" s="1140"/>
      <c r="H1109" s="1140"/>
      <c r="I1109" s="552"/>
      <c r="J1109" s="552">
        <f t="shared" ref="J1109:AO1109" si="2676">J149*J$338</f>
        <v>0</v>
      </c>
      <c r="K1109" s="552">
        <f t="shared" si="2676"/>
        <v>14.67</v>
      </c>
      <c r="L1109" s="552">
        <f t="shared" si="2676"/>
        <v>0</v>
      </c>
      <c r="M1109" s="552">
        <f t="shared" si="2676"/>
        <v>0</v>
      </c>
      <c r="N1109" s="552">
        <f t="shared" si="2676"/>
        <v>0</v>
      </c>
      <c r="O1109" s="552">
        <f t="shared" si="2676"/>
        <v>0</v>
      </c>
      <c r="P1109" s="552">
        <f t="shared" si="2676"/>
        <v>0</v>
      </c>
      <c r="Q1109" s="552">
        <f t="shared" si="2676"/>
        <v>0</v>
      </c>
      <c r="R1109" s="552">
        <f t="shared" si="2676"/>
        <v>0</v>
      </c>
      <c r="S1109" s="552">
        <f t="shared" si="2676"/>
        <v>0</v>
      </c>
      <c r="T1109" s="552">
        <f t="shared" si="2676"/>
        <v>0</v>
      </c>
      <c r="U1109" s="552">
        <f t="shared" si="2676"/>
        <v>0</v>
      </c>
      <c r="V1109" s="552">
        <f t="shared" si="2676"/>
        <v>0</v>
      </c>
      <c r="W1109" s="552">
        <f t="shared" si="2676"/>
        <v>0</v>
      </c>
      <c r="X1109" s="552">
        <f t="shared" si="2676"/>
        <v>0</v>
      </c>
      <c r="Y1109" s="552">
        <f t="shared" si="2676"/>
        <v>0</v>
      </c>
      <c r="Z1109" s="552">
        <f t="shared" si="2676"/>
        <v>0</v>
      </c>
      <c r="AA1109" s="552">
        <f t="shared" si="2676"/>
        <v>0</v>
      </c>
      <c r="AB1109" s="552">
        <f t="shared" si="2676"/>
        <v>0</v>
      </c>
      <c r="AC1109" s="552">
        <f t="shared" si="2676"/>
        <v>0</v>
      </c>
      <c r="AD1109" s="552">
        <f t="shared" si="2676"/>
        <v>0</v>
      </c>
      <c r="AE1109" s="552">
        <f t="shared" si="2676"/>
        <v>0</v>
      </c>
      <c r="AF1109" s="552">
        <f t="shared" si="2676"/>
        <v>0</v>
      </c>
      <c r="AG1109" s="552">
        <f t="shared" si="2676"/>
        <v>0</v>
      </c>
      <c r="AH1109" s="552">
        <f t="shared" si="2676"/>
        <v>0</v>
      </c>
      <c r="AI1109" s="552">
        <f t="shared" si="2676"/>
        <v>0</v>
      </c>
      <c r="AJ1109" s="552">
        <f t="shared" si="2676"/>
        <v>0</v>
      </c>
      <c r="AK1109" s="552">
        <f t="shared" si="2676"/>
        <v>0.4</v>
      </c>
      <c r="AL1109" s="552">
        <f t="shared" si="2676"/>
        <v>0</v>
      </c>
      <c r="AM1109" s="552">
        <f t="shared" si="2676"/>
        <v>0</v>
      </c>
      <c r="AN1109" s="552">
        <f t="shared" si="2676"/>
        <v>0</v>
      </c>
      <c r="AO1109" s="552">
        <f t="shared" si="2676"/>
        <v>0</v>
      </c>
      <c r="AP1109" s="552">
        <f t="shared" ref="AP1109:BU1109" si="2677">AP149*AP$338</f>
        <v>0</v>
      </c>
      <c r="AQ1109" s="552">
        <f t="shared" si="2677"/>
        <v>0.5</v>
      </c>
      <c r="AR1109" s="552">
        <f t="shared" si="2677"/>
        <v>0</v>
      </c>
      <c r="AS1109" s="552">
        <f t="shared" si="2677"/>
        <v>0</v>
      </c>
      <c r="AT1109" s="552">
        <f t="shared" si="2677"/>
        <v>0</v>
      </c>
      <c r="AU1109" s="552">
        <f t="shared" si="2677"/>
        <v>0</v>
      </c>
      <c r="AV1109" s="552">
        <f t="shared" si="2677"/>
        <v>0</v>
      </c>
      <c r="AW1109" s="552">
        <f t="shared" si="2677"/>
        <v>0</v>
      </c>
      <c r="AX1109" s="552">
        <f t="shared" si="2677"/>
        <v>0</v>
      </c>
      <c r="AY1109" s="552">
        <f t="shared" si="2677"/>
        <v>0</v>
      </c>
      <c r="AZ1109" s="552">
        <f t="shared" si="2677"/>
        <v>0</v>
      </c>
      <c r="BA1109" s="552">
        <f t="shared" si="2677"/>
        <v>0</v>
      </c>
      <c r="BB1109" s="552">
        <f t="shared" si="2677"/>
        <v>0</v>
      </c>
      <c r="BC1109" s="552">
        <f t="shared" si="2677"/>
        <v>0</v>
      </c>
      <c r="BD1109" s="552">
        <f t="shared" si="2677"/>
        <v>0</v>
      </c>
      <c r="BE1109" s="552">
        <f t="shared" si="2677"/>
        <v>0</v>
      </c>
      <c r="BF1109" s="552">
        <f t="shared" si="2677"/>
        <v>0</v>
      </c>
      <c r="BG1109" s="552">
        <f t="shared" si="2677"/>
        <v>0</v>
      </c>
      <c r="BH1109" s="552">
        <f t="shared" si="2677"/>
        <v>0</v>
      </c>
      <c r="BI1109" s="552">
        <f t="shared" si="2677"/>
        <v>0</v>
      </c>
      <c r="BJ1109" s="552">
        <f t="shared" si="2677"/>
        <v>0</v>
      </c>
      <c r="BK1109" s="552">
        <f t="shared" si="2677"/>
        <v>0</v>
      </c>
      <c r="BL1109" s="552">
        <f t="shared" si="2677"/>
        <v>0</v>
      </c>
      <c r="BM1109" s="552">
        <f t="shared" si="2677"/>
        <v>0</v>
      </c>
      <c r="BN1109" s="552">
        <f t="shared" si="2677"/>
        <v>0</v>
      </c>
      <c r="BO1109" s="552">
        <f t="shared" si="2677"/>
        <v>0</v>
      </c>
      <c r="BP1109" s="552">
        <f t="shared" si="2677"/>
        <v>0</v>
      </c>
      <c r="BQ1109" s="552">
        <f t="shared" si="2677"/>
        <v>0</v>
      </c>
      <c r="BR1109" s="552">
        <f t="shared" si="2677"/>
        <v>0</v>
      </c>
      <c r="BS1109" s="552">
        <f t="shared" si="2677"/>
        <v>0</v>
      </c>
      <c r="BT1109" s="552">
        <f t="shared" si="2677"/>
        <v>0</v>
      </c>
      <c r="BU1109" s="552">
        <f t="shared" si="2677"/>
        <v>0</v>
      </c>
      <c r="BV1109" s="552">
        <f t="shared" ref="BV1109:DA1109" si="2678">BV149*BV$338</f>
        <v>0</v>
      </c>
      <c r="BW1109" s="552">
        <f t="shared" si="2678"/>
        <v>0</v>
      </c>
      <c r="BX1109" s="552">
        <f t="shared" si="2678"/>
        <v>0</v>
      </c>
      <c r="BY1109" s="552">
        <f t="shared" si="2678"/>
        <v>0</v>
      </c>
      <c r="BZ1109" s="552">
        <f t="shared" si="2678"/>
        <v>0</v>
      </c>
      <c r="CA1109" s="552">
        <f t="shared" si="2678"/>
        <v>0</v>
      </c>
      <c r="CB1109" s="552">
        <f t="shared" si="2678"/>
        <v>3.43</v>
      </c>
      <c r="CC1109" s="552">
        <f t="shared" si="2678"/>
        <v>0</v>
      </c>
      <c r="CD1109" s="552">
        <f t="shared" si="2678"/>
        <v>0</v>
      </c>
      <c r="CE1109" s="552">
        <f t="shared" si="2678"/>
        <v>0</v>
      </c>
      <c r="CF1109" s="552">
        <f t="shared" si="2678"/>
        <v>0.84</v>
      </c>
      <c r="CG1109" s="552">
        <f t="shared" si="2678"/>
        <v>0</v>
      </c>
      <c r="CH1109" s="552">
        <f t="shared" si="2678"/>
        <v>0</v>
      </c>
      <c r="CI1109" s="552">
        <f t="shared" si="2678"/>
        <v>0</v>
      </c>
      <c r="CJ1109" s="552">
        <f t="shared" si="2678"/>
        <v>0</v>
      </c>
      <c r="CK1109" s="552">
        <f t="shared" si="2678"/>
        <v>0</v>
      </c>
      <c r="CL1109" s="552">
        <f t="shared" si="2678"/>
        <v>0</v>
      </c>
      <c r="CM1109" s="552">
        <f t="shared" si="2678"/>
        <v>0</v>
      </c>
      <c r="CN1109" s="552">
        <f t="shared" si="2678"/>
        <v>0</v>
      </c>
      <c r="CO1109" s="552">
        <f t="shared" si="2678"/>
        <v>0</v>
      </c>
      <c r="CP1109" s="552">
        <f t="shared" si="2678"/>
        <v>0</v>
      </c>
      <c r="CQ1109" s="552">
        <f t="shared" si="2678"/>
        <v>0</v>
      </c>
      <c r="CR1109" s="552">
        <f t="shared" si="2678"/>
        <v>0</v>
      </c>
      <c r="CS1109" s="552">
        <f t="shared" si="2678"/>
        <v>0</v>
      </c>
      <c r="CT1109" s="552">
        <f t="shared" si="2678"/>
        <v>0</v>
      </c>
      <c r="CU1109" s="552">
        <f t="shared" si="2678"/>
        <v>0</v>
      </c>
      <c r="CV1109" s="552">
        <f t="shared" si="2678"/>
        <v>0</v>
      </c>
      <c r="CW1109" s="552">
        <f t="shared" si="2678"/>
        <v>0</v>
      </c>
      <c r="CX1109" s="552">
        <f t="shared" si="2678"/>
        <v>0</v>
      </c>
      <c r="CY1109" s="552">
        <f t="shared" si="2678"/>
        <v>0</v>
      </c>
      <c r="CZ1109" s="552">
        <f t="shared" si="2678"/>
        <v>0</v>
      </c>
      <c r="DA1109" s="552">
        <f t="shared" si="2678"/>
        <v>0</v>
      </c>
      <c r="DB1109" s="552">
        <f t="shared" ref="DB1109:EG1109" si="2679">DB149*DB$338</f>
        <v>0</v>
      </c>
      <c r="DC1109" s="552">
        <f t="shared" si="2679"/>
        <v>7.0000000000000007E-2</v>
      </c>
      <c r="DD1109" s="552">
        <f t="shared" si="2679"/>
        <v>0</v>
      </c>
      <c r="DE1109" s="552">
        <f t="shared" si="2679"/>
        <v>0</v>
      </c>
      <c r="DF1109" s="552">
        <f t="shared" si="2679"/>
        <v>1.1499999999999999</v>
      </c>
      <c r="DG1109" s="552">
        <f t="shared" si="2679"/>
        <v>0</v>
      </c>
      <c r="DH1109" s="552">
        <f t="shared" si="2679"/>
        <v>0</v>
      </c>
      <c r="DI1109" s="552">
        <f t="shared" si="2679"/>
        <v>0</v>
      </c>
      <c r="DJ1109" s="552">
        <f t="shared" si="2679"/>
        <v>0</v>
      </c>
      <c r="DK1109" s="552">
        <f t="shared" si="2679"/>
        <v>0</v>
      </c>
      <c r="DL1109" s="552">
        <f t="shared" si="2679"/>
        <v>0</v>
      </c>
      <c r="DM1109" s="552">
        <f t="shared" si="2679"/>
        <v>0</v>
      </c>
      <c r="DN1109" s="552">
        <f t="shared" si="2679"/>
        <v>0</v>
      </c>
      <c r="DO1109" s="552">
        <f t="shared" si="2679"/>
        <v>0</v>
      </c>
      <c r="DP1109" s="552">
        <f t="shared" si="2679"/>
        <v>0</v>
      </c>
      <c r="DQ1109" s="552">
        <f t="shared" si="2679"/>
        <v>0</v>
      </c>
      <c r="DR1109" s="552">
        <f t="shared" si="2679"/>
        <v>0</v>
      </c>
      <c r="DS1109" s="552">
        <f t="shared" si="2679"/>
        <v>0</v>
      </c>
      <c r="DT1109" s="552">
        <f t="shared" si="2679"/>
        <v>0</v>
      </c>
      <c r="DU1109" s="552">
        <f t="shared" si="2679"/>
        <v>0</v>
      </c>
      <c r="DV1109" s="552">
        <f t="shared" si="2679"/>
        <v>0</v>
      </c>
      <c r="DW1109" s="552">
        <f t="shared" si="2679"/>
        <v>0</v>
      </c>
      <c r="DX1109" s="552">
        <f t="shared" si="2679"/>
        <v>0</v>
      </c>
      <c r="DY1109" s="552">
        <f t="shared" si="2679"/>
        <v>0</v>
      </c>
      <c r="DZ1109" s="552">
        <f t="shared" si="2679"/>
        <v>0</v>
      </c>
      <c r="EA1109" s="552">
        <f t="shared" si="2679"/>
        <v>0</v>
      </c>
      <c r="EB1109" s="552">
        <f t="shared" si="2679"/>
        <v>0</v>
      </c>
      <c r="EC1109" s="552">
        <f t="shared" si="2679"/>
        <v>0</v>
      </c>
      <c r="ED1109" s="552">
        <f t="shared" si="2679"/>
        <v>0</v>
      </c>
      <c r="EE1109" s="552">
        <f t="shared" si="2679"/>
        <v>0</v>
      </c>
      <c r="EF1109" s="552">
        <f t="shared" si="2679"/>
        <v>0</v>
      </c>
      <c r="EG1109" s="552">
        <f t="shared" si="2679"/>
        <v>0</v>
      </c>
      <c r="EH1109" s="552">
        <f t="shared" ref="EH1109:EX1109" si="2680">EH149*EH$338</f>
        <v>0</v>
      </c>
      <c r="EI1109" s="552">
        <f t="shared" si="2680"/>
        <v>0</v>
      </c>
      <c r="EJ1109" s="552">
        <f t="shared" si="2680"/>
        <v>0</v>
      </c>
      <c r="EK1109" s="552">
        <f t="shared" si="2680"/>
        <v>0</v>
      </c>
      <c r="EL1109" s="552">
        <f t="shared" si="2680"/>
        <v>0</v>
      </c>
      <c r="EM1109" s="552">
        <f t="shared" si="2680"/>
        <v>0</v>
      </c>
      <c r="EN1109" s="552">
        <f t="shared" si="2680"/>
        <v>0</v>
      </c>
      <c r="EO1109" s="552">
        <f t="shared" si="2680"/>
        <v>0</v>
      </c>
      <c r="EP1109" s="552">
        <f t="shared" si="2680"/>
        <v>0</v>
      </c>
      <c r="EQ1109" s="552">
        <f t="shared" si="2680"/>
        <v>0</v>
      </c>
      <c r="ER1109" s="552">
        <f t="shared" si="2680"/>
        <v>0</v>
      </c>
      <c r="ES1109" s="552">
        <f t="shared" si="2680"/>
        <v>0</v>
      </c>
      <c r="ET1109" s="552">
        <f t="shared" si="2680"/>
        <v>0</v>
      </c>
      <c r="EU1109" s="552">
        <f t="shared" si="2680"/>
        <v>0</v>
      </c>
      <c r="EV1109" s="552">
        <f t="shared" si="2680"/>
        <v>0</v>
      </c>
      <c r="EW1109" s="552">
        <f t="shared" si="2680"/>
        <v>0</v>
      </c>
      <c r="EX1109" s="552">
        <f t="shared" si="2680"/>
        <v>0</v>
      </c>
      <c r="EY1109" s="799">
        <f t="shared" si="2478"/>
        <v>21.06</v>
      </c>
      <c r="EZ1109" s="640"/>
      <c r="FA1109" s="640"/>
      <c r="FB1109" s="640"/>
      <c r="FC1109" s="640"/>
      <c r="FD1109" s="640"/>
      <c r="FE1109" s="640"/>
      <c r="FF1109" s="640"/>
      <c r="FG1109" s="640"/>
      <c r="FH1109" s="640"/>
      <c r="FI1109" s="640"/>
      <c r="FJ1109" s="640"/>
      <c r="FK1109" s="640"/>
      <c r="FL1109" s="640"/>
    </row>
    <row r="1110" spans="1:168" x14ac:dyDescent="0.25">
      <c r="A1110" s="1492"/>
      <c r="B1110" s="624" t="str">
        <f t="shared" si="2665"/>
        <v>Компот из смеси сухофруктов</v>
      </c>
      <c r="C1110" s="624">
        <f t="shared" si="2665"/>
        <v>200</v>
      </c>
      <c r="D1110" s="624">
        <f t="shared" si="2665"/>
        <v>0.66</v>
      </c>
      <c r="E1110" s="1158">
        <f t="shared" si="2479"/>
        <v>4.18</v>
      </c>
      <c r="F1110" s="1158"/>
      <c r="G1110" s="1140"/>
      <c r="H1110" s="1140"/>
      <c r="I1110" s="552"/>
      <c r="J1110" s="552">
        <f t="shared" ref="J1110:AO1110" si="2681">J150*J$338</f>
        <v>0</v>
      </c>
      <c r="K1110" s="552">
        <f t="shared" si="2681"/>
        <v>0</v>
      </c>
      <c r="L1110" s="552">
        <f t="shared" si="2681"/>
        <v>0</v>
      </c>
      <c r="M1110" s="552">
        <f t="shared" si="2681"/>
        <v>0</v>
      </c>
      <c r="N1110" s="552">
        <f t="shared" si="2681"/>
        <v>0</v>
      </c>
      <c r="O1110" s="552">
        <f t="shared" si="2681"/>
        <v>0</v>
      </c>
      <c r="P1110" s="552">
        <f t="shared" si="2681"/>
        <v>0</v>
      </c>
      <c r="Q1110" s="552">
        <f t="shared" si="2681"/>
        <v>0</v>
      </c>
      <c r="R1110" s="552">
        <f t="shared" si="2681"/>
        <v>0</v>
      </c>
      <c r="S1110" s="552">
        <f t="shared" si="2681"/>
        <v>0</v>
      </c>
      <c r="T1110" s="552">
        <f t="shared" si="2681"/>
        <v>0</v>
      </c>
      <c r="U1110" s="552">
        <f t="shared" si="2681"/>
        <v>0</v>
      </c>
      <c r="V1110" s="552">
        <f t="shared" si="2681"/>
        <v>0</v>
      </c>
      <c r="W1110" s="552">
        <f t="shared" si="2681"/>
        <v>0</v>
      </c>
      <c r="X1110" s="552">
        <f t="shared" si="2681"/>
        <v>0</v>
      </c>
      <c r="Y1110" s="552">
        <f t="shared" si="2681"/>
        <v>0</v>
      </c>
      <c r="Z1110" s="552">
        <f t="shared" si="2681"/>
        <v>0</v>
      </c>
      <c r="AA1110" s="552">
        <f t="shared" si="2681"/>
        <v>0</v>
      </c>
      <c r="AB1110" s="552">
        <f t="shared" si="2681"/>
        <v>0</v>
      </c>
      <c r="AC1110" s="552">
        <f t="shared" si="2681"/>
        <v>0</v>
      </c>
      <c r="AD1110" s="552">
        <f t="shared" si="2681"/>
        <v>0</v>
      </c>
      <c r="AE1110" s="552">
        <f t="shared" si="2681"/>
        <v>0</v>
      </c>
      <c r="AF1110" s="552">
        <f t="shared" si="2681"/>
        <v>0</v>
      </c>
      <c r="AG1110" s="552">
        <f t="shared" si="2681"/>
        <v>0</v>
      </c>
      <c r="AH1110" s="552">
        <f t="shared" si="2681"/>
        <v>0</v>
      </c>
      <c r="AI1110" s="552">
        <f t="shared" si="2681"/>
        <v>0</v>
      </c>
      <c r="AJ1110" s="552">
        <f t="shared" si="2681"/>
        <v>0</v>
      </c>
      <c r="AK1110" s="552">
        <f t="shared" si="2681"/>
        <v>0</v>
      </c>
      <c r="AL1110" s="552">
        <f t="shared" si="2681"/>
        <v>0</v>
      </c>
      <c r="AM1110" s="552">
        <f t="shared" si="2681"/>
        <v>0</v>
      </c>
      <c r="AN1110" s="552">
        <f t="shared" si="2681"/>
        <v>0</v>
      </c>
      <c r="AO1110" s="552">
        <f t="shared" si="2681"/>
        <v>0</v>
      </c>
      <c r="AP1110" s="552">
        <f t="shared" ref="AP1110:BU1110" si="2682">AP150*AP$338</f>
        <v>0</v>
      </c>
      <c r="AQ1110" s="552">
        <f t="shared" si="2682"/>
        <v>0</v>
      </c>
      <c r="AR1110" s="552">
        <f t="shared" si="2682"/>
        <v>0</v>
      </c>
      <c r="AS1110" s="552">
        <f t="shared" si="2682"/>
        <v>0</v>
      </c>
      <c r="AT1110" s="552">
        <f t="shared" si="2682"/>
        <v>0</v>
      </c>
      <c r="AU1110" s="552">
        <f t="shared" si="2682"/>
        <v>0</v>
      </c>
      <c r="AV1110" s="552">
        <f t="shared" si="2682"/>
        <v>0</v>
      </c>
      <c r="AW1110" s="552">
        <f t="shared" si="2682"/>
        <v>0</v>
      </c>
      <c r="AX1110" s="552">
        <f t="shared" si="2682"/>
        <v>0</v>
      </c>
      <c r="AY1110" s="552">
        <f t="shared" si="2682"/>
        <v>0</v>
      </c>
      <c r="AZ1110" s="552">
        <f t="shared" si="2682"/>
        <v>0</v>
      </c>
      <c r="BA1110" s="552">
        <f t="shared" si="2682"/>
        <v>0</v>
      </c>
      <c r="BB1110" s="552">
        <f t="shared" si="2682"/>
        <v>0</v>
      </c>
      <c r="BC1110" s="552">
        <f t="shared" si="2682"/>
        <v>0</v>
      </c>
      <c r="BD1110" s="552">
        <f t="shared" si="2682"/>
        <v>0</v>
      </c>
      <c r="BE1110" s="552">
        <f t="shared" si="2682"/>
        <v>0</v>
      </c>
      <c r="BF1110" s="552">
        <f t="shared" si="2682"/>
        <v>0</v>
      </c>
      <c r="BG1110" s="552">
        <f t="shared" si="2682"/>
        <v>0</v>
      </c>
      <c r="BH1110" s="552">
        <f t="shared" si="2682"/>
        <v>0</v>
      </c>
      <c r="BI1110" s="552">
        <f t="shared" si="2682"/>
        <v>0</v>
      </c>
      <c r="BJ1110" s="552">
        <f t="shared" si="2682"/>
        <v>0</v>
      </c>
      <c r="BK1110" s="552">
        <f t="shared" si="2682"/>
        <v>0</v>
      </c>
      <c r="BL1110" s="552">
        <f t="shared" si="2682"/>
        <v>0</v>
      </c>
      <c r="BM1110" s="552">
        <f t="shared" si="2682"/>
        <v>0</v>
      </c>
      <c r="BN1110" s="552">
        <f t="shared" si="2682"/>
        <v>0</v>
      </c>
      <c r="BO1110" s="552">
        <f t="shared" si="2682"/>
        <v>0</v>
      </c>
      <c r="BP1110" s="552">
        <f t="shared" si="2682"/>
        <v>0</v>
      </c>
      <c r="BQ1110" s="552">
        <f t="shared" si="2682"/>
        <v>0</v>
      </c>
      <c r="BR1110" s="552">
        <f t="shared" si="2682"/>
        <v>0</v>
      </c>
      <c r="BS1110" s="552">
        <f t="shared" si="2682"/>
        <v>0</v>
      </c>
      <c r="BT1110" s="552">
        <f t="shared" si="2682"/>
        <v>0</v>
      </c>
      <c r="BU1110" s="552">
        <f t="shared" si="2682"/>
        <v>0</v>
      </c>
      <c r="BV1110" s="552">
        <f t="shared" ref="BV1110:DA1110" si="2683">BV150*BV$338</f>
        <v>0</v>
      </c>
      <c r="BW1110" s="552">
        <f t="shared" si="2683"/>
        <v>0</v>
      </c>
      <c r="BX1110" s="552">
        <f t="shared" si="2683"/>
        <v>0</v>
      </c>
      <c r="BY1110" s="552">
        <f t="shared" si="2683"/>
        <v>0</v>
      </c>
      <c r="BZ1110" s="552">
        <f t="shared" si="2683"/>
        <v>0</v>
      </c>
      <c r="CA1110" s="552">
        <f t="shared" si="2683"/>
        <v>0</v>
      </c>
      <c r="CB1110" s="552">
        <f t="shared" si="2683"/>
        <v>0</v>
      </c>
      <c r="CC1110" s="552">
        <f t="shared" si="2683"/>
        <v>0</v>
      </c>
      <c r="CD1110" s="552">
        <f t="shared" si="2683"/>
        <v>0</v>
      </c>
      <c r="CE1110" s="552">
        <f t="shared" si="2683"/>
        <v>0</v>
      </c>
      <c r="CF1110" s="552">
        <f t="shared" si="2683"/>
        <v>0</v>
      </c>
      <c r="CG1110" s="552">
        <f t="shared" si="2683"/>
        <v>0</v>
      </c>
      <c r="CH1110" s="552">
        <f t="shared" si="2683"/>
        <v>0</v>
      </c>
      <c r="CI1110" s="552">
        <f t="shared" si="2683"/>
        <v>0</v>
      </c>
      <c r="CJ1110" s="552">
        <f t="shared" si="2683"/>
        <v>0</v>
      </c>
      <c r="CK1110" s="552">
        <f t="shared" si="2683"/>
        <v>0</v>
      </c>
      <c r="CL1110" s="552">
        <f t="shared" si="2683"/>
        <v>0</v>
      </c>
      <c r="CM1110" s="552">
        <f t="shared" si="2683"/>
        <v>0</v>
      </c>
      <c r="CN1110" s="552">
        <f t="shared" si="2683"/>
        <v>0</v>
      </c>
      <c r="CO1110" s="552">
        <f t="shared" si="2683"/>
        <v>0</v>
      </c>
      <c r="CP1110" s="552">
        <f t="shared" si="2683"/>
        <v>0</v>
      </c>
      <c r="CQ1110" s="552">
        <f t="shared" si="2683"/>
        <v>0.06</v>
      </c>
      <c r="CR1110" s="552">
        <f t="shared" si="2683"/>
        <v>0</v>
      </c>
      <c r="CS1110" s="552">
        <f t="shared" si="2683"/>
        <v>0</v>
      </c>
      <c r="CT1110" s="552">
        <f t="shared" si="2683"/>
        <v>0</v>
      </c>
      <c r="CU1110" s="552">
        <f t="shared" si="2683"/>
        <v>0</v>
      </c>
      <c r="CV1110" s="552">
        <f t="shared" si="2683"/>
        <v>0</v>
      </c>
      <c r="CW1110" s="552">
        <f t="shared" si="2683"/>
        <v>0</v>
      </c>
      <c r="CX1110" s="552">
        <f t="shared" si="2683"/>
        <v>0</v>
      </c>
      <c r="CY1110" s="552">
        <f t="shared" si="2683"/>
        <v>0</v>
      </c>
      <c r="CZ1110" s="552">
        <f t="shared" si="2683"/>
        <v>1.52</v>
      </c>
      <c r="DA1110" s="552">
        <f t="shared" si="2683"/>
        <v>0</v>
      </c>
      <c r="DB1110" s="552">
        <f t="shared" ref="DB1110:EG1110" si="2684">DB150*DB$338</f>
        <v>0</v>
      </c>
      <c r="DC1110" s="552">
        <f t="shared" si="2684"/>
        <v>0</v>
      </c>
      <c r="DD1110" s="552">
        <f t="shared" si="2684"/>
        <v>0</v>
      </c>
      <c r="DE1110" s="552">
        <f t="shared" si="2684"/>
        <v>2.6</v>
      </c>
      <c r="DF1110" s="552">
        <f t="shared" si="2684"/>
        <v>0</v>
      </c>
      <c r="DG1110" s="552">
        <f t="shared" si="2684"/>
        <v>0</v>
      </c>
      <c r="DH1110" s="552">
        <f t="shared" si="2684"/>
        <v>0</v>
      </c>
      <c r="DI1110" s="552">
        <f t="shared" si="2684"/>
        <v>0</v>
      </c>
      <c r="DJ1110" s="552">
        <f t="shared" si="2684"/>
        <v>0</v>
      </c>
      <c r="DK1110" s="552">
        <f t="shared" si="2684"/>
        <v>0</v>
      </c>
      <c r="DL1110" s="552">
        <f t="shared" si="2684"/>
        <v>0</v>
      </c>
      <c r="DM1110" s="552">
        <f t="shared" si="2684"/>
        <v>0</v>
      </c>
      <c r="DN1110" s="552">
        <f t="shared" si="2684"/>
        <v>0</v>
      </c>
      <c r="DO1110" s="552">
        <f t="shared" si="2684"/>
        <v>0</v>
      </c>
      <c r="DP1110" s="552">
        <f t="shared" si="2684"/>
        <v>0</v>
      </c>
      <c r="DQ1110" s="552">
        <f t="shared" si="2684"/>
        <v>0</v>
      </c>
      <c r="DR1110" s="552">
        <f t="shared" si="2684"/>
        <v>0</v>
      </c>
      <c r="DS1110" s="552">
        <f t="shared" si="2684"/>
        <v>0</v>
      </c>
      <c r="DT1110" s="552">
        <f t="shared" si="2684"/>
        <v>0</v>
      </c>
      <c r="DU1110" s="552">
        <f t="shared" si="2684"/>
        <v>0</v>
      </c>
      <c r="DV1110" s="552">
        <f t="shared" si="2684"/>
        <v>0</v>
      </c>
      <c r="DW1110" s="552">
        <f t="shared" si="2684"/>
        <v>0</v>
      </c>
      <c r="DX1110" s="552">
        <f t="shared" si="2684"/>
        <v>0</v>
      </c>
      <c r="DY1110" s="552">
        <f t="shared" si="2684"/>
        <v>0</v>
      </c>
      <c r="DZ1110" s="552">
        <f t="shared" si="2684"/>
        <v>0</v>
      </c>
      <c r="EA1110" s="552">
        <f t="shared" si="2684"/>
        <v>0</v>
      </c>
      <c r="EB1110" s="552">
        <f t="shared" si="2684"/>
        <v>0</v>
      </c>
      <c r="EC1110" s="552">
        <f t="shared" si="2684"/>
        <v>0</v>
      </c>
      <c r="ED1110" s="552">
        <f t="shared" si="2684"/>
        <v>0</v>
      </c>
      <c r="EE1110" s="552">
        <f t="shared" si="2684"/>
        <v>0</v>
      </c>
      <c r="EF1110" s="552">
        <f t="shared" si="2684"/>
        <v>0</v>
      </c>
      <c r="EG1110" s="552">
        <f t="shared" si="2684"/>
        <v>0</v>
      </c>
      <c r="EH1110" s="552">
        <f t="shared" ref="EH1110:EX1110" si="2685">EH150*EH$338</f>
        <v>0</v>
      </c>
      <c r="EI1110" s="552">
        <f t="shared" si="2685"/>
        <v>0</v>
      </c>
      <c r="EJ1110" s="552">
        <f t="shared" si="2685"/>
        <v>0</v>
      </c>
      <c r="EK1110" s="552">
        <f t="shared" si="2685"/>
        <v>0</v>
      </c>
      <c r="EL1110" s="552">
        <f t="shared" si="2685"/>
        <v>0</v>
      </c>
      <c r="EM1110" s="552">
        <f t="shared" si="2685"/>
        <v>0</v>
      </c>
      <c r="EN1110" s="552">
        <f t="shared" si="2685"/>
        <v>0</v>
      </c>
      <c r="EO1110" s="552">
        <f t="shared" si="2685"/>
        <v>0</v>
      </c>
      <c r="EP1110" s="552">
        <f t="shared" si="2685"/>
        <v>0</v>
      </c>
      <c r="EQ1110" s="552">
        <f t="shared" si="2685"/>
        <v>0</v>
      </c>
      <c r="ER1110" s="552">
        <f t="shared" si="2685"/>
        <v>0</v>
      </c>
      <c r="ES1110" s="552">
        <f t="shared" si="2685"/>
        <v>0</v>
      </c>
      <c r="ET1110" s="552">
        <f t="shared" si="2685"/>
        <v>0</v>
      </c>
      <c r="EU1110" s="552">
        <f t="shared" si="2685"/>
        <v>0</v>
      </c>
      <c r="EV1110" s="552">
        <f t="shared" si="2685"/>
        <v>0</v>
      </c>
      <c r="EW1110" s="552">
        <f t="shared" si="2685"/>
        <v>0</v>
      </c>
      <c r="EX1110" s="552">
        <f t="shared" si="2685"/>
        <v>0</v>
      </c>
      <c r="EY1110" s="799">
        <f t="shared" si="2478"/>
        <v>4.18</v>
      </c>
      <c r="EZ1110" s="640"/>
      <c r="FA1110" s="640"/>
      <c r="FB1110" s="640"/>
      <c r="FC1110" s="640"/>
      <c r="FD1110" s="640"/>
      <c r="FE1110" s="640"/>
      <c r="FF1110" s="640"/>
      <c r="FG1110" s="640"/>
      <c r="FH1110" s="640"/>
      <c r="FI1110" s="640"/>
      <c r="FJ1110" s="640"/>
      <c r="FK1110" s="640"/>
      <c r="FL1110" s="640"/>
    </row>
    <row r="1111" spans="1:168" x14ac:dyDescent="0.25">
      <c r="A1111" s="1492"/>
      <c r="B1111" s="624" t="str">
        <f t="shared" si="2665"/>
        <v>Хлеб пшеничный нарезной</v>
      </c>
      <c r="C1111" s="624">
        <f t="shared" si="2665"/>
        <v>20</v>
      </c>
      <c r="D1111" s="624">
        <f t="shared" si="2665"/>
        <v>2.14</v>
      </c>
      <c r="E1111" s="1158">
        <f t="shared" si="2479"/>
        <v>1.3</v>
      </c>
      <c r="F1111" s="1158"/>
      <c r="G1111" s="1140"/>
      <c r="H1111" s="1140"/>
      <c r="I1111" s="552"/>
      <c r="J1111" s="552">
        <f t="shared" ref="J1111:AO1111" si="2686">J151*J$338</f>
        <v>0</v>
      </c>
      <c r="K1111" s="552">
        <f t="shared" si="2686"/>
        <v>0</v>
      </c>
      <c r="L1111" s="552">
        <f t="shared" si="2686"/>
        <v>0</v>
      </c>
      <c r="M1111" s="552">
        <f t="shared" si="2686"/>
        <v>0</v>
      </c>
      <c r="N1111" s="552">
        <f t="shared" si="2686"/>
        <v>0</v>
      </c>
      <c r="O1111" s="552">
        <f t="shared" si="2686"/>
        <v>0</v>
      </c>
      <c r="P1111" s="552">
        <f t="shared" si="2686"/>
        <v>0</v>
      </c>
      <c r="Q1111" s="552">
        <f t="shared" si="2686"/>
        <v>0</v>
      </c>
      <c r="R1111" s="552">
        <f t="shared" si="2686"/>
        <v>0</v>
      </c>
      <c r="S1111" s="552">
        <f t="shared" si="2686"/>
        <v>0</v>
      </c>
      <c r="T1111" s="552">
        <f t="shared" si="2686"/>
        <v>0</v>
      </c>
      <c r="U1111" s="552">
        <f t="shared" si="2686"/>
        <v>0</v>
      </c>
      <c r="V1111" s="552">
        <f t="shared" si="2686"/>
        <v>0</v>
      </c>
      <c r="W1111" s="552">
        <f t="shared" si="2686"/>
        <v>0</v>
      </c>
      <c r="X1111" s="552">
        <f t="shared" si="2686"/>
        <v>0</v>
      </c>
      <c r="Y1111" s="552">
        <f t="shared" si="2686"/>
        <v>0</v>
      </c>
      <c r="Z1111" s="552">
        <f t="shared" si="2686"/>
        <v>0</v>
      </c>
      <c r="AA1111" s="552">
        <f t="shared" si="2686"/>
        <v>0</v>
      </c>
      <c r="AB1111" s="552">
        <f t="shared" si="2686"/>
        <v>0</v>
      </c>
      <c r="AC1111" s="552">
        <f t="shared" si="2686"/>
        <v>0</v>
      </c>
      <c r="AD1111" s="552">
        <f t="shared" si="2686"/>
        <v>0</v>
      </c>
      <c r="AE1111" s="552">
        <f t="shared" si="2686"/>
        <v>0</v>
      </c>
      <c r="AF1111" s="552">
        <f t="shared" si="2686"/>
        <v>0</v>
      </c>
      <c r="AG1111" s="552">
        <f t="shared" si="2686"/>
        <v>0</v>
      </c>
      <c r="AH1111" s="552">
        <f t="shared" si="2686"/>
        <v>0</v>
      </c>
      <c r="AI1111" s="552">
        <f t="shared" si="2686"/>
        <v>0</v>
      </c>
      <c r="AJ1111" s="552">
        <f t="shared" si="2686"/>
        <v>0</v>
      </c>
      <c r="AK1111" s="552">
        <f t="shared" si="2686"/>
        <v>0</v>
      </c>
      <c r="AL1111" s="552">
        <f t="shared" si="2686"/>
        <v>0</v>
      </c>
      <c r="AM1111" s="552">
        <f t="shared" si="2686"/>
        <v>0</v>
      </c>
      <c r="AN1111" s="552">
        <f t="shared" si="2686"/>
        <v>0</v>
      </c>
      <c r="AO1111" s="552">
        <f t="shared" si="2686"/>
        <v>0</v>
      </c>
      <c r="AP1111" s="552">
        <f t="shared" ref="AP1111:BU1111" si="2687">AP151*AP$338</f>
        <v>0</v>
      </c>
      <c r="AQ1111" s="552">
        <f t="shared" si="2687"/>
        <v>0</v>
      </c>
      <c r="AR1111" s="552">
        <f t="shared" si="2687"/>
        <v>0</v>
      </c>
      <c r="AS1111" s="552">
        <f t="shared" si="2687"/>
        <v>0</v>
      </c>
      <c r="AT1111" s="552">
        <f t="shared" si="2687"/>
        <v>0</v>
      </c>
      <c r="AU1111" s="552">
        <f t="shared" si="2687"/>
        <v>0</v>
      </c>
      <c r="AV1111" s="552">
        <f t="shared" si="2687"/>
        <v>0</v>
      </c>
      <c r="AW1111" s="552">
        <f t="shared" si="2687"/>
        <v>0</v>
      </c>
      <c r="AX1111" s="552">
        <f t="shared" si="2687"/>
        <v>0</v>
      </c>
      <c r="AY1111" s="552">
        <f t="shared" si="2687"/>
        <v>0</v>
      </c>
      <c r="AZ1111" s="552">
        <f t="shared" si="2687"/>
        <v>0</v>
      </c>
      <c r="BA1111" s="552">
        <f t="shared" si="2687"/>
        <v>0</v>
      </c>
      <c r="BB1111" s="552">
        <f t="shared" si="2687"/>
        <v>0</v>
      </c>
      <c r="BC1111" s="552">
        <f t="shared" si="2687"/>
        <v>0</v>
      </c>
      <c r="BD1111" s="552">
        <f t="shared" si="2687"/>
        <v>0</v>
      </c>
      <c r="BE1111" s="552">
        <f t="shared" si="2687"/>
        <v>0</v>
      </c>
      <c r="BF1111" s="552">
        <f t="shared" si="2687"/>
        <v>0</v>
      </c>
      <c r="BG1111" s="552">
        <f t="shared" si="2687"/>
        <v>0</v>
      </c>
      <c r="BH1111" s="552">
        <f t="shared" si="2687"/>
        <v>0</v>
      </c>
      <c r="BI1111" s="552">
        <f t="shared" si="2687"/>
        <v>0</v>
      </c>
      <c r="BJ1111" s="552">
        <f t="shared" si="2687"/>
        <v>0</v>
      </c>
      <c r="BK1111" s="552">
        <f t="shared" si="2687"/>
        <v>0</v>
      </c>
      <c r="BL1111" s="552">
        <f t="shared" si="2687"/>
        <v>0</v>
      </c>
      <c r="BM1111" s="552">
        <f t="shared" si="2687"/>
        <v>0</v>
      </c>
      <c r="BN1111" s="552">
        <f t="shared" si="2687"/>
        <v>0</v>
      </c>
      <c r="BO1111" s="552">
        <f t="shared" si="2687"/>
        <v>0</v>
      </c>
      <c r="BP1111" s="552">
        <f t="shared" si="2687"/>
        <v>0</v>
      </c>
      <c r="BQ1111" s="552">
        <f t="shared" si="2687"/>
        <v>0</v>
      </c>
      <c r="BR1111" s="552">
        <f t="shared" si="2687"/>
        <v>0</v>
      </c>
      <c r="BS1111" s="552">
        <f t="shared" si="2687"/>
        <v>0</v>
      </c>
      <c r="BT1111" s="552">
        <f t="shared" si="2687"/>
        <v>0</v>
      </c>
      <c r="BU1111" s="552">
        <f t="shared" si="2687"/>
        <v>0</v>
      </c>
      <c r="BV1111" s="552">
        <f t="shared" ref="BV1111:DA1111" si="2688">BV151*BV$338</f>
        <v>0</v>
      </c>
      <c r="BW1111" s="552">
        <f t="shared" si="2688"/>
        <v>0</v>
      </c>
      <c r="BX1111" s="552">
        <f t="shared" si="2688"/>
        <v>0</v>
      </c>
      <c r="BY1111" s="552">
        <f t="shared" si="2688"/>
        <v>0</v>
      </c>
      <c r="BZ1111" s="552">
        <f t="shared" si="2688"/>
        <v>0</v>
      </c>
      <c r="CA1111" s="552">
        <f t="shared" si="2688"/>
        <v>0</v>
      </c>
      <c r="CB1111" s="552">
        <f t="shared" si="2688"/>
        <v>0</v>
      </c>
      <c r="CC1111" s="552">
        <f t="shared" si="2688"/>
        <v>0</v>
      </c>
      <c r="CD1111" s="552">
        <f t="shared" si="2688"/>
        <v>0</v>
      </c>
      <c r="CE1111" s="552">
        <f t="shared" si="2688"/>
        <v>0</v>
      </c>
      <c r="CF1111" s="552">
        <f t="shared" si="2688"/>
        <v>0</v>
      </c>
      <c r="CG1111" s="552">
        <f t="shared" si="2688"/>
        <v>0</v>
      </c>
      <c r="CH1111" s="552">
        <f t="shared" si="2688"/>
        <v>0</v>
      </c>
      <c r="CI1111" s="552">
        <f t="shared" si="2688"/>
        <v>0</v>
      </c>
      <c r="CJ1111" s="552">
        <f t="shared" si="2688"/>
        <v>0</v>
      </c>
      <c r="CK1111" s="552">
        <f t="shared" si="2688"/>
        <v>0</v>
      </c>
      <c r="CL1111" s="552">
        <f t="shared" si="2688"/>
        <v>0</v>
      </c>
      <c r="CM1111" s="552">
        <f t="shared" si="2688"/>
        <v>0</v>
      </c>
      <c r="CN1111" s="552">
        <f t="shared" si="2688"/>
        <v>0</v>
      </c>
      <c r="CO1111" s="552">
        <f t="shared" si="2688"/>
        <v>0</v>
      </c>
      <c r="CP1111" s="552">
        <f t="shared" si="2688"/>
        <v>0</v>
      </c>
      <c r="CQ1111" s="552">
        <f t="shared" si="2688"/>
        <v>0</v>
      </c>
      <c r="CR1111" s="552">
        <f t="shared" si="2688"/>
        <v>0</v>
      </c>
      <c r="CS1111" s="552">
        <f t="shared" si="2688"/>
        <v>0</v>
      </c>
      <c r="CT1111" s="552">
        <f t="shared" si="2688"/>
        <v>0</v>
      </c>
      <c r="CU1111" s="552">
        <f t="shared" si="2688"/>
        <v>0</v>
      </c>
      <c r="CV1111" s="552">
        <f t="shared" si="2688"/>
        <v>0</v>
      </c>
      <c r="CW1111" s="552">
        <f t="shared" si="2688"/>
        <v>0</v>
      </c>
      <c r="CX1111" s="552">
        <f t="shared" si="2688"/>
        <v>0</v>
      </c>
      <c r="CY1111" s="552">
        <f t="shared" si="2688"/>
        <v>0</v>
      </c>
      <c r="CZ1111" s="552">
        <f t="shared" si="2688"/>
        <v>0</v>
      </c>
      <c r="DA1111" s="552">
        <f t="shared" si="2688"/>
        <v>0</v>
      </c>
      <c r="DB1111" s="552">
        <f t="shared" ref="DB1111:EG1111" si="2689">DB151*DB$338</f>
        <v>0</v>
      </c>
      <c r="DC1111" s="552">
        <f t="shared" si="2689"/>
        <v>0</v>
      </c>
      <c r="DD1111" s="552">
        <f t="shared" si="2689"/>
        <v>0</v>
      </c>
      <c r="DE1111" s="552">
        <f t="shared" si="2689"/>
        <v>0</v>
      </c>
      <c r="DF1111" s="552">
        <f t="shared" si="2689"/>
        <v>0</v>
      </c>
      <c r="DG1111" s="552">
        <f t="shared" si="2689"/>
        <v>0</v>
      </c>
      <c r="DH1111" s="552">
        <f t="shared" si="2689"/>
        <v>0</v>
      </c>
      <c r="DI1111" s="552">
        <f t="shared" si="2689"/>
        <v>0</v>
      </c>
      <c r="DJ1111" s="552">
        <f t="shared" si="2689"/>
        <v>0</v>
      </c>
      <c r="DK1111" s="552">
        <f t="shared" si="2689"/>
        <v>0</v>
      </c>
      <c r="DL1111" s="552">
        <f t="shared" si="2689"/>
        <v>0</v>
      </c>
      <c r="DM1111" s="552">
        <f t="shared" si="2689"/>
        <v>0</v>
      </c>
      <c r="DN1111" s="552">
        <f t="shared" si="2689"/>
        <v>0</v>
      </c>
      <c r="DO1111" s="552">
        <f t="shared" si="2689"/>
        <v>0</v>
      </c>
      <c r="DP1111" s="552">
        <f t="shared" si="2689"/>
        <v>0</v>
      </c>
      <c r="DQ1111" s="552">
        <f t="shared" si="2689"/>
        <v>0</v>
      </c>
      <c r="DR1111" s="552">
        <f t="shared" si="2689"/>
        <v>0</v>
      </c>
      <c r="DS1111" s="552">
        <f t="shared" si="2689"/>
        <v>0</v>
      </c>
      <c r="DT1111" s="552">
        <f t="shared" si="2689"/>
        <v>0</v>
      </c>
      <c r="DU1111" s="552">
        <f t="shared" si="2689"/>
        <v>0</v>
      </c>
      <c r="DV1111" s="552">
        <f t="shared" si="2689"/>
        <v>0</v>
      </c>
      <c r="DW1111" s="552">
        <f t="shared" si="2689"/>
        <v>0</v>
      </c>
      <c r="DX1111" s="552">
        <f t="shared" si="2689"/>
        <v>0</v>
      </c>
      <c r="DY1111" s="552">
        <f t="shared" si="2689"/>
        <v>0</v>
      </c>
      <c r="DZ1111" s="552">
        <f t="shared" si="2689"/>
        <v>0</v>
      </c>
      <c r="EA1111" s="552">
        <f t="shared" si="2689"/>
        <v>0</v>
      </c>
      <c r="EB1111" s="552">
        <f t="shared" si="2689"/>
        <v>0</v>
      </c>
      <c r="EC1111" s="552">
        <f t="shared" si="2689"/>
        <v>0</v>
      </c>
      <c r="ED1111" s="552">
        <f t="shared" si="2689"/>
        <v>0</v>
      </c>
      <c r="EE1111" s="552">
        <f t="shared" si="2689"/>
        <v>0</v>
      </c>
      <c r="EF1111" s="552">
        <f t="shared" si="2689"/>
        <v>0</v>
      </c>
      <c r="EG1111" s="552">
        <f t="shared" si="2689"/>
        <v>0</v>
      </c>
      <c r="EH1111" s="552">
        <f t="shared" ref="EH1111:EX1111" si="2690">EH151*EH$338</f>
        <v>0</v>
      </c>
      <c r="EI1111" s="552">
        <f t="shared" si="2690"/>
        <v>0</v>
      </c>
      <c r="EJ1111" s="552">
        <f t="shared" si="2690"/>
        <v>0</v>
      </c>
      <c r="EK1111" s="552">
        <f t="shared" si="2690"/>
        <v>0</v>
      </c>
      <c r="EL1111" s="552">
        <f t="shared" si="2690"/>
        <v>0</v>
      </c>
      <c r="EM1111" s="552">
        <f t="shared" si="2690"/>
        <v>0</v>
      </c>
      <c r="EN1111" s="552">
        <f t="shared" si="2690"/>
        <v>0</v>
      </c>
      <c r="EO1111" s="552">
        <f t="shared" si="2690"/>
        <v>0</v>
      </c>
      <c r="EP1111" s="552">
        <f t="shared" si="2690"/>
        <v>0</v>
      </c>
      <c r="EQ1111" s="552">
        <f t="shared" si="2690"/>
        <v>0</v>
      </c>
      <c r="ER1111" s="552">
        <f t="shared" si="2690"/>
        <v>0</v>
      </c>
      <c r="ES1111" s="552">
        <f t="shared" si="2690"/>
        <v>0</v>
      </c>
      <c r="ET1111" s="552">
        <f t="shared" si="2690"/>
        <v>0</v>
      </c>
      <c r="EU1111" s="552">
        <f t="shared" si="2690"/>
        <v>0</v>
      </c>
      <c r="EV1111" s="552">
        <f t="shared" si="2690"/>
        <v>1.3</v>
      </c>
      <c r="EW1111" s="552">
        <f t="shared" si="2690"/>
        <v>0</v>
      </c>
      <c r="EX1111" s="552">
        <f t="shared" si="2690"/>
        <v>0</v>
      </c>
      <c r="EY1111" s="799">
        <f t="shared" si="2478"/>
        <v>1.3</v>
      </c>
      <c r="EZ1111" s="640"/>
      <c r="FA1111" s="640"/>
      <c r="FB1111" s="640"/>
      <c r="FC1111" s="640"/>
      <c r="FD1111" s="640"/>
      <c r="FE1111" s="640"/>
      <c r="FF1111" s="640"/>
      <c r="FG1111" s="640"/>
      <c r="FH1111" s="640"/>
      <c r="FI1111" s="640"/>
      <c r="FJ1111" s="640"/>
      <c r="FK1111" s="640"/>
      <c r="FL1111" s="640"/>
    </row>
    <row r="1112" spans="1:168" x14ac:dyDescent="0.25">
      <c r="A1112" s="1492"/>
      <c r="B1112" s="624" t="str">
        <f t="shared" si="2665"/>
        <v>Хлеб пшенично-ржаной нарезной</v>
      </c>
      <c r="C1112" s="624">
        <f t="shared" si="2665"/>
        <v>30</v>
      </c>
      <c r="D1112" s="624">
        <f t="shared" si="2665"/>
        <v>2.25</v>
      </c>
      <c r="E1112" s="1158">
        <f t="shared" si="2479"/>
        <v>1.95</v>
      </c>
      <c r="F1112" s="1158"/>
      <c r="G1112" s="1140"/>
      <c r="H1112" s="1140"/>
      <c r="I1112" s="552"/>
      <c r="J1112" s="552">
        <f t="shared" ref="J1112:AO1112" si="2691">J152*J$338</f>
        <v>0</v>
      </c>
      <c r="K1112" s="552">
        <f t="shared" si="2691"/>
        <v>0</v>
      </c>
      <c r="L1112" s="552">
        <f t="shared" si="2691"/>
        <v>0</v>
      </c>
      <c r="M1112" s="552">
        <f t="shared" si="2691"/>
        <v>0</v>
      </c>
      <c r="N1112" s="552">
        <f t="shared" si="2691"/>
        <v>0</v>
      </c>
      <c r="O1112" s="552">
        <f t="shared" si="2691"/>
        <v>0</v>
      </c>
      <c r="P1112" s="552">
        <f t="shared" si="2691"/>
        <v>0</v>
      </c>
      <c r="Q1112" s="552">
        <f t="shared" si="2691"/>
        <v>0</v>
      </c>
      <c r="R1112" s="552">
        <f t="shared" si="2691"/>
        <v>0</v>
      </c>
      <c r="S1112" s="552">
        <f t="shared" si="2691"/>
        <v>0</v>
      </c>
      <c r="T1112" s="552">
        <f t="shared" si="2691"/>
        <v>0</v>
      </c>
      <c r="U1112" s="552">
        <f t="shared" si="2691"/>
        <v>0</v>
      </c>
      <c r="V1112" s="552">
        <f t="shared" si="2691"/>
        <v>0</v>
      </c>
      <c r="W1112" s="552">
        <f t="shared" si="2691"/>
        <v>0</v>
      </c>
      <c r="X1112" s="552">
        <f t="shared" si="2691"/>
        <v>0</v>
      </c>
      <c r="Y1112" s="552">
        <f t="shared" si="2691"/>
        <v>0</v>
      </c>
      <c r="Z1112" s="552">
        <f t="shared" si="2691"/>
        <v>0</v>
      </c>
      <c r="AA1112" s="552">
        <f t="shared" si="2691"/>
        <v>0</v>
      </c>
      <c r="AB1112" s="552">
        <f t="shared" si="2691"/>
        <v>0</v>
      </c>
      <c r="AC1112" s="552">
        <f t="shared" si="2691"/>
        <v>0</v>
      </c>
      <c r="AD1112" s="552">
        <f t="shared" si="2691"/>
        <v>0</v>
      </c>
      <c r="AE1112" s="552">
        <f t="shared" si="2691"/>
        <v>0</v>
      </c>
      <c r="AF1112" s="552">
        <f t="shared" si="2691"/>
        <v>0</v>
      </c>
      <c r="AG1112" s="552">
        <f t="shared" si="2691"/>
        <v>0</v>
      </c>
      <c r="AH1112" s="552">
        <f t="shared" si="2691"/>
        <v>0</v>
      </c>
      <c r="AI1112" s="552">
        <f t="shared" si="2691"/>
        <v>0</v>
      </c>
      <c r="AJ1112" s="552">
        <f t="shared" si="2691"/>
        <v>0</v>
      </c>
      <c r="AK1112" s="552">
        <f t="shared" si="2691"/>
        <v>0</v>
      </c>
      <c r="AL1112" s="552">
        <f t="shared" si="2691"/>
        <v>0</v>
      </c>
      <c r="AM1112" s="552">
        <f t="shared" si="2691"/>
        <v>0</v>
      </c>
      <c r="AN1112" s="552">
        <f t="shared" si="2691"/>
        <v>0</v>
      </c>
      <c r="AO1112" s="552">
        <f t="shared" si="2691"/>
        <v>0</v>
      </c>
      <c r="AP1112" s="552">
        <f t="shared" ref="AP1112:BU1112" si="2692">AP152*AP$338</f>
        <v>0</v>
      </c>
      <c r="AQ1112" s="552">
        <f t="shared" si="2692"/>
        <v>0</v>
      </c>
      <c r="AR1112" s="552">
        <f t="shared" si="2692"/>
        <v>0</v>
      </c>
      <c r="AS1112" s="552">
        <f t="shared" si="2692"/>
        <v>0</v>
      </c>
      <c r="AT1112" s="552">
        <f t="shared" si="2692"/>
        <v>0</v>
      </c>
      <c r="AU1112" s="552">
        <f t="shared" si="2692"/>
        <v>0</v>
      </c>
      <c r="AV1112" s="552">
        <f t="shared" si="2692"/>
        <v>0</v>
      </c>
      <c r="AW1112" s="552">
        <f t="shared" si="2692"/>
        <v>0</v>
      </c>
      <c r="AX1112" s="552">
        <f t="shared" si="2692"/>
        <v>0</v>
      </c>
      <c r="AY1112" s="552">
        <f t="shared" si="2692"/>
        <v>0</v>
      </c>
      <c r="AZ1112" s="552">
        <f t="shared" si="2692"/>
        <v>0</v>
      </c>
      <c r="BA1112" s="552">
        <f t="shared" si="2692"/>
        <v>0</v>
      </c>
      <c r="BB1112" s="552">
        <f t="shared" si="2692"/>
        <v>0</v>
      </c>
      <c r="BC1112" s="552">
        <f t="shared" si="2692"/>
        <v>0</v>
      </c>
      <c r="BD1112" s="552">
        <f t="shared" si="2692"/>
        <v>0</v>
      </c>
      <c r="BE1112" s="552">
        <f t="shared" si="2692"/>
        <v>0</v>
      </c>
      <c r="BF1112" s="552">
        <f t="shared" si="2692"/>
        <v>0</v>
      </c>
      <c r="BG1112" s="552">
        <f t="shared" si="2692"/>
        <v>0</v>
      </c>
      <c r="BH1112" s="552">
        <f t="shared" si="2692"/>
        <v>0</v>
      </c>
      <c r="BI1112" s="552">
        <f t="shared" si="2692"/>
        <v>0</v>
      </c>
      <c r="BJ1112" s="552">
        <f t="shared" si="2692"/>
        <v>0</v>
      </c>
      <c r="BK1112" s="552">
        <f t="shared" si="2692"/>
        <v>0</v>
      </c>
      <c r="BL1112" s="552">
        <f t="shared" si="2692"/>
        <v>0</v>
      </c>
      <c r="BM1112" s="552">
        <f t="shared" si="2692"/>
        <v>0</v>
      </c>
      <c r="BN1112" s="552">
        <f t="shared" si="2692"/>
        <v>0</v>
      </c>
      <c r="BO1112" s="552">
        <f t="shared" si="2692"/>
        <v>0</v>
      </c>
      <c r="BP1112" s="552">
        <f t="shared" si="2692"/>
        <v>0</v>
      </c>
      <c r="BQ1112" s="552">
        <f t="shared" si="2692"/>
        <v>0</v>
      </c>
      <c r="BR1112" s="552">
        <f t="shared" si="2692"/>
        <v>0</v>
      </c>
      <c r="BS1112" s="552">
        <f t="shared" si="2692"/>
        <v>0</v>
      </c>
      <c r="BT1112" s="552">
        <f t="shared" si="2692"/>
        <v>0</v>
      </c>
      <c r="BU1112" s="552">
        <f t="shared" si="2692"/>
        <v>0</v>
      </c>
      <c r="BV1112" s="552">
        <f t="shared" ref="BV1112:DA1112" si="2693">BV152*BV$338</f>
        <v>0</v>
      </c>
      <c r="BW1112" s="552">
        <f t="shared" si="2693"/>
        <v>0</v>
      </c>
      <c r="BX1112" s="552">
        <f t="shared" si="2693"/>
        <v>0</v>
      </c>
      <c r="BY1112" s="552">
        <f t="shared" si="2693"/>
        <v>0</v>
      </c>
      <c r="BZ1112" s="552">
        <f t="shared" si="2693"/>
        <v>0</v>
      </c>
      <c r="CA1112" s="552">
        <f t="shared" si="2693"/>
        <v>0</v>
      </c>
      <c r="CB1112" s="552">
        <f t="shared" si="2693"/>
        <v>0</v>
      </c>
      <c r="CC1112" s="552">
        <f t="shared" si="2693"/>
        <v>0</v>
      </c>
      <c r="CD1112" s="552">
        <f t="shared" si="2693"/>
        <v>0</v>
      </c>
      <c r="CE1112" s="552">
        <f t="shared" si="2693"/>
        <v>0</v>
      </c>
      <c r="CF1112" s="552">
        <f t="shared" si="2693"/>
        <v>0</v>
      </c>
      <c r="CG1112" s="552">
        <f t="shared" si="2693"/>
        <v>0</v>
      </c>
      <c r="CH1112" s="552">
        <f t="shared" si="2693"/>
        <v>0</v>
      </c>
      <c r="CI1112" s="552">
        <f t="shared" si="2693"/>
        <v>0</v>
      </c>
      <c r="CJ1112" s="552">
        <f t="shared" si="2693"/>
        <v>0</v>
      </c>
      <c r="CK1112" s="552">
        <f t="shared" si="2693"/>
        <v>0</v>
      </c>
      <c r="CL1112" s="552">
        <f t="shared" si="2693"/>
        <v>0</v>
      </c>
      <c r="CM1112" s="552">
        <f t="shared" si="2693"/>
        <v>0</v>
      </c>
      <c r="CN1112" s="552">
        <f t="shared" si="2693"/>
        <v>0</v>
      </c>
      <c r="CO1112" s="552">
        <f t="shared" si="2693"/>
        <v>0</v>
      </c>
      <c r="CP1112" s="552">
        <f t="shared" si="2693"/>
        <v>0</v>
      </c>
      <c r="CQ1112" s="552">
        <f t="shared" si="2693"/>
        <v>0</v>
      </c>
      <c r="CR1112" s="552">
        <f t="shared" si="2693"/>
        <v>0</v>
      </c>
      <c r="CS1112" s="552">
        <f t="shared" si="2693"/>
        <v>0</v>
      </c>
      <c r="CT1112" s="552">
        <f t="shared" si="2693"/>
        <v>0</v>
      </c>
      <c r="CU1112" s="552">
        <f t="shared" si="2693"/>
        <v>0</v>
      </c>
      <c r="CV1112" s="552">
        <f t="shared" si="2693"/>
        <v>0</v>
      </c>
      <c r="CW1112" s="552">
        <f t="shared" si="2693"/>
        <v>0</v>
      </c>
      <c r="CX1112" s="552">
        <f t="shared" si="2693"/>
        <v>0</v>
      </c>
      <c r="CY1112" s="552">
        <f t="shared" si="2693"/>
        <v>0</v>
      </c>
      <c r="CZ1112" s="552">
        <f t="shared" si="2693"/>
        <v>0</v>
      </c>
      <c r="DA1112" s="552">
        <f t="shared" si="2693"/>
        <v>0</v>
      </c>
      <c r="DB1112" s="552">
        <f t="shared" ref="DB1112:EG1112" si="2694">DB152*DB$338</f>
        <v>0</v>
      </c>
      <c r="DC1112" s="552">
        <f t="shared" si="2694"/>
        <v>0</v>
      </c>
      <c r="DD1112" s="552">
        <f t="shared" si="2694"/>
        <v>0</v>
      </c>
      <c r="DE1112" s="552">
        <f t="shared" si="2694"/>
        <v>0</v>
      </c>
      <c r="DF1112" s="552">
        <f t="shared" si="2694"/>
        <v>0</v>
      </c>
      <c r="DG1112" s="552">
        <f t="shared" si="2694"/>
        <v>0</v>
      </c>
      <c r="DH1112" s="552">
        <f t="shared" si="2694"/>
        <v>0</v>
      </c>
      <c r="DI1112" s="552">
        <f t="shared" si="2694"/>
        <v>0</v>
      </c>
      <c r="DJ1112" s="552">
        <f t="shared" si="2694"/>
        <v>0</v>
      </c>
      <c r="DK1112" s="552">
        <f t="shared" si="2694"/>
        <v>0</v>
      </c>
      <c r="DL1112" s="552">
        <f t="shared" si="2694"/>
        <v>0</v>
      </c>
      <c r="DM1112" s="552">
        <f t="shared" si="2694"/>
        <v>0</v>
      </c>
      <c r="DN1112" s="552">
        <f t="shared" si="2694"/>
        <v>0</v>
      </c>
      <c r="DO1112" s="552">
        <f t="shared" si="2694"/>
        <v>0</v>
      </c>
      <c r="DP1112" s="552">
        <f t="shared" si="2694"/>
        <v>0</v>
      </c>
      <c r="DQ1112" s="552">
        <f t="shared" si="2694"/>
        <v>0</v>
      </c>
      <c r="DR1112" s="552">
        <f t="shared" si="2694"/>
        <v>0</v>
      </c>
      <c r="DS1112" s="552">
        <f t="shared" si="2694"/>
        <v>0</v>
      </c>
      <c r="DT1112" s="552">
        <f t="shared" si="2694"/>
        <v>0</v>
      </c>
      <c r="DU1112" s="552">
        <f t="shared" si="2694"/>
        <v>0</v>
      </c>
      <c r="DV1112" s="552">
        <f t="shared" si="2694"/>
        <v>0</v>
      </c>
      <c r="DW1112" s="552">
        <f t="shared" si="2694"/>
        <v>0</v>
      </c>
      <c r="DX1112" s="552">
        <f t="shared" si="2694"/>
        <v>0</v>
      </c>
      <c r="DY1112" s="552">
        <f t="shared" si="2694"/>
        <v>0</v>
      </c>
      <c r="DZ1112" s="552">
        <f t="shared" si="2694"/>
        <v>0</v>
      </c>
      <c r="EA1112" s="552">
        <f t="shared" si="2694"/>
        <v>0</v>
      </c>
      <c r="EB1112" s="552">
        <f t="shared" si="2694"/>
        <v>0</v>
      </c>
      <c r="EC1112" s="552">
        <f t="shared" si="2694"/>
        <v>0</v>
      </c>
      <c r="ED1112" s="552">
        <f t="shared" si="2694"/>
        <v>0</v>
      </c>
      <c r="EE1112" s="552">
        <f t="shared" si="2694"/>
        <v>0</v>
      </c>
      <c r="EF1112" s="552">
        <f t="shared" si="2694"/>
        <v>0</v>
      </c>
      <c r="EG1112" s="552">
        <f t="shared" si="2694"/>
        <v>0</v>
      </c>
      <c r="EH1112" s="552">
        <f t="shared" ref="EH1112:EX1112" si="2695">EH152*EH$338</f>
        <v>0</v>
      </c>
      <c r="EI1112" s="552">
        <f t="shared" si="2695"/>
        <v>0</v>
      </c>
      <c r="EJ1112" s="552">
        <f t="shared" si="2695"/>
        <v>0</v>
      </c>
      <c r="EK1112" s="552">
        <f t="shared" si="2695"/>
        <v>0</v>
      </c>
      <c r="EL1112" s="552">
        <f t="shared" si="2695"/>
        <v>0</v>
      </c>
      <c r="EM1112" s="552">
        <f t="shared" si="2695"/>
        <v>0</v>
      </c>
      <c r="EN1112" s="552">
        <f t="shared" si="2695"/>
        <v>0</v>
      </c>
      <c r="EO1112" s="552">
        <f t="shared" si="2695"/>
        <v>0</v>
      </c>
      <c r="EP1112" s="552">
        <f t="shared" si="2695"/>
        <v>0</v>
      </c>
      <c r="EQ1112" s="552">
        <f t="shared" si="2695"/>
        <v>0</v>
      </c>
      <c r="ER1112" s="552">
        <f t="shared" si="2695"/>
        <v>0</v>
      </c>
      <c r="ES1112" s="552">
        <f t="shared" si="2695"/>
        <v>0</v>
      </c>
      <c r="ET1112" s="552">
        <f t="shared" si="2695"/>
        <v>0</v>
      </c>
      <c r="EU1112" s="552">
        <f t="shared" si="2695"/>
        <v>0</v>
      </c>
      <c r="EV1112" s="552">
        <f t="shared" si="2695"/>
        <v>0</v>
      </c>
      <c r="EW1112" s="552">
        <f t="shared" si="2695"/>
        <v>1.95</v>
      </c>
      <c r="EX1112" s="552">
        <f t="shared" si="2695"/>
        <v>0</v>
      </c>
      <c r="EY1112" s="799">
        <f t="shared" si="2478"/>
        <v>1.95</v>
      </c>
      <c r="EZ1112" s="640"/>
      <c r="FA1112" s="640"/>
      <c r="FB1112" s="640"/>
      <c r="FC1112" s="640"/>
      <c r="FD1112" s="640"/>
      <c r="FE1112" s="640"/>
      <c r="FF1112" s="640"/>
      <c r="FG1112" s="640"/>
      <c r="FH1112" s="640"/>
      <c r="FI1112" s="640"/>
      <c r="FJ1112" s="640"/>
      <c r="FK1112" s="640"/>
      <c r="FL1112" s="640"/>
    </row>
    <row r="1113" spans="1:168" x14ac:dyDescent="0.25">
      <c r="A1113" s="1492"/>
      <c r="B1113" s="624">
        <f t="shared" si="2665"/>
        <v>0</v>
      </c>
      <c r="C1113" s="624">
        <f t="shared" si="2665"/>
        <v>0</v>
      </c>
      <c r="D1113" s="624">
        <f t="shared" si="2665"/>
        <v>0</v>
      </c>
      <c r="E1113" s="1158">
        <f t="shared" si="2479"/>
        <v>0</v>
      </c>
      <c r="F1113" s="1158"/>
      <c r="G1113" s="1140"/>
      <c r="H1113" s="1140"/>
      <c r="I1113" s="552"/>
      <c r="J1113" s="552">
        <f t="shared" ref="J1113:AO1113" si="2696">J153*J$338</f>
        <v>0</v>
      </c>
      <c r="K1113" s="552">
        <f t="shared" si="2696"/>
        <v>0</v>
      </c>
      <c r="L1113" s="552">
        <f t="shared" si="2696"/>
        <v>0</v>
      </c>
      <c r="M1113" s="552">
        <f t="shared" si="2696"/>
        <v>0</v>
      </c>
      <c r="N1113" s="552">
        <f t="shared" si="2696"/>
        <v>0</v>
      </c>
      <c r="O1113" s="552">
        <f t="shared" si="2696"/>
        <v>0</v>
      </c>
      <c r="P1113" s="552">
        <f t="shared" si="2696"/>
        <v>0</v>
      </c>
      <c r="Q1113" s="552">
        <f t="shared" si="2696"/>
        <v>0</v>
      </c>
      <c r="R1113" s="552">
        <f t="shared" si="2696"/>
        <v>0</v>
      </c>
      <c r="S1113" s="552">
        <f t="shared" si="2696"/>
        <v>0</v>
      </c>
      <c r="T1113" s="552">
        <f t="shared" si="2696"/>
        <v>0</v>
      </c>
      <c r="U1113" s="552">
        <f t="shared" si="2696"/>
        <v>0</v>
      </c>
      <c r="V1113" s="552">
        <f t="shared" si="2696"/>
        <v>0</v>
      </c>
      <c r="W1113" s="552">
        <f t="shared" si="2696"/>
        <v>0</v>
      </c>
      <c r="X1113" s="552">
        <f t="shared" si="2696"/>
        <v>0</v>
      </c>
      <c r="Y1113" s="552">
        <f t="shared" si="2696"/>
        <v>0</v>
      </c>
      <c r="Z1113" s="552">
        <f t="shared" si="2696"/>
        <v>0</v>
      </c>
      <c r="AA1113" s="552">
        <f t="shared" si="2696"/>
        <v>0</v>
      </c>
      <c r="AB1113" s="552">
        <f t="shared" si="2696"/>
        <v>0</v>
      </c>
      <c r="AC1113" s="552">
        <f t="shared" si="2696"/>
        <v>0</v>
      </c>
      <c r="AD1113" s="552">
        <f t="shared" si="2696"/>
        <v>0</v>
      </c>
      <c r="AE1113" s="552">
        <f t="shared" si="2696"/>
        <v>0</v>
      </c>
      <c r="AF1113" s="552">
        <f t="shared" si="2696"/>
        <v>0</v>
      </c>
      <c r="AG1113" s="552">
        <f t="shared" si="2696"/>
        <v>0</v>
      </c>
      <c r="AH1113" s="552">
        <f t="shared" si="2696"/>
        <v>0</v>
      </c>
      <c r="AI1113" s="552">
        <f t="shared" si="2696"/>
        <v>0</v>
      </c>
      <c r="AJ1113" s="552">
        <f t="shared" si="2696"/>
        <v>0</v>
      </c>
      <c r="AK1113" s="552">
        <f t="shared" si="2696"/>
        <v>0</v>
      </c>
      <c r="AL1113" s="552">
        <f t="shared" si="2696"/>
        <v>0</v>
      </c>
      <c r="AM1113" s="552">
        <f t="shared" si="2696"/>
        <v>0</v>
      </c>
      <c r="AN1113" s="552">
        <f t="shared" si="2696"/>
        <v>0</v>
      </c>
      <c r="AO1113" s="552">
        <f t="shared" si="2696"/>
        <v>0</v>
      </c>
      <c r="AP1113" s="552">
        <f t="shared" ref="AP1113:BU1113" si="2697">AP153*AP$338</f>
        <v>0</v>
      </c>
      <c r="AQ1113" s="552">
        <f t="shared" si="2697"/>
        <v>0</v>
      </c>
      <c r="AR1113" s="552">
        <f t="shared" si="2697"/>
        <v>0</v>
      </c>
      <c r="AS1113" s="552">
        <f t="shared" si="2697"/>
        <v>0</v>
      </c>
      <c r="AT1113" s="552">
        <f t="shared" si="2697"/>
        <v>0</v>
      </c>
      <c r="AU1113" s="552">
        <f t="shared" si="2697"/>
        <v>0</v>
      </c>
      <c r="AV1113" s="552">
        <f t="shared" si="2697"/>
        <v>0</v>
      </c>
      <c r="AW1113" s="552">
        <f t="shared" si="2697"/>
        <v>0</v>
      </c>
      <c r="AX1113" s="552">
        <f t="shared" si="2697"/>
        <v>0</v>
      </c>
      <c r="AY1113" s="552">
        <f t="shared" si="2697"/>
        <v>0</v>
      </c>
      <c r="AZ1113" s="552">
        <f t="shared" si="2697"/>
        <v>0</v>
      </c>
      <c r="BA1113" s="552">
        <f t="shared" si="2697"/>
        <v>0</v>
      </c>
      <c r="BB1113" s="552">
        <f t="shared" si="2697"/>
        <v>0</v>
      </c>
      <c r="BC1113" s="552">
        <f t="shared" si="2697"/>
        <v>0</v>
      </c>
      <c r="BD1113" s="552">
        <f t="shared" si="2697"/>
        <v>0</v>
      </c>
      <c r="BE1113" s="552">
        <f t="shared" si="2697"/>
        <v>0</v>
      </c>
      <c r="BF1113" s="552">
        <f t="shared" si="2697"/>
        <v>0</v>
      </c>
      <c r="BG1113" s="552">
        <f t="shared" si="2697"/>
        <v>0</v>
      </c>
      <c r="BH1113" s="552">
        <f t="shared" si="2697"/>
        <v>0</v>
      </c>
      <c r="BI1113" s="552">
        <f t="shared" si="2697"/>
        <v>0</v>
      </c>
      <c r="BJ1113" s="552">
        <f t="shared" si="2697"/>
        <v>0</v>
      </c>
      <c r="BK1113" s="552">
        <f t="shared" si="2697"/>
        <v>0</v>
      </c>
      <c r="BL1113" s="552">
        <f t="shared" si="2697"/>
        <v>0</v>
      </c>
      <c r="BM1113" s="552">
        <f t="shared" si="2697"/>
        <v>0</v>
      </c>
      <c r="BN1113" s="552">
        <f t="shared" si="2697"/>
        <v>0</v>
      </c>
      <c r="BO1113" s="552">
        <f t="shared" si="2697"/>
        <v>0</v>
      </c>
      <c r="BP1113" s="552">
        <f t="shared" si="2697"/>
        <v>0</v>
      </c>
      <c r="BQ1113" s="552">
        <f t="shared" si="2697"/>
        <v>0</v>
      </c>
      <c r="BR1113" s="552">
        <f t="shared" si="2697"/>
        <v>0</v>
      </c>
      <c r="BS1113" s="552">
        <f t="shared" si="2697"/>
        <v>0</v>
      </c>
      <c r="BT1113" s="552">
        <f t="shared" si="2697"/>
        <v>0</v>
      </c>
      <c r="BU1113" s="552">
        <f t="shared" si="2697"/>
        <v>0</v>
      </c>
      <c r="BV1113" s="552">
        <f t="shared" ref="BV1113:DA1113" si="2698">BV153*BV$338</f>
        <v>0</v>
      </c>
      <c r="BW1113" s="552">
        <f t="shared" si="2698"/>
        <v>0</v>
      </c>
      <c r="BX1113" s="552">
        <f t="shared" si="2698"/>
        <v>0</v>
      </c>
      <c r="BY1113" s="552">
        <f t="shared" si="2698"/>
        <v>0</v>
      </c>
      <c r="BZ1113" s="552">
        <f t="shared" si="2698"/>
        <v>0</v>
      </c>
      <c r="CA1113" s="552">
        <f t="shared" si="2698"/>
        <v>0</v>
      </c>
      <c r="CB1113" s="552">
        <f t="shared" si="2698"/>
        <v>0</v>
      </c>
      <c r="CC1113" s="552">
        <f t="shared" si="2698"/>
        <v>0</v>
      </c>
      <c r="CD1113" s="552">
        <f t="shared" si="2698"/>
        <v>0</v>
      </c>
      <c r="CE1113" s="552">
        <f t="shared" si="2698"/>
        <v>0</v>
      </c>
      <c r="CF1113" s="552">
        <f t="shared" si="2698"/>
        <v>0</v>
      </c>
      <c r="CG1113" s="552">
        <f t="shared" si="2698"/>
        <v>0</v>
      </c>
      <c r="CH1113" s="552">
        <f t="shared" si="2698"/>
        <v>0</v>
      </c>
      <c r="CI1113" s="552">
        <f t="shared" si="2698"/>
        <v>0</v>
      </c>
      <c r="CJ1113" s="552">
        <f t="shared" si="2698"/>
        <v>0</v>
      </c>
      <c r="CK1113" s="552">
        <f t="shared" si="2698"/>
        <v>0</v>
      </c>
      <c r="CL1113" s="552">
        <f t="shared" si="2698"/>
        <v>0</v>
      </c>
      <c r="CM1113" s="552">
        <f t="shared" si="2698"/>
        <v>0</v>
      </c>
      <c r="CN1113" s="552">
        <f t="shared" si="2698"/>
        <v>0</v>
      </c>
      <c r="CO1113" s="552">
        <f t="shared" si="2698"/>
        <v>0</v>
      </c>
      <c r="CP1113" s="552">
        <f t="shared" si="2698"/>
        <v>0</v>
      </c>
      <c r="CQ1113" s="552">
        <f t="shared" si="2698"/>
        <v>0</v>
      </c>
      <c r="CR1113" s="552">
        <f t="shared" si="2698"/>
        <v>0</v>
      </c>
      <c r="CS1113" s="552">
        <f t="shared" si="2698"/>
        <v>0</v>
      </c>
      <c r="CT1113" s="552">
        <f t="shared" si="2698"/>
        <v>0</v>
      </c>
      <c r="CU1113" s="552">
        <f t="shared" si="2698"/>
        <v>0</v>
      </c>
      <c r="CV1113" s="552">
        <f t="shared" si="2698"/>
        <v>0</v>
      </c>
      <c r="CW1113" s="552">
        <f t="shared" si="2698"/>
        <v>0</v>
      </c>
      <c r="CX1113" s="552">
        <f t="shared" si="2698"/>
        <v>0</v>
      </c>
      <c r="CY1113" s="552">
        <f t="shared" si="2698"/>
        <v>0</v>
      </c>
      <c r="CZ1113" s="552">
        <f t="shared" si="2698"/>
        <v>0</v>
      </c>
      <c r="DA1113" s="552">
        <f t="shared" si="2698"/>
        <v>0</v>
      </c>
      <c r="DB1113" s="552">
        <f t="shared" ref="DB1113:EG1113" si="2699">DB153*DB$338</f>
        <v>0</v>
      </c>
      <c r="DC1113" s="552">
        <f t="shared" si="2699"/>
        <v>0</v>
      </c>
      <c r="DD1113" s="552">
        <f t="shared" si="2699"/>
        <v>0</v>
      </c>
      <c r="DE1113" s="552">
        <f t="shared" si="2699"/>
        <v>0</v>
      </c>
      <c r="DF1113" s="552">
        <f t="shared" si="2699"/>
        <v>0</v>
      </c>
      <c r="DG1113" s="552">
        <f t="shared" si="2699"/>
        <v>0</v>
      </c>
      <c r="DH1113" s="552">
        <f t="shared" si="2699"/>
        <v>0</v>
      </c>
      <c r="DI1113" s="552">
        <f t="shared" si="2699"/>
        <v>0</v>
      </c>
      <c r="DJ1113" s="552">
        <f t="shared" si="2699"/>
        <v>0</v>
      </c>
      <c r="DK1113" s="552">
        <f t="shared" si="2699"/>
        <v>0</v>
      </c>
      <c r="DL1113" s="552">
        <f t="shared" si="2699"/>
        <v>0</v>
      </c>
      <c r="DM1113" s="552">
        <f t="shared" si="2699"/>
        <v>0</v>
      </c>
      <c r="DN1113" s="552">
        <f t="shared" si="2699"/>
        <v>0</v>
      </c>
      <c r="DO1113" s="552">
        <f t="shared" si="2699"/>
        <v>0</v>
      </c>
      <c r="DP1113" s="552">
        <f t="shared" si="2699"/>
        <v>0</v>
      </c>
      <c r="DQ1113" s="552">
        <f t="shared" si="2699"/>
        <v>0</v>
      </c>
      <c r="DR1113" s="552">
        <f t="shared" si="2699"/>
        <v>0</v>
      </c>
      <c r="DS1113" s="552">
        <f t="shared" si="2699"/>
        <v>0</v>
      </c>
      <c r="DT1113" s="552">
        <f t="shared" si="2699"/>
        <v>0</v>
      </c>
      <c r="DU1113" s="552">
        <f t="shared" si="2699"/>
        <v>0</v>
      </c>
      <c r="DV1113" s="552">
        <f t="shared" si="2699"/>
        <v>0</v>
      </c>
      <c r="DW1113" s="552">
        <f t="shared" si="2699"/>
        <v>0</v>
      </c>
      <c r="DX1113" s="552">
        <f t="shared" si="2699"/>
        <v>0</v>
      </c>
      <c r="DY1113" s="552">
        <f t="shared" si="2699"/>
        <v>0</v>
      </c>
      <c r="DZ1113" s="552">
        <f t="shared" si="2699"/>
        <v>0</v>
      </c>
      <c r="EA1113" s="552">
        <f t="shared" si="2699"/>
        <v>0</v>
      </c>
      <c r="EB1113" s="552">
        <f t="shared" si="2699"/>
        <v>0</v>
      </c>
      <c r="EC1113" s="552">
        <f t="shared" si="2699"/>
        <v>0</v>
      </c>
      <c r="ED1113" s="552">
        <f t="shared" si="2699"/>
        <v>0</v>
      </c>
      <c r="EE1113" s="552">
        <f t="shared" si="2699"/>
        <v>0</v>
      </c>
      <c r="EF1113" s="552">
        <f t="shared" si="2699"/>
        <v>0</v>
      </c>
      <c r="EG1113" s="552">
        <f t="shared" si="2699"/>
        <v>0</v>
      </c>
      <c r="EH1113" s="552">
        <f t="shared" ref="EH1113:EX1113" si="2700">EH153*EH$338</f>
        <v>0</v>
      </c>
      <c r="EI1113" s="552">
        <f t="shared" si="2700"/>
        <v>0</v>
      </c>
      <c r="EJ1113" s="552">
        <f t="shared" si="2700"/>
        <v>0</v>
      </c>
      <c r="EK1113" s="552">
        <f t="shared" si="2700"/>
        <v>0</v>
      </c>
      <c r="EL1113" s="552">
        <f t="shared" si="2700"/>
        <v>0</v>
      </c>
      <c r="EM1113" s="552">
        <f t="shared" si="2700"/>
        <v>0</v>
      </c>
      <c r="EN1113" s="552">
        <f t="shared" si="2700"/>
        <v>0</v>
      </c>
      <c r="EO1113" s="552">
        <f t="shared" si="2700"/>
        <v>0</v>
      </c>
      <c r="EP1113" s="552">
        <f t="shared" si="2700"/>
        <v>0</v>
      </c>
      <c r="EQ1113" s="552">
        <f t="shared" si="2700"/>
        <v>0</v>
      </c>
      <c r="ER1113" s="552">
        <f t="shared" si="2700"/>
        <v>0</v>
      </c>
      <c r="ES1113" s="552">
        <f t="shared" si="2700"/>
        <v>0</v>
      </c>
      <c r="ET1113" s="552">
        <f t="shared" si="2700"/>
        <v>0</v>
      </c>
      <c r="EU1113" s="552">
        <f t="shared" si="2700"/>
        <v>0</v>
      </c>
      <c r="EV1113" s="552">
        <f t="shared" si="2700"/>
        <v>0</v>
      </c>
      <c r="EW1113" s="552">
        <f t="shared" si="2700"/>
        <v>0</v>
      </c>
      <c r="EX1113" s="552">
        <f t="shared" si="2700"/>
        <v>0</v>
      </c>
      <c r="EY1113" s="799">
        <f t="shared" si="2478"/>
        <v>0</v>
      </c>
      <c r="EZ1113" s="640"/>
      <c r="FA1113" s="640"/>
      <c r="FB1113" s="640"/>
      <c r="FC1113" s="640"/>
      <c r="FD1113" s="640"/>
      <c r="FE1113" s="640"/>
      <c r="FF1113" s="640"/>
      <c r="FG1113" s="640"/>
      <c r="FH1113" s="640"/>
      <c r="FI1113" s="640"/>
      <c r="FJ1113" s="640"/>
      <c r="FK1113" s="640"/>
      <c r="FL1113" s="640"/>
    </row>
    <row r="1114" spans="1:168" x14ac:dyDescent="0.25">
      <c r="A1114" s="1492"/>
      <c r="B1114" s="624">
        <f t="shared" si="2665"/>
        <v>0</v>
      </c>
      <c r="C1114" s="624">
        <f t="shared" si="2665"/>
        <v>0</v>
      </c>
      <c r="D1114" s="624">
        <f t="shared" si="2665"/>
        <v>0</v>
      </c>
      <c r="E1114" s="1158">
        <f t="shared" si="2479"/>
        <v>0</v>
      </c>
      <c r="F1114" s="1158"/>
      <c r="G1114" s="1140"/>
      <c r="H1114" s="1140"/>
      <c r="I1114" s="552"/>
      <c r="J1114" s="552">
        <f t="shared" ref="J1114:AO1114" si="2701">J154*J$338</f>
        <v>0</v>
      </c>
      <c r="K1114" s="552">
        <f t="shared" si="2701"/>
        <v>0</v>
      </c>
      <c r="L1114" s="552">
        <f t="shared" si="2701"/>
        <v>0</v>
      </c>
      <c r="M1114" s="552">
        <f t="shared" si="2701"/>
        <v>0</v>
      </c>
      <c r="N1114" s="552">
        <f t="shared" si="2701"/>
        <v>0</v>
      </c>
      <c r="O1114" s="552">
        <f t="shared" si="2701"/>
        <v>0</v>
      </c>
      <c r="P1114" s="552">
        <f t="shared" si="2701"/>
        <v>0</v>
      </c>
      <c r="Q1114" s="552">
        <f t="shared" si="2701"/>
        <v>0</v>
      </c>
      <c r="R1114" s="552">
        <f t="shared" si="2701"/>
        <v>0</v>
      </c>
      <c r="S1114" s="552">
        <f t="shared" si="2701"/>
        <v>0</v>
      </c>
      <c r="T1114" s="552">
        <f t="shared" si="2701"/>
        <v>0</v>
      </c>
      <c r="U1114" s="552">
        <f t="shared" si="2701"/>
        <v>0</v>
      </c>
      <c r="V1114" s="552">
        <f t="shared" si="2701"/>
        <v>0</v>
      </c>
      <c r="W1114" s="552">
        <f t="shared" si="2701"/>
        <v>0</v>
      </c>
      <c r="X1114" s="552">
        <f t="shared" si="2701"/>
        <v>0</v>
      </c>
      <c r="Y1114" s="552">
        <f t="shared" si="2701"/>
        <v>0</v>
      </c>
      <c r="Z1114" s="552">
        <f t="shared" si="2701"/>
        <v>0</v>
      </c>
      <c r="AA1114" s="552">
        <f t="shared" si="2701"/>
        <v>0</v>
      </c>
      <c r="AB1114" s="552">
        <f t="shared" si="2701"/>
        <v>0</v>
      </c>
      <c r="AC1114" s="552">
        <f t="shared" si="2701"/>
        <v>0</v>
      </c>
      <c r="AD1114" s="552">
        <f t="shared" si="2701"/>
        <v>0</v>
      </c>
      <c r="AE1114" s="552">
        <f t="shared" si="2701"/>
        <v>0</v>
      </c>
      <c r="AF1114" s="552">
        <f t="shared" si="2701"/>
        <v>0</v>
      </c>
      <c r="AG1114" s="552">
        <f t="shared" si="2701"/>
        <v>0</v>
      </c>
      <c r="AH1114" s="552">
        <f t="shared" si="2701"/>
        <v>0</v>
      </c>
      <c r="AI1114" s="552">
        <f t="shared" si="2701"/>
        <v>0</v>
      </c>
      <c r="AJ1114" s="552">
        <f t="shared" si="2701"/>
        <v>0</v>
      </c>
      <c r="AK1114" s="552">
        <f t="shared" si="2701"/>
        <v>0</v>
      </c>
      <c r="AL1114" s="552">
        <f t="shared" si="2701"/>
        <v>0</v>
      </c>
      <c r="AM1114" s="552">
        <f t="shared" si="2701"/>
        <v>0</v>
      </c>
      <c r="AN1114" s="552">
        <f t="shared" si="2701"/>
        <v>0</v>
      </c>
      <c r="AO1114" s="552">
        <f t="shared" si="2701"/>
        <v>0</v>
      </c>
      <c r="AP1114" s="552">
        <f t="shared" ref="AP1114:BU1114" si="2702">AP154*AP$338</f>
        <v>0</v>
      </c>
      <c r="AQ1114" s="552">
        <f t="shared" si="2702"/>
        <v>0</v>
      </c>
      <c r="AR1114" s="552">
        <f t="shared" si="2702"/>
        <v>0</v>
      </c>
      <c r="AS1114" s="552">
        <f t="shared" si="2702"/>
        <v>0</v>
      </c>
      <c r="AT1114" s="552">
        <f t="shared" si="2702"/>
        <v>0</v>
      </c>
      <c r="AU1114" s="552">
        <f t="shared" si="2702"/>
        <v>0</v>
      </c>
      <c r="AV1114" s="552">
        <f t="shared" si="2702"/>
        <v>0</v>
      </c>
      <c r="AW1114" s="552">
        <f t="shared" si="2702"/>
        <v>0</v>
      </c>
      <c r="AX1114" s="552">
        <f t="shared" si="2702"/>
        <v>0</v>
      </c>
      <c r="AY1114" s="552">
        <f t="shared" si="2702"/>
        <v>0</v>
      </c>
      <c r="AZ1114" s="552">
        <f t="shared" si="2702"/>
        <v>0</v>
      </c>
      <c r="BA1114" s="552">
        <f t="shared" si="2702"/>
        <v>0</v>
      </c>
      <c r="BB1114" s="552">
        <f t="shared" si="2702"/>
        <v>0</v>
      </c>
      <c r="BC1114" s="552">
        <f t="shared" si="2702"/>
        <v>0</v>
      </c>
      <c r="BD1114" s="552">
        <f t="shared" si="2702"/>
        <v>0</v>
      </c>
      <c r="BE1114" s="552">
        <f t="shared" si="2702"/>
        <v>0</v>
      </c>
      <c r="BF1114" s="552">
        <f t="shared" si="2702"/>
        <v>0</v>
      </c>
      <c r="BG1114" s="552">
        <f t="shared" si="2702"/>
        <v>0</v>
      </c>
      <c r="BH1114" s="552">
        <f t="shared" si="2702"/>
        <v>0</v>
      </c>
      <c r="BI1114" s="552">
        <f t="shared" si="2702"/>
        <v>0</v>
      </c>
      <c r="BJ1114" s="552">
        <f t="shared" si="2702"/>
        <v>0</v>
      </c>
      <c r="BK1114" s="552">
        <f t="shared" si="2702"/>
        <v>0</v>
      </c>
      <c r="BL1114" s="552">
        <f t="shared" si="2702"/>
        <v>0</v>
      </c>
      <c r="BM1114" s="552">
        <f t="shared" si="2702"/>
        <v>0</v>
      </c>
      <c r="BN1114" s="552">
        <f t="shared" si="2702"/>
        <v>0</v>
      </c>
      <c r="BO1114" s="552">
        <f t="shared" si="2702"/>
        <v>0</v>
      </c>
      <c r="BP1114" s="552">
        <f t="shared" si="2702"/>
        <v>0</v>
      </c>
      <c r="BQ1114" s="552">
        <f t="shared" si="2702"/>
        <v>0</v>
      </c>
      <c r="BR1114" s="552">
        <f t="shared" si="2702"/>
        <v>0</v>
      </c>
      <c r="BS1114" s="552">
        <f t="shared" si="2702"/>
        <v>0</v>
      </c>
      <c r="BT1114" s="552">
        <f t="shared" si="2702"/>
        <v>0</v>
      </c>
      <c r="BU1114" s="552">
        <f t="shared" si="2702"/>
        <v>0</v>
      </c>
      <c r="BV1114" s="552">
        <f t="shared" ref="BV1114:DA1114" si="2703">BV154*BV$338</f>
        <v>0</v>
      </c>
      <c r="BW1114" s="552">
        <f t="shared" si="2703"/>
        <v>0</v>
      </c>
      <c r="BX1114" s="552">
        <f t="shared" si="2703"/>
        <v>0</v>
      </c>
      <c r="BY1114" s="552">
        <f t="shared" si="2703"/>
        <v>0</v>
      </c>
      <c r="BZ1114" s="552">
        <f t="shared" si="2703"/>
        <v>0</v>
      </c>
      <c r="CA1114" s="552">
        <f t="shared" si="2703"/>
        <v>0</v>
      </c>
      <c r="CB1114" s="552">
        <f t="shared" si="2703"/>
        <v>0</v>
      </c>
      <c r="CC1114" s="552">
        <f t="shared" si="2703"/>
        <v>0</v>
      </c>
      <c r="CD1114" s="552">
        <f t="shared" si="2703"/>
        <v>0</v>
      </c>
      <c r="CE1114" s="552">
        <f t="shared" si="2703"/>
        <v>0</v>
      </c>
      <c r="CF1114" s="552">
        <f t="shared" si="2703"/>
        <v>0</v>
      </c>
      <c r="CG1114" s="552">
        <f t="shared" si="2703"/>
        <v>0</v>
      </c>
      <c r="CH1114" s="552">
        <f t="shared" si="2703"/>
        <v>0</v>
      </c>
      <c r="CI1114" s="552">
        <f t="shared" si="2703"/>
        <v>0</v>
      </c>
      <c r="CJ1114" s="552">
        <f t="shared" si="2703"/>
        <v>0</v>
      </c>
      <c r="CK1114" s="552">
        <f t="shared" si="2703"/>
        <v>0</v>
      </c>
      <c r="CL1114" s="552">
        <f t="shared" si="2703"/>
        <v>0</v>
      </c>
      <c r="CM1114" s="552">
        <f t="shared" si="2703"/>
        <v>0</v>
      </c>
      <c r="CN1114" s="552">
        <f t="shared" si="2703"/>
        <v>0</v>
      </c>
      <c r="CO1114" s="552">
        <f t="shared" si="2703"/>
        <v>0</v>
      </c>
      <c r="CP1114" s="552">
        <f t="shared" si="2703"/>
        <v>0</v>
      </c>
      <c r="CQ1114" s="552">
        <f t="shared" si="2703"/>
        <v>0</v>
      </c>
      <c r="CR1114" s="552">
        <f t="shared" si="2703"/>
        <v>0</v>
      </c>
      <c r="CS1114" s="552">
        <f t="shared" si="2703"/>
        <v>0</v>
      </c>
      <c r="CT1114" s="552">
        <f t="shared" si="2703"/>
        <v>0</v>
      </c>
      <c r="CU1114" s="552">
        <f t="shared" si="2703"/>
        <v>0</v>
      </c>
      <c r="CV1114" s="552">
        <f t="shared" si="2703"/>
        <v>0</v>
      </c>
      <c r="CW1114" s="552">
        <f t="shared" si="2703"/>
        <v>0</v>
      </c>
      <c r="CX1114" s="552">
        <f t="shared" si="2703"/>
        <v>0</v>
      </c>
      <c r="CY1114" s="552">
        <f t="shared" si="2703"/>
        <v>0</v>
      </c>
      <c r="CZ1114" s="552">
        <f t="shared" si="2703"/>
        <v>0</v>
      </c>
      <c r="DA1114" s="552">
        <f t="shared" si="2703"/>
        <v>0</v>
      </c>
      <c r="DB1114" s="552">
        <f t="shared" ref="DB1114:EG1114" si="2704">DB154*DB$338</f>
        <v>0</v>
      </c>
      <c r="DC1114" s="552">
        <f t="shared" si="2704"/>
        <v>0</v>
      </c>
      <c r="DD1114" s="552">
        <f t="shared" si="2704"/>
        <v>0</v>
      </c>
      <c r="DE1114" s="552">
        <f t="shared" si="2704"/>
        <v>0</v>
      </c>
      <c r="DF1114" s="552">
        <f t="shared" si="2704"/>
        <v>0</v>
      </c>
      <c r="DG1114" s="552">
        <f t="shared" si="2704"/>
        <v>0</v>
      </c>
      <c r="DH1114" s="552">
        <f t="shared" si="2704"/>
        <v>0</v>
      </c>
      <c r="DI1114" s="552">
        <f t="shared" si="2704"/>
        <v>0</v>
      </c>
      <c r="DJ1114" s="552">
        <f t="shared" si="2704"/>
        <v>0</v>
      </c>
      <c r="DK1114" s="552">
        <f t="shared" si="2704"/>
        <v>0</v>
      </c>
      <c r="DL1114" s="552">
        <f t="shared" si="2704"/>
        <v>0</v>
      </c>
      <c r="DM1114" s="552">
        <f t="shared" si="2704"/>
        <v>0</v>
      </c>
      <c r="DN1114" s="552">
        <f t="shared" si="2704"/>
        <v>0</v>
      </c>
      <c r="DO1114" s="552">
        <f t="shared" si="2704"/>
        <v>0</v>
      </c>
      <c r="DP1114" s="552">
        <f t="shared" si="2704"/>
        <v>0</v>
      </c>
      <c r="DQ1114" s="552">
        <f t="shared" si="2704"/>
        <v>0</v>
      </c>
      <c r="DR1114" s="552">
        <f t="shared" si="2704"/>
        <v>0</v>
      </c>
      <c r="DS1114" s="552">
        <f t="shared" si="2704"/>
        <v>0</v>
      </c>
      <c r="DT1114" s="552">
        <f t="shared" si="2704"/>
        <v>0</v>
      </c>
      <c r="DU1114" s="552">
        <f t="shared" si="2704"/>
        <v>0</v>
      </c>
      <c r="DV1114" s="552">
        <f t="shared" si="2704"/>
        <v>0</v>
      </c>
      <c r="DW1114" s="552">
        <f t="shared" si="2704"/>
        <v>0</v>
      </c>
      <c r="DX1114" s="552">
        <f t="shared" si="2704"/>
        <v>0</v>
      </c>
      <c r="DY1114" s="552">
        <f t="shared" si="2704"/>
        <v>0</v>
      </c>
      <c r="DZ1114" s="552">
        <f t="shared" si="2704"/>
        <v>0</v>
      </c>
      <c r="EA1114" s="552">
        <f t="shared" si="2704"/>
        <v>0</v>
      </c>
      <c r="EB1114" s="552">
        <f t="shared" si="2704"/>
        <v>0</v>
      </c>
      <c r="EC1114" s="552">
        <f t="shared" si="2704"/>
        <v>0</v>
      </c>
      <c r="ED1114" s="552">
        <f t="shared" si="2704"/>
        <v>0</v>
      </c>
      <c r="EE1114" s="552">
        <f t="shared" si="2704"/>
        <v>0</v>
      </c>
      <c r="EF1114" s="552">
        <f t="shared" si="2704"/>
        <v>0</v>
      </c>
      <c r="EG1114" s="552">
        <f t="shared" si="2704"/>
        <v>0</v>
      </c>
      <c r="EH1114" s="552">
        <f t="shared" ref="EH1114:EX1114" si="2705">EH154*EH$338</f>
        <v>0</v>
      </c>
      <c r="EI1114" s="552">
        <f t="shared" si="2705"/>
        <v>0</v>
      </c>
      <c r="EJ1114" s="552">
        <f t="shared" si="2705"/>
        <v>0</v>
      </c>
      <c r="EK1114" s="552">
        <f t="shared" si="2705"/>
        <v>0</v>
      </c>
      <c r="EL1114" s="552">
        <f t="shared" si="2705"/>
        <v>0</v>
      </c>
      <c r="EM1114" s="552">
        <f t="shared" si="2705"/>
        <v>0</v>
      </c>
      <c r="EN1114" s="552">
        <f t="shared" si="2705"/>
        <v>0</v>
      </c>
      <c r="EO1114" s="552">
        <f t="shared" si="2705"/>
        <v>0</v>
      </c>
      <c r="EP1114" s="552">
        <f t="shared" si="2705"/>
        <v>0</v>
      </c>
      <c r="EQ1114" s="552">
        <f t="shared" si="2705"/>
        <v>0</v>
      </c>
      <c r="ER1114" s="552">
        <f t="shared" si="2705"/>
        <v>0</v>
      </c>
      <c r="ES1114" s="552">
        <f t="shared" si="2705"/>
        <v>0</v>
      </c>
      <c r="ET1114" s="552">
        <f t="shared" si="2705"/>
        <v>0</v>
      </c>
      <c r="EU1114" s="552">
        <f t="shared" si="2705"/>
        <v>0</v>
      </c>
      <c r="EV1114" s="552">
        <f t="shared" si="2705"/>
        <v>0</v>
      </c>
      <c r="EW1114" s="552">
        <f t="shared" si="2705"/>
        <v>0</v>
      </c>
      <c r="EX1114" s="552">
        <f t="shared" si="2705"/>
        <v>0</v>
      </c>
      <c r="EY1114" s="799">
        <f t="shared" si="2478"/>
        <v>0</v>
      </c>
      <c r="EZ1114" s="640"/>
      <c r="FA1114" s="640"/>
      <c r="FB1114" s="640"/>
      <c r="FC1114" s="640"/>
      <c r="FD1114" s="640"/>
      <c r="FE1114" s="640"/>
      <c r="FF1114" s="640"/>
      <c r="FG1114" s="640"/>
      <c r="FH1114" s="640"/>
      <c r="FI1114" s="640"/>
      <c r="FJ1114" s="640"/>
      <c r="FK1114" s="640"/>
      <c r="FL1114" s="640"/>
    </row>
    <row r="1115" spans="1:168" x14ac:dyDescent="0.25">
      <c r="A1115" s="1493"/>
      <c r="B1115" s="624">
        <f t="shared" si="2665"/>
        <v>0</v>
      </c>
      <c r="C1115" s="624">
        <f t="shared" si="2665"/>
        <v>0</v>
      </c>
      <c r="D1115" s="624">
        <f t="shared" si="2665"/>
        <v>0</v>
      </c>
      <c r="E1115" s="1158">
        <f t="shared" si="2479"/>
        <v>0</v>
      </c>
      <c r="F1115" s="1158"/>
      <c r="G1115" s="1140"/>
      <c r="H1115" s="1140"/>
      <c r="I1115" s="552"/>
      <c r="J1115" s="552">
        <f>J155*J$338</f>
        <v>0</v>
      </c>
      <c r="K1115" s="552">
        <f t="shared" ref="K1115:BV1115" si="2706">K155*K$338</f>
        <v>0</v>
      </c>
      <c r="L1115" s="552">
        <f t="shared" si="2706"/>
        <v>0</v>
      </c>
      <c r="M1115" s="552">
        <f t="shared" si="2706"/>
        <v>0</v>
      </c>
      <c r="N1115" s="552">
        <f t="shared" si="2706"/>
        <v>0</v>
      </c>
      <c r="O1115" s="552">
        <f t="shared" si="2706"/>
        <v>0</v>
      </c>
      <c r="P1115" s="552">
        <f t="shared" si="2706"/>
        <v>0</v>
      </c>
      <c r="Q1115" s="552">
        <f t="shared" si="2706"/>
        <v>0</v>
      </c>
      <c r="R1115" s="552">
        <f t="shared" si="2706"/>
        <v>0</v>
      </c>
      <c r="S1115" s="552">
        <f t="shared" si="2706"/>
        <v>0</v>
      </c>
      <c r="T1115" s="552">
        <f t="shared" si="2706"/>
        <v>0</v>
      </c>
      <c r="U1115" s="552">
        <f t="shared" si="2706"/>
        <v>0</v>
      </c>
      <c r="V1115" s="552">
        <f t="shared" si="2706"/>
        <v>0</v>
      </c>
      <c r="W1115" s="552">
        <f t="shared" si="2706"/>
        <v>0</v>
      </c>
      <c r="X1115" s="552">
        <f t="shared" si="2706"/>
        <v>0</v>
      </c>
      <c r="Y1115" s="552">
        <f t="shared" si="2706"/>
        <v>0</v>
      </c>
      <c r="Z1115" s="552">
        <f t="shared" si="2706"/>
        <v>0</v>
      </c>
      <c r="AA1115" s="552">
        <f t="shared" si="2706"/>
        <v>0</v>
      </c>
      <c r="AB1115" s="552">
        <f t="shared" si="2706"/>
        <v>0</v>
      </c>
      <c r="AC1115" s="552">
        <f t="shared" si="2706"/>
        <v>0</v>
      </c>
      <c r="AD1115" s="552">
        <f t="shared" si="2706"/>
        <v>0</v>
      </c>
      <c r="AE1115" s="552">
        <f t="shared" si="2706"/>
        <v>0</v>
      </c>
      <c r="AF1115" s="552">
        <f t="shared" si="2706"/>
        <v>0</v>
      </c>
      <c r="AG1115" s="552">
        <f t="shared" si="2706"/>
        <v>0</v>
      </c>
      <c r="AH1115" s="552">
        <f t="shared" si="2706"/>
        <v>0</v>
      </c>
      <c r="AI1115" s="552">
        <f t="shared" si="2706"/>
        <v>0</v>
      </c>
      <c r="AJ1115" s="552">
        <f t="shared" si="2706"/>
        <v>0</v>
      </c>
      <c r="AK1115" s="552">
        <f t="shared" si="2706"/>
        <v>0</v>
      </c>
      <c r="AL1115" s="552">
        <f t="shared" si="2706"/>
        <v>0</v>
      </c>
      <c r="AM1115" s="552">
        <f t="shared" si="2706"/>
        <v>0</v>
      </c>
      <c r="AN1115" s="552">
        <f t="shared" si="2706"/>
        <v>0</v>
      </c>
      <c r="AO1115" s="552">
        <f t="shared" si="2706"/>
        <v>0</v>
      </c>
      <c r="AP1115" s="552">
        <f t="shared" si="2706"/>
        <v>0</v>
      </c>
      <c r="AQ1115" s="552">
        <f t="shared" si="2706"/>
        <v>0</v>
      </c>
      <c r="AR1115" s="552">
        <f t="shared" si="2706"/>
        <v>0</v>
      </c>
      <c r="AS1115" s="552">
        <f t="shared" si="2706"/>
        <v>0</v>
      </c>
      <c r="AT1115" s="552">
        <f t="shared" si="2706"/>
        <v>0</v>
      </c>
      <c r="AU1115" s="552">
        <f t="shared" si="2706"/>
        <v>0</v>
      </c>
      <c r="AV1115" s="552">
        <f t="shared" si="2706"/>
        <v>0</v>
      </c>
      <c r="AW1115" s="552">
        <f t="shared" si="2706"/>
        <v>0</v>
      </c>
      <c r="AX1115" s="552">
        <f t="shared" si="2706"/>
        <v>0</v>
      </c>
      <c r="AY1115" s="552">
        <f t="shared" si="2706"/>
        <v>0</v>
      </c>
      <c r="AZ1115" s="552">
        <f t="shared" si="2706"/>
        <v>0</v>
      </c>
      <c r="BA1115" s="552">
        <f t="shared" si="2706"/>
        <v>0</v>
      </c>
      <c r="BB1115" s="552">
        <f t="shared" si="2706"/>
        <v>0</v>
      </c>
      <c r="BC1115" s="552">
        <f t="shared" si="2706"/>
        <v>0</v>
      </c>
      <c r="BD1115" s="552">
        <f t="shared" si="2706"/>
        <v>0</v>
      </c>
      <c r="BE1115" s="552">
        <f t="shared" si="2706"/>
        <v>0</v>
      </c>
      <c r="BF1115" s="552">
        <f t="shared" si="2706"/>
        <v>0</v>
      </c>
      <c r="BG1115" s="552">
        <f t="shared" si="2706"/>
        <v>0</v>
      </c>
      <c r="BH1115" s="552">
        <f t="shared" si="2706"/>
        <v>0</v>
      </c>
      <c r="BI1115" s="552">
        <f t="shared" si="2706"/>
        <v>0</v>
      </c>
      <c r="BJ1115" s="552">
        <f t="shared" si="2706"/>
        <v>0</v>
      </c>
      <c r="BK1115" s="552">
        <f t="shared" si="2706"/>
        <v>0</v>
      </c>
      <c r="BL1115" s="552">
        <f t="shared" si="2706"/>
        <v>0</v>
      </c>
      <c r="BM1115" s="552">
        <f t="shared" si="2706"/>
        <v>0</v>
      </c>
      <c r="BN1115" s="552">
        <f t="shared" si="2706"/>
        <v>0</v>
      </c>
      <c r="BO1115" s="552">
        <f t="shared" si="2706"/>
        <v>0</v>
      </c>
      <c r="BP1115" s="552">
        <f t="shared" si="2706"/>
        <v>0</v>
      </c>
      <c r="BQ1115" s="552">
        <f t="shared" si="2706"/>
        <v>0</v>
      </c>
      <c r="BR1115" s="552">
        <f t="shared" si="2706"/>
        <v>0</v>
      </c>
      <c r="BS1115" s="552">
        <f t="shared" si="2706"/>
        <v>0</v>
      </c>
      <c r="BT1115" s="552">
        <f t="shared" si="2706"/>
        <v>0</v>
      </c>
      <c r="BU1115" s="552">
        <f t="shared" si="2706"/>
        <v>0</v>
      </c>
      <c r="BV1115" s="552">
        <f t="shared" si="2706"/>
        <v>0</v>
      </c>
      <c r="BW1115" s="552">
        <f t="shared" ref="BW1115:DB1115" si="2707">BW155*BW$338</f>
        <v>0</v>
      </c>
      <c r="BX1115" s="552">
        <f t="shared" si="2707"/>
        <v>0</v>
      </c>
      <c r="BY1115" s="552">
        <f t="shared" si="2707"/>
        <v>0</v>
      </c>
      <c r="BZ1115" s="552">
        <f t="shared" si="2707"/>
        <v>0</v>
      </c>
      <c r="CA1115" s="552">
        <f t="shared" si="2707"/>
        <v>0</v>
      </c>
      <c r="CB1115" s="552">
        <f t="shared" si="2707"/>
        <v>0</v>
      </c>
      <c r="CC1115" s="552">
        <f t="shared" si="2707"/>
        <v>0</v>
      </c>
      <c r="CD1115" s="552">
        <f t="shared" si="2707"/>
        <v>0</v>
      </c>
      <c r="CE1115" s="552">
        <f t="shared" si="2707"/>
        <v>0</v>
      </c>
      <c r="CF1115" s="552">
        <f t="shared" si="2707"/>
        <v>0</v>
      </c>
      <c r="CG1115" s="552">
        <f t="shared" si="2707"/>
        <v>0</v>
      </c>
      <c r="CH1115" s="552">
        <f t="shared" si="2707"/>
        <v>0</v>
      </c>
      <c r="CI1115" s="552">
        <f t="shared" si="2707"/>
        <v>0</v>
      </c>
      <c r="CJ1115" s="552">
        <f t="shared" si="2707"/>
        <v>0</v>
      </c>
      <c r="CK1115" s="552">
        <f t="shared" si="2707"/>
        <v>0</v>
      </c>
      <c r="CL1115" s="552">
        <f t="shared" si="2707"/>
        <v>0</v>
      </c>
      <c r="CM1115" s="552">
        <f t="shared" si="2707"/>
        <v>0</v>
      </c>
      <c r="CN1115" s="552">
        <f t="shared" si="2707"/>
        <v>0</v>
      </c>
      <c r="CO1115" s="552">
        <f t="shared" si="2707"/>
        <v>0</v>
      </c>
      <c r="CP1115" s="552">
        <f t="shared" si="2707"/>
        <v>0</v>
      </c>
      <c r="CQ1115" s="552">
        <f t="shared" si="2707"/>
        <v>0</v>
      </c>
      <c r="CR1115" s="552">
        <f t="shared" si="2707"/>
        <v>0</v>
      </c>
      <c r="CS1115" s="552">
        <f t="shared" si="2707"/>
        <v>0</v>
      </c>
      <c r="CT1115" s="552">
        <f t="shared" si="2707"/>
        <v>0</v>
      </c>
      <c r="CU1115" s="552">
        <f t="shared" si="2707"/>
        <v>0</v>
      </c>
      <c r="CV1115" s="552">
        <f t="shared" si="2707"/>
        <v>0</v>
      </c>
      <c r="CW1115" s="552">
        <f t="shared" si="2707"/>
        <v>0</v>
      </c>
      <c r="CX1115" s="552">
        <f t="shared" si="2707"/>
        <v>0</v>
      </c>
      <c r="CY1115" s="552">
        <f t="shared" si="2707"/>
        <v>0</v>
      </c>
      <c r="CZ1115" s="552">
        <f t="shared" si="2707"/>
        <v>0</v>
      </c>
      <c r="DA1115" s="552">
        <f t="shared" si="2707"/>
        <v>0</v>
      </c>
      <c r="DB1115" s="552">
        <f t="shared" si="2707"/>
        <v>0</v>
      </c>
      <c r="DC1115" s="552">
        <f t="shared" ref="DC1115:EH1115" si="2708">DC155*DC$338</f>
        <v>0</v>
      </c>
      <c r="DD1115" s="552">
        <f t="shared" si="2708"/>
        <v>0</v>
      </c>
      <c r="DE1115" s="552">
        <f t="shared" si="2708"/>
        <v>0</v>
      </c>
      <c r="DF1115" s="552">
        <f t="shared" si="2708"/>
        <v>0</v>
      </c>
      <c r="DG1115" s="552">
        <f t="shared" si="2708"/>
        <v>0</v>
      </c>
      <c r="DH1115" s="552">
        <f t="shared" si="2708"/>
        <v>0</v>
      </c>
      <c r="DI1115" s="552">
        <f t="shared" si="2708"/>
        <v>0</v>
      </c>
      <c r="DJ1115" s="552">
        <f t="shared" si="2708"/>
        <v>0</v>
      </c>
      <c r="DK1115" s="552">
        <f t="shared" si="2708"/>
        <v>0</v>
      </c>
      <c r="DL1115" s="552">
        <f t="shared" si="2708"/>
        <v>0</v>
      </c>
      <c r="DM1115" s="552">
        <f t="shared" si="2708"/>
        <v>0</v>
      </c>
      <c r="DN1115" s="552">
        <f t="shared" si="2708"/>
        <v>0</v>
      </c>
      <c r="DO1115" s="552">
        <f t="shared" si="2708"/>
        <v>0</v>
      </c>
      <c r="DP1115" s="552">
        <f t="shared" si="2708"/>
        <v>0</v>
      </c>
      <c r="DQ1115" s="552">
        <f t="shared" si="2708"/>
        <v>0</v>
      </c>
      <c r="DR1115" s="552">
        <f t="shared" si="2708"/>
        <v>0</v>
      </c>
      <c r="DS1115" s="552">
        <f t="shared" si="2708"/>
        <v>0</v>
      </c>
      <c r="DT1115" s="552">
        <f t="shared" si="2708"/>
        <v>0</v>
      </c>
      <c r="DU1115" s="552">
        <f t="shared" si="2708"/>
        <v>0</v>
      </c>
      <c r="DV1115" s="552">
        <f t="shared" si="2708"/>
        <v>0</v>
      </c>
      <c r="DW1115" s="552">
        <f t="shared" si="2708"/>
        <v>0</v>
      </c>
      <c r="DX1115" s="552">
        <f t="shared" si="2708"/>
        <v>0</v>
      </c>
      <c r="DY1115" s="552">
        <f t="shared" si="2708"/>
        <v>0</v>
      </c>
      <c r="DZ1115" s="552">
        <f t="shared" si="2708"/>
        <v>0</v>
      </c>
      <c r="EA1115" s="552">
        <f t="shared" si="2708"/>
        <v>0</v>
      </c>
      <c r="EB1115" s="552">
        <f t="shared" si="2708"/>
        <v>0</v>
      </c>
      <c r="EC1115" s="552">
        <f t="shared" si="2708"/>
        <v>0</v>
      </c>
      <c r="ED1115" s="552">
        <f t="shared" si="2708"/>
        <v>0</v>
      </c>
      <c r="EE1115" s="552">
        <f t="shared" si="2708"/>
        <v>0</v>
      </c>
      <c r="EF1115" s="552">
        <f t="shared" si="2708"/>
        <v>0</v>
      </c>
      <c r="EG1115" s="552">
        <f t="shared" si="2708"/>
        <v>0</v>
      </c>
      <c r="EH1115" s="552">
        <f t="shared" si="2708"/>
        <v>0</v>
      </c>
      <c r="EI1115" s="552">
        <f t="shared" ref="EI1115:EX1115" si="2709">EI155*EI$338</f>
        <v>0</v>
      </c>
      <c r="EJ1115" s="552">
        <f t="shared" si="2709"/>
        <v>0</v>
      </c>
      <c r="EK1115" s="552">
        <f t="shared" si="2709"/>
        <v>0</v>
      </c>
      <c r="EL1115" s="552">
        <f t="shared" si="2709"/>
        <v>0</v>
      </c>
      <c r="EM1115" s="552">
        <f t="shared" si="2709"/>
        <v>0</v>
      </c>
      <c r="EN1115" s="552">
        <f t="shared" si="2709"/>
        <v>0</v>
      </c>
      <c r="EO1115" s="552">
        <f t="shared" si="2709"/>
        <v>0</v>
      </c>
      <c r="EP1115" s="552">
        <f t="shared" si="2709"/>
        <v>0</v>
      </c>
      <c r="EQ1115" s="552">
        <f t="shared" si="2709"/>
        <v>0</v>
      </c>
      <c r="ER1115" s="552">
        <f t="shared" si="2709"/>
        <v>0</v>
      </c>
      <c r="ES1115" s="552">
        <f t="shared" si="2709"/>
        <v>0</v>
      </c>
      <c r="ET1115" s="552">
        <f t="shared" si="2709"/>
        <v>0</v>
      </c>
      <c r="EU1115" s="552">
        <f t="shared" si="2709"/>
        <v>0</v>
      </c>
      <c r="EV1115" s="552">
        <f t="shared" si="2709"/>
        <v>0</v>
      </c>
      <c r="EW1115" s="552">
        <f t="shared" si="2709"/>
        <v>0</v>
      </c>
      <c r="EX1115" s="552">
        <f t="shared" si="2709"/>
        <v>0</v>
      </c>
      <c r="EY1115" s="799">
        <f t="shared" si="2478"/>
        <v>0</v>
      </c>
      <c r="EZ1115" s="640"/>
      <c r="FA1115" s="640"/>
      <c r="FB1115" s="640"/>
      <c r="FC1115" s="640"/>
      <c r="FD1115" s="640"/>
      <c r="FE1115" s="640"/>
      <c r="FF1115" s="640"/>
      <c r="FG1115" s="640"/>
      <c r="FH1115" s="640"/>
      <c r="FI1115" s="640"/>
      <c r="FJ1115" s="640"/>
      <c r="FK1115" s="640"/>
      <c r="FL1115" s="640"/>
    </row>
    <row r="1116" spans="1:168" x14ac:dyDescent="0.25">
      <c r="A1116" s="254"/>
      <c r="B1116" s="625" t="s">
        <v>113</v>
      </c>
      <c r="C1116" s="1135"/>
      <c r="D1116" s="1138">
        <f>SUM(D1107:D1115)</f>
        <v>20.440000000000001</v>
      </c>
      <c r="E1116" s="1138">
        <f t="shared" ref="E1116:J1116" si="2710">SUM(E1107:E1115)</f>
        <v>43.27</v>
      </c>
      <c r="F1116" s="1138"/>
      <c r="G1116" s="1138">
        <f t="shared" si="2710"/>
        <v>0</v>
      </c>
      <c r="H1116" s="1138">
        <f t="shared" si="2710"/>
        <v>0</v>
      </c>
      <c r="I1116" s="554"/>
      <c r="J1116" s="1138">
        <f t="shared" si="2710"/>
        <v>0</v>
      </c>
      <c r="K1116" s="1138">
        <f t="shared" ref="K1116" si="2711">SUM(K1107:K1115)</f>
        <v>14.67</v>
      </c>
      <c r="L1116" s="1138">
        <f t="shared" ref="L1116" si="2712">SUM(L1107:L1115)</f>
        <v>0</v>
      </c>
      <c r="M1116" s="1138">
        <f t="shared" ref="M1116" si="2713">SUM(M1107:M1115)</f>
        <v>0</v>
      </c>
      <c r="N1116" s="1138">
        <f t="shared" ref="N1116" si="2714">SUM(N1107:N1115)</f>
        <v>0</v>
      </c>
      <c r="O1116" s="1138">
        <f t="shared" ref="O1116" si="2715">SUM(O1107:O1115)</f>
        <v>0</v>
      </c>
      <c r="P1116" s="1138">
        <f t="shared" ref="P1116" si="2716">SUM(P1107:P1115)</f>
        <v>0</v>
      </c>
      <c r="Q1116" s="1138">
        <f t="shared" ref="Q1116" si="2717">SUM(Q1107:Q1115)</f>
        <v>0</v>
      </c>
      <c r="R1116" s="1138">
        <f t="shared" ref="R1116" si="2718">SUM(R1107:R1115)</f>
        <v>0</v>
      </c>
      <c r="S1116" s="1138">
        <f t="shared" ref="S1116" si="2719">SUM(S1107:S1115)</f>
        <v>0</v>
      </c>
      <c r="T1116" s="1138">
        <f t="shared" ref="T1116" si="2720">SUM(T1107:T1115)</f>
        <v>0</v>
      </c>
      <c r="U1116" s="1138">
        <f t="shared" ref="U1116" si="2721">SUM(U1107:U1115)</f>
        <v>0</v>
      </c>
      <c r="V1116" s="1138">
        <f t="shared" ref="V1116" si="2722">SUM(V1107:V1115)</f>
        <v>1.42</v>
      </c>
      <c r="W1116" s="1138">
        <f t="shared" ref="W1116" si="2723">SUM(W1107:W1115)</f>
        <v>0</v>
      </c>
      <c r="X1116" s="1138">
        <f t="shared" ref="X1116" si="2724">SUM(X1107:X1115)</f>
        <v>0</v>
      </c>
      <c r="Y1116" s="1138">
        <f t="shared" ref="Y1116" si="2725">SUM(Y1107:Y1115)</f>
        <v>1.17</v>
      </c>
      <c r="Z1116" s="1138">
        <f t="shared" ref="Z1116" si="2726">SUM(Z1107:Z1115)</f>
        <v>0</v>
      </c>
      <c r="AA1116" s="1138">
        <f t="shared" ref="AA1116" si="2727">SUM(AA1107:AA1115)</f>
        <v>0</v>
      </c>
      <c r="AB1116" s="1138">
        <f t="shared" ref="AB1116" si="2728">SUM(AB1107:AB1115)</f>
        <v>0</v>
      </c>
      <c r="AC1116" s="1138">
        <f t="shared" ref="AC1116" si="2729">SUM(AC1107:AC1115)</f>
        <v>0</v>
      </c>
      <c r="AD1116" s="1138">
        <f t="shared" ref="AD1116" si="2730">SUM(AD1107:AD1115)</f>
        <v>0</v>
      </c>
      <c r="AE1116" s="1138">
        <f t="shared" ref="AE1116" si="2731">SUM(AE1107:AE1115)</f>
        <v>1.37</v>
      </c>
      <c r="AF1116" s="1138">
        <f t="shared" ref="AF1116" si="2732">SUM(AF1107:AF1115)</f>
        <v>0</v>
      </c>
      <c r="AG1116" s="1138">
        <f t="shared" ref="AG1116" si="2733">SUM(AG1107:AG1115)</f>
        <v>0</v>
      </c>
      <c r="AH1116" s="1138">
        <f t="shared" ref="AH1116" si="2734">SUM(AH1107:AH1115)</f>
        <v>2</v>
      </c>
      <c r="AI1116" s="1138">
        <f t="shared" ref="AI1116" si="2735">SUM(AI1107:AI1115)</f>
        <v>0</v>
      </c>
      <c r="AJ1116" s="1138">
        <f t="shared" ref="AJ1116" si="2736">SUM(AJ1107:AJ1115)</f>
        <v>0</v>
      </c>
      <c r="AK1116" s="1138">
        <f t="shared" ref="AK1116" si="2737">SUM(AK1107:AK1115)</f>
        <v>0.9</v>
      </c>
      <c r="AL1116" s="1138">
        <f t="shared" ref="AL1116" si="2738">SUM(AL1107:AL1115)</f>
        <v>0</v>
      </c>
      <c r="AM1116" s="1138">
        <f t="shared" ref="AM1116" si="2739">SUM(AM1107:AM1115)</f>
        <v>0</v>
      </c>
      <c r="AN1116" s="1138">
        <f t="shared" ref="AN1116" si="2740">SUM(AN1107:AN1115)</f>
        <v>0</v>
      </c>
      <c r="AO1116" s="1138">
        <f t="shared" ref="AO1116" si="2741">SUM(AO1107:AO1115)</f>
        <v>4.28</v>
      </c>
      <c r="AP1116" s="1138">
        <f t="shared" ref="AP1116" si="2742">SUM(AP1107:AP1115)</f>
        <v>0</v>
      </c>
      <c r="AQ1116" s="1138">
        <f t="shared" ref="AQ1116" si="2743">SUM(AQ1107:AQ1115)</f>
        <v>1</v>
      </c>
      <c r="AR1116" s="1138">
        <f t="shared" ref="AR1116" si="2744">SUM(AR1107:AR1115)</f>
        <v>0</v>
      </c>
      <c r="AS1116" s="1138">
        <f t="shared" ref="AS1116" si="2745">SUM(AS1107:AS1115)</f>
        <v>0</v>
      </c>
      <c r="AT1116" s="1138">
        <f t="shared" ref="AT1116" si="2746">SUM(AT1107:AT1115)</f>
        <v>0</v>
      </c>
      <c r="AU1116" s="1138">
        <f t="shared" ref="AU1116" si="2747">SUM(AU1107:AU1115)</f>
        <v>0.6</v>
      </c>
      <c r="AV1116" s="1138">
        <f t="shared" ref="AV1116" si="2748">SUM(AV1107:AV1115)</f>
        <v>0</v>
      </c>
      <c r="AW1116" s="1138">
        <f t="shared" ref="AW1116" si="2749">SUM(AW1107:AW1115)</f>
        <v>0</v>
      </c>
      <c r="AX1116" s="1138">
        <f t="shared" ref="AX1116" si="2750">SUM(AX1107:AX1115)</f>
        <v>1.95</v>
      </c>
      <c r="AY1116" s="1138">
        <f t="shared" ref="AY1116" si="2751">SUM(AY1107:AY1115)</f>
        <v>0</v>
      </c>
      <c r="AZ1116" s="1138">
        <f t="shared" ref="AZ1116" si="2752">SUM(AZ1107:AZ1115)</f>
        <v>0</v>
      </c>
      <c r="BA1116" s="1138">
        <f t="shared" ref="BA1116" si="2753">SUM(BA1107:BA1115)</f>
        <v>0</v>
      </c>
      <c r="BB1116" s="1138">
        <f t="shared" ref="BB1116" si="2754">SUM(BB1107:BB1115)</f>
        <v>0</v>
      </c>
      <c r="BC1116" s="1138">
        <f t="shared" ref="BC1116" si="2755">SUM(BC1107:BC1115)</f>
        <v>0</v>
      </c>
      <c r="BD1116" s="1138">
        <f t="shared" ref="BD1116" si="2756">SUM(BD1107:BD1115)</f>
        <v>0</v>
      </c>
      <c r="BE1116" s="1138">
        <f t="shared" ref="BE1116" si="2757">SUM(BE1107:BE1115)</f>
        <v>0</v>
      </c>
      <c r="BF1116" s="1138">
        <f t="shared" ref="BF1116" si="2758">SUM(BF1107:BF1115)</f>
        <v>0</v>
      </c>
      <c r="BG1116" s="1138">
        <f t="shared" ref="BG1116" si="2759">SUM(BG1107:BG1115)</f>
        <v>0</v>
      </c>
      <c r="BH1116" s="1138">
        <f t="shared" ref="BH1116" si="2760">SUM(BH1107:BH1115)</f>
        <v>0</v>
      </c>
      <c r="BI1116" s="1138">
        <f t="shared" ref="BI1116" si="2761">SUM(BI1107:BI1115)</f>
        <v>0</v>
      </c>
      <c r="BJ1116" s="1138">
        <f t="shared" ref="BJ1116" si="2762">SUM(BJ1107:BJ1115)</f>
        <v>0</v>
      </c>
      <c r="BK1116" s="1138">
        <f t="shared" ref="BK1116" si="2763">SUM(BK1107:BK1115)</f>
        <v>0</v>
      </c>
      <c r="BL1116" s="1138">
        <f t="shared" ref="BL1116" si="2764">SUM(BL1107:BL1115)</f>
        <v>0</v>
      </c>
      <c r="BM1116" s="1138">
        <f t="shared" ref="BM1116" si="2765">SUM(BM1107:BM1115)</f>
        <v>0</v>
      </c>
      <c r="BN1116" s="1138">
        <f t="shared" ref="BN1116" si="2766">SUM(BN1107:BN1115)</f>
        <v>0</v>
      </c>
      <c r="BO1116" s="1138">
        <f t="shared" ref="BO1116" si="2767">SUM(BO1107:BO1115)</f>
        <v>0</v>
      </c>
      <c r="BP1116" s="1138">
        <f t="shared" ref="BP1116" si="2768">SUM(BP1107:BP1115)</f>
        <v>0</v>
      </c>
      <c r="BQ1116" s="1138">
        <f t="shared" ref="BQ1116" si="2769">SUM(BQ1107:BQ1115)</f>
        <v>0</v>
      </c>
      <c r="BR1116" s="1138">
        <f t="shared" ref="BR1116" si="2770">SUM(BR1107:BR1115)</f>
        <v>0</v>
      </c>
      <c r="BS1116" s="1138">
        <f t="shared" ref="BS1116" si="2771">SUM(BS1107:BS1115)</f>
        <v>0</v>
      </c>
      <c r="BT1116" s="1138">
        <f t="shared" ref="BT1116" si="2772">SUM(BT1107:BT1115)</f>
        <v>0</v>
      </c>
      <c r="BU1116" s="1138">
        <f t="shared" ref="BU1116" si="2773">SUM(BU1107:BU1115)</f>
        <v>0</v>
      </c>
      <c r="BV1116" s="1138">
        <f t="shared" ref="BV1116" si="2774">SUM(BV1107:BV1115)</f>
        <v>0</v>
      </c>
      <c r="BW1116" s="1138">
        <f t="shared" ref="BW1116" si="2775">SUM(BW1107:BW1115)</f>
        <v>0</v>
      </c>
      <c r="BX1116" s="1138">
        <f t="shared" ref="BX1116" si="2776">SUM(BX1107:BX1115)</f>
        <v>0</v>
      </c>
      <c r="BY1116" s="1138">
        <f t="shared" ref="BY1116" si="2777">SUM(BY1107:BY1115)</f>
        <v>0</v>
      </c>
      <c r="BZ1116" s="1138">
        <f t="shared" ref="BZ1116" si="2778">SUM(BZ1107:BZ1115)</f>
        <v>0</v>
      </c>
      <c r="CA1116" s="1138">
        <f t="shared" ref="CA1116" si="2779">SUM(CA1107:CA1115)</f>
        <v>0</v>
      </c>
      <c r="CB1116" s="1138">
        <f t="shared" ref="CB1116" si="2780">SUM(CB1107:CB1115)</f>
        <v>3.43</v>
      </c>
      <c r="CC1116" s="1138">
        <f t="shared" ref="CC1116" si="2781">SUM(CC1107:CC1115)</f>
        <v>0</v>
      </c>
      <c r="CD1116" s="1138">
        <f t="shared" ref="CD1116" si="2782">SUM(CD1107:CD1115)</f>
        <v>0</v>
      </c>
      <c r="CE1116" s="1138">
        <f t="shared" ref="CE1116" si="2783">SUM(CE1107:CE1115)</f>
        <v>0</v>
      </c>
      <c r="CF1116" s="1138">
        <f t="shared" ref="CF1116" si="2784">SUM(CF1107:CF1115)</f>
        <v>1.27</v>
      </c>
      <c r="CG1116" s="1138">
        <f t="shared" ref="CG1116" si="2785">SUM(CG1107:CG1115)</f>
        <v>0</v>
      </c>
      <c r="CH1116" s="1138">
        <f t="shared" ref="CH1116" si="2786">SUM(CH1107:CH1115)</f>
        <v>0</v>
      </c>
      <c r="CI1116" s="1138">
        <f t="shared" ref="CI1116" si="2787">SUM(CI1107:CI1115)</f>
        <v>0</v>
      </c>
      <c r="CJ1116" s="1138">
        <f t="shared" ref="CJ1116" si="2788">SUM(CJ1107:CJ1115)</f>
        <v>0</v>
      </c>
      <c r="CK1116" s="1138">
        <f t="shared" ref="CK1116" si="2789">SUM(CK1107:CK1115)</f>
        <v>0</v>
      </c>
      <c r="CL1116" s="1138">
        <f t="shared" ref="CL1116" si="2790">SUM(CL1107:CL1115)</f>
        <v>0</v>
      </c>
      <c r="CM1116" s="1138">
        <f t="shared" ref="CM1116" si="2791">SUM(CM1107:CM1115)</f>
        <v>0</v>
      </c>
      <c r="CN1116" s="1138">
        <f t="shared" ref="CN1116" si="2792">SUM(CN1107:CN1115)</f>
        <v>0</v>
      </c>
      <c r="CO1116" s="1138">
        <f t="shared" ref="CO1116" si="2793">SUM(CO1107:CO1115)</f>
        <v>0</v>
      </c>
      <c r="CP1116" s="1138">
        <f t="shared" ref="CP1116" si="2794">SUM(CP1107:CP1115)</f>
        <v>0</v>
      </c>
      <c r="CQ1116" s="1138">
        <f t="shared" ref="CQ1116" si="2795">SUM(CQ1107:CQ1115)</f>
        <v>0.06</v>
      </c>
      <c r="CR1116" s="1138">
        <f t="shared" ref="CR1116" si="2796">SUM(CR1107:CR1115)</f>
        <v>0</v>
      </c>
      <c r="CS1116" s="1138">
        <f t="shared" ref="CS1116" si="2797">SUM(CS1107:CS1115)</f>
        <v>0</v>
      </c>
      <c r="CT1116" s="1138">
        <f t="shared" ref="CT1116" si="2798">SUM(CT1107:CT1115)</f>
        <v>0</v>
      </c>
      <c r="CU1116" s="1138">
        <f t="shared" ref="CU1116" si="2799">SUM(CU1107:CU1115)</f>
        <v>0</v>
      </c>
      <c r="CV1116" s="1138">
        <f t="shared" ref="CV1116" si="2800">SUM(CV1107:CV1115)</f>
        <v>0</v>
      </c>
      <c r="CW1116" s="1138">
        <f t="shared" ref="CW1116" si="2801">SUM(CW1107:CW1115)</f>
        <v>0</v>
      </c>
      <c r="CX1116" s="1138">
        <f t="shared" ref="CX1116" si="2802">SUM(CX1107:CX1115)</f>
        <v>0</v>
      </c>
      <c r="CY1116" s="1138">
        <f t="shared" ref="CY1116" si="2803">SUM(CY1107:CY1115)</f>
        <v>0</v>
      </c>
      <c r="CZ1116" s="1138">
        <f t="shared" ref="CZ1116" si="2804">SUM(CZ1107:CZ1115)</f>
        <v>1.52</v>
      </c>
      <c r="DA1116" s="1138">
        <f t="shared" ref="DA1116" si="2805">SUM(DA1107:DA1115)</f>
        <v>0</v>
      </c>
      <c r="DB1116" s="1138">
        <f t="shared" ref="DB1116" si="2806">SUM(DB1107:DB1115)</f>
        <v>0</v>
      </c>
      <c r="DC1116" s="1138">
        <f t="shared" ref="DC1116" si="2807">SUM(DC1107:DC1115)</f>
        <v>0.17</v>
      </c>
      <c r="DD1116" s="1138">
        <f t="shared" ref="DD1116" si="2808">SUM(DD1107:DD1115)</f>
        <v>0</v>
      </c>
      <c r="DE1116" s="1138">
        <f t="shared" ref="DE1116" si="2809">SUM(DE1107:DE1115)</f>
        <v>2.6</v>
      </c>
      <c r="DF1116" s="1138">
        <f t="shared" ref="DF1116" si="2810">SUM(DF1107:DF1115)</f>
        <v>1.61</v>
      </c>
      <c r="DG1116" s="1138">
        <f t="shared" ref="DG1116" si="2811">SUM(DG1107:DG1115)</f>
        <v>0</v>
      </c>
      <c r="DH1116" s="1138">
        <f t="shared" ref="DH1116" si="2812">SUM(DH1107:DH1115)</f>
        <v>0</v>
      </c>
      <c r="DI1116" s="1138">
        <f t="shared" ref="DI1116" si="2813">SUM(DI1107:DI1115)</f>
        <v>0</v>
      </c>
      <c r="DJ1116" s="1138">
        <f t="shared" ref="DJ1116" si="2814">SUM(DJ1107:DJ1115)</f>
        <v>0</v>
      </c>
      <c r="DK1116" s="1138">
        <f t="shared" ref="DK1116" si="2815">SUM(DK1107:DK1115)</f>
        <v>0</v>
      </c>
      <c r="DL1116" s="1138">
        <f t="shared" ref="DL1116" si="2816">SUM(DL1107:DL1115)</f>
        <v>0</v>
      </c>
      <c r="DM1116" s="1138">
        <f t="shared" ref="DM1116" si="2817">SUM(DM1107:DM1115)</f>
        <v>0</v>
      </c>
      <c r="DN1116" s="1138">
        <f t="shared" ref="DN1116" si="2818">SUM(DN1107:DN1115)</f>
        <v>0</v>
      </c>
      <c r="DO1116" s="1138">
        <f t="shared" ref="DO1116" si="2819">SUM(DO1107:DO1115)</f>
        <v>0</v>
      </c>
      <c r="DP1116" s="1138">
        <f t="shared" ref="DP1116" si="2820">SUM(DP1107:DP1115)</f>
        <v>0</v>
      </c>
      <c r="DQ1116" s="1138">
        <f t="shared" ref="DQ1116" si="2821">SUM(DQ1107:DQ1115)</f>
        <v>0</v>
      </c>
      <c r="DR1116" s="1138">
        <f t="shared" ref="DR1116" si="2822">SUM(DR1107:DR1115)</f>
        <v>0</v>
      </c>
      <c r="DS1116" s="1138">
        <f t="shared" ref="DS1116" si="2823">SUM(DS1107:DS1115)</f>
        <v>0</v>
      </c>
      <c r="DT1116" s="1138">
        <f t="shared" ref="DT1116" si="2824">SUM(DT1107:DT1115)</f>
        <v>0</v>
      </c>
      <c r="DU1116" s="1138">
        <f t="shared" ref="DU1116" si="2825">SUM(DU1107:DU1115)</f>
        <v>0</v>
      </c>
      <c r="DV1116" s="1138">
        <f t="shared" ref="DV1116" si="2826">SUM(DV1107:DV1115)</f>
        <v>0</v>
      </c>
      <c r="DW1116" s="1138">
        <f t="shared" ref="DW1116" si="2827">SUM(DW1107:DW1115)</f>
        <v>0</v>
      </c>
      <c r="DX1116" s="1138">
        <f t="shared" ref="DX1116" si="2828">SUM(DX1107:DX1115)</f>
        <v>0</v>
      </c>
      <c r="DY1116" s="1138">
        <f t="shared" ref="DY1116" si="2829">SUM(DY1107:DY1115)</f>
        <v>0</v>
      </c>
      <c r="DZ1116" s="1138">
        <f t="shared" ref="DZ1116" si="2830">SUM(DZ1107:DZ1115)</f>
        <v>0</v>
      </c>
      <c r="EA1116" s="1138">
        <f t="shared" ref="EA1116" si="2831">SUM(EA1107:EA1115)</f>
        <v>0</v>
      </c>
      <c r="EB1116" s="1138">
        <f t="shared" ref="EB1116" si="2832">SUM(EB1107:EB1115)</f>
        <v>0</v>
      </c>
      <c r="EC1116" s="1138">
        <f t="shared" ref="EC1116" si="2833">SUM(EC1107:EC1115)</f>
        <v>0</v>
      </c>
      <c r="ED1116" s="1138">
        <f t="shared" ref="ED1116" si="2834">SUM(ED1107:ED1115)</f>
        <v>0</v>
      </c>
      <c r="EE1116" s="1138">
        <f t="shared" ref="EE1116" si="2835">SUM(EE1107:EE1115)</f>
        <v>0</v>
      </c>
      <c r="EF1116" s="1138">
        <f t="shared" ref="EF1116" si="2836">SUM(EF1107:EF1115)</f>
        <v>0</v>
      </c>
      <c r="EG1116" s="1138">
        <f t="shared" ref="EG1116" si="2837">SUM(EG1107:EG1115)</f>
        <v>0</v>
      </c>
      <c r="EH1116" s="1138">
        <f t="shared" ref="EH1116" si="2838">SUM(EH1107:EH1115)</f>
        <v>0</v>
      </c>
      <c r="EI1116" s="1138">
        <f t="shared" ref="EI1116" si="2839">SUM(EI1107:EI1115)</f>
        <v>0</v>
      </c>
      <c r="EJ1116" s="1138">
        <f t="shared" ref="EJ1116" si="2840">SUM(EJ1107:EJ1115)</f>
        <v>0</v>
      </c>
      <c r="EK1116" s="1138">
        <f t="shared" ref="EK1116" si="2841">SUM(EK1107:EK1115)</f>
        <v>0</v>
      </c>
      <c r="EL1116" s="1138">
        <f t="shared" ref="EL1116" si="2842">SUM(EL1107:EL1115)</f>
        <v>0</v>
      </c>
      <c r="EM1116" s="1138">
        <f t="shared" ref="EM1116" si="2843">SUM(EM1107:EM1115)</f>
        <v>0</v>
      </c>
      <c r="EN1116" s="1138">
        <f t="shared" ref="EN1116" si="2844">SUM(EN1107:EN1115)</f>
        <v>0</v>
      </c>
      <c r="EO1116" s="1138">
        <f t="shared" ref="EO1116" si="2845">SUM(EO1107:EO1115)</f>
        <v>0</v>
      </c>
      <c r="EP1116" s="1138">
        <f t="shared" ref="EP1116" si="2846">SUM(EP1107:EP1115)</f>
        <v>0</v>
      </c>
      <c r="EQ1116" s="1138">
        <f t="shared" ref="EQ1116" si="2847">SUM(EQ1107:EQ1115)</f>
        <v>0</v>
      </c>
      <c r="ER1116" s="1138">
        <f t="shared" ref="ER1116" si="2848">SUM(ER1107:ER1115)</f>
        <v>0</v>
      </c>
      <c r="ES1116" s="1138">
        <f t="shared" ref="ES1116" si="2849">SUM(ES1107:ES1115)</f>
        <v>0</v>
      </c>
      <c r="ET1116" s="1138">
        <f t="shared" ref="ET1116" si="2850">SUM(ET1107:ET1115)</f>
        <v>0</v>
      </c>
      <c r="EU1116" s="1138">
        <f t="shared" ref="EU1116" si="2851">SUM(EU1107:EU1115)</f>
        <v>0</v>
      </c>
      <c r="EV1116" s="1138">
        <f t="shared" ref="EV1116" si="2852">SUM(EV1107:EV1115)</f>
        <v>1.3</v>
      </c>
      <c r="EW1116" s="1138">
        <f t="shared" ref="EW1116" si="2853">SUM(EW1107:EW1115)</f>
        <v>1.95</v>
      </c>
      <c r="EX1116" s="1138">
        <f t="shared" ref="EX1116:FL1116" si="2854">SUM(EX1107:EX1115)</f>
        <v>0</v>
      </c>
      <c r="EY1116" s="1138">
        <f t="shared" si="2854"/>
        <v>43.27</v>
      </c>
      <c r="EZ1116" s="1138">
        <f t="shared" si="2854"/>
        <v>0</v>
      </c>
      <c r="FA1116" s="1138">
        <f t="shared" si="2854"/>
        <v>0</v>
      </c>
      <c r="FB1116" s="1138">
        <f t="shared" si="2854"/>
        <v>0</v>
      </c>
      <c r="FC1116" s="1138">
        <f t="shared" si="2854"/>
        <v>0</v>
      </c>
      <c r="FD1116" s="1138">
        <f t="shared" si="2854"/>
        <v>0</v>
      </c>
      <c r="FE1116" s="1138">
        <f t="shared" si="2854"/>
        <v>0</v>
      </c>
      <c r="FF1116" s="1138">
        <f t="shared" si="2854"/>
        <v>0</v>
      </c>
      <c r="FG1116" s="1138">
        <f t="shared" si="2854"/>
        <v>0</v>
      </c>
      <c r="FH1116" s="1138">
        <f t="shared" si="2854"/>
        <v>0</v>
      </c>
      <c r="FI1116" s="1138">
        <f t="shared" si="2854"/>
        <v>0</v>
      </c>
      <c r="FJ1116" s="1138">
        <f t="shared" si="2854"/>
        <v>0</v>
      </c>
      <c r="FK1116" s="1138">
        <f t="shared" si="2854"/>
        <v>0</v>
      </c>
      <c r="FL1116" s="1138">
        <f t="shared" si="2854"/>
        <v>0</v>
      </c>
    </row>
    <row r="1117" spans="1:168" x14ac:dyDescent="0.25">
      <c r="A1117" s="1491" t="s">
        <v>800</v>
      </c>
      <c r="B1117" s="624">
        <f t="shared" ref="B1117:D1121" si="2855">B157</f>
        <v>0</v>
      </c>
      <c r="C1117" s="624">
        <f t="shared" si="2855"/>
        <v>0</v>
      </c>
      <c r="D1117" s="624">
        <f t="shared" si="2855"/>
        <v>0</v>
      </c>
      <c r="E1117" s="1158">
        <f t="shared" si="2479"/>
        <v>0</v>
      </c>
      <c r="F1117" s="1158"/>
      <c r="G1117" s="1140"/>
      <c r="H1117" s="1140"/>
      <c r="I1117" s="552"/>
      <c r="J1117" s="552">
        <f t="shared" ref="J1117:AO1117" si="2856">J157*J$338</f>
        <v>0</v>
      </c>
      <c r="K1117" s="552">
        <f t="shared" si="2856"/>
        <v>0</v>
      </c>
      <c r="L1117" s="552">
        <f t="shared" si="2856"/>
        <v>0</v>
      </c>
      <c r="M1117" s="552">
        <f t="shared" si="2856"/>
        <v>0</v>
      </c>
      <c r="N1117" s="552">
        <f t="shared" si="2856"/>
        <v>0</v>
      </c>
      <c r="O1117" s="552">
        <f t="shared" si="2856"/>
        <v>0</v>
      </c>
      <c r="P1117" s="552">
        <f t="shared" si="2856"/>
        <v>0</v>
      </c>
      <c r="Q1117" s="552">
        <f t="shared" si="2856"/>
        <v>0</v>
      </c>
      <c r="R1117" s="552">
        <f t="shared" si="2856"/>
        <v>0</v>
      </c>
      <c r="S1117" s="552">
        <f t="shared" si="2856"/>
        <v>0</v>
      </c>
      <c r="T1117" s="552">
        <f t="shared" si="2856"/>
        <v>0</v>
      </c>
      <c r="U1117" s="552">
        <f t="shared" si="2856"/>
        <v>0</v>
      </c>
      <c r="V1117" s="552">
        <f t="shared" si="2856"/>
        <v>0</v>
      </c>
      <c r="W1117" s="552">
        <f t="shared" si="2856"/>
        <v>0</v>
      </c>
      <c r="X1117" s="552">
        <f t="shared" si="2856"/>
        <v>0</v>
      </c>
      <c r="Y1117" s="552">
        <f t="shared" si="2856"/>
        <v>0</v>
      </c>
      <c r="Z1117" s="552">
        <f t="shared" si="2856"/>
        <v>0</v>
      </c>
      <c r="AA1117" s="552">
        <f t="shared" si="2856"/>
        <v>0</v>
      </c>
      <c r="AB1117" s="552">
        <f t="shared" si="2856"/>
        <v>0</v>
      </c>
      <c r="AC1117" s="552">
        <f t="shared" si="2856"/>
        <v>0</v>
      </c>
      <c r="AD1117" s="552">
        <f t="shared" si="2856"/>
        <v>0</v>
      </c>
      <c r="AE1117" s="552">
        <f t="shared" si="2856"/>
        <v>0</v>
      </c>
      <c r="AF1117" s="552">
        <f t="shared" si="2856"/>
        <v>0</v>
      </c>
      <c r="AG1117" s="552">
        <f t="shared" si="2856"/>
        <v>0</v>
      </c>
      <c r="AH1117" s="552">
        <f t="shared" si="2856"/>
        <v>0</v>
      </c>
      <c r="AI1117" s="552">
        <f t="shared" si="2856"/>
        <v>0</v>
      </c>
      <c r="AJ1117" s="552">
        <f t="shared" si="2856"/>
        <v>0</v>
      </c>
      <c r="AK1117" s="552">
        <f t="shared" si="2856"/>
        <v>0</v>
      </c>
      <c r="AL1117" s="552">
        <f t="shared" si="2856"/>
        <v>0</v>
      </c>
      <c r="AM1117" s="552">
        <f t="shared" si="2856"/>
        <v>0</v>
      </c>
      <c r="AN1117" s="552">
        <f t="shared" si="2856"/>
        <v>0</v>
      </c>
      <c r="AO1117" s="552">
        <f t="shared" si="2856"/>
        <v>0</v>
      </c>
      <c r="AP1117" s="552">
        <f t="shared" ref="AP1117:BU1117" si="2857">AP157*AP$338</f>
        <v>0</v>
      </c>
      <c r="AQ1117" s="552">
        <f t="shared" si="2857"/>
        <v>0</v>
      </c>
      <c r="AR1117" s="552">
        <f t="shared" si="2857"/>
        <v>0</v>
      </c>
      <c r="AS1117" s="552">
        <f t="shared" si="2857"/>
        <v>0</v>
      </c>
      <c r="AT1117" s="552">
        <f t="shared" si="2857"/>
        <v>0</v>
      </c>
      <c r="AU1117" s="552">
        <f t="shared" si="2857"/>
        <v>0</v>
      </c>
      <c r="AV1117" s="552">
        <f t="shared" si="2857"/>
        <v>0</v>
      </c>
      <c r="AW1117" s="552">
        <f t="shared" si="2857"/>
        <v>0</v>
      </c>
      <c r="AX1117" s="552">
        <f t="shared" si="2857"/>
        <v>0</v>
      </c>
      <c r="AY1117" s="552">
        <f t="shared" si="2857"/>
        <v>0</v>
      </c>
      <c r="AZ1117" s="552">
        <f t="shared" si="2857"/>
        <v>0</v>
      </c>
      <c r="BA1117" s="552">
        <f t="shared" si="2857"/>
        <v>0</v>
      </c>
      <c r="BB1117" s="552">
        <f t="shared" si="2857"/>
        <v>0</v>
      </c>
      <c r="BC1117" s="552">
        <f t="shared" si="2857"/>
        <v>0</v>
      </c>
      <c r="BD1117" s="552">
        <f t="shared" si="2857"/>
        <v>0</v>
      </c>
      <c r="BE1117" s="552">
        <f t="shared" si="2857"/>
        <v>0</v>
      </c>
      <c r="BF1117" s="552">
        <f t="shared" si="2857"/>
        <v>0</v>
      </c>
      <c r="BG1117" s="552">
        <f t="shared" si="2857"/>
        <v>0</v>
      </c>
      <c r="BH1117" s="552">
        <f t="shared" si="2857"/>
        <v>0</v>
      </c>
      <c r="BI1117" s="552">
        <f t="shared" si="2857"/>
        <v>0</v>
      </c>
      <c r="BJ1117" s="552">
        <f t="shared" si="2857"/>
        <v>0</v>
      </c>
      <c r="BK1117" s="552">
        <f t="shared" si="2857"/>
        <v>0</v>
      </c>
      <c r="BL1117" s="552">
        <f t="shared" si="2857"/>
        <v>0</v>
      </c>
      <c r="BM1117" s="552">
        <f t="shared" si="2857"/>
        <v>0</v>
      </c>
      <c r="BN1117" s="552">
        <f t="shared" si="2857"/>
        <v>0</v>
      </c>
      <c r="BO1117" s="552">
        <f t="shared" si="2857"/>
        <v>0</v>
      </c>
      <c r="BP1117" s="552">
        <f t="shared" si="2857"/>
        <v>0</v>
      </c>
      <c r="BQ1117" s="552">
        <f t="shared" si="2857"/>
        <v>0</v>
      </c>
      <c r="BR1117" s="552">
        <f t="shared" si="2857"/>
        <v>0</v>
      </c>
      <c r="BS1117" s="552">
        <f t="shared" si="2857"/>
        <v>0</v>
      </c>
      <c r="BT1117" s="552">
        <f t="shared" si="2857"/>
        <v>0</v>
      </c>
      <c r="BU1117" s="552">
        <f t="shared" si="2857"/>
        <v>0</v>
      </c>
      <c r="BV1117" s="552">
        <f t="shared" ref="BV1117:DA1117" si="2858">BV157*BV$338</f>
        <v>0</v>
      </c>
      <c r="BW1117" s="552">
        <f t="shared" si="2858"/>
        <v>0</v>
      </c>
      <c r="BX1117" s="552">
        <f t="shared" si="2858"/>
        <v>0</v>
      </c>
      <c r="BY1117" s="552">
        <f t="shared" si="2858"/>
        <v>0</v>
      </c>
      <c r="BZ1117" s="552">
        <f t="shared" si="2858"/>
        <v>0</v>
      </c>
      <c r="CA1117" s="552">
        <f t="shared" si="2858"/>
        <v>0</v>
      </c>
      <c r="CB1117" s="552">
        <f t="shared" si="2858"/>
        <v>0</v>
      </c>
      <c r="CC1117" s="552">
        <f t="shared" si="2858"/>
        <v>0</v>
      </c>
      <c r="CD1117" s="552">
        <f t="shared" si="2858"/>
        <v>0</v>
      </c>
      <c r="CE1117" s="552">
        <f t="shared" si="2858"/>
        <v>0</v>
      </c>
      <c r="CF1117" s="552">
        <f t="shared" si="2858"/>
        <v>0</v>
      </c>
      <c r="CG1117" s="552">
        <f t="shared" si="2858"/>
        <v>0</v>
      </c>
      <c r="CH1117" s="552">
        <f t="shared" si="2858"/>
        <v>0</v>
      </c>
      <c r="CI1117" s="552">
        <f t="shared" si="2858"/>
        <v>0</v>
      </c>
      <c r="CJ1117" s="552">
        <f t="shared" si="2858"/>
        <v>0</v>
      </c>
      <c r="CK1117" s="552">
        <f t="shared" si="2858"/>
        <v>0</v>
      </c>
      <c r="CL1117" s="552">
        <f t="shared" si="2858"/>
        <v>0</v>
      </c>
      <c r="CM1117" s="552">
        <f t="shared" si="2858"/>
        <v>0</v>
      </c>
      <c r="CN1117" s="552">
        <f t="shared" si="2858"/>
        <v>0</v>
      </c>
      <c r="CO1117" s="552">
        <f t="shared" si="2858"/>
        <v>0</v>
      </c>
      <c r="CP1117" s="552">
        <f t="shared" si="2858"/>
        <v>0</v>
      </c>
      <c r="CQ1117" s="552">
        <f t="shared" si="2858"/>
        <v>0</v>
      </c>
      <c r="CR1117" s="552">
        <f t="shared" si="2858"/>
        <v>0</v>
      </c>
      <c r="CS1117" s="552">
        <f t="shared" si="2858"/>
        <v>0</v>
      </c>
      <c r="CT1117" s="552">
        <f t="shared" si="2858"/>
        <v>0</v>
      </c>
      <c r="CU1117" s="552">
        <f t="shared" si="2858"/>
        <v>0</v>
      </c>
      <c r="CV1117" s="552">
        <f t="shared" si="2858"/>
        <v>0</v>
      </c>
      <c r="CW1117" s="552">
        <f t="shared" si="2858"/>
        <v>0</v>
      </c>
      <c r="CX1117" s="552">
        <f t="shared" si="2858"/>
        <v>0</v>
      </c>
      <c r="CY1117" s="552">
        <f t="shared" si="2858"/>
        <v>0</v>
      </c>
      <c r="CZ1117" s="552">
        <f t="shared" si="2858"/>
        <v>0</v>
      </c>
      <c r="DA1117" s="552">
        <f t="shared" si="2858"/>
        <v>0</v>
      </c>
      <c r="DB1117" s="552">
        <f t="shared" ref="DB1117:EG1117" si="2859">DB157*DB$338</f>
        <v>0</v>
      </c>
      <c r="DC1117" s="552">
        <f t="shared" si="2859"/>
        <v>0</v>
      </c>
      <c r="DD1117" s="552">
        <f t="shared" si="2859"/>
        <v>0</v>
      </c>
      <c r="DE1117" s="552">
        <f t="shared" si="2859"/>
        <v>0</v>
      </c>
      <c r="DF1117" s="552">
        <f t="shared" si="2859"/>
        <v>0</v>
      </c>
      <c r="DG1117" s="552">
        <f t="shared" si="2859"/>
        <v>0</v>
      </c>
      <c r="DH1117" s="552">
        <f t="shared" si="2859"/>
        <v>0</v>
      </c>
      <c r="DI1117" s="552">
        <f t="shared" si="2859"/>
        <v>0</v>
      </c>
      <c r="DJ1117" s="552">
        <f t="shared" si="2859"/>
        <v>0</v>
      </c>
      <c r="DK1117" s="552">
        <f t="shared" si="2859"/>
        <v>0</v>
      </c>
      <c r="DL1117" s="552">
        <f t="shared" si="2859"/>
        <v>0</v>
      </c>
      <c r="DM1117" s="552">
        <f t="shared" si="2859"/>
        <v>0</v>
      </c>
      <c r="DN1117" s="552">
        <f t="shared" si="2859"/>
        <v>0</v>
      </c>
      <c r="DO1117" s="552">
        <f t="shared" si="2859"/>
        <v>0</v>
      </c>
      <c r="DP1117" s="552">
        <f t="shared" si="2859"/>
        <v>0</v>
      </c>
      <c r="DQ1117" s="552">
        <f t="shared" si="2859"/>
        <v>0</v>
      </c>
      <c r="DR1117" s="552">
        <f t="shared" si="2859"/>
        <v>0</v>
      </c>
      <c r="DS1117" s="552">
        <f t="shared" si="2859"/>
        <v>0</v>
      </c>
      <c r="DT1117" s="552">
        <f t="shared" si="2859"/>
        <v>0</v>
      </c>
      <c r="DU1117" s="552">
        <f t="shared" si="2859"/>
        <v>0</v>
      </c>
      <c r="DV1117" s="552">
        <f t="shared" si="2859"/>
        <v>0</v>
      </c>
      <c r="DW1117" s="552">
        <f t="shared" si="2859"/>
        <v>0</v>
      </c>
      <c r="DX1117" s="552">
        <f t="shared" si="2859"/>
        <v>0</v>
      </c>
      <c r="DY1117" s="552">
        <f t="shared" si="2859"/>
        <v>0</v>
      </c>
      <c r="DZ1117" s="552">
        <f t="shared" si="2859"/>
        <v>0</v>
      </c>
      <c r="EA1117" s="552">
        <f t="shared" si="2859"/>
        <v>0</v>
      </c>
      <c r="EB1117" s="552">
        <f t="shared" si="2859"/>
        <v>0</v>
      </c>
      <c r="EC1117" s="552">
        <f t="shared" si="2859"/>
        <v>0</v>
      </c>
      <c r="ED1117" s="552">
        <f t="shared" si="2859"/>
        <v>0</v>
      </c>
      <c r="EE1117" s="552">
        <f t="shared" si="2859"/>
        <v>0</v>
      </c>
      <c r="EF1117" s="552">
        <f t="shared" si="2859"/>
        <v>0</v>
      </c>
      <c r="EG1117" s="552">
        <f t="shared" si="2859"/>
        <v>0</v>
      </c>
      <c r="EH1117" s="552">
        <f t="shared" ref="EH1117:EX1117" si="2860">EH157*EH$338</f>
        <v>0</v>
      </c>
      <c r="EI1117" s="552">
        <f t="shared" si="2860"/>
        <v>0</v>
      </c>
      <c r="EJ1117" s="552">
        <f t="shared" si="2860"/>
        <v>0</v>
      </c>
      <c r="EK1117" s="552">
        <f t="shared" si="2860"/>
        <v>0</v>
      </c>
      <c r="EL1117" s="552">
        <f t="shared" si="2860"/>
        <v>0</v>
      </c>
      <c r="EM1117" s="552">
        <f t="shared" si="2860"/>
        <v>0</v>
      </c>
      <c r="EN1117" s="552">
        <f t="shared" si="2860"/>
        <v>0</v>
      </c>
      <c r="EO1117" s="552">
        <f t="shared" si="2860"/>
        <v>0</v>
      </c>
      <c r="EP1117" s="552">
        <f t="shared" si="2860"/>
        <v>0</v>
      </c>
      <c r="EQ1117" s="552">
        <f t="shared" si="2860"/>
        <v>0</v>
      </c>
      <c r="ER1117" s="552">
        <f t="shared" si="2860"/>
        <v>0</v>
      </c>
      <c r="ES1117" s="552">
        <f t="shared" si="2860"/>
        <v>0</v>
      </c>
      <c r="ET1117" s="552">
        <f t="shared" si="2860"/>
        <v>0</v>
      </c>
      <c r="EU1117" s="552">
        <f t="shared" si="2860"/>
        <v>0</v>
      </c>
      <c r="EV1117" s="552">
        <f t="shared" si="2860"/>
        <v>0</v>
      </c>
      <c r="EW1117" s="552">
        <f t="shared" si="2860"/>
        <v>0</v>
      </c>
      <c r="EX1117" s="552">
        <f t="shared" si="2860"/>
        <v>0</v>
      </c>
      <c r="EY1117" s="799">
        <f t="shared" si="2478"/>
        <v>0</v>
      </c>
      <c r="EZ1117" s="640"/>
      <c r="FA1117" s="640"/>
      <c r="FB1117" s="640"/>
      <c r="FC1117" s="640"/>
      <c r="FD1117" s="640"/>
      <c r="FE1117" s="640"/>
      <c r="FF1117" s="640"/>
      <c r="FG1117" s="640"/>
      <c r="FH1117" s="640"/>
      <c r="FI1117" s="640"/>
      <c r="FJ1117" s="640"/>
      <c r="FK1117" s="640"/>
      <c r="FL1117" s="640"/>
    </row>
    <row r="1118" spans="1:168" x14ac:dyDescent="0.25">
      <c r="A1118" s="1492"/>
      <c r="B1118" s="624">
        <f t="shared" si="2855"/>
        <v>0</v>
      </c>
      <c r="C1118" s="624">
        <f t="shared" si="2855"/>
        <v>0</v>
      </c>
      <c r="D1118" s="624">
        <f t="shared" si="2855"/>
        <v>0</v>
      </c>
      <c r="E1118" s="1158">
        <f t="shared" si="2479"/>
        <v>0</v>
      </c>
      <c r="F1118" s="1158"/>
      <c r="G1118" s="1140"/>
      <c r="H1118" s="1140"/>
      <c r="I1118" s="552"/>
      <c r="J1118" s="552">
        <f t="shared" ref="J1118:AO1118" si="2861">J158*J$338</f>
        <v>0</v>
      </c>
      <c r="K1118" s="552">
        <f t="shared" si="2861"/>
        <v>0</v>
      </c>
      <c r="L1118" s="552">
        <f t="shared" si="2861"/>
        <v>0</v>
      </c>
      <c r="M1118" s="552">
        <f t="shared" si="2861"/>
        <v>0</v>
      </c>
      <c r="N1118" s="552">
        <f t="shared" si="2861"/>
        <v>0</v>
      </c>
      <c r="O1118" s="552">
        <f t="shared" si="2861"/>
        <v>0</v>
      </c>
      <c r="P1118" s="552">
        <f t="shared" si="2861"/>
        <v>0</v>
      </c>
      <c r="Q1118" s="552">
        <f t="shared" si="2861"/>
        <v>0</v>
      </c>
      <c r="R1118" s="552">
        <f t="shared" si="2861"/>
        <v>0</v>
      </c>
      <c r="S1118" s="552">
        <f t="shared" si="2861"/>
        <v>0</v>
      </c>
      <c r="T1118" s="552">
        <f t="shared" si="2861"/>
        <v>0</v>
      </c>
      <c r="U1118" s="552">
        <f t="shared" si="2861"/>
        <v>0</v>
      </c>
      <c r="V1118" s="552">
        <f t="shared" si="2861"/>
        <v>0</v>
      </c>
      <c r="W1118" s="552">
        <f t="shared" si="2861"/>
        <v>0</v>
      </c>
      <c r="X1118" s="552">
        <f t="shared" si="2861"/>
        <v>0</v>
      </c>
      <c r="Y1118" s="552">
        <f t="shared" si="2861"/>
        <v>0</v>
      </c>
      <c r="Z1118" s="552">
        <f t="shared" si="2861"/>
        <v>0</v>
      </c>
      <c r="AA1118" s="552">
        <f t="shared" si="2861"/>
        <v>0</v>
      </c>
      <c r="AB1118" s="552">
        <f t="shared" si="2861"/>
        <v>0</v>
      </c>
      <c r="AC1118" s="552">
        <f t="shared" si="2861"/>
        <v>0</v>
      </c>
      <c r="AD1118" s="552">
        <f t="shared" si="2861"/>
        <v>0</v>
      </c>
      <c r="AE1118" s="552">
        <f t="shared" si="2861"/>
        <v>0</v>
      </c>
      <c r="AF1118" s="552">
        <f t="shared" si="2861"/>
        <v>0</v>
      </c>
      <c r="AG1118" s="552">
        <f t="shared" si="2861"/>
        <v>0</v>
      </c>
      <c r="AH1118" s="552">
        <f t="shared" si="2861"/>
        <v>0</v>
      </c>
      <c r="AI1118" s="552">
        <f t="shared" si="2861"/>
        <v>0</v>
      </c>
      <c r="AJ1118" s="552">
        <f t="shared" si="2861"/>
        <v>0</v>
      </c>
      <c r="AK1118" s="552">
        <f t="shared" si="2861"/>
        <v>0</v>
      </c>
      <c r="AL1118" s="552">
        <f t="shared" si="2861"/>
        <v>0</v>
      </c>
      <c r="AM1118" s="552">
        <f t="shared" si="2861"/>
        <v>0</v>
      </c>
      <c r="AN1118" s="552">
        <f t="shared" si="2861"/>
        <v>0</v>
      </c>
      <c r="AO1118" s="552">
        <f t="shared" si="2861"/>
        <v>0</v>
      </c>
      <c r="AP1118" s="552">
        <f t="shared" ref="AP1118:BU1118" si="2862">AP158*AP$338</f>
        <v>0</v>
      </c>
      <c r="AQ1118" s="552">
        <f t="shared" si="2862"/>
        <v>0</v>
      </c>
      <c r="AR1118" s="552">
        <f t="shared" si="2862"/>
        <v>0</v>
      </c>
      <c r="AS1118" s="552">
        <f t="shared" si="2862"/>
        <v>0</v>
      </c>
      <c r="AT1118" s="552">
        <f t="shared" si="2862"/>
        <v>0</v>
      </c>
      <c r="AU1118" s="552">
        <f t="shared" si="2862"/>
        <v>0</v>
      </c>
      <c r="AV1118" s="552">
        <f t="shared" si="2862"/>
        <v>0</v>
      </c>
      <c r="AW1118" s="552">
        <f t="shared" si="2862"/>
        <v>0</v>
      </c>
      <c r="AX1118" s="552">
        <f t="shared" si="2862"/>
        <v>0</v>
      </c>
      <c r="AY1118" s="552">
        <f t="shared" si="2862"/>
        <v>0</v>
      </c>
      <c r="AZ1118" s="552">
        <f t="shared" si="2862"/>
        <v>0</v>
      </c>
      <c r="BA1118" s="552">
        <f t="shared" si="2862"/>
        <v>0</v>
      </c>
      <c r="BB1118" s="552">
        <f t="shared" si="2862"/>
        <v>0</v>
      </c>
      <c r="BC1118" s="552">
        <f t="shared" si="2862"/>
        <v>0</v>
      </c>
      <c r="BD1118" s="552">
        <f t="shared" si="2862"/>
        <v>0</v>
      </c>
      <c r="BE1118" s="552">
        <f t="shared" si="2862"/>
        <v>0</v>
      </c>
      <c r="BF1118" s="552">
        <f t="shared" si="2862"/>
        <v>0</v>
      </c>
      <c r="BG1118" s="552">
        <f t="shared" si="2862"/>
        <v>0</v>
      </c>
      <c r="BH1118" s="552">
        <f t="shared" si="2862"/>
        <v>0</v>
      </c>
      <c r="BI1118" s="552">
        <f t="shared" si="2862"/>
        <v>0</v>
      </c>
      <c r="BJ1118" s="552">
        <f t="shared" si="2862"/>
        <v>0</v>
      </c>
      <c r="BK1118" s="552">
        <f t="shared" si="2862"/>
        <v>0</v>
      </c>
      <c r="BL1118" s="552">
        <f t="shared" si="2862"/>
        <v>0</v>
      </c>
      <c r="BM1118" s="552">
        <f t="shared" si="2862"/>
        <v>0</v>
      </c>
      <c r="BN1118" s="552">
        <f t="shared" si="2862"/>
        <v>0</v>
      </c>
      <c r="BO1118" s="552">
        <f t="shared" si="2862"/>
        <v>0</v>
      </c>
      <c r="BP1118" s="552">
        <f t="shared" si="2862"/>
        <v>0</v>
      </c>
      <c r="BQ1118" s="552">
        <f t="shared" si="2862"/>
        <v>0</v>
      </c>
      <c r="BR1118" s="552">
        <f t="shared" si="2862"/>
        <v>0</v>
      </c>
      <c r="BS1118" s="552">
        <f t="shared" si="2862"/>
        <v>0</v>
      </c>
      <c r="BT1118" s="552">
        <f t="shared" si="2862"/>
        <v>0</v>
      </c>
      <c r="BU1118" s="552">
        <f t="shared" si="2862"/>
        <v>0</v>
      </c>
      <c r="BV1118" s="552">
        <f t="shared" ref="BV1118:DA1118" si="2863">BV158*BV$338</f>
        <v>0</v>
      </c>
      <c r="BW1118" s="552">
        <f t="shared" si="2863"/>
        <v>0</v>
      </c>
      <c r="BX1118" s="552">
        <f t="shared" si="2863"/>
        <v>0</v>
      </c>
      <c r="BY1118" s="552">
        <f t="shared" si="2863"/>
        <v>0</v>
      </c>
      <c r="BZ1118" s="552">
        <f t="shared" si="2863"/>
        <v>0</v>
      </c>
      <c r="CA1118" s="552">
        <f t="shared" si="2863"/>
        <v>0</v>
      </c>
      <c r="CB1118" s="552">
        <f t="shared" si="2863"/>
        <v>0</v>
      </c>
      <c r="CC1118" s="552">
        <f t="shared" si="2863"/>
        <v>0</v>
      </c>
      <c r="CD1118" s="552">
        <f t="shared" si="2863"/>
        <v>0</v>
      </c>
      <c r="CE1118" s="552">
        <f t="shared" si="2863"/>
        <v>0</v>
      </c>
      <c r="CF1118" s="552">
        <f t="shared" si="2863"/>
        <v>0</v>
      </c>
      <c r="CG1118" s="552">
        <f t="shared" si="2863"/>
        <v>0</v>
      </c>
      <c r="CH1118" s="552">
        <f t="shared" si="2863"/>
        <v>0</v>
      </c>
      <c r="CI1118" s="552">
        <f t="shared" si="2863"/>
        <v>0</v>
      </c>
      <c r="CJ1118" s="552">
        <f t="shared" si="2863"/>
        <v>0</v>
      </c>
      <c r="CK1118" s="552">
        <f t="shared" si="2863"/>
        <v>0</v>
      </c>
      <c r="CL1118" s="552">
        <f t="shared" si="2863"/>
        <v>0</v>
      </c>
      <c r="CM1118" s="552">
        <f t="shared" si="2863"/>
        <v>0</v>
      </c>
      <c r="CN1118" s="552">
        <f t="shared" si="2863"/>
        <v>0</v>
      </c>
      <c r="CO1118" s="552">
        <f t="shared" si="2863"/>
        <v>0</v>
      </c>
      <c r="CP1118" s="552">
        <f t="shared" si="2863"/>
        <v>0</v>
      </c>
      <c r="CQ1118" s="552">
        <f t="shared" si="2863"/>
        <v>0</v>
      </c>
      <c r="CR1118" s="552">
        <f t="shared" si="2863"/>
        <v>0</v>
      </c>
      <c r="CS1118" s="552">
        <f t="shared" si="2863"/>
        <v>0</v>
      </c>
      <c r="CT1118" s="552">
        <f t="shared" si="2863"/>
        <v>0</v>
      </c>
      <c r="CU1118" s="552">
        <f t="shared" si="2863"/>
        <v>0</v>
      </c>
      <c r="CV1118" s="552">
        <f t="shared" si="2863"/>
        <v>0</v>
      </c>
      <c r="CW1118" s="552">
        <f t="shared" si="2863"/>
        <v>0</v>
      </c>
      <c r="CX1118" s="552">
        <f t="shared" si="2863"/>
        <v>0</v>
      </c>
      <c r="CY1118" s="552">
        <f t="shared" si="2863"/>
        <v>0</v>
      </c>
      <c r="CZ1118" s="552">
        <f t="shared" si="2863"/>
        <v>0</v>
      </c>
      <c r="DA1118" s="552">
        <f t="shared" si="2863"/>
        <v>0</v>
      </c>
      <c r="DB1118" s="552">
        <f t="shared" ref="DB1118:EG1118" si="2864">DB158*DB$338</f>
        <v>0</v>
      </c>
      <c r="DC1118" s="552">
        <f t="shared" si="2864"/>
        <v>0</v>
      </c>
      <c r="DD1118" s="552">
        <f t="shared" si="2864"/>
        <v>0</v>
      </c>
      <c r="DE1118" s="552">
        <f t="shared" si="2864"/>
        <v>0</v>
      </c>
      <c r="DF1118" s="552">
        <f t="shared" si="2864"/>
        <v>0</v>
      </c>
      <c r="DG1118" s="552">
        <f t="shared" si="2864"/>
        <v>0</v>
      </c>
      <c r="DH1118" s="552">
        <f t="shared" si="2864"/>
        <v>0</v>
      </c>
      <c r="DI1118" s="552">
        <f t="shared" si="2864"/>
        <v>0</v>
      </c>
      <c r="DJ1118" s="552">
        <f t="shared" si="2864"/>
        <v>0</v>
      </c>
      <c r="DK1118" s="552">
        <f t="shared" si="2864"/>
        <v>0</v>
      </c>
      <c r="DL1118" s="552">
        <f t="shared" si="2864"/>
        <v>0</v>
      </c>
      <c r="DM1118" s="552">
        <f t="shared" si="2864"/>
        <v>0</v>
      </c>
      <c r="DN1118" s="552">
        <f t="shared" si="2864"/>
        <v>0</v>
      </c>
      <c r="DO1118" s="552">
        <f t="shared" si="2864"/>
        <v>0</v>
      </c>
      <c r="DP1118" s="552">
        <f t="shared" si="2864"/>
        <v>0</v>
      </c>
      <c r="DQ1118" s="552">
        <f t="shared" si="2864"/>
        <v>0</v>
      </c>
      <c r="DR1118" s="552">
        <f t="shared" si="2864"/>
        <v>0</v>
      </c>
      <c r="DS1118" s="552">
        <f t="shared" si="2864"/>
        <v>0</v>
      </c>
      <c r="DT1118" s="552">
        <f t="shared" si="2864"/>
        <v>0</v>
      </c>
      <c r="DU1118" s="552">
        <f t="shared" si="2864"/>
        <v>0</v>
      </c>
      <c r="DV1118" s="552">
        <f t="shared" si="2864"/>
        <v>0</v>
      </c>
      <c r="DW1118" s="552">
        <f t="shared" si="2864"/>
        <v>0</v>
      </c>
      <c r="DX1118" s="552">
        <f t="shared" si="2864"/>
        <v>0</v>
      </c>
      <c r="DY1118" s="552">
        <f t="shared" si="2864"/>
        <v>0</v>
      </c>
      <c r="DZ1118" s="552">
        <f t="shared" si="2864"/>
        <v>0</v>
      </c>
      <c r="EA1118" s="552">
        <f t="shared" si="2864"/>
        <v>0</v>
      </c>
      <c r="EB1118" s="552">
        <f t="shared" si="2864"/>
        <v>0</v>
      </c>
      <c r="EC1118" s="552">
        <f t="shared" si="2864"/>
        <v>0</v>
      </c>
      <c r="ED1118" s="552">
        <f t="shared" si="2864"/>
        <v>0</v>
      </c>
      <c r="EE1118" s="552">
        <f t="shared" si="2864"/>
        <v>0</v>
      </c>
      <c r="EF1118" s="552">
        <f t="shared" si="2864"/>
        <v>0</v>
      </c>
      <c r="EG1118" s="552">
        <f t="shared" si="2864"/>
        <v>0</v>
      </c>
      <c r="EH1118" s="552">
        <f t="shared" ref="EH1118:EX1118" si="2865">EH158*EH$338</f>
        <v>0</v>
      </c>
      <c r="EI1118" s="552">
        <f t="shared" si="2865"/>
        <v>0</v>
      </c>
      <c r="EJ1118" s="552">
        <f t="shared" si="2865"/>
        <v>0</v>
      </c>
      <c r="EK1118" s="552">
        <f t="shared" si="2865"/>
        <v>0</v>
      </c>
      <c r="EL1118" s="552">
        <f t="shared" si="2865"/>
        <v>0</v>
      </c>
      <c r="EM1118" s="552">
        <f t="shared" si="2865"/>
        <v>0</v>
      </c>
      <c r="EN1118" s="552">
        <f t="shared" si="2865"/>
        <v>0</v>
      </c>
      <c r="EO1118" s="552">
        <f t="shared" si="2865"/>
        <v>0</v>
      </c>
      <c r="EP1118" s="552">
        <f t="shared" si="2865"/>
        <v>0</v>
      </c>
      <c r="EQ1118" s="552">
        <f t="shared" si="2865"/>
        <v>0</v>
      </c>
      <c r="ER1118" s="552">
        <f t="shared" si="2865"/>
        <v>0</v>
      </c>
      <c r="ES1118" s="552">
        <f t="shared" si="2865"/>
        <v>0</v>
      </c>
      <c r="ET1118" s="552">
        <f t="shared" si="2865"/>
        <v>0</v>
      </c>
      <c r="EU1118" s="552">
        <f t="shared" si="2865"/>
        <v>0</v>
      </c>
      <c r="EV1118" s="552">
        <f t="shared" si="2865"/>
        <v>0</v>
      </c>
      <c r="EW1118" s="552">
        <f t="shared" si="2865"/>
        <v>0</v>
      </c>
      <c r="EX1118" s="552">
        <f t="shared" si="2865"/>
        <v>0</v>
      </c>
      <c r="EY1118" s="799">
        <f t="shared" si="2478"/>
        <v>0</v>
      </c>
      <c r="EZ1118" s="640"/>
      <c r="FA1118" s="640"/>
      <c r="FB1118" s="640"/>
      <c r="FC1118" s="640"/>
      <c r="FD1118" s="640"/>
      <c r="FE1118" s="640"/>
      <c r="FF1118" s="640"/>
      <c r="FG1118" s="640"/>
      <c r="FH1118" s="640"/>
      <c r="FI1118" s="640"/>
      <c r="FJ1118" s="640"/>
      <c r="FK1118" s="640"/>
      <c r="FL1118" s="640"/>
    </row>
    <row r="1119" spans="1:168" x14ac:dyDescent="0.25">
      <c r="A1119" s="1492"/>
      <c r="B1119" s="624">
        <f t="shared" si="2855"/>
        <v>0</v>
      </c>
      <c r="C1119" s="624">
        <f t="shared" si="2855"/>
        <v>0</v>
      </c>
      <c r="D1119" s="624">
        <f t="shared" si="2855"/>
        <v>0</v>
      </c>
      <c r="E1119" s="1158">
        <f t="shared" si="2479"/>
        <v>0</v>
      </c>
      <c r="F1119" s="1158"/>
      <c r="G1119" s="1140"/>
      <c r="H1119" s="1140"/>
      <c r="I1119" s="552"/>
      <c r="J1119" s="552">
        <f t="shared" ref="J1119:AO1119" si="2866">J159*J$338</f>
        <v>0</v>
      </c>
      <c r="K1119" s="552">
        <f t="shared" si="2866"/>
        <v>0</v>
      </c>
      <c r="L1119" s="552">
        <f t="shared" si="2866"/>
        <v>0</v>
      </c>
      <c r="M1119" s="552">
        <f t="shared" si="2866"/>
        <v>0</v>
      </c>
      <c r="N1119" s="552">
        <f t="shared" si="2866"/>
        <v>0</v>
      </c>
      <c r="O1119" s="552">
        <f t="shared" si="2866"/>
        <v>0</v>
      </c>
      <c r="P1119" s="552">
        <f t="shared" si="2866"/>
        <v>0</v>
      </c>
      <c r="Q1119" s="552">
        <f t="shared" si="2866"/>
        <v>0</v>
      </c>
      <c r="R1119" s="552">
        <f t="shared" si="2866"/>
        <v>0</v>
      </c>
      <c r="S1119" s="552">
        <f t="shared" si="2866"/>
        <v>0</v>
      </c>
      <c r="T1119" s="552">
        <f t="shared" si="2866"/>
        <v>0</v>
      </c>
      <c r="U1119" s="552">
        <f t="shared" si="2866"/>
        <v>0</v>
      </c>
      <c r="V1119" s="552">
        <f t="shared" si="2866"/>
        <v>0</v>
      </c>
      <c r="W1119" s="552">
        <f t="shared" si="2866"/>
        <v>0</v>
      </c>
      <c r="X1119" s="552">
        <f t="shared" si="2866"/>
        <v>0</v>
      </c>
      <c r="Y1119" s="552">
        <f t="shared" si="2866"/>
        <v>0</v>
      </c>
      <c r="Z1119" s="552">
        <f t="shared" si="2866"/>
        <v>0</v>
      </c>
      <c r="AA1119" s="552">
        <f t="shared" si="2866"/>
        <v>0</v>
      </c>
      <c r="AB1119" s="552">
        <f t="shared" si="2866"/>
        <v>0</v>
      </c>
      <c r="AC1119" s="552">
        <f t="shared" si="2866"/>
        <v>0</v>
      </c>
      <c r="AD1119" s="552">
        <f t="shared" si="2866"/>
        <v>0</v>
      </c>
      <c r="AE1119" s="552">
        <f t="shared" si="2866"/>
        <v>0</v>
      </c>
      <c r="AF1119" s="552">
        <f t="shared" si="2866"/>
        <v>0</v>
      </c>
      <c r="AG1119" s="552">
        <f t="shared" si="2866"/>
        <v>0</v>
      </c>
      <c r="AH1119" s="552">
        <f t="shared" si="2866"/>
        <v>0</v>
      </c>
      <c r="AI1119" s="552">
        <f t="shared" si="2866"/>
        <v>0</v>
      </c>
      <c r="AJ1119" s="552">
        <f t="shared" si="2866"/>
        <v>0</v>
      </c>
      <c r="AK1119" s="552">
        <f t="shared" si="2866"/>
        <v>0</v>
      </c>
      <c r="AL1119" s="552">
        <f t="shared" si="2866"/>
        <v>0</v>
      </c>
      <c r="AM1119" s="552">
        <f t="shared" si="2866"/>
        <v>0</v>
      </c>
      <c r="AN1119" s="552">
        <f t="shared" si="2866"/>
        <v>0</v>
      </c>
      <c r="AO1119" s="552">
        <f t="shared" si="2866"/>
        <v>0</v>
      </c>
      <c r="AP1119" s="552">
        <f t="shared" ref="AP1119:BU1119" si="2867">AP159*AP$338</f>
        <v>0</v>
      </c>
      <c r="AQ1119" s="552">
        <f t="shared" si="2867"/>
        <v>0</v>
      </c>
      <c r="AR1119" s="552">
        <f t="shared" si="2867"/>
        <v>0</v>
      </c>
      <c r="AS1119" s="552">
        <f t="shared" si="2867"/>
        <v>0</v>
      </c>
      <c r="AT1119" s="552">
        <f t="shared" si="2867"/>
        <v>0</v>
      </c>
      <c r="AU1119" s="552">
        <f t="shared" si="2867"/>
        <v>0</v>
      </c>
      <c r="AV1119" s="552">
        <f t="shared" si="2867"/>
        <v>0</v>
      </c>
      <c r="AW1119" s="552">
        <f t="shared" si="2867"/>
        <v>0</v>
      </c>
      <c r="AX1119" s="552">
        <f t="shared" si="2867"/>
        <v>0</v>
      </c>
      <c r="AY1119" s="552">
        <f t="shared" si="2867"/>
        <v>0</v>
      </c>
      <c r="AZ1119" s="552">
        <f t="shared" si="2867"/>
        <v>0</v>
      </c>
      <c r="BA1119" s="552">
        <f t="shared" si="2867"/>
        <v>0</v>
      </c>
      <c r="BB1119" s="552">
        <f t="shared" si="2867"/>
        <v>0</v>
      </c>
      <c r="BC1119" s="552">
        <f t="shared" si="2867"/>
        <v>0</v>
      </c>
      <c r="BD1119" s="552">
        <f t="shared" si="2867"/>
        <v>0</v>
      </c>
      <c r="BE1119" s="552">
        <f t="shared" si="2867"/>
        <v>0</v>
      </c>
      <c r="BF1119" s="552">
        <f t="shared" si="2867"/>
        <v>0</v>
      </c>
      <c r="BG1119" s="552">
        <f t="shared" si="2867"/>
        <v>0</v>
      </c>
      <c r="BH1119" s="552">
        <f t="shared" si="2867"/>
        <v>0</v>
      </c>
      <c r="BI1119" s="552">
        <f t="shared" si="2867"/>
        <v>0</v>
      </c>
      <c r="BJ1119" s="552">
        <f t="shared" si="2867"/>
        <v>0</v>
      </c>
      <c r="BK1119" s="552">
        <f t="shared" si="2867"/>
        <v>0</v>
      </c>
      <c r="BL1119" s="552">
        <f t="shared" si="2867"/>
        <v>0</v>
      </c>
      <c r="BM1119" s="552">
        <f t="shared" si="2867"/>
        <v>0</v>
      </c>
      <c r="BN1119" s="552">
        <f t="shared" si="2867"/>
        <v>0</v>
      </c>
      <c r="BO1119" s="552">
        <f t="shared" si="2867"/>
        <v>0</v>
      </c>
      <c r="BP1119" s="552">
        <f t="shared" si="2867"/>
        <v>0</v>
      </c>
      <c r="BQ1119" s="552">
        <f t="shared" si="2867"/>
        <v>0</v>
      </c>
      <c r="BR1119" s="552">
        <f t="shared" si="2867"/>
        <v>0</v>
      </c>
      <c r="BS1119" s="552">
        <f t="shared" si="2867"/>
        <v>0</v>
      </c>
      <c r="BT1119" s="552">
        <f t="shared" si="2867"/>
        <v>0</v>
      </c>
      <c r="BU1119" s="552">
        <f t="shared" si="2867"/>
        <v>0</v>
      </c>
      <c r="BV1119" s="552">
        <f t="shared" ref="BV1119:DA1119" si="2868">BV159*BV$338</f>
        <v>0</v>
      </c>
      <c r="BW1119" s="552">
        <f t="shared" si="2868"/>
        <v>0</v>
      </c>
      <c r="BX1119" s="552">
        <f t="shared" si="2868"/>
        <v>0</v>
      </c>
      <c r="BY1119" s="552">
        <f t="shared" si="2868"/>
        <v>0</v>
      </c>
      <c r="BZ1119" s="552">
        <f t="shared" si="2868"/>
        <v>0</v>
      </c>
      <c r="CA1119" s="552">
        <f t="shared" si="2868"/>
        <v>0</v>
      </c>
      <c r="CB1119" s="552">
        <f t="shared" si="2868"/>
        <v>0</v>
      </c>
      <c r="CC1119" s="552">
        <f t="shared" si="2868"/>
        <v>0</v>
      </c>
      <c r="CD1119" s="552">
        <f t="shared" si="2868"/>
        <v>0</v>
      </c>
      <c r="CE1119" s="552">
        <f t="shared" si="2868"/>
        <v>0</v>
      </c>
      <c r="CF1119" s="552">
        <f t="shared" si="2868"/>
        <v>0</v>
      </c>
      <c r="CG1119" s="552">
        <f t="shared" si="2868"/>
        <v>0</v>
      </c>
      <c r="CH1119" s="552">
        <f t="shared" si="2868"/>
        <v>0</v>
      </c>
      <c r="CI1119" s="552">
        <f t="shared" si="2868"/>
        <v>0</v>
      </c>
      <c r="CJ1119" s="552">
        <f t="shared" si="2868"/>
        <v>0</v>
      </c>
      <c r="CK1119" s="552">
        <f t="shared" si="2868"/>
        <v>0</v>
      </c>
      <c r="CL1119" s="552">
        <f t="shared" si="2868"/>
        <v>0</v>
      </c>
      <c r="CM1119" s="552">
        <f t="shared" si="2868"/>
        <v>0</v>
      </c>
      <c r="CN1119" s="552">
        <f t="shared" si="2868"/>
        <v>0</v>
      </c>
      <c r="CO1119" s="552">
        <f t="shared" si="2868"/>
        <v>0</v>
      </c>
      <c r="CP1119" s="552">
        <f t="shared" si="2868"/>
        <v>0</v>
      </c>
      <c r="CQ1119" s="552">
        <f t="shared" si="2868"/>
        <v>0</v>
      </c>
      <c r="CR1119" s="552">
        <f t="shared" si="2868"/>
        <v>0</v>
      </c>
      <c r="CS1119" s="552">
        <f t="shared" si="2868"/>
        <v>0</v>
      </c>
      <c r="CT1119" s="552">
        <f t="shared" si="2868"/>
        <v>0</v>
      </c>
      <c r="CU1119" s="552">
        <f t="shared" si="2868"/>
        <v>0</v>
      </c>
      <c r="CV1119" s="552">
        <f t="shared" si="2868"/>
        <v>0</v>
      </c>
      <c r="CW1119" s="552">
        <f t="shared" si="2868"/>
        <v>0</v>
      </c>
      <c r="CX1119" s="552">
        <f t="shared" si="2868"/>
        <v>0</v>
      </c>
      <c r="CY1119" s="552">
        <f t="shared" si="2868"/>
        <v>0</v>
      </c>
      <c r="CZ1119" s="552">
        <f t="shared" si="2868"/>
        <v>0</v>
      </c>
      <c r="DA1119" s="552">
        <f t="shared" si="2868"/>
        <v>0</v>
      </c>
      <c r="DB1119" s="552">
        <f t="shared" ref="DB1119:EG1119" si="2869">DB159*DB$338</f>
        <v>0</v>
      </c>
      <c r="DC1119" s="552">
        <f t="shared" si="2869"/>
        <v>0</v>
      </c>
      <c r="DD1119" s="552">
        <f t="shared" si="2869"/>
        <v>0</v>
      </c>
      <c r="DE1119" s="552">
        <f t="shared" si="2869"/>
        <v>0</v>
      </c>
      <c r="DF1119" s="552">
        <f t="shared" si="2869"/>
        <v>0</v>
      </c>
      <c r="DG1119" s="552">
        <f t="shared" si="2869"/>
        <v>0</v>
      </c>
      <c r="DH1119" s="552">
        <f t="shared" si="2869"/>
        <v>0</v>
      </c>
      <c r="DI1119" s="552">
        <f t="shared" si="2869"/>
        <v>0</v>
      </c>
      <c r="DJ1119" s="552">
        <f t="shared" si="2869"/>
        <v>0</v>
      </c>
      <c r="DK1119" s="552">
        <f t="shared" si="2869"/>
        <v>0</v>
      </c>
      <c r="DL1119" s="552">
        <f t="shared" si="2869"/>
        <v>0</v>
      </c>
      <c r="DM1119" s="552">
        <f t="shared" si="2869"/>
        <v>0</v>
      </c>
      <c r="DN1119" s="552">
        <f t="shared" si="2869"/>
        <v>0</v>
      </c>
      <c r="DO1119" s="552">
        <f t="shared" si="2869"/>
        <v>0</v>
      </c>
      <c r="DP1119" s="552">
        <f t="shared" si="2869"/>
        <v>0</v>
      </c>
      <c r="DQ1119" s="552">
        <f t="shared" si="2869"/>
        <v>0</v>
      </c>
      <c r="DR1119" s="552">
        <f t="shared" si="2869"/>
        <v>0</v>
      </c>
      <c r="DS1119" s="552">
        <f t="shared" si="2869"/>
        <v>0</v>
      </c>
      <c r="DT1119" s="552">
        <f t="shared" si="2869"/>
        <v>0</v>
      </c>
      <c r="DU1119" s="552">
        <f t="shared" si="2869"/>
        <v>0</v>
      </c>
      <c r="DV1119" s="552">
        <f t="shared" si="2869"/>
        <v>0</v>
      </c>
      <c r="DW1119" s="552">
        <f t="shared" si="2869"/>
        <v>0</v>
      </c>
      <c r="DX1119" s="552">
        <f t="shared" si="2869"/>
        <v>0</v>
      </c>
      <c r="DY1119" s="552">
        <f t="shared" si="2869"/>
        <v>0</v>
      </c>
      <c r="DZ1119" s="552">
        <f t="shared" si="2869"/>
        <v>0</v>
      </c>
      <c r="EA1119" s="552">
        <f t="shared" si="2869"/>
        <v>0</v>
      </c>
      <c r="EB1119" s="552">
        <f t="shared" si="2869"/>
        <v>0</v>
      </c>
      <c r="EC1119" s="552">
        <f t="shared" si="2869"/>
        <v>0</v>
      </c>
      <c r="ED1119" s="552">
        <f t="shared" si="2869"/>
        <v>0</v>
      </c>
      <c r="EE1119" s="552">
        <f t="shared" si="2869"/>
        <v>0</v>
      </c>
      <c r="EF1119" s="552">
        <f t="shared" si="2869"/>
        <v>0</v>
      </c>
      <c r="EG1119" s="552">
        <f t="shared" si="2869"/>
        <v>0</v>
      </c>
      <c r="EH1119" s="552">
        <f t="shared" ref="EH1119:EX1119" si="2870">EH159*EH$338</f>
        <v>0</v>
      </c>
      <c r="EI1119" s="552">
        <f t="shared" si="2870"/>
        <v>0</v>
      </c>
      <c r="EJ1119" s="552">
        <f t="shared" si="2870"/>
        <v>0</v>
      </c>
      <c r="EK1119" s="552">
        <f t="shared" si="2870"/>
        <v>0</v>
      </c>
      <c r="EL1119" s="552">
        <f t="shared" si="2870"/>
        <v>0</v>
      </c>
      <c r="EM1119" s="552">
        <f t="shared" si="2870"/>
        <v>0</v>
      </c>
      <c r="EN1119" s="552">
        <f t="shared" si="2870"/>
        <v>0</v>
      </c>
      <c r="EO1119" s="552">
        <f t="shared" si="2870"/>
        <v>0</v>
      </c>
      <c r="EP1119" s="552">
        <f t="shared" si="2870"/>
        <v>0</v>
      </c>
      <c r="EQ1119" s="552">
        <f t="shared" si="2870"/>
        <v>0</v>
      </c>
      <c r="ER1119" s="552">
        <f t="shared" si="2870"/>
        <v>0</v>
      </c>
      <c r="ES1119" s="552">
        <f t="shared" si="2870"/>
        <v>0</v>
      </c>
      <c r="ET1119" s="552">
        <f t="shared" si="2870"/>
        <v>0</v>
      </c>
      <c r="EU1119" s="552">
        <f t="shared" si="2870"/>
        <v>0</v>
      </c>
      <c r="EV1119" s="552">
        <f t="shared" si="2870"/>
        <v>0</v>
      </c>
      <c r="EW1119" s="552">
        <f t="shared" si="2870"/>
        <v>0</v>
      </c>
      <c r="EX1119" s="552">
        <f t="shared" si="2870"/>
        <v>0</v>
      </c>
      <c r="EY1119" s="799">
        <f t="shared" si="2478"/>
        <v>0</v>
      </c>
      <c r="EZ1119" s="640"/>
      <c r="FA1119" s="640"/>
      <c r="FB1119" s="640"/>
      <c r="FC1119" s="640"/>
      <c r="FD1119" s="640"/>
      <c r="FE1119" s="640"/>
      <c r="FF1119" s="640"/>
      <c r="FG1119" s="640"/>
      <c r="FH1119" s="640"/>
      <c r="FI1119" s="640"/>
      <c r="FJ1119" s="640"/>
      <c r="FK1119" s="640"/>
      <c r="FL1119" s="640"/>
    </row>
    <row r="1120" spans="1:168" x14ac:dyDescent="0.25">
      <c r="A1120" s="1492"/>
      <c r="B1120" s="624">
        <f t="shared" si="2855"/>
        <v>0</v>
      </c>
      <c r="C1120" s="624">
        <f t="shared" si="2855"/>
        <v>0</v>
      </c>
      <c r="D1120" s="624">
        <f t="shared" si="2855"/>
        <v>0</v>
      </c>
      <c r="E1120" s="1158">
        <f t="shared" si="2479"/>
        <v>0</v>
      </c>
      <c r="F1120" s="1158"/>
      <c r="G1120" s="1140"/>
      <c r="H1120" s="1140"/>
      <c r="I1120" s="552"/>
      <c r="J1120" s="552">
        <f t="shared" ref="J1120:AO1120" si="2871">J160*J$338</f>
        <v>0</v>
      </c>
      <c r="K1120" s="552">
        <f t="shared" si="2871"/>
        <v>0</v>
      </c>
      <c r="L1120" s="552">
        <f t="shared" si="2871"/>
        <v>0</v>
      </c>
      <c r="M1120" s="552">
        <f t="shared" si="2871"/>
        <v>0</v>
      </c>
      <c r="N1120" s="552">
        <f t="shared" si="2871"/>
        <v>0</v>
      </c>
      <c r="O1120" s="552">
        <f t="shared" si="2871"/>
        <v>0</v>
      </c>
      <c r="P1120" s="552">
        <f t="shared" si="2871"/>
        <v>0</v>
      </c>
      <c r="Q1120" s="552">
        <f t="shared" si="2871"/>
        <v>0</v>
      </c>
      <c r="R1120" s="552">
        <f t="shared" si="2871"/>
        <v>0</v>
      </c>
      <c r="S1120" s="552">
        <f t="shared" si="2871"/>
        <v>0</v>
      </c>
      <c r="T1120" s="552">
        <f t="shared" si="2871"/>
        <v>0</v>
      </c>
      <c r="U1120" s="552">
        <f t="shared" si="2871"/>
        <v>0</v>
      </c>
      <c r="V1120" s="552">
        <f t="shared" si="2871"/>
        <v>0</v>
      </c>
      <c r="W1120" s="552">
        <f t="shared" si="2871"/>
        <v>0</v>
      </c>
      <c r="X1120" s="552">
        <f t="shared" si="2871"/>
        <v>0</v>
      </c>
      <c r="Y1120" s="552">
        <f t="shared" si="2871"/>
        <v>0</v>
      </c>
      <c r="Z1120" s="552">
        <f t="shared" si="2871"/>
        <v>0</v>
      </c>
      <c r="AA1120" s="552">
        <f t="shared" si="2871"/>
        <v>0</v>
      </c>
      <c r="AB1120" s="552">
        <f t="shared" si="2871"/>
        <v>0</v>
      </c>
      <c r="AC1120" s="552">
        <f t="shared" si="2871"/>
        <v>0</v>
      </c>
      <c r="AD1120" s="552">
        <f t="shared" si="2871"/>
        <v>0</v>
      </c>
      <c r="AE1120" s="552">
        <f t="shared" si="2871"/>
        <v>0</v>
      </c>
      <c r="AF1120" s="552">
        <f t="shared" si="2871"/>
        <v>0</v>
      </c>
      <c r="AG1120" s="552">
        <f t="shared" si="2871"/>
        <v>0</v>
      </c>
      <c r="AH1120" s="552">
        <f t="shared" si="2871"/>
        <v>0</v>
      </c>
      <c r="AI1120" s="552">
        <f t="shared" si="2871"/>
        <v>0</v>
      </c>
      <c r="AJ1120" s="552">
        <f t="shared" si="2871"/>
        <v>0</v>
      </c>
      <c r="AK1120" s="552">
        <f t="shared" si="2871"/>
        <v>0</v>
      </c>
      <c r="AL1120" s="552">
        <f t="shared" si="2871"/>
        <v>0</v>
      </c>
      <c r="AM1120" s="552">
        <f t="shared" si="2871"/>
        <v>0</v>
      </c>
      <c r="AN1120" s="552">
        <f t="shared" si="2871"/>
        <v>0</v>
      </c>
      <c r="AO1120" s="552">
        <f t="shared" si="2871"/>
        <v>0</v>
      </c>
      <c r="AP1120" s="552">
        <f t="shared" ref="AP1120:BU1120" si="2872">AP160*AP$338</f>
        <v>0</v>
      </c>
      <c r="AQ1120" s="552">
        <f t="shared" si="2872"/>
        <v>0</v>
      </c>
      <c r="AR1120" s="552">
        <f t="shared" si="2872"/>
        <v>0</v>
      </c>
      <c r="AS1120" s="552">
        <f t="shared" si="2872"/>
        <v>0</v>
      </c>
      <c r="AT1120" s="552">
        <f t="shared" si="2872"/>
        <v>0</v>
      </c>
      <c r="AU1120" s="552">
        <f t="shared" si="2872"/>
        <v>0</v>
      </c>
      <c r="AV1120" s="552">
        <f t="shared" si="2872"/>
        <v>0</v>
      </c>
      <c r="AW1120" s="552">
        <f t="shared" si="2872"/>
        <v>0</v>
      </c>
      <c r="AX1120" s="552">
        <f t="shared" si="2872"/>
        <v>0</v>
      </c>
      <c r="AY1120" s="552">
        <f t="shared" si="2872"/>
        <v>0</v>
      </c>
      <c r="AZ1120" s="552">
        <f t="shared" si="2872"/>
        <v>0</v>
      </c>
      <c r="BA1120" s="552">
        <f t="shared" si="2872"/>
        <v>0</v>
      </c>
      <c r="BB1120" s="552">
        <f t="shared" si="2872"/>
        <v>0</v>
      </c>
      <c r="BC1120" s="552">
        <f t="shared" si="2872"/>
        <v>0</v>
      </c>
      <c r="BD1120" s="552">
        <f t="shared" si="2872"/>
        <v>0</v>
      </c>
      <c r="BE1120" s="552">
        <f t="shared" si="2872"/>
        <v>0</v>
      </c>
      <c r="BF1120" s="552">
        <f t="shared" si="2872"/>
        <v>0</v>
      </c>
      <c r="BG1120" s="552">
        <f t="shared" si="2872"/>
        <v>0</v>
      </c>
      <c r="BH1120" s="552">
        <f t="shared" si="2872"/>
        <v>0</v>
      </c>
      <c r="BI1120" s="552">
        <f t="shared" si="2872"/>
        <v>0</v>
      </c>
      <c r="BJ1120" s="552">
        <f t="shared" si="2872"/>
        <v>0</v>
      </c>
      <c r="BK1120" s="552">
        <f t="shared" si="2872"/>
        <v>0</v>
      </c>
      <c r="BL1120" s="552">
        <f t="shared" si="2872"/>
        <v>0</v>
      </c>
      <c r="BM1120" s="552">
        <f t="shared" si="2872"/>
        <v>0</v>
      </c>
      <c r="BN1120" s="552">
        <f t="shared" si="2872"/>
        <v>0</v>
      </c>
      <c r="BO1120" s="552">
        <f t="shared" si="2872"/>
        <v>0</v>
      </c>
      <c r="BP1120" s="552">
        <f t="shared" si="2872"/>
        <v>0</v>
      </c>
      <c r="BQ1120" s="552">
        <f t="shared" si="2872"/>
        <v>0</v>
      </c>
      <c r="BR1120" s="552">
        <f t="shared" si="2872"/>
        <v>0</v>
      </c>
      <c r="BS1120" s="552">
        <f t="shared" si="2872"/>
        <v>0</v>
      </c>
      <c r="BT1120" s="552">
        <f t="shared" si="2872"/>
        <v>0</v>
      </c>
      <c r="BU1120" s="552">
        <f t="shared" si="2872"/>
        <v>0</v>
      </c>
      <c r="BV1120" s="552">
        <f t="shared" ref="BV1120:DA1120" si="2873">BV160*BV$338</f>
        <v>0</v>
      </c>
      <c r="BW1120" s="552">
        <f t="shared" si="2873"/>
        <v>0</v>
      </c>
      <c r="BX1120" s="552">
        <f t="shared" si="2873"/>
        <v>0</v>
      </c>
      <c r="BY1120" s="552">
        <f t="shared" si="2873"/>
        <v>0</v>
      </c>
      <c r="BZ1120" s="552">
        <f t="shared" si="2873"/>
        <v>0</v>
      </c>
      <c r="CA1120" s="552">
        <f t="shared" si="2873"/>
        <v>0</v>
      </c>
      <c r="CB1120" s="552">
        <f t="shared" si="2873"/>
        <v>0</v>
      </c>
      <c r="CC1120" s="552">
        <f t="shared" si="2873"/>
        <v>0</v>
      </c>
      <c r="CD1120" s="552">
        <f t="shared" si="2873"/>
        <v>0</v>
      </c>
      <c r="CE1120" s="552">
        <f t="shared" si="2873"/>
        <v>0</v>
      </c>
      <c r="CF1120" s="552">
        <f t="shared" si="2873"/>
        <v>0</v>
      </c>
      <c r="CG1120" s="552">
        <f t="shared" si="2873"/>
        <v>0</v>
      </c>
      <c r="CH1120" s="552">
        <f t="shared" si="2873"/>
        <v>0</v>
      </c>
      <c r="CI1120" s="552">
        <f t="shared" si="2873"/>
        <v>0</v>
      </c>
      <c r="CJ1120" s="552">
        <f t="shared" si="2873"/>
        <v>0</v>
      </c>
      <c r="CK1120" s="552">
        <f t="shared" si="2873"/>
        <v>0</v>
      </c>
      <c r="CL1120" s="552">
        <f t="shared" si="2873"/>
        <v>0</v>
      </c>
      <c r="CM1120" s="552">
        <f t="shared" si="2873"/>
        <v>0</v>
      </c>
      <c r="CN1120" s="552">
        <f t="shared" si="2873"/>
        <v>0</v>
      </c>
      <c r="CO1120" s="552">
        <f t="shared" si="2873"/>
        <v>0</v>
      </c>
      <c r="CP1120" s="552">
        <f t="shared" si="2873"/>
        <v>0</v>
      </c>
      <c r="CQ1120" s="552">
        <f t="shared" si="2873"/>
        <v>0</v>
      </c>
      <c r="CR1120" s="552">
        <f t="shared" si="2873"/>
        <v>0</v>
      </c>
      <c r="CS1120" s="552">
        <f t="shared" si="2873"/>
        <v>0</v>
      </c>
      <c r="CT1120" s="552">
        <f t="shared" si="2873"/>
        <v>0</v>
      </c>
      <c r="CU1120" s="552">
        <f t="shared" si="2873"/>
        <v>0</v>
      </c>
      <c r="CV1120" s="552">
        <f t="shared" si="2873"/>
        <v>0</v>
      </c>
      <c r="CW1120" s="552">
        <f t="shared" si="2873"/>
        <v>0</v>
      </c>
      <c r="CX1120" s="552">
        <f t="shared" si="2873"/>
        <v>0</v>
      </c>
      <c r="CY1120" s="552">
        <f t="shared" si="2873"/>
        <v>0</v>
      </c>
      <c r="CZ1120" s="552">
        <f t="shared" si="2873"/>
        <v>0</v>
      </c>
      <c r="DA1120" s="552">
        <f t="shared" si="2873"/>
        <v>0</v>
      </c>
      <c r="DB1120" s="552">
        <f t="shared" ref="DB1120:EG1120" si="2874">DB160*DB$338</f>
        <v>0</v>
      </c>
      <c r="DC1120" s="552">
        <f t="shared" si="2874"/>
        <v>0</v>
      </c>
      <c r="DD1120" s="552">
        <f t="shared" si="2874"/>
        <v>0</v>
      </c>
      <c r="DE1120" s="552">
        <f t="shared" si="2874"/>
        <v>0</v>
      </c>
      <c r="DF1120" s="552">
        <f t="shared" si="2874"/>
        <v>0</v>
      </c>
      <c r="DG1120" s="552">
        <f t="shared" si="2874"/>
        <v>0</v>
      </c>
      <c r="DH1120" s="552">
        <f t="shared" si="2874"/>
        <v>0</v>
      </c>
      <c r="DI1120" s="552">
        <f t="shared" si="2874"/>
        <v>0</v>
      </c>
      <c r="DJ1120" s="552">
        <f t="shared" si="2874"/>
        <v>0</v>
      </c>
      <c r="DK1120" s="552">
        <f t="shared" si="2874"/>
        <v>0</v>
      </c>
      <c r="DL1120" s="552">
        <f t="shared" si="2874"/>
        <v>0</v>
      </c>
      <c r="DM1120" s="552">
        <f t="shared" si="2874"/>
        <v>0</v>
      </c>
      <c r="DN1120" s="552">
        <f t="shared" si="2874"/>
        <v>0</v>
      </c>
      <c r="DO1120" s="552">
        <f t="shared" si="2874"/>
        <v>0</v>
      </c>
      <c r="DP1120" s="552">
        <f t="shared" si="2874"/>
        <v>0</v>
      </c>
      <c r="DQ1120" s="552">
        <f t="shared" si="2874"/>
        <v>0</v>
      </c>
      <c r="DR1120" s="552">
        <f t="shared" si="2874"/>
        <v>0</v>
      </c>
      <c r="DS1120" s="552">
        <f t="shared" si="2874"/>
        <v>0</v>
      </c>
      <c r="DT1120" s="552">
        <f t="shared" si="2874"/>
        <v>0</v>
      </c>
      <c r="DU1120" s="552">
        <f t="shared" si="2874"/>
        <v>0</v>
      </c>
      <c r="DV1120" s="552">
        <f t="shared" si="2874"/>
        <v>0</v>
      </c>
      <c r="DW1120" s="552">
        <f t="shared" si="2874"/>
        <v>0</v>
      </c>
      <c r="DX1120" s="552">
        <f t="shared" si="2874"/>
        <v>0</v>
      </c>
      <c r="DY1120" s="552">
        <f t="shared" si="2874"/>
        <v>0</v>
      </c>
      <c r="DZ1120" s="552">
        <f t="shared" si="2874"/>
        <v>0</v>
      </c>
      <c r="EA1120" s="552">
        <f t="shared" si="2874"/>
        <v>0</v>
      </c>
      <c r="EB1120" s="552">
        <f t="shared" si="2874"/>
        <v>0</v>
      </c>
      <c r="EC1120" s="552">
        <f t="shared" si="2874"/>
        <v>0</v>
      </c>
      <c r="ED1120" s="552">
        <f t="shared" si="2874"/>
        <v>0</v>
      </c>
      <c r="EE1120" s="552">
        <f t="shared" si="2874"/>
        <v>0</v>
      </c>
      <c r="EF1120" s="552">
        <f t="shared" si="2874"/>
        <v>0</v>
      </c>
      <c r="EG1120" s="552">
        <f t="shared" si="2874"/>
        <v>0</v>
      </c>
      <c r="EH1120" s="552">
        <f t="shared" ref="EH1120:EX1120" si="2875">EH160*EH$338</f>
        <v>0</v>
      </c>
      <c r="EI1120" s="552">
        <f t="shared" si="2875"/>
        <v>0</v>
      </c>
      <c r="EJ1120" s="552">
        <f t="shared" si="2875"/>
        <v>0</v>
      </c>
      <c r="EK1120" s="552">
        <f t="shared" si="2875"/>
        <v>0</v>
      </c>
      <c r="EL1120" s="552">
        <f t="shared" si="2875"/>
        <v>0</v>
      </c>
      <c r="EM1120" s="552">
        <f t="shared" si="2875"/>
        <v>0</v>
      </c>
      <c r="EN1120" s="552">
        <f t="shared" si="2875"/>
        <v>0</v>
      </c>
      <c r="EO1120" s="552">
        <f t="shared" si="2875"/>
        <v>0</v>
      </c>
      <c r="EP1120" s="552">
        <f t="shared" si="2875"/>
        <v>0</v>
      </c>
      <c r="EQ1120" s="552">
        <f t="shared" si="2875"/>
        <v>0</v>
      </c>
      <c r="ER1120" s="552">
        <f t="shared" si="2875"/>
        <v>0</v>
      </c>
      <c r="ES1120" s="552">
        <f t="shared" si="2875"/>
        <v>0</v>
      </c>
      <c r="ET1120" s="552">
        <f t="shared" si="2875"/>
        <v>0</v>
      </c>
      <c r="EU1120" s="552">
        <f t="shared" si="2875"/>
        <v>0</v>
      </c>
      <c r="EV1120" s="552">
        <f t="shared" si="2875"/>
        <v>0</v>
      </c>
      <c r="EW1120" s="552">
        <f t="shared" si="2875"/>
        <v>0</v>
      </c>
      <c r="EX1120" s="552">
        <f t="shared" si="2875"/>
        <v>0</v>
      </c>
      <c r="EY1120" s="799">
        <f t="shared" si="2478"/>
        <v>0</v>
      </c>
      <c r="EZ1120" s="640"/>
      <c r="FA1120" s="640"/>
      <c r="FB1120" s="640"/>
      <c r="FC1120" s="640"/>
      <c r="FD1120" s="640"/>
      <c r="FE1120" s="640"/>
      <c r="FF1120" s="640"/>
      <c r="FG1120" s="640"/>
      <c r="FH1120" s="640"/>
      <c r="FI1120" s="640"/>
      <c r="FJ1120" s="640"/>
      <c r="FK1120" s="640"/>
      <c r="FL1120" s="640"/>
    </row>
    <row r="1121" spans="1:168" x14ac:dyDescent="0.25">
      <c r="A1121" s="1493"/>
      <c r="B1121" s="624">
        <f t="shared" si="2855"/>
        <v>0</v>
      </c>
      <c r="C1121" s="624">
        <f t="shared" si="2855"/>
        <v>0</v>
      </c>
      <c r="D1121" s="624">
        <f t="shared" si="2855"/>
        <v>0</v>
      </c>
      <c r="E1121" s="1158">
        <f t="shared" si="2479"/>
        <v>0</v>
      </c>
      <c r="F1121" s="1158"/>
      <c r="G1121" s="1140"/>
      <c r="H1121" s="1140"/>
      <c r="I1121" s="552"/>
      <c r="J1121" s="552">
        <f>J161*J$338</f>
        <v>0</v>
      </c>
      <c r="K1121" s="552">
        <f t="shared" ref="K1121:BV1121" si="2876">K161*K$338</f>
        <v>0</v>
      </c>
      <c r="L1121" s="552">
        <f t="shared" si="2876"/>
        <v>0</v>
      </c>
      <c r="M1121" s="552">
        <f t="shared" si="2876"/>
        <v>0</v>
      </c>
      <c r="N1121" s="552">
        <f t="shared" si="2876"/>
        <v>0</v>
      </c>
      <c r="O1121" s="552">
        <f t="shared" si="2876"/>
        <v>0</v>
      </c>
      <c r="P1121" s="552">
        <f t="shared" si="2876"/>
        <v>0</v>
      </c>
      <c r="Q1121" s="552">
        <f t="shared" si="2876"/>
        <v>0</v>
      </c>
      <c r="R1121" s="552">
        <f t="shared" si="2876"/>
        <v>0</v>
      </c>
      <c r="S1121" s="552">
        <f t="shared" si="2876"/>
        <v>0</v>
      </c>
      <c r="T1121" s="552">
        <f t="shared" si="2876"/>
        <v>0</v>
      </c>
      <c r="U1121" s="552">
        <f t="shared" si="2876"/>
        <v>0</v>
      </c>
      <c r="V1121" s="552">
        <f t="shared" si="2876"/>
        <v>0</v>
      </c>
      <c r="W1121" s="552">
        <f t="shared" si="2876"/>
        <v>0</v>
      </c>
      <c r="X1121" s="552">
        <f t="shared" si="2876"/>
        <v>0</v>
      </c>
      <c r="Y1121" s="552">
        <f t="shared" si="2876"/>
        <v>0</v>
      </c>
      <c r="Z1121" s="552">
        <f t="shared" si="2876"/>
        <v>0</v>
      </c>
      <c r="AA1121" s="552">
        <f t="shared" si="2876"/>
        <v>0</v>
      </c>
      <c r="AB1121" s="552">
        <f t="shared" si="2876"/>
        <v>0</v>
      </c>
      <c r="AC1121" s="552">
        <f t="shared" si="2876"/>
        <v>0</v>
      </c>
      <c r="AD1121" s="552">
        <f t="shared" si="2876"/>
        <v>0</v>
      </c>
      <c r="AE1121" s="552">
        <f t="shared" si="2876"/>
        <v>0</v>
      </c>
      <c r="AF1121" s="552">
        <f t="shared" si="2876"/>
        <v>0</v>
      </c>
      <c r="AG1121" s="552">
        <f t="shared" si="2876"/>
        <v>0</v>
      </c>
      <c r="AH1121" s="552">
        <f t="shared" si="2876"/>
        <v>0</v>
      </c>
      <c r="AI1121" s="552">
        <f t="shared" si="2876"/>
        <v>0</v>
      </c>
      <c r="AJ1121" s="552">
        <f t="shared" si="2876"/>
        <v>0</v>
      </c>
      <c r="AK1121" s="552">
        <f t="shared" si="2876"/>
        <v>0</v>
      </c>
      <c r="AL1121" s="552">
        <f t="shared" si="2876"/>
        <v>0</v>
      </c>
      <c r="AM1121" s="552">
        <f t="shared" si="2876"/>
        <v>0</v>
      </c>
      <c r="AN1121" s="552">
        <f t="shared" si="2876"/>
        <v>0</v>
      </c>
      <c r="AO1121" s="552">
        <f t="shared" si="2876"/>
        <v>0</v>
      </c>
      <c r="AP1121" s="552">
        <f t="shared" si="2876"/>
        <v>0</v>
      </c>
      <c r="AQ1121" s="552">
        <f t="shared" si="2876"/>
        <v>0</v>
      </c>
      <c r="AR1121" s="552">
        <f t="shared" si="2876"/>
        <v>0</v>
      </c>
      <c r="AS1121" s="552">
        <f t="shared" si="2876"/>
        <v>0</v>
      </c>
      <c r="AT1121" s="552">
        <f t="shared" si="2876"/>
        <v>0</v>
      </c>
      <c r="AU1121" s="552">
        <f t="shared" si="2876"/>
        <v>0</v>
      </c>
      <c r="AV1121" s="552">
        <f t="shared" si="2876"/>
        <v>0</v>
      </c>
      <c r="AW1121" s="552">
        <f t="shared" si="2876"/>
        <v>0</v>
      </c>
      <c r="AX1121" s="552">
        <f t="shared" si="2876"/>
        <v>0</v>
      </c>
      <c r="AY1121" s="552">
        <f t="shared" si="2876"/>
        <v>0</v>
      </c>
      <c r="AZ1121" s="552">
        <f t="shared" si="2876"/>
        <v>0</v>
      </c>
      <c r="BA1121" s="552">
        <f t="shared" si="2876"/>
        <v>0</v>
      </c>
      <c r="BB1121" s="552">
        <f t="shared" si="2876"/>
        <v>0</v>
      </c>
      <c r="BC1121" s="552">
        <f t="shared" si="2876"/>
        <v>0</v>
      </c>
      <c r="BD1121" s="552">
        <f t="shared" si="2876"/>
        <v>0</v>
      </c>
      <c r="BE1121" s="552">
        <f t="shared" si="2876"/>
        <v>0</v>
      </c>
      <c r="BF1121" s="552">
        <f t="shared" si="2876"/>
        <v>0</v>
      </c>
      <c r="BG1121" s="552">
        <f t="shared" si="2876"/>
        <v>0</v>
      </c>
      <c r="BH1121" s="552">
        <f t="shared" si="2876"/>
        <v>0</v>
      </c>
      <c r="BI1121" s="552">
        <f t="shared" si="2876"/>
        <v>0</v>
      </c>
      <c r="BJ1121" s="552">
        <f t="shared" si="2876"/>
        <v>0</v>
      </c>
      <c r="BK1121" s="552">
        <f t="shared" si="2876"/>
        <v>0</v>
      </c>
      <c r="BL1121" s="552">
        <f t="shared" si="2876"/>
        <v>0</v>
      </c>
      <c r="BM1121" s="552">
        <f t="shared" si="2876"/>
        <v>0</v>
      </c>
      <c r="BN1121" s="552">
        <f t="shared" si="2876"/>
        <v>0</v>
      </c>
      <c r="BO1121" s="552">
        <f t="shared" si="2876"/>
        <v>0</v>
      </c>
      <c r="BP1121" s="552">
        <f t="shared" si="2876"/>
        <v>0</v>
      </c>
      <c r="BQ1121" s="552">
        <f t="shared" si="2876"/>
        <v>0</v>
      </c>
      <c r="BR1121" s="552">
        <f t="shared" si="2876"/>
        <v>0</v>
      </c>
      <c r="BS1121" s="552">
        <f t="shared" si="2876"/>
        <v>0</v>
      </c>
      <c r="BT1121" s="552">
        <f t="shared" si="2876"/>
        <v>0</v>
      </c>
      <c r="BU1121" s="552">
        <f t="shared" si="2876"/>
        <v>0</v>
      </c>
      <c r="BV1121" s="552">
        <f t="shared" si="2876"/>
        <v>0</v>
      </c>
      <c r="BW1121" s="552">
        <f t="shared" ref="BW1121:DB1121" si="2877">BW161*BW$338</f>
        <v>0</v>
      </c>
      <c r="BX1121" s="552">
        <f t="shared" si="2877"/>
        <v>0</v>
      </c>
      <c r="BY1121" s="552">
        <f t="shared" si="2877"/>
        <v>0</v>
      </c>
      <c r="BZ1121" s="552">
        <f t="shared" si="2877"/>
        <v>0</v>
      </c>
      <c r="CA1121" s="552">
        <f t="shared" si="2877"/>
        <v>0</v>
      </c>
      <c r="CB1121" s="552">
        <f t="shared" si="2877"/>
        <v>0</v>
      </c>
      <c r="CC1121" s="552">
        <f t="shared" si="2877"/>
        <v>0</v>
      </c>
      <c r="CD1121" s="552">
        <f t="shared" si="2877"/>
        <v>0</v>
      </c>
      <c r="CE1121" s="552">
        <f t="shared" si="2877"/>
        <v>0</v>
      </c>
      <c r="CF1121" s="552">
        <f t="shared" si="2877"/>
        <v>0</v>
      </c>
      <c r="CG1121" s="552">
        <f t="shared" si="2877"/>
        <v>0</v>
      </c>
      <c r="CH1121" s="552">
        <f t="shared" si="2877"/>
        <v>0</v>
      </c>
      <c r="CI1121" s="552">
        <f t="shared" si="2877"/>
        <v>0</v>
      </c>
      <c r="CJ1121" s="552">
        <f t="shared" si="2877"/>
        <v>0</v>
      </c>
      <c r="CK1121" s="552">
        <f t="shared" si="2877"/>
        <v>0</v>
      </c>
      <c r="CL1121" s="552">
        <f t="shared" si="2877"/>
        <v>0</v>
      </c>
      <c r="CM1121" s="552">
        <f t="shared" si="2877"/>
        <v>0</v>
      </c>
      <c r="CN1121" s="552">
        <f t="shared" si="2877"/>
        <v>0</v>
      </c>
      <c r="CO1121" s="552">
        <f t="shared" si="2877"/>
        <v>0</v>
      </c>
      <c r="CP1121" s="552">
        <f t="shared" si="2877"/>
        <v>0</v>
      </c>
      <c r="CQ1121" s="552">
        <f t="shared" si="2877"/>
        <v>0</v>
      </c>
      <c r="CR1121" s="552">
        <f t="shared" si="2877"/>
        <v>0</v>
      </c>
      <c r="CS1121" s="552">
        <f t="shared" si="2877"/>
        <v>0</v>
      </c>
      <c r="CT1121" s="552">
        <f t="shared" si="2877"/>
        <v>0</v>
      </c>
      <c r="CU1121" s="552">
        <f t="shared" si="2877"/>
        <v>0</v>
      </c>
      <c r="CV1121" s="552">
        <f t="shared" si="2877"/>
        <v>0</v>
      </c>
      <c r="CW1121" s="552">
        <f t="shared" si="2877"/>
        <v>0</v>
      </c>
      <c r="CX1121" s="552">
        <f t="shared" si="2877"/>
        <v>0</v>
      </c>
      <c r="CY1121" s="552">
        <f t="shared" si="2877"/>
        <v>0</v>
      </c>
      <c r="CZ1121" s="552">
        <f t="shared" si="2877"/>
        <v>0</v>
      </c>
      <c r="DA1121" s="552">
        <f t="shared" si="2877"/>
        <v>0</v>
      </c>
      <c r="DB1121" s="552">
        <f t="shared" si="2877"/>
        <v>0</v>
      </c>
      <c r="DC1121" s="552">
        <f t="shared" ref="DC1121:EH1121" si="2878">DC161*DC$338</f>
        <v>0</v>
      </c>
      <c r="DD1121" s="552">
        <f t="shared" si="2878"/>
        <v>0</v>
      </c>
      <c r="DE1121" s="552">
        <f t="shared" si="2878"/>
        <v>0</v>
      </c>
      <c r="DF1121" s="552">
        <f t="shared" si="2878"/>
        <v>0</v>
      </c>
      <c r="DG1121" s="552">
        <f t="shared" si="2878"/>
        <v>0</v>
      </c>
      <c r="DH1121" s="552">
        <f t="shared" si="2878"/>
        <v>0</v>
      </c>
      <c r="DI1121" s="552">
        <f t="shared" si="2878"/>
        <v>0</v>
      </c>
      <c r="DJ1121" s="552">
        <f t="shared" si="2878"/>
        <v>0</v>
      </c>
      <c r="DK1121" s="552">
        <f t="shared" si="2878"/>
        <v>0</v>
      </c>
      <c r="DL1121" s="552">
        <f t="shared" si="2878"/>
        <v>0</v>
      </c>
      <c r="DM1121" s="552">
        <f t="shared" si="2878"/>
        <v>0</v>
      </c>
      <c r="DN1121" s="552">
        <f t="shared" si="2878"/>
        <v>0</v>
      </c>
      <c r="DO1121" s="552">
        <f t="shared" si="2878"/>
        <v>0</v>
      </c>
      <c r="DP1121" s="552">
        <f t="shared" si="2878"/>
        <v>0</v>
      </c>
      <c r="DQ1121" s="552">
        <f t="shared" si="2878"/>
        <v>0</v>
      </c>
      <c r="DR1121" s="552">
        <f t="shared" si="2878"/>
        <v>0</v>
      </c>
      <c r="DS1121" s="552">
        <f t="shared" si="2878"/>
        <v>0</v>
      </c>
      <c r="DT1121" s="552">
        <f t="shared" si="2878"/>
        <v>0</v>
      </c>
      <c r="DU1121" s="552">
        <f t="shared" si="2878"/>
        <v>0</v>
      </c>
      <c r="DV1121" s="552">
        <f t="shared" si="2878"/>
        <v>0</v>
      </c>
      <c r="DW1121" s="552">
        <f t="shared" si="2878"/>
        <v>0</v>
      </c>
      <c r="DX1121" s="552">
        <f t="shared" si="2878"/>
        <v>0</v>
      </c>
      <c r="DY1121" s="552">
        <f t="shared" si="2878"/>
        <v>0</v>
      </c>
      <c r="DZ1121" s="552">
        <f t="shared" si="2878"/>
        <v>0</v>
      </c>
      <c r="EA1121" s="552">
        <f t="shared" si="2878"/>
        <v>0</v>
      </c>
      <c r="EB1121" s="552">
        <f t="shared" si="2878"/>
        <v>0</v>
      </c>
      <c r="EC1121" s="552">
        <f t="shared" si="2878"/>
        <v>0</v>
      </c>
      <c r="ED1121" s="552">
        <f t="shared" si="2878"/>
        <v>0</v>
      </c>
      <c r="EE1121" s="552">
        <f t="shared" si="2878"/>
        <v>0</v>
      </c>
      <c r="EF1121" s="552">
        <f t="shared" si="2878"/>
        <v>0</v>
      </c>
      <c r="EG1121" s="552">
        <f t="shared" si="2878"/>
        <v>0</v>
      </c>
      <c r="EH1121" s="552">
        <f t="shared" si="2878"/>
        <v>0</v>
      </c>
      <c r="EI1121" s="552">
        <f t="shared" ref="EI1121:EX1121" si="2879">EI161*EI$338</f>
        <v>0</v>
      </c>
      <c r="EJ1121" s="552">
        <f t="shared" si="2879"/>
        <v>0</v>
      </c>
      <c r="EK1121" s="552">
        <f t="shared" si="2879"/>
        <v>0</v>
      </c>
      <c r="EL1121" s="552">
        <f t="shared" si="2879"/>
        <v>0</v>
      </c>
      <c r="EM1121" s="552">
        <f t="shared" si="2879"/>
        <v>0</v>
      </c>
      <c r="EN1121" s="552">
        <f t="shared" si="2879"/>
        <v>0</v>
      </c>
      <c r="EO1121" s="552">
        <f t="shared" si="2879"/>
        <v>0</v>
      </c>
      <c r="EP1121" s="552">
        <f t="shared" si="2879"/>
        <v>0</v>
      </c>
      <c r="EQ1121" s="552">
        <f t="shared" si="2879"/>
        <v>0</v>
      </c>
      <c r="ER1121" s="552">
        <f t="shared" si="2879"/>
        <v>0</v>
      </c>
      <c r="ES1121" s="552">
        <f t="shared" si="2879"/>
        <v>0</v>
      </c>
      <c r="ET1121" s="552">
        <f t="shared" si="2879"/>
        <v>0</v>
      </c>
      <c r="EU1121" s="552">
        <f t="shared" si="2879"/>
        <v>0</v>
      </c>
      <c r="EV1121" s="552">
        <f t="shared" si="2879"/>
        <v>0</v>
      </c>
      <c r="EW1121" s="552">
        <f t="shared" si="2879"/>
        <v>0</v>
      </c>
      <c r="EX1121" s="552">
        <f t="shared" si="2879"/>
        <v>0</v>
      </c>
      <c r="EY1121" s="799">
        <f t="shared" si="2478"/>
        <v>0</v>
      </c>
      <c r="EZ1121" s="640"/>
      <c r="FA1121" s="640"/>
      <c r="FB1121" s="640"/>
      <c r="FC1121" s="640"/>
      <c r="FD1121" s="640"/>
      <c r="FE1121" s="640"/>
      <c r="FF1121" s="640"/>
      <c r="FG1121" s="640"/>
      <c r="FH1121" s="640"/>
      <c r="FI1121" s="640"/>
      <c r="FJ1121" s="640"/>
      <c r="FK1121" s="640"/>
      <c r="FL1121" s="640"/>
    </row>
    <row r="1122" spans="1:168" x14ac:dyDescent="0.25">
      <c r="A1122" s="254"/>
      <c r="B1122" s="625" t="s">
        <v>801</v>
      </c>
      <c r="C1122" s="1135">
        <v>339</v>
      </c>
      <c r="D1122" s="1138">
        <f>SUM(D1117:D1121)</f>
        <v>0</v>
      </c>
      <c r="E1122" s="1138">
        <f t="shared" ref="E1122:J1122" si="2880">SUM(E1117:E1121)</f>
        <v>0</v>
      </c>
      <c r="F1122" s="1138"/>
      <c r="G1122" s="1138">
        <f t="shared" si="2880"/>
        <v>0</v>
      </c>
      <c r="H1122" s="1138">
        <f t="shared" si="2880"/>
        <v>0</v>
      </c>
      <c r="I1122" s="554"/>
      <c r="J1122" s="1138">
        <f t="shared" si="2880"/>
        <v>0</v>
      </c>
      <c r="K1122" s="1138">
        <f t="shared" ref="K1122" si="2881">SUM(K1117:K1121)</f>
        <v>0</v>
      </c>
      <c r="L1122" s="1138">
        <f t="shared" ref="L1122" si="2882">SUM(L1117:L1121)</f>
        <v>0</v>
      </c>
      <c r="M1122" s="1138">
        <f t="shared" ref="M1122" si="2883">SUM(M1117:M1121)</f>
        <v>0</v>
      </c>
      <c r="N1122" s="1138">
        <f t="shared" ref="N1122" si="2884">SUM(N1117:N1121)</f>
        <v>0</v>
      </c>
      <c r="O1122" s="1138">
        <f t="shared" ref="O1122" si="2885">SUM(O1117:O1121)</f>
        <v>0</v>
      </c>
      <c r="P1122" s="1138">
        <f t="shared" ref="P1122" si="2886">SUM(P1117:P1121)</f>
        <v>0</v>
      </c>
      <c r="Q1122" s="1138">
        <f t="shared" ref="Q1122" si="2887">SUM(Q1117:Q1121)</f>
        <v>0</v>
      </c>
      <c r="R1122" s="1138">
        <f t="shared" ref="R1122" si="2888">SUM(R1117:R1121)</f>
        <v>0</v>
      </c>
      <c r="S1122" s="1138">
        <f t="shared" ref="S1122" si="2889">SUM(S1117:S1121)</f>
        <v>0</v>
      </c>
      <c r="T1122" s="1138">
        <f t="shared" ref="T1122" si="2890">SUM(T1117:T1121)</f>
        <v>0</v>
      </c>
      <c r="U1122" s="1138">
        <f t="shared" ref="U1122" si="2891">SUM(U1117:U1121)</f>
        <v>0</v>
      </c>
      <c r="V1122" s="1138">
        <f t="shared" ref="V1122" si="2892">SUM(V1117:V1121)</f>
        <v>0</v>
      </c>
      <c r="W1122" s="1138">
        <f t="shared" ref="W1122" si="2893">SUM(W1117:W1121)</f>
        <v>0</v>
      </c>
      <c r="X1122" s="1138">
        <f t="shared" ref="X1122" si="2894">SUM(X1117:X1121)</f>
        <v>0</v>
      </c>
      <c r="Y1122" s="1138">
        <f t="shared" ref="Y1122" si="2895">SUM(Y1117:Y1121)</f>
        <v>0</v>
      </c>
      <c r="Z1122" s="1138">
        <f t="shared" ref="Z1122" si="2896">SUM(Z1117:Z1121)</f>
        <v>0</v>
      </c>
      <c r="AA1122" s="1138">
        <f t="shared" ref="AA1122" si="2897">SUM(AA1117:AA1121)</f>
        <v>0</v>
      </c>
      <c r="AB1122" s="1138">
        <f t="shared" ref="AB1122" si="2898">SUM(AB1117:AB1121)</f>
        <v>0</v>
      </c>
      <c r="AC1122" s="1138">
        <f t="shared" ref="AC1122" si="2899">SUM(AC1117:AC1121)</f>
        <v>0</v>
      </c>
      <c r="AD1122" s="1138">
        <f t="shared" ref="AD1122" si="2900">SUM(AD1117:AD1121)</f>
        <v>0</v>
      </c>
      <c r="AE1122" s="1138">
        <f t="shared" ref="AE1122" si="2901">SUM(AE1117:AE1121)</f>
        <v>0</v>
      </c>
      <c r="AF1122" s="1138">
        <f t="shared" ref="AF1122" si="2902">SUM(AF1117:AF1121)</f>
        <v>0</v>
      </c>
      <c r="AG1122" s="1138">
        <f t="shared" ref="AG1122" si="2903">SUM(AG1117:AG1121)</f>
        <v>0</v>
      </c>
      <c r="AH1122" s="1138">
        <f t="shared" ref="AH1122" si="2904">SUM(AH1117:AH1121)</f>
        <v>0</v>
      </c>
      <c r="AI1122" s="1138">
        <f t="shared" ref="AI1122" si="2905">SUM(AI1117:AI1121)</f>
        <v>0</v>
      </c>
      <c r="AJ1122" s="1138">
        <f t="shared" ref="AJ1122" si="2906">SUM(AJ1117:AJ1121)</f>
        <v>0</v>
      </c>
      <c r="AK1122" s="1138">
        <f t="shared" ref="AK1122" si="2907">SUM(AK1117:AK1121)</f>
        <v>0</v>
      </c>
      <c r="AL1122" s="1138">
        <f t="shared" ref="AL1122" si="2908">SUM(AL1117:AL1121)</f>
        <v>0</v>
      </c>
      <c r="AM1122" s="1138">
        <f t="shared" ref="AM1122" si="2909">SUM(AM1117:AM1121)</f>
        <v>0</v>
      </c>
      <c r="AN1122" s="1138">
        <f t="shared" ref="AN1122" si="2910">SUM(AN1117:AN1121)</f>
        <v>0</v>
      </c>
      <c r="AO1122" s="1138">
        <f t="shared" ref="AO1122" si="2911">SUM(AO1117:AO1121)</f>
        <v>0</v>
      </c>
      <c r="AP1122" s="1138">
        <f t="shared" ref="AP1122" si="2912">SUM(AP1117:AP1121)</f>
        <v>0</v>
      </c>
      <c r="AQ1122" s="1138">
        <f t="shared" ref="AQ1122" si="2913">SUM(AQ1117:AQ1121)</f>
        <v>0</v>
      </c>
      <c r="AR1122" s="1138">
        <f t="shared" ref="AR1122" si="2914">SUM(AR1117:AR1121)</f>
        <v>0</v>
      </c>
      <c r="AS1122" s="1138">
        <f t="shared" ref="AS1122" si="2915">SUM(AS1117:AS1121)</f>
        <v>0</v>
      </c>
      <c r="AT1122" s="1138">
        <f t="shared" ref="AT1122" si="2916">SUM(AT1117:AT1121)</f>
        <v>0</v>
      </c>
      <c r="AU1122" s="1138">
        <f t="shared" ref="AU1122" si="2917">SUM(AU1117:AU1121)</f>
        <v>0</v>
      </c>
      <c r="AV1122" s="1138">
        <f t="shared" ref="AV1122" si="2918">SUM(AV1117:AV1121)</f>
        <v>0</v>
      </c>
      <c r="AW1122" s="1138">
        <f t="shared" ref="AW1122" si="2919">SUM(AW1117:AW1121)</f>
        <v>0</v>
      </c>
      <c r="AX1122" s="1138">
        <f t="shared" ref="AX1122" si="2920">SUM(AX1117:AX1121)</f>
        <v>0</v>
      </c>
      <c r="AY1122" s="1138">
        <f t="shared" ref="AY1122" si="2921">SUM(AY1117:AY1121)</f>
        <v>0</v>
      </c>
      <c r="AZ1122" s="1138">
        <f t="shared" ref="AZ1122" si="2922">SUM(AZ1117:AZ1121)</f>
        <v>0</v>
      </c>
      <c r="BA1122" s="1138">
        <f t="shared" ref="BA1122" si="2923">SUM(BA1117:BA1121)</f>
        <v>0</v>
      </c>
      <c r="BB1122" s="1138">
        <f t="shared" ref="BB1122" si="2924">SUM(BB1117:BB1121)</f>
        <v>0</v>
      </c>
      <c r="BC1122" s="1138">
        <f t="shared" ref="BC1122" si="2925">SUM(BC1117:BC1121)</f>
        <v>0</v>
      </c>
      <c r="BD1122" s="1138">
        <f t="shared" ref="BD1122" si="2926">SUM(BD1117:BD1121)</f>
        <v>0</v>
      </c>
      <c r="BE1122" s="1138">
        <f t="shared" ref="BE1122" si="2927">SUM(BE1117:BE1121)</f>
        <v>0</v>
      </c>
      <c r="BF1122" s="1138">
        <f t="shared" ref="BF1122" si="2928">SUM(BF1117:BF1121)</f>
        <v>0</v>
      </c>
      <c r="BG1122" s="1138">
        <f t="shared" ref="BG1122" si="2929">SUM(BG1117:BG1121)</f>
        <v>0</v>
      </c>
      <c r="BH1122" s="1138">
        <f t="shared" ref="BH1122" si="2930">SUM(BH1117:BH1121)</f>
        <v>0</v>
      </c>
      <c r="BI1122" s="1138">
        <f t="shared" ref="BI1122" si="2931">SUM(BI1117:BI1121)</f>
        <v>0</v>
      </c>
      <c r="BJ1122" s="1138">
        <f t="shared" ref="BJ1122" si="2932">SUM(BJ1117:BJ1121)</f>
        <v>0</v>
      </c>
      <c r="BK1122" s="1138">
        <f t="shared" ref="BK1122" si="2933">SUM(BK1117:BK1121)</f>
        <v>0</v>
      </c>
      <c r="BL1122" s="1138">
        <f t="shared" ref="BL1122" si="2934">SUM(BL1117:BL1121)</f>
        <v>0</v>
      </c>
      <c r="BM1122" s="1138">
        <f t="shared" ref="BM1122" si="2935">SUM(BM1117:BM1121)</f>
        <v>0</v>
      </c>
      <c r="BN1122" s="1138">
        <f t="shared" ref="BN1122" si="2936">SUM(BN1117:BN1121)</f>
        <v>0</v>
      </c>
      <c r="BO1122" s="1138">
        <f t="shared" ref="BO1122" si="2937">SUM(BO1117:BO1121)</f>
        <v>0</v>
      </c>
      <c r="BP1122" s="1138">
        <f t="shared" ref="BP1122" si="2938">SUM(BP1117:BP1121)</f>
        <v>0</v>
      </c>
      <c r="BQ1122" s="1138">
        <f t="shared" ref="BQ1122" si="2939">SUM(BQ1117:BQ1121)</f>
        <v>0</v>
      </c>
      <c r="BR1122" s="1138">
        <f t="shared" ref="BR1122" si="2940">SUM(BR1117:BR1121)</f>
        <v>0</v>
      </c>
      <c r="BS1122" s="1138">
        <f t="shared" ref="BS1122" si="2941">SUM(BS1117:BS1121)</f>
        <v>0</v>
      </c>
      <c r="BT1122" s="1138">
        <f t="shared" ref="BT1122" si="2942">SUM(BT1117:BT1121)</f>
        <v>0</v>
      </c>
      <c r="BU1122" s="1138">
        <f t="shared" ref="BU1122" si="2943">SUM(BU1117:BU1121)</f>
        <v>0</v>
      </c>
      <c r="BV1122" s="1138">
        <f t="shared" ref="BV1122" si="2944">SUM(BV1117:BV1121)</f>
        <v>0</v>
      </c>
      <c r="BW1122" s="1138">
        <f t="shared" ref="BW1122" si="2945">SUM(BW1117:BW1121)</f>
        <v>0</v>
      </c>
      <c r="BX1122" s="1138">
        <f t="shared" ref="BX1122" si="2946">SUM(BX1117:BX1121)</f>
        <v>0</v>
      </c>
      <c r="BY1122" s="1138">
        <f t="shared" ref="BY1122" si="2947">SUM(BY1117:BY1121)</f>
        <v>0</v>
      </c>
      <c r="BZ1122" s="1138">
        <f t="shared" ref="BZ1122" si="2948">SUM(BZ1117:BZ1121)</f>
        <v>0</v>
      </c>
      <c r="CA1122" s="1138">
        <f t="shared" ref="CA1122" si="2949">SUM(CA1117:CA1121)</f>
        <v>0</v>
      </c>
      <c r="CB1122" s="1138">
        <f t="shared" ref="CB1122" si="2950">SUM(CB1117:CB1121)</f>
        <v>0</v>
      </c>
      <c r="CC1122" s="1138">
        <f t="shared" ref="CC1122" si="2951">SUM(CC1117:CC1121)</f>
        <v>0</v>
      </c>
      <c r="CD1122" s="1138">
        <f t="shared" ref="CD1122" si="2952">SUM(CD1117:CD1121)</f>
        <v>0</v>
      </c>
      <c r="CE1122" s="1138">
        <f t="shared" ref="CE1122" si="2953">SUM(CE1117:CE1121)</f>
        <v>0</v>
      </c>
      <c r="CF1122" s="1138">
        <f t="shared" ref="CF1122" si="2954">SUM(CF1117:CF1121)</f>
        <v>0</v>
      </c>
      <c r="CG1122" s="1138">
        <f t="shared" ref="CG1122" si="2955">SUM(CG1117:CG1121)</f>
        <v>0</v>
      </c>
      <c r="CH1122" s="1138">
        <f t="shared" ref="CH1122" si="2956">SUM(CH1117:CH1121)</f>
        <v>0</v>
      </c>
      <c r="CI1122" s="1138">
        <f t="shared" ref="CI1122" si="2957">SUM(CI1117:CI1121)</f>
        <v>0</v>
      </c>
      <c r="CJ1122" s="1138">
        <f t="shared" ref="CJ1122" si="2958">SUM(CJ1117:CJ1121)</f>
        <v>0</v>
      </c>
      <c r="CK1122" s="1138">
        <f t="shared" ref="CK1122" si="2959">SUM(CK1117:CK1121)</f>
        <v>0</v>
      </c>
      <c r="CL1122" s="1138">
        <f t="shared" ref="CL1122" si="2960">SUM(CL1117:CL1121)</f>
        <v>0</v>
      </c>
      <c r="CM1122" s="1138">
        <f t="shared" ref="CM1122" si="2961">SUM(CM1117:CM1121)</f>
        <v>0</v>
      </c>
      <c r="CN1122" s="1138">
        <f t="shared" ref="CN1122" si="2962">SUM(CN1117:CN1121)</f>
        <v>0</v>
      </c>
      <c r="CO1122" s="1138">
        <f t="shared" ref="CO1122" si="2963">SUM(CO1117:CO1121)</f>
        <v>0</v>
      </c>
      <c r="CP1122" s="1138">
        <f t="shared" ref="CP1122" si="2964">SUM(CP1117:CP1121)</f>
        <v>0</v>
      </c>
      <c r="CQ1122" s="1138">
        <f t="shared" ref="CQ1122" si="2965">SUM(CQ1117:CQ1121)</f>
        <v>0</v>
      </c>
      <c r="CR1122" s="1138">
        <f t="shared" ref="CR1122" si="2966">SUM(CR1117:CR1121)</f>
        <v>0</v>
      </c>
      <c r="CS1122" s="1138">
        <f t="shared" ref="CS1122" si="2967">SUM(CS1117:CS1121)</f>
        <v>0</v>
      </c>
      <c r="CT1122" s="1138">
        <f t="shared" ref="CT1122" si="2968">SUM(CT1117:CT1121)</f>
        <v>0</v>
      </c>
      <c r="CU1122" s="1138">
        <f t="shared" ref="CU1122" si="2969">SUM(CU1117:CU1121)</f>
        <v>0</v>
      </c>
      <c r="CV1122" s="1138">
        <f t="shared" ref="CV1122" si="2970">SUM(CV1117:CV1121)</f>
        <v>0</v>
      </c>
      <c r="CW1122" s="1138">
        <f t="shared" ref="CW1122" si="2971">SUM(CW1117:CW1121)</f>
        <v>0</v>
      </c>
      <c r="CX1122" s="1138">
        <f t="shared" ref="CX1122" si="2972">SUM(CX1117:CX1121)</f>
        <v>0</v>
      </c>
      <c r="CY1122" s="1138">
        <f t="shared" ref="CY1122" si="2973">SUM(CY1117:CY1121)</f>
        <v>0</v>
      </c>
      <c r="CZ1122" s="1138">
        <f t="shared" ref="CZ1122" si="2974">SUM(CZ1117:CZ1121)</f>
        <v>0</v>
      </c>
      <c r="DA1122" s="1138">
        <f t="shared" ref="DA1122" si="2975">SUM(DA1117:DA1121)</f>
        <v>0</v>
      </c>
      <c r="DB1122" s="1138">
        <f t="shared" ref="DB1122" si="2976">SUM(DB1117:DB1121)</f>
        <v>0</v>
      </c>
      <c r="DC1122" s="1138">
        <f t="shared" ref="DC1122" si="2977">SUM(DC1117:DC1121)</f>
        <v>0</v>
      </c>
      <c r="DD1122" s="1138">
        <f t="shared" ref="DD1122" si="2978">SUM(DD1117:DD1121)</f>
        <v>0</v>
      </c>
      <c r="DE1122" s="1138">
        <f t="shared" ref="DE1122" si="2979">SUM(DE1117:DE1121)</f>
        <v>0</v>
      </c>
      <c r="DF1122" s="1138">
        <f t="shared" ref="DF1122" si="2980">SUM(DF1117:DF1121)</f>
        <v>0</v>
      </c>
      <c r="DG1122" s="1138">
        <f t="shared" ref="DG1122" si="2981">SUM(DG1117:DG1121)</f>
        <v>0</v>
      </c>
      <c r="DH1122" s="1138">
        <f t="shared" ref="DH1122" si="2982">SUM(DH1117:DH1121)</f>
        <v>0</v>
      </c>
      <c r="DI1122" s="1138">
        <f t="shared" ref="DI1122" si="2983">SUM(DI1117:DI1121)</f>
        <v>0</v>
      </c>
      <c r="DJ1122" s="1138">
        <f t="shared" ref="DJ1122" si="2984">SUM(DJ1117:DJ1121)</f>
        <v>0</v>
      </c>
      <c r="DK1122" s="1138">
        <f t="shared" ref="DK1122" si="2985">SUM(DK1117:DK1121)</f>
        <v>0</v>
      </c>
      <c r="DL1122" s="1138">
        <f t="shared" ref="DL1122" si="2986">SUM(DL1117:DL1121)</f>
        <v>0</v>
      </c>
      <c r="DM1122" s="1138">
        <f t="shared" ref="DM1122" si="2987">SUM(DM1117:DM1121)</f>
        <v>0</v>
      </c>
      <c r="DN1122" s="1138">
        <f t="shared" ref="DN1122" si="2988">SUM(DN1117:DN1121)</f>
        <v>0</v>
      </c>
      <c r="DO1122" s="1138">
        <f t="shared" ref="DO1122" si="2989">SUM(DO1117:DO1121)</f>
        <v>0</v>
      </c>
      <c r="DP1122" s="1138">
        <f t="shared" ref="DP1122" si="2990">SUM(DP1117:DP1121)</f>
        <v>0</v>
      </c>
      <c r="DQ1122" s="1138">
        <f t="shared" ref="DQ1122" si="2991">SUM(DQ1117:DQ1121)</f>
        <v>0</v>
      </c>
      <c r="DR1122" s="1138">
        <f t="shared" ref="DR1122" si="2992">SUM(DR1117:DR1121)</f>
        <v>0</v>
      </c>
      <c r="DS1122" s="1138">
        <f t="shared" ref="DS1122" si="2993">SUM(DS1117:DS1121)</f>
        <v>0</v>
      </c>
      <c r="DT1122" s="1138">
        <f t="shared" ref="DT1122" si="2994">SUM(DT1117:DT1121)</f>
        <v>0</v>
      </c>
      <c r="DU1122" s="1138">
        <f t="shared" ref="DU1122" si="2995">SUM(DU1117:DU1121)</f>
        <v>0</v>
      </c>
      <c r="DV1122" s="1138">
        <f t="shared" ref="DV1122" si="2996">SUM(DV1117:DV1121)</f>
        <v>0</v>
      </c>
      <c r="DW1122" s="1138">
        <f t="shared" ref="DW1122" si="2997">SUM(DW1117:DW1121)</f>
        <v>0</v>
      </c>
      <c r="DX1122" s="1138">
        <f t="shared" ref="DX1122" si="2998">SUM(DX1117:DX1121)</f>
        <v>0</v>
      </c>
      <c r="DY1122" s="1138">
        <f t="shared" ref="DY1122" si="2999">SUM(DY1117:DY1121)</f>
        <v>0</v>
      </c>
      <c r="DZ1122" s="1138">
        <f t="shared" ref="DZ1122" si="3000">SUM(DZ1117:DZ1121)</f>
        <v>0</v>
      </c>
      <c r="EA1122" s="1138">
        <f t="shared" ref="EA1122" si="3001">SUM(EA1117:EA1121)</f>
        <v>0</v>
      </c>
      <c r="EB1122" s="1138">
        <f t="shared" ref="EB1122" si="3002">SUM(EB1117:EB1121)</f>
        <v>0</v>
      </c>
      <c r="EC1122" s="1138">
        <f t="shared" ref="EC1122" si="3003">SUM(EC1117:EC1121)</f>
        <v>0</v>
      </c>
      <c r="ED1122" s="1138">
        <f t="shared" ref="ED1122" si="3004">SUM(ED1117:ED1121)</f>
        <v>0</v>
      </c>
      <c r="EE1122" s="1138">
        <f t="shared" ref="EE1122" si="3005">SUM(EE1117:EE1121)</f>
        <v>0</v>
      </c>
      <c r="EF1122" s="1138">
        <f t="shared" ref="EF1122" si="3006">SUM(EF1117:EF1121)</f>
        <v>0</v>
      </c>
      <c r="EG1122" s="1138">
        <f t="shared" ref="EG1122" si="3007">SUM(EG1117:EG1121)</f>
        <v>0</v>
      </c>
      <c r="EH1122" s="1138">
        <f t="shared" ref="EH1122" si="3008">SUM(EH1117:EH1121)</f>
        <v>0</v>
      </c>
      <c r="EI1122" s="1138">
        <f t="shared" ref="EI1122" si="3009">SUM(EI1117:EI1121)</f>
        <v>0</v>
      </c>
      <c r="EJ1122" s="1138">
        <f t="shared" ref="EJ1122" si="3010">SUM(EJ1117:EJ1121)</f>
        <v>0</v>
      </c>
      <c r="EK1122" s="1138">
        <f t="shared" ref="EK1122" si="3011">SUM(EK1117:EK1121)</f>
        <v>0</v>
      </c>
      <c r="EL1122" s="1138">
        <f t="shared" ref="EL1122" si="3012">SUM(EL1117:EL1121)</f>
        <v>0</v>
      </c>
      <c r="EM1122" s="1138">
        <f t="shared" ref="EM1122" si="3013">SUM(EM1117:EM1121)</f>
        <v>0</v>
      </c>
      <c r="EN1122" s="1138">
        <f t="shared" ref="EN1122" si="3014">SUM(EN1117:EN1121)</f>
        <v>0</v>
      </c>
      <c r="EO1122" s="1138">
        <f t="shared" ref="EO1122" si="3015">SUM(EO1117:EO1121)</f>
        <v>0</v>
      </c>
      <c r="EP1122" s="1138">
        <f t="shared" ref="EP1122" si="3016">SUM(EP1117:EP1121)</f>
        <v>0</v>
      </c>
      <c r="EQ1122" s="1138">
        <f t="shared" ref="EQ1122" si="3017">SUM(EQ1117:EQ1121)</f>
        <v>0</v>
      </c>
      <c r="ER1122" s="1138">
        <f t="shared" ref="ER1122" si="3018">SUM(ER1117:ER1121)</f>
        <v>0</v>
      </c>
      <c r="ES1122" s="1138">
        <f t="shared" ref="ES1122" si="3019">SUM(ES1117:ES1121)</f>
        <v>0</v>
      </c>
      <c r="ET1122" s="1138">
        <f t="shared" ref="ET1122" si="3020">SUM(ET1117:ET1121)</f>
        <v>0</v>
      </c>
      <c r="EU1122" s="1138">
        <f t="shared" ref="EU1122" si="3021">SUM(EU1117:EU1121)</f>
        <v>0</v>
      </c>
      <c r="EV1122" s="1138">
        <f t="shared" ref="EV1122" si="3022">SUM(EV1117:EV1121)</f>
        <v>0</v>
      </c>
      <c r="EW1122" s="1138">
        <f t="shared" ref="EW1122" si="3023">SUM(EW1117:EW1121)</f>
        <v>0</v>
      </c>
      <c r="EX1122" s="1138">
        <f t="shared" ref="EX1122:FL1122" si="3024">SUM(EX1117:EX1121)</f>
        <v>0</v>
      </c>
      <c r="EY1122" s="1138">
        <f t="shared" si="3024"/>
        <v>0</v>
      </c>
      <c r="EZ1122" s="1138">
        <f t="shared" si="3024"/>
        <v>0</v>
      </c>
      <c r="FA1122" s="1138">
        <f t="shared" si="3024"/>
        <v>0</v>
      </c>
      <c r="FB1122" s="1138">
        <f t="shared" si="3024"/>
        <v>0</v>
      </c>
      <c r="FC1122" s="1138">
        <f t="shared" si="3024"/>
        <v>0</v>
      </c>
      <c r="FD1122" s="1138">
        <f t="shared" si="3024"/>
        <v>0</v>
      </c>
      <c r="FE1122" s="1138">
        <f t="shared" si="3024"/>
        <v>0</v>
      </c>
      <c r="FF1122" s="1138">
        <f t="shared" si="3024"/>
        <v>0</v>
      </c>
      <c r="FG1122" s="1138">
        <f t="shared" si="3024"/>
        <v>0</v>
      </c>
      <c r="FH1122" s="1138">
        <f t="shared" si="3024"/>
        <v>0</v>
      </c>
      <c r="FI1122" s="1138">
        <f t="shared" si="3024"/>
        <v>0</v>
      </c>
      <c r="FJ1122" s="1138">
        <f t="shared" si="3024"/>
        <v>0</v>
      </c>
      <c r="FK1122" s="1138">
        <f t="shared" si="3024"/>
        <v>0</v>
      </c>
      <c r="FL1122" s="1138">
        <f t="shared" si="3024"/>
        <v>0</v>
      </c>
    </row>
    <row r="1123" spans="1:168" x14ac:dyDescent="0.25">
      <c r="A1123" s="254"/>
      <c r="B1123" s="625" t="s">
        <v>212</v>
      </c>
      <c r="C1123" s="1135">
        <v>339</v>
      </c>
      <c r="D1123" s="1138">
        <f>D1106+D1116+D1122</f>
        <v>33.450000000000003</v>
      </c>
      <c r="E1123" s="1138">
        <f t="shared" ref="E1123:J1123" si="3025">E1106+E1116+E1122</f>
        <v>86.48</v>
      </c>
      <c r="F1123" s="1138"/>
      <c r="G1123" s="1138">
        <f t="shared" si="3025"/>
        <v>0</v>
      </c>
      <c r="H1123" s="1138">
        <f t="shared" si="3025"/>
        <v>0</v>
      </c>
      <c r="I1123" s="554"/>
      <c r="J1123" s="1138">
        <f t="shared" si="3025"/>
        <v>0</v>
      </c>
      <c r="K1123" s="1138">
        <f t="shared" ref="K1123" si="3026">K1106+K1116+K1122</f>
        <v>14.67</v>
      </c>
      <c r="L1123" s="1138">
        <f t="shared" ref="L1123" si="3027">L1106+L1116+L1122</f>
        <v>0</v>
      </c>
      <c r="M1123" s="1138">
        <f t="shared" ref="M1123" si="3028">M1106+M1116+M1122</f>
        <v>0</v>
      </c>
      <c r="N1123" s="1138">
        <f t="shared" ref="N1123" si="3029">N1106+N1116+N1122</f>
        <v>0</v>
      </c>
      <c r="O1123" s="1138">
        <f t="shared" ref="O1123" si="3030">O1106+O1116+O1122</f>
        <v>0</v>
      </c>
      <c r="P1123" s="1138">
        <f t="shared" ref="P1123" si="3031">P1106+P1116+P1122</f>
        <v>0</v>
      </c>
      <c r="Q1123" s="1138">
        <f t="shared" ref="Q1123" si="3032">Q1106+Q1116+Q1122</f>
        <v>0</v>
      </c>
      <c r="R1123" s="1138">
        <f t="shared" ref="R1123" si="3033">R1106+R1116+R1122</f>
        <v>0</v>
      </c>
      <c r="S1123" s="1138">
        <f t="shared" ref="S1123" si="3034">S1106+S1116+S1122</f>
        <v>0</v>
      </c>
      <c r="T1123" s="1138">
        <f t="shared" ref="T1123" si="3035">T1106+T1116+T1122</f>
        <v>0</v>
      </c>
      <c r="U1123" s="1138">
        <f t="shared" ref="U1123" si="3036">U1106+U1116+U1122</f>
        <v>10.24</v>
      </c>
      <c r="V1123" s="1138">
        <f t="shared" ref="V1123" si="3037">V1106+V1116+V1122</f>
        <v>12.78</v>
      </c>
      <c r="W1123" s="1138">
        <f t="shared" ref="W1123" si="3038">W1106+W1116+W1122</f>
        <v>11.5</v>
      </c>
      <c r="X1123" s="1138">
        <f t="shared" ref="X1123" si="3039">X1106+X1116+X1122</f>
        <v>0</v>
      </c>
      <c r="Y1123" s="1138">
        <f t="shared" ref="Y1123" si="3040">Y1106+Y1116+Y1122</f>
        <v>1.17</v>
      </c>
      <c r="Z1123" s="1138">
        <f t="shared" ref="Z1123" si="3041">Z1106+Z1116+Z1122</f>
        <v>0</v>
      </c>
      <c r="AA1123" s="1138">
        <f t="shared" ref="AA1123" si="3042">AA1106+AA1116+AA1122</f>
        <v>0</v>
      </c>
      <c r="AB1123" s="1138">
        <f t="shared" ref="AB1123" si="3043">AB1106+AB1116+AB1122</f>
        <v>0</v>
      </c>
      <c r="AC1123" s="1138">
        <f t="shared" ref="AC1123" si="3044">AC1106+AC1116+AC1122</f>
        <v>0</v>
      </c>
      <c r="AD1123" s="1138">
        <f t="shared" ref="AD1123" si="3045">AD1106+AD1116+AD1122</f>
        <v>0</v>
      </c>
      <c r="AE1123" s="1138">
        <f t="shared" ref="AE1123" si="3046">AE1106+AE1116+AE1122</f>
        <v>1.37</v>
      </c>
      <c r="AF1123" s="1138">
        <f t="shared" ref="AF1123" si="3047">AF1106+AF1116+AF1122</f>
        <v>0</v>
      </c>
      <c r="AG1123" s="1138">
        <f t="shared" ref="AG1123" si="3048">AG1106+AG1116+AG1122</f>
        <v>0</v>
      </c>
      <c r="AH1123" s="1138">
        <f t="shared" ref="AH1123" si="3049">AH1106+AH1116+AH1122</f>
        <v>2</v>
      </c>
      <c r="AI1123" s="1138">
        <f t="shared" ref="AI1123" si="3050">AI1106+AI1116+AI1122</f>
        <v>0</v>
      </c>
      <c r="AJ1123" s="1138">
        <f t="shared" ref="AJ1123" si="3051">AJ1106+AJ1116+AJ1122</f>
        <v>0</v>
      </c>
      <c r="AK1123" s="1138">
        <f t="shared" ref="AK1123" si="3052">AK1106+AK1116+AK1122</f>
        <v>0.9</v>
      </c>
      <c r="AL1123" s="1138">
        <f t="shared" ref="AL1123" si="3053">AL1106+AL1116+AL1122</f>
        <v>0</v>
      </c>
      <c r="AM1123" s="1138">
        <f t="shared" ref="AM1123" si="3054">AM1106+AM1116+AM1122</f>
        <v>0</v>
      </c>
      <c r="AN1123" s="1138">
        <f t="shared" ref="AN1123" si="3055">AN1106+AN1116+AN1122</f>
        <v>0</v>
      </c>
      <c r="AO1123" s="1138">
        <f t="shared" ref="AO1123" si="3056">AO1106+AO1116+AO1122</f>
        <v>4.28</v>
      </c>
      <c r="AP1123" s="1138">
        <f t="shared" ref="AP1123" si="3057">AP1106+AP1116+AP1122</f>
        <v>0</v>
      </c>
      <c r="AQ1123" s="1138">
        <f t="shared" ref="AQ1123" si="3058">AQ1106+AQ1116+AQ1122</f>
        <v>1</v>
      </c>
      <c r="AR1123" s="1138">
        <f t="shared" ref="AR1123" si="3059">AR1106+AR1116+AR1122</f>
        <v>0</v>
      </c>
      <c r="AS1123" s="1138">
        <f t="shared" ref="AS1123" si="3060">AS1106+AS1116+AS1122</f>
        <v>0</v>
      </c>
      <c r="AT1123" s="1138">
        <f t="shared" ref="AT1123" si="3061">AT1106+AT1116+AT1122</f>
        <v>0</v>
      </c>
      <c r="AU1123" s="1138">
        <f t="shared" ref="AU1123" si="3062">AU1106+AU1116+AU1122</f>
        <v>0.6</v>
      </c>
      <c r="AV1123" s="1138">
        <f t="shared" ref="AV1123" si="3063">AV1106+AV1116+AV1122</f>
        <v>0</v>
      </c>
      <c r="AW1123" s="1138">
        <f t="shared" ref="AW1123" si="3064">AW1106+AW1116+AW1122</f>
        <v>0</v>
      </c>
      <c r="AX1123" s="1138">
        <f t="shared" ref="AX1123" si="3065">AX1106+AX1116+AX1122</f>
        <v>1.95</v>
      </c>
      <c r="AY1123" s="1138">
        <f t="shared" ref="AY1123" si="3066">AY1106+AY1116+AY1122</f>
        <v>0</v>
      </c>
      <c r="AZ1123" s="1138">
        <f t="shared" ref="AZ1123" si="3067">AZ1106+AZ1116+AZ1122</f>
        <v>0</v>
      </c>
      <c r="BA1123" s="1138">
        <f t="shared" ref="BA1123" si="3068">BA1106+BA1116+BA1122</f>
        <v>0</v>
      </c>
      <c r="BB1123" s="1138">
        <f t="shared" ref="BB1123" si="3069">BB1106+BB1116+BB1122</f>
        <v>0</v>
      </c>
      <c r="BC1123" s="1138">
        <f t="shared" ref="BC1123" si="3070">BC1106+BC1116+BC1122</f>
        <v>0</v>
      </c>
      <c r="BD1123" s="1138">
        <f t="shared" ref="BD1123" si="3071">BD1106+BD1116+BD1122</f>
        <v>0</v>
      </c>
      <c r="BE1123" s="1138">
        <f t="shared" ref="BE1123" si="3072">BE1106+BE1116+BE1122</f>
        <v>0</v>
      </c>
      <c r="BF1123" s="1138">
        <f t="shared" ref="BF1123" si="3073">BF1106+BF1116+BF1122</f>
        <v>0</v>
      </c>
      <c r="BG1123" s="1138">
        <f t="shared" ref="BG1123" si="3074">BG1106+BG1116+BG1122</f>
        <v>0</v>
      </c>
      <c r="BH1123" s="1138">
        <f t="shared" ref="BH1123" si="3075">BH1106+BH1116+BH1122</f>
        <v>0</v>
      </c>
      <c r="BI1123" s="1138">
        <f t="shared" ref="BI1123" si="3076">BI1106+BI1116+BI1122</f>
        <v>0</v>
      </c>
      <c r="BJ1123" s="1138">
        <f t="shared" ref="BJ1123" si="3077">BJ1106+BJ1116+BJ1122</f>
        <v>0</v>
      </c>
      <c r="BK1123" s="1138">
        <f t="shared" ref="BK1123" si="3078">BK1106+BK1116+BK1122</f>
        <v>0</v>
      </c>
      <c r="BL1123" s="1138">
        <f t="shared" ref="BL1123" si="3079">BL1106+BL1116+BL1122</f>
        <v>0</v>
      </c>
      <c r="BM1123" s="1138">
        <f t="shared" ref="BM1123" si="3080">BM1106+BM1116+BM1122</f>
        <v>0</v>
      </c>
      <c r="BN1123" s="1138">
        <f t="shared" ref="BN1123" si="3081">BN1106+BN1116+BN1122</f>
        <v>0</v>
      </c>
      <c r="BO1123" s="1138">
        <f t="shared" ref="BO1123" si="3082">BO1106+BO1116+BO1122</f>
        <v>0</v>
      </c>
      <c r="BP1123" s="1138">
        <f t="shared" ref="BP1123" si="3083">BP1106+BP1116+BP1122</f>
        <v>0</v>
      </c>
      <c r="BQ1123" s="1138">
        <f t="shared" ref="BQ1123" si="3084">BQ1106+BQ1116+BQ1122</f>
        <v>0</v>
      </c>
      <c r="BR1123" s="1138">
        <f t="shared" ref="BR1123" si="3085">BR1106+BR1116+BR1122</f>
        <v>0</v>
      </c>
      <c r="BS1123" s="1138">
        <f t="shared" ref="BS1123" si="3086">BS1106+BS1116+BS1122</f>
        <v>0</v>
      </c>
      <c r="BT1123" s="1138">
        <f t="shared" ref="BT1123" si="3087">BT1106+BT1116+BT1122</f>
        <v>0</v>
      </c>
      <c r="BU1123" s="1138">
        <f t="shared" ref="BU1123" si="3088">BU1106+BU1116+BU1122</f>
        <v>0</v>
      </c>
      <c r="BV1123" s="1138">
        <f t="shared" ref="BV1123" si="3089">BV1106+BV1116+BV1122</f>
        <v>0</v>
      </c>
      <c r="BW1123" s="1138">
        <f t="shared" ref="BW1123" si="3090">BW1106+BW1116+BW1122</f>
        <v>0</v>
      </c>
      <c r="BX1123" s="1138">
        <f t="shared" ref="BX1123" si="3091">BX1106+BX1116+BX1122</f>
        <v>0</v>
      </c>
      <c r="BY1123" s="1138">
        <f t="shared" ref="BY1123" si="3092">BY1106+BY1116+BY1122</f>
        <v>0</v>
      </c>
      <c r="BZ1123" s="1138">
        <f t="shared" ref="BZ1123" si="3093">BZ1106+BZ1116+BZ1122</f>
        <v>0</v>
      </c>
      <c r="CA1123" s="1138">
        <f t="shared" ref="CA1123" si="3094">CA1106+CA1116+CA1122</f>
        <v>0.84</v>
      </c>
      <c r="CB1123" s="1138">
        <f t="shared" ref="CB1123" si="3095">CB1106+CB1116+CB1122</f>
        <v>5.29</v>
      </c>
      <c r="CC1123" s="1138">
        <f t="shared" ref="CC1123" si="3096">CC1106+CC1116+CC1122</f>
        <v>0</v>
      </c>
      <c r="CD1123" s="1138">
        <f t="shared" ref="CD1123" si="3097">CD1106+CD1116+CD1122</f>
        <v>0</v>
      </c>
      <c r="CE1123" s="1138">
        <f t="shared" ref="CE1123" si="3098">CE1106+CE1116+CE1122</f>
        <v>0</v>
      </c>
      <c r="CF1123" s="1138">
        <f t="shared" ref="CF1123" si="3099">CF1106+CF1116+CF1122</f>
        <v>1.27</v>
      </c>
      <c r="CG1123" s="1138">
        <f t="shared" ref="CG1123" si="3100">CG1106+CG1116+CG1122</f>
        <v>0</v>
      </c>
      <c r="CH1123" s="1138">
        <f t="shared" ref="CH1123" si="3101">CH1106+CH1116+CH1122</f>
        <v>0</v>
      </c>
      <c r="CI1123" s="1138">
        <f t="shared" ref="CI1123" si="3102">CI1106+CI1116+CI1122</f>
        <v>0</v>
      </c>
      <c r="CJ1123" s="1138">
        <f t="shared" ref="CJ1123" si="3103">CJ1106+CJ1116+CJ1122</f>
        <v>0</v>
      </c>
      <c r="CK1123" s="1138">
        <f t="shared" ref="CK1123" si="3104">CK1106+CK1116+CK1122</f>
        <v>0</v>
      </c>
      <c r="CL1123" s="1138">
        <f t="shared" ref="CL1123" si="3105">CL1106+CL1116+CL1122</f>
        <v>0</v>
      </c>
      <c r="CM1123" s="1138">
        <f t="shared" ref="CM1123" si="3106">CM1106+CM1116+CM1122</f>
        <v>0</v>
      </c>
      <c r="CN1123" s="1138">
        <f t="shared" ref="CN1123" si="3107">CN1106+CN1116+CN1122</f>
        <v>0</v>
      </c>
      <c r="CO1123" s="1138">
        <f t="shared" ref="CO1123" si="3108">CO1106+CO1116+CO1122</f>
        <v>0</v>
      </c>
      <c r="CP1123" s="1138">
        <f t="shared" ref="CP1123" si="3109">CP1106+CP1116+CP1122</f>
        <v>0</v>
      </c>
      <c r="CQ1123" s="1138">
        <f t="shared" ref="CQ1123" si="3110">CQ1106+CQ1116+CQ1122</f>
        <v>0.06</v>
      </c>
      <c r="CR1123" s="1138">
        <f t="shared" ref="CR1123" si="3111">CR1106+CR1116+CR1122</f>
        <v>0</v>
      </c>
      <c r="CS1123" s="1138">
        <f t="shared" ref="CS1123" si="3112">CS1106+CS1116+CS1122</f>
        <v>0</v>
      </c>
      <c r="CT1123" s="1138">
        <f t="shared" ref="CT1123" si="3113">CT1106+CT1116+CT1122</f>
        <v>0</v>
      </c>
      <c r="CU1123" s="1138">
        <f t="shared" ref="CU1123" si="3114">CU1106+CU1116+CU1122</f>
        <v>0</v>
      </c>
      <c r="CV1123" s="1138">
        <f t="shared" ref="CV1123" si="3115">CV1106+CV1116+CV1122</f>
        <v>0</v>
      </c>
      <c r="CW1123" s="1138">
        <f t="shared" ref="CW1123" si="3116">CW1106+CW1116+CW1122</f>
        <v>0</v>
      </c>
      <c r="CX1123" s="1138">
        <f t="shared" ref="CX1123" si="3117">CX1106+CX1116+CX1122</f>
        <v>0</v>
      </c>
      <c r="CY1123" s="1138">
        <f t="shared" ref="CY1123" si="3118">CY1106+CY1116+CY1122</f>
        <v>0</v>
      </c>
      <c r="CZ1123" s="1138">
        <f t="shared" ref="CZ1123" si="3119">CZ1106+CZ1116+CZ1122</f>
        <v>2.96</v>
      </c>
      <c r="DA1123" s="1138">
        <f t="shared" ref="DA1123" si="3120">DA1106+DA1116+DA1122</f>
        <v>0</v>
      </c>
      <c r="DB1123" s="1138">
        <f t="shared" ref="DB1123" si="3121">DB1106+DB1116+DB1122</f>
        <v>0</v>
      </c>
      <c r="DC1123" s="1138">
        <f t="shared" ref="DC1123" si="3122">DC1106+DC1116+DC1122</f>
        <v>0.19</v>
      </c>
      <c r="DD1123" s="1138">
        <f t="shared" ref="DD1123" si="3123">DD1106+DD1116+DD1122</f>
        <v>0</v>
      </c>
      <c r="DE1123" s="1138">
        <f t="shared" ref="DE1123" si="3124">DE1106+DE1116+DE1122</f>
        <v>2.6</v>
      </c>
      <c r="DF1123" s="1138">
        <f t="shared" ref="DF1123" si="3125">DF1106+DF1116+DF1122</f>
        <v>1.61</v>
      </c>
      <c r="DG1123" s="1138">
        <f t="shared" ref="DG1123" si="3126">DG1106+DG1116+DG1122</f>
        <v>0</v>
      </c>
      <c r="DH1123" s="1138">
        <f t="shared" ref="DH1123" si="3127">DH1106+DH1116+DH1122</f>
        <v>0</v>
      </c>
      <c r="DI1123" s="1138">
        <f t="shared" ref="DI1123" si="3128">DI1106+DI1116+DI1122</f>
        <v>0</v>
      </c>
      <c r="DJ1123" s="1138">
        <f t="shared" ref="DJ1123" si="3129">DJ1106+DJ1116+DJ1122</f>
        <v>0</v>
      </c>
      <c r="DK1123" s="1138">
        <f t="shared" ref="DK1123" si="3130">DK1106+DK1116+DK1122</f>
        <v>0</v>
      </c>
      <c r="DL1123" s="1138">
        <f t="shared" ref="DL1123" si="3131">DL1106+DL1116+DL1122</f>
        <v>0</v>
      </c>
      <c r="DM1123" s="1138">
        <f t="shared" ref="DM1123" si="3132">DM1106+DM1116+DM1122</f>
        <v>0</v>
      </c>
      <c r="DN1123" s="1138">
        <f t="shared" ref="DN1123" si="3133">DN1106+DN1116+DN1122</f>
        <v>0</v>
      </c>
      <c r="DO1123" s="1138">
        <f t="shared" ref="DO1123" si="3134">DO1106+DO1116+DO1122</f>
        <v>0</v>
      </c>
      <c r="DP1123" s="1138">
        <f t="shared" ref="DP1123" si="3135">DP1106+DP1116+DP1122</f>
        <v>0</v>
      </c>
      <c r="DQ1123" s="1138">
        <f t="shared" ref="DQ1123" si="3136">DQ1106+DQ1116+DQ1122</f>
        <v>0</v>
      </c>
      <c r="DR1123" s="1138">
        <f t="shared" ref="DR1123" si="3137">DR1106+DR1116+DR1122</f>
        <v>0.45</v>
      </c>
      <c r="DS1123" s="1138">
        <f t="shared" ref="DS1123" si="3138">DS1106+DS1116+DS1122</f>
        <v>0</v>
      </c>
      <c r="DT1123" s="1138">
        <f t="shared" ref="DT1123" si="3139">DT1106+DT1116+DT1122</f>
        <v>0</v>
      </c>
      <c r="DU1123" s="1138">
        <f t="shared" ref="DU1123" si="3140">DU1106+DU1116+DU1122</f>
        <v>0</v>
      </c>
      <c r="DV1123" s="1138">
        <f t="shared" ref="DV1123" si="3141">DV1106+DV1116+DV1122</f>
        <v>0</v>
      </c>
      <c r="DW1123" s="1138">
        <f t="shared" ref="DW1123" si="3142">DW1106+DW1116+DW1122</f>
        <v>0</v>
      </c>
      <c r="DX1123" s="1138">
        <f t="shared" ref="DX1123" si="3143">DX1106+DX1116+DX1122</f>
        <v>0</v>
      </c>
      <c r="DY1123" s="1138">
        <f t="shared" ref="DY1123" si="3144">DY1106+DY1116+DY1122</f>
        <v>0</v>
      </c>
      <c r="DZ1123" s="1138">
        <f t="shared" ref="DZ1123" si="3145">DZ1106+DZ1116+DZ1122</f>
        <v>0</v>
      </c>
      <c r="EA1123" s="1138">
        <f t="shared" ref="EA1123" si="3146">EA1106+EA1116+EA1122</f>
        <v>0</v>
      </c>
      <c r="EB1123" s="1138">
        <f t="shared" ref="EB1123" si="3147">EB1106+EB1116+EB1122</f>
        <v>2.9</v>
      </c>
      <c r="EC1123" s="1138">
        <f t="shared" ref="EC1123" si="3148">EC1106+EC1116+EC1122</f>
        <v>0</v>
      </c>
      <c r="ED1123" s="1138">
        <f t="shared" ref="ED1123" si="3149">ED1106+ED1116+ED1122</f>
        <v>0</v>
      </c>
      <c r="EE1123" s="1138">
        <f t="shared" ref="EE1123" si="3150">EE1106+EE1116+EE1122</f>
        <v>0</v>
      </c>
      <c r="EF1123" s="1138">
        <f t="shared" ref="EF1123" si="3151">EF1106+EF1116+EF1122</f>
        <v>0</v>
      </c>
      <c r="EG1123" s="1138">
        <f t="shared" ref="EG1123" si="3152">EG1106+EG1116+EG1122</f>
        <v>0</v>
      </c>
      <c r="EH1123" s="1138">
        <f t="shared" ref="EH1123" si="3153">EH1106+EH1116+EH1122</f>
        <v>0</v>
      </c>
      <c r="EI1123" s="1138">
        <f t="shared" ref="EI1123" si="3154">EI1106+EI1116+EI1122</f>
        <v>0</v>
      </c>
      <c r="EJ1123" s="1138">
        <f t="shared" ref="EJ1123" si="3155">EJ1106+EJ1116+EJ1122</f>
        <v>0</v>
      </c>
      <c r="EK1123" s="1138">
        <f t="shared" ref="EK1123" si="3156">EK1106+EK1116+EK1122</f>
        <v>0</v>
      </c>
      <c r="EL1123" s="1138">
        <f t="shared" ref="EL1123" si="3157">EL1106+EL1116+EL1122</f>
        <v>0</v>
      </c>
      <c r="EM1123" s="1138">
        <f t="shared" ref="EM1123" si="3158">EM1106+EM1116+EM1122</f>
        <v>0</v>
      </c>
      <c r="EN1123" s="1138">
        <f t="shared" ref="EN1123" si="3159">EN1106+EN1116+EN1122</f>
        <v>0</v>
      </c>
      <c r="EO1123" s="1138">
        <f t="shared" ref="EO1123" si="3160">EO1106+EO1116+EO1122</f>
        <v>0</v>
      </c>
      <c r="EP1123" s="1138">
        <f t="shared" ref="EP1123" si="3161">EP1106+EP1116+EP1122</f>
        <v>0</v>
      </c>
      <c r="EQ1123" s="1138">
        <f t="shared" ref="EQ1123" si="3162">EQ1106+EQ1116+EQ1122</f>
        <v>0</v>
      </c>
      <c r="ER1123" s="1138">
        <f t="shared" ref="ER1123" si="3163">ER1106+ER1116+ER1122</f>
        <v>0</v>
      </c>
      <c r="ES1123" s="1138">
        <f t="shared" ref="ES1123" si="3164">ES1106+ES1116+ES1122</f>
        <v>0</v>
      </c>
      <c r="ET1123" s="1138">
        <f t="shared" ref="ET1123" si="3165">ET1106+ET1116+ET1122</f>
        <v>0</v>
      </c>
      <c r="EU1123" s="1138">
        <f t="shared" ref="EU1123" si="3166">EU1106+EU1116+EU1122</f>
        <v>0</v>
      </c>
      <c r="EV1123" s="1138">
        <f t="shared" ref="EV1123" si="3167">EV1106+EV1116+EV1122</f>
        <v>1.3</v>
      </c>
      <c r="EW1123" s="1138">
        <f t="shared" ref="EW1123" si="3168">EW1106+EW1116+EW1122</f>
        <v>4.55</v>
      </c>
      <c r="EX1123" s="1138">
        <f t="shared" ref="EX1123:FL1123" si="3169">EX1106+EX1116+EX1122</f>
        <v>0</v>
      </c>
      <c r="EY1123" s="1138">
        <f t="shared" si="3169"/>
        <v>86.48</v>
      </c>
      <c r="EZ1123" s="1138">
        <f t="shared" si="3169"/>
        <v>0</v>
      </c>
      <c r="FA1123" s="1138">
        <f t="shared" si="3169"/>
        <v>0</v>
      </c>
      <c r="FB1123" s="1138">
        <f t="shared" si="3169"/>
        <v>0</v>
      </c>
      <c r="FC1123" s="1138">
        <f t="shared" si="3169"/>
        <v>0</v>
      </c>
      <c r="FD1123" s="1138">
        <f t="shared" si="3169"/>
        <v>0</v>
      </c>
      <c r="FE1123" s="1138">
        <f t="shared" si="3169"/>
        <v>0</v>
      </c>
      <c r="FF1123" s="1138">
        <f t="shared" si="3169"/>
        <v>0</v>
      </c>
      <c r="FG1123" s="1138">
        <f t="shared" si="3169"/>
        <v>0</v>
      </c>
      <c r="FH1123" s="1138">
        <f t="shared" si="3169"/>
        <v>0</v>
      </c>
      <c r="FI1123" s="1138">
        <f t="shared" si="3169"/>
        <v>0</v>
      </c>
      <c r="FJ1123" s="1138">
        <f t="shared" si="3169"/>
        <v>0</v>
      </c>
      <c r="FK1123" s="1138">
        <f t="shared" si="3169"/>
        <v>0</v>
      </c>
      <c r="FL1123" s="1138">
        <f t="shared" si="3169"/>
        <v>0</v>
      </c>
    </row>
    <row r="1124" spans="1:168" s="550" customFormat="1" x14ac:dyDescent="0.25">
      <c r="A1124" s="549"/>
      <c r="B1124" s="626" t="s">
        <v>583</v>
      </c>
      <c r="C1124" s="1136"/>
      <c r="D1124" s="1136"/>
      <c r="E1124" s="1141"/>
      <c r="F1124" s="1141"/>
      <c r="G1124" s="1141"/>
      <c r="H1124" s="1141"/>
      <c r="I1124" s="560"/>
      <c r="J1124" s="560"/>
      <c r="K1124" s="560"/>
      <c r="L1124" s="560"/>
      <c r="M1124" s="560"/>
      <c r="N1124" s="560"/>
      <c r="O1124" s="560"/>
      <c r="P1124" s="560"/>
      <c r="Q1124" s="560"/>
      <c r="R1124" s="560"/>
      <c r="S1124" s="560"/>
      <c r="T1124" s="560"/>
      <c r="U1124" s="560"/>
      <c r="V1124" s="560"/>
      <c r="W1124" s="560"/>
      <c r="X1124" s="560"/>
      <c r="Y1124" s="560"/>
      <c r="Z1124" s="560"/>
      <c r="AA1124" s="560"/>
      <c r="AB1124" s="560"/>
      <c r="AC1124" s="560"/>
      <c r="AD1124" s="560"/>
      <c r="AE1124" s="560"/>
      <c r="AF1124" s="560"/>
      <c r="AG1124" s="560"/>
      <c r="AH1124" s="560"/>
      <c r="AI1124" s="560"/>
      <c r="AJ1124" s="560"/>
      <c r="AK1124" s="560"/>
      <c r="AL1124" s="560"/>
      <c r="AM1124" s="560"/>
      <c r="AN1124" s="560"/>
      <c r="AO1124" s="560"/>
      <c r="AP1124" s="560"/>
      <c r="AQ1124" s="560"/>
      <c r="AR1124" s="560"/>
      <c r="AS1124" s="560"/>
      <c r="AT1124" s="560"/>
      <c r="AU1124" s="560"/>
      <c r="AV1124" s="560"/>
      <c r="AW1124" s="560"/>
      <c r="AX1124" s="560"/>
      <c r="AY1124" s="560"/>
      <c r="AZ1124" s="560"/>
      <c r="BA1124" s="560"/>
      <c r="BB1124" s="560"/>
      <c r="BC1124" s="560"/>
      <c r="BD1124" s="560"/>
      <c r="BE1124" s="560"/>
      <c r="BF1124" s="560"/>
      <c r="BG1124" s="560"/>
      <c r="BH1124" s="560"/>
      <c r="BI1124" s="560"/>
      <c r="BJ1124" s="560"/>
      <c r="BK1124" s="560"/>
      <c r="BL1124" s="560"/>
      <c r="BM1124" s="560"/>
      <c r="BN1124" s="560"/>
      <c r="BO1124" s="560"/>
      <c r="BP1124" s="560"/>
      <c r="BQ1124" s="560"/>
      <c r="BR1124" s="560"/>
      <c r="BS1124" s="560"/>
      <c r="BT1124" s="560"/>
      <c r="BU1124" s="560"/>
      <c r="BV1124" s="560"/>
      <c r="BW1124" s="560"/>
      <c r="BX1124" s="560"/>
      <c r="BY1124" s="560"/>
      <c r="BZ1124" s="560"/>
      <c r="CA1124" s="560"/>
      <c r="CB1124" s="560"/>
      <c r="CC1124" s="560"/>
      <c r="CD1124" s="560"/>
      <c r="CE1124" s="560"/>
      <c r="CF1124" s="560"/>
      <c r="CG1124" s="560"/>
      <c r="CH1124" s="560"/>
      <c r="CI1124" s="560"/>
      <c r="CJ1124" s="560"/>
      <c r="CK1124" s="560"/>
      <c r="CL1124" s="560"/>
      <c r="CM1124" s="560"/>
      <c r="CN1124" s="560"/>
      <c r="CO1124" s="560"/>
      <c r="CP1124" s="560"/>
      <c r="CQ1124" s="560"/>
      <c r="CR1124" s="560"/>
      <c r="CS1124" s="560"/>
      <c r="CT1124" s="560"/>
      <c r="CU1124" s="560"/>
      <c r="CV1124" s="560"/>
      <c r="CW1124" s="560"/>
      <c r="CX1124" s="560"/>
      <c r="CY1124" s="560"/>
      <c r="CZ1124" s="560"/>
      <c r="DA1124" s="560"/>
      <c r="DB1124" s="560"/>
      <c r="DC1124" s="560"/>
      <c r="DD1124" s="560"/>
      <c r="DE1124" s="560"/>
      <c r="DF1124" s="560"/>
      <c r="DG1124" s="560"/>
      <c r="DH1124" s="560"/>
      <c r="DI1124" s="560"/>
      <c r="DJ1124" s="560"/>
      <c r="DK1124" s="560"/>
      <c r="DL1124" s="560"/>
      <c r="DM1124" s="560"/>
      <c r="DN1124" s="560"/>
      <c r="DO1124" s="560"/>
      <c r="DP1124" s="560"/>
      <c r="DQ1124" s="560"/>
      <c r="DR1124" s="560"/>
      <c r="DS1124" s="560"/>
      <c r="DT1124" s="560"/>
      <c r="DU1124" s="560"/>
      <c r="DV1124" s="560"/>
      <c r="DW1124" s="560"/>
      <c r="DX1124" s="560"/>
      <c r="DY1124" s="560"/>
      <c r="DZ1124" s="560"/>
      <c r="EA1124" s="560"/>
      <c r="EB1124" s="560"/>
      <c r="EC1124" s="560"/>
      <c r="ED1124" s="560"/>
      <c r="EE1124" s="560"/>
      <c r="EF1124" s="560"/>
      <c r="EG1124" s="560"/>
      <c r="EH1124" s="560"/>
      <c r="EI1124" s="560"/>
      <c r="EJ1124" s="560"/>
      <c r="EK1124" s="560"/>
      <c r="EL1124" s="560"/>
      <c r="EM1124" s="560"/>
      <c r="EN1124" s="560"/>
      <c r="EO1124" s="560"/>
      <c r="EP1124" s="560"/>
      <c r="EQ1124" s="560"/>
      <c r="ER1124" s="560"/>
      <c r="ES1124" s="560"/>
      <c r="ET1124" s="560"/>
      <c r="EU1124" s="560"/>
      <c r="EV1124" s="560"/>
      <c r="EW1124" s="560"/>
      <c r="EX1124" s="560"/>
      <c r="EY1124" s="800" t="s">
        <v>833</v>
      </c>
      <c r="EZ1124" s="563"/>
      <c r="FA1124" s="563"/>
      <c r="FB1124" s="563"/>
      <c r="FC1124" s="563"/>
      <c r="FD1124" s="563"/>
      <c r="FE1124" s="563"/>
      <c r="FF1124" s="563"/>
      <c r="FG1124" s="563"/>
      <c r="FH1124" s="563"/>
      <c r="FI1124" s="563"/>
      <c r="FJ1124" s="563"/>
      <c r="FK1124" s="563"/>
      <c r="FL1124" s="563"/>
    </row>
    <row r="1125" spans="1:168" ht="27.6" x14ac:dyDescent="0.25">
      <c r="A1125" s="1491" t="s">
        <v>109</v>
      </c>
      <c r="B1125" s="624" t="str">
        <f t="shared" ref="B1125:D1133" si="3170">B167</f>
        <v>Каша жидкая молочная из манной крупы с маслом и сахаром</v>
      </c>
      <c r="C1125" s="624">
        <f t="shared" si="3170"/>
        <v>220</v>
      </c>
      <c r="D1125" s="624">
        <f t="shared" si="3170"/>
        <v>6.11</v>
      </c>
      <c r="E1125" s="1158">
        <f t="shared" ref="E1125" si="3171">EY1125</f>
        <v>17.559999999999999</v>
      </c>
      <c r="F1125" s="1158"/>
      <c r="G1125" s="1140"/>
      <c r="H1125" s="1140"/>
      <c r="I1125" s="552"/>
      <c r="J1125" s="552">
        <f t="shared" ref="J1125:AO1125" si="3172">J167*J$338</f>
        <v>0</v>
      </c>
      <c r="K1125" s="552">
        <f t="shared" si="3172"/>
        <v>0</v>
      </c>
      <c r="L1125" s="552">
        <f t="shared" si="3172"/>
        <v>0</v>
      </c>
      <c r="M1125" s="552">
        <f t="shared" si="3172"/>
        <v>0</v>
      </c>
      <c r="N1125" s="552">
        <f t="shared" si="3172"/>
        <v>0</v>
      </c>
      <c r="O1125" s="552">
        <f t="shared" si="3172"/>
        <v>0</v>
      </c>
      <c r="P1125" s="552">
        <f t="shared" si="3172"/>
        <v>0</v>
      </c>
      <c r="Q1125" s="552">
        <f t="shared" si="3172"/>
        <v>0</v>
      </c>
      <c r="R1125" s="552">
        <f t="shared" si="3172"/>
        <v>0</v>
      </c>
      <c r="S1125" s="552">
        <f t="shared" si="3172"/>
        <v>0</v>
      </c>
      <c r="T1125" s="552">
        <f t="shared" si="3172"/>
        <v>0</v>
      </c>
      <c r="U1125" s="552">
        <f t="shared" si="3172"/>
        <v>8</v>
      </c>
      <c r="V1125" s="552">
        <f t="shared" si="3172"/>
        <v>7.1</v>
      </c>
      <c r="W1125" s="552">
        <f t="shared" si="3172"/>
        <v>0</v>
      </c>
      <c r="X1125" s="552">
        <f t="shared" si="3172"/>
        <v>0</v>
      </c>
      <c r="Y1125" s="552">
        <f t="shared" si="3172"/>
        <v>0</v>
      </c>
      <c r="Z1125" s="552">
        <f t="shared" si="3172"/>
        <v>0</v>
      </c>
      <c r="AA1125" s="552">
        <f t="shared" si="3172"/>
        <v>0</v>
      </c>
      <c r="AB1125" s="552">
        <f t="shared" si="3172"/>
        <v>0</v>
      </c>
      <c r="AC1125" s="552">
        <f t="shared" si="3172"/>
        <v>0</v>
      </c>
      <c r="AD1125" s="552">
        <f t="shared" si="3172"/>
        <v>0</v>
      </c>
      <c r="AE1125" s="552">
        <f t="shared" si="3172"/>
        <v>0</v>
      </c>
      <c r="AF1125" s="552">
        <f t="shared" si="3172"/>
        <v>0</v>
      </c>
      <c r="AG1125" s="552">
        <f t="shared" si="3172"/>
        <v>0</v>
      </c>
      <c r="AH1125" s="552">
        <f t="shared" si="3172"/>
        <v>0</v>
      </c>
      <c r="AI1125" s="552">
        <f t="shared" si="3172"/>
        <v>0</v>
      </c>
      <c r="AJ1125" s="552">
        <f t="shared" si="3172"/>
        <v>0</v>
      </c>
      <c r="AK1125" s="552">
        <f t="shared" si="3172"/>
        <v>0</v>
      </c>
      <c r="AL1125" s="552">
        <f t="shared" si="3172"/>
        <v>0</v>
      </c>
      <c r="AM1125" s="552">
        <f t="shared" si="3172"/>
        <v>0</v>
      </c>
      <c r="AN1125" s="552">
        <f t="shared" si="3172"/>
        <v>0</v>
      </c>
      <c r="AO1125" s="552">
        <f t="shared" si="3172"/>
        <v>0</v>
      </c>
      <c r="AP1125" s="552">
        <f t="shared" ref="AP1125:BU1125" si="3173">AP167*AP$338</f>
        <v>0</v>
      </c>
      <c r="AQ1125" s="552">
        <f t="shared" si="3173"/>
        <v>0</v>
      </c>
      <c r="AR1125" s="552">
        <f t="shared" si="3173"/>
        <v>0</v>
      </c>
      <c r="AS1125" s="552">
        <f t="shared" si="3173"/>
        <v>0</v>
      </c>
      <c r="AT1125" s="552">
        <f t="shared" si="3173"/>
        <v>0</v>
      </c>
      <c r="AU1125" s="552">
        <f t="shared" si="3173"/>
        <v>0</v>
      </c>
      <c r="AV1125" s="552">
        <f t="shared" si="3173"/>
        <v>0</v>
      </c>
      <c r="AW1125" s="552">
        <f t="shared" si="3173"/>
        <v>0</v>
      </c>
      <c r="AX1125" s="552">
        <f t="shared" si="3173"/>
        <v>0</v>
      </c>
      <c r="AY1125" s="552">
        <f t="shared" si="3173"/>
        <v>0</v>
      </c>
      <c r="AZ1125" s="552">
        <f t="shared" si="3173"/>
        <v>0</v>
      </c>
      <c r="BA1125" s="552">
        <f t="shared" si="3173"/>
        <v>0</v>
      </c>
      <c r="BB1125" s="552">
        <f t="shared" si="3173"/>
        <v>0</v>
      </c>
      <c r="BC1125" s="552">
        <f t="shared" si="3173"/>
        <v>0</v>
      </c>
      <c r="BD1125" s="552">
        <f t="shared" si="3173"/>
        <v>0</v>
      </c>
      <c r="BE1125" s="552">
        <f t="shared" si="3173"/>
        <v>0</v>
      </c>
      <c r="BF1125" s="552">
        <f t="shared" si="3173"/>
        <v>0</v>
      </c>
      <c r="BG1125" s="552">
        <f t="shared" si="3173"/>
        <v>0</v>
      </c>
      <c r="BH1125" s="552">
        <f t="shared" si="3173"/>
        <v>0</v>
      </c>
      <c r="BI1125" s="552">
        <f t="shared" si="3173"/>
        <v>0</v>
      </c>
      <c r="BJ1125" s="552">
        <f t="shared" si="3173"/>
        <v>0</v>
      </c>
      <c r="BK1125" s="552">
        <f t="shared" si="3173"/>
        <v>0</v>
      </c>
      <c r="BL1125" s="552">
        <f t="shared" si="3173"/>
        <v>0</v>
      </c>
      <c r="BM1125" s="552">
        <f t="shared" si="3173"/>
        <v>0</v>
      </c>
      <c r="BN1125" s="552">
        <f t="shared" si="3173"/>
        <v>0</v>
      </c>
      <c r="BO1125" s="552">
        <f t="shared" si="3173"/>
        <v>0</v>
      </c>
      <c r="BP1125" s="552">
        <f t="shared" si="3173"/>
        <v>0</v>
      </c>
      <c r="BQ1125" s="552">
        <f t="shared" si="3173"/>
        <v>0</v>
      </c>
      <c r="BR1125" s="552">
        <f t="shared" si="3173"/>
        <v>0</v>
      </c>
      <c r="BS1125" s="552">
        <f t="shared" si="3173"/>
        <v>0</v>
      </c>
      <c r="BT1125" s="552">
        <f t="shared" si="3173"/>
        <v>0</v>
      </c>
      <c r="BU1125" s="552">
        <f t="shared" si="3173"/>
        <v>1.24</v>
      </c>
      <c r="BV1125" s="552">
        <f t="shared" ref="BV1125:DA1125" si="3174">BV167*BV$338</f>
        <v>0</v>
      </c>
      <c r="BW1125" s="552">
        <f t="shared" si="3174"/>
        <v>0</v>
      </c>
      <c r="BX1125" s="552">
        <f t="shared" si="3174"/>
        <v>0</v>
      </c>
      <c r="BY1125" s="552">
        <f t="shared" si="3174"/>
        <v>0</v>
      </c>
      <c r="BZ1125" s="552">
        <f t="shared" si="3174"/>
        <v>0</v>
      </c>
      <c r="CA1125" s="552">
        <f t="shared" si="3174"/>
        <v>0</v>
      </c>
      <c r="CB1125" s="552">
        <f t="shared" si="3174"/>
        <v>0</v>
      </c>
      <c r="CC1125" s="552">
        <f t="shared" si="3174"/>
        <v>0</v>
      </c>
      <c r="CD1125" s="552">
        <f t="shared" si="3174"/>
        <v>0</v>
      </c>
      <c r="CE1125" s="552">
        <f t="shared" si="3174"/>
        <v>0</v>
      </c>
      <c r="CF1125" s="552">
        <f t="shared" si="3174"/>
        <v>0</v>
      </c>
      <c r="CG1125" s="552">
        <f t="shared" si="3174"/>
        <v>0</v>
      </c>
      <c r="CH1125" s="552">
        <f t="shared" si="3174"/>
        <v>0</v>
      </c>
      <c r="CI1125" s="552">
        <f t="shared" si="3174"/>
        <v>0</v>
      </c>
      <c r="CJ1125" s="552">
        <f t="shared" si="3174"/>
        <v>0</v>
      </c>
      <c r="CK1125" s="552">
        <f t="shared" si="3174"/>
        <v>0</v>
      </c>
      <c r="CL1125" s="552">
        <f t="shared" si="3174"/>
        <v>0</v>
      </c>
      <c r="CM1125" s="552">
        <f t="shared" si="3174"/>
        <v>0</v>
      </c>
      <c r="CN1125" s="552">
        <f t="shared" si="3174"/>
        <v>0</v>
      </c>
      <c r="CO1125" s="552">
        <f t="shared" si="3174"/>
        <v>0</v>
      </c>
      <c r="CP1125" s="552">
        <f t="shared" si="3174"/>
        <v>0</v>
      </c>
      <c r="CQ1125" s="552">
        <f t="shared" si="3174"/>
        <v>0</v>
      </c>
      <c r="CR1125" s="552">
        <f t="shared" si="3174"/>
        <v>0</v>
      </c>
      <c r="CS1125" s="552">
        <f t="shared" si="3174"/>
        <v>0</v>
      </c>
      <c r="CT1125" s="552">
        <f t="shared" si="3174"/>
        <v>0</v>
      </c>
      <c r="CU1125" s="552">
        <f t="shared" si="3174"/>
        <v>0</v>
      </c>
      <c r="CV1125" s="552">
        <f t="shared" si="3174"/>
        <v>0</v>
      </c>
      <c r="CW1125" s="552">
        <f t="shared" si="3174"/>
        <v>0</v>
      </c>
      <c r="CX1125" s="552">
        <f t="shared" si="3174"/>
        <v>0</v>
      </c>
      <c r="CY1125" s="552">
        <f t="shared" si="3174"/>
        <v>0</v>
      </c>
      <c r="CZ1125" s="552">
        <f t="shared" si="3174"/>
        <v>1.22</v>
      </c>
      <c r="DA1125" s="552">
        <f t="shared" si="3174"/>
        <v>0</v>
      </c>
      <c r="DB1125" s="552">
        <f t="shared" ref="DB1125:EG1125" si="3175">DB167*DB$338</f>
        <v>0</v>
      </c>
      <c r="DC1125" s="552">
        <f t="shared" si="3175"/>
        <v>0</v>
      </c>
      <c r="DD1125" s="552">
        <f t="shared" si="3175"/>
        <v>0</v>
      </c>
      <c r="DE1125" s="552">
        <f t="shared" si="3175"/>
        <v>0</v>
      </c>
      <c r="DF1125" s="552">
        <f t="shared" si="3175"/>
        <v>0</v>
      </c>
      <c r="DG1125" s="552">
        <f t="shared" si="3175"/>
        <v>0</v>
      </c>
      <c r="DH1125" s="552">
        <f t="shared" si="3175"/>
        <v>0</v>
      </c>
      <c r="DI1125" s="552">
        <f t="shared" si="3175"/>
        <v>0</v>
      </c>
      <c r="DJ1125" s="552">
        <f t="shared" si="3175"/>
        <v>0</v>
      </c>
      <c r="DK1125" s="552">
        <f t="shared" si="3175"/>
        <v>0</v>
      </c>
      <c r="DL1125" s="552">
        <f t="shared" si="3175"/>
        <v>0</v>
      </c>
      <c r="DM1125" s="552">
        <f t="shared" si="3175"/>
        <v>0</v>
      </c>
      <c r="DN1125" s="552">
        <f t="shared" si="3175"/>
        <v>0</v>
      </c>
      <c r="DO1125" s="552">
        <f t="shared" si="3175"/>
        <v>0</v>
      </c>
      <c r="DP1125" s="552">
        <f t="shared" si="3175"/>
        <v>0</v>
      </c>
      <c r="DQ1125" s="552">
        <f t="shared" si="3175"/>
        <v>0</v>
      </c>
      <c r="DR1125" s="552">
        <f t="shared" si="3175"/>
        <v>0</v>
      </c>
      <c r="DS1125" s="552">
        <f t="shared" si="3175"/>
        <v>0</v>
      </c>
      <c r="DT1125" s="552">
        <f t="shared" si="3175"/>
        <v>0</v>
      </c>
      <c r="DU1125" s="552">
        <f t="shared" si="3175"/>
        <v>0</v>
      </c>
      <c r="DV1125" s="552">
        <f t="shared" si="3175"/>
        <v>0</v>
      </c>
      <c r="DW1125" s="552">
        <f t="shared" si="3175"/>
        <v>0</v>
      </c>
      <c r="DX1125" s="552">
        <f t="shared" si="3175"/>
        <v>0</v>
      </c>
      <c r="DY1125" s="552">
        <f t="shared" si="3175"/>
        <v>0</v>
      </c>
      <c r="DZ1125" s="552">
        <f t="shared" si="3175"/>
        <v>0</v>
      </c>
      <c r="EA1125" s="552">
        <f t="shared" si="3175"/>
        <v>0</v>
      </c>
      <c r="EB1125" s="552">
        <f t="shared" si="3175"/>
        <v>0</v>
      </c>
      <c r="EC1125" s="552">
        <f t="shared" si="3175"/>
        <v>0</v>
      </c>
      <c r="ED1125" s="552">
        <f t="shared" si="3175"/>
        <v>0</v>
      </c>
      <c r="EE1125" s="552">
        <f t="shared" si="3175"/>
        <v>0</v>
      </c>
      <c r="EF1125" s="552">
        <f t="shared" si="3175"/>
        <v>0</v>
      </c>
      <c r="EG1125" s="552">
        <f t="shared" si="3175"/>
        <v>0</v>
      </c>
      <c r="EH1125" s="552">
        <f t="shared" ref="EH1125:EX1125" si="3176">EH167*EH$338</f>
        <v>0</v>
      </c>
      <c r="EI1125" s="552">
        <f t="shared" si="3176"/>
        <v>0</v>
      </c>
      <c r="EJ1125" s="552">
        <f t="shared" si="3176"/>
        <v>0</v>
      </c>
      <c r="EK1125" s="552">
        <f t="shared" si="3176"/>
        <v>0</v>
      </c>
      <c r="EL1125" s="552">
        <f t="shared" si="3176"/>
        <v>0</v>
      </c>
      <c r="EM1125" s="552">
        <f t="shared" si="3176"/>
        <v>0</v>
      </c>
      <c r="EN1125" s="552">
        <f t="shared" si="3176"/>
        <v>0</v>
      </c>
      <c r="EO1125" s="552">
        <f t="shared" si="3176"/>
        <v>0</v>
      </c>
      <c r="EP1125" s="552">
        <f t="shared" si="3176"/>
        <v>0</v>
      </c>
      <c r="EQ1125" s="552">
        <f t="shared" si="3176"/>
        <v>0</v>
      </c>
      <c r="ER1125" s="552">
        <f t="shared" si="3176"/>
        <v>0</v>
      </c>
      <c r="ES1125" s="552">
        <f t="shared" si="3176"/>
        <v>0</v>
      </c>
      <c r="ET1125" s="552">
        <f t="shared" si="3176"/>
        <v>0</v>
      </c>
      <c r="EU1125" s="552">
        <f t="shared" si="3176"/>
        <v>0</v>
      </c>
      <c r="EV1125" s="552">
        <f t="shared" si="3176"/>
        <v>0</v>
      </c>
      <c r="EW1125" s="552">
        <f t="shared" si="3176"/>
        <v>0</v>
      </c>
      <c r="EX1125" s="552">
        <f t="shared" si="3176"/>
        <v>0</v>
      </c>
      <c r="EY1125" s="799">
        <f t="shared" ref="EY1125:EY1149" si="3177">SUM(J1125:EX1125)</f>
        <v>17.559999999999999</v>
      </c>
      <c r="EZ1125" s="640"/>
      <c r="FA1125" s="640"/>
      <c r="FB1125" s="640"/>
      <c r="FC1125" s="640"/>
      <c r="FD1125" s="640"/>
      <c r="FE1125" s="640"/>
      <c r="FF1125" s="640"/>
      <c r="FG1125" s="640"/>
      <c r="FH1125" s="640"/>
      <c r="FI1125" s="640"/>
      <c r="FJ1125" s="640"/>
      <c r="FK1125" s="640"/>
      <c r="FL1125" s="640"/>
    </row>
    <row r="1126" spans="1:168" x14ac:dyDescent="0.25">
      <c r="A1126" s="1492"/>
      <c r="B1126" s="624" t="str">
        <f t="shared" si="3170"/>
        <v>Масло сливочное (порциями)</v>
      </c>
      <c r="C1126" s="624">
        <f t="shared" si="3170"/>
        <v>10</v>
      </c>
      <c r="D1126" s="624">
        <f t="shared" si="3170"/>
        <v>0.08</v>
      </c>
      <c r="E1126" s="1158">
        <f t="shared" ref="E1126:E1149" si="3178">EY1126</f>
        <v>7.1</v>
      </c>
      <c r="F1126" s="1158"/>
      <c r="G1126" s="1140"/>
      <c r="H1126" s="1140"/>
      <c r="I1126" s="552"/>
      <c r="J1126" s="552">
        <f t="shared" ref="J1126:AO1126" si="3179">J168*J$338</f>
        <v>0</v>
      </c>
      <c r="K1126" s="552">
        <f t="shared" si="3179"/>
        <v>0</v>
      </c>
      <c r="L1126" s="552">
        <f t="shared" si="3179"/>
        <v>0</v>
      </c>
      <c r="M1126" s="552">
        <f t="shared" si="3179"/>
        <v>0</v>
      </c>
      <c r="N1126" s="552">
        <f t="shared" si="3179"/>
        <v>0</v>
      </c>
      <c r="O1126" s="552">
        <f t="shared" si="3179"/>
        <v>0</v>
      </c>
      <c r="P1126" s="552">
        <f t="shared" si="3179"/>
        <v>0</v>
      </c>
      <c r="Q1126" s="552">
        <f t="shared" si="3179"/>
        <v>0</v>
      </c>
      <c r="R1126" s="552">
        <f t="shared" si="3179"/>
        <v>0</v>
      </c>
      <c r="S1126" s="552">
        <f t="shared" si="3179"/>
        <v>0</v>
      </c>
      <c r="T1126" s="552">
        <f t="shared" si="3179"/>
        <v>0</v>
      </c>
      <c r="U1126" s="552">
        <f t="shared" si="3179"/>
        <v>0</v>
      </c>
      <c r="V1126" s="552">
        <f t="shared" si="3179"/>
        <v>7.1</v>
      </c>
      <c r="W1126" s="552">
        <f t="shared" si="3179"/>
        <v>0</v>
      </c>
      <c r="X1126" s="552">
        <f t="shared" si="3179"/>
        <v>0</v>
      </c>
      <c r="Y1126" s="552">
        <f t="shared" si="3179"/>
        <v>0</v>
      </c>
      <c r="Z1126" s="552">
        <f t="shared" si="3179"/>
        <v>0</v>
      </c>
      <c r="AA1126" s="552">
        <f t="shared" si="3179"/>
        <v>0</v>
      </c>
      <c r="AB1126" s="552">
        <f t="shared" si="3179"/>
        <v>0</v>
      </c>
      <c r="AC1126" s="552">
        <f t="shared" si="3179"/>
        <v>0</v>
      </c>
      <c r="AD1126" s="552">
        <f t="shared" si="3179"/>
        <v>0</v>
      </c>
      <c r="AE1126" s="552">
        <f t="shared" si="3179"/>
        <v>0</v>
      </c>
      <c r="AF1126" s="552">
        <f t="shared" si="3179"/>
        <v>0</v>
      </c>
      <c r="AG1126" s="552">
        <f t="shared" si="3179"/>
        <v>0</v>
      </c>
      <c r="AH1126" s="552">
        <f t="shared" si="3179"/>
        <v>0</v>
      </c>
      <c r="AI1126" s="552">
        <f t="shared" si="3179"/>
        <v>0</v>
      </c>
      <c r="AJ1126" s="552">
        <f t="shared" si="3179"/>
        <v>0</v>
      </c>
      <c r="AK1126" s="552">
        <f t="shared" si="3179"/>
        <v>0</v>
      </c>
      <c r="AL1126" s="552">
        <f t="shared" si="3179"/>
        <v>0</v>
      </c>
      <c r="AM1126" s="552">
        <f t="shared" si="3179"/>
        <v>0</v>
      </c>
      <c r="AN1126" s="552">
        <f t="shared" si="3179"/>
        <v>0</v>
      </c>
      <c r="AO1126" s="552">
        <f t="shared" si="3179"/>
        <v>0</v>
      </c>
      <c r="AP1126" s="552">
        <f t="shared" ref="AP1126:BU1126" si="3180">AP168*AP$338</f>
        <v>0</v>
      </c>
      <c r="AQ1126" s="552">
        <f t="shared" si="3180"/>
        <v>0</v>
      </c>
      <c r="AR1126" s="552">
        <f t="shared" si="3180"/>
        <v>0</v>
      </c>
      <c r="AS1126" s="552">
        <f t="shared" si="3180"/>
        <v>0</v>
      </c>
      <c r="AT1126" s="552">
        <f t="shared" si="3180"/>
        <v>0</v>
      </c>
      <c r="AU1126" s="552">
        <f t="shared" si="3180"/>
        <v>0</v>
      </c>
      <c r="AV1126" s="552">
        <f t="shared" si="3180"/>
        <v>0</v>
      </c>
      <c r="AW1126" s="552">
        <f t="shared" si="3180"/>
        <v>0</v>
      </c>
      <c r="AX1126" s="552">
        <f t="shared" si="3180"/>
        <v>0</v>
      </c>
      <c r="AY1126" s="552">
        <f t="shared" si="3180"/>
        <v>0</v>
      </c>
      <c r="AZ1126" s="552">
        <f t="shared" si="3180"/>
        <v>0</v>
      </c>
      <c r="BA1126" s="552">
        <f t="shared" si="3180"/>
        <v>0</v>
      </c>
      <c r="BB1126" s="552">
        <f t="shared" si="3180"/>
        <v>0</v>
      </c>
      <c r="BC1126" s="552">
        <f t="shared" si="3180"/>
        <v>0</v>
      </c>
      <c r="BD1126" s="552">
        <f t="shared" si="3180"/>
        <v>0</v>
      </c>
      <c r="BE1126" s="552">
        <f t="shared" si="3180"/>
        <v>0</v>
      </c>
      <c r="BF1126" s="552">
        <f t="shared" si="3180"/>
        <v>0</v>
      </c>
      <c r="BG1126" s="552">
        <f t="shared" si="3180"/>
        <v>0</v>
      </c>
      <c r="BH1126" s="552">
        <f t="shared" si="3180"/>
        <v>0</v>
      </c>
      <c r="BI1126" s="552">
        <f t="shared" si="3180"/>
        <v>0</v>
      </c>
      <c r="BJ1126" s="552">
        <f t="shared" si="3180"/>
        <v>0</v>
      </c>
      <c r="BK1126" s="552">
        <f t="shared" si="3180"/>
        <v>0</v>
      </c>
      <c r="BL1126" s="552">
        <f t="shared" si="3180"/>
        <v>0</v>
      </c>
      <c r="BM1126" s="552">
        <f t="shared" si="3180"/>
        <v>0</v>
      </c>
      <c r="BN1126" s="552">
        <f t="shared" si="3180"/>
        <v>0</v>
      </c>
      <c r="BO1126" s="552">
        <f t="shared" si="3180"/>
        <v>0</v>
      </c>
      <c r="BP1126" s="552">
        <f t="shared" si="3180"/>
        <v>0</v>
      </c>
      <c r="BQ1126" s="552">
        <f t="shared" si="3180"/>
        <v>0</v>
      </c>
      <c r="BR1126" s="552">
        <f t="shared" si="3180"/>
        <v>0</v>
      </c>
      <c r="BS1126" s="552">
        <f t="shared" si="3180"/>
        <v>0</v>
      </c>
      <c r="BT1126" s="552">
        <f t="shared" si="3180"/>
        <v>0</v>
      </c>
      <c r="BU1126" s="552">
        <f t="shared" si="3180"/>
        <v>0</v>
      </c>
      <c r="BV1126" s="552">
        <f t="shared" ref="BV1126:DA1126" si="3181">BV168*BV$338</f>
        <v>0</v>
      </c>
      <c r="BW1126" s="552">
        <f t="shared" si="3181"/>
        <v>0</v>
      </c>
      <c r="BX1126" s="552">
        <f t="shared" si="3181"/>
        <v>0</v>
      </c>
      <c r="BY1126" s="552">
        <f t="shared" si="3181"/>
        <v>0</v>
      </c>
      <c r="BZ1126" s="552">
        <f t="shared" si="3181"/>
        <v>0</v>
      </c>
      <c r="CA1126" s="552">
        <f t="shared" si="3181"/>
        <v>0</v>
      </c>
      <c r="CB1126" s="552">
        <f t="shared" si="3181"/>
        <v>0</v>
      </c>
      <c r="CC1126" s="552">
        <f t="shared" si="3181"/>
        <v>0</v>
      </c>
      <c r="CD1126" s="552">
        <f t="shared" si="3181"/>
        <v>0</v>
      </c>
      <c r="CE1126" s="552">
        <f t="shared" si="3181"/>
        <v>0</v>
      </c>
      <c r="CF1126" s="552">
        <f t="shared" si="3181"/>
        <v>0</v>
      </c>
      <c r="CG1126" s="552">
        <f t="shared" si="3181"/>
        <v>0</v>
      </c>
      <c r="CH1126" s="552">
        <f t="shared" si="3181"/>
        <v>0</v>
      </c>
      <c r="CI1126" s="552">
        <f t="shared" si="3181"/>
        <v>0</v>
      </c>
      <c r="CJ1126" s="552">
        <f t="shared" si="3181"/>
        <v>0</v>
      </c>
      <c r="CK1126" s="552">
        <f t="shared" si="3181"/>
        <v>0</v>
      </c>
      <c r="CL1126" s="552">
        <f t="shared" si="3181"/>
        <v>0</v>
      </c>
      <c r="CM1126" s="552">
        <f t="shared" si="3181"/>
        <v>0</v>
      </c>
      <c r="CN1126" s="552">
        <f t="shared" si="3181"/>
        <v>0</v>
      </c>
      <c r="CO1126" s="552">
        <f t="shared" si="3181"/>
        <v>0</v>
      </c>
      <c r="CP1126" s="552">
        <f t="shared" si="3181"/>
        <v>0</v>
      </c>
      <c r="CQ1126" s="552">
        <f t="shared" si="3181"/>
        <v>0</v>
      </c>
      <c r="CR1126" s="552">
        <f t="shared" si="3181"/>
        <v>0</v>
      </c>
      <c r="CS1126" s="552">
        <f t="shared" si="3181"/>
        <v>0</v>
      </c>
      <c r="CT1126" s="552">
        <f t="shared" si="3181"/>
        <v>0</v>
      </c>
      <c r="CU1126" s="552">
        <f t="shared" si="3181"/>
        <v>0</v>
      </c>
      <c r="CV1126" s="552">
        <f t="shared" si="3181"/>
        <v>0</v>
      </c>
      <c r="CW1126" s="552">
        <f t="shared" si="3181"/>
        <v>0</v>
      </c>
      <c r="CX1126" s="552">
        <f t="shared" si="3181"/>
        <v>0</v>
      </c>
      <c r="CY1126" s="552">
        <f t="shared" si="3181"/>
        <v>0</v>
      </c>
      <c r="CZ1126" s="552">
        <f t="shared" si="3181"/>
        <v>0</v>
      </c>
      <c r="DA1126" s="552">
        <f t="shared" si="3181"/>
        <v>0</v>
      </c>
      <c r="DB1126" s="552">
        <f t="shared" ref="DB1126:EG1126" si="3182">DB168*DB$338</f>
        <v>0</v>
      </c>
      <c r="DC1126" s="552">
        <f t="shared" si="3182"/>
        <v>0</v>
      </c>
      <c r="DD1126" s="552">
        <f t="shared" si="3182"/>
        <v>0</v>
      </c>
      <c r="DE1126" s="552">
        <f t="shared" si="3182"/>
        <v>0</v>
      </c>
      <c r="DF1126" s="552">
        <f t="shared" si="3182"/>
        <v>0</v>
      </c>
      <c r="DG1126" s="552">
        <f t="shared" si="3182"/>
        <v>0</v>
      </c>
      <c r="DH1126" s="552">
        <f t="shared" si="3182"/>
        <v>0</v>
      </c>
      <c r="DI1126" s="552">
        <f t="shared" si="3182"/>
        <v>0</v>
      </c>
      <c r="DJ1126" s="552">
        <f t="shared" si="3182"/>
        <v>0</v>
      </c>
      <c r="DK1126" s="552">
        <f t="shared" si="3182"/>
        <v>0</v>
      </c>
      <c r="DL1126" s="552">
        <f t="shared" si="3182"/>
        <v>0</v>
      </c>
      <c r="DM1126" s="552">
        <f t="shared" si="3182"/>
        <v>0</v>
      </c>
      <c r="DN1126" s="552">
        <f t="shared" si="3182"/>
        <v>0</v>
      </c>
      <c r="DO1126" s="552">
        <f t="shared" si="3182"/>
        <v>0</v>
      </c>
      <c r="DP1126" s="552">
        <f t="shared" si="3182"/>
        <v>0</v>
      </c>
      <c r="DQ1126" s="552">
        <f t="shared" si="3182"/>
        <v>0</v>
      </c>
      <c r="DR1126" s="552">
        <f t="shared" si="3182"/>
        <v>0</v>
      </c>
      <c r="DS1126" s="552">
        <f t="shared" si="3182"/>
        <v>0</v>
      </c>
      <c r="DT1126" s="552">
        <f t="shared" si="3182"/>
        <v>0</v>
      </c>
      <c r="DU1126" s="552">
        <f t="shared" si="3182"/>
        <v>0</v>
      </c>
      <c r="DV1126" s="552">
        <f t="shared" si="3182"/>
        <v>0</v>
      </c>
      <c r="DW1126" s="552">
        <f t="shared" si="3182"/>
        <v>0</v>
      </c>
      <c r="DX1126" s="552">
        <f t="shared" si="3182"/>
        <v>0</v>
      </c>
      <c r="DY1126" s="552">
        <f t="shared" si="3182"/>
        <v>0</v>
      </c>
      <c r="DZ1126" s="552">
        <f t="shared" si="3182"/>
        <v>0</v>
      </c>
      <c r="EA1126" s="552">
        <f t="shared" si="3182"/>
        <v>0</v>
      </c>
      <c r="EB1126" s="552">
        <f t="shared" si="3182"/>
        <v>0</v>
      </c>
      <c r="EC1126" s="552">
        <f t="shared" si="3182"/>
        <v>0</v>
      </c>
      <c r="ED1126" s="552">
        <f t="shared" si="3182"/>
        <v>0</v>
      </c>
      <c r="EE1126" s="552">
        <f t="shared" si="3182"/>
        <v>0</v>
      </c>
      <c r="EF1126" s="552">
        <f t="shared" si="3182"/>
        <v>0</v>
      </c>
      <c r="EG1126" s="552">
        <f t="shared" si="3182"/>
        <v>0</v>
      </c>
      <c r="EH1126" s="552">
        <f t="shared" ref="EH1126:EX1126" si="3183">EH168*EH$338</f>
        <v>0</v>
      </c>
      <c r="EI1126" s="552">
        <f t="shared" si="3183"/>
        <v>0</v>
      </c>
      <c r="EJ1126" s="552">
        <f t="shared" si="3183"/>
        <v>0</v>
      </c>
      <c r="EK1126" s="552">
        <f t="shared" si="3183"/>
        <v>0</v>
      </c>
      <c r="EL1126" s="552">
        <f t="shared" si="3183"/>
        <v>0</v>
      </c>
      <c r="EM1126" s="552">
        <f t="shared" si="3183"/>
        <v>0</v>
      </c>
      <c r="EN1126" s="552">
        <f t="shared" si="3183"/>
        <v>0</v>
      </c>
      <c r="EO1126" s="552">
        <f t="shared" si="3183"/>
        <v>0</v>
      </c>
      <c r="EP1126" s="552">
        <f t="shared" si="3183"/>
        <v>0</v>
      </c>
      <c r="EQ1126" s="552">
        <f t="shared" si="3183"/>
        <v>0</v>
      </c>
      <c r="ER1126" s="552">
        <f t="shared" si="3183"/>
        <v>0</v>
      </c>
      <c r="ES1126" s="552">
        <f t="shared" si="3183"/>
        <v>0</v>
      </c>
      <c r="ET1126" s="552">
        <f t="shared" si="3183"/>
        <v>0</v>
      </c>
      <c r="EU1126" s="552">
        <f t="shared" si="3183"/>
        <v>0</v>
      </c>
      <c r="EV1126" s="552">
        <f t="shared" si="3183"/>
        <v>0</v>
      </c>
      <c r="EW1126" s="552">
        <f t="shared" si="3183"/>
        <v>0</v>
      </c>
      <c r="EX1126" s="552">
        <f t="shared" si="3183"/>
        <v>0</v>
      </c>
      <c r="EY1126" s="799">
        <f t="shared" si="3177"/>
        <v>7.1</v>
      </c>
      <c r="EZ1126" s="640"/>
      <c r="FA1126" s="640"/>
      <c r="FB1126" s="640"/>
      <c r="FC1126" s="640"/>
      <c r="FD1126" s="640"/>
      <c r="FE1126" s="640"/>
      <c r="FF1126" s="640"/>
      <c r="FG1126" s="640"/>
      <c r="FH1126" s="640"/>
      <c r="FI1126" s="640"/>
      <c r="FJ1126" s="640"/>
      <c r="FK1126" s="640"/>
      <c r="FL1126" s="640"/>
    </row>
    <row r="1127" spans="1:168" x14ac:dyDescent="0.25">
      <c r="A1127" s="1492"/>
      <c r="B1127" s="624" t="str">
        <f t="shared" si="3170"/>
        <v xml:space="preserve">Сыр российский (порциями) </v>
      </c>
      <c r="C1127" s="624">
        <f t="shared" si="3170"/>
        <v>15</v>
      </c>
      <c r="D1127" s="624">
        <f t="shared" si="3170"/>
        <v>3.48</v>
      </c>
      <c r="E1127" s="1158">
        <f t="shared" si="3178"/>
        <v>11.5</v>
      </c>
      <c r="F1127" s="1158"/>
      <c r="G1127" s="1140"/>
      <c r="H1127" s="1140"/>
      <c r="I1127" s="552"/>
      <c r="J1127" s="552">
        <f t="shared" ref="J1127:AO1127" si="3184">J169*J$338</f>
        <v>0</v>
      </c>
      <c r="K1127" s="552">
        <f t="shared" si="3184"/>
        <v>0</v>
      </c>
      <c r="L1127" s="552">
        <f t="shared" si="3184"/>
        <v>0</v>
      </c>
      <c r="M1127" s="552">
        <f t="shared" si="3184"/>
        <v>0</v>
      </c>
      <c r="N1127" s="552">
        <f t="shared" si="3184"/>
        <v>0</v>
      </c>
      <c r="O1127" s="552">
        <f t="shared" si="3184"/>
        <v>0</v>
      </c>
      <c r="P1127" s="552">
        <f t="shared" si="3184"/>
        <v>0</v>
      </c>
      <c r="Q1127" s="552">
        <f t="shared" si="3184"/>
        <v>0</v>
      </c>
      <c r="R1127" s="552">
        <f t="shared" si="3184"/>
        <v>0</v>
      </c>
      <c r="S1127" s="552">
        <f t="shared" si="3184"/>
        <v>0</v>
      </c>
      <c r="T1127" s="552">
        <f t="shared" si="3184"/>
        <v>0</v>
      </c>
      <c r="U1127" s="552">
        <f t="shared" si="3184"/>
        <v>0</v>
      </c>
      <c r="V1127" s="552">
        <f t="shared" si="3184"/>
        <v>0</v>
      </c>
      <c r="W1127" s="552">
        <f t="shared" si="3184"/>
        <v>11.5</v>
      </c>
      <c r="X1127" s="552">
        <f t="shared" si="3184"/>
        <v>0</v>
      </c>
      <c r="Y1127" s="552">
        <f t="shared" si="3184"/>
        <v>0</v>
      </c>
      <c r="Z1127" s="552">
        <f t="shared" si="3184"/>
        <v>0</v>
      </c>
      <c r="AA1127" s="552">
        <f t="shared" si="3184"/>
        <v>0</v>
      </c>
      <c r="AB1127" s="552">
        <f t="shared" si="3184"/>
        <v>0</v>
      </c>
      <c r="AC1127" s="552">
        <f t="shared" si="3184"/>
        <v>0</v>
      </c>
      <c r="AD1127" s="552">
        <f t="shared" si="3184"/>
        <v>0</v>
      </c>
      <c r="AE1127" s="552">
        <f t="shared" si="3184"/>
        <v>0</v>
      </c>
      <c r="AF1127" s="552">
        <f t="shared" si="3184"/>
        <v>0</v>
      </c>
      <c r="AG1127" s="552">
        <f t="shared" si="3184"/>
        <v>0</v>
      </c>
      <c r="AH1127" s="552">
        <f t="shared" si="3184"/>
        <v>0</v>
      </c>
      <c r="AI1127" s="552">
        <f t="shared" si="3184"/>
        <v>0</v>
      </c>
      <c r="AJ1127" s="552">
        <f t="shared" si="3184"/>
        <v>0</v>
      </c>
      <c r="AK1127" s="552">
        <f t="shared" si="3184"/>
        <v>0</v>
      </c>
      <c r="AL1127" s="552">
        <f t="shared" si="3184"/>
        <v>0</v>
      </c>
      <c r="AM1127" s="552">
        <f t="shared" si="3184"/>
        <v>0</v>
      </c>
      <c r="AN1127" s="552">
        <f t="shared" si="3184"/>
        <v>0</v>
      </c>
      <c r="AO1127" s="552">
        <f t="shared" si="3184"/>
        <v>0</v>
      </c>
      <c r="AP1127" s="552">
        <f t="shared" ref="AP1127:BU1127" si="3185">AP169*AP$338</f>
        <v>0</v>
      </c>
      <c r="AQ1127" s="552">
        <f t="shared" si="3185"/>
        <v>0</v>
      </c>
      <c r="AR1127" s="552">
        <f t="shared" si="3185"/>
        <v>0</v>
      </c>
      <c r="AS1127" s="552">
        <f t="shared" si="3185"/>
        <v>0</v>
      </c>
      <c r="AT1127" s="552">
        <f t="shared" si="3185"/>
        <v>0</v>
      </c>
      <c r="AU1127" s="552">
        <f t="shared" si="3185"/>
        <v>0</v>
      </c>
      <c r="AV1127" s="552">
        <f t="shared" si="3185"/>
        <v>0</v>
      </c>
      <c r="AW1127" s="552">
        <f t="shared" si="3185"/>
        <v>0</v>
      </c>
      <c r="AX1127" s="552">
        <f t="shared" si="3185"/>
        <v>0</v>
      </c>
      <c r="AY1127" s="552">
        <f t="shared" si="3185"/>
        <v>0</v>
      </c>
      <c r="AZ1127" s="552">
        <f t="shared" si="3185"/>
        <v>0</v>
      </c>
      <c r="BA1127" s="552">
        <f t="shared" si="3185"/>
        <v>0</v>
      </c>
      <c r="BB1127" s="552">
        <f t="shared" si="3185"/>
        <v>0</v>
      </c>
      <c r="BC1127" s="552">
        <f t="shared" si="3185"/>
        <v>0</v>
      </c>
      <c r="BD1127" s="552">
        <f t="shared" si="3185"/>
        <v>0</v>
      </c>
      <c r="BE1127" s="552">
        <f t="shared" si="3185"/>
        <v>0</v>
      </c>
      <c r="BF1127" s="552">
        <f t="shared" si="3185"/>
        <v>0</v>
      </c>
      <c r="BG1127" s="552">
        <f t="shared" si="3185"/>
        <v>0</v>
      </c>
      <c r="BH1127" s="552">
        <f t="shared" si="3185"/>
        <v>0</v>
      </c>
      <c r="BI1127" s="552">
        <f t="shared" si="3185"/>
        <v>0</v>
      </c>
      <c r="BJ1127" s="552">
        <f t="shared" si="3185"/>
        <v>0</v>
      </c>
      <c r="BK1127" s="552">
        <f t="shared" si="3185"/>
        <v>0</v>
      </c>
      <c r="BL1127" s="552">
        <f t="shared" si="3185"/>
        <v>0</v>
      </c>
      <c r="BM1127" s="552">
        <f t="shared" si="3185"/>
        <v>0</v>
      </c>
      <c r="BN1127" s="552">
        <f t="shared" si="3185"/>
        <v>0</v>
      </c>
      <c r="BO1127" s="552">
        <f t="shared" si="3185"/>
        <v>0</v>
      </c>
      <c r="BP1127" s="552">
        <f t="shared" si="3185"/>
        <v>0</v>
      </c>
      <c r="BQ1127" s="552">
        <f t="shared" si="3185"/>
        <v>0</v>
      </c>
      <c r="BR1127" s="552">
        <f t="shared" si="3185"/>
        <v>0</v>
      </c>
      <c r="BS1127" s="552">
        <f t="shared" si="3185"/>
        <v>0</v>
      </c>
      <c r="BT1127" s="552">
        <f t="shared" si="3185"/>
        <v>0</v>
      </c>
      <c r="BU1127" s="552">
        <f t="shared" si="3185"/>
        <v>0</v>
      </c>
      <c r="BV1127" s="552">
        <f t="shared" ref="BV1127:DA1127" si="3186">BV169*BV$338</f>
        <v>0</v>
      </c>
      <c r="BW1127" s="552">
        <f t="shared" si="3186"/>
        <v>0</v>
      </c>
      <c r="BX1127" s="552">
        <f t="shared" si="3186"/>
        <v>0</v>
      </c>
      <c r="BY1127" s="552">
        <f t="shared" si="3186"/>
        <v>0</v>
      </c>
      <c r="BZ1127" s="552">
        <f t="shared" si="3186"/>
        <v>0</v>
      </c>
      <c r="CA1127" s="552">
        <f t="shared" si="3186"/>
        <v>0</v>
      </c>
      <c r="CB1127" s="552">
        <f t="shared" si="3186"/>
        <v>0</v>
      </c>
      <c r="CC1127" s="552">
        <f t="shared" si="3186"/>
        <v>0</v>
      </c>
      <c r="CD1127" s="552">
        <f t="shared" si="3186"/>
        <v>0</v>
      </c>
      <c r="CE1127" s="552">
        <f t="shared" si="3186"/>
        <v>0</v>
      </c>
      <c r="CF1127" s="552">
        <f t="shared" si="3186"/>
        <v>0</v>
      </c>
      <c r="CG1127" s="552">
        <f t="shared" si="3186"/>
        <v>0</v>
      </c>
      <c r="CH1127" s="552">
        <f t="shared" si="3186"/>
        <v>0</v>
      </c>
      <c r="CI1127" s="552">
        <f t="shared" si="3186"/>
        <v>0</v>
      </c>
      <c r="CJ1127" s="552">
        <f t="shared" si="3186"/>
        <v>0</v>
      </c>
      <c r="CK1127" s="552">
        <f t="shared" si="3186"/>
        <v>0</v>
      </c>
      <c r="CL1127" s="552">
        <f t="shared" si="3186"/>
        <v>0</v>
      </c>
      <c r="CM1127" s="552">
        <f t="shared" si="3186"/>
        <v>0</v>
      </c>
      <c r="CN1127" s="552">
        <f t="shared" si="3186"/>
        <v>0</v>
      </c>
      <c r="CO1127" s="552">
        <f t="shared" si="3186"/>
        <v>0</v>
      </c>
      <c r="CP1127" s="552">
        <f t="shared" si="3186"/>
        <v>0</v>
      </c>
      <c r="CQ1127" s="552">
        <f t="shared" si="3186"/>
        <v>0</v>
      </c>
      <c r="CR1127" s="552">
        <f t="shared" si="3186"/>
        <v>0</v>
      </c>
      <c r="CS1127" s="552">
        <f t="shared" si="3186"/>
        <v>0</v>
      </c>
      <c r="CT1127" s="552">
        <f t="shared" si="3186"/>
        <v>0</v>
      </c>
      <c r="CU1127" s="552">
        <f t="shared" si="3186"/>
        <v>0</v>
      </c>
      <c r="CV1127" s="552">
        <f t="shared" si="3186"/>
        <v>0</v>
      </c>
      <c r="CW1127" s="552">
        <f t="shared" si="3186"/>
        <v>0</v>
      </c>
      <c r="CX1127" s="552">
        <f t="shared" si="3186"/>
        <v>0</v>
      </c>
      <c r="CY1127" s="552">
        <f t="shared" si="3186"/>
        <v>0</v>
      </c>
      <c r="CZ1127" s="552">
        <f t="shared" si="3186"/>
        <v>0</v>
      </c>
      <c r="DA1127" s="552">
        <f t="shared" si="3186"/>
        <v>0</v>
      </c>
      <c r="DB1127" s="552">
        <f t="shared" ref="DB1127:EG1127" si="3187">DB169*DB$338</f>
        <v>0</v>
      </c>
      <c r="DC1127" s="552">
        <f t="shared" si="3187"/>
        <v>0</v>
      </c>
      <c r="DD1127" s="552">
        <f t="shared" si="3187"/>
        <v>0</v>
      </c>
      <c r="DE1127" s="552">
        <f t="shared" si="3187"/>
        <v>0</v>
      </c>
      <c r="DF1127" s="552">
        <f t="shared" si="3187"/>
        <v>0</v>
      </c>
      <c r="DG1127" s="552">
        <f t="shared" si="3187"/>
        <v>0</v>
      </c>
      <c r="DH1127" s="552">
        <f t="shared" si="3187"/>
        <v>0</v>
      </c>
      <c r="DI1127" s="552">
        <f t="shared" si="3187"/>
        <v>0</v>
      </c>
      <c r="DJ1127" s="552">
        <f t="shared" si="3187"/>
        <v>0</v>
      </c>
      <c r="DK1127" s="552">
        <f t="shared" si="3187"/>
        <v>0</v>
      </c>
      <c r="DL1127" s="552">
        <f t="shared" si="3187"/>
        <v>0</v>
      </c>
      <c r="DM1127" s="552">
        <f t="shared" si="3187"/>
        <v>0</v>
      </c>
      <c r="DN1127" s="552">
        <f t="shared" si="3187"/>
        <v>0</v>
      </c>
      <c r="DO1127" s="552">
        <f t="shared" si="3187"/>
        <v>0</v>
      </c>
      <c r="DP1127" s="552">
        <f t="shared" si="3187"/>
        <v>0</v>
      </c>
      <c r="DQ1127" s="552">
        <f t="shared" si="3187"/>
        <v>0</v>
      </c>
      <c r="DR1127" s="552">
        <f t="shared" si="3187"/>
        <v>0</v>
      </c>
      <c r="DS1127" s="552">
        <f t="shared" si="3187"/>
        <v>0</v>
      </c>
      <c r="DT1127" s="552">
        <f t="shared" si="3187"/>
        <v>0</v>
      </c>
      <c r="DU1127" s="552">
        <f t="shared" si="3187"/>
        <v>0</v>
      </c>
      <c r="DV1127" s="552">
        <f t="shared" si="3187"/>
        <v>0</v>
      </c>
      <c r="DW1127" s="552">
        <f t="shared" si="3187"/>
        <v>0</v>
      </c>
      <c r="DX1127" s="552">
        <f t="shared" si="3187"/>
        <v>0</v>
      </c>
      <c r="DY1127" s="552">
        <f t="shared" si="3187"/>
        <v>0</v>
      </c>
      <c r="DZ1127" s="552">
        <f t="shared" si="3187"/>
        <v>0</v>
      </c>
      <c r="EA1127" s="552">
        <f t="shared" si="3187"/>
        <v>0</v>
      </c>
      <c r="EB1127" s="552">
        <f t="shared" si="3187"/>
        <v>0</v>
      </c>
      <c r="EC1127" s="552">
        <f t="shared" si="3187"/>
        <v>0</v>
      </c>
      <c r="ED1127" s="552">
        <f t="shared" si="3187"/>
        <v>0</v>
      </c>
      <c r="EE1127" s="552">
        <f t="shared" si="3187"/>
        <v>0</v>
      </c>
      <c r="EF1127" s="552">
        <f t="shared" si="3187"/>
        <v>0</v>
      </c>
      <c r="EG1127" s="552">
        <f t="shared" si="3187"/>
        <v>0</v>
      </c>
      <c r="EH1127" s="552">
        <f t="shared" ref="EH1127:EX1127" si="3188">EH169*EH$338</f>
        <v>0</v>
      </c>
      <c r="EI1127" s="552">
        <f t="shared" si="3188"/>
        <v>0</v>
      </c>
      <c r="EJ1127" s="552">
        <f t="shared" si="3188"/>
        <v>0</v>
      </c>
      <c r="EK1127" s="552">
        <f t="shared" si="3188"/>
        <v>0</v>
      </c>
      <c r="EL1127" s="552">
        <f t="shared" si="3188"/>
        <v>0</v>
      </c>
      <c r="EM1127" s="552">
        <f t="shared" si="3188"/>
        <v>0</v>
      </c>
      <c r="EN1127" s="552">
        <f t="shared" si="3188"/>
        <v>0</v>
      </c>
      <c r="EO1127" s="552">
        <f t="shared" si="3188"/>
        <v>0</v>
      </c>
      <c r="EP1127" s="552">
        <f t="shared" si="3188"/>
        <v>0</v>
      </c>
      <c r="EQ1127" s="552">
        <f t="shared" si="3188"/>
        <v>0</v>
      </c>
      <c r="ER1127" s="552">
        <f t="shared" si="3188"/>
        <v>0</v>
      </c>
      <c r="ES1127" s="552">
        <f t="shared" si="3188"/>
        <v>0</v>
      </c>
      <c r="ET1127" s="552">
        <f t="shared" si="3188"/>
        <v>0</v>
      </c>
      <c r="EU1127" s="552">
        <f t="shared" si="3188"/>
        <v>0</v>
      </c>
      <c r="EV1127" s="552">
        <f t="shared" si="3188"/>
        <v>0</v>
      </c>
      <c r="EW1127" s="552">
        <f t="shared" si="3188"/>
        <v>0</v>
      </c>
      <c r="EX1127" s="552">
        <f t="shared" si="3188"/>
        <v>0</v>
      </c>
      <c r="EY1127" s="799">
        <f t="shared" si="3177"/>
        <v>11.5</v>
      </c>
      <c r="EZ1127" s="640"/>
      <c r="FA1127" s="640"/>
      <c r="FB1127" s="640"/>
      <c r="FC1127" s="640"/>
      <c r="FD1127" s="640"/>
      <c r="FE1127" s="640"/>
      <c r="FF1127" s="640"/>
      <c r="FG1127" s="640"/>
      <c r="FH1127" s="640"/>
      <c r="FI1127" s="640"/>
      <c r="FJ1127" s="640"/>
      <c r="FK1127" s="640"/>
      <c r="FL1127" s="640"/>
    </row>
    <row r="1128" spans="1:168" x14ac:dyDescent="0.25">
      <c r="A1128" s="1492"/>
      <c r="B1128" s="624" t="str">
        <f t="shared" si="3170"/>
        <v>Хлеб пшеничный нарезной</v>
      </c>
      <c r="C1128" s="624">
        <f t="shared" si="3170"/>
        <v>30</v>
      </c>
      <c r="D1128" s="624">
        <f t="shared" si="3170"/>
        <v>3.21</v>
      </c>
      <c r="E1128" s="1158">
        <f t="shared" si="3178"/>
        <v>1.95</v>
      </c>
      <c r="F1128" s="1158"/>
      <c r="G1128" s="1140"/>
      <c r="H1128" s="1140"/>
      <c r="I1128" s="552"/>
      <c r="J1128" s="552">
        <f t="shared" ref="J1128:AO1128" si="3189">J170*J$338</f>
        <v>0</v>
      </c>
      <c r="K1128" s="552">
        <f t="shared" si="3189"/>
        <v>0</v>
      </c>
      <c r="L1128" s="552">
        <f t="shared" si="3189"/>
        <v>0</v>
      </c>
      <c r="M1128" s="552">
        <f t="shared" si="3189"/>
        <v>0</v>
      </c>
      <c r="N1128" s="552">
        <f t="shared" si="3189"/>
        <v>0</v>
      </c>
      <c r="O1128" s="552">
        <f t="shared" si="3189"/>
        <v>0</v>
      </c>
      <c r="P1128" s="552">
        <f t="shared" si="3189"/>
        <v>0</v>
      </c>
      <c r="Q1128" s="552">
        <f t="shared" si="3189"/>
        <v>0</v>
      </c>
      <c r="R1128" s="552">
        <f t="shared" si="3189"/>
        <v>0</v>
      </c>
      <c r="S1128" s="552">
        <f t="shared" si="3189"/>
        <v>0</v>
      </c>
      <c r="T1128" s="552">
        <f t="shared" si="3189"/>
        <v>0</v>
      </c>
      <c r="U1128" s="552">
        <f t="shared" si="3189"/>
        <v>0</v>
      </c>
      <c r="V1128" s="552">
        <f t="shared" si="3189"/>
        <v>0</v>
      </c>
      <c r="W1128" s="552">
        <f t="shared" si="3189"/>
        <v>0</v>
      </c>
      <c r="X1128" s="552">
        <f t="shared" si="3189"/>
        <v>0</v>
      </c>
      <c r="Y1128" s="552">
        <f t="shared" si="3189"/>
        <v>0</v>
      </c>
      <c r="Z1128" s="552">
        <f t="shared" si="3189"/>
        <v>0</v>
      </c>
      <c r="AA1128" s="552">
        <f t="shared" si="3189"/>
        <v>0</v>
      </c>
      <c r="AB1128" s="552">
        <f t="shared" si="3189"/>
        <v>0</v>
      </c>
      <c r="AC1128" s="552">
        <f t="shared" si="3189"/>
        <v>0</v>
      </c>
      <c r="AD1128" s="552">
        <f t="shared" si="3189"/>
        <v>0</v>
      </c>
      <c r="AE1128" s="552">
        <f t="shared" si="3189"/>
        <v>0</v>
      </c>
      <c r="AF1128" s="552">
        <f t="shared" si="3189"/>
        <v>0</v>
      </c>
      <c r="AG1128" s="552">
        <f t="shared" si="3189"/>
        <v>0</v>
      </c>
      <c r="AH1128" s="552">
        <f t="shared" si="3189"/>
        <v>0</v>
      </c>
      <c r="AI1128" s="552">
        <f t="shared" si="3189"/>
        <v>0</v>
      </c>
      <c r="AJ1128" s="552">
        <f t="shared" si="3189"/>
        <v>0</v>
      </c>
      <c r="AK1128" s="552">
        <f t="shared" si="3189"/>
        <v>0</v>
      </c>
      <c r="AL1128" s="552">
        <f t="shared" si="3189"/>
        <v>0</v>
      </c>
      <c r="AM1128" s="552">
        <f t="shared" si="3189"/>
        <v>0</v>
      </c>
      <c r="AN1128" s="552">
        <f t="shared" si="3189"/>
        <v>0</v>
      </c>
      <c r="AO1128" s="552">
        <f t="shared" si="3189"/>
        <v>0</v>
      </c>
      <c r="AP1128" s="552">
        <f t="shared" ref="AP1128:BU1128" si="3190">AP170*AP$338</f>
        <v>0</v>
      </c>
      <c r="AQ1128" s="552">
        <f t="shared" si="3190"/>
        <v>0</v>
      </c>
      <c r="AR1128" s="552">
        <f t="shared" si="3190"/>
        <v>0</v>
      </c>
      <c r="AS1128" s="552">
        <f t="shared" si="3190"/>
        <v>0</v>
      </c>
      <c r="AT1128" s="552">
        <f t="shared" si="3190"/>
        <v>0</v>
      </c>
      <c r="AU1128" s="552">
        <f t="shared" si="3190"/>
        <v>0</v>
      </c>
      <c r="AV1128" s="552">
        <f t="shared" si="3190"/>
        <v>0</v>
      </c>
      <c r="AW1128" s="552">
        <f t="shared" si="3190"/>
        <v>0</v>
      </c>
      <c r="AX1128" s="552">
        <f t="shared" si="3190"/>
        <v>0</v>
      </c>
      <c r="AY1128" s="552">
        <f t="shared" si="3190"/>
        <v>0</v>
      </c>
      <c r="AZ1128" s="552">
        <f t="shared" si="3190"/>
        <v>0</v>
      </c>
      <c r="BA1128" s="552">
        <f t="shared" si="3190"/>
        <v>0</v>
      </c>
      <c r="BB1128" s="552">
        <f t="shared" si="3190"/>
        <v>0</v>
      </c>
      <c r="BC1128" s="552">
        <f t="shared" si="3190"/>
        <v>0</v>
      </c>
      <c r="BD1128" s="552">
        <f t="shared" si="3190"/>
        <v>0</v>
      </c>
      <c r="BE1128" s="552">
        <f t="shared" si="3190"/>
        <v>0</v>
      </c>
      <c r="BF1128" s="552">
        <f t="shared" si="3190"/>
        <v>0</v>
      </c>
      <c r="BG1128" s="552">
        <f t="shared" si="3190"/>
        <v>0</v>
      </c>
      <c r="BH1128" s="552">
        <f t="shared" si="3190"/>
        <v>0</v>
      </c>
      <c r="BI1128" s="552">
        <f t="shared" si="3190"/>
        <v>0</v>
      </c>
      <c r="BJ1128" s="552">
        <f t="shared" si="3190"/>
        <v>0</v>
      </c>
      <c r="BK1128" s="552">
        <f t="shared" si="3190"/>
        <v>0</v>
      </c>
      <c r="BL1128" s="552">
        <f t="shared" si="3190"/>
        <v>0</v>
      </c>
      <c r="BM1128" s="552">
        <f t="shared" si="3190"/>
        <v>0</v>
      </c>
      <c r="BN1128" s="552">
        <f t="shared" si="3190"/>
        <v>0</v>
      </c>
      <c r="BO1128" s="552">
        <f t="shared" si="3190"/>
        <v>0</v>
      </c>
      <c r="BP1128" s="552">
        <f t="shared" si="3190"/>
        <v>0</v>
      </c>
      <c r="BQ1128" s="552">
        <f t="shared" si="3190"/>
        <v>0</v>
      </c>
      <c r="BR1128" s="552">
        <f t="shared" si="3190"/>
        <v>0</v>
      </c>
      <c r="BS1128" s="552">
        <f t="shared" si="3190"/>
        <v>0</v>
      </c>
      <c r="BT1128" s="552">
        <f t="shared" si="3190"/>
        <v>0</v>
      </c>
      <c r="BU1128" s="552">
        <f t="shared" si="3190"/>
        <v>0</v>
      </c>
      <c r="BV1128" s="552">
        <f t="shared" ref="BV1128:DA1128" si="3191">BV170*BV$338</f>
        <v>0</v>
      </c>
      <c r="BW1128" s="552">
        <f t="shared" si="3191"/>
        <v>0</v>
      </c>
      <c r="BX1128" s="552">
        <f t="shared" si="3191"/>
        <v>0</v>
      </c>
      <c r="BY1128" s="552">
        <f t="shared" si="3191"/>
        <v>0</v>
      </c>
      <c r="BZ1128" s="552">
        <f t="shared" si="3191"/>
        <v>0</v>
      </c>
      <c r="CA1128" s="552">
        <f t="shared" si="3191"/>
        <v>0</v>
      </c>
      <c r="CB1128" s="552">
        <f t="shared" si="3191"/>
        <v>0</v>
      </c>
      <c r="CC1128" s="552">
        <f t="shared" si="3191"/>
        <v>0</v>
      </c>
      <c r="CD1128" s="552">
        <f t="shared" si="3191"/>
        <v>0</v>
      </c>
      <c r="CE1128" s="552">
        <f t="shared" si="3191"/>
        <v>0</v>
      </c>
      <c r="CF1128" s="552">
        <f t="shared" si="3191"/>
        <v>0</v>
      </c>
      <c r="CG1128" s="552">
        <f t="shared" si="3191"/>
        <v>0</v>
      </c>
      <c r="CH1128" s="552">
        <f t="shared" si="3191"/>
        <v>0</v>
      </c>
      <c r="CI1128" s="552">
        <f t="shared" si="3191"/>
        <v>0</v>
      </c>
      <c r="CJ1128" s="552">
        <f t="shared" si="3191"/>
        <v>0</v>
      </c>
      <c r="CK1128" s="552">
        <f t="shared" si="3191"/>
        <v>0</v>
      </c>
      <c r="CL1128" s="552">
        <f t="shared" si="3191"/>
        <v>0</v>
      </c>
      <c r="CM1128" s="552">
        <f t="shared" si="3191"/>
        <v>0</v>
      </c>
      <c r="CN1128" s="552">
        <f t="shared" si="3191"/>
        <v>0</v>
      </c>
      <c r="CO1128" s="552">
        <f t="shared" si="3191"/>
        <v>0</v>
      </c>
      <c r="CP1128" s="552">
        <f t="shared" si="3191"/>
        <v>0</v>
      </c>
      <c r="CQ1128" s="552">
        <f t="shared" si="3191"/>
        <v>0</v>
      </c>
      <c r="CR1128" s="552">
        <f t="shared" si="3191"/>
        <v>0</v>
      </c>
      <c r="CS1128" s="552">
        <f t="shared" si="3191"/>
        <v>0</v>
      </c>
      <c r="CT1128" s="552">
        <f t="shared" si="3191"/>
        <v>0</v>
      </c>
      <c r="CU1128" s="552">
        <f t="shared" si="3191"/>
        <v>0</v>
      </c>
      <c r="CV1128" s="552">
        <f t="shared" si="3191"/>
        <v>0</v>
      </c>
      <c r="CW1128" s="552">
        <f t="shared" si="3191"/>
        <v>0</v>
      </c>
      <c r="CX1128" s="552">
        <f t="shared" si="3191"/>
        <v>0</v>
      </c>
      <c r="CY1128" s="552">
        <f t="shared" si="3191"/>
        <v>0</v>
      </c>
      <c r="CZ1128" s="552">
        <f t="shared" si="3191"/>
        <v>0</v>
      </c>
      <c r="DA1128" s="552">
        <f t="shared" si="3191"/>
        <v>0</v>
      </c>
      <c r="DB1128" s="552">
        <f t="shared" ref="DB1128:EG1128" si="3192">DB170*DB$338</f>
        <v>0</v>
      </c>
      <c r="DC1128" s="552">
        <f t="shared" si="3192"/>
        <v>0</v>
      </c>
      <c r="DD1128" s="552">
        <f t="shared" si="3192"/>
        <v>0</v>
      </c>
      <c r="DE1128" s="552">
        <f t="shared" si="3192"/>
        <v>0</v>
      </c>
      <c r="DF1128" s="552">
        <f t="shared" si="3192"/>
        <v>0</v>
      </c>
      <c r="DG1128" s="552">
        <f t="shared" si="3192"/>
        <v>0</v>
      </c>
      <c r="DH1128" s="552">
        <f t="shared" si="3192"/>
        <v>0</v>
      </c>
      <c r="DI1128" s="552">
        <f t="shared" si="3192"/>
        <v>0</v>
      </c>
      <c r="DJ1128" s="552">
        <f t="shared" si="3192"/>
        <v>0</v>
      </c>
      <c r="DK1128" s="552">
        <f t="shared" si="3192"/>
        <v>0</v>
      </c>
      <c r="DL1128" s="552">
        <f t="shared" si="3192"/>
        <v>0</v>
      </c>
      <c r="DM1128" s="552">
        <f t="shared" si="3192"/>
        <v>0</v>
      </c>
      <c r="DN1128" s="552">
        <f t="shared" si="3192"/>
        <v>0</v>
      </c>
      <c r="DO1128" s="552">
        <f t="shared" si="3192"/>
        <v>0</v>
      </c>
      <c r="DP1128" s="552">
        <f t="shared" si="3192"/>
        <v>0</v>
      </c>
      <c r="DQ1128" s="552">
        <f t="shared" si="3192"/>
        <v>0</v>
      </c>
      <c r="DR1128" s="552">
        <f t="shared" si="3192"/>
        <v>0</v>
      </c>
      <c r="DS1128" s="552">
        <f t="shared" si="3192"/>
        <v>0</v>
      </c>
      <c r="DT1128" s="552">
        <f t="shared" si="3192"/>
        <v>0</v>
      </c>
      <c r="DU1128" s="552">
        <f t="shared" si="3192"/>
        <v>0</v>
      </c>
      <c r="DV1128" s="552">
        <f t="shared" si="3192"/>
        <v>0</v>
      </c>
      <c r="DW1128" s="552">
        <f t="shared" si="3192"/>
        <v>0</v>
      </c>
      <c r="DX1128" s="552">
        <f t="shared" si="3192"/>
        <v>0</v>
      </c>
      <c r="DY1128" s="552">
        <f t="shared" si="3192"/>
        <v>0</v>
      </c>
      <c r="DZ1128" s="552">
        <f t="shared" si="3192"/>
        <v>0</v>
      </c>
      <c r="EA1128" s="552">
        <f t="shared" si="3192"/>
        <v>0</v>
      </c>
      <c r="EB1128" s="552">
        <f t="shared" si="3192"/>
        <v>0</v>
      </c>
      <c r="EC1128" s="552">
        <f t="shared" si="3192"/>
        <v>0</v>
      </c>
      <c r="ED1128" s="552">
        <f t="shared" si="3192"/>
        <v>0</v>
      </c>
      <c r="EE1128" s="552">
        <f t="shared" si="3192"/>
        <v>0</v>
      </c>
      <c r="EF1128" s="552">
        <f t="shared" si="3192"/>
        <v>0</v>
      </c>
      <c r="EG1128" s="552">
        <f t="shared" si="3192"/>
        <v>0</v>
      </c>
      <c r="EH1128" s="552">
        <f t="shared" ref="EH1128:EX1128" si="3193">EH170*EH$338</f>
        <v>0</v>
      </c>
      <c r="EI1128" s="552">
        <f t="shared" si="3193"/>
        <v>0</v>
      </c>
      <c r="EJ1128" s="552">
        <f t="shared" si="3193"/>
        <v>0</v>
      </c>
      <c r="EK1128" s="552">
        <f t="shared" si="3193"/>
        <v>0</v>
      </c>
      <c r="EL1128" s="552">
        <f t="shared" si="3193"/>
        <v>0</v>
      </c>
      <c r="EM1128" s="552">
        <f t="shared" si="3193"/>
        <v>0</v>
      </c>
      <c r="EN1128" s="552">
        <f t="shared" si="3193"/>
        <v>0</v>
      </c>
      <c r="EO1128" s="552">
        <f t="shared" si="3193"/>
        <v>0</v>
      </c>
      <c r="EP1128" s="552">
        <f t="shared" si="3193"/>
        <v>0</v>
      </c>
      <c r="EQ1128" s="552">
        <f t="shared" si="3193"/>
        <v>0</v>
      </c>
      <c r="ER1128" s="552">
        <f t="shared" si="3193"/>
        <v>0</v>
      </c>
      <c r="ES1128" s="552">
        <f t="shared" si="3193"/>
        <v>0</v>
      </c>
      <c r="ET1128" s="552">
        <f t="shared" si="3193"/>
        <v>0</v>
      </c>
      <c r="EU1128" s="552">
        <f t="shared" si="3193"/>
        <v>0</v>
      </c>
      <c r="EV1128" s="552">
        <f t="shared" si="3193"/>
        <v>1.95</v>
      </c>
      <c r="EW1128" s="552">
        <f t="shared" si="3193"/>
        <v>0</v>
      </c>
      <c r="EX1128" s="552">
        <f t="shared" si="3193"/>
        <v>0</v>
      </c>
      <c r="EY1128" s="799">
        <f t="shared" si="3177"/>
        <v>1.95</v>
      </c>
      <c r="EZ1128" s="640"/>
      <c r="FA1128" s="640"/>
      <c r="FB1128" s="640"/>
      <c r="FC1128" s="640"/>
      <c r="FD1128" s="640"/>
      <c r="FE1128" s="640"/>
      <c r="FF1128" s="640"/>
      <c r="FG1128" s="640"/>
      <c r="FH1128" s="640"/>
      <c r="FI1128" s="640"/>
      <c r="FJ1128" s="640"/>
      <c r="FK1128" s="640"/>
      <c r="FL1128" s="640"/>
    </row>
    <row r="1129" spans="1:168" x14ac:dyDescent="0.25">
      <c r="A1129" s="1492"/>
      <c r="B1129" s="624" t="str">
        <f t="shared" si="3170"/>
        <v>Хлеб пшенично-ржаной нарезной</v>
      </c>
      <c r="C1129" s="624">
        <f t="shared" si="3170"/>
        <v>20</v>
      </c>
      <c r="D1129" s="624">
        <f t="shared" si="3170"/>
        <v>1.5</v>
      </c>
      <c r="E1129" s="1158">
        <f t="shared" si="3178"/>
        <v>1.3</v>
      </c>
      <c r="F1129" s="1158"/>
      <c r="G1129" s="1140"/>
      <c r="H1129" s="1140"/>
      <c r="I1129" s="552"/>
      <c r="J1129" s="552">
        <f t="shared" ref="J1129:AO1129" si="3194">J171*J$338</f>
        <v>0</v>
      </c>
      <c r="K1129" s="552">
        <f t="shared" si="3194"/>
        <v>0</v>
      </c>
      <c r="L1129" s="552">
        <f t="shared" si="3194"/>
        <v>0</v>
      </c>
      <c r="M1129" s="552">
        <f t="shared" si="3194"/>
        <v>0</v>
      </c>
      <c r="N1129" s="552">
        <f t="shared" si="3194"/>
        <v>0</v>
      </c>
      <c r="O1129" s="552">
        <f t="shared" si="3194"/>
        <v>0</v>
      </c>
      <c r="P1129" s="552">
        <f t="shared" si="3194"/>
        <v>0</v>
      </c>
      <c r="Q1129" s="552">
        <f t="shared" si="3194"/>
        <v>0</v>
      </c>
      <c r="R1129" s="552">
        <f t="shared" si="3194"/>
        <v>0</v>
      </c>
      <c r="S1129" s="552">
        <f t="shared" si="3194"/>
        <v>0</v>
      </c>
      <c r="T1129" s="552">
        <f t="shared" si="3194"/>
        <v>0</v>
      </c>
      <c r="U1129" s="552">
        <f t="shared" si="3194"/>
        <v>0</v>
      </c>
      <c r="V1129" s="552">
        <f t="shared" si="3194"/>
        <v>0</v>
      </c>
      <c r="W1129" s="552">
        <f t="shared" si="3194"/>
        <v>0</v>
      </c>
      <c r="X1129" s="552">
        <f t="shared" si="3194"/>
        <v>0</v>
      </c>
      <c r="Y1129" s="552">
        <f t="shared" si="3194"/>
        <v>0</v>
      </c>
      <c r="Z1129" s="552">
        <f t="shared" si="3194"/>
        <v>0</v>
      </c>
      <c r="AA1129" s="552">
        <f t="shared" si="3194"/>
        <v>0</v>
      </c>
      <c r="AB1129" s="552">
        <f t="shared" si="3194"/>
        <v>0</v>
      </c>
      <c r="AC1129" s="552">
        <f t="shared" si="3194"/>
        <v>0</v>
      </c>
      <c r="AD1129" s="552">
        <f t="shared" si="3194"/>
        <v>0</v>
      </c>
      <c r="AE1129" s="552">
        <f t="shared" si="3194"/>
        <v>0</v>
      </c>
      <c r="AF1129" s="552">
        <f t="shared" si="3194"/>
        <v>0</v>
      </c>
      <c r="AG1129" s="552">
        <f t="shared" si="3194"/>
        <v>0</v>
      </c>
      <c r="AH1129" s="552">
        <f t="shared" si="3194"/>
        <v>0</v>
      </c>
      <c r="AI1129" s="552">
        <f t="shared" si="3194"/>
        <v>0</v>
      </c>
      <c r="AJ1129" s="552">
        <f t="shared" si="3194"/>
        <v>0</v>
      </c>
      <c r="AK1129" s="552">
        <f t="shared" si="3194"/>
        <v>0</v>
      </c>
      <c r="AL1129" s="552">
        <f t="shared" si="3194"/>
        <v>0</v>
      </c>
      <c r="AM1129" s="552">
        <f t="shared" si="3194"/>
        <v>0</v>
      </c>
      <c r="AN1129" s="552">
        <f t="shared" si="3194"/>
        <v>0</v>
      </c>
      <c r="AO1129" s="552">
        <f t="shared" si="3194"/>
        <v>0</v>
      </c>
      <c r="AP1129" s="552">
        <f t="shared" ref="AP1129:BU1129" si="3195">AP171*AP$338</f>
        <v>0</v>
      </c>
      <c r="AQ1129" s="552">
        <f t="shared" si="3195"/>
        <v>0</v>
      </c>
      <c r="AR1129" s="552">
        <f t="shared" si="3195"/>
        <v>0</v>
      </c>
      <c r="AS1129" s="552">
        <f t="shared" si="3195"/>
        <v>0</v>
      </c>
      <c r="AT1129" s="552">
        <f t="shared" si="3195"/>
        <v>0</v>
      </c>
      <c r="AU1129" s="552">
        <f t="shared" si="3195"/>
        <v>0</v>
      </c>
      <c r="AV1129" s="552">
        <f t="shared" si="3195"/>
        <v>0</v>
      </c>
      <c r="AW1129" s="552">
        <f t="shared" si="3195"/>
        <v>0</v>
      </c>
      <c r="AX1129" s="552">
        <f t="shared" si="3195"/>
        <v>0</v>
      </c>
      <c r="AY1129" s="552">
        <f t="shared" si="3195"/>
        <v>0</v>
      </c>
      <c r="AZ1129" s="552">
        <f t="shared" si="3195"/>
        <v>0</v>
      </c>
      <c r="BA1129" s="552">
        <f t="shared" si="3195"/>
        <v>0</v>
      </c>
      <c r="BB1129" s="552">
        <f t="shared" si="3195"/>
        <v>0</v>
      </c>
      <c r="BC1129" s="552">
        <f t="shared" si="3195"/>
        <v>0</v>
      </c>
      <c r="BD1129" s="552">
        <f t="shared" si="3195"/>
        <v>0</v>
      </c>
      <c r="BE1129" s="552">
        <f t="shared" si="3195"/>
        <v>0</v>
      </c>
      <c r="BF1129" s="552">
        <f t="shared" si="3195"/>
        <v>0</v>
      </c>
      <c r="BG1129" s="552">
        <f t="shared" si="3195"/>
        <v>0</v>
      </c>
      <c r="BH1129" s="552">
        <f t="shared" si="3195"/>
        <v>0</v>
      </c>
      <c r="BI1129" s="552">
        <f t="shared" si="3195"/>
        <v>0</v>
      </c>
      <c r="BJ1129" s="552">
        <f t="shared" si="3195"/>
        <v>0</v>
      </c>
      <c r="BK1129" s="552">
        <f t="shared" si="3195"/>
        <v>0</v>
      </c>
      <c r="BL1129" s="552">
        <f t="shared" si="3195"/>
        <v>0</v>
      </c>
      <c r="BM1129" s="552">
        <f t="shared" si="3195"/>
        <v>0</v>
      </c>
      <c r="BN1129" s="552">
        <f t="shared" si="3195"/>
        <v>0</v>
      </c>
      <c r="BO1129" s="552">
        <f t="shared" si="3195"/>
        <v>0</v>
      </c>
      <c r="BP1129" s="552">
        <f t="shared" si="3195"/>
        <v>0</v>
      </c>
      <c r="BQ1129" s="552">
        <f t="shared" si="3195"/>
        <v>0</v>
      </c>
      <c r="BR1129" s="552">
        <f t="shared" si="3195"/>
        <v>0</v>
      </c>
      <c r="BS1129" s="552">
        <f t="shared" si="3195"/>
        <v>0</v>
      </c>
      <c r="BT1129" s="552">
        <f t="shared" si="3195"/>
        <v>0</v>
      </c>
      <c r="BU1129" s="552">
        <f t="shared" si="3195"/>
        <v>0</v>
      </c>
      <c r="BV1129" s="552">
        <f t="shared" ref="BV1129:DA1129" si="3196">BV171*BV$338</f>
        <v>0</v>
      </c>
      <c r="BW1129" s="552">
        <f t="shared" si="3196"/>
        <v>0</v>
      </c>
      <c r="BX1129" s="552">
        <f t="shared" si="3196"/>
        <v>0</v>
      </c>
      <c r="BY1129" s="552">
        <f t="shared" si="3196"/>
        <v>0</v>
      </c>
      <c r="BZ1129" s="552">
        <f t="shared" si="3196"/>
        <v>0</v>
      </c>
      <c r="CA1129" s="552">
        <f t="shared" si="3196"/>
        <v>0</v>
      </c>
      <c r="CB1129" s="552">
        <f t="shared" si="3196"/>
        <v>0</v>
      </c>
      <c r="CC1129" s="552">
        <f t="shared" si="3196"/>
        <v>0</v>
      </c>
      <c r="CD1129" s="552">
        <f t="shared" si="3196"/>
        <v>0</v>
      </c>
      <c r="CE1129" s="552">
        <f t="shared" si="3196"/>
        <v>0</v>
      </c>
      <c r="CF1129" s="552">
        <f t="shared" si="3196"/>
        <v>0</v>
      </c>
      <c r="CG1129" s="552">
        <f t="shared" si="3196"/>
        <v>0</v>
      </c>
      <c r="CH1129" s="552">
        <f t="shared" si="3196"/>
        <v>0</v>
      </c>
      <c r="CI1129" s="552">
        <f t="shared" si="3196"/>
        <v>0</v>
      </c>
      <c r="CJ1129" s="552">
        <f t="shared" si="3196"/>
        <v>0</v>
      </c>
      <c r="CK1129" s="552">
        <f t="shared" si="3196"/>
        <v>0</v>
      </c>
      <c r="CL1129" s="552">
        <f t="shared" si="3196"/>
        <v>0</v>
      </c>
      <c r="CM1129" s="552">
        <f t="shared" si="3196"/>
        <v>0</v>
      </c>
      <c r="CN1129" s="552">
        <f t="shared" si="3196"/>
        <v>0</v>
      </c>
      <c r="CO1129" s="552">
        <f t="shared" si="3196"/>
        <v>0</v>
      </c>
      <c r="CP1129" s="552">
        <f t="shared" si="3196"/>
        <v>0</v>
      </c>
      <c r="CQ1129" s="552">
        <f t="shared" si="3196"/>
        <v>0</v>
      </c>
      <c r="CR1129" s="552">
        <f t="shared" si="3196"/>
        <v>0</v>
      </c>
      <c r="CS1129" s="552">
        <f t="shared" si="3196"/>
        <v>0</v>
      </c>
      <c r="CT1129" s="552">
        <f t="shared" si="3196"/>
        <v>0</v>
      </c>
      <c r="CU1129" s="552">
        <f t="shared" si="3196"/>
        <v>0</v>
      </c>
      <c r="CV1129" s="552">
        <f t="shared" si="3196"/>
        <v>0</v>
      </c>
      <c r="CW1129" s="552">
        <f t="shared" si="3196"/>
        <v>0</v>
      </c>
      <c r="CX1129" s="552">
        <f t="shared" si="3196"/>
        <v>0</v>
      </c>
      <c r="CY1129" s="552">
        <f t="shared" si="3196"/>
        <v>0</v>
      </c>
      <c r="CZ1129" s="552">
        <f t="shared" si="3196"/>
        <v>0</v>
      </c>
      <c r="DA1129" s="552">
        <f t="shared" si="3196"/>
        <v>0</v>
      </c>
      <c r="DB1129" s="552">
        <f t="shared" ref="DB1129:EG1129" si="3197">DB171*DB$338</f>
        <v>0</v>
      </c>
      <c r="DC1129" s="552">
        <f t="shared" si="3197"/>
        <v>0</v>
      </c>
      <c r="DD1129" s="552">
        <f t="shared" si="3197"/>
        <v>0</v>
      </c>
      <c r="DE1129" s="552">
        <f t="shared" si="3197"/>
        <v>0</v>
      </c>
      <c r="DF1129" s="552">
        <f t="shared" si="3197"/>
        <v>0</v>
      </c>
      <c r="DG1129" s="552">
        <f t="shared" si="3197"/>
        <v>0</v>
      </c>
      <c r="DH1129" s="552">
        <f t="shared" si="3197"/>
        <v>0</v>
      </c>
      <c r="DI1129" s="552">
        <f t="shared" si="3197"/>
        <v>0</v>
      </c>
      <c r="DJ1129" s="552">
        <f t="shared" si="3197"/>
        <v>0</v>
      </c>
      <c r="DK1129" s="552">
        <f t="shared" si="3197"/>
        <v>0</v>
      </c>
      <c r="DL1129" s="552">
        <f t="shared" si="3197"/>
        <v>0</v>
      </c>
      <c r="DM1129" s="552">
        <f t="shared" si="3197"/>
        <v>0</v>
      </c>
      <c r="DN1129" s="552">
        <f t="shared" si="3197"/>
        <v>0</v>
      </c>
      <c r="DO1129" s="552">
        <f t="shared" si="3197"/>
        <v>0</v>
      </c>
      <c r="DP1129" s="552">
        <f t="shared" si="3197"/>
        <v>0</v>
      </c>
      <c r="DQ1129" s="552">
        <f t="shared" si="3197"/>
        <v>0</v>
      </c>
      <c r="DR1129" s="552">
        <f t="shared" si="3197"/>
        <v>0</v>
      </c>
      <c r="DS1129" s="552">
        <f t="shared" si="3197"/>
        <v>0</v>
      </c>
      <c r="DT1129" s="552">
        <f t="shared" si="3197"/>
        <v>0</v>
      </c>
      <c r="DU1129" s="552">
        <f t="shared" si="3197"/>
        <v>0</v>
      </c>
      <c r="DV1129" s="552">
        <f t="shared" si="3197"/>
        <v>0</v>
      </c>
      <c r="DW1129" s="552">
        <f t="shared" si="3197"/>
        <v>0</v>
      </c>
      <c r="DX1129" s="552">
        <f t="shared" si="3197"/>
        <v>0</v>
      </c>
      <c r="DY1129" s="552">
        <f t="shared" si="3197"/>
        <v>0</v>
      </c>
      <c r="DZ1129" s="552">
        <f t="shared" si="3197"/>
        <v>0</v>
      </c>
      <c r="EA1129" s="552">
        <f t="shared" si="3197"/>
        <v>0</v>
      </c>
      <c r="EB1129" s="552">
        <f t="shared" si="3197"/>
        <v>0</v>
      </c>
      <c r="EC1129" s="552">
        <f t="shared" si="3197"/>
        <v>0</v>
      </c>
      <c r="ED1129" s="552">
        <f t="shared" si="3197"/>
        <v>0</v>
      </c>
      <c r="EE1129" s="552">
        <f t="shared" si="3197"/>
        <v>0</v>
      </c>
      <c r="EF1129" s="552">
        <f t="shared" si="3197"/>
        <v>0</v>
      </c>
      <c r="EG1129" s="552">
        <f t="shared" si="3197"/>
        <v>0</v>
      </c>
      <c r="EH1129" s="552">
        <f t="shared" ref="EH1129:EX1129" si="3198">EH171*EH$338</f>
        <v>0</v>
      </c>
      <c r="EI1129" s="552">
        <f t="shared" si="3198"/>
        <v>0</v>
      </c>
      <c r="EJ1129" s="552">
        <f t="shared" si="3198"/>
        <v>0</v>
      </c>
      <c r="EK1129" s="552">
        <f t="shared" si="3198"/>
        <v>0</v>
      </c>
      <c r="EL1129" s="552">
        <f t="shared" si="3198"/>
        <v>0</v>
      </c>
      <c r="EM1129" s="552">
        <f t="shared" si="3198"/>
        <v>0</v>
      </c>
      <c r="EN1129" s="552">
        <f t="shared" si="3198"/>
        <v>0</v>
      </c>
      <c r="EO1129" s="552">
        <f t="shared" si="3198"/>
        <v>0</v>
      </c>
      <c r="EP1129" s="552">
        <f t="shared" si="3198"/>
        <v>0</v>
      </c>
      <c r="EQ1129" s="552">
        <f t="shared" si="3198"/>
        <v>0</v>
      </c>
      <c r="ER1129" s="552">
        <f t="shared" si="3198"/>
        <v>0</v>
      </c>
      <c r="ES1129" s="552">
        <f t="shared" si="3198"/>
        <v>0</v>
      </c>
      <c r="ET1129" s="552">
        <f t="shared" si="3198"/>
        <v>0</v>
      </c>
      <c r="EU1129" s="552">
        <f t="shared" si="3198"/>
        <v>0</v>
      </c>
      <c r="EV1129" s="552">
        <f t="shared" si="3198"/>
        <v>0</v>
      </c>
      <c r="EW1129" s="552">
        <f t="shared" si="3198"/>
        <v>1.3</v>
      </c>
      <c r="EX1129" s="552">
        <f t="shared" si="3198"/>
        <v>0</v>
      </c>
      <c r="EY1129" s="799">
        <f t="shared" si="3177"/>
        <v>1.3</v>
      </c>
      <c r="EZ1129" s="640"/>
      <c r="FA1129" s="640"/>
      <c r="FB1129" s="640"/>
      <c r="FC1129" s="640"/>
      <c r="FD1129" s="640"/>
      <c r="FE1129" s="640"/>
      <c r="FF1129" s="640"/>
      <c r="FG1129" s="640"/>
      <c r="FH1129" s="640"/>
      <c r="FI1129" s="640"/>
      <c r="FJ1129" s="640"/>
      <c r="FK1129" s="640"/>
      <c r="FL1129" s="640"/>
    </row>
    <row r="1130" spans="1:168" x14ac:dyDescent="0.25">
      <c r="A1130" s="1493"/>
      <c r="B1130" s="624" t="str">
        <f t="shared" si="3170"/>
        <v>Чай с сахаром</v>
      </c>
      <c r="C1130" s="624">
        <f t="shared" si="3170"/>
        <v>200</v>
      </c>
      <c r="D1130" s="624">
        <f t="shared" si="3170"/>
        <v>7.0000000000000007E-2</v>
      </c>
      <c r="E1130" s="1158">
        <f t="shared" si="3178"/>
        <v>1.59</v>
      </c>
      <c r="F1130" s="1158"/>
      <c r="G1130" s="1140"/>
      <c r="H1130" s="1140"/>
      <c r="I1130" s="552"/>
      <c r="J1130" s="552">
        <f t="shared" ref="J1130:AO1130" si="3199">J172*J$338</f>
        <v>0</v>
      </c>
      <c r="K1130" s="552">
        <f t="shared" si="3199"/>
        <v>0</v>
      </c>
      <c r="L1130" s="552">
        <f t="shared" si="3199"/>
        <v>0</v>
      </c>
      <c r="M1130" s="552">
        <f t="shared" si="3199"/>
        <v>0</v>
      </c>
      <c r="N1130" s="552">
        <f t="shared" si="3199"/>
        <v>0</v>
      </c>
      <c r="O1130" s="552">
        <f t="shared" si="3199"/>
        <v>0</v>
      </c>
      <c r="P1130" s="552">
        <f t="shared" si="3199"/>
        <v>0</v>
      </c>
      <c r="Q1130" s="552">
        <f t="shared" si="3199"/>
        <v>0</v>
      </c>
      <c r="R1130" s="552">
        <f t="shared" si="3199"/>
        <v>0</v>
      </c>
      <c r="S1130" s="552">
        <f t="shared" si="3199"/>
        <v>0</v>
      </c>
      <c r="T1130" s="552">
        <f t="shared" si="3199"/>
        <v>0</v>
      </c>
      <c r="U1130" s="552">
        <f t="shared" si="3199"/>
        <v>0</v>
      </c>
      <c r="V1130" s="552">
        <f t="shared" si="3199"/>
        <v>0</v>
      </c>
      <c r="W1130" s="552">
        <f t="shared" si="3199"/>
        <v>0</v>
      </c>
      <c r="X1130" s="552">
        <f t="shared" si="3199"/>
        <v>0</v>
      </c>
      <c r="Y1130" s="552">
        <f t="shared" si="3199"/>
        <v>0</v>
      </c>
      <c r="Z1130" s="552">
        <f t="shared" si="3199"/>
        <v>0</v>
      </c>
      <c r="AA1130" s="552">
        <f t="shared" si="3199"/>
        <v>0</v>
      </c>
      <c r="AB1130" s="552">
        <f t="shared" si="3199"/>
        <v>0</v>
      </c>
      <c r="AC1130" s="552">
        <f t="shared" si="3199"/>
        <v>0</v>
      </c>
      <c r="AD1130" s="552">
        <f t="shared" si="3199"/>
        <v>0</v>
      </c>
      <c r="AE1130" s="552">
        <f t="shared" si="3199"/>
        <v>0</v>
      </c>
      <c r="AF1130" s="552">
        <f t="shared" si="3199"/>
        <v>0</v>
      </c>
      <c r="AG1130" s="552">
        <f t="shared" si="3199"/>
        <v>0</v>
      </c>
      <c r="AH1130" s="552">
        <f t="shared" si="3199"/>
        <v>0</v>
      </c>
      <c r="AI1130" s="552">
        <f t="shared" si="3199"/>
        <v>0</v>
      </c>
      <c r="AJ1130" s="552">
        <f t="shared" si="3199"/>
        <v>0</v>
      </c>
      <c r="AK1130" s="552">
        <f t="shared" si="3199"/>
        <v>0</v>
      </c>
      <c r="AL1130" s="552">
        <f t="shared" si="3199"/>
        <v>0</v>
      </c>
      <c r="AM1130" s="552">
        <f t="shared" si="3199"/>
        <v>0</v>
      </c>
      <c r="AN1130" s="552">
        <f t="shared" si="3199"/>
        <v>0</v>
      </c>
      <c r="AO1130" s="552">
        <f t="shared" si="3199"/>
        <v>0</v>
      </c>
      <c r="AP1130" s="552">
        <f t="shared" ref="AP1130:BU1130" si="3200">AP172*AP$338</f>
        <v>0</v>
      </c>
      <c r="AQ1130" s="552">
        <f t="shared" si="3200"/>
        <v>0</v>
      </c>
      <c r="AR1130" s="552">
        <f t="shared" si="3200"/>
        <v>0</v>
      </c>
      <c r="AS1130" s="552">
        <f t="shared" si="3200"/>
        <v>0</v>
      </c>
      <c r="AT1130" s="552">
        <f t="shared" si="3200"/>
        <v>0</v>
      </c>
      <c r="AU1130" s="552">
        <f t="shared" si="3200"/>
        <v>0</v>
      </c>
      <c r="AV1130" s="552">
        <f t="shared" si="3200"/>
        <v>0</v>
      </c>
      <c r="AW1130" s="552">
        <f t="shared" si="3200"/>
        <v>0</v>
      </c>
      <c r="AX1130" s="552">
        <f t="shared" si="3200"/>
        <v>0</v>
      </c>
      <c r="AY1130" s="552">
        <f t="shared" si="3200"/>
        <v>0</v>
      </c>
      <c r="AZ1130" s="552">
        <f t="shared" si="3200"/>
        <v>0</v>
      </c>
      <c r="BA1130" s="552">
        <f t="shared" si="3200"/>
        <v>0</v>
      </c>
      <c r="BB1130" s="552">
        <f t="shared" si="3200"/>
        <v>0</v>
      </c>
      <c r="BC1130" s="552">
        <f t="shared" si="3200"/>
        <v>0</v>
      </c>
      <c r="BD1130" s="552">
        <f t="shared" si="3200"/>
        <v>0</v>
      </c>
      <c r="BE1130" s="552">
        <f t="shared" si="3200"/>
        <v>0</v>
      </c>
      <c r="BF1130" s="552">
        <f t="shared" si="3200"/>
        <v>0</v>
      </c>
      <c r="BG1130" s="552">
        <f t="shared" si="3200"/>
        <v>0</v>
      </c>
      <c r="BH1130" s="552">
        <f t="shared" si="3200"/>
        <v>0</v>
      </c>
      <c r="BI1130" s="552">
        <f t="shared" si="3200"/>
        <v>0</v>
      </c>
      <c r="BJ1130" s="552">
        <f t="shared" si="3200"/>
        <v>0</v>
      </c>
      <c r="BK1130" s="552">
        <f t="shared" si="3200"/>
        <v>0</v>
      </c>
      <c r="BL1130" s="552">
        <f t="shared" si="3200"/>
        <v>0</v>
      </c>
      <c r="BM1130" s="552">
        <f t="shared" si="3200"/>
        <v>0</v>
      </c>
      <c r="BN1130" s="552">
        <f t="shared" si="3200"/>
        <v>0</v>
      </c>
      <c r="BO1130" s="552">
        <f t="shared" si="3200"/>
        <v>0</v>
      </c>
      <c r="BP1130" s="552">
        <f t="shared" si="3200"/>
        <v>0</v>
      </c>
      <c r="BQ1130" s="552">
        <f t="shared" si="3200"/>
        <v>0</v>
      </c>
      <c r="BR1130" s="552">
        <f t="shared" si="3200"/>
        <v>0</v>
      </c>
      <c r="BS1130" s="552">
        <f t="shared" si="3200"/>
        <v>0</v>
      </c>
      <c r="BT1130" s="552">
        <f t="shared" si="3200"/>
        <v>0</v>
      </c>
      <c r="BU1130" s="552">
        <f t="shared" si="3200"/>
        <v>0</v>
      </c>
      <c r="BV1130" s="552">
        <f t="shared" ref="BV1130:DA1130" si="3201">BV172*BV$338</f>
        <v>0</v>
      </c>
      <c r="BW1130" s="552">
        <f t="shared" si="3201"/>
        <v>0</v>
      </c>
      <c r="BX1130" s="552">
        <f t="shared" si="3201"/>
        <v>0</v>
      </c>
      <c r="BY1130" s="552">
        <f t="shared" si="3201"/>
        <v>0</v>
      </c>
      <c r="BZ1130" s="552">
        <f t="shared" si="3201"/>
        <v>0</v>
      </c>
      <c r="CA1130" s="552">
        <f t="shared" si="3201"/>
        <v>0</v>
      </c>
      <c r="CB1130" s="552">
        <f t="shared" si="3201"/>
        <v>0</v>
      </c>
      <c r="CC1130" s="552">
        <f t="shared" si="3201"/>
        <v>0</v>
      </c>
      <c r="CD1130" s="552">
        <f t="shared" si="3201"/>
        <v>0</v>
      </c>
      <c r="CE1130" s="552">
        <f t="shared" si="3201"/>
        <v>0</v>
      </c>
      <c r="CF1130" s="552">
        <f t="shared" si="3201"/>
        <v>0</v>
      </c>
      <c r="CG1130" s="552">
        <f t="shared" si="3201"/>
        <v>0</v>
      </c>
      <c r="CH1130" s="552">
        <f t="shared" si="3201"/>
        <v>0</v>
      </c>
      <c r="CI1130" s="552">
        <f t="shared" si="3201"/>
        <v>0</v>
      </c>
      <c r="CJ1130" s="552">
        <f t="shared" si="3201"/>
        <v>0</v>
      </c>
      <c r="CK1130" s="552">
        <f t="shared" si="3201"/>
        <v>0</v>
      </c>
      <c r="CL1130" s="552">
        <f t="shared" si="3201"/>
        <v>0</v>
      </c>
      <c r="CM1130" s="552">
        <f t="shared" si="3201"/>
        <v>0</v>
      </c>
      <c r="CN1130" s="552">
        <f t="shared" si="3201"/>
        <v>0</v>
      </c>
      <c r="CO1130" s="552">
        <f t="shared" si="3201"/>
        <v>0</v>
      </c>
      <c r="CP1130" s="552">
        <f t="shared" si="3201"/>
        <v>0</v>
      </c>
      <c r="CQ1130" s="552">
        <f t="shared" si="3201"/>
        <v>0</v>
      </c>
      <c r="CR1130" s="552">
        <f t="shared" si="3201"/>
        <v>0</v>
      </c>
      <c r="CS1130" s="552">
        <f t="shared" si="3201"/>
        <v>0</v>
      </c>
      <c r="CT1130" s="552">
        <f t="shared" si="3201"/>
        <v>0</v>
      </c>
      <c r="CU1130" s="552">
        <f t="shared" si="3201"/>
        <v>0</v>
      </c>
      <c r="CV1130" s="552">
        <f t="shared" si="3201"/>
        <v>0</v>
      </c>
      <c r="CW1130" s="552">
        <f t="shared" si="3201"/>
        <v>0</v>
      </c>
      <c r="CX1130" s="552">
        <f t="shared" si="3201"/>
        <v>0</v>
      </c>
      <c r="CY1130" s="552">
        <f t="shared" si="3201"/>
        <v>0</v>
      </c>
      <c r="CZ1130" s="552">
        <f t="shared" si="3201"/>
        <v>1.1399999999999999</v>
      </c>
      <c r="DA1130" s="552">
        <f t="shared" si="3201"/>
        <v>0</v>
      </c>
      <c r="DB1130" s="552">
        <f t="shared" ref="DB1130:EG1130" si="3202">DB172*DB$338</f>
        <v>0</v>
      </c>
      <c r="DC1130" s="552">
        <f t="shared" si="3202"/>
        <v>0</v>
      </c>
      <c r="DD1130" s="552">
        <f t="shared" si="3202"/>
        <v>0</v>
      </c>
      <c r="DE1130" s="552">
        <f t="shared" si="3202"/>
        <v>0</v>
      </c>
      <c r="DF1130" s="552">
        <f t="shared" si="3202"/>
        <v>0</v>
      </c>
      <c r="DG1130" s="552">
        <f t="shared" si="3202"/>
        <v>0</v>
      </c>
      <c r="DH1130" s="552">
        <f t="shared" si="3202"/>
        <v>0</v>
      </c>
      <c r="DI1130" s="552">
        <f t="shared" si="3202"/>
        <v>0</v>
      </c>
      <c r="DJ1130" s="552">
        <f t="shared" si="3202"/>
        <v>0</v>
      </c>
      <c r="DK1130" s="552">
        <f t="shared" si="3202"/>
        <v>0</v>
      </c>
      <c r="DL1130" s="552">
        <f t="shared" si="3202"/>
        <v>0</v>
      </c>
      <c r="DM1130" s="552">
        <f t="shared" si="3202"/>
        <v>0</v>
      </c>
      <c r="DN1130" s="552">
        <f t="shared" si="3202"/>
        <v>0</v>
      </c>
      <c r="DO1130" s="552">
        <f t="shared" si="3202"/>
        <v>0</v>
      </c>
      <c r="DP1130" s="552">
        <f t="shared" si="3202"/>
        <v>0</v>
      </c>
      <c r="DQ1130" s="552">
        <f t="shared" si="3202"/>
        <v>0</v>
      </c>
      <c r="DR1130" s="552">
        <f t="shared" si="3202"/>
        <v>0.45</v>
      </c>
      <c r="DS1130" s="552">
        <f t="shared" si="3202"/>
        <v>0</v>
      </c>
      <c r="DT1130" s="552">
        <f t="shared" si="3202"/>
        <v>0</v>
      </c>
      <c r="DU1130" s="552">
        <f t="shared" si="3202"/>
        <v>0</v>
      </c>
      <c r="DV1130" s="552">
        <f t="shared" si="3202"/>
        <v>0</v>
      </c>
      <c r="DW1130" s="552">
        <f t="shared" si="3202"/>
        <v>0</v>
      </c>
      <c r="DX1130" s="552">
        <f t="shared" si="3202"/>
        <v>0</v>
      </c>
      <c r="DY1130" s="552">
        <f t="shared" si="3202"/>
        <v>0</v>
      </c>
      <c r="DZ1130" s="552">
        <f t="shared" si="3202"/>
        <v>0</v>
      </c>
      <c r="EA1130" s="552">
        <f t="shared" si="3202"/>
        <v>0</v>
      </c>
      <c r="EB1130" s="552">
        <f t="shared" si="3202"/>
        <v>0</v>
      </c>
      <c r="EC1130" s="552">
        <f t="shared" si="3202"/>
        <v>0</v>
      </c>
      <c r="ED1130" s="552">
        <f t="shared" si="3202"/>
        <v>0</v>
      </c>
      <c r="EE1130" s="552">
        <f t="shared" si="3202"/>
        <v>0</v>
      </c>
      <c r="EF1130" s="552">
        <f t="shared" si="3202"/>
        <v>0</v>
      </c>
      <c r="EG1130" s="552">
        <f t="shared" si="3202"/>
        <v>0</v>
      </c>
      <c r="EH1130" s="552">
        <f t="shared" ref="EH1130:EX1130" si="3203">EH172*EH$338</f>
        <v>0</v>
      </c>
      <c r="EI1130" s="552">
        <f t="shared" si="3203"/>
        <v>0</v>
      </c>
      <c r="EJ1130" s="552">
        <f t="shared" si="3203"/>
        <v>0</v>
      </c>
      <c r="EK1130" s="552">
        <f t="shared" si="3203"/>
        <v>0</v>
      </c>
      <c r="EL1130" s="552">
        <f t="shared" si="3203"/>
        <v>0</v>
      </c>
      <c r="EM1130" s="552">
        <f t="shared" si="3203"/>
        <v>0</v>
      </c>
      <c r="EN1130" s="552">
        <f t="shared" si="3203"/>
        <v>0</v>
      </c>
      <c r="EO1130" s="552">
        <f t="shared" si="3203"/>
        <v>0</v>
      </c>
      <c r="EP1130" s="552">
        <f t="shared" si="3203"/>
        <v>0</v>
      </c>
      <c r="EQ1130" s="552">
        <f t="shared" si="3203"/>
        <v>0</v>
      </c>
      <c r="ER1130" s="552">
        <f t="shared" si="3203"/>
        <v>0</v>
      </c>
      <c r="ES1130" s="552">
        <f t="shared" si="3203"/>
        <v>0</v>
      </c>
      <c r="ET1130" s="552">
        <f t="shared" si="3203"/>
        <v>0</v>
      </c>
      <c r="EU1130" s="552">
        <f t="shared" si="3203"/>
        <v>0</v>
      </c>
      <c r="EV1130" s="552">
        <f t="shared" si="3203"/>
        <v>0</v>
      </c>
      <c r="EW1130" s="552">
        <f t="shared" si="3203"/>
        <v>0</v>
      </c>
      <c r="EX1130" s="552">
        <f t="shared" si="3203"/>
        <v>0</v>
      </c>
      <c r="EY1130" s="799">
        <f t="shared" si="3177"/>
        <v>1.59</v>
      </c>
      <c r="EZ1130" s="640"/>
      <c r="FA1130" s="640"/>
      <c r="FB1130" s="640"/>
      <c r="FC1130" s="640"/>
      <c r="FD1130" s="640"/>
      <c r="FE1130" s="640"/>
      <c r="FF1130" s="640"/>
      <c r="FG1130" s="640"/>
      <c r="FH1130" s="640"/>
      <c r="FI1130" s="640"/>
      <c r="FJ1130" s="640"/>
      <c r="FK1130" s="640"/>
      <c r="FL1130" s="640"/>
    </row>
    <row r="1131" spans="1:168" s="1034" customFormat="1" x14ac:dyDescent="0.25">
      <c r="A1131" s="1033"/>
      <c r="B1131" s="624" t="str">
        <f t="shared" si="3170"/>
        <v>Вода питьевая 19 л</v>
      </c>
      <c r="C1131" s="624">
        <f t="shared" si="3170"/>
        <v>500</v>
      </c>
      <c r="D1131" s="624">
        <f t="shared" si="3170"/>
        <v>0</v>
      </c>
      <c r="E1131" s="1158">
        <f t="shared" si="3178"/>
        <v>2.9</v>
      </c>
      <c r="F1131" s="1158"/>
      <c r="G1131" s="1140"/>
      <c r="H1131" s="1140"/>
      <c r="I1131" s="552"/>
      <c r="J1131" s="552">
        <f t="shared" ref="J1131:AO1131" si="3204">J173*J$338</f>
        <v>0</v>
      </c>
      <c r="K1131" s="552">
        <f t="shared" si="3204"/>
        <v>0</v>
      </c>
      <c r="L1131" s="552">
        <f t="shared" si="3204"/>
        <v>0</v>
      </c>
      <c r="M1131" s="552">
        <f t="shared" si="3204"/>
        <v>0</v>
      </c>
      <c r="N1131" s="552">
        <f t="shared" si="3204"/>
        <v>0</v>
      </c>
      <c r="O1131" s="552">
        <f t="shared" si="3204"/>
        <v>0</v>
      </c>
      <c r="P1131" s="552">
        <f t="shared" si="3204"/>
        <v>0</v>
      </c>
      <c r="Q1131" s="552">
        <f t="shared" si="3204"/>
        <v>0</v>
      </c>
      <c r="R1131" s="552">
        <f t="shared" si="3204"/>
        <v>0</v>
      </c>
      <c r="S1131" s="552">
        <f t="shared" si="3204"/>
        <v>0</v>
      </c>
      <c r="T1131" s="552">
        <f t="shared" si="3204"/>
        <v>0</v>
      </c>
      <c r="U1131" s="552">
        <f t="shared" si="3204"/>
        <v>0</v>
      </c>
      <c r="V1131" s="552">
        <f t="shared" si="3204"/>
        <v>0</v>
      </c>
      <c r="W1131" s="552">
        <f t="shared" si="3204"/>
        <v>0</v>
      </c>
      <c r="X1131" s="552">
        <f t="shared" si="3204"/>
        <v>0</v>
      </c>
      <c r="Y1131" s="552">
        <f t="shared" si="3204"/>
        <v>0</v>
      </c>
      <c r="Z1131" s="552">
        <f t="shared" si="3204"/>
        <v>0</v>
      </c>
      <c r="AA1131" s="552">
        <f t="shared" si="3204"/>
        <v>0</v>
      </c>
      <c r="AB1131" s="552">
        <f t="shared" si="3204"/>
        <v>0</v>
      </c>
      <c r="AC1131" s="552">
        <f t="shared" si="3204"/>
        <v>0</v>
      </c>
      <c r="AD1131" s="552">
        <f t="shared" si="3204"/>
        <v>0</v>
      </c>
      <c r="AE1131" s="552">
        <f t="shared" si="3204"/>
        <v>0</v>
      </c>
      <c r="AF1131" s="552">
        <f t="shared" si="3204"/>
        <v>0</v>
      </c>
      <c r="AG1131" s="552">
        <f t="shared" si="3204"/>
        <v>0</v>
      </c>
      <c r="AH1131" s="552">
        <f t="shared" si="3204"/>
        <v>0</v>
      </c>
      <c r="AI1131" s="552">
        <f t="shared" si="3204"/>
        <v>0</v>
      </c>
      <c r="AJ1131" s="552">
        <f t="shared" si="3204"/>
        <v>0</v>
      </c>
      <c r="AK1131" s="552">
        <f t="shared" si="3204"/>
        <v>0</v>
      </c>
      <c r="AL1131" s="552">
        <f t="shared" si="3204"/>
        <v>0</v>
      </c>
      <c r="AM1131" s="552">
        <f t="shared" si="3204"/>
        <v>0</v>
      </c>
      <c r="AN1131" s="552">
        <f t="shared" si="3204"/>
        <v>0</v>
      </c>
      <c r="AO1131" s="552">
        <f t="shared" si="3204"/>
        <v>0</v>
      </c>
      <c r="AP1131" s="552">
        <f t="shared" ref="AP1131:BU1131" si="3205">AP173*AP$338</f>
        <v>0</v>
      </c>
      <c r="AQ1131" s="552">
        <f t="shared" si="3205"/>
        <v>0</v>
      </c>
      <c r="AR1131" s="552">
        <f t="shared" si="3205"/>
        <v>0</v>
      </c>
      <c r="AS1131" s="552">
        <f t="shared" si="3205"/>
        <v>0</v>
      </c>
      <c r="AT1131" s="552">
        <f t="shared" si="3205"/>
        <v>0</v>
      </c>
      <c r="AU1131" s="552">
        <f t="shared" si="3205"/>
        <v>0</v>
      </c>
      <c r="AV1131" s="552">
        <f t="shared" si="3205"/>
        <v>0</v>
      </c>
      <c r="AW1131" s="552">
        <f t="shared" si="3205"/>
        <v>0</v>
      </c>
      <c r="AX1131" s="552">
        <f t="shared" si="3205"/>
        <v>0</v>
      </c>
      <c r="AY1131" s="552">
        <f t="shared" si="3205"/>
        <v>0</v>
      </c>
      <c r="AZ1131" s="552">
        <f t="shared" si="3205"/>
        <v>0</v>
      </c>
      <c r="BA1131" s="552">
        <f t="shared" si="3205"/>
        <v>0</v>
      </c>
      <c r="BB1131" s="552">
        <f t="shared" si="3205"/>
        <v>0</v>
      </c>
      <c r="BC1131" s="552">
        <f t="shared" si="3205"/>
        <v>0</v>
      </c>
      <c r="BD1131" s="552">
        <f t="shared" si="3205"/>
        <v>0</v>
      </c>
      <c r="BE1131" s="552">
        <f t="shared" si="3205"/>
        <v>0</v>
      </c>
      <c r="BF1131" s="552">
        <f t="shared" si="3205"/>
        <v>0</v>
      </c>
      <c r="BG1131" s="552">
        <f t="shared" si="3205"/>
        <v>0</v>
      </c>
      <c r="BH1131" s="552">
        <f t="shared" si="3205"/>
        <v>0</v>
      </c>
      <c r="BI1131" s="552">
        <f t="shared" si="3205"/>
        <v>0</v>
      </c>
      <c r="BJ1131" s="552">
        <f t="shared" si="3205"/>
        <v>0</v>
      </c>
      <c r="BK1131" s="552">
        <f t="shared" si="3205"/>
        <v>0</v>
      </c>
      <c r="BL1131" s="552">
        <f t="shared" si="3205"/>
        <v>0</v>
      </c>
      <c r="BM1131" s="552">
        <f t="shared" si="3205"/>
        <v>0</v>
      </c>
      <c r="BN1131" s="552">
        <f t="shared" si="3205"/>
        <v>0</v>
      </c>
      <c r="BO1131" s="552">
        <f t="shared" si="3205"/>
        <v>0</v>
      </c>
      <c r="BP1131" s="552">
        <f t="shared" si="3205"/>
        <v>0</v>
      </c>
      <c r="BQ1131" s="552">
        <f t="shared" si="3205"/>
        <v>0</v>
      </c>
      <c r="BR1131" s="552">
        <f t="shared" si="3205"/>
        <v>0</v>
      </c>
      <c r="BS1131" s="552">
        <f t="shared" si="3205"/>
        <v>0</v>
      </c>
      <c r="BT1131" s="552">
        <f t="shared" si="3205"/>
        <v>0</v>
      </c>
      <c r="BU1131" s="552">
        <f t="shared" si="3205"/>
        <v>0</v>
      </c>
      <c r="BV1131" s="552">
        <f t="shared" ref="BV1131:DA1131" si="3206">BV173*BV$338</f>
        <v>0</v>
      </c>
      <c r="BW1131" s="552">
        <f t="shared" si="3206"/>
        <v>0</v>
      </c>
      <c r="BX1131" s="552">
        <f t="shared" si="3206"/>
        <v>0</v>
      </c>
      <c r="BY1131" s="552">
        <f t="shared" si="3206"/>
        <v>0</v>
      </c>
      <c r="BZ1131" s="552">
        <f t="shared" si="3206"/>
        <v>0</v>
      </c>
      <c r="CA1131" s="552">
        <f t="shared" si="3206"/>
        <v>0</v>
      </c>
      <c r="CB1131" s="552">
        <f t="shared" si="3206"/>
        <v>0</v>
      </c>
      <c r="CC1131" s="552">
        <f t="shared" si="3206"/>
        <v>0</v>
      </c>
      <c r="CD1131" s="552">
        <f t="shared" si="3206"/>
        <v>0</v>
      </c>
      <c r="CE1131" s="552">
        <f t="shared" si="3206"/>
        <v>0</v>
      </c>
      <c r="CF1131" s="552">
        <f t="shared" si="3206"/>
        <v>0</v>
      </c>
      <c r="CG1131" s="552">
        <f t="shared" si="3206"/>
        <v>0</v>
      </c>
      <c r="CH1131" s="552">
        <f t="shared" si="3206"/>
        <v>0</v>
      </c>
      <c r="CI1131" s="552">
        <f t="shared" si="3206"/>
        <v>0</v>
      </c>
      <c r="CJ1131" s="552">
        <f t="shared" si="3206"/>
        <v>0</v>
      </c>
      <c r="CK1131" s="552">
        <f t="shared" si="3206"/>
        <v>0</v>
      </c>
      <c r="CL1131" s="552">
        <f t="shared" si="3206"/>
        <v>0</v>
      </c>
      <c r="CM1131" s="552">
        <f t="shared" si="3206"/>
        <v>0</v>
      </c>
      <c r="CN1131" s="552">
        <f t="shared" si="3206"/>
        <v>0</v>
      </c>
      <c r="CO1131" s="552">
        <f t="shared" si="3206"/>
        <v>0</v>
      </c>
      <c r="CP1131" s="552">
        <f t="shared" si="3206"/>
        <v>0</v>
      </c>
      <c r="CQ1131" s="552">
        <f t="shared" si="3206"/>
        <v>0</v>
      </c>
      <c r="CR1131" s="552">
        <f t="shared" si="3206"/>
        <v>0</v>
      </c>
      <c r="CS1131" s="552">
        <f t="shared" si="3206"/>
        <v>0</v>
      </c>
      <c r="CT1131" s="552">
        <f t="shared" si="3206"/>
        <v>0</v>
      </c>
      <c r="CU1131" s="552">
        <f t="shared" si="3206"/>
        <v>0</v>
      </c>
      <c r="CV1131" s="552">
        <f t="shared" si="3206"/>
        <v>0</v>
      </c>
      <c r="CW1131" s="552">
        <f t="shared" si="3206"/>
        <v>0</v>
      </c>
      <c r="CX1131" s="552">
        <f t="shared" si="3206"/>
        <v>0</v>
      </c>
      <c r="CY1131" s="552">
        <f t="shared" si="3206"/>
        <v>0</v>
      </c>
      <c r="CZ1131" s="552">
        <f t="shared" si="3206"/>
        <v>0</v>
      </c>
      <c r="DA1131" s="552">
        <f t="shared" si="3206"/>
        <v>0</v>
      </c>
      <c r="DB1131" s="552">
        <f t="shared" ref="DB1131:EG1131" si="3207">DB173*DB$338</f>
        <v>0</v>
      </c>
      <c r="DC1131" s="552">
        <f t="shared" si="3207"/>
        <v>0</v>
      </c>
      <c r="DD1131" s="552">
        <f t="shared" si="3207"/>
        <v>0</v>
      </c>
      <c r="DE1131" s="552">
        <f t="shared" si="3207"/>
        <v>0</v>
      </c>
      <c r="DF1131" s="552">
        <f t="shared" si="3207"/>
        <v>0</v>
      </c>
      <c r="DG1131" s="552">
        <f t="shared" si="3207"/>
        <v>0</v>
      </c>
      <c r="DH1131" s="552">
        <f t="shared" si="3207"/>
        <v>0</v>
      </c>
      <c r="DI1131" s="552">
        <f t="shared" si="3207"/>
        <v>0</v>
      </c>
      <c r="DJ1131" s="552">
        <f t="shared" si="3207"/>
        <v>0</v>
      </c>
      <c r="DK1131" s="552">
        <f t="shared" si="3207"/>
        <v>0</v>
      </c>
      <c r="DL1131" s="552">
        <f t="shared" si="3207"/>
        <v>0</v>
      </c>
      <c r="DM1131" s="552">
        <f t="shared" si="3207"/>
        <v>0</v>
      </c>
      <c r="DN1131" s="552">
        <f t="shared" si="3207"/>
        <v>0</v>
      </c>
      <c r="DO1131" s="552">
        <f t="shared" si="3207"/>
        <v>0</v>
      </c>
      <c r="DP1131" s="552">
        <f t="shared" si="3207"/>
        <v>0</v>
      </c>
      <c r="DQ1131" s="552">
        <f t="shared" si="3207"/>
        <v>0</v>
      </c>
      <c r="DR1131" s="552">
        <f t="shared" si="3207"/>
        <v>0</v>
      </c>
      <c r="DS1131" s="552">
        <f t="shared" si="3207"/>
        <v>0</v>
      </c>
      <c r="DT1131" s="552">
        <f t="shared" si="3207"/>
        <v>0</v>
      </c>
      <c r="DU1131" s="552">
        <f t="shared" si="3207"/>
        <v>0</v>
      </c>
      <c r="DV1131" s="552">
        <f t="shared" si="3207"/>
        <v>0</v>
      </c>
      <c r="DW1131" s="552">
        <f t="shared" si="3207"/>
        <v>0</v>
      </c>
      <c r="DX1131" s="552">
        <f t="shared" si="3207"/>
        <v>0</v>
      </c>
      <c r="DY1131" s="552">
        <f t="shared" si="3207"/>
        <v>0</v>
      </c>
      <c r="DZ1131" s="552">
        <f t="shared" si="3207"/>
        <v>0</v>
      </c>
      <c r="EA1131" s="552">
        <f t="shared" si="3207"/>
        <v>0</v>
      </c>
      <c r="EB1131" s="552">
        <f t="shared" si="3207"/>
        <v>2.9</v>
      </c>
      <c r="EC1131" s="552">
        <f t="shared" si="3207"/>
        <v>0</v>
      </c>
      <c r="ED1131" s="552">
        <f t="shared" si="3207"/>
        <v>0</v>
      </c>
      <c r="EE1131" s="552">
        <f t="shared" si="3207"/>
        <v>0</v>
      </c>
      <c r="EF1131" s="552">
        <f t="shared" si="3207"/>
        <v>0</v>
      </c>
      <c r="EG1131" s="552">
        <f t="shared" si="3207"/>
        <v>0</v>
      </c>
      <c r="EH1131" s="552">
        <f t="shared" ref="EH1131:EX1131" si="3208">EH173*EH$338</f>
        <v>0</v>
      </c>
      <c r="EI1131" s="552">
        <f t="shared" si="3208"/>
        <v>0</v>
      </c>
      <c r="EJ1131" s="552">
        <f t="shared" si="3208"/>
        <v>0</v>
      </c>
      <c r="EK1131" s="552">
        <f t="shared" si="3208"/>
        <v>0</v>
      </c>
      <c r="EL1131" s="552">
        <f t="shared" si="3208"/>
        <v>0</v>
      </c>
      <c r="EM1131" s="552">
        <f t="shared" si="3208"/>
        <v>0</v>
      </c>
      <c r="EN1131" s="552">
        <f t="shared" si="3208"/>
        <v>0</v>
      </c>
      <c r="EO1131" s="552">
        <f t="shared" si="3208"/>
        <v>0</v>
      </c>
      <c r="EP1131" s="552">
        <f t="shared" si="3208"/>
        <v>0</v>
      </c>
      <c r="EQ1131" s="552">
        <f t="shared" si="3208"/>
        <v>0</v>
      </c>
      <c r="ER1131" s="552">
        <f t="shared" si="3208"/>
        <v>0</v>
      </c>
      <c r="ES1131" s="552">
        <f t="shared" si="3208"/>
        <v>0</v>
      </c>
      <c r="ET1131" s="552">
        <f t="shared" si="3208"/>
        <v>0</v>
      </c>
      <c r="EU1131" s="552">
        <f t="shared" si="3208"/>
        <v>0</v>
      </c>
      <c r="EV1131" s="552">
        <f t="shared" si="3208"/>
        <v>0</v>
      </c>
      <c r="EW1131" s="552">
        <f t="shared" si="3208"/>
        <v>0</v>
      </c>
      <c r="EX1131" s="552">
        <f t="shared" si="3208"/>
        <v>0</v>
      </c>
      <c r="EY1131" s="799">
        <f t="shared" si="3177"/>
        <v>2.9</v>
      </c>
      <c r="EZ1131" s="640"/>
      <c r="FA1131" s="640"/>
      <c r="FB1131" s="640"/>
      <c r="FC1131" s="640"/>
      <c r="FD1131" s="640"/>
      <c r="FE1131" s="640"/>
      <c r="FF1131" s="640"/>
      <c r="FG1131" s="640"/>
      <c r="FH1131" s="640"/>
      <c r="FI1131" s="640"/>
      <c r="FJ1131" s="640"/>
      <c r="FK1131" s="640"/>
      <c r="FL1131" s="640"/>
    </row>
    <row r="1132" spans="1:168" s="1034" customFormat="1" x14ac:dyDescent="0.25">
      <c r="A1132" s="1033"/>
      <c r="B1132" s="624">
        <f t="shared" si="3170"/>
        <v>0</v>
      </c>
      <c r="C1132" s="624">
        <f t="shared" si="3170"/>
        <v>0</v>
      </c>
      <c r="D1132" s="624">
        <f t="shared" si="3170"/>
        <v>0</v>
      </c>
      <c r="E1132" s="1158">
        <f t="shared" si="3178"/>
        <v>0</v>
      </c>
      <c r="F1132" s="1158"/>
      <c r="G1132" s="1140"/>
      <c r="H1132" s="1140"/>
      <c r="I1132" s="552"/>
      <c r="J1132" s="552">
        <f t="shared" ref="J1132:AO1132" si="3209">J174*J$338</f>
        <v>0</v>
      </c>
      <c r="K1132" s="552">
        <f t="shared" si="3209"/>
        <v>0</v>
      </c>
      <c r="L1132" s="552">
        <f t="shared" si="3209"/>
        <v>0</v>
      </c>
      <c r="M1132" s="552">
        <f t="shared" si="3209"/>
        <v>0</v>
      </c>
      <c r="N1132" s="552">
        <f t="shared" si="3209"/>
        <v>0</v>
      </c>
      <c r="O1132" s="552">
        <f t="shared" si="3209"/>
        <v>0</v>
      </c>
      <c r="P1132" s="552">
        <f t="shared" si="3209"/>
        <v>0</v>
      </c>
      <c r="Q1132" s="552">
        <f t="shared" si="3209"/>
        <v>0</v>
      </c>
      <c r="R1132" s="552">
        <f t="shared" si="3209"/>
        <v>0</v>
      </c>
      <c r="S1132" s="552">
        <f t="shared" si="3209"/>
        <v>0</v>
      </c>
      <c r="T1132" s="552">
        <f t="shared" si="3209"/>
        <v>0</v>
      </c>
      <c r="U1132" s="552">
        <f t="shared" si="3209"/>
        <v>0</v>
      </c>
      <c r="V1132" s="552">
        <f t="shared" si="3209"/>
        <v>0</v>
      </c>
      <c r="W1132" s="552">
        <f t="shared" si="3209"/>
        <v>0</v>
      </c>
      <c r="X1132" s="552">
        <f t="shared" si="3209"/>
        <v>0</v>
      </c>
      <c r="Y1132" s="552">
        <f t="shared" si="3209"/>
        <v>0</v>
      </c>
      <c r="Z1132" s="552">
        <f t="shared" si="3209"/>
        <v>0</v>
      </c>
      <c r="AA1132" s="552">
        <f t="shared" si="3209"/>
        <v>0</v>
      </c>
      <c r="AB1132" s="552">
        <f t="shared" si="3209"/>
        <v>0</v>
      </c>
      <c r="AC1132" s="552">
        <f t="shared" si="3209"/>
        <v>0</v>
      </c>
      <c r="AD1132" s="552">
        <f t="shared" si="3209"/>
        <v>0</v>
      </c>
      <c r="AE1132" s="552">
        <f t="shared" si="3209"/>
        <v>0</v>
      </c>
      <c r="AF1132" s="552">
        <f t="shared" si="3209"/>
        <v>0</v>
      </c>
      <c r="AG1132" s="552">
        <f t="shared" si="3209"/>
        <v>0</v>
      </c>
      <c r="AH1132" s="552">
        <f t="shared" si="3209"/>
        <v>0</v>
      </c>
      <c r="AI1132" s="552">
        <f t="shared" si="3209"/>
        <v>0</v>
      </c>
      <c r="AJ1132" s="552">
        <f t="shared" si="3209"/>
        <v>0</v>
      </c>
      <c r="AK1132" s="552">
        <f t="shared" si="3209"/>
        <v>0</v>
      </c>
      <c r="AL1132" s="552">
        <f t="shared" si="3209"/>
        <v>0</v>
      </c>
      <c r="AM1132" s="552">
        <f t="shared" si="3209"/>
        <v>0</v>
      </c>
      <c r="AN1132" s="552">
        <f t="shared" si="3209"/>
        <v>0</v>
      </c>
      <c r="AO1132" s="552">
        <f t="shared" si="3209"/>
        <v>0</v>
      </c>
      <c r="AP1132" s="552">
        <f t="shared" ref="AP1132:BU1132" si="3210">AP174*AP$338</f>
        <v>0</v>
      </c>
      <c r="AQ1132" s="552">
        <f t="shared" si="3210"/>
        <v>0</v>
      </c>
      <c r="AR1132" s="552">
        <f t="shared" si="3210"/>
        <v>0</v>
      </c>
      <c r="AS1132" s="552">
        <f t="shared" si="3210"/>
        <v>0</v>
      </c>
      <c r="AT1132" s="552">
        <f t="shared" si="3210"/>
        <v>0</v>
      </c>
      <c r="AU1132" s="552">
        <f t="shared" si="3210"/>
        <v>0</v>
      </c>
      <c r="AV1132" s="552">
        <f t="shared" si="3210"/>
        <v>0</v>
      </c>
      <c r="AW1132" s="552">
        <f t="shared" si="3210"/>
        <v>0</v>
      </c>
      <c r="AX1132" s="552">
        <f t="shared" si="3210"/>
        <v>0</v>
      </c>
      <c r="AY1132" s="552">
        <f t="shared" si="3210"/>
        <v>0</v>
      </c>
      <c r="AZ1132" s="552">
        <f t="shared" si="3210"/>
        <v>0</v>
      </c>
      <c r="BA1132" s="552">
        <f t="shared" si="3210"/>
        <v>0</v>
      </c>
      <c r="BB1132" s="552">
        <f t="shared" si="3210"/>
        <v>0</v>
      </c>
      <c r="BC1132" s="552">
        <f t="shared" si="3210"/>
        <v>0</v>
      </c>
      <c r="BD1132" s="552">
        <f t="shared" si="3210"/>
        <v>0</v>
      </c>
      <c r="BE1132" s="552">
        <f t="shared" si="3210"/>
        <v>0</v>
      </c>
      <c r="BF1132" s="552">
        <f t="shared" si="3210"/>
        <v>0</v>
      </c>
      <c r="BG1132" s="552">
        <f t="shared" si="3210"/>
        <v>0</v>
      </c>
      <c r="BH1132" s="552">
        <f t="shared" si="3210"/>
        <v>0</v>
      </c>
      <c r="BI1132" s="552">
        <f t="shared" si="3210"/>
        <v>0</v>
      </c>
      <c r="BJ1132" s="552">
        <f t="shared" si="3210"/>
        <v>0</v>
      </c>
      <c r="BK1132" s="552">
        <f t="shared" si="3210"/>
        <v>0</v>
      </c>
      <c r="BL1132" s="552">
        <f t="shared" si="3210"/>
        <v>0</v>
      </c>
      <c r="BM1132" s="552">
        <f t="shared" si="3210"/>
        <v>0</v>
      </c>
      <c r="BN1132" s="552">
        <f t="shared" si="3210"/>
        <v>0</v>
      </c>
      <c r="BO1132" s="552">
        <f t="shared" si="3210"/>
        <v>0</v>
      </c>
      <c r="BP1132" s="552">
        <f t="shared" si="3210"/>
        <v>0</v>
      </c>
      <c r="BQ1132" s="552">
        <f t="shared" si="3210"/>
        <v>0</v>
      </c>
      <c r="BR1132" s="552">
        <f t="shared" si="3210"/>
        <v>0</v>
      </c>
      <c r="BS1132" s="552">
        <f t="shared" si="3210"/>
        <v>0</v>
      </c>
      <c r="BT1132" s="552">
        <f t="shared" si="3210"/>
        <v>0</v>
      </c>
      <c r="BU1132" s="552">
        <f t="shared" si="3210"/>
        <v>0</v>
      </c>
      <c r="BV1132" s="552">
        <f t="shared" ref="BV1132:DA1132" si="3211">BV174*BV$338</f>
        <v>0</v>
      </c>
      <c r="BW1132" s="552">
        <f t="shared" si="3211"/>
        <v>0</v>
      </c>
      <c r="BX1132" s="552">
        <f t="shared" si="3211"/>
        <v>0</v>
      </c>
      <c r="BY1132" s="552">
        <f t="shared" si="3211"/>
        <v>0</v>
      </c>
      <c r="BZ1132" s="552">
        <f t="shared" si="3211"/>
        <v>0</v>
      </c>
      <c r="CA1132" s="552">
        <f t="shared" si="3211"/>
        <v>0</v>
      </c>
      <c r="CB1132" s="552">
        <f t="shared" si="3211"/>
        <v>0</v>
      </c>
      <c r="CC1132" s="552">
        <f t="shared" si="3211"/>
        <v>0</v>
      </c>
      <c r="CD1132" s="552">
        <f t="shared" si="3211"/>
        <v>0</v>
      </c>
      <c r="CE1132" s="552">
        <f t="shared" si="3211"/>
        <v>0</v>
      </c>
      <c r="CF1132" s="552">
        <f t="shared" si="3211"/>
        <v>0</v>
      </c>
      <c r="CG1132" s="552">
        <f t="shared" si="3211"/>
        <v>0</v>
      </c>
      <c r="CH1132" s="552">
        <f t="shared" si="3211"/>
        <v>0</v>
      </c>
      <c r="CI1132" s="552">
        <f t="shared" si="3211"/>
        <v>0</v>
      </c>
      <c r="CJ1132" s="552">
        <f t="shared" si="3211"/>
        <v>0</v>
      </c>
      <c r="CK1132" s="552">
        <f t="shared" si="3211"/>
        <v>0</v>
      </c>
      <c r="CL1132" s="552">
        <f t="shared" si="3211"/>
        <v>0</v>
      </c>
      <c r="CM1132" s="552">
        <f t="shared" si="3211"/>
        <v>0</v>
      </c>
      <c r="CN1132" s="552">
        <f t="shared" si="3211"/>
        <v>0</v>
      </c>
      <c r="CO1132" s="552">
        <f t="shared" si="3211"/>
        <v>0</v>
      </c>
      <c r="CP1132" s="552">
        <f t="shared" si="3211"/>
        <v>0</v>
      </c>
      <c r="CQ1132" s="552">
        <f t="shared" si="3211"/>
        <v>0</v>
      </c>
      <c r="CR1132" s="552">
        <f t="shared" si="3211"/>
        <v>0</v>
      </c>
      <c r="CS1132" s="552">
        <f t="shared" si="3211"/>
        <v>0</v>
      </c>
      <c r="CT1132" s="552">
        <f t="shared" si="3211"/>
        <v>0</v>
      </c>
      <c r="CU1132" s="552">
        <f t="shared" si="3211"/>
        <v>0</v>
      </c>
      <c r="CV1132" s="552">
        <f t="shared" si="3211"/>
        <v>0</v>
      </c>
      <c r="CW1132" s="552">
        <f t="shared" si="3211"/>
        <v>0</v>
      </c>
      <c r="CX1132" s="552">
        <f t="shared" si="3211"/>
        <v>0</v>
      </c>
      <c r="CY1132" s="552">
        <f t="shared" si="3211"/>
        <v>0</v>
      </c>
      <c r="CZ1132" s="552">
        <f t="shared" si="3211"/>
        <v>0</v>
      </c>
      <c r="DA1132" s="552">
        <f t="shared" si="3211"/>
        <v>0</v>
      </c>
      <c r="DB1132" s="552">
        <f t="shared" ref="DB1132:EG1132" si="3212">DB174*DB$338</f>
        <v>0</v>
      </c>
      <c r="DC1132" s="552">
        <f t="shared" si="3212"/>
        <v>0</v>
      </c>
      <c r="DD1132" s="552">
        <f t="shared" si="3212"/>
        <v>0</v>
      </c>
      <c r="DE1132" s="552">
        <f t="shared" si="3212"/>
        <v>0</v>
      </c>
      <c r="DF1132" s="552">
        <f t="shared" si="3212"/>
        <v>0</v>
      </c>
      <c r="DG1132" s="552">
        <f t="shared" si="3212"/>
        <v>0</v>
      </c>
      <c r="DH1132" s="552">
        <f t="shared" si="3212"/>
        <v>0</v>
      </c>
      <c r="DI1132" s="552">
        <f t="shared" si="3212"/>
        <v>0</v>
      </c>
      <c r="DJ1132" s="552">
        <f t="shared" si="3212"/>
        <v>0</v>
      </c>
      <c r="DK1132" s="552">
        <f t="shared" si="3212"/>
        <v>0</v>
      </c>
      <c r="DL1132" s="552">
        <f t="shared" si="3212"/>
        <v>0</v>
      </c>
      <c r="DM1132" s="552">
        <f t="shared" si="3212"/>
        <v>0</v>
      </c>
      <c r="DN1132" s="552">
        <f t="shared" si="3212"/>
        <v>0</v>
      </c>
      <c r="DO1132" s="552">
        <f t="shared" si="3212"/>
        <v>0</v>
      </c>
      <c r="DP1132" s="552">
        <f t="shared" si="3212"/>
        <v>0</v>
      </c>
      <c r="DQ1132" s="552">
        <f t="shared" si="3212"/>
        <v>0</v>
      </c>
      <c r="DR1132" s="552">
        <f t="shared" si="3212"/>
        <v>0</v>
      </c>
      <c r="DS1132" s="552">
        <f t="shared" si="3212"/>
        <v>0</v>
      </c>
      <c r="DT1132" s="552">
        <f t="shared" si="3212"/>
        <v>0</v>
      </c>
      <c r="DU1132" s="552">
        <f t="shared" si="3212"/>
        <v>0</v>
      </c>
      <c r="DV1132" s="552">
        <f t="shared" si="3212"/>
        <v>0</v>
      </c>
      <c r="DW1132" s="552">
        <f t="shared" si="3212"/>
        <v>0</v>
      </c>
      <c r="DX1132" s="552">
        <f t="shared" si="3212"/>
        <v>0</v>
      </c>
      <c r="DY1132" s="552">
        <f t="shared" si="3212"/>
        <v>0</v>
      </c>
      <c r="DZ1132" s="552">
        <f t="shared" si="3212"/>
        <v>0</v>
      </c>
      <c r="EA1132" s="552">
        <f t="shared" si="3212"/>
        <v>0</v>
      </c>
      <c r="EB1132" s="552">
        <f t="shared" si="3212"/>
        <v>0</v>
      </c>
      <c r="EC1132" s="552">
        <f t="shared" si="3212"/>
        <v>0</v>
      </c>
      <c r="ED1132" s="552">
        <f t="shared" si="3212"/>
        <v>0</v>
      </c>
      <c r="EE1132" s="552">
        <f t="shared" si="3212"/>
        <v>0</v>
      </c>
      <c r="EF1132" s="552">
        <f t="shared" si="3212"/>
        <v>0</v>
      </c>
      <c r="EG1132" s="552">
        <f t="shared" si="3212"/>
        <v>0</v>
      </c>
      <c r="EH1132" s="552">
        <f t="shared" ref="EH1132:EX1132" si="3213">EH174*EH$338</f>
        <v>0</v>
      </c>
      <c r="EI1132" s="552">
        <f t="shared" si="3213"/>
        <v>0</v>
      </c>
      <c r="EJ1132" s="552">
        <f t="shared" si="3213"/>
        <v>0</v>
      </c>
      <c r="EK1132" s="552">
        <f t="shared" si="3213"/>
        <v>0</v>
      </c>
      <c r="EL1132" s="552">
        <f t="shared" si="3213"/>
        <v>0</v>
      </c>
      <c r="EM1132" s="552">
        <f t="shared" si="3213"/>
        <v>0</v>
      </c>
      <c r="EN1132" s="552">
        <f t="shared" si="3213"/>
        <v>0</v>
      </c>
      <c r="EO1132" s="552">
        <f t="shared" si="3213"/>
        <v>0</v>
      </c>
      <c r="EP1132" s="552">
        <f t="shared" si="3213"/>
        <v>0</v>
      </c>
      <c r="EQ1132" s="552">
        <f t="shared" si="3213"/>
        <v>0</v>
      </c>
      <c r="ER1132" s="552">
        <f t="shared" si="3213"/>
        <v>0</v>
      </c>
      <c r="ES1132" s="552">
        <f t="shared" si="3213"/>
        <v>0</v>
      </c>
      <c r="ET1132" s="552">
        <f t="shared" si="3213"/>
        <v>0</v>
      </c>
      <c r="EU1132" s="552">
        <f t="shared" si="3213"/>
        <v>0</v>
      </c>
      <c r="EV1132" s="552">
        <f t="shared" si="3213"/>
        <v>0</v>
      </c>
      <c r="EW1132" s="552">
        <f t="shared" si="3213"/>
        <v>0</v>
      </c>
      <c r="EX1132" s="552">
        <f t="shared" si="3213"/>
        <v>0</v>
      </c>
      <c r="EY1132" s="799">
        <f t="shared" si="3177"/>
        <v>0</v>
      </c>
      <c r="EZ1132" s="640"/>
      <c r="FA1132" s="640"/>
      <c r="FB1132" s="640"/>
      <c r="FC1132" s="640"/>
      <c r="FD1132" s="640"/>
      <c r="FE1132" s="640"/>
      <c r="FF1132" s="640"/>
      <c r="FG1132" s="640"/>
      <c r="FH1132" s="640"/>
      <c r="FI1132" s="640"/>
      <c r="FJ1132" s="640"/>
      <c r="FK1132" s="640"/>
      <c r="FL1132" s="640"/>
    </row>
    <row r="1133" spans="1:168" s="1034" customFormat="1" x14ac:dyDescent="0.25">
      <c r="A1133" s="1033"/>
      <c r="B1133" s="624">
        <f t="shared" si="3170"/>
        <v>0</v>
      </c>
      <c r="C1133" s="624">
        <f t="shared" si="3170"/>
        <v>0</v>
      </c>
      <c r="D1133" s="624">
        <f t="shared" si="3170"/>
        <v>0</v>
      </c>
      <c r="E1133" s="1158">
        <f t="shared" si="3178"/>
        <v>0</v>
      </c>
      <c r="F1133" s="1158"/>
      <c r="G1133" s="1140"/>
      <c r="H1133" s="1140"/>
      <c r="I1133" s="552"/>
      <c r="J1133" s="552">
        <f t="shared" ref="J1133:AO1133" si="3214">J175*J$338</f>
        <v>0</v>
      </c>
      <c r="K1133" s="552">
        <f t="shared" si="3214"/>
        <v>0</v>
      </c>
      <c r="L1133" s="552">
        <f t="shared" si="3214"/>
        <v>0</v>
      </c>
      <c r="M1133" s="552">
        <f t="shared" si="3214"/>
        <v>0</v>
      </c>
      <c r="N1133" s="552">
        <f t="shared" si="3214"/>
        <v>0</v>
      </c>
      <c r="O1133" s="552">
        <f t="shared" si="3214"/>
        <v>0</v>
      </c>
      <c r="P1133" s="552">
        <f t="shared" si="3214"/>
        <v>0</v>
      </c>
      <c r="Q1133" s="552">
        <f t="shared" si="3214"/>
        <v>0</v>
      </c>
      <c r="R1133" s="552">
        <f t="shared" si="3214"/>
        <v>0</v>
      </c>
      <c r="S1133" s="552">
        <f t="shared" si="3214"/>
        <v>0</v>
      </c>
      <c r="T1133" s="552">
        <f t="shared" si="3214"/>
        <v>0</v>
      </c>
      <c r="U1133" s="552">
        <f t="shared" si="3214"/>
        <v>0</v>
      </c>
      <c r="V1133" s="552">
        <f t="shared" si="3214"/>
        <v>0</v>
      </c>
      <c r="W1133" s="552">
        <f t="shared" si="3214"/>
        <v>0</v>
      </c>
      <c r="X1133" s="552">
        <f t="shared" si="3214"/>
        <v>0</v>
      </c>
      <c r="Y1133" s="552">
        <f t="shared" si="3214"/>
        <v>0</v>
      </c>
      <c r="Z1133" s="552">
        <f t="shared" si="3214"/>
        <v>0</v>
      </c>
      <c r="AA1133" s="552">
        <f t="shared" si="3214"/>
        <v>0</v>
      </c>
      <c r="AB1133" s="552">
        <f t="shared" si="3214"/>
        <v>0</v>
      </c>
      <c r="AC1133" s="552">
        <f t="shared" si="3214"/>
        <v>0</v>
      </c>
      <c r="AD1133" s="552">
        <f t="shared" si="3214"/>
        <v>0</v>
      </c>
      <c r="AE1133" s="552">
        <f t="shared" si="3214"/>
        <v>0</v>
      </c>
      <c r="AF1133" s="552">
        <f t="shared" si="3214"/>
        <v>0</v>
      </c>
      <c r="AG1133" s="552">
        <f t="shared" si="3214"/>
        <v>0</v>
      </c>
      <c r="AH1133" s="552">
        <f t="shared" si="3214"/>
        <v>0</v>
      </c>
      <c r="AI1133" s="552">
        <f t="shared" si="3214"/>
        <v>0</v>
      </c>
      <c r="AJ1133" s="552">
        <f t="shared" si="3214"/>
        <v>0</v>
      </c>
      <c r="AK1133" s="552">
        <f t="shared" si="3214"/>
        <v>0</v>
      </c>
      <c r="AL1133" s="552">
        <f t="shared" si="3214"/>
        <v>0</v>
      </c>
      <c r="AM1133" s="552">
        <f t="shared" si="3214"/>
        <v>0</v>
      </c>
      <c r="AN1133" s="552">
        <f t="shared" si="3214"/>
        <v>0</v>
      </c>
      <c r="AO1133" s="552">
        <f t="shared" si="3214"/>
        <v>0</v>
      </c>
      <c r="AP1133" s="552">
        <f t="shared" ref="AP1133:BU1133" si="3215">AP175*AP$338</f>
        <v>0</v>
      </c>
      <c r="AQ1133" s="552">
        <f t="shared" si="3215"/>
        <v>0</v>
      </c>
      <c r="AR1133" s="552">
        <f t="shared" si="3215"/>
        <v>0</v>
      </c>
      <c r="AS1133" s="552">
        <f t="shared" si="3215"/>
        <v>0</v>
      </c>
      <c r="AT1133" s="552">
        <f t="shared" si="3215"/>
        <v>0</v>
      </c>
      <c r="AU1133" s="552">
        <f t="shared" si="3215"/>
        <v>0</v>
      </c>
      <c r="AV1133" s="552">
        <f t="shared" si="3215"/>
        <v>0</v>
      </c>
      <c r="AW1133" s="552">
        <f t="shared" si="3215"/>
        <v>0</v>
      </c>
      <c r="AX1133" s="552">
        <f t="shared" si="3215"/>
        <v>0</v>
      </c>
      <c r="AY1133" s="552">
        <f t="shared" si="3215"/>
        <v>0</v>
      </c>
      <c r="AZ1133" s="552">
        <f t="shared" si="3215"/>
        <v>0</v>
      </c>
      <c r="BA1133" s="552">
        <f t="shared" si="3215"/>
        <v>0</v>
      </c>
      <c r="BB1133" s="552">
        <f t="shared" si="3215"/>
        <v>0</v>
      </c>
      <c r="BC1133" s="552">
        <f t="shared" si="3215"/>
        <v>0</v>
      </c>
      <c r="BD1133" s="552">
        <f t="shared" si="3215"/>
        <v>0</v>
      </c>
      <c r="BE1133" s="552">
        <f t="shared" si="3215"/>
        <v>0</v>
      </c>
      <c r="BF1133" s="552">
        <f t="shared" si="3215"/>
        <v>0</v>
      </c>
      <c r="BG1133" s="552">
        <f t="shared" si="3215"/>
        <v>0</v>
      </c>
      <c r="BH1133" s="552">
        <f t="shared" si="3215"/>
        <v>0</v>
      </c>
      <c r="BI1133" s="552">
        <f t="shared" si="3215"/>
        <v>0</v>
      </c>
      <c r="BJ1133" s="552">
        <f t="shared" si="3215"/>
        <v>0</v>
      </c>
      <c r="BK1133" s="552">
        <f t="shared" si="3215"/>
        <v>0</v>
      </c>
      <c r="BL1133" s="552">
        <f t="shared" si="3215"/>
        <v>0</v>
      </c>
      <c r="BM1133" s="552">
        <f t="shared" si="3215"/>
        <v>0</v>
      </c>
      <c r="BN1133" s="552">
        <f t="shared" si="3215"/>
        <v>0</v>
      </c>
      <c r="BO1133" s="552">
        <f t="shared" si="3215"/>
        <v>0</v>
      </c>
      <c r="BP1133" s="552">
        <f t="shared" si="3215"/>
        <v>0</v>
      </c>
      <c r="BQ1133" s="552">
        <f t="shared" si="3215"/>
        <v>0</v>
      </c>
      <c r="BR1133" s="552">
        <f t="shared" si="3215"/>
        <v>0</v>
      </c>
      <c r="BS1133" s="552">
        <f t="shared" si="3215"/>
        <v>0</v>
      </c>
      <c r="BT1133" s="552">
        <f t="shared" si="3215"/>
        <v>0</v>
      </c>
      <c r="BU1133" s="552">
        <f t="shared" si="3215"/>
        <v>0</v>
      </c>
      <c r="BV1133" s="552">
        <f t="shared" ref="BV1133:DA1133" si="3216">BV175*BV$338</f>
        <v>0</v>
      </c>
      <c r="BW1133" s="552">
        <f t="shared" si="3216"/>
        <v>0</v>
      </c>
      <c r="BX1133" s="552">
        <f t="shared" si="3216"/>
        <v>0</v>
      </c>
      <c r="BY1133" s="552">
        <f t="shared" si="3216"/>
        <v>0</v>
      </c>
      <c r="BZ1133" s="552">
        <f t="shared" si="3216"/>
        <v>0</v>
      </c>
      <c r="CA1133" s="552">
        <f t="shared" si="3216"/>
        <v>0</v>
      </c>
      <c r="CB1133" s="552">
        <f t="shared" si="3216"/>
        <v>0</v>
      </c>
      <c r="CC1133" s="552">
        <f t="shared" si="3216"/>
        <v>0</v>
      </c>
      <c r="CD1133" s="552">
        <f t="shared" si="3216"/>
        <v>0</v>
      </c>
      <c r="CE1133" s="552">
        <f t="shared" si="3216"/>
        <v>0</v>
      </c>
      <c r="CF1133" s="552">
        <f t="shared" si="3216"/>
        <v>0</v>
      </c>
      <c r="CG1133" s="552">
        <f t="shared" si="3216"/>
        <v>0</v>
      </c>
      <c r="CH1133" s="552">
        <f t="shared" si="3216"/>
        <v>0</v>
      </c>
      <c r="CI1133" s="552">
        <f t="shared" si="3216"/>
        <v>0</v>
      </c>
      <c r="CJ1133" s="552">
        <f t="shared" si="3216"/>
        <v>0</v>
      </c>
      <c r="CK1133" s="552">
        <f t="shared" si="3216"/>
        <v>0</v>
      </c>
      <c r="CL1133" s="552">
        <f t="shared" si="3216"/>
        <v>0</v>
      </c>
      <c r="CM1133" s="552">
        <f t="shared" si="3216"/>
        <v>0</v>
      </c>
      <c r="CN1133" s="552">
        <f t="shared" si="3216"/>
        <v>0</v>
      </c>
      <c r="CO1133" s="552">
        <f t="shared" si="3216"/>
        <v>0</v>
      </c>
      <c r="CP1133" s="552">
        <f t="shared" si="3216"/>
        <v>0</v>
      </c>
      <c r="CQ1133" s="552">
        <f t="shared" si="3216"/>
        <v>0</v>
      </c>
      <c r="CR1133" s="552">
        <f t="shared" si="3216"/>
        <v>0</v>
      </c>
      <c r="CS1133" s="552">
        <f t="shared" si="3216"/>
        <v>0</v>
      </c>
      <c r="CT1133" s="552">
        <f t="shared" si="3216"/>
        <v>0</v>
      </c>
      <c r="CU1133" s="552">
        <f t="shared" si="3216"/>
        <v>0</v>
      </c>
      <c r="CV1133" s="552">
        <f t="shared" si="3216"/>
        <v>0</v>
      </c>
      <c r="CW1133" s="552">
        <f t="shared" si="3216"/>
        <v>0</v>
      </c>
      <c r="CX1133" s="552">
        <f t="shared" si="3216"/>
        <v>0</v>
      </c>
      <c r="CY1133" s="552">
        <f t="shared" si="3216"/>
        <v>0</v>
      </c>
      <c r="CZ1133" s="552">
        <f t="shared" si="3216"/>
        <v>0</v>
      </c>
      <c r="DA1133" s="552">
        <f t="shared" si="3216"/>
        <v>0</v>
      </c>
      <c r="DB1133" s="552">
        <f t="shared" ref="DB1133:EG1133" si="3217">DB175*DB$338</f>
        <v>0</v>
      </c>
      <c r="DC1133" s="552">
        <f t="shared" si="3217"/>
        <v>0</v>
      </c>
      <c r="DD1133" s="552">
        <f t="shared" si="3217"/>
        <v>0</v>
      </c>
      <c r="DE1133" s="552">
        <f t="shared" si="3217"/>
        <v>0</v>
      </c>
      <c r="DF1133" s="552">
        <f t="shared" si="3217"/>
        <v>0</v>
      </c>
      <c r="DG1133" s="552">
        <f t="shared" si="3217"/>
        <v>0</v>
      </c>
      <c r="DH1133" s="552">
        <f t="shared" si="3217"/>
        <v>0</v>
      </c>
      <c r="DI1133" s="552">
        <f t="shared" si="3217"/>
        <v>0</v>
      </c>
      <c r="DJ1133" s="552">
        <f t="shared" si="3217"/>
        <v>0</v>
      </c>
      <c r="DK1133" s="552">
        <f t="shared" si="3217"/>
        <v>0</v>
      </c>
      <c r="DL1133" s="552">
        <f t="shared" si="3217"/>
        <v>0</v>
      </c>
      <c r="DM1133" s="552">
        <f t="shared" si="3217"/>
        <v>0</v>
      </c>
      <c r="DN1133" s="552">
        <f t="shared" si="3217"/>
        <v>0</v>
      </c>
      <c r="DO1133" s="552">
        <f t="shared" si="3217"/>
        <v>0</v>
      </c>
      <c r="DP1133" s="552">
        <f t="shared" si="3217"/>
        <v>0</v>
      </c>
      <c r="DQ1133" s="552">
        <f t="shared" si="3217"/>
        <v>0</v>
      </c>
      <c r="DR1133" s="552">
        <f t="shared" si="3217"/>
        <v>0</v>
      </c>
      <c r="DS1133" s="552">
        <f t="shared" si="3217"/>
        <v>0</v>
      </c>
      <c r="DT1133" s="552">
        <f t="shared" si="3217"/>
        <v>0</v>
      </c>
      <c r="DU1133" s="552">
        <f t="shared" si="3217"/>
        <v>0</v>
      </c>
      <c r="DV1133" s="552">
        <f t="shared" si="3217"/>
        <v>0</v>
      </c>
      <c r="DW1133" s="552">
        <f t="shared" si="3217"/>
        <v>0</v>
      </c>
      <c r="DX1133" s="552">
        <f t="shared" si="3217"/>
        <v>0</v>
      </c>
      <c r="DY1133" s="552">
        <f t="shared" si="3217"/>
        <v>0</v>
      </c>
      <c r="DZ1133" s="552">
        <f t="shared" si="3217"/>
        <v>0</v>
      </c>
      <c r="EA1133" s="552">
        <f t="shared" si="3217"/>
        <v>0</v>
      </c>
      <c r="EB1133" s="552">
        <f t="shared" si="3217"/>
        <v>0</v>
      </c>
      <c r="EC1133" s="552">
        <f t="shared" si="3217"/>
        <v>0</v>
      </c>
      <c r="ED1133" s="552">
        <f t="shared" si="3217"/>
        <v>0</v>
      </c>
      <c r="EE1133" s="552">
        <f t="shared" si="3217"/>
        <v>0</v>
      </c>
      <c r="EF1133" s="552">
        <f t="shared" si="3217"/>
        <v>0</v>
      </c>
      <c r="EG1133" s="552">
        <f t="shared" si="3217"/>
        <v>0</v>
      </c>
      <c r="EH1133" s="552">
        <f t="shared" ref="EH1133:EX1133" si="3218">EH175*EH$338</f>
        <v>0</v>
      </c>
      <c r="EI1133" s="552">
        <f t="shared" si="3218"/>
        <v>0</v>
      </c>
      <c r="EJ1133" s="552">
        <f t="shared" si="3218"/>
        <v>0</v>
      </c>
      <c r="EK1133" s="552">
        <f t="shared" si="3218"/>
        <v>0</v>
      </c>
      <c r="EL1133" s="552">
        <f t="shared" si="3218"/>
        <v>0</v>
      </c>
      <c r="EM1133" s="552">
        <f t="shared" si="3218"/>
        <v>0</v>
      </c>
      <c r="EN1133" s="552">
        <f t="shared" si="3218"/>
        <v>0</v>
      </c>
      <c r="EO1133" s="552">
        <f t="shared" si="3218"/>
        <v>0</v>
      </c>
      <c r="EP1133" s="552">
        <f t="shared" si="3218"/>
        <v>0</v>
      </c>
      <c r="EQ1133" s="552">
        <f t="shared" si="3218"/>
        <v>0</v>
      </c>
      <c r="ER1133" s="552">
        <f t="shared" si="3218"/>
        <v>0</v>
      </c>
      <c r="ES1133" s="552">
        <f t="shared" si="3218"/>
        <v>0</v>
      </c>
      <c r="ET1133" s="552">
        <f t="shared" si="3218"/>
        <v>0</v>
      </c>
      <c r="EU1133" s="552">
        <f t="shared" si="3218"/>
        <v>0</v>
      </c>
      <c r="EV1133" s="552">
        <f t="shared" si="3218"/>
        <v>0</v>
      </c>
      <c r="EW1133" s="552">
        <f t="shared" si="3218"/>
        <v>0</v>
      </c>
      <c r="EX1133" s="552">
        <f t="shared" si="3218"/>
        <v>0</v>
      </c>
      <c r="EY1133" s="799">
        <f t="shared" si="3177"/>
        <v>0</v>
      </c>
      <c r="EZ1133" s="640"/>
      <c r="FA1133" s="640"/>
      <c r="FB1133" s="640"/>
      <c r="FC1133" s="640"/>
      <c r="FD1133" s="640"/>
      <c r="FE1133" s="640"/>
      <c r="FF1133" s="640"/>
      <c r="FG1133" s="640"/>
      <c r="FH1133" s="640"/>
      <c r="FI1133" s="640"/>
      <c r="FJ1133" s="640"/>
      <c r="FK1133" s="640"/>
      <c r="FL1133" s="640"/>
    </row>
    <row r="1134" spans="1:168" x14ac:dyDescent="0.25">
      <c r="A1134" s="254"/>
      <c r="B1134" s="625" t="s">
        <v>111</v>
      </c>
      <c r="C1134" s="1135"/>
      <c r="D1134" s="1138">
        <f>SUM(D1125:D1133)</f>
        <v>14.45</v>
      </c>
      <c r="E1134" s="1138">
        <f t="shared" ref="E1134:J1134" si="3219">SUM(E1125:E1133)</f>
        <v>43.9</v>
      </c>
      <c r="F1134" s="1138"/>
      <c r="G1134" s="1138">
        <f t="shared" si="3219"/>
        <v>0</v>
      </c>
      <c r="H1134" s="1138">
        <f t="shared" si="3219"/>
        <v>0</v>
      </c>
      <c r="I1134" s="554"/>
      <c r="J1134" s="1138">
        <f t="shared" si="3219"/>
        <v>0</v>
      </c>
      <c r="K1134" s="1138">
        <f t="shared" ref="K1134" si="3220">SUM(K1125:K1133)</f>
        <v>0</v>
      </c>
      <c r="L1134" s="1138">
        <f t="shared" ref="L1134" si="3221">SUM(L1125:L1133)</f>
        <v>0</v>
      </c>
      <c r="M1134" s="1138">
        <f t="shared" ref="M1134" si="3222">SUM(M1125:M1133)</f>
        <v>0</v>
      </c>
      <c r="N1134" s="1138">
        <f t="shared" ref="N1134" si="3223">SUM(N1125:N1133)</f>
        <v>0</v>
      </c>
      <c r="O1134" s="1138">
        <f t="shared" ref="O1134" si="3224">SUM(O1125:O1133)</f>
        <v>0</v>
      </c>
      <c r="P1134" s="1138">
        <f t="shared" ref="P1134" si="3225">SUM(P1125:P1133)</f>
        <v>0</v>
      </c>
      <c r="Q1134" s="1138">
        <f t="shared" ref="Q1134" si="3226">SUM(Q1125:Q1133)</f>
        <v>0</v>
      </c>
      <c r="R1134" s="1138">
        <f t="shared" ref="R1134" si="3227">SUM(R1125:R1133)</f>
        <v>0</v>
      </c>
      <c r="S1134" s="1138">
        <f t="shared" ref="S1134" si="3228">SUM(S1125:S1133)</f>
        <v>0</v>
      </c>
      <c r="T1134" s="1138">
        <f t="shared" ref="T1134" si="3229">SUM(T1125:T1133)</f>
        <v>0</v>
      </c>
      <c r="U1134" s="1138">
        <f t="shared" ref="U1134" si="3230">SUM(U1125:U1133)</f>
        <v>8</v>
      </c>
      <c r="V1134" s="1138">
        <f t="shared" ref="V1134" si="3231">SUM(V1125:V1133)</f>
        <v>14.2</v>
      </c>
      <c r="W1134" s="1138">
        <f t="shared" ref="W1134" si="3232">SUM(W1125:W1133)</f>
        <v>11.5</v>
      </c>
      <c r="X1134" s="1138">
        <f t="shared" ref="X1134" si="3233">SUM(X1125:X1133)</f>
        <v>0</v>
      </c>
      <c r="Y1134" s="1138">
        <f t="shared" ref="Y1134" si="3234">SUM(Y1125:Y1133)</f>
        <v>0</v>
      </c>
      <c r="Z1134" s="1138">
        <f t="shared" ref="Z1134" si="3235">SUM(Z1125:Z1133)</f>
        <v>0</v>
      </c>
      <c r="AA1134" s="1138">
        <f t="shared" ref="AA1134" si="3236">SUM(AA1125:AA1133)</f>
        <v>0</v>
      </c>
      <c r="AB1134" s="1138">
        <f t="shared" ref="AB1134" si="3237">SUM(AB1125:AB1133)</f>
        <v>0</v>
      </c>
      <c r="AC1134" s="1138">
        <f t="shared" ref="AC1134" si="3238">SUM(AC1125:AC1133)</f>
        <v>0</v>
      </c>
      <c r="AD1134" s="1138">
        <f t="shared" ref="AD1134" si="3239">SUM(AD1125:AD1133)</f>
        <v>0</v>
      </c>
      <c r="AE1134" s="1138">
        <f t="shared" ref="AE1134" si="3240">SUM(AE1125:AE1133)</f>
        <v>0</v>
      </c>
      <c r="AF1134" s="1138">
        <f t="shared" ref="AF1134" si="3241">SUM(AF1125:AF1133)</f>
        <v>0</v>
      </c>
      <c r="AG1134" s="1138">
        <f t="shared" ref="AG1134" si="3242">SUM(AG1125:AG1133)</f>
        <v>0</v>
      </c>
      <c r="AH1134" s="1138">
        <f t="shared" ref="AH1134" si="3243">SUM(AH1125:AH1133)</f>
        <v>0</v>
      </c>
      <c r="AI1134" s="1138">
        <f t="shared" ref="AI1134" si="3244">SUM(AI1125:AI1133)</f>
        <v>0</v>
      </c>
      <c r="AJ1134" s="1138">
        <f t="shared" ref="AJ1134" si="3245">SUM(AJ1125:AJ1133)</f>
        <v>0</v>
      </c>
      <c r="AK1134" s="1138">
        <f t="shared" ref="AK1134" si="3246">SUM(AK1125:AK1133)</f>
        <v>0</v>
      </c>
      <c r="AL1134" s="1138">
        <f t="shared" ref="AL1134" si="3247">SUM(AL1125:AL1133)</f>
        <v>0</v>
      </c>
      <c r="AM1134" s="1138">
        <f t="shared" ref="AM1134" si="3248">SUM(AM1125:AM1133)</f>
        <v>0</v>
      </c>
      <c r="AN1134" s="1138">
        <f t="shared" ref="AN1134" si="3249">SUM(AN1125:AN1133)</f>
        <v>0</v>
      </c>
      <c r="AO1134" s="1138">
        <f t="shared" ref="AO1134" si="3250">SUM(AO1125:AO1133)</f>
        <v>0</v>
      </c>
      <c r="AP1134" s="1138">
        <f t="shared" ref="AP1134" si="3251">SUM(AP1125:AP1133)</f>
        <v>0</v>
      </c>
      <c r="AQ1134" s="1138">
        <f t="shared" ref="AQ1134" si="3252">SUM(AQ1125:AQ1133)</f>
        <v>0</v>
      </c>
      <c r="AR1134" s="1138">
        <f t="shared" ref="AR1134" si="3253">SUM(AR1125:AR1133)</f>
        <v>0</v>
      </c>
      <c r="AS1134" s="1138">
        <f t="shared" ref="AS1134" si="3254">SUM(AS1125:AS1133)</f>
        <v>0</v>
      </c>
      <c r="AT1134" s="1138">
        <f t="shared" ref="AT1134" si="3255">SUM(AT1125:AT1133)</f>
        <v>0</v>
      </c>
      <c r="AU1134" s="1138">
        <f t="shared" ref="AU1134" si="3256">SUM(AU1125:AU1133)</f>
        <v>0</v>
      </c>
      <c r="AV1134" s="1138">
        <f t="shared" ref="AV1134" si="3257">SUM(AV1125:AV1133)</f>
        <v>0</v>
      </c>
      <c r="AW1134" s="1138">
        <f t="shared" ref="AW1134" si="3258">SUM(AW1125:AW1133)</f>
        <v>0</v>
      </c>
      <c r="AX1134" s="1138">
        <f t="shared" ref="AX1134" si="3259">SUM(AX1125:AX1133)</f>
        <v>0</v>
      </c>
      <c r="AY1134" s="1138">
        <f t="shared" ref="AY1134" si="3260">SUM(AY1125:AY1133)</f>
        <v>0</v>
      </c>
      <c r="AZ1134" s="1138">
        <f t="shared" ref="AZ1134" si="3261">SUM(AZ1125:AZ1133)</f>
        <v>0</v>
      </c>
      <c r="BA1134" s="1138">
        <f t="shared" ref="BA1134" si="3262">SUM(BA1125:BA1133)</f>
        <v>0</v>
      </c>
      <c r="BB1134" s="1138">
        <f t="shared" ref="BB1134" si="3263">SUM(BB1125:BB1133)</f>
        <v>0</v>
      </c>
      <c r="BC1134" s="1138">
        <f t="shared" ref="BC1134" si="3264">SUM(BC1125:BC1133)</f>
        <v>0</v>
      </c>
      <c r="BD1134" s="1138">
        <f t="shared" ref="BD1134" si="3265">SUM(BD1125:BD1133)</f>
        <v>0</v>
      </c>
      <c r="BE1134" s="1138">
        <f t="shared" ref="BE1134" si="3266">SUM(BE1125:BE1133)</f>
        <v>0</v>
      </c>
      <c r="BF1134" s="1138">
        <f t="shared" ref="BF1134" si="3267">SUM(BF1125:BF1133)</f>
        <v>0</v>
      </c>
      <c r="BG1134" s="1138">
        <f t="shared" ref="BG1134" si="3268">SUM(BG1125:BG1133)</f>
        <v>0</v>
      </c>
      <c r="BH1134" s="1138">
        <f t="shared" ref="BH1134" si="3269">SUM(BH1125:BH1133)</f>
        <v>0</v>
      </c>
      <c r="BI1134" s="1138">
        <f t="shared" ref="BI1134" si="3270">SUM(BI1125:BI1133)</f>
        <v>0</v>
      </c>
      <c r="BJ1134" s="1138">
        <f t="shared" ref="BJ1134" si="3271">SUM(BJ1125:BJ1133)</f>
        <v>0</v>
      </c>
      <c r="BK1134" s="1138">
        <f t="shared" ref="BK1134" si="3272">SUM(BK1125:BK1133)</f>
        <v>0</v>
      </c>
      <c r="BL1134" s="1138">
        <f t="shared" ref="BL1134" si="3273">SUM(BL1125:BL1133)</f>
        <v>0</v>
      </c>
      <c r="BM1134" s="1138">
        <f t="shared" ref="BM1134" si="3274">SUM(BM1125:BM1133)</f>
        <v>0</v>
      </c>
      <c r="BN1134" s="1138">
        <f t="shared" ref="BN1134" si="3275">SUM(BN1125:BN1133)</f>
        <v>0</v>
      </c>
      <c r="BO1134" s="1138">
        <f t="shared" ref="BO1134" si="3276">SUM(BO1125:BO1133)</f>
        <v>0</v>
      </c>
      <c r="BP1134" s="1138">
        <f t="shared" ref="BP1134" si="3277">SUM(BP1125:BP1133)</f>
        <v>0</v>
      </c>
      <c r="BQ1134" s="1138">
        <f t="shared" ref="BQ1134" si="3278">SUM(BQ1125:BQ1133)</f>
        <v>0</v>
      </c>
      <c r="BR1134" s="1138">
        <f t="shared" ref="BR1134" si="3279">SUM(BR1125:BR1133)</f>
        <v>0</v>
      </c>
      <c r="BS1134" s="1138">
        <f t="shared" ref="BS1134" si="3280">SUM(BS1125:BS1133)</f>
        <v>0</v>
      </c>
      <c r="BT1134" s="1138">
        <f t="shared" ref="BT1134" si="3281">SUM(BT1125:BT1133)</f>
        <v>0</v>
      </c>
      <c r="BU1134" s="1138">
        <f t="shared" ref="BU1134" si="3282">SUM(BU1125:BU1133)</f>
        <v>1.24</v>
      </c>
      <c r="BV1134" s="1138">
        <f t="shared" ref="BV1134" si="3283">SUM(BV1125:BV1133)</f>
        <v>0</v>
      </c>
      <c r="BW1134" s="1138">
        <f t="shared" ref="BW1134" si="3284">SUM(BW1125:BW1133)</f>
        <v>0</v>
      </c>
      <c r="BX1134" s="1138">
        <f t="shared" ref="BX1134" si="3285">SUM(BX1125:BX1133)</f>
        <v>0</v>
      </c>
      <c r="BY1134" s="1138">
        <f t="shared" ref="BY1134" si="3286">SUM(BY1125:BY1133)</f>
        <v>0</v>
      </c>
      <c r="BZ1134" s="1138">
        <f t="shared" ref="BZ1134" si="3287">SUM(BZ1125:BZ1133)</f>
        <v>0</v>
      </c>
      <c r="CA1134" s="1138">
        <f t="shared" ref="CA1134" si="3288">SUM(CA1125:CA1133)</f>
        <v>0</v>
      </c>
      <c r="CB1134" s="1138">
        <f t="shared" ref="CB1134" si="3289">SUM(CB1125:CB1133)</f>
        <v>0</v>
      </c>
      <c r="CC1134" s="1138">
        <f t="shared" ref="CC1134" si="3290">SUM(CC1125:CC1133)</f>
        <v>0</v>
      </c>
      <c r="CD1134" s="1138">
        <f t="shared" ref="CD1134" si="3291">SUM(CD1125:CD1133)</f>
        <v>0</v>
      </c>
      <c r="CE1134" s="1138">
        <f t="shared" ref="CE1134" si="3292">SUM(CE1125:CE1133)</f>
        <v>0</v>
      </c>
      <c r="CF1134" s="1138">
        <f t="shared" ref="CF1134" si="3293">SUM(CF1125:CF1133)</f>
        <v>0</v>
      </c>
      <c r="CG1134" s="1138">
        <f t="shared" ref="CG1134" si="3294">SUM(CG1125:CG1133)</f>
        <v>0</v>
      </c>
      <c r="CH1134" s="1138">
        <f t="shared" ref="CH1134" si="3295">SUM(CH1125:CH1133)</f>
        <v>0</v>
      </c>
      <c r="CI1134" s="1138">
        <f t="shared" ref="CI1134" si="3296">SUM(CI1125:CI1133)</f>
        <v>0</v>
      </c>
      <c r="CJ1134" s="1138">
        <f t="shared" ref="CJ1134" si="3297">SUM(CJ1125:CJ1133)</f>
        <v>0</v>
      </c>
      <c r="CK1134" s="1138">
        <f t="shared" ref="CK1134" si="3298">SUM(CK1125:CK1133)</f>
        <v>0</v>
      </c>
      <c r="CL1134" s="1138">
        <f t="shared" ref="CL1134" si="3299">SUM(CL1125:CL1133)</f>
        <v>0</v>
      </c>
      <c r="CM1134" s="1138">
        <f t="shared" ref="CM1134" si="3300">SUM(CM1125:CM1133)</f>
        <v>0</v>
      </c>
      <c r="CN1134" s="1138">
        <f t="shared" ref="CN1134" si="3301">SUM(CN1125:CN1133)</f>
        <v>0</v>
      </c>
      <c r="CO1134" s="1138">
        <f t="shared" ref="CO1134" si="3302">SUM(CO1125:CO1133)</f>
        <v>0</v>
      </c>
      <c r="CP1134" s="1138">
        <f t="shared" ref="CP1134" si="3303">SUM(CP1125:CP1133)</f>
        <v>0</v>
      </c>
      <c r="CQ1134" s="1138">
        <f t="shared" ref="CQ1134" si="3304">SUM(CQ1125:CQ1133)</f>
        <v>0</v>
      </c>
      <c r="CR1134" s="1138">
        <f t="shared" ref="CR1134" si="3305">SUM(CR1125:CR1133)</f>
        <v>0</v>
      </c>
      <c r="CS1134" s="1138">
        <f t="shared" ref="CS1134" si="3306">SUM(CS1125:CS1133)</f>
        <v>0</v>
      </c>
      <c r="CT1134" s="1138">
        <f t="shared" ref="CT1134" si="3307">SUM(CT1125:CT1133)</f>
        <v>0</v>
      </c>
      <c r="CU1134" s="1138">
        <f t="shared" ref="CU1134" si="3308">SUM(CU1125:CU1133)</f>
        <v>0</v>
      </c>
      <c r="CV1134" s="1138">
        <f t="shared" ref="CV1134" si="3309">SUM(CV1125:CV1133)</f>
        <v>0</v>
      </c>
      <c r="CW1134" s="1138">
        <f t="shared" ref="CW1134" si="3310">SUM(CW1125:CW1133)</f>
        <v>0</v>
      </c>
      <c r="CX1134" s="1138">
        <f t="shared" ref="CX1134" si="3311">SUM(CX1125:CX1133)</f>
        <v>0</v>
      </c>
      <c r="CY1134" s="1138">
        <f t="shared" ref="CY1134" si="3312">SUM(CY1125:CY1133)</f>
        <v>0</v>
      </c>
      <c r="CZ1134" s="1138">
        <f t="shared" ref="CZ1134" si="3313">SUM(CZ1125:CZ1133)</f>
        <v>2.36</v>
      </c>
      <c r="DA1134" s="1138">
        <f t="shared" ref="DA1134" si="3314">SUM(DA1125:DA1133)</f>
        <v>0</v>
      </c>
      <c r="DB1134" s="1138">
        <f t="shared" ref="DB1134" si="3315">SUM(DB1125:DB1133)</f>
        <v>0</v>
      </c>
      <c r="DC1134" s="1138">
        <f t="shared" ref="DC1134" si="3316">SUM(DC1125:DC1133)</f>
        <v>0</v>
      </c>
      <c r="DD1134" s="1138">
        <f t="shared" ref="DD1134" si="3317">SUM(DD1125:DD1133)</f>
        <v>0</v>
      </c>
      <c r="DE1134" s="1138">
        <f t="shared" ref="DE1134" si="3318">SUM(DE1125:DE1133)</f>
        <v>0</v>
      </c>
      <c r="DF1134" s="1138">
        <f t="shared" ref="DF1134" si="3319">SUM(DF1125:DF1133)</f>
        <v>0</v>
      </c>
      <c r="DG1134" s="1138">
        <f t="shared" ref="DG1134" si="3320">SUM(DG1125:DG1133)</f>
        <v>0</v>
      </c>
      <c r="DH1134" s="1138">
        <f t="shared" ref="DH1134" si="3321">SUM(DH1125:DH1133)</f>
        <v>0</v>
      </c>
      <c r="DI1134" s="1138">
        <f t="shared" ref="DI1134" si="3322">SUM(DI1125:DI1133)</f>
        <v>0</v>
      </c>
      <c r="DJ1134" s="1138">
        <f t="shared" ref="DJ1134" si="3323">SUM(DJ1125:DJ1133)</f>
        <v>0</v>
      </c>
      <c r="DK1134" s="1138">
        <f t="shared" ref="DK1134" si="3324">SUM(DK1125:DK1133)</f>
        <v>0</v>
      </c>
      <c r="DL1134" s="1138">
        <f t="shared" ref="DL1134" si="3325">SUM(DL1125:DL1133)</f>
        <v>0</v>
      </c>
      <c r="DM1134" s="1138">
        <f t="shared" ref="DM1134" si="3326">SUM(DM1125:DM1133)</f>
        <v>0</v>
      </c>
      <c r="DN1134" s="1138">
        <f t="shared" ref="DN1134" si="3327">SUM(DN1125:DN1133)</f>
        <v>0</v>
      </c>
      <c r="DO1134" s="1138">
        <f t="shared" ref="DO1134" si="3328">SUM(DO1125:DO1133)</f>
        <v>0</v>
      </c>
      <c r="DP1134" s="1138">
        <f t="shared" ref="DP1134" si="3329">SUM(DP1125:DP1133)</f>
        <v>0</v>
      </c>
      <c r="DQ1134" s="1138">
        <f t="shared" ref="DQ1134" si="3330">SUM(DQ1125:DQ1133)</f>
        <v>0</v>
      </c>
      <c r="DR1134" s="1138">
        <f t="shared" ref="DR1134" si="3331">SUM(DR1125:DR1133)</f>
        <v>0.45</v>
      </c>
      <c r="DS1134" s="1138">
        <f t="shared" ref="DS1134" si="3332">SUM(DS1125:DS1133)</f>
        <v>0</v>
      </c>
      <c r="DT1134" s="1138">
        <f t="shared" ref="DT1134" si="3333">SUM(DT1125:DT1133)</f>
        <v>0</v>
      </c>
      <c r="DU1134" s="1138">
        <f t="shared" ref="DU1134" si="3334">SUM(DU1125:DU1133)</f>
        <v>0</v>
      </c>
      <c r="DV1134" s="1138">
        <f t="shared" ref="DV1134" si="3335">SUM(DV1125:DV1133)</f>
        <v>0</v>
      </c>
      <c r="DW1134" s="1138">
        <f t="shared" ref="DW1134" si="3336">SUM(DW1125:DW1133)</f>
        <v>0</v>
      </c>
      <c r="DX1134" s="1138">
        <f t="shared" ref="DX1134" si="3337">SUM(DX1125:DX1133)</f>
        <v>0</v>
      </c>
      <c r="DY1134" s="1138">
        <f t="shared" ref="DY1134" si="3338">SUM(DY1125:DY1133)</f>
        <v>0</v>
      </c>
      <c r="DZ1134" s="1138">
        <f t="shared" ref="DZ1134" si="3339">SUM(DZ1125:DZ1133)</f>
        <v>0</v>
      </c>
      <c r="EA1134" s="1138">
        <f t="shared" ref="EA1134" si="3340">SUM(EA1125:EA1133)</f>
        <v>0</v>
      </c>
      <c r="EB1134" s="1138">
        <f t="shared" ref="EB1134" si="3341">SUM(EB1125:EB1133)</f>
        <v>2.9</v>
      </c>
      <c r="EC1134" s="1138">
        <f t="shared" ref="EC1134" si="3342">SUM(EC1125:EC1133)</f>
        <v>0</v>
      </c>
      <c r="ED1134" s="1138">
        <f t="shared" ref="ED1134" si="3343">SUM(ED1125:ED1133)</f>
        <v>0</v>
      </c>
      <c r="EE1134" s="1138">
        <f t="shared" ref="EE1134" si="3344">SUM(EE1125:EE1133)</f>
        <v>0</v>
      </c>
      <c r="EF1134" s="1138">
        <f t="shared" ref="EF1134" si="3345">SUM(EF1125:EF1133)</f>
        <v>0</v>
      </c>
      <c r="EG1134" s="1138">
        <f t="shared" ref="EG1134" si="3346">SUM(EG1125:EG1133)</f>
        <v>0</v>
      </c>
      <c r="EH1134" s="1138">
        <f t="shared" ref="EH1134" si="3347">SUM(EH1125:EH1133)</f>
        <v>0</v>
      </c>
      <c r="EI1134" s="1138">
        <f t="shared" ref="EI1134" si="3348">SUM(EI1125:EI1133)</f>
        <v>0</v>
      </c>
      <c r="EJ1134" s="1138">
        <f t="shared" ref="EJ1134" si="3349">SUM(EJ1125:EJ1133)</f>
        <v>0</v>
      </c>
      <c r="EK1134" s="1138">
        <f t="shared" ref="EK1134" si="3350">SUM(EK1125:EK1133)</f>
        <v>0</v>
      </c>
      <c r="EL1134" s="1138">
        <f t="shared" ref="EL1134" si="3351">SUM(EL1125:EL1133)</f>
        <v>0</v>
      </c>
      <c r="EM1134" s="1138">
        <f t="shared" ref="EM1134" si="3352">SUM(EM1125:EM1133)</f>
        <v>0</v>
      </c>
      <c r="EN1134" s="1138">
        <f t="shared" ref="EN1134" si="3353">SUM(EN1125:EN1133)</f>
        <v>0</v>
      </c>
      <c r="EO1134" s="1138">
        <f t="shared" ref="EO1134" si="3354">SUM(EO1125:EO1133)</f>
        <v>0</v>
      </c>
      <c r="EP1134" s="1138">
        <f t="shared" ref="EP1134" si="3355">SUM(EP1125:EP1133)</f>
        <v>0</v>
      </c>
      <c r="EQ1134" s="1138">
        <f t="shared" ref="EQ1134" si="3356">SUM(EQ1125:EQ1133)</f>
        <v>0</v>
      </c>
      <c r="ER1134" s="1138">
        <f t="shared" ref="ER1134" si="3357">SUM(ER1125:ER1133)</f>
        <v>0</v>
      </c>
      <c r="ES1134" s="1138">
        <f t="shared" ref="ES1134" si="3358">SUM(ES1125:ES1133)</f>
        <v>0</v>
      </c>
      <c r="ET1134" s="1138">
        <f t="shared" ref="ET1134" si="3359">SUM(ET1125:ET1133)</f>
        <v>0</v>
      </c>
      <c r="EU1134" s="1138">
        <f t="shared" ref="EU1134" si="3360">SUM(EU1125:EU1133)</f>
        <v>0</v>
      </c>
      <c r="EV1134" s="1138">
        <f t="shared" ref="EV1134" si="3361">SUM(EV1125:EV1133)</f>
        <v>1.95</v>
      </c>
      <c r="EW1134" s="1138">
        <f t="shared" ref="EW1134" si="3362">SUM(EW1125:EW1133)</f>
        <v>1.3</v>
      </c>
      <c r="EX1134" s="1138">
        <f t="shared" ref="EX1134:FL1134" si="3363">SUM(EX1125:EX1133)</f>
        <v>0</v>
      </c>
      <c r="EY1134" s="1138">
        <f t="shared" si="3363"/>
        <v>43.9</v>
      </c>
      <c r="EZ1134" s="1138">
        <f t="shared" si="3363"/>
        <v>0</v>
      </c>
      <c r="FA1134" s="1138">
        <f t="shared" si="3363"/>
        <v>0</v>
      </c>
      <c r="FB1134" s="1138">
        <f t="shared" si="3363"/>
        <v>0</v>
      </c>
      <c r="FC1134" s="1138">
        <f t="shared" si="3363"/>
        <v>0</v>
      </c>
      <c r="FD1134" s="1138">
        <f t="shared" si="3363"/>
        <v>0</v>
      </c>
      <c r="FE1134" s="1138">
        <f t="shared" si="3363"/>
        <v>0</v>
      </c>
      <c r="FF1134" s="1138">
        <f t="shared" si="3363"/>
        <v>0</v>
      </c>
      <c r="FG1134" s="1138">
        <f t="shared" si="3363"/>
        <v>0</v>
      </c>
      <c r="FH1134" s="1138">
        <f t="shared" si="3363"/>
        <v>0</v>
      </c>
      <c r="FI1134" s="1138">
        <f t="shared" si="3363"/>
        <v>0</v>
      </c>
      <c r="FJ1134" s="1138">
        <f t="shared" si="3363"/>
        <v>0</v>
      </c>
      <c r="FK1134" s="1138">
        <f t="shared" si="3363"/>
        <v>0</v>
      </c>
      <c r="FL1134" s="1138">
        <f t="shared" si="3363"/>
        <v>0</v>
      </c>
    </row>
    <row r="1135" spans="1:168" ht="27.6" x14ac:dyDescent="0.25">
      <c r="A1135" s="1491" t="s">
        <v>112</v>
      </c>
      <c r="B1135" s="624" t="str">
        <f t="shared" ref="B1135:D1143" si="3364">B177</f>
        <v>Винегрет овощной (с горошком) с луком зеленым</v>
      </c>
      <c r="C1135" s="624">
        <f t="shared" si="3364"/>
        <v>75</v>
      </c>
      <c r="D1135" s="624">
        <f t="shared" si="3364"/>
        <v>1.04</v>
      </c>
      <c r="E1135" s="1158">
        <f t="shared" si="3178"/>
        <v>10.01</v>
      </c>
      <c r="F1135" s="1158"/>
      <c r="G1135" s="1140"/>
      <c r="H1135" s="1140"/>
      <c r="I1135" s="552"/>
      <c r="J1135" s="552">
        <f t="shared" ref="J1135:AO1135" si="3365">J177*J$338</f>
        <v>0</v>
      </c>
      <c r="K1135" s="552">
        <f t="shared" si="3365"/>
        <v>0</v>
      </c>
      <c r="L1135" s="552">
        <f t="shared" si="3365"/>
        <v>0</v>
      </c>
      <c r="M1135" s="552">
        <f t="shared" si="3365"/>
        <v>0</v>
      </c>
      <c r="N1135" s="552">
        <f t="shared" si="3365"/>
        <v>0</v>
      </c>
      <c r="O1135" s="552">
        <f t="shared" si="3365"/>
        <v>0</v>
      </c>
      <c r="P1135" s="552">
        <f t="shared" si="3365"/>
        <v>0</v>
      </c>
      <c r="Q1135" s="552">
        <f t="shared" si="3365"/>
        <v>0</v>
      </c>
      <c r="R1135" s="552">
        <f t="shared" si="3365"/>
        <v>0</v>
      </c>
      <c r="S1135" s="552">
        <f t="shared" si="3365"/>
        <v>0</v>
      </c>
      <c r="T1135" s="552">
        <f t="shared" si="3365"/>
        <v>0</v>
      </c>
      <c r="U1135" s="552">
        <f t="shared" si="3365"/>
        <v>0</v>
      </c>
      <c r="V1135" s="552">
        <f t="shared" si="3365"/>
        <v>0</v>
      </c>
      <c r="W1135" s="552">
        <f t="shared" si="3365"/>
        <v>0</v>
      </c>
      <c r="X1135" s="552">
        <f t="shared" si="3365"/>
        <v>0</v>
      </c>
      <c r="Y1135" s="552">
        <f t="shared" si="3365"/>
        <v>0</v>
      </c>
      <c r="Z1135" s="552">
        <f t="shared" si="3365"/>
        <v>0</v>
      </c>
      <c r="AA1135" s="552">
        <f t="shared" si="3365"/>
        <v>0</v>
      </c>
      <c r="AB1135" s="552">
        <f t="shared" si="3365"/>
        <v>0</v>
      </c>
      <c r="AC1135" s="552">
        <f t="shared" si="3365"/>
        <v>0</v>
      </c>
      <c r="AD1135" s="552">
        <f t="shared" si="3365"/>
        <v>0</v>
      </c>
      <c r="AE1135" s="552">
        <f t="shared" si="3365"/>
        <v>0</v>
      </c>
      <c r="AF1135" s="552">
        <f t="shared" si="3365"/>
        <v>0</v>
      </c>
      <c r="AG1135" s="552">
        <f t="shared" si="3365"/>
        <v>0</v>
      </c>
      <c r="AH1135" s="552">
        <f t="shared" si="3365"/>
        <v>1.1100000000000001</v>
      </c>
      <c r="AI1135" s="552">
        <f t="shared" si="3365"/>
        <v>0</v>
      </c>
      <c r="AJ1135" s="552">
        <f t="shared" si="3365"/>
        <v>0</v>
      </c>
      <c r="AK1135" s="552">
        <f t="shared" si="3365"/>
        <v>0</v>
      </c>
      <c r="AL1135" s="552">
        <f t="shared" si="3365"/>
        <v>4.32</v>
      </c>
      <c r="AM1135" s="552">
        <f t="shared" si="3365"/>
        <v>0</v>
      </c>
      <c r="AN1135" s="552">
        <f t="shared" si="3365"/>
        <v>0</v>
      </c>
      <c r="AO1135" s="552">
        <f t="shared" si="3365"/>
        <v>0</v>
      </c>
      <c r="AP1135" s="552">
        <f t="shared" ref="AP1135:BU1135" si="3366">AP177*AP$338</f>
        <v>0</v>
      </c>
      <c r="AQ1135" s="552">
        <f t="shared" si="3366"/>
        <v>0.48</v>
      </c>
      <c r="AR1135" s="552">
        <f t="shared" si="3366"/>
        <v>0</v>
      </c>
      <c r="AS1135" s="552">
        <f t="shared" si="3366"/>
        <v>0</v>
      </c>
      <c r="AT1135" s="552">
        <f t="shared" si="3366"/>
        <v>0</v>
      </c>
      <c r="AU1135" s="552">
        <f t="shared" si="3366"/>
        <v>0</v>
      </c>
      <c r="AV1135" s="552">
        <f t="shared" si="3366"/>
        <v>0</v>
      </c>
      <c r="AW1135" s="552">
        <f t="shared" si="3366"/>
        <v>0</v>
      </c>
      <c r="AX1135" s="552">
        <f t="shared" si="3366"/>
        <v>0.44</v>
      </c>
      <c r="AY1135" s="552">
        <f t="shared" si="3366"/>
        <v>0</v>
      </c>
      <c r="AZ1135" s="552">
        <f t="shared" si="3366"/>
        <v>0</v>
      </c>
      <c r="BA1135" s="552">
        <f t="shared" si="3366"/>
        <v>0</v>
      </c>
      <c r="BB1135" s="552">
        <f t="shared" si="3366"/>
        <v>0</v>
      </c>
      <c r="BC1135" s="552">
        <f t="shared" si="3366"/>
        <v>0</v>
      </c>
      <c r="BD1135" s="552">
        <f t="shared" si="3366"/>
        <v>0</v>
      </c>
      <c r="BE1135" s="552">
        <f t="shared" si="3366"/>
        <v>0</v>
      </c>
      <c r="BF1135" s="552">
        <f t="shared" si="3366"/>
        <v>0</v>
      </c>
      <c r="BG1135" s="552">
        <f t="shared" si="3366"/>
        <v>0</v>
      </c>
      <c r="BH1135" s="552">
        <f t="shared" si="3366"/>
        <v>0</v>
      </c>
      <c r="BI1135" s="552">
        <f t="shared" si="3366"/>
        <v>0</v>
      </c>
      <c r="BJ1135" s="552">
        <f t="shared" si="3366"/>
        <v>0</v>
      </c>
      <c r="BK1135" s="552">
        <f t="shared" si="3366"/>
        <v>0</v>
      </c>
      <c r="BL1135" s="552">
        <f t="shared" si="3366"/>
        <v>0</v>
      </c>
      <c r="BM1135" s="552">
        <f t="shared" si="3366"/>
        <v>0</v>
      </c>
      <c r="BN1135" s="552">
        <f t="shared" si="3366"/>
        <v>0</v>
      </c>
      <c r="BO1135" s="552">
        <f t="shared" si="3366"/>
        <v>0</v>
      </c>
      <c r="BP1135" s="552">
        <f t="shared" si="3366"/>
        <v>0</v>
      </c>
      <c r="BQ1135" s="552">
        <f t="shared" si="3366"/>
        <v>0</v>
      </c>
      <c r="BR1135" s="552">
        <f t="shared" si="3366"/>
        <v>0</v>
      </c>
      <c r="BS1135" s="552">
        <f t="shared" si="3366"/>
        <v>0</v>
      </c>
      <c r="BT1135" s="552">
        <f t="shared" si="3366"/>
        <v>0</v>
      </c>
      <c r="BU1135" s="552">
        <f t="shared" si="3366"/>
        <v>0</v>
      </c>
      <c r="BV1135" s="552">
        <f t="shared" ref="BV1135:DA1135" si="3367">BV177*BV$338</f>
        <v>0</v>
      </c>
      <c r="BW1135" s="552">
        <f t="shared" si="3367"/>
        <v>0</v>
      </c>
      <c r="BX1135" s="552">
        <f t="shared" si="3367"/>
        <v>0</v>
      </c>
      <c r="BY1135" s="552">
        <f t="shared" si="3367"/>
        <v>0</v>
      </c>
      <c r="BZ1135" s="552">
        <f t="shared" si="3367"/>
        <v>0</v>
      </c>
      <c r="CA1135" s="552">
        <f t="shared" si="3367"/>
        <v>0</v>
      </c>
      <c r="CB1135" s="552">
        <f t="shared" si="3367"/>
        <v>0</v>
      </c>
      <c r="CC1135" s="552">
        <f t="shared" si="3367"/>
        <v>0</v>
      </c>
      <c r="CD1135" s="552">
        <f t="shared" si="3367"/>
        <v>0</v>
      </c>
      <c r="CE1135" s="552">
        <f t="shared" si="3367"/>
        <v>0</v>
      </c>
      <c r="CF1135" s="552">
        <f t="shared" si="3367"/>
        <v>0.92</v>
      </c>
      <c r="CG1135" s="552">
        <f t="shared" si="3367"/>
        <v>0</v>
      </c>
      <c r="CH1135" s="552">
        <f t="shared" si="3367"/>
        <v>0</v>
      </c>
      <c r="CI1135" s="552">
        <f t="shared" si="3367"/>
        <v>0</v>
      </c>
      <c r="CJ1135" s="552">
        <f t="shared" si="3367"/>
        <v>0</v>
      </c>
      <c r="CK1135" s="552">
        <f t="shared" si="3367"/>
        <v>0</v>
      </c>
      <c r="CL1135" s="552">
        <f t="shared" si="3367"/>
        <v>0</v>
      </c>
      <c r="CM1135" s="552">
        <f t="shared" si="3367"/>
        <v>0</v>
      </c>
      <c r="CN1135" s="552">
        <f t="shared" si="3367"/>
        <v>0</v>
      </c>
      <c r="CO1135" s="552">
        <f t="shared" si="3367"/>
        <v>0</v>
      </c>
      <c r="CP1135" s="552">
        <f t="shared" si="3367"/>
        <v>0</v>
      </c>
      <c r="CQ1135" s="552">
        <f t="shared" si="3367"/>
        <v>0</v>
      </c>
      <c r="CR1135" s="552">
        <f t="shared" si="3367"/>
        <v>0</v>
      </c>
      <c r="CS1135" s="552">
        <f t="shared" si="3367"/>
        <v>0</v>
      </c>
      <c r="CT1135" s="552">
        <f t="shared" si="3367"/>
        <v>1.73</v>
      </c>
      <c r="CU1135" s="552">
        <f t="shared" si="3367"/>
        <v>0</v>
      </c>
      <c r="CV1135" s="552">
        <f t="shared" si="3367"/>
        <v>0</v>
      </c>
      <c r="CW1135" s="552">
        <f t="shared" si="3367"/>
        <v>0</v>
      </c>
      <c r="CX1135" s="552">
        <f t="shared" si="3367"/>
        <v>0</v>
      </c>
      <c r="CY1135" s="552">
        <f t="shared" si="3367"/>
        <v>0</v>
      </c>
      <c r="CZ1135" s="552">
        <f t="shared" si="3367"/>
        <v>0</v>
      </c>
      <c r="DA1135" s="552">
        <f t="shared" si="3367"/>
        <v>0</v>
      </c>
      <c r="DB1135" s="552">
        <f t="shared" ref="DB1135:EG1135" si="3368">DB177*DB$338</f>
        <v>0</v>
      </c>
      <c r="DC1135" s="552">
        <f t="shared" si="3368"/>
        <v>0.05</v>
      </c>
      <c r="DD1135" s="552">
        <f t="shared" si="3368"/>
        <v>0</v>
      </c>
      <c r="DE1135" s="552">
        <f t="shared" si="3368"/>
        <v>0</v>
      </c>
      <c r="DF1135" s="552">
        <f t="shared" si="3368"/>
        <v>0</v>
      </c>
      <c r="DG1135" s="552">
        <f t="shared" si="3368"/>
        <v>0</v>
      </c>
      <c r="DH1135" s="552">
        <f t="shared" si="3368"/>
        <v>0</v>
      </c>
      <c r="DI1135" s="552">
        <f t="shared" si="3368"/>
        <v>0</v>
      </c>
      <c r="DJ1135" s="552">
        <f t="shared" si="3368"/>
        <v>0</v>
      </c>
      <c r="DK1135" s="552">
        <f t="shared" si="3368"/>
        <v>0</v>
      </c>
      <c r="DL1135" s="552">
        <f t="shared" si="3368"/>
        <v>0</v>
      </c>
      <c r="DM1135" s="552">
        <f t="shared" si="3368"/>
        <v>0</v>
      </c>
      <c r="DN1135" s="552">
        <f t="shared" si="3368"/>
        <v>0</v>
      </c>
      <c r="DO1135" s="552">
        <f t="shared" si="3368"/>
        <v>0</v>
      </c>
      <c r="DP1135" s="552">
        <f t="shared" si="3368"/>
        <v>0</v>
      </c>
      <c r="DQ1135" s="552">
        <f t="shared" si="3368"/>
        <v>0</v>
      </c>
      <c r="DR1135" s="552">
        <f t="shared" si="3368"/>
        <v>0</v>
      </c>
      <c r="DS1135" s="552">
        <f t="shared" si="3368"/>
        <v>0</v>
      </c>
      <c r="DT1135" s="552">
        <f t="shared" si="3368"/>
        <v>0</v>
      </c>
      <c r="DU1135" s="552">
        <f t="shared" si="3368"/>
        <v>0.96</v>
      </c>
      <c r="DV1135" s="552">
        <f t="shared" si="3368"/>
        <v>0</v>
      </c>
      <c r="DW1135" s="552">
        <f t="shared" si="3368"/>
        <v>0</v>
      </c>
      <c r="DX1135" s="552">
        <f t="shared" si="3368"/>
        <v>0</v>
      </c>
      <c r="DY1135" s="552">
        <f t="shared" si="3368"/>
        <v>0</v>
      </c>
      <c r="DZ1135" s="552">
        <f t="shared" si="3368"/>
        <v>0</v>
      </c>
      <c r="EA1135" s="552">
        <f t="shared" si="3368"/>
        <v>0</v>
      </c>
      <c r="EB1135" s="552">
        <f t="shared" si="3368"/>
        <v>0</v>
      </c>
      <c r="EC1135" s="552">
        <f t="shared" si="3368"/>
        <v>0</v>
      </c>
      <c r="ED1135" s="552">
        <f t="shared" si="3368"/>
        <v>0</v>
      </c>
      <c r="EE1135" s="552">
        <f t="shared" si="3368"/>
        <v>0</v>
      </c>
      <c r="EF1135" s="552">
        <f t="shared" si="3368"/>
        <v>0</v>
      </c>
      <c r="EG1135" s="552">
        <f t="shared" si="3368"/>
        <v>0</v>
      </c>
      <c r="EH1135" s="552">
        <f t="shared" ref="EH1135:EX1135" si="3369">EH177*EH$338</f>
        <v>0</v>
      </c>
      <c r="EI1135" s="552">
        <f t="shared" si="3369"/>
        <v>0</v>
      </c>
      <c r="EJ1135" s="552">
        <f t="shared" si="3369"/>
        <v>0</v>
      </c>
      <c r="EK1135" s="552">
        <f t="shared" si="3369"/>
        <v>0</v>
      </c>
      <c r="EL1135" s="552">
        <f t="shared" si="3369"/>
        <v>0</v>
      </c>
      <c r="EM1135" s="552">
        <f t="shared" si="3369"/>
        <v>0</v>
      </c>
      <c r="EN1135" s="552">
        <f t="shared" si="3369"/>
        <v>0</v>
      </c>
      <c r="EO1135" s="552">
        <f t="shared" si="3369"/>
        <v>0</v>
      </c>
      <c r="EP1135" s="552">
        <f t="shared" si="3369"/>
        <v>0</v>
      </c>
      <c r="EQ1135" s="552">
        <f t="shared" si="3369"/>
        <v>0</v>
      </c>
      <c r="ER1135" s="552">
        <f t="shared" si="3369"/>
        <v>0</v>
      </c>
      <c r="ES1135" s="552">
        <f t="shared" si="3369"/>
        <v>0</v>
      </c>
      <c r="ET1135" s="552">
        <f t="shared" si="3369"/>
        <v>0</v>
      </c>
      <c r="EU1135" s="552">
        <f t="shared" si="3369"/>
        <v>0</v>
      </c>
      <c r="EV1135" s="552">
        <f t="shared" si="3369"/>
        <v>0</v>
      </c>
      <c r="EW1135" s="552">
        <f t="shared" si="3369"/>
        <v>0</v>
      </c>
      <c r="EX1135" s="552">
        <f t="shared" si="3369"/>
        <v>0</v>
      </c>
      <c r="EY1135" s="799">
        <f t="shared" si="3177"/>
        <v>10.01</v>
      </c>
      <c r="EZ1135" s="640"/>
      <c r="FA1135" s="640"/>
      <c r="FB1135" s="640"/>
      <c r="FC1135" s="640"/>
      <c r="FD1135" s="640"/>
      <c r="FE1135" s="640"/>
      <c r="FF1135" s="640"/>
      <c r="FG1135" s="640"/>
      <c r="FH1135" s="640"/>
      <c r="FI1135" s="640"/>
      <c r="FJ1135" s="640"/>
      <c r="FK1135" s="640"/>
      <c r="FL1135" s="640"/>
    </row>
    <row r="1136" spans="1:168" x14ac:dyDescent="0.25">
      <c r="A1136" s="1492"/>
      <c r="B1136" s="624" t="str">
        <f t="shared" si="3364"/>
        <v>Рассольник ленинградский</v>
      </c>
      <c r="C1136" s="624">
        <f t="shared" si="3364"/>
        <v>250</v>
      </c>
      <c r="D1136" s="624">
        <f t="shared" si="3364"/>
        <v>2.02</v>
      </c>
      <c r="E1136" s="1158">
        <f t="shared" si="3178"/>
        <v>10.199999999999999</v>
      </c>
      <c r="F1136" s="1158"/>
      <c r="G1136" s="1140"/>
      <c r="H1136" s="1140"/>
      <c r="I1136" s="552"/>
      <c r="J1136" s="552">
        <f t="shared" ref="J1136:AO1136" si="3370">J178*J$338</f>
        <v>0</v>
      </c>
      <c r="K1136" s="552">
        <f t="shared" si="3370"/>
        <v>0</v>
      </c>
      <c r="L1136" s="552">
        <f t="shared" si="3370"/>
        <v>0</v>
      </c>
      <c r="M1136" s="552">
        <f t="shared" si="3370"/>
        <v>0</v>
      </c>
      <c r="N1136" s="552">
        <f t="shared" si="3370"/>
        <v>0</v>
      </c>
      <c r="O1136" s="552">
        <f t="shared" si="3370"/>
        <v>0</v>
      </c>
      <c r="P1136" s="552">
        <f t="shared" si="3370"/>
        <v>0</v>
      </c>
      <c r="Q1136" s="552">
        <f t="shared" si="3370"/>
        <v>0</v>
      </c>
      <c r="R1136" s="552">
        <f t="shared" si="3370"/>
        <v>0</v>
      </c>
      <c r="S1136" s="552">
        <f t="shared" si="3370"/>
        <v>0</v>
      </c>
      <c r="T1136" s="552">
        <f t="shared" si="3370"/>
        <v>0</v>
      </c>
      <c r="U1136" s="552">
        <f t="shared" si="3370"/>
        <v>0</v>
      </c>
      <c r="V1136" s="552">
        <f t="shared" si="3370"/>
        <v>0</v>
      </c>
      <c r="W1136" s="552">
        <f t="shared" si="3370"/>
        <v>0</v>
      </c>
      <c r="X1136" s="552">
        <f t="shared" si="3370"/>
        <v>0</v>
      </c>
      <c r="Y1136" s="552">
        <f t="shared" si="3370"/>
        <v>1.17</v>
      </c>
      <c r="Z1136" s="552">
        <f t="shared" si="3370"/>
        <v>0</v>
      </c>
      <c r="AA1136" s="552">
        <f t="shared" si="3370"/>
        <v>0</v>
      </c>
      <c r="AB1136" s="552">
        <f t="shared" si="3370"/>
        <v>0</v>
      </c>
      <c r="AC1136" s="552">
        <f t="shared" si="3370"/>
        <v>0</v>
      </c>
      <c r="AD1136" s="552">
        <f t="shared" si="3370"/>
        <v>0</v>
      </c>
      <c r="AE1136" s="552">
        <f t="shared" si="3370"/>
        <v>0</v>
      </c>
      <c r="AF1136" s="552">
        <f t="shared" si="3370"/>
        <v>0</v>
      </c>
      <c r="AG1136" s="552">
        <f t="shared" si="3370"/>
        <v>0</v>
      </c>
      <c r="AH1136" s="552">
        <f t="shared" si="3370"/>
        <v>5</v>
      </c>
      <c r="AI1136" s="552">
        <f t="shared" si="3370"/>
        <v>0</v>
      </c>
      <c r="AJ1136" s="552">
        <f t="shared" si="3370"/>
        <v>0</v>
      </c>
      <c r="AK1136" s="552">
        <f t="shared" si="3370"/>
        <v>0.3</v>
      </c>
      <c r="AL1136" s="552">
        <f t="shared" si="3370"/>
        <v>0</v>
      </c>
      <c r="AM1136" s="552">
        <f t="shared" si="3370"/>
        <v>0</v>
      </c>
      <c r="AN1136" s="552">
        <f t="shared" si="3370"/>
        <v>0</v>
      </c>
      <c r="AO1136" s="552">
        <f t="shared" si="3370"/>
        <v>0</v>
      </c>
      <c r="AP1136" s="552">
        <f t="shared" ref="AP1136:BU1136" si="3371">AP178*AP$338</f>
        <v>0</v>
      </c>
      <c r="AQ1136" s="552">
        <f t="shared" si="3371"/>
        <v>0.63</v>
      </c>
      <c r="AR1136" s="552">
        <f t="shared" si="3371"/>
        <v>0</v>
      </c>
      <c r="AS1136" s="552">
        <f t="shared" si="3371"/>
        <v>0</v>
      </c>
      <c r="AT1136" s="552">
        <f t="shared" si="3371"/>
        <v>0</v>
      </c>
      <c r="AU1136" s="552">
        <f t="shared" si="3371"/>
        <v>0</v>
      </c>
      <c r="AV1136" s="552">
        <f t="shared" si="3371"/>
        <v>0</v>
      </c>
      <c r="AW1136" s="552">
        <f t="shared" si="3371"/>
        <v>0</v>
      </c>
      <c r="AX1136" s="552">
        <f t="shared" si="3371"/>
        <v>0</v>
      </c>
      <c r="AY1136" s="552">
        <f t="shared" si="3371"/>
        <v>0</v>
      </c>
      <c r="AZ1136" s="552">
        <f t="shared" si="3371"/>
        <v>0</v>
      </c>
      <c r="BA1136" s="552">
        <f t="shared" si="3371"/>
        <v>0</v>
      </c>
      <c r="BB1136" s="552">
        <f t="shared" si="3371"/>
        <v>0</v>
      </c>
      <c r="BC1136" s="552">
        <f t="shared" si="3371"/>
        <v>0</v>
      </c>
      <c r="BD1136" s="552">
        <f t="shared" si="3371"/>
        <v>0</v>
      </c>
      <c r="BE1136" s="552">
        <f t="shared" si="3371"/>
        <v>0</v>
      </c>
      <c r="BF1136" s="552">
        <f t="shared" si="3371"/>
        <v>0</v>
      </c>
      <c r="BG1136" s="552">
        <f t="shared" si="3371"/>
        <v>0</v>
      </c>
      <c r="BH1136" s="552">
        <f t="shared" si="3371"/>
        <v>0</v>
      </c>
      <c r="BI1136" s="552">
        <f t="shared" si="3371"/>
        <v>0</v>
      </c>
      <c r="BJ1136" s="552">
        <f t="shared" si="3371"/>
        <v>0</v>
      </c>
      <c r="BK1136" s="552">
        <f t="shared" si="3371"/>
        <v>0</v>
      </c>
      <c r="BL1136" s="552">
        <f t="shared" si="3371"/>
        <v>0</v>
      </c>
      <c r="BM1136" s="552">
        <f t="shared" si="3371"/>
        <v>0</v>
      </c>
      <c r="BN1136" s="552">
        <f t="shared" si="3371"/>
        <v>0</v>
      </c>
      <c r="BO1136" s="552">
        <f t="shared" si="3371"/>
        <v>0</v>
      </c>
      <c r="BP1136" s="552">
        <f t="shared" si="3371"/>
        <v>0</v>
      </c>
      <c r="BQ1136" s="552">
        <f t="shared" si="3371"/>
        <v>0</v>
      </c>
      <c r="BR1136" s="552">
        <f t="shared" si="3371"/>
        <v>0</v>
      </c>
      <c r="BS1136" s="552">
        <f t="shared" si="3371"/>
        <v>0</v>
      </c>
      <c r="BT1136" s="552">
        <f t="shared" si="3371"/>
        <v>0</v>
      </c>
      <c r="BU1136" s="552">
        <f t="shared" si="3371"/>
        <v>0</v>
      </c>
      <c r="BV1136" s="552">
        <f t="shared" ref="BV1136:DA1136" si="3372">BV178*BV$338</f>
        <v>0</v>
      </c>
      <c r="BW1136" s="552">
        <f t="shared" si="3372"/>
        <v>0</v>
      </c>
      <c r="BX1136" s="552">
        <f t="shared" si="3372"/>
        <v>0</v>
      </c>
      <c r="BY1136" s="552">
        <f t="shared" si="3372"/>
        <v>0</v>
      </c>
      <c r="BZ1136" s="552">
        <f t="shared" si="3372"/>
        <v>0</v>
      </c>
      <c r="CA1136" s="552">
        <f t="shared" si="3372"/>
        <v>0</v>
      </c>
      <c r="CB1136" s="552">
        <f t="shared" si="3372"/>
        <v>0.49</v>
      </c>
      <c r="CC1136" s="552">
        <f t="shared" si="3372"/>
        <v>0</v>
      </c>
      <c r="CD1136" s="552">
        <f t="shared" si="3372"/>
        <v>0</v>
      </c>
      <c r="CE1136" s="552">
        <f t="shared" si="3372"/>
        <v>0</v>
      </c>
      <c r="CF1136" s="552">
        <f t="shared" si="3372"/>
        <v>0.6</v>
      </c>
      <c r="CG1136" s="552">
        <f t="shared" si="3372"/>
        <v>0</v>
      </c>
      <c r="CH1136" s="552">
        <f t="shared" si="3372"/>
        <v>0</v>
      </c>
      <c r="CI1136" s="552">
        <f t="shared" si="3372"/>
        <v>0</v>
      </c>
      <c r="CJ1136" s="552">
        <f t="shared" si="3372"/>
        <v>0</v>
      </c>
      <c r="CK1136" s="552">
        <f t="shared" si="3372"/>
        <v>0</v>
      </c>
      <c r="CL1136" s="552">
        <f t="shared" si="3372"/>
        <v>0</v>
      </c>
      <c r="CM1136" s="552">
        <f t="shared" si="3372"/>
        <v>0</v>
      </c>
      <c r="CN1136" s="552">
        <f t="shared" si="3372"/>
        <v>0</v>
      </c>
      <c r="CO1136" s="552">
        <f t="shared" si="3372"/>
        <v>0</v>
      </c>
      <c r="CP1136" s="552">
        <f t="shared" si="3372"/>
        <v>0</v>
      </c>
      <c r="CQ1136" s="552">
        <f t="shared" si="3372"/>
        <v>0</v>
      </c>
      <c r="CR1136" s="552">
        <f t="shared" si="3372"/>
        <v>0</v>
      </c>
      <c r="CS1136" s="552">
        <f t="shared" si="3372"/>
        <v>0</v>
      </c>
      <c r="CT1136" s="552">
        <f t="shared" si="3372"/>
        <v>2.0099999999999998</v>
      </c>
      <c r="CU1136" s="552">
        <f t="shared" si="3372"/>
        <v>0</v>
      </c>
      <c r="CV1136" s="552">
        <f t="shared" si="3372"/>
        <v>0</v>
      </c>
      <c r="CW1136" s="552">
        <f t="shared" si="3372"/>
        <v>0</v>
      </c>
      <c r="CX1136" s="552">
        <f t="shared" si="3372"/>
        <v>0</v>
      </c>
      <c r="CY1136" s="552">
        <f t="shared" si="3372"/>
        <v>0</v>
      </c>
      <c r="CZ1136" s="552">
        <f t="shared" si="3372"/>
        <v>0</v>
      </c>
      <c r="DA1136" s="552">
        <f t="shared" si="3372"/>
        <v>0</v>
      </c>
      <c r="DB1136" s="552">
        <f t="shared" ref="DB1136:EG1136" si="3373">DB178*DB$338</f>
        <v>0</v>
      </c>
      <c r="DC1136" s="552">
        <f t="shared" si="3373"/>
        <v>0</v>
      </c>
      <c r="DD1136" s="552">
        <f t="shared" si="3373"/>
        <v>0</v>
      </c>
      <c r="DE1136" s="552">
        <f t="shared" si="3373"/>
        <v>0</v>
      </c>
      <c r="DF1136" s="552">
        <f t="shared" si="3373"/>
        <v>0</v>
      </c>
      <c r="DG1136" s="552">
        <f t="shared" si="3373"/>
        <v>0</v>
      </c>
      <c r="DH1136" s="552">
        <f t="shared" si="3373"/>
        <v>0</v>
      </c>
      <c r="DI1136" s="552">
        <f t="shared" si="3373"/>
        <v>0</v>
      </c>
      <c r="DJ1136" s="552">
        <f t="shared" si="3373"/>
        <v>0</v>
      </c>
      <c r="DK1136" s="552">
        <f t="shared" si="3373"/>
        <v>0</v>
      </c>
      <c r="DL1136" s="552">
        <f t="shared" si="3373"/>
        <v>0</v>
      </c>
      <c r="DM1136" s="552">
        <f t="shared" si="3373"/>
        <v>0</v>
      </c>
      <c r="DN1136" s="552">
        <f t="shared" si="3373"/>
        <v>0</v>
      </c>
      <c r="DO1136" s="552">
        <f t="shared" si="3373"/>
        <v>0</v>
      </c>
      <c r="DP1136" s="552">
        <f t="shared" si="3373"/>
        <v>0</v>
      </c>
      <c r="DQ1136" s="552">
        <f t="shared" si="3373"/>
        <v>0</v>
      </c>
      <c r="DR1136" s="552">
        <f t="shared" si="3373"/>
        <v>0</v>
      </c>
      <c r="DS1136" s="552">
        <f t="shared" si="3373"/>
        <v>0</v>
      </c>
      <c r="DT1136" s="552">
        <f t="shared" si="3373"/>
        <v>0</v>
      </c>
      <c r="DU1136" s="552">
        <f t="shared" si="3373"/>
        <v>0</v>
      </c>
      <c r="DV1136" s="552">
        <f t="shared" si="3373"/>
        <v>0</v>
      </c>
      <c r="DW1136" s="552">
        <f t="shared" si="3373"/>
        <v>0</v>
      </c>
      <c r="DX1136" s="552">
        <f t="shared" si="3373"/>
        <v>0</v>
      </c>
      <c r="DY1136" s="552">
        <f t="shared" si="3373"/>
        <v>0</v>
      </c>
      <c r="DZ1136" s="552">
        <f t="shared" si="3373"/>
        <v>0</v>
      </c>
      <c r="EA1136" s="552">
        <f t="shared" si="3373"/>
        <v>0</v>
      </c>
      <c r="EB1136" s="552">
        <f t="shared" si="3373"/>
        <v>0</v>
      </c>
      <c r="EC1136" s="552">
        <f t="shared" si="3373"/>
        <v>0</v>
      </c>
      <c r="ED1136" s="552">
        <f t="shared" si="3373"/>
        <v>0</v>
      </c>
      <c r="EE1136" s="552">
        <f t="shared" si="3373"/>
        <v>0</v>
      </c>
      <c r="EF1136" s="552">
        <f t="shared" si="3373"/>
        <v>0</v>
      </c>
      <c r="EG1136" s="552">
        <f t="shared" si="3373"/>
        <v>0</v>
      </c>
      <c r="EH1136" s="552">
        <f t="shared" ref="EH1136:EX1136" si="3374">EH178*EH$338</f>
        <v>0</v>
      </c>
      <c r="EI1136" s="552">
        <f t="shared" si="3374"/>
        <v>0</v>
      </c>
      <c r="EJ1136" s="552">
        <f t="shared" si="3374"/>
        <v>0</v>
      </c>
      <c r="EK1136" s="552">
        <f t="shared" si="3374"/>
        <v>0</v>
      </c>
      <c r="EL1136" s="552">
        <f t="shared" si="3374"/>
        <v>0</v>
      </c>
      <c r="EM1136" s="552">
        <f t="shared" si="3374"/>
        <v>0</v>
      </c>
      <c r="EN1136" s="552">
        <f t="shared" si="3374"/>
        <v>0</v>
      </c>
      <c r="EO1136" s="552">
        <f t="shared" si="3374"/>
        <v>0</v>
      </c>
      <c r="EP1136" s="552">
        <f t="shared" si="3374"/>
        <v>0</v>
      </c>
      <c r="EQ1136" s="552">
        <f t="shared" si="3374"/>
        <v>0</v>
      </c>
      <c r="ER1136" s="552">
        <f t="shared" si="3374"/>
        <v>0</v>
      </c>
      <c r="ES1136" s="552">
        <f t="shared" si="3374"/>
        <v>0</v>
      </c>
      <c r="ET1136" s="552">
        <f t="shared" si="3374"/>
        <v>0</v>
      </c>
      <c r="EU1136" s="552">
        <f t="shared" si="3374"/>
        <v>0</v>
      </c>
      <c r="EV1136" s="552">
        <f t="shared" si="3374"/>
        <v>0</v>
      </c>
      <c r="EW1136" s="552">
        <f t="shared" si="3374"/>
        <v>0</v>
      </c>
      <c r="EX1136" s="552">
        <f t="shared" si="3374"/>
        <v>0</v>
      </c>
      <c r="EY1136" s="799">
        <f t="shared" si="3177"/>
        <v>10.199999999999999</v>
      </c>
      <c r="EZ1136" s="640"/>
      <c r="FA1136" s="640"/>
      <c r="FB1136" s="640"/>
      <c r="FC1136" s="640"/>
      <c r="FD1136" s="640"/>
      <c r="FE1136" s="640"/>
      <c r="FF1136" s="640"/>
      <c r="FG1136" s="640"/>
      <c r="FH1136" s="640"/>
      <c r="FI1136" s="640"/>
      <c r="FJ1136" s="640"/>
      <c r="FK1136" s="640"/>
      <c r="FL1136" s="640"/>
    </row>
    <row r="1137" spans="1:168" ht="27.6" x14ac:dyDescent="0.25">
      <c r="A1137" s="1492"/>
      <c r="B1137" s="624" t="str">
        <f t="shared" si="3364"/>
        <v>Котлеты рубленные из филе птицы со сметанным соусом с томатом и луком</v>
      </c>
      <c r="C1137" s="624">
        <f t="shared" si="3364"/>
        <v>110</v>
      </c>
      <c r="D1137" s="624">
        <f t="shared" si="3364"/>
        <v>10.33</v>
      </c>
      <c r="E1137" s="1158">
        <f t="shared" si="3178"/>
        <v>35.049999999999997</v>
      </c>
      <c r="F1137" s="1158"/>
      <c r="G1137" s="1140"/>
      <c r="H1137" s="1140"/>
      <c r="I1137" s="552"/>
      <c r="J1137" s="552">
        <f t="shared" ref="J1137:AO1137" si="3375">J179*J$338</f>
        <v>0</v>
      </c>
      <c r="K1137" s="552">
        <f t="shared" si="3375"/>
        <v>0</v>
      </c>
      <c r="L1137" s="552">
        <f t="shared" si="3375"/>
        <v>0</v>
      </c>
      <c r="M1137" s="552">
        <f t="shared" si="3375"/>
        <v>27.2</v>
      </c>
      <c r="N1137" s="552">
        <f t="shared" si="3375"/>
        <v>0</v>
      </c>
      <c r="O1137" s="552">
        <f t="shared" si="3375"/>
        <v>0</v>
      </c>
      <c r="P1137" s="552">
        <f t="shared" si="3375"/>
        <v>0.3</v>
      </c>
      <c r="Q1137" s="552">
        <f t="shared" si="3375"/>
        <v>0</v>
      </c>
      <c r="R1137" s="552">
        <f t="shared" si="3375"/>
        <v>0</v>
      </c>
      <c r="S1137" s="552">
        <f t="shared" si="3375"/>
        <v>0</v>
      </c>
      <c r="T1137" s="552">
        <f t="shared" si="3375"/>
        <v>0</v>
      </c>
      <c r="U1137" s="552">
        <f t="shared" si="3375"/>
        <v>1.84</v>
      </c>
      <c r="V1137" s="552">
        <f t="shared" si="3375"/>
        <v>0.43</v>
      </c>
      <c r="W1137" s="552">
        <f t="shared" si="3375"/>
        <v>0</v>
      </c>
      <c r="X1137" s="552">
        <f t="shared" si="3375"/>
        <v>0</v>
      </c>
      <c r="Y1137" s="552">
        <f t="shared" si="3375"/>
        <v>1.58</v>
      </c>
      <c r="Z1137" s="552">
        <f t="shared" si="3375"/>
        <v>0</v>
      </c>
      <c r="AA1137" s="552">
        <f t="shared" si="3375"/>
        <v>0</v>
      </c>
      <c r="AB1137" s="552">
        <f t="shared" si="3375"/>
        <v>0</v>
      </c>
      <c r="AC1137" s="552">
        <f t="shared" si="3375"/>
        <v>0</v>
      </c>
      <c r="AD1137" s="552">
        <f t="shared" si="3375"/>
        <v>0</v>
      </c>
      <c r="AE1137" s="552">
        <f t="shared" si="3375"/>
        <v>0</v>
      </c>
      <c r="AF1137" s="552">
        <f t="shared" si="3375"/>
        <v>0</v>
      </c>
      <c r="AG1137" s="552">
        <f t="shared" si="3375"/>
        <v>0</v>
      </c>
      <c r="AH1137" s="552">
        <f t="shared" si="3375"/>
        <v>0</v>
      </c>
      <c r="AI1137" s="552">
        <f t="shared" si="3375"/>
        <v>0</v>
      </c>
      <c r="AJ1137" s="552">
        <f t="shared" si="3375"/>
        <v>0</v>
      </c>
      <c r="AK1137" s="552">
        <f t="shared" si="3375"/>
        <v>0.36</v>
      </c>
      <c r="AL1137" s="552">
        <f t="shared" si="3375"/>
        <v>0</v>
      </c>
      <c r="AM1137" s="552">
        <f t="shared" si="3375"/>
        <v>0</v>
      </c>
      <c r="AN1137" s="552">
        <f t="shared" si="3375"/>
        <v>0</v>
      </c>
      <c r="AO1137" s="552">
        <f t="shared" si="3375"/>
        <v>0</v>
      </c>
      <c r="AP1137" s="552">
        <f t="shared" ref="AP1137:BU1137" si="3376">AP179*AP$338</f>
        <v>0</v>
      </c>
      <c r="AQ1137" s="552">
        <f t="shared" si="3376"/>
        <v>0</v>
      </c>
      <c r="AR1137" s="552">
        <f t="shared" si="3376"/>
        <v>0</v>
      </c>
      <c r="AS1137" s="552">
        <f t="shared" si="3376"/>
        <v>0</v>
      </c>
      <c r="AT1137" s="552">
        <f t="shared" si="3376"/>
        <v>0</v>
      </c>
      <c r="AU1137" s="552">
        <f t="shared" si="3376"/>
        <v>0</v>
      </c>
      <c r="AV1137" s="552">
        <f t="shared" si="3376"/>
        <v>0</v>
      </c>
      <c r="AW1137" s="552">
        <f t="shared" si="3376"/>
        <v>0</v>
      </c>
      <c r="AX1137" s="552">
        <f t="shared" si="3376"/>
        <v>0</v>
      </c>
      <c r="AY1137" s="552">
        <f t="shared" si="3376"/>
        <v>0</v>
      </c>
      <c r="AZ1137" s="552">
        <f t="shared" si="3376"/>
        <v>0</v>
      </c>
      <c r="BA1137" s="552">
        <f t="shared" si="3376"/>
        <v>0</v>
      </c>
      <c r="BB1137" s="552">
        <f t="shared" si="3376"/>
        <v>0</v>
      </c>
      <c r="BC1137" s="552">
        <f t="shared" si="3376"/>
        <v>0</v>
      </c>
      <c r="BD1137" s="552">
        <f t="shared" si="3376"/>
        <v>0</v>
      </c>
      <c r="BE1137" s="552">
        <f t="shared" si="3376"/>
        <v>0</v>
      </c>
      <c r="BF1137" s="552">
        <f t="shared" si="3376"/>
        <v>0</v>
      </c>
      <c r="BG1137" s="552">
        <f t="shared" si="3376"/>
        <v>0</v>
      </c>
      <c r="BH1137" s="552">
        <f t="shared" si="3376"/>
        <v>0</v>
      </c>
      <c r="BI1137" s="552">
        <f t="shared" si="3376"/>
        <v>0</v>
      </c>
      <c r="BJ1137" s="552">
        <f t="shared" si="3376"/>
        <v>0</v>
      </c>
      <c r="BK1137" s="552">
        <f t="shared" si="3376"/>
        <v>0</v>
      </c>
      <c r="BL1137" s="552">
        <f t="shared" si="3376"/>
        <v>0</v>
      </c>
      <c r="BM1137" s="552">
        <f t="shared" si="3376"/>
        <v>0</v>
      </c>
      <c r="BN1137" s="552">
        <f t="shared" si="3376"/>
        <v>0</v>
      </c>
      <c r="BO1137" s="552">
        <f t="shared" si="3376"/>
        <v>0</v>
      </c>
      <c r="BP1137" s="552">
        <f t="shared" si="3376"/>
        <v>0</v>
      </c>
      <c r="BQ1137" s="552">
        <f t="shared" si="3376"/>
        <v>0</v>
      </c>
      <c r="BR1137" s="552">
        <f t="shared" si="3376"/>
        <v>0</v>
      </c>
      <c r="BS1137" s="552">
        <f t="shared" si="3376"/>
        <v>7.0000000000000007E-2</v>
      </c>
      <c r="BT1137" s="552">
        <f t="shared" si="3376"/>
        <v>0</v>
      </c>
      <c r="BU1137" s="552">
        <f t="shared" si="3376"/>
        <v>0</v>
      </c>
      <c r="BV1137" s="552">
        <f t="shared" ref="BV1137:DA1137" si="3377">BV179*BV$338</f>
        <v>0</v>
      </c>
      <c r="BW1137" s="552">
        <f t="shared" si="3377"/>
        <v>0</v>
      </c>
      <c r="BX1137" s="552">
        <f t="shared" si="3377"/>
        <v>0</v>
      </c>
      <c r="BY1137" s="552">
        <f t="shared" si="3377"/>
        <v>0</v>
      </c>
      <c r="BZ1137" s="552">
        <f t="shared" si="3377"/>
        <v>0</v>
      </c>
      <c r="CA1137" s="552">
        <f t="shared" si="3377"/>
        <v>0</v>
      </c>
      <c r="CB1137" s="552">
        <f t="shared" si="3377"/>
        <v>0</v>
      </c>
      <c r="CC1137" s="552">
        <f t="shared" si="3377"/>
        <v>0</v>
      </c>
      <c r="CD1137" s="552">
        <f t="shared" si="3377"/>
        <v>0</v>
      </c>
      <c r="CE1137" s="552">
        <f t="shared" si="3377"/>
        <v>0</v>
      </c>
      <c r="CF1137" s="552">
        <f t="shared" si="3377"/>
        <v>0.6</v>
      </c>
      <c r="CG1137" s="552">
        <f t="shared" si="3377"/>
        <v>0</v>
      </c>
      <c r="CH1137" s="552">
        <f t="shared" si="3377"/>
        <v>0</v>
      </c>
      <c r="CI1137" s="552">
        <f t="shared" si="3377"/>
        <v>0</v>
      </c>
      <c r="CJ1137" s="552">
        <f t="shared" si="3377"/>
        <v>0</v>
      </c>
      <c r="CK1137" s="552">
        <f t="shared" si="3377"/>
        <v>0</v>
      </c>
      <c r="CL1137" s="552">
        <f t="shared" si="3377"/>
        <v>0</v>
      </c>
      <c r="CM1137" s="552">
        <f t="shared" si="3377"/>
        <v>0</v>
      </c>
      <c r="CN1137" s="552">
        <f t="shared" si="3377"/>
        <v>0</v>
      </c>
      <c r="CO1137" s="552">
        <f t="shared" si="3377"/>
        <v>0</v>
      </c>
      <c r="CP1137" s="552">
        <f t="shared" si="3377"/>
        <v>0</v>
      </c>
      <c r="CQ1137" s="552">
        <f t="shared" si="3377"/>
        <v>0</v>
      </c>
      <c r="CR1137" s="552">
        <f t="shared" si="3377"/>
        <v>0</v>
      </c>
      <c r="CS1137" s="552">
        <f t="shared" si="3377"/>
        <v>0</v>
      </c>
      <c r="CT1137" s="552">
        <f t="shared" si="3377"/>
        <v>0</v>
      </c>
      <c r="CU1137" s="552">
        <f t="shared" si="3377"/>
        <v>0</v>
      </c>
      <c r="CV1137" s="552">
        <f t="shared" si="3377"/>
        <v>0</v>
      </c>
      <c r="CW1137" s="552">
        <f t="shared" si="3377"/>
        <v>0</v>
      </c>
      <c r="CX1137" s="552">
        <f t="shared" si="3377"/>
        <v>0</v>
      </c>
      <c r="CY1137" s="552">
        <f t="shared" si="3377"/>
        <v>0</v>
      </c>
      <c r="CZ1137" s="552">
        <f t="shared" si="3377"/>
        <v>0</v>
      </c>
      <c r="DA1137" s="552">
        <f t="shared" si="3377"/>
        <v>0</v>
      </c>
      <c r="DB1137" s="552">
        <f t="shared" ref="DB1137:EG1137" si="3378">DB179*DB$338</f>
        <v>0</v>
      </c>
      <c r="DC1137" s="552">
        <f t="shared" si="3378"/>
        <v>0.13</v>
      </c>
      <c r="DD1137" s="552">
        <f t="shared" si="3378"/>
        <v>0.94</v>
      </c>
      <c r="DE1137" s="552">
        <f t="shared" si="3378"/>
        <v>0</v>
      </c>
      <c r="DF1137" s="552">
        <f t="shared" si="3378"/>
        <v>0.69</v>
      </c>
      <c r="DG1137" s="552">
        <f t="shared" si="3378"/>
        <v>0</v>
      </c>
      <c r="DH1137" s="552">
        <f t="shared" si="3378"/>
        <v>0</v>
      </c>
      <c r="DI1137" s="552">
        <f t="shared" si="3378"/>
        <v>0</v>
      </c>
      <c r="DJ1137" s="552">
        <f t="shared" si="3378"/>
        <v>0</v>
      </c>
      <c r="DK1137" s="552">
        <f t="shared" si="3378"/>
        <v>0</v>
      </c>
      <c r="DL1137" s="552">
        <f t="shared" si="3378"/>
        <v>0</v>
      </c>
      <c r="DM1137" s="552">
        <f t="shared" si="3378"/>
        <v>0</v>
      </c>
      <c r="DN1137" s="552">
        <f t="shared" si="3378"/>
        <v>0</v>
      </c>
      <c r="DO1137" s="552">
        <f t="shared" si="3378"/>
        <v>0</v>
      </c>
      <c r="DP1137" s="552">
        <f t="shared" si="3378"/>
        <v>0</v>
      </c>
      <c r="DQ1137" s="552">
        <f t="shared" si="3378"/>
        <v>0</v>
      </c>
      <c r="DR1137" s="552">
        <f t="shared" si="3378"/>
        <v>0</v>
      </c>
      <c r="DS1137" s="552">
        <f t="shared" si="3378"/>
        <v>0</v>
      </c>
      <c r="DT1137" s="552">
        <f t="shared" si="3378"/>
        <v>0</v>
      </c>
      <c r="DU1137" s="552">
        <f t="shared" si="3378"/>
        <v>0</v>
      </c>
      <c r="DV1137" s="552">
        <f t="shared" si="3378"/>
        <v>0</v>
      </c>
      <c r="DW1137" s="552">
        <f t="shared" si="3378"/>
        <v>0</v>
      </c>
      <c r="DX1137" s="552">
        <f t="shared" si="3378"/>
        <v>0</v>
      </c>
      <c r="DY1137" s="552">
        <f t="shared" si="3378"/>
        <v>0</v>
      </c>
      <c r="DZ1137" s="552">
        <f t="shared" si="3378"/>
        <v>0</v>
      </c>
      <c r="EA1137" s="552">
        <f t="shared" si="3378"/>
        <v>0</v>
      </c>
      <c r="EB1137" s="552">
        <f t="shared" si="3378"/>
        <v>0</v>
      </c>
      <c r="EC1137" s="552">
        <f t="shared" si="3378"/>
        <v>0</v>
      </c>
      <c r="ED1137" s="552">
        <f t="shared" si="3378"/>
        <v>0</v>
      </c>
      <c r="EE1137" s="552">
        <f t="shared" si="3378"/>
        <v>0</v>
      </c>
      <c r="EF1137" s="552">
        <f t="shared" si="3378"/>
        <v>0</v>
      </c>
      <c r="EG1137" s="552">
        <f t="shared" si="3378"/>
        <v>0</v>
      </c>
      <c r="EH1137" s="552">
        <f t="shared" ref="EH1137:EX1137" si="3379">EH179*EH$338</f>
        <v>0</v>
      </c>
      <c r="EI1137" s="552">
        <f t="shared" si="3379"/>
        <v>0</v>
      </c>
      <c r="EJ1137" s="552">
        <f t="shared" si="3379"/>
        <v>0</v>
      </c>
      <c r="EK1137" s="552">
        <f t="shared" si="3379"/>
        <v>0</v>
      </c>
      <c r="EL1137" s="552">
        <f t="shared" si="3379"/>
        <v>0</v>
      </c>
      <c r="EM1137" s="552">
        <f t="shared" si="3379"/>
        <v>0</v>
      </c>
      <c r="EN1137" s="552">
        <f t="shared" si="3379"/>
        <v>0</v>
      </c>
      <c r="EO1137" s="552">
        <f t="shared" si="3379"/>
        <v>0</v>
      </c>
      <c r="EP1137" s="552">
        <f t="shared" si="3379"/>
        <v>0</v>
      </c>
      <c r="EQ1137" s="552">
        <f t="shared" si="3379"/>
        <v>0</v>
      </c>
      <c r="ER1137" s="552">
        <f t="shared" si="3379"/>
        <v>0</v>
      </c>
      <c r="ES1137" s="552">
        <f t="shared" si="3379"/>
        <v>0</v>
      </c>
      <c r="ET1137" s="552">
        <f t="shared" si="3379"/>
        <v>0</v>
      </c>
      <c r="EU1137" s="552">
        <f t="shared" si="3379"/>
        <v>0</v>
      </c>
      <c r="EV1137" s="552">
        <f t="shared" si="3379"/>
        <v>0.91</v>
      </c>
      <c r="EW1137" s="552">
        <f t="shared" si="3379"/>
        <v>0</v>
      </c>
      <c r="EX1137" s="552">
        <f t="shared" si="3379"/>
        <v>0</v>
      </c>
      <c r="EY1137" s="799">
        <f t="shared" si="3177"/>
        <v>35.049999999999997</v>
      </c>
      <c r="EZ1137" s="640"/>
      <c r="FA1137" s="640"/>
      <c r="FB1137" s="640"/>
      <c r="FC1137" s="640"/>
      <c r="FD1137" s="640"/>
      <c r="FE1137" s="640"/>
      <c r="FF1137" s="640"/>
      <c r="FG1137" s="640"/>
      <c r="FH1137" s="640"/>
      <c r="FI1137" s="640"/>
      <c r="FJ1137" s="640"/>
      <c r="FK1137" s="640"/>
      <c r="FL1137" s="640"/>
    </row>
    <row r="1138" spans="1:168" x14ac:dyDescent="0.25">
      <c r="A1138" s="1492"/>
      <c r="B1138" s="624" t="str">
        <f t="shared" si="3364"/>
        <v>Макаронные изделия отварные с маслом</v>
      </c>
      <c r="C1138" s="624">
        <f t="shared" si="3364"/>
        <v>155</v>
      </c>
      <c r="D1138" s="624">
        <f t="shared" si="3364"/>
        <v>5.64</v>
      </c>
      <c r="E1138" s="1158">
        <f t="shared" si="3178"/>
        <v>6.24</v>
      </c>
      <c r="F1138" s="1158"/>
      <c r="G1138" s="1140"/>
      <c r="H1138" s="1140"/>
      <c r="I1138" s="552"/>
      <c r="J1138" s="552">
        <f t="shared" ref="J1138:AO1138" si="3380">J180*J$338</f>
        <v>0</v>
      </c>
      <c r="K1138" s="552">
        <f t="shared" si="3380"/>
        <v>0</v>
      </c>
      <c r="L1138" s="552">
        <f t="shared" si="3380"/>
        <v>0</v>
      </c>
      <c r="M1138" s="552">
        <f t="shared" si="3380"/>
        <v>0</v>
      </c>
      <c r="N1138" s="552">
        <f t="shared" si="3380"/>
        <v>0</v>
      </c>
      <c r="O1138" s="552">
        <f t="shared" si="3380"/>
        <v>0</v>
      </c>
      <c r="P1138" s="552">
        <f t="shared" si="3380"/>
        <v>0</v>
      </c>
      <c r="Q1138" s="552">
        <f t="shared" si="3380"/>
        <v>0</v>
      </c>
      <c r="R1138" s="552">
        <f t="shared" si="3380"/>
        <v>0</v>
      </c>
      <c r="S1138" s="552">
        <f t="shared" si="3380"/>
        <v>0</v>
      </c>
      <c r="T1138" s="552">
        <f t="shared" si="3380"/>
        <v>0</v>
      </c>
      <c r="U1138" s="552">
        <f t="shared" si="3380"/>
        <v>0</v>
      </c>
      <c r="V1138" s="552">
        <f t="shared" si="3380"/>
        <v>3.55</v>
      </c>
      <c r="W1138" s="552">
        <f t="shared" si="3380"/>
        <v>0</v>
      </c>
      <c r="X1138" s="552">
        <f t="shared" si="3380"/>
        <v>0</v>
      </c>
      <c r="Y1138" s="552">
        <f t="shared" si="3380"/>
        <v>0</v>
      </c>
      <c r="Z1138" s="552">
        <f t="shared" si="3380"/>
        <v>0</v>
      </c>
      <c r="AA1138" s="552">
        <f t="shared" si="3380"/>
        <v>0</v>
      </c>
      <c r="AB1138" s="552">
        <f t="shared" si="3380"/>
        <v>0</v>
      </c>
      <c r="AC1138" s="552">
        <f t="shared" si="3380"/>
        <v>0</v>
      </c>
      <c r="AD1138" s="552">
        <f t="shared" si="3380"/>
        <v>0</v>
      </c>
      <c r="AE1138" s="552">
        <f t="shared" si="3380"/>
        <v>0</v>
      </c>
      <c r="AF1138" s="552">
        <f t="shared" si="3380"/>
        <v>0</v>
      </c>
      <c r="AG1138" s="552">
        <f t="shared" si="3380"/>
        <v>0</v>
      </c>
      <c r="AH1138" s="552">
        <f t="shared" si="3380"/>
        <v>0</v>
      </c>
      <c r="AI1138" s="552">
        <f t="shared" si="3380"/>
        <v>0</v>
      </c>
      <c r="AJ1138" s="552">
        <f t="shared" si="3380"/>
        <v>0</v>
      </c>
      <c r="AK1138" s="552">
        <f t="shared" si="3380"/>
        <v>0</v>
      </c>
      <c r="AL1138" s="552">
        <f t="shared" si="3380"/>
        <v>0</v>
      </c>
      <c r="AM1138" s="552">
        <f t="shared" si="3380"/>
        <v>0</v>
      </c>
      <c r="AN1138" s="552">
        <f t="shared" si="3380"/>
        <v>0</v>
      </c>
      <c r="AO1138" s="552">
        <f t="shared" si="3380"/>
        <v>0</v>
      </c>
      <c r="AP1138" s="552">
        <f t="shared" ref="AP1138:BU1138" si="3381">AP180*AP$338</f>
        <v>0</v>
      </c>
      <c r="AQ1138" s="552">
        <f t="shared" si="3381"/>
        <v>0</v>
      </c>
      <c r="AR1138" s="552">
        <f t="shared" si="3381"/>
        <v>0</v>
      </c>
      <c r="AS1138" s="552">
        <f t="shared" si="3381"/>
        <v>0</v>
      </c>
      <c r="AT1138" s="552">
        <f t="shared" si="3381"/>
        <v>0</v>
      </c>
      <c r="AU1138" s="552">
        <f t="shared" si="3381"/>
        <v>0</v>
      </c>
      <c r="AV1138" s="552">
        <f t="shared" si="3381"/>
        <v>0</v>
      </c>
      <c r="AW1138" s="552">
        <f t="shared" si="3381"/>
        <v>0</v>
      </c>
      <c r="AX1138" s="552">
        <f t="shared" si="3381"/>
        <v>0</v>
      </c>
      <c r="AY1138" s="552">
        <f t="shared" si="3381"/>
        <v>0</v>
      </c>
      <c r="AZ1138" s="552">
        <f t="shared" si="3381"/>
        <v>0</v>
      </c>
      <c r="BA1138" s="552">
        <f t="shared" si="3381"/>
        <v>0</v>
      </c>
      <c r="BB1138" s="552">
        <f t="shared" si="3381"/>
        <v>0</v>
      </c>
      <c r="BC1138" s="552">
        <f t="shared" si="3381"/>
        <v>0</v>
      </c>
      <c r="BD1138" s="552">
        <f t="shared" si="3381"/>
        <v>0</v>
      </c>
      <c r="BE1138" s="552">
        <f t="shared" si="3381"/>
        <v>0</v>
      </c>
      <c r="BF1138" s="552">
        <f t="shared" si="3381"/>
        <v>0</v>
      </c>
      <c r="BG1138" s="552">
        <f t="shared" si="3381"/>
        <v>0</v>
      </c>
      <c r="BH1138" s="552">
        <f t="shared" si="3381"/>
        <v>0</v>
      </c>
      <c r="BI1138" s="552">
        <f t="shared" si="3381"/>
        <v>0</v>
      </c>
      <c r="BJ1138" s="552">
        <f t="shared" si="3381"/>
        <v>0</v>
      </c>
      <c r="BK1138" s="552">
        <f t="shared" si="3381"/>
        <v>0</v>
      </c>
      <c r="BL1138" s="552">
        <f t="shared" si="3381"/>
        <v>0</v>
      </c>
      <c r="BM1138" s="552">
        <f t="shared" si="3381"/>
        <v>0</v>
      </c>
      <c r="BN1138" s="552">
        <f t="shared" si="3381"/>
        <v>0</v>
      </c>
      <c r="BO1138" s="552">
        <f t="shared" si="3381"/>
        <v>0</v>
      </c>
      <c r="BP1138" s="552">
        <f t="shared" si="3381"/>
        <v>0</v>
      </c>
      <c r="BQ1138" s="552">
        <f t="shared" si="3381"/>
        <v>0</v>
      </c>
      <c r="BR1138" s="552">
        <f t="shared" si="3381"/>
        <v>0</v>
      </c>
      <c r="BS1138" s="552">
        <f t="shared" si="3381"/>
        <v>0</v>
      </c>
      <c r="BT1138" s="552">
        <f t="shared" si="3381"/>
        <v>0</v>
      </c>
      <c r="BU1138" s="552">
        <f t="shared" si="3381"/>
        <v>0</v>
      </c>
      <c r="BV1138" s="552">
        <f t="shared" ref="BV1138:DA1138" si="3382">BV180*BV$338</f>
        <v>0</v>
      </c>
      <c r="BW1138" s="552">
        <f t="shared" si="3382"/>
        <v>0</v>
      </c>
      <c r="BX1138" s="552">
        <f t="shared" si="3382"/>
        <v>0</v>
      </c>
      <c r="BY1138" s="552">
        <f t="shared" si="3382"/>
        <v>0</v>
      </c>
      <c r="BZ1138" s="552">
        <f t="shared" si="3382"/>
        <v>0</v>
      </c>
      <c r="CA1138" s="552">
        <f t="shared" si="3382"/>
        <v>0</v>
      </c>
      <c r="CB1138" s="552">
        <f t="shared" si="3382"/>
        <v>0</v>
      </c>
      <c r="CC1138" s="552">
        <f t="shared" si="3382"/>
        <v>0</v>
      </c>
      <c r="CD1138" s="552">
        <f t="shared" si="3382"/>
        <v>0</v>
      </c>
      <c r="CE1138" s="552">
        <f t="shared" si="3382"/>
        <v>0</v>
      </c>
      <c r="CF1138" s="552">
        <f t="shared" si="3382"/>
        <v>0</v>
      </c>
      <c r="CG1138" s="552">
        <f t="shared" si="3382"/>
        <v>2.63</v>
      </c>
      <c r="CH1138" s="552">
        <f t="shared" si="3382"/>
        <v>0</v>
      </c>
      <c r="CI1138" s="552">
        <f t="shared" si="3382"/>
        <v>0</v>
      </c>
      <c r="CJ1138" s="552">
        <f t="shared" si="3382"/>
        <v>0</v>
      </c>
      <c r="CK1138" s="552">
        <f t="shared" si="3382"/>
        <v>0</v>
      </c>
      <c r="CL1138" s="552">
        <f t="shared" si="3382"/>
        <v>0</v>
      </c>
      <c r="CM1138" s="552">
        <f t="shared" si="3382"/>
        <v>0</v>
      </c>
      <c r="CN1138" s="552">
        <f t="shared" si="3382"/>
        <v>0</v>
      </c>
      <c r="CO1138" s="552">
        <f t="shared" si="3382"/>
        <v>0</v>
      </c>
      <c r="CP1138" s="552">
        <f t="shared" si="3382"/>
        <v>0</v>
      </c>
      <c r="CQ1138" s="552">
        <f t="shared" si="3382"/>
        <v>0</v>
      </c>
      <c r="CR1138" s="552">
        <f t="shared" si="3382"/>
        <v>0</v>
      </c>
      <c r="CS1138" s="552">
        <f t="shared" si="3382"/>
        <v>0</v>
      </c>
      <c r="CT1138" s="552">
        <f t="shared" si="3382"/>
        <v>0</v>
      </c>
      <c r="CU1138" s="552">
        <f t="shared" si="3382"/>
        <v>0</v>
      </c>
      <c r="CV1138" s="552">
        <f t="shared" si="3382"/>
        <v>0</v>
      </c>
      <c r="CW1138" s="552">
        <f t="shared" si="3382"/>
        <v>0</v>
      </c>
      <c r="CX1138" s="552">
        <f t="shared" si="3382"/>
        <v>0</v>
      </c>
      <c r="CY1138" s="552">
        <f t="shared" si="3382"/>
        <v>0</v>
      </c>
      <c r="CZ1138" s="552">
        <f t="shared" si="3382"/>
        <v>0</v>
      </c>
      <c r="DA1138" s="552">
        <f t="shared" si="3382"/>
        <v>0</v>
      </c>
      <c r="DB1138" s="552">
        <f t="shared" ref="DB1138:EG1138" si="3383">DB180*DB$338</f>
        <v>0</v>
      </c>
      <c r="DC1138" s="552">
        <f t="shared" si="3383"/>
        <v>0.06</v>
      </c>
      <c r="DD1138" s="552">
        <f t="shared" si="3383"/>
        <v>0</v>
      </c>
      <c r="DE1138" s="552">
        <f t="shared" si="3383"/>
        <v>0</v>
      </c>
      <c r="DF1138" s="552">
        <f t="shared" si="3383"/>
        <v>0</v>
      </c>
      <c r="DG1138" s="552">
        <f t="shared" si="3383"/>
        <v>0</v>
      </c>
      <c r="DH1138" s="552">
        <f t="shared" si="3383"/>
        <v>0</v>
      </c>
      <c r="DI1138" s="552">
        <f t="shared" si="3383"/>
        <v>0</v>
      </c>
      <c r="DJ1138" s="552">
        <f t="shared" si="3383"/>
        <v>0</v>
      </c>
      <c r="DK1138" s="552">
        <f t="shared" si="3383"/>
        <v>0</v>
      </c>
      <c r="DL1138" s="552">
        <f t="shared" si="3383"/>
        <v>0</v>
      </c>
      <c r="DM1138" s="552">
        <f t="shared" si="3383"/>
        <v>0</v>
      </c>
      <c r="DN1138" s="552">
        <f t="shared" si="3383"/>
        <v>0</v>
      </c>
      <c r="DO1138" s="552">
        <f t="shared" si="3383"/>
        <v>0</v>
      </c>
      <c r="DP1138" s="552">
        <f t="shared" si="3383"/>
        <v>0</v>
      </c>
      <c r="DQ1138" s="552">
        <f t="shared" si="3383"/>
        <v>0</v>
      </c>
      <c r="DR1138" s="552">
        <f t="shared" si="3383"/>
        <v>0</v>
      </c>
      <c r="DS1138" s="552">
        <f t="shared" si="3383"/>
        <v>0</v>
      </c>
      <c r="DT1138" s="552">
        <f t="shared" si="3383"/>
        <v>0</v>
      </c>
      <c r="DU1138" s="552">
        <f t="shared" si="3383"/>
        <v>0</v>
      </c>
      <c r="DV1138" s="552">
        <f t="shared" si="3383"/>
        <v>0</v>
      </c>
      <c r="DW1138" s="552">
        <f t="shared" si="3383"/>
        <v>0</v>
      </c>
      <c r="DX1138" s="552">
        <f t="shared" si="3383"/>
        <v>0</v>
      </c>
      <c r="DY1138" s="552">
        <f t="shared" si="3383"/>
        <v>0</v>
      </c>
      <c r="DZ1138" s="552">
        <f t="shared" si="3383"/>
        <v>0</v>
      </c>
      <c r="EA1138" s="552">
        <f t="shared" si="3383"/>
        <v>0</v>
      </c>
      <c r="EB1138" s="552">
        <f t="shared" si="3383"/>
        <v>0</v>
      </c>
      <c r="EC1138" s="552">
        <f t="shared" si="3383"/>
        <v>0</v>
      </c>
      <c r="ED1138" s="552">
        <f t="shared" si="3383"/>
        <v>0</v>
      </c>
      <c r="EE1138" s="552">
        <f t="shared" si="3383"/>
        <v>0</v>
      </c>
      <c r="EF1138" s="552">
        <f t="shared" si="3383"/>
        <v>0</v>
      </c>
      <c r="EG1138" s="552">
        <f t="shared" si="3383"/>
        <v>0</v>
      </c>
      <c r="EH1138" s="552">
        <f t="shared" ref="EH1138:EX1138" si="3384">EH180*EH$338</f>
        <v>0</v>
      </c>
      <c r="EI1138" s="552">
        <f t="shared" si="3384"/>
        <v>0</v>
      </c>
      <c r="EJ1138" s="552">
        <f t="shared" si="3384"/>
        <v>0</v>
      </c>
      <c r="EK1138" s="552">
        <f t="shared" si="3384"/>
        <v>0</v>
      </c>
      <c r="EL1138" s="552">
        <f t="shared" si="3384"/>
        <v>0</v>
      </c>
      <c r="EM1138" s="552">
        <f t="shared" si="3384"/>
        <v>0</v>
      </c>
      <c r="EN1138" s="552">
        <f t="shared" si="3384"/>
        <v>0</v>
      </c>
      <c r="EO1138" s="552">
        <f t="shared" si="3384"/>
        <v>0</v>
      </c>
      <c r="EP1138" s="552">
        <f t="shared" si="3384"/>
        <v>0</v>
      </c>
      <c r="EQ1138" s="552">
        <f t="shared" si="3384"/>
        <v>0</v>
      </c>
      <c r="ER1138" s="552">
        <f t="shared" si="3384"/>
        <v>0</v>
      </c>
      <c r="ES1138" s="552">
        <f t="shared" si="3384"/>
        <v>0</v>
      </c>
      <c r="ET1138" s="552">
        <f t="shared" si="3384"/>
        <v>0</v>
      </c>
      <c r="EU1138" s="552">
        <f t="shared" si="3384"/>
        <v>0</v>
      </c>
      <c r="EV1138" s="552">
        <f t="shared" si="3384"/>
        <v>0</v>
      </c>
      <c r="EW1138" s="552">
        <f t="shared" si="3384"/>
        <v>0</v>
      </c>
      <c r="EX1138" s="552">
        <f t="shared" si="3384"/>
        <v>0</v>
      </c>
      <c r="EY1138" s="799">
        <f t="shared" si="3177"/>
        <v>6.24</v>
      </c>
      <c r="EZ1138" s="640"/>
      <c r="FA1138" s="640"/>
      <c r="FB1138" s="640"/>
      <c r="FC1138" s="640"/>
      <c r="FD1138" s="640"/>
      <c r="FE1138" s="640"/>
      <c r="FF1138" s="640"/>
      <c r="FG1138" s="640"/>
      <c r="FH1138" s="640"/>
      <c r="FI1138" s="640"/>
      <c r="FJ1138" s="640"/>
      <c r="FK1138" s="640"/>
      <c r="FL1138" s="640"/>
    </row>
    <row r="1139" spans="1:168" x14ac:dyDescent="0.25">
      <c r="A1139" s="1492"/>
      <c r="B1139" s="624" t="str">
        <f t="shared" si="3364"/>
        <v xml:space="preserve">Компот из яблок </v>
      </c>
      <c r="C1139" s="624">
        <f t="shared" si="3364"/>
        <v>200</v>
      </c>
      <c r="D1139" s="624">
        <f t="shared" si="3364"/>
        <v>0.16</v>
      </c>
      <c r="E1139" s="1158">
        <f t="shared" si="3178"/>
        <v>6.01</v>
      </c>
      <c r="F1139" s="1158"/>
      <c r="G1139" s="1140"/>
      <c r="H1139" s="1140"/>
      <c r="I1139" s="552"/>
      <c r="J1139" s="552">
        <f t="shared" ref="J1139:AO1139" si="3385">J181*J$338</f>
        <v>0</v>
      </c>
      <c r="K1139" s="552">
        <f t="shared" si="3385"/>
        <v>0</v>
      </c>
      <c r="L1139" s="552">
        <f t="shared" si="3385"/>
        <v>0</v>
      </c>
      <c r="M1139" s="552">
        <f t="shared" si="3385"/>
        <v>0</v>
      </c>
      <c r="N1139" s="552">
        <f t="shared" si="3385"/>
        <v>0</v>
      </c>
      <c r="O1139" s="552">
        <f t="shared" si="3385"/>
        <v>0</v>
      </c>
      <c r="P1139" s="552">
        <f t="shared" si="3385"/>
        <v>0</v>
      </c>
      <c r="Q1139" s="552">
        <f t="shared" si="3385"/>
        <v>0</v>
      </c>
      <c r="R1139" s="552">
        <f t="shared" si="3385"/>
        <v>0</v>
      </c>
      <c r="S1139" s="552">
        <f t="shared" si="3385"/>
        <v>0</v>
      </c>
      <c r="T1139" s="552">
        <f t="shared" si="3385"/>
        <v>0</v>
      </c>
      <c r="U1139" s="552">
        <f t="shared" si="3385"/>
        <v>0</v>
      </c>
      <c r="V1139" s="552">
        <f t="shared" si="3385"/>
        <v>0</v>
      </c>
      <c r="W1139" s="552">
        <f t="shared" si="3385"/>
        <v>0</v>
      </c>
      <c r="X1139" s="552">
        <f t="shared" si="3385"/>
        <v>0</v>
      </c>
      <c r="Y1139" s="552">
        <f t="shared" si="3385"/>
        <v>0</v>
      </c>
      <c r="Z1139" s="552">
        <f t="shared" si="3385"/>
        <v>0</v>
      </c>
      <c r="AA1139" s="552">
        <f t="shared" si="3385"/>
        <v>0</v>
      </c>
      <c r="AB1139" s="552">
        <f t="shared" si="3385"/>
        <v>0</v>
      </c>
      <c r="AC1139" s="552">
        <f t="shared" si="3385"/>
        <v>0</v>
      </c>
      <c r="AD1139" s="552">
        <f t="shared" si="3385"/>
        <v>0</v>
      </c>
      <c r="AE1139" s="552">
        <f t="shared" si="3385"/>
        <v>0</v>
      </c>
      <c r="AF1139" s="552">
        <f t="shared" si="3385"/>
        <v>0</v>
      </c>
      <c r="AG1139" s="552">
        <f t="shared" si="3385"/>
        <v>0</v>
      </c>
      <c r="AH1139" s="552">
        <f t="shared" si="3385"/>
        <v>0</v>
      </c>
      <c r="AI1139" s="552">
        <f t="shared" si="3385"/>
        <v>0</v>
      </c>
      <c r="AJ1139" s="552">
        <f t="shared" si="3385"/>
        <v>0</v>
      </c>
      <c r="AK1139" s="552">
        <f t="shared" si="3385"/>
        <v>0</v>
      </c>
      <c r="AL1139" s="552">
        <f t="shared" si="3385"/>
        <v>0</v>
      </c>
      <c r="AM1139" s="552">
        <f t="shared" si="3385"/>
        <v>0</v>
      </c>
      <c r="AN1139" s="552">
        <f t="shared" si="3385"/>
        <v>0</v>
      </c>
      <c r="AO1139" s="552">
        <f t="shared" si="3385"/>
        <v>0</v>
      </c>
      <c r="AP1139" s="552">
        <f t="shared" ref="AP1139:BU1139" si="3386">AP181*AP$338</f>
        <v>0</v>
      </c>
      <c r="AQ1139" s="552">
        <f t="shared" si="3386"/>
        <v>0</v>
      </c>
      <c r="AR1139" s="552">
        <f t="shared" si="3386"/>
        <v>0</v>
      </c>
      <c r="AS1139" s="552">
        <f t="shared" si="3386"/>
        <v>0</v>
      </c>
      <c r="AT1139" s="552">
        <f t="shared" si="3386"/>
        <v>0</v>
      </c>
      <c r="AU1139" s="552">
        <f t="shared" si="3386"/>
        <v>0</v>
      </c>
      <c r="AV1139" s="552">
        <f t="shared" si="3386"/>
        <v>0</v>
      </c>
      <c r="AW1139" s="552">
        <f t="shared" si="3386"/>
        <v>0</v>
      </c>
      <c r="AX1139" s="552">
        <f t="shared" si="3386"/>
        <v>0</v>
      </c>
      <c r="AY1139" s="552">
        <f t="shared" si="3386"/>
        <v>0</v>
      </c>
      <c r="AZ1139" s="552">
        <f t="shared" si="3386"/>
        <v>0</v>
      </c>
      <c r="BA1139" s="552">
        <f t="shared" si="3386"/>
        <v>0</v>
      </c>
      <c r="BB1139" s="552">
        <f t="shared" si="3386"/>
        <v>0</v>
      </c>
      <c r="BC1139" s="552">
        <f t="shared" si="3386"/>
        <v>0</v>
      </c>
      <c r="BD1139" s="552">
        <f t="shared" si="3386"/>
        <v>0</v>
      </c>
      <c r="BE1139" s="552">
        <f t="shared" si="3386"/>
        <v>0</v>
      </c>
      <c r="BF1139" s="552">
        <f t="shared" si="3386"/>
        <v>0</v>
      </c>
      <c r="BG1139" s="552">
        <f t="shared" si="3386"/>
        <v>0</v>
      </c>
      <c r="BH1139" s="552">
        <f t="shared" si="3386"/>
        <v>0</v>
      </c>
      <c r="BI1139" s="552">
        <f t="shared" si="3386"/>
        <v>0</v>
      </c>
      <c r="BJ1139" s="552">
        <f t="shared" si="3386"/>
        <v>0</v>
      </c>
      <c r="BK1139" s="552">
        <f t="shared" si="3386"/>
        <v>0</v>
      </c>
      <c r="BL1139" s="552">
        <f t="shared" si="3386"/>
        <v>0</v>
      </c>
      <c r="BM1139" s="552">
        <f t="shared" si="3386"/>
        <v>0</v>
      </c>
      <c r="BN1139" s="552">
        <f t="shared" si="3386"/>
        <v>0</v>
      </c>
      <c r="BO1139" s="552">
        <f t="shared" si="3386"/>
        <v>0</v>
      </c>
      <c r="BP1139" s="552">
        <f t="shared" si="3386"/>
        <v>0</v>
      </c>
      <c r="BQ1139" s="552">
        <f t="shared" si="3386"/>
        <v>0</v>
      </c>
      <c r="BR1139" s="552">
        <f t="shared" si="3386"/>
        <v>4.13</v>
      </c>
      <c r="BS1139" s="552">
        <f t="shared" si="3386"/>
        <v>0</v>
      </c>
      <c r="BT1139" s="552">
        <f t="shared" si="3386"/>
        <v>0</v>
      </c>
      <c r="BU1139" s="552">
        <f t="shared" si="3386"/>
        <v>0</v>
      </c>
      <c r="BV1139" s="552">
        <f t="shared" ref="BV1139:DA1139" si="3387">BV181*BV$338</f>
        <v>0</v>
      </c>
      <c r="BW1139" s="552">
        <f t="shared" si="3387"/>
        <v>0</v>
      </c>
      <c r="BX1139" s="552">
        <f t="shared" si="3387"/>
        <v>0</v>
      </c>
      <c r="BY1139" s="552">
        <f t="shared" si="3387"/>
        <v>0</v>
      </c>
      <c r="BZ1139" s="552">
        <f t="shared" si="3387"/>
        <v>0</v>
      </c>
      <c r="CA1139" s="552">
        <f t="shared" si="3387"/>
        <v>0</v>
      </c>
      <c r="CB1139" s="552">
        <f t="shared" si="3387"/>
        <v>0</v>
      </c>
      <c r="CC1139" s="552">
        <f t="shared" si="3387"/>
        <v>0</v>
      </c>
      <c r="CD1139" s="552">
        <f t="shared" si="3387"/>
        <v>0</v>
      </c>
      <c r="CE1139" s="552">
        <f t="shared" si="3387"/>
        <v>0</v>
      </c>
      <c r="CF1139" s="552">
        <f t="shared" si="3387"/>
        <v>0</v>
      </c>
      <c r="CG1139" s="552">
        <f t="shared" si="3387"/>
        <v>0</v>
      </c>
      <c r="CH1139" s="552">
        <f t="shared" si="3387"/>
        <v>0</v>
      </c>
      <c r="CI1139" s="552">
        <f t="shared" si="3387"/>
        <v>0</v>
      </c>
      <c r="CJ1139" s="552">
        <f t="shared" si="3387"/>
        <v>0</v>
      </c>
      <c r="CK1139" s="552">
        <f t="shared" si="3387"/>
        <v>0</v>
      </c>
      <c r="CL1139" s="552">
        <f t="shared" si="3387"/>
        <v>0</v>
      </c>
      <c r="CM1139" s="552">
        <f t="shared" si="3387"/>
        <v>0</v>
      </c>
      <c r="CN1139" s="552">
        <f t="shared" si="3387"/>
        <v>0</v>
      </c>
      <c r="CO1139" s="552">
        <f t="shared" si="3387"/>
        <v>0</v>
      </c>
      <c r="CP1139" s="552">
        <f t="shared" si="3387"/>
        <v>0</v>
      </c>
      <c r="CQ1139" s="552">
        <f t="shared" si="3387"/>
        <v>0.06</v>
      </c>
      <c r="CR1139" s="552">
        <f t="shared" si="3387"/>
        <v>0</v>
      </c>
      <c r="CS1139" s="552">
        <f t="shared" si="3387"/>
        <v>0</v>
      </c>
      <c r="CT1139" s="552">
        <f t="shared" si="3387"/>
        <v>0</v>
      </c>
      <c r="CU1139" s="552">
        <f t="shared" si="3387"/>
        <v>0</v>
      </c>
      <c r="CV1139" s="552">
        <f t="shared" si="3387"/>
        <v>0</v>
      </c>
      <c r="CW1139" s="552">
        <f t="shared" si="3387"/>
        <v>0</v>
      </c>
      <c r="CX1139" s="552">
        <f t="shared" si="3387"/>
        <v>0</v>
      </c>
      <c r="CY1139" s="552">
        <f t="shared" si="3387"/>
        <v>0</v>
      </c>
      <c r="CZ1139" s="552">
        <f t="shared" si="3387"/>
        <v>1.82</v>
      </c>
      <c r="DA1139" s="552">
        <f t="shared" si="3387"/>
        <v>0</v>
      </c>
      <c r="DB1139" s="552">
        <f t="shared" ref="DB1139:EG1139" si="3388">DB181*DB$338</f>
        <v>0</v>
      </c>
      <c r="DC1139" s="552">
        <f t="shared" si="3388"/>
        <v>0</v>
      </c>
      <c r="DD1139" s="552">
        <f t="shared" si="3388"/>
        <v>0</v>
      </c>
      <c r="DE1139" s="552">
        <f t="shared" si="3388"/>
        <v>0</v>
      </c>
      <c r="DF1139" s="552">
        <f t="shared" si="3388"/>
        <v>0</v>
      </c>
      <c r="DG1139" s="552">
        <f t="shared" si="3388"/>
        <v>0</v>
      </c>
      <c r="DH1139" s="552">
        <f t="shared" si="3388"/>
        <v>0</v>
      </c>
      <c r="DI1139" s="552">
        <f t="shared" si="3388"/>
        <v>0</v>
      </c>
      <c r="DJ1139" s="552">
        <f t="shared" si="3388"/>
        <v>0</v>
      </c>
      <c r="DK1139" s="552">
        <f t="shared" si="3388"/>
        <v>0</v>
      </c>
      <c r="DL1139" s="552">
        <f t="shared" si="3388"/>
        <v>0</v>
      </c>
      <c r="DM1139" s="552">
        <f t="shared" si="3388"/>
        <v>0</v>
      </c>
      <c r="DN1139" s="552">
        <f t="shared" si="3388"/>
        <v>0</v>
      </c>
      <c r="DO1139" s="552">
        <f t="shared" si="3388"/>
        <v>0</v>
      </c>
      <c r="DP1139" s="552">
        <f t="shared" si="3388"/>
        <v>0</v>
      </c>
      <c r="DQ1139" s="552">
        <f t="shared" si="3388"/>
        <v>0</v>
      </c>
      <c r="DR1139" s="552">
        <f t="shared" si="3388"/>
        <v>0</v>
      </c>
      <c r="DS1139" s="552">
        <f t="shared" si="3388"/>
        <v>0</v>
      </c>
      <c r="DT1139" s="552">
        <f t="shared" si="3388"/>
        <v>0</v>
      </c>
      <c r="DU1139" s="552">
        <f t="shared" si="3388"/>
        <v>0</v>
      </c>
      <c r="DV1139" s="552">
        <f t="shared" si="3388"/>
        <v>0</v>
      </c>
      <c r="DW1139" s="552">
        <f t="shared" si="3388"/>
        <v>0</v>
      </c>
      <c r="DX1139" s="552">
        <f t="shared" si="3388"/>
        <v>0</v>
      </c>
      <c r="DY1139" s="552">
        <f t="shared" si="3388"/>
        <v>0</v>
      </c>
      <c r="DZ1139" s="552">
        <f t="shared" si="3388"/>
        <v>0</v>
      </c>
      <c r="EA1139" s="552">
        <f t="shared" si="3388"/>
        <v>0</v>
      </c>
      <c r="EB1139" s="552">
        <f t="shared" si="3388"/>
        <v>0</v>
      </c>
      <c r="EC1139" s="552">
        <f t="shared" si="3388"/>
        <v>0</v>
      </c>
      <c r="ED1139" s="552">
        <f t="shared" si="3388"/>
        <v>0</v>
      </c>
      <c r="EE1139" s="552">
        <f t="shared" si="3388"/>
        <v>0</v>
      </c>
      <c r="EF1139" s="552">
        <f t="shared" si="3388"/>
        <v>0</v>
      </c>
      <c r="EG1139" s="552">
        <f t="shared" si="3388"/>
        <v>0</v>
      </c>
      <c r="EH1139" s="552">
        <f t="shared" ref="EH1139:EX1139" si="3389">EH181*EH$338</f>
        <v>0</v>
      </c>
      <c r="EI1139" s="552">
        <f t="shared" si="3389"/>
        <v>0</v>
      </c>
      <c r="EJ1139" s="552">
        <f t="shared" si="3389"/>
        <v>0</v>
      </c>
      <c r="EK1139" s="552">
        <f t="shared" si="3389"/>
        <v>0</v>
      </c>
      <c r="EL1139" s="552">
        <f t="shared" si="3389"/>
        <v>0</v>
      </c>
      <c r="EM1139" s="552">
        <f t="shared" si="3389"/>
        <v>0</v>
      </c>
      <c r="EN1139" s="552">
        <f t="shared" si="3389"/>
        <v>0</v>
      </c>
      <c r="EO1139" s="552">
        <f t="shared" si="3389"/>
        <v>0</v>
      </c>
      <c r="EP1139" s="552">
        <f t="shared" si="3389"/>
        <v>0</v>
      </c>
      <c r="EQ1139" s="552">
        <f t="shared" si="3389"/>
        <v>0</v>
      </c>
      <c r="ER1139" s="552">
        <f t="shared" si="3389"/>
        <v>0</v>
      </c>
      <c r="ES1139" s="552">
        <f t="shared" si="3389"/>
        <v>0</v>
      </c>
      <c r="ET1139" s="552">
        <f t="shared" si="3389"/>
        <v>0</v>
      </c>
      <c r="EU1139" s="552">
        <f t="shared" si="3389"/>
        <v>0</v>
      </c>
      <c r="EV1139" s="552">
        <f t="shared" si="3389"/>
        <v>0</v>
      </c>
      <c r="EW1139" s="552">
        <f t="shared" si="3389"/>
        <v>0</v>
      </c>
      <c r="EX1139" s="552">
        <f t="shared" si="3389"/>
        <v>0</v>
      </c>
      <c r="EY1139" s="799">
        <f t="shared" si="3177"/>
        <v>6.01</v>
      </c>
      <c r="EZ1139" s="640"/>
      <c r="FA1139" s="640"/>
      <c r="FB1139" s="640"/>
      <c r="FC1139" s="640"/>
      <c r="FD1139" s="640"/>
      <c r="FE1139" s="640"/>
      <c r="FF1139" s="640"/>
      <c r="FG1139" s="640"/>
      <c r="FH1139" s="640"/>
      <c r="FI1139" s="640"/>
      <c r="FJ1139" s="640"/>
      <c r="FK1139" s="640"/>
      <c r="FL1139" s="640"/>
    </row>
    <row r="1140" spans="1:168" x14ac:dyDescent="0.25">
      <c r="A1140" s="1492"/>
      <c r="B1140" s="624" t="str">
        <f t="shared" si="3364"/>
        <v>Хлеб пшеничный нарезной</v>
      </c>
      <c r="C1140" s="624">
        <f t="shared" si="3364"/>
        <v>20</v>
      </c>
      <c r="D1140" s="624">
        <f t="shared" si="3364"/>
        <v>2.14</v>
      </c>
      <c r="E1140" s="1158">
        <f t="shared" si="3178"/>
        <v>1.3</v>
      </c>
      <c r="F1140" s="1158"/>
      <c r="G1140" s="1140"/>
      <c r="H1140" s="1140"/>
      <c r="I1140" s="552"/>
      <c r="J1140" s="552">
        <f t="shared" ref="J1140:AO1140" si="3390">J182*J$338</f>
        <v>0</v>
      </c>
      <c r="K1140" s="552">
        <f t="shared" si="3390"/>
        <v>0</v>
      </c>
      <c r="L1140" s="552">
        <f t="shared" si="3390"/>
        <v>0</v>
      </c>
      <c r="M1140" s="552">
        <f t="shared" si="3390"/>
        <v>0</v>
      </c>
      <c r="N1140" s="552">
        <f t="shared" si="3390"/>
        <v>0</v>
      </c>
      <c r="O1140" s="552">
        <f t="shared" si="3390"/>
        <v>0</v>
      </c>
      <c r="P1140" s="552">
        <f t="shared" si="3390"/>
        <v>0</v>
      </c>
      <c r="Q1140" s="552">
        <f t="shared" si="3390"/>
        <v>0</v>
      </c>
      <c r="R1140" s="552">
        <f t="shared" si="3390"/>
        <v>0</v>
      </c>
      <c r="S1140" s="552">
        <f t="shared" si="3390"/>
        <v>0</v>
      </c>
      <c r="T1140" s="552">
        <f t="shared" si="3390"/>
        <v>0</v>
      </c>
      <c r="U1140" s="552">
        <f t="shared" si="3390"/>
        <v>0</v>
      </c>
      <c r="V1140" s="552">
        <f t="shared" si="3390"/>
        <v>0</v>
      </c>
      <c r="W1140" s="552">
        <f t="shared" si="3390"/>
        <v>0</v>
      </c>
      <c r="X1140" s="552">
        <f t="shared" si="3390"/>
        <v>0</v>
      </c>
      <c r="Y1140" s="552">
        <f t="shared" si="3390"/>
        <v>0</v>
      </c>
      <c r="Z1140" s="552">
        <f t="shared" si="3390"/>
        <v>0</v>
      </c>
      <c r="AA1140" s="552">
        <f t="shared" si="3390"/>
        <v>0</v>
      </c>
      <c r="AB1140" s="552">
        <f t="shared" si="3390"/>
        <v>0</v>
      </c>
      <c r="AC1140" s="552">
        <f t="shared" si="3390"/>
        <v>0</v>
      </c>
      <c r="AD1140" s="552">
        <f t="shared" si="3390"/>
        <v>0</v>
      </c>
      <c r="AE1140" s="552">
        <f t="shared" si="3390"/>
        <v>0</v>
      </c>
      <c r="AF1140" s="552">
        <f t="shared" si="3390"/>
        <v>0</v>
      </c>
      <c r="AG1140" s="552">
        <f t="shared" si="3390"/>
        <v>0</v>
      </c>
      <c r="AH1140" s="552">
        <f t="shared" si="3390"/>
        <v>0</v>
      </c>
      <c r="AI1140" s="552">
        <f t="shared" si="3390"/>
        <v>0</v>
      </c>
      <c r="AJ1140" s="552">
        <f t="shared" si="3390"/>
        <v>0</v>
      </c>
      <c r="AK1140" s="552">
        <f t="shared" si="3390"/>
        <v>0</v>
      </c>
      <c r="AL1140" s="552">
        <f t="shared" si="3390"/>
        <v>0</v>
      </c>
      <c r="AM1140" s="552">
        <f t="shared" si="3390"/>
        <v>0</v>
      </c>
      <c r="AN1140" s="552">
        <f t="shared" si="3390"/>
        <v>0</v>
      </c>
      <c r="AO1140" s="552">
        <f t="shared" si="3390"/>
        <v>0</v>
      </c>
      <c r="AP1140" s="552">
        <f t="shared" ref="AP1140:BU1140" si="3391">AP182*AP$338</f>
        <v>0</v>
      </c>
      <c r="AQ1140" s="552">
        <f t="shared" si="3391"/>
        <v>0</v>
      </c>
      <c r="AR1140" s="552">
        <f t="shared" si="3391"/>
        <v>0</v>
      </c>
      <c r="AS1140" s="552">
        <f t="shared" si="3391"/>
        <v>0</v>
      </c>
      <c r="AT1140" s="552">
        <f t="shared" si="3391"/>
        <v>0</v>
      </c>
      <c r="AU1140" s="552">
        <f t="shared" si="3391"/>
        <v>0</v>
      </c>
      <c r="AV1140" s="552">
        <f t="shared" si="3391"/>
        <v>0</v>
      </c>
      <c r="AW1140" s="552">
        <f t="shared" si="3391"/>
        <v>0</v>
      </c>
      <c r="AX1140" s="552">
        <f t="shared" si="3391"/>
        <v>0</v>
      </c>
      <c r="AY1140" s="552">
        <f t="shared" si="3391"/>
        <v>0</v>
      </c>
      <c r="AZ1140" s="552">
        <f t="shared" si="3391"/>
        <v>0</v>
      </c>
      <c r="BA1140" s="552">
        <f t="shared" si="3391"/>
        <v>0</v>
      </c>
      <c r="BB1140" s="552">
        <f t="shared" si="3391"/>
        <v>0</v>
      </c>
      <c r="BC1140" s="552">
        <f t="shared" si="3391"/>
        <v>0</v>
      </c>
      <c r="BD1140" s="552">
        <f t="shared" si="3391"/>
        <v>0</v>
      </c>
      <c r="BE1140" s="552">
        <f t="shared" si="3391"/>
        <v>0</v>
      </c>
      <c r="BF1140" s="552">
        <f t="shared" si="3391"/>
        <v>0</v>
      </c>
      <c r="BG1140" s="552">
        <f t="shared" si="3391"/>
        <v>0</v>
      </c>
      <c r="BH1140" s="552">
        <f t="shared" si="3391"/>
        <v>0</v>
      </c>
      <c r="BI1140" s="552">
        <f t="shared" si="3391"/>
        <v>0</v>
      </c>
      <c r="BJ1140" s="552">
        <f t="shared" si="3391"/>
        <v>0</v>
      </c>
      <c r="BK1140" s="552">
        <f t="shared" si="3391"/>
        <v>0</v>
      </c>
      <c r="BL1140" s="552">
        <f t="shared" si="3391"/>
        <v>0</v>
      </c>
      <c r="BM1140" s="552">
        <f t="shared" si="3391"/>
        <v>0</v>
      </c>
      <c r="BN1140" s="552">
        <f t="shared" si="3391"/>
        <v>0</v>
      </c>
      <c r="BO1140" s="552">
        <f t="shared" si="3391"/>
        <v>0</v>
      </c>
      <c r="BP1140" s="552">
        <f t="shared" si="3391"/>
        <v>0</v>
      </c>
      <c r="BQ1140" s="552">
        <f t="shared" si="3391"/>
        <v>0</v>
      </c>
      <c r="BR1140" s="552">
        <f t="shared" si="3391"/>
        <v>0</v>
      </c>
      <c r="BS1140" s="552">
        <f t="shared" si="3391"/>
        <v>0</v>
      </c>
      <c r="BT1140" s="552">
        <f t="shared" si="3391"/>
        <v>0</v>
      </c>
      <c r="BU1140" s="552">
        <f t="shared" si="3391"/>
        <v>0</v>
      </c>
      <c r="BV1140" s="552">
        <f t="shared" ref="BV1140:DA1140" si="3392">BV182*BV$338</f>
        <v>0</v>
      </c>
      <c r="BW1140" s="552">
        <f t="shared" si="3392"/>
        <v>0</v>
      </c>
      <c r="BX1140" s="552">
        <f t="shared" si="3392"/>
        <v>0</v>
      </c>
      <c r="BY1140" s="552">
        <f t="shared" si="3392"/>
        <v>0</v>
      </c>
      <c r="BZ1140" s="552">
        <f t="shared" si="3392"/>
        <v>0</v>
      </c>
      <c r="CA1140" s="552">
        <f t="shared" si="3392"/>
        <v>0</v>
      </c>
      <c r="CB1140" s="552">
        <f t="shared" si="3392"/>
        <v>0</v>
      </c>
      <c r="CC1140" s="552">
        <f t="shared" si="3392"/>
        <v>0</v>
      </c>
      <c r="CD1140" s="552">
        <f t="shared" si="3392"/>
        <v>0</v>
      </c>
      <c r="CE1140" s="552">
        <f t="shared" si="3392"/>
        <v>0</v>
      </c>
      <c r="CF1140" s="552">
        <f t="shared" si="3392"/>
        <v>0</v>
      </c>
      <c r="CG1140" s="552">
        <f t="shared" si="3392"/>
        <v>0</v>
      </c>
      <c r="CH1140" s="552">
        <f t="shared" si="3392"/>
        <v>0</v>
      </c>
      <c r="CI1140" s="552">
        <f t="shared" si="3392"/>
        <v>0</v>
      </c>
      <c r="CJ1140" s="552">
        <f t="shared" si="3392"/>
        <v>0</v>
      </c>
      <c r="CK1140" s="552">
        <f t="shared" si="3392"/>
        <v>0</v>
      </c>
      <c r="CL1140" s="552">
        <f t="shared" si="3392"/>
        <v>0</v>
      </c>
      <c r="CM1140" s="552">
        <f t="shared" si="3392"/>
        <v>0</v>
      </c>
      <c r="CN1140" s="552">
        <f t="shared" si="3392"/>
        <v>0</v>
      </c>
      <c r="CO1140" s="552">
        <f t="shared" si="3392"/>
        <v>0</v>
      </c>
      <c r="CP1140" s="552">
        <f t="shared" si="3392"/>
        <v>0</v>
      </c>
      <c r="CQ1140" s="552">
        <f t="shared" si="3392"/>
        <v>0</v>
      </c>
      <c r="CR1140" s="552">
        <f t="shared" si="3392"/>
        <v>0</v>
      </c>
      <c r="CS1140" s="552">
        <f t="shared" si="3392"/>
        <v>0</v>
      </c>
      <c r="CT1140" s="552">
        <f t="shared" si="3392"/>
        <v>0</v>
      </c>
      <c r="CU1140" s="552">
        <f t="shared" si="3392"/>
        <v>0</v>
      </c>
      <c r="CV1140" s="552">
        <f t="shared" si="3392"/>
        <v>0</v>
      </c>
      <c r="CW1140" s="552">
        <f t="shared" si="3392"/>
        <v>0</v>
      </c>
      <c r="CX1140" s="552">
        <f t="shared" si="3392"/>
        <v>0</v>
      </c>
      <c r="CY1140" s="552">
        <f t="shared" si="3392"/>
        <v>0</v>
      </c>
      <c r="CZ1140" s="552">
        <f t="shared" si="3392"/>
        <v>0</v>
      </c>
      <c r="DA1140" s="552">
        <f t="shared" si="3392"/>
        <v>0</v>
      </c>
      <c r="DB1140" s="552">
        <f t="shared" ref="DB1140:EG1140" si="3393">DB182*DB$338</f>
        <v>0</v>
      </c>
      <c r="DC1140" s="552">
        <f t="shared" si="3393"/>
        <v>0</v>
      </c>
      <c r="DD1140" s="552">
        <f t="shared" si="3393"/>
        <v>0</v>
      </c>
      <c r="DE1140" s="552">
        <f t="shared" si="3393"/>
        <v>0</v>
      </c>
      <c r="DF1140" s="552">
        <f t="shared" si="3393"/>
        <v>0</v>
      </c>
      <c r="DG1140" s="552">
        <f t="shared" si="3393"/>
        <v>0</v>
      </c>
      <c r="DH1140" s="552">
        <f t="shared" si="3393"/>
        <v>0</v>
      </c>
      <c r="DI1140" s="552">
        <f t="shared" si="3393"/>
        <v>0</v>
      </c>
      <c r="DJ1140" s="552">
        <f t="shared" si="3393"/>
        <v>0</v>
      </c>
      <c r="DK1140" s="552">
        <f t="shared" si="3393"/>
        <v>0</v>
      </c>
      <c r="DL1140" s="552">
        <f t="shared" si="3393"/>
        <v>0</v>
      </c>
      <c r="DM1140" s="552">
        <f t="shared" si="3393"/>
        <v>0</v>
      </c>
      <c r="DN1140" s="552">
        <f t="shared" si="3393"/>
        <v>0</v>
      </c>
      <c r="DO1140" s="552">
        <f t="shared" si="3393"/>
        <v>0</v>
      </c>
      <c r="DP1140" s="552">
        <f t="shared" si="3393"/>
        <v>0</v>
      </c>
      <c r="DQ1140" s="552">
        <f t="shared" si="3393"/>
        <v>0</v>
      </c>
      <c r="DR1140" s="552">
        <f t="shared" si="3393"/>
        <v>0</v>
      </c>
      <c r="DS1140" s="552">
        <f t="shared" si="3393"/>
        <v>0</v>
      </c>
      <c r="DT1140" s="552">
        <f t="shared" si="3393"/>
        <v>0</v>
      </c>
      <c r="DU1140" s="552">
        <f t="shared" si="3393"/>
        <v>0</v>
      </c>
      <c r="DV1140" s="552">
        <f t="shared" si="3393"/>
        <v>0</v>
      </c>
      <c r="DW1140" s="552">
        <f t="shared" si="3393"/>
        <v>0</v>
      </c>
      <c r="DX1140" s="552">
        <f t="shared" si="3393"/>
        <v>0</v>
      </c>
      <c r="DY1140" s="552">
        <f t="shared" si="3393"/>
        <v>0</v>
      </c>
      <c r="DZ1140" s="552">
        <f t="shared" si="3393"/>
        <v>0</v>
      </c>
      <c r="EA1140" s="552">
        <f t="shared" si="3393"/>
        <v>0</v>
      </c>
      <c r="EB1140" s="552">
        <f t="shared" si="3393"/>
        <v>0</v>
      </c>
      <c r="EC1140" s="552">
        <f t="shared" si="3393"/>
        <v>0</v>
      </c>
      <c r="ED1140" s="552">
        <f t="shared" si="3393"/>
        <v>0</v>
      </c>
      <c r="EE1140" s="552">
        <f t="shared" si="3393"/>
        <v>0</v>
      </c>
      <c r="EF1140" s="552">
        <f t="shared" si="3393"/>
        <v>0</v>
      </c>
      <c r="EG1140" s="552">
        <f t="shared" si="3393"/>
        <v>0</v>
      </c>
      <c r="EH1140" s="552">
        <f t="shared" ref="EH1140:EX1140" si="3394">EH182*EH$338</f>
        <v>0</v>
      </c>
      <c r="EI1140" s="552">
        <f t="shared" si="3394"/>
        <v>0</v>
      </c>
      <c r="EJ1140" s="552">
        <f t="shared" si="3394"/>
        <v>0</v>
      </c>
      <c r="EK1140" s="552">
        <f t="shared" si="3394"/>
        <v>0</v>
      </c>
      <c r="EL1140" s="552">
        <f t="shared" si="3394"/>
        <v>0</v>
      </c>
      <c r="EM1140" s="552">
        <f t="shared" si="3394"/>
        <v>0</v>
      </c>
      <c r="EN1140" s="552">
        <f t="shared" si="3394"/>
        <v>0</v>
      </c>
      <c r="EO1140" s="552">
        <f t="shared" si="3394"/>
        <v>0</v>
      </c>
      <c r="EP1140" s="552">
        <f t="shared" si="3394"/>
        <v>0</v>
      </c>
      <c r="EQ1140" s="552">
        <f t="shared" si="3394"/>
        <v>0</v>
      </c>
      <c r="ER1140" s="552">
        <f t="shared" si="3394"/>
        <v>0</v>
      </c>
      <c r="ES1140" s="552">
        <f t="shared" si="3394"/>
        <v>0</v>
      </c>
      <c r="ET1140" s="552">
        <f t="shared" si="3394"/>
        <v>0</v>
      </c>
      <c r="EU1140" s="552">
        <f t="shared" si="3394"/>
        <v>0</v>
      </c>
      <c r="EV1140" s="552">
        <f t="shared" si="3394"/>
        <v>1.3</v>
      </c>
      <c r="EW1140" s="552">
        <f t="shared" si="3394"/>
        <v>0</v>
      </c>
      <c r="EX1140" s="552">
        <f t="shared" si="3394"/>
        <v>0</v>
      </c>
      <c r="EY1140" s="799">
        <f t="shared" si="3177"/>
        <v>1.3</v>
      </c>
      <c r="EZ1140" s="640"/>
      <c r="FA1140" s="640"/>
      <c r="FB1140" s="640"/>
      <c r="FC1140" s="640"/>
      <c r="FD1140" s="640"/>
      <c r="FE1140" s="640"/>
      <c r="FF1140" s="640"/>
      <c r="FG1140" s="640"/>
      <c r="FH1140" s="640"/>
      <c r="FI1140" s="640"/>
      <c r="FJ1140" s="640"/>
      <c r="FK1140" s="640"/>
      <c r="FL1140" s="640"/>
    </row>
    <row r="1141" spans="1:168" x14ac:dyDescent="0.25">
      <c r="A1141" s="1492"/>
      <c r="B1141" s="624" t="str">
        <f t="shared" si="3364"/>
        <v>Хлеб пшенично-ржаной нарезной</v>
      </c>
      <c r="C1141" s="624">
        <f t="shared" si="3364"/>
        <v>30</v>
      </c>
      <c r="D1141" s="624">
        <f t="shared" si="3364"/>
        <v>2.25</v>
      </c>
      <c r="E1141" s="1158">
        <f t="shared" si="3178"/>
        <v>1.95</v>
      </c>
      <c r="F1141" s="1158"/>
      <c r="G1141" s="1140"/>
      <c r="H1141" s="1140"/>
      <c r="I1141" s="552"/>
      <c r="J1141" s="552">
        <f t="shared" ref="J1141:AO1141" si="3395">J183*J$338</f>
        <v>0</v>
      </c>
      <c r="K1141" s="552">
        <f t="shared" si="3395"/>
        <v>0</v>
      </c>
      <c r="L1141" s="552">
        <f t="shared" si="3395"/>
        <v>0</v>
      </c>
      <c r="M1141" s="552">
        <f t="shared" si="3395"/>
        <v>0</v>
      </c>
      <c r="N1141" s="552">
        <f t="shared" si="3395"/>
        <v>0</v>
      </c>
      <c r="O1141" s="552">
        <f t="shared" si="3395"/>
        <v>0</v>
      </c>
      <c r="P1141" s="552">
        <f t="shared" si="3395"/>
        <v>0</v>
      </c>
      <c r="Q1141" s="552">
        <f t="shared" si="3395"/>
        <v>0</v>
      </c>
      <c r="R1141" s="552">
        <f t="shared" si="3395"/>
        <v>0</v>
      </c>
      <c r="S1141" s="552">
        <f t="shared" si="3395"/>
        <v>0</v>
      </c>
      <c r="T1141" s="552">
        <f t="shared" si="3395"/>
        <v>0</v>
      </c>
      <c r="U1141" s="552">
        <f t="shared" si="3395"/>
        <v>0</v>
      </c>
      <c r="V1141" s="552">
        <f t="shared" si="3395"/>
        <v>0</v>
      </c>
      <c r="W1141" s="552">
        <f t="shared" si="3395"/>
        <v>0</v>
      </c>
      <c r="X1141" s="552">
        <f t="shared" si="3395"/>
        <v>0</v>
      </c>
      <c r="Y1141" s="552">
        <f t="shared" si="3395"/>
        <v>0</v>
      </c>
      <c r="Z1141" s="552">
        <f t="shared" si="3395"/>
        <v>0</v>
      </c>
      <c r="AA1141" s="552">
        <f t="shared" si="3395"/>
        <v>0</v>
      </c>
      <c r="AB1141" s="552">
        <f t="shared" si="3395"/>
        <v>0</v>
      </c>
      <c r="AC1141" s="552">
        <f t="shared" si="3395"/>
        <v>0</v>
      </c>
      <c r="AD1141" s="552">
        <f t="shared" si="3395"/>
        <v>0</v>
      </c>
      <c r="AE1141" s="552">
        <f t="shared" si="3395"/>
        <v>0</v>
      </c>
      <c r="AF1141" s="552">
        <f t="shared" si="3395"/>
        <v>0</v>
      </c>
      <c r="AG1141" s="552">
        <f t="shared" si="3395"/>
        <v>0</v>
      </c>
      <c r="AH1141" s="552">
        <f t="shared" si="3395"/>
        <v>0</v>
      </c>
      <c r="AI1141" s="552">
        <f t="shared" si="3395"/>
        <v>0</v>
      </c>
      <c r="AJ1141" s="552">
        <f t="shared" si="3395"/>
        <v>0</v>
      </c>
      <c r="AK1141" s="552">
        <f t="shared" si="3395"/>
        <v>0</v>
      </c>
      <c r="AL1141" s="552">
        <f t="shared" si="3395"/>
        <v>0</v>
      </c>
      <c r="AM1141" s="552">
        <f t="shared" si="3395"/>
        <v>0</v>
      </c>
      <c r="AN1141" s="552">
        <f t="shared" si="3395"/>
        <v>0</v>
      </c>
      <c r="AO1141" s="552">
        <f t="shared" si="3395"/>
        <v>0</v>
      </c>
      <c r="AP1141" s="552">
        <f t="shared" ref="AP1141:BU1141" si="3396">AP183*AP$338</f>
        <v>0</v>
      </c>
      <c r="AQ1141" s="552">
        <f t="shared" si="3396"/>
        <v>0</v>
      </c>
      <c r="AR1141" s="552">
        <f t="shared" si="3396"/>
        <v>0</v>
      </c>
      <c r="AS1141" s="552">
        <f t="shared" si="3396"/>
        <v>0</v>
      </c>
      <c r="AT1141" s="552">
        <f t="shared" si="3396"/>
        <v>0</v>
      </c>
      <c r="AU1141" s="552">
        <f t="shared" si="3396"/>
        <v>0</v>
      </c>
      <c r="AV1141" s="552">
        <f t="shared" si="3396"/>
        <v>0</v>
      </c>
      <c r="AW1141" s="552">
        <f t="shared" si="3396"/>
        <v>0</v>
      </c>
      <c r="AX1141" s="552">
        <f t="shared" si="3396"/>
        <v>0</v>
      </c>
      <c r="AY1141" s="552">
        <f t="shared" si="3396"/>
        <v>0</v>
      </c>
      <c r="AZ1141" s="552">
        <f t="shared" si="3396"/>
        <v>0</v>
      </c>
      <c r="BA1141" s="552">
        <f t="shared" si="3396"/>
        <v>0</v>
      </c>
      <c r="BB1141" s="552">
        <f t="shared" si="3396"/>
        <v>0</v>
      </c>
      <c r="BC1141" s="552">
        <f t="shared" si="3396"/>
        <v>0</v>
      </c>
      <c r="BD1141" s="552">
        <f t="shared" si="3396"/>
        <v>0</v>
      </c>
      <c r="BE1141" s="552">
        <f t="shared" si="3396"/>
        <v>0</v>
      </c>
      <c r="BF1141" s="552">
        <f t="shared" si="3396"/>
        <v>0</v>
      </c>
      <c r="BG1141" s="552">
        <f t="shared" si="3396"/>
        <v>0</v>
      </c>
      <c r="BH1141" s="552">
        <f t="shared" si="3396"/>
        <v>0</v>
      </c>
      <c r="BI1141" s="552">
        <f t="shared" si="3396"/>
        <v>0</v>
      </c>
      <c r="BJ1141" s="552">
        <f t="shared" si="3396"/>
        <v>0</v>
      </c>
      <c r="BK1141" s="552">
        <f t="shared" si="3396"/>
        <v>0</v>
      </c>
      <c r="BL1141" s="552">
        <f t="shared" si="3396"/>
        <v>0</v>
      </c>
      <c r="BM1141" s="552">
        <f t="shared" si="3396"/>
        <v>0</v>
      </c>
      <c r="BN1141" s="552">
        <f t="shared" si="3396"/>
        <v>0</v>
      </c>
      <c r="BO1141" s="552">
        <f t="shared" si="3396"/>
        <v>0</v>
      </c>
      <c r="BP1141" s="552">
        <f t="shared" si="3396"/>
        <v>0</v>
      </c>
      <c r="BQ1141" s="552">
        <f t="shared" si="3396"/>
        <v>0</v>
      </c>
      <c r="BR1141" s="552">
        <f t="shared" si="3396"/>
        <v>0</v>
      </c>
      <c r="BS1141" s="552">
        <f t="shared" si="3396"/>
        <v>0</v>
      </c>
      <c r="BT1141" s="552">
        <f t="shared" si="3396"/>
        <v>0</v>
      </c>
      <c r="BU1141" s="552">
        <f t="shared" si="3396"/>
        <v>0</v>
      </c>
      <c r="BV1141" s="552">
        <f t="shared" ref="BV1141:DA1141" si="3397">BV183*BV$338</f>
        <v>0</v>
      </c>
      <c r="BW1141" s="552">
        <f t="shared" si="3397"/>
        <v>0</v>
      </c>
      <c r="BX1141" s="552">
        <f t="shared" si="3397"/>
        <v>0</v>
      </c>
      <c r="BY1141" s="552">
        <f t="shared" si="3397"/>
        <v>0</v>
      </c>
      <c r="BZ1141" s="552">
        <f t="shared" si="3397"/>
        <v>0</v>
      </c>
      <c r="CA1141" s="552">
        <f t="shared" si="3397"/>
        <v>0</v>
      </c>
      <c r="CB1141" s="552">
        <f t="shared" si="3397"/>
        <v>0</v>
      </c>
      <c r="CC1141" s="552">
        <f t="shared" si="3397"/>
        <v>0</v>
      </c>
      <c r="CD1141" s="552">
        <f t="shared" si="3397"/>
        <v>0</v>
      </c>
      <c r="CE1141" s="552">
        <f t="shared" si="3397"/>
        <v>0</v>
      </c>
      <c r="CF1141" s="552">
        <f t="shared" si="3397"/>
        <v>0</v>
      </c>
      <c r="CG1141" s="552">
        <f t="shared" si="3397"/>
        <v>0</v>
      </c>
      <c r="CH1141" s="552">
        <f t="shared" si="3397"/>
        <v>0</v>
      </c>
      <c r="CI1141" s="552">
        <f t="shared" si="3397"/>
        <v>0</v>
      </c>
      <c r="CJ1141" s="552">
        <f t="shared" si="3397"/>
        <v>0</v>
      </c>
      <c r="CK1141" s="552">
        <f t="shared" si="3397"/>
        <v>0</v>
      </c>
      <c r="CL1141" s="552">
        <f t="shared" si="3397"/>
        <v>0</v>
      </c>
      <c r="CM1141" s="552">
        <f t="shared" si="3397"/>
        <v>0</v>
      </c>
      <c r="CN1141" s="552">
        <f t="shared" si="3397"/>
        <v>0</v>
      </c>
      <c r="CO1141" s="552">
        <f t="shared" si="3397"/>
        <v>0</v>
      </c>
      <c r="CP1141" s="552">
        <f t="shared" si="3397"/>
        <v>0</v>
      </c>
      <c r="CQ1141" s="552">
        <f t="shared" si="3397"/>
        <v>0</v>
      </c>
      <c r="CR1141" s="552">
        <f t="shared" si="3397"/>
        <v>0</v>
      </c>
      <c r="CS1141" s="552">
        <f t="shared" si="3397"/>
        <v>0</v>
      </c>
      <c r="CT1141" s="552">
        <f t="shared" si="3397"/>
        <v>0</v>
      </c>
      <c r="CU1141" s="552">
        <f t="shared" si="3397"/>
        <v>0</v>
      </c>
      <c r="CV1141" s="552">
        <f t="shared" si="3397"/>
        <v>0</v>
      </c>
      <c r="CW1141" s="552">
        <f t="shared" si="3397"/>
        <v>0</v>
      </c>
      <c r="CX1141" s="552">
        <f t="shared" si="3397"/>
        <v>0</v>
      </c>
      <c r="CY1141" s="552">
        <f t="shared" si="3397"/>
        <v>0</v>
      </c>
      <c r="CZ1141" s="552">
        <f t="shared" si="3397"/>
        <v>0</v>
      </c>
      <c r="DA1141" s="552">
        <f t="shared" si="3397"/>
        <v>0</v>
      </c>
      <c r="DB1141" s="552">
        <f t="shared" ref="DB1141:EG1141" si="3398">DB183*DB$338</f>
        <v>0</v>
      </c>
      <c r="DC1141" s="552">
        <f t="shared" si="3398"/>
        <v>0</v>
      </c>
      <c r="DD1141" s="552">
        <f t="shared" si="3398"/>
        <v>0</v>
      </c>
      <c r="DE1141" s="552">
        <f t="shared" si="3398"/>
        <v>0</v>
      </c>
      <c r="DF1141" s="552">
        <f t="shared" si="3398"/>
        <v>0</v>
      </c>
      <c r="DG1141" s="552">
        <f t="shared" si="3398"/>
        <v>0</v>
      </c>
      <c r="DH1141" s="552">
        <f t="shared" si="3398"/>
        <v>0</v>
      </c>
      <c r="DI1141" s="552">
        <f t="shared" si="3398"/>
        <v>0</v>
      </c>
      <c r="DJ1141" s="552">
        <f t="shared" si="3398"/>
        <v>0</v>
      </c>
      <c r="DK1141" s="552">
        <f t="shared" si="3398"/>
        <v>0</v>
      </c>
      <c r="DL1141" s="552">
        <f t="shared" si="3398"/>
        <v>0</v>
      </c>
      <c r="DM1141" s="552">
        <f t="shared" si="3398"/>
        <v>0</v>
      </c>
      <c r="DN1141" s="552">
        <f t="shared" si="3398"/>
        <v>0</v>
      </c>
      <c r="DO1141" s="552">
        <f t="shared" si="3398"/>
        <v>0</v>
      </c>
      <c r="DP1141" s="552">
        <f t="shared" si="3398"/>
        <v>0</v>
      </c>
      <c r="DQ1141" s="552">
        <f t="shared" si="3398"/>
        <v>0</v>
      </c>
      <c r="DR1141" s="552">
        <f t="shared" si="3398"/>
        <v>0</v>
      </c>
      <c r="DS1141" s="552">
        <f t="shared" si="3398"/>
        <v>0</v>
      </c>
      <c r="DT1141" s="552">
        <f t="shared" si="3398"/>
        <v>0</v>
      </c>
      <c r="DU1141" s="552">
        <f t="shared" si="3398"/>
        <v>0</v>
      </c>
      <c r="DV1141" s="552">
        <f t="shared" si="3398"/>
        <v>0</v>
      </c>
      <c r="DW1141" s="552">
        <f t="shared" si="3398"/>
        <v>0</v>
      </c>
      <c r="DX1141" s="552">
        <f t="shared" si="3398"/>
        <v>0</v>
      </c>
      <c r="DY1141" s="552">
        <f t="shared" si="3398"/>
        <v>0</v>
      </c>
      <c r="DZ1141" s="552">
        <f t="shared" si="3398"/>
        <v>0</v>
      </c>
      <c r="EA1141" s="552">
        <f t="shared" si="3398"/>
        <v>0</v>
      </c>
      <c r="EB1141" s="552">
        <f t="shared" si="3398"/>
        <v>0</v>
      </c>
      <c r="EC1141" s="552">
        <f t="shared" si="3398"/>
        <v>0</v>
      </c>
      <c r="ED1141" s="552">
        <f t="shared" si="3398"/>
        <v>0</v>
      </c>
      <c r="EE1141" s="552">
        <f t="shared" si="3398"/>
        <v>0</v>
      </c>
      <c r="EF1141" s="552">
        <f t="shared" si="3398"/>
        <v>0</v>
      </c>
      <c r="EG1141" s="552">
        <f t="shared" si="3398"/>
        <v>0</v>
      </c>
      <c r="EH1141" s="552">
        <f t="shared" ref="EH1141:EX1141" si="3399">EH183*EH$338</f>
        <v>0</v>
      </c>
      <c r="EI1141" s="552">
        <f t="shared" si="3399"/>
        <v>0</v>
      </c>
      <c r="EJ1141" s="552">
        <f t="shared" si="3399"/>
        <v>0</v>
      </c>
      <c r="EK1141" s="552">
        <f t="shared" si="3399"/>
        <v>0</v>
      </c>
      <c r="EL1141" s="552">
        <f t="shared" si="3399"/>
        <v>0</v>
      </c>
      <c r="EM1141" s="552">
        <f t="shared" si="3399"/>
        <v>0</v>
      </c>
      <c r="EN1141" s="552">
        <f t="shared" si="3399"/>
        <v>0</v>
      </c>
      <c r="EO1141" s="552">
        <f t="shared" si="3399"/>
        <v>0</v>
      </c>
      <c r="EP1141" s="552">
        <f t="shared" si="3399"/>
        <v>0</v>
      </c>
      <c r="EQ1141" s="552">
        <f t="shared" si="3399"/>
        <v>0</v>
      </c>
      <c r="ER1141" s="552">
        <f t="shared" si="3399"/>
        <v>0</v>
      </c>
      <c r="ES1141" s="552">
        <f t="shared" si="3399"/>
        <v>0</v>
      </c>
      <c r="ET1141" s="552">
        <f t="shared" si="3399"/>
        <v>0</v>
      </c>
      <c r="EU1141" s="552">
        <f t="shared" si="3399"/>
        <v>0</v>
      </c>
      <c r="EV1141" s="552">
        <f t="shared" si="3399"/>
        <v>0</v>
      </c>
      <c r="EW1141" s="552">
        <f t="shared" si="3399"/>
        <v>1.95</v>
      </c>
      <c r="EX1141" s="552">
        <f t="shared" si="3399"/>
        <v>0</v>
      </c>
      <c r="EY1141" s="799">
        <f t="shared" si="3177"/>
        <v>1.95</v>
      </c>
      <c r="EZ1141" s="640"/>
      <c r="FA1141" s="640"/>
      <c r="FB1141" s="640"/>
      <c r="FC1141" s="640"/>
      <c r="FD1141" s="640"/>
      <c r="FE1141" s="640"/>
      <c r="FF1141" s="640"/>
      <c r="FG1141" s="640"/>
      <c r="FH1141" s="640"/>
      <c r="FI1141" s="640"/>
      <c r="FJ1141" s="640"/>
      <c r="FK1141" s="640"/>
      <c r="FL1141" s="640"/>
    </row>
    <row r="1142" spans="1:168" x14ac:dyDescent="0.25">
      <c r="A1142" s="1492"/>
      <c r="B1142" s="624" t="str">
        <f t="shared" si="3364"/>
        <v>Мороженое пломбир Кореновское</v>
      </c>
      <c r="C1142" s="624">
        <f t="shared" si="3364"/>
        <v>100</v>
      </c>
      <c r="D1142" s="624">
        <f t="shared" si="3364"/>
        <v>3.7</v>
      </c>
      <c r="E1142" s="1158">
        <f t="shared" si="3178"/>
        <v>75</v>
      </c>
      <c r="F1142" s="1158"/>
      <c r="G1142" s="1140"/>
      <c r="H1142" s="1140"/>
      <c r="I1142" s="552"/>
      <c r="J1142" s="552">
        <f t="shared" ref="J1142:AO1142" si="3400">J184*J$338</f>
        <v>0</v>
      </c>
      <c r="K1142" s="552">
        <f t="shared" si="3400"/>
        <v>0</v>
      </c>
      <c r="L1142" s="552">
        <f t="shared" si="3400"/>
        <v>0</v>
      </c>
      <c r="M1142" s="552">
        <f t="shared" si="3400"/>
        <v>0</v>
      </c>
      <c r="N1142" s="552">
        <f t="shared" si="3400"/>
        <v>0</v>
      </c>
      <c r="O1142" s="552">
        <f t="shared" si="3400"/>
        <v>0</v>
      </c>
      <c r="P1142" s="552">
        <f t="shared" si="3400"/>
        <v>0</v>
      </c>
      <c r="Q1142" s="552">
        <f t="shared" si="3400"/>
        <v>0</v>
      </c>
      <c r="R1142" s="552">
        <f t="shared" si="3400"/>
        <v>0</v>
      </c>
      <c r="S1142" s="552">
        <f t="shared" si="3400"/>
        <v>0</v>
      </c>
      <c r="T1142" s="552">
        <f t="shared" si="3400"/>
        <v>0</v>
      </c>
      <c r="U1142" s="552">
        <f t="shared" si="3400"/>
        <v>0</v>
      </c>
      <c r="V1142" s="552">
        <f t="shared" si="3400"/>
        <v>0</v>
      </c>
      <c r="W1142" s="552">
        <f t="shared" si="3400"/>
        <v>0</v>
      </c>
      <c r="X1142" s="552">
        <f t="shared" si="3400"/>
        <v>0</v>
      </c>
      <c r="Y1142" s="552">
        <f t="shared" si="3400"/>
        <v>0</v>
      </c>
      <c r="Z1142" s="552">
        <f t="shared" si="3400"/>
        <v>0</v>
      </c>
      <c r="AA1142" s="552">
        <f t="shared" si="3400"/>
        <v>0</v>
      </c>
      <c r="AB1142" s="552">
        <f t="shared" si="3400"/>
        <v>0</v>
      </c>
      <c r="AC1142" s="552">
        <f t="shared" si="3400"/>
        <v>0</v>
      </c>
      <c r="AD1142" s="552">
        <f t="shared" si="3400"/>
        <v>0</v>
      </c>
      <c r="AE1142" s="552">
        <f t="shared" si="3400"/>
        <v>0</v>
      </c>
      <c r="AF1142" s="552">
        <f t="shared" si="3400"/>
        <v>0</v>
      </c>
      <c r="AG1142" s="552">
        <f t="shared" si="3400"/>
        <v>0</v>
      </c>
      <c r="AH1142" s="552">
        <f t="shared" si="3400"/>
        <v>0</v>
      </c>
      <c r="AI1142" s="552">
        <f t="shared" si="3400"/>
        <v>0</v>
      </c>
      <c r="AJ1142" s="552">
        <f t="shared" si="3400"/>
        <v>0</v>
      </c>
      <c r="AK1142" s="552">
        <f t="shared" si="3400"/>
        <v>0</v>
      </c>
      <c r="AL1142" s="552">
        <f t="shared" si="3400"/>
        <v>0</v>
      </c>
      <c r="AM1142" s="552">
        <f t="shared" si="3400"/>
        <v>0</v>
      </c>
      <c r="AN1142" s="552">
        <f t="shared" si="3400"/>
        <v>0</v>
      </c>
      <c r="AO1142" s="552">
        <f t="shared" si="3400"/>
        <v>0</v>
      </c>
      <c r="AP1142" s="552">
        <f t="shared" ref="AP1142:BU1142" si="3401">AP184*AP$338</f>
        <v>0</v>
      </c>
      <c r="AQ1142" s="552">
        <f t="shared" si="3401"/>
        <v>0</v>
      </c>
      <c r="AR1142" s="552">
        <f t="shared" si="3401"/>
        <v>0</v>
      </c>
      <c r="AS1142" s="552">
        <f t="shared" si="3401"/>
        <v>0</v>
      </c>
      <c r="AT1142" s="552">
        <f t="shared" si="3401"/>
        <v>0</v>
      </c>
      <c r="AU1142" s="552">
        <f t="shared" si="3401"/>
        <v>0</v>
      </c>
      <c r="AV1142" s="552">
        <f t="shared" si="3401"/>
        <v>0</v>
      </c>
      <c r="AW1142" s="552">
        <f t="shared" si="3401"/>
        <v>0</v>
      </c>
      <c r="AX1142" s="552">
        <f t="shared" si="3401"/>
        <v>0</v>
      </c>
      <c r="AY1142" s="552">
        <f t="shared" si="3401"/>
        <v>0</v>
      </c>
      <c r="AZ1142" s="552">
        <f t="shared" si="3401"/>
        <v>0</v>
      </c>
      <c r="BA1142" s="552">
        <f t="shared" si="3401"/>
        <v>0</v>
      </c>
      <c r="BB1142" s="552">
        <f t="shared" si="3401"/>
        <v>0</v>
      </c>
      <c r="BC1142" s="552">
        <f t="shared" si="3401"/>
        <v>0</v>
      </c>
      <c r="BD1142" s="552">
        <f t="shared" si="3401"/>
        <v>0</v>
      </c>
      <c r="BE1142" s="552">
        <f t="shared" si="3401"/>
        <v>0</v>
      </c>
      <c r="BF1142" s="552">
        <f t="shared" si="3401"/>
        <v>0</v>
      </c>
      <c r="BG1142" s="552">
        <f t="shared" si="3401"/>
        <v>0</v>
      </c>
      <c r="BH1142" s="552">
        <f t="shared" si="3401"/>
        <v>0</v>
      </c>
      <c r="BI1142" s="552">
        <f t="shared" si="3401"/>
        <v>0</v>
      </c>
      <c r="BJ1142" s="552">
        <f t="shared" si="3401"/>
        <v>0</v>
      </c>
      <c r="BK1142" s="552">
        <f t="shared" si="3401"/>
        <v>0</v>
      </c>
      <c r="BL1142" s="552">
        <f t="shared" si="3401"/>
        <v>0</v>
      </c>
      <c r="BM1142" s="552">
        <f t="shared" si="3401"/>
        <v>0</v>
      </c>
      <c r="BN1142" s="552">
        <f t="shared" si="3401"/>
        <v>0</v>
      </c>
      <c r="BO1142" s="552">
        <f t="shared" si="3401"/>
        <v>0</v>
      </c>
      <c r="BP1142" s="552">
        <f t="shared" si="3401"/>
        <v>0</v>
      </c>
      <c r="BQ1142" s="552">
        <f t="shared" si="3401"/>
        <v>0</v>
      </c>
      <c r="BR1142" s="552">
        <f t="shared" si="3401"/>
        <v>0</v>
      </c>
      <c r="BS1142" s="552">
        <f t="shared" si="3401"/>
        <v>0</v>
      </c>
      <c r="BT1142" s="552">
        <f t="shared" si="3401"/>
        <v>0</v>
      </c>
      <c r="BU1142" s="552">
        <f t="shared" si="3401"/>
        <v>0</v>
      </c>
      <c r="BV1142" s="552">
        <f t="shared" ref="BV1142:DA1142" si="3402">BV184*BV$338</f>
        <v>0</v>
      </c>
      <c r="BW1142" s="552">
        <f t="shared" si="3402"/>
        <v>0</v>
      </c>
      <c r="BX1142" s="552">
        <f t="shared" si="3402"/>
        <v>0</v>
      </c>
      <c r="BY1142" s="552">
        <f t="shared" si="3402"/>
        <v>0</v>
      </c>
      <c r="BZ1142" s="552">
        <f t="shared" si="3402"/>
        <v>0</v>
      </c>
      <c r="CA1142" s="552">
        <f t="shared" si="3402"/>
        <v>0</v>
      </c>
      <c r="CB1142" s="552">
        <f t="shared" si="3402"/>
        <v>0</v>
      </c>
      <c r="CC1142" s="552">
        <f t="shared" si="3402"/>
        <v>0</v>
      </c>
      <c r="CD1142" s="552">
        <f t="shared" si="3402"/>
        <v>0</v>
      </c>
      <c r="CE1142" s="552">
        <f t="shared" si="3402"/>
        <v>0</v>
      </c>
      <c r="CF1142" s="552">
        <f t="shared" si="3402"/>
        <v>0</v>
      </c>
      <c r="CG1142" s="552">
        <f t="shared" si="3402"/>
        <v>0</v>
      </c>
      <c r="CH1142" s="552">
        <f t="shared" si="3402"/>
        <v>0</v>
      </c>
      <c r="CI1142" s="552">
        <f t="shared" si="3402"/>
        <v>0</v>
      </c>
      <c r="CJ1142" s="552">
        <f t="shared" si="3402"/>
        <v>0</v>
      </c>
      <c r="CK1142" s="552">
        <f t="shared" si="3402"/>
        <v>0</v>
      </c>
      <c r="CL1142" s="552">
        <f t="shared" si="3402"/>
        <v>0</v>
      </c>
      <c r="CM1142" s="552">
        <f t="shared" si="3402"/>
        <v>0</v>
      </c>
      <c r="CN1142" s="552">
        <f t="shared" si="3402"/>
        <v>0</v>
      </c>
      <c r="CO1142" s="552">
        <f t="shared" si="3402"/>
        <v>0</v>
      </c>
      <c r="CP1142" s="552">
        <f t="shared" si="3402"/>
        <v>0</v>
      </c>
      <c r="CQ1142" s="552">
        <f t="shared" si="3402"/>
        <v>0</v>
      </c>
      <c r="CR1142" s="552">
        <f t="shared" si="3402"/>
        <v>0</v>
      </c>
      <c r="CS1142" s="552">
        <f t="shared" si="3402"/>
        <v>0</v>
      </c>
      <c r="CT1142" s="552">
        <f t="shared" si="3402"/>
        <v>0</v>
      </c>
      <c r="CU1142" s="552">
        <f t="shared" si="3402"/>
        <v>0</v>
      </c>
      <c r="CV1142" s="552">
        <f t="shared" si="3402"/>
        <v>0</v>
      </c>
      <c r="CW1142" s="552">
        <f t="shared" si="3402"/>
        <v>0</v>
      </c>
      <c r="CX1142" s="552">
        <f t="shared" si="3402"/>
        <v>0</v>
      </c>
      <c r="CY1142" s="552">
        <f t="shared" si="3402"/>
        <v>0</v>
      </c>
      <c r="CZ1142" s="552">
        <f t="shared" si="3402"/>
        <v>0</v>
      </c>
      <c r="DA1142" s="552">
        <f t="shared" si="3402"/>
        <v>0</v>
      </c>
      <c r="DB1142" s="552">
        <f t="shared" ref="DB1142:EG1142" si="3403">DB184*DB$338</f>
        <v>0</v>
      </c>
      <c r="DC1142" s="552">
        <f t="shared" si="3403"/>
        <v>0</v>
      </c>
      <c r="DD1142" s="552">
        <f t="shared" si="3403"/>
        <v>0</v>
      </c>
      <c r="DE1142" s="552">
        <f t="shared" si="3403"/>
        <v>0</v>
      </c>
      <c r="DF1142" s="552">
        <f t="shared" si="3403"/>
        <v>0</v>
      </c>
      <c r="DG1142" s="552">
        <f t="shared" si="3403"/>
        <v>0</v>
      </c>
      <c r="DH1142" s="552">
        <f t="shared" si="3403"/>
        <v>0</v>
      </c>
      <c r="DI1142" s="552">
        <f t="shared" si="3403"/>
        <v>0</v>
      </c>
      <c r="DJ1142" s="552">
        <f t="shared" si="3403"/>
        <v>0</v>
      </c>
      <c r="DK1142" s="552">
        <f t="shared" si="3403"/>
        <v>0</v>
      </c>
      <c r="DL1142" s="552">
        <f t="shared" si="3403"/>
        <v>0</v>
      </c>
      <c r="DM1142" s="552">
        <f t="shared" si="3403"/>
        <v>0</v>
      </c>
      <c r="DN1142" s="552">
        <f t="shared" si="3403"/>
        <v>0</v>
      </c>
      <c r="DO1142" s="552">
        <f t="shared" si="3403"/>
        <v>0</v>
      </c>
      <c r="DP1142" s="552">
        <f t="shared" si="3403"/>
        <v>0</v>
      </c>
      <c r="DQ1142" s="552">
        <f t="shared" si="3403"/>
        <v>0</v>
      </c>
      <c r="DR1142" s="552">
        <f t="shared" si="3403"/>
        <v>0</v>
      </c>
      <c r="DS1142" s="552">
        <f t="shared" si="3403"/>
        <v>0</v>
      </c>
      <c r="DT1142" s="552">
        <f t="shared" si="3403"/>
        <v>0</v>
      </c>
      <c r="DU1142" s="552">
        <f t="shared" si="3403"/>
        <v>0</v>
      </c>
      <c r="DV1142" s="552">
        <f t="shared" si="3403"/>
        <v>0</v>
      </c>
      <c r="DW1142" s="552">
        <f t="shared" si="3403"/>
        <v>0</v>
      </c>
      <c r="DX1142" s="552">
        <f t="shared" si="3403"/>
        <v>0</v>
      </c>
      <c r="DY1142" s="552">
        <f t="shared" si="3403"/>
        <v>0</v>
      </c>
      <c r="DZ1142" s="552">
        <f t="shared" si="3403"/>
        <v>0</v>
      </c>
      <c r="EA1142" s="552">
        <f t="shared" si="3403"/>
        <v>75</v>
      </c>
      <c r="EB1142" s="552">
        <f t="shared" si="3403"/>
        <v>0</v>
      </c>
      <c r="EC1142" s="552">
        <f t="shared" si="3403"/>
        <v>0</v>
      </c>
      <c r="ED1142" s="552">
        <f t="shared" si="3403"/>
        <v>0</v>
      </c>
      <c r="EE1142" s="552">
        <f t="shared" si="3403"/>
        <v>0</v>
      </c>
      <c r="EF1142" s="552">
        <f t="shared" si="3403"/>
        <v>0</v>
      </c>
      <c r="EG1142" s="552">
        <f t="shared" si="3403"/>
        <v>0</v>
      </c>
      <c r="EH1142" s="552">
        <f t="shared" ref="EH1142:EX1142" si="3404">EH184*EH$338</f>
        <v>0</v>
      </c>
      <c r="EI1142" s="552">
        <f t="shared" si="3404"/>
        <v>0</v>
      </c>
      <c r="EJ1142" s="552">
        <f t="shared" si="3404"/>
        <v>0</v>
      </c>
      <c r="EK1142" s="552">
        <f t="shared" si="3404"/>
        <v>0</v>
      </c>
      <c r="EL1142" s="552">
        <f t="shared" si="3404"/>
        <v>0</v>
      </c>
      <c r="EM1142" s="552">
        <f t="shared" si="3404"/>
        <v>0</v>
      </c>
      <c r="EN1142" s="552">
        <f t="shared" si="3404"/>
        <v>0</v>
      </c>
      <c r="EO1142" s="552">
        <f t="shared" si="3404"/>
        <v>0</v>
      </c>
      <c r="EP1142" s="552">
        <f t="shared" si="3404"/>
        <v>0</v>
      </c>
      <c r="EQ1142" s="552">
        <f t="shared" si="3404"/>
        <v>0</v>
      </c>
      <c r="ER1142" s="552">
        <f t="shared" si="3404"/>
        <v>0</v>
      </c>
      <c r="ES1142" s="552">
        <f t="shared" si="3404"/>
        <v>0</v>
      </c>
      <c r="ET1142" s="552">
        <f t="shared" si="3404"/>
        <v>0</v>
      </c>
      <c r="EU1142" s="552">
        <f t="shared" si="3404"/>
        <v>0</v>
      </c>
      <c r="EV1142" s="552">
        <f t="shared" si="3404"/>
        <v>0</v>
      </c>
      <c r="EW1142" s="552">
        <f t="shared" si="3404"/>
        <v>0</v>
      </c>
      <c r="EX1142" s="552">
        <f t="shared" si="3404"/>
        <v>0</v>
      </c>
      <c r="EY1142" s="799">
        <f t="shared" si="3177"/>
        <v>75</v>
      </c>
      <c r="EZ1142" s="640"/>
      <c r="FA1142" s="640"/>
      <c r="FB1142" s="640"/>
      <c r="FC1142" s="640"/>
      <c r="FD1142" s="640"/>
      <c r="FE1142" s="640"/>
      <c r="FF1142" s="640"/>
      <c r="FG1142" s="640"/>
      <c r="FH1142" s="640"/>
      <c r="FI1142" s="640"/>
      <c r="FJ1142" s="640"/>
      <c r="FK1142" s="640"/>
      <c r="FL1142" s="640"/>
    </row>
    <row r="1143" spans="1:168" x14ac:dyDescent="0.25">
      <c r="A1143" s="1493"/>
      <c r="B1143" s="624">
        <f t="shared" si="3364"/>
        <v>0</v>
      </c>
      <c r="C1143" s="624">
        <f t="shared" si="3364"/>
        <v>0</v>
      </c>
      <c r="D1143" s="624">
        <f t="shared" si="3364"/>
        <v>0</v>
      </c>
      <c r="E1143" s="1158">
        <f t="shared" si="3178"/>
        <v>0</v>
      </c>
      <c r="F1143" s="1158"/>
      <c r="G1143" s="1140"/>
      <c r="H1143" s="1140"/>
      <c r="I1143" s="552"/>
      <c r="J1143" s="552">
        <f>J185*J$338</f>
        <v>0</v>
      </c>
      <c r="K1143" s="552">
        <f t="shared" ref="K1143:BV1143" si="3405">K185*K$338</f>
        <v>0</v>
      </c>
      <c r="L1143" s="552">
        <f t="shared" si="3405"/>
        <v>0</v>
      </c>
      <c r="M1143" s="552">
        <f t="shared" si="3405"/>
        <v>0</v>
      </c>
      <c r="N1143" s="552">
        <f t="shared" si="3405"/>
        <v>0</v>
      </c>
      <c r="O1143" s="552">
        <f t="shared" si="3405"/>
        <v>0</v>
      </c>
      <c r="P1143" s="552">
        <f t="shared" si="3405"/>
        <v>0</v>
      </c>
      <c r="Q1143" s="552">
        <f t="shared" si="3405"/>
        <v>0</v>
      </c>
      <c r="R1143" s="552">
        <f t="shared" si="3405"/>
        <v>0</v>
      </c>
      <c r="S1143" s="552">
        <f t="shared" si="3405"/>
        <v>0</v>
      </c>
      <c r="T1143" s="552">
        <f t="shared" si="3405"/>
        <v>0</v>
      </c>
      <c r="U1143" s="552">
        <f t="shared" si="3405"/>
        <v>0</v>
      </c>
      <c r="V1143" s="552">
        <f t="shared" si="3405"/>
        <v>0</v>
      </c>
      <c r="W1143" s="552">
        <f t="shared" si="3405"/>
        <v>0</v>
      </c>
      <c r="X1143" s="552">
        <f t="shared" si="3405"/>
        <v>0</v>
      </c>
      <c r="Y1143" s="552">
        <f t="shared" si="3405"/>
        <v>0</v>
      </c>
      <c r="Z1143" s="552">
        <f t="shared" si="3405"/>
        <v>0</v>
      </c>
      <c r="AA1143" s="552">
        <f t="shared" si="3405"/>
        <v>0</v>
      </c>
      <c r="AB1143" s="552">
        <f t="shared" si="3405"/>
        <v>0</v>
      </c>
      <c r="AC1143" s="552">
        <f t="shared" si="3405"/>
        <v>0</v>
      </c>
      <c r="AD1143" s="552">
        <f t="shared" si="3405"/>
        <v>0</v>
      </c>
      <c r="AE1143" s="552">
        <f t="shared" si="3405"/>
        <v>0</v>
      </c>
      <c r="AF1143" s="552">
        <f t="shared" si="3405"/>
        <v>0</v>
      </c>
      <c r="AG1143" s="552">
        <f t="shared" si="3405"/>
        <v>0</v>
      </c>
      <c r="AH1143" s="552">
        <f t="shared" si="3405"/>
        <v>0</v>
      </c>
      <c r="AI1143" s="552">
        <f t="shared" si="3405"/>
        <v>0</v>
      </c>
      <c r="AJ1143" s="552">
        <f t="shared" si="3405"/>
        <v>0</v>
      </c>
      <c r="AK1143" s="552">
        <f t="shared" si="3405"/>
        <v>0</v>
      </c>
      <c r="AL1143" s="552">
        <f t="shared" si="3405"/>
        <v>0</v>
      </c>
      <c r="AM1143" s="552">
        <f t="shared" si="3405"/>
        <v>0</v>
      </c>
      <c r="AN1143" s="552">
        <f t="shared" si="3405"/>
        <v>0</v>
      </c>
      <c r="AO1143" s="552">
        <f t="shared" si="3405"/>
        <v>0</v>
      </c>
      <c r="AP1143" s="552">
        <f t="shared" si="3405"/>
        <v>0</v>
      </c>
      <c r="AQ1143" s="552">
        <f t="shared" si="3405"/>
        <v>0</v>
      </c>
      <c r="AR1143" s="552">
        <f t="shared" si="3405"/>
        <v>0</v>
      </c>
      <c r="AS1143" s="552">
        <f t="shared" si="3405"/>
        <v>0</v>
      </c>
      <c r="AT1143" s="552">
        <f t="shared" si="3405"/>
        <v>0</v>
      </c>
      <c r="AU1143" s="552">
        <f t="shared" si="3405"/>
        <v>0</v>
      </c>
      <c r="AV1143" s="552">
        <f t="shared" si="3405"/>
        <v>0</v>
      </c>
      <c r="AW1143" s="552">
        <f t="shared" si="3405"/>
        <v>0</v>
      </c>
      <c r="AX1143" s="552">
        <f t="shared" si="3405"/>
        <v>0</v>
      </c>
      <c r="AY1143" s="552">
        <f t="shared" si="3405"/>
        <v>0</v>
      </c>
      <c r="AZ1143" s="552">
        <f t="shared" si="3405"/>
        <v>0</v>
      </c>
      <c r="BA1143" s="552">
        <f t="shared" si="3405"/>
        <v>0</v>
      </c>
      <c r="BB1143" s="552">
        <f t="shared" si="3405"/>
        <v>0</v>
      </c>
      <c r="BC1143" s="552">
        <f t="shared" si="3405"/>
        <v>0</v>
      </c>
      <c r="BD1143" s="552">
        <f t="shared" si="3405"/>
        <v>0</v>
      </c>
      <c r="BE1143" s="552">
        <f t="shared" si="3405"/>
        <v>0</v>
      </c>
      <c r="BF1143" s="552">
        <f t="shared" si="3405"/>
        <v>0</v>
      </c>
      <c r="BG1143" s="552">
        <f t="shared" si="3405"/>
        <v>0</v>
      </c>
      <c r="BH1143" s="552">
        <f t="shared" si="3405"/>
        <v>0</v>
      </c>
      <c r="BI1143" s="552">
        <f t="shared" si="3405"/>
        <v>0</v>
      </c>
      <c r="BJ1143" s="552">
        <f t="shared" si="3405"/>
        <v>0</v>
      </c>
      <c r="BK1143" s="552">
        <f t="shared" si="3405"/>
        <v>0</v>
      </c>
      <c r="BL1143" s="552">
        <f t="shared" si="3405"/>
        <v>0</v>
      </c>
      <c r="BM1143" s="552">
        <f t="shared" si="3405"/>
        <v>0</v>
      </c>
      <c r="BN1143" s="552">
        <f t="shared" si="3405"/>
        <v>0</v>
      </c>
      <c r="BO1143" s="552">
        <f t="shared" si="3405"/>
        <v>0</v>
      </c>
      <c r="BP1143" s="552">
        <f t="shared" si="3405"/>
        <v>0</v>
      </c>
      <c r="BQ1143" s="552">
        <f t="shared" si="3405"/>
        <v>0</v>
      </c>
      <c r="BR1143" s="552">
        <f t="shared" si="3405"/>
        <v>0</v>
      </c>
      <c r="BS1143" s="552">
        <f t="shared" si="3405"/>
        <v>0</v>
      </c>
      <c r="BT1143" s="552">
        <f t="shared" si="3405"/>
        <v>0</v>
      </c>
      <c r="BU1143" s="552">
        <f t="shared" si="3405"/>
        <v>0</v>
      </c>
      <c r="BV1143" s="552">
        <f t="shared" si="3405"/>
        <v>0</v>
      </c>
      <c r="BW1143" s="552">
        <f t="shared" ref="BW1143:DB1143" si="3406">BW185*BW$338</f>
        <v>0</v>
      </c>
      <c r="BX1143" s="552">
        <f t="shared" si="3406"/>
        <v>0</v>
      </c>
      <c r="BY1143" s="552">
        <f t="shared" si="3406"/>
        <v>0</v>
      </c>
      <c r="BZ1143" s="552">
        <f t="shared" si="3406"/>
        <v>0</v>
      </c>
      <c r="CA1143" s="552">
        <f t="shared" si="3406"/>
        <v>0</v>
      </c>
      <c r="CB1143" s="552">
        <f t="shared" si="3406"/>
        <v>0</v>
      </c>
      <c r="CC1143" s="552">
        <f t="shared" si="3406"/>
        <v>0</v>
      </c>
      <c r="CD1143" s="552">
        <f t="shared" si="3406"/>
        <v>0</v>
      </c>
      <c r="CE1143" s="552">
        <f t="shared" si="3406"/>
        <v>0</v>
      </c>
      <c r="CF1143" s="552">
        <f t="shared" si="3406"/>
        <v>0</v>
      </c>
      <c r="CG1143" s="552">
        <f t="shared" si="3406"/>
        <v>0</v>
      </c>
      <c r="CH1143" s="552">
        <f t="shared" si="3406"/>
        <v>0</v>
      </c>
      <c r="CI1143" s="552">
        <f t="shared" si="3406"/>
        <v>0</v>
      </c>
      <c r="CJ1143" s="552">
        <f t="shared" si="3406"/>
        <v>0</v>
      </c>
      <c r="CK1143" s="552">
        <f t="shared" si="3406"/>
        <v>0</v>
      </c>
      <c r="CL1143" s="552">
        <f t="shared" si="3406"/>
        <v>0</v>
      </c>
      <c r="CM1143" s="552">
        <f t="shared" si="3406"/>
        <v>0</v>
      </c>
      <c r="CN1143" s="552">
        <f t="shared" si="3406"/>
        <v>0</v>
      </c>
      <c r="CO1143" s="552">
        <f t="shared" si="3406"/>
        <v>0</v>
      </c>
      <c r="CP1143" s="552">
        <f t="shared" si="3406"/>
        <v>0</v>
      </c>
      <c r="CQ1143" s="552">
        <f t="shared" si="3406"/>
        <v>0</v>
      </c>
      <c r="CR1143" s="552">
        <f t="shared" si="3406"/>
        <v>0</v>
      </c>
      <c r="CS1143" s="552">
        <f t="shared" si="3406"/>
        <v>0</v>
      </c>
      <c r="CT1143" s="552">
        <f t="shared" si="3406"/>
        <v>0</v>
      </c>
      <c r="CU1143" s="552">
        <f t="shared" si="3406"/>
        <v>0</v>
      </c>
      <c r="CV1143" s="552">
        <f t="shared" si="3406"/>
        <v>0</v>
      </c>
      <c r="CW1143" s="552">
        <f t="shared" si="3406"/>
        <v>0</v>
      </c>
      <c r="CX1143" s="552">
        <f t="shared" si="3406"/>
        <v>0</v>
      </c>
      <c r="CY1143" s="552">
        <f t="shared" si="3406"/>
        <v>0</v>
      </c>
      <c r="CZ1143" s="552">
        <f t="shared" si="3406"/>
        <v>0</v>
      </c>
      <c r="DA1143" s="552">
        <f t="shared" si="3406"/>
        <v>0</v>
      </c>
      <c r="DB1143" s="552">
        <f t="shared" si="3406"/>
        <v>0</v>
      </c>
      <c r="DC1143" s="552">
        <f t="shared" ref="DC1143:EH1143" si="3407">DC185*DC$338</f>
        <v>0</v>
      </c>
      <c r="DD1143" s="552">
        <f t="shared" si="3407"/>
        <v>0</v>
      </c>
      <c r="DE1143" s="552">
        <f t="shared" si="3407"/>
        <v>0</v>
      </c>
      <c r="DF1143" s="552">
        <f t="shared" si="3407"/>
        <v>0</v>
      </c>
      <c r="DG1143" s="552">
        <f t="shared" si="3407"/>
        <v>0</v>
      </c>
      <c r="DH1143" s="552">
        <f t="shared" si="3407"/>
        <v>0</v>
      </c>
      <c r="DI1143" s="552">
        <f t="shared" si="3407"/>
        <v>0</v>
      </c>
      <c r="DJ1143" s="552">
        <f t="shared" si="3407"/>
        <v>0</v>
      </c>
      <c r="DK1143" s="552">
        <f t="shared" si="3407"/>
        <v>0</v>
      </c>
      <c r="DL1143" s="552">
        <f t="shared" si="3407"/>
        <v>0</v>
      </c>
      <c r="DM1143" s="552">
        <f t="shared" si="3407"/>
        <v>0</v>
      </c>
      <c r="DN1143" s="552">
        <f t="shared" si="3407"/>
        <v>0</v>
      </c>
      <c r="DO1143" s="552">
        <f t="shared" si="3407"/>
        <v>0</v>
      </c>
      <c r="DP1143" s="552">
        <f t="shared" si="3407"/>
        <v>0</v>
      </c>
      <c r="DQ1143" s="552">
        <f t="shared" si="3407"/>
        <v>0</v>
      </c>
      <c r="DR1143" s="552">
        <f t="shared" si="3407"/>
        <v>0</v>
      </c>
      <c r="DS1143" s="552">
        <f t="shared" si="3407"/>
        <v>0</v>
      </c>
      <c r="DT1143" s="552">
        <f t="shared" si="3407"/>
        <v>0</v>
      </c>
      <c r="DU1143" s="552">
        <f t="shared" si="3407"/>
        <v>0</v>
      </c>
      <c r="DV1143" s="552">
        <f t="shared" si="3407"/>
        <v>0</v>
      </c>
      <c r="DW1143" s="552">
        <f t="shared" si="3407"/>
        <v>0</v>
      </c>
      <c r="DX1143" s="552">
        <f t="shared" si="3407"/>
        <v>0</v>
      </c>
      <c r="DY1143" s="552">
        <f t="shared" si="3407"/>
        <v>0</v>
      </c>
      <c r="DZ1143" s="552">
        <f t="shared" si="3407"/>
        <v>0</v>
      </c>
      <c r="EA1143" s="552">
        <f t="shared" si="3407"/>
        <v>0</v>
      </c>
      <c r="EB1143" s="552">
        <f t="shared" si="3407"/>
        <v>0</v>
      </c>
      <c r="EC1143" s="552">
        <f t="shared" si="3407"/>
        <v>0</v>
      </c>
      <c r="ED1143" s="552">
        <f t="shared" si="3407"/>
        <v>0</v>
      </c>
      <c r="EE1143" s="552">
        <f t="shared" si="3407"/>
        <v>0</v>
      </c>
      <c r="EF1143" s="552">
        <f t="shared" si="3407"/>
        <v>0</v>
      </c>
      <c r="EG1143" s="552">
        <f t="shared" si="3407"/>
        <v>0</v>
      </c>
      <c r="EH1143" s="552">
        <f t="shared" si="3407"/>
        <v>0</v>
      </c>
      <c r="EI1143" s="552">
        <f t="shared" ref="EI1143:EX1143" si="3408">EI185*EI$338</f>
        <v>0</v>
      </c>
      <c r="EJ1143" s="552">
        <f t="shared" si="3408"/>
        <v>0</v>
      </c>
      <c r="EK1143" s="552">
        <f t="shared" si="3408"/>
        <v>0</v>
      </c>
      <c r="EL1143" s="552">
        <f t="shared" si="3408"/>
        <v>0</v>
      </c>
      <c r="EM1143" s="552">
        <f t="shared" si="3408"/>
        <v>0</v>
      </c>
      <c r="EN1143" s="552">
        <f t="shared" si="3408"/>
        <v>0</v>
      </c>
      <c r="EO1143" s="552">
        <f t="shared" si="3408"/>
        <v>0</v>
      </c>
      <c r="EP1143" s="552">
        <f t="shared" si="3408"/>
        <v>0</v>
      </c>
      <c r="EQ1143" s="552">
        <f t="shared" si="3408"/>
        <v>0</v>
      </c>
      <c r="ER1143" s="552">
        <f t="shared" si="3408"/>
        <v>0</v>
      </c>
      <c r="ES1143" s="552">
        <f t="shared" si="3408"/>
        <v>0</v>
      </c>
      <c r="ET1143" s="552">
        <f t="shared" si="3408"/>
        <v>0</v>
      </c>
      <c r="EU1143" s="552">
        <f t="shared" si="3408"/>
        <v>0</v>
      </c>
      <c r="EV1143" s="552">
        <f t="shared" si="3408"/>
        <v>0</v>
      </c>
      <c r="EW1143" s="552">
        <f t="shared" si="3408"/>
        <v>0</v>
      </c>
      <c r="EX1143" s="552">
        <f t="shared" si="3408"/>
        <v>0</v>
      </c>
      <c r="EY1143" s="799">
        <f t="shared" si="3177"/>
        <v>0</v>
      </c>
      <c r="EZ1143" s="640"/>
      <c r="FA1143" s="640"/>
      <c r="FB1143" s="640"/>
      <c r="FC1143" s="640"/>
      <c r="FD1143" s="640"/>
      <c r="FE1143" s="640"/>
      <c r="FF1143" s="640"/>
      <c r="FG1143" s="640"/>
      <c r="FH1143" s="640"/>
      <c r="FI1143" s="640"/>
      <c r="FJ1143" s="640"/>
      <c r="FK1143" s="640"/>
      <c r="FL1143" s="640"/>
    </row>
    <row r="1144" spans="1:168" x14ac:dyDescent="0.25">
      <c r="A1144" s="254"/>
      <c r="B1144" s="625" t="s">
        <v>113</v>
      </c>
      <c r="C1144" s="1135"/>
      <c r="D1144" s="1138">
        <f>SUM(D1135:D1143)</f>
        <v>27.28</v>
      </c>
      <c r="E1144" s="1138">
        <f t="shared" ref="E1144:J1144" si="3409">SUM(E1135:E1143)</f>
        <v>145.76</v>
      </c>
      <c r="F1144" s="1138"/>
      <c r="G1144" s="1138">
        <f t="shared" si="3409"/>
        <v>0</v>
      </c>
      <c r="H1144" s="1138">
        <f t="shared" si="3409"/>
        <v>0</v>
      </c>
      <c r="I1144" s="554"/>
      <c r="J1144" s="1138">
        <f t="shared" si="3409"/>
        <v>0</v>
      </c>
      <c r="K1144" s="1138">
        <f t="shared" ref="K1144" si="3410">SUM(K1135:K1143)</f>
        <v>0</v>
      </c>
      <c r="L1144" s="1138">
        <f t="shared" ref="L1144" si="3411">SUM(L1135:L1143)</f>
        <v>0</v>
      </c>
      <c r="M1144" s="1138">
        <f t="shared" ref="M1144" si="3412">SUM(M1135:M1143)</f>
        <v>27.2</v>
      </c>
      <c r="N1144" s="1138">
        <f t="shared" ref="N1144" si="3413">SUM(N1135:N1143)</f>
        <v>0</v>
      </c>
      <c r="O1144" s="1138">
        <f t="shared" ref="O1144" si="3414">SUM(O1135:O1143)</f>
        <v>0</v>
      </c>
      <c r="P1144" s="1138">
        <f t="shared" ref="P1144" si="3415">SUM(P1135:P1143)</f>
        <v>0.3</v>
      </c>
      <c r="Q1144" s="1138">
        <f t="shared" ref="Q1144" si="3416">SUM(Q1135:Q1143)</f>
        <v>0</v>
      </c>
      <c r="R1144" s="1138">
        <f t="shared" ref="R1144" si="3417">SUM(R1135:R1143)</f>
        <v>0</v>
      </c>
      <c r="S1144" s="1138">
        <f t="shared" ref="S1144" si="3418">SUM(S1135:S1143)</f>
        <v>0</v>
      </c>
      <c r="T1144" s="1138">
        <f t="shared" ref="T1144" si="3419">SUM(T1135:T1143)</f>
        <v>0</v>
      </c>
      <c r="U1144" s="1138">
        <f t="shared" ref="U1144" si="3420">SUM(U1135:U1143)</f>
        <v>1.84</v>
      </c>
      <c r="V1144" s="1138">
        <f t="shared" ref="V1144" si="3421">SUM(V1135:V1143)</f>
        <v>3.98</v>
      </c>
      <c r="W1144" s="1138">
        <f t="shared" ref="W1144" si="3422">SUM(W1135:W1143)</f>
        <v>0</v>
      </c>
      <c r="X1144" s="1138">
        <f t="shared" ref="X1144" si="3423">SUM(X1135:X1143)</f>
        <v>0</v>
      </c>
      <c r="Y1144" s="1138">
        <f t="shared" ref="Y1144" si="3424">SUM(Y1135:Y1143)</f>
        <v>2.75</v>
      </c>
      <c r="Z1144" s="1138">
        <f t="shared" ref="Z1144" si="3425">SUM(Z1135:Z1143)</f>
        <v>0</v>
      </c>
      <c r="AA1144" s="1138">
        <f t="shared" ref="AA1144" si="3426">SUM(AA1135:AA1143)</f>
        <v>0</v>
      </c>
      <c r="AB1144" s="1138">
        <f t="shared" ref="AB1144" si="3427">SUM(AB1135:AB1143)</f>
        <v>0</v>
      </c>
      <c r="AC1144" s="1138">
        <f t="shared" ref="AC1144" si="3428">SUM(AC1135:AC1143)</f>
        <v>0</v>
      </c>
      <c r="AD1144" s="1138">
        <f t="shared" ref="AD1144" si="3429">SUM(AD1135:AD1143)</f>
        <v>0</v>
      </c>
      <c r="AE1144" s="1138">
        <f t="shared" ref="AE1144" si="3430">SUM(AE1135:AE1143)</f>
        <v>0</v>
      </c>
      <c r="AF1144" s="1138">
        <f t="shared" ref="AF1144" si="3431">SUM(AF1135:AF1143)</f>
        <v>0</v>
      </c>
      <c r="AG1144" s="1138">
        <f t="shared" ref="AG1144" si="3432">SUM(AG1135:AG1143)</f>
        <v>0</v>
      </c>
      <c r="AH1144" s="1138">
        <f t="shared" ref="AH1144" si="3433">SUM(AH1135:AH1143)</f>
        <v>6.11</v>
      </c>
      <c r="AI1144" s="1138">
        <f t="shared" ref="AI1144" si="3434">SUM(AI1135:AI1143)</f>
        <v>0</v>
      </c>
      <c r="AJ1144" s="1138">
        <f t="shared" ref="AJ1144" si="3435">SUM(AJ1135:AJ1143)</f>
        <v>0</v>
      </c>
      <c r="AK1144" s="1138">
        <f t="shared" ref="AK1144" si="3436">SUM(AK1135:AK1143)</f>
        <v>0.66</v>
      </c>
      <c r="AL1144" s="1138">
        <f t="shared" ref="AL1144" si="3437">SUM(AL1135:AL1143)</f>
        <v>4.32</v>
      </c>
      <c r="AM1144" s="1138">
        <f t="shared" ref="AM1144" si="3438">SUM(AM1135:AM1143)</f>
        <v>0</v>
      </c>
      <c r="AN1144" s="1138">
        <f t="shared" ref="AN1144" si="3439">SUM(AN1135:AN1143)</f>
        <v>0</v>
      </c>
      <c r="AO1144" s="1138">
        <f t="shared" ref="AO1144" si="3440">SUM(AO1135:AO1143)</f>
        <v>0</v>
      </c>
      <c r="AP1144" s="1138">
        <f t="shared" ref="AP1144" si="3441">SUM(AP1135:AP1143)</f>
        <v>0</v>
      </c>
      <c r="AQ1144" s="1138">
        <f t="shared" ref="AQ1144" si="3442">SUM(AQ1135:AQ1143)</f>
        <v>1.1100000000000001</v>
      </c>
      <c r="AR1144" s="1138">
        <f t="shared" ref="AR1144" si="3443">SUM(AR1135:AR1143)</f>
        <v>0</v>
      </c>
      <c r="AS1144" s="1138">
        <f t="shared" ref="AS1144" si="3444">SUM(AS1135:AS1143)</f>
        <v>0</v>
      </c>
      <c r="AT1144" s="1138">
        <f t="shared" ref="AT1144" si="3445">SUM(AT1135:AT1143)</f>
        <v>0</v>
      </c>
      <c r="AU1144" s="1138">
        <f t="shared" ref="AU1144" si="3446">SUM(AU1135:AU1143)</f>
        <v>0</v>
      </c>
      <c r="AV1144" s="1138">
        <f t="shared" ref="AV1144" si="3447">SUM(AV1135:AV1143)</f>
        <v>0</v>
      </c>
      <c r="AW1144" s="1138">
        <f t="shared" ref="AW1144" si="3448">SUM(AW1135:AW1143)</f>
        <v>0</v>
      </c>
      <c r="AX1144" s="1138">
        <f t="shared" ref="AX1144" si="3449">SUM(AX1135:AX1143)</f>
        <v>0.44</v>
      </c>
      <c r="AY1144" s="1138">
        <f t="shared" ref="AY1144" si="3450">SUM(AY1135:AY1143)</f>
        <v>0</v>
      </c>
      <c r="AZ1144" s="1138">
        <f t="shared" ref="AZ1144" si="3451">SUM(AZ1135:AZ1143)</f>
        <v>0</v>
      </c>
      <c r="BA1144" s="1138">
        <f t="shared" ref="BA1144" si="3452">SUM(BA1135:BA1143)</f>
        <v>0</v>
      </c>
      <c r="BB1144" s="1138">
        <f t="shared" ref="BB1144" si="3453">SUM(BB1135:BB1143)</f>
        <v>0</v>
      </c>
      <c r="BC1144" s="1138">
        <f t="shared" ref="BC1144" si="3454">SUM(BC1135:BC1143)</f>
        <v>0</v>
      </c>
      <c r="BD1144" s="1138">
        <f t="shared" ref="BD1144" si="3455">SUM(BD1135:BD1143)</f>
        <v>0</v>
      </c>
      <c r="BE1144" s="1138">
        <f t="shared" ref="BE1144" si="3456">SUM(BE1135:BE1143)</f>
        <v>0</v>
      </c>
      <c r="BF1144" s="1138">
        <f t="shared" ref="BF1144" si="3457">SUM(BF1135:BF1143)</f>
        <v>0</v>
      </c>
      <c r="BG1144" s="1138">
        <f t="shared" ref="BG1144" si="3458">SUM(BG1135:BG1143)</f>
        <v>0</v>
      </c>
      <c r="BH1144" s="1138">
        <f t="shared" ref="BH1144" si="3459">SUM(BH1135:BH1143)</f>
        <v>0</v>
      </c>
      <c r="BI1144" s="1138">
        <f t="shared" ref="BI1144" si="3460">SUM(BI1135:BI1143)</f>
        <v>0</v>
      </c>
      <c r="BJ1144" s="1138">
        <f t="shared" ref="BJ1144" si="3461">SUM(BJ1135:BJ1143)</f>
        <v>0</v>
      </c>
      <c r="BK1144" s="1138">
        <f t="shared" ref="BK1144" si="3462">SUM(BK1135:BK1143)</f>
        <v>0</v>
      </c>
      <c r="BL1144" s="1138">
        <f t="shared" ref="BL1144" si="3463">SUM(BL1135:BL1143)</f>
        <v>0</v>
      </c>
      <c r="BM1144" s="1138">
        <f t="shared" ref="BM1144" si="3464">SUM(BM1135:BM1143)</f>
        <v>0</v>
      </c>
      <c r="BN1144" s="1138">
        <f t="shared" ref="BN1144" si="3465">SUM(BN1135:BN1143)</f>
        <v>0</v>
      </c>
      <c r="BO1144" s="1138">
        <f t="shared" ref="BO1144" si="3466">SUM(BO1135:BO1143)</f>
        <v>0</v>
      </c>
      <c r="BP1144" s="1138">
        <f t="shared" ref="BP1144" si="3467">SUM(BP1135:BP1143)</f>
        <v>0</v>
      </c>
      <c r="BQ1144" s="1138">
        <f t="shared" ref="BQ1144" si="3468">SUM(BQ1135:BQ1143)</f>
        <v>0</v>
      </c>
      <c r="BR1144" s="1138">
        <f t="shared" ref="BR1144" si="3469">SUM(BR1135:BR1143)</f>
        <v>4.13</v>
      </c>
      <c r="BS1144" s="1138">
        <f t="shared" ref="BS1144" si="3470">SUM(BS1135:BS1143)</f>
        <v>7.0000000000000007E-2</v>
      </c>
      <c r="BT1144" s="1138">
        <f t="shared" ref="BT1144" si="3471">SUM(BT1135:BT1143)</f>
        <v>0</v>
      </c>
      <c r="BU1144" s="1138">
        <f t="shared" ref="BU1144" si="3472">SUM(BU1135:BU1143)</f>
        <v>0</v>
      </c>
      <c r="BV1144" s="1138">
        <f t="shared" ref="BV1144" si="3473">SUM(BV1135:BV1143)</f>
        <v>0</v>
      </c>
      <c r="BW1144" s="1138">
        <f t="shared" ref="BW1144" si="3474">SUM(BW1135:BW1143)</f>
        <v>0</v>
      </c>
      <c r="BX1144" s="1138">
        <f t="shared" ref="BX1144" si="3475">SUM(BX1135:BX1143)</f>
        <v>0</v>
      </c>
      <c r="BY1144" s="1138">
        <f t="shared" ref="BY1144" si="3476">SUM(BY1135:BY1143)</f>
        <v>0</v>
      </c>
      <c r="BZ1144" s="1138">
        <f t="shared" ref="BZ1144" si="3477">SUM(BZ1135:BZ1143)</f>
        <v>0</v>
      </c>
      <c r="CA1144" s="1138">
        <f t="shared" ref="CA1144" si="3478">SUM(CA1135:CA1143)</f>
        <v>0</v>
      </c>
      <c r="CB1144" s="1138">
        <f t="shared" ref="CB1144" si="3479">SUM(CB1135:CB1143)</f>
        <v>0.49</v>
      </c>
      <c r="CC1144" s="1138">
        <f t="shared" ref="CC1144" si="3480">SUM(CC1135:CC1143)</f>
        <v>0</v>
      </c>
      <c r="CD1144" s="1138">
        <f t="shared" ref="CD1144" si="3481">SUM(CD1135:CD1143)</f>
        <v>0</v>
      </c>
      <c r="CE1144" s="1138">
        <f t="shared" ref="CE1144" si="3482">SUM(CE1135:CE1143)</f>
        <v>0</v>
      </c>
      <c r="CF1144" s="1138">
        <f t="shared" ref="CF1144" si="3483">SUM(CF1135:CF1143)</f>
        <v>2.12</v>
      </c>
      <c r="CG1144" s="1138">
        <f t="shared" ref="CG1144" si="3484">SUM(CG1135:CG1143)</f>
        <v>2.63</v>
      </c>
      <c r="CH1144" s="1138">
        <f t="shared" ref="CH1144" si="3485">SUM(CH1135:CH1143)</f>
        <v>0</v>
      </c>
      <c r="CI1144" s="1138">
        <f t="shared" ref="CI1144" si="3486">SUM(CI1135:CI1143)</f>
        <v>0</v>
      </c>
      <c r="CJ1144" s="1138">
        <f t="shared" ref="CJ1144" si="3487">SUM(CJ1135:CJ1143)</f>
        <v>0</v>
      </c>
      <c r="CK1144" s="1138">
        <f t="shared" ref="CK1144" si="3488">SUM(CK1135:CK1143)</f>
        <v>0</v>
      </c>
      <c r="CL1144" s="1138">
        <f t="shared" ref="CL1144" si="3489">SUM(CL1135:CL1143)</f>
        <v>0</v>
      </c>
      <c r="CM1144" s="1138">
        <f t="shared" ref="CM1144" si="3490">SUM(CM1135:CM1143)</f>
        <v>0</v>
      </c>
      <c r="CN1144" s="1138">
        <f t="shared" ref="CN1144" si="3491">SUM(CN1135:CN1143)</f>
        <v>0</v>
      </c>
      <c r="CO1144" s="1138">
        <f t="shared" ref="CO1144" si="3492">SUM(CO1135:CO1143)</f>
        <v>0</v>
      </c>
      <c r="CP1144" s="1138">
        <f t="shared" ref="CP1144" si="3493">SUM(CP1135:CP1143)</f>
        <v>0</v>
      </c>
      <c r="CQ1144" s="1138">
        <f t="shared" ref="CQ1144" si="3494">SUM(CQ1135:CQ1143)</f>
        <v>0.06</v>
      </c>
      <c r="CR1144" s="1138">
        <f t="shared" ref="CR1144" si="3495">SUM(CR1135:CR1143)</f>
        <v>0</v>
      </c>
      <c r="CS1144" s="1138">
        <f t="shared" ref="CS1144" si="3496">SUM(CS1135:CS1143)</f>
        <v>0</v>
      </c>
      <c r="CT1144" s="1138">
        <f t="shared" ref="CT1144" si="3497">SUM(CT1135:CT1143)</f>
        <v>3.74</v>
      </c>
      <c r="CU1144" s="1138">
        <f t="shared" ref="CU1144" si="3498">SUM(CU1135:CU1143)</f>
        <v>0</v>
      </c>
      <c r="CV1144" s="1138">
        <f t="shared" ref="CV1144" si="3499">SUM(CV1135:CV1143)</f>
        <v>0</v>
      </c>
      <c r="CW1144" s="1138">
        <f t="shared" ref="CW1144" si="3500">SUM(CW1135:CW1143)</f>
        <v>0</v>
      </c>
      <c r="CX1144" s="1138">
        <f t="shared" ref="CX1144" si="3501">SUM(CX1135:CX1143)</f>
        <v>0</v>
      </c>
      <c r="CY1144" s="1138">
        <f t="shared" ref="CY1144" si="3502">SUM(CY1135:CY1143)</f>
        <v>0</v>
      </c>
      <c r="CZ1144" s="1138">
        <f t="shared" ref="CZ1144" si="3503">SUM(CZ1135:CZ1143)</f>
        <v>1.82</v>
      </c>
      <c r="DA1144" s="1138">
        <f t="shared" ref="DA1144" si="3504">SUM(DA1135:DA1143)</f>
        <v>0</v>
      </c>
      <c r="DB1144" s="1138">
        <f t="shared" ref="DB1144" si="3505">SUM(DB1135:DB1143)</f>
        <v>0</v>
      </c>
      <c r="DC1144" s="1138">
        <f t="shared" ref="DC1144" si="3506">SUM(DC1135:DC1143)</f>
        <v>0.24</v>
      </c>
      <c r="DD1144" s="1138">
        <f t="shared" ref="DD1144" si="3507">SUM(DD1135:DD1143)</f>
        <v>0.94</v>
      </c>
      <c r="DE1144" s="1138">
        <f t="shared" ref="DE1144" si="3508">SUM(DE1135:DE1143)</f>
        <v>0</v>
      </c>
      <c r="DF1144" s="1138">
        <f t="shared" ref="DF1144" si="3509">SUM(DF1135:DF1143)</f>
        <v>0.69</v>
      </c>
      <c r="DG1144" s="1138">
        <f t="shared" ref="DG1144" si="3510">SUM(DG1135:DG1143)</f>
        <v>0</v>
      </c>
      <c r="DH1144" s="1138">
        <f t="shared" ref="DH1144" si="3511">SUM(DH1135:DH1143)</f>
        <v>0</v>
      </c>
      <c r="DI1144" s="1138">
        <f t="shared" ref="DI1144" si="3512">SUM(DI1135:DI1143)</f>
        <v>0</v>
      </c>
      <c r="DJ1144" s="1138">
        <f t="shared" ref="DJ1144" si="3513">SUM(DJ1135:DJ1143)</f>
        <v>0</v>
      </c>
      <c r="DK1144" s="1138">
        <f t="shared" ref="DK1144" si="3514">SUM(DK1135:DK1143)</f>
        <v>0</v>
      </c>
      <c r="DL1144" s="1138">
        <f t="shared" ref="DL1144" si="3515">SUM(DL1135:DL1143)</f>
        <v>0</v>
      </c>
      <c r="DM1144" s="1138">
        <f t="shared" ref="DM1144" si="3516">SUM(DM1135:DM1143)</f>
        <v>0</v>
      </c>
      <c r="DN1144" s="1138">
        <f t="shared" ref="DN1144" si="3517">SUM(DN1135:DN1143)</f>
        <v>0</v>
      </c>
      <c r="DO1144" s="1138">
        <f t="shared" ref="DO1144" si="3518">SUM(DO1135:DO1143)</f>
        <v>0</v>
      </c>
      <c r="DP1144" s="1138">
        <f t="shared" ref="DP1144" si="3519">SUM(DP1135:DP1143)</f>
        <v>0</v>
      </c>
      <c r="DQ1144" s="1138">
        <f t="shared" ref="DQ1144" si="3520">SUM(DQ1135:DQ1143)</f>
        <v>0</v>
      </c>
      <c r="DR1144" s="1138">
        <f t="shared" ref="DR1144" si="3521">SUM(DR1135:DR1143)</f>
        <v>0</v>
      </c>
      <c r="DS1144" s="1138">
        <f t="shared" ref="DS1144" si="3522">SUM(DS1135:DS1143)</f>
        <v>0</v>
      </c>
      <c r="DT1144" s="1138">
        <f t="shared" ref="DT1144" si="3523">SUM(DT1135:DT1143)</f>
        <v>0</v>
      </c>
      <c r="DU1144" s="1138">
        <f t="shared" ref="DU1144" si="3524">SUM(DU1135:DU1143)</f>
        <v>0.96</v>
      </c>
      <c r="DV1144" s="1138">
        <f t="shared" ref="DV1144" si="3525">SUM(DV1135:DV1143)</f>
        <v>0</v>
      </c>
      <c r="DW1144" s="1138">
        <f t="shared" ref="DW1144" si="3526">SUM(DW1135:DW1143)</f>
        <v>0</v>
      </c>
      <c r="DX1144" s="1138">
        <f t="shared" ref="DX1144" si="3527">SUM(DX1135:DX1143)</f>
        <v>0</v>
      </c>
      <c r="DY1144" s="1138">
        <f t="shared" ref="DY1144" si="3528">SUM(DY1135:DY1143)</f>
        <v>0</v>
      </c>
      <c r="DZ1144" s="1138">
        <f t="shared" ref="DZ1144" si="3529">SUM(DZ1135:DZ1143)</f>
        <v>0</v>
      </c>
      <c r="EA1144" s="1138">
        <f t="shared" ref="EA1144" si="3530">SUM(EA1135:EA1143)</f>
        <v>75</v>
      </c>
      <c r="EB1144" s="1138">
        <f t="shared" ref="EB1144" si="3531">SUM(EB1135:EB1143)</f>
        <v>0</v>
      </c>
      <c r="EC1144" s="1138">
        <f t="shared" ref="EC1144" si="3532">SUM(EC1135:EC1143)</f>
        <v>0</v>
      </c>
      <c r="ED1144" s="1138">
        <f t="shared" ref="ED1144" si="3533">SUM(ED1135:ED1143)</f>
        <v>0</v>
      </c>
      <c r="EE1144" s="1138">
        <f t="shared" ref="EE1144" si="3534">SUM(EE1135:EE1143)</f>
        <v>0</v>
      </c>
      <c r="EF1144" s="1138">
        <f t="shared" ref="EF1144" si="3535">SUM(EF1135:EF1143)</f>
        <v>0</v>
      </c>
      <c r="EG1144" s="1138">
        <f t="shared" ref="EG1144" si="3536">SUM(EG1135:EG1143)</f>
        <v>0</v>
      </c>
      <c r="EH1144" s="1138">
        <f t="shared" ref="EH1144" si="3537">SUM(EH1135:EH1143)</f>
        <v>0</v>
      </c>
      <c r="EI1144" s="1138">
        <f t="shared" ref="EI1144" si="3538">SUM(EI1135:EI1143)</f>
        <v>0</v>
      </c>
      <c r="EJ1144" s="1138">
        <f t="shared" ref="EJ1144" si="3539">SUM(EJ1135:EJ1143)</f>
        <v>0</v>
      </c>
      <c r="EK1144" s="1138">
        <f t="shared" ref="EK1144" si="3540">SUM(EK1135:EK1143)</f>
        <v>0</v>
      </c>
      <c r="EL1144" s="1138">
        <f t="shared" ref="EL1144" si="3541">SUM(EL1135:EL1143)</f>
        <v>0</v>
      </c>
      <c r="EM1144" s="1138">
        <f t="shared" ref="EM1144" si="3542">SUM(EM1135:EM1143)</f>
        <v>0</v>
      </c>
      <c r="EN1144" s="1138">
        <f t="shared" ref="EN1144" si="3543">SUM(EN1135:EN1143)</f>
        <v>0</v>
      </c>
      <c r="EO1144" s="1138">
        <f t="shared" ref="EO1144" si="3544">SUM(EO1135:EO1143)</f>
        <v>0</v>
      </c>
      <c r="EP1144" s="1138">
        <f t="shared" ref="EP1144" si="3545">SUM(EP1135:EP1143)</f>
        <v>0</v>
      </c>
      <c r="EQ1144" s="1138">
        <f t="shared" ref="EQ1144" si="3546">SUM(EQ1135:EQ1143)</f>
        <v>0</v>
      </c>
      <c r="ER1144" s="1138">
        <f t="shared" ref="ER1144" si="3547">SUM(ER1135:ER1143)</f>
        <v>0</v>
      </c>
      <c r="ES1144" s="1138">
        <f t="shared" ref="ES1144" si="3548">SUM(ES1135:ES1143)</f>
        <v>0</v>
      </c>
      <c r="ET1144" s="1138">
        <f t="shared" ref="ET1144" si="3549">SUM(ET1135:ET1143)</f>
        <v>0</v>
      </c>
      <c r="EU1144" s="1138">
        <f t="shared" ref="EU1144" si="3550">SUM(EU1135:EU1143)</f>
        <v>0</v>
      </c>
      <c r="EV1144" s="1138">
        <f t="shared" ref="EV1144" si="3551">SUM(EV1135:EV1143)</f>
        <v>2.21</v>
      </c>
      <c r="EW1144" s="1138">
        <f t="shared" ref="EW1144" si="3552">SUM(EW1135:EW1143)</f>
        <v>1.95</v>
      </c>
      <c r="EX1144" s="1138">
        <f t="shared" ref="EX1144:FL1144" si="3553">SUM(EX1135:EX1143)</f>
        <v>0</v>
      </c>
      <c r="EY1144" s="1138">
        <f t="shared" si="3553"/>
        <v>145.76</v>
      </c>
      <c r="EZ1144" s="1138">
        <f t="shared" si="3553"/>
        <v>0</v>
      </c>
      <c r="FA1144" s="1138">
        <f t="shared" si="3553"/>
        <v>0</v>
      </c>
      <c r="FB1144" s="1138">
        <f t="shared" si="3553"/>
        <v>0</v>
      </c>
      <c r="FC1144" s="1138">
        <f t="shared" si="3553"/>
        <v>0</v>
      </c>
      <c r="FD1144" s="1138">
        <f t="shared" si="3553"/>
        <v>0</v>
      </c>
      <c r="FE1144" s="1138">
        <f t="shared" si="3553"/>
        <v>0</v>
      </c>
      <c r="FF1144" s="1138">
        <f t="shared" si="3553"/>
        <v>0</v>
      </c>
      <c r="FG1144" s="1138">
        <f t="shared" si="3553"/>
        <v>0</v>
      </c>
      <c r="FH1144" s="1138">
        <f t="shared" si="3553"/>
        <v>0</v>
      </c>
      <c r="FI1144" s="1138">
        <f t="shared" si="3553"/>
        <v>0</v>
      </c>
      <c r="FJ1144" s="1138">
        <f t="shared" si="3553"/>
        <v>0</v>
      </c>
      <c r="FK1144" s="1138">
        <f t="shared" si="3553"/>
        <v>0</v>
      </c>
      <c r="FL1144" s="1138">
        <f t="shared" si="3553"/>
        <v>0</v>
      </c>
    </row>
    <row r="1145" spans="1:168" x14ac:dyDescent="0.25">
      <c r="A1145" s="1491" t="s">
        <v>800</v>
      </c>
      <c r="B1145" s="624">
        <f t="shared" ref="B1145:D1149" si="3554">B187</f>
        <v>0</v>
      </c>
      <c r="C1145" s="624">
        <f t="shared" si="3554"/>
        <v>0</v>
      </c>
      <c r="D1145" s="624">
        <f t="shared" si="3554"/>
        <v>0</v>
      </c>
      <c r="E1145" s="1158">
        <f t="shared" si="3178"/>
        <v>0</v>
      </c>
      <c r="F1145" s="1158"/>
      <c r="G1145" s="1140"/>
      <c r="H1145" s="1140"/>
      <c r="I1145" s="552"/>
      <c r="J1145" s="552">
        <f t="shared" ref="J1145:AO1145" si="3555">J187*J$338</f>
        <v>0</v>
      </c>
      <c r="K1145" s="552">
        <f t="shared" si="3555"/>
        <v>0</v>
      </c>
      <c r="L1145" s="552">
        <f t="shared" si="3555"/>
        <v>0</v>
      </c>
      <c r="M1145" s="552">
        <f t="shared" si="3555"/>
        <v>0</v>
      </c>
      <c r="N1145" s="552">
        <f t="shared" si="3555"/>
        <v>0</v>
      </c>
      <c r="O1145" s="552">
        <f t="shared" si="3555"/>
        <v>0</v>
      </c>
      <c r="P1145" s="552">
        <f t="shared" si="3555"/>
        <v>0</v>
      </c>
      <c r="Q1145" s="552">
        <f t="shared" si="3555"/>
        <v>0</v>
      </c>
      <c r="R1145" s="552">
        <f t="shared" si="3555"/>
        <v>0</v>
      </c>
      <c r="S1145" s="552">
        <f t="shared" si="3555"/>
        <v>0</v>
      </c>
      <c r="T1145" s="552">
        <f t="shared" si="3555"/>
        <v>0</v>
      </c>
      <c r="U1145" s="552">
        <f t="shared" si="3555"/>
        <v>0</v>
      </c>
      <c r="V1145" s="552">
        <f t="shared" si="3555"/>
        <v>0</v>
      </c>
      <c r="W1145" s="552">
        <f t="shared" si="3555"/>
        <v>0</v>
      </c>
      <c r="X1145" s="552">
        <f t="shared" si="3555"/>
        <v>0</v>
      </c>
      <c r="Y1145" s="552">
        <f t="shared" si="3555"/>
        <v>0</v>
      </c>
      <c r="Z1145" s="552">
        <f t="shared" si="3555"/>
        <v>0</v>
      </c>
      <c r="AA1145" s="552">
        <f t="shared" si="3555"/>
        <v>0</v>
      </c>
      <c r="AB1145" s="552">
        <f t="shared" si="3555"/>
        <v>0</v>
      </c>
      <c r="AC1145" s="552">
        <f t="shared" si="3555"/>
        <v>0</v>
      </c>
      <c r="AD1145" s="552">
        <f t="shared" si="3555"/>
        <v>0</v>
      </c>
      <c r="AE1145" s="552">
        <f t="shared" si="3555"/>
        <v>0</v>
      </c>
      <c r="AF1145" s="552">
        <f t="shared" si="3555"/>
        <v>0</v>
      </c>
      <c r="AG1145" s="552">
        <f t="shared" si="3555"/>
        <v>0</v>
      </c>
      <c r="AH1145" s="552">
        <f t="shared" si="3555"/>
        <v>0</v>
      </c>
      <c r="AI1145" s="552">
        <f t="shared" si="3555"/>
        <v>0</v>
      </c>
      <c r="AJ1145" s="552">
        <f t="shared" si="3555"/>
        <v>0</v>
      </c>
      <c r="AK1145" s="552">
        <f t="shared" si="3555"/>
        <v>0</v>
      </c>
      <c r="AL1145" s="552">
        <f t="shared" si="3555"/>
        <v>0</v>
      </c>
      <c r="AM1145" s="552">
        <f t="shared" si="3555"/>
        <v>0</v>
      </c>
      <c r="AN1145" s="552">
        <f t="shared" si="3555"/>
        <v>0</v>
      </c>
      <c r="AO1145" s="552">
        <f t="shared" si="3555"/>
        <v>0</v>
      </c>
      <c r="AP1145" s="552">
        <f t="shared" ref="AP1145:BU1145" si="3556">AP187*AP$338</f>
        <v>0</v>
      </c>
      <c r="AQ1145" s="552">
        <f t="shared" si="3556"/>
        <v>0</v>
      </c>
      <c r="AR1145" s="552">
        <f t="shared" si="3556"/>
        <v>0</v>
      </c>
      <c r="AS1145" s="552">
        <f t="shared" si="3556"/>
        <v>0</v>
      </c>
      <c r="AT1145" s="552">
        <f t="shared" si="3556"/>
        <v>0</v>
      </c>
      <c r="AU1145" s="552">
        <f t="shared" si="3556"/>
        <v>0</v>
      </c>
      <c r="AV1145" s="552">
        <f t="shared" si="3556"/>
        <v>0</v>
      </c>
      <c r="AW1145" s="552">
        <f t="shared" si="3556"/>
        <v>0</v>
      </c>
      <c r="AX1145" s="552">
        <f t="shared" si="3556"/>
        <v>0</v>
      </c>
      <c r="AY1145" s="552">
        <f t="shared" si="3556"/>
        <v>0</v>
      </c>
      <c r="AZ1145" s="552">
        <f t="shared" si="3556"/>
        <v>0</v>
      </c>
      <c r="BA1145" s="552">
        <f t="shared" si="3556"/>
        <v>0</v>
      </c>
      <c r="BB1145" s="552">
        <f t="shared" si="3556"/>
        <v>0</v>
      </c>
      <c r="BC1145" s="552">
        <f t="shared" si="3556"/>
        <v>0</v>
      </c>
      <c r="BD1145" s="552">
        <f t="shared" si="3556"/>
        <v>0</v>
      </c>
      <c r="BE1145" s="552">
        <f t="shared" si="3556"/>
        <v>0</v>
      </c>
      <c r="BF1145" s="552">
        <f t="shared" si="3556"/>
        <v>0</v>
      </c>
      <c r="BG1145" s="552">
        <f t="shared" si="3556"/>
        <v>0</v>
      </c>
      <c r="BH1145" s="552">
        <f t="shared" si="3556"/>
        <v>0</v>
      </c>
      <c r="BI1145" s="552">
        <f t="shared" si="3556"/>
        <v>0</v>
      </c>
      <c r="BJ1145" s="552">
        <f t="shared" si="3556"/>
        <v>0</v>
      </c>
      <c r="BK1145" s="552">
        <f t="shared" si="3556"/>
        <v>0</v>
      </c>
      <c r="BL1145" s="552">
        <f t="shared" si="3556"/>
        <v>0</v>
      </c>
      <c r="BM1145" s="552">
        <f t="shared" si="3556"/>
        <v>0</v>
      </c>
      <c r="BN1145" s="552">
        <f t="shared" si="3556"/>
        <v>0</v>
      </c>
      <c r="BO1145" s="552">
        <f t="shared" si="3556"/>
        <v>0</v>
      </c>
      <c r="BP1145" s="552">
        <f t="shared" si="3556"/>
        <v>0</v>
      </c>
      <c r="BQ1145" s="552">
        <f t="shared" si="3556"/>
        <v>0</v>
      </c>
      <c r="BR1145" s="552">
        <f t="shared" si="3556"/>
        <v>0</v>
      </c>
      <c r="BS1145" s="552">
        <f t="shared" si="3556"/>
        <v>0</v>
      </c>
      <c r="BT1145" s="552">
        <f t="shared" si="3556"/>
        <v>0</v>
      </c>
      <c r="BU1145" s="552">
        <f t="shared" si="3556"/>
        <v>0</v>
      </c>
      <c r="BV1145" s="552">
        <f t="shared" ref="BV1145:DA1145" si="3557">BV187*BV$338</f>
        <v>0</v>
      </c>
      <c r="BW1145" s="552">
        <f t="shared" si="3557"/>
        <v>0</v>
      </c>
      <c r="BX1145" s="552">
        <f t="shared" si="3557"/>
        <v>0</v>
      </c>
      <c r="BY1145" s="552">
        <f t="shared" si="3557"/>
        <v>0</v>
      </c>
      <c r="BZ1145" s="552">
        <f t="shared" si="3557"/>
        <v>0</v>
      </c>
      <c r="CA1145" s="552">
        <f t="shared" si="3557"/>
        <v>0</v>
      </c>
      <c r="CB1145" s="552">
        <f t="shared" si="3557"/>
        <v>0</v>
      </c>
      <c r="CC1145" s="552">
        <f t="shared" si="3557"/>
        <v>0</v>
      </c>
      <c r="CD1145" s="552">
        <f t="shared" si="3557"/>
        <v>0</v>
      </c>
      <c r="CE1145" s="552">
        <f t="shared" si="3557"/>
        <v>0</v>
      </c>
      <c r="CF1145" s="552">
        <f t="shared" si="3557"/>
        <v>0</v>
      </c>
      <c r="CG1145" s="552">
        <f t="shared" si="3557"/>
        <v>0</v>
      </c>
      <c r="CH1145" s="552">
        <f t="shared" si="3557"/>
        <v>0</v>
      </c>
      <c r="CI1145" s="552">
        <f t="shared" si="3557"/>
        <v>0</v>
      </c>
      <c r="CJ1145" s="552">
        <f t="shared" si="3557"/>
        <v>0</v>
      </c>
      <c r="CK1145" s="552">
        <f t="shared" si="3557"/>
        <v>0</v>
      </c>
      <c r="CL1145" s="552">
        <f t="shared" si="3557"/>
        <v>0</v>
      </c>
      <c r="CM1145" s="552">
        <f t="shared" si="3557"/>
        <v>0</v>
      </c>
      <c r="CN1145" s="552">
        <f t="shared" si="3557"/>
        <v>0</v>
      </c>
      <c r="CO1145" s="552">
        <f t="shared" si="3557"/>
        <v>0</v>
      </c>
      <c r="CP1145" s="552">
        <f t="shared" si="3557"/>
        <v>0</v>
      </c>
      <c r="CQ1145" s="552">
        <f t="shared" si="3557"/>
        <v>0</v>
      </c>
      <c r="CR1145" s="552">
        <f t="shared" si="3557"/>
        <v>0</v>
      </c>
      <c r="CS1145" s="552">
        <f t="shared" si="3557"/>
        <v>0</v>
      </c>
      <c r="CT1145" s="552">
        <f t="shared" si="3557"/>
        <v>0</v>
      </c>
      <c r="CU1145" s="552">
        <f t="shared" si="3557"/>
        <v>0</v>
      </c>
      <c r="CV1145" s="552">
        <f t="shared" si="3557"/>
        <v>0</v>
      </c>
      <c r="CW1145" s="552">
        <f t="shared" si="3557"/>
        <v>0</v>
      </c>
      <c r="CX1145" s="552">
        <f t="shared" si="3557"/>
        <v>0</v>
      </c>
      <c r="CY1145" s="552">
        <f t="shared" si="3557"/>
        <v>0</v>
      </c>
      <c r="CZ1145" s="552">
        <f t="shared" si="3557"/>
        <v>0</v>
      </c>
      <c r="DA1145" s="552">
        <f t="shared" si="3557"/>
        <v>0</v>
      </c>
      <c r="DB1145" s="552">
        <f t="shared" ref="DB1145:EG1145" si="3558">DB187*DB$338</f>
        <v>0</v>
      </c>
      <c r="DC1145" s="552">
        <f t="shared" si="3558"/>
        <v>0</v>
      </c>
      <c r="DD1145" s="552">
        <f t="shared" si="3558"/>
        <v>0</v>
      </c>
      <c r="DE1145" s="552">
        <f t="shared" si="3558"/>
        <v>0</v>
      </c>
      <c r="DF1145" s="552">
        <f t="shared" si="3558"/>
        <v>0</v>
      </c>
      <c r="DG1145" s="552">
        <f t="shared" si="3558"/>
        <v>0</v>
      </c>
      <c r="DH1145" s="552">
        <f t="shared" si="3558"/>
        <v>0</v>
      </c>
      <c r="DI1145" s="552">
        <f t="shared" si="3558"/>
        <v>0</v>
      </c>
      <c r="DJ1145" s="552">
        <f t="shared" si="3558"/>
        <v>0</v>
      </c>
      <c r="DK1145" s="552">
        <f t="shared" si="3558"/>
        <v>0</v>
      </c>
      <c r="DL1145" s="552">
        <f t="shared" si="3558"/>
        <v>0</v>
      </c>
      <c r="DM1145" s="552">
        <f t="shared" si="3558"/>
        <v>0</v>
      </c>
      <c r="DN1145" s="552">
        <f t="shared" si="3558"/>
        <v>0</v>
      </c>
      <c r="DO1145" s="552">
        <f t="shared" si="3558"/>
        <v>0</v>
      </c>
      <c r="DP1145" s="552">
        <f t="shared" si="3558"/>
        <v>0</v>
      </c>
      <c r="DQ1145" s="552">
        <f t="shared" si="3558"/>
        <v>0</v>
      </c>
      <c r="DR1145" s="552">
        <f t="shared" si="3558"/>
        <v>0</v>
      </c>
      <c r="DS1145" s="552">
        <f t="shared" si="3558"/>
        <v>0</v>
      </c>
      <c r="DT1145" s="552">
        <f t="shared" si="3558"/>
        <v>0</v>
      </c>
      <c r="DU1145" s="552">
        <f t="shared" si="3558"/>
        <v>0</v>
      </c>
      <c r="DV1145" s="552">
        <f t="shared" si="3558"/>
        <v>0</v>
      </c>
      <c r="DW1145" s="552">
        <f t="shared" si="3558"/>
        <v>0</v>
      </c>
      <c r="DX1145" s="552">
        <f t="shared" si="3558"/>
        <v>0</v>
      </c>
      <c r="DY1145" s="552">
        <f t="shared" si="3558"/>
        <v>0</v>
      </c>
      <c r="DZ1145" s="552">
        <f t="shared" si="3558"/>
        <v>0</v>
      </c>
      <c r="EA1145" s="552">
        <f t="shared" si="3558"/>
        <v>0</v>
      </c>
      <c r="EB1145" s="552">
        <f t="shared" si="3558"/>
        <v>0</v>
      </c>
      <c r="EC1145" s="552">
        <f t="shared" si="3558"/>
        <v>0</v>
      </c>
      <c r="ED1145" s="552">
        <f t="shared" si="3558"/>
        <v>0</v>
      </c>
      <c r="EE1145" s="552">
        <f t="shared" si="3558"/>
        <v>0</v>
      </c>
      <c r="EF1145" s="552">
        <f t="shared" si="3558"/>
        <v>0</v>
      </c>
      <c r="EG1145" s="552">
        <f t="shared" si="3558"/>
        <v>0</v>
      </c>
      <c r="EH1145" s="552">
        <f t="shared" ref="EH1145:EX1145" si="3559">EH187*EH$338</f>
        <v>0</v>
      </c>
      <c r="EI1145" s="552">
        <f t="shared" si="3559"/>
        <v>0</v>
      </c>
      <c r="EJ1145" s="552">
        <f t="shared" si="3559"/>
        <v>0</v>
      </c>
      <c r="EK1145" s="552">
        <f t="shared" si="3559"/>
        <v>0</v>
      </c>
      <c r="EL1145" s="552">
        <f t="shared" si="3559"/>
        <v>0</v>
      </c>
      <c r="EM1145" s="552">
        <f t="shared" si="3559"/>
        <v>0</v>
      </c>
      <c r="EN1145" s="552">
        <f t="shared" si="3559"/>
        <v>0</v>
      </c>
      <c r="EO1145" s="552">
        <f t="shared" si="3559"/>
        <v>0</v>
      </c>
      <c r="EP1145" s="552">
        <f t="shared" si="3559"/>
        <v>0</v>
      </c>
      <c r="EQ1145" s="552">
        <f t="shared" si="3559"/>
        <v>0</v>
      </c>
      <c r="ER1145" s="552">
        <f t="shared" si="3559"/>
        <v>0</v>
      </c>
      <c r="ES1145" s="552">
        <f t="shared" si="3559"/>
        <v>0</v>
      </c>
      <c r="ET1145" s="552">
        <f t="shared" si="3559"/>
        <v>0</v>
      </c>
      <c r="EU1145" s="552">
        <f t="shared" si="3559"/>
        <v>0</v>
      </c>
      <c r="EV1145" s="552">
        <f t="shared" si="3559"/>
        <v>0</v>
      </c>
      <c r="EW1145" s="552">
        <f t="shared" si="3559"/>
        <v>0</v>
      </c>
      <c r="EX1145" s="552">
        <f t="shared" si="3559"/>
        <v>0</v>
      </c>
      <c r="EY1145" s="799">
        <f t="shared" si="3177"/>
        <v>0</v>
      </c>
      <c r="EZ1145" s="640"/>
      <c r="FA1145" s="640"/>
      <c r="FB1145" s="640"/>
      <c r="FC1145" s="640"/>
      <c r="FD1145" s="640"/>
      <c r="FE1145" s="640"/>
      <c r="FF1145" s="640"/>
      <c r="FG1145" s="640"/>
      <c r="FH1145" s="640"/>
      <c r="FI1145" s="640"/>
      <c r="FJ1145" s="640"/>
      <c r="FK1145" s="640"/>
      <c r="FL1145" s="640"/>
    </row>
    <row r="1146" spans="1:168" x14ac:dyDescent="0.25">
      <c r="A1146" s="1492"/>
      <c r="B1146" s="624">
        <f t="shared" si="3554"/>
        <v>0</v>
      </c>
      <c r="C1146" s="624">
        <f t="shared" si="3554"/>
        <v>0</v>
      </c>
      <c r="D1146" s="624">
        <f t="shared" si="3554"/>
        <v>0</v>
      </c>
      <c r="E1146" s="1158">
        <f t="shared" si="3178"/>
        <v>0</v>
      </c>
      <c r="F1146" s="1158"/>
      <c r="G1146" s="1140"/>
      <c r="H1146" s="1140"/>
      <c r="I1146" s="552"/>
      <c r="J1146" s="552">
        <f t="shared" ref="J1146:AO1146" si="3560">J188*J$338</f>
        <v>0</v>
      </c>
      <c r="K1146" s="552">
        <f t="shared" si="3560"/>
        <v>0</v>
      </c>
      <c r="L1146" s="552">
        <f t="shared" si="3560"/>
        <v>0</v>
      </c>
      <c r="M1146" s="552">
        <f t="shared" si="3560"/>
        <v>0</v>
      </c>
      <c r="N1146" s="552">
        <f t="shared" si="3560"/>
        <v>0</v>
      </c>
      <c r="O1146" s="552">
        <f t="shared" si="3560"/>
        <v>0</v>
      </c>
      <c r="P1146" s="552">
        <f t="shared" si="3560"/>
        <v>0</v>
      </c>
      <c r="Q1146" s="552">
        <f t="shared" si="3560"/>
        <v>0</v>
      </c>
      <c r="R1146" s="552">
        <f t="shared" si="3560"/>
        <v>0</v>
      </c>
      <c r="S1146" s="552">
        <f t="shared" si="3560"/>
        <v>0</v>
      </c>
      <c r="T1146" s="552">
        <f t="shared" si="3560"/>
        <v>0</v>
      </c>
      <c r="U1146" s="552">
        <f t="shared" si="3560"/>
        <v>0</v>
      </c>
      <c r="V1146" s="552">
        <f t="shared" si="3560"/>
        <v>0</v>
      </c>
      <c r="W1146" s="552">
        <f t="shared" si="3560"/>
        <v>0</v>
      </c>
      <c r="X1146" s="552">
        <f t="shared" si="3560"/>
        <v>0</v>
      </c>
      <c r="Y1146" s="552">
        <f t="shared" si="3560"/>
        <v>0</v>
      </c>
      <c r="Z1146" s="552">
        <f t="shared" si="3560"/>
        <v>0</v>
      </c>
      <c r="AA1146" s="552">
        <f t="shared" si="3560"/>
        <v>0</v>
      </c>
      <c r="AB1146" s="552">
        <f t="shared" si="3560"/>
        <v>0</v>
      </c>
      <c r="AC1146" s="552">
        <f t="shared" si="3560"/>
        <v>0</v>
      </c>
      <c r="AD1146" s="552">
        <f t="shared" si="3560"/>
        <v>0</v>
      </c>
      <c r="AE1146" s="552">
        <f t="shared" si="3560"/>
        <v>0</v>
      </c>
      <c r="AF1146" s="552">
        <f t="shared" si="3560"/>
        <v>0</v>
      </c>
      <c r="AG1146" s="552">
        <f t="shared" si="3560"/>
        <v>0</v>
      </c>
      <c r="AH1146" s="552">
        <f t="shared" si="3560"/>
        <v>0</v>
      </c>
      <c r="AI1146" s="552">
        <f t="shared" si="3560"/>
        <v>0</v>
      </c>
      <c r="AJ1146" s="552">
        <f t="shared" si="3560"/>
        <v>0</v>
      </c>
      <c r="AK1146" s="552">
        <f t="shared" si="3560"/>
        <v>0</v>
      </c>
      <c r="AL1146" s="552">
        <f t="shared" si="3560"/>
        <v>0</v>
      </c>
      <c r="AM1146" s="552">
        <f t="shared" si="3560"/>
        <v>0</v>
      </c>
      <c r="AN1146" s="552">
        <f t="shared" si="3560"/>
        <v>0</v>
      </c>
      <c r="AO1146" s="552">
        <f t="shared" si="3560"/>
        <v>0</v>
      </c>
      <c r="AP1146" s="552">
        <f t="shared" ref="AP1146:BU1146" si="3561">AP188*AP$338</f>
        <v>0</v>
      </c>
      <c r="AQ1146" s="552">
        <f t="shared" si="3561"/>
        <v>0</v>
      </c>
      <c r="AR1146" s="552">
        <f t="shared" si="3561"/>
        <v>0</v>
      </c>
      <c r="AS1146" s="552">
        <f t="shared" si="3561"/>
        <v>0</v>
      </c>
      <c r="AT1146" s="552">
        <f t="shared" si="3561"/>
        <v>0</v>
      </c>
      <c r="AU1146" s="552">
        <f t="shared" si="3561"/>
        <v>0</v>
      </c>
      <c r="AV1146" s="552">
        <f t="shared" si="3561"/>
        <v>0</v>
      </c>
      <c r="AW1146" s="552">
        <f t="shared" si="3561"/>
        <v>0</v>
      </c>
      <c r="AX1146" s="552">
        <f t="shared" si="3561"/>
        <v>0</v>
      </c>
      <c r="AY1146" s="552">
        <f t="shared" si="3561"/>
        <v>0</v>
      </c>
      <c r="AZ1146" s="552">
        <f t="shared" si="3561"/>
        <v>0</v>
      </c>
      <c r="BA1146" s="552">
        <f t="shared" si="3561"/>
        <v>0</v>
      </c>
      <c r="BB1146" s="552">
        <f t="shared" si="3561"/>
        <v>0</v>
      </c>
      <c r="BC1146" s="552">
        <f t="shared" si="3561"/>
        <v>0</v>
      </c>
      <c r="BD1146" s="552">
        <f t="shared" si="3561"/>
        <v>0</v>
      </c>
      <c r="BE1146" s="552">
        <f t="shared" si="3561"/>
        <v>0</v>
      </c>
      <c r="BF1146" s="552">
        <f t="shared" si="3561"/>
        <v>0</v>
      </c>
      <c r="BG1146" s="552">
        <f t="shared" si="3561"/>
        <v>0</v>
      </c>
      <c r="BH1146" s="552">
        <f t="shared" si="3561"/>
        <v>0</v>
      </c>
      <c r="BI1146" s="552">
        <f t="shared" si="3561"/>
        <v>0</v>
      </c>
      <c r="BJ1146" s="552">
        <f t="shared" si="3561"/>
        <v>0</v>
      </c>
      <c r="BK1146" s="552">
        <f t="shared" si="3561"/>
        <v>0</v>
      </c>
      <c r="BL1146" s="552">
        <f t="shared" si="3561"/>
        <v>0</v>
      </c>
      <c r="BM1146" s="552">
        <f t="shared" si="3561"/>
        <v>0</v>
      </c>
      <c r="BN1146" s="552">
        <f t="shared" si="3561"/>
        <v>0</v>
      </c>
      <c r="BO1146" s="552">
        <f t="shared" si="3561"/>
        <v>0</v>
      </c>
      <c r="BP1146" s="552">
        <f t="shared" si="3561"/>
        <v>0</v>
      </c>
      <c r="BQ1146" s="552">
        <f t="shared" si="3561"/>
        <v>0</v>
      </c>
      <c r="BR1146" s="552">
        <f t="shared" si="3561"/>
        <v>0</v>
      </c>
      <c r="BS1146" s="552">
        <f t="shared" si="3561"/>
        <v>0</v>
      </c>
      <c r="BT1146" s="552">
        <f t="shared" si="3561"/>
        <v>0</v>
      </c>
      <c r="BU1146" s="552">
        <f t="shared" si="3561"/>
        <v>0</v>
      </c>
      <c r="BV1146" s="552">
        <f t="shared" ref="BV1146:DA1146" si="3562">BV188*BV$338</f>
        <v>0</v>
      </c>
      <c r="BW1146" s="552">
        <f t="shared" si="3562"/>
        <v>0</v>
      </c>
      <c r="BX1146" s="552">
        <f t="shared" si="3562"/>
        <v>0</v>
      </c>
      <c r="BY1146" s="552">
        <f t="shared" si="3562"/>
        <v>0</v>
      </c>
      <c r="BZ1146" s="552">
        <f t="shared" si="3562"/>
        <v>0</v>
      </c>
      <c r="CA1146" s="552">
        <f t="shared" si="3562"/>
        <v>0</v>
      </c>
      <c r="CB1146" s="552">
        <f t="shared" si="3562"/>
        <v>0</v>
      </c>
      <c r="CC1146" s="552">
        <f t="shared" si="3562"/>
        <v>0</v>
      </c>
      <c r="CD1146" s="552">
        <f t="shared" si="3562"/>
        <v>0</v>
      </c>
      <c r="CE1146" s="552">
        <f t="shared" si="3562"/>
        <v>0</v>
      </c>
      <c r="CF1146" s="552">
        <f t="shared" si="3562"/>
        <v>0</v>
      </c>
      <c r="CG1146" s="552">
        <f t="shared" si="3562"/>
        <v>0</v>
      </c>
      <c r="CH1146" s="552">
        <f t="shared" si="3562"/>
        <v>0</v>
      </c>
      <c r="CI1146" s="552">
        <f t="shared" si="3562"/>
        <v>0</v>
      </c>
      <c r="CJ1146" s="552">
        <f t="shared" si="3562"/>
        <v>0</v>
      </c>
      <c r="CK1146" s="552">
        <f t="shared" si="3562"/>
        <v>0</v>
      </c>
      <c r="CL1146" s="552">
        <f t="shared" si="3562"/>
        <v>0</v>
      </c>
      <c r="CM1146" s="552">
        <f t="shared" si="3562"/>
        <v>0</v>
      </c>
      <c r="CN1146" s="552">
        <f t="shared" si="3562"/>
        <v>0</v>
      </c>
      <c r="CO1146" s="552">
        <f t="shared" si="3562"/>
        <v>0</v>
      </c>
      <c r="CP1146" s="552">
        <f t="shared" si="3562"/>
        <v>0</v>
      </c>
      <c r="CQ1146" s="552">
        <f t="shared" si="3562"/>
        <v>0</v>
      </c>
      <c r="CR1146" s="552">
        <f t="shared" si="3562"/>
        <v>0</v>
      </c>
      <c r="CS1146" s="552">
        <f t="shared" si="3562"/>
        <v>0</v>
      </c>
      <c r="CT1146" s="552">
        <f t="shared" si="3562"/>
        <v>0</v>
      </c>
      <c r="CU1146" s="552">
        <f t="shared" si="3562"/>
        <v>0</v>
      </c>
      <c r="CV1146" s="552">
        <f t="shared" si="3562"/>
        <v>0</v>
      </c>
      <c r="CW1146" s="552">
        <f t="shared" si="3562"/>
        <v>0</v>
      </c>
      <c r="CX1146" s="552">
        <f t="shared" si="3562"/>
        <v>0</v>
      </c>
      <c r="CY1146" s="552">
        <f t="shared" si="3562"/>
        <v>0</v>
      </c>
      <c r="CZ1146" s="552">
        <f t="shared" si="3562"/>
        <v>0</v>
      </c>
      <c r="DA1146" s="552">
        <f t="shared" si="3562"/>
        <v>0</v>
      </c>
      <c r="DB1146" s="552">
        <f t="shared" ref="DB1146:EG1146" si="3563">DB188*DB$338</f>
        <v>0</v>
      </c>
      <c r="DC1146" s="552">
        <f t="shared" si="3563"/>
        <v>0</v>
      </c>
      <c r="DD1146" s="552">
        <f t="shared" si="3563"/>
        <v>0</v>
      </c>
      <c r="DE1146" s="552">
        <f t="shared" si="3563"/>
        <v>0</v>
      </c>
      <c r="DF1146" s="552">
        <f t="shared" si="3563"/>
        <v>0</v>
      </c>
      <c r="DG1146" s="552">
        <f t="shared" si="3563"/>
        <v>0</v>
      </c>
      <c r="DH1146" s="552">
        <f t="shared" si="3563"/>
        <v>0</v>
      </c>
      <c r="DI1146" s="552">
        <f t="shared" si="3563"/>
        <v>0</v>
      </c>
      <c r="DJ1146" s="552">
        <f t="shared" si="3563"/>
        <v>0</v>
      </c>
      <c r="DK1146" s="552">
        <f t="shared" si="3563"/>
        <v>0</v>
      </c>
      <c r="DL1146" s="552">
        <f t="shared" si="3563"/>
        <v>0</v>
      </c>
      <c r="DM1146" s="552">
        <f t="shared" si="3563"/>
        <v>0</v>
      </c>
      <c r="DN1146" s="552">
        <f t="shared" si="3563"/>
        <v>0</v>
      </c>
      <c r="DO1146" s="552">
        <f t="shared" si="3563"/>
        <v>0</v>
      </c>
      <c r="DP1146" s="552">
        <f t="shared" si="3563"/>
        <v>0</v>
      </c>
      <c r="DQ1146" s="552">
        <f t="shared" si="3563"/>
        <v>0</v>
      </c>
      <c r="DR1146" s="552">
        <f t="shared" si="3563"/>
        <v>0</v>
      </c>
      <c r="DS1146" s="552">
        <f t="shared" si="3563"/>
        <v>0</v>
      </c>
      <c r="DT1146" s="552">
        <f t="shared" si="3563"/>
        <v>0</v>
      </c>
      <c r="DU1146" s="552">
        <f t="shared" si="3563"/>
        <v>0</v>
      </c>
      <c r="DV1146" s="552">
        <f t="shared" si="3563"/>
        <v>0</v>
      </c>
      <c r="DW1146" s="552">
        <f t="shared" si="3563"/>
        <v>0</v>
      </c>
      <c r="DX1146" s="552">
        <f t="shared" si="3563"/>
        <v>0</v>
      </c>
      <c r="DY1146" s="552">
        <f t="shared" si="3563"/>
        <v>0</v>
      </c>
      <c r="DZ1146" s="552">
        <f t="shared" si="3563"/>
        <v>0</v>
      </c>
      <c r="EA1146" s="552">
        <f t="shared" si="3563"/>
        <v>0</v>
      </c>
      <c r="EB1146" s="552">
        <f t="shared" si="3563"/>
        <v>0</v>
      </c>
      <c r="EC1146" s="552">
        <f t="shared" si="3563"/>
        <v>0</v>
      </c>
      <c r="ED1146" s="552">
        <f t="shared" si="3563"/>
        <v>0</v>
      </c>
      <c r="EE1146" s="552">
        <f t="shared" si="3563"/>
        <v>0</v>
      </c>
      <c r="EF1146" s="552">
        <f t="shared" si="3563"/>
        <v>0</v>
      </c>
      <c r="EG1146" s="552">
        <f t="shared" si="3563"/>
        <v>0</v>
      </c>
      <c r="EH1146" s="552">
        <f t="shared" ref="EH1146:EX1146" si="3564">EH188*EH$338</f>
        <v>0</v>
      </c>
      <c r="EI1146" s="552">
        <f t="shared" si="3564"/>
        <v>0</v>
      </c>
      <c r="EJ1146" s="552">
        <f t="shared" si="3564"/>
        <v>0</v>
      </c>
      <c r="EK1146" s="552">
        <f t="shared" si="3564"/>
        <v>0</v>
      </c>
      <c r="EL1146" s="552">
        <f t="shared" si="3564"/>
        <v>0</v>
      </c>
      <c r="EM1146" s="552">
        <f t="shared" si="3564"/>
        <v>0</v>
      </c>
      <c r="EN1146" s="552">
        <f t="shared" si="3564"/>
        <v>0</v>
      </c>
      <c r="EO1146" s="552">
        <f t="shared" si="3564"/>
        <v>0</v>
      </c>
      <c r="EP1146" s="552">
        <f t="shared" si="3564"/>
        <v>0</v>
      </c>
      <c r="EQ1146" s="552">
        <f t="shared" si="3564"/>
        <v>0</v>
      </c>
      <c r="ER1146" s="552">
        <f t="shared" si="3564"/>
        <v>0</v>
      </c>
      <c r="ES1146" s="552">
        <f t="shared" si="3564"/>
        <v>0</v>
      </c>
      <c r="ET1146" s="552">
        <f t="shared" si="3564"/>
        <v>0</v>
      </c>
      <c r="EU1146" s="552">
        <f t="shared" si="3564"/>
        <v>0</v>
      </c>
      <c r="EV1146" s="552">
        <f t="shared" si="3564"/>
        <v>0</v>
      </c>
      <c r="EW1146" s="552">
        <f t="shared" si="3564"/>
        <v>0</v>
      </c>
      <c r="EX1146" s="552">
        <f t="shared" si="3564"/>
        <v>0</v>
      </c>
      <c r="EY1146" s="799">
        <f t="shared" si="3177"/>
        <v>0</v>
      </c>
      <c r="EZ1146" s="640"/>
      <c r="FA1146" s="640"/>
      <c r="FB1146" s="640"/>
      <c r="FC1146" s="640"/>
      <c r="FD1146" s="640"/>
      <c r="FE1146" s="640"/>
      <c r="FF1146" s="640"/>
      <c r="FG1146" s="640"/>
      <c r="FH1146" s="640"/>
      <c r="FI1146" s="640"/>
      <c r="FJ1146" s="640"/>
      <c r="FK1146" s="640"/>
      <c r="FL1146" s="640"/>
    </row>
    <row r="1147" spans="1:168" x14ac:dyDescent="0.25">
      <c r="A1147" s="1492"/>
      <c r="B1147" s="624">
        <f t="shared" si="3554"/>
        <v>0</v>
      </c>
      <c r="C1147" s="624">
        <f t="shared" si="3554"/>
        <v>0</v>
      </c>
      <c r="D1147" s="624">
        <f t="shared" si="3554"/>
        <v>0</v>
      </c>
      <c r="E1147" s="1158">
        <f t="shared" si="3178"/>
        <v>0</v>
      </c>
      <c r="F1147" s="1158"/>
      <c r="G1147" s="1140"/>
      <c r="H1147" s="1140"/>
      <c r="I1147" s="552"/>
      <c r="J1147" s="552">
        <f t="shared" ref="J1147:AO1147" si="3565">J189*J$338</f>
        <v>0</v>
      </c>
      <c r="K1147" s="552">
        <f t="shared" si="3565"/>
        <v>0</v>
      </c>
      <c r="L1147" s="552">
        <f t="shared" si="3565"/>
        <v>0</v>
      </c>
      <c r="M1147" s="552">
        <f t="shared" si="3565"/>
        <v>0</v>
      </c>
      <c r="N1147" s="552">
        <f t="shared" si="3565"/>
        <v>0</v>
      </c>
      <c r="O1147" s="552">
        <f t="shared" si="3565"/>
        <v>0</v>
      </c>
      <c r="P1147" s="552">
        <f t="shared" si="3565"/>
        <v>0</v>
      </c>
      <c r="Q1147" s="552">
        <f t="shared" si="3565"/>
        <v>0</v>
      </c>
      <c r="R1147" s="552">
        <f t="shared" si="3565"/>
        <v>0</v>
      </c>
      <c r="S1147" s="552">
        <f t="shared" si="3565"/>
        <v>0</v>
      </c>
      <c r="T1147" s="552">
        <f t="shared" si="3565"/>
        <v>0</v>
      </c>
      <c r="U1147" s="552">
        <f t="shared" si="3565"/>
        <v>0</v>
      </c>
      <c r="V1147" s="552">
        <f t="shared" si="3565"/>
        <v>0</v>
      </c>
      <c r="W1147" s="552">
        <f t="shared" si="3565"/>
        <v>0</v>
      </c>
      <c r="X1147" s="552">
        <f t="shared" si="3565"/>
        <v>0</v>
      </c>
      <c r="Y1147" s="552">
        <f t="shared" si="3565"/>
        <v>0</v>
      </c>
      <c r="Z1147" s="552">
        <f t="shared" si="3565"/>
        <v>0</v>
      </c>
      <c r="AA1147" s="552">
        <f t="shared" si="3565"/>
        <v>0</v>
      </c>
      <c r="AB1147" s="552">
        <f t="shared" si="3565"/>
        <v>0</v>
      </c>
      <c r="AC1147" s="552">
        <f t="shared" si="3565"/>
        <v>0</v>
      </c>
      <c r="AD1147" s="552">
        <f t="shared" si="3565"/>
        <v>0</v>
      </c>
      <c r="AE1147" s="552">
        <f t="shared" si="3565"/>
        <v>0</v>
      </c>
      <c r="AF1147" s="552">
        <f t="shared" si="3565"/>
        <v>0</v>
      </c>
      <c r="AG1147" s="552">
        <f t="shared" si="3565"/>
        <v>0</v>
      </c>
      <c r="AH1147" s="552">
        <f t="shared" si="3565"/>
        <v>0</v>
      </c>
      <c r="AI1147" s="552">
        <f t="shared" si="3565"/>
        <v>0</v>
      </c>
      <c r="AJ1147" s="552">
        <f t="shared" si="3565"/>
        <v>0</v>
      </c>
      <c r="AK1147" s="552">
        <f t="shared" si="3565"/>
        <v>0</v>
      </c>
      <c r="AL1147" s="552">
        <f t="shared" si="3565"/>
        <v>0</v>
      </c>
      <c r="AM1147" s="552">
        <f t="shared" si="3565"/>
        <v>0</v>
      </c>
      <c r="AN1147" s="552">
        <f t="shared" si="3565"/>
        <v>0</v>
      </c>
      <c r="AO1147" s="552">
        <f t="shared" si="3565"/>
        <v>0</v>
      </c>
      <c r="AP1147" s="552">
        <f t="shared" ref="AP1147:BU1147" si="3566">AP189*AP$338</f>
        <v>0</v>
      </c>
      <c r="AQ1147" s="552">
        <f t="shared" si="3566"/>
        <v>0</v>
      </c>
      <c r="AR1147" s="552">
        <f t="shared" si="3566"/>
        <v>0</v>
      </c>
      <c r="AS1147" s="552">
        <f t="shared" si="3566"/>
        <v>0</v>
      </c>
      <c r="AT1147" s="552">
        <f t="shared" si="3566"/>
        <v>0</v>
      </c>
      <c r="AU1147" s="552">
        <f t="shared" si="3566"/>
        <v>0</v>
      </c>
      <c r="AV1147" s="552">
        <f t="shared" si="3566"/>
        <v>0</v>
      </c>
      <c r="AW1147" s="552">
        <f t="shared" si="3566"/>
        <v>0</v>
      </c>
      <c r="AX1147" s="552">
        <f t="shared" si="3566"/>
        <v>0</v>
      </c>
      <c r="AY1147" s="552">
        <f t="shared" si="3566"/>
        <v>0</v>
      </c>
      <c r="AZ1147" s="552">
        <f t="shared" si="3566"/>
        <v>0</v>
      </c>
      <c r="BA1147" s="552">
        <f t="shared" si="3566"/>
        <v>0</v>
      </c>
      <c r="BB1147" s="552">
        <f t="shared" si="3566"/>
        <v>0</v>
      </c>
      <c r="BC1147" s="552">
        <f t="shared" si="3566"/>
        <v>0</v>
      </c>
      <c r="BD1147" s="552">
        <f t="shared" si="3566"/>
        <v>0</v>
      </c>
      <c r="BE1147" s="552">
        <f t="shared" si="3566"/>
        <v>0</v>
      </c>
      <c r="BF1147" s="552">
        <f t="shared" si="3566"/>
        <v>0</v>
      </c>
      <c r="BG1147" s="552">
        <f t="shared" si="3566"/>
        <v>0</v>
      </c>
      <c r="BH1147" s="552">
        <f t="shared" si="3566"/>
        <v>0</v>
      </c>
      <c r="BI1147" s="552">
        <f t="shared" si="3566"/>
        <v>0</v>
      </c>
      <c r="BJ1147" s="552">
        <f t="shared" si="3566"/>
        <v>0</v>
      </c>
      <c r="BK1147" s="552">
        <f t="shared" si="3566"/>
        <v>0</v>
      </c>
      <c r="BL1147" s="552">
        <f t="shared" si="3566"/>
        <v>0</v>
      </c>
      <c r="BM1147" s="552">
        <f t="shared" si="3566"/>
        <v>0</v>
      </c>
      <c r="BN1147" s="552">
        <f t="shared" si="3566"/>
        <v>0</v>
      </c>
      <c r="BO1147" s="552">
        <f t="shared" si="3566"/>
        <v>0</v>
      </c>
      <c r="BP1147" s="552">
        <f t="shared" si="3566"/>
        <v>0</v>
      </c>
      <c r="BQ1147" s="552">
        <f t="shared" si="3566"/>
        <v>0</v>
      </c>
      <c r="BR1147" s="552">
        <f t="shared" si="3566"/>
        <v>0</v>
      </c>
      <c r="BS1147" s="552">
        <f t="shared" si="3566"/>
        <v>0</v>
      </c>
      <c r="BT1147" s="552">
        <f t="shared" si="3566"/>
        <v>0</v>
      </c>
      <c r="BU1147" s="552">
        <f t="shared" si="3566"/>
        <v>0</v>
      </c>
      <c r="BV1147" s="552">
        <f t="shared" ref="BV1147:DA1147" si="3567">BV189*BV$338</f>
        <v>0</v>
      </c>
      <c r="BW1147" s="552">
        <f t="shared" si="3567"/>
        <v>0</v>
      </c>
      <c r="BX1147" s="552">
        <f t="shared" si="3567"/>
        <v>0</v>
      </c>
      <c r="BY1147" s="552">
        <f t="shared" si="3567"/>
        <v>0</v>
      </c>
      <c r="BZ1147" s="552">
        <f t="shared" si="3567"/>
        <v>0</v>
      </c>
      <c r="CA1147" s="552">
        <f t="shared" si="3567"/>
        <v>0</v>
      </c>
      <c r="CB1147" s="552">
        <f t="shared" si="3567"/>
        <v>0</v>
      </c>
      <c r="CC1147" s="552">
        <f t="shared" si="3567"/>
        <v>0</v>
      </c>
      <c r="CD1147" s="552">
        <f t="shared" si="3567"/>
        <v>0</v>
      </c>
      <c r="CE1147" s="552">
        <f t="shared" si="3567"/>
        <v>0</v>
      </c>
      <c r="CF1147" s="552">
        <f t="shared" si="3567"/>
        <v>0</v>
      </c>
      <c r="CG1147" s="552">
        <f t="shared" si="3567"/>
        <v>0</v>
      </c>
      <c r="CH1147" s="552">
        <f t="shared" si="3567"/>
        <v>0</v>
      </c>
      <c r="CI1147" s="552">
        <f t="shared" si="3567"/>
        <v>0</v>
      </c>
      <c r="CJ1147" s="552">
        <f t="shared" si="3567"/>
        <v>0</v>
      </c>
      <c r="CK1147" s="552">
        <f t="shared" si="3567"/>
        <v>0</v>
      </c>
      <c r="CL1147" s="552">
        <f t="shared" si="3567"/>
        <v>0</v>
      </c>
      <c r="CM1147" s="552">
        <f t="shared" si="3567"/>
        <v>0</v>
      </c>
      <c r="CN1147" s="552">
        <f t="shared" si="3567"/>
        <v>0</v>
      </c>
      <c r="CO1147" s="552">
        <f t="shared" si="3567"/>
        <v>0</v>
      </c>
      <c r="CP1147" s="552">
        <f t="shared" si="3567"/>
        <v>0</v>
      </c>
      <c r="CQ1147" s="552">
        <f t="shared" si="3567"/>
        <v>0</v>
      </c>
      <c r="CR1147" s="552">
        <f t="shared" si="3567"/>
        <v>0</v>
      </c>
      <c r="CS1147" s="552">
        <f t="shared" si="3567"/>
        <v>0</v>
      </c>
      <c r="CT1147" s="552">
        <f t="shared" si="3567"/>
        <v>0</v>
      </c>
      <c r="CU1147" s="552">
        <f t="shared" si="3567"/>
        <v>0</v>
      </c>
      <c r="CV1147" s="552">
        <f t="shared" si="3567"/>
        <v>0</v>
      </c>
      <c r="CW1147" s="552">
        <f t="shared" si="3567"/>
        <v>0</v>
      </c>
      <c r="CX1147" s="552">
        <f t="shared" si="3567"/>
        <v>0</v>
      </c>
      <c r="CY1147" s="552">
        <f t="shared" si="3567"/>
        <v>0</v>
      </c>
      <c r="CZ1147" s="552">
        <f t="shared" si="3567"/>
        <v>0</v>
      </c>
      <c r="DA1147" s="552">
        <f t="shared" si="3567"/>
        <v>0</v>
      </c>
      <c r="DB1147" s="552">
        <f t="shared" ref="DB1147:EG1147" si="3568">DB189*DB$338</f>
        <v>0</v>
      </c>
      <c r="DC1147" s="552">
        <f t="shared" si="3568"/>
        <v>0</v>
      </c>
      <c r="DD1147" s="552">
        <f t="shared" si="3568"/>
        <v>0</v>
      </c>
      <c r="DE1147" s="552">
        <f t="shared" si="3568"/>
        <v>0</v>
      </c>
      <c r="DF1147" s="552">
        <f t="shared" si="3568"/>
        <v>0</v>
      </c>
      <c r="DG1147" s="552">
        <f t="shared" si="3568"/>
        <v>0</v>
      </c>
      <c r="DH1147" s="552">
        <f t="shared" si="3568"/>
        <v>0</v>
      </c>
      <c r="DI1147" s="552">
        <f t="shared" si="3568"/>
        <v>0</v>
      </c>
      <c r="DJ1147" s="552">
        <f t="shared" si="3568"/>
        <v>0</v>
      </c>
      <c r="DK1147" s="552">
        <f t="shared" si="3568"/>
        <v>0</v>
      </c>
      <c r="DL1147" s="552">
        <f t="shared" si="3568"/>
        <v>0</v>
      </c>
      <c r="DM1147" s="552">
        <f t="shared" si="3568"/>
        <v>0</v>
      </c>
      <c r="DN1147" s="552">
        <f t="shared" si="3568"/>
        <v>0</v>
      </c>
      <c r="DO1147" s="552">
        <f t="shared" si="3568"/>
        <v>0</v>
      </c>
      <c r="DP1147" s="552">
        <f t="shared" si="3568"/>
        <v>0</v>
      </c>
      <c r="DQ1147" s="552">
        <f t="shared" si="3568"/>
        <v>0</v>
      </c>
      <c r="DR1147" s="552">
        <f t="shared" si="3568"/>
        <v>0</v>
      </c>
      <c r="DS1147" s="552">
        <f t="shared" si="3568"/>
        <v>0</v>
      </c>
      <c r="DT1147" s="552">
        <f t="shared" si="3568"/>
        <v>0</v>
      </c>
      <c r="DU1147" s="552">
        <f t="shared" si="3568"/>
        <v>0</v>
      </c>
      <c r="DV1147" s="552">
        <f t="shared" si="3568"/>
        <v>0</v>
      </c>
      <c r="DW1147" s="552">
        <f t="shared" si="3568"/>
        <v>0</v>
      </c>
      <c r="DX1147" s="552">
        <f t="shared" si="3568"/>
        <v>0</v>
      </c>
      <c r="DY1147" s="552">
        <f t="shared" si="3568"/>
        <v>0</v>
      </c>
      <c r="DZ1147" s="552">
        <f t="shared" si="3568"/>
        <v>0</v>
      </c>
      <c r="EA1147" s="552">
        <f t="shared" si="3568"/>
        <v>0</v>
      </c>
      <c r="EB1147" s="552">
        <f t="shared" si="3568"/>
        <v>0</v>
      </c>
      <c r="EC1147" s="552">
        <f t="shared" si="3568"/>
        <v>0</v>
      </c>
      <c r="ED1147" s="552">
        <f t="shared" si="3568"/>
        <v>0</v>
      </c>
      <c r="EE1147" s="552">
        <f t="shared" si="3568"/>
        <v>0</v>
      </c>
      <c r="EF1147" s="552">
        <f t="shared" si="3568"/>
        <v>0</v>
      </c>
      <c r="EG1147" s="552">
        <f t="shared" si="3568"/>
        <v>0</v>
      </c>
      <c r="EH1147" s="552">
        <f t="shared" ref="EH1147:EX1147" si="3569">EH189*EH$338</f>
        <v>0</v>
      </c>
      <c r="EI1147" s="552">
        <f t="shared" si="3569"/>
        <v>0</v>
      </c>
      <c r="EJ1147" s="552">
        <f t="shared" si="3569"/>
        <v>0</v>
      </c>
      <c r="EK1147" s="552">
        <f t="shared" si="3569"/>
        <v>0</v>
      </c>
      <c r="EL1147" s="552">
        <f t="shared" si="3569"/>
        <v>0</v>
      </c>
      <c r="EM1147" s="552">
        <f t="shared" si="3569"/>
        <v>0</v>
      </c>
      <c r="EN1147" s="552">
        <f t="shared" si="3569"/>
        <v>0</v>
      </c>
      <c r="EO1147" s="552">
        <f t="shared" si="3569"/>
        <v>0</v>
      </c>
      <c r="EP1147" s="552">
        <f t="shared" si="3569"/>
        <v>0</v>
      </c>
      <c r="EQ1147" s="552">
        <f t="shared" si="3569"/>
        <v>0</v>
      </c>
      <c r="ER1147" s="552">
        <f t="shared" si="3569"/>
        <v>0</v>
      </c>
      <c r="ES1147" s="552">
        <f t="shared" si="3569"/>
        <v>0</v>
      </c>
      <c r="ET1147" s="552">
        <f t="shared" si="3569"/>
        <v>0</v>
      </c>
      <c r="EU1147" s="552">
        <f t="shared" si="3569"/>
        <v>0</v>
      </c>
      <c r="EV1147" s="552">
        <f t="shared" si="3569"/>
        <v>0</v>
      </c>
      <c r="EW1147" s="552">
        <f t="shared" si="3569"/>
        <v>0</v>
      </c>
      <c r="EX1147" s="552">
        <f t="shared" si="3569"/>
        <v>0</v>
      </c>
      <c r="EY1147" s="799">
        <f t="shared" si="3177"/>
        <v>0</v>
      </c>
      <c r="EZ1147" s="640"/>
      <c r="FA1147" s="640"/>
      <c r="FB1147" s="640"/>
      <c r="FC1147" s="640"/>
      <c r="FD1147" s="640"/>
      <c r="FE1147" s="640"/>
      <c r="FF1147" s="640"/>
      <c r="FG1147" s="640"/>
      <c r="FH1147" s="640"/>
      <c r="FI1147" s="640"/>
      <c r="FJ1147" s="640"/>
      <c r="FK1147" s="640"/>
      <c r="FL1147" s="640"/>
    </row>
    <row r="1148" spans="1:168" x14ac:dyDescent="0.25">
      <c r="A1148" s="1492"/>
      <c r="B1148" s="624">
        <f t="shared" si="3554"/>
        <v>0</v>
      </c>
      <c r="C1148" s="624">
        <f t="shared" si="3554"/>
        <v>0</v>
      </c>
      <c r="D1148" s="624">
        <f t="shared" si="3554"/>
        <v>0</v>
      </c>
      <c r="E1148" s="1158">
        <f t="shared" si="3178"/>
        <v>0</v>
      </c>
      <c r="F1148" s="1158"/>
      <c r="G1148" s="1140"/>
      <c r="H1148" s="1140"/>
      <c r="I1148" s="552"/>
      <c r="J1148" s="552">
        <f t="shared" ref="J1148:AO1148" si="3570">J190*J$338</f>
        <v>0</v>
      </c>
      <c r="K1148" s="552">
        <f t="shared" si="3570"/>
        <v>0</v>
      </c>
      <c r="L1148" s="552">
        <f t="shared" si="3570"/>
        <v>0</v>
      </c>
      <c r="M1148" s="552">
        <f t="shared" si="3570"/>
        <v>0</v>
      </c>
      <c r="N1148" s="552">
        <f t="shared" si="3570"/>
        <v>0</v>
      </c>
      <c r="O1148" s="552">
        <f t="shared" si="3570"/>
        <v>0</v>
      </c>
      <c r="P1148" s="552">
        <f t="shared" si="3570"/>
        <v>0</v>
      </c>
      <c r="Q1148" s="552">
        <f t="shared" si="3570"/>
        <v>0</v>
      </c>
      <c r="R1148" s="552">
        <f t="shared" si="3570"/>
        <v>0</v>
      </c>
      <c r="S1148" s="552">
        <f t="shared" si="3570"/>
        <v>0</v>
      </c>
      <c r="T1148" s="552">
        <f t="shared" si="3570"/>
        <v>0</v>
      </c>
      <c r="U1148" s="552">
        <f t="shared" si="3570"/>
        <v>0</v>
      </c>
      <c r="V1148" s="552">
        <f t="shared" si="3570"/>
        <v>0</v>
      </c>
      <c r="W1148" s="552">
        <f t="shared" si="3570"/>
        <v>0</v>
      </c>
      <c r="X1148" s="552">
        <f t="shared" si="3570"/>
        <v>0</v>
      </c>
      <c r="Y1148" s="552">
        <f t="shared" si="3570"/>
        <v>0</v>
      </c>
      <c r="Z1148" s="552">
        <f t="shared" si="3570"/>
        <v>0</v>
      </c>
      <c r="AA1148" s="552">
        <f t="shared" si="3570"/>
        <v>0</v>
      </c>
      <c r="AB1148" s="552">
        <f t="shared" si="3570"/>
        <v>0</v>
      </c>
      <c r="AC1148" s="552">
        <f t="shared" si="3570"/>
        <v>0</v>
      </c>
      <c r="AD1148" s="552">
        <f t="shared" si="3570"/>
        <v>0</v>
      </c>
      <c r="AE1148" s="552">
        <f t="shared" si="3570"/>
        <v>0</v>
      </c>
      <c r="AF1148" s="552">
        <f t="shared" si="3570"/>
        <v>0</v>
      </c>
      <c r="AG1148" s="552">
        <f t="shared" si="3570"/>
        <v>0</v>
      </c>
      <c r="AH1148" s="552">
        <f t="shared" si="3570"/>
        <v>0</v>
      </c>
      <c r="AI1148" s="552">
        <f t="shared" si="3570"/>
        <v>0</v>
      </c>
      <c r="AJ1148" s="552">
        <f t="shared" si="3570"/>
        <v>0</v>
      </c>
      <c r="AK1148" s="552">
        <f t="shared" si="3570"/>
        <v>0</v>
      </c>
      <c r="AL1148" s="552">
        <f t="shared" si="3570"/>
        <v>0</v>
      </c>
      <c r="AM1148" s="552">
        <f t="shared" si="3570"/>
        <v>0</v>
      </c>
      <c r="AN1148" s="552">
        <f t="shared" si="3570"/>
        <v>0</v>
      </c>
      <c r="AO1148" s="552">
        <f t="shared" si="3570"/>
        <v>0</v>
      </c>
      <c r="AP1148" s="552">
        <f t="shared" ref="AP1148:BU1148" si="3571">AP190*AP$338</f>
        <v>0</v>
      </c>
      <c r="AQ1148" s="552">
        <f t="shared" si="3571"/>
        <v>0</v>
      </c>
      <c r="AR1148" s="552">
        <f t="shared" si="3571"/>
        <v>0</v>
      </c>
      <c r="AS1148" s="552">
        <f t="shared" si="3571"/>
        <v>0</v>
      </c>
      <c r="AT1148" s="552">
        <f t="shared" si="3571"/>
        <v>0</v>
      </c>
      <c r="AU1148" s="552">
        <f t="shared" si="3571"/>
        <v>0</v>
      </c>
      <c r="AV1148" s="552">
        <f t="shared" si="3571"/>
        <v>0</v>
      </c>
      <c r="AW1148" s="552">
        <f t="shared" si="3571"/>
        <v>0</v>
      </c>
      <c r="AX1148" s="552">
        <f t="shared" si="3571"/>
        <v>0</v>
      </c>
      <c r="AY1148" s="552">
        <f t="shared" si="3571"/>
        <v>0</v>
      </c>
      <c r="AZ1148" s="552">
        <f t="shared" si="3571"/>
        <v>0</v>
      </c>
      <c r="BA1148" s="552">
        <f t="shared" si="3571"/>
        <v>0</v>
      </c>
      <c r="BB1148" s="552">
        <f t="shared" si="3571"/>
        <v>0</v>
      </c>
      <c r="BC1148" s="552">
        <f t="shared" si="3571"/>
        <v>0</v>
      </c>
      <c r="BD1148" s="552">
        <f t="shared" si="3571"/>
        <v>0</v>
      </c>
      <c r="BE1148" s="552">
        <f t="shared" si="3571"/>
        <v>0</v>
      </c>
      <c r="BF1148" s="552">
        <f t="shared" si="3571"/>
        <v>0</v>
      </c>
      <c r="BG1148" s="552">
        <f t="shared" si="3571"/>
        <v>0</v>
      </c>
      <c r="BH1148" s="552">
        <f t="shared" si="3571"/>
        <v>0</v>
      </c>
      <c r="BI1148" s="552">
        <f t="shared" si="3571"/>
        <v>0</v>
      </c>
      <c r="BJ1148" s="552">
        <f t="shared" si="3571"/>
        <v>0</v>
      </c>
      <c r="BK1148" s="552">
        <f t="shared" si="3571"/>
        <v>0</v>
      </c>
      <c r="BL1148" s="552">
        <f t="shared" si="3571"/>
        <v>0</v>
      </c>
      <c r="BM1148" s="552">
        <f t="shared" si="3571"/>
        <v>0</v>
      </c>
      <c r="BN1148" s="552">
        <f t="shared" si="3571"/>
        <v>0</v>
      </c>
      <c r="BO1148" s="552">
        <f t="shared" si="3571"/>
        <v>0</v>
      </c>
      <c r="BP1148" s="552">
        <f t="shared" si="3571"/>
        <v>0</v>
      </c>
      <c r="BQ1148" s="552">
        <f t="shared" si="3571"/>
        <v>0</v>
      </c>
      <c r="BR1148" s="552">
        <f t="shared" si="3571"/>
        <v>0</v>
      </c>
      <c r="BS1148" s="552">
        <f t="shared" si="3571"/>
        <v>0</v>
      </c>
      <c r="BT1148" s="552">
        <f t="shared" si="3571"/>
        <v>0</v>
      </c>
      <c r="BU1148" s="552">
        <f t="shared" si="3571"/>
        <v>0</v>
      </c>
      <c r="BV1148" s="552">
        <f t="shared" ref="BV1148:DA1148" si="3572">BV190*BV$338</f>
        <v>0</v>
      </c>
      <c r="BW1148" s="552">
        <f t="shared" si="3572"/>
        <v>0</v>
      </c>
      <c r="BX1148" s="552">
        <f t="shared" si="3572"/>
        <v>0</v>
      </c>
      <c r="BY1148" s="552">
        <f t="shared" si="3572"/>
        <v>0</v>
      </c>
      <c r="BZ1148" s="552">
        <f t="shared" si="3572"/>
        <v>0</v>
      </c>
      <c r="CA1148" s="552">
        <f t="shared" si="3572"/>
        <v>0</v>
      </c>
      <c r="CB1148" s="552">
        <f t="shared" si="3572"/>
        <v>0</v>
      </c>
      <c r="CC1148" s="552">
        <f t="shared" si="3572"/>
        <v>0</v>
      </c>
      <c r="CD1148" s="552">
        <f t="shared" si="3572"/>
        <v>0</v>
      </c>
      <c r="CE1148" s="552">
        <f t="shared" si="3572"/>
        <v>0</v>
      </c>
      <c r="CF1148" s="552">
        <f t="shared" si="3572"/>
        <v>0</v>
      </c>
      <c r="CG1148" s="552">
        <f t="shared" si="3572"/>
        <v>0</v>
      </c>
      <c r="CH1148" s="552">
        <f t="shared" si="3572"/>
        <v>0</v>
      </c>
      <c r="CI1148" s="552">
        <f t="shared" si="3572"/>
        <v>0</v>
      </c>
      <c r="CJ1148" s="552">
        <f t="shared" si="3572"/>
        <v>0</v>
      </c>
      <c r="CK1148" s="552">
        <f t="shared" si="3572"/>
        <v>0</v>
      </c>
      <c r="CL1148" s="552">
        <f t="shared" si="3572"/>
        <v>0</v>
      </c>
      <c r="CM1148" s="552">
        <f t="shared" si="3572"/>
        <v>0</v>
      </c>
      <c r="CN1148" s="552">
        <f t="shared" si="3572"/>
        <v>0</v>
      </c>
      <c r="CO1148" s="552">
        <f t="shared" si="3572"/>
        <v>0</v>
      </c>
      <c r="CP1148" s="552">
        <f t="shared" si="3572"/>
        <v>0</v>
      </c>
      <c r="CQ1148" s="552">
        <f t="shared" si="3572"/>
        <v>0</v>
      </c>
      <c r="CR1148" s="552">
        <f t="shared" si="3572"/>
        <v>0</v>
      </c>
      <c r="CS1148" s="552">
        <f t="shared" si="3572"/>
        <v>0</v>
      </c>
      <c r="CT1148" s="552">
        <f t="shared" si="3572"/>
        <v>0</v>
      </c>
      <c r="CU1148" s="552">
        <f t="shared" si="3572"/>
        <v>0</v>
      </c>
      <c r="CV1148" s="552">
        <f t="shared" si="3572"/>
        <v>0</v>
      </c>
      <c r="CW1148" s="552">
        <f t="shared" si="3572"/>
        <v>0</v>
      </c>
      <c r="CX1148" s="552">
        <f t="shared" si="3572"/>
        <v>0</v>
      </c>
      <c r="CY1148" s="552">
        <f t="shared" si="3572"/>
        <v>0</v>
      </c>
      <c r="CZ1148" s="552">
        <f t="shared" si="3572"/>
        <v>0</v>
      </c>
      <c r="DA1148" s="552">
        <f t="shared" si="3572"/>
        <v>0</v>
      </c>
      <c r="DB1148" s="552">
        <f t="shared" ref="DB1148:EG1148" si="3573">DB190*DB$338</f>
        <v>0</v>
      </c>
      <c r="DC1148" s="552">
        <f t="shared" si="3573"/>
        <v>0</v>
      </c>
      <c r="DD1148" s="552">
        <f t="shared" si="3573"/>
        <v>0</v>
      </c>
      <c r="DE1148" s="552">
        <f t="shared" si="3573"/>
        <v>0</v>
      </c>
      <c r="DF1148" s="552">
        <f t="shared" si="3573"/>
        <v>0</v>
      </c>
      <c r="DG1148" s="552">
        <f t="shared" si="3573"/>
        <v>0</v>
      </c>
      <c r="DH1148" s="552">
        <f t="shared" si="3573"/>
        <v>0</v>
      </c>
      <c r="DI1148" s="552">
        <f t="shared" si="3573"/>
        <v>0</v>
      </c>
      <c r="DJ1148" s="552">
        <f t="shared" si="3573"/>
        <v>0</v>
      </c>
      <c r="DK1148" s="552">
        <f t="shared" si="3573"/>
        <v>0</v>
      </c>
      <c r="DL1148" s="552">
        <f t="shared" si="3573"/>
        <v>0</v>
      </c>
      <c r="DM1148" s="552">
        <f t="shared" si="3573"/>
        <v>0</v>
      </c>
      <c r="DN1148" s="552">
        <f t="shared" si="3573"/>
        <v>0</v>
      </c>
      <c r="DO1148" s="552">
        <f t="shared" si="3573"/>
        <v>0</v>
      </c>
      <c r="DP1148" s="552">
        <f t="shared" si="3573"/>
        <v>0</v>
      </c>
      <c r="DQ1148" s="552">
        <f t="shared" si="3573"/>
        <v>0</v>
      </c>
      <c r="DR1148" s="552">
        <f t="shared" si="3573"/>
        <v>0</v>
      </c>
      <c r="DS1148" s="552">
        <f t="shared" si="3573"/>
        <v>0</v>
      </c>
      <c r="DT1148" s="552">
        <f t="shared" si="3573"/>
        <v>0</v>
      </c>
      <c r="DU1148" s="552">
        <f t="shared" si="3573"/>
        <v>0</v>
      </c>
      <c r="DV1148" s="552">
        <f t="shared" si="3573"/>
        <v>0</v>
      </c>
      <c r="DW1148" s="552">
        <f t="shared" si="3573"/>
        <v>0</v>
      </c>
      <c r="DX1148" s="552">
        <f t="shared" si="3573"/>
        <v>0</v>
      </c>
      <c r="DY1148" s="552">
        <f t="shared" si="3573"/>
        <v>0</v>
      </c>
      <c r="DZ1148" s="552">
        <f t="shared" si="3573"/>
        <v>0</v>
      </c>
      <c r="EA1148" s="552">
        <f t="shared" si="3573"/>
        <v>0</v>
      </c>
      <c r="EB1148" s="552">
        <f t="shared" si="3573"/>
        <v>0</v>
      </c>
      <c r="EC1148" s="552">
        <f t="shared" si="3573"/>
        <v>0</v>
      </c>
      <c r="ED1148" s="552">
        <f t="shared" si="3573"/>
        <v>0</v>
      </c>
      <c r="EE1148" s="552">
        <f t="shared" si="3573"/>
        <v>0</v>
      </c>
      <c r="EF1148" s="552">
        <f t="shared" si="3573"/>
        <v>0</v>
      </c>
      <c r="EG1148" s="552">
        <f t="shared" si="3573"/>
        <v>0</v>
      </c>
      <c r="EH1148" s="552">
        <f t="shared" ref="EH1148:EX1148" si="3574">EH190*EH$338</f>
        <v>0</v>
      </c>
      <c r="EI1148" s="552">
        <f t="shared" si="3574"/>
        <v>0</v>
      </c>
      <c r="EJ1148" s="552">
        <f t="shared" si="3574"/>
        <v>0</v>
      </c>
      <c r="EK1148" s="552">
        <f t="shared" si="3574"/>
        <v>0</v>
      </c>
      <c r="EL1148" s="552">
        <f t="shared" si="3574"/>
        <v>0</v>
      </c>
      <c r="EM1148" s="552">
        <f t="shared" si="3574"/>
        <v>0</v>
      </c>
      <c r="EN1148" s="552">
        <f t="shared" si="3574"/>
        <v>0</v>
      </c>
      <c r="EO1148" s="552">
        <f t="shared" si="3574"/>
        <v>0</v>
      </c>
      <c r="EP1148" s="552">
        <f t="shared" si="3574"/>
        <v>0</v>
      </c>
      <c r="EQ1148" s="552">
        <f t="shared" si="3574"/>
        <v>0</v>
      </c>
      <c r="ER1148" s="552">
        <f t="shared" si="3574"/>
        <v>0</v>
      </c>
      <c r="ES1148" s="552">
        <f t="shared" si="3574"/>
        <v>0</v>
      </c>
      <c r="ET1148" s="552">
        <f t="shared" si="3574"/>
        <v>0</v>
      </c>
      <c r="EU1148" s="552">
        <f t="shared" si="3574"/>
        <v>0</v>
      </c>
      <c r="EV1148" s="552">
        <f t="shared" si="3574"/>
        <v>0</v>
      </c>
      <c r="EW1148" s="552">
        <f t="shared" si="3574"/>
        <v>0</v>
      </c>
      <c r="EX1148" s="552">
        <f t="shared" si="3574"/>
        <v>0</v>
      </c>
      <c r="EY1148" s="799">
        <f t="shared" si="3177"/>
        <v>0</v>
      </c>
      <c r="EZ1148" s="640"/>
      <c r="FA1148" s="640"/>
      <c r="FB1148" s="640"/>
      <c r="FC1148" s="640"/>
      <c r="FD1148" s="640"/>
      <c r="FE1148" s="640"/>
      <c r="FF1148" s="640"/>
      <c r="FG1148" s="640"/>
      <c r="FH1148" s="640"/>
      <c r="FI1148" s="640"/>
      <c r="FJ1148" s="640"/>
      <c r="FK1148" s="640"/>
      <c r="FL1148" s="640"/>
    </row>
    <row r="1149" spans="1:168" x14ac:dyDescent="0.25">
      <c r="A1149" s="1493"/>
      <c r="B1149" s="624">
        <f t="shared" si="3554"/>
        <v>0</v>
      </c>
      <c r="C1149" s="624">
        <f t="shared" si="3554"/>
        <v>0</v>
      </c>
      <c r="D1149" s="624">
        <f t="shared" si="3554"/>
        <v>0</v>
      </c>
      <c r="E1149" s="1158">
        <f t="shared" si="3178"/>
        <v>0</v>
      </c>
      <c r="F1149" s="1158"/>
      <c r="G1149" s="1140"/>
      <c r="H1149" s="1140"/>
      <c r="I1149" s="552"/>
      <c r="J1149" s="552">
        <f>J191*J$338</f>
        <v>0</v>
      </c>
      <c r="K1149" s="552">
        <f t="shared" ref="K1149:BV1149" si="3575">K191*K$338</f>
        <v>0</v>
      </c>
      <c r="L1149" s="552">
        <f t="shared" si="3575"/>
        <v>0</v>
      </c>
      <c r="M1149" s="552">
        <f t="shared" si="3575"/>
        <v>0</v>
      </c>
      <c r="N1149" s="552">
        <f t="shared" si="3575"/>
        <v>0</v>
      </c>
      <c r="O1149" s="552">
        <f t="shared" si="3575"/>
        <v>0</v>
      </c>
      <c r="P1149" s="552">
        <f t="shared" si="3575"/>
        <v>0</v>
      </c>
      <c r="Q1149" s="552">
        <f t="shared" si="3575"/>
        <v>0</v>
      </c>
      <c r="R1149" s="552">
        <f t="shared" si="3575"/>
        <v>0</v>
      </c>
      <c r="S1149" s="552">
        <f t="shared" si="3575"/>
        <v>0</v>
      </c>
      <c r="T1149" s="552">
        <f t="shared" si="3575"/>
        <v>0</v>
      </c>
      <c r="U1149" s="552">
        <f t="shared" si="3575"/>
        <v>0</v>
      </c>
      <c r="V1149" s="552">
        <f t="shared" si="3575"/>
        <v>0</v>
      </c>
      <c r="W1149" s="552">
        <f t="shared" si="3575"/>
        <v>0</v>
      </c>
      <c r="X1149" s="552">
        <f t="shared" si="3575"/>
        <v>0</v>
      </c>
      <c r="Y1149" s="552">
        <f t="shared" si="3575"/>
        <v>0</v>
      </c>
      <c r="Z1149" s="552">
        <f t="shared" si="3575"/>
        <v>0</v>
      </c>
      <c r="AA1149" s="552">
        <f t="shared" si="3575"/>
        <v>0</v>
      </c>
      <c r="AB1149" s="552">
        <f t="shared" si="3575"/>
        <v>0</v>
      </c>
      <c r="AC1149" s="552">
        <f t="shared" si="3575"/>
        <v>0</v>
      </c>
      <c r="AD1149" s="552">
        <f t="shared" si="3575"/>
        <v>0</v>
      </c>
      <c r="AE1149" s="552">
        <f t="shared" si="3575"/>
        <v>0</v>
      </c>
      <c r="AF1149" s="552">
        <f t="shared" si="3575"/>
        <v>0</v>
      </c>
      <c r="AG1149" s="552">
        <f t="shared" si="3575"/>
        <v>0</v>
      </c>
      <c r="AH1149" s="552">
        <f t="shared" si="3575"/>
        <v>0</v>
      </c>
      <c r="AI1149" s="552">
        <f t="shared" si="3575"/>
        <v>0</v>
      </c>
      <c r="AJ1149" s="552">
        <f t="shared" si="3575"/>
        <v>0</v>
      </c>
      <c r="AK1149" s="552">
        <f t="shared" si="3575"/>
        <v>0</v>
      </c>
      <c r="AL1149" s="552">
        <f t="shared" si="3575"/>
        <v>0</v>
      </c>
      <c r="AM1149" s="552">
        <f t="shared" si="3575"/>
        <v>0</v>
      </c>
      <c r="AN1149" s="552">
        <f t="shared" si="3575"/>
        <v>0</v>
      </c>
      <c r="AO1149" s="552">
        <f t="shared" si="3575"/>
        <v>0</v>
      </c>
      <c r="AP1149" s="552">
        <f t="shared" si="3575"/>
        <v>0</v>
      </c>
      <c r="AQ1149" s="552">
        <f t="shared" si="3575"/>
        <v>0</v>
      </c>
      <c r="AR1149" s="552">
        <f t="shared" si="3575"/>
        <v>0</v>
      </c>
      <c r="AS1149" s="552">
        <f t="shared" si="3575"/>
        <v>0</v>
      </c>
      <c r="AT1149" s="552">
        <f t="shared" si="3575"/>
        <v>0</v>
      </c>
      <c r="AU1149" s="552">
        <f t="shared" si="3575"/>
        <v>0</v>
      </c>
      <c r="AV1149" s="552">
        <f t="shared" si="3575"/>
        <v>0</v>
      </c>
      <c r="AW1149" s="552">
        <f t="shared" si="3575"/>
        <v>0</v>
      </c>
      <c r="AX1149" s="552">
        <f t="shared" si="3575"/>
        <v>0</v>
      </c>
      <c r="AY1149" s="552">
        <f t="shared" si="3575"/>
        <v>0</v>
      </c>
      <c r="AZ1149" s="552">
        <f t="shared" si="3575"/>
        <v>0</v>
      </c>
      <c r="BA1149" s="552">
        <f t="shared" si="3575"/>
        <v>0</v>
      </c>
      <c r="BB1149" s="552">
        <f t="shared" si="3575"/>
        <v>0</v>
      </c>
      <c r="BC1149" s="552">
        <f t="shared" si="3575"/>
        <v>0</v>
      </c>
      <c r="BD1149" s="552">
        <f t="shared" si="3575"/>
        <v>0</v>
      </c>
      <c r="BE1149" s="552">
        <f t="shared" si="3575"/>
        <v>0</v>
      </c>
      <c r="BF1149" s="552">
        <f t="shared" si="3575"/>
        <v>0</v>
      </c>
      <c r="BG1149" s="552">
        <f t="shared" si="3575"/>
        <v>0</v>
      </c>
      <c r="BH1149" s="552">
        <f t="shared" si="3575"/>
        <v>0</v>
      </c>
      <c r="BI1149" s="552">
        <f t="shared" si="3575"/>
        <v>0</v>
      </c>
      <c r="BJ1149" s="552">
        <f t="shared" si="3575"/>
        <v>0</v>
      </c>
      <c r="BK1149" s="552">
        <f t="shared" si="3575"/>
        <v>0</v>
      </c>
      <c r="BL1149" s="552">
        <f t="shared" si="3575"/>
        <v>0</v>
      </c>
      <c r="BM1149" s="552">
        <f t="shared" si="3575"/>
        <v>0</v>
      </c>
      <c r="BN1149" s="552">
        <f t="shared" si="3575"/>
        <v>0</v>
      </c>
      <c r="BO1149" s="552">
        <f t="shared" si="3575"/>
        <v>0</v>
      </c>
      <c r="BP1149" s="552">
        <f t="shared" si="3575"/>
        <v>0</v>
      </c>
      <c r="BQ1149" s="552">
        <f t="shared" si="3575"/>
        <v>0</v>
      </c>
      <c r="BR1149" s="552">
        <f t="shared" si="3575"/>
        <v>0</v>
      </c>
      <c r="BS1149" s="552">
        <f t="shared" si="3575"/>
        <v>0</v>
      </c>
      <c r="BT1149" s="552">
        <f t="shared" si="3575"/>
        <v>0</v>
      </c>
      <c r="BU1149" s="552">
        <f t="shared" si="3575"/>
        <v>0</v>
      </c>
      <c r="BV1149" s="552">
        <f t="shared" si="3575"/>
        <v>0</v>
      </c>
      <c r="BW1149" s="552">
        <f t="shared" ref="BW1149:DB1149" si="3576">BW191*BW$338</f>
        <v>0</v>
      </c>
      <c r="BX1149" s="552">
        <f t="shared" si="3576"/>
        <v>0</v>
      </c>
      <c r="BY1149" s="552">
        <f t="shared" si="3576"/>
        <v>0</v>
      </c>
      <c r="BZ1149" s="552">
        <f t="shared" si="3576"/>
        <v>0</v>
      </c>
      <c r="CA1149" s="552">
        <f t="shared" si="3576"/>
        <v>0</v>
      </c>
      <c r="CB1149" s="552">
        <f t="shared" si="3576"/>
        <v>0</v>
      </c>
      <c r="CC1149" s="552">
        <f t="shared" si="3576"/>
        <v>0</v>
      </c>
      <c r="CD1149" s="552">
        <f t="shared" si="3576"/>
        <v>0</v>
      </c>
      <c r="CE1149" s="552">
        <f t="shared" si="3576"/>
        <v>0</v>
      </c>
      <c r="CF1149" s="552">
        <f t="shared" si="3576"/>
        <v>0</v>
      </c>
      <c r="CG1149" s="552">
        <f t="shared" si="3576"/>
        <v>0</v>
      </c>
      <c r="CH1149" s="552">
        <f t="shared" si="3576"/>
        <v>0</v>
      </c>
      <c r="CI1149" s="552">
        <f t="shared" si="3576"/>
        <v>0</v>
      </c>
      <c r="CJ1149" s="552">
        <f t="shared" si="3576"/>
        <v>0</v>
      </c>
      <c r="CK1149" s="552">
        <f t="shared" si="3576"/>
        <v>0</v>
      </c>
      <c r="CL1149" s="552">
        <f t="shared" si="3576"/>
        <v>0</v>
      </c>
      <c r="CM1149" s="552">
        <f t="shared" si="3576"/>
        <v>0</v>
      </c>
      <c r="CN1149" s="552">
        <f t="shared" si="3576"/>
        <v>0</v>
      </c>
      <c r="CO1149" s="552">
        <f t="shared" si="3576"/>
        <v>0</v>
      </c>
      <c r="CP1149" s="552">
        <f t="shared" si="3576"/>
        <v>0</v>
      </c>
      <c r="CQ1149" s="552">
        <f t="shared" si="3576"/>
        <v>0</v>
      </c>
      <c r="CR1149" s="552">
        <f t="shared" si="3576"/>
        <v>0</v>
      </c>
      <c r="CS1149" s="552">
        <f t="shared" si="3576"/>
        <v>0</v>
      </c>
      <c r="CT1149" s="552">
        <f t="shared" si="3576"/>
        <v>0</v>
      </c>
      <c r="CU1149" s="552">
        <f t="shared" si="3576"/>
        <v>0</v>
      </c>
      <c r="CV1149" s="552">
        <f t="shared" si="3576"/>
        <v>0</v>
      </c>
      <c r="CW1149" s="552">
        <f t="shared" si="3576"/>
        <v>0</v>
      </c>
      <c r="CX1149" s="552">
        <f t="shared" si="3576"/>
        <v>0</v>
      </c>
      <c r="CY1149" s="552">
        <f t="shared" si="3576"/>
        <v>0</v>
      </c>
      <c r="CZ1149" s="552">
        <f t="shared" si="3576"/>
        <v>0</v>
      </c>
      <c r="DA1149" s="552">
        <f t="shared" si="3576"/>
        <v>0</v>
      </c>
      <c r="DB1149" s="552">
        <f t="shared" si="3576"/>
        <v>0</v>
      </c>
      <c r="DC1149" s="552">
        <f t="shared" ref="DC1149:EH1149" si="3577">DC191*DC$338</f>
        <v>0</v>
      </c>
      <c r="DD1149" s="552">
        <f t="shared" si="3577"/>
        <v>0</v>
      </c>
      <c r="DE1149" s="552">
        <f t="shared" si="3577"/>
        <v>0</v>
      </c>
      <c r="DF1149" s="552">
        <f t="shared" si="3577"/>
        <v>0</v>
      </c>
      <c r="DG1149" s="552">
        <f t="shared" si="3577"/>
        <v>0</v>
      </c>
      <c r="DH1149" s="552">
        <f t="shared" si="3577"/>
        <v>0</v>
      </c>
      <c r="DI1149" s="552">
        <f t="shared" si="3577"/>
        <v>0</v>
      </c>
      <c r="DJ1149" s="552">
        <f t="shared" si="3577"/>
        <v>0</v>
      </c>
      <c r="DK1149" s="552">
        <f t="shared" si="3577"/>
        <v>0</v>
      </c>
      <c r="DL1149" s="552">
        <f t="shared" si="3577"/>
        <v>0</v>
      </c>
      <c r="DM1149" s="552">
        <f t="shared" si="3577"/>
        <v>0</v>
      </c>
      <c r="DN1149" s="552">
        <f t="shared" si="3577"/>
        <v>0</v>
      </c>
      <c r="DO1149" s="552">
        <f t="shared" si="3577"/>
        <v>0</v>
      </c>
      <c r="DP1149" s="552">
        <f t="shared" si="3577"/>
        <v>0</v>
      </c>
      <c r="DQ1149" s="552">
        <f t="shared" si="3577"/>
        <v>0</v>
      </c>
      <c r="DR1149" s="552">
        <f t="shared" si="3577"/>
        <v>0</v>
      </c>
      <c r="DS1149" s="552">
        <f t="shared" si="3577"/>
        <v>0</v>
      </c>
      <c r="DT1149" s="552">
        <f t="shared" si="3577"/>
        <v>0</v>
      </c>
      <c r="DU1149" s="552">
        <f t="shared" si="3577"/>
        <v>0</v>
      </c>
      <c r="DV1149" s="552">
        <f t="shared" si="3577"/>
        <v>0</v>
      </c>
      <c r="DW1149" s="552">
        <f t="shared" si="3577"/>
        <v>0</v>
      </c>
      <c r="DX1149" s="552">
        <f t="shared" si="3577"/>
        <v>0</v>
      </c>
      <c r="DY1149" s="552">
        <f t="shared" si="3577"/>
        <v>0</v>
      </c>
      <c r="DZ1149" s="552">
        <f t="shared" si="3577"/>
        <v>0</v>
      </c>
      <c r="EA1149" s="552">
        <f t="shared" si="3577"/>
        <v>0</v>
      </c>
      <c r="EB1149" s="552">
        <f t="shared" si="3577"/>
        <v>0</v>
      </c>
      <c r="EC1149" s="552">
        <f t="shared" si="3577"/>
        <v>0</v>
      </c>
      <c r="ED1149" s="552">
        <f t="shared" si="3577"/>
        <v>0</v>
      </c>
      <c r="EE1149" s="552">
        <f t="shared" si="3577"/>
        <v>0</v>
      </c>
      <c r="EF1149" s="552">
        <f t="shared" si="3577"/>
        <v>0</v>
      </c>
      <c r="EG1149" s="552">
        <f t="shared" si="3577"/>
        <v>0</v>
      </c>
      <c r="EH1149" s="552">
        <f t="shared" si="3577"/>
        <v>0</v>
      </c>
      <c r="EI1149" s="552">
        <f t="shared" ref="EI1149:EX1149" si="3578">EI191*EI$338</f>
        <v>0</v>
      </c>
      <c r="EJ1149" s="552">
        <f t="shared" si="3578"/>
        <v>0</v>
      </c>
      <c r="EK1149" s="552">
        <f t="shared" si="3578"/>
        <v>0</v>
      </c>
      <c r="EL1149" s="552">
        <f t="shared" si="3578"/>
        <v>0</v>
      </c>
      <c r="EM1149" s="552">
        <f t="shared" si="3578"/>
        <v>0</v>
      </c>
      <c r="EN1149" s="552">
        <f t="shared" si="3578"/>
        <v>0</v>
      </c>
      <c r="EO1149" s="552">
        <f t="shared" si="3578"/>
        <v>0</v>
      </c>
      <c r="EP1149" s="552">
        <f t="shared" si="3578"/>
        <v>0</v>
      </c>
      <c r="EQ1149" s="552">
        <f t="shared" si="3578"/>
        <v>0</v>
      </c>
      <c r="ER1149" s="552">
        <f t="shared" si="3578"/>
        <v>0</v>
      </c>
      <c r="ES1149" s="552">
        <f t="shared" si="3578"/>
        <v>0</v>
      </c>
      <c r="ET1149" s="552">
        <f t="shared" si="3578"/>
        <v>0</v>
      </c>
      <c r="EU1149" s="552">
        <f t="shared" si="3578"/>
        <v>0</v>
      </c>
      <c r="EV1149" s="552">
        <f t="shared" si="3578"/>
        <v>0</v>
      </c>
      <c r="EW1149" s="552">
        <f t="shared" si="3578"/>
        <v>0</v>
      </c>
      <c r="EX1149" s="552">
        <f t="shared" si="3578"/>
        <v>0</v>
      </c>
      <c r="EY1149" s="799">
        <f t="shared" si="3177"/>
        <v>0</v>
      </c>
      <c r="EZ1149" s="640"/>
      <c r="FA1149" s="640"/>
      <c r="FB1149" s="640"/>
      <c r="FC1149" s="640"/>
      <c r="FD1149" s="640"/>
      <c r="FE1149" s="640"/>
      <c r="FF1149" s="640"/>
      <c r="FG1149" s="640"/>
      <c r="FH1149" s="640"/>
      <c r="FI1149" s="640"/>
      <c r="FJ1149" s="640"/>
      <c r="FK1149" s="640"/>
      <c r="FL1149" s="640"/>
    </row>
    <row r="1150" spans="1:168" x14ac:dyDescent="0.25">
      <c r="A1150" s="254"/>
      <c r="B1150" s="625" t="s">
        <v>801</v>
      </c>
      <c r="C1150" s="1135">
        <v>338</v>
      </c>
      <c r="D1150" s="1138">
        <f>SUM(D1145:D1149)</f>
        <v>0</v>
      </c>
      <c r="E1150" s="1138">
        <f t="shared" ref="E1150:J1150" si="3579">SUM(E1145:E1149)</f>
        <v>0</v>
      </c>
      <c r="F1150" s="1138"/>
      <c r="G1150" s="1138">
        <f t="shared" si="3579"/>
        <v>0</v>
      </c>
      <c r="H1150" s="1138">
        <f t="shared" si="3579"/>
        <v>0</v>
      </c>
      <c r="I1150" s="554"/>
      <c r="J1150" s="1138">
        <f t="shared" si="3579"/>
        <v>0</v>
      </c>
      <c r="K1150" s="1138">
        <f t="shared" ref="K1150" si="3580">SUM(K1145:K1149)</f>
        <v>0</v>
      </c>
      <c r="L1150" s="1138">
        <f t="shared" ref="L1150" si="3581">SUM(L1145:L1149)</f>
        <v>0</v>
      </c>
      <c r="M1150" s="1138">
        <f t="shared" ref="M1150" si="3582">SUM(M1145:M1149)</f>
        <v>0</v>
      </c>
      <c r="N1150" s="1138">
        <f t="shared" ref="N1150" si="3583">SUM(N1145:N1149)</f>
        <v>0</v>
      </c>
      <c r="O1150" s="1138">
        <f t="shared" ref="O1150" si="3584">SUM(O1145:O1149)</f>
        <v>0</v>
      </c>
      <c r="P1150" s="1138">
        <f t="shared" ref="P1150" si="3585">SUM(P1145:P1149)</f>
        <v>0</v>
      </c>
      <c r="Q1150" s="1138">
        <f t="shared" ref="Q1150" si="3586">SUM(Q1145:Q1149)</f>
        <v>0</v>
      </c>
      <c r="R1150" s="1138">
        <f t="shared" ref="R1150" si="3587">SUM(R1145:R1149)</f>
        <v>0</v>
      </c>
      <c r="S1150" s="1138">
        <f t="shared" ref="S1150" si="3588">SUM(S1145:S1149)</f>
        <v>0</v>
      </c>
      <c r="T1150" s="1138">
        <f t="shared" ref="T1150" si="3589">SUM(T1145:T1149)</f>
        <v>0</v>
      </c>
      <c r="U1150" s="1138">
        <f t="shared" ref="U1150" si="3590">SUM(U1145:U1149)</f>
        <v>0</v>
      </c>
      <c r="V1150" s="1138">
        <f t="shared" ref="V1150" si="3591">SUM(V1145:V1149)</f>
        <v>0</v>
      </c>
      <c r="W1150" s="1138">
        <f t="shared" ref="W1150" si="3592">SUM(W1145:W1149)</f>
        <v>0</v>
      </c>
      <c r="X1150" s="1138">
        <f t="shared" ref="X1150" si="3593">SUM(X1145:X1149)</f>
        <v>0</v>
      </c>
      <c r="Y1150" s="1138">
        <f t="shared" ref="Y1150" si="3594">SUM(Y1145:Y1149)</f>
        <v>0</v>
      </c>
      <c r="Z1150" s="1138">
        <f t="shared" ref="Z1150" si="3595">SUM(Z1145:Z1149)</f>
        <v>0</v>
      </c>
      <c r="AA1150" s="1138">
        <f t="shared" ref="AA1150" si="3596">SUM(AA1145:AA1149)</f>
        <v>0</v>
      </c>
      <c r="AB1150" s="1138">
        <f t="shared" ref="AB1150" si="3597">SUM(AB1145:AB1149)</f>
        <v>0</v>
      </c>
      <c r="AC1150" s="1138">
        <f t="shared" ref="AC1150" si="3598">SUM(AC1145:AC1149)</f>
        <v>0</v>
      </c>
      <c r="AD1150" s="1138">
        <f t="shared" ref="AD1150" si="3599">SUM(AD1145:AD1149)</f>
        <v>0</v>
      </c>
      <c r="AE1150" s="1138">
        <f t="shared" ref="AE1150" si="3600">SUM(AE1145:AE1149)</f>
        <v>0</v>
      </c>
      <c r="AF1150" s="1138">
        <f t="shared" ref="AF1150" si="3601">SUM(AF1145:AF1149)</f>
        <v>0</v>
      </c>
      <c r="AG1150" s="1138">
        <f t="shared" ref="AG1150" si="3602">SUM(AG1145:AG1149)</f>
        <v>0</v>
      </c>
      <c r="AH1150" s="1138">
        <f t="shared" ref="AH1150" si="3603">SUM(AH1145:AH1149)</f>
        <v>0</v>
      </c>
      <c r="AI1150" s="1138">
        <f t="shared" ref="AI1150" si="3604">SUM(AI1145:AI1149)</f>
        <v>0</v>
      </c>
      <c r="AJ1150" s="1138">
        <f t="shared" ref="AJ1150" si="3605">SUM(AJ1145:AJ1149)</f>
        <v>0</v>
      </c>
      <c r="AK1150" s="1138">
        <f t="shared" ref="AK1150" si="3606">SUM(AK1145:AK1149)</f>
        <v>0</v>
      </c>
      <c r="AL1150" s="1138">
        <f t="shared" ref="AL1150" si="3607">SUM(AL1145:AL1149)</f>
        <v>0</v>
      </c>
      <c r="AM1150" s="1138">
        <f t="shared" ref="AM1150" si="3608">SUM(AM1145:AM1149)</f>
        <v>0</v>
      </c>
      <c r="AN1150" s="1138">
        <f t="shared" ref="AN1150" si="3609">SUM(AN1145:AN1149)</f>
        <v>0</v>
      </c>
      <c r="AO1150" s="1138">
        <f t="shared" ref="AO1150" si="3610">SUM(AO1145:AO1149)</f>
        <v>0</v>
      </c>
      <c r="AP1150" s="1138">
        <f t="shared" ref="AP1150" si="3611">SUM(AP1145:AP1149)</f>
        <v>0</v>
      </c>
      <c r="AQ1150" s="1138">
        <f t="shared" ref="AQ1150" si="3612">SUM(AQ1145:AQ1149)</f>
        <v>0</v>
      </c>
      <c r="AR1150" s="1138">
        <f t="shared" ref="AR1150" si="3613">SUM(AR1145:AR1149)</f>
        <v>0</v>
      </c>
      <c r="AS1150" s="1138">
        <f t="shared" ref="AS1150" si="3614">SUM(AS1145:AS1149)</f>
        <v>0</v>
      </c>
      <c r="AT1150" s="1138">
        <f t="shared" ref="AT1150" si="3615">SUM(AT1145:AT1149)</f>
        <v>0</v>
      </c>
      <c r="AU1150" s="1138">
        <f t="shared" ref="AU1150" si="3616">SUM(AU1145:AU1149)</f>
        <v>0</v>
      </c>
      <c r="AV1150" s="1138">
        <f t="shared" ref="AV1150" si="3617">SUM(AV1145:AV1149)</f>
        <v>0</v>
      </c>
      <c r="AW1150" s="1138">
        <f t="shared" ref="AW1150" si="3618">SUM(AW1145:AW1149)</f>
        <v>0</v>
      </c>
      <c r="AX1150" s="1138">
        <f t="shared" ref="AX1150" si="3619">SUM(AX1145:AX1149)</f>
        <v>0</v>
      </c>
      <c r="AY1150" s="1138">
        <f t="shared" ref="AY1150" si="3620">SUM(AY1145:AY1149)</f>
        <v>0</v>
      </c>
      <c r="AZ1150" s="1138">
        <f t="shared" ref="AZ1150" si="3621">SUM(AZ1145:AZ1149)</f>
        <v>0</v>
      </c>
      <c r="BA1150" s="1138">
        <f t="shared" ref="BA1150" si="3622">SUM(BA1145:BA1149)</f>
        <v>0</v>
      </c>
      <c r="BB1150" s="1138">
        <f t="shared" ref="BB1150" si="3623">SUM(BB1145:BB1149)</f>
        <v>0</v>
      </c>
      <c r="BC1150" s="1138">
        <f t="shared" ref="BC1150" si="3624">SUM(BC1145:BC1149)</f>
        <v>0</v>
      </c>
      <c r="BD1150" s="1138">
        <f t="shared" ref="BD1150" si="3625">SUM(BD1145:BD1149)</f>
        <v>0</v>
      </c>
      <c r="BE1150" s="1138">
        <f t="shared" ref="BE1150" si="3626">SUM(BE1145:BE1149)</f>
        <v>0</v>
      </c>
      <c r="BF1150" s="1138">
        <f t="shared" ref="BF1150" si="3627">SUM(BF1145:BF1149)</f>
        <v>0</v>
      </c>
      <c r="BG1150" s="1138">
        <f t="shared" ref="BG1150" si="3628">SUM(BG1145:BG1149)</f>
        <v>0</v>
      </c>
      <c r="BH1150" s="1138">
        <f t="shared" ref="BH1150" si="3629">SUM(BH1145:BH1149)</f>
        <v>0</v>
      </c>
      <c r="BI1150" s="1138">
        <f t="shared" ref="BI1150" si="3630">SUM(BI1145:BI1149)</f>
        <v>0</v>
      </c>
      <c r="BJ1150" s="1138">
        <f t="shared" ref="BJ1150" si="3631">SUM(BJ1145:BJ1149)</f>
        <v>0</v>
      </c>
      <c r="BK1150" s="1138">
        <f t="shared" ref="BK1150" si="3632">SUM(BK1145:BK1149)</f>
        <v>0</v>
      </c>
      <c r="BL1150" s="1138">
        <f t="shared" ref="BL1150" si="3633">SUM(BL1145:BL1149)</f>
        <v>0</v>
      </c>
      <c r="BM1150" s="1138">
        <f t="shared" ref="BM1150" si="3634">SUM(BM1145:BM1149)</f>
        <v>0</v>
      </c>
      <c r="BN1150" s="1138">
        <f t="shared" ref="BN1150" si="3635">SUM(BN1145:BN1149)</f>
        <v>0</v>
      </c>
      <c r="BO1150" s="1138">
        <f t="shared" ref="BO1150" si="3636">SUM(BO1145:BO1149)</f>
        <v>0</v>
      </c>
      <c r="BP1150" s="1138">
        <f t="shared" ref="BP1150" si="3637">SUM(BP1145:BP1149)</f>
        <v>0</v>
      </c>
      <c r="BQ1150" s="1138">
        <f t="shared" ref="BQ1150" si="3638">SUM(BQ1145:BQ1149)</f>
        <v>0</v>
      </c>
      <c r="BR1150" s="1138">
        <f t="shared" ref="BR1150" si="3639">SUM(BR1145:BR1149)</f>
        <v>0</v>
      </c>
      <c r="BS1150" s="1138">
        <f t="shared" ref="BS1150" si="3640">SUM(BS1145:BS1149)</f>
        <v>0</v>
      </c>
      <c r="BT1150" s="1138">
        <f t="shared" ref="BT1150" si="3641">SUM(BT1145:BT1149)</f>
        <v>0</v>
      </c>
      <c r="BU1150" s="1138">
        <f t="shared" ref="BU1150" si="3642">SUM(BU1145:BU1149)</f>
        <v>0</v>
      </c>
      <c r="BV1150" s="1138">
        <f t="shared" ref="BV1150" si="3643">SUM(BV1145:BV1149)</f>
        <v>0</v>
      </c>
      <c r="BW1150" s="1138">
        <f t="shared" ref="BW1150" si="3644">SUM(BW1145:BW1149)</f>
        <v>0</v>
      </c>
      <c r="BX1150" s="1138">
        <f t="shared" ref="BX1150" si="3645">SUM(BX1145:BX1149)</f>
        <v>0</v>
      </c>
      <c r="BY1150" s="1138">
        <f t="shared" ref="BY1150" si="3646">SUM(BY1145:BY1149)</f>
        <v>0</v>
      </c>
      <c r="BZ1150" s="1138">
        <f t="shared" ref="BZ1150" si="3647">SUM(BZ1145:BZ1149)</f>
        <v>0</v>
      </c>
      <c r="CA1150" s="1138">
        <f t="shared" ref="CA1150" si="3648">SUM(CA1145:CA1149)</f>
        <v>0</v>
      </c>
      <c r="CB1150" s="1138">
        <f t="shared" ref="CB1150" si="3649">SUM(CB1145:CB1149)</f>
        <v>0</v>
      </c>
      <c r="CC1150" s="1138">
        <f t="shared" ref="CC1150" si="3650">SUM(CC1145:CC1149)</f>
        <v>0</v>
      </c>
      <c r="CD1150" s="1138">
        <f t="shared" ref="CD1150" si="3651">SUM(CD1145:CD1149)</f>
        <v>0</v>
      </c>
      <c r="CE1150" s="1138">
        <f t="shared" ref="CE1150" si="3652">SUM(CE1145:CE1149)</f>
        <v>0</v>
      </c>
      <c r="CF1150" s="1138">
        <f t="shared" ref="CF1150" si="3653">SUM(CF1145:CF1149)</f>
        <v>0</v>
      </c>
      <c r="CG1150" s="1138">
        <f t="shared" ref="CG1150" si="3654">SUM(CG1145:CG1149)</f>
        <v>0</v>
      </c>
      <c r="CH1150" s="1138">
        <f t="shared" ref="CH1150" si="3655">SUM(CH1145:CH1149)</f>
        <v>0</v>
      </c>
      <c r="CI1150" s="1138">
        <f t="shared" ref="CI1150" si="3656">SUM(CI1145:CI1149)</f>
        <v>0</v>
      </c>
      <c r="CJ1150" s="1138">
        <f t="shared" ref="CJ1150" si="3657">SUM(CJ1145:CJ1149)</f>
        <v>0</v>
      </c>
      <c r="CK1150" s="1138">
        <f t="shared" ref="CK1150" si="3658">SUM(CK1145:CK1149)</f>
        <v>0</v>
      </c>
      <c r="CL1150" s="1138">
        <f t="shared" ref="CL1150" si="3659">SUM(CL1145:CL1149)</f>
        <v>0</v>
      </c>
      <c r="CM1150" s="1138">
        <f t="shared" ref="CM1150" si="3660">SUM(CM1145:CM1149)</f>
        <v>0</v>
      </c>
      <c r="CN1150" s="1138">
        <f t="shared" ref="CN1150" si="3661">SUM(CN1145:CN1149)</f>
        <v>0</v>
      </c>
      <c r="CO1150" s="1138">
        <f t="shared" ref="CO1150" si="3662">SUM(CO1145:CO1149)</f>
        <v>0</v>
      </c>
      <c r="CP1150" s="1138">
        <f t="shared" ref="CP1150" si="3663">SUM(CP1145:CP1149)</f>
        <v>0</v>
      </c>
      <c r="CQ1150" s="1138">
        <f t="shared" ref="CQ1150" si="3664">SUM(CQ1145:CQ1149)</f>
        <v>0</v>
      </c>
      <c r="CR1150" s="1138">
        <f t="shared" ref="CR1150" si="3665">SUM(CR1145:CR1149)</f>
        <v>0</v>
      </c>
      <c r="CS1150" s="1138">
        <f t="shared" ref="CS1150" si="3666">SUM(CS1145:CS1149)</f>
        <v>0</v>
      </c>
      <c r="CT1150" s="1138">
        <f t="shared" ref="CT1150" si="3667">SUM(CT1145:CT1149)</f>
        <v>0</v>
      </c>
      <c r="CU1150" s="1138">
        <f t="shared" ref="CU1150" si="3668">SUM(CU1145:CU1149)</f>
        <v>0</v>
      </c>
      <c r="CV1150" s="1138">
        <f t="shared" ref="CV1150" si="3669">SUM(CV1145:CV1149)</f>
        <v>0</v>
      </c>
      <c r="CW1150" s="1138">
        <f t="shared" ref="CW1150" si="3670">SUM(CW1145:CW1149)</f>
        <v>0</v>
      </c>
      <c r="CX1150" s="1138">
        <f t="shared" ref="CX1150" si="3671">SUM(CX1145:CX1149)</f>
        <v>0</v>
      </c>
      <c r="CY1150" s="1138">
        <f t="shared" ref="CY1150" si="3672">SUM(CY1145:CY1149)</f>
        <v>0</v>
      </c>
      <c r="CZ1150" s="1138">
        <f t="shared" ref="CZ1150" si="3673">SUM(CZ1145:CZ1149)</f>
        <v>0</v>
      </c>
      <c r="DA1150" s="1138">
        <f t="shared" ref="DA1150" si="3674">SUM(DA1145:DA1149)</f>
        <v>0</v>
      </c>
      <c r="DB1150" s="1138">
        <f t="shared" ref="DB1150" si="3675">SUM(DB1145:DB1149)</f>
        <v>0</v>
      </c>
      <c r="DC1150" s="1138">
        <f t="shared" ref="DC1150" si="3676">SUM(DC1145:DC1149)</f>
        <v>0</v>
      </c>
      <c r="DD1150" s="1138">
        <f t="shared" ref="DD1150" si="3677">SUM(DD1145:DD1149)</f>
        <v>0</v>
      </c>
      <c r="DE1150" s="1138">
        <f t="shared" ref="DE1150" si="3678">SUM(DE1145:DE1149)</f>
        <v>0</v>
      </c>
      <c r="DF1150" s="1138">
        <f t="shared" ref="DF1150" si="3679">SUM(DF1145:DF1149)</f>
        <v>0</v>
      </c>
      <c r="DG1150" s="1138">
        <f t="shared" ref="DG1150" si="3680">SUM(DG1145:DG1149)</f>
        <v>0</v>
      </c>
      <c r="DH1150" s="1138">
        <f t="shared" ref="DH1150" si="3681">SUM(DH1145:DH1149)</f>
        <v>0</v>
      </c>
      <c r="DI1150" s="1138">
        <f t="shared" ref="DI1150" si="3682">SUM(DI1145:DI1149)</f>
        <v>0</v>
      </c>
      <c r="DJ1150" s="1138">
        <f t="shared" ref="DJ1150" si="3683">SUM(DJ1145:DJ1149)</f>
        <v>0</v>
      </c>
      <c r="DK1150" s="1138">
        <f t="shared" ref="DK1150" si="3684">SUM(DK1145:DK1149)</f>
        <v>0</v>
      </c>
      <c r="DL1150" s="1138">
        <f t="shared" ref="DL1150" si="3685">SUM(DL1145:DL1149)</f>
        <v>0</v>
      </c>
      <c r="DM1150" s="1138">
        <f t="shared" ref="DM1150" si="3686">SUM(DM1145:DM1149)</f>
        <v>0</v>
      </c>
      <c r="DN1150" s="1138">
        <f t="shared" ref="DN1150" si="3687">SUM(DN1145:DN1149)</f>
        <v>0</v>
      </c>
      <c r="DO1150" s="1138">
        <f t="shared" ref="DO1150" si="3688">SUM(DO1145:DO1149)</f>
        <v>0</v>
      </c>
      <c r="DP1150" s="1138">
        <f t="shared" ref="DP1150" si="3689">SUM(DP1145:DP1149)</f>
        <v>0</v>
      </c>
      <c r="DQ1150" s="1138">
        <f t="shared" ref="DQ1150" si="3690">SUM(DQ1145:DQ1149)</f>
        <v>0</v>
      </c>
      <c r="DR1150" s="1138">
        <f t="shared" ref="DR1150" si="3691">SUM(DR1145:DR1149)</f>
        <v>0</v>
      </c>
      <c r="DS1150" s="1138">
        <f t="shared" ref="DS1150" si="3692">SUM(DS1145:DS1149)</f>
        <v>0</v>
      </c>
      <c r="DT1150" s="1138">
        <f t="shared" ref="DT1150" si="3693">SUM(DT1145:DT1149)</f>
        <v>0</v>
      </c>
      <c r="DU1150" s="1138">
        <f t="shared" ref="DU1150" si="3694">SUM(DU1145:DU1149)</f>
        <v>0</v>
      </c>
      <c r="DV1150" s="1138">
        <f t="shared" ref="DV1150" si="3695">SUM(DV1145:DV1149)</f>
        <v>0</v>
      </c>
      <c r="DW1150" s="1138">
        <f t="shared" ref="DW1150" si="3696">SUM(DW1145:DW1149)</f>
        <v>0</v>
      </c>
      <c r="DX1150" s="1138">
        <f t="shared" ref="DX1150" si="3697">SUM(DX1145:DX1149)</f>
        <v>0</v>
      </c>
      <c r="DY1150" s="1138">
        <f t="shared" ref="DY1150" si="3698">SUM(DY1145:DY1149)</f>
        <v>0</v>
      </c>
      <c r="DZ1150" s="1138">
        <f t="shared" ref="DZ1150" si="3699">SUM(DZ1145:DZ1149)</f>
        <v>0</v>
      </c>
      <c r="EA1150" s="1138">
        <f t="shared" ref="EA1150" si="3700">SUM(EA1145:EA1149)</f>
        <v>0</v>
      </c>
      <c r="EB1150" s="1138">
        <f t="shared" ref="EB1150" si="3701">SUM(EB1145:EB1149)</f>
        <v>0</v>
      </c>
      <c r="EC1150" s="1138">
        <f t="shared" ref="EC1150" si="3702">SUM(EC1145:EC1149)</f>
        <v>0</v>
      </c>
      <c r="ED1150" s="1138">
        <f t="shared" ref="ED1150" si="3703">SUM(ED1145:ED1149)</f>
        <v>0</v>
      </c>
      <c r="EE1150" s="1138">
        <f t="shared" ref="EE1150" si="3704">SUM(EE1145:EE1149)</f>
        <v>0</v>
      </c>
      <c r="EF1150" s="1138">
        <f t="shared" ref="EF1150" si="3705">SUM(EF1145:EF1149)</f>
        <v>0</v>
      </c>
      <c r="EG1150" s="1138">
        <f t="shared" ref="EG1150" si="3706">SUM(EG1145:EG1149)</f>
        <v>0</v>
      </c>
      <c r="EH1150" s="1138">
        <f t="shared" ref="EH1150" si="3707">SUM(EH1145:EH1149)</f>
        <v>0</v>
      </c>
      <c r="EI1150" s="1138">
        <f t="shared" ref="EI1150" si="3708">SUM(EI1145:EI1149)</f>
        <v>0</v>
      </c>
      <c r="EJ1150" s="1138">
        <f t="shared" ref="EJ1150" si="3709">SUM(EJ1145:EJ1149)</f>
        <v>0</v>
      </c>
      <c r="EK1150" s="1138">
        <f t="shared" ref="EK1150" si="3710">SUM(EK1145:EK1149)</f>
        <v>0</v>
      </c>
      <c r="EL1150" s="1138">
        <f t="shared" ref="EL1150" si="3711">SUM(EL1145:EL1149)</f>
        <v>0</v>
      </c>
      <c r="EM1150" s="1138">
        <f t="shared" ref="EM1150" si="3712">SUM(EM1145:EM1149)</f>
        <v>0</v>
      </c>
      <c r="EN1150" s="1138">
        <f t="shared" ref="EN1150" si="3713">SUM(EN1145:EN1149)</f>
        <v>0</v>
      </c>
      <c r="EO1150" s="1138">
        <f t="shared" ref="EO1150" si="3714">SUM(EO1145:EO1149)</f>
        <v>0</v>
      </c>
      <c r="EP1150" s="1138">
        <f t="shared" ref="EP1150" si="3715">SUM(EP1145:EP1149)</f>
        <v>0</v>
      </c>
      <c r="EQ1150" s="1138">
        <f t="shared" ref="EQ1150" si="3716">SUM(EQ1145:EQ1149)</f>
        <v>0</v>
      </c>
      <c r="ER1150" s="1138">
        <f t="shared" ref="ER1150" si="3717">SUM(ER1145:ER1149)</f>
        <v>0</v>
      </c>
      <c r="ES1150" s="1138">
        <f t="shared" ref="ES1150" si="3718">SUM(ES1145:ES1149)</f>
        <v>0</v>
      </c>
      <c r="ET1150" s="1138">
        <f t="shared" ref="ET1150" si="3719">SUM(ET1145:ET1149)</f>
        <v>0</v>
      </c>
      <c r="EU1150" s="1138">
        <f t="shared" ref="EU1150" si="3720">SUM(EU1145:EU1149)</f>
        <v>0</v>
      </c>
      <c r="EV1150" s="1138">
        <f t="shared" ref="EV1150" si="3721">SUM(EV1145:EV1149)</f>
        <v>0</v>
      </c>
      <c r="EW1150" s="1138">
        <f t="shared" ref="EW1150" si="3722">SUM(EW1145:EW1149)</f>
        <v>0</v>
      </c>
      <c r="EX1150" s="1138">
        <f t="shared" ref="EX1150:FL1150" si="3723">SUM(EX1145:EX1149)</f>
        <v>0</v>
      </c>
      <c r="EY1150" s="1138">
        <f t="shared" si="3723"/>
        <v>0</v>
      </c>
      <c r="EZ1150" s="1138">
        <f t="shared" si="3723"/>
        <v>0</v>
      </c>
      <c r="FA1150" s="1138">
        <f t="shared" si="3723"/>
        <v>0</v>
      </c>
      <c r="FB1150" s="1138">
        <f t="shared" si="3723"/>
        <v>0</v>
      </c>
      <c r="FC1150" s="1138">
        <f t="shared" si="3723"/>
        <v>0</v>
      </c>
      <c r="FD1150" s="1138">
        <f t="shared" si="3723"/>
        <v>0</v>
      </c>
      <c r="FE1150" s="1138">
        <f t="shared" si="3723"/>
        <v>0</v>
      </c>
      <c r="FF1150" s="1138">
        <f t="shared" si="3723"/>
        <v>0</v>
      </c>
      <c r="FG1150" s="1138">
        <f t="shared" si="3723"/>
        <v>0</v>
      </c>
      <c r="FH1150" s="1138">
        <f t="shared" si="3723"/>
        <v>0</v>
      </c>
      <c r="FI1150" s="1138">
        <f t="shared" si="3723"/>
        <v>0</v>
      </c>
      <c r="FJ1150" s="1138">
        <f t="shared" si="3723"/>
        <v>0</v>
      </c>
      <c r="FK1150" s="1138">
        <f t="shared" si="3723"/>
        <v>0</v>
      </c>
      <c r="FL1150" s="1138">
        <f t="shared" si="3723"/>
        <v>0</v>
      </c>
    </row>
    <row r="1151" spans="1:168" x14ac:dyDescent="0.25">
      <c r="A1151" s="254"/>
      <c r="B1151" s="625" t="s">
        <v>213</v>
      </c>
      <c r="C1151" s="1135">
        <v>338</v>
      </c>
      <c r="D1151" s="1138">
        <f>D1134+D1144+D1150</f>
        <v>41.73</v>
      </c>
      <c r="E1151" s="1138">
        <f t="shared" ref="E1151:J1151" si="3724">E1134+E1144+E1150</f>
        <v>189.66</v>
      </c>
      <c r="F1151" s="1138"/>
      <c r="G1151" s="1138">
        <f t="shared" si="3724"/>
        <v>0</v>
      </c>
      <c r="H1151" s="1138">
        <f t="shared" si="3724"/>
        <v>0</v>
      </c>
      <c r="I1151" s="554"/>
      <c r="J1151" s="1138">
        <f t="shared" si="3724"/>
        <v>0</v>
      </c>
      <c r="K1151" s="1138">
        <f t="shared" ref="K1151" si="3725">K1134+K1144+K1150</f>
        <v>0</v>
      </c>
      <c r="L1151" s="1138">
        <f t="shared" ref="L1151" si="3726">L1134+L1144+L1150</f>
        <v>0</v>
      </c>
      <c r="M1151" s="1138">
        <f t="shared" ref="M1151" si="3727">M1134+M1144+M1150</f>
        <v>27.2</v>
      </c>
      <c r="N1151" s="1138">
        <f t="shared" ref="N1151" si="3728">N1134+N1144+N1150</f>
        <v>0</v>
      </c>
      <c r="O1151" s="1138">
        <f t="shared" ref="O1151" si="3729">O1134+O1144+O1150</f>
        <v>0</v>
      </c>
      <c r="P1151" s="1138">
        <f t="shared" ref="P1151" si="3730">P1134+P1144+P1150</f>
        <v>0.3</v>
      </c>
      <c r="Q1151" s="1138">
        <f t="shared" ref="Q1151" si="3731">Q1134+Q1144+Q1150</f>
        <v>0</v>
      </c>
      <c r="R1151" s="1138">
        <f t="shared" ref="R1151" si="3732">R1134+R1144+R1150</f>
        <v>0</v>
      </c>
      <c r="S1151" s="1138">
        <f t="shared" ref="S1151" si="3733">S1134+S1144+S1150</f>
        <v>0</v>
      </c>
      <c r="T1151" s="1138">
        <f t="shared" ref="T1151" si="3734">T1134+T1144+T1150</f>
        <v>0</v>
      </c>
      <c r="U1151" s="1138">
        <f t="shared" ref="U1151" si="3735">U1134+U1144+U1150</f>
        <v>9.84</v>
      </c>
      <c r="V1151" s="1138">
        <f t="shared" ref="V1151" si="3736">V1134+V1144+V1150</f>
        <v>18.18</v>
      </c>
      <c r="W1151" s="1138">
        <f t="shared" ref="W1151" si="3737">W1134+W1144+W1150</f>
        <v>11.5</v>
      </c>
      <c r="X1151" s="1138">
        <f t="shared" ref="X1151" si="3738">X1134+X1144+X1150</f>
        <v>0</v>
      </c>
      <c r="Y1151" s="1138">
        <f t="shared" ref="Y1151" si="3739">Y1134+Y1144+Y1150</f>
        <v>2.75</v>
      </c>
      <c r="Z1151" s="1138">
        <f t="shared" ref="Z1151" si="3740">Z1134+Z1144+Z1150</f>
        <v>0</v>
      </c>
      <c r="AA1151" s="1138">
        <f t="shared" ref="AA1151" si="3741">AA1134+AA1144+AA1150</f>
        <v>0</v>
      </c>
      <c r="AB1151" s="1138">
        <f t="shared" ref="AB1151" si="3742">AB1134+AB1144+AB1150</f>
        <v>0</v>
      </c>
      <c r="AC1151" s="1138">
        <f t="shared" ref="AC1151" si="3743">AC1134+AC1144+AC1150</f>
        <v>0</v>
      </c>
      <c r="AD1151" s="1138">
        <f t="shared" ref="AD1151" si="3744">AD1134+AD1144+AD1150</f>
        <v>0</v>
      </c>
      <c r="AE1151" s="1138">
        <f t="shared" ref="AE1151" si="3745">AE1134+AE1144+AE1150</f>
        <v>0</v>
      </c>
      <c r="AF1151" s="1138">
        <f t="shared" ref="AF1151" si="3746">AF1134+AF1144+AF1150</f>
        <v>0</v>
      </c>
      <c r="AG1151" s="1138">
        <f t="shared" ref="AG1151" si="3747">AG1134+AG1144+AG1150</f>
        <v>0</v>
      </c>
      <c r="AH1151" s="1138">
        <f t="shared" ref="AH1151" si="3748">AH1134+AH1144+AH1150</f>
        <v>6.11</v>
      </c>
      <c r="AI1151" s="1138">
        <f t="shared" ref="AI1151" si="3749">AI1134+AI1144+AI1150</f>
        <v>0</v>
      </c>
      <c r="AJ1151" s="1138">
        <f t="shared" ref="AJ1151" si="3750">AJ1134+AJ1144+AJ1150</f>
        <v>0</v>
      </c>
      <c r="AK1151" s="1138">
        <f t="shared" ref="AK1151" si="3751">AK1134+AK1144+AK1150</f>
        <v>0.66</v>
      </c>
      <c r="AL1151" s="1138">
        <f t="shared" ref="AL1151" si="3752">AL1134+AL1144+AL1150</f>
        <v>4.32</v>
      </c>
      <c r="AM1151" s="1138">
        <f t="shared" ref="AM1151" si="3753">AM1134+AM1144+AM1150</f>
        <v>0</v>
      </c>
      <c r="AN1151" s="1138">
        <f t="shared" ref="AN1151" si="3754">AN1134+AN1144+AN1150</f>
        <v>0</v>
      </c>
      <c r="AO1151" s="1138">
        <f t="shared" ref="AO1151" si="3755">AO1134+AO1144+AO1150</f>
        <v>0</v>
      </c>
      <c r="AP1151" s="1138">
        <f t="shared" ref="AP1151" si="3756">AP1134+AP1144+AP1150</f>
        <v>0</v>
      </c>
      <c r="AQ1151" s="1138">
        <f t="shared" ref="AQ1151" si="3757">AQ1134+AQ1144+AQ1150</f>
        <v>1.1100000000000001</v>
      </c>
      <c r="AR1151" s="1138">
        <f t="shared" ref="AR1151" si="3758">AR1134+AR1144+AR1150</f>
        <v>0</v>
      </c>
      <c r="AS1151" s="1138">
        <f t="shared" ref="AS1151" si="3759">AS1134+AS1144+AS1150</f>
        <v>0</v>
      </c>
      <c r="AT1151" s="1138">
        <f t="shared" ref="AT1151" si="3760">AT1134+AT1144+AT1150</f>
        <v>0</v>
      </c>
      <c r="AU1151" s="1138">
        <f t="shared" ref="AU1151" si="3761">AU1134+AU1144+AU1150</f>
        <v>0</v>
      </c>
      <c r="AV1151" s="1138">
        <f t="shared" ref="AV1151" si="3762">AV1134+AV1144+AV1150</f>
        <v>0</v>
      </c>
      <c r="AW1151" s="1138">
        <f t="shared" ref="AW1151" si="3763">AW1134+AW1144+AW1150</f>
        <v>0</v>
      </c>
      <c r="AX1151" s="1138">
        <f t="shared" ref="AX1151" si="3764">AX1134+AX1144+AX1150</f>
        <v>0.44</v>
      </c>
      <c r="AY1151" s="1138">
        <f t="shared" ref="AY1151" si="3765">AY1134+AY1144+AY1150</f>
        <v>0</v>
      </c>
      <c r="AZ1151" s="1138">
        <f t="shared" ref="AZ1151" si="3766">AZ1134+AZ1144+AZ1150</f>
        <v>0</v>
      </c>
      <c r="BA1151" s="1138">
        <f t="shared" ref="BA1151" si="3767">BA1134+BA1144+BA1150</f>
        <v>0</v>
      </c>
      <c r="BB1151" s="1138">
        <f t="shared" ref="BB1151" si="3768">BB1134+BB1144+BB1150</f>
        <v>0</v>
      </c>
      <c r="BC1151" s="1138">
        <f t="shared" ref="BC1151" si="3769">BC1134+BC1144+BC1150</f>
        <v>0</v>
      </c>
      <c r="BD1151" s="1138">
        <f t="shared" ref="BD1151" si="3770">BD1134+BD1144+BD1150</f>
        <v>0</v>
      </c>
      <c r="BE1151" s="1138">
        <f t="shared" ref="BE1151" si="3771">BE1134+BE1144+BE1150</f>
        <v>0</v>
      </c>
      <c r="BF1151" s="1138">
        <f t="shared" ref="BF1151" si="3772">BF1134+BF1144+BF1150</f>
        <v>0</v>
      </c>
      <c r="BG1151" s="1138">
        <f t="shared" ref="BG1151" si="3773">BG1134+BG1144+BG1150</f>
        <v>0</v>
      </c>
      <c r="BH1151" s="1138">
        <f t="shared" ref="BH1151" si="3774">BH1134+BH1144+BH1150</f>
        <v>0</v>
      </c>
      <c r="BI1151" s="1138">
        <f t="shared" ref="BI1151" si="3775">BI1134+BI1144+BI1150</f>
        <v>0</v>
      </c>
      <c r="BJ1151" s="1138">
        <f t="shared" ref="BJ1151" si="3776">BJ1134+BJ1144+BJ1150</f>
        <v>0</v>
      </c>
      <c r="BK1151" s="1138">
        <f t="shared" ref="BK1151" si="3777">BK1134+BK1144+BK1150</f>
        <v>0</v>
      </c>
      <c r="BL1151" s="1138">
        <f t="shared" ref="BL1151" si="3778">BL1134+BL1144+BL1150</f>
        <v>0</v>
      </c>
      <c r="BM1151" s="1138">
        <f t="shared" ref="BM1151" si="3779">BM1134+BM1144+BM1150</f>
        <v>0</v>
      </c>
      <c r="BN1151" s="1138">
        <f t="shared" ref="BN1151" si="3780">BN1134+BN1144+BN1150</f>
        <v>0</v>
      </c>
      <c r="BO1151" s="1138">
        <f t="shared" ref="BO1151" si="3781">BO1134+BO1144+BO1150</f>
        <v>0</v>
      </c>
      <c r="BP1151" s="1138">
        <f t="shared" ref="BP1151" si="3782">BP1134+BP1144+BP1150</f>
        <v>0</v>
      </c>
      <c r="BQ1151" s="1138">
        <f t="shared" ref="BQ1151" si="3783">BQ1134+BQ1144+BQ1150</f>
        <v>0</v>
      </c>
      <c r="BR1151" s="1138">
        <f t="shared" ref="BR1151" si="3784">BR1134+BR1144+BR1150</f>
        <v>4.13</v>
      </c>
      <c r="BS1151" s="1138">
        <f t="shared" ref="BS1151" si="3785">BS1134+BS1144+BS1150</f>
        <v>7.0000000000000007E-2</v>
      </c>
      <c r="BT1151" s="1138">
        <f t="shared" ref="BT1151" si="3786">BT1134+BT1144+BT1150</f>
        <v>0</v>
      </c>
      <c r="BU1151" s="1138">
        <f t="shared" ref="BU1151" si="3787">BU1134+BU1144+BU1150</f>
        <v>1.24</v>
      </c>
      <c r="BV1151" s="1138">
        <f t="shared" ref="BV1151" si="3788">BV1134+BV1144+BV1150</f>
        <v>0</v>
      </c>
      <c r="BW1151" s="1138">
        <f t="shared" ref="BW1151" si="3789">BW1134+BW1144+BW1150</f>
        <v>0</v>
      </c>
      <c r="BX1151" s="1138">
        <f t="shared" ref="BX1151" si="3790">BX1134+BX1144+BX1150</f>
        <v>0</v>
      </c>
      <c r="BY1151" s="1138">
        <f t="shared" ref="BY1151" si="3791">BY1134+BY1144+BY1150</f>
        <v>0</v>
      </c>
      <c r="BZ1151" s="1138">
        <f t="shared" ref="BZ1151" si="3792">BZ1134+BZ1144+BZ1150</f>
        <v>0</v>
      </c>
      <c r="CA1151" s="1138">
        <f t="shared" ref="CA1151" si="3793">CA1134+CA1144+CA1150</f>
        <v>0</v>
      </c>
      <c r="CB1151" s="1138">
        <f t="shared" ref="CB1151" si="3794">CB1134+CB1144+CB1150</f>
        <v>0.49</v>
      </c>
      <c r="CC1151" s="1138">
        <f t="shared" ref="CC1151" si="3795">CC1134+CC1144+CC1150</f>
        <v>0</v>
      </c>
      <c r="CD1151" s="1138">
        <f t="shared" ref="CD1151" si="3796">CD1134+CD1144+CD1150</f>
        <v>0</v>
      </c>
      <c r="CE1151" s="1138">
        <f t="shared" ref="CE1151" si="3797">CE1134+CE1144+CE1150</f>
        <v>0</v>
      </c>
      <c r="CF1151" s="1138">
        <f t="shared" ref="CF1151" si="3798">CF1134+CF1144+CF1150</f>
        <v>2.12</v>
      </c>
      <c r="CG1151" s="1138">
        <f t="shared" ref="CG1151" si="3799">CG1134+CG1144+CG1150</f>
        <v>2.63</v>
      </c>
      <c r="CH1151" s="1138">
        <f t="shared" ref="CH1151" si="3800">CH1134+CH1144+CH1150</f>
        <v>0</v>
      </c>
      <c r="CI1151" s="1138">
        <f t="shared" ref="CI1151" si="3801">CI1134+CI1144+CI1150</f>
        <v>0</v>
      </c>
      <c r="CJ1151" s="1138">
        <f t="shared" ref="CJ1151" si="3802">CJ1134+CJ1144+CJ1150</f>
        <v>0</v>
      </c>
      <c r="CK1151" s="1138">
        <f t="shared" ref="CK1151" si="3803">CK1134+CK1144+CK1150</f>
        <v>0</v>
      </c>
      <c r="CL1151" s="1138">
        <f t="shared" ref="CL1151" si="3804">CL1134+CL1144+CL1150</f>
        <v>0</v>
      </c>
      <c r="CM1151" s="1138">
        <f t="shared" ref="CM1151" si="3805">CM1134+CM1144+CM1150</f>
        <v>0</v>
      </c>
      <c r="CN1151" s="1138">
        <f t="shared" ref="CN1151" si="3806">CN1134+CN1144+CN1150</f>
        <v>0</v>
      </c>
      <c r="CO1151" s="1138">
        <f t="shared" ref="CO1151" si="3807">CO1134+CO1144+CO1150</f>
        <v>0</v>
      </c>
      <c r="CP1151" s="1138">
        <f t="shared" ref="CP1151" si="3808">CP1134+CP1144+CP1150</f>
        <v>0</v>
      </c>
      <c r="CQ1151" s="1138">
        <f t="shared" ref="CQ1151" si="3809">CQ1134+CQ1144+CQ1150</f>
        <v>0.06</v>
      </c>
      <c r="CR1151" s="1138">
        <f t="shared" ref="CR1151" si="3810">CR1134+CR1144+CR1150</f>
        <v>0</v>
      </c>
      <c r="CS1151" s="1138">
        <f t="shared" ref="CS1151" si="3811">CS1134+CS1144+CS1150</f>
        <v>0</v>
      </c>
      <c r="CT1151" s="1138">
        <f t="shared" ref="CT1151" si="3812">CT1134+CT1144+CT1150</f>
        <v>3.74</v>
      </c>
      <c r="CU1151" s="1138">
        <f t="shared" ref="CU1151" si="3813">CU1134+CU1144+CU1150</f>
        <v>0</v>
      </c>
      <c r="CV1151" s="1138">
        <f t="shared" ref="CV1151" si="3814">CV1134+CV1144+CV1150</f>
        <v>0</v>
      </c>
      <c r="CW1151" s="1138">
        <f t="shared" ref="CW1151" si="3815">CW1134+CW1144+CW1150</f>
        <v>0</v>
      </c>
      <c r="CX1151" s="1138">
        <f t="shared" ref="CX1151" si="3816">CX1134+CX1144+CX1150</f>
        <v>0</v>
      </c>
      <c r="CY1151" s="1138">
        <f t="shared" ref="CY1151" si="3817">CY1134+CY1144+CY1150</f>
        <v>0</v>
      </c>
      <c r="CZ1151" s="1138">
        <f t="shared" ref="CZ1151" si="3818">CZ1134+CZ1144+CZ1150</f>
        <v>4.18</v>
      </c>
      <c r="DA1151" s="1138">
        <f t="shared" ref="DA1151" si="3819">DA1134+DA1144+DA1150</f>
        <v>0</v>
      </c>
      <c r="DB1151" s="1138">
        <f t="shared" ref="DB1151" si="3820">DB1134+DB1144+DB1150</f>
        <v>0</v>
      </c>
      <c r="DC1151" s="1138">
        <f t="shared" ref="DC1151" si="3821">DC1134+DC1144+DC1150</f>
        <v>0.24</v>
      </c>
      <c r="DD1151" s="1138">
        <f t="shared" ref="DD1151" si="3822">DD1134+DD1144+DD1150</f>
        <v>0.94</v>
      </c>
      <c r="DE1151" s="1138">
        <f t="shared" ref="DE1151" si="3823">DE1134+DE1144+DE1150</f>
        <v>0</v>
      </c>
      <c r="DF1151" s="1138">
        <f t="shared" ref="DF1151" si="3824">DF1134+DF1144+DF1150</f>
        <v>0.69</v>
      </c>
      <c r="DG1151" s="1138">
        <f t="shared" ref="DG1151" si="3825">DG1134+DG1144+DG1150</f>
        <v>0</v>
      </c>
      <c r="DH1151" s="1138">
        <f t="shared" ref="DH1151" si="3826">DH1134+DH1144+DH1150</f>
        <v>0</v>
      </c>
      <c r="DI1151" s="1138">
        <f t="shared" ref="DI1151" si="3827">DI1134+DI1144+DI1150</f>
        <v>0</v>
      </c>
      <c r="DJ1151" s="1138">
        <f t="shared" ref="DJ1151" si="3828">DJ1134+DJ1144+DJ1150</f>
        <v>0</v>
      </c>
      <c r="DK1151" s="1138">
        <f t="shared" ref="DK1151" si="3829">DK1134+DK1144+DK1150</f>
        <v>0</v>
      </c>
      <c r="DL1151" s="1138">
        <f t="shared" ref="DL1151" si="3830">DL1134+DL1144+DL1150</f>
        <v>0</v>
      </c>
      <c r="DM1151" s="1138">
        <f t="shared" ref="DM1151" si="3831">DM1134+DM1144+DM1150</f>
        <v>0</v>
      </c>
      <c r="DN1151" s="1138">
        <f t="shared" ref="DN1151" si="3832">DN1134+DN1144+DN1150</f>
        <v>0</v>
      </c>
      <c r="DO1151" s="1138">
        <f t="shared" ref="DO1151" si="3833">DO1134+DO1144+DO1150</f>
        <v>0</v>
      </c>
      <c r="DP1151" s="1138">
        <f t="shared" ref="DP1151" si="3834">DP1134+DP1144+DP1150</f>
        <v>0</v>
      </c>
      <c r="DQ1151" s="1138">
        <f t="shared" ref="DQ1151" si="3835">DQ1134+DQ1144+DQ1150</f>
        <v>0</v>
      </c>
      <c r="DR1151" s="1138">
        <f t="shared" ref="DR1151" si="3836">DR1134+DR1144+DR1150</f>
        <v>0.45</v>
      </c>
      <c r="DS1151" s="1138">
        <f t="shared" ref="DS1151" si="3837">DS1134+DS1144+DS1150</f>
        <v>0</v>
      </c>
      <c r="DT1151" s="1138">
        <f t="shared" ref="DT1151" si="3838">DT1134+DT1144+DT1150</f>
        <v>0</v>
      </c>
      <c r="DU1151" s="1138">
        <f t="shared" ref="DU1151" si="3839">DU1134+DU1144+DU1150</f>
        <v>0.96</v>
      </c>
      <c r="DV1151" s="1138">
        <f t="shared" ref="DV1151" si="3840">DV1134+DV1144+DV1150</f>
        <v>0</v>
      </c>
      <c r="DW1151" s="1138">
        <f t="shared" ref="DW1151" si="3841">DW1134+DW1144+DW1150</f>
        <v>0</v>
      </c>
      <c r="DX1151" s="1138">
        <f t="shared" ref="DX1151" si="3842">DX1134+DX1144+DX1150</f>
        <v>0</v>
      </c>
      <c r="DY1151" s="1138">
        <f t="shared" ref="DY1151" si="3843">DY1134+DY1144+DY1150</f>
        <v>0</v>
      </c>
      <c r="DZ1151" s="1138">
        <f t="shared" ref="DZ1151" si="3844">DZ1134+DZ1144+DZ1150</f>
        <v>0</v>
      </c>
      <c r="EA1151" s="1138">
        <f t="shared" ref="EA1151" si="3845">EA1134+EA1144+EA1150</f>
        <v>75</v>
      </c>
      <c r="EB1151" s="1138">
        <f t="shared" ref="EB1151" si="3846">EB1134+EB1144+EB1150</f>
        <v>2.9</v>
      </c>
      <c r="EC1151" s="1138">
        <f t="shared" ref="EC1151" si="3847">EC1134+EC1144+EC1150</f>
        <v>0</v>
      </c>
      <c r="ED1151" s="1138">
        <f t="shared" ref="ED1151" si="3848">ED1134+ED1144+ED1150</f>
        <v>0</v>
      </c>
      <c r="EE1151" s="1138">
        <f t="shared" ref="EE1151" si="3849">EE1134+EE1144+EE1150</f>
        <v>0</v>
      </c>
      <c r="EF1151" s="1138">
        <f t="shared" ref="EF1151" si="3850">EF1134+EF1144+EF1150</f>
        <v>0</v>
      </c>
      <c r="EG1151" s="1138">
        <f t="shared" ref="EG1151" si="3851">EG1134+EG1144+EG1150</f>
        <v>0</v>
      </c>
      <c r="EH1151" s="1138">
        <f t="shared" ref="EH1151" si="3852">EH1134+EH1144+EH1150</f>
        <v>0</v>
      </c>
      <c r="EI1151" s="1138">
        <f t="shared" ref="EI1151" si="3853">EI1134+EI1144+EI1150</f>
        <v>0</v>
      </c>
      <c r="EJ1151" s="1138">
        <f t="shared" ref="EJ1151" si="3854">EJ1134+EJ1144+EJ1150</f>
        <v>0</v>
      </c>
      <c r="EK1151" s="1138">
        <f t="shared" ref="EK1151" si="3855">EK1134+EK1144+EK1150</f>
        <v>0</v>
      </c>
      <c r="EL1151" s="1138">
        <f t="shared" ref="EL1151" si="3856">EL1134+EL1144+EL1150</f>
        <v>0</v>
      </c>
      <c r="EM1151" s="1138">
        <f t="shared" ref="EM1151" si="3857">EM1134+EM1144+EM1150</f>
        <v>0</v>
      </c>
      <c r="EN1151" s="1138">
        <f t="shared" ref="EN1151" si="3858">EN1134+EN1144+EN1150</f>
        <v>0</v>
      </c>
      <c r="EO1151" s="1138">
        <f t="shared" ref="EO1151" si="3859">EO1134+EO1144+EO1150</f>
        <v>0</v>
      </c>
      <c r="EP1151" s="1138">
        <f t="shared" ref="EP1151" si="3860">EP1134+EP1144+EP1150</f>
        <v>0</v>
      </c>
      <c r="EQ1151" s="1138">
        <f t="shared" ref="EQ1151" si="3861">EQ1134+EQ1144+EQ1150</f>
        <v>0</v>
      </c>
      <c r="ER1151" s="1138">
        <f t="shared" ref="ER1151" si="3862">ER1134+ER1144+ER1150</f>
        <v>0</v>
      </c>
      <c r="ES1151" s="1138">
        <f t="shared" ref="ES1151" si="3863">ES1134+ES1144+ES1150</f>
        <v>0</v>
      </c>
      <c r="ET1151" s="1138">
        <f t="shared" ref="ET1151" si="3864">ET1134+ET1144+ET1150</f>
        <v>0</v>
      </c>
      <c r="EU1151" s="1138">
        <f t="shared" ref="EU1151" si="3865">EU1134+EU1144+EU1150</f>
        <v>0</v>
      </c>
      <c r="EV1151" s="1138">
        <f t="shared" ref="EV1151" si="3866">EV1134+EV1144+EV1150</f>
        <v>4.16</v>
      </c>
      <c r="EW1151" s="1138">
        <f t="shared" ref="EW1151" si="3867">EW1134+EW1144+EW1150</f>
        <v>3.25</v>
      </c>
      <c r="EX1151" s="1138">
        <f t="shared" ref="EX1151:FL1151" si="3868">EX1134+EX1144+EX1150</f>
        <v>0</v>
      </c>
      <c r="EY1151" s="1138">
        <f t="shared" si="3868"/>
        <v>189.66</v>
      </c>
      <c r="EZ1151" s="1138">
        <f t="shared" si="3868"/>
        <v>0</v>
      </c>
      <c r="FA1151" s="1138">
        <f t="shared" si="3868"/>
        <v>0</v>
      </c>
      <c r="FB1151" s="1138">
        <f t="shared" si="3868"/>
        <v>0</v>
      </c>
      <c r="FC1151" s="1138">
        <f t="shared" si="3868"/>
        <v>0</v>
      </c>
      <c r="FD1151" s="1138">
        <f t="shared" si="3868"/>
        <v>0</v>
      </c>
      <c r="FE1151" s="1138">
        <f t="shared" si="3868"/>
        <v>0</v>
      </c>
      <c r="FF1151" s="1138">
        <f t="shared" si="3868"/>
        <v>0</v>
      </c>
      <c r="FG1151" s="1138">
        <f t="shared" si="3868"/>
        <v>0</v>
      </c>
      <c r="FH1151" s="1138">
        <f t="shared" si="3868"/>
        <v>0</v>
      </c>
      <c r="FI1151" s="1138">
        <f t="shared" si="3868"/>
        <v>0</v>
      </c>
      <c r="FJ1151" s="1138">
        <f t="shared" si="3868"/>
        <v>0</v>
      </c>
      <c r="FK1151" s="1138">
        <f t="shared" si="3868"/>
        <v>0</v>
      </c>
      <c r="FL1151" s="1138">
        <f t="shared" si="3868"/>
        <v>0</v>
      </c>
    </row>
    <row r="1152" spans="1:168" s="550" customFormat="1" x14ac:dyDescent="0.25">
      <c r="A1152" s="549"/>
      <c r="B1152" s="626" t="s">
        <v>584</v>
      </c>
      <c r="C1152" s="1136"/>
      <c r="D1152" s="1136"/>
      <c r="E1152" s="1141"/>
      <c r="F1152" s="1141"/>
      <c r="G1152" s="1141"/>
      <c r="H1152" s="1141"/>
      <c r="I1152" s="560"/>
      <c r="J1152" s="560"/>
      <c r="K1152" s="560"/>
      <c r="L1152" s="560"/>
      <c r="M1152" s="560"/>
      <c r="N1152" s="560"/>
      <c r="O1152" s="560"/>
      <c r="P1152" s="560"/>
      <c r="Q1152" s="560"/>
      <c r="R1152" s="560"/>
      <c r="S1152" s="560"/>
      <c r="T1152" s="560"/>
      <c r="U1152" s="560"/>
      <c r="V1152" s="560"/>
      <c r="W1152" s="560"/>
      <c r="X1152" s="560"/>
      <c r="Y1152" s="560"/>
      <c r="Z1152" s="560"/>
      <c r="AA1152" s="560"/>
      <c r="AB1152" s="560"/>
      <c r="AC1152" s="560"/>
      <c r="AD1152" s="560"/>
      <c r="AE1152" s="560"/>
      <c r="AF1152" s="560"/>
      <c r="AG1152" s="560"/>
      <c r="AH1152" s="560"/>
      <c r="AI1152" s="560"/>
      <c r="AJ1152" s="560"/>
      <c r="AK1152" s="560"/>
      <c r="AL1152" s="560"/>
      <c r="AM1152" s="560"/>
      <c r="AN1152" s="560"/>
      <c r="AO1152" s="560"/>
      <c r="AP1152" s="560"/>
      <c r="AQ1152" s="560"/>
      <c r="AR1152" s="560"/>
      <c r="AS1152" s="560"/>
      <c r="AT1152" s="560"/>
      <c r="AU1152" s="560"/>
      <c r="AV1152" s="560"/>
      <c r="AW1152" s="560"/>
      <c r="AX1152" s="560"/>
      <c r="AY1152" s="560"/>
      <c r="AZ1152" s="560"/>
      <c r="BA1152" s="560"/>
      <c r="BB1152" s="560"/>
      <c r="BC1152" s="560"/>
      <c r="BD1152" s="560"/>
      <c r="BE1152" s="560"/>
      <c r="BF1152" s="560"/>
      <c r="BG1152" s="560"/>
      <c r="BH1152" s="560"/>
      <c r="BI1152" s="560"/>
      <c r="BJ1152" s="560"/>
      <c r="BK1152" s="560"/>
      <c r="BL1152" s="560"/>
      <c r="BM1152" s="560"/>
      <c r="BN1152" s="560"/>
      <c r="BO1152" s="560"/>
      <c r="BP1152" s="560"/>
      <c r="BQ1152" s="560"/>
      <c r="BR1152" s="560"/>
      <c r="BS1152" s="560"/>
      <c r="BT1152" s="560"/>
      <c r="BU1152" s="560"/>
      <c r="BV1152" s="560"/>
      <c r="BW1152" s="560"/>
      <c r="BX1152" s="560"/>
      <c r="BY1152" s="560"/>
      <c r="BZ1152" s="560"/>
      <c r="CA1152" s="560"/>
      <c r="CB1152" s="560"/>
      <c r="CC1152" s="560"/>
      <c r="CD1152" s="560"/>
      <c r="CE1152" s="560"/>
      <c r="CF1152" s="560"/>
      <c r="CG1152" s="560"/>
      <c r="CH1152" s="560"/>
      <c r="CI1152" s="560"/>
      <c r="CJ1152" s="560"/>
      <c r="CK1152" s="560"/>
      <c r="CL1152" s="560"/>
      <c r="CM1152" s="560"/>
      <c r="CN1152" s="560"/>
      <c r="CO1152" s="560"/>
      <c r="CP1152" s="560"/>
      <c r="CQ1152" s="560"/>
      <c r="CR1152" s="560"/>
      <c r="CS1152" s="560"/>
      <c r="CT1152" s="560"/>
      <c r="CU1152" s="560"/>
      <c r="CV1152" s="560"/>
      <c r="CW1152" s="560"/>
      <c r="CX1152" s="560"/>
      <c r="CY1152" s="560"/>
      <c r="CZ1152" s="560"/>
      <c r="DA1152" s="560"/>
      <c r="DB1152" s="560"/>
      <c r="DC1152" s="560"/>
      <c r="DD1152" s="560"/>
      <c r="DE1152" s="560"/>
      <c r="DF1152" s="560"/>
      <c r="DG1152" s="560"/>
      <c r="DH1152" s="560"/>
      <c r="DI1152" s="560"/>
      <c r="DJ1152" s="560"/>
      <c r="DK1152" s="560"/>
      <c r="DL1152" s="560"/>
      <c r="DM1152" s="560"/>
      <c r="DN1152" s="560"/>
      <c r="DO1152" s="560"/>
      <c r="DP1152" s="560"/>
      <c r="DQ1152" s="560"/>
      <c r="DR1152" s="560"/>
      <c r="DS1152" s="560"/>
      <c r="DT1152" s="560"/>
      <c r="DU1152" s="560"/>
      <c r="DV1152" s="560"/>
      <c r="DW1152" s="560"/>
      <c r="DX1152" s="560"/>
      <c r="DY1152" s="560"/>
      <c r="DZ1152" s="560"/>
      <c r="EA1152" s="560"/>
      <c r="EB1152" s="560"/>
      <c r="EC1152" s="560"/>
      <c r="ED1152" s="560"/>
      <c r="EE1152" s="560"/>
      <c r="EF1152" s="560"/>
      <c r="EG1152" s="560"/>
      <c r="EH1152" s="560"/>
      <c r="EI1152" s="560"/>
      <c r="EJ1152" s="560"/>
      <c r="EK1152" s="560"/>
      <c r="EL1152" s="560"/>
      <c r="EM1152" s="560"/>
      <c r="EN1152" s="560"/>
      <c r="EO1152" s="560"/>
      <c r="EP1152" s="560"/>
      <c r="EQ1152" s="560"/>
      <c r="ER1152" s="560"/>
      <c r="ES1152" s="560"/>
      <c r="ET1152" s="560"/>
      <c r="EU1152" s="560"/>
      <c r="EV1152" s="560"/>
      <c r="EW1152" s="560"/>
      <c r="EX1152" s="560"/>
      <c r="EY1152" s="800" t="s">
        <v>834</v>
      </c>
      <c r="EZ1152" s="563"/>
      <c r="FA1152" s="563"/>
      <c r="FB1152" s="563"/>
      <c r="FC1152" s="563"/>
      <c r="FD1152" s="563"/>
      <c r="FE1152" s="563"/>
      <c r="FF1152" s="563"/>
      <c r="FG1152" s="563"/>
      <c r="FH1152" s="563"/>
      <c r="FI1152" s="563"/>
      <c r="FJ1152" s="563"/>
      <c r="FK1152" s="563"/>
      <c r="FL1152" s="563"/>
    </row>
    <row r="1153" spans="1:168" ht="27.6" x14ac:dyDescent="0.25">
      <c r="A1153" s="1491" t="s">
        <v>109</v>
      </c>
      <c r="B1153" s="624" t="str">
        <f t="shared" ref="B1153:D1161" si="3869">B197</f>
        <v>Пудинг из творога (запеченный) со сгущенным молоком</v>
      </c>
      <c r="C1153" s="624">
        <f t="shared" si="3869"/>
        <v>150</v>
      </c>
      <c r="D1153" s="624">
        <f t="shared" si="3869"/>
        <v>19.41</v>
      </c>
      <c r="E1153" s="1158">
        <f t="shared" ref="E1153" si="3870">EY1153</f>
        <v>52.12</v>
      </c>
      <c r="F1153" s="1158"/>
      <c r="G1153" s="1140"/>
      <c r="H1153" s="1140"/>
      <c r="I1153" s="552"/>
      <c r="J1153" s="552">
        <f t="shared" ref="J1153:AO1153" si="3871">J197*J$338</f>
        <v>0</v>
      </c>
      <c r="K1153" s="552">
        <f t="shared" si="3871"/>
        <v>0</v>
      </c>
      <c r="L1153" s="552">
        <f t="shared" si="3871"/>
        <v>0</v>
      </c>
      <c r="M1153" s="552">
        <f t="shared" si="3871"/>
        <v>0</v>
      </c>
      <c r="N1153" s="552">
        <f t="shared" si="3871"/>
        <v>0</v>
      </c>
      <c r="O1153" s="552">
        <f t="shared" si="3871"/>
        <v>0</v>
      </c>
      <c r="P1153" s="552">
        <f t="shared" si="3871"/>
        <v>0</v>
      </c>
      <c r="Q1153" s="552">
        <f t="shared" si="3871"/>
        <v>0</v>
      </c>
      <c r="R1153" s="552">
        <f t="shared" si="3871"/>
        <v>0</v>
      </c>
      <c r="S1153" s="552">
        <f t="shared" si="3871"/>
        <v>0</v>
      </c>
      <c r="T1153" s="552">
        <f t="shared" si="3871"/>
        <v>0</v>
      </c>
      <c r="U1153" s="552">
        <f t="shared" si="3871"/>
        <v>0</v>
      </c>
      <c r="V1153" s="552">
        <f t="shared" si="3871"/>
        <v>3.55</v>
      </c>
      <c r="W1153" s="552">
        <f t="shared" si="3871"/>
        <v>0</v>
      </c>
      <c r="X1153" s="552">
        <f t="shared" si="3871"/>
        <v>32.340000000000003</v>
      </c>
      <c r="Y1153" s="552">
        <f t="shared" si="3871"/>
        <v>1.17</v>
      </c>
      <c r="Z1153" s="552">
        <f t="shared" si="3871"/>
        <v>7.5</v>
      </c>
      <c r="AA1153" s="552">
        <f t="shared" si="3871"/>
        <v>0</v>
      </c>
      <c r="AB1153" s="552">
        <f t="shared" si="3871"/>
        <v>0</v>
      </c>
      <c r="AC1153" s="552">
        <f t="shared" si="3871"/>
        <v>0</v>
      </c>
      <c r="AD1153" s="552">
        <f t="shared" si="3871"/>
        <v>0</v>
      </c>
      <c r="AE1153" s="552">
        <f t="shared" si="3871"/>
        <v>0.91</v>
      </c>
      <c r="AF1153" s="552">
        <f t="shared" si="3871"/>
        <v>0</v>
      </c>
      <c r="AG1153" s="552">
        <f t="shared" si="3871"/>
        <v>0</v>
      </c>
      <c r="AH1153" s="552">
        <f t="shared" si="3871"/>
        <v>0</v>
      </c>
      <c r="AI1153" s="552">
        <f t="shared" si="3871"/>
        <v>0</v>
      </c>
      <c r="AJ1153" s="552">
        <f t="shared" si="3871"/>
        <v>0</v>
      </c>
      <c r="AK1153" s="552">
        <f t="shared" si="3871"/>
        <v>0</v>
      </c>
      <c r="AL1153" s="552">
        <f t="shared" si="3871"/>
        <v>0</v>
      </c>
      <c r="AM1153" s="552">
        <f t="shared" si="3871"/>
        <v>0</v>
      </c>
      <c r="AN1153" s="552">
        <f t="shared" si="3871"/>
        <v>0</v>
      </c>
      <c r="AO1153" s="552">
        <f t="shared" si="3871"/>
        <v>0</v>
      </c>
      <c r="AP1153" s="552">
        <f t="shared" ref="AP1153:BU1153" si="3872">AP197*AP$338</f>
        <v>0</v>
      </c>
      <c r="AQ1153" s="552">
        <f t="shared" si="3872"/>
        <v>0</v>
      </c>
      <c r="AR1153" s="552">
        <f t="shared" si="3872"/>
        <v>0</v>
      </c>
      <c r="AS1153" s="552">
        <f t="shared" si="3872"/>
        <v>0</v>
      </c>
      <c r="AT1153" s="552">
        <f t="shared" si="3872"/>
        <v>0</v>
      </c>
      <c r="AU1153" s="552">
        <f t="shared" si="3872"/>
        <v>0</v>
      </c>
      <c r="AV1153" s="552">
        <f t="shared" si="3872"/>
        <v>0</v>
      </c>
      <c r="AW1153" s="552">
        <f t="shared" si="3872"/>
        <v>0</v>
      </c>
      <c r="AX1153" s="552">
        <f t="shared" si="3872"/>
        <v>0</v>
      </c>
      <c r="AY1153" s="552">
        <f t="shared" si="3872"/>
        <v>0</v>
      </c>
      <c r="AZ1153" s="552">
        <f t="shared" si="3872"/>
        <v>0</v>
      </c>
      <c r="BA1153" s="552">
        <f t="shared" si="3872"/>
        <v>0</v>
      </c>
      <c r="BB1153" s="552">
        <f t="shared" si="3872"/>
        <v>0</v>
      </c>
      <c r="BC1153" s="552">
        <f t="shared" si="3872"/>
        <v>0</v>
      </c>
      <c r="BD1153" s="552">
        <f t="shared" si="3872"/>
        <v>0</v>
      </c>
      <c r="BE1153" s="552">
        <f t="shared" si="3872"/>
        <v>0</v>
      </c>
      <c r="BF1153" s="552">
        <f t="shared" si="3872"/>
        <v>0</v>
      </c>
      <c r="BG1153" s="552">
        <f t="shared" si="3872"/>
        <v>0</v>
      </c>
      <c r="BH1153" s="552">
        <f t="shared" si="3872"/>
        <v>0</v>
      </c>
      <c r="BI1153" s="552">
        <f t="shared" si="3872"/>
        <v>0</v>
      </c>
      <c r="BJ1153" s="552">
        <f t="shared" si="3872"/>
        <v>0</v>
      </c>
      <c r="BK1153" s="552">
        <f t="shared" si="3872"/>
        <v>0</v>
      </c>
      <c r="BL1153" s="552">
        <f t="shared" si="3872"/>
        <v>0</v>
      </c>
      <c r="BM1153" s="552">
        <f t="shared" si="3872"/>
        <v>0</v>
      </c>
      <c r="BN1153" s="552">
        <f t="shared" si="3872"/>
        <v>0</v>
      </c>
      <c r="BO1153" s="552">
        <f t="shared" si="3872"/>
        <v>0</v>
      </c>
      <c r="BP1153" s="552">
        <f t="shared" si="3872"/>
        <v>0</v>
      </c>
      <c r="BQ1153" s="552">
        <f t="shared" si="3872"/>
        <v>0</v>
      </c>
      <c r="BR1153" s="552">
        <f t="shared" si="3872"/>
        <v>0</v>
      </c>
      <c r="BS1153" s="552">
        <f t="shared" si="3872"/>
        <v>0</v>
      </c>
      <c r="BT1153" s="552">
        <f t="shared" si="3872"/>
        <v>0</v>
      </c>
      <c r="BU1153" s="552">
        <f t="shared" si="3872"/>
        <v>0.4</v>
      </c>
      <c r="BV1153" s="552">
        <f t="shared" ref="BV1153:DA1153" si="3873">BV197*BV$338</f>
        <v>0</v>
      </c>
      <c r="BW1153" s="552">
        <f t="shared" si="3873"/>
        <v>0</v>
      </c>
      <c r="BX1153" s="552">
        <f t="shared" si="3873"/>
        <v>0</v>
      </c>
      <c r="BY1153" s="552">
        <f t="shared" si="3873"/>
        <v>0</v>
      </c>
      <c r="BZ1153" s="552">
        <f t="shared" si="3873"/>
        <v>0</v>
      </c>
      <c r="CA1153" s="552">
        <f t="shared" si="3873"/>
        <v>0</v>
      </c>
      <c r="CB1153" s="552">
        <f t="shared" si="3873"/>
        <v>0</v>
      </c>
      <c r="CC1153" s="552">
        <f t="shared" si="3873"/>
        <v>0</v>
      </c>
      <c r="CD1153" s="552">
        <f t="shared" si="3873"/>
        <v>0</v>
      </c>
      <c r="CE1153" s="552">
        <f t="shared" si="3873"/>
        <v>0</v>
      </c>
      <c r="CF1153" s="552">
        <f t="shared" si="3873"/>
        <v>0</v>
      </c>
      <c r="CG1153" s="552">
        <f t="shared" si="3873"/>
        <v>0</v>
      </c>
      <c r="CH1153" s="552">
        <f t="shared" si="3873"/>
        <v>0</v>
      </c>
      <c r="CI1153" s="552">
        <f t="shared" si="3873"/>
        <v>0.1</v>
      </c>
      <c r="CJ1153" s="552">
        <f t="shared" si="3873"/>
        <v>0</v>
      </c>
      <c r="CK1153" s="552">
        <f t="shared" si="3873"/>
        <v>0</v>
      </c>
      <c r="CL1153" s="552">
        <f t="shared" si="3873"/>
        <v>0</v>
      </c>
      <c r="CM1153" s="552">
        <f t="shared" si="3873"/>
        <v>4.8</v>
      </c>
      <c r="CN1153" s="552">
        <f t="shared" si="3873"/>
        <v>0</v>
      </c>
      <c r="CO1153" s="552">
        <f t="shared" si="3873"/>
        <v>0</v>
      </c>
      <c r="CP1153" s="552">
        <f t="shared" si="3873"/>
        <v>0</v>
      </c>
      <c r="CQ1153" s="552">
        <f t="shared" si="3873"/>
        <v>0</v>
      </c>
      <c r="CR1153" s="552">
        <f t="shared" si="3873"/>
        <v>0</v>
      </c>
      <c r="CS1153" s="552">
        <f t="shared" si="3873"/>
        <v>0</v>
      </c>
      <c r="CT1153" s="552">
        <f t="shared" si="3873"/>
        <v>0</v>
      </c>
      <c r="CU1153" s="552">
        <f t="shared" si="3873"/>
        <v>0</v>
      </c>
      <c r="CV1153" s="552">
        <f t="shared" si="3873"/>
        <v>0</v>
      </c>
      <c r="CW1153" s="552">
        <f t="shared" si="3873"/>
        <v>0</v>
      </c>
      <c r="CX1153" s="552">
        <f t="shared" si="3873"/>
        <v>0</v>
      </c>
      <c r="CY1153" s="552">
        <f t="shared" si="3873"/>
        <v>0</v>
      </c>
      <c r="CZ1153" s="552">
        <f t="shared" si="3873"/>
        <v>0.76</v>
      </c>
      <c r="DA1153" s="552">
        <f t="shared" si="3873"/>
        <v>0</v>
      </c>
      <c r="DB1153" s="552">
        <f t="shared" ref="DB1153:EG1153" si="3874">DB197*DB$338</f>
        <v>0</v>
      </c>
      <c r="DC1153" s="552">
        <f t="shared" si="3874"/>
        <v>0</v>
      </c>
      <c r="DD1153" s="552">
        <f t="shared" si="3874"/>
        <v>0.59</v>
      </c>
      <c r="DE1153" s="552">
        <f t="shared" si="3874"/>
        <v>0</v>
      </c>
      <c r="DF1153" s="552">
        <f t="shared" si="3874"/>
        <v>0</v>
      </c>
      <c r="DG1153" s="552">
        <f t="shared" si="3874"/>
        <v>0</v>
      </c>
      <c r="DH1153" s="552">
        <f t="shared" si="3874"/>
        <v>0</v>
      </c>
      <c r="DI1153" s="552">
        <f t="shared" si="3874"/>
        <v>0</v>
      </c>
      <c r="DJ1153" s="552">
        <f t="shared" si="3874"/>
        <v>0</v>
      </c>
      <c r="DK1153" s="552">
        <f t="shared" si="3874"/>
        <v>0</v>
      </c>
      <c r="DL1153" s="552">
        <f t="shared" si="3874"/>
        <v>0</v>
      </c>
      <c r="DM1153" s="552">
        <f t="shared" si="3874"/>
        <v>0</v>
      </c>
      <c r="DN1153" s="552">
        <f t="shared" si="3874"/>
        <v>0</v>
      </c>
      <c r="DO1153" s="552">
        <f t="shared" si="3874"/>
        <v>0</v>
      </c>
      <c r="DP1153" s="552">
        <f t="shared" si="3874"/>
        <v>0</v>
      </c>
      <c r="DQ1153" s="552">
        <f t="shared" si="3874"/>
        <v>0</v>
      </c>
      <c r="DR1153" s="552">
        <f t="shared" si="3874"/>
        <v>0</v>
      </c>
      <c r="DS1153" s="552">
        <f t="shared" si="3874"/>
        <v>0</v>
      </c>
      <c r="DT1153" s="552">
        <f t="shared" si="3874"/>
        <v>0</v>
      </c>
      <c r="DU1153" s="552">
        <f t="shared" si="3874"/>
        <v>0</v>
      </c>
      <c r="DV1153" s="552">
        <f t="shared" si="3874"/>
        <v>0</v>
      </c>
      <c r="DW1153" s="552">
        <f t="shared" si="3874"/>
        <v>0</v>
      </c>
      <c r="DX1153" s="552">
        <f t="shared" si="3874"/>
        <v>0</v>
      </c>
      <c r="DY1153" s="552">
        <f t="shared" si="3874"/>
        <v>0</v>
      </c>
      <c r="DZ1153" s="552">
        <f t="shared" si="3874"/>
        <v>0</v>
      </c>
      <c r="EA1153" s="552">
        <f t="shared" si="3874"/>
        <v>0</v>
      </c>
      <c r="EB1153" s="552">
        <f t="shared" si="3874"/>
        <v>0</v>
      </c>
      <c r="EC1153" s="552">
        <f t="shared" si="3874"/>
        <v>0</v>
      </c>
      <c r="ED1153" s="552">
        <f t="shared" si="3874"/>
        <v>0</v>
      </c>
      <c r="EE1153" s="552">
        <f t="shared" si="3874"/>
        <v>0</v>
      </c>
      <c r="EF1153" s="552">
        <f t="shared" si="3874"/>
        <v>0</v>
      </c>
      <c r="EG1153" s="552">
        <f t="shared" si="3874"/>
        <v>0</v>
      </c>
      <c r="EH1153" s="552">
        <f t="shared" ref="EH1153:EX1153" si="3875">EH197*EH$338</f>
        <v>0</v>
      </c>
      <c r="EI1153" s="552">
        <f t="shared" si="3875"/>
        <v>0</v>
      </c>
      <c r="EJ1153" s="552">
        <f t="shared" si="3875"/>
        <v>0</v>
      </c>
      <c r="EK1153" s="552">
        <f t="shared" si="3875"/>
        <v>0</v>
      </c>
      <c r="EL1153" s="552">
        <f t="shared" si="3875"/>
        <v>0</v>
      </c>
      <c r="EM1153" s="552">
        <f t="shared" si="3875"/>
        <v>0</v>
      </c>
      <c r="EN1153" s="552">
        <f t="shared" si="3875"/>
        <v>0</v>
      </c>
      <c r="EO1153" s="552">
        <f t="shared" si="3875"/>
        <v>0</v>
      </c>
      <c r="EP1153" s="552">
        <f t="shared" si="3875"/>
        <v>0</v>
      </c>
      <c r="EQ1153" s="552">
        <f t="shared" si="3875"/>
        <v>0</v>
      </c>
      <c r="ER1153" s="552">
        <f t="shared" si="3875"/>
        <v>0</v>
      </c>
      <c r="ES1153" s="552">
        <f t="shared" si="3875"/>
        <v>0</v>
      </c>
      <c r="ET1153" s="552">
        <f t="shared" si="3875"/>
        <v>0</v>
      </c>
      <c r="EU1153" s="552">
        <f t="shared" si="3875"/>
        <v>0</v>
      </c>
      <c r="EV1153" s="552">
        <f t="shared" si="3875"/>
        <v>0</v>
      </c>
      <c r="EW1153" s="552">
        <f t="shared" si="3875"/>
        <v>0</v>
      </c>
      <c r="EX1153" s="552">
        <f t="shared" si="3875"/>
        <v>0</v>
      </c>
      <c r="EY1153" s="799">
        <f t="shared" ref="EY1153:EY1177" si="3876">SUM(J1153:EX1153)</f>
        <v>52.12</v>
      </c>
      <c r="EZ1153" s="640"/>
      <c r="FA1153" s="640"/>
      <c r="FB1153" s="640"/>
      <c r="FC1153" s="640"/>
      <c r="FD1153" s="640"/>
      <c r="FE1153" s="640"/>
      <c r="FF1153" s="640"/>
      <c r="FG1153" s="640"/>
      <c r="FH1153" s="640"/>
      <c r="FI1153" s="640"/>
      <c r="FJ1153" s="640"/>
      <c r="FK1153" s="640"/>
      <c r="FL1153" s="640"/>
    </row>
    <row r="1154" spans="1:168" x14ac:dyDescent="0.25">
      <c r="A1154" s="1492"/>
      <c r="B1154" s="624" t="str">
        <f t="shared" si="3869"/>
        <v>Масло сливочное (порциями)</v>
      </c>
      <c r="C1154" s="624">
        <f t="shared" si="3869"/>
        <v>10</v>
      </c>
      <c r="D1154" s="624">
        <f t="shared" si="3869"/>
        <v>0.08</v>
      </c>
      <c r="E1154" s="1158">
        <f t="shared" ref="E1154:E1161" si="3877">EY1154</f>
        <v>7.1</v>
      </c>
      <c r="F1154" s="1158"/>
      <c r="G1154" s="1140"/>
      <c r="H1154" s="1140"/>
      <c r="I1154" s="552"/>
      <c r="J1154" s="552">
        <f t="shared" ref="J1154:AO1154" si="3878">J198*J$338</f>
        <v>0</v>
      </c>
      <c r="K1154" s="552">
        <f t="shared" si="3878"/>
        <v>0</v>
      </c>
      <c r="L1154" s="552">
        <f t="shared" si="3878"/>
        <v>0</v>
      </c>
      <c r="M1154" s="552">
        <f t="shared" si="3878"/>
        <v>0</v>
      </c>
      <c r="N1154" s="552">
        <f t="shared" si="3878"/>
        <v>0</v>
      </c>
      <c r="O1154" s="552">
        <f t="shared" si="3878"/>
        <v>0</v>
      </c>
      <c r="P1154" s="552">
        <f t="shared" si="3878"/>
        <v>0</v>
      </c>
      <c r="Q1154" s="552">
        <f t="shared" si="3878"/>
        <v>0</v>
      </c>
      <c r="R1154" s="552">
        <f t="shared" si="3878"/>
        <v>0</v>
      </c>
      <c r="S1154" s="552">
        <f t="shared" si="3878"/>
        <v>0</v>
      </c>
      <c r="T1154" s="552">
        <f t="shared" si="3878"/>
        <v>0</v>
      </c>
      <c r="U1154" s="552">
        <f t="shared" si="3878"/>
        <v>0</v>
      </c>
      <c r="V1154" s="552">
        <f t="shared" si="3878"/>
        <v>7.1</v>
      </c>
      <c r="W1154" s="552">
        <f t="shared" si="3878"/>
        <v>0</v>
      </c>
      <c r="X1154" s="552">
        <f t="shared" si="3878"/>
        <v>0</v>
      </c>
      <c r="Y1154" s="552">
        <f t="shared" si="3878"/>
        <v>0</v>
      </c>
      <c r="Z1154" s="552">
        <f t="shared" si="3878"/>
        <v>0</v>
      </c>
      <c r="AA1154" s="552">
        <f t="shared" si="3878"/>
        <v>0</v>
      </c>
      <c r="AB1154" s="552">
        <f t="shared" si="3878"/>
        <v>0</v>
      </c>
      <c r="AC1154" s="552">
        <f t="shared" si="3878"/>
        <v>0</v>
      </c>
      <c r="AD1154" s="552">
        <f t="shared" si="3878"/>
        <v>0</v>
      </c>
      <c r="AE1154" s="552">
        <f t="shared" si="3878"/>
        <v>0</v>
      </c>
      <c r="AF1154" s="552">
        <f t="shared" si="3878"/>
        <v>0</v>
      </c>
      <c r="AG1154" s="552">
        <f t="shared" si="3878"/>
        <v>0</v>
      </c>
      <c r="AH1154" s="552">
        <f t="shared" si="3878"/>
        <v>0</v>
      </c>
      <c r="AI1154" s="552">
        <f t="shared" si="3878"/>
        <v>0</v>
      </c>
      <c r="AJ1154" s="552">
        <f t="shared" si="3878"/>
        <v>0</v>
      </c>
      <c r="AK1154" s="552">
        <f t="shared" si="3878"/>
        <v>0</v>
      </c>
      <c r="AL1154" s="552">
        <f t="shared" si="3878"/>
        <v>0</v>
      </c>
      <c r="AM1154" s="552">
        <f t="shared" si="3878"/>
        <v>0</v>
      </c>
      <c r="AN1154" s="552">
        <f t="shared" si="3878"/>
        <v>0</v>
      </c>
      <c r="AO1154" s="552">
        <f t="shared" si="3878"/>
        <v>0</v>
      </c>
      <c r="AP1154" s="552">
        <f t="shared" ref="AP1154:BU1154" si="3879">AP198*AP$338</f>
        <v>0</v>
      </c>
      <c r="AQ1154" s="552">
        <f t="shared" si="3879"/>
        <v>0</v>
      </c>
      <c r="AR1154" s="552">
        <f t="shared" si="3879"/>
        <v>0</v>
      </c>
      <c r="AS1154" s="552">
        <f t="shared" si="3879"/>
        <v>0</v>
      </c>
      <c r="AT1154" s="552">
        <f t="shared" si="3879"/>
        <v>0</v>
      </c>
      <c r="AU1154" s="552">
        <f t="shared" si="3879"/>
        <v>0</v>
      </c>
      <c r="AV1154" s="552">
        <f t="shared" si="3879"/>
        <v>0</v>
      </c>
      <c r="AW1154" s="552">
        <f t="shared" si="3879"/>
        <v>0</v>
      </c>
      <c r="AX1154" s="552">
        <f t="shared" si="3879"/>
        <v>0</v>
      </c>
      <c r="AY1154" s="552">
        <f t="shared" si="3879"/>
        <v>0</v>
      </c>
      <c r="AZ1154" s="552">
        <f t="shared" si="3879"/>
        <v>0</v>
      </c>
      <c r="BA1154" s="552">
        <f t="shared" si="3879"/>
        <v>0</v>
      </c>
      <c r="BB1154" s="552">
        <f t="shared" si="3879"/>
        <v>0</v>
      </c>
      <c r="BC1154" s="552">
        <f t="shared" si="3879"/>
        <v>0</v>
      </c>
      <c r="BD1154" s="552">
        <f t="shared" si="3879"/>
        <v>0</v>
      </c>
      <c r="BE1154" s="552">
        <f t="shared" si="3879"/>
        <v>0</v>
      </c>
      <c r="BF1154" s="552">
        <f t="shared" si="3879"/>
        <v>0</v>
      </c>
      <c r="BG1154" s="552">
        <f t="shared" si="3879"/>
        <v>0</v>
      </c>
      <c r="BH1154" s="552">
        <f t="shared" si="3879"/>
        <v>0</v>
      </c>
      <c r="BI1154" s="552">
        <f t="shared" si="3879"/>
        <v>0</v>
      </c>
      <c r="BJ1154" s="552">
        <f t="shared" si="3879"/>
        <v>0</v>
      </c>
      <c r="BK1154" s="552">
        <f t="shared" si="3879"/>
        <v>0</v>
      </c>
      <c r="BL1154" s="552">
        <f t="shared" si="3879"/>
        <v>0</v>
      </c>
      <c r="BM1154" s="552">
        <f t="shared" si="3879"/>
        <v>0</v>
      </c>
      <c r="BN1154" s="552">
        <f t="shared" si="3879"/>
        <v>0</v>
      </c>
      <c r="BO1154" s="552">
        <f t="shared" si="3879"/>
        <v>0</v>
      </c>
      <c r="BP1154" s="552">
        <f t="shared" si="3879"/>
        <v>0</v>
      </c>
      <c r="BQ1154" s="552">
        <f t="shared" si="3879"/>
        <v>0</v>
      </c>
      <c r="BR1154" s="552">
        <f t="shared" si="3879"/>
        <v>0</v>
      </c>
      <c r="BS1154" s="552">
        <f t="shared" si="3879"/>
        <v>0</v>
      </c>
      <c r="BT1154" s="552">
        <f t="shared" si="3879"/>
        <v>0</v>
      </c>
      <c r="BU1154" s="552">
        <f t="shared" si="3879"/>
        <v>0</v>
      </c>
      <c r="BV1154" s="552">
        <f t="shared" ref="BV1154:DA1154" si="3880">BV198*BV$338</f>
        <v>0</v>
      </c>
      <c r="BW1154" s="552">
        <f t="shared" si="3880"/>
        <v>0</v>
      </c>
      <c r="BX1154" s="552">
        <f t="shared" si="3880"/>
        <v>0</v>
      </c>
      <c r="BY1154" s="552">
        <f t="shared" si="3880"/>
        <v>0</v>
      </c>
      <c r="BZ1154" s="552">
        <f t="shared" si="3880"/>
        <v>0</v>
      </c>
      <c r="CA1154" s="552">
        <f t="shared" si="3880"/>
        <v>0</v>
      </c>
      <c r="CB1154" s="552">
        <f t="shared" si="3880"/>
        <v>0</v>
      </c>
      <c r="CC1154" s="552">
        <f t="shared" si="3880"/>
        <v>0</v>
      </c>
      <c r="CD1154" s="552">
        <f t="shared" si="3880"/>
        <v>0</v>
      </c>
      <c r="CE1154" s="552">
        <f t="shared" si="3880"/>
        <v>0</v>
      </c>
      <c r="CF1154" s="552">
        <f t="shared" si="3880"/>
        <v>0</v>
      </c>
      <c r="CG1154" s="552">
        <f t="shared" si="3880"/>
        <v>0</v>
      </c>
      <c r="CH1154" s="552">
        <f t="shared" si="3880"/>
        <v>0</v>
      </c>
      <c r="CI1154" s="552">
        <f t="shared" si="3880"/>
        <v>0</v>
      </c>
      <c r="CJ1154" s="552">
        <f t="shared" si="3880"/>
        <v>0</v>
      </c>
      <c r="CK1154" s="552">
        <f t="shared" si="3880"/>
        <v>0</v>
      </c>
      <c r="CL1154" s="552">
        <f t="shared" si="3880"/>
        <v>0</v>
      </c>
      <c r="CM1154" s="552">
        <f t="shared" si="3880"/>
        <v>0</v>
      </c>
      <c r="CN1154" s="552">
        <f t="shared" si="3880"/>
        <v>0</v>
      </c>
      <c r="CO1154" s="552">
        <f t="shared" si="3880"/>
        <v>0</v>
      </c>
      <c r="CP1154" s="552">
        <f t="shared" si="3880"/>
        <v>0</v>
      </c>
      <c r="CQ1154" s="552">
        <f t="shared" si="3880"/>
        <v>0</v>
      </c>
      <c r="CR1154" s="552">
        <f t="shared" si="3880"/>
        <v>0</v>
      </c>
      <c r="CS1154" s="552">
        <f t="shared" si="3880"/>
        <v>0</v>
      </c>
      <c r="CT1154" s="552">
        <f t="shared" si="3880"/>
        <v>0</v>
      </c>
      <c r="CU1154" s="552">
        <f t="shared" si="3880"/>
        <v>0</v>
      </c>
      <c r="CV1154" s="552">
        <f t="shared" si="3880"/>
        <v>0</v>
      </c>
      <c r="CW1154" s="552">
        <f t="shared" si="3880"/>
        <v>0</v>
      </c>
      <c r="CX1154" s="552">
        <f t="shared" si="3880"/>
        <v>0</v>
      </c>
      <c r="CY1154" s="552">
        <f t="shared" si="3880"/>
        <v>0</v>
      </c>
      <c r="CZ1154" s="552">
        <f t="shared" si="3880"/>
        <v>0</v>
      </c>
      <c r="DA1154" s="552">
        <f t="shared" si="3880"/>
        <v>0</v>
      </c>
      <c r="DB1154" s="552">
        <f t="shared" ref="DB1154:EG1154" si="3881">DB198*DB$338</f>
        <v>0</v>
      </c>
      <c r="DC1154" s="552">
        <f t="shared" si="3881"/>
        <v>0</v>
      </c>
      <c r="DD1154" s="552">
        <f t="shared" si="3881"/>
        <v>0</v>
      </c>
      <c r="DE1154" s="552">
        <f t="shared" si="3881"/>
        <v>0</v>
      </c>
      <c r="DF1154" s="552">
        <f t="shared" si="3881"/>
        <v>0</v>
      </c>
      <c r="DG1154" s="552">
        <f t="shared" si="3881"/>
        <v>0</v>
      </c>
      <c r="DH1154" s="552">
        <f t="shared" si="3881"/>
        <v>0</v>
      </c>
      <c r="DI1154" s="552">
        <f t="shared" si="3881"/>
        <v>0</v>
      </c>
      <c r="DJ1154" s="552">
        <f t="shared" si="3881"/>
        <v>0</v>
      </c>
      <c r="DK1154" s="552">
        <f t="shared" si="3881"/>
        <v>0</v>
      </c>
      <c r="DL1154" s="552">
        <f t="shared" si="3881"/>
        <v>0</v>
      </c>
      <c r="DM1154" s="552">
        <f t="shared" si="3881"/>
        <v>0</v>
      </c>
      <c r="DN1154" s="552">
        <f t="shared" si="3881"/>
        <v>0</v>
      </c>
      <c r="DO1154" s="552">
        <f t="shared" si="3881"/>
        <v>0</v>
      </c>
      <c r="DP1154" s="552">
        <f t="shared" si="3881"/>
        <v>0</v>
      </c>
      <c r="DQ1154" s="552">
        <f t="shared" si="3881"/>
        <v>0</v>
      </c>
      <c r="DR1154" s="552">
        <f t="shared" si="3881"/>
        <v>0</v>
      </c>
      <c r="DS1154" s="552">
        <f t="shared" si="3881"/>
        <v>0</v>
      </c>
      <c r="DT1154" s="552">
        <f t="shared" si="3881"/>
        <v>0</v>
      </c>
      <c r="DU1154" s="552">
        <f t="shared" si="3881"/>
        <v>0</v>
      </c>
      <c r="DV1154" s="552">
        <f t="shared" si="3881"/>
        <v>0</v>
      </c>
      <c r="DW1154" s="552">
        <f t="shared" si="3881"/>
        <v>0</v>
      </c>
      <c r="DX1154" s="552">
        <f t="shared" si="3881"/>
        <v>0</v>
      </c>
      <c r="DY1154" s="552">
        <f t="shared" si="3881"/>
        <v>0</v>
      </c>
      <c r="DZ1154" s="552">
        <f t="shared" si="3881"/>
        <v>0</v>
      </c>
      <c r="EA1154" s="552">
        <f t="shared" si="3881"/>
        <v>0</v>
      </c>
      <c r="EB1154" s="552">
        <f t="shared" si="3881"/>
        <v>0</v>
      </c>
      <c r="EC1154" s="552">
        <f t="shared" si="3881"/>
        <v>0</v>
      </c>
      <c r="ED1154" s="552">
        <f t="shared" si="3881"/>
        <v>0</v>
      </c>
      <c r="EE1154" s="552">
        <f t="shared" si="3881"/>
        <v>0</v>
      </c>
      <c r="EF1154" s="552">
        <f t="shared" si="3881"/>
        <v>0</v>
      </c>
      <c r="EG1154" s="552">
        <f t="shared" si="3881"/>
        <v>0</v>
      </c>
      <c r="EH1154" s="552">
        <f t="shared" ref="EH1154:EX1154" si="3882">EH198*EH$338</f>
        <v>0</v>
      </c>
      <c r="EI1154" s="552">
        <f t="shared" si="3882"/>
        <v>0</v>
      </c>
      <c r="EJ1154" s="552">
        <f t="shared" si="3882"/>
        <v>0</v>
      </c>
      <c r="EK1154" s="552">
        <f t="shared" si="3882"/>
        <v>0</v>
      </c>
      <c r="EL1154" s="552">
        <f t="shared" si="3882"/>
        <v>0</v>
      </c>
      <c r="EM1154" s="552">
        <f t="shared" si="3882"/>
        <v>0</v>
      </c>
      <c r="EN1154" s="552">
        <f t="shared" si="3882"/>
        <v>0</v>
      </c>
      <c r="EO1154" s="552">
        <f t="shared" si="3882"/>
        <v>0</v>
      </c>
      <c r="EP1154" s="552">
        <f t="shared" si="3882"/>
        <v>0</v>
      </c>
      <c r="EQ1154" s="552">
        <f t="shared" si="3882"/>
        <v>0</v>
      </c>
      <c r="ER1154" s="552">
        <f t="shared" si="3882"/>
        <v>0</v>
      </c>
      <c r="ES1154" s="552">
        <f t="shared" si="3882"/>
        <v>0</v>
      </c>
      <c r="ET1154" s="552">
        <f t="shared" si="3882"/>
        <v>0</v>
      </c>
      <c r="EU1154" s="552">
        <f t="shared" si="3882"/>
        <v>0</v>
      </c>
      <c r="EV1154" s="552">
        <f t="shared" si="3882"/>
        <v>0</v>
      </c>
      <c r="EW1154" s="552">
        <f t="shared" si="3882"/>
        <v>0</v>
      </c>
      <c r="EX1154" s="552">
        <f t="shared" si="3882"/>
        <v>0</v>
      </c>
      <c r="EY1154" s="799">
        <f t="shared" si="3876"/>
        <v>7.1</v>
      </c>
      <c r="EZ1154" s="640"/>
      <c r="FA1154" s="640"/>
      <c r="FB1154" s="640"/>
      <c r="FC1154" s="640"/>
      <c r="FD1154" s="640"/>
      <c r="FE1154" s="640"/>
      <c r="FF1154" s="640"/>
      <c r="FG1154" s="640"/>
      <c r="FH1154" s="640"/>
      <c r="FI1154" s="640"/>
      <c r="FJ1154" s="640"/>
      <c r="FK1154" s="640"/>
      <c r="FL1154" s="640"/>
    </row>
    <row r="1155" spans="1:168" x14ac:dyDescent="0.25">
      <c r="A1155" s="1492"/>
      <c r="B1155" s="624" t="str">
        <f t="shared" si="3869"/>
        <v xml:space="preserve">Сыр российский (порциями) </v>
      </c>
      <c r="C1155" s="624">
        <f t="shared" si="3869"/>
        <v>20</v>
      </c>
      <c r="D1155" s="624">
        <f t="shared" si="3869"/>
        <v>4.6399999999999997</v>
      </c>
      <c r="E1155" s="1158">
        <f t="shared" si="3877"/>
        <v>15.1</v>
      </c>
      <c r="F1155" s="1158"/>
      <c r="G1155" s="1140"/>
      <c r="H1155" s="1140"/>
      <c r="I1155" s="552"/>
      <c r="J1155" s="552">
        <f t="shared" ref="J1155:AO1155" si="3883">J199*J$338</f>
        <v>0</v>
      </c>
      <c r="K1155" s="552">
        <f t="shared" si="3883"/>
        <v>0</v>
      </c>
      <c r="L1155" s="552">
        <f t="shared" si="3883"/>
        <v>0</v>
      </c>
      <c r="M1155" s="552">
        <f t="shared" si="3883"/>
        <v>0</v>
      </c>
      <c r="N1155" s="552">
        <f t="shared" si="3883"/>
        <v>0</v>
      </c>
      <c r="O1155" s="552">
        <f t="shared" si="3883"/>
        <v>0</v>
      </c>
      <c r="P1155" s="552">
        <f t="shared" si="3883"/>
        <v>0</v>
      </c>
      <c r="Q1155" s="552">
        <f t="shared" si="3883"/>
        <v>0</v>
      </c>
      <c r="R1155" s="552">
        <f t="shared" si="3883"/>
        <v>0</v>
      </c>
      <c r="S1155" s="552">
        <f t="shared" si="3883"/>
        <v>0</v>
      </c>
      <c r="T1155" s="552">
        <f t="shared" si="3883"/>
        <v>0</v>
      </c>
      <c r="U1155" s="552">
        <f t="shared" si="3883"/>
        <v>0</v>
      </c>
      <c r="V1155" s="552">
        <f t="shared" si="3883"/>
        <v>0</v>
      </c>
      <c r="W1155" s="552">
        <f t="shared" si="3883"/>
        <v>15.1</v>
      </c>
      <c r="X1155" s="552">
        <f t="shared" si="3883"/>
        <v>0</v>
      </c>
      <c r="Y1155" s="552">
        <f t="shared" si="3883"/>
        <v>0</v>
      </c>
      <c r="Z1155" s="552">
        <f t="shared" si="3883"/>
        <v>0</v>
      </c>
      <c r="AA1155" s="552">
        <f t="shared" si="3883"/>
        <v>0</v>
      </c>
      <c r="AB1155" s="552">
        <f t="shared" si="3883"/>
        <v>0</v>
      </c>
      <c r="AC1155" s="552">
        <f t="shared" si="3883"/>
        <v>0</v>
      </c>
      <c r="AD1155" s="552">
        <f t="shared" si="3883"/>
        <v>0</v>
      </c>
      <c r="AE1155" s="552">
        <f t="shared" si="3883"/>
        <v>0</v>
      </c>
      <c r="AF1155" s="552">
        <f t="shared" si="3883"/>
        <v>0</v>
      </c>
      <c r="AG1155" s="552">
        <f t="shared" si="3883"/>
        <v>0</v>
      </c>
      <c r="AH1155" s="552">
        <f t="shared" si="3883"/>
        <v>0</v>
      </c>
      <c r="AI1155" s="552">
        <f t="shared" si="3883"/>
        <v>0</v>
      </c>
      <c r="AJ1155" s="552">
        <f t="shared" si="3883"/>
        <v>0</v>
      </c>
      <c r="AK1155" s="552">
        <f t="shared" si="3883"/>
        <v>0</v>
      </c>
      <c r="AL1155" s="552">
        <f t="shared" si="3883"/>
        <v>0</v>
      </c>
      <c r="AM1155" s="552">
        <f t="shared" si="3883"/>
        <v>0</v>
      </c>
      <c r="AN1155" s="552">
        <f t="shared" si="3883"/>
        <v>0</v>
      </c>
      <c r="AO1155" s="552">
        <f t="shared" si="3883"/>
        <v>0</v>
      </c>
      <c r="AP1155" s="552">
        <f t="shared" ref="AP1155:BU1155" si="3884">AP199*AP$338</f>
        <v>0</v>
      </c>
      <c r="AQ1155" s="552">
        <f t="shared" si="3884"/>
        <v>0</v>
      </c>
      <c r="AR1155" s="552">
        <f t="shared" si="3884"/>
        <v>0</v>
      </c>
      <c r="AS1155" s="552">
        <f t="shared" si="3884"/>
        <v>0</v>
      </c>
      <c r="AT1155" s="552">
        <f t="shared" si="3884"/>
        <v>0</v>
      </c>
      <c r="AU1155" s="552">
        <f t="shared" si="3884"/>
        <v>0</v>
      </c>
      <c r="AV1155" s="552">
        <f t="shared" si="3884"/>
        <v>0</v>
      </c>
      <c r="AW1155" s="552">
        <f t="shared" si="3884"/>
        <v>0</v>
      </c>
      <c r="AX1155" s="552">
        <f t="shared" si="3884"/>
        <v>0</v>
      </c>
      <c r="AY1155" s="552">
        <f t="shared" si="3884"/>
        <v>0</v>
      </c>
      <c r="AZ1155" s="552">
        <f t="shared" si="3884"/>
        <v>0</v>
      </c>
      <c r="BA1155" s="552">
        <f t="shared" si="3884"/>
        <v>0</v>
      </c>
      <c r="BB1155" s="552">
        <f t="shared" si="3884"/>
        <v>0</v>
      </c>
      <c r="BC1155" s="552">
        <f t="shared" si="3884"/>
        <v>0</v>
      </c>
      <c r="BD1155" s="552">
        <f t="shared" si="3884"/>
        <v>0</v>
      </c>
      <c r="BE1155" s="552">
        <f t="shared" si="3884"/>
        <v>0</v>
      </c>
      <c r="BF1155" s="552">
        <f t="shared" si="3884"/>
        <v>0</v>
      </c>
      <c r="BG1155" s="552">
        <f t="shared" si="3884"/>
        <v>0</v>
      </c>
      <c r="BH1155" s="552">
        <f t="shared" si="3884"/>
        <v>0</v>
      </c>
      <c r="BI1155" s="552">
        <f t="shared" si="3884"/>
        <v>0</v>
      </c>
      <c r="BJ1155" s="552">
        <f t="shared" si="3884"/>
        <v>0</v>
      </c>
      <c r="BK1155" s="552">
        <f t="shared" si="3884"/>
        <v>0</v>
      </c>
      <c r="BL1155" s="552">
        <f t="shared" si="3884"/>
        <v>0</v>
      </c>
      <c r="BM1155" s="552">
        <f t="shared" si="3884"/>
        <v>0</v>
      </c>
      <c r="BN1155" s="552">
        <f t="shared" si="3884"/>
        <v>0</v>
      </c>
      <c r="BO1155" s="552">
        <f t="shared" si="3884"/>
        <v>0</v>
      </c>
      <c r="BP1155" s="552">
        <f t="shared" si="3884"/>
        <v>0</v>
      </c>
      <c r="BQ1155" s="552">
        <f t="shared" si="3884"/>
        <v>0</v>
      </c>
      <c r="BR1155" s="552">
        <f t="shared" si="3884"/>
        <v>0</v>
      </c>
      <c r="BS1155" s="552">
        <f t="shared" si="3884"/>
        <v>0</v>
      </c>
      <c r="BT1155" s="552">
        <f t="shared" si="3884"/>
        <v>0</v>
      </c>
      <c r="BU1155" s="552">
        <f t="shared" si="3884"/>
        <v>0</v>
      </c>
      <c r="BV1155" s="552">
        <f t="shared" ref="BV1155:DA1155" si="3885">BV199*BV$338</f>
        <v>0</v>
      </c>
      <c r="BW1155" s="552">
        <f t="shared" si="3885"/>
        <v>0</v>
      </c>
      <c r="BX1155" s="552">
        <f t="shared" si="3885"/>
        <v>0</v>
      </c>
      <c r="BY1155" s="552">
        <f t="shared" si="3885"/>
        <v>0</v>
      </c>
      <c r="BZ1155" s="552">
        <f t="shared" si="3885"/>
        <v>0</v>
      </c>
      <c r="CA1155" s="552">
        <f t="shared" si="3885"/>
        <v>0</v>
      </c>
      <c r="CB1155" s="552">
        <f t="shared" si="3885"/>
        <v>0</v>
      </c>
      <c r="CC1155" s="552">
        <f t="shared" si="3885"/>
        <v>0</v>
      </c>
      <c r="CD1155" s="552">
        <f t="shared" si="3885"/>
        <v>0</v>
      </c>
      <c r="CE1155" s="552">
        <f t="shared" si="3885"/>
        <v>0</v>
      </c>
      <c r="CF1155" s="552">
        <f t="shared" si="3885"/>
        <v>0</v>
      </c>
      <c r="CG1155" s="552">
        <f t="shared" si="3885"/>
        <v>0</v>
      </c>
      <c r="CH1155" s="552">
        <f t="shared" si="3885"/>
        <v>0</v>
      </c>
      <c r="CI1155" s="552">
        <f t="shared" si="3885"/>
        <v>0</v>
      </c>
      <c r="CJ1155" s="552">
        <f t="shared" si="3885"/>
        <v>0</v>
      </c>
      <c r="CK1155" s="552">
        <f t="shared" si="3885"/>
        <v>0</v>
      </c>
      <c r="CL1155" s="552">
        <f t="shared" si="3885"/>
        <v>0</v>
      </c>
      <c r="CM1155" s="552">
        <f t="shared" si="3885"/>
        <v>0</v>
      </c>
      <c r="CN1155" s="552">
        <f t="shared" si="3885"/>
        <v>0</v>
      </c>
      <c r="CO1155" s="552">
        <f t="shared" si="3885"/>
        <v>0</v>
      </c>
      <c r="CP1155" s="552">
        <f t="shared" si="3885"/>
        <v>0</v>
      </c>
      <c r="CQ1155" s="552">
        <f t="shared" si="3885"/>
        <v>0</v>
      </c>
      <c r="CR1155" s="552">
        <f t="shared" si="3885"/>
        <v>0</v>
      </c>
      <c r="CS1155" s="552">
        <f t="shared" si="3885"/>
        <v>0</v>
      </c>
      <c r="CT1155" s="552">
        <f t="shared" si="3885"/>
        <v>0</v>
      </c>
      <c r="CU1155" s="552">
        <f t="shared" si="3885"/>
        <v>0</v>
      </c>
      <c r="CV1155" s="552">
        <f t="shared" si="3885"/>
        <v>0</v>
      </c>
      <c r="CW1155" s="552">
        <f t="shared" si="3885"/>
        <v>0</v>
      </c>
      <c r="CX1155" s="552">
        <f t="shared" si="3885"/>
        <v>0</v>
      </c>
      <c r="CY1155" s="552">
        <f t="shared" si="3885"/>
        <v>0</v>
      </c>
      <c r="CZ1155" s="552">
        <f t="shared" si="3885"/>
        <v>0</v>
      </c>
      <c r="DA1155" s="552">
        <f t="shared" si="3885"/>
        <v>0</v>
      </c>
      <c r="DB1155" s="552">
        <f t="shared" ref="DB1155:EG1155" si="3886">DB199*DB$338</f>
        <v>0</v>
      </c>
      <c r="DC1155" s="552">
        <f t="shared" si="3886"/>
        <v>0</v>
      </c>
      <c r="DD1155" s="552">
        <f t="shared" si="3886"/>
        <v>0</v>
      </c>
      <c r="DE1155" s="552">
        <f t="shared" si="3886"/>
        <v>0</v>
      </c>
      <c r="DF1155" s="552">
        <f t="shared" si="3886"/>
        <v>0</v>
      </c>
      <c r="DG1155" s="552">
        <f t="shared" si="3886"/>
        <v>0</v>
      </c>
      <c r="DH1155" s="552">
        <f t="shared" si="3886"/>
        <v>0</v>
      </c>
      <c r="DI1155" s="552">
        <f t="shared" si="3886"/>
        <v>0</v>
      </c>
      <c r="DJ1155" s="552">
        <f t="shared" si="3886"/>
        <v>0</v>
      </c>
      <c r="DK1155" s="552">
        <f t="shared" si="3886"/>
        <v>0</v>
      </c>
      <c r="DL1155" s="552">
        <f t="shared" si="3886"/>
        <v>0</v>
      </c>
      <c r="DM1155" s="552">
        <f t="shared" si="3886"/>
        <v>0</v>
      </c>
      <c r="DN1155" s="552">
        <f t="shared" si="3886"/>
        <v>0</v>
      </c>
      <c r="DO1155" s="552">
        <f t="shared" si="3886"/>
        <v>0</v>
      </c>
      <c r="DP1155" s="552">
        <f t="shared" si="3886"/>
        <v>0</v>
      </c>
      <c r="DQ1155" s="552">
        <f t="shared" si="3886"/>
        <v>0</v>
      </c>
      <c r="DR1155" s="552">
        <f t="shared" si="3886"/>
        <v>0</v>
      </c>
      <c r="DS1155" s="552">
        <f t="shared" si="3886"/>
        <v>0</v>
      </c>
      <c r="DT1155" s="552">
        <f t="shared" si="3886"/>
        <v>0</v>
      </c>
      <c r="DU1155" s="552">
        <f t="shared" si="3886"/>
        <v>0</v>
      </c>
      <c r="DV1155" s="552">
        <f t="shared" si="3886"/>
        <v>0</v>
      </c>
      <c r="DW1155" s="552">
        <f t="shared" si="3886"/>
        <v>0</v>
      </c>
      <c r="DX1155" s="552">
        <f t="shared" si="3886"/>
        <v>0</v>
      </c>
      <c r="DY1155" s="552">
        <f t="shared" si="3886"/>
        <v>0</v>
      </c>
      <c r="DZ1155" s="552">
        <f t="shared" si="3886"/>
        <v>0</v>
      </c>
      <c r="EA1155" s="552">
        <f t="shared" si="3886"/>
        <v>0</v>
      </c>
      <c r="EB1155" s="552">
        <f t="shared" si="3886"/>
        <v>0</v>
      </c>
      <c r="EC1155" s="552">
        <f t="shared" si="3886"/>
        <v>0</v>
      </c>
      <c r="ED1155" s="552">
        <f t="shared" si="3886"/>
        <v>0</v>
      </c>
      <c r="EE1155" s="552">
        <f t="shared" si="3886"/>
        <v>0</v>
      </c>
      <c r="EF1155" s="552">
        <f t="shared" si="3886"/>
        <v>0</v>
      </c>
      <c r="EG1155" s="552">
        <f t="shared" si="3886"/>
        <v>0</v>
      </c>
      <c r="EH1155" s="552">
        <f t="shared" ref="EH1155:EX1155" si="3887">EH199*EH$338</f>
        <v>0</v>
      </c>
      <c r="EI1155" s="552">
        <f t="shared" si="3887"/>
        <v>0</v>
      </c>
      <c r="EJ1155" s="552">
        <f t="shared" si="3887"/>
        <v>0</v>
      </c>
      <c r="EK1155" s="552">
        <f t="shared" si="3887"/>
        <v>0</v>
      </c>
      <c r="EL1155" s="552">
        <f t="shared" si="3887"/>
        <v>0</v>
      </c>
      <c r="EM1155" s="552">
        <f t="shared" si="3887"/>
        <v>0</v>
      </c>
      <c r="EN1155" s="552">
        <f t="shared" si="3887"/>
        <v>0</v>
      </c>
      <c r="EO1155" s="552">
        <f t="shared" si="3887"/>
        <v>0</v>
      </c>
      <c r="EP1155" s="552">
        <f t="shared" si="3887"/>
        <v>0</v>
      </c>
      <c r="EQ1155" s="552">
        <f t="shared" si="3887"/>
        <v>0</v>
      </c>
      <c r="ER1155" s="552">
        <f t="shared" si="3887"/>
        <v>0</v>
      </c>
      <c r="ES1155" s="552">
        <f t="shared" si="3887"/>
        <v>0</v>
      </c>
      <c r="ET1155" s="552">
        <f t="shared" si="3887"/>
        <v>0</v>
      </c>
      <c r="EU1155" s="552">
        <f t="shared" si="3887"/>
        <v>0</v>
      </c>
      <c r="EV1155" s="552">
        <f t="shared" si="3887"/>
        <v>0</v>
      </c>
      <c r="EW1155" s="552">
        <f t="shared" si="3887"/>
        <v>0</v>
      </c>
      <c r="EX1155" s="552">
        <f t="shared" si="3887"/>
        <v>0</v>
      </c>
      <c r="EY1155" s="799">
        <f t="shared" si="3876"/>
        <v>15.1</v>
      </c>
      <c r="EZ1155" s="640"/>
      <c r="FA1155" s="640"/>
      <c r="FB1155" s="640"/>
      <c r="FC1155" s="640"/>
      <c r="FD1155" s="640"/>
      <c r="FE1155" s="640"/>
      <c r="FF1155" s="640"/>
      <c r="FG1155" s="640"/>
      <c r="FH1155" s="640"/>
      <c r="FI1155" s="640"/>
      <c r="FJ1155" s="640"/>
      <c r="FK1155" s="640"/>
      <c r="FL1155" s="640"/>
    </row>
    <row r="1156" spans="1:168" x14ac:dyDescent="0.25">
      <c r="A1156" s="1492"/>
      <c r="B1156" s="624" t="str">
        <f t="shared" si="3869"/>
        <v>Хлеб пшеничный нарезной</v>
      </c>
      <c r="C1156" s="624">
        <f t="shared" si="3869"/>
        <v>30</v>
      </c>
      <c r="D1156" s="624">
        <f t="shared" si="3869"/>
        <v>3.21</v>
      </c>
      <c r="E1156" s="1158">
        <f t="shared" si="3877"/>
        <v>1.95</v>
      </c>
      <c r="F1156" s="1158"/>
      <c r="G1156" s="1140"/>
      <c r="H1156" s="1140"/>
      <c r="I1156" s="552"/>
      <c r="J1156" s="552">
        <f t="shared" ref="J1156:AO1156" si="3888">J200*J$338</f>
        <v>0</v>
      </c>
      <c r="K1156" s="552">
        <f t="shared" si="3888"/>
        <v>0</v>
      </c>
      <c r="L1156" s="552">
        <f t="shared" si="3888"/>
        <v>0</v>
      </c>
      <c r="M1156" s="552">
        <f t="shared" si="3888"/>
        <v>0</v>
      </c>
      <c r="N1156" s="552">
        <f t="shared" si="3888"/>
        <v>0</v>
      </c>
      <c r="O1156" s="552">
        <f t="shared" si="3888"/>
        <v>0</v>
      </c>
      <c r="P1156" s="552">
        <f t="shared" si="3888"/>
        <v>0</v>
      </c>
      <c r="Q1156" s="552">
        <f t="shared" si="3888"/>
        <v>0</v>
      </c>
      <c r="R1156" s="552">
        <f t="shared" si="3888"/>
        <v>0</v>
      </c>
      <c r="S1156" s="552">
        <f t="shared" si="3888"/>
        <v>0</v>
      </c>
      <c r="T1156" s="552">
        <f t="shared" si="3888"/>
        <v>0</v>
      </c>
      <c r="U1156" s="552">
        <f t="shared" si="3888"/>
        <v>0</v>
      </c>
      <c r="V1156" s="552">
        <f t="shared" si="3888"/>
        <v>0</v>
      </c>
      <c r="W1156" s="552">
        <f t="shared" si="3888"/>
        <v>0</v>
      </c>
      <c r="X1156" s="552">
        <f t="shared" si="3888"/>
        <v>0</v>
      </c>
      <c r="Y1156" s="552">
        <f t="shared" si="3888"/>
        <v>0</v>
      </c>
      <c r="Z1156" s="552">
        <f t="shared" si="3888"/>
        <v>0</v>
      </c>
      <c r="AA1156" s="552">
        <f t="shared" si="3888"/>
        <v>0</v>
      </c>
      <c r="AB1156" s="552">
        <f t="shared" si="3888"/>
        <v>0</v>
      </c>
      <c r="AC1156" s="552">
        <f t="shared" si="3888"/>
        <v>0</v>
      </c>
      <c r="AD1156" s="552">
        <f t="shared" si="3888"/>
        <v>0</v>
      </c>
      <c r="AE1156" s="552">
        <f t="shared" si="3888"/>
        <v>0</v>
      </c>
      <c r="AF1156" s="552">
        <f t="shared" si="3888"/>
        <v>0</v>
      </c>
      <c r="AG1156" s="552">
        <f t="shared" si="3888"/>
        <v>0</v>
      </c>
      <c r="AH1156" s="552">
        <f t="shared" si="3888"/>
        <v>0</v>
      </c>
      <c r="AI1156" s="552">
        <f t="shared" si="3888"/>
        <v>0</v>
      </c>
      <c r="AJ1156" s="552">
        <f t="shared" si="3888"/>
        <v>0</v>
      </c>
      <c r="AK1156" s="552">
        <f t="shared" si="3888"/>
        <v>0</v>
      </c>
      <c r="AL1156" s="552">
        <f t="shared" si="3888"/>
        <v>0</v>
      </c>
      <c r="AM1156" s="552">
        <f t="shared" si="3888"/>
        <v>0</v>
      </c>
      <c r="AN1156" s="552">
        <f t="shared" si="3888"/>
        <v>0</v>
      </c>
      <c r="AO1156" s="552">
        <f t="shared" si="3888"/>
        <v>0</v>
      </c>
      <c r="AP1156" s="552">
        <f t="shared" ref="AP1156:BU1156" si="3889">AP200*AP$338</f>
        <v>0</v>
      </c>
      <c r="AQ1156" s="552">
        <f t="shared" si="3889"/>
        <v>0</v>
      </c>
      <c r="AR1156" s="552">
        <f t="shared" si="3889"/>
        <v>0</v>
      </c>
      <c r="AS1156" s="552">
        <f t="shared" si="3889"/>
        <v>0</v>
      </c>
      <c r="AT1156" s="552">
        <f t="shared" si="3889"/>
        <v>0</v>
      </c>
      <c r="AU1156" s="552">
        <f t="shared" si="3889"/>
        <v>0</v>
      </c>
      <c r="AV1156" s="552">
        <f t="shared" si="3889"/>
        <v>0</v>
      </c>
      <c r="AW1156" s="552">
        <f t="shared" si="3889"/>
        <v>0</v>
      </c>
      <c r="AX1156" s="552">
        <f t="shared" si="3889"/>
        <v>0</v>
      </c>
      <c r="AY1156" s="552">
        <f t="shared" si="3889"/>
        <v>0</v>
      </c>
      <c r="AZ1156" s="552">
        <f t="shared" si="3889"/>
        <v>0</v>
      </c>
      <c r="BA1156" s="552">
        <f t="shared" si="3889"/>
        <v>0</v>
      </c>
      <c r="BB1156" s="552">
        <f t="shared" si="3889"/>
        <v>0</v>
      </c>
      <c r="BC1156" s="552">
        <f t="shared" si="3889"/>
        <v>0</v>
      </c>
      <c r="BD1156" s="552">
        <f t="shared" si="3889"/>
        <v>0</v>
      </c>
      <c r="BE1156" s="552">
        <f t="shared" si="3889"/>
        <v>0</v>
      </c>
      <c r="BF1156" s="552">
        <f t="shared" si="3889"/>
        <v>0</v>
      </c>
      <c r="BG1156" s="552">
        <f t="shared" si="3889"/>
        <v>0</v>
      </c>
      <c r="BH1156" s="552">
        <f t="shared" si="3889"/>
        <v>0</v>
      </c>
      <c r="BI1156" s="552">
        <f t="shared" si="3889"/>
        <v>0</v>
      </c>
      <c r="BJ1156" s="552">
        <f t="shared" si="3889"/>
        <v>0</v>
      </c>
      <c r="BK1156" s="552">
        <f t="shared" si="3889"/>
        <v>0</v>
      </c>
      <c r="BL1156" s="552">
        <f t="shared" si="3889"/>
        <v>0</v>
      </c>
      <c r="BM1156" s="552">
        <f t="shared" si="3889"/>
        <v>0</v>
      </c>
      <c r="BN1156" s="552">
        <f t="shared" si="3889"/>
        <v>0</v>
      </c>
      <c r="BO1156" s="552">
        <f t="shared" si="3889"/>
        <v>0</v>
      </c>
      <c r="BP1156" s="552">
        <f t="shared" si="3889"/>
        <v>0</v>
      </c>
      <c r="BQ1156" s="552">
        <f t="shared" si="3889"/>
        <v>0</v>
      </c>
      <c r="BR1156" s="552">
        <f t="shared" si="3889"/>
        <v>0</v>
      </c>
      <c r="BS1156" s="552">
        <f t="shared" si="3889"/>
        <v>0</v>
      </c>
      <c r="BT1156" s="552">
        <f t="shared" si="3889"/>
        <v>0</v>
      </c>
      <c r="BU1156" s="552">
        <f t="shared" si="3889"/>
        <v>0</v>
      </c>
      <c r="BV1156" s="552">
        <f t="shared" ref="BV1156:DA1156" si="3890">BV200*BV$338</f>
        <v>0</v>
      </c>
      <c r="BW1156" s="552">
        <f t="shared" si="3890"/>
        <v>0</v>
      </c>
      <c r="BX1156" s="552">
        <f t="shared" si="3890"/>
        <v>0</v>
      </c>
      <c r="BY1156" s="552">
        <f t="shared" si="3890"/>
        <v>0</v>
      </c>
      <c r="BZ1156" s="552">
        <f t="shared" si="3890"/>
        <v>0</v>
      </c>
      <c r="CA1156" s="552">
        <f t="shared" si="3890"/>
        <v>0</v>
      </c>
      <c r="CB1156" s="552">
        <f t="shared" si="3890"/>
        <v>0</v>
      </c>
      <c r="CC1156" s="552">
        <f t="shared" si="3890"/>
        <v>0</v>
      </c>
      <c r="CD1156" s="552">
        <f t="shared" si="3890"/>
        <v>0</v>
      </c>
      <c r="CE1156" s="552">
        <f t="shared" si="3890"/>
        <v>0</v>
      </c>
      <c r="CF1156" s="552">
        <f t="shared" si="3890"/>
        <v>0</v>
      </c>
      <c r="CG1156" s="552">
        <f t="shared" si="3890"/>
        <v>0</v>
      </c>
      <c r="CH1156" s="552">
        <f t="shared" si="3890"/>
        <v>0</v>
      </c>
      <c r="CI1156" s="552">
        <f t="shared" si="3890"/>
        <v>0</v>
      </c>
      <c r="CJ1156" s="552">
        <f t="shared" si="3890"/>
        <v>0</v>
      </c>
      <c r="CK1156" s="552">
        <f t="shared" si="3890"/>
        <v>0</v>
      </c>
      <c r="CL1156" s="552">
        <f t="shared" si="3890"/>
        <v>0</v>
      </c>
      <c r="CM1156" s="552">
        <f t="shared" si="3890"/>
        <v>0</v>
      </c>
      <c r="CN1156" s="552">
        <f t="shared" si="3890"/>
        <v>0</v>
      </c>
      <c r="CO1156" s="552">
        <f t="shared" si="3890"/>
        <v>0</v>
      </c>
      <c r="CP1156" s="552">
        <f t="shared" si="3890"/>
        <v>0</v>
      </c>
      <c r="CQ1156" s="552">
        <f t="shared" si="3890"/>
        <v>0</v>
      </c>
      <c r="CR1156" s="552">
        <f t="shared" si="3890"/>
        <v>0</v>
      </c>
      <c r="CS1156" s="552">
        <f t="shared" si="3890"/>
        <v>0</v>
      </c>
      <c r="CT1156" s="552">
        <f t="shared" si="3890"/>
        <v>0</v>
      </c>
      <c r="CU1156" s="552">
        <f t="shared" si="3890"/>
        <v>0</v>
      </c>
      <c r="CV1156" s="552">
        <f t="shared" si="3890"/>
        <v>0</v>
      </c>
      <c r="CW1156" s="552">
        <f t="shared" si="3890"/>
        <v>0</v>
      </c>
      <c r="CX1156" s="552">
        <f t="shared" si="3890"/>
        <v>0</v>
      </c>
      <c r="CY1156" s="552">
        <f t="shared" si="3890"/>
        <v>0</v>
      </c>
      <c r="CZ1156" s="552">
        <f t="shared" si="3890"/>
        <v>0</v>
      </c>
      <c r="DA1156" s="552">
        <f t="shared" si="3890"/>
        <v>0</v>
      </c>
      <c r="DB1156" s="552">
        <f t="shared" ref="DB1156:EG1156" si="3891">DB200*DB$338</f>
        <v>0</v>
      </c>
      <c r="DC1156" s="552">
        <f t="shared" si="3891"/>
        <v>0</v>
      </c>
      <c r="DD1156" s="552">
        <f t="shared" si="3891"/>
        <v>0</v>
      </c>
      <c r="DE1156" s="552">
        <f t="shared" si="3891"/>
        <v>0</v>
      </c>
      <c r="DF1156" s="552">
        <f t="shared" si="3891"/>
        <v>0</v>
      </c>
      <c r="DG1156" s="552">
        <f t="shared" si="3891"/>
        <v>0</v>
      </c>
      <c r="DH1156" s="552">
        <f t="shared" si="3891"/>
        <v>0</v>
      </c>
      <c r="DI1156" s="552">
        <f t="shared" si="3891"/>
        <v>0</v>
      </c>
      <c r="DJ1156" s="552">
        <f t="shared" si="3891"/>
        <v>0</v>
      </c>
      <c r="DK1156" s="552">
        <f t="shared" si="3891"/>
        <v>0</v>
      </c>
      <c r="DL1156" s="552">
        <f t="shared" si="3891"/>
        <v>0</v>
      </c>
      <c r="DM1156" s="552">
        <f t="shared" si="3891"/>
        <v>0</v>
      </c>
      <c r="DN1156" s="552">
        <f t="shared" si="3891"/>
        <v>0</v>
      </c>
      <c r="DO1156" s="552">
        <f t="shared" si="3891"/>
        <v>0</v>
      </c>
      <c r="DP1156" s="552">
        <f t="shared" si="3891"/>
        <v>0</v>
      </c>
      <c r="DQ1156" s="552">
        <f t="shared" si="3891"/>
        <v>0</v>
      </c>
      <c r="DR1156" s="552">
        <f t="shared" si="3891"/>
        <v>0</v>
      </c>
      <c r="DS1156" s="552">
        <f t="shared" si="3891"/>
        <v>0</v>
      </c>
      <c r="DT1156" s="552">
        <f t="shared" si="3891"/>
        <v>0</v>
      </c>
      <c r="DU1156" s="552">
        <f t="shared" si="3891"/>
        <v>0</v>
      </c>
      <c r="DV1156" s="552">
        <f t="shared" si="3891"/>
        <v>0</v>
      </c>
      <c r="DW1156" s="552">
        <f t="shared" si="3891"/>
        <v>0</v>
      </c>
      <c r="DX1156" s="552">
        <f t="shared" si="3891"/>
        <v>0</v>
      </c>
      <c r="DY1156" s="552">
        <f t="shared" si="3891"/>
        <v>0</v>
      </c>
      <c r="DZ1156" s="552">
        <f t="shared" si="3891"/>
        <v>0</v>
      </c>
      <c r="EA1156" s="552">
        <f t="shared" si="3891"/>
        <v>0</v>
      </c>
      <c r="EB1156" s="552">
        <f t="shared" si="3891"/>
        <v>0</v>
      </c>
      <c r="EC1156" s="552">
        <f t="shared" si="3891"/>
        <v>0</v>
      </c>
      <c r="ED1156" s="552">
        <f t="shared" si="3891"/>
        <v>0</v>
      </c>
      <c r="EE1156" s="552">
        <f t="shared" si="3891"/>
        <v>0</v>
      </c>
      <c r="EF1156" s="552">
        <f t="shared" si="3891"/>
        <v>0</v>
      </c>
      <c r="EG1156" s="552">
        <f t="shared" si="3891"/>
        <v>0</v>
      </c>
      <c r="EH1156" s="552">
        <f t="shared" ref="EH1156:EX1156" si="3892">EH200*EH$338</f>
        <v>0</v>
      </c>
      <c r="EI1156" s="552">
        <f t="shared" si="3892"/>
        <v>0</v>
      </c>
      <c r="EJ1156" s="552">
        <f t="shared" si="3892"/>
        <v>0</v>
      </c>
      <c r="EK1156" s="552">
        <f t="shared" si="3892"/>
        <v>0</v>
      </c>
      <c r="EL1156" s="552">
        <f t="shared" si="3892"/>
        <v>0</v>
      </c>
      <c r="EM1156" s="552">
        <f t="shared" si="3892"/>
        <v>0</v>
      </c>
      <c r="EN1156" s="552">
        <f t="shared" si="3892"/>
        <v>0</v>
      </c>
      <c r="EO1156" s="552">
        <f t="shared" si="3892"/>
        <v>0</v>
      </c>
      <c r="EP1156" s="552">
        <f t="shared" si="3892"/>
        <v>0</v>
      </c>
      <c r="EQ1156" s="552">
        <f t="shared" si="3892"/>
        <v>0</v>
      </c>
      <c r="ER1156" s="552">
        <f t="shared" si="3892"/>
        <v>0</v>
      </c>
      <c r="ES1156" s="552">
        <f t="shared" si="3892"/>
        <v>0</v>
      </c>
      <c r="ET1156" s="552">
        <f t="shared" si="3892"/>
        <v>0</v>
      </c>
      <c r="EU1156" s="552">
        <f t="shared" si="3892"/>
        <v>0</v>
      </c>
      <c r="EV1156" s="552">
        <f t="shared" si="3892"/>
        <v>1.95</v>
      </c>
      <c r="EW1156" s="552">
        <f t="shared" si="3892"/>
        <v>0</v>
      </c>
      <c r="EX1156" s="552">
        <f t="shared" si="3892"/>
        <v>0</v>
      </c>
      <c r="EY1156" s="799">
        <f t="shared" si="3876"/>
        <v>1.95</v>
      </c>
      <c r="EZ1156" s="640"/>
      <c r="FA1156" s="640"/>
      <c r="FB1156" s="640"/>
      <c r="FC1156" s="640"/>
      <c r="FD1156" s="640"/>
      <c r="FE1156" s="640"/>
      <c r="FF1156" s="640"/>
      <c r="FG1156" s="640"/>
      <c r="FH1156" s="640"/>
      <c r="FI1156" s="640"/>
      <c r="FJ1156" s="640"/>
      <c r="FK1156" s="640"/>
      <c r="FL1156" s="640"/>
    </row>
    <row r="1157" spans="1:168" x14ac:dyDescent="0.25">
      <c r="A1157" s="1492"/>
      <c r="B1157" s="624" t="str">
        <f t="shared" si="3869"/>
        <v>Хлеб пшенично-ржаной нарезной</v>
      </c>
      <c r="C1157" s="624">
        <f t="shared" si="3869"/>
        <v>20</v>
      </c>
      <c r="D1157" s="624">
        <f t="shared" si="3869"/>
        <v>1.5</v>
      </c>
      <c r="E1157" s="1158">
        <f t="shared" si="3877"/>
        <v>1.3</v>
      </c>
      <c r="F1157" s="1158"/>
      <c r="G1157" s="1140"/>
      <c r="H1157" s="1140"/>
      <c r="I1157" s="552"/>
      <c r="J1157" s="552">
        <f t="shared" ref="J1157:AO1157" si="3893">J201*J$338</f>
        <v>0</v>
      </c>
      <c r="K1157" s="552">
        <f t="shared" si="3893"/>
        <v>0</v>
      </c>
      <c r="L1157" s="552">
        <f t="shared" si="3893"/>
        <v>0</v>
      </c>
      <c r="M1157" s="552">
        <f t="shared" si="3893"/>
        <v>0</v>
      </c>
      <c r="N1157" s="552">
        <f t="shared" si="3893"/>
        <v>0</v>
      </c>
      <c r="O1157" s="552">
        <f t="shared" si="3893"/>
        <v>0</v>
      </c>
      <c r="P1157" s="552">
        <f t="shared" si="3893"/>
        <v>0</v>
      </c>
      <c r="Q1157" s="552">
        <f t="shared" si="3893"/>
        <v>0</v>
      </c>
      <c r="R1157" s="552">
        <f t="shared" si="3893"/>
        <v>0</v>
      </c>
      <c r="S1157" s="552">
        <f t="shared" si="3893"/>
        <v>0</v>
      </c>
      <c r="T1157" s="552">
        <f t="shared" si="3893"/>
        <v>0</v>
      </c>
      <c r="U1157" s="552">
        <f t="shared" si="3893"/>
        <v>0</v>
      </c>
      <c r="V1157" s="552">
        <f t="shared" si="3893"/>
        <v>0</v>
      </c>
      <c r="W1157" s="552">
        <f t="shared" si="3893"/>
        <v>0</v>
      </c>
      <c r="X1157" s="552">
        <f t="shared" si="3893"/>
        <v>0</v>
      </c>
      <c r="Y1157" s="552">
        <f t="shared" si="3893"/>
        <v>0</v>
      </c>
      <c r="Z1157" s="552">
        <f t="shared" si="3893"/>
        <v>0</v>
      </c>
      <c r="AA1157" s="552">
        <f t="shared" si="3893"/>
        <v>0</v>
      </c>
      <c r="AB1157" s="552">
        <f t="shared" si="3893"/>
        <v>0</v>
      </c>
      <c r="AC1157" s="552">
        <f t="shared" si="3893"/>
        <v>0</v>
      </c>
      <c r="AD1157" s="552">
        <f t="shared" si="3893"/>
        <v>0</v>
      </c>
      <c r="AE1157" s="552">
        <f t="shared" si="3893"/>
        <v>0</v>
      </c>
      <c r="AF1157" s="552">
        <f t="shared" si="3893"/>
        <v>0</v>
      </c>
      <c r="AG1157" s="552">
        <f t="shared" si="3893"/>
        <v>0</v>
      </c>
      <c r="AH1157" s="552">
        <f t="shared" si="3893"/>
        <v>0</v>
      </c>
      <c r="AI1157" s="552">
        <f t="shared" si="3893"/>
        <v>0</v>
      </c>
      <c r="AJ1157" s="552">
        <f t="shared" si="3893"/>
        <v>0</v>
      </c>
      <c r="AK1157" s="552">
        <f t="shared" si="3893"/>
        <v>0</v>
      </c>
      <c r="AL1157" s="552">
        <f t="shared" si="3893"/>
        <v>0</v>
      </c>
      <c r="AM1157" s="552">
        <f t="shared" si="3893"/>
        <v>0</v>
      </c>
      <c r="AN1157" s="552">
        <f t="shared" si="3893"/>
        <v>0</v>
      </c>
      <c r="AO1157" s="552">
        <f t="shared" si="3893"/>
        <v>0</v>
      </c>
      <c r="AP1157" s="552">
        <f t="shared" ref="AP1157:BU1157" si="3894">AP201*AP$338</f>
        <v>0</v>
      </c>
      <c r="AQ1157" s="552">
        <f t="shared" si="3894"/>
        <v>0</v>
      </c>
      <c r="AR1157" s="552">
        <f t="shared" si="3894"/>
        <v>0</v>
      </c>
      <c r="AS1157" s="552">
        <f t="shared" si="3894"/>
        <v>0</v>
      </c>
      <c r="AT1157" s="552">
        <f t="shared" si="3894"/>
        <v>0</v>
      </c>
      <c r="AU1157" s="552">
        <f t="shared" si="3894"/>
        <v>0</v>
      </c>
      <c r="AV1157" s="552">
        <f t="shared" si="3894"/>
        <v>0</v>
      </c>
      <c r="AW1157" s="552">
        <f t="shared" si="3894"/>
        <v>0</v>
      </c>
      <c r="AX1157" s="552">
        <f t="shared" si="3894"/>
        <v>0</v>
      </c>
      <c r="AY1157" s="552">
        <f t="shared" si="3894"/>
        <v>0</v>
      </c>
      <c r="AZ1157" s="552">
        <f t="shared" si="3894"/>
        <v>0</v>
      </c>
      <c r="BA1157" s="552">
        <f t="shared" si="3894"/>
        <v>0</v>
      </c>
      <c r="BB1157" s="552">
        <f t="shared" si="3894"/>
        <v>0</v>
      </c>
      <c r="BC1157" s="552">
        <f t="shared" si="3894"/>
        <v>0</v>
      </c>
      <c r="BD1157" s="552">
        <f t="shared" si="3894"/>
        <v>0</v>
      </c>
      <c r="BE1157" s="552">
        <f t="shared" si="3894"/>
        <v>0</v>
      </c>
      <c r="BF1157" s="552">
        <f t="shared" si="3894"/>
        <v>0</v>
      </c>
      <c r="BG1157" s="552">
        <f t="shared" si="3894"/>
        <v>0</v>
      </c>
      <c r="BH1157" s="552">
        <f t="shared" si="3894"/>
        <v>0</v>
      </c>
      <c r="BI1157" s="552">
        <f t="shared" si="3894"/>
        <v>0</v>
      </c>
      <c r="BJ1157" s="552">
        <f t="shared" si="3894"/>
        <v>0</v>
      </c>
      <c r="BK1157" s="552">
        <f t="shared" si="3894"/>
        <v>0</v>
      </c>
      <c r="BL1157" s="552">
        <f t="shared" si="3894"/>
        <v>0</v>
      </c>
      <c r="BM1157" s="552">
        <f t="shared" si="3894"/>
        <v>0</v>
      </c>
      <c r="BN1157" s="552">
        <f t="shared" si="3894"/>
        <v>0</v>
      </c>
      <c r="BO1157" s="552">
        <f t="shared" si="3894"/>
        <v>0</v>
      </c>
      <c r="BP1157" s="552">
        <f t="shared" si="3894"/>
        <v>0</v>
      </c>
      <c r="BQ1157" s="552">
        <f t="shared" si="3894"/>
        <v>0</v>
      </c>
      <c r="BR1157" s="552">
        <f t="shared" si="3894"/>
        <v>0</v>
      </c>
      <c r="BS1157" s="552">
        <f t="shared" si="3894"/>
        <v>0</v>
      </c>
      <c r="BT1157" s="552">
        <f t="shared" si="3894"/>
        <v>0</v>
      </c>
      <c r="BU1157" s="552">
        <f t="shared" si="3894"/>
        <v>0</v>
      </c>
      <c r="BV1157" s="552">
        <f t="shared" ref="BV1157:DA1157" si="3895">BV201*BV$338</f>
        <v>0</v>
      </c>
      <c r="BW1157" s="552">
        <f t="shared" si="3895"/>
        <v>0</v>
      </c>
      <c r="BX1157" s="552">
        <f t="shared" si="3895"/>
        <v>0</v>
      </c>
      <c r="BY1157" s="552">
        <f t="shared" si="3895"/>
        <v>0</v>
      </c>
      <c r="BZ1157" s="552">
        <f t="shared" si="3895"/>
        <v>0</v>
      </c>
      <c r="CA1157" s="552">
        <f t="shared" si="3895"/>
        <v>0</v>
      </c>
      <c r="CB1157" s="552">
        <f t="shared" si="3895"/>
        <v>0</v>
      </c>
      <c r="CC1157" s="552">
        <f t="shared" si="3895"/>
        <v>0</v>
      </c>
      <c r="CD1157" s="552">
        <f t="shared" si="3895"/>
        <v>0</v>
      </c>
      <c r="CE1157" s="552">
        <f t="shared" si="3895"/>
        <v>0</v>
      </c>
      <c r="CF1157" s="552">
        <f t="shared" si="3895"/>
        <v>0</v>
      </c>
      <c r="CG1157" s="552">
        <f t="shared" si="3895"/>
        <v>0</v>
      </c>
      <c r="CH1157" s="552">
        <f t="shared" si="3895"/>
        <v>0</v>
      </c>
      <c r="CI1157" s="552">
        <f t="shared" si="3895"/>
        <v>0</v>
      </c>
      <c r="CJ1157" s="552">
        <f t="shared" si="3895"/>
        <v>0</v>
      </c>
      <c r="CK1157" s="552">
        <f t="shared" si="3895"/>
        <v>0</v>
      </c>
      <c r="CL1157" s="552">
        <f t="shared" si="3895"/>
        <v>0</v>
      </c>
      <c r="CM1157" s="552">
        <f t="shared" si="3895"/>
        <v>0</v>
      </c>
      <c r="CN1157" s="552">
        <f t="shared" si="3895"/>
        <v>0</v>
      </c>
      <c r="CO1157" s="552">
        <f t="shared" si="3895"/>
        <v>0</v>
      </c>
      <c r="CP1157" s="552">
        <f t="shared" si="3895"/>
        <v>0</v>
      </c>
      <c r="CQ1157" s="552">
        <f t="shared" si="3895"/>
        <v>0</v>
      </c>
      <c r="CR1157" s="552">
        <f t="shared" si="3895"/>
        <v>0</v>
      </c>
      <c r="CS1157" s="552">
        <f t="shared" si="3895"/>
        <v>0</v>
      </c>
      <c r="CT1157" s="552">
        <f t="shared" si="3895"/>
        <v>0</v>
      </c>
      <c r="CU1157" s="552">
        <f t="shared" si="3895"/>
        <v>0</v>
      </c>
      <c r="CV1157" s="552">
        <f t="shared" si="3895"/>
        <v>0</v>
      </c>
      <c r="CW1157" s="552">
        <f t="shared" si="3895"/>
        <v>0</v>
      </c>
      <c r="CX1157" s="552">
        <f t="shared" si="3895"/>
        <v>0</v>
      </c>
      <c r="CY1157" s="552">
        <f t="shared" si="3895"/>
        <v>0</v>
      </c>
      <c r="CZ1157" s="552">
        <f t="shared" si="3895"/>
        <v>0</v>
      </c>
      <c r="DA1157" s="552">
        <f t="shared" si="3895"/>
        <v>0</v>
      </c>
      <c r="DB1157" s="552">
        <f t="shared" ref="DB1157:EG1157" si="3896">DB201*DB$338</f>
        <v>0</v>
      </c>
      <c r="DC1157" s="552">
        <f t="shared" si="3896"/>
        <v>0</v>
      </c>
      <c r="DD1157" s="552">
        <f t="shared" si="3896"/>
        <v>0</v>
      </c>
      <c r="DE1157" s="552">
        <f t="shared" si="3896"/>
        <v>0</v>
      </c>
      <c r="DF1157" s="552">
        <f t="shared" si="3896"/>
        <v>0</v>
      </c>
      <c r="DG1157" s="552">
        <f t="shared" si="3896"/>
        <v>0</v>
      </c>
      <c r="DH1157" s="552">
        <f t="shared" si="3896"/>
        <v>0</v>
      </c>
      <c r="DI1157" s="552">
        <f t="shared" si="3896"/>
        <v>0</v>
      </c>
      <c r="DJ1157" s="552">
        <f t="shared" si="3896"/>
        <v>0</v>
      </c>
      <c r="DK1157" s="552">
        <f t="shared" si="3896"/>
        <v>0</v>
      </c>
      <c r="DL1157" s="552">
        <f t="shared" si="3896"/>
        <v>0</v>
      </c>
      <c r="DM1157" s="552">
        <f t="shared" si="3896"/>
        <v>0</v>
      </c>
      <c r="DN1157" s="552">
        <f t="shared" si="3896"/>
        <v>0</v>
      </c>
      <c r="DO1157" s="552">
        <f t="shared" si="3896"/>
        <v>0</v>
      </c>
      <c r="DP1157" s="552">
        <f t="shared" si="3896"/>
        <v>0</v>
      </c>
      <c r="DQ1157" s="552">
        <f t="shared" si="3896"/>
        <v>0</v>
      </c>
      <c r="DR1157" s="552">
        <f t="shared" si="3896"/>
        <v>0</v>
      </c>
      <c r="DS1157" s="552">
        <f t="shared" si="3896"/>
        <v>0</v>
      </c>
      <c r="DT1157" s="552">
        <f t="shared" si="3896"/>
        <v>0</v>
      </c>
      <c r="DU1157" s="552">
        <f t="shared" si="3896"/>
        <v>0</v>
      </c>
      <c r="DV1157" s="552">
        <f t="shared" si="3896"/>
        <v>0</v>
      </c>
      <c r="DW1157" s="552">
        <f t="shared" si="3896"/>
        <v>0</v>
      </c>
      <c r="DX1157" s="552">
        <f t="shared" si="3896"/>
        <v>0</v>
      </c>
      <c r="DY1157" s="552">
        <f t="shared" si="3896"/>
        <v>0</v>
      </c>
      <c r="DZ1157" s="552">
        <f t="shared" si="3896"/>
        <v>0</v>
      </c>
      <c r="EA1157" s="552">
        <f t="shared" si="3896"/>
        <v>0</v>
      </c>
      <c r="EB1157" s="552">
        <f t="shared" si="3896"/>
        <v>0</v>
      </c>
      <c r="EC1157" s="552">
        <f t="shared" si="3896"/>
        <v>0</v>
      </c>
      <c r="ED1157" s="552">
        <f t="shared" si="3896"/>
        <v>0</v>
      </c>
      <c r="EE1157" s="552">
        <f t="shared" si="3896"/>
        <v>0</v>
      </c>
      <c r="EF1157" s="552">
        <f t="shared" si="3896"/>
        <v>0</v>
      </c>
      <c r="EG1157" s="552">
        <f t="shared" si="3896"/>
        <v>0</v>
      </c>
      <c r="EH1157" s="552">
        <f t="shared" ref="EH1157:EX1157" si="3897">EH201*EH$338</f>
        <v>0</v>
      </c>
      <c r="EI1157" s="552">
        <f t="shared" si="3897"/>
        <v>0</v>
      </c>
      <c r="EJ1157" s="552">
        <f t="shared" si="3897"/>
        <v>0</v>
      </c>
      <c r="EK1157" s="552">
        <f t="shared" si="3897"/>
        <v>0</v>
      </c>
      <c r="EL1157" s="552">
        <f t="shared" si="3897"/>
        <v>0</v>
      </c>
      <c r="EM1157" s="552">
        <f t="shared" si="3897"/>
        <v>0</v>
      </c>
      <c r="EN1157" s="552">
        <f t="shared" si="3897"/>
        <v>0</v>
      </c>
      <c r="EO1157" s="552">
        <f t="shared" si="3897"/>
        <v>0</v>
      </c>
      <c r="EP1157" s="552">
        <f t="shared" si="3897"/>
        <v>0</v>
      </c>
      <c r="EQ1157" s="552">
        <f t="shared" si="3897"/>
        <v>0</v>
      </c>
      <c r="ER1157" s="552">
        <f t="shared" si="3897"/>
        <v>0</v>
      </c>
      <c r="ES1157" s="552">
        <f t="shared" si="3897"/>
        <v>0</v>
      </c>
      <c r="ET1157" s="552">
        <f t="shared" si="3897"/>
        <v>0</v>
      </c>
      <c r="EU1157" s="552">
        <f t="shared" si="3897"/>
        <v>0</v>
      </c>
      <c r="EV1157" s="552">
        <f t="shared" si="3897"/>
        <v>0</v>
      </c>
      <c r="EW1157" s="552">
        <f t="shared" si="3897"/>
        <v>1.3</v>
      </c>
      <c r="EX1157" s="552">
        <f t="shared" si="3897"/>
        <v>0</v>
      </c>
      <c r="EY1157" s="799">
        <f t="shared" si="3876"/>
        <v>1.3</v>
      </c>
      <c r="EZ1157" s="640"/>
      <c r="FA1157" s="640"/>
      <c r="FB1157" s="640"/>
      <c r="FC1157" s="640"/>
      <c r="FD1157" s="640"/>
      <c r="FE1157" s="640"/>
      <c r="FF1157" s="640"/>
      <c r="FG1157" s="640"/>
      <c r="FH1157" s="640"/>
      <c r="FI1157" s="640"/>
      <c r="FJ1157" s="640"/>
      <c r="FK1157" s="640"/>
      <c r="FL1157" s="640"/>
    </row>
    <row r="1158" spans="1:168" x14ac:dyDescent="0.25">
      <c r="A1158" s="1493"/>
      <c r="B1158" s="624" t="str">
        <f t="shared" si="3869"/>
        <v>Чай с сахаром</v>
      </c>
      <c r="C1158" s="624">
        <f t="shared" si="3869"/>
        <v>200</v>
      </c>
      <c r="D1158" s="624">
        <f t="shared" si="3869"/>
        <v>7.0000000000000007E-2</v>
      </c>
      <c r="E1158" s="1158">
        <f t="shared" si="3877"/>
        <v>1.59</v>
      </c>
      <c r="F1158" s="1158"/>
      <c r="G1158" s="1140"/>
      <c r="H1158" s="1140"/>
      <c r="I1158" s="552"/>
      <c r="J1158" s="552">
        <f t="shared" ref="J1158:AO1158" si="3898">J202*J$338</f>
        <v>0</v>
      </c>
      <c r="K1158" s="552">
        <f t="shared" si="3898"/>
        <v>0</v>
      </c>
      <c r="L1158" s="552">
        <f t="shared" si="3898"/>
        <v>0</v>
      </c>
      <c r="M1158" s="552">
        <f t="shared" si="3898"/>
        <v>0</v>
      </c>
      <c r="N1158" s="552">
        <f t="shared" si="3898"/>
        <v>0</v>
      </c>
      <c r="O1158" s="552">
        <f t="shared" si="3898"/>
        <v>0</v>
      </c>
      <c r="P1158" s="552">
        <f t="shared" si="3898"/>
        <v>0</v>
      </c>
      <c r="Q1158" s="552">
        <f t="shared" si="3898"/>
        <v>0</v>
      </c>
      <c r="R1158" s="552">
        <f t="shared" si="3898"/>
        <v>0</v>
      </c>
      <c r="S1158" s="552">
        <f t="shared" si="3898"/>
        <v>0</v>
      </c>
      <c r="T1158" s="552">
        <f t="shared" si="3898"/>
        <v>0</v>
      </c>
      <c r="U1158" s="552">
        <f t="shared" si="3898"/>
        <v>0</v>
      </c>
      <c r="V1158" s="552">
        <f t="shared" si="3898"/>
        <v>0</v>
      </c>
      <c r="W1158" s="552">
        <f t="shared" si="3898"/>
        <v>0</v>
      </c>
      <c r="X1158" s="552">
        <f t="shared" si="3898"/>
        <v>0</v>
      </c>
      <c r="Y1158" s="552">
        <f t="shared" si="3898"/>
        <v>0</v>
      </c>
      <c r="Z1158" s="552">
        <f t="shared" si="3898"/>
        <v>0</v>
      </c>
      <c r="AA1158" s="552">
        <f t="shared" si="3898"/>
        <v>0</v>
      </c>
      <c r="AB1158" s="552">
        <f t="shared" si="3898"/>
        <v>0</v>
      </c>
      <c r="AC1158" s="552">
        <f t="shared" si="3898"/>
        <v>0</v>
      </c>
      <c r="AD1158" s="552">
        <f t="shared" si="3898"/>
        <v>0</v>
      </c>
      <c r="AE1158" s="552">
        <f t="shared" si="3898"/>
        <v>0</v>
      </c>
      <c r="AF1158" s="552">
        <f t="shared" si="3898"/>
        <v>0</v>
      </c>
      <c r="AG1158" s="552">
        <f t="shared" si="3898"/>
        <v>0</v>
      </c>
      <c r="AH1158" s="552">
        <f t="shared" si="3898"/>
        <v>0</v>
      </c>
      <c r="AI1158" s="552">
        <f t="shared" si="3898"/>
        <v>0</v>
      </c>
      <c r="AJ1158" s="552">
        <f t="shared" si="3898"/>
        <v>0</v>
      </c>
      <c r="AK1158" s="552">
        <f t="shared" si="3898"/>
        <v>0</v>
      </c>
      <c r="AL1158" s="552">
        <f t="shared" si="3898"/>
        <v>0</v>
      </c>
      <c r="AM1158" s="552">
        <f t="shared" si="3898"/>
        <v>0</v>
      </c>
      <c r="AN1158" s="552">
        <f t="shared" si="3898"/>
        <v>0</v>
      </c>
      <c r="AO1158" s="552">
        <f t="shared" si="3898"/>
        <v>0</v>
      </c>
      <c r="AP1158" s="552">
        <f t="shared" ref="AP1158:BU1158" si="3899">AP202*AP$338</f>
        <v>0</v>
      </c>
      <c r="AQ1158" s="552">
        <f t="shared" si="3899"/>
        <v>0</v>
      </c>
      <c r="AR1158" s="552">
        <f t="shared" si="3899"/>
        <v>0</v>
      </c>
      <c r="AS1158" s="552">
        <f t="shared" si="3899"/>
        <v>0</v>
      </c>
      <c r="AT1158" s="552">
        <f t="shared" si="3899"/>
        <v>0</v>
      </c>
      <c r="AU1158" s="552">
        <f t="shared" si="3899"/>
        <v>0</v>
      </c>
      <c r="AV1158" s="552">
        <f t="shared" si="3899"/>
        <v>0</v>
      </c>
      <c r="AW1158" s="552">
        <f t="shared" si="3899"/>
        <v>0</v>
      </c>
      <c r="AX1158" s="552">
        <f t="shared" si="3899"/>
        <v>0</v>
      </c>
      <c r="AY1158" s="552">
        <f t="shared" si="3899"/>
        <v>0</v>
      </c>
      <c r="AZ1158" s="552">
        <f t="shared" si="3899"/>
        <v>0</v>
      </c>
      <c r="BA1158" s="552">
        <f t="shared" si="3899"/>
        <v>0</v>
      </c>
      <c r="BB1158" s="552">
        <f t="shared" si="3899"/>
        <v>0</v>
      </c>
      <c r="BC1158" s="552">
        <f t="shared" si="3899"/>
        <v>0</v>
      </c>
      <c r="BD1158" s="552">
        <f t="shared" si="3899"/>
        <v>0</v>
      </c>
      <c r="BE1158" s="552">
        <f t="shared" si="3899"/>
        <v>0</v>
      </c>
      <c r="BF1158" s="552">
        <f t="shared" si="3899"/>
        <v>0</v>
      </c>
      <c r="BG1158" s="552">
        <f t="shared" si="3899"/>
        <v>0</v>
      </c>
      <c r="BH1158" s="552">
        <f t="shared" si="3899"/>
        <v>0</v>
      </c>
      <c r="BI1158" s="552">
        <f t="shared" si="3899"/>
        <v>0</v>
      </c>
      <c r="BJ1158" s="552">
        <f t="shared" si="3899"/>
        <v>0</v>
      </c>
      <c r="BK1158" s="552">
        <f t="shared" si="3899"/>
        <v>0</v>
      </c>
      <c r="BL1158" s="552">
        <f t="shared" si="3899"/>
        <v>0</v>
      </c>
      <c r="BM1158" s="552">
        <f t="shared" si="3899"/>
        <v>0</v>
      </c>
      <c r="BN1158" s="552">
        <f t="shared" si="3899"/>
        <v>0</v>
      </c>
      <c r="BO1158" s="552">
        <f t="shared" si="3899"/>
        <v>0</v>
      </c>
      <c r="BP1158" s="552">
        <f t="shared" si="3899"/>
        <v>0</v>
      </c>
      <c r="BQ1158" s="552">
        <f t="shared" si="3899"/>
        <v>0</v>
      </c>
      <c r="BR1158" s="552">
        <f t="shared" si="3899"/>
        <v>0</v>
      </c>
      <c r="BS1158" s="552">
        <f t="shared" si="3899"/>
        <v>0</v>
      </c>
      <c r="BT1158" s="552">
        <f t="shared" si="3899"/>
        <v>0</v>
      </c>
      <c r="BU1158" s="552">
        <f t="shared" si="3899"/>
        <v>0</v>
      </c>
      <c r="BV1158" s="552">
        <f t="shared" ref="BV1158:DA1158" si="3900">BV202*BV$338</f>
        <v>0</v>
      </c>
      <c r="BW1158" s="552">
        <f t="shared" si="3900"/>
        <v>0</v>
      </c>
      <c r="BX1158" s="552">
        <f t="shared" si="3900"/>
        <v>0</v>
      </c>
      <c r="BY1158" s="552">
        <f t="shared" si="3900"/>
        <v>0</v>
      </c>
      <c r="BZ1158" s="552">
        <f t="shared" si="3900"/>
        <v>0</v>
      </c>
      <c r="CA1158" s="552">
        <f t="shared" si="3900"/>
        <v>0</v>
      </c>
      <c r="CB1158" s="552">
        <f t="shared" si="3900"/>
        <v>0</v>
      </c>
      <c r="CC1158" s="552">
        <f t="shared" si="3900"/>
        <v>0</v>
      </c>
      <c r="CD1158" s="552">
        <f t="shared" si="3900"/>
        <v>0</v>
      </c>
      <c r="CE1158" s="552">
        <f t="shared" si="3900"/>
        <v>0</v>
      </c>
      <c r="CF1158" s="552">
        <f t="shared" si="3900"/>
        <v>0</v>
      </c>
      <c r="CG1158" s="552">
        <f t="shared" si="3900"/>
        <v>0</v>
      </c>
      <c r="CH1158" s="552">
        <f t="shared" si="3900"/>
        <v>0</v>
      </c>
      <c r="CI1158" s="552">
        <f t="shared" si="3900"/>
        <v>0</v>
      </c>
      <c r="CJ1158" s="552">
        <f t="shared" si="3900"/>
        <v>0</v>
      </c>
      <c r="CK1158" s="552">
        <f t="shared" si="3900"/>
        <v>0</v>
      </c>
      <c r="CL1158" s="552">
        <f t="shared" si="3900"/>
        <v>0</v>
      </c>
      <c r="CM1158" s="552">
        <f t="shared" si="3900"/>
        <v>0</v>
      </c>
      <c r="CN1158" s="552">
        <f t="shared" si="3900"/>
        <v>0</v>
      </c>
      <c r="CO1158" s="552">
        <f t="shared" si="3900"/>
        <v>0</v>
      </c>
      <c r="CP1158" s="552">
        <f t="shared" si="3900"/>
        <v>0</v>
      </c>
      <c r="CQ1158" s="552">
        <f t="shared" si="3900"/>
        <v>0</v>
      </c>
      <c r="CR1158" s="552">
        <f t="shared" si="3900"/>
        <v>0</v>
      </c>
      <c r="CS1158" s="552">
        <f t="shared" si="3900"/>
        <v>0</v>
      </c>
      <c r="CT1158" s="552">
        <f t="shared" si="3900"/>
        <v>0</v>
      </c>
      <c r="CU1158" s="552">
        <f t="shared" si="3900"/>
        <v>0</v>
      </c>
      <c r="CV1158" s="552">
        <f t="shared" si="3900"/>
        <v>0</v>
      </c>
      <c r="CW1158" s="552">
        <f t="shared" si="3900"/>
        <v>0</v>
      </c>
      <c r="CX1158" s="552">
        <f t="shared" si="3900"/>
        <v>0</v>
      </c>
      <c r="CY1158" s="552">
        <f t="shared" si="3900"/>
        <v>0</v>
      </c>
      <c r="CZ1158" s="552">
        <f t="shared" si="3900"/>
        <v>1.1399999999999999</v>
      </c>
      <c r="DA1158" s="552">
        <f t="shared" si="3900"/>
        <v>0</v>
      </c>
      <c r="DB1158" s="552">
        <f t="shared" ref="DB1158:EG1158" si="3901">DB202*DB$338</f>
        <v>0</v>
      </c>
      <c r="DC1158" s="552">
        <f t="shared" si="3901"/>
        <v>0</v>
      </c>
      <c r="DD1158" s="552">
        <f t="shared" si="3901"/>
        <v>0</v>
      </c>
      <c r="DE1158" s="552">
        <f t="shared" si="3901"/>
        <v>0</v>
      </c>
      <c r="DF1158" s="552">
        <f t="shared" si="3901"/>
        <v>0</v>
      </c>
      <c r="DG1158" s="552">
        <f t="shared" si="3901"/>
        <v>0</v>
      </c>
      <c r="DH1158" s="552">
        <f t="shared" si="3901"/>
        <v>0</v>
      </c>
      <c r="DI1158" s="552">
        <f t="shared" si="3901"/>
        <v>0</v>
      </c>
      <c r="DJ1158" s="552">
        <f t="shared" si="3901"/>
        <v>0</v>
      </c>
      <c r="DK1158" s="552">
        <f t="shared" si="3901"/>
        <v>0</v>
      </c>
      <c r="DL1158" s="552">
        <f t="shared" si="3901"/>
        <v>0</v>
      </c>
      <c r="DM1158" s="552">
        <f t="shared" si="3901"/>
        <v>0</v>
      </c>
      <c r="DN1158" s="552">
        <f t="shared" si="3901"/>
        <v>0</v>
      </c>
      <c r="DO1158" s="552">
        <f t="shared" si="3901"/>
        <v>0</v>
      </c>
      <c r="DP1158" s="552">
        <f t="shared" si="3901"/>
        <v>0</v>
      </c>
      <c r="DQ1158" s="552">
        <f t="shared" si="3901"/>
        <v>0</v>
      </c>
      <c r="DR1158" s="552">
        <f t="shared" si="3901"/>
        <v>0.45</v>
      </c>
      <c r="DS1158" s="552">
        <f t="shared" si="3901"/>
        <v>0</v>
      </c>
      <c r="DT1158" s="552">
        <f t="shared" si="3901"/>
        <v>0</v>
      </c>
      <c r="DU1158" s="552">
        <f t="shared" si="3901"/>
        <v>0</v>
      </c>
      <c r="DV1158" s="552">
        <f t="shared" si="3901"/>
        <v>0</v>
      </c>
      <c r="DW1158" s="552">
        <f t="shared" si="3901"/>
        <v>0</v>
      </c>
      <c r="DX1158" s="552">
        <f t="shared" si="3901"/>
        <v>0</v>
      </c>
      <c r="DY1158" s="552">
        <f t="shared" si="3901"/>
        <v>0</v>
      </c>
      <c r="DZ1158" s="552">
        <f t="shared" si="3901"/>
        <v>0</v>
      </c>
      <c r="EA1158" s="552">
        <f t="shared" si="3901"/>
        <v>0</v>
      </c>
      <c r="EB1158" s="552">
        <f t="shared" si="3901"/>
        <v>0</v>
      </c>
      <c r="EC1158" s="552">
        <f t="shared" si="3901"/>
        <v>0</v>
      </c>
      <c r="ED1158" s="552">
        <f t="shared" si="3901"/>
        <v>0</v>
      </c>
      <c r="EE1158" s="552">
        <f t="shared" si="3901"/>
        <v>0</v>
      </c>
      <c r="EF1158" s="552">
        <f t="shared" si="3901"/>
        <v>0</v>
      </c>
      <c r="EG1158" s="552">
        <f t="shared" si="3901"/>
        <v>0</v>
      </c>
      <c r="EH1158" s="552">
        <f t="shared" ref="EH1158:EX1158" si="3902">EH202*EH$338</f>
        <v>0</v>
      </c>
      <c r="EI1158" s="552">
        <f t="shared" si="3902"/>
        <v>0</v>
      </c>
      <c r="EJ1158" s="552">
        <f t="shared" si="3902"/>
        <v>0</v>
      </c>
      <c r="EK1158" s="552">
        <f t="shared" si="3902"/>
        <v>0</v>
      </c>
      <c r="EL1158" s="552">
        <f t="shared" si="3902"/>
        <v>0</v>
      </c>
      <c r="EM1158" s="552">
        <f t="shared" si="3902"/>
        <v>0</v>
      </c>
      <c r="EN1158" s="552">
        <f t="shared" si="3902"/>
        <v>0</v>
      </c>
      <c r="EO1158" s="552">
        <f t="shared" si="3902"/>
        <v>0</v>
      </c>
      <c r="EP1158" s="552">
        <f t="shared" si="3902"/>
        <v>0</v>
      </c>
      <c r="EQ1158" s="552">
        <f t="shared" si="3902"/>
        <v>0</v>
      </c>
      <c r="ER1158" s="552">
        <f t="shared" si="3902"/>
        <v>0</v>
      </c>
      <c r="ES1158" s="552">
        <f t="shared" si="3902"/>
        <v>0</v>
      </c>
      <c r="ET1158" s="552">
        <f t="shared" si="3902"/>
        <v>0</v>
      </c>
      <c r="EU1158" s="552">
        <f t="shared" si="3902"/>
        <v>0</v>
      </c>
      <c r="EV1158" s="552">
        <f t="shared" si="3902"/>
        <v>0</v>
      </c>
      <c r="EW1158" s="552">
        <f t="shared" si="3902"/>
        <v>0</v>
      </c>
      <c r="EX1158" s="552">
        <f t="shared" si="3902"/>
        <v>0</v>
      </c>
      <c r="EY1158" s="799">
        <f t="shared" si="3876"/>
        <v>1.59</v>
      </c>
      <c r="EZ1158" s="640"/>
      <c r="FA1158" s="640"/>
      <c r="FB1158" s="640"/>
      <c r="FC1158" s="640"/>
      <c r="FD1158" s="640"/>
      <c r="FE1158" s="640"/>
      <c r="FF1158" s="640"/>
      <c r="FG1158" s="640"/>
      <c r="FH1158" s="640"/>
      <c r="FI1158" s="640"/>
      <c r="FJ1158" s="640"/>
      <c r="FK1158" s="640"/>
      <c r="FL1158" s="640"/>
    </row>
    <row r="1159" spans="1:168" s="1034" customFormat="1" x14ac:dyDescent="0.25">
      <c r="A1159" s="1033"/>
      <c r="B1159" s="624" t="str">
        <f t="shared" si="3869"/>
        <v>Вода питьевая 19 л</v>
      </c>
      <c r="C1159" s="624">
        <f t="shared" si="3869"/>
        <v>500</v>
      </c>
      <c r="D1159" s="624">
        <f t="shared" si="3869"/>
        <v>0</v>
      </c>
      <c r="E1159" s="1158">
        <f t="shared" si="3877"/>
        <v>2.9</v>
      </c>
      <c r="F1159" s="1158"/>
      <c r="G1159" s="1140"/>
      <c r="H1159" s="1140"/>
      <c r="I1159" s="552"/>
      <c r="J1159" s="552">
        <f t="shared" ref="J1159:AO1159" si="3903">J203*J$338</f>
        <v>0</v>
      </c>
      <c r="K1159" s="552">
        <f t="shared" si="3903"/>
        <v>0</v>
      </c>
      <c r="L1159" s="552">
        <f t="shared" si="3903"/>
        <v>0</v>
      </c>
      <c r="M1159" s="552">
        <f t="shared" si="3903"/>
        <v>0</v>
      </c>
      <c r="N1159" s="552">
        <f t="shared" si="3903"/>
        <v>0</v>
      </c>
      <c r="O1159" s="552">
        <f t="shared" si="3903"/>
        <v>0</v>
      </c>
      <c r="P1159" s="552">
        <f t="shared" si="3903"/>
        <v>0</v>
      </c>
      <c r="Q1159" s="552">
        <f t="shared" si="3903"/>
        <v>0</v>
      </c>
      <c r="R1159" s="552">
        <f t="shared" si="3903"/>
        <v>0</v>
      </c>
      <c r="S1159" s="552">
        <f t="shared" si="3903"/>
        <v>0</v>
      </c>
      <c r="T1159" s="552">
        <f t="shared" si="3903"/>
        <v>0</v>
      </c>
      <c r="U1159" s="552">
        <f t="shared" si="3903"/>
        <v>0</v>
      </c>
      <c r="V1159" s="552">
        <f t="shared" si="3903"/>
        <v>0</v>
      </c>
      <c r="W1159" s="552">
        <f t="shared" si="3903"/>
        <v>0</v>
      </c>
      <c r="X1159" s="552">
        <f t="shared" si="3903"/>
        <v>0</v>
      </c>
      <c r="Y1159" s="552">
        <f t="shared" si="3903"/>
        <v>0</v>
      </c>
      <c r="Z1159" s="552">
        <f t="shared" si="3903"/>
        <v>0</v>
      </c>
      <c r="AA1159" s="552">
        <f t="shared" si="3903"/>
        <v>0</v>
      </c>
      <c r="AB1159" s="552">
        <f t="shared" si="3903"/>
        <v>0</v>
      </c>
      <c r="AC1159" s="552">
        <f t="shared" si="3903"/>
        <v>0</v>
      </c>
      <c r="AD1159" s="552">
        <f t="shared" si="3903"/>
        <v>0</v>
      </c>
      <c r="AE1159" s="552">
        <f t="shared" si="3903"/>
        <v>0</v>
      </c>
      <c r="AF1159" s="552">
        <f t="shared" si="3903"/>
        <v>0</v>
      </c>
      <c r="AG1159" s="552">
        <f t="shared" si="3903"/>
        <v>0</v>
      </c>
      <c r="AH1159" s="552">
        <f t="shared" si="3903"/>
        <v>0</v>
      </c>
      <c r="AI1159" s="552">
        <f t="shared" si="3903"/>
        <v>0</v>
      </c>
      <c r="AJ1159" s="552">
        <f t="shared" si="3903"/>
        <v>0</v>
      </c>
      <c r="AK1159" s="552">
        <f t="shared" si="3903"/>
        <v>0</v>
      </c>
      <c r="AL1159" s="552">
        <f t="shared" si="3903"/>
        <v>0</v>
      </c>
      <c r="AM1159" s="552">
        <f t="shared" si="3903"/>
        <v>0</v>
      </c>
      <c r="AN1159" s="552">
        <f t="shared" si="3903"/>
        <v>0</v>
      </c>
      <c r="AO1159" s="552">
        <f t="shared" si="3903"/>
        <v>0</v>
      </c>
      <c r="AP1159" s="552">
        <f t="shared" ref="AP1159:BU1159" si="3904">AP203*AP$338</f>
        <v>0</v>
      </c>
      <c r="AQ1159" s="552">
        <f t="shared" si="3904"/>
        <v>0</v>
      </c>
      <c r="AR1159" s="552">
        <f t="shared" si="3904"/>
        <v>0</v>
      </c>
      <c r="AS1159" s="552">
        <f t="shared" si="3904"/>
        <v>0</v>
      </c>
      <c r="AT1159" s="552">
        <f t="shared" si="3904"/>
        <v>0</v>
      </c>
      <c r="AU1159" s="552">
        <f t="shared" si="3904"/>
        <v>0</v>
      </c>
      <c r="AV1159" s="552">
        <f t="shared" si="3904"/>
        <v>0</v>
      </c>
      <c r="AW1159" s="552">
        <f t="shared" si="3904"/>
        <v>0</v>
      </c>
      <c r="AX1159" s="552">
        <f t="shared" si="3904"/>
        <v>0</v>
      </c>
      <c r="AY1159" s="552">
        <f t="shared" si="3904"/>
        <v>0</v>
      </c>
      <c r="AZ1159" s="552">
        <f t="shared" si="3904"/>
        <v>0</v>
      </c>
      <c r="BA1159" s="552">
        <f t="shared" si="3904"/>
        <v>0</v>
      </c>
      <c r="BB1159" s="552">
        <f t="shared" si="3904"/>
        <v>0</v>
      </c>
      <c r="BC1159" s="552">
        <f t="shared" si="3904"/>
        <v>0</v>
      </c>
      <c r="BD1159" s="552">
        <f t="shared" si="3904"/>
        <v>0</v>
      </c>
      <c r="BE1159" s="552">
        <f t="shared" si="3904"/>
        <v>0</v>
      </c>
      <c r="BF1159" s="552">
        <f t="shared" si="3904"/>
        <v>0</v>
      </c>
      <c r="BG1159" s="552">
        <f t="shared" si="3904"/>
        <v>0</v>
      </c>
      <c r="BH1159" s="552">
        <f t="shared" si="3904"/>
        <v>0</v>
      </c>
      <c r="BI1159" s="552">
        <f t="shared" si="3904"/>
        <v>0</v>
      </c>
      <c r="BJ1159" s="552">
        <f t="shared" si="3904"/>
        <v>0</v>
      </c>
      <c r="BK1159" s="552">
        <f t="shared" si="3904"/>
        <v>0</v>
      </c>
      <c r="BL1159" s="552">
        <f t="shared" si="3904"/>
        <v>0</v>
      </c>
      <c r="BM1159" s="552">
        <f t="shared" si="3904"/>
        <v>0</v>
      </c>
      <c r="BN1159" s="552">
        <f t="shared" si="3904"/>
        <v>0</v>
      </c>
      <c r="BO1159" s="552">
        <f t="shared" si="3904"/>
        <v>0</v>
      </c>
      <c r="BP1159" s="552">
        <f t="shared" si="3904"/>
        <v>0</v>
      </c>
      <c r="BQ1159" s="552">
        <f t="shared" si="3904"/>
        <v>0</v>
      </c>
      <c r="BR1159" s="552">
        <f t="shared" si="3904"/>
        <v>0</v>
      </c>
      <c r="BS1159" s="552">
        <f t="shared" si="3904"/>
        <v>0</v>
      </c>
      <c r="BT1159" s="552">
        <f t="shared" si="3904"/>
        <v>0</v>
      </c>
      <c r="BU1159" s="552">
        <f t="shared" si="3904"/>
        <v>0</v>
      </c>
      <c r="BV1159" s="552">
        <f t="shared" ref="BV1159:DA1159" si="3905">BV203*BV$338</f>
        <v>0</v>
      </c>
      <c r="BW1159" s="552">
        <f t="shared" si="3905"/>
        <v>0</v>
      </c>
      <c r="BX1159" s="552">
        <f t="shared" si="3905"/>
        <v>0</v>
      </c>
      <c r="BY1159" s="552">
        <f t="shared" si="3905"/>
        <v>0</v>
      </c>
      <c r="BZ1159" s="552">
        <f t="shared" si="3905"/>
        <v>0</v>
      </c>
      <c r="CA1159" s="552">
        <f t="shared" si="3905"/>
        <v>0</v>
      </c>
      <c r="CB1159" s="552">
        <f t="shared" si="3905"/>
        <v>0</v>
      </c>
      <c r="CC1159" s="552">
        <f t="shared" si="3905"/>
        <v>0</v>
      </c>
      <c r="CD1159" s="552">
        <f t="shared" si="3905"/>
        <v>0</v>
      </c>
      <c r="CE1159" s="552">
        <f t="shared" si="3905"/>
        <v>0</v>
      </c>
      <c r="CF1159" s="552">
        <f t="shared" si="3905"/>
        <v>0</v>
      </c>
      <c r="CG1159" s="552">
        <f t="shared" si="3905"/>
        <v>0</v>
      </c>
      <c r="CH1159" s="552">
        <f t="shared" si="3905"/>
        <v>0</v>
      </c>
      <c r="CI1159" s="552">
        <f t="shared" si="3905"/>
        <v>0</v>
      </c>
      <c r="CJ1159" s="552">
        <f t="shared" si="3905"/>
        <v>0</v>
      </c>
      <c r="CK1159" s="552">
        <f t="shared" si="3905"/>
        <v>0</v>
      </c>
      <c r="CL1159" s="552">
        <f t="shared" si="3905"/>
        <v>0</v>
      </c>
      <c r="CM1159" s="552">
        <f t="shared" si="3905"/>
        <v>0</v>
      </c>
      <c r="CN1159" s="552">
        <f t="shared" si="3905"/>
        <v>0</v>
      </c>
      <c r="CO1159" s="552">
        <f t="shared" si="3905"/>
        <v>0</v>
      </c>
      <c r="CP1159" s="552">
        <f t="shared" si="3905"/>
        <v>0</v>
      </c>
      <c r="CQ1159" s="552">
        <f t="shared" si="3905"/>
        <v>0</v>
      </c>
      <c r="CR1159" s="552">
        <f t="shared" si="3905"/>
        <v>0</v>
      </c>
      <c r="CS1159" s="552">
        <f t="shared" si="3905"/>
        <v>0</v>
      </c>
      <c r="CT1159" s="552">
        <f t="shared" si="3905"/>
        <v>0</v>
      </c>
      <c r="CU1159" s="552">
        <f t="shared" si="3905"/>
        <v>0</v>
      </c>
      <c r="CV1159" s="552">
        <f t="shared" si="3905"/>
        <v>0</v>
      </c>
      <c r="CW1159" s="552">
        <f t="shared" si="3905"/>
        <v>0</v>
      </c>
      <c r="CX1159" s="552">
        <f t="shared" si="3905"/>
        <v>0</v>
      </c>
      <c r="CY1159" s="552">
        <f t="shared" si="3905"/>
        <v>0</v>
      </c>
      <c r="CZ1159" s="552">
        <f t="shared" si="3905"/>
        <v>0</v>
      </c>
      <c r="DA1159" s="552">
        <f t="shared" si="3905"/>
        <v>0</v>
      </c>
      <c r="DB1159" s="552">
        <f t="shared" ref="DB1159:EG1159" si="3906">DB203*DB$338</f>
        <v>0</v>
      </c>
      <c r="DC1159" s="552">
        <f t="shared" si="3906"/>
        <v>0</v>
      </c>
      <c r="DD1159" s="552">
        <f t="shared" si="3906"/>
        <v>0</v>
      </c>
      <c r="DE1159" s="552">
        <f t="shared" si="3906"/>
        <v>0</v>
      </c>
      <c r="DF1159" s="552">
        <f t="shared" si="3906"/>
        <v>0</v>
      </c>
      <c r="DG1159" s="552">
        <f t="shared" si="3906"/>
        <v>0</v>
      </c>
      <c r="DH1159" s="552">
        <f t="shared" si="3906"/>
        <v>0</v>
      </c>
      <c r="DI1159" s="552">
        <f t="shared" si="3906"/>
        <v>0</v>
      </c>
      <c r="DJ1159" s="552">
        <f t="shared" si="3906"/>
        <v>0</v>
      </c>
      <c r="DK1159" s="552">
        <f t="shared" si="3906"/>
        <v>0</v>
      </c>
      <c r="DL1159" s="552">
        <f t="shared" si="3906"/>
        <v>0</v>
      </c>
      <c r="DM1159" s="552">
        <f t="shared" si="3906"/>
        <v>0</v>
      </c>
      <c r="DN1159" s="552">
        <f t="shared" si="3906"/>
        <v>0</v>
      </c>
      <c r="DO1159" s="552">
        <f t="shared" si="3906"/>
        <v>0</v>
      </c>
      <c r="DP1159" s="552">
        <f t="shared" si="3906"/>
        <v>0</v>
      </c>
      <c r="DQ1159" s="552">
        <f t="shared" si="3906"/>
        <v>0</v>
      </c>
      <c r="DR1159" s="552">
        <f t="shared" si="3906"/>
        <v>0</v>
      </c>
      <c r="DS1159" s="552">
        <f t="shared" si="3906"/>
        <v>0</v>
      </c>
      <c r="DT1159" s="552">
        <f t="shared" si="3906"/>
        <v>0</v>
      </c>
      <c r="DU1159" s="552">
        <f t="shared" si="3906"/>
        <v>0</v>
      </c>
      <c r="DV1159" s="552">
        <f t="shared" si="3906"/>
        <v>0</v>
      </c>
      <c r="DW1159" s="552">
        <f t="shared" si="3906"/>
        <v>0</v>
      </c>
      <c r="DX1159" s="552">
        <f t="shared" si="3906"/>
        <v>0</v>
      </c>
      <c r="DY1159" s="552">
        <f t="shared" si="3906"/>
        <v>0</v>
      </c>
      <c r="DZ1159" s="552">
        <f t="shared" si="3906"/>
        <v>0</v>
      </c>
      <c r="EA1159" s="552">
        <f t="shared" si="3906"/>
        <v>0</v>
      </c>
      <c r="EB1159" s="552">
        <f t="shared" si="3906"/>
        <v>2.9</v>
      </c>
      <c r="EC1159" s="552">
        <f t="shared" si="3906"/>
        <v>0</v>
      </c>
      <c r="ED1159" s="552">
        <f t="shared" si="3906"/>
        <v>0</v>
      </c>
      <c r="EE1159" s="552">
        <f t="shared" si="3906"/>
        <v>0</v>
      </c>
      <c r="EF1159" s="552">
        <f t="shared" si="3906"/>
        <v>0</v>
      </c>
      <c r="EG1159" s="552">
        <f t="shared" si="3906"/>
        <v>0</v>
      </c>
      <c r="EH1159" s="552">
        <f t="shared" ref="EH1159:EX1159" si="3907">EH203*EH$338</f>
        <v>0</v>
      </c>
      <c r="EI1159" s="552">
        <f t="shared" si="3907"/>
        <v>0</v>
      </c>
      <c r="EJ1159" s="552">
        <f t="shared" si="3907"/>
        <v>0</v>
      </c>
      <c r="EK1159" s="552">
        <f t="shared" si="3907"/>
        <v>0</v>
      </c>
      <c r="EL1159" s="552">
        <f t="shared" si="3907"/>
        <v>0</v>
      </c>
      <c r="EM1159" s="552">
        <f t="shared" si="3907"/>
        <v>0</v>
      </c>
      <c r="EN1159" s="552">
        <f t="shared" si="3907"/>
        <v>0</v>
      </c>
      <c r="EO1159" s="552">
        <f t="shared" si="3907"/>
        <v>0</v>
      </c>
      <c r="EP1159" s="552">
        <f t="shared" si="3907"/>
        <v>0</v>
      </c>
      <c r="EQ1159" s="552">
        <f t="shared" si="3907"/>
        <v>0</v>
      </c>
      <c r="ER1159" s="552">
        <f t="shared" si="3907"/>
        <v>0</v>
      </c>
      <c r="ES1159" s="552">
        <f t="shared" si="3907"/>
        <v>0</v>
      </c>
      <c r="ET1159" s="552">
        <f t="shared" si="3907"/>
        <v>0</v>
      </c>
      <c r="EU1159" s="552">
        <f t="shared" si="3907"/>
        <v>0</v>
      </c>
      <c r="EV1159" s="552">
        <f t="shared" si="3907"/>
        <v>0</v>
      </c>
      <c r="EW1159" s="552">
        <f t="shared" si="3907"/>
        <v>0</v>
      </c>
      <c r="EX1159" s="552">
        <f t="shared" si="3907"/>
        <v>0</v>
      </c>
      <c r="EY1159" s="799">
        <f t="shared" si="3876"/>
        <v>2.9</v>
      </c>
      <c r="EZ1159" s="640"/>
      <c r="FA1159" s="640"/>
      <c r="FB1159" s="640"/>
      <c r="FC1159" s="640"/>
      <c r="FD1159" s="640"/>
      <c r="FE1159" s="640"/>
      <c r="FF1159" s="640"/>
      <c r="FG1159" s="640"/>
      <c r="FH1159" s="640"/>
      <c r="FI1159" s="640"/>
      <c r="FJ1159" s="640"/>
      <c r="FK1159" s="640"/>
      <c r="FL1159" s="640"/>
    </row>
    <row r="1160" spans="1:168" s="1034" customFormat="1" x14ac:dyDescent="0.25">
      <c r="A1160" s="1033"/>
      <c r="B1160" s="624">
        <f t="shared" si="3869"/>
        <v>0</v>
      </c>
      <c r="C1160" s="624">
        <f t="shared" si="3869"/>
        <v>0</v>
      </c>
      <c r="D1160" s="624">
        <f t="shared" si="3869"/>
        <v>0</v>
      </c>
      <c r="E1160" s="1158">
        <f t="shared" si="3877"/>
        <v>0</v>
      </c>
      <c r="F1160" s="1158"/>
      <c r="G1160" s="1140"/>
      <c r="H1160" s="1140"/>
      <c r="I1160" s="552"/>
      <c r="J1160" s="552">
        <f t="shared" ref="J1160:AO1160" si="3908">J204*J$338</f>
        <v>0</v>
      </c>
      <c r="K1160" s="552">
        <f t="shared" si="3908"/>
        <v>0</v>
      </c>
      <c r="L1160" s="552">
        <f t="shared" si="3908"/>
        <v>0</v>
      </c>
      <c r="M1160" s="552">
        <f t="shared" si="3908"/>
        <v>0</v>
      </c>
      <c r="N1160" s="552">
        <f t="shared" si="3908"/>
        <v>0</v>
      </c>
      <c r="O1160" s="552">
        <f t="shared" si="3908"/>
        <v>0</v>
      </c>
      <c r="P1160" s="552">
        <f t="shared" si="3908"/>
        <v>0</v>
      </c>
      <c r="Q1160" s="552">
        <f t="shared" si="3908"/>
        <v>0</v>
      </c>
      <c r="R1160" s="552">
        <f t="shared" si="3908"/>
        <v>0</v>
      </c>
      <c r="S1160" s="552">
        <f t="shared" si="3908"/>
        <v>0</v>
      </c>
      <c r="T1160" s="552">
        <f t="shared" si="3908"/>
        <v>0</v>
      </c>
      <c r="U1160" s="552">
        <f t="shared" si="3908"/>
        <v>0</v>
      </c>
      <c r="V1160" s="552">
        <f t="shared" si="3908"/>
        <v>0</v>
      </c>
      <c r="W1160" s="552">
        <f t="shared" si="3908"/>
        <v>0</v>
      </c>
      <c r="X1160" s="552">
        <f t="shared" si="3908"/>
        <v>0</v>
      </c>
      <c r="Y1160" s="552">
        <f t="shared" si="3908"/>
        <v>0</v>
      </c>
      <c r="Z1160" s="552">
        <f t="shared" si="3908"/>
        <v>0</v>
      </c>
      <c r="AA1160" s="552">
        <f t="shared" si="3908"/>
        <v>0</v>
      </c>
      <c r="AB1160" s="552">
        <f t="shared" si="3908"/>
        <v>0</v>
      </c>
      <c r="AC1160" s="552">
        <f t="shared" si="3908"/>
        <v>0</v>
      </c>
      <c r="AD1160" s="552">
        <f t="shared" si="3908"/>
        <v>0</v>
      </c>
      <c r="AE1160" s="552">
        <f t="shared" si="3908"/>
        <v>0</v>
      </c>
      <c r="AF1160" s="552">
        <f t="shared" si="3908"/>
        <v>0</v>
      </c>
      <c r="AG1160" s="552">
        <f t="shared" si="3908"/>
        <v>0</v>
      </c>
      <c r="AH1160" s="552">
        <f t="shared" si="3908"/>
        <v>0</v>
      </c>
      <c r="AI1160" s="552">
        <f t="shared" si="3908"/>
        <v>0</v>
      </c>
      <c r="AJ1160" s="552">
        <f t="shared" si="3908"/>
        <v>0</v>
      </c>
      <c r="AK1160" s="552">
        <f t="shared" si="3908"/>
        <v>0</v>
      </c>
      <c r="AL1160" s="552">
        <f t="shared" si="3908"/>
        <v>0</v>
      </c>
      <c r="AM1160" s="552">
        <f t="shared" si="3908"/>
        <v>0</v>
      </c>
      <c r="AN1160" s="552">
        <f t="shared" si="3908"/>
        <v>0</v>
      </c>
      <c r="AO1160" s="552">
        <f t="shared" si="3908"/>
        <v>0</v>
      </c>
      <c r="AP1160" s="552">
        <f t="shared" ref="AP1160:BU1160" si="3909">AP204*AP$338</f>
        <v>0</v>
      </c>
      <c r="AQ1160" s="552">
        <f t="shared" si="3909"/>
        <v>0</v>
      </c>
      <c r="AR1160" s="552">
        <f t="shared" si="3909"/>
        <v>0</v>
      </c>
      <c r="AS1160" s="552">
        <f t="shared" si="3909"/>
        <v>0</v>
      </c>
      <c r="AT1160" s="552">
        <f t="shared" si="3909"/>
        <v>0</v>
      </c>
      <c r="AU1160" s="552">
        <f t="shared" si="3909"/>
        <v>0</v>
      </c>
      <c r="AV1160" s="552">
        <f t="shared" si="3909"/>
        <v>0</v>
      </c>
      <c r="AW1160" s="552">
        <f t="shared" si="3909"/>
        <v>0</v>
      </c>
      <c r="AX1160" s="552">
        <f t="shared" si="3909"/>
        <v>0</v>
      </c>
      <c r="AY1160" s="552">
        <f t="shared" si="3909"/>
        <v>0</v>
      </c>
      <c r="AZ1160" s="552">
        <f t="shared" si="3909"/>
        <v>0</v>
      </c>
      <c r="BA1160" s="552">
        <f t="shared" si="3909"/>
        <v>0</v>
      </c>
      <c r="BB1160" s="552">
        <f t="shared" si="3909"/>
        <v>0</v>
      </c>
      <c r="BC1160" s="552">
        <f t="shared" si="3909"/>
        <v>0</v>
      </c>
      <c r="BD1160" s="552">
        <f t="shared" si="3909"/>
        <v>0</v>
      </c>
      <c r="BE1160" s="552">
        <f t="shared" si="3909"/>
        <v>0</v>
      </c>
      <c r="BF1160" s="552">
        <f t="shared" si="3909"/>
        <v>0</v>
      </c>
      <c r="BG1160" s="552">
        <f t="shared" si="3909"/>
        <v>0</v>
      </c>
      <c r="BH1160" s="552">
        <f t="shared" si="3909"/>
        <v>0</v>
      </c>
      <c r="BI1160" s="552">
        <f t="shared" si="3909"/>
        <v>0</v>
      </c>
      <c r="BJ1160" s="552">
        <f t="shared" si="3909"/>
        <v>0</v>
      </c>
      <c r="BK1160" s="552">
        <f t="shared" si="3909"/>
        <v>0</v>
      </c>
      <c r="BL1160" s="552">
        <f t="shared" si="3909"/>
        <v>0</v>
      </c>
      <c r="BM1160" s="552">
        <f t="shared" si="3909"/>
        <v>0</v>
      </c>
      <c r="BN1160" s="552">
        <f t="shared" si="3909"/>
        <v>0</v>
      </c>
      <c r="BO1160" s="552">
        <f t="shared" si="3909"/>
        <v>0</v>
      </c>
      <c r="BP1160" s="552">
        <f t="shared" si="3909"/>
        <v>0</v>
      </c>
      <c r="BQ1160" s="552">
        <f t="shared" si="3909"/>
        <v>0</v>
      </c>
      <c r="BR1160" s="552">
        <f t="shared" si="3909"/>
        <v>0</v>
      </c>
      <c r="BS1160" s="552">
        <f t="shared" si="3909"/>
        <v>0</v>
      </c>
      <c r="BT1160" s="552">
        <f t="shared" si="3909"/>
        <v>0</v>
      </c>
      <c r="BU1160" s="552">
        <f t="shared" si="3909"/>
        <v>0</v>
      </c>
      <c r="BV1160" s="552">
        <f t="shared" ref="BV1160:DA1160" si="3910">BV204*BV$338</f>
        <v>0</v>
      </c>
      <c r="BW1160" s="552">
        <f t="shared" si="3910"/>
        <v>0</v>
      </c>
      <c r="BX1160" s="552">
        <f t="shared" si="3910"/>
        <v>0</v>
      </c>
      <c r="BY1160" s="552">
        <f t="shared" si="3910"/>
        <v>0</v>
      </c>
      <c r="BZ1160" s="552">
        <f t="shared" si="3910"/>
        <v>0</v>
      </c>
      <c r="CA1160" s="552">
        <f t="shared" si="3910"/>
        <v>0</v>
      </c>
      <c r="CB1160" s="552">
        <f t="shared" si="3910"/>
        <v>0</v>
      </c>
      <c r="CC1160" s="552">
        <f t="shared" si="3910"/>
        <v>0</v>
      </c>
      <c r="CD1160" s="552">
        <f t="shared" si="3910"/>
        <v>0</v>
      </c>
      <c r="CE1160" s="552">
        <f t="shared" si="3910"/>
        <v>0</v>
      </c>
      <c r="CF1160" s="552">
        <f t="shared" si="3910"/>
        <v>0</v>
      </c>
      <c r="CG1160" s="552">
        <f t="shared" si="3910"/>
        <v>0</v>
      </c>
      <c r="CH1160" s="552">
        <f t="shared" si="3910"/>
        <v>0</v>
      </c>
      <c r="CI1160" s="552">
        <f t="shared" si="3910"/>
        <v>0</v>
      </c>
      <c r="CJ1160" s="552">
        <f t="shared" si="3910"/>
        <v>0</v>
      </c>
      <c r="CK1160" s="552">
        <f t="shared" si="3910"/>
        <v>0</v>
      </c>
      <c r="CL1160" s="552">
        <f t="shared" si="3910"/>
        <v>0</v>
      </c>
      <c r="CM1160" s="552">
        <f t="shared" si="3910"/>
        <v>0</v>
      </c>
      <c r="CN1160" s="552">
        <f t="shared" si="3910"/>
        <v>0</v>
      </c>
      <c r="CO1160" s="552">
        <f t="shared" si="3910"/>
        <v>0</v>
      </c>
      <c r="CP1160" s="552">
        <f t="shared" si="3910"/>
        <v>0</v>
      </c>
      <c r="CQ1160" s="552">
        <f t="shared" si="3910"/>
        <v>0</v>
      </c>
      <c r="CR1160" s="552">
        <f t="shared" si="3910"/>
        <v>0</v>
      </c>
      <c r="CS1160" s="552">
        <f t="shared" si="3910"/>
        <v>0</v>
      </c>
      <c r="CT1160" s="552">
        <f t="shared" si="3910"/>
        <v>0</v>
      </c>
      <c r="CU1160" s="552">
        <f t="shared" si="3910"/>
        <v>0</v>
      </c>
      <c r="CV1160" s="552">
        <f t="shared" si="3910"/>
        <v>0</v>
      </c>
      <c r="CW1160" s="552">
        <f t="shared" si="3910"/>
        <v>0</v>
      </c>
      <c r="CX1160" s="552">
        <f t="shared" si="3910"/>
        <v>0</v>
      </c>
      <c r="CY1160" s="552">
        <f t="shared" si="3910"/>
        <v>0</v>
      </c>
      <c r="CZ1160" s="552">
        <f t="shared" si="3910"/>
        <v>0</v>
      </c>
      <c r="DA1160" s="552">
        <f t="shared" si="3910"/>
        <v>0</v>
      </c>
      <c r="DB1160" s="552">
        <f t="shared" ref="DB1160:EG1160" si="3911">DB204*DB$338</f>
        <v>0</v>
      </c>
      <c r="DC1160" s="552">
        <f t="shared" si="3911"/>
        <v>0</v>
      </c>
      <c r="DD1160" s="552">
        <f t="shared" si="3911"/>
        <v>0</v>
      </c>
      <c r="DE1160" s="552">
        <f t="shared" si="3911"/>
        <v>0</v>
      </c>
      <c r="DF1160" s="552">
        <f t="shared" si="3911"/>
        <v>0</v>
      </c>
      <c r="DG1160" s="552">
        <f t="shared" si="3911"/>
        <v>0</v>
      </c>
      <c r="DH1160" s="552">
        <f t="shared" si="3911"/>
        <v>0</v>
      </c>
      <c r="DI1160" s="552">
        <f t="shared" si="3911"/>
        <v>0</v>
      </c>
      <c r="DJ1160" s="552">
        <f t="shared" si="3911"/>
        <v>0</v>
      </c>
      <c r="DK1160" s="552">
        <f t="shared" si="3911"/>
        <v>0</v>
      </c>
      <c r="DL1160" s="552">
        <f t="shared" si="3911"/>
        <v>0</v>
      </c>
      <c r="DM1160" s="552">
        <f t="shared" si="3911"/>
        <v>0</v>
      </c>
      <c r="DN1160" s="552">
        <f t="shared" si="3911"/>
        <v>0</v>
      </c>
      <c r="DO1160" s="552">
        <f t="shared" si="3911"/>
        <v>0</v>
      </c>
      <c r="DP1160" s="552">
        <f t="shared" si="3911"/>
        <v>0</v>
      </c>
      <c r="DQ1160" s="552">
        <f t="shared" si="3911"/>
        <v>0</v>
      </c>
      <c r="DR1160" s="552">
        <f t="shared" si="3911"/>
        <v>0</v>
      </c>
      <c r="DS1160" s="552">
        <f t="shared" si="3911"/>
        <v>0</v>
      </c>
      <c r="DT1160" s="552">
        <f t="shared" si="3911"/>
        <v>0</v>
      </c>
      <c r="DU1160" s="552">
        <f t="shared" si="3911"/>
        <v>0</v>
      </c>
      <c r="DV1160" s="552">
        <f t="shared" si="3911"/>
        <v>0</v>
      </c>
      <c r="DW1160" s="552">
        <f t="shared" si="3911"/>
        <v>0</v>
      </c>
      <c r="DX1160" s="552">
        <f t="shared" si="3911"/>
        <v>0</v>
      </c>
      <c r="DY1160" s="552">
        <f t="shared" si="3911"/>
        <v>0</v>
      </c>
      <c r="DZ1160" s="552">
        <f t="shared" si="3911"/>
        <v>0</v>
      </c>
      <c r="EA1160" s="552">
        <f t="shared" si="3911"/>
        <v>0</v>
      </c>
      <c r="EB1160" s="552">
        <f t="shared" si="3911"/>
        <v>0</v>
      </c>
      <c r="EC1160" s="552">
        <f t="shared" si="3911"/>
        <v>0</v>
      </c>
      <c r="ED1160" s="552">
        <f t="shared" si="3911"/>
        <v>0</v>
      </c>
      <c r="EE1160" s="552">
        <f t="shared" si="3911"/>
        <v>0</v>
      </c>
      <c r="EF1160" s="552">
        <f t="shared" si="3911"/>
        <v>0</v>
      </c>
      <c r="EG1160" s="552">
        <f t="shared" si="3911"/>
        <v>0</v>
      </c>
      <c r="EH1160" s="552">
        <f t="shared" ref="EH1160:EX1160" si="3912">EH204*EH$338</f>
        <v>0</v>
      </c>
      <c r="EI1160" s="552">
        <f t="shared" si="3912"/>
        <v>0</v>
      </c>
      <c r="EJ1160" s="552">
        <f t="shared" si="3912"/>
        <v>0</v>
      </c>
      <c r="EK1160" s="552">
        <f t="shared" si="3912"/>
        <v>0</v>
      </c>
      <c r="EL1160" s="552">
        <f t="shared" si="3912"/>
        <v>0</v>
      </c>
      <c r="EM1160" s="552">
        <f t="shared" si="3912"/>
        <v>0</v>
      </c>
      <c r="EN1160" s="552">
        <f t="shared" si="3912"/>
        <v>0</v>
      </c>
      <c r="EO1160" s="552">
        <f t="shared" si="3912"/>
        <v>0</v>
      </c>
      <c r="EP1160" s="552">
        <f t="shared" si="3912"/>
        <v>0</v>
      </c>
      <c r="EQ1160" s="552">
        <f t="shared" si="3912"/>
        <v>0</v>
      </c>
      <c r="ER1160" s="552">
        <f t="shared" si="3912"/>
        <v>0</v>
      </c>
      <c r="ES1160" s="552">
        <f t="shared" si="3912"/>
        <v>0</v>
      </c>
      <c r="ET1160" s="552">
        <f t="shared" si="3912"/>
        <v>0</v>
      </c>
      <c r="EU1160" s="552">
        <f t="shared" si="3912"/>
        <v>0</v>
      </c>
      <c r="EV1160" s="552">
        <f t="shared" si="3912"/>
        <v>0</v>
      </c>
      <c r="EW1160" s="552">
        <f t="shared" si="3912"/>
        <v>0</v>
      </c>
      <c r="EX1160" s="552">
        <f t="shared" si="3912"/>
        <v>0</v>
      </c>
      <c r="EY1160" s="799">
        <f t="shared" si="3876"/>
        <v>0</v>
      </c>
      <c r="EZ1160" s="640"/>
      <c r="FA1160" s="640"/>
      <c r="FB1160" s="640"/>
      <c r="FC1160" s="640"/>
      <c r="FD1160" s="640"/>
      <c r="FE1160" s="640"/>
      <c r="FF1160" s="640"/>
      <c r="FG1160" s="640"/>
      <c r="FH1160" s="640"/>
      <c r="FI1160" s="640"/>
      <c r="FJ1160" s="640"/>
      <c r="FK1160" s="640"/>
      <c r="FL1160" s="640"/>
    </row>
    <row r="1161" spans="1:168" s="1034" customFormat="1" x14ac:dyDescent="0.25">
      <c r="A1161" s="1033"/>
      <c r="B1161" s="624">
        <f t="shared" si="3869"/>
        <v>0</v>
      </c>
      <c r="C1161" s="624">
        <f t="shared" si="3869"/>
        <v>0</v>
      </c>
      <c r="D1161" s="624">
        <f t="shared" si="3869"/>
        <v>0</v>
      </c>
      <c r="E1161" s="1158">
        <f t="shared" si="3877"/>
        <v>0</v>
      </c>
      <c r="F1161" s="1158"/>
      <c r="G1161" s="1140"/>
      <c r="H1161" s="1140"/>
      <c r="I1161" s="552"/>
      <c r="J1161" s="552">
        <f t="shared" ref="J1161:AO1161" si="3913">J205*J$338</f>
        <v>0</v>
      </c>
      <c r="K1161" s="552">
        <f t="shared" si="3913"/>
        <v>0</v>
      </c>
      <c r="L1161" s="552">
        <f t="shared" si="3913"/>
        <v>0</v>
      </c>
      <c r="M1161" s="552">
        <f t="shared" si="3913"/>
        <v>0</v>
      </c>
      <c r="N1161" s="552">
        <f t="shared" si="3913"/>
        <v>0</v>
      </c>
      <c r="O1161" s="552">
        <f t="shared" si="3913"/>
        <v>0</v>
      </c>
      <c r="P1161" s="552">
        <f t="shared" si="3913"/>
        <v>0</v>
      </c>
      <c r="Q1161" s="552">
        <f t="shared" si="3913"/>
        <v>0</v>
      </c>
      <c r="R1161" s="552">
        <f t="shared" si="3913"/>
        <v>0</v>
      </c>
      <c r="S1161" s="552">
        <f t="shared" si="3913"/>
        <v>0</v>
      </c>
      <c r="T1161" s="552">
        <f t="shared" si="3913"/>
        <v>0</v>
      </c>
      <c r="U1161" s="552">
        <f t="shared" si="3913"/>
        <v>0</v>
      </c>
      <c r="V1161" s="552">
        <f t="shared" si="3913"/>
        <v>0</v>
      </c>
      <c r="W1161" s="552">
        <f t="shared" si="3913"/>
        <v>0</v>
      </c>
      <c r="X1161" s="552">
        <f t="shared" si="3913"/>
        <v>0</v>
      </c>
      <c r="Y1161" s="552">
        <f t="shared" si="3913"/>
        <v>0</v>
      </c>
      <c r="Z1161" s="552">
        <f t="shared" si="3913"/>
        <v>0</v>
      </c>
      <c r="AA1161" s="552">
        <f t="shared" si="3913"/>
        <v>0</v>
      </c>
      <c r="AB1161" s="552">
        <f t="shared" si="3913"/>
        <v>0</v>
      </c>
      <c r="AC1161" s="552">
        <f t="shared" si="3913"/>
        <v>0</v>
      </c>
      <c r="AD1161" s="552">
        <f t="shared" si="3913"/>
        <v>0</v>
      </c>
      <c r="AE1161" s="552">
        <f t="shared" si="3913"/>
        <v>0</v>
      </c>
      <c r="AF1161" s="552">
        <f t="shared" si="3913"/>
        <v>0</v>
      </c>
      <c r="AG1161" s="552">
        <f t="shared" si="3913"/>
        <v>0</v>
      </c>
      <c r="AH1161" s="552">
        <f t="shared" si="3913"/>
        <v>0</v>
      </c>
      <c r="AI1161" s="552">
        <f t="shared" si="3913"/>
        <v>0</v>
      </c>
      <c r="AJ1161" s="552">
        <f t="shared" si="3913"/>
        <v>0</v>
      </c>
      <c r="AK1161" s="552">
        <f t="shared" si="3913"/>
        <v>0</v>
      </c>
      <c r="AL1161" s="552">
        <f t="shared" si="3913"/>
        <v>0</v>
      </c>
      <c r="AM1161" s="552">
        <f t="shared" si="3913"/>
        <v>0</v>
      </c>
      <c r="AN1161" s="552">
        <f t="shared" si="3913"/>
        <v>0</v>
      </c>
      <c r="AO1161" s="552">
        <f t="shared" si="3913"/>
        <v>0</v>
      </c>
      <c r="AP1161" s="552">
        <f t="shared" ref="AP1161:BU1161" si="3914">AP205*AP$338</f>
        <v>0</v>
      </c>
      <c r="AQ1161" s="552">
        <f t="shared" si="3914"/>
        <v>0</v>
      </c>
      <c r="AR1161" s="552">
        <f t="shared" si="3914"/>
        <v>0</v>
      </c>
      <c r="AS1161" s="552">
        <f t="shared" si="3914"/>
        <v>0</v>
      </c>
      <c r="AT1161" s="552">
        <f t="shared" si="3914"/>
        <v>0</v>
      </c>
      <c r="AU1161" s="552">
        <f t="shared" si="3914"/>
        <v>0</v>
      </c>
      <c r="AV1161" s="552">
        <f t="shared" si="3914"/>
        <v>0</v>
      </c>
      <c r="AW1161" s="552">
        <f t="shared" si="3914"/>
        <v>0</v>
      </c>
      <c r="AX1161" s="552">
        <f t="shared" si="3914"/>
        <v>0</v>
      </c>
      <c r="AY1161" s="552">
        <f t="shared" si="3914"/>
        <v>0</v>
      </c>
      <c r="AZ1161" s="552">
        <f t="shared" si="3914"/>
        <v>0</v>
      </c>
      <c r="BA1161" s="552">
        <f t="shared" si="3914"/>
        <v>0</v>
      </c>
      <c r="BB1161" s="552">
        <f t="shared" si="3914"/>
        <v>0</v>
      </c>
      <c r="BC1161" s="552">
        <f t="shared" si="3914"/>
        <v>0</v>
      </c>
      <c r="BD1161" s="552">
        <f t="shared" si="3914"/>
        <v>0</v>
      </c>
      <c r="BE1161" s="552">
        <f t="shared" si="3914"/>
        <v>0</v>
      </c>
      <c r="BF1161" s="552">
        <f t="shared" si="3914"/>
        <v>0</v>
      </c>
      <c r="BG1161" s="552">
        <f t="shared" si="3914"/>
        <v>0</v>
      </c>
      <c r="BH1161" s="552">
        <f t="shared" si="3914"/>
        <v>0</v>
      </c>
      <c r="BI1161" s="552">
        <f t="shared" si="3914"/>
        <v>0</v>
      </c>
      <c r="BJ1161" s="552">
        <f t="shared" si="3914"/>
        <v>0</v>
      </c>
      <c r="BK1161" s="552">
        <f t="shared" si="3914"/>
        <v>0</v>
      </c>
      <c r="BL1161" s="552">
        <f t="shared" si="3914"/>
        <v>0</v>
      </c>
      <c r="BM1161" s="552">
        <f t="shared" si="3914"/>
        <v>0</v>
      </c>
      <c r="BN1161" s="552">
        <f t="shared" si="3914"/>
        <v>0</v>
      </c>
      <c r="BO1161" s="552">
        <f t="shared" si="3914"/>
        <v>0</v>
      </c>
      <c r="BP1161" s="552">
        <f t="shared" si="3914"/>
        <v>0</v>
      </c>
      <c r="BQ1161" s="552">
        <f t="shared" si="3914"/>
        <v>0</v>
      </c>
      <c r="BR1161" s="552">
        <f t="shared" si="3914"/>
        <v>0</v>
      </c>
      <c r="BS1161" s="552">
        <f t="shared" si="3914"/>
        <v>0</v>
      </c>
      <c r="BT1161" s="552">
        <f t="shared" si="3914"/>
        <v>0</v>
      </c>
      <c r="BU1161" s="552">
        <f t="shared" si="3914"/>
        <v>0</v>
      </c>
      <c r="BV1161" s="552">
        <f t="shared" ref="BV1161:DA1161" si="3915">BV205*BV$338</f>
        <v>0</v>
      </c>
      <c r="BW1161" s="552">
        <f t="shared" si="3915"/>
        <v>0</v>
      </c>
      <c r="BX1161" s="552">
        <f t="shared" si="3915"/>
        <v>0</v>
      </c>
      <c r="BY1161" s="552">
        <f t="shared" si="3915"/>
        <v>0</v>
      </c>
      <c r="BZ1161" s="552">
        <f t="shared" si="3915"/>
        <v>0</v>
      </c>
      <c r="CA1161" s="552">
        <f t="shared" si="3915"/>
        <v>0</v>
      </c>
      <c r="CB1161" s="552">
        <f t="shared" si="3915"/>
        <v>0</v>
      </c>
      <c r="CC1161" s="552">
        <f t="shared" si="3915"/>
        <v>0</v>
      </c>
      <c r="CD1161" s="552">
        <f t="shared" si="3915"/>
        <v>0</v>
      </c>
      <c r="CE1161" s="552">
        <f t="shared" si="3915"/>
        <v>0</v>
      </c>
      <c r="CF1161" s="552">
        <f t="shared" si="3915"/>
        <v>0</v>
      </c>
      <c r="CG1161" s="552">
        <f t="shared" si="3915"/>
        <v>0</v>
      </c>
      <c r="CH1161" s="552">
        <f t="shared" si="3915"/>
        <v>0</v>
      </c>
      <c r="CI1161" s="552">
        <f t="shared" si="3915"/>
        <v>0</v>
      </c>
      <c r="CJ1161" s="552">
        <f t="shared" si="3915"/>
        <v>0</v>
      </c>
      <c r="CK1161" s="552">
        <f t="shared" si="3915"/>
        <v>0</v>
      </c>
      <c r="CL1161" s="552">
        <f t="shared" si="3915"/>
        <v>0</v>
      </c>
      <c r="CM1161" s="552">
        <f t="shared" si="3915"/>
        <v>0</v>
      </c>
      <c r="CN1161" s="552">
        <f t="shared" si="3915"/>
        <v>0</v>
      </c>
      <c r="CO1161" s="552">
        <f t="shared" si="3915"/>
        <v>0</v>
      </c>
      <c r="CP1161" s="552">
        <f t="shared" si="3915"/>
        <v>0</v>
      </c>
      <c r="CQ1161" s="552">
        <f t="shared" si="3915"/>
        <v>0</v>
      </c>
      <c r="CR1161" s="552">
        <f t="shared" si="3915"/>
        <v>0</v>
      </c>
      <c r="CS1161" s="552">
        <f t="shared" si="3915"/>
        <v>0</v>
      </c>
      <c r="CT1161" s="552">
        <f t="shared" si="3915"/>
        <v>0</v>
      </c>
      <c r="CU1161" s="552">
        <f t="shared" si="3915"/>
        <v>0</v>
      </c>
      <c r="CV1161" s="552">
        <f t="shared" si="3915"/>
        <v>0</v>
      </c>
      <c r="CW1161" s="552">
        <f t="shared" si="3915"/>
        <v>0</v>
      </c>
      <c r="CX1161" s="552">
        <f t="shared" si="3915"/>
        <v>0</v>
      </c>
      <c r="CY1161" s="552">
        <f t="shared" si="3915"/>
        <v>0</v>
      </c>
      <c r="CZ1161" s="552">
        <f t="shared" si="3915"/>
        <v>0</v>
      </c>
      <c r="DA1161" s="552">
        <f t="shared" si="3915"/>
        <v>0</v>
      </c>
      <c r="DB1161" s="552">
        <f t="shared" ref="DB1161:EG1161" si="3916">DB205*DB$338</f>
        <v>0</v>
      </c>
      <c r="DC1161" s="552">
        <f t="shared" si="3916"/>
        <v>0</v>
      </c>
      <c r="DD1161" s="552">
        <f t="shared" si="3916"/>
        <v>0</v>
      </c>
      <c r="DE1161" s="552">
        <f t="shared" si="3916"/>
        <v>0</v>
      </c>
      <c r="DF1161" s="552">
        <f t="shared" si="3916"/>
        <v>0</v>
      </c>
      <c r="DG1161" s="552">
        <f t="shared" si="3916"/>
        <v>0</v>
      </c>
      <c r="DH1161" s="552">
        <f t="shared" si="3916"/>
        <v>0</v>
      </c>
      <c r="DI1161" s="552">
        <f t="shared" si="3916"/>
        <v>0</v>
      </c>
      <c r="DJ1161" s="552">
        <f t="shared" si="3916"/>
        <v>0</v>
      </c>
      <c r="DK1161" s="552">
        <f t="shared" si="3916"/>
        <v>0</v>
      </c>
      <c r="DL1161" s="552">
        <f t="shared" si="3916"/>
        <v>0</v>
      </c>
      <c r="DM1161" s="552">
        <f t="shared" si="3916"/>
        <v>0</v>
      </c>
      <c r="DN1161" s="552">
        <f t="shared" si="3916"/>
        <v>0</v>
      </c>
      <c r="DO1161" s="552">
        <f t="shared" si="3916"/>
        <v>0</v>
      </c>
      <c r="DP1161" s="552">
        <f t="shared" si="3916"/>
        <v>0</v>
      </c>
      <c r="DQ1161" s="552">
        <f t="shared" si="3916"/>
        <v>0</v>
      </c>
      <c r="DR1161" s="552">
        <f t="shared" si="3916"/>
        <v>0</v>
      </c>
      <c r="DS1161" s="552">
        <f t="shared" si="3916"/>
        <v>0</v>
      </c>
      <c r="DT1161" s="552">
        <f t="shared" si="3916"/>
        <v>0</v>
      </c>
      <c r="DU1161" s="552">
        <f t="shared" si="3916"/>
        <v>0</v>
      </c>
      <c r="DV1161" s="552">
        <f t="shared" si="3916"/>
        <v>0</v>
      </c>
      <c r="DW1161" s="552">
        <f t="shared" si="3916"/>
        <v>0</v>
      </c>
      <c r="DX1161" s="552">
        <f t="shared" si="3916"/>
        <v>0</v>
      </c>
      <c r="DY1161" s="552">
        <f t="shared" si="3916"/>
        <v>0</v>
      </c>
      <c r="DZ1161" s="552">
        <f t="shared" si="3916"/>
        <v>0</v>
      </c>
      <c r="EA1161" s="552">
        <f t="shared" si="3916"/>
        <v>0</v>
      </c>
      <c r="EB1161" s="552">
        <f t="shared" si="3916"/>
        <v>0</v>
      </c>
      <c r="EC1161" s="552">
        <f t="shared" si="3916"/>
        <v>0</v>
      </c>
      <c r="ED1161" s="552">
        <f t="shared" si="3916"/>
        <v>0</v>
      </c>
      <c r="EE1161" s="552">
        <f t="shared" si="3916"/>
        <v>0</v>
      </c>
      <c r="EF1161" s="552">
        <f t="shared" si="3916"/>
        <v>0</v>
      </c>
      <c r="EG1161" s="552">
        <f t="shared" si="3916"/>
        <v>0</v>
      </c>
      <c r="EH1161" s="552">
        <f t="shared" ref="EH1161:EX1161" si="3917">EH205*EH$338</f>
        <v>0</v>
      </c>
      <c r="EI1161" s="552">
        <f t="shared" si="3917"/>
        <v>0</v>
      </c>
      <c r="EJ1161" s="552">
        <f t="shared" si="3917"/>
        <v>0</v>
      </c>
      <c r="EK1161" s="552">
        <f t="shared" si="3917"/>
        <v>0</v>
      </c>
      <c r="EL1161" s="552">
        <f t="shared" si="3917"/>
        <v>0</v>
      </c>
      <c r="EM1161" s="552">
        <f t="shared" si="3917"/>
        <v>0</v>
      </c>
      <c r="EN1161" s="552">
        <f t="shared" si="3917"/>
        <v>0</v>
      </c>
      <c r="EO1161" s="552">
        <f t="shared" si="3917"/>
        <v>0</v>
      </c>
      <c r="EP1161" s="552">
        <f t="shared" si="3917"/>
        <v>0</v>
      </c>
      <c r="EQ1161" s="552">
        <f t="shared" si="3917"/>
        <v>0</v>
      </c>
      <c r="ER1161" s="552">
        <f t="shared" si="3917"/>
        <v>0</v>
      </c>
      <c r="ES1161" s="552">
        <f t="shared" si="3917"/>
        <v>0</v>
      </c>
      <c r="ET1161" s="552">
        <f t="shared" si="3917"/>
        <v>0</v>
      </c>
      <c r="EU1161" s="552">
        <f t="shared" si="3917"/>
        <v>0</v>
      </c>
      <c r="EV1161" s="552">
        <f t="shared" si="3917"/>
        <v>0</v>
      </c>
      <c r="EW1161" s="552">
        <f t="shared" si="3917"/>
        <v>0</v>
      </c>
      <c r="EX1161" s="552">
        <f t="shared" si="3917"/>
        <v>0</v>
      </c>
      <c r="EY1161" s="799">
        <f t="shared" si="3876"/>
        <v>0</v>
      </c>
      <c r="EZ1161" s="640"/>
      <c r="FA1161" s="640"/>
      <c r="FB1161" s="640"/>
      <c r="FC1161" s="640"/>
      <c r="FD1161" s="640"/>
      <c r="FE1161" s="640"/>
      <c r="FF1161" s="640"/>
      <c r="FG1161" s="640"/>
      <c r="FH1161" s="640"/>
      <c r="FI1161" s="640"/>
      <c r="FJ1161" s="640"/>
      <c r="FK1161" s="640"/>
      <c r="FL1161" s="640"/>
    </row>
    <row r="1162" spans="1:168" x14ac:dyDescent="0.25">
      <c r="A1162" s="254">
        <v>0</v>
      </c>
      <c r="B1162" s="625" t="s">
        <v>111</v>
      </c>
      <c r="C1162" s="1135"/>
      <c r="D1162" s="1138">
        <f>SUM(D1153:D1161)</f>
        <v>28.91</v>
      </c>
      <c r="E1162" s="1138">
        <f t="shared" ref="E1162:J1162" si="3918">SUM(E1153:E1161)</f>
        <v>82.06</v>
      </c>
      <c r="F1162" s="1138"/>
      <c r="G1162" s="1138">
        <f t="shared" si="3918"/>
        <v>0</v>
      </c>
      <c r="H1162" s="1138">
        <f t="shared" si="3918"/>
        <v>0</v>
      </c>
      <c r="I1162" s="554"/>
      <c r="J1162" s="1138">
        <f t="shared" si="3918"/>
        <v>0</v>
      </c>
      <c r="K1162" s="1138">
        <f t="shared" ref="K1162" si="3919">SUM(K1153:K1161)</f>
        <v>0</v>
      </c>
      <c r="L1162" s="1138">
        <f t="shared" ref="L1162" si="3920">SUM(L1153:L1161)</f>
        <v>0</v>
      </c>
      <c r="M1162" s="1138">
        <f t="shared" ref="M1162" si="3921">SUM(M1153:M1161)</f>
        <v>0</v>
      </c>
      <c r="N1162" s="1138">
        <f t="shared" ref="N1162" si="3922">SUM(N1153:N1161)</f>
        <v>0</v>
      </c>
      <c r="O1162" s="1138">
        <f t="shared" ref="O1162" si="3923">SUM(O1153:O1161)</f>
        <v>0</v>
      </c>
      <c r="P1162" s="1138">
        <f t="shared" ref="P1162" si="3924">SUM(P1153:P1161)</f>
        <v>0</v>
      </c>
      <c r="Q1162" s="1138">
        <f t="shared" ref="Q1162" si="3925">SUM(Q1153:Q1161)</f>
        <v>0</v>
      </c>
      <c r="R1162" s="1138">
        <f t="shared" ref="R1162" si="3926">SUM(R1153:R1161)</f>
        <v>0</v>
      </c>
      <c r="S1162" s="1138">
        <f t="shared" ref="S1162" si="3927">SUM(S1153:S1161)</f>
        <v>0</v>
      </c>
      <c r="T1162" s="1138">
        <f t="shared" ref="T1162" si="3928">SUM(T1153:T1161)</f>
        <v>0</v>
      </c>
      <c r="U1162" s="1138">
        <f t="shared" ref="U1162" si="3929">SUM(U1153:U1161)</f>
        <v>0</v>
      </c>
      <c r="V1162" s="1138">
        <f t="shared" ref="V1162" si="3930">SUM(V1153:V1161)</f>
        <v>10.65</v>
      </c>
      <c r="W1162" s="1138">
        <f t="shared" ref="W1162" si="3931">SUM(W1153:W1161)</f>
        <v>15.1</v>
      </c>
      <c r="X1162" s="1138">
        <f t="shared" ref="X1162" si="3932">SUM(X1153:X1161)</f>
        <v>32.340000000000003</v>
      </c>
      <c r="Y1162" s="1138">
        <f t="shared" ref="Y1162" si="3933">SUM(Y1153:Y1161)</f>
        <v>1.17</v>
      </c>
      <c r="Z1162" s="1138">
        <f t="shared" ref="Z1162" si="3934">SUM(Z1153:Z1161)</f>
        <v>7.5</v>
      </c>
      <c r="AA1162" s="1138">
        <f t="shared" ref="AA1162" si="3935">SUM(AA1153:AA1161)</f>
        <v>0</v>
      </c>
      <c r="AB1162" s="1138">
        <f t="shared" ref="AB1162" si="3936">SUM(AB1153:AB1161)</f>
        <v>0</v>
      </c>
      <c r="AC1162" s="1138">
        <f t="shared" ref="AC1162" si="3937">SUM(AC1153:AC1161)</f>
        <v>0</v>
      </c>
      <c r="AD1162" s="1138">
        <f t="shared" ref="AD1162" si="3938">SUM(AD1153:AD1161)</f>
        <v>0</v>
      </c>
      <c r="AE1162" s="1138">
        <f t="shared" ref="AE1162" si="3939">SUM(AE1153:AE1161)</f>
        <v>0.91</v>
      </c>
      <c r="AF1162" s="1138">
        <f t="shared" ref="AF1162" si="3940">SUM(AF1153:AF1161)</f>
        <v>0</v>
      </c>
      <c r="AG1162" s="1138">
        <f t="shared" ref="AG1162" si="3941">SUM(AG1153:AG1161)</f>
        <v>0</v>
      </c>
      <c r="AH1162" s="1138">
        <f t="shared" ref="AH1162" si="3942">SUM(AH1153:AH1161)</f>
        <v>0</v>
      </c>
      <c r="AI1162" s="1138">
        <f t="shared" ref="AI1162" si="3943">SUM(AI1153:AI1161)</f>
        <v>0</v>
      </c>
      <c r="AJ1162" s="1138">
        <f t="shared" ref="AJ1162" si="3944">SUM(AJ1153:AJ1161)</f>
        <v>0</v>
      </c>
      <c r="AK1162" s="1138">
        <f t="shared" ref="AK1162" si="3945">SUM(AK1153:AK1161)</f>
        <v>0</v>
      </c>
      <c r="AL1162" s="1138">
        <f t="shared" ref="AL1162" si="3946">SUM(AL1153:AL1161)</f>
        <v>0</v>
      </c>
      <c r="AM1162" s="1138">
        <f t="shared" ref="AM1162" si="3947">SUM(AM1153:AM1161)</f>
        <v>0</v>
      </c>
      <c r="AN1162" s="1138">
        <f t="shared" ref="AN1162" si="3948">SUM(AN1153:AN1161)</f>
        <v>0</v>
      </c>
      <c r="AO1162" s="1138">
        <f t="shared" ref="AO1162" si="3949">SUM(AO1153:AO1161)</f>
        <v>0</v>
      </c>
      <c r="AP1162" s="1138">
        <f t="shared" ref="AP1162" si="3950">SUM(AP1153:AP1161)</f>
        <v>0</v>
      </c>
      <c r="AQ1162" s="1138">
        <f t="shared" ref="AQ1162" si="3951">SUM(AQ1153:AQ1161)</f>
        <v>0</v>
      </c>
      <c r="AR1162" s="1138">
        <f t="shared" ref="AR1162" si="3952">SUM(AR1153:AR1161)</f>
        <v>0</v>
      </c>
      <c r="AS1162" s="1138">
        <f t="shared" ref="AS1162" si="3953">SUM(AS1153:AS1161)</f>
        <v>0</v>
      </c>
      <c r="AT1162" s="1138">
        <f t="shared" ref="AT1162" si="3954">SUM(AT1153:AT1161)</f>
        <v>0</v>
      </c>
      <c r="AU1162" s="1138">
        <f t="shared" ref="AU1162" si="3955">SUM(AU1153:AU1161)</f>
        <v>0</v>
      </c>
      <c r="AV1162" s="1138">
        <f t="shared" ref="AV1162" si="3956">SUM(AV1153:AV1161)</f>
        <v>0</v>
      </c>
      <c r="AW1162" s="1138">
        <f t="shared" ref="AW1162" si="3957">SUM(AW1153:AW1161)</f>
        <v>0</v>
      </c>
      <c r="AX1162" s="1138">
        <f t="shared" ref="AX1162" si="3958">SUM(AX1153:AX1161)</f>
        <v>0</v>
      </c>
      <c r="AY1162" s="1138">
        <f t="shared" ref="AY1162" si="3959">SUM(AY1153:AY1161)</f>
        <v>0</v>
      </c>
      <c r="AZ1162" s="1138">
        <f t="shared" ref="AZ1162" si="3960">SUM(AZ1153:AZ1161)</f>
        <v>0</v>
      </c>
      <c r="BA1162" s="1138">
        <f t="shared" ref="BA1162" si="3961">SUM(BA1153:BA1161)</f>
        <v>0</v>
      </c>
      <c r="BB1162" s="1138">
        <f t="shared" ref="BB1162" si="3962">SUM(BB1153:BB1161)</f>
        <v>0</v>
      </c>
      <c r="BC1162" s="1138">
        <f t="shared" ref="BC1162" si="3963">SUM(BC1153:BC1161)</f>
        <v>0</v>
      </c>
      <c r="BD1162" s="1138">
        <f t="shared" ref="BD1162" si="3964">SUM(BD1153:BD1161)</f>
        <v>0</v>
      </c>
      <c r="BE1162" s="1138">
        <f t="shared" ref="BE1162" si="3965">SUM(BE1153:BE1161)</f>
        <v>0</v>
      </c>
      <c r="BF1162" s="1138">
        <f t="shared" ref="BF1162" si="3966">SUM(BF1153:BF1161)</f>
        <v>0</v>
      </c>
      <c r="BG1162" s="1138">
        <f t="shared" ref="BG1162" si="3967">SUM(BG1153:BG1161)</f>
        <v>0</v>
      </c>
      <c r="BH1162" s="1138">
        <f t="shared" ref="BH1162" si="3968">SUM(BH1153:BH1161)</f>
        <v>0</v>
      </c>
      <c r="BI1162" s="1138">
        <f t="shared" ref="BI1162" si="3969">SUM(BI1153:BI1161)</f>
        <v>0</v>
      </c>
      <c r="BJ1162" s="1138">
        <f t="shared" ref="BJ1162" si="3970">SUM(BJ1153:BJ1161)</f>
        <v>0</v>
      </c>
      <c r="BK1162" s="1138">
        <f t="shared" ref="BK1162" si="3971">SUM(BK1153:BK1161)</f>
        <v>0</v>
      </c>
      <c r="BL1162" s="1138">
        <f t="shared" ref="BL1162" si="3972">SUM(BL1153:BL1161)</f>
        <v>0</v>
      </c>
      <c r="BM1162" s="1138">
        <f t="shared" ref="BM1162" si="3973">SUM(BM1153:BM1161)</f>
        <v>0</v>
      </c>
      <c r="BN1162" s="1138">
        <f t="shared" ref="BN1162" si="3974">SUM(BN1153:BN1161)</f>
        <v>0</v>
      </c>
      <c r="BO1162" s="1138">
        <f t="shared" ref="BO1162" si="3975">SUM(BO1153:BO1161)</f>
        <v>0</v>
      </c>
      <c r="BP1162" s="1138">
        <f t="shared" ref="BP1162" si="3976">SUM(BP1153:BP1161)</f>
        <v>0</v>
      </c>
      <c r="BQ1162" s="1138">
        <f t="shared" ref="BQ1162" si="3977">SUM(BQ1153:BQ1161)</f>
        <v>0</v>
      </c>
      <c r="BR1162" s="1138">
        <f t="shared" ref="BR1162" si="3978">SUM(BR1153:BR1161)</f>
        <v>0</v>
      </c>
      <c r="BS1162" s="1138">
        <f t="shared" ref="BS1162" si="3979">SUM(BS1153:BS1161)</f>
        <v>0</v>
      </c>
      <c r="BT1162" s="1138">
        <f t="shared" ref="BT1162" si="3980">SUM(BT1153:BT1161)</f>
        <v>0</v>
      </c>
      <c r="BU1162" s="1138">
        <f t="shared" ref="BU1162" si="3981">SUM(BU1153:BU1161)</f>
        <v>0.4</v>
      </c>
      <c r="BV1162" s="1138">
        <f t="shared" ref="BV1162" si="3982">SUM(BV1153:BV1161)</f>
        <v>0</v>
      </c>
      <c r="BW1162" s="1138">
        <f t="shared" ref="BW1162" si="3983">SUM(BW1153:BW1161)</f>
        <v>0</v>
      </c>
      <c r="BX1162" s="1138">
        <f t="shared" ref="BX1162" si="3984">SUM(BX1153:BX1161)</f>
        <v>0</v>
      </c>
      <c r="BY1162" s="1138">
        <f t="shared" ref="BY1162" si="3985">SUM(BY1153:BY1161)</f>
        <v>0</v>
      </c>
      <c r="BZ1162" s="1138">
        <f t="shared" ref="BZ1162" si="3986">SUM(BZ1153:BZ1161)</f>
        <v>0</v>
      </c>
      <c r="CA1162" s="1138">
        <f t="shared" ref="CA1162" si="3987">SUM(CA1153:CA1161)</f>
        <v>0</v>
      </c>
      <c r="CB1162" s="1138">
        <f t="shared" ref="CB1162" si="3988">SUM(CB1153:CB1161)</f>
        <v>0</v>
      </c>
      <c r="CC1162" s="1138">
        <f t="shared" ref="CC1162" si="3989">SUM(CC1153:CC1161)</f>
        <v>0</v>
      </c>
      <c r="CD1162" s="1138">
        <f t="shared" ref="CD1162" si="3990">SUM(CD1153:CD1161)</f>
        <v>0</v>
      </c>
      <c r="CE1162" s="1138">
        <f t="shared" ref="CE1162" si="3991">SUM(CE1153:CE1161)</f>
        <v>0</v>
      </c>
      <c r="CF1162" s="1138">
        <f t="shared" ref="CF1162" si="3992">SUM(CF1153:CF1161)</f>
        <v>0</v>
      </c>
      <c r="CG1162" s="1138">
        <f t="shared" ref="CG1162" si="3993">SUM(CG1153:CG1161)</f>
        <v>0</v>
      </c>
      <c r="CH1162" s="1138">
        <f t="shared" ref="CH1162" si="3994">SUM(CH1153:CH1161)</f>
        <v>0</v>
      </c>
      <c r="CI1162" s="1138">
        <f t="shared" ref="CI1162" si="3995">SUM(CI1153:CI1161)</f>
        <v>0.1</v>
      </c>
      <c r="CJ1162" s="1138">
        <f t="shared" ref="CJ1162" si="3996">SUM(CJ1153:CJ1161)</f>
        <v>0</v>
      </c>
      <c r="CK1162" s="1138">
        <f t="shared" ref="CK1162" si="3997">SUM(CK1153:CK1161)</f>
        <v>0</v>
      </c>
      <c r="CL1162" s="1138">
        <f t="shared" ref="CL1162" si="3998">SUM(CL1153:CL1161)</f>
        <v>0</v>
      </c>
      <c r="CM1162" s="1138">
        <f t="shared" ref="CM1162" si="3999">SUM(CM1153:CM1161)</f>
        <v>4.8</v>
      </c>
      <c r="CN1162" s="1138">
        <f t="shared" ref="CN1162" si="4000">SUM(CN1153:CN1161)</f>
        <v>0</v>
      </c>
      <c r="CO1162" s="1138">
        <f t="shared" ref="CO1162" si="4001">SUM(CO1153:CO1161)</f>
        <v>0</v>
      </c>
      <c r="CP1162" s="1138">
        <f t="shared" ref="CP1162" si="4002">SUM(CP1153:CP1161)</f>
        <v>0</v>
      </c>
      <c r="CQ1162" s="1138">
        <f t="shared" ref="CQ1162" si="4003">SUM(CQ1153:CQ1161)</f>
        <v>0</v>
      </c>
      <c r="CR1162" s="1138">
        <f t="shared" ref="CR1162" si="4004">SUM(CR1153:CR1161)</f>
        <v>0</v>
      </c>
      <c r="CS1162" s="1138">
        <f t="shared" ref="CS1162" si="4005">SUM(CS1153:CS1161)</f>
        <v>0</v>
      </c>
      <c r="CT1162" s="1138">
        <f t="shared" ref="CT1162" si="4006">SUM(CT1153:CT1161)</f>
        <v>0</v>
      </c>
      <c r="CU1162" s="1138">
        <f t="shared" ref="CU1162" si="4007">SUM(CU1153:CU1161)</f>
        <v>0</v>
      </c>
      <c r="CV1162" s="1138">
        <f t="shared" ref="CV1162" si="4008">SUM(CV1153:CV1161)</f>
        <v>0</v>
      </c>
      <c r="CW1162" s="1138">
        <f t="shared" ref="CW1162" si="4009">SUM(CW1153:CW1161)</f>
        <v>0</v>
      </c>
      <c r="CX1162" s="1138">
        <f t="shared" ref="CX1162" si="4010">SUM(CX1153:CX1161)</f>
        <v>0</v>
      </c>
      <c r="CY1162" s="1138">
        <f t="shared" ref="CY1162" si="4011">SUM(CY1153:CY1161)</f>
        <v>0</v>
      </c>
      <c r="CZ1162" s="1138">
        <f t="shared" ref="CZ1162" si="4012">SUM(CZ1153:CZ1161)</f>
        <v>1.9</v>
      </c>
      <c r="DA1162" s="1138">
        <f t="shared" ref="DA1162" si="4013">SUM(DA1153:DA1161)</f>
        <v>0</v>
      </c>
      <c r="DB1162" s="1138">
        <f t="shared" ref="DB1162" si="4014">SUM(DB1153:DB1161)</f>
        <v>0</v>
      </c>
      <c r="DC1162" s="1138">
        <f t="shared" ref="DC1162" si="4015">SUM(DC1153:DC1161)</f>
        <v>0</v>
      </c>
      <c r="DD1162" s="1138">
        <f t="shared" ref="DD1162" si="4016">SUM(DD1153:DD1161)</f>
        <v>0.59</v>
      </c>
      <c r="DE1162" s="1138">
        <f t="shared" ref="DE1162" si="4017">SUM(DE1153:DE1161)</f>
        <v>0</v>
      </c>
      <c r="DF1162" s="1138">
        <f t="shared" ref="DF1162" si="4018">SUM(DF1153:DF1161)</f>
        <v>0</v>
      </c>
      <c r="DG1162" s="1138">
        <f t="shared" ref="DG1162" si="4019">SUM(DG1153:DG1161)</f>
        <v>0</v>
      </c>
      <c r="DH1162" s="1138">
        <f t="shared" ref="DH1162" si="4020">SUM(DH1153:DH1161)</f>
        <v>0</v>
      </c>
      <c r="DI1162" s="1138">
        <f t="shared" ref="DI1162" si="4021">SUM(DI1153:DI1161)</f>
        <v>0</v>
      </c>
      <c r="DJ1162" s="1138">
        <f t="shared" ref="DJ1162" si="4022">SUM(DJ1153:DJ1161)</f>
        <v>0</v>
      </c>
      <c r="DK1162" s="1138">
        <f t="shared" ref="DK1162" si="4023">SUM(DK1153:DK1161)</f>
        <v>0</v>
      </c>
      <c r="DL1162" s="1138">
        <f t="shared" ref="DL1162" si="4024">SUM(DL1153:DL1161)</f>
        <v>0</v>
      </c>
      <c r="DM1162" s="1138">
        <f t="shared" ref="DM1162" si="4025">SUM(DM1153:DM1161)</f>
        <v>0</v>
      </c>
      <c r="DN1162" s="1138">
        <f t="shared" ref="DN1162" si="4026">SUM(DN1153:DN1161)</f>
        <v>0</v>
      </c>
      <c r="DO1162" s="1138">
        <f t="shared" ref="DO1162" si="4027">SUM(DO1153:DO1161)</f>
        <v>0</v>
      </c>
      <c r="DP1162" s="1138">
        <f t="shared" ref="DP1162" si="4028">SUM(DP1153:DP1161)</f>
        <v>0</v>
      </c>
      <c r="DQ1162" s="1138">
        <f t="shared" ref="DQ1162" si="4029">SUM(DQ1153:DQ1161)</f>
        <v>0</v>
      </c>
      <c r="DR1162" s="1138">
        <f t="shared" ref="DR1162" si="4030">SUM(DR1153:DR1161)</f>
        <v>0.45</v>
      </c>
      <c r="DS1162" s="1138">
        <f t="shared" ref="DS1162" si="4031">SUM(DS1153:DS1161)</f>
        <v>0</v>
      </c>
      <c r="DT1162" s="1138">
        <f t="shared" ref="DT1162" si="4032">SUM(DT1153:DT1161)</f>
        <v>0</v>
      </c>
      <c r="DU1162" s="1138">
        <f t="shared" ref="DU1162" si="4033">SUM(DU1153:DU1161)</f>
        <v>0</v>
      </c>
      <c r="DV1162" s="1138">
        <f t="shared" ref="DV1162" si="4034">SUM(DV1153:DV1161)</f>
        <v>0</v>
      </c>
      <c r="DW1162" s="1138">
        <f t="shared" ref="DW1162" si="4035">SUM(DW1153:DW1161)</f>
        <v>0</v>
      </c>
      <c r="DX1162" s="1138">
        <f t="shared" ref="DX1162" si="4036">SUM(DX1153:DX1161)</f>
        <v>0</v>
      </c>
      <c r="DY1162" s="1138">
        <f t="shared" ref="DY1162" si="4037">SUM(DY1153:DY1161)</f>
        <v>0</v>
      </c>
      <c r="DZ1162" s="1138">
        <f t="shared" ref="DZ1162" si="4038">SUM(DZ1153:DZ1161)</f>
        <v>0</v>
      </c>
      <c r="EA1162" s="1138">
        <f t="shared" ref="EA1162" si="4039">SUM(EA1153:EA1161)</f>
        <v>0</v>
      </c>
      <c r="EB1162" s="1138">
        <f t="shared" ref="EB1162" si="4040">SUM(EB1153:EB1161)</f>
        <v>2.9</v>
      </c>
      <c r="EC1162" s="1138">
        <f t="shared" ref="EC1162" si="4041">SUM(EC1153:EC1161)</f>
        <v>0</v>
      </c>
      <c r="ED1162" s="1138">
        <f t="shared" ref="ED1162" si="4042">SUM(ED1153:ED1161)</f>
        <v>0</v>
      </c>
      <c r="EE1162" s="1138">
        <f t="shared" ref="EE1162" si="4043">SUM(EE1153:EE1161)</f>
        <v>0</v>
      </c>
      <c r="EF1162" s="1138">
        <f t="shared" ref="EF1162" si="4044">SUM(EF1153:EF1161)</f>
        <v>0</v>
      </c>
      <c r="EG1162" s="1138">
        <f t="shared" ref="EG1162" si="4045">SUM(EG1153:EG1161)</f>
        <v>0</v>
      </c>
      <c r="EH1162" s="1138">
        <f t="shared" ref="EH1162" si="4046">SUM(EH1153:EH1161)</f>
        <v>0</v>
      </c>
      <c r="EI1162" s="1138">
        <f t="shared" ref="EI1162" si="4047">SUM(EI1153:EI1161)</f>
        <v>0</v>
      </c>
      <c r="EJ1162" s="1138">
        <f t="shared" ref="EJ1162" si="4048">SUM(EJ1153:EJ1161)</f>
        <v>0</v>
      </c>
      <c r="EK1162" s="1138">
        <f t="shared" ref="EK1162" si="4049">SUM(EK1153:EK1161)</f>
        <v>0</v>
      </c>
      <c r="EL1162" s="1138">
        <f t="shared" ref="EL1162" si="4050">SUM(EL1153:EL1161)</f>
        <v>0</v>
      </c>
      <c r="EM1162" s="1138">
        <f t="shared" ref="EM1162" si="4051">SUM(EM1153:EM1161)</f>
        <v>0</v>
      </c>
      <c r="EN1162" s="1138">
        <f t="shared" ref="EN1162" si="4052">SUM(EN1153:EN1161)</f>
        <v>0</v>
      </c>
      <c r="EO1162" s="1138">
        <f t="shared" ref="EO1162" si="4053">SUM(EO1153:EO1161)</f>
        <v>0</v>
      </c>
      <c r="EP1162" s="1138">
        <f t="shared" ref="EP1162" si="4054">SUM(EP1153:EP1161)</f>
        <v>0</v>
      </c>
      <c r="EQ1162" s="1138">
        <f t="shared" ref="EQ1162" si="4055">SUM(EQ1153:EQ1161)</f>
        <v>0</v>
      </c>
      <c r="ER1162" s="1138">
        <f t="shared" ref="ER1162" si="4056">SUM(ER1153:ER1161)</f>
        <v>0</v>
      </c>
      <c r="ES1162" s="1138">
        <f t="shared" ref="ES1162" si="4057">SUM(ES1153:ES1161)</f>
        <v>0</v>
      </c>
      <c r="ET1162" s="1138">
        <f t="shared" ref="ET1162" si="4058">SUM(ET1153:ET1161)</f>
        <v>0</v>
      </c>
      <c r="EU1162" s="1138">
        <f t="shared" ref="EU1162" si="4059">SUM(EU1153:EU1161)</f>
        <v>0</v>
      </c>
      <c r="EV1162" s="1138">
        <f t="shared" ref="EV1162" si="4060">SUM(EV1153:EV1161)</f>
        <v>1.95</v>
      </c>
      <c r="EW1162" s="1138">
        <f t="shared" ref="EW1162" si="4061">SUM(EW1153:EW1161)</f>
        <v>1.3</v>
      </c>
      <c r="EX1162" s="1138">
        <f t="shared" ref="EX1162:FL1162" si="4062">SUM(EX1153:EX1161)</f>
        <v>0</v>
      </c>
      <c r="EY1162" s="1138">
        <f t="shared" si="4062"/>
        <v>82.06</v>
      </c>
      <c r="EZ1162" s="1138">
        <f t="shared" si="4062"/>
        <v>0</v>
      </c>
      <c r="FA1162" s="1138">
        <f t="shared" si="4062"/>
        <v>0</v>
      </c>
      <c r="FB1162" s="1138">
        <f t="shared" si="4062"/>
        <v>0</v>
      </c>
      <c r="FC1162" s="1138">
        <f t="shared" si="4062"/>
        <v>0</v>
      </c>
      <c r="FD1162" s="1138">
        <f t="shared" si="4062"/>
        <v>0</v>
      </c>
      <c r="FE1162" s="1138">
        <f t="shared" si="4062"/>
        <v>0</v>
      </c>
      <c r="FF1162" s="1138">
        <f t="shared" si="4062"/>
        <v>0</v>
      </c>
      <c r="FG1162" s="1138">
        <f t="shared" si="4062"/>
        <v>0</v>
      </c>
      <c r="FH1162" s="1138">
        <f t="shared" si="4062"/>
        <v>0</v>
      </c>
      <c r="FI1162" s="1138">
        <f t="shared" si="4062"/>
        <v>0</v>
      </c>
      <c r="FJ1162" s="1138">
        <f t="shared" si="4062"/>
        <v>0</v>
      </c>
      <c r="FK1162" s="1138">
        <f t="shared" si="4062"/>
        <v>0</v>
      </c>
      <c r="FL1162" s="1138">
        <f t="shared" si="4062"/>
        <v>0</v>
      </c>
    </row>
    <row r="1163" spans="1:168" x14ac:dyDescent="0.25">
      <c r="A1163" s="1491" t="s">
        <v>112</v>
      </c>
      <c r="B1163" s="624" t="str">
        <f t="shared" ref="B1163:D1171" si="4063">B207</f>
        <v>Огурцы, помидоры в нарезке</v>
      </c>
      <c r="C1163" s="624">
        <f t="shared" si="4063"/>
        <v>60</v>
      </c>
      <c r="D1163" s="624">
        <f t="shared" si="4063"/>
        <v>0.42</v>
      </c>
      <c r="E1163" s="1158">
        <f t="shared" ref="E1163:E1171" si="4064">EY1163</f>
        <v>5.66</v>
      </c>
      <c r="F1163" s="1158"/>
      <c r="G1163" s="1140"/>
      <c r="H1163" s="1140"/>
      <c r="I1163" s="552"/>
      <c r="J1163" s="552">
        <f t="shared" ref="J1163:AO1163" si="4065">J207*J$338</f>
        <v>0</v>
      </c>
      <c r="K1163" s="552">
        <f t="shared" si="4065"/>
        <v>0</v>
      </c>
      <c r="L1163" s="552">
        <f t="shared" si="4065"/>
        <v>0</v>
      </c>
      <c r="M1163" s="552">
        <f t="shared" si="4065"/>
        <v>0</v>
      </c>
      <c r="N1163" s="552">
        <f t="shared" si="4065"/>
        <v>0</v>
      </c>
      <c r="O1163" s="552">
        <f t="shared" si="4065"/>
        <v>0</v>
      </c>
      <c r="P1163" s="552">
        <f t="shared" si="4065"/>
        <v>0</v>
      </c>
      <c r="Q1163" s="552">
        <f t="shared" si="4065"/>
        <v>0</v>
      </c>
      <c r="R1163" s="552">
        <f t="shared" si="4065"/>
        <v>0</v>
      </c>
      <c r="S1163" s="552">
        <f t="shared" si="4065"/>
        <v>0</v>
      </c>
      <c r="T1163" s="552">
        <f t="shared" si="4065"/>
        <v>0</v>
      </c>
      <c r="U1163" s="552">
        <f t="shared" si="4065"/>
        <v>0</v>
      </c>
      <c r="V1163" s="552">
        <f t="shared" si="4065"/>
        <v>0</v>
      </c>
      <c r="W1163" s="552">
        <f t="shared" si="4065"/>
        <v>0</v>
      </c>
      <c r="X1163" s="552">
        <f t="shared" si="4065"/>
        <v>0</v>
      </c>
      <c r="Y1163" s="552">
        <f t="shared" si="4065"/>
        <v>0</v>
      </c>
      <c r="Z1163" s="552">
        <f t="shared" si="4065"/>
        <v>0</v>
      </c>
      <c r="AA1163" s="552">
        <f t="shared" si="4065"/>
        <v>0</v>
      </c>
      <c r="AB1163" s="552">
        <f t="shared" si="4065"/>
        <v>0</v>
      </c>
      <c r="AC1163" s="552">
        <f t="shared" si="4065"/>
        <v>0</v>
      </c>
      <c r="AD1163" s="552">
        <f t="shared" si="4065"/>
        <v>0</v>
      </c>
      <c r="AE1163" s="552">
        <f t="shared" si="4065"/>
        <v>0</v>
      </c>
      <c r="AF1163" s="552">
        <f t="shared" si="4065"/>
        <v>0</v>
      </c>
      <c r="AG1163" s="552">
        <f t="shared" si="4065"/>
        <v>0</v>
      </c>
      <c r="AH1163" s="552">
        <f t="shared" si="4065"/>
        <v>0</v>
      </c>
      <c r="AI1163" s="552">
        <f t="shared" si="4065"/>
        <v>0</v>
      </c>
      <c r="AJ1163" s="552">
        <f t="shared" si="4065"/>
        <v>0</v>
      </c>
      <c r="AK1163" s="552">
        <f t="shared" si="4065"/>
        <v>0</v>
      </c>
      <c r="AL1163" s="552">
        <f t="shared" si="4065"/>
        <v>0</v>
      </c>
      <c r="AM1163" s="552">
        <f t="shared" si="4065"/>
        <v>0</v>
      </c>
      <c r="AN1163" s="552">
        <f t="shared" si="4065"/>
        <v>3.76</v>
      </c>
      <c r="AO1163" s="552">
        <f t="shared" si="4065"/>
        <v>1.9</v>
      </c>
      <c r="AP1163" s="552">
        <f t="shared" ref="AP1163:BU1163" si="4066">AP207*AP$338</f>
        <v>0</v>
      </c>
      <c r="AQ1163" s="552">
        <f t="shared" si="4066"/>
        <v>0</v>
      </c>
      <c r="AR1163" s="552">
        <f t="shared" si="4066"/>
        <v>0</v>
      </c>
      <c r="AS1163" s="552">
        <f t="shared" si="4066"/>
        <v>0</v>
      </c>
      <c r="AT1163" s="552">
        <f t="shared" si="4066"/>
        <v>0</v>
      </c>
      <c r="AU1163" s="552">
        <f t="shared" si="4066"/>
        <v>0</v>
      </c>
      <c r="AV1163" s="552">
        <f t="shared" si="4066"/>
        <v>0</v>
      </c>
      <c r="AW1163" s="552">
        <f t="shared" si="4066"/>
        <v>0</v>
      </c>
      <c r="AX1163" s="552">
        <f t="shared" si="4066"/>
        <v>0</v>
      </c>
      <c r="AY1163" s="552">
        <f t="shared" si="4066"/>
        <v>0</v>
      </c>
      <c r="AZ1163" s="552">
        <f t="shared" si="4066"/>
        <v>0</v>
      </c>
      <c r="BA1163" s="552">
        <f t="shared" si="4066"/>
        <v>0</v>
      </c>
      <c r="BB1163" s="552">
        <f t="shared" si="4066"/>
        <v>0</v>
      </c>
      <c r="BC1163" s="552">
        <f t="shared" si="4066"/>
        <v>0</v>
      </c>
      <c r="BD1163" s="552">
        <f t="shared" si="4066"/>
        <v>0</v>
      </c>
      <c r="BE1163" s="552">
        <f t="shared" si="4066"/>
        <v>0</v>
      </c>
      <c r="BF1163" s="552">
        <f t="shared" si="4066"/>
        <v>0</v>
      </c>
      <c r="BG1163" s="552">
        <f t="shared" si="4066"/>
        <v>0</v>
      </c>
      <c r="BH1163" s="552">
        <f t="shared" si="4066"/>
        <v>0</v>
      </c>
      <c r="BI1163" s="552">
        <f t="shared" si="4066"/>
        <v>0</v>
      </c>
      <c r="BJ1163" s="552">
        <f t="shared" si="4066"/>
        <v>0</v>
      </c>
      <c r="BK1163" s="552">
        <f t="shared" si="4066"/>
        <v>0</v>
      </c>
      <c r="BL1163" s="552">
        <f t="shared" si="4066"/>
        <v>0</v>
      </c>
      <c r="BM1163" s="552">
        <f t="shared" si="4066"/>
        <v>0</v>
      </c>
      <c r="BN1163" s="552">
        <f t="shared" si="4066"/>
        <v>0</v>
      </c>
      <c r="BO1163" s="552">
        <f t="shared" si="4066"/>
        <v>0</v>
      </c>
      <c r="BP1163" s="552">
        <f t="shared" si="4066"/>
        <v>0</v>
      </c>
      <c r="BQ1163" s="552">
        <f t="shared" si="4066"/>
        <v>0</v>
      </c>
      <c r="BR1163" s="552">
        <f t="shared" si="4066"/>
        <v>0</v>
      </c>
      <c r="BS1163" s="552">
        <f t="shared" si="4066"/>
        <v>0</v>
      </c>
      <c r="BT1163" s="552">
        <f t="shared" si="4066"/>
        <v>0</v>
      </c>
      <c r="BU1163" s="552">
        <f t="shared" si="4066"/>
        <v>0</v>
      </c>
      <c r="BV1163" s="552">
        <f t="shared" ref="BV1163:DA1163" si="4067">BV207*BV$338</f>
        <v>0</v>
      </c>
      <c r="BW1163" s="552">
        <f t="shared" si="4067"/>
        <v>0</v>
      </c>
      <c r="BX1163" s="552">
        <f t="shared" si="4067"/>
        <v>0</v>
      </c>
      <c r="BY1163" s="552">
        <f t="shared" si="4067"/>
        <v>0</v>
      </c>
      <c r="BZ1163" s="552">
        <f t="shared" si="4067"/>
        <v>0</v>
      </c>
      <c r="CA1163" s="552">
        <f t="shared" si="4067"/>
        <v>0</v>
      </c>
      <c r="CB1163" s="552">
        <f t="shared" si="4067"/>
        <v>0</v>
      </c>
      <c r="CC1163" s="552">
        <f t="shared" si="4067"/>
        <v>0</v>
      </c>
      <c r="CD1163" s="552">
        <f t="shared" si="4067"/>
        <v>0</v>
      </c>
      <c r="CE1163" s="552">
        <f t="shared" si="4067"/>
        <v>0</v>
      </c>
      <c r="CF1163" s="552">
        <f t="shared" si="4067"/>
        <v>0</v>
      </c>
      <c r="CG1163" s="552">
        <f t="shared" si="4067"/>
        <v>0</v>
      </c>
      <c r="CH1163" s="552">
        <f t="shared" si="4067"/>
        <v>0</v>
      </c>
      <c r="CI1163" s="552">
        <f t="shared" si="4067"/>
        <v>0</v>
      </c>
      <c r="CJ1163" s="552">
        <f t="shared" si="4067"/>
        <v>0</v>
      </c>
      <c r="CK1163" s="552">
        <f t="shared" si="4067"/>
        <v>0</v>
      </c>
      <c r="CL1163" s="552">
        <f t="shared" si="4067"/>
        <v>0</v>
      </c>
      <c r="CM1163" s="552">
        <f t="shared" si="4067"/>
        <v>0</v>
      </c>
      <c r="CN1163" s="552">
        <f t="shared" si="4067"/>
        <v>0</v>
      </c>
      <c r="CO1163" s="552">
        <f t="shared" si="4067"/>
        <v>0</v>
      </c>
      <c r="CP1163" s="552">
        <f t="shared" si="4067"/>
        <v>0</v>
      </c>
      <c r="CQ1163" s="552">
        <f t="shared" si="4067"/>
        <v>0</v>
      </c>
      <c r="CR1163" s="552">
        <f t="shared" si="4067"/>
        <v>0</v>
      </c>
      <c r="CS1163" s="552">
        <f t="shared" si="4067"/>
        <v>0</v>
      </c>
      <c r="CT1163" s="552">
        <f t="shared" si="4067"/>
        <v>0</v>
      </c>
      <c r="CU1163" s="552">
        <f t="shared" si="4067"/>
        <v>0</v>
      </c>
      <c r="CV1163" s="552">
        <f t="shared" si="4067"/>
        <v>0</v>
      </c>
      <c r="CW1163" s="552">
        <f t="shared" si="4067"/>
        <v>0</v>
      </c>
      <c r="CX1163" s="552">
        <f t="shared" si="4067"/>
        <v>0</v>
      </c>
      <c r="CY1163" s="552">
        <f t="shared" si="4067"/>
        <v>0</v>
      </c>
      <c r="CZ1163" s="552">
        <f t="shared" si="4067"/>
        <v>0</v>
      </c>
      <c r="DA1163" s="552">
        <f t="shared" si="4067"/>
        <v>0</v>
      </c>
      <c r="DB1163" s="552">
        <f t="shared" ref="DB1163:EG1163" si="4068">DB207*DB$338</f>
        <v>0</v>
      </c>
      <c r="DC1163" s="552">
        <f t="shared" si="4068"/>
        <v>0</v>
      </c>
      <c r="DD1163" s="552">
        <f t="shared" si="4068"/>
        <v>0</v>
      </c>
      <c r="DE1163" s="552">
        <f t="shared" si="4068"/>
        <v>0</v>
      </c>
      <c r="DF1163" s="552">
        <f t="shared" si="4068"/>
        <v>0</v>
      </c>
      <c r="DG1163" s="552">
        <f t="shared" si="4068"/>
        <v>0</v>
      </c>
      <c r="DH1163" s="552">
        <f t="shared" si="4068"/>
        <v>0</v>
      </c>
      <c r="DI1163" s="552">
        <f t="shared" si="4068"/>
        <v>0</v>
      </c>
      <c r="DJ1163" s="552">
        <f t="shared" si="4068"/>
        <v>0</v>
      </c>
      <c r="DK1163" s="552">
        <f t="shared" si="4068"/>
        <v>0</v>
      </c>
      <c r="DL1163" s="552">
        <f t="shared" si="4068"/>
        <v>0</v>
      </c>
      <c r="DM1163" s="552">
        <f t="shared" si="4068"/>
        <v>0</v>
      </c>
      <c r="DN1163" s="552">
        <f t="shared" si="4068"/>
        <v>0</v>
      </c>
      <c r="DO1163" s="552">
        <f t="shared" si="4068"/>
        <v>0</v>
      </c>
      <c r="DP1163" s="552">
        <f t="shared" si="4068"/>
        <v>0</v>
      </c>
      <c r="DQ1163" s="552">
        <f t="shared" si="4068"/>
        <v>0</v>
      </c>
      <c r="DR1163" s="552">
        <f t="shared" si="4068"/>
        <v>0</v>
      </c>
      <c r="DS1163" s="552">
        <f t="shared" si="4068"/>
        <v>0</v>
      </c>
      <c r="DT1163" s="552">
        <f t="shared" si="4068"/>
        <v>0</v>
      </c>
      <c r="DU1163" s="552">
        <f t="shared" si="4068"/>
        <v>0</v>
      </c>
      <c r="DV1163" s="552">
        <f t="shared" si="4068"/>
        <v>0</v>
      </c>
      <c r="DW1163" s="552">
        <f t="shared" si="4068"/>
        <v>0</v>
      </c>
      <c r="DX1163" s="552">
        <f t="shared" si="4068"/>
        <v>0</v>
      </c>
      <c r="DY1163" s="552">
        <f t="shared" si="4068"/>
        <v>0</v>
      </c>
      <c r="DZ1163" s="552">
        <f t="shared" si="4068"/>
        <v>0</v>
      </c>
      <c r="EA1163" s="552">
        <f t="shared" si="4068"/>
        <v>0</v>
      </c>
      <c r="EB1163" s="552">
        <f t="shared" si="4068"/>
        <v>0</v>
      </c>
      <c r="EC1163" s="552">
        <f t="shared" si="4068"/>
        <v>0</v>
      </c>
      <c r="ED1163" s="552">
        <f t="shared" si="4068"/>
        <v>0</v>
      </c>
      <c r="EE1163" s="552">
        <f t="shared" si="4068"/>
        <v>0</v>
      </c>
      <c r="EF1163" s="552">
        <f t="shared" si="4068"/>
        <v>0</v>
      </c>
      <c r="EG1163" s="552">
        <f t="shared" si="4068"/>
        <v>0</v>
      </c>
      <c r="EH1163" s="552">
        <f t="shared" ref="EH1163:EX1163" si="4069">EH207*EH$338</f>
        <v>0</v>
      </c>
      <c r="EI1163" s="552">
        <f t="shared" si="4069"/>
        <v>0</v>
      </c>
      <c r="EJ1163" s="552">
        <f t="shared" si="4069"/>
        <v>0</v>
      </c>
      <c r="EK1163" s="552">
        <f t="shared" si="4069"/>
        <v>0</v>
      </c>
      <c r="EL1163" s="552">
        <f t="shared" si="4069"/>
        <v>0</v>
      </c>
      <c r="EM1163" s="552">
        <f t="shared" si="4069"/>
        <v>0</v>
      </c>
      <c r="EN1163" s="552">
        <f t="shared" si="4069"/>
        <v>0</v>
      </c>
      <c r="EO1163" s="552">
        <f t="shared" si="4069"/>
        <v>0</v>
      </c>
      <c r="EP1163" s="552">
        <f t="shared" si="4069"/>
        <v>0</v>
      </c>
      <c r="EQ1163" s="552">
        <f t="shared" si="4069"/>
        <v>0</v>
      </c>
      <c r="ER1163" s="552">
        <f t="shared" si="4069"/>
        <v>0</v>
      </c>
      <c r="ES1163" s="552">
        <f t="shared" si="4069"/>
        <v>0</v>
      </c>
      <c r="ET1163" s="552">
        <f t="shared" si="4069"/>
        <v>0</v>
      </c>
      <c r="EU1163" s="552">
        <f t="shared" si="4069"/>
        <v>0</v>
      </c>
      <c r="EV1163" s="552">
        <f t="shared" si="4069"/>
        <v>0</v>
      </c>
      <c r="EW1163" s="552">
        <f t="shared" si="4069"/>
        <v>0</v>
      </c>
      <c r="EX1163" s="552">
        <f t="shared" si="4069"/>
        <v>0</v>
      </c>
      <c r="EY1163" s="799">
        <f t="shared" si="3876"/>
        <v>5.66</v>
      </c>
      <c r="EZ1163" s="640"/>
      <c r="FA1163" s="640"/>
      <c r="FB1163" s="640"/>
      <c r="FC1163" s="640"/>
      <c r="FD1163" s="640"/>
      <c r="FE1163" s="640"/>
      <c r="FF1163" s="640"/>
      <c r="FG1163" s="640"/>
      <c r="FH1163" s="640"/>
      <c r="FI1163" s="640"/>
      <c r="FJ1163" s="640"/>
      <c r="FK1163" s="640"/>
      <c r="FL1163" s="640"/>
    </row>
    <row r="1164" spans="1:168" x14ac:dyDescent="0.25">
      <c r="A1164" s="1492"/>
      <c r="B1164" s="624" t="str">
        <f t="shared" si="4063"/>
        <v>Борщ с капустой и картофелем, со сметаной</v>
      </c>
      <c r="C1164" s="624">
        <f t="shared" si="4063"/>
        <v>250</v>
      </c>
      <c r="D1164" s="624">
        <f t="shared" si="4063"/>
        <v>1.8</v>
      </c>
      <c r="E1164" s="1158">
        <f t="shared" si="4064"/>
        <v>10.82</v>
      </c>
      <c r="F1164" s="1158"/>
      <c r="G1164" s="1140"/>
      <c r="H1164" s="1140"/>
      <c r="I1164" s="552"/>
      <c r="J1164" s="552">
        <f t="shared" ref="J1164:AO1164" si="4070">J208*J$338</f>
        <v>0</v>
      </c>
      <c r="K1164" s="552">
        <f t="shared" si="4070"/>
        <v>0</v>
      </c>
      <c r="L1164" s="552">
        <f t="shared" si="4070"/>
        <v>0</v>
      </c>
      <c r="M1164" s="552">
        <f t="shared" si="4070"/>
        <v>0</v>
      </c>
      <c r="N1164" s="552">
        <f t="shared" si="4070"/>
        <v>0</v>
      </c>
      <c r="O1164" s="552">
        <f t="shared" si="4070"/>
        <v>0</v>
      </c>
      <c r="P1164" s="552">
        <f t="shared" si="4070"/>
        <v>0</v>
      </c>
      <c r="Q1164" s="552">
        <f t="shared" si="4070"/>
        <v>0</v>
      </c>
      <c r="R1164" s="552">
        <f t="shared" si="4070"/>
        <v>0</v>
      </c>
      <c r="S1164" s="552">
        <f t="shared" si="4070"/>
        <v>0</v>
      </c>
      <c r="T1164" s="552">
        <f t="shared" si="4070"/>
        <v>0</v>
      </c>
      <c r="U1164" s="552">
        <f t="shared" si="4070"/>
        <v>0</v>
      </c>
      <c r="V1164" s="552">
        <f t="shared" si="4070"/>
        <v>0</v>
      </c>
      <c r="W1164" s="552">
        <f t="shared" si="4070"/>
        <v>0</v>
      </c>
      <c r="X1164" s="552">
        <f t="shared" si="4070"/>
        <v>0</v>
      </c>
      <c r="Y1164" s="552">
        <f t="shared" si="4070"/>
        <v>1.17</v>
      </c>
      <c r="Z1164" s="552">
        <f t="shared" si="4070"/>
        <v>0</v>
      </c>
      <c r="AA1164" s="552">
        <f t="shared" si="4070"/>
        <v>0</v>
      </c>
      <c r="AB1164" s="552">
        <f t="shared" si="4070"/>
        <v>0</v>
      </c>
      <c r="AC1164" s="552">
        <f t="shared" si="4070"/>
        <v>0</v>
      </c>
      <c r="AD1164" s="552">
        <f t="shared" si="4070"/>
        <v>0</v>
      </c>
      <c r="AE1164" s="552">
        <f t="shared" si="4070"/>
        <v>0</v>
      </c>
      <c r="AF1164" s="552">
        <f t="shared" si="4070"/>
        <v>1.33</v>
      </c>
      <c r="AG1164" s="552">
        <f t="shared" si="4070"/>
        <v>0</v>
      </c>
      <c r="AH1164" s="552">
        <f t="shared" si="4070"/>
        <v>1.34</v>
      </c>
      <c r="AI1164" s="552">
        <f t="shared" si="4070"/>
        <v>0</v>
      </c>
      <c r="AJ1164" s="552">
        <f t="shared" si="4070"/>
        <v>0</v>
      </c>
      <c r="AK1164" s="552">
        <f t="shared" si="4070"/>
        <v>0.6</v>
      </c>
      <c r="AL1164" s="552">
        <f t="shared" si="4070"/>
        <v>0</v>
      </c>
      <c r="AM1164" s="552">
        <f t="shared" si="4070"/>
        <v>0</v>
      </c>
      <c r="AN1164" s="552">
        <f t="shared" si="4070"/>
        <v>0</v>
      </c>
      <c r="AO1164" s="552">
        <f t="shared" si="4070"/>
        <v>0</v>
      </c>
      <c r="AP1164" s="552">
        <f t="shared" ref="AP1164:BU1164" si="4071">AP208*AP$338</f>
        <v>0</v>
      </c>
      <c r="AQ1164" s="552">
        <f t="shared" si="4071"/>
        <v>0.63</v>
      </c>
      <c r="AR1164" s="552">
        <f t="shared" si="4071"/>
        <v>0</v>
      </c>
      <c r="AS1164" s="552">
        <f t="shared" si="4071"/>
        <v>0</v>
      </c>
      <c r="AT1164" s="552">
        <f t="shared" si="4071"/>
        <v>0.98</v>
      </c>
      <c r="AU1164" s="552">
        <f t="shared" si="4071"/>
        <v>0.6</v>
      </c>
      <c r="AV1164" s="552">
        <f t="shared" si="4071"/>
        <v>0</v>
      </c>
      <c r="AW1164" s="552">
        <f t="shared" si="4071"/>
        <v>0</v>
      </c>
      <c r="AX1164" s="552">
        <f t="shared" si="4071"/>
        <v>1.5</v>
      </c>
      <c r="AY1164" s="552">
        <f t="shared" si="4071"/>
        <v>0</v>
      </c>
      <c r="AZ1164" s="552">
        <f t="shared" si="4071"/>
        <v>0</v>
      </c>
      <c r="BA1164" s="552">
        <f t="shared" si="4071"/>
        <v>0</v>
      </c>
      <c r="BB1164" s="552">
        <f t="shared" si="4071"/>
        <v>0</v>
      </c>
      <c r="BC1164" s="552">
        <f t="shared" si="4071"/>
        <v>0</v>
      </c>
      <c r="BD1164" s="552">
        <f t="shared" si="4071"/>
        <v>0</v>
      </c>
      <c r="BE1164" s="552">
        <f t="shared" si="4071"/>
        <v>0</v>
      </c>
      <c r="BF1164" s="552">
        <f t="shared" si="4071"/>
        <v>0</v>
      </c>
      <c r="BG1164" s="552">
        <f t="shared" si="4071"/>
        <v>0</v>
      </c>
      <c r="BH1164" s="552">
        <f t="shared" si="4071"/>
        <v>0</v>
      </c>
      <c r="BI1164" s="552">
        <f t="shared" si="4071"/>
        <v>0</v>
      </c>
      <c r="BJ1164" s="552">
        <f t="shared" si="4071"/>
        <v>0</v>
      </c>
      <c r="BK1164" s="552">
        <f t="shared" si="4071"/>
        <v>0</v>
      </c>
      <c r="BL1164" s="552">
        <f t="shared" si="4071"/>
        <v>0</v>
      </c>
      <c r="BM1164" s="552">
        <f t="shared" si="4071"/>
        <v>0</v>
      </c>
      <c r="BN1164" s="552">
        <f t="shared" si="4071"/>
        <v>0</v>
      </c>
      <c r="BO1164" s="552">
        <f t="shared" si="4071"/>
        <v>0</v>
      </c>
      <c r="BP1164" s="552">
        <f t="shared" si="4071"/>
        <v>0</v>
      </c>
      <c r="BQ1164" s="552">
        <f t="shared" si="4071"/>
        <v>0</v>
      </c>
      <c r="BR1164" s="552">
        <f t="shared" si="4071"/>
        <v>0</v>
      </c>
      <c r="BS1164" s="552">
        <f t="shared" si="4071"/>
        <v>0.09</v>
      </c>
      <c r="BT1164" s="552">
        <f t="shared" si="4071"/>
        <v>0</v>
      </c>
      <c r="BU1164" s="552">
        <f t="shared" si="4071"/>
        <v>0</v>
      </c>
      <c r="BV1164" s="552">
        <f t="shared" ref="BV1164:DA1164" si="4072">BV208*BV$338</f>
        <v>0</v>
      </c>
      <c r="BW1164" s="552">
        <f t="shared" si="4072"/>
        <v>0</v>
      </c>
      <c r="BX1164" s="552">
        <f t="shared" si="4072"/>
        <v>0</v>
      </c>
      <c r="BY1164" s="552">
        <f t="shared" si="4072"/>
        <v>0</v>
      </c>
      <c r="BZ1164" s="552">
        <f t="shared" si="4072"/>
        <v>0</v>
      </c>
      <c r="CA1164" s="552">
        <f t="shared" si="4072"/>
        <v>0</v>
      </c>
      <c r="CB1164" s="552">
        <f t="shared" si="4072"/>
        <v>0</v>
      </c>
      <c r="CC1164" s="552">
        <f t="shared" si="4072"/>
        <v>0</v>
      </c>
      <c r="CD1164" s="552">
        <f t="shared" si="4072"/>
        <v>0</v>
      </c>
      <c r="CE1164" s="552">
        <f t="shared" si="4072"/>
        <v>0</v>
      </c>
      <c r="CF1164" s="552">
        <f t="shared" si="4072"/>
        <v>0.6</v>
      </c>
      <c r="CG1164" s="552">
        <f t="shared" si="4072"/>
        <v>0</v>
      </c>
      <c r="CH1164" s="552">
        <f t="shared" si="4072"/>
        <v>0</v>
      </c>
      <c r="CI1164" s="552">
        <f t="shared" si="4072"/>
        <v>0</v>
      </c>
      <c r="CJ1164" s="552">
        <f t="shared" si="4072"/>
        <v>0</v>
      </c>
      <c r="CK1164" s="552">
        <f t="shared" si="4072"/>
        <v>0</v>
      </c>
      <c r="CL1164" s="552">
        <f t="shared" si="4072"/>
        <v>0</v>
      </c>
      <c r="CM1164" s="552">
        <f t="shared" si="4072"/>
        <v>0</v>
      </c>
      <c r="CN1164" s="552">
        <f t="shared" si="4072"/>
        <v>0</v>
      </c>
      <c r="CO1164" s="552">
        <f t="shared" si="4072"/>
        <v>0</v>
      </c>
      <c r="CP1164" s="552">
        <f t="shared" si="4072"/>
        <v>0</v>
      </c>
      <c r="CQ1164" s="552">
        <f t="shared" si="4072"/>
        <v>0</v>
      </c>
      <c r="CR1164" s="552">
        <f t="shared" si="4072"/>
        <v>0</v>
      </c>
      <c r="CS1164" s="552">
        <f t="shared" si="4072"/>
        <v>0</v>
      </c>
      <c r="CT1164" s="552">
        <f t="shared" si="4072"/>
        <v>0</v>
      </c>
      <c r="CU1164" s="552">
        <f t="shared" si="4072"/>
        <v>0</v>
      </c>
      <c r="CV1164" s="552">
        <f t="shared" si="4072"/>
        <v>0</v>
      </c>
      <c r="CW1164" s="552">
        <f t="shared" si="4072"/>
        <v>0</v>
      </c>
      <c r="CX1164" s="552">
        <f t="shared" si="4072"/>
        <v>0</v>
      </c>
      <c r="CY1164" s="552">
        <f t="shared" si="4072"/>
        <v>0</v>
      </c>
      <c r="CZ1164" s="552">
        <f t="shared" si="4072"/>
        <v>0.19</v>
      </c>
      <c r="DA1164" s="552">
        <f t="shared" si="4072"/>
        <v>0</v>
      </c>
      <c r="DB1164" s="552">
        <f t="shared" ref="DB1164:EG1164" si="4073">DB208*DB$338</f>
        <v>0</v>
      </c>
      <c r="DC1164" s="552">
        <f t="shared" si="4073"/>
        <v>0.06</v>
      </c>
      <c r="DD1164" s="552">
        <f t="shared" si="4073"/>
        <v>0</v>
      </c>
      <c r="DE1164" s="552">
        <f t="shared" si="4073"/>
        <v>0</v>
      </c>
      <c r="DF1164" s="552">
        <f t="shared" si="4073"/>
        <v>1.73</v>
      </c>
      <c r="DG1164" s="552">
        <f t="shared" si="4073"/>
        <v>0</v>
      </c>
      <c r="DH1164" s="552">
        <f t="shared" si="4073"/>
        <v>0</v>
      </c>
      <c r="DI1164" s="552">
        <f t="shared" si="4073"/>
        <v>0</v>
      </c>
      <c r="DJ1164" s="552">
        <f t="shared" si="4073"/>
        <v>0</v>
      </c>
      <c r="DK1164" s="552">
        <f t="shared" si="4073"/>
        <v>0</v>
      </c>
      <c r="DL1164" s="552">
        <f t="shared" si="4073"/>
        <v>0</v>
      </c>
      <c r="DM1164" s="552">
        <f t="shared" si="4073"/>
        <v>0</v>
      </c>
      <c r="DN1164" s="552">
        <f t="shared" si="4073"/>
        <v>0</v>
      </c>
      <c r="DO1164" s="552">
        <f t="shared" si="4073"/>
        <v>0</v>
      </c>
      <c r="DP1164" s="552">
        <f t="shared" si="4073"/>
        <v>0</v>
      </c>
      <c r="DQ1164" s="552">
        <f t="shared" si="4073"/>
        <v>0</v>
      </c>
      <c r="DR1164" s="552">
        <f t="shared" si="4073"/>
        <v>0</v>
      </c>
      <c r="DS1164" s="552">
        <f t="shared" si="4073"/>
        <v>0</v>
      </c>
      <c r="DT1164" s="552">
        <f t="shared" si="4073"/>
        <v>0</v>
      </c>
      <c r="DU1164" s="552">
        <f t="shared" si="4073"/>
        <v>0</v>
      </c>
      <c r="DV1164" s="552">
        <f t="shared" si="4073"/>
        <v>0</v>
      </c>
      <c r="DW1164" s="552">
        <f t="shared" si="4073"/>
        <v>0</v>
      </c>
      <c r="DX1164" s="552">
        <f t="shared" si="4073"/>
        <v>0</v>
      </c>
      <c r="DY1164" s="552">
        <f t="shared" si="4073"/>
        <v>0</v>
      </c>
      <c r="DZ1164" s="552">
        <f t="shared" si="4073"/>
        <v>0</v>
      </c>
      <c r="EA1164" s="552">
        <f t="shared" si="4073"/>
        <v>0</v>
      </c>
      <c r="EB1164" s="552">
        <f t="shared" si="4073"/>
        <v>0</v>
      </c>
      <c r="EC1164" s="552">
        <f t="shared" si="4073"/>
        <v>0</v>
      </c>
      <c r="ED1164" s="552">
        <f t="shared" si="4073"/>
        <v>0</v>
      </c>
      <c r="EE1164" s="552">
        <f t="shared" si="4073"/>
        <v>0</v>
      </c>
      <c r="EF1164" s="552">
        <f t="shared" si="4073"/>
        <v>0</v>
      </c>
      <c r="EG1164" s="552">
        <f t="shared" si="4073"/>
        <v>0</v>
      </c>
      <c r="EH1164" s="552">
        <f t="shared" ref="EH1164:EX1164" si="4074">EH208*EH$338</f>
        <v>0</v>
      </c>
      <c r="EI1164" s="552">
        <f t="shared" si="4074"/>
        <v>0</v>
      </c>
      <c r="EJ1164" s="552">
        <f t="shared" si="4074"/>
        <v>0</v>
      </c>
      <c r="EK1164" s="552">
        <f t="shared" si="4074"/>
        <v>0</v>
      </c>
      <c r="EL1164" s="552">
        <f t="shared" si="4074"/>
        <v>0</v>
      </c>
      <c r="EM1164" s="552">
        <f t="shared" si="4074"/>
        <v>0</v>
      </c>
      <c r="EN1164" s="552">
        <f t="shared" si="4074"/>
        <v>0</v>
      </c>
      <c r="EO1164" s="552">
        <f t="shared" si="4074"/>
        <v>0</v>
      </c>
      <c r="EP1164" s="552">
        <f t="shared" si="4074"/>
        <v>0</v>
      </c>
      <c r="EQ1164" s="552">
        <f t="shared" si="4074"/>
        <v>0</v>
      </c>
      <c r="ER1164" s="552">
        <f t="shared" si="4074"/>
        <v>0</v>
      </c>
      <c r="ES1164" s="552">
        <f t="shared" si="4074"/>
        <v>0</v>
      </c>
      <c r="ET1164" s="552">
        <f t="shared" si="4074"/>
        <v>0</v>
      </c>
      <c r="EU1164" s="552">
        <f t="shared" si="4074"/>
        <v>0</v>
      </c>
      <c r="EV1164" s="552">
        <f t="shared" si="4074"/>
        <v>0</v>
      </c>
      <c r="EW1164" s="552">
        <f t="shared" si="4074"/>
        <v>0</v>
      </c>
      <c r="EX1164" s="552">
        <f t="shared" si="4074"/>
        <v>0</v>
      </c>
      <c r="EY1164" s="799">
        <f t="shared" si="3876"/>
        <v>10.82</v>
      </c>
      <c r="EZ1164" s="640"/>
      <c r="FA1164" s="640"/>
      <c r="FB1164" s="640"/>
      <c r="FC1164" s="640"/>
      <c r="FD1164" s="640"/>
      <c r="FE1164" s="640"/>
      <c r="FF1164" s="640"/>
      <c r="FG1164" s="640"/>
      <c r="FH1164" s="640"/>
      <c r="FI1164" s="640"/>
      <c r="FJ1164" s="640"/>
      <c r="FK1164" s="640"/>
      <c r="FL1164" s="640"/>
    </row>
    <row r="1165" spans="1:168" x14ac:dyDescent="0.25">
      <c r="A1165" s="1492"/>
      <c r="B1165" s="624" t="str">
        <f t="shared" si="4063"/>
        <v>Гуляш с соусом томатным (2 вариант)</v>
      </c>
      <c r="C1165" s="624">
        <f t="shared" si="4063"/>
        <v>140</v>
      </c>
      <c r="D1165" s="624">
        <f t="shared" si="4063"/>
        <v>20.37</v>
      </c>
      <c r="E1165" s="1158">
        <f t="shared" si="4064"/>
        <v>95.05</v>
      </c>
      <c r="F1165" s="1158"/>
      <c r="G1165" s="1140"/>
      <c r="H1165" s="1140"/>
      <c r="I1165" s="552"/>
      <c r="J1165" s="552">
        <f t="shared" ref="J1165:AO1165" si="4075">J209*J$338</f>
        <v>84</v>
      </c>
      <c r="K1165" s="552">
        <f t="shared" si="4075"/>
        <v>0</v>
      </c>
      <c r="L1165" s="552">
        <f t="shared" si="4075"/>
        <v>0</v>
      </c>
      <c r="M1165" s="552">
        <f t="shared" si="4075"/>
        <v>0</v>
      </c>
      <c r="N1165" s="552">
        <f t="shared" si="4075"/>
        <v>0</v>
      </c>
      <c r="O1165" s="552">
        <f t="shared" si="4075"/>
        <v>0</v>
      </c>
      <c r="P1165" s="552">
        <f t="shared" si="4075"/>
        <v>0</v>
      </c>
      <c r="Q1165" s="552">
        <f t="shared" si="4075"/>
        <v>0</v>
      </c>
      <c r="R1165" s="552">
        <f t="shared" si="4075"/>
        <v>0</v>
      </c>
      <c r="S1165" s="552">
        <f t="shared" si="4075"/>
        <v>0</v>
      </c>
      <c r="T1165" s="552">
        <f t="shared" si="4075"/>
        <v>0</v>
      </c>
      <c r="U1165" s="552">
        <f t="shared" si="4075"/>
        <v>0</v>
      </c>
      <c r="V1165" s="552">
        <f t="shared" si="4075"/>
        <v>0</v>
      </c>
      <c r="W1165" s="552">
        <f t="shared" si="4075"/>
        <v>0</v>
      </c>
      <c r="X1165" s="552">
        <f t="shared" si="4075"/>
        <v>0</v>
      </c>
      <c r="Y1165" s="552">
        <f t="shared" si="4075"/>
        <v>4.91</v>
      </c>
      <c r="Z1165" s="552">
        <f t="shared" si="4075"/>
        <v>0</v>
      </c>
      <c r="AA1165" s="552">
        <f t="shared" si="4075"/>
        <v>0</v>
      </c>
      <c r="AB1165" s="552">
        <f t="shared" si="4075"/>
        <v>0</v>
      </c>
      <c r="AC1165" s="552">
        <f t="shared" si="4075"/>
        <v>0</v>
      </c>
      <c r="AD1165" s="552">
        <f t="shared" si="4075"/>
        <v>0</v>
      </c>
      <c r="AE1165" s="552">
        <f t="shared" si="4075"/>
        <v>0</v>
      </c>
      <c r="AF1165" s="552">
        <f t="shared" si="4075"/>
        <v>0</v>
      </c>
      <c r="AG1165" s="552">
        <f t="shared" si="4075"/>
        <v>0</v>
      </c>
      <c r="AH1165" s="552">
        <f t="shared" si="4075"/>
        <v>0</v>
      </c>
      <c r="AI1165" s="552">
        <f t="shared" si="4075"/>
        <v>0</v>
      </c>
      <c r="AJ1165" s="552">
        <f t="shared" si="4075"/>
        <v>0</v>
      </c>
      <c r="AK1165" s="552">
        <f t="shared" si="4075"/>
        <v>0.85</v>
      </c>
      <c r="AL1165" s="552">
        <f t="shared" si="4075"/>
        <v>0.84</v>
      </c>
      <c r="AM1165" s="552">
        <f t="shared" si="4075"/>
        <v>0</v>
      </c>
      <c r="AN1165" s="552">
        <f t="shared" si="4075"/>
        <v>0</v>
      </c>
      <c r="AO1165" s="552">
        <f t="shared" si="4075"/>
        <v>0</v>
      </c>
      <c r="AP1165" s="552">
        <f t="shared" ref="AP1165:BU1165" si="4076">AP209*AP$338</f>
        <v>0</v>
      </c>
      <c r="AQ1165" s="552">
        <f t="shared" si="4076"/>
        <v>0</v>
      </c>
      <c r="AR1165" s="552">
        <f t="shared" si="4076"/>
        <v>0</v>
      </c>
      <c r="AS1165" s="552">
        <f t="shared" si="4076"/>
        <v>0</v>
      </c>
      <c r="AT1165" s="552">
        <f t="shared" si="4076"/>
        <v>0</v>
      </c>
      <c r="AU1165" s="552">
        <f t="shared" si="4076"/>
        <v>0.84</v>
      </c>
      <c r="AV1165" s="552">
        <f t="shared" si="4076"/>
        <v>0</v>
      </c>
      <c r="AW1165" s="552">
        <f t="shared" si="4076"/>
        <v>0</v>
      </c>
      <c r="AX1165" s="552">
        <f t="shared" si="4076"/>
        <v>0</v>
      </c>
      <c r="AY1165" s="552">
        <f t="shared" si="4076"/>
        <v>0</v>
      </c>
      <c r="AZ1165" s="552">
        <f t="shared" si="4076"/>
        <v>0</v>
      </c>
      <c r="BA1165" s="552">
        <f t="shared" si="4076"/>
        <v>0</v>
      </c>
      <c r="BB1165" s="552">
        <f t="shared" si="4076"/>
        <v>0</v>
      </c>
      <c r="BC1165" s="552">
        <f t="shared" si="4076"/>
        <v>0</v>
      </c>
      <c r="BD1165" s="552">
        <f t="shared" si="4076"/>
        <v>0</v>
      </c>
      <c r="BE1165" s="552">
        <f t="shared" si="4076"/>
        <v>0</v>
      </c>
      <c r="BF1165" s="552">
        <f t="shared" si="4076"/>
        <v>0</v>
      </c>
      <c r="BG1165" s="552">
        <f t="shared" si="4076"/>
        <v>0</v>
      </c>
      <c r="BH1165" s="552">
        <f t="shared" si="4076"/>
        <v>0</v>
      </c>
      <c r="BI1165" s="552">
        <f t="shared" si="4076"/>
        <v>0</v>
      </c>
      <c r="BJ1165" s="552">
        <f t="shared" si="4076"/>
        <v>0</v>
      </c>
      <c r="BK1165" s="552">
        <f t="shared" si="4076"/>
        <v>0</v>
      </c>
      <c r="BL1165" s="552">
        <f t="shared" si="4076"/>
        <v>0</v>
      </c>
      <c r="BM1165" s="552">
        <f t="shared" si="4076"/>
        <v>0</v>
      </c>
      <c r="BN1165" s="552">
        <f t="shared" si="4076"/>
        <v>0</v>
      </c>
      <c r="BO1165" s="552">
        <f t="shared" si="4076"/>
        <v>0</v>
      </c>
      <c r="BP1165" s="552">
        <f t="shared" si="4076"/>
        <v>0</v>
      </c>
      <c r="BQ1165" s="552">
        <f t="shared" si="4076"/>
        <v>0</v>
      </c>
      <c r="BR1165" s="552">
        <f t="shared" si="4076"/>
        <v>0</v>
      </c>
      <c r="BS1165" s="552">
        <f t="shared" si="4076"/>
        <v>0.11</v>
      </c>
      <c r="BT1165" s="552">
        <f t="shared" si="4076"/>
        <v>0</v>
      </c>
      <c r="BU1165" s="552">
        <f t="shared" si="4076"/>
        <v>0</v>
      </c>
      <c r="BV1165" s="552">
        <f t="shared" ref="BV1165:DA1165" si="4077">BV209*BV$338</f>
        <v>0</v>
      </c>
      <c r="BW1165" s="552">
        <f t="shared" si="4077"/>
        <v>0</v>
      </c>
      <c r="BX1165" s="552">
        <f t="shared" si="4077"/>
        <v>0</v>
      </c>
      <c r="BY1165" s="552">
        <f t="shared" si="4077"/>
        <v>0</v>
      </c>
      <c r="BZ1165" s="552">
        <f t="shared" si="4077"/>
        <v>0</v>
      </c>
      <c r="CA1165" s="552">
        <f t="shared" si="4077"/>
        <v>0</v>
      </c>
      <c r="CB1165" s="552">
        <f t="shared" si="4077"/>
        <v>0</v>
      </c>
      <c r="CC1165" s="552">
        <f t="shared" si="4077"/>
        <v>0</v>
      </c>
      <c r="CD1165" s="552">
        <f t="shared" si="4077"/>
        <v>0</v>
      </c>
      <c r="CE1165" s="552">
        <f t="shared" si="4077"/>
        <v>0</v>
      </c>
      <c r="CF1165" s="552">
        <f t="shared" si="4077"/>
        <v>0.84</v>
      </c>
      <c r="CG1165" s="552">
        <f t="shared" si="4077"/>
        <v>0</v>
      </c>
      <c r="CH1165" s="552">
        <f t="shared" si="4077"/>
        <v>0</v>
      </c>
      <c r="CI1165" s="552">
        <f t="shared" si="4077"/>
        <v>0</v>
      </c>
      <c r="CJ1165" s="552">
        <f t="shared" si="4077"/>
        <v>0</v>
      </c>
      <c r="CK1165" s="552">
        <f t="shared" si="4077"/>
        <v>0</v>
      </c>
      <c r="CL1165" s="552">
        <f t="shared" si="4077"/>
        <v>0</v>
      </c>
      <c r="CM1165" s="552">
        <f t="shared" si="4077"/>
        <v>0</v>
      </c>
      <c r="CN1165" s="552">
        <f t="shared" si="4077"/>
        <v>0</v>
      </c>
      <c r="CO1165" s="552">
        <f t="shared" si="4077"/>
        <v>0</v>
      </c>
      <c r="CP1165" s="552">
        <f t="shared" si="4077"/>
        <v>0</v>
      </c>
      <c r="CQ1165" s="552">
        <f t="shared" si="4077"/>
        <v>0</v>
      </c>
      <c r="CR1165" s="552">
        <f t="shared" si="4077"/>
        <v>0</v>
      </c>
      <c r="CS1165" s="552">
        <f t="shared" si="4077"/>
        <v>0.03</v>
      </c>
      <c r="CT1165" s="552">
        <f t="shared" si="4077"/>
        <v>0</v>
      </c>
      <c r="CU1165" s="552">
        <f t="shared" si="4077"/>
        <v>0</v>
      </c>
      <c r="CV1165" s="552">
        <f t="shared" si="4077"/>
        <v>0</v>
      </c>
      <c r="CW1165" s="552">
        <f t="shared" si="4077"/>
        <v>0</v>
      </c>
      <c r="CX1165" s="552">
        <f t="shared" si="4077"/>
        <v>0</v>
      </c>
      <c r="CY1165" s="552">
        <f t="shared" si="4077"/>
        <v>0</v>
      </c>
      <c r="CZ1165" s="552">
        <f t="shared" si="4077"/>
        <v>0</v>
      </c>
      <c r="DA1165" s="552">
        <f t="shared" si="4077"/>
        <v>0</v>
      </c>
      <c r="DB1165" s="552">
        <f t="shared" ref="DB1165:EG1165" si="4078">DB209*DB$338</f>
        <v>0</v>
      </c>
      <c r="DC1165" s="552">
        <f t="shared" si="4078"/>
        <v>0.1</v>
      </c>
      <c r="DD1165" s="552">
        <f t="shared" si="4078"/>
        <v>0</v>
      </c>
      <c r="DE1165" s="552">
        <f t="shared" si="4078"/>
        <v>0</v>
      </c>
      <c r="DF1165" s="552">
        <f t="shared" si="4078"/>
        <v>2.5299999999999998</v>
      </c>
      <c r="DG1165" s="552">
        <f t="shared" si="4078"/>
        <v>0</v>
      </c>
      <c r="DH1165" s="552">
        <f t="shared" si="4078"/>
        <v>0</v>
      </c>
      <c r="DI1165" s="552">
        <f t="shared" si="4078"/>
        <v>0</v>
      </c>
      <c r="DJ1165" s="552">
        <f t="shared" si="4078"/>
        <v>0</v>
      </c>
      <c r="DK1165" s="552">
        <f t="shared" si="4078"/>
        <v>0</v>
      </c>
      <c r="DL1165" s="552">
        <f t="shared" si="4078"/>
        <v>0</v>
      </c>
      <c r="DM1165" s="552">
        <f t="shared" si="4078"/>
        <v>0</v>
      </c>
      <c r="DN1165" s="552">
        <f t="shared" si="4078"/>
        <v>0</v>
      </c>
      <c r="DO1165" s="552">
        <f t="shared" si="4078"/>
        <v>0</v>
      </c>
      <c r="DP1165" s="552">
        <f t="shared" si="4078"/>
        <v>0</v>
      </c>
      <c r="DQ1165" s="552">
        <f t="shared" si="4078"/>
        <v>0</v>
      </c>
      <c r="DR1165" s="552">
        <f t="shared" si="4078"/>
        <v>0</v>
      </c>
      <c r="DS1165" s="552">
        <f t="shared" si="4078"/>
        <v>0</v>
      </c>
      <c r="DT1165" s="552">
        <f t="shared" si="4078"/>
        <v>0</v>
      </c>
      <c r="DU1165" s="552">
        <f t="shared" si="4078"/>
        <v>0</v>
      </c>
      <c r="DV1165" s="552">
        <f t="shared" si="4078"/>
        <v>0</v>
      </c>
      <c r="DW1165" s="552">
        <f t="shared" si="4078"/>
        <v>0</v>
      </c>
      <c r="DX1165" s="552">
        <f t="shared" si="4078"/>
        <v>0</v>
      </c>
      <c r="DY1165" s="552">
        <f t="shared" si="4078"/>
        <v>0</v>
      </c>
      <c r="DZ1165" s="552">
        <f t="shared" si="4078"/>
        <v>0</v>
      </c>
      <c r="EA1165" s="552">
        <f t="shared" si="4078"/>
        <v>0</v>
      </c>
      <c r="EB1165" s="552">
        <f t="shared" si="4078"/>
        <v>0</v>
      </c>
      <c r="EC1165" s="552">
        <f t="shared" si="4078"/>
        <v>0</v>
      </c>
      <c r="ED1165" s="552">
        <f t="shared" si="4078"/>
        <v>0</v>
      </c>
      <c r="EE1165" s="552">
        <f t="shared" si="4078"/>
        <v>0</v>
      </c>
      <c r="EF1165" s="552">
        <f t="shared" si="4078"/>
        <v>0</v>
      </c>
      <c r="EG1165" s="552">
        <f t="shared" si="4078"/>
        <v>0</v>
      </c>
      <c r="EH1165" s="552">
        <f t="shared" ref="EH1165:EX1165" si="4079">EH209*EH$338</f>
        <v>0</v>
      </c>
      <c r="EI1165" s="552">
        <f t="shared" si="4079"/>
        <v>0</v>
      </c>
      <c r="EJ1165" s="552">
        <f t="shared" si="4079"/>
        <v>0</v>
      </c>
      <c r="EK1165" s="552">
        <f t="shared" si="4079"/>
        <v>0</v>
      </c>
      <c r="EL1165" s="552">
        <f t="shared" si="4079"/>
        <v>0</v>
      </c>
      <c r="EM1165" s="552">
        <f t="shared" si="4079"/>
        <v>0</v>
      </c>
      <c r="EN1165" s="552">
        <f t="shared" si="4079"/>
        <v>0</v>
      </c>
      <c r="EO1165" s="552">
        <f t="shared" si="4079"/>
        <v>0</v>
      </c>
      <c r="EP1165" s="552">
        <f t="shared" si="4079"/>
        <v>0</v>
      </c>
      <c r="EQ1165" s="552">
        <f t="shared" si="4079"/>
        <v>0</v>
      </c>
      <c r="ER1165" s="552">
        <f t="shared" si="4079"/>
        <v>0</v>
      </c>
      <c r="ES1165" s="552">
        <f t="shared" si="4079"/>
        <v>0</v>
      </c>
      <c r="ET1165" s="552">
        <f t="shared" si="4079"/>
        <v>0</v>
      </c>
      <c r="EU1165" s="552">
        <f t="shared" si="4079"/>
        <v>0</v>
      </c>
      <c r="EV1165" s="552">
        <f t="shared" si="4079"/>
        <v>0</v>
      </c>
      <c r="EW1165" s="552">
        <f t="shared" si="4079"/>
        <v>0</v>
      </c>
      <c r="EX1165" s="552">
        <f t="shared" si="4079"/>
        <v>0</v>
      </c>
      <c r="EY1165" s="799">
        <f t="shared" si="3876"/>
        <v>95.05</v>
      </c>
      <c r="EZ1165" s="640"/>
      <c r="FA1165" s="640"/>
      <c r="FB1165" s="640"/>
      <c r="FC1165" s="640"/>
      <c r="FD1165" s="640"/>
      <c r="FE1165" s="640"/>
      <c r="FF1165" s="640"/>
      <c r="FG1165" s="640"/>
      <c r="FH1165" s="640"/>
      <c r="FI1165" s="640"/>
      <c r="FJ1165" s="640"/>
      <c r="FK1165" s="640"/>
      <c r="FL1165" s="640"/>
    </row>
    <row r="1166" spans="1:168" x14ac:dyDescent="0.25">
      <c r="A1166" s="1492"/>
      <c r="B1166" s="624" t="str">
        <f t="shared" si="4063"/>
        <v>Каша рассыпчатая гречневая (гарнир)</v>
      </c>
      <c r="C1166" s="624">
        <f t="shared" si="4063"/>
        <v>150</v>
      </c>
      <c r="D1166" s="624">
        <f t="shared" si="4063"/>
        <v>8.6</v>
      </c>
      <c r="E1166" s="1158">
        <f t="shared" si="4064"/>
        <v>10.69</v>
      </c>
      <c r="F1166" s="1158"/>
      <c r="G1166" s="1140"/>
      <c r="H1166" s="1140"/>
      <c r="I1166" s="552"/>
      <c r="J1166" s="552">
        <f t="shared" ref="J1166:AO1166" si="4080">J210*J$338</f>
        <v>0</v>
      </c>
      <c r="K1166" s="552">
        <f t="shared" si="4080"/>
        <v>0</v>
      </c>
      <c r="L1166" s="552">
        <f t="shared" si="4080"/>
        <v>0</v>
      </c>
      <c r="M1166" s="552">
        <f t="shared" si="4080"/>
        <v>0</v>
      </c>
      <c r="N1166" s="552">
        <f t="shared" si="4080"/>
        <v>0</v>
      </c>
      <c r="O1166" s="552">
        <f t="shared" si="4080"/>
        <v>0</v>
      </c>
      <c r="P1166" s="552">
        <f t="shared" si="4080"/>
        <v>0</v>
      </c>
      <c r="Q1166" s="552">
        <f t="shared" si="4080"/>
        <v>0</v>
      </c>
      <c r="R1166" s="552">
        <f t="shared" si="4080"/>
        <v>0</v>
      </c>
      <c r="S1166" s="552">
        <f t="shared" si="4080"/>
        <v>0</v>
      </c>
      <c r="T1166" s="552">
        <f t="shared" si="4080"/>
        <v>0</v>
      </c>
      <c r="U1166" s="552">
        <f t="shared" si="4080"/>
        <v>0</v>
      </c>
      <c r="V1166" s="552">
        <f t="shared" si="4080"/>
        <v>3.73</v>
      </c>
      <c r="W1166" s="552">
        <f t="shared" si="4080"/>
        <v>0</v>
      </c>
      <c r="X1166" s="552">
        <f t="shared" si="4080"/>
        <v>0</v>
      </c>
      <c r="Y1166" s="552">
        <f t="shared" si="4080"/>
        <v>0</v>
      </c>
      <c r="Z1166" s="552">
        <f t="shared" si="4080"/>
        <v>0</v>
      </c>
      <c r="AA1166" s="552">
        <f t="shared" si="4080"/>
        <v>0</v>
      </c>
      <c r="AB1166" s="552">
        <f t="shared" si="4080"/>
        <v>0</v>
      </c>
      <c r="AC1166" s="552">
        <f t="shared" si="4080"/>
        <v>0</v>
      </c>
      <c r="AD1166" s="552">
        <f t="shared" si="4080"/>
        <v>0</v>
      </c>
      <c r="AE1166" s="552">
        <f t="shared" si="4080"/>
        <v>0</v>
      </c>
      <c r="AF1166" s="552">
        <f t="shared" si="4080"/>
        <v>0</v>
      </c>
      <c r="AG1166" s="552">
        <f t="shared" si="4080"/>
        <v>0</v>
      </c>
      <c r="AH1166" s="552">
        <f t="shared" si="4080"/>
        <v>0</v>
      </c>
      <c r="AI1166" s="552">
        <f t="shared" si="4080"/>
        <v>0</v>
      </c>
      <c r="AJ1166" s="552">
        <f t="shared" si="4080"/>
        <v>0</v>
      </c>
      <c r="AK1166" s="552">
        <f t="shared" si="4080"/>
        <v>0</v>
      </c>
      <c r="AL1166" s="552">
        <f t="shared" si="4080"/>
        <v>0</v>
      </c>
      <c r="AM1166" s="552">
        <f t="shared" si="4080"/>
        <v>0</v>
      </c>
      <c r="AN1166" s="552">
        <f t="shared" si="4080"/>
        <v>0</v>
      </c>
      <c r="AO1166" s="552">
        <f t="shared" si="4080"/>
        <v>0</v>
      </c>
      <c r="AP1166" s="552">
        <f t="shared" ref="AP1166:BU1166" si="4081">AP210*AP$338</f>
        <v>0</v>
      </c>
      <c r="AQ1166" s="552">
        <f t="shared" si="4081"/>
        <v>0</v>
      </c>
      <c r="AR1166" s="552">
        <f t="shared" si="4081"/>
        <v>0</v>
      </c>
      <c r="AS1166" s="552">
        <f t="shared" si="4081"/>
        <v>0</v>
      </c>
      <c r="AT1166" s="552">
        <f t="shared" si="4081"/>
        <v>0</v>
      </c>
      <c r="AU1166" s="552">
        <f t="shared" si="4081"/>
        <v>0</v>
      </c>
      <c r="AV1166" s="552">
        <f t="shared" si="4081"/>
        <v>0</v>
      </c>
      <c r="AW1166" s="552">
        <f t="shared" si="4081"/>
        <v>0</v>
      </c>
      <c r="AX1166" s="552">
        <f t="shared" si="4081"/>
        <v>0</v>
      </c>
      <c r="AY1166" s="552">
        <f t="shared" si="4081"/>
        <v>0</v>
      </c>
      <c r="AZ1166" s="552">
        <f t="shared" si="4081"/>
        <v>0</v>
      </c>
      <c r="BA1166" s="552">
        <f t="shared" si="4081"/>
        <v>0</v>
      </c>
      <c r="BB1166" s="552">
        <f t="shared" si="4081"/>
        <v>0</v>
      </c>
      <c r="BC1166" s="552">
        <f t="shared" si="4081"/>
        <v>0</v>
      </c>
      <c r="BD1166" s="552">
        <f t="shared" si="4081"/>
        <v>0</v>
      </c>
      <c r="BE1166" s="552">
        <f t="shared" si="4081"/>
        <v>0</v>
      </c>
      <c r="BF1166" s="552">
        <f t="shared" si="4081"/>
        <v>0</v>
      </c>
      <c r="BG1166" s="552">
        <f t="shared" si="4081"/>
        <v>0</v>
      </c>
      <c r="BH1166" s="552">
        <f t="shared" si="4081"/>
        <v>0</v>
      </c>
      <c r="BI1166" s="552">
        <f t="shared" si="4081"/>
        <v>0</v>
      </c>
      <c r="BJ1166" s="552">
        <f t="shared" si="4081"/>
        <v>0</v>
      </c>
      <c r="BK1166" s="552">
        <f t="shared" si="4081"/>
        <v>0</v>
      </c>
      <c r="BL1166" s="552">
        <f t="shared" si="4081"/>
        <v>0</v>
      </c>
      <c r="BM1166" s="552">
        <f t="shared" si="4081"/>
        <v>0</v>
      </c>
      <c r="BN1166" s="552">
        <f t="shared" si="4081"/>
        <v>0</v>
      </c>
      <c r="BO1166" s="552">
        <f t="shared" si="4081"/>
        <v>0</v>
      </c>
      <c r="BP1166" s="552">
        <f t="shared" si="4081"/>
        <v>0</v>
      </c>
      <c r="BQ1166" s="552">
        <f t="shared" si="4081"/>
        <v>0</v>
      </c>
      <c r="BR1166" s="552">
        <f t="shared" si="4081"/>
        <v>0</v>
      </c>
      <c r="BS1166" s="552">
        <f t="shared" si="4081"/>
        <v>0</v>
      </c>
      <c r="BT1166" s="552">
        <f t="shared" si="4081"/>
        <v>6.89</v>
      </c>
      <c r="BU1166" s="552">
        <f t="shared" si="4081"/>
        <v>0</v>
      </c>
      <c r="BV1166" s="552">
        <f t="shared" ref="BV1166:DA1166" si="4082">BV210*BV$338</f>
        <v>0</v>
      </c>
      <c r="BW1166" s="552">
        <f t="shared" si="4082"/>
        <v>0</v>
      </c>
      <c r="BX1166" s="552">
        <f t="shared" si="4082"/>
        <v>0</v>
      </c>
      <c r="BY1166" s="552">
        <f t="shared" si="4082"/>
        <v>0</v>
      </c>
      <c r="BZ1166" s="552">
        <f t="shared" si="4082"/>
        <v>0</v>
      </c>
      <c r="CA1166" s="552">
        <f t="shared" si="4082"/>
        <v>0</v>
      </c>
      <c r="CB1166" s="552">
        <f t="shared" si="4082"/>
        <v>0</v>
      </c>
      <c r="CC1166" s="552">
        <f t="shared" si="4082"/>
        <v>0</v>
      </c>
      <c r="CD1166" s="552">
        <f t="shared" si="4082"/>
        <v>0</v>
      </c>
      <c r="CE1166" s="552">
        <f t="shared" si="4082"/>
        <v>0</v>
      </c>
      <c r="CF1166" s="552">
        <f t="shared" si="4082"/>
        <v>0</v>
      </c>
      <c r="CG1166" s="552">
        <f t="shared" si="4082"/>
        <v>0</v>
      </c>
      <c r="CH1166" s="552">
        <f t="shared" si="4082"/>
        <v>0</v>
      </c>
      <c r="CI1166" s="552">
        <f t="shared" si="4082"/>
        <v>0</v>
      </c>
      <c r="CJ1166" s="552">
        <f t="shared" si="4082"/>
        <v>0</v>
      </c>
      <c r="CK1166" s="552">
        <f t="shared" si="4082"/>
        <v>0</v>
      </c>
      <c r="CL1166" s="552">
        <f t="shared" si="4082"/>
        <v>0</v>
      </c>
      <c r="CM1166" s="552">
        <f t="shared" si="4082"/>
        <v>0</v>
      </c>
      <c r="CN1166" s="552">
        <f t="shared" si="4082"/>
        <v>0</v>
      </c>
      <c r="CO1166" s="552">
        <f t="shared" si="4082"/>
        <v>0</v>
      </c>
      <c r="CP1166" s="552">
        <f t="shared" si="4082"/>
        <v>0</v>
      </c>
      <c r="CQ1166" s="552">
        <f t="shared" si="4082"/>
        <v>0</v>
      </c>
      <c r="CR1166" s="552">
        <f t="shared" si="4082"/>
        <v>0</v>
      </c>
      <c r="CS1166" s="552">
        <f t="shared" si="4082"/>
        <v>0</v>
      </c>
      <c r="CT1166" s="552">
        <f t="shared" si="4082"/>
        <v>0</v>
      </c>
      <c r="CU1166" s="552">
        <f t="shared" si="4082"/>
        <v>0</v>
      </c>
      <c r="CV1166" s="552">
        <f t="shared" si="4082"/>
        <v>0</v>
      </c>
      <c r="CW1166" s="552">
        <f t="shared" si="4082"/>
        <v>0</v>
      </c>
      <c r="CX1166" s="552">
        <f t="shared" si="4082"/>
        <v>0</v>
      </c>
      <c r="CY1166" s="552">
        <f t="shared" si="4082"/>
        <v>0</v>
      </c>
      <c r="CZ1166" s="552">
        <f t="shared" si="4082"/>
        <v>0</v>
      </c>
      <c r="DA1166" s="552">
        <f t="shared" si="4082"/>
        <v>0</v>
      </c>
      <c r="DB1166" s="552">
        <f t="shared" ref="DB1166:EG1166" si="4083">DB210*DB$338</f>
        <v>0</v>
      </c>
      <c r="DC1166" s="552">
        <f t="shared" si="4083"/>
        <v>7.0000000000000007E-2</v>
      </c>
      <c r="DD1166" s="552">
        <f t="shared" si="4083"/>
        <v>0</v>
      </c>
      <c r="DE1166" s="552">
        <f t="shared" si="4083"/>
        <v>0</v>
      </c>
      <c r="DF1166" s="552">
        <f t="shared" si="4083"/>
        <v>0</v>
      </c>
      <c r="DG1166" s="552">
        <f t="shared" si="4083"/>
        <v>0</v>
      </c>
      <c r="DH1166" s="552">
        <f t="shared" si="4083"/>
        <v>0</v>
      </c>
      <c r="DI1166" s="552">
        <f t="shared" si="4083"/>
        <v>0</v>
      </c>
      <c r="DJ1166" s="552">
        <f t="shared" si="4083"/>
        <v>0</v>
      </c>
      <c r="DK1166" s="552">
        <f t="shared" si="4083"/>
        <v>0</v>
      </c>
      <c r="DL1166" s="552">
        <f t="shared" si="4083"/>
        <v>0</v>
      </c>
      <c r="DM1166" s="552">
        <f t="shared" si="4083"/>
        <v>0</v>
      </c>
      <c r="DN1166" s="552">
        <f t="shared" si="4083"/>
        <v>0</v>
      </c>
      <c r="DO1166" s="552">
        <f t="shared" si="4083"/>
        <v>0</v>
      </c>
      <c r="DP1166" s="552">
        <f t="shared" si="4083"/>
        <v>0</v>
      </c>
      <c r="DQ1166" s="552">
        <f t="shared" si="4083"/>
        <v>0</v>
      </c>
      <c r="DR1166" s="552">
        <f t="shared" si="4083"/>
        <v>0</v>
      </c>
      <c r="DS1166" s="552">
        <f t="shared" si="4083"/>
        <v>0</v>
      </c>
      <c r="DT1166" s="552">
        <f t="shared" si="4083"/>
        <v>0</v>
      </c>
      <c r="DU1166" s="552">
        <f t="shared" si="4083"/>
        <v>0</v>
      </c>
      <c r="DV1166" s="552">
        <f t="shared" si="4083"/>
        <v>0</v>
      </c>
      <c r="DW1166" s="552">
        <f t="shared" si="4083"/>
        <v>0</v>
      </c>
      <c r="DX1166" s="552">
        <f t="shared" si="4083"/>
        <v>0</v>
      </c>
      <c r="DY1166" s="552">
        <f t="shared" si="4083"/>
        <v>0</v>
      </c>
      <c r="DZ1166" s="552">
        <f t="shared" si="4083"/>
        <v>0</v>
      </c>
      <c r="EA1166" s="552">
        <f t="shared" si="4083"/>
        <v>0</v>
      </c>
      <c r="EB1166" s="552">
        <f t="shared" si="4083"/>
        <v>0</v>
      </c>
      <c r="EC1166" s="552">
        <f t="shared" si="4083"/>
        <v>0</v>
      </c>
      <c r="ED1166" s="552">
        <f t="shared" si="4083"/>
        <v>0</v>
      </c>
      <c r="EE1166" s="552">
        <f t="shared" si="4083"/>
        <v>0</v>
      </c>
      <c r="EF1166" s="552">
        <f t="shared" si="4083"/>
        <v>0</v>
      </c>
      <c r="EG1166" s="552">
        <f t="shared" si="4083"/>
        <v>0</v>
      </c>
      <c r="EH1166" s="552">
        <f t="shared" ref="EH1166:EX1166" si="4084">EH210*EH$338</f>
        <v>0</v>
      </c>
      <c r="EI1166" s="552">
        <f t="shared" si="4084"/>
        <v>0</v>
      </c>
      <c r="EJ1166" s="552">
        <f t="shared" si="4084"/>
        <v>0</v>
      </c>
      <c r="EK1166" s="552">
        <f t="shared" si="4084"/>
        <v>0</v>
      </c>
      <c r="EL1166" s="552">
        <f t="shared" si="4084"/>
        <v>0</v>
      </c>
      <c r="EM1166" s="552">
        <f t="shared" si="4084"/>
        <v>0</v>
      </c>
      <c r="EN1166" s="552">
        <f t="shared" si="4084"/>
        <v>0</v>
      </c>
      <c r="EO1166" s="552">
        <f t="shared" si="4084"/>
        <v>0</v>
      </c>
      <c r="EP1166" s="552">
        <f t="shared" si="4084"/>
        <v>0</v>
      </c>
      <c r="EQ1166" s="552">
        <f t="shared" si="4084"/>
        <v>0</v>
      </c>
      <c r="ER1166" s="552">
        <f t="shared" si="4084"/>
        <v>0</v>
      </c>
      <c r="ES1166" s="552">
        <f t="shared" si="4084"/>
        <v>0</v>
      </c>
      <c r="ET1166" s="552">
        <f t="shared" si="4084"/>
        <v>0</v>
      </c>
      <c r="EU1166" s="552">
        <f t="shared" si="4084"/>
        <v>0</v>
      </c>
      <c r="EV1166" s="552">
        <f t="shared" si="4084"/>
        <v>0</v>
      </c>
      <c r="EW1166" s="552">
        <f t="shared" si="4084"/>
        <v>0</v>
      </c>
      <c r="EX1166" s="552">
        <f t="shared" si="4084"/>
        <v>0</v>
      </c>
      <c r="EY1166" s="799">
        <f t="shared" si="3876"/>
        <v>10.69</v>
      </c>
      <c r="EZ1166" s="640"/>
      <c r="FA1166" s="640"/>
      <c r="FB1166" s="640"/>
      <c r="FC1166" s="640"/>
      <c r="FD1166" s="640"/>
      <c r="FE1166" s="640"/>
      <c r="FF1166" s="640"/>
      <c r="FG1166" s="640"/>
      <c r="FH1166" s="640"/>
      <c r="FI1166" s="640"/>
      <c r="FJ1166" s="640"/>
      <c r="FK1166" s="640"/>
      <c r="FL1166" s="640"/>
    </row>
    <row r="1167" spans="1:168" x14ac:dyDescent="0.25">
      <c r="A1167" s="1492"/>
      <c r="B1167" s="624" t="str">
        <f t="shared" si="4063"/>
        <v>Компот из смеси сухофруктов</v>
      </c>
      <c r="C1167" s="624">
        <f t="shared" si="4063"/>
        <v>200</v>
      </c>
      <c r="D1167" s="624">
        <f t="shared" si="4063"/>
        <v>0.66</v>
      </c>
      <c r="E1167" s="1158">
        <f t="shared" si="4064"/>
        <v>4.18</v>
      </c>
      <c r="F1167" s="1158"/>
      <c r="G1167" s="1140"/>
      <c r="H1167" s="1140"/>
      <c r="I1167" s="552"/>
      <c r="J1167" s="552">
        <f t="shared" ref="J1167:AO1167" si="4085">J211*J$338</f>
        <v>0</v>
      </c>
      <c r="K1167" s="552">
        <f t="shared" si="4085"/>
        <v>0</v>
      </c>
      <c r="L1167" s="552">
        <f t="shared" si="4085"/>
        <v>0</v>
      </c>
      <c r="M1167" s="552">
        <f t="shared" si="4085"/>
        <v>0</v>
      </c>
      <c r="N1167" s="552">
        <f t="shared" si="4085"/>
        <v>0</v>
      </c>
      <c r="O1167" s="552">
        <f t="shared" si="4085"/>
        <v>0</v>
      </c>
      <c r="P1167" s="552">
        <f t="shared" si="4085"/>
        <v>0</v>
      </c>
      <c r="Q1167" s="552">
        <f t="shared" si="4085"/>
        <v>0</v>
      </c>
      <c r="R1167" s="552">
        <f t="shared" si="4085"/>
        <v>0</v>
      </c>
      <c r="S1167" s="552">
        <f t="shared" si="4085"/>
        <v>0</v>
      </c>
      <c r="T1167" s="552">
        <f t="shared" si="4085"/>
        <v>0</v>
      </c>
      <c r="U1167" s="552">
        <f t="shared" si="4085"/>
        <v>0</v>
      </c>
      <c r="V1167" s="552">
        <f t="shared" si="4085"/>
        <v>0</v>
      </c>
      <c r="W1167" s="552">
        <f t="shared" si="4085"/>
        <v>0</v>
      </c>
      <c r="X1167" s="552">
        <f t="shared" si="4085"/>
        <v>0</v>
      </c>
      <c r="Y1167" s="552">
        <f t="shared" si="4085"/>
        <v>0</v>
      </c>
      <c r="Z1167" s="552">
        <f t="shared" si="4085"/>
        <v>0</v>
      </c>
      <c r="AA1167" s="552">
        <f t="shared" si="4085"/>
        <v>0</v>
      </c>
      <c r="AB1167" s="552">
        <f t="shared" si="4085"/>
        <v>0</v>
      </c>
      <c r="AC1167" s="552">
        <f t="shared" si="4085"/>
        <v>0</v>
      </c>
      <c r="AD1167" s="552">
        <f t="shared" si="4085"/>
        <v>0</v>
      </c>
      <c r="AE1167" s="552">
        <f t="shared" si="4085"/>
        <v>0</v>
      </c>
      <c r="AF1167" s="552">
        <f t="shared" si="4085"/>
        <v>0</v>
      </c>
      <c r="AG1167" s="552">
        <f t="shared" si="4085"/>
        <v>0</v>
      </c>
      <c r="AH1167" s="552">
        <f t="shared" si="4085"/>
        <v>0</v>
      </c>
      <c r="AI1167" s="552">
        <f t="shared" si="4085"/>
        <v>0</v>
      </c>
      <c r="AJ1167" s="552">
        <f t="shared" si="4085"/>
        <v>0</v>
      </c>
      <c r="AK1167" s="552">
        <f t="shared" si="4085"/>
        <v>0</v>
      </c>
      <c r="AL1167" s="552">
        <f t="shared" si="4085"/>
        <v>0</v>
      </c>
      <c r="AM1167" s="552">
        <f t="shared" si="4085"/>
        <v>0</v>
      </c>
      <c r="AN1167" s="552">
        <f t="shared" si="4085"/>
        <v>0</v>
      </c>
      <c r="AO1167" s="552">
        <f t="shared" si="4085"/>
        <v>0</v>
      </c>
      <c r="AP1167" s="552">
        <f t="shared" ref="AP1167:BU1167" si="4086">AP211*AP$338</f>
        <v>0</v>
      </c>
      <c r="AQ1167" s="552">
        <f t="shared" si="4086"/>
        <v>0</v>
      </c>
      <c r="AR1167" s="552">
        <f t="shared" si="4086"/>
        <v>0</v>
      </c>
      <c r="AS1167" s="552">
        <f t="shared" si="4086"/>
        <v>0</v>
      </c>
      <c r="AT1167" s="552">
        <f t="shared" si="4086"/>
        <v>0</v>
      </c>
      <c r="AU1167" s="552">
        <f t="shared" si="4086"/>
        <v>0</v>
      </c>
      <c r="AV1167" s="552">
        <f t="shared" si="4086"/>
        <v>0</v>
      </c>
      <c r="AW1167" s="552">
        <f t="shared" si="4086"/>
        <v>0</v>
      </c>
      <c r="AX1167" s="552">
        <f t="shared" si="4086"/>
        <v>0</v>
      </c>
      <c r="AY1167" s="552">
        <f t="shared" si="4086"/>
        <v>0</v>
      </c>
      <c r="AZ1167" s="552">
        <f t="shared" si="4086"/>
        <v>0</v>
      </c>
      <c r="BA1167" s="552">
        <f t="shared" si="4086"/>
        <v>0</v>
      </c>
      <c r="BB1167" s="552">
        <f t="shared" si="4086"/>
        <v>0</v>
      </c>
      <c r="BC1167" s="552">
        <f t="shared" si="4086"/>
        <v>0</v>
      </c>
      <c r="BD1167" s="552">
        <f t="shared" si="4086"/>
        <v>0</v>
      </c>
      <c r="BE1167" s="552">
        <f t="shared" si="4086"/>
        <v>0</v>
      </c>
      <c r="BF1167" s="552">
        <f t="shared" si="4086"/>
        <v>0</v>
      </c>
      <c r="BG1167" s="552">
        <f t="shared" si="4086"/>
        <v>0</v>
      </c>
      <c r="BH1167" s="552">
        <f t="shared" si="4086"/>
        <v>0</v>
      </c>
      <c r="BI1167" s="552">
        <f t="shared" si="4086"/>
        <v>0</v>
      </c>
      <c r="BJ1167" s="552">
        <f t="shared" si="4086"/>
        <v>0</v>
      </c>
      <c r="BK1167" s="552">
        <f t="shared" si="4086"/>
        <v>0</v>
      </c>
      <c r="BL1167" s="552">
        <f t="shared" si="4086"/>
        <v>0</v>
      </c>
      <c r="BM1167" s="552">
        <f t="shared" si="4086"/>
        <v>0</v>
      </c>
      <c r="BN1167" s="552">
        <f t="shared" si="4086"/>
        <v>0</v>
      </c>
      <c r="BO1167" s="552">
        <f t="shared" si="4086"/>
        <v>0</v>
      </c>
      <c r="BP1167" s="552">
        <f t="shared" si="4086"/>
        <v>0</v>
      </c>
      <c r="BQ1167" s="552">
        <f t="shared" si="4086"/>
        <v>0</v>
      </c>
      <c r="BR1167" s="552">
        <f t="shared" si="4086"/>
        <v>0</v>
      </c>
      <c r="BS1167" s="552">
        <f t="shared" si="4086"/>
        <v>0</v>
      </c>
      <c r="BT1167" s="552">
        <f t="shared" si="4086"/>
        <v>0</v>
      </c>
      <c r="BU1167" s="552">
        <f t="shared" si="4086"/>
        <v>0</v>
      </c>
      <c r="BV1167" s="552">
        <f t="shared" ref="BV1167:DA1167" si="4087">BV211*BV$338</f>
        <v>0</v>
      </c>
      <c r="BW1167" s="552">
        <f t="shared" si="4087"/>
        <v>0</v>
      </c>
      <c r="BX1167" s="552">
        <f t="shared" si="4087"/>
        <v>0</v>
      </c>
      <c r="BY1167" s="552">
        <f t="shared" si="4087"/>
        <v>0</v>
      </c>
      <c r="BZ1167" s="552">
        <f t="shared" si="4087"/>
        <v>0</v>
      </c>
      <c r="CA1167" s="552">
        <f t="shared" si="4087"/>
        <v>0</v>
      </c>
      <c r="CB1167" s="552">
        <f t="shared" si="4087"/>
        <v>0</v>
      </c>
      <c r="CC1167" s="552">
        <f t="shared" si="4087"/>
        <v>0</v>
      </c>
      <c r="CD1167" s="552">
        <f t="shared" si="4087"/>
        <v>0</v>
      </c>
      <c r="CE1167" s="552">
        <f t="shared" si="4087"/>
        <v>0</v>
      </c>
      <c r="CF1167" s="552">
        <f t="shared" si="4087"/>
        <v>0</v>
      </c>
      <c r="CG1167" s="552">
        <f t="shared" si="4087"/>
        <v>0</v>
      </c>
      <c r="CH1167" s="552">
        <f t="shared" si="4087"/>
        <v>0</v>
      </c>
      <c r="CI1167" s="552">
        <f t="shared" si="4087"/>
        <v>0</v>
      </c>
      <c r="CJ1167" s="552">
        <f t="shared" si="4087"/>
        <v>0</v>
      </c>
      <c r="CK1167" s="552">
        <f t="shared" si="4087"/>
        <v>0</v>
      </c>
      <c r="CL1167" s="552">
        <f t="shared" si="4087"/>
        <v>0</v>
      </c>
      <c r="CM1167" s="552">
        <f t="shared" si="4087"/>
        <v>0</v>
      </c>
      <c r="CN1167" s="552">
        <f t="shared" si="4087"/>
        <v>0</v>
      </c>
      <c r="CO1167" s="552">
        <f t="shared" si="4087"/>
        <v>0</v>
      </c>
      <c r="CP1167" s="552">
        <f t="shared" si="4087"/>
        <v>0</v>
      </c>
      <c r="CQ1167" s="552">
        <f t="shared" si="4087"/>
        <v>0.06</v>
      </c>
      <c r="CR1167" s="552">
        <f t="shared" si="4087"/>
        <v>0</v>
      </c>
      <c r="CS1167" s="552">
        <f t="shared" si="4087"/>
        <v>0</v>
      </c>
      <c r="CT1167" s="552">
        <f t="shared" si="4087"/>
        <v>0</v>
      </c>
      <c r="CU1167" s="552">
        <f t="shared" si="4087"/>
        <v>0</v>
      </c>
      <c r="CV1167" s="552">
        <f t="shared" si="4087"/>
        <v>0</v>
      </c>
      <c r="CW1167" s="552">
        <f t="shared" si="4087"/>
        <v>0</v>
      </c>
      <c r="CX1167" s="552">
        <f t="shared" si="4087"/>
        <v>0</v>
      </c>
      <c r="CY1167" s="552">
        <f t="shared" si="4087"/>
        <v>0</v>
      </c>
      <c r="CZ1167" s="552">
        <f t="shared" si="4087"/>
        <v>1.52</v>
      </c>
      <c r="DA1167" s="552">
        <f t="shared" si="4087"/>
        <v>0</v>
      </c>
      <c r="DB1167" s="552">
        <f t="shared" ref="DB1167:EG1167" si="4088">DB211*DB$338</f>
        <v>0</v>
      </c>
      <c r="DC1167" s="552">
        <f t="shared" si="4088"/>
        <v>0</v>
      </c>
      <c r="DD1167" s="552">
        <f t="shared" si="4088"/>
        <v>0</v>
      </c>
      <c r="DE1167" s="552">
        <f t="shared" si="4088"/>
        <v>2.6</v>
      </c>
      <c r="DF1167" s="552">
        <f t="shared" si="4088"/>
        <v>0</v>
      </c>
      <c r="DG1167" s="552">
        <f t="shared" si="4088"/>
        <v>0</v>
      </c>
      <c r="DH1167" s="552">
        <f t="shared" si="4088"/>
        <v>0</v>
      </c>
      <c r="DI1167" s="552">
        <f t="shared" si="4088"/>
        <v>0</v>
      </c>
      <c r="DJ1167" s="552">
        <f t="shared" si="4088"/>
        <v>0</v>
      </c>
      <c r="DK1167" s="552">
        <f t="shared" si="4088"/>
        <v>0</v>
      </c>
      <c r="DL1167" s="552">
        <f t="shared" si="4088"/>
        <v>0</v>
      </c>
      <c r="DM1167" s="552">
        <f t="shared" si="4088"/>
        <v>0</v>
      </c>
      <c r="DN1167" s="552">
        <f t="shared" si="4088"/>
        <v>0</v>
      </c>
      <c r="DO1167" s="552">
        <f t="shared" si="4088"/>
        <v>0</v>
      </c>
      <c r="DP1167" s="552">
        <f t="shared" si="4088"/>
        <v>0</v>
      </c>
      <c r="DQ1167" s="552">
        <f t="shared" si="4088"/>
        <v>0</v>
      </c>
      <c r="DR1167" s="552">
        <f t="shared" si="4088"/>
        <v>0</v>
      </c>
      <c r="DS1167" s="552">
        <f t="shared" si="4088"/>
        <v>0</v>
      </c>
      <c r="DT1167" s="552">
        <f t="shared" si="4088"/>
        <v>0</v>
      </c>
      <c r="DU1167" s="552">
        <f t="shared" si="4088"/>
        <v>0</v>
      </c>
      <c r="DV1167" s="552">
        <f t="shared" si="4088"/>
        <v>0</v>
      </c>
      <c r="DW1167" s="552">
        <f t="shared" si="4088"/>
        <v>0</v>
      </c>
      <c r="DX1167" s="552">
        <f t="shared" si="4088"/>
        <v>0</v>
      </c>
      <c r="DY1167" s="552">
        <f t="shared" si="4088"/>
        <v>0</v>
      </c>
      <c r="DZ1167" s="552">
        <f t="shared" si="4088"/>
        <v>0</v>
      </c>
      <c r="EA1167" s="552">
        <f t="shared" si="4088"/>
        <v>0</v>
      </c>
      <c r="EB1167" s="552">
        <f t="shared" si="4088"/>
        <v>0</v>
      </c>
      <c r="EC1167" s="552">
        <f t="shared" si="4088"/>
        <v>0</v>
      </c>
      <c r="ED1167" s="552">
        <f t="shared" si="4088"/>
        <v>0</v>
      </c>
      <c r="EE1167" s="552">
        <f t="shared" si="4088"/>
        <v>0</v>
      </c>
      <c r="EF1167" s="552">
        <f t="shared" si="4088"/>
        <v>0</v>
      </c>
      <c r="EG1167" s="552">
        <f t="shared" si="4088"/>
        <v>0</v>
      </c>
      <c r="EH1167" s="552">
        <f t="shared" ref="EH1167:EX1167" si="4089">EH211*EH$338</f>
        <v>0</v>
      </c>
      <c r="EI1167" s="552">
        <f t="shared" si="4089"/>
        <v>0</v>
      </c>
      <c r="EJ1167" s="552">
        <f t="shared" si="4089"/>
        <v>0</v>
      </c>
      <c r="EK1167" s="552">
        <f t="shared" si="4089"/>
        <v>0</v>
      </c>
      <c r="EL1167" s="552">
        <f t="shared" si="4089"/>
        <v>0</v>
      </c>
      <c r="EM1167" s="552">
        <f t="shared" si="4089"/>
        <v>0</v>
      </c>
      <c r="EN1167" s="552">
        <f t="shared" si="4089"/>
        <v>0</v>
      </c>
      <c r="EO1167" s="552">
        <f t="shared" si="4089"/>
        <v>0</v>
      </c>
      <c r="EP1167" s="552">
        <f t="shared" si="4089"/>
        <v>0</v>
      </c>
      <c r="EQ1167" s="552">
        <f t="shared" si="4089"/>
        <v>0</v>
      </c>
      <c r="ER1167" s="552">
        <f t="shared" si="4089"/>
        <v>0</v>
      </c>
      <c r="ES1167" s="552">
        <f t="shared" si="4089"/>
        <v>0</v>
      </c>
      <c r="ET1167" s="552">
        <f t="shared" si="4089"/>
        <v>0</v>
      </c>
      <c r="EU1167" s="552">
        <f t="shared" si="4089"/>
        <v>0</v>
      </c>
      <c r="EV1167" s="552">
        <f t="shared" si="4089"/>
        <v>0</v>
      </c>
      <c r="EW1167" s="552">
        <f t="shared" si="4089"/>
        <v>0</v>
      </c>
      <c r="EX1167" s="552">
        <f t="shared" si="4089"/>
        <v>0</v>
      </c>
      <c r="EY1167" s="799">
        <f t="shared" si="3876"/>
        <v>4.18</v>
      </c>
      <c r="EZ1167" s="640"/>
      <c r="FA1167" s="640"/>
      <c r="FB1167" s="640"/>
      <c r="FC1167" s="640"/>
      <c r="FD1167" s="640"/>
      <c r="FE1167" s="640"/>
      <c r="FF1167" s="640"/>
      <c r="FG1167" s="640"/>
      <c r="FH1167" s="640"/>
      <c r="FI1167" s="640"/>
      <c r="FJ1167" s="640"/>
      <c r="FK1167" s="640"/>
      <c r="FL1167" s="640"/>
    </row>
    <row r="1168" spans="1:168" x14ac:dyDescent="0.25">
      <c r="A1168" s="1492"/>
      <c r="B1168" s="624" t="str">
        <f t="shared" si="4063"/>
        <v>Хлеб пшеничный нарезной</v>
      </c>
      <c r="C1168" s="624">
        <f t="shared" si="4063"/>
        <v>20</v>
      </c>
      <c r="D1168" s="624">
        <f t="shared" si="4063"/>
        <v>2.14</v>
      </c>
      <c r="E1168" s="1158">
        <f t="shared" si="4064"/>
        <v>1.3</v>
      </c>
      <c r="F1168" s="1158"/>
      <c r="G1168" s="1140"/>
      <c r="H1168" s="1140"/>
      <c r="I1168" s="552"/>
      <c r="J1168" s="552">
        <f t="shared" ref="J1168:AO1168" si="4090">J212*J$338</f>
        <v>0</v>
      </c>
      <c r="K1168" s="552">
        <f t="shared" si="4090"/>
        <v>0</v>
      </c>
      <c r="L1168" s="552">
        <f t="shared" si="4090"/>
        <v>0</v>
      </c>
      <c r="M1168" s="552">
        <f t="shared" si="4090"/>
        <v>0</v>
      </c>
      <c r="N1168" s="552">
        <f t="shared" si="4090"/>
        <v>0</v>
      </c>
      <c r="O1168" s="552">
        <f t="shared" si="4090"/>
        <v>0</v>
      </c>
      <c r="P1168" s="552">
        <f t="shared" si="4090"/>
        <v>0</v>
      </c>
      <c r="Q1168" s="552">
        <f t="shared" si="4090"/>
        <v>0</v>
      </c>
      <c r="R1168" s="552">
        <f t="shared" si="4090"/>
        <v>0</v>
      </c>
      <c r="S1168" s="552">
        <f t="shared" si="4090"/>
        <v>0</v>
      </c>
      <c r="T1168" s="552">
        <f t="shared" si="4090"/>
        <v>0</v>
      </c>
      <c r="U1168" s="552">
        <f t="shared" si="4090"/>
        <v>0</v>
      </c>
      <c r="V1168" s="552">
        <f t="shared" si="4090"/>
        <v>0</v>
      </c>
      <c r="W1168" s="552">
        <f t="shared" si="4090"/>
        <v>0</v>
      </c>
      <c r="X1168" s="552">
        <f t="shared" si="4090"/>
        <v>0</v>
      </c>
      <c r="Y1168" s="552">
        <f t="shared" si="4090"/>
        <v>0</v>
      </c>
      <c r="Z1168" s="552">
        <f t="shared" si="4090"/>
        <v>0</v>
      </c>
      <c r="AA1168" s="552">
        <f t="shared" si="4090"/>
        <v>0</v>
      </c>
      <c r="AB1168" s="552">
        <f t="shared" si="4090"/>
        <v>0</v>
      </c>
      <c r="AC1168" s="552">
        <f t="shared" si="4090"/>
        <v>0</v>
      </c>
      <c r="AD1168" s="552">
        <f t="shared" si="4090"/>
        <v>0</v>
      </c>
      <c r="AE1168" s="552">
        <f t="shared" si="4090"/>
        <v>0</v>
      </c>
      <c r="AF1168" s="552">
        <f t="shared" si="4090"/>
        <v>0</v>
      </c>
      <c r="AG1168" s="552">
        <f t="shared" si="4090"/>
        <v>0</v>
      </c>
      <c r="AH1168" s="552">
        <f t="shared" si="4090"/>
        <v>0</v>
      </c>
      <c r="AI1168" s="552">
        <f t="shared" si="4090"/>
        <v>0</v>
      </c>
      <c r="AJ1168" s="552">
        <f t="shared" si="4090"/>
        <v>0</v>
      </c>
      <c r="AK1168" s="552">
        <f t="shared" si="4090"/>
        <v>0</v>
      </c>
      <c r="AL1168" s="552">
        <f t="shared" si="4090"/>
        <v>0</v>
      </c>
      <c r="AM1168" s="552">
        <f t="shared" si="4090"/>
        <v>0</v>
      </c>
      <c r="AN1168" s="552">
        <f t="shared" si="4090"/>
        <v>0</v>
      </c>
      <c r="AO1168" s="552">
        <f t="shared" si="4090"/>
        <v>0</v>
      </c>
      <c r="AP1168" s="552">
        <f t="shared" ref="AP1168:BU1168" si="4091">AP212*AP$338</f>
        <v>0</v>
      </c>
      <c r="AQ1168" s="552">
        <f t="shared" si="4091"/>
        <v>0</v>
      </c>
      <c r="AR1168" s="552">
        <f t="shared" si="4091"/>
        <v>0</v>
      </c>
      <c r="AS1168" s="552">
        <f t="shared" si="4091"/>
        <v>0</v>
      </c>
      <c r="AT1168" s="552">
        <f t="shared" si="4091"/>
        <v>0</v>
      </c>
      <c r="AU1168" s="552">
        <f t="shared" si="4091"/>
        <v>0</v>
      </c>
      <c r="AV1168" s="552">
        <f t="shared" si="4091"/>
        <v>0</v>
      </c>
      <c r="AW1168" s="552">
        <f t="shared" si="4091"/>
        <v>0</v>
      </c>
      <c r="AX1168" s="552">
        <f t="shared" si="4091"/>
        <v>0</v>
      </c>
      <c r="AY1168" s="552">
        <f t="shared" si="4091"/>
        <v>0</v>
      </c>
      <c r="AZ1168" s="552">
        <f t="shared" si="4091"/>
        <v>0</v>
      </c>
      <c r="BA1168" s="552">
        <f t="shared" si="4091"/>
        <v>0</v>
      </c>
      <c r="BB1168" s="552">
        <f t="shared" si="4091"/>
        <v>0</v>
      </c>
      <c r="BC1168" s="552">
        <f t="shared" si="4091"/>
        <v>0</v>
      </c>
      <c r="BD1168" s="552">
        <f t="shared" si="4091"/>
        <v>0</v>
      </c>
      <c r="BE1168" s="552">
        <f t="shared" si="4091"/>
        <v>0</v>
      </c>
      <c r="BF1168" s="552">
        <f t="shared" si="4091"/>
        <v>0</v>
      </c>
      <c r="BG1168" s="552">
        <f t="shared" si="4091"/>
        <v>0</v>
      </c>
      <c r="BH1168" s="552">
        <f t="shared" si="4091"/>
        <v>0</v>
      </c>
      <c r="BI1168" s="552">
        <f t="shared" si="4091"/>
        <v>0</v>
      </c>
      <c r="BJ1168" s="552">
        <f t="shared" si="4091"/>
        <v>0</v>
      </c>
      <c r="BK1168" s="552">
        <f t="shared" si="4091"/>
        <v>0</v>
      </c>
      <c r="BL1168" s="552">
        <f t="shared" si="4091"/>
        <v>0</v>
      </c>
      <c r="BM1168" s="552">
        <f t="shared" si="4091"/>
        <v>0</v>
      </c>
      <c r="BN1168" s="552">
        <f t="shared" si="4091"/>
        <v>0</v>
      </c>
      <c r="BO1168" s="552">
        <f t="shared" si="4091"/>
        <v>0</v>
      </c>
      <c r="BP1168" s="552">
        <f t="shared" si="4091"/>
        <v>0</v>
      </c>
      <c r="BQ1168" s="552">
        <f t="shared" si="4091"/>
        <v>0</v>
      </c>
      <c r="BR1168" s="552">
        <f t="shared" si="4091"/>
        <v>0</v>
      </c>
      <c r="BS1168" s="552">
        <f t="shared" si="4091"/>
        <v>0</v>
      </c>
      <c r="BT1168" s="552">
        <f t="shared" si="4091"/>
        <v>0</v>
      </c>
      <c r="BU1168" s="552">
        <f t="shared" si="4091"/>
        <v>0</v>
      </c>
      <c r="BV1168" s="552">
        <f t="shared" ref="BV1168:DA1168" si="4092">BV212*BV$338</f>
        <v>0</v>
      </c>
      <c r="BW1168" s="552">
        <f t="shared" si="4092"/>
        <v>0</v>
      </c>
      <c r="BX1168" s="552">
        <f t="shared" si="4092"/>
        <v>0</v>
      </c>
      <c r="BY1168" s="552">
        <f t="shared" si="4092"/>
        <v>0</v>
      </c>
      <c r="BZ1168" s="552">
        <f t="shared" si="4092"/>
        <v>0</v>
      </c>
      <c r="CA1168" s="552">
        <f t="shared" si="4092"/>
        <v>0</v>
      </c>
      <c r="CB1168" s="552">
        <f t="shared" si="4092"/>
        <v>0</v>
      </c>
      <c r="CC1168" s="552">
        <f t="shared" si="4092"/>
        <v>0</v>
      </c>
      <c r="CD1168" s="552">
        <f t="shared" si="4092"/>
        <v>0</v>
      </c>
      <c r="CE1168" s="552">
        <f t="shared" si="4092"/>
        <v>0</v>
      </c>
      <c r="CF1168" s="552">
        <f t="shared" si="4092"/>
        <v>0</v>
      </c>
      <c r="CG1168" s="552">
        <f t="shared" si="4092"/>
        <v>0</v>
      </c>
      <c r="CH1168" s="552">
        <f t="shared" si="4092"/>
        <v>0</v>
      </c>
      <c r="CI1168" s="552">
        <f t="shared" si="4092"/>
        <v>0</v>
      </c>
      <c r="CJ1168" s="552">
        <f t="shared" si="4092"/>
        <v>0</v>
      </c>
      <c r="CK1168" s="552">
        <f t="shared" si="4092"/>
        <v>0</v>
      </c>
      <c r="CL1168" s="552">
        <f t="shared" si="4092"/>
        <v>0</v>
      </c>
      <c r="CM1168" s="552">
        <f t="shared" si="4092"/>
        <v>0</v>
      </c>
      <c r="CN1168" s="552">
        <f t="shared" si="4092"/>
        <v>0</v>
      </c>
      <c r="CO1168" s="552">
        <f t="shared" si="4092"/>
        <v>0</v>
      </c>
      <c r="CP1168" s="552">
        <f t="shared" si="4092"/>
        <v>0</v>
      </c>
      <c r="CQ1168" s="552">
        <f t="shared" si="4092"/>
        <v>0</v>
      </c>
      <c r="CR1168" s="552">
        <f t="shared" si="4092"/>
        <v>0</v>
      </c>
      <c r="CS1168" s="552">
        <f t="shared" si="4092"/>
        <v>0</v>
      </c>
      <c r="CT1168" s="552">
        <f t="shared" si="4092"/>
        <v>0</v>
      </c>
      <c r="CU1168" s="552">
        <f t="shared" si="4092"/>
        <v>0</v>
      </c>
      <c r="CV1168" s="552">
        <f t="shared" si="4092"/>
        <v>0</v>
      </c>
      <c r="CW1168" s="552">
        <f t="shared" si="4092"/>
        <v>0</v>
      </c>
      <c r="CX1168" s="552">
        <f t="shared" si="4092"/>
        <v>0</v>
      </c>
      <c r="CY1168" s="552">
        <f t="shared" si="4092"/>
        <v>0</v>
      </c>
      <c r="CZ1168" s="552">
        <f t="shared" si="4092"/>
        <v>0</v>
      </c>
      <c r="DA1168" s="552">
        <f t="shared" si="4092"/>
        <v>0</v>
      </c>
      <c r="DB1168" s="552">
        <f t="shared" ref="DB1168:EG1168" si="4093">DB212*DB$338</f>
        <v>0</v>
      </c>
      <c r="DC1168" s="552">
        <f t="shared" si="4093"/>
        <v>0</v>
      </c>
      <c r="DD1168" s="552">
        <f t="shared" si="4093"/>
        <v>0</v>
      </c>
      <c r="DE1168" s="552">
        <f t="shared" si="4093"/>
        <v>0</v>
      </c>
      <c r="DF1168" s="552">
        <f t="shared" si="4093"/>
        <v>0</v>
      </c>
      <c r="DG1168" s="552">
        <f t="shared" si="4093"/>
        <v>0</v>
      </c>
      <c r="DH1168" s="552">
        <f t="shared" si="4093"/>
        <v>0</v>
      </c>
      <c r="DI1168" s="552">
        <f t="shared" si="4093"/>
        <v>0</v>
      </c>
      <c r="DJ1168" s="552">
        <f t="shared" si="4093"/>
        <v>0</v>
      </c>
      <c r="DK1168" s="552">
        <f t="shared" si="4093"/>
        <v>0</v>
      </c>
      <c r="DL1168" s="552">
        <f t="shared" si="4093"/>
        <v>0</v>
      </c>
      <c r="DM1168" s="552">
        <f t="shared" si="4093"/>
        <v>0</v>
      </c>
      <c r="DN1168" s="552">
        <f t="shared" si="4093"/>
        <v>0</v>
      </c>
      <c r="DO1168" s="552">
        <f t="shared" si="4093"/>
        <v>0</v>
      </c>
      <c r="DP1168" s="552">
        <f t="shared" si="4093"/>
        <v>0</v>
      </c>
      <c r="DQ1168" s="552">
        <f t="shared" si="4093"/>
        <v>0</v>
      </c>
      <c r="DR1168" s="552">
        <f t="shared" si="4093"/>
        <v>0</v>
      </c>
      <c r="DS1168" s="552">
        <f t="shared" si="4093"/>
        <v>0</v>
      </c>
      <c r="DT1168" s="552">
        <f t="shared" si="4093"/>
        <v>0</v>
      </c>
      <c r="DU1168" s="552">
        <f t="shared" si="4093"/>
        <v>0</v>
      </c>
      <c r="DV1168" s="552">
        <f t="shared" si="4093"/>
        <v>0</v>
      </c>
      <c r="DW1168" s="552">
        <f t="shared" si="4093"/>
        <v>0</v>
      </c>
      <c r="DX1168" s="552">
        <f t="shared" si="4093"/>
        <v>0</v>
      </c>
      <c r="DY1168" s="552">
        <f t="shared" si="4093"/>
        <v>0</v>
      </c>
      <c r="DZ1168" s="552">
        <f t="shared" si="4093"/>
        <v>0</v>
      </c>
      <c r="EA1168" s="552">
        <f t="shared" si="4093"/>
        <v>0</v>
      </c>
      <c r="EB1168" s="552">
        <f t="shared" si="4093"/>
        <v>0</v>
      </c>
      <c r="EC1168" s="552">
        <f t="shared" si="4093"/>
        <v>0</v>
      </c>
      <c r="ED1168" s="552">
        <f t="shared" si="4093"/>
        <v>0</v>
      </c>
      <c r="EE1168" s="552">
        <f t="shared" si="4093"/>
        <v>0</v>
      </c>
      <c r="EF1168" s="552">
        <f t="shared" si="4093"/>
        <v>0</v>
      </c>
      <c r="EG1168" s="552">
        <f t="shared" si="4093"/>
        <v>0</v>
      </c>
      <c r="EH1168" s="552">
        <f t="shared" ref="EH1168:EX1168" si="4094">EH212*EH$338</f>
        <v>0</v>
      </c>
      <c r="EI1168" s="552">
        <f t="shared" si="4094"/>
        <v>0</v>
      </c>
      <c r="EJ1168" s="552">
        <f t="shared" si="4094"/>
        <v>0</v>
      </c>
      <c r="EK1168" s="552">
        <f t="shared" si="4094"/>
        <v>0</v>
      </c>
      <c r="EL1168" s="552">
        <f t="shared" si="4094"/>
        <v>0</v>
      </c>
      <c r="EM1168" s="552">
        <f t="shared" si="4094"/>
        <v>0</v>
      </c>
      <c r="EN1168" s="552">
        <f t="shared" si="4094"/>
        <v>0</v>
      </c>
      <c r="EO1168" s="552">
        <f t="shared" si="4094"/>
        <v>0</v>
      </c>
      <c r="EP1168" s="552">
        <f t="shared" si="4094"/>
        <v>0</v>
      </c>
      <c r="EQ1168" s="552">
        <f t="shared" si="4094"/>
        <v>0</v>
      </c>
      <c r="ER1168" s="552">
        <f t="shared" si="4094"/>
        <v>0</v>
      </c>
      <c r="ES1168" s="552">
        <f t="shared" si="4094"/>
        <v>0</v>
      </c>
      <c r="ET1168" s="552">
        <f t="shared" si="4094"/>
        <v>0</v>
      </c>
      <c r="EU1168" s="552">
        <f t="shared" si="4094"/>
        <v>0</v>
      </c>
      <c r="EV1168" s="552">
        <f t="shared" si="4094"/>
        <v>1.3</v>
      </c>
      <c r="EW1168" s="552">
        <f t="shared" si="4094"/>
        <v>0</v>
      </c>
      <c r="EX1168" s="552">
        <f t="shared" si="4094"/>
        <v>0</v>
      </c>
      <c r="EY1168" s="799">
        <f t="shared" si="3876"/>
        <v>1.3</v>
      </c>
      <c r="EZ1168" s="640"/>
      <c r="FA1168" s="640"/>
      <c r="FB1168" s="640"/>
      <c r="FC1168" s="640"/>
      <c r="FD1168" s="640"/>
      <c r="FE1168" s="640"/>
      <c r="FF1168" s="640"/>
      <c r="FG1168" s="640"/>
      <c r="FH1168" s="640"/>
      <c r="FI1168" s="640"/>
      <c r="FJ1168" s="640"/>
      <c r="FK1168" s="640"/>
      <c r="FL1168" s="640"/>
    </row>
    <row r="1169" spans="1:168" x14ac:dyDescent="0.25">
      <c r="A1169" s="1492"/>
      <c r="B1169" s="624" t="str">
        <f t="shared" si="4063"/>
        <v>Хлеб пшенично-ржаной нарезной</v>
      </c>
      <c r="C1169" s="624">
        <f t="shared" si="4063"/>
        <v>30</v>
      </c>
      <c r="D1169" s="624">
        <f t="shared" si="4063"/>
        <v>2.25</v>
      </c>
      <c r="E1169" s="1158">
        <f t="shared" si="4064"/>
        <v>1.95</v>
      </c>
      <c r="F1169" s="1158"/>
      <c r="G1169" s="1140"/>
      <c r="H1169" s="1140"/>
      <c r="I1169" s="552"/>
      <c r="J1169" s="552">
        <f t="shared" ref="J1169:AO1169" si="4095">J213*J$338</f>
        <v>0</v>
      </c>
      <c r="K1169" s="552">
        <f t="shared" si="4095"/>
        <v>0</v>
      </c>
      <c r="L1169" s="552">
        <f t="shared" si="4095"/>
        <v>0</v>
      </c>
      <c r="M1169" s="552">
        <f t="shared" si="4095"/>
        <v>0</v>
      </c>
      <c r="N1169" s="552">
        <f t="shared" si="4095"/>
        <v>0</v>
      </c>
      <c r="O1169" s="552">
        <f t="shared" si="4095"/>
        <v>0</v>
      </c>
      <c r="P1169" s="552">
        <f t="shared" si="4095"/>
        <v>0</v>
      </c>
      <c r="Q1169" s="552">
        <f t="shared" si="4095"/>
        <v>0</v>
      </c>
      <c r="R1169" s="552">
        <f t="shared" si="4095"/>
        <v>0</v>
      </c>
      <c r="S1169" s="552">
        <f t="shared" si="4095"/>
        <v>0</v>
      </c>
      <c r="T1169" s="552">
        <f t="shared" si="4095"/>
        <v>0</v>
      </c>
      <c r="U1169" s="552">
        <f t="shared" si="4095"/>
        <v>0</v>
      </c>
      <c r="V1169" s="552">
        <f t="shared" si="4095"/>
        <v>0</v>
      </c>
      <c r="W1169" s="552">
        <f t="shared" si="4095"/>
        <v>0</v>
      </c>
      <c r="X1169" s="552">
        <f t="shared" si="4095"/>
        <v>0</v>
      </c>
      <c r="Y1169" s="552">
        <f t="shared" si="4095"/>
        <v>0</v>
      </c>
      <c r="Z1169" s="552">
        <f t="shared" si="4095"/>
        <v>0</v>
      </c>
      <c r="AA1169" s="552">
        <f t="shared" si="4095"/>
        <v>0</v>
      </c>
      <c r="AB1169" s="552">
        <f t="shared" si="4095"/>
        <v>0</v>
      </c>
      <c r="AC1169" s="552">
        <f t="shared" si="4095"/>
        <v>0</v>
      </c>
      <c r="AD1169" s="552">
        <f t="shared" si="4095"/>
        <v>0</v>
      </c>
      <c r="AE1169" s="552">
        <f t="shared" si="4095"/>
        <v>0</v>
      </c>
      <c r="AF1169" s="552">
        <f t="shared" si="4095"/>
        <v>0</v>
      </c>
      <c r="AG1169" s="552">
        <f t="shared" si="4095"/>
        <v>0</v>
      </c>
      <c r="AH1169" s="552">
        <f t="shared" si="4095"/>
        <v>0</v>
      </c>
      <c r="AI1169" s="552">
        <f t="shared" si="4095"/>
        <v>0</v>
      </c>
      <c r="AJ1169" s="552">
        <f t="shared" si="4095"/>
        <v>0</v>
      </c>
      <c r="AK1169" s="552">
        <f t="shared" si="4095"/>
        <v>0</v>
      </c>
      <c r="AL1169" s="552">
        <f t="shared" si="4095"/>
        <v>0</v>
      </c>
      <c r="AM1169" s="552">
        <f t="shared" si="4095"/>
        <v>0</v>
      </c>
      <c r="AN1169" s="552">
        <f t="shared" si="4095"/>
        <v>0</v>
      </c>
      <c r="AO1169" s="552">
        <f t="shared" si="4095"/>
        <v>0</v>
      </c>
      <c r="AP1169" s="552">
        <f t="shared" ref="AP1169:BU1169" si="4096">AP213*AP$338</f>
        <v>0</v>
      </c>
      <c r="AQ1169" s="552">
        <f t="shared" si="4096"/>
        <v>0</v>
      </c>
      <c r="AR1169" s="552">
        <f t="shared" si="4096"/>
        <v>0</v>
      </c>
      <c r="AS1169" s="552">
        <f t="shared" si="4096"/>
        <v>0</v>
      </c>
      <c r="AT1169" s="552">
        <f t="shared" si="4096"/>
        <v>0</v>
      </c>
      <c r="AU1169" s="552">
        <f t="shared" si="4096"/>
        <v>0</v>
      </c>
      <c r="AV1169" s="552">
        <f t="shared" si="4096"/>
        <v>0</v>
      </c>
      <c r="AW1169" s="552">
        <f t="shared" si="4096"/>
        <v>0</v>
      </c>
      <c r="AX1169" s="552">
        <f t="shared" si="4096"/>
        <v>0</v>
      </c>
      <c r="AY1169" s="552">
        <f t="shared" si="4096"/>
        <v>0</v>
      </c>
      <c r="AZ1169" s="552">
        <f t="shared" si="4096"/>
        <v>0</v>
      </c>
      <c r="BA1169" s="552">
        <f t="shared" si="4096"/>
        <v>0</v>
      </c>
      <c r="BB1169" s="552">
        <f t="shared" si="4096"/>
        <v>0</v>
      </c>
      <c r="BC1169" s="552">
        <f t="shared" si="4096"/>
        <v>0</v>
      </c>
      <c r="BD1169" s="552">
        <f t="shared" si="4096"/>
        <v>0</v>
      </c>
      <c r="BE1169" s="552">
        <f t="shared" si="4096"/>
        <v>0</v>
      </c>
      <c r="BF1169" s="552">
        <f t="shared" si="4096"/>
        <v>0</v>
      </c>
      <c r="BG1169" s="552">
        <f t="shared" si="4096"/>
        <v>0</v>
      </c>
      <c r="BH1169" s="552">
        <f t="shared" si="4096"/>
        <v>0</v>
      </c>
      <c r="BI1169" s="552">
        <f t="shared" si="4096"/>
        <v>0</v>
      </c>
      <c r="BJ1169" s="552">
        <f t="shared" si="4096"/>
        <v>0</v>
      </c>
      <c r="BK1169" s="552">
        <f t="shared" si="4096"/>
        <v>0</v>
      </c>
      <c r="BL1169" s="552">
        <f t="shared" si="4096"/>
        <v>0</v>
      </c>
      <c r="BM1169" s="552">
        <f t="shared" si="4096"/>
        <v>0</v>
      </c>
      <c r="BN1169" s="552">
        <f t="shared" si="4096"/>
        <v>0</v>
      </c>
      <c r="BO1169" s="552">
        <f t="shared" si="4096"/>
        <v>0</v>
      </c>
      <c r="BP1169" s="552">
        <f t="shared" si="4096"/>
        <v>0</v>
      </c>
      <c r="BQ1169" s="552">
        <f t="shared" si="4096"/>
        <v>0</v>
      </c>
      <c r="BR1169" s="552">
        <f t="shared" si="4096"/>
        <v>0</v>
      </c>
      <c r="BS1169" s="552">
        <f t="shared" si="4096"/>
        <v>0</v>
      </c>
      <c r="BT1169" s="552">
        <f t="shared" si="4096"/>
        <v>0</v>
      </c>
      <c r="BU1169" s="552">
        <f t="shared" si="4096"/>
        <v>0</v>
      </c>
      <c r="BV1169" s="552">
        <f t="shared" ref="BV1169:DA1169" si="4097">BV213*BV$338</f>
        <v>0</v>
      </c>
      <c r="BW1169" s="552">
        <f t="shared" si="4097"/>
        <v>0</v>
      </c>
      <c r="BX1169" s="552">
        <f t="shared" si="4097"/>
        <v>0</v>
      </c>
      <c r="BY1169" s="552">
        <f t="shared" si="4097"/>
        <v>0</v>
      </c>
      <c r="BZ1169" s="552">
        <f t="shared" si="4097"/>
        <v>0</v>
      </c>
      <c r="CA1169" s="552">
        <f t="shared" si="4097"/>
        <v>0</v>
      </c>
      <c r="CB1169" s="552">
        <f t="shared" si="4097"/>
        <v>0</v>
      </c>
      <c r="CC1169" s="552">
        <f t="shared" si="4097"/>
        <v>0</v>
      </c>
      <c r="CD1169" s="552">
        <f t="shared" si="4097"/>
        <v>0</v>
      </c>
      <c r="CE1169" s="552">
        <f t="shared" si="4097"/>
        <v>0</v>
      </c>
      <c r="CF1169" s="552">
        <f t="shared" si="4097"/>
        <v>0</v>
      </c>
      <c r="CG1169" s="552">
        <f t="shared" si="4097"/>
        <v>0</v>
      </c>
      <c r="CH1169" s="552">
        <f t="shared" si="4097"/>
        <v>0</v>
      </c>
      <c r="CI1169" s="552">
        <f t="shared" si="4097"/>
        <v>0</v>
      </c>
      <c r="CJ1169" s="552">
        <f t="shared" si="4097"/>
        <v>0</v>
      </c>
      <c r="CK1169" s="552">
        <f t="shared" si="4097"/>
        <v>0</v>
      </c>
      <c r="CL1169" s="552">
        <f t="shared" si="4097"/>
        <v>0</v>
      </c>
      <c r="CM1169" s="552">
        <f t="shared" si="4097"/>
        <v>0</v>
      </c>
      <c r="CN1169" s="552">
        <f t="shared" si="4097"/>
        <v>0</v>
      </c>
      <c r="CO1169" s="552">
        <f t="shared" si="4097"/>
        <v>0</v>
      </c>
      <c r="CP1169" s="552">
        <f t="shared" si="4097"/>
        <v>0</v>
      </c>
      <c r="CQ1169" s="552">
        <f t="shared" si="4097"/>
        <v>0</v>
      </c>
      <c r="CR1169" s="552">
        <f t="shared" si="4097"/>
        <v>0</v>
      </c>
      <c r="CS1169" s="552">
        <f t="shared" si="4097"/>
        <v>0</v>
      </c>
      <c r="CT1169" s="552">
        <f t="shared" si="4097"/>
        <v>0</v>
      </c>
      <c r="CU1169" s="552">
        <f t="shared" si="4097"/>
        <v>0</v>
      </c>
      <c r="CV1169" s="552">
        <f t="shared" si="4097"/>
        <v>0</v>
      </c>
      <c r="CW1169" s="552">
        <f t="shared" si="4097"/>
        <v>0</v>
      </c>
      <c r="CX1169" s="552">
        <f t="shared" si="4097"/>
        <v>0</v>
      </c>
      <c r="CY1169" s="552">
        <f t="shared" si="4097"/>
        <v>0</v>
      </c>
      <c r="CZ1169" s="552">
        <f t="shared" si="4097"/>
        <v>0</v>
      </c>
      <c r="DA1169" s="552">
        <f t="shared" si="4097"/>
        <v>0</v>
      </c>
      <c r="DB1169" s="552">
        <f t="shared" ref="DB1169:EG1169" si="4098">DB213*DB$338</f>
        <v>0</v>
      </c>
      <c r="DC1169" s="552">
        <f t="shared" si="4098"/>
        <v>0</v>
      </c>
      <c r="DD1169" s="552">
        <f t="shared" si="4098"/>
        <v>0</v>
      </c>
      <c r="DE1169" s="552">
        <f t="shared" si="4098"/>
        <v>0</v>
      </c>
      <c r="DF1169" s="552">
        <f t="shared" si="4098"/>
        <v>0</v>
      </c>
      <c r="DG1169" s="552">
        <f t="shared" si="4098"/>
        <v>0</v>
      </c>
      <c r="DH1169" s="552">
        <f t="shared" si="4098"/>
        <v>0</v>
      </c>
      <c r="DI1169" s="552">
        <f t="shared" si="4098"/>
        <v>0</v>
      </c>
      <c r="DJ1169" s="552">
        <f t="shared" si="4098"/>
        <v>0</v>
      </c>
      <c r="DK1169" s="552">
        <f t="shared" si="4098"/>
        <v>0</v>
      </c>
      <c r="DL1169" s="552">
        <f t="shared" si="4098"/>
        <v>0</v>
      </c>
      <c r="DM1169" s="552">
        <f t="shared" si="4098"/>
        <v>0</v>
      </c>
      <c r="DN1169" s="552">
        <f t="shared" si="4098"/>
        <v>0</v>
      </c>
      <c r="DO1169" s="552">
        <f t="shared" si="4098"/>
        <v>0</v>
      </c>
      <c r="DP1169" s="552">
        <f t="shared" si="4098"/>
        <v>0</v>
      </c>
      <c r="DQ1169" s="552">
        <f t="shared" si="4098"/>
        <v>0</v>
      </c>
      <c r="DR1169" s="552">
        <f t="shared" si="4098"/>
        <v>0</v>
      </c>
      <c r="DS1169" s="552">
        <f t="shared" si="4098"/>
        <v>0</v>
      </c>
      <c r="DT1169" s="552">
        <f t="shared" si="4098"/>
        <v>0</v>
      </c>
      <c r="DU1169" s="552">
        <f t="shared" si="4098"/>
        <v>0</v>
      </c>
      <c r="DV1169" s="552">
        <f t="shared" si="4098"/>
        <v>0</v>
      </c>
      <c r="DW1169" s="552">
        <f t="shared" si="4098"/>
        <v>0</v>
      </c>
      <c r="DX1169" s="552">
        <f t="shared" si="4098"/>
        <v>0</v>
      </c>
      <c r="DY1169" s="552">
        <f t="shared" si="4098"/>
        <v>0</v>
      </c>
      <c r="DZ1169" s="552">
        <f t="shared" si="4098"/>
        <v>0</v>
      </c>
      <c r="EA1169" s="552">
        <f t="shared" si="4098"/>
        <v>0</v>
      </c>
      <c r="EB1169" s="552">
        <f t="shared" si="4098"/>
        <v>0</v>
      </c>
      <c r="EC1169" s="552">
        <f t="shared" si="4098"/>
        <v>0</v>
      </c>
      <c r="ED1169" s="552">
        <f t="shared" si="4098"/>
        <v>0</v>
      </c>
      <c r="EE1169" s="552">
        <f t="shared" si="4098"/>
        <v>0</v>
      </c>
      <c r="EF1169" s="552">
        <f t="shared" si="4098"/>
        <v>0</v>
      </c>
      <c r="EG1169" s="552">
        <f t="shared" si="4098"/>
        <v>0</v>
      </c>
      <c r="EH1169" s="552">
        <f t="shared" ref="EH1169:EX1169" si="4099">EH213*EH$338</f>
        <v>0</v>
      </c>
      <c r="EI1169" s="552">
        <f t="shared" si="4099"/>
        <v>0</v>
      </c>
      <c r="EJ1169" s="552">
        <f t="shared" si="4099"/>
        <v>0</v>
      </c>
      <c r="EK1169" s="552">
        <f t="shared" si="4099"/>
        <v>0</v>
      </c>
      <c r="EL1169" s="552">
        <f t="shared" si="4099"/>
        <v>0</v>
      </c>
      <c r="EM1169" s="552">
        <f t="shared" si="4099"/>
        <v>0</v>
      </c>
      <c r="EN1169" s="552">
        <f t="shared" si="4099"/>
        <v>0</v>
      </c>
      <c r="EO1169" s="552">
        <f t="shared" si="4099"/>
        <v>0</v>
      </c>
      <c r="EP1169" s="552">
        <f t="shared" si="4099"/>
        <v>0</v>
      </c>
      <c r="EQ1169" s="552">
        <f t="shared" si="4099"/>
        <v>0</v>
      </c>
      <c r="ER1169" s="552">
        <f t="shared" si="4099"/>
        <v>0</v>
      </c>
      <c r="ES1169" s="552">
        <f t="shared" si="4099"/>
        <v>0</v>
      </c>
      <c r="ET1169" s="552">
        <f t="shared" si="4099"/>
        <v>0</v>
      </c>
      <c r="EU1169" s="552">
        <f t="shared" si="4099"/>
        <v>0</v>
      </c>
      <c r="EV1169" s="552">
        <f t="shared" si="4099"/>
        <v>0</v>
      </c>
      <c r="EW1169" s="552">
        <f t="shared" si="4099"/>
        <v>1.95</v>
      </c>
      <c r="EX1169" s="552">
        <f t="shared" si="4099"/>
        <v>0</v>
      </c>
      <c r="EY1169" s="799">
        <f t="shared" si="3876"/>
        <v>1.95</v>
      </c>
      <c r="EZ1169" s="640"/>
      <c r="FA1169" s="640"/>
      <c r="FB1169" s="640"/>
      <c r="FC1169" s="640"/>
      <c r="FD1169" s="640"/>
      <c r="FE1169" s="640"/>
      <c r="FF1169" s="640"/>
      <c r="FG1169" s="640"/>
      <c r="FH1169" s="640"/>
      <c r="FI1169" s="640"/>
      <c r="FJ1169" s="640"/>
      <c r="FK1169" s="640"/>
      <c r="FL1169" s="640"/>
    </row>
    <row r="1170" spans="1:168" x14ac:dyDescent="0.25">
      <c r="A1170" s="1492"/>
      <c r="B1170" s="624">
        <f t="shared" si="4063"/>
        <v>0</v>
      </c>
      <c r="C1170" s="624">
        <f t="shared" si="4063"/>
        <v>0</v>
      </c>
      <c r="D1170" s="624">
        <f t="shared" si="4063"/>
        <v>0</v>
      </c>
      <c r="E1170" s="1158">
        <f t="shared" si="4064"/>
        <v>0</v>
      </c>
      <c r="F1170" s="1158"/>
      <c r="G1170" s="1140"/>
      <c r="H1170" s="1140"/>
      <c r="I1170" s="552"/>
      <c r="J1170" s="552">
        <f t="shared" ref="J1170:AO1170" si="4100">J214*J$338</f>
        <v>0</v>
      </c>
      <c r="K1170" s="552">
        <f t="shared" si="4100"/>
        <v>0</v>
      </c>
      <c r="L1170" s="552">
        <f t="shared" si="4100"/>
        <v>0</v>
      </c>
      <c r="M1170" s="552">
        <f t="shared" si="4100"/>
        <v>0</v>
      </c>
      <c r="N1170" s="552">
        <f t="shared" si="4100"/>
        <v>0</v>
      </c>
      <c r="O1170" s="552">
        <f t="shared" si="4100"/>
        <v>0</v>
      </c>
      <c r="P1170" s="552">
        <f t="shared" si="4100"/>
        <v>0</v>
      </c>
      <c r="Q1170" s="552">
        <f t="shared" si="4100"/>
        <v>0</v>
      </c>
      <c r="R1170" s="552">
        <f t="shared" si="4100"/>
        <v>0</v>
      </c>
      <c r="S1170" s="552">
        <f t="shared" si="4100"/>
        <v>0</v>
      </c>
      <c r="T1170" s="552">
        <f t="shared" si="4100"/>
        <v>0</v>
      </c>
      <c r="U1170" s="552">
        <f t="shared" si="4100"/>
        <v>0</v>
      </c>
      <c r="V1170" s="552">
        <f t="shared" si="4100"/>
        <v>0</v>
      </c>
      <c r="W1170" s="552">
        <f t="shared" si="4100"/>
        <v>0</v>
      </c>
      <c r="X1170" s="552">
        <f t="shared" si="4100"/>
        <v>0</v>
      </c>
      <c r="Y1170" s="552">
        <f t="shared" si="4100"/>
        <v>0</v>
      </c>
      <c r="Z1170" s="552">
        <f t="shared" si="4100"/>
        <v>0</v>
      </c>
      <c r="AA1170" s="552">
        <f t="shared" si="4100"/>
        <v>0</v>
      </c>
      <c r="AB1170" s="552">
        <f t="shared" si="4100"/>
        <v>0</v>
      </c>
      <c r="AC1170" s="552">
        <f t="shared" si="4100"/>
        <v>0</v>
      </c>
      <c r="AD1170" s="552">
        <f t="shared" si="4100"/>
        <v>0</v>
      </c>
      <c r="AE1170" s="552">
        <f t="shared" si="4100"/>
        <v>0</v>
      </c>
      <c r="AF1170" s="552">
        <f t="shared" si="4100"/>
        <v>0</v>
      </c>
      <c r="AG1170" s="552">
        <f t="shared" si="4100"/>
        <v>0</v>
      </c>
      <c r="AH1170" s="552">
        <f t="shared" si="4100"/>
        <v>0</v>
      </c>
      <c r="AI1170" s="552">
        <f t="shared" si="4100"/>
        <v>0</v>
      </c>
      <c r="AJ1170" s="552">
        <f t="shared" si="4100"/>
        <v>0</v>
      </c>
      <c r="AK1170" s="552">
        <f t="shared" si="4100"/>
        <v>0</v>
      </c>
      <c r="AL1170" s="552">
        <f t="shared" si="4100"/>
        <v>0</v>
      </c>
      <c r="AM1170" s="552">
        <f t="shared" si="4100"/>
        <v>0</v>
      </c>
      <c r="AN1170" s="552">
        <f t="shared" si="4100"/>
        <v>0</v>
      </c>
      <c r="AO1170" s="552">
        <f t="shared" si="4100"/>
        <v>0</v>
      </c>
      <c r="AP1170" s="552">
        <f t="shared" ref="AP1170:BU1170" si="4101">AP214*AP$338</f>
        <v>0</v>
      </c>
      <c r="AQ1170" s="552">
        <f t="shared" si="4101"/>
        <v>0</v>
      </c>
      <c r="AR1170" s="552">
        <f t="shared" si="4101"/>
        <v>0</v>
      </c>
      <c r="AS1170" s="552">
        <f t="shared" si="4101"/>
        <v>0</v>
      </c>
      <c r="AT1170" s="552">
        <f t="shared" si="4101"/>
        <v>0</v>
      </c>
      <c r="AU1170" s="552">
        <f t="shared" si="4101"/>
        <v>0</v>
      </c>
      <c r="AV1170" s="552">
        <f t="shared" si="4101"/>
        <v>0</v>
      </c>
      <c r="AW1170" s="552">
        <f t="shared" si="4101"/>
        <v>0</v>
      </c>
      <c r="AX1170" s="552">
        <f t="shared" si="4101"/>
        <v>0</v>
      </c>
      <c r="AY1170" s="552">
        <f t="shared" si="4101"/>
        <v>0</v>
      </c>
      <c r="AZ1170" s="552">
        <f t="shared" si="4101"/>
        <v>0</v>
      </c>
      <c r="BA1170" s="552">
        <f t="shared" si="4101"/>
        <v>0</v>
      </c>
      <c r="BB1170" s="552">
        <f t="shared" si="4101"/>
        <v>0</v>
      </c>
      <c r="BC1170" s="552">
        <f t="shared" si="4101"/>
        <v>0</v>
      </c>
      <c r="BD1170" s="552">
        <f t="shared" si="4101"/>
        <v>0</v>
      </c>
      <c r="BE1170" s="552">
        <f t="shared" si="4101"/>
        <v>0</v>
      </c>
      <c r="BF1170" s="552">
        <f t="shared" si="4101"/>
        <v>0</v>
      </c>
      <c r="BG1170" s="552">
        <f t="shared" si="4101"/>
        <v>0</v>
      </c>
      <c r="BH1170" s="552">
        <f t="shared" si="4101"/>
        <v>0</v>
      </c>
      <c r="BI1170" s="552">
        <f t="shared" si="4101"/>
        <v>0</v>
      </c>
      <c r="BJ1170" s="552">
        <f t="shared" si="4101"/>
        <v>0</v>
      </c>
      <c r="BK1170" s="552">
        <f t="shared" si="4101"/>
        <v>0</v>
      </c>
      <c r="BL1170" s="552">
        <f t="shared" si="4101"/>
        <v>0</v>
      </c>
      <c r="BM1170" s="552">
        <f t="shared" si="4101"/>
        <v>0</v>
      </c>
      <c r="BN1170" s="552">
        <f t="shared" si="4101"/>
        <v>0</v>
      </c>
      <c r="BO1170" s="552">
        <f t="shared" si="4101"/>
        <v>0</v>
      </c>
      <c r="BP1170" s="552">
        <f t="shared" si="4101"/>
        <v>0</v>
      </c>
      <c r="BQ1170" s="552">
        <f t="shared" si="4101"/>
        <v>0</v>
      </c>
      <c r="BR1170" s="552">
        <f t="shared" si="4101"/>
        <v>0</v>
      </c>
      <c r="BS1170" s="552">
        <f t="shared" si="4101"/>
        <v>0</v>
      </c>
      <c r="BT1170" s="552">
        <f t="shared" si="4101"/>
        <v>0</v>
      </c>
      <c r="BU1170" s="552">
        <f t="shared" si="4101"/>
        <v>0</v>
      </c>
      <c r="BV1170" s="552">
        <f t="shared" ref="BV1170:DA1170" si="4102">BV214*BV$338</f>
        <v>0</v>
      </c>
      <c r="BW1170" s="552">
        <f t="shared" si="4102"/>
        <v>0</v>
      </c>
      <c r="BX1170" s="552">
        <f t="shared" si="4102"/>
        <v>0</v>
      </c>
      <c r="BY1170" s="552">
        <f t="shared" si="4102"/>
        <v>0</v>
      </c>
      <c r="BZ1170" s="552">
        <f t="shared" si="4102"/>
        <v>0</v>
      </c>
      <c r="CA1170" s="552">
        <f t="shared" si="4102"/>
        <v>0</v>
      </c>
      <c r="CB1170" s="552">
        <f t="shared" si="4102"/>
        <v>0</v>
      </c>
      <c r="CC1170" s="552">
        <f t="shared" si="4102"/>
        <v>0</v>
      </c>
      <c r="CD1170" s="552">
        <f t="shared" si="4102"/>
        <v>0</v>
      </c>
      <c r="CE1170" s="552">
        <f t="shared" si="4102"/>
        <v>0</v>
      </c>
      <c r="CF1170" s="552">
        <f t="shared" si="4102"/>
        <v>0</v>
      </c>
      <c r="CG1170" s="552">
        <f t="shared" si="4102"/>
        <v>0</v>
      </c>
      <c r="CH1170" s="552">
        <f t="shared" si="4102"/>
        <v>0</v>
      </c>
      <c r="CI1170" s="552">
        <f t="shared" si="4102"/>
        <v>0</v>
      </c>
      <c r="CJ1170" s="552">
        <f t="shared" si="4102"/>
        <v>0</v>
      </c>
      <c r="CK1170" s="552">
        <f t="shared" si="4102"/>
        <v>0</v>
      </c>
      <c r="CL1170" s="552">
        <f t="shared" si="4102"/>
        <v>0</v>
      </c>
      <c r="CM1170" s="552">
        <f t="shared" si="4102"/>
        <v>0</v>
      </c>
      <c r="CN1170" s="552">
        <f t="shared" si="4102"/>
        <v>0</v>
      </c>
      <c r="CO1170" s="552">
        <f t="shared" si="4102"/>
        <v>0</v>
      </c>
      <c r="CP1170" s="552">
        <f t="shared" si="4102"/>
        <v>0</v>
      </c>
      <c r="CQ1170" s="552">
        <f t="shared" si="4102"/>
        <v>0</v>
      </c>
      <c r="CR1170" s="552">
        <f t="shared" si="4102"/>
        <v>0</v>
      </c>
      <c r="CS1170" s="552">
        <f t="shared" si="4102"/>
        <v>0</v>
      </c>
      <c r="CT1170" s="552">
        <f t="shared" si="4102"/>
        <v>0</v>
      </c>
      <c r="CU1170" s="552">
        <f t="shared" si="4102"/>
        <v>0</v>
      </c>
      <c r="CV1170" s="552">
        <f t="shared" si="4102"/>
        <v>0</v>
      </c>
      <c r="CW1170" s="552">
        <f t="shared" si="4102"/>
        <v>0</v>
      </c>
      <c r="CX1170" s="552">
        <f t="shared" si="4102"/>
        <v>0</v>
      </c>
      <c r="CY1170" s="552">
        <f t="shared" si="4102"/>
        <v>0</v>
      </c>
      <c r="CZ1170" s="552">
        <f t="shared" si="4102"/>
        <v>0</v>
      </c>
      <c r="DA1170" s="552">
        <f t="shared" si="4102"/>
        <v>0</v>
      </c>
      <c r="DB1170" s="552">
        <f t="shared" ref="DB1170:EG1170" si="4103">DB214*DB$338</f>
        <v>0</v>
      </c>
      <c r="DC1170" s="552">
        <f t="shared" si="4103"/>
        <v>0</v>
      </c>
      <c r="DD1170" s="552">
        <f t="shared" si="4103"/>
        <v>0</v>
      </c>
      <c r="DE1170" s="552">
        <f t="shared" si="4103"/>
        <v>0</v>
      </c>
      <c r="DF1170" s="552">
        <f t="shared" si="4103"/>
        <v>0</v>
      </c>
      <c r="DG1170" s="552">
        <f t="shared" si="4103"/>
        <v>0</v>
      </c>
      <c r="DH1170" s="552">
        <f t="shared" si="4103"/>
        <v>0</v>
      </c>
      <c r="DI1170" s="552">
        <f t="shared" si="4103"/>
        <v>0</v>
      </c>
      <c r="DJ1170" s="552">
        <f t="shared" si="4103"/>
        <v>0</v>
      </c>
      <c r="DK1170" s="552">
        <f t="shared" si="4103"/>
        <v>0</v>
      </c>
      <c r="DL1170" s="552">
        <f t="shared" si="4103"/>
        <v>0</v>
      </c>
      <c r="DM1170" s="552">
        <f t="shared" si="4103"/>
        <v>0</v>
      </c>
      <c r="DN1170" s="552">
        <f t="shared" si="4103"/>
        <v>0</v>
      </c>
      <c r="DO1170" s="552">
        <f t="shared" si="4103"/>
        <v>0</v>
      </c>
      <c r="DP1170" s="552">
        <f t="shared" si="4103"/>
        <v>0</v>
      </c>
      <c r="DQ1170" s="552">
        <f t="shared" si="4103"/>
        <v>0</v>
      </c>
      <c r="DR1170" s="552">
        <f t="shared" si="4103"/>
        <v>0</v>
      </c>
      <c r="DS1170" s="552">
        <f t="shared" si="4103"/>
        <v>0</v>
      </c>
      <c r="DT1170" s="552">
        <f t="shared" si="4103"/>
        <v>0</v>
      </c>
      <c r="DU1170" s="552">
        <f t="shared" si="4103"/>
        <v>0</v>
      </c>
      <c r="DV1170" s="552">
        <f t="shared" si="4103"/>
        <v>0</v>
      </c>
      <c r="DW1170" s="552">
        <f t="shared" si="4103"/>
        <v>0</v>
      </c>
      <c r="DX1170" s="552">
        <f t="shared" si="4103"/>
        <v>0</v>
      </c>
      <c r="DY1170" s="552">
        <f t="shared" si="4103"/>
        <v>0</v>
      </c>
      <c r="DZ1170" s="552">
        <f t="shared" si="4103"/>
        <v>0</v>
      </c>
      <c r="EA1170" s="552">
        <f t="shared" si="4103"/>
        <v>0</v>
      </c>
      <c r="EB1170" s="552">
        <f t="shared" si="4103"/>
        <v>0</v>
      </c>
      <c r="EC1170" s="552">
        <f t="shared" si="4103"/>
        <v>0</v>
      </c>
      <c r="ED1170" s="552">
        <f t="shared" si="4103"/>
        <v>0</v>
      </c>
      <c r="EE1170" s="552">
        <f t="shared" si="4103"/>
        <v>0</v>
      </c>
      <c r="EF1170" s="552">
        <f t="shared" si="4103"/>
        <v>0</v>
      </c>
      <c r="EG1170" s="552">
        <f t="shared" si="4103"/>
        <v>0</v>
      </c>
      <c r="EH1170" s="552">
        <f t="shared" ref="EH1170:EX1170" si="4104">EH214*EH$338</f>
        <v>0</v>
      </c>
      <c r="EI1170" s="552">
        <f t="shared" si="4104"/>
        <v>0</v>
      </c>
      <c r="EJ1170" s="552">
        <f t="shared" si="4104"/>
        <v>0</v>
      </c>
      <c r="EK1170" s="552">
        <f t="shared" si="4104"/>
        <v>0</v>
      </c>
      <c r="EL1170" s="552">
        <f t="shared" si="4104"/>
        <v>0</v>
      </c>
      <c r="EM1170" s="552">
        <f t="shared" si="4104"/>
        <v>0</v>
      </c>
      <c r="EN1170" s="552">
        <f t="shared" si="4104"/>
        <v>0</v>
      </c>
      <c r="EO1170" s="552">
        <f t="shared" si="4104"/>
        <v>0</v>
      </c>
      <c r="EP1170" s="552">
        <f t="shared" si="4104"/>
        <v>0</v>
      </c>
      <c r="EQ1170" s="552">
        <f t="shared" si="4104"/>
        <v>0</v>
      </c>
      <c r="ER1170" s="552">
        <f t="shared" si="4104"/>
        <v>0</v>
      </c>
      <c r="ES1170" s="552">
        <f t="shared" si="4104"/>
        <v>0</v>
      </c>
      <c r="ET1170" s="552">
        <f t="shared" si="4104"/>
        <v>0</v>
      </c>
      <c r="EU1170" s="552">
        <f t="shared" si="4104"/>
        <v>0</v>
      </c>
      <c r="EV1170" s="552">
        <f t="shared" si="4104"/>
        <v>0</v>
      </c>
      <c r="EW1170" s="552">
        <f t="shared" si="4104"/>
        <v>0</v>
      </c>
      <c r="EX1170" s="552">
        <f t="shared" si="4104"/>
        <v>0</v>
      </c>
      <c r="EY1170" s="799">
        <f t="shared" si="3876"/>
        <v>0</v>
      </c>
      <c r="EZ1170" s="640"/>
      <c r="FA1170" s="640"/>
      <c r="FB1170" s="640"/>
      <c r="FC1170" s="640"/>
      <c r="FD1170" s="640"/>
      <c r="FE1170" s="640"/>
      <c r="FF1170" s="640"/>
      <c r="FG1170" s="640"/>
      <c r="FH1170" s="640"/>
      <c r="FI1170" s="640"/>
      <c r="FJ1170" s="640"/>
      <c r="FK1170" s="640"/>
      <c r="FL1170" s="640"/>
    </row>
    <row r="1171" spans="1:168" x14ac:dyDescent="0.25">
      <c r="A1171" s="1493"/>
      <c r="B1171" s="624">
        <f t="shared" si="4063"/>
        <v>0</v>
      </c>
      <c r="C1171" s="624">
        <f t="shared" si="4063"/>
        <v>0</v>
      </c>
      <c r="D1171" s="624">
        <f t="shared" si="4063"/>
        <v>0</v>
      </c>
      <c r="E1171" s="1158">
        <f t="shared" si="4064"/>
        <v>0</v>
      </c>
      <c r="F1171" s="1158"/>
      <c r="G1171" s="1140"/>
      <c r="H1171" s="1140"/>
      <c r="I1171" s="552"/>
      <c r="J1171" s="552">
        <f>J215*J$338</f>
        <v>0</v>
      </c>
      <c r="K1171" s="552">
        <f t="shared" ref="K1171:BV1171" si="4105">K215*K$338</f>
        <v>0</v>
      </c>
      <c r="L1171" s="552">
        <f t="shared" si="4105"/>
        <v>0</v>
      </c>
      <c r="M1171" s="552">
        <f t="shared" si="4105"/>
        <v>0</v>
      </c>
      <c r="N1171" s="552">
        <f t="shared" si="4105"/>
        <v>0</v>
      </c>
      <c r="O1171" s="552">
        <f t="shared" si="4105"/>
        <v>0</v>
      </c>
      <c r="P1171" s="552">
        <f t="shared" si="4105"/>
        <v>0</v>
      </c>
      <c r="Q1171" s="552">
        <f t="shared" si="4105"/>
        <v>0</v>
      </c>
      <c r="R1171" s="552">
        <f t="shared" si="4105"/>
        <v>0</v>
      </c>
      <c r="S1171" s="552">
        <f t="shared" si="4105"/>
        <v>0</v>
      </c>
      <c r="T1171" s="552">
        <f t="shared" si="4105"/>
        <v>0</v>
      </c>
      <c r="U1171" s="552">
        <f t="shared" si="4105"/>
        <v>0</v>
      </c>
      <c r="V1171" s="552">
        <f t="shared" si="4105"/>
        <v>0</v>
      </c>
      <c r="W1171" s="552">
        <f t="shared" si="4105"/>
        <v>0</v>
      </c>
      <c r="X1171" s="552">
        <f t="shared" si="4105"/>
        <v>0</v>
      </c>
      <c r="Y1171" s="552">
        <f t="shared" si="4105"/>
        <v>0</v>
      </c>
      <c r="Z1171" s="552">
        <f t="shared" si="4105"/>
        <v>0</v>
      </c>
      <c r="AA1171" s="552">
        <f t="shared" si="4105"/>
        <v>0</v>
      </c>
      <c r="AB1171" s="552">
        <f t="shared" si="4105"/>
        <v>0</v>
      </c>
      <c r="AC1171" s="552">
        <f t="shared" si="4105"/>
        <v>0</v>
      </c>
      <c r="AD1171" s="552">
        <f t="shared" si="4105"/>
        <v>0</v>
      </c>
      <c r="AE1171" s="552">
        <f t="shared" si="4105"/>
        <v>0</v>
      </c>
      <c r="AF1171" s="552">
        <f t="shared" si="4105"/>
        <v>0</v>
      </c>
      <c r="AG1171" s="552">
        <f t="shared" si="4105"/>
        <v>0</v>
      </c>
      <c r="AH1171" s="552">
        <f t="shared" si="4105"/>
        <v>0</v>
      </c>
      <c r="AI1171" s="552">
        <f t="shared" si="4105"/>
        <v>0</v>
      </c>
      <c r="AJ1171" s="552">
        <f t="shared" si="4105"/>
        <v>0</v>
      </c>
      <c r="AK1171" s="552">
        <f t="shared" si="4105"/>
        <v>0</v>
      </c>
      <c r="AL1171" s="552">
        <f t="shared" si="4105"/>
        <v>0</v>
      </c>
      <c r="AM1171" s="552">
        <f t="shared" si="4105"/>
        <v>0</v>
      </c>
      <c r="AN1171" s="552">
        <f t="shared" si="4105"/>
        <v>0</v>
      </c>
      <c r="AO1171" s="552">
        <f t="shared" si="4105"/>
        <v>0</v>
      </c>
      <c r="AP1171" s="552">
        <f t="shared" si="4105"/>
        <v>0</v>
      </c>
      <c r="AQ1171" s="552">
        <f t="shared" si="4105"/>
        <v>0</v>
      </c>
      <c r="AR1171" s="552">
        <f t="shared" si="4105"/>
        <v>0</v>
      </c>
      <c r="AS1171" s="552">
        <f t="shared" si="4105"/>
        <v>0</v>
      </c>
      <c r="AT1171" s="552">
        <f t="shared" si="4105"/>
        <v>0</v>
      </c>
      <c r="AU1171" s="552">
        <f t="shared" si="4105"/>
        <v>0</v>
      </c>
      <c r="AV1171" s="552">
        <f t="shared" si="4105"/>
        <v>0</v>
      </c>
      <c r="AW1171" s="552">
        <f t="shared" si="4105"/>
        <v>0</v>
      </c>
      <c r="AX1171" s="552">
        <f t="shared" si="4105"/>
        <v>0</v>
      </c>
      <c r="AY1171" s="552">
        <f t="shared" si="4105"/>
        <v>0</v>
      </c>
      <c r="AZ1171" s="552">
        <f t="shared" si="4105"/>
        <v>0</v>
      </c>
      <c r="BA1171" s="552">
        <f t="shared" si="4105"/>
        <v>0</v>
      </c>
      <c r="BB1171" s="552">
        <f t="shared" si="4105"/>
        <v>0</v>
      </c>
      <c r="BC1171" s="552">
        <f t="shared" si="4105"/>
        <v>0</v>
      </c>
      <c r="BD1171" s="552">
        <f t="shared" si="4105"/>
        <v>0</v>
      </c>
      <c r="BE1171" s="552">
        <f t="shared" si="4105"/>
        <v>0</v>
      </c>
      <c r="BF1171" s="552">
        <f t="shared" si="4105"/>
        <v>0</v>
      </c>
      <c r="BG1171" s="552">
        <f t="shared" si="4105"/>
        <v>0</v>
      </c>
      <c r="BH1171" s="552">
        <f t="shared" si="4105"/>
        <v>0</v>
      </c>
      <c r="BI1171" s="552">
        <f t="shared" si="4105"/>
        <v>0</v>
      </c>
      <c r="BJ1171" s="552">
        <f t="shared" si="4105"/>
        <v>0</v>
      </c>
      <c r="BK1171" s="552">
        <f t="shared" si="4105"/>
        <v>0</v>
      </c>
      <c r="BL1171" s="552">
        <f t="shared" si="4105"/>
        <v>0</v>
      </c>
      <c r="BM1171" s="552">
        <f t="shared" si="4105"/>
        <v>0</v>
      </c>
      <c r="BN1171" s="552">
        <f t="shared" si="4105"/>
        <v>0</v>
      </c>
      <c r="BO1171" s="552">
        <f t="shared" si="4105"/>
        <v>0</v>
      </c>
      <c r="BP1171" s="552">
        <f t="shared" si="4105"/>
        <v>0</v>
      </c>
      <c r="BQ1171" s="552">
        <f t="shared" si="4105"/>
        <v>0</v>
      </c>
      <c r="BR1171" s="552">
        <f t="shared" si="4105"/>
        <v>0</v>
      </c>
      <c r="BS1171" s="552">
        <f t="shared" si="4105"/>
        <v>0</v>
      </c>
      <c r="BT1171" s="552">
        <f t="shared" si="4105"/>
        <v>0</v>
      </c>
      <c r="BU1171" s="552">
        <f t="shared" si="4105"/>
        <v>0</v>
      </c>
      <c r="BV1171" s="552">
        <f t="shared" si="4105"/>
        <v>0</v>
      </c>
      <c r="BW1171" s="552">
        <f t="shared" ref="BW1171:DB1171" si="4106">BW215*BW$338</f>
        <v>0</v>
      </c>
      <c r="BX1171" s="552">
        <f t="shared" si="4106"/>
        <v>0</v>
      </c>
      <c r="BY1171" s="552">
        <f t="shared" si="4106"/>
        <v>0</v>
      </c>
      <c r="BZ1171" s="552">
        <f t="shared" si="4106"/>
        <v>0</v>
      </c>
      <c r="CA1171" s="552">
        <f t="shared" si="4106"/>
        <v>0</v>
      </c>
      <c r="CB1171" s="552">
        <f t="shared" si="4106"/>
        <v>0</v>
      </c>
      <c r="CC1171" s="552">
        <f t="shared" si="4106"/>
        <v>0</v>
      </c>
      <c r="CD1171" s="552">
        <f t="shared" si="4106"/>
        <v>0</v>
      </c>
      <c r="CE1171" s="552">
        <f t="shared" si="4106"/>
        <v>0</v>
      </c>
      <c r="CF1171" s="552">
        <f t="shared" si="4106"/>
        <v>0</v>
      </c>
      <c r="CG1171" s="552">
        <f t="shared" si="4106"/>
        <v>0</v>
      </c>
      <c r="CH1171" s="552">
        <f t="shared" si="4106"/>
        <v>0</v>
      </c>
      <c r="CI1171" s="552">
        <f t="shared" si="4106"/>
        <v>0</v>
      </c>
      <c r="CJ1171" s="552">
        <f t="shared" si="4106"/>
        <v>0</v>
      </c>
      <c r="CK1171" s="552">
        <f t="shared" si="4106"/>
        <v>0</v>
      </c>
      <c r="CL1171" s="552">
        <f t="shared" si="4106"/>
        <v>0</v>
      </c>
      <c r="CM1171" s="552">
        <f t="shared" si="4106"/>
        <v>0</v>
      </c>
      <c r="CN1171" s="552">
        <f t="shared" si="4106"/>
        <v>0</v>
      </c>
      <c r="CO1171" s="552">
        <f t="shared" si="4106"/>
        <v>0</v>
      </c>
      <c r="CP1171" s="552">
        <f t="shared" si="4106"/>
        <v>0</v>
      </c>
      <c r="CQ1171" s="552">
        <f t="shared" si="4106"/>
        <v>0</v>
      </c>
      <c r="CR1171" s="552">
        <f t="shared" si="4106"/>
        <v>0</v>
      </c>
      <c r="CS1171" s="552">
        <f t="shared" si="4106"/>
        <v>0</v>
      </c>
      <c r="CT1171" s="552">
        <f t="shared" si="4106"/>
        <v>0</v>
      </c>
      <c r="CU1171" s="552">
        <f t="shared" si="4106"/>
        <v>0</v>
      </c>
      <c r="CV1171" s="552">
        <f t="shared" si="4106"/>
        <v>0</v>
      </c>
      <c r="CW1171" s="552">
        <f t="shared" si="4106"/>
        <v>0</v>
      </c>
      <c r="CX1171" s="552">
        <f t="shared" si="4106"/>
        <v>0</v>
      </c>
      <c r="CY1171" s="552">
        <f t="shared" si="4106"/>
        <v>0</v>
      </c>
      <c r="CZ1171" s="552">
        <f t="shared" si="4106"/>
        <v>0</v>
      </c>
      <c r="DA1171" s="552">
        <f t="shared" si="4106"/>
        <v>0</v>
      </c>
      <c r="DB1171" s="552">
        <f t="shared" si="4106"/>
        <v>0</v>
      </c>
      <c r="DC1171" s="552">
        <f t="shared" ref="DC1171:EH1171" si="4107">DC215*DC$338</f>
        <v>0</v>
      </c>
      <c r="DD1171" s="552">
        <f t="shared" si="4107"/>
        <v>0</v>
      </c>
      <c r="DE1171" s="552">
        <f t="shared" si="4107"/>
        <v>0</v>
      </c>
      <c r="DF1171" s="552">
        <f t="shared" si="4107"/>
        <v>0</v>
      </c>
      <c r="DG1171" s="552">
        <f t="shared" si="4107"/>
        <v>0</v>
      </c>
      <c r="DH1171" s="552">
        <f t="shared" si="4107"/>
        <v>0</v>
      </c>
      <c r="DI1171" s="552">
        <f t="shared" si="4107"/>
        <v>0</v>
      </c>
      <c r="DJ1171" s="552">
        <f t="shared" si="4107"/>
        <v>0</v>
      </c>
      <c r="DK1171" s="552">
        <f t="shared" si="4107"/>
        <v>0</v>
      </c>
      <c r="DL1171" s="552">
        <f t="shared" si="4107"/>
        <v>0</v>
      </c>
      <c r="DM1171" s="552">
        <f t="shared" si="4107"/>
        <v>0</v>
      </c>
      <c r="DN1171" s="552">
        <f t="shared" si="4107"/>
        <v>0</v>
      </c>
      <c r="DO1171" s="552">
        <f t="shared" si="4107"/>
        <v>0</v>
      </c>
      <c r="DP1171" s="552">
        <f t="shared" si="4107"/>
        <v>0</v>
      </c>
      <c r="DQ1171" s="552">
        <f t="shared" si="4107"/>
        <v>0</v>
      </c>
      <c r="DR1171" s="552">
        <f t="shared" si="4107"/>
        <v>0</v>
      </c>
      <c r="DS1171" s="552">
        <f t="shared" si="4107"/>
        <v>0</v>
      </c>
      <c r="DT1171" s="552">
        <f t="shared" si="4107"/>
        <v>0</v>
      </c>
      <c r="DU1171" s="552">
        <f t="shared" si="4107"/>
        <v>0</v>
      </c>
      <c r="DV1171" s="552">
        <f t="shared" si="4107"/>
        <v>0</v>
      </c>
      <c r="DW1171" s="552">
        <f t="shared" si="4107"/>
        <v>0</v>
      </c>
      <c r="DX1171" s="552">
        <f t="shared" si="4107"/>
        <v>0</v>
      </c>
      <c r="DY1171" s="552">
        <f t="shared" si="4107"/>
        <v>0</v>
      </c>
      <c r="DZ1171" s="552">
        <f t="shared" si="4107"/>
        <v>0</v>
      </c>
      <c r="EA1171" s="552">
        <f t="shared" si="4107"/>
        <v>0</v>
      </c>
      <c r="EB1171" s="552">
        <f t="shared" si="4107"/>
        <v>0</v>
      </c>
      <c r="EC1171" s="552">
        <f t="shared" si="4107"/>
        <v>0</v>
      </c>
      <c r="ED1171" s="552">
        <f t="shared" si="4107"/>
        <v>0</v>
      </c>
      <c r="EE1171" s="552">
        <f t="shared" si="4107"/>
        <v>0</v>
      </c>
      <c r="EF1171" s="552">
        <f t="shared" si="4107"/>
        <v>0</v>
      </c>
      <c r="EG1171" s="552">
        <f t="shared" si="4107"/>
        <v>0</v>
      </c>
      <c r="EH1171" s="552">
        <f t="shared" si="4107"/>
        <v>0</v>
      </c>
      <c r="EI1171" s="552">
        <f t="shared" ref="EI1171:EX1171" si="4108">EI215*EI$338</f>
        <v>0</v>
      </c>
      <c r="EJ1171" s="552">
        <f t="shared" si="4108"/>
        <v>0</v>
      </c>
      <c r="EK1171" s="552">
        <f t="shared" si="4108"/>
        <v>0</v>
      </c>
      <c r="EL1171" s="552">
        <f t="shared" si="4108"/>
        <v>0</v>
      </c>
      <c r="EM1171" s="552">
        <f t="shared" si="4108"/>
        <v>0</v>
      </c>
      <c r="EN1171" s="552">
        <f t="shared" si="4108"/>
        <v>0</v>
      </c>
      <c r="EO1171" s="552">
        <f t="shared" si="4108"/>
        <v>0</v>
      </c>
      <c r="EP1171" s="552">
        <f t="shared" si="4108"/>
        <v>0</v>
      </c>
      <c r="EQ1171" s="552">
        <f t="shared" si="4108"/>
        <v>0</v>
      </c>
      <c r="ER1171" s="552">
        <f t="shared" si="4108"/>
        <v>0</v>
      </c>
      <c r="ES1171" s="552">
        <f t="shared" si="4108"/>
        <v>0</v>
      </c>
      <c r="ET1171" s="552">
        <f t="shared" si="4108"/>
        <v>0</v>
      </c>
      <c r="EU1171" s="552">
        <f t="shared" si="4108"/>
        <v>0</v>
      </c>
      <c r="EV1171" s="552">
        <f t="shared" si="4108"/>
        <v>0</v>
      </c>
      <c r="EW1171" s="552">
        <f t="shared" si="4108"/>
        <v>0</v>
      </c>
      <c r="EX1171" s="552">
        <f t="shared" si="4108"/>
        <v>0</v>
      </c>
      <c r="EY1171" s="799">
        <f t="shared" si="3876"/>
        <v>0</v>
      </c>
      <c r="EZ1171" s="640"/>
      <c r="FA1171" s="640"/>
      <c r="FB1171" s="640"/>
      <c r="FC1171" s="640"/>
      <c r="FD1171" s="640"/>
      <c r="FE1171" s="640"/>
      <c r="FF1171" s="640"/>
      <c r="FG1171" s="640"/>
      <c r="FH1171" s="640"/>
      <c r="FI1171" s="640"/>
      <c r="FJ1171" s="640"/>
      <c r="FK1171" s="640"/>
      <c r="FL1171" s="640"/>
    </row>
    <row r="1172" spans="1:168" x14ac:dyDescent="0.25">
      <c r="A1172" s="254">
        <v>0</v>
      </c>
      <c r="B1172" s="625" t="s">
        <v>113</v>
      </c>
      <c r="C1172" s="1135"/>
      <c r="D1172" s="1138">
        <f>SUM(D1163:D1171)</f>
        <v>36.24</v>
      </c>
      <c r="E1172" s="1138">
        <f t="shared" ref="E1172:J1172" si="4109">SUM(E1163:E1171)</f>
        <v>129.65</v>
      </c>
      <c r="F1172" s="1138"/>
      <c r="G1172" s="1138">
        <f t="shared" si="4109"/>
        <v>0</v>
      </c>
      <c r="H1172" s="1138">
        <f t="shared" si="4109"/>
        <v>0</v>
      </c>
      <c r="I1172" s="554"/>
      <c r="J1172" s="1138">
        <f t="shared" si="4109"/>
        <v>84</v>
      </c>
      <c r="K1172" s="1138">
        <f t="shared" ref="K1172" si="4110">SUM(K1163:K1171)</f>
        <v>0</v>
      </c>
      <c r="L1172" s="1138">
        <f t="shared" ref="L1172" si="4111">SUM(L1163:L1171)</f>
        <v>0</v>
      </c>
      <c r="M1172" s="1138">
        <f t="shared" ref="M1172" si="4112">SUM(M1163:M1171)</f>
        <v>0</v>
      </c>
      <c r="N1172" s="1138">
        <f t="shared" ref="N1172" si="4113">SUM(N1163:N1171)</f>
        <v>0</v>
      </c>
      <c r="O1172" s="1138">
        <f t="shared" ref="O1172" si="4114">SUM(O1163:O1171)</f>
        <v>0</v>
      </c>
      <c r="P1172" s="1138">
        <f t="shared" ref="P1172" si="4115">SUM(P1163:P1171)</f>
        <v>0</v>
      </c>
      <c r="Q1172" s="1138">
        <f t="shared" ref="Q1172" si="4116">SUM(Q1163:Q1171)</f>
        <v>0</v>
      </c>
      <c r="R1172" s="1138">
        <f t="shared" ref="R1172" si="4117">SUM(R1163:R1171)</f>
        <v>0</v>
      </c>
      <c r="S1172" s="1138">
        <f t="shared" ref="S1172" si="4118">SUM(S1163:S1171)</f>
        <v>0</v>
      </c>
      <c r="T1172" s="1138">
        <f t="shared" ref="T1172" si="4119">SUM(T1163:T1171)</f>
        <v>0</v>
      </c>
      <c r="U1172" s="1138">
        <f t="shared" ref="U1172" si="4120">SUM(U1163:U1171)</f>
        <v>0</v>
      </c>
      <c r="V1172" s="1138">
        <f t="shared" ref="V1172" si="4121">SUM(V1163:V1171)</f>
        <v>3.73</v>
      </c>
      <c r="W1172" s="1138">
        <f t="shared" ref="W1172" si="4122">SUM(W1163:W1171)</f>
        <v>0</v>
      </c>
      <c r="X1172" s="1138">
        <f t="shared" ref="X1172" si="4123">SUM(X1163:X1171)</f>
        <v>0</v>
      </c>
      <c r="Y1172" s="1138">
        <f t="shared" ref="Y1172" si="4124">SUM(Y1163:Y1171)</f>
        <v>6.08</v>
      </c>
      <c r="Z1172" s="1138">
        <f t="shared" ref="Z1172" si="4125">SUM(Z1163:Z1171)</f>
        <v>0</v>
      </c>
      <c r="AA1172" s="1138">
        <f t="shared" ref="AA1172" si="4126">SUM(AA1163:AA1171)</f>
        <v>0</v>
      </c>
      <c r="AB1172" s="1138">
        <f t="shared" ref="AB1172" si="4127">SUM(AB1163:AB1171)</f>
        <v>0</v>
      </c>
      <c r="AC1172" s="1138">
        <f t="shared" ref="AC1172" si="4128">SUM(AC1163:AC1171)</f>
        <v>0</v>
      </c>
      <c r="AD1172" s="1138">
        <f t="shared" ref="AD1172" si="4129">SUM(AD1163:AD1171)</f>
        <v>0</v>
      </c>
      <c r="AE1172" s="1138">
        <f t="shared" ref="AE1172" si="4130">SUM(AE1163:AE1171)</f>
        <v>0</v>
      </c>
      <c r="AF1172" s="1138">
        <f t="shared" ref="AF1172" si="4131">SUM(AF1163:AF1171)</f>
        <v>1.33</v>
      </c>
      <c r="AG1172" s="1138">
        <f t="shared" ref="AG1172" si="4132">SUM(AG1163:AG1171)</f>
        <v>0</v>
      </c>
      <c r="AH1172" s="1138">
        <f t="shared" ref="AH1172" si="4133">SUM(AH1163:AH1171)</f>
        <v>1.34</v>
      </c>
      <c r="AI1172" s="1138">
        <f t="shared" ref="AI1172" si="4134">SUM(AI1163:AI1171)</f>
        <v>0</v>
      </c>
      <c r="AJ1172" s="1138">
        <f t="shared" ref="AJ1172" si="4135">SUM(AJ1163:AJ1171)</f>
        <v>0</v>
      </c>
      <c r="AK1172" s="1138">
        <f t="shared" ref="AK1172" si="4136">SUM(AK1163:AK1171)</f>
        <v>1.45</v>
      </c>
      <c r="AL1172" s="1138">
        <f t="shared" ref="AL1172" si="4137">SUM(AL1163:AL1171)</f>
        <v>0.84</v>
      </c>
      <c r="AM1172" s="1138">
        <f t="shared" ref="AM1172" si="4138">SUM(AM1163:AM1171)</f>
        <v>0</v>
      </c>
      <c r="AN1172" s="1138">
        <f t="shared" ref="AN1172" si="4139">SUM(AN1163:AN1171)</f>
        <v>3.76</v>
      </c>
      <c r="AO1172" s="1138">
        <f t="shared" ref="AO1172" si="4140">SUM(AO1163:AO1171)</f>
        <v>1.9</v>
      </c>
      <c r="AP1172" s="1138">
        <f t="shared" ref="AP1172" si="4141">SUM(AP1163:AP1171)</f>
        <v>0</v>
      </c>
      <c r="AQ1172" s="1138">
        <f t="shared" ref="AQ1172" si="4142">SUM(AQ1163:AQ1171)</f>
        <v>0.63</v>
      </c>
      <c r="AR1172" s="1138">
        <f t="shared" ref="AR1172" si="4143">SUM(AR1163:AR1171)</f>
        <v>0</v>
      </c>
      <c r="AS1172" s="1138">
        <f t="shared" ref="AS1172" si="4144">SUM(AS1163:AS1171)</f>
        <v>0</v>
      </c>
      <c r="AT1172" s="1138">
        <f t="shared" ref="AT1172" si="4145">SUM(AT1163:AT1171)</f>
        <v>0.98</v>
      </c>
      <c r="AU1172" s="1138">
        <f t="shared" ref="AU1172" si="4146">SUM(AU1163:AU1171)</f>
        <v>1.44</v>
      </c>
      <c r="AV1172" s="1138">
        <f t="shared" ref="AV1172" si="4147">SUM(AV1163:AV1171)</f>
        <v>0</v>
      </c>
      <c r="AW1172" s="1138">
        <f t="shared" ref="AW1172" si="4148">SUM(AW1163:AW1171)</f>
        <v>0</v>
      </c>
      <c r="AX1172" s="1138">
        <f t="shared" ref="AX1172" si="4149">SUM(AX1163:AX1171)</f>
        <v>1.5</v>
      </c>
      <c r="AY1172" s="1138">
        <f t="shared" ref="AY1172" si="4150">SUM(AY1163:AY1171)</f>
        <v>0</v>
      </c>
      <c r="AZ1172" s="1138">
        <f t="shared" ref="AZ1172" si="4151">SUM(AZ1163:AZ1171)</f>
        <v>0</v>
      </c>
      <c r="BA1172" s="1138">
        <f t="shared" ref="BA1172" si="4152">SUM(BA1163:BA1171)</f>
        <v>0</v>
      </c>
      <c r="BB1172" s="1138">
        <f t="shared" ref="BB1172" si="4153">SUM(BB1163:BB1171)</f>
        <v>0</v>
      </c>
      <c r="BC1172" s="1138">
        <f t="shared" ref="BC1172" si="4154">SUM(BC1163:BC1171)</f>
        <v>0</v>
      </c>
      <c r="BD1172" s="1138">
        <f t="shared" ref="BD1172" si="4155">SUM(BD1163:BD1171)</f>
        <v>0</v>
      </c>
      <c r="BE1172" s="1138">
        <f t="shared" ref="BE1172" si="4156">SUM(BE1163:BE1171)</f>
        <v>0</v>
      </c>
      <c r="BF1172" s="1138">
        <f t="shared" ref="BF1172" si="4157">SUM(BF1163:BF1171)</f>
        <v>0</v>
      </c>
      <c r="BG1172" s="1138">
        <f t="shared" ref="BG1172" si="4158">SUM(BG1163:BG1171)</f>
        <v>0</v>
      </c>
      <c r="BH1172" s="1138">
        <f t="shared" ref="BH1172" si="4159">SUM(BH1163:BH1171)</f>
        <v>0</v>
      </c>
      <c r="BI1172" s="1138">
        <f t="shared" ref="BI1172" si="4160">SUM(BI1163:BI1171)</f>
        <v>0</v>
      </c>
      <c r="BJ1172" s="1138">
        <f t="shared" ref="BJ1172" si="4161">SUM(BJ1163:BJ1171)</f>
        <v>0</v>
      </c>
      <c r="BK1172" s="1138">
        <f t="shared" ref="BK1172" si="4162">SUM(BK1163:BK1171)</f>
        <v>0</v>
      </c>
      <c r="BL1172" s="1138">
        <f t="shared" ref="BL1172" si="4163">SUM(BL1163:BL1171)</f>
        <v>0</v>
      </c>
      <c r="BM1172" s="1138">
        <f t="shared" ref="BM1172" si="4164">SUM(BM1163:BM1171)</f>
        <v>0</v>
      </c>
      <c r="BN1172" s="1138">
        <f t="shared" ref="BN1172" si="4165">SUM(BN1163:BN1171)</f>
        <v>0</v>
      </c>
      <c r="BO1172" s="1138">
        <f t="shared" ref="BO1172" si="4166">SUM(BO1163:BO1171)</f>
        <v>0</v>
      </c>
      <c r="BP1172" s="1138">
        <f t="shared" ref="BP1172" si="4167">SUM(BP1163:BP1171)</f>
        <v>0</v>
      </c>
      <c r="BQ1172" s="1138">
        <f t="shared" ref="BQ1172" si="4168">SUM(BQ1163:BQ1171)</f>
        <v>0</v>
      </c>
      <c r="BR1172" s="1138">
        <f t="shared" ref="BR1172" si="4169">SUM(BR1163:BR1171)</f>
        <v>0</v>
      </c>
      <c r="BS1172" s="1138">
        <f t="shared" ref="BS1172" si="4170">SUM(BS1163:BS1171)</f>
        <v>0.2</v>
      </c>
      <c r="BT1172" s="1138">
        <f t="shared" ref="BT1172" si="4171">SUM(BT1163:BT1171)</f>
        <v>6.89</v>
      </c>
      <c r="BU1172" s="1138">
        <f t="shared" ref="BU1172" si="4172">SUM(BU1163:BU1171)</f>
        <v>0</v>
      </c>
      <c r="BV1172" s="1138">
        <f t="shared" ref="BV1172" si="4173">SUM(BV1163:BV1171)</f>
        <v>0</v>
      </c>
      <c r="BW1172" s="1138">
        <f t="shared" ref="BW1172" si="4174">SUM(BW1163:BW1171)</f>
        <v>0</v>
      </c>
      <c r="BX1172" s="1138">
        <f t="shared" ref="BX1172" si="4175">SUM(BX1163:BX1171)</f>
        <v>0</v>
      </c>
      <c r="BY1172" s="1138">
        <f t="shared" ref="BY1172" si="4176">SUM(BY1163:BY1171)</f>
        <v>0</v>
      </c>
      <c r="BZ1172" s="1138">
        <f t="shared" ref="BZ1172" si="4177">SUM(BZ1163:BZ1171)</f>
        <v>0</v>
      </c>
      <c r="CA1172" s="1138">
        <f t="shared" ref="CA1172" si="4178">SUM(CA1163:CA1171)</f>
        <v>0</v>
      </c>
      <c r="CB1172" s="1138">
        <f t="shared" ref="CB1172" si="4179">SUM(CB1163:CB1171)</f>
        <v>0</v>
      </c>
      <c r="CC1172" s="1138">
        <f t="shared" ref="CC1172" si="4180">SUM(CC1163:CC1171)</f>
        <v>0</v>
      </c>
      <c r="CD1172" s="1138">
        <f t="shared" ref="CD1172" si="4181">SUM(CD1163:CD1171)</f>
        <v>0</v>
      </c>
      <c r="CE1172" s="1138">
        <f t="shared" ref="CE1172" si="4182">SUM(CE1163:CE1171)</f>
        <v>0</v>
      </c>
      <c r="CF1172" s="1138">
        <f t="shared" ref="CF1172" si="4183">SUM(CF1163:CF1171)</f>
        <v>1.44</v>
      </c>
      <c r="CG1172" s="1138">
        <f t="shared" ref="CG1172" si="4184">SUM(CG1163:CG1171)</f>
        <v>0</v>
      </c>
      <c r="CH1172" s="1138">
        <f t="shared" ref="CH1172" si="4185">SUM(CH1163:CH1171)</f>
        <v>0</v>
      </c>
      <c r="CI1172" s="1138">
        <f t="shared" ref="CI1172" si="4186">SUM(CI1163:CI1171)</f>
        <v>0</v>
      </c>
      <c r="CJ1172" s="1138">
        <f t="shared" ref="CJ1172" si="4187">SUM(CJ1163:CJ1171)</f>
        <v>0</v>
      </c>
      <c r="CK1172" s="1138">
        <f t="shared" ref="CK1172" si="4188">SUM(CK1163:CK1171)</f>
        <v>0</v>
      </c>
      <c r="CL1172" s="1138">
        <f t="shared" ref="CL1172" si="4189">SUM(CL1163:CL1171)</f>
        <v>0</v>
      </c>
      <c r="CM1172" s="1138">
        <f t="shared" ref="CM1172" si="4190">SUM(CM1163:CM1171)</f>
        <v>0</v>
      </c>
      <c r="CN1172" s="1138">
        <f t="shared" ref="CN1172" si="4191">SUM(CN1163:CN1171)</f>
        <v>0</v>
      </c>
      <c r="CO1172" s="1138">
        <f t="shared" ref="CO1172" si="4192">SUM(CO1163:CO1171)</f>
        <v>0</v>
      </c>
      <c r="CP1172" s="1138">
        <f t="shared" ref="CP1172" si="4193">SUM(CP1163:CP1171)</f>
        <v>0</v>
      </c>
      <c r="CQ1172" s="1138">
        <f t="shared" ref="CQ1172" si="4194">SUM(CQ1163:CQ1171)</f>
        <v>0.06</v>
      </c>
      <c r="CR1172" s="1138">
        <f t="shared" ref="CR1172" si="4195">SUM(CR1163:CR1171)</f>
        <v>0</v>
      </c>
      <c r="CS1172" s="1138">
        <f t="shared" ref="CS1172" si="4196">SUM(CS1163:CS1171)</f>
        <v>0.03</v>
      </c>
      <c r="CT1172" s="1138">
        <f t="shared" ref="CT1172" si="4197">SUM(CT1163:CT1171)</f>
        <v>0</v>
      </c>
      <c r="CU1172" s="1138">
        <f t="shared" ref="CU1172" si="4198">SUM(CU1163:CU1171)</f>
        <v>0</v>
      </c>
      <c r="CV1172" s="1138">
        <f t="shared" ref="CV1172" si="4199">SUM(CV1163:CV1171)</f>
        <v>0</v>
      </c>
      <c r="CW1172" s="1138">
        <f t="shared" ref="CW1172" si="4200">SUM(CW1163:CW1171)</f>
        <v>0</v>
      </c>
      <c r="CX1172" s="1138">
        <f t="shared" ref="CX1172" si="4201">SUM(CX1163:CX1171)</f>
        <v>0</v>
      </c>
      <c r="CY1172" s="1138">
        <f t="shared" ref="CY1172" si="4202">SUM(CY1163:CY1171)</f>
        <v>0</v>
      </c>
      <c r="CZ1172" s="1138">
        <f t="shared" ref="CZ1172" si="4203">SUM(CZ1163:CZ1171)</f>
        <v>1.71</v>
      </c>
      <c r="DA1172" s="1138">
        <f t="shared" ref="DA1172" si="4204">SUM(DA1163:DA1171)</f>
        <v>0</v>
      </c>
      <c r="DB1172" s="1138">
        <f t="shared" ref="DB1172" si="4205">SUM(DB1163:DB1171)</f>
        <v>0</v>
      </c>
      <c r="DC1172" s="1138">
        <f t="shared" ref="DC1172" si="4206">SUM(DC1163:DC1171)</f>
        <v>0.23</v>
      </c>
      <c r="DD1172" s="1138">
        <f t="shared" ref="DD1172" si="4207">SUM(DD1163:DD1171)</f>
        <v>0</v>
      </c>
      <c r="DE1172" s="1138">
        <f t="shared" ref="DE1172" si="4208">SUM(DE1163:DE1171)</f>
        <v>2.6</v>
      </c>
      <c r="DF1172" s="1138">
        <f t="shared" ref="DF1172" si="4209">SUM(DF1163:DF1171)</f>
        <v>4.26</v>
      </c>
      <c r="DG1172" s="1138">
        <f t="shared" ref="DG1172" si="4210">SUM(DG1163:DG1171)</f>
        <v>0</v>
      </c>
      <c r="DH1172" s="1138">
        <f t="shared" ref="DH1172" si="4211">SUM(DH1163:DH1171)</f>
        <v>0</v>
      </c>
      <c r="DI1172" s="1138">
        <f t="shared" ref="DI1172" si="4212">SUM(DI1163:DI1171)</f>
        <v>0</v>
      </c>
      <c r="DJ1172" s="1138">
        <f t="shared" ref="DJ1172" si="4213">SUM(DJ1163:DJ1171)</f>
        <v>0</v>
      </c>
      <c r="DK1172" s="1138">
        <f t="shared" ref="DK1172" si="4214">SUM(DK1163:DK1171)</f>
        <v>0</v>
      </c>
      <c r="DL1172" s="1138">
        <f t="shared" ref="DL1172" si="4215">SUM(DL1163:DL1171)</f>
        <v>0</v>
      </c>
      <c r="DM1172" s="1138">
        <f t="shared" ref="DM1172" si="4216">SUM(DM1163:DM1171)</f>
        <v>0</v>
      </c>
      <c r="DN1172" s="1138">
        <f t="shared" ref="DN1172" si="4217">SUM(DN1163:DN1171)</f>
        <v>0</v>
      </c>
      <c r="DO1172" s="1138">
        <f t="shared" ref="DO1172" si="4218">SUM(DO1163:DO1171)</f>
        <v>0</v>
      </c>
      <c r="DP1172" s="1138">
        <f t="shared" ref="DP1172" si="4219">SUM(DP1163:DP1171)</f>
        <v>0</v>
      </c>
      <c r="DQ1172" s="1138">
        <f t="shared" ref="DQ1172" si="4220">SUM(DQ1163:DQ1171)</f>
        <v>0</v>
      </c>
      <c r="DR1172" s="1138">
        <f t="shared" ref="DR1172" si="4221">SUM(DR1163:DR1171)</f>
        <v>0</v>
      </c>
      <c r="DS1172" s="1138">
        <f t="shared" ref="DS1172" si="4222">SUM(DS1163:DS1171)</f>
        <v>0</v>
      </c>
      <c r="DT1172" s="1138">
        <f t="shared" ref="DT1172" si="4223">SUM(DT1163:DT1171)</f>
        <v>0</v>
      </c>
      <c r="DU1172" s="1138">
        <f t="shared" ref="DU1172" si="4224">SUM(DU1163:DU1171)</f>
        <v>0</v>
      </c>
      <c r="DV1172" s="1138">
        <f t="shared" ref="DV1172" si="4225">SUM(DV1163:DV1171)</f>
        <v>0</v>
      </c>
      <c r="DW1172" s="1138">
        <f t="shared" ref="DW1172" si="4226">SUM(DW1163:DW1171)</f>
        <v>0</v>
      </c>
      <c r="DX1172" s="1138">
        <f t="shared" ref="DX1172" si="4227">SUM(DX1163:DX1171)</f>
        <v>0</v>
      </c>
      <c r="DY1172" s="1138">
        <f t="shared" ref="DY1172" si="4228">SUM(DY1163:DY1171)</f>
        <v>0</v>
      </c>
      <c r="DZ1172" s="1138">
        <f t="shared" ref="DZ1172" si="4229">SUM(DZ1163:DZ1171)</f>
        <v>0</v>
      </c>
      <c r="EA1172" s="1138">
        <f t="shared" ref="EA1172" si="4230">SUM(EA1163:EA1171)</f>
        <v>0</v>
      </c>
      <c r="EB1172" s="1138">
        <f t="shared" ref="EB1172" si="4231">SUM(EB1163:EB1171)</f>
        <v>0</v>
      </c>
      <c r="EC1172" s="1138">
        <f t="shared" ref="EC1172" si="4232">SUM(EC1163:EC1171)</f>
        <v>0</v>
      </c>
      <c r="ED1172" s="1138">
        <f t="shared" ref="ED1172" si="4233">SUM(ED1163:ED1171)</f>
        <v>0</v>
      </c>
      <c r="EE1172" s="1138">
        <f t="shared" ref="EE1172" si="4234">SUM(EE1163:EE1171)</f>
        <v>0</v>
      </c>
      <c r="EF1172" s="1138">
        <f t="shared" ref="EF1172" si="4235">SUM(EF1163:EF1171)</f>
        <v>0</v>
      </c>
      <c r="EG1172" s="1138">
        <f t="shared" ref="EG1172" si="4236">SUM(EG1163:EG1171)</f>
        <v>0</v>
      </c>
      <c r="EH1172" s="1138">
        <f t="shared" ref="EH1172" si="4237">SUM(EH1163:EH1171)</f>
        <v>0</v>
      </c>
      <c r="EI1172" s="1138">
        <f t="shared" ref="EI1172" si="4238">SUM(EI1163:EI1171)</f>
        <v>0</v>
      </c>
      <c r="EJ1172" s="1138">
        <f t="shared" ref="EJ1172" si="4239">SUM(EJ1163:EJ1171)</f>
        <v>0</v>
      </c>
      <c r="EK1172" s="1138">
        <f t="shared" ref="EK1172" si="4240">SUM(EK1163:EK1171)</f>
        <v>0</v>
      </c>
      <c r="EL1172" s="1138">
        <f t="shared" ref="EL1172" si="4241">SUM(EL1163:EL1171)</f>
        <v>0</v>
      </c>
      <c r="EM1172" s="1138">
        <f t="shared" ref="EM1172" si="4242">SUM(EM1163:EM1171)</f>
        <v>0</v>
      </c>
      <c r="EN1172" s="1138">
        <f t="shared" ref="EN1172" si="4243">SUM(EN1163:EN1171)</f>
        <v>0</v>
      </c>
      <c r="EO1172" s="1138">
        <f t="shared" ref="EO1172" si="4244">SUM(EO1163:EO1171)</f>
        <v>0</v>
      </c>
      <c r="EP1172" s="1138">
        <f t="shared" ref="EP1172" si="4245">SUM(EP1163:EP1171)</f>
        <v>0</v>
      </c>
      <c r="EQ1172" s="1138">
        <f t="shared" ref="EQ1172" si="4246">SUM(EQ1163:EQ1171)</f>
        <v>0</v>
      </c>
      <c r="ER1172" s="1138">
        <f t="shared" ref="ER1172" si="4247">SUM(ER1163:ER1171)</f>
        <v>0</v>
      </c>
      <c r="ES1172" s="1138">
        <f t="shared" ref="ES1172" si="4248">SUM(ES1163:ES1171)</f>
        <v>0</v>
      </c>
      <c r="ET1172" s="1138">
        <f t="shared" ref="ET1172" si="4249">SUM(ET1163:ET1171)</f>
        <v>0</v>
      </c>
      <c r="EU1172" s="1138">
        <f t="shared" ref="EU1172" si="4250">SUM(EU1163:EU1171)</f>
        <v>0</v>
      </c>
      <c r="EV1172" s="1138">
        <f t="shared" ref="EV1172" si="4251">SUM(EV1163:EV1171)</f>
        <v>1.3</v>
      </c>
      <c r="EW1172" s="1138">
        <f t="shared" ref="EW1172" si="4252">SUM(EW1163:EW1171)</f>
        <v>1.95</v>
      </c>
      <c r="EX1172" s="1138">
        <f t="shared" ref="EX1172:FL1172" si="4253">SUM(EX1163:EX1171)</f>
        <v>0</v>
      </c>
      <c r="EY1172" s="1138">
        <f t="shared" si="4253"/>
        <v>129.65</v>
      </c>
      <c r="EZ1172" s="1138">
        <f t="shared" si="4253"/>
        <v>0</v>
      </c>
      <c r="FA1172" s="1138">
        <f t="shared" si="4253"/>
        <v>0</v>
      </c>
      <c r="FB1172" s="1138">
        <f t="shared" si="4253"/>
        <v>0</v>
      </c>
      <c r="FC1172" s="1138">
        <f t="shared" si="4253"/>
        <v>0</v>
      </c>
      <c r="FD1172" s="1138">
        <f t="shared" si="4253"/>
        <v>0</v>
      </c>
      <c r="FE1172" s="1138">
        <f t="shared" si="4253"/>
        <v>0</v>
      </c>
      <c r="FF1172" s="1138">
        <f t="shared" si="4253"/>
        <v>0</v>
      </c>
      <c r="FG1172" s="1138">
        <f t="shared" si="4253"/>
        <v>0</v>
      </c>
      <c r="FH1172" s="1138">
        <f t="shared" si="4253"/>
        <v>0</v>
      </c>
      <c r="FI1172" s="1138">
        <f t="shared" si="4253"/>
        <v>0</v>
      </c>
      <c r="FJ1172" s="1138">
        <f t="shared" si="4253"/>
        <v>0</v>
      </c>
      <c r="FK1172" s="1138">
        <f t="shared" si="4253"/>
        <v>0</v>
      </c>
      <c r="FL1172" s="1138">
        <f t="shared" si="4253"/>
        <v>0</v>
      </c>
    </row>
    <row r="1173" spans="1:168" x14ac:dyDescent="0.25">
      <c r="A1173" s="1491" t="s">
        <v>800</v>
      </c>
      <c r="B1173" s="624">
        <f t="shared" ref="B1173:D1177" si="4254">B217</f>
        <v>0</v>
      </c>
      <c r="C1173" s="624">
        <f t="shared" si="4254"/>
        <v>0</v>
      </c>
      <c r="D1173" s="624">
        <f t="shared" si="4254"/>
        <v>0</v>
      </c>
      <c r="E1173" s="1158">
        <f t="shared" ref="E1173:E1177" si="4255">EY1173</f>
        <v>0</v>
      </c>
      <c r="F1173" s="1158"/>
      <c r="G1173" s="1140"/>
      <c r="H1173" s="1140"/>
      <c r="I1173" s="552"/>
      <c r="J1173" s="552">
        <f t="shared" ref="J1173:AO1173" si="4256">J217*J$338</f>
        <v>0</v>
      </c>
      <c r="K1173" s="552">
        <f t="shared" si="4256"/>
        <v>0</v>
      </c>
      <c r="L1173" s="552">
        <f t="shared" si="4256"/>
        <v>0</v>
      </c>
      <c r="M1173" s="552">
        <f t="shared" si="4256"/>
        <v>0</v>
      </c>
      <c r="N1173" s="552">
        <f t="shared" si="4256"/>
        <v>0</v>
      </c>
      <c r="O1173" s="552">
        <f t="shared" si="4256"/>
        <v>0</v>
      </c>
      <c r="P1173" s="552">
        <f t="shared" si="4256"/>
        <v>0</v>
      </c>
      <c r="Q1173" s="552">
        <f t="shared" si="4256"/>
        <v>0</v>
      </c>
      <c r="R1173" s="552">
        <f t="shared" si="4256"/>
        <v>0</v>
      </c>
      <c r="S1173" s="552">
        <f t="shared" si="4256"/>
        <v>0</v>
      </c>
      <c r="T1173" s="552">
        <f t="shared" si="4256"/>
        <v>0</v>
      </c>
      <c r="U1173" s="552">
        <f t="shared" si="4256"/>
        <v>0</v>
      </c>
      <c r="V1173" s="552">
        <f t="shared" si="4256"/>
        <v>0</v>
      </c>
      <c r="W1173" s="552">
        <f t="shared" si="4256"/>
        <v>0</v>
      </c>
      <c r="X1173" s="552">
        <f t="shared" si="4256"/>
        <v>0</v>
      </c>
      <c r="Y1173" s="552">
        <f t="shared" si="4256"/>
        <v>0</v>
      </c>
      <c r="Z1173" s="552">
        <f t="shared" si="4256"/>
        <v>0</v>
      </c>
      <c r="AA1173" s="552">
        <f t="shared" si="4256"/>
        <v>0</v>
      </c>
      <c r="AB1173" s="552">
        <f t="shared" si="4256"/>
        <v>0</v>
      </c>
      <c r="AC1173" s="552">
        <f t="shared" si="4256"/>
        <v>0</v>
      </c>
      <c r="AD1173" s="552">
        <f t="shared" si="4256"/>
        <v>0</v>
      </c>
      <c r="AE1173" s="552">
        <f t="shared" si="4256"/>
        <v>0</v>
      </c>
      <c r="AF1173" s="552">
        <f t="shared" si="4256"/>
        <v>0</v>
      </c>
      <c r="AG1173" s="552">
        <f t="shared" si="4256"/>
        <v>0</v>
      </c>
      <c r="AH1173" s="552">
        <f t="shared" si="4256"/>
        <v>0</v>
      </c>
      <c r="AI1173" s="552">
        <f t="shared" si="4256"/>
        <v>0</v>
      </c>
      <c r="AJ1173" s="552">
        <f t="shared" si="4256"/>
        <v>0</v>
      </c>
      <c r="AK1173" s="552">
        <f t="shared" si="4256"/>
        <v>0</v>
      </c>
      <c r="AL1173" s="552">
        <f t="shared" si="4256"/>
        <v>0</v>
      </c>
      <c r="AM1173" s="552">
        <f t="shared" si="4256"/>
        <v>0</v>
      </c>
      <c r="AN1173" s="552">
        <f t="shared" si="4256"/>
        <v>0</v>
      </c>
      <c r="AO1173" s="552">
        <f t="shared" si="4256"/>
        <v>0</v>
      </c>
      <c r="AP1173" s="552">
        <f t="shared" ref="AP1173:BU1173" si="4257">AP217*AP$338</f>
        <v>0</v>
      </c>
      <c r="AQ1173" s="552">
        <f t="shared" si="4257"/>
        <v>0</v>
      </c>
      <c r="AR1173" s="552">
        <f t="shared" si="4257"/>
        <v>0</v>
      </c>
      <c r="AS1173" s="552">
        <f t="shared" si="4257"/>
        <v>0</v>
      </c>
      <c r="AT1173" s="552">
        <f t="shared" si="4257"/>
        <v>0</v>
      </c>
      <c r="AU1173" s="552">
        <f t="shared" si="4257"/>
        <v>0</v>
      </c>
      <c r="AV1173" s="552">
        <f t="shared" si="4257"/>
        <v>0</v>
      </c>
      <c r="AW1173" s="552">
        <f t="shared" si="4257"/>
        <v>0</v>
      </c>
      <c r="AX1173" s="552">
        <f t="shared" si="4257"/>
        <v>0</v>
      </c>
      <c r="AY1173" s="552">
        <f t="shared" si="4257"/>
        <v>0</v>
      </c>
      <c r="AZ1173" s="552">
        <f t="shared" si="4257"/>
        <v>0</v>
      </c>
      <c r="BA1173" s="552">
        <f t="shared" si="4257"/>
        <v>0</v>
      </c>
      <c r="BB1173" s="552">
        <f t="shared" si="4257"/>
        <v>0</v>
      </c>
      <c r="BC1173" s="552">
        <f t="shared" si="4257"/>
        <v>0</v>
      </c>
      <c r="BD1173" s="552">
        <f t="shared" si="4257"/>
        <v>0</v>
      </c>
      <c r="BE1173" s="552">
        <f t="shared" si="4257"/>
        <v>0</v>
      </c>
      <c r="BF1173" s="552">
        <f t="shared" si="4257"/>
        <v>0</v>
      </c>
      <c r="BG1173" s="552">
        <f t="shared" si="4257"/>
        <v>0</v>
      </c>
      <c r="BH1173" s="552">
        <f t="shared" si="4257"/>
        <v>0</v>
      </c>
      <c r="BI1173" s="552">
        <f t="shared" si="4257"/>
        <v>0</v>
      </c>
      <c r="BJ1173" s="552">
        <f t="shared" si="4257"/>
        <v>0</v>
      </c>
      <c r="BK1173" s="552">
        <f t="shared" si="4257"/>
        <v>0</v>
      </c>
      <c r="BL1173" s="552">
        <f t="shared" si="4257"/>
        <v>0</v>
      </c>
      <c r="BM1173" s="552">
        <f t="shared" si="4257"/>
        <v>0</v>
      </c>
      <c r="BN1173" s="552">
        <f t="shared" si="4257"/>
        <v>0</v>
      </c>
      <c r="BO1173" s="552">
        <f t="shared" si="4257"/>
        <v>0</v>
      </c>
      <c r="BP1173" s="552">
        <f t="shared" si="4257"/>
        <v>0</v>
      </c>
      <c r="BQ1173" s="552">
        <f t="shared" si="4257"/>
        <v>0</v>
      </c>
      <c r="BR1173" s="552">
        <f t="shared" si="4257"/>
        <v>0</v>
      </c>
      <c r="BS1173" s="552">
        <f t="shared" si="4257"/>
        <v>0</v>
      </c>
      <c r="BT1173" s="552">
        <f t="shared" si="4257"/>
        <v>0</v>
      </c>
      <c r="BU1173" s="552">
        <f t="shared" si="4257"/>
        <v>0</v>
      </c>
      <c r="BV1173" s="552">
        <f t="shared" ref="BV1173:DA1173" si="4258">BV217*BV$338</f>
        <v>0</v>
      </c>
      <c r="BW1173" s="552">
        <f t="shared" si="4258"/>
        <v>0</v>
      </c>
      <c r="BX1173" s="552">
        <f t="shared" si="4258"/>
        <v>0</v>
      </c>
      <c r="BY1173" s="552">
        <f t="shared" si="4258"/>
        <v>0</v>
      </c>
      <c r="BZ1173" s="552">
        <f t="shared" si="4258"/>
        <v>0</v>
      </c>
      <c r="CA1173" s="552">
        <f t="shared" si="4258"/>
        <v>0</v>
      </c>
      <c r="CB1173" s="552">
        <f t="shared" si="4258"/>
        <v>0</v>
      </c>
      <c r="CC1173" s="552">
        <f t="shared" si="4258"/>
        <v>0</v>
      </c>
      <c r="CD1173" s="552">
        <f t="shared" si="4258"/>
        <v>0</v>
      </c>
      <c r="CE1173" s="552">
        <f t="shared" si="4258"/>
        <v>0</v>
      </c>
      <c r="CF1173" s="552">
        <f t="shared" si="4258"/>
        <v>0</v>
      </c>
      <c r="CG1173" s="552">
        <f t="shared" si="4258"/>
        <v>0</v>
      </c>
      <c r="CH1173" s="552">
        <f t="shared" si="4258"/>
        <v>0</v>
      </c>
      <c r="CI1173" s="552">
        <f t="shared" si="4258"/>
        <v>0</v>
      </c>
      <c r="CJ1173" s="552">
        <f t="shared" si="4258"/>
        <v>0</v>
      </c>
      <c r="CK1173" s="552">
        <f t="shared" si="4258"/>
        <v>0</v>
      </c>
      <c r="CL1173" s="552">
        <f t="shared" si="4258"/>
        <v>0</v>
      </c>
      <c r="CM1173" s="552">
        <f t="shared" si="4258"/>
        <v>0</v>
      </c>
      <c r="CN1173" s="552">
        <f t="shared" si="4258"/>
        <v>0</v>
      </c>
      <c r="CO1173" s="552">
        <f t="shared" si="4258"/>
        <v>0</v>
      </c>
      <c r="CP1173" s="552">
        <f t="shared" si="4258"/>
        <v>0</v>
      </c>
      <c r="CQ1173" s="552">
        <f t="shared" si="4258"/>
        <v>0</v>
      </c>
      <c r="CR1173" s="552">
        <f t="shared" si="4258"/>
        <v>0</v>
      </c>
      <c r="CS1173" s="552">
        <f t="shared" si="4258"/>
        <v>0</v>
      </c>
      <c r="CT1173" s="552">
        <f t="shared" si="4258"/>
        <v>0</v>
      </c>
      <c r="CU1173" s="552">
        <f t="shared" si="4258"/>
        <v>0</v>
      </c>
      <c r="CV1173" s="552">
        <f t="shared" si="4258"/>
        <v>0</v>
      </c>
      <c r="CW1173" s="552">
        <f t="shared" si="4258"/>
        <v>0</v>
      </c>
      <c r="CX1173" s="552">
        <f t="shared" si="4258"/>
        <v>0</v>
      </c>
      <c r="CY1173" s="552">
        <f t="shared" si="4258"/>
        <v>0</v>
      </c>
      <c r="CZ1173" s="552">
        <f t="shared" si="4258"/>
        <v>0</v>
      </c>
      <c r="DA1173" s="552">
        <f t="shared" si="4258"/>
        <v>0</v>
      </c>
      <c r="DB1173" s="552">
        <f t="shared" ref="DB1173:EG1173" si="4259">DB217*DB$338</f>
        <v>0</v>
      </c>
      <c r="DC1173" s="552">
        <f t="shared" si="4259"/>
        <v>0</v>
      </c>
      <c r="DD1173" s="552">
        <f t="shared" si="4259"/>
        <v>0</v>
      </c>
      <c r="DE1173" s="552">
        <f t="shared" si="4259"/>
        <v>0</v>
      </c>
      <c r="DF1173" s="552">
        <f t="shared" si="4259"/>
        <v>0</v>
      </c>
      <c r="DG1173" s="552">
        <f t="shared" si="4259"/>
        <v>0</v>
      </c>
      <c r="DH1173" s="552">
        <f t="shared" si="4259"/>
        <v>0</v>
      </c>
      <c r="DI1173" s="552">
        <f t="shared" si="4259"/>
        <v>0</v>
      </c>
      <c r="DJ1173" s="552">
        <f t="shared" si="4259"/>
        <v>0</v>
      </c>
      <c r="DK1173" s="552">
        <f t="shared" si="4259"/>
        <v>0</v>
      </c>
      <c r="DL1173" s="552">
        <f t="shared" si="4259"/>
        <v>0</v>
      </c>
      <c r="DM1173" s="552">
        <f t="shared" si="4259"/>
        <v>0</v>
      </c>
      <c r="DN1173" s="552">
        <f t="shared" si="4259"/>
        <v>0</v>
      </c>
      <c r="DO1173" s="552">
        <f t="shared" si="4259"/>
        <v>0</v>
      </c>
      <c r="DP1173" s="552">
        <f t="shared" si="4259"/>
        <v>0</v>
      </c>
      <c r="DQ1173" s="552">
        <f t="shared" si="4259"/>
        <v>0</v>
      </c>
      <c r="DR1173" s="552">
        <f t="shared" si="4259"/>
        <v>0</v>
      </c>
      <c r="DS1173" s="552">
        <f t="shared" si="4259"/>
        <v>0</v>
      </c>
      <c r="DT1173" s="552">
        <f t="shared" si="4259"/>
        <v>0</v>
      </c>
      <c r="DU1173" s="552">
        <f t="shared" si="4259"/>
        <v>0</v>
      </c>
      <c r="DV1173" s="552">
        <f t="shared" si="4259"/>
        <v>0</v>
      </c>
      <c r="DW1173" s="552">
        <f t="shared" si="4259"/>
        <v>0</v>
      </c>
      <c r="DX1173" s="552">
        <f t="shared" si="4259"/>
        <v>0</v>
      </c>
      <c r="DY1173" s="552">
        <f t="shared" si="4259"/>
        <v>0</v>
      </c>
      <c r="DZ1173" s="552">
        <f t="shared" si="4259"/>
        <v>0</v>
      </c>
      <c r="EA1173" s="552">
        <f t="shared" si="4259"/>
        <v>0</v>
      </c>
      <c r="EB1173" s="552">
        <f t="shared" si="4259"/>
        <v>0</v>
      </c>
      <c r="EC1173" s="552">
        <f t="shared" si="4259"/>
        <v>0</v>
      </c>
      <c r="ED1173" s="552">
        <f t="shared" si="4259"/>
        <v>0</v>
      </c>
      <c r="EE1173" s="552">
        <f t="shared" si="4259"/>
        <v>0</v>
      </c>
      <c r="EF1173" s="552">
        <f t="shared" si="4259"/>
        <v>0</v>
      </c>
      <c r="EG1173" s="552">
        <f t="shared" si="4259"/>
        <v>0</v>
      </c>
      <c r="EH1173" s="552">
        <f t="shared" ref="EH1173:EX1173" si="4260">EH217*EH$338</f>
        <v>0</v>
      </c>
      <c r="EI1173" s="552">
        <f t="shared" si="4260"/>
        <v>0</v>
      </c>
      <c r="EJ1173" s="552">
        <f t="shared" si="4260"/>
        <v>0</v>
      </c>
      <c r="EK1173" s="552">
        <f t="shared" si="4260"/>
        <v>0</v>
      </c>
      <c r="EL1173" s="552">
        <f t="shared" si="4260"/>
        <v>0</v>
      </c>
      <c r="EM1173" s="552">
        <f t="shared" si="4260"/>
        <v>0</v>
      </c>
      <c r="EN1173" s="552">
        <f t="shared" si="4260"/>
        <v>0</v>
      </c>
      <c r="EO1173" s="552">
        <f t="shared" si="4260"/>
        <v>0</v>
      </c>
      <c r="EP1173" s="552">
        <f t="shared" si="4260"/>
        <v>0</v>
      </c>
      <c r="EQ1173" s="552">
        <f t="shared" si="4260"/>
        <v>0</v>
      </c>
      <c r="ER1173" s="552">
        <f t="shared" si="4260"/>
        <v>0</v>
      </c>
      <c r="ES1173" s="552">
        <f t="shared" si="4260"/>
        <v>0</v>
      </c>
      <c r="ET1173" s="552">
        <f t="shared" si="4260"/>
        <v>0</v>
      </c>
      <c r="EU1173" s="552">
        <f t="shared" si="4260"/>
        <v>0</v>
      </c>
      <c r="EV1173" s="552">
        <f t="shared" si="4260"/>
        <v>0</v>
      </c>
      <c r="EW1173" s="552">
        <f t="shared" si="4260"/>
        <v>0</v>
      </c>
      <c r="EX1173" s="552">
        <f t="shared" si="4260"/>
        <v>0</v>
      </c>
      <c r="EY1173" s="799">
        <f t="shared" si="3876"/>
        <v>0</v>
      </c>
      <c r="EZ1173" s="640"/>
      <c r="FA1173" s="640"/>
      <c r="FB1173" s="640"/>
      <c r="FC1173" s="640"/>
      <c r="FD1173" s="640"/>
      <c r="FE1173" s="640"/>
      <c r="FF1173" s="640"/>
      <c r="FG1173" s="640"/>
      <c r="FH1173" s="640"/>
      <c r="FI1173" s="640"/>
      <c r="FJ1173" s="640"/>
      <c r="FK1173" s="640"/>
      <c r="FL1173" s="640"/>
    </row>
    <row r="1174" spans="1:168" x14ac:dyDescent="0.25">
      <c r="A1174" s="1492"/>
      <c r="B1174" s="624">
        <f t="shared" si="4254"/>
        <v>0</v>
      </c>
      <c r="C1174" s="624">
        <f t="shared" si="4254"/>
        <v>0</v>
      </c>
      <c r="D1174" s="624">
        <f t="shared" si="4254"/>
        <v>0</v>
      </c>
      <c r="E1174" s="1158">
        <f t="shared" si="4255"/>
        <v>0</v>
      </c>
      <c r="F1174" s="1158"/>
      <c r="G1174" s="1140"/>
      <c r="H1174" s="1140"/>
      <c r="I1174" s="552"/>
      <c r="J1174" s="552">
        <f t="shared" ref="J1174:AO1174" si="4261">J218*J$338</f>
        <v>0</v>
      </c>
      <c r="K1174" s="552">
        <f t="shared" si="4261"/>
        <v>0</v>
      </c>
      <c r="L1174" s="552">
        <f t="shared" si="4261"/>
        <v>0</v>
      </c>
      <c r="M1174" s="552">
        <f t="shared" si="4261"/>
        <v>0</v>
      </c>
      <c r="N1174" s="552">
        <f t="shared" si="4261"/>
        <v>0</v>
      </c>
      <c r="O1174" s="552">
        <f t="shared" si="4261"/>
        <v>0</v>
      </c>
      <c r="P1174" s="552">
        <f t="shared" si="4261"/>
        <v>0</v>
      </c>
      <c r="Q1174" s="552">
        <f t="shared" si="4261"/>
        <v>0</v>
      </c>
      <c r="R1174" s="552">
        <f t="shared" si="4261"/>
        <v>0</v>
      </c>
      <c r="S1174" s="552">
        <f t="shared" si="4261"/>
        <v>0</v>
      </c>
      <c r="T1174" s="552">
        <f t="shared" si="4261"/>
        <v>0</v>
      </c>
      <c r="U1174" s="552">
        <f t="shared" si="4261"/>
        <v>0</v>
      </c>
      <c r="V1174" s="552">
        <f t="shared" si="4261"/>
        <v>0</v>
      </c>
      <c r="W1174" s="552">
        <f t="shared" si="4261"/>
        <v>0</v>
      </c>
      <c r="X1174" s="552">
        <f t="shared" si="4261"/>
        <v>0</v>
      </c>
      <c r="Y1174" s="552">
        <f t="shared" si="4261"/>
        <v>0</v>
      </c>
      <c r="Z1174" s="552">
        <f t="shared" si="4261"/>
        <v>0</v>
      </c>
      <c r="AA1174" s="552">
        <f t="shared" si="4261"/>
        <v>0</v>
      </c>
      <c r="AB1174" s="552">
        <f t="shared" si="4261"/>
        <v>0</v>
      </c>
      <c r="AC1174" s="552">
        <f t="shared" si="4261"/>
        <v>0</v>
      </c>
      <c r="AD1174" s="552">
        <f t="shared" si="4261"/>
        <v>0</v>
      </c>
      <c r="AE1174" s="552">
        <f t="shared" si="4261"/>
        <v>0</v>
      </c>
      <c r="AF1174" s="552">
        <f t="shared" si="4261"/>
        <v>0</v>
      </c>
      <c r="AG1174" s="552">
        <f t="shared" si="4261"/>
        <v>0</v>
      </c>
      <c r="AH1174" s="552">
        <f t="shared" si="4261"/>
        <v>0</v>
      </c>
      <c r="AI1174" s="552">
        <f t="shared" si="4261"/>
        <v>0</v>
      </c>
      <c r="AJ1174" s="552">
        <f t="shared" si="4261"/>
        <v>0</v>
      </c>
      <c r="AK1174" s="552">
        <f t="shared" si="4261"/>
        <v>0</v>
      </c>
      <c r="AL1174" s="552">
        <f t="shared" si="4261"/>
        <v>0</v>
      </c>
      <c r="AM1174" s="552">
        <f t="shared" si="4261"/>
        <v>0</v>
      </c>
      <c r="AN1174" s="552">
        <f t="shared" si="4261"/>
        <v>0</v>
      </c>
      <c r="AO1174" s="552">
        <f t="shared" si="4261"/>
        <v>0</v>
      </c>
      <c r="AP1174" s="552">
        <f t="shared" ref="AP1174:BU1174" si="4262">AP218*AP$338</f>
        <v>0</v>
      </c>
      <c r="AQ1174" s="552">
        <f t="shared" si="4262"/>
        <v>0</v>
      </c>
      <c r="AR1174" s="552">
        <f t="shared" si="4262"/>
        <v>0</v>
      </c>
      <c r="AS1174" s="552">
        <f t="shared" si="4262"/>
        <v>0</v>
      </c>
      <c r="AT1174" s="552">
        <f t="shared" si="4262"/>
        <v>0</v>
      </c>
      <c r="AU1174" s="552">
        <f t="shared" si="4262"/>
        <v>0</v>
      </c>
      <c r="AV1174" s="552">
        <f t="shared" si="4262"/>
        <v>0</v>
      </c>
      <c r="AW1174" s="552">
        <f t="shared" si="4262"/>
        <v>0</v>
      </c>
      <c r="AX1174" s="552">
        <f t="shared" si="4262"/>
        <v>0</v>
      </c>
      <c r="AY1174" s="552">
        <f t="shared" si="4262"/>
        <v>0</v>
      </c>
      <c r="AZ1174" s="552">
        <f t="shared" si="4262"/>
        <v>0</v>
      </c>
      <c r="BA1174" s="552">
        <f t="shared" si="4262"/>
        <v>0</v>
      </c>
      <c r="BB1174" s="552">
        <f t="shared" si="4262"/>
        <v>0</v>
      </c>
      <c r="BC1174" s="552">
        <f t="shared" si="4262"/>
        <v>0</v>
      </c>
      <c r="BD1174" s="552">
        <f t="shared" si="4262"/>
        <v>0</v>
      </c>
      <c r="BE1174" s="552">
        <f t="shared" si="4262"/>
        <v>0</v>
      </c>
      <c r="BF1174" s="552">
        <f t="shared" si="4262"/>
        <v>0</v>
      </c>
      <c r="BG1174" s="552">
        <f t="shared" si="4262"/>
        <v>0</v>
      </c>
      <c r="BH1174" s="552">
        <f t="shared" si="4262"/>
        <v>0</v>
      </c>
      <c r="BI1174" s="552">
        <f t="shared" si="4262"/>
        <v>0</v>
      </c>
      <c r="BJ1174" s="552">
        <f t="shared" si="4262"/>
        <v>0</v>
      </c>
      <c r="BK1174" s="552">
        <f t="shared" si="4262"/>
        <v>0</v>
      </c>
      <c r="BL1174" s="552">
        <f t="shared" si="4262"/>
        <v>0</v>
      </c>
      <c r="BM1174" s="552">
        <f t="shared" si="4262"/>
        <v>0</v>
      </c>
      <c r="BN1174" s="552">
        <f t="shared" si="4262"/>
        <v>0</v>
      </c>
      <c r="BO1174" s="552">
        <f t="shared" si="4262"/>
        <v>0</v>
      </c>
      <c r="BP1174" s="552">
        <f t="shared" si="4262"/>
        <v>0</v>
      </c>
      <c r="BQ1174" s="552">
        <f t="shared" si="4262"/>
        <v>0</v>
      </c>
      <c r="BR1174" s="552">
        <f t="shared" si="4262"/>
        <v>0</v>
      </c>
      <c r="BS1174" s="552">
        <f t="shared" si="4262"/>
        <v>0</v>
      </c>
      <c r="BT1174" s="552">
        <f t="shared" si="4262"/>
        <v>0</v>
      </c>
      <c r="BU1174" s="552">
        <f t="shared" si="4262"/>
        <v>0</v>
      </c>
      <c r="BV1174" s="552">
        <f t="shared" ref="BV1174:DA1174" si="4263">BV218*BV$338</f>
        <v>0</v>
      </c>
      <c r="BW1174" s="552">
        <f t="shared" si="4263"/>
        <v>0</v>
      </c>
      <c r="BX1174" s="552">
        <f t="shared" si="4263"/>
        <v>0</v>
      </c>
      <c r="BY1174" s="552">
        <f t="shared" si="4263"/>
        <v>0</v>
      </c>
      <c r="BZ1174" s="552">
        <f t="shared" si="4263"/>
        <v>0</v>
      </c>
      <c r="CA1174" s="552">
        <f t="shared" si="4263"/>
        <v>0</v>
      </c>
      <c r="CB1174" s="552">
        <f t="shared" si="4263"/>
        <v>0</v>
      </c>
      <c r="CC1174" s="552">
        <f t="shared" si="4263"/>
        <v>0</v>
      </c>
      <c r="CD1174" s="552">
        <f t="shared" si="4263"/>
        <v>0</v>
      </c>
      <c r="CE1174" s="552">
        <f t="shared" si="4263"/>
        <v>0</v>
      </c>
      <c r="CF1174" s="552">
        <f t="shared" si="4263"/>
        <v>0</v>
      </c>
      <c r="CG1174" s="552">
        <f t="shared" si="4263"/>
        <v>0</v>
      </c>
      <c r="CH1174" s="552">
        <f t="shared" si="4263"/>
        <v>0</v>
      </c>
      <c r="CI1174" s="552">
        <f t="shared" si="4263"/>
        <v>0</v>
      </c>
      <c r="CJ1174" s="552">
        <f t="shared" si="4263"/>
        <v>0</v>
      </c>
      <c r="CK1174" s="552">
        <f t="shared" si="4263"/>
        <v>0</v>
      </c>
      <c r="CL1174" s="552">
        <f t="shared" si="4263"/>
        <v>0</v>
      </c>
      <c r="CM1174" s="552">
        <f t="shared" si="4263"/>
        <v>0</v>
      </c>
      <c r="CN1174" s="552">
        <f t="shared" si="4263"/>
        <v>0</v>
      </c>
      <c r="CO1174" s="552">
        <f t="shared" si="4263"/>
        <v>0</v>
      </c>
      <c r="CP1174" s="552">
        <f t="shared" si="4263"/>
        <v>0</v>
      </c>
      <c r="CQ1174" s="552">
        <f t="shared" si="4263"/>
        <v>0</v>
      </c>
      <c r="CR1174" s="552">
        <f t="shared" si="4263"/>
        <v>0</v>
      </c>
      <c r="CS1174" s="552">
        <f t="shared" si="4263"/>
        <v>0</v>
      </c>
      <c r="CT1174" s="552">
        <f t="shared" si="4263"/>
        <v>0</v>
      </c>
      <c r="CU1174" s="552">
        <f t="shared" si="4263"/>
        <v>0</v>
      </c>
      <c r="CV1174" s="552">
        <f t="shared" si="4263"/>
        <v>0</v>
      </c>
      <c r="CW1174" s="552">
        <f t="shared" si="4263"/>
        <v>0</v>
      </c>
      <c r="CX1174" s="552">
        <f t="shared" si="4263"/>
        <v>0</v>
      </c>
      <c r="CY1174" s="552">
        <f t="shared" si="4263"/>
        <v>0</v>
      </c>
      <c r="CZ1174" s="552">
        <f t="shared" si="4263"/>
        <v>0</v>
      </c>
      <c r="DA1174" s="552">
        <f t="shared" si="4263"/>
        <v>0</v>
      </c>
      <c r="DB1174" s="552">
        <f t="shared" ref="DB1174:EG1174" si="4264">DB218*DB$338</f>
        <v>0</v>
      </c>
      <c r="DC1174" s="552">
        <f t="shared" si="4264"/>
        <v>0</v>
      </c>
      <c r="DD1174" s="552">
        <f t="shared" si="4264"/>
        <v>0</v>
      </c>
      <c r="DE1174" s="552">
        <f t="shared" si="4264"/>
        <v>0</v>
      </c>
      <c r="DF1174" s="552">
        <f t="shared" si="4264"/>
        <v>0</v>
      </c>
      <c r="DG1174" s="552">
        <f t="shared" si="4264"/>
        <v>0</v>
      </c>
      <c r="DH1174" s="552">
        <f t="shared" si="4264"/>
        <v>0</v>
      </c>
      <c r="DI1174" s="552">
        <f t="shared" si="4264"/>
        <v>0</v>
      </c>
      <c r="DJ1174" s="552">
        <f t="shared" si="4264"/>
        <v>0</v>
      </c>
      <c r="DK1174" s="552">
        <f t="shared" si="4264"/>
        <v>0</v>
      </c>
      <c r="DL1174" s="552">
        <f t="shared" si="4264"/>
        <v>0</v>
      </c>
      <c r="DM1174" s="552">
        <f t="shared" si="4264"/>
        <v>0</v>
      </c>
      <c r="DN1174" s="552">
        <f t="shared" si="4264"/>
        <v>0</v>
      </c>
      <c r="DO1174" s="552">
        <f t="shared" si="4264"/>
        <v>0</v>
      </c>
      <c r="DP1174" s="552">
        <f t="shared" si="4264"/>
        <v>0</v>
      </c>
      <c r="DQ1174" s="552">
        <f t="shared" si="4264"/>
        <v>0</v>
      </c>
      <c r="DR1174" s="552">
        <f t="shared" si="4264"/>
        <v>0</v>
      </c>
      <c r="DS1174" s="552">
        <f t="shared" si="4264"/>
        <v>0</v>
      </c>
      <c r="DT1174" s="552">
        <f t="shared" si="4264"/>
        <v>0</v>
      </c>
      <c r="DU1174" s="552">
        <f t="shared" si="4264"/>
        <v>0</v>
      </c>
      <c r="DV1174" s="552">
        <f t="shared" si="4264"/>
        <v>0</v>
      </c>
      <c r="DW1174" s="552">
        <f t="shared" si="4264"/>
        <v>0</v>
      </c>
      <c r="DX1174" s="552">
        <f t="shared" si="4264"/>
        <v>0</v>
      </c>
      <c r="DY1174" s="552">
        <f t="shared" si="4264"/>
        <v>0</v>
      </c>
      <c r="DZ1174" s="552">
        <f t="shared" si="4264"/>
        <v>0</v>
      </c>
      <c r="EA1174" s="552">
        <f t="shared" si="4264"/>
        <v>0</v>
      </c>
      <c r="EB1174" s="552">
        <f t="shared" si="4264"/>
        <v>0</v>
      </c>
      <c r="EC1174" s="552">
        <f t="shared" si="4264"/>
        <v>0</v>
      </c>
      <c r="ED1174" s="552">
        <f t="shared" si="4264"/>
        <v>0</v>
      </c>
      <c r="EE1174" s="552">
        <f t="shared" si="4264"/>
        <v>0</v>
      </c>
      <c r="EF1174" s="552">
        <f t="shared" si="4264"/>
        <v>0</v>
      </c>
      <c r="EG1174" s="552">
        <f t="shared" si="4264"/>
        <v>0</v>
      </c>
      <c r="EH1174" s="552">
        <f t="shared" ref="EH1174:EX1174" si="4265">EH218*EH$338</f>
        <v>0</v>
      </c>
      <c r="EI1174" s="552">
        <f t="shared" si="4265"/>
        <v>0</v>
      </c>
      <c r="EJ1174" s="552">
        <f t="shared" si="4265"/>
        <v>0</v>
      </c>
      <c r="EK1174" s="552">
        <f t="shared" si="4265"/>
        <v>0</v>
      </c>
      <c r="EL1174" s="552">
        <f t="shared" si="4265"/>
        <v>0</v>
      </c>
      <c r="EM1174" s="552">
        <f t="shared" si="4265"/>
        <v>0</v>
      </c>
      <c r="EN1174" s="552">
        <f t="shared" si="4265"/>
        <v>0</v>
      </c>
      <c r="EO1174" s="552">
        <f t="shared" si="4265"/>
        <v>0</v>
      </c>
      <c r="EP1174" s="552">
        <f t="shared" si="4265"/>
        <v>0</v>
      </c>
      <c r="EQ1174" s="552">
        <f t="shared" si="4265"/>
        <v>0</v>
      </c>
      <c r="ER1174" s="552">
        <f t="shared" si="4265"/>
        <v>0</v>
      </c>
      <c r="ES1174" s="552">
        <f t="shared" si="4265"/>
        <v>0</v>
      </c>
      <c r="ET1174" s="552">
        <f t="shared" si="4265"/>
        <v>0</v>
      </c>
      <c r="EU1174" s="552">
        <f t="shared" si="4265"/>
        <v>0</v>
      </c>
      <c r="EV1174" s="552">
        <f t="shared" si="4265"/>
        <v>0</v>
      </c>
      <c r="EW1174" s="552">
        <f t="shared" si="4265"/>
        <v>0</v>
      </c>
      <c r="EX1174" s="552">
        <f t="shared" si="4265"/>
        <v>0</v>
      </c>
      <c r="EY1174" s="799">
        <f t="shared" si="3876"/>
        <v>0</v>
      </c>
      <c r="EZ1174" s="640"/>
      <c r="FA1174" s="640"/>
      <c r="FB1174" s="640"/>
      <c r="FC1174" s="640"/>
      <c r="FD1174" s="640"/>
      <c r="FE1174" s="640"/>
      <c r="FF1174" s="640"/>
      <c r="FG1174" s="640"/>
      <c r="FH1174" s="640"/>
      <c r="FI1174" s="640"/>
      <c r="FJ1174" s="640"/>
      <c r="FK1174" s="640"/>
      <c r="FL1174" s="640"/>
    </row>
    <row r="1175" spans="1:168" x14ac:dyDescent="0.25">
      <c r="A1175" s="1492"/>
      <c r="B1175" s="624">
        <f t="shared" si="4254"/>
        <v>0</v>
      </c>
      <c r="C1175" s="624">
        <f t="shared" si="4254"/>
        <v>0</v>
      </c>
      <c r="D1175" s="624">
        <f t="shared" si="4254"/>
        <v>0</v>
      </c>
      <c r="E1175" s="1158">
        <f t="shared" si="4255"/>
        <v>0</v>
      </c>
      <c r="F1175" s="1158"/>
      <c r="G1175" s="1140"/>
      <c r="H1175" s="1140"/>
      <c r="I1175" s="552"/>
      <c r="J1175" s="552">
        <f t="shared" ref="J1175:AO1175" si="4266">J219*J$338</f>
        <v>0</v>
      </c>
      <c r="K1175" s="552">
        <f t="shared" si="4266"/>
        <v>0</v>
      </c>
      <c r="L1175" s="552">
        <f t="shared" si="4266"/>
        <v>0</v>
      </c>
      <c r="M1175" s="552">
        <f t="shared" si="4266"/>
        <v>0</v>
      </c>
      <c r="N1175" s="552">
        <f t="shared" si="4266"/>
        <v>0</v>
      </c>
      <c r="O1175" s="552">
        <f t="shared" si="4266"/>
        <v>0</v>
      </c>
      <c r="P1175" s="552">
        <f t="shared" si="4266"/>
        <v>0</v>
      </c>
      <c r="Q1175" s="552">
        <f t="shared" si="4266"/>
        <v>0</v>
      </c>
      <c r="R1175" s="552">
        <f t="shared" si="4266"/>
        <v>0</v>
      </c>
      <c r="S1175" s="552">
        <f t="shared" si="4266"/>
        <v>0</v>
      </c>
      <c r="T1175" s="552">
        <f t="shared" si="4266"/>
        <v>0</v>
      </c>
      <c r="U1175" s="552">
        <f t="shared" si="4266"/>
        <v>0</v>
      </c>
      <c r="V1175" s="552">
        <f t="shared" si="4266"/>
        <v>0</v>
      </c>
      <c r="W1175" s="552">
        <f t="shared" si="4266"/>
        <v>0</v>
      </c>
      <c r="X1175" s="552">
        <f t="shared" si="4266"/>
        <v>0</v>
      </c>
      <c r="Y1175" s="552">
        <f t="shared" si="4266"/>
        <v>0</v>
      </c>
      <c r="Z1175" s="552">
        <f t="shared" si="4266"/>
        <v>0</v>
      </c>
      <c r="AA1175" s="552">
        <f t="shared" si="4266"/>
        <v>0</v>
      </c>
      <c r="AB1175" s="552">
        <f t="shared" si="4266"/>
        <v>0</v>
      </c>
      <c r="AC1175" s="552">
        <f t="shared" si="4266"/>
        <v>0</v>
      </c>
      <c r="AD1175" s="552">
        <f t="shared" si="4266"/>
        <v>0</v>
      </c>
      <c r="AE1175" s="552">
        <f t="shared" si="4266"/>
        <v>0</v>
      </c>
      <c r="AF1175" s="552">
        <f t="shared" si="4266"/>
        <v>0</v>
      </c>
      <c r="AG1175" s="552">
        <f t="shared" si="4266"/>
        <v>0</v>
      </c>
      <c r="AH1175" s="552">
        <f t="shared" si="4266"/>
        <v>0</v>
      </c>
      <c r="AI1175" s="552">
        <f t="shared" si="4266"/>
        <v>0</v>
      </c>
      <c r="AJ1175" s="552">
        <f t="shared" si="4266"/>
        <v>0</v>
      </c>
      <c r="AK1175" s="552">
        <f t="shared" si="4266"/>
        <v>0</v>
      </c>
      <c r="AL1175" s="552">
        <f t="shared" si="4266"/>
        <v>0</v>
      </c>
      <c r="AM1175" s="552">
        <f t="shared" si="4266"/>
        <v>0</v>
      </c>
      <c r="AN1175" s="552">
        <f t="shared" si="4266"/>
        <v>0</v>
      </c>
      <c r="AO1175" s="552">
        <f t="shared" si="4266"/>
        <v>0</v>
      </c>
      <c r="AP1175" s="552">
        <f t="shared" ref="AP1175:BU1175" si="4267">AP219*AP$338</f>
        <v>0</v>
      </c>
      <c r="AQ1175" s="552">
        <f t="shared" si="4267"/>
        <v>0</v>
      </c>
      <c r="AR1175" s="552">
        <f t="shared" si="4267"/>
        <v>0</v>
      </c>
      <c r="AS1175" s="552">
        <f t="shared" si="4267"/>
        <v>0</v>
      </c>
      <c r="AT1175" s="552">
        <f t="shared" si="4267"/>
        <v>0</v>
      </c>
      <c r="AU1175" s="552">
        <f t="shared" si="4267"/>
        <v>0</v>
      </c>
      <c r="AV1175" s="552">
        <f t="shared" si="4267"/>
        <v>0</v>
      </c>
      <c r="AW1175" s="552">
        <f t="shared" si="4267"/>
        <v>0</v>
      </c>
      <c r="AX1175" s="552">
        <f t="shared" si="4267"/>
        <v>0</v>
      </c>
      <c r="AY1175" s="552">
        <f t="shared" si="4267"/>
        <v>0</v>
      </c>
      <c r="AZ1175" s="552">
        <f t="shared" si="4267"/>
        <v>0</v>
      </c>
      <c r="BA1175" s="552">
        <f t="shared" si="4267"/>
        <v>0</v>
      </c>
      <c r="BB1175" s="552">
        <f t="shared" si="4267"/>
        <v>0</v>
      </c>
      <c r="BC1175" s="552">
        <f t="shared" si="4267"/>
        <v>0</v>
      </c>
      <c r="BD1175" s="552">
        <f t="shared" si="4267"/>
        <v>0</v>
      </c>
      <c r="BE1175" s="552">
        <f t="shared" si="4267"/>
        <v>0</v>
      </c>
      <c r="BF1175" s="552">
        <f t="shared" si="4267"/>
        <v>0</v>
      </c>
      <c r="BG1175" s="552">
        <f t="shared" si="4267"/>
        <v>0</v>
      </c>
      <c r="BH1175" s="552">
        <f t="shared" si="4267"/>
        <v>0</v>
      </c>
      <c r="BI1175" s="552">
        <f t="shared" si="4267"/>
        <v>0</v>
      </c>
      <c r="BJ1175" s="552">
        <f t="shared" si="4267"/>
        <v>0</v>
      </c>
      <c r="BK1175" s="552">
        <f t="shared" si="4267"/>
        <v>0</v>
      </c>
      <c r="BL1175" s="552">
        <f t="shared" si="4267"/>
        <v>0</v>
      </c>
      <c r="BM1175" s="552">
        <f t="shared" si="4267"/>
        <v>0</v>
      </c>
      <c r="BN1175" s="552">
        <f t="shared" si="4267"/>
        <v>0</v>
      </c>
      <c r="BO1175" s="552">
        <f t="shared" si="4267"/>
        <v>0</v>
      </c>
      <c r="BP1175" s="552">
        <f t="shared" si="4267"/>
        <v>0</v>
      </c>
      <c r="BQ1175" s="552">
        <f t="shared" si="4267"/>
        <v>0</v>
      </c>
      <c r="BR1175" s="552">
        <f t="shared" si="4267"/>
        <v>0</v>
      </c>
      <c r="BS1175" s="552">
        <f t="shared" si="4267"/>
        <v>0</v>
      </c>
      <c r="BT1175" s="552">
        <f t="shared" si="4267"/>
        <v>0</v>
      </c>
      <c r="BU1175" s="552">
        <f t="shared" si="4267"/>
        <v>0</v>
      </c>
      <c r="BV1175" s="552">
        <f t="shared" ref="BV1175:DA1175" si="4268">BV219*BV$338</f>
        <v>0</v>
      </c>
      <c r="BW1175" s="552">
        <f t="shared" si="4268"/>
        <v>0</v>
      </c>
      <c r="BX1175" s="552">
        <f t="shared" si="4268"/>
        <v>0</v>
      </c>
      <c r="BY1175" s="552">
        <f t="shared" si="4268"/>
        <v>0</v>
      </c>
      <c r="BZ1175" s="552">
        <f t="shared" si="4268"/>
        <v>0</v>
      </c>
      <c r="CA1175" s="552">
        <f t="shared" si="4268"/>
        <v>0</v>
      </c>
      <c r="CB1175" s="552">
        <f t="shared" si="4268"/>
        <v>0</v>
      </c>
      <c r="CC1175" s="552">
        <f t="shared" si="4268"/>
        <v>0</v>
      </c>
      <c r="CD1175" s="552">
        <f t="shared" si="4268"/>
        <v>0</v>
      </c>
      <c r="CE1175" s="552">
        <f t="shared" si="4268"/>
        <v>0</v>
      </c>
      <c r="CF1175" s="552">
        <f t="shared" si="4268"/>
        <v>0</v>
      </c>
      <c r="CG1175" s="552">
        <f t="shared" si="4268"/>
        <v>0</v>
      </c>
      <c r="CH1175" s="552">
        <f t="shared" si="4268"/>
        <v>0</v>
      </c>
      <c r="CI1175" s="552">
        <f t="shared" si="4268"/>
        <v>0</v>
      </c>
      <c r="CJ1175" s="552">
        <f t="shared" si="4268"/>
        <v>0</v>
      </c>
      <c r="CK1175" s="552">
        <f t="shared" si="4268"/>
        <v>0</v>
      </c>
      <c r="CL1175" s="552">
        <f t="shared" si="4268"/>
        <v>0</v>
      </c>
      <c r="CM1175" s="552">
        <f t="shared" si="4268"/>
        <v>0</v>
      </c>
      <c r="CN1175" s="552">
        <f t="shared" si="4268"/>
        <v>0</v>
      </c>
      <c r="CO1175" s="552">
        <f t="shared" si="4268"/>
        <v>0</v>
      </c>
      <c r="CP1175" s="552">
        <f t="shared" si="4268"/>
        <v>0</v>
      </c>
      <c r="CQ1175" s="552">
        <f t="shared" si="4268"/>
        <v>0</v>
      </c>
      <c r="CR1175" s="552">
        <f t="shared" si="4268"/>
        <v>0</v>
      </c>
      <c r="CS1175" s="552">
        <f t="shared" si="4268"/>
        <v>0</v>
      </c>
      <c r="CT1175" s="552">
        <f t="shared" si="4268"/>
        <v>0</v>
      </c>
      <c r="CU1175" s="552">
        <f t="shared" si="4268"/>
        <v>0</v>
      </c>
      <c r="CV1175" s="552">
        <f t="shared" si="4268"/>
        <v>0</v>
      </c>
      <c r="CW1175" s="552">
        <f t="shared" si="4268"/>
        <v>0</v>
      </c>
      <c r="CX1175" s="552">
        <f t="shared" si="4268"/>
        <v>0</v>
      </c>
      <c r="CY1175" s="552">
        <f t="shared" si="4268"/>
        <v>0</v>
      </c>
      <c r="CZ1175" s="552">
        <f t="shared" si="4268"/>
        <v>0</v>
      </c>
      <c r="DA1175" s="552">
        <f t="shared" si="4268"/>
        <v>0</v>
      </c>
      <c r="DB1175" s="552">
        <f t="shared" ref="DB1175:EG1175" si="4269">DB219*DB$338</f>
        <v>0</v>
      </c>
      <c r="DC1175" s="552">
        <f t="shared" si="4269"/>
        <v>0</v>
      </c>
      <c r="DD1175" s="552">
        <f t="shared" si="4269"/>
        <v>0</v>
      </c>
      <c r="DE1175" s="552">
        <f t="shared" si="4269"/>
        <v>0</v>
      </c>
      <c r="DF1175" s="552">
        <f t="shared" si="4269"/>
        <v>0</v>
      </c>
      <c r="DG1175" s="552">
        <f t="shared" si="4269"/>
        <v>0</v>
      </c>
      <c r="DH1175" s="552">
        <f t="shared" si="4269"/>
        <v>0</v>
      </c>
      <c r="DI1175" s="552">
        <f t="shared" si="4269"/>
        <v>0</v>
      </c>
      <c r="DJ1175" s="552">
        <f t="shared" si="4269"/>
        <v>0</v>
      </c>
      <c r="DK1175" s="552">
        <f t="shared" si="4269"/>
        <v>0</v>
      </c>
      <c r="DL1175" s="552">
        <f t="shared" si="4269"/>
        <v>0</v>
      </c>
      <c r="DM1175" s="552">
        <f t="shared" si="4269"/>
        <v>0</v>
      </c>
      <c r="DN1175" s="552">
        <f t="shared" si="4269"/>
        <v>0</v>
      </c>
      <c r="DO1175" s="552">
        <f t="shared" si="4269"/>
        <v>0</v>
      </c>
      <c r="DP1175" s="552">
        <f t="shared" si="4269"/>
        <v>0</v>
      </c>
      <c r="DQ1175" s="552">
        <f t="shared" si="4269"/>
        <v>0</v>
      </c>
      <c r="DR1175" s="552">
        <f t="shared" si="4269"/>
        <v>0</v>
      </c>
      <c r="DS1175" s="552">
        <f t="shared" si="4269"/>
        <v>0</v>
      </c>
      <c r="DT1175" s="552">
        <f t="shared" si="4269"/>
        <v>0</v>
      </c>
      <c r="DU1175" s="552">
        <f t="shared" si="4269"/>
        <v>0</v>
      </c>
      <c r="DV1175" s="552">
        <f t="shared" si="4269"/>
        <v>0</v>
      </c>
      <c r="DW1175" s="552">
        <f t="shared" si="4269"/>
        <v>0</v>
      </c>
      <c r="DX1175" s="552">
        <f t="shared" si="4269"/>
        <v>0</v>
      </c>
      <c r="DY1175" s="552">
        <f t="shared" si="4269"/>
        <v>0</v>
      </c>
      <c r="DZ1175" s="552">
        <f t="shared" si="4269"/>
        <v>0</v>
      </c>
      <c r="EA1175" s="552">
        <f t="shared" si="4269"/>
        <v>0</v>
      </c>
      <c r="EB1175" s="552">
        <f t="shared" si="4269"/>
        <v>0</v>
      </c>
      <c r="EC1175" s="552">
        <f t="shared" si="4269"/>
        <v>0</v>
      </c>
      <c r="ED1175" s="552">
        <f t="shared" si="4269"/>
        <v>0</v>
      </c>
      <c r="EE1175" s="552">
        <f t="shared" si="4269"/>
        <v>0</v>
      </c>
      <c r="EF1175" s="552">
        <f t="shared" si="4269"/>
        <v>0</v>
      </c>
      <c r="EG1175" s="552">
        <f t="shared" si="4269"/>
        <v>0</v>
      </c>
      <c r="EH1175" s="552">
        <f t="shared" ref="EH1175:EX1175" si="4270">EH219*EH$338</f>
        <v>0</v>
      </c>
      <c r="EI1175" s="552">
        <f t="shared" si="4270"/>
        <v>0</v>
      </c>
      <c r="EJ1175" s="552">
        <f t="shared" si="4270"/>
        <v>0</v>
      </c>
      <c r="EK1175" s="552">
        <f t="shared" si="4270"/>
        <v>0</v>
      </c>
      <c r="EL1175" s="552">
        <f t="shared" si="4270"/>
        <v>0</v>
      </c>
      <c r="EM1175" s="552">
        <f t="shared" si="4270"/>
        <v>0</v>
      </c>
      <c r="EN1175" s="552">
        <f t="shared" si="4270"/>
        <v>0</v>
      </c>
      <c r="EO1175" s="552">
        <f t="shared" si="4270"/>
        <v>0</v>
      </c>
      <c r="EP1175" s="552">
        <f t="shared" si="4270"/>
        <v>0</v>
      </c>
      <c r="EQ1175" s="552">
        <f t="shared" si="4270"/>
        <v>0</v>
      </c>
      <c r="ER1175" s="552">
        <f t="shared" si="4270"/>
        <v>0</v>
      </c>
      <c r="ES1175" s="552">
        <f t="shared" si="4270"/>
        <v>0</v>
      </c>
      <c r="ET1175" s="552">
        <f t="shared" si="4270"/>
        <v>0</v>
      </c>
      <c r="EU1175" s="552">
        <f t="shared" si="4270"/>
        <v>0</v>
      </c>
      <c r="EV1175" s="552">
        <f t="shared" si="4270"/>
        <v>0</v>
      </c>
      <c r="EW1175" s="552">
        <f t="shared" si="4270"/>
        <v>0</v>
      </c>
      <c r="EX1175" s="552">
        <f t="shared" si="4270"/>
        <v>0</v>
      </c>
      <c r="EY1175" s="799">
        <f t="shared" si="3876"/>
        <v>0</v>
      </c>
      <c r="EZ1175" s="640"/>
      <c r="FA1175" s="640"/>
      <c r="FB1175" s="640"/>
      <c r="FC1175" s="640"/>
      <c r="FD1175" s="640"/>
      <c r="FE1175" s="640"/>
      <c r="FF1175" s="640"/>
      <c r="FG1175" s="640"/>
      <c r="FH1175" s="640"/>
      <c r="FI1175" s="640"/>
      <c r="FJ1175" s="640"/>
      <c r="FK1175" s="640"/>
      <c r="FL1175" s="640"/>
    </row>
    <row r="1176" spans="1:168" x14ac:dyDescent="0.25">
      <c r="A1176" s="1492"/>
      <c r="B1176" s="624">
        <f t="shared" si="4254"/>
        <v>0</v>
      </c>
      <c r="C1176" s="624">
        <f t="shared" si="4254"/>
        <v>0</v>
      </c>
      <c r="D1176" s="624">
        <f t="shared" si="4254"/>
        <v>0</v>
      </c>
      <c r="E1176" s="1158">
        <f t="shared" si="4255"/>
        <v>0</v>
      </c>
      <c r="F1176" s="1158"/>
      <c r="G1176" s="1140"/>
      <c r="H1176" s="1140"/>
      <c r="I1176" s="552"/>
      <c r="J1176" s="552">
        <f t="shared" ref="J1176:AO1176" si="4271">J220*J$338</f>
        <v>0</v>
      </c>
      <c r="K1176" s="552">
        <f t="shared" si="4271"/>
        <v>0</v>
      </c>
      <c r="L1176" s="552">
        <f t="shared" si="4271"/>
        <v>0</v>
      </c>
      <c r="M1176" s="552">
        <f t="shared" si="4271"/>
        <v>0</v>
      </c>
      <c r="N1176" s="552">
        <f t="shared" si="4271"/>
        <v>0</v>
      </c>
      <c r="O1176" s="552">
        <f t="shared" si="4271"/>
        <v>0</v>
      </c>
      <c r="P1176" s="552">
        <f t="shared" si="4271"/>
        <v>0</v>
      </c>
      <c r="Q1176" s="552">
        <f t="shared" si="4271"/>
        <v>0</v>
      </c>
      <c r="R1176" s="552">
        <f t="shared" si="4271"/>
        <v>0</v>
      </c>
      <c r="S1176" s="552">
        <f t="shared" si="4271"/>
        <v>0</v>
      </c>
      <c r="T1176" s="552">
        <f t="shared" si="4271"/>
        <v>0</v>
      </c>
      <c r="U1176" s="552">
        <f t="shared" si="4271"/>
        <v>0</v>
      </c>
      <c r="V1176" s="552">
        <f t="shared" si="4271"/>
        <v>0</v>
      </c>
      <c r="W1176" s="552">
        <f t="shared" si="4271"/>
        <v>0</v>
      </c>
      <c r="X1176" s="552">
        <f t="shared" si="4271"/>
        <v>0</v>
      </c>
      <c r="Y1176" s="552">
        <f t="shared" si="4271"/>
        <v>0</v>
      </c>
      <c r="Z1176" s="552">
        <f t="shared" si="4271"/>
        <v>0</v>
      </c>
      <c r="AA1176" s="552">
        <f t="shared" si="4271"/>
        <v>0</v>
      </c>
      <c r="AB1176" s="552">
        <f t="shared" si="4271"/>
        <v>0</v>
      </c>
      <c r="AC1176" s="552">
        <f t="shared" si="4271"/>
        <v>0</v>
      </c>
      <c r="AD1176" s="552">
        <f t="shared" si="4271"/>
        <v>0</v>
      </c>
      <c r="AE1176" s="552">
        <f t="shared" si="4271"/>
        <v>0</v>
      </c>
      <c r="AF1176" s="552">
        <f t="shared" si="4271"/>
        <v>0</v>
      </c>
      <c r="AG1176" s="552">
        <f t="shared" si="4271"/>
        <v>0</v>
      </c>
      <c r="AH1176" s="552">
        <f t="shared" si="4271"/>
        <v>0</v>
      </c>
      <c r="AI1176" s="552">
        <f t="shared" si="4271"/>
        <v>0</v>
      </c>
      <c r="AJ1176" s="552">
        <f t="shared" si="4271"/>
        <v>0</v>
      </c>
      <c r="AK1176" s="552">
        <f t="shared" si="4271"/>
        <v>0</v>
      </c>
      <c r="AL1176" s="552">
        <f t="shared" si="4271"/>
        <v>0</v>
      </c>
      <c r="AM1176" s="552">
        <f t="shared" si="4271"/>
        <v>0</v>
      </c>
      <c r="AN1176" s="552">
        <f t="shared" si="4271"/>
        <v>0</v>
      </c>
      <c r="AO1176" s="552">
        <f t="shared" si="4271"/>
        <v>0</v>
      </c>
      <c r="AP1176" s="552">
        <f t="shared" ref="AP1176:BU1176" si="4272">AP220*AP$338</f>
        <v>0</v>
      </c>
      <c r="AQ1176" s="552">
        <f t="shared" si="4272"/>
        <v>0</v>
      </c>
      <c r="AR1176" s="552">
        <f t="shared" si="4272"/>
        <v>0</v>
      </c>
      <c r="AS1176" s="552">
        <f t="shared" si="4272"/>
        <v>0</v>
      </c>
      <c r="AT1176" s="552">
        <f t="shared" si="4272"/>
        <v>0</v>
      </c>
      <c r="AU1176" s="552">
        <f t="shared" si="4272"/>
        <v>0</v>
      </c>
      <c r="AV1176" s="552">
        <f t="shared" si="4272"/>
        <v>0</v>
      </c>
      <c r="AW1176" s="552">
        <f t="shared" si="4272"/>
        <v>0</v>
      </c>
      <c r="AX1176" s="552">
        <f t="shared" si="4272"/>
        <v>0</v>
      </c>
      <c r="AY1176" s="552">
        <f t="shared" si="4272"/>
        <v>0</v>
      </c>
      <c r="AZ1176" s="552">
        <f t="shared" si="4272"/>
        <v>0</v>
      </c>
      <c r="BA1176" s="552">
        <f t="shared" si="4272"/>
        <v>0</v>
      </c>
      <c r="BB1176" s="552">
        <f t="shared" si="4272"/>
        <v>0</v>
      </c>
      <c r="BC1176" s="552">
        <f t="shared" si="4272"/>
        <v>0</v>
      </c>
      <c r="BD1176" s="552">
        <f t="shared" si="4272"/>
        <v>0</v>
      </c>
      <c r="BE1176" s="552">
        <f t="shared" si="4272"/>
        <v>0</v>
      </c>
      <c r="BF1176" s="552">
        <f t="shared" si="4272"/>
        <v>0</v>
      </c>
      <c r="BG1176" s="552">
        <f t="shared" si="4272"/>
        <v>0</v>
      </c>
      <c r="BH1176" s="552">
        <f t="shared" si="4272"/>
        <v>0</v>
      </c>
      <c r="BI1176" s="552">
        <f t="shared" si="4272"/>
        <v>0</v>
      </c>
      <c r="BJ1176" s="552">
        <f t="shared" si="4272"/>
        <v>0</v>
      </c>
      <c r="BK1176" s="552">
        <f t="shared" si="4272"/>
        <v>0</v>
      </c>
      <c r="BL1176" s="552">
        <f t="shared" si="4272"/>
        <v>0</v>
      </c>
      <c r="BM1176" s="552">
        <f t="shared" si="4272"/>
        <v>0</v>
      </c>
      <c r="BN1176" s="552">
        <f t="shared" si="4272"/>
        <v>0</v>
      </c>
      <c r="BO1176" s="552">
        <f t="shared" si="4272"/>
        <v>0</v>
      </c>
      <c r="BP1176" s="552">
        <f t="shared" si="4272"/>
        <v>0</v>
      </c>
      <c r="BQ1176" s="552">
        <f t="shared" si="4272"/>
        <v>0</v>
      </c>
      <c r="BR1176" s="552">
        <f t="shared" si="4272"/>
        <v>0</v>
      </c>
      <c r="BS1176" s="552">
        <f t="shared" si="4272"/>
        <v>0</v>
      </c>
      <c r="BT1176" s="552">
        <f t="shared" si="4272"/>
        <v>0</v>
      </c>
      <c r="BU1176" s="552">
        <f t="shared" si="4272"/>
        <v>0</v>
      </c>
      <c r="BV1176" s="552">
        <f t="shared" ref="BV1176:DA1176" si="4273">BV220*BV$338</f>
        <v>0</v>
      </c>
      <c r="BW1176" s="552">
        <f t="shared" si="4273"/>
        <v>0</v>
      </c>
      <c r="BX1176" s="552">
        <f t="shared" si="4273"/>
        <v>0</v>
      </c>
      <c r="BY1176" s="552">
        <f t="shared" si="4273"/>
        <v>0</v>
      </c>
      <c r="BZ1176" s="552">
        <f t="shared" si="4273"/>
        <v>0</v>
      </c>
      <c r="CA1176" s="552">
        <f t="shared" si="4273"/>
        <v>0</v>
      </c>
      <c r="CB1176" s="552">
        <f t="shared" si="4273"/>
        <v>0</v>
      </c>
      <c r="CC1176" s="552">
        <f t="shared" si="4273"/>
        <v>0</v>
      </c>
      <c r="CD1176" s="552">
        <f t="shared" si="4273"/>
        <v>0</v>
      </c>
      <c r="CE1176" s="552">
        <f t="shared" si="4273"/>
        <v>0</v>
      </c>
      <c r="CF1176" s="552">
        <f t="shared" si="4273"/>
        <v>0</v>
      </c>
      <c r="CG1176" s="552">
        <f t="shared" si="4273"/>
        <v>0</v>
      </c>
      <c r="CH1176" s="552">
        <f t="shared" si="4273"/>
        <v>0</v>
      </c>
      <c r="CI1176" s="552">
        <f t="shared" si="4273"/>
        <v>0</v>
      </c>
      <c r="CJ1176" s="552">
        <f t="shared" si="4273"/>
        <v>0</v>
      </c>
      <c r="CK1176" s="552">
        <f t="shared" si="4273"/>
        <v>0</v>
      </c>
      <c r="CL1176" s="552">
        <f t="shared" si="4273"/>
        <v>0</v>
      </c>
      <c r="CM1176" s="552">
        <f t="shared" si="4273"/>
        <v>0</v>
      </c>
      <c r="CN1176" s="552">
        <f t="shared" si="4273"/>
        <v>0</v>
      </c>
      <c r="CO1176" s="552">
        <f t="shared" si="4273"/>
        <v>0</v>
      </c>
      <c r="CP1176" s="552">
        <f t="shared" si="4273"/>
        <v>0</v>
      </c>
      <c r="CQ1176" s="552">
        <f t="shared" si="4273"/>
        <v>0</v>
      </c>
      <c r="CR1176" s="552">
        <f t="shared" si="4273"/>
        <v>0</v>
      </c>
      <c r="CS1176" s="552">
        <f t="shared" si="4273"/>
        <v>0</v>
      </c>
      <c r="CT1176" s="552">
        <f t="shared" si="4273"/>
        <v>0</v>
      </c>
      <c r="CU1176" s="552">
        <f t="shared" si="4273"/>
        <v>0</v>
      </c>
      <c r="CV1176" s="552">
        <f t="shared" si="4273"/>
        <v>0</v>
      </c>
      <c r="CW1176" s="552">
        <f t="shared" si="4273"/>
        <v>0</v>
      </c>
      <c r="CX1176" s="552">
        <f t="shared" si="4273"/>
        <v>0</v>
      </c>
      <c r="CY1176" s="552">
        <f t="shared" si="4273"/>
        <v>0</v>
      </c>
      <c r="CZ1176" s="552">
        <f t="shared" si="4273"/>
        <v>0</v>
      </c>
      <c r="DA1176" s="552">
        <f t="shared" si="4273"/>
        <v>0</v>
      </c>
      <c r="DB1176" s="552">
        <f t="shared" ref="DB1176:EG1176" si="4274">DB220*DB$338</f>
        <v>0</v>
      </c>
      <c r="DC1176" s="552">
        <f t="shared" si="4274"/>
        <v>0</v>
      </c>
      <c r="DD1176" s="552">
        <f t="shared" si="4274"/>
        <v>0</v>
      </c>
      <c r="DE1176" s="552">
        <f t="shared" si="4274"/>
        <v>0</v>
      </c>
      <c r="DF1176" s="552">
        <f t="shared" si="4274"/>
        <v>0</v>
      </c>
      <c r="DG1176" s="552">
        <f t="shared" si="4274"/>
        <v>0</v>
      </c>
      <c r="DH1176" s="552">
        <f t="shared" si="4274"/>
        <v>0</v>
      </c>
      <c r="DI1176" s="552">
        <f t="shared" si="4274"/>
        <v>0</v>
      </c>
      <c r="DJ1176" s="552">
        <f t="shared" si="4274"/>
        <v>0</v>
      </c>
      <c r="DK1176" s="552">
        <f t="shared" si="4274"/>
        <v>0</v>
      </c>
      <c r="DL1176" s="552">
        <f t="shared" si="4274"/>
        <v>0</v>
      </c>
      <c r="DM1176" s="552">
        <f t="shared" si="4274"/>
        <v>0</v>
      </c>
      <c r="DN1176" s="552">
        <f t="shared" si="4274"/>
        <v>0</v>
      </c>
      <c r="DO1176" s="552">
        <f t="shared" si="4274"/>
        <v>0</v>
      </c>
      <c r="DP1176" s="552">
        <f t="shared" si="4274"/>
        <v>0</v>
      </c>
      <c r="DQ1176" s="552">
        <f t="shared" si="4274"/>
        <v>0</v>
      </c>
      <c r="DR1176" s="552">
        <f t="shared" si="4274"/>
        <v>0</v>
      </c>
      <c r="DS1176" s="552">
        <f t="shared" si="4274"/>
        <v>0</v>
      </c>
      <c r="DT1176" s="552">
        <f t="shared" si="4274"/>
        <v>0</v>
      </c>
      <c r="DU1176" s="552">
        <f t="shared" si="4274"/>
        <v>0</v>
      </c>
      <c r="DV1176" s="552">
        <f t="shared" si="4274"/>
        <v>0</v>
      </c>
      <c r="DW1176" s="552">
        <f t="shared" si="4274"/>
        <v>0</v>
      </c>
      <c r="DX1176" s="552">
        <f t="shared" si="4274"/>
        <v>0</v>
      </c>
      <c r="DY1176" s="552">
        <f t="shared" si="4274"/>
        <v>0</v>
      </c>
      <c r="DZ1176" s="552">
        <f t="shared" si="4274"/>
        <v>0</v>
      </c>
      <c r="EA1176" s="552">
        <f t="shared" si="4274"/>
        <v>0</v>
      </c>
      <c r="EB1176" s="552">
        <f t="shared" si="4274"/>
        <v>0</v>
      </c>
      <c r="EC1176" s="552">
        <f t="shared" si="4274"/>
        <v>0</v>
      </c>
      <c r="ED1176" s="552">
        <f t="shared" si="4274"/>
        <v>0</v>
      </c>
      <c r="EE1176" s="552">
        <f t="shared" si="4274"/>
        <v>0</v>
      </c>
      <c r="EF1176" s="552">
        <f t="shared" si="4274"/>
        <v>0</v>
      </c>
      <c r="EG1176" s="552">
        <f t="shared" si="4274"/>
        <v>0</v>
      </c>
      <c r="EH1176" s="552">
        <f t="shared" ref="EH1176:EX1176" si="4275">EH220*EH$338</f>
        <v>0</v>
      </c>
      <c r="EI1176" s="552">
        <f t="shared" si="4275"/>
        <v>0</v>
      </c>
      <c r="EJ1176" s="552">
        <f t="shared" si="4275"/>
        <v>0</v>
      </c>
      <c r="EK1176" s="552">
        <f t="shared" si="4275"/>
        <v>0</v>
      </c>
      <c r="EL1176" s="552">
        <f t="shared" si="4275"/>
        <v>0</v>
      </c>
      <c r="EM1176" s="552">
        <f t="shared" si="4275"/>
        <v>0</v>
      </c>
      <c r="EN1176" s="552">
        <f t="shared" si="4275"/>
        <v>0</v>
      </c>
      <c r="EO1176" s="552">
        <f t="shared" si="4275"/>
        <v>0</v>
      </c>
      <c r="EP1176" s="552">
        <f t="shared" si="4275"/>
        <v>0</v>
      </c>
      <c r="EQ1176" s="552">
        <f t="shared" si="4275"/>
        <v>0</v>
      </c>
      <c r="ER1176" s="552">
        <f t="shared" si="4275"/>
        <v>0</v>
      </c>
      <c r="ES1176" s="552">
        <f t="shared" si="4275"/>
        <v>0</v>
      </c>
      <c r="ET1176" s="552">
        <f t="shared" si="4275"/>
        <v>0</v>
      </c>
      <c r="EU1176" s="552">
        <f t="shared" si="4275"/>
        <v>0</v>
      </c>
      <c r="EV1176" s="552">
        <f t="shared" si="4275"/>
        <v>0</v>
      </c>
      <c r="EW1176" s="552">
        <f t="shared" si="4275"/>
        <v>0</v>
      </c>
      <c r="EX1176" s="552">
        <f t="shared" si="4275"/>
        <v>0</v>
      </c>
      <c r="EY1176" s="799">
        <f t="shared" si="3876"/>
        <v>0</v>
      </c>
      <c r="EZ1176" s="640"/>
      <c r="FA1176" s="640"/>
      <c r="FB1176" s="640"/>
      <c r="FC1176" s="640"/>
      <c r="FD1176" s="640"/>
      <c r="FE1176" s="640"/>
      <c r="FF1176" s="640"/>
      <c r="FG1176" s="640"/>
      <c r="FH1176" s="640"/>
      <c r="FI1176" s="640"/>
      <c r="FJ1176" s="640"/>
      <c r="FK1176" s="640"/>
      <c r="FL1176" s="640"/>
    </row>
    <row r="1177" spans="1:168" x14ac:dyDescent="0.25">
      <c r="A1177" s="1493"/>
      <c r="B1177" s="624">
        <f t="shared" si="4254"/>
        <v>0</v>
      </c>
      <c r="C1177" s="624">
        <f t="shared" si="4254"/>
        <v>0</v>
      </c>
      <c r="D1177" s="624">
        <f t="shared" si="4254"/>
        <v>0</v>
      </c>
      <c r="E1177" s="1158">
        <f t="shared" si="4255"/>
        <v>0</v>
      </c>
      <c r="F1177" s="1158"/>
      <c r="G1177" s="1140"/>
      <c r="H1177" s="1140"/>
      <c r="I1177" s="552"/>
      <c r="J1177" s="552">
        <f>J221*J$338</f>
        <v>0</v>
      </c>
      <c r="K1177" s="552">
        <f t="shared" ref="K1177:BV1177" si="4276">K221*K$338</f>
        <v>0</v>
      </c>
      <c r="L1177" s="552">
        <f t="shared" si="4276"/>
        <v>0</v>
      </c>
      <c r="M1177" s="552">
        <f t="shared" si="4276"/>
        <v>0</v>
      </c>
      <c r="N1177" s="552">
        <f t="shared" si="4276"/>
        <v>0</v>
      </c>
      <c r="O1177" s="552">
        <f t="shared" si="4276"/>
        <v>0</v>
      </c>
      <c r="P1177" s="552">
        <f t="shared" si="4276"/>
        <v>0</v>
      </c>
      <c r="Q1177" s="552">
        <f t="shared" si="4276"/>
        <v>0</v>
      </c>
      <c r="R1177" s="552">
        <f t="shared" si="4276"/>
        <v>0</v>
      </c>
      <c r="S1177" s="552">
        <f t="shared" si="4276"/>
        <v>0</v>
      </c>
      <c r="T1177" s="552">
        <f t="shared" si="4276"/>
        <v>0</v>
      </c>
      <c r="U1177" s="552">
        <f t="shared" si="4276"/>
        <v>0</v>
      </c>
      <c r="V1177" s="552">
        <f t="shared" si="4276"/>
        <v>0</v>
      </c>
      <c r="W1177" s="552">
        <f t="shared" si="4276"/>
        <v>0</v>
      </c>
      <c r="X1177" s="552">
        <f t="shared" si="4276"/>
        <v>0</v>
      </c>
      <c r="Y1177" s="552">
        <f t="shared" si="4276"/>
        <v>0</v>
      </c>
      <c r="Z1177" s="552">
        <f t="shared" si="4276"/>
        <v>0</v>
      </c>
      <c r="AA1177" s="552">
        <f t="shared" si="4276"/>
        <v>0</v>
      </c>
      <c r="AB1177" s="552">
        <f t="shared" si="4276"/>
        <v>0</v>
      </c>
      <c r="AC1177" s="552">
        <f t="shared" si="4276"/>
        <v>0</v>
      </c>
      <c r="AD1177" s="552">
        <f t="shared" si="4276"/>
        <v>0</v>
      </c>
      <c r="AE1177" s="552">
        <f t="shared" si="4276"/>
        <v>0</v>
      </c>
      <c r="AF1177" s="552">
        <f t="shared" si="4276"/>
        <v>0</v>
      </c>
      <c r="AG1177" s="552">
        <f t="shared" si="4276"/>
        <v>0</v>
      </c>
      <c r="AH1177" s="552">
        <f t="shared" si="4276"/>
        <v>0</v>
      </c>
      <c r="AI1177" s="552">
        <f t="shared" si="4276"/>
        <v>0</v>
      </c>
      <c r="AJ1177" s="552">
        <f t="shared" si="4276"/>
        <v>0</v>
      </c>
      <c r="AK1177" s="552">
        <f t="shared" si="4276"/>
        <v>0</v>
      </c>
      <c r="AL1177" s="552">
        <f t="shared" si="4276"/>
        <v>0</v>
      </c>
      <c r="AM1177" s="552">
        <f t="shared" si="4276"/>
        <v>0</v>
      </c>
      <c r="AN1177" s="552">
        <f t="shared" si="4276"/>
        <v>0</v>
      </c>
      <c r="AO1177" s="552">
        <f t="shared" si="4276"/>
        <v>0</v>
      </c>
      <c r="AP1177" s="552">
        <f t="shared" si="4276"/>
        <v>0</v>
      </c>
      <c r="AQ1177" s="552">
        <f t="shared" si="4276"/>
        <v>0</v>
      </c>
      <c r="AR1177" s="552">
        <f t="shared" si="4276"/>
        <v>0</v>
      </c>
      <c r="AS1177" s="552">
        <f t="shared" si="4276"/>
        <v>0</v>
      </c>
      <c r="AT1177" s="552">
        <f t="shared" si="4276"/>
        <v>0</v>
      </c>
      <c r="AU1177" s="552">
        <f t="shared" si="4276"/>
        <v>0</v>
      </c>
      <c r="AV1177" s="552">
        <f t="shared" si="4276"/>
        <v>0</v>
      </c>
      <c r="AW1177" s="552">
        <f t="shared" si="4276"/>
        <v>0</v>
      </c>
      <c r="AX1177" s="552">
        <f t="shared" si="4276"/>
        <v>0</v>
      </c>
      <c r="AY1177" s="552">
        <f t="shared" si="4276"/>
        <v>0</v>
      </c>
      <c r="AZ1177" s="552">
        <f t="shared" si="4276"/>
        <v>0</v>
      </c>
      <c r="BA1177" s="552">
        <f t="shared" si="4276"/>
        <v>0</v>
      </c>
      <c r="BB1177" s="552">
        <f t="shared" si="4276"/>
        <v>0</v>
      </c>
      <c r="BC1177" s="552">
        <f t="shared" si="4276"/>
        <v>0</v>
      </c>
      <c r="BD1177" s="552">
        <f t="shared" si="4276"/>
        <v>0</v>
      </c>
      <c r="BE1177" s="552">
        <f t="shared" si="4276"/>
        <v>0</v>
      </c>
      <c r="BF1177" s="552">
        <f t="shared" si="4276"/>
        <v>0</v>
      </c>
      <c r="BG1177" s="552">
        <f t="shared" si="4276"/>
        <v>0</v>
      </c>
      <c r="BH1177" s="552">
        <f t="shared" si="4276"/>
        <v>0</v>
      </c>
      <c r="BI1177" s="552">
        <f t="shared" si="4276"/>
        <v>0</v>
      </c>
      <c r="BJ1177" s="552">
        <f t="shared" si="4276"/>
        <v>0</v>
      </c>
      <c r="BK1177" s="552">
        <f t="shared" si="4276"/>
        <v>0</v>
      </c>
      <c r="BL1177" s="552">
        <f t="shared" si="4276"/>
        <v>0</v>
      </c>
      <c r="BM1177" s="552">
        <f t="shared" si="4276"/>
        <v>0</v>
      </c>
      <c r="BN1177" s="552">
        <f t="shared" si="4276"/>
        <v>0</v>
      </c>
      <c r="BO1177" s="552">
        <f t="shared" si="4276"/>
        <v>0</v>
      </c>
      <c r="BP1177" s="552">
        <f t="shared" si="4276"/>
        <v>0</v>
      </c>
      <c r="BQ1177" s="552">
        <f t="shared" si="4276"/>
        <v>0</v>
      </c>
      <c r="BR1177" s="552">
        <f t="shared" si="4276"/>
        <v>0</v>
      </c>
      <c r="BS1177" s="552">
        <f t="shared" si="4276"/>
        <v>0</v>
      </c>
      <c r="BT1177" s="552">
        <f t="shared" si="4276"/>
        <v>0</v>
      </c>
      <c r="BU1177" s="552">
        <f t="shared" si="4276"/>
        <v>0</v>
      </c>
      <c r="BV1177" s="552">
        <f t="shared" si="4276"/>
        <v>0</v>
      </c>
      <c r="BW1177" s="552">
        <f t="shared" ref="BW1177:DB1177" si="4277">BW221*BW$338</f>
        <v>0</v>
      </c>
      <c r="BX1177" s="552">
        <f t="shared" si="4277"/>
        <v>0</v>
      </c>
      <c r="BY1177" s="552">
        <f t="shared" si="4277"/>
        <v>0</v>
      </c>
      <c r="BZ1177" s="552">
        <f t="shared" si="4277"/>
        <v>0</v>
      </c>
      <c r="CA1177" s="552">
        <f t="shared" si="4277"/>
        <v>0</v>
      </c>
      <c r="CB1177" s="552">
        <f t="shared" si="4277"/>
        <v>0</v>
      </c>
      <c r="CC1177" s="552">
        <f t="shared" si="4277"/>
        <v>0</v>
      </c>
      <c r="CD1177" s="552">
        <f t="shared" si="4277"/>
        <v>0</v>
      </c>
      <c r="CE1177" s="552">
        <f t="shared" si="4277"/>
        <v>0</v>
      </c>
      <c r="CF1177" s="552">
        <f t="shared" si="4277"/>
        <v>0</v>
      </c>
      <c r="CG1177" s="552">
        <f t="shared" si="4277"/>
        <v>0</v>
      </c>
      <c r="CH1177" s="552">
        <f t="shared" si="4277"/>
        <v>0</v>
      </c>
      <c r="CI1177" s="552">
        <f t="shared" si="4277"/>
        <v>0</v>
      </c>
      <c r="CJ1177" s="552">
        <f t="shared" si="4277"/>
        <v>0</v>
      </c>
      <c r="CK1177" s="552">
        <f t="shared" si="4277"/>
        <v>0</v>
      </c>
      <c r="CL1177" s="552">
        <f t="shared" si="4277"/>
        <v>0</v>
      </c>
      <c r="CM1177" s="552">
        <f t="shared" si="4277"/>
        <v>0</v>
      </c>
      <c r="CN1177" s="552">
        <f t="shared" si="4277"/>
        <v>0</v>
      </c>
      <c r="CO1177" s="552">
        <f t="shared" si="4277"/>
        <v>0</v>
      </c>
      <c r="CP1177" s="552">
        <f t="shared" si="4277"/>
        <v>0</v>
      </c>
      <c r="CQ1177" s="552">
        <f t="shared" si="4277"/>
        <v>0</v>
      </c>
      <c r="CR1177" s="552">
        <f t="shared" si="4277"/>
        <v>0</v>
      </c>
      <c r="CS1177" s="552">
        <f t="shared" si="4277"/>
        <v>0</v>
      </c>
      <c r="CT1177" s="552">
        <f t="shared" si="4277"/>
        <v>0</v>
      </c>
      <c r="CU1177" s="552">
        <f t="shared" si="4277"/>
        <v>0</v>
      </c>
      <c r="CV1177" s="552">
        <f t="shared" si="4277"/>
        <v>0</v>
      </c>
      <c r="CW1177" s="552">
        <f t="shared" si="4277"/>
        <v>0</v>
      </c>
      <c r="CX1177" s="552">
        <f t="shared" si="4277"/>
        <v>0</v>
      </c>
      <c r="CY1177" s="552">
        <f t="shared" si="4277"/>
        <v>0</v>
      </c>
      <c r="CZ1177" s="552">
        <f t="shared" si="4277"/>
        <v>0</v>
      </c>
      <c r="DA1177" s="552">
        <f t="shared" si="4277"/>
        <v>0</v>
      </c>
      <c r="DB1177" s="552">
        <f t="shared" si="4277"/>
        <v>0</v>
      </c>
      <c r="DC1177" s="552">
        <f t="shared" ref="DC1177:EH1177" si="4278">DC221*DC$338</f>
        <v>0</v>
      </c>
      <c r="DD1177" s="552">
        <f t="shared" si="4278"/>
        <v>0</v>
      </c>
      <c r="DE1177" s="552">
        <f t="shared" si="4278"/>
        <v>0</v>
      </c>
      <c r="DF1177" s="552">
        <f t="shared" si="4278"/>
        <v>0</v>
      </c>
      <c r="DG1177" s="552">
        <f t="shared" si="4278"/>
        <v>0</v>
      </c>
      <c r="DH1177" s="552">
        <f t="shared" si="4278"/>
        <v>0</v>
      </c>
      <c r="DI1177" s="552">
        <f t="shared" si="4278"/>
        <v>0</v>
      </c>
      <c r="DJ1177" s="552">
        <f t="shared" si="4278"/>
        <v>0</v>
      </c>
      <c r="DK1177" s="552">
        <f t="shared" si="4278"/>
        <v>0</v>
      </c>
      <c r="DL1177" s="552">
        <f t="shared" si="4278"/>
        <v>0</v>
      </c>
      <c r="DM1177" s="552">
        <f t="shared" si="4278"/>
        <v>0</v>
      </c>
      <c r="DN1177" s="552">
        <f t="shared" si="4278"/>
        <v>0</v>
      </c>
      <c r="DO1177" s="552">
        <f t="shared" si="4278"/>
        <v>0</v>
      </c>
      <c r="DP1177" s="552">
        <f t="shared" si="4278"/>
        <v>0</v>
      </c>
      <c r="DQ1177" s="552">
        <f t="shared" si="4278"/>
        <v>0</v>
      </c>
      <c r="DR1177" s="552">
        <f t="shared" si="4278"/>
        <v>0</v>
      </c>
      <c r="DS1177" s="552">
        <f t="shared" si="4278"/>
        <v>0</v>
      </c>
      <c r="DT1177" s="552">
        <f t="shared" si="4278"/>
        <v>0</v>
      </c>
      <c r="DU1177" s="552">
        <f t="shared" si="4278"/>
        <v>0</v>
      </c>
      <c r="DV1177" s="552">
        <f t="shared" si="4278"/>
        <v>0</v>
      </c>
      <c r="DW1177" s="552">
        <f t="shared" si="4278"/>
        <v>0</v>
      </c>
      <c r="DX1177" s="552">
        <f t="shared" si="4278"/>
        <v>0</v>
      </c>
      <c r="DY1177" s="552">
        <f t="shared" si="4278"/>
        <v>0</v>
      </c>
      <c r="DZ1177" s="552">
        <f t="shared" si="4278"/>
        <v>0</v>
      </c>
      <c r="EA1177" s="552">
        <f t="shared" si="4278"/>
        <v>0</v>
      </c>
      <c r="EB1177" s="552">
        <f t="shared" si="4278"/>
        <v>0</v>
      </c>
      <c r="EC1177" s="552">
        <f t="shared" si="4278"/>
        <v>0</v>
      </c>
      <c r="ED1177" s="552">
        <f t="shared" si="4278"/>
        <v>0</v>
      </c>
      <c r="EE1177" s="552">
        <f t="shared" si="4278"/>
        <v>0</v>
      </c>
      <c r="EF1177" s="552">
        <f t="shared" si="4278"/>
        <v>0</v>
      </c>
      <c r="EG1177" s="552">
        <f t="shared" si="4278"/>
        <v>0</v>
      </c>
      <c r="EH1177" s="552">
        <f t="shared" si="4278"/>
        <v>0</v>
      </c>
      <c r="EI1177" s="552">
        <f t="shared" ref="EI1177:EX1177" si="4279">EI221*EI$338</f>
        <v>0</v>
      </c>
      <c r="EJ1177" s="552">
        <f t="shared" si="4279"/>
        <v>0</v>
      </c>
      <c r="EK1177" s="552">
        <f t="shared" si="4279"/>
        <v>0</v>
      </c>
      <c r="EL1177" s="552">
        <f t="shared" si="4279"/>
        <v>0</v>
      </c>
      <c r="EM1177" s="552">
        <f t="shared" si="4279"/>
        <v>0</v>
      </c>
      <c r="EN1177" s="552">
        <f t="shared" si="4279"/>
        <v>0</v>
      </c>
      <c r="EO1177" s="552">
        <f t="shared" si="4279"/>
        <v>0</v>
      </c>
      <c r="EP1177" s="552">
        <f t="shared" si="4279"/>
        <v>0</v>
      </c>
      <c r="EQ1177" s="552">
        <f t="shared" si="4279"/>
        <v>0</v>
      </c>
      <c r="ER1177" s="552">
        <f t="shared" si="4279"/>
        <v>0</v>
      </c>
      <c r="ES1177" s="552">
        <f t="shared" si="4279"/>
        <v>0</v>
      </c>
      <c r="ET1177" s="552">
        <f t="shared" si="4279"/>
        <v>0</v>
      </c>
      <c r="EU1177" s="552">
        <f t="shared" si="4279"/>
        <v>0</v>
      </c>
      <c r="EV1177" s="552">
        <f t="shared" si="4279"/>
        <v>0</v>
      </c>
      <c r="EW1177" s="552">
        <f t="shared" si="4279"/>
        <v>0</v>
      </c>
      <c r="EX1177" s="552">
        <f t="shared" si="4279"/>
        <v>0</v>
      </c>
      <c r="EY1177" s="799">
        <f t="shared" si="3876"/>
        <v>0</v>
      </c>
      <c r="EZ1177" s="640"/>
      <c r="FA1177" s="640"/>
      <c r="FB1177" s="640"/>
      <c r="FC1177" s="640"/>
      <c r="FD1177" s="640"/>
      <c r="FE1177" s="640"/>
      <c r="FF1177" s="640"/>
      <c r="FG1177" s="640"/>
      <c r="FH1177" s="640"/>
      <c r="FI1177" s="640"/>
      <c r="FJ1177" s="640"/>
      <c r="FK1177" s="640"/>
      <c r="FL1177" s="640"/>
    </row>
    <row r="1178" spans="1:168" x14ac:dyDescent="0.25">
      <c r="A1178" s="254"/>
      <c r="B1178" s="625" t="s">
        <v>801</v>
      </c>
      <c r="C1178" s="1135"/>
      <c r="D1178" s="1138">
        <f>SUM(D1173:D1177)</f>
        <v>0</v>
      </c>
      <c r="E1178" s="1138">
        <f t="shared" ref="E1178:J1178" si="4280">SUM(E1173:E1177)</f>
        <v>0</v>
      </c>
      <c r="F1178" s="1138"/>
      <c r="G1178" s="1138">
        <f t="shared" si="4280"/>
        <v>0</v>
      </c>
      <c r="H1178" s="1138">
        <f t="shared" si="4280"/>
        <v>0</v>
      </c>
      <c r="I1178" s="554"/>
      <c r="J1178" s="1138">
        <f t="shared" si="4280"/>
        <v>0</v>
      </c>
      <c r="K1178" s="1138">
        <f t="shared" ref="K1178" si="4281">SUM(K1173:K1177)</f>
        <v>0</v>
      </c>
      <c r="L1178" s="1138">
        <f t="shared" ref="L1178" si="4282">SUM(L1173:L1177)</f>
        <v>0</v>
      </c>
      <c r="M1178" s="1138">
        <f t="shared" ref="M1178" si="4283">SUM(M1173:M1177)</f>
        <v>0</v>
      </c>
      <c r="N1178" s="1138">
        <f t="shared" ref="N1178" si="4284">SUM(N1173:N1177)</f>
        <v>0</v>
      </c>
      <c r="O1178" s="1138">
        <f t="shared" ref="O1178" si="4285">SUM(O1173:O1177)</f>
        <v>0</v>
      </c>
      <c r="P1178" s="1138">
        <f t="shared" ref="P1178" si="4286">SUM(P1173:P1177)</f>
        <v>0</v>
      </c>
      <c r="Q1178" s="1138">
        <f t="shared" ref="Q1178" si="4287">SUM(Q1173:Q1177)</f>
        <v>0</v>
      </c>
      <c r="R1178" s="1138">
        <f t="shared" ref="R1178" si="4288">SUM(R1173:R1177)</f>
        <v>0</v>
      </c>
      <c r="S1178" s="1138">
        <f t="shared" ref="S1178" si="4289">SUM(S1173:S1177)</f>
        <v>0</v>
      </c>
      <c r="T1178" s="1138">
        <f t="shared" ref="T1178" si="4290">SUM(T1173:T1177)</f>
        <v>0</v>
      </c>
      <c r="U1178" s="1138">
        <f t="shared" ref="U1178" si="4291">SUM(U1173:U1177)</f>
        <v>0</v>
      </c>
      <c r="V1178" s="1138">
        <f t="shared" ref="V1178" si="4292">SUM(V1173:V1177)</f>
        <v>0</v>
      </c>
      <c r="W1178" s="1138">
        <f t="shared" ref="W1178" si="4293">SUM(W1173:W1177)</f>
        <v>0</v>
      </c>
      <c r="X1178" s="1138">
        <f t="shared" ref="X1178" si="4294">SUM(X1173:X1177)</f>
        <v>0</v>
      </c>
      <c r="Y1178" s="1138">
        <f t="shared" ref="Y1178" si="4295">SUM(Y1173:Y1177)</f>
        <v>0</v>
      </c>
      <c r="Z1178" s="1138">
        <f t="shared" ref="Z1178" si="4296">SUM(Z1173:Z1177)</f>
        <v>0</v>
      </c>
      <c r="AA1178" s="1138">
        <f t="shared" ref="AA1178" si="4297">SUM(AA1173:AA1177)</f>
        <v>0</v>
      </c>
      <c r="AB1178" s="1138">
        <f t="shared" ref="AB1178" si="4298">SUM(AB1173:AB1177)</f>
        <v>0</v>
      </c>
      <c r="AC1178" s="1138">
        <f t="shared" ref="AC1178" si="4299">SUM(AC1173:AC1177)</f>
        <v>0</v>
      </c>
      <c r="AD1178" s="1138">
        <f t="shared" ref="AD1178" si="4300">SUM(AD1173:AD1177)</f>
        <v>0</v>
      </c>
      <c r="AE1178" s="1138">
        <f t="shared" ref="AE1178" si="4301">SUM(AE1173:AE1177)</f>
        <v>0</v>
      </c>
      <c r="AF1178" s="1138">
        <f t="shared" ref="AF1178" si="4302">SUM(AF1173:AF1177)</f>
        <v>0</v>
      </c>
      <c r="AG1178" s="1138">
        <f t="shared" ref="AG1178" si="4303">SUM(AG1173:AG1177)</f>
        <v>0</v>
      </c>
      <c r="AH1178" s="1138">
        <f t="shared" ref="AH1178" si="4304">SUM(AH1173:AH1177)</f>
        <v>0</v>
      </c>
      <c r="AI1178" s="1138">
        <f t="shared" ref="AI1178" si="4305">SUM(AI1173:AI1177)</f>
        <v>0</v>
      </c>
      <c r="AJ1178" s="1138">
        <f t="shared" ref="AJ1178" si="4306">SUM(AJ1173:AJ1177)</f>
        <v>0</v>
      </c>
      <c r="AK1178" s="1138">
        <f t="shared" ref="AK1178" si="4307">SUM(AK1173:AK1177)</f>
        <v>0</v>
      </c>
      <c r="AL1178" s="1138">
        <f t="shared" ref="AL1178" si="4308">SUM(AL1173:AL1177)</f>
        <v>0</v>
      </c>
      <c r="AM1178" s="1138">
        <f t="shared" ref="AM1178" si="4309">SUM(AM1173:AM1177)</f>
        <v>0</v>
      </c>
      <c r="AN1178" s="1138">
        <f t="shared" ref="AN1178" si="4310">SUM(AN1173:AN1177)</f>
        <v>0</v>
      </c>
      <c r="AO1178" s="1138">
        <f t="shared" ref="AO1178" si="4311">SUM(AO1173:AO1177)</f>
        <v>0</v>
      </c>
      <c r="AP1178" s="1138">
        <f t="shared" ref="AP1178" si="4312">SUM(AP1173:AP1177)</f>
        <v>0</v>
      </c>
      <c r="AQ1178" s="1138">
        <f t="shared" ref="AQ1178" si="4313">SUM(AQ1173:AQ1177)</f>
        <v>0</v>
      </c>
      <c r="AR1178" s="1138">
        <f t="shared" ref="AR1178" si="4314">SUM(AR1173:AR1177)</f>
        <v>0</v>
      </c>
      <c r="AS1178" s="1138">
        <f t="shared" ref="AS1178" si="4315">SUM(AS1173:AS1177)</f>
        <v>0</v>
      </c>
      <c r="AT1178" s="1138">
        <f t="shared" ref="AT1178" si="4316">SUM(AT1173:AT1177)</f>
        <v>0</v>
      </c>
      <c r="AU1178" s="1138">
        <f t="shared" ref="AU1178" si="4317">SUM(AU1173:AU1177)</f>
        <v>0</v>
      </c>
      <c r="AV1178" s="1138">
        <f t="shared" ref="AV1178" si="4318">SUM(AV1173:AV1177)</f>
        <v>0</v>
      </c>
      <c r="AW1178" s="1138">
        <f t="shared" ref="AW1178" si="4319">SUM(AW1173:AW1177)</f>
        <v>0</v>
      </c>
      <c r="AX1178" s="1138">
        <f t="shared" ref="AX1178" si="4320">SUM(AX1173:AX1177)</f>
        <v>0</v>
      </c>
      <c r="AY1178" s="1138">
        <f t="shared" ref="AY1178" si="4321">SUM(AY1173:AY1177)</f>
        <v>0</v>
      </c>
      <c r="AZ1178" s="1138">
        <f t="shared" ref="AZ1178" si="4322">SUM(AZ1173:AZ1177)</f>
        <v>0</v>
      </c>
      <c r="BA1178" s="1138">
        <f t="shared" ref="BA1178" si="4323">SUM(BA1173:BA1177)</f>
        <v>0</v>
      </c>
      <c r="BB1178" s="1138">
        <f t="shared" ref="BB1178" si="4324">SUM(BB1173:BB1177)</f>
        <v>0</v>
      </c>
      <c r="BC1178" s="1138">
        <f t="shared" ref="BC1178" si="4325">SUM(BC1173:BC1177)</f>
        <v>0</v>
      </c>
      <c r="BD1178" s="1138">
        <f t="shared" ref="BD1178" si="4326">SUM(BD1173:BD1177)</f>
        <v>0</v>
      </c>
      <c r="BE1178" s="1138">
        <f t="shared" ref="BE1178" si="4327">SUM(BE1173:BE1177)</f>
        <v>0</v>
      </c>
      <c r="BF1178" s="1138">
        <f t="shared" ref="BF1178" si="4328">SUM(BF1173:BF1177)</f>
        <v>0</v>
      </c>
      <c r="BG1178" s="1138">
        <f t="shared" ref="BG1178" si="4329">SUM(BG1173:BG1177)</f>
        <v>0</v>
      </c>
      <c r="BH1178" s="1138">
        <f t="shared" ref="BH1178" si="4330">SUM(BH1173:BH1177)</f>
        <v>0</v>
      </c>
      <c r="BI1178" s="1138">
        <f t="shared" ref="BI1178" si="4331">SUM(BI1173:BI1177)</f>
        <v>0</v>
      </c>
      <c r="BJ1178" s="1138">
        <f t="shared" ref="BJ1178" si="4332">SUM(BJ1173:BJ1177)</f>
        <v>0</v>
      </c>
      <c r="BK1178" s="1138">
        <f t="shared" ref="BK1178" si="4333">SUM(BK1173:BK1177)</f>
        <v>0</v>
      </c>
      <c r="BL1178" s="1138">
        <f t="shared" ref="BL1178" si="4334">SUM(BL1173:BL1177)</f>
        <v>0</v>
      </c>
      <c r="BM1178" s="1138">
        <f t="shared" ref="BM1178" si="4335">SUM(BM1173:BM1177)</f>
        <v>0</v>
      </c>
      <c r="BN1178" s="1138">
        <f t="shared" ref="BN1178" si="4336">SUM(BN1173:BN1177)</f>
        <v>0</v>
      </c>
      <c r="BO1178" s="1138">
        <f t="shared" ref="BO1178" si="4337">SUM(BO1173:BO1177)</f>
        <v>0</v>
      </c>
      <c r="BP1178" s="1138">
        <f t="shared" ref="BP1178" si="4338">SUM(BP1173:BP1177)</f>
        <v>0</v>
      </c>
      <c r="BQ1178" s="1138">
        <f t="shared" ref="BQ1178" si="4339">SUM(BQ1173:BQ1177)</f>
        <v>0</v>
      </c>
      <c r="BR1178" s="1138">
        <f t="shared" ref="BR1178" si="4340">SUM(BR1173:BR1177)</f>
        <v>0</v>
      </c>
      <c r="BS1178" s="1138">
        <f t="shared" ref="BS1178" si="4341">SUM(BS1173:BS1177)</f>
        <v>0</v>
      </c>
      <c r="BT1178" s="1138">
        <f t="shared" ref="BT1178" si="4342">SUM(BT1173:BT1177)</f>
        <v>0</v>
      </c>
      <c r="BU1178" s="1138">
        <f t="shared" ref="BU1178" si="4343">SUM(BU1173:BU1177)</f>
        <v>0</v>
      </c>
      <c r="BV1178" s="1138">
        <f t="shared" ref="BV1178" si="4344">SUM(BV1173:BV1177)</f>
        <v>0</v>
      </c>
      <c r="BW1178" s="1138">
        <f t="shared" ref="BW1178" si="4345">SUM(BW1173:BW1177)</f>
        <v>0</v>
      </c>
      <c r="BX1178" s="1138">
        <f t="shared" ref="BX1178" si="4346">SUM(BX1173:BX1177)</f>
        <v>0</v>
      </c>
      <c r="BY1178" s="1138">
        <f t="shared" ref="BY1178" si="4347">SUM(BY1173:BY1177)</f>
        <v>0</v>
      </c>
      <c r="BZ1178" s="1138">
        <f t="shared" ref="BZ1178" si="4348">SUM(BZ1173:BZ1177)</f>
        <v>0</v>
      </c>
      <c r="CA1178" s="1138">
        <f t="shared" ref="CA1178" si="4349">SUM(CA1173:CA1177)</f>
        <v>0</v>
      </c>
      <c r="CB1178" s="1138">
        <f t="shared" ref="CB1178" si="4350">SUM(CB1173:CB1177)</f>
        <v>0</v>
      </c>
      <c r="CC1178" s="1138">
        <f t="shared" ref="CC1178" si="4351">SUM(CC1173:CC1177)</f>
        <v>0</v>
      </c>
      <c r="CD1178" s="1138">
        <f t="shared" ref="CD1178" si="4352">SUM(CD1173:CD1177)</f>
        <v>0</v>
      </c>
      <c r="CE1178" s="1138">
        <f t="shared" ref="CE1178" si="4353">SUM(CE1173:CE1177)</f>
        <v>0</v>
      </c>
      <c r="CF1178" s="1138">
        <f t="shared" ref="CF1178" si="4354">SUM(CF1173:CF1177)</f>
        <v>0</v>
      </c>
      <c r="CG1178" s="1138">
        <f t="shared" ref="CG1178" si="4355">SUM(CG1173:CG1177)</f>
        <v>0</v>
      </c>
      <c r="CH1178" s="1138">
        <f t="shared" ref="CH1178" si="4356">SUM(CH1173:CH1177)</f>
        <v>0</v>
      </c>
      <c r="CI1178" s="1138">
        <f t="shared" ref="CI1178" si="4357">SUM(CI1173:CI1177)</f>
        <v>0</v>
      </c>
      <c r="CJ1178" s="1138">
        <f t="shared" ref="CJ1178" si="4358">SUM(CJ1173:CJ1177)</f>
        <v>0</v>
      </c>
      <c r="CK1178" s="1138">
        <f t="shared" ref="CK1178" si="4359">SUM(CK1173:CK1177)</f>
        <v>0</v>
      </c>
      <c r="CL1178" s="1138">
        <f t="shared" ref="CL1178" si="4360">SUM(CL1173:CL1177)</f>
        <v>0</v>
      </c>
      <c r="CM1178" s="1138">
        <f t="shared" ref="CM1178" si="4361">SUM(CM1173:CM1177)</f>
        <v>0</v>
      </c>
      <c r="CN1178" s="1138">
        <f t="shared" ref="CN1178" si="4362">SUM(CN1173:CN1177)</f>
        <v>0</v>
      </c>
      <c r="CO1178" s="1138">
        <f t="shared" ref="CO1178" si="4363">SUM(CO1173:CO1177)</f>
        <v>0</v>
      </c>
      <c r="CP1178" s="1138">
        <f t="shared" ref="CP1178" si="4364">SUM(CP1173:CP1177)</f>
        <v>0</v>
      </c>
      <c r="CQ1178" s="1138">
        <f t="shared" ref="CQ1178" si="4365">SUM(CQ1173:CQ1177)</f>
        <v>0</v>
      </c>
      <c r="CR1178" s="1138">
        <f t="shared" ref="CR1178" si="4366">SUM(CR1173:CR1177)</f>
        <v>0</v>
      </c>
      <c r="CS1178" s="1138">
        <f t="shared" ref="CS1178" si="4367">SUM(CS1173:CS1177)</f>
        <v>0</v>
      </c>
      <c r="CT1178" s="1138">
        <f t="shared" ref="CT1178" si="4368">SUM(CT1173:CT1177)</f>
        <v>0</v>
      </c>
      <c r="CU1178" s="1138">
        <f t="shared" ref="CU1178" si="4369">SUM(CU1173:CU1177)</f>
        <v>0</v>
      </c>
      <c r="CV1178" s="1138">
        <f t="shared" ref="CV1178" si="4370">SUM(CV1173:CV1177)</f>
        <v>0</v>
      </c>
      <c r="CW1178" s="1138">
        <f t="shared" ref="CW1178" si="4371">SUM(CW1173:CW1177)</f>
        <v>0</v>
      </c>
      <c r="CX1178" s="1138">
        <f t="shared" ref="CX1178" si="4372">SUM(CX1173:CX1177)</f>
        <v>0</v>
      </c>
      <c r="CY1178" s="1138">
        <f t="shared" ref="CY1178" si="4373">SUM(CY1173:CY1177)</f>
        <v>0</v>
      </c>
      <c r="CZ1178" s="1138">
        <f t="shared" ref="CZ1178" si="4374">SUM(CZ1173:CZ1177)</f>
        <v>0</v>
      </c>
      <c r="DA1178" s="1138">
        <f t="shared" ref="DA1178" si="4375">SUM(DA1173:DA1177)</f>
        <v>0</v>
      </c>
      <c r="DB1178" s="1138">
        <f t="shared" ref="DB1178" si="4376">SUM(DB1173:DB1177)</f>
        <v>0</v>
      </c>
      <c r="DC1178" s="1138">
        <f t="shared" ref="DC1178" si="4377">SUM(DC1173:DC1177)</f>
        <v>0</v>
      </c>
      <c r="DD1178" s="1138">
        <f t="shared" ref="DD1178" si="4378">SUM(DD1173:DD1177)</f>
        <v>0</v>
      </c>
      <c r="DE1178" s="1138">
        <f t="shared" ref="DE1178" si="4379">SUM(DE1173:DE1177)</f>
        <v>0</v>
      </c>
      <c r="DF1178" s="1138">
        <f t="shared" ref="DF1178" si="4380">SUM(DF1173:DF1177)</f>
        <v>0</v>
      </c>
      <c r="DG1178" s="1138">
        <f t="shared" ref="DG1178" si="4381">SUM(DG1173:DG1177)</f>
        <v>0</v>
      </c>
      <c r="DH1178" s="1138">
        <f t="shared" ref="DH1178" si="4382">SUM(DH1173:DH1177)</f>
        <v>0</v>
      </c>
      <c r="DI1178" s="1138">
        <f t="shared" ref="DI1178" si="4383">SUM(DI1173:DI1177)</f>
        <v>0</v>
      </c>
      <c r="DJ1178" s="1138">
        <f t="shared" ref="DJ1178" si="4384">SUM(DJ1173:DJ1177)</f>
        <v>0</v>
      </c>
      <c r="DK1178" s="1138">
        <f t="shared" ref="DK1178" si="4385">SUM(DK1173:DK1177)</f>
        <v>0</v>
      </c>
      <c r="DL1178" s="1138">
        <f t="shared" ref="DL1178" si="4386">SUM(DL1173:DL1177)</f>
        <v>0</v>
      </c>
      <c r="DM1178" s="1138">
        <f t="shared" ref="DM1178" si="4387">SUM(DM1173:DM1177)</f>
        <v>0</v>
      </c>
      <c r="DN1178" s="1138">
        <f t="shared" ref="DN1178" si="4388">SUM(DN1173:DN1177)</f>
        <v>0</v>
      </c>
      <c r="DO1178" s="1138">
        <f t="shared" ref="DO1178" si="4389">SUM(DO1173:DO1177)</f>
        <v>0</v>
      </c>
      <c r="DP1178" s="1138">
        <f t="shared" ref="DP1178" si="4390">SUM(DP1173:DP1177)</f>
        <v>0</v>
      </c>
      <c r="DQ1178" s="1138">
        <f t="shared" ref="DQ1178" si="4391">SUM(DQ1173:DQ1177)</f>
        <v>0</v>
      </c>
      <c r="DR1178" s="1138">
        <f t="shared" ref="DR1178" si="4392">SUM(DR1173:DR1177)</f>
        <v>0</v>
      </c>
      <c r="DS1178" s="1138">
        <f t="shared" ref="DS1178" si="4393">SUM(DS1173:DS1177)</f>
        <v>0</v>
      </c>
      <c r="DT1178" s="1138">
        <f t="shared" ref="DT1178" si="4394">SUM(DT1173:DT1177)</f>
        <v>0</v>
      </c>
      <c r="DU1178" s="1138">
        <f t="shared" ref="DU1178" si="4395">SUM(DU1173:DU1177)</f>
        <v>0</v>
      </c>
      <c r="DV1178" s="1138">
        <f t="shared" ref="DV1178" si="4396">SUM(DV1173:DV1177)</f>
        <v>0</v>
      </c>
      <c r="DW1178" s="1138">
        <f t="shared" ref="DW1178" si="4397">SUM(DW1173:DW1177)</f>
        <v>0</v>
      </c>
      <c r="DX1178" s="1138">
        <f t="shared" ref="DX1178" si="4398">SUM(DX1173:DX1177)</f>
        <v>0</v>
      </c>
      <c r="DY1178" s="1138">
        <f t="shared" ref="DY1178" si="4399">SUM(DY1173:DY1177)</f>
        <v>0</v>
      </c>
      <c r="DZ1178" s="1138">
        <f t="shared" ref="DZ1178" si="4400">SUM(DZ1173:DZ1177)</f>
        <v>0</v>
      </c>
      <c r="EA1178" s="1138">
        <f t="shared" ref="EA1178" si="4401">SUM(EA1173:EA1177)</f>
        <v>0</v>
      </c>
      <c r="EB1178" s="1138">
        <f t="shared" ref="EB1178" si="4402">SUM(EB1173:EB1177)</f>
        <v>0</v>
      </c>
      <c r="EC1178" s="1138">
        <f t="shared" ref="EC1178" si="4403">SUM(EC1173:EC1177)</f>
        <v>0</v>
      </c>
      <c r="ED1178" s="1138">
        <f t="shared" ref="ED1178" si="4404">SUM(ED1173:ED1177)</f>
        <v>0</v>
      </c>
      <c r="EE1178" s="1138">
        <f t="shared" ref="EE1178" si="4405">SUM(EE1173:EE1177)</f>
        <v>0</v>
      </c>
      <c r="EF1178" s="1138">
        <f t="shared" ref="EF1178" si="4406">SUM(EF1173:EF1177)</f>
        <v>0</v>
      </c>
      <c r="EG1178" s="1138">
        <f t="shared" ref="EG1178" si="4407">SUM(EG1173:EG1177)</f>
        <v>0</v>
      </c>
      <c r="EH1178" s="1138">
        <f t="shared" ref="EH1178" si="4408">SUM(EH1173:EH1177)</f>
        <v>0</v>
      </c>
      <c r="EI1178" s="1138">
        <f t="shared" ref="EI1178" si="4409">SUM(EI1173:EI1177)</f>
        <v>0</v>
      </c>
      <c r="EJ1178" s="1138">
        <f t="shared" ref="EJ1178" si="4410">SUM(EJ1173:EJ1177)</f>
        <v>0</v>
      </c>
      <c r="EK1178" s="1138">
        <f t="shared" ref="EK1178" si="4411">SUM(EK1173:EK1177)</f>
        <v>0</v>
      </c>
      <c r="EL1178" s="1138">
        <f t="shared" ref="EL1178" si="4412">SUM(EL1173:EL1177)</f>
        <v>0</v>
      </c>
      <c r="EM1178" s="1138">
        <f t="shared" ref="EM1178" si="4413">SUM(EM1173:EM1177)</f>
        <v>0</v>
      </c>
      <c r="EN1178" s="1138">
        <f t="shared" ref="EN1178" si="4414">SUM(EN1173:EN1177)</f>
        <v>0</v>
      </c>
      <c r="EO1178" s="1138">
        <f t="shared" ref="EO1178" si="4415">SUM(EO1173:EO1177)</f>
        <v>0</v>
      </c>
      <c r="EP1178" s="1138">
        <f t="shared" ref="EP1178" si="4416">SUM(EP1173:EP1177)</f>
        <v>0</v>
      </c>
      <c r="EQ1178" s="1138">
        <f t="shared" ref="EQ1178" si="4417">SUM(EQ1173:EQ1177)</f>
        <v>0</v>
      </c>
      <c r="ER1178" s="1138">
        <f t="shared" ref="ER1178" si="4418">SUM(ER1173:ER1177)</f>
        <v>0</v>
      </c>
      <c r="ES1178" s="1138">
        <f t="shared" ref="ES1178" si="4419">SUM(ES1173:ES1177)</f>
        <v>0</v>
      </c>
      <c r="ET1178" s="1138">
        <f t="shared" ref="ET1178" si="4420">SUM(ET1173:ET1177)</f>
        <v>0</v>
      </c>
      <c r="EU1178" s="1138">
        <f t="shared" ref="EU1178" si="4421">SUM(EU1173:EU1177)</f>
        <v>0</v>
      </c>
      <c r="EV1178" s="1138">
        <f t="shared" ref="EV1178" si="4422">SUM(EV1173:EV1177)</f>
        <v>0</v>
      </c>
      <c r="EW1178" s="1138">
        <f t="shared" ref="EW1178" si="4423">SUM(EW1173:EW1177)</f>
        <v>0</v>
      </c>
      <c r="EX1178" s="1138">
        <f t="shared" ref="EX1178:FL1178" si="4424">SUM(EX1173:EX1177)</f>
        <v>0</v>
      </c>
      <c r="EY1178" s="1138">
        <f t="shared" si="4424"/>
        <v>0</v>
      </c>
      <c r="EZ1178" s="1138">
        <f t="shared" si="4424"/>
        <v>0</v>
      </c>
      <c r="FA1178" s="1138">
        <f t="shared" si="4424"/>
        <v>0</v>
      </c>
      <c r="FB1178" s="1138">
        <f t="shared" si="4424"/>
        <v>0</v>
      </c>
      <c r="FC1178" s="1138">
        <f t="shared" si="4424"/>
        <v>0</v>
      </c>
      <c r="FD1178" s="1138">
        <f t="shared" si="4424"/>
        <v>0</v>
      </c>
      <c r="FE1178" s="1138">
        <f t="shared" si="4424"/>
        <v>0</v>
      </c>
      <c r="FF1178" s="1138">
        <f t="shared" si="4424"/>
        <v>0</v>
      </c>
      <c r="FG1178" s="1138">
        <f t="shared" si="4424"/>
        <v>0</v>
      </c>
      <c r="FH1178" s="1138">
        <f t="shared" si="4424"/>
        <v>0</v>
      </c>
      <c r="FI1178" s="1138">
        <f t="shared" si="4424"/>
        <v>0</v>
      </c>
      <c r="FJ1178" s="1138">
        <f t="shared" si="4424"/>
        <v>0</v>
      </c>
      <c r="FK1178" s="1138">
        <f t="shared" si="4424"/>
        <v>0</v>
      </c>
      <c r="FL1178" s="1138">
        <f t="shared" si="4424"/>
        <v>0</v>
      </c>
    </row>
    <row r="1179" spans="1:168" x14ac:dyDescent="0.25">
      <c r="A1179" s="254"/>
      <c r="B1179" s="625" t="s">
        <v>214</v>
      </c>
      <c r="C1179" s="1135"/>
      <c r="D1179" s="1138">
        <f>D1162+D1172+D1178</f>
        <v>65.150000000000006</v>
      </c>
      <c r="E1179" s="1138">
        <f t="shared" ref="E1179:J1179" si="4425">E1162+E1172+E1178</f>
        <v>211.71</v>
      </c>
      <c r="F1179" s="1138"/>
      <c r="G1179" s="1138">
        <f t="shared" si="4425"/>
        <v>0</v>
      </c>
      <c r="H1179" s="1138">
        <f t="shared" si="4425"/>
        <v>0</v>
      </c>
      <c r="I1179" s="554"/>
      <c r="J1179" s="1138">
        <f t="shared" si="4425"/>
        <v>84</v>
      </c>
      <c r="K1179" s="1138">
        <f t="shared" ref="K1179" si="4426">K1162+K1172+K1178</f>
        <v>0</v>
      </c>
      <c r="L1179" s="1138">
        <f t="shared" ref="L1179" si="4427">L1162+L1172+L1178</f>
        <v>0</v>
      </c>
      <c r="M1179" s="1138">
        <f t="shared" ref="M1179" si="4428">M1162+M1172+M1178</f>
        <v>0</v>
      </c>
      <c r="N1179" s="1138">
        <f t="shared" ref="N1179" si="4429">N1162+N1172+N1178</f>
        <v>0</v>
      </c>
      <c r="O1179" s="1138">
        <f t="shared" ref="O1179" si="4430">O1162+O1172+O1178</f>
        <v>0</v>
      </c>
      <c r="P1179" s="1138">
        <f t="shared" ref="P1179" si="4431">P1162+P1172+P1178</f>
        <v>0</v>
      </c>
      <c r="Q1179" s="1138">
        <f t="shared" ref="Q1179" si="4432">Q1162+Q1172+Q1178</f>
        <v>0</v>
      </c>
      <c r="R1179" s="1138">
        <f t="shared" ref="R1179" si="4433">R1162+R1172+R1178</f>
        <v>0</v>
      </c>
      <c r="S1179" s="1138">
        <f t="shared" ref="S1179" si="4434">S1162+S1172+S1178</f>
        <v>0</v>
      </c>
      <c r="T1179" s="1138">
        <f t="shared" ref="T1179" si="4435">T1162+T1172+T1178</f>
        <v>0</v>
      </c>
      <c r="U1179" s="1138">
        <f t="shared" ref="U1179" si="4436">U1162+U1172+U1178</f>
        <v>0</v>
      </c>
      <c r="V1179" s="1138">
        <f t="shared" ref="V1179" si="4437">V1162+V1172+V1178</f>
        <v>14.38</v>
      </c>
      <c r="W1179" s="1138">
        <f t="shared" ref="W1179" si="4438">W1162+W1172+W1178</f>
        <v>15.1</v>
      </c>
      <c r="X1179" s="1138">
        <f t="shared" ref="X1179" si="4439">X1162+X1172+X1178</f>
        <v>32.340000000000003</v>
      </c>
      <c r="Y1179" s="1138">
        <f t="shared" ref="Y1179" si="4440">Y1162+Y1172+Y1178</f>
        <v>7.25</v>
      </c>
      <c r="Z1179" s="1138">
        <f t="shared" ref="Z1179" si="4441">Z1162+Z1172+Z1178</f>
        <v>7.5</v>
      </c>
      <c r="AA1179" s="1138">
        <f t="shared" ref="AA1179" si="4442">AA1162+AA1172+AA1178</f>
        <v>0</v>
      </c>
      <c r="AB1179" s="1138">
        <f t="shared" ref="AB1179" si="4443">AB1162+AB1172+AB1178</f>
        <v>0</v>
      </c>
      <c r="AC1179" s="1138">
        <f t="shared" ref="AC1179" si="4444">AC1162+AC1172+AC1178</f>
        <v>0</v>
      </c>
      <c r="AD1179" s="1138">
        <f t="shared" ref="AD1179" si="4445">AD1162+AD1172+AD1178</f>
        <v>0</v>
      </c>
      <c r="AE1179" s="1138">
        <f t="shared" ref="AE1179" si="4446">AE1162+AE1172+AE1178</f>
        <v>0.91</v>
      </c>
      <c r="AF1179" s="1138">
        <f t="shared" ref="AF1179" si="4447">AF1162+AF1172+AF1178</f>
        <v>1.33</v>
      </c>
      <c r="AG1179" s="1138">
        <f t="shared" ref="AG1179" si="4448">AG1162+AG1172+AG1178</f>
        <v>0</v>
      </c>
      <c r="AH1179" s="1138">
        <f t="shared" ref="AH1179" si="4449">AH1162+AH1172+AH1178</f>
        <v>1.34</v>
      </c>
      <c r="AI1179" s="1138">
        <f t="shared" ref="AI1179" si="4450">AI1162+AI1172+AI1178</f>
        <v>0</v>
      </c>
      <c r="AJ1179" s="1138">
        <f t="shared" ref="AJ1179" si="4451">AJ1162+AJ1172+AJ1178</f>
        <v>0</v>
      </c>
      <c r="AK1179" s="1138">
        <f t="shared" ref="AK1179" si="4452">AK1162+AK1172+AK1178</f>
        <v>1.45</v>
      </c>
      <c r="AL1179" s="1138">
        <f t="shared" ref="AL1179" si="4453">AL1162+AL1172+AL1178</f>
        <v>0.84</v>
      </c>
      <c r="AM1179" s="1138">
        <f t="shared" ref="AM1179" si="4454">AM1162+AM1172+AM1178</f>
        <v>0</v>
      </c>
      <c r="AN1179" s="1138">
        <f t="shared" ref="AN1179" si="4455">AN1162+AN1172+AN1178</f>
        <v>3.76</v>
      </c>
      <c r="AO1179" s="1138">
        <f t="shared" ref="AO1179" si="4456">AO1162+AO1172+AO1178</f>
        <v>1.9</v>
      </c>
      <c r="AP1179" s="1138">
        <f t="shared" ref="AP1179" si="4457">AP1162+AP1172+AP1178</f>
        <v>0</v>
      </c>
      <c r="AQ1179" s="1138">
        <f t="shared" ref="AQ1179" si="4458">AQ1162+AQ1172+AQ1178</f>
        <v>0.63</v>
      </c>
      <c r="AR1179" s="1138">
        <f t="shared" ref="AR1179" si="4459">AR1162+AR1172+AR1178</f>
        <v>0</v>
      </c>
      <c r="AS1179" s="1138">
        <f t="shared" ref="AS1179" si="4460">AS1162+AS1172+AS1178</f>
        <v>0</v>
      </c>
      <c r="AT1179" s="1138">
        <f t="shared" ref="AT1179" si="4461">AT1162+AT1172+AT1178</f>
        <v>0.98</v>
      </c>
      <c r="AU1179" s="1138">
        <f t="shared" ref="AU1179" si="4462">AU1162+AU1172+AU1178</f>
        <v>1.44</v>
      </c>
      <c r="AV1179" s="1138">
        <f t="shared" ref="AV1179" si="4463">AV1162+AV1172+AV1178</f>
        <v>0</v>
      </c>
      <c r="AW1179" s="1138">
        <f t="shared" ref="AW1179" si="4464">AW1162+AW1172+AW1178</f>
        <v>0</v>
      </c>
      <c r="AX1179" s="1138">
        <f t="shared" ref="AX1179" si="4465">AX1162+AX1172+AX1178</f>
        <v>1.5</v>
      </c>
      <c r="AY1179" s="1138">
        <f t="shared" ref="AY1179" si="4466">AY1162+AY1172+AY1178</f>
        <v>0</v>
      </c>
      <c r="AZ1179" s="1138">
        <f t="shared" ref="AZ1179" si="4467">AZ1162+AZ1172+AZ1178</f>
        <v>0</v>
      </c>
      <c r="BA1179" s="1138">
        <f t="shared" ref="BA1179" si="4468">BA1162+BA1172+BA1178</f>
        <v>0</v>
      </c>
      <c r="BB1179" s="1138">
        <f t="shared" ref="BB1179" si="4469">BB1162+BB1172+BB1178</f>
        <v>0</v>
      </c>
      <c r="BC1179" s="1138">
        <f t="shared" ref="BC1179" si="4470">BC1162+BC1172+BC1178</f>
        <v>0</v>
      </c>
      <c r="BD1179" s="1138">
        <f t="shared" ref="BD1179" si="4471">BD1162+BD1172+BD1178</f>
        <v>0</v>
      </c>
      <c r="BE1179" s="1138">
        <f t="shared" ref="BE1179" si="4472">BE1162+BE1172+BE1178</f>
        <v>0</v>
      </c>
      <c r="BF1179" s="1138">
        <f t="shared" ref="BF1179" si="4473">BF1162+BF1172+BF1178</f>
        <v>0</v>
      </c>
      <c r="BG1179" s="1138">
        <f t="shared" ref="BG1179" si="4474">BG1162+BG1172+BG1178</f>
        <v>0</v>
      </c>
      <c r="BH1179" s="1138">
        <f t="shared" ref="BH1179" si="4475">BH1162+BH1172+BH1178</f>
        <v>0</v>
      </c>
      <c r="BI1179" s="1138">
        <f t="shared" ref="BI1179" si="4476">BI1162+BI1172+BI1178</f>
        <v>0</v>
      </c>
      <c r="BJ1179" s="1138">
        <f t="shared" ref="BJ1179" si="4477">BJ1162+BJ1172+BJ1178</f>
        <v>0</v>
      </c>
      <c r="BK1179" s="1138">
        <f t="shared" ref="BK1179" si="4478">BK1162+BK1172+BK1178</f>
        <v>0</v>
      </c>
      <c r="BL1179" s="1138">
        <f t="shared" ref="BL1179" si="4479">BL1162+BL1172+BL1178</f>
        <v>0</v>
      </c>
      <c r="BM1179" s="1138">
        <f t="shared" ref="BM1179" si="4480">BM1162+BM1172+BM1178</f>
        <v>0</v>
      </c>
      <c r="BN1179" s="1138">
        <f t="shared" ref="BN1179" si="4481">BN1162+BN1172+BN1178</f>
        <v>0</v>
      </c>
      <c r="BO1179" s="1138">
        <f t="shared" ref="BO1179" si="4482">BO1162+BO1172+BO1178</f>
        <v>0</v>
      </c>
      <c r="BP1179" s="1138">
        <f t="shared" ref="BP1179" si="4483">BP1162+BP1172+BP1178</f>
        <v>0</v>
      </c>
      <c r="BQ1179" s="1138">
        <f t="shared" ref="BQ1179" si="4484">BQ1162+BQ1172+BQ1178</f>
        <v>0</v>
      </c>
      <c r="BR1179" s="1138">
        <f t="shared" ref="BR1179" si="4485">BR1162+BR1172+BR1178</f>
        <v>0</v>
      </c>
      <c r="BS1179" s="1138">
        <f t="shared" ref="BS1179" si="4486">BS1162+BS1172+BS1178</f>
        <v>0.2</v>
      </c>
      <c r="BT1179" s="1138">
        <f t="shared" ref="BT1179" si="4487">BT1162+BT1172+BT1178</f>
        <v>6.89</v>
      </c>
      <c r="BU1179" s="1138">
        <f t="shared" ref="BU1179" si="4488">BU1162+BU1172+BU1178</f>
        <v>0.4</v>
      </c>
      <c r="BV1179" s="1138">
        <f t="shared" ref="BV1179" si="4489">BV1162+BV1172+BV1178</f>
        <v>0</v>
      </c>
      <c r="BW1179" s="1138">
        <f t="shared" ref="BW1179" si="4490">BW1162+BW1172+BW1178</f>
        <v>0</v>
      </c>
      <c r="BX1179" s="1138">
        <f t="shared" ref="BX1179" si="4491">BX1162+BX1172+BX1178</f>
        <v>0</v>
      </c>
      <c r="BY1179" s="1138">
        <f t="shared" ref="BY1179" si="4492">BY1162+BY1172+BY1178</f>
        <v>0</v>
      </c>
      <c r="BZ1179" s="1138">
        <f t="shared" ref="BZ1179" si="4493">BZ1162+BZ1172+BZ1178</f>
        <v>0</v>
      </c>
      <c r="CA1179" s="1138">
        <f t="shared" ref="CA1179" si="4494">CA1162+CA1172+CA1178</f>
        <v>0</v>
      </c>
      <c r="CB1179" s="1138">
        <f t="shared" ref="CB1179" si="4495">CB1162+CB1172+CB1178</f>
        <v>0</v>
      </c>
      <c r="CC1179" s="1138">
        <f t="shared" ref="CC1179" si="4496">CC1162+CC1172+CC1178</f>
        <v>0</v>
      </c>
      <c r="CD1179" s="1138">
        <f t="shared" ref="CD1179" si="4497">CD1162+CD1172+CD1178</f>
        <v>0</v>
      </c>
      <c r="CE1179" s="1138">
        <f t="shared" ref="CE1179" si="4498">CE1162+CE1172+CE1178</f>
        <v>0</v>
      </c>
      <c r="CF1179" s="1138">
        <f t="shared" ref="CF1179" si="4499">CF1162+CF1172+CF1178</f>
        <v>1.44</v>
      </c>
      <c r="CG1179" s="1138">
        <f t="shared" ref="CG1179" si="4500">CG1162+CG1172+CG1178</f>
        <v>0</v>
      </c>
      <c r="CH1179" s="1138">
        <f t="shared" ref="CH1179" si="4501">CH1162+CH1172+CH1178</f>
        <v>0</v>
      </c>
      <c r="CI1179" s="1138">
        <f t="shared" ref="CI1179" si="4502">CI1162+CI1172+CI1178</f>
        <v>0.1</v>
      </c>
      <c r="CJ1179" s="1138">
        <f t="shared" ref="CJ1179" si="4503">CJ1162+CJ1172+CJ1178</f>
        <v>0</v>
      </c>
      <c r="CK1179" s="1138">
        <f t="shared" ref="CK1179" si="4504">CK1162+CK1172+CK1178</f>
        <v>0</v>
      </c>
      <c r="CL1179" s="1138">
        <f t="shared" ref="CL1179" si="4505">CL1162+CL1172+CL1178</f>
        <v>0</v>
      </c>
      <c r="CM1179" s="1138">
        <f t="shared" ref="CM1179" si="4506">CM1162+CM1172+CM1178</f>
        <v>4.8</v>
      </c>
      <c r="CN1179" s="1138">
        <f t="shared" ref="CN1179" si="4507">CN1162+CN1172+CN1178</f>
        <v>0</v>
      </c>
      <c r="CO1179" s="1138">
        <f t="shared" ref="CO1179" si="4508">CO1162+CO1172+CO1178</f>
        <v>0</v>
      </c>
      <c r="CP1179" s="1138">
        <f t="shared" ref="CP1179" si="4509">CP1162+CP1172+CP1178</f>
        <v>0</v>
      </c>
      <c r="CQ1179" s="1138">
        <f t="shared" ref="CQ1179" si="4510">CQ1162+CQ1172+CQ1178</f>
        <v>0.06</v>
      </c>
      <c r="CR1179" s="1138">
        <f t="shared" ref="CR1179" si="4511">CR1162+CR1172+CR1178</f>
        <v>0</v>
      </c>
      <c r="CS1179" s="1138">
        <f t="shared" ref="CS1179" si="4512">CS1162+CS1172+CS1178</f>
        <v>0.03</v>
      </c>
      <c r="CT1179" s="1138">
        <f t="shared" ref="CT1179" si="4513">CT1162+CT1172+CT1178</f>
        <v>0</v>
      </c>
      <c r="CU1179" s="1138">
        <f t="shared" ref="CU1179" si="4514">CU1162+CU1172+CU1178</f>
        <v>0</v>
      </c>
      <c r="CV1179" s="1138">
        <f t="shared" ref="CV1179" si="4515">CV1162+CV1172+CV1178</f>
        <v>0</v>
      </c>
      <c r="CW1179" s="1138">
        <f t="shared" ref="CW1179" si="4516">CW1162+CW1172+CW1178</f>
        <v>0</v>
      </c>
      <c r="CX1179" s="1138">
        <f t="shared" ref="CX1179" si="4517">CX1162+CX1172+CX1178</f>
        <v>0</v>
      </c>
      <c r="CY1179" s="1138">
        <f t="shared" ref="CY1179" si="4518">CY1162+CY1172+CY1178</f>
        <v>0</v>
      </c>
      <c r="CZ1179" s="1138">
        <f t="shared" ref="CZ1179" si="4519">CZ1162+CZ1172+CZ1178</f>
        <v>3.61</v>
      </c>
      <c r="DA1179" s="1138">
        <f t="shared" ref="DA1179" si="4520">DA1162+DA1172+DA1178</f>
        <v>0</v>
      </c>
      <c r="DB1179" s="1138">
        <f t="shared" ref="DB1179" si="4521">DB1162+DB1172+DB1178</f>
        <v>0</v>
      </c>
      <c r="DC1179" s="1138">
        <f t="shared" ref="DC1179" si="4522">DC1162+DC1172+DC1178</f>
        <v>0.23</v>
      </c>
      <c r="DD1179" s="1138">
        <f t="shared" ref="DD1179" si="4523">DD1162+DD1172+DD1178</f>
        <v>0.59</v>
      </c>
      <c r="DE1179" s="1138">
        <f t="shared" ref="DE1179" si="4524">DE1162+DE1172+DE1178</f>
        <v>2.6</v>
      </c>
      <c r="DF1179" s="1138">
        <f t="shared" ref="DF1179" si="4525">DF1162+DF1172+DF1178</f>
        <v>4.26</v>
      </c>
      <c r="DG1179" s="1138">
        <f t="shared" ref="DG1179" si="4526">DG1162+DG1172+DG1178</f>
        <v>0</v>
      </c>
      <c r="DH1179" s="1138">
        <f t="shared" ref="DH1179" si="4527">DH1162+DH1172+DH1178</f>
        <v>0</v>
      </c>
      <c r="DI1179" s="1138">
        <f t="shared" ref="DI1179" si="4528">DI1162+DI1172+DI1178</f>
        <v>0</v>
      </c>
      <c r="DJ1179" s="1138">
        <f t="shared" ref="DJ1179" si="4529">DJ1162+DJ1172+DJ1178</f>
        <v>0</v>
      </c>
      <c r="DK1179" s="1138">
        <f t="shared" ref="DK1179" si="4530">DK1162+DK1172+DK1178</f>
        <v>0</v>
      </c>
      <c r="DL1179" s="1138">
        <f t="shared" ref="DL1179" si="4531">DL1162+DL1172+DL1178</f>
        <v>0</v>
      </c>
      <c r="DM1179" s="1138">
        <f t="shared" ref="DM1179" si="4532">DM1162+DM1172+DM1178</f>
        <v>0</v>
      </c>
      <c r="DN1179" s="1138">
        <f t="shared" ref="DN1179" si="4533">DN1162+DN1172+DN1178</f>
        <v>0</v>
      </c>
      <c r="DO1179" s="1138">
        <f t="shared" ref="DO1179" si="4534">DO1162+DO1172+DO1178</f>
        <v>0</v>
      </c>
      <c r="DP1179" s="1138">
        <f t="shared" ref="DP1179" si="4535">DP1162+DP1172+DP1178</f>
        <v>0</v>
      </c>
      <c r="DQ1179" s="1138">
        <f t="shared" ref="DQ1179" si="4536">DQ1162+DQ1172+DQ1178</f>
        <v>0</v>
      </c>
      <c r="DR1179" s="1138">
        <f t="shared" ref="DR1179" si="4537">DR1162+DR1172+DR1178</f>
        <v>0.45</v>
      </c>
      <c r="DS1179" s="1138">
        <f t="shared" ref="DS1179" si="4538">DS1162+DS1172+DS1178</f>
        <v>0</v>
      </c>
      <c r="DT1179" s="1138">
        <f t="shared" ref="DT1179" si="4539">DT1162+DT1172+DT1178</f>
        <v>0</v>
      </c>
      <c r="DU1179" s="1138">
        <f t="shared" ref="DU1179" si="4540">DU1162+DU1172+DU1178</f>
        <v>0</v>
      </c>
      <c r="DV1179" s="1138">
        <f t="shared" ref="DV1179" si="4541">DV1162+DV1172+DV1178</f>
        <v>0</v>
      </c>
      <c r="DW1179" s="1138">
        <f t="shared" ref="DW1179" si="4542">DW1162+DW1172+DW1178</f>
        <v>0</v>
      </c>
      <c r="DX1179" s="1138">
        <f t="shared" ref="DX1179" si="4543">DX1162+DX1172+DX1178</f>
        <v>0</v>
      </c>
      <c r="DY1179" s="1138">
        <f t="shared" ref="DY1179" si="4544">DY1162+DY1172+DY1178</f>
        <v>0</v>
      </c>
      <c r="DZ1179" s="1138">
        <f t="shared" ref="DZ1179" si="4545">DZ1162+DZ1172+DZ1178</f>
        <v>0</v>
      </c>
      <c r="EA1179" s="1138">
        <f t="shared" ref="EA1179" si="4546">EA1162+EA1172+EA1178</f>
        <v>0</v>
      </c>
      <c r="EB1179" s="1138">
        <f t="shared" ref="EB1179" si="4547">EB1162+EB1172+EB1178</f>
        <v>2.9</v>
      </c>
      <c r="EC1179" s="1138">
        <f t="shared" ref="EC1179" si="4548">EC1162+EC1172+EC1178</f>
        <v>0</v>
      </c>
      <c r="ED1179" s="1138">
        <f t="shared" ref="ED1179" si="4549">ED1162+ED1172+ED1178</f>
        <v>0</v>
      </c>
      <c r="EE1179" s="1138">
        <f t="shared" ref="EE1179" si="4550">EE1162+EE1172+EE1178</f>
        <v>0</v>
      </c>
      <c r="EF1179" s="1138">
        <f t="shared" ref="EF1179" si="4551">EF1162+EF1172+EF1178</f>
        <v>0</v>
      </c>
      <c r="EG1179" s="1138">
        <f t="shared" ref="EG1179" si="4552">EG1162+EG1172+EG1178</f>
        <v>0</v>
      </c>
      <c r="EH1179" s="1138">
        <f t="shared" ref="EH1179" si="4553">EH1162+EH1172+EH1178</f>
        <v>0</v>
      </c>
      <c r="EI1179" s="1138">
        <f t="shared" ref="EI1179" si="4554">EI1162+EI1172+EI1178</f>
        <v>0</v>
      </c>
      <c r="EJ1179" s="1138">
        <f t="shared" ref="EJ1179" si="4555">EJ1162+EJ1172+EJ1178</f>
        <v>0</v>
      </c>
      <c r="EK1179" s="1138">
        <f t="shared" ref="EK1179" si="4556">EK1162+EK1172+EK1178</f>
        <v>0</v>
      </c>
      <c r="EL1179" s="1138">
        <f t="shared" ref="EL1179" si="4557">EL1162+EL1172+EL1178</f>
        <v>0</v>
      </c>
      <c r="EM1179" s="1138">
        <f t="shared" ref="EM1179" si="4558">EM1162+EM1172+EM1178</f>
        <v>0</v>
      </c>
      <c r="EN1179" s="1138">
        <f t="shared" ref="EN1179" si="4559">EN1162+EN1172+EN1178</f>
        <v>0</v>
      </c>
      <c r="EO1179" s="1138">
        <f t="shared" ref="EO1179" si="4560">EO1162+EO1172+EO1178</f>
        <v>0</v>
      </c>
      <c r="EP1179" s="1138">
        <f t="shared" ref="EP1179" si="4561">EP1162+EP1172+EP1178</f>
        <v>0</v>
      </c>
      <c r="EQ1179" s="1138">
        <f t="shared" ref="EQ1179" si="4562">EQ1162+EQ1172+EQ1178</f>
        <v>0</v>
      </c>
      <c r="ER1179" s="1138">
        <f t="shared" ref="ER1179" si="4563">ER1162+ER1172+ER1178</f>
        <v>0</v>
      </c>
      <c r="ES1179" s="1138">
        <f t="shared" ref="ES1179" si="4564">ES1162+ES1172+ES1178</f>
        <v>0</v>
      </c>
      <c r="ET1179" s="1138">
        <f t="shared" ref="ET1179" si="4565">ET1162+ET1172+ET1178</f>
        <v>0</v>
      </c>
      <c r="EU1179" s="1138">
        <f t="shared" ref="EU1179" si="4566">EU1162+EU1172+EU1178</f>
        <v>0</v>
      </c>
      <c r="EV1179" s="1138">
        <f t="shared" ref="EV1179" si="4567">EV1162+EV1172+EV1178</f>
        <v>3.25</v>
      </c>
      <c r="EW1179" s="1138">
        <f t="shared" ref="EW1179" si="4568">EW1162+EW1172+EW1178</f>
        <v>3.25</v>
      </c>
      <c r="EX1179" s="1138">
        <f t="shared" ref="EX1179:FL1179" si="4569">EX1162+EX1172+EX1178</f>
        <v>0</v>
      </c>
      <c r="EY1179" s="1138">
        <f t="shared" si="4569"/>
        <v>211.71</v>
      </c>
      <c r="EZ1179" s="1138">
        <f t="shared" si="4569"/>
        <v>0</v>
      </c>
      <c r="FA1179" s="1138">
        <f t="shared" si="4569"/>
        <v>0</v>
      </c>
      <c r="FB1179" s="1138">
        <f t="shared" si="4569"/>
        <v>0</v>
      </c>
      <c r="FC1179" s="1138">
        <f t="shared" si="4569"/>
        <v>0</v>
      </c>
      <c r="FD1179" s="1138">
        <f t="shared" si="4569"/>
        <v>0</v>
      </c>
      <c r="FE1179" s="1138">
        <f t="shared" si="4569"/>
        <v>0</v>
      </c>
      <c r="FF1179" s="1138">
        <f t="shared" si="4569"/>
        <v>0</v>
      </c>
      <c r="FG1179" s="1138">
        <f t="shared" si="4569"/>
        <v>0</v>
      </c>
      <c r="FH1179" s="1138">
        <f t="shared" si="4569"/>
        <v>0</v>
      </c>
      <c r="FI1179" s="1138">
        <f t="shared" si="4569"/>
        <v>0</v>
      </c>
      <c r="FJ1179" s="1138">
        <f t="shared" si="4569"/>
        <v>0</v>
      </c>
      <c r="FK1179" s="1138">
        <f t="shared" si="4569"/>
        <v>0</v>
      </c>
      <c r="FL1179" s="1138">
        <f t="shared" si="4569"/>
        <v>0</v>
      </c>
    </row>
    <row r="1180" spans="1:168" s="550" customFormat="1" x14ac:dyDescent="0.25">
      <c r="A1180" s="549"/>
      <c r="B1180" s="626" t="s">
        <v>755</v>
      </c>
      <c r="C1180" s="1136"/>
      <c r="D1180" s="1136"/>
      <c r="E1180" s="1141"/>
      <c r="F1180" s="1141"/>
      <c r="G1180" s="1141"/>
      <c r="H1180" s="1141"/>
      <c r="I1180" s="560"/>
      <c r="J1180" s="560"/>
      <c r="K1180" s="560"/>
      <c r="L1180" s="560"/>
      <c r="M1180" s="560"/>
      <c r="N1180" s="560"/>
      <c r="O1180" s="560"/>
      <c r="P1180" s="560"/>
      <c r="Q1180" s="560"/>
      <c r="R1180" s="560"/>
      <c r="S1180" s="560"/>
      <c r="T1180" s="560"/>
      <c r="U1180" s="560"/>
      <c r="V1180" s="560"/>
      <c r="W1180" s="560"/>
      <c r="X1180" s="560"/>
      <c r="Y1180" s="560"/>
      <c r="Z1180" s="560"/>
      <c r="AA1180" s="560"/>
      <c r="AB1180" s="560"/>
      <c r="AC1180" s="560"/>
      <c r="AD1180" s="560"/>
      <c r="AE1180" s="560"/>
      <c r="AF1180" s="560"/>
      <c r="AG1180" s="560"/>
      <c r="AH1180" s="560"/>
      <c r="AI1180" s="560"/>
      <c r="AJ1180" s="560"/>
      <c r="AK1180" s="560"/>
      <c r="AL1180" s="560"/>
      <c r="AM1180" s="560"/>
      <c r="AN1180" s="560"/>
      <c r="AO1180" s="560"/>
      <c r="AP1180" s="560"/>
      <c r="AQ1180" s="560"/>
      <c r="AR1180" s="560"/>
      <c r="AS1180" s="560"/>
      <c r="AT1180" s="560"/>
      <c r="AU1180" s="560"/>
      <c r="AV1180" s="560"/>
      <c r="AW1180" s="560"/>
      <c r="AX1180" s="560"/>
      <c r="AY1180" s="560"/>
      <c r="AZ1180" s="560"/>
      <c r="BA1180" s="560"/>
      <c r="BB1180" s="560"/>
      <c r="BC1180" s="560"/>
      <c r="BD1180" s="560"/>
      <c r="BE1180" s="560"/>
      <c r="BF1180" s="560"/>
      <c r="BG1180" s="560"/>
      <c r="BH1180" s="560"/>
      <c r="BI1180" s="560"/>
      <c r="BJ1180" s="560"/>
      <c r="BK1180" s="560"/>
      <c r="BL1180" s="560"/>
      <c r="BM1180" s="560"/>
      <c r="BN1180" s="560"/>
      <c r="BO1180" s="560"/>
      <c r="BP1180" s="560"/>
      <c r="BQ1180" s="560"/>
      <c r="BR1180" s="560"/>
      <c r="BS1180" s="560"/>
      <c r="BT1180" s="560"/>
      <c r="BU1180" s="560"/>
      <c r="BV1180" s="560"/>
      <c r="BW1180" s="560"/>
      <c r="BX1180" s="560"/>
      <c r="BY1180" s="560"/>
      <c r="BZ1180" s="560"/>
      <c r="CA1180" s="560"/>
      <c r="CB1180" s="560"/>
      <c r="CC1180" s="560"/>
      <c r="CD1180" s="560"/>
      <c r="CE1180" s="560"/>
      <c r="CF1180" s="560"/>
      <c r="CG1180" s="560"/>
      <c r="CH1180" s="560"/>
      <c r="CI1180" s="560"/>
      <c r="CJ1180" s="560"/>
      <c r="CK1180" s="560"/>
      <c r="CL1180" s="560"/>
      <c r="CM1180" s="560"/>
      <c r="CN1180" s="560"/>
      <c r="CO1180" s="560"/>
      <c r="CP1180" s="560"/>
      <c r="CQ1180" s="560"/>
      <c r="CR1180" s="560"/>
      <c r="CS1180" s="560"/>
      <c r="CT1180" s="560"/>
      <c r="CU1180" s="560"/>
      <c r="CV1180" s="560"/>
      <c r="CW1180" s="560"/>
      <c r="CX1180" s="560"/>
      <c r="CY1180" s="560"/>
      <c r="CZ1180" s="560"/>
      <c r="DA1180" s="560"/>
      <c r="DB1180" s="560"/>
      <c r="DC1180" s="560"/>
      <c r="DD1180" s="560"/>
      <c r="DE1180" s="560"/>
      <c r="DF1180" s="560"/>
      <c r="DG1180" s="560"/>
      <c r="DH1180" s="560"/>
      <c r="DI1180" s="560"/>
      <c r="DJ1180" s="560"/>
      <c r="DK1180" s="560"/>
      <c r="DL1180" s="560"/>
      <c r="DM1180" s="560"/>
      <c r="DN1180" s="560"/>
      <c r="DO1180" s="560"/>
      <c r="DP1180" s="560"/>
      <c r="DQ1180" s="560"/>
      <c r="DR1180" s="560"/>
      <c r="DS1180" s="560"/>
      <c r="DT1180" s="560"/>
      <c r="DU1180" s="560"/>
      <c r="DV1180" s="560"/>
      <c r="DW1180" s="560"/>
      <c r="DX1180" s="560"/>
      <c r="DY1180" s="560"/>
      <c r="DZ1180" s="560"/>
      <c r="EA1180" s="560"/>
      <c r="EB1180" s="560"/>
      <c r="EC1180" s="560"/>
      <c r="ED1180" s="560"/>
      <c r="EE1180" s="560"/>
      <c r="EF1180" s="560"/>
      <c r="EG1180" s="560"/>
      <c r="EH1180" s="560"/>
      <c r="EI1180" s="560"/>
      <c r="EJ1180" s="560"/>
      <c r="EK1180" s="560"/>
      <c r="EL1180" s="560"/>
      <c r="EM1180" s="560"/>
      <c r="EN1180" s="560"/>
      <c r="EO1180" s="560"/>
      <c r="EP1180" s="560"/>
      <c r="EQ1180" s="560"/>
      <c r="ER1180" s="560"/>
      <c r="ES1180" s="560"/>
      <c r="ET1180" s="560"/>
      <c r="EU1180" s="560"/>
      <c r="EV1180" s="560"/>
      <c r="EW1180" s="560"/>
      <c r="EX1180" s="560"/>
      <c r="EY1180" s="800" t="s">
        <v>830</v>
      </c>
      <c r="EZ1180" s="563"/>
      <c r="FA1180" s="563"/>
      <c r="FB1180" s="563"/>
      <c r="FC1180" s="563"/>
      <c r="FD1180" s="563"/>
      <c r="FE1180" s="563"/>
      <c r="FF1180" s="563"/>
      <c r="FG1180" s="563"/>
      <c r="FH1180" s="563"/>
      <c r="FI1180" s="563"/>
      <c r="FJ1180" s="563"/>
      <c r="FK1180" s="563"/>
      <c r="FL1180" s="563"/>
    </row>
    <row r="1181" spans="1:168" x14ac:dyDescent="0.25">
      <c r="A1181" s="1491" t="s">
        <v>109</v>
      </c>
      <c r="B1181" s="624">
        <f t="shared" ref="B1181:D1189" si="4570">B227</f>
        <v>0</v>
      </c>
      <c r="C1181" s="624">
        <f t="shared" si="4570"/>
        <v>0</v>
      </c>
      <c r="D1181" s="624">
        <f t="shared" si="4570"/>
        <v>0</v>
      </c>
      <c r="E1181" s="1158">
        <f t="shared" ref="E1181" si="4571">EY1181</f>
        <v>0</v>
      </c>
      <c r="F1181" s="1158"/>
      <c r="G1181" s="1140"/>
      <c r="H1181" s="1140"/>
      <c r="I1181" s="552"/>
      <c r="J1181" s="552">
        <f t="shared" ref="J1181:AO1181" si="4572">J227*J$338</f>
        <v>0</v>
      </c>
      <c r="K1181" s="552">
        <f t="shared" si="4572"/>
        <v>0</v>
      </c>
      <c r="L1181" s="552">
        <f t="shared" si="4572"/>
        <v>0</v>
      </c>
      <c r="M1181" s="552">
        <f t="shared" si="4572"/>
        <v>0</v>
      </c>
      <c r="N1181" s="552">
        <f t="shared" si="4572"/>
        <v>0</v>
      </c>
      <c r="O1181" s="552">
        <f t="shared" si="4572"/>
        <v>0</v>
      </c>
      <c r="P1181" s="552">
        <f t="shared" si="4572"/>
        <v>0</v>
      </c>
      <c r="Q1181" s="552">
        <f t="shared" si="4572"/>
        <v>0</v>
      </c>
      <c r="R1181" s="552">
        <f t="shared" si="4572"/>
        <v>0</v>
      </c>
      <c r="S1181" s="552">
        <f t="shared" si="4572"/>
        <v>0</v>
      </c>
      <c r="T1181" s="552">
        <f t="shared" si="4572"/>
        <v>0</v>
      </c>
      <c r="U1181" s="552">
        <f t="shared" si="4572"/>
        <v>0</v>
      </c>
      <c r="V1181" s="552">
        <f t="shared" si="4572"/>
        <v>0</v>
      </c>
      <c r="W1181" s="552">
        <f t="shared" si="4572"/>
        <v>0</v>
      </c>
      <c r="X1181" s="552">
        <f t="shared" si="4572"/>
        <v>0</v>
      </c>
      <c r="Y1181" s="552">
        <f t="shared" si="4572"/>
        <v>0</v>
      </c>
      <c r="Z1181" s="552">
        <f t="shared" si="4572"/>
        <v>0</v>
      </c>
      <c r="AA1181" s="552">
        <f t="shared" si="4572"/>
        <v>0</v>
      </c>
      <c r="AB1181" s="552">
        <f t="shared" si="4572"/>
        <v>0</v>
      </c>
      <c r="AC1181" s="552">
        <f t="shared" si="4572"/>
        <v>0</v>
      </c>
      <c r="AD1181" s="552">
        <f t="shared" si="4572"/>
        <v>0</v>
      </c>
      <c r="AE1181" s="552">
        <f t="shared" si="4572"/>
        <v>0</v>
      </c>
      <c r="AF1181" s="552">
        <f t="shared" si="4572"/>
        <v>0</v>
      </c>
      <c r="AG1181" s="552">
        <f t="shared" si="4572"/>
        <v>0</v>
      </c>
      <c r="AH1181" s="552">
        <f t="shared" si="4572"/>
        <v>0</v>
      </c>
      <c r="AI1181" s="552">
        <f t="shared" si="4572"/>
        <v>0</v>
      </c>
      <c r="AJ1181" s="552">
        <f t="shared" si="4572"/>
        <v>0</v>
      </c>
      <c r="AK1181" s="552">
        <f t="shared" si="4572"/>
        <v>0</v>
      </c>
      <c r="AL1181" s="552">
        <f t="shared" si="4572"/>
        <v>0</v>
      </c>
      <c r="AM1181" s="552">
        <f t="shared" si="4572"/>
        <v>0</v>
      </c>
      <c r="AN1181" s="552">
        <f t="shared" si="4572"/>
        <v>0</v>
      </c>
      <c r="AO1181" s="552">
        <f t="shared" si="4572"/>
        <v>0</v>
      </c>
      <c r="AP1181" s="552">
        <f t="shared" ref="AP1181:BU1181" si="4573">AP227*AP$338</f>
        <v>0</v>
      </c>
      <c r="AQ1181" s="552">
        <f t="shared" si="4573"/>
        <v>0</v>
      </c>
      <c r="AR1181" s="552">
        <f t="shared" si="4573"/>
        <v>0</v>
      </c>
      <c r="AS1181" s="552">
        <f t="shared" si="4573"/>
        <v>0</v>
      </c>
      <c r="AT1181" s="552">
        <f t="shared" si="4573"/>
        <v>0</v>
      </c>
      <c r="AU1181" s="552">
        <f t="shared" si="4573"/>
        <v>0</v>
      </c>
      <c r="AV1181" s="552">
        <f t="shared" si="4573"/>
        <v>0</v>
      </c>
      <c r="AW1181" s="552">
        <f t="shared" si="4573"/>
        <v>0</v>
      </c>
      <c r="AX1181" s="552">
        <f t="shared" si="4573"/>
        <v>0</v>
      </c>
      <c r="AY1181" s="552">
        <f t="shared" si="4573"/>
        <v>0</v>
      </c>
      <c r="AZ1181" s="552">
        <f t="shared" si="4573"/>
        <v>0</v>
      </c>
      <c r="BA1181" s="552">
        <f t="shared" si="4573"/>
        <v>0</v>
      </c>
      <c r="BB1181" s="552">
        <f t="shared" si="4573"/>
        <v>0</v>
      </c>
      <c r="BC1181" s="552">
        <f t="shared" si="4573"/>
        <v>0</v>
      </c>
      <c r="BD1181" s="552">
        <f t="shared" si="4573"/>
        <v>0</v>
      </c>
      <c r="BE1181" s="552">
        <f t="shared" si="4573"/>
        <v>0</v>
      </c>
      <c r="BF1181" s="552">
        <f t="shared" si="4573"/>
        <v>0</v>
      </c>
      <c r="BG1181" s="552">
        <f t="shared" si="4573"/>
        <v>0</v>
      </c>
      <c r="BH1181" s="552">
        <f t="shared" si="4573"/>
        <v>0</v>
      </c>
      <c r="BI1181" s="552">
        <f t="shared" si="4573"/>
        <v>0</v>
      </c>
      <c r="BJ1181" s="552">
        <f t="shared" si="4573"/>
        <v>0</v>
      </c>
      <c r="BK1181" s="552">
        <f t="shared" si="4573"/>
        <v>0</v>
      </c>
      <c r="BL1181" s="552">
        <f t="shared" si="4573"/>
        <v>0</v>
      </c>
      <c r="BM1181" s="552">
        <f t="shared" si="4573"/>
        <v>0</v>
      </c>
      <c r="BN1181" s="552">
        <f t="shared" si="4573"/>
        <v>0</v>
      </c>
      <c r="BO1181" s="552">
        <f t="shared" si="4573"/>
        <v>0</v>
      </c>
      <c r="BP1181" s="552">
        <f t="shared" si="4573"/>
        <v>0</v>
      </c>
      <c r="BQ1181" s="552">
        <f t="shared" si="4573"/>
        <v>0</v>
      </c>
      <c r="BR1181" s="552">
        <f t="shared" si="4573"/>
        <v>0</v>
      </c>
      <c r="BS1181" s="552">
        <f t="shared" si="4573"/>
        <v>0</v>
      </c>
      <c r="BT1181" s="552">
        <f t="shared" si="4573"/>
        <v>0</v>
      </c>
      <c r="BU1181" s="552">
        <f t="shared" si="4573"/>
        <v>0</v>
      </c>
      <c r="BV1181" s="552">
        <f t="shared" ref="BV1181:DA1181" si="4574">BV227*BV$338</f>
        <v>0</v>
      </c>
      <c r="BW1181" s="552">
        <f t="shared" si="4574"/>
        <v>0</v>
      </c>
      <c r="BX1181" s="552">
        <f t="shared" si="4574"/>
        <v>0</v>
      </c>
      <c r="BY1181" s="552">
        <f t="shared" si="4574"/>
        <v>0</v>
      </c>
      <c r="BZ1181" s="552">
        <f t="shared" si="4574"/>
        <v>0</v>
      </c>
      <c r="CA1181" s="552">
        <f t="shared" si="4574"/>
        <v>0</v>
      </c>
      <c r="CB1181" s="552">
        <f t="shared" si="4574"/>
        <v>0</v>
      </c>
      <c r="CC1181" s="552">
        <f t="shared" si="4574"/>
        <v>0</v>
      </c>
      <c r="CD1181" s="552">
        <f t="shared" si="4574"/>
        <v>0</v>
      </c>
      <c r="CE1181" s="552">
        <f t="shared" si="4574"/>
        <v>0</v>
      </c>
      <c r="CF1181" s="552">
        <f t="shared" si="4574"/>
        <v>0</v>
      </c>
      <c r="CG1181" s="552">
        <f t="shared" si="4574"/>
        <v>0</v>
      </c>
      <c r="CH1181" s="552">
        <f t="shared" si="4574"/>
        <v>0</v>
      </c>
      <c r="CI1181" s="552">
        <f t="shared" si="4574"/>
        <v>0</v>
      </c>
      <c r="CJ1181" s="552">
        <f t="shared" si="4574"/>
        <v>0</v>
      </c>
      <c r="CK1181" s="552">
        <f t="shared" si="4574"/>
        <v>0</v>
      </c>
      <c r="CL1181" s="552">
        <f t="shared" si="4574"/>
        <v>0</v>
      </c>
      <c r="CM1181" s="552">
        <f t="shared" si="4574"/>
        <v>0</v>
      </c>
      <c r="CN1181" s="552">
        <f t="shared" si="4574"/>
        <v>0</v>
      </c>
      <c r="CO1181" s="552">
        <f t="shared" si="4574"/>
        <v>0</v>
      </c>
      <c r="CP1181" s="552">
        <f t="shared" si="4574"/>
        <v>0</v>
      </c>
      <c r="CQ1181" s="552">
        <f t="shared" si="4574"/>
        <v>0</v>
      </c>
      <c r="CR1181" s="552">
        <f t="shared" si="4574"/>
        <v>0</v>
      </c>
      <c r="CS1181" s="552">
        <f t="shared" si="4574"/>
        <v>0</v>
      </c>
      <c r="CT1181" s="552">
        <f t="shared" si="4574"/>
        <v>0</v>
      </c>
      <c r="CU1181" s="552">
        <f t="shared" si="4574"/>
        <v>0</v>
      </c>
      <c r="CV1181" s="552">
        <f t="shared" si="4574"/>
        <v>0</v>
      </c>
      <c r="CW1181" s="552">
        <f t="shared" si="4574"/>
        <v>0</v>
      </c>
      <c r="CX1181" s="552">
        <f t="shared" si="4574"/>
        <v>0</v>
      </c>
      <c r="CY1181" s="552">
        <f t="shared" si="4574"/>
        <v>0</v>
      </c>
      <c r="CZ1181" s="552">
        <f t="shared" si="4574"/>
        <v>0</v>
      </c>
      <c r="DA1181" s="552">
        <f t="shared" si="4574"/>
        <v>0</v>
      </c>
      <c r="DB1181" s="552">
        <f t="shared" ref="DB1181:EG1181" si="4575">DB227*DB$338</f>
        <v>0</v>
      </c>
      <c r="DC1181" s="552">
        <f t="shared" si="4575"/>
        <v>0</v>
      </c>
      <c r="DD1181" s="552">
        <f t="shared" si="4575"/>
        <v>0</v>
      </c>
      <c r="DE1181" s="552">
        <f t="shared" si="4575"/>
        <v>0</v>
      </c>
      <c r="DF1181" s="552">
        <f t="shared" si="4575"/>
        <v>0</v>
      </c>
      <c r="DG1181" s="552">
        <f t="shared" si="4575"/>
        <v>0</v>
      </c>
      <c r="DH1181" s="552">
        <f t="shared" si="4575"/>
        <v>0</v>
      </c>
      <c r="DI1181" s="552">
        <f t="shared" si="4575"/>
        <v>0</v>
      </c>
      <c r="DJ1181" s="552">
        <f t="shared" si="4575"/>
        <v>0</v>
      </c>
      <c r="DK1181" s="552">
        <f t="shared" si="4575"/>
        <v>0</v>
      </c>
      <c r="DL1181" s="552">
        <f t="shared" si="4575"/>
        <v>0</v>
      </c>
      <c r="DM1181" s="552">
        <f t="shared" si="4575"/>
        <v>0</v>
      </c>
      <c r="DN1181" s="552">
        <f t="shared" si="4575"/>
        <v>0</v>
      </c>
      <c r="DO1181" s="552">
        <f t="shared" si="4575"/>
        <v>0</v>
      </c>
      <c r="DP1181" s="552">
        <f t="shared" si="4575"/>
        <v>0</v>
      </c>
      <c r="DQ1181" s="552">
        <f t="shared" si="4575"/>
        <v>0</v>
      </c>
      <c r="DR1181" s="552">
        <f t="shared" si="4575"/>
        <v>0</v>
      </c>
      <c r="DS1181" s="552">
        <f t="shared" si="4575"/>
        <v>0</v>
      </c>
      <c r="DT1181" s="552">
        <f t="shared" si="4575"/>
        <v>0</v>
      </c>
      <c r="DU1181" s="552">
        <f t="shared" si="4575"/>
        <v>0</v>
      </c>
      <c r="DV1181" s="552">
        <f t="shared" si="4575"/>
        <v>0</v>
      </c>
      <c r="DW1181" s="552">
        <f t="shared" si="4575"/>
        <v>0</v>
      </c>
      <c r="DX1181" s="552">
        <f t="shared" si="4575"/>
        <v>0</v>
      </c>
      <c r="DY1181" s="552">
        <f t="shared" si="4575"/>
        <v>0</v>
      </c>
      <c r="DZ1181" s="552">
        <f t="shared" si="4575"/>
        <v>0</v>
      </c>
      <c r="EA1181" s="552">
        <f t="shared" si="4575"/>
        <v>0</v>
      </c>
      <c r="EB1181" s="552">
        <f t="shared" si="4575"/>
        <v>0</v>
      </c>
      <c r="EC1181" s="552">
        <f t="shared" si="4575"/>
        <v>0</v>
      </c>
      <c r="ED1181" s="552">
        <f t="shared" si="4575"/>
        <v>0</v>
      </c>
      <c r="EE1181" s="552">
        <f t="shared" si="4575"/>
        <v>0</v>
      </c>
      <c r="EF1181" s="552">
        <f t="shared" si="4575"/>
        <v>0</v>
      </c>
      <c r="EG1181" s="552">
        <f t="shared" si="4575"/>
        <v>0</v>
      </c>
      <c r="EH1181" s="552">
        <f t="shared" ref="EH1181:EX1181" si="4576">EH227*EH$338</f>
        <v>0</v>
      </c>
      <c r="EI1181" s="552">
        <f t="shared" si="4576"/>
        <v>0</v>
      </c>
      <c r="EJ1181" s="552">
        <f t="shared" si="4576"/>
        <v>0</v>
      </c>
      <c r="EK1181" s="552">
        <f t="shared" si="4576"/>
        <v>0</v>
      </c>
      <c r="EL1181" s="552">
        <f t="shared" si="4576"/>
        <v>0</v>
      </c>
      <c r="EM1181" s="552">
        <f t="shared" si="4576"/>
        <v>0</v>
      </c>
      <c r="EN1181" s="552">
        <f t="shared" si="4576"/>
        <v>0</v>
      </c>
      <c r="EO1181" s="552">
        <f t="shared" si="4576"/>
        <v>0</v>
      </c>
      <c r="EP1181" s="552">
        <f t="shared" si="4576"/>
        <v>0</v>
      </c>
      <c r="EQ1181" s="552">
        <f t="shared" si="4576"/>
        <v>0</v>
      </c>
      <c r="ER1181" s="552">
        <f t="shared" si="4576"/>
        <v>0</v>
      </c>
      <c r="ES1181" s="552">
        <f t="shared" si="4576"/>
        <v>0</v>
      </c>
      <c r="ET1181" s="552">
        <f t="shared" si="4576"/>
        <v>0</v>
      </c>
      <c r="EU1181" s="552">
        <f t="shared" si="4576"/>
        <v>0</v>
      </c>
      <c r="EV1181" s="552">
        <f t="shared" si="4576"/>
        <v>0</v>
      </c>
      <c r="EW1181" s="552">
        <f t="shared" si="4576"/>
        <v>0</v>
      </c>
      <c r="EX1181" s="552">
        <f t="shared" si="4576"/>
        <v>0</v>
      </c>
      <c r="EY1181" s="799">
        <f t="shared" ref="EY1181:EY1244" si="4577">SUM(J1181:EX1181)</f>
        <v>0</v>
      </c>
      <c r="EZ1181" s="640"/>
      <c r="FA1181" s="640"/>
      <c r="FB1181" s="640"/>
      <c r="FC1181" s="640"/>
      <c r="FD1181" s="640"/>
      <c r="FE1181" s="640"/>
      <c r="FF1181" s="640"/>
      <c r="FG1181" s="640"/>
      <c r="FH1181" s="640"/>
      <c r="FI1181" s="640"/>
      <c r="FJ1181" s="640"/>
      <c r="FK1181" s="640"/>
      <c r="FL1181" s="640"/>
    </row>
    <row r="1182" spans="1:168" x14ac:dyDescent="0.25">
      <c r="A1182" s="1492"/>
      <c r="B1182" s="624">
        <f t="shared" si="4570"/>
        <v>0</v>
      </c>
      <c r="C1182" s="624">
        <f t="shared" si="4570"/>
        <v>0</v>
      </c>
      <c r="D1182" s="624">
        <f t="shared" si="4570"/>
        <v>0</v>
      </c>
      <c r="E1182" s="1158">
        <f t="shared" ref="E1182:E1189" si="4578">EY1182</f>
        <v>0</v>
      </c>
      <c r="F1182" s="1158"/>
      <c r="G1182" s="1140"/>
      <c r="H1182" s="1140"/>
      <c r="I1182" s="552"/>
      <c r="J1182" s="552">
        <f t="shared" ref="J1182:AO1182" si="4579">J228*J$338</f>
        <v>0</v>
      </c>
      <c r="K1182" s="552">
        <f t="shared" si="4579"/>
        <v>0</v>
      </c>
      <c r="L1182" s="552">
        <f t="shared" si="4579"/>
        <v>0</v>
      </c>
      <c r="M1182" s="552">
        <f t="shared" si="4579"/>
        <v>0</v>
      </c>
      <c r="N1182" s="552">
        <f t="shared" si="4579"/>
        <v>0</v>
      </c>
      <c r="O1182" s="552">
        <f t="shared" si="4579"/>
        <v>0</v>
      </c>
      <c r="P1182" s="552">
        <f t="shared" si="4579"/>
        <v>0</v>
      </c>
      <c r="Q1182" s="552">
        <f t="shared" si="4579"/>
        <v>0</v>
      </c>
      <c r="R1182" s="552">
        <f t="shared" si="4579"/>
        <v>0</v>
      </c>
      <c r="S1182" s="552">
        <f t="shared" si="4579"/>
        <v>0</v>
      </c>
      <c r="T1182" s="552">
        <f t="shared" si="4579"/>
        <v>0</v>
      </c>
      <c r="U1182" s="552">
        <f t="shared" si="4579"/>
        <v>0</v>
      </c>
      <c r="V1182" s="552">
        <f t="shared" si="4579"/>
        <v>0</v>
      </c>
      <c r="W1182" s="552">
        <f t="shared" si="4579"/>
        <v>0</v>
      </c>
      <c r="X1182" s="552">
        <f t="shared" si="4579"/>
        <v>0</v>
      </c>
      <c r="Y1182" s="552">
        <f t="shared" si="4579"/>
        <v>0</v>
      </c>
      <c r="Z1182" s="552">
        <f t="shared" si="4579"/>
        <v>0</v>
      </c>
      <c r="AA1182" s="552">
        <f t="shared" si="4579"/>
        <v>0</v>
      </c>
      <c r="AB1182" s="552">
        <f t="shared" si="4579"/>
        <v>0</v>
      </c>
      <c r="AC1182" s="552">
        <f t="shared" si="4579"/>
        <v>0</v>
      </c>
      <c r="AD1182" s="552">
        <f t="shared" si="4579"/>
        <v>0</v>
      </c>
      <c r="AE1182" s="552">
        <f t="shared" si="4579"/>
        <v>0</v>
      </c>
      <c r="AF1182" s="552">
        <f t="shared" si="4579"/>
        <v>0</v>
      </c>
      <c r="AG1182" s="552">
        <f t="shared" si="4579"/>
        <v>0</v>
      </c>
      <c r="AH1182" s="552">
        <f t="shared" si="4579"/>
        <v>0</v>
      </c>
      <c r="AI1182" s="552">
        <f t="shared" si="4579"/>
        <v>0</v>
      </c>
      <c r="AJ1182" s="552">
        <f t="shared" si="4579"/>
        <v>0</v>
      </c>
      <c r="AK1182" s="552">
        <f t="shared" si="4579"/>
        <v>0</v>
      </c>
      <c r="AL1182" s="552">
        <f t="shared" si="4579"/>
        <v>0</v>
      </c>
      <c r="AM1182" s="552">
        <f t="shared" si="4579"/>
        <v>0</v>
      </c>
      <c r="AN1182" s="552">
        <f t="shared" si="4579"/>
        <v>0</v>
      </c>
      <c r="AO1182" s="552">
        <f t="shared" si="4579"/>
        <v>0</v>
      </c>
      <c r="AP1182" s="552">
        <f t="shared" ref="AP1182:BU1182" si="4580">AP228*AP$338</f>
        <v>0</v>
      </c>
      <c r="AQ1182" s="552">
        <f t="shared" si="4580"/>
        <v>0</v>
      </c>
      <c r="AR1182" s="552">
        <f t="shared" si="4580"/>
        <v>0</v>
      </c>
      <c r="AS1182" s="552">
        <f t="shared" si="4580"/>
        <v>0</v>
      </c>
      <c r="AT1182" s="552">
        <f t="shared" si="4580"/>
        <v>0</v>
      </c>
      <c r="AU1182" s="552">
        <f t="shared" si="4580"/>
        <v>0</v>
      </c>
      <c r="AV1182" s="552">
        <f t="shared" si="4580"/>
        <v>0</v>
      </c>
      <c r="AW1182" s="552">
        <f t="shared" si="4580"/>
        <v>0</v>
      </c>
      <c r="AX1182" s="552">
        <f t="shared" si="4580"/>
        <v>0</v>
      </c>
      <c r="AY1182" s="552">
        <f t="shared" si="4580"/>
        <v>0</v>
      </c>
      <c r="AZ1182" s="552">
        <f t="shared" si="4580"/>
        <v>0</v>
      </c>
      <c r="BA1182" s="552">
        <f t="shared" si="4580"/>
        <v>0</v>
      </c>
      <c r="BB1182" s="552">
        <f t="shared" si="4580"/>
        <v>0</v>
      </c>
      <c r="BC1182" s="552">
        <f t="shared" si="4580"/>
        <v>0</v>
      </c>
      <c r="BD1182" s="552">
        <f t="shared" si="4580"/>
        <v>0</v>
      </c>
      <c r="BE1182" s="552">
        <f t="shared" si="4580"/>
        <v>0</v>
      </c>
      <c r="BF1182" s="552">
        <f t="shared" si="4580"/>
        <v>0</v>
      </c>
      <c r="BG1182" s="552">
        <f t="shared" si="4580"/>
        <v>0</v>
      </c>
      <c r="BH1182" s="552">
        <f t="shared" si="4580"/>
        <v>0</v>
      </c>
      <c r="BI1182" s="552">
        <f t="shared" si="4580"/>
        <v>0</v>
      </c>
      <c r="BJ1182" s="552">
        <f t="shared" si="4580"/>
        <v>0</v>
      </c>
      <c r="BK1182" s="552">
        <f t="shared" si="4580"/>
        <v>0</v>
      </c>
      <c r="BL1182" s="552">
        <f t="shared" si="4580"/>
        <v>0</v>
      </c>
      <c r="BM1182" s="552">
        <f t="shared" si="4580"/>
        <v>0</v>
      </c>
      <c r="BN1182" s="552">
        <f t="shared" si="4580"/>
        <v>0</v>
      </c>
      <c r="BO1182" s="552">
        <f t="shared" si="4580"/>
        <v>0</v>
      </c>
      <c r="BP1182" s="552">
        <f t="shared" si="4580"/>
        <v>0</v>
      </c>
      <c r="BQ1182" s="552">
        <f t="shared" si="4580"/>
        <v>0</v>
      </c>
      <c r="BR1182" s="552">
        <f t="shared" si="4580"/>
        <v>0</v>
      </c>
      <c r="BS1182" s="552">
        <f t="shared" si="4580"/>
        <v>0</v>
      </c>
      <c r="BT1182" s="552">
        <f t="shared" si="4580"/>
        <v>0</v>
      </c>
      <c r="BU1182" s="552">
        <f t="shared" si="4580"/>
        <v>0</v>
      </c>
      <c r="BV1182" s="552">
        <f t="shared" ref="BV1182:DA1182" si="4581">BV228*BV$338</f>
        <v>0</v>
      </c>
      <c r="BW1182" s="552">
        <f t="shared" si="4581"/>
        <v>0</v>
      </c>
      <c r="BX1182" s="552">
        <f t="shared" si="4581"/>
        <v>0</v>
      </c>
      <c r="BY1182" s="552">
        <f t="shared" si="4581"/>
        <v>0</v>
      </c>
      <c r="BZ1182" s="552">
        <f t="shared" si="4581"/>
        <v>0</v>
      </c>
      <c r="CA1182" s="552">
        <f t="shared" si="4581"/>
        <v>0</v>
      </c>
      <c r="CB1182" s="552">
        <f t="shared" si="4581"/>
        <v>0</v>
      </c>
      <c r="CC1182" s="552">
        <f t="shared" si="4581"/>
        <v>0</v>
      </c>
      <c r="CD1182" s="552">
        <f t="shared" si="4581"/>
        <v>0</v>
      </c>
      <c r="CE1182" s="552">
        <f t="shared" si="4581"/>
        <v>0</v>
      </c>
      <c r="CF1182" s="552">
        <f t="shared" si="4581"/>
        <v>0</v>
      </c>
      <c r="CG1182" s="552">
        <f t="shared" si="4581"/>
        <v>0</v>
      </c>
      <c r="CH1182" s="552">
        <f t="shared" si="4581"/>
        <v>0</v>
      </c>
      <c r="CI1182" s="552">
        <f t="shared" si="4581"/>
        <v>0</v>
      </c>
      <c r="CJ1182" s="552">
        <f t="shared" si="4581"/>
        <v>0</v>
      </c>
      <c r="CK1182" s="552">
        <f t="shared" si="4581"/>
        <v>0</v>
      </c>
      <c r="CL1182" s="552">
        <f t="shared" si="4581"/>
        <v>0</v>
      </c>
      <c r="CM1182" s="552">
        <f t="shared" si="4581"/>
        <v>0</v>
      </c>
      <c r="CN1182" s="552">
        <f t="shared" si="4581"/>
        <v>0</v>
      </c>
      <c r="CO1182" s="552">
        <f t="shared" si="4581"/>
        <v>0</v>
      </c>
      <c r="CP1182" s="552">
        <f t="shared" si="4581"/>
        <v>0</v>
      </c>
      <c r="CQ1182" s="552">
        <f t="shared" si="4581"/>
        <v>0</v>
      </c>
      <c r="CR1182" s="552">
        <f t="shared" si="4581"/>
        <v>0</v>
      </c>
      <c r="CS1182" s="552">
        <f t="shared" si="4581"/>
        <v>0</v>
      </c>
      <c r="CT1182" s="552">
        <f t="shared" si="4581"/>
        <v>0</v>
      </c>
      <c r="CU1182" s="552">
        <f t="shared" si="4581"/>
        <v>0</v>
      </c>
      <c r="CV1182" s="552">
        <f t="shared" si="4581"/>
        <v>0</v>
      </c>
      <c r="CW1182" s="552">
        <f t="shared" si="4581"/>
        <v>0</v>
      </c>
      <c r="CX1182" s="552">
        <f t="shared" si="4581"/>
        <v>0</v>
      </c>
      <c r="CY1182" s="552">
        <f t="shared" si="4581"/>
        <v>0</v>
      </c>
      <c r="CZ1182" s="552">
        <f t="shared" si="4581"/>
        <v>0</v>
      </c>
      <c r="DA1182" s="552">
        <f t="shared" si="4581"/>
        <v>0</v>
      </c>
      <c r="DB1182" s="552">
        <f t="shared" ref="DB1182:EG1182" si="4582">DB228*DB$338</f>
        <v>0</v>
      </c>
      <c r="DC1182" s="552">
        <f t="shared" si="4582"/>
        <v>0</v>
      </c>
      <c r="DD1182" s="552">
        <f t="shared" si="4582"/>
        <v>0</v>
      </c>
      <c r="DE1182" s="552">
        <f t="shared" si="4582"/>
        <v>0</v>
      </c>
      <c r="DF1182" s="552">
        <f t="shared" si="4582"/>
        <v>0</v>
      </c>
      <c r="DG1182" s="552">
        <f t="shared" si="4582"/>
        <v>0</v>
      </c>
      <c r="DH1182" s="552">
        <f t="shared" si="4582"/>
        <v>0</v>
      </c>
      <c r="DI1182" s="552">
        <f t="shared" si="4582"/>
        <v>0</v>
      </c>
      <c r="DJ1182" s="552">
        <f t="shared" si="4582"/>
        <v>0</v>
      </c>
      <c r="DK1182" s="552">
        <f t="shared" si="4582"/>
        <v>0</v>
      </c>
      <c r="DL1182" s="552">
        <f t="shared" si="4582"/>
        <v>0</v>
      </c>
      <c r="DM1182" s="552">
        <f t="shared" si="4582"/>
        <v>0</v>
      </c>
      <c r="DN1182" s="552">
        <f t="shared" si="4582"/>
        <v>0</v>
      </c>
      <c r="DO1182" s="552">
        <f t="shared" si="4582"/>
        <v>0</v>
      </c>
      <c r="DP1182" s="552">
        <f t="shared" si="4582"/>
        <v>0</v>
      </c>
      <c r="DQ1182" s="552">
        <f t="shared" si="4582"/>
        <v>0</v>
      </c>
      <c r="DR1182" s="552">
        <f t="shared" si="4582"/>
        <v>0</v>
      </c>
      <c r="DS1182" s="552">
        <f t="shared" si="4582"/>
        <v>0</v>
      </c>
      <c r="DT1182" s="552">
        <f t="shared" si="4582"/>
        <v>0</v>
      </c>
      <c r="DU1182" s="552">
        <f t="shared" si="4582"/>
        <v>0</v>
      </c>
      <c r="DV1182" s="552">
        <f t="shared" si="4582"/>
        <v>0</v>
      </c>
      <c r="DW1182" s="552">
        <f t="shared" si="4582"/>
        <v>0</v>
      </c>
      <c r="DX1182" s="552">
        <f t="shared" si="4582"/>
        <v>0</v>
      </c>
      <c r="DY1182" s="552">
        <f t="shared" si="4582"/>
        <v>0</v>
      </c>
      <c r="DZ1182" s="552">
        <f t="shared" si="4582"/>
        <v>0</v>
      </c>
      <c r="EA1182" s="552">
        <f t="shared" si="4582"/>
        <v>0</v>
      </c>
      <c r="EB1182" s="552">
        <f t="shared" si="4582"/>
        <v>0</v>
      </c>
      <c r="EC1182" s="552">
        <f t="shared" si="4582"/>
        <v>0</v>
      </c>
      <c r="ED1182" s="552">
        <f t="shared" si="4582"/>
        <v>0</v>
      </c>
      <c r="EE1182" s="552">
        <f t="shared" si="4582"/>
        <v>0</v>
      </c>
      <c r="EF1182" s="552">
        <f t="shared" si="4582"/>
        <v>0</v>
      </c>
      <c r="EG1182" s="552">
        <f t="shared" si="4582"/>
        <v>0</v>
      </c>
      <c r="EH1182" s="552">
        <f t="shared" ref="EH1182:EX1182" si="4583">EH228*EH$338</f>
        <v>0</v>
      </c>
      <c r="EI1182" s="552">
        <f t="shared" si="4583"/>
        <v>0</v>
      </c>
      <c r="EJ1182" s="552">
        <f t="shared" si="4583"/>
        <v>0</v>
      </c>
      <c r="EK1182" s="552">
        <f t="shared" si="4583"/>
        <v>0</v>
      </c>
      <c r="EL1182" s="552">
        <f t="shared" si="4583"/>
        <v>0</v>
      </c>
      <c r="EM1182" s="552">
        <f t="shared" si="4583"/>
        <v>0</v>
      </c>
      <c r="EN1182" s="552">
        <f t="shared" si="4583"/>
        <v>0</v>
      </c>
      <c r="EO1182" s="552">
        <f t="shared" si="4583"/>
        <v>0</v>
      </c>
      <c r="EP1182" s="552">
        <f t="shared" si="4583"/>
        <v>0</v>
      </c>
      <c r="EQ1182" s="552">
        <f t="shared" si="4583"/>
        <v>0</v>
      </c>
      <c r="ER1182" s="552">
        <f t="shared" si="4583"/>
        <v>0</v>
      </c>
      <c r="ES1182" s="552">
        <f t="shared" si="4583"/>
        <v>0</v>
      </c>
      <c r="ET1182" s="552">
        <f t="shared" si="4583"/>
        <v>0</v>
      </c>
      <c r="EU1182" s="552">
        <f t="shared" si="4583"/>
        <v>0</v>
      </c>
      <c r="EV1182" s="552">
        <f t="shared" si="4583"/>
        <v>0</v>
      </c>
      <c r="EW1182" s="552">
        <f t="shared" si="4583"/>
        <v>0</v>
      </c>
      <c r="EX1182" s="552">
        <f t="shared" si="4583"/>
        <v>0</v>
      </c>
      <c r="EY1182" s="799">
        <f t="shared" si="4577"/>
        <v>0</v>
      </c>
      <c r="EZ1182" s="640"/>
      <c r="FA1182" s="640"/>
      <c r="FB1182" s="640"/>
      <c r="FC1182" s="640"/>
      <c r="FD1182" s="640"/>
      <c r="FE1182" s="640"/>
      <c r="FF1182" s="640"/>
      <c r="FG1182" s="640"/>
      <c r="FH1182" s="640"/>
      <c r="FI1182" s="640"/>
      <c r="FJ1182" s="640"/>
      <c r="FK1182" s="640"/>
      <c r="FL1182" s="640"/>
    </row>
    <row r="1183" spans="1:168" x14ac:dyDescent="0.25">
      <c r="A1183" s="1492"/>
      <c r="B1183" s="624">
        <f t="shared" si="4570"/>
        <v>0</v>
      </c>
      <c r="C1183" s="624">
        <f t="shared" si="4570"/>
        <v>0</v>
      </c>
      <c r="D1183" s="624">
        <f t="shared" si="4570"/>
        <v>0</v>
      </c>
      <c r="E1183" s="1158">
        <f t="shared" si="4578"/>
        <v>0</v>
      </c>
      <c r="F1183" s="1158"/>
      <c r="G1183" s="1140"/>
      <c r="H1183" s="1140"/>
      <c r="I1183" s="552"/>
      <c r="J1183" s="552">
        <f t="shared" ref="J1183:AO1183" si="4584">J229*J$338</f>
        <v>0</v>
      </c>
      <c r="K1183" s="552">
        <f t="shared" si="4584"/>
        <v>0</v>
      </c>
      <c r="L1183" s="552">
        <f t="shared" si="4584"/>
        <v>0</v>
      </c>
      <c r="M1183" s="552">
        <f t="shared" si="4584"/>
        <v>0</v>
      </c>
      <c r="N1183" s="552">
        <f t="shared" si="4584"/>
        <v>0</v>
      </c>
      <c r="O1183" s="552">
        <f t="shared" si="4584"/>
        <v>0</v>
      </c>
      <c r="P1183" s="552">
        <f t="shared" si="4584"/>
        <v>0</v>
      </c>
      <c r="Q1183" s="552">
        <f t="shared" si="4584"/>
        <v>0</v>
      </c>
      <c r="R1183" s="552">
        <f t="shared" si="4584"/>
        <v>0</v>
      </c>
      <c r="S1183" s="552">
        <f t="shared" si="4584"/>
        <v>0</v>
      </c>
      <c r="T1183" s="552">
        <f t="shared" si="4584"/>
        <v>0</v>
      </c>
      <c r="U1183" s="552">
        <f t="shared" si="4584"/>
        <v>0</v>
      </c>
      <c r="V1183" s="552">
        <f t="shared" si="4584"/>
        <v>0</v>
      </c>
      <c r="W1183" s="552">
        <f t="shared" si="4584"/>
        <v>0</v>
      </c>
      <c r="X1183" s="552">
        <f t="shared" si="4584"/>
        <v>0</v>
      </c>
      <c r="Y1183" s="552">
        <f t="shared" si="4584"/>
        <v>0</v>
      </c>
      <c r="Z1183" s="552">
        <f t="shared" si="4584"/>
        <v>0</v>
      </c>
      <c r="AA1183" s="552">
        <f t="shared" si="4584"/>
        <v>0</v>
      </c>
      <c r="AB1183" s="552">
        <f t="shared" si="4584"/>
        <v>0</v>
      </c>
      <c r="AC1183" s="552">
        <f t="shared" si="4584"/>
        <v>0</v>
      </c>
      <c r="AD1183" s="552">
        <f t="shared" si="4584"/>
        <v>0</v>
      </c>
      <c r="AE1183" s="552">
        <f t="shared" si="4584"/>
        <v>0</v>
      </c>
      <c r="AF1183" s="552">
        <f t="shared" si="4584"/>
        <v>0</v>
      </c>
      <c r="AG1183" s="552">
        <f t="shared" si="4584"/>
        <v>0</v>
      </c>
      <c r="AH1183" s="552">
        <f t="shared" si="4584"/>
        <v>0</v>
      </c>
      <c r="AI1183" s="552">
        <f t="shared" si="4584"/>
        <v>0</v>
      </c>
      <c r="AJ1183" s="552">
        <f t="shared" si="4584"/>
        <v>0</v>
      </c>
      <c r="AK1183" s="552">
        <f t="shared" si="4584"/>
        <v>0</v>
      </c>
      <c r="AL1183" s="552">
        <f t="shared" si="4584"/>
        <v>0</v>
      </c>
      <c r="AM1183" s="552">
        <f t="shared" si="4584"/>
        <v>0</v>
      </c>
      <c r="AN1183" s="552">
        <f t="shared" si="4584"/>
        <v>0</v>
      </c>
      <c r="AO1183" s="552">
        <f t="shared" si="4584"/>
        <v>0</v>
      </c>
      <c r="AP1183" s="552">
        <f t="shared" ref="AP1183:BU1183" si="4585">AP229*AP$338</f>
        <v>0</v>
      </c>
      <c r="AQ1183" s="552">
        <f t="shared" si="4585"/>
        <v>0</v>
      </c>
      <c r="AR1183" s="552">
        <f t="shared" si="4585"/>
        <v>0</v>
      </c>
      <c r="AS1183" s="552">
        <f t="shared" si="4585"/>
        <v>0</v>
      </c>
      <c r="AT1183" s="552">
        <f t="shared" si="4585"/>
        <v>0</v>
      </c>
      <c r="AU1183" s="552">
        <f t="shared" si="4585"/>
        <v>0</v>
      </c>
      <c r="AV1183" s="552">
        <f t="shared" si="4585"/>
        <v>0</v>
      </c>
      <c r="AW1183" s="552">
        <f t="shared" si="4585"/>
        <v>0</v>
      </c>
      <c r="AX1183" s="552">
        <f t="shared" si="4585"/>
        <v>0</v>
      </c>
      <c r="AY1183" s="552">
        <f t="shared" si="4585"/>
        <v>0</v>
      </c>
      <c r="AZ1183" s="552">
        <f t="shared" si="4585"/>
        <v>0</v>
      </c>
      <c r="BA1183" s="552">
        <f t="shared" si="4585"/>
        <v>0</v>
      </c>
      <c r="BB1183" s="552">
        <f t="shared" si="4585"/>
        <v>0</v>
      </c>
      <c r="BC1183" s="552">
        <f t="shared" si="4585"/>
        <v>0</v>
      </c>
      <c r="BD1183" s="552">
        <f t="shared" si="4585"/>
        <v>0</v>
      </c>
      <c r="BE1183" s="552">
        <f t="shared" si="4585"/>
        <v>0</v>
      </c>
      <c r="BF1183" s="552">
        <f t="shared" si="4585"/>
        <v>0</v>
      </c>
      <c r="BG1183" s="552">
        <f t="shared" si="4585"/>
        <v>0</v>
      </c>
      <c r="BH1183" s="552">
        <f t="shared" si="4585"/>
        <v>0</v>
      </c>
      <c r="BI1183" s="552">
        <f t="shared" si="4585"/>
        <v>0</v>
      </c>
      <c r="BJ1183" s="552">
        <f t="shared" si="4585"/>
        <v>0</v>
      </c>
      <c r="BK1183" s="552">
        <f t="shared" si="4585"/>
        <v>0</v>
      </c>
      <c r="BL1183" s="552">
        <f t="shared" si="4585"/>
        <v>0</v>
      </c>
      <c r="BM1183" s="552">
        <f t="shared" si="4585"/>
        <v>0</v>
      </c>
      <c r="BN1183" s="552">
        <f t="shared" si="4585"/>
        <v>0</v>
      </c>
      <c r="BO1183" s="552">
        <f t="shared" si="4585"/>
        <v>0</v>
      </c>
      <c r="BP1183" s="552">
        <f t="shared" si="4585"/>
        <v>0</v>
      </c>
      <c r="BQ1183" s="552">
        <f t="shared" si="4585"/>
        <v>0</v>
      </c>
      <c r="BR1183" s="552">
        <f t="shared" si="4585"/>
        <v>0</v>
      </c>
      <c r="BS1183" s="552">
        <f t="shared" si="4585"/>
        <v>0</v>
      </c>
      <c r="BT1183" s="552">
        <f t="shared" si="4585"/>
        <v>0</v>
      </c>
      <c r="BU1183" s="552">
        <f t="shared" si="4585"/>
        <v>0</v>
      </c>
      <c r="BV1183" s="552">
        <f t="shared" ref="BV1183:DA1183" si="4586">BV229*BV$338</f>
        <v>0</v>
      </c>
      <c r="BW1183" s="552">
        <f t="shared" si="4586"/>
        <v>0</v>
      </c>
      <c r="BX1183" s="552">
        <f t="shared" si="4586"/>
        <v>0</v>
      </c>
      <c r="BY1183" s="552">
        <f t="shared" si="4586"/>
        <v>0</v>
      </c>
      <c r="BZ1183" s="552">
        <f t="shared" si="4586"/>
        <v>0</v>
      </c>
      <c r="CA1183" s="552">
        <f t="shared" si="4586"/>
        <v>0</v>
      </c>
      <c r="CB1183" s="552">
        <f t="shared" si="4586"/>
        <v>0</v>
      </c>
      <c r="CC1183" s="552">
        <f t="shared" si="4586"/>
        <v>0</v>
      </c>
      <c r="CD1183" s="552">
        <f t="shared" si="4586"/>
        <v>0</v>
      </c>
      <c r="CE1183" s="552">
        <f t="shared" si="4586"/>
        <v>0</v>
      </c>
      <c r="CF1183" s="552">
        <f t="shared" si="4586"/>
        <v>0</v>
      </c>
      <c r="CG1183" s="552">
        <f t="shared" si="4586"/>
        <v>0</v>
      </c>
      <c r="CH1183" s="552">
        <f t="shared" si="4586"/>
        <v>0</v>
      </c>
      <c r="CI1183" s="552">
        <f t="shared" si="4586"/>
        <v>0</v>
      </c>
      <c r="CJ1183" s="552">
        <f t="shared" si="4586"/>
        <v>0</v>
      </c>
      <c r="CK1183" s="552">
        <f t="shared" si="4586"/>
        <v>0</v>
      </c>
      <c r="CL1183" s="552">
        <f t="shared" si="4586"/>
        <v>0</v>
      </c>
      <c r="CM1183" s="552">
        <f t="shared" si="4586"/>
        <v>0</v>
      </c>
      <c r="CN1183" s="552">
        <f t="shared" si="4586"/>
        <v>0</v>
      </c>
      <c r="CO1183" s="552">
        <f t="shared" si="4586"/>
        <v>0</v>
      </c>
      <c r="CP1183" s="552">
        <f t="shared" si="4586"/>
        <v>0</v>
      </c>
      <c r="CQ1183" s="552">
        <f t="shared" si="4586"/>
        <v>0</v>
      </c>
      <c r="CR1183" s="552">
        <f t="shared" si="4586"/>
        <v>0</v>
      </c>
      <c r="CS1183" s="552">
        <f t="shared" si="4586"/>
        <v>0</v>
      </c>
      <c r="CT1183" s="552">
        <f t="shared" si="4586"/>
        <v>0</v>
      </c>
      <c r="CU1183" s="552">
        <f t="shared" si="4586"/>
        <v>0</v>
      </c>
      <c r="CV1183" s="552">
        <f t="shared" si="4586"/>
        <v>0</v>
      </c>
      <c r="CW1183" s="552">
        <f t="shared" si="4586"/>
        <v>0</v>
      </c>
      <c r="CX1183" s="552">
        <f t="shared" si="4586"/>
        <v>0</v>
      </c>
      <c r="CY1183" s="552">
        <f t="shared" si="4586"/>
        <v>0</v>
      </c>
      <c r="CZ1183" s="552">
        <f t="shared" si="4586"/>
        <v>0</v>
      </c>
      <c r="DA1183" s="552">
        <f t="shared" si="4586"/>
        <v>0</v>
      </c>
      <c r="DB1183" s="552">
        <f t="shared" ref="DB1183:EG1183" si="4587">DB229*DB$338</f>
        <v>0</v>
      </c>
      <c r="DC1183" s="552">
        <f t="shared" si="4587"/>
        <v>0</v>
      </c>
      <c r="DD1183" s="552">
        <f t="shared" si="4587"/>
        <v>0</v>
      </c>
      <c r="DE1183" s="552">
        <f t="shared" si="4587"/>
        <v>0</v>
      </c>
      <c r="DF1183" s="552">
        <f t="shared" si="4587"/>
        <v>0</v>
      </c>
      <c r="DG1183" s="552">
        <f t="shared" si="4587"/>
        <v>0</v>
      </c>
      <c r="DH1183" s="552">
        <f t="shared" si="4587"/>
        <v>0</v>
      </c>
      <c r="DI1183" s="552">
        <f t="shared" si="4587"/>
        <v>0</v>
      </c>
      <c r="DJ1183" s="552">
        <f t="shared" si="4587"/>
        <v>0</v>
      </c>
      <c r="DK1183" s="552">
        <f t="shared" si="4587"/>
        <v>0</v>
      </c>
      <c r="DL1183" s="552">
        <f t="shared" si="4587"/>
        <v>0</v>
      </c>
      <c r="DM1183" s="552">
        <f t="shared" si="4587"/>
        <v>0</v>
      </c>
      <c r="DN1183" s="552">
        <f t="shared" si="4587"/>
        <v>0</v>
      </c>
      <c r="DO1183" s="552">
        <f t="shared" si="4587"/>
        <v>0</v>
      </c>
      <c r="DP1183" s="552">
        <f t="shared" si="4587"/>
        <v>0</v>
      </c>
      <c r="DQ1183" s="552">
        <f t="shared" si="4587"/>
        <v>0</v>
      </c>
      <c r="DR1183" s="552">
        <f t="shared" si="4587"/>
        <v>0</v>
      </c>
      <c r="DS1183" s="552">
        <f t="shared" si="4587"/>
        <v>0</v>
      </c>
      <c r="DT1183" s="552">
        <f t="shared" si="4587"/>
        <v>0</v>
      </c>
      <c r="DU1183" s="552">
        <f t="shared" si="4587"/>
        <v>0</v>
      </c>
      <c r="DV1183" s="552">
        <f t="shared" si="4587"/>
        <v>0</v>
      </c>
      <c r="DW1183" s="552">
        <f t="shared" si="4587"/>
        <v>0</v>
      </c>
      <c r="DX1183" s="552">
        <f t="shared" si="4587"/>
        <v>0</v>
      </c>
      <c r="DY1183" s="552">
        <f t="shared" si="4587"/>
        <v>0</v>
      </c>
      <c r="DZ1183" s="552">
        <f t="shared" si="4587"/>
        <v>0</v>
      </c>
      <c r="EA1183" s="552">
        <f t="shared" si="4587"/>
        <v>0</v>
      </c>
      <c r="EB1183" s="552">
        <f t="shared" si="4587"/>
        <v>0</v>
      </c>
      <c r="EC1183" s="552">
        <f t="shared" si="4587"/>
        <v>0</v>
      </c>
      <c r="ED1183" s="552">
        <f t="shared" si="4587"/>
        <v>0</v>
      </c>
      <c r="EE1183" s="552">
        <f t="shared" si="4587"/>
        <v>0</v>
      </c>
      <c r="EF1183" s="552">
        <f t="shared" si="4587"/>
        <v>0</v>
      </c>
      <c r="EG1183" s="552">
        <f t="shared" si="4587"/>
        <v>0</v>
      </c>
      <c r="EH1183" s="552">
        <f t="shared" ref="EH1183:EX1183" si="4588">EH229*EH$338</f>
        <v>0</v>
      </c>
      <c r="EI1183" s="552">
        <f t="shared" si="4588"/>
        <v>0</v>
      </c>
      <c r="EJ1183" s="552">
        <f t="shared" si="4588"/>
        <v>0</v>
      </c>
      <c r="EK1183" s="552">
        <f t="shared" si="4588"/>
        <v>0</v>
      </c>
      <c r="EL1183" s="552">
        <f t="shared" si="4588"/>
        <v>0</v>
      </c>
      <c r="EM1183" s="552">
        <f t="shared" si="4588"/>
        <v>0</v>
      </c>
      <c r="EN1183" s="552">
        <f t="shared" si="4588"/>
        <v>0</v>
      </c>
      <c r="EO1183" s="552">
        <f t="shared" si="4588"/>
        <v>0</v>
      </c>
      <c r="EP1183" s="552">
        <f t="shared" si="4588"/>
        <v>0</v>
      </c>
      <c r="EQ1183" s="552">
        <f t="shared" si="4588"/>
        <v>0</v>
      </c>
      <c r="ER1183" s="552">
        <f t="shared" si="4588"/>
        <v>0</v>
      </c>
      <c r="ES1183" s="552">
        <f t="shared" si="4588"/>
        <v>0</v>
      </c>
      <c r="ET1183" s="552">
        <f t="shared" si="4588"/>
        <v>0</v>
      </c>
      <c r="EU1183" s="552">
        <f t="shared" si="4588"/>
        <v>0</v>
      </c>
      <c r="EV1183" s="552">
        <f t="shared" si="4588"/>
        <v>0</v>
      </c>
      <c r="EW1183" s="552">
        <f t="shared" si="4588"/>
        <v>0</v>
      </c>
      <c r="EX1183" s="552">
        <f t="shared" si="4588"/>
        <v>0</v>
      </c>
      <c r="EY1183" s="799">
        <f t="shared" si="4577"/>
        <v>0</v>
      </c>
      <c r="EZ1183" s="640"/>
      <c r="FA1183" s="640"/>
      <c r="FB1183" s="640"/>
      <c r="FC1183" s="640"/>
      <c r="FD1183" s="640"/>
      <c r="FE1183" s="640"/>
      <c r="FF1183" s="640"/>
      <c r="FG1183" s="640"/>
      <c r="FH1183" s="640"/>
      <c r="FI1183" s="640"/>
      <c r="FJ1183" s="640"/>
      <c r="FK1183" s="640"/>
      <c r="FL1183" s="640"/>
    </row>
    <row r="1184" spans="1:168" x14ac:dyDescent="0.25">
      <c r="A1184" s="1492"/>
      <c r="B1184" s="624">
        <f t="shared" si="4570"/>
        <v>0</v>
      </c>
      <c r="C1184" s="624">
        <f t="shared" si="4570"/>
        <v>0</v>
      </c>
      <c r="D1184" s="624">
        <f t="shared" si="4570"/>
        <v>0</v>
      </c>
      <c r="E1184" s="1158">
        <f t="shared" si="4578"/>
        <v>0</v>
      </c>
      <c r="F1184" s="1158"/>
      <c r="G1184" s="1140"/>
      <c r="H1184" s="1140"/>
      <c r="I1184" s="552"/>
      <c r="J1184" s="552">
        <f t="shared" ref="J1184:AO1184" si="4589">J230*J$338</f>
        <v>0</v>
      </c>
      <c r="K1184" s="552">
        <f t="shared" si="4589"/>
        <v>0</v>
      </c>
      <c r="L1184" s="552">
        <f t="shared" si="4589"/>
        <v>0</v>
      </c>
      <c r="M1184" s="552">
        <f t="shared" si="4589"/>
        <v>0</v>
      </c>
      <c r="N1184" s="552">
        <f t="shared" si="4589"/>
        <v>0</v>
      </c>
      <c r="O1184" s="552">
        <f t="shared" si="4589"/>
        <v>0</v>
      </c>
      <c r="P1184" s="552">
        <f t="shared" si="4589"/>
        <v>0</v>
      </c>
      <c r="Q1184" s="552">
        <f t="shared" si="4589"/>
        <v>0</v>
      </c>
      <c r="R1184" s="552">
        <f t="shared" si="4589"/>
        <v>0</v>
      </c>
      <c r="S1184" s="552">
        <f t="shared" si="4589"/>
        <v>0</v>
      </c>
      <c r="T1184" s="552">
        <f t="shared" si="4589"/>
        <v>0</v>
      </c>
      <c r="U1184" s="552">
        <f t="shared" si="4589"/>
        <v>0</v>
      </c>
      <c r="V1184" s="552">
        <f t="shared" si="4589"/>
        <v>0</v>
      </c>
      <c r="W1184" s="552">
        <f t="shared" si="4589"/>
        <v>0</v>
      </c>
      <c r="X1184" s="552">
        <f t="shared" si="4589"/>
        <v>0</v>
      </c>
      <c r="Y1184" s="552">
        <f t="shared" si="4589"/>
        <v>0</v>
      </c>
      <c r="Z1184" s="552">
        <f t="shared" si="4589"/>
        <v>0</v>
      </c>
      <c r="AA1184" s="552">
        <f t="shared" si="4589"/>
        <v>0</v>
      </c>
      <c r="AB1184" s="552">
        <f t="shared" si="4589"/>
        <v>0</v>
      </c>
      <c r="AC1184" s="552">
        <f t="shared" si="4589"/>
        <v>0</v>
      </c>
      <c r="AD1184" s="552">
        <f t="shared" si="4589"/>
        <v>0</v>
      </c>
      <c r="AE1184" s="552">
        <f t="shared" si="4589"/>
        <v>0</v>
      </c>
      <c r="AF1184" s="552">
        <f t="shared" si="4589"/>
        <v>0</v>
      </c>
      <c r="AG1184" s="552">
        <f t="shared" si="4589"/>
        <v>0</v>
      </c>
      <c r="AH1184" s="552">
        <f t="shared" si="4589"/>
        <v>0</v>
      </c>
      <c r="AI1184" s="552">
        <f t="shared" si="4589"/>
        <v>0</v>
      </c>
      <c r="AJ1184" s="552">
        <f t="shared" si="4589"/>
        <v>0</v>
      </c>
      <c r="AK1184" s="552">
        <f t="shared" si="4589"/>
        <v>0</v>
      </c>
      <c r="AL1184" s="552">
        <f t="shared" si="4589"/>
        <v>0</v>
      </c>
      <c r="AM1184" s="552">
        <f t="shared" si="4589"/>
        <v>0</v>
      </c>
      <c r="AN1184" s="552">
        <f t="shared" si="4589"/>
        <v>0</v>
      </c>
      <c r="AO1184" s="552">
        <f t="shared" si="4589"/>
        <v>0</v>
      </c>
      <c r="AP1184" s="552">
        <f t="shared" ref="AP1184:BU1184" si="4590">AP230*AP$338</f>
        <v>0</v>
      </c>
      <c r="AQ1184" s="552">
        <f t="shared" si="4590"/>
        <v>0</v>
      </c>
      <c r="AR1184" s="552">
        <f t="shared" si="4590"/>
        <v>0</v>
      </c>
      <c r="AS1184" s="552">
        <f t="shared" si="4590"/>
        <v>0</v>
      </c>
      <c r="AT1184" s="552">
        <f t="shared" si="4590"/>
        <v>0</v>
      </c>
      <c r="AU1184" s="552">
        <f t="shared" si="4590"/>
        <v>0</v>
      </c>
      <c r="AV1184" s="552">
        <f t="shared" si="4590"/>
        <v>0</v>
      </c>
      <c r="AW1184" s="552">
        <f t="shared" si="4590"/>
        <v>0</v>
      </c>
      <c r="AX1184" s="552">
        <f t="shared" si="4590"/>
        <v>0</v>
      </c>
      <c r="AY1184" s="552">
        <f t="shared" si="4590"/>
        <v>0</v>
      </c>
      <c r="AZ1184" s="552">
        <f t="shared" si="4590"/>
        <v>0</v>
      </c>
      <c r="BA1184" s="552">
        <f t="shared" si="4590"/>
        <v>0</v>
      </c>
      <c r="BB1184" s="552">
        <f t="shared" si="4590"/>
        <v>0</v>
      </c>
      <c r="BC1184" s="552">
        <f t="shared" si="4590"/>
        <v>0</v>
      </c>
      <c r="BD1184" s="552">
        <f t="shared" si="4590"/>
        <v>0</v>
      </c>
      <c r="BE1184" s="552">
        <f t="shared" si="4590"/>
        <v>0</v>
      </c>
      <c r="BF1184" s="552">
        <f t="shared" si="4590"/>
        <v>0</v>
      </c>
      <c r="BG1184" s="552">
        <f t="shared" si="4590"/>
        <v>0</v>
      </c>
      <c r="BH1184" s="552">
        <f t="shared" si="4590"/>
        <v>0</v>
      </c>
      <c r="BI1184" s="552">
        <f t="shared" si="4590"/>
        <v>0</v>
      </c>
      <c r="BJ1184" s="552">
        <f t="shared" si="4590"/>
        <v>0</v>
      </c>
      <c r="BK1184" s="552">
        <f t="shared" si="4590"/>
        <v>0</v>
      </c>
      <c r="BL1184" s="552">
        <f t="shared" si="4590"/>
        <v>0</v>
      </c>
      <c r="BM1184" s="552">
        <f t="shared" si="4590"/>
        <v>0</v>
      </c>
      <c r="BN1184" s="552">
        <f t="shared" si="4590"/>
        <v>0</v>
      </c>
      <c r="BO1184" s="552">
        <f t="shared" si="4590"/>
        <v>0</v>
      </c>
      <c r="BP1184" s="552">
        <f t="shared" si="4590"/>
        <v>0</v>
      </c>
      <c r="BQ1184" s="552">
        <f t="shared" si="4590"/>
        <v>0</v>
      </c>
      <c r="BR1184" s="552">
        <f t="shared" si="4590"/>
        <v>0</v>
      </c>
      <c r="BS1184" s="552">
        <f t="shared" si="4590"/>
        <v>0</v>
      </c>
      <c r="BT1184" s="552">
        <f t="shared" si="4590"/>
        <v>0</v>
      </c>
      <c r="BU1184" s="552">
        <f t="shared" si="4590"/>
        <v>0</v>
      </c>
      <c r="BV1184" s="552">
        <f t="shared" ref="BV1184:DA1184" si="4591">BV230*BV$338</f>
        <v>0</v>
      </c>
      <c r="BW1184" s="552">
        <f t="shared" si="4591"/>
        <v>0</v>
      </c>
      <c r="BX1184" s="552">
        <f t="shared" si="4591"/>
        <v>0</v>
      </c>
      <c r="BY1184" s="552">
        <f t="shared" si="4591"/>
        <v>0</v>
      </c>
      <c r="BZ1184" s="552">
        <f t="shared" si="4591"/>
        <v>0</v>
      </c>
      <c r="CA1184" s="552">
        <f t="shared" si="4591"/>
        <v>0</v>
      </c>
      <c r="CB1184" s="552">
        <f t="shared" si="4591"/>
        <v>0</v>
      </c>
      <c r="CC1184" s="552">
        <f t="shared" si="4591"/>
        <v>0</v>
      </c>
      <c r="CD1184" s="552">
        <f t="shared" si="4591"/>
        <v>0</v>
      </c>
      <c r="CE1184" s="552">
        <f t="shared" si="4591"/>
        <v>0</v>
      </c>
      <c r="CF1184" s="552">
        <f t="shared" si="4591"/>
        <v>0</v>
      </c>
      <c r="CG1184" s="552">
        <f t="shared" si="4591"/>
        <v>0</v>
      </c>
      <c r="CH1184" s="552">
        <f t="shared" si="4591"/>
        <v>0</v>
      </c>
      <c r="CI1184" s="552">
        <f t="shared" si="4591"/>
        <v>0</v>
      </c>
      <c r="CJ1184" s="552">
        <f t="shared" si="4591"/>
        <v>0</v>
      </c>
      <c r="CK1184" s="552">
        <f t="shared" si="4591"/>
        <v>0</v>
      </c>
      <c r="CL1184" s="552">
        <f t="shared" si="4591"/>
        <v>0</v>
      </c>
      <c r="CM1184" s="552">
        <f t="shared" si="4591"/>
        <v>0</v>
      </c>
      <c r="CN1184" s="552">
        <f t="shared" si="4591"/>
        <v>0</v>
      </c>
      <c r="CO1184" s="552">
        <f t="shared" si="4591"/>
        <v>0</v>
      </c>
      <c r="CP1184" s="552">
        <f t="shared" si="4591"/>
        <v>0</v>
      </c>
      <c r="CQ1184" s="552">
        <f t="shared" si="4591"/>
        <v>0</v>
      </c>
      <c r="CR1184" s="552">
        <f t="shared" si="4591"/>
        <v>0</v>
      </c>
      <c r="CS1184" s="552">
        <f t="shared" si="4591"/>
        <v>0</v>
      </c>
      <c r="CT1184" s="552">
        <f t="shared" si="4591"/>
        <v>0</v>
      </c>
      <c r="CU1184" s="552">
        <f t="shared" si="4591"/>
        <v>0</v>
      </c>
      <c r="CV1184" s="552">
        <f t="shared" si="4591"/>
        <v>0</v>
      </c>
      <c r="CW1184" s="552">
        <f t="shared" si="4591"/>
        <v>0</v>
      </c>
      <c r="CX1184" s="552">
        <f t="shared" si="4591"/>
        <v>0</v>
      </c>
      <c r="CY1184" s="552">
        <f t="shared" si="4591"/>
        <v>0</v>
      </c>
      <c r="CZ1184" s="552">
        <f t="shared" si="4591"/>
        <v>0</v>
      </c>
      <c r="DA1184" s="552">
        <f t="shared" si="4591"/>
        <v>0</v>
      </c>
      <c r="DB1184" s="552">
        <f t="shared" ref="DB1184:EG1184" si="4592">DB230*DB$338</f>
        <v>0</v>
      </c>
      <c r="DC1184" s="552">
        <f t="shared" si="4592"/>
        <v>0</v>
      </c>
      <c r="DD1184" s="552">
        <f t="shared" si="4592"/>
        <v>0</v>
      </c>
      <c r="DE1184" s="552">
        <f t="shared" si="4592"/>
        <v>0</v>
      </c>
      <c r="DF1184" s="552">
        <f t="shared" si="4592"/>
        <v>0</v>
      </c>
      <c r="DG1184" s="552">
        <f t="shared" si="4592"/>
        <v>0</v>
      </c>
      <c r="DH1184" s="552">
        <f t="shared" si="4592"/>
        <v>0</v>
      </c>
      <c r="DI1184" s="552">
        <f t="shared" si="4592"/>
        <v>0</v>
      </c>
      <c r="DJ1184" s="552">
        <f t="shared" si="4592"/>
        <v>0</v>
      </c>
      <c r="DK1184" s="552">
        <f t="shared" si="4592"/>
        <v>0</v>
      </c>
      <c r="DL1184" s="552">
        <f t="shared" si="4592"/>
        <v>0</v>
      </c>
      <c r="DM1184" s="552">
        <f t="shared" si="4592"/>
        <v>0</v>
      </c>
      <c r="DN1184" s="552">
        <f t="shared" si="4592"/>
        <v>0</v>
      </c>
      <c r="DO1184" s="552">
        <f t="shared" si="4592"/>
        <v>0</v>
      </c>
      <c r="DP1184" s="552">
        <f t="shared" si="4592"/>
        <v>0</v>
      </c>
      <c r="DQ1184" s="552">
        <f t="shared" si="4592"/>
        <v>0</v>
      </c>
      <c r="DR1184" s="552">
        <f t="shared" si="4592"/>
        <v>0</v>
      </c>
      <c r="DS1184" s="552">
        <f t="shared" si="4592"/>
        <v>0</v>
      </c>
      <c r="DT1184" s="552">
        <f t="shared" si="4592"/>
        <v>0</v>
      </c>
      <c r="DU1184" s="552">
        <f t="shared" si="4592"/>
        <v>0</v>
      </c>
      <c r="DV1184" s="552">
        <f t="shared" si="4592"/>
        <v>0</v>
      </c>
      <c r="DW1184" s="552">
        <f t="shared" si="4592"/>
        <v>0</v>
      </c>
      <c r="DX1184" s="552">
        <f t="shared" si="4592"/>
        <v>0</v>
      </c>
      <c r="DY1184" s="552">
        <f t="shared" si="4592"/>
        <v>0</v>
      </c>
      <c r="DZ1184" s="552">
        <f t="shared" si="4592"/>
        <v>0</v>
      </c>
      <c r="EA1184" s="552">
        <f t="shared" si="4592"/>
        <v>0</v>
      </c>
      <c r="EB1184" s="552">
        <f t="shared" si="4592"/>
        <v>0</v>
      </c>
      <c r="EC1184" s="552">
        <f t="shared" si="4592"/>
        <v>0</v>
      </c>
      <c r="ED1184" s="552">
        <f t="shared" si="4592"/>
        <v>0</v>
      </c>
      <c r="EE1184" s="552">
        <f t="shared" si="4592"/>
        <v>0</v>
      </c>
      <c r="EF1184" s="552">
        <f t="shared" si="4592"/>
        <v>0</v>
      </c>
      <c r="EG1184" s="552">
        <f t="shared" si="4592"/>
        <v>0</v>
      </c>
      <c r="EH1184" s="552">
        <f t="shared" ref="EH1184:EX1184" si="4593">EH230*EH$338</f>
        <v>0</v>
      </c>
      <c r="EI1184" s="552">
        <f t="shared" si="4593"/>
        <v>0</v>
      </c>
      <c r="EJ1184" s="552">
        <f t="shared" si="4593"/>
        <v>0</v>
      </c>
      <c r="EK1184" s="552">
        <f t="shared" si="4593"/>
        <v>0</v>
      </c>
      <c r="EL1184" s="552">
        <f t="shared" si="4593"/>
        <v>0</v>
      </c>
      <c r="EM1184" s="552">
        <f t="shared" si="4593"/>
        <v>0</v>
      </c>
      <c r="EN1184" s="552">
        <f t="shared" si="4593"/>
        <v>0</v>
      </c>
      <c r="EO1184" s="552">
        <f t="shared" si="4593"/>
        <v>0</v>
      </c>
      <c r="EP1184" s="552">
        <f t="shared" si="4593"/>
        <v>0</v>
      </c>
      <c r="EQ1184" s="552">
        <f t="shared" si="4593"/>
        <v>0</v>
      </c>
      <c r="ER1184" s="552">
        <f t="shared" si="4593"/>
        <v>0</v>
      </c>
      <c r="ES1184" s="552">
        <f t="shared" si="4593"/>
        <v>0</v>
      </c>
      <c r="ET1184" s="552">
        <f t="shared" si="4593"/>
        <v>0</v>
      </c>
      <c r="EU1184" s="552">
        <f t="shared" si="4593"/>
        <v>0</v>
      </c>
      <c r="EV1184" s="552">
        <f t="shared" si="4593"/>
        <v>0</v>
      </c>
      <c r="EW1184" s="552">
        <f t="shared" si="4593"/>
        <v>0</v>
      </c>
      <c r="EX1184" s="552">
        <f t="shared" si="4593"/>
        <v>0</v>
      </c>
      <c r="EY1184" s="799">
        <f t="shared" si="4577"/>
        <v>0</v>
      </c>
      <c r="EZ1184" s="640"/>
      <c r="FA1184" s="640"/>
      <c r="FB1184" s="640"/>
      <c r="FC1184" s="640"/>
      <c r="FD1184" s="640"/>
      <c r="FE1184" s="640"/>
      <c r="FF1184" s="640"/>
      <c r="FG1184" s="640"/>
      <c r="FH1184" s="640"/>
      <c r="FI1184" s="640"/>
      <c r="FJ1184" s="640"/>
      <c r="FK1184" s="640"/>
      <c r="FL1184" s="640"/>
    </row>
    <row r="1185" spans="1:168" x14ac:dyDescent="0.25">
      <c r="A1185" s="1492"/>
      <c r="B1185" s="624">
        <f t="shared" si="4570"/>
        <v>0</v>
      </c>
      <c r="C1185" s="624">
        <f t="shared" si="4570"/>
        <v>0</v>
      </c>
      <c r="D1185" s="624">
        <f t="shared" si="4570"/>
        <v>0</v>
      </c>
      <c r="E1185" s="1158">
        <f t="shared" si="4578"/>
        <v>0</v>
      </c>
      <c r="F1185" s="1158"/>
      <c r="G1185" s="1140"/>
      <c r="H1185" s="1140"/>
      <c r="I1185" s="552"/>
      <c r="J1185" s="552">
        <f t="shared" ref="J1185:AO1185" si="4594">J231*J$338</f>
        <v>0</v>
      </c>
      <c r="K1185" s="552">
        <f t="shared" si="4594"/>
        <v>0</v>
      </c>
      <c r="L1185" s="552">
        <f t="shared" si="4594"/>
        <v>0</v>
      </c>
      <c r="M1185" s="552">
        <f t="shared" si="4594"/>
        <v>0</v>
      </c>
      <c r="N1185" s="552">
        <f t="shared" si="4594"/>
        <v>0</v>
      </c>
      <c r="O1185" s="552">
        <f t="shared" si="4594"/>
        <v>0</v>
      </c>
      <c r="P1185" s="552">
        <f t="shared" si="4594"/>
        <v>0</v>
      </c>
      <c r="Q1185" s="552">
        <f t="shared" si="4594"/>
        <v>0</v>
      </c>
      <c r="R1185" s="552">
        <f t="shared" si="4594"/>
        <v>0</v>
      </c>
      <c r="S1185" s="552">
        <f t="shared" si="4594"/>
        <v>0</v>
      </c>
      <c r="T1185" s="552">
        <f t="shared" si="4594"/>
        <v>0</v>
      </c>
      <c r="U1185" s="552">
        <f t="shared" si="4594"/>
        <v>0</v>
      </c>
      <c r="V1185" s="552">
        <f t="shared" si="4594"/>
        <v>0</v>
      </c>
      <c r="W1185" s="552">
        <f t="shared" si="4594"/>
        <v>0</v>
      </c>
      <c r="X1185" s="552">
        <f t="shared" si="4594"/>
        <v>0</v>
      </c>
      <c r="Y1185" s="552">
        <f t="shared" si="4594"/>
        <v>0</v>
      </c>
      <c r="Z1185" s="552">
        <f t="shared" si="4594"/>
        <v>0</v>
      </c>
      <c r="AA1185" s="552">
        <f t="shared" si="4594"/>
        <v>0</v>
      </c>
      <c r="AB1185" s="552">
        <f t="shared" si="4594"/>
        <v>0</v>
      </c>
      <c r="AC1185" s="552">
        <f t="shared" si="4594"/>
        <v>0</v>
      </c>
      <c r="AD1185" s="552">
        <f t="shared" si="4594"/>
        <v>0</v>
      </c>
      <c r="AE1185" s="552">
        <f t="shared" si="4594"/>
        <v>0</v>
      </c>
      <c r="AF1185" s="552">
        <f t="shared" si="4594"/>
        <v>0</v>
      </c>
      <c r="AG1185" s="552">
        <f t="shared" si="4594"/>
        <v>0</v>
      </c>
      <c r="AH1185" s="552">
        <f t="shared" si="4594"/>
        <v>0</v>
      </c>
      <c r="AI1185" s="552">
        <f t="shared" si="4594"/>
        <v>0</v>
      </c>
      <c r="AJ1185" s="552">
        <f t="shared" si="4594"/>
        <v>0</v>
      </c>
      <c r="AK1185" s="552">
        <f t="shared" si="4594"/>
        <v>0</v>
      </c>
      <c r="AL1185" s="552">
        <f t="shared" si="4594"/>
        <v>0</v>
      </c>
      <c r="AM1185" s="552">
        <f t="shared" si="4594"/>
        <v>0</v>
      </c>
      <c r="AN1185" s="552">
        <f t="shared" si="4594"/>
        <v>0</v>
      </c>
      <c r="AO1185" s="552">
        <f t="shared" si="4594"/>
        <v>0</v>
      </c>
      <c r="AP1185" s="552">
        <f t="shared" ref="AP1185:BU1185" si="4595">AP231*AP$338</f>
        <v>0</v>
      </c>
      <c r="AQ1185" s="552">
        <f t="shared" si="4595"/>
        <v>0</v>
      </c>
      <c r="AR1185" s="552">
        <f t="shared" si="4595"/>
        <v>0</v>
      </c>
      <c r="AS1185" s="552">
        <f t="shared" si="4595"/>
        <v>0</v>
      </c>
      <c r="AT1185" s="552">
        <f t="shared" si="4595"/>
        <v>0</v>
      </c>
      <c r="AU1185" s="552">
        <f t="shared" si="4595"/>
        <v>0</v>
      </c>
      <c r="AV1185" s="552">
        <f t="shared" si="4595"/>
        <v>0</v>
      </c>
      <c r="AW1185" s="552">
        <f t="shared" si="4595"/>
        <v>0</v>
      </c>
      <c r="AX1185" s="552">
        <f t="shared" si="4595"/>
        <v>0</v>
      </c>
      <c r="AY1185" s="552">
        <f t="shared" si="4595"/>
        <v>0</v>
      </c>
      <c r="AZ1185" s="552">
        <f t="shared" si="4595"/>
        <v>0</v>
      </c>
      <c r="BA1185" s="552">
        <f t="shared" si="4595"/>
        <v>0</v>
      </c>
      <c r="BB1185" s="552">
        <f t="shared" si="4595"/>
        <v>0</v>
      </c>
      <c r="BC1185" s="552">
        <f t="shared" si="4595"/>
        <v>0</v>
      </c>
      <c r="BD1185" s="552">
        <f t="shared" si="4595"/>
        <v>0</v>
      </c>
      <c r="BE1185" s="552">
        <f t="shared" si="4595"/>
        <v>0</v>
      </c>
      <c r="BF1185" s="552">
        <f t="shared" si="4595"/>
        <v>0</v>
      </c>
      <c r="BG1185" s="552">
        <f t="shared" si="4595"/>
        <v>0</v>
      </c>
      <c r="BH1185" s="552">
        <f t="shared" si="4595"/>
        <v>0</v>
      </c>
      <c r="BI1185" s="552">
        <f t="shared" si="4595"/>
        <v>0</v>
      </c>
      <c r="BJ1185" s="552">
        <f t="shared" si="4595"/>
        <v>0</v>
      </c>
      <c r="BK1185" s="552">
        <f t="shared" si="4595"/>
        <v>0</v>
      </c>
      <c r="BL1185" s="552">
        <f t="shared" si="4595"/>
        <v>0</v>
      </c>
      <c r="BM1185" s="552">
        <f t="shared" si="4595"/>
        <v>0</v>
      </c>
      <c r="BN1185" s="552">
        <f t="shared" si="4595"/>
        <v>0</v>
      </c>
      <c r="BO1185" s="552">
        <f t="shared" si="4595"/>
        <v>0</v>
      </c>
      <c r="BP1185" s="552">
        <f t="shared" si="4595"/>
        <v>0</v>
      </c>
      <c r="BQ1185" s="552">
        <f t="shared" si="4595"/>
        <v>0</v>
      </c>
      <c r="BR1185" s="552">
        <f t="shared" si="4595"/>
        <v>0</v>
      </c>
      <c r="BS1185" s="552">
        <f t="shared" si="4595"/>
        <v>0</v>
      </c>
      <c r="BT1185" s="552">
        <f t="shared" si="4595"/>
        <v>0</v>
      </c>
      <c r="BU1185" s="552">
        <f t="shared" si="4595"/>
        <v>0</v>
      </c>
      <c r="BV1185" s="552">
        <f t="shared" ref="BV1185:DA1185" si="4596">BV231*BV$338</f>
        <v>0</v>
      </c>
      <c r="BW1185" s="552">
        <f t="shared" si="4596"/>
        <v>0</v>
      </c>
      <c r="BX1185" s="552">
        <f t="shared" si="4596"/>
        <v>0</v>
      </c>
      <c r="BY1185" s="552">
        <f t="shared" si="4596"/>
        <v>0</v>
      </c>
      <c r="BZ1185" s="552">
        <f t="shared" si="4596"/>
        <v>0</v>
      </c>
      <c r="CA1185" s="552">
        <f t="shared" si="4596"/>
        <v>0</v>
      </c>
      <c r="CB1185" s="552">
        <f t="shared" si="4596"/>
        <v>0</v>
      </c>
      <c r="CC1185" s="552">
        <f t="shared" si="4596"/>
        <v>0</v>
      </c>
      <c r="CD1185" s="552">
        <f t="shared" si="4596"/>
        <v>0</v>
      </c>
      <c r="CE1185" s="552">
        <f t="shared" si="4596"/>
        <v>0</v>
      </c>
      <c r="CF1185" s="552">
        <f t="shared" si="4596"/>
        <v>0</v>
      </c>
      <c r="CG1185" s="552">
        <f t="shared" si="4596"/>
        <v>0</v>
      </c>
      <c r="CH1185" s="552">
        <f t="shared" si="4596"/>
        <v>0</v>
      </c>
      <c r="CI1185" s="552">
        <f t="shared" si="4596"/>
        <v>0</v>
      </c>
      <c r="CJ1185" s="552">
        <f t="shared" si="4596"/>
        <v>0</v>
      </c>
      <c r="CK1185" s="552">
        <f t="shared" si="4596"/>
        <v>0</v>
      </c>
      <c r="CL1185" s="552">
        <f t="shared" si="4596"/>
        <v>0</v>
      </c>
      <c r="CM1185" s="552">
        <f t="shared" si="4596"/>
        <v>0</v>
      </c>
      <c r="CN1185" s="552">
        <f t="shared" si="4596"/>
        <v>0</v>
      </c>
      <c r="CO1185" s="552">
        <f t="shared" si="4596"/>
        <v>0</v>
      </c>
      <c r="CP1185" s="552">
        <f t="shared" si="4596"/>
        <v>0</v>
      </c>
      <c r="CQ1185" s="552">
        <f t="shared" si="4596"/>
        <v>0</v>
      </c>
      <c r="CR1185" s="552">
        <f t="shared" si="4596"/>
        <v>0</v>
      </c>
      <c r="CS1185" s="552">
        <f t="shared" si="4596"/>
        <v>0</v>
      </c>
      <c r="CT1185" s="552">
        <f t="shared" si="4596"/>
        <v>0</v>
      </c>
      <c r="CU1185" s="552">
        <f t="shared" si="4596"/>
        <v>0</v>
      </c>
      <c r="CV1185" s="552">
        <f t="shared" si="4596"/>
        <v>0</v>
      </c>
      <c r="CW1185" s="552">
        <f t="shared" si="4596"/>
        <v>0</v>
      </c>
      <c r="CX1185" s="552">
        <f t="shared" si="4596"/>
        <v>0</v>
      </c>
      <c r="CY1185" s="552">
        <f t="shared" si="4596"/>
        <v>0</v>
      </c>
      <c r="CZ1185" s="552">
        <f t="shared" si="4596"/>
        <v>0</v>
      </c>
      <c r="DA1185" s="552">
        <f t="shared" si="4596"/>
        <v>0</v>
      </c>
      <c r="DB1185" s="552">
        <f t="shared" ref="DB1185:EG1185" si="4597">DB231*DB$338</f>
        <v>0</v>
      </c>
      <c r="DC1185" s="552">
        <f t="shared" si="4597"/>
        <v>0</v>
      </c>
      <c r="DD1185" s="552">
        <f t="shared" si="4597"/>
        <v>0</v>
      </c>
      <c r="DE1185" s="552">
        <f t="shared" si="4597"/>
        <v>0</v>
      </c>
      <c r="DF1185" s="552">
        <f t="shared" si="4597"/>
        <v>0</v>
      </c>
      <c r="DG1185" s="552">
        <f t="shared" si="4597"/>
        <v>0</v>
      </c>
      <c r="DH1185" s="552">
        <f t="shared" si="4597"/>
        <v>0</v>
      </c>
      <c r="DI1185" s="552">
        <f t="shared" si="4597"/>
        <v>0</v>
      </c>
      <c r="DJ1185" s="552">
        <f t="shared" si="4597"/>
        <v>0</v>
      </c>
      <c r="DK1185" s="552">
        <f t="shared" si="4597"/>
        <v>0</v>
      </c>
      <c r="DL1185" s="552">
        <f t="shared" si="4597"/>
        <v>0</v>
      </c>
      <c r="DM1185" s="552">
        <f t="shared" si="4597"/>
        <v>0</v>
      </c>
      <c r="DN1185" s="552">
        <f t="shared" si="4597"/>
        <v>0</v>
      </c>
      <c r="DO1185" s="552">
        <f t="shared" si="4597"/>
        <v>0</v>
      </c>
      <c r="DP1185" s="552">
        <f t="shared" si="4597"/>
        <v>0</v>
      </c>
      <c r="DQ1185" s="552">
        <f t="shared" si="4597"/>
        <v>0</v>
      </c>
      <c r="DR1185" s="552">
        <f t="shared" si="4597"/>
        <v>0</v>
      </c>
      <c r="DS1185" s="552">
        <f t="shared" si="4597"/>
        <v>0</v>
      </c>
      <c r="DT1185" s="552">
        <f t="shared" si="4597"/>
        <v>0</v>
      </c>
      <c r="DU1185" s="552">
        <f t="shared" si="4597"/>
        <v>0</v>
      </c>
      <c r="DV1185" s="552">
        <f t="shared" si="4597"/>
        <v>0</v>
      </c>
      <c r="DW1185" s="552">
        <f t="shared" si="4597"/>
        <v>0</v>
      </c>
      <c r="DX1185" s="552">
        <f t="shared" si="4597"/>
        <v>0</v>
      </c>
      <c r="DY1185" s="552">
        <f t="shared" si="4597"/>
        <v>0</v>
      </c>
      <c r="DZ1185" s="552">
        <f t="shared" si="4597"/>
        <v>0</v>
      </c>
      <c r="EA1185" s="552">
        <f t="shared" si="4597"/>
        <v>0</v>
      </c>
      <c r="EB1185" s="552">
        <f t="shared" si="4597"/>
        <v>0</v>
      </c>
      <c r="EC1185" s="552">
        <f t="shared" si="4597"/>
        <v>0</v>
      </c>
      <c r="ED1185" s="552">
        <f t="shared" si="4597"/>
        <v>0</v>
      </c>
      <c r="EE1185" s="552">
        <f t="shared" si="4597"/>
        <v>0</v>
      </c>
      <c r="EF1185" s="552">
        <f t="shared" si="4597"/>
        <v>0</v>
      </c>
      <c r="EG1185" s="552">
        <f t="shared" si="4597"/>
        <v>0</v>
      </c>
      <c r="EH1185" s="552">
        <f t="shared" ref="EH1185:EX1185" si="4598">EH231*EH$338</f>
        <v>0</v>
      </c>
      <c r="EI1185" s="552">
        <f t="shared" si="4598"/>
        <v>0</v>
      </c>
      <c r="EJ1185" s="552">
        <f t="shared" si="4598"/>
        <v>0</v>
      </c>
      <c r="EK1185" s="552">
        <f t="shared" si="4598"/>
        <v>0</v>
      </c>
      <c r="EL1185" s="552">
        <f t="shared" si="4598"/>
        <v>0</v>
      </c>
      <c r="EM1185" s="552">
        <f t="shared" si="4598"/>
        <v>0</v>
      </c>
      <c r="EN1185" s="552">
        <f t="shared" si="4598"/>
        <v>0</v>
      </c>
      <c r="EO1185" s="552">
        <f t="shared" si="4598"/>
        <v>0</v>
      </c>
      <c r="EP1185" s="552">
        <f t="shared" si="4598"/>
        <v>0</v>
      </c>
      <c r="EQ1185" s="552">
        <f t="shared" si="4598"/>
        <v>0</v>
      </c>
      <c r="ER1185" s="552">
        <f t="shared" si="4598"/>
        <v>0</v>
      </c>
      <c r="ES1185" s="552">
        <f t="shared" si="4598"/>
        <v>0</v>
      </c>
      <c r="ET1185" s="552">
        <f t="shared" si="4598"/>
        <v>0</v>
      </c>
      <c r="EU1185" s="552">
        <f t="shared" si="4598"/>
        <v>0</v>
      </c>
      <c r="EV1185" s="552">
        <f t="shared" si="4598"/>
        <v>0</v>
      </c>
      <c r="EW1185" s="552">
        <f t="shared" si="4598"/>
        <v>0</v>
      </c>
      <c r="EX1185" s="552">
        <f t="shared" si="4598"/>
        <v>0</v>
      </c>
      <c r="EY1185" s="799">
        <f t="shared" si="4577"/>
        <v>0</v>
      </c>
      <c r="EZ1185" s="640"/>
      <c r="FA1185" s="640"/>
      <c r="FB1185" s="640"/>
      <c r="FC1185" s="640"/>
      <c r="FD1185" s="640"/>
      <c r="FE1185" s="640"/>
      <c r="FF1185" s="640"/>
      <c r="FG1185" s="640"/>
      <c r="FH1185" s="640"/>
      <c r="FI1185" s="640"/>
      <c r="FJ1185" s="640"/>
      <c r="FK1185" s="640"/>
      <c r="FL1185" s="640"/>
    </row>
    <row r="1186" spans="1:168" x14ac:dyDescent="0.25">
      <c r="A1186" s="1492"/>
      <c r="B1186" s="624">
        <f t="shared" si="4570"/>
        <v>0</v>
      </c>
      <c r="C1186" s="624">
        <f t="shared" si="4570"/>
        <v>0</v>
      </c>
      <c r="D1186" s="624">
        <f t="shared" si="4570"/>
        <v>0</v>
      </c>
      <c r="E1186" s="1158">
        <f t="shared" si="4578"/>
        <v>0</v>
      </c>
      <c r="F1186" s="1158"/>
      <c r="G1186" s="1140"/>
      <c r="H1186" s="1140"/>
      <c r="I1186" s="552"/>
      <c r="J1186" s="552">
        <f t="shared" ref="J1186:AO1186" si="4599">J232*J$338</f>
        <v>0</v>
      </c>
      <c r="K1186" s="552">
        <f t="shared" si="4599"/>
        <v>0</v>
      </c>
      <c r="L1186" s="552">
        <f t="shared" si="4599"/>
        <v>0</v>
      </c>
      <c r="M1186" s="552">
        <f t="shared" si="4599"/>
        <v>0</v>
      </c>
      <c r="N1186" s="552">
        <f t="shared" si="4599"/>
        <v>0</v>
      </c>
      <c r="O1186" s="552">
        <f t="shared" si="4599"/>
        <v>0</v>
      </c>
      <c r="P1186" s="552">
        <f t="shared" si="4599"/>
        <v>0</v>
      </c>
      <c r="Q1186" s="552">
        <f t="shared" si="4599"/>
        <v>0</v>
      </c>
      <c r="R1186" s="552">
        <f t="shared" si="4599"/>
        <v>0</v>
      </c>
      <c r="S1186" s="552">
        <f t="shared" si="4599"/>
        <v>0</v>
      </c>
      <c r="T1186" s="552">
        <f t="shared" si="4599"/>
        <v>0</v>
      </c>
      <c r="U1186" s="552">
        <f t="shared" si="4599"/>
        <v>0</v>
      </c>
      <c r="V1186" s="552">
        <f t="shared" si="4599"/>
        <v>0</v>
      </c>
      <c r="W1186" s="552">
        <f t="shared" si="4599"/>
        <v>0</v>
      </c>
      <c r="X1186" s="552">
        <f t="shared" si="4599"/>
        <v>0</v>
      </c>
      <c r="Y1186" s="552">
        <f t="shared" si="4599"/>
        <v>0</v>
      </c>
      <c r="Z1186" s="552">
        <f t="shared" si="4599"/>
        <v>0</v>
      </c>
      <c r="AA1186" s="552">
        <f t="shared" si="4599"/>
        <v>0</v>
      </c>
      <c r="AB1186" s="552">
        <f t="shared" si="4599"/>
        <v>0</v>
      </c>
      <c r="AC1186" s="552">
        <f t="shared" si="4599"/>
        <v>0</v>
      </c>
      <c r="AD1186" s="552">
        <f t="shared" si="4599"/>
        <v>0</v>
      </c>
      <c r="AE1186" s="552">
        <f t="shared" si="4599"/>
        <v>0</v>
      </c>
      <c r="AF1186" s="552">
        <f t="shared" si="4599"/>
        <v>0</v>
      </c>
      <c r="AG1186" s="552">
        <f t="shared" si="4599"/>
        <v>0</v>
      </c>
      <c r="AH1186" s="552">
        <f t="shared" si="4599"/>
        <v>0</v>
      </c>
      <c r="AI1186" s="552">
        <f t="shared" si="4599"/>
        <v>0</v>
      </c>
      <c r="AJ1186" s="552">
        <f t="shared" si="4599"/>
        <v>0</v>
      </c>
      <c r="AK1186" s="552">
        <f t="shared" si="4599"/>
        <v>0</v>
      </c>
      <c r="AL1186" s="552">
        <f t="shared" si="4599"/>
        <v>0</v>
      </c>
      <c r="AM1186" s="552">
        <f t="shared" si="4599"/>
        <v>0</v>
      </c>
      <c r="AN1186" s="552">
        <f t="shared" si="4599"/>
        <v>0</v>
      </c>
      <c r="AO1186" s="552">
        <f t="shared" si="4599"/>
        <v>0</v>
      </c>
      <c r="AP1186" s="552">
        <f t="shared" ref="AP1186:BU1186" si="4600">AP232*AP$338</f>
        <v>0</v>
      </c>
      <c r="AQ1186" s="552">
        <f t="shared" si="4600"/>
        <v>0</v>
      </c>
      <c r="AR1186" s="552">
        <f t="shared" si="4600"/>
        <v>0</v>
      </c>
      <c r="AS1186" s="552">
        <f t="shared" si="4600"/>
        <v>0</v>
      </c>
      <c r="AT1186" s="552">
        <f t="shared" si="4600"/>
        <v>0</v>
      </c>
      <c r="AU1186" s="552">
        <f t="shared" si="4600"/>
        <v>0</v>
      </c>
      <c r="AV1186" s="552">
        <f t="shared" si="4600"/>
        <v>0</v>
      </c>
      <c r="AW1186" s="552">
        <f t="shared" si="4600"/>
        <v>0</v>
      </c>
      <c r="AX1186" s="552">
        <f t="shared" si="4600"/>
        <v>0</v>
      </c>
      <c r="AY1186" s="552">
        <f t="shared" si="4600"/>
        <v>0</v>
      </c>
      <c r="AZ1186" s="552">
        <f t="shared" si="4600"/>
        <v>0</v>
      </c>
      <c r="BA1186" s="552">
        <f t="shared" si="4600"/>
        <v>0</v>
      </c>
      <c r="BB1186" s="552">
        <f t="shared" si="4600"/>
        <v>0</v>
      </c>
      <c r="BC1186" s="552">
        <f t="shared" si="4600"/>
        <v>0</v>
      </c>
      <c r="BD1186" s="552">
        <f t="shared" si="4600"/>
        <v>0</v>
      </c>
      <c r="BE1186" s="552">
        <f t="shared" si="4600"/>
        <v>0</v>
      </c>
      <c r="BF1186" s="552">
        <f t="shared" si="4600"/>
        <v>0</v>
      </c>
      <c r="BG1186" s="552">
        <f t="shared" si="4600"/>
        <v>0</v>
      </c>
      <c r="BH1186" s="552">
        <f t="shared" si="4600"/>
        <v>0</v>
      </c>
      <c r="BI1186" s="552">
        <f t="shared" si="4600"/>
        <v>0</v>
      </c>
      <c r="BJ1186" s="552">
        <f t="shared" si="4600"/>
        <v>0</v>
      </c>
      <c r="BK1186" s="552">
        <f t="shared" si="4600"/>
        <v>0</v>
      </c>
      <c r="BL1186" s="552">
        <f t="shared" si="4600"/>
        <v>0</v>
      </c>
      <c r="BM1186" s="552">
        <f t="shared" si="4600"/>
        <v>0</v>
      </c>
      <c r="BN1186" s="552">
        <f t="shared" si="4600"/>
        <v>0</v>
      </c>
      <c r="BO1186" s="552">
        <f t="shared" si="4600"/>
        <v>0</v>
      </c>
      <c r="BP1186" s="552">
        <f t="shared" si="4600"/>
        <v>0</v>
      </c>
      <c r="BQ1186" s="552">
        <f t="shared" si="4600"/>
        <v>0</v>
      </c>
      <c r="BR1186" s="552">
        <f t="shared" si="4600"/>
        <v>0</v>
      </c>
      <c r="BS1186" s="552">
        <f t="shared" si="4600"/>
        <v>0</v>
      </c>
      <c r="BT1186" s="552">
        <f t="shared" si="4600"/>
        <v>0</v>
      </c>
      <c r="BU1186" s="552">
        <f t="shared" si="4600"/>
        <v>0</v>
      </c>
      <c r="BV1186" s="552">
        <f t="shared" ref="BV1186:DA1186" si="4601">BV232*BV$338</f>
        <v>0</v>
      </c>
      <c r="BW1186" s="552">
        <f t="shared" si="4601"/>
        <v>0</v>
      </c>
      <c r="BX1186" s="552">
        <f t="shared" si="4601"/>
        <v>0</v>
      </c>
      <c r="BY1186" s="552">
        <f t="shared" si="4601"/>
        <v>0</v>
      </c>
      <c r="BZ1186" s="552">
        <f t="shared" si="4601"/>
        <v>0</v>
      </c>
      <c r="CA1186" s="552">
        <f t="shared" si="4601"/>
        <v>0</v>
      </c>
      <c r="CB1186" s="552">
        <f t="shared" si="4601"/>
        <v>0</v>
      </c>
      <c r="CC1186" s="552">
        <f t="shared" si="4601"/>
        <v>0</v>
      </c>
      <c r="CD1186" s="552">
        <f t="shared" si="4601"/>
        <v>0</v>
      </c>
      <c r="CE1186" s="552">
        <f t="shared" si="4601"/>
        <v>0</v>
      </c>
      <c r="CF1186" s="552">
        <f t="shared" si="4601"/>
        <v>0</v>
      </c>
      <c r="CG1186" s="552">
        <f t="shared" si="4601"/>
        <v>0</v>
      </c>
      <c r="CH1186" s="552">
        <f t="shared" si="4601"/>
        <v>0</v>
      </c>
      <c r="CI1186" s="552">
        <f t="shared" si="4601"/>
        <v>0</v>
      </c>
      <c r="CJ1186" s="552">
        <f t="shared" si="4601"/>
        <v>0</v>
      </c>
      <c r="CK1186" s="552">
        <f t="shared" si="4601"/>
        <v>0</v>
      </c>
      <c r="CL1186" s="552">
        <f t="shared" si="4601"/>
        <v>0</v>
      </c>
      <c r="CM1186" s="552">
        <f t="shared" si="4601"/>
        <v>0</v>
      </c>
      <c r="CN1186" s="552">
        <f t="shared" si="4601"/>
        <v>0</v>
      </c>
      <c r="CO1186" s="552">
        <f t="shared" si="4601"/>
        <v>0</v>
      </c>
      <c r="CP1186" s="552">
        <f t="shared" si="4601"/>
        <v>0</v>
      </c>
      <c r="CQ1186" s="552">
        <f t="shared" si="4601"/>
        <v>0</v>
      </c>
      <c r="CR1186" s="552">
        <f t="shared" si="4601"/>
        <v>0</v>
      </c>
      <c r="CS1186" s="552">
        <f t="shared" si="4601"/>
        <v>0</v>
      </c>
      <c r="CT1186" s="552">
        <f t="shared" si="4601"/>
        <v>0</v>
      </c>
      <c r="CU1186" s="552">
        <f t="shared" si="4601"/>
        <v>0</v>
      </c>
      <c r="CV1186" s="552">
        <f t="shared" si="4601"/>
        <v>0</v>
      </c>
      <c r="CW1186" s="552">
        <f t="shared" si="4601"/>
        <v>0</v>
      </c>
      <c r="CX1186" s="552">
        <f t="shared" si="4601"/>
        <v>0</v>
      </c>
      <c r="CY1186" s="552">
        <f t="shared" si="4601"/>
        <v>0</v>
      </c>
      <c r="CZ1186" s="552">
        <f t="shared" si="4601"/>
        <v>0</v>
      </c>
      <c r="DA1186" s="552">
        <f t="shared" si="4601"/>
        <v>0</v>
      </c>
      <c r="DB1186" s="552">
        <f t="shared" ref="DB1186:EG1186" si="4602">DB232*DB$338</f>
        <v>0</v>
      </c>
      <c r="DC1186" s="552">
        <f t="shared" si="4602"/>
        <v>0</v>
      </c>
      <c r="DD1186" s="552">
        <f t="shared" si="4602"/>
        <v>0</v>
      </c>
      <c r="DE1186" s="552">
        <f t="shared" si="4602"/>
        <v>0</v>
      </c>
      <c r="DF1186" s="552">
        <f t="shared" si="4602"/>
        <v>0</v>
      </c>
      <c r="DG1186" s="552">
        <f t="shared" si="4602"/>
        <v>0</v>
      </c>
      <c r="DH1186" s="552">
        <f t="shared" si="4602"/>
        <v>0</v>
      </c>
      <c r="DI1186" s="552">
        <f t="shared" si="4602"/>
        <v>0</v>
      </c>
      <c r="DJ1186" s="552">
        <f t="shared" si="4602"/>
        <v>0</v>
      </c>
      <c r="DK1186" s="552">
        <f t="shared" si="4602"/>
        <v>0</v>
      </c>
      <c r="DL1186" s="552">
        <f t="shared" si="4602"/>
        <v>0</v>
      </c>
      <c r="DM1186" s="552">
        <f t="shared" si="4602"/>
        <v>0</v>
      </c>
      <c r="DN1186" s="552">
        <f t="shared" si="4602"/>
        <v>0</v>
      </c>
      <c r="DO1186" s="552">
        <f t="shared" si="4602"/>
        <v>0</v>
      </c>
      <c r="DP1186" s="552">
        <f t="shared" si="4602"/>
        <v>0</v>
      </c>
      <c r="DQ1186" s="552">
        <f t="shared" si="4602"/>
        <v>0</v>
      </c>
      <c r="DR1186" s="552">
        <f t="shared" si="4602"/>
        <v>0</v>
      </c>
      <c r="DS1186" s="552">
        <f t="shared" si="4602"/>
        <v>0</v>
      </c>
      <c r="DT1186" s="552">
        <f t="shared" si="4602"/>
        <v>0</v>
      </c>
      <c r="DU1186" s="552">
        <f t="shared" si="4602"/>
        <v>0</v>
      </c>
      <c r="DV1186" s="552">
        <f t="shared" si="4602"/>
        <v>0</v>
      </c>
      <c r="DW1186" s="552">
        <f t="shared" si="4602"/>
        <v>0</v>
      </c>
      <c r="DX1186" s="552">
        <f t="shared" si="4602"/>
        <v>0</v>
      </c>
      <c r="DY1186" s="552">
        <f t="shared" si="4602"/>
        <v>0</v>
      </c>
      <c r="DZ1186" s="552">
        <f t="shared" si="4602"/>
        <v>0</v>
      </c>
      <c r="EA1186" s="552">
        <f t="shared" si="4602"/>
        <v>0</v>
      </c>
      <c r="EB1186" s="552">
        <f t="shared" si="4602"/>
        <v>0</v>
      </c>
      <c r="EC1186" s="552">
        <f t="shared" si="4602"/>
        <v>0</v>
      </c>
      <c r="ED1186" s="552">
        <f t="shared" si="4602"/>
        <v>0</v>
      </c>
      <c r="EE1186" s="552">
        <f t="shared" si="4602"/>
        <v>0</v>
      </c>
      <c r="EF1186" s="552">
        <f t="shared" si="4602"/>
        <v>0</v>
      </c>
      <c r="EG1186" s="552">
        <f t="shared" si="4602"/>
        <v>0</v>
      </c>
      <c r="EH1186" s="552">
        <f t="shared" ref="EH1186:EX1186" si="4603">EH232*EH$338</f>
        <v>0</v>
      </c>
      <c r="EI1186" s="552">
        <f t="shared" si="4603"/>
        <v>0</v>
      </c>
      <c r="EJ1186" s="552">
        <f t="shared" si="4603"/>
        <v>0</v>
      </c>
      <c r="EK1186" s="552">
        <f t="shared" si="4603"/>
        <v>0</v>
      </c>
      <c r="EL1186" s="552">
        <f t="shared" si="4603"/>
        <v>0</v>
      </c>
      <c r="EM1186" s="552">
        <f t="shared" si="4603"/>
        <v>0</v>
      </c>
      <c r="EN1186" s="552">
        <f t="shared" si="4603"/>
        <v>0</v>
      </c>
      <c r="EO1186" s="552">
        <f t="shared" si="4603"/>
        <v>0</v>
      </c>
      <c r="EP1186" s="552">
        <f t="shared" si="4603"/>
        <v>0</v>
      </c>
      <c r="EQ1186" s="552">
        <f t="shared" si="4603"/>
        <v>0</v>
      </c>
      <c r="ER1186" s="552">
        <f t="shared" si="4603"/>
        <v>0</v>
      </c>
      <c r="ES1186" s="552">
        <f t="shared" si="4603"/>
        <v>0</v>
      </c>
      <c r="ET1186" s="552">
        <f t="shared" si="4603"/>
        <v>0</v>
      </c>
      <c r="EU1186" s="552">
        <f t="shared" si="4603"/>
        <v>0</v>
      </c>
      <c r="EV1186" s="552">
        <f t="shared" si="4603"/>
        <v>0</v>
      </c>
      <c r="EW1186" s="552">
        <f t="shared" si="4603"/>
        <v>0</v>
      </c>
      <c r="EX1186" s="552">
        <f t="shared" si="4603"/>
        <v>0</v>
      </c>
      <c r="EY1186" s="799">
        <f t="shared" si="4577"/>
        <v>0</v>
      </c>
      <c r="EZ1186" s="640"/>
      <c r="FA1186" s="640"/>
      <c r="FB1186" s="640"/>
      <c r="FC1186" s="640"/>
      <c r="FD1186" s="640"/>
      <c r="FE1186" s="640"/>
      <c r="FF1186" s="640"/>
      <c r="FG1186" s="640"/>
      <c r="FH1186" s="640"/>
      <c r="FI1186" s="640"/>
      <c r="FJ1186" s="640"/>
      <c r="FK1186" s="640"/>
      <c r="FL1186" s="640"/>
    </row>
    <row r="1187" spans="1:168" s="1034" customFormat="1" x14ac:dyDescent="0.25">
      <c r="A1187" s="1492"/>
      <c r="B1187" s="624">
        <f t="shared" si="4570"/>
        <v>0</v>
      </c>
      <c r="C1187" s="624">
        <f t="shared" si="4570"/>
        <v>0</v>
      </c>
      <c r="D1187" s="624">
        <f t="shared" si="4570"/>
        <v>0</v>
      </c>
      <c r="E1187" s="1158">
        <f t="shared" si="4578"/>
        <v>0</v>
      </c>
      <c r="F1187" s="1158"/>
      <c r="G1187" s="1140"/>
      <c r="H1187" s="1140"/>
      <c r="I1187" s="552"/>
      <c r="J1187" s="552">
        <f t="shared" ref="J1187:AO1187" si="4604">J233*J$338</f>
        <v>0</v>
      </c>
      <c r="K1187" s="552">
        <f t="shared" si="4604"/>
        <v>0</v>
      </c>
      <c r="L1187" s="552">
        <f t="shared" si="4604"/>
        <v>0</v>
      </c>
      <c r="M1187" s="552">
        <f t="shared" si="4604"/>
        <v>0</v>
      </c>
      <c r="N1187" s="552">
        <f t="shared" si="4604"/>
        <v>0</v>
      </c>
      <c r="O1187" s="552">
        <f t="shared" si="4604"/>
        <v>0</v>
      </c>
      <c r="P1187" s="552">
        <f t="shared" si="4604"/>
        <v>0</v>
      </c>
      <c r="Q1187" s="552">
        <f t="shared" si="4604"/>
        <v>0</v>
      </c>
      <c r="R1187" s="552">
        <f t="shared" si="4604"/>
        <v>0</v>
      </c>
      <c r="S1187" s="552">
        <f t="shared" si="4604"/>
        <v>0</v>
      </c>
      <c r="T1187" s="552">
        <f t="shared" si="4604"/>
        <v>0</v>
      </c>
      <c r="U1187" s="552">
        <f t="shared" si="4604"/>
        <v>0</v>
      </c>
      <c r="V1187" s="552">
        <f t="shared" si="4604"/>
        <v>0</v>
      </c>
      <c r="W1187" s="552">
        <f t="shared" si="4604"/>
        <v>0</v>
      </c>
      <c r="X1187" s="552">
        <f t="shared" si="4604"/>
        <v>0</v>
      </c>
      <c r="Y1187" s="552">
        <f t="shared" si="4604"/>
        <v>0</v>
      </c>
      <c r="Z1187" s="552">
        <f t="shared" si="4604"/>
        <v>0</v>
      </c>
      <c r="AA1187" s="552">
        <f t="shared" si="4604"/>
        <v>0</v>
      </c>
      <c r="AB1187" s="552">
        <f t="shared" si="4604"/>
        <v>0</v>
      </c>
      <c r="AC1187" s="552">
        <f t="shared" si="4604"/>
        <v>0</v>
      </c>
      <c r="AD1187" s="552">
        <f t="shared" si="4604"/>
        <v>0</v>
      </c>
      <c r="AE1187" s="552">
        <f t="shared" si="4604"/>
        <v>0</v>
      </c>
      <c r="AF1187" s="552">
        <f t="shared" si="4604"/>
        <v>0</v>
      </c>
      <c r="AG1187" s="552">
        <f t="shared" si="4604"/>
        <v>0</v>
      </c>
      <c r="AH1187" s="552">
        <f t="shared" si="4604"/>
        <v>0</v>
      </c>
      <c r="AI1187" s="552">
        <f t="shared" si="4604"/>
        <v>0</v>
      </c>
      <c r="AJ1187" s="552">
        <f t="shared" si="4604"/>
        <v>0</v>
      </c>
      <c r="AK1187" s="552">
        <f t="shared" si="4604"/>
        <v>0</v>
      </c>
      <c r="AL1187" s="552">
        <f t="shared" si="4604"/>
        <v>0</v>
      </c>
      <c r="AM1187" s="552">
        <f t="shared" si="4604"/>
        <v>0</v>
      </c>
      <c r="AN1187" s="552">
        <f t="shared" si="4604"/>
        <v>0</v>
      </c>
      <c r="AO1187" s="552">
        <f t="shared" si="4604"/>
        <v>0</v>
      </c>
      <c r="AP1187" s="552">
        <f t="shared" ref="AP1187:BU1187" si="4605">AP233*AP$338</f>
        <v>0</v>
      </c>
      <c r="AQ1187" s="552">
        <f t="shared" si="4605"/>
        <v>0</v>
      </c>
      <c r="AR1187" s="552">
        <f t="shared" si="4605"/>
        <v>0</v>
      </c>
      <c r="AS1187" s="552">
        <f t="shared" si="4605"/>
        <v>0</v>
      </c>
      <c r="AT1187" s="552">
        <f t="shared" si="4605"/>
        <v>0</v>
      </c>
      <c r="AU1187" s="552">
        <f t="shared" si="4605"/>
        <v>0</v>
      </c>
      <c r="AV1187" s="552">
        <f t="shared" si="4605"/>
        <v>0</v>
      </c>
      <c r="AW1187" s="552">
        <f t="shared" si="4605"/>
        <v>0</v>
      </c>
      <c r="AX1187" s="552">
        <f t="shared" si="4605"/>
        <v>0</v>
      </c>
      <c r="AY1187" s="552">
        <f t="shared" si="4605"/>
        <v>0</v>
      </c>
      <c r="AZ1187" s="552">
        <f t="shared" si="4605"/>
        <v>0</v>
      </c>
      <c r="BA1187" s="552">
        <f t="shared" si="4605"/>
        <v>0</v>
      </c>
      <c r="BB1187" s="552">
        <f t="shared" si="4605"/>
        <v>0</v>
      </c>
      <c r="BC1187" s="552">
        <f t="shared" si="4605"/>
        <v>0</v>
      </c>
      <c r="BD1187" s="552">
        <f t="shared" si="4605"/>
        <v>0</v>
      </c>
      <c r="BE1187" s="552">
        <f t="shared" si="4605"/>
        <v>0</v>
      </c>
      <c r="BF1187" s="552">
        <f t="shared" si="4605"/>
        <v>0</v>
      </c>
      <c r="BG1187" s="552">
        <f t="shared" si="4605"/>
        <v>0</v>
      </c>
      <c r="BH1187" s="552">
        <f t="shared" si="4605"/>
        <v>0</v>
      </c>
      <c r="BI1187" s="552">
        <f t="shared" si="4605"/>
        <v>0</v>
      </c>
      <c r="BJ1187" s="552">
        <f t="shared" si="4605"/>
        <v>0</v>
      </c>
      <c r="BK1187" s="552">
        <f t="shared" si="4605"/>
        <v>0</v>
      </c>
      <c r="BL1187" s="552">
        <f t="shared" si="4605"/>
        <v>0</v>
      </c>
      <c r="BM1187" s="552">
        <f t="shared" si="4605"/>
        <v>0</v>
      </c>
      <c r="BN1187" s="552">
        <f t="shared" si="4605"/>
        <v>0</v>
      </c>
      <c r="BO1187" s="552">
        <f t="shared" si="4605"/>
        <v>0</v>
      </c>
      <c r="BP1187" s="552">
        <f t="shared" si="4605"/>
        <v>0</v>
      </c>
      <c r="BQ1187" s="552">
        <f t="shared" si="4605"/>
        <v>0</v>
      </c>
      <c r="BR1187" s="552">
        <f t="shared" si="4605"/>
        <v>0</v>
      </c>
      <c r="BS1187" s="552">
        <f t="shared" si="4605"/>
        <v>0</v>
      </c>
      <c r="BT1187" s="552">
        <f t="shared" si="4605"/>
        <v>0</v>
      </c>
      <c r="BU1187" s="552">
        <f t="shared" si="4605"/>
        <v>0</v>
      </c>
      <c r="BV1187" s="552">
        <f t="shared" ref="BV1187:DA1187" si="4606">BV233*BV$338</f>
        <v>0</v>
      </c>
      <c r="BW1187" s="552">
        <f t="shared" si="4606"/>
        <v>0</v>
      </c>
      <c r="BX1187" s="552">
        <f t="shared" si="4606"/>
        <v>0</v>
      </c>
      <c r="BY1187" s="552">
        <f t="shared" si="4606"/>
        <v>0</v>
      </c>
      <c r="BZ1187" s="552">
        <f t="shared" si="4606"/>
        <v>0</v>
      </c>
      <c r="CA1187" s="552">
        <f t="shared" si="4606"/>
        <v>0</v>
      </c>
      <c r="CB1187" s="552">
        <f t="shared" si="4606"/>
        <v>0</v>
      </c>
      <c r="CC1187" s="552">
        <f t="shared" si="4606"/>
        <v>0</v>
      </c>
      <c r="CD1187" s="552">
        <f t="shared" si="4606"/>
        <v>0</v>
      </c>
      <c r="CE1187" s="552">
        <f t="shared" si="4606"/>
        <v>0</v>
      </c>
      <c r="CF1187" s="552">
        <f t="shared" si="4606"/>
        <v>0</v>
      </c>
      <c r="CG1187" s="552">
        <f t="shared" si="4606"/>
        <v>0</v>
      </c>
      <c r="CH1187" s="552">
        <f t="shared" si="4606"/>
        <v>0</v>
      </c>
      <c r="CI1187" s="552">
        <f t="shared" si="4606"/>
        <v>0</v>
      </c>
      <c r="CJ1187" s="552">
        <f t="shared" si="4606"/>
        <v>0</v>
      </c>
      <c r="CK1187" s="552">
        <f t="shared" si="4606"/>
        <v>0</v>
      </c>
      <c r="CL1187" s="552">
        <f t="shared" si="4606"/>
        <v>0</v>
      </c>
      <c r="CM1187" s="552">
        <f t="shared" si="4606"/>
        <v>0</v>
      </c>
      <c r="CN1187" s="552">
        <f t="shared" si="4606"/>
        <v>0</v>
      </c>
      <c r="CO1187" s="552">
        <f t="shared" si="4606"/>
        <v>0</v>
      </c>
      <c r="CP1187" s="552">
        <f t="shared" si="4606"/>
        <v>0</v>
      </c>
      <c r="CQ1187" s="552">
        <f t="shared" si="4606"/>
        <v>0</v>
      </c>
      <c r="CR1187" s="552">
        <f t="shared" si="4606"/>
        <v>0</v>
      </c>
      <c r="CS1187" s="552">
        <f t="shared" si="4606"/>
        <v>0</v>
      </c>
      <c r="CT1187" s="552">
        <f t="shared" si="4606"/>
        <v>0</v>
      </c>
      <c r="CU1187" s="552">
        <f t="shared" si="4606"/>
        <v>0</v>
      </c>
      <c r="CV1187" s="552">
        <f t="shared" si="4606"/>
        <v>0</v>
      </c>
      <c r="CW1187" s="552">
        <f t="shared" si="4606"/>
        <v>0</v>
      </c>
      <c r="CX1187" s="552">
        <f t="shared" si="4606"/>
        <v>0</v>
      </c>
      <c r="CY1187" s="552">
        <f t="shared" si="4606"/>
        <v>0</v>
      </c>
      <c r="CZ1187" s="552">
        <f t="shared" si="4606"/>
        <v>0</v>
      </c>
      <c r="DA1187" s="552">
        <f t="shared" si="4606"/>
        <v>0</v>
      </c>
      <c r="DB1187" s="552">
        <f t="shared" ref="DB1187:EG1187" si="4607">DB233*DB$338</f>
        <v>0</v>
      </c>
      <c r="DC1187" s="552">
        <f t="shared" si="4607"/>
        <v>0</v>
      </c>
      <c r="DD1187" s="552">
        <f t="shared" si="4607"/>
        <v>0</v>
      </c>
      <c r="DE1187" s="552">
        <f t="shared" si="4607"/>
        <v>0</v>
      </c>
      <c r="DF1187" s="552">
        <f t="shared" si="4607"/>
        <v>0</v>
      </c>
      <c r="DG1187" s="552">
        <f t="shared" si="4607"/>
        <v>0</v>
      </c>
      <c r="DH1187" s="552">
        <f t="shared" si="4607"/>
        <v>0</v>
      </c>
      <c r="DI1187" s="552">
        <f t="shared" si="4607"/>
        <v>0</v>
      </c>
      <c r="DJ1187" s="552">
        <f t="shared" si="4607"/>
        <v>0</v>
      </c>
      <c r="DK1187" s="552">
        <f t="shared" si="4607"/>
        <v>0</v>
      </c>
      <c r="DL1187" s="552">
        <f t="shared" si="4607"/>
        <v>0</v>
      </c>
      <c r="DM1187" s="552">
        <f t="shared" si="4607"/>
        <v>0</v>
      </c>
      <c r="DN1187" s="552">
        <f t="shared" si="4607"/>
        <v>0</v>
      </c>
      <c r="DO1187" s="552">
        <f t="shared" si="4607"/>
        <v>0</v>
      </c>
      <c r="DP1187" s="552">
        <f t="shared" si="4607"/>
        <v>0</v>
      </c>
      <c r="DQ1187" s="552">
        <f t="shared" si="4607"/>
        <v>0</v>
      </c>
      <c r="DR1187" s="552">
        <f t="shared" si="4607"/>
        <v>0</v>
      </c>
      <c r="DS1187" s="552">
        <f t="shared" si="4607"/>
        <v>0</v>
      </c>
      <c r="DT1187" s="552">
        <f t="shared" si="4607"/>
        <v>0</v>
      </c>
      <c r="DU1187" s="552">
        <f t="shared" si="4607"/>
        <v>0</v>
      </c>
      <c r="DV1187" s="552">
        <f t="shared" si="4607"/>
        <v>0</v>
      </c>
      <c r="DW1187" s="552">
        <f t="shared" si="4607"/>
        <v>0</v>
      </c>
      <c r="DX1187" s="552">
        <f t="shared" si="4607"/>
        <v>0</v>
      </c>
      <c r="DY1187" s="552">
        <f t="shared" si="4607"/>
        <v>0</v>
      </c>
      <c r="DZ1187" s="552">
        <f t="shared" si="4607"/>
        <v>0</v>
      </c>
      <c r="EA1187" s="552">
        <f t="shared" si="4607"/>
        <v>0</v>
      </c>
      <c r="EB1187" s="552">
        <f t="shared" si="4607"/>
        <v>0</v>
      </c>
      <c r="EC1187" s="552">
        <f t="shared" si="4607"/>
        <v>0</v>
      </c>
      <c r="ED1187" s="552">
        <f t="shared" si="4607"/>
        <v>0</v>
      </c>
      <c r="EE1187" s="552">
        <f t="shared" si="4607"/>
        <v>0</v>
      </c>
      <c r="EF1187" s="552">
        <f t="shared" si="4607"/>
        <v>0</v>
      </c>
      <c r="EG1187" s="552">
        <f t="shared" si="4607"/>
        <v>0</v>
      </c>
      <c r="EH1187" s="552">
        <f t="shared" ref="EH1187:EX1187" si="4608">EH233*EH$338</f>
        <v>0</v>
      </c>
      <c r="EI1187" s="552">
        <f t="shared" si="4608"/>
        <v>0</v>
      </c>
      <c r="EJ1187" s="552">
        <f t="shared" si="4608"/>
        <v>0</v>
      </c>
      <c r="EK1187" s="552">
        <f t="shared" si="4608"/>
        <v>0</v>
      </c>
      <c r="EL1187" s="552">
        <f t="shared" si="4608"/>
        <v>0</v>
      </c>
      <c r="EM1187" s="552">
        <f t="shared" si="4608"/>
        <v>0</v>
      </c>
      <c r="EN1187" s="552">
        <f t="shared" si="4608"/>
        <v>0</v>
      </c>
      <c r="EO1187" s="552">
        <f t="shared" si="4608"/>
        <v>0</v>
      </c>
      <c r="EP1187" s="552">
        <f t="shared" si="4608"/>
        <v>0</v>
      </c>
      <c r="EQ1187" s="552">
        <f t="shared" si="4608"/>
        <v>0</v>
      </c>
      <c r="ER1187" s="552">
        <f t="shared" si="4608"/>
        <v>0</v>
      </c>
      <c r="ES1187" s="552">
        <f t="shared" si="4608"/>
        <v>0</v>
      </c>
      <c r="ET1187" s="552">
        <f t="shared" si="4608"/>
        <v>0</v>
      </c>
      <c r="EU1187" s="552">
        <f t="shared" si="4608"/>
        <v>0</v>
      </c>
      <c r="EV1187" s="552">
        <f t="shared" si="4608"/>
        <v>0</v>
      </c>
      <c r="EW1187" s="552">
        <f t="shared" si="4608"/>
        <v>0</v>
      </c>
      <c r="EX1187" s="552">
        <f t="shared" si="4608"/>
        <v>0</v>
      </c>
      <c r="EY1187" s="799">
        <f t="shared" si="4577"/>
        <v>0</v>
      </c>
      <c r="EZ1187" s="640"/>
      <c r="FA1187" s="640"/>
      <c r="FB1187" s="640"/>
      <c r="FC1187" s="640"/>
      <c r="FD1187" s="640"/>
      <c r="FE1187" s="640"/>
      <c r="FF1187" s="640"/>
      <c r="FG1187" s="640"/>
      <c r="FH1187" s="640"/>
      <c r="FI1187" s="640"/>
      <c r="FJ1187" s="640"/>
      <c r="FK1187" s="640"/>
      <c r="FL1187" s="640"/>
    </row>
    <row r="1188" spans="1:168" s="1034" customFormat="1" x14ac:dyDescent="0.25">
      <c r="A1188" s="1492"/>
      <c r="B1188" s="624">
        <f t="shared" si="4570"/>
        <v>0</v>
      </c>
      <c r="C1188" s="624">
        <f t="shared" si="4570"/>
        <v>0</v>
      </c>
      <c r="D1188" s="624">
        <f t="shared" si="4570"/>
        <v>0</v>
      </c>
      <c r="E1188" s="1158">
        <f t="shared" si="4578"/>
        <v>0</v>
      </c>
      <c r="F1188" s="1158"/>
      <c r="G1188" s="1140"/>
      <c r="H1188" s="1140"/>
      <c r="I1188" s="552"/>
      <c r="J1188" s="552">
        <f t="shared" ref="J1188:AO1188" si="4609">J234*J$338</f>
        <v>0</v>
      </c>
      <c r="K1188" s="552">
        <f t="shared" si="4609"/>
        <v>0</v>
      </c>
      <c r="L1188" s="552">
        <f t="shared" si="4609"/>
        <v>0</v>
      </c>
      <c r="M1188" s="552">
        <f t="shared" si="4609"/>
        <v>0</v>
      </c>
      <c r="N1188" s="552">
        <f t="shared" si="4609"/>
        <v>0</v>
      </c>
      <c r="O1188" s="552">
        <f t="shared" si="4609"/>
        <v>0</v>
      </c>
      <c r="P1188" s="552">
        <f t="shared" si="4609"/>
        <v>0</v>
      </c>
      <c r="Q1188" s="552">
        <f t="shared" si="4609"/>
        <v>0</v>
      </c>
      <c r="R1188" s="552">
        <f t="shared" si="4609"/>
        <v>0</v>
      </c>
      <c r="S1188" s="552">
        <f t="shared" si="4609"/>
        <v>0</v>
      </c>
      <c r="T1188" s="552">
        <f t="shared" si="4609"/>
        <v>0</v>
      </c>
      <c r="U1188" s="552">
        <f t="shared" si="4609"/>
        <v>0</v>
      </c>
      <c r="V1188" s="552">
        <f t="shared" si="4609"/>
        <v>0</v>
      </c>
      <c r="W1188" s="552">
        <f t="shared" si="4609"/>
        <v>0</v>
      </c>
      <c r="X1188" s="552">
        <f t="shared" si="4609"/>
        <v>0</v>
      </c>
      <c r="Y1188" s="552">
        <f t="shared" si="4609"/>
        <v>0</v>
      </c>
      <c r="Z1188" s="552">
        <f t="shared" si="4609"/>
        <v>0</v>
      </c>
      <c r="AA1188" s="552">
        <f t="shared" si="4609"/>
        <v>0</v>
      </c>
      <c r="AB1188" s="552">
        <f t="shared" si="4609"/>
        <v>0</v>
      </c>
      <c r="AC1188" s="552">
        <f t="shared" si="4609"/>
        <v>0</v>
      </c>
      <c r="AD1188" s="552">
        <f t="shared" si="4609"/>
        <v>0</v>
      </c>
      <c r="AE1188" s="552">
        <f t="shared" si="4609"/>
        <v>0</v>
      </c>
      <c r="AF1188" s="552">
        <f t="shared" si="4609"/>
        <v>0</v>
      </c>
      <c r="AG1188" s="552">
        <f t="shared" si="4609"/>
        <v>0</v>
      </c>
      <c r="AH1188" s="552">
        <f t="shared" si="4609"/>
        <v>0</v>
      </c>
      <c r="AI1188" s="552">
        <f t="shared" si="4609"/>
        <v>0</v>
      </c>
      <c r="AJ1188" s="552">
        <f t="shared" si="4609"/>
        <v>0</v>
      </c>
      <c r="AK1188" s="552">
        <f t="shared" si="4609"/>
        <v>0</v>
      </c>
      <c r="AL1188" s="552">
        <f t="shared" si="4609"/>
        <v>0</v>
      </c>
      <c r="AM1188" s="552">
        <f t="shared" si="4609"/>
        <v>0</v>
      </c>
      <c r="AN1188" s="552">
        <f t="shared" si="4609"/>
        <v>0</v>
      </c>
      <c r="AO1188" s="552">
        <f t="shared" si="4609"/>
        <v>0</v>
      </c>
      <c r="AP1188" s="552">
        <f t="shared" ref="AP1188:BU1188" si="4610">AP234*AP$338</f>
        <v>0</v>
      </c>
      <c r="AQ1188" s="552">
        <f t="shared" si="4610"/>
        <v>0</v>
      </c>
      <c r="AR1188" s="552">
        <f t="shared" si="4610"/>
        <v>0</v>
      </c>
      <c r="AS1188" s="552">
        <f t="shared" si="4610"/>
        <v>0</v>
      </c>
      <c r="AT1188" s="552">
        <f t="shared" si="4610"/>
        <v>0</v>
      </c>
      <c r="AU1188" s="552">
        <f t="shared" si="4610"/>
        <v>0</v>
      </c>
      <c r="AV1188" s="552">
        <f t="shared" si="4610"/>
        <v>0</v>
      </c>
      <c r="AW1188" s="552">
        <f t="shared" si="4610"/>
        <v>0</v>
      </c>
      <c r="AX1188" s="552">
        <f t="shared" si="4610"/>
        <v>0</v>
      </c>
      <c r="AY1188" s="552">
        <f t="shared" si="4610"/>
        <v>0</v>
      </c>
      <c r="AZ1188" s="552">
        <f t="shared" si="4610"/>
        <v>0</v>
      </c>
      <c r="BA1188" s="552">
        <f t="shared" si="4610"/>
        <v>0</v>
      </c>
      <c r="BB1188" s="552">
        <f t="shared" si="4610"/>
        <v>0</v>
      </c>
      <c r="BC1188" s="552">
        <f t="shared" si="4610"/>
        <v>0</v>
      </c>
      <c r="BD1188" s="552">
        <f t="shared" si="4610"/>
        <v>0</v>
      </c>
      <c r="BE1188" s="552">
        <f t="shared" si="4610"/>
        <v>0</v>
      </c>
      <c r="BF1188" s="552">
        <f t="shared" si="4610"/>
        <v>0</v>
      </c>
      <c r="BG1188" s="552">
        <f t="shared" si="4610"/>
        <v>0</v>
      </c>
      <c r="BH1188" s="552">
        <f t="shared" si="4610"/>
        <v>0</v>
      </c>
      <c r="BI1188" s="552">
        <f t="shared" si="4610"/>
        <v>0</v>
      </c>
      <c r="BJ1188" s="552">
        <f t="shared" si="4610"/>
        <v>0</v>
      </c>
      <c r="BK1188" s="552">
        <f t="shared" si="4610"/>
        <v>0</v>
      </c>
      <c r="BL1188" s="552">
        <f t="shared" si="4610"/>
        <v>0</v>
      </c>
      <c r="BM1188" s="552">
        <f t="shared" si="4610"/>
        <v>0</v>
      </c>
      <c r="BN1188" s="552">
        <f t="shared" si="4610"/>
        <v>0</v>
      </c>
      <c r="BO1188" s="552">
        <f t="shared" si="4610"/>
        <v>0</v>
      </c>
      <c r="BP1188" s="552">
        <f t="shared" si="4610"/>
        <v>0</v>
      </c>
      <c r="BQ1188" s="552">
        <f t="shared" si="4610"/>
        <v>0</v>
      </c>
      <c r="BR1188" s="552">
        <f t="shared" si="4610"/>
        <v>0</v>
      </c>
      <c r="BS1188" s="552">
        <f t="shared" si="4610"/>
        <v>0</v>
      </c>
      <c r="BT1188" s="552">
        <f t="shared" si="4610"/>
        <v>0</v>
      </c>
      <c r="BU1188" s="552">
        <f t="shared" si="4610"/>
        <v>0</v>
      </c>
      <c r="BV1188" s="552">
        <f t="shared" ref="BV1188:DA1188" si="4611">BV234*BV$338</f>
        <v>0</v>
      </c>
      <c r="BW1188" s="552">
        <f t="shared" si="4611"/>
        <v>0</v>
      </c>
      <c r="BX1188" s="552">
        <f t="shared" si="4611"/>
        <v>0</v>
      </c>
      <c r="BY1188" s="552">
        <f t="shared" si="4611"/>
        <v>0</v>
      </c>
      <c r="BZ1188" s="552">
        <f t="shared" si="4611"/>
        <v>0</v>
      </c>
      <c r="CA1188" s="552">
        <f t="shared" si="4611"/>
        <v>0</v>
      </c>
      <c r="CB1188" s="552">
        <f t="shared" si="4611"/>
        <v>0</v>
      </c>
      <c r="CC1188" s="552">
        <f t="shared" si="4611"/>
        <v>0</v>
      </c>
      <c r="CD1188" s="552">
        <f t="shared" si="4611"/>
        <v>0</v>
      </c>
      <c r="CE1188" s="552">
        <f t="shared" si="4611"/>
        <v>0</v>
      </c>
      <c r="CF1188" s="552">
        <f t="shared" si="4611"/>
        <v>0</v>
      </c>
      <c r="CG1188" s="552">
        <f t="shared" si="4611"/>
        <v>0</v>
      </c>
      <c r="CH1188" s="552">
        <f t="shared" si="4611"/>
        <v>0</v>
      </c>
      <c r="CI1188" s="552">
        <f t="shared" si="4611"/>
        <v>0</v>
      </c>
      <c r="CJ1188" s="552">
        <f t="shared" si="4611"/>
        <v>0</v>
      </c>
      <c r="CK1188" s="552">
        <f t="shared" si="4611"/>
        <v>0</v>
      </c>
      <c r="CL1188" s="552">
        <f t="shared" si="4611"/>
        <v>0</v>
      </c>
      <c r="CM1188" s="552">
        <f t="shared" si="4611"/>
        <v>0</v>
      </c>
      <c r="CN1188" s="552">
        <f t="shared" si="4611"/>
        <v>0</v>
      </c>
      <c r="CO1188" s="552">
        <f t="shared" si="4611"/>
        <v>0</v>
      </c>
      <c r="CP1188" s="552">
        <f t="shared" si="4611"/>
        <v>0</v>
      </c>
      <c r="CQ1188" s="552">
        <f t="shared" si="4611"/>
        <v>0</v>
      </c>
      <c r="CR1188" s="552">
        <f t="shared" si="4611"/>
        <v>0</v>
      </c>
      <c r="CS1188" s="552">
        <f t="shared" si="4611"/>
        <v>0</v>
      </c>
      <c r="CT1188" s="552">
        <f t="shared" si="4611"/>
        <v>0</v>
      </c>
      <c r="CU1188" s="552">
        <f t="shared" si="4611"/>
        <v>0</v>
      </c>
      <c r="CV1188" s="552">
        <f t="shared" si="4611"/>
        <v>0</v>
      </c>
      <c r="CW1188" s="552">
        <f t="shared" si="4611"/>
        <v>0</v>
      </c>
      <c r="CX1188" s="552">
        <f t="shared" si="4611"/>
        <v>0</v>
      </c>
      <c r="CY1188" s="552">
        <f t="shared" si="4611"/>
        <v>0</v>
      </c>
      <c r="CZ1188" s="552">
        <f t="shared" si="4611"/>
        <v>0</v>
      </c>
      <c r="DA1188" s="552">
        <f t="shared" si="4611"/>
        <v>0</v>
      </c>
      <c r="DB1188" s="552">
        <f t="shared" ref="DB1188:EG1188" si="4612">DB234*DB$338</f>
        <v>0</v>
      </c>
      <c r="DC1188" s="552">
        <f t="shared" si="4612"/>
        <v>0</v>
      </c>
      <c r="DD1188" s="552">
        <f t="shared" si="4612"/>
        <v>0</v>
      </c>
      <c r="DE1188" s="552">
        <f t="shared" si="4612"/>
        <v>0</v>
      </c>
      <c r="DF1188" s="552">
        <f t="shared" si="4612"/>
        <v>0</v>
      </c>
      <c r="DG1188" s="552">
        <f t="shared" si="4612"/>
        <v>0</v>
      </c>
      <c r="DH1188" s="552">
        <f t="shared" si="4612"/>
        <v>0</v>
      </c>
      <c r="DI1188" s="552">
        <f t="shared" si="4612"/>
        <v>0</v>
      </c>
      <c r="DJ1188" s="552">
        <f t="shared" si="4612"/>
        <v>0</v>
      </c>
      <c r="DK1188" s="552">
        <f t="shared" si="4612"/>
        <v>0</v>
      </c>
      <c r="DL1188" s="552">
        <f t="shared" si="4612"/>
        <v>0</v>
      </c>
      <c r="DM1188" s="552">
        <f t="shared" si="4612"/>
        <v>0</v>
      </c>
      <c r="DN1188" s="552">
        <f t="shared" si="4612"/>
        <v>0</v>
      </c>
      <c r="DO1188" s="552">
        <f t="shared" si="4612"/>
        <v>0</v>
      </c>
      <c r="DP1188" s="552">
        <f t="shared" si="4612"/>
        <v>0</v>
      </c>
      <c r="DQ1188" s="552">
        <f t="shared" si="4612"/>
        <v>0</v>
      </c>
      <c r="DR1188" s="552">
        <f t="shared" si="4612"/>
        <v>0</v>
      </c>
      <c r="DS1188" s="552">
        <f t="shared" si="4612"/>
        <v>0</v>
      </c>
      <c r="DT1188" s="552">
        <f t="shared" si="4612"/>
        <v>0</v>
      </c>
      <c r="DU1188" s="552">
        <f t="shared" si="4612"/>
        <v>0</v>
      </c>
      <c r="DV1188" s="552">
        <f t="shared" si="4612"/>
        <v>0</v>
      </c>
      <c r="DW1188" s="552">
        <f t="shared" si="4612"/>
        <v>0</v>
      </c>
      <c r="DX1188" s="552">
        <f t="shared" si="4612"/>
        <v>0</v>
      </c>
      <c r="DY1188" s="552">
        <f t="shared" si="4612"/>
        <v>0</v>
      </c>
      <c r="DZ1188" s="552">
        <f t="shared" si="4612"/>
        <v>0</v>
      </c>
      <c r="EA1188" s="552">
        <f t="shared" si="4612"/>
        <v>0</v>
      </c>
      <c r="EB1188" s="552">
        <f t="shared" si="4612"/>
        <v>0</v>
      </c>
      <c r="EC1188" s="552">
        <f t="shared" si="4612"/>
        <v>0</v>
      </c>
      <c r="ED1188" s="552">
        <f t="shared" si="4612"/>
        <v>0</v>
      </c>
      <c r="EE1188" s="552">
        <f t="shared" si="4612"/>
        <v>0</v>
      </c>
      <c r="EF1188" s="552">
        <f t="shared" si="4612"/>
        <v>0</v>
      </c>
      <c r="EG1188" s="552">
        <f t="shared" si="4612"/>
        <v>0</v>
      </c>
      <c r="EH1188" s="552">
        <f t="shared" ref="EH1188:EX1188" si="4613">EH234*EH$338</f>
        <v>0</v>
      </c>
      <c r="EI1188" s="552">
        <f t="shared" si="4613"/>
        <v>0</v>
      </c>
      <c r="EJ1188" s="552">
        <f t="shared" si="4613"/>
        <v>0</v>
      </c>
      <c r="EK1188" s="552">
        <f t="shared" si="4613"/>
        <v>0</v>
      </c>
      <c r="EL1188" s="552">
        <f t="shared" si="4613"/>
        <v>0</v>
      </c>
      <c r="EM1188" s="552">
        <f t="shared" si="4613"/>
        <v>0</v>
      </c>
      <c r="EN1188" s="552">
        <f t="shared" si="4613"/>
        <v>0</v>
      </c>
      <c r="EO1188" s="552">
        <f t="shared" si="4613"/>
        <v>0</v>
      </c>
      <c r="EP1188" s="552">
        <f t="shared" si="4613"/>
        <v>0</v>
      </c>
      <c r="EQ1188" s="552">
        <f t="shared" si="4613"/>
        <v>0</v>
      </c>
      <c r="ER1188" s="552">
        <f t="shared" si="4613"/>
        <v>0</v>
      </c>
      <c r="ES1188" s="552">
        <f t="shared" si="4613"/>
        <v>0</v>
      </c>
      <c r="ET1188" s="552">
        <f t="shared" si="4613"/>
        <v>0</v>
      </c>
      <c r="EU1188" s="552">
        <f t="shared" si="4613"/>
        <v>0</v>
      </c>
      <c r="EV1188" s="552">
        <f t="shared" si="4613"/>
        <v>0</v>
      </c>
      <c r="EW1188" s="552">
        <f t="shared" si="4613"/>
        <v>0</v>
      </c>
      <c r="EX1188" s="552">
        <f t="shared" si="4613"/>
        <v>0</v>
      </c>
      <c r="EY1188" s="799">
        <f t="shared" si="4577"/>
        <v>0</v>
      </c>
      <c r="EZ1188" s="640"/>
      <c r="FA1188" s="640"/>
      <c r="FB1188" s="640"/>
      <c r="FC1188" s="640"/>
      <c r="FD1188" s="640"/>
      <c r="FE1188" s="640"/>
      <c r="FF1188" s="640"/>
      <c r="FG1188" s="640"/>
      <c r="FH1188" s="640"/>
      <c r="FI1188" s="640"/>
      <c r="FJ1188" s="640"/>
      <c r="FK1188" s="640"/>
      <c r="FL1188" s="640"/>
    </row>
    <row r="1189" spans="1:168" s="1034" customFormat="1" x14ac:dyDescent="0.25">
      <c r="A1189" s="1493"/>
      <c r="B1189" s="624">
        <f t="shared" si="4570"/>
        <v>0</v>
      </c>
      <c r="C1189" s="624">
        <f t="shared" si="4570"/>
        <v>0</v>
      </c>
      <c r="D1189" s="624">
        <f t="shared" si="4570"/>
        <v>0</v>
      </c>
      <c r="E1189" s="1158">
        <f t="shared" si="4578"/>
        <v>0</v>
      </c>
      <c r="F1189" s="1158"/>
      <c r="G1189" s="1140"/>
      <c r="H1189" s="1140"/>
      <c r="I1189" s="552"/>
      <c r="J1189" s="552">
        <f t="shared" ref="J1189:AO1189" si="4614">J235*J$338</f>
        <v>0</v>
      </c>
      <c r="K1189" s="552">
        <f t="shared" si="4614"/>
        <v>0</v>
      </c>
      <c r="L1189" s="552">
        <f t="shared" si="4614"/>
        <v>0</v>
      </c>
      <c r="M1189" s="552">
        <f t="shared" si="4614"/>
        <v>0</v>
      </c>
      <c r="N1189" s="552">
        <f t="shared" si="4614"/>
        <v>0</v>
      </c>
      <c r="O1189" s="552">
        <f t="shared" si="4614"/>
        <v>0</v>
      </c>
      <c r="P1189" s="552">
        <f t="shared" si="4614"/>
        <v>0</v>
      </c>
      <c r="Q1189" s="552">
        <f t="shared" si="4614"/>
        <v>0</v>
      </c>
      <c r="R1189" s="552">
        <f t="shared" si="4614"/>
        <v>0</v>
      </c>
      <c r="S1189" s="552">
        <f t="shared" si="4614"/>
        <v>0</v>
      </c>
      <c r="T1189" s="552">
        <f t="shared" si="4614"/>
        <v>0</v>
      </c>
      <c r="U1189" s="552">
        <f t="shared" si="4614"/>
        <v>0</v>
      </c>
      <c r="V1189" s="552">
        <f t="shared" si="4614"/>
        <v>0</v>
      </c>
      <c r="W1189" s="552">
        <f t="shared" si="4614"/>
        <v>0</v>
      </c>
      <c r="X1189" s="552">
        <f t="shared" si="4614"/>
        <v>0</v>
      </c>
      <c r="Y1189" s="552">
        <f t="shared" si="4614"/>
        <v>0</v>
      </c>
      <c r="Z1189" s="552">
        <f t="shared" si="4614"/>
        <v>0</v>
      </c>
      <c r="AA1189" s="552">
        <f t="shared" si="4614"/>
        <v>0</v>
      </c>
      <c r="AB1189" s="552">
        <f t="shared" si="4614"/>
        <v>0</v>
      </c>
      <c r="AC1189" s="552">
        <f t="shared" si="4614"/>
        <v>0</v>
      </c>
      <c r="AD1189" s="552">
        <f t="shared" si="4614"/>
        <v>0</v>
      </c>
      <c r="AE1189" s="552">
        <f t="shared" si="4614"/>
        <v>0</v>
      </c>
      <c r="AF1189" s="552">
        <f t="shared" si="4614"/>
        <v>0</v>
      </c>
      <c r="AG1189" s="552">
        <f t="shared" si="4614"/>
        <v>0</v>
      </c>
      <c r="AH1189" s="552">
        <f t="shared" si="4614"/>
        <v>0</v>
      </c>
      <c r="AI1189" s="552">
        <f t="shared" si="4614"/>
        <v>0</v>
      </c>
      <c r="AJ1189" s="552">
        <f t="shared" si="4614"/>
        <v>0</v>
      </c>
      <c r="AK1189" s="552">
        <f t="shared" si="4614"/>
        <v>0</v>
      </c>
      <c r="AL1189" s="552">
        <f t="shared" si="4614"/>
        <v>0</v>
      </c>
      <c r="AM1189" s="552">
        <f t="shared" si="4614"/>
        <v>0</v>
      </c>
      <c r="AN1189" s="552">
        <f t="shared" si="4614"/>
        <v>0</v>
      </c>
      <c r="AO1189" s="552">
        <f t="shared" si="4614"/>
        <v>0</v>
      </c>
      <c r="AP1189" s="552">
        <f t="shared" ref="AP1189:BU1189" si="4615">AP235*AP$338</f>
        <v>0</v>
      </c>
      <c r="AQ1189" s="552">
        <f t="shared" si="4615"/>
        <v>0</v>
      </c>
      <c r="AR1189" s="552">
        <f t="shared" si="4615"/>
        <v>0</v>
      </c>
      <c r="AS1189" s="552">
        <f t="shared" si="4615"/>
        <v>0</v>
      </c>
      <c r="AT1189" s="552">
        <f t="shared" si="4615"/>
        <v>0</v>
      </c>
      <c r="AU1189" s="552">
        <f t="shared" si="4615"/>
        <v>0</v>
      </c>
      <c r="AV1189" s="552">
        <f t="shared" si="4615"/>
        <v>0</v>
      </c>
      <c r="AW1189" s="552">
        <f t="shared" si="4615"/>
        <v>0</v>
      </c>
      <c r="AX1189" s="552">
        <f t="shared" si="4615"/>
        <v>0</v>
      </c>
      <c r="AY1189" s="552">
        <f t="shared" si="4615"/>
        <v>0</v>
      </c>
      <c r="AZ1189" s="552">
        <f t="shared" si="4615"/>
        <v>0</v>
      </c>
      <c r="BA1189" s="552">
        <f t="shared" si="4615"/>
        <v>0</v>
      </c>
      <c r="BB1189" s="552">
        <f t="shared" si="4615"/>
        <v>0</v>
      </c>
      <c r="BC1189" s="552">
        <f t="shared" si="4615"/>
        <v>0</v>
      </c>
      <c r="BD1189" s="552">
        <f t="shared" si="4615"/>
        <v>0</v>
      </c>
      <c r="BE1189" s="552">
        <f t="shared" si="4615"/>
        <v>0</v>
      </c>
      <c r="BF1189" s="552">
        <f t="shared" si="4615"/>
        <v>0</v>
      </c>
      <c r="BG1189" s="552">
        <f t="shared" si="4615"/>
        <v>0</v>
      </c>
      <c r="BH1189" s="552">
        <f t="shared" si="4615"/>
        <v>0</v>
      </c>
      <c r="BI1189" s="552">
        <f t="shared" si="4615"/>
        <v>0</v>
      </c>
      <c r="BJ1189" s="552">
        <f t="shared" si="4615"/>
        <v>0</v>
      </c>
      <c r="BK1189" s="552">
        <f t="shared" si="4615"/>
        <v>0</v>
      </c>
      <c r="BL1189" s="552">
        <f t="shared" si="4615"/>
        <v>0</v>
      </c>
      <c r="BM1189" s="552">
        <f t="shared" si="4615"/>
        <v>0</v>
      </c>
      <c r="BN1189" s="552">
        <f t="shared" si="4615"/>
        <v>0</v>
      </c>
      <c r="BO1189" s="552">
        <f t="shared" si="4615"/>
        <v>0</v>
      </c>
      <c r="BP1189" s="552">
        <f t="shared" si="4615"/>
        <v>0</v>
      </c>
      <c r="BQ1189" s="552">
        <f t="shared" si="4615"/>
        <v>0</v>
      </c>
      <c r="BR1189" s="552">
        <f t="shared" si="4615"/>
        <v>0</v>
      </c>
      <c r="BS1189" s="552">
        <f t="shared" si="4615"/>
        <v>0</v>
      </c>
      <c r="BT1189" s="552">
        <f t="shared" si="4615"/>
        <v>0</v>
      </c>
      <c r="BU1189" s="552">
        <f t="shared" si="4615"/>
        <v>0</v>
      </c>
      <c r="BV1189" s="552">
        <f t="shared" ref="BV1189:DA1189" si="4616">BV235*BV$338</f>
        <v>0</v>
      </c>
      <c r="BW1189" s="552">
        <f t="shared" si="4616"/>
        <v>0</v>
      </c>
      <c r="BX1189" s="552">
        <f t="shared" si="4616"/>
        <v>0</v>
      </c>
      <c r="BY1189" s="552">
        <f t="shared" si="4616"/>
        <v>0</v>
      </c>
      <c r="BZ1189" s="552">
        <f t="shared" si="4616"/>
        <v>0</v>
      </c>
      <c r="CA1189" s="552">
        <f t="shared" si="4616"/>
        <v>0</v>
      </c>
      <c r="CB1189" s="552">
        <f t="shared" si="4616"/>
        <v>0</v>
      </c>
      <c r="CC1189" s="552">
        <f t="shared" si="4616"/>
        <v>0</v>
      </c>
      <c r="CD1189" s="552">
        <f t="shared" si="4616"/>
        <v>0</v>
      </c>
      <c r="CE1189" s="552">
        <f t="shared" si="4616"/>
        <v>0</v>
      </c>
      <c r="CF1189" s="552">
        <f t="shared" si="4616"/>
        <v>0</v>
      </c>
      <c r="CG1189" s="552">
        <f t="shared" si="4616"/>
        <v>0</v>
      </c>
      <c r="CH1189" s="552">
        <f t="shared" si="4616"/>
        <v>0</v>
      </c>
      <c r="CI1189" s="552">
        <f t="shared" si="4616"/>
        <v>0</v>
      </c>
      <c r="CJ1189" s="552">
        <f t="shared" si="4616"/>
        <v>0</v>
      </c>
      <c r="CK1189" s="552">
        <f t="shared" si="4616"/>
        <v>0</v>
      </c>
      <c r="CL1189" s="552">
        <f t="shared" si="4616"/>
        <v>0</v>
      </c>
      <c r="CM1189" s="552">
        <f t="shared" si="4616"/>
        <v>0</v>
      </c>
      <c r="CN1189" s="552">
        <f t="shared" si="4616"/>
        <v>0</v>
      </c>
      <c r="CO1189" s="552">
        <f t="shared" si="4616"/>
        <v>0</v>
      </c>
      <c r="CP1189" s="552">
        <f t="shared" si="4616"/>
        <v>0</v>
      </c>
      <c r="CQ1189" s="552">
        <f t="shared" si="4616"/>
        <v>0</v>
      </c>
      <c r="CR1189" s="552">
        <f t="shared" si="4616"/>
        <v>0</v>
      </c>
      <c r="CS1189" s="552">
        <f t="shared" si="4616"/>
        <v>0</v>
      </c>
      <c r="CT1189" s="552">
        <f t="shared" si="4616"/>
        <v>0</v>
      </c>
      <c r="CU1189" s="552">
        <f t="shared" si="4616"/>
        <v>0</v>
      </c>
      <c r="CV1189" s="552">
        <f t="shared" si="4616"/>
        <v>0</v>
      </c>
      <c r="CW1189" s="552">
        <f t="shared" si="4616"/>
        <v>0</v>
      </c>
      <c r="CX1189" s="552">
        <f t="shared" si="4616"/>
        <v>0</v>
      </c>
      <c r="CY1189" s="552">
        <f t="shared" si="4616"/>
        <v>0</v>
      </c>
      <c r="CZ1189" s="552">
        <f t="shared" si="4616"/>
        <v>0</v>
      </c>
      <c r="DA1189" s="552">
        <f t="shared" si="4616"/>
        <v>0</v>
      </c>
      <c r="DB1189" s="552">
        <f t="shared" ref="DB1189:EG1189" si="4617">DB235*DB$338</f>
        <v>0</v>
      </c>
      <c r="DC1189" s="552">
        <f t="shared" si="4617"/>
        <v>0</v>
      </c>
      <c r="DD1189" s="552">
        <f t="shared" si="4617"/>
        <v>0</v>
      </c>
      <c r="DE1189" s="552">
        <f t="shared" si="4617"/>
        <v>0</v>
      </c>
      <c r="DF1189" s="552">
        <f t="shared" si="4617"/>
        <v>0</v>
      </c>
      <c r="DG1189" s="552">
        <f t="shared" si="4617"/>
        <v>0</v>
      </c>
      <c r="DH1189" s="552">
        <f t="shared" si="4617"/>
        <v>0</v>
      </c>
      <c r="DI1189" s="552">
        <f t="shared" si="4617"/>
        <v>0</v>
      </c>
      <c r="DJ1189" s="552">
        <f t="shared" si="4617"/>
        <v>0</v>
      </c>
      <c r="DK1189" s="552">
        <f t="shared" si="4617"/>
        <v>0</v>
      </c>
      <c r="DL1189" s="552">
        <f t="shared" si="4617"/>
        <v>0</v>
      </c>
      <c r="DM1189" s="552">
        <f t="shared" si="4617"/>
        <v>0</v>
      </c>
      <c r="DN1189" s="552">
        <f t="shared" si="4617"/>
        <v>0</v>
      </c>
      <c r="DO1189" s="552">
        <f t="shared" si="4617"/>
        <v>0</v>
      </c>
      <c r="DP1189" s="552">
        <f t="shared" si="4617"/>
        <v>0</v>
      </c>
      <c r="DQ1189" s="552">
        <f t="shared" si="4617"/>
        <v>0</v>
      </c>
      <c r="DR1189" s="552">
        <f t="shared" si="4617"/>
        <v>0</v>
      </c>
      <c r="DS1189" s="552">
        <f t="shared" si="4617"/>
        <v>0</v>
      </c>
      <c r="DT1189" s="552">
        <f t="shared" si="4617"/>
        <v>0</v>
      </c>
      <c r="DU1189" s="552">
        <f t="shared" si="4617"/>
        <v>0</v>
      </c>
      <c r="DV1189" s="552">
        <f t="shared" si="4617"/>
        <v>0</v>
      </c>
      <c r="DW1189" s="552">
        <f t="shared" si="4617"/>
        <v>0</v>
      </c>
      <c r="DX1189" s="552">
        <f t="shared" si="4617"/>
        <v>0</v>
      </c>
      <c r="DY1189" s="552">
        <f t="shared" si="4617"/>
        <v>0</v>
      </c>
      <c r="DZ1189" s="552">
        <f t="shared" si="4617"/>
        <v>0</v>
      </c>
      <c r="EA1189" s="552">
        <f t="shared" si="4617"/>
        <v>0</v>
      </c>
      <c r="EB1189" s="552">
        <f t="shared" si="4617"/>
        <v>0</v>
      </c>
      <c r="EC1189" s="552">
        <f t="shared" si="4617"/>
        <v>0</v>
      </c>
      <c r="ED1189" s="552">
        <f t="shared" si="4617"/>
        <v>0</v>
      </c>
      <c r="EE1189" s="552">
        <f t="shared" si="4617"/>
        <v>0</v>
      </c>
      <c r="EF1189" s="552">
        <f t="shared" si="4617"/>
        <v>0</v>
      </c>
      <c r="EG1189" s="552">
        <f t="shared" si="4617"/>
        <v>0</v>
      </c>
      <c r="EH1189" s="552">
        <f t="shared" ref="EH1189:EX1189" si="4618">EH235*EH$338</f>
        <v>0</v>
      </c>
      <c r="EI1189" s="552">
        <f t="shared" si="4618"/>
        <v>0</v>
      </c>
      <c r="EJ1189" s="552">
        <f t="shared" si="4618"/>
        <v>0</v>
      </c>
      <c r="EK1189" s="552">
        <f t="shared" si="4618"/>
        <v>0</v>
      </c>
      <c r="EL1189" s="552">
        <f t="shared" si="4618"/>
        <v>0</v>
      </c>
      <c r="EM1189" s="552">
        <f t="shared" si="4618"/>
        <v>0</v>
      </c>
      <c r="EN1189" s="552">
        <f t="shared" si="4618"/>
        <v>0</v>
      </c>
      <c r="EO1189" s="552">
        <f t="shared" si="4618"/>
        <v>0</v>
      </c>
      <c r="EP1189" s="552">
        <f t="shared" si="4618"/>
        <v>0</v>
      </c>
      <c r="EQ1189" s="552">
        <f t="shared" si="4618"/>
        <v>0</v>
      </c>
      <c r="ER1189" s="552">
        <f t="shared" si="4618"/>
        <v>0</v>
      </c>
      <c r="ES1189" s="552">
        <f t="shared" si="4618"/>
        <v>0</v>
      </c>
      <c r="ET1189" s="552">
        <f t="shared" si="4618"/>
        <v>0</v>
      </c>
      <c r="EU1189" s="552">
        <f t="shared" si="4618"/>
        <v>0</v>
      </c>
      <c r="EV1189" s="552">
        <f t="shared" si="4618"/>
        <v>0</v>
      </c>
      <c r="EW1189" s="552">
        <f t="shared" si="4618"/>
        <v>0</v>
      </c>
      <c r="EX1189" s="552">
        <f t="shared" si="4618"/>
        <v>0</v>
      </c>
      <c r="EY1189" s="799">
        <f t="shared" si="4577"/>
        <v>0</v>
      </c>
      <c r="EZ1189" s="640"/>
      <c r="FA1189" s="640"/>
      <c r="FB1189" s="640"/>
      <c r="FC1189" s="640"/>
      <c r="FD1189" s="640"/>
      <c r="FE1189" s="640"/>
      <c r="FF1189" s="640"/>
      <c r="FG1189" s="640"/>
      <c r="FH1189" s="640"/>
      <c r="FI1189" s="640"/>
      <c r="FJ1189" s="640"/>
      <c r="FK1189" s="640"/>
      <c r="FL1189" s="640"/>
    </row>
    <row r="1190" spans="1:168" x14ac:dyDescent="0.25">
      <c r="A1190" s="254"/>
      <c r="B1190" s="625" t="s">
        <v>111</v>
      </c>
      <c r="C1190" s="1135"/>
      <c r="D1190" s="1138">
        <f>SUM(D1181:D1189)</f>
        <v>0</v>
      </c>
      <c r="E1190" s="1138">
        <f t="shared" ref="E1190:J1190" si="4619">SUM(E1181:E1189)</f>
        <v>0</v>
      </c>
      <c r="F1190" s="1138"/>
      <c r="G1190" s="1138">
        <f t="shared" si="4619"/>
        <v>0</v>
      </c>
      <c r="H1190" s="1138">
        <f t="shared" si="4619"/>
        <v>0</v>
      </c>
      <c r="I1190" s="554"/>
      <c r="J1190" s="1138">
        <f t="shared" si="4619"/>
        <v>0</v>
      </c>
      <c r="K1190" s="1138">
        <f t="shared" ref="K1190" si="4620">SUM(K1181:K1189)</f>
        <v>0</v>
      </c>
      <c r="L1190" s="1138">
        <f t="shared" ref="L1190" si="4621">SUM(L1181:L1189)</f>
        <v>0</v>
      </c>
      <c r="M1190" s="1138">
        <f t="shared" ref="M1190" si="4622">SUM(M1181:M1189)</f>
        <v>0</v>
      </c>
      <c r="N1190" s="1138">
        <f t="shared" ref="N1190" si="4623">SUM(N1181:N1189)</f>
        <v>0</v>
      </c>
      <c r="O1190" s="1138">
        <f t="shared" ref="O1190" si="4624">SUM(O1181:O1189)</f>
        <v>0</v>
      </c>
      <c r="P1190" s="1138">
        <f t="shared" ref="P1190" si="4625">SUM(P1181:P1189)</f>
        <v>0</v>
      </c>
      <c r="Q1190" s="1138">
        <f t="shared" ref="Q1190" si="4626">SUM(Q1181:Q1189)</f>
        <v>0</v>
      </c>
      <c r="R1190" s="1138">
        <f t="shared" ref="R1190" si="4627">SUM(R1181:R1189)</f>
        <v>0</v>
      </c>
      <c r="S1190" s="1138">
        <f t="shared" ref="S1190" si="4628">SUM(S1181:S1189)</f>
        <v>0</v>
      </c>
      <c r="T1190" s="1138">
        <f t="shared" ref="T1190" si="4629">SUM(T1181:T1189)</f>
        <v>0</v>
      </c>
      <c r="U1190" s="1138">
        <f t="shared" ref="U1190" si="4630">SUM(U1181:U1189)</f>
        <v>0</v>
      </c>
      <c r="V1190" s="1138">
        <f t="shared" ref="V1190" si="4631">SUM(V1181:V1189)</f>
        <v>0</v>
      </c>
      <c r="W1190" s="1138">
        <f t="shared" ref="W1190" si="4632">SUM(W1181:W1189)</f>
        <v>0</v>
      </c>
      <c r="X1190" s="1138">
        <f t="shared" ref="X1190" si="4633">SUM(X1181:X1189)</f>
        <v>0</v>
      </c>
      <c r="Y1190" s="1138">
        <f t="shared" ref="Y1190" si="4634">SUM(Y1181:Y1189)</f>
        <v>0</v>
      </c>
      <c r="Z1190" s="1138">
        <f t="shared" ref="Z1190" si="4635">SUM(Z1181:Z1189)</f>
        <v>0</v>
      </c>
      <c r="AA1190" s="1138">
        <f t="shared" ref="AA1190" si="4636">SUM(AA1181:AA1189)</f>
        <v>0</v>
      </c>
      <c r="AB1190" s="1138">
        <f t="shared" ref="AB1190" si="4637">SUM(AB1181:AB1189)</f>
        <v>0</v>
      </c>
      <c r="AC1190" s="1138">
        <f t="shared" ref="AC1190" si="4638">SUM(AC1181:AC1189)</f>
        <v>0</v>
      </c>
      <c r="AD1190" s="1138">
        <f t="shared" ref="AD1190" si="4639">SUM(AD1181:AD1189)</f>
        <v>0</v>
      </c>
      <c r="AE1190" s="1138">
        <f t="shared" ref="AE1190" si="4640">SUM(AE1181:AE1189)</f>
        <v>0</v>
      </c>
      <c r="AF1190" s="1138">
        <f t="shared" ref="AF1190" si="4641">SUM(AF1181:AF1189)</f>
        <v>0</v>
      </c>
      <c r="AG1190" s="1138">
        <f t="shared" ref="AG1190" si="4642">SUM(AG1181:AG1189)</f>
        <v>0</v>
      </c>
      <c r="AH1190" s="1138">
        <f t="shared" ref="AH1190" si="4643">SUM(AH1181:AH1189)</f>
        <v>0</v>
      </c>
      <c r="AI1190" s="1138">
        <f t="shared" ref="AI1190" si="4644">SUM(AI1181:AI1189)</f>
        <v>0</v>
      </c>
      <c r="AJ1190" s="1138">
        <f t="shared" ref="AJ1190" si="4645">SUM(AJ1181:AJ1189)</f>
        <v>0</v>
      </c>
      <c r="AK1190" s="1138">
        <f t="shared" ref="AK1190" si="4646">SUM(AK1181:AK1189)</f>
        <v>0</v>
      </c>
      <c r="AL1190" s="1138">
        <f t="shared" ref="AL1190" si="4647">SUM(AL1181:AL1189)</f>
        <v>0</v>
      </c>
      <c r="AM1190" s="1138">
        <f t="shared" ref="AM1190" si="4648">SUM(AM1181:AM1189)</f>
        <v>0</v>
      </c>
      <c r="AN1190" s="1138">
        <f t="shared" ref="AN1190" si="4649">SUM(AN1181:AN1189)</f>
        <v>0</v>
      </c>
      <c r="AO1190" s="1138">
        <f t="shared" ref="AO1190" si="4650">SUM(AO1181:AO1189)</f>
        <v>0</v>
      </c>
      <c r="AP1190" s="1138">
        <f t="shared" ref="AP1190" si="4651">SUM(AP1181:AP1189)</f>
        <v>0</v>
      </c>
      <c r="AQ1190" s="1138">
        <f t="shared" ref="AQ1190" si="4652">SUM(AQ1181:AQ1189)</f>
        <v>0</v>
      </c>
      <c r="AR1190" s="1138">
        <f t="shared" ref="AR1190" si="4653">SUM(AR1181:AR1189)</f>
        <v>0</v>
      </c>
      <c r="AS1190" s="1138">
        <f t="shared" ref="AS1190" si="4654">SUM(AS1181:AS1189)</f>
        <v>0</v>
      </c>
      <c r="AT1190" s="1138">
        <f t="shared" ref="AT1190" si="4655">SUM(AT1181:AT1189)</f>
        <v>0</v>
      </c>
      <c r="AU1190" s="1138">
        <f t="shared" ref="AU1190" si="4656">SUM(AU1181:AU1189)</f>
        <v>0</v>
      </c>
      <c r="AV1190" s="1138">
        <f t="shared" ref="AV1190" si="4657">SUM(AV1181:AV1189)</f>
        <v>0</v>
      </c>
      <c r="AW1190" s="1138">
        <f t="shared" ref="AW1190" si="4658">SUM(AW1181:AW1189)</f>
        <v>0</v>
      </c>
      <c r="AX1190" s="1138">
        <f t="shared" ref="AX1190" si="4659">SUM(AX1181:AX1189)</f>
        <v>0</v>
      </c>
      <c r="AY1190" s="1138">
        <f t="shared" ref="AY1190" si="4660">SUM(AY1181:AY1189)</f>
        <v>0</v>
      </c>
      <c r="AZ1190" s="1138">
        <f t="shared" ref="AZ1190" si="4661">SUM(AZ1181:AZ1189)</f>
        <v>0</v>
      </c>
      <c r="BA1190" s="1138">
        <f t="shared" ref="BA1190" si="4662">SUM(BA1181:BA1189)</f>
        <v>0</v>
      </c>
      <c r="BB1190" s="1138">
        <f t="shared" ref="BB1190" si="4663">SUM(BB1181:BB1189)</f>
        <v>0</v>
      </c>
      <c r="BC1190" s="1138">
        <f t="shared" ref="BC1190" si="4664">SUM(BC1181:BC1189)</f>
        <v>0</v>
      </c>
      <c r="BD1190" s="1138">
        <f t="shared" ref="BD1190" si="4665">SUM(BD1181:BD1189)</f>
        <v>0</v>
      </c>
      <c r="BE1190" s="1138">
        <f t="shared" ref="BE1190" si="4666">SUM(BE1181:BE1189)</f>
        <v>0</v>
      </c>
      <c r="BF1190" s="1138">
        <f t="shared" ref="BF1190" si="4667">SUM(BF1181:BF1189)</f>
        <v>0</v>
      </c>
      <c r="BG1190" s="1138">
        <f t="shared" ref="BG1190" si="4668">SUM(BG1181:BG1189)</f>
        <v>0</v>
      </c>
      <c r="BH1190" s="1138">
        <f t="shared" ref="BH1190" si="4669">SUM(BH1181:BH1189)</f>
        <v>0</v>
      </c>
      <c r="BI1190" s="1138">
        <f t="shared" ref="BI1190" si="4670">SUM(BI1181:BI1189)</f>
        <v>0</v>
      </c>
      <c r="BJ1190" s="1138">
        <f t="shared" ref="BJ1190" si="4671">SUM(BJ1181:BJ1189)</f>
        <v>0</v>
      </c>
      <c r="BK1190" s="1138">
        <f t="shared" ref="BK1190" si="4672">SUM(BK1181:BK1189)</f>
        <v>0</v>
      </c>
      <c r="BL1190" s="1138">
        <f t="shared" ref="BL1190" si="4673">SUM(BL1181:BL1189)</f>
        <v>0</v>
      </c>
      <c r="BM1190" s="1138">
        <f t="shared" ref="BM1190" si="4674">SUM(BM1181:BM1189)</f>
        <v>0</v>
      </c>
      <c r="BN1190" s="1138">
        <f t="shared" ref="BN1190" si="4675">SUM(BN1181:BN1189)</f>
        <v>0</v>
      </c>
      <c r="BO1190" s="1138">
        <f t="shared" ref="BO1190" si="4676">SUM(BO1181:BO1189)</f>
        <v>0</v>
      </c>
      <c r="BP1190" s="1138">
        <f t="shared" ref="BP1190" si="4677">SUM(BP1181:BP1189)</f>
        <v>0</v>
      </c>
      <c r="BQ1190" s="1138">
        <f t="shared" ref="BQ1190" si="4678">SUM(BQ1181:BQ1189)</f>
        <v>0</v>
      </c>
      <c r="BR1190" s="1138">
        <f t="shared" ref="BR1190" si="4679">SUM(BR1181:BR1189)</f>
        <v>0</v>
      </c>
      <c r="BS1190" s="1138">
        <f t="shared" ref="BS1190" si="4680">SUM(BS1181:BS1189)</f>
        <v>0</v>
      </c>
      <c r="BT1190" s="1138">
        <f t="shared" ref="BT1190" si="4681">SUM(BT1181:BT1189)</f>
        <v>0</v>
      </c>
      <c r="BU1190" s="1138">
        <f t="shared" ref="BU1190" si="4682">SUM(BU1181:BU1189)</f>
        <v>0</v>
      </c>
      <c r="BV1190" s="1138">
        <f t="shared" ref="BV1190" si="4683">SUM(BV1181:BV1189)</f>
        <v>0</v>
      </c>
      <c r="BW1190" s="1138">
        <f t="shared" ref="BW1190" si="4684">SUM(BW1181:BW1189)</f>
        <v>0</v>
      </c>
      <c r="BX1190" s="1138">
        <f t="shared" ref="BX1190" si="4685">SUM(BX1181:BX1189)</f>
        <v>0</v>
      </c>
      <c r="BY1190" s="1138">
        <f t="shared" ref="BY1190" si="4686">SUM(BY1181:BY1189)</f>
        <v>0</v>
      </c>
      <c r="BZ1190" s="1138">
        <f t="shared" ref="BZ1190" si="4687">SUM(BZ1181:BZ1189)</f>
        <v>0</v>
      </c>
      <c r="CA1190" s="1138">
        <f t="shared" ref="CA1190" si="4688">SUM(CA1181:CA1189)</f>
        <v>0</v>
      </c>
      <c r="CB1190" s="1138">
        <f t="shared" ref="CB1190" si="4689">SUM(CB1181:CB1189)</f>
        <v>0</v>
      </c>
      <c r="CC1190" s="1138">
        <f t="shared" ref="CC1190" si="4690">SUM(CC1181:CC1189)</f>
        <v>0</v>
      </c>
      <c r="CD1190" s="1138">
        <f t="shared" ref="CD1190" si="4691">SUM(CD1181:CD1189)</f>
        <v>0</v>
      </c>
      <c r="CE1190" s="1138">
        <f t="shared" ref="CE1190" si="4692">SUM(CE1181:CE1189)</f>
        <v>0</v>
      </c>
      <c r="CF1190" s="1138">
        <f t="shared" ref="CF1190" si="4693">SUM(CF1181:CF1189)</f>
        <v>0</v>
      </c>
      <c r="CG1190" s="1138">
        <f t="shared" ref="CG1190" si="4694">SUM(CG1181:CG1189)</f>
        <v>0</v>
      </c>
      <c r="CH1190" s="1138">
        <f t="shared" ref="CH1190" si="4695">SUM(CH1181:CH1189)</f>
        <v>0</v>
      </c>
      <c r="CI1190" s="1138">
        <f t="shared" ref="CI1190" si="4696">SUM(CI1181:CI1189)</f>
        <v>0</v>
      </c>
      <c r="CJ1190" s="1138">
        <f t="shared" ref="CJ1190" si="4697">SUM(CJ1181:CJ1189)</f>
        <v>0</v>
      </c>
      <c r="CK1190" s="1138">
        <f t="shared" ref="CK1190" si="4698">SUM(CK1181:CK1189)</f>
        <v>0</v>
      </c>
      <c r="CL1190" s="1138">
        <f t="shared" ref="CL1190" si="4699">SUM(CL1181:CL1189)</f>
        <v>0</v>
      </c>
      <c r="CM1190" s="1138">
        <f t="shared" ref="CM1190" si="4700">SUM(CM1181:CM1189)</f>
        <v>0</v>
      </c>
      <c r="CN1190" s="1138">
        <f t="shared" ref="CN1190" si="4701">SUM(CN1181:CN1189)</f>
        <v>0</v>
      </c>
      <c r="CO1190" s="1138">
        <f t="shared" ref="CO1190" si="4702">SUM(CO1181:CO1189)</f>
        <v>0</v>
      </c>
      <c r="CP1190" s="1138">
        <f t="shared" ref="CP1190" si="4703">SUM(CP1181:CP1189)</f>
        <v>0</v>
      </c>
      <c r="CQ1190" s="1138">
        <f t="shared" ref="CQ1190" si="4704">SUM(CQ1181:CQ1189)</f>
        <v>0</v>
      </c>
      <c r="CR1190" s="1138">
        <f t="shared" ref="CR1190" si="4705">SUM(CR1181:CR1189)</f>
        <v>0</v>
      </c>
      <c r="CS1190" s="1138">
        <f t="shared" ref="CS1190" si="4706">SUM(CS1181:CS1189)</f>
        <v>0</v>
      </c>
      <c r="CT1190" s="1138">
        <f t="shared" ref="CT1190" si="4707">SUM(CT1181:CT1189)</f>
        <v>0</v>
      </c>
      <c r="CU1190" s="1138">
        <f t="shared" ref="CU1190" si="4708">SUM(CU1181:CU1189)</f>
        <v>0</v>
      </c>
      <c r="CV1190" s="1138">
        <f t="shared" ref="CV1190" si="4709">SUM(CV1181:CV1189)</f>
        <v>0</v>
      </c>
      <c r="CW1190" s="1138">
        <f t="shared" ref="CW1190" si="4710">SUM(CW1181:CW1189)</f>
        <v>0</v>
      </c>
      <c r="CX1190" s="1138">
        <f t="shared" ref="CX1190" si="4711">SUM(CX1181:CX1189)</f>
        <v>0</v>
      </c>
      <c r="CY1190" s="1138">
        <f t="shared" ref="CY1190" si="4712">SUM(CY1181:CY1189)</f>
        <v>0</v>
      </c>
      <c r="CZ1190" s="1138">
        <f t="shared" ref="CZ1190" si="4713">SUM(CZ1181:CZ1189)</f>
        <v>0</v>
      </c>
      <c r="DA1190" s="1138">
        <f t="shared" ref="DA1190" si="4714">SUM(DA1181:DA1189)</f>
        <v>0</v>
      </c>
      <c r="DB1190" s="1138">
        <f t="shared" ref="DB1190" si="4715">SUM(DB1181:DB1189)</f>
        <v>0</v>
      </c>
      <c r="DC1190" s="1138">
        <f t="shared" ref="DC1190" si="4716">SUM(DC1181:DC1189)</f>
        <v>0</v>
      </c>
      <c r="DD1190" s="1138">
        <f t="shared" ref="DD1190" si="4717">SUM(DD1181:DD1189)</f>
        <v>0</v>
      </c>
      <c r="DE1190" s="1138">
        <f t="shared" ref="DE1190" si="4718">SUM(DE1181:DE1189)</f>
        <v>0</v>
      </c>
      <c r="DF1190" s="1138">
        <f t="shared" ref="DF1190" si="4719">SUM(DF1181:DF1189)</f>
        <v>0</v>
      </c>
      <c r="DG1190" s="1138">
        <f t="shared" ref="DG1190" si="4720">SUM(DG1181:DG1189)</f>
        <v>0</v>
      </c>
      <c r="DH1190" s="1138">
        <f t="shared" ref="DH1190" si="4721">SUM(DH1181:DH1189)</f>
        <v>0</v>
      </c>
      <c r="DI1190" s="1138">
        <f t="shared" ref="DI1190" si="4722">SUM(DI1181:DI1189)</f>
        <v>0</v>
      </c>
      <c r="DJ1190" s="1138">
        <f t="shared" ref="DJ1190" si="4723">SUM(DJ1181:DJ1189)</f>
        <v>0</v>
      </c>
      <c r="DK1190" s="1138">
        <f t="shared" ref="DK1190" si="4724">SUM(DK1181:DK1189)</f>
        <v>0</v>
      </c>
      <c r="DL1190" s="1138">
        <f t="shared" ref="DL1190" si="4725">SUM(DL1181:DL1189)</f>
        <v>0</v>
      </c>
      <c r="DM1190" s="1138">
        <f t="shared" ref="DM1190" si="4726">SUM(DM1181:DM1189)</f>
        <v>0</v>
      </c>
      <c r="DN1190" s="1138">
        <f t="shared" ref="DN1190" si="4727">SUM(DN1181:DN1189)</f>
        <v>0</v>
      </c>
      <c r="DO1190" s="1138">
        <f t="shared" ref="DO1190" si="4728">SUM(DO1181:DO1189)</f>
        <v>0</v>
      </c>
      <c r="DP1190" s="1138">
        <f t="shared" ref="DP1190" si="4729">SUM(DP1181:DP1189)</f>
        <v>0</v>
      </c>
      <c r="DQ1190" s="1138">
        <f t="shared" ref="DQ1190" si="4730">SUM(DQ1181:DQ1189)</f>
        <v>0</v>
      </c>
      <c r="DR1190" s="1138">
        <f t="shared" ref="DR1190" si="4731">SUM(DR1181:DR1189)</f>
        <v>0</v>
      </c>
      <c r="DS1190" s="1138">
        <f t="shared" ref="DS1190" si="4732">SUM(DS1181:DS1189)</f>
        <v>0</v>
      </c>
      <c r="DT1190" s="1138">
        <f t="shared" ref="DT1190" si="4733">SUM(DT1181:DT1189)</f>
        <v>0</v>
      </c>
      <c r="DU1190" s="1138">
        <f t="shared" ref="DU1190" si="4734">SUM(DU1181:DU1189)</f>
        <v>0</v>
      </c>
      <c r="DV1190" s="1138">
        <f t="shared" ref="DV1190" si="4735">SUM(DV1181:DV1189)</f>
        <v>0</v>
      </c>
      <c r="DW1190" s="1138">
        <f t="shared" ref="DW1190" si="4736">SUM(DW1181:DW1189)</f>
        <v>0</v>
      </c>
      <c r="DX1190" s="1138">
        <f t="shared" ref="DX1190" si="4737">SUM(DX1181:DX1189)</f>
        <v>0</v>
      </c>
      <c r="DY1190" s="1138">
        <f t="shared" ref="DY1190" si="4738">SUM(DY1181:DY1189)</f>
        <v>0</v>
      </c>
      <c r="DZ1190" s="1138">
        <f t="shared" ref="DZ1190" si="4739">SUM(DZ1181:DZ1189)</f>
        <v>0</v>
      </c>
      <c r="EA1190" s="1138">
        <f t="shared" ref="EA1190" si="4740">SUM(EA1181:EA1189)</f>
        <v>0</v>
      </c>
      <c r="EB1190" s="1138">
        <f t="shared" ref="EB1190" si="4741">SUM(EB1181:EB1189)</f>
        <v>0</v>
      </c>
      <c r="EC1190" s="1138">
        <f t="shared" ref="EC1190" si="4742">SUM(EC1181:EC1189)</f>
        <v>0</v>
      </c>
      <c r="ED1190" s="1138">
        <f t="shared" ref="ED1190" si="4743">SUM(ED1181:ED1189)</f>
        <v>0</v>
      </c>
      <c r="EE1190" s="1138">
        <f t="shared" ref="EE1190" si="4744">SUM(EE1181:EE1189)</f>
        <v>0</v>
      </c>
      <c r="EF1190" s="1138">
        <f t="shared" ref="EF1190" si="4745">SUM(EF1181:EF1189)</f>
        <v>0</v>
      </c>
      <c r="EG1190" s="1138">
        <f t="shared" ref="EG1190" si="4746">SUM(EG1181:EG1189)</f>
        <v>0</v>
      </c>
      <c r="EH1190" s="1138">
        <f t="shared" ref="EH1190" si="4747">SUM(EH1181:EH1189)</f>
        <v>0</v>
      </c>
      <c r="EI1190" s="1138">
        <f t="shared" ref="EI1190" si="4748">SUM(EI1181:EI1189)</f>
        <v>0</v>
      </c>
      <c r="EJ1190" s="1138">
        <f t="shared" ref="EJ1190" si="4749">SUM(EJ1181:EJ1189)</f>
        <v>0</v>
      </c>
      <c r="EK1190" s="1138">
        <f t="shared" ref="EK1190" si="4750">SUM(EK1181:EK1189)</f>
        <v>0</v>
      </c>
      <c r="EL1190" s="1138">
        <f t="shared" ref="EL1190" si="4751">SUM(EL1181:EL1189)</f>
        <v>0</v>
      </c>
      <c r="EM1190" s="1138">
        <f t="shared" ref="EM1190" si="4752">SUM(EM1181:EM1189)</f>
        <v>0</v>
      </c>
      <c r="EN1190" s="1138">
        <f t="shared" ref="EN1190" si="4753">SUM(EN1181:EN1189)</f>
        <v>0</v>
      </c>
      <c r="EO1190" s="1138">
        <f t="shared" ref="EO1190" si="4754">SUM(EO1181:EO1189)</f>
        <v>0</v>
      </c>
      <c r="EP1190" s="1138">
        <f t="shared" ref="EP1190" si="4755">SUM(EP1181:EP1189)</f>
        <v>0</v>
      </c>
      <c r="EQ1190" s="1138">
        <f t="shared" ref="EQ1190" si="4756">SUM(EQ1181:EQ1189)</f>
        <v>0</v>
      </c>
      <c r="ER1190" s="1138">
        <f t="shared" ref="ER1190" si="4757">SUM(ER1181:ER1189)</f>
        <v>0</v>
      </c>
      <c r="ES1190" s="1138">
        <f t="shared" ref="ES1190" si="4758">SUM(ES1181:ES1189)</f>
        <v>0</v>
      </c>
      <c r="ET1190" s="1138">
        <f t="shared" ref="ET1190" si="4759">SUM(ET1181:ET1189)</f>
        <v>0</v>
      </c>
      <c r="EU1190" s="1138">
        <f t="shared" ref="EU1190" si="4760">SUM(EU1181:EU1189)</f>
        <v>0</v>
      </c>
      <c r="EV1190" s="1138">
        <f t="shared" ref="EV1190" si="4761">SUM(EV1181:EV1189)</f>
        <v>0</v>
      </c>
      <c r="EW1190" s="1138">
        <f t="shared" ref="EW1190" si="4762">SUM(EW1181:EW1189)</f>
        <v>0</v>
      </c>
      <c r="EX1190" s="1138">
        <f t="shared" ref="EX1190:FL1190" si="4763">SUM(EX1181:EX1189)</f>
        <v>0</v>
      </c>
      <c r="EY1190" s="1138">
        <f t="shared" si="4763"/>
        <v>0</v>
      </c>
      <c r="EZ1190" s="1138">
        <f t="shared" si="4763"/>
        <v>0</v>
      </c>
      <c r="FA1190" s="1138">
        <f t="shared" si="4763"/>
        <v>0</v>
      </c>
      <c r="FB1190" s="1138">
        <f t="shared" si="4763"/>
        <v>0</v>
      </c>
      <c r="FC1190" s="1138">
        <f t="shared" si="4763"/>
        <v>0</v>
      </c>
      <c r="FD1190" s="1138">
        <f t="shared" si="4763"/>
        <v>0</v>
      </c>
      <c r="FE1190" s="1138">
        <f t="shared" si="4763"/>
        <v>0</v>
      </c>
      <c r="FF1190" s="1138">
        <f t="shared" si="4763"/>
        <v>0</v>
      </c>
      <c r="FG1190" s="1138">
        <f t="shared" si="4763"/>
        <v>0</v>
      </c>
      <c r="FH1190" s="1138">
        <f t="shared" si="4763"/>
        <v>0</v>
      </c>
      <c r="FI1190" s="1138">
        <f t="shared" si="4763"/>
        <v>0</v>
      </c>
      <c r="FJ1190" s="1138">
        <f t="shared" si="4763"/>
        <v>0</v>
      </c>
      <c r="FK1190" s="1138">
        <f t="shared" si="4763"/>
        <v>0</v>
      </c>
      <c r="FL1190" s="1138">
        <f t="shared" si="4763"/>
        <v>0</v>
      </c>
    </row>
    <row r="1191" spans="1:168" x14ac:dyDescent="0.25">
      <c r="A1191" s="1491" t="s">
        <v>112</v>
      </c>
      <c r="B1191" s="624">
        <f t="shared" ref="B1191:D1199" si="4764">B237</f>
        <v>0</v>
      </c>
      <c r="C1191" s="624">
        <f t="shared" si="4764"/>
        <v>0</v>
      </c>
      <c r="D1191" s="624">
        <f t="shared" si="4764"/>
        <v>0</v>
      </c>
      <c r="E1191" s="1158">
        <f t="shared" ref="E1191:E1199" si="4765">EY1191</f>
        <v>0</v>
      </c>
      <c r="F1191" s="1158"/>
      <c r="G1191" s="1140"/>
      <c r="H1191" s="1140"/>
      <c r="I1191" s="552"/>
      <c r="J1191" s="552">
        <f t="shared" ref="J1191:AO1191" si="4766">J237*J$338</f>
        <v>0</v>
      </c>
      <c r="K1191" s="552">
        <f t="shared" si="4766"/>
        <v>0</v>
      </c>
      <c r="L1191" s="552">
        <f t="shared" si="4766"/>
        <v>0</v>
      </c>
      <c r="M1191" s="552">
        <f t="shared" si="4766"/>
        <v>0</v>
      </c>
      <c r="N1191" s="552">
        <f t="shared" si="4766"/>
        <v>0</v>
      </c>
      <c r="O1191" s="552">
        <f t="shared" si="4766"/>
        <v>0</v>
      </c>
      <c r="P1191" s="552">
        <f t="shared" si="4766"/>
        <v>0</v>
      </c>
      <c r="Q1191" s="552">
        <f t="shared" si="4766"/>
        <v>0</v>
      </c>
      <c r="R1191" s="552">
        <f t="shared" si="4766"/>
        <v>0</v>
      </c>
      <c r="S1191" s="552">
        <f t="shared" si="4766"/>
        <v>0</v>
      </c>
      <c r="T1191" s="552">
        <f t="shared" si="4766"/>
        <v>0</v>
      </c>
      <c r="U1191" s="552">
        <f t="shared" si="4766"/>
        <v>0</v>
      </c>
      <c r="V1191" s="552">
        <f t="shared" si="4766"/>
        <v>0</v>
      </c>
      <c r="W1191" s="552">
        <f t="shared" si="4766"/>
        <v>0</v>
      </c>
      <c r="X1191" s="552">
        <f t="shared" si="4766"/>
        <v>0</v>
      </c>
      <c r="Y1191" s="552">
        <f t="shared" si="4766"/>
        <v>0</v>
      </c>
      <c r="Z1191" s="552">
        <f t="shared" si="4766"/>
        <v>0</v>
      </c>
      <c r="AA1191" s="552">
        <f t="shared" si="4766"/>
        <v>0</v>
      </c>
      <c r="AB1191" s="552">
        <f t="shared" si="4766"/>
        <v>0</v>
      </c>
      <c r="AC1191" s="552">
        <f t="shared" si="4766"/>
        <v>0</v>
      </c>
      <c r="AD1191" s="552">
        <f t="shared" si="4766"/>
        <v>0</v>
      </c>
      <c r="AE1191" s="552">
        <f t="shared" si="4766"/>
        <v>0</v>
      </c>
      <c r="AF1191" s="552">
        <f t="shared" si="4766"/>
        <v>0</v>
      </c>
      <c r="AG1191" s="552">
        <f t="shared" si="4766"/>
        <v>0</v>
      </c>
      <c r="AH1191" s="552">
        <f t="shared" si="4766"/>
        <v>0</v>
      </c>
      <c r="AI1191" s="552">
        <f t="shared" si="4766"/>
        <v>0</v>
      </c>
      <c r="AJ1191" s="552">
        <f t="shared" si="4766"/>
        <v>0</v>
      </c>
      <c r="AK1191" s="552">
        <f t="shared" si="4766"/>
        <v>0</v>
      </c>
      <c r="AL1191" s="552">
        <f t="shared" si="4766"/>
        <v>0</v>
      </c>
      <c r="AM1191" s="552">
        <f t="shared" si="4766"/>
        <v>0</v>
      </c>
      <c r="AN1191" s="552">
        <f t="shared" si="4766"/>
        <v>0</v>
      </c>
      <c r="AO1191" s="552">
        <f t="shared" si="4766"/>
        <v>0</v>
      </c>
      <c r="AP1191" s="552">
        <f t="shared" ref="AP1191:BU1191" si="4767">AP237*AP$338</f>
        <v>0</v>
      </c>
      <c r="AQ1191" s="552">
        <f t="shared" si="4767"/>
        <v>0</v>
      </c>
      <c r="AR1191" s="552">
        <f t="shared" si="4767"/>
        <v>0</v>
      </c>
      <c r="AS1191" s="552">
        <f t="shared" si="4767"/>
        <v>0</v>
      </c>
      <c r="AT1191" s="552">
        <f t="shared" si="4767"/>
        <v>0</v>
      </c>
      <c r="AU1191" s="552">
        <f t="shared" si="4767"/>
        <v>0</v>
      </c>
      <c r="AV1191" s="552">
        <f t="shared" si="4767"/>
        <v>0</v>
      </c>
      <c r="AW1191" s="552">
        <f t="shared" si="4767"/>
        <v>0</v>
      </c>
      <c r="AX1191" s="552">
        <f t="shared" si="4767"/>
        <v>0</v>
      </c>
      <c r="AY1191" s="552">
        <f t="shared" si="4767"/>
        <v>0</v>
      </c>
      <c r="AZ1191" s="552">
        <f t="shared" si="4767"/>
        <v>0</v>
      </c>
      <c r="BA1191" s="552">
        <f t="shared" si="4767"/>
        <v>0</v>
      </c>
      <c r="BB1191" s="552">
        <f t="shared" si="4767"/>
        <v>0</v>
      </c>
      <c r="BC1191" s="552">
        <f t="shared" si="4767"/>
        <v>0</v>
      </c>
      <c r="BD1191" s="552">
        <f t="shared" si="4767"/>
        <v>0</v>
      </c>
      <c r="BE1191" s="552">
        <f t="shared" si="4767"/>
        <v>0</v>
      </c>
      <c r="BF1191" s="552">
        <f t="shared" si="4767"/>
        <v>0</v>
      </c>
      <c r="BG1191" s="552">
        <f t="shared" si="4767"/>
        <v>0</v>
      </c>
      <c r="BH1191" s="552">
        <f t="shared" si="4767"/>
        <v>0</v>
      </c>
      <c r="BI1191" s="552">
        <f t="shared" si="4767"/>
        <v>0</v>
      </c>
      <c r="BJ1191" s="552">
        <f t="shared" si="4767"/>
        <v>0</v>
      </c>
      <c r="BK1191" s="552">
        <f t="shared" si="4767"/>
        <v>0</v>
      </c>
      <c r="BL1191" s="552">
        <f t="shared" si="4767"/>
        <v>0</v>
      </c>
      <c r="BM1191" s="552">
        <f t="shared" si="4767"/>
        <v>0</v>
      </c>
      <c r="BN1191" s="552">
        <f t="shared" si="4767"/>
        <v>0</v>
      </c>
      <c r="BO1191" s="552">
        <f t="shared" si="4767"/>
        <v>0</v>
      </c>
      <c r="BP1191" s="552">
        <f t="shared" si="4767"/>
        <v>0</v>
      </c>
      <c r="BQ1191" s="552">
        <f t="shared" si="4767"/>
        <v>0</v>
      </c>
      <c r="BR1191" s="552">
        <f t="shared" si="4767"/>
        <v>0</v>
      </c>
      <c r="BS1191" s="552">
        <f t="shared" si="4767"/>
        <v>0</v>
      </c>
      <c r="BT1191" s="552">
        <f t="shared" si="4767"/>
        <v>0</v>
      </c>
      <c r="BU1191" s="552">
        <f t="shared" si="4767"/>
        <v>0</v>
      </c>
      <c r="BV1191" s="552">
        <f t="shared" ref="BV1191:DA1191" si="4768">BV237*BV$338</f>
        <v>0</v>
      </c>
      <c r="BW1191" s="552">
        <f t="shared" si="4768"/>
        <v>0</v>
      </c>
      <c r="BX1191" s="552">
        <f t="shared" si="4768"/>
        <v>0</v>
      </c>
      <c r="BY1191" s="552">
        <f t="shared" si="4768"/>
        <v>0</v>
      </c>
      <c r="BZ1191" s="552">
        <f t="shared" si="4768"/>
        <v>0</v>
      </c>
      <c r="CA1191" s="552">
        <f t="shared" si="4768"/>
        <v>0</v>
      </c>
      <c r="CB1191" s="552">
        <f t="shared" si="4768"/>
        <v>0</v>
      </c>
      <c r="CC1191" s="552">
        <f t="shared" si="4768"/>
        <v>0</v>
      </c>
      <c r="CD1191" s="552">
        <f t="shared" si="4768"/>
        <v>0</v>
      </c>
      <c r="CE1191" s="552">
        <f t="shared" si="4768"/>
        <v>0</v>
      </c>
      <c r="CF1191" s="552">
        <f t="shared" si="4768"/>
        <v>0</v>
      </c>
      <c r="CG1191" s="552">
        <f t="shared" si="4768"/>
        <v>0</v>
      </c>
      <c r="CH1191" s="552">
        <f t="shared" si="4768"/>
        <v>0</v>
      </c>
      <c r="CI1191" s="552">
        <f t="shared" si="4768"/>
        <v>0</v>
      </c>
      <c r="CJ1191" s="552">
        <f t="shared" si="4768"/>
        <v>0</v>
      </c>
      <c r="CK1191" s="552">
        <f t="shared" si="4768"/>
        <v>0</v>
      </c>
      <c r="CL1191" s="552">
        <f t="shared" si="4768"/>
        <v>0</v>
      </c>
      <c r="CM1191" s="552">
        <f t="shared" si="4768"/>
        <v>0</v>
      </c>
      <c r="CN1191" s="552">
        <f t="shared" si="4768"/>
        <v>0</v>
      </c>
      <c r="CO1191" s="552">
        <f t="shared" si="4768"/>
        <v>0</v>
      </c>
      <c r="CP1191" s="552">
        <f t="shared" si="4768"/>
        <v>0</v>
      </c>
      <c r="CQ1191" s="552">
        <f t="shared" si="4768"/>
        <v>0</v>
      </c>
      <c r="CR1191" s="552">
        <f t="shared" si="4768"/>
        <v>0</v>
      </c>
      <c r="CS1191" s="552">
        <f t="shared" si="4768"/>
        <v>0</v>
      </c>
      <c r="CT1191" s="552">
        <f t="shared" si="4768"/>
        <v>0</v>
      </c>
      <c r="CU1191" s="552">
        <f t="shared" si="4768"/>
        <v>0</v>
      </c>
      <c r="CV1191" s="552">
        <f t="shared" si="4768"/>
        <v>0</v>
      </c>
      <c r="CW1191" s="552">
        <f t="shared" si="4768"/>
        <v>0</v>
      </c>
      <c r="CX1191" s="552">
        <f t="shared" si="4768"/>
        <v>0</v>
      </c>
      <c r="CY1191" s="552">
        <f t="shared" si="4768"/>
        <v>0</v>
      </c>
      <c r="CZ1191" s="552">
        <f t="shared" si="4768"/>
        <v>0</v>
      </c>
      <c r="DA1191" s="552">
        <f t="shared" si="4768"/>
        <v>0</v>
      </c>
      <c r="DB1191" s="552">
        <f t="shared" ref="DB1191:EG1191" si="4769">DB237*DB$338</f>
        <v>0</v>
      </c>
      <c r="DC1191" s="552">
        <f t="shared" si="4769"/>
        <v>0</v>
      </c>
      <c r="DD1191" s="552">
        <f t="shared" si="4769"/>
        <v>0</v>
      </c>
      <c r="DE1191" s="552">
        <f t="shared" si="4769"/>
        <v>0</v>
      </c>
      <c r="DF1191" s="552">
        <f t="shared" si="4769"/>
        <v>0</v>
      </c>
      <c r="DG1191" s="552">
        <f t="shared" si="4769"/>
        <v>0</v>
      </c>
      <c r="DH1191" s="552">
        <f t="shared" si="4769"/>
        <v>0</v>
      </c>
      <c r="DI1191" s="552">
        <f t="shared" si="4769"/>
        <v>0</v>
      </c>
      <c r="DJ1191" s="552">
        <f t="shared" si="4769"/>
        <v>0</v>
      </c>
      <c r="DK1191" s="552">
        <f t="shared" si="4769"/>
        <v>0</v>
      </c>
      <c r="DL1191" s="552">
        <f t="shared" si="4769"/>
        <v>0</v>
      </c>
      <c r="DM1191" s="552">
        <f t="shared" si="4769"/>
        <v>0</v>
      </c>
      <c r="DN1191" s="552">
        <f t="shared" si="4769"/>
        <v>0</v>
      </c>
      <c r="DO1191" s="552">
        <f t="shared" si="4769"/>
        <v>0</v>
      </c>
      <c r="DP1191" s="552">
        <f t="shared" si="4769"/>
        <v>0</v>
      </c>
      <c r="DQ1191" s="552">
        <f t="shared" si="4769"/>
        <v>0</v>
      </c>
      <c r="DR1191" s="552">
        <f t="shared" si="4769"/>
        <v>0</v>
      </c>
      <c r="DS1191" s="552">
        <f t="shared" si="4769"/>
        <v>0</v>
      </c>
      <c r="DT1191" s="552">
        <f t="shared" si="4769"/>
        <v>0</v>
      </c>
      <c r="DU1191" s="552">
        <f t="shared" si="4769"/>
        <v>0</v>
      </c>
      <c r="DV1191" s="552">
        <f t="shared" si="4769"/>
        <v>0</v>
      </c>
      <c r="DW1191" s="552">
        <f t="shared" si="4769"/>
        <v>0</v>
      </c>
      <c r="DX1191" s="552">
        <f t="shared" si="4769"/>
        <v>0</v>
      </c>
      <c r="DY1191" s="552">
        <f t="shared" si="4769"/>
        <v>0</v>
      </c>
      <c r="DZ1191" s="552">
        <f t="shared" si="4769"/>
        <v>0</v>
      </c>
      <c r="EA1191" s="552">
        <f t="shared" si="4769"/>
        <v>0</v>
      </c>
      <c r="EB1191" s="552">
        <f t="shared" si="4769"/>
        <v>0</v>
      </c>
      <c r="EC1191" s="552">
        <f t="shared" si="4769"/>
        <v>0</v>
      </c>
      <c r="ED1191" s="552">
        <f t="shared" si="4769"/>
        <v>0</v>
      </c>
      <c r="EE1191" s="552">
        <f t="shared" si="4769"/>
        <v>0</v>
      </c>
      <c r="EF1191" s="552">
        <f t="shared" si="4769"/>
        <v>0</v>
      </c>
      <c r="EG1191" s="552">
        <f t="shared" si="4769"/>
        <v>0</v>
      </c>
      <c r="EH1191" s="552">
        <f t="shared" ref="EH1191:EX1191" si="4770">EH237*EH$338</f>
        <v>0</v>
      </c>
      <c r="EI1191" s="552">
        <f t="shared" si="4770"/>
        <v>0</v>
      </c>
      <c r="EJ1191" s="552">
        <f t="shared" si="4770"/>
        <v>0</v>
      </c>
      <c r="EK1191" s="552">
        <f t="shared" si="4770"/>
        <v>0</v>
      </c>
      <c r="EL1191" s="552">
        <f t="shared" si="4770"/>
        <v>0</v>
      </c>
      <c r="EM1191" s="552">
        <f t="shared" si="4770"/>
        <v>0</v>
      </c>
      <c r="EN1191" s="552">
        <f t="shared" si="4770"/>
        <v>0</v>
      </c>
      <c r="EO1191" s="552">
        <f t="shared" si="4770"/>
        <v>0</v>
      </c>
      <c r="EP1191" s="552">
        <f t="shared" si="4770"/>
        <v>0</v>
      </c>
      <c r="EQ1191" s="552">
        <f t="shared" si="4770"/>
        <v>0</v>
      </c>
      <c r="ER1191" s="552">
        <f t="shared" si="4770"/>
        <v>0</v>
      </c>
      <c r="ES1191" s="552">
        <f t="shared" si="4770"/>
        <v>0</v>
      </c>
      <c r="ET1191" s="552">
        <f t="shared" si="4770"/>
        <v>0</v>
      </c>
      <c r="EU1191" s="552">
        <f t="shared" si="4770"/>
        <v>0</v>
      </c>
      <c r="EV1191" s="552">
        <f t="shared" si="4770"/>
        <v>0</v>
      </c>
      <c r="EW1191" s="552">
        <f t="shared" si="4770"/>
        <v>0</v>
      </c>
      <c r="EX1191" s="552">
        <f t="shared" si="4770"/>
        <v>0</v>
      </c>
      <c r="EY1191" s="799">
        <f t="shared" si="4577"/>
        <v>0</v>
      </c>
      <c r="EZ1191" s="640"/>
      <c r="FA1191" s="640"/>
      <c r="FB1191" s="640"/>
      <c r="FC1191" s="640"/>
      <c r="FD1191" s="640"/>
      <c r="FE1191" s="640"/>
      <c r="FF1191" s="640"/>
      <c r="FG1191" s="640"/>
      <c r="FH1191" s="640"/>
      <c r="FI1191" s="640"/>
      <c r="FJ1191" s="640"/>
      <c r="FK1191" s="640"/>
      <c r="FL1191" s="640"/>
    </row>
    <row r="1192" spans="1:168" x14ac:dyDescent="0.25">
      <c r="A1192" s="1492"/>
      <c r="B1192" s="624">
        <f t="shared" si="4764"/>
        <v>0</v>
      </c>
      <c r="C1192" s="624">
        <f t="shared" si="4764"/>
        <v>0</v>
      </c>
      <c r="D1192" s="624">
        <f t="shared" si="4764"/>
        <v>0</v>
      </c>
      <c r="E1192" s="1158">
        <f t="shared" si="4765"/>
        <v>0</v>
      </c>
      <c r="F1192" s="1158"/>
      <c r="G1192" s="1140"/>
      <c r="H1192" s="1140"/>
      <c r="I1192" s="552"/>
      <c r="J1192" s="552">
        <f t="shared" ref="J1192:AO1192" si="4771">J238*J$338</f>
        <v>0</v>
      </c>
      <c r="K1192" s="552">
        <f t="shared" si="4771"/>
        <v>0</v>
      </c>
      <c r="L1192" s="552">
        <f t="shared" si="4771"/>
        <v>0</v>
      </c>
      <c r="M1192" s="552">
        <f t="shared" si="4771"/>
        <v>0</v>
      </c>
      <c r="N1192" s="552">
        <f t="shared" si="4771"/>
        <v>0</v>
      </c>
      <c r="O1192" s="552">
        <f t="shared" si="4771"/>
        <v>0</v>
      </c>
      <c r="P1192" s="552">
        <f t="shared" si="4771"/>
        <v>0</v>
      </c>
      <c r="Q1192" s="552">
        <f t="shared" si="4771"/>
        <v>0</v>
      </c>
      <c r="R1192" s="552">
        <f t="shared" si="4771"/>
        <v>0</v>
      </c>
      <c r="S1192" s="552">
        <f t="shared" si="4771"/>
        <v>0</v>
      </c>
      <c r="T1192" s="552">
        <f t="shared" si="4771"/>
        <v>0</v>
      </c>
      <c r="U1192" s="552">
        <f t="shared" si="4771"/>
        <v>0</v>
      </c>
      <c r="V1192" s="552">
        <f t="shared" si="4771"/>
        <v>0</v>
      </c>
      <c r="W1192" s="552">
        <f t="shared" si="4771"/>
        <v>0</v>
      </c>
      <c r="X1192" s="552">
        <f t="shared" si="4771"/>
        <v>0</v>
      </c>
      <c r="Y1192" s="552">
        <f t="shared" si="4771"/>
        <v>0</v>
      </c>
      <c r="Z1192" s="552">
        <f t="shared" si="4771"/>
        <v>0</v>
      </c>
      <c r="AA1192" s="552">
        <f t="shared" si="4771"/>
        <v>0</v>
      </c>
      <c r="AB1192" s="552">
        <f t="shared" si="4771"/>
        <v>0</v>
      </c>
      <c r="AC1192" s="552">
        <f t="shared" si="4771"/>
        <v>0</v>
      </c>
      <c r="AD1192" s="552">
        <f t="shared" si="4771"/>
        <v>0</v>
      </c>
      <c r="AE1192" s="552">
        <f t="shared" si="4771"/>
        <v>0</v>
      </c>
      <c r="AF1192" s="552">
        <f t="shared" si="4771"/>
        <v>0</v>
      </c>
      <c r="AG1192" s="552">
        <f t="shared" si="4771"/>
        <v>0</v>
      </c>
      <c r="AH1192" s="552">
        <f t="shared" si="4771"/>
        <v>0</v>
      </c>
      <c r="AI1192" s="552">
        <f t="shared" si="4771"/>
        <v>0</v>
      </c>
      <c r="AJ1192" s="552">
        <f t="shared" si="4771"/>
        <v>0</v>
      </c>
      <c r="AK1192" s="552">
        <f t="shared" si="4771"/>
        <v>0</v>
      </c>
      <c r="AL1192" s="552">
        <f t="shared" si="4771"/>
        <v>0</v>
      </c>
      <c r="AM1192" s="552">
        <f t="shared" si="4771"/>
        <v>0</v>
      </c>
      <c r="AN1192" s="552">
        <f t="shared" si="4771"/>
        <v>0</v>
      </c>
      <c r="AO1192" s="552">
        <f t="shared" si="4771"/>
        <v>0</v>
      </c>
      <c r="AP1192" s="552">
        <f t="shared" ref="AP1192:BU1192" si="4772">AP238*AP$338</f>
        <v>0</v>
      </c>
      <c r="AQ1192" s="552">
        <f t="shared" si="4772"/>
        <v>0</v>
      </c>
      <c r="AR1192" s="552">
        <f t="shared" si="4772"/>
        <v>0</v>
      </c>
      <c r="AS1192" s="552">
        <f t="shared" si="4772"/>
        <v>0</v>
      </c>
      <c r="AT1192" s="552">
        <f t="shared" si="4772"/>
        <v>0</v>
      </c>
      <c r="AU1192" s="552">
        <f t="shared" si="4772"/>
        <v>0</v>
      </c>
      <c r="AV1192" s="552">
        <f t="shared" si="4772"/>
        <v>0</v>
      </c>
      <c r="AW1192" s="552">
        <f t="shared" si="4772"/>
        <v>0</v>
      </c>
      <c r="AX1192" s="552">
        <f t="shared" si="4772"/>
        <v>0</v>
      </c>
      <c r="AY1192" s="552">
        <f t="shared" si="4772"/>
        <v>0</v>
      </c>
      <c r="AZ1192" s="552">
        <f t="shared" si="4772"/>
        <v>0</v>
      </c>
      <c r="BA1192" s="552">
        <f t="shared" si="4772"/>
        <v>0</v>
      </c>
      <c r="BB1192" s="552">
        <f t="shared" si="4772"/>
        <v>0</v>
      </c>
      <c r="BC1192" s="552">
        <f t="shared" si="4772"/>
        <v>0</v>
      </c>
      <c r="BD1192" s="552">
        <f t="shared" si="4772"/>
        <v>0</v>
      </c>
      <c r="BE1192" s="552">
        <f t="shared" si="4772"/>
        <v>0</v>
      </c>
      <c r="BF1192" s="552">
        <f t="shared" si="4772"/>
        <v>0</v>
      </c>
      <c r="BG1192" s="552">
        <f t="shared" si="4772"/>
        <v>0</v>
      </c>
      <c r="BH1192" s="552">
        <f t="shared" si="4772"/>
        <v>0</v>
      </c>
      <c r="BI1192" s="552">
        <f t="shared" si="4772"/>
        <v>0</v>
      </c>
      <c r="BJ1192" s="552">
        <f t="shared" si="4772"/>
        <v>0</v>
      </c>
      <c r="BK1192" s="552">
        <f t="shared" si="4772"/>
        <v>0</v>
      </c>
      <c r="BL1192" s="552">
        <f t="shared" si="4772"/>
        <v>0</v>
      </c>
      <c r="BM1192" s="552">
        <f t="shared" si="4772"/>
        <v>0</v>
      </c>
      <c r="BN1192" s="552">
        <f t="shared" si="4772"/>
        <v>0</v>
      </c>
      <c r="BO1192" s="552">
        <f t="shared" si="4772"/>
        <v>0</v>
      </c>
      <c r="BP1192" s="552">
        <f t="shared" si="4772"/>
        <v>0</v>
      </c>
      <c r="BQ1192" s="552">
        <f t="shared" si="4772"/>
        <v>0</v>
      </c>
      <c r="BR1192" s="552">
        <f t="shared" si="4772"/>
        <v>0</v>
      </c>
      <c r="BS1192" s="552">
        <f t="shared" si="4772"/>
        <v>0</v>
      </c>
      <c r="BT1192" s="552">
        <f t="shared" si="4772"/>
        <v>0</v>
      </c>
      <c r="BU1192" s="552">
        <f t="shared" si="4772"/>
        <v>0</v>
      </c>
      <c r="BV1192" s="552">
        <f t="shared" ref="BV1192:DA1192" si="4773">BV238*BV$338</f>
        <v>0</v>
      </c>
      <c r="BW1192" s="552">
        <f t="shared" si="4773"/>
        <v>0</v>
      </c>
      <c r="BX1192" s="552">
        <f t="shared" si="4773"/>
        <v>0</v>
      </c>
      <c r="BY1192" s="552">
        <f t="shared" si="4773"/>
        <v>0</v>
      </c>
      <c r="BZ1192" s="552">
        <f t="shared" si="4773"/>
        <v>0</v>
      </c>
      <c r="CA1192" s="552">
        <f t="shared" si="4773"/>
        <v>0</v>
      </c>
      <c r="CB1192" s="552">
        <f t="shared" si="4773"/>
        <v>0</v>
      </c>
      <c r="CC1192" s="552">
        <f t="shared" si="4773"/>
        <v>0</v>
      </c>
      <c r="CD1192" s="552">
        <f t="shared" si="4773"/>
        <v>0</v>
      </c>
      <c r="CE1192" s="552">
        <f t="shared" si="4773"/>
        <v>0</v>
      </c>
      <c r="CF1192" s="552">
        <f t="shared" si="4773"/>
        <v>0</v>
      </c>
      <c r="CG1192" s="552">
        <f t="shared" si="4773"/>
        <v>0</v>
      </c>
      <c r="CH1192" s="552">
        <f t="shared" si="4773"/>
        <v>0</v>
      </c>
      <c r="CI1192" s="552">
        <f t="shared" si="4773"/>
        <v>0</v>
      </c>
      <c r="CJ1192" s="552">
        <f t="shared" si="4773"/>
        <v>0</v>
      </c>
      <c r="CK1192" s="552">
        <f t="shared" si="4773"/>
        <v>0</v>
      </c>
      <c r="CL1192" s="552">
        <f t="shared" si="4773"/>
        <v>0</v>
      </c>
      <c r="CM1192" s="552">
        <f t="shared" si="4773"/>
        <v>0</v>
      </c>
      <c r="CN1192" s="552">
        <f t="shared" si="4773"/>
        <v>0</v>
      </c>
      <c r="CO1192" s="552">
        <f t="shared" si="4773"/>
        <v>0</v>
      </c>
      <c r="CP1192" s="552">
        <f t="shared" si="4773"/>
        <v>0</v>
      </c>
      <c r="CQ1192" s="552">
        <f t="shared" si="4773"/>
        <v>0</v>
      </c>
      <c r="CR1192" s="552">
        <f t="shared" si="4773"/>
        <v>0</v>
      </c>
      <c r="CS1192" s="552">
        <f t="shared" si="4773"/>
        <v>0</v>
      </c>
      <c r="CT1192" s="552">
        <f t="shared" si="4773"/>
        <v>0</v>
      </c>
      <c r="CU1192" s="552">
        <f t="shared" si="4773"/>
        <v>0</v>
      </c>
      <c r="CV1192" s="552">
        <f t="shared" si="4773"/>
        <v>0</v>
      </c>
      <c r="CW1192" s="552">
        <f t="shared" si="4773"/>
        <v>0</v>
      </c>
      <c r="CX1192" s="552">
        <f t="shared" si="4773"/>
        <v>0</v>
      </c>
      <c r="CY1192" s="552">
        <f t="shared" si="4773"/>
        <v>0</v>
      </c>
      <c r="CZ1192" s="552">
        <f t="shared" si="4773"/>
        <v>0</v>
      </c>
      <c r="DA1192" s="552">
        <f t="shared" si="4773"/>
        <v>0</v>
      </c>
      <c r="DB1192" s="552">
        <f t="shared" ref="DB1192:EG1192" si="4774">DB238*DB$338</f>
        <v>0</v>
      </c>
      <c r="DC1192" s="552">
        <f t="shared" si="4774"/>
        <v>0</v>
      </c>
      <c r="DD1192" s="552">
        <f t="shared" si="4774"/>
        <v>0</v>
      </c>
      <c r="DE1192" s="552">
        <f t="shared" si="4774"/>
        <v>0</v>
      </c>
      <c r="DF1192" s="552">
        <f t="shared" si="4774"/>
        <v>0</v>
      </c>
      <c r="DG1192" s="552">
        <f t="shared" si="4774"/>
        <v>0</v>
      </c>
      <c r="DH1192" s="552">
        <f t="shared" si="4774"/>
        <v>0</v>
      </c>
      <c r="DI1192" s="552">
        <f t="shared" si="4774"/>
        <v>0</v>
      </c>
      <c r="DJ1192" s="552">
        <f t="shared" si="4774"/>
        <v>0</v>
      </c>
      <c r="DK1192" s="552">
        <f t="shared" si="4774"/>
        <v>0</v>
      </c>
      <c r="DL1192" s="552">
        <f t="shared" si="4774"/>
        <v>0</v>
      </c>
      <c r="DM1192" s="552">
        <f t="shared" si="4774"/>
        <v>0</v>
      </c>
      <c r="DN1192" s="552">
        <f t="shared" si="4774"/>
        <v>0</v>
      </c>
      <c r="DO1192" s="552">
        <f t="shared" si="4774"/>
        <v>0</v>
      </c>
      <c r="DP1192" s="552">
        <f t="shared" si="4774"/>
        <v>0</v>
      </c>
      <c r="DQ1192" s="552">
        <f t="shared" si="4774"/>
        <v>0</v>
      </c>
      <c r="DR1192" s="552">
        <f t="shared" si="4774"/>
        <v>0</v>
      </c>
      <c r="DS1192" s="552">
        <f t="shared" si="4774"/>
        <v>0</v>
      </c>
      <c r="DT1192" s="552">
        <f t="shared" si="4774"/>
        <v>0</v>
      </c>
      <c r="DU1192" s="552">
        <f t="shared" si="4774"/>
        <v>0</v>
      </c>
      <c r="DV1192" s="552">
        <f t="shared" si="4774"/>
        <v>0</v>
      </c>
      <c r="DW1192" s="552">
        <f t="shared" si="4774"/>
        <v>0</v>
      </c>
      <c r="DX1192" s="552">
        <f t="shared" si="4774"/>
        <v>0</v>
      </c>
      <c r="DY1192" s="552">
        <f t="shared" si="4774"/>
        <v>0</v>
      </c>
      <c r="DZ1192" s="552">
        <f t="shared" si="4774"/>
        <v>0</v>
      </c>
      <c r="EA1192" s="552">
        <f t="shared" si="4774"/>
        <v>0</v>
      </c>
      <c r="EB1192" s="552">
        <f t="shared" si="4774"/>
        <v>0</v>
      </c>
      <c r="EC1192" s="552">
        <f t="shared" si="4774"/>
        <v>0</v>
      </c>
      <c r="ED1192" s="552">
        <f t="shared" si="4774"/>
        <v>0</v>
      </c>
      <c r="EE1192" s="552">
        <f t="shared" si="4774"/>
        <v>0</v>
      </c>
      <c r="EF1192" s="552">
        <f t="shared" si="4774"/>
        <v>0</v>
      </c>
      <c r="EG1192" s="552">
        <f t="shared" si="4774"/>
        <v>0</v>
      </c>
      <c r="EH1192" s="552">
        <f t="shared" ref="EH1192:EX1192" si="4775">EH238*EH$338</f>
        <v>0</v>
      </c>
      <c r="EI1192" s="552">
        <f t="shared" si="4775"/>
        <v>0</v>
      </c>
      <c r="EJ1192" s="552">
        <f t="shared" si="4775"/>
        <v>0</v>
      </c>
      <c r="EK1192" s="552">
        <f t="shared" si="4775"/>
        <v>0</v>
      </c>
      <c r="EL1192" s="552">
        <f t="shared" si="4775"/>
        <v>0</v>
      </c>
      <c r="EM1192" s="552">
        <f t="shared" si="4775"/>
        <v>0</v>
      </c>
      <c r="EN1192" s="552">
        <f t="shared" si="4775"/>
        <v>0</v>
      </c>
      <c r="EO1192" s="552">
        <f t="shared" si="4775"/>
        <v>0</v>
      </c>
      <c r="EP1192" s="552">
        <f t="shared" si="4775"/>
        <v>0</v>
      </c>
      <c r="EQ1192" s="552">
        <f t="shared" si="4775"/>
        <v>0</v>
      </c>
      <c r="ER1192" s="552">
        <f t="shared" si="4775"/>
        <v>0</v>
      </c>
      <c r="ES1192" s="552">
        <f t="shared" si="4775"/>
        <v>0</v>
      </c>
      <c r="ET1192" s="552">
        <f t="shared" si="4775"/>
        <v>0</v>
      </c>
      <c r="EU1192" s="552">
        <f t="shared" si="4775"/>
        <v>0</v>
      </c>
      <c r="EV1192" s="552">
        <f t="shared" si="4775"/>
        <v>0</v>
      </c>
      <c r="EW1192" s="552">
        <f t="shared" si="4775"/>
        <v>0</v>
      </c>
      <c r="EX1192" s="552">
        <f t="shared" si="4775"/>
        <v>0</v>
      </c>
      <c r="EY1192" s="799">
        <f t="shared" si="4577"/>
        <v>0</v>
      </c>
      <c r="EZ1192" s="640"/>
      <c r="FA1192" s="640"/>
      <c r="FB1192" s="640"/>
      <c r="FC1192" s="640"/>
      <c r="FD1192" s="640"/>
      <c r="FE1192" s="640"/>
      <c r="FF1192" s="640"/>
      <c r="FG1192" s="640"/>
      <c r="FH1192" s="640"/>
      <c r="FI1192" s="640"/>
      <c r="FJ1192" s="640"/>
      <c r="FK1192" s="640"/>
      <c r="FL1192" s="640"/>
    </row>
    <row r="1193" spans="1:168" x14ac:dyDescent="0.25">
      <c r="A1193" s="1492"/>
      <c r="B1193" s="624">
        <f t="shared" si="4764"/>
        <v>0</v>
      </c>
      <c r="C1193" s="624">
        <f t="shared" si="4764"/>
        <v>0</v>
      </c>
      <c r="D1193" s="624">
        <f t="shared" si="4764"/>
        <v>0</v>
      </c>
      <c r="E1193" s="1158">
        <f t="shared" si="4765"/>
        <v>0</v>
      </c>
      <c r="F1193" s="1158"/>
      <c r="G1193" s="1140"/>
      <c r="H1193" s="1140"/>
      <c r="I1193" s="552"/>
      <c r="J1193" s="552">
        <f t="shared" ref="J1193:AO1193" si="4776">J239*J$338</f>
        <v>0</v>
      </c>
      <c r="K1193" s="552">
        <f t="shared" si="4776"/>
        <v>0</v>
      </c>
      <c r="L1193" s="552">
        <f t="shared" si="4776"/>
        <v>0</v>
      </c>
      <c r="M1193" s="552">
        <f t="shared" si="4776"/>
        <v>0</v>
      </c>
      <c r="N1193" s="552">
        <f t="shared" si="4776"/>
        <v>0</v>
      </c>
      <c r="O1193" s="552">
        <f t="shared" si="4776"/>
        <v>0</v>
      </c>
      <c r="P1193" s="552">
        <f t="shared" si="4776"/>
        <v>0</v>
      </c>
      <c r="Q1193" s="552">
        <f t="shared" si="4776"/>
        <v>0</v>
      </c>
      <c r="R1193" s="552">
        <f t="shared" si="4776"/>
        <v>0</v>
      </c>
      <c r="S1193" s="552">
        <f t="shared" si="4776"/>
        <v>0</v>
      </c>
      <c r="T1193" s="552">
        <f t="shared" si="4776"/>
        <v>0</v>
      </c>
      <c r="U1193" s="552">
        <f t="shared" si="4776"/>
        <v>0</v>
      </c>
      <c r="V1193" s="552">
        <f t="shared" si="4776"/>
        <v>0</v>
      </c>
      <c r="W1193" s="552">
        <f t="shared" si="4776"/>
        <v>0</v>
      </c>
      <c r="X1193" s="552">
        <f t="shared" si="4776"/>
        <v>0</v>
      </c>
      <c r="Y1193" s="552">
        <f t="shared" si="4776"/>
        <v>0</v>
      </c>
      <c r="Z1193" s="552">
        <f t="shared" si="4776"/>
        <v>0</v>
      </c>
      <c r="AA1193" s="552">
        <f t="shared" si="4776"/>
        <v>0</v>
      </c>
      <c r="AB1193" s="552">
        <f t="shared" si="4776"/>
        <v>0</v>
      </c>
      <c r="AC1193" s="552">
        <f t="shared" si="4776"/>
        <v>0</v>
      </c>
      <c r="AD1193" s="552">
        <f t="shared" si="4776"/>
        <v>0</v>
      </c>
      <c r="AE1193" s="552">
        <f t="shared" si="4776"/>
        <v>0</v>
      </c>
      <c r="AF1193" s="552">
        <f t="shared" si="4776"/>
        <v>0</v>
      </c>
      <c r="AG1193" s="552">
        <f t="shared" si="4776"/>
        <v>0</v>
      </c>
      <c r="AH1193" s="552">
        <f t="shared" si="4776"/>
        <v>0</v>
      </c>
      <c r="AI1193" s="552">
        <f t="shared" si="4776"/>
        <v>0</v>
      </c>
      <c r="AJ1193" s="552">
        <f t="shared" si="4776"/>
        <v>0</v>
      </c>
      <c r="AK1193" s="552">
        <f t="shared" si="4776"/>
        <v>0</v>
      </c>
      <c r="AL1193" s="552">
        <f t="shared" si="4776"/>
        <v>0</v>
      </c>
      <c r="AM1193" s="552">
        <f t="shared" si="4776"/>
        <v>0</v>
      </c>
      <c r="AN1193" s="552">
        <f t="shared" si="4776"/>
        <v>0</v>
      </c>
      <c r="AO1193" s="552">
        <f t="shared" si="4776"/>
        <v>0</v>
      </c>
      <c r="AP1193" s="552">
        <f t="shared" ref="AP1193:BU1193" si="4777">AP239*AP$338</f>
        <v>0</v>
      </c>
      <c r="AQ1193" s="552">
        <f t="shared" si="4777"/>
        <v>0</v>
      </c>
      <c r="AR1193" s="552">
        <f t="shared" si="4777"/>
        <v>0</v>
      </c>
      <c r="AS1193" s="552">
        <f t="shared" si="4777"/>
        <v>0</v>
      </c>
      <c r="AT1193" s="552">
        <f t="shared" si="4777"/>
        <v>0</v>
      </c>
      <c r="AU1193" s="552">
        <f t="shared" si="4777"/>
        <v>0</v>
      </c>
      <c r="AV1193" s="552">
        <f t="shared" si="4777"/>
        <v>0</v>
      </c>
      <c r="AW1193" s="552">
        <f t="shared" si="4777"/>
        <v>0</v>
      </c>
      <c r="AX1193" s="552">
        <f t="shared" si="4777"/>
        <v>0</v>
      </c>
      <c r="AY1193" s="552">
        <f t="shared" si="4777"/>
        <v>0</v>
      </c>
      <c r="AZ1193" s="552">
        <f t="shared" si="4777"/>
        <v>0</v>
      </c>
      <c r="BA1193" s="552">
        <f t="shared" si="4777"/>
        <v>0</v>
      </c>
      <c r="BB1193" s="552">
        <f t="shared" si="4777"/>
        <v>0</v>
      </c>
      <c r="BC1193" s="552">
        <f t="shared" si="4777"/>
        <v>0</v>
      </c>
      <c r="BD1193" s="552">
        <f t="shared" si="4777"/>
        <v>0</v>
      </c>
      <c r="BE1193" s="552">
        <f t="shared" si="4777"/>
        <v>0</v>
      </c>
      <c r="BF1193" s="552">
        <f t="shared" si="4777"/>
        <v>0</v>
      </c>
      <c r="BG1193" s="552">
        <f t="shared" si="4777"/>
        <v>0</v>
      </c>
      <c r="BH1193" s="552">
        <f t="shared" si="4777"/>
        <v>0</v>
      </c>
      <c r="BI1193" s="552">
        <f t="shared" si="4777"/>
        <v>0</v>
      </c>
      <c r="BJ1193" s="552">
        <f t="shared" si="4777"/>
        <v>0</v>
      </c>
      <c r="BK1193" s="552">
        <f t="shared" si="4777"/>
        <v>0</v>
      </c>
      <c r="BL1193" s="552">
        <f t="shared" si="4777"/>
        <v>0</v>
      </c>
      <c r="BM1193" s="552">
        <f t="shared" si="4777"/>
        <v>0</v>
      </c>
      <c r="BN1193" s="552">
        <f t="shared" si="4777"/>
        <v>0</v>
      </c>
      <c r="BO1193" s="552">
        <f t="shared" si="4777"/>
        <v>0</v>
      </c>
      <c r="BP1193" s="552">
        <f t="shared" si="4777"/>
        <v>0</v>
      </c>
      <c r="BQ1193" s="552">
        <f t="shared" si="4777"/>
        <v>0</v>
      </c>
      <c r="BR1193" s="552">
        <f t="shared" si="4777"/>
        <v>0</v>
      </c>
      <c r="BS1193" s="552">
        <f t="shared" si="4777"/>
        <v>0</v>
      </c>
      <c r="BT1193" s="552">
        <f t="shared" si="4777"/>
        <v>0</v>
      </c>
      <c r="BU1193" s="552">
        <f t="shared" si="4777"/>
        <v>0</v>
      </c>
      <c r="BV1193" s="552">
        <f t="shared" ref="BV1193:DA1193" si="4778">BV239*BV$338</f>
        <v>0</v>
      </c>
      <c r="BW1193" s="552">
        <f t="shared" si="4778"/>
        <v>0</v>
      </c>
      <c r="BX1193" s="552">
        <f t="shared" si="4778"/>
        <v>0</v>
      </c>
      <c r="BY1193" s="552">
        <f t="shared" si="4778"/>
        <v>0</v>
      </c>
      <c r="BZ1193" s="552">
        <f t="shared" si="4778"/>
        <v>0</v>
      </c>
      <c r="CA1193" s="552">
        <f t="shared" si="4778"/>
        <v>0</v>
      </c>
      <c r="CB1193" s="552">
        <f t="shared" si="4778"/>
        <v>0</v>
      </c>
      <c r="CC1193" s="552">
        <f t="shared" si="4778"/>
        <v>0</v>
      </c>
      <c r="CD1193" s="552">
        <f t="shared" si="4778"/>
        <v>0</v>
      </c>
      <c r="CE1193" s="552">
        <f t="shared" si="4778"/>
        <v>0</v>
      </c>
      <c r="CF1193" s="552">
        <f t="shared" si="4778"/>
        <v>0</v>
      </c>
      <c r="CG1193" s="552">
        <f t="shared" si="4778"/>
        <v>0</v>
      </c>
      <c r="CH1193" s="552">
        <f t="shared" si="4778"/>
        <v>0</v>
      </c>
      <c r="CI1193" s="552">
        <f t="shared" si="4778"/>
        <v>0</v>
      </c>
      <c r="CJ1193" s="552">
        <f t="shared" si="4778"/>
        <v>0</v>
      </c>
      <c r="CK1193" s="552">
        <f t="shared" si="4778"/>
        <v>0</v>
      </c>
      <c r="CL1193" s="552">
        <f t="shared" si="4778"/>
        <v>0</v>
      </c>
      <c r="CM1193" s="552">
        <f t="shared" si="4778"/>
        <v>0</v>
      </c>
      <c r="CN1193" s="552">
        <f t="shared" si="4778"/>
        <v>0</v>
      </c>
      <c r="CO1193" s="552">
        <f t="shared" si="4778"/>
        <v>0</v>
      </c>
      <c r="CP1193" s="552">
        <f t="shared" si="4778"/>
        <v>0</v>
      </c>
      <c r="CQ1193" s="552">
        <f t="shared" si="4778"/>
        <v>0</v>
      </c>
      <c r="CR1193" s="552">
        <f t="shared" si="4778"/>
        <v>0</v>
      </c>
      <c r="CS1193" s="552">
        <f t="shared" si="4778"/>
        <v>0</v>
      </c>
      <c r="CT1193" s="552">
        <f t="shared" si="4778"/>
        <v>0</v>
      </c>
      <c r="CU1193" s="552">
        <f t="shared" si="4778"/>
        <v>0</v>
      </c>
      <c r="CV1193" s="552">
        <f t="shared" si="4778"/>
        <v>0</v>
      </c>
      <c r="CW1193" s="552">
        <f t="shared" si="4778"/>
        <v>0</v>
      </c>
      <c r="CX1193" s="552">
        <f t="shared" si="4778"/>
        <v>0</v>
      </c>
      <c r="CY1193" s="552">
        <f t="shared" si="4778"/>
        <v>0</v>
      </c>
      <c r="CZ1193" s="552">
        <f t="shared" si="4778"/>
        <v>0</v>
      </c>
      <c r="DA1193" s="552">
        <f t="shared" si="4778"/>
        <v>0</v>
      </c>
      <c r="DB1193" s="552">
        <f t="shared" ref="DB1193:EG1193" si="4779">DB239*DB$338</f>
        <v>0</v>
      </c>
      <c r="DC1193" s="552">
        <f t="shared" si="4779"/>
        <v>0</v>
      </c>
      <c r="DD1193" s="552">
        <f t="shared" si="4779"/>
        <v>0</v>
      </c>
      <c r="DE1193" s="552">
        <f t="shared" si="4779"/>
        <v>0</v>
      </c>
      <c r="DF1193" s="552">
        <f t="shared" si="4779"/>
        <v>0</v>
      </c>
      <c r="DG1193" s="552">
        <f t="shared" si="4779"/>
        <v>0</v>
      </c>
      <c r="DH1193" s="552">
        <f t="shared" si="4779"/>
        <v>0</v>
      </c>
      <c r="DI1193" s="552">
        <f t="shared" si="4779"/>
        <v>0</v>
      </c>
      <c r="DJ1193" s="552">
        <f t="shared" si="4779"/>
        <v>0</v>
      </c>
      <c r="DK1193" s="552">
        <f t="shared" si="4779"/>
        <v>0</v>
      </c>
      <c r="DL1193" s="552">
        <f t="shared" si="4779"/>
        <v>0</v>
      </c>
      <c r="DM1193" s="552">
        <f t="shared" si="4779"/>
        <v>0</v>
      </c>
      <c r="DN1193" s="552">
        <f t="shared" si="4779"/>
        <v>0</v>
      </c>
      <c r="DO1193" s="552">
        <f t="shared" si="4779"/>
        <v>0</v>
      </c>
      <c r="DP1193" s="552">
        <f t="shared" si="4779"/>
        <v>0</v>
      </c>
      <c r="DQ1193" s="552">
        <f t="shared" si="4779"/>
        <v>0</v>
      </c>
      <c r="DR1193" s="552">
        <f t="shared" si="4779"/>
        <v>0</v>
      </c>
      <c r="DS1193" s="552">
        <f t="shared" si="4779"/>
        <v>0</v>
      </c>
      <c r="DT1193" s="552">
        <f t="shared" si="4779"/>
        <v>0</v>
      </c>
      <c r="DU1193" s="552">
        <f t="shared" si="4779"/>
        <v>0</v>
      </c>
      <c r="DV1193" s="552">
        <f t="shared" si="4779"/>
        <v>0</v>
      </c>
      <c r="DW1193" s="552">
        <f t="shared" si="4779"/>
        <v>0</v>
      </c>
      <c r="DX1193" s="552">
        <f t="shared" si="4779"/>
        <v>0</v>
      </c>
      <c r="DY1193" s="552">
        <f t="shared" si="4779"/>
        <v>0</v>
      </c>
      <c r="DZ1193" s="552">
        <f t="shared" si="4779"/>
        <v>0</v>
      </c>
      <c r="EA1193" s="552">
        <f t="shared" si="4779"/>
        <v>0</v>
      </c>
      <c r="EB1193" s="552">
        <f t="shared" si="4779"/>
        <v>0</v>
      </c>
      <c r="EC1193" s="552">
        <f t="shared" si="4779"/>
        <v>0</v>
      </c>
      <c r="ED1193" s="552">
        <f t="shared" si="4779"/>
        <v>0</v>
      </c>
      <c r="EE1193" s="552">
        <f t="shared" si="4779"/>
        <v>0</v>
      </c>
      <c r="EF1193" s="552">
        <f t="shared" si="4779"/>
        <v>0</v>
      </c>
      <c r="EG1193" s="552">
        <f t="shared" si="4779"/>
        <v>0</v>
      </c>
      <c r="EH1193" s="552">
        <f t="shared" ref="EH1193:EX1193" si="4780">EH239*EH$338</f>
        <v>0</v>
      </c>
      <c r="EI1193" s="552">
        <f t="shared" si="4780"/>
        <v>0</v>
      </c>
      <c r="EJ1193" s="552">
        <f t="shared" si="4780"/>
        <v>0</v>
      </c>
      <c r="EK1193" s="552">
        <f t="shared" si="4780"/>
        <v>0</v>
      </c>
      <c r="EL1193" s="552">
        <f t="shared" si="4780"/>
        <v>0</v>
      </c>
      <c r="EM1193" s="552">
        <f t="shared" si="4780"/>
        <v>0</v>
      </c>
      <c r="EN1193" s="552">
        <f t="shared" si="4780"/>
        <v>0</v>
      </c>
      <c r="EO1193" s="552">
        <f t="shared" si="4780"/>
        <v>0</v>
      </c>
      <c r="EP1193" s="552">
        <f t="shared" si="4780"/>
        <v>0</v>
      </c>
      <c r="EQ1193" s="552">
        <f t="shared" si="4780"/>
        <v>0</v>
      </c>
      <c r="ER1193" s="552">
        <f t="shared" si="4780"/>
        <v>0</v>
      </c>
      <c r="ES1193" s="552">
        <f t="shared" si="4780"/>
        <v>0</v>
      </c>
      <c r="ET1193" s="552">
        <f t="shared" si="4780"/>
        <v>0</v>
      </c>
      <c r="EU1193" s="552">
        <f t="shared" si="4780"/>
        <v>0</v>
      </c>
      <c r="EV1193" s="552">
        <f t="shared" si="4780"/>
        <v>0</v>
      </c>
      <c r="EW1193" s="552">
        <f t="shared" si="4780"/>
        <v>0</v>
      </c>
      <c r="EX1193" s="552">
        <f t="shared" si="4780"/>
        <v>0</v>
      </c>
      <c r="EY1193" s="799">
        <f t="shared" si="4577"/>
        <v>0</v>
      </c>
      <c r="EZ1193" s="640"/>
      <c r="FA1193" s="640"/>
      <c r="FB1193" s="640"/>
      <c r="FC1193" s="640"/>
      <c r="FD1193" s="640"/>
      <c r="FE1193" s="640"/>
      <c r="FF1193" s="640"/>
      <c r="FG1193" s="640"/>
      <c r="FH1193" s="640"/>
      <c r="FI1193" s="640"/>
      <c r="FJ1193" s="640"/>
      <c r="FK1193" s="640"/>
      <c r="FL1193" s="640"/>
    </row>
    <row r="1194" spans="1:168" x14ac:dyDescent="0.25">
      <c r="A1194" s="1492"/>
      <c r="B1194" s="624">
        <f t="shared" si="4764"/>
        <v>0</v>
      </c>
      <c r="C1194" s="624">
        <f t="shared" si="4764"/>
        <v>0</v>
      </c>
      <c r="D1194" s="624">
        <f t="shared" si="4764"/>
        <v>0</v>
      </c>
      <c r="E1194" s="1158">
        <f t="shared" si="4765"/>
        <v>0</v>
      </c>
      <c r="F1194" s="1158"/>
      <c r="G1194" s="1140"/>
      <c r="H1194" s="1140"/>
      <c r="I1194" s="552"/>
      <c r="J1194" s="552">
        <f t="shared" ref="J1194:AO1194" si="4781">J240*J$338</f>
        <v>0</v>
      </c>
      <c r="K1194" s="552">
        <f t="shared" si="4781"/>
        <v>0</v>
      </c>
      <c r="L1194" s="552">
        <f t="shared" si="4781"/>
        <v>0</v>
      </c>
      <c r="M1194" s="552">
        <f t="shared" si="4781"/>
        <v>0</v>
      </c>
      <c r="N1194" s="552">
        <f t="shared" si="4781"/>
        <v>0</v>
      </c>
      <c r="O1194" s="552">
        <f t="shared" si="4781"/>
        <v>0</v>
      </c>
      <c r="P1194" s="552">
        <f t="shared" si="4781"/>
        <v>0</v>
      </c>
      <c r="Q1194" s="552">
        <f t="shared" si="4781"/>
        <v>0</v>
      </c>
      <c r="R1194" s="552">
        <f t="shared" si="4781"/>
        <v>0</v>
      </c>
      <c r="S1194" s="552">
        <f t="shared" si="4781"/>
        <v>0</v>
      </c>
      <c r="T1194" s="552">
        <f t="shared" si="4781"/>
        <v>0</v>
      </c>
      <c r="U1194" s="552">
        <f t="shared" si="4781"/>
        <v>0</v>
      </c>
      <c r="V1194" s="552">
        <f t="shared" si="4781"/>
        <v>0</v>
      </c>
      <c r="W1194" s="552">
        <f t="shared" si="4781"/>
        <v>0</v>
      </c>
      <c r="X1194" s="552">
        <f t="shared" si="4781"/>
        <v>0</v>
      </c>
      <c r="Y1194" s="552">
        <f t="shared" si="4781"/>
        <v>0</v>
      </c>
      <c r="Z1194" s="552">
        <f t="shared" si="4781"/>
        <v>0</v>
      </c>
      <c r="AA1194" s="552">
        <f t="shared" si="4781"/>
        <v>0</v>
      </c>
      <c r="AB1194" s="552">
        <f t="shared" si="4781"/>
        <v>0</v>
      </c>
      <c r="AC1194" s="552">
        <f t="shared" si="4781"/>
        <v>0</v>
      </c>
      <c r="AD1194" s="552">
        <f t="shared" si="4781"/>
        <v>0</v>
      </c>
      <c r="AE1194" s="552">
        <f t="shared" si="4781"/>
        <v>0</v>
      </c>
      <c r="AF1194" s="552">
        <f t="shared" si="4781"/>
        <v>0</v>
      </c>
      <c r="AG1194" s="552">
        <f t="shared" si="4781"/>
        <v>0</v>
      </c>
      <c r="AH1194" s="552">
        <f t="shared" si="4781"/>
        <v>0</v>
      </c>
      <c r="AI1194" s="552">
        <f t="shared" si="4781"/>
        <v>0</v>
      </c>
      <c r="AJ1194" s="552">
        <f t="shared" si="4781"/>
        <v>0</v>
      </c>
      <c r="AK1194" s="552">
        <f t="shared" si="4781"/>
        <v>0</v>
      </c>
      <c r="AL1194" s="552">
        <f t="shared" si="4781"/>
        <v>0</v>
      </c>
      <c r="AM1194" s="552">
        <f t="shared" si="4781"/>
        <v>0</v>
      </c>
      <c r="AN1194" s="552">
        <f t="shared" si="4781"/>
        <v>0</v>
      </c>
      <c r="AO1194" s="552">
        <f t="shared" si="4781"/>
        <v>0</v>
      </c>
      <c r="AP1194" s="552">
        <f t="shared" ref="AP1194:BU1194" si="4782">AP240*AP$338</f>
        <v>0</v>
      </c>
      <c r="AQ1194" s="552">
        <f t="shared" si="4782"/>
        <v>0</v>
      </c>
      <c r="AR1194" s="552">
        <f t="shared" si="4782"/>
        <v>0</v>
      </c>
      <c r="AS1194" s="552">
        <f t="shared" si="4782"/>
        <v>0</v>
      </c>
      <c r="AT1194" s="552">
        <f t="shared" si="4782"/>
        <v>0</v>
      </c>
      <c r="AU1194" s="552">
        <f t="shared" si="4782"/>
        <v>0</v>
      </c>
      <c r="AV1194" s="552">
        <f t="shared" si="4782"/>
        <v>0</v>
      </c>
      <c r="AW1194" s="552">
        <f t="shared" si="4782"/>
        <v>0</v>
      </c>
      <c r="AX1194" s="552">
        <f t="shared" si="4782"/>
        <v>0</v>
      </c>
      <c r="AY1194" s="552">
        <f t="shared" si="4782"/>
        <v>0</v>
      </c>
      <c r="AZ1194" s="552">
        <f t="shared" si="4782"/>
        <v>0</v>
      </c>
      <c r="BA1194" s="552">
        <f t="shared" si="4782"/>
        <v>0</v>
      </c>
      <c r="BB1194" s="552">
        <f t="shared" si="4782"/>
        <v>0</v>
      </c>
      <c r="BC1194" s="552">
        <f t="shared" si="4782"/>
        <v>0</v>
      </c>
      <c r="BD1194" s="552">
        <f t="shared" si="4782"/>
        <v>0</v>
      </c>
      <c r="BE1194" s="552">
        <f t="shared" si="4782"/>
        <v>0</v>
      </c>
      <c r="BF1194" s="552">
        <f t="shared" si="4782"/>
        <v>0</v>
      </c>
      <c r="BG1194" s="552">
        <f t="shared" si="4782"/>
        <v>0</v>
      </c>
      <c r="BH1194" s="552">
        <f t="shared" si="4782"/>
        <v>0</v>
      </c>
      <c r="BI1194" s="552">
        <f t="shared" si="4782"/>
        <v>0</v>
      </c>
      <c r="BJ1194" s="552">
        <f t="shared" si="4782"/>
        <v>0</v>
      </c>
      <c r="BK1194" s="552">
        <f t="shared" si="4782"/>
        <v>0</v>
      </c>
      <c r="BL1194" s="552">
        <f t="shared" si="4782"/>
        <v>0</v>
      </c>
      <c r="BM1194" s="552">
        <f t="shared" si="4782"/>
        <v>0</v>
      </c>
      <c r="BN1194" s="552">
        <f t="shared" si="4782"/>
        <v>0</v>
      </c>
      <c r="BO1194" s="552">
        <f t="shared" si="4782"/>
        <v>0</v>
      </c>
      <c r="BP1194" s="552">
        <f t="shared" si="4782"/>
        <v>0</v>
      </c>
      <c r="BQ1194" s="552">
        <f t="shared" si="4782"/>
        <v>0</v>
      </c>
      <c r="BR1194" s="552">
        <f t="shared" si="4782"/>
        <v>0</v>
      </c>
      <c r="BS1194" s="552">
        <f t="shared" si="4782"/>
        <v>0</v>
      </c>
      <c r="BT1194" s="552">
        <f t="shared" si="4782"/>
        <v>0</v>
      </c>
      <c r="BU1194" s="552">
        <f t="shared" si="4782"/>
        <v>0</v>
      </c>
      <c r="BV1194" s="552">
        <f t="shared" ref="BV1194:DA1194" si="4783">BV240*BV$338</f>
        <v>0</v>
      </c>
      <c r="BW1194" s="552">
        <f t="shared" si="4783"/>
        <v>0</v>
      </c>
      <c r="BX1194" s="552">
        <f t="shared" si="4783"/>
        <v>0</v>
      </c>
      <c r="BY1194" s="552">
        <f t="shared" si="4783"/>
        <v>0</v>
      </c>
      <c r="BZ1194" s="552">
        <f t="shared" si="4783"/>
        <v>0</v>
      </c>
      <c r="CA1194" s="552">
        <f t="shared" si="4783"/>
        <v>0</v>
      </c>
      <c r="CB1194" s="552">
        <f t="shared" si="4783"/>
        <v>0</v>
      </c>
      <c r="CC1194" s="552">
        <f t="shared" si="4783"/>
        <v>0</v>
      </c>
      <c r="CD1194" s="552">
        <f t="shared" si="4783"/>
        <v>0</v>
      </c>
      <c r="CE1194" s="552">
        <f t="shared" si="4783"/>
        <v>0</v>
      </c>
      <c r="CF1194" s="552">
        <f t="shared" si="4783"/>
        <v>0</v>
      </c>
      <c r="CG1194" s="552">
        <f t="shared" si="4783"/>
        <v>0</v>
      </c>
      <c r="CH1194" s="552">
        <f t="shared" si="4783"/>
        <v>0</v>
      </c>
      <c r="CI1194" s="552">
        <f t="shared" si="4783"/>
        <v>0</v>
      </c>
      <c r="CJ1194" s="552">
        <f t="shared" si="4783"/>
        <v>0</v>
      </c>
      <c r="CK1194" s="552">
        <f t="shared" si="4783"/>
        <v>0</v>
      </c>
      <c r="CL1194" s="552">
        <f t="shared" si="4783"/>
        <v>0</v>
      </c>
      <c r="CM1194" s="552">
        <f t="shared" si="4783"/>
        <v>0</v>
      </c>
      <c r="CN1194" s="552">
        <f t="shared" si="4783"/>
        <v>0</v>
      </c>
      <c r="CO1194" s="552">
        <f t="shared" si="4783"/>
        <v>0</v>
      </c>
      <c r="CP1194" s="552">
        <f t="shared" si="4783"/>
        <v>0</v>
      </c>
      <c r="CQ1194" s="552">
        <f t="shared" si="4783"/>
        <v>0</v>
      </c>
      <c r="CR1194" s="552">
        <f t="shared" si="4783"/>
        <v>0</v>
      </c>
      <c r="CS1194" s="552">
        <f t="shared" si="4783"/>
        <v>0</v>
      </c>
      <c r="CT1194" s="552">
        <f t="shared" si="4783"/>
        <v>0</v>
      </c>
      <c r="CU1194" s="552">
        <f t="shared" si="4783"/>
        <v>0</v>
      </c>
      <c r="CV1194" s="552">
        <f t="shared" si="4783"/>
        <v>0</v>
      </c>
      <c r="CW1194" s="552">
        <f t="shared" si="4783"/>
        <v>0</v>
      </c>
      <c r="CX1194" s="552">
        <f t="shared" si="4783"/>
        <v>0</v>
      </c>
      <c r="CY1194" s="552">
        <f t="shared" si="4783"/>
        <v>0</v>
      </c>
      <c r="CZ1194" s="552">
        <f t="shared" si="4783"/>
        <v>0</v>
      </c>
      <c r="DA1194" s="552">
        <f t="shared" si="4783"/>
        <v>0</v>
      </c>
      <c r="DB1194" s="552">
        <f t="shared" ref="DB1194:EG1194" si="4784">DB240*DB$338</f>
        <v>0</v>
      </c>
      <c r="DC1194" s="552">
        <f t="shared" si="4784"/>
        <v>0</v>
      </c>
      <c r="DD1194" s="552">
        <f t="shared" si="4784"/>
        <v>0</v>
      </c>
      <c r="DE1194" s="552">
        <f t="shared" si="4784"/>
        <v>0</v>
      </c>
      <c r="DF1194" s="552">
        <f t="shared" si="4784"/>
        <v>0</v>
      </c>
      <c r="DG1194" s="552">
        <f t="shared" si="4784"/>
        <v>0</v>
      </c>
      <c r="DH1194" s="552">
        <f t="shared" si="4784"/>
        <v>0</v>
      </c>
      <c r="DI1194" s="552">
        <f t="shared" si="4784"/>
        <v>0</v>
      </c>
      <c r="DJ1194" s="552">
        <f t="shared" si="4784"/>
        <v>0</v>
      </c>
      <c r="DK1194" s="552">
        <f t="shared" si="4784"/>
        <v>0</v>
      </c>
      <c r="DL1194" s="552">
        <f t="shared" si="4784"/>
        <v>0</v>
      </c>
      <c r="DM1194" s="552">
        <f t="shared" si="4784"/>
        <v>0</v>
      </c>
      <c r="DN1194" s="552">
        <f t="shared" si="4784"/>
        <v>0</v>
      </c>
      <c r="DO1194" s="552">
        <f t="shared" si="4784"/>
        <v>0</v>
      </c>
      <c r="DP1194" s="552">
        <f t="shared" si="4784"/>
        <v>0</v>
      </c>
      <c r="DQ1194" s="552">
        <f t="shared" si="4784"/>
        <v>0</v>
      </c>
      <c r="DR1194" s="552">
        <f t="shared" si="4784"/>
        <v>0</v>
      </c>
      <c r="DS1194" s="552">
        <f t="shared" si="4784"/>
        <v>0</v>
      </c>
      <c r="DT1194" s="552">
        <f t="shared" si="4784"/>
        <v>0</v>
      </c>
      <c r="DU1194" s="552">
        <f t="shared" si="4784"/>
        <v>0</v>
      </c>
      <c r="DV1194" s="552">
        <f t="shared" si="4784"/>
        <v>0</v>
      </c>
      <c r="DW1194" s="552">
        <f t="shared" si="4784"/>
        <v>0</v>
      </c>
      <c r="DX1194" s="552">
        <f t="shared" si="4784"/>
        <v>0</v>
      </c>
      <c r="DY1194" s="552">
        <f t="shared" si="4784"/>
        <v>0</v>
      </c>
      <c r="DZ1194" s="552">
        <f t="shared" si="4784"/>
        <v>0</v>
      </c>
      <c r="EA1194" s="552">
        <f t="shared" si="4784"/>
        <v>0</v>
      </c>
      <c r="EB1194" s="552">
        <f t="shared" si="4784"/>
        <v>0</v>
      </c>
      <c r="EC1194" s="552">
        <f t="shared" si="4784"/>
        <v>0</v>
      </c>
      <c r="ED1194" s="552">
        <f t="shared" si="4784"/>
        <v>0</v>
      </c>
      <c r="EE1194" s="552">
        <f t="shared" si="4784"/>
        <v>0</v>
      </c>
      <c r="EF1194" s="552">
        <f t="shared" si="4784"/>
        <v>0</v>
      </c>
      <c r="EG1194" s="552">
        <f t="shared" si="4784"/>
        <v>0</v>
      </c>
      <c r="EH1194" s="552">
        <f t="shared" ref="EH1194:EX1194" si="4785">EH240*EH$338</f>
        <v>0</v>
      </c>
      <c r="EI1194" s="552">
        <f t="shared" si="4785"/>
        <v>0</v>
      </c>
      <c r="EJ1194" s="552">
        <f t="shared" si="4785"/>
        <v>0</v>
      </c>
      <c r="EK1194" s="552">
        <f t="shared" si="4785"/>
        <v>0</v>
      </c>
      <c r="EL1194" s="552">
        <f t="shared" si="4785"/>
        <v>0</v>
      </c>
      <c r="EM1194" s="552">
        <f t="shared" si="4785"/>
        <v>0</v>
      </c>
      <c r="EN1194" s="552">
        <f t="shared" si="4785"/>
        <v>0</v>
      </c>
      <c r="EO1194" s="552">
        <f t="shared" si="4785"/>
        <v>0</v>
      </c>
      <c r="EP1194" s="552">
        <f t="shared" si="4785"/>
        <v>0</v>
      </c>
      <c r="EQ1194" s="552">
        <f t="shared" si="4785"/>
        <v>0</v>
      </c>
      <c r="ER1194" s="552">
        <f t="shared" si="4785"/>
        <v>0</v>
      </c>
      <c r="ES1194" s="552">
        <f t="shared" si="4785"/>
        <v>0</v>
      </c>
      <c r="ET1194" s="552">
        <f t="shared" si="4785"/>
        <v>0</v>
      </c>
      <c r="EU1194" s="552">
        <f t="shared" si="4785"/>
        <v>0</v>
      </c>
      <c r="EV1194" s="552">
        <f t="shared" si="4785"/>
        <v>0</v>
      </c>
      <c r="EW1194" s="552">
        <f t="shared" si="4785"/>
        <v>0</v>
      </c>
      <c r="EX1194" s="552">
        <f t="shared" si="4785"/>
        <v>0</v>
      </c>
      <c r="EY1194" s="799">
        <f t="shared" si="4577"/>
        <v>0</v>
      </c>
      <c r="EZ1194" s="640"/>
      <c r="FA1194" s="640"/>
      <c r="FB1194" s="640"/>
      <c r="FC1194" s="640"/>
      <c r="FD1194" s="640"/>
      <c r="FE1194" s="640"/>
      <c r="FF1194" s="640"/>
      <c r="FG1194" s="640"/>
      <c r="FH1194" s="640"/>
      <c r="FI1194" s="640"/>
      <c r="FJ1194" s="640"/>
      <c r="FK1194" s="640"/>
      <c r="FL1194" s="640"/>
    </row>
    <row r="1195" spans="1:168" x14ac:dyDescent="0.25">
      <c r="A1195" s="1492"/>
      <c r="B1195" s="624">
        <f t="shared" si="4764"/>
        <v>0</v>
      </c>
      <c r="C1195" s="624">
        <f t="shared" si="4764"/>
        <v>0</v>
      </c>
      <c r="D1195" s="624">
        <f t="shared" si="4764"/>
        <v>0</v>
      </c>
      <c r="E1195" s="1158">
        <f t="shared" si="4765"/>
        <v>0</v>
      </c>
      <c r="F1195" s="1158"/>
      <c r="G1195" s="1140"/>
      <c r="H1195" s="1140"/>
      <c r="I1195" s="552"/>
      <c r="J1195" s="552">
        <f t="shared" ref="J1195:AO1195" si="4786">J241*J$338</f>
        <v>0</v>
      </c>
      <c r="K1195" s="552">
        <f t="shared" si="4786"/>
        <v>0</v>
      </c>
      <c r="L1195" s="552">
        <f t="shared" si="4786"/>
        <v>0</v>
      </c>
      <c r="M1195" s="552">
        <f t="shared" si="4786"/>
        <v>0</v>
      </c>
      <c r="N1195" s="552">
        <f t="shared" si="4786"/>
        <v>0</v>
      </c>
      <c r="O1195" s="552">
        <f t="shared" si="4786"/>
        <v>0</v>
      </c>
      <c r="P1195" s="552">
        <f t="shared" si="4786"/>
        <v>0</v>
      </c>
      <c r="Q1195" s="552">
        <f t="shared" si="4786"/>
        <v>0</v>
      </c>
      <c r="R1195" s="552">
        <f t="shared" si="4786"/>
        <v>0</v>
      </c>
      <c r="S1195" s="552">
        <f t="shared" si="4786"/>
        <v>0</v>
      </c>
      <c r="T1195" s="552">
        <f t="shared" si="4786"/>
        <v>0</v>
      </c>
      <c r="U1195" s="552">
        <f t="shared" si="4786"/>
        <v>0</v>
      </c>
      <c r="V1195" s="552">
        <f t="shared" si="4786"/>
        <v>0</v>
      </c>
      <c r="W1195" s="552">
        <f t="shared" si="4786"/>
        <v>0</v>
      </c>
      <c r="X1195" s="552">
        <f t="shared" si="4786"/>
        <v>0</v>
      </c>
      <c r="Y1195" s="552">
        <f t="shared" si="4786"/>
        <v>0</v>
      </c>
      <c r="Z1195" s="552">
        <f t="shared" si="4786"/>
        <v>0</v>
      </c>
      <c r="AA1195" s="552">
        <f t="shared" si="4786"/>
        <v>0</v>
      </c>
      <c r="AB1195" s="552">
        <f t="shared" si="4786"/>
        <v>0</v>
      </c>
      <c r="AC1195" s="552">
        <f t="shared" si="4786"/>
        <v>0</v>
      </c>
      <c r="AD1195" s="552">
        <f t="shared" si="4786"/>
        <v>0</v>
      </c>
      <c r="AE1195" s="552">
        <f t="shared" si="4786"/>
        <v>0</v>
      </c>
      <c r="AF1195" s="552">
        <f t="shared" si="4786"/>
        <v>0</v>
      </c>
      <c r="AG1195" s="552">
        <f t="shared" si="4786"/>
        <v>0</v>
      </c>
      <c r="AH1195" s="552">
        <f t="shared" si="4786"/>
        <v>0</v>
      </c>
      <c r="AI1195" s="552">
        <f t="shared" si="4786"/>
        <v>0</v>
      </c>
      <c r="AJ1195" s="552">
        <f t="shared" si="4786"/>
        <v>0</v>
      </c>
      <c r="AK1195" s="552">
        <f t="shared" si="4786"/>
        <v>0</v>
      </c>
      <c r="AL1195" s="552">
        <f t="shared" si="4786"/>
        <v>0</v>
      </c>
      <c r="AM1195" s="552">
        <f t="shared" si="4786"/>
        <v>0</v>
      </c>
      <c r="AN1195" s="552">
        <f t="shared" si="4786"/>
        <v>0</v>
      </c>
      <c r="AO1195" s="552">
        <f t="shared" si="4786"/>
        <v>0</v>
      </c>
      <c r="AP1195" s="552">
        <f t="shared" ref="AP1195:BU1195" si="4787">AP241*AP$338</f>
        <v>0</v>
      </c>
      <c r="AQ1195" s="552">
        <f t="shared" si="4787"/>
        <v>0</v>
      </c>
      <c r="AR1195" s="552">
        <f t="shared" si="4787"/>
        <v>0</v>
      </c>
      <c r="AS1195" s="552">
        <f t="shared" si="4787"/>
        <v>0</v>
      </c>
      <c r="AT1195" s="552">
        <f t="shared" si="4787"/>
        <v>0</v>
      </c>
      <c r="AU1195" s="552">
        <f t="shared" si="4787"/>
        <v>0</v>
      </c>
      <c r="AV1195" s="552">
        <f t="shared" si="4787"/>
        <v>0</v>
      </c>
      <c r="AW1195" s="552">
        <f t="shared" si="4787"/>
        <v>0</v>
      </c>
      <c r="AX1195" s="552">
        <f t="shared" si="4787"/>
        <v>0</v>
      </c>
      <c r="AY1195" s="552">
        <f t="shared" si="4787"/>
        <v>0</v>
      </c>
      <c r="AZ1195" s="552">
        <f t="shared" si="4787"/>
        <v>0</v>
      </c>
      <c r="BA1195" s="552">
        <f t="shared" si="4787"/>
        <v>0</v>
      </c>
      <c r="BB1195" s="552">
        <f t="shared" si="4787"/>
        <v>0</v>
      </c>
      <c r="BC1195" s="552">
        <f t="shared" si="4787"/>
        <v>0</v>
      </c>
      <c r="BD1195" s="552">
        <f t="shared" si="4787"/>
        <v>0</v>
      </c>
      <c r="BE1195" s="552">
        <f t="shared" si="4787"/>
        <v>0</v>
      </c>
      <c r="BF1195" s="552">
        <f t="shared" si="4787"/>
        <v>0</v>
      </c>
      <c r="BG1195" s="552">
        <f t="shared" si="4787"/>
        <v>0</v>
      </c>
      <c r="BH1195" s="552">
        <f t="shared" si="4787"/>
        <v>0</v>
      </c>
      <c r="BI1195" s="552">
        <f t="shared" si="4787"/>
        <v>0</v>
      </c>
      <c r="BJ1195" s="552">
        <f t="shared" si="4787"/>
        <v>0</v>
      </c>
      <c r="BK1195" s="552">
        <f t="shared" si="4787"/>
        <v>0</v>
      </c>
      <c r="BL1195" s="552">
        <f t="shared" si="4787"/>
        <v>0</v>
      </c>
      <c r="BM1195" s="552">
        <f t="shared" si="4787"/>
        <v>0</v>
      </c>
      <c r="BN1195" s="552">
        <f t="shared" si="4787"/>
        <v>0</v>
      </c>
      <c r="BO1195" s="552">
        <f t="shared" si="4787"/>
        <v>0</v>
      </c>
      <c r="BP1195" s="552">
        <f t="shared" si="4787"/>
        <v>0</v>
      </c>
      <c r="BQ1195" s="552">
        <f t="shared" si="4787"/>
        <v>0</v>
      </c>
      <c r="BR1195" s="552">
        <f t="shared" si="4787"/>
        <v>0</v>
      </c>
      <c r="BS1195" s="552">
        <f t="shared" si="4787"/>
        <v>0</v>
      </c>
      <c r="BT1195" s="552">
        <f t="shared" si="4787"/>
        <v>0</v>
      </c>
      <c r="BU1195" s="552">
        <f t="shared" si="4787"/>
        <v>0</v>
      </c>
      <c r="BV1195" s="552">
        <f t="shared" ref="BV1195:DA1195" si="4788">BV241*BV$338</f>
        <v>0</v>
      </c>
      <c r="BW1195" s="552">
        <f t="shared" si="4788"/>
        <v>0</v>
      </c>
      <c r="BX1195" s="552">
        <f t="shared" si="4788"/>
        <v>0</v>
      </c>
      <c r="BY1195" s="552">
        <f t="shared" si="4788"/>
        <v>0</v>
      </c>
      <c r="BZ1195" s="552">
        <f t="shared" si="4788"/>
        <v>0</v>
      </c>
      <c r="CA1195" s="552">
        <f t="shared" si="4788"/>
        <v>0</v>
      </c>
      <c r="CB1195" s="552">
        <f t="shared" si="4788"/>
        <v>0</v>
      </c>
      <c r="CC1195" s="552">
        <f t="shared" si="4788"/>
        <v>0</v>
      </c>
      <c r="CD1195" s="552">
        <f t="shared" si="4788"/>
        <v>0</v>
      </c>
      <c r="CE1195" s="552">
        <f t="shared" si="4788"/>
        <v>0</v>
      </c>
      <c r="CF1195" s="552">
        <f t="shared" si="4788"/>
        <v>0</v>
      </c>
      <c r="CG1195" s="552">
        <f t="shared" si="4788"/>
        <v>0</v>
      </c>
      <c r="CH1195" s="552">
        <f t="shared" si="4788"/>
        <v>0</v>
      </c>
      <c r="CI1195" s="552">
        <f t="shared" si="4788"/>
        <v>0</v>
      </c>
      <c r="CJ1195" s="552">
        <f t="shared" si="4788"/>
        <v>0</v>
      </c>
      <c r="CK1195" s="552">
        <f t="shared" si="4788"/>
        <v>0</v>
      </c>
      <c r="CL1195" s="552">
        <f t="shared" si="4788"/>
        <v>0</v>
      </c>
      <c r="CM1195" s="552">
        <f t="shared" si="4788"/>
        <v>0</v>
      </c>
      <c r="CN1195" s="552">
        <f t="shared" si="4788"/>
        <v>0</v>
      </c>
      <c r="CO1195" s="552">
        <f t="shared" si="4788"/>
        <v>0</v>
      </c>
      <c r="CP1195" s="552">
        <f t="shared" si="4788"/>
        <v>0</v>
      </c>
      <c r="CQ1195" s="552">
        <f t="shared" si="4788"/>
        <v>0</v>
      </c>
      <c r="CR1195" s="552">
        <f t="shared" si="4788"/>
        <v>0</v>
      </c>
      <c r="CS1195" s="552">
        <f t="shared" si="4788"/>
        <v>0</v>
      </c>
      <c r="CT1195" s="552">
        <f t="shared" si="4788"/>
        <v>0</v>
      </c>
      <c r="CU1195" s="552">
        <f t="shared" si="4788"/>
        <v>0</v>
      </c>
      <c r="CV1195" s="552">
        <f t="shared" si="4788"/>
        <v>0</v>
      </c>
      <c r="CW1195" s="552">
        <f t="shared" si="4788"/>
        <v>0</v>
      </c>
      <c r="CX1195" s="552">
        <f t="shared" si="4788"/>
        <v>0</v>
      </c>
      <c r="CY1195" s="552">
        <f t="shared" si="4788"/>
        <v>0</v>
      </c>
      <c r="CZ1195" s="552">
        <f t="shared" si="4788"/>
        <v>0</v>
      </c>
      <c r="DA1195" s="552">
        <f t="shared" si="4788"/>
        <v>0</v>
      </c>
      <c r="DB1195" s="552">
        <f t="shared" ref="DB1195:EG1195" si="4789">DB241*DB$338</f>
        <v>0</v>
      </c>
      <c r="DC1195" s="552">
        <f t="shared" si="4789"/>
        <v>0</v>
      </c>
      <c r="DD1195" s="552">
        <f t="shared" si="4789"/>
        <v>0</v>
      </c>
      <c r="DE1195" s="552">
        <f t="shared" si="4789"/>
        <v>0</v>
      </c>
      <c r="DF1195" s="552">
        <f t="shared" si="4789"/>
        <v>0</v>
      </c>
      <c r="DG1195" s="552">
        <f t="shared" si="4789"/>
        <v>0</v>
      </c>
      <c r="DH1195" s="552">
        <f t="shared" si="4789"/>
        <v>0</v>
      </c>
      <c r="DI1195" s="552">
        <f t="shared" si="4789"/>
        <v>0</v>
      </c>
      <c r="DJ1195" s="552">
        <f t="shared" si="4789"/>
        <v>0</v>
      </c>
      <c r="DK1195" s="552">
        <f t="shared" si="4789"/>
        <v>0</v>
      </c>
      <c r="DL1195" s="552">
        <f t="shared" si="4789"/>
        <v>0</v>
      </c>
      <c r="DM1195" s="552">
        <f t="shared" si="4789"/>
        <v>0</v>
      </c>
      <c r="DN1195" s="552">
        <f t="shared" si="4789"/>
        <v>0</v>
      </c>
      <c r="DO1195" s="552">
        <f t="shared" si="4789"/>
        <v>0</v>
      </c>
      <c r="DP1195" s="552">
        <f t="shared" si="4789"/>
        <v>0</v>
      </c>
      <c r="DQ1195" s="552">
        <f t="shared" si="4789"/>
        <v>0</v>
      </c>
      <c r="DR1195" s="552">
        <f t="shared" si="4789"/>
        <v>0</v>
      </c>
      <c r="DS1195" s="552">
        <f t="shared" si="4789"/>
        <v>0</v>
      </c>
      <c r="DT1195" s="552">
        <f t="shared" si="4789"/>
        <v>0</v>
      </c>
      <c r="DU1195" s="552">
        <f t="shared" si="4789"/>
        <v>0</v>
      </c>
      <c r="DV1195" s="552">
        <f t="shared" si="4789"/>
        <v>0</v>
      </c>
      <c r="DW1195" s="552">
        <f t="shared" si="4789"/>
        <v>0</v>
      </c>
      <c r="DX1195" s="552">
        <f t="shared" si="4789"/>
        <v>0</v>
      </c>
      <c r="DY1195" s="552">
        <f t="shared" si="4789"/>
        <v>0</v>
      </c>
      <c r="DZ1195" s="552">
        <f t="shared" si="4789"/>
        <v>0</v>
      </c>
      <c r="EA1195" s="552">
        <f t="shared" si="4789"/>
        <v>0</v>
      </c>
      <c r="EB1195" s="552">
        <f t="shared" si="4789"/>
        <v>0</v>
      </c>
      <c r="EC1195" s="552">
        <f t="shared" si="4789"/>
        <v>0</v>
      </c>
      <c r="ED1195" s="552">
        <f t="shared" si="4789"/>
        <v>0</v>
      </c>
      <c r="EE1195" s="552">
        <f t="shared" si="4789"/>
        <v>0</v>
      </c>
      <c r="EF1195" s="552">
        <f t="shared" si="4789"/>
        <v>0</v>
      </c>
      <c r="EG1195" s="552">
        <f t="shared" si="4789"/>
        <v>0</v>
      </c>
      <c r="EH1195" s="552">
        <f t="shared" ref="EH1195:EX1195" si="4790">EH241*EH$338</f>
        <v>0</v>
      </c>
      <c r="EI1195" s="552">
        <f t="shared" si="4790"/>
        <v>0</v>
      </c>
      <c r="EJ1195" s="552">
        <f t="shared" si="4790"/>
        <v>0</v>
      </c>
      <c r="EK1195" s="552">
        <f t="shared" si="4790"/>
        <v>0</v>
      </c>
      <c r="EL1195" s="552">
        <f t="shared" si="4790"/>
        <v>0</v>
      </c>
      <c r="EM1195" s="552">
        <f t="shared" si="4790"/>
        <v>0</v>
      </c>
      <c r="EN1195" s="552">
        <f t="shared" si="4790"/>
        <v>0</v>
      </c>
      <c r="EO1195" s="552">
        <f t="shared" si="4790"/>
        <v>0</v>
      </c>
      <c r="EP1195" s="552">
        <f t="shared" si="4790"/>
        <v>0</v>
      </c>
      <c r="EQ1195" s="552">
        <f t="shared" si="4790"/>
        <v>0</v>
      </c>
      <c r="ER1195" s="552">
        <f t="shared" si="4790"/>
        <v>0</v>
      </c>
      <c r="ES1195" s="552">
        <f t="shared" si="4790"/>
        <v>0</v>
      </c>
      <c r="ET1195" s="552">
        <f t="shared" si="4790"/>
        <v>0</v>
      </c>
      <c r="EU1195" s="552">
        <f t="shared" si="4790"/>
        <v>0</v>
      </c>
      <c r="EV1195" s="552">
        <f t="shared" si="4790"/>
        <v>0</v>
      </c>
      <c r="EW1195" s="552">
        <f t="shared" si="4790"/>
        <v>0</v>
      </c>
      <c r="EX1195" s="552">
        <f t="shared" si="4790"/>
        <v>0</v>
      </c>
      <c r="EY1195" s="799">
        <f t="shared" si="4577"/>
        <v>0</v>
      </c>
      <c r="EZ1195" s="640"/>
      <c r="FA1195" s="640"/>
      <c r="FB1195" s="640"/>
      <c r="FC1195" s="640"/>
      <c r="FD1195" s="640"/>
      <c r="FE1195" s="640"/>
      <c r="FF1195" s="640"/>
      <c r="FG1195" s="640"/>
      <c r="FH1195" s="640"/>
      <c r="FI1195" s="640"/>
      <c r="FJ1195" s="640"/>
      <c r="FK1195" s="640"/>
      <c r="FL1195" s="640"/>
    </row>
    <row r="1196" spans="1:168" x14ac:dyDescent="0.25">
      <c r="A1196" s="1492"/>
      <c r="B1196" s="624">
        <f t="shared" si="4764"/>
        <v>0</v>
      </c>
      <c r="C1196" s="624">
        <f t="shared" si="4764"/>
        <v>0</v>
      </c>
      <c r="D1196" s="624">
        <f t="shared" si="4764"/>
        <v>0</v>
      </c>
      <c r="E1196" s="1158">
        <f t="shared" si="4765"/>
        <v>0</v>
      </c>
      <c r="F1196" s="1158"/>
      <c r="G1196" s="1140"/>
      <c r="H1196" s="1140"/>
      <c r="I1196" s="552"/>
      <c r="J1196" s="552">
        <f t="shared" ref="J1196:AO1196" si="4791">J242*J$338</f>
        <v>0</v>
      </c>
      <c r="K1196" s="552">
        <f t="shared" si="4791"/>
        <v>0</v>
      </c>
      <c r="L1196" s="552">
        <f t="shared" si="4791"/>
        <v>0</v>
      </c>
      <c r="M1196" s="552">
        <f t="shared" si="4791"/>
        <v>0</v>
      </c>
      <c r="N1196" s="552">
        <f t="shared" si="4791"/>
        <v>0</v>
      </c>
      <c r="O1196" s="552">
        <f t="shared" si="4791"/>
        <v>0</v>
      </c>
      <c r="P1196" s="552">
        <f t="shared" si="4791"/>
        <v>0</v>
      </c>
      <c r="Q1196" s="552">
        <f t="shared" si="4791"/>
        <v>0</v>
      </c>
      <c r="R1196" s="552">
        <f t="shared" si="4791"/>
        <v>0</v>
      </c>
      <c r="S1196" s="552">
        <f t="shared" si="4791"/>
        <v>0</v>
      </c>
      <c r="T1196" s="552">
        <f t="shared" si="4791"/>
        <v>0</v>
      </c>
      <c r="U1196" s="552">
        <f t="shared" si="4791"/>
        <v>0</v>
      </c>
      <c r="V1196" s="552">
        <f t="shared" si="4791"/>
        <v>0</v>
      </c>
      <c r="W1196" s="552">
        <f t="shared" si="4791"/>
        <v>0</v>
      </c>
      <c r="X1196" s="552">
        <f t="shared" si="4791"/>
        <v>0</v>
      </c>
      <c r="Y1196" s="552">
        <f t="shared" si="4791"/>
        <v>0</v>
      </c>
      <c r="Z1196" s="552">
        <f t="shared" si="4791"/>
        <v>0</v>
      </c>
      <c r="AA1196" s="552">
        <f t="shared" si="4791"/>
        <v>0</v>
      </c>
      <c r="AB1196" s="552">
        <f t="shared" si="4791"/>
        <v>0</v>
      </c>
      <c r="AC1196" s="552">
        <f t="shared" si="4791"/>
        <v>0</v>
      </c>
      <c r="AD1196" s="552">
        <f t="shared" si="4791"/>
        <v>0</v>
      </c>
      <c r="AE1196" s="552">
        <f t="shared" si="4791"/>
        <v>0</v>
      </c>
      <c r="AF1196" s="552">
        <f t="shared" si="4791"/>
        <v>0</v>
      </c>
      <c r="AG1196" s="552">
        <f t="shared" si="4791"/>
        <v>0</v>
      </c>
      <c r="AH1196" s="552">
        <f t="shared" si="4791"/>
        <v>0</v>
      </c>
      <c r="AI1196" s="552">
        <f t="shared" si="4791"/>
        <v>0</v>
      </c>
      <c r="AJ1196" s="552">
        <f t="shared" si="4791"/>
        <v>0</v>
      </c>
      <c r="AK1196" s="552">
        <f t="shared" si="4791"/>
        <v>0</v>
      </c>
      <c r="AL1196" s="552">
        <f t="shared" si="4791"/>
        <v>0</v>
      </c>
      <c r="AM1196" s="552">
        <f t="shared" si="4791"/>
        <v>0</v>
      </c>
      <c r="AN1196" s="552">
        <f t="shared" si="4791"/>
        <v>0</v>
      </c>
      <c r="AO1196" s="552">
        <f t="shared" si="4791"/>
        <v>0</v>
      </c>
      <c r="AP1196" s="552">
        <f t="shared" ref="AP1196:BU1196" si="4792">AP242*AP$338</f>
        <v>0</v>
      </c>
      <c r="AQ1196" s="552">
        <f t="shared" si="4792"/>
        <v>0</v>
      </c>
      <c r="AR1196" s="552">
        <f t="shared" si="4792"/>
        <v>0</v>
      </c>
      <c r="AS1196" s="552">
        <f t="shared" si="4792"/>
        <v>0</v>
      </c>
      <c r="AT1196" s="552">
        <f t="shared" si="4792"/>
        <v>0</v>
      </c>
      <c r="AU1196" s="552">
        <f t="shared" si="4792"/>
        <v>0</v>
      </c>
      <c r="AV1196" s="552">
        <f t="shared" si="4792"/>
        <v>0</v>
      </c>
      <c r="AW1196" s="552">
        <f t="shared" si="4792"/>
        <v>0</v>
      </c>
      <c r="AX1196" s="552">
        <f t="shared" si="4792"/>
        <v>0</v>
      </c>
      <c r="AY1196" s="552">
        <f t="shared" si="4792"/>
        <v>0</v>
      </c>
      <c r="AZ1196" s="552">
        <f t="shared" si="4792"/>
        <v>0</v>
      </c>
      <c r="BA1196" s="552">
        <f t="shared" si="4792"/>
        <v>0</v>
      </c>
      <c r="BB1196" s="552">
        <f t="shared" si="4792"/>
        <v>0</v>
      </c>
      <c r="BC1196" s="552">
        <f t="shared" si="4792"/>
        <v>0</v>
      </c>
      <c r="BD1196" s="552">
        <f t="shared" si="4792"/>
        <v>0</v>
      </c>
      <c r="BE1196" s="552">
        <f t="shared" si="4792"/>
        <v>0</v>
      </c>
      <c r="BF1196" s="552">
        <f t="shared" si="4792"/>
        <v>0</v>
      </c>
      <c r="BG1196" s="552">
        <f t="shared" si="4792"/>
        <v>0</v>
      </c>
      <c r="BH1196" s="552">
        <f t="shared" si="4792"/>
        <v>0</v>
      </c>
      <c r="BI1196" s="552">
        <f t="shared" si="4792"/>
        <v>0</v>
      </c>
      <c r="BJ1196" s="552">
        <f t="shared" si="4792"/>
        <v>0</v>
      </c>
      <c r="BK1196" s="552">
        <f t="shared" si="4792"/>
        <v>0</v>
      </c>
      <c r="BL1196" s="552">
        <f t="shared" si="4792"/>
        <v>0</v>
      </c>
      <c r="BM1196" s="552">
        <f t="shared" si="4792"/>
        <v>0</v>
      </c>
      <c r="BN1196" s="552">
        <f t="shared" si="4792"/>
        <v>0</v>
      </c>
      <c r="BO1196" s="552">
        <f t="shared" si="4792"/>
        <v>0</v>
      </c>
      <c r="BP1196" s="552">
        <f t="shared" si="4792"/>
        <v>0</v>
      </c>
      <c r="BQ1196" s="552">
        <f t="shared" si="4792"/>
        <v>0</v>
      </c>
      <c r="BR1196" s="552">
        <f t="shared" si="4792"/>
        <v>0</v>
      </c>
      <c r="BS1196" s="552">
        <f t="shared" si="4792"/>
        <v>0</v>
      </c>
      <c r="BT1196" s="552">
        <f t="shared" si="4792"/>
        <v>0</v>
      </c>
      <c r="BU1196" s="552">
        <f t="shared" si="4792"/>
        <v>0</v>
      </c>
      <c r="BV1196" s="552">
        <f t="shared" ref="BV1196:DA1196" si="4793">BV242*BV$338</f>
        <v>0</v>
      </c>
      <c r="BW1196" s="552">
        <f t="shared" si="4793"/>
        <v>0</v>
      </c>
      <c r="BX1196" s="552">
        <f t="shared" si="4793"/>
        <v>0</v>
      </c>
      <c r="BY1196" s="552">
        <f t="shared" si="4793"/>
        <v>0</v>
      </c>
      <c r="BZ1196" s="552">
        <f t="shared" si="4793"/>
        <v>0</v>
      </c>
      <c r="CA1196" s="552">
        <f t="shared" si="4793"/>
        <v>0</v>
      </c>
      <c r="CB1196" s="552">
        <f t="shared" si="4793"/>
        <v>0</v>
      </c>
      <c r="CC1196" s="552">
        <f t="shared" si="4793"/>
        <v>0</v>
      </c>
      <c r="CD1196" s="552">
        <f t="shared" si="4793"/>
        <v>0</v>
      </c>
      <c r="CE1196" s="552">
        <f t="shared" si="4793"/>
        <v>0</v>
      </c>
      <c r="CF1196" s="552">
        <f t="shared" si="4793"/>
        <v>0</v>
      </c>
      <c r="CG1196" s="552">
        <f t="shared" si="4793"/>
        <v>0</v>
      </c>
      <c r="CH1196" s="552">
        <f t="shared" si="4793"/>
        <v>0</v>
      </c>
      <c r="CI1196" s="552">
        <f t="shared" si="4793"/>
        <v>0</v>
      </c>
      <c r="CJ1196" s="552">
        <f t="shared" si="4793"/>
        <v>0</v>
      </c>
      <c r="CK1196" s="552">
        <f t="shared" si="4793"/>
        <v>0</v>
      </c>
      <c r="CL1196" s="552">
        <f t="shared" si="4793"/>
        <v>0</v>
      </c>
      <c r="CM1196" s="552">
        <f t="shared" si="4793"/>
        <v>0</v>
      </c>
      <c r="CN1196" s="552">
        <f t="shared" si="4793"/>
        <v>0</v>
      </c>
      <c r="CO1196" s="552">
        <f t="shared" si="4793"/>
        <v>0</v>
      </c>
      <c r="CP1196" s="552">
        <f t="shared" si="4793"/>
        <v>0</v>
      </c>
      <c r="CQ1196" s="552">
        <f t="shared" si="4793"/>
        <v>0</v>
      </c>
      <c r="CR1196" s="552">
        <f t="shared" si="4793"/>
        <v>0</v>
      </c>
      <c r="CS1196" s="552">
        <f t="shared" si="4793"/>
        <v>0</v>
      </c>
      <c r="CT1196" s="552">
        <f t="shared" si="4793"/>
        <v>0</v>
      </c>
      <c r="CU1196" s="552">
        <f t="shared" si="4793"/>
        <v>0</v>
      </c>
      <c r="CV1196" s="552">
        <f t="shared" si="4793"/>
        <v>0</v>
      </c>
      <c r="CW1196" s="552">
        <f t="shared" si="4793"/>
        <v>0</v>
      </c>
      <c r="CX1196" s="552">
        <f t="shared" si="4793"/>
        <v>0</v>
      </c>
      <c r="CY1196" s="552">
        <f t="shared" si="4793"/>
        <v>0</v>
      </c>
      <c r="CZ1196" s="552">
        <f t="shared" si="4793"/>
        <v>0</v>
      </c>
      <c r="DA1196" s="552">
        <f t="shared" si="4793"/>
        <v>0</v>
      </c>
      <c r="DB1196" s="552">
        <f t="shared" ref="DB1196:EG1196" si="4794">DB242*DB$338</f>
        <v>0</v>
      </c>
      <c r="DC1196" s="552">
        <f t="shared" si="4794"/>
        <v>0</v>
      </c>
      <c r="DD1196" s="552">
        <f t="shared" si="4794"/>
        <v>0</v>
      </c>
      <c r="DE1196" s="552">
        <f t="shared" si="4794"/>
        <v>0</v>
      </c>
      <c r="DF1196" s="552">
        <f t="shared" si="4794"/>
        <v>0</v>
      </c>
      <c r="DG1196" s="552">
        <f t="shared" si="4794"/>
        <v>0</v>
      </c>
      <c r="DH1196" s="552">
        <f t="shared" si="4794"/>
        <v>0</v>
      </c>
      <c r="DI1196" s="552">
        <f t="shared" si="4794"/>
        <v>0</v>
      </c>
      <c r="DJ1196" s="552">
        <f t="shared" si="4794"/>
        <v>0</v>
      </c>
      <c r="DK1196" s="552">
        <f t="shared" si="4794"/>
        <v>0</v>
      </c>
      <c r="DL1196" s="552">
        <f t="shared" si="4794"/>
        <v>0</v>
      </c>
      <c r="DM1196" s="552">
        <f t="shared" si="4794"/>
        <v>0</v>
      </c>
      <c r="DN1196" s="552">
        <f t="shared" si="4794"/>
        <v>0</v>
      </c>
      <c r="DO1196" s="552">
        <f t="shared" si="4794"/>
        <v>0</v>
      </c>
      <c r="DP1196" s="552">
        <f t="shared" si="4794"/>
        <v>0</v>
      </c>
      <c r="DQ1196" s="552">
        <f t="shared" si="4794"/>
        <v>0</v>
      </c>
      <c r="DR1196" s="552">
        <f t="shared" si="4794"/>
        <v>0</v>
      </c>
      <c r="DS1196" s="552">
        <f t="shared" si="4794"/>
        <v>0</v>
      </c>
      <c r="DT1196" s="552">
        <f t="shared" si="4794"/>
        <v>0</v>
      </c>
      <c r="DU1196" s="552">
        <f t="shared" si="4794"/>
        <v>0</v>
      </c>
      <c r="DV1196" s="552">
        <f t="shared" si="4794"/>
        <v>0</v>
      </c>
      <c r="DW1196" s="552">
        <f t="shared" si="4794"/>
        <v>0</v>
      </c>
      <c r="DX1196" s="552">
        <f t="shared" si="4794"/>
        <v>0</v>
      </c>
      <c r="DY1196" s="552">
        <f t="shared" si="4794"/>
        <v>0</v>
      </c>
      <c r="DZ1196" s="552">
        <f t="shared" si="4794"/>
        <v>0</v>
      </c>
      <c r="EA1196" s="552">
        <f t="shared" si="4794"/>
        <v>0</v>
      </c>
      <c r="EB1196" s="552">
        <f t="shared" si="4794"/>
        <v>0</v>
      </c>
      <c r="EC1196" s="552">
        <f t="shared" si="4794"/>
        <v>0</v>
      </c>
      <c r="ED1196" s="552">
        <f t="shared" si="4794"/>
        <v>0</v>
      </c>
      <c r="EE1196" s="552">
        <f t="shared" si="4794"/>
        <v>0</v>
      </c>
      <c r="EF1196" s="552">
        <f t="shared" si="4794"/>
        <v>0</v>
      </c>
      <c r="EG1196" s="552">
        <f t="shared" si="4794"/>
        <v>0</v>
      </c>
      <c r="EH1196" s="552">
        <f t="shared" ref="EH1196:EX1196" si="4795">EH242*EH$338</f>
        <v>0</v>
      </c>
      <c r="EI1196" s="552">
        <f t="shared" si="4795"/>
        <v>0</v>
      </c>
      <c r="EJ1196" s="552">
        <f t="shared" si="4795"/>
        <v>0</v>
      </c>
      <c r="EK1196" s="552">
        <f t="shared" si="4795"/>
        <v>0</v>
      </c>
      <c r="EL1196" s="552">
        <f t="shared" si="4795"/>
        <v>0</v>
      </c>
      <c r="EM1196" s="552">
        <f t="shared" si="4795"/>
        <v>0</v>
      </c>
      <c r="EN1196" s="552">
        <f t="shared" si="4795"/>
        <v>0</v>
      </c>
      <c r="EO1196" s="552">
        <f t="shared" si="4795"/>
        <v>0</v>
      </c>
      <c r="EP1196" s="552">
        <f t="shared" si="4795"/>
        <v>0</v>
      </c>
      <c r="EQ1196" s="552">
        <f t="shared" si="4795"/>
        <v>0</v>
      </c>
      <c r="ER1196" s="552">
        <f t="shared" si="4795"/>
        <v>0</v>
      </c>
      <c r="ES1196" s="552">
        <f t="shared" si="4795"/>
        <v>0</v>
      </c>
      <c r="ET1196" s="552">
        <f t="shared" si="4795"/>
        <v>0</v>
      </c>
      <c r="EU1196" s="552">
        <f t="shared" si="4795"/>
        <v>0</v>
      </c>
      <c r="EV1196" s="552">
        <f t="shared" si="4795"/>
        <v>0</v>
      </c>
      <c r="EW1196" s="552">
        <f t="shared" si="4795"/>
        <v>0</v>
      </c>
      <c r="EX1196" s="552">
        <f t="shared" si="4795"/>
        <v>0</v>
      </c>
      <c r="EY1196" s="799">
        <f t="shared" si="4577"/>
        <v>0</v>
      </c>
      <c r="EZ1196" s="640"/>
      <c r="FA1196" s="640"/>
      <c r="FB1196" s="640"/>
      <c r="FC1196" s="640"/>
      <c r="FD1196" s="640"/>
      <c r="FE1196" s="640"/>
      <c r="FF1196" s="640"/>
      <c r="FG1196" s="640"/>
      <c r="FH1196" s="640"/>
      <c r="FI1196" s="640"/>
      <c r="FJ1196" s="640"/>
      <c r="FK1196" s="640"/>
      <c r="FL1196" s="640"/>
    </row>
    <row r="1197" spans="1:168" x14ac:dyDescent="0.25">
      <c r="A1197" s="1492"/>
      <c r="B1197" s="624">
        <f t="shared" si="4764"/>
        <v>0</v>
      </c>
      <c r="C1197" s="624">
        <f t="shared" si="4764"/>
        <v>0</v>
      </c>
      <c r="D1197" s="624">
        <f t="shared" si="4764"/>
        <v>0</v>
      </c>
      <c r="E1197" s="1158">
        <f t="shared" si="4765"/>
        <v>0</v>
      </c>
      <c r="F1197" s="1158"/>
      <c r="G1197" s="1140"/>
      <c r="H1197" s="1140"/>
      <c r="I1197" s="552"/>
      <c r="J1197" s="552">
        <f t="shared" ref="J1197:AO1197" si="4796">J243*J$338</f>
        <v>0</v>
      </c>
      <c r="K1197" s="552">
        <f t="shared" si="4796"/>
        <v>0</v>
      </c>
      <c r="L1197" s="552">
        <f t="shared" si="4796"/>
        <v>0</v>
      </c>
      <c r="M1197" s="552">
        <f t="shared" si="4796"/>
        <v>0</v>
      </c>
      <c r="N1197" s="552">
        <f t="shared" si="4796"/>
        <v>0</v>
      </c>
      <c r="O1197" s="552">
        <f t="shared" si="4796"/>
        <v>0</v>
      </c>
      <c r="P1197" s="552">
        <f t="shared" si="4796"/>
        <v>0</v>
      </c>
      <c r="Q1197" s="552">
        <f t="shared" si="4796"/>
        <v>0</v>
      </c>
      <c r="R1197" s="552">
        <f t="shared" si="4796"/>
        <v>0</v>
      </c>
      <c r="S1197" s="552">
        <f t="shared" si="4796"/>
        <v>0</v>
      </c>
      <c r="T1197" s="552">
        <f t="shared" si="4796"/>
        <v>0</v>
      </c>
      <c r="U1197" s="552">
        <f t="shared" si="4796"/>
        <v>0</v>
      </c>
      <c r="V1197" s="552">
        <f t="shared" si="4796"/>
        <v>0</v>
      </c>
      <c r="W1197" s="552">
        <f t="shared" si="4796"/>
        <v>0</v>
      </c>
      <c r="X1197" s="552">
        <f t="shared" si="4796"/>
        <v>0</v>
      </c>
      <c r="Y1197" s="552">
        <f t="shared" si="4796"/>
        <v>0</v>
      </c>
      <c r="Z1197" s="552">
        <f t="shared" si="4796"/>
        <v>0</v>
      </c>
      <c r="AA1197" s="552">
        <f t="shared" si="4796"/>
        <v>0</v>
      </c>
      <c r="AB1197" s="552">
        <f t="shared" si="4796"/>
        <v>0</v>
      </c>
      <c r="AC1197" s="552">
        <f t="shared" si="4796"/>
        <v>0</v>
      </c>
      <c r="AD1197" s="552">
        <f t="shared" si="4796"/>
        <v>0</v>
      </c>
      <c r="AE1197" s="552">
        <f t="shared" si="4796"/>
        <v>0</v>
      </c>
      <c r="AF1197" s="552">
        <f t="shared" si="4796"/>
        <v>0</v>
      </c>
      <c r="AG1197" s="552">
        <f t="shared" si="4796"/>
        <v>0</v>
      </c>
      <c r="AH1197" s="552">
        <f t="shared" si="4796"/>
        <v>0</v>
      </c>
      <c r="AI1197" s="552">
        <f t="shared" si="4796"/>
        <v>0</v>
      </c>
      <c r="AJ1197" s="552">
        <f t="shared" si="4796"/>
        <v>0</v>
      </c>
      <c r="AK1197" s="552">
        <f t="shared" si="4796"/>
        <v>0</v>
      </c>
      <c r="AL1197" s="552">
        <f t="shared" si="4796"/>
        <v>0</v>
      </c>
      <c r="AM1197" s="552">
        <f t="shared" si="4796"/>
        <v>0</v>
      </c>
      <c r="AN1197" s="552">
        <f t="shared" si="4796"/>
        <v>0</v>
      </c>
      <c r="AO1197" s="552">
        <f t="shared" si="4796"/>
        <v>0</v>
      </c>
      <c r="AP1197" s="552">
        <f t="shared" ref="AP1197:BU1197" si="4797">AP243*AP$338</f>
        <v>0</v>
      </c>
      <c r="AQ1197" s="552">
        <f t="shared" si="4797"/>
        <v>0</v>
      </c>
      <c r="AR1197" s="552">
        <f t="shared" si="4797"/>
        <v>0</v>
      </c>
      <c r="AS1197" s="552">
        <f t="shared" si="4797"/>
        <v>0</v>
      </c>
      <c r="AT1197" s="552">
        <f t="shared" si="4797"/>
        <v>0</v>
      </c>
      <c r="AU1197" s="552">
        <f t="shared" si="4797"/>
        <v>0</v>
      </c>
      <c r="AV1197" s="552">
        <f t="shared" si="4797"/>
        <v>0</v>
      </c>
      <c r="AW1197" s="552">
        <f t="shared" si="4797"/>
        <v>0</v>
      </c>
      <c r="AX1197" s="552">
        <f t="shared" si="4797"/>
        <v>0</v>
      </c>
      <c r="AY1197" s="552">
        <f t="shared" si="4797"/>
        <v>0</v>
      </c>
      <c r="AZ1197" s="552">
        <f t="shared" si="4797"/>
        <v>0</v>
      </c>
      <c r="BA1197" s="552">
        <f t="shared" si="4797"/>
        <v>0</v>
      </c>
      <c r="BB1197" s="552">
        <f t="shared" si="4797"/>
        <v>0</v>
      </c>
      <c r="BC1197" s="552">
        <f t="shared" si="4797"/>
        <v>0</v>
      </c>
      <c r="BD1197" s="552">
        <f t="shared" si="4797"/>
        <v>0</v>
      </c>
      <c r="BE1197" s="552">
        <f t="shared" si="4797"/>
        <v>0</v>
      </c>
      <c r="BF1197" s="552">
        <f t="shared" si="4797"/>
        <v>0</v>
      </c>
      <c r="BG1197" s="552">
        <f t="shared" si="4797"/>
        <v>0</v>
      </c>
      <c r="BH1197" s="552">
        <f t="shared" si="4797"/>
        <v>0</v>
      </c>
      <c r="BI1197" s="552">
        <f t="shared" si="4797"/>
        <v>0</v>
      </c>
      <c r="BJ1197" s="552">
        <f t="shared" si="4797"/>
        <v>0</v>
      </c>
      <c r="BK1197" s="552">
        <f t="shared" si="4797"/>
        <v>0</v>
      </c>
      <c r="BL1197" s="552">
        <f t="shared" si="4797"/>
        <v>0</v>
      </c>
      <c r="BM1197" s="552">
        <f t="shared" si="4797"/>
        <v>0</v>
      </c>
      <c r="BN1197" s="552">
        <f t="shared" si="4797"/>
        <v>0</v>
      </c>
      <c r="BO1197" s="552">
        <f t="shared" si="4797"/>
        <v>0</v>
      </c>
      <c r="BP1197" s="552">
        <f t="shared" si="4797"/>
        <v>0</v>
      </c>
      <c r="BQ1197" s="552">
        <f t="shared" si="4797"/>
        <v>0</v>
      </c>
      <c r="BR1197" s="552">
        <f t="shared" si="4797"/>
        <v>0</v>
      </c>
      <c r="BS1197" s="552">
        <f t="shared" si="4797"/>
        <v>0</v>
      </c>
      <c r="BT1197" s="552">
        <f t="shared" si="4797"/>
        <v>0</v>
      </c>
      <c r="BU1197" s="552">
        <f t="shared" si="4797"/>
        <v>0</v>
      </c>
      <c r="BV1197" s="552">
        <f t="shared" ref="BV1197:DA1197" si="4798">BV243*BV$338</f>
        <v>0</v>
      </c>
      <c r="BW1197" s="552">
        <f t="shared" si="4798"/>
        <v>0</v>
      </c>
      <c r="BX1197" s="552">
        <f t="shared" si="4798"/>
        <v>0</v>
      </c>
      <c r="BY1197" s="552">
        <f t="shared" si="4798"/>
        <v>0</v>
      </c>
      <c r="BZ1197" s="552">
        <f t="shared" si="4798"/>
        <v>0</v>
      </c>
      <c r="CA1197" s="552">
        <f t="shared" si="4798"/>
        <v>0</v>
      </c>
      <c r="CB1197" s="552">
        <f t="shared" si="4798"/>
        <v>0</v>
      </c>
      <c r="CC1197" s="552">
        <f t="shared" si="4798"/>
        <v>0</v>
      </c>
      <c r="CD1197" s="552">
        <f t="shared" si="4798"/>
        <v>0</v>
      </c>
      <c r="CE1197" s="552">
        <f t="shared" si="4798"/>
        <v>0</v>
      </c>
      <c r="CF1197" s="552">
        <f t="shared" si="4798"/>
        <v>0</v>
      </c>
      <c r="CG1197" s="552">
        <f t="shared" si="4798"/>
        <v>0</v>
      </c>
      <c r="CH1197" s="552">
        <f t="shared" si="4798"/>
        <v>0</v>
      </c>
      <c r="CI1197" s="552">
        <f t="shared" si="4798"/>
        <v>0</v>
      </c>
      <c r="CJ1197" s="552">
        <f t="shared" si="4798"/>
        <v>0</v>
      </c>
      <c r="CK1197" s="552">
        <f t="shared" si="4798"/>
        <v>0</v>
      </c>
      <c r="CL1197" s="552">
        <f t="shared" si="4798"/>
        <v>0</v>
      </c>
      <c r="CM1197" s="552">
        <f t="shared" si="4798"/>
        <v>0</v>
      </c>
      <c r="CN1197" s="552">
        <f t="shared" si="4798"/>
        <v>0</v>
      </c>
      <c r="CO1197" s="552">
        <f t="shared" si="4798"/>
        <v>0</v>
      </c>
      <c r="CP1197" s="552">
        <f t="shared" si="4798"/>
        <v>0</v>
      </c>
      <c r="CQ1197" s="552">
        <f t="shared" si="4798"/>
        <v>0</v>
      </c>
      <c r="CR1197" s="552">
        <f t="shared" si="4798"/>
        <v>0</v>
      </c>
      <c r="CS1197" s="552">
        <f t="shared" si="4798"/>
        <v>0</v>
      </c>
      <c r="CT1197" s="552">
        <f t="shared" si="4798"/>
        <v>0</v>
      </c>
      <c r="CU1197" s="552">
        <f t="shared" si="4798"/>
        <v>0</v>
      </c>
      <c r="CV1197" s="552">
        <f t="shared" si="4798"/>
        <v>0</v>
      </c>
      <c r="CW1197" s="552">
        <f t="shared" si="4798"/>
        <v>0</v>
      </c>
      <c r="CX1197" s="552">
        <f t="shared" si="4798"/>
        <v>0</v>
      </c>
      <c r="CY1197" s="552">
        <f t="shared" si="4798"/>
        <v>0</v>
      </c>
      <c r="CZ1197" s="552">
        <f t="shared" si="4798"/>
        <v>0</v>
      </c>
      <c r="DA1197" s="552">
        <f t="shared" si="4798"/>
        <v>0</v>
      </c>
      <c r="DB1197" s="552">
        <f t="shared" ref="DB1197:EG1197" si="4799">DB243*DB$338</f>
        <v>0</v>
      </c>
      <c r="DC1197" s="552">
        <f t="shared" si="4799"/>
        <v>0</v>
      </c>
      <c r="DD1197" s="552">
        <f t="shared" si="4799"/>
        <v>0</v>
      </c>
      <c r="DE1197" s="552">
        <f t="shared" si="4799"/>
        <v>0</v>
      </c>
      <c r="DF1197" s="552">
        <f t="shared" si="4799"/>
        <v>0</v>
      </c>
      <c r="DG1197" s="552">
        <f t="shared" si="4799"/>
        <v>0</v>
      </c>
      <c r="DH1197" s="552">
        <f t="shared" si="4799"/>
        <v>0</v>
      </c>
      <c r="DI1197" s="552">
        <f t="shared" si="4799"/>
        <v>0</v>
      </c>
      <c r="DJ1197" s="552">
        <f t="shared" si="4799"/>
        <v>0</v>
      </c>
      <c r="DK1197" s="552">
        <f t="shared" si="4799"/>
        <v>0</v>
      </c>
      <c r="DL1197" s="552">
        <f t="shared" si="4799"/>
        <v>0</v>
      </c>
      <c r="DM1197" s="552">
        <f t="shared" si="4799"/>
        <v>0</v>
      </c>
      <c r="DN1197" s="552">
        <f t="shared" si="4799"/>
        <v>0</v>
      </c>
      <c r="DO1197" s="552">
        <f t="shared" si="4799"/>
        <v>0</v>
      </c>
      <c r="DP1197" s="552">
        <f t="shared" si="4799"/>
        <v>0</v>
      </c>
      <c r="DQ1197" s="552">
        <f t="shared" si="4799"/>
        <v>0</v>
      </c>
      <c r="DR1197" s="552">
        <f t="shared" si="4799"/>
        <v>0</v>
      </c>
      <c r="DS1197" s="552">
        <f t="shared" si="4799"/>
        <v>0</v>
      </c>
      <c r="DT1197" s="552">
        <f t="shared" si="4799"/>
        <v>0</v>
      </c>
      <c r="DU1197" s="552">
        <f t="shared" si="4799"/>
        <v>0</v>
      </c>
      <c r="DV1197" s="552">
        <f t="shared" si="4799"/>
        <v>0</v>
      </c>
      <c r="DW1197" s="552">
        <f t="shared" si="4799"/>
        <v>0</v>
      </c>
      <c r="DX1197" s="552">
        <f t="shared" si="4799"/>
        <v>0</v>
      </c>
      <c r="DY1197" s="552">
        <f t="shared" si="4799"/>
        <v>0</v>
      </c>
      <c r="DZ1197" s="552">
        <f t="shared" si="4799"/>
        <v>0</v>
      </c>
      <c r="EA1197" s="552">
        <f t="shared" si="4799"/>
        <v>0</v>
      </c>
      <c r="EB1197" s="552">
        <f t="shared" si="4799"/>
        <v>0</v>
      </c>
      <c r="EC1197" s="552">
        <f t="shared" si="4799"/>
        <v>0</v>
      </c>
      <c r="ED1197" s="552">
        <f t="shared" si="4799"/>
        <v>0</v>
      </c>
      <c r="EE1197" s="552">
        <f t="shared" si="4799"/>
        <v>0</v>
      </c>
      <c r="EF1197" s="552">
        <f t="shared" si="4799"/>
        <v>0</v>
      </c>
      <c r="EG1197" s="552">
        <f t="shared" si="4799"/>
        <v>0</v>
      </c>
      <c r="EH1197" s="552">
        <f t="shared" ref="EH1197:EX1197" si="4800">EH243*EH$338</f>
        <v>0</v>
      </c>
      <c r="EI1197" s="552">
        <f t="shared" si="4800"/>
        <v>0</v>
      </c>
      <c r="EJ1197" s="552">
        <f t="shared" si="4800"/>
        <v>0</v>
      </c>
      <c r="EK1197" s="552">
        <f t="shared" si="4800"/>
        <v>0</v>
      </c>
      <c r="EL1197" s="552">
        <f t="shared" si="4800"/>
        <v>0</v>
      </c>
      <c r="EM1197" s="552">
        <f t="shared" si="4800"/>
        <v>0</v>
      </c>
      <c r="EN1197" s="552">
        <f t="shared" si="4800"/>
        <v>0</v>
      </c>
      <c r="EO1197" s="552">
        <f t="shared" si="4800"/>
        <v>0</v>
      </c>
      <c r="EP1197" s="552">
        <f t="shared" si="4800"/>
        <v>0</v>
      </c>
      <c r="EQ1197" s="552">
        <f t="shared" si="4800"/>
        <v>0</v>
      </c>
      <c r="ER1197" s="552">
        <f t="shared" si="4800"/>
        <v>0</v>
      </c>
      <c r="ES1197" s="552">
        <f t="shared" si="4800"/>
        <v>0</v>
      </c>
      <c r="ET1197" s="552">
        <f t="shared" si="4800"/>
        <v>0</v>
      </c>
      <c r="EU1197" s="552">
        <f t="shared" si="4800"/>
        <v>0</v>
      </c>
      <c r="EV1197" s="552">
        <f t="shared" si="4800"/>
        <v>0</v>
      </c>
      <c r="EW1197" s="552">
        <f t="shared" si="4800"/>
        <v>0</v>
      </c>
      <c r="EX1197" s="552">
        <f t="shared" si="4800"/>
        <v>0</v>
      </c>
      <c r="EY1197" s="799">
        <f t="shared" si="4577"/>
        <v>0</v>
      </c>
      <c r="EZ1197" s="640"/>
      <c r="FA1197" s="640"/>
      <c r="FB1197" s="640"/>
      <c r="FC1197" s="640"/>
      <c r="FD1197" s="640"/>
      <c r="FE1197" s="640"/>
      <c r="FF1197" s="640"/>
      <c r="FG1197" s="640"/>
      <c r="FH1197" s="640"/>
      <c r="FI1197" s="640"/>
      <c r="FJ1197" s="640"/>
      <c r="FK1197" s="640"/>
      <c r="FL1197" s="640"/>
    </row>
    <row r="1198" spans="1:168" x14ac:dyDescent="0.25">
      <c r="A1198" s="1492"/>
      <c r="B1198" s="624">
        <f t="shared" si="4764"/>
        <v>0</v>
      </c>
      <c r="C1198" s="624">
        <f t="shared" si="4764"/>
        <v>0</v>
      </c>
      <c r="D1198" s="624">
        <f t="shared" si="4764"/>
        <v>0</v>
      </c>
      <c r="E1198" s="1158">
        <f t="shared" si="4765"/>
        <v>0</v>
      </c>
      <c r="F1198" s="1158"/>
      <c r="G1198" s="1140"/>
      <c r="H1198" s="1140"/>
      <c r="I1198" s="552"/>
      <c r="J1198" s="552">
        <f t="shared" ref="J1198:AO1198" si="4801">J244*J$338</f>
        <v>0</v>
      </c>
      <c r="K1198" s="552">
        <f t="shared" si="4801"/>
        <v>0</v>
      </c>
      <c r="L1198" s="552">
        <f t="shared" si="4801"/>
        <v>0</v>
      </c>
      <c r="M1198" s="552">
        <f t="shared" si="4801"/>
        <v>0</v>
      </c>
      <c r="N1198" s="552">
        <f t="shared" si="4801"/>
        <v>0</v>
      </c>
      <c r="O1198" s="552">
        <f t="shared" si="4801"/>
        <v>0</v>
      </c>
      <c r="P1198" s="552">
        <f t="shared" si="4801"/>
        <v>0</v>
      </c>
      <c r="Q1198" s="552">
        <f t="shared" si="4801"/>
        <v>0</v>
      </c>
      <c r="R1198" s="552">
        <f t="shared" si="4801"/>
        <v>0</v>
      </c>
      <c r="S1198" s="552">
        <f t="shared" si="4801"/>
        <v>0</v>
      </c>
      <c r="T1198" s="552">
        <f t="shared" si="4801"/>
        <v>0</v>
      </c>
      <c r="U1198" s="552">
        <f t="shared" si="4801"/>
        <v>0</v>
      </c>
      <c r="V1198" s="552">
        <f t="shared" si="4801"/>
        <v>0</v>
      </c>
      <c r="W1198" s="552">
        <f t="shared" si="4801"/>
        <v>0</v>
      </c>
      <c r="X1198" s="552">
        <f t="shared" si="4801"/>
        <v>0</v>
      </c>
      <c r="Y1198" s="552">
        <f t="shared" si="4801"/>
        <v>0</v>
      </c>
      <c r="Z1198" s="552">
        <f t="shared" si="4801"/>
        <v>0</v>
      </c>
      <c r="AA1198" s="552">
        <f t="shared" si="4801"/>
        <v>0</v>
      </c>
      <c r="AB1198" s="552">
        <f t="shared" si="4801"/>
        <v>0</v>
      </c>
      <c r="AC1198" s="552">
        <f t="shared" si="4801"/>
        <v>0</v>
      </c>
      <c r="AD1198" s="552">
        <f t="shared" si="4801"/>
        <v>0</v>
      </c>
      <c r="AE1198" s="552">
        <f t="shared" si="4801"/>
        <v>0</v>
      </c>
      <c r="AF1198" s="552">
        <f t="shared" si="4801"/>
        <v>0</v>
      </c>
      <c r="AG1198" s="552">
        <f t="shared" si="4801"/>
        <v>0</v>
      </c>
      <c r="AH1198" s="552">
        <f t="shared" si="4801"/>
        <v>0</v>
      </c>
      <c r="AI1198" s="552">
        <f t="shared" si="4801"/>
        <v>0</v>
      </c>
      <c r="AJ1198" s="552">
        <f t="shared" si="4801"/>
        <v>0</v>
      </c>
      <c r="AK1198" s="552">
        <f t="shared" si="4801"/>
        <v>0</v>
      </c>
      <c r="AL1198" s="552">
        <f t="shared" si="4801"/>
        <v>0</v>
      </c>
      <c r="AM1198" s="552">
        <f t="shared" si="4801"/>
        <v>0</v>
      </c>
      <c r="AN1198" s="552">
        <f t="shared" si="4801"/>
        <v>0</v>
      </c>
      <c r="AO1198" s="552">
        <f t="shared" si="4801"/>
        <v>0</v>
      </c>
      <c r="AP1198" s="552">
        <f t="shared" ref="AP1198:BU1198" si="4802">AP244*AP$338</f>
        <v>0</v>
      </c>
      <c r="AQ1198" s="552">
        <f t="shared" si="4802"/>
        <v>0</v>
      </c>
      <c r="AR1198" s="552">
        <f t="shared" si="4802"/>
        <v>0</v>
      </c>
      <c r="AS1198" s="552">
        <f t="shared" si="4802"/>
        <v>0</v>
      </c>
      <c r="AT1198" s="552">
        <f t="shared" si="4802"/>
        <v>0</v>
      </c>
      <c r="AU1198" s="552">
        <f t="shared" si="4802"/>
        <v>0</v>
      </c>
      <c r="AV1198" s="552">
        <f t="shared" si="4802"/>
        <v>0</v>
      </c>
      <c r="AW1198" s="552">
        <f t="shared" si="4802"/>
        <v>0</v>
      </c>
      <c r="AX1198" s="552">
        <f t="shared" si="4802"/>
        <v>0</v>
      </c>
      <c r="AY1198" s="552">
        <f t="shared" si="4802"/>
        <v>0</v>
      </c>
      <c r="AZ1198" s="552">
        <f t="shared" si="4802"/>
        <v>0</v>
      </c>
      <c r="BA1198" s="552">
        <f t="shared" si="4802"/>
        <v>0</v>
      </c>
      <c r="BB1198" s="552">
        <f t="shared" si="4802"/>
        <v>0</v>
      </c>
      <c r="BC1198" s="552">
        <f t="shared" si="4802"/>
        <v>0</v>
      </c>
      <c r="BD1198" s="552">
        <f t="shared" si="4802"/>
        <v>0</v>
      </c>
      <c r="BE1198" s="552">
        <f t="shared" si="4802"/>
        <v>0</v>
      </c>
      <c r="BF1198" s="552">
        <f t="shared" si="4802"/>
        <v>0</v>
      </c>
      <c r="BG1198" s="552">
        <f t="shared" si="4802"/>
        <v>0</v>
      </c>
      <c r="BH1198" s="552">
        <f t="shared" si="4802"/>
        <v>0</v>
      </c>
      <c r="BI1198" s="552">
        <f t="shared" si="4802"/>
        <v>0</v>
      </c>
      <c r="BJ1198" s="552">
        <f t="shared" si="4802"/>
        <v>0</v>
      </c>
      <c r="BK1198" s="552">
        <f t="shared" si="4802"/>
        <v>0</v>
      </c>
      <c r="BL1198" s="552">
        <f t="shared" si="4802"/>
        <v>0</v>
      </c>
      <c r="BM1198" s="552">
        <f t="shared" si="4802"/>
        <v>0</v>
      </c>
      <c r="BN1198" s="552">
        <f t="shared" si="4802"/>
        <v>0</v>
      </c>
      <c r="BO1198" s="552">
        <f t="shared" si="4802"/>
        <v>0</v>
      </c>
      <c r="BP1198" s="552">
        <f t="shared" si="4802"/>
        <v>0</v>
      </c>
      <c r="BQ1198" s="552">
        <f t="shared" si="4802"/>
        <v>0</v>
      </c>
      <c r="BR1198" s="552">
        <f t="shared" si="4802"/>
        <v>0</v>
      </c>
      <c r="BS1198" s="552">
        <f t="shared" si="4802"/>
        <v>0</v>
      </c>
      <c r="BT1198" s="552">
        <f t="shared" si="4802"/>
        <v>0</v>
      </c>
      <c r="BU1198" s="552">
        <f t="shared" si="4802"/>
        <v>0</v>
      </c>
      <c r="BV1198" s="552">
        <f t="shared" ref="BV1198:DA1198" si="4803">BV244*BV$338</f>
        <v>0</v>
      </c>
      <c r="BW1198" s="552">
        <f t="shared" si="4803"/>
        <v>0</v>
      </c>
      <c r="BX1198" s="552">
        <f t="shared" si="4803"/>
        <v>0</v>
      </c>
      <c r="BY1198" s="552">
        <f t="shared" si="4803"/>
        <v>0</v>
      </c>
      <c r="BZ1198" s="552">
        <f t="shared" si="4803"/>
        <v>0</v>
      </c>
      <c r="CA1198" s="552">
        <f t="shared" si="4803"/>
        <v>0</v>
      </c>
      <c r="CB1198" s="552">
        <f t="shared" si="4803"/>
        <v>0</v>
      </c>
      <c r="CC1198" s="552">
        <f t="shared" si="4803"/>
        <v>0</v>
      </c>
      <c r="CD1198" s="552">
        <f t="shared" si="4803"/>
        <v>0</v>
      </c>
      <c r="CE1198" s="552">
        <f t="shared" si="4803"/>
        <v>0</v>
      </c>
      <c r="CF1198" s="552">
        <f t="shared" si="4803"/>
        <v>0</v>
      </c>
      <c r="CG1198" s="552">
        <f t="shared" si="4803"/>
        <v>0</v>
      </c>
      <c r="CH1198" s="552">
        <f t="shared" si="4803"/>
        <v>0</v>
      </c>
      <c r="CI1198" s="552">
        <f t="shared" si="4803"/>
        <v>0</v>
      </c>
      <c r="CJ1198" s="552">
        <f t="shared" si="4803"/>
        <v>0</v>
      </c>
      <c r="CK1198" s="552">
        <f t="shared" si="4803"/>
        <v>0</v>
      </c>
      <c r="CL1198" s="552">
        <f t="shared" si="4803"/>
        <v>0</v>
      </c>
      <c r="CM1198" s="552">
        <f t="shared" si="4803"/>
        <v>0</v>
      </c>
      <c r="CN1198" s="552">
        <f t="shared" si="4803"/>
        <v>0</v>
      </c>
      <c r="CO1198" s="552">
        <f t="shared" si="4803"/>
        <v>0</v>
      </c>
      <c r="CP1198" s="552">
        <f t="shared" si="4803"/>
        <v>0</v>
      </c>
      <c r="CQ1198" s="552">
        <f t="shared" si="4803"/>
        <v>0</v>
      </c>
      <c r="CR1198" s="552">
        <f t="shared" si="4803"/>
        <v>0</v>
      </c>
      <c r="CS1198" s="552">
        <f t="shared" si="4803"/>
        <v>0</v>
      </c>
      <c r="CT1198" s="552">
        <f t="shared" si="4803"/>
        <v>0</v>
      </c>
      <c r="CU1198" s="552">
        <f t="shared" si="4803"/>
        <v>0</v>
      </c>
      <c r="CV1198" s="552">
        <f t="shared" si="4803"/>
        <v>0</v>
      </c>
      <c r="CW1198" s="552">
        <f t="shared" si="4803"/>
        <v>0</v>
      </c>
      <c r="CX1198" s="552">
        <f t="shared" si="4803"/>
        <v>0</v>
      </c>
      <c r="CY1198" s="552">
        <f t="shared" si="4803"/>
        <v>0</v>
      </c>
      <c r="CZ1198" s="552">
        <f t="shared" si="4803"/>
        <v>0</v>
      </c>
      <c r="DA1198" s="552">
        <f t="shared" si="4803"/>
        <v>0</v>
      </c>
      <c r="DB1198" s="552">
        <f t="shared" ref="DB1198:EG1198" si="4804">DB244*DB$338</f>
        <v>0</v>
      </c>
      <c r="DC1198" s="552">
        <f t="shared" si="4804"/>
        <v>0</v>
      </c>
      <c r="DD1198" s="552">
        <f t="shared" si="4804"/>
        <v>0</v>
      </c>
      <c r="DE1198" s="552">
        <f t="shared" si="4804"/>
        <v>0</v>
      </c>
      <c r="DF1198" s="552">
        <f t="shared" si="4804"/>
        <v>0</v>
      </c>
      <c r="DG1198" s="552">
        <f t="shared" si="4804"/>
        <v>0</v>
      </c>
      <c r="DH1198" s="552">
        <f t="shared" si="4804"/>
        <v>0</v>
      </c>
      <c r="DI1198" s="552">
        <f t="shared" si="4804"/>
        <v>0</v>
      </c>
      <c r="DJ1198" s="552">
        <f t="shared" si="4804"/>
        <v>0</v>
      </c>
      <c r="DK1198" s="552">
        <f t="shared" si="4804"/>
        <v>0</v>
      </c>
      <c r="DL1198" s="552">
        <f t="shared" si="4804"/>
        <v>0</v>
      </c>
      <c r="DM1198" s="552">
        <f t="shared" si="4804"/>
        <v>0</v>
      </c>
      <c r="DN1198" s="552">
        <f t="shared" si="4804"/>
        <v>0</v>
      </c>
      <c r="DO1198" s="552">
        <f t="shared" si="4804"/>
        <v>0</v>
      </c>
      <c r="DP1198" s="552">
        <f t="shared" si="4804"/>
        <v>0</v>
      </c>
      <c r="DQ1198" s="552">
        <f t="shared" si="4804"/>
        <v>0</v>
      </c>
      <c r="DR1198" s="552">
        <f t="shared" si="4804"/>
        <v>0</v>
      </c>
      <c r="DS1198" s="552">
        <f t="shared" si="4804"/>
        <v>0</v>
      </c>
      <c r="DT1198" s="552">
        <f t="shared" si="4804"/>
        <v>0</v>
      </c>
      <c r="DU1198" s="552">
        <f t="shared" si="4804"/>
        <v>0</v>
      </c>
      <c r="DV1198" s="552">
        <f t="shared" si="4804"/>
        <v>0</v>
      </c>
      <c r="DW1198" s="552">
        <f t="shared" si="4804"/>
        <v>0</v>
      </c>
      <c r="DX1198" s="552">
        <f t="shared" si="4804"/>
        <v>0</v>
      </c>
      <c r="DY1198" s="552">
        <f t="shared" si="4804"/>
        <v>0</v>
      </c>
      <c r="DZ1198" s="552">
        <f t="shared" si="4804"/>
        <v>0</v>
      </c>
      <c r="EA1198" s="552">
        <f t="shared" si="4804"/>
        <v>0</v>
      </c>
      <c r="EB1198" s="552">
        <f t="shared" si="4804"/>
        <v>0</v>
      </c>
      <c r="EC1198" s="552">
        <f t="shared" si="4804"/>
        <v>0</v>
      </c>
      <c r="ED1198" s="552">
        <f t="shared" si="4804"/>
        <v>0</v>
      </c>
      <c r="EE1198" s="552">
        <f t="shared" si="4804"/>
        <v>0</v>
      </c>
      <c r="EF1198" s="552">
        <f t="shared" si="4804"/>
        <v>0</v>
      </c>
      <c r="EG1198" s="552">
        <f t="shared" si="4804"/>
        <v>0</v>
      </c>
      <c r="EH1198" s="552">
        <f t="shared" ref="EH1198:EX1198" si="4805">EH244*EH$338</f>
        <v>0</v>
      </c>
      <c r="EI1198" s="552">
        <f t="shared" si="4805"/>
        <v>0</v>
      </c>
      <c r="EJ1198" s="552">
        <f t="shared" si="4805"/>
        <v>0</v>
      </c>
      <c r="EK1198" s="552">
        <f t="shared" si="4805"/>
        <v>0</v>
      </c>
      <c r="EL1198" s="552">
        <f t="shared" si="4805"/>
        <v>0</v>
      </c>
      <c r="EM1198" s="552">
        <f t="shared" si="4805"/>
        <v>0</v>
      </c>
      <c r="EN1198" s="552">
        <f t="shared" si="4805"/>
        <v>0</v>
      </c>
      <c r="EO1198" s="552">
        <f t="shared" si="4805"/>
        <v>0</v>
      </c>
      <c r="EP1198" s="552">
        <f t="shared" si="4805"/>
        <v>0</v>
      </c>
      <c r="EQ1198" s="552">
        <f t="shared" si="4805"/>
        <v>0</v>
      </c>
      <c r="ER1198" s="552">
        <f t="shared" si="4805"/>
        <v>0</v>
      </c>
      <c r="ES1198" s="552">
        <f t="shared" si="4805"/>
        <v>0</v>
      </c>
      <c r="ET1198" s="552">
        <f t="shared" si="4805"/>
        <v>0</v>
      </c>
      <c r="EU1198" s="552">
        <f t="shared" si="4805"/>
        <v>0</v>
      </c>
      <c r="EV1198" s="552">
        <f t="shared" si="4805"/>
        <v>0</v>
      </c>
      <c r="EW1198" s="552">
        <f t="shared" si="4805"/>
        <v>0</v>
      </c>
      <c r="EX1198" s="552">
        <f t="shared" si="4805"/>
        <v>0</v>
      </c>
      <c r="EY1198" s="799">
        <f t="shared" si="4577"/>
        <v>0</v>
      </c>
      <c r="EZ1198" s="640"/>
      <c r="FA1198" s="640"/>
      <c r="FB1198" s="640"/>
      <c r="FC1198" s="640"/>
      <c r="FD1198" s="640"/>
      <c r="FE1198" s="640"/>
      <c r="FF1198" s="640"/>
      <c r="FG1198" s="640"/>
      <c r="FH1198" s="640"/>
      <c r="FI1198" s="640"/>
      <c r="FJ1198" s="640"/>
      <c r="FK1198" s="640"/>
      <c r="FL1198" s="640"/>
    </row>
    <row r="1199" spans="1:168" x14ac:dyDescent="0.25">
      <c r="A1199" s="1493"/>
      <c r="B1199" s="624">
        <f t="shared" si="4764"/>
        <v>0</v>
      </c>
      <c r="C1199" s="624">
        <f t="shared" si="4764"/>
        <v>0</v>
      </c>
      <c r="D1199" s="624">
        <f t="shared" si="4764"/>
        <v>0</v>
      </c>
      <c r="E1199" s="1158">
        <f t="shared" si="4765"/>
        <v>0</v>
      </c>
      <c r="F1199" s="1158"/>
      <c r="G1199" s="1140"/>
      <c r="H1199" s="1140"/>
      <c r="I1199" s="552"/>
      <c r="J1199" s="552">
        <f>J245*J$338</f>
        <v>0</v>
      </c>
      <c r="K1199" s="552">
        <f t="shared" ref="K1199:BV1199" si="4806">K245*K$338</f>
        <v>0</v>
      </c>
      <c r="L1199" s="552">
        <f t="shared" si="4806"/>
        <v>0</v>
      </c>
      <c r="M1199" s="552">
        <f t="shared" si="4806"/>
        <v>0</v>
      </c>
      <c r="N1199" s="552">
        <f t="shared" si="4806"/>
        <v>0</v>
      </c>
      <c r="O1199" s="552">
        <f t="shared" si="4806"/>
        <v>0</v>
      </c>
      <c r="P1199" s="552">
        <f t="shared" si="4806"/>
        <v>0</v>
      </c>
      <c r="Q1199" s="552">
        <f t="shared" si="4806"/>
        <v>0</v>
      </c>
      <c r="R1199" s="552">
        <f t="shared" si="4806"/>
        <v>0</v>
      </c>
      <c r="S1199" s="552">
        <f t="shared" si="4806"/>
        <v>0</v>
      </c>
      <c r="T1199" s="552">
        <f t="shared" si="4806"/>
        <v>0</v>
      </c>
      <c r="U1199" s="552">
        <f t="shared" si="4806"/>
        <v>0</v>
      </c>
      <c r="V1199" s="552">
        <f t="shared" si="4806"/>
        <v>0</v>
      </c>
      <c r="W1199" s="552">
        <f t="shared" si="4806"/>
        <v>0</v>
      </c>
      <c r="X1199" s="552">
        <f t="shared" si="4806"/>
        <v>0</v>
      </c>
      <c r="Y1199" s="552">
        <f t="shared" si="4806"/>
        <v>0</v>
      </c>
      <c r="Z1199" s="552">
        <f t="shared" si="4806"/>
        <v>0</v>
      </c>
      <c r="AA1199" s="552">
        <f t="shared" si="4806"/>
        <v>0</v>
      </c>
      <c r="AB1199" s="552">
        <f t="shared" si="4806"/>
        <v>0</v>
      </c>
      <c r="AC1199" s="552">
        <f t="shared" si="4806"/>
        <v>0</v>
      </c>
      <c r="AD1199" s="552">
        <f t="shared" si="4806"/>
        <v>0</v>
      </c>
      <c r="AE1199" s="552">
        <f t="shared" si="4806"/>
        <v>0</v>
      </c>
      <c r="AF1199" s="552">
        <f t="shared" si="4806"/>
        <v>0</v>
      </c>
      <c r="AG1199" s="552">
        <f t="shared" si="4806"/>
        <v>0</v>
      </c>
      <c r="AH1199" s="552">
        <f t="shared" si="4806"/>
        <v>0</v>
      </c>
      <c r="AI1199" s="552">
        <f t="shared" si="4806"/>
        <v>0</v>
      </c>
      <c r="AJ1199" s="552">
        <f t="shared" si="4806"/>
        <v>0</v>
      </c>
      <c r="AK1199" s="552">
        <f t="shared" si="4806"/>
        <v>0</v>
      </c>
      <c r="AL1199" s="552">
        <f t="shared" si="4806"/>
        <v>0</v>
      </c>
      <c r="AM1199" s="552">
        <f t="shared" si="4806"/>
        <v>0</v>
      </c>
      <c r="AN1199" s="552">
        <f t="shared" si="4806"/>
        <v>0</v>
      </c>
      <c r="AO1199" s="552">
        <f t="shared" si="4806"/>
        <v>0</v>
      </c>
      <c r="AP1199" s="552">
        <f t="shared" si="4806"/>
        <v>0</v>
      </c>
      <c r="AQ1199" s="552">
        <f t="shared" si="4806"/>
        <v>0</v>
      </c>
      <c r="AR1199" s="552">
        <f t="shared" si="4806"/>
        <v>0</v>
      </c>
      <c r="AS1199" s="552">
        <f t="shared" si="4806"/>
        <v>0</v>
      </c>
      <c r="AT1199" s="552">
        <f t="shared" si="4806"/>
        <v>0</v>
      </c>
      <c r="AU1199" s="552">
        <f t="shared" si="4806"/>
        <v>0</v>
      </c>
      <c r="AV1199" s="552">
        <f t="shared" si="4806"/>
        <v>0</v>
      </c>
      <c r="AW1199" s="552">
        <f t="shared" si="4806"/>
        <v>0</v>
      </c>
      <c r="AX1199" s="552">
        <f t="shared" si="4806"/>
        <v>0</v>
      </c>
      <c r="AY1199" s="552">
        <f t="shared" si="4806"/>
        <v>0</v>
      </c>
      <c r="AZ1199" s="552">
        <f t="shared" si="4806"/>
        <v>0</v>
      </c>
      <c r="BA1199" s="552">
        <f t="shared" si="4806"/>
        <v>0</v>
      </c>
      <c r="BB1199" s="552">
        <f t="shared" si="4806"/>
        <v>0</v>
      </c>
      <c r="BC1199" s="552">
        <f t="shared" si="4806"/>
        <v>0</v>
      </c>
      <c r="BD1199" s="552">
        <f t="shared" si="4806"/>
        <v>0</v>
      </c>
      <c r="BE1199" s="552">
        <f t="shared" si="4806"/>
        <v>0</v>
      </c>
      <c r="BF1199" s="552">
        <f t="shared" si="4806"/>
        <v>0</v>
      </c>
      <c r="BG1199" s="552">
        <f t="shared" si="4806"/>
        <v>0</v>
      </c>
      <c r="BH1199" s="552">
        <f t="shared" si="4806"/>
        <v>0</v>
      </c>
      <c r="BI1199" s="552">
        <f t="shared" si="4806"/>
        <v>0</v>
      </c>
      <c r="BJ1199" s="552">
        <f t="shared" si="4806"/>
        <v>0</v>
      </c>
      <c r="BK1199" s="552">
        <f t="shared" si="4806"/>
        <v>0</v>
      </c>
      <c r="BL1199" s="552">
        <f t="shared" si="4806"/>
        <v>0</v>
      </c>
      <c r="BM1199" s="552">
        <f t="shared" si="4806"/>
        <v>0</v>
      </c>
      <c r="BN1199" s="552">
        <f t="shared" si="4806"/>
        <v>0</v>
      </c>
      <c r="BO1199" s="552">
        <f t="shared" si="4806"/>
        <v>0</v>
      </c>
      <c r="BP1199" s="552">
        <f t="shared" si="4806"/>
        <v>0</v>
      </c>
      <c r="BQ1199" s="552">
        <f t="shared" si="4806"/>
        <v>0</v>
      </c>
      <c r="BR1199" s="552">
        <f t="shared" si="4806"/>
        <v>0</v>
      </c>
      <c r="BS1199" s="552">
        <f t="shared" si="4806"/>
        <v>0</v>
      </c>
      <c r="BT1199" s="552">
        <f t="shared" si="4806"/>
        <v>0</v>
      </c>
      <c r="BU1199" s="552">
        <f t="shared" si="4806"/>
        <v>0</v>
      </c>
      <c r="BV1199" s="552">
        <f t="shared" si="4806"/>
        <v>0</v>
      </c>
      <c r="BW1199" s="552">
        <f t="shared" ref="BW1199:DB1199" si="4807">BW245*BW$338</f>
        <v>0</v>
      </c>
      <c r="BX1199" s="552">
        <f t="shared" si="4807"/>
        <v>0</v>
      </c>
      <c r="BY1199" s="552">
        <f t="shared" si="4807"/>
        <v>0</v>
      </c>
      <c r="BZ1199" s="552">
        <f t="shared" si="4807"/>
        <v>0</v>
      </c>
      <c r="CA1199" s="552">
        <f t="shared" si="4807"/>
        <v>0</v>
      </c>
      <c r="CB1199" s="552">
        <f t="shared" si="4807"/>
        <v>0</v>
      </c>
      <c r="CC1199" s="552">
        <f t="shared" si="4807"/>
        <v>0</v>
      </c>
      <c r="CD1199" s="552">
        <f t="shared" si="4807"/>
        <v>0</v>
      </c>
      <c r="CE1199" s="552">
        <f t="shared" si="4807"/>
        <v>0</v>
      </c>
      <c r="CF1199" s="552">
        <f t="shared" si="4807"/>
        <v>0</v>
      </c>
      <c r="CG1199" s="552">
        <f t="shared" si="4807"/>
        <v>0</v>
      </c>
      <c r="CH1199" s="552">
        <f t="shared" si="4807"/>
        <v>0</v>
      </c>
      <c r="CI1199" s="552">
        <f t="shared" si="4807"/>
        <v>0</v>
      </c>
      <c r="CJ1199" s="552">
        <f t="shared" si="4807"/>
        <v>0</v>
      </c>
      <c r="CK1199" s="552">
        <f t="shared" si="4807"/>
        <v>0</v>
      </c>
      <c r="CL1199" s="552">
        <f t="shared" si="4807"/>
        <v>0</v>
      </c>
      <c r="CM1199" s="552">
        <f t="shared" si="4807"/>
        <v>0</v>
      </c>
      <c r="CN1199" s="552">
        <f t="shared" si="4807"/>
        <v>0</v>
      </c>
      <c r="CO1199" s="552">
        <f t="shared" si="4807"/>
        <v>0</v>
      </c>
      <c r="CP1199" s="552">
        <f t="shared" si="4807"/>
        <v>0</v>
      </c>
      <c r="CQ1199" s="552">
        <f t="shared" si="4807"/>
        <v>0</v>
      </c>
      <c r="CR1199" s="552">
        <f t="shared" si="4807"/>
        <v>0</v>
      </c>
      <c r="CS1199" s="552">
        <f t="shared" si="4807"/>
        <v>0</v>
      </c>
      <c r="CT1199" s="552">
        <f t="shared" si="4807"/>
        <v>0</v>
      </c>
      <c r="CU1199" s="552">
        <f t="shared" si="4807"/>
        <v>0</v>
      </c>
      <c r="CV1199" s="552">
        <f t="shared" si="4807"/>
        <v>0</v>
      </c>
      <c r="CW1199" s="552">
        <f t="shared" si="4807"/>
        <v>0</v>
      </c>
      <c r="CX1199" s="552">
        <f t="shared" si="4807"/>
        <v>0</v>
      </c>
      <c r="CY1199" s="552">
        <f t="shared" si="4807"/>
        <v>0</v>
      </c>
      <c r="CZ1199" s="552">
        <f t="shared" si="4807"/>
        <v>0</v>
      </c>
      <c r="DA1199" s="552">
        <f t="shared" si="4807"/>
        <v>0</v>
      </c>
      <c r="DB1199" s="552">
        <f t="shared" si="4807"/>
        <v>0</v>
      </c>
      <c r="DC1199" s="552">
        <f t="shared" ref="DC1199:EH1199" si="4808">DC245*DC$338</f>
        <v>0</v>
      </c>
      <c r="DD1199" s="552">
        <f t="shared" si="4808"/>
        <v>0</v>
      </c>
      <c r="DE1199" s="552">
        <f t="shared" si="4808"/>
        <v>0</v>
      </c>
      <c r="DF1199" s="552">
        <f t="shared" si="4808"/>
        <v>0</v>
      </c>
      <c r="DG1199" s="552">
        <f t="shared" si="4808"/>
        <v>0</v>
      </c>
      <c r="DH1199" s="552">
        <f t="shared" si="4808"/>
        <v>0</v>
      </c>
      <c r="DI1199" s="552">
        <f t="shared" si="4808"/>
        <v>0</v>
      </c>
      <c r="DJ1199" s="552">
        <f t="shared" si="4808"/>
        <v>0</v>
      </c>
      <c r="DK1199" s="552">
        <f t="shared" si="4808"/>
        <v>0</v>
      </c>
      <c r="DL1199" s="552">
        <f t="shared" si="4808"/>
        <v>0</v>
      </c>
      <c r="DM1199" s="552">
        <f t="shared" si="4808"/>
        <v>0</v>
      </c>
      <c r="DN1199" s="552">
        <f t="shared" si="4808"/>
        <v>0</v>
      </c>
      <c r="DO1199" s="552">
        <f t="shared" si="4808"/>
        <v>0</v>
      </c>
      <c r="DP1199" s="552">
        <f t="shared" si="4808"/>
        <v>0</v>
      </c>
      <c r="DQ1199" s="552">
        <f t="shared" si="4808"/>
        <v>0</v>
      </c>
      <c r="DR1199" s="552">
        <f t="shared" si="4808"/>
        <v>0</v>
      </c>
      <c r="DS1199" s="552">
        <f t="shared" si="4808"/>
        <v>0</v>
      </c>
      <c r="DT1199" s="552">
        <f t="shared" si="4808"/>
        <v>0</v>
      </c>
      <c r="DU1199" s="552">
        <f t="shared" si="4808"/>
        <v>0</v>
      </c>
      <c r="DV1199" s="552">
        <f t="shared" si="4808"/>
        <v>0</v>
      </c>
      <c r="DW1199" s="552">
        <f t="shared" si="4808"/>
        <v>0</v>
      </c>
      <c r="DX1199" s="552">
        <f t="shared" si="4808"/>
        <v>0</v>
      </c>
      <c r="DY1199" s="552">
        <f t="shared" si="4808"/>
        <v>0</v>
      </c>
      <c r="DZ1199" s="552">
        <f t="shared" si="4808"/>
        <v>0</v>
      </c>
      <c r="EA1199" s="552">
        <f t="shared" si="4808"/>
        <v>0</v>
      </c>
      <c r="EB1199" s="552">
        <f t="shared" si="4808"/>
        <v>0</v>
      </c>
      <c r="EC1199" s="552">
        <f t="shared" si="4808"/>
        <v>0</v>
      </c>
      <c r="ED1199" s="552">
        <f t="shared" si="4808"/>
        <v>0</v>
      </c>
      <c r="EE1199" s="552">
        <f t="shared" si="4808"/>
        <v>0</v>
      </c>
      <c r="EF1199" s="552">
        <f t="shared" si="4808"/>
        <v>0</v>
      </c>
      <c r="EG1199" s="552">
        <f t="shared" si="4808"/>
        <v>0</v>
      </c>
      <c r="EH1199" s="552">
        <f t="shared" si="4808"/>
        <v>0</v>
      </c>
      <c r="EI1199" s="552">
        <f t="shared" ref="EI1199:EX1199" si="4809">EI245*EI$338</f>
        <v>0</v>
      </c>
      <c r="EJ1199" s="552">
        <f t="shared" si="4809"/>
        <v>0</v>
      </c>
      <c r="EK1199" s="552">
        <f t="shared" si="4809"/>
        <v>0</v>
      </c>
      <c r="EL1199" s="552">
        <f t="shared" si="4809"/>
        <v>0</v>
      </c>
      <c r="EM1199" s="552">
        <f t="shared" si="4809"/>
        <v>0</v>
      </c>
      <c r="EN1199" s="552">
        <f t="shared" si="4809"/>
        <v>0</v>
      </c>
      <c r="EO1199" s="552">
        <f t="shared" si="4809"/>
        <v>0</v>
      </c>
      <c r="EP1199" s="552">
        <f t="shared" si="4809"/>
        <v>0</v>
      </c>
      <c r="EQ1199" s="552">
        <f t="shared" si="4809"/>
        <v>0</v>
      </c>
      <c r="ER1199" s="552">
        <f t="shared" si="4809"/>
        <v>0</v>
      </c>
      <c r="ES1199" s="552">
        <f t="shared" si="4809"/>
        <v>0</v>
      </c>
      <c r="ET1199" s="552">
        <f t="shared" si="4809"/>
        <v>0</v>
      </c>
      <c r="EU1199" s="552">
        <f t="shared" si="4809"/>
        <v>0</v>
      </c>
      <c r="EV1199" s="552">
        <f t="shared" si="4809"/>
        <v>0</v>
      </c>
      <c r="EW1199" s="552">
        <f t="shared" si="4809"/>
        <v>0</v>
      </c>
      <c r="EX1199" s="552">
        <f t="shared" si="4809"/>
        <v>0</v>
      </c>
      <c r="EY1199" s="799">
        <f t="shared" si="4577"/>
        <v>0</v>
      </c>
      <c r="EZ1199" s="640"/>
      <c r="FA1199" s="640"/>
      <c r="FB1199" s="640"/>
      <c r="FC1199" s="640"/>
      <c r="FD1199" s="640"/>
      <c r="FE1199" s="640"/>
      <c r="FF1199" s="640"/>
      <c r="FG1199" s="640"/>
      <c r="FH1199" s="640"/>
      <c r="FI1199" s="640"/>
      <c r="FJ1199" s="640"/>
      <c r="FK1199" s="640"/>
      <c r="FL1199" s="640"/>
    </row>
    <row r="1200" spans="1:168" x14ac:dyDescent="0.25">
      <c r="A1200" s="254"/>
      <c r="B1200" s="625" t="s">
        <v>113</v>
      </c>
      <c r="C1200" s="1135"/>
      <c r="D1200" s="1138">
        <f>SUM(D1191:D1199)</f>
        <v>0</v>
      </c>
      <c r="E1200" s="1138">
        <f t="shared" ref="E1200:J1200" si="4810">SUM(E1191:E1199)</f>
        <v>0</v>
      </c>
      <c r="F1200" s="1138"/>
      <c r="G1200" s="1138">
        <f t="shared" si="4810"/>
        <v>0</v>
      </c>
      <c r="H1200" s="1138">
        <f t="shared" si="4810"/>
        <v>0</v>
      </c>
      <c r="I1200" s="554"/>
      <c r="J1200" s="1138">
        <f t="shared" si="4810"/>
        <v>0</v>
      </c>
      <c r="K1200" s="1138">
        <f t="shared" ref="K1200" si="4811">SUM(K1191:K1199)</f>
        <v>0</v>
      </c>
      <c r="L1200" s="1138">
        <f t="shared" ref="L1200" si="4812">SUM(L1191:L1199)</f>
        <v>0</v>
      </c>
      <c r="M1200" s="1138">
        <f t="shared" ref="M1200" si="4813">SUM(M1191:M1199)</f>
        <v>0</v>
      </c>
      <c r="N1200" s="1138">
        <f t="shared" ref="N1200" si="4814">SUM(N1191:N1199)</f>
        <v>0</v>
      </c>
      <c r="O1200" s="1138">
        <f t="shared" ref="O1200" si="4815">SUM(O1191:O1199)</f>
        <v>0</v>
      </c>
      <c r="P1200" s="1138">
        <f t="shared" ref="P1200" si="4816">SUM(P1191:P1199)</f>
        <v>0</v>
      </c>
      <c r="Q1200" s="1138">
        <f t="shared" ref="Q1200" si="4817">SUM(Q1191:Q1199)</f>
        <v>0</v>
      </c>
      <c r="R1200" s="1138">
        <f t="shared" ref="R1200" si="4818">SUM(R1191:R1199)</f>
        <v>0</v>
      </c>
      <c r="S1200" s="1138">
        <f t="shared" ref="S1200" si="4819">SUM(S1191:S1199)</f>
        <v>0</v>
      </c>
      <c r="T1200" s="1138">
        <f t="shared" ref="T1200" si="4820">SUM(T1191:T1199)</f>
        <v>0</v>
      </c>
      <c r="U1200" s="1138">
        <f t="shared" ref="U1200" si="4821">SUM(U1191:U1199)</f>
        <v>0</v>
      </c>
      <c r="V1200" s="1138">
        <f t="shared" ref="V1200" si="4822">SUM(V1191:V1199)</f>
        <v>0</v>
      </c>
      <c r="W1200" s="1138">
        <f t="shared" ref="W1200" si="4823">SUM(W1191:W1199)</f>
        <v>0</v>
      </c>
      <c r="X1200" s="1138">
        <f t="shared" ref="X1200" si="4824">SUM(X1191:X1199)</f>
        <v>0</v>
      </c>
      <c r="Y1200" s="1138">
        <f t="shared" ref="Y1200" si="4825">SUM(Y1191:Y1199)</f>
        <v>0</v>
      </c>
      <c r="Z1200" s="1138">
        <f t="shared" ref="Z1200" si="4826">SUM(Z1191:Z1199)</f>
        <v>0</v>
      </c>
      <c r="AA1200" s="1138">
        <f t="shared" ref="AA1200" si="4827">SUM(AA1191:AA1199)</f>
        <v>0</v>
      </c>
      <c r="AB1200" s="1138">
        <f t="shared" ref="AB1200" si="4828">SUM(AB1191:AB1199)</f>
        <v>0</v>
      </c>
      <c r="AC1200" s="1138">
        <f t="shared" ref="AC1200" si="4829">SUM(AC1191:AC1199)</f>
        <v>0</v>
      </c>
      <c r="AD1200" s="1138">
        <f t="shared" ref="AD1200" si="4830">SUM(AD1191:AD1199)</f>
        <v>0</v>
      </c>
      <c r="AE1200" s="1138">
        <f t="shared" ref="AE1200" si="4831">SUM(AE1191:AE1199)</f>
        <v>0</v>
      </c>
      <c r="AF1200" s="1138">
        <f t="shared" ref="AF1200" si="4832">SUM(AF1191:AF1199)</f>
        <v>0</v>
      </c>
      <c r="AG1200" s="1138">
        <f t="shared" ref="AG1200" si="4833">SUM(AG1191:AG1199)</f>
        <v>0</v>
      </c>
      <c r="AH1200" s="1138">
        <f t="shared" ref="AH1200" si="4834">SUM(AH1191:AH1199)</f>
        <v>0</v>
      </c>
      <c r="AI1200" s="1138">
        <f t="shared" ref="AI1200" si="4835">SUM(AI1191:AI1199)</f>
        <v>0</v>
      </c>
      <c r="AJ1200" s="1138">
        <f t="shared" ref="AJ1200" si="4836">SUM(AJ1191:AJ1199)</f>
        <v>0</v>
      </c>
      <c r="AK1200" s="1138">
        <f t="shared" ref="AK1200" si="4837">SUM(AK1191:AK1199)</f>
        <v>0</v>
      </c>
      <c r="AL1200" s="1138">
        <f t="shared" ref="AL1200" si="4838">SUM(AL1191:AL1199)</f>
        <v>0</v>
      </c>
      <c r="AM1200" s="1138">
        <f t="shared" ref="AM1200" si="4839">SUM(AM1191:AM1199)</f>
        <v>0</v>
      </c>
      <c r="AN1200" s="1138">
        <f t="shared" ref="AN1200" si="4840">SUM(AN1191:AN1199)</f>
        <v>0</v>
      </c>
      <c r="AO1200" s="1138">
        <f t="shared" ref="AO1200" si="4841">SUM(AO1191:AO1199)</f>
        <v>0</v>
      </c>
      <c r="AP1200" s="1138">
        <f t="shared" ref="AP1200" si="4842">SUM(AP1191:AP1199)</f>
        <v>0</v>
      </c>
      <c r="AQ1200" s="1138">
        <f t="shared" ref="AQ1200" si="4843">SUM(AQ1191:AQ1199)</f>
        <v>0</v>
      </c>
      <c r="AR1200" s="1138">
        <f t="shared" ref="AR1200" si="4844">SUM(AR1191:AR1199)</f>
        <v>0</v>
      </c>
      <c r="AS1200" s="1138">
        <f t="shared" ref="AS1200" si="4845">SUM(AS1191:AS1199)</f>
        <v>0</v>
      </c>
      <c r="AT1200" s="1138">
        <f t="shared" ref="AT1200" si="4846">SUM(AT1191:AT1199)</f>
        <v>0</v>
      </c>
      <c r="AU1200" s="1138">
        <f t="shared" ref="AU1200" si="4847">SUM(AU1191:AU1199)</f>
        <v>0</v>
      </c>
      <c r="AV1200" s="1138">
        <f t="shared" ref="AV1200" si="4848">SUM(AV1191:AV1199)</f>
        <v>0</v>
      </c>
      <c r="AW1200" s="1138">
        <f t="shared" ref="AW1200" si="4849">SUM(AW1191:AW1199)</f>
        <v>0</v>
      </c>
      <c r="AX1200" s="1138">
        <f t="shared" ref="AX1200" si="4850">SUM(AX1191:AX1199)</f>
        <v>0</v>
      </c>
      <c r="AY1200" s="1138">
        <f t="shared" ref="AY1200" si="4851">SUM(AY1191:AY1199)</f>
        <v>0</v>
      </c>
      <c r="AZ1200" s="1138">
        <f t="shared" ref="AZ1200" si="4852">SUM(AZ1191:AZ1199)</f>
        <v>0</v>
      </c>
      <c r="BA1200" s="1138">
        <f t="shared" ref="BA1200" si="4853">SUM(BA1191:BA1199)</f>
        <v>0</v>
      </c>
      <c r="BB1200" s="1138">
        <f t="shared" ref="BB1200" si="4854">SUM(BB1191:BB1199)</f>
        <v>0</v>
      </c>
      <c r="BC1200" s="1138">
        <f t="shared" ref="BC1200" si="4855">SUM(BC1191:BC1199)</f>
        <v>0</v>
      </c>
      <c r="BD1200" s="1138">
        <f t="shared" ref="BD1200" si="4856">SUM(BD1191:BD1199)</f>
        <v>0</v>
      </c>
      <c r="BE1200" s="1138">
        <f t="shared" ref="BE1200" si="4857">SUM(BE1191:BE1199)</f>
        <v>0</v>
      </c>
      <c r="BF1200" s="1138">
        <f t="shared" ref="BF1200" si="4858">SUM(BF1191:BF1199)</f>
        <v>0</v>
      </c>
      <c r="BG1200" s="1138">
        <f t="shared" ref="BG1200" si="4859">SUM(BG1191:BG1199)</f>
        <v>0</v>
      </c>
      <c r="BH1200" s="1138">
        <f t="shared" ref="BH1200" si="4860">SUM(BH1191:BH1199)</f>
        <v>0</v>
      </c>
      <c r="BI1200" s="1138">
        <f t="shared" ref="BI1200" si="4861">SUM(BI1191:BI1199)</f>
        <v>0</v>
      </c>
      <c r="BJ1200" s="1138">
        <f t="shared" ref="BJ1200" si="4862">SUM(BJ1191:BJ1199)</f>
        <v>0</v>
      </c>
      <c r="BK1200" s="1138">
        <f t="shared" ref="BK1200" si="4863">SUM(BK1191:BK1199)</f>
        <v>0</v>
      </c>
      <c r="BL1200" s="1138">
        <f t="shared" ref="BL1200" si="4864">SUM(BL1191:BL1199)</f>
        <v>0</v>
      </c>
      <c r="BM1200" s="1138">
        <f t="shared" ref="BM1200" si="4865">SUM(BM1191:BM1199)</f>
        <v>0</v>
      </c>
      <c r="BN1200" s="1138">
        <f t="shared" ref="BN1200" si="4866">SUM(BN1191:BN1199)</f>
        <v>0</v>
      </c>
      <c r="BO1200" s="1138">
        <f t="shared" ref="BO1200" si="4867">SUM(BO1191:BO1199)</f>
        <v>0</v>
      </c>
      <c r="BP1200" s="1138">
        <f t="shared" ref="BP1200" si="4868">SUM(BP1191:BP1199)</f>
        <v>0</v>
      </c>
      <c r="BQ1200" s="1138">
        <f t="shared" ref="BQ1200" si="4869">SUM(BQ1191:BQ1199)</f>
        <v>0</v>
      </c>
      <c r="BR1200" s="1138">
        <f t="shared" ref="BR1200" si="4870">SUM(BR1191:BR1199)</f>
        <v>0</v>
      </c>
      <c r="BS1200" s="1138">
        <f t="shared" ref="BS1200" si="4871">SUM(BS1191:BS1199)</f>
        <v>0</v>
      </c>
      <c r="BT1200" s="1138">
        <f t="shared" ref="BT1200" si="4872">SUM(BT1191:BT1199)</f>
        <v>0</v>
      </c>
      <c r="BU1200" s="1138">
        <f t="shared" ref="BU1200" si="4873">SUM(BU1191:BU1199)</f>
        <v>0</v>
      </c>
      <c r="BV1200" s="1138">
        <f t="shared" ref="BV1200" si="4874">SUM(BV1191:BV1199)</f>
        <v>0</v>
      </c>
      <c r="BW1200" s="1138">
        <f t="shared" ref="BW1200" si="4875">SUM(BW1191:BW1199)</f>
        <v>0</v>
      </c>
      <c r="BX1200" s="1138">
        <f t="shared" ref="BX1200" si="4876">SUM(BX1191:BX1199)</f>
        <v>0</v>
      </c>
      <c r="BY1200" s="1138">
        <f t="shared" ref="BY1200" si="4877">SUM(BY1191:BY1199)</f>
        <v>0</v>
      </c>
      <c r="BZ1200" s="1138">
        <f t="shared" ref="BZ1200" si="4878">SUM(BZ1191:BZ1199)</f>
        <v>0</v>
      </c>
      <c r="CA1200" s="1138">
        <f t="shared" ref="CA1200" si="4879">SUM(CA1191:CA1199)</f>
        <v>0</v>
      </c>
      <c r="CB1200" s="1138">
        <f t="shared" ref="CB1200" si="4880">SUM(CB1191:CB1199)</f>
        <v>0</v>
      </c>
      <c r="CC1200" s="1138">
        <f t="shared" ref="CC1200" si="4881">SUM(CC1191:CC1199)</f>
        <v>0</v>
      </c>
      <c r="CD1200" s="1138">
        <f t="shared" ref="CD1200" si="4882">SUM(CD1191:CD1199)</f>
        <v>0</v>
      </c>
      <c r="CE1200" s="1138">
        <f t="shared" ref="CE1200" si="4883">SUM(CE1191:CE1199)</f>
        <v>0</v>
      </c>
      <c r="CF1200" s="1138">
        <f t="shared" ref="CF1200" si="4884">SUM(CF1191:CF1199)</f>
        <v>0</v>
      </c>
      <c r="CG1200" s="1138">
        <f t="shared" ref="CG1200" si="4885">SUM(CG1191:CG1199)</f>
        <v>0</v>
      </c>
      <c r="CH1200" s="1138">
        <f t="shared" ref="CH1200" si="4886">SUM(CH1191:CH1199)</f>
        <v>0</v>
      </c>
      <c r="CI1200" s="1138">
        <f t="shared" ref="CI1200" si="4887">SUM(CI1191:CI1199)</f>
        <v>0</v>
      </c>
      <c r="CJ1200" s="1138">
        <f t="shared" ref="CJ1200" si="4888">SUM(CJ1191:CJ1199)</f>
        <v>0</v>
      </c>
      <c r="CK1200" s="1138">
        <f t="shared" ref="CK1200" si="4889">SUM(CK1191:CK1199)</f>
        <v>0</v>
      </c>
      <c r="CL1200" s="1138">
        <f t="shared" ref="CL1200" si="4890">SUM(CL1191:CL1199)</f>
        <v>0</v>
      </c>
      <c r="CM1200" s="1138">
        <f t="shared" ref="CM1200" si="4891">SUM(CM1191:CM1199)</f>
        <v>0</v>
      </c>
      <c r="CN1200" s="1138">
        <f t="shared" ref="CN1200" si="4892">SUM(CN1191:CN1199)</f>
        <v>0</v>
      </c>
      <c r="CO1200" s="1138">
        <f t="shared" ref="CO1200" si="4893">SUM(CO1191:CO1199)</f>
        <v>0</v>
      </c>
      <c r="CP1200" s="1138">
        <f t="shared" ref="CP1200" si="4894">SUM(CP1191:CP1199)</f>
        <v>0</v>
      </c>
      <c r="CQ1200" s="1138">
        <f t="shared" ref="CQ1200" si="4895">SUM(CQ1191:CQ1199)</f>
        <v>0</v>
      </c>
      <c r="CR1200" s="1138">
        <f t="shared" ref="CR1200" si="4896">SUM(CR1191:CR1199)</f>
        <v>0</v>
      </c>
      <c r="CS1200" s="1138">
        <f t="shared" ref="CS1200" si="4897">SUM(CS1191:CS1199)</f>
        <v>0</v>
      </c>
      <c r="CT1200" s="1138">
        <f t="shared" ref="CT1200" si="4898">SUM(CT1191:CT1199)</f>
        <v>0</v>
      </c>
      <c r="CU1200" s="1138">
        <f t="shared" ref="CU1200" si="4899">SUM(CU1191:CU1199)</f>
        <v>0</v>
      </c>
      <c r="CV1200" s="1138">
        <f t="shared" ref="CV1200" si="4900">SUM(CV1191:CV1199)</f>
        <v>0</v>
      </c>
      <c r="CW1200" s="1138">
        <f t="shared" ref="CW1200" si="4901">SUM(CW1191:CW1199)</f>
        <v>0</v>
      </c>
      <c r="CX1200" s="1138">
        <f t="shared" ref="CX1200" si="4902">SUM(CX1191:CX1199)</f>
        <v>0</v>
      </c>
      <c r="CY1200" s="1138">
        <f t="shared" ref="CY1200" si="4903">SUM(CY1191:CY1199)</f>
        <v>0</v>
      </c>
      <c r="CZ1200" s="1138">
        <f t="shared" ref="CZ1200" si="4904">SUM(CZ1191:CZ1199)</f>
        <v>0</v>
      </c>
      <c r="DA1200" s="1138">
        <f t="shared" ref="DA1200" si="4905">SUM(DA1191:DA1199)</f>
        <v>0</v>
      </c>
      <c r="DB1200" s="1138">
        <f t="shared" ref="DB1200" si="4906">SUM(DB1191:DB1199)</f>
        <v>0</v>
      </c>
      <c r="DC1200" s="1138">
        <f t="shared" ref="DC1200" si="4907">SUM(DC1191:DC1199)</f>
        <v>0</v>
      </c>
      <c r="DD1200" s="1138">
        <f t="shared" ref="DD1200" si="4908">SUM(DD1191:DD1199)</f>
        <v>0</v>
      </c>
      <c r="DE1200" s="1138">
        <f t="shared" ref="DE1200" si="4909">SUM(DE1191:DE1199)</f>
        <v>0</v>
      </c>
      <c r="DF1200" s="1138">
        <f t="shared" ref="DF1200" si="4910">SUM(DF1191:DF1199)</f>
        <v>0</v>
      </c>
      <c r="DG1200" s="1138">
        <f t="shared" ref="DG1200" si="4911">SUM(DG1191:DG1199)</f>
        <v>0</v>
      </c>
      <c r="DH1200" s="1138">
        <f t="shared" ref="DH1200" si="4912">SUM(DH1191:DH1199)</f>
        <v>0</v>
      </c>
      <c r="DI1200" s="1138">
        <f t="shared" ref="DI1200" si="4913">SUM(DI1191:DI1199)</f>
        <v>0</v>
      </c>
      <c r="DJ1200" s="1138">
        <f t="shared" ref="DJ1200" si="4914">SUM(DJ1191:DJ1199)</f>
        <v>0</v>
      </c>
      <c r="DK1200" s="1138">
        <f t="shared" ref="DK1200" si="4915">SUM(DK1191:DK1199)</f>
        <v>0</v>
      </c>
      <c r="DL1200" s="1138">
        <f t="shared" ref="DL1200" si="4916">SUM(DL1191:DL1199)</f>
        <v>0</v>
      </c>
      <c r="DM1200" s="1138">
        <f t="shared" ref="DM1200" si="4917">SUM(DM1191:DM1199)</f>
        <v>0</v>
      </c>
      <c r="DN1200" s="1138">
        <f t="shared" ref="DN1200" si="4918">SUM(DN1191:DN1199)</f>
        <v>0</v>
      </c>
      <c r="DO1200" s="1138">
        <f t="shared" ref="DO1200" si="4919">SUM(DO1191:DO1199)</f>
        <v>0</v>
      </c>
      <c r="DP1200" s="1138">
        <f t="shared" ref="DP1200" si="4920">SUM(DP1191:DP1199)</f>
        <v>0</v>
      </c>
      <c r="DQ1200" s="1138">
        <f t="shared" ref="DQ1200" si="4921">SUM(DQ1191:DQ1199)</f>
        <v>0</v>
      </c>
      <c r="DR1200" s="1138">
        <f t="shared" ref="DR1200" si="4922">SUM(DR1191:DR1199)</f>
        <v>0</v>
      </c>
      <c r="DS1200" s="1138">
        <f t="shared" ref="DS1200" si="4923">SUM(DS1191:DS1199)</f>
        <v>0</v>
      </c>
      <c r="DT1200" s="1138">
        <f t="shared" ref="DT1200" si="4924">SUM(DT1191:DT1199)</f>
        <v>0</v>
      </c>
      <c r="DU1200" s="1138">
        <f t="shared" ref="DU1200" si="4925">SUM(DU1191:DU1199)</f>
        <v>0</v>
      </c>
      <c r="DV1200" s="1138">
        <f t="shared" ref="DV1200" si="4926">SUM(DV1191:DV1199)</f>
        <v>0</v>
      </c>
      <c r="DW1200" s="1138">
        <f t="shared" ref="DW1200" si="4927">SUM(DW1191:DW1199)</f>
        <v>0</v>
      </c>
      <c r="DX1200" s="1138">
        <f t="shared" ref="DX1200" si="4928">SUM(DX1191:DX1199)</f>
        <v>0</v>
      </c>
      <c r="DY1200" s="1138">
        <f t="shared" ref="DY1200" si="4929">SUM(DY1191:DY1199)</f>
        <v>0</v>
      </c>
      <c r="DZ1200" s="1138">
        <f t="shared" ref="DZ1200" si="4930">SUM(DZ1191:DZ1199)</f>
        <v>0</v>
      </c>
      <c r="EA1200" s="1138">
        <f t="shared" ref="EA1200" si="4931">SUM(EA1191:EA1199)</f>
        <v>0</v>
      </c>
      <c r="EB1200" s="1138">
        <f t="shared" ref="EB1200" si="4932">SUM(EB1191:EB1199)</f>
        <v>0</v>
      </c>
      <c r="EC1200" s="1138">
        <f t="shared" ref="EC1200" si="4933">SUM(EC1191:EC1199)</f>
        <v>0</v>
      </c>
      <c r="ED1200" s="1138">
        <f t="shared" ref="ED1200" si="4934">SUM(ED1191:ED1199)</f>
        <v>0</v>
      </c>
      <c r="EE1200" s="1138">
        <f t="shared" ref="EE1200" si="4935">SUM(EE1191:EE1199)</f>
        <v>0</v>
      </c>
      <c r="EF1200" s="1138">
        <f t="shared" ref="EF1200" si="4936">SUM(EF1191:EF1199)</f>
        <v>0</v>
      </c>
      <c r="EG1200" s="1138">
        <f t="shared" ref="EG1200" si="4937">SUM(EG1191:EG1199)</f>
        <v>0</v>
      </c>
      <c r="EH1200" s="1138">
        <f t="shared" ref="EH1200" si="4938">SUM(EH1191:EH1199)</f>
        <v>0</v>
      </c>
      <c r="EI1200" s="1138">
        <f t="shared" ref="EI1200" si="4939">SUM(EI1191:EI1199)</f>
        <v>0</v>
      </c>
      <c r="EJ1200" s="1138">
        <f t="shared" ref="EJ1200" si="4940">SUM(EJ1191:EJ1199)</f>
        <v>0</v>
      </c>
      <c r="EK1200" s="1138">
        <f t="shared" ref="EK1200" si="4941">SUM(EK1191:EK1199)</f>
        <v>0</v>
      </c>
      <c r="EL1200" s="1138">
        <f t="shared" ref="EL1200" si="4942">SUM(EL1191:EL1199)</f>
        <v>0</v>
      </c>
      <c r="EM1200" s="1138">
        <f t="shared" ref="EM1200" si="4943">SUM(EM1191:EM1199)</f>
        <v>0</v>
      </c>
      <c r="EN1200" s="1138">
        <f t="shared" ref="EN1200" si="4944">SUM(EN1191:EN1199)</f>
        <v>0</v>
      </c>
      <c r="EO1200" s="1138">
        <f t="shared" ref="EO1200" si="4945">SUM(EO1191:EO1199)</f>
        <v>0</v>
      </c>
      <c r="EP1200" s="1138">
        <f t="shared" ref="EP1200" si="4946">SUM(EP1191:EP1199)</f>
        <v>0</v>
      </c>
      <c r="EQ1200" s="1138">
        <f t="shared" ref="EQ1200" si="4947">SUM(EQ1191:EQ1199)</f>
        <v>0</v>
      </c>
      <c r="ER1200" s="1138">
        <f t="shared" ref="ER1200" si="4948">SUM(ER1191:ER1199)</f>
        <v>0</v>
      </c>
      <c r="ES1200" s="1138">
        <f t="shared" ref="ES1200" si="4949">SUM(ES1191:ES1199)</f>
        <v>0</v>
      </c>
      <c r="ET1200" s="1138">
        <f t="shared" ref="ET1200" si="4950">SUM(ET1191:ET1199)</f>
        <v>0</v>
      </c>
      <c r="EU1200" s="1138">
        <f t="shared" ref="EU1200" si="4951">SUM(EU1191:EU1199)</f>
        <v>0</v>
      </c>
      <c r="EV1200" s="1138">
        <f t="shared" ref="EV1200" si="4952">SUM(EV1191:EV1199)</f>
        <v>0</v>
      </c>
      <c r="EW1200" s="1138">
        <f t="shared" ref="EW1200" si="4953">SUM(EW1191:EW1199)</f>
        <v>0</v>
      </c>
      <c r="EX1200" s="1138">
        <f t="shared" ref="EX1200:FL1200" si="4954">SUM(EX1191:EX1199)</f>
        <v>0</v>
      </c>
      <c r="EY1200" s="1138">
        <f t="shared" si="4954"/>
        <v>0</v>
      </c>
      <c r="EZ1200" s="1138">
        <f t="shared" si="4954"/>
        <v>0</v>
      </c>
      <c r="FA1200" s="1138">
        <f t="shared" si="4954"/>
        <v>0</v>
      </c>
      <c r="FB1200" s="1138">
        <f t="shared" si="4954"/>
        <v>0</v>
      </c>
      <c r="FC1200" s="1138">
        <f t="shared" si="4954"/>
        <v>0</v>
      </c>
      <c r="FD1200" s="1138">
        <f t="shared" si="4954"/>
        <v>0</v>
      </c>
      <c r="FE1200" s="1138">
        <f t="shared" si="4954"/>
        <v>0</v>
      </c>
      <c r="FF1200" s="1138">
        <f t="shared" si="4954"/>
        <v>0</v>
      </c>
      <c r="FG1200" s="1138">
        <f t="shared" si="4954"/>
        <v>0</v>
      </c>
      <c r="FH1200" s="1138">
        <f t="shared" si="4954"/>
        <v>0</v>
      </c>
      <c r="FI1200" s="1138">
        <f t="shared" si="4954"/>
        <v>0</v>
      </c>
      <c r="FJ1200" s="1138">
        <f t="shared" si="4954"/>
        <v>0</v>
      </c>
      <c r="FK1200" s="1138">
        <f t="shared" si="4954"/>
        <v>0</v>
      </c>
      <c r="FL1200" s="1138">
        <f t="shared" si="4954"/>
        <v>0</v>
      </c>
    </row>
    <row r="1201" spans="1:168" x14ac:dyDescent="0.25">
      <c r="A1201" s="1491" t="s">
        <v>800</v>
      </c>
      <c r="B1201" s="624">
        <f t="shared" ref="B1201:D1205" si="4955">B247</f>
        <v>0</v>
      </c>
      <c r="C1201" s="624">
        <f t="shared" si="4955"/>
        <v>0</v>
      </c>
      <c r="D1201" s="624">
        <f t="shared" si="4955"/>
        <v>0</v>
      </c>
      <c r="E1201" s="1158">
        <f t="shared" ref="E1201:E1205" si="4956">EY1201</f>
        <v>0</v>
      </c>
      <c r="F1201" s="1158"/>
      <c r="G1201" s="1140"/>
      <c r="H1201" s="1140"/>
      <c r="I1201" s="552"/>
      <c r="J1201" s="552">
        <f t="shared" ref="J1201:AO1201" si="4957">J247*J$338</f>
        <v>0</v>
      </c>
      <c r="K1201" s="552">
        <f t="shared" si="4957"/>
        <v>0</v>
      </c>
      <c r="L1201" s="552">
        <f t="shared" si="4957"/>
        <v>0</v>
      </c>
      <c r="M1201" s="552">
        <f t="shared" si="4957"/>
        <v>0</v>
      </c>
      <c r="N1201" s="552">
        <f t="shared" si="4957"/>
        <v>0</v>
      </c>
      <c r="O1201" s="552">
        <f t="shared" si="4957"/>
        <v>0</v>
      </c>
      <c r="P1201" s="552">
        <f t="shared" si="4957"/>
        <v>0</v>
      </c>
      <c r="Q1201" s="552">
        <f t="shared" si="4957"/>
        <v>0</v>
      </c>
      <c r="R1201" s="552">
        <f t="shared" si="4957"/>
        <v>0</v>
      </c>
      <c r="S1201" s="552">
        <f t="shared" si="4957"/>
        <v>0</v>
      </c>
      <c r="T1201" s="552">
        <f t="shared" si="4957"/>
        <v>0</v>
      </c>
      <c r="U1201" s="552">
        <f t="shared" si="4957"/>
        <v>0</v>
      </c>
      <c r="V1201" s="552">
        <f t="shared" si="4957"/>
        <v>0</v>
      </c>
      <c r="W1201" s="552">
        <f t="shared" si="4957"/>
        <v>0</v>
      </c>
      <c r="X1201" s="552">
        <f t="shared" si="4957"/>
        <v>0</v>
      </c>
      <c r="Y1201" s="552">
        <f t="shared" si="4957"/>
        <v>0</v>
      </c>
      <c r="Z1201" s="552">
        <f t="shared" si="4957"/>
        <v>0</v>
      </c>
      <c r="AA1201" s="552">
        <f t="shared" si="4957"/>
        <v>0</v>
      </c>
      <c r="AB1201" s="552">
        <f t="shared" si="4957"/>
        <v>0</v>
      </c>
      <c r="AC1201" s="552">
        <f t="shared" si="4957"/>
        <v>0</v>
      </c>
      <c r="AD1201" s="552">
        <f t="shared" si="4957"/>
        <v>0</v>
      </c>
      <c r="AE1201" s="552">
        <f t="shared" si="4957"/>
        <v>0</v>
      </c>
      <c r="AF1201" s="552">
        <f t="shared" si="4957"/>
        <v>0</v>
      </c>
      <c r="AG1201" s="552">
        <f t="shared" si="4957"/>
        <v>0</v>
      </c>
      <c r="AH1201" s="552">
        <f t="shared" si="4957"/>
        <v>0</v>
      </c>
      <c r="AI1201" s="552">
        <f t="shared" si="4957"/>
        <v>0</v>
      </c>
      <c r="AJ1201" s="552">
        <f t="shared" si="4957"/>
        <v>0</v>
      </c>
      <c r="AK1201" s="552">
        <f t="shared" si="4957"/>
        <v>0</v>
      </c>
      <c r="AL1201" s="552">
        <f t="shared" si="4957"/>
        <v>0</v>
      </c>
      <c r="AM1201" s="552">
        <f t="shared" si="4957"/>
        <v>0</v>
      </c>
      <c r="AN1201" s="552">
        <f t="shared" si="4957"/>
        <v>0</v>
      </c>
      <c r="AO1201" s="552">
        <f t="shared" si="4957"/>
        <v>0</v>
      </c>
      <c r="AP1201" s="552">
        <f t="shared" ref="AP1201:BU1201" si="4958">AP247*AP$338</f>
        <v>0</v>
      </c>
      <c r="AQ1201" s="552">
        <f t="shared" si="4958"/>
        <v>0</v>
      </c>
      <c r="AR1201" s="552">
        <f t="shared" si="4958"/>
        <v>0</v>
      </c>
      <c r="AS1201" s="552">
        <f t="shared" si="4958"/>
        <v>0</v>
      </c>
      <c r="AT1201" s="552">
        <f t="shared" si="4958"/>
        <v>0</v>
      </c>
      <c r="AU1201" s="552">
        <f t="shared" si="4958"/>
        <v>0</v>
      </c>
      <c r="AV1201" s="552">
        <f t="shared" si="4958"/>
        <v>0</v>
      </c>
      <c r="AW1201" s="552">
        <f t="shared" si="4958"/>
        <v>0</v>
      </c>
      <c r="AX1201" s="552">
        <f t="shared" si="4958"/>
        <v>0</v>
      </c>
      <c r="AY1201" s="552">
        <f t="shared" si="4958"/>
        <v>0</v>
      </c>
      <c r="AZ1201" s="552">
        <f t="shared" si="4958"/>
        <v>0</v>
      </c>
      <c r="BA1201" s="552">
        <f t="shared" si="4958"/>
        <v>0</v>
      </c>
      <c r="BB1201" s="552">
        <f t="shared" si="4958"/>
        <v>0</v>
      </c>
      <c r="BC1201" s="552">
        <f t="shared" si="4958"/>
        <v>0</v>
      </c>
      <c r="BD1201" s="552">
        <f t="shared" si="4958"/>
        <v>0</v>
      </c>
      <c r="BE1201" s="552">
        <f t="shared" si="4958"/>
        <v>0</v>
      </c>
      <c r="BF1201" s="552">
        <f t="shared" si="4958"/>
        <v>0</v>
      </c>
      <c r="BG1201" s="552">
        <f t="shared" si="4958"/>
        <v>0</v>
      </c>
      <c r="BH1201" s="552">
        <f t="shared" si="4958"/>
        <v>0</v>
      </c>
      <c r="BI1201" s="552">
        <f t="shared" si="4958"/>
        <v>0</v>
      </c>
      <c r="BJ1201" s="552">
        <f t="shared" si="4958"/>
        <v>0</v>
      </c>
      <c r="BK1201" s="552">
        <f t="shared" si="4958"/>
        <v>0</v>
      </c>
      <c r="BL1201" s="552">
        <f t="shared" si="4958"/>
        <v>0</v>
      </c>
      <c r="BM1201" s="552">
        <f t="shared" si="4958"/>
        <v>0</v>
      </c>
      <c r="BN1201" s="552">
        <f t="shared" si="4958"/>
        <v>0</v>
      </c>
      <c r="BO1201" s="552">
        <f t="shared" si="4958"/>
        <v>0</v>
      </c>
      <c r="BP1201" s="552">
        <f t="shared" si="4958"/>
        <v>0</v>
      </c>
      <c r="BQ1201" s="552">
        <f t="shared" si="4958"/>
        <v>0</v>
      </c>
      <c r="BR1201" s="552">
        <f t="shared" si="4958"/>
        <v>0</v>
      </c>
      <c r="BS1201" s="552">
        <f t="shared" si="4958"/>
        <v>0</v>
      </c>
      <c r="BT1201" s="552">
        <f t="shared" si="4958"/>
        <v>0</v>
      </c>
      <c r="BU1201" s="552">
        <f t="shared" si="4958"/>
        <v>0</v>
      </c>
      <c r="BV1201" s="552">
        <f t="shared" ref="BV1201:DA1201" si="4959">BV247*BV$338</f>
        <v>0</v>
      </c>
      <c r="BW1201" s="552">
        <f t="shared" si="4959"/>
        <v>0</v>
      </c>
      <c r="BX1201" s="552">
        <f t="shared" si="4959"/>
        <v>0</v>
      </c>
      <c r="BY1201" s="552">
        <f t="shared" si="4959"/>
        <v>0</v>
      </c>
      <c r="BZ1201" s="552">
        <f t="shared" si="4959"/>
        <v>0</v>
      </c>
      <c r="CA1201" s="552">
        <f t="shared" si="4959"/>
        <v>0</v>
      </c>
      <c r="CB1201" s="552">
        <f t="shared" si="4959"/>
        <v>0</v>
      </c>
      <c r="CC1201" s="552">
        <f t="shared" si="4959"/>
        <v>0</v>
      </c>
      <c r="CD1201" s="552">
        <f t="shared" si="4959"/>
        <v>0</v>
      </c>
      <c r="CE1201" s="552">
        <f t="shared" si="4959"/>
        <v>0</v>
      </c>
      <c r="CF1201" s="552">
        <f t="shared" si="4959"/>
        <v>0</v>
      </c>
      <c r="CG1201" s="552">
        <f t="shared" si="4959"/>
        <v>0</v>
      </c>
      <c r="CH1201" s="552">
        <f t="shared" si="4959"/>
        <v>0</v>
      </c>
      <c r="CI1201" s="552">
        <f t="shared" si="4959"/>
        <v>0</v>
      </c>
      <c r="CJ1201" s="552">
        <f t="shared" si="4959"/>
        <v>0</v>
      </c>
      <c r="CK1201" s="552">
        <f t="shared" si="4959"/>
        <v>0</v>
      </c>
      <c r="CL1201" s="552">
        <f t="shared" si="4959"/>
        <v>0</v>
      </c>
      <c r="CM1201" s="552">
        <f t="shared" si="4959"/>
        <v>0</v>
      </c>
      <c r="CN1201" s="552">
        <f t="shared" si="4959"/>
        <v>0</v>
      </c>
      <c r="CO1201" s="552">
        <f t="shared" si="4959"/>
        <v>0</v>
      </c>
      <c r="CP1201" s="552">
        <f t="shared" si="4959"/>
        <v>0</v>
      </c>
      <c r="CQ1201" s="552">
        <f t="shared" si="4959"/>
        <v>0</v>
      </c>
      <c r="CR1201" s="552">
        <f t="shared" si="4959"/>
        <v>0</v>
      </c>
      <c r="CS1201" s="552">
        <f t="shared" si="4959"/>
        <v>0</v>
      </c>
      <c r="CT1201" s="552">
        <f t="shared" si="4959"/>
        <v>0</v>
      </c>
      <c r="CU1201" s="552">
        <f t="shared" si="4959"/>
        <v>0</v>
      </c>
      <c r="CV1201" s="552">
        <f t="shared" si="4959"/>
        <v>0</v>
      </c>
      <c r="CW1201" s="552">
        <f t="shared" si="4959"/>
        <v>0</v>
      </c>
      <c r="CX1201" s="552">
        <f t="shared" si="4959"/>
        <v>0</v>
      </c>
      <c r="CY1201" s="552">
        <f t="shared" si="4959"/>
        <v>0</v>
      </c>
      <c r="CZ1201" s="552">
        <f t="shared" si="4959"/>
        <v>0</v>
      </c>
      <c r="DA1201" s="552">
        <f t="shared" si="4959"/>
        <v>0</v>
      </c>
      <c r="DB1201" s="552">
        <f t="shared" ref="DB1201:EG1201" si="4960">DB247*DB$338</f>
        <v>0</v>
      </c>
      <c r="DC1201" s="552">
        <f t="shared" si="4960"/>
        <v>0</v>
      </c>
      <c r="DD1201" s="552">
        <f t="shared" si="4960"/>
        <v>0</v>
      </c>
      <c r="DE1201" s="552">
        <f t="shared" si="4960"/>
        <v>0</v>
      </c>
      <c r="DF1201" s="552">
        <f t="shared" si="4960"/>
        <v>0</v>
      </c>
      <c r="DG1201" s="552">
        <f t="shared" si="4960"/>
        <v>0</v>
      </c>
      <c r="DH1201" s="552">
        <f t="shared" si="4960"/>
        <v>0</v>
      </c>
      <c r="DI1201" s="552">
        <f t="shared" si="4960"/>
        <v>0</v>
      </c>
      <c r="DJ1201" s="552">
        <f t="shared" si="4960"/>
        <v>0</v>
      </c>
      <c r="DK1201" s="552">
        <f t="shared" si="4960"/>
        <v>0</v>
      </c>
      <c r="DL1201" s="552">
        <f t="shared" si="4960"/>
        <v>0</v>
      </c>
      <c r="DM1201" s="552">
        <f t="shared" si="4960"/>
        <v>0</v>
      </c>
      <c r="DN1201" s="552">
        <f t="shared" si="4960"/>
        <v>0</v>
      </c>
      <c r="DO1201" s="552">
        <f t="shared" si="4960"/>
        <v>0</v>
      </c>
      <c r="DP1201" s="552">
        <f t="shared" si="4960"/>
        <v>0</v>
      </c>
      <c r="DQ1201" s="552">
        <f t="shared" si="4960"/>
        <v>0</v>
      </c>
      <c r="DR1201" s="552">
        <f t="shared" si="4960"/>
        <v>0</v>
      </c>
      <c r="DS1201" s="552">
        <f t="shared" si="4960"/>
        <v>0</v>
      </c>
      <c r="DT1201" s="552">
        <f t="shared" si="4960"/>
        <v>0</v>
      </c>
      <c r="DU1201" s="552">
        <f t="shared" si="4960"/>
        <v>0</v>
      </c>
      <c r="DV1201" s="552">
        <f t="shared" si="4960"/>
        <v>0</v>
      </c>
      <c r="DW1201" s="552">
        <f t="shared" si="4960"/>
        <v>0</v>
      </c>
      <c r="DX1201" s="552">
        <f t="shared" si="4960"/>
        <v>0</v>
      </c>
      <c r="DY1201" s="552">
        <f t="shared" si="4960"/>
        <v>0</v>
      </c>
      <c r="DZ1201" s="552">
        <f t="shared" si="4960"/>
        <v>0</v>
      </c>
      <c r="EA1201" s="552">
        <f t="shared" si="4960"/>
        <v>0</v>
      </c>
      <c r="EB1201" s="552">
        <f t="shared" si="4960"/>
        <v>0</v>
      </c>
      <c r="EC1201" s="552">
        <f t="shared" si="4960"/>
        <v>0</v>
      </c>
      <c r="ED1201" s="552">
        <f t="shared" si="4960"/>
        <v>0</v>
      </c>
      <c r="EE1201" s="552">
        <f t="shared" si="4960"/>
        <v>0</v>
      </c>
      <c r="EF1201" s="552">
        <f t="shared" si="4960"/>
        <v>0</v>
      </c>
      <c r="EG1201" s="552">
        <f t="shared" si="4960"/>
        <v>0</v>
      </c>
      <c r="EH1201" s="552">
        <f t="shared" ref="EH1201:EX1201" si="4961">EH247*EH$338</f>
        <v>0</v>
      </c>
      <c r="EI1201" s="552">
        <f t="shared" si="4961"/>
        <v>0</v>
      </c>
      <c r="EJ1201" s="552">
        <f t="shared" si="4961"/>
        <v>0</v>
      </c>
      <c r="EK1201" s="552">
        <f t="shared" si="4961"/>
        <v>0</v>
      </c>
      <c r="EL1201" s="552">
        <f t="shared" si="4961"/>
        <v>0</v>
      </c>
      <c r="EM1201" s="552">
        <f t="shared" si="4961"/>
        <v>0</v>
      </c>
      <c r="EN1201" s="552">
        <f t="shared" si="4961"/>
        <v>0</v>
      </c>
      <c r="EO1201" s="552">
        <f t="shared" si="4961"/>
        <v>0</v>
      </c>
      <c r="EP1201" s="552">
        <f t="shared" si="4961"/>
        <v>0</v>
      </c>
      <c r="EQ1201" s="552">
        <f t="shared" si="4961"/>
        <v>0</v>
      </c>
      <c r="ER1201" s="552">
        <f t="shared" si="4961"/>
        <v>0</v>
      </c>
      <c r="ES1201" s="552">
        <f t="shared" si="4961"/>
        <v>0</v>
      </c>
      <c r="ET1201" s="552">
        <f t="shared" si="4961"/>
        <v>0</v>
      </c>
      <c r="EU1201" s="552">
        <f t="shared" si="4961"/>
        <v>0</v>
      </c>
      <c r="EV1201" s="552">
        <f t="shared" si="4961"/>
        <v>0</v>
      </c>
      <c r="EW1201" s="552">
        <f t="shared" si="4961"/>
        <v>0</v>
      </c>
      <c r="EX1201" s="552">
        <f t="shared" si="4961"/>
        <v>0</v>
      </c>
      <c r="EY1201" s="799">
        <f t="shared" si="4577"/>
        <v>0</v>
      </c>
      <c r="EZ1201" s="640"/>
      <c r="FA1201" s="640"/>
      <c r="FB1201" s="640"/>
      <c r="FC1201" s="640"/>
      <c r="FD1201" s="640"/>
      <c r="FE1201" s="640"/>
      <c r="FF1201" s="640"/>
      <c r="FG1201" s="640"/>
      <c r="FH1201" s="640"/>
      <c r="FI1201" s="640"/>
      <c r="FJ1201" s="640"/>
      <c r="FK1201" s="640"/>
      <c r="FL1201" s="640"/>
    </row>
    <row r="1202" spans="1:168" x14ac:dyDescent="0.25">
      <c r="A1202" s="1492"/>
      <c r="B1202" s="624">
        <f t="shared" si="4955"/>
        <v>0</v>
      </c>
      <c r="C1202" s="624">
        <f t="shared" si="4955"/>
        <v>0</v>
      </c>
      <c r="D1202" s="624">
        <f t="shared" si="4955"/>
        <v>0</v>
      </c>
      <c r="E1202" s="1158">
        <f t="shared" si="4956"/>
        <v>0</v>
      </c>
      <c r="F1202" s="1158"/>
      <c r="G1202" s="1140"/>
      <c r="H1202" s="1140"/>
      <c r="I1202" s="552"/>
      <c r="J1202" s="552">
        <f t="shared" ref="J1202:AO1202" si="4962">J248*J$338</f>
        <v>0</v>
      </c>
      <c r="K1202" s="552">
        <f t="shared" si="4962"/>
        <v>0</v>
      </c>
      <c r="L1202" s="552">
        <f t="shared" si="4962"/>
        <v>0</v>
      </c>
      <c r="M1202" s="552">
        <f t="shared" si="4962"/>
        <v>0</v>
      </c>
      <c r="N1202" s="552">
        <f t="shared" si="4962"/>
        <v>0</v>
      </c>
      <c r="O1202" s="552">
        <f t="shared" si="4962"/>
        <v>0</v>
      </c>
      <c r="P1202" s="552">
        <f t="shared" si="4962"/>
        <v>0</v>
      </c>
      <c r="Q1202" s="552">
        <f t="shared" si="4962"/>
        <v>0</v>
      </c>
      <c r="R1202" s="552">
        <f t="shared" si="4962"/>
        <v>0</v>
      </c>
      <c r="S1202" s="552">
        <f t="shared" si="4962"/>
        <v>0</v>
      </c>
      <c r="T1202" s="552">
        <f t="shared" si="4962"/>
        <v>0</v>
      </c>
      <c r="U1202" s="552">
        <f t="shared" si="4962"/>
        <v>0</v>
      </c>
      <c r="V1202" s="552">
        <f t="shared" si="4962"/>
        <v>0</v>
      </c>
      <c r="W1202" s="552">
        <f t="shared" si="4962"/>
        <v>0</v>
      </c>
      <c r="X1202" s="552">
        <f t="shared" si="4962"/>
        <v>0</v>
      </c>
      <c r="Y1202" s="552">
        <f t="shared" si="4962"/>
        <v>0</v>
      </c>
      <c r="Z1202" s="552">
        <f t="shared" si="4962"/>
        <v>0</v>
      </c>
      <c r="AA1202" s="552">
        <f t="shared" si="4962"/>
        <v>0</v>
      </c>
      <c r="AB1202" s="552">
        <f t="shared" si="4962"/>
        <v>0</v>
      </c>
      <c r="AC1202" s="552">
        <f t="shared" si="4962"/>
        <v>0</v>
      </c>
      <c r="AD1202" s="552">
        <f t="shared" si="4962"/>
        <v>0</v>
      </c>
      <c r="AE1202" s="552">
        <f t="shared" si="4962"/>
        <v>0</v>
      </c>
      <c r="AF1202" s="552">
        <f t="shared" si="4962"/>
        <v>0</v>
      </c>
      <c r="AG1202" s="552">
        <f t="shared" si="4962"/>
        <v>0</v>
      </c>
      <c r="AH1202" s="552">
        <f t="shared" si="4962"/>
        <v>0</v>
      </c>
      <c r="AI1202" s="552">
        <f t="shared" si="4962"/>
        <v>0</v>
      </c>
      <c r="AJ1202" s="552">
        <f t="shared" si="4962"/>
        <v>0</v>
      </c>
      <c r="AK1202" s="552">
        <f t="shared" si="4962"/>
        <v>0</v>
      </c>
      <c r="AL1202" s="552">
        <f t="shared" si="4962"/>
        <v>0</v>
      </c>
      <c r="AM1202" s="552">
        <f t="shared" si="4962"/>
        <v>0</v>
      </c>
      <c r="AN1202" s="552">
        <f t="shared" si="4962"/>
        <v>0</v>
      </c>
      <c r="AO1202" s="552">
        <f t="shared" si="4962"/>
        <v>0</v>
      </c>
      <c r="AP1202" s="552">
        <f t="shared" ref="AP1202:BU1202" si="4963">AP248*AP$338</f>
        <v>0</v>
      </c>
      <c r="AQ1202" s="552">
        <f t="shared" si="4963"/>
        <v>0</v>
      </c>
      <c r="AR1202" s="552">
        <f t="shared" si="4963"/>
        <v>0</v>
      </c>
      <c r="AS1202" s="552">
        <f t="shared" si="4963"/>
        <v>0</v>
      </c>
      <c r="AT1202" s="552">
        <f t="shared" si="4963"/>
        <v>0</v>
      </c>
      <c r="AU1202" s="552">
        <f t="shared" si="4963"/>
        <v>0</v>
      </c>
      <c r="AV1202" s="552">
        <f t="shared" si="4963"/>
        <v>0</v>
      </c>
      <c r="AW1202" s="552">
        <f t="shared" si="4963"/>
        <v>0</v>
      </c>
      <c r="AX1202" s="552">
        <f t="shared" si="4963"/>
        <v>0</v>
      </c>
      <c r="AY1202" s="552">
        <f t="shared" si="4963"/>
        <v>0</v>
      </c>
      <c r="AZ1202" s="552">
        <f t="shared" si="4963"/>
        <v>0</v>
      </c>
      <c r="BA1202" s="552">
        <f t="shared" si="4963"/>
        <v>0</v>
      </c>
      <c r="BB1202" s="552">
        <f t="shared" si="4963"/>
        <v>0</v>
      </c>
      <c r="BC1202" s="552">
        <f t="shared" si="4963"/>
        <v>0</v>
      </c>
      <c r="BD1202" s="552">
        <f t="shared" si="4963"/>
        <v>0</v>
      </c>
      <c r="BE1202" s="552">
        <f t="shared" si="4963"/>
        <v>0</v>
      </c>
      <c r="BF1202" s="552">
        <f t="shared" si="4963"/>
        <v>0</v>
      </c>
      <c r="BG1202" s="552">
        <f t="shared" si="4963"/>
        <v>0</v>
      </c>
      <c r="BH1202" s="552">
        <f t="shared" si="4963"/>
        <v>0</v>
      </c>
      <c r="BI1202" s="552">
        <f t="shared" si="4963"/>
        <v>0</v>
      </c>
      <c r="BJ1202" s="552">
        <f t="shared" si="4963"/>
        <v>0</v>
      </c>
      <c r="BK1202" s="552">
        <f t="shared" si="4963"/>
        <v>0</v>
      </c>
      <c r="BL1202" s="552">
        <f t="shared" si="4963"/>
        <v>0</v>
      </c>
      <c r="BM1202" s="552">
        <f t="shared" si="4963"/>
        <v>0</v>
      </c>
      <c r="BN1202" s="552">
        <f t="shared" si="4963"/>
        <v>0</v>
      </c>
      <c r="BO1202" s="552">
        <f t="shared" si="4963"/>
        <v>0</v>
      </c>
      <c r="BP1202" s="552">
        <f t="shared" si="4963"/>
        <v>0</v>
      </c>
      <c r="BQ1202" s="552">
        <f t="shared" si="4963"/>
        <v>0</v>
      </c>
      <c r="BR1202" s="552">
        <f t="shared" si="4963"/>
        <v>0</v>
      </c>
      <c r="BS1202" s="552">
        <f t="shared" si="4963"/>
        <v>0</v>
      </c>
      <c r="BT1202" s="552">
        <f t="shared" si="4963"/>
        <v>0</v>
      </c>
      <c r="BU1202" s="552">
        <f t="shared" si="4963"/>
        <v>0</v>
      </c>
      <c r="BV1202" s="552">
        <f t="shared" ref="BV1202:DA1202" si="4964">BV248*BV$338</f>
        <v>0</v>
      </c>
      <c r="BW1202" s="552">
        <f t="shared" si="4964"/>
        <v>0</v>
      </c>
      <c r="BX1202" s="552">
        <f t="shared" si="4964"/>
        <v>0</v>
      </c>
      <c r="BY1202" s="552">
        <f t="shared" si="4964"/>
        <v>0</v>
      </c>
      <c r="BZ1202" s="552">
        <f t="shared" si="4964"/>
        <v>0</v>
      </c>
      <c r="CA1202" s="552">
        <f t="shared" si="4964"/>
        <v>0</v>
      </c>
      <c r="CB1202" s="552">
        <f t="shared" si="4964"/>
        <v>0</v>
      </c>
      <c r="CC1202" s="552">
        <f t="shared" si="4964"/>
        <v>0</v>
      </c>
      <c r="CD1202" s="552">
        <f t="shared" si="4964"/>
        <v>0</v>
      </c>
      <c r="CE1202" s="552">
        <f t="shared" si="4964"/>
        <v>0</v>
      </c>
      <c r="CF1202" s="552">
        <f t="shared" si="4964"/>
        <v>0</v>
      </c>
      <c r="CG1202" s="552">
        <f t="shared" si="4964"/>
        <v>0</v>
      </c>
      <c r="CH1202" s="552">
        <f t="shared" si="4964"/>
        <v>0</v>
      </c>
      <c r="CI1202" s="552">
        <f t="shared" si="4964"/>
        <v>0</v>
      </c>
      <c r="CJ1202" s="552">
        <f t="shared" si="4964"/>
        <v>0</v>
      </c>
      <c r="CK1202" s="552">
        <f t="shared" si="4964"/>
        <v>0</v>
      </c>
      <c r="CL1202" s="552">
        <f t="shared" si="4964"/>
        <v>0</v>
      </c>
      <c r="CM1202" s="552">
        <f t="shared" si="4964"/>
        <v>0</v>
      </c>
      <c r="CN1202" s="552">
        <f t="shared" si="4964"/>
        <v>0</v>
      </c>
      <c r="CO1202" s="552">
        <f t="shared" si="4964"/>
        <v>0</v>
      </c>
      <c r="CP1202" s="552">
        <f t="shared" si="4964"/>
        <v>0</v>
      </c>
      <c r="CQ1202" s="552">
        <f t="shared" si="4964"/>
        <v>0</v>
      </c>
      <c r="CR1202" s="552">
        <f t="shared" si="4964"/>
        <v>0</v>
      </c>
      <c r="CS1202" s="552">
        <f t="shared" si="4964"/>
        <v>0</v>
      </c>
      <c r="CT1202" s="552">
        <f t="shared" si="4964"/>
        <v>0</v>
      </c>
      <c r="CU1202" s="552">
        <f t="shared" si="4964"/>
        <v>0</v>
      </c>
      <c r="CV1202" s="552">
        <f t="shared" si="4964"/>
        <v>0</v>
      </c>
      <c r="CW1202" s="552">
        <f t="shared" si="4964"/>
        <v>0</v>
      </c>
      <c r="CX1202" s="552">
        <f t="shared" si="4964"/>
        <v>0</v>
      </c>
      <c r="CY1202" s="552">
        <f t="shared" si="4964"/>
        <v>0</v>
      </c>
      <c r="CZ1202" s="552">
        <f t="shared" si="4964"/>
        <v>0</v>
      </c>
      <c r="DA1202" s="552">
        <f t="shared" si="4964"/>
        <v>0</v>
      </c>
      <c r="DB1202" s="552">
        <f t="shared" ref="DB1202:EG1202" si="4965">DB248*DB$338</f>
        <v>0</v>
      </c>
      <c r="DC1202" s="552">
        <f t="shared" si="4965"/>
        <v>0</v>
      </c>
      <c r="DD1202" s="552">
        <f t="shared" si="4965"/>
        <v>0</v>
      </c>
      <c r="DE1202" s="552">
        <f t="shared" si="4965"/>
        <v>0</v>
      </c>
      <c r="DF1202" s="552">
        <f t="shared" si="4965"/>
        <v>0</v>
      </c>
      <c r="DG1202" s="552">
        <f t="shared" si="4965"/>
        <v>0</v>
      </c>
      <c r="DH1202" s="552">
        <f t="shared" si="4965"/>
        <v>0</v>
      </c>
      <c r="DI1202" s="552">
        <f t="shared" si="4965"/>
        <v>0</v>
      </c>
      <c r="DJ1202" s="552">
        <f t="shared" si="4965"/>
        <v>0</v>
      </c>
      <c r="DK1202" s="552">
        <f t="shared" si="4965"/>
        <v>0</v>
      </c>
      <c r="DL1202" s="552">
        <f t="shared" si="4965"/>
        <v>0</v>
      </c>
      <c r="DM1202" s="552">
        <f t="shared" si="4965"/>
        <v>0</v>
      </c>
      <c r="DN1202" s="552">
        <f t="shared" si="4965"/>
        <v>0</v>
      </c>
      <c r="DO1202" s="552">
        <f t="shared" si="4965"/>
        <v>0</v>
      </c>
      <c r="DP1202" s="552">
        <f t="shared" si="4965"/>
        <v>0</v>
      </c>
      <c r="DQ1202" s="552">
        <f t="shared" si="4965"/>
        <v>0</v>
      </c>
      <c r="DR1202" s="552">
        <f t="shared" si="4965"/>
        <v>0</v>
      </c>
      <c r="DS1202" s="552">
        <f t="shared" si="4965"/>
        <v>0</v>
      </c>
      <c r="DT1202" s="552">
        <f t="shared" si="4965"/>
        <v>0</v>
      </c>
      <c r="DU1202" s="552">
        <f t="shared" si="4965"/>
        <v>0</v>
      </c>
      <c r="DV1202" s="552">
        <f t="shared" si="4965"/>
        <v>0</v>
      </c>
      <c r="DW1202" s="552">
        <f t="shared" si="4965"/>
        <v>0</v>
      </c>
      <c r="DX1202" s="552">
        <f t="shared" si="4965"/>
        <v>0</v>
      </c>
      <c r="DY1202" s="552">
        <f t="shared" si="4965"/>
        <v>0</v>
      </c>
      <c r="DZ1202" s="552">
        <f t="shared" si="4965"/>
        <v>0</v>
      </c>
      <c r="EA1202" s="552">
        <f t="shared" si="4965"/>
        <v>0</v>
      </c>
      <c r="EB1202" s="552">
        <f t="shared" si="4965"/>
        <v>0</v>
      </c>
      <c r="EC1202" s="552">
        <f t="shared" si="4965"/>
        <v>0</v>
      </c>
      <c r="ED1202" s="552">
        <f t="shared" si="4965"/>
        <v>0</v>
      </c>
      <c r="EE1202" s="552">
        <f t="shared" si="4965"/>
        <v>0</v>
      </c>
      <c r="EF1202" s="552">
        <f t="shared" si="4965"/>
        <v>0</v>
      </c>
      <c r="EG1202" s="552">
        <f t="shared" si="4965"/>
        <v>0</v>
      </c>
      <c r="EH1202" s="552">
        <f t="shared" ref="EH1202:EX1202" si="4966">EH248*EH$338</f>
        <v>0</v>
      </c>
      <c r="EI1202" s="552">
        <f t="shared" si="4966"/>
        <v>0</v>
      </c>
      <c r="EJ1202" s="552">
        <f t="shared" si="4966"/>
        <v>0</v>
      </c>
      <c r="EK1202" s="552">
        <f t="shared" si="4966"/>
        <v>0</v>
      </c>
      <c r="EL1202" s="552">
        <f t="shared" si="4966"/>
        <v>0</v>
      </c>
      <c r="EM1202" s="552">
        <f t="shared" si="4966"/>
        <v>0</v>
      </c>
      <c r="EN1202" s="552">
        <f t="shared" si="4966"/>
        <v>0</v>
      </c>
      <c r="EO1202" s="552">
        <f t="shared" si="4966"/>
        <v>0</v>
      </c>
      <c r="EP1202" s="552">
        <f t="shared" si="4966"/>
        <v>0</v>
      </c>
      <c r="EQ1202" s="552">
        <f t="shared" si="4966"/>
        <v>0</v>
      </c>
      <c r="ER1202" s="552">
        <f t="shared" si="4966"/>
        <v>0</v>
      </c>
      <c r="ES1202" s="552">
        <f t="shared" si="4966"/>
        <v>0</v>
      </c>
      <c r="ET1202" s="552">
        <f t="shared" si="4966"/>
        <v>0</v>
      </c>
      <c r="EU1202" s="552">
        <f t="shared" si="4966"/>
        <v>0</v>
      </c>
      <c r="EV1202" s="552">
        <f t="shared" si="4966"/>
        <v>0</v>
      </c>
      <c r="EW1202" s="552">
        <f t="shared" si="4966"/>
        <v>0</v>
      </c>
      <c r="EX1202" s="552">
        <f t="shared" si="4966"/>
        <v>0</v>
      </c>
      <c r="EY1202" s="799">
        <f t="shared" si="4577"/>
        <v>0</v>
      </c>
      <c r="EZ1202" s="640"/>
      <c r="FA1202" s="640"/>
      <c r="FB1202" s="640"/>
      <c r="FC1202" s="640"/>
      <c r="FD1202" s="640"/>
      <c r="FE1202" s="640"/>
      <c r="FF1202" s="640"/>
      <c r="FG1202" s="640"/>
      <c r="FH1202" s="640"/>
      <c r="FI1202" s="640"/>
      <c r="FJ1202" s="640"/>
      <c r="FK1202" s="640"/>
      <c r="FL1202" s="640"/>
    </row>
    <row r="1203" spans="1:168" x14ac:dyDescent="0.25">
      <c r="A1203" s="1492"/>
      <c r="B1203" s="624">
        <f t="shared" si="4955"/>
        <v>0</v>
      </c>
      <c r="C1203" s="624">
        <f t="shared" si="4955"/>
        <v>0</v>
      </c>
      <c r="D1203" s="624">
        <f t="shared" si="4955"/>
        <v>0</v>
      </c>
      <c r="E1203" s="1158">
        <f t="shared" si="4956"/>
        <v>0</v>
      </c>
      <c r="F1203" s="1158"/>
      <c r="G1203" s="1140"/>
      <c r="H1203" s="1140"/>
      <c r="I1203" s="552"/>
      <c r="J1203" s="552">
        <f t="shared" ref="J1203:AO1203" si="4967">J249*J$338</f>
        <v>0</v>
      </c>
      <c r="K1203" s="552">
        <f t="shared" si="4967"/>
        <v>0</v>
      </c>
      <c r="L1203" s="552">
        <f t="shared" si="4967"/>
        <v>0</v>
      </c>
      <c r="M1203" s="552">
        <f t="shared" si="4967"/>
        <v>0</v>
      </c>
      <c r="N1203" s="552">
        <f t="shared" si="4967"/>
        <v>0</v>
      </c>
      <c r="O1203" s="552">
        <f t="shared" si="4967"/>
        <v>0</v>
      </c>
      <c r="P1203" s="552">
        <f t="shared" si="4967"/>
        <v>0</v>
      </c>
      <c r="Q1203" s="552">
        <f t="shared" si="4967"/>
        <v>0</v>
      </c>
      <c r="R1203" s="552">
        <f t="shared" si="4967"/>
        <v>0</v>
      </c>
      <c r="S1203" s="552">
        <f t="shared" si="4967"/>
        <v>0</v>
      </c>
      <c r="T1203" s="552">
        <f t="shared" si="4967"/>
        <v>0</v>
      </c>
      <c r="U1203" s="552">
        <f t="shared" si="4967"/>
        <v>0</v>
      </c>
      <c r="V1203" s="552">
        <f t="shared" si="4967"/>
        <v>0</v>
      </c>
      <c r="W1203" s="552">
        <f t="shared" si="4967"/>
        <v>0</v>
      </c>
      <c r="X1203" s="552">
        <f t="shared" si="4967"/>
        <v>0</v>
      </c>
      <c r="Y1203" s="552">
        <f t="shared" si="4967"/>
        <v>0</v>
      </c>
      <c r="Z1203" s="552">
        <f t="shared" si="4967"/>
        <v>0</v>
      </c>
      <c r="AA1203" s="552">
        <f t="shared" si="4967"/>
        <v>0</v>
      </c>
      <c r="AB1203" s="552">
        <f t="shared" si="4967"/>
        <v>0</v>
      </c>
      <c r="AC1203" s="552">
        <f t="shared" si="4967"/>
        <v>0</v>
      </c>
      <c r="AD1203" s="552">
        <f t="shared" si="4967"/>
        <v>0</v>
      </c>
      <c r="AE1203" s="552">
        <f t="shared" si="4967"/>
        <v>0</v>
      </c>
      <c r="AF1203" s="552">
        <f t="shared" si="4967"/>
        <v>0</v>
      </c>
      <c r="AG1203" s="552">
        <f t="shared" si="4967"/>
        <v>0</v>
      </c>
      <c r="AH1203" s="552">
        <f t="shared" si="4967"/>
        <v>0</v>
      </c>
      <c r="AI1203" s="552">
        <f t="shared" si="4967"/>
        <v>0</v>
      </c>
      <c r="AJ1203" s="552">
        <f t="shared" si="4967"/>
        <v>0</v>
      </c>
      <c r="AK1203" s="552">
        <f t="shared" si="4967"/>
        <v>0</v>
      </c>
      <c r="AL1203" s="552">
        <f t="shared" si="4967"/>
        <v>0</v>
      </c>
      <c r="AM1203" s="552">
        <f t="shared" si="4967"/>
        <v>0</v>
      </c>
      <c r="AN1203" s="552">
        <f t="shared" si="4967"/>
        <v>0</v>
      </c>
      <c r="AO1203" s="552">
        <f t="shared" si="4967"/>
        <v>0</v>
      </c>
      <c r="AP1203" s="552">
        <f t="shared" ref="AP1203:BU1203" si="4968">AP249*AP$338</f>
        <v>0</v>
      </c>
      <c r="AQ1203" s="552">
        <f t="shared" si="4968"/>
        <v>0</v>
      </c>
      <c r="AR1203" s="552">
        <f t="shared" si="4968"/>
        <v>0</v>
      </c>
      <c r="AS1203" s="552">
        <f t="shared" si="4968"/>
        <v>0</v>
      </c>
      <c r="AT1203" s="552">
        <f t="shared" si="4968"/>
        <v>0</v>
      </c>
      <c r="AU1203" s="552">
        <f t="shared" si="4968"/>
        <v>0</v>
      </c>
      <c r="AV1203" s="552">
        <f t="shared" si="4968"/>
        <v>0</v>
      </c>
      <c r="AW1203" s="552">
        <f t="shared" si="4968"/>
        <v>0</v>
      </c>
      <c r="AX1203" s="552">
        <f t="shared" si="4968"/>
        <v>0</v>
      </c>
      <c r="AY1203" s="552">
        <f t="shared" si="4968"/>
        <v>0</v>
      </c>
      <c r="AZ1203" s="552">
        <f t="shared" si="4968"/>
        <v>0</v>
      </c>
      <c r="BA1203" s="552">
        <f t="shared" si="4968"/>
        <v>0</v>
      </c>
      <c r="BB1203" s="552">
        <f t="shared" si="4968"/>
        <v>0</v>
      </c>
      <c r="BC1203" s="552">
        <f t="shared" si="4968"/>
        <v>0</v>
      </c>
      <c r="BD1203" s="552">
        <f t="shared" si="4968"/>
        <v>0</v>
      </c>
      <c r="BE1203" s="552">
        <f t="shared" si="4968"/>
        <v>0</v>
      </c>
      <c r="BF1203" s="552">
        <f t="shared" si="4968"/>
        <v>0</v>
      </c>
      <c r="BG1203" s="552">
        <f t="shared" si="4968"/>
        <v>0</v>
      </c>
      <c r="BH1203" s="552">
        <f t="shared" si="4968"/>
        <v>0</v>
      </c>
      <c r="BI1203" s="552">
        <f t="shared" si="4968"/>
        <v>0</v>
      </c>
      <c r="BJ1203" s="552">
        <f t="shared" si="4968"/>
        <v>0</v>
      </c>
      <c r="BK1203" s="552">
        <f t="shared" si="4968"/>
        <v>0</v>
      </c>
      <c r="BL1203" s="552">
        <f t="shared" si="4968"/>
        <v>0</v>
      </c>
      <c r="BM1203" s="552">
        <f t="shared" si="4968"/>
        <v>0</v>
      </c>
      <c r="BN1203" s="552">
        <f t="shared" si="4968"/>
        <v>0</v>
      </c>
      <c r="BO1203" s="552">
        <f t="shared" si="4968"/>
        <v>0</v>
      </c>
      <c r="BP1203" s="552">
        <f t="shared" si="4968"/>
        <v>0</v>
      </c>
      <c r="BQ1203" s="552">
        <f t="shared" si="4968"/>
        <v>0</v>
      </c>
      <c r="BR1203" s="552">
        <f t="shared" si="4968"/>
        <v>0</v>
      </c>
      <c r="BS1203" s="552">
        <f t="shared" si="4968"/>
        <v>0</v>
      </c>
      <c r="BT1203" s="552">
        <f t="shared" si="4968"/>
        <v>0</v>
      </c>
      <c r="BU1203" s="552">
        <f t="shared" si="4968"/>
        <v>0</v>
      </c>
      <c r="BV1203" s="552">
        <f t="shared" ref="BV1203:DA1203" si="4969">BV249*BV$338</f>
        <v>0</v>
      </c>
      <c r="BW1203" s="552">
        <f t="shared" si="4969"/>
        <v>0</v>
      </c>
      <c r="BX1203" s="552">
        <f t="shared" si="4969"/>
        <v>0</v>
      </c>
      <c r="BY1203" s="552">
        <f t="shared" si="4969"/>
        <v>0</v>
      </c>
      <c r="BZ1203" s="552">
        <f t="shared" si="4969"/>
        <v>0</v>
      </c>
      <c r="CA1203" s="552">
        <f t="shared" si="4969"/>
        <v>0</v>
      </c>
      <c r="CB1203" s="552">
        <f t="shared" si="4969"/>
        <v>0</v>
      </c>
      <c r="CC1203" s="552">
        <f t="shared" si="4969"/>
        <v>0</v>
      </c>
      <c r="CD1203" s="552">
        <f t="shared" si="4969"/>
        <v>0</v>
      </c>
      <c r="CE1203" s="552">
        <f t="shared" si="4969"/>
        <v>0</v>
      </c>
      <c r="CF1203" s="552">
        <f t="shared" si="4969"/>
        <v>0</v>
      </c>
      <c r="CG1203" s="552">
        <f t="shared" si="4969"/>
        <v>0</v>
      </c>
      <c r="CH1203" s="552">
        <f t="shared" si="4969"/>
        <v>0</v>
      </c>
      <c r="CI1203" s="552">
        <f t="shared" si="4969"/>
        <v>0</v>
      </c>
      <c r="CJ1203" s="552">
        <f t="shared" si="4969"/>
        <v>0</v>
      </c>
      <c r="CK1203" s="552">
        <f t="shared" si="4969"/>
        <v>0</v>
      </c>
      <c r="CL1203" s="552">
        <f t="shared" si="4969"/>
        <v>0</v>
      </c>
      <c r="CM1203" s="552">
        <f t="shared" si="4969"/>
        <v>0</v>
      </c>
      <c r="CN1203" s="552">
        <f t="shared" si="4969"/>
        <v>0</v>
      </c>
      <c r="CO1203" s="552">
        <f t="shared" si="4969"/>
        <v>0</v>
      </c>
      <c r="CP1203" s="552">
        <f t="shared" si="4969"/>
        <v>0</v>
      </c>
      <c r="CQ1203" s="552">
        <f t="shared" si="4969"/>
        <v>0</v>
      </c>
      <c r="CR1203" s="552">
        <f t="shared" si="4969"/>
        <v>0</v>
      </c>
      <c r="CS1203" s="552">
        <f t="shared" si="4969"/>
        <v>0</v>
      </c>
      <c r="CT1203" s="552">
        <f t="shared" si="4969"/>
        <v>0</v>
      </c>
      <c r="CU1203" s="552">
        <f t="shared" si="4969"/>
        <v>0</v>
      </c>
      <c r="CV1203" s="552">
        <f t="shared" si="4969"/>
        <v>0</v>
      </c>
      <c r="CW1203" s="552">
        <f t="shared" si="4969"/>
        <v>0</v>
      </c>
      <c r="CX1203" s="552">
        <f t="shared" si="4969"/>
        <v>0</v>
      </c>
      <c r="CY1203" s="552">
        <f t="shared" si="4969"/>
        <v>0</v>
      </c>
      <c r="CZ1203" s="552">
        <f t="shared" si="4969"/>
        <v>0</v>
      </c>
      <c r="DA1203" s="552">
        <f t="shared" si="4969"/>
        <v>0</v>
      </c>
      <c r="DB1203" s="552">
        <f t="shared" ref="DB1203:EG1203" si="4970">DB249*DB$338</f>
        <v>0</v>
      </c>
      <c r="DC1203" s="552">
        <f t="shared" si="4970"/>
        <v>0</v>
      </c>
      <c r="DD1203" s="552">
        <f t="shared" si="4970"/>
        <v>0</v>
      </c>
      <c r="DE1203" s="552">
        <f t="shared" si="4970"/>
        <v>0</v>
      </c>
      <c r="DF1203" s="552">
        <f t="shared" si="4970"/>
        <v>0</v>
      </c>
      <c r="DG1203" s="552">
        <f t="shared" si="4970"/>
        <v>0</v>
      </c>
      <c r="DH1203" s="552">
        <f t="shared" si="4970"/>
        <v>0</v>
      </c>
      <c r="DI1203" s="552">
        <f t="shared" si="4970"/>
        <v>0</v>
      </c>
      <c r="DJ1203" s="552">
        <f t="shared" si="4970"/>
        <v>0</v>
      </c>
      <c r="DK1203" s="552">
        <f t="shared" si="4970"/>
        <v>0</v>
      </c>
      <c r="DL1203" s="552">
        <f t="shared" si="4970"/>
        <v>0</v>
      </c>
      <c r="DM1203" s="552">
        <f t="shared" si="4970"/>
        <v>0</v>
      </c>
      <c r="DN1203" s="552">
        <f t="shared" si="4970"/>
        <v>0</v>
      </c>
      <c r="DO1203" s="552">
        <f t="shared" si="4970"/>
        <v>0</v>
      </c>
      <c r="DP1203" s="552">
        <f t="shared" si="4970"/>
        <v>0</v>
      </c>
      <c r="DQ1203" s="552">
        <f t="shared" si="4970"/>
        <v>0</v>
      </c>
      <c r="DR1203" s="552">
        <f t="shared" si="4970"/>
        <v>0</v>
      </c>
      <c r="DS1203" s="552">
        <f t="shared" si="4970"/>
        <v>0</v>
      </c>
      <c r="DT1203" s="552">
        <f t="shared" si="4970"/>
        <v>0</v>
      </c>
      <c r="DU1203" s="552">
        <f t="shared" si="4970"/>
        <v>0</v>
      </c>
      <c r="DV1203" s="552">
        <f t="shared" si="4970"/>
        <v>0</v>
      </c>
      <c r="DW1203" s="552">
        <f t="shared" si="4970"/>
        <v>0</v>
      </c>
      <c r="DX1203" s="552">
        <f t="shared" si="4970"/>
        <v>0</v>
      </c>
      <c r="DY1203" s="552">
        <f t="shared" si="4970"/>
        <v>0</v>
      </c>
      <c r="DZ1203" s="552">
        <f t="shared" si="4970"/>
        <v>0</v>
      </c>
      <c r="EA1203" s="552">
        <f t="shared" si="4970"/>
        <v>0</v>
      </c>
      <c r="EB1203" s="552">
        <f t="shared" si="4970"/>
        <v>0</v>
      </c>
      <c r="EC1203" s="552">
        <f t="shared" si="4970"/>
        <v>0</v>
      </c>
      <c r="ED1203" s="552">
        <f t="shared" si="4970"/>
        <v>0</v>
      </c>
      <c r="EE1203" s="552">
        <f t="shared" si="4970"/>
        <v>0</v>
      </c>
      <c r="EF1203" s="552">
        <f t="shared" si="4970"/>
        <v>0</v>
      </c>
      <c r="EG1203" s="552">
        <f t="shared" si="4970"/>
        <v>0</v>
      </c>
      <c r="EH1203" s="552">
        <f t="shared" ref="EH1203:EX1203" si="4971">EH249*EH$338</f>
        <v>0</v>
      </c>
      <c r="EI1203" s="552">
        <f t="shared" si="4971"/>
        <v>0</v>
      </c>
      <c r="EJ1203" s="552">
        <f t="shared" si="4971"/>
        <v>0</v>
      </c>
      <c r="EK1203" s="552">
        <f t="shared" si="4971"/>
        <v>0</v>
      </c>
      <c r="EL1203" s="552">
        <f t="shared" si="4971"/>
        <v>0</v>
      </c>
      <c r="EM1203" s="552">
        <f t="shared" si="4971"/>
        <v>0</v>
      </c>
      <c r="EN1203" s="552">
        <f t="shared" si="4971"/>
        <v>0</v>
      </c>
      <c r="EO1203" s="552">
        <f t="shared" si="4971"/>
        <v>0</v>
      </c>
      <c r="EP1203" s="552">
        <f t="shared" si="4971"/>
        <v>0</v>
      </c>
      <c r="EQ1203" s="552">
        <f t="shared" si="4971"/>
        <v>0</v>
      </c>
      <c r="ER1203" s="552">
        <f t="shared" si="4971"/>
        <v>0</v>
      </c>
      <c r="ES1203" s="552">
        <f t="shared" si="4971"/>
        <v>0</v>
      </c>
      <c r="ET1203" s="552">
        <f t="shared" si="4971"/>
        <v>0</v>
      </c>
      <c r="EU1203" s="552">
        <f t="shared" si="4971"/>
        <v>0</v>
      </c>
      <c r="EV1203" s="552">
        <f t="shared" si="4971"/>
        <v>0</v>
      </c>
      <c r="EW1203" s="552">
        <f t="shared" si="4971"/>
        <v>0</v>
      </c>
      <c r="EX1203" s="552">
        <f t="shared" si="4971"/>
        <v>0</v>
      </c>
      <c r="EY1203" s="799">
        <f t="shared" si="4577"/>
        <v>0</v>
      </c>
      <c r="EZ1203" s="640"/>
      <c r="FA1203" s="640"/>
      <c r="FB1203" s="640"/>
      <c r="FC1203" s="640"/>
      <c r="FD1203" s="640"/>
      <c r="FE1203" s="640"/>
      <c r="FF1203" s="640"/>
      <c r="FG1203" s="640"/>
      <c r="FH1203" s="640"/>
      <c r="FI1203" s="640"/>
      <c r="FJ1203" s="640"/>
      <c r="FK1203" s="640"/>
      <c r="FL1203" s="640"/>
    </row>
    <row r="1204" spans="1:168" x14ac:dyDescent="0.25">
      <c r="A1204" s="1492"/>
      <c r="B1204" s="624">
        <f t="shared" si="4955"/>
        <v>0</v>
      </c>
      <c r="C1204" s="624">
        <f t="shared" si="4955"/>
        <v>0</v>
      </c>
      <c r="D1204" s="624">
        <f t="shared" si="4955"/>
        <v>0</v>
      </c>
      <c r="E1204" s="1158">
        <f t="shared" si="4956"/>
        <v>0</v>
      </c>
      <c r="F1204" s="1158"/>
      <c r="G1204" s="1140"/>
      <c r="H1204" s="1140"/>
      <c r="I1204" s="552"/>
      <c r="J1204" s="552">
        <f t="shared" ref="J1204:AO1204" si="4972">J250*J$338</f>
        <v>0</v>
      </c>
      <c r="K1204" s="552">
        <f t="shared" si="4972"/>
        <v>0</v>
      </c>
      <c r="L1204" s="552">
        <f t="shared" si="4972"/>
        <v>0</v>
      </c>
      <c r="M1204" s="552">
        <f t="shared" si="4972"/>
        <v>0</v>
      </c>
      <c r="N1204" s="552">
        <f t="shared" si="4972"/>
        <v>0</v>
      </c>
      <c r="O1204" s="552">
        <f t="shared" si="4972"/>
        <v>0</v>
      </c>
      <c r="P1204" s="552">
        <f t="shared" si="4972"/>
        <v>0</v>
      </c>
      <c r="Q1204" s="552">
        <f t="shared" si="4972"/>
        <v>0</v>
      </c>
      <c r="R1204" s="552">
        <f t="shared" si="4972"/>
        <v>0</v>
      </c>
      <c r="S1204" s="552">
        <f t="shared" si="4972"/>
        <v>0</v>
      </c>
      <c r="T1204" s="552">
        <f t="shared" si="4972"/>
        <v>0</v>
      </c>
      <c r="U1204" s="552">
        <f t="shared" si="4972"/>
        <v>0</v>
      </c>
      <c r="V1204" s="552">
        <f t="shared" si="4972"/>
        <v>0</v>
      </c>
      <c r="W1204" s="552">
        <f t="shared" si="4972"/>
        <v>0</v>
      </c>
      <c r="X1204" s="552">
        <f t="shared" si="4972"/>
        <v>0</v>
      </c>
      <c r="Y1204" s="552">
        <f t="shared" si="4972"/>
        <v>0</v>
      </c>
      <c r="Z1204" s="552">
        <f t="shared" si="4972"/>
        <v>0</v>
      </c>
      <c r="AA1204" s="552">
        <f t="shared" si="4972"/>
        <v>0</v>
      </c>
      <c r="AB1204" s="552">
        <f t="shared" si="4972"/>
        <v>0</v>
      </c>
      <c r="AC1204" s="552">
        <f t="shared" si="4972"/>
        <v>0</v>
      </c>
      <c r="AD1204" s="552">
        <f t="shared" si="4972"/>
        <v>0</v>
      </c>
      <c r="AE1204" s="552">
        <f t="shared" si="4972"/>
        <v>0</v>
      </c>
      <c r="AF1204" s="552">
        <f t="shared" si="4972"/>
        <v>0</v>
      </c>
      <c r="AG1204" s="552">
        <f t="shared" si="4972"/>
        <v>0</v>
      </c>
      <c r="AH1204" s="552">
        <f t="shared" si="4972"/>
        <v>0</v>
      </c>
      <c r="AI1204" s="552">
        <f t="shared" si="4972"/>
        <v>0</v>
      </c>
      <c r="AJ1204" s="552">
        <f t="shared" si="4972"/>
        <v>0</v>
      </c>
      <c r="AK1204" s="552">
        <f t="shared" si="4972"/>
        <v>0</v>
      </c>
      <c r="AL1204" s="552">
        <f t="shared" si="4972"/>
        <v>0</v>
      </c>
      <c r="AM1204" s="552">
        <f t="shared" si="4972"/>
        <v>0</v>
      </c>
      <c r="AN1204" s="552">
        <f t="shared" si="4972"/>
        <v>0</v>
      </c>
      <c r="AO1204" s="552">
        <f t="shared" si="4972"/>
        <v>0</v>
      </c>
      <c r="AP1204" s="552">
        <f t="shared" ref="AP1204:BU1204" si="4973">AP250*AP$338</f>
        <v>0</v>
      </c>
      <c r="AQ1204" s="552">
        <f t="shared" si="4973"/>
        <v>0</v>
      </c>
      <c r="AR1204" s="552">
        <f t="shared" si="4973"/>
        <v>0</v>
      </c>
      <c r="AS1204" s="552">
        <f t="shared" si="4973"/>
        <v>0</v>
      </c>
      <c r="AT1204" s="552">
        <f t="shared" si="4973"/>
        <v>0</v>
      </c>
      <c r="AU1204" s="552">
        <f t="shared" si="4973"/>
        <v>0</v>
      </c>
      <c r="AV1204" s="552">
        <f t="shared" si="4973"/>
        <v>0</v>
      </c>
      <c r="AW1204" s="552">
        <f t="shared" si="4973"/>
        <v>0</v>
      </c>
      <c r="AX1204" s="552">
        <f t="shared" si="4973"/>
        <v>0</v>
      </c>
      <c r="AY1204" s="552">
        <f t="shared" si="4973"/>
        <v>0</v>
      </c>
      <c r="AZ1204" s="552">
        <f t="shared" si="4973"/>
        <v>0</v>
      </c>
      <c r="BA1204" s="552">
        <f t="shared" si="4973"/>
        <v>0</v>
      </c>
      <c r="BB1204" s="552">
        <f t="shared" si="4973"/>
        <v>0</v>
      </c>
      <c r="BC1204" s="552">
        <f t="shared" si="4973"/>
        <v>0</v>
      </c>
      <c r="BD1204" s="552">
        <f t="shared" si="4973"/>
        <v>0</v>
      </c>
      <c r="BE1204" s="552">
        <f t="shared" si="4973"/>
        <v>0</v>
      </c>
      <c r="BF1204" s="552">
        <f t="shared" si="4973"/>
        <v>0</v>
      </c>
      <c r="BG1204" s="552">
        <f t="shared" si="4973"/>
        <v>0</v>
      </c>
      <c r="BH1204" s="552">
        <f t="shared" si="4973"/>
        <v>0</v>
      </c>
      <c r="BI1204" s="552">
        <f t="shared" si="4973"/>
        <v>0</v>
      </c>
      <c r="BJ1204" s="552">
        <f t="shared" si="4973"/>
        <v>0</v>
      </c>
      <c r="BK1204" s="552">
        <f t="shared" si="4973"/>
        <v>0</v>
      </c>
      <c r="BL1204" s="552">
        <f t="shared" si="4973"/>
        <v>0</v>
      </c>
      <c r="BM1204" s="552">
        <f t="shared" si="4973"/>
        <v>0</v>
      </c>
      <c r="BN1204" s="552">
        <f t="shared" si="4973"/>
        <v>0</v>
      </c>
      <c r="BO1204" s="552">
        <f t="shared" si="4973"/>
        <v>0</v>
      </c>
      <c r="BP1204" s="552">
        <f t="shared" si="4973"/>
        <v>0</v>
      </c>
      <c r="BQ1204" s="552">
        <f t="shared" si="4973"/>
        <v>0</v>
      </c>
      <c r="BR1204" s="552">
        <f t="shared" si="4973"/>
        <v>0</v>
      </c>
      <c r="BS1204" s="552">
        <f t="shared" si="4973"/>
        <v>0</v>
      </c>
      <c r="BT1204" s="552">
        <f t="shared" si="4973"/>
        <v>0</v>
      </c>
      <c r="BU1204" s="552">
        <f t="shared" si="4973"/>
        <v>0</v>
      </c>
      <c r="BV1204" s="552">
        <f t="shared" ref="BV1204:DA1204" si="4974">BV250*BV$338</f>
        <v>0</v>
      </c>
      <c r="BW1204" s="552">
        <f t="shared" si="4974"/>
        <v>0</v>
      </c>
      <c r="BX1204" s="552">
        <f t="shared" si="4974"/>
        <v>0</v>
      </c>
      <c r="BY1204" s="552">
        <f t="shared" si="4974"/>
        <v>0</v>
      </c>
      <c r="BZ1204" s="552">
        <f t="shared" si="4974"/>
        <v>0</v>
      </c>
      <c r="CA1204" s="552">
        <f t="shared" si="4974"/>
        <v>0</v>
      </c>
      <c r="CB1204" s="552">
        <f t="shared" si="4974"/>
        <v>0</v>
      </c>
      <c r="CC1204" s="552">
        <f t="shared" si="4974"/>
        <v>0</v>
      </c>
      <c r="CD1204" s="552">
        <f t="shared" si="4974"/>
        <v>0</v>
      </c>
      <c r="CE1204" s="552">
        <f t="shared" si="4974"/>
        <v>0</v>
      </c>
      <c r="CF1204" s="552">
        <f t="shared" si="4974"/>
        <v>0</v>
      </c>
      <c r="CG1204" s="552">
        <f t="shared" si="4974"/>
        <v>0</v>
      </c>
      <c r="CH1204" s="552">
        <f t="shared" si="4974"/>
        <v>0</v>
      </c>
      <c r="CI1204" s="552">
        <f t="shared" si="4974"/>
        <v>0</v>
      </c>
      <c r="CJ1204" s="552">
        <f t="shared" si="4974"/>
        <v>0</v>
      </c>
      <c r="CK1204" s="552">
        <f t="shared" si="4974"/>
        <v>0</v>
      </c>
      <c r="CL1204" s="552">
        <f t="shared" si="4974"/>
        <v>0</v>
      </c>
      <c r="CM1204" s="552">
        <f t="shared" si="4974"/>
        <v>0</v>
      </c>
      <c r="CN1204" s="552">
        <f t="shared" si="4974"/>
        <v>0</v>
      </c>
      <c r="CO1204" s="552">
        <f t="shared" si="4974"/>
        <v>0</v>
      </c>
      <c r="CP1204" s="552">
        <f t="shared" si="4974"/>
        <v>0</v>
      </c>
      <c r="CQ1204" s="552">
        <f t="shared" si="4974"/>
        <v>0</v>
      </c>
      <c r="CR1204" s="552">
        <f t="shared" si="4974"/>
        <v>0</v>
      </c>
      <c r="CS1204" s="552">
        <f t="shared" si="4974"/>
        <v>0</v>
      </c>
      <c r="CT1204" s="552">
        <f t="shared" si="4974"/>
        <v>0</v>
      </c>
      <c r="CU1204" s="552">
        <f t="shared" si="4974"/>
        <v>0</v>
      </c>
      <c r="CV1204" s="552">
        <f t="shared" si="4974"/>
        <v>0</v>
      </c>
      <c r="CW1204" s="552">
        <f t="shared" si="4974"/>
        <v>0</v>
      </c>
      <c r="CX1204" s="552">
        <f t="shared" si="4974"/>
        <v>0</v>
      </c>
      <c r="CY1204" s="552">
        <f t="shared" si="4974"/>
        <v>0</v>
      </c>
      <c r="CZ1204" s="552">
        <f t="shared" si="4974"/>
        <v>0</v>
      </c>
      <c r="DA1204" s="552">
        <f t="shared" si="4974"/>
        <v>0</v>
      </c>
      <c r="DB1204" s="552">
        <f t="shared" ref="DB1204:EG1204" si="4975">DB250*DB$338</f>
        <v>0</v>
      </c>
      <c r="DC1204" s="552">
        <f t="shared" si="4975"/>
        <v>0</v>
      </c>
      <c r="DD1204" s="552">
        <f t="shared" si="4975"/>
        <v>0</v>
      </c>
      <c r="DE1204" s="552">
        <f t="shared" si="4975"/>
        <v>0</v>
      </c>
      <c r="DF1204" s="552">
        <f t="shared" si="4975"/>
        <v>0</v>
      </c>
      <c r="DG1204" s="552">
        <f t="shared" si="4975"/>
        <v>0</v>
      </c>
      <c r="DH1204" s="552">
        <f t="shared" si="4975"/>
        <v>0</v>
      </c>
      <c r="DI1204" s="552">
        <f t="shared" si="4975"/>
        <v>0</v>
      </c>
      <c r="DJ1204" s="552">
        <f t="shared" si="4975"/>
        <v>0</v>
      </c>
      <c r="DK1204" s="552">
        <f t="shared" si="4975"/>
        <v>0</v>
      </c>
      <c r="DL1204" s="552">
        <f t="shared" si="4975"/>
        <v>0</v>
      </c>
      <c r="DM1204" s="552">
        <f t="shared" si="4975"/>
        <v>0</v>
      </c>
      <c r="DN1204" s="552">
        <f t="shared" si="4975"/>
        <v>0</v>
      </c>
      <c r="DO1204" s="552">
        <f t="shared" si="4975"/>
        <v>0</v>
      </c>
      <c r="DP1204" s="552">
        <f t="shared" si="4975"/>
        <v>0</v>
      </c>
      <c r="DQ1204" s="552">
        <f t="shared" si="4975"/>
        <v>0</v>
      </c>
      <c r="DR1204" s="552">
        <f t="shared" si="4975"/>
        <v>0</v>
      </c>
      <c r="DS1204" s="552">
        <f t="shared" si="4975"/>
        <v>0</v>
      </c>
      <c r="DT1204" s="552">
        <f t="shared" si="4975"/>
        <v>0</v>
      </c>
      <c r="DU1204" s="552">
        <f t="shared" si="4975"/>
        <v>0</v>
      </c>
      <c r="DV1204" s="552">
        <f t="shared" si="4975"/>
        <v>0</v>
      </c>
      <c r="DW1204" s="552">
        <f t="shared" si="4975"/>
        <v>0</v>
      </c>
      <c r="DX1204" s="552">
        <f t="shared" si="4975"/>
        <v>0</v>
      </c>
      <c r="DY1204" s="552">
        <f t="shared" si="4975"/>
        <v>0</v>
      </c>
      <c r="DZ1204" s="552">
        <f t="shared" si="4975"/>
        <v>0</v>
      </c>
      <c r="EA1204" s="552">
        <f t="shared" si="4975"/>
        <v>0</v>
      </c>
      <c r="EB1204" s="552">
        <f t="shared" si="4975"/>
        <v>0</v>
      </c>
      <c r="EC1204" s="552">
        <f t="shared" si="4975"/>
        <v>0</v>
      </c>
      <c r="ED1204" s="552">
        <f t="shared" si="4975"/>
        <v>0</v>
      </c>
      <c r="EE1204" s="552">
        <f t="shared" si="4975"/>
        <v>0</v>
      </c>
      <c r="EF1204" s="552">
        <f t="shared" si="4975"/>
        <v>0</v>
      </c>
      <c r="EG1204" s="552">
        <f t="shared" si="4975"/>
        <v>0</v>
      </c>
      <c r="EH1204" s="552">
        <f t="shared" ref="EH1204:EX1204" si="4976">EH250*EH$338</f>
        <v>0</v>
      </c>
      <c r="EI1204" s="552">
        <f t="shared" si="4976"/>
        <v>0</v>
      </c>
      <c r="EJ1204" s="552">
        <f t="shared" si="4976"/>
        <v>0</v>
      </c>
      <c r="EK1204" s="552">
        <f t="shared" si="4976"/>
        <v>0</v>
      </c>
      <c r="EL1204" s="552">
        <f t="shared" si="4976"/>
        <v>0</v>
      </c>
      <c r="EM1204" s="552">
        <f t="shared" si="4976"/>
        <v>0</v>
      </c>
      <c r="EN1204" s="552">
        <f t="shared" si="4976"/>
        <v>0</v>
      </c>
      <c r="EO1204" s="552">
        <f t="shared" si="4976"/>
        <v>0</v>
      </c>
      <c r="EP1204" s="552">
        <f t="shared" si="4976"/>
        <v>0</v>
      </c>
      <c r="EQ1204" s="552">
        <f t="shared" si="4976"/>
        <v>0</v>
      </c>
      <c r="ER1204" s="552">
        <f t="shared" si="4976"/>
        <v>0</v>
      </c>
      <c r="ES1204" s="552">
        <f t="shared" si="4976"/>
        <v>0</v>
      </c>
      <c r="ET1204" s="552">
        <f t="shared" si="4976"/>
        <v>0</v>
      </c>
      <c r="EU1204" s="552">
        <f t="shared" si="4976"/>
        <v>0</v>
      </c>
      <c r="EV1204" s="552">
        <f t="shared" si="4976"/>
        <v>0</v>
      </c>
      <c r="EW1204" s="552">
        <f t="shared" si="4976"/>
        <v>0</v>
      </c>
      <c r="EX1204" s="552">
        <f t="shared" si="4976"/>
        <v>0</v>
      </c>
      <c r="EY1204" s="799">
        <f t="shared" si="4577"/>
        <v>0</v>
      </c>
      <c r="EZ1204" s="640"/>
      <c r="FA1204" s="640"/>
      <c r="FB1204" s="640"/>
      <c r="FC1204" s="640"/>
      <c r="FD1204" s="640"/>
      <c r="FE1204" s="640"/>
      <c r="FF1204" s="640"/>
      <c r="FG1204" s="640"/>
      <c r="FH1204" s="640"/>
      <c r="FI1204" s="640"/>
      <c r="FJ1204" s="640"/>
      <c r="FK1204" s="640"/>
      <c r="FL1204" s="640"/>
    </row>
    <row r="1205" spans="1:168" x14ac:dyDescent="0.25">
      <c r="A1205" s="1493"/>
      <c r="B1205" s="624">
        <f t="shared" si="4955"/>
        <v>0</v>
      </c>
      <c r="C1205" s="624">
        <f t="shared" si="4955"/>
        <v>0</v>
      </c>
      <c r="D1205" s="624">
        <f t="shared" si="4955"/>
        <v>0</v>
      </c>
      <c r="E1205" s="1158">
        <f t="shared" si="4956"/>
        <v>0</v>
      </c>
      <c r="F1205" s="1158"/>
      <c r="G1205" s="1140"/>
      <c r="H1205" s="1140"/>
      <c r="I1205" s="552"/>
      <c r="J1205" s="552">
        <f>J251*J$338</f>
        <v>0</v>
      </c>
      <c r="K1205" s="552">
        <f t="shared" ref="K1205:BV1205" si="4977">K251*K$338</f>
        <v>0</v>
      </c>
      <c r="L1205" s="552">
        <f t="shared" si="4977"/>
        <v>0</v>
      </c>
      <c r="M1205" s="552">
        <f t="shared" si="4977"/>
        <v>0</v>
      </c>
      <c r="N1205" s="552">
        <f t="shared" si="4977"/>
        <v>0</v>
      </c>
      <c r="O1205" s="552">
        <f t="shared" si="4977"/>
        <v>0</v>
      </c>
      <c r="P1205" s="552">
        <f t="shared" si="4977"/>
        <v>0</v>
      </c>
      <c r="Q1205" s="552">
        <f t="shared" si="4977"/>
        <v>0</v>
      </c>
      <c r="R1205" s="552">
        <f t="shared" si="4977"/>
        <v>0</v>
      </c>
      <c r="S1205" s="552">
        <f t="shared" si="4977"/>
        <v>0</v>
      </c>
      <c r="T1205" s="552">
        <f t="shared" si="4977"/>
        <v>0</v>
      </c>
      <c r="U1205" s="552">
        <f t="shared" si="4977"/>
        <v>0</v>
      </c>
      <c r="V1205" s="552">
        <f t="shared" si="4977"/>
        <v>0</v>
      </c>
      <c r="W1205" s="552">
        <f t="shared" si="4977"/>
        <v>0</v>
      </c>
      <c r="X1205" s="552">
        <f t="shared" si="4977"/>
        <v>0</v>
      </c>
      <c r="Y1205" s="552">
        <f t="shared" si="4977"/>
        <v>0</v>
      </c>
      <c r="Z1205" s="552">
        <f t="shared" si="4977"/>
        <v>0</v>
      </c>
      <c r="AA1205" s="552">
        <f t="shared" si="4977"/>
        <v>0</v>
      </c>
      <c r="AB1205" s="552">
        <f t="shared" si="4977"/>
        <v>0</v>
      </c>
      <c r="AC1205" s="552">
        <f t="shared" si="4977"/>
        <v>0</v>
      </c>
      <c r="AD1205" s="552">
        <f t="shared" si="4977"/>
        <v>0</v>
      </c>
      <c r="AE1205" s="552">
        <f t="shared" si="4977"/>
        <v>0</v>
      </c>
      <c r="AF1205" s="552">
        <f t="shared" si="4977"/>
        <v>0</v>
      </c>
      <c r="AG1205" s="552">
        <f t="shared" si="4977"/>
        <v>0</v>
      </c>
      <c r="AH1205" s="552">
        <f t="shared" si="4977"/>
        <v>0</v>
      </c>
      <c r="AI1205" s="552">
        <f t="shared" si="4977"/>
        <v>0</v>
      </c>
      <c r="AJ1205" s="552">
        <f t="shared" si="4977"/>
        <v>0</v>
      </c>
      <c r="AK1205" s="552">
        <f t="shared" si="4977"/>
        <v>0</v>
      </c>
      <c r="AL1205" s="552">
        <f t="shared" si="4977"/>
        <v>0</v>
      </c>
      <c r="AM1205" s="552">
        <f t="shared" si="4977"/>
        <v>0</v>
      </c>
      <c r="AN1205" s="552">
        <f t="shared" si="4977"/>
        <v>0</v>
      </c>
      <c r="AO1205" s="552">
        <f t="shared" si="4977"/>
        <v>0</v>
      </c>
      <c r="AP1205" s="552">
        <f t="shared" si="4977"/>
        <v>0</v>
      </c>
      <c r="AQ1205" s="552">
        <f t="shared" si="4977"/>
        <v>0</v>
      </c>
      <c r="AR1205" s="552">
        <f t="shared" si="4977"/>
        <v>0</v>
      </c>
      <c r="AS1205" s="552">
        <f t="shared" si="4977"/>
        <v>0</v>
      </c>
      <c r="AT1205" s="552">
        <f t="shared" si="4977"/>
        <v>0</v>
      </c>
      <c r="AU1205" s="552">
        <f t="shared" si="4977"/>
        <v>0</v>
      </c>
      <c r="AV1205" s="552">
        <f t="shared" si="4977"/>
        <v>0</v>
      </c>
      <c r="AW1205" s="552">
        <f t="shared" si="4977"/>
        <v>0</v>
      </c>
      <c r="AX1205" s="552">
        <f t="shared" si="4977"/>
        <v>0</v>
      </c>
      <c r="AY1205" s="552">
        <f t="shared" si="4977"/>
        <v>0</v>
      </c>
      <c r="AZ1205" s="552">
        <f t="shared" si="4977"/>
        <v>0</v>
      </c>
      <c r="BA1205" s="552">
        <f t="shared" si="4977"/>
        <v>0</v>
      </c>
      <c r="BB1205" s="552">
        <f t="shared" si="4977"/>
        <v>0</v>
      </c>
      <c r="BC1205" s="552">
        <f t="shared" si="4977"/>
        <v>0</v>
      </c>
      <c r="BD1205" s="552">
        <f t="shared" si="4977"/>
        <v>0</v>
      </c>
      <c r="BE1205" s="552">
        <f t="shared" si="4977"/>
        <v>0</v>
      </c>
      <c r="BF1205" s="552">
        <f t="shared" si="4977"/>
        <v>0</v>
      </c>
      <c r="BG1205" s="552">
        <f t="shared" si="4977"/>
        <v>0</v>
      </c>
      <c r="BH1205" s="552">
        <f t="shared" si="4977"/>
        <v>0</v>
      </c>
      <c r="BI1205" s="552">
        <f t="shared" si="4977"/>
        <v>0</v>
      </c>
      <c r="BJ1205" s="552">
        <f t="shared" si="4977"/>
        <v>0</v>
      </c>
      <c r="BK1205" s="552">
        <f t="shared" si="4977"/>
        <v>0</v>
      </c>
      <c r="BL1205" s="552">
        <f t="shared" si="4977"/>
        <v>0</v>
      </c>
      <c r="BM1205" s="552">
        <f t="shared" si="4977"/>
        <v>0</v>
      </c>
      <c r="BN1205" s="552">
        <f t="shared" si="4977"/>
        <v>0</v>
      </c>
      <c r="BO1205" s="552">
        <f t="shared" si="4977"/>
        <v>0</v>
      </c>
      <c r="BP1205" s="552">
        <f t="shared" si="4977"/>
        <v>0</v>
      </c>
      <c r="BQ1205" s="552">
        <f t="shared" si="4977"/>
        <v>0</v>
      </c>
      <c r="BR1205" s="552">
        <f t="shared" si="4977"/>
        <v>0</v>
      </c>
      <c r="BS1205" s="552">
        <f t="shared" si="4977"/>
        <v>0</v>
      </c>
      <c r="BT1205" s="552">
        <f t="shared" si="4977"/>
        <v>0</v>
      </c>
      <c r="BU1205" s="552">
        <f t="shared" si="4977"/>
        <v>0</v>
      </c>
      <c r="BV1205" s="552">
        <f t="shared" si="4977"/>
        <v>0</v>
      </c>
      <c r="BW1205" s="552">
        <f t="shared" ref="BW1205:DB1205" si="4978">BW251*BW$338</f>
        <v>0</v>
      </c>
      <c r="BX1205" s="552">
        <f t="shared" si="4978"/>
        <v>0</v>
      </c>
      <c r="BY1205" s="552">
        <f t="shared" si="4978"/>
        <v>0</v>
      </c>
      <c r="BZ1205" s="552">
        <f t="shared" si="4978"/>
        <v>0</v>
      </c>
      <c r="CA1205" s="552">
        <f t="shared" si="4978"/>
        <v>0</v>
      </c>
      <c r="CB1205" s="552">
        <f t="shared" si="4978"/>
        <v>0</v>
      </c>
      <c r="CC1205" s="552">
        <f t="shared" si="4978"/>
        <v>0</v>
      </c>
      <c r="CD1205" s="552">
        <f t="shared" si="4978"/>
        <v>0</v>
      </c>
      <c r="CE1205" s="552">
        <f t="shared" si="4978"/>
        <v>0</v>
      </c>
      <c r="CF1205" s="552">
        <f t="shared" si="4978"/>
        <v>0</v>
      </c>
      <c r="CG1205" s="552">
        <f t="shared" si="4978"/>
        <v>0</v>
      </c>
      <c r="CH1205" s="552">
        <f t="shared" si="4978"/>
        <v>0</v>
      </c>
      <c r="CI1205" s="552">
        <f t="shared" si="4978"/>
        <v>0</v>
      </c>
      <c r="CJ1205" s="552">
        <f t="shared" si="4978"/>
        <v>0</v>
      </c>
      <c r="CK1205" s="552">
        <f t="shared" si="4978"/>
        <v>0</v>
      </c>
      <c r="CL1205" s="552">
        <f t="shared" si="4978"/>
        <v>0</v>
      </c>
      <c r="CM1205" s="552">
        <f t="shared" si="4978"/>
        <v>0</v>
      </c>
      <c r="CN1205" s="552">
        <f t="shared" si="4978"/>
        <v>0</v>
      </c>
      <c r="CO1205" s="552">
        <f t="shared" si="4978"/>
        <v>0</v>
      </c>
      <c r="CP1205" s="552">
        <f t="shared" si="4978"/>
        <v>0</v>
      </c>
      <c r="CQ1205" s="552">
        <f t="shared" si="4978"/>
        <v>0</v>
      </c>
      <c r="CR1205" s="552">
        <f t="shared" si="4978"/>
        <v>0</v>
      </c>
      <c r="CS1205" s="552">
        <f t="shared" si="4978"/>
        <v>0</v>
      </c>
      <c r="CT1205" s="552">
        <f t="shared" si="4978"/>
        <v>0</v>
      </c>
      <c r="CU1205" s="552">
        <f t="shared" si="4978"/>
        <v>0</v>
      </c>
      <c r="CV1205" s="552">
        <f t="shared" si="4978"/>
        <v>0</v>
      </c>
      <c r="CW1205" s="552">
        <f t="shared" si="4978"/>
        <v>0</v>
      </c>
      <c r="CX1205" s="552">
        <f t="shared" si="4978"/>
        <v>0</v>
      </c>
      <c r="CY1205" s="552">
        <f t="shared" si="4978"/>
        <v>0</v>
      </c>
      <c r="CZ1205" s="552">
        <f t="shared" si="4978"/>
        <v>0</v>
      </c>
      <c r="DA1205" s="552">
        <f t="shared" si="4978"/>
        <v>0</v>
      </c>
      <c r="DB1205" s="552">
        <f t="shared" si="4978"/>
        <v>0</v>
      </c>
      <c r="DC1205" s="552">
        <f t="shared" ref="DC1205:EH1205" si="4979">DC251*DC$338</f>
        <v>0</v>
      </c>
      <c r="DD1205" s="552">
        <f t="shared" si="4979"/>
        <v>0</v>
      </c>
      <c r="DE1205" s="552">
        <f t="shared" si="4979"/>
        <v>0</v>
      </c>
      <c r="DF1205" s="552">
        <f t="shared" si="4979"/>
        <v>0</v>
      </c>
      <c r="DG1205" s="552">
        <f t="shared" si="4979"/>
        <v>0</v>
      </c>
      <c r="DH1205" s="552">
        <f t="shared" si="4979"/>
        <v>0</v>
      </c>
      <c r="DI1205" s="552">
        <f t="shared" si="4979"/>
        <v>0</v>
      </c>
      <c r="DJ1205" s="552">
        <f t="shared" si="4979"/>
        <v>0</v>
      </c>
      <c r="DK1205" s="552">
        <f t="shared" si="4979"/>
        <v>0</v>
      </c>
      <c r="DL1205" s="552">
        <f t="shared" si="4979"/>
        <v>0</v>
      </c>
      <c r="DM1205" s="552">
        <f t="shared" si="4979"/>
        <v>0</v>
      </c>
      <c r="DN1205" s="552">
        <f t="shared" si="4979"/>
        <v>0</v>
      </c>
      <c r="DO1205" s="552">
        <f t="shared" si="4979"/>
        <v>0</v>
      </c>
      <c r="DP1205" s="552">
        <f t="shared" si="4979"/>
        <v>0</v>
      </c>
      <c r="DQ1205" s="552">
        <f t="shared" si="4979"/>
        <v>0</v>
      </c>
      <c r="DR1205" s="552">
        <f t="shared" si="4979"/>
        <v>0</v>
      </c>
      <c r="DS1205" s="552">
        <f t="shared" si="4979"/>
        <v>0</v>
      </c>
      <c r="DT1205" s="552">
        <f t="shared" si="4979"/>
        <v>0</v>
      </c>
      <c r="DU1205" s="552">
        <f t="shared" si="4979"/>
        <v>0</v>
      </c>
      <c r="DV1205" s="552">
        <f t="shared" si="4979"/>
        <v>0</v>
      </c>
      <c r="DW1205" s="552">
        <f t="shared" si="4979"/>
        <v>0</v>
      </c>
      <c r="DX1205" s="552">
        <f t="shared" si="4979"/>
        <v>0</v>
      </c>
      <c r="DY1205" s="552">
        <f t="shared" si="4979"/>
        <v>0</v>
      </c>
      <c r="DZ1205" s="552">
        <f t="shared" si="4979"/>
        <v>0</v>
      </c>
      <c r="EA1205" s="552">
        <f t="shared" si="4979"/>
        <v>0</v>
      </c>
      <c r="EB1205" s="552">
        <f t="shared" si="4979"/>
        <v>0</v>
      </c>
      <c r="EC1205" s="552">
        <f t="shared" si="4979"/>
        <v>0</v>
      </c>
      <c r="ED1205" s="552">
        <f t="shared" si="4979"/>
        <v>0</v>
      </c>
      <c r="EE1205" s="552">
        <f t="shared" si="4979"/>
        <v>0</v>
      </c>
      <c r="EF1205" s="552">
        <f t="shared" si="4979"/>
        <v>0</v>
      </c>
      <c r="EG1205" s="552">
        <f t="shared" si="4979"/>
        <v>0</v>
      </c>
      <c r="EH1205" s="552">
        <f t="shared" si="4979"/>
        <v>0</v>
      </c>
      <c r="EI1205" s="552">
        <f t="shared" ref="EI1205:EX1205" si="4980">EI251*EI$338</f>
        <v>0</v>
      </c>
      <c r="EJ1205" s="552">
        <f t="shared" si="4980"/>
        <v>0</v>
      </c>
      <c r="EK1205" s="552">
        <f t="shared" si="4980"/>
        <v>0</v>
      </c>
      <c r="EL1205" s="552">
        <f t="shared" si="4980"/>
        <v>0</v>
      </c>
      <c r="EM1205" s="552">
        <f t="shared" si="4980"/>
        <v>0</v>
      </c>
      <c r="EN1205" s="552">
        <f t="shared" si="4980"/>
        <v>0</v>
      </c>
      <c r="EO1205" s="552">
        <f t="shared" si="4980"/>
        <v>0</v>
      </c>
      <c r="EP1205" s="552">
        <f t="shared" si="4980"/>
        <v>0</v>
      </c>
      <c r="EQ1205" s="552">
        <f t="shared" si="4980"/>
        <v>0</v>
      </c>
      <c r="ER1205" s="552">
        <f t="shared" si="4980"/>
        <v>0</v>
      </c>
      <c r="ES1205" s="552">
        <f t="shared" si="4980"/>
        <v>0</v>
      </c>
      <c r="ET1205" s="552">
        <f t="shared" si="4980"/>
        <v>0</v>
      </c>
      <c r="EU1205" s="552">
        <f t="shared" si="4980"/>
        <v>0</v>
      </c>
      <c r="EV1205" s="552">
        <f t="shared" si="4980"/>
        <v>0</v>
      </c>
      <c r="EW1205" s="552">
        <f t="shared" si="4980"/>
        <v>0</v>
      </c>
      <c r="EX1205" s="552">
        <f t="shared" si="4980"/>
        <v>0</v>
      </c>
      <c r="EY1205" s="799">
        <f t="shared" si="4577"/>
        <v>0</v>
      </c>
      <c r="EZ1205" s="640"/>
      <c r="FA1205" s="640"/>
      <c r="FB1205" s="640"/>
      <c r="FC1205" s="640"/>
      <c r="FD1205" s="640"/>
      <c r="FE1205" s="640"/>
      <c r="FF1205" s="640"/>
      <c r="FG1205" s="640"/>
      <c r="FH1205" s="640"/>
      <c r="FI1205" s="640"/>
      <c r="FJ1205" s="640"/>
      <c r="FK1205" s="640"/>
      <c r="FL1205" s="640"/>
    </row>
    <row r="1206" spans="1:168" x14ac:dyDescent="0.25">
      <c r="A1206" s="254"/>
      <c r="B1206" s="625" t="s">
        <v>801</v>
      </c>
      <c r="C1206" s="1135"/>
      <c r="D1206" s="1138">
        <f>SUM(D1201:D1205)</f>
        <v>0</v>
      </c>
      <c r="E1206" s="1138">
        <f t="shared" ref="E1206:J1206" si="4981">SUM(E1201:E1205)</f>
        <v>0</v>
      </c>
      <c r="F1206" s="1138"/>
      <c r="G1206" s="1138">
        <f t="shared" si="4981"/>
        <v>0</v>
      </c>
      <c r="H1206" s="1138">
        <f t="shared" si="4981"/>
        <v>0</v>
      </c>
      <c r="I1206" s="554"/>
      <c r="J1206" s="1138">
        <f t="shared" si="4981"/>
        <v>0</v>
      </c>
      <c r="K1206" s="1138">
        <f t="shared" ref="K1206" si="4982">SUM(K1201:K1205)</f>
        <v>0</v>
      </c>
      <c r="L1206" s="1138">
        <f t="shared" ref="L1206" si="4983">SUM(L1201:L1205)</f>
        <v>0</v>
      </c>
      <c r="M1206" s="1138">
        <f t="shared" ref="M1206" si="4984">SUM(M1201:M1205)</f>
        <v>0</v>
      </c>
      <c r="N1206" s="1138">
        <f t="shared" ref="N1206" si="4985">SUM(N1201:N1205)</f>
        <v>0</v>
      </c>
      <c r="O1206" s="1138">
        <f t="shared" ref="O1206" si="4986">SUM(O1201:O1205)</f>
        <v>0</v>
      </c>
      <c r="P1206" s="1138">
        <f t="shared" ref="P1206" si="4987">SUM(P1201:P1205)</f>
        <v>0</v>
      </c>
      <c r="Q1206" s="1138">
        <f t="shared" ref="Q1206" si="4988">SUM(Q1201:Q1205)</f>
        <v>0</v>
      </c>
      <c r="R1206" s="1138">
        <f t="shared" ref="R1206" si="4989">SUM(R1201:R1205)</f>
        <v>0</v>
      </c>
      <c r="S1206" s="1138">
        <f t="shared" ref="S1206" si="4990">SUM(S1201:S1205)</f>
        <v>0</v>
      </c>
      <c r="T1206" s="1138">
        <f t="shared" ref="T1206" si="4991">SUM(T1201:T1205)</f>
        <v>0</v>
      </c>
      <c r="U1206" s="1138">
        <f t="shared" ref="U1206" si="4992">SUM(U1201:U1205)</f>
        <v>0</v>
      </c>
      <c r="V1206" s="1138">
        <f t="shared" ref="V1206" si="4993">SUM(V1201:V1205)</f>
        <v>0</v>
      </c>
      <c r="W1206" s="1138">
        <f t="shared" ref="W1206" si="4994">SUM(W1201:W1205)</f>
        <v>0</v>
      </c>
      <c r="X1206" s="1138">
        <f t="shared" ref="X1206" si="4995">SUM(X1201:X1205)</f>
        <v>0</v>
      </c>
      <c r="Y1206" s="1138">
        <f t="shared" ref="Y1206" si="4996">SUM(Y1201:Y1205)</f>
        <v>0</v>
      </c>
      <c r="Z1206" s="1138">
        <f t="shared" ref="Z1206" si="4997">SUM(Z1201:Z1205)</f>
        <v>0</v>
      </c>
      <c r="AA1206" s="1138">
        <f t="shared" ref="AA1206" si="4998">SUM(AA1201:AA1205)</f>
        <v>0</v>
      </c>
      <c r="AB1206" s="1138">
        <f t="shared" ref="AB1206" si="4999">SUM(AB1201:AB1205)</f>
        <v>0</v>
      </c>
      <c r="AC1206" s="1138">
        <f t="shared" ref="AC1206" si="5000">SUM(AC1201:AC1205)</f>
        <v>0</v>
      </c>
      <c r="AD1206" s="1138">
        <f t="shared" ref="AD1206" si="5001">SUM(AD1201:AD1205)</f>
        <v>0</v>
      </c>
      <c r="AE1206" s="1138">
        <f t="shared" ref="AE1206" si="5002">SUM(AE1201:AE1205)</f>
        <v>0</v>
      </c>
      <c r="AF1206" s="1138">
        <f t="shared" ref="AF1206" si="5003">SUM(AF1201:AF1205)</f>
        <v>0</v>
      </c>
      <c r="AG1206" s="1138">
        <f t="shared" ref="AG1206" si="5004">SUM(AG1201:AG1205)</f>
        <v>0</v>
      </c>
      <c r="AH1206" s="1138">
        <f t="shared" ref="AH1206" si="5005">SUM(AH1201:AH1205)</f>
        <v>0</v>
      </c>
      <c r="AI1206" s="1138">
        <f t="shared" ref="AI1206" si="5006">SUM(AI1201:AI1205)</f>
        <v>0</v>
      </c>
      <c r="AJ1206" s="1138">
        <f t="shared" ref="AJ1206" si="5007">SUM(AJ1201:AJ1205)</f>
        <v>0</v>
      </c>
      <c r="AK1206" s="1138">
        <f t="shared" ref="AK1206" si="5008">SUM(AK1201:AK1205)</f>
        <v>0</v>
      </c>
      <c r="AL1206" s="1138">
        <f t="shared" ref="AL1206" si="5009">SUM(AL1201:AL1205)</f>
        <v>0</v>
      </c>
      <c r="AM1206" s="1138">
        <f t="shared" ref="AM1206" si="5010">SUM(AM1201:AM1205)</f>
        <v>0</v>
      </c>
      <c r="AN1206" s="1138">
        <f t="shared" ref="AN1206" si="5011">SUM(AN1201:AN1205)</f>
        <v>0</v>
      </c>
      <c r="AO1206" s="1138">
        <f t="shared" ref="AO1206" si="5012">SUM(AO1201:AO1205)</f>
        <v>0</v>
      </c>
      <c r="AP1206" s="1138">
        <f t="shared" ref="AP1206" si="5013">SUM(AP1201:AP1205)</f>
        <v>0</v>
      </c>
      <c r="AQ1206" s="1138">
        <f t="shared" ref="AQ1206" si="5014">SUM(AQ1201:AQ1205)</f>
        <v>0</v>
      </c>
      <c r="AR1206" s="1138">
        <f t="shared" ref="AR1206" si="5015">SUM(AR1201:AR1205)</f>
        <v>0</v>
      </c>
      <c r="AS1206" s="1138">
        <f t="shared" ref="AS1206" si="5016">SUM(AS1201:AS1205)</f>
        <v>0</v>
      </c>
      <c r="AT1206" s="1138">
        <f t="shared" ref="AT1206" si="5017">SUM(AT1201:AT1205)</f>
        <v>0</v>
      </c>
      <c r="AU1206" s="1138">
        <f t="shared" ref="AU1206" si="5018">SUM(AU1201:AU1205)</f>
        <v>0</v>
      </c>
      <c r="AV1206" s="1138">
        <f t="shared" ref="AV1206" si="5019">SUM(AV1201:AV1205)</f>
        <v>0</v>
      </c>
      <c r="AW1206" s="1138">
        <f t="shared" ref="AW1206" si="5020">SUM(AW1201:AW1205)</f>
        <v>0</v>
      </c>
      <c r="AX1206" s="1138">
        <f t="shared" ref="AX1206" si="5021">SUM(AX1201:AX1205)</f>
        <v>0</v>
      </c>
      <c r="AY1206" s="1138">
        <f t="shared" ref="AY1206" si="5022">SUM(AY1201:AY1205)</f>
        <v>0</v>
      </c>
      <c r="AZ1206" s="1138">
        <f t="shared" ref="AZ1206" si="5023">SUM(AZ1201:AZ1205)</f>
        <v>0</v>
      </c>
      <c r="BA1206" s="1138">
        <f t="shared" ref="BA1206" si="5024">SUM(BA1201:BA1205)</f>
        <v>0</v>
      </c>
      <c r="BB1206" s="1138">
        <f t="shared" ref="BB1206" si="5025">SUM(BB1201:BB1205)</f>
        <v>0</v>
      </c>
      <c r="BC1206" s="1138">
        <f t="shared" ref="BC1206" si="5026">SUM(BC1201:BC1205)</f>
        <v>0</v>
      </c>
      <c r="BD1206" s="1138">
        <f t="shared" ref="BD1206" si="5027">SUM(BD1201:BD1205)</f>
        <v>0</v>
      </c>
      <c r="BE1206" s="1138">
        <f t="shared" ref="BE1206" si="5028">SUM(BE1201:BE1205)</f>
        <v>0</v>
      </c>
      <c r="BF1206" s="1138">
        <f t="shared" ref="BF1206" si="5029">SUM(BF1201:BF1205)</f>
        <v>0</v>
      </c>
      <c r="BG1206" s="1138">
        <f t="shared" ref="BG1206" si="5030">SUM(BG1201:BG1205)</f>
        <v>0</v>
      </c>
      <c r="BH1206" s="1138">
        <f t="shared" ref="BH1206" si="5031">SUM(BH1201:BH1205)</f>
        <v>0</v>
      </c>
      <c r="BI1206" s="1138">
        <f t="shared" ref="BI1206" si="5032">SUM(BI1201:BI1205)</f>
        <v>0</v>
      </c>
      <c r="BJ1206" s="1138">
        <f t="shared" ref="BJ1206" si="5033">SUM(BJ1201:BJ1205)</f>
        <v>0</v>
      </c>
      <c r="BK1206" s="1138">
        <f t="shared" ref="BK1206" si="5034">SUM(BK1201:BK1205)</f>
        <v>0</v>
      </c>
      <c r="BL1206" s="1138">
        <f t="shared" ref="BL1206" si="5035">SUM(BL1201:BL1205)</f>
        <v>0</v>
      </c>
      <c r="BM1206" s="1138">
        <f t="shared" ref="BM1206" si="5036">SUM(BM1201:BM1205)</f>
        <v>0</v>
      </c>
      <c r="BN1206" s="1138">
        <f t="shared" ref="BN1206" si="5037">SUM(BN1201:BN1205)</f>
        <v>0</v>
      </c>
      <c r="BO1206" s="1138">
        <f t="shared" ref="BO1206" si="5038">SUM(BO1201:BO1205)</f>
        <v>0</v>
      </c>
      <c r="BP1206" s="1138">
        <f t="shared" ref="BP1206" si="5039">SUM(BP1201:BP1205)</f>
        <v>0</v>
      </c>
      <c r="BQ1206" s="1138">
        <f t="shared" ref="BQ1206" si="5040">SUM(BQ1201:BQ1205)</f>
        <v>0</v>
      </c>
      <c r="BR1206" s="1138">
        <f t="shared" ref="BR1206" si="5041">SUM(BR1201:BR1205)</f>
        <v>0</v>
      </c>
      <c r="BS1206" s="1138">
        <f t="shared" ref="BS1206" si="5042">SUM(BS1201:BS1205)</f>
        <v>0</v>
      </c>
      <c r="BT1206" s="1138">
        <f t="shared" ref="BT1206" si="5043">SUM(BT1201:BT1205)</f>
        <v>0</v>
      </c>
      <c r="BU1206" s="1138">
        <f t="shared" ref="BU1206" si="5044">SUM(BU1201:BU1205)</f>
        <v>0</v>
      </c>
      <c r="BV1206" s="1138">
        <f t="shared" ref="BV1206" si="5045">SUM(BV1201:BV1205)</f>
        <v>0</v>
      </c>
      <c r="BW1206" s="1138">
        <f t="shared" ref="BW1206" si="5046">SUM(BW1201:BW1205)</f>
        <v>0</v>
      </c>
      <c r="BX1206" s="1138">
        <f t="shared" ref="BX1206" si="5047">SUM(BX1201:BX1205)</f>
        <v>0</v>
      </c>
      <c r="BY1206" s="1138">
        <f t="shared" ref="BY1206" si="5048">SUM(BY1201:BY1205)</f>
        <v>0</v>
      </c>
      <c r="BZ1206" s="1138">
        <f t="shared" ref="BZ1206" si="5049">SUM(BZ1201:BZ1205)</f>
        <v>0</v>
      </c>
      <c r="CA1206" s="1138">
        <f t="shared" ref="CA1206" si="5050">SUM(CA1201:CA1205)</f>
        <v>0</v>
      </c>
      <c r="CB1206" s="1138">
        <f t="shared" ref="CB1206" si="5051">SUM(CB1201:CB1205)</f>
        <v>0</v>
      </c>
      <c r="CC1206" s="1138">
        <f t="shared" ref="CC1206" si="5052">SUM(CC1201:CC1205)</f>
        <v>0</v>
      </c>
      <c r="CD1206" s="1138">
        <f t="shared" ref="CD1206" si="5053">SUM(CD1201:CD1205)</f>
        <v>0</v>
      </c>
      <c r="CE1206" s="1138">
        <f t="shared" ref="CE1206" si="5054">SUM(CE1201:CE1205)</f>
        <v>0</v>
      </c>
      <c r="CF1206" s="1138">
        <f t="shared" ref="CF1206" si="5055">SUM(CF1201:CF1205)</f>
        <v>0</v>
      </c>
      <c r="CG1206" s="1138">
        <f t="shared" ref="CG1206" si="5056">SUM(CG1201:CG1205)</f>
        <v>0</v>
      </c>
      <c r="CH1206" s="1138">
        <f t="shared" ref="CH1206" si="5057">SUM(CH1201:CH1205)</f>
        <v>0</v>
      </c>
      <c r="CI1206" s="1138">
        <f t="shared" ref="CI1206" si="5058">SUM(CI1201:CI1205)</f>
        <v>0</v>
      </c>
      <c r="CJ1206" s="1138">
        <f t="shared" ref="CJ1206" si="5059">SUM(CJ1201:CJ1205)</f>
        <v>0</v>
      </c>
      <c r="CK1206" s="1138">
        <f t="shared" ref="CK1206" si="5060">SUM(CK1201:CK1205)</f>
        <v>0</v>
      </c>
      <c r="CL1206" s="1138">
        <f t="shared" ref="CL1206" si="5061">SUM(CL1201:CL1205)</f>
        <v>0</v>
      </c>
      <c r="CM1206" s="1138">
        <f t="shared" ref="CM1206" si="5062">SUM(CM1201:CM1205)</f>
        <v>0</v>
      </c>
      <c r="CN1206" s="1138">
        <f t="shared" ref="CN1206" si="5063">SUM(CN1201:CN1205)</f>
        <v>0</v>
      </c>
      <c r="CO1206" s="1138">
        <f t="shared" ref="CO1206" si="5064">SUM(CO1201:CO1205)</f>
        <v>0</v>
      </c>
      <c r="CP1206" s="1138">
        <f t="shared" ref="CP1206" si="5065">SUM(CP1201:CP1205)</f>
        <v>0</v>
      </c>
      <c r="CQ1206" s="1138">
        <f t="shared" ref="CQ1206" si="5066">SUM(CQ1201:CQ1205)</f>
        <v>0</v>
      </c>
      <c r="CR1206" s="1138">
        <f t="shared" ref="CR1206" si="5067">SUM(CR1201:CR1205)</f>
        <v>0</v>
      </c>
      <c r="CS1206" s="1138">
        <f t="shared" ref="CS1206" si="5068">SUM(CS1201:CS1205)</f>
        <v>0</v>
      </c>
      <c r="CT1206" s="1138">
        <f t="shared" ref="CT1206" si="5069">SUM(CT1201:CT1205)</f>
        <v>0</v>
      </c>
      <c r="CU1206" s="1138">
        <f t="shared" ref="CU1206" si="5070">SUM(CU1201:CU1205)</f>
        <v>0</v>
      </c>
      <c r="CV1206" s="1138">
        <f t="shared" ref="CV1206" si="5071">SUM(CV1201:CV1205)</f>
        <v>0</v>
      </c>
      <c r="CW1206" s="1138">
        <f t="shared" ref="CW1206" si="5072">SUM(CW1201:CW1205)</f>
        <v>0</v>
      </c>
      <c r="CX1206" s="1138">
        <f t="shared" ref="CX1206" si="5073">SUM(CX1201:CX1205)</f>
        <v>0</v>
      </c>
      <c r="CY1206" s="1138">
        <f t="shared" ref="CY1206" si="5074">SUM(CY1201:CY1205)</f>
        <v>0</v>
      </c>
      <c r="CZ1206" s="1138">
        <f t="shared" ref="CZ1206" si="5075">SUM(CZ1201:CZ1205)</f>
        <v>0</v>
      </c>
      <c r="DA1206" s="1138">
        <f t="shared" ref="DA1206" si="5076">SUM(DA1201:DA1205)</f>
        <v>0</v>
      </c>
      <c r="DB1206" s="1138">
        <f t="shared" ref="DB1206" si="5077">SUM(DB1201:DB1205)</f>
        <v>0</v>
      </c>
      <c r="DC1206" s="1138">
        <f t="shared" ref="DC1206" si="5078">SUM(DC1201:DC1205)</f>
        <v>0</v>
      </c>
      <c r="DD1206" s="1138">
        <f t="shared" ref="DD1206" si="5079">SUM(DD1201:DD1205)</f>
        <v>0</v>
      </c>
      <c r="DE1206" s="1138">
        <f t="shared" ref="DE1206" si="5080">SUM(DE1201:DE1205)</f>
        <v>0</v>
      </c>
      <c r="DF1206" s="1138">
        <f t="shared" ref="DF1206" si="5081">SUM(DF1201:DF1205)</f>
        <v>0</v>
      </c>
      <c r="DG1206" s="1138">
        <f t="shared" ref="DG1206" si="5082">SUM(DG1201:DG1205)</f>
        <v>0</v>
      </c>
      <c r="DH1206" s="1138">
        <f t="shared" ref="DH1206" si="5083">SUM(DH1201:DH1205)</f>
        <v>0</v>
      </c>
      <c r="DI1206" s="1138">
        <f t="shared" ref="DI1206" si="5084">SUM(DI1201:DI1205)</f>
        <v>0</v>
      </c>
      <c r="DJ1206" s="1138">
        <f t="shared" ref="DJ1206" si="5085">SUM(DJ1201:DJ1205)</f>
        <v>0</v>
      </c>
      <c r="DK1206" s="1138">
        <f t="shared" ref="DK1206" si="5086">SUM(DK1201:DK1205)</f>
        <v>0</v>
      </c>
      <c r="DL1206" s="1138">
        <f t="shared" ref="DL1206" si="5087">SUM(DL1201:DL1205)</f>
        <v>0</v>
      </c>
      <c r="DM1206" s="1138">
        <f t="shared" ref="DM1206" si="5088">SUM(DM1201:DM1205)</f>
        <v>0</v>
      </c>
      <c r="DN1206" s="1138">
        <f t="shared" ref="DN1206" si="5089">SUM(DN1201:DN1205)</f>
        <v>0</v>
      </c>
      <c r="DO1206" s="1138">
        <f t="shared" ref="DO1206" si="5090">SUM(DO1201:DO1205)</f>
        <v>0</v>
      </c>
      <c r="DP1206" s="1138">
        <f t="shared" ref="DP1206" si="5091">SUM(DP1201:DP1205)</f>
        <v>0</v>
      </c>
      <c r="DQ1206" s="1138">
        <f t="shared" ref="DQ1206" si="5092">SUM(DQ1201:DQ1205)</f>
        <v>0</v>
      </c>
      <c r="DR1206" s="1138">
        <f t="shared" ref="DR1206" si="5093">SUM(DR1201:DR1205)</f>
        <v>0</v>
      </c>
      <c r="DS1206" s="1138">
        <f t="shared" ref="DS1206" si="5094">SUM(DS1201:DS1205)</f>
        <v>0</v>
      </c>
      <c r="DT1206" s="1138">
        <f t="shared" ref="DT1206" si="5095">SUM(DT1201:DT1205)</f>
        <v>0</v>
      </c>
      <c r="DU1206" s="1138">
        <f t="shared" ref="DU1206" si="5096">SUM(DU1201:DU1205)</f>
        <v>0</v>
      </c>
      <c r="DV1206" s="1138">
        <f t="shared" ref="DV1206" si="5097">SUM(DV1201:DV1205)</f>
        <v>0</v>
      </c>
      <c r="DW1206" s="1138">
        <f t="shared" ref="DW1206" si="5098">SUM(DW1201:DW1205)</f>
        <v>0</v>
      </c>
      <c r="DX1206" s="1138">
        <f t="shared" ref="DX1206" si="5099">SUM(DX1201:DX1205)</f>
        <v>0</v>
      </c>
      <c r="DY1206" s="1138">
        <f t="shared" ref="DY1206" si="5100">SUM(DY1201:DY1205)</f>
        <v>0</v>
      </c>
      <c r="DZ1206" s="1138">
        <f t="shared" ref="DZ1206" si="5101">SUM(DZ1201:DZ1205)</f>
        <v>0</v>
      </c>
      <c r="EA1206" s="1138">
        <f t="shared" ref="EA1206" si="5102">SUM(EA1201:EA1205)</f>
        <v>0</v>
      </c>
      <c r="EB1206" s="1138">
        <f t="shared" ref="EB1206" si="5103">SUM(EB1201:EB1205)</f>
        <v>0</v>
      </c>
      <c r="EC1206" s="1138">
        <f t="shared" ref="EC1206" si="5104">SUM(EC1201:EC1205)</f>
        <v>0</v>
      </c>
      <c r="ED1206" s="1138">
        <f t="shared" ref="ED1206" si="5105">SUM(ED1201:ED1205)</f>
        <v>0</v>
      </c>
      <c r="EE1206" s="1138">
        <f t="shared" ref="EE1206" si="5106">SUM(EE1201:EE1205)</f>
        <v>0</v>
      </c>
      <c r="EF1206" s="1138">
        <f t="shared" ref="EF1206" si="5107">SUM(EF1201:EF1205)</f>
        <v>0</v>
      </c>
      <c r="EG1206" s="1138">
        <f t="shared" ref="EG1206" si="5108">SUM(EG1201:EG1205)</f>
        <v>0</v>
      </c>
      <c r="EH1206" s="1138">
        <f t="shared" ref="EH1206" si="5109">SUM(EH1201:EH1205)</f>
        <v>0</v>
      </c>
      <c r="EI1206" s="1138">
        <f t="shared" ref="EI1206" si="5110">SUM(EI1201:EI1205)</f>
        <v>0</v>
      </c>
      <c r="EJ1206" s="1138">
        <f t="shared" ref="EJ1206" si="5111">SUM(EJ1201:EJ1205)</f>
        <v>0</v>
      </c>
      <c r="EK1206" s="1138">
        <f t="shared" ref="EK1206" si="5112">SUM(EK1201:EK1205)</f>
        <v>0</v>
      </c>
      <c r="EL1206" s="1138">
        <f t="shared" ref="EL1206" si="5113">SUM(EL1201:EL1205)</f>
        <v>0</v>
      </c>
      <c r="EM1206" s="1138">
        <f t="shared" ref="EM1206" si="5114">SUM(EM1201:EM1205)</f>
        <v>0</v>
      </c>
      <c r="EN1206" s="1138">
        <f t="shared" ref="EN1206" si="5115">SUM(EN1201:EN1205)</f>
        <v>0</v>
      </c>
      <c r="EO1206" s="1138">
        <f t="shared" ref="EO1206" si="5116">SUM(EO1201:EO1205)</f>
        <v>0</v>
      </c>
      <c r="EP1206" s="1138">
        <f t="shared" ref="EP1206" si="5117">SUM(EP1201:EP1205)</f>
        <v>0</v>
      </c>
      <c r="EQ1206" s="1138">
        <f t="shared" ref="EQ1206" si="5118">SUM(EQ1201:EQ1205)</f>
        <v>0</v>
      </c>
      <c r="ER1206" s="1138">
        <f t="shared" ref="ER1206" si="5119">SUM(ER1201:ER1205)</f>
        <v>0</v>
      </c>
      <c r="ES1206" s="1138">
        <f t="shared" ref="ES1206" si="5120">SUM(ES1201:ES1205)</f>
        <v>0</v>
      </c>
      <c r="ET1206" s="1138">
        <f t="shared" ref="ET1206" si="5121">SUM(ET1201:ET1205)</f>
        <v>0</v>
      </c>
      <c r="EU1206" s="1138">
        <f t="shared" ref="EU1206" si="5122">SUM(EU1201:EU1205)</f>
        <v>0</v>
      </c>
      <c r="EV1206" s="1138">
        <f t="shared" ref="EV1206" si="5123">SUM(EV1201:EV1205)</f>
        <v>0</v>
      </c>
      <c r="EW1206" s="1138">
        <f t="shared" ref="EW1206" si="5124">SUM(EW1201:EW1205)</f>
        <v>0</v>
      </c>
      <c r="EX1206" s="1138">
        <f t="shared" ref="EX1206:FL1206" si="5125">SUM(EX1201:EX1205)</f>
        <v>0</v>
      </c>
      <c r="EY1206" s="1138">
        <f t="shared" si="5125"/>
        <v>0</v>
      </c>
      <c r="EZ1206" s="1138">
        <f t="shared" si="5125"/>
        <v>0</v>
      </c>
      <c r="FA1206" s="1138">
        <f t="shared" si="5125"/>
        <v>0</v>
      </c>
      <c r="FB1206" s="1138">
        <f t="shared" si="5125"/>
        <v>0</v>
      </c>
      <c r="FC1206" s="1138">
        <f t="shared" si="5125"/>
        <v>0</v>
      </c>
      <c r="FD1206" s="1138">
        <f t="shared" si="5125"/>
        <v>0</v>
      </c>
      <c r="FE1206" s="1138">
        <f t="shared" si="5125"/>
        <v>0</v>
      </c>
      <c r="FF1206" s="1138">
        <f t="shared" si="5125"/>
        <v>0</v>
      </c>
      <c r="FG1206" s="1138">
        <f t="shared" si="5125"/>
        <v>0</v>
      </c>
      <c r="FH1206" s="1138">
        <f t="shared" si="5125"/>
        <v>0</v>
      </c>
      <c r="FI1206" s="1138">
        <f t="shared" si="5125"/>
        <v>0</v>
      </c>
      <c r="FJ1206" s="1138">
        <f t="shared" si="5125"/>
        <v>0</v>
      </c>
      <c r="FK1206" s="1138">
        <f t="shared" si="5125"/>
        <v>0</v>
      </c>
      <c r="FL1206" s="1138">
        <f t="shared" si="5125"/>
        <v>0</v>
      </c>
    </row>
    <row r="1207" spans="1:168" x14ac:dyDescent="0.25">
      <c r="A1207" s="254"/>
      <c r="B1207" s="625" t="s">
        <v>216</v>
      </c>
      <c r="C1207" s="1135"/>
      <c r="D1207" s="1138">
        <f>D1190+D1200+D1206</f>
        <v>0</v>
      </c>
      <c r="E1207" s="1138">
        <f t="shared" ref="E1207:J1207" si="5126">E1190+E1200+E1206</f>
        <v>0</v>
      </c>
      <c r="F1207" s="1138"/>
      <c r="G1207" s="1138">
        <f t="shared" si="5126"/>
        <v>0</v>
      </c>
      <c r="H1207" s="1138">
        <f t="shared" si="5126"/>
        <v>0</v>
      </c>
      <c r="I1207" s="554"/>
      <c r="J1207" s="1138">
        <f t="shared" si="5126"/>
        <v>0</v>
      </c>
      <c r="K1207" s="1138">
        <f t="shared" ref="K1207" si="5127">K1190+K1200+K1206</f>
        <v>0</v>
      </c>
      <c r="L1207" s="1138">
        <f t="shared" ref="L1207" si="5128">L1190+L1200+L1206</f>
        <v>0</v>
      </c>
      <c r="M1207" s="1138">
        <f t="shared" ref="M1207" si="5129">M1190+M1200+M1206</f>
        <v>0</v>
      </c>
      <c r="N1207" s="1138">
        <f t="shared" ref="N1207" si="5130">N1190+N1200+N1206</f>
        <v>0</v>
      </c>
      <c r="O1207" s="1138">
        <f t="shared" ref="O1207" si="5131">O1190+O1200+O1206</f>
        <v>0</v>
      </c>
      <c r="P1207" s="1138">
        <f t="shared" ref="P1207" si="5132">P1190+P1200+P1206</f>
        <v>0</v>
      </c>
      <c r="Q1207" s="1138">
        <f t="shared" ref="Q1207" si="5133">Q1190+Q1200+Q1206</f>
        <v>0</v>
      </c>
      <c r="R1207" s="1138">
        <f t="shared" ref="R1207" si="5134">R1190+R1200+R1206</f>
        <v>0</v>
      </c>
      <c r="S1207" s="1138">
        <f t="shared" ref="S1207" si="5135">S1190+S1200+S1206</f>
        <v>0</v>
      </c>
      <c r="T1207" s="1138">
        <f t="shared" ref="T1207" si="5136">T1190+T1200+T1206</f>
        <v>0</v>
      </c>
      <c r="U1207" s="1138">
        <f t="shared" ref="U1207" si="5137">U1190+U1200+U1206</f>
        <v>0</v>
      </c>
      <c r="V1207" s="1138">
        <f t="shared" ref="V1207" si="5138">V1190+V1200+V1206</f>
        <v>0</v>
      </c>
      <c r="W1207" s="1138">
        <f t="shared" ref="W1207" si="5139">W1190+W1200+W1206</f>
        <v>0</v>
      </c>
      <c r="X1207" s="1138">
        <f t="shared" ref="X1207" si="5140">X1190+X1200+X1206</f>
        <v>0</v>
      </c>
      <c r="Y1207" s="1138">
        <f t="shared" ref="Y1207" si="5141">Y1190+Y1200+Y1206</f>
        <v>0</v>
      </c>
      <c r="Z1207" s="1138">
        <f t="shared" ref="Z1207" si="5142">Z1190+Z1200+Z1206</f>
        <v>0</v>
      </c>
      <c r="AA1207" s="1138">
        <f t="shared" ref="AA1207" si="5143">AA1190+AA1200+AA1206</f>
        <v>0</v>
      </c>
      <c r="AB1207" s="1138">
        <f t="shared" ref="AB1207" si="5144">AB1190+AB1200+AB1206</f>
        <v>0</v>
      </c>
      <c r="AC1207" s="1138">
        <f t="shared" ref="AC1207" si="5145">AC1190+AC1200+AC1206</f>
        <v>0</v>
      </c>
      <c r="AD1207" s="1138">
        <f t="shared" ref="AD1207" si="5146">AD1190+AD1200+AD1206</f>
        <v>0</v>
      </c>
      <c r="AE1207" s="1138">
        <f t="shared" ref="AE1207" si="5147">AE1190+AE1200+AE1206</f>
        <v>0</v>
      </c>
      <c r="AF1207" s="1138">
        <f t="shared" ref="AF1207" si="5148">AF1190+AF1200+AF1206</f>
        <v>0</v>
      </c>
      <c r="AG1207" s="1138">
        <f t="shared" ref="AG1207" si="5149">AG1190+AG1200+AG1206</f>
        <v>0</v>
      </c>
      <c r="AH1207" s="1138">
        <f t="shared" ref="AH1207" si="5150">AH1190+AH1200+AH1206</f>
        <v>0</v>
      </c>
      <c r="AI1207" s="1138">
        <f t="shared" ref="AI1207" si="5151">AI1190+AI1200+AI1206</f>
        <v>0</v>
      </c>
      <c r="AJ1207" s="1138">
        <f t="shared" ref="AJ1207" si="5152">AJ1190+AJ1200+AJ1206</f>
        <v>0</v>
      </c>
      <c r="AK1207" s="1138">
        <f t="shared" ref="AK1207" si="5153">AK1190+AK1200+AK1206</f>
        <v>0</v>
      </c>
      <c r="AL1207" s="1138">
        <f t="shared" ref="AL1207" si="5154">AL1190+AL1200+AL1206</f>
        <v>0</v>
      </c>
      <c r="AM1207" s="1138">
        <f t="shared" ref="AM1207" si="5155">AM1190+AM1200+AM1206</f>
        <v>0</v>
      </c>
      <c r="AN1207" s="1138">
        <f t="shared" ref="AN1207" si="5156">AN1190+AN1200+AN1206</f>
        <v>0</v>
      </c>
      <c r="AO1207" s="1138">
        <f t="shared" ref="AO1207" si="5157">AO1190+AO1200+AO1206</f>
        <v>0</v>
      </c>
      <c r="AP1207" s="1138">
        <f t="shared" ref="AP1207" si="5158">AP1190+AP1200+AP1206</f>
        <v>0</v>
      </c>
      <c r="AQ1207" s="1138">
        <f t="shared" ref="AQ1207" si="5159">AQ1190+AQ1200+AQ1206</f>
        <v>0</v>
      </c>
      <c r="AR1207" s="1138">
        <f t="shared" ref="AR1207" si="5160">AR1190+AR1200+AR1206</f>
        <v>0</v>
      </c>
      <c r="AS1207" s="1138">
        <f t="shared" ref="AS1207" si="5161">AS1190+AS1200+AS1206</f>
        <v>0</v>
      </c>
      <c r="AT1207" s="1138">
        <f t="shared" ref="AT1207" si="5162">AT1190+AT1200+AT1206</f>
        <v>0</v>
      </c>
      <c r="AU1207" s="1138">
        <f t="shared" ref="AU1207" si="5163">AU1190+AU1200+AU1206</f>
        <v>0</v>
      </c>
      <c r="AV1207" s="1138">
        <f t="shared" ref="AV1207" si="5164">AV1190+AV1200+AV1206</f>
        <v>0</v>
      </c>
      <c r="AW1207" s="1138">
        <f t="shared" ref="AW1207" si="5165">AW1190+AW1200+AW1206</f>
        <v>0</v>
      </c>
      <c r="AX1207" s="1138">
        <f t="shared" ref="AX1207" si="5166">AX1190+AX1200+AX1206</f>
        <v>0</v>
      </c>
      <c r="AY1207" s="1138">
        <f t="shared" ref="AY1207" si="5167">AY1190+AY1200+AY1206</f>
        <v>0</v>
      </c>
      <c r="AZ1207" s="1138">
        <f t="shared" ref="AZ1207" si="5168">AZ1190+AZ1200+AZ1206</f>
        <v>0</v>
      </c>
      <c r="BA1207" s="1138">
        <f t="shared" ref="BA1207" si="5169">BA1190+BA1200+BA1206</f>
        <v>0</v>
      </c>
      <c r="BB1207" s="1138">
        <f t="shared" ref="BB1207" si="5170">BB1190+BB1200+BB1206</f>
        <v>0</v>
      </c>
      <c r="BC1207" s="1138">
        <f t="shared" ref="BC1207" si="5171">BC1190+BC1200+BC1206</f>
        <v>0</v>
      </c>
      <c r="BD1207" s="1138">
        <f t="shared" ref="BD1207" si="5172">BD1190+BD1200+BD1206</f>
        <v>0</v>
      </c>
      <c r="BE1207" s="1138">
        <f t="shared" ref="BE1207" si="5173">BE1190+BE1200+BE1206</f>
        <v>0</v>
      </c>
      <c r="BF1207" s="1138">
        <f t="shared" ref="BF1207" si="5174">BF1190+BF1200+BF1206</f>
        <v>0</v>
      </c>
      <c r="BG1207" s="1138">
        <f t="shared" ref="BG1207" si="5175">BG1190+BG1200+BG1206</f>
        <v>0</v>
      </c>
      <c r="BH1207" s="1138">
        <f t="shared" ref="BH1207" si="5176">BH1190+BH1200+BH1206</f>
        <v>0</v>
      </c>
      <c r="BI1207" s="1138">
        <f t="shared" ref="BI1207" si="5177">BI1190+BI1200+BI1206</f>
        <v>0</v>
      </c>
      <c r="BJ1207" s="1138">
        <f t="shared" ref="BJ1207" si="5178">BJ1190+BJ1200+BJ1206</f>
        <v>0</v>
      </c>
      <c r="BK1207" s="1138">
        <f t="shared" ref="BK1207" si="5179">BK1190+BK1200+BK1206</f>
        <v>0</v>
      </c>
      <c r="BL1207" s="1138">
        <f t="shared" ref="BL1207" si="5180">BL1190+BL1200+BL1206</f>
        <v>0</v>
      </c>
      <c r="BM1207" s="1138">
        <f t="shared" ref="BM1207" si="5181">BM1190+BM1200+BM1206</f>
        <v>0</v>
      </c>
      <c r="BN1207" s="1138">
        <f t="shared" ref="BN1207" si="5182">BN1190+BN1200+BN1206</f>
        <v>0</v>
      </c>
      <c r="BO1207" s="1138">
        <f t="shared" ref="BO1207" si="5183">BO1190+BO1200+BO1206</f>
        <v>0</v>
      </c>
      <c r="BP1207" s="1138">
        <f t="shared" ref="BP1207" si="5184">BP1190+BP1200+BP1206</f>
        <v>0</v>
      </c>
      <c r="BQ1207" s="1138">
        <f t="shared" ref="BQ1207" si="5185">BQ1190+BQ1200+BQ1206</f>
        <v>0</v>
      </c>
      <c r="BR1207" s="1138">
        <f t="shared" ref="BR1207" si="5186">BR1190+BR1200+BR1206</f>
        <v>0</v>
      </c>
      <c r="BS1207" s="1138">
        <f t="shared" ref="BS1207" si="5187">BS1190+BS1200+BS1206</f>
        <v>0</v>
      </c>
      <c r="BT1207" s="1138">
        <f t="shared" ref="BT1207" si="5188">BT1190+BT1200+BT1206</f>
        <v>0</v>
      </c>
      <c r="BU1207" s="1138">
        <f t="shared" ref="BU1207" si="5189">BU1190+BU1200+BU1206</f>
        <v>0</v>
      </c>
      <c r="BV1207" s="1138">
        <f t="shared" ref="BV1207" si="5190">BV1190+BV1200+BV1206</f>
        <v>0</v>
      </c>
      <c r="BW1207" s="1138">
        <f t="shared" ref="BW1207" si="5191">BW1190+BW1200+BW1206</f>
        <v>0</v>
      </c>
      <c r="BX1207" s="1138">
        <f t="shared" ref="BX1207" si="5192">BX1190+BX1200+BX1206</f>
        <v>0</v>
      </c>
      <c r="BY1207" s="1138">
        <f t="shared" ref="BY1207" si="5193">BY1190+BY1200+BY1206</f>
        <v>0</v>
      </c>
      <c r="BZ1207" s="1138">
        <f t="shared" ref="BZ1207" si="5194">BZ1190+BZ1200+BZ1206</f>
        <v>0</v>
      </c>
      <c r="CA1207" s="1138">
        <f t="shared" ref="CA1207" si="5195">CA1190+CA1200+CA1206</f>
        <v>0</v>
      </c>
      <c r="CB1207" s="1138">
        <f t="shared" ref="CB1207" si="5196">CB1190+CB1200+CB1206</f>
        <v>0</v>
      </c>
      <c r="CC1207" s="1138">
        <f t="shared" ref="CC1207" si="5197">CC1190+CC1200+CC1206</f>
        <v>0</v>
      </c>
      <c r="CD1207" s="1138">
        <f t="shared" ref="CD1207" si="5198">CD1190+CD1200+CD1206</f>
        <v>0</v>
      </c>
      <c r="CE1207" s="1138">
        <f t="shared" ref="CE1207" si="5199">CE1190+CE1200+CE1206</f>
        <v>0</v>
      </c>
      <c r="CF1207" s="1138">
        <f t="shared" ref="CF1207" si="5200">CF1190+CF1200+CF1206</f>
        <v>0</v>
      </c>
      <c r="CG1207" s="1138">
        <f t="shared" ref="CG1207" si="5201">CG1190+CG1200+CG1206</f>
        <v>0</v>
      </c>
      <c r="CH1207" s="1138">
        <f t="shared" ref="CH1207" si="5202">CH1190+CH1200+CH1206</f>
        <v>0</v>
      </c>
      <c r="CI1207" s="1138">
        <f t="shared" ref="CI1207" si="5203">CI1190+CI1200+CI1206</f>
        <v>0</v>
      </c>
      <c r="CJ1207" s="1138">
        <f t="shared" ref="CJ1207" si="5204">CJ1190+CJ1200+CJ1206</f>
        <v>0</v>
      </c>
      <c r="CK1207" s="1138">
        <f t="shared" ref="CK1207" si="5205">CK1190+CK1200+CK1206</f>
        <v>0</v>
      </c>
      <c r="CL1207" s="1138">
        <f t="shared" ref="CL1207" si="5206">CL1190+CL1200+CL1206</f>
        <v>0</v>
      </c>
      <c r="CM1207" s="1138">
        <f t="shared" ref="CM1207" si="5207">CM1190+CM1200+CM1206</f>
        <v>0</v>
      </c>
      <c r="CN1207" s="1138">
        <f t="shared" ref="CN1207" si="5208">CN1190+CN1200+CN1206</f>
        <v>0</v>
      </c>
      <c r="CO1207" s="1138">
        <f t="shared" ref="CO1207" si="5209">CO1190+CO1200+CO1206</f>
        <v>0</v>
      </c>
      <c r="CP1207" s="1138">
        <f t="shared" ref="CP1207" si="5210">CP1190+CP1200+CP1206</f>
        <v>0</v>
      </c>
      <c r="CQ1207" s="1138">
        <f t="shared" ref="CQ1207" si="5211">CQ1190+CQ1200+CQ1206</f>
        <v>0</v>
      </c>
      <c r="CR1207" s="1138">
        <f t="shared" ref="CR1207" si="5212">CR1190+CR1200+CR1206</f>
        <v>0</v>
      </c>
      <c r="CS1207" s="1138">
        <f t="shared" ref="CS1207" si="5213">CS1190+CS1200+CS1206</f>
        <v>0</v>
      </c>
      <c r="CT1207" s="1138">
        <f t="shared" ref="CT1207" si="5214">CT1190+CT1200+CT1206</f>
        <v>0</v>
      </c>
      <c r="CU1207" s="1138">
        <f t="shared" ref="CU1207" si="5215">CU1190+CU1200+CU1206</f>
        <v>0</v>
      </c>
      <c r="CV1207" s="1138">
        <f t="shared" ref="CV1207" si="5216">CV1190+CV1200+CV1206</f>
        <v>0</v>
      </c>
      <c r="CW1207" s="1138">
        <f t="shared" ref="CW1207" si="5217">CW1190+CW1200+CW1206</f>
        <v>0</v>
      </c>
      <c r="CX1207" s="1138">
        <f t="shared" ref="CX1207" si="5218">CX1190+CX1200+CX1206</f>
        <v>0</v>
      </c>
      <c r="CY1207" s="1138">
        <f t="shared" ref="CY1207" si="5219">CY1190+CY1200+CY1206</f>
        <v>0</v>
      </c>
      <c r="CZ1207" s="1138">
        <f t="shared" ref="CZ1207" si="5220">CZ1190+CZ1200+CZ1206</f>
        <v>0</v>
      </c>
      <c r="DA1207" s="1138">
        <f t="shared" ref="DA1207" si="5221">DA1190+DA1200+DA1206</f>
        <v>0</v>
      </c>
      <c r="DB1207" s="1138">
        <f t="shared" ref="DB1207" si="5222">DB1190+DB1200+DB1206</f>
        <v>0</v>
      </c>
      <c r="DC1207" s="1138">
        <f t="shared" ref="DC1207" si="5223">DC1190+DC1200+DC1206</f>
        <v>0</v>
      </c>
      <c r="DD1207" s="1138">
        <f t="shared" ref="DD1207" si="5224">DD1190+DD1200+DD1206</f>
        <v>0</v>
      </c>
      <c r="DE1207" s="1138">
        <f t="shared" ref="DE1207" si="5225">DE1190+DE1200+DE1206</f>
        <v>0</v>
      </c>
      <c r="DF1207" s="1138">
        <f t="shared" ref="DF1207" si="5226">DF1190+DF1200+DF1206</f>
        <v>0</v>
      </c>
      <c r="DG1207" s="1138">
        <f t="shared" ref="DG1207" si="5227">DG1190+DG1200+DG1206</f>
        <v>0</v>
      </c>
      <c r="DH1207" s="1138">
        <f t="shared" ref="DH1207" si="5228">DH1190+DH1200+DH1206</f>
        <v>0</v>
      </c>
      <c r="DI1207" s="1138">
        <f t="shared" ref="DI1207" si="5229">DI1190+DI1200+DI1206</f>
        <v>0</v>
      </c>
      <c r="DJ1207" s="1138">
        <f t="shared" ref="DJ1207" si="5230">DJ1190+DJ1200+DJ1206</f>
        <v>0</v>
      </c>
      <c r="DK1207" s="1138">
        <f t="shared" ref="DK1207" si="5231">DK1190+DK1200+DK1206</f>
        <v>0</v>
      </c>
      <c r="DL1207" s="1138">
        <f t="shared" ref="DL1207" si="5232">DL1190+DL1200+DL1206</f>
        <v>0</v>
      </c>
      <c r="DM1207" s="1138">
        <f t="shared" ref="DM1207" si="5233">DM1190+DM1200+DM1206</f>
        <v>0</v>
      </c>
      <c r="DN1207" s="1138">
        <f t="shared" ref="DN1207" si="5234">DN1190+DN1200+DN1206</f>
        <v>0</v>
      </c>
      <c r="DO1207" s="1138">
        <f t="shared" ref="DO1207" si="5235">DO1190+DO1200+DO1206</f>
        <v>0</v>
      </c>
      <c r="DP1207" s="1138">
        <f t="shared" ref="DP1207" si="5236">DP1190+DP1200+DP1206</f>
        <v>0</v>
      </c>
      <c r="DQ1207" s="1138">
        <f t="shared" ref="DQ1207" si="5237">DQ1190+DQ1200+DQ1206</f>
        <v>0</v>
      </c>
      <c r="DR1207" s="1138">
        <f t="shared" ref="DR1207" si="5238">DR1190+DR1200+DR1206</f>
        <v>0</v>
      </c>
      <c r="DS1207" s="1138">
        <f t="shared" ref="DS1207" si="5239">DS1190+DS1200+DS1206</f>
        <v>0</v>
      </c>
      <c r="DT1207" s="1138">
        <f t="shared" ref="DT1207" si="5240">DT1190+DT1200+DT1206</f>
        <v>0</v>
      </c>
      <c r="DU1207" s="1138">
        <f t="shared" ref="DU1207" si="5241">DU1190+DU1200+DU1206</f>
        <v>0</v>
      </c>
      <c r="DV1207" s="1138">
        <f t="shared" ref="DV1207" si="5242">DV1190+DV1200+DV1206</f>
        <v>0</v>
      </c>
      <c r="DW1207" s="1138">
        <f t="shared" ref="DW1207" si="5243">DW1190+DW1200+DW1206</f>
        <v>0</v>
      </c>
      <c r="DX1207" s="1138">
        <f t="shared" ref="DX1207" si="5244">DX1190+DX1200+DX1206</f>
        <v>0</v>
      </c>
      <c r="DY1207" s="1138">
        <f t="shared" ref="DY1207" si="5245">DY1190+DY1200+DY1206</f>
        <v>0</v>
      </c>
      <c r="DZ1207" s="1138">
        <f t="shared" ref="DZ1207" si="5246">DZ1190+DZ1200+DZ1206</f>
        <v>0</v>
      </c>
      <c r="EA1207" s="1138">
        <f t="shared" ref="EA1207" si="5247">EA1190+EA1200+EA1206</f>
        <v>0</v>
      </c>
      <c r="EB1207" s="1138">
        <f t="shared" ref="EB1207" si="5248">EB1190+EB1200+EB1206</f>
        <v>0</v>
      </c>
      <c r="EC1207" s="1138">
        <f t="shared" ref="EC1207" si="5249">EC1190+EC1200+EC1206</f>
        <v>0</v>
      </c>
      <c r="ED1207" s="1138">
        <f t="shared" ref="ED1207" si="5250">ED1190+ED1200+ED1206</f>
        <v>0</v>
      </c>
      <c r="EE1207" s="1138">
        <f t="shared" ref="EE1207" si="5251">EE1190+EE1200+EE1206</f>
        <v>0</v>
      </c>
      <c r="EF1207" s="1138">
        <f t="shared" ref="EF1207" si="5252">EF1190+EF1200+EF1206</f>
        <v>0</v>
      </c>
      <c r="EG1207" s="1138">
        <f t="shared" ref="EG1207" si="5253">EG1190+EG1200+EG1206</f>
        <v>0</v>
      </c>
      <c r="EH1207" s="1138">
        <f t="shared" ref="EH1207" si="5254">EH1190+EH1200+EH1206</f>
        <v>0</v>
      </c>
      <c r="EI1207" s="1138">
        <f t="shared" ref="EI1207" si="5255">EI1190+EI1200+EI1206</f>
        <v>0</v>
      </c>
      <c r="EJ1207" s="1138">
        <f t="shared" ref="EJ1207" si="5256">EJ1190+EJ1200+EJ1206</f>
        <v>0</v>
      </c>
      <c r="EK1207" s="1138">
        <f t="shared" ref="EK1207" si="5257">EK1190+EK1200+EK1206</f>
        <v>0</v>
      </c>
      <c r="EL1207" s="1138">
        <f t="shared" ref="EL1207" si="5258">EL1190+EL1200+EL1206</f>
        <v>0</v>
      </c>
      <c r="EM1207" s="1138">
        <f t="shared" ref="EM1207" si="5259">EM1190+EM1200+EM1206</f>
        <v>0</v>
      </c>
      <c r="EN1207" s="1138">
        <f t="shared" ref="EN1207" si="5260">EN1190+EN1200+EN1206</f>
        <v>0</v>
      </c>
      <c r="EO1207" s="1138">
        <f t="shared" ref="EO1207" si="5261">EO1190+EO1200+EO1206</f>
        <v>0</v>
      </c>
      <c r="EP1207" s="1138">
        <f t="shared" ref="EP1207" si="5262">EP1190+EP1200+EP1206</f>
        <v>0</v>
      </c>
      <c r="EQ1207" s="1138">
        <f t="shared" ref="EQ1207" si="5263">EQ1190+EQ1200+EQ1206</f>
        <v>0</v>
      </c>
      <c r="ER1207" s="1138">
        <f t="shared" ref="ER1207" si="5264">ER1190+ER1200+ER1206</f>
        <v>0</v>
      </c>
      <c r="ES1207" s="1138">
        <f t="shared" ref="ES1207" si="5265">ES1190+ES1200+ES1206</f>
        <v>0</v>
      </c>
      <c r="ET1207" s="1138">
        <f t="shared" ref="ET1207" si="5266">ET1190+ET1200+ET1206</f>
        <v>0</v>
      </c>
      <c r="EU1207" s="1138">
        <f t="shared" ref="EU1207" si="5267">EU1190+EU1200+EU1206</f>
        <v>0</v>
      </c>
      <c r="EV1207" s="1138">
        <f t="shared" ref="EV1207" si="5268">EV1190+EV1200+EV1206</f>
        <v>0</v>
      </c>
      <c r="EW1207" s="1138">
        <f t="shared" ref="EW1207" si="5269">EW1190+EW1200+EW1206</f>
        <v>0</v>
      </c>
      <c r="EX1207" s="1138">
        <f t="shared" ref="EX1207:FL1207" si="5270">EX1190+EX1200+EX1206</f>
        <v>0</v>
      </c>
      <c r="EY1207" s="1138">
        <f t="shared" si="5270"/>
        <v>0</v>
      </c>
      <c r="EZ1207" s="1138">
        <f t="shared" si="5270"/>
        <v>0</v>
      </c>
      <c r="FA1207" s="1138">
        <f t="shared" si="5270"/>
        <v>0</v>
      </c>
      <c r="FB1207" s="1138">
        <f t="shared" si="5270"/>
        <v>0</v>
      </c>
      <c r="FC1207" s="1138">
        <f t="shared" si="5270"/>
        <v>0</v>
      </c>
      <c r="FD1207" s="1138">
        <f t="shared" si="5270"/>
        <v>0</v>
      </c>
      <c r="FE1207" s="1138">
        <f t="shared" si="5270"/>
        <v>0</v>
      </c>
      <c r="FF1207" s="1138">
        <f t="shared" si="5270"/>
        <v>0</v>
      </c>
      <c r="FG1207" s="1138">
        <f t="shared" si="5270"/>
        <v>0</v>
      </c>
      <c r="FH1207" s="1138">
        <f t="shared" si="5270"/>
        <v>0</v>
      </c>
      <c r="FI1207" s="1138">
        <f t="shared" si="5270"/>
        <v>0</v>
      </c>
      <c r="FJ1207" s="1138">
        <f t="shared" si="5270"/>
        <v>0</v>
      </c>
      <c r="FK1207" s="1138">
        <f t="shared" si="5270"/>
        <v>0</v>
      </c>
      <c r="FL1207" s="1138">
        <f t="shared" si="5270"/>
        <v>0</v>
      </c>
    </row>
    <row r="1208" spans="1:168" s="550" customFormat="1" x14ac:dyDescent="0.25">
      <c r="A1208" s="549"/>
      <c r="B1208" s="626" t="s">
        <v>756</v>
      </c>
      <c r="C1208" s="1136"/>
      <c r="D1208" s="1136"/>
      <c r="E1208" s="1141"/>
      <c r="F1208" s="1141"/>
      <c r="G1208" s="1141"/>
      <c r="H1208" s="1141"/>
      <c r="I1208" s="560"/>
      <c r="J1208" s="560"/>
      <c r="K1208" s="560"/>
      <c r="L1208" s="560"/>
      <c r="M1208" s="560"/>
      <c r="N1208" s="560"/>
      <c r="O1208" s="560"/>
      <c r="P1208" s="560"/>
      <c r="Q1208" s="560"/>
      <c r="R1208" s="560"/>
      <c r="S1208" s="560"/>
      <c r="T1208" s="560"/>
      <c r="U1208" s="560"/>
      <c r="V1208" s="560"/>
      <c r="W1208" s="560"/>
      <c r="X1208" s="560"/>
      <c r="Y1208" s="560"/>
      <c r="Z1208" s="560"/>
      <c r="AA1208" s="560"/>
      <c r="AB1208" s="560"/>
      <c r="AC1208" s="560"/>
      <c r="AD1208" s="560"/>
      <c r="AE1208" s="560"/>
      <c r="AF1208" s="560"/>
      <c r="AG1208" s="560"/>
      <c r="AH1208" s="560"/>
      <c r="AI1208" s="560"/>
      <c r="AJ1208" s="560"/>
      <c r="AK1208" s="560"/>
      <c r="AL1208" s="560"/>
      <c r="AM1208" s="560"/>
      <c r="AN1208" s="560"/>
      <c r="AO1208" s="560"/>
      <c r="AP1208" s="560"/>
      <c r="AQ1208" s="560"/>
      <c r="AR1208" s="560"/>
      <c r="AS1208" s="560"/>
      <c r="AT1208" s="560"/>
      <c r="AU1208" s="560"/>
      <c r="AV1208" s="560"/>
      <c r="AW1208" s="560"/>
      <c r="AX1208" s="560"/>
      <c r="AY1208" s="560"/>
      <c r="AZ1208" s="560"/>
      <c r="BA1208" s="560"/>
      <c r="BB1208" s="560"/>
      <c r="BC1208" s="560"/>
      <c r="BD1208" s="560"/>
      <c r="BE1208" s="560"/>
      <c r="BF1208" s="560"/>
      <c r="BG1208" s="560"/>
      <c r="BH1208" s="560"/>
      <c r="BI1208" s="560"/>
      <c r="BJ1208" s="560"/>
      <c r="BK1208" s="560"/>
      <c r="BL1208" s="560"/>
      <c r="BM1208" s="560"/>
      <c r="BN1208" s="560"/>
      <c r="BO1208" s="560"/>
      <c r="BP1208" s="560"/>
      <c r="BQ1208" s="560"/>
      <c r="BR1208" s="560"/>
      <c r="BS1208" s="560"/>
      <c r="BT1208" s="560"/>
      <c r="BU1208" s="560"/>
      <c r="BV1208" s="560"/>
      <c r="BW1208" s="560"/>
      <c r="BX1208" s="560"/>
      <c r="BY1208" s="560"/>
      <c r="BZ1208" s="560"/>
      <c r="CA1208" s="560"/>
      <c r="CB1208" s="560"/>
      <c r="CC1208" s="560"/>
      <c r="CD1208" s="560"/>
      <c r="CE1208" s="560"/>
      <c r="CF1208" s="560"/>
      <c r="CG1208" s="560"/>
      <c r="CH1208" s="560"/>
      <c r="CI1208" s="560"/>
      <c r="CJ1208" s="560"/>
      <c r="CK1208" s="560"/>
      <c r="CL1208" s="560"/>
      <c r="CM1208" s="560"/>
      <c r="CN1208" s="560"/>
      <c r="CO1208" s="560"/>
      <c r="CP1208" s="560"/>
      <c r="CQ1208" s="560"/>
      <c r="CR1208" s="560"/>
      <c r="CS1208" s="560"/>
      <c r="CT1208" s="560"/>
      <c r="CU1208" s="560"/>
      <c r="CV1208" s="560"/>
      <c r="CW1208" s="560"/>
      <c r="CX1208" s="560"/>
      <c r="CY1208" s="560"/>
      <c r="CZ1208" s="560"/>
      <c r="DA1208" s="560"/>
      <c r="DB1208" s="560"/>
      <c r="DC1208" s="560"/>
      <c r="DD1208" s="560"/>
      <c r="DE1208" s="560"/>
      <c r="DF1208" s="560"/>
      <c r="DG1208" s="560"/>
      <c r="DH1208" s="560"/>
      <c r="DI1208" s="560"/>
      <c r="DJ1208" s="560"/>
      <c r="DK1208" s="560"/>
      <c r="DL1208" s="560"/>
      <c r="DM1208" s="560"/>
      <c r="DN1208" s="560"/>
      <c r="DO1208" s="560"/>
      <c r="DP1208" s="560"/>
      <c r="DQ1208" s="560"/>
      <c r="DR1208" s="560"/>
      <c r="DS1208" s="560"/>
      <c r="DT1208" s="560"/>
      <c r="DU1208" s="560"/>
      <c r="DV1208" s="560"/>
      <c r="DW1208" s="560"/>
      <c r="DX1208" s="560"/>
      <c r="DY1208" s="560"/>
      <c r="DZ1208" s="560"/>
      <c r="EA1208" s="560"/>
      <c r="EB1208" s="560"/>
      <c r="EC1208" s="560"/>
      <c r="ED1208" s="560"/>
      <c r="EE1208" s="560"/>
      <c r="EF1208" s="560"/>
      <c r="EG1208" s="560"/>
      <c r="EH1208" s="560"/>
      <c r="EI1208" s="560"/>
      <c r="EJ1208" s="560"/>
      <c r="EK1208" s="560"/>
      <c r="EL1208" s="560"/>
      <c r="EM1208" s="560"/>
      <c r="EN1208" s="560"/>
      <c r="EO1208" s="560"/>
      <c r="EP1208" s="560"/>
      <c r="EQ1208" s="560"/>
      <c r="ER1208" s="560"/>
      <c r="ES1208" s="560"/>
      <c r="ET1208" s="560"/>
      <c r="EU1208" s="560"/>
      <c r="EV1208" s="560"/>
      <c r="EW1208" s="560"/>
      <c r="EX1208" s="560"/>
      <c r="EY1208" s="800" t="s">
        <v>829</v>
      </c>
      <c r="EZ1208" s="563"/>
      <c r="FA1208" s="563"/>
      <c r="FB1208" s="563"/>
      <c r="FC1208" s="563"/>
      <c r="FD1208" s="563"/>
      <c r="FE1208" s="563"/>
      <c r="FF1208" s="563"/>
      <c r="FG1208" s="563"/>
      <c r="FH1208" s="563"/>
      <c r="FI1208" s="563"/>
      <c r="FJ1208" s="563"/>
      <c r="FK1208" s="563"/>
      <c r="FL1208" s="563"/>
    </row>
    <row r="1209" spans="1:168" x14ac:dyDescent="0.25">
      <c r="A1209" s="1491" t="s">
        <v>109</v>
      </c>
      <c r="B1209" s="624">
        <f t="shared" ref="B1209:D1217" si="5271">B257</f>
        <v>0</v>
      </c>
      <c r="C1209" s="624">
        <f t="shared" si="5271"/>
        <v>0</v>
      </c>
      <c r="D1209" s="624">
        <f t="shared" si="5271"/>
        <v>0</v>
      </c>
      <c r="E1209" s="1158">
        <f t="shared" ref="E1209" si="5272">EY1209</f>
        <v>0</v>
      </c>
      <c r="F1209" s="1158"/>
      <c r="G1209" s="1140"/>
      <c r="H1209" s="1140"/>
      <c r="I1209" s="552"/>
      <c r="J1209" s="552">
        <f t="shared" ref="J1209:AO1209" si="5273">J257*J$338</f>
        <v>0</v>
      </c>
      <c r="K1209" s="552">
        <f t="shared" si="5273"/>
        <v>0</v>
      </c>
      <c r="L1209" s="552">
        <f t="shared" si="5273"/>
        <v>0</v>
      </c>
      <c r="M1209" s="552">
        <f t="shared" si="5273"/>
        <v>0</v>
      </c>
      <c r="N1209" s="552">
        <f t="shared" si="5273"/>
        <v>0</v>
      </c>
      <c r="O1209" s="552">
        <f t="shared" si="5273"/>
        <v>0</v>
      </c>
      <c r="P1209" s="552">
        <f t="shared" si="5273"/>
        <v>0</v>
      </c>
      <c r="Q1209" s="552">
        <f t="shared" si="5273"/>
        <v>0</v>
      </c>
      <c r="R1209" s="552">
        <f t="shared" si="5273"/>
        <v>0</v>
      </c>
      <c r="S1209" s="552">
        <f t="shared" si="5273"/>
        <v>0</v>
      </c>
      <c r="T1209" s="552">
        <f t="shared" si="5273"/>
        <v>0</v>
      </c>
      <c r="U1209" s="552">
        <f t="shared" si="5273"/>
        <v>0</v>
      </c>
      <c r="V1209" s="552">
        <f t="shared" si="5273"/>
        <v>0</v>
      </c>
      <c r="W1209" s="552">
        <f t="shared" si="5273"/>
        <v>0</v>
      </c>
      <c r="X1209" s="552">
        <f t="shared" si="5273"/>
        <v>0</v>
      </c>
      <c r="Y1209" s="552">
        <f t="shared" si="5273"/>
        <v>0</v>
      </c>
      <c r="Z1209" s="552">
        <f t="shared" si="5273"/>
        <v>0</v>
      </c>
      <c r="AA1209" s="552">
        <f t="shared" si="5273"/>
        <v>0</v>
      </c>
      <c r="AB1209" s="552">
        <f t="shared" si="5273"/>
        <v>0</v>
      </c>
      <c r="AC1209" s="552">
        <f t="shared" si="5273"/>
        <v>0</v>
      </c>
      <c r="AD1209" s="552">
        <f t="shared" si="5273"/>
        <v>0</v>
      </c>
      <c r="AE1209" s="552">
        <f t="shared" si="5273"/>
        <v>0</v>
      </c>
      <c r="AF1209" s="552">
        <f t="shared" si="5273"/>
        <v>0</v>
      </c>
      <c r="AG1209" s="552">
        <f t="shared" si="5273"/>
        <v>0</v>
      </c>
      <c r="AH1209" s="552">
        <f t="shared" si="5273"/>
        <v>0</v>
      </c>
      <c r="AI1209" s="552">
        <f t="shared" si="5273"/>
        <v>0</v>
      </c>
      <c r="AJ1209" s="552">
        <f t="shared" si="5273"/>
        <v>0</v>
      </c>
      <c r="AK1209" s="552">
        <f t="shared" si="5273"/>
        <v>0</v>
      </c>
      <c r="AL1209" s="552">
        <f t="shared" si="5273"/>
        <v>0</v>
      </c>
      <c r="AM1209" s="552">
        <f t="shared" si="5273"/>
        <v>0</v>
      </c>
      <c r="AN1209" s="552">
        <f t="shared" si="5273"/>
        <v>0</v>
      </c>
      <c r="AO1209" s="552">
        <f t="shared" si="5273"/>
        <v>0</v>
      </c>
      <c r="AP1209" s="552">
        <f t="shared" ref="AP1209:BU1209" si="5274">AP257*AP$338</f>
        <v>0</v>
      </c>
      <c r="AQ1209" s="552">
        <f t="shared" si="5274"/>
        <v>0</v>
      </c>
      <c r="AR1209" s="552">
        <f t="shared" si="5274"/>
        <v>0</v>
      </c>
      <c r="AS1209" s="552">
        <f t="shared" si="5274"/>
        <v>0</v>
      </c>
      <c r="AT1209" s="552">
        <f t="shared" si="5274"/>
        <v>0</v>
      </c>
      <c r="AU1209" s="552">
        <f t="shared" si="5274"/>
        <v>0</v>
      </c>
      <c r="AV1209" s="552">
        <f t="shared" si="5274"/>
        <v>0</v>
      </c>
      <c r="AW1209" s="552">
        <f t="shared" si="5274"/>
        <v>0</v>
      </c>
      <c r="AX1209" s="552">
        <f t="shared" si="5274"/>
        <v>0</v>
      </c>
      <c r="AY1209" s="552">
        <f t="shared" si="5274"/>
        <v>0</v>
      </c>
      <c r="AZ1209" s="552">
        <f t="shared" si="5274"/>
        <v>0</v>
      </c>
      <c r="BA1209" s="552">
        <f t="shared" si="5274"/>
        <v>0</v>
      </c>
      <c r="BB1209" s="552">
        <f t="shared" si="5274"/>
        <v>0</v>
      </c>
      <c r="BC1209" s="552">
        <f t="shared" si="5274"/>
        <v>0</v>
      </c>
      <c r="BD1209" s="552">
        <f t="shared" si="5274"/>
        <v>0</v>
      </c>
      <c r="BE1209" s="552">
        <f t="shared" si="5274"/>
        <v>0</v>
      </c>
      <c r="BF1209" s="552">
        <f t="shared" si="5274"/>
        <v>0</v>
      </c>
      <c r="BG1209" s="552">
        <f t="shared" si="5274"/>
        <v>0</v>
      </c>
      <c r="BH1209" s="552">
        <f t="shared" si="5274"/>
        <v>0</v>
      </c>
      <c r="BI1209" s="552">
        <f t="shared" si="5274"/>
        <v>0</v>
      </c>
      <c r="BJ1209" s="552">
        <f t="shared" si="5274"/>
        <v>0</v>
      </c>
      <c r="BK1209" s="552">
        <f t="shared" si="5274"/>
        <v>0</v>
      </c>
      <c r="BL1209" s="552">
        <f t="shared" si="5274"/>
        <v>0</v>
      </c>
      <c r="BM1209" s="552">
        <f t="shared" si="5274"/>
        <v>0</v>
      </c>
      <c r="BN1209" s="552">
        <f t="shared" si="5274"/>
        <v>0</v>
      </c>
      <c r="BO1209" s="552">
        <f t="shared" si="5274"/>
        <v>0</v>
      </c>
      <c r="BP1209" s="552">
        <f t="shared" si="5274"/>
        <v>0</v>
      </c>
      <c r="BQ1209" s="552">
        <f t="shared" si="5274"/>
        <v>0</v>
      </c>
      <c r="BR1209" s="552">
        <f t="shared" si="5274"/>
        <v>0</v>
      </c>
      <c r="BS1209" s="552">
        <f t="shared" si="5274"/>
        <v>0</v>
      </c>
      <c r="BT1209" s="552">
        <f t="shared" si="5274"/>
        <v>0</v>
      </c>
      <c r="BU1209" s="552">
        <f t="shared" si="5274"/>
        <v>0</v>
      </c>
      <c r="BV1209" s="552">
        <f t="shared" ref="BV1209:DA1209" si="5275">BV257*BV$338</f>
        <v>0</v>
      </c>
      <c r="BW1209" s="552">
        <f t="shared" si="5275"/>
        <v>0</v>
      </c>
      <c r="BX1209" s="552">
        <f t="shared" si="5275"/>
        <v>0</v>
      </c>
      <c r="BY1209" s="552">
        <f t="shared" si="5275"/>
        <v>0</v>
      </c>
      <c r="BZ1209" s="552">
        <f t="shared" si="5275"/>
        <v>0</v>
      </c>
      <c r="CA1209" s="552">
        <f t="shared" si="5275"/>
        <v>0</v>
      </c>
      <c r="CB1209" s="552">
        <f t="shared" si="5275"/>
        <v>0</v>
      </c>
      <c r="CC1209" s="552">
        <f t="shared" si="5275"/>
        <v>0</v>
      </c>
      <c r="CD1209" s="552">
        <f t="shared" si="5275"/>
        <v>0</v>
      </c>
      <c r="CE1209" s="552">
        <f t="shared" si="5275"/>
        <v>0</v>
      </c>
      <c r="CF1209" s="552">
        <f t="shared" si="5275"/>
        <v>0</v>
      </c>
      <c r="CG1209" s="552">
        <f t="shared" si="5275"/>
        <v>0</v>
      </c>
      <c r="CH1209" s="552">
        <f t="shared" si="5275"/>
        <v>0</v>
      </c>
      <c r="CI1209" s="552">
        <f t="shared" si="5275"/>
        <v>0</v>
      </c>
      <c r="CJ1209" s="552">
        <f t="shared" si="5275"/>
        <v>0</v>
      </c>
      <c r="CK1209" s="552">
        <f t="shared" si="5275"/>
        <v>0</v>
      </c>
      <c r="CL1209" s="552">
        <f t="shared" si="5275"/>
        <v>0</v>
      </c>
      <c r="CM1209" s="552">
        <f t="shared" si="5275"/>
        <v>0</v>
      </c>
      <c r="CN1209" s="552">
        <f t="shared" si="5275"/>
        <v>0</v>
      </c>
      <c r="CO1209" s="552">
        <f t="shared" si="5275"/>
        <v>0</v>
      </c>
      <c r="CP1209" s="552">
        <f t="shared" si="5275"/>
        <v>0</v>
      </c>
      <c r="CQ1209" s="552">
        <f t="shared" si="5275"/>
        <v>0</v>
      </c>
      <c r="CR1209" s="552">
        <f t="shared" si="5275"/>
        <v>0</v>
      </c>
      <c r="CS1209" s="552">
        <f t="shared" si="5275"/>
        <v>0</v>
      </c>
      <c r="CT1209" s="552">
        <f t="shared" si="5275"/>
        <v>0</v>
      </c>
      <c r="CU1209" s="552">
        <f t="shared" si="5275"/>
        <v>0</v>
      </c>
      <c r="CV1209" s="552">
        <f t="shared" si="5275"/>
        <v>0</v>
      </c>
      <c r="CW1209" s="552">
        <f t="shared" si="5275"/>
        <v>0</v>
      </c>
      <c r="CX1209" s="552">
        <f t="shared" si="5275"/>
        <v>0</v>
      </c>
      <c r="CY1209" s="552">
        <f t="shared" si="5275"/>
        <v>0</v>
      </c>
      <c r="CZ1209" s="552">
        <f t="shared" si="5275"/>
        <v>0</v>
      </c>
      <c r="DA1209" s="552">
        <f t="shared" si="5275"/>
        <v>0</v>
      </c>
      <c r="DB1209" s="552">
        <f t="shared" ref="DB1209:EG1209" si="5276">DB257*DB$338</f>
        <v>0</v>
      </c>
      <c r="DC1209" s="552">
        <f t="shared" si="5276"/>
        <v>0</v>
      </c>
      <c r="DD1209" s="552">
        <f t="shared" si="5276"/>
        <v>0</v>
      </c>
      <c r="DE1209" s="552">
        <f t="shared" si="5276"/>
        <v>0</v>
      </c>
      <c r="DF1209" s="552">
        <f t="shared" si="5276"/>
        <v>0</v>
      </c>
      <c r="DG1209" s="552">
        <f t="shared" si="5276"/>
        <v>0</v>
      </c>
      <c r="DH1209" s="552">
        <f t="shared" si="5276"/>
        <v>0</v>
      </c>
      <c r="DI1209" s="552">
        <f t="shared" si="5276"/>
        <v>0</v>
      </c>
      <c r="DJ1209" s="552">
        <f t="shared" si="5276"/>
        <v>0</v>
      </c>
      <c r="DK1209" s="552">
        <f t="shared" si="5276"/>
        <v>0</v>
      </c>
      <c r="DL1209" s="552">
        <f t="shared" si="5276"/>
        <v>0</v>
      </c>
      <c r="DM1209" s="552">
        <f t="shared" si="5276"/>
        <v>0</v>
      </c>
      <c r="DN1209" s="552">
        <f t="shared" si="5276"/>
        <v>0</v>
      </c>
      <c r="DO1209" s="552">
        <f t="shared" si="5276"/>
        <v>0</v>
      </c>
      <c r="DP1209" s="552">
        <f t="shared" si="5276"/>
        <v>0</v>
      </c>
      <c r="DQ1209" s="552">
        <f t="shared" si="5276"/>
        <v>0</v>
      </c>
      <c r="DR1209" s="552">
        <f t="shared" si="5276"/>
        <v>0</v>
      </c>
      <c r="DS1209" s="552">
        <f t="shared" si="5276"/>
        <v>0</v>
      </c>
      <c r="DT1209" s="552">
        <f t="shared" si="5276"/>
        <v>0</v>
      </c>
      <c r="DU1209" s="552">
        <f t="shared" si="5276"/>
        <v>0</v>
      </c>
      <c r="DV1209" s="552">
        <f t="shared" si="5276"/>
        <v>0</v>
      </c>
      <c r="DW1209" s="552">
        <f t="shared" si="5276"/>
        <v>0</v>
      </c>
      <c r="DX1209" s="552">
        <f t="shared" si="5276"/>
        <v>0</v>
      </c>
      <c r="DY1209" s="552">
        <f t="shared" si="5276"/>
        <v>0</v>
      </c>
      <c r="DZ1209" s="552">
        <f t="shared" si="5276"/>
        <v>0</v>
      </c>
      <c r="EA1209" s="552">
        <f t="shared" si="5276"/>
        <v>0</v>
      </c>
      <c r="EB1209" s="552">
        <f t="shared" si="5276"/>
        <v>0</v>
      </c>
      <c r="EC1209" s="552">
        <f t="shared" si="5276"/>
        <v>0</v>
      </c>
      <c r="ED1209" s="552">
        <f t="shared" si="5276"/>
        <v>0</v>
      </c>
      <c r="EE1209" s="552">
        <f t="shared" si="5276"/>
        <v>0</v>
      </c>
      <c r="EF1209" s="552">
        <f t="shared" si="5276"/>
        <v>0</v>
      </c>
      <c r="EG1209" s="552">
        <f t="shared" si="5276"/>
        <v>0</v>
      </c>
      <c r="EH1209" s="552">
        <f t="shared" ref="EH1209:EX1209" si="5277">EH257*EH$338</f>
        <v>0</v>
      </c>
      <c r="EI1209" s="552">
        <f t="shared" si="5277"/>
        <v>0</v>
      </c>
      <c r="EJ1209" s="552">
        <f t="shared" si="5277"/>
        <v>0</v>
      </c>
      <c r="EK1209" s="552">
        <f t="shared" si="5277"/>
        <v>0</v>
      </c>
      <c r="EL1209" s="552">
        <f t="shared" si="5277"/>
        <v>0</v>
      </c>
      <c r="EM1209" s="552">
        <f t="shared" si="5277"/>
        <v>0</v>
      </c>
      <c r="EN1209" s="552">
        <f t="shared" si="5277"/>
        <v>0</v>
      </c>
      <c r="EO1209" s="552">
        <f t="shared" si="5277"/>
        <v>0</v>
      </c>
      <c r="EP1209" s="552">
        <f t="shared" si="5277"/>
        <v>0</v>
      </c>
      <c r="EQ1209" s="552">
        <f t="shared" si="5277"/>
        <v>0</v>
      </c>
      <c r="ER1209" s="552">
        <f t="shared" si="5277"/>
        <v>0</v>
      </c>
      <c r="ES1209" s="552">
        <f t="shared" si="5277"/>
        <v>0</v>
      </c>
      <c r="ET1209" s="552">
        <f t="shared" si="5277"/>
        <v>0</v>
      </c>
      <c r="EU1209" s="552">
        <f t="shared" si="5277"/>
        <v>0</v>
      </c>
      <c r="EV1209" s="552">
        <f t="shared" si="5277"/>
        <v>0</v>
      </c>
      <c r="EW1209" s="552">
        <f t="shared" si="5277"/>
        <v>0</v>
      </c>
      <c r="EX1209" s="552">
        <f t="shared" si="5277"/>
        <v>0</v>
      </c>
      <c r="EY1209" s="799">
        <f t="shared" si="4577"/>
        <v>0</v>
      </c>
      <c r="EZ1209" s="640"/>
      <c r="FA1209" s="640"/>
      <c r="FB1209" s="640"/>
      <c r="FC1209" s="640"/>
      <c r="FD1209" s="640"/>
      <c r="FE1209" s="640"/>
      <c r="FF1209" s="640"/>
      <c r="FG1209" s="640"/>
      <c r="FH1209" s="640"/>
      <c r="FI1209" s="640"/>
      <c r="FJ1209" s="640"/>
      <c r="FK1209" s="640"/>
      <c r="FL1209" s="640"/>
    </row>
    <row r="1210" spans="1:168" x14ac:dyDescent="0.25">
      <c r="A1210" s="1492"/>
      <c r="B1210" s="624">
        <f t="shared" si="5271"/>
        <v>0</v>
      </c>
      <c r="C1210" s="624">
        <f t="shared" si="5271"/>
        <v>0</v>
      </c>
      <c r="D1210" s="624">
        <f t="shared" si="5271"/>
        <v>0</v>
      </c>
      <c r="E1210" s="1158">
        <f t="shared" ref="E1210:E1217" si="5278">EY1210</f>
        <v>0</v>
      </c>
      <c r="F1210" s="1158"/>
      <c r="G1210" s="1140"/>
      <c r="H1210" s="1140"/>
      <c r="I1210" s="552"/>
      <c r="J1210" s="552">
        <f t="shared" ref="J1210:AO1210" si="5279">J258*J$338</f>
        <v>0</v>
      </c>
      <c r="K1210" s="552">
        <f t="shared" si="5279"/>
        <v>0</v>
      </c>
      <c r="L1210" s="552">
        <f t="shared" si="5279"/>
        <v>0</v>
      </c>
      <c r="M1210" s="552">
        <f t="shared" si="5279"/>
        <v>0</v>
      </c>
      <c r="N1210" s="552">
        <f t="shared" si="5279"/>
        <v>0</v>
      </c>
      <c r="O1210" s="552">
        <f t="shared" si="5279"/>
        <v>0</v>
      </c>
      <c r="P1210" s="552">
        <f t="shared" si="5279"/>
        <v>0</v>
      </c>
      <c r="Q1210" s="552">
        <f t="shared" si="5279"/>
        <v>0</v>
      </c>
      <c r="R1210" s="552">
        <f t="shared" si="5279"/>
        <v>0</v>
      </c>
      <c r="S1210" s="552">
        <f t="shared" si="5279"/>
        <v>0</v>
      </c>
      <c r="T1210" s="552">
        <f t="shared" si="5279"/>
        <v>0</v>
      </c>
      <c r="U1210" s="552">
        <f t="shared" si="5279"/>
        <v>0</v>
      </c>
      <c r="V1210" s="552">
        <f t="shared" si="5279"/>
        <v>0</v>
      </c>
      <c r="W1210" s="552">
        <f t="shared" si="5279"/>
        <v>0</v>
      </c>
      <c r="X1210" s="552">
        <f t="shared" si="5279"/>
        <v>0</v>
      </c>
      <c r="Y1210" s="552">
        <f t="shared" si="5279"/>
        <v>0</v>
      </c>
      <c r="Z1210" s="552">
        <f t="shared" si="5279"/>
        <v>0</v>
      </c>
      <c r="AA1210" s="552">
        <f t="shared" si="5279"/>
        <v>0</v>
      </c>
      <c r="AB1210" s="552">
        <f t="shared" si="5279"/>
        <v>0</v>
      </c>
      <c r="AC1210" s="552">
        <f t="shared" si="5279"/>
        <v>0</v>
      </c>
      <c r="AD1210" s="552">
        <f t="shared" si="5279"/>
        <v>0</v>
      </c>
      <c r="AE1210" s="552">
        <f t="shared" si="5279"/>
        <v>0</v>
      </c>
      <c r="AF1210" s="552">
        <f t="shared" si="5279"/>
        <v>0</v>
      </c>
      <c r="AG1210" s="552">
        <f t="shared" si="5279"/>
        <v>0</v>
      </c>
      <c r="AH1210" s="552">
        <f t="shared" si="5279"/>
        <v>0</v>
      </c>
      <c r="AI1210" s="552">
        <f t="shared" si="5279"/>
        <v>0</v>
      </c>
      <c r="AJ1210" s="552">
        <f t="shared" si="5279"/>
        <v>0</v>
      </c>
      <c r="AK1210" s="552">
        <f t="shared" si="5279"/>
        <v>0</v>
      </c>
      <c r="AL1210" s="552">
        <f t="shared" si="5279"/>
        <v>0</v>
      </c>
      <c r="AM1210" s="552">
        <f t="shared" si="5279"/>
        <v>0</v>
      </c>
      <c r="AN1210" s="552">
        <f t="shared" si="5279"/>
        <v>0</v>
      </c>
      <c r="AO1210" s="552">
        <f t="shared" si="5279"/>
        <v>0</v>
      </c>
      <c r="AP1210" s="552">
        <f t="shared" ref="AP1210:BU1210" si="5280">AP258*AP$338</f>
        <v>0</v>
      </c>
      <c r="AQ1210" s="552">
        <f t="shared" si="5280"/>
        <v>0</v>
      </c>
      <c r="AR1210" s="552">
        <f t="shared" si="5280"/>
        <v>0</v>
      </c>
      <c r="AS1210" s="552">
        <f t="shared" si="5280"/>
        <v>0</v>
      </c>
      <c r="AT1210" s="552">
        <f t="shared" si="5280"/>
        <v>0</v>
      </c>
      <c r="AU1210" s="552">
        <f t="shared" si="5280"/>
        <v>0</v>
      </c>
      <c r="AV1210" s="552">
        <f t="shared" si="5280"/>
        <v>0</v>
      </c>
      <c r="AW1210" s="552">
        <f t="shared" si="5280"/>
        <v>0</v>
      </c>
      <c r="AX1210" s="552">
        <f t="shared" si="5280"/>
        <v>0</v>
      </c>
      <c r="AY1210" s="552">
        <f t="shared" si="5280"/>
        <v>0</v>
      </c>
      <c r="AZ1210" s="552">
        <f t="shared" si="5280"/>
        <v>0</v>
      </c>
      <c r="BA1210" s="552">
        <f t="shared" si="5280"/>
        <v>0</v>
      </c>
      <c r="BB1210" s="552">
        <f t="shared" si="5280"/>
        <v>0</v>
      </c>
      <c r="BC1210" s="552">
        <f t="shared" si="5280"/>
        <v>0</v>
      </c>
      <c r="BD1210" s="552">
        <f t="shared" si="5280"/>
        <v>0</v>
      </c>
      <c r="BE1210" s="552">
        <f t="shared" si="5280"/>
        <v>0</v>
      </c>
      <c r="BF1210" s="552">
        <f t="shared" si="5280"/>
        <v>0</v>
      </c>
      <c r="BG1210" s="552">
        <f t="shared" si="5280"/>
        <v>0</v>
      </c>
      <c r="BH1210" s="552">
        <f t="shared" si="5280"/>
        <v>0</v>
      </c>
      <c r="BI1210" s="552">
        <f t="shared" si="5280"/>
        <v>0</v>
      </c>
      <c r="BJ1210" s="552">
        <f t="shared" si="5280"/>
        <v>0</v>
      </c>
      <c r="BK1210" s="552">
        <f t="shared" si="5280"/>
        <v>0</v>
      </c>
      <c r="BL1210" s="552">
        <f t="shared" si="5280"/>
        <v>0</v>
      </c>
      <c r="BM1210" s="552">
        <f t="shared" si="5280"/>
        <v>0</v>
      </c>
      <c r="BN1210" s="552">
        <f t="shared" si="5280"/>
        <v>0</v>
      </c>
      <c r="BO1210" s="552">
        <f t="shared" si="5280"/>
        <v>0</v>
      </c>
      <c r="BP1210" s="552">
        <f t="shared" si="5280"/>
        <v>0</v>
      </c>
      <c r="BQ1210" s="552">
        <f t="shared" si="5280"/>
        <v>0</v>
      </c>
      <c r="BR1210" s="552">
        <f t="shared" si="5280"/>
        <v>0</v>
      </c>
      <c r="BS1210" s="552">
        <f t="shared" si="5280"/>
        <v>0</v>
      </c>
      <c r="BT1210" s="552">
        <f t="shared" si="5280"/>
        <v>0</v>
      </c>
      <c r="BU1210" s="552">
        <f t="shared" si="5280"/>
        <v>0</v>
      </c>
      <c r="BV1210" s="552">
        <f t="shared" ref="BV1210:DA1210" si="5281">BV258*BV$338</f>
        <v>0</v>
      </c>
      <c r="BW1210" s="552">
        <f t="shared" si="5281"/>
        <v>0</v>
      </c>
      <c r="BX1210" s="552">
        <f t="shared" si="5281"/>
        <v>0</v>
      </c>
      <c r="BY1210" s="552">
        <f t="shared" si="5281"/>
        <v>0</v>
      </c>
      <c r="BZ1210" s="552">
        <f t="shared" si="5281"/>
        <v>0</v>
      </c>
      <c r="CA1210" s="552">
        <f t="shared" si="5281"/>
        <v>0</v>
      </c>
      <c r="CB1210" s="552">
        <f t="shared" si="5281"/>
        <v>0</v>
      </c>
      <c r="CC1210" s="552">
        <f t="shared" si="5281"/>
        <v>0</v>
      </c>
      <c r="CD1210" s="552">
        <f t="shared" si="5281"/>
        <v>0</v>
      </c>
      <c r="CE1210" s="552">
        <f t="shared" si="5281"/>
        <v>0</v>
      </c>
      <c r="CF1210" s="552">
        <f t="shared" si="5281"/>
        <v>0</v>
      </c>
      <c r="CG1210" s="552">
        <f t="shared" si="5281"/>
        <v>0</v>
      </c>
      <c r="CH1210" s="552">
        <f t="shared" si="5281"/>
        <v>0</v>
      </c>
      <c r="CI1210" s="552">
        <f t="shared" si="5281"/>
        <v>0</v>
      </c>
      <c r="CJ1210" s="552">
        <f t="shared" si="5281"/>
        <v>0</v>
      </c>
      <c r="CK1210" s="552">
        <f t="shared" si="5281"/>
        <v>0</v>
      </c>
      <c r="CL1210" s="552">
        <f t="shared" si="5281"/>
        <v>0</v>
      </c>
      <c r="CM1210" s="552">
        <f t="shared" si="5281"/>
        <v>0</v>
      </c>
      <c r="CN1210" s="552">
        <f t="shared" si="5281"/>
        <v>0</v>
      </c>
      <c r="CO1210" s="552">
        <f t="shared" si="5281"/>
        <v>0</v>
      </c>
      <c r="CP1210" s="552">
        <f t="shared" si="5281"/>
        <v>0</v>
      </c>
      <c r="CQ1210" s="552">
        <f t="shared" si="5281"/>
        <v>0</v>
      </c>
      <c r="CR1210" s="552">
        <f t="shared" si="5281"/>
        <v>0</v>
      </c>
      <c r="CS1210" s="552">
        <f t="shared" si="5281"/>
        <v>0</v>
      </c>
      <c r="CT1210" s="552">
        <f t="shared" si="5281"/>
        <v>0</v>
      </c>
      <c r="CU1210" s="552">
        <f t="shared" si="5281"/>
        <v>0</v>
      </c>
      <c r="CV1210" s="552">
        <f t="shared" si="5281"/>
        <v>0</v>
      </c>
      <c r="CW1210" s="552">
        <f t="shared" si="5281"/>
        <v>0</v>
      </c>
      <c r="CX1210" s="552">
        <f t="shared" si="5281"/>
        <v>0</v>
      </c>
      <c r="CY1210" s="552">
        <f t="shared" si="5281"/>
        <v>0</v>
      </c>
      <c r="CZ1210" s="552">
        <f t="shared" si="5281"/>
        <v>0</v>
      </c>
      <c r="DA1210" s="552">
        <f t="shared" si="5281"/>
        <v>0</v>
      </c>
      <c r="DB1210" s="552">
        <f t="shared" ref="DB1210:EG1210" si="5282">DB258*DB$338</f>
        <v>0</v>
      </c>
      <c r="DC1210" s="552">
        <f t="shared" si="5282"/>
        <v>0</v>
      </c>
      <c r="DD1210" s="552">
        <f t="shared" si="5282"/>
        <v>0</v>
      </c>
      <c r="DE1210" s="552">
        <f t="shared" si="5282"/>
        <v>0</v>
      </c>
      <c r="DF1210" s="552">
        <f t="shared" si="5282"/>
        <v>0</v>
      </c>
      <c r="DG1210" s="552">
        <f t="shared" si="5282"/>
        <v>0</v>
      </c>
      <c r="DH1210" s="552">
        <f t="shared" si="5282"/>
        <v>0</v>
      </c>
      <c r="DI1210" s="552">
        <f t="shared" si="5282"/>
        <v>0</v>
      </c>
      <c r="DJ1210" s="552">
        <f t="shared" si="5282"/>
        <v>0</v>
      </c>
      <c r="DK1210" s="552">
        <f t="shared" si="5282"/>
        <v>0</v>
      </c>
      <c r="DL1210" s="552">
        <f t="shared" si="5282"/>
        <v>0</v>
      </c>
      <c r="DM1210" s="552">
        <f t="shared" si="5282"/>
        <v>0</v>
      </c>
      <c r="DN1210" s="552">
        <f t="shared" si="5282"/>
        <v>0</v>
      </c>
      <c r="DO1210" s="552">
        <f t="shared" si="5282"/>
        <v>0</v>
      </c>
      <c r="DP1210" s="552">
        <f t="shared" si="5282"/>
        <v>0</v>
      </c>
      <c r="DQ1210" s="552">
        <f t="shared" si="5282"/>
        <v>0</v>
      </c>
      <c r="DR1210" s="552">
        <f t="shared" si="5282"/>
        <v>0</v>
      </c>
      <c r="DS1210" s="552">
        <f t="shared" si="5282"/>
        <v>0</v>
      </c>
      <c r="DT1210" s="552">
        <f t="shared" si="5282"/>
        <v>0</v>
      </c>
      <c r="DU1210" s="552">
        <f t="shared" si="5282"/>
        <v>0</v>
      </c>
      <c r="DV1210" s="552">
        <f t="shared" si="5282"/>
        <v>0</v>
      </c>
      <c r="DW1210" s="552">
        <f t="shared" si="5282"/>
        <v>0</v>
      </c>
      <c r="DX1210" s="552">
        <f t="shared" si="5282"/>
        <v>0</v>
      </c>
      <c r="DY1210" s="552">
        <f t="shared" si="5282"/>
        <v>0</v>
      </c>
      <c r="DZ1210" s="552">
        <f t="shared" si="5282"/>
        <v>0</v>
      </c>
      <c r="EA1210" s="552">
        <f t="shared" si="5282"/>
        <v>0</v>
      </c>
      <c r="EB1210" s="552">
        <f t="shared" si="5282"/>
        <v>0</v>
      </c>
      <c r="EC1210" s="552">
        <f t="shared" si="5282"/>
        <v>0</v>
      </c>
      <c r="ED1210" s="552">
        <f t="shared" si="5282"/>
        <v>0</v>
      </c>
      <c r="EE1210" s="552">
        <f t="shared" si="5282"/>
        <v>0</v>
      </c>
      <c r="EF1210" s="552">
        <f t="shared" si="5282"/>
        <v>0</v>
      </c>
      <c r="EG1210" s="552">
        <f t="shared" si="5282"/>
        <v>0</v>
      </c>
      <c r="EH1210" s="552">
        <f t="shared" ref="EH1210:EX1210" si="5283">EH258*EH$338</f>
        <v>0</v>
      </c>
      <c r="EI1210" s="552">
        <f t="shared" si="5283"/>
        <v>0</v>
      </c>
      <c r="EJ1210" s="552">
        <f t="shared" si="5283"/>
        <v>0</v>
      </c>
      <c r="EK1210" s="552">
        <f t="shared" si="5283"/>
        <v>0</v>
      </c>
      <c r="EL1210" s="552">
        <f t="shared" si="5283"/>
        <v>0</v>
      </c>
      <c r="EM1210" s="552">
        <f t="shared" si="5283"/>
        <v>0</v>
      </c>
      <c r="EN1210" s="552">
        <f t="shared" si="5283"/>
        <v>0</v>
      </c>
      <c r="EO1210" s="552">
        <f t="shared" si="5283"/>
        <v>0</v>
      </c>
      <c r="EP1210" s="552">
        <f t="shared" si="5283"/>
        <v>0</v>
      </c>
      <c r="EQ1210" s="552">
        <f t="shared" si="5283"/>
        <v>0</v>
      </c>
      <c r="ER1210" s="552">
        <f t="shared" si="5283"/>
        <v>0</v>
      </c>
      <c r="ES1210" s="552">
        <f t="shared" si="5283"/>
        <v>0</v>
      </c>
      <c r="ET1210" s="552">
        <f t="shared" si="5283"/>
        <v>0</v>
      </c>
      <c r="EU1210" s="552">
        <f t="shared" si="5283"/>
        <v>0</v>
      </c>
      <c r="EV1210" s="552">
        <f t="shared" si="5283"/>
        <v>0</v>
      </c>
      <c r="EW1210" s="552">
        <f t="shared" si="5283"/>
        <v>0</v>
      </c>
      <c r="EX1210" s="552">
        <f t="shared" si="5283"/>
        <v>0</v>
      </c>
      <c r="EY1210" s="799">
        <f t="shared" si="4577"/>
        <v>0</v>
      </c>
      <c r="EZ1210" s="640"/>
      <c r="FA1210" s="640"/>
      <c r="FB1210" s="640"/>
      <c r="FC1210" s="640"/>
      <c r="FD1210" s="640"/>
      <c r="FE1210" s="640"/>
      <c r="FF1210" s="640"/>
      <c r="FG1210" s="640"/>
      <c r="FH1210" s="640"/>
      <c r="FI1210" s="640"/>
      <c r="FJ1210" s="640"/>
      <c r="FK1210" s="640"/>
      <c r="FL1210" s="640"/>
    </row>
    <row r="1211" spans="1:168" x14ac:dyDescent="0.25">
      <c r="A1211" s="1492"/>
      <c r="B1211" s="624">
        <f t="shared" si="5271"/>
        <v>0</v>
      </c>
      <c r="C1211" s="624">
        <f t="shared" si="5271"/>
        <v>0</v>
      </c>
      <c r="D1211" s="624">
        <f t="shared" si="5271"/>
        <v>0</v>
      </c>
      <c r="E1211" s="1158">
        <f t="shared" si="5278"/>
        <v>0</v>
      </c>
      <c r="F1211" s="1158"/>
      <c r="G1211" s="1140"/>
      <c r="H1211" s="1140"/>
      <c r="I1211" s="552"/>
      <c r="J1211" s="552">
        <f t="shared" ref="J1211:AO1211" si="5284">J259*J$338</f>
        <v>0</v>
      </c>
      <c r="K1211" s="552">
        <f t="shared" si="5284"/>
        <v>0</v>
      </c>
      <c r="L1211" s="552">
        <f t="shared" si="5284"/>
        <v>0</v>
      </c>
      <c r="M1211" s="552">
        <f t="shared" si="5284"/>
        <v>0</v>
      </c>
      <c r="N1211" s="552">
        <f t="shared" si="5284"/>
        <v>0</v>
      </c>
      <c r="O1211" s="552">
        <f t="shared" si="5284"/>
        <v>0</v>
      </c>
      <c r="P1211" s="552">
        <f t="shared" si="5284"/>
        <v>0</v>
      </c>
      <c r="Q1211" s="552">
        <f t="shared" si="5284"/>
        <v>0</v>
      </c>
      <c r="R1211" s="552">
        <f t="shared" si="5284"/>
        <v>0</v>
      </c>
      <c r="S1211" s="552">
        <f t="shared" si="5284"/>
        <v>0</v>
      </c>
      <c r="T1211" s="552">
        <f t="shared" si="5284"/>
        <v>0</v>
      </c>
      <c r="U1211" s="552">
        <f t="shared" si="5284"/>
        <v>0</v>
      </c>
      <c r="V1211" s="552">
        <f t="shared" si="5284"/>
        <v>0</v>
      </c>
      <c r="W1211" s="552">
        <f t="shared" si="5284"/>
        <v>0</v>
      </c>
      <c r="X1211" s="552">
        <f t="shared" si="5284"/>
        <v>0</v>
      </c>
      <c r="Y1211" s="552">
        <f t="shared" si="5284"/>
        <v>0</v>
      </c>
      <c r="Z1211" s="552">
        <f t="shared" si="5284"/>
        <v>0</v>
      </c>
      <c r="AA1211" s="552">
        <f t="shared" si="5284"/>
        <v>0</v>
      </c>
      <c r="AB1211" s="552">
        <f t="shared" si="5284"/>
        <v>0</v>
      </c>
      <c r="AC1211" s="552">
        <f t="shared" si="5284"/>
        <v>0</v>
      </c>
      <c r="AD1211" s="552">
        <f t="shared" si="5284"/>
        <v>0</v>
      </c>
      <c r="AE1211" s="552">
        <f t="shared" si="5284"/>
        <v>0</v>
      </c>
      <c r="AF1211" s="552">
        <f t="shared" si="5284"/>
        <v>0</v>
      </c>
      <c r="AG1211" s="552">
        <f t="shared" si="5284"/>
        <v>0</v>
      </c>
      <c r="AH1211" s="552">
        <f t="shared" si="5284"/>
        <v>0</v>
      </c>
      <c r="AI1211" s="552">
        <f t="shared" si="5284"/>
        <v>0</v>
      </c>
      <c r="AJ1211" s="552">
        <f t="shared" si="5284"/>
        <v>0</v>
      </c>
      <c r="AK1211" s="552">
        <f t="shared" si="5284"/>
        <v>0</v>
      </c>
      <c r="AL1211" s="552">
        <f t="shared" si="5284"/>
        <v>0</v>
      </c>
      <c r="AM1211" s="552">
        <f t="shared" si="5284"/>
        <v>0</v>
      </c>
      <c r="AN1211" s="552">
        <f t="shared" si="5284"/>
        <v>0</v>
      </c>
      <c r="AO1211" s="552">
        <f t="shared" si="5284"/>
        <v>0</v>
      </c>
      <c r="AP1211" s="552">
        <f t="shared" ref="AP1211:BU1211" si="5285">AP259*AP$338</f>
        <v>0</v>
      </c>
      <c r="AQ1211" s="552">
        <f t="shared" si="5285"/>
        <v>0</v>
      </c>
      <c r="AR1211" s="552">
        <f t="shared" si="5285"/>
        <v>0</v>
      </c>
      <c r="AS1211" s="552">
        <f t="shared" si="5285"/>
        <v>0</v>
      </c>
      <c r="AT1211" s="552">
        <f t="shared" si="5285"/>
        <v>0</v>
      </c>
      <c r="AU1211" s="552">
        <f t="shared" si="5285"/>
        <v>0</v>
      </c>
      <c r="AV1211" s="552">
        <f t="shared" si="5285"/>
        <v>0</v>
      </c>
      <c r="AW1211" s="552">
        <f t="shared" si="5285"/>
        <v>0</v>
      </c>
      <c r="AX1211" s="552">
        <f t="shared" si="5285"/>
        <v>0</v>
      </c>
      <c r="AY1211" s="552">
        <f t="shared" si="5285"/>
        <v>0</v>
      </c>
      <c r="AZ1211" s="552">
        <f t="shared" si="5285"/>
        <v>0</v>
      </c>
      <c r="BA1211" s="552">
        <f t="shared" si="5285"/>
        <v>0</v>
      </c>
      <c r="BB1211" s="552">
        <f t="shared" si="5285"/>
        <v>0</v>
      </c>
      <c r="BC1211" s="552">
        <f t="shared" si="5285"/>
        <v>0</v>
      </c>
      <c r="BD1211" s="552">
        <f t="shared" si="5285"/>
        <v>0</v>
      </c>
      <c r="BE1211" s="552">
        <f t="shared" si="5285"/>
        <v>0</v>
      </c>
      <c r="BF1211" s="552">
        <f t="shared" si="5285"/>
        <v>0</v>
      </c>
      <c r="BG1211" s="552">
        <f t="shared" si="5285"/>
        <v>0</v>
      </c>
      <c r="BH1211" s="552">
        <f t="shared" si="5285"/>
        <v>0</v>
      </c>
      <c r="BI1211" s="552">
        <f t="shared" si="5285"/>
        <v>0</v>
      </c>
      <c r="BJ1211" s="552">
        <f t="shared" si="5285"/>
        <v>0</v>
      </c>
      <c r="BK1211" s="552">
        <f t="shared" si="5285"/>
        <v>0</v>
      </c>
      <c r="BL1211" s="552">
        <f t="shared" si="5285"/>
        <v>0</v>
      </c>
      <c r="BM1211" s="552">
        <f t="shared" si="5285"/>
        <v>0</v>
      </c>
      <c r="BN1211" s="552">
        <f t="shared" si="5285"/>
        <v>0</v>
      </c>
      <c r="BO1211" s="552">
        <f t="shared" si="5285"/>
        <v>0</v>
      </c>
      <c r="BP1211" s="552">
        <f t="shared" si="5285"/>
        <v>0</v>
      </c>
      <c r="BQ1211" s="552">
        <f t="shared" si="5285"/>
        <v>0</v>
      </c>
      <c r="BR1211" s="552">
        <f t="shared" si="5285"/>
        <v>0</v>
      </c>
      <c r="BS1211" s="552">
        <f t="shared" si="5285"/>
        <v>0</v>
      </c>
      <c r="BT1211" s="552">
        <f t="shared" si="5285"/>
        <v>0</v>
      </c>
      <c r="BU1211" s="552">
        <f t="shared" si="5285"/>
        <v>0</v>
      </c>
      <c r="BV1211" s="552">
        <f t="shared" ref="BV1211:DA1211" si="5286">BV259*BV$338</f>
        <v>0</v>
      </c>
      <c r="BW1211" s="552">
        <f t="shared" si="5286"/>
        <v>0</v>
      </c>
      <c r="BX1211" s="552">
        <f t="shared" si="5286"/>
        <v>0</v>
      </c>
      <c r="BY1211" s="552">
        <f t="shared" si="5286"/>
        <v>0</v>
      </c>
      <c r="BZ1211" s="552">
        <f t="shared" si="5286"/>
        <v>0</v>
      </c>
      <c r="CA1211" s="552">
        <f t="shared" si="5286"/>
        <v>0</v>
      </c>
      <c r="CB1211" s="552">
        <f t="shared" si="5286"/>
        <v>0</v>
      </c>
      <c r="CC1211" s="552">
        <f t="shared" si="5286"/>
        <v>0</v>
      </c>
      <c r="CD1211" s="552">
        <f t="shared" si="5286"/>
        <v>0</v>
      </c>
      <c r="CE1211" s="552">
        <f t="shared" si="5286"/>
        <v>0</v>
      </c>
      <c r="CF1211" s="552">
        <f t="shared" si="5286"/>
        <v>0</v>
      </c>
      <c r="CG1211" s="552">
        <f t="shared" si="5286"/>
        <v>0</v>
      </c>
      <c r="CH1211" s="552">
        <f t="shared" si="5286"/>
        <v>0</v>
      </c>
      <c r="CI1211" s="552">
        <f t="shared" si="5286"/>
        <v>0</v>
      </c>
      <c r="CJ1211" s="552">
        <f t="shared" si="5286"/>
        <v>0</v>
      </c>
      <c r="CK1211" s="552">
        <f t="shared" si="5286"/>
        <v>0</v>
      </c>
      <c r="CL1211" s="552">
        <f t="shared" si="5286"/>
        <v>0</v>
      </c>
      <c r="CM1211" s="552">
        <f t="shared" si="5286"/>
        <v>0</v>
      </c>
      <c r="CN1211" s="552">
        <f t="shared" si="5286"/>
        <v>0</v>
      </c>
      <c r="CO1211" s="552">
        <f t="shared" si="5286"/>
        <v>0</v>
      </c>
      <c r="CP1211" s="552">
        <f t="shared" si="5286"/>
        <v>0</v>
      </c>
      <c r="CQ1211" s="552">
        <f t="shared" si="5286"/>
        <v>0</v>
      </c>
      <c r="CR1211" s="552">
        <f t="shared" si="5286"/>
        <v>0</v>
      </c>
      <c r="CS1211" s="552">
        <f t="shared" si="5286"/>
        <v>0</v>
      </c>
      <c r="CT1211" s="552">
        <f t="shared" si="5286"/>
        <v>0</v>
      </c>
      <c r="CU1211" s="552">
        <f t="shared" si="5286"/>
        <v>0</v>
      </c>
      <c r="CV1211" s="552">
        <f t="shared" si="5286"/>
        <v>0</v>
      </c>
      <c r="CW1211" s="552">
        <f t="shared" si="5286"/>
        <v>0</v>
      </c>
      <c r="CX1211" s="552">
        <f t="shared" si="5286"/>
        <v>0</v>
      </c>
      <c r="CY1211" s="552">
        <f t="shared" si="5286"/>
        <v>0</v>
      </c>
      <c r="CZ1211" s="552">
        <f t="shared" si="5286"/>
        <v>0</v>
      </c>
      <c r="DA1211" s="552">
        <f t="shared" si="5286"/>
        <v>0</v>
      </c>
      <c r="DB1211" s="552">
        <f t="shared" ref="DB1211:EG1211" si="5287">DB259*DB$338</f>
        <v>0</v>
      </c>
      <c r="DC1211" s="552">
        <f t="shared" si="5287"/>
        <v>0</v>
      </c>
      <c r="DD1211" s="552">
        <f t="shared" si="5287"/>
        <v>0</v>
      </c>
      <c r="DE1211" s="552">
        <f t="shared" si="5287"/>
        <v>0</v>
      </c>
      <c r="DF1211" s="552">
        <f t="shared" si="5287"/>
        <v>0</v>
      </c>
      <c r="DG1211" s="552">
        <f t="shared" si="5287"/>
        <v>0</v>
      </c>
      <c r="DH1211" s="552">
        <f t="shared" si="5287"/>
        <v>0</v>
      </c>
      <c r="DI1211" s="552">
        <f t="shared" si="5287"/>
        <v>0</v>
      </c>
      <c r="DJ1211" s="552">
        <f t="shared" si="5287"/>
        <v>0</v>
      </c>
      <c r="DK1211" s="552">
        <f t="shared" si="5287"/>
        <v>0</v>
      </c>
      <c r="DL1211" s="552">
        <f t="shared" si="5287"/>
        <v>0</v>
      </c>
      <c r="DM1211" s="552">
        <f t="shared" si="5287"/>
        <v>0</v>
      </c>
      <c r="DN1211" s="552">
        <f t="shared" si="5287"/>
        <v>0</v>
      </c>
      <c r="DO1211" s="552">
        <f t="shared" si="5287"/>
        <v>0</v>
      </c>
      <c r="DP1211" s="552">
        <f t="shared" si="5287"/>
        <v>0</v>
      </c>
      <c r="DQ1211" s="552">
        <f t="shared" si="5287"/>
        <v>0</v>
      </c>
      <c r="DR1211" s="552">
        <f t="shared" si="5287"/>
        <v>0</v>
      </c>
      <c r="DS1211" s="552">
        <f t="shared" si="5287"/>
        <v>0</v>
      </c>
      <c r="DT1211" s="552">
        <f t="shared" si="5287"/>
        <v>0</v>
      </c>
      <c r="DU1211" s="552">
        <f t="shared" si="5287"/>
        <v>0</v>
      </c>
      <c r="DV1211" s="552">
        <f t="shared" si="5287"/>
        <v>0</v>
      </c>
      <c r="DW1211" s="552">
        <f t="shared" si="5287"/>
        <v>0</v>
      </c>
      <c r="DX1211" s="552">
        <f t="shared" si="5287"/>
        <v>0</v>
      </c>
      <c r="DY1211" s="552">
        <f t="shared" si="5287"/>
        <v>0</v>
      </c>
      <c r="DZ1211" s="552">
        <f t="shared" si="5287"/>
        <v>0</v>
      </c>
      <c r="EA1211" s="552">
        <f t="shared" si="5287"/>
        <v>0</v>
      </c>
      <c r="EB1211" s="552">
        <f t="shared" si="5287"/>
        <v>0</v>
      </c>
      <c r="EC1211" s="552">
        <f t="shared" si="5287"/>
        <v>0</v>
      </c>
      <c r="ED1211" s="552">
        <f t="shared" si="5287"/>
        <v>0</v>
      </c>
      <c r="EE1211" s="552">
        <f t="shared" si="5287"/>
        <v>0</v>
      </c>
      <c r="EF1211" s="552">
        <f t="shared" si="5287"/>
        <v>0</v>
      </c>
      <c r="EG1211" s="552">
        <f t="shared" si="5287"/>
        <v>0</v>
      </c>
      <c r="EH1211" s="552">
        <f t="shared" ref="EH1211:EX1211" si="5288">EH259*EH$338</f>
        <v>0</v>
      </c>
      <c r="EI1211" s="552">
        <f t="shared" si="5288"/>
        <v>0</v>
      </c>
      <c r="EJ1211" s="552">
        <f t="shared" si="5288"/>
        <v>0</v>
      </c>
      <c r="EK1211" s="552">
        <f t="shared" si="5288"/>
        <v>0</v>
      </c>
      <c r="EL1211" s="552">
        <f t="shared" si="5288"/>
        <v>0</v>
      </c>
      <c r="EM1211" s="552">
        <f t="shared" si="5288"/>
        <v>0</v>
      </c>
      <c r="EN1211" s="552">
        <f t="shared" si="5288"/>
        <v>0</v>
      </c>
      <c r="EO1211" s="552">
        <f t="shared" si="5288"/>
        <v>0</v>
      </c>
      <c r="EP1211" s="552">
        <f t="shared" si="5288"/>
        <v>0</v>
      </c>
      <c r="EQ1211" s="552">
        <f t="shared" si="5288"/>
        <v>0</v>
      </c>
      <c r="ER1211" s="552">
        <f t="shared" si="5288"/>
        <v>0</v>
      </c>
      <c r="ES1211" s="552">
        <f t="shared" si="5288"/>
        <v>0</v>
      </c>
      <c r="ET1211" s="552">
        <f t="shared" si="5288"/>
        <v>0</v>
      </c>
      <c r="EU1211" s="552">
        <f t="shared" si="5288"/>
        <v>0</v>
      </c>
      <c r="EV1211" s="552">
        <f t="shared" si="5288"/>
        <v>0</v>
      </c>
      <c r="EW1211" s="552">
        <f t="shared" si="5288"/>
        <v>0</v>
      </c>
      <c r="EX1211" s="552">
        <f t="shared" si="5288"/>
        <v>0</v>
      </c>
      <c r="EY1211" s="799">
        <f t="shared" si="4577"/>
        <v>0</v>
      </c>
      <c r="EZ1211" s="640"/>
      <c r="FA1211" s="640"/>
      <c r="FB1211" s="640"/>
      <c r="FC1211" s="640"/>
      <c r="FD1211" s="640"/>
      <c r="FE1211" s="640"/>
      <c r="FF1211" s="640"/>
      <c r="FG1211" s="640"/>
      <c r="FH1211" s="640"/>
      <c r="FI1211" s="640"/>
      <c r="FJ1211" s="640"/>
      <c r="FK1211" s="640"/>
      <c r="FL1211" s="640"/>
    </row>
    <row r="1212" spans="1:168" x14ac:dyDescent="0.25">
      <c r="A1212" s="1492"/>
      <c r="B1212" s="624">
        <f t="shared" si="5271"/>
        <v>0</v>
      </c>
      <c r="C1212" s="624">
        <f t="shared" si="5271"/>
        <v>0</v>
      </c>
      <c r="D1212" s="624">
        <f t="shared" si="5271"/>
        <v>0</v>
      </c>
      <c r="E1212" s="1158">
        <f t="shared" si="5278"/>
        <v>0</v>
      </c>
      <c r="F1212" s="1158"/>
      <c r="G1212" s="1140"/>
      <c r="H1212" s="1140"/>
      <c r="I1212" s="552"/>
      <c r="J1212" s="552">
        <f t="shared" ref="J1212:AO1212" si="5289">J260*J$338</f>
        <v>0</v>
      </c>
      <c r="K1212" s="552">
        <f t="shared" si="5289"/>
        <v>0</v>
      </c>
      <c r="L1212" s="552">
        <f t="shared" si="5289"/>
        <v>0</v>
      </c>
      <c r="M1212" s="552">
        <f t="shared" si="5289"/>
        <v>0</v>
      </c>
      <c r="N1212" s="552">
        <f t="shared" si="5289"/>
        <v>0</v>
      </c>
      <c r="O1212" s="552">
        <f t="shared" si="5289"/>
        <v>0</v>
      </c>
      <c r="P1212" s="552">
        <f t="shared" si="5289"/>
        <v>0</v>
      </c>
      <c r="Q1212" s="552">
        <f t="shared" si="5289"/>
        <v>0</v>
      </c>
      <c r="R1212" s="552">
        <f t="shared" si="5289"/>
        <v>0</v>
      </c>
      <c r="S1212" s="552">
        <f t="shared" si="5289"/>
        <v>0</v>
      </c>
      <c r="T1212" s="552">
        <f t="shared" si="5289"/>
        <v>0</v>
      </c>
      <c r="U1212" s="552">
        <f t="shared" si="5289"/>
        <v>0</v>
      </c>
      <c r="V1212" s="552">
        <f t="shared" si="5289"/>
        <v>0</v>
      </c>
      <c r="W1212" s="552">
        <f t="shared" si="5289"/>
        <v>0</v>
      </c>
      <c r="X1212" s="552">
        <f t="shared" si="5289"/>
        <v>0</v>
      </c>
      <c r="Y1212" s="552">
        <f t="shared" si="5289"/>
        <v>0</v>
      </c>
      <c r="Z1212" s="552">
        <f t="shared" si="5289"/>
        <v>0</v>
      </c>
      <c r="AA1212" s="552">
        <f t="shared" si="5289"/>
        <v>0</v>
      </c>
      <c r="AB1212" s="552">
        <f t="shared" si="5289"/>
        <v>0</v>
      </c>
      <c r="AC1212" s="552">
        <f t="shared" si="5289"/>
        <v>0</v>
      </c>
      <c r="AD1212" s="552">
        <f t="shared" si="5289"/>
        <v>0</v>
      </c>
      <c r="AE1212" s="552">
        <f t="shared" si="5289"/>
        <v>0</v>
      </c>
      <c r="AF1212" s="552">
        <f t="shared" si="5289"/>
        <v>0</v>
      </c>
      <c r="AG1212" s="552">
        <f t="shared" si="5289"/>
        <v>0</v>
      </c>
      <c r="AH1212" s="552">
        <f t="shared" si="5289"/>
        <v>0</v>
      </c>
      <c r="AI1212" s="552">
        <f t="shared" si="5289"/>
        <v>0</v>
      </c>
      <c r="AJ1212" s="552">
        <f t="shared" si="5289"/>
        <v>0</v>
      </c>
      <c r="AK1212" s="552">
        <f t="shared" si="5289"/>
        <v>0</v>
      </c>
      <c r="AL1212" s="552">
        <f t="shared" si="5289"/>
        <v>0</v>
      </c>
      <c r="AM1212" s="552">
        <f t="shared" si="5289"/>
        <v>0</v>
      </c>
      <c r="AN1212" s="552">
        <f t="shared" si="5289"/>
        <v>0</v>
      </c>
      <c r="AO1212" s="552">
        <f t="shared" si="5289"/>
        <v>0</v>
      </c>
      <c r="AP1212" s="552">
        <f t="shared" ref="AP1212:BU1212" si="5290">AP260*AP$338</f>
        <v>0</v>
      </c>
      <c r="AQ1212" s="552">
        <f t="shared" si="5290"/>
        <v>0</v>
      </c>
      <c r="AR1212" s="552">
        <f t="shared" si="5290"/>
        <v>0</v>
      </c>
      <c r="AS1212" s="552">
        <f t="shared" si="5290"/>
        <v>0</v>
      </c>
      <c r="AT1212" s="552">
        <f t="shared" si="5290"/>
        <v>0</v>
      </c>
      <c r="AU1212" s="552">
        <f t="shared" si="5290"/>
        <v>0</v>
      </c>
      <c r="AV1212" s="552">
        <f t="shared" si="5290"/>
        <v>0</v>
      </c>
      <c r="AW1212" s="552">
        <f t="shared" si="5290"/>
        <v>0</v>
      </c>
      <c r="AX1212" s="552">
        <f t="shared" si="5290"/>
        <v>0</v>
      </c>
      <c r="AY1212" s="552">
        <f t="shared" si="5290"/>
        <v>0</v>
      </c>
      <c r="AZ1212" s="552">
        <f t="shared" si="5290"/>
        <v>0</v>
      </c>
      <c r="BA1212" s="552">
        <f t="shared" si="5290"/>
        <v>0</v>
      </c>
      <c r="BB1212" s="552">
        <f t="shared" si="5290"/>
        <v>0</v>
      </c>
      <c r="BC1212" s="552">
        <f t="shared" si="5290"/>
        <v>0</v>
      </c>
      <c r="BD1212" s="552">
        <f t="shared" si="5290"/>
        <v>0</v>
      </c>
      <c r="BE1212" s="552">
        <f t="shared" si="5290"/>
        <v>0</v>
      </c>
      <c r="BF1212" s="552">
        <f t="shared" si="5290"/>
        <v>0</v>
      </c>
      <c r="BG1212" s="552">
        <f t="shared" si="5290"/>
        <v>0</v>
      </c>
      <c r="BH1212" s="552">
        <f t="shared" si="5290"/>
        <v>0</v>
      </c>
      <c r="BI1212" s="552">
        <f t="shared" si="5290"/>
        <v>0</v>
      </c>
      <c r="BJ1212" s="552">
        <f t="shared" si="5290"/>
        <v>0</v>
      </c>
      <c r="BK1212" s="552">
        <f t="shared" si="5290"/>
        <v>0</v>
      </c>
      <c r="BL1212" s="552">
        <f t="shared" si="5290"/>
        <v>0</v>
      </c>
      <c r="BM1212" s="552">
        <f t="shared" si="5290"/>
        <v>0</v>
      </c>
      <c r="BN1212" s="552">
        <f t="shared" si="5290"/>
        <v>0</v>
      </c>
      <c r="BO1212" s="552">
        <f t="shared" si="5290"/>
        <v>0</v>
      </c>
      <c r="BP1212" s="552">
        <f t="shared" si="5290"/>
        <v>0</v>
      </c>
      <c r="BQ1212" s="552">
        <f t="shared" si="5290"/>
        <v>0</v>
      </c>
      <c r="BR1212" s="552">
        <f t="shared" si="5290"/>
        <v>0</v>
      </c>
      <c r="BS1212" s="552">
        <f t="shared" si="5290"/>
        <v>0</v>
      </c>
      <c r="BT1212" s="552">
        <f t="shared" si="5290"/>
        <v>0</v>
      </c>
      <c r="BU1212" s="552">
        <f t="shared" si="5290"/>
        <v>0</v>
      </c>
      <c r="BV1212" s="552">
        <f t="shared" ref="BV1212:DA1212" si="5291">BV260*BV$338</f>
        <v>0</v>
      </c>
      <c r="BW1212" s="552">
        <f t="shared" si="5291"/>
        <v>0</v>
      </c>
      <c r="BX1212" s="552">
        <f t="shared" si="5291"/>
        <v>0</v>
      </c>
      <c r="BY1212" s="552">
        <f t="shared" si="5291"/>
        <v>0</v>
      </c>
      <c r="BZ1212" s="552">
        <f t="shared" si="5291"/>
        <v>0</v>
      </c>
      <c r="CA1212" s="552">
        <f t="shared" si="5291"/>
        <v>0</v>
      </c>
      <c r="CB1212" s="552">
        <f t="shared" si="5291"/>
        <v>0</v>
      </c>
      <c r="CC1212" s="552">
        <f t="shared" si="5291"/>
        <v>0</v>
      </c>
      <c r="CD1212" s="552">
        <f t="shared" si="5291"/>
        <v>0</v>
      </c>
      <c r="CE1212" s="552">
        <f t="shared" si="5291"/>
        <v>0</v>
      </c>
      <c r="CF1212" s="552">
        <f t="shared" si="5291"/>
        <v>0</v>
      </c>
      <c r="CG1212" s="552">
        <f t="shared" si="5291"/>
        <v>0</v>
      </c>
      <c r="CH1212" s="552">
        <f t="shared" si="5291"/>
        <v>0</v>
      </c>
      <c r="CI1212" s="552">
        <f t="shared" si="5291"/>
        <v>0</v>
      </c>
      <c r="CJ1212" s="552">
        <f t="shared" si="5291"/>
        <v>0</v>
      </c>
      <c r="CK1212" s="552">
        <f t="shared" si="5291"/>
        <v>0</v>
      </c>
      <c r="CL1212" s="552">
        <f t="shared" si="5291"/>
        <v>0</v>
      </c>
      <c r="CM1212" s="552">
        <f t="shared" si="5291"/>
        <v>0</v>
      </c>
      <c r="CN1212" s="552">
        <f t="shared" si="5291"/>
        <v>0</v>
      </c>
      <c r="CO1212" s="552">
        <f t="shared" si="5291"/>
        <v>0</v>
      </c>
      <c r="CP1212" s="552">
        <f t="shared" si="5291"/>
        <v>0</v>
      </c>
      <c r="CQ1212" s="552">
        <f t="shared" si="5291"/>
        <v>0</v>
      </c>
      <c r="CR1212" s="552">
        <f t="shared" si="5291"/>
        <v>0</v>
      </c>
      <c r="CS1212" s="552">
        <f t="shared" si="5291"/>
        <v>0</v>
      </c>
      <c r="CT1212" s="552">
        <f t="shared" si="5291"/>
        <v>0</v>
      </c>
      <c r="CU1212" s="552">
        <f t="shared" si="5291"/>
        <v>0</v>
      </c>
      <c r="CV1212" s="552">
        <f t="shared" si="5291"/>
        <v>0</v>
      </c>
      <c r="CW1212" s="552">
        <f t="shared" si="5291"/>
        <v>0</v>
      </c>
      <c r="CX1212" s="552">
        <f t="shared" si="5291"/>
        <v>0</v>
      </c>
      <c r="CY1212" s="552">
        <f t="shared" si="5291"/>
        <v>0</v>
      </c>
      <c r="CZ1212" s="552">
        <f t="shared" si="5291"/>
        <v>0</v>
      </c>
      <c r="DA1212" s="552">
        <f t="shared" si="5291"/>
        <v>0</v>
      </c>
      <c r="DB1212" s="552">
        <f t="shared" ref="DB1212:EG1212" si="5292">DB260*DB$338</f>
        <v>0</v>
      </c>
      <c r="DC1212" s="552">
        <f t="shared" si="5292"/>
        <v>0</v>
      </c>
      <c r="DD1212" s="552">
        <f t="shared" si="5292"/>
        <v>0</v>
      </c>
      <c r="DE1212" s="552">
        <f t="shared" si="5292"/>
        <v>0</v>
      </c>
      <c r="DF1212" s="552">
        <f t="shared" si="5292"/>
        <v>0</v>
      </c>
      <c r="DG1212" s="552">
        <f t="shared" si="5292"/>
        <v>0</v>
      </c>
      <c r="DH1212" s="552">
        <f t="shared" si="5292"/>
        <v>0</v>
      </c>
      <c r="DI1212" s="552">
        <f t="shared" si="5292"/>
        <v>0</v>
      </c>
      <c r="DJ1212" s="552">
        <f t="shared" si="5292"/>
        <v>0</v>
      </c>
      <c r="DK1212" s="552">
        <f t="shared" si="5292"/>
        <v>0</v>
      </c>
      <c r="DL1212" s="552">
        <f t="shared" si="5292"/>
        <v>0</v>
      </c>
      <c r="DM1212" s="552">
        <f t="shared" si="5292"/>
        <v>0</v>
      </c>
      <c r="DN1212" s="552">
        <f t="shared" si="5292"/>
        <v>0</v>
      </c>
      <c r="DO1212" s="552">
        <f t="shared" si="5292"/>
        <v>0</v>
      </c>
      <c r="DP1212" s="552">
        <f t="shared" si="5292"/>
        <v>0</v>
      </c>
      <c r="DQ1212" s="552">
        <f t="shared" si="5292"/>
        <v>0</v>
      </c>
      <c r="DR1212" s="552">
        <f t="shared" si="5292"/>
        <v>0</v>
      </c>
      <c r="DS1212" s="552">
        <f t="shared" si="5292"/>
        <v>0</v>
      </c>
      <c r="DT1212" s="552">
        <f t="shared" si="5292"/>
        <v>0</v>
      </c>
      <c r="DU1212" s="552">
        <f t="shared" si="5292"/>
        <v>0</v>
      </c>
      <c r="DV1212" s="552">
        <f t="shared" si="5292"/>
        <v>0</v>
      </c>
      <c r="DW1212" s="552">
        <f t="shared" si="5292"/>
        <v>0</v>
      </c>
      <c r="DX1212" s="552">
        <f t="shared" si="5292"/>
        <v>0</v>
      </c>
      <c r="DY1212" s="552">
        <f t="shared" si="5292"/>
        <v>0</v>
      </c>
      <c r="DZ1212" s="552">
        <f t="shared" si="5292"/>
        <v>0</v>
      </c>
      <c r="EA1212" s="552">
        <f t="shared" si="5292"/>
        <v>0</v>
      </c>
      <c r="EB1212" s="552">
        <f t="shared" si="5292"/>
        <v>0</v>
      </c>
      <c r="EC1212" s="552">
        <f t="shared" si="5292"/>
        <v>0</v>
      </c>
      <c r="ED1212" s="552">
        <f t="shared" si="5292"/>
        <v>0</v>
      </c>
      <c r="EE1212" s="552">
        <f t="shared" si="5292"/>
        <v>0</v>
      </c>
      <c r="EF1212" s="552">
        <f t="shared" si="5292"/>
        <v>0</v>
      </c>
      <c r="EG1212" s="552">
        <f t="shared" si="5292"/>
        <v>0</v>
      </c>
      <c r="EH1212" s="552">
        <f t="shared" ref="EH1212:EX1212" si="5293">EH260*EH$338</f>
        <v>0</v>
      </c>
      <c r="EI1212" s="552">
        <f t="shared" si="5293"/>
        <v>0</v>
      </c>
      <c r="EJ1212" s="552">
        <f t="shared" si="5293"/>
        <v>0</v>
      </c>
      <c r="EK1212" s="552">
        <f t="shared" si="5293"/>
        <v>0</v>
      </c>
      <c r="EL1212" s="552">
        <f t="shared" si="5293"/>
        <v>0</v>
      </c>
      <c r="EM1212" s="552">
        <f t="shared" si="5293"/>
        <v>0</v>
      </c>
      <c r="EN1212" s="552">
        <f t="shared" si="5293"/>
        <v>0</v>
      </c>
      <c r="EO1212" s="552">
        <f t="shared" si="5293"/>
        <v>0</v>
      </c>
      <c r="EP1212" s="552">
        <f t="shared" si="5293"/>
        <v>0</v>
      </c>
      <c r="EQ1212" s="552">
        <f t="shared" si="5293"/>
        <v>0</v>
      </c>
      <c r="ER1212" s="552">
        <f t="shared" si="5293"/>
        <v>0</v>
      </c>
      <c r="ES1212" s="552">
        <f t="shared" si="5293"/>
        <v>0</v>
      </c>
      <c r="ET1212" s="552">
        <f t="shared" si="5293"/>
        <v>0</v>
      </c>
      <c r="EU1212" s="552">
        <f t="shared" si="5293"/>
        <v>0</v>
      </c>
      <c r="EV1212" s="552">
        <f t="shared" si="5293"/>
        <v>0</v>
      </c>
      <c r="EW1212" s="552">
        <f t="shared" si="5293"/>
        <v>0</v>
      </c>
      <c r="EX1212" s="552">
        <f t="shared" si="5293"/>
        <v>0</v>
      </c>
      <c r="EY1212" s="799">
        <f t="shared" si="4577"/>
        <v>0</v>
      </c>
      <c r="EZ1212" s="640"/>
      <c r="FA1212" s="640"/>
      <c r="FB1212" s="640"/>
      <c r="FC1212" s="640"/>
      <c r="FD1212" s="640"/>
      <c r="FE1212" s="640"/>
      <c r="FF1212" s="640"/>
      <c r="FG1212" s="640"/>
      <c r="FH1212" s="640"/>
      <c r="FI1212" s="640"/>
      <c r="FJ1212" s="640"/>
      <c r="FK1212" s="640"/>
      <c r="FL1212" s="640"/>
    </row>
    <row r="1213" spans="1:168" x14ac:dyDescent="0.25">
      <c r="A1213" s="1492"/>
      <c r="B1213" s="624">
        <f t="shared" si="5271"/>
        <v>0</v>
      </c>
      <c r="C1213" s="624">
        <f t="shared" si="5271"/>
        <v>0</v>
      </c>
      <c r="D1213" s="624">
        <f t="shared" si="5271"/>
        <v>0</v>
      </c>
      <c r="E1213" s="1158">
        <f t="shared" si="5278"/>
        <v>0</v>
      </c>
      <c r="F1213" s="1158"/>
      <c r="G1213" s="1140"/>
      <c r="H1213" s="1140"/>
      <c r="I1213" s="552"/>
      <c r="J1213" s="552">
        <f t="shared" ref="J1213:AO1213" si="5294">J261*J$338</f>
        <v>0</v>
      </c>
      <c r="K1213" s="552">
        <f t="shared" si="5294"/>
        <v>0</v>
      </c>
      <c r="L1213" s="552">
        <f t="shared" si="5294"/>
        <v>0</v>
      </c>
      <c r="M1213" s="552">
        <f t="shared" si="5294"/>
        <v>0</v>
      </c>
      <c r="N1213" s="552">
        <f t="shared" si="5294"/>
        <v>0</v>
      </c>
      <c r="O1213" s="552">
        <f t="shared" si="5294"/>
        <v>0</v>
      </c>
      <c r="P1213" s="552">
        <f t="shared" si="5294"/>
        <v>0</v>
      </c>
      <c r="Q1213" s="552">
        <f t="shared" si="5294"/>
        <v>0</v>
      </c>
      <c r="R1213" s="552">
        <f t="shared" si="5294"/>
        <v>0</v>
      </c>
      <c r="S1213" s="552">
        <f t="shared" si="5294"/>
        <v>0</v>
      </c>
      <c r="T1213" s="552">
        <f t="shared" si="5294"/>
        <v>0</v>
      </c>
      <c r="U1213" s="552">
        <f t="shared" si="5294"/>
        <v>0</v>
      </c>
      <c r="V1213" s="552">
        <f t="shared" si="5294"/>
        <v>0</v>
      </c>
      <c r="W1213" s="552">
        <f t="shared" si="5294"/>
        <v>0</v>
      </c>
      <c r="X1213" s="552">
        <f t="shared" si="5294"/>
        <v>0</v>
      </c>
      <c r="Y1213" s="552">
        <f t="shared" si="5294"/>
        <v>0</v>
      </c>
      <c r="Z1213" s="552">
        <f t="shared" si="5294"/>
        <v>0</v>
      </c>
      <c r="AA1213" s="552">
        <f t="shared" si="5294"/>
        <v>0</v>
      </c>
      <c r="AB1213" s="552">
        <f t="shared" si="5294"/>
        <v>0</v>
      </c>
      <c r="AC1213" s="552">
        <f t="shared" si="5294"/>
        <v>0</v>
      </c>
      <c r="AD1213" s="552">
        <f t="shared" si="5294"/>
        <v>0</v>
      </c>
      <c r="AE1213" s="552">
        <f t="shared" si="5294"/>
        <v>0</v>
      </c>
      <c r="AF1213" s="552">
        <f t="shared" si="5294"/>
        <v>0</v>
      </c>
      <c r="AG1213" s="552">
        <f t="shared" si="5294"/>
        <v>0</v>
      </c>
      <c r="AH1213" s="552">
        <f t="shared" si="5294"/>
        <v>0</v>
      </c>
      <c r="AI1213" s="552">
        <f t="shared" si="5294"/>
        <v>0</v>
      </c>
      <c r="AJ1213" s="552">
        <f t="shared" si="5294"/>
        <v>0</v>
      </c>
      <c r="AK1213" s="552">
        <f t="shared" si="5294"/>
        <v>0</v>
      </c>
      <c r="AL1213" s="552">
        <f t="shared" si="5294"/>
        <v>0</v>
      </c>
      <c r="AM1213" s="552">
        <f t="shared" si="5294"/>
        <v>0</v>
      </c>
      <c r="AN1213" s="552">
        <f t="shared" si="5294"/>
        <v>0</v>
      </c>
      <c r="AO1213" s="552">
        <f t="shared" si="5294"/>
        <v>0</v>
      </c>
      <c r="AP1213" s="552">
        <f t="shared" ref="AP1213:BU1213" si="5295">AP261*AP$338</f>
        <v>0</v>
      </c>
      <c r="AQ1213" s="552">
        <f t="shared" si="5295"/>
        <v>0</v>
      </c>
      <c r="AR1213" s="552">
        <f t="shared" si="5295"/>
        <v>0</v>
      </c>
      <c r="AS1213" s="552">
        <f t="shared" si="5295"/>
        <v>0</v>
      </c>
      <c r="AT1213" s="552">
        <f t="shared" si="5295"/>
        <v>0</v>
      </c>
      <c r="AU1213" s="552">
        <f t="shared" si="5295"/>
        <v>0</v>
      </c>
      <c r="AV1213" s="552">
        <f t="shared" si="5295"/>
        <v>0</v>
      </c>
      <c r="AW1213" s="552">
        <f t="shared" si="5295"/>
        <v>0</v>
      </c>
      <c r="AX1213" s="552">
        <f t="shared" si="5295"/>
        <v>0</v>
      </c>
      <c r="AY1213" s="552">
        <f t="shared" si="5295"/>
        <v>0</v>
      </c>
      <c r="AZ1213" s="552">
        <f t="shared" si="5295"/>
        <v>0</v>
      </c>
      <c r="BA1213" s="552">
        <f t="shared" si="5295"/>
        <v>0</v>
      </c>
      <c r="BB1213" s="552">
        <f t="shared" si="5295"/>
        <v>0</v>
      </c>
      <c r="BC1213" s="552">
        <f t="shared" si="5295"/>
        <v>0</v>
      </c>
      <c r="BD1213" s="552">
        <f t="shared" si="5295"/>
        <v>0</v>
      </c>
      <c r="BE1213" s="552">
        <f t="shared" si="5295"/>
        <v>0</v>
      </c>
      <c r="BF1213" s="552">
        <f t="shared" si="5295"/>
        <v>0</v>
      </c>
      <c r="BG1213" s="552">
        <f t="shared" si="5295"/>
        <v>0</v>
      </c>
      <c r="BH1213" s="552">
        <f t="shared" si="5295"/>
        <v>0</v>
      </c>
      <c r="BI1213" s="552">
        <f t="shared" si="5295"/>
        <v>0</v>
      </c>
      <c r="BJ1213" s="552">
        <f t="shared" si="5295"/>
        <v>0</v>
      </c>
      <c r="BK1213" s="552">
        <f t="shared" si="5295"/>
        <v>0</v>
      </c>
      <c r="BL1213" s="552">
        <f t="shared" si="5295"/>
        <v>0</v>
      </c>
      <c r="BM1213" s="552">
        <f t="shared" si="5295"/>
        <v>0</v>
      </c>
      <c r="BN1213" s="552">
        <f t="shared" si="5295"/>
        <v>0</v>
      </c>
      <c r="BO1213" s="552">
        <f t="shared" si="5295"/>
        <v>0</v>
      </c>
      <c r="BP1213" s="552">
        <f t="shared" si="5295"/>
        <v>0</v>
      </c>
      <c r="BQ1213" s="552">
        <f t="shared" si="5295"/>
        <v>0</v>
      </c>
      <c r="BR1213" s="552">
        <f t="shared" si="5295"/>
        <v>0</v>
      </c>
      <c r="BS1213" s="552">
        <f t="shared" si="5295"/>
        <v>0</v>
      </c>
      <c r="BT1213" s="552">
        <f t="shared" si="5295"/>
        <v>0</v>
      </c>
      <c r="BU1213" s="552">
        <f t="shared" si="5295"/>
        <v>0</v>
      </c>
      <c r="BV1213" s="552">
        <f t="shared" ref="BV1213:DA1213" si="5296">BV261*BV$338</f>
        <v>0</v>
      </c>
      <c r="BW1213" s="552">
        <f t="shared" si="5296"/>
        <v>0</v>
      </c>
      <c r="BX1213" s="552">
        <f t="shared" si="5296"/>
        <v>0</v>
      </c>
      <c r="BY1213" s="552">
        <f t="shared" si="5296"/>
        <v>0</v>
      </c>
      <c r="BZ1213" s="552">
        <f t="shared" si="5296"/>
        <v>0</v>
      </c>
      <c r="CA1213" s="552">
        <f t="shared" si="5296"/>
        <v>0</v>
      </c>
      <c r="CB1213" s="552">
        <f t="shared" si="5296"/>
        <v>0</v>
      </c>
      <c r="CC1213" s="552">
        <f t="shared" si="5296"/>
        <v>0</v>
      </c>
      <c r="CD1213" s="552">
        <f t="shared" si="5296"/>
        <v>0</v>
      </c>
      <c r="CE1213" s="552">
        <f t="shared" si="5296"/>
        <v>0</v>
      </c>
      <c r="CF1213" s="552">
        <f t="shared" si="5296"/>
        <v>0</v>
      </c>
      <c r="CG1213" s="552">
        <f t="shared" si="5296"/>
        <v>0</v>
      </c>
      <c r="CH1213" s="552">
        <f t="shared" si="5296"/>
        <v>0</v>
      </c>
      <c r="CI1213" s="552">
        <f t="shared" si="5296"/>
        <v>0</v>
      </c>
      <c r="CJ1213" s="552">
        <f t="shared" si="5296"/>
        <v>0</v>
      </c>
      <c r="CK1213" s="552">
        <f t="shared" si="5296"/>
        <v>0</v>
      </c>
      <c r="CL1213" s="552">
        <f t="shared" si="5296"/>
        <v>0</v>
      </c>
      <c r="CM1213" s="552">
        <f t="shared" si="5296"/>
        <v>0</v>
      </c>
      <c r="CN1213" s="552">
        <f t="shared" si="5296"/>
        <v>0</v>
      </c>
      <c r="CO1213" s="552">
        <f t="shared" si="5296"/>
        <v>0</v>
      </c>
      <c r="CP1213" s="552">
        <f t="shared" si="5296"/>
        <v>0</v>
      </c>
      <c r="CQ1213" s="552">
        <f t="shared" si="5296"/>
        <v>0</v>
      </c>
      <c r="CR1213" s="552">
        <f t="shared" si="5296"/>
        <v>0</v>
      </c>
      <c r="CS1213" s="552">
        <f t="shared" si="5296"/>
        <v>0</v>
      </c>
      <c r="CT1213" s="552">
        <f t="shared" si="5296"/>
        <v>0</v>
      </c>
      <c r="CU1213" s="552">
        <f t="shared" si="5296"/>
        <v>0</v>
      </c>
      <c r="CV1213" s="552">
        <f t="shared" si="5296"/>
        <v>0</v>
      </c>
      <c r="CW1213" s="552">
        <f t="shared" si="5296"/>
        <v>0</v>
      </c>
      <c r="CX1213" s="552">
        <f t="shared" si="5296"/>
        <v>0</v>
      </c>
      <c r="CY1213" s="552">
        <f t="shared" si="5296"/>
        <v>0</v>
      </c>
      <c r="CZ1213" s="552">
        <f t="shared" si="5296"/>
        <v>0</v>
      </c>
      <c r="DA1213" s="552">
        <f t="shared" si="5296"/>
        <v>0</v>
      </c>
      <c r="DB1213" s="552">
        <f t="shared" ref="DB1213:EG1213" si="5297">DB261*DB$338</f>
        <v>0</v>
      </c>
      <c r="DC1213" s="552">
        <f t="shared" si="5297"/>
        <v>0</v>
      </c>
      <c r="DD1213" s="552">
        <f t="shared" si="5297"/>
        <v>0</v>
      </c>
      <c r="DE1213" s="552">
        <f t="shared" si="5297"/>
        <v>0</v>
      </c>
      <c r="DF1213" s="552">
        <f t="shared" si="5297"/>
        <v>0</v>
      </c>
      <c r="DG1213" s="552">
        <f t="shared" si="5297"/>
        <v>0</v>
      </c>
      <c r="DH1213" s="552">
        <f t="shared" si="5297"/>
        <v>0</v>
      </c>
      <c r="DI1213" s="552">
        <f t="shared" si="5297"/>
        <v>0</v>
      </c>
      <c r="DJ1213" s="552">
        <f t="shared" si="5297"/>
        <v>0</v>
      </c>
      <c r="DK1213" s="552">
        <f t="shared" si="5297"/>
        <v>0</v>
      </c>
      <c r="DL1213" s="552">
        <f t="shared" si="5297"/>
        <v>0</v>
      </c>
      <c r="DM1213" s="552">
        <f t="shared" si="5297"/>
        <v>0</v>
      </c>
      <c r="DN1213" s="552">
        <f t="shared" si="5297"/>
        <v>0</v>
      </c>
      <c r="DO1213" s="552">
        <f t="shared" si="5297"/>
        <v>0</v>
      </c>
      <c r="DP1213" s="552">
        <f t="shared" si="5297"/>
        <v>0</v>
      </c>
      <c r="DQ1213" s="552">
        <f t="shared" si="5297"/>
        <v>0</v>
      </c>
      <c r="DR1213" s="552">
        <f t="shared" si="5297"/>
        <v>0</v>
      </c>
      <c r="DS1213" s="552">
        <f t="shared" si="5297"/>
        <v>0</v>
      </c>
      <c r="DT1213" s="552">
        <f t="shared" si="5297"/>
        <v>0</v>
      </c>
      <c r="DU1213" s="552">
        <f t="shared" si="5297"/>
        <v>0</v>
      </c>
      <c r="DV1213" s="552">
        <f t="shared" si="5297"/>
        <v>0</v>
      </c>
      <c r="DW1213" s="552">
        <f t="shared" si="5297"/>
        <v>0</v>
      </c>
      <c r="DX1213" s="552">
        <f t="shared" si="5297"/>
        <v>0</v>
      </c>
      <c r="DY1213" s="552">
        <f t="shared" si="5297"/>
        <v>0</v>
      </c>
      <c r="DZ1213" s="552">
        <f t="shared" si="5297"/>
        <v>0</v>
      </c>
      <c r="EA1213" s="552">
        <f t="shared" si="5297"/>
        <v>0</v>
      </c>
      <c r="EB1213" s="552">
        <f t="shared" si="5297"/>
        <v>0</v>
      </c>
      <c r="EC1213" s="552">
        <f t="shared" si="5297"/>
        <v>0</v>
      </c>
      <c r="ED1213" s="552">
        <f t="shared" si="5297"/>
        <v>0</v>
      </c>
      <c r="EE1213" s="552">
        <f t="shared" si="5297"/>
        <v>0</v>
      </c>
      <c r="EF1213" s="552">
        <f t="shared" si="5297"/>
        <v>0</v>
      </c>
      <c r="EG1213" s="552">
        <f t="shared" si="5297"/>
        <v>0</v>
      </c>
      <c r="EH1213" s="552">
        <f t="shared" ref="EH1213:EX1213" si="5298">EH261*EH$338</f>
        <v>0</v>
      </c>
      <c r="EI1213" s="552">
        <f t="shared" si="5298"/>
        <v>0</v>
      </c>
      <c r="EJ1213" s="552">
        <f t="shared" si="5298"/>
        <v>0</v>
      </c>
      <c r="EK1213" s="552">
        <f t="shared" si="5298"/>
        <v>0</v>
      </c>
      <c r="EL1213" s="552">
        <f t="shared" si="5298"/>
        <v>0</v>
      </c>
      <c r="EM1213" s="552">
        <f t="shared" si="5298"/>
        <v>0</v>
      </c>
      <c r="EN1213" s="552">
        <f t="shared" si="5298"/>
        <v>0</v>
      </c>
      <c r="EO1213" s="552">
        <f t="shared" si="5298"/>
        <v>0</v>
      </c>
      <c r="EP1213" s="552">
        <f t="shared" si="5298"/>
        <v>0</v>
      </c>
      <c r="EQ1213" s="552">
        <f t="shared" si="5298"/>
        <v>0</v>
      </c>
      <c r="ER1213" s="552">
        <f t="shared" si="5298"/>
        <v>0</v>
      </c>
      <c r="ES1213" s="552">
        <f t="shared" si="5298"/>
        <v>0</v>
      </c>
      <c r="ET1213" s="552">
        <f t="shared" si="5298"/>
        <v>0</v>
      </c>
      <c r="EU1213" s="552">
        <f t="shared" si="5298"/>
        <v>0</v>
      </c>
      <c r="EV1213" s="552">
        <f t="shared" si="5298"/>
        <v>0</v>
      </c>
      <c r="EW1213" s="552">
        <f t="shared" si="5298"/>
        <v>0</v>
      </c>
      <c r="EX1213" s="552">
        <f t="shared" si="5298"/>
        <v>0</v>
      </c>
      <c r="EY1213" s="799">
        <f t="shared" si="4577"/>
        <v>0</v>
      </c>
      <c r="EZ1213" s="640"/>
      <c r="FA1213" s="640"/>
      <c r="FB1213" s="640"/>
      <c r="FC1213" s="640"/>
      <c r="FD1213" s="640"/>
      <c r="FE1213" s="640"/>
      <c r="FF1213" s="640"/>
      <c r="FG1213" s="640"/>
      <c r="FH1213" s="640"/>
      <c r="FI1213" s="640"/>
      <c r="FJ1213" s="640"/>
      <c r="FK1213" s="640"/>
      <c r="FL1213" s="640"/>
    </row>
    <row r="1214" spans="1:168" x14ac:dyDescent="0.25">
      <c r="A1214" s="1493"/>
      <c r="B1214" s="624">
        <f t="shared" si="5271"/>
        <v>0</v>
      </c>
      <c r="C1214" s="624">
        <f t="shared" si="5271"/>
        <v>0</v>
      </c>
      <c r="D1214" s="624">
        <f t="shared" si="5271"/>
        <v>0</v>
      </c>
      <c r="E1214" s="1158">
        <f t="shared" si="5278"/>
        <v>0</v>
      </c>
      <c r="F1214" s="1158"/>
      <c r="G1214" s="1140"/>
      <c r="H1214" s="1140"/>
      <c r="I1214" s="552"/>
      <c r="J1214" s="552">
        <f t="shared" ref="J1214:AO1214" si="5299">J262*J$338</f>
        <v>0</v>
      </c>
      <c r="K1214" s="552">
        <f t="shared" si="5299"/>
        <v>0</v>
      </c>
      <c r="L1214" s="552">
        <f t="shared" si="5299"/>
        <v>0</v>
      </c>
      <c r="M1214" s="552">
        <f t="shared" si="5299"/>
        <v>0</v>
      </c>
      <c r="N1214" s="552">
        <f t="shared" si="5299"/>
        <v>0</v>
      </c>
      <c r="O1214" s="552">
        <f t="shared" si="5299"/>
        <v>0</v>
      </c>
      <c r="P1214" s="552">
        <f t="shared" si="5299"/>
        <v>0</v>
      </c>
      <c r="Q1214" s="552">
        <f t="shared" si="5299"/>
        <v>0</v>
      </c>
      <c r="R1214" s="552">
        <f t="shared" si="5299"/>
        <v>0</v>
      </c>
      <c r="S1214" s="552">
        <f t="shared" si="5299"/>
        <v>0</v>
      </c>
      <c r="T1214" s="552">
        <f t="shared" si="5299"/>
        <v>0</v>
      </c>
      <c r="U1214" s="552">
        <f t="shared" si="5299"/>
        <v>0</v>
      </c>
      <c r="V1214" s="552">
        <f t="shared" si="5299"/>
        <v>0</v>
      </c>
      <c r="W1214" s="552">
        <f t="shared" si="5299"/>
        <v>0</v>
      </c>
      <c r="X1214" s="552">
        <f t="shared" si="5299"/>
        <v>0</v>
      </c>
      <c r="Y1214" s="552">
        <f t="shared" si="5299"/>
        <v>0</v>
      </c>
      <c r="Z1214" s="552">
        <f t="shared" si="5299"/>
        <v>0</v>
      </c>
      <c r="AA1214" s="552">
        <f t="shared" si="5299"/>
        <v>0</v>
      </c>
      <c r="AB1214" s="552">
        <f t="shared" si="5299"/>
        <v>0</v>
      </c>
      <c r="AC1214" s="552">
        <f t="shared" si="5299"/>
        <v>0</v>
      </c>
      <c r="AD1214" s="552">
        <f t="shared" si="5299"/>
        <v>0</v>
      </c>
      <c r="AE1214" s="552">
        <f t="shared" si="5299"/>
        <v>0</v>
      </c>
      <c r="AF1214" s="552">
        <f t="shared" si="5299"/>
        <v>0</v>
      </c>
      <c r="AG1214" s="552">
        <f t="shared" si="5299"/>
        <v>0</v>
      </c>
      <c r="AH1214" s="552">
        <f t="shared" si="5299"/>
        <v>0</v>
      </c>
      <c r="AI1214" s="552">
        <f t="shared" si="5299"/>
        <v>0</v>
      </c>
      <c r="AJ1214" s="552">
        <f t="shared" si="5299"/>
        <v>0</v>
      </c>
      <c r="AK1214" s="552">
        <f t="shared" si="5299"/>
        <v>0</v>
      </c>
      <c r="AL1214" s="552">
        <f t="shared" si="5299"/>
        <v>0</v>
      </c>
      <c r="AM1214" s="552">
        <f t="shared" si="5299"/>
        <v>0</v>
      </c>
      <c r="AN1214" s="552">
        <f t="shared" si="5299"/>
        <v>0</v>
      </c>
      <c r="AO1214" s="552">
        <f t="shared" si="5299"/>
        <v>0</v>
      </c>
      <c r="AP1214" s="552">
        <f t="shared" ref="AP1214:BU1214" si="5300">AP262*AP$338</f>
        <v>0</v>
      </c>
      <c r="AQ1214" s="552">
        <f t="shared" si="5300"/>
        <v>0</v>
      </c>
      <c r="AR1214" s="552">
        <f t="shared" si="5300"/>
        <v>0</v>
      </c>
      <c r="AS1214" s="552">
        <f t="shared" si="5300"/>
        <v>0</v>
      </c>
      <c r="AT1214" s="552">
        <f t="shared" si="5300"/>
        <v>0</v>
      </c>
      <c r="AU1214" s="552">
        <f t="shared" si="5300"/>
        <v>0</v>
      </c>
      <c r="AV1214" s="552">
        <f t="shared" si="5300"/>
        <v>0</v>
      </c>
      <c r="AW1214" s="552">
        <f t="shared" si="5300"/>
        <v>0</v>
      </c>
      <c r="AX1214" s="552">
        <f t="shared" si="5300"/>
        <v>0</v>
      </c>
      <c r="AY1214" s="552">
        <f t="shared" si="5300"/>
        <v>0</v>
      </c>
      <c r="AZ1214" s="552">
        <f t="shared" si="5300"/>
        <v>0</v>
      </c>
      <c r="BA1214" s="552">
        <f t="shared" si="5300"/>
        <v>0</v>
      </c>
      <c r="BB1214" s="552">
        <f t="shared" si="5300"/>
        <v>0</v>
      </c>
      <c r="BC1214" s="552">
        <f t="shared" si="5300"/>
        <v>0</v>
      </c>
      <c r="BD1214" s="552">
        <f t="shared" si="5300"/>
        <v>0</v>
      </c>
      <c r="BE1214" s="552">
        <f t="shared" si="5300"/>
        <v>0</v>
      </c>
      <c r="BF1214" s="552">
        <f t="shared" si="5300"/>
        <v>0</v>
      </c>
      <c r="BG1214" s="552">
        <f t="shared" si="5300"/>
        <v>0</v>
      </c>
      <c r="BH1214" s="552">
        <f t="shared" si="5300"/>
        <v>0</v>
      </c>
      <c r="BI1214" s="552">
        <f t="shared" si="5300"/>
        <v>0</v>
      </c>
      <c r="BJ1214" s="552">
        <f t="shared" si="5300"/>
        <v>0</v>
      </c>
      <c r="BK1214" s="552">
        <f t="shared" si="5300"/>
        <v>0</v>
      </c>
      <c r="BL1214" s="552">
        <f t="shared" si="5300"/>
        <v>0</v>
      </c>
      <c r="BM1214" s="552">
        <f t="shared" si="5300"/>
        <v>0</v>
      </c>
      <c r="BN1214" s="552">
        <f t="shared" si="5300"/>
        <v>0</v>
      </c>
      <c r="BO1214" s="552">
        <f t="shared" si="5300"/>
        <v>0</v>
      </c>
      <c r="BP1214" s="552">
        <f t="shared" si="5300"/>
        <v>0</v>
      </c>
      <c r="BQ1214" s="552">
        <f t="shared" si="5300"/>
        <v>0</v>
      </c>
      <c r="BR1214" s="552">
        <f t="shared" si="5300"/>
        <v>0</v>
      </c>
      <c r="BS1214" s="552">
        <f t="shared" si="5300"/>
        <v>0</v>
      </c>
      <c r="BT1214" s="552">
        <f t="shared" si="5300"/>
        <v>0</v>
      </c>
      <c r="BU1214" s="552">
        <f t="shared" si="5300"/>
        <v>0</v>
      </c>
      <c r="BV1214" s="552">
        <f t="shared" ref="BV1214:DA1214" si="5301">BV262*BV$338</f>
        <v>0</v>
      </c>
      <c r="BW1214" s="552">
        <f t="shared" si="5301"/>
        <v>0</v>
      </c>
      <c r="BX1214" s="552">
        <f t="shared" si="5301"/>
        <v>0</v>
      </c>
      <c r="BY1214" s="552">
        <f t="shared" si="5301"/>
        <v>0</v>
      </c>
      <c r="BZ1214" s="552">
        <f t="shared" si="5301"/>
        <v>0</v>
      </c>
      <c r="CA1214" s="552">
        <f t="shared" si="5301"/>
        <v>0</v>
      </c>
      <c r="CB1214" s="552">
        <f t="shared" si="5301"/>
        <v>0</v>
      </c>
      <c r="CC1214" s="552">
        <f t="shared" si="5301"/>
        <v>0</v>
      </c>
      <c r="CD1214" s="552">
        <f t="shared" si="5301"/>
        <v>0</v>
      </c>
      <c r="CE1214" s="552">
        <f t="shared" si="5301"/>
        <v>0</v>
      </c>
      <c r="CF1214" s="552">
        <f t="shared" si="5301"/>
        <v>0</v>
      </c>
      <c r="CG1214" s="552">
        <f t="shared" si="5301"/>
        <v>0</v>
      </c>
      <c r="CH1214" s="552">
        <f t="shared" si="5301"/>
        <v>0</v>
      </c>
      <c r="CI1214" s="552">
        <f t="shared" si="5301"/>
        <v>0</v>
      </c>
      <c r="CJ1214" s="552">
        <f t="shared" si="5301"/>
        <v>0</v>
      </c>
      <c r="CK1214" s="552">
        <f t="shared" si="5301"/>
        <v>0</v>
      </c>
      <c r="CL1214" s="552">
        <f t="shared" si="5301"/>
        <v>0</v>
      </c>
      <c r="CM1214" s="552">
        <f t="shared" si="5301"/>
        <v>0</v>
      </c>
      <c r="CN1214" s="552">
        <f t="shared" si="5301"/>
        <v>0</v>
      </c>
      <c r="CO1214" s="552">
        <f t="shared" si="5301"/>
        <v>0</v>
      </c>
      <c r="CP1214" s="552">
        <f t="shared" si="5301"/>
        <v>0</v>
      </c>
      <c r="CQ1214" s="552">
        <f t="shared" si="5301"/>
        <v>0</v>
      </c>
      <c r="CR1214" s="552">
        <f t="shared" si="5301"/>
        <v>0</v>
      </c>
      <c r="CS1214" s="552">
        <f t="shared" si="5301"/>
        <v>0</v>
      </c>
      <c r="CT1214" s="552">
        <f t="shared" si="5301"/>
        <v>0</v>
      </c>
      <c r="CU1214" s="552">
        <f t="shared" si="5301"/>
        <v>0</v>
      </c>
      <c r="CV1214" s="552">
        <f t="shared" si="5301"/>
        <v>0</v>
      </c>
      <c r="CW1214" s="552">
        <f t="shared" si="5301"/>
        <v>0</v>
      </c>
      <c r="CX1214" s="552">
        <f t="shared" si="5301"/>
        <v>0</v>
      </c>
      <c r="CY1214" s="552">
        <f t="shared" si="5301"/>
        <v>0</v>
      </c>
      <c r="CZ1214" s="552">
        <f t="shared" si="5301"/>
        <v>0</v>
      </c>
      <c r="DA1214" s="552">
        <f t="shared" si="5301"/>
        <v>0</v>
      </c>
      <c r="DB1214" s="552">
        <f t="shared" ref="DB1214:EG1214" si="5302">DB262*DB$338</f>
        <v>0</v>
      </c>
      <c r="DC1214" s="552">
        <f t="shared" si="5302"/>
        <v>0</v>
      </c>
      <c r="DD1214" s="552">
        <f t="shared" si="5302"/>
        <v>0</v>
      </c>
      <c r="DE1214" s="552">
        <f t="shared" si="5302"/>
        <v>0</v>
      </c>
      <c r="DF1214" s="552">
        <f t="shared" si="5302"/>
        <v>0</v>
      </c>
      <c r="DG1214" s="552">
        <f t="shared" si="5302"/>
        <v>0</v>
      </c>
      <c r="DH1214" s="552">
        <f t="shared" si="5302"/>
        <v>0</v>
      </c>
      <c r="DI1214" s="552">
        <f t="shared" si="5302"/>
        <v>0</v>
      </c>
      <c r="DJ1214" s="552">
        <f t="shared" si="5302"/>
        <v>0</v>
      </c>
      <c r="DK1214" s="552">
        <f t="shared" si="5302"/>
        <v>0</v>
      </c>
      <c r="DL1214" s="552">
        <f t="shared" si="5302"/>
        <v>0</v>
      </c>
      <c r="DM1214" s="552">
        <f t="shared" si="5302"/>
        <v>0</v>
      </c>
      <c r="DN1214" s="552">
        <f t="shared" si="5302"/>
        <v>0</v>
      </c>
      <c r="DO1214" s="552">
        <f t="shared" si="5302"/>
        <v>0</v>
      </c>
      <c r="DP1214" s="552">
        <f t="shared" si="5302"/>
        <v>0</v>
      </c>
      <c r="DQ1214" s="552">
        <f t="shared" si="5302"/>
        <v>0</v>
      </c>
      <c r="DR1214" s="552">
        <f t="shared" si="5302"/>
        <v>0</v>
      </c>
      <c r="DS1214" s="552">
        <f t="shared" si="5302"/>
        <v>0</v>
      </c>
      <c r="DT1214" s="552">
        <f t="shared" si="5302"/>
        <v>0</v>
      </c>
      <c r="DU1214" s="552">
        <f t="shared" si="5302"/>
        <v>0</v>
      </c>
      <c r="DV1214" s="552">
        <f t="shared" si="5302"/>
        <v>0</v>
      </c>
      <c r="DW1214" s="552">
        <f t="shared" si="5302"/>
        <v>0</v>
      </c>
      <c r="DX1214" s="552">
        <f t="shared" si="5302"/>
        <v>0</v>
      </c>
      <c r="DY1214" s="552">
        <f t="shared" si="5302"/>
        <v>0</v>
      </c>
      <c r="DZ1214" s="552">
        <f t="shared" si="5302"/>
        <v>0</v>
      </c>
      <c r="EA1214" s="552">
        <f t="shared" si="5302"/>
        <v>0</v>
      </c>
      <c r="EB1214" s="552">
        <f t="shared" si="5302"/>
        <v>0</v>
      </c>
      <c r="EC1214" s="552">
        <f t="shared" si="5302"/>
        <v>0</v>
      </c>
      <c r="ED1214" s="552">
        <f t="shared" si="5302"/>
        <v>0</v>
      </c>
      <c r="EE1214" s="552">
        <f t="shared" si="5302"/>
        <v>0</v>
      </c>
      <c r="EF1214" s="552">
        <f t="shared" si="5302"/>
        <v>0</v>
      </c>
      <c r="EG1214" s="552">
        <f t="shared" si="5302"/>
        <v>0</v>
      </c>
      <c r="EH1214" s="552">
        <f t="shared" ref="EH1214:EX1214" si="5303">EH262*EH$338</f>
        <v>0</v>
      </c>
      <c r="EI1214" s="552">
        <f t="shared" si="5303"/>
        <v>0</v>
      </c>
      <c r="EJ1214" s="552">
        <f t="shared" si="5303"/>
        <v>0</v>
      </c>
      <c r="EK1214" s="552">
        <f t="shared" si="5303"/>
        <v>0</v>
      </c>
      <c r="EL1214" s="552">
        <f t="shared" si="5303"/>
        <v>0</v>
      </c>
      <c r="EM1214" s="552">
        <f t="shared" si="5303"/>
        <v>0</v>
      </c>
      <c r="EN1214" s="552">
        <f t="shared" si="5303"/>
        <v>0</v>
      </c>
      <c r="EO1214" s="552">
        <f t="shared" si="5303"/>
        <v>0</v>
      </c>
      <c r="EP1214" s="552">
        <f t="shared" si="5303"/>
        <v>0</v>
      </c>
      <c r="EQ1214" s="552">
        <f t="shared" si="5303"/>
        <v>0</v>
      </c>
      <c r="ER1214" s="552">
        <f t="shared" si="5303"/>
        <v>0</v>
      </c>
      <c r="ES1214" s="552">
        <f t="shared" si="5303"/>
        <v>0</v>
      </c>
      <c r="ET1214" s="552">
        <f t="shared" si="5303"/>
        <v>0</v>
      </c>
      <c r="EU1214" s="552">
        <f t="shared" si="5303"/>
        <v>0</v>
      </c>
      <c r="EV1214" s="552">
        <f t="shared" si="5303"/>
        <v>0</v>
      </c>
      <c r="EW1214" s="552">
        <f t="shared" si="5303"/>
        <v>0</v>
      </c>
      <c r="EX1214" s="552">
        <f t="shared" si="5303"/>
        <v>0</v>
      </c>
      <c r="EY1214" s="799">
        <f t="shared" si="4577"/>
        <v>0</v>
      </c>
      <c r="EZ1214" s="640"/>
      <c r="FA1214" s="640"/>
      <c r="FB1214" s="640"/>
      <c r="FC1214" s="640"/>
      <c r="FD1214" s="640"/>
      <c r="FE1214" s="640"/>
      <c r="FF1214" s="640"/>
      <c r="FG1214" s="640"/>
      <c r="FH1214" s="640"/>
      <c r="FI1214" s="640"/>
      <c r="FJ1214" s="640"/>
      <c r="FK1214" s="640"/>
      <c r="FL1214" s="640"/>
    </row>
    <row r="1215" spans="1:168" s="1034" customFormat="1" x14ac:dyDescent="0.25">
      <c r="A1215" s="1033"/>
      <c r="B1215" s="624">
        <f t="shared" si="5271"/>
        <v>0</v>
      </c>
      <c r="C1215" s="624">
        <f t="shared" si="5271"/>
        <v>0</v>
      </c>
      <c r="D1215" s="624">
        <f t="shared" si="5271"/>
        <v>0</v>
      </c>
      <c r="E1215" s="1158">
        <f t="shared" si="5278"/>
        <v>0</v>
      </c>
      <c r="F1215" s="1158"/>
      <c r="G1215" s="1140"/>
      <c r="H1215" s="1140"/>
      <c r="I1215" s="552"/>
      <c r="J1215" s="552">
        <f t="shared" ref="J1215:AO1215" si="5304">J263*J$338</f>
        <v>0</v>
      </c>
      <c r="K1215" s="552">
        <f t="shared" si="5304"/>
        <v>0</v>
      </c>
      <c r="L1215" s="552">
        <f t="shared" si="5304"/>
        <v>0</v>
      </c>
      <c r="M1215" s="552">
        <f t="shared" si="5304"/>
        <v>0</v>
      </c>
      <c r="N1215" s="552">
        <f t="shared" si="5304"/>
        <v>0</v>
      </c>
      <c r="O1215" s="552">
        <f t="shared" si="5304"/>
        <v>0</v>
      </c>
      <c r="P1215" s="552">
        <f t="shared" si="5304"/>
        <v>0</v>
      </c>
      <c r="Q1215" s="552">
        <f t="shared" si="5304"/>
        <v>0</v>
      </c>
      <c r="R1215" s="552">
        <f t="shared" si="5304"/>
        <v>0</v>
      </c>
      <c r="S1215" s="552">
        <f t="shared" si="5304"/>
        <v>0</v>
      </c>
      <c r="T1215" s="552">
        <f t="shared" si="5304"/>
        <v>0</v>
      </c>
      <c r="U1215" s="552">
        <f t="shared" si="5304"/>
        <v>0</v>
      </c>
      <c r="V1215" s="552">
        <f t="shared" si="5304"/>
        <v>0</v>
      </c>
      <c r="W1215" s="552">
        <f t="shared" si="5304"/>
        <v>0</v>
      </c>
      <c r="X1215" s="552">
        <f t="shared" si="5304"/>
        <v>0</v>
      </c>
      <c r="Y1215" s="552">
        <f t="shared" si="5304"/>
        <v>0</v>
      </c>
      <c r="Z1215" s="552">
        <f t="shared" si="5304"/>
        <v>0</v>
      </c>
      <c r="AA1215" s="552">
        <f t="shared" si="5304"/>
        <v>0</v>
      </c>
      <c r="AB1215" s="552">
        <f t="shared" si="5304"/>
        <v>0</v>
      </c>
      <c r="AC1215" s="552">
        <f t="shared" si="5304"/>
        <v>0</v>
      </c>
      <c r="AD1215" s="552">
        <f t="shared" si="5304"/>
        <v>0</v>
      </c>
      <c r="AE1215" s="552">
        <f t="shared" si="5304"/>
        <v>0</v>
      </c>
      <c r="AF1215" s="552">
        <f t="shared" si="5304"/>
        <v>0</v>
      </c>
      <c r="AG1215" s="552">
        <f t="shared" si="5304"/>
        <v>0</v>
      </c>
      <c r="AH1215" s="552">
        <f t="shared" si="5304"/>
        <v>0</v>
      </c>
      <c r="AI1215" s="552">
        <f t="shared" si="5304"/>
        <v>0</v>
      </c>
      <c r="AJ1215" s="552">
        <f t="shared" si="5304"/>
        <v>0</v>
      </c>
      <c r="AK1215" s="552">
        <f t="shared" si="5304"/>
        <v>0</v>
      </c>
      <c r="AL1215" s="552">
        <f t="shared" si="5304"/>
        <v>0</v>
      </c>
      <c r="AM1215" s="552">
        <f t="shared" si="5304"/>
        <v>0</v>
      </c>
      <c r="AN1215" s="552">
        <f t="shared" si="5304"/>
        <v>0</v>
      </c>
      <c r="AO1215" s="552">
        <f t="shared" si="5304"/>
        <v>0</v>
      </c>
      <c r="AP1215" s="552">
        <f t="shared" ref="AP1215:BU1215" si="5305">AP263*AP$338</f>
        <v>0</v>
      </c>
      <c r="AQ1215" s="552">
        <f t="shared" si="5305"/>
        <v>0</v>
      </c>
      <c r="AR1215" s="552">
        <f t="shared" si="5305"/>
        <v>0</v>
      </c>
      <c r="AS1215" s="552">
        <f t="shared" si="5305"/>
        <v>0</v>
      </c>
      <c r="AT1215" s="552">
        <f t="shared" si="5305"/>
        <v>0</v>
      </c>
      <c r="AU1215" s="552">
        <f t="shared" si="5305"/>
        <v>0</v>
      </c>
      <c r="AV1215" s="552">
        <f t="shared" si="5305"/>
        <v>0</v>
      </c>
      <c r="AW1215" s="552">
        <f t="shared" si="5305"/>
        <v>0</v>
      </c>
      <c r="AX1215" s="552">
        <f t="shared" si="5305"/>
        <v>0</v>
      </c>
      <c r="AY1215" s="552">
        <f t="shared" si="5305"/>
        <v>0</v>
      </c>
      <c r="AZ1215" s="552">
        <f t="shared" si="5305"/>
        <v>0</v>
      </c>
      <c r="BA1215" s="552">
        <f t="shared" si="5305"/>
        <v>0</v>
      </c>
      <c r="BB1215" s="552">
        <f t="shared" si="5305"/>
        <v>0</v>
      </c>
      <c r="BC1215" s="552">
        <f t="shared" si="5305"/>
        <v>0</v>
      </c>
      <c r="BD1215" s="552">
        <f t="shared" si="5305"/>
        <v>0</v>
      </c>
      <c r="BE1215" s="552">
        <f t="shared" si="5305"/>
        <v>0</v>
      </c>
      <c r="BF1215" s="552">
        <f t="shared" si="5305"/>
        <v>0</v>
      </c>
      <c r="BG1215" s="552">
        <f t="shared" si="5305"/>
        <v>0</v>
      </c>
      <c r="BH1215" s="552">
        <f t="shared" si="5305"/>
        <v>0</v>
      </c>
      <c r="BI1215" s="552">
        <f t="shared" si="5305"/>
        <v>0</v>
      </c>
      <c r="BJ1215" s="552">
        <f t="shared" si="5305"/>
        <v>0</v>
      </c>
      <c r="BK1215" s="552">
        <f t="shared" si="5305"/>
        <v>0</v>
      </c>
      <c r="BL1215" s="552">
        <f t="shared" si="5305"/>
        <v>0</v>
      </c>
      <c r="BM1215" s="552">
        <f t="shared" si="5305"/>
        <v>0</v>
      </c>
      <c r="BN1215" s="552">
        <f t="shared" si="5305"/>
        <v>0</v>
      </c>
      <c r="BO1215" s="552">
        <f t="shared" si="5305"/>
        <v>0</v>
      </c>
      <c r="BP1215" s="552">
        <f t="shared" si="5305"/>
        <v>0</v>
      </c>
      <c r="BQ1215" s="552">
        <f t="shared" si="5305"/>
        <v>0</v>
      </c>
      <c r="BR1215" s="552">
        <f t="shared" si="5305"/>
        <v>0</v>
      </c>
      <c r="BS1215" s="552">
        <f t="shared" si="5305"/>
        <v>0</v>
      </c>
      <c r="BT1215" s="552">
        <f t="shared" si="5305"/>
        <v>0</v>
      </c>
      <c r="BU1215" s="552">
        <f t="shared" si="5305"/>
        <v>0</v>
      </c>
      <c r="BV1215" s="552">
        <f t="shared" ref="BV1215:DA1215" si="5306">BV263*BV$338</f>
        <v>0</v>
      </c>
      <c r="BW1215" s="552">
        <f t="shared" si="5306"/>
        <v>0</v>
      </c>
      <c r="BX1215" s="552">
        <f t="shared" si="5306"/>
        <v>0</v>
      </c>
      <c r="BY1215" s="552">
        <f t="shared" si="5306"/>
        <v>0</v>
      </c>
      <c r="BZ1215" s="552">
        <f t="shared" si="5306"/>
        <v>0</v>
      </c>
      <c r="CA1215" s="552">
        <f t="shared" si="5306"/>
        <v>0</v>
      </c>
      <c r="CB1215" s="552">
        <f t="shared" si="5306"/>
        <v>0</v>
      </c>
      <c r="CC1215" s="552">
        <f t="shared" si="5306"/>
        <v>0</v>
      </c>
      <c r="CD1215" s="552">
        <f t="shared" si="5306"/>
        <v>0</v>
      </c>
      <c r="CE1215" s="552">
        <f t="shared" si="5306"/>
        <v>0</v>
      </c>
      <c r="CF1215" s="552">
        <f t="shared" si="5306"/>
        <v>0</v>
      </c>
      <c r="CG1215" s="552">
        <f t="shared" si="5306"/>
        <v>0</v>
      </c>
      <c r="CH1215" s="552">
        <f t="shared" si="5306"/>
        <v>0</v>
      </c>
      <c r="CI1215" s="552">
        <f t="shared" si="5306"/>
        <v>0</v>
      </c>
      <c r="CJ1215" s="552">
        <f t="shared" si="5306"/>
        <v>0</v>
      </c>
      <c r="CK1215" s="552">
        <f t="shared" si="5306"/>
        <v>0</v>
      </c>
      <c r="CL1215" s="552">
        <f t="shared" si="5306"/>
        <v>0</v>
      </c>
      <c r="CM1215" s="552">
        <f t="shared" si="5306"/>
        <v>0</v>
      </c>
      <c r="CN1215" s="552">
        <f t="shared" si="5306"/>
        <v>0</v>
      </c>
      <c r="CO1215" s="552">
        <f t="shared" si="5306"/>
        <v>0</v>
      </c>
      <c r="CP1215" s="552">
        <f t="shared" si="5306"/>
        <v>0</v>
      </c>
      <c r="CQ1215" s="552">
        <f t="shared" si="5306"/>
        <v>0</v>
      </c>
      <c r="CR1215" s="552">
        <f t="shared" si="5306"/>
        <v>0</v>
      </c>
      <c r="CS1215" s="552">
        <f t="shared" si="5306"/>
        <v>0</v>
      </c>
      <c r="CT1215" s="552">
        <f t="shared" si="5306"/>
        <v>0</v>
      </c>
      <c r="CU1215" s="552">
        <f t="shared" si="5306"/>
        <v>0</v>
      </c>
      <c r="CV1215" s="552">
        <f t="shared" si="5306"/>
        <v>0</v>
      </c>
      <c r="CW1215" s="552">
        <f t="shared" si="5306"/>
        <v>0</v>
      </c>
      <c r="CX1215" s="552">
        <f t="shared" si="5306"/>
        <v>0</v>
      </c>
      <c r="CY1215" s="552">
        <f t="shared" si="5306"/>
        <v>0</v>
      </c>
      <c r="CZ1215" s="552">
        <f t="shared" si="5306"/>
        <v>0</v>
      </c>
      <c r="DA1215" s="552">
        <f t="shared" si="5306"/>
        <v>0</v>
      </c>
      <c r="DB1215" s="552">
        <f t="shared" ref="DB1215:EG1215" si="5307">DB263*DB$338</f>
        <v>0</v>
      </c>
      <c r="DC1215" s="552">
        <f t="shared" si="5307"/>
        <v>0</v>
      </c>
      <c r="DD1215" s="552">
        <f t="shared" si="5307"/>
        <v>0</v>
      </c>
      <c r="DE1215" s="552">
        <f t="shared" si="5307"/>
        <v>0</v>
      </c>
      <c r="DF1215" s="552">
        <f t="shared" si="5307"/>
        <v>0</v>
      </c>
      <c r="DG1215" s="552">
        <f t="shared" si="5307"/>
        <v>0</v>
      </c>
      <c r="DH1215" s="552">
        <f t="shared" si="5307"/>
        <v>0</v>
      </c>
      <c r="DI1215" s="552">
        <f t="shared" si="5307"/>
        <v>0</v>
      </c>
      <c r="DJ1215" s="552">
        <f t="shared" si="5307"/>
        <v>0</v>
      </c>
      <c r="DK1215" s="552">
        <f t="shared" si="5307"/>
        <v>0</v>
      </c>
      <c r="DL1215" s="552">
        <f t="shared" si="5307"/>
        <v>0</v>
      </c>
      <c r="DM1215" s="552">
        <f t="shared" si="5307"/>
        <v>0</v>
      </c>
      <c r="DN1215" s="552">
        <f t="shared" si="5307"/>
        <v>0</v>
      </c>
      <c r="DO1215" s="552">
        <f t="shared" si="5307"/>
        <v>0</v>
      </c>
      <c r="DP1215" s="552">
        <f t="shared" si="5307"/>
        <v>0</v>
      </c>
      <c r="DQ1215" s="552">
        <f t="shared" si="5307"/>
        <v>0</v>
      </c>
      <c r="DR1215" s="552">
        <f t="shared" si="5307"/>
        <v>0</v>
      </c>
      <c r="DS1215" s="552">
        <f t="shared" si="5307"/>
        <v>0</v>
      </c>
      <c r="DT1215" s="552">
        <f t="shared" si="5307"/>
        <v>0</v>
      </c>
      <c r="DU1215" s="552">
        <f t="shared" si="5307"/>
        <v>0</v>
      </c>
      <c r="DV1215" s="552">
        <f t="shared" si="5307"/>
        <v>0</v>
      </c>
      <c r="DW1215" s="552">
        <f t="shared" si="5307"/>
        <v>0</v>
      </c>
      <c r="DX1215" s="552">
        <f t="shared" si="5307"/>
        <v>0</v>
      </c>
      <c r="DY1215" s="552">
        <f t="shared" si="5307"/>
        <v>0</v>
      </c>
      <c r="DZ1215" s="552">
        <f t="shared" si="5307"/>
        <v>0</v>
      </c>
      <c r="EA1215" s="552">
        <f t="shared" si="5307"/>
        <v>0</v>
      </c>
      <c r="EB1215" s="552">
        <f t="shared" si="5307"/>
        <v>0</v>
      </c>
      <c r="EC1215" s="552">
        <f t="shared" si="5307"/>
        <v>0</v>
      </c>
      <c r="ED1215" s="552">
        <f t="shared" si="5307"/>
        <v>0</v>
      </c>
      <c r="EE1215" s="552">
        <f t="shared" si="5307"/>
        <v>0</v>
      </c>
      <c r="EF1215" s="552">
        <f t="shared" si="5307"/>
        <v>0</v>
      </c>
      <c r="EG1215" s="552">
        <f t="shared" si="5307"/>
        <v>0</v>
      </c>
      <c r="EH1215" s="552">
        <f t="shared" ref="EH1215:EX1215" si="5308">EH263*EH$338</f>
        <v>0</v>
      </c>
      <c r="EI1215" s="552">
        <f t="shared" si="5308"/>
        <v>0</v>
      </c>
      <c r="EJ1215" s="552">
        <f t="shared" si="5308"/>
        <v>0</v>
      </c>
      <c r="EK1215" s="552">
        <f t="shared" si="5308"/>
        <v>0</v>
      </c>
      <c r="EL1215" s="552">
        <f t="shared" si="5308"/>
        <v>0</v>
      </c>
      <c r="EM1215" s="552">
        <f t="shared" si="5308"/>
        <v>0</v>
      </c>
      <c r="EN1215" s="552">
        <f t="shared" si="5308"/>
        <v>0</v>
      </c>
      <c r="EO1215" s="552">
        <f t="shared" si="5308"/>
        <v>0</v>
      </c>
      <c r="EP1215" s="552">
        <f t="shared" si="5308"/>
        <v>0</v>
      </c>
      <c r="EQ1215" s="552">
        <f t="shared" si="5308"/>
        <v>0</v>
      </c>
      <c r="ER1215" s="552">
        <f t="shared" si="5308"/>
        <v>0</v>
      </c>
      <c r="ES1215" s="552">
        <f t="shared" si="5308"/>
        <v>0</v>
      </c>
      <c r="ET1215" s="552">
        <f t="shared" si="5308"/>
        <v>0</v>
      </c>
      <c r="EU1215" s="552">
        <f t="shared" si="5308"/>
        <v>0</v>
      </c>
      <c r="EV1215" s="552">
        <f t="shared" si="5308"/>
        <v>0</v>
      </c>
      <c r="EW1215" s="552">
        <f t="shared" si="5308"/>
        <v>0</v>
      </c>
      <c r="EX1215" s="552">
        <f t="shared" si="5308"/>
        <v>0</v>
      </c>
      <c r="EY1215" s="799">
        <f t="shared" si="4577"/>
        <v>0</v>
      </c>
      <c r="EZ1215" s="640"/>
      <c r="FA1215" s="640"/>
      <c r="FB1215" s="640"/>
      <c r="FC1215" s="640"/>
      <c r="FD1215" s="640"/>
      <c r="FE1215" s="640"/>
      <c r="FF1215" s="640"/>
      <c r="FG1215" s="640"/>
      <c r="FH1215" s="640"/>
      <c r="FI1215" s="640"/>
      <c r="FJ1215" s="640"/>
      <c r="FK1215" s="640"/>
      <c r="FL1215" s="640"/>
    </row>
    <row r="1216" spans="1:168" s="1034" customFormat="1" x14ac:dyDescent="0.25">
      <c r="A1216" s="1033"/>
      <c r="B1216" s="624">
        <f t="shared" si="5271"/>
        <v>0</v>
      </c>
      <c r="C1216" s="624">
        <f t="shared" si="5271"/>
        <v>0</v>
      </c>
      <c r="D1216" s="624">
        <f t="shared" si="5271"/>
        <v>0</v>
      </c>
      <c r="E1216" s="1158">
        <f t="shared" si="5278"/>
        <v>0</v>
      </c>
      <c r="F1216" s="1158"/>
      <c r="G1216" s="1140"/>
      <c r="H1216" s="1140"/>
      <c r="I1216" s="552"/>
      <c r="J1216" s="552">
        <f t="shared" ref="J1216:AO1216" si="5309">J264*J$338</f>
        <v>0</v>
      </c>
      <c r="K1216" s="552">
        <f t="shared" si="5309"/>
        <v>0</v>
      </c>
      <c r="L1216" s="552">
        <f t="shared" si="5309"/>
        <v>0</v>
      </c>
      <c r="M1216" s="552">
        <f t="shared" si="5309"/>
        <v>0</v>
      </c>
      <c r="N1216" s="552">
        <f t="shared" si="5309"/>
        <v>0</v>
      </c>
      <c r="O1216" s="552">
        <f t="shared" si="5309"/>
        <v>0</v>
      </c>
      <c r="P1216" s="552">
        <f t="shared" si="5309"/>
        <v>0</v>
      </c>
      <c r="Q1216" s="552">
        <f t="shared" si="5309"/>
        <v>0</v>
      </c>
      <c r="R1216" s="552">
        <f t="shared" si="5309"/>
        <v>0</v>
      </c>
      <c r="S1216" s="552">
        <f t="shared" si="5309"/>
        <v>0</v>
      </c>
      <c r="T1216" s="552">
        <f t="shared" si="5309"/>
        <v>0</v>
      </c>
      <c r="U1216" s="552">
        <f t="shared" si="5309"/>
        <v>0</v>
      </c>
      <c r="V1216" s="552">
        <f t="shared" si="5309"/>
        <v>0</v>
      </c>
      <c r="W1216" s="552">
        <f t="shared" si="5309"/>
        <v>0</v>
      </c>
      <c r="X1216" s="552">
        <f t="shared" si="5309"/>
        <v>0</v>
      </c>
      <c r="Y1216" s="552">
        <f t="shared" si="5309"/>
        <v>0</v>
      </c>
      <c r="Z1216" s="552">
        <f t="shared" si="5309"/>
        <v>0</v>
      </c>
      <c r="AA1216" s="552">
        <f t="shared" si="5309"/>
        <v>0</v>
      </c>
      <c r="AB1216" s="552">
        <f t="shared" si="5309"/>
        <v>0</v>
      </c>
      <c r="AC1216" s="552">
        <f t="shared" si="5309"/>
        <v>0</v>
      </c>
      <c r="AD1216" s="552">
        <f t="shared" si="5309"/>
        <v>0</v>
      </c>
      <c r="AE1216" s="552">
        <f t="shared" si="5309"/>
        <v>0</v>
      </c>
      <c r="AF1216" s="552">
        <f t="shared" si="5309"/>
        <v>0</v>
      </c>
      <c r="AG1216" s="552">
        <f t="shared" si="5309"/>
        <v>0</v>
      </c>
      <c r="AH1216" s="552">
        <f t="shared" si="5309"/>
        <v>0</v>
      </c>
      <c r="AI1216" s="552">
        <f t="shared" si="5309"/>
        <v>0</v>
      </c>
      <c r="AJ1216" s="552">
        <f t="shared" si="5309"/>
        <v>0</v>
      </c>
      <c r="AK1216" s="552">
        <f t="shared" si="5309"/>
        <v>0</v>
      </c>
      <c r="AL1216" s="552">
        <f t="shared" si="5309"/>
        <v>0</v>
      </c>
      <c r="AM1216" s="552">
        <f t="shared" si="5309"/>
        <v>0</v>
      </c>
      <c r="AN1216" s="552">
        <f t="shared" si="5309"/>
        <v>0</v>
      </c>
      <c r="AO1216" s="552">
        <f t="shared" si="5309"/>
        <v>0</v>
      </c>
      <c r="AP1216" s="552">
        <f t="shared" ref="AP1216:BU1216" si="5310">AP264*AP$338</f>
        <v>0</v>
      </c>
      <c r="AQ1216" s="552">
        <f t="shared" si="5310"/>
        <v>0</v>
      </c>
      <c r="AR1216" s="552">
        <f t="shared" si="5310"/>
        <v>0</v>
      </c>
      <c r="AS1216" s="552">
        <f t="shared" si="5310"/>
        <v>0</v>
      </c>
      <c r="AT1216" s="552">
        <f t="shared" si="5310"/>
        <v>0</v>
      </c>
      <c r="AU1216" s="552">
        <f t="shared" si="5310"/>
        <v>0</v>
      </c>
      <c r="AV1216" s="552">
        <f t="shared" si="5310"/>
        <v>0</v>
      </c>
      <c r="AW1216" s="552">
        <f t="shared" si="5310"/>
        <v>0</v>
      </c>
      <c r="AX1216" s="552">
        <f t="shared" si="5310"/>
        <v>0</v>
      </c>
      <c r="AY1216" s="552">
        <f t="shared" si="5310"/>
        <v>0</v>
      </c>
      <c r="AZ1216" s="552">
        <f t="shared" si="5310"/>
        <v>0</v>
      </c>
      <c r="BA1216" s="552">
        <f t="shared" si="5310"/>
        <v>0</v>
      </c>
      <c r="BB1216" s="552">
        <f t="shared" si="5310"/>
        <v>0</v>
      </c>
      <c r="BC1216" s="552">
        <f t="shared" si="5310"/>
        <v>0</v>
      </c>
      <c r="BD1216" s="552">
        <f t="shared" si="5310"/>
        <v>0</v>
      </c>
      <c r="BE1216" s="552">
        <f t="shared" si="5310"/>
        <v>0</v>
      </c>
      <c r="BF1216" s="552">
        <f t="shared" si="5310"/>
        <v>0</v>
      </c>
      <c r="BG1216" s="552">
        <f t="shared" si="5310"/>
        <v>0</v>
      </c>
      <c r="BH1216" s="552">
        <f t="shared" si="5310"/>
        <v>0</v>
      </c>
      <c r="BI1216" s="552">
        <f t="shared" si="5310"/>
        <v>0</v>
      </c>
      <c r="BJ1216" s="552">
        <f t="shared" si="5310"/>
        <v>0</v>
      </c>
      <c r="BK1216" s="552">
        <f t="shared" si="5310"/>
        <v>0</v>
      </c>
      <c r="BL1216" s="552">
        <f t="shared" si="5310"/>
        <v>0</v>
      </c>
      <c r="BM1216" s="552">
        <f t="shared" si="5310"/>
        <v>0</v>
      </c>
      <c r="BN1216" s="552">
        <f t="shared" si="5310"/>
        <v>0</v>
      </c>
      <c r="BO1216" s="552">
        <f t="shared" si="5310"/>
        <v>0</v>
      </c>
      <c r="BP1216" s="552">
        <f t="shared" si="5310"/>
        <v>0</v>
      </c>
      <c r="BQ1216" s="552">
        <f t="shared" si="5310"/>
        <v>0</v>
      </c>
      <c r="BR1216" s="552">
        <f t="shared" si="5310"/>
        <v>0</v>
      </c>
      <c r="BS1216" s="552">
        <f t="shared" si="5310"/>
        <v>0</v>
      </c>
      <c r="BT1216" s="552">
        <f t="shared" si="5310"/>
        <v>0</v>
      </c>
      <c r="BU1216" s="552">
        <f t="shared" si="5310"/>
        <v>0</v>
      </c>
      <c r="BV1216" s="552">
        <f t="shared" ref="BV1216:DA1216" si="5311">BV264*BV$338</f>
        <v>0</v>
      </c>
      <c r="BW1216" s="552">
        <f t="shared" si="5311"/>
        <v>0</v>
      </c>
      <c r="BX1216" s="552">
        <f t="shared" si="5311"/>
        <v>0</v>
      </c>
      <c r="BY1216" s="552">
        <f t="shared" si="5311"/>
        <v>0</v>
      </c>
      <c r="BZ1216" s="552">
        <f t="shared" si="5311"/>
        <v>0</v>
      </c>
      <c r="CA1216" s="552">
        <f t="shared" si="5311"/>
        <v>0</v>
      </c>
      <c r="CB1216" s="552">
        <f t="shared" si="5311"/>
        <v>0</v>
      </c>
      <c r="CC1216" s="552">
        <f t="shared" si="5311"/>
        <v>0</v>
      </c>
      <c r="CD1216" s="552">
        <f t="shared" si="5311"/>
        <v>0</v>
      </c>
      <c r="CE1216" s="552">
        <f t="shared" si="5311"/>
        <v>0</v>
      </c>
      <c r="CF1216" s="552">
        <f t="shared" si="5311"/>
        <v>0</v>
      </c>
      <c r="CG1216" s="552">
        <f t="shared" si="5311"/>
        <v>0</v>
      </c>
      <c r="CH1216" s="552">
        <f t="shared" si="5311"/>
        <v>0</v>
      </c>
      <c r="CI1216" s="552">
        <f t="shared" si="5311"/>
        <v>0</v>
      </c>
      <c r="CJ1216" s="552">
        <f t="shared" si="5311"/>
        <v>0</v>
      </c>
      <c r="CK1216" s="552">
        <f t="shared" si="5311"/>
        <v>0</v>
      </c>
      <c r="CL1216" s="552">
        <f t="shared" si="5311"/>
        <v>0</v>
      </c>
      <c r="CM1216" s="552">
        <f t="shared" si="5311"/>
        <v>0</v>
      </c>
      <c r="CN1216" s="552">
        <f t="shared" si="5311"/>
        <v>0</v>
      </c>
      <c r="CO1216" s="552">
        <f t="shared" si="5311"/>
        <v>0</v>
      </c>
      <c r="CP1216" s="552">
        <f t="shared" si="5311"/>
        <v>0</v>
      </c>
      <c r="CQ1216" s="552">
        <f t="shared" si="5311"/>
        <v>0</v>
      </c>
      <c r="CR1216" s="552">
        <f t="shared" si="5311"/>
        <v>0</v>
      </c>
      <c r="CS1216" s="552">
        <f t="shared" si="5311"/>
        <v>0</v>
      </c>
      <c r="CT1216" s="552">
        <f t="shared" si="5311"/>
        <v>0</v>
      </c>
      <c r="CU1216" s="552">
        <f t="shared" si="5311"/>
        <v>0</v>
      </c>
      <c r="CV1216" s="552">
        <f t="shared" si="5311"/>
        <v>0</v>
      </c>
      <c r="CW1216" s="552">
        <f t="shared" si="5311"/>
        <v>0</v>
      </c>
      <c r="CX1216" s="552">
        <f t="shared" si="5311"/>
        <v>0</v>
      </c>
      <c r="CY1216" s="552">
        <f t="shared" si="5311"/>
        <v>0</v>
      </c>
      <c r="CZ1216" s="552">
        <f t="shared" si="5311"/>
        <v>0</v>
      </c>
      <c r="DA1216" s="552">
        <f t="shared" si="5311"/>
        <v>0</v>
      </c>
      <c r="DB1216" s="552">
        <f t="shared" ref="DB1216:EG1216" si="5312">DB264*DB$338</f>
        <v>0</v>
      </c>
      <c r="DC1216" s="552">
        <f t="shared" si="5312"/>
        <v>0</v>
      </c>
      <c r="DD1216" s="552">
        <f t="shared" si="5312"/>
        <v>0</v>
      </c>
      <c r="DE1216" s="552">
        <f t="shared" si="5312"/>
        <v>0</v>
      </c>
      <c r="DF1216" s="552">
        <f t="shared" si="5312"/>
        <v>0</v>
      </c>
      <c r="DG1216" s="552">
        <f t="shared" si="5312"/>
        <v>0</v>
      </c>
      <c r="DH1216" s="552">
        <f t="shared" si="5312"/>
        <v>0</v>
      </c>
      <c r="DI1216" s="552">
        <f t="shared" si="5312"/>
        <v>0</v>
      </c>
      <c r="DJ1216" s="552">
        <f t="shared" si="5312"/>
        <v>0</v>
      </c>
      <c r="DK1216" s="552">
        <f t="shared" si="5312"/>
        <v>0</v>
      </c>
      <c r="DL1216" s="552">
        <f t="shared" si="5312"/>
        <v>0</v>
      </c>
      <c r="DM1216" s="552">
        <f t="shared" si="5312"/>
        <v>0</v>
      </c>
      <c r="DN1216" s="552">
        <f t="shared" si="5312"/>
        <v>0</v>
      </c>
      <c r="DO1216" s="552">
        <f t="shared" si="5312"/>
        <v>0</v>
      </c>
      <c r="DP1216" s="552">
        <f t="shared" si="5312"/>
        <v>0</v>
      </c>
      <c r="DQ1216" s="552">
        <f t="shared" si="5312"/>
        <v>0</v>
      </c>
      <c r="DR1216" s="552">
        <f t="shared" si="5312"/>
        <v>0</v>
      </c>
      <c r="DS1216" s="552">
        <f t="shared" si="5312"/>
        <v>0</v>
      </c>
      <c r="DT1216" s="552">
        <f t="shared" si="5312"/>
        <v>0</v>
      </c>
      <c r="DU1216" s="552">
        <f t="shared" si="5312"/>
        <v>0</v>
      </c>
      <c r="DV1216" s="552">
        <f t="shared" si="5312"/>
        <v>0</v>
      </c>
      <c r="DW1216" s="552">
        <f t="shared" si="5312"/>
        <v>0</v>
      </c>
      <c r="DX1216" s="552">
        <f t="shared" si="5312"/>
        <v>0</v>
      </c>
      <c r="DY1216" s="552">
        <f t="shared" si="5312"/>
        <v>0</v>
      </c>
      <c r="DZ1216" s="552">
        <f t="shared" si="5312"/>
        <v>0</v>
      </c>
      <c r="EA1216" s="552">
        <f t="shared" si="5312"/>
        <v>0</v>
      </c>
      <c r="EB1216" s="552">
        <f t="shared" si="5312"/>
        <v>0</v>
      </c>
      <c r="EC1216" s="552">
        <f t="shared" si="5312"/>
        <v>0</v>
      </c>
      <c r="ED1216" s="552">
        <f t="shared" si="5312"/>
        <v>0</v>
      </c>
      <c r="EE1216" s="552">
        <f t="shared" si="5312"/>
        <v>0</v>
      </c>
      <c r="EF1216" s="552">
        <f t="shared" si="5312"/>
        <v>0</v>
      </c>
      <c r="EG1216" s="552">
        <f t="shared" si="5312"/>
        <v>0</v>
      </c>
      <c r="EH1216" s="552">
        <f t="shared" ref="EH1216:EX1216" si="5313">EH264*EH$338</f>
        <v>0</v>
      </c>
      <c r="EI1216" s="552">
        <f t="shared" si="5313"/>
        <v>0</v>
      </c>
      <c r="EJ1216" s="552">
        <f t="shared" si="5313"/>
        <v>0</v>
      </c>
      <c r="EK1216" s="552">
        <f t="shared" si="5313"/>
        <v>0</v>
      </c>
      <c r="EL1216" s="552">
        <f t="shared" si="5313"/>
        <v>0</v>
      </c>
      <c r="EM1216" s="552">
        <f t="shared" si="5313"/>
        <v>0</v>
      </c>
      <c r="EN1216" s="552">
        <f t="shared" si="5313"/>
        <v>0</v>
      </c>
      <c r="EO1216" s="552">
        <f t="shared" si="5313"/>
        <v>0</v>
      </c>
      <c r="EP1216" s="552">
        <f t="shared" si="5313"/>
        <v>0</v>
      </c>
      <c r="EQ1216" s="552">
        <f t="shared" si="5313"/>
        <v>0</v>
      </c>
      <c r="ER1216" s="552">
        <f t="shared" si="5313"/>
        <v>0</v>
      </c>
      <c r="ES1216" s="552">
        <f t="shared" si="5313"/>
        <v>0</v>
      </c>
      <c r="ET1216" s="552">
        <f t="shared" si="5313"/>
        <v>0</v>
      </c>
      <c r="EU1216" s="552">
        <f t="shared" si="5313"/>
        <v>0</v>
      </c>
      <c r="EV1216" s="552">
        <f t="shared" si="5313"/>
        <v>0</v>
      </c>
      <c r="EW1216" s="552">
        <f t="shared" si="5313"/>
        <v>0</v>
      </c>
      <c r="EX1216" s="552">
        <f t="shared" si="5313"/>
        <v>0</v>
      </c>
      <c r="EY1216" s="799">
        <f t="shared" si="4577"/>
        <v>0</v>
      </c>
      <c r="EZ1216" s="640"/>
      <c r="FA1216" s="640"/>
      <c r="FB1216" s="640"/>
      <c r="FC1216" s="640"/>
      <c r="FD1216" s="640"/>
      <c r="FE1216" s="640"/>
      <c r="FF1216" s="640"/>
      <c r="FG1216" s="640"/>
      <c r="FH1216" s="640"/>
      <c r="FI1216" s="640"/>
      <c r="FJ1216" s="640"/>
      <c r="FK1216" s="640"/>
      <c r="FL1216" s="640"/>
    </row>
    <row r="1217" spans="1:168" s="1034" customFormat="1" x14ac:dyDescent="0.25">
      <c r="A1217" s="1033"/>
      <c r="B1217" s="624">
        <f t="shared" si="5271"/>
        <v>0</v>
      </c>
      <c r="C1217" s="624">
        <f t="shared" si="5271"/>
        <v>0</v>
      </c>
      <c r="D1217" s="624">
        <f t="shared" si="5271"/>
        <v>0</v>
      </c>
      <c r="E1217" s="1158">
        <f t="shared" si="5278"/>
        <v>0</v>
      </c>
      <c r="F1217" s="1158"/>
      <c r="G1217" s="1140"/>
      <c r="H1217" s="1140"/>
      <c r="I1217" s="552"/>
      <c r="J1217" s="552">
        <f t="shared" ref="J1217:AO1217" si="5314">J265*J$338</f>
        <v>0</v>
      </c>
      <c r="K1217" s="552">
        <f t="shared" si="5314"/>
        <v>0</v>
      </c>
      <c r="L1217" s="552">
        <f t="shared" si="5314"/>
        <v>0</v>
      </c>
      <c r="M1217" s="552">
        <f t="shared" si="5314"/>
        <v>0</v>
      </c>
      <c r="N1217" s="552">
        <f t="shared" si="5314"/>
        <v>0</v>
      </c>
      <c r="O1217" s="552">
        <f t="shared" si="5314"/>
        <v>0</v>
      </c>
      <c r="P1217" s="552">
        <f t="shared" si="5314"/>
        <v>0</v>
      </c>
      <c r="Q1217" s="552">
        <f t="shared" si="5314"/>
        <v>0</v>
      </c>
      <c r="R1217" s="552">
        <f t="shared" si="5314"/>
        <v>0</v>
      </c>
      <c r="S1217" s="552">
        <f t="shared" si="5314"/>
        <v>0</v>
      </c>
      <c r="T1217" s="552">
        <f t="shared" si="5314"/>
        <v>0</v>
      </c>
      <c r="U1217" s="552">
        <f t="shared" si="5314"/>
        <v>0</v>
      </c>
      <c r="V1217" s="552">
        <f t="shared" si="5314"/>
        <v>0</v>
      </c>
      <c r="W1217" s="552">
        <f t="shared" si="5314"/>
        <v>0</v>
      </c>
      <c r="X1217" s="552">
        <f t="shared" si="5314"/>
        <v>0</v>
      </c>
      <c r="Y1217" s="552">
        <f t="shared" si="5314"/>
        <v>0</v>
      </c>
      <c r="Z1217" s="552">
        <f t="shared" si="5314"/>
        <v>0</v>
      </c>
      <c r="AA1217" s="552">
        <f t="shared" si="5314"/>
        <v>0</v>
      </c>
      <c r="AB1217" s="552">
        <f t="shared" si="5314"/>
        <v>0</v>
      </c>
      <c r="AC1217" s="552">
        <f t="shared" si="5314"/>
        <v>0</v>
      </c>
      <c r="AD1217" s="552">
        <f t="shared" si="5314"/>
        <v>0</v>
      </c>
      <c r="AE1217" s="552">
        <f t="shared" si="5314"/>
        <v>0</v>
      </c>
      <c r="AF1217" s="552">
        <f t="shared" si="5314"/>
        <v>0</v>
      </c>
      <c r="AG1217" s="552">
        <f t="shared" si="5314"/>
        <v>0</v>
      </c>
      <c r="AH1217" s="552">
        <f t="shared" si="5314"/>
        <v>0</v>
      </c>
      <c r="AI1217" s="552">
        <f t="shared" si="5314"/>
        <v>0</v>
      </c>
      <c r="AJ1217" s="552">
        <f t="shared" si="5314"/>
        <v>0</v>
      </c>
      <c r="AK1217" s="552">
        <f t="shared" si="5314"/>
        <v>0</v>
      </c>
      <c r="AL1217" s="552">
        <f t="shared" si="5314"/>
        <v>0</v>
      </c>
      <c r="AM1217" s="552">
        <f t="shared" si="5314"/>
        <v>0</v>
      </c>
      <c r="AN1217" s="552">
        <f t="shared" si="5314"/>
        <v>0</v>
      </c>
      <c r="AO1217" s="552">
        <f t="shared" si="5314"/>
        <v>0</v>
      </c>
      <c r="AP1217" s="552">
        <f t="shared" ref="AP1217:BU1217" si="5315">AP265*AP$338</f>
        <v>0</v>
      </c>
      <c r="AQ1217" s="552">
        <f t="shared" si="5315"/>
        <v>0</v>
      </c>
      <c r="AR1217" s="552">
        <f t="shared" si="5315"/>
        <v>0</v>
      </c>
      <c r="AS1217" s="552">
        <f t="shared" si="5315"/>
        <v>0</v>
      </c>
      <c r="AT1217" s="552">
        <f t="shared" si="5315"/>
        <v>0</v>
      </c>
      <c r="AU1217" s="552">
        <f t="shared" si="5315"/>
        <v>0</v>
      </c>
      <c r="AV1217" s="552">
        <f t="shared" si="5315"/>
        <v>0</v>
      </c>
      <c r="AW1217" s="552">
        <f t="shared" si="5315"/>
        <v>0</v>
      </c>
      <c r="AX1217" s="552">
        <f t="shared" si="5315"/>
        <v>0</v>
      </c>
      <c r="AY1217" s="552">
        <f t="shared" si="5315"/>
        <v>0</v>
      </c>
      <c r="AZ1217" s="552">
        <f t="shared" si="5315"/>
        <v>0</v>
      </c>
      <c r="BA1217" s="552">
        <f t="shared" si="5315"/>
        <v>0</v>
      </c>
      <c r="BB1217" s="552">
        <f t="shared" si="5315"/>
        <v>0</v>
      </c>
      <c r="BC1217" s="552">
        <f t="shared" si="5315"/>
        <v>0</v>
      </c>
      <c r="BD1217" s="552">
        <f t="shared" si="5315"/>
        <v>0</v>
      </c>
      <c r="BE1217" s="552">
        <f t="shared" si="5315"/>
        <v>0</v>
      </c>
      <c r="BF1217" s="552">
        <f t="shared" si="5315"/>
        <v>0</v>
      </c>
      <c r="BG1217" s="552">
        <f t="shared" si="5315"/>
        <v>0</v>
      </c>
      <c r="BH1217" s="552">
        <f t="shared" si="5315"/>
        <v>0</v>
      </c>
      <c r="BI1217" s="552">
        <f t="shared" si="5315"/>
        <v>0</v>
      </c>
      <c r="BJ1217" s="552">
        <f t="shared" si="5315"/>
        <v>0</v>
      </c>
      <c r="BK1217" s="552">
        <f t="shared" si="5315"/>
        <v>0</v>
      </c>
      <c r="BL1217" s="552">
        <f t="shared" si="5315"/>
        <v>0</v>
      </c>
      <c r="BM1217" s="552">
        <f t="shared" si="5315"/>
        <v>0</v>
      </c>
      <c r="BN1217" s="552">
        <f t="shared" si="5315"/>
        <v>0</v>
      </c>
      <c r="BO1217" s="552">
        <f t="shared" si="5315"/>
        <v>0</v>
      </c>
      <c r="BP1217" s="552">
        <f t="shared" si="5315"/>
        <v>0</v>
      </c>
      <c r="BQ1217" s="552">
        <f t="shared" si="5315"/>
        <v>0</v>
      </c>
      <c r="BR1217" s="552">
        <f t="shared" si="5315"/>
        <v>0</v>
      </c>
      <c r="BS1217" s="552">
        <f t="shared" si="5315"/>
        <v>0</v>
      </c>
      <c r="BT1217" s="552">
        <f t="shared" si="5315"/>
        <v>0</v>
      </c>
      <c r="BU1217" s="552">
        <f t="shared" si="5315"/>
        <v>0</v>
      </c>
      <c r="BV1217" s="552">
        <f t="shared" ref="BV1217:DA1217" si="5316">BV265*BV$338</f>
        <v>0</v>
      </c>
      <c r="BW1217" s="552">
        <f t="shared" si="5316"/>
        <v>0</v>
      </c>
      <c r="BX1217" s="552">
        <f t="shared" si="5316"/>
        <v>0</v>
      </c>
      <c r="BY1217" s="552">
        <f t="shared" si="5316"/>
        <v>0</v>
      </c>
      <c r="BZ1217" s="552">
        <f t="shared" si="5316"/>
        <v>0</v>
      </c>
      <c r="CA1217" s="552">
        <f t="shared" si="5316"/>
        <v>0</v>
      </c>
      <c r="CB1217" s="552">
        <f t="shared" si="5316"/>
        <v>0</v>
      </c>
      <c r="CC1217" s="552">
        <f t="shared" si="5316"/>
        <v>0</v>
      </c>
      <c r="CD1217" s="552">
        <f t="shared" si="5316"/>
        <v>0</v>
      </c>
      <c r="CE1217" s="552">
        <f t="shared" si="5316"/>
        <v>0</v>
      </c>
      <c r="CF1217" s="552">
        <f t="shared" si="5316"/>
        <v>0</v>
      </c>
      <c r="CG1217" s="552">
        <f t="shared" si="5316"/>
        <v>0</v>
      </c>
      <c r="CH1217" s="552">
        <f t="shared" si="5316"/>
        <v>0</v>
      </c>
      <c r="CI1217" s="552">
        <f t="shared" si="5316"/>
        <v>0</v>
      </c>
      <c r="CJ1217" s="552">
        <f t="shared" si="5316"/>
        <v>0</v>
      </c>
      <c r="CK1217" s="552">
        <f t="shared" si="5316"/>
        <v>0</v>
      </c>
      <c r="CL1217" s="552">
        <f t="shared" si="5316"/>
        <v>0</v>
      </c>
      <c r="CM1217" s="552">
        <f t="shared" si="5316"/>
        <v>0</v>
      </c>
      <c r="CN1217" s="552">
        <f t="shared" si="5316"/>
        <v>0</v>
      </c>
      <c r="CO1217" s="552">
        <f t="shared" si="5316"/>
        <v>0</v>
      </c>
      <c r="CP1217" s="552">
        <f t="shared" si="5316"/>
        <v>0</v>
      </c>
      <c r="CQ1217" s="552">
        <f t="shared" si="5316"/>
        <v>0</v>
      </c>
      <c r="CR1217" s="552">
        <f t="shared" si="5316"/>
        <v>0</v>
      </c>
      <c r="CS1217" s="552">
        <f t="shared" si="5316"/>
        <v>0</v>
      </c>
      <c r="CT1217" s="552">
        <f t="shared" si="5316"/>
        <v>0</v>
      </c>
      <c r="CU1217" s="552">
        <f t="shared" si="5316"/>
        <v>0</v>
      </c>
      <c r="CV1217" s="552">
        <f t="shared" si="5316"/>
        <v>0</v>
      </c>
      <c r="CW1217" s="552">
        <f t="shared" si="5316"/>
        <v>0</v>
      </c>
      <c r="CX1217" s="552">
        <f t="shared" si="5316"/>
        <v>0</v>
      </c>
      <c r="CY1217" s="552">
        <f t="shared" si="5316"/>
        <v>0</v>
      </c>
      <c r="CZ1217" s="552">
        <f t="shared" si="5316"/>
        <v>0</v>
      </c>
      <c r="DA1217" s="552">
        <f t="shared" si="5316"/>
        <v>0</v>
      </c>
      <c r="DB1217" s="552">
        <f t="shared" ref="DB1217:EG1217" si="5317">DB265*DB$338</f>
        <v>0</v>
      </c>
      <c r="DC1217" s="552">
        <f t="shared" si="5317"/>
        <v>0</v>
      </c>
      <c r="DD1217" s="552">
        <f t="shared" si="5317"/>
        <v>0</v>
      </c>
      <c r="DE1217" s="552">
        <f t="shared" si="5317"/>
        <v>0</v>
      </c>
      <c r="DF1217" s="552">
        <f t="shared" si="5317"/>
        <v>0</v>
      </c>
      <c r="DG1217" s="552">
        <f t="shared" si="5317"/>
        <v>0</v>
      </c>
      <c r="DH1217" s="552">
        <f t="shared" si="5317"/>
        <v>0</v>
      </c>
      <c r="DI1217" s="552">
        <f t="shared" si="5317"/>
        <v>0</v>
      </c>
      <c r="DJ1217" s="552">
        <f t="shared" si="5317"/>
        <v>0</v>
      </c>
      <c r="DK1217" s="552">
        <f t="shared" si="5317"/>
        <v>0</v>
      </c>
      <c r="DL1217" s="552">
        <f t="shared" si="5317"/>
        <v>0</v>
      </c>
      <c r="DM1217" s="552">
        <f t="shared" si="5317"/>
        <v>0</v>
      </c>
      <c r="DN1217" s="552">
        <f t="shared" si="5317"/>
        <v>0</v>
      </c>
      <c r="DO1217" s="552">
        <f t="shared" si="5317"/>
        <v>0</v>
      </c>
      <c r="DP1217" s="552">
        <f t="shared" si="5317"/>
        <v>0</v>
      </c>
      <c r="DQ1217" s="552">
        <f t="shared" si="5317"/>
        <v>0</v>
      </c>
      <c r="DR1217" s="552">
        <f t="shared" si="5317"/>
        <v>0</v>
      </c>
      <c r="DS1217" s="552">
        <f t="shared" si="5317"/>
        <v>0</v>
      </c>
      <c r="DT1217" s="552">
        <f t="shared" si="5317"/>
        <v>0</v>
      </c>
      <c r="DU1217" s="552">
        <f t="shared" si="5317"/>
        <v>0</v>
      </c>
      <c r="DV1217" s="552">
        <f t="shared" si="5317"/>
        <v>0</v>
      </c>
      <c r="DW1217" s="552">
        <f t="shared" si="5317"/>
        <v>0</v>
      </c>
      <c r="DX1217" s="552">
        <f t="shared" si="5317"/>
        <v>0</v>
      </c>
      <c r="DY1217" s="552">
        <f t="shared" si="5317"/>
        <v>0</v>
      </c>
      <c r="DZ1217" s="552">
        <f t="shared" si="5317"/>
        <v>0</v>
      </c>
      <c r="EA1217" s="552">
        <f t="shared" si="5317"/>
        <v>0</v>
      </c>
      <c r="EB1217" s="552">
        <f t="shared" si="5317"/>
        <v>0</v>
      </c>
      <c r="EC1217" s="552">
        <f t="shared" si="5317"/>
        <v>0</v>
      </c>
      <c r="ED1217" s="552">
        <f t="shared" si="5317"/>
        <v>0</v>
      </c>
      <c r="EE1217" s="552">
        <f t="shared" si="5317"/>
        <v>0</v>
      </c>
      <c r="EF1217" s="552">
        <f t="shared" si="5317"/>
        <v>0</v>
      </c>
      <c r="EG1217" s="552">
        <f t="shared" si="5317"/>
        <v>0</v>
      </c>
      <c r="EH1217" s="552">
        <f t="shared" ref="EH1217:EX1217" si="5318">EH265*EH$338</f>
        <v>0</v>
      </c>
      <c r="EI1217" s="552">
        <f t="shared" si="5318"/>
        <v>0</v>
      </c>
      <c r="EJ1217" s="552">
        <f t="shared" si="5318"/>
        <v>0</v>
      </c>
      <c r="EK1217" s="552">
        <f t="shared" si="5318"/>
        <v>0</v>
      </c>
      <c r="EL1217" s="552">
        <f t="shared" si="5318"/>
        <v>0</v>
      </c>
      <c r="EM1217" s="552">
        <f t="shared" si="5318"/>
        <v>0</v>
      </c>
      <c r="EN1217" s="552">
        <f t="shared" si="5318"/>
        <v>0</v>
      </c>
      <c r="EO1217" s="552">
        <f t="shared" si="5318"/>
        <v>0</v>
      </c>
      <c r="EP1217" s="552">
        <f t="shared" si="5318"/>
        <v>0</v>
      </c>
      <c r="EQ1217" s="552">
        <f t="shared" si="5318"/>
        <v>0</v>
      </c>
      <c r="ER1217" s="552">
        <f t="shared" si="5318"/>
        <v>0</v>
      </c>
      <c r="ES1217" s="552">
        <f t="shared" si="5318"/>
        <v>0</v>
      </c>
      <c r="ET1217" s="552">
        <f t="shared" si="5318"/>
        <v>0</v>
      </c>
      <c r="EU1217" s="552">
        <f t="shared" si="5318"/>
        <v>0</v>
      </c>
      <c r="EV1217" s="552">
        <f t="shared" si="5318"/>
        <v>0</v>
      </c>
      <c r="EW1217" s="552">
        <f t="shared" si="5318"/>
        <v>0</v>
      </c>
      <c r="EX1217" s="552">
        <f t="shared" si="5318"/>
        <v>0</v>
      </c>
      <c r="EY1217" s="799">
        <f t="shared" si="4577"/>
        <v>0</v>
      </c>
      <c r="EZ1217" s="640"/>
      <c r="FA1217" s="640"/>
      <c r="FB1217" s="640"/>
      <c r="FC1217" s="640"/>
      <c r="FD1217" s="640"/>
      <c r="FE1217" s="640"/>
      <c r="FF1217" s="640"/>
      <c r="FG1217" s="640"/>
      <c r="FH1217" s="640"/>
      <c r="FI1217" s="640"/>
      <c r="FJ1217" s="640"/>
      <c r="FK1217" s="640"/>
      <c r="FL1217" s="640"/>
    </row>
    <row r="1218" spans="1:168" x14ac:dyDescent="0.25">
      <c r="A1218" s="254"/>
      <c r="B1218" s="625" t="s">
        <v>111</v>
      </c>
      <c r="C1218" s="1135"/>
      <c r="D1218" s="1138">
        <f>SUM(D1209:D1217)</f>
        <v>0</v>
      </c>
      <c r="E1218" s="1138">
        <f t="shared" ref="E1218:J1218" si="5319">SUM(E1209:E1217)</f>
        <v>0</v>
      </c>
      <c r="F1218" s="1138"/>
      <c r="G1218" s="1138">
        <f t="shared" si="5319"/>
        <v>0</v>
      </c>
      <c r="H1218" s="1138">
        <f t="shared" si="5319"/>
        <v>0</v>
      </c>
      <c r="I1218" s="554"/>
      <c r="J1218" s="1138">
        <f t="shared" si="5319"/>
        <v>0</v>
      </c>
      <c r="K1218" s="1138">
        <f t="shared" ref="K1218" si="5320">SUM(K1209:K1217)</f>
        <v>0</v>
      </c>
      <c r="L1218" s="1138">
        <f t="shared" ref="L1218" si="5321">SUM(L1209:L1217)</f>
        <v>0</v>
      </c>
      <c r="M1218" s="1138">
        <f t="shared" ref="M1218" si="5322">SUM(M1209:M1217)</f>
        <v>0</v>
      </c>
      <c r="N1218" s="1138">
        <f t="shared" ref="N1218" si="5323">SUM(N1209:N1217)</f>
        <v>0</v>
      </c>
      <c r="O1218" s="1138">
        <f t="shared" ref="O1218" si="5324">SUM(O1209:O1217)</f>
        <v>0</v>
      </c>
      <c r="P1218" s="1138">
        <f t="shared" ref="P1218" si="5325">SUM(P1209:P1217)</f>
        <v>0</v>
      </c>
      <c r="Q1218" s="1138">
        <f t="shared" ref="Q1218" si="5326">SUM(Q1209:Q1217)</f>
        <v>0</v>
      </c>
      <c r="R1218" s="1138">
        <f t="shared" ref="R1218" si="5327">SUM(R1209:R1217)</f>
        <v>0</v>
      </c>
      <c r="S1218" s="1138">
        <f t="shared" ref="S1218" si="5328">SUM(S1209:S1217)</f>
        <v>0</v>
      </c>
      <c r="T1218" s="1138">
        <f t="shared" ref="T1218" si="5329">SUM(T1209:T1217)</f>
        <v>0</v>
      </c>
      <c r="U1218" s="1138">
        <f t="shared" ref="U1218" si="5330">SUM(U1209:U1217)</f>
        <v>0</v>
      </c>
      <c r="V1218" s="1138">
        <f t="shared" ref="V1218" si="5331">SUM(V1209:V1217)</f>
        <v>0</v>
      </c>
      <c r="W1218" s="1138">
        <f t="shared" ref="W1218" si="5332">SUM(W1209:W1217)</f>
        <v>0</v>
      </c>
      <c r="X1218" s="1138">
        <f t="shared" ref="X1218" si="5333">SUM(X1209:X1217)</f>
        <v>0</v>
      </c>
      <c r="Y1218" s="1138">
        <f t="shared" ref="Y1218" si="5334">SUM(Y1209:Y1217)</f>
        <v>0</v>
      </c>
      <c r="Z1218" s="1138">
        <f t="shared" ref="Z1218" si="5335">SUM(Z1209:Z1217)</f>
        <v>0</v>
      </c>
      <c r="AA1218" s="1138">
        <f t="shared" ref="AA1218" si="5336">SUM(AA1209:AA1217)</f>
        <v>0</v>
      </c>
      <c r="AB1218" s="1138">
        <f t="shared" ref="AB1218" si="5337">SUM(AB1209:AB1217)</f>
        <v>0</v>
      </c>
      <c r="AC1218" s="1138">
        <f t="shared" ref="AC1218" si="5338">SUM(AC1209:AC1217)</f>
        <v>0</v>
      </c>
      <c r="AD1218" s="1138">
        <f t="shared" ref="AD1218" si="5339">SUM(AD1209:AD1217)</f>
        <v>0</v>
      </c>
      <c r="AE1218" s="1138">
        <f t="shared" ref="AE1218" si="5340">SUM(AE1209:AE1217)</f>
        <v>0</v>
      </c>
      <c r="AF1218" s="1138">
        <f t="shared" ref="AF1218" si="5341">SUM(AF1209:AF1217)</f>
        <v>0</v>
      </c>
      <c r="AG1218" s="1138">
        <f t="shared" ref="AG1218" si="5342">SUM(AG1209:AG1217)</f>
        <v>0</v>
      </c>
      <c r="AH1218" s="1138">
        <f t="shared" ref="AH1218" si="5343">SUM(AH1209:AH1217)</f>
        <v>0</v>
      </c>
      <c r="AI1218" s="1138">
        <f t="shared" ref="AI1218" si="5344">SUM(AI1209:AI1217)</f>
        <v>0</v>
      </c>
      <c r="AJ1218" s="1138">
        <f t="shared" ref="AJ1218" si="5345">SUM(AJ1209:AJ1217)</f>
        <v>0</v>
      </c>
      <c r="AK1218" s="1138">
        <f t="shared" ref="AK1218" si="5346">SUM(AK1209:AK1217)</f>
        <v>0</v>
      </c>
      <c r="AL1218" s="1138">
        <f t="shared" ref="AL1218" si="5347">SUM(AL1209:AL1217)</f>
        <v>0</v>
      </c>
      <c r="AM1218" s="1138">
        <f t="shared" ref="AM1218" si="5348">SUM(AM1209:AM1217)</f>
        <v>0</v>
      </c>
      <c r="AN1218" s="1138">
        <f t="shared" ref="AN1218" si="5349">SUM(AN1209:AN1217)</f>
        <v>0</v>
      </c>
      <c r="AO1218" s="1138">
        <f t="shared" ref="AO1218" si="5350">SUM(AO1209:AO1217)</f>
        <v>0</v>
      </c>
      <c r="AP1218" s="1138">
        <f t="shared" ref="AP1218" si="5351">SUM(AP1209:AP1217)</f>
        <v>0</v>
      </c>
      <c r="AQ1218" s="1138">
        <f t="shared" ref="AQ1218" si="5352">SUM(AQ1209:AQ1217)</f>
        <v>0</v>
      </c>
      <c r="AR1218" s="1138">
        <f t="shared" ref="AR1218" si="5353">SUM(AR1209:AR1217)</f>
        <v>0</v>
      </c>
      <c r="AS1218" s="1138">
        <f t="shared" ref="AS1218" si="5354">SUM(AS1209:AS1217)</f>
        <v>0</v>
      </c>
      <c r="AT1218" s="1138">
        <f t="shared" ref="AT1218" si="5355">SUM(AT1209:AT1217)</f>
        <v>0</v>
      </c>
      <c r="AU1218" s="1138">
        <f t="shared" ref="AU1218" si="5356">SUM(AU1209:AU1217)</f>
        <v>0</v>
      </c>
      <c r="AV1218" s="1138">
        <f t="shared" ref="AV1218" si="5357">SUM(AV1209:AV1217)</f>
        <v>0</v>
      </c>
      <c r="AW1218" s="1138">
        <f t="shared" ref="AW1218" si="5358">SUM(AW1209:AW1217)</f>
        <v>0</v>
      </c>
      <c r="AX1218" s="1138">
        <f t="shared" ref="AX1218" si="5359">SUM(AX1209:AX1217)</f>
        <v>0</v>
      </c>
      <c r="AY1218" s="1138">
        <f t="shared" ref="AY1218" si="5360">SUM(AY1209:AY1217)</f>
        <v>0</v>
      </c>
      <c r="AZ1218" s="1138">
        <f t="shared" ref="AZ1218" si="5361">SUM(AZ1209:AZ1217)</f>
        <v>0</v>
      </c>
      <c r="BA1218" s="1138">
        <f t="shared" ref="BA1218" si="5362">SUM(BA1209:BA1217)</f>
        <v>0</v>
      </c>
      <c r="BB1218" s="1138">
        <f t="shared" ref="BB1218" si="5363">SUM(BB1209:BB1217)</f>
        <v>0</v>
      </c>
      <c r="BC1218" s="1138">
        <f t="shared" ref="BC1218" si="5364">SUM(BC1209:BC1217)</f>
        <v>0</v>
      </c>
      <c r="BD1218" s="1138">
        <f t="shared" ref="BD1218" si="5365">SUM(BD1209:BD1217)</f>
        <v>0</v>
      </c>
      <c r="BE1218" s="1138">
        <f t="shared" ref="BE1218" si="5366">SUM(BE1209:BE1217)</f>
        <v>0</v>
      </c>
      <c r="BF1218" s="1138">
        <f t="shared" ref="BF1218" si="5367">SUM(BF1209:BF1217)</f>
        <v>0</v>
      </c>
      <c r="BG1218" s="1138">
        <f t="shared" ref="BG1218" si="5368">SUM(BG1209:BG1217)</f>
        <v>0</v>
      </c>
      <c r="BH1218" s="1138">
        <f t="shared" ref="BH1218" si="5369">SUM(BH1209:BH1217)</f>
        <v>0</v>
      </c>
      <c r="BI1218" s="1138">
        <f t="shared" ref="BI1218" si="5370">SUM(BI1209:BI1217)</f>
        <v>0</v>
      </c>
      <c r="BJ1218" s="1138">
        <f t="shared" ref="BJ1218" si="5371">SUM(BJ1209:BJ1217)</f>
        <v>0</v>
      </c>
      <c r="BK1218" s="1138">
        <f t="shared" ref="BK1218" si="5372">SUM(BK1209:BK1217)</f>
        <v>0</v>
      </c>
      <c r="BL1218" s="1138">
        <f t="shared" ref="BL1218" si="5373">SUM(BL1209:BL1217)</f>
        <v>0</v>
      </c>
      <c r="BM1218" s="1138">
        <f t="shared" ref="BM1218" si="5374">SUM(BM1209:BM1217)</f>
        <v>0</v>
      </c>
      <c r="BN1218" s="1138">
        <f t="shared" ref="BN1218" si="5375">SUM(BN1209:BN1217)</f>
        <v>0</v>
      </c>
      <c r="BO1218" s="1138">
        <f t="shared" ref="BO1218" si="5376">SUM(BO1209:BO1217)</f>
        <v>0</v>
      </c>
      <c r="BP1218" s="1138">
        <f t="shared" ref="BP1218" si="5377">SUM(BP1209:BP1217)</f>
        <v>0</v>
      </c>
      <c r="BQ1218" s="1138">
        <f t="shared" ref="BQ1218" si="5378">SUM(BQ1209:BQ1217)</f>
        <v>0</v>
      </c>
      <c r="BR1218" s="1138">
        <f t="shared" ref="BR1218" si="5379">SUM(BR1209:BR1217)</f>
        <v>0</v>
      </c>
      <c r="BS1218" s="1138">
        <f t="shared" ref="BS1218" si="5380">SUM(BS1209:BS1217)</f>
        <v>0</v>
      </c>
      <c r="BT1218" s="1138">
        <f t="shared" ref="BT1218" si="5381">SUM(BT1209:BT1217)</f>
        <v>0</v>
      </c>
      <c r="BU1218" s="1138">
        <f t="shared" ref="BU1218" si="5382">SUM(BU1209:BU1217)</f>
        <v>0</v>
      </c>
      <c r="BV1218" s="1138">
        <f t="shared" ref="BV1218" si="5383">SUM(BV1209:BV1217)</f>
        <v>0</v>
      </c>
      <c r="BW1218" s="1138">
        <f t="shared" ref="BW1218" si="5384">SUM(BW1209:BW1217)</f>
        <v>0</v>
      </c>
      <c r="BX1218" s="1138">
        <f t="shared" ref="BX1218" si="5385">SUM(BX1209:BX1217)</f>
        <v>0</v>
      </c>
      <c r="BY1218" s="1138">
        <f t="shared" ref="BY1218" si="5386">SUM(BY1209:BY1217)</f>
        <v>0</v>
      </c>
      <c r="BZ1218" s="1138">
        <f t="shared" ref="BZ1218" si="5387">SUM(BZ1209:BZ1217)</f>
        <v>0</v>
      </c>
      <c r="CA1218" s="1138">
        <f t="shared" ref="CA1218" si="5388">SUM(CA1209:CA1217)</f>
        <v>0</v>
      </c>
      <c r="CB1218" s="1138">
        <f t="shared" ref="CB1218" si="5389">SUM(CB1209:CB1217)</f>
        <v>0</v>
      </c>
      <c r="CC1218" s="1138">
        <f t="shared" ref="CC1218" si="5390">SUM(CC1209:CC1217)</f>
        <v>0</v>
      </c>
      <c r="CD1218" s="1138">
        <f t="shared" ref="CD1218" si="5391">SUM(CD1209:CD1217)</f>
        <v>0</v>
      </c>
      <c r="CE1218" s="1138">
        <f t="shared" ref="CE1218" si="5392">SUM(CE1209:CE1217)</f>
        <v>0</v>
      </c>
      <c r="CF1218" s="1138">
        <f t="shared" ref="CF1218" si="5393">SUM(CF1209:CF1217)</f>
        <v>0</v>
      </c>
      <c r="CG1218" s="1138">
        <f t="shared" ref="CG1218" si="5394">SUM(CG1209:CG1217)</f>
        <v>0</v>
      </c>
      <c r="CH1218" s="1138">
        <f t="shared" ref="CH1218" si="5395">SUM(CH1209:CH1217)</f>
        <v>0</v>
      </c>
      <c r="CI1218" s="1138">
        <f t="shared" ref="CI1218" si="5396">SUM(CI1209:CI1217)</f>
        <v>0</v>
      </c>
      <c r="CJ1218" s="1138">
        <f t="shared" ref="CJ1218" si="5397">SUM(CJ1209:CJ1217)</f>
        <v>0</v>
      </c>
      <c r="CK1218" s="1138">
        <f t="shared" ref="CK1218" si="5398">SUM(CK1209:CK1217)</f>
        <v>0</v>
      </c>
      <c r="CL1218" s="1138">
        <f t="shared" ref="CL1218" si="5399">SUM(CL1209:CL1217)</f>
        <v>0</v>
      </c>
      <c r="CM1218" s="1138">
        <f t="shared" ref="CM1218" si="5400">SUM(CM1209:CM1217)</f>
        <v>0</v>
      </c>
      <c r="CN1218" s="1138">
        <f t="shared" ref="CN1218" si="5401">SUM(CN1209:CN1217)</f>
        <v>0</v>
      </c>
      <c r="CO1218" s="1138">
        <f t="shared" ref="CO1218" si="5402">SUM(CO1209:CO1217)</f>
        <v>0</v>
      </c>
      <c r="CP1218" s="1138">
        <f t="shared" ref="CP1218" si="5403">SUM(CP1209:CP1217)</f>
        <v>0</v>
      </c>
      <c r="CQ1218" s="1138">
        <f t="shared" ref="CQ1218" si="5404">SUM(CQ1209:CQ1217)</f>
        <v>0</v>
      </c>
      <c r="CR1218" s="1138">
        <f t="shared" ref="CR1218" si="5405">SUM(CR1209:CR1217)</f>
        <v>0</v>
      </c>
      <c r="CS1218" s="1138">
        <f t="shared" ref="CS1218" si="5406">SUM(CS1209:CS1217)</f>
        <v>0</v>
      </c>
      <c r="CT1218" s="1138">
        <f t="shared" ref="CT1218" si="5407">SUM(CT1209:CT1217)</f>
        <v>0</v>
      </c>
      <c r="CU1218" s="1138">
        <f t="shared" ref="CU1218" si="5408">SUM(CU1209:CU1217)</f>
        <v>0</v>
      </c>
      <c r="CV1218" s="1138">
        <f t="shared" ref="CV1218" si="5409">SUM(CV1209:CV1217)</f>
        <v>0</v>
      </c>
      <c r="CW1218" s="1138">
        <f t="shared" ref="CW1218" si="5410">SUM(CW1209:CW1217)</f>
        <v>0</v>
      </c>
      <c r="CX1218" s="1138">
        <f t="shared" ref="CX1218" si="5411">SUM(CX1209:CX1217)</f>
        <v>0</v>
      </c>
      <c r="CY1218" s="1138">
        <f t="shared" ref="CY1218" si="5412">SUM(CY1209:CY1217)</f>
        <v>0</v>
      </c>
      <c r="CZ1218" s="1138">
        <f t="shared" ref="CZ1218" si="5413">SUM(CZ1209:CZ1217)</f>
        <v>0</v>
      </c>
      <c r="DA1218" s="1138">
        <f t="shared" ref="DA1218" si="5414">SUM(DA1209:DA1217)</f>
        <v>0</v>
      </c>
      <c r="DB1218" s="1138">
        <f t="shared" ref="DB1218" si="5415">SUM(DB1209:DB1217)</f>
        <v>0</v>
      </c>
      <c r="DC1218" s="1138">
        <f t="shared" ref="DC1218" si="5416">SUM(DC1209:DC1217)</f>
        <v>0</v>
      </c>
      <c r="DD1218" s="1138">
        <f t="shared" ref="DD1218" si="5417">SUM(DD1209:DD1217)</f>
        <v>0</v>
      </c>
      <c r="DE1218" s="1138">
        <f t="shared" ref="DE1218" si="5418">SUM(DE1209:DE1217)</f>
        <v>0</v>
      </c>
      <c r="DF1218" s="1138">
        <f t="shared" ref="DF1218" si="5419">SUM(DF1209:DF1217)</f>
        <v>0</v>
      </c>
      <c r="DG1218" s="1138">
        <f t="shared" ref="DG1218" si="5420">SUM(DG1209:DG1217)</f>
        <v>0</v>
      </c>
      <c r="DH1218" s="1138">
        <f t="shared" ref="DH1218" si="5421">SUM(DH1209:DH1217)</f>
        <v>0</v>
      </c>
      <c r="DI1218" s="1138">
        <f t="shared" ref="DI1218" si="5422">SUM(DI1209:DI1217)</f>
        <v>0</v>
      </c>
      <c r="DJ1218" s="1138">
        <f t="shared" ref="DJ1218" si="5423">SUM(DJ1209:DJ1217)</f>
        <v>0</v>
      </c>
      <c r="DK1218" s="1138">
        <f t="shared" ref="DK1218" si="5424">SUM(DK1209:DK1217)</f>
        <v>0</v>
      </c>
      <c r="DL1218" s="1138">
        <f t="shared" ref="DL1218" si="5425">SUM(DL1209:DL1217)</f>
        <v>0</v>
      </c>
      <c r="DM1218" s="1138">
        <f t="shared" ref="DM1218" si="5426">SUM(DM1209:DM1217)</f>
        <v>0</v>
      </c>
      <c r="DN1218" s="1138">
        <f t="shared" ref="DN1218" si="5427">SUM(DN1209:DN1217)</f>
        <v>0</v>
      </c>
      <c r="DO1218" s="1138">
        <f t="shared" ref="DO1218" si="5428">SUM(DO1209:DO1217)</f>
        <v>0</v>
      </c>
      <c r="DP1218" s="1138">
        <f t="shared" ref="DP1218" si="5429">SUM(DP1209:DP1217)</f>
        <v>0</v>
      </c>
      <c r="DQ1218" s="1138">
        <f t="shared" ref="DQ1218" si="5430">SUM(DQ1209:DQ1217)</f>
        <v>0</v>
      </c>
      <c r="DR1218" s="1138">
        <f t="shared" ref="DR1218" si="5431">SUM(DR1209:DR1217)</f>
        <v>0</v>
      </c>
      <c r="DS1218" s="1138">
        <f t="shared" ref="DS1218" si="5432">SUM(DS1209:DS1217)</f>
        <v>0</v>
      </c>
      <c r="DT1218" s="1138">
        <f t="shared" ref="DT1218" si="5433">SUM(DT1209:DT1217)</f>
        <v>0</v>
      </c>
      <c r="DU1218" s="1138">
        <f t="shared" ref="DU1218" si="5434">SUM(DU1209:DU1217)</f>
        <v>0</v>
      </c>
      <c r="DV1218" s="1138">
        <f t="shared" ref="DV1218" si="5435">SUM(DV1209:DV1217)</f>
        <v>0</v>
      </c>
      <c r="DW1218" s="1138">
        <f t="shared" ref="DW1218" si="5436">SUM(DW1209:DW1217)</f>
        <v>0</v>
      </c>
      <c r="DX1218" s="1138">
        <f t="shared" ref="DX1218" si="5437">SUM(DX1209:DX1217)</f>
        <v>0</v>
      </c>
      <c r="DY1218" s="1138">
        <f t="shared" ref="DY1218" si="5438">SUM(DY1209:DY1217)</f>
        <v>0</v>
      </c>
      <c r="DZ1218" s="1138">
        <f t="shared" ref="DZ1218" si="5439">SUM(DZ1209:DZ1217)</f>
        <v>0</v>
      </c>
      <c r="EA1218" s="1138">
        <f t="shared" ref="EA1218" si="5440">SUM(EA1209:EA1217)</f>
        <v>0</v>
      </c>
      <c r="EB1218" s="1138">
        <f t="shared" ref="EB1218" si="5441">SUM(EB1209:EB1217)</f>
        <v>0</v>
      </c>
      <c r="EC1218" s="1138">
        <f t="shared" ref="EC1218" si="5442">SUM(EC1209:EC1217)</f>
        <v>0</v>
      </c>
      <c r="ED1218" s="1138">
        <f t="shared" ref="ED1218" si="5443">SUM(ED1209:ED1217)</f>
        <v>0</v>
      </c>
      <c r="EE1218" s="1138">
        <f t="shared" ref="EE1218" si="5444">SUM(EE1209:EE1217)</f>
        <v>0</v>
      </c>
      <c r="EF1218" s="1138">
        <f t="shared" ref="EF1218" si="5445">SUM(EF1209:EF1217)</f>
        <v>0</v>
      </c>
      <c r="EG1218" s="1138">
        <f t="shared" ref="EG1218" si="5446">SUM(EG1209:EG1217)</f>
        <v>0</v>
      </c>
      <c r="EH1218" s="1138">
        <f t="shared" ref="EH1218" si="5447">SUM(EH1209:EH1217)</f>
        <v>0</v>
      </c>
      <c r="EI1218" s="1138">
        <f t="shared" ref="EI1218" si="5448">SUM(EI1209:EI1217)</f>
        <v>0</v>
      </c>
      <c r="EJ1218" s="1138">
        <f t="shared" ref="EJ1218" si="5449">SUM(EJ1209:EJ1217)</f>
        <v>0</v>
      </c>
      <c r="EK1218" s="1138">
        <f t="shared" ref="EK1218" si="5450">SUM(EK1209:EK1217)</f>
        <v>0</v>
      </c>
      <c r="EL1218" s="1138">
        <f t="shared" ref="EL1218" si="5451">SUM(EL1209:EL1217)</f>
        <v>0</v>
      </c>
      <c r="EM1218" s="1138">
        <f t="shared" ref="EM1218" si="5452">SUM(EM1209:EM1217)</f>
        <v>0</v>
      </c>
      <c r="EN1218" s="1138">
        <f t="shared" ref="EN1218" si="5453">SUM(EN1209:EN1217)</f>
        <v>0</v>
      </c>
      <c r="EO1218" s="1138">
        <f t="shared" ref="EO1218" si="5454">SUM(EO1209:EO1217)</f>
        <v>0</v>
      </c>
      <c r="EP1218" s="1138">
        <f t="shared" ref="EP1218" si="5455">SUM(EP1209:EP1217)</f>
        <v>0</v>
      </c>
      <c r="EQ1218" s="1138">
        <f t="shared" ref="EQ1218" si="5456">SUM(EQ1209:EQ1217)</f>
        <v>0</v>
      </c>
      <c r="ER1218" s="1138">
        <f t="shared" ref="ER1218" si="5457">SUM(ER1209:ER1217)</f>
        <v>0</v>
      </c>
      <c r="ES1218" s="1138">
        <f t="shared" ref="ES1218" si="5458">SUM(ES1209:ES1217)</f>
        <v>0</v>
      </c>
      <c r="ET1218" s="1138">
        <f t="shared" ref="ET1218" si="5459">SUM(ET1209:ET1217)</f>
        <v>0</v>
      </c>
      <c r="EU1218" s="1138">
        <f t="shared" ref="EU1218" si="5460">SUM(EU1209:EU1217)</f>
        <v>0</v>
      </c>
      <c r="EV1218" s="1138">
        <f t="shared" ref="EV1218" si="5461">SUM(EV1209:EV1217)</f>
        <v>0</v>
      </c>
      <c r="EW1218" s="1138">
        <f t="shared" ref="EW1218" si="5462">SUM(EW1209:EW1217)</f>
        <v>0</v>
      </c>
      <c r="EX1218" s="1138">
        <f t="shared" ref="EX1218:FL1218" si="5463">SUM(EX1209:EX1217)</f>
        <v>0</v>
      </c>
      <c r="EY1218" s="1138">
        <f t="shared" si="5463"/>
        <v>0</v>
      </c>
      <c r="EZ1218" s="1138">
        <f t="shared" si="5463"/>
        <v>0</v>
      </c>
      <c r="FA1218" s="1138">
        <f t="shared" si="5463"/>
        <v>0</v>
      </c>
      <c r="FB1218" s="1138">
        <f t="shared" si="5463"/>
        <v>0</v>
      </c>
      <c r="FC1218" s="1138">
        <f t="shared" si="5463"/>
        <v>0</v>
      </c>
      <c r="FD1218" s="1138">
        <f t="shared" si="5463"/>
        <v>0</v>
      </c>
      <c r="FE1218" s="1138">
        <f t="shared" si="5463"/>
        <v>0</v>
      </c>
      <c r="FF1218" s="1138">
        <f t="shared" si="5463"/>
        <v>0</v>
      </c>
      <c r="FG1218" s="1138">
        <f t="shared" si="5463"/>
        <v>0</v>
      </c>
      <c r="FH1218" s="1138">
        <f t="shared" si="5463"/>
        <v>0</v>
      </c>
      <c r="FI1218" s="1138">
        <f t="shared" si="5463"/>
        <v>0</v>
      </c>
      <c r="FJ1218" s="1138">
        <f t="shared" si="5463"/>
        <v>0</v>
      </c>
      <c r="FK1218" s="1138">
        <f t="shared" si="5463"/>
        <v>0</v>
      </c>
      <c r="FL1218" s="1138">
        <f t="shared" si="5463"/>
        <v>0</v>
      </c>
    </row>
    <row r="1219" spans="1:168" x14ac:dyDescent="0.25">
      <c r="A1219" s="1491" t="s">
        <v>112</v>
      </c>
      <c r="B1219" s="624">
        <f t="shared" ref="B1219:D1227" si="5464">B267</f>
        <v>0</v>
      </c>
      <c r="C1219" s="624">
        <f t="shared" si="5464"/>
        <v>0</v>
      </c>
      <c r="D1219" s="624">
        <f t="shared" si="5464"/>
        <v>0</v>
      </c>
      <c r="E1219" s="1158">
        <f t="shared" ref="E1219:E1227" si="5465">EY1219</f>
        <v>0</v>
      </c>
      <c r="F1219" s="1158"/>
      <c r="G1219" s="1140"/>
      <c r="H1219" s="1140"/>
      <c r="I1219" s="552"/>
      <c r="J1219" s="552">
        <f t="shared" ref="J1219:AO1219" si="5466">J267*J$338</f>
        <v>0</v>
      </c>
      <c r="K1219" s="552">
        <f t="shared" si="5466"/>
        <v>0</v>
      </c>
      <c r="L1219" s="552">
        <f t="shared" si="5466"/>
        <v>0</v>
      </c>
      <c r="M1219" s="552">
        <f t="shared" si="5466"/>
        <v>0</v>
      </c>
      <c r="N1219" s="552">
        <f t="shared" si="5466"/>
        <v>0</v>
      </c>
      <c r="O1219" s="552">
        <f t="shared" si="5466"/>
        <v>0</v>
      </c>
      <c r="P1219" s="552">
        <f t="shared" si="5466"/>
        <v>0</v>
      </c>
      <c r="Q1219" s="552">
        <f t="shared" si="5466"/>
        <v>0</v>
      </c>
      <c r="R1219" s="552">
        <f t="shared" si="5466"/>
        <v>0</v>
      </c>
      <c r="S1219" s="552">
        <f t="shared" si="5466"/>
        <v>0</v>
      </c>
      <c r="T1219" s="552">
        <f t="shared" si="5466"/>
        <v>0</v>
      </c>
      <c r="U1219" s="552">
        <f t="shared" si="5466"/>
        <v>0</v>
      </c>
      <c r="V1219" s="552">
        <f t="shared" si="5466"/>
        <v>0</v>
      </c>
      <c r="W1219" s="552">
        <f t="shared" si="5466"/>
        <v>0</v>
      </c>
      <c r="X1219" s="552">
        <f t="shared" si="5466"/>
        <v>0</v>
      </c>
      <c r="Y1219" s="552">
        <f t="shared" si="5466"/>
        <v>0</v>
      </c>
      <c r="Z1219" s="552">
        <f t="shared" si="5466"/>
        <v>0</v>
      </c>
      <c r="AA1219" s="552">
        <f t="shared" si="5466"/>
        <v>0</v>
      </c>
      <c r="AB1219" s="552">
        <f t="shared" si="5466"/>
        <v>0</v>
      </c>
      <c r="AC1219" s="552">
        <f t="shared" si="5466"/>
        <v>0</v>
      </c>
      <c r="AD1219" s="552">
        <f t="shared" si="5466"/>
        <v>0</v>
      </c>
      <c r="AE1219" s="552">
        <f t="shared" si="5466"/>
        <v>0</v>
      </c>
      <c r="AF1219" s="552">
        <f t="shared" si="5466"/>
        <v>0</v>
      </c>
      <c r="AG1219" s="552">
        <f t="shared" si="5466"/>
        <v>0</v>
      </c>
      <c r="AH1219" s="552">
        <f t="shared" si="5466"/>
        <v>0</v>
      </c>
      <c r="AI1219" s="552">
        <f t="shared" si="5466"/>
        <v>0</v>
      </c>
      <c r="AJ1219" s="552">
        <f t="shared" si="5466"/>
        <v>0</v>
      </c>
      <c r="AK1219" s="552">
        <f t="shared" si="5466"/>
        <v>0</v>
      </c>
      <c r="AL1219" s="552">
        <f t="shared" si="5466"/>
        <v>0</v>
      </c>
      <c r="AM1219" s="552">
        <f t="shared" si="5466"/>
        <v>0</v>
      </c>
      <c r="AN1219" s="552">
        <f t="shared" si="5466"/>
        <v>0</v>
      </c>
      <c r="AO1219" s="552">
        <f t="shared" si="5466"/>
        <v>0</v>
      </c>
      <c r="AP1219" s="552">
        <f t="shared" ref="AP1219:BU1219" si="5467">AP267*AP$338</f>
        <v>0</v>
      </c>
      <c r="AQ1219" s="552">
        <f t="shared" si="5467"/>
        <v>0</v>
      </c>
      <c r="AR1219" s="552">
        <f t="shared" si="5467"/>
        <v>0</v>
      </c>
      <c r="AS1219" s="552">
        <f t="shared" si="5467"/>
        <v>0</v>
      </c>
      <c r="AT1219" s="552">
        <f t="shared" si="5467"/>
        <v>0</v>
      </c>
      <c r="AU1219" s="552">
        <f t="shared" si="5467"/>
        <v>0</v>
      </c>
      <c r="AV1219" s="552">
        <f t="shared" si="5467"/>
        <v>0</v>
      </c>
      <c r="AW1219" s="552">
        <f t="shared" si="5467"/>
        <v>0</v>
      </c>
      <c r="AX1219" s="552">
        <f t="shared" si="5467"/>
        <v>0</v>
      </c>
      <c r="AY1219" s="552">
        <f t="shared" si="5467"/>
        <v>0</v>
      </c>
      <c r="AZ1219" s="552">
        <f t="shared" si="5467"/>
        <v>0</v>
      </c>
      <c r="BA1219" s="552">
        <f t="shared" si="5467"/>
        <v>0</v>
      </c>
      <c r="BB1219" s="552">
        <f t="shared" si="5467"/>
        <v>0</v>
      </c>
      <c r="BC1219" s="552">
        <f t="shared" si="5467"/>
        <v>0</v>
      </c>
      <c r="BD1219" s="552">
        <f t="shared" si="5467"/>
        <v>0</v>
      </c>
      <c r="BE1219" s="552">
        <f t="shared" si="5467"/>
        <v>0</v>
      </c>
      <c r="BF1219" s="552">
        <f t="shared" si="5467"/>
        <v>0</v>
      </c>
      <c r="BG1219" s="552">
        <f t="shared" si="5467"/>
        <v>0</v>
      </c>
      <c r="BH1219" s="552">
        <f t="shared" si="5467"/>
        <v>0</v>
      </c>
      <c r="BI1219" s="552">
        <f t="shared" si="5467"/>
        <v>0</v>
      </c>
      <c r="BJ1219" s="552">
        <f t="shared" si="5467"/>
        <v>0</v>
      </c>
      <c r="BK1219" s="552">
        <f t="shared" si="5467"/>
        <v>0</v>
      </c>
      <c r="BL1219" s="552">
        <f t="shared" si="5467"/>
        <v>0</v>
      </c>
      <c r="BM1219" s="552">
        <f t="shared" si="5467"/>
        <v>0</v>
      </c>
      <c r="BN1219" s="552">
        <f t="shared" si="5467"/>
        <v>0</v>
      </c>
      <c r="BO1219" s="552">
        <f t="shared" si="5467"/>
        <v>0</v>
      </c>
      <c r="BP1219" s="552">
        <f t="shared" si="5467"/>
        <v>0</v>
      </c>
      <c r="BQ1219" s="552">
        <f t="shared" si="5467"/>
        <v>0</v>
      </c>
      <c r="BR1219" s="552">
        <f t="shared" si="5467"/>
        <v>0</v>
      </c>
      <c r="BS1219" s="552">
        <f t="shared" si="5467"/>
        <v>0</v>
      </c>
      <c r="BT1219" s="552">
        <f t="shared" si="5467"/>
        <v>0</v>
      </c>
      <c r="BU1219" s="552">
        <f t="shared" si="5467"/>
        <v>0</v>
      </c>
      <c r="BV1219" s="552">
        <f t="shared" ref="BV1219:DA1219" si="5468">BV267*BV$338</f>
        <v>0</v>
      </c>
      <c r="BW1219" s="552">
        <f t="shared" si="5468"/>
        <v>0</v>
      </c>
      <c r="BX1219" s="552">
        <f t="shared" si="5468"/>
        <v>0</v>
      </c>
      <c r="BY1219" s="552">
        <f t="shared" si="5468"/>
        <v>0</v>
      </c>
      <c r="BZ1219" s="552">
        <f t="shared" si="5468"/>
        <v>0</v>
      </c>
      <c r="CA1219" s="552">
        <f t="shared" si="5468"/>
        <v>0</v>
      </c>
      <c r="CB1219" s="552">
        <f t="shared" si="5468"/>
        <v>0</v>
      </c>
      <c r="CC1219" s="552">
        <f t="shared" si="5468"/>
        <v>0</v>
      </c>
      <c r="CD1219" s="552">
        <f t="shared" si="5468"/>
        <v>0</v>
      </c>
      <c r="CE1219" s="552">
        <f t="shared" si="5468"/>
        <v>0</v>
      </c>
      <c r="CF1219" s="552">
        <f t="shared" si="5468"/>
        <v>0</v>
      </c>
      <c r="CG1219" s="552">
        <f t="shared" si="5468"/>
        <v>0</v>
      </c>
      <c r="CH1219" s="552">
        <f t="shared" si="5468"/>
        <v>0</v>
      </c>
      <c r="CI1219" s="552">
        <f t="shared" si="5468"/>
        <v>0</v>
      </c>
      <c r="CJ1219" s="552">
        <f t="shared" si="5468"/>
        <v>0</v>
      </c>
      <c r="CK1219" s="552">
        <f t="shared" si="5468"/>
        <v>0</v>
      </c>
      <c r="CL1219" s="552">
        <f t="shared" si="5468"/>
        <v>0</v>
      </c>
      <c r="CM1219" s="552">
        <f t="shared" si="5468"/>
        <v>0</v>
      </c>
      <c r="CN1219" s="552">
        <f t="shared" si="5468"/>
        <v>0</v>
      </c>
      <c r="CO1219" s="552">
        <f t="shared" si="5468"/>
        <v>0</v>
      </c>
      <c r="CP1219" s="552">
        <f t="shared" si="5468"/>
        <v>0</v>
      </c>
      <c r="CQ1219" s="552">
        <f t="shared" si="5468"/>
        <v>0</v>
      </c>
      <c r="CR1219" s="552">
        <f t="shared" si="5468"/>
        <v>0</v>
      </c>
      <c r="CS1219" s="552">
        <f t="shared" si="5468"/>
        <v>0</v>
      </c>
      <c r="CT1219" s="552">
        <f t="shared" si="5468"/>
        <v>0</v>
      </c>
      <c r="CU1219" s="552">
        <f t="shared" si="5468"/>
        <v>0</v>
      </c>
      <c r="CV1219" s="552">
        <f t="shared" si="5468"/>
        <v>0</v>
      </c>
      <c r="CW1219" s="552">
        <f t="shared" si="5468"/>
        <v>0</v>
      </c>
      <c r="CX1219" s="552">
        <f t="shared" si="5468"/>
        <v>0</v>
      </c>
      <c r="CY1219" s="552">
        <f t="shared" si="5468"/>
        <v>0</v>
      </c>
      <c r="CZ1219" s="552">
        <f t="shared" si="5468"/>
        <v>0</v>
      </c>
      <c r="DA1219" s="552">
        <f t="shared" si="5468"/>
        <v>0</v>
      </c>
      <c r="DB1219" s="552">
        <f t="shared" ref="DB1219:EG1219" si="5469">DB267*DB$338</f>
        <v>0</v>
      </c>
      <c r="DC1219" s="552">
        <f t="shared" si="5469"/>
        <v>0</v>
      </c>
      <c r="DD1219" s="552">
        <f t="shared" si="5469"/>
        <v>0</v>
      </c>
      <c r="DE1219" s="552">
        <f t="shared" si="5469"/>
        <v>0</v>
      </c>
      <c r="DF1219" s="552">
        <f t="shared" si="5469"/>
        <v>0</v>
      </c>
      <c r="DG1219" s="552">
        <f t="shared" si="5469"/>
        <v>0</v>
      </c>
      <c r="DH1219" s="552">
        <f t="shared" si="5469"/>
        <v>0</v>
      </c>
      <c r="DI1219" s="552">
        <f t="shared" si="5469"/>
        <v>0</v>
      </c>
      <c r="DJ1219" s="552">
        <f t="shared" si="5469"/>
        <v>0</v>
      </c>
      <c r="DK1219" s="552">
        <f t="shared" si="5469"/>
        <v>0</v>
      </c>
      <c r="DL1219" s="552">
        <f t="shared" si="5469"/>
        <v>0</v>
      </c>
      <c r="DM1219" s="552">
        <f t="shared" si="5469"/>
        <v>0</v>
      </c>
      <c r="DN1219" s="552">
        <f t="shared" si="5469"/>
        <v>0</v>
      </c>
      <c r="DO1219" s="552">
        <f t="shared" si="5469"/>
        <v>0</v>
      </c>
      <c r="DP1219" s="552">
        <f t="shared" si="5469"/>
        <v>0</v>
      </c>
      <c r="DQ1219" s="552">
        <f t="shared" si="5469"/>
        <v>0</v>
      </c>
      <c r="DR1219" s="552">
        <f t="shared" si="5469"/>
        <v>0</v>
      </c>
      <c r="DS1219" s="552">
        <f t="shared" si="5469"/>
        <v>0</v>
      </c>
      <c r="DT1219" s="552">
        <f t="shared" si="5469"/>
        <v>0</v>
      </c>
      <c r="DU1219" s="552">
        <f t="shared" si="5469"/>
        <v>0</v>
      </c>
      <c r="DV1219" s="552">
        <f t="shared" si="5469"/>
        <v>0</v>
      </c>
      <c r="DW1219" s="552">
        <f t="shared" si="5469"/>
        <v>0</v>
      </c>
      <c r="DX1219" s="552">
        <f t="shared" si="5469"/>
        <v>0</v>
      </c>
      <c r="DY1219" s="552">
        <f t="shared" si="5469"/>
        <v>0</v>
      </c>
      <c r="DZ1219" s="552">
        <f t="shared" si="5469"/>
        <v>0</v>
      </c>
      <c r="EA1219" s="552">
        <f t="shared" si="5469"/>
        <v>0</v>
      </c>
      <c r="EB1219" s="552">
        <f t="shared" si="5469"/>
        <v>0</v>
      </c>
      <c r="EC1219" s="552">
        <f t="shared" si="5469"/>
        <v>0</v>
      </c>
      <c r="ED1219" s="552">
        <f t="shared" si="5469"/>
        <v>0</v>
      </c>
      <c r="EE1219" s="552">
        <f t="shared" si="5469"/>
        <v>0</v>
      </c>
      <c r="EF1219" s="552">
        <f t="shared" si="5469"/>
        <v>0</v>
      </c>
      <c r="EG1219" s="552">
        <f t="shared" si="5469"/>
        <v>0</v>
      </c>
      <c r="EH1219" s="552">
        <f t="shared" ref="EH1219:EX1219" si="5470">EH267*EH$338</f>
        <v>0</v>
      </c>
      <c r="EI1219" s="552">
        <f t="shared" si="5470"/>
        <v>0</v>
      </c>
      <c r="EJ1219" s="552">
        <f t="shared" si="5470"/>
        <v>0</v>
      </c>
      <c r="EK1219" s="552">
        <f t="shared" si="5470"/>
        <v>0</v>
      </c>
      <c r="EL1219" s="552">
        <f t="shared" si="5470"/>
        <v>0</v>
      </c>
      <c r="EM1219" s="552">
        <f t="shared" si="5470"/>
        <v>0</v>
      </c>
      <c r="EN1219" s="552">
        <f t="shared" si="5470"/>
        <v>0</v>
      </c>
      <c r="EO1219" s="552">
        <f t="shared" si="5470"/>
        <v>0</v>
      </c>
      <c r="EP1219" s="552">
        <f t="shared" si="5470"/>
        <v>0</v>
      </c>
      <c r="EQ1219" s="552">
        <f t="shared" si="5470"/>
        <v>0</v>
      </c>
      <c r="ER1219" s="552">
        <f t="shared" si="5470"/>
        <v>0</v>
      </c>
      <c r="ES1219" s="552">
        <f t="shared" si="5470"/>
        <v>0</v>
      </c>
      <c r="ET1219" s="552">
        <f t="shared" si="5470"/>
        <v>0</v>
      </c>
      <c r="EU1219" s="552">
        <f t="shared" si="5470"/>
        <v>0</v>
      </c>
      <c r="EV1219" s="552">
        <f t="shared" si="5470"/>
        <v>0</v>
      </c>
      <c r="EW1219" s="552">
        <f t="shared" si="5470"/>
        <v>0</v>
      </c>
      <c r="EX1219" s="552">
        <f t="shared" si="5470"/>
        <v>0</v>
      </c>
      <c r="EY1219" s="799">
        <f t="shared" si="4577"/>
        <v>0</v>
      </c>
      <c r="EZ1219" s="640"/>
      <c r="FA1219" s="640"/>
      <c r="FB1219" s="640"/>
      <c r="FC1219" s="640"/>
      <c r="FD1219" s="640"/>
      <c r="FE1219" s="640"/>
      <c r="FF1219" s="640"/>
      <c r="FG1219" s="640"/>
      <c r="FH1219" s="640"/>
      <c r="FI1219" s="640"/>
      <c r="FJ1219" s="640"/>
      <c r="FK1219" s="640"/>
      <c r="FL1219" s="640"/>
    </row>
    <row r="1220" spans="1:168" x14ac:dyDescent="0.25">
      <c r="A1220" s="1492"/>
      <c r="B1220" s="624">
        <f t="shared" si="5464"/>
        <v>0</v>
      </c>
      <c r="C1220" s="624">
        <f t="shared" si="5464"/>
        <v>0</v>
      </c>
      <c r="D1220" s="624">
        <f t="shared" si="5464"/>
        <v>0</v>
      </c>
      <c r="E1220" s="1158">
        <f t="shared" si="5465"/>
        <v>0</v>
      </c>
      <c r="F1220" s="1158"/>
      <c r="G1220" s="1140"/>
      <c r="H1220" s="1140"/>
      <c r="I1220" s="552"/>
      <c r="J1220" s="552">
        <f t="shared" ref="J1220:AO1220" si="5471">J268*J$338</f>
        <v>0</v>
      </c>
      <c r="K1220" s="552">
        <f t="shared" si="5471"/>
        <v>0</v>
      </c>
      <c r="L1220" s="552">
        <f t="shared" si="5471"/>
        <v>0</v>
      </c>
      <c r="M1220" s="552">
        <f t="shared" si="5471"/>
        <v>0</v>
      </c>
      <c r="N1220" s="552">
        <f t="shared" si="5471"/>
        <v>0</v>
      </c>
      <c r="O1220" s="552">
        <f t="shared" si="5471"/>
        <v>0</v>
      </c>
      <c r="P1220" s="552">
        <f t="shared" si="5471"/>
        <v>0</v>
      </c>
      <c r="Q1220" s="552">
        <f t="shared" si="5471"/>
        <v>0</v>
      </c>
      <c r="R1220" s="552">
        <f t="shared" si="5471"/>
        <v>0</v>
      </c>
      <c r="S1220" s="552">
        <f t="shared" si="5471"/>
        <v>0</v>
      </c>
      <c r="T1220" s="552">
        <f t="shared" si="5471"/>
        <v>0</v>
      </c>
      <c r="U1220" s="552">
        <f t="shared" si="5471"/>
        <v>0</v>
      </c>
      <c r="V1220" s="552">
        <f t="shared" si="5471"/>
        <v>0</v>
      </c>
      <c r="W1220" s="552">
        <f t="shared" si="5471"/>
        <v>0</v>
      </c>
      <c r="X1220" s="552">
        <f t="shared" si="5471"/>
        <v>0</v>
      </c>
      <c r="Y1220" s="552">
        <f t="shared" si="5471"/>
        <v>0</v>
      </c>
      <c r="Z1220" s="552">
        <f t="shared" si="5471"/>
        <v>0</v>
      </c>
      <c r="AA1220" s="552">
        <f t="shared" si="5471"/>
        <v>0</v>
      </c>
      <c r="AB1220" s="552">
        <f t="shared" si="5471"/>
        <v>0</v>
      </c>
      <c r="AC1220" s="552">
        <f t="shared" si="5471"/>
        <v>0</v>
      </c>
      <c r="AD1220" s="552">
        <f t="shared" si="5471"/>
        <v>0</v>
      </c>
      <c r="AE1220" s="552">
        <f t="shared" si="5471"/>
        <v>0</v>
      </c>
      <c r="AF1220" s="552">
        <f t="shared" si="5471"/>
        <v>0</v>
      </c>
      <c r="AG1220" s="552">
        <f t="shared" si="5471"/>
        <v>0</v>
      </c>
      <c r="AH1220" s="552">
        <f t="shared" si="5471"/>
        <v>0</v>
      </c>
      <c r="AI1220" s="552">
        <f t="shared" si="5471"/>
        <v>0</v>
      </c>
      <c r="AJ1220" s="552">
        <f t="shared" si="5471"/>
        <v>0</v>
      </c>
      <c r="AK1220" s="552">
        <f t="shared" si="5471"/>
        <v>0</v>
      </c>
      <c r="AL1220" s="552">
        <f t="shared" si="5471"/>
        <v>0</v>
      </c>
      <c r="AM1220" s="552">
        <f t="shared" si="5471"/>
        <v>0</v>
      </c>
      <c r="AN1220" s="552">
        <f t="shared" si="5471"/>
        <v>0</v>
      </c>
      <c r="AO1220" s="552">
        <f t="shared" si="5471"/>
        <v>0</v>
      </c>
      <c r="AP1220" s="552">
        <f t="shared" ref="AP1220:BU1220" si="5472">AP268*AP$338</f>
        <v>0</v>
      </c>
      <c r="AQ1220" s="552">
        <f t="shared" si="5472"/>
        <v>0</v>
      </c>
      <c r="AR1220" s="552">
        <f t="shared" si="5472"/>
        <v>0</v>
      </c>
      <c r="AS1220" s="552">
        <f t="shared" si="5472"/>
        <v>0</v>
      </c>
      <c r="AT1220" s="552">
        <f t="shared" si="5472"/>
        <v>0</v>
      </c>
      <c r="AU1220" s="552">
        <f t="shared" si="5472"/>
        <v>0</v>
      </c>
      <c r="AV1220" s="552">
        <f t="shared" si="5472"/>
        <v>0</v>
      </c>
      <c r="AW1220" s="552">
        <f t="shared" si="5472"/>
        <v>0</v>
      </c>
      <c r="AX1220" s="552">
        <f t="shared" si="5472"/>
        <v>0</v>
      </c>
      <c r="AY1220" s="552">
        <f t="shared" si="5472"/>
        <v>0</v>
      </c>
      <c r="AZ1220" s="552">
        <f t="shared" si="5472"/>
        <v>0</v>
      </c>
      <c r="BA1220" s="552">
        <f t="shared" si="5472"/>
        <v>0</v>
      </c>
      <c r="BB1220" s="552">
        <f t="shared" si="5472"/>
        <v>0</v>
      </c>
      <c r="BC1220" s="552">
        <f t="shared" si="5472"/>
        <v>0</v>
      </c>
      <c r="BD1220" s="552">
        <f t="shared" si="5472"/>
        <v>0</v>
      </c>
      <c r="BE1220" s="552">
        <f t="shared" si="5472"/>
        <v>0</v>
      </c>
      <c r="BF1220" s="552">
        <f t="shared" si="5472"/>
        <v>0</v>
      </c>
      <c r="BG1220" s="552">
        <f t="shared" si="5472"/>
        <v>0</v>
      </c>
      <c r="BH1220" s="552">
        <f t="shared" si="5472"/>
        <v>0</v>
      </c>
      <c r="BI1220" s="552">
        <f t="shared" si="5472"/>
        <v>0</v>
      </c>
      <c r="BJ1220" s="552">
        <f t="shared" si="5472"/>
        <v>0</v>
      </c>
      <c r="BK1220" s="552">
        <f t="shared" si="5472"/>
        <v>0</v>
      </c>
      <c r="BL1220" s="552">
        <f t="shared" si="5472"/>
        <v>0</v>
      </c>
      <c r="BM1220" s="552">
        <f t="shared" si="5472"/>
        <v>0</v>
      </c>
      <c r="BN1220" s="552">
        <f t="shared" si="5472"/>
        <v>0</v>
      </c>
      <c r="BO1220" s="552">
        <f t="shared" si="5472"/>
        <v>0</v>
      </c>
      <c r="BP1220" s="552">
        <f t="shared" si="5472"/>
        <v>0</v>
      </c>
      <c r="BQ1220" s="552">
        <f t="shared" si="5472"/>
        <v>0</v>
      </c>
      <c r="BR1220" s="552">
        <f t="shared" si="5472"/>
        <v>0</v>
      </c>
      <c r="BS1220" s="552">
        <f t="shared" si="5472"/>
        <v>0</v>
      </c>
      <c r="BT1220" s="552">
        <f t="shared" si="5472"/>
        <v>0</v>
      </c>
      <c r="BU1220" s="552">
        <f t="shared" si="5472"/>
        <v>0</v>
      </c>
      <c r="BV1220" s="552">
        <f t="shared" ref="BV1220:DA1220" si="5473">BV268*BV$338</f>
        <v>0</v>
      </c>
      <c r="BW1220" s="552">
        <f t="shared" si="5473"/>
        <v>0</v>
      </c>
      <c r="BX1220" s="552">
        <f t="shared" si="5473"/>
        <v>0</v>
      </c>
      <c r="BY1220" s="552">
        <f t="shared" si="5473"/>
        <v>0</v>
      </c>
      <c r="BZ1220" s="552">
        <f t="shared" si="5473"/>
        <v>0</v>
      </c>
      <c r="CA1220" s="552">
        <f t="shared" si="5473"/>
        <v>0</v>
      </c>
      <c r="CB1220" s="552">
        <f t="shared" si="5473"/>
        <v>0</v>
      </c>
      <c r="CC1220" s="552">
        <f t="shared" si="5473"/>
        <v>0</v>
      </c>
      <c r="CD1220" s="552">
        <f t="shared" si="5473"/>
        <v>0</v>
      </c>
      <c r="CE1220" s="552">
        <f t="shared" si="5473"/>
        <v>0</v>
      </c>
      <c r="CF1220" s="552">
        <f t="shared" si="5473"/>
        <v>0</v>
      </c>
      <c r="CG1220" s="552">
        <f t="shared" si="5473"/>
        <v>0</v>
      </c>
      <c r="CH1220" s="552">
        <f t="shared" si="5473"/>
        <v>0</v>
      </c>
      <c r="CI1220" s="552">
        <f t="shared" si="5473"/>
        <v>0</v>
      </c>
      <c r="CJ1220" s="552">
        <f t="shared" si="5473"/>
        <v>0</v>
      </c>
      <c r="CK1220" s="552">
        <f t="shared" si="5473"/>
        <v>0</v>
      </c>
      <c r="CL1220" s="552">
        <f t="shared" si="5473"/>
        <v>0</v>
      </c>
      <c r="CM1220" s="552">
        <f t="shared" si="5473"/>
        <v>0</v>
      </c>
      <c r="CN1220" s="552">
        <f t="shared" si="5473"/>
        <v>0</v>
      </c>
      <c r="CO1220" s="552">
        <f t="shared" si="5473"/>
        <v>0</v>
      </c>
      <c r="CP1220" s="552">
        <f t="shared" si="5473"/>
        <v>0</v>
      </c>
      <c r="CQ1220" s="552">
        <f t="shared" si="5473"/>
        <v>0</v>
      </c>
      <c r="CR1220" s="552">
        <f t="shared" si="5473"/>
        <v>0</v>
      </c>
      <c r="CS1220" s="552">
        <f t="shared" si="5473"/>
        <v>0</v>
      </c>
      <c r="CT1220" s="552">
        <f t="shared" si="5473"/>
        <v>0</v>
      </c>
      <c r="CU1220" s="552">
        <f t="shared" si="5473"/>
        <v>0</v>
      </c>
      <c r="CV1220" s="552">
        <f t="shared" si="5473"/>
        <v>0</v>
      </c>
      <c r="CW1220" s="552">
        <f t="shared" si="5473"/>
        <v>0</v>
      </c>
      <c r="CX1220" s="552">
        <f t="shared" si="5473"/>
        <v>0</v>
      </c>
      <c r="CY1220" s="552">
        <f t="shared" si="5473"/>
        <v>0</v>
      </c>
      <c r="CZ1220" s="552">
        <f t="shared" si="5473"/>
        <v>0</v>
      </c>
      <c r="DA1220" s="552">
        <f t="shared" si="5473"/>
        <v>0</v>
      </c>
      <c r="DB1220" s="552">
        <f t="shared" ref="DB1220:EG1220" si="5474">DB268*DB$338</f>
        <v>0</v>
      </c>
      <c r="DC1220" s="552">
        <f t="shared" si="5474"/>
        <v>0</v>
      </c>
      <c r="DD1220" s="552">
        <f t="shared" si="5474"/>
        <v>0</v>
      </c>
      <c r="DE1220" s="552">
        <f t="shared" si="5474"/>
        <v>0</v>
      </c>
      <c r="DF1220" s="552">
        <f t="shared" si="5474"/>
        <v>0</v>
      </c>
      <c r="DG1220" s="552">
        <f t="shared" si="5474"/>
        <v>0</v>
      </c>
      <c r="DH1220" s="552">
        <f t="shared" si="5474"/>
        <v>0</v>
      </c>
      <c r="DI1220" s="552">
        <f t="shared" si="5474"/>
        <v>0</v>
      </c>
      <c r="DJ1220" s="552">
        <f t="shared" si="5474"/>
        <v>0</v>
      </c>
      <c r="DK1220" s="552">
        <f t="shared" si="5474"/>
        <v>0</v>
      </c>
      <c r="DL1220" s="552">
        <f t="shared" si="5474"/>
        <v>0</v>
      </c>
      <c r="DM1220" s="552">
        <f t="shared" si="5474"/>
        <v>0</v>
      </c>
      <c r="DN1220" s="552">
        <f t="shared" si="5474"/>
        <v>0</v>
      </c>
      <c r="DO1220" s="552">
        <f t="shared" si="5474"/>
        <v>0</v>
      </c>
      <c r="DP1220" s="552">
        <f t="shared" si="5474"/>
        <v>0</v>
      </c>
      <c r="DQ1220" s="552">
        <f t="shared" si="5474"/>
        <v>0</v>
      </c>
      <c r="DR1220" s="552">
        <f t="shared" si="5474"/>
        <v>0</v>
      </c>
      <c r="DS1220" s="552">
        <f t="shared" si="5474"/>
        <v>0</v>
      </c>
      <c r="DT1220" s="552">
        <f t="shared" si="5474"/>
        <v>0</v>
      </c>
      <c r="DU1220" s="552">
        <f t="shared" si="5474"/>
        <v>0</v>
      </c>
      <c r="DV1220" s="552">
        <f t="shared" si="5474"/>
        <v>0</v>
      </c>
      <c r="DW1220" s="552">
        <f t="shared" si="5474"/>
        <v>0</v>
      </c>
      <c r="DX1220" s="552">
        <f t="shared" si="5474"/>
        <v>0</v>
      </c>
      <c r="DY1220" s="552">
        <f t="shared" si="5474"/>
        <v>0</v>
      </c>
      <c r="DZ1220" s="552">
        <f t="shared" si="5474"/>
        <v>0</v>
      </c>
      <c r="EA1220" s="552">
        <f t="shared" si="5474"/>
        <v>0</v>
      </c>
      <c r="EB1220" s="552">
        <f t="shared" si="5474"/>
        <v>0</v>
      </c>
      <c r="EC1220" s="552">
        <f t="shared" si="5474"/>
        <v>0</v>
      </c>
      <c r="ED1220" s="552">
        <f t="shared" si="5474"/>
        <v>0</v>
      </c>
      <c r="EE1220" s="552">
        <f t="shared" si="5474"/>
        <v>0</v>
      </c>
      <c r="EF1220" s="552">
        <f t="shared" si="5474"/>
        <v>0</v>
      </c>
      <c r="EG1220" s="552">
        <f t="shared" si="5474"/>
        <v>0</v>
      </c>
      <c r="EH1220" s="552">
        <f t="shared" ref="EH1220:EX1220" si="5475">EH268*EH$338</f>
        <v>0</v>
      </c>
      <c r="EI1220" s="552">
        <f t="shared" si="5475"/>
        <v>0</v>
      </c>
      <c r="EJ1220" s="552">
        <f t="shared" si="5475"/>
        <v>0</v>
      </c>
      <c r="EK1220" s="552">
        <f t="shared" si="5475"/>
        <v>0</v>
      </c>
      <c r="EL1220" s="552">
        <f t="shared" si="5475"/>
        <v>0</v>
      </c>
      <c r="EM1220" s="552">
        <f t="shared" si="5475"/>
        <v>0</v>
      </c>
      <c r="EN1220" s="552">
        <f t="shared" si="5475"/>
        <v>0</v>
      </c>
      <c r="EO1220" s="552">
        <f t="shared" si="5475"/>
        <v>0</v>
      </c>
      <c r="EP1220" s="552">
        <f t="shared" si="5475"/>
        <v>0</v>
      </c>
      <c r="EQ1220" s="552">
        <f t="shared" si="5475"/>
        <v>0</v>
      </c>
      <c r="ER1220" s="552">
        <f t="shared" si="5475"/>
        <v>0</v>
      </c>
      <c r="ES1220" s="552">
        <f t="shared" si="5475"/>
        <v>0</v>
      </c>
      <c r="ET1220" s="552">
        <f t="shared" si="5475"/>
        <v>0</v>
      </c>
      <c r="EU1220" s="552">
        <f t="shared" si="5475"/>
        <v>0</v>
      </c>
      <c r="EV1220" s="552">
        <f t="shared" si="5475"/>
        <v>0</v>
      </c>
      <c r="EW1220" s="552">
        <f t="shared" si="5475"/>
        <v>0</v>
      </c>
      <c r="EX1220" s="552">
        <f t="shared" si="5475"/>
        <v>0</v>
      </c>
      <c r="EY1220" s="799">
        <f t="shared" si="4577"/>
        <v>0</v>
      </c>
      <c r="EZ1220" s="640"/>
      <c r="FA1220" s="640"/>
      <c r="FB1220" s="640"/>
      <c r="FC1220" s="640"/>
      <c r="FD1220" s="640"/>
      <c r="FE1220" s="640"/>
      <c r="FF1220" s="640"/>
      <c r="FG1220" s="640"/>
      <c r="FH1220" s="640"/>
      <c r="FI1220" s="640"/>
      <c r="FJ1220" s="640"/>
      <c r="FK1220" s="640"/>
      <c r="FL1220" s="640"/>
    </row>
    <row r="1221" spans="1:168" x14ac:dyDescent="0.25">
      <c r="A1221" s="1492"/>
      <c r="B1221" s="624">
        <f t="shared" si="5464"/>
        <v>0</v>
      </c>
      <c r="C1221" s="624">
        <f t="shared" si="5464"/>
        <v>0</v>
      </c>
      <c r="D1221" s="624">
        <f t="shared" si="5464"/>
        <v>0</v>
      </c>
      <c r="E1221" s="1158">
        <f t="shared" si="5465"/>
        <v>0</v>
      </c>
      <c r="F1221" s="1158"/>
      <c r="G1221" s="1140"/>
      <c r="H1221" s="1140"/>
      <c r="I1221" s="552"/>
      <c r="J1221" s="552">
        <f t="shared" ref="J1221:AO1221" si="5476">J269*J$338</f>
        <v>0</v>
      </c>
      <c r="K1221" s="552">
        <f t="shared" si="5476"/>
        <v>0</v>
      </c>
      <c r="L1221" s="552">
        <f t="shared" si="5476"/>
        <v>0</v>
      </c>
      <c r="M1221" s="552">
        <f t="shared" si="5476"/>
        <v>0</v>
      </c>
      <c r="N1221" s="552">
        <f t="shared" si="5476"/>
        <v>0</v>
      </c>
      <c r="O1221" s="552">
        <f t="shared" si="5476"/>
        <v>0</v>
      </c>
      <c r="P1221" s="552">
        <f t="shared" si="5476"/>
        <v>0</v>
      </c>
      <c r="Q1221" s="552">
        <f t="shared" si="5476"/>
        <v>0</v>
      </c>
      <c r="R1221" s="552">
        <f t="shared" si="5476"/>
        <v>0</v>
      </c>
      <c r="S1221" s="552">
        <f t="shared" si="5476"/>
        <v>0</v>
      </c>
      <c r="T1221" s="552">
        <f t="shared" si="5476"/>
        <v>0</v>
      </c>
      <c r="U1221" s="552">
        <f t="shared" si="5476"/>
        <v>0</v>
      </c>
      <c r="V1221" s="552">
        <f t="shared" si="5476"/>
        <v>0</v>
      </c>
      <c r="W1221" s="552">
        <f t="shared" si="5476"/>
        <v>0</v>
      </c>
      <c r="X1221" s="552">
        <f t="shared" si="5476"/>
        <v>0</v>
      </c>
      <c r="Y1221" s="552">
        <f t="shared" si="5476"/>
        <v>0</v>
      </c>
      <c r="Z1221" s="552">
        <f t="shared" si="5476"/>
        <v>0</v>
      </c>
      <c r="AA1221" s="552">
        <f t="shared" si="5476"/>
        <v>0</v>
      </c>
      <c r="AB1221" s="552">
        <f t="shared" si="5476"/>
        <v>0</v>
      </c>
      <c r="AC1221" s="552">
        <f t="shared" si="5476"/>
        <v>0</v>
      </c>
      <c r="AD1221" s="552">
        <f t="shared" si="5476"/>
        <v>0</v>
      </c>
      <c r="AE1221" s="552">
        <f t="shared" si="5476"/>
        <v>0</v>
      </c>
      <c r="AF1221" s="552">
        <f t="shared" si="5476"/>
        <v>0</v>
      </c>
      <c r="AG1221" s="552">
        <f t="shared" si="5476"/>
        <v>0</v>
      </c>
      <c r="AH1221" s="552">
        <f t="shared" si="5476"/>
        <v>0</v>
      </c>
      <c r="AI1221" s="552">
        <f t="shared" si="5476"/>
        <v>0</v>
      </c>
      <c r="AJ1221" s="552">
        <f t="shared" si="5476"/>
        <v>0</v>
      </c>
      <c r="AK1221" s="552">
        <f t="shared" si="5476"/>
        <v>0</v>
      </c>
      <c r="AL1221" s="552">
        <f t="shared" si="5476"/>
        <v>0</v>
      </c>
      <c r="AM1221" s="552">
        <f t="shared" si="5476"/>
        <v>0</v>
      </c>
      <c r="AN1221" s="552">
        <f t="shared" si="5476"/>
        <v>0</v>
      </c>
      <c r="AO1221" s="552">
        <f t="shared" si="5476"/>
        <v>0</v>
      </c>
      <c r="AP1221" s="552">
        <f t="shared" ref="AP1221:BU1221" si="5477">AP269*AP$338</f>
        <v>0</v>
      </c>
      <c r="AQ1221" s="552">
        <f t="shared" si="5477"/>
        <v>0</v>
      </c>
      <c r="AR1221" s="552">
        <f t="shared" si="5477"/>
        <v>0</v>
      </c>
      <c r="AS1221" s="552">
        <f t="shared" si="5477"/>
        <v>0</v>
      </c>
      <c r="AT1221" s="552">
        <f t="shared" si="5477"/>
        <v>0</v>
      </c>
      <c r="AU1221" s="552">
        <f t="shared" si="5477"/>
        <v>0</v>
      </c>
      <c r="AV1221" s="552">
        <f t="shared" si="5477"/>
        <v>0</v>
      </c>
      <c r="AW1221" s="552">
        <f t="shared" si="5477"/>
        <v>0</v>
      </c>
      <c r="AX1221" s="552">
        <f t="shared" si="5477"/>
        <v>0</v>
      </c>
      <c r="AY1221" s="552">
        <f t="shared" si="5477"/>
        <v>0</v>
      </c>
      <c r="AZ1221" s="552">
        <f t="shared" si="5477"/>
        <v>0</v>
      </c>
      <c r="BA1221" s="552">
        <f t="shared" si="5477"/>
        <v>0</v>
      </c>
      <c r="BB1221" s="552">
        <f t="shared" si="5477"/>
        <v>0</v>
      </c>
      <c r="BC1221" s="552">
        <f t="shared" si="5477"/>
        <v>0</v>
      </c>
      <c r="BD1221" s="552">
        <f t="shared" si="5477"/>
        <v>0</v>
      </c>
      <c r="BE1221" s="552">
        <f t="shared" si="5477"/>
        <v>0</v>
      </c>
      <c r="BF1221" s="552">
        <f t="shared" si="5477"/>
        <v>0</v>
      </c>
      <c r="BG1221" s="552">
        <f t="shared" si="5477"/>
        <v>0</v>
      </c>
      <c r="BH1221" s="552">
        <f t="shared" si="5477"/>
        <v>0</v>
      </c>
      <c r="BI1221" s="552">
        <f t="shared" si="5477"/>
        <v>0</v>
      </c>
      <c r="BJ1221" s="552">
        <f t="shared" si="5477"/>
        <v>0</v>
      </c>
      <c r="BK1221" s="552">
        <f t="shared" si="5477"/>
        <v>0</v>
      </c>
      <c r="BL1221" s="552">
        <f t="shared" si="5477"/>
        <v>0</v>
      </c>
      <c r="BM1221" s="552">
        <f t="shared" si="5477"/>
        <v>0</v>
      </c>
      <c r="BN1221" s="552">
        <f t="shared" si="5477"/>
        <v>0</v>
      </c>
      <c r="BO1221" s="552">
        <f t="shared" si="5477"/>
        <v>0</v>
      </c>
      <c r="BP1221" s="552">
        <f t="shared" si="5477"/>
        <v>0</v>
      </c>
      <c r="BQ1221" s="552">
        <f t="shared" si="5477"/>
        <v>0</v>
      </c>
      <c r="BR1221" s="552">
        <f t="shared" si="5477"/>
        <v>0</v>
      </c>
      <c r="BS1221" s="552">
        <f t="shared" si="5477"/>
        <v>0</v>
      </c>
      <c r="BT1221" s="552">
        <f t="shared" si="5477"/>
        <v>0</v>
      </c>
      <c r="BU1221" s="552">
        <f t="shared" si="5477"/>
        <v>0</v>
      </c>
      <c r="BV1221" s="552">
        <f t="shared" ref="BV1221:DA1221" si="5478">BV269*BV$338</f>
        <v>0</v>
      </c>
      <c r="BW1221" s="552">
        <f t="shared" si="5478"/>
        <v>0</v>
      </c>
      <c r="BX1221" s="552">
        <f t="shared" si="5478"/>
        <v>0</v>
      </c>
      <c r="BY1221" s="552">
        <f t="shared" si="5478"/>
        <v>0</v>
      </c>
      <c r="BZ1221" s="552">
        <f t="shared" si="5478"/>
        <v>0</v>
      </c>
      <c r="CA1221" s="552">
        <f t="shared" si="5478"/>
        <v>0</v>
      </c>
      <c r="CB1221" s="552">
        <f t="shared" si="5478"/>
        <v>0</v>
      </c>
      <c r="CC1221" s="552">
        <f t="shared" si="5478"/>
        <v>0</v>
      </c>
      <c r="CD1221" s="552">
        <f t="shared" si="5478"/>
        <v>0</v>
      </c>
      <c r="CE1221" s="552">
        <f t="shared" si="5478"/>
        <v>0</v>
      </c>
      <c r="CF1221" s="552">
        <f t="shared" si="5478"/>
        <v>0</v>
      </c>
      <c r="CG1221" s="552">
        <f t="shared" si="5478"/>
        <v>0</v>
      </c>
      <c r="CH1221" s="552">
        <f t="shared" si="5478"/>
        <v>0</v>
      </c>
      <c r="CI1221" s="552">
        <f t="shared" si="5478"/>
        <v>0</v>
      </c>
      <c r="CJ1221" s="552">
        <f t="shared" si="5478"/>
        <v>0</v>
      </c>
      <c r="CK1221" s="552">
        <f t="shared" si="5478"/>
        <v>0</v>
      </c>
      <c r="CL1221" s="552">
        <f t="shared" si="5478"/>
        <v>0</v>
      </c>
      <c r="CM1221" s="552">
        <f t="shared" si="5478"/>
        <v>0</v>
      </c>
      <c r="CN1221" s="552">
        <f t="shared" si="5478"/>
        <v>0</v>
      </c>
      <c r="CO1221" s="552">
        <f t="shared" si="5478"/>
        <v>0</v>
      </c>
      <c r="CP1221" s="552">
        <f t="shared" si="5478"/>
        <v>0</v>
      </c>
      <c r="CQ1221" s="552">
        <f t="shared" si="5478"/>
        <v>0</v>
      </c>
      <c r="CR1221" s="552">
        <f t="shared" si="5478"/>
        <v>0</v>
      </c>
      <c r="CS1221" s="552">
        <f t="shared" si="5478"/>
        <v>0</v>
      </c>
      <c r="CT1221" s="552">
        <f t="shared" si="5478"/>
        <v>0</v>
      </c>
      <c r="CU1221" s="552">
        <f t="shared" si="5478"/>
        <v>0</v>
      </c>
      <c r="CV1221" s="552">
        <f t="shared" si="5478"/>
        <v>0</v>
      </c>
      <c r="CW1221" s="552">
        <f t="shared" si="5478"/>
        <v>0</v>
      </c>
      <c r="CX1221" s="552">
        <f t="shared" si="5478"/>
        <v>0</v>
      </c>
      <c r="CY1221" s="552">
        <f t="shared" si="5478"/>
        <v>0</v>
      </c>
      <c r="CZ1221" s="552">
        <f t="shared" si="5478"/>
        <v>0</v>
      </c>
      <c r="DA1221" s="552">
        <f t="shared" si="5478"/>
        <v>0</v>
      </c>
      <c r="DB1221" s="552">
        <f t="shared" ref="DB1221:EG1221" si="5479">DB269*DB$338</f>
        <v>0</v>
      </c>
      <c r="DC1221" s="552">
        <f t="shared" si="5479"/>
        <v>0</v>
      </c>
      <c r="DD1221" s="552">
        <f t="shared" si="5479"/>
        <v>0</v>
      </c>
      <c r="DE1221" s="552">
        <f t="shared" si="5479"/>
        <v>0</v>
      </c>
      <c r="DF1221" s="552">
        <f t="shared" si="5479"/>
        <v>0</v>
      </c>
      <c r="DG1221" s="552">
        <f t="shared" si="5479"/>
        <v>0</v>
      </c>
      <c r="DH1221" s="552">
        <f t="shared" si="5479"/>
        <v>0</v>
      </c>
      <c r="DI1221" s="552">
        <f t="shared" si="5479"/>
        <v>0</v>
      </c>
      <c r="DJ1221" s="552">
        <f t="shared" si="5479"/>
        <v>0</v>
      </c>
      <c r="DK1221" s="552">
        <f t="shared" si="5479"/>
        <v>0</v>
      </c>
      <c r="DL1221" s="552">
        <f t="shared" si="5479"/>
        <v>0</v>
      </c>
      <c r="DM1221" s="552">
        <f t="shared" si="5479"/>
        <v>0</v>
      </c>
      <c r="DN1221" s="552">
        <f t="shared" si="5479"/>
        <v>0</v>
      </c>
      <c r="DO1221" s="552">
        <f t="shared" si="5479"/>
        <v>0</v>
      </c>
      <c r="DP1221" s="552">
        <f t="shared" si="5479"/>
        <v>0</v>
      </c>
      <c r="DQ1221" s="552">
        <f t="shared" si="5479"/>
        <v>0</v>
      </c>
      <c r="DR1221" s="552">
        <f t="shared" si="5479"/>
        <v>0</v>
      </c>
      <c r="DS1221" s="552">
        <f t="shared" si="5479"/>
        <v>0</v>
      </c>
      <c r="DT1221" s="552">
        <f t="shared" si="5479"/>
        <v>0</v>
      </c>
      <c r="DU1221" s="552">
        <f t="shared" si="5479"/>
        <v>0</v>
      </c>
      <c r="DV1221" s="552">
        <f t="shared" si="5479"/>
        <v>0</v>
      </c>
      <c r="DW1221" s="552">
        <f t="shared" si="5479"/>
        <v>0</v>
      </c>
      <c r="DX1221" s="552">
        <f t="shared" si="5479"/>
        <v>0</v>
      </c>
      <c r="DY1221" s="552">
        <f t="shared" si="5479"/>
        <v>0</v>
      </c>
      <c r="DZ1221" s="552">
        <f t="shared" si="5479"/>
        <v>0</v>
      </c>
      <c r="EA1221" s="552">
        <f t="shared" si="5479"/>
        <v>0</v>
      </c>
      <c r="EB1221" s="552">
        <f t="shared" si="5479"/>
        <v>0</v>
      </c>
      <c r="EC1221" s="552">
        <f t="shared" si="5479"/>
        <v>0</v>
      </c>
      <c r="ED1221" s="552">
        <f t="shared" si="5479"/>
        <v>0</v>
      </c>
      <c r="EE1221" s="552">
        <f t="shared" si="5479"/>
        <v>0</v>
      </c>
      <c r="EF1221" s="552">
        <f t="shared" si="5479"/>
        <v>0</v>
      </c>
      <c r="EG1221" s="552">
        <f t="shared" si="5479"/>
        <v>0</v>
      </c>
      <c r="EH1221" s="552">
        <f t="shared" ref="EH1221:EX1221" si="5480">EH269*EH$338</f>
        <v>0</v>
      </c>
      <c r="EI1221" s="552">
        <f t="shared" si="5480"/>
        <v>0</v>
      </c>
      <c r="EJ1221" s="552">
        <f t="shared" si="5480"/>
        <v>0</v>
      </c>
      <c r="EK1221" s="552">
        <f t="shared" si="5480"/>
        <v>0</v>
      </c>
      <c r="EL1221" s="552">
        <f t="shared" si="5480"/>
        <v>0</v>
      </c>
      <c r="EM1221" s="552">
        <f t="shared" si="5480"/>
        <v>0</v>
      </c>
      <c r="EN1221" s="552">
        <f t="shared" si="5480"/>
        <v>0</v>
      </c>
      <c r="EO1221" s="552">
        <f t="shared" si="5480"/>
        <v>0</v>
      </c>
      <c r="EP1221" s="552">
        <f t="shared" si="5480"/>
        <v>0</v>
      </c>
      <c r="EQ1221" s="552">
        <f t="shared" si="5480"/>
        <v>0</v>
      </c>
      <c r="ER1221" s="552">
        <f t="shared" si="5480"/>
        <v>0</v>
      </c>
      <c r="ES1221" s="552">
        <f t="shared" si="5480"/>
        <v>0</v>
      </c>
      <c r="ET1221" s="552">
        <f t="shared" si="5480"/>
        <v>0</v>
      </c>
      <c r="EU1221" s="552">
        <f t="shared" si="5480"/>
        <v>0</v>
      </c>
      <c r="EV1221" s="552">
        <f t="shared" si="5480"/>
        <v>0</v>
      </c>
      <c r="EW1221" s="552">
        <f t="shared" si="5480"/>
        <v>0</v>
      </c>
      <c r="EX1221" s="552">
        <f t="shared" si="5480"/>
        <v>0</v>
      </c>
      <c r="EY1221" s="799">
        <f t="shared" si="4577"/>
        <v>0</v>
      </c>
      <c r="EZ1221" s="640"/>
      <c r="FA1221" s="640"/>
      <c r="FB1221" s="640"/>
      <c r="FC1221" s="640"/>
      <c r="FD1221" s="640"/>
      <c r="FE1221" s="640"/>
      <c r="FF1221" s="640"/>
      <c r="FG1221" s="640"/>
      <c r="FH1221" s="640"/>
      <c r="FI1221" s="640"/>
      <c r="FJ1221" s="640"/>
      <c r="FK1221" s="640"/>
      <c r="FL1221" s="640"/>
    </row>
    <row r="1222" spans="1:168" x14ac:dyDescent="0.25">
      <c r="A1222" s="1492"/>
      <c r="B1222" s="624">
        <f t="shared" si="5464"/>
        <v>0</v>
      </c>
      <c r="C1222" s="624">
        <f t="shared" si="5464"/>
        <v>0</v>
      </c>
      <c r="D1222" s="624">
        <f t="shared" si="5464"/>
        <v>0</v>
      </c>
      <c r="E1222" s="1158">
        <f t="shared" si="5465"/>
        <v>0</v>
      </c>
      <c r="F1222" s="1158"/>
      <c r="G1222" s="1140"/>
      <c r="H1222" s="1140"/>
      <c r="I1222" s="552"/>
      <c r="J1222" s="552">
        <f t="shared" ref="J1222:AO1222" si="5481">J270*J$338</f>
        <v>0</v>
      </c>
      <c r="K1222" s="552">
        <f t="shared" si="5481"/>
        <v>0</v>
      </c>
      <c r="L1222" s="552">
        <f t="shared" si="5481"/>
        <v>0</v>
      </c>
      <c r="M1222" s="552">
        <f t="shared" si="5481"/>
        <v>0</v>
      </c>
      <c r="N1222" s="552">
        <f t="shared" si="5481"/>
        <v>0</v>
      </c>
      <c r="O1222" s="552">
        <f t="shared" si="5481"/>
        <v>0</v>
      </c>
      <c r="P1222" s="552">
        <f t="shared" si="5481"/>
        <v>0</v>
      </c>
      <c r="Q1222" s="552">
        <f t="shared" si="5481"/>
        <v>0</v>
      </c>
      <c r="R1222" s="552">
        <f t="shared" si="5481"/>
        <v>0</v>
      </c>
      <c r="S1222" s="552">
        <f t="shared" si="5481"/>
        <v>0</v>
      </c>
      <c r="T1222" s="552">
        <f t="shared" si="5481"/>
        <v>0</v>
      </c>
      <c r="U1222" s="552">
        <f t="shared" si="5481"/>
        <v>0</v>
      </c>
      <c r="V1222" s="552">
        <f t="shared" si="5481"/>
        <v>0</v>
      </c>
      <c r="W1222" s="552">
        <f t="shared" si="5481"/>
        <v>0</v>
      </c>
      <c r="X1222" s="552">
        <f t="shared" si="5481"/>
        <v>0</v>
      </c>
      <c r="Y1222" s="552">
        <f t="shared" si="5481"/>
        <v>0</v>
      </c>
      <c r="Z1222" s="552">
        <f t="shared" si="5481"/>
        <v>0</v>
      </c>
      <c r="AA1222" s="552">
        <f t="shared" si="5481"/>
        <v>0</v>
      </c>
      <c r="AB1222" s="552">
        <f t="shared" si="5481"/>
        <v>0</v>
      </c>
      <c r="AC1222" s="552">
        <f t="shared" si="5481"/>
        <v>0</v>
      </c>
      <c r="AD1222" s="552">
        <f t="shared" si="5481"/>
        <v>0</v>
      </c>
      <c r="AE1222" s="552">
        <f t="shared" si="5481"/>
        <v>0</v>
      </c>
      <c r="AF1222" s="552">
        <f t="shared" si="5481"/>
        <v>0</v>
      </c>
      <c r="AG1222" s="552">
        <f t="shared" si="5481"/>
        <v>0</v>
      </c>
      <c r="AH1222" s="552">
        <f t="shared" si="5481"/>
        <v>0</v>
      </c>
      <c r="AI1222" s="552">
        <f t="shared" si="5481"/>
        <v>0</v>
      </c>
      <c r="AJ1222" s="552">
        <f t="shared" si="5481"/>
        <v>0</v>
      </c>
      <c r="AK1222" s="552">
        <f t="shared" si="5481"/>
        <v>0</v>
      </c>
      <c r="AL1222" s="552">
        <f t="shared" si="5481"/>
        <v>0</v>
      </c>
      <c r="AM1222" s="552">
        <f t="shared" si="5481"/>
        <v>0</v>
      </c>
      <c r="AN1222" s="552">
        <f t="shared" si="5481"/>
        <v>0</v>
      </c>
      <c r="AO1222" s="552">
        <f t="shared" si="5481"/>
        <v>0</v>
      </c>
      <c r="AP1222" s="552">
        <f t="shared" ref="AP1222:BU1222" si="5482">AP270*AP$338</f>
        <v>0</v>
      </c>
      <c r="AQ1222" s="552">
        <f t="shared" si="5482"/>
        <v>0</v>
      </c>
      <c r="AR1222" s="552">
        <f t="shared" si="5482"/>
        <v>0</v>
      </c>
      <c r="AS1222" s="552">
        <f t="shared" si="5482"/>
        <v>0</v>
      </c>
      <c r="AT1222" s="552">
        <f t="shared" si="5482"/>
        <v>0</v>
      </c>
      <c r="AU1222" s="552">
        <f t="shared" si="5482"/>
        <v>0</v>
      </c>
      <c r="AV1222" s="552">
        <f t="shared" si="5482"/>
        <v>0</v>
      </c>
      <c r="AW1222" s="552">
        <f t="shared" si="5482"/>
        <v>0</v>
      </c>
      <c r="AX1222" s="552">
        <f t="shared" si="5482"/>
        <v>0</v>
      </c>
      <c r="AY1222" s="552">
        <f t="shared" si="5482"/>
        <v>0</v>
      </c>
      <c r="AZ1222" s="552">
        <f t="shared" si="5482"/>
        <v>0</v>
      </c>
      <c r="BA1222" s="552">
        <f t="shared" si="5482"/>
        <v>0</v>
      </c>
      <c r="BB1222" s="552">
        <f t="shared" si="5482"/>
        <v>0</v>
      </c>
      <c r="BC1222" s="552">
        <f t="shared" si="5482"/>
        <v>0</v>
      </c>
      <c r="BD1222" s="552">
        <f t="shared" si="5482"/>
        <v>0</v>
      </c>
      <c r="BE1222" s="552">
        <f t="shared" si="5482"/>
        <v>0</v>
      </c>
      <c r="BF1222" s="552">
        <f t="shared" si="5482"/>
        <v>0</v>
      </c>
      <c r="BG1222" s="552">
        <f t="shared" si="5482"/>
        <v>0</v>
      </c>
      <c r="BH1222" s="552">
        <f t="shared" si="5482"/>
        <v>0</v>
      </c>
      <c r="BI1222" s="552">
        <f t="shared" si="5482"/>
        <v>0</v>
      </c>
      <c r="BJ1222" s="552">
        <f t="shared" si="5482"/>
        <v>0</v>
      </c>
      <c r="BK1222" s="552">
        <f t="shared" si="5482"/>
        <v>0</v>
      </c>
      <c r="BL1222" s="552">
        <f t="shared" si="5482"/>
        <v>0</v>
      </c>
      <c r="BM1222" s="552">
        <f t="shared" si="5482"/>
        <v>0</v>
      </c>
      <c r="BN1222" s="552">
        <f t="shared" si="5482"/>
        <v>0</v>
      </c>
      <c r="BO1222" s="552">
        <f t="shared" si="5482"/>
        <v>0</v>
      </c>
      <c r="BP1222" s="552">
        <f t="shared" si="5482"/>
        <v>0</v>
      </c>
      <c r="BQ1222" s="552">
        <f t="shared" si="5482"/>
        <v>0</v>
      </c>
      <c r="BR1222" s="552">
        <f t="shared" si="5482"/>
        <v>0</v>
      </c>
      <c r="BS1222" s="552">
        <f t="shared" si="5482"/>
        <v>0</v>
      </c>
      <c r="BT1222" s="552">
        <f t="shared" si="5482"/>
        <v>0</v>
      </c>
      <c r="BU1222" s="552">
        <f t="shared" si="5482"/>
        <v>0</v>
      </c>
      <c r="BV1222" s="552">
        <f t="shared" ref="BV1222:DA1222" si="5483">BV270*BV$338</f>
        <v>0</v>
      </c>
      <c r="BW1222" s="552">
        <f t="shared" si="5483"/>
        <v>0</v>
      </c>
      <c r="BX1222" s="552">
        <f t="shared" si="5483"/>
        <v>0</v>
      </c>
      <c r="BY1222" s="552">
        <f t="shared" si="5483"/>
        <v>0</v>
      </c>
      <c r="BZ1222" s="552">
        <f t="shared" si="5483"/>
        <v>0</v>
      </c>
      <c r="CA1222" s="552">
        <f t="shared" si="5483"/>
        <v>0</v>
      </c>
      <c r="CB1222" s="552">
        <f t="shared" si="5483"/>
        <v>0</v>
      </c>
      <c r="CC1222" s="552">
        <f t="shared" si="5483"/>
        <v>0</v>
      </c>
      <c r="CD1222" s="552">
        <f t="shared" si="5483"/>
        <v>0</v>
      </c>
      <c r="CE1222" s="552">
        <f t="shared" si="5483"/>
        <v>0</v>
      </c>
      <c r="CF1222" s="552">
        <f t="shared" si="5483"/>
        <v>0</v>
      </c>
      <c r="CG1222" s="552">
        <f t="shared" si="5483"/>
        <v>0</v>
      </c>
      <c r="CH1222" s="552">
        <f t="shared" si="5483"/>
        <v>0</v>
      </c>
      <c r="CI1222" s="552">
        <f t="shared" si="5483"/>
        <v>0</v>
      </c>
      <c r="CJ1222" s="552">
        <f t="shared" si="5483"/>
        <v>0</v>
      </c>
      <c r="CK1222" s="552">
        <f t="shared" si="5483"/>
        <v>0</v>
      </c>
      <c r="CL1222" s="552">
        <f t="shared" si="5483"/>
        <v>0</v>
      </c>
      <c r="CM1222" s="552">
        <f t="shared" si="5483"/>
        <v>0</v>
      </c>
      <c r="CN1222" s="552">
        <f t="shared" si="5483"/>
        <v>0</v>
      </c>
      <c r="CO1222" s="552">
        <f t="shared" si="5483"/>
        <v>0</v>
      </c>
      <c r="CP1222" s="552">
        <f t="shared" si="5483"/>
        <v>0</v>
      </c>
      <c r="CQ1222" s="552">
        <f t="shared" si="5483"/>
        <v>0</v>
      </c>
      <c r="CR1222" s="552">
        <f t="shared" si="5483"/>
        <v>0</v>
      </c>
      <c r="CS1222" s="552">
        <f t="shared" si="5483"/>
        <v>0</v>
      </c>
      <c r="CT1222" s="552">
        <f t="shared" si="5483"/>
        <v>0</v>
      </c>
      <c r="CU1222" s="552">
        <f t="shared" si="5483"/>
        <v>0</v>
      </c>
      <c r="CV1222" s="552">
        <f t="shared" si="5483"/>
        <v>0</v>
      </c>
      <c r="CW1222" s="552">
        <f t="shared" si="5483"/>
        <v>0</v>
      </c>
      <c r="CX1222" s="552">
        <f t="shared" si="5483"/>
        <v>0</v>
      </c>
      <c r="CY1222" s="552">
        <f t="shared" si="5483"/>
        <v>0</v>
      </c>
      <c r="CZ1222" s="552">
        <f t="shared" si="5483"/>
        <v>0</v>
      </c>
      <c r="DA1222" s="552">
        <f t="shared" si="5483"/>
        <v>0</v>
      </c>
      <c r="DB1222" s="552">
        <f t="shared" ref="DB1222:EG1222" si="5484">DB270*DB$338</f>
        <v>0</v>
      </c>
      <c r="DC1222" s="552">
        <f t="shared" si="5484"/>
        <v>0</v>
      </c>
      <c r="DD1222" s="552">
        <f t="shared" si="5484"/>
        <v>0</v>
      </c>
      <c r="DE1222" s="552">
        <f t="shared" si="5484"/>
        <v>0</v>
      </c>
      <c r="DF1222" s="552">
        <f t="shared" si="5484"/>
        <v>0</v>
      </c>
      <c r="DG1222" s="552">
        <f t="shared" si="5484"/>
        <v>0</v>
      </c>
      <c r="DH1222" s="552">
        <f t="shared" si="5484"/>
        <v>0</v>
      </c>
      <c r="DI1222" s="552">
        <f t="shared" si="5484"/>
        <v>0</v>
      </c>
      <c r="DJ1222" s="552">
        <f t="shared" si="5484"/>
        <v>0</v>
      </c>
      <c r="DK1222" s="552">
        <f t="shared" si="5484"/>
        <v>0</v>
      </c>
      <c r="DL1222" s="552">
        <f t="shared" si="5484"/>
        <v>0</v>
      </c>
      <c r="DM1222" s="552">
        <f t="shared" si="5484"/>
        <v>0</v>
      </c>
      <c r="DN1222" s="552">
        <f t="shared" si="5484"/>
        <v>0</v>
      </c>
      <c r="DO1222" s="552">
        <f t="shared" si="5484"/>
        <v>0</v>
      </c>
      <c r="DP1222" s="552">
        <f t="shared" si="5484"/>
        <v>0</v>
      </c>
      <c r="DQ1222" s="552">
        <f t="shared" si="5484"/>
        <v>0</v>
      </c>
      <c r="DR1222" s="552">
        <f t="shared" si="5484"/>
        <v>0</v>
      </c>
      <c r="DS1222" s="552">
        <f t="shared" si="5484"/>
        <v>0</v>
      </c>
      <c r="DT1222" s="552">
        <f t="shared" si="5484"/>
        <v>0</v>
      </c>
      <c r="DU1222" s="552">
        <f t="shared" si="5484"/>
        <v>0</v>
      </c>
      <c r="DV1222" s="552">
        <f t="shared" si="5484"/>
        <v>0</v>
      </c>
      <c r="DW1222" s="552">
        <f t="shared" si="5484"/>
        <v>0</v>
      </c>
      <c r="DX1222" s="552">
        <f t="shared" si="5484"/>
        <v>0</v>
      </c>
      <c r="DY1222" s="552">
        <f t="shared" si="5484"/>
        <v>0</v>
      </c>
      <c r="DZ1222" s="552">
        <f t="shared" si="5484"/>
        <v>0</v>
      </c>
      <c r="EA1222" s="552">
        <f t="shared" si="5484"/>
        <v>0</v>
      </c>
      <c r="EB1222" s="552">
        <f t="shared" si="5484"/>
        <v>0</v>
      </c>
      <c r="EC1222" s="552">
        <f t="shared" si="5484"/>
        <v>0</v>
      </c>
      <c r="ED1222" s="552">
        <f t="shared" si="5484"/>
        <v>0</v>
      </c>
      <c r="EE1222" s="552">
        <f t="shared" si="5484"/>
        <v>0</v>
      </c>
      <c r="EF1222" s="552">
        <f t="shared" si="5484"/>
        <v>0</v>
      </c>
      <c r="EG1222" s="552">
        <f t="shared" si="5484"/>
        <v>0</v>
      </c>
      <c r="EH1222" s="552">
        <f t="shared" ref="EH1222:EX1222" si="5485">EH270*EH$338</f>
        <v>0</v>
      </c>
      <c r="EI1222" s="552">
        <f t="shared" si="5485"/>
        <v>0</v>
      </c>
      <c r="EJ1222" s="552">
        <f t="shared" si="5485"/>
        <v>0</v>
      </c>
      <c r="EK1222" s="552">
        <f t="shared" si="5485"/>
        <v>0</v>
      </c>
      <c r="EL1222" s="552">
        <f t="shared" si="5485"/>
        <v>0</v>
      </c>
      <c r="EM1222" s="552">
        <f t="shared" si="5485"/>
        <v>0</v>
      </c>
      <c r="EN1222" s="552">
        <f t="shared" si="5485"/>
        <v>0</v>
      </c>
      <c r="EO1222" s="552">
        <f t="shared" si="5485"/>
        <v>0</v>
      </c>
      <c r="EP1222" s="552">
        <f t="shared" si="5485"/>
        <v>0</v>
      </c>
      <c r="EQ1222" s="552">
        <f t="shared" si="5485"/>
        <v>0</v>
      </c>
      <c r="ER1222" s="552">
        <f t="shared" si="5485"/>
        <v>0</v>
      </c>
      <c r="ES1222" s="552">
        <f t="shared" si="5485"/>
        <v>0</v>
      </c>
      <c r="ET1222" s="552">
        <f t="shared" si="5485"/>
        <v>0</v>
      </c>
      <c r="EU1222" s="552">
        <f t="shared" si="5485"/>
        <v>0</v>
      </c>
      <c r="EV1222" s="552">
        <f t="shared" si="5485"/>
        <v>0</v>
      </c>
      <c r="EW1222" s="552">
        <f t="shared" si="5485"/>
        <v>0</v>
      </c>
      <c r="EX1222" s="552">
        <f t="shared" si="5485"/>
        <v>0</v>
      </c>
      <c r="EY1222" s="799">
        <f t="shared" si="4577"/>
        <v>0</v>
      </c>
      <c r="EZ1222" s="640"/>
      <c r="FA1222" s="640"/>
      <c r="FB1222" s="640"/>
      <c r="FC1222" s="640"/>
      <c r="FD1222" s="640"/>
      <c r="FE1222" s="640"/>
      <c r="FF1222" s="640"/>
      <c r="FG1222" s="640"/>
      <c r="FH1222" s="640"/>
      <c r="FI1222" s="640"/>
      <c r="FJ1222" s="640"/>
      <c r="FK1222" s="640"/>
      <c r="FL1222" s="640"/>
    </row>
    <row r="1223" spans="1:168" x14ac:dyDescent="0.25">
      <c r="A1223" s="1492"/>
      <c r="B1223" s="624">
        <f t="shared" si="5464"/>
        <v>0</v>
      </c>
      <c r="C1223" s="624">
        <f t="shared" si="5464"/>
        <v>0</v>
      </c>
      <c r="D1223" s="624">
        <f t="shared" si="5464"/>
        <v>0</v>
      </c>
      <c r="E1223" s="1158">
        <f t="shared" si="5465"/>
        <v>0</v>
      </c>
      <c r="F1223" s="1158"/>
      <c r="G1223" s="1140"/>
      <c r="H1223" s="1140"/>
      <c r="I1223" s="552"/>
      <c r="J1223" s="552">
        <f t="shared" ref="J1223:AO1223" si="5486">J271*J$338</f>
        <v>0</v>
      </c>
      <c r="K1223" s="552">
        <f t="shared" si="5486"/>
        <v>0</v>
      </c>
      <c r="L1223" s="552">
        <f t="shared" si="5486"/>
        <v>0</v>
      </c>
      <c r="M1223" s="552">
        <f t="shared" si="5486"/>
        <v>0</v>
      </c>
      <c r="N1223" s="552">
        <f t="shared" si="5486"/>
        <v>0</v>
      </c>
      <c r="O1223" s="552">
        <f t="shared" si="5486"/>
        <v>0</v>
      </c>
      <c r="P1223" s="552">
        <f t="shared" si="5486"/>
        <v>0</v>
      </c>
      <c r="Q1223" s="552">
        <f t="shared" si="5486"/>
        <v>0</v>
      </c>
      <c r="R1223" s="552">
        <f t="shared" si="5486"/>
        <v>0</v>
      </c>
      <c r="S1223" s="552">
        <f t="shared" si="5486"/>
        <v>0</v>
      </c>
      <c r="T1223" s="552">
        <f t="shared" si="5486"/>
        <v>0</v>
      </c>
      <c r="U1223" s="552">
        <f t="shared" si="5486"/>
        <v>0</v>
      </c>
      <c r="V1223" s="552">
        <f t="shared" si="5486"/>
        <v>0</v>
      </c>
      <c r="W1223" s="552">
        <f t="shared" si="5486"/>
        <v>0</v>
      </c>
      <c r="X1223" s="552">
        <f t="shared" si="5486"/>
        <v>0</v>
      </c>
      <c r="Y1223" s="552">
        <f t="shared" si="5486"/>
        <v>0</v>
      </c>
      <c r="Z1223" s="552">
        <f t="shared" si="5486"/>
        <v>0</v>
      </c>
      <c r="AA1223" s="552">
        <f t="shared" si="5486"/>
        <v>0</v>
      </c>
      <c r="AB1223" s="552">
        <f t="shared" si="5486"/>
        <v>0</v>
      </c>
      <c r="AC1223" s="552">
        <f t="shared" si="5486"/>
        <v>0</v>
      </c>
      <c r="AD1223" s="552">
        <f t="shared" si="5486"/>
        <v>0</v>
      </c>
      <c r="AE1223" s="552">
        <f t="shared" si="5486"/>
        <v>0</v>
      </c>
      <c r="AF1223" s="552">
        <f t="shared" si="5486"/>
        <v>0</v>
      </c>
      <c r="AG1223" s="552">
        <f t="shared" si="5486"/>
        <v>0</v>
      </c>
      <c r="AH1223" s="552">
        <f t="shared" si="5486"/>
        <v>0</v>
      </c>
      <c r="AI1223" s="552">
        <f t="shared" si="5486"/>
        <v>0</v>
      </c>
      <c r="AJ1223" s="552">
        <f t="shared" si="5486"/>
        <v>0</v>
      </c>
      <c r="AK1223" s="552">
        <f t="shared" si="5486"/>
        <v>0</v>
      </c>
      <c r="AL1223" s="552">
        <f t="shared" si="5486"/>
        <v>0</v>
      </c>
      <c r="AM1223" s="552">
        <f t="shared" si="5486"/>
        <v>0</v>
      </c>
      <c r="AN1223" s="552">
        <f t="shared" si="5486"/>
        <v>0</v>
      </c>
      <c r="AO1223" s="552">
        <f t="shared" si="5486"/>
        <v>0</v>
      </c>
      <c r="AP1223" s="552">
        <f t="shared" ref="AP1223:BU1223" si="5487">AP271*AP$338</f>
        <v>0</v>
      </c>
      <c r="AQ1223" s="552">
        <f t="shared" si="5487"/>
        <v>0</v>
      </c>
      <c r="AR1223" s="552">
        <f t="shared" si="5487"/>
        <v>0</v>
      </c>
      <c r="AS1223" s="552">
        <f t="shared" si="5487"/>
        <v>0</v>
      </c>
      <c r="AT1223" s="552">
        <f t="shared" si="5487"/>
        <v>0</v>
      </c>
      <c r="AU1223" s="552">
        <f t="shared" si="5487"/>
        <v>0</v>
      </c>
      <c r="AV1223" s="552">
        <f t="shared" si="5487"/>
        <v>0</v>
      </c>
      <c r="AW1223" s="552">
        <f t="shared" si="5487"/>
        <v>0</v>
      </c>
      <c r="AX1223" s="552">
        <f t="shared" si="5487"/>
        <v>0</v>
      </c>
      <c r="AY1223" s="552">
        <f t="shared" si="5487"/>
        <v>0</v>
      </c>
      <c r="AZ1223" s="552">
        <f t="shared" si="5487"/>
        <v>0</v>
      </c>
      <c r="BA1223" s="552">
        <f t="shared" si="5487"/>
        <v>0</v>
      </c>
      <c r="BB1223" s="552">
        <f t="shared" si="5487"/>
        <v>0</v>
      </c>
      <c r="BC1223" s="552">
        <f t="shared" si="5487"/>
        <v>0</v>
      </c>
      <c r="BD1223" s="552">
        <f t="shared" si="5487"/>
        <v>0</v>
      </c>
      <c r="BE1223" s="552">
        <f t="shared" si="5487"/>
        <v>0</v>
      </c>
      <c r="BF1223" s="552">
        <f t="shared" si="5487"/>
        <v>0</v>
      </c>
      <c r="BG1223" s="552">
        <f t="shared" si="5487"/>
        <v>0</v>
      </c>
      <c r="BH1223" s="552">
        <f t="shared" si="5487"/>
        <v>0</v>
      </c>
      <c r="BI1223" s="552">
        <f t="shared" si="5487"/>
        <v>0</v>
      </c>
      <c r="BJ1223" s="552">
        <f t="shared" si="5487"/>
        <v>0</v>
      </c>
      <c r="BK1223" s="552">
        <f t="shared" si="5487"/>
        <v>0</v>
      </c>
      <c r="BL1223" s="552">
        <f t="shared" si="5487"/>
        <v>0</v>
      </c>
      <c r="BM1223" s="552">
        <f t="shared" si="5487"/>
        <v>0</v>
      </c>
      <c r="BN1223" s="552">
        <f t="shared" si="5487"/>
        <v>0</v>
      </c>
      <c r="BO1223" s="552">
        <f t="shared" si="5487"/>
        <v>0</v>
      </c>
      <c r="BP1223" s="552">
        <f t="shared" si="5487"/>
        <v>0</v>
      </c>
      <c r="BQ1223" s="552">
        <f t="shared" si="5487"/>
        <v>0</v>
      </c>
      <c r="BR1223" s="552">
        <f t="shared" si="5487"/>
        <v>0</v>
      </c>
      <c r="BS1223" s="552">
        <f t="shared" si="5487"/>
        <v>0</v>
      </c>
      <c r="BT1223" s="552">
        <f t="shared" si="5487"/>
        <v>0</v>
      </c>
      <c r="BU1223" s="552">
        <f t="shared" si="5487"/>
        <v>0</v>
      </c>
      <c r="BV1223" s="552">
        <f t="shared" ref="BV1223:DA1223" si="5488">BV271*BV$338</f>
        <v>0</v>
      </c>
      <c r="BW1223" s="552">
        <f t="shared" si="5488"/>
        <v>0</v>
      </c>
      <c r="BX1223" s="552">
        <f t="shared" si="5488"/>
        <v>0</v>
      </c>
      <c r="BY1223" s="552">
        <f t="shared" si="5488"/>
        <v>0</v>
      </c>
      <c r="BZ1223" s="552">
        <f t="shared" si="5488"/>
        <v>0</v>
      </c>
      <c r="CA1223" s="552">
        <f t="shared" si="5488"/>
        <v>0</v>
      </c>
      <c r="CB1223" s="552">
        <f t="shared" si="5488"/>
        <v>0</v>
      </c>
      <c r="CC1223" s="552">
        <f t="shared" si="5488"/>
        <v>0</v>
      </c>
      <c r="CD1223" s="552">
        <f t="shared" si="5488"/>
        <v>0</v>
      </c>
      <c r="CE1223" s="552">
        <f t="shared" si="5488"/>
        <v>0</v>
      </c>
      <c r="CF1223" s="552">
        <f t="shared" si="5488"/>
        <v>0</v>
      </c>
      <c r="CG1223" s="552">
        <f t="shared" si="5488"/>
        <v>0</v>
      </c>
      <c r="CH1223" s="552">
        <f t="shared" si="5488"/>
        <v>0</v>
      </c>
      <c r="CI1223" s="552">
        <f t="shared" si="5488"/>
        <v>0</v>
      </c>
      <c r="CJ1223" s="552">
        <f t="shared" si="5488"/>
        <v>0</v>
      </c>
      <c r="CK1223" s="552">
        <f t="shared" si="5488"/>
        <v>0</v>
      </c>
      <c r="CL1223" s="552">
        <f t="shared" si="5488"/>
        <v>0</v>
      </c>
      <c r="CM1223" s="552">
        <f t="shared" si="5488"/>
        <v>0</v>
      </c>
      <c r="CN1223" s="552">
        <f t="shared" si="5488"/>
        <v>0</v>
      </c>
      <c r="CO1223" s="552">
        <f t="shared" si="5488"/>
        <v>0</v>
      </c>
      <c r="CP1223" s="552">
        <f t="shared" si="5488"/>
        <v>0</v>
      </c>
      <c r="CQ1223" s="552">
        <f t="shared" si="5488"/>
        <v>0</v>
      </c>
      <c r="CR1223" s="552">
        <f t="shared" si="5488"/>
        <v>0</v>
      </c>
      <c r="CS1223" s="552">
        <f t="shared" si="5488"/>
        <v>0</v>
      </c>
      <c r="CT1223" s="552">
        <f t="shared" si="5488"/>
        <v>0</v>
      </c>
      <c r="CU1223" s="552">
        <f t="shared" si="5488"/>
        <v>0</v>
      </c>
      <c r="CV1223" s="552">
        <f t="shared" si="5488"/>
        <v>0</v>
      </c>
      <c r="CW1223" s="552">
        <f t="shared" si="5488"/>
        <v>0</v>
      </c>
      <c r="CX1223" s="552">
        <f t="shared" si="5488"/>
        <v>0</v>
      </c>
      <c r="CY1223" s="552">
        <f t="shared" si="5488"/>
        <v>0</v>
      </c>
      <c r="CZ1223" s="552">
        <f t="shared" si="5488"/>
        <v>0</v>
      </c>
      <c r="DA1223" s="552">
        <f t="shared" si="5488"/>
        <v>0</v>
      </c>
      <c r="DB1223" s="552">
        <f t="shared" ref="DB1223:EG1223" si="5489">DB271*DB$338</f>
        <v>0</v>
      </c>
      <c r="DC1223" s="552">
        <f t="shared" si="5489"/>
        <v>0</v>
      </c>
      <c r="DD1223" s="552">
        <f t="shared" si="5489"/>
        <v>0</v>
      </c>
      <c r="DE1223" s="552">
        <f t="shared" si="5489"/>
        <v>0</v>
      </c>
      <c r="DF1223" s="552">
        <f t="shared" si="5489"/>
        <v>0</v>
      </c>
      <c r="DG1223" s="552">
        <f t="shared" si="5489"/>
        <v>0</v>
      </c>
      <c r="DH1223" s="552">
        <f t="shared" si="5489"/>
        <v>0</v>
      </c>
      <c r="DI1223" s="552">
        <f t="shared" si="5489"/>
        <v>0</v>
      </c>
      <c r="DJ1223" s="552">
        <f t="shared" si="5489"/>
        <v>0</v>
      </c>
      <c r="DK1223" s="552">
        <f t="shared" si="5489"/>
        <v>0</v>
      </c>
      <c r="DL1223" s="552">
        <f t="shared" si="5489"/>
        <v>0</v>
      </c>
      <c r="DM1223" s="552">
        <f t="shared" si="5489"/>
        <v>0</v>
      </c>
      <c r="DN1223" s="552">
        <f t="shared" si="5489"/>
        <v>0</v>
      </c>
      <c r="DO1223" s="552">
        <f t="shared" si="5489"/>
        <v>0</v>
      </c>
      <c r="DP1223" s="552">
        <f t="shared" si="5489"/>
        <v>0</v>
      </c>
      <c r="DQ1223" s="552">
        <f t="shared" si="5489"/>
        <v>0</v>
      </c>
      <c r="DR1223" s="552">
        <f t="shared" si="5489"/>
        <v>0</v>
      </c>
      <c r="DS1223" s="552">
        <f t="shared" si="5489"/>
        <v>0</v>
      </c>
      <c r="DT1223" s="552">
        <f t="shared" si="5489"/>
        <v>0</v>
      </c>
      <c r="DU1223" s="552">
        <f t="shared" si="5489"/>
        <v>0</v>
      </c>
      <c r="DV1223" s="552">
        <f t="shared" si="5489"/>
        <v>0</v>
      </c>
      <c r="DW1223" s="552">
        <f t="shared" si="5489"/>
        <v>0</v>
      </c>
      <c r="DX1223" s="552">
        <f t="shared" si="5489"/>
        <v>0</v>
      </c>
      <c r="DY1223" s="552">
        <f t="shared" si="5489"/>
        <v>0</v>
      </c>
      <c r="DZ1223" s="552">
        <f t="shared" si="5489"/>
        <v>0</v>
      </c>
      <c r="EA1223" s="552">
        <f t="shared" si="5489"/>
        <v>0</v>
      </c>
      <c r="EB1223" s="552">
        <f t="shared" si="5489"/>
        <v>0</v>
      </c>
      <c r="EC1223" s="552">
        <f t="shared" si="5489"/>
        <v>0</v>
      </c>
      <c r="ED1223" s="552">
        <f t="shared" si="5489"/>
        <v>0</v>
      </c>
      <c r="EE1223" s="552">
        <f t="shared" si="5489"/>
        <v>0</v>
      </c>
      <c r="EF1223" s="552">
        <f t="shared" si="5489"/>
        <v>0</v>
      </c>
      <c r="EG1223" s="552">
        <f t="shared" si="5489"/>
        <v>0</v>
      </c>
      <c r="EH1223" s="552">
        <f t="shared" ref="EH1223:EX1223" si="5490">EH271*EH$338</f>
        <v>0</v>
      </c>
      <c r="EI1223" s="552">
        <f t="shared" si="5490"/>
        <v>0</v>
      </c>
      <c r="EJ1223" s="552">
        <f t="shared" si="5490"/>
        <v>0</v>
      </c>
      <c r="EK1223" s="552">
        <f t="shared" si="5490"/>
        <v>0</v>
      </c>
      <c r="EL1223" s="552">
        <f t="shared" si="5490"/>
        <v>0</v>
      </c>
      <c r="EM1223" s="552">
        <f t="shared" si="5490"/>
        <v>0</v>
      </c>
      <c r="EN1223" s="552">
        <f t="shared" si="5490"/>
        <v>0</v>
      </c>
      <c r="EO1223" s="552">
        <f t="shared" si="5490"/>
        <v>0</v>
      </c>
      <c r="EP1223" s="552">
        <f t="shared" si="5490"/>
        <v>0</v>
      </c>
      <c r="EQ1223" s="552">
        <f t="shared" si="5490"/>
        <v>0</v>
      </c>
      <c r="ER1223" s="552">
        <f t="shared" si="5490"/>
        <v>0</v>
      </c>
      <c r="ES1223" s="552">
        <f t="shared" si="5490"/>
        <v>0</v>
      </c>
      <c r="ET1223" s="552">
        <f t="shared" si="5490"/>
        <v>0</v>
      </c>
      <c r="EU1223" s="552">
        <f t="shared" si="5490"/>
        <v>0</v>
      </c>
      <c r="EV1223" s="552">
        <f t="shared" si="5490"/>
        <v>0</v>
      </c>
      <c r="EW1223" s="552">
        <f t="shared" si="5490"/>
        <v>0</v>
      </c>
      <c r="EX1223" s="552">
        <f t="shared" si="5490"/>
        <v>0</v>
      </c>
      <c r="EY1223" s="799">
        <f t="shared" si="4577"/>
        <v>0</v>
      </c>
      <c r="EZ1223" s="640"/>
      <c r="FA1223" s="640"/>
      <c r="FB1223" s="640"/>
      <c r="FC1223" s="640"/>
      <c r="FD1223" s="640"/>
      <c r="FE1223" s="640"/>
      <c r="FF1223" s="640"/>
      <c r="FG1223" s="640"/>
      <c r="FH1223" s="640"/>
      <c r="FI1223" s="640"/>
      <c r="FJ1223" s="640"/>
      <c r="FK1223" s="640"/>
      <c r="FL1223" s="640"/>
    </row>
    <row r="1224" spans="1:168" x14ac:dyDescent="0.25">
      <c r="A1224" s="1492"/>
      <c r="B1224" s="624">
        <f t="shared" si="5464"/>
        <v>0</v>
      </c>
      <c r="C1224" s="624">
        <f t="shared" si="5464"/>
        <v>0</v>
      </c>
      <c r="D1224" s="624">
        <f t="shared" si="5464"/>
        <v>0</v>
      </c>
      <c r="E1224" s="1158">
        <f t="shared" si="5465"/>
        <v>0</v>
      </c>
      <c r="F1224" s="1158"/>
      <c r="G1224" s="1140"/>
      <c r="H1224" s="1140"/>
      <c r="I1224" s="552"/>
      <c r="J1224" s="552">
        <f t="shared" ref="J1224:AO1224" si="5491">J272*J$338</f>
        <v>0</v>
      </c>
      <c r="K1224" s="552">
        <f t="shared" si="5491"/>
        <v>0</v>
      </c>
      <c r="L1224" s="552">
        <f t="shared" si="5491"/>
        <v>0</v>
      </c>
      <c r="M1224" s="552">
        <f t="shared" si="5491"/>
        <v>0</v>
      </c>
      <c r="N1224" s="552">
        <f t="shared" si="5491"/>
        <v>0</v>
      </c>
      <c r="O1224" s="552">
        <f t="shared" si="5491"/>
        <v>0</v>
      </c>
      <c r="P1224" s="552">
        <f t="shared" si="5491"/>
        <v>0</v>
      </c>
      <c r="Q1224" s="552">
        <f t="shared" si="5491"/>
        <v>0</v>
      </c>
      <c r="R1224" s="552">
        <f t="shared" si="5491"/>
        <v>0</v>
      </c>
      <c r="S1224" s="552">
        <f t="shared" si="5491"/>
        <v>0</v>
      </c>
      <c r="T1224" s="552">
        <f t="shared" si="5491"/>
        <v>0</v>
      </c>
      <c r="U1224" s="552">
        <f t="shared" si="5491"/>
        <v>0</v>
      </c>
      <c r="V1224" s="552">
        <f t="shared" si="5491"/>
        <v>0</v>
      </c>
      <c r="W1224" s="552">
        <f t="shared" si="5491"/>
        <v>0</v>
      </c>
      <c r="X1224" s="552">
        <f t="shared" si="5491"/>
        <v>0</v>
      </c>
      <c r="Y1224" s="552">
        <f t="shared" si="5491"/>
        <v>0</v>
      </c>
      <c r="Z1224" s="552">
        <f t="shared" si="5491"/>
        <v>0</v>
      </c>
      <c r="AA1224" s="552">
        <f t="shared" si="5491"/>
        <v>0</v>
      </c>
      <c r="AB1224" s="552">
        <f t="shared" si="5491"/>
        <v>0</v>
      </c>
      <c r="AC1224" s="552">
        <f t="shared" si="5491"/>
        <v>0</v>
      </c>
      <c r="AD1224" s="552">
        <f t="shared" si="5491"/>
        <v>0</v>
      </c>
      <c r="AE1224" s="552">
        <f t="shared" si="5491"/>
        <v>0</v>
      </c>
      <c r="AF1224" s="552">
        <f t="shared" si="5491"/>
        <v>0</v>
      </c>
      <c r="AG1224" s="552">
        <f t="shared" si="5491"/>
        <v>0</v>
      </c>
      <c r="AH1224" s="552">
        <f t="shared" si="5491"/>
        <v>0</v>
      </c>
      <c r="AI1224" s="552">
        <f t="shared" si="5491"/>
        <v>0</v>
      </c>
      <c r="AJ1224" s="552">
        <f t="shared" si="5491"/>
        <v>0</v>
      </c>
      <c r="AK1224" s="552">
        <f t="shared" si="5491"/>
        <v>0</v>
      </c>
      <c r="AL1224" s="552">
        <f t="shared" si="5491"/>
        <v>0</v>
      </c>
      <c r="AM1224" s="552">
        <f t="shared" si="5491"/>
        <v>0</v>
      </c>
      <c r="AN1224" s="552">
        <f t="shared" si="5491"/>
        <v>0</v>
      </c>
      <c r="AO1224" s="552">
        <f t="shared" si="5491"/>
        <v>0</v>
      </c>
      <c r="AP1224" s="552">
        <f t="shared" ref="AP1224:BU1224" si="5492">AP272*AP$338</f>
        <v>0</v>
      </c>
      <c r="AQ1224" s="552">
        <f t="shared" si="5492"/>
        <v>0</v>
      </c>
      <c r="AR1224" s="552">
        <f t="shared" si="5492"/>
        <v>0</v>
      </c>
      <c r="AS1224" s="552">
        <f t="shared" si="5492"/>
        <v>0</v>
      </c>
      <c r="AT1224" s="552">
        <f t="shared" si="5492"/>
        <v>0</v>
      </c>
      <c r="AU1224" s="552">
        <f t="shared" si="5492"/>
        <v>0</v>
      </c>
      <c r="AV1224" s="552">
        <f t="shared" si="5492"/>
        <v>0</v>
      </c>
      <c r="AW1224" s="552">
        <f t="shared" si="5492"/>
        <v>0</v>
      </c>
      <c r="AX1224" s="552">
        <f t="shared" si="5492"/>
        <v>0</v>
      </c>
      <c r="AY1224" s="552">
        <f t="shared" si="5492"/>
        <v>0</v>
      </c>
      <c r="AZ1224" s="552">
        <f t="shared" si="5492"/>
        <v>0</v>
      </c>
      <c r="BA1224" s="552">
        <f t="shared" si="5492"/>
        <v>0</v>
      </c>
      <c r="BB1224" s="552">
        <f t="shared" si="5492"/>
        <v>0</v>
      </c>
      <c r="BC1224" s="552">
        <f t="shared" si="5492"/>
        <v>0</v>
      </c>
      <c r="BD1224" s="552">
        <f t="shared" si="5492"/>
        <v>0</v>
      </c>
      <c r="BE1224" s="552">
        <f t="shared" si="5492"/>
        <v>0</v>
      </c>
      <c r="BF1224" s="552">
        <f t="shared" si="5492"/>
        <v>0</v>
      </c>
      <c r="BG1224" s="552">
        <f t="shared" si="5492"/>
        <v>0</v>
      </c>
      <c r="BH1224" s="552">
        <f t="shared" si="5492"/>
        <v>0</v>
      </c>
      <c r="BI1224" s="552">
        <f t="shared" si="5492"/>
        <v>0</v>
      </c>
      <c r="BJ1224" s="552">
        <f t="shared" si="5492"/>
        <v>0</v>
      </c>
      <c r="BK1224" s="552">
        <f t="shared" si="5492"/>
        <v>0</v>
      </c>
      <c r="BL1224" s="552">
        <f t="shared" si="5492"/>
        <v>0</v>
      </c>
      <c r="BM1224" s="552">
        <f t="shared" si="5492"/>
        <v>0</v>
      </c>
      <c r="BN1224" s="552">
        <f t="shared" si="5492"/>
        <v>0</v>
      </c>
      <c r="BO1224" s="552">
        <f t="shared" si="5492"/>
        <v>0</v>
      </c>
      <c r="BP1224" s="552">
        <f t="shared" si="5492"/>
        <v>0</v>
      </c>
      <c r="BQ1224" s="552">
        <f t="shared" si="5492"/>
        <v>0</v>
      </c>
      <c r="BR1224" s="552">
        <f t="shared" si="5492"/>
        <v>0</v>
      </c>
      <c r="BS1224" s="552">
        <f t="shared" si="5492"/>
        <v>0</v>
      </c>
      <c r="BT1224" s="552">
        <f t="shared" si="5492"/>
        <v>0</v>
      </c>
      <c r="BU1224" s="552">
        <f t="shared" si="5492"/>
        <v>0</v>
      </c>
      <c r="BV1224" s="552">
        <f t="shared" ref="BV1224:DA1224" si="5493">BV272*BV$338</f>
        <v>0</v>
      </c>
      <c r="BW1224" s="552">
        <f t="shared" si="5493"/>
        <v>0</v>
      </c>
      <c r="BX1224" s="552">
        <f t="shared" si="5493"/>
        <v>0</v>
      </c>
      <c r="BY1224" s="552">
        <f t="shared" si="5493"/>
        <v>0</v>
      </c>
      <c r="BZ1224" s="552">
        <f t="shared" si="5493"/>
        <v>0</v>
      </c>
      <c r="CA1224" s="552">
        <f t="shared" si="5493"/>
        <v>0</v>
      </c>
      <c r="CB1224" s="552">
        <f t="shared" si="5493"/>
        <v>0</v>
      </c>
      <c r="CC1224" s="552">
        <f t="shared" si="5493"/>
        <v>0</v>
      </c>
      <c r="CD1224" s="552">
        <f t="shared" si="5493"/>
        <v>0</v>
      </c>
      <c r="CE1224" s="552">
        <f t="shared" si="5493"/>
        <v>0</v>
      </c>
      <c r="CF1224" s="552">
        <f t="shared" si="5493"/>
        <v>0</v>
      </c>
      <c r="CG1224" s="552">
        <f t="shared" si="5493"/>
        <v>0</v>
      </c>
      <c r="CH1224" s="552">
        <f t="shared" si="5493"/>
        <v>0</v>
      </c>
      <c r="CI1224" s="552">
        <f t="shared" si="5493"/>
        <v>0</v>
      </c>
      <c r="CJ1224" s="552">
        <f t="shared" si="5493"/>
        <v>0</v>
      </c>
      <c r="CK1224" s="552">
        <f t="shared" si="5493"/>
        <v>0</v>
      </c>
      <c r="CL1224" s="552">
        <f t="shared" si="5493"/>
        <v>0</v>
      </c>
      <c r="CM1224" s="552">
        <f t="shared" si="5493"/>
        <v>0</v>
      </c>
      <c r="CN1224" s="552">
        <f t="shared" si="5493"/>
        <v>0</v>
      </c>
      <c r="CO1224" s="552">
        <f t="shared" si="5493"/>
        <v>0</v>
      </c>
      <c r="CP1224" s="552">
        <f t="shared" si="5493"/>
        <v>0</v>
      </c>
      <c r="CQ1224" s="552">
        <f t="shared" si="5493"/>
        <v>0</v>
      </c>
      <c r="CR1224" s="552">
        <f t="shared" si="5493"/>
        <v>0</v>
      </c>
      <c r="CS1224" s="552">
        <f t="shared" si="5493"/>
        <v>0</v>
      </c>
      <c r="CT1224" s="552">
        <f t="shared" si="5493"/>
        <v>0</v>
      </c>
      <c r="CU1224" s="552">
        <f t="shared" si="5493"/>
        <v>0</v>
      </c>
      <c r="CV1224" s="552">
        <f t="shared" si="5493"/>
        <v>0</v>
      </c>
      <c r="CW1224" s="552">
        <f t="shared" si="5493"/>
        <v>0</v>
      </c>
      <c r="CX1224" s="552">
        <f t="shared" si="5493"/>
        <v>0</v>
      </c>
      <c r="CY1224" s="552">
        <f t="shared" si="5493"/>
        <v>0</v>
      </c>
      <c r="CZ1224" s="552">
        <f t="shared" si="5493"/>
        <v>0</v>
      </c>
      <c r="DA1224" s="552">
        <f t="shared" si="5493"/>
        <v>0</v>
      </c>
      <c r="DB1224" s="552">
        <f t="shared" ref="DB1224:EG1224" si="5494">DB272*DB$338</f>
        <v>0</v>
      </c>
      <c r="DC1224" s="552">
        <f t="shared" si="5494"/>
        <v>0</v>
      </c>
      <c r="DD1224" s="552">
        <f t="shared" si="5494"/>
        <v>0</v>
      </c>
      <c r="DE1224" s="552">
        <f t="shared" si="5494"/>
        <v>0</v>
      </c>
      <c r="DF1224" s="552">
        <f t="shared" si="5494"/>
        <v>0</v>
      </c>
      <c r="DG1224" s="552">
        <f t="shared" si="5494"/>
        <v>0</v>
      </c>
      <c r="DH1224" s="552">
        <f t="shared" si="5494"/>
        <v>0</v>
      </c>
      <c r="DI1224" s="552">
        <f t="shared" si="5494"/>
        <v>0</v>
      </c>
      <c r="DJ1224" s="552">
        <f t="shared" si="5494"/>
        <v>0</v>
      </c>
      <c r="DK1224" s="552">
        <f t="shared" si="5494"/>
        <v>0</v>
      </c>
      <c r="DL1224" s="552">
        <f t="shared" si="5494"/>
        <v>0</v>
      </c>
      <c r="DM1224" s="552">
        <f t="shared" si="5494"/>
        <v>0</v>
      </c>
      <c r="DN1224" s="552">
        <f t="shared" si="5494"/>
        <v>0</v>
      </c>
      <c r="DO1224" s="552">
        <f t="shared" si="5494"/>
        <v>0</v>
      </c>
      <c r="DP1224" s="552">
        <f t="shared" si="5494"/>
        <v>0</v>
      </c>
      <c r="DQ1224" s="552">
        <f t="shared" si="5494"/>
        <v>0</v>
      </c>
      <c r="DR1224" s="552">
        <f t="shared" si="5494"/>
        <v>0</v>
      </c>
      <c r="DS1224" s="552">
        <f t="shared" si="5494"/>
        <v>0</v>
      </c>
      <c r="DT1224" s="552">
        <f t="shared" si="5494"/>
        <v>0</v>
      </c>
      <c r="DU1224" s="552">
        <f t="shared" si="5494"/>
        <v>0</v>
      </c>
      <c r="DV1224" s="552">
        <f t="shared" si="5494"/>
        <v>0</v>
      </c>
      <c r="DW1224" s="552">
        <f t="shared" si="5494"/>
        <v>0</v>
      </c>
      <c r="DX1224" s="552">
        <f t="shared" si="5494"/>
        <v>0</v>
      </c>
      <c r="DY1224" s="552">
        <f t="shared" si="5494"/>
        <v>0</v>
      </c>
      <c r="DZ1224" s="552">
        <f t="shared" si="5494"/>
        <v>0</v>
      </c>
      <c r="EA1224" s="552">
        <f t="shared" si="5494"/>
        <v>0</v>
      </c>
      <c r="EB1224" s="552">
        <f t="shared" si="5494"/>
        <v>0</v>
      </c>
      <c r="EC1224" s="552">
        <f t="shared" si="5494"/>
        <v>0</v>
      </c>
      <c r="ED1224" s="552">
        <f t="shared" si="5494"/>
        <v>0</v>
      </c>
      <c r="EE1224" s="552">
        <f t="shared" si="5494"/>
        <v>0</v>
      </c>
      <c r="EF1224" s="552">
        <f t="shared" si="5494"/>
        <v>0</v>
      </c>
      <c r="EG1224" s="552">
        <f t="shared" si="5494"/>
        <v>0</v>
      </c>
      <c r="EH1224" s="552">
        <f t="shared" ref="EH1224:EX1224" si="5495">EH272*EH$338</f>
        <v>0</v>
      </c>
      <c r="EI1224" s="552">
        <f t="shared" si="5495"/>
        <v>0</v>
      </c>
      <c r="EJ1224" s="552">
        <f t="shared" si="5495"/>
        <v>0</v>
      </c>
      <c r="EK1224" s="552">
        <f t="shared" si="5495"/>
        <v>0</v>
      </c>
      <c r="EL1224" s="552">
        <f t="shared" si="5495"/>
        <v>0</v>
      </c>
      <c r="EM1224" s="552">
        <f t="shared" si="5495"/>
        <v>0</v>
      </c>
      <c r="EN1224" s="552">
        <f t="shared" si="5495"/>
        <v>0</v>
      </c>
      <c r="EO1224" s="552">
        <f t="shared" si="5495"/>
        <v>0</v>
      </c>
      <c r="EP1224" s="552">
        <f t="shared" si="5495"/>
        <v>0</v>
      </c>
      <c r="EQ1224" s="552">
        <f t="shared" si="5495"/>
        <v>0</v>
      </c>
      <c r="ER1224" s="552">
        <f t="shared" si="5495"/>
        <v>0</v>
      </c>
      <c r="ES1224" s="552">
        <f t="shared" si="5495"/>
        <v>0</v>
      </c>
      <c r="ET1224" s="552">
        <f t="shared" si="5495"/>
        <v>0</v>
      </c>
      <c r="EU1224" s="552">
        <f t="shared" si="5495"/>
        <v>0</v>
      </c>
      <c r="EV1224" s="552">
        <f t="shared" si="5495"/>
        <v>0</v>
      </c>
      <c r="EW1224" s="552">
        <f t="shared" si="5495"/>
        <v>0</v>
      </c>
      <c r="EX1224" s="552">
        <f t="shared" si="5495"/>
        <v>0</v>
      </c>
      <c r="EY1224" s="799">
        <f t="shared" si="4577"/>
        <v>0</v>
      </c>
      <c r="EZ1224" s="640"/>
      <c r="FA1224" s="640"/>
      <c r="FB1224" s="640"/>
      <c r="FC1224" s="640"/>
      <c r="FD1224" s="640"/>
      <c r="FE1224" s="640"/>
      <c r="FF1224" s="640"/>
      <c r="FG1224" s="640"/>
      <c r="FH1224" s="640"/>
      <c r="FI1224" s="640"/>
      <c r="FJ1224" s="640"/>
      <c r="FK1224" s="640"/>
      <c r="FL1224" s="640"/>
    </row>
    <row r="1225" spans="1:168" x14ac:dyDescent="0.25">
      <c r="A1225" s="1492"/>
      <c r="B1225" s="624">
        <f t="shared" si="5464"/>
        <v>0</v>
      </c>
      <c r="C1225" s="624">
        <f t="shared" si="5464"/>
        <v>0</v>
      </c>
      <c r="D1225" s="624">
        <f t="shared" si="5464"/>
        <v>0</v>
      </c>
      <c r="E1225" s="1158">
        <f t="shared" si="5465"/>
        <v>0</v>
      </c>
      <c r="F1225" s="1158"/>
      <c r="G1225" s="1140"/>
      <c r="H1225" s="1140"/>
      <c r="I1225" s="552"/>
      <c r="J1225" s="552">
        <f t="shared" ref="J1225:AO1225" si="5496">J273*J$338</f>
        <v>0</v>
      </c>
      <c r="K1225" s="552">
        <f t="shared" si="5496"/>
        <v>0</v>
      </c>
      <c r="L1225" s="552">
        <f t="shared" si="5496"/>
        <v>0</v>
      </c>
      <c r="M1225" s="552">
        <f t="shared" si="5496"/>
        <v>0</v>
      </c>
      <c r="N1225" s="552">
        <f t="shared" si="5496"/>
        <v>0</v>
      </c>
      <c r="O1225" s="552">
        <f t="shared" si="5496"/>
        <v>0</v>
      </c>
      <c r="P1225" s="552">
        <f t="shared" si="5496"/>
        <v>0</v>
      </c>
      <c r="Q1225" s="552">
        <f t="shared" si="5496"/>
        <v>0</v>
      </c>
      <c r="R1225" s="552">
        <f t="shared" si="5496"/>
        <v>0</v>
      </c>
      <c r="S1225" s="552">
        <f t="shared" si="5496"/>
        <v>0</v>
      </c>
      <c r="T1225" s="552">
        <f t="shared" si="5496"/>
        <v>0</v>
      </c>
      <c r="U1225" s="552">
        <f t="shared" si="5496"/>
        <v>0</v>
      </c>
      <c r="V1225" s="552">
        <f t="shared" si="5496"/>
        <v>0</v>
      </c>
      <c r="W1225" s="552">
        <f t="shared" si="5496"/>
        <v>0</v>
      </c>
      <c r="X1225" s="552">
        <f t="shared" si="5496"/>
        <v>0</v>
      </c>
      <c r="Y1225" s="552">
        <f t="shared" si="5496"/>
        <v>0</v>
      </c>
      <c r="Z1225" s="552">
        <f t="shared" si="5496"/>
        <v>0</v>
      </c>
      <c r="AA1225" s="552">
        <f t="shared" si="5496"/>
        <v>0</v>
      </c>
      <c r="AB1225" s="552">
        <f t="shared" si="5496"/>
        <v>0</v>
      </c>
      <c r="AC1225" s="552">
        <f t="shared" si="5496"/>
        <v>0</v>
      </c>
      <c r="AD1225" s="552">
        <f t="shared" si="5496"/>
        <v>0</v>
      </c>
      <c r="AE1225" s="552">
        <f t="shared" si="5496"/>
        <v>0</v>
      </c>
      <c r="AF1225" s="552">
        <f t="shared" si="5496"/>
        <v>0</v>
      </c>
      <c r="AG1225" s="552">
        <f t="shared" si="5496"/>
        <v>0</v>
      </c>
      <c r="AH1225" s="552">
        <f t="shared" si="5496"/>
        <v>0</v>
      </c>
      <c r="AI1225" s="552">
        <f t="shared" si="5496"/>
        <v>0</v>
      </c>
      <c r="AJ1225" s="552">
        <f t="shared" si="5496"/>
        <v>0</v>
      </c>
      <c r="AK1225" s="552">
        <f t="shared" si="5496"/>
        <v>0</v>
      </c>
      <c r="AL1225" s="552">
        <f t="shared" si="5496"/>
        <v>0</v>
      </c>
      <c r="AM1225" s="552">
        <f t="shared" si="5496"/>
        <v>0</v>
      </c>
      <c r="AN1225" s="552">
        <f t="shared" si="5496"/>
        <v>0</v>
      </c>
      <c r="AO1225" s="552">
        <f t="shared" si="5496"/>
        <v>0</v>
      </c>
      <c r="AP1225" s="552">
        <f t="shared" ref="AP1225:BU1225" si="5497">AP273*AP$338</f>
        <v>0</v>
      </c>
      <c r="AQ1225" s="552">
        <f t="shared" si="5497"/>
        <v>0</v>
      </c>
      <c r="AR1225" s="552">
        <f t="shared" si="5497"/>
        <v>0</v>
      </c>
      <c r="AS1225" s="552">
        <f t="shared" si="5497"/>
        <v>0</v>
      </c>
      <c r="AT1225" s="552">
        <f t="shared" si="5497"/>
        <v>0</v>
      </c>
      <c r="AU1225" s="552">
        <f t="shared" si="5497"/>
        <v>0</v>
      </c>
      <c r="AV1225" s="552">
        <f t="shared" si="5497"/>
        <v>0</v>
      </c>
      <c r="AW1225" s="552">
        <f t="shared" si="5497"/>
        <v>0</v>
      </c>
      <c r="AX1225" s="552">
        <f t="shared" si="5497"/>
        <v>0</v>
      </c>
      <c r="AY1225" s="552">
        <f t="shared" si="5497"/>
        <v>0</v>
      </c>
      <c r="AZ1225" s="552">
        <f t="shared" si="5497"/>
        <v>0</v>
      </c>
      <c r="BA1225" s="552">
        <f t="shared" si="5497"/>
        <v>0</v>
      </c>
      <c r="BB1225" s="552">
        <f t="shared" si="5497"/>
        <v>0</v>
      </c>
      <c r="BC1225" s="552">
        <f t="shared" si="5497"/>
        <v>0</v>
      </c>
      <c r="BD1225" s="552">
        <f t="shared" si="5497"/>
        <v>0</v>
      </c>
      <c r="BE1225" s="552">
        <f t="shared" si="5497"/>
        <v>0</v>
      </c>
      <c r="BF1225" s="552">
        <f t="shared" si="5497"/>
        <v>0</v>
      </c>
      <c r="BG1225" s="552">
        <f t="shared" si="5497"/>
        <v>0</v>
      </c>
      <c r="BH1225" s="552">
        <f t="shared" si="5497"/>
        <v>0</v>
      </c>
      <c r="BI1225" s="552">
        <f t="shared" si="5497"/>
        <v>0</v>
      </c>
      <c r="BJ1225" s="552">
        <f t="shared" si="5497"/>
        <v>0</v>
      </c>
      <c r="BK1225" s="552">
        <f t="shared" si="5497"/>
        <v>0</v>
      </c>
      <c r="BL1225" s="552">
        <f t="shared" si="5497"/>
        <v>0</v>
      </c>
      <c r="BM1225" s="552">
        <f t="shared" si="5497"/>
        <v>0</v>
      </c>
      <c r="BN1225" s="552">
        <f t="shared" si="5497"/>
        <v>0</v>
      </c>
      <c r="BO1225" s="552">
        <f t="shared" si="5497"/>
        <v>0</v>
      </c>
      <c r="BP1225" s="552">
        <f t="shared" si="5497"/>
        <v>0</v>
      </c>
      <c r="BQ1225" s="552">
        <f t="shared" si="5497"/>
        <v>0</v>
      </c>
      <c r="BR1225" s="552">
        <f t="shared" si="5497"/>
        <v>0</v>
      </c>
      <c r="BS1225" s="552">
        <f t="shared" si="5497"/>
        <v>0</v>
      </c>
      <c r="BT1225" s="552">
        <f t="shared" si="5497"/>
        <v>0</v>
      </c>
      <c r="BU1225" s="552">
        <f t="shared" si="5497"/>
        <v>0</v>
      </c>
      <c r="BV1225" s="552">
        <f t="shared" ref="BV1225:DA1225" si="5498">BV273*BV$338</f>
        <v>0</v>
      </c>
      <c r="BW1225" s="552">
        <f t="shared" si="5498"/>
        <v>0</v>
      </c>
      <c r="BX1225" s="552">
        <f t="shared" si="5498"/>
        <v>0</v>
      </c>
      <c r="BY1225" s="552">
        <f t="shared" si="5498"/>
        <v>0</v>
      </c>
      <c r="BZ1225" s="552">
        <f t="shared" si="5498"/>
        <v>0</v>
      </c>
      <c r="CA1225" s="552">
        <f t="shared" si="5498"/>
        <v>0</v>
      </c>
      <c r="CB1225" s="552">
        <f t="shared" si="5498"/>
        <v>0</v>
      </c>
      <c r="CC1225" s="552">
        <f t="shared" si="5498"/>
        <v>0</v>
      </c>
      <c r="CD1225" s="552">
        <f t="shared" si="5498"/>
        <v>0</v>
      </c>
      <c r="CE1225" s="552">
        <f t="shared" si="5498"/>
        <v>0</v>
      </c>
      <c r="CF1225" s="552">
        <f t="shared" si="5498"/>
        <v>0</v>
      </c>
      <c r="CG1225" s="552">
        <f t="shared" si="5498"/>
        <v>0</v>
      </c>
      <c r="CH1225" s="552">
        <f t="shared" si="5498"/>
        <v>0</v>
      </c>
      <c r="CI1225" s="552">
        <f t="shared" si="5498"/>
        <v>0</v>
      </c>
      <c r="CJ1225" s="552">
        <f t="shared" si="5498"/>
        <v>0</v>
      </c>
      <c r="CK1225" s="552">
        <f t="shared" si="5498"/>
        <v>0</v>
      </c>
      <c r="CL1225" s="552">
        <f t="shared" si="5498"/>
        <v>0</v>
      </c>
      <c r="CM1225" s="552">
        <f t="shared" si="5498"/>
        <v>0</v>
      </c>
      <c r="CN1225" s="552">
        <f t="shared" si="5498"/>
        <v>0</v>
      </c>
      <c r="CO1225" s="552">
        <f t="shared" si="5498"/>
        <v>0</v>
      </c>
      <c r="CP1225" s="552">
        <f t="shared" si="5498"/>
        <v>0</v>
      </c>
      <c r="CQ1225" s="552">
        <f t="shared" si="5498"/>
        <v>0</v>
      </c>
      <c r="CR1225" s="552">
        <f t="shared" si="5498"/>
        <v>0</v>
      </c>
      <c r="CS1225" s="552">
        <f t="shared" si="5498"/>
        <v>0</v>
      </c>
      <c r="CT1225" s="552">
        <f t="shared" si="5498"/>
        <v>0</v>
      </c>
      <c r="CU1225" s="552">
        <f t="shared" si="5498"/>
        <v>0</v>
      </c>
      <c r="CV1225" s="552">
        <f t="shared" si="5498"/>
        <v>0</v>
      </c>
      <c r="CW1225" s="552">
        <f t="shared" si="5498"/>
        <v>0</v>
      </c>
      <c r="CX1225" s="552">
        <f t="shared" si="5498"/>
        <v>0</v>
      </c>
      <c r="CY1225" s="552">
        <f t="shared" si="5498"/>
        <v>0</v>
      </c>
      <c r="CZ1225" s="552">
        <f t="shared" si="5498"/>
        <v>0</v>
      </c>
      <c r="DA1225" s="552">
        <f t="shared" si="5498"/>
        <v>0</v>
      </c>
      <c r="DB1225" s="552">
        <f t="shared" ref="DB1225:EG1225" si="5499">DB273*DB$338</f>
        <v>0</v>
      </c>
      <c r="DC1225" s="552">
        <f t="shared" si="5499"/>
        <v>0</v>
      </c>
      <c r="DD1225" s="552">
        <f t="shared" si="5499"/>
        <v>0</v>
      </c>
      <c r="DE1225" s="552">
        <f t="shared" si="5499"/>
        <v>0</v>
      </c>
      <c r="DF1225" s="552">
        <f t="shared" si="5499"/>
        <v>0</v>
      </c>
      <c r="DG1225" s="552">
        <f t="shared" si="5499"/>
        <v>0</v>
      </c>
      <c r="DH1225" s="552">
        <f t="shared" si="5499"/>
        <v>0</v>
      </c>
      <c r="DI1225" s="552">
        <f t="shared" si="5499"/>
        <v>0</v>
      </c>
      <c r="DJ1225" s="552">
        <f t="shared" si="5499"/>
        <v>0</v>
      </c>
      <c r="DK1225" s="552">
        <f t="shared" si="5499"/>
        <v>0</v>
      </c>
      <c r="DL1225" s="552">
        <f t="shared" si="5499"/>
        <v>0</v>
      </c>
      <c r="DM1225" s="552">
        <f t="shared" si="5499"/>
        <v>0</v>
      </c>
      <c r="DN1225" s="552">
        <f t="shared" si="5499"/>
        <v>0</v>
      </c>
      <c r="DO1225" s="552">
        <f t="shared" si="5499"/>
        <v>0</v>
      </c>
      <c r="DP1225" s="552">
        <f t="shared" si="5499"/>
        <v>0</v>
      </c>
      <c r="DQ1225" s="552">
        <f t="shared" si="5499"/>
        <v>0</v>
      </c>
      <c r="DR1225" s="552">
        <f t="shared" si="5499"/>
        <v>0</v>
      </c>
      <c r="DS1225" s="552">
        <f t="shared" si="5499"/>
        <v>0</v>
      </c>
      <c r="DT1225" s="552">
        <f t="shared" si="5499"/>
        <v>0</v>
      </c>
      <c r="DU1225" s="552">
        <f t="shared" si="5499"/>
        <v>0</v>
      </c>
      <c r="DV1225" s="552">
        <f t="shared" si="5499"/>
        <v>0</v>
      </c>
      <c r="DW1225" s="552">
        <f t="shared" si="5499"/>
        <v>0</v>
      </c>
      <c r="DX1225" s="552">
        <f t="shared" si="5499"/>
        <v>0</v>
      </c>
      <c r="DY1225" s="552">
        <f t="shared" si="5499"/>
        <v>0</v>
      </c>
      <c r="DZ1225" s="552">
        <f t="shared" si="5499"/>
        <v>0</v>
      </c>
      <c r="EA1225" s="552">
        <f t="shared" si="5499"/>
        <v>0</v>
      </c>
      <c r="EB1225" s="552">
        <f t="shared" si="5499"/>
        <v>0</v>
      </c>
      <c r="EC1225" s="552">
        <f t="shared" si="5499"/>
        <v>0</v>
      </c>
      <c r="ED1225" s="552">
        <f t="shared" si="5499"/>
        <v>0</v>
      </c>
      <c r="EE1225" s="552">
        <f t="shared" si="5499"/>
        <v>0</v>
      </c>
      <c r="EF1225" s="552">
        <f t="shared" si="5499"/>
        <v>0</v>
      </c>
      <c r="EG1225" s="552">
        <f t="shared" si="5499"/>
        <v>0</v>
      </c>
      <c r="EH1225" s="552">
        <f t="shared" ref="EH1225:EX1225" si="5500">EH273*EH$338</f>
        <v>0</v>
      </c>
      <c r="EI1225" s="552">
        <f t="shared" si="5500"/>
        <v>0</v>
      </c>
      <c r="EJ1225" s="552">
        <f t="shared" si="5500"/>
        <v>0</v>
      </c>
      <c r="EK1225" s="552">
        <f t="shared" si="5500"/>
        <v>0</v>
      </c>
      <c r="EL1225" s="552">
        <f t="shared" si="5500"/>
        <v>0</v>
      </c>
      <c r="EM1225" s="552">
        <f t="shared" si="5500"/>
        <v>0</v>
      </c>
      <c r="EN1225" s="552">
        <f t="shared" si="5500"/>
        <v>0</v>
      </c>
      <c r="EO1225" s="552">
        <f t="shared" si="5500"/>
        <v>0</v>
      </c>
      <c r="EP1225" s="552">
        <f t="shared" si="5500"/>
        <v>0</v>
      </c>
      <c r="EQ1225" s="552">
        <f t="shared" si="5500"/>
        <v>0</v>
      </c>
      <c r="ER1225" s="552">
        <f t="shared" si="5500"/>
        <v>0</v>
      </c>
      <c r="ES1225" s="552">
        <f t="shared" si="5500"/>
        <v>0</v>
      </c>
      <c r="ET1225" s="552">
        <f t="shared" si="5500"/>
        <v>0</v>
      </c>
      <c r="EU1225" s="552">
        <f t="shared" si="5500"/>
        <v>0</v>
      </c>
      <c r="EV1225" s="552">
        <f t="shared" si="5500"/>
        <v>0</v>
      </c>
      <c r="EW1225" s="552">
        <f t="shared" si="5500"/>
        <v>0</v>
      </c>
      <c r="EX1225" s="552">
        <f t="shared" si="5500"/>
        <v>0</v>
      </c>
      <c r="EY1225" s="799">
        <f t="shared" si="4577"/>
        <v>0</v>
      </c>
      <c r="EZ1225" s="640"/>
      <c r="FA1225" s="640"/>
      <c r="FB1225" s="640"/>
      <c r="FC1225" s="640"/>
      <c r="FD1225" s="640"/>
      <c r="FE1225" s="640"/>
      <c r="FF1225" s="640"/>
      <c r="FG1225" s="640"/>
      <c r="FH1225" s="640"/>
      <c r="FI1225" s="640"/>
      <c r="FJ1225" s="640"/>
      <c r="FK1225" s="640"/>
      <c r="FL1225" s="640"/>
    </row>
    <row r="1226" spans="1:168" x14ac:dyDescent="0.25">
      <c r="A1226" s="1492"/>
      <c r="B1226" s="624">
        <f t="shared" si="5464"/>
        <v>0</v>
      </c>
      <c r="C1226" s="624">
        <f t="shared" si="5464"/>
        <v>0</v>
      </c>
      <c r="D1226" s="624">
        <f t="shared" si="5464"/>
        <v>0</v>
      </c>
      <c r="E1226" s="1158">
        <f t="shared" si="5465"/>
        <v>0</v>
      </c>
      <c r="F1226" s="1158"/>
      <c r="G1226" s="1140"/>
      <c r="H1226" s="1140"/>
      <c r="I1226" s="552"/>
      <c r="J1226" s="552">
        <f t="shared" ref="J1226:AO1226" si="5501">J274*J$338</f>
        <v>0</v>
      </c>
      <c r="K1226" s="552">
        <f t="shared" si="5501"/>
        <v>0</v>
      </c>
      <c r="L1226" s="552">
        <f t="shared" si="5501"/>
        <v>0</v>
      </c>
      <c r="M1226" s="552">
        <f t="shared" si="5501"/>
        <v>0</v>
      </c>
      <c r="N1226" s="552">
        <f t="shared" si="5501"/>
        <v>0</v>
      </c>
      <c r="O1226" s="552">
        <f t="shared" si="5501"/>
        <v>0</v>
      </c>
      <c r="P1226" s="552">
        <f t="shared" si="5501"/>
        <v>0</v>
      </c>
      <c r="Q1226" s="552">
        <f t="shared" si="5501"/>
        <v>0</v>
      </c>
      <c r="R1226" s="552">
        <f t="shared" si="5501"/>
        <v>0</v>
      </c>
      <c r="S1226" s="552">
        <f t="shared" si="5501"/>
        <v>0</v>
      </c>
      <c r="T1226" s="552">
        <f t="shared" si="5501"/>
        <v>0</v>
      </c>
      <c r="U1226" s="552">
        <f t="shared" si="5501"/>
        <v>0</v>
      </c>
      <c r="V1226" s="552">
        <f t="shared" si="5501"/>
        <v>0</v>
      </c>
      <c r="W1226" s="552">
        <f t="shared" si="5501"/>
        <v>0</v>
      </c>
      <c r="X1226" s="552">
        <f t="shared" si="5501"/>
        <v>0</v>
      </c>
      <c r="Y1226" s="552">
        <f t="shared" si="5501"/>
        <v>0</v>
      </c>
      <c r="Z1226" s="552">
        <f t="shared" si="5501"/>
        <v>0</v>
      </c>
      <c r="AA1226" s="552">
        <f t="shared" si="5501"/>
        <v>0</v>
      </c>
      <c r="AB1226" s="552">
        <f t="shared" si="5501"/>
        <v>0</v>
      </c>
      <c r="AC1226" s="552">
        <f t="shared" si="5501"/>
        <v>0</v>
      </c>
      <c r="AD1226" s="552">
        <f t="shared" si="5501"/>
        <v>0</v>
      </c>
      <c r="AE1226" s="552">
        <f t="shared" si="5501"/>
        <v>0</v>
      </c>
      <c r="AF1226" s="552">
        <f t="shared" si="5501"/>
        <v>0</v>
      </c>
      <c r="AG1226" s="552">
        <f t="shared" si="5501"/>
        <v>0</v>
      </c>
      <c r="AH1226" s="552">
        <f t="shared" si="5501"/>
        <v>0</v>
      </c>
      <c r="AI1226" s="552">
        <f t="shared" si="5501"/>
        <v>0</v>
      </c>
      <c r="AJ1226" s="552">
        <f t="shared" si="5501"/>
        <v>0</v>
      </c>
      <c r="AK1226" s="552">
        <f t="shared" si="5501"/>
        <v>0</v>
      </c>
      <c r="AL1226" s="552">
        <f t="shared" si="5501"/>
        <v>0</v>
      </c>
      <c r="AM1226" s="552">
        <f t="shared" si="5501"/>
        <v>0</v>
      </c>
      <c r="AN1226" s="552">
        <f t="shared" si="5501"/>
        <v>0</v>
      </c>
      <c r="AO1226" s="552">
        <f t="shared" si="5501"/>
        <v>0</v>
      </c>
      <c r="AP1226" s="552">
        <f t="shared" ref="AP1226:BU1226" si="5502">AP274*AP$338</f>
        <v>0</v>
      </c>
      <c r="AQ1226" s="552">
        <f t="shared" si="5502"/>
        <v>0</v>
      </c>
      <c r="AR1226" s="552">
        <f t="shared" si="5502"/>
        <v>0</v>
      </c>
      <c r="AS1226" s="552">
        <f t="shared" si="5502"/>
        <v>0</v>
      </c>
      <c r="AT1226" s="552">
        <f t="shared" si="5502"/>
        <v>0</v>
      </c>
      <c r="AU1226" s="552">
        <f t="shared" si="5502"/>
        <v>0</v>
      </c>
      <c r="AV1226" s="552">
        <f t="shared" si="5502"/>
        <v>0</v>
      </c>
      <c r="AW1226" s="552">
        <f t="shared" si="5502"/>
        <v>0</v>
      </c>
      <c r="AX1226" s="552">
        <f t="shared" si="5502"/>
        <v>0</v>
      </c>
      <c r="AY1226" s="552">
        <f t="shared" si="5502"/>
        <v>0</v>
      </c>
      <c r="AZ1226" s="552">
        <f t="shared" si="5502"/>
        <v>0</v>
      </c>
      <c r="BA1226" s="552">
        <f t="shared" si="5502"/>
        <v>0</v>
      </c>
      <c r="BB1226" s="552">
        <f t="shared" si="5502"/>
        <v>0</v>
      </c>
      <c r="BC1226" s="552">
        <f t="shared" si="5502"/>
        <v>0</v>
      </c>
      <c r="BD1226" s="552">
        <f t="shared" si="5502"/>
        <v>0</v>
      </c>
      <c r="BE1226" s="552">
        <f t="shared" si="5502"/>
        <v>0</v>
      </c>
      <c r="BF1226" s="552">
        <f t="shared" si="5502"/>
        <v>0</v>
      </c>
      <c r="BG1226" s="552">
        <f t="shared" si="5502"/>
        <v>0</v>
      </c>
      <c r="BH1226" s="552">
        <f t="shared" si="5502"/>
        <v>0</v>
      </c>
      <c r="BI1226" s="552">
        <f t="shared" si="5502"/>
        <v>0</v>
      </c>
      <c r="BJ1226" s="552">
        <f t="shared" si="5502"/>
        <v>0</v>
      </c>
      <c r="BK1226" s="552">
        <f t="shared" si="5502"/>
        <v>0</v>
      </c>
      <c r="BL1226" s="552">
        <f t="shared" si="5502"/>
        <v>0</v>
      </c>
      <c r="BM1226" s="552">
        <f t="shared" si="5502"/>
        <v>0</v>
      </c>
      <c r="BN1226" s="552">
        <f t="shared" si="5502"/>
        <v>0</v>
      </c>
      <c r="BO1226" s="552">
        <f t="shared" si="5502"/>
        <v>0</v>
      </c>
      <c r="BP1226" s="552">
        <f t="shared" si="5502"/>
        <v>0</v>
      </c>
      <c r="BQ1226" s="552">
        <f t="shared" si="5502"/>
        <v>0</v>
      </c>
      <c r="BR1226" s="552">
        <f t="shared" si="5502"/>
        <v>0</v>
      </c>
      <c r="BS1226" s="552">
        <f t="shared" si="5502"/>
        <v>0</v>
      </c>
      <c r="BT1226" s="552">
        <f t="shared" si="5502"/>
        <v>0</v>
      </c>
      <c r="BU1226" s="552">
        <f t="shared" si="5502"/>
        <v>0</v>
      </c>
      <c r="BV1226" s="552">
        <f t="shared" ref="BV1226:DA1226" si="5503">BV274*BV$338</f>
        <v>0</v>
      </c>
      <c r="BW1226" s="552">
        <f t="shared" si="5503"/>
        <v>0</v>
      </c>
      <c r="BX1226" s="552">
        <f t="shared" si="5503"/>
        <v>0</v>
      </c>
      <c r="BY1226" s="552">
        <f t="shared" si="5503"/>
        <v>0</v>
      </c>
      <c r="BZ1226" s="552">
        <f t="shared" si="5503"/>
        <v>0</v>
      </c>
      <c r="CA1226" s="552">
        <f t="shared" si="5503"/>
        <v>0</v>
      </c>
      <c r="CB1226" s="552">
        <f t="shared" si="5503"/>
        <v>0</v>
      </c>
      <c r="CC1226" s="552">
        <f t="shared" si="5503"/>
        <v>0</v>
      </c>
      <c r="CD1226" s="552">
        <f t="shared" si="5503"/>
        <v>0</v>
      </c>
      <c r="CE1226" s="552">
        <f t="shared" si="5503"/>
        <v>0</v>
      </c>
      <c r="CF1226" s="552">
        <f t="shared" si="5503"/>
        <v>0</v>
      </c>
      <c r="CG1226" s="552">
        <f t="shared" si="5503"/>
        <v>0</v>
      </c>
      <c r="CH1226" s="552">
        <f t="shared" si="5503"/>
        <v>0</v>
      </c>
      <c r="CI1226" s="552">
        <f t="shared" si="5503"/>
        <v>0</v>
      </c>
      <c r="CJ1226" s="552">
        <f t="shared" si="5503"/>
        <v>0</v>
      </c>
      <c r="CK1226" s="552">
        <f t="shared" si="5503"/>
        <v>0</v>
      </c>
      <c r="CL1226" s="552">
        <f t="shared" si="5503"/>
        <v>0</v>
      </c>
      <c r="CM1226" s="552">
        <f t="shared" si="5503"/>
        <v>0</v>
      </c>
      <c r="CN1226" s="552">
        <f t="shared" si="5503"/>
        <v>0</v>
      </c>
      <c r="CO1226" s="552">
        <f t="shared" si="5503"/>
        <v>0</v>
      </c>
      <c r="CP1226" s="552">
        <f t="shared" si="5503"/>
        <v>0</v>
      </c>
      <c r="CQ1226" s="552">
        <f t="shared" si="5503"/>
        <v>0</v>
      </c>
      <c r="CR1226" s="552">
        <f t="shared" si="5503"/>
        <v>0</v>
      </c>
      <c r="CS1226" s="552">
        <f t="shared" si="5503"/>
        <v>0</v>
      </c>
      <c r="CT1226" s="552">
        <f t="shared" si="5503"/>
        <v>0</v>
      </c>
      <c r="CU1226" s="552">
        <f t="shared" si="5503"/>
        <v>0</v>
      </c>
      <c r="CV1226" s="552">
        <f t="shared" si="5503"/>
        <v>0</v>
      </c>
      <c r="CW1226" s="552">
        <f t="shared" si="5503"/>
        <v>0</v>
      </c>
      <c r="CX1226" s="552">
        <f t="shared" si="5503"/>
        <v>0</v>
      </c>
      <c r="CY1226" s="552">
        <f t="shared" si="5503"/>
        <v>0</v>
      </c>
      <c r="CZ1226" s="552">
        <f t="shared" si="5503"/>
        <v>0</v>
      </c>
      <c r="DA1226" s="552">
        <f t="shared" si="5503"/>
        <v>0</v>
      </c>
      <c r="DB1226" s="552">
        <f t="shared" ref="DB1226:EG1226" si="5504">DB274*DB$338</f>
        <v>0</v>
      </c>
      <c r="DC1226" s="552">
        <f t="shared" si="5504"/>
        <v>0</v>
      </c>
      <c r="DD1226" s="552">
        <f t="shared" si="5504"/>
        <v>0</v>
      </c>
      <c r="DE1226" s="552">
        <f t="shared" si="5504"/>
        <v>0</v>
      </c>
      <c r="DF1226" s="552">
        <f t="shared" si="5504"/>
        <v>0</v>
      </c>
      <c r="DG1226" s="552">
        <f t="shared" si="5504"/>
        <v>0</v>
      </c>
      <c r="DH1226" s="552">
        <f t="shared" si="5504"/>
        <v>0</v>
      </c>
      <c r="DI1226" s="552">
        <f t="shared" si="5504"/>
        <v>0</v>
      </c>
      <c r="DJ1226" s="552">
        <f t="shared" si="5504"/>
        <v>0</v>
      </c>
      <c r="DK1226" s="552">
        <f t="shared" si="5504"/>
        <v>0</v>
      </c>
      <c r="DL1226" s="552">
        <f t="shared" si="5504"/>
        <v>0</v>
      </c>
      <c r="DM1226" s="552">
        <f t="shared" si="5504"/>
        <v>0</v>
      </c>
      <c r="DN1226" s="552">
        <f t="shared" si="5504"/>
        <v>0</v>
      </c>
      <c r="DO1226" s="552">
        <f t="shared" si="5504"/>
        <v>0</v>
      </c>
      <c r="DP1226" s="552">
        <f t="shared" si="5504"/>
        <v>0</v>
      </c>
      <c r="DQ1226" s="552">
        <f t="shared" si="5504"/>
        <v>0</v>
      </c>
      <c r="DR1226" s="552">
        <f t="shared" si="5504"/>
        <v>0</v>
      </c>
      <c r="DS1226" s="552">
        <f t="shared" si="5504"/>
        <v>0</v>
      </c>
      <c r="DT1226" s="552">
        <f t="shared" si="5504"/>
        <v>0</v>
      </c>
      <c r="DU1226" s="552">
        <f t="shared" si="5504"/>
        <v>0</v>
      </c>
      <c r="DV1226" s="552">
        <f t="shared" si="5504"/>
        <v>0</v>
      </c>
      <c r="DW1226" s="552">
        <f t="shared" si="5504"/>
        <v>0</v>
      </c>
      <c r="DX1226" s="552">
        <f t="shared" si="5504"/>
        <v>0</v>
      </c>
      <c r="DY1226" s="552">
        <f t="shared" si="5504"/>
        <v>0</v>
      </c>
      <c r="DZ1226" s="552">
        <f t="shared" si="5504"/>
        <v>0</v>
      </c>
      <c r="EA1226" s="552">
        <f t="shared" si="5504"/>
        <v>0</v>
      </c>
      <c r="EB1226" s="552">
        <f t="shared" si="5504"/>
        <v>0</v>
      </c>
      <c r="EC1226" s="552">
        <f t="shared" si="5504"/>
        <v>0</v>
      </c>
      <c r="ED1226" s="552">
        <f t="shared" si="5504"/>
        <v>0</v>
      </c>
      <c r="EE1226" s="552">
        <f t="shared" si="5504"/>
        <v>0</v>
      </c>
      <c r="EF1226" s="552">
        <f t="shared" si="5504"/>
        <v>0</v>
      </c>
      <c r="EG1226" s="552">
        <f t="shared" si="5504"/>
        <v>0</v>
      </c>
      <c r="EH1226" s="552">
        <f t="shared" ref="EH1226:EX1226" si="5505">EH274*EH$338</f>
        <v>0</v>
      </c>
      <c r="EI1226" s="552">
        <f t="shared" si="5505"/>
        <v>0</v>
      </c>
      <c r="EJ1226" s="552">
        <f t="shared" si="5505"/>
        <v>0</v>
      </c>
      <c r="EK1226" s="552">
        <f t="shared" si="5505"/>
        <v>0</v>
      </c>
      <c r="EL1226" s="552">
        <f t="shared" si="5505"/>
        <v>0</v>
      </c>
      <c r="EM1226" s="552">
        <f t="shared" si="5505"/>
        <v>0</v>
      </c>
      <c r="EN1226" s="552">
        <f t="shared" si="5505"/>
        <v>0</v>
      </c>
      <c r="EO1226" s="552">
        <f t="shared" si="5505"/>
        <v>0</v>
      </c>
      <c r="EP1226" s="552">
        <f t="shared" si="5505"/>
        <v>0</v>
      </c>
      <c r="EQ1226" s="552">
        <f t="shared" si="5505"/>
        <v>0</v>
      </c>
      <c r="ER1226" s="552">
        <f t="shared" si="5505"/>
        <v>0</v>
      </c>
      <c r="ES1226" s="552">
        <f t="shared" si="5505"/>
        <v>0</v>
      </c>
      <c r="ET1226" s="552">
        <f t="shared" si="5505"/>
        <v>0</v>
      </c>
      <c r="EU1226" s="552">
        <f t="shared" si="5505"/>
        <v>0</v>
      </c>
      <c r="EV1226" s="552">
        <f t="shared" si="5505"/>
        <v>0</v>
      </c>
      <c r="EW1226" s="552">
        <f t="shared" si="5505"/>
        <v>0</v>
      </c>
      <c r="EX1226" s="552">
        <f t="shared" si="5505"/>
        <v>0</v>
      </c>
      <c r="EY1226" s="799">
        <f t="shared" si="4577"/>
        <v>0</v>
      </c>
      <c r="EZ1226" s="640"/>
      <c r="FA1226" s="640"/>
      <c r="FB1226" s="640"/>
      <c r="FC1226" s="640"/>
      <c r="FD1226" s="640"/>
      <c r="FE1226" s="640"/>
      <c r="FF1226" s="640"/>
      <c r="FG1226" s="640"/>
      <c r="FH1226" s="640"/>
      <c r="FI1226" s="640"/>
      <c r="FJ1226" s="640"/>
      <c r="FK1226" s="640"/>
      <c r="FL1226" s="640"/>
    </row>
    <row r="1227" spans="1:168" x14ac:dyDescent="0.25">
      <c r="A1227" s="1493"/>
      <c r="B1227" s="624">
        <f t="shared" si="5464"/>
        <v>0</v>
      </c>
      <c r="C1227" s="624">
        <f t="shared" si="5464"/>
        <v>0</v>
      </c>
      <c r="D1227" s="624">
        <f t="shared" si="5464"/>
        <v>0</v>
      </c>
      <c r="E1227" s="1158">
        <f t="shared" si="5465"/>
        <v>0</v>
      </c>
      <c r="F1227" s="1158"/>
      <c r="G1227" s="1140"/>
      <c r="H1227" s="1140"/>
      <c r="I1227" s="552"/>
      <c r="J1227" s="552">
        <f>J275*J$338</f>
        <v>0</v>
      </c>
      <c r="K1227" s="552">
        <f t="shared" ref="K1227:BV1227" si="5506">K275*K$338</f>
        <v>0</v>
      </c>
      <c r="L1227" s="552">
        <f t="shared" si="5506"/>
        <v>0</v>
      </c>
      <c r="M1227" s="552">
        <f t="shared" si="5506"/>
        <v>0</v>
      </c>
      <c r="N1227" s="552">
        <f t="shared" si="5506"/>
        <v>0</v>
      </c>
      <c r="O1227" s="552">
        <f t="shared" si="5506"/>
        <v>0</v>
      </c>
      <c r="P1227" s="552">
        <f t="shared" si="5506"/>
        <v>0</v>
      </c>
      <c r="Q1227" s="552">
        <f t="shared" si="5506"/>
        <v>0</v>
      </c>
      <c r="R1227" s="552">
        <f t="shared" si="5506"/>
        <v>0</v>
      </c>
      <c r="S1227" s="552">
        <f t="shared" si="5506"/>
        <v>0</v>
      </c>
      <c r="T1227" s="552">
        <f t="shared" si="5506"/>
        <v>0</v>
      </c>
      <c r="U1227" s="552">
        <f t="shared" si="5506"/>
        <v>0</v>
      </c>
      <c r="V1227" s="552">
        <f t="shared" si="5506"/>
        <v>0</v>
      </c>
      <c r="W1227" s="552">
        <f t="shared" si="5506"/>
        <v>0</v>
      </c>
      <c r="X1227" s="552">
        <f t="shared" si="5506"/>
        <v>0</v>
      </c>
      <c r="Y1227" s="552">
        <f t="shared" si="5506"/>
        <v>0</v>
      </c>
      <c r="Z1227" s="552">
        <f t="shared" si="5506"/>
        <v>0</v>
      </c>
      <c r="AA1227" s="552">
        <f t="shared" si="5506"/>
        <v>0</v>
      </c>
      <c r="AB1227" s="552">
        <f t="shared" si="5506"/>
        <v>0</v>
      </c>
      <c r="AC1227" s="552">
        <f t="shared" si="5506"/>
        <v>0</v>
      </c>
      <c r="AD1227" s="552">
        <f t="shared" si="5506"/>
        <v>0</v>
      </c>
      <c r="AE1227" s="552">
        <f t="shared" si="5506"/>
        <v>0</v>
      </c>
      <c r="AF1227" s="552">
        <f t="shared" si="5506"/>
        <v>0</v>
      </c>
      <c r="AG1227" s="552">
        <f t="shared" si="5506"/>
        <v>0</v>
      </c>
      <c r="AH1227" s="552">
        <f t="shared" si="5506"/>
        <v>0</v>
      </c>
      <c r="AI1227" s="552">
        <f t="shared" si="5506"/>
        <v>0</v>
      </c>
      <c r="AJ1227" s="552">
        <f t="shared" si="5506"/>
        <v>0</v>
      </c>
      <c r="AK1227" s="552">
        <f t="shared" si="5506"/>
        <v>0</v>
      </c>
      <c r="AL1227" s="552">
        <f t="shared" si="5506"/>
        <v>0</v>
      </c>
      <c r="AM1227" s="552">
        <f t="shared" si="5506"/>
        <v>0</v>
      </c>
      <c r="AN1227" s="552">
        <f t="shared" si="5506"/>
        <v>0</v>
      </c>
      <c r="AO1227" s="552">
        <f t="shared" si="5506"/>
        <v>0</v>
      </c>
      <c r="AP1227" s="552">
        <f t="shared" si="5506"/>
        <v>0</v>
      </c>
      <c r="AQ1227" s="552">
        <f t="shared" si="5506"/>
        <v>0</v>
      </c>
      <c r="AR1227" s="552">
        <f t="shared" si="5506"/>
        <v>0</v>
      </c>
      <c r="AS1227" s="552">
        <f t="shared" si="5506"/>
        <v>0</v>
      </c>
      <c r="AT1227" s="552">
        <f t="shared" si="5506"/>
        <v>0</v>
      </c>
      <c r="AU1227" s="552">
        <f t="shared" si="5506"/>
        <v>0</v>
      </c>
      <c r="AV1227" s="552">
        <f t="shared" si="5506"/>
        <v>0</v>
      </c>
      <c r="AW1227" s="552">
        <f t="shared" si="5506"/>
        <v>0</v>
      </c>
      <c r="AX1227" s="552">
        <f t="shared" si="5506"/>
        <v>0</v>
      </c>
      <c r="AY1227" s="552">
        <f t="shared" si="5506"/>
        <v>0</v>
      </c>
      <c r="AZ1227" s="552">
        <f t="shared" si="5506"/>
        <v>0</v>
      </c>
      <c r="BA1227" s="552">
        <f t="shared" si="5506"/>
        <v>0</v>
      </c>
      <c r="BB1227" s="552">
        <f t="shared" si="5506"/>
        <v>0</v>
      </c>
      <c r="BC1227" s="552">
        <f t="shared" si="5506"/>
        <v>0</v>
      </c>
      <c r="BD1227" s="552">
        <f t="shared" si="5506"/>
        <v>0</v>
      </c>
      <c r="BE1227" s="552">
        <f t="shared" si="5506"/>
        <v>0</v>
      </c>
      <c r="BF1227" s="552">
        <f t="shared" si="5506"/>
        <v>0</v>
      </c>
      <c r="BG1227" s="552">
        <f t="shared" si="5506"/>
        <v>0</v>
      </c>
      <c r="BH1227" s="552">
        <f t="shared" si="5506"/>
        <v>0</v>
      </c>
      <c r="BI1227" s="552">
        <f t="shared" si="5506"/>
        <v>0</v>
      </c>
      <c r="BJ1227" s="552">
        <f t="shared" si="5506"/>
        <v>0</v>
      </c>
      <c r="BK1227" s="552">
        <f t="shared" si="5506"/>
        <v>0</v>
      </c>
      <c r="BL1227" s="552">
        <f t="shared" si="5506"/>
        <v>0</v>
      </c>
      <c r="BM1227" s="552">
        <f t="shared" si="5506"/>
        <v>0</v>
      </c>
      <c r="BN1227" s="552">
        <f t="shared" si="5506"/>
        <v>0</v>
      </c>
      <c r="BO1227" s="552">
        <f t="shared" si="5506"/>
        <v>0</v>
      </c>
      <c r="BP1227" s="552">
        <f t="shared" si="5506"/>
        <v>0</v>
      </c>
      <c r="BQ1227" s="552">
        <f t="shared" si="5506"/>
        <v>0</v>
      </c>
      <c r="BR1227" s="552">
        <f t="shared" si="5506"/>
        <v>0</v>
      </c>
      <c r="BS1227" s="552">
        <f t="shared" si="5506"/>
        <v>0</v>
      </c>
      <c r="BT1227" s="552">
        <f t="shared" si="5506"/>
        <v>0</v>
      </c>
      <c r="BU1227" s="552">
        <f t="shared" si="5506"/>
        <v>0</v>
      </c>
      <c r="BV1227" s="552">
        <f t="shared" si="5506"/>
        <v>0</v>
      </c>
      <c r="BW1227" s="552">
        <f t="shared" ref="BW1227:DB1227" si="5507">BW275*BW$338</f>
        <v>0</v>
      </c>
      <c r="BX1227" s="552">
        <f t="shared" si="5507"/>
        <v>0</v>
      </c>
      <c r="BY1227" s="552">
        <f t="shared" si="5507"/>
        <v>0</v>
      </c>
      <c r="BZ1227" s="552">
        <f t="shared" si="5507"/>
        <v>0</v>
      </c>
      <c r="CA1227" s="552">
        <f t="shared" si="5507"/>
        <v>0</v>
      </c>
      <c r="CB1227" s="552">
        <f t="shared" si="5507"/>
        <v>0</v>
      </c>
      <c r="CC1227" s="552">
        <f t="shared" si="5507"/>
        <v>0</v>
      </c>
      <c r="CD1227" s="552">
        <f t="shared" si="5507"/>
        <v>0</v>
      </c>
      <c r="CE1227" s="552">
        <f t="shared" si="5507"/>
        <v>0</v>
      </c>
      <c r="CF1227" s="552">
        <f t="shared" si="5507"/>
        <v>0</v>
      </c>
      <c r="CG1227" s="552">
        <f t="shared" si="5507"/>
        <v>0</v>
      </c>
      <c r="CH1227" s="552">
        <f t="shared" si="5507"/>
        <v>0</v>
      </c>
      <c r="CI1227" s="552">
        <f t="shared" si="5507"/>
        <v>0</v>
      </c>
      <c r="CJ1227" s="552">
        <f t="shared" si="5507"/>
        <v>0</v>
      </c>
      <c r="CK1227" s="552">
        <f t="shared" si="5507"/>
        <v>0</v>
      </c>
      <c r="CL1227" s="552">
        <f t="shared" si="5507"/>
        <v>0</v>
      </c>
      <c r="CM1227" s="552">
        <f t="shared" si="5507"/>
        <v>0</v>
      </c>
      <c r="CN1227" s="552">
        <f t="shared" si="5507"/>
        <v>0</v>
      </c>
      <c r="CO1227" s="552">
        <f t="shared" si="5507"/>
        <v>0</v>
      </c>
      <c r="CP1227" s="552">
        <f t="shared" si="5507"/>
        <v>0</v>
      </c>
      <c r="CQ1227" s="552">
        <f t="shared" si="5507"/>
        <v>0</v>
      </c>
      <c r="CR1227" s="552">
        <f t="shared" si="5507"/>
        <v>0</v>
      </c>
      <c r="CS1227" s="552">
        <f t="shared" si="5507"/>
        <v>0</v>
      </c>
      <c r="CT1227" s="552">
        <f t="shared" si="5507"/>
        <v>0</v>
      </c>
      <c r="CU1227" s="552">
        <f t="shared" si="5507"/>
        <v>0</v>
      </c>
      <c r="CV1227" s="552">
        <f t="shared" si="5507"/>
        <v>0</v>
      </c>
      <c r="CW1227" s="552">
        <f t="shared" si="5507"/>
        <v>0</v>
      </c>
      <c r="CX1227" s="552">
        <f t="shared" si="5507"/>
        <v>0</v>
      </c>
      <c r="CY1227" s="552">
        <f t="shared" si="5507"/>
        <v>0</v>
      </c>
      <c r="CZ1227" s="552">
        <f t="shared" si="5507"/>
        <v>0</v>
      </c>
      <c r="DA1227" s="552">
        <f t="shared" si="5507"/>
        <v>0</v>
      </c>
      <c r="DB1227" s="552">
        <f t="shared" si="5507"/>
        <v>0</v>
      </c>
      <c r="DC1227" s="552">
        <f t="shared" ref="DC1227:EH1227" si="5508">DC275*DC$338</f>
        <v>0</v>
      </c>
      <c r="DD1227" s="552">
        <f t="shared" si="5508"/>
        <v>0</v>
      </c>
      <c r="DE1227" s="552">
        <f t="shared" si="5508"/>
        <v>0</v>
      </c>
      <c r="DF1227" s="552">
        <f t="shared" si="5508"/>
        <v>0</v>
      </c>
      <c r="DG1227" s="552">
        <f t="shared" si="5508"/>
        <v>0</v>
      </c>
      <c r="DH1227" s="552">
        <f t="shared" si="5508"/>
        <v>0</v>
      </c>
      <c r="DI1227" s="552">
        <f t="shared" si="5508"/>
        <v>0</v>
      </c>
      <c r="DJ1227" s="552">
        <f t="shared" si="5508"/>
        <v>0</v>
      </c>
      <c r="DK1227" s="552">
        <f t="shared" si="5508"/>
        <v>0</v>
      </c>
      <c r="DL1227" s="552">
        <f t="shared" si="5508"/>
        <v>0</v>
      </c>
      <c r="DM1227" s="552">
        <f t="shared" si="5508"/>
        <v>0</v>
      </c>
      <c r="DN1227" s="552">
        <f t="shared" si="5508"/>
        <v>0</v>
      </c>
      <c r="DO1227" s="552">
        <f t="shared" si="5508"/>
        <v>0</v>
      </c>
      <c r="DP1227" s="552">
        <f t="shared" si="5508"/>
        <v>0</v>
      </c>
      <c r="DQ1227" s="552">
        <f t="shared" si="5508"/>
        <v>0</v>
      </c>
      <c r="DR1227" s="552">
        <f t="shared" si="5508"/>
        <v>0</v>
      </c>
      <c r="DS1227" s="552">
        <f t="shared" si="5508"/>
        <v>0</v>
      </c>
      <c r="DT1227" s="552">
        <f t="shared" si="5508"/>
        <v>0</v>
      </c>
      <c r="DU1227" s="552">
        <f t="shared" si="5508"/>
        <v>0</v>
      </c>
      <c r="DV1227" s="552">
        <f t="shared" si="5508"/>
        <v>0</v>
      </c>
      <c r="DW1227" s="552">
        <f t="shared" si="5508"/>
        <v>0</v>
      </c>
      <c r="DX1227" s="552">
        <f t="shared" si="5508"/>
        <v>0</v>
      </c>
      <c r="DY1227" s="552">
        <f t="shared" si="5508"/>
        <v>0</v>
      </c>
      <c r="DZ1227" s="552">
        <f t="shared" si="5508"/>
        <v>0</v>
      </c>
      <c r="EA1227" s="552">
        <f t="shared" si="5508"/>
        <v>0</v>
      </c>
      <c r="EB1227" s="552">
        <f t="shared" si="5508"/>
        <v>0</v>
      </c>
      <c r="EC1227" s="552">
        <f t="shared" si="5508"/>
        <v>0</v>
      </c>
      <c r="ED1227" s="552">
        <f t="shared" si="5508"/>
        <v>0</v>
      </c>
      <c r="EE1227" s="552">
        <f t="shared" si="5508"/>
        <v>0</v>
      </c>
      <c r="EF1227" s="552">
        <f t="shared" si="5508"/>
        <v>0</v>
      </c>
      <c r="EG1227" s="552">
        <f t="shared" si="5508"/>
        <v>0</v>
      </c>
      <c r="EH1227" s="552">
        <f t="shared" si="5508"/>
        <v>0</v>
      </c>
      <c r="EI1227" s="552">
        <f t="shared" ref="EI1227:EX1227" si="5509">EI275*EI$338</f>
        <v>0</v>
      </c>
      <c r="EJ1227" s="552">
        <f t="shared" si="5509"/>
        <v>0</v>
      </c>
      <c r="EK1227" s="552">
        <f t="shared" si="5509"/>
        <v>0</v>
      </c>
      <c r="EL1227" s="552">
        <f t="shared" si="5509"/>
        <v>0</v>
      </c>
      <c r="EM1227" s="552">
        <f t="shared" si="5509"/>
        <v>0</v>
      </c>
      <c r="EN1227" s="552">
        <f t="shared" si="5509"/>
        <v>0</v>
      </c>
      <c r="EO1227" s="552">
        <f t="shared" si="5509"/>
        <v>0</v>
      </c>
      <c r="EP1227" s="552">
        <f t="shared" si="5509"/>
        <v>0</v>
      </c>
      <c r="EQ1227" s="552">
        <f t="shared" si="5509"/>
        <v>0</v>
      </c>
      <c r="ER1227" s="552">
        <f t="shared" si="5509"/>
        <v>0</v>
      </c>
      <c r="ES1227" s="552">
        <f t="shared" si="5509"/>
        <v>0</v>
      </c>
      <c r="ET1227" s="552">
        <f t="shared" si="5509"/>
        <v>0</v>
      </c>
      <c r="EU1227" s="552">
        <f t="shared" si="5509"/>
        <v>0</v>
      </c>
      <c r="EV1227" s="552">
        <f t="shared" si="5509"/>
        <v>0</v>
      </c>
      <c r="EW1227" s="552">
        <f t="shared" si="5509"/>
        <v>0</v>
      </c>
      <c r="EX1227" s="552">
        <f t="shared" si="5509"/>
        <v>0</v>
      </c>
      <c r="EY1227" s="799">
        <f t="shared" si="4577"/>
        <v>0</v>
      </c>
      <c r="EZ1227" s="640"/>
      <c r="FA1227" s="640"/>
      <c r="FB1227" s="640"/>
      <c r="FC1227" s="640"/>
      <c r="FD1227" s="640"/>
      <c r="FE1227" s="640"/>
      <c r="FF1227" s="640"/>
      <c r="FG1227" s="640"/>
      <c r="FH1227" s="640"/>
      <c r="FI1227" s="640"/>
      <c r="FJ1227" s="640"/>
      <c r="FK1227" s="640"/>
      <c r="FL1227" s="640"/>
    </row>
    <row r="1228" spans="1:168" x14ac:dyDescent="0.25">
      <c r="A1228" s="254"/>
      <c r="B1228" s="625" t="s">
        <v>113</v>
      </c>
      <c r="C1228" s="1135"/>
      <c r="D1228" s="1138">
        <f>SUM(D1219:D1227)</f>
        <v>0</v>
      </c>
      <c r="E1228" s="1138">
        <f t="shared" ref="E1228:J1228" si="5510">SUM(E1219:E1227)</f>
        <v>0</v>
      </c>
      <c r="F1228" s="1138"/>
      <c r="G1228" s="1138">
        <f t="shared" si="5510"/>
        <v>0</v>
      </c>
      <c r="H1228" s="1138">
        <f t="shared" si="5510"/>
        <v>0</v>
      </c>
      <c r="I1228" s="554"/>
      <c r="J1228" s="1138">
        <f t="shared" si="5510"/>
        <v>0</v>
      </c>
      <c r="K1228" s="1138">
        <f t="shared" ref="K1228" si="5511">SUM(K1219:K1227)</f>
        <v>0</v>
      </c>
      <c r="L1228" s="1138">
        <f t="shared" ref="L1228" si="5512">SUM(L1219:L1227)</f>
        <v>0</v>
      </c>
      <c r="M1228" s="1138">
        <f t="shared" ref="M1228" si="5513">SUM(M1219:M1227)</f>
        <v>0</v>
      </c>
      <c r="N1228" s="1138">
        <f t="shared" ref="N1228" si="5514">SUM(N1219:N1227)</f>
        <v>0</v>
      </c>
      <c r="O1228" s="1138">
        <f t="shared" ref="O1228" si="5515">SUM(O1219:O1227)</f>
        <v>0</v>
      </c>
      <c r="P1228" s="1138">
        <f t="shared" ref="P1228" si="5516">SUM(P1219:P1227)</f>
        <v>0</v>
      </c>
      <c r="Q1228" s="1138">
        <f t="shared" ref="Q1228" si="5517">SUM(Q1219:Q1227)</f>
        <v>0</v>
      </c>
      <c r="R1228" s="1138">
        <f t="shared" ref="R1228" si="5518">SUM(R1219:R1227)</f>
        <v>0</v>
      </c>
      <c r="S1228" s="1138">
        <f t="shared" ref="S1228" si="5519">SUM(S1219:S1227)</f>
        <v>0</v>
      </c>
      <c r="T1228" s="1138">
        <f t="shared" ref="T1228" si="5520">SUM(T1219:T1227)</f>
        <v>0</v>
      </c>
      <c r="U1228" s="1138">
        <f t="shared" ref="U1228" si="5521">SUM(U1219:U1227)</f>
        <v>0</v>
      </c>
      <c r="V1228" s="1138">
        <f t="shared" ref="V1228" si="5522">SUM(V1219:V1227)</f>
        <v>0</v>
      </c>
      <c r="W1228" s="1138">
        <f t="shared" ref="W1228" si="5523">SUM(W1219:W1227)</f>
        <v>0</v>
      </c>
      <c r="X1228" s="1138">
        <f t="shared" ref="X1228" si="5524">SUM(X1219:X1227)</f>
        <v>0</v>
      </c>
      <c r="Y1228" s="1138">
        <f t="shared" ref="Y1228" si="5525">SUM(Y1219:Y1227)</f>
        <v>0</v>
      </c>
      <c r="Z1228" s="1138">
        <f t="shared" ref="Z1228" si="5526">SUM(Z1219:Z1227)</f>
        <v>0</v>
      </c>
      <c r="AA1228" s="1138">
        <f t="shared" ref="AA1228" si="5527">SUM(AA1219:AA1227)</f>
        <v>0</v>
      </c>
      <c r="AB1228" s="1138">
        <f t="shared" ref="AB1228" si="5528">SUM(AB1219:AB1227)</f>
        <v>0</v>
      </c>
      <c r="AC1228" s="1138">
        <f t="shared" ref="AC1228" si="5529">SUM(AC1219:AC1227)</f>
        <v>0</v>
      </c>
      <c r="AD1228" s="1138">
        <f t="shared" ref="AD1228" si="5530">SUM(AD1219:AD1227)</f>
        <v>0</v>
      </c>
      <c r="AE1228" s="1138">
        <f t="shared" ref="AE1228" si="5531">SUM(AE1219:AE1227)</f>
        <v>0</v>
      </c>
      <c r="AF1228" s="1138">
        <f t="shared" ref="AF1228" si="5532">SUM(AF1219:AF1227)</f>
        <v>0</v>
      </c>
      <c r="AG1228" s="1138">
        <f t="shared" ref="AG1228" si="5533">SUM(AG1219:AG1227)</f>
        <v>0</v>
      </c>
      <c r="AH1228" s="1138">
        <f t="shared" ref="AH1228" si="5534">SUM(AH1219:AH1227)</f>
        <v>0</v>
      </c>
      <c r="AI1228" s="1138">
        <f t="shared" ref="AI1228" si="5535">SUM(AI1219:AI1227)</f>
        <v>0</v>
      </c>
      <c r="AJ1228" s="1138">
        <f t="shared" ref="AJ1228" si="5536">SUM(AJ1219:AJ1227)</f>
        <v>0</v>
      </c>
      <c r="AK1228" s="1138">
        <f t="shared" ref="AK1228" si="5537">SUM(AK1219:AK1227)</f>
        <v>0</v>
      </c>
      <c r="AL1228" s="1138">
        <f t="shared" ref="AL1228" si="5538">SUM(AL1219:AL1227)</f>
        <v>0</v>
      </c>
      <c r="AM1228" s="1138">
        <f t="shared" ref="AM1228" si="5539">SUM(AM1219:AM1227)</f>
        <v>0</v>
      </c>
      <c r="AN1228" s="1138">
        <f t="shared" ref="AN1228" si="5540">SUM(AN1219:AN1227)</f>
        <v>0</v>
      </c>
      <c r="AO1228" s="1138">
        <f t="shared" ref="AO1228" si="5541">SUM(AO1219:AO1227)</f>
        <v>0</v>
      </c>
      <c r="AP1228" s="1138">
        <f t="shared" ref="AP1228" si="5542">SUM(AP1219:AP1227)</f>
        <v>0</v>
      </c>
      <c r="AQ1228" s="1138">
        <f t="shared" ref="AQ1228" si="5543">SUM(AQ1219:AQ1227)</f>
        <v>0</v>
      </c>
      <c r="AR1228" s="1138">
        <f t="shared" ref="AR1228" si="5544">SUM(AR1219:AR1227)</f>
        <v>0</v>
      </c>
      <c r="AS1228" s="1138">
        <f t="shared" ref="AS1228" si="5545">SUM(AS1219:AS1227)</f>
        <v>0</v>
      </c>
      <c r="AT1228" s="1138">
        <f t="shared" ref="AT1228" si="5546">SUM(AT1219:AT1227)</f>
        <v>0</v>
      </c>
      <c r="AU1228" s="1138">
        <f t="shared" ref="AU1228" si="5547">SUM(AU1219:AU1227)</f>
        <v>0</v>
      </c>
      <c r="AV1228" s="1138">
        <f t="shared" ref="AV1228" si="5548">SUM(AV1219:AV1227)</f>
        <v>0</v>
      </c>
      <c r="AW1228" s="1138">
        <f t="shared" ref="AW1228" si="5549">SUM(AW1219:AW1227)</f>
        <v>0</v>
      </c>
      <c r="AX1228" s="1138">
        <f t="shared" ref="AX1228" si="5550">SUM(AX1219:AX1227)</f>
        <v>0</v>
      </c>
      <c r="AY1228" s="1138">
        <f t="shared" ref="AY1228" si="5551">SUM(AY1219:AY1227)</f>
        <v>0</v>
      </c>
      <c r="AZ1228" s="1138">
        <f t="shared" ref="AZ1228" si="5552">SUM(AZ1219:AZ1227)</f>
        <v>0</v>
      </c>
      <c r="BA1228" s="1138">
        <f t="shared" ref="BA1228" si="5553">SUM(BA1219:BA1227)</f>
        <v>0</v>
      </c>
      <c r="BB1228" s="1138">
        <f t="shared" ref="BB1228" si="5554">SUM(BB1219:BB1227)</f>
        <v>0</v>
      </c>
      <c r="BC1228" s="1138">
        <f t="shared" ref="BC1228" si="5555">SUM(BC1219:BC1227)</f>
        <v>0</v>
      </c>
      <c r="BD1228" s="1138">
        <f t="shared" ref="BD1228" si="5556">SUM(BD1219:BD1227)</f>
        <v>0</v>
      </c>
      <c r="BE1228" s="1138">
        <f t="shared" ref="BE1228" si="5557">SUM(BE1219:BE1227)</f>
        <v>0</v>
      </c>
      <c r="BF1228" s="1138">
        <f t="shared" ref="BF1228" si="5558">SUM(BF1219:BF1227)</f>
        <v>0</v>
      </c>
      <c r="BG1228" s="1138">
        <f t="shared" ref="BG1228" si="5559">SUM(BG1219:BG1227)</f>
        <v>0</v>
      </c>
      <c r="BH1228" s="1138">
        <f t="shared" ref="BH1228" si="5560">SUM(BH1219:BH1227)</f>
        <v>0</v>
      </c>
      <c r="BI1228" s="1138">
        <f t="shared" ref="BI1228" si="5561">SUM(BI1219:BI1227)</f>
        <v>0</v>
      </c>
      <c r="BJ1228" s="1138">
        <f t="shared" ref="BJ1228" si="5562">SUM(BJ1219:BJ1227)</f>
        <v>0</v>
      </c>
      <c r="BK1228" s="1138">
        <f t="shared" ref="BK1228" si="5563">SUM(BK1219:BK1227)</f>
        <v>0</v>
      </c>
      <c r="BL1228" s="1138">
        <f t="shared" ref="BL1228" si="5564">SUM(BL1219:BL1227)</f>
        <v>0</v>
      </c>
      <c r="BM1228" s="1138">
        <f t="shared" ref="BM1228" si="5565">SUM(BM1219:BM1227)</f>
        <v>0</v>
      </c>
      <c r="BN1228" s="1138">
        <f t="shared" ref="BN1228" si="5566">SUM(BN1219:BN1227)</f>
        <v>0</v>
      </c>
      <c r="BO1228" s="1138">
        <f t="shared" ref="BO1228" si="5567">SUM(BO1219:BO1227)</f>
        <v>0</v>
      </c>
      <c r="BP1228" s="1138">
        <f t="shared" ref="BP1228" si="5568">SUM(BP1219:BP1227)</f>
        <v>0</v>
      </c>
      <c r="BQ1228" s="1138">
        <f t="shared" ref="BQ1228" si="5569">SUM(BQ1219:BQ1227)</f>
        <v>0</v>
      </c>
      <c r="BR1228" s="1138">
        <f t="shared" ref="BR1228" si="5570">SUM(BR1219:BR1227)</f>
        <v>0</v>
      </c>
      <c r="BS1228" s="1138">
        <f t="shared" ref="BS1228" si="5571">SUM(BS1219:BS1227)</f>
        <v>0</v>
      </c>
      <c r="BT1228" s="1138">
        <f t="shared" ref="BT1228" si="5572">SUM(BT1219:BT1227)</f>
        <v>0</v>
      </c>
      <c r="BU1228" s="1138">
        <f t="shared" ref="BU1228" si="5573">SUM(BU1219:BU1227)</f>
        <v>0</v>
      </c>
      <c r="BV1228" s="1138">
        <f t="shared" ref="BV1228" si="5574">SUM(BV1219:BV1227)</f>
        <v>0</v>
      </c>
      <c r="BW1228" s="1138">
        <f t="shared" ref="BW1228" si="5575">SUM(BW1219:BW1227)</f>
        <v>0</v>
      </c>
      <c r="BX1228" s="1138">
        <f t="shared" ref="BX1228" si="5576">SUM(BX1219:BX1227)</f>
        <v>0</v>
      </c>
      <c r="BY1228" s="1138">
        <f t="shared" ref="BY1228" si="5577">SUM(BY1219:BY1227)</f>
        <v>0</v>
      </c>
      <c r="BZ1228" s="1138">
        <f t="shared" ref="BZ1228" si="5578">SUM(BZ1219:BZ1227)</f>
        <v>0</v>
      </c>
      <c r="CA1228" s="1138">
        <f t="shared" ref="CA1228" si="5579">SUM(CA1219:CA1227)</f>
        <v>0</v>
      </c>
      <c r="CB1228" s="1138">
        <f t="shared" ref="CB1228" si="5580">SUM(CB1219:CB1227)</f>
        <v>0</v>
      </c>
      <c r="CC1228" s="1138">
        <f t="shared" ref="CC1228" si="5581">SUM(CC1219:CC1227)</f>
        <v>0</v>
      </c>
      <c r="CD1228" s="1138">
        <f t="shared" ref="CD1228" si="5582">SUM(CD1219:CD1227)</f>
        <v>0</v>
      </c>
      <c r="CE1228" s="1138">
        <f t="shared" ref="CE1228" si="5583">SUM(CE1219:CE1227)</f>
        <v>0</v>
      </c>
      <c r="CF1228" s="1138">
        <f t="shared" ref="CF1228" si="5584">SUM(CF1219:CF1227)</f>
        <v>0</v>
      </c>
      <c r="CG1228" s="1138">
        <f t="shared" ref="CG1228" si="5585">SUM(CG1219:CG1227)</f>
        <v>0</v>
      </c>
      <c r="CH1228" s="1138">
        <f t="shared" ref="CH1228" si="5586">SUM(CH1219:CH1227)</f>
        <v>0</v>
      </c>
      <c r="CI1228" s="1138">
        <f t="shared" ref="CI1228" si="5587">SUM(CI1219:CI1227)</f>
        <v>0</v>
      </c>
      <c r="CJ1228" s="1138">
        <f t="shared" ref="CJ1228" si="5588">SUM(CJ1219:CJ1227)</f>
        <v>0</v>
      </c>
      <c r="CK1228" s="1138">
        <f t="shared" ref="CK1228" si="5589">SUM(CK1219:CK1227)</f>
        <v>0</v>
      </c>
      <c r="CL1228" s="1138">
        <f t="shared" ref="CL1228" si="5590">SUM(CL1219:CL1227)</f>
        <v>0</v>
      </c>
      <c r="CM1228" s="1138">
        <f t="shared" ref="CM1228" si="5591">SUM(CM1219:CM1227)</f>
        <v>0</v>
      </c>
      <c r="CN1228" s="1138">
        <f t="shared" ref="CN1228" si="5592">SUM(CN1219:CN1227)</f>
        <v>0</v>
      </c>
      <c r="CO1228" s="1138">
        <f t="shared" ref="CO1228" si="5593">SUM(CO1219:CO1227)</f>
        <v>0</v>
      </c>
      <c r="CP1228" s="1138">
        <f t="shared" ref="CP1228" si="5594">SUM(CP1219:CP1227)</f>
        <v>0</v>
      </c>
      <c r="CQ1228" s="1138">
        <f t="shared" ref="CQ1228" si="5595">SUM(CQ1219:CQ1227)</f>
        <v>0</v>
      </c>
      <c r="CR1228" s="1138">
        <f t="shared" ref="CR1228" si="5596">SUM(CR1219:CR1227)</f>
        <v>0</v>
      </c>
      <c r="CS1228" s="1138">
        <f t="shared" ref="CS1228" si="5597">SUM(CS1219:CS1227)</f>
        <v>0</v>
      </c>
      <c r="CT1228" s="1138">
        <f t="shared" ref="CT1228" si="5598">SUM(CT1219:CT1227)</f>
        <v>0</v>
      </c>
      <c r="CU1228" s="1138">
        <f t="shared" ref="CU1228" si="5599">SUM(CU1219:CU1227)</f>
        <v>0</v>
      </c>
      <c r="CV1228" s="1138">
        <f t="shared" ref="CV1228" si="5600">SUM(CV1219:CV1227)</f>
        <v>0</v>
      </c>
      <c r="CW1228" s="1138">
        <f t="shared" ref="CW1228" si="5601">SUM(CW1219:CW1227)</f>
        <v>0</v>
      </c>
      <c r="CX1228" s="1138">
        <f t="shared" ref="CX1228" si="5602">SUM(CX1219:CX1227)</f>
        <v>0</v>
      </c>
      <c r="CY1228" s="1138">
        <f t="shared" ref="CY1228" si="5603">SUM(CY1219:CY1227)</f>
        <v>0</v>
      </c>
      <c r="CZ1228" s="1138">
        <f t="shared" ref="CZ1228" si="5604">SUM(CZ1219:CZ1227)</f>
        <v>0</v>
      </c>
      <c r="DA1228" s="1138">
        <f t="shared" ref="DA1228" si="5605">SUM(DA1219:DA1227)</f>
        <v>0</v>
      </c>
      <c r="DB1228" s="1138">
        <f t="shared" ref="DB1228" si="5606">SUM(DB1219:DB1227)</f>
        <v>0</v>
      </c>
      <c r="DC1228" s="1138">
        <f t="shared" ref="DC1228" si="5607">SUM(DC1219:DC1227)</f>
        <v>0</v>
      </c>
      <c r="DD1228" s="1138">
        <f t="shared" ref="DD1228" si="5608">SUM(DD1219:DD1227)</f>
        <v>0</v>
      </c>
      <c r="DE1228" s="1138">
        <f t="shared" ref="DE1228" si="5609">SUM(DE1219:DE1227)</f>
        <v>0</v>
      </c>
      <c r="DF1228" s="1138">
        <f t="shared" ref="DF1228" si="5610">SUM(DF1219:DF1227)</f>
        <v>0</v>
      </c>
      <c r="DG1228" s="1138">
        <f t="shared" ref="DG1228" si="5611">SUM(DG1219:DG1227)</f>
        <v>0</v>
      </c>
      <c r="DH1228" s="1138">
        <f t="shared" ref="DH1228" si="5612">SUM(DH1219:DH1227)</f>
        <v>0</v>
      </c>
      <c r="DI1228" s="1138">
        <f t="shared" ref="DI1228" si="5613">SUM(DI1219:DI1227)</f>
        <v>0</v>
      </c>
      <c r="DJ1228" s="1138">
        <f t="shared" ref="DJ1228" si="5614">SUM(DJ1219:DJ1227)</f>
        <v>0</v>
      </c>
      <c r="DK1228" s="1138">
        <f t="shared" ref="DK1228" si="5615">SUM(DK1219:DK1227)</f>
        <v>0</v>
      </c>
      <c r="DL1228" s="1138">
        <f t="shared" ref="DL1228" si="5616">SUM(DL1219:DL1227)</f>
        <v>0</v>
      </c>
      <c r="DM1228" s="1138">
        <f t="shared" ref="DM1228" si="5617">SUM(DM1219:DM1227)</f>
        <v>0</v>
      </c>
      <c r="DN1228" s="1138">
        <f t="shared" ref="DN1228" si="5618">SUM(DN1219:DN1227)</f>
        <v>0</v>
      </c>
      <c r="DO1228" s="1138">
        <f t="shared" ref="DO1228" si="5619">SUM(DO1219:DO1227)</f>
        <v>0</v>
      </c>
      <c r="DP1228" s="1138">
        <f t="shared" ref="DP1228" si="5620">SUM(DP1219:DP1227)</f>
        <v>0</v>
      </c>
      <c r="DQ1228" s="1138">
        <f t="shared" ref="DQ1228" si="5621">SUM(DQ1219:DQ1227)</f>
        <v>0</v>
      </c>
      <c r="DR1228" s="1138">
        <f t="shared" ref="DR1228" si="5622">SUM(DR1219:DR1227)</f>
        <v>0</v>
      </c>
      <c r="DS1228" s="1138">
        <f t="shared" ref="DS1228" si="5623">SUM(DS1219:DS1227)</f>
        <v>0</v>
      </c>
      <c r="DT1228" s="1138">
        <f t="shared" ref="DT1228" si="5624">SUM(DT1219:DT1227)</f>
        <v>0</v>
      </c>
      <c r="DU1228" s="1138">
        <f t="shared" ref="DU1228" si="5625">SUM(DU1219:DU1227)</f>
        <v>0</v>
      </c>
      <c r="DV1228" s="1138">
        <f t="shared" ref="DV1228" si="5626">SUM(DV1219:DV1227)</f>
        <v>0</v>
      </c>
      <c r="DW1228" s="1138">
        <f t="shared" ref="DW1228" si="5627">SUM(DW1219:DW1227)</f>
        <v>0</v>
      </c>
      <c r="DX1228" s="1138">
        <f t="shared" ref="DX1228" si="5628">SUM(DX1219:DX1227)</f>
        <v>0</v>
      </c>
      <c r="DY1228" s="1138">
        <f t="shared" ref="DY1228" si="5629">SUM(DY1219:DY1227)</f>
        <v>0</v>
      </c>
      <c r="DZ1228" s="1138">
        <f t="shared" ref="DZ1228" si="5630">SUM(DZ1219:DZ1227)</f>
        <v>0</v>
      </c>
      <c r="EA1228" s="1138">
        <f t="shared" ref="EA1228" si="5631">SUM(EA1219:EA1227)</f>
        <v>0</v>
      </c>
      <c r="EB1228" s="1138">
        <f t="shared" ref="EB1228" si="5632">SUM(EB1219:EB1227)</f>
        <v>0</v>
      </c>
      <c r="EC1228" s="1138">
        <f t="shared" ref="EC1228" si="5633">SUM(EC1219:EC1227)</f>
        <v>0</v>
      </c>
      <c r="ED1228" s="1138">
        <f t="shared" ref="ED1228" si="5634">SUM(ED1219:ED1227)</f>
        <v>0</v>
      </c>
      <c r="EE1228" s="1138">
        <f t="shared" ref="EE1228" si="5635">SUM(EE1219:EE1227)</f>
        <v>0</v>
      </c>
      <c r="EF1228" s="1138">
        <f t="shared" ref="EF1228" si="5636">SUM(EF1219:EF1227)</f>
        <v>0</v>
      </c>
      <c r="EG1228" s="1138">
        <f t="shared" ref="EG1228" si="5637">SUM(EG1219:EG1227)</f>
        <v>0</v>
      </c>
      <c r="EH1228" s="1138">
        <f t="shared" ref="EH1228" si="5638">SUM(EH1219:EH1227)</f>
        <v>0</v>
      </c>
      <c r="EI1228" s="1138">
        <f t="shared" ref="EI1228" si="5639">SUM(EI1219:EI1227)</f>
        <v>0</v>
      </c>
      <c r="EJ1228" s="1138">
        <f t="shared" ref="EJ1228" si="5640">SUM(EJ1219:EJ1227)</f>
        <v>0</v>
      </c>
      <c r="EK1228" s="1138">
        <f t="shared" ref="EK1228" si="5641">SUM(EK1219:EK1227)</f>
        <v>0</v>
      </c>
      <c r="EL1228" s="1138">
        <f t="shared" ref="EL1228" si="5642">SUM(EL1219:EL1227)</f>
        <v>0</v>
      </c>
      <c r="EM1228" s="1138">
        <f t="shared" ref="EM1228" si="5643">SUM(EM1219:EM1227)</f>
        <v>0</v>
      </c>
      <c r="EN1228" s="1138">
        <f t="shared" ref="EN1228" si="5644">SUM(EN1219:EN1227)</f>
        <v>0</v>
      </c>
      <c r="EO1228" s="1138">
        <f t="shared" ref="EO1228" si="5645">SUM(EO1219:EO1227)</f>
        <v>0</v>
      </c>
      <c r="EP1228" s="1138">
        <f t="shared" ref="EP1228" si="5646">SUM(EP1219:EP1227)</f>
        <v>0</v>
      </c>
      <c r="EQ1228" s="1138">
        <f t="shared" ref="EQ1228" si="5647">SUM(EQ1219:EQ1227)</f>
        <v>0</v>
      </c>
      <c r="ER1228" s="1138">
        <f t="shared" ref="ER1228" si="5648">SUM(ER1219:ER1227)</f>
        <v>0</v>
      </c>
      <c r="ES1228" s="1138">
        <f t="shared" ref="ES1228" si="5649">SUM(ES1219:ES1227)</f>
        <v>0</v>
      </c>
      <c r="ET1228" s="1138">
        <f t="shared" ref="ET1228" si="5650">SUM(ET1219:ET1227)</f>
        <v>0</v>
      </c>
      <c r="EU1228" s="1138">
        <f t="shared" ref="EU1228" si="5651">SUM(EU1219:EU1227)</f>
        <v>0</v>
      </c>
      <c r="EV1228" s="1138">
        <f t="shared" ref="EV1228" si="5652">SUM(EV1219:EV1227)</f>
        <v>0</v>
      </c>
      <c r="EW1228" s="1138">
        <f t="shared" ref="EW1228" si="5653">SUM(EW1219:EW1227)</f>
        <v>0</v>
      </c>
      <c r="EX1228" s="1138">
        <f t="shared" ref="EX1228:FL1228" si="5654">SUM(EX1219:EX1227)</f>
        <v>0</v>
      </c>
      <c r="EY1228" s="1138">
        <f t="shared" si="5654"/>
        <v>0</v>
      </c>
      <c r="EZ1228" s="1138">
        <f t="shared" si="5654"/>
        <v>0</v>
      </c>
      <c r="FA1228" s="1138">
        <f t="shared" si="5654"/>
        <v>0</v>
      </c>
      <c r="FB1228" s="1138">
        <f t="shared" si="5654"/>
        <v>0</v>
      </c>
      <c r="FC1228" s="1138">
        <f t="shared" si="5654"/>
        <v>0</v>
      </c>
      <c r="FD1228" s="1138">
        <f t="shared" si="5654"/>
        <v>0</v>
      </c>
      <c r="FE1228" s="1138">
        <f t="shared" si="5654"/>
        <v>0</v>
      </c>
      <c r="FF1228" s="1138">
        <f t="shared" si="5654"/>
        <v>0</v>
      </c>
      <c r="FG1228" s="1138">
        <f t="shared" si="5654"/>
        <v>0</v>
      </c>
      <c r="FH1228" s="1138">
        <f t="shared" si="5654"/>
        <v>0</v>
      </c>
      <c r="FI1228" s="1138">
        <f t="shared" si="5654"/>
        <v>0</v>
      </c>
      <c r="FJ1228" s="1138">
        <f t="shared" si="5654"/>
        <v>0</v>
      </c>
      <c r="FK1228" s="1138">
        <f t="shared" si="5654"/>
        <v>0</v>
      </c>
      <c r="FL1228" s="1138">
        <f t="shared" si="5654"/>
        <v>0</v>
      </c>
    </row>
    <row r="1229" spans="1:168" x14ac:dyDescent="0.25">
      <c r="A1229" s="1491" t="s">
        <v>800</v>
      </c>
      <c r="B1229" s="624">
        <f t="shared" ref="B1229:D1233" si="5655">B277</f>
        <v>0</v>
      </c>
      <c r="C1229" s="624">
        <f t="shared" si="5655"/>
        <v>0</v>
      </c>
      <c r="D1229" s="624">
        <f t="shared" si="5655"/>
        <v>0</v>
      </c>
      <c r="E1229" s="1158">
        <f t="shared" ref="E1229:E1233" si="5656">EY1229</f>
        <v>0</v>
      </c>
      <c r="F1229" s="1158"/>
      <c r="G1229" s="1140"/>
      <c r="H1229" s="1140"/>
      <c r="I1229" s="552"/>
      <c r="J1229" s="552">
        <f t="shared" ref="J1229:AO1229" si="5657">J277*J$338</f>
        <v>0</v>
      </c>
      <c r="K1229" s="552">
        <f t="shared" si="5657"/>
        <v>0</v>
      </c>
      <c r="L1229" s="552">
        <f t="shared" si="5657"/>
        <v>0</v>
      </c>
      <c r="M1229" s="552">
        <f t="shared" si="5657"/>
        <v>0</v>
      </c>
      <c r="N1229" s="552">
        <f t="shared" si="5657"/>
        <v>0</v>
      </c>
      <c r="O1229" s="552">
        <f t="shared" si="5657"/>
        <v>0</v>
      </c>
      <c r="P1229" s="552">
        <f t="shared" si="5657"/>
        <v>0</v>
      </c>
      <c r="Q1229" s="552">
        <f t="shared" si="5657"/>
        <v>0</v>
      </c>
      <c r="R1229" s="552">
        <f t="shared" si="5657"/>
        <v>0</v>
      </c>
      <c r="S1229" s="552">
        <f t="shared" si="5657"/>
        <v>0</v>
      </c>
      <c r="T1229" s="552">
        <f t="shared" si="5657"/>
        <v>0</v>
      </c>
      <c r="U1229" s="552">
        <f t="shared" si="5657"/>
        <v>0</v>
      </c>
      <c r="V1229" s="552">
        <f t="shared" si="5657"/>
        <v>0</v>
      </c>
      <c r="W1229" s="552">
        <f t="shared" si="5657"/>
        <v>0</v>
      </c>
      <c r="X1229" s="552">
        <f t="shared" si="5657"/>
        <v>0</v>
      </c>
      <c r="Y1229" s="552">
        <f t="shared" si="5657"/>
        <v>0</v>
      </c>
      <c r="Z1229" s="552">
        <f t="shared" si="5657"/>
        <v>0</v>
      </c>
      <c r="AA1229" s="552">
        <f t="shared" si="5657"/>
        <v>0</v>
      </c>
      <c r="AB1229" s="552">
        <f t="shared" si="5657"/>
        <v>0</v>
      </c>
      <c r="AC1229" s="552">
        <f t="shared" si="5657"/>
        <v>0</v>
      </c>
      <c r="AD1229" s="552">
        <f t="shared" si="5657"/>
        <v>0</v>
      </c>
      <c r="AE1229" s="552">
        <f t="shared" si="5657"/>
        <v>0</v>
      </c>
      <c r="AF1229" s="552">
        <f t="shared" si="5657"/>
        <v>0</v>
      </c>
      <c r="AG1229" s="552">
        <f t="shared" si="5657"/>
        <v>0</v>
      </c>
      <c r="AH1229" s="552">
        <f t="shared" si="5657"/>
        <v>0</v>
      </c>
      <c r="AI1229" s="552">
        <f t="shared" si="5657"/>
        <v>0</v>
      </c>
      <c r="AJ1229" s="552">
        <f t="shared" si="5657"/>
        <v>0</v>
      </c>
      <c r="AK1229" s="552">
        <f t="shared" si="5657"/>
        <v>0</v>
      </c>
      <c r="AL1229" s="552">
        <f t="shared" si="5657"/>
        <v>0</v>
      </c>
      <c r="AM1229" s="552">
        <f t="shared" si="5657"/>
        <v>0</v>
      </c>
      <c r="AN1229" s="552">
        <f t="shared" si="5657"/>
        <v>0</v>
      </c>
      <c r="AO1229" s="552">
        <f t="shared" si="5657"/>
        <v>0</v>
      </c>
      <c r="AP1229" s="552">
        <f t="shared" ref="AP1229:BU1229" si="5658">AP277*AP$338</f>
        <v>0</v>
      </c>
      <c r="AQ1229" s="552">
        <f t="shared" si="5658"/>
        <v>0</v>
      </c>
      <c r="AR1229" s="552">
        <f t="shared" si="5658"/>
        <v>0</v>
      </c>
      <c r="AS1229" s="552">
        <f t="shared" si="5658"/>
        <v>0</v>
      </c>
      <c r="AT1229" s="552">
        <f t="shared" si="5658"/>
        <v>0</v>
      </c>
      <c r="AU1229" s="552">
        <f t="shared" si="5658"/>
        <v>0</v>
      </c>
      <c r="AV1229" s="552">
        <f t="shared" si="5658"/>
        <v>0</v>
      </c>
      <c r="AW1229" s="552">
        <f t="shared" si="5658"/>
        <v>0</v>
      </c>
      <c r="AX1229" s="552">
        <f t="shared" si="5658"/>
        <v>0</v>
      </c>
      <c r="AY1229" s="552">
        <f t="shared" si="5658"/>
        <v>0</v>
      </c>
      <c r="AZ1229" s="552">
        <f t="shared" si="5658"/>
        <v>0</v>
      </c>
      <c r="BA1229" s="552">
        <f t="shared" si="5658"/>
        <v>0</v>
      </c>
      <c r="BB1229" s="552">
        <f t="shared" si="5658"/>
        <v>0</v>
      </c>
      <c r="BC1229" s="552">
        <f t="shared" si="5658"/>
        <v>0</v>
      </c>
      <c r="BD1229" s="552">
        <f t="shared" si="5658"/>
        <v>0</v>
      </c>
      <c r="BE1229" s="552">
        <f t="shared" si="5658"/>
        <v>0</v>
      </c>
      <c r="BF1229" s="552">
        <f t="shared" si="5658"/>
        <v>0</v>
      </c>
      <c r="BG1229" s="552">
        <f t="shared" si="5658"/>
        <v>0</v>
      </c>
      <c r="BH1229" s="552">
        <f t="shared" si="5658"/>
        <v>0</v>
      </c>
      <c r="BI1229" s="552">
        <f t="shared" si="5658"/>
        <v>0</v>
      </c>
      <c r="BJ1229" s="552">
        <f t="shared" si="5658"/>
        <v>0</v>
      </c>
      <c r="BK1229" s="552">
        <f t="shared" si="5658"/>
        <v>0</v>
      </c>
      <c r="BL1229" s="552">
        <f t="shared" si="5658"/>
        <v>0</v>
      </c>
      <c r="BM1229" s="552">
        <f t="shared" si="5658"/>
        <v>0</v>
      </c>
      <c r="BN1229" s="552">
        <f t="shared" si="5658"/>
        <v>0</v>
      </c>
      <c r="BO1229" s="552">
        <f t="shared" si="5658"/>
        <v>0</v>
      </c>
      <c r="BP1229" s="552">
        <f t="shared" si="5658"/>
        <v>0</v>
      </c>
      <c r="BQ1229" s="552">
        <f t="shared" si="5658"/>
        <v>0</v>
      </c>
      <c r="BR1229" s="552">
        <f t="shared" si="5658"/>
        <v>0</v>
      </c>
      <c r="BS1229" s="552">
        <f t="shared" si="5658"/>
        <v>0</v>
      </c>
      <c r="BT1229" s="552">
        <f t="shared" si="5658"/>
        <v>0</v>
      </c>
      <c r="BU1229" s="552">
        <f t="shared" si="5658"/>
        <v>0</v>
      </c>
      <c r="BV1229" s="552">
        <f t="shared" ref="BV1229:DA1229" si="5659">BV277*BV$338</f>
        <v>0</v>
      </c>
      <c r="BW1229" s="552">
        <f t="shared" si="5659"/>
        <v>0</v>
      </c>
      <c r="BX1229" s="552">
        <f t="shared" si="5659"/>
        <v>0</v>
      </c>
      <c r="BY1229" s="552">
        <f t="shared" si="5659"/>
        <v>0</v>
      </c>
      <c r="BZ1229" s="552">
        <f t="shared" si="5659"/>
        <v>0</v>
      </c>
      <c r="CA1229" s="552">
        <f t="shared" si="5659"/>
        <v>0</v>
      </c>
      <c r="CB1229" s="552">
        <f t="shared" si="5659"/>
        <v>0</v>
      </c>
      <c r="CC1229" s="552">
        <f t="shared" si="5659"/>
        <v>0</v>
      </c>
      <c r="CD1229" s="552">
        <f t="shared" si="5659"/>
        <v>0</v>
      </c>
      <c r="CE1229" s="552">
        <f t="shared" si="5659"/>
        <v>0</v>
      </c>
      <c r="CF1229" s="552">
        <f t="shared" si="5659"/>
        <v>0</v>
      </c>
      <c r="CG1229" s="552">
        <f t="shared" si="5659"/>
        <v>0</v>
      </c>
      <c r="CH1229" s="552">
        <f t="shared" si="5659"/>
        <v>0</v>
      </c>
      <c r="CI1229" s="552">
        <f t="shared" si="5659"/>
        <v>0</v>
      </c>
      <c r="CJ1229" s="552">
        <f t="shared" si="5659"/>
        <v>0</v>
      </c>
      <c r="CK1229" s="552">
        <f t="shared" si="5659"/>
        <v>0</v>
      </c>
      <c r="CL1229" s="552">
        <f t="shared" si="5659"/>
        <v>0</v>
      </c>
      <c r="CM1229" s="552">
        <f t="shared" si="5659"/>
        <v>0</v>
      </c>
      <c r="CN1229" s="552">
        <f t="shared" si="5659"/>
        <v>0</v>
      </c>
      <c r="CO1229" s="552">
        <f t="shared" si="5659"/>
        <v>0</v>
      </c>
      <c r="CP1229" s="552">
        <f t="shared" si="5659"/>
        <v>0</v>
      </c>
      <c r="CQ1229" s="552">
        <f t="shared" si="5659"/>
        <v>0</v>
      </c>
      <c r="CR1229" s="552">
        <f t="shared" si="5659"/>
        <v>0</v>
      </c>
      <c r="CS1229" s="552">
        <f t="shared" si="5659"/>
        <v>0</v>
      </c>
      <c r="CT1229" s="552">
        <f t="shared" si="5659"/>
        <v>0</v>
      </c>
      <c r="CU1229" s="552">
        <f t="shared" si="5659"/>
        <v>0</v>
      </c>
      <c r="CV1229" s="552">
        <f t="shared" si="5659"/>
        <v>0</v>
      </c>
      <c r="CW1229" s="552">
        <f t="shared" si="5659"/>
        <v>0</v>
      </c>
      <c r="CX1229" s="552">
        <f t="shared" si="5659"/>
        <v>0</v>
      </c>
      <c r="CY1229" s="552">
        <f t="shared" si="5659"/>
        <v>0</v>
      </c>
      <c r="CZ1229" s="552">
        <f t="shared" si="5659"/>
        <v>0</v>
      </c>
      <c r="DA1229" s="552">
        <f t="shared" si="5659"/>
        <v>0</v>
      </c>
      <c r="DB1229" s="552">
        <f t="shared" ref="DB1229:EG1229" si="5660">DB277*DB$338</f>
        <v>0</v>
      </c>
      <c r="DC1229" s="552">
        <f t="shared" si="5660"/>
        <v>0</v>
      </c>
      <c r="DD1229" s="552">
        <f t="shared" si="5660"/>
        <v>0</v>
      </c>
      <c r="DE1229" s="552">
        <f t="shared" si="5660"/>
        <v>0</v>
      </c>
      <c r="DF1229" s="552">
        <f t="shared" si="5660"/>
        <v>0</v>
      </c>
      <c r="DG1229" s="552">
        <f t="shared" si="5660"/>
        <v>0</v>
      </c>
      <c r="DH1229" s="552">
        <f t="shared" si="5660"/>
        <v>0</v>
      </c>
      <c r="DI1229" s="552">
        <f t="shared" si="5660"/>
        <v>0</v>
      </c>
      <c r="DJ1229" s="552">
        <f t="shared" si="5660"/>
        <v>0</v>
      </c>
      <c r="DK1229" s="552">
        <f t="shared" si="5660"/>
        <v>0</v>
      </c>
      <c r="DL1229" s="552">
        <f t="shared" si="5660"/>
        <v>0</v>
      </c>
      <c r="DM1229" s="552">
        <f t="shared" si="5660"/>
        <v>0</v>
      </c>
      <c r="DN1229" s="552">
        <f t="shared" si="5660"/>
        <v>0</v>
      </c>
      <c r="DO1229" s="552">
        <f t="shared" si="5660"/>
        <v>0</v>
      </c>
      <c r="DP1229" s="552">
        <f t="shared" si="5660"/>
        <v>0</v>
      </c>
      <c r="DQ1229" s="552">
        <f t="shared" si="5660"/>
        <v>0</v>
      </c>
      <c r="DR1229" s="552">
        <f t="shared" si="5660"/>
        <v>0</v>
      </c>
      <c r="DS1229" s="552">
        <f t="shared" si="5660"/>
        <v>0</v>
      </c>
      <c r="DT1229" s="552">
        <f t="shared" si="5660"/>
        <v>0</v>
      </c>
      <c r="DU1229" s="552">
        <f t="shared" si="5660"/>
        <v>0</v>
      </c>
      <c r="DV1229" s="552">
        <f t="shared" si="5660"/>
        <v>0</v>
      </c>
      <c r="DW1229" s="552">
        <f t="shared" si="5660"/>
        <v>0</v>
      </c>
      <c r="DX1229" s="552">
        <f t="shared" si="5660"/>
        <v>0</v>
      </c>
      <c r="DY1229" s="552">
        <f t="shared" si="5660"/>
        <v>0</v>
      </c>
      <c r="DZ1229" s="552">
        <f t="shared" si="5660"/>
        <v>0</v>
      </c>
      <c r="EA1229" s="552">
        <f t="shared" si="5660"/>
        <v>0</v>
      </c>
      <c r="EB1229" s="552">
        <f t="shared" si="5660"/>
        <v>0</v>
      </c>
      <c r="EC1229" s="552">
        <f t="shared" si="5660"/>
        <v>0</v>
      </c>
      <c r="ED1229" s="552">
        <f t="shared" si="5660"/>
        <v>0</v>
      </c>
      <c r="EE1229" s="552">
        <f t="shared" si="5660"/>
        <v>0</v>
      </c>
      <c r="EF1229" s="552">
        <f t="shared" si="5660"/>
        <v>0</v>
      </c>
      <c r="EG1229" s="552">
        <f t="shared" si="5660"/>
        <v>0</v>
      </c>
      <c r="EH1229" s="552">
        <f t="shared" ref="EH1229:EX1229" si="5661">EH277*EH$338</f>
        <v>0</v>
      </c>
      <c r="EI1229" s="552">
        <f t="shared" si="5661"/>
        <v>0</v>
      </c>
      <c r="EJ1229" s="552">
        <f t="shared" si="5661"/>
        <v>0</v>
      </c>
      <c r="EK1229" s="552">
        <f t="shared" si="5661"/>
        <v>0</v>
      </c>
      <c r="EL1229" s="552">
        <f t="shared" si="5661"/>
        <v>0</v>
      </c>
      <c r="EM1229" s="552">
        <f t="shared" si="5661"/>
        <v>0</v>
      </c>
      <c r="EN1229" s="552">
        <f t="shared" si="5661"/>
        <v>0</v>
      </c>
      <c r="EO1229" s="552">
        <f t="shared" si="5661"/>
        <v>0</v>
      </c>
      <c r="EP1229" s="552">
        <f t="shared" si="5661"/>
        <v>0</v>
      </c>
      <c r="EQ1229" s="552">
        <f t="shared" si="5661"/>
        <v>0</v>
      </c>
      <c r="ER1229" s="552">
        <f t="shared" si="5661"/>
        <v>0</v>
      </c>
      <c r="ES1229" s="552">
        <f t="shared" si="5661"/>
        <v>0</v>
      </c>
      <c r="ET1229" s="552">
        <f t="shared" si="5661"/>
        <v>0</v>
      </c>
      <c r="EU1229" s="552">
        <f t="shared" si="5661"/>
        <v>0</v>
      </c>
      <c r="EV1229" s="552">
        <f t="shared" si="5661"/>
        <v>0</v>
      </c>
      <c r="EW1229" s="552">
        <f t="shared" si="5661"/>
        <v>0</v>
      </c>
      <c r="EX1229" s="552">
        <f t="shared" si="5661"/>
        <v>0</v>
      </c>
      <c r="EY1229" s="799">
        <f t="shared" si="4577"/>
        <v>0</v>
      </c>
      <c r="EZ1229" s="640"/>
      <c r="FA1229" s="640"/>
      <c r="FB1229" s="640"/>
      <c r="FC1229" s="640"/>
      <c r="FD1229" s="640"/>
      <c r="FE1229" s="640"/>
      <c r="FF1229" s="640"/>
      <c r="FG1229" s="640"/>
      <c r="FH1229" s="640"/>
      <c r="FI1229" s="640"/>
      <c r="FJ1229" s="640"/>
      <c r="FK1229" s="640"/>
      <c r="FL1229" s="640"/>
    </row>
    <row r="1230" spans="1:168" x14ac:dyDescent="0.25">
      <c r="A1230" s="1492"/>
      <c r="B1230" s="624">
        <f t="shared" si="5655"/>
        <v>0</v>
      </c>
      <c r="C1230" s="624">
        <f t="shared" si="5655"/>
        <v>0</v>
      </c>
      <c r="D1230" s="624">
        <f t="shared" si="5655"/>
        <v>0</v>
      </c>
      <c r="E1230" s="1158">
        <f t="shared" si="5656"/>
        <v>0</v>
      </c>
      <c r="F1230" s="1158"/>
      <c r="G1230" s="1140"/>
      <c r="H1230" s="1140"/>
      <c r="I1230" s="552"/>
      <c r="J1230" s="552">
        <f t="shared" ref="J1230:AO1230" si="5662">J278*J$338</f>
        <v>0</v>
      </c>
      <c r="K1230" s="552">
        <f t="shared" si="5662"/>
        <v>0</v>
      </c>
      <c r="L1230" s="552">
        <f t="shared" si="5662"/>
        <v>0</v>
      </c>
      <c r="M1230" s="552">
        <f t="shared" si="5662"/>
        <v>0</v>
      </c>
      <c r="N1230" s="552">
        <f t="shared" si="5662"/>
        <v>0</v>
      </c>
      <c r="O1230" s="552">
        <f t="shared" si="5662"/>
        <v>0</v>
      </c>
      <c r="P1230" s="552">
        <f t="shared" si="5662"/>
        <v>0</v>
      </c>
      <c r="Q1230" s="552">
        <f t="shared" si="5662"/>
        <v>0</v>
      </c>
      <c r="R1230" s="552">
        <f t="shared" si="5662"/>
        <v>0</v>
      </c>
      <c r="S1230" s="552">
        <f t="shared" si="5662"/>
        <v>0</v>
      </c>
      <c r="T1230" s="552">
        <f t="shared" si="5662"/>
        <v>0</v>
      </c>
      <c r="U1230" s="552">
        <f t="shared" si="5662"/>
        <v>0</v>
      </c>
      <c r="V1230" s="552">
        <f t="shared" si="5662"/>
        <v>0</v>
      </c>
      <c r="W1230" s="552">
        <f t="shared" si="5662"/>
        <v>0</v>
      </c>
      <c r="X1230" s="552">
        <f t="shared" si="5662"/>
        <v>0</v>
      </c>
      <c r="Y1230" s="552">
        <f t="shared" si="5662"/>
        <v>0</v>
      </c>
      <c r="Z1230" s="552">
        <f t="shared" si="5662"/>
        <v>0</v>
      </c>
      <c r="AA1230" s="552">
        <f t="shared" si="5662"/>
        <v>0</v>
      </c>
      <c r="AB1230" s="552">
        <f t="shared" si="5662"/>
        <v>0</v>
      </c>
      <c r="AC1230" s="552">
        <f t="shared" si="5662"/>
        <v>0</v>
      </c>
      <c r="AD1230" s="552">
        <f t="shared" si="5662"/>
        <v>0</v>
      </c>
      <c r="AE1230" s="552">
        <f t="shared" si="5662"/>
        <v>0</v>
      </c>
      <c r="AF1230" s="552">
        <f t="shared" si="5662"/>
        <v>0</v>
      </c>
      <c r="AG1230" s="552">
        <f t="shared" si="5662"/>
        <v>0</v>
      </c>
      <c r="AH1230" s="552">
        <f t="shared" si="5662"/>
        <v>0</v>
      </c>
      <c r="AI1230" s="552">
        <f t="shared" si="5662"/>
        <v>0</v>
      </c>
      <c r="AJ1230" s="552">
        <f t="shared" si="5662"/>
        <v>0</v>
      </c>
      <c r="AK1230" s="552">
        <f t="shared" si="5662"/>
        <v>0</v>
      </c>
      <c r="AL1230" s="552">
        <f t="shared" si="5662"/>
        <v>0</v>
      </c>
      <c r="AM1230" s="552">
        <f t="shared" si="5662"/>
        <v>0</v>
      </c>
      <c r="AN1230" s="552">
        <f t="shared" si="5662"/>
        <v>0</v>
      </c>
      <c r="AO1230" s="552">
        <f t="shared" si="5662"/>
        <v>0</v>
      </c>
      <c r="AP1230" s="552">
        <f t="shared" ref="AP1230:BU1230" si="5663">AP278*AP$338</f>
        <v>0</v>
      </c>
      <c r="AQ1230" s="552">
        <f t="shared" si="5663"/>
        <v>0</v>
      </c>
      <c r="AR1230" s="552">
        <f t="shared" si="5663"/>
        <v>0</v>
      </c>
      <c r="AS1230" s="552">
        <f t="shared" si="5663"/>
        <v>0</v>
      </c>
      <c r="AT1230" s="552">
        <f t="shared" si="5663"/>
        <v>0</v>
      </c>
      <c r="AU1230" s="552">
        <f t="shared" si="5663"/>
        <v>0</v>
      </c>
      <c r="AV1230" s="552">
        <f t="shared" si="5663"/>
        <v>0</v>
      </c>
      <c r="AW1230" s="552">
        <f t="shared" si="5663"/>
        <v>0</v>
      </c>
      <c r="AX1230" s="552">
        <f t="shared" si="5663"/>
        <v>0</v>
      </c>
      <c r="AY1230" s="552">
        <f t="shared" si="5663"/>
        <v>0</v>
      </c>
      <c r="AZ1230" s="552">
        <f t="shared" si="5663"/>
        <v>0</v>
      </c>
      <c r="BA1230" s="552">
        <f t="shared" si="5663"/>
        <v>0</v>
      </c>
      <c r="BB1230" s="552">
        <f t="shared" si="5663"/>
        <v>0</v>
      </c>
      <c r="BC1230" s="552">
        <f t="shared" si="5663"/>
        <v>0</v>
      </c>
      <c r="BD1230" s="552">
        <f t="shared" si="5663"/>
        <v>0</v>
      </c>
      <c r="BE1230" s="552">
        <f t="shared" si="5663"/>
        <v>0</v>
      </c>
      <c r="BF1230" s="552">
        <f t="shared" si="5663"/>
        <v>0</v>
      </c>
      <c r="BG1230" s="552">
        <f t="shared" si="5663"/>
        <v>0</v>
      </c>
      <c r="BH1230" s="552">
        <f t="shared" si="5663"/>
        <v>0</v>
      </c>
      <c r="BI1230" s="552">
        <f t="shared" si="5663"/>
        <v>0</v>
      </c>
      <c r="BJ1230" s="552">
        <f t="shared" si="5663"/>
        <v>0</v>
      </c>
      <c r="BK1230" s="552">
        <f t="shared" si="5663"/>
        <v>0</v>
      </c>
      <c r="BL1230" s="552">
        <f t="shared" si="5663"/>
        <v>0</v>
      </c>
      <c r="BM1230" s="552">
        <f t="shared" si="5663"/>
        <v>0</v>
      </c>
      <c r="BN1230" s="552">
        <f t="shared" si="5663"/>
        <v>0</v>
      </c>
      <c r="BO1230" s="552">
        <f t="shared" si="5663"/>
        <v>0</v>
      </c>
      <c r="BP1230" s="552">
        <f t="shared" si="5663"/>
        <v>0</v>
      </c>
      <c r="BQ1230" s="552">
        <f t="shared" si="5663"/>
        <v>0</v>
      </c>
      <c r="BR1230" s="552">
        <f t="shared" si="5663"/>
        <v>0</v>
      </c>
      <c r="BS1230" s="552">
        <f t="shared" si="5663"/>
        <v>0</v>
      </c>
      <c r="BT1230" s="552">
        <f t="shared" si="5663"/>
        <v>0</v>
      </c>
      <c r="BU1230" s="552">
        <f t="shared" si="5663"/>
        <v>0</v>
      </c>
      <c r="BV1230" s="552">
        <f t="shared" ref="BV1230:DA1230" si="5664">BV278*BV$338</f>
        <v>0</v>
      </c>
      <c r="BW1230" s="552">
        <f t="shared" si="5664"/>
        <v>0</v>
      </c>
      <c r="BX1230" s="552">
        <f t="shared" si="5664"/>
        <v>0</v>
      </c>
      <c r="BY1230" s="552">
        <f t="shared" si="5664"/>
        <v>0</v>
      </c>
      <c r="BZ1230" s="552">
        <f t="shared" si="5664"/>
        <v>0</v>
      </c>
      <c r="CA1230" s="552">
        <f t="shared" si="5664"/>
        <v>0</v>
      </c>
      <c r="CB1230" s="552">
        <f t="shared" si="5664"/>
        <v>0</v>
      </c>
      <c r="CC1230" s="552">
        <f t="shared" si="5664"/>
        <v>0</v>
      </c>
      <c r="CD1230" s="552">
        <f t="shared" si="5664"/>
        <v>0</v>
      </c>
      <c r="CE1230" s="552">
        <f t="shared" si="5664"/>
        <v>0</v>
      </c>
      <c r="CF1230" s="552">
        <f t="shared" si="5664"/>
        <v>0</v>
      </c>
      <c r="CG1230" s="552">
        <f t="shared" si="5664"/>
        <v>0</v>
      </c>
      <c r="CH1230" s="552">
        <f t="shared" si="5664"/>
        <v>0</v>
      </c>
      <c r="CI1230" s="552">
        <f t="shared" si="5664"/>
        <v>0</v>
      </c>
      <c r="CJ1230" s="552">
        <f t="shared" si="5664"/>
        <v>0</v>
      </c>
      <c r="CK1230" s="552">
        <f t="shared" si="5664"/>
        <v>0</v>
      </c>
      <c r="CL1230" s="552">
        <f t="shared" si="5664"/>
        <v>0</v>
      </c>
      <c r="CM1230" s="552">
        <f t="shared" si="5664"/>
        <v>0</v>
      </c>
      <c r="CN1230" s="552">
        <f t="shared" si="5664"/>
        <v>0</v>
      </c>
      <c r="CO1230" s="552">
        <f t="shared" si="5664"/>
        <v>0</v>
      </c>
      <c r="CP1230" s="552">
        <f t="shared" si="5664"/>
        <v>0</v>
      </c>
      <c r="CQ1230" s="552">
        <f t="shared" si="5664"/>
        <v>0</v>
      </c>
      <c r="CR1230" s="552">
        <f t="shared" si="5664"/>
        <v>0</v>
      </c>
      <c r="CS1230" s="552">
        <f t="shared" si="5664"/>
        <v>0</v>
      </c>
      <c r="CT1230" s="552">
        <f t="shared" si="5664"/>
        <v>0</v>
      </c>
      <c r="CU1230" s="552">
        <f t="shared" si="5664"/>
        <v>0</v>
      </c>
      <c r="CV1230" s="552">
        <f t="shared" si="5664"/>
        <v>0</v>
      </c>
      <c r="CW1230" s="552">
        <f t="shared" si="5664"/>
        <v>0</v>
      </c>
      <c r="CX1230" s="552">
        <f t="shared" si="5664"/>
        <v>0</v>
      </c>
      <c r="CY1230" s="552">
        <f t="shared" si="5664"/>
        <v>0</v>
      </c>
      <c r="CZ1230" s="552">
        <f t="shared" si="5664"/>
        <v>0</v>
      </c>
      <c r="DA1230" s="552">
        <f t="shared" si="5664"/>
        <v>0</v>
      </c>
      <c r="DB1230" s="552">
        <f t="shared" ref="DB1230:EG1230" si="5665">DB278*DB$338</f>
        <v>0</v>
      </c>
      <c r="DC1230" s="552">
        <f t="shared" si="5665"/>
        <v>0</v>
      </c>
      <c r="DD1230" s="552">
        <f t="shared" si="5665"/>
        <v>0</v>
      </c>
      <c r="DE1230" s="552">
        <f t="shared" si="5665"/>
        <v>0</v>
      </c>
      <c r="DF1230" s="552">
        <f t="shared" si="5665"/>
        <v>0</v>
      </c>
      <c r="DG1230" s="552">
        <f t="shared" si="5665"/>
        <v>0</v>
      </c>
      <c r="DH1230" s="552">
        <f t="shared" si="5665"/>
        <v>0</v>
      </c>
      <c r="DI1230" s="552">
        <f t="shared" si="5665"/>
        <v>0</v>
      </c>
      <c r="DJ1230" s="552">
        <f t="shared" si="5665"/>
        <v>0</v>
      </c>
      <c r="DK1230" s="552">
        <f t="shared" si="5665"/>
        <v>0</v>
      </c>
      <c r="DL1230" s="552">
        <f t="shared" si="5665"/>
        <v>0</v>
      </c>
      <c r="DM1230" s="552">
        <f t="shared" si="5665"/>
        <v>0</v>
      </c>
      <c r="DN1230" s="552">
        <f t="shared" si="5665"/>
        <v>0</v>
      </c>
      <c r="DO1230" s="552">
        <f t="shared" si="5665"/>
        <v>0</v>
      </c>
      <c r="DP1230" s="552">
        <f t="shared" si="5665"/>
        <v>0</v>
      </c>
      <c r="DQ1230" s="552">
        <f t="shared" si="5665"/>
        <v>0</v>
      </c>
      <c r="DR1230" s="552">
        <f t="shared" si="5665"/>
        <v>0</v>
      </c>
      <c r="DS1230" s="552">
        <f t="shared" si="5665"/>
        <v>0</v>
      </c>
      <c r="DT1230" s="552">
        <f t="shared" si="5665"/>
        <v>0</v>
      </c>
      <c r="DU1230" s="552">
        <f t="shared" si="5665"/>
        <v>0</v>
      </c>
      <c r="DV1230" s="552">
        <f t="shared" si="5665"/>
        <v>0</v>
      </c>
      <c r="DW1230" s="552">
        <f t="shared" si="5665"/>
        <v>0</v>
      </c>
      <c r="DX1230" s="552">
        <f t="shared" si="5665"/>
        <v>0</v>
      </c>
      <c r="DY1230" s="552">
        <f t="shared" si="5665"/>
        <v>0</v>
      </c>
      <c r="DZ1230" s="552">
        <f t="shared" si="5665"/>
        <v>0</v>
      </c>
      <c r="EA1230" s="552">
        <f t="shared" si="5665"/>
        <v>0</v>
      </c>
      <c r="EB1230" s="552">
        <f t="shared" si="5665"/>
        <v>0</v>
      </c>
      <c r="EC1230" s="552">
        <f t="shared" si="5665"/>
        <v>0</v>
      </c>
      <c r="ED1230" s="552">
        <f t="shared" si="5665"/>
        <v>0</v>
      </c>
      <c r="EE1230" s="552">
        <f t="shared" si="5665"/>
        <v>0</v>
      </c>
      <c r="EF1230" s="552">
        <f t="shared" si="5665"/>
        <v>0</v>
      </c>
      <c r="EG1230" s="552">
        <f t="shared" si="5665"/>
        <v>0</v>
      </c>
      <c r="EH1230" s="552">
        <f t="shared" ref="EH1230:EX1230" si="5666">EH278*EH$338</f>
        <v>0</v>
      </c>
      <c r="EI1230" s="552">
        <f t="shared" si="5666"/>
        <v>0</v>
      </c>
      <c r="EJ1230" s="552">
        <f t="shared" si="5666"/>
        <v>0</v>
      </c>
      <c r="EK1230" s="552">
        <f t="shared" si="5666"/>
        <v>0</v>
      </c>
      <c r="EL1230" s="552">
        <f t="shared" si="5666"/>
        <v>0</v>
      </c>
      <c r="EM1230" s="552">
        <f t="shared" si="5666"/>
        <v>0</v>
      </c>
      <c r="EN1230" s="552">
        <f t="shared" si="5666"/>
        <v>0</v>
      </c>
      <c r="EO1230" s="552">
        <f t="shared" si="5666"/>
        <v>0</v>
      </c>
      <c r="EP1230" s="552">
        <f t="shared" si="5666"/>
        <v>0</v>
      </c>
      <c r="EQ1230" s="552">
        <f t="shared" si="5666"/>
        <v>0</v>
      </c>
      <c r="ER1230" s="552">
        <f t="shared" si="5666"/>
        <v>0</v>
      </c>
      <c r="ES1230" s="552">
        <f t="shared" si="5666"/>
        <v>0</v>
      </c>
      <c r="ET1230" s="552">
        <f t="shared" si="5666"/>
        <v>0</v>
      </c>
      <c r="EU1230" s="552">
        <f t="shared" si="5666"/>
        <v>0</v>
      </c>
      <c r="EV1230" s="552">
        <f t="shared" si="5666"/>
        <v>0</v>
      </c>
      <c r="EW1230" s="552">
        <f t="shared" si="5666"/>
        <v>0</v>
      </c>
      <c r="EX1230" s="552">
        <f t="shared" si="5666"/>
        <v>0</v>
      </c>
      <c r="EY1230" s="799">
        <f t="shared" si="4577"/>
        <v>0</v>
      </c>
      <c r="EZ1230" s="640"/>
      <c r="FA1230" s="640"/>
      <c r="FB1230" s="640"/>
      <c r="FC1230" s="640"/>
      <c r="FD1230" s="640"/>
      <c r="FE1230" s="640"/>
      <c r="FF1230" s="640"/>
      <c r="FG1230" s="640"/>
      <c r="FH1230" s="640"/>
      <c r="FI1230" s="640"/>
      <c r="FJ1230" s="640"/>
      <c r="FK1230" s="640"/>
      <c r="FL1230" s="640"/>
    </row>
    <row r="1231" spans="1:168" x14ac:dyDescent="0.25">
      <c r="A1231" s="1492"/>
      <c r="B1231" s="624">
        <f t="shared" si="5655"/>
        <v>0</v>
      </c>
      <c r="C1231" s="624">
        <f t="shared" si="5655"/>
        <v>0</v>
      </c>
      <c r="D1231" s="624">
        <f t="shared" si="5655"/>
        <v>0</v>
      </c>
      <c r="E1231" s="1158">
        <f t="shared" si="5656"/>
        <v>0</v>
      </c>
      <c r="F1231" s="1158"/>
      <c r="G1231" s="1140"/>
      <c r="H1231" s="1140"/>
      <c r="I1231" s="552"/>
      <c r="J1231" s="552">
        <f t="shared" ref="J1231:AO1231" si="5667">J279*J$338</f>
        <v>0</v>
      </c>
      <c r="K1231" s="552">
        <f t="shared" si="5667"/>
        <v>0</v>
      </c>
      <c r="L1231" s="552">
        <f t="shared" si="5667"/>
        <v>0</v>
      </c>
      <c r="M1231" s="552">
        <f t="shared" si="5667"/>
        <v>0</v>
      </c>
      <c r="N1231" s="552">
        <f t="shared" si="5667"/>
        <v>0</v>
      </c>
      <c r="O1231" s="552">
        <f t="shared" si="5667"/>
        <v>0</v>
      </c>
      <c r="P1231" s="552">
        <f t="shared" si="5667"/>
        <v>0</v>
      </c>
      <c r="Q1231" s="552">
        <f t="shared" si="5667"/>
        <v>0</v>
      </c>
      <c r="R1231" s="552">
        <f t="shared" si="5667"/>
        <v>0</v>
      </c>
      <c r="S1231" s="552">
        <f t="shared" si="5667"/>
        <v>0</v>
      </c>
      <c r="T1231" s="552">
        <f t="shared" si="5667"/>
        <v>0</v>
      </c>
      <c r="U1231" s="552">
        <f t="shared" si="5667"/>
        <v>0</v>
      </c>
      <c r="V1231" s="552">
        <f t="shared" si="5667"/>
        <v>0</v>
      </c>
      <c r="W1231" s="552">
        <f t="shared" si="5667"/>
        <v>0</v>
      </c>
      <c r="X1231" s="552">
        <f t="shared" si="5667"/>
        <v>0</v>
      </c>
      <c r="Y1231" s="552">
        <f t="shared" si="5667"/>
        <v>0</v>
      </c>
      <c r="Z1231" s="552">
        <f t="shared" si="5667"/>
        <v>0</v>
      </c>
      <c r="AA1231" s="552">
        <f t="shared" si="5667"/>
        <v>0</v>
      </c>
      <c r="AB1231" s="552">
        <f t="shared" si="5667"/>
        <v>0</v>
      </c>
      <c r="AC1231" s="552">
        <f t="shared" si="5667"/>
        <v>0</v>
      </c>
      <c r="AD1231" s="552">
        <f t="shared" si="5667"/>
        <v>0</v>
      </c>
      <c r="AE1231" s="552">
        <f t="shared" si="5667"/>
        <v>0</v>
      </c>
      <c r="AF1231" s="552">
        <f t="shared" si="5667"/>
        <v>0</v>
      </c>
      <c r="AG1231" s="552">
        <f t="shared" si="5667"/>
        <v>0</v>
      </c>
      <c r="AH1231" s="552">
        <f t="shared" si="5667"/>
        <v>0</v>
      </c>
      <c r="AI1231" s="552">
        <f t="shared" si="5667"/>
        <v>0</v>
      </c>
      <c r="AJ1231" s="552">
        <f t="shared" si="5667"/>
        <v>0</v>
      </c>
      <c r="AK1231" s="552">
        <f t="shared" si="5667"/>
        <v>0</v>
      </c>
      <c r="AL1231" s="552">
        <f t="shared" si="5667"/>
        <v>0</v>
      </c>
      <c r="AM1231" s="552">
        <f t="shared" si="5667"/>
        <v>0</v>
      </c>
      <c r="AN1231" s="552">
        <f t="shared" si="5667"/>
        <v>0</v>
      </c>
      <c r="AO1231" s="552">
        <f t="shared" si="5667"/>
        <v>0</v>
      </c>
      <c r="AP1231" s="552">
        <f t="shared" ref="AP1231:BU1231" si="5668">AP279*AP$338</f>
        <v>0</v>
      </c>
      <c r="AQ1231" s="552">
        <f t="shared" si="5668"/>
        <v>0</v>
      </c>
      <c r="AR1231" s="552">
        <f t="shared" si="5668"/>
        <v>0</v>
      </c>
      <c r="AS1231" s="552">
        <f t="shared" si="5668"/>
        <v>0</v>
      </c>
      <c r="AT1231" s="552">
        <f t="shared" si="5668"/>
        <v>0</v>
      </c>
      <c r="AU1231" s="552">
        <f t="shared" si="5668"/>
        <v>0</v>
      </c>
      <c r="AV1231" s="552">
        <f t="shared" si="5668"/>
        <v>0</v>
      </c>
      <c r="AW1231" s="552">
        <f t="shared" si="5668"/>
        <v>0</v>
      </c>
      <c r="AX1231" s="552">
        <f t="shared" si="5668"/>
        <v>0</v>
      </c>
      <c r="AY1231" s="552">
        <f t="shared" si="5668"/>
        <v>0</v>
      </c>
      <c r="AZ1231" s="552">
        <f t="shared" si="5668"/>
        <v>0</v>
      </c>
      <c r="BA1231" s="552">
        <f t="shared" si="5668"/>
        <v>0</v>
      </c>
      <c r="BB1231" s="552">
        <f t="shared" si="5668"/>
        <v>0</v>
      </c>
      <c r="BC1231" s="552">
        <f t="shared" si="5668"/>
        <v>0</v>
      </c>
      <c r="BD1231" s="552">
        <f t="shared" si="5668"/>
        <v>0</v>
      </c>
      <c r="BE1231" s="552">
        <f t="shared" si="5668"/>
        <v>0</v>
      </c>
      <c r="BF1231" s="552">
        <f t="shared" si="5668"/>
        <v>0</v>
      </c>
      <c r="BG1231" s="552">
        <f t="shared" si="5668"/>
        <v>0</v>
      </c>
      <c r="BH1231" s="552">
        <f t="shared" si="5668"/>
        <v>0</v>
      </c>
      <c r="BI1231" s="552">
        <f t="shared" si="5668"/>
        <v>0</v>
      </c>
      <c r="BJ1231" s="552">
        <f t="shared" si="5668"/>
        <v>0</v>
      </c>
      <c r="BK1231" s="552">
        <f t="shared" si="5668"/>
        <v>0</v>
      </c>
      <c r="BL1231" s="552">
        <f t="shared" si="5668"/>
        <v>0</v>
      </c>
      <c r="BM1231" s="552">
        <f t="shared" si="5668"/>
        <v>0</v>
      </c>
      <c r="BN1231" s="552">
        <f t="shared" si="5668"/>
        <v>0</v>
      </c>
      <c r="BO1231" s="552">
        <f t="shared" si="5668"/>
        <v>0</v>
      </c>
      <c r="BP1231" s="552">
        <f t="shared" si="5668"/>
        <v>0</v>
      </c>
      <c r="BQ1231" s="552">
        <f t="shared" si="5668"/>
        <v>0</v>
      </c>
      <c r="BR1231" s="552">
        <f t="shared" si="5668"/>
        <v>0</v>
      </c>
      <c r="BS1231" s="552">
        <f t="shared" si="5668"/>
        <v>0</v>
      </c>
      <c r="BT1231" s="552">
        <f t="shared" si="5668"/>
        <v>0</v>
      </c>
      <c r="BU1231" s="552">
        <f t="shared" si="5668"/>
        <v>0</v>
      </c>
      <c r="BV1231" s="552">
        <f t="shared" ref="BV1231:DA1231" si="5669">BV279*BV$338</f>
        <v>0</v>
      </c>
      <c r="BW1231" s="552">
        <f t="shared" si="5669"/>
        <v>0</v>
      </c>
      <c r="BX1231" s="552">
        <f t="shared" si="5669"/>
        <v>0</v>
      </c>
      <c r="BY1231" s="552">
        <f t="shared" si="5669"/>
        <v>0</v>
      </c>
      <c r="BZ1231" s="552">
        <f t="shared" si="5669"/>
        <v>0</v>
      </c>
      <c r="CA1231" s="552">
        <f t="shared" si="5669"/>
        <v>0</v>
      </c>
      <c r="CB1231" s="552">
        <f t="shared" si="5669"/>
        <v>0</v>
      </c>
      <c r="CC1231" s="552">
        <f t="shared" si="5669"/>
        <v>0</v>
      </c>
      <c r="CD1231" s="552">
        <f t="shared" si="5669"/>
        <v>0</v>
      </c>
      <c r="CE1231" s="552">
        <f t="shared" si="5669"/>
        <v>0</v>
      </c>
      <c r="CF1231" s="552">
        <f t="shared" si="5669"/>
        <v>0</v>
      </c>
      <c r="CG1231" s="552">
        <f t="shared" si="5669"/>
        <v>0</v>
      </c>
      <c r="CH1231" s="552">
        <f t="shared" si="5669"/>
        <v>0</v>
      </c>
      <c r="CI1231" s="552">
        <f t="shared" si="5669"/>
        <v>0</v>
      </c>
      <c r="CJ1231" s="552">
        <f t="shared" si="5669"/>
        <v>0</v>
      </c>
      <c r="CK1231" s="552">
        <f t="shared" si="5669"/>
        <v>0</v>
      </c>
      <c r="CL1231" s="552">
        <f t="shared" si="5669"/>
        <v>0</v>
      </c>
      <c r="CM1231" s="552">
        <f t="shared" si="5669"/>
        <v>0</v>
      </c>
      <c r="CN1231" s="552">
        <f t="shared" si="5669"/>
        <v>0</v>
      </c>
      <c r="CO1231" s="552">
        <f t="shared" si="5669"/>
        <v>0</v>
      </c>
      <c r="CP1231" s="552">
        <f t="shared" si="5669"/>
        <v>0</v>
      </c>
      <c r="CQ1231" s="552">
        <f t="shared" si="5669"/>
        <v>0</v>
      </c>
      <c r="CR1231" s="552">
        <f t="shared" si="5669"/>
        <v>0</v>
      </c>
      <c r="CS1231" s="552">
        <f t="shared" si="5669"/>
        <v>0</v>
      </c>
      <c r="CT1231" s="552">
        <f t="shared" si="5669"/>
        <v>0</v>
      </c>
      <c r="CU1231" s="552">
        <f t="shared" si="5669"/>
        <v>0</v>
      </c>
      <c r="CV1231" s="552">
        <f t="shared" si="5669"/>
        <v>0</v>
      </c>
      <c r="CW1231" s="552">
        <f t="shared" si="5669"/>
        <v>0</v>
      </c>
      <c r="CX1231" s="552">
        <f t="shared" si="5669"/>
        <v>0</v>
      </c>
      <c r="CY1231" s="552">
        <f t="shared" si="5669"/>
        <v>0</v>
      </c>
      <c r="CZ1231" s="552">
        <f t="shared" si="5669"/>
        <v>0</v>
      </c>
      <c r="DA1231" s="552">
        <f t="shared" si="5669"/>
        <v>0</v>
      </c>
      <c r="DB1231" s="552">
        <f t="shared" ref="DB1231:EG1231" si="5670">DB279*DB$338</f>
        <v>0</v>
      </c>
      <c r="DC1231" s="552">
        <f t="shared" si="5670"/>
        <v>0</v>
      </c>
      <c r="DD1231" s="552">
        <f t="shared" si="5670"/>
        <v>0</v>
      </c>
      <c r="DE1231" s="552">
        <f t="shared" si="5670"/>
        <v>0</v>
      </c>
      <c r="DF1231" s="552">
        <f t="shared" si="5670"/>
        <v>0</v>
      </c>
      <c r="DG1231" s="552">
        <f t="shared" si="5670"/>
        <v>0</v>
      </c>
      <c r="DH1231" s="552">
        <f t="shared" si="5670"/>
        <v>0</v>
      </c>
      <c r="DI1231" s="552">
        <f t="shared" si="5670"/>
        <v>0</v>
      </c>
      <c r="DJ1231" s="552">
        <f t="shared" si="5670"/>
        <v>0</v>
      </c>
      <c r="DK1231" s="552">
        <f t="shared" si="5670"/>
        <v>0</v>
      </c>
      <c r="DL1231" s="552">
        <f t="shared" si="5670"/>
        <v>0</v>
      </c>
      <c r="DM1231" s="552">
        <f t="shared" si="5670"/>
        <v>0</v>
      </c>
      <c r="DN1231" s="552">
        <f t="shared" si="5670"/>
        <v>0</v>
      </c>
      <c r="DO1231" s="552">
        <f t="shared" si="5670"/>
        <v>0</v>
      </c>
      <c r="DP1231" s="552">
        <f t="shared" si="5670"/>
        <v>0</v>
      </c>
      <c r="DQ1231" s="552">
        <f t="shared" si="5670"/>
        <v>0</v>
      </c>
      <c r="DR1231" s="552">
        <f t="shared" si="5670"/>
        <v>0</v>
      </c>
      <c r="DS1231" s="552">
        <f t="shared" si="5670"/>
        <v>0</v>
      </c>
      <c r="DT1231" s="552">
        <f t="shared" si="5670"/>
        <v>0</v>
      </c>
      <c r="DU1231" s="552">
        <f t="shared" si="5670"/>
        <v>0</v>
      </c>
      <c r="DV1231" s="552">
        <f t="shared" si="5670"/>
        <v>0</v>
      </c>
      <c r="DW1231" s="552">
        <f t="shared" si="5670"/>
        <v>0</v>
      </c>
      <c r="DX1231" s="552">
        <f t="shared" si="5670"/>
        <v>0</v>
      </c>
      <c r="DY1231" s="552">
        <f t="shared" si="5670"/>
        <v>0</v>
      </c>
      <c r="DZ1231" s="552">
        <f t="shared" si="5670"/>
        <v>0</v>
      </c>
      <c r="EA1231" s="552">
        <f t="shared" si="5670"/>
        <v>0</v>
      </c>
      <c r="EB1231" s="552">
        <f t="shared" si="5670"/>
        <v>0</v>
      </c>
      <c r="EC1231" s="552">
        <f t="shared" si="5670"/>
        <v>0</v>
      </c>
      <c r="ED1231" s="552">
        <f t="shared" si="5670"/>
        <v>0</v>
      </c>
      <c r="EE1231" s="552">
        <f t="shared" si="5670"/>
        <v>0</v>
      </c>
      <c r="EF1231" s="552">
        <f t="shared" si="5670"/>
        <v>0</v>
      </c>
      <c r="EG1231" s="552">
        <f t="shared" si="5670"/>
        <v>0</v>
      </c>
      <c r="EH1231" s="552">
        <f t="shared" ref="EH1231:EX1231" si="5671">EH279*EH$338</f>
        <v>0</v>
      </c>
      <c r="EI1231" s="552">
        <f t="shared" si="5671"/>
        <v>0</v>
      </c>
      <c r="EJ1231" s="552">
        <f t="shared" si="5671"/>
        <v>0</v>
      </c>
      <c r="EK1231" s="552">
        <f t="shared" si="5671"/>
        <v>0</v>
      </c>
      <c r="EL1231" s="552">
        <f t="shared" si="5671"/>
        <v>0</v>
      </c>
      <c r="EM1231" s="552">
        <f t="shared" si="5671"/>
        <v>0</v>
      </c>
      <c r="EN1231" s="552">
        <f t="shared" si="5671"/>
        <v>0</v>
      </c>
      <c r="EO1231" s="552">
        <f t="shared" si="5671"/>
        <v>0</v>
      </c>
      <c r="EP1231" s="552">
        <f t="shared" si="5671"/>
        <v>0</v>
      </c>
      <c r="EQ1231" s="552">
        <f t="shared" si="5671"/>
        <v>0</v>
      </c>
      <c r="ER1231" s="552">
        <f t="shared" si="5671"/>
        <v>0</v>
      </c>
      <c r="ES1231" s="552">
        <f t="shared" si="5671"/>
        <v>0</v>
      </c>
      <c r="ET1231" s="552">
        <f t="shared" si="5671"/>
        <v>0</v>
      </c>
      <c r="EU1231" s="552">
        <f t="shared" si="5671"/>
        <v>0</v>
      </c>
      <c r="EV1231" s="552">
        <f t="shared" si="5671"/>
        <v>0</v>
      </c>
      <c r="EW1231" s="552">
        <f t="shared" si="5671"/>
        <v>0</v>
      </c>
      <c r="EX1231" s="552">
        <f t="shared" si="5671"/>
        <v>0</v>
      </c>
      <c r="EY1231" s="799">
        <f t="shared" si="4577"/>
        <v>0</v>
      </c>
      <c r="EZ1231" s="640"/>
      <c r="FA1231" s="640"/>
      <c r="FB1231" s="640"/>
      <c r="FC1231" s="640"/>
      <c r="FD1231" s="640"/>
      <c r="FE1231" s="640"/>
      <c r="FF1231" s="640"/>
      <c r="FG1231" s="640"/>
      <c r="FH1231" s="640"/>
      <c r="FI1231" s="640"/>
      <c r="FJ1231" s="640"/>
      <c r="FK1231" s="640"/>
      <c r="FL1231" s="640"/>
    </row>
    <row r="1232" spans="1:168" x14ac:dyDescent="0.25">
      <c r="A1232" s="1492"/>
      <c r="B1232" s="624">
        <f t="shared" si="5655"/>
        <v>0</v>
      </c>
      <c r="C1232" s="624">
        <f t="shared" si="5655"/>
        <v>0</v>
      </c>
      <c r="D1232" s="624">
        <f t="shared" si="5655"/>
        <v>0</v>
      </c>
      <c r="E1232" s="1158">
        <f t="shared" si="5656"/>
        <v>0</v>
      </c>
      <c r="F1232" s="1158"/>
      <c r="G1232" s="1140"/>
      <c r="H1232" s="1140"/>
      <c r="I1232" s="552"/>
      <c r="J1232" s="552">
        <f t="shared" ref="J1232:AO1232" si="5672">J280*J$338</f>
        <v>0</v>
      </c>
      <c r="K1232" s="552">
        <f t="shared" si="5672"/>
        <v>0</v>
      </c>
      <c r="L1232" s="552">
        <f t="shared" si="5672"/>
        <v>0</v>
      </c>
      <c r="M1232" s="552">
        <f t="shared" si="5672"/>
        <v>0</v>
      </c>
      <c r="N1232" s="552">
        <f t="shared" si="5672"/>
        <v>0</v>
      </c>
      <c r="O1232" s="552">
        <f t="shared" si="5672"/>
        <v>0</v>
      </c>
      <c r="P1232" s="552">
        <f t="shared" si="5672"/>
        <v>0</v>
      </c>
      <c r="Q1232" s="552">
        <f t="shared" si="5672"/>
        <v>0</v>
      </c>
      <c r="R1232" s="552">
        <f t="shared" si="5672"/>
        <v>0</v>
      </c>
      <c r="S1232" s="552">
        <f t="shared" si="5672"/>
        <v>0</v>
      </c>
      <c r="T1232" s="552">
        <f t="shared" si="5672"/>
        <v>0</v>
      </c>
      <c r="U1232" s="552">
        <f t="shared" si="5672"/>
        <v>0</v>
      </c>
      <c r="V1232" s="552">
        <f t="shared" si="5672"/>
        <v>0</v>
      </c>
      <c r="W1232" s="552">
        <f t="shared" si="5672"/>
        <v>0</v>
      </c>
      <c r="X1232" s="552">
        <f t="shared" si="5672"/>
        <v>0</v>
      </c>
      <c r="Y1232" s="552">
        <f t="shared" si="5672"/>
        <v>0</v>
      </c>
      <c r="Z1232" s="552">
        <f t="shared" si="5672"/>
        <v>0</v>
      </c>
      <c r="AA1232" s="552">
        <f t="shared" si="5672"/>
        <v>0</v>
      </c>
      <c r="AB1232" s="552">
        <f t="shared" si="5672"/>
        <v>0</v>
      </c>
      <c r="AC1232" s="552">
        <f t="shared" si="5672"/>
        <v>0</v>
      </c>
      <c r="AD1232" s="552">
        <f t="shared" si="5672"/>
        <v>0</v>
      </c>
      <c r="AE1232" s="552">
        <f t="shared" si="5672"/>
        <v>0</v>
      </c>
      <c r="AF1232" s="552">
        <f t="shared" si="5672"/>
        <v>0</v>
      </c>
      <c r="AG1232" s="552">
        <f t="shared" si="5672"/>
        <v>0</v>
      </c>
      <c r="AH1232" s="552">
        <f t="shared" si="5672"/>
        <v>0</v>
      </c>
      <c r="AI1232" s="552">
        <f t="shared" si="5672"/>
        <v>0</v>
      </c>
      <c r="AJ1232" s="552">
        <f t="shared" si="5672"/>
        <v>0</v>
      </c>
      <c r="AK1232" s="552">
        <f t="shared" si="5672"/>
        <v>0</v>
      </c>
      <c r="AL1232" s="552">
        <f t="shared" si="5672"/>
        <v>0</v>
      </c>
      <c r="AM1232" s="552">
        <f t="shared" si="5672"/>
        <v>0</v>
      </c>
      <c r="AN1232" s="552">
        <f t="shared" si="5672"/>
        <v>0</v>
      </c>
      <c r="AO1232" s="552">
        <f t="shared" si="5672"/>
        <v>0</v>
      </c>
      <c r="AP1232" s="552">
        <f t="shared" ref="AP1232:BU1232" si="5673">AP280*AP$338</f>
        <v>0</v>
      </c>
      <c r="AQ1232" s="552">
        <f t="shared" si="5673"/>
        <v>0</v>
      </c>
      <c r="AR1232" s="552">
        <f t="shared" si="5673"/>
        <v>0</v>
      </c>
      <c r="AS1232" s="552">
        <f t="shared" si="5673"/>
        <v>0</v>
      </c>
      <c r="AT1232" s="552">
        <f t="shared" si="5673"/>
        <v>0</v>
      </c>
      <c r="AU1232" s="552">
        <f t="shared" si="5673"/>
        <v>0</v>
      </c>
      <c r="AV1232" s="552">
        <f t="shared" si="5673"/>
        <v>0</v>
      </c>
      <c r="AW1232" s="552">
        <f t="shared" si="5673"/>
        <v>0</v>
      </c>
      <c r="AX1232" s="552">
        <f t="shared" si="5673"/>
        <v>0</v>
      </c>
      <c r="AY1232" s="552">
        <f t="shared" si="5673"/>
        <v>0</v>
      </c>
      <c r="AZ1232" s="552">
        <f t="shared" si="5673"/>
        <v>0</v>
      </c>
      <c r="BA1232" s="552">
        <f t="shared" si="5673"/>
        <v>0</v>
      </c>
      <c r="BB1232" s="552">
        <f t="shared" si="5673"/>
        <v>0</v>
      </c>
      <c r="BC1232" s="552">
        <f t="shared" si="5673"/>
        <v>0</v>
      </c>
      <c r="BD1232" s="552">
        <f t="shared" si="5673"/>
        <v>0</v>
      </c>
      <c r="BE1232" s="552">
        <f t="shared" si="5673"/>
        <v>0</v>
      </c>
      <c r="BF1232" s="552">
        <f t="shared" si="5673"/>
        <v>0</v>
      </c>
      <c r="BG1232" s="552">
        <f t="shared" si="5673"/>
        <v>0</v>
      </c>
      <c r="BH1232" s="552">
        <f t="shared" si="5673"/>
        <v>0</v>
      </c>
      <c r="BI1232" s="552">
        <f t="shared" si="5673"/>
        <v>0</v>
      </c>
      <c r="BJ1232" s="552">
        <f t="shared" si="5673"/>
        <v>0</v>
      </c>
      <c r="BK1232" s="552">
        <f t="shared" si="5673"/>
        <v>0</v>
      </c>
      <c r="BL1232" s="552">
        <f t="shared" si="5673"/>
        <v>0</v>
      </c>
      <c r="BM1232" s="552">
        <f t="shared" si="5673"/>
        <v>0</v>
      </c>
      <c r="BN1232" s="552">
        <f t="shared" si="5673"/>
        <v>0</v>
      </c>
      <c r="BO1232" s="552">
        <f t="shared" si="5673"/>
        <v>0</v>
      </c>
      <c r="BP1232" s="552">
        <f t="shared" si="5673"/>
        <v>0</v>
      </c>
      <c r="BQ1232" s="552">
        <f t="shared" si="5673"/>
        <v>0</v>
      </c>
      <c r="BR1232" s="552">
        <f t="shared" si="5673"/>
        <v>0</v>
      </c>
      <c r="BS1232" s="552">
        <f t="shared" si="5673"/>
        <v>0</v>
      </c>
      <c r="BT1232" s="552">
        <f t="shared" si="5673"/>
        <v>0</v>
      </c>
      <c r="BU1232" s="552">
        <f t="shared" si="5673"/>
        <v>0</v>
      </c>
      <c r="BV1232" s="552">
        <f t="shared" ref="BV1232:DA1232" si="5674">BV280*BV$338</f>
        <v>0</v>
      </c>
      <c r="BW1232" s="552">
        <f t="shared" si="5674"/>
        <v>0</v>
      </c>
      <c r="BX1232" s="552">
        <f t="shared" si="5674"/>
        <v>0</v>
      </c>
      <c r="BY1232" s="552">
        <f t="shared" si="5674"/>
        <v>0</v>
      </c>
      <c r="BZ1232" s="552">
        <f t="shared" si="5674"/>
        <v>0</v>
      </c>
      <c r="CA1232" s="552">
        <f t="shared" si="5674"/>
        <v>0</v>
      </c>
      <c r="CB1232" s="552">
        <f t="shared" si="5674"/>
        <v>0</v>
      </c>
      <c r="CC1232" s="552">
        <f t="shared" si="5674"/>
        <v>0</v>
      </c>
      <c r="CD1232" s="552">
        <f t="shared" si="5674"/>
        <v>0</v>
      </c>
      <c r="CE1232" s="552">
        <f t="shared" si="5674"/>
        <v>0</v>
      </c>
      <c r="CF1232" s="552">
        <f t="shared" si="5674"/>
        <v>0</v>
      </c>
      <c r="CG1232" s="552">
        <f t="shared" si="5674"/>
        <v>0</v>
      </c>
      <c r="CH1232" s="552">
        <f t="shared" si="5674"/>
        <v>0</v>
      </c>
      <c r="CI1232" s="552">
        <f t="shared" si="5674"/>
        <v>0</v>
      </c>
      <c r="CJ1232" s="552">
        <f t="shared" si="5674"/>
        <v>0</v>
      </c>
      <c r="CK1232" s="552">
        <f t="shared" si="5674"/>
        <v>0</v>
      </c>
      <c r="CL1232" s="552">
        <f t="shared" si="5674"/>
        <v>0</v>
      </c>
      <c r="CM1232" s="552">
        <f t="shared" si="5674"/>
        <v>0</v>
      </c>
      <c r="CN1232" s="552">
        <f t="shared" si="5674"/>
        <v>0</v>
      </c>
      <c r="CO1232" s="552">
        <f t="shared" si="5674"/>
        <v>0</v>
      </c>
      <c r="CP1232" s="552">
        <f t="shared" si="5674"/>
        <v>0</v>
      </c>
      <c r="CQ1232" s="552">
        <f t="shared" si="5674"/>
        <v>0</v>
      </c>
      <c r="CR1232" s="552">
        <f t="shared" si="5674"/>
        <v>0</v>
      </c>
      <c r="CS1232" s="552">
        <f t="shared" si="5674"/>
        <v>0</v>
      </c>
      <c r="CT1232" s="552">
        <f t="shared" si="5674"/>
        <v>0</v>
      </c>
      <c r="CU1232" s="552">
        <f t="shared" si="5674"/>
        <v>0</v>
      </c>
      <c r="CV1232" s="552">
        <f t="shared" si="5674"/>
        <v>0</v>
      </c>
      <c r="CW1232" s="552">
        <f t="shared" si="5674"/>
        <v>0</v>
      </c>
      <c r="CX1232" s="552">
        <f t="shared" si="5674"/>
        <v>0</v>
      </c>
      <c r="CY1232" s="552">
        <f t="shared" si="5674"/>
        <v>0</v>
      </c>
      <c r="CZ1232" s="552">
        <f t="shared" si="5674"/>
        <v>0</v>
      </c>
      <c r="DA1232" s="552">
        <f t="shared" si="5674"/>
        <v>0</v>
      </c>
      <c r="DB1232" s="552">
        <f t="shared" ref="DB1232:EG1232" si="5675">DB280*DB$338</f>
        <v>0</v>
      </c>
      <c r="DC1232" s="552">
        <f t="shared" si="5675"/>
        <v>0</v>
      </c>
      <c r="DD1232" s="552">
        <f t="shared" si="5675"/>
        <v>0</v>
      </c>
      <c r="DE1232" s="552">
        <f t="shared" si="5675"/>
        <v>0</v>
      </c>
      <c r="DF1232" s="552">
        <f t="shared" si="5675"/>
        <v>0</v>
      </c>
      <c r="DG1232" s="552">
        <f t="shared" si="5675"/>
        <v>0</v>
      </c>
      <c r="DH1232" s="552">
        <f t="shared" si="5675"/>
        <v>0</v>
      </c>
      <c r="DI1232" s="552">
        <f t="shared" si="5675"/>
        <v>0</v>
      </c>
      <c r="DJ1232" s="552">
        <f t="shared" si="5675"/>
        <v>0</v>
      </c>
      <c r="DK1232" s="552">
        <f t="shared" si="5675"/>
        <v>0</v>
      </c>
      <c r="DL1232" s="552">
        <f t="shared" si="5675"/>
        <v>0</v>
      </c>
      <c r="DM1232" s="552">
        <f t="shared" si="5675"/>
        <v>0</v>
      </c>
      <c r="DN1232" s="552">
        <f t="shared" si="5675"/>
        <v>0</v>
      </c>
      <c r="DO1232" s="552">
        <f t="shared" si="5675"/>
        <v>0</v>
      </c>
      <c r="DP1232" s="552">
        <f t="shared" si="5675"/>
        <v>0</v>
      </c>
      <c r="DQ1232" s="552">
        <f t="shared" si="5675"/>
        <v>0</v>
      </c>
      <c r="DR1232" s="552">
        <f t="shared" si="5675"/>
        <v>0</v>
      </c>
      <c r="DS1232" s="552">
        <f t="shared" si="5675"/>
        <v>0</v>
      </c>
      <c r="DT1232" s="552">
        <f t="shared" si="5675"/>
        <v>0</v>
      </c>
      <c r="DU1232" s="552">
        <f t="shared" si="5675"/>
        <v>0</v>
      </c>
      <c r="DV1232" s="552">
        <f t="shared" si="5675"/>
        <v>0</v>
      </c>
      <c r="DW1232" s="552">
        <f t="shared" si="5675"/>
        <v>0</v>
      </c>
      <c r="DX1232" s="552">
        <f t="shared" si="5675"/>
        <v>0</v>
      </c>
      <c r="DY1232" s="552">
        <f t="shared" si="5675"/>
        <v>0</v>
      </c>
      <c r="DZ1232" s="552">
        <f t="shared" si="5675"/>
        <v>0</v>
      </c>
      <c r="EA1232" s="552">
        <f t="shared" si="5675"/>
        <v>0</v>
      </c>
      <c r="EB1232" s="552">
        <f t="shared" si="5675"/>
        <v>0</v>
      </c>
      <c r="EC1232" s="552">
        <f t="shared" si="5675"/>
        <v>0</v>
      </c>
      <c r="ED1232" s="552">
        <f t="shared" si="5675"/>
        <v>0</v>
      </c>
      <c r="EE1232" s="552">
        <f t="shared" si="5675"/>
        <v>0</v>
      </c>
      <c r="EF1232" s="552">
        <f t="shared" si="5675"/>
        <v>0</v>
      </c>
      <c r="EG1232" s="552">
        <f t="shared" si="5675"/>
        <v>0</v>
      </c>
      <c r="EH1232" s="552">
        <f t="shared" ref="EH1232:EX1232" si="5676">EH280*EH$338</f>
        <v>0</v>
      </c>
      <c r="EI1232" s="552">
        <f t="shared" si="5676"/>
        <v>0</v>
      </c>
      <c r="EJ1232" s="552">
        <f t="shared" si="5676"/>
        <v>0</v>
      </c>
      <c r="EK1232" s="552">
        <f t="shared" si="5676"/>
        <v>0</v>
      </c>
      <c r="EL1232" s="552">
        <f t="shared" si="5676"/>
        <v>0</v>
      </c>
      <c r="EM1232" s="552">
        <f t="shared" si="5676"/>
        <v>0</v>
      </c>
      <c r="EN1232" s="552">
        <f t="shared" si="5676"/>
        <v>0</v>
      </c>
      <c r="EO1232" s="552">
        <f t="shared" si="5676"/>
        <v>0</v>
      </c>
      <c r="EP1232" s="552">
        <f t="shared" si="5676"/>
        <v>0</v>
      </c>
      <c r="EQ1232" s="552">
        <f t="shared" si="5676"/>
        <v>0</v>
      </c>
      <c r="ER1232" s="552">
        <f t="shared" si="5676"/>
        <v>0</v>
      </c>
      <c r="ES1232" s="552">
        <f t="shared" si="5676"/>
        <v>0</v>
      </c>
      <c r="ET1232" s="552">
        <f t="shared" si="5676"/>
        <v>0</v>
      </c>
      <c r="EU1232" s="552">
        <f t="shared" si="5676"/>
        <v>0</v>
      </c>
      <c r="EV1232" s="552">
        <f t="shared" si="5676"/>
        <v>0</v>
      </c>
      <c r="EW1232" s="552">
        <f t="shared" si="5676"/>
        <v>0</v>
      </c>
      <c r="EX1232" s="552">
        <f t="shared" si="5676"/>
        <v>0</v>
      </c>
      <c r="EY1232" s="799">
        <f t="shared" si="4577"/>
        <v>0</v>
      </c>
      <c r="EZ1232" s="640"/>
      <c r="FA1232" s="640"/>
      <c r="FB1232" s="640"/>
      <c r="FC1232" s="640"/>
      <c r="FD1232" s="640"/>
      <c r="FE1232" s="640"/>
      <c r="FF1232" s="640"/>
      <c r="FG1232" s="640"/>
      <c r="FH1232" s="640"/>
      <c r="FI1232" s="640"/>
      <c r="FJ1232" s="640"/>
      <c r="FK1232" s="640"/>
      <c r="FL1232" s="640"/>
    </row>
    <row r="1233" spans="1:168" x14ac:dyDescent="0.25">
      <c r="A1233" s="1493"/>
      <c r="B1233" s="624">
        <f t="shared" si="5655"/>
        <v>0</v>
      </c>
      <c r="C1233" s="624">
        <f t="shared" si="5655"/>
        <v>0</v>
      </c>
      <c r="D1233" s="624">
        <f t="shared" si="5655"/>
        <v>0</v>
      </c>
      <c r="E1233" s="1158">
        <f t="shared" si="5656"/>
        <v>0</v>
      </c>
      <c r="F1233" s="1158"/>
      <c r="G1233" s="1140"/>
      <c r="H1233" s="1140"/>
      <c r="I1233" s="552"/>
      <c r="J1233" s="552">
        <f>J281*J$338</f>
        <v>0</v>
      </c>
      <c r="K1233" s="552">
        <f t="shared" ref="K1233:BV1233" si="5677">K281*K$338</f>
        <v>0</v>
      </c>
      <c r="L1233" s="552">
        <f t="shared" si="5677"/>
        <v>0</v>
      </c>
      <c r="M1233" s="552">
        <f t="shared" si="5677"/>
        <v>0</v>
      </c>
      <c r="N1233" s="552">
        <f t="shared" si="5677"/>
        <v>0</v>
      </c>
      <c r="O1233" s="552">
        <f t="shared" si="5677"/>
        <v>0</v>
      </c>
      <c r="P1233" s="552">
        <f t="shared" si="5677"/>
        <v>0</v>
      </c>
      <c r="Q1233" s="552">
        <f t="shared" si="5677"/>
        <v>0</v>
      </c>
      <c r="R1233" s="552">
        <f t="shared" si="5677"/>
        <v>0</v>
      </c>
      <c r="S1233" s="552">
        <f t="shared" si="5677"/>
        <v>0</v>
      </c>
      <c r="T1233" s="552">
        <f t="shared" si="5677"/>
        <v>0</v>
      </c>
      <c r="U1233" s="552">
        <f t="shared" si="5677"/>
        <v>0</v>
      </c>
      <c r="V1233" s="552">
        <f t="shared" si="5677"/>
        <v>0</v>
      </c>
      <c r="W1233" s="552">
        <f t="shared" si="5677"/>
        <v>0</v>
      </c>
      <c r="X1233" s="552">
        <f t="shared" si="5677"/>
        <v>0</v>
      </c>
      <c r="Y1233" s="552">
        <f t="shared" si="5677"/>
        <v>0</v>
      </c>
      <c r="Z1233" s="552">
        <f t="shared" si="5677"/>
        <v>0</v>
      </c>
      <c r="AA1233" s="552">
        <f t="shared" si="5677"/>
        <v>0</v>
      </c>
      <c r="AB1233" s="552">
        <f t="shared" si="5677"/>
        <v>0</v>
      </c>
      <c r="AC1233" s="552">
        <f t="shared" si="5677"/>
        <v>0</v>
      </c>
      <c r="AD1233" s="552">
        <f t="shared" si="5677"/>
        <v>0</v>
      </c>
      <c r="AE1233" s="552">
        <f t="shared" si="5677"/>
        <v>0</v>
      </c>
      <c r="AF1233" s="552">
        <f t="shared" si="5677"/>
        <v>0</v>
      </c>
      <c r="AG1233" s="552">
        <f t="shared" si="5677"/>
        <v>0</v>
      </c>
      <c r="AH1233" s="552">
        <f t="shared" si="5677"/>
        <v>0</v>
      </c>
      <c r="AI1233" s="552">
        <f t="shared" si="5677"/>
        <v>0</v>
      </c>
      <c r="AJ1233" s="552">
        <f t="shared" si="5677"/>
        <v>0</v>
      </c>
      <c r="AK1233" s="552">
        <f t="shared" si="5677"/>
        <v>0</v>
      </c>
      <c r="AL1233" s="552">
        <f t="shared" si="5677"/>
        <v>0</v>
      </c>
      <c r="AM1233" s="552">
        <f t="shared" si="5677"/>
        <v>0</v>
      </c>
      <c r="AN1233" s="552">
        <f t="shared" si="5677"/>
        <v>0</v>
      </c>
      <c r="AO1233" s="552">
        <f t="shared" si="5677"/>
        <v>0</v>
      </c>
      <c r="AP1233" s="552">
        <f t="shared" si="5677"/>
        <v>0</v>
      </c>
      <c r="AQ1233" s="552">
        <f t="shared" si="5677"/>
        <v>0</v>
      </c>
      <c r="AR1233" s="552">
        <f t="shared" si="5677"/>
        <v>0</v>
      </c>
      <c r="AS1233" s="552">
        <f t="shared" si="5677"/>
        <v>0</v>
      </c>
      <c r="AT1233" s="552">
        <f t="shared" si="5677"/>
        <v>0</v>
      </c>
      <c r="AU1233" s="552">
        <f t="shared" si="5677"/>
        <v>0</v>
      </c>
      <c r="AV1233" s="552">
        <f t="shared" si="5677"/>
        <v>0</v>
      </c>
      <c r="AW1233" s="552">
        <f t="shared" si="5677"/>
        <v>0</v>
      </c>
      <c r="AX1233" s="552">
        <f t="shared" si="5677"/>
        <v>0</v>
      </c>
      <c r="AY1233" s="552">
        <f t="shared" si="5677"/>
        <v>0</v>
      </c>
      <c r="AZ1233" s="552">
        <f t="shared" si="5677"/>
        <v>0</v>
      </c>
      <c r="BA1233" s="552">
        <f t="shared" si="5677"/>
        <v>0</v>
      </c>
      <c r="BB1233" s="552">
        <f t="shared" si="5677"/>
        <v>0</v>
      </c>
      <c r="BC1233" s="552">
        <f t="shared" si="5677"/>
        <v>0</v>
      </c>
      <c r="BD1233" s="552">
        <f t="shared" si="5677"/>
        <v>0</v>
      </c>
      <c r="BE1233" s="552">
        <f t="shared" si="5677"/>
        <v>0</v>
      </c>
      <c r="BF1233" s="552">
        <f t="shared" si="5677"/>
        <v>0</v>
      </c>
      <c r="BG1233" s="552">
        <f t="shared" si="5677"/>
        <v>0</v>
      </c>
      <c r="BH1233" s="552">
        <f t="shared" si="5677"/>
        <v>0</v>
      </c>
      <c r="BI1233" s="552">
        <f t="shared" si="5677"/>
        <v>0</v>
      </c>
      <c r="BJ1233" s="552">
        <f t="shared" si="5677"/>
        <v>0</v>
      </c>
      <c r="BK1233" s="552">
        <f t="shared" si="5677"/>
        <v>0</v>
      </c>
      <c r="BL1233" s="552">
        <f t="shared" si="5677"/>
        <v>0</v>
      </c>
      <c r="BM1233" s="552">
        <f t="shared" si="5677"/>
        <v>0</v>
      </c>
      <c r="BN1233" s="552">
        <f t="shared" si="5677"/>
        <v>0</v>
      </c>
      <c r="BO1233" s="552">
        <f t="shared" si="5677"/>
        <v>0</v>
      </c>
      <c r="BP1233" s="552">
        <f t="shared" si="5677"/>
        <v>0</v>
      </c>
      <c r="BQ1233" s="552">
        <f t="shared" si="5677"/>
        <v>0</v>
      </c>
      <c r="BR1233" s="552">
        <f t="shared" si="5677"/>
        <v>0</v>
      </c>
      <c r="BS1233" s="552">
        <f t="shared" si="5677"/>
        <v>0</v>
      </c>
      <c r="BT1233" s="552">
        <f t="shared" si="5677"/>
        <v>0</v>
      </c>
      <c r="BU1233" s="552">
        <f t="shared" si="5677"/>
        <v>0</v>
      </c>
      <c r="BV1233" s="552">
        <f t="shared" si="5677"/>
        <v>0</v>
      </c>
      <c r="BW1233" s="552">
        <f t="shared" ref="BW1233:DB1233" si="5678">BW281*BW$338</f>
        <v>0</v>
      </c>
      <c r="BX1233" s="552">
        <f t="shared" si="5678"/>
        <v>0</v>
      </c>
      <c r="BY1233" s="552">
        <f t="shared" si="5678"/>
        <v>0</v>
      </c>
      <c r="BZ1233" s="552">
        <f t="shared" si="5678"/>
        <v>0</v>
      </c>
      <c r="CA1233" s="552">
        <f t="shared" si="5678"/>
        <v>0</v>
      </c>
      <c r="CB1233" s="552">
        <f t="shared" si="5678"/>
        <v>0</v>
      </c>
      <c r="CC1233" s="552">
        <f t="shared" si="5678"/>
        <v>0</v>
      </c>
      <c r="CD1233" s="552">
        <f t="shared" si="5678"/>
        <v>0</v>
      </c>
      <c r="CE1233" s="552">
        <f t="shared" si="5678"/>
        <v>0</v>
      </c>
      <c r="CF1233" s="552">
        <f t="shared" si="5678"/>
        <v>0</v>
      </c>
      <c r="CG1233" s="552">
        <f t="shared" si="5678"/>
        <v>0</v>
      </c>
      <c r="CH1233" s="552">
        <f t="shared" si="5678"/>
        <v>0</v>
      </c>
      <c r="CI1233" s="552">
        <f t="shared" si="5678"/>
        <v>0</v>
      </c>
      <c r="CJ1233" s="552">
        <f t="shared" si="5678"/>
        <v>0</v>
      </c>
      <c r="CK1233" s="552">
        <f t="shared" si="5678"/>
        <v>0</v>
      </c>
      <c r="CL1233" s="552">
        <f t="shared" si="5678"/>
        <v>0</v>
      </c>
      <c r="CM1233" s="552">
        <f t="shared" si="5678"/>
        <v>0</v>
      </c>
      <c r="CN1233" s="552">
        <f t="shared" si="5678"/>
        <v>0</v>
      </c>
      <c r="CO1233" s="552">
        <f t="shared" si="5678"/>
        <v>0</v>
      </c>
      <c r="CP1233" s="552">
        <f t="shared" si="5678"/>
        <v>0</v>
      </c>
      <c r="CQ1233" s="552">
        <f t="shared" si="5678"/>
        <v>0</v>
      </c>
      <c r="CR1233" s="552">
        <f t="shared" si="5678"/>
        <v>0</v>
      </c>
      <c r="CS1233" s="552">
        <f t="shared" si="5678"/>
        <v>0</v>
      </c>
      <c r="CT1233" s="552">
        <f t="shared" si="5678"/>
        <v>0</v>
      </c>
      <c r="CU1233" s="552">
        <f t="shared" si="5678"/>
        <v>0</v>
      </c>
      <c r="CV1233" s="552">
        <f t="shared" si="5678"/>
        <v>0</v>
      </c>
      <c r="CW1233" s="552">
        <f t="shared" si="5678"/>
        <v>0</v>
      </c>
      <c r="CX1233" s="552">
        <f t="shared" si="5678"/>
        <v>0</v>
      </c>
      <c r="CY1233" s="552">
        <f t="shared" si="5678"/>
        <v>0</v>
      </c>
      <c r="CZ1233" s="552">
        <f t="shared" si="5678"/>
        <v>0</v>
      </c>
      <c r="DA1233" s="552">
        <f t="shared" si="5678"/>
        <v>0</v>
      </c>
      <c r="DB1233" s="552">
        <f t="shared" si="5678"/>
        <v>0</v>
      </c>
      <c r="DC1233" s="552">
        <f t="shared" ref="DC1233:EH1233" si="5679">DC281*DC$338</f>
        <v>0</v>
      </c>
      <c r="DD1233" s="552">
        <f t="shared" si="5679"/>
        <v>0</v>
      </c>
      <c r="DE1233" s="552">
        <f t="shared" si="5679"/>
        <v>0</v>
      </c>
      <c r="DF1233" s="552">
        <f t="shared" si="5679"/>
        <v>0</v>
      </c>
      <c r="DG1233" s="552">
        <f t="shared" si="5679"/>
        <v>0</v>
      </c>
      <c r="DH1233" s="552">
        <f t="shared" si="5679"/>
        <v>0</v>
      </c>
      <c r="DI1233" s="552">
        <f t="shared" si="5679"/>
        <v>0</v>
      </c>
      <c r="DJ1233" s="552">
        <f t="shared" si="5679"/>
        <v>0</v>
      </c>
      <c r="DK1233" s="552">
        <f t="shared" si="5679"/>
        <v>0</v>
      </c>
      <c r="DL1233" s="552">
        <f t="shared" si="5679"/>
        <v>0</v>
      </c>
      <c r="DM1233" s="552">
        <f t="shared" si="5679"/>
        <v>0</v>
      </c>
      <c r="DN1233" s="552">
        <f t="shared" si="5679"/>
        <v>0</v>
      </c>
      <c r="DO1233" s="552">
        <f t="shared" si="5679"/>
        <v>0</v>
      </c>
      <c r="DP1233" s="552">
        <f t="shared" si="5679"/>
        <v>0</v>
      </c>
      <c r="DQ1233" s="552">
        <f t="shared" si="5679"/>
        <v>0</v>
      </c>
      <c r="DR1233" s="552">
        <f t="shared" si="5679"/>
        <v>0</v>
      </c>
      <c r="DS1233" s="552">
        <f t="shared" si="5679"/>
        <v>0</v>
      </c>
      <c r="DT1233" s="552">
        <f t="shared" si="5679"/>
        <v>0</v>
      </c>
      <c r="DU1233" s="552">
        <f t="shared" si="5679"/>
        <v>0</v>
      </c>
      <c r="DV1233" s="552">
        <f t="shared" si="5679"/>
        <v>0</v>
      </c>
      <c r="DW1233" s="552">
        <f t="shared" si="5679"/>
        <v>0</v>
      </c>
      <c r="DX1233" s="552">
        <f t="shared" si="5679"/>
        <v>0</v>
      </c>
      <c r="DY1233" s="552">
        <f t="shared" si="5679"/>
        <v>0</v>
      </c>
      <c r="DZ1233" s="552">
        <f t="shared" si="5679"/>
        <v>0</v>
      </c>
      <c r="EA1233" s="552">
        <f t="shared" si="5679"/>
        <v>0</v>
      </c>
      <c r="EB1233" s="552">
        <f t="shared" si="5679"/>
        <v>0</v>
      </c>
      <c r="EC1233" s="552">
        <f t="shared" si="5679"/>
        <v>0</v>
      </c>
      <c r="ED1233" s="552">
        <f t="shared" si="5679"/>
        <v>0</v>
      </c>
      <c r="EE1233" s="552">
        <f t="shared" si="5679"/>
        <v>0</v>
      </c>
      <c r="EF1233" s="552">
        <f t="shared" si="5679"/>
        <v>0</v>
      </c>
      <c r="EG1233" s="552">
        <f t="shared" si="5679"/>
        <v>0</v>
      </c>
      <c r="EH1233" s="552">
        <f t="shared" si="5679"/>
        <v>0</v>
      </c>
      <c r="EI1233" s="552">
        <f t="shared" ref="EI1233:EX1233" si="5680">EI281*EI$338</f>
        <v>0</v>
      </c>
      <c r="EJ1233" s="552">
        <f t="shared" si="5680"/>
        <v>0</v>
      </c>
      <c r="EK1233" s="552">
        <f t="shared" si="5680"/>
        <v>0</v>
      </c>
      <c r="EL1233" s="552">
        <f t="shared" si="5680"/>
        <v>0</v>
      </c>
      <c r="EM1233" s="552">
        <f t="shared" si="5680"/>
        <v>0</v>
      </c>
      <c r="EN1233" s="552">
        <f t="shared" si="5680"/>
        <v>0</v>
      </c>
      <c r="EO1233" s="552">
        <f t="shared" si="5680"/>
        <v>0</v>
      </c>
      <c r="EP1233" s="552">
        <f t="shared" si="5680"/>
        <v>0</v>
      </c>
      <c r="EQ1233" s="552">
        <f t="shared" si="5680"/>
        <v>0</v>
      </c>
      <c r="ER1233" s="552">
        <f t="shared" si="5680"/>
        <v>0</v>
      </c>
      <c r="ES1233" s="552">
        <f t="shared" si="5680"/>
        <v>0</v>
      </c>
      <c r="ET1233" s="552">
        <f t="shared" si="5680"/>
        <v>0</v>
      </c>
      <c r="EU1233" s="552">
        <f t="shared" si="5680"/>
        <v>0</v>
      </c>
      <c r="EV1233" s="552">
        <f t="shared" si="5680"/>
        <v>0</v>
      </c>
      <c r="EW1233" s="552">
        <f t="shared" si="5680"/>
        <v>0</v>
      </c>
      <c r="EX1233" s="552">
        <f t="shared" si="5680"/>
        <v>0</v>
      </c>
      <c r="EY1233" s="799">
        <f t="shared" si="4577"/>
        <v>0</v>
      </c>
      <c r="EZ1233" s="640"/>
      <c r="FA1233" s="640"/>
      <c r="FB1233" s="640"/>
      <c r="FC1233" s="640"/>
      <c r="FD1233" s="640"/>
      <c r="FE1233" s="640"/>
      <c r="FF1233" s="640"/>
      <c r="FG1233" s="640"/>
      <c r="FH1233" s="640"/>
      <c r="FI1233" s="640"/>
      <c r="FJ1233" s="640"/>
      <c r="FK1233" s="640"/>
      <c r="FL1233" s="640"/>
    </row>
    <row r="1234" spans="1:168" x14ac:dyDescent="0.25">
      <c r="A1234" s="254"/>
      <c r="B1234" s="625" t="s">
        <v>801</v>
      </c>
      <c r="C1234" s="1135"/>
      <c r="D1234" s="1138">
        <f>SUM(D1229:D1233)</f>
        <v>0</v>
      </c>
      <c r="E1234" s="1138">
        <f t="shared" ref="E1234:J1234" si="5681">SUM(E1229:E1233)</f>
        <v>0</v>
      </c>
      <c r="F1234" s="1138"/>
      <c r="G1234" s="1138">
        <f t="shared" si="5681"/>
        <v>0</v>
      </c>
      <c r="H1234" s="1138">
        <f t="shared" si="5681"/>
        <v>0</v>
      </c>
      <c r="I1234" s="554"/>
      <c r="J1234" s="1138">
        <f t="shared" si="5681"/>
        <v>0</v>
      </c>
      <c r="K1234" s="1138">
        <f t="shared" ref="K1234" si="5682">SUM(K1229:K1233)</f>
        <v>0</v>
      </c>
      <c r="L1234" s="1138">
        <f t="shared" ref="L1234" si="5683">SUM(L1229:L1233)</f>
        <v>0</v>
      </c>
      <c r="M1234" s="1138">
        <f t="shared" ref="M1234" si="5684">SUM(M1229:M1233)</f>
        <v>0</v>
      </c>
      <c r="N1234" s="1138">
        <f t="shared" ref="N1234" si="5685">SUM(N1229:N1233)</f>
        <v>0</v>
      </c>
      <c r="O1234" s="1138">
        <f t="shared" ref="O1234" si="5686">SUM(O1229:O1233)</f>
        <v>0</v>
      </c>
      <c r="P1234" s="1138">
        <f t="shared" ref="P1234" si="5687">SUM(P1229:P1233)</f>
        <v>0</v>
      </c>
      <c r="Q1234" s="1138">
        <f t="shared" ref="Q1234" si="5688">SUM(Q1229:Q1233)</f>
        <v>0</v>
      </c>
      <c r="R1234" s="1138">
        <f t="shared" ref="R1234" si="5689">SUM(R1229:R1233)</f>
        <v>0</v>
      </c>
      <c r="S1234" s="1138">
        <f t="shared" ref="S1234" si="5690">SUM(S1229:S1233)</f>
        <v>0</v>
      </c>
      <c r="T1234" s="1138">
        <f t="shared" ref="T1234" si="5691">SUM(T1229:T1233)</f>
        <v>0</v>
      </c>
      <c r="U1234" s="1138">
        <f t="shared" ref="U1234" si="5692">SUM(U1229:U1233)</f>
        <v>0</v>
      </c>
      <c r="V1234" s="1138">
        <f t="shared" ref="V1234" si="5693">SUM(V1229:V1233)</f>
        <v>0</v>
      </c>
      <c r="W1234" s="1138">
        <f t="shared" ref="W1234" si="5694">SUM(W1229:W1233)</f>
        <v>0</v>
      </c>
      <c r="X1234" s="1138">
        <f t="shared" ref="X1234" si="5695">SUM(X1229:X1233)</f>
        <v>0</v>
      </c>
      <c r="Y1234" s="1138">
        <f t="shared" ref="Y1234" si="5696">SUM(Y1229:Y1233)</f>
        <v>0</v>
      </c>
      <c r="Z1234" s="1138">
        <f t="shared" ref="Z1234" si="5697">SUM(Z1229:Z1233)</f>
        <v>0</v>
      </c>
      <c r="AA1234" s="1138">
        <f t="shared" ref="AA1234" si="5698">SUM(AA1229:AA1233)</f>
        <v>0</v>
      </c>
      <c r="AB1234" s="1138">
        <f t="shared" ref="AB1234" si="5699">SUM(AB1229:AB1233)</f>
        <v>0</v>
      </c>
      <c r="AC1234" s="1138">
        <f t="shared" ref="AC1234" si="5700">SUM(AC1229:AC1233)</f>
        <v>0</v>
      </c>
      <c r="AD1234" s="1138">
        <f t="shared" ref="AD1234" si="5701">SUM(AD1229:AD1233)</f>
        <v>0</v>
      </c>
      <c r="AE1234" s="1138">
        <f t="shared" ref="AE1234" si="5702">SUM(AE1229:AE1233)</f>
        <v>0</v>
      </c>
      <c r="AF1234" s="1138">
        <f t="shared" ref="AF1234" si="5703">SUM(AF1229:AF1233)</f>
        <v>0</v>
      </c>
      <c r="AG1234" s="1138">
        <f t="shared" ref="AG1234" si="5704">SUM(AG1229:AG1233)</f>
        <v>0</v>
      </c>
      <c r="AH1234" s="1138">
        <f t="shared" ref="AH1234" si="5705">SUM(AH1229:AH1233)</f>
        <v>0</v>
      </c>
      <c r="AI1234" s="1138">
        <f t="shared" ref="AI1234" si="5706">SUM(AI1229:AI1233)</f>
        <v>0</v>
      </c>
      <c r="AJ1234" s="1138">
        <f t="shared" ref="AJ1234" si="5707">SUM(AJ1229:AJ1233)</f>
        <v>0</v>
      </c>
      <c r="AK1234" s="1138">
        <f t="shared" ref="AK1234" si="5708">SUM(AK1229:AK1233)</f>
        <v>0</v>
      </c>
      <c r="AL1234" s="1138">
        <f t="shared" ref="AL1234" si="5709">SUM(AL1229:AL1233)</f>
        <v>0</v>
      </c>
      <c r="AM1234" s="1138">
        <f t="shared" ref="AM1234" si="5710">SUM(AM1229:AM1233)</f>
        <v>0</v>
      </c>
      <c r="AN1234" s="1138">
        <f t="shared" ref="AN1234" si="5711">SUM(AN1229:AN1233)</f>
        <v>0</v>
      </c>
      <c r="AO1234" s="1138">
        <f t="shared" ref="AO1234" si="5712">SUM(AO1229:AO1233)</f>
        <v>0</v>
      </c>
      <c r="AP1234" s="1138">
        <f t="shared" ref="AP1234" si="5713">SUM(AP1229:AP1233)</f>
        <v>0</v>
      </c>
      <c r="AQ1234" s="1138">
        <f t="shared" ref="AQ1234" si="5714">SUM(AQ1229:AQ1233)</f>
        <v>0</v>
      </c>
      <c r="AR1234" s="1138">
        <f t="shared" ref="AR1234" si="5715">SUM(AR1229:AR1233)</f>
        <v>0</v>
      </c>
      <c r="AS1234" s="1138">
        <f t="shared" ref="AS1234" si="5716">SUM(AS1229:AS1233)</f>
        <v>0</v>
      </c>
      <c r="AT1234" s="1138">
        <f t="shared" ref="AT1234" si="5717">SUM(AT1229:AT1233)</f>
        <v>0</v>
      </c>
      <c r="AU1234" s="1138">
        <f t="shared" ref="AU1234" si="5718">SUM(AU1229:AU1233)</f>
        <v>0</v>
      </c>
      <c r="AV1234" s="1138">
        <f t="shared" ref="AV1234" si="5719">SUM(AV1229:AV1233)</f>
        <v>0</v>
      </c>
      <c r="AW1234" s="1138">
        <f t="shared" ref="AW1234" si="5720">SUM(AW1229:AW1233)</f>
        <v>0</v>
      </c>
      <c r="AX1234" s="1138">
        <f t="shared" ref="AX1234" si="5721">SUM(AX1229:AX1233)</f>
        <v>0</v>
      </c>
      <c r="AY1234" s="1138">
        <f t="shared" ref="AY1234" si="5722">SUM(AY1229:AY1233)</f>
        <v>0</v>
      </c>
      <c r="AZ1234" s="1138">
        <f t="shared" ref="AZ1234" si="5723">SUM(AZ1229:AZ1233)</f>
        <v>0</v>
      </c>
      <c r="BA1234" s="1138">
        <f t="shared" ref="BA1234" si="5724">SUM(BA1229:BA1233)</f>
        <v>0</v>
      </c>
      <c r="BB1234" s="1138">
        <f t="shared" ref="BB1234" si="5725">SUM(BB1229:BB1233)</f>
        <v>0</v>
      </c>
      <c r="BC1234" s="1138">
        <f t="shared" ref="BC1234" si="5726">SUM(BC1229:BC1233)</f>
        <v>0</v>
      </c>
      <c r="BD1234" s="1138">
        <f t="shared" ref="BD1234" si="5727">SUM(BD1229:BD1233)</f>
        <v>0</v>
      </c>
      <c r="BE1234" s="1138">
        <f t="shared" ref="BE1234" si="5728">SUM(BE1229:BE1233)</f>
        <v>0</v>
      </c>
      <c r="BF1234" s="1138">
        <f t="shared" ref="BF1234" si="5729">SUM(BF1229:BF1233)</f>
        <v>0</v>
      </c>
      <c r="BG1234" s="1138">
        <f t="shared" ref="BG1234" si="5730">SUM(BG1229:BG1233)</f>
        <v>0</v>
      </c>
      <c r="BH1234" s="1138">
        <f t="shared" ref="BH1234" si="5731">SUM(BH1229:BH1233)</f>
        <v>0</v>
      </c>
      <c r="BI1234" s="1138">
        <f t="shared" ref="BI1234" si="5732">SUM(BI1229:BI1233)</f>
        <v>0</v>
      </c>
      <c r="BJ1234" s="1138">
        <f t="shared" ref="BJ1234" si="5733">SUM(BJ1229:BJ1233)</f>
        <v>0</v>
      </c>
      <c r="BK1234" s="1138">
        <f t="shared" ref="BK1234" si="5734">SUM(BK1229:BK1233)</f>
        <v>0</v>
      </c>
      <c r="BL1234" s="1138">
        <f t="shared" ref="BL1234" si="5735">SUM(BL1229:BL1233)</f>
        <v>0</v>
      </c>
      <c r="BM1234" s="1138">
        <f t="shared" ref="BM1234" si="5736">SUM(BM1229:BM1233)</f>
        <v>0</v>
      </c>
      <c r="BN1234" s="1138">
        <f t="shared" ref="BN1234" si="5737">SUM(BN1229:BN1233)</f>
        <v>0</v>
      </c>
      <c r="BO1234" s="1138">
        <f t="shared" ref="BO1234" si="5738">SUM(BO1229:BO1233)</f>
        <v>0</v>
      </c>
      <c r="BP1234" s="1138">
        <f t="shared" ref="BP1234" si="5739">SUM(BP1229:BP1233)</f>
        <v>0</v>
      </c>
      <c r="BQ1234" s="1138">
        <f t="shared" ref="BQ1234" si="5740">SUM(BQ1229:BQ1233)</f>
        <v>0</v>
      </c>
      <c r="BR1234" s="1138">
        <f t="shared" ref="BR1234" si="5741">SUM(BR1229:BR1233)</f>
        <v>0</v>
      </c>
      <c r="BS1234" s="1138">
        <f t="shared" ref="BS1234" si="5742">SUM(BS1229:BS1233)</f>
        <v>0</v>
      </c>
      <c r="BT1234" s="1138">
        <f t="shared" ref="BT1234" si="5743">SUM(BT1229:BT1233)</f>
        <v>0</v>
      </c>
      <c r="BU1234" s="1138">
        <f t="shared" ref="BU1234" si="5744">SUM(BU1229:BU1233)</f>
        <v>0</v>
      </c>
      <c r="BV1234" s="1138">
        <f t="shared" ref="BV1234" si="5745">SUM(BV1229:BV1233)</f>
        <v>0</v>
      </c>
      <c r="BW1234" s="1138">
        <f t="shared" ref="BW1234" si="5746">SUM(BW1229:BW1233)</f>
        <v>0</v>
      </c>
      <c r="BX1234" s="1138">
        <f t="shared" ref="BX1234" si="5747">SUM(BX1229:BX1233)</f>
        <v>0</v>
      </c>
      <c r="BY1234" s="1138">
        <f t="shared" ref="BY1234" si="5748">SUM(BY1229:BY1233)</f>
        <v>0</v>
      </c>
      <c r="BZ1234" s="1138">
        <f t="shared" ref="BZ1234" si="5749">SUM(BZ1229:BZ1233)</f>
        <v>0</v>
      </c>
      <c r="CA1234" s="1138">
        <f t="shared" ref="CA1234" si="5750">SUM(CA1229:CA1233)</f>
        <v>0</v>
      </c>
      <c r="CB1234" s="1138">
        <f t="shared" ref="CB1234" si="5751">SUM(CB1229:CB1233)</f>
        <v>0</v>
      </c>
      <c r="CC1234" s="1138">
        <f t="shared" ref="CC1234" si="5752">SUM(CC1229:CC1233)</f>
        <v>0</v>
      </c>
      <c r="CD1234" s="1138">
        <f t="shared" ref="CD1234" si="5753">SUM(CD1229:CD1233)</f>
        <v>0</v>
      </c>
      <c r="CE1234" s="1138">
        <f t="shared" ref="CE1234" si="5754">SUM(CE1229:CE1233)</f>
        <v>0</v>
      </c>
      <c r="CF1234" s="1138">
        <f t="shared" ref="CF1234" si="5755">SUM(CF1229:CF1233)</f>
        <v>0</v>
      </c>
      <c r="CG1234" s="1138">
        <f t="shared" ref="CG1234" si="5756">SUM(CG1229:CG1233)</f>
        <v>0</v>
      </c>
      <c r="CH1234" s="1138">
        <f t="shared" ref="CH1234" si="5757">SUM(CH1229:CH1233)</f>
        <v>0</v>
      </c>
      <c r="CI1234" s="1138">
        <f t="shared" ref="CI1234" si="5758">SUM(CI1229:CI1233)</f>
        <v>0</v>
      </c>
      <c r="CJ1234" s="1138">
        <f t="shared" ref="CJ1234" si="5759">SUM(CJ1229:CJ1233)</f>
        <v>0</v>
      </c>
      <c r="CK1234" s="1138">
        <f t="shared" ref="CK1234" si="5760">SUM(CK1229:CK1233)</f>
        <v>0</v>
      </c>
      <c r="CL1234" s="1138">
        <f t="shared" ref="CL1234" si="5761">SUM(CL1229:CL1233)</f>
        <v>0</v>
      </c>
      <c r="CM1234" s="1138">
        <f t="shared" ref="CM1234" si="5762">SUM(CM1229:CM1233)</f>
        <v>0</v>
      </c>
      <c r="CN1234" s="1138">
        <f t="shared" ref="CN1234" si="5763">SUM(CN1229:CN1233)</f>
        <v>0</v>
      </c>
      <c r="CO1234" s="1138">
        <f t="shared" ref="CO1234" si="5764">SUM(CO1229:CO1233)</f>
        <v>0</v>
      </c>
      <c r="CP1234" s="1138">
        <f t="shared" ref="CP1234" si="5765">SUM(CP1229:CP1233)</f>
        <v>0</v>
      </c>
      <c r="CQ1234" s="1138">
        <f t="shared" ref="CQ1234" si="5766">SUM(CQ1229:CQ1233)</f>
        <v>0</v>
      </c>
      <c r="CR1234" s="1138">
        <f t="shared" ref="CR1234" si="5767">SUM(CR1229:CR1233)</f>
        <v>0</v>
      </c>
      <c r="CS1234" s="1138">
        <f t="shared" ref="CS1234" si="5768">SUM(CS1229:CS1233)</f>
        <v>0</v>
      </c>
      <c r="CT1234" s="1138">
        <f t="shared" ref="CT1234" si="5769">SUM(CT1229:CT1233)</f>
        <v>0</v>
      </c>
      <c r="CU1234" s="1138">
        <f t="shared" ref="CU1234" si="5770">SUM(CU1229:CU1233)</f>
        <v>0</v>
      </c>
      <c r="CV1234" s="1138">
        <f t="shared" ref="CV1234" si="5771">SUM(CV1229:CV1233)</f>
        <v>0</v>
      </c>
      <c r="CW1234" s="1138">
        <f t="shared" ref="CW1234" si="5772">SUM(CW1229:CW1233)</f>
        <v>0</v>
      </c>
      <c r="CX1234" s="1138">
        <f t="shared" ref="CX1234" si="5773">SUM(CX1229:CX1233)</f>
        <v>0</v>
      </c>
      <c r="CY1234" s="1138">
        <f t="shared" ref="CY1234" si="5774">SUM(CY1229:CY1233)</f>
        <v>0</v>
      </c>
      <c r="CZ1234" s="1138">
        <f t="shared" ref="CZ1234" si="5775">SUM(CZ1229:CZ1233)</f>
        <v>0</v>
      </c>
      <c r="DA1234" s="1138">
        <f t="shared" ref="DA1234" si="5776">SUM(DA1229:DA1233)</f>
        <v>0</v>
      </c>
      <c r="DB1234" s="1138">
        <f t="shared" ref="DB1234" si="5777">SUM(DB1229:DB1233)</f>
        <v>0</v>
      </c>
      <c r="DC1234" s="1138">
        <f t="shared" ref="DC1234" si="5778">SUM(DC1229:DC1233)</f>
        <v>0</v>
      </c>
      <c r="DD1234" s="1138">
        <f t="shared" ref="DD1234" si="5779">SUM(DD1229:DD1233)</f>
        <v>0</v>
      </c>
      <c r="DE1234" s="1138">
        <f t="shared" ref="DE1234" si="5780">SUM(DE1229:DE1233)</f>
        <v>0</v>
      </c>
      <c r="DF1234" s="1138">
        <f t="shared" ref="DF1234" si="5781">SUM(DF1229:DF1233)</f>
        <v>0</v>
      </c>
      <c r="DG1234" s="1138">
        <f t="shared" ref="DG1234" si="5782">SUM(DG1229:DG1233)</f>
        <v>0</v>
      </c>
      <c r="DH1234" s="1138">
        <f t="shared" ref="DH1234" si="5783">SUM(DH1229:DH1233)</f>
        <v>0</v>
      </c>
      <c r="DI1234" s="1138">
        <f t="shared" ref="DI1234" si="5784">SUM(DI1229:DI1233)</f>
        <v>0</v>
      </c>
      <c r="DJ1234" s="1138">
        <f t="shared" ref="DJ1234" si="5785">SUM(DJ1229:DJ1233)</f>
        <v>0</v>
      </c>
      <c r="DK1234" s="1138">
        <f t="shared" ref="DK1234" si="5786">SUM(DK1229:DK1233)</f>
        <v>0</v>
      </c>
      <c r="DL1234" s="1138">
        <f t="shared" ref="DL1234" si="5787">SUM(DL1229:DL1233)</f>
        <v>0</v>
      </c>
      <c r="DM1234" s="1138">
        <f t="shared" ref="DM1234" si="5788">SUM(DM1229:DM1233)</f>
        <v>0</v>
      </c>
      <c r="DN1234" s="1138">
        <f t="shared" ref="DN1234" si="5789">SUM(DN1229:DN1233)</f>
        <v>0</v>
      </c>
      <c r="DO1234" s="1138">
        <f t="shared" ref="DO1234" si="5790">SUM(DO1229:DO1233)</f>
        <v>0</v>
      </c>
      <c r="DP1234" s="1138">
        <f t="shared" ref="DP1234" si="5791">SUM(DP1229:DP1233)</f>
        <v>0</v>
      </c>
      <c r="DQ1234" s="1138">
        <f t="shared" ref="DQ1234" si="5792">SUM(DQ1229:DQ1233)</f>
        <v>0</v>
      </c>
      <c r="DR1234" s="1138">
        <f t="shared" ref="DR1234" si="5793">SUM(DR1229:DR1233)</f>
        <v>0</v>
      </c>
      <c r="DS1234" s="1138">
        <f t="shared" ref="DS1234" si="5794">SUM(DS1229:DS1233)</f>
        <v>0</v>
      </c>
      <c r="DT1234" s="1138">
        <f t="shared" ref="DT1234" si="5795">SUM(DT1229:DT1233)</f>
        <v>0</v>
      </c>
      <c r="DU1234" s="1138">
        <f t="shared" ref="DU1234" si="5796">SUM(DU1229:DU1233)</f>
        <v>0</v>
      </c>
      <c r="DV1234" s="1138">
        <f t="shared" ref="DV1234" si="5797">SUM(DV1229:DV1233)</f>
        <v>0</v>
      </c>
      <c r="DW1234" s="1138">
        <f t="shared" ref="DW1234" si="5798">SUM(DW1229:DW1233)</f>
        <v>0</v>
      </c>
      <c r="DX1234" s="1138">
        <f t="shared" ref="DX1234" si="5799">SUM(DX1229:DX1233)</f>
        <v>0</v>
      </c>
      <c r="DY1234" s="1138">
        <f t="shared" ref="DY1234" si="5800">SUM(DY1229:DY1233)</f>
        <v>0</v>
      </c>
      <c r="DZ1234" s="1138">
        <f t="shared" ref="DZ1234" si="5801">SUM(DZ1229:DZ1233)</f>
        <v>0</v>
      </c>
      <c r="EA1234" s="1138">
        <f t="shared" ref="EA1234" si="5802">SUM(EA1229:EA1233)</f>
        <v>0</v>
      </c>
      <c r="EB1234" s="1138">
        <f t="shared" ref="EB1234" si="5803">SUM(EB1229:EB1233)</f>
        <v>0</v>
      </c>
      <c r="EC1234" s="1138">
        <f t="shared" ref="EC1234" si="5804">SUM(EC1229:EC1233)</f>
        <v>0</v>
      </c>
      <c r="ED1234" s="1138">
        <f t="shared" ref="ED1234" si="5805">SUM(ED1229:ED1233)</f>
        <v>0</v>
      </c>
      <c r="EE1234" s="1138">
        <f t="shared" ref="EE1234" si="5806">SUM(EE1229:EE1233)</f>
        <v>0</v>
      </c>
      <c r="EF1234" s="1138">
        <f t="shared" ref="EF1234" si="5807">SUM(EF1229:EF1233)</f>
        <v>0</v>
      </c>
      <c r="EG1234" s="1138">
        <f t="shared" ref="EG1234" si="5808">SUM(EG1229:EG1233)</f>
        <v>0</v>
      </c>
      <c r="EH1234" s="1138">
        <f t="shared" ref="EH1234" si="5809">SUM(EH1229:EH1233)</f>
        <v>0</v>
      </c>
      <c r="EI1234" s="1138">
        <f t="shared" ref="EI1234" si="5810">SUM(EI1229:EI1233)</f>
        <v>0</v>
      </c>
      <c r="EJ1234" s="1138">
        <f t="shared" ref="EJ1234" si="5811">SUM(EJ1229:EJ1233)</f>
        <v>0</v>
      </c>
      <c r="EK1234" s="1138">
        <f t="shared" ref="EK1234" si="5812">SUM(EK1229:EK1233)</f>
        <v>0</v>
      </c>
      <c r="EL1234" s="1138">
        <f t="shared" ref="EL1234" si="5813">SUM(EL1229:EL1233)</f>
        <v>0</v>
      </c>
      <c r="EM1234" s="1138">
        <f t="shared" ref="EM1234" si="5814">SUM(EM1229:EM1233)</f>
        <v>0</v>
      </c>
      <c r="EN1234" s="1138">
        <f t="shared" ref="EN1234" si="5815">SUM(EN1229:EN1233)</f>
        <v>0</v>
      </c>
      <c r="EO1234" s="1138">
        <f t="shared" ref="EO1234" si="5816">SUM(EO1229:EO1233)</f>
        <v>0</v>
      </c>
      <c r="EP1234" s="1138">
        <f t="shared" ref="EP1234" si="5817">SUM(EP1229:EP1233)</f>
        <v>0</v>
      </c>
      <c r="EQ1234" s="1138">
        <f t="shared" ref="EQ1234" si="5818">SUM(EQ1229:EQ1233)</f>
        <v>0</v>
      </c>
      <c r="ER1234" s="1138">
        <f t="shared" ref="ER1234" si="5819">SUM(ER1229:ER1233)</f>
        <v>0</v>
      </c>
      <c r="ES1234" s="1138">
        <f t="shared" ref="ES1234" si="5820">SUM(ES1229:ES1233)</f>
        <v>0</v>
      </c>
      <c r="ET1234" s="1138">
        <f t="shared" ref="ET1234" si="5821">SUM(ET1229:ET1233)</f>
        <v>0</v>
      </c>
      <c r="EU1234" s="1138">
        <f t="shared" ref="EU1234" si="5822">SUM(EU1229:EU1233)</f>
        <v>0</v>
      </c>
      <c r="EV1234" s="1138">
        <f t="shared" ref="EV1234" si="5823">SUM(EV1229:EV1233)</f>
        <v>0</v>
      </c>
      <c r="EW1234" s="1138">
        <f t="shared" ref="EW1234" si="5824">SUM(EW1229:EW1233)</f>
        <v>0</v>
      </c>
      <c r="EX1234" s="1138">
        <f t="shared" ref="EX1234:FL1234" si="5825">SUM(EX1229:EX1233)</f>
        <v>0</v>
      </c>
      <c r="EY1234" s="1138">
        <f t="shared" si="5825"/>
        <v>0</v>
      </c>
      <c r="EZ1234" s="1138">
        <f t="shared" si="5825"/>
        <v>0</v>
      </c>
      <c r="FA1234" s="1138">
        <f t="shared" si="5825"/>
        <v>0</v>
      </c>
      <c r="FB1234" s="1138">
        <f t="shared" si="5825"/>
        <v>0</v>
      </c>
      <c r="FC1234" s="1138">
        <f t="shared" si="5825"/>
        <v>0</v>
      </c>
      <c r="FD1234" s="1138">
        <f t="shared" si="5825"/>
        <v>0</v>
      </c>
      <c r="FE1234" s="1138">
        <f t="shared" si="5825"/>
        <v>0</v>
      </c>
      <c r="FF1234" s="1138">
        <f t="shared" si="5825"/>
        <v>0</v>
      </c>
      <c r="FG1234" s="1138">
        <f t="shared" si="5825"/>
        <v>0</v>
      </c>
      <c r="FH1234" s="1138">
        <f t="shared" si="5825"/>
        <v>0</v>
      </c>
      <c r="FI1234" s="1138">
        <f t="shared" si="5825"/>
        <v>0</v>
      </c>
      <c r="FJ1234" s="1138">
        <f t="shared" si="5825"/>
        <v>0</v>
      </c>
      <c r="FK1234" s="1138">
        <f t="shared" si="5825"/>
        <v>0</v>
      </c>
      <c r="FL1234" s="1138">
        <f t="shared" si="5825"/>
        <v>0</v>
      </c>
    </row>
    <row r="1235" spans="1:168" x14ac:dyDescent="0.25">
      <c r="A1235" s="254"/>
      <c r="B1235" s="625" t="s">
        <v>215</v>
      </c>
      <c r="C1235" s="1135"/>
      <c r="D1235" s="1138">
        <f>D1218+D1228+D1234</f>
        <v>0</v>
      </c>
      <c r="E1235" s="1138">
        <f t="shared" ref="E1235:J1235" si="5826">E1218+E1228+E1234</f>
        <v>0</v>
      </c>
      <c r="F1235" s="1138"/>
      <c r="G1235" s="1138">
        <f t="shared" si="5826"/>
        <v>0</v>
      </c>
      <c r="H1235" s="1138">
        <f t="shared" si="5826"/>
        <v>0</v>
      </c>
      <c r="I1235" s="554"/>
      <c r="J1235" s="1138">
        <f t="shared" si="5826"/>
        <v>0</v>
      </c>
      <c r="K1235" s="1138">
        <f t="shared" ref="K1235" si="5827">K1218+K1228+K1234</f>
        <v>0</v>
      </c>
      <c r="L1235" s="1138">
        <f t="shared" ref="L1235" si="5828">L1218+L1228+L1234</f>
        <v>0</v>
      </c>
      <c r="M1235" s="1138">
        <f t="shared" ref="M1235" si="5829">M1218+M1228+M1234</f>
        <v>0</v>
      </c>
      <c r="N1235" s="1138">
        <f t="shared" ref="N1235" si="5830">N1218+N1228+N1234</f>
        <v>0</v>
      </c>
      <c r="O1235" s="1138">
        <f t="shared" ref="O1235" si="5831">O1218+O1228+O1234</f>
        <v>0</v>
      </c>
      <c r="P1235" s="1138">
        <f t="shared" ref="P1235" si="5832">P1218+P1228+P1234</f>
        <v>0</v>
      </c>
      <c r="Q1235" s="1138">
        <f t="shared" ref="Q1235" si="5833">Q1218+Q1228+Q1234</f>
        <v>0</v>
      </c>
      <c r="R1235" s="1138">
        <f t="shared" ref="R1235" si="5834">R1218+R1228+R1234</f>
        <v>0</v>
      </c>
      <c r="S1235" s="1138">
        <f t="shared" ref="S1235" si="5835">S1218+S1228+S1234</f>
        <v>0</v>
      </c>
      <c r="T1235" s="1138">
        <f t="shared" ref="T1235" si="5836">T1218+T1228+T1234</f>
        <v>0</v>
      </c>
      <c r="U1235" s="1138">
        <f t="shared" ref="U1235" si="5837">U1218+U1228+U1234</f>
        <v>0</v>
      </c>
      <c r="V1235" s="1138">
        <f t="shared" ref="V1235" si="5838">V1218+V1228+V1234</f>
        <v>0</v>
      </c>
      <c r="W1235" s="1138">
        <f t="shared" ref="W1235" si="5839">W1218+W1228+W1234</f>
        <v>0</v>
      </c>
      <c r="X1235" s="1138">
        <f t="shared" ref="X1235" si="5840">X1218+X1228+X1234</f>
        <v>0</v>
      </c>
      <c r="Y1235" s="1138">
        <f t="shared" ref="Y1235" si="5841">Y1218+Y1228+Y1234</f>
        <v>0</v>
      </c>
      <c r="Z1235" s="1138">
        <f t="shared" ref="Z1235" si="5842">Z1218+Z1228+Z1234</f>
        <v>0</v>
      </c>
      <c r="AA1235" s="1138">
        <f t="shared" ref="AA1235" si="5843">AA1218+AA1228+AA1234</f>
        <v>0</v>
      </c>
      <c r="AB1235" s="1138">
        <f t="shared" ref="AB1235" si="5844">AB1218+AB1228+AB1234</f>
        <v>0</v>
      </c>
      <c r="AC1235" s="1138">
        <f t="shared" ref="AC1235" si="5845">AC1218+AC1228+AC1234</f>
        <v>0</v>
      </c>
      <c r="AD1235" s="1138">
        <f t="shared" ref="AD1235" si="5846">AD1218+AD1228+AD1234</f>
        <v>0</v>
      </c>
      <c r="AE1235" s="1138">
        <f t="shared" ref="AE1235" si="5847">AE1218+AE1228+AE1234</f>
        <v>0</v>
      </c>
      <c r="AF1235" s="1138">
        <f t="shared" ref="AF1235" si="5848">AF1218+AF1228+AF1234</f>
        <v>0</v>
      </c>
      <c r="AG1235" s="1138">
        <f t="shared" ref="AG1235" si="5849">AG1218+AG1228+AG1234</f>
        <v>0</v>
      </c>
      <c r="AH1235" s="1138">
        <f t="shared" ref="AH1235" si="5850">AH1218+AH1228+AH1234</f>
        <v>0</v>
      </c>
      <c r="AI1235" s="1138">
        <f t="shared" ref="AI1235" si="5851">AI1218+AI1228+AI1234</f>
        <v>0</v>
      </c>
      <c r="AJ1235" s="1138">
        <f t="shared" ref="AJ1235" si="5852">AJ1218+AJ1228+AJ1234</f>
        <v>0</v>
      </c>
      <c r="AK1235" s="1138">
        <f t="shared" ref="AK1235" si="5853">AK1218+AK1228+AK1234</f>
        <v>0</v>
      </c>
      <c r="AL1235" s="1138">
        <f t="shared" ref="AL1235" si="5854">AL1218+AL1228+AL1234</f>
        <v>0</v>
      </c>
      <c r="AM1235" s="1138">
        <f t="shared" ref="AM1235" si="5855">AM1218+AM1228+AM1234</f>
        <v>0</v>
      </c>
      <c r="AN1235" s="1138">
        <f t="shared" ref="AN1235" si="5856">AN1218+AN1228+AN1234</f>
        <v>0</v>
      </c>
      <c r="AO1235" s="1138">
        <f t="shared" ref="AO1235" si="5857">AO1218+AO1228+AO1234</f>
        <v>0</v>
      </c>
      <c r="AP1235" s="1138">
        <f t="shared" ref="AP1235" si="5858">AP1218+AP1228+AP1234</f>
        <v>0</v>
      </c>
      <c r="AQ1235" s="1138">
        <f t="shared" ref="AQ1235" si="5859">AQ1218+AQ1228+AQ1234</f>
        <v>0</v>
      </c>
      <c r="AR1235" s="1138">
        <f t="shared" ref="AR1235" si="5860">AR1218+AR1228+AR1234</f>
        <v>0</v>
      </c>
      <c r="AS1235" s="1138">
        <f t="shared" ref="AS1235" si="5861">AS1218+AS1228+AS1234</f>
        <v>0</v>
      </c>
      <c r="AT1235" s="1138">
        <f t="shared" ref="AT1235" si="5862">AT1218+AT1228+AT1234</f>
        <v>0</v>
      </c>
      <c r="AU1235" s="1138">
        <f t="shared" ref="AU1235" si="5863">AU1218+AU1228+AU1234</f>
        <v>0</v>
      </c>
      <c r="AV1235" s="1138">
        <f t="shared" ref="AV1235" si="5864">AV1218+AV1228+AV1234</f>
        <v>0</v>
      </c>
      <c r="AW1235" s="1138">
        <f t="shared" ref="AW1235" si="5865">AW1218+AW1228+AW1234</f>
        <v>0</v>
      </c>
      <c r="AX1235" s="1138">
        <f t="shared" ref="AX1235" si="5866">AX1218+AX1228+AX1234</f>
        <v>0</v>
      </c>
      <c r="AY1235" s="1138">
        <f t="shared" ref="AY1235" si="5867">AY1218+AY1228+AY1234</f>
        <v>0</v>
      </c>
      <c r="AZ1235" s="1138">
        <f t="shared" ref="AZ1235" si="5868">AZ1218+AZ1228+AZ1234</f>
        <v>0</v>
      </c>
      <c r="BA1235" s="1138">
        <f t="shared" ref="BA1235" si="5869">BA1218+BA1228+BA1234</f>
        <v>0</v>
      </c>
      <c r="BB1235" s="1138">
        <f t="shared" ref="BB1235" si="5870">BB1218+BB1228+BB1234</f>
        <v>0</v>
      </c>
      <c r="BC1235" s="1138">
        <f t="shared" ref="BC1235" si="5871">BC1218+BC1228+BC1234</f>
        <v>0</v>
      </c>
      <c r="BD1235" s="1138">
        <f t="shared" ref="BD1235" si="5872">BD1218+BD1228+BD1234</f>
        <v>0</v>
      </c>
      <c r="BE1235" s="1138">
        <f t="shared" ref="BE1235" si="5873">BE1218+BE1228+BE1234</f>
        <v>0</v>
      </c>
      <c r="BF1235" s="1138">
        <f t="shared" ref="BF1235" si="5874">BF1218+BF1228+BF1234</f>
        <v>0</v>
      </c>
      <c r="BG1235" s="1138">
        <f t="shared" ref="BG1235" si="5875">BG1218+BG1228+BG1234</f>
        <v>0</v>
      </c>
      <c r="BH1235" s="1138">
        <f t="shared" ref="BH1235" si="5876">BH1218+BH1228+BH1234</f>
        <v>0</v>
      </c>
      <c r="BI1235" s="1138">
        <f t="shared" ref="BI1235" si="5877">BI1218+BI1228+BI1234</f>
        <v>0</v>
      </c>
      <c r="BJ1235" s="1138">
        <f t="shared" ref="BJ1235" si="5878">BJ1218+BJ1228+BJ1234</f>
        <v>0</v>
      </c>
      <c r="BK1235" s="1138">
        <f t="shared" ref="BK1235" si="5879">BK1218+BK1228+BK1234</f>
        <v>0</v>
      </c>
      <c r="BL1235" s="1138">
        <f t="shared" ref="BL1235" si="5880">BL1218+BL1228+BL1234</f>
        <v>0</v>
      </c>
      <c r="BM1235" s="1138">
        <f t="shared" ref="BM1235" si="5881">BM1218+BM1228+BM1234</f>
        <v>0</v>
      </c>
      <c r="BN1235" s="1138">
        <f t="shared" ref="BN1235" si="5882">BN1218+BN1228+BN1234</f>
        <v>0</v>
      </c>
      <c r="BO1235" s="1138">
        <f t="shared" ref="BO1235" si="5883">BO1218+BO1228+BO1234</f>
        <v>0</v>
      </c>
      <c r="BP1235" s="1138">
        <f t="shared" ref="BP1235" si="5884">BP1218+BP1228+BP1234</f>
        <v>0</v>
      </c>
      <c r="BQ1235" s="1138">
        <f t="shared" ref="BQ1235" si="5885">BQ1218+BQ1228+BQ1234</f>
        <v>0</v>
      </c>
      <c r="BR1235" s="1138">
        <f t="shared" ref="BR1235" si="5886">BR1218+BR1228+BR1234</f>
        <v>0</v>
      </c>
      <c r="BS1235" s="1138">
        <f t="shared" ref="BS1235" si="5887">BS1218+BS1228+BS1234</f>
        <v>0</v>
      </c>
      <c r="BT1235" s="1138">
        <f t="shared" ref="BT1235" si="5888">BT1218+BT1228+BT1234</f>
        <v>0</v>
      </c>
      <c r="BU1235" s="1138">
        <f t="shared" ref="BU1235" si="5889">BU1218+BU1228+BU1234</f>
        <v>0</v>
      </c>
      <c r="BV1235" s="1138">
        <f t="shared" ref="BV1235" si="5890">BV1218+BV1228+BV1234</f>
        <v>0</v>
      </c>
      <c r="BW1235" s="1138">
        <f t="shared" ref="BW1235" si="5891">BW1218+BW1228+BW1234</f>
        <v>0</v>
      </c>
      <c r="BX1235" s="1138">
        <f t="shared" ref="BX1235" si="5892">BX1218+BX1228+BX1234</f>
        <v>0</v>
      </c>
      <c r="BY1235" s="1138">
        <f t="shared" ref="BY1235" si="5893">BY1218+BY1228+BY1234</f>
        <v>0</v>
      </c>
      <c r="BZ1235" s="1138">
        <f t="shared" ref="BZ1235" si="5894">BZ1218+BZ1228+BZ1234</f>
        <v>0</v>
      </c>
      <c r="CA1235" s="1138">
        <f t="shared" ref="CA1235" si="5895">CA1218+CA1228+CA1234</f>
        <v>0</v>
      </c>
      <c r="CB1235" s="1138">
        <f t="shared" ref="CB1235" si="5896">CB1218+CB1228+CB1234</f>
        <v>0</v>
      </c>
      <c r="CC1235" s="1138">
        <f t="shared" ref="CC1235" si="5897">CC1218+CC1228+CC1234</f>
        <v>0</v>
      </c>
      <c r="CD1235" s="1138">
        <f t="shared" ref="CD1235" si="5898">CD1218+CD1228+CD1234</f>
        <v>0</v>
      </c>
      <c r="CE1235" s="1138">
        <f t="shared" ref="CE1235" si="5899">CE1218+CE1228+CE1234</f>
        <v>0</v>
      </c>
      <c r="CF1235" s="1138">
        <f t="shared" ref="CF1235" si="5900">CF1218+CF1228+CF1234</f>
        <v>0</v>
      </c>
      <c r="CG1235" s="1138">
        <f t="shared" ref="CG1235" si="5901">CG1218+CG1228+CG1234</f>
        <v>0</v>
      </c>
      <c r="CH1235" s="1138">
        <f t="shared" ref="CH1235" si="5902">CH1218+CH1228+CH1234</f>
        <v>0</v>
      </c>
      <c r="CI1235" s="1138">
        <f t="shared" ref="CI1235" si="5903">CI1218+CI1228+CI1234</f>
        <v>0</v>
      </c>
      <c r="CJ1235" s="1138">
        <f t="shared" ref="CJ1235" si="5904">CJ1218+CJ1228+CJ1234</f>
        <v>0</v>
      </c>
      <c r="CK1235" s="1138">
        <f t="shared" ref="CK1235" si="5905">CK1218+CK1228+CK1234</f>
        <v>0</v>
      </c>
      <c r="CL1235" s="1138">
        <f t="shared" ref="CL1235" si="5906">CL1218+CL1228+CL1234</f>
        <v>0</v>
      </c>
      <c r="CM1235" s="1138">
        <f t="shared" ref="CM1235" si="5907">CM1218+CM1228+CM1234</f>
        <v>0</v>
      </c>
      <c r="CN1235" s="1138">
        <f t="shared" ref="CN1235" si="5908">CN1218+CN1228+CN1234</f>
        <v>0</v>
      </c>
      <c r="CO1235" s="1138">
        <f t="shared" ref="CO1235" si="5909">CO1218+CO1228+CO1234</f>
        <v>0</v>
      </c>
      <c r="CP1235" s="1138">
        <f t="shared" ref="CP1235" si="5910">CP1218+CP1228+CP1234</f>
        <v>0</v>
      </c>
      <c r="CQ1235" s="1138">
        <f t="shared" ref="CQ1235" si="5911">CQ1218+CQ1228+CQ1234</f>
        <v>0</v>
      </c>
      <c r="CR1235" s="1138">
        <f t="shared" ref="CR1235" si="5912">CR1218+CR1228+CR1234</f>
        <v>0</v>
      </c>
      <c r="CS1235" s="1138">
        <f t="shared" ref="CS1235" si="5913">CS1218+CS1228+CS1234</f>
        <v>0</v>
      </c>
      <c r="CT1235" s="1138">
        <f t="shared" ref="CT1235" si="5914">CT1218+CT1228+CT1234</f>
        <v>0</v>
      </c>
      <c r="CU1235" s="1138">
        <f t="shared" ref="CU1235" si="5915">CU1218+CU1228+CU1234</f>
        <v>0</v>
      </c>
      <c r="CV1235" s="1138">
        <f t="shared" ref="CV1235" si="5916">CV1218+CV1228+CV1234</f>
        <v>0</v>
      </c>
      <c r="CW1235" s="1138">
        <f t="shared" ref="CW1235" si="5917">CW1218+CW1228+CW1234</f>
        <v>0</v>
      </c>
      <c r="CX1235" s="1138">
        <f t="shared" ref="CX1235" si="5918">CX1218+CX1228+CX1234</f>
        <v>0</v>
      </c>
      <c r="CY1235" s="1138">
        <f t="shared" ref="CY1235" si="5919">CY1218+CY1228+CY1234</f>
        <v>0</v>
      </c>
      <c r="CZ1235" s="1138">
        <f t="shared" ref="CZ1235" si="5920">CZ1218+CZ1228+CZ1234</f>
        <v>0</v>
      </c>
      <c r="DA1235" s="1138">
        <f t="shared" ref="DA1235" si="5921">DA1218+DA1228+DA1234</f>
        <v>0</v>
      </c>
      <c r="DB1235" s="1138">
        <f t="shared" ref="DB1235" si="5922">DB1218+DB1228+DB1234</f>
        <v>0</v>
      </c>
      <c r="DC1235" s="1138">
        <f t="shared" ref="DC1235" si="5923">DC1218+DC1228+DC1234</f>
        <v>0</v>
      </c>
      <c r="DD1235" s="1138">
        <f t="shared" ref="DD1235" si="5924">DD1218+DD1228+DD1234</f>
        <v>0</v>
      </c>
      <c r="DE1235" s="1138">
        <f t="shared" ref="DE1235" si="5925">DE1218+DE1228+DE1234</f>
        <v>0</v>
      </c>
      <c r="DF1235" s="1138">
        <f t="shared" ref="DF1235" si="5926">DF1218+DF1228+DF1234</f>
        <v>0</v>
      </c>
      <c r="DG1235" s="1138">
        <f t="shared" ref="DG1235" si="5927">DG1218+DG1228+DG1234</f>
        <v>0</v>
      </c>
      <c r="DH1235" s="1138">
        <f t="shared" ref="DH1235" si="5928">DH1218+DH1228+DH1234</f>
        <v>0</v>
      </c>
      <c r="DI1235" s="1138">
        <f t="shared" ref="DI1235" si="5929">DI1218+DI1228+DI1234</f>
        <v>0</v>
      </c>
      <c r="DJ1235" s="1138">
        <f t="shared" ref="DJ1235" si="5930">DJ1218+DJ1228+DJ1234</f>
        <v>0</v>
      </c>
      <c r="DK1235" s="1138">
        <f t="shared" ref="DK1235" si="5931">DK1218+DK1228+DK1234</f>
        <v>0</v>
      </c>
      <c r="DL1235" s="1138">
        <f t="shared" ref="DL1235" si="5932">DL1218+DL1228+DL1234</f>
        <v>0</v>
      </c>
      <c r="DM1235" s="1138">
        <f t="shared" ref="DM1235" si="5933">DM1218+DM1228+DM1234</f>
        <v>0</v>
      </c>
      <c r="DN1235" s="1138">
        <f t="shared" ref="DN1235" si="5934">DN1218+DN1228+DN1234</f>
        <v>0</v>
      </c>
      <c r="DO1235" s="1138">
        <f t="shared" ref="DO1235" si="5935">DO1218+DO1228+DO1234</f>
        <v>0</v>
      </c>
      <c r="DP1235" s="1138">
        <f t="shared" ref="DP1235" si="5936">DP1218+DP1228+DP1234</f>
        <v>0</v>
      </c>
      <c r="DQ1235" s="1138">
        <f t="shared" ref="DQ1235" si="5937">DQ1218+DQ1228+DQ1234</f>
        <v>0</v>
      </c>
      <c r="DR1235" s="1138">
        <f t="shared" ref="DR1235" si="5938">DR1218+DR1228+DR1234</f>
        <v>0</v>
      </c>
      <c r="DS1235" s="1138">
        <f t="shared" ref="DS1235" si="5939">DS1218+DS1228+DS1234</f>
        <v>0</v>
      </c>
      <c r="DT1235" s="1138">
        <f t="shared" ref="DT1235" si="5940">DT1218+DT1228+DT1234</f>
        <v>0</v>
      </c>
      <c r="DU1235" s="1138">
        <f t="shared" ref="DU1235" si="5941">DU1218+DU1228+DU1234</f>
        <v>0</v>
      </c>
      <c r="DV1235" s="1138">
        <f t="shared" ref="DV1235" si="5942">DV1218+DV1228+DV1234</f>
        <v>0</v>
      </c>
      <c r="DW1235" s="1138">
        <f t="shared" ref="DW1235" si="5943">DW1218+DW1228+DW1234</f>
        <v>0</v>
      </c>
      <c r="DX1235" s="1138">
        <f t="shared" ref="DX1235" si="5944">DX1218+DX1228+DX1234</f>
        <v>0</v>
      </c>
      <c r="DY1235" s="1138">
        <f t="shared" ref="DY1235" si="5945">DY1218+DY1228+DY1234</f>
        <v>0</v>
      </c>
      <c r="DZ1235" s="1138">
        <f t="shared" ref="DZ1235" si="5946">DZ1218+DZ1228+DZ1234</f>
        <v>0</v>
      </c>
      <c r="EA1235" s="1138">
        <f t="shared" ref="EA1235" si="5947">EA1218+EA1228+EA1234</f>
        <v>0</v>
      </c>
      <c r="EB1235" s="1138">
        <f t="shared" ref="EB1235" si="5948">EB1218+EB1228+EB1234</f>
        <v>0</v>
      </c>
      <c r="EC1235" s="1138">
        <f t="shared" ref="EC1235" si="5949">EC1218+EC1228+EC1234</f>
        <v>0</v>
      </c>
      <c r="ED1235" s="1138">
        <f t="shared" ref="ED1235" si="5950">ED1218+ED1228+ED1234</f>
        <v>0</v>
      </c>
      <c r="EE1235" s="1138">
        <f t="shared" ref="EE1235" si="5951">EE1218+EE1228+EE1234</f>
        <v>0</v>
      </c>
      <c r="EF1235" s="1138">
        <f t="shared" ref="EF1235" si="5952">EF1218+EF1228+EF1234</f>
        <v>0</v>
      </c>
      <c r="EG1235" s="1138">
        <f t="shared" ref="EG1235" si="5953">EG1218+EG1228+EG1234</f>
        <v>0</v>
      </c>
      <c r="EH1235" s="1138">
        <f t="shared" ref="EH1235" si="5954">EH1218+EH1228+EH1234</f>
        <v>0</v>
      </c>
      <c r="EI1235" s="1138">
        <f t="shared" ref="EI1235" si="5955">EI1218+EI1228+EI1234</f>
        <v>0</v>
      </c>
      <c r="EJ1235" s="1138">
        <f t="shared" ref="EJ1235" si="5956">EJ1218+EJ1228+EJ1234</f>
        <v>0</v>
      </c>
      <c r="EK1235" s="1138">
        <f t="shared" ref="EK1235" si="5957">EK1218+EK1228+EK1234</f>
        <v>0</v>
      </c>
      <c r="EL1235" s="1138">
        <f t="shared" ref="EL1235" si="5958">EL1218+EL1228+EL1234</f>
        <v>0</v>
      </c>
      <c r="EM1235" s="1138">
        <f t="shared" ref="EM1235" si="5959">EM1218+EM1228+EM1234</f>
        <v>0</v>
      </c>
      <c r="EN1235" s="1138">
        <f t="shared" ref="EN1235" si="5960">EN1218+EN1228+EN1234</f>
        <v>0</v>
      </c>
      <c r="EO1235" s="1138">
        <f t="shared" ref="EO1235" si="5961">EO1218+EO1228+EO1234</f>
        <v>0</v>
      </c>
      <c r="EP1235" s="1138">
        <f t="shared" ref="EP1235" si="5962">EP1218+EP1228+EP1234</f>
        <v>0</v>
      </c>
      <c r="EQ1235" s="1138">
        <f t="shared" ref="EQ1235" si="5963">EQ1218+EQ1228+EQ1234</f>
        <v>0</v>
      </c>
      <c r="ER1235" s="1138">
        <f t="shared" ref="ER1235" si="5964">ER1218+ER1228+ER1234</f>
        <v>0</v>
      </c>
      <c r="ES1235" s="1138">
        <f t="shared" ref="ES1235" si="5965">ES1218+ES1228+ES1234</f>
        <v>0</v>
      </c>
      <c r="ET1235" s="1138">
        <f t="shared" ref="ET1235" si="5966">ET1218+ET1228+ET1234</f>
        <v>0</v>
      </c>
      <c r="EU1235" s="1138">
        <f t="shared" ref="EU1235" si="5967">EU1218+EU1228+EU1234</f>
        <v>0</v>
      </c>
      <c r="EV1235" s="1138">
        <f t="shared" ref="EV1235" si="5968">EV1218+EV1228+EV1234</f>
        <v>0</v>
      </c>
      <c r="EW1235" s="1138">
        <f t="shared" ref="EW1235" si="5969">EW1218+EW1228+EW1234</f>
        <v>0</v>
      </c>
      <c r="EX1235" s="1138">
        <f t="shared" ref="EX1235:FL1235" si="5970">EX1218+EX1228+EX1234</f>
        <v>0</v>
      </c>
      <c r="EY1235" s="1138">
        <f t="shared" si="5970"/>
        <v>0</v>
      </c>
      <c r="EZ1235" s="1138">
        <f t="shared" si="5970"/>
        <v>0</v>
      </c>
      <c r="FA1235" s="1138">
        <f t="shared" si="5970"/>
        <v>0</v>
      </c>
      <c r="FB1235" s="1138">
        <f t="shared" si="5970"/>
        <v>0</v>
      </c>
      <c r="FC1235" s="1138">
        <f t="shared" si="5970"/>
        <v>0</v>
      </c>
      <c r="FD1235" s="1138">
        <f t="shared" si="5970"/>
        <v>0</v>
      </c>
      <c r="FE1235" s="1138">
        <f t="shared" si="5970"/>
        <v>0</v>
      </c>
      <c r="FF1235" s="1138">
        <f t="shared" si="5970"/>
        <v>0</v>
      </c>
      <c r="FG1235" s="1138">
        <f t="shared" si="5970"/>
        <v>0</v>
      </c>
      <c r="FH1235" s="1138">
        <f t="shared" si="5970"/>
        <v>0</v>
      </c>
      <c r="FI1235" s="1138">
        <f t="shared" si="5970"/>
        <v>0</v>
      </c>
      <c r="FJ1235" s="1138">
        <f t="shared" si="5970"/>
        <v>0</v>
      </c>
      <c r="FK1235" s="1138">
        <f t="shared" si="5970"/>
        <v>0</v>
      </c>
      <c r="FL1235" s="1138">
        <f t="shared" si="5970"/>
        <v>0</v>
      </c>
    </row>
    <row r="1236" spans="1:168" s="550" customFormat="1" x14ac:dyDescent="0.25">
      <c r="A1236" s="549"/>
      <c r="B1236" s="626" t="s">
        <v>757</v>
      </c>
      <c r="C1236" s="1136"/>
      <c r="D1236" s="1136"/>
      <c r="E1236" s="1141"/>
      <c r="F1236" s="1141"/>
      <c r="G1236" s="1141"/>
      <c r="H1236" s="1141"/>
      <c r="I1236" s="560"/>
      <c r="J1236" s="560"/>
      <c r="K1236" s="560"/>
      <c r="L1236" s="560"/>
      <c r="M1236" s="560"/>
      <c r="N1236" s="560"/>
      <c r="O1236" s="560"/>
      <c r="P1236" s="560"/>
      <c r="Q1236" s="560"/>
      <c r="R1236" s="560"/>
      <c r="S1236" s="560"/>
      <c r="T1236" s="560"/>
      <c r="U1236" s="560"/>
      <c r="V1236" s="560"/>
      <c r="W1236" s="560"/>
      <c r="X1236" s="560"/>
      <c r="Y1236" s="560"/>
      <c r="Z1236" s="560"/>
      <c r="AA1236" s="560"/>
      <c r="AB1236" s="560"/>
      <c r="AC1236" s="560"/>
      <c r="AD1236" s="560"/>
      <c r="AE1236" s="560"/>
      <c r="AF1236" s="560"/>
      <c r="AG1236" s="560"/>
      <c r="AH1236" s="560"/>
      <c r="AI1236" s="560"/>
      <c r="AJ1236" s="560"/>
      <c r="AK1236" s="560"/>
      <c r="AL1236" s="560"/>
      <c r="AM1236" s="560"/>
      <c r="AN1236" s="560"/>
      <c r="AO1236" s="560"/>
      <c r="AP1236" s="560"/>
      <c r="AQ1236" s="560"/>
      <c r="AR1236" s="560"/>
      <c r="AS1236" s="560"/>
      <c r="AT1236" s="560"/>
      <c r="AU1236" s="560"/>
      <c r="AV1236" s="560"/>
      <c r="AW1236" s="560"/>
      <c r="AX1236" s="560"/>
      <c r="AY1236" s="560"/>
      <c r="AZ1236" s="560"/>
      <c r="BA1236" s="560"/>
      <c r="BB1236" s="560"/>
      <c r="BC1236" s="560"/>
      <c r="BD1236" s="560"/>
      <c r="BE1236" s="560"/>
      <c r="BF1236" s="560"/>
      <c r="BG1236" s="560"/>
      <c r="BH1236" s="560"/>
      <c r="BI1236" s="560"/>
      <c r="BJ1236" s="560"/>
      <c r="BK1236" s="560"/>
      <c r="BL1236" s="560"/>
      <c r="BM1236" s="560"/>
      <c r="BN1236" s="560"/>
      <c r="BO1236" s="560"/>
      <c r="BP1236" s="560"/>
      <c r="BQ1236" s="560"/>
      <c r="BR1236" s="560"/>
      <c r="BS1236" s="560"/>
      <c r="BT1236" s="560"/>
      <c r="BU1236" s="560"/>
      <c r="BV1236" s="560"/>
      <c r="BW1236" s="560"/>
      <c r="BX1236" s="560"/>
      <c r="BY1236" s="560"/>
      <c r="BZ1236" s="560"/>
      <c r="CA1236" s="560"/>
      <c r="CB1236" s="560"/>
      <c r="CC1236" s="560"/>
      <c r="CD1236" s="560"/>
      <c r="CE1236" s="560"/>
      <c r="CF1236" s="560"/>
      <c r="CG1236" s="560"/>
      <c r="CH1236" s="560"/>
      <c r="CI1236" s="560"/>
      <c r="CJ1236" s="560"/>
      <c r="CK1236" s="560"/>
      <c r="CL1236" s="560"/>
      <c r="CM1236" s="560"/>
      <c r="CN1236" s="560"/>
      <c r="CO1236" s="560"/>
      <c r="CP1236" s="560"/>
      <c r="CQ1236" s="560"/>
      <c r="CR1236" s="560"/>
      <c r="CS1236" s="560"/>
      <c r="CT1236" s="560"/>
      <c r="CU1236" s="560"/>
      <c r="CV1236" s="560"/>
      <c r="CW1236" s="560"/>
      <c r="CX1236" s="560"/>
      <c r="CY1236" s="560"/>
      <c r="CZ1236" s="560"/>
      <c r="DA1236" s="560"/>
      <c r="DB1236" s="560"/>
      <c r="DC1236" s="560"/>
      <c r="DD1236" s="560"/>
      <c r="DE1236" s="560"/>
      <c r="DF1236" s="560"/>
      <c r="DG1236" s="560"/>
      <c r="DH1236" s="560"/>
      <c r="DI1236" s="560"/>
      <c r="DJ1236" s="560"/>
      <c r="DK1236" s="560"/>
      <c r="DL1236" s="560"/>
      <c r="DM1236" s="560"/>
      <c r="DN1236" s="560"/>
      <c r="DO1236" s="560"/>
      <c r="DP1236" s="560"/>
      <c r="DQ1236" s="560"/>
      <c r="DR1236" s="560"/>
      <c r="DS1236" s="560"/>
      <c r="DT1236" s="560"/>
      <c r="DU1236" s="560"/>
      <c r="DV1236" s="560"/>
      <c r="DW1236" s="560"/>
      <c r="DX1236" s="560"/>
      <c r="DY1236" s="560"/>
      <c r="DZ1236" s="560"/>
      <c r="EA1236" s="560"/>
      <c r="EB1236" s="560"/>
      <c r="EC1236" s="560"/>
      <c r="ED1236" s="560"/>
      <c r="EE1236" s="560"/>
      <c r="EF1236" s="560"/>
      <c r="EG1236" s="560"/>
      <c r="EH1236" s="560"/>
      <c r="EI1236" s="560"/>
      <c r="EJ1236" s="560"/>
      <c r="EK1236" s="560"/>
      <c r="EL1236" s="560"/>
      <c r="EM1236" s="560"/>
      <c r="EN1236" s="560"/>
      <c r="EO1236" s="560"/>
      <c r="EP1236" s="560"/>
      <c r="EQ1236" s="560"/>
      <c r="ER1236" s="560"/>
      <c r="ES1236" s="560"/>
      <c r="ET1236" s="560"/>
      <c r="EU1236" s="560"/>
      <c r="EV1236" s="560"/>
      <c r="EW1236" s="560"/>
      <c r="EX1236" s="560"/>
      <c r="EY1236" s="800" t="s">
        <v>828</v>
      </c>
      <c r="EZ1236" s="563"/>
      <c r="FA1236" s="563"/>
      <c r="FB1236" s="563"/>
      <c r="FC1236" s="563"/>
      <c r="FD1236" s="563"/>
      <c r="FE1236" s="563"/>
      <c r="FF1236" s="563"/>
      <c r="FG1236" s="563"/>
      <c r="FH1236" s="563"/>
      <c r="FI1236" s="563"/>
      <c r="FJ1236" s="563"/>
      <c r="FK1236" s="563"/>
      <c r="FL1236" s="563"/>
    </row>
    <row r="1237" spans="1:168" x14ac:dyDescent="0.25">
      <c r="A1237" s="1491" t="s">
        <v>109</v>
      </c>
      <c r="B1237" s="624">
        <f t="shared" ref="B1237:D1245" si="5971">B287</f>
        <v>0</v>
      </c>
      <c r="C1237" s="624">
        <f t="shared" si="5971"/>
        <v>0</v>
      </c>
      <c r="D1237" s="624">
        <f t="shared" si="5971"/>
        <v>0</v>
      </c>
      <c r="E1237" s="1158">
        <f t="shared" ref="E1237" si="5972">EY1237</f>
        <v>0</v>
      </c>
      <c r="F1237" s="1158"/>
      <c r="G1237" s="1140"/>
      <c r="H1237" s="1140"/>
      <c r="I1237" s="552"/>
      <c r="J1237" s="552">
        <f t="shared" ref="J1237:AO1237" si="5973">J287*J$338</f>
        <v>0</v>
      </c>
      <c r="K1237" s="552">
        <f t="shared" si="5973"/>
        <v>0</v>
      </c>
      <c r="L1237" s="552">
        <f t="shared" si="5973"/>
        <v>0</v>
      </c>
      <c r="M1237" s="552">
        <f t="shared" si="5973"/>
        <v>0</v>
      </c>
      <c r="N1237" s="552">
        <f t="shared" si="5973"/>
        <v>0</v>
      </c>
      <c r="O1237" s="552">
        <f t="shared" si="5973"/>
        <v>0</v>
      </c>
      <c r="P1237" s="552">
        <f t="shared" si="5973"/>
        <v>0</v>
      </c>
      <c r="Q1237" s="552">
        <f t="shared" si="5973"/>
        <v>0</v>
      </c>
      <c r="R1237" s="552">
        <f t="shared" si="5973"/>
        <v>0</v>
      </c>
      <c r="S1237" s="552">
        <f t="shared" si="5973"/>
        <v>0</v>
      </c>
      <c r="T1237" s="552">
        <f t="shared" si="5973"/>
        <v>0</v>
      </c>
      <c r="U1237" s="552">
        <f t="shared" si="5973"/>
        <v>0</v>
      </c>
      <c r="V1237" s="552">
        <f t="shared" si="5973"/>
        <v>0</v>
      </c>
      <c r="W1237" s="552">
        <f t="shared" si="5973"/>
        <v>0</v>
      </c>
      <c r="X1237" s="552">
        <f t="shared" si="5973"/>
        <v>0</v>
      </c>
      <c r="Y1237" s="552">
        <f t="shared" si="5973"/>
        <v>0</v>
      </c>
      <c r="Z1237" s="552">
        <f t="shared" si="5973"/>
        <v>0</v>
      </c>
      <c r="AA1237" s="552">
        <f t="shared" si="5973"/>
        <v>0</v>
      </c>
      <c r="AB1237" s="552">
        <f t="shared" si="5973"/>
        <v>0</v>
      </c>
      <c r="AC1237" s="552">
        <f t="shared" si="5973"/>
        <v>0</v>
      </c>
      <c r="AD1237" s="552">
        <f t="shared" si="5973"/>
        <v>0</v>
      </c>
      <c r="AE1237" s="552">
        <f t="shared" si="5973"/>
        <v>0</v>
      </c>
      <c r="AF1237" s="552">
        <f t="shared" si="5973"/>
        <v>0</v>
      </c>
      <c r="AG1237" s="552">
        <f t="shared" si="5973"/>
        <v>0</v>
      </c>
      <c r="AH1237" s="552">
        <f t="shared" si="5973"/>
        <v>0</v>
      </c>
      <c r="AI1237" s="552">
        <f t="shared" si="5973"/>
        <v>0</v>
      </c>
      <c r="AJ1237" s="552">
        <f t="shared" si="5973"/>
        <v>0</v>
      </c>
      <c r="AK1237" s="552">
        <f t="shared" si="5973"/>
        <v>0</v>
      </c>
      <c r="AL1237" s="552">
        <f t="shared" si="5973"/>
        <v>0</v>
      </c>
      <c r="AM1237" s="552">
        <f t="shared" si="5973"/>
        <v>0</v>
      </c>
      <c r="AN1237" s="552">
        <f t="shared" si="5973"/>
        <v>0</v>
      </c>
      <c r="AO1237" s="552">
        <f t="shared" si="5973"/>
        <v>0</v>
      </c>
      <c r="AP1237" s="552">
        <f t="shared" ref="AP1237:BU1237" si="5974">AP287*AP$338</f>
        <v>0</v>
      </c>
      <c r="AQ1237" s="552">
        <f t="shared" si="5974"/>
        <v>0</v>
      </c>
      <c r="AR1237" s="552">
        <f t="shared" si="5974"/>
        <v>0</v>
      </c>
      <c r="AS1237" s="552">
        <f t="shared" si="5974"/>
        <v>0</v>
      </c>
      <c r="AT1237" s="552">
        <f t="shared" si="5974"/>
        <v>0</v>
      </c>
      <c r="AU1237" s="552">
        <f t="shared" si="5974"/>
        <v>0</v>
      </c>
      <c r="AV1237" s="552">
        <f t="shared" si="5974"/>
        <v>0</v>
      </c>
      <c r="AW1237" s="552">
        <f t="shared" si="5974"/>
        <v>0</v>
      </c>
      <c r="AX1237" s="552">
        <f t="shared" si="5974"/>
        <v>0</v>
      </c>
      <c r="AY1237" s="552">
        <f t="shared" si="5974"/>
        <v>0</v>
      </c>
      <c r="AZ1237" s="552">
        <f t="shared" si="5974"/>
        <v>0</v>
      </c>
      <c r="BA1237" s="552">
        <f t="shared" si="5974"/>
        <v>0</v>
      </c>
      <c r="BB1237" s="552">
        <f t="shared" si="5974"/>
        <v>0</v>
      </c>
      <c r="BC1237" s="552">
        <f t="shared" si="5974"/>
        <v>0</v>
      </c>
      <c r="BD1237" s="552">
        <f t="shared" si="5974"/>
        <v>0</v>
      </c>
      <c r="BE1237" s="552">
        <f t="shared" si="5974"/>
        <v>0</v>
      </c>
      <c r="BF1237" s="552">
        <f t="shared" si="5974"/>
        <v>0</v>
      </c>
      <c r="BG1237" s="552">
        <f t="shared" si="5974"/>
        <v>0</v>
      </c>
      <c r="BH1237" s="552">
        <f t="shared" si="5974"/>
        <v>0</v>
      </c>
      <c r="BI1237" s="552">
        <f t="shared" si="5974"/>
        <v>0</v>
      </c>
      <c r="BJ1237" s="552">
        <f t="shared" si="5974"/>
        <v>0</v>
      </c>
      <c r="BK1237" s="552">
        <f t="shared" si="5974"/>
        <v>0</v>
      </c>
      <c r="BL1237" s="552">
        <f t="shared" si="5974"/>
        <v>0</v>
      </c>
      <c r="BM1237" s="552">
        <f t="shared" si="5974"/>
        <v>0</v>
      </c>
      <c r="BN1237" s="552">
        <f t="shared" si="5974"/>
        <v>0</v>
      </c>
      <c r="BO1237" s="552">
        <f t="shared" si="5974"/>
        <v>0</v>
      </c>
      <c r="BP1237" s="552">
        <f t="shared" si="5974"/>
        <v>0</v>
      </c>
      <c r="BQ1237" s="552">
        <f t="shared" si="5974"/>
        <v>0</v>
      </c>
      <c r="BR1237" s="552">
        <f t="shared" si="5974"/>
        <v>0</v>
      </c>
      <c r="BS1237" s="552">
        <f t="shared" si="5974"/>
        <v>0</v>
      </c>
      <c r="BT1237" s="552">
        <f t="shared" si="5974"/>
        <v>0</v>
      </c>
      <c r="BU1237" s="552">
        <f t="shared" si="5974"/>
        <v>0</v>
      </c>
      <c r="BV1237" s="552">
        <f t="shared" ref="BV1237:DA1237" si="5975">BV287*BV$338</f>
        <v>0</v>
      </c>
      <c r="BW1237" s="552">
        <f t="shared" si="5975"/>
        <v>0</v>
      </c>
      <c r="BX1237" s="552">
        <f t="shared" si="5975"/>
        <v>0</v>
      </c>
      <c r="BY1237" s="552">
        <f t="shared" si="5975"/>
        <v>0</v>
      </c>
      <c r="BZ1237" s="552">
        <f t="shared" si="5975"/>
        <v>0</v>
      </c>
      <c r="CA1237" s="552">
        <f t="shared" si="5975"/>
        <v>0</v>
      </c>
      <c r="CB1237" s="552">
        <f t="shared" si="5975"/>
        <v>0</v>
      </c>
      <c r="CC1237" s="552">
        <f t="shared" si="5975"/>
        <v>0</v>
      </c>
      <c r="CD1237" s="552">
        <f t="shared" si="5975"/>
        <v>0</v>
      </c>
      <c r="CE1237" s="552">
        <f t="shared" si="5975"/>
        <v>0</v>
      </c>
      <c r="CF1237" s="552">
        <f t="shared" si="5975"/>
        <v>0</v>
      </c>
      <c r="CG1237" s="552">
        <f t="shared" si="5975"/>
        <v>0</v>
      </c>
      <c r="CH1237" s="552">
        <f t="shared" si="5975"/>
        <v>0</v>
      </c>
      <c r="CI1237" s="552">
        <f t="shared" si="5975"/>
        <v>0</v>
      </c>
      <c r="CJ1237" s="552">
        <f t="shared" si="5975"/>
        <v>0</v>
      </c>
      <c r="CK1237" s="552">
        <f t="shared" si="5975"/>
        <v>0</v>
      </c>
      <c r="CL1237" s="552">
        <f t="shared" si="5975"/>
        <v>0</v>
      </c>
      <c r="CM1237" s="552">
        <f t="shared" si="5975"/>
        <v>0</v>
      </c>
      <c r="CN1237" s="552">
        <f t="shared" si="5975"/>
        <v>0</v>
      </c>
      <c r="CO1237" s="552">
        <f t="shared" si="5975"/>
        <v>0</v>
      </c>
      <c r="CP1237" s="552">
        <f t="shared" si="5975"/>
        <v>0</v>
      </c>
      <c r="CQ1237" s="552">
        <f t="shared" si="5975"/>
        <v>0</v>
      </c>
      <c r="CR1237" s="552">
        <f t="shared" si="5975"/>
        <v>0</v>
      </c>
      <c r="CS1237" s="552">
        <f t="shared" si="5975"/>
        <v>0</v>
      </c>
      <c r="CT1237" s="552">
        <f t="shared" si="5975"/>
        <v>0</v>
      </c>
      <c r="CU1237" s="552">
        <f t="shared" si="5975"/>
        <v>0</v>
      </c>
      <c r="CV1237" s="552">
        <f t="shared" si="5975"/>
        <v>0</v>
      </c>
      <c r="CW1237" s="552">
        <f t="shared" si="5975"/>
        <v>0</v>
      </c>
      <c r="CX1237" s="552">
        <f t="shared" si="5975"/>
        <v>0</v>
      </c>
      <c r="CY1237" s="552">
        <f t="shared" si="5975"/>
        <v>0</v>
      </c>
      <c r="CZ1237" s="552">
        <f t="shared" si="5975"/>
        <v>0</v>
      </c>
      <c r="DA1237" s="552">
        <f t="shared" si="5975"/>
        <v>0</v>
      </c>
      <c r="DB1237" s="552">
        <f t="shared" ref="DB1237:EG1237" si="5976">DB287*DB$338</f>
        <v>0</v>
      </c>
      <c r="DC1237" s="552">
        <f t="shared" si="5976"/>
        <v>0</v>
      </c>
      <c r="DD1237" s="552">
        <f t="shared" si="5976"/>
        <v>0</v>
      </c>
      <c r="DE1237" s="552">
        <f t="shared" si="5976"/>
        <v>0</v>
      </c>
      <c r="DF1237" s="552">
        <f t="shared" si="5976"/>
        <v>0</v>
      </c>
      <c r="DG1237" s="552">
        <f t="shared" si="5976"/>
        <v>0</v>
      </c>
      <c r="DH1237" s="552">
        <f t="shared" si="5976"/>
        <v>0</v>
      </c>
      <c r="DI1237" s="552">
        <f t="shared" si="5976"/>
        <v>0</v>
      </c>
      <c r="DJ1237" s="552">
        <f t="shared" si="5976"/>
        <v>0</v>
      </c>
      <c r="DK1237" s="552">
        <f t="shared" si="5976"/>
        <v>0</v>
      </c>
      <c r="DL1237" s="552">
        <f t="shared" si="5976"/>
        <v>0</v>
      </c>
      <c r="DM1237" s="552">
        <f t="shared" si="5976"/>
        <v>0</v>
      </c>
      <c r="DN1237" s="552">
        <f t="shared" si="5976"/>
        <v>0</v>
      </c>
      <c r="DO1237" s="552">
        <f t="shared" si="5976"/>
        <v>0</v>
      </c>
      <c r="DP1237" s="552">
        <f t="shared" si="5976"/>
        <v>0</v>
      </c>
      <c r="DQ1237" s="552">
        <f t="shared" si="5976"/>
        <v>0</v>
      </c>
      <c r="DR1237" s="552">
        <f t="shared" si="5976"/>
        <v>0</v>
      </c>
      <c r="DS1237" s="552">
        <f t="shared" si="5976"/>
        <v>0</v>
      </c>
      <c r="DT1237" s="552">
        <f t="shared" si="5976"/>
        <v>0</v>
      </c>
      <c r="DU1237" s="552">
        <f t="shared" si="5976"/>
        <v>0</v>
      </c>
      <c r="DV1237" s="552">
        <f t="shared" si="5976"/>
        <v>0</v>
      </c>
      <c r="DW1237" s="552">
        <f t="shared" si="5976"/>
        <v>0</v>
      </c>
      <c r="DX1237" s="552">
        <f t="shared" si="5976"/>
        <v>0</v>
      </c>
      <c r="DY1237" s="552">
        <f t="shared" si="5976"/>
        <v>0</v>
      </c>
      <c r="DZ1237" s="552">
        <f t="shared" si="5976"/>
        <v>0</v>
      </c>
      <c r="EA1237" s="552">
        <f t="shared" si="5976"/>
        <v>0</v>
      </c>
      <c r="EB1237" s="552">
        <f t="shared" si="5976"/>
        <v>0</v>
      </c>
      <c r="EC1237" s="552">
        <f t="shared" si="5976"/>
        <v>0</v>
      </c>
      <c r="ED1237" s="552">
        <f t="shared" si="5976"/>
        <v>0</v>
      </c>
      <c r="EE1237" s="552">
        <f t="shared" si="5976"/>
        <v>0</v>
      </c>
      <c r="EF1237" s="552">
        <f t="shared" si="5976"/>
        <v>0</v>
      </c>
      <c r="EG1237" s="552">
        <f t="shared" si="5976"/>
        <v>0</v>
      </c>
      <c r="EH1237" s="552">
        <f t="shared" ref="EH1237:EX1237" si="5977">EH287*EH$338</f>
        <v>0</v>
      </c>
      <c r="EI1237" s="552">
        <f t="shared" si="5977"/>
        <v>0</v>
      </c>
      <c r="EJ1237" s="552">
        <f t="shared" si="5977"/>
        <v>0</v>
      </c>
      <c r="EK1237" s="552">
        <f t="shared" si="5977"/>
        <v>0</v>
      </c>
      <c r="EL1237" s="552">
        <f t="shared" si="5977"/>
        <v>0</v>
      </c>
      <c r="EM1237" s="552">
        <f t="shared" si="5977"/>
        <v>0</v>
      </c>
      <c r="EN1237" s="552">
        <f t="shared" si="5977"/>
        <v>0</v>
      </c>
      <c r="EO1237" s="552">
        <f t="shared" si="5977"/>
        <v>0</v>
      </c>
      <c r="EP1237" s="552">
        <f t="shared" si="5977"/>
        <v>0</v>
      </c>
      <c r="EQ1237" s="552">
        <f t="shared" si="5977"/>
        <v>0</v>
      </c>
      <c r="ER1237" s="552">
        <f t="shared" si="5977"/>
        <v>0</v>
      </c>
      <c r="ES1237" s="552">
        <f t="shared" si="5977"/>
        <v>0</v>
      </c>
      <c r="ET1237" s="552">
        <f t="shared" si="5977"/>
        <v>0</v>
      </c>
      <c r="EU1237" s="552">
        <f t="shared" si="5977"/>
        <v>0</v>
      </c>
      <c r="EV1237" s="552">
        <f t="shared" si="5977"/>
        <v>0</v>
      </c>
      <c r="EW1237" s="552">
        <f t="shared" si="5977"/>
        <v>0</v>
      </c>
      <c r="EX1237" s="552">
        <f t="shared" si="5977"/>
        <v>0</v>
      </c>
      <c r="EY1237" s="799">
        <f t="shared" si="4577"/>
        <v>0</v>
      </c>
      <c r="EZ1237" s="640"/>
      <c r="FA1237" s="640"/>
      <c r="FB1237" s="640"/>
      <c r="FC1237" s="640"/>
      <c r="FD1237" s="640"/>
      <c r="FE1237" s="640"/>
      <c r="FF1237" s="640"/>
      <c r="FG1237" s="640"/>
      <c r="FH1237" s="640"/>
      <c r="FI1237" s="640"/>
      <c r="FJ1237" s="640"/>
      <c r="FK1237" s="640"/>
      <c r="FL1237" s="640"/>
    </row>
    <row r="1238" spans="1:168" x14ac:dyDescent="0.25">
      <c r="A1238" s="1492"/>
      <c r="B1238" s="624">
        <f t="shared" si="5971"/>
        <v>0</v>
      </c>
      <c r="C1238" s="624">
        <f t="shared" si="5971"/>
        <v>0</v>
      </c>
      <c r="D1238" s="624">
        <f t="shared" si="5971"/>
        <v>0</v>
      </c>
      <c r="E1238" s="1158">
        <f t="shared" ref="E1238:E1260" si="5978">EY1238</f>
        <v>0</v>
      </c>
      <c r="F1238" s="1158"/>
      <c r="G1238" s="1140"/>
      <c r="H1238" s="1140"/>
      <c r="I1238" s="552"/>
      <c r="J1238" s="552">
        <f t="shared" ref="J1238:AO1238" si="5979">J288*J$338</f>
        <v>0</v>
      </c>
      <c r="K1238" s="552">
        <f t="shared" si="5979"/>
        <v>0</v>
      </c>
      <c r="L1238" s="552">
        <f t="shared" si="5979"/>
        <v>0</v>
      </c>
      <c r="M1238" s="552">
        <f t="shared" si="5979"/>
        <v>0</v>
      </c>
      <c r="N1238" s="552">
        <f t="shared" si="5979"/>
        <v>0</v>
      </c>
      <c r="O1238" s="552">
        <f t="shared" si="5979"/>
        <v>0</v>
      </c>
      <c r="P1238" s="552">
        <f t="shared" si="5979"/>
        <v>0</v>
      </c>
      <c r="Q1238" s="552">
        <f t="shared" si="5979"/>
        <v>0</v>
      </c>
      <c r="R1238" s="552">
        <f t="shared" si="5979"/>
        <v>0</v>
      </c>
      <c r="S1238" s="552">
        <f t="shared" si="5979"/>
        <v>0</v>
      </c>
      <c r="T1238" s="552">
        <f t="shared" si="5979"/>
        <v>0</v>
      </c>
      <c r="U1238" s="552">
        <f t="shared" si="5979"/>
        <v>0</v>
      </c>
      <c r="V1238" s="552">
        <f t="shared" si="5979"/>
        <v>0</v>
      </c>
      <c r="W1238" s="552">
        <f t="shared" si="5979"/>
        <v>0</v>
      </c>
      <c r="X1238" s="552">
        <f t="shared" si="5979"/>
        <v>0</v>
      </c>
      <c r="Y1238" s="552">
        <f t="shared" si="5979"/>
        <v>0</v>
      </c>
      <c r="Z1238" s="552">
        <f t="shared" si="5979"/>
        <v>0</v>
      </c>
      <c r="AA1238" s="552">
        <f t="shared" si="5979"/>
        <v>0</v>
      </c>
      <c r="AB1238" s="552">
        <f t="shared" si="5979"/>
        <v>0</v>
      </c>
      <c r="AC1238" s="552">
        <f t="shared" si="5979"/>
        <v>0</v>
      </c>
      <c r="AD1238" s="552">
        <f t="shared" si="5979"/>
        <v>0</v>
      </c>
      <c r="AE1238" s="552">
        <f t="shared" si="5979"/>
        <v>0</v>
      </c>
      <c r="AF1238" s="552">
        <f t="shared" si="5979"/>
        <v>0</v>
      </c>
      <c r="AG1238" s="552">
        <f t="shared" si="5979"/>
        <v>0</v>
      </c>
      <c r="AH1238" s="552">
        <f t="shared" si="5979"/>
        <v>0</v>
      </c>
      <c r="AI1238" s="552">
        <f t="shared" si="5979"/>
        <v>0</v>
      </c>
      <c r="AJ1238" s="552">
        <f t="shared" si="5979"/>
        <v>0</v>
      </c>
      <c r="AK1238" s="552">
        <f t="shared" si="5979"/>
        <v>0</v>
      </c>
      <c r="AL1238" s="552">
        <f t="shared" si="5979"/>
        <v>0</v>
      </c>
      <c r="AM1238" s="552">
        <f t="shared" si="5979"/>
        <v>0</v>
      </c>
      <c r="AN1238" s="552">
        <f t="shared" si="5979"/>
        <v>0</v>
      </c>
      <c r="AO1238" s="552">
        <f t="shared" si="5979"/>
        <v>0</v>
      </c>
      <c r="AP1238" s="552">
        <f t="shared" ref="AP1238:BU1238" si="5980">AP288*AP$338</f>
        <v>0</v>
      </c>
      <c r="AQ1238" s="552">
        <f t="shared" si="5980"/>
        <v>0</v>
      </c>
      <c r="AR1238" s="552">
        <f t="shared" si="5980"/>
        <v>0</v>
      </c>
      <c r="AS1238" s="552">
        <f t="shared" si="5980"/>
        <v>0</v>
      </c>
      <c r="AT1238" s="552">
        <f t="shared" si="5980"/>
        <v>0</v>
      </c>
      <c r="AU1238" s="552">
        <f t="shared" si="5980"/>
        <v>0</v>
      </c>
      <c r="AV1238" s="552">
        <f t="shared" si="5980"/>
        <v>0</v>
      </c>
      <c r="AW1238" s="552">
        <f t="shared" si="5980"/>
        <v>0</v>
      </c>
      <c r="AX1238" s="552">
        <f t="shared" si="5980"/>
        <v>0</v>
      </c>
      <c r="AY1238" s="552">
        <f t="shared" si="5980"/>
        <v>0</v>
      </c>
      <c r="AZ1238" s="552">
        <f t="shared" si="5980"/>
        <v>0</v>
      </c>
      <c r="BA1238" s="552">
        <f t="shared" si="5980"/>
        <v>0</v>
      </c>
      <c r="BB1238" s="552">
        <f t="shared" si="5980"/>
        <v>0</v>
      </c>
      <c r="BC1238" s="552">
        <f t="shared" si="5980"/>
        <v>0</v>
      </c>
      <c r="BD1238" s="552">
        <f t="shared" si="5980"/>
        <v>0</v>
      </c>
      <c r="BE1238" s="552">
        <f t="shared" si="5980"/>
        <v>0</v>
      </c>
      <c r="BF1238" s="552">
        <f t="shared" si="5980"/>
        <v>0</v>
      </c>
      <c r="BG1238" s="552">
        <f t="shared" si="5980"/>
        <v>0</v>
      </c>
      <c r="BH1238" s="552">
        <f t="shared" si="5980"/>
        <v>0</v>
      </c>
      <c r="BI1238" s="552">
        <f t="shared" si="5980"/>
        <v>0</v>
      </c>
      <c r="BJ1238" s="552">
        <f t="shared" si="5980"/>
        <v>0</v>
      </c>
      <c r="BK1238" s="552">
        <f t="shared" si="5980"/>
        <v>0</v>
      </c>
      <c r="BL1238" s="552">
        <f t="shared" si="5980"/>
        <v>0</v>
      </c>
      <c r="BM1238" s="552">
        <f t="shared" si="5980"/>
        <v>0</v>
      </c>
      <c r="BN1238" s="552">
        <f t="shared" si="5980"/>
        <v>0</v>
      </c>
      <c r="BO1238" s="552">
        <f t="shared" si="5980"/>
        <v>0</v>
      </c>
      <c r="BP1238" s="552">
        <f t="shared" si="5980"/>
        <v>0</v>
      </c>
      <c r="BQ1238" s="552">
        <f t="shared" si="5980"/>
        <v>0</v>
      </c>
      <c r="BR1238" s="552">
        <f t="shared" si="5980"/>
        <v>0</v>
      </c>
      <c r="BS1238" s="552">
        <f t="shared" si="5980"/>
        <v>0</v>
      </c>
      <c r="BT1238" s="552">
        <f t="shared" si="5980"/>
        <v>0</v>
      </c>
      <c r="BU1238" s="552">
        <f t="shared" si="5980"/>
        <v>0</v>
      </c>
      <c r="BV1238" s="552">
        <f t="shared" ref="BV1238:DA1238" si="5981">BV288*BV$338</f>
        <v>0</v>
      </c>
      <c r="BW1238" s="552">
        <f t="shared" si="5981"/>
        <v>0</v>
      </c>
      <c r="BX1238" s="552">
        <f t="shared" si="5981"/>
        <v>0</v>
      </c>
      <c r="BY1238" s="552">
        <f t="shared" si="5981"/>
        <v>0</v>
      </c>
      <c r="BZ1238" s="552">
        <f t="shared" si="5981"/>
        <v>0</v>
      </c>
      <c r="CA1238" s="552">
        <f t="shared" si="5981"/>
        <v>0</v>
      </c>
      <c r="CB1238" s="552">
        <f t="shared" si="5981"/>
        <v>0</v>
      </c>
      <c r="CC1238" s="552">
        <f t="shared" si="5981"/>
        <v>0</v>
      </c>
      <c r="CD1238" s="552">
        <f t="shared" si="5981"/>
        <v>0</v>
      </c>
      <c r="CE1238" s="552">
        <f t="shared" si="5981"/>
        <v>0</v>
      </c>
      <c r="CF1238" s="552">
        <f t="shared" si="5981"/>
        <v>0</v>
      </c>
      <c r="CG1238" s="552">
        <f t="shared" si="5981"/>
        <v>0</v>
      </c>
      <c r="CH1238" s="552">
        <f t="shared" si="5981"/>
        <v>0</v>
      </c>
      <c r="CI1238" s="552">
        <f t="shared" si="5981"/>
        <v>0</v>
      </c>
      <c r="CJ1238" s="552">
        <f t="shared" si="5981"/>
        <v>0</v>
      </c>
      <c r="CK1238" s="552">
        <f t="shared" si="5981"/>
        <v>0</v>
      </c>
      <c r="CL1238" s="552">
        <f t="shared" si="5981"/>
        <v>0</v>
      </c>
      <c r="CM1238" s="552">
        <f t="shared" si="5981"/>
        <v>0</v>
      </c>
      <c r="CN1238" s="552">
        <f t="shared" si="5981"/>
        <v>0</v>
      </c>
      <c r="CO1238" s="552">
        <f t="shared" si="5981"/>
        <v>0</v>
      </c>
      <c r="CP1238" s="552">
        <f t="shared" si="5981"/>
        <v>0</v>
      </c>
      <c r="CQ1238" s="552">
        <f t="shared" si="5981"/>
        <v>0</v>
      </c>
      <c r="CR1238" s="552">
        <f t="shared" si="5981"/>
        <v>0</v>
      </c>
      <c r="CS1238" s="552">
        <f t="shared" si="5981"/>
        <v>0</v>
      </c>
      <c r="CT1238" s="552">
        <f t="shared" si="5981"/>
        <v>0</v>
      </c>
      <c r="CU1238" s="552">
        <f t="shared" si="5981"/>
        <v>0</v>
      </c>
      <c r="CV1238" s="552">
        <f t="shared" si="5981"/>
        <v>0</v>
      </c>
      <c r="CW1238" s="552">
        <f t="shared" si="5981"/>
        <v>0</v>
      </c>
      <c r="CX1238" s="552">
        <f t="shared" si="5981"/>
        <v>0</v>
      </c>
      <c r="CY1238" s="552">
        <f t="shared" si="5981"/>
        <v>0</v>
      </c>
      <c r="CZ1238" s="552">
        <f t="shared" si="5981"/>
        <v>0</v>
      </c>
      <c r="DA1238" s="552">
        <f t="shared" si="5981"/>
        <v>0</v>
      </c>
      <c r="DB1238" s="552">
        <f t="shared" ref="DB1238:EG1238" si="5982">DB288*DB$338</f>
        <v>0</v>
      </c>
      <c r="DC1238" s="552">
        <f t="shared" si="5982"/>
        <v>0</v>
      </c>
      <c r="DD1238" s="552">
        <f t="shared" si="5982"/>
        <v>0</v>
      </c>
      <c r="DE1238" s="552">
        <f t="shared" si="5982"/>
        <v>0</v>
      </c>
      <c r="DF1238" s="552">
        <f t="shared" si="5982"/>
        <v>0</v>
      </c>
      <c r="DG1238" s="552">
        <f t="shared" si="5982"/>
        <v>0</v>
      </c>
      <c r="DH1238" s="552">
        <f t="shared" si="5982"/>
        <v>0</v>
      </c>
      <c r="DI1238" s="552">
        <f t="shared" si="5982"/>
        <v>0</v>
      </c>
      <c r="DJ1238" s="552">
        <f t="shared" si="5982"/>
        <v>0</v>
      </c>
      <c r="DK1238" s="552">
        <f t="shared" si="5982"/>
        <v>0</v>
      </c>
      <c r="DL1238" s="552">
        <f t="shared" si="5982"/>
        <v>0</v>
      </c>
      <c r="DM1238" s="552">
        <f t="shared" si="5982"/>
        <v>0</v>
      </c>
      <c r="DN1238" s="552">
        <f t="shared" si="5982"/>
        <v>0</v>
      </c>
      <c r="DO1238" s="552">
        <f t="shared" si="5982"/>
        <v>0</v>
      </c>
      <c r="DP1238" s="552">
        <f t="shared" si="5982"/>
        <v>0</v>
      </c>
      <c r="DQ1238" s="552">
        <f t="shared" si="5982"/>
        <v>0</v>
      </c>
      <c r="DR1238" s="552">
        <f t="shared" si="5982"/>
        <v>0</v>
      </c>
      <c r="DS1238" s="552">
        <f t="shared" si="5982"/>
        <v>0</v>
      </c>
      <c r="DT1238" s="552">
        <f t="shared" si="5982"/>
        <v>0</v>
      </c>
      <c r="DU1238" s="552">
        <f t="shared" si="5982"/>
        <v>0</v>
      </c>
      <c r="DV1238" s="552">
        <f t="shared" si="5982"/>
        <v>0</v>
      </c>
      <c r="DW1238" s="552">
        <f t="shared" si="5982"/>
        <v>0</v>
      </c>
      <c r="DX1238" s="552">
        <f t="shared" si="5982"/>
        <v>0</v>
      </c>
      <c r="DY1238" s="552">
        <f t="shared" si="5982"/>
        <v>0</v>
      </c>
      <c r="DZ1238" s="552">
        <f t="shared" si="5982"/>
        <v>0</v>
      </c>
      <c r="EA1238" s="552">
        <f t="shared" si="5982"/>
        <v>0</v>
      </c>
      <c r="EB1238" s="552">
        <f t="shared" si="5982"/>
        <v>0</v>
      </c>
      <c r="EC1238" s="552">
        <f t="shared" si="5982"/>
        <v>0</v>
      </c>
      <c r="ED1238" s="552">
        <f t="shared" si="5982"/>
        <v>0</v>
      </c>
      <c r="EE1238" s="552">
        <f t="shared" si="5982"/>
        <v>0</v>
      </c>
      <c r="EF1238" s="552">
        <f t="shared" si="5982"/>
        <v>0</v>
      </c>
      <c r="EG1238" s="552">
        <f t="shared" si="5982"/>
        <v>0</v>
      </c>
      <c r="EH1238" s="552">
        <f t="shared" ref="EH1238:EX1238" si="5983">EH288*EH$338</f>
        <v>0</v>
      </c>
      <c r="EI1238" s="552">
        <f t="shared" si="5983"/>
        <v>0</v>
      </c>
      <c r="EJ1238" s="552">
        <f t="shared" si="5983"/>
        <v>0</v>
      </c>
      <c r="EK1238" s="552">
        <f t="shared" si="5983"/>
        <v>0</v>
      </c>
      <c r="EL1238" s="552">
        <f t="shared" si="5983"/>
        <v>0</v>
      </c>
      <c r="EM1238" s="552">
        <f t="shared" si="5983"/>
        <v>0</v>
      </c>
      <c r="EN1238" s="552">
        <f t="shared" si="5983"/>
        <v>0</v>
      </c>
      <c r="EO1238" s="552">
        <f t="shared" si="5983"/>
        <v>0</v>
      </c>
      <c r="EP1238" s="552">
        <f t="shared" si="5983"/>
        <v>0</v>
      </c>
      <c r="EQ1238" s="552">
        <f t="shared" si="5983"/>
        <v>0</v>
      </c>
      <c r="ER1238" s="552">
        <f t="shared" si="5983"/>
        <v>0</v>
      </c>
      <c r="ES1238" s="552">
        <f t="shared" si="5983"/>
        <v>0</v>
      </c>
      <c r="ET1238" s="552">
        <f t="shared" si="5983"/>
        <v>0</v>
      </c>
      <c r="EU1238" s="552">
        <f t="shared" si="5983"/>
        <v>0</v>
      </c>
      <c r="EV1238" s="552">
        <f t="shared" si="5983"/>
        <v>0</v>
      </c>
      <c r="EW1238" s="552">
        <f t="shared" si="5983"/>
        <v>0</v>
      </c>
      <c r="EX1238" s="552">
        <f t="shared" si="5983"/>
        <v>0</v>
      </c>
      <c r="EY1238" s="799">
        <f t="shared" si="4577"/>
        <v>0</v>
      </c>
      <c r="EZ1238" s="640"/>
      <c r="FA1238" s="640"/>
      <c r="FB1238" s="640"/>
      <c r="FC1238" s="640"/>
      <c r="FD1238" s="640"/>
      <c r="FE1238" s="640"/>
      <c r="FF1238" s="640"/>
      <c r="FG1238" s="640"/>
      <c r="FH1238" s="640"/>
      <c r="FI1238" s="640"/>
      <c r="FJ1238" s="640"/>
      <c r="FK1238" s="640"/>
      <c r="FL1238" s="640"/>
    </row>
    <row r="1239" spans="1:168" x14ac:dyDescent="0.25">
      <c r="A1239" s="1492"/>
      <c r="B1239" s="624">
        <f t="shared" si="5971"/>
        <v>0</v>
      </c>
      <c r="C1239" s="624">
        <f t="shared" si="5971"/>
        <v>0</v>
      </c>
      <c r="D1239" s="624">
        <f t="shared" si="5971"/>
        <v>0</v>
      </c>
      <c r="E1239" s="1158">
        <f t="shared" si="5978"/>
        <v>0</v>
      </c>
      <c r="F1239" s="1158"/>
      <c r="G1239" s="1140"/>
      <c r="H1239" s="1140"/>
      <c r="I1239" s="552"/>
      <c r="J1239" s="552">
        <f t="shared" ref="J1239:AO1239" si="5984">J289*J$338</f>
        <v>0</v>
      </c>
      <c r="K1239" s="552">
        <f t="shared" si="5984"/>
        <v>0</v>
      </c>
      <c r="L1239" s="552">
        <f t="shared" si="5984"/>
        <v>0</v>
      </c>
      <c r="M1239" s="552">
        <f t="shared" si="5984"/>
        <v>0</v>
      </c>
      <c r="N1239" s="552">
        <f t="shared" si="5984"/>
        <v>0</v>
      </c>
      <c r="O1239" s="552">
        <f t="shared" si="5984"/>
        <v>0</v>
      </c>
      <c r="P1239" s="552">
        <f t="shared" si="5984"/>
        <v>0</v>
      </c>
      <c r="Q1239" s="552">
        <f t="shared" si="5984"/>
        <v>0</v>
      </c>
      <c r="R1239" s="552">
        <f t="shared" si="5984"/>
        <v>0</v>
      </c>
      <c r="S1239" s="552">
        <f t="shared" si="5984"/>
        <v>0</v>
      </c>
      <c r="T1239" s="552">
        <f t="shared" si="5984"/>
        <v>0</v>
      </c>
      <c r="U1239" s="552">
        <f t="shared" si="5984"/>
        <v>0</v>
      </c>
      <c r="V1239" s="552">
        <f t="shared" si="5984"/>
        <v>0</v>
      </c>
      <c r="W1239" s="552">
        <f t="shared" si="5984"/>
        <v>0</v>
      </c>
      <c r="X1239" s="552">
        <f t="shared" si="5984"/>
        <v>0</v>
      </c>
      <c r="Y1239" s="552">
        <f t="shared" si="5984"/>
        <v>0</v>
      </c>
      <c r="Z1239" s="552">
        <f t="shared" si="5984"/>
        <v>0</v>
      </c>
      <c r="AA1239" s="552">
        <f t="shared" si="5984"/>
        <v>0</v>
      </c>
      <c r="AB1239" s="552">
        <f t="shared" si="5984"/>
        <v>0</v>
      </c>
      <c r="AC1239" s="552">
        <f t="shared" si="5984"/>
        <v>0</v>
      </c>
      <c r="AD1239" s="552">
        <f t="shared" si="5984"/>
        <v>0</v>
      </c>
      <c r="AE1239" s="552">
        <f t="shared" si="5984"/>
        <v>0</v>
      </c>
      <c r="AF1239" s="552">
        <f t="shared" si="5984"/>
        <v>0</v>
      </c>
      <c r="AG1239" s="552">
        <f t="shared" si="5984"/>
        <v>0</v>
      </c>
      <c r="AH1239" s="552">
        <f t="shared" si="5984"/>
        <v>0</v>
      </c>
      <c r="AI1239" s="552">
        <f t="shared" si="5984"/>
        <v>0</v>
      </c>
      <c r="AJ1239" s="552">
        <f t="shared" si="5984"/>
        <v>0</v>
      </c>
      <c r="AK1239" s="552">
        <f t="shared" si="5984"/>
        <v>0</v>
      </c>
      <c r="AL1239" s="552">
        <f t="shared" si="5984"/>
        <v>0</v>
      </c>
      <c r="AM1239" s="552">
        <f t="shared" si="5984"/>
        <v>0</v>
      </c>
      <c r="AN1239" s="552">
        <f t="shared" si="5984"/>
        <v>0</v>
      </c>
      <c r="AO1239" s="552">
        <f t="shared" si="5984"/>
        <v>0</v>
      </c>
      <c r="AP1239" s="552">
        <f t="shared" ref="AP1239:BU1239" si="5985">AP289*AP$338</f>
        <v>0</v>
      </c>
      <c r="AQ1239" s="552">
        <f t="shared" si="5985"/>
        <v>0</v>
      </c>
      <c r="AR1239" s="552">
        <f t="shared" si="5985"/>
        <v>0</v>
      </c>
      <c r="AS1239" s="552">
        <f t="shared" si="5985"/>
        <v>0</v>
      </c>
      <c r="AT1239" s="552">
        <f t="shared" si="5985"/>
        <v>0</v>
      </c>
      <c r="AU1239" s="552">
        <f t="shared" si="5985"/>
        <v>0</v>
      </c>
      <c r="AV1239" s="552">
        <f t="shared" si="5985"/>
        <v>0</v>
      </c>
      <c r="AW1239" s="552">
        <f t="shared" si="5985"/>
        <v>0</v>
      </c>
      <c r="AX1239" s="552">
        <f t="shared" si="5985"/>
        <v>0</v>
      </c>
      <c r="AY1239" s="552">
        <f t="shared" si="5985"/>
        <v>0</v>
      </c>
      <c r="AZ1239" s="552">
        <f t="shared" si="5985"/>
        <v>0</v>
      </c>
      <c r="BA1239" s="552">
        <f t="shared" si="5985"/>
        <v>0</v>
      </c>
      <c r="BB1239" s="552">
        <f t="shared" si="5985"/>
        <v>0</v>
      </c>
      <c r="BC1239" s="552">
        <f t="shared" si="5985"/>
        <v>0</v>
      </c>
      <c r="BD1239" s="552">
        <f t="shared" si="5985"/>
        <v>0</v>
      </c>
      <c r="BE1239" s="552">
        <f t="shared" si="5985"/>
        <v>0</v>
      </c>
      <c r="BF1239" s="552">
        <f t="shared" si="5985"/>
        <v>0</v>
      </c>
      <c r="BG1239" s="552">
        <f t="shared" si="5985"/>
        <v>0</v>
      </c>
      <c r="BH1239" s="552">
        <f t="shared" si="5985"/>
        <v>0</v>
      </c>
      <c r="BI1239" s="552">
        <f t="shared" si="5985"/>
        <v>0</v>
      </c>
      <c r="BJ1239" s="552">
        <f t="shared" si="5985"/>
        <v>0</v>
      </c>
      <c r="BK1239" s="552">
        <f t="shared" si="5985"/>
        <v>0</v>
      </c>
      <c r="BL1239" s="552">
        <f t="shared" si="5985"/>
        <v>0</v>
      </c>
      <c r="BM1239" s="552">
        <f t="shared" si="5985"/>
        <v>0</v>
      </c>
      <c r="BN1239" s="552">
        <f t="shared" si="5985"/>
        <v>0</v>
      </c>
      <c r="BO1239" s="552">
        <f t="shared" si="5985"/>
        <v>0</v>
      </c>
      <c r="BP1239" s="552">
        <f t="shared" si="5985"/>
        <v>0</v>
      </c>
      <c r="BQ1239" s="552">
        <f t="shared" si="5985"/>
        <v>0</v>
      </c>
      <c r="BR1239" s="552">
        <f t="shared" si="5985"/>
        <v>0</v>
      </c>
      <c r="BS1239" s="552">
        <f t="shared" si="5985"/>
        <v>0</v>
      </c>
      <c r="BT1239" s="552">
        <f t="shared" si="5985"/>
        <v>0</v>
      </c>
      <c r="BU1239" s="552">
        <f t="shared" si="5985"/>
        <v>0</v>
      </c>
      <c r="BV1239" s="552">
        <f t="shared" ref="BV1239:DA1239" si="5986">BV289*BV$338</f>
        <v>0</v>
      </c>
      <c r="BW1239" s="552">
        <f t="shared" si="5986"/>
        <v>0</v>
      </c>
      <c r="BX1239" s="552">
        <f t="shared" si="5986"/>
        <v>0</v>
      </c>
      <c r="BY1239" s="552">
        <f t="shared" si="5986"/>
        <v>0</v>
      </c>
      <c r="BZ1239" s="552">
        <f t="shared" si="5986"/>
        <v>0</v>
      </c>
      <c r="CA1239" s="552">
        <f t="shared" si="5986"/>
        <v>0</v>
      </c>
      <c r="CB1239" s="552">
        <f t="shared" si="5986"/>
        <v>0</v>
      </c>
      <c r="CC1239" s="552">
        <f t="shared" si="5986"/>
        <v>0</v>
      </c>
      <c r="CD1239" s="552">
        <f t="shared" si="5986"/>
        <v>0</v>
      </c>
      <c r="CE1239" s="552">
        <f t="shared" si="5986"/>
        <v>0</v>
      </c>
      <c r="CF1239" s="552">
        <f t="shared" si="5986"/>
        <v>0</v>
      </c>
      <c r="CG1239" s="552">
        <f t="shared" si="5986"/>
        <v>0</v>
      </c>
      <c r="CH1239" s="552">
        <f t="shared" si="5986"/>
        <v>0</v>
      </c>
      <c r="CI1239" s="552">
        <f t="shared" si="5986"/>
        <v>0</v>
      </c>
      <c r="CJ1239" s="552">
        <f t="shared" si="5986"/>
        <v>0</v>
      </c>
      <c r="CK1239" s="552">
        <f t="shared" si="5986"/>
        <v>0</v>
      </c>
      <c r="CL1239" s="552">
        <f t="shared" si="5986"/>
        <v>0</v>
      </c>
      <c r="CM1239" s="552">
        <f t="shared" si="5986"/>
        <v>0</v>
      </c>
      <c r="CN1239" s="552">
        <f t="shared" si="5986"/>
        <v>0</v>
      </c>
      <c r="CO1239" s="552">
        <f t="shared" si="5986"/>
        <v>0</v>
      </c>
      <c r="CP1239" s="552">
        <f t="shared" si="5986"/>
        <v>0</v>
      </c>
      <c r="CQ1239" s="552">
        <f t="shared" si="5986"/>
        <v>0</v>
      </c>
      <c r="CR1239" s="552">
        <f t="shared" si="5986"/>
        <v>0</v>
      </c>
      <c r="CS1239" s="552">
        <f t="shared" si="5986"/>
        <v>0</v>
      </c>
      <c r="CT1239" s="552">
        <f t="shared" si="5986"/>
        <v>0</v>
      </c>
      <c r="CU1239" s="552">
        <f t="shared" si="5986"/>
        <v>0</v>
      </c>
      <c r="CV1239" s="552">
        <f t="shared" si="5986"/>
        <v>0</v>
      </c>
      <c r="CW1239" s="552">
        <f t="shared" si="5986"/>
        <v>0</v>
      </c>
      <c r="CX1239" s="552">
        <f t="shared" si="5986"/>
        <v>0</v>
      </c>
      <c r="CY1239" s="552">
        <f t="shared" si="5986"/>
        <v>0</v>
      </c>
      <c r="CZ1239" s="552">
        <f t="shared" si="5986"/>
        <v>0</v>
      </c>
      <c r="DA1239" s="552">
        <f t="shared" si="5986"/>
        <v>0</v>
      </c>
      <c r="DB1239" s="552">
        <f t="shared" ref="DB1239:EG1239" si="5987">DB289*DB$338</f>
        <v>0</v>
      </c>
      <c r="DC1239" s="552">
        <f t="shared" si="5987"/>
        <v>0</v>
      </c>
      <c r="DD1239" s="552">
        <f t="shared" si="5987"/>
        <v>0</v>
      </c>
      <c r="DE1239" s="552">
        <f t="shared" si="5987"/>
        <v>0</v>
      </c>
      <c r="DF1239" s="552">
        <f t="shared" si="5987"/>
        <v>0</v>
      </c>
      <c r="DG1239" s="552">
        <f t="shared" si="5987"/>
        <v>0</v>
      </c>
      <c r="DH1239" s="552">
        <f t="shared" si="5987"/>
        <v>0</v>
      </c>
      <c r="DI1239" s="552">
        <f t="shared" si="5987"/>
        <v>0</v>
      </c>
      <c r="DJ1239" s="552">
        <f t="shared" si="5987"/>
        <v>0</v>
      </c>
      <c r="DK1239" s="552">
        <f t="shared" si="5987"/>
        <v>0</v>
      </c>
      <c r="DL1239" s="552">
        <f t="shared" si="5987"/>
        <v>0</v>
      </c>
      <c r="DM1239" s="552">
        <f t="shared" si="5987"/>
        <v>0</v>
      </c>
      <c r="DN1239" s="552">
        <f t="shared" si="5987"/>
        <v>0</v>
      </c>
      <c r="DO1239" s="552">
        <f t="shared" si="5987"/>
        <v>0</v>
      </c>
      <c r="DP1239" s="552">
        <f t="shared" si="5987"/>
        <v>0</v>
      </c>
      <c r="DQ1239" s="552">
        <f t="shared" si="5987"/>
        <v>0</v>
      </c>
      <c r="DR1239" s="552">
        <f t="shared" si="5987"/>
        <v>0</v>
      </c>
      <c r="DS1239" s="552">
        <f t="shared" si="5987"/>
        <v>0</v>
      </c>
      <c r="DT1239" s="552">
        <f t="shared" si="5987"/>
        <v>0</v>
      </c>
      <c r="DU1239" s="552">
        <f t="shared" si="5987"/>
        <v>0</v>
      </c>
      <c r="DV1239" s="552">
        <f t="shared" si="5987"/>
        <v>0</v>
      </c>
      <c r="DW1239" s="552">
        <f t="shared" si="5987"/>
        <v>0</v>
      </c>
      <c r="DX1239" s="552">
        <f t="shared" si="5987"/>
        <v>0</v>
      </c>
      <c r="DY1239" s="552">
        <f t="shared" si="5987"/>
        <v>0</v>
      </c>
      <c r="DZ1239" s="552">
        <f t="shared" si="5987"/>
        <v>0</v>
      </c>
      <c r="EA1239" s="552">
        <f t="shared" si="5987"/>
        <v>0</v>
      </c>
      <c r="EB1239" s="552">
        <f t="shared" si="5987"/>
        <v>0</v>
      </c>
      <c r="EC1239" s="552">
        <f t="shared" si="5987"/>
        <v>0</v>
      </c>
      <c r="ED1239" s="552">
        <f t="shared" si="5987"/>
        <v>0</v>
      </c>
      <c r="EE1239" s="552">
        <f t="shared" si="5987"/>
        <v>0</v>
      </c>
      <c r="EF1239" s="552">
        <f t="shared" si="5987"/>
        <v>0</v>
      </c>
      <c r="EG1239" s="552">
        <f t="shared" si="5987"/>
        <v>0</v>
      </c>
      <c r="EH1239" s="552">
        <f t="shared" ref="EH1239:EX1239" si="5988">EH289*EH$338</f>
        <v>0</v>
      </c>
      <c r="EI1239" s="552">
        <f t="shared" si="5988"/>
        <v>0</v>
      </c>
      <c r="EJ1239" s="552">
        <f t="shared" si="5988"/>
        <v>0</v>
      </c>
      <c r="EK1239" s="552">
        <f t="shared" si="5988"/>
        <v>0</v>
      </c>
      <c r="EL1239" s="552">
        <f t="shared" si="5988"/>
        <v>0</v>
      </c>
      <c r="EM1239" s="552">
        <f t="shared" si="5988"/>
        <v>0</v>
      </c>
      <c r="EN1239" s="552">
        <f t="shared" si="5988"/>
        <v>0</v>
      </c>
      <c r="EO1239" s="552">
        <f t="shared" si="5988"/>
        <v>0</v>
      </c>
      <c r="EP1239" s="552">
        <f t="shared" si="5988"/>
        <v>0</v>
      </c>
      <c r="EQ1239" s="552">
        <f t="shared" si="5988"/>
        <v>0</v>
      </c>
      <c r="ER1239" s="552">
        <f t="shared" si="5988"/>
        <v>0</v>
      </c>
      <c r="ES1239" s="552">
        <f t="shared" si="5988"/>
        <v>0</v>
      </c>
      <c r="ET1239" s="552">
        <f t="shared" si="5988"/>
        <v>0</v>
      </c>
      <c r="EU1239" s="552">
        <f t="shared" si="5988"/>
        <v>0</v>
      </c>
      <c r="EV1239" s="552">
        <f t="shared" si="5988"/>
        <v>0</v>
      </c>
      <c r="EW1239" s="552">
        <f t="shared" si="5988"/>
        <v>0</v>
      </c>
      <c r="EX1239" s="552">
        <f t="shared" si="5988"/>
        <v>0</v>
      </c>
      <c r="EY1239" s="799">
        <f t="shared" si="4577"/>
        <v>0</v>
      </c>
      <c r="EZ1239" s="640"/>
      <c r="FA1239" s="640"/>
      <c r="FB1239" s="640"/>
      <c r="FC1239" s="640"/>
      <c r="FD1239" s="640"/>
      <c r="FE1239" s="640"/>
      <c r="FF1239" s="640"/>
      <c r="FG1239" s="640"/>
      <c r="FH1239" s="640"/>
      <c r="FI1239" s="640"/>
      <c r="FJ1239" s="640"/>
      <c r="FK1239" s="640"/>
      <c r="FL1239" s="640"/>
    </row>
    <row r="1240" spans="1:168" x14ac:dyDescent="0.25">
      <c r="A1240" s="1492"/>
      <c r="B1240" s="624">
        <f t="shared" si="5971"/>
        <v>0</v>
      </c>
      <c r="C1240" s="624">
        <f t="shared" si="5971"/>
        <v>0</v>
      </c>
      <c r="D1240" s="624">
        <f t="shared" si="5971"/>
        <v>0</v>
      </c>
      <c r="E1240" s="1158">
        <f t="shared" si="5978"/>
        <v>0</v>
      </c>
      <c r="F1240" s="1158"/>
      <c r="G1240" s="1140"/>
      <c r="H1240" s="1140"/>
      <c r="I1240" s="552"/>
      <c r="J1240" s="552">
        <f t="shared" ref="J1240:AO1240" si="5989">J290*J$338</f>
        <v>0</v>
      </c>
      <c r="K1240" s="552">
        <f t="shared" si="5989"/>
        <v>0</v>
      </c>
      <c r="L1240" s="552">
        <f t="shared" si="5989"/>
        <v>0</v>
      </c>
      <c r="M1240" s="552">
        <f t="shared" si="5989"/>
        <v>0</v>
      </c>
      <c r="N1240" s="552">
        <f t="shared" si="5989"/>
        <v>0</v>
      </c>
      <c r="O1240" s="552">
        <f t="shared" si="5989"/>
        <v>0</v>
      </c>
      <c r="P1240" s="552">
        <f t="shared" si="5989"/>
        <v>0</v>
      </c>
      <c r="Q1240" s="552">
        <f t="shared" si="5989"/>
        <v>0</v>
      </c>
      <c r="R1240" s="552">
        <f t="shared" si="5989"/>
        <v>0</v>
      </c>
      <c r="S1240" s="552">
        <f t="shared" si="5989"/>
        <v>0</v>
      </c>
      <c r="T1240" s="552">
        <f t="shared" si="5989"/>
        <v>0</v>
      </c>
      <c r="U1240" s="552">
        <f t="shared" si="5989"/>
        <v>0</v>
      </c>
      <c r="V1240" s="552">
        <f t="shared" si="5989"/>
        <v>0</v>
      </c>
      <c r="W1240" s="552">
        <f t="shared" si="5989"/>
        <v>0</v>
      </c>
      <c r="X1240" s="552">
        <f t="shared" si="5989"/>
        <v>0</v>
      </c>
      <c r="Y1240" s="552">
        <f t="shared" si="5989"/>
        <v>0</v>
      </c>
      <c r="Z1240" s="552">
        <f t="shared" si="5989"/>
        <v>0</v>
      </c>
      <c r="AA1240" s="552">
        <f t="shared" si="5989"/>
        <v>0</v>
      </c>
      <c r="AB1240" s="552">
        <f t="shared" si="5989"/>
        <v>0</v>
      </c>
      <c r="AC1240" s="552">
        <f t="shared" si="5989"/>
        <v>0</v>
      </c>
      <c r="AD1240" s="552">
        <f t="shared" si="5989"/>
        <v>0</v>
      </c>
      <c r="AE1240" s="552">
        <f t="shared" si="5989"/>
        <v>0</v>
      </c>
      <c r="AF1240" s="552">
        <f t="shared" si="5989"/>
        <v>0</v>
      </c>
      <c r="AG1240" s="552">
        <f t="shared" si="5989"/>
        <v>0</v>
      </c>
      <c r="AH1240" s="552">
        <f t="shared" si="5989"/>
        <v>0</v>
      </c>
      <c r="AI1240" s="552">
        <f t="shared" si="5989"/>
        <v>0</v>
      </c>
      <c r="AJ1240" s="552">
        <f t="shared" si="5989"/>
        <v>0</v>
      </c>
      <c r="AK1240" s="552">
        <f t="shared" si="5989"/>
        <v>0</v>
      </c>
      <c r="AL1240" s="552">
        <f t="shared" si="5989"/>
        <v>0</v>
      </c>
      <c r="AM1240" s="552">
        <f t="shared" si="5989"/>
        <v>0</v>
      </c>
      <c r="AN1240" s="552">
        <f t="shared" si="5989"/>
        <v>0</v>
      </c>
      <c r="AO1240" s="552">
        <f t="shared" si="5989"/>
        <v>0</v>
      </c>
      <c r="AP1240" s="552">
        <f t="shared" ref="AP1240:BU1240" si="5990">AP290*AP$338</f>
        <v>0</v>
      </c>
      <c r="AQ1240" s="552">
        <f t="shared" si="5990"/>
        <v>0</v>
      </c>
      <c r="AR1240" s="552">
        <f t="shared" si="5990"/>
        <v>0</v>
      </c>
      <c r="AS1240" s="552">
        <f t="shared" si="5990"/>
        <v>0</v>
      </c>
      <c r="AT1240" s="552">
        <f t="shared" si="5990"/>
        <v>0</v>
      </c>
      <c r="AU1240" s="552">
        <f t="shared" si="5990"/>
        <v>0</v>
      </c>
      <c r="AV1240" s="552">
        <f t="shared" si="5990"/>
        <v>0</v>
      </c>
      <c r="AW1240" s="552">
        <f t="shared" si="5990"/>
        <v>0</v>
      </c>
      <c r="AX1240" s="552">
        <f t="shared" si="5990"/>
        <v>0</v>
      </c>
      <c r="AY1240" s="552">
        <f t="shared" si="5990"/>
        <v>0</v>
      </c>
      <c r="AZ1240" s="552">
        <f t="shared" si="5990"/>
        <v>0</v>
      </c>
      <c r="BA1240" s="552">
        <f t="shared" si="5990"/>
        <v>0</v>
      </c>
      <c r="BB1240" s="552">
        <f t="shared" si="5990"/>
        <v>0</v>
      </c>
      <c r="BC1240" s="552">
        <f t="shared" si="5990"/>
        <v>0</v>
      </c>
      <c r="BD1240" s="552">
        <f t="shared" si="5990"/>
        <v>0</v>
      </c>
      <c r="BE1240" s="552">
        <f t="shared" si="5990"/>
        <v>0</v>
      </c>
      <c r="BF1240" s="552">
        <f t="shared" si="5990"/>
        <v>0</v>
      </c>
      <c r="BG1240" s="552">
        <f t="shared" si="5990"/>
        <v>0</v>
      </c>
      <c r="BH1240" s="552">
        <f t="shared" si="5990"/>
        <v>0</v>
      </c>
      <c r="BI1240" s="552">
        <f t="shared" si="5990"/>
        <v>0</v>
      </c>
      <c r="BJ1240" s="552">
        <f t="shared" si="5990"/>
        <v>0</v>
      </c>
      <c r="BK1240" s="552">
        <f t="shared" si="5990"/>
        <v>0</v>
      </c>
      <c r="BL1240" s="552">
        <f t="shared" si="5990"/>
        <v>0</v>
      </c>
      <c r="BM1240" s="552">
        <f t="shared" si="5990"/>
        <v>0</v>
      </c>
      <c r="BN1240" s="552">
        <f t="shared" si="5990"/>
        <v>0</v>
      </c>
      <c r="BO1240" s="552">
        <f t="shared" si="5990"/>
        <v>0</v>
      </c>
      <c r="BP1240" s="552">
        <f t="shared" si="5990"/>
        <v>0</v>
      </c>
      <c r="BQ1240" s="552">
        <f t="shared" si="5990"/>
        <v>0</v>
      </c>
      <c r="BR1240" s="552">
        <f t="shared" si="5990"/>
        <v>0</v>
      </c>
      <c r="BS1240" s="552">
        <f t="shared" si="5990"/>
        <v>0</v>
      </c>
      <c r="BT1240" s="552">
        <f t="shared" si="5990"/>
        <v>0</v>
      </c>
      <c r="BU1240" s="552">
        <f t="shared" si="5990"/>
        <v>0</v>
      </c>
      <c r="BV1240" s="552">
        <f t="shared" ref="BV1240:DA1240" si="5991">BV290*BV$338</f>
        <v>0</v>
      </c>
      <c r="BW1240" s="552">
        <f t="shared" si="5991"/>
        <v>0</v>
      </c>
      <c r="BX1240" s="552">
        <f t="shared" si="5991"/>
        <v>0</v>
      </c>
      <c r="BY1240" s="552">
        <f t="shared" si="5991"/>
        <v>0</v>
      </c>
      <c r="BZ1240" s="552">
        <f t="shared" si="5991"/>
        <v>0</v>
      </c>
      <c r="CA1240" s="552">
        <f t="shared" si="5991"/>
        <v>0</v>
      </c>
      <c r="CB1240" s="552">
        <f t="shared" si="5991"/>
        <v>0</v>
      </c>
      <c r="CC1240" s="552">
        <f t="shared" si="5991"/>
        <v>0</v>
      </c>
      <c r="CD1240" s="552">
        <f t="shared" si="5991"/>
        <v>0</v>
      </c>
      <c r="CE1240" s="552">
        <f t="shared" si="5991"/>
        <v>0</v>
      </c>
      <c r="CF1240" s="552">
        <f t="shared" si="5991"/>
        <v>0</v>
      </c>
      <c r="CG1240" s="552">
        <f t="shared" si="5991"/>
        <v>0</v>
      </c>
      <c r="CH1240" s="552">
        <f t="shared" si="5991"/>
        <v>0</v>
      </c>
      <c r="CI1240" s="552">
        <f t="shared" si="5991"/>
        <v>0</v>
      </c>
      <c r="CJ1240" s="552">
        <f t="shared" si="5991"/>
        <v>0</v>
      </c>
      <c r="CK1240" s="552">
        <f t="shared" si="5991"/>
        <v>0</v>
      </c>
      <c r="CL1240" s="552">
        <f t="shared" si="5991"/>
        <v>0</v>
      </c>
      <c r="CM1240" s="552">
        <f t="shared" si="5991"/>
        <v>0</v>
      </c>
      <c r="CN1240" s="552">
        <f t="shared" si="5991"/>
        <v>0</v>
      </c>
      <c r="CO1240" s="552">
        <f t="shared" si="5991"/>
        <v>0</v>
      </c>
      <c r="CP1240" s="552">
        <f t="shared" si="5991"/>
        <v>0</v>
      </c>
      <c r="CQ1240" s="552">
        <f t="shared" si="5991"/>
        <v>0</v>
      </c>
      <c r="CR1240" s="552">
        <f t="shared" si="5991"/>
        <v>0</v>
      </c>
      <c r="CS1240" s="552">
        <f t="shared" si="5991"/>
        <v>0</v>
      </c>
      <c r="CT1240" s="552">
        <f t="shared" si="5991"/>
        <v>0</v>
      </c>
      <c r="CU1240" s="552">
        <f t="shared" si="5991"/>
        <v>0</v>
      </c>
      <c r="CV1240" s="552">
        <f t="shared" si="5991"/>
        <v>0</v>
      </c>
      <c r="CW1240" s="552">
        <f t="shared" si="5991"/>
        <v>0</v>
      </c>
      <c r="CX1240" s="552">
        <f t="shared" si="5991"/>
        <v>0</v>
      </c>
      <c r="CY1240" s="552">
        <f t="shared" si="5991"/>
        <v>0</v>
      </c>
      <c r="CZ1240" s="552">
        <f t="shared" si="5991"/>
        <v>0</v>
      </c>
      <c r="DA1240" s="552">
        <f t="shared" si="5991"/>
        <v>0</v>
      </c>
      <c r="DB1240" s="552">
        <f t="shared" ref="DB1240:EG1240" si="5992">DB290*DB$338</f>
        <v>0</v>
      </c>
      <c r="DC1240" s="552">
        <f t="shared" si="5992"/>
        <v>0</v>
      </c>
      <c r="DD1240" s="552">
        <f t="shared" si="5992"/>
        <v>0</v>
      </c>
      <c r="DE1240" s="552">
        <f t="shared" si="5992"/>
        <v>0</v>
      </c>
      <c r="DF1240" s="552">
        <f t="shared" si="5992"/>
        <v>0</v>
      </c>
      <c r="DG1240" s="552">
        <f t="shared" si="5992"/>
        <v>0</v>
      </c>
      <c r="DH1240" s="552">
        <f t="shared" si="5992"/>
        <v>0</v>
      </c>
      <c r="DI1240" s="552">
        <f t="shared" si="5992"/>
        <v>0</v>
      </c>
      <c r="DJ1240" s="552">
        <f t="shared" si="5992"/>
        <v>0</v>
      </c>
      <c r="DK1240" s="552">
        <f t="shared" si="5992"/>
        <v>0</v>
      </c>
      <c r="DL1240" s="552">
        <f t="shared" si="5992"/>
        <v>0</v>
      </c>
      <c r="DM1240" s="552">
        <f t="shared" si="5992"/>
        <v>0</v>
      </c>
      <c r="DN1240" s="552">
        <f t="shared" si="5992"/>
        <v>0</v>
      </c>
      <c r="DO1240" s="552">
        <f t="shared" si="5992"/>
        <v>0</v>
      </c>
      <c r="DP1240" s="552">
        <f t="shared" si="5992"/>
        <v>0</v>
      </c>
      <c r="DQ1240" s="552">
        <f t="shared" si="5992"/>
        <v>0</v>
      </c>
      <c r="DR1240" s="552">
        <f t="shared" si="5992"/>
        <v>0</v>
      </c>
      <c r="DS1240" s="552">
        <f t="shared" si="5992"/>
        <v>0</v>
      </c>
      <c r="DT1240" s="552">
        <f t="shared" si="5992"/>
        <v>0</v>
      </c>
      <c r="DU1240" s="552">
        <f t="shared" si="5992"/>
        <v>0</v>
      </c>
      <c r="DV1240" s="552">
        <f t="shared" si="5992"/>
        <v>0</v>
      </c>
      <c r="DW1240" s="552">
        <f t="shared" si="5992"/>
        <v>0</v>
      </c>
      <c r="DX1240" s="552">
        <f t="shared" si="5992"/>
        <v>0</v>
      </c>
      <c r="DY1240" s="552">
        <f t="shared" si="5992"/>
        <v>0</v>
      </c>
      <c r="DZ1240" s="552">
        <f t="shared" si="5992"/>
        <v>0</v>
      </c>
      <c r="EA1240" s="552">
        <f t="shared" si="5992"/>
        <v>0</v>
      </c>
      <c r="EB1240" s="552">
        <f t="shared" si="5992"/>
        <v>0</v>
      </c>
      <c r="EC1240" s="552">
        <f t="shared" si="5992"/>
        <v>0</v>
      </c>
      <c r="ED1240" s="552">
        <f t="shared" si="5992"/>
        <v>0</v>
      </c>
      <c r="EE1240" s="552">
        <f t="shared" si="5992"/>
        <v>0</v>
      </c>
      <c r="EF1240" s="552">
        <f t="shared" si="5992"/>
        <v>0</v>
      </c>
      <c r="EG1240" s="552">
        <f t="shared" si="5992"/>
        <v>0</v>
      </c>
      <c r="EH1240" s="552">
        <f t="shared" ref="EH1240:EX1240" si="5993">EH290*EH$338</f>
        <v>0</v>
      </c>
      <c r="EI1240" s="552">
        <f t="shared" si="5993"/>
        <v>0</v>
      </c>
      <c r="EJ1240" s="552">
        <f t="shared" si="5993"/>
        <v>0</v>
      </c>
      <c r="EK1240" s="552">
        <f t="shared" si="5993"/>
        <v>0</v>
      </c>
      <c r="EL1240" s="552">
        <f t="shared" si="5993"/>
        <v>0</v>
      </c>
      <c r="EM1240" s="552">
        <f t="shared" si="5993"/>
        <v>0</v>
      </c>
      <c r="EN1240" s="552">
        <f t="shared" si="5993"/>
        <v>0</v>
      </c>
      <c r="EO1240" s="552">
        <f t="shared" si="5993"/>
        <v>0</v>
      </c>
      <c r="EP1240" s="552">
        <f t="shared" si="5993"/>
        <v>0</v>
      </c>
      <c r="EQ1240" s="552">
        <f t="shared" si="5993"/>
        <v>0</v>
      </c>
      <c r="ER1240" s="552">
        <f t="shared" si="5993"/>
        <v>0</v>
      </c>
      <c r="ES1240" s="552">
        <f t="shared" si="5993"/>
        <v>0</v>
      </c>
      <c r="ET1240" s="552">
        <f t="shared" si="5993"/>
        <v>0</v>
      </c>
      <c r="EU1240" s="552">
        <f t="shared" si="5993"/>
        <v>0</v>
      </c>
      <c r="EV1240" s="552">
        <f t="shared" si="5993"/>
        <v>0</v>
      </c>
      <c r="EW1240" s="552">
        <f t="shared" si="5993"/>
        <v>0</v>
      </c>
      <c r="EX1240" s="552">
        <f t="shared" si="5993"/>
        <v>0</v>
      </c>
      <c r="EY1240" s="799">
        <f t="shared" si="4577"/>
        <v>0</v>
      </c>
      <c r="EZ1240" s="640"/>
      <c r="FA1240" s="640"/>
      <c r="FB1240" s="640"/>
      <c r="FC1240" s="640"/>
      <c r="FD1240" s="640"/>
      <c r="FE1240" s="640"/>
      <c r="FF1240" s="640"/>
      <c r="FG1240" s="640"/>
      <c r="FH1240" s="640"/>
      <c r="FI1240" s="640"/>
      <c r="FJ1240" s="640"/>
      <c r="FK1240" s="640"/>
      <c r="FL1240" s="640"/>
    </row>
    <row r="1241" spans="1:168" x14ac:dyDescent="0.25">
      <c r="A1241" s="1492"/>
      <c r="B1241" s="624">
        <f t="shared" si="5971"/>
        <v>0</v>
      </c>
      <c r="C1241" s="624">
        <f t="shared" si="5971"/>
        <v>0</v>
      </c>
      <c r="D1241" s="624">
        <f t="shared" si="5971"/>
        <v>0</v>
      </c>
      <c r="E1241" s="1158">
        <f t="shared" si="5978"/>
        <v>0</v>
      </c>
      <c r="F1241" s="1158"/>
      <c r="G1241" s="1140"/>
      <c r="H1241" s="1140"/>
      <c r="I1241" s="552"/>
      <c r="J1241" s="552">
        <f t="shared" ref="J1241:AO1241" si="5994">J291*J$338</f>
        <v>0</v>
      </c>
      <c r="K1241" s="552">
        <f t="shared" si="5994"/>
        <v>0</v>
      </c>
      <c r="L1241" s="552">
        <f t="shared" si="5994"/>
        <v>0</v>
      </c>
      <c r="M1241" s="552">
        <f t="shared" si="5994"/>
        <v>0</v>
      </c>
      <c r="N1241" s="552">
        <f t="shared" si="5994"/>
        <v>0</v>
      </c>
      <c r="O1241" s="552">
        <f t="shared" si="5994"/>
        <v>0</v>
      </c>
      <c r="P1241" s="552">
        <f t="shared" si="5994"/>
        <v>0</v>
      </c>
      <c r="Q1241" s="552">
        <f t="shared" si="5994"/>
        <v>0</v>
      </c>
      <c r="R1241" s="552">
        <f t="shared" si="5994"/>
        <v>0</v>
      </c>
      <c r="S1241" s="552">
        <f t="shared" si="5994"/>
        <v>0</v>
      </c>
      <c r="T1241" s="552">
        <f t="shared" si="5994"/>
        <v>0</v>
      </c>
      <c r="U1241" s="552">
        <f t="shared" si="5994"/>
        <v>0</v>
      </c>
      <c r="V1241" s="552">
        <f t="shared" si="5994"/>
        <v>0</v>
      </c>
      <c r="W1241" s="552">
        <f t="shared" si="5994"/>
        <v>0</v>
      </c>
      <c r="X1241" s="552">
        <f t="shared" si="5994"/>
        <v>0</v>
      </c>
      <c r="Y1241" s="552">
        <f t="shared" si="5994"/>
        <v>0</v>
      </c>
      <c r="Z1241" s="552">
        <f t="shared" si="5994"/>
        <v>0</v>
      </c>
      <c r="AA1241" s="552">
        <f t="shared" si="5994"/>
        <v>0</v>
      </c>
      <c r="AB1241" s="552">
        <f t="shared" si="5994"/>
        <v>0</v>
      </c>
      <c r="AC1241" s="552">
        <f t="shared" si="5994"/>
        <v>0</v>
      </c>
      <c r="AD1241" s="552">
        <f t="shared" si="5994"/>
        <v>0</v>
      </c>
      <c r="AE1241" s="552">
        <f t="shared" si="5994"/>
        <v>0</v>
      </c>
      <c r="AF1241" s="552">
        <f t="shared" si="5994"/>
        <v>0</v>
      </c>
      <c r="AG1241" s="552">
        <f t="shared" si="5994"/>
        <v>0</v>
      </c>
      <c r="AH1241" s="552">
        <f t="shared" si="5994"/>
        <v>0</v>
      </c>
      <c r="AI1241" s="552">
        <f t="shared" si="5994"/>
        <v>0</v>
      </c>
      <c r="AJ1241" s="552">
        <f t="shared" si="5994"/>
        <v>0</v>
      </c>
      <c r="AK1241" s="552">
        <f t="shared" si="5994"/>
        <v>0</v>
      </c>
      <c r="AL1241" s="552">
        <f t="shared" si="5994"/>
        <v>0</v>
      </c>
      <c r="AM1241" s="552">
        <f t="shared" si="5994"/>
        <v>0</v>
      </c>
      <c r="AN1241" s="552">
        <f t="shared" si="5994"/>
        <v>0</v>
      </c>
      <c r="AO1241" s="552">
        <f t="shared" si="5994"/>
        <v>0</v>
      </c>
      <c r="AP1241" s="552">
        <f t="shared" ref="AP1241:BU1241" si="5995">AP291*AP$338</f>
        <v>0</v>
      </c>
      <c r="AQ1241" s="552">
        <f t="shared" si="5995"/>
        <v>0</v>
      </c>
      <c r="AR1241" s="552">
        <f t="shared" si="5995"/>
        <v>0</v>
      </c>
      <c r="AS1241" s="552">
        <f t="shared" si="5995"/>
        <v>0</v>
      </c>
      <c r="AT1241" s="552">
        <f t="shared" si="5995"/>
        <v>0</v>
      </c>
      <c r="AU1241" s="552">
        <f t="shared" si="5995"/>
        <v>0</v>
      </c>
      <c r="AV1241" s="552">
        <f t="shared" si="5995"/>
        <v>0</v>
      </c>
      <c r="AW1241" s="552">
        <f t="shared" si="5995"/>
        <v>0</v>
      </c>
      <c r="AX1241" s="552">
        <f t="shared" si="5995"/>
        <v>0</v>
      </c>
      <c r="AY1241" s="552">
        <f t="shared" si="5995"/>
        <v>0</v>
      </c>
      <c r="AZ1241" s="552">
        <f t="shared" si="5995"/>
        <v>0</v>
      </c>
      <c r="BA1241" s="552">
        <f t="shared" si="5995"/>
        <v>0</v>
      </c>
      <c r="BB1241" s="552">
        <f t="shared" si="5995"/>
        <v>0</v>
      </c>
      <c r="BC1241" s="552">
        <f t="shared" si="5995"/>
        <v>0</v>
      </c>
      <c r="BD1241" s="552">
        <f t="shared" si="5995"/>
        <v>0</v>
      </c>
      <c r="BE1241" s="552">
        <f t="shared" si="5995"/>
        <v>0</v>
      </c>
      <c r="BF1241" s="552">
        <f t="shared" si="5995"/>
        <v>0</v>
      </c>
      <c r="BG1241" s="552">
        <f t="shared" si="5995"/>
        <v>0</v>
      </c>
      <c r="BH1241" s="552">
        <f t="shared" si="5995"/>
        <v>0</v>
      </c>
      <c r="BI1241" s="552">
        <f t="shared" si="5995"/>
        <v>0</v>
      </c>
      <c r="BJ1241" s="552">
        <f t="shared" si="5995"/>
        <v>0</v>
      </c>
      <c r="BK1241" s="552">
        <f t="shared" si="5995"/>
        <v>0</v>
      </c>
      <c r="BL1241" s="552">
        <f t="shared" si="5995"/>
        <v>0</v>
      </c>
      <c r="BM1241" s="552">
        <f t="shared" si="5995"/>
        <v>0</v>
      </c>
      <c r="BN1241" s="552">
        <f t="shared" si="5995"/>
        <v>0</v>
      </c>
      <c r="BO1241" s="552">
        <f t="shared" si="5995"/>
        <v>0</v>
      </c>
      <c r="BP1241" s="552">
        <f t="shared" si="5995"/>
        <v>0</v>
      </c>
      <c r="BQ1241" s="552">
        <f t="shared" si="5995"/>
        <v>0</v>
      </c>
      <c r="BR1241" s="552">
        <f t="shared" si="5995"/>
        <v>0</v>
      </c>
      <c r="BS1241" s="552">
        <f t="shared" si="5995"/>
        <v>0</v>
      </c>
      <c r="BT1241" s="552">
        <f t="shared" si="5995"/>
        <v>0</v>
      </c>
      <c r="BU1241" s="552">
        <f t="shared" si="5995"/>
        <v>0</v>
      </c>
      <c r="BV1241" s="552">
        <f t="shared" ref="BV1241:DA1241" si="5996">BV291*BV$338</f>
        <v>0</v>
      </c>
      <c r="BW1241" s="552">
        <f t="shared" si="5996"/>
        <v>0</v>
      </c>
      <c r="BX1241" s="552">
        <f t="shared" si="5996"/>
        <v>0</v>
      </c>
      <c r="BY1241" s="552">
        <f t="shared" si="5996"/>
        <v>0</v>
      </c>
      <c r="BZ1241" s="552">
        <f t="shared" si="5996"/>
        <v>0</v>
      </c>
      <c r="CA1241" s="552">
        <f t="shared" si="5996"/>
        <v>0</v>
      </c>
      <c r="CB1241" s="552">
        <f t="shared" si="5996"/>
        <v>0</v>
      </c>
      <c r="CC1241" s="552">
        <f t="shared" si="5996"/>
        <v>0</v>
      </c>
      <c r="CD1241" s="552">
        <f t="shared" si="5996"/>
        <v>0</v>
      </c>
      <c r="CE1241" s="552">
        <f t="shared" si="5996"/>
        <v>0</v>
      </c>
      <c r="CF1241" s="552">
        <f t="shared" si="5996"/>
        <v>0</v>
      </c>
      <c r="CG1241" s="552">
        <f t="shared" si="5996"/>
        <v>0</v>
      </c>
      <c r="CH1241" s="552">
        <f t="shared" si="5996"/>
        <v>0</v>
      </c>
      <c r="CI1241" s="552">
        <f t="shared" si="5996"/>
        <v>0</v>
      </c>
      <c r="CJ1241" s="552">
        <f t="shared" si="5996"/>
        <v>0</v>
      </c>
      <c r="CK1241" s="552">
        <f t="shared" si="5996"/>
        <v>0</v>
      </c>
      <c r="CL1241" s="552">
        <f t="shared" si="5996"/>
        <v>0</v>
      </c>
      <c r="CM1241" s="552">
        <f t="shared" si="5996"/>
        <v>0</v>
      </c>
      <c r="CN1241" s="552">
        <f t="shared" si="5996"/>
        <v>0</v>
      </c>
      <c r="CO1241" s="552">
        <f t="shared" si="5996"/>
        <v>0</v>
      </c>
      <c r="CP1241" s="552">
        <f t="shared" si="5996"/>
        <v>0</v>
      </c>
      <c r="CQ1241" s="552">
        <f t="shared" si="5996"/>
        <v>0</v>
      </c>
      <c r="CR1241" s="552">
        <f t="shared" si="5996"/>
        <v>0</v>
      </c>
      <c r="CS1241" s="552">
        <f t="shared" si="5996"/>
        <v>0</v>
      </c>
      <c r="CT1241" s="552">
        <f t="shared" si="5996"/>
        <v>0</v>
      </c>
      <c r="CU1241" s="552">
        <f t="shared" si="5996"/>
        <v>0</v>
      </c>
      <c r="CV1241" s="552">
        <f t="shared" si="5996"/>
        <v>0</v>
      </c>
      <c r="CW1241" s="552">
        <f t="shared" si="5996"/>
        <v>0</v>
      </c>
      <c r="CX1241" s="552">
        <f t="shared" si="5996"/>
        <v>0</v>
      </c>
      <c r="CY1241" s="552">
        <f t="shared" si="5996"/>
        <v>0</v>
      </c>
      <c r="CZ1241" s="552">
        <f t="shared" si="5996"/>
        <v>0</v>
      </c>
      <c r="DA1241" s="552">
        <f t="shared" si="5996"/>
        <v>0</v>
      </c>
      <c r="DB1241" s="552">
        <f t="shared" ref="DB1241:EG1241" si="5997">DB291*DB$338</f>
        <v>0</v>
      </c>
      <c r="DC1241" s="552">
        <f t="shared" si="5997"/>
        <v>0</v>
      </c>
      <c r="DD1241" s="552">
        <f t="shared" si="5997"/>
        <v>0</v>
      </c>
      <c r="DE1241" s="552">
        <f t="shared" si="5997"/>
        <v>0</v>
      </c>
      <c r="DF1241" s="552">
        <f t="shared" si="5997"/>
        <v>0</v>
      </c>
      <c r="DG1241" s="552">
        <f t="shared" si="5997"/>
        <v>0</v>
      </c>
      <c r="DH1241" s="552">
        <f t="shared" si="5997"/>
        <v>0</v>
      </c>
      <c r="DI1241" s="552">
        <f t="shared" si="5997"/>
        <v>0</v>
      </c>
      <c r="DJ1241" s="552">
        <f t="shared" si="5997"/>
        <v>0</v>
      </c>
      <c r="DK1241" s="552">
        <f t="shared" si="5997"/>
        <v>0</v>
      </c>
      <c r="DL1241" s="552">
        <f t="shared" si="5997"/>
        <v>0</v>
      </c>
      <c r="DM1241" s="552">
        <f t="shared" si="5997"/>
        <v>0</v>
      </c>
      <c r="DN1241" s="552">
        <f t="shared" si="5997"/>
        <v>0</v>
      </c>
      <c r="DO1241" s="552">
        <f t="shared" si="5997"/>
        <v>0</v>
      </c>
      <c r="DP1241" s="552">
        <f t="shared" si="5997"/>
        <v>0</v>
      </c>
      <c r="DQ1241" s="552">
        <f t="shared" si="5997"/>
        <v>0</v>
      </c>
      <c r="DR1241" s="552">
        <f t="shared" si="5997"/>
        <v>0</v>
      </c>
      <c r="DS1241" s="552">
        <f t="shared" si="5997"/>
        <v>0</v>
      </c>
      <c r="DT1241" s="552">
        <f t="shared" si="5997"/>
        <v>0</v>
      </c>
      <c r="DU1241" s="552">
        <f t="shared" si="5997"/>
        <v>0</v>
      </c>
      <c r="DV1241" s="552">
        <f t="shared" si="5997"/>
        <v>0</v>
      </c>
      <c r="DW1241" s="552">
        <f t="shared" si="5997"/>
        <v>0</v>
      </c>
      <c r="DX1241" s="552">
        <f t="shared" si="5997"/>
        <v>0</v>
      </c>
      <c r="DY1241" s="552">
        <f t="shared" si="5997"/>
        <v>0</v>
      </c>
      <c r="DZ1241" s="552">
        <f t="shared" si="5997"/>
        <v>0</v>
      </c>
      <c r="EA1241" s="552">
        <f t="shared" si="5997"/>
        <v>0</v>
      </c>
      <c r="EB1241" s="552">
        <f t="shared" si="5997"/>
        <v>0</v>
      </c>
      <c r="EC1241" s="552">
        <f t="shared" si="5997"/>
        <v>0</v>
      </c>
      <c r="ED1241" s="552">
        <f t="shared" si="5997"/>
        <v>0</v>
      </c>
      <c r="EE1241" s="552">
        <f t="shared" si="5997"/>
        <v>0</v>
      </c>
      <c r="EF1241" s="552">
        <f t="shared" si="5997"/>
        <v>0</v>
      </c>
      <c r="EG1241" s="552">
        <f t="shared" si="5997"/>
        <v>0</v>
      </c>
      <c r="EH1241" s="552">
        <f t="shared" ref="EH1241:EX1241" si="5998">EH291*EH$338</f>
        <v>0</v>
      </c>
      <c r="EI1241" s="552">
        <f t="shared" si="5998"/>
        <v>0</v>
      </c>
      <c r="EJ1241" s="552">
        <f t="shared" si="5998"/>
        <v>0</v>
      </c>
      <c r="EK1241" s="552">
        <f t="shared" si="5998"/>
        <v>0</v>
      </c>
      <c r="EL1241" s="552">
        <f t="shared" si="5998"/>
        <v>0</v>
      </c>
      <c r="EM1241" s="552">
        <f t="shared" si="5998"/>
        <v>0</v>
      </c>
      <c r="EN1241" s="552">
        <f t="shared" si="5998"/>
        <v>0</v>
      </c>
      <c r="EO1241" s="552">
        <f t="shared" si="5998"/>
        <v>0</v>
      </c>
      <c r="EP1241" s="552">
        <f t="shared" si="5998"/>
        <v>0</v>
      </c>
      <c r="EQ1241" s="552">
        <f t="shared" si="5998"/>
        <v>0</v>
      </c>
      <c r="ER1241" s="552">
        <f t="shared" si="5998"/>
        <v>0</v>
      </c>
      <c r="ES1241" s="552">
        <f t="shared" si="5998"/>
        <v>0</v>
      </c>
      <c r="ET1241" s="552">
        <f t="shared" si="5998"/>
        <v>0</v>
      </c>
      <c r="EU1241" s="552">
        <f t="shared" si="5998"/>
        <v>0</v>
      </c>
      <c r="EV1241" s="552">
        <f t="shared" si="5998"/>
        <v>0</v>
      </c>
      <c r="EW1241" s="552">
        <f t="shared" si="5998"/>
        <v>0</v>
      </c>
      <c r="EX1241" s="552">
        <f t="shared" si="5998"/>
        <v>0</v>
      </c>
      <c r="EY1241" s="799">
        <f t="shared" si="4577"/>
        <v>0</v>
      </c>
      <c r="EZ1241" s="640"/>
      <c r="FA1241" s="640"/>
      <c r="FB1241" s="640"/>
      <c r="FC1241" s="640"/>
      <c r="FD1241" s="640"/>
      <c r="FE1241" s="640"/>
      <c r="FF1241" s="640"/>
      <c r="FG1241" s="640"/>
      <c r="FH1241" s="640"/>
      <c r="FI1241" s="640"/>
      <c r="FJ1241" s="640"/>
      <c r="FK1241" s="640"/>
      <c r="FL1241" s="640"/>
    </row>
    <row r="1242" spans="1:168" x14ac:dyDescent="0.25">
      <c r="A1242" s="1493"/>
      <c r="B1242" s="624">
        <f t="shared" si="5971"/>
        <v>0</v>
      </c>
      <c r="C1242" s="624">
        <f t="shared" si="5971"/>
        <v>0</v>
      </c>
      <c r="D1242" s="624">
        <f t="shared" si="5971"/>
        <v>0</v>
      </c>
      <c r="E1242" s="1158">
        <f t="shared" si="5978"/>
        <v>0</v>
      </c>
      <c r="F1242" s="1158"/>
      <c r="G1242" s="1140"/>
      <c r="H1242" s="1140"/>
      <c r="I1242" s="552"/>
      <c r="J1242" s="552">
        <f t="shared" ref="J1242:AO1242" si="5999">J292*J$338</f>
        <v>0</v>
      </c>
      <c r="K1242" s="552">
        <f t="shared" si="5999"/>
        <v>0</v>
      </c>
      <c r="L1242" s="552">
        <f t="shared" si="5999"/>
        <v>0</v>
      </c>
      <c r="M1242" s="552">
        <f t="shared" si="5999"/>
        <v>0</v>
      </c>
      <c r="N1242" s="552">
        <f t="shared" si="5999"/>
        <v>0</v>
      </c>
      <c r="O1242" s="552">
        <f t="shared" si="5999"/>
        <v>0</v>
      </c>
      <c r="P1242" s="552">
        <f t="shared" si="5999"/>
        <v>0</v>
      </c>
      <c r="Q1242" s="552">
        <f t="shared" si="5999"/>
        <v>0</v>
      </c>
      <c r="R1242" s="552">
        <f t="shared" si="5999"/>
        <v>0</v>
      </c>
      <c r="S1242" s="552">
        <f t="shared" si="5999"/>
        <v>0</v>
      </c>
      <c r="T1242" s="552">
        <f t="shared" si="5999"/>
        <v>0</v>
      </c>
      <c r="U1242" s="552">
        <f t="shared" si="5999"/>
        <v>0</v>
      </c>
      <c r="V1242" s="552">
        <f t="shared" si="5999"/>
        <v>0</v>
      </c>
      <c r="W1242" s="552">
        <f t="shared" si="5999"/>
        <v>0</v>
      </c>
      <c r="X1242" s="552">
        <f t="shared" si="5999"/>
        <v>0</v>
      </c>
      <c r="Y1242" s="552">
        <f t="shared" si="5999"/>
        <v>0</v>
      </c>
      <c r="Z1242" s="552">
        <f t="shared" si="5999"/>
        <v>0</v>
      </c>
      <c r="AA1242" s="552">
        <f t="shared" si="5999"/>
        <v>0</v>
      </c>
      <c r="AB1242" s="552">
        <f t="shared" si="5999"/>
        <v>0</v>
      </c>
      <c r="AC1242" s="552">
        <f t="shared" si="5999"/>
        <v>0</v>
      </c>
      <c r="AD1242" s="552">
        <f t="shared" si="5999"/>
        <v>0</v>
      </c>
      <c r="AE1242" s="552">
        <f t="shared" si="5999"/>
        <v>0</v>
      </c>
      <c r="AF1242" s="552">
        <f t="shared" si="5999"/>
        <v>0</v>
      </c>
      <c r="AG1242" s="552">
        <f t="shared" si="5999"/>
        <v>0</v>
      </c>
      <c r="AH1242" s="552">
        <f t="shared" si="5999"/>
        <v>0</v>
      </c>
      <c r="AI1242" s="552">
        <f t="shared" si="5999"/>
        <v>0</v>
      </c>
      <c r="AJ1242" s="552">
        <f t="shared" si="5999"/>
        <v>0</v>
      </c>
      <c r="AK1242" s="552">
        <f t="shared" si="5999"/>
        <v>0</v>
      </c>
      <c r="AL1242" s="552">
        <f t="shared" si="5999"/>
        <v>0</v>
      </c>
      <c r="AM1242" s="552">
        <f t="shared" si="5999"/>
        <v>0</v>
      </c>
      <c r="AN1242" s="552">
        <f t="shared" si="5999"/>
        <v>0</v>
      </c>
      <c r="AO1242" s="552">
        <f t="shared" si="5999"/>
        <v>0</v>
      </c>
      <c r="AP1242" s="552">
        <f t="shared" ref="AP1242:BU1242" si="6000">AP292*AP$338</f>
        <v>0</v>
      </c>
      <c r="AQ1242" s="552">
        <f t="shared" si="6000"/>
        <v>0</v>
      </c>
      <c r="AR1242" s="552">
        <f t="shared" si="6000"/>
        <v>0</v>
      </c>
      <c r="AS1242" s="552">
        <f t="shared" si="6000"/>
        <v>0</v>
      </c>
      <c r="AT1242" s="552">
        <f t="shared" si="6000"/>
        <v>0</v>
      </c>
      <c r="AU1242" s="552">
        <f t="shared" si="6000"/>
        <v>0</v>
      </c>
      <c r="AV1242" s="552">
        <f t="shared" si="6000"/>
        <v>0</v>
      </c>
      <c r="AW1242" s="552">
        <f t="shared" si="6000"/>
        <v>0</v>
      </c>
      <c r="AX1242" s="552">
        <f t="shared" si="6000"/>
        <v>0</v>
      </c>
      <c r="AY1242" s="552">
        <f t="shared" si="6000"/>
        <v>0</v>
      </c>
      <c r="AZ1242" s="552">
        <f t="shared" si="6000"/>
        <v>0</v>
      </c>
      <c r="BA1242" s="552">
        <f t="shared" si="6000"/>
        <v>0</v>
      </c>
      <c r="BB1242" s="552">
        <f t="shared" si="6000"/>
        <v>0</v>
      </c>
      <c r="BC1242" s="552">
        <f t="shared" si="6000"/>
        <v>0</v>
      </c>
      <c r="BD1242" s="552">
        <f t="shared" si="6000"/>
        <v>0</v>
      </c>
      <c r="BE1242" s="552">
        <f t="shared" si="6000"/>
        <v>0</v>
      </c>
      <c r="BF1242" s="552">
        <f t="shared" si="6000"/>
        <v>0</v>
      </c>
      <c r="BG1242" s="552">
        <f t="shared" si="6000"/>
        <v>0</v>
      </c>
      <c r="BH1242" s="552">
        <f t="shared" si="6000"/>
        <v>0</v>
      </c>
      <c r="BI1242" s="552">
        <f t="shared" si="6000"/>
        <v>0</v>
      </c>
      <c r="BJ1242" s="552">
        <f t="shared" si="6000"/>
        <v>0</v>
      </c>
      <c r="BK1242" s="552">
        <f t="shared" si="6000"/>
        <v>0</v>
      </c>
      <c r="BL1242" s="552">
        <f t="shared" si="6000"/>
        <v>0</v>
      </c>
      <c r="BM1242" s="552">
        <f t="shared" si="6000"/>
        <v>0</v>
      </c>
      <c r="BN1242" s="552">
        <f t="shared" si="6000"/>
        <v>0</v>
      </c>
      <c r="BO1242" s="552">
        <f t="shared" si="6000"/>
        <v>0</v>
      </c>
      <c r="BP1242" s="552">
        <f t="shared" si="6000"/>
        <v>0</v>
      </c>
      <c r="BQ1242" s="552">
        <f t="shared" si="6000"/>
        <v>0</v>
      </c>
      <c r="BR1242" s="552">
        <f t="shared" si="6000"/>
        <v>0</v>
      </c>
      <c r="BS1242" s="552">
        <f t="shared" si="6000"/>
        <v>0</v>
      </c>
      <c r="BT1242" s="552">
        <f t="shared" si="6000"/>
        <v>0</v>
      </c>
      <c r="BU1242" s="552">
        <f t="shared" si="6000"/>
        <v>0</v>
      </c>
      <c r="BV1242" s="552">
        <f t="shared" ref="BV1242:DA1242" si="6001">BV292*BV$338</f>
        <v>0</v>
      </c>
      <c r="BW1242" s="552">
        <f t="shared" si="6001"/>
        <v>0</v>
      </c>
      <c r="BX1242" s="552">
        <f t="shared" si="6001"/>
        <v>0</v>
      </c>
      <c r="BY1242" s="552">
        <f t="shared" si="6001"/>
        <v>0</v>
      </c>
      <c r="BZ1242" s="552">
        <f t="shared" si="6001"/>
        <v>0</v>
      </c>
      <c r="CA1242" s="552">
        <f t="shared" si="6001"/>
        <v>0</v>
      </c>
      <c r="CB1242" s="552">
        <f t="shared" si="6001"/>
        <v>0</v>
      </c>
      <c r="CC1242" s="552">
        <f t="shared" si="6001"/>
        <v>0</v>
      </c>
      <c r="CD1242" s="552">
        <f t="shared" si="6001"/>
        <v>0</v>
      </c>
      <c r="CE1242" s="552">
        <f t="shared" si="6001"/>
        <v>0</v>
      </c>
      <c r="CF1242" s="552">
        <f t="shared" si="6001"/>
        <v>0</v>
      </c>
      <c r="CG1242" s="552">
        <f t="shared" si="6001"/>
        <v>0</v>
      </c>
      <c r="CH1242" s="552">
        <f t="shared" si="6001"/>
        <v>0</v>
      </c>
      <c r="CI1242" s="552">
        <f t="shared" si="6001"/>
        <v>0</v>
      </c>
      <c r="CJ1242" s="552">
        <f t="shared" si="6001"/>
        <v>0</v>
      </c>
      <c r="CK1242" s="552">
        <f t="shared" si="6001"/>
        <v>0</v>
      </c>
      <c r="CL1242" s="552">
        <f t="shared" si="6001"/>
        <v>0</v>
      </c>
      <c r="CM1242" s="552">
        <f t="shared" si="6001"/>
        <v>0</v>
      </c>
      <c r="CN1242" s="552">
        <f t="shared" si="6001"/>
        <v>0</v>
      </c>
      <c r="CO1242" s="552">
        <f t="shared" si="6001"/>
        <v>0</v>
      </c>
      <c r="CP1242" s="552">
        <f t="shared" si="6001"/>
        <v>0</v>
      </c>
      <c r="CQ1242" s="552">
        <f t="shared" si="6001"/>
        <v>0</v>
      </c>
      <c r="CR1242" s="552">
        <f t="shared" si="6001"/>
        <v>0</v>
      </c>
      <c r="CS1242" s="552">
        <f t="shared" si="6001"/>
        <v>0</v>
      </c>
      <c r="CT1242" s="552">
        <f t="shared" si="6001"/>
        <v>0</v>
      </c>
      <c r="CU1242" s="552">
        <f t="shared" si="6001"/>
        <v>0</v>
      </c>
      <c r="CV1242" s="552">
        <f t="shared" si="6001"/>
        <v>0</v>
      </c>
      <c r="CW1242" s="552">
        <f t="shared" si="6001"/>
        <v>0</v>
      </c>
      <c r="CX1242" s="552">
        <f t="shared" si="6001"/>
        <v>0</v>
      </c>
      <c r="CY1242" s="552">
        <f t="shared" si="6001"/>
        <v>0</v>
      </c>
      <c r="CZ1242" s="552">
        <f t="shared" si="6001"/>
        <v>0</v>
      </c>
      <c r="DA1242" s="552">
        <f t="shared" si="6001"/>
        <v>0</v>
      </c>
      <c r="DB1242" s="552">
        <f t="shared" ref="DB1242:EG1242" si="6002">DB292*DB$338</f>
        <v>0</v>
      </c>
      <c r="DC1242" s="552">
        <f t="shared" si="6002"/>
        <v>0</v>
      </c>
      <c r="DD1242" s="552">
        <f t="shared" si="6002"/>
        <v>0</v>
      </c>
      <c r="DE1242" s="552">
        <f t="shared" si="6002"/>
        <v>0</v>
      </c>
      <c r="DF1242" s="552">
        <f t="shared" si="6002"/>
        <v>0</v>
      </c>
      <c r="DG1242" s="552">
        <f t="shared" si="6002"/>
        <v>0</v>
      </c>
      <c r="DH1242" s="552">
        <f t="shared" si="6002"/>
        <v>0</v>
      </c>
      <c r="DI1242" s="552">
        <f t="shared" si="6002"/>
        <v>0</v>
      </c>
      <c r="DJ1242" s="552">
        <f t="shared" si="6002"/>
        <v>0</v>
      </c>
      <c r="DK1242" s="552">
        <f t="shared" si="6002"/>
        <v>0</v>
      </c>
      <c r="DL1242" s="552">
        <f t="shared" si="6002"/>
        <v>0</v>
      </c>
      <c r="DM1242" s="552">
        <f t="shared" si="6002"/>
        <v>0</v>
      </c>
      <c r="DN1242" s="552">
        <f t="shared" si="6002"/>
        <v>0</v>
      </c>
      <c r="DO1242" s="552">
        <f t="shared" si="6002"/>
        <v>0</v>
      </c>
      <c r="DP1242" s="552">
        <f t="shared" si="6002"/>
        <v>0</v>
      </c>
      <c r="DQ1242" s="552">
        <f t="shared" si="6002"/>
        <v>0</v>
      </c>
      <c r="DR1242" s="552">
        <f t="shared" si="6002"/>
        <v>0</v>
      </c>
      <c r="DS1242" s="552">
        <f t="shared" si="6002"/>
        <v>0</v>
      </c>
      <c r="DT1242" s="552">
        <f t="shared" si="6002"/>
        <v>0</v>
      </c>
      <c r="DU1242" s="552">
        <f t="shared" si="6002"/>
        <v>0</v>
      </c>
      <c r="DV1242" s="552">
        <f t="shared" si="6002"/>
        <v>0</v>
      </c>
      <c r="DW1242" s="552">
        <f t="shared" si="6002"/>
        <v>0</v>
      </c>
      <c r="DX1242" s="552">
        <f t="shared" si="6002"/>
        <v>0</v>
      </c>
      <c r="DY1242" s="552">
        <f t="shared" si="6002"/>
        <v>0</v>
      </c>
      <c r="DZ1242" s="552">
        <f t="shared" si="6002"/>
        <v>0</v>
      </c>
      <c r="EA1242" s="552">
        <f t="shared" si="6002"/>
        <v>0</v>
      </c>
      <c r="EB1242" s="552">
        <f t="shared" si="6002"/>
        <v>0</v>
      </c>
      <c r="EC1242" s="552">
        <f t="shared" si="6002"/>
        <v>0</v>
      </c>
      <c r="ED1242" s="552">
        <f t="shared" si="6002"/>
        <v>0</v>
      </c>
      <c r="EE1242" s="552">
        <f t="shared" si="6002"/>
        <v>0</v>
      </c>
      <c r="EF1242" s="552">
        <f t="shared" si="6002"/>
        <v>0</v>
      </c>
      <c r="EG1242" s="552">
        <f t="shared" si="6002"/>
        <v>0</v>
      </c>
      <c r="EH1242" s="552">
        <f t="shared" ref="EH1242:EX1242" si="6003">EH292*EH$338</f>
        <v>0</v>
      </c>
      <c r="EI1242" s="552">
        <f t="shared" si="6003"/>
        <v>0</v>
      </c>
      <c r="EJ1242" s="552">
        <f t="shared" si="6003"/>
        <v>0</v>
      </c>
      <c r="EK1242" s="552">
        <f t="shared" si="6003"/>
        <v>0</v>
      </c>
      <c r="EL1242" s="552">
        <f t="shared" si="6003"/>
        <v>0</v>
      </c>
      <c r="EM1242" s="552">
        <f t="shared" si="6003"/>
        <v>0</v>
      </c>
      <c r="EN1242" s="552">
        <f t="shared" si="6003"/>
        <v>0</v>
      </c>
      <c r="EO1242" s="552">
        <f t="shared" si="6003"/>
        <v>0</v>
      </c>
      <c r="EP1242" s="552">
        <f t="shared" si="6003"/>
        <v>0</v>
      </c>
      <c r="EQ1242" s="552">
        <f t="shared" si="6003"/>
        <v>0</v>
      </c>
      <c r="ER1242" s="552">
        <f t="shared" si="6003"/>
        <v>0</v>
      </c>
      <c r="ES1242" s="552">
        <f t="shared" si="6003"/>
        <v>0</v>
      </c>
      <c r="ET1242" s="552">
        <f t="shared" si="6003"/>
        <v>0</v>
      </c>
      <c r="EU1242" s="552">
        <f t="shared" si="6003"/>
        <v>0</v>
      </c>
      <c r="EV1242" s="552">
        <f t="shared" si="6003"/>
        <v>0</v>
      </c>
      <c r="EW1242" s="552">
        <f t="shared" si="6003"/>
        <v>0</v>
      </c>
      <c r="EX1242" s="552">
        <f t="shared" si="6003"/>
        <v>0</v>
      </c>
      <c r="EY1242" s="799">
        <f t="shared" si="4577"/>
        <v>0</v>
      </c>
      <c r="EZ1242" s="640"/>
      <c r="FA1242" s="640"/>
      <c r="FB1242" s="640"/>
      <c r="FC1242" s="640"/>
      <c r="FD1242" s="640"/>
      <c r="FE1242" s="640"/>
      <c r="FF1242" s="640"/>
      <c r="FG1242" s="640"/>
      <c r="FH1242" s="640"/>
      <c r="FI1242" s="640"/>
      <c r="FJ1242" s="640"/>
      <c r="FK1242" s="640"/>
      <c r="FL1242" s="640"/>
    </row>
    <row r="1243" spans="1:168" s="1034" customFormat="1" x14ac:dyDescent="0.25">
      <c r="A1243" s="1033"/>
      <c r="B1243" s="624">
        <f t="shared" si="5971"/>
        <v>0</v>
      </c>
      <c r="C1243" s="624">
        <f t="shared" si="5971"/>
        <v>0</v>
      </c>
      <c r="D1243" s="624">
        <f t="shared" si="5971"/>
        <v>0</v>
      </c>
      <c r="E1243" s="1158">
        <f t="shared" si="5978"/>
        <v>0</v>
      </c>
      <c r="F1243" s="1158"/>
      <c r="G1243" s="1140"/>
      <c r="H1243" s="1140"/>
      <c r="I1243" s="552"/>
      <c r="J1243" s="552">
        <f t="shared" ref="J1243:AO1243" si="6004">J293*J$338</f>
        <v>0</v>
      </c>
      <c r="K1243" s="552">
        <f t="shared" si="6004"/>
        <v>0</v>
      </c>
      <c r="L1243" s="552">
        <f t="shared" si="6004"/>
        <v>0</v>
      </c>
      <c r="M1243" s="552">
        <f t="shared" si="6004"/>
        <v>0</v>
      </c>
      <c r="N1243" s="552">
        <f t="shared" si="6004"/>
        <v>0</v>
      </c>
      <c r="O1243" s="552">
        <f t="shared" si="6004"/>
        <v>0</v>
      </c>
      <c r="P1243" s="552">
        <f t="shared" si="6004"/>
        <v>0</v>
      </c>
      <c r="Q1243" s="552">
        <f t="shared" si="6004"/>
        <v>0</v>
      </c>
      <c r="R1243" s="552">
        <f t="shared" si="6004"/>
        <v>0</v>
      </c>
      <c r="S1243" s="552">
        <f t="shared" si="6004"/>
        <v>0</v>
      </c>
      <c r="T1243" s="552">
        <f t="shared" si="6004"/>
        <v>0</v>
      </c>
      <c r="U1243" s="552">
        <f t="shared" si="6004"/>
        <v>0</v>
      </c>
      <c r="V1243" s="552">
        <f t="shared" si="6004"/>
        <v>0</v>
      </c>
      <c r="W1243" s="552">
        <f t="shared" si="6004"/>
        <v>0</v>
      </c>
      <c r="X1243" s="552">
        <f t="shared" si="6004"/>
        <v>0</v>
      </c>
      <c r="Y1243" s="552">
        <f t="shared" si="6004"/>
        <v>0</v>
      </c>
      <c r="Z1243" s="552">
        <f t="shared" si="6004"/>
        <v>0</v>
      </c>
      <c r="AA1243" s="552">
        <f t="shared" si="6004"/>
        <v>0</v>
      </c>
      <c r="AB1243" s="552">
        <f t="shared" si="6004"/>
        <v>0</v>
      </c>
      <c r="AC1243" s="552">
        <f t="shared" si="6004"/>
        <v>0</v>
      </c>
      <c r="AD1243" s="552">
        <f t="shared" si="6004"/>
        <v>0</v>
      </c>
      <c r="AE1243" s="552">
        <f t="shared" si="6004"/>
        <v>0</v>
      </c>
      <c r="AF1243" s="552">
        <f t="shared" si="6004"/>
        <v>0</v>
      </c>
      <c r="AG1243" s="552">
        <f t="shared" si="6004"/>
        <v>0</v>
      </c>
      <c r="AH1243" s="552">
        <f t="shared" si="6004"/>
        <v>0</v>
      </c>
      <c r="AI1243" s="552">
        <f t="shared" si="6004"/>
        <v>0</v>
      </c>
      <c r="AJ1243" s="552">
        <f t="shared" si="6004"/>
        <v>0</v>
      </c>
      <c r="AK1243" s="552">
        <f t="shared" si="6004"/>
        <v>0</v>
      </c>
      <c r="AL1243" s="552">
        <f t="shared" si="6004"/>
        <v>0</v>
      </c>
      <c r="AM1243" s="552">
        <f t="shared" si="6004"/>
        <v>0</v>
      </c>
      <c r="AN1243" s="552">
        <f t="shared" si="6004"/>
        <v>0</v>
      </c>
      <c r="AO1243" s="552">
        <f t="shared" si="6004"/>
        <v>0</v>
      </c>
      <c r="AP1243" s="552">
        <f t="shared" ref="AP1243:BU1243" si="6005">AP293*AP$338</f>
        <v>0</v>
      </c>
      <c r="AQ1243" s="552">
        <f t="shared" si="6005"/>
        <v>0</v>
      </c>
      <c r="AR1243" s="552">
        <f t="shared" si="6005"/>
        <v>0</v>
      </c>
      <c r="AS1243" s="552">
        <f t="shared" si="6005"/>
        <v>0</v>
      </c>
      <c r="AT1243" s="552">
        <f t="shared" si="6005"/>
        <v>0</v>
      </c>
      <c r="AU1243" s="552">
        <f t="shared" si="6005"/>
        <v>0</v>
      </c>
      <c r="AV1243" s="552">
        <f t="shared" si="6005"/>
        <v>0</v>
      </c>
      <c r="AW1243" s="552">
        <f t="shared" si="6005"/>
        <v>0</v>
      </c>
      <c r="AX1243" s="552">
        <f t="shared" si="6005"/>
        <v>0</v>
      </c>
      <c r="AY1243" s="552">
        <f t="shared" si="6005"/>
        <v>0</v>
      </c>
      <c r="AZ1243" s="552">
        <f t="shared" si="6005"/>
        <v>0</v>
      </c>
      <c r="BA1243" s="552">
        <f t="shared" si="6005"/>
        <v>0</v>
      </c>
      <c r="BB1243" s="552">
        <f t="shared" si="6005"/>
        <v>0</v>
      </c>
      <c r="BC1243" s="552">
        <f t="shared" si="6005"/>
        <v>0</v>
      </c>
      <c r="BD1243" s="552">
        <f t="shared" si="6005"/>
        <v>0</v>
      </c>
      <c r="BE1243" s="552">
        <f t="shared" si="6005"/>
        <v>0</v>
      </c>
      <c r="BF1243" s="552">
        <f t="shared" si="6005"/>
        <v>0</v>
      </c>
      <c r="BG1243" s="552">
        <f t="shared" si="6005"/>
        <v>0</v>
      </c>
      <c r="BH1243" s="552">
        <f t="shared" si="6005"/>
        <v>0</v>
      </c>
      <c r="BI1243" s="552">
        <f t="shared" si="6005"/>
        <v>0</v>
      </c>
      <c r="BJ1243" s="552">
        <f t="shared" si="6005"/>
        <v>0</v>
      </c>
      <c r="BK1243" s="552">
        <f t="shared" si="6005"/>
        <v>0</v>
      </c>
      <c r="BL1243" s="552">
        <f t="shared" si="6005"/>
        <v>0</v>
      </c>
      <c r="BM1243" s="552">
        <f t="shared" si="6005"/>
        <v>0</v>
      </c>
      <c r="BN1243" s="552">
        <f t="shared" si="6005"/>
        <v>0</v>
      </c>
      <c r="BO1243" s="552">
        <f t="shared" si="6005"/>
        <v>0</v>
      </c>
      <c r="BP1243" s="552">
        <f t="shared" si="6005"/>
        <v>0</v>
      </c>
      <c r="BQ1243" s="552">
        <f t="shared" si="6005"/>
        <v>0</v>
      </c>
      <c r="BR1243" s="552">
        <f t="shared" si="6005"/>
        <v>0</v>
      </c>
      <c r="BS1243" s="552">
        <f t="shared" si="6005"/>
        <v>0</v>
      </c>
      <c r="BT1243" s="552">
        <f t="shared" si="6005"/>
        <v>0</v>
      </c>
      <c r="BU1243" s="552">
        <f t="shared" si="6005"/>
        <v>0</v>
      </c>
      <c r="BV1243" s="552">
        <f t="shared" ref="BV1243:DA1243" si="6006">BV293*BV$338</f>
        <v>0</v>
      </c>
      <c r="BW1243" s="552">
        <f t="shared" si="6006"/>
        <v>0</v>
      </c>
      <c r="BX1243" s="552">
        <f t="shared" si="6006"/>
        <v>0</v>
      </c>
      <c r="BY1243" s="552">
        <f t="shared" si="6006"/>
        <v>0</v>
      </c>
      <c r="BZ1243" s="552">
        <f t="shared" si="6006"/>
        <v>0</v>
      </c>
      <c r="CA1243" s="552">
        <f t="shared" si="6006"/>
        <v>0</v>
      </c>
      <c r="CB1243" s="552">
        <f t="shared" si="6006"/>
        <v>0</v>
      </c>
      <c r="CC1243" s="552">
        <f t="shared" si="6006"/>
        <v>0</v>
      </c>
      <c r="CD1243" s="552">
        <f t="shared" si="6006"/>
        <v>0</v>
      </c>
      <c r="CE1243" s="552">
        <f t="shared" si="6006"/>
        <v>0</v>
      </c>
      <c r="CF1243" s="552">
        <f t="shared" si="6006"/>
        <v>0</v>
      </c>
      <c r="CG1243" s="552">
        <f t="shared" si="6006"/>
        <v>0</v>
      </c>
      <c r="CH1243" s="552">
        <f t="shared" si="6006"/>
        <v>0</v>
      </c>
      <c r="CI1243" s="552">
        <f t="shared" si="6006"/>
        <v>0</v>
      </c>
      <c r="CJ1243" s="552">
        <f t="shared" si="6006"/>
        <v>0</v>
      </c>
      <c r="CK1243" s="552">
        <f t="shared" si="6006"/>
        <v>0</v>
      </c>
      <c r="CL1243" s="552">
        <f t="shared" si="6006"/>
        <v>0</v>
      </c>
      <c r="CM1243" s="552">
        <f t="shared" si="6006"/>
        <v>0</v>
      </c>
      <c r="CN1243" s="552">
        <f t="shared" si="6006"/>
        <v>0</v>
      </c>
      <c r="CO1243" s="552">
        <f t="shared" si="6006"/>
        <v>0</v>
      </c>
      <c r="CP1243" s="552">
        <f t="shared" si="6006"/>
        <v>0</v>
      </c>
      <c r="CQ1243" s="552">
        <f t="shared" si="6006"/>
        <v>0</v>
      </c>
      <c r="CR1243" s="552">
        <f t="shared" si="6006"/>
        <v>0</v>
      </c>
      <c r="CS1243" s="552">
        <f t="shared" si="6006"/>
        <v>0</v>
      </c>
      <c r="CT1243" s="552">
        <f t="shared" si="6006"/>
        <v>0</v>
      </c>
      <c r="CU1243" s="552">
        <f t="shared" si="6006"/>
        <v>0</v>
      </c>
      <c r="CV1243" s="552">
        <f t="shared" si="6006"/>
        <v>0</v>
      </c>
      <c r="CW1243" s="552">
        <f t="shared" si="6006"/>
        <v>0</v>
      </c>
      <c r="CX1243" s="552">
        <f t="shared" si="6006"/>
        <v>0</v>
      </c>
      <c r="CY1243" s="552">
        <f t="shared" si="6006"/>
        <v>0</v>
      </c>
      <c r="CZ1243" s="552">
        <f t="shared" si="6006"/>
        <v>0</v>
      </c>
      <c r="DA1243" s="552">
        <f t="shared" si="6006"/>
        <v>0</v>
      </c>
      <c r="DB1243" s="552">
        <f t="shared" ref="DB1243:EG1243" si="6007">DB293*DB$338</f>
        <v>0</v>
      </c>
      <c r="DC1243" s="552">
        <f t="shared" si="6007"/>
        <v>0</v>
      </c>
      <c r="DD1243" s="552">
        <f t="shared" si="6007"/>
        <v>0</v>
      </c>
      <c r="DE1243" s="552">
        <f t="shared" si="6007"/>
        <v>0</v>
      </c>
      <c r="DF1243" s="552">
        <f t="shared" si="6007"/>
        <v>0</v>
      </c>
      <c r="DG1243" s="552">
        <f t="shared" si="6007"/>
        <v>0</v>
      </c>
      <c r="DH1243" s="552">
        <f t="shared" si="6007"/>
        <v>0</v>
      </c>
      <c r="DI1243" s="552">
        <f t="shared" si="6007"/>
        <v>0</v>
      </c>
      <c r="DJ1243" s="552">
        <f t="shared" si="6007"/>
        <v>0</v>
      </c>
      <c r="DK1243" s="552">
        <f t="shared" si="6007"/>
        <v>0</v>
      </c>
      <c r="DL1243" s="552">
        <f t="shared" si="6007"/>
        <v>0</v>
      </c>
      <c r="DM1243" s="552">
        <f t="shared" si="6007"/>
        <v>0</v>
      </c>
      <c r="DN1243" s="552">
        <f t="shared" si="6007"/>
        <v>0</v>
      </c>
      <c r="DO1243" s="552">
        <f t="shared" si="6007"/>
        <v>0</v>
      </c>
      <c r="DP1243" s="552">
        <f t="shared" si="6007"/>
        <v>0</v>
      </c>
      <c r="DQ1243" s="552">
        <f t="shared" si="6007"/>
        <v>0</v>
      </c>
      <c r="DR1243" s="552">
        <f t="shared" si="6007"/>
        <v>0</v>
      </c>
      <c r="DS1243" s="552">
        <f t="shared" si="6007"/>
        <v>0</v>
      </c>
      <c r="DT1243" s="552">
        <f t="shared" si="6007"/>
        <v>0</v>
      </c>
      <c r="DU1243" s="552">
        <f t="shared" si="6007"/>
        <v>0</v>
      </c>
      <c r="DV1243" s="552">
        <f t="shared" si="6007"/>
        <v>0</v>
      </c>
      <c r="DW1243" s="552">
        <f t="shared" si="6007"/>
        <v>0</v>
      </c>
      <c r="DX1243" s="552">
        <f t="shared" si="6007"/>
        <v>0</v>
      </c>
      <c r="DY1243" s="552">
        <f t="shared" si="6007"/>
        <v>0</v>
      </c>
      <c r="DZ1243" s="552">
        <f t="shared" si="6007"/>
        <v>0</v>
      </c>
      <c r="EA1243" s="552">
        <f t="shared" si="6007"/>
        <v>0</v>
      </c>
      <c r="EB1243" s="552">
        <f t="shared" si="6007"/>
        <v>0</v>
      </c>
      <c r="EC1243" s="552">
        <f t="shared" si="6007"/>
        <v>0</v>
      </c>
      <c r="ED1243" s="552">
        <f t="shared" si="6007"/>
        <v>0</v>
      </c>
      <c r="EE1243" s="552">
        <f t="shared" si="6007"/>
        <v>0</v>
      </c>
      <c r="EF1243" s="552">
        <f t="shared" si="6007"/>
        <v>0</v>
      </c>
      <c r="EG1243" s="552">
        <f t="shared" si="6007"/>
        <v>0</v>
      </c>
      <c r="EH1243" s="552">
        <f t="shared" ref="EH1243:EX1243" si="6008">EH293*EH$338</f>
        <v>0</v>
      </c>
      <c r="EI1243" s="552">
        <f t="shared" si="6008"/>
        <v>0</v>
      </c>
      <c r="EJ1243" s="552">
        <f t="shared" si="6008"/>
        <v>0</v>
      </c>
      <c r="EK1243" s="552">
        <f t="shared" si="6008"/>
        <v>0</v>
      </c>
      <c r="EL1243" s="552">
        <f t="shared" si="6008"/>
        <v>0</v>
      </c>
      <c r="EM1243" s="552">
        <f t="shared" si="6008"/>
        <v>0</v>
      </c>
      <c r="EN1243" s="552">
        <f t="shared" si="6008"/>
        <v>0</v>
      </c>
      <c r="EO1243" s="552">
        <f t="shared" si="6008"/>
        <v>0</v>
      </c>
      <c r="EP1243" s="552">
        <f t="shared" si="6008"/>
        <v>0</v>
      </c>
      <c r="EQ1243" s="552">
        <f t="shared" si="6008"/>
        <v>0</v>
      </c>
      <c r="ER1243" s="552">
        <f t="shared" si="6008"/>
        <v>0</v>
      </c>
      <c r="ES1243" s="552">
        <f t="shared" si="6008"/>
        <v>0</v>
      </c>
      <c r="ET1243" s="552">
        <f t="shared" si="6008"/>
        <v>0</v>
      </c>
      <c r="EU1243" s="552">
        <f t="shared" si="6008"/>
        <v>0</v>
      </c>
      <c r="EV1243" s="552">
        <f t="shared" si="6008"/>
        <v>0</v>
      </c>
      <c r="EW1243" s="552">
        <f t="shared" si="6008"/>
        <v>0</v>
      </c>
      <c r="EX1243" s="552">
        <f t="shared" si="6008"/>
        <v>0</v>
      </c>
      <c r="EY1243" s="799">
        <f t="shared" si="4577"/>
        <v>0</v>
      </c>
      <c r="EZ1243" s="640"/>
      <c r="FA1243" s="640"/>
      <c r="FB1243" s="640"/>
      <c r="FC1243" s="640"/>
      <c r="FD1243" s="640"/>
      <c r="FE1243" s="640"/>
      <c r="FF1243" s="640"/>
      <c r="FG1243" s="640"/>
      <c r="FH1243" s="640"/>
      <c r="FI1243" s="640"/>
      <c r="FJ1243" s="640"/>
      <c r="FK1243" s="640"/>
      <c r="FL1243" s="640"/>
    </row>
    <row r="1244" spans="1:168" s="1034" customFormat="1" x14ac:dyDescent="0.25">
      <c r="A1244" s="1033"/>
      <c r="B1244" s="624">
        <f t="shared" si="5971"/>
        <v>0</v>
      </c>
      <c r="C1244" s="624">
        <f t="shared" si="5971"/>
        <v>0</v>
      </c>
      <c r="D1244" s="624">
        <f t="shared" si="5971"/>
        <v>0</v>
      </c>
      <c r="E1244" s="1158">
        <f t="shared" si="5978"/>
        <v>0</v>
      </c>
      <c r="F1244" s="1158"/>
      <c r="G1244" s="1140"/>
      <c r="H1244" s="1140"/>
      <c r="I1244" s="552"/>
      <c r="J1244" s="552">
        <f t="shared" ref="J1244:AO1244" si="6009">J294*J$338</f>
        <v>0</v>
      </c>
      <c r="K1244" s="552">
        <f t="shared" si="6009"/>
        <v>0</v>
      </c>
      <c r="L1244" s="552">
        <f t="shared" si="6009"/>
        <v>0</v>
      </c>
      <c r="M1244" s="552">
        <f t="shared" si="6009"/>
        <v>0</v>
      </c>
      <c r="N1244" s="552">
        <f t="shared" si="6009"/>
        <v>0</v>
      </c>
      <c r="O1244" s="552">
        <f t="shared" si="6009"/>
        <v>0</v>
      </c>
      <c r="P1244" s="552">
        <f t="shared" si="6009"/>
        <v>0</v>
      </c>
      <c r="Q1244" s="552">
        <f t="shared" si="6009"/>
        <v>0</v>
      </c>
      <c r="R1244" s="552">
        <f t="shared" si="6009"/>
        <v>0</v>
      </c>
      <c r="S1244" s="552">
        <f t="shared" si="6009"/>
        <v>0</v>
      </c>
      <c r="T1244" s="552">
        <f t="shared" si="6009"/>
        <v>0</v>
      </c>
      <c r="U1244" s="552">
        <f t="shared" si="6009"/>
        <v>0</v>
      </c>
      <c r="V1244" s="552">
        <f t="shared" si="6009"/>
        <v>0</v>
      </c>
      <c r="W1244" s="552">
        <f t="shared" si="6009"/>
        <v>0</v>
      </c>
      <c r="X1244" s="552">
        <f t="shared" si="6009"/>
        <v>0</v>
      </c>
      <c r="Y1244" s="552">
        <f t="shared" si="6009"/>
        <v>0</v>
      </c>
      <c r="Z1244" s="552">
        <f t="shared" si="6009"/>
        <v>0</v>
      </c>
      <c r="AA1244" s="552">
        <f t="shared" si="6009"/>
        <v>0</v>
      </c>
      <c r="AB1244" s="552">
        <f t="shared" si="6009"/>
        <v>0</v>
      </c>
      <c r="AC1244" s="552">
        <f t="shared" si="6009"/>
        <v>0</v>
      </c>
      <c r="AD1244" s="552">
        <f t="shared" si="6009"/>
        <v>0</v>
      </c>
      <c r="AE1244" s="552">
        <f t="shared" si="6009"/>
        <v>0</v>
      </c>
      <c r="AF1244" s="552">
        <f t="shared" si="6009"/>
        <v>0</v>
      </c>
      <c r="AG1244" s="552">
        <f t="shared" si="6009"/>
        <v>0</v>
      </c>
      <c r="AH1244" s="552">
        <f t="shared" si="6009"/>
        <v>0</v>
      </c>
      <c r="AI1244" s="552">
        <f t="shared" si="6009"/>
        <v>0</v>
      </c>
      <c r="AJ1244" s="552">
        <f t="shared" si="6009"/>
        <v>0</v>
      </c>
      <c r="AK1244" s="552">
        <f t="shared" si="6009"/>
        <v>0</v>
      </c>
      <c r="AL1244" s="552">
        <f t="shared" si="6009"/>
        <v>0</v>
      </c>
      <c r="AM1244" s="552">
        <f t="shared" si="6009"/>
        <v>0</v>
      </c>
      <c r="AN1244" s="552">
        <f t="shared" si="6009"/>
        <v>0</v>
      </c>
      <c r="AO1244" s="552">
        <f t="shared" si="6009"/>
        <v>0</v>
      </c>
      <c r="AP1244" s="552">
        <f t="shared" ref="AP1244:BU1244" si="6010">AP294*AP$338</f>
        <v>0</v>
      </c>
      <c r="AQ1244" s="552">
        <f t="shared" si="6010"/>
        <v>0</v>
      </c>
      <c r="AR1244" s="552">
        <f t="shared" si="6010"/>
        <v>0</v>
      </c>
      <c r="AS1244" s="552">
        <f t="shared" si="6010"/>
        <v>0</v>
      </c>
      <c r="AT1244" s="552">
        <f t="shared" si="6010"/>
        <v>0</v>
      </c>
      <c r="AU1244" s="552">
        <f t="shared" si="6010"/>
        <v>0</v>
      </c>
      <c r="AV1244" s="552">
        <f t="shared" si="6010"/>
        <v>0</v>
      </c>
      <c r="AW1244" s="552">
        <f t="shared" si="6010"/>
        <v>0</v>
      </c>
      <c r="AX1244" s="552">
        <f t="shared" si="6010"/>
        <v>0</v>
      </c>
      <c r="AY1244" s="552">
        <f t="shared" si="6010"/>
        <v>0</v>
      </c>
      <c r="AZ1244" s="552">
        <f t="shared" si="6010"/>
        <v>0</v>
      </c>
      <c r="BA1244" s="552">
        <f t="shared" si="6010"/>
        <v>0</v>
      </c>
      <c r="BB1244" s="552">
        <f t="shared" si="6010"/>
        <v>0</v>
      </c>
      <c r="BC1244" s="552">
        <f t="shared" si="6010"/>
        <v>0</v>
      </c>
      <c r="BD1244" s="552">
        <f t="shared" si="6010"/>
        <v>0</v>
      </c>
      <c r="BE1244" s="552">
        <f t="shared" si="6010"/>
        <v>0</v>
      </c>
      <c r="BF1244" s="552">
        <f t="shared" si="6010"/>
        <v>0</v>
      </c>
      <c r="BG1244" s="552">
        <f t="shared" si="6010"/>
        <v>0</v>
      </c>
      <c r="BH1244" s="552">
        <f t="shared" si="6010"/>
        <v>0</v>
      </c>
      <c r="BI1244" s="552">
        <f t="shared" si="6010"/>
        <v>0</v>
      </c>
      <c r="BJ1244" s="552">
        <f t="shared" si="6010"/>
        <v>0</v>
      </c>
      <c r="BK1244" s="552">
        <f t="shared" si="6010"/>
        <v>0</v>
      </c>
      <c r="BL1244" s="552">
        <f t="shared" si="6010"/>
        <v>0</v>
      </c>
      <c r="BM1244" s="552">
        <f t="shared" si="6010"/>
        <v>0</v>
      </c>
      <c r="BN1244" s="552">
        <f t="shared" si="6010"/>
        <v>0</v>
      </c>
      <c r="BO1244" s="552">
        <f t="shared" si="6010"/>
        <v>0</v>
      </c>
      <c r="BP1244" s="552">
        <f t="shared" si="6010"/>
        <v>0</v>
      </c>
      <c r="BQ1244" s="552">
        <f t="shared" si="6010"/>
        <v>0</v>
      </c>
      <c r="BR1244" s="552">
        <f t="shared" si="6010"/>
        <v>0</v>
      </c>
      <c r="BS1244" s="552">
        <f t="shared" si="6010"/>
        <v>0</v>
      </c>
      <c r="BT1244" s="552">
        <f t="shared" si="6010"/>
        <v>0</v>
      </c>
      <c r="BU1244" s="552">
        <f t="shared" si="6010"/>
        <v>0</v>
      </c>
      <c r="BV1244" s="552">
        <f t="shared" ref="BV1244:DA1244" si="6011">BV294*BV$338</f>
        <v>0</v>
      </c>
      <c r="BW1244" s="552">
        <f t="shared" si="6011"/>
        <v>0</v>
      </c>
      <c r="BX1244" s="552">
        <f t="shared" si="6011"/>
        <v>0</v>
      </c>
      <c r="BY1244" s="552">
        <f t="shared" si="6011"/>
        <v>0</v>
      </c>
      <c r="BZ1244" s="552">
        <f t="shared" si="6011"/>
        <v>0</v>
      </c>
      <c r="CA1244" s="552">
        <f t="shared" si="6011"/>
        <v>0</v>
      </c>
      <c r="CB1244" s="552">
        <f t="shared" si="6011"/>
        <v>0</v>
      </c>
      <c r="CC1244" s="552">
        <f t="shared" si="6011"/>
        <v>0</v>
      </c>
      <c r="CD1244" s="552">
        <f t="shared" si="6011"/>
        <v>0</v>
      </c>
      <c r="CE1244" s="552">
        <f t="shared" si="6011"/>
        <v>0</v>
      </c>
      <c r="CF1244" s="552">
        <f t="shared" si="6011"/>
        <v>0</v>
      </c>
      <c r="CG1244" s="552">
        <f t="shared" si="6011"/>
        <v>0</v>
      </c>
      <c r="CH1244" s="552">
        <f t="shared" si="6011"/>
        <v>0</v>
      </c>
      <c r="CI1244" s="552">
        <f t="shared" si="6011"/>
        <v>0</v>
      </c>
      <c r="CJ1244" s="552">
        <f t="shared" si="6011"/>
        <v>0</v>
      </c>
      <c r="CK1244" s="552">
        <f t="shared" si="6011"/>
        <v>0</v>
      </c>
      <c r="CL1244" s="552">
        <f t="shared" si="6011"/>
        <v>0</v>
      </c>
      <c r="CM1244" s="552">
        <f t="shared" si="6011"/>
        <v>0</v>
      </c>
      <c r="CN1244" s="552">
        <f t="shared" si="6011"/>
        <v>0</v>
      </c>
      <c r="CO1244" s="552">
        <f t="shared" si="6011"/>
        <v>0</v>
      </c>
      <c r="CP1244" s="552">
        <f t="shared" si="6011"/>
        <v>0</v>
      </c>
      <c r="CQ1244" s="552">
        <f t="shared" si="6011"/>
        <v>0</v>
      </c>
      <c r="CR1244" s="552">
        <f t="shared" si="6011"/>
        <v>0</v>
      </c>
      <c r="CS1244" s="552">
        <f t="shared" si="6011"/>
        <v>0</v>
      </c>
      <c r="CT1244" s="552">
        <f t="shared" si="6011"/>
        <v>0</v>
      </c>
      <c r="CU1244" s="552">
        <f t="shared" si="6011"/>
        <v>0</v>
      </c>
      <c r="CV1244" s="552">
        <f t="shared" si="6011"/>
        <v>0</v>
      </c>
      <c r="CW1244" s="552">
        <f t="shared" si="6011"/>
        <v>0</v>
      </c>
      <c r="CX1244" s="552">
        <f t="shared" si="6011"/>
        <v>0</v>
      </c>
      <c r="CY1244" s="552">
        <f t="shared" si="6011"/>
        <v>0</v>
      </c>
      <c r="CZ1244" s="552">
        <f t="shared" si="6011"/>
        <v>0</v>
      </c>
      <c r="DA1244" s="552">
        <f t="shared" si="6011"/>
        <v>0</v>
      </c>
      <c r="DB1244" s="552">
        <f t="shared" ref="DB1244:EG1244" si="6012">DB294*DB$338</f>
        <v>0</v>
      </c>
      <c r="DC1244" s="552">
        <f t="shared" si="6012"/>
        <v>0</v>
      </c>
      <c r="DD1244" s="552">
        <f t="shared" si="6012"/>
        <v>0</v>
      </c>
      <c r="DE1244" s="552">
        <f t="shared" si="6012"/>
        <v>0</v>
      </c>
      <c r="DF1244" s="552">
        <f t="shared" si="6012"/>
        <v>0</v>
      </c>
      <c r="DG1244" s="552">
        <f t="shared" si="6012"/>
        <v>0</v>
      </c>
      <c r="DH1244" s="552">
        <f t="shared" si="6012"/>
        <v>0</v>
      </c>
      <c r="DI1244" s="552">
        <f t="shared" si="6012"/>
        <v>0</v>
      </c>
      <c r="DJ1244" s="552">
        <f t="shared" si="6012"/>
        <v>0</v>
      </c>
      <c r="DK1244" s="552">
        <f t="shared" si="6012"/>
        <v>0</v>
      </c>
      <c r="DL1244" s="552">
        <f t="shared" si="6012"/>
        <v>0</v>
      </c>
      <c r="DM1244" s="552">
        <f t="shared" si="6012"/>
        <v>0</v>
      </c>
      <c r="DN1244" s="552">
        <f t="shared" si="6012"/>
        <v>0</v>
      </c>
      <c r="DO1244" s="552">
        <f t="shared" si="6012"/>
        <v>0</v>
      </c>
      <c r="DP1244" s="552">
        <f t="shared" si="6012"/>
        <v>0</v>
      </c>
      <c r="DQ1244" s="552">
        <f t="shared" si="6012"/>
        <v>0</v>
      </c>
      <c r="DR1244" s="552">
        <f t="shared" si="6012"/>
        <v>0</v>
      </c>
      <c r="DS1244" s="552">
        <f t="shared" si="6012"/>
        <v>0</v>
      </c>
      <c r="DT1244" s="552">
        <f t="shared" si="6012"/>
        <v>0</v>
      </c>
      <c r="DU1244" s="552">
        <f t="shared" si="6012"/>
        <v>0</v>
      </c>
      <c r="DV1244" s="552">
        <f t="shared" si="6012"/>
        <v>0</v>
      </c>
      <c r="DW1244" s="552">
        <f t="shared" si="6012"/>
        <v>0</v>
      </c>
      <c r="DX1244" s="552">
        <f t="shared" si="6012"/>
        <v>0</v>
      </c>
      <c r="DY1244" s="552">
        <f t="shared" si="6012"/>
        <v>0</v>
      </c>
      <c r="DZ1244" s="552">
        <f t="shared" si="6012"/>
        <v>0</v>
      </c>
      <c r="EA1244" s="552">
        <f t="shared" si="6012"/>
        <v>0</v>
      </c>
      <c r="EB1244" s="552">
        <f t="shared" si="6012"/>
        <v>0</v>
      </c>
      <c r="EC1244" s="552">
        <f t="shared" si="6012"/>
        <v>0</v>
      </c>
      <c r="ED1244" s="552">
        <f t="shared" si="6012"/>
        <v>0</v>
      </c>
      <c r="EE1244" s="552">
        <f t="shared" si="6012"/>
        <v>0</v>
      </c>
      <c r="EF1244" s="552">
        <f t="shared" si="6012"/>
        <v>0</v>
      </c>
      <c r="EG1244" s="552">
        <f t="shared" si="6012"/>
        <v>0</v>
      </c>
      <c r="EH1244" s="552">
        <f t="shared" ref="EH1244:EX1244" si="6013">EH294*EH$338</f>
        <v>0</v>
      </c>
      <c r="EI1244" s="552">
        <f t="shared" si="6013"/>
        <v>0</v>
      </c>
      <c r="EJ1244" s="552">
        <f t="shared" si="6013"/>
        <v>0</v>
      </c>
      <c r="EK1244" s="552">
        <f t="shared" si="6013"/>
        <v>0</v>
      </c>
      <c r="EL1244" s="552">
        <f t="shared" si="6013"/>
        <v>0</v>
      </c>
      <c r="EM1244" s="552">
        <f t="shared" si="6013"/>
        <v>0</v>
      </c>
      <c r="EN1244" s="552">
        <f t="shared" si="6013"/>
        <v>0</v>
      </c>
      <c r="EO1244" s="552">
        <f t="shared" si="6013"/>
        <v>0</v>
      </c>
      <c r="EP1244" s="552">
        <f t="shared" si="6013"/>
        <v>0</v>
      </c>
      <c r="EQ1244" s="552">
        <f t="shared" si="6013"/>
        <v>0</v>
      </c>
      <c r="ER1244" s="552">
        <f t="shared" si="6013"/>
        <v>0</v>
      </c>
      <c r="ES1244" s="552">
        <f t="shared" si="6013"/>
        <v>0</v>
      </c>
      <c r="ET1244" s="552">
        <f t="shared" si="6013"/>
        <v>0</v>
      </c>
      <c r="EU1244" s="552">
        <f t="shared" si="6013"/>
        <v>0</v>
      </c>
      <c r="EV1244" s="552">
        <f t="shared" si="6013"/>
        <v>0</v>
      </c>
      <c r="EW1244" s="552">
        <f t="shared" si="6013"/>
        <v>0</v>
      </c>
      <c r="EX1244" s="552">
        <f t="shared" si="6013"/>
        <v>0</v>
      </c>
      <c r="EY1244" s="799">
        <f t="shared" si="4577"/>
        <v>0</v>
      </c>
      <c r="EZ1244" s="640"/>
      <c r="FA1244" s="640"/>
      <c r="FB1244" s="640"/>
      <c r="FC1244" s="640"/>
      <c r="FD1244" s="640"/>
      <c r="FE1244" s="640"/>
      <c r="FF1244" s="640"/>
      <c r="FG1244" s="640"/>
      <c r="FH1244" s="640"/>
      <c r="FI1244" s="640"/>
      <c r="FJ1244" s="640"/>
      <c r="FK1244" s="640"/>
      <c r="FL1244" s="640"/>
    </row>
    <row r="1245" spans="1:168" s="1034" customFormat="1" x14ac:dyDescent="0.25">
      <c r="A1245" s="1033"/>
      <c r="B1245" s="624">
        <f t="shared" si="5971"/>
        <v>0</v>
      </c>
      <c r="C1245" s="624">
        <f t="shared" si="5971"/>
        <v>0</v>
      </c>
      <c r="D1245" s="624">
        <f t="shared" si="5971"/>
        <v>0</v>
      </c>
      <c r="E1245" s="1158">
        <f t="shared" si="5978"/>
        <v>0</v>
      </c>
      <c r="F1245" s="1158"/>
      <c r="G1245" s="1140"/>
      <c r="H1245" s="1140"/>
      <c r="I1245" s="552"/>
      <c r="J1245" s="552">
        <f t="shared" ref="J1245:AO1245" si="6014">J295*J$338</f>
        <v>0</v>
      </c>
      <c r="K1245" s="552">
        <f t="shared" si="6014"/>
        <v>0</v>
      </c>
      <c r="L1245" s="552">
        <f t="shared" si="6014"/>
        <v>0</v>
      </c>
      <c r="M1245" s="552">
        <f t="shared" si="6014"/>
        <v>0</v>
      </c>
      <c r="N1245" s="552">
        <f t="shared" si="6014"/>
        <v>0</v>
      </c>
      <c r="O1245" s="552">
        <f t="shared" si="6014"/>
        <v>0</v>
      </c>
      <c r="P1245" s="552">
        <f t="shared" si="6014"/>
        <v>0</v>
      </c>
      <c r="Q1245" s="552">
        <f t="shared" si="6014"/>
        <v>0</v>
      </c>
      <c r="R1245" s="552">
        <f t="shared" si="6014"/>
        <v>0</v>
      </c>
      <c r="S1245" s="552">
        <f t="shared" si="6014"/>
        <v>0</v>
      </c>
      <c r="T1245" s="552">
        <f t="shared" si="6014"/>
        <v>0</v>
      </c>
      <c r="U1245" s="552">
        <f t="shared" si="6014"/>
        <v>0</v>
      </c>
      <c r="V1245" s="552">
        <f t="shared" si="6014"/>
        <v>0</v>
      </c>
      <c r="W1245" s="552">
        <f t="shared" si="6014"/>
        <v>0</v>
      </c>
      <c r="X1245" s="552">
        <f t="shared" si="6014"/>
        <v>0</v>
      </c>
      <c r="Y1245" s="552">
        <f t="shared" si="6014"/>
        <v>0</v>
      </c>
      <c r="Z1245" s="552">
        <f t="shared" si="6014"/>
        <v>0</v>
      </c>
      <c r="AA1245" s="552">
        <f t="shared" si="6014"/>
        <v>0</v>
      </c>
      <c r="AB1245" s="552">
        <f t="shared" si="6014"/>
        <v>0</v>
      </c>
      <c r="AC1245" s="552">
        <f t="shared" si="6014"/>
        <v>0</v>
      </c>
      <c r="AD1245" s="552">
        <f t="shared" si="6014"/>
        <v>0</v>
      </c>
      <c r="AE1245" s="552">
        <f t="shared" si="6014"/>
        <v>0</v>
      </c>
      <c r="AF1245" s="552">
        <f t="shared" si="6014"/>
        <v>0</v>
      </c>
      <c r="AG1245" s="552">
        <f t="shared" si="6014"/>
        <v>0</v>
      </c>
      <c r="AH1245" s="552">
        <f t="shared" si="6014"/>
        <v>0</v>
      </c>
      <c r="AI1245" s="552">
        <f t="shared" si="6014"/>
        <v>0</v>
      </c>
      <c r="AJ1245" s="552">
        <f t="shared" si="6014"/>
        <v>0</v>
      </c>
      <c r="AK1245" s="552">
        <f t="shared" si="6014"/>
        <v>0</v>
      </c>
      <c r="AL1245" s="552">
        <f t="shared" si="6014"/>
        <v>0</v>
      </c>
      <c r="AM1245" s="552">
        <f t="shared" si="6014"/>
        <v>0</v>
      </c>
      <c r="AN1245" s="552">
        <f t="shared" si="6014"/>
        <v>0</v>
      </c>
      <c r="AO1245" s="552">
        <f t="shared" si="6014"/>
        <v>0</v>
      </c>
      <c r="AP1245" s="552">
        <f t="shared" ref="AP1245:BU1245" si="6015">AP295*AP$338</f>
        <v>0</v>
      </c>
      <c r="AQ1245" s="552">
        <f t="shared" si="6015"/>
        <v>0</v>
      </c>
      <c r="AR1245" s="552">
        <f t="shared" si="6015"/>
        <v>0</v>
      </c>
      <c r="AS1245" s="552">
        <f t="shared" si="6015"/>
        <v>0</v>
      </c>
      <c r="AT1245" s="552">
        <f t="shared" si="6015"/>
        <v>0</v>
      </c>
      <c r="AU1245" s="552">
        <f t="shared" si="6015"/>
        <v>0</v>
      </c>
      <c r="AV1245" s="552">
        <f t="shared" si="6015"/>
        <v>0</v>
      </c>
      <c r="AW1245" s="552">
        <f t="shared" si="6015"/>
        <v>0</v>
      </c>
      <c r="AX1245" s="552">
        <f t="shared" si="6015"/>
        <v>0</v>
      </c>
      <c r="AY1245" s="552">
        <f t="shared" si="6015"/>
        <v>0</v>
      </c>
      <c r="AZ1245" s="552">
        <f t="shared" si="6015"/>
        <v>0</v>
      </c>
      <c r="BA1245" s="552">
        <f t="shared" si="6015"/>
        <v>0</v>
      </c>
      <c r="BB1245" s="552">
        <f t="shared" si="6015"/>
        <v>0</v>
      </c>
      <c r="BC1245" s="552">
        <f t="shared" si="6015"/>
        <v>0</v>
      </c>
      <c r="BD1245" s="552">
        <f t="shared" si="6015"/>
        <v>0</v>
      </c>
      <c r="BE1245" s="552">
        <f t="shared" si="6015"/>
        <v>0</v>
      </c>
      <c r="BF1245" s="552">
        <f t="shared" si="6015"/>
        <v>0</v>
      </c>
      <c r="BG1245" s="552">
        <f t="shared" si="6015"/>
        <v>0</v>
      </c>
      <c r="BH1245" s="552">
        <f t="shared" si="6015"/>
        <v>0</v>
      </c>
      <c r="BI1245" s="552">
        <f t="shared" si="6015"/>
        <v>0</v>
      </c>
      <c r="BJ1245" s="552">
        <f t="shared" si="6015"/>
        <v>0</v>
      </c>
      <c r="BK1245" s="552">
        <f t="shared" si="6015"/>
        <v>0</v>
      </c>
      <c r="BL1245" s="552">
        <f t="shared" si="6015"/>
        <v>0</v>
      </c>
      <c r="BM1245" s="552">
        <f t="shared" si="6015"/>
        <v>0</v>
      </c>
      <c r="BN1245" s="552">
        <f t="shared" si="6015"/>
        <v>0</v>
      </c>
      <c r="BO1245" s="552">
        <f t="shared" si="6015"/>
        <v>0</v>
      </c>
      <c r="BP1245" s="552">
        <f t="shared" si="6015"/>
        <v>0</v>
      </c>
      <c r="BQ1245" s="552">
        <f t="shared" si="6015"/>
        <v>0</v>
      </c>
      <c r="BR1245" s="552">
        <f t="shared" si="6015"/>
        <v>0</v>
      </c>
      <c r="BS1245" s="552">
        <f t="shared" si="6015"/>
        <v>0</v>
      </c>
      <c r="BT1245" s="552">
        <f t="shared" si="6015"/>
        <v>0</v>
      </c>
      <c r="BU1245" s="552">
        <f t="shared" si="6015"/>
        <v>0</v>
      </c>
      <c r="BV1245" s="552">
        <f t="shared" ref="BV1245:DA1245" si="6016">BV295*BV$338</f>
        <v>0</v>
      </c>
      <c r="BW1245" s="552">
        <f t="shared" si="6016"/>
        <v>0</v>
      </c>
      <c r="BX1245" s="552">
        <f t="shared" si="6016"/>
        <v>0</v>
      </c>
      <c r="BY1245" s="552">
        <f t="shared" si="6016"/>
        <v>0</v>
      </c>
      <c r="BZ1245" s="552">
        <f t="shared" si="6016"/>
        <v>0</v>
      </c>
      <c r="CA1245" s="552">
        <f t="shared" si="6016"/>
        <v>0</v>
      </c>
      <c r="CB1245" s="552">
        <f t="shared" si="6016"/>
        <v>0</v>
      </c>
      <c r="CC1245" s="552">
        <f t="shared" si="6016"/>
        <v>0</v>
      </c>
      <c r="CD1245" s="552">
        <f t="shared" si="6016"/>
        <v>0</v>
      </c>
      <c r="CE1245" s="552">
        <f t="shared" si="6016"/>
        <v>0</v>
      </c>
      <c r="CF1245" s="552">
        <f t="shared" si="6016"/>
        <v>0</v>
      </c>
      <c r="CG1245" s="552">
        <f t="shared" si="6016"/>
        <v>0</v>
      </c>
      <c r="CH1245" s="552">
        <f t="shared" si="6016"/>
        <v>0</v>
      </c>
      <c r="CI1245" s="552">
        <f t="shared" si="6016"/>
        <v>0</v>
      </c>
      <c r="CJ1245" s="552">
        <f t="shared" si="6016"/>
        <v>0</v>
      </c>
      <c r="CK1245" s="552">
        <f t="shared" si="6016"/>
        <v>0</v>
      </c>
      <c r="CL1245" s="552">
        <f t="shared" si="6016"/>
        <v>0</v>
      </c>
      <c r="CM1245" s="552">
        <f t="shared" si="6016"/>
        <v>0</v>
      </c>
      <c r="CN1245" s="552">
        <f t="shared" si="6016"/>
        <v>0</v>
      </c>
      <c r="CO1245" s="552">
        <f t="shared" si="6016"/>
        <v>0</v>
      </c>
      <c r="CP1245" s="552">
        <f t="shared" si="6016"/>
        <v>0</v>
      </c>
      <c r="CQ1245" s="552">
        <f t="shared" si="6016"/>
        <v>0</v>
      </c>
      <c r="CR1245" s="552">
        <f t="shared" si="6016"/>
        <v>0</v>
      </c>
      <c r="CS1245" s="552">
        <f t="shared" si="6016"/>
        <v>0</v>
      </c>
      <c r="CT1245" s="552">
        <f t="shared" si="6016"/>
        <v>0</v>
      </c>
      <c r="CU1245" s="552">
        <f t="shared" si="6016"/>
        <v>0</v>
      </c>
      <c r="CV1245" s="552">
        <f t="shared" si="6016"/>
        <v>0</v>
      </c>
      <c r="CW1245" s="552">
        <f t="shared" si="6016"/>
        <v>0</v>
      </c>
      <c r="CX1245" s="552">
        <f t="shared" si="6016"/>
        <v>0</v>
      </c>
      <c r="CY1245" s="552">
        <f t="shared" si="6016"/>
        <v>0</v>
      </c>
      <c r="CZ1245" s="552">
        <f t="shared" si="6016"/>
        <v>0</v>
      </c>
      <c r="DA1245" s="552">
        <f t="shared" si="6016"/>
        <v>0</v>
      </c>
      <c r="DB1245" s="552">
        <f t="shared" ref="DB1245:EG1245" si="6017">DB295*DB$338</f>
        <v>0</v>
      </c>
      <c r="DC1245" s="552">
        <f t="shared" si="6017"/>
        <v>0</v>
      </c>
      <c r="DD1245" s="552">
        <f t="shared" si="6017"/>
        <v>0</v>
      </c>
      <c r="DE1245" s="552">
        <f t="shared" si="6017"/>
        <v>0</v>
      </c>
      <c r="DF1245" s="552">
        <f t="shared" si="6017"/>
        <v>0</v>
      </c>
      <c r="DG1245" s="552">
        <f t="shared" si="6017"/>
        <v>0</v>
      </c>
      <c r="DH1245" s="552">
        <f t="shared" si="6017"/>
        <v>0</v>
      </c>
      <c r="DI1245" s="552">
        <f t="shared" si="6017"/>
        <v>0</v>
      </c>
      <c r="DJ1245" s="552">
        <f t="shared" si="6017"/>
        <v>0</v>
      </c>
      <c r="DK1245" s="552">
        <f t="shared" si="6017"/>
        <v>0</v>
      </c>
      <c r="DL1245" s="552">
        <f t="shared" si="6017"/>
        <v>0</v>
      </c>
      <c r="DM1245" s="552">
        <f t="shared" si="6017"/>
        <v>0</v>
      </c>
      <c r="DN1245" s="552">
        <f t="shared" si="6017"/>
        <v>0</v>
      </c>
      <c r="DO1245" s="552">
        <f t="shared" si="6017"/>
        <v>0</v>
      </c>
      <c r="DP1245" s="552">
        <f t="shared" si="6017"/>
        <v>0</v>
      </c>
      <c r="DQ1245" s="552">
        <f t="shared" si="6017"/>
        <v>0</v>
      </c>
      <c r="DR1245" s="552">
        <f t="shared" si="6017"/>
        <v>0</v>
      </c>
      <c r="DS1245" s="552">
        <f t="shared" si="6017"/>
        <v>0</v>
      </c>
      <c r="DT1245" s="552">
        <f t="shared" si="6017"/>
        <v>0</v>
      </c>
      <c r="DU1245" s="552">
        <f t="shared" si="6017"/>
        <v>0</v>
      </c>
      <c r="DV1245" s="552">
        <f t="shared" si="6017"/>
        <v>0</v>
      </c>
      <c r="DW1245" s="552">
        <f t="shared" si="6017"/>
        <v>0</v>
      </c>
      <c r="DX1245" s="552">
        <f t="shared" si="6017"/>
        <v>0</v>
      </c>
      <c r="DY1245" s="552">
        <f t="shared" si="6017"/>
        <v>0</v>
      </c>
      <c r="DZ1245" s="552">
        <f t="shared" si="6017"/>
        <v>0</v>
      </c>
      <c r="EA1245" s="552">
        <f t="shared" si="6017"/>
        <v>0</v>
      </c>
      <c r="EB1245" s="552">
        <f t="shared" si="6017"/>
        <v>0</v>
      </c>
      <c r="EC1245" s="552">
        <f t="shared" si="6017"/>
        <v>0</v>
      </c>
      <c r="ED1245" s="552">
        <f t="shared" si="6017"/>
        <v>0</v>
      </c>
      <c r="EE1245" s="552">
        <f t="shared" si="6017"/>
        <v>0</v>
      </c>
      <c r="EF1245" s="552">
        <f t="shared" si="6017"/>
        <v>0</v>
      </c>
      <c r="EG1245" s="552">
        <f t="shared" si="6017"/>
        <v>0</v>
      </c>
      <c r="EH1245" s="552">
        <f t="shared" ref="EH1245:EX1245" si="6018">EH295*EH$338</f>
        <v>0</v>
      </c>
      <c r="EI1245" s="552">
        <f t="shared" si="6018"/>
        <v>0</v>
      </c>
      <c r="EJ1245" s="552">
        <f t="shared" si="6018"/>
        <v>0</v>
      </c>
      <c r="EK1245" s="552">
        <f t="shared" si="6018"/>
        <v>0</v>
      </c>
      <c r="EL1245" s="552">
        <f t="shared" si="6018"/>
        <v>0</v>
      </c>
      <c r="EM1245" s="552">
        <f t="shared" si="6018"/>
        <v>0</v>
      </c>
      <c r="EN1245" s="552">
        <f t="shared" si="6018"/>
        <v>0</v>
      </c>
      <c r="EO1245" s="552">
        <f t="shared" si="6018"/>
        <v>0</v>
      </c>
      <c r="EP1245" s="552">
        <f t="shared" si="6018"/>
        <v>0</v>
      </c>
      <c r="EQ1245" s="552">
        <f t="shared" si="6018"/>
        <v>0</v>
      </c>
      <c r="ER1245" s="552">
        <f t="shared" si="6018"/>
        <v>0</v>
      </c>
      <c r="ES1245" s="552">
        <f t="shared" si="6018"/>
        <v>0</v>
      </c>
      <c r="ET1245" s="552">
        <f t="shared" si="6018"/>
        <v>0</v>
      </c>
      <c r="EU1245" s="552">
        <f t="shared" si="6018"/>
        <v>0</v>
      </c>
      <c r="EV1245" s="552">
        <f t="shared" si="6018"/>
        <v>0</v>
      </c>
      <c r="EW1245" s="552">
        <f t="shared" si="6018"/>
        <v>0</v>
      </c>
      <c r="EX1245" s="552">
        <f t="shared" si="6018"/>
        <v>0</v>
      </c>
      <c r="EY1245" s="799">
        <f t="shared" ref="EY1245:EY1261" si="6019">SUM(J1245:EX1245)</f>
        <v>0</v>
      </c>
      <c r="EZ1245" s="640"/>
      <c r="FA1245" s="640"/>
      <c r="FB1245" s="640"/>
      <c r="FC1245" s="640"/>
      <c r="FD1245" s="640"/>
      <c r="FE1245" s="640"/>
      <c r="FF1245" s="640"/>
      <c r="FG1245" s="640"/>
      <c r="FH1245" s="640"/>
      <c r="FI1245" s="640"/>
      <c r="FJ1245" s="640"/>
      <c r="FK1245" s="640"/>
      <c r="FL1245" s="640"/>
    </row>
    <row r="1246" spans="1:168" x14ac:dyDescent="0.25">
      <c r="A1246" s="254"/>
      <c r="B1246" s="625" t="s">
        <v>111</v>
      </c>
      <c r="C1246" s="1135"/>
      <c r="D1246" s="1138">
        <f>SUM(D1237:D1245)</f>
        <v>0</v>
      </c>
      <c r="E1246" s="1138">
        <f t="shared" ref="E1246:J1246" si="6020">SUM(E1237:E1245)</f>
        <v>0</v>
      </c>
      <c r="F1246" s="1138"/>
      <c r="G1246" s="1138">
        <f t="shared" si="6020"/>
        <v>0</v>
      </c>
      <c r="H1246" s="1138">
        <f t="shared" si="6020"/>
        <v>0</v>
      </c>
      <c r="I1246" s="554"/>
      <c r="J1246" s="1138">
        <f t="shared" si="6020"/>
        <v>0</v>
      </c>
      <c r="K1246" s="1138">
        <f t="shared" ref="K1246" si="6021">SUM(K1237:K1245)</f>
        <v>0</v>
      </c>
      <c r="L1246" s="1138">
        <f t="shared" ref="L1246" si="6022">SUM(L1237:L1245)</f>
        <v>0</v>
      </c>
      <c r="M1246" s="1138">
        <f t="shared" ref="M1246" si="6023">SUM(M1237:M1245)</f>
        <v>0</v>
      </c>
      <c r="N1246" s="1138">
        <f t="shared" ref="N1246" si="6024">SUM(N1237:N1245)</f>
        <v>0</v>
      </c>
      <c r="O1246" s="1138">
        <f t="shared" ref="O1246" si="6025">SUM(O1237:O1245)</f>
        <v>0</v>
      </c>
      <c r="P1246" s="1138">
        <f t="shared" ref="P1246" si="6026">SUM(P1237:P1245)</f>
        <v>0</v>
      </c>
      <c r="Q1246" s="1138">
        <f t="shared" ref="Q1246" si="6027">SUM(Q1237:Q1245)</f>
        <v>0</v>
      </c>
      <c r="R1246" s="1138">
        <f t="shared" ref="R1246" si="6028">SUM(R1237:R1245)</f>
        <v>0</v>
      </c>
      <c r="S1246" s="1138">
        <f t="shared" ref="S1246" si="6029">SUM(S1237:S1245)</f>
        <v>0</v>
      </c>
      <c r="T1246" s="1138">
        <f t="shared" ref="T1246" si="6030">SUM(T1237:T1245)</f>
        <v>0</v>
      </c>
      <c r="U1246" s="1138">
        <f t="shared" ref="U1246" si="6031">SUM(U1237:U1245)</f>
        <v>0</v>
      </c>
      <c r="V1246" s="1138">
        <f t="shared" ref="V1246" si="6032">SUM(V1237:V1245)</f>
        <v>0</v>
      </c>
      <c r="W1246" s="1138">
        <f t="shared" ref="W1246" si="6033">SUM(W1237:W1245)</f>
        <v>0</v>
      </c>
      <c r="X1246" s="1138">
        <f t="shared" ref="X1246" si="6034">SUM(X1237:X1245)</f>
        <v>0</v>
      </c>
      <c r="Y1246" s="1138">
        <f t="shared" ref="Y1246" si="6035">SUM(Y1237:Y1245)</f>
        <v>0</v>
      </c>
      <c r="Z1246" s="1138">
        <f t="shared" ref="Z1246" si="6036">SUM(Z1237:Z1245)</f>
        <v>0</v>
      </c>
      <c r="AA1246" s="1138">
        <f t="shared" ref="AA1246" si="6037">SUM(AA1237:AA1245)</f>
        <v>0</v>
      </c>
      <c r="AB1246" s="1138">
        <f t="shared" ref="AB1246" si="6038">SUM(AB1237:AB1245)</f>
        <v>0</v>
      </c>
      <c r="AC1246" s="1138">
        <f t="shared" ref="AC1246" si="6039">SUM(AC1237:AC1245)</f>
        <v>0</v>
      </c>
      <c r="AD1246" s="1138">
        <f t="shared" ref="AD1246" si="6040">SUM(AD1237:AD1245)</f>
        <v>0</v>
      </c>
      <c r="AE1246" s="1138">
        <f t="shared" ref="AE1246" si="6041">SUM(AE1237:AE1245)</f>
        <v>0</v>
      </c>
      <c r="AF1246" s="1138">
        <f t="shared" ref="AF1246" si="6042">SUM(AF1237:AF1245)</f>
        <v>0</v>
      </c>
      <c r="AG1246" s="1138">
        <f t="shared" ref="AG1246" si="6043">SUM(AG1237:AG1245)</f>
        <v>0</v>
      </c>
      <c r="AH1246" s="1138">
        <f t="shared" ref="AH1246" si="6044">SUM(AH1237:AH1245)</f>
        <v>0</v>
      </c>
      <c r="AI1246" s="1138">
        <f t="shared" ref="AI1246" si="6045">SUM(AI1237:AI1245)</f>
        <v>0</v>
      </c>
      <c r="AJ1246" s="1138">
        <f t="shared" ref="AJ1246" si="6046">SUM(AJ1237:AJ1245)</f>
        <v>0</v>
      </c>
      <c r="AK1246" s="1138">
        <f t="shared" ref="AK1246" si="6047">SUM(AK1237:AK1245)</f>
        <v>0</v>
      </c>
      <c r="AL1246" s="1138">
        <f t="shared" ref="AL1246" si="6048">SUM(AL1237:AL1245)</f>
        <v>0</v>
      </c>
      <c r="AM1246" s="1138">
        <f t="shared" ref="AM1246" si="6049">SUM(AM1237:AM1245)</f>
        <v>0</v>
      </c>
      <c r="AN1246" s="1138">
        <f t="shared" ref="AN1246" si="6050">SUM(AN1237:AN1245)</f>
        <v>0</v>
      </c>
      <c r="AO1246" s="1138">
        <f t="shared" ref="AO1246" si="6051">SUM(AO1237:AO1245)</f>
        <v>0</v>
      </c>
      <c r="AP1246" s="1138">
        <f t="shared" ref="AP1246" si="6052">SUM(AP1237:AP1245)</f>
        <v>0</v>
      </c>
      <c r="AQ1246" s="1138">
        <f t="shared" ref="AQ1246" si="6053">SUM(AQ1237:AQ1245)</f>
        <v>0</v>
      </c>
      <c r="AR1246" s="1138">
        <f t="shared" ref="AR1246" si="6054">SUM(AR1237:AR1245)</f>
        <v>0</v>
      </c>
      <c r="AS1246" s="1138">
        <f t="shared" ref="AS1246" si="6055">SUM(AS1237:AS1245)</f>
        <v>0</v>
      </c>
      <c r="AT1246" s="1138">
        <f t="shared" ref="AT1246" si="6056">SUM(AT1237:AT1245)</f>
        <v>0</v>
      </c>
      <c r="AU1246" s="1138">
        <f t="shared" ref="AU1246" si="6057">SUM(AU1237:AU1245)</f>
        <v>0</v>
      </c>
      <c r="AV1246" s="1138">
        <f t="shared" ref="AV1246" si="6058">SUM(AV1237:AV1245)</f>
        <v>0</v>
      </c>
      <c r="AW1246" s="1138">
        <f t="shared" ref="AW1246" si="6059">SUM(AW1237:AW1245)</f>
        <v>0</v>
      </c>
      <c r="AX1246" s="1138">
        <f t="shared" ref="AX1246" si="6060">SUM(AX1237:AX1245)</f>
        <v>0</v>
      </c>
      <c r="AY1246" s="1138">
        <f t="shared" ref="AY1246" si="6061">SUM(AY1237:AY1245)</f>
        <v>0</v>
      </c>
      <c r="AZ1246" s="1138">
        <f t="shared" ref="AZ1246" si="6062">SUM(AZ1237:AZ1245)</f>
        <v>0</v>
      </c>
      <c r="BA1246" s="1138">
        <f t="shared" ref="BA1246" si="6063">SUM(BA1237:BA1245)</f>
        <v>0</v>
      </c>
      <c r="BB1246" s="1138">
        <f t="shared" ref="BB1246" si="6064">SUM(BB1237:BB1245)</f>
        <v>0</v>
      </c>
      <c r="BC1246" s="1138">
        <f t="shared" ref="BC1246" si="6065">SUM(BC1237:BC1245)</f>
        <v>0</v>
      </c>
      <c r="BD1246" s="1138">
        <f t="shared" ref="BD1246" si="6066">SUM(BD1237:BD1245)</f>
        <v>0</v>
      </c>
      <c r="BE1246" s="1138">
        <f t="shared" ref="BE1246" si="6067">SUM(BE1237:BE1245)</f>
        <v>0</v>
      </c>
      <c r="BF1246" s="1138">
        <f t="shared" ref="BF1246" si="6068">SUM(BF1237:BF1245)</f>
        <v>0</v>
      </c>
      <c r="BG1246" s="1138">
        <f t="shared" ref="BG1246" si="6069">SUM(BG1237:BG1245)</f>
        <v>0</v>
      </c>
      <c r="BH1246" s="1138">
        <f t="shared" ref="BH1246" si="6070">SUM(BH1237:BH1245)</f>
        <v>0</v>
      </c>
      <c r="BI1246" s="1138">
        <f t="shared" ref="BI1246" si="6071">SUM(BI1237:BI1245)</f>
        <v>0</v>
      </c>
      <c r="BJ1246" s="1138">
        <f t="shared" ref="BJ1246" si="6072">SUM(BJ1237:BJ1245)</f>
        <v>0</v>
      </c>
      <c r="BK1246" s="1138">
        <f t="shared" ref="BK1246" si="6073">SUM(BK1237:BK1245)</f>
        <v>0</v>
      </c>
      <c r="BL1246" s="1138">
        <f t="shared" ref="BL1246" si="6074">SUM(BL1237:BL1245)</f>
        <v>0</v>
      </c>
      <c r="BM1246" s="1138">
        <f t="shared" ref="BM1246" si="6075">SUM(BM1237:BM1245)</f>
        <v>0</v>
      </c>
      <c r="BN1246" s="1138">
        <f t="shared" ref="BN1246" si="6076">SUM(BN1237:BN1245)</f>
        <v>0</v>
      </c>
      <c r="BO1246" s="1138">
        <f t="shared" ref="BO1246" si="6077">SUM(BO1237:BO1245)</f>
        <v>0</v>
      </c>
      <c r="BP1246" s="1138">
        <f t="shared" ref="BP1246" si="6078">SUM(BP1237:BP1245)</f>
        <v>0</v>
      </c>
      <c r="BQ1246" s="1138">
        <f t="shared" ref="BQ1246" si="6079">SUM(BQ1237:BQ1245)</f>
        <v>0</v>
      </c>
      <c r="BR1246" s="1138">
        <f t="shared" ref="BR1246" si="6080">SUM(BR1237:BR1245)</f>
        <v>0</v>
      </c>
      <c r="BS1246" s="1138">
        <f t="shared" ref="BS1246" si="6081">SUM(BS1237:BS1245)</f>
        <v>0</v>
      </c>
      <c r="BT1246" s="1138">
        <f t="shared" ref="BT1246" si="6082">SUM(BT1237:BT1245)</f>
        <v>0</v>
      </c>
      <c r="BU1246" s="1138">
        <f t="shared" ref="BU1246" si="6083">SUM(BU1237:BU1245)</f>
        <v>0</v>
      </c>
      <c r="BV1246" s="1138">
        <f t="shared" ref="BV1246" si="6084">SUM(BV1237:BV1245)</f>
        <v>0</v>
      </c>
      <c r="BW1246" s="1138">
        <f t="shared" ref="BW1246" si="6085">SUM(BW1237:BW1245)</f>
        <v>0</v>
      </c>
      <c r="BX1246" s="1138">
        <f t="shared" ref="BX1246" si="6086">SUM(BX1237:BX1245)</f>
        <v>0</v>
      </c>
      <c r="BY1246" s="1138">
        <f t="shared" ref="BY1246" si="6087">SUM(BY1237:BY1245)</f>
        <v>0</v>
      </c>
      <c r="BZ1246" s="1138">
        <f t="shared" ref="BZ1246" si="6088">SUM(BZ1237:BZ1245)</f>
        <v>0</v>
      </c>
      <c r="CA1246" s="1138">
        <f t="shared" ref="CA1246" si="6089">SUM(CA1237:CA1245)</f>
        <v>0</v>
      </c>
      <c r="CB1246" s="1138">
        <f t="shared" ref="CB1246" si="6090">SUM(CB1237:CB1245)</f>
        <v>0</v>
      </c>
      <c r="CC1246" s="1138">
        <f t="shared" ref="CC1246" si="6091">SUM(CC1237:CC1245)</f>
        <v>0</v>
      </c>
      <c r="CD1246" s="1138">
        <f t="shared" ref="CD1246" si="6092">SUM(CD1237:CD1245)</f>
        <v>0</v>
      </c>
      <c r="CE1246" s="1138">
        <f t="shared" ref="CE1246" si="6093">SUM(CE1237:CE1245)</f>
        <v>0</v>
      </c>
      <c r="CF1246" s="1138">
        <f t="shared" ref="CF1246" si="6094">SUM(CF1237:CF1245)</f>
        <v>0</v>
      </c>
      <c r="CG1246" s="1138">
        <f t="shared" ref="CG1246" si="6095">SUM(CG1237:CG1245)</f>
        <v>0</v>
      </c>
      <c r="CH1246" s="1138">
        <f t="shared" ref="CH1246" si="6096">SUM(CH1237:CH1245)</f>
        <v>0</v>
      </c>
      <c r="CI1246" s="1138">
        <f t="shared" ref="CI1246" si="6097">SUM(CI1237:CI1245)</f>
        <v>0</v>
      </c>
      <c r="CJ1246" s="1138">
        <f t="shared" ref="CJ1246" si="6098">SUM(CJ1237:CJ1245)</f>
        <v>0</v>
      </c>
      <c r="CK1246" s="1138">
        <f t="shared" ref="CK1246" si="6099">SUM(CK1237:CK1245)</f>
        <v>0</v>
      </c>
      <c r="CL1246" s="1138">
        <f t="shared" ref="CL1246" si="6100">SUM(CL1237:CL1245)</f>
        <v>0</v>
      </c>
      <c r="CM1246" s="1138">
        <f t="shared" ref="CM1246" si="6101">SUM(CM1237:CM1245)</f>
        <v>0</v>
      </c>
      <c r="CN1246" s="1138">
        <f t="shared" ref="CN1246" si="6102">SUM(CN1237:CN1245)</f>
        <v>0</v>
      </c>
      <c r="CO1246" s="1138">
        <f t="shared" ref="CO1246" si="6103">SUM(CO1237:CO1245)</f>
        <v>0</v>
      </c>
      <c r="CP1246" s="1138">
        <f t="shared" ref="CP1246" si="6104">SUM(CP1237:CP1245)</f>
        <v>0</v>
      </c>
      <c r="CQ1246" s="1138">
        <f t="shared" ref="CQ1246" si="6105">SUM(CQ1237:CQ1245)</f>
        <v>0</v>
      </c>
      <c r="CR1246" s="1138">
        <f t="shared" ref="CR1246" si="6106">SUM(CR1237:CR1245)</f>
        <v>0</v>
      </c>
      <c r="CS1246" s="1138">
        <f t="shared" ref="CS1246" si="6107">SUM(CS1237:CS1245)</f>
        <v>0</v>
      </c>
      <c r="CT1246" s="1138">
        <f t="shared" ref="CT1246" si="6108">SUM(CT1237:CT1245)</f>
        <v>0</v>
      </c>
      <c r="CU1246" s="1138">
        <f t="shared" ref="CU1246" si="6109">SUM(CU1237:CU1245)</f>
        <v>0</v>
      </c>
      <c r="CV1246" s="1138">
        <f t="shared" ref="CV1246" si="6110">SUM(CV1237:CV1245)</f>
        <v>0</v>
      </c>
      <c r="CW1246" s="1138">
        <f t="shared" ref="CW1246" si="6111">SUM(CW1237:CW1245)</f>
        <v>0</v>
      </c>
      <c r="CX1246" s="1138">
        <f t="shared" ref="CX1246" si="6112">SUM(CX1237:CX1245)</f>
        <v>0</v>
      </c>
      <c r="CY1246" s="1138">
        <f t="shared" ref="CY1246" si="6113">SUM(CY1237:CY1245)</f>
        <v>0</v>
      </c>
      <c r="CZ1246" s="1138">
        <f t="shared" ref="CZ1246" si="6114">SUM(CZ1237:CZ1245)</f>
        <v>0</v>
      </c>
      <c r="DA1246" s="1138">
        <f t="shared" ref="DA1246" si="6115">SUM(DA1237:DA1245)</f>
        <v>0</v>
      </c>
      <c r="DB1246" s="1138">
        <f t="shared" ref="DB1246" si="6116">SUM(DB1237:DB1245)</f>
        <v>0</v>
      </c>
      <c r="DC1246" s="1138">
        <f t="shared" ref="DC1246" si="6117">SUM(DC1237:DC1245)</f>
        <v>0</v>
      </c>
      <c r="DD1246" s="1138">
        <f t="shared" ref="DD1246" si="6118">SUM(DD1237:DD1245)</f>
        <v>0</v>
      </c>
      <c r="DE1246" s="1138">
        <f t="shared" ref="DE1246" si="6119">SUM(DE1237:DE1245)</f>
        <v>0</v>
      </c>
      <c r="DF1246" s="1138">
        <f t="shared" ref="DF1246" si="6120">SUM(DF1237:DF1245)</f>
        <v>0</v>
      </c>
      <c r="DG1246" s="1138">
        <f t="shared" ref="DG1246" si="6121">SUM(DG1237:DG1245)</f>
        <v>0</v>
      </c>
      <c r="DH1246" s="1138">
        <f t="shared" ref="DH1246" si="6122">SUM(DH1237:DH1245)</f>
        <v>0</v>
      </c>
      <c r="DI1246" s="1138">
        <f t="shared" ref="DI1246" si="6123">SUM(DI1237:DI1245)</f>
        <v>0</v>
      </c>
      <c r="DJ1246" s="1138">
        <f t="shared" ref="DJ1246" si="6124">SUM(DJ1237:DJ1245)</f>
        <v>0</v>
      </c>
      <c r="DK1246" s="1138">
        <f t="shared" ref="DK1246" si="6125">SUM(DK1237:DK1245)</f>
        <v>0</v>
      </c>
      <c r="DL1246" s="1138">
        <f t="shared" ref="DL1246" si="6126">SUM(DL1237:DL1245)</f>
        <v>0</v>
      </c>
      <c r="DM1246" s="1138">
        <f t="shared" ref="DM1246" si="6127">SUM(DM1237:DM1245)</f>
        <v>0</v>
      </c>
      <c r="DN1246" s="1138">
        <f t="shared" ref="DN1246" si="6128">SUM(DN1237:DN1245)</f>
        <v>0</v>
      </c>
      <c r="DO1246" s="1138">
        <f t="shared" ref="DO1246" si="6129">SUM(DO1237:DO1245)</f>
        <v>0</v>
      </c>
      <c r="DP1246" s="1138">
        <f t="shared" ref="DP1246" si="6130">SUM(DP1237:DP1245)</f>
        <v>0</v>
      </c>
      <c r="DQ1246" s="1138">
        <f t="shared" ref="DQ1246" si="6131">SUM(DQ1237:DQ1245)</f>
        <v>0</v>
      </c>
      <c r="DR1246" s="1138">
        <f t="shared" ref="DR1246" si="6132">SUM(DR1237:DR1245)</f>
        <v>0</v>
      </c>
      <c r="DS1246" s="1138">
        <f t="shared" ref="DS1246" si="6133">SUM(DS1237:DS1245)</f>
        <v>0</v>
      </c>
      <c r="DT1246" s="1138">
        <f t="shared" ref="DT1246" si="6134">SUM(DT1237:DT1245)</f>
        <v>0</v>
      </c>
      <c r="DU1246" s="1138">
        <f t="shared" ref="DU1246" si="6135">SUM(DU1237:DU1245)</f>
        <v>0</v>
      </c>
      <c r="DV1246" s="1138">
        <f t="shared" ref="DV1246" si="6136">SUM(DV1237:DV1245)</f>
        <v>0</v>
      </c>
      <c r="DW1246" s="1138">
        <f t="shared" ref="DW1246" si="6137">SUM(DW1237:DW1245)</f>
        <v>0</v>
      </c>
      <c r="DX1246" s="1138">
        <f t="shared" ref="DX1246" si="6138">SUM(DX1237:DX1245)</f>
        <v>0</v>
      </c>
      <c r="DY1246" s="1138">
        <f t="shared" ref="DY1246" si="6139">SUM(DY1237:DY1245)</f>
        <v>0</v>
      </c>
      <c r="DZ1246" s="1138">
        <f t="shared" ref="DZ1246" si="6140">SUM(DZ1237:DZ1245)</f>
        <v>0</v>
      </c>
      <c r="EA1246" s="1138">
        <f t="shared" ref="EA1246" si="6141">SUM(EA1237:EA1245)</f>
        <v>0</v>
      </c>
      <c r="EB1246" s="1138">
        <f t="shared" ref="EB1246" si="6142">SUM(EB1237:EB1245)</f>
        <v>0</v>
      </c>
      <c r="EC1246" s="1138">
        <f t="shared" ref="EC1246" si="6143">SUM(EC1237:EC1245)</f>
        <v>0</v>
      </c>
      <c r="ED1246" s="1138">
        <f t="shared" ref="ED1246" si="6144">SUM(ED1237:ED1245)</f>
        <v>0</v>
      </c>
      <c r="EE1246" s="1138">
        <f t="shared" ref="EE1246" si="6145">SUM(EE1237:EE1245)</f>
        <v>0</v>
      </c>
      <c r="EF1246" s="1138">
        <f t="shared" ref="EF1246" si="6146">SUM(EF1237:EF1245)</f>
        <v>0</v>
      </c>
      <c r="EG1246" s="1138">
        <f t="shared" ref="EG1246" si="6147">SUM(EG1237:EG1245)</f>
        <v>0</v>
      </c>
      <c r="EH1246" s="1138">
        <f t="shared" ref="EH1246" si="6148">SUM(EH1237:EH1245)</f>
        <v>0</v>
      </c>
      <c r="EI1246" s="1138">
        <f t="shared" ref="EI1246" si="6149">SUM(EI1237:EI1245)</f>
        <v>0</v>
      </c>
      <c r="EJ1246" s="1138">
        <f t="shared" ref="EJ1246" si="6150">SUM(EJ1237:EJ1245)</f>
        <v>0</v>
      </c>
      <c r="EK1246" s="1138">
        <f t="shared" ref="EK1246" si="6151">SUM(EK1237:EK1245)</f>
        <v>0</v>
      </c>
      <c r="EL1246" s="1138">
        <f t="shared" ref="EL1246" si="6152">SUM(EL1237:EL1245)</f>
        <v>0</v>
      </c>
      <c r="EM1246" s="1138">
        <f t="shared" ref="EM1246" si="6153">SUM(EM1237:EM1245)</f>
        <v>0</v>
      </c>
      <c r="EN1246" s="1138">
        <f t="shared" ref="EN1246" si="6154">SUM(EN1237:EN1245)</f>
        <v>0</v>
      </c>
      <c r="EO1246" s="1138">
        <f t="shared" ref="EO1246" si="6155">SUM(EO1237:EO1245)</f>
        <v>0</v>
      </c>
      <c r="EP1246" s="1138">
        <f t="shared" ref="EP1246" si="6156">SUM(EP1237:EP1245)</f>
        <v>0</v>
      </c>
      <c r="EQ1246" s="1138">
        <f t="shared" ref="EQ1246" si="6157">SUM(EQ1237:EQ1245)</f>
        <v>0</v>
      </c>
      <c r="ER1246" s="1138">
        <f t="shared" ref="ER1246" si="6158">SUM(ER1237:ER1245)</f>
        <v>0</v>
      </c>
      <c r="ES1246" s="1138">
        <f t="shared" ref="ES1246" si="6159">SUM(ES1237:ES1245)</f>
        <v>0</v>
      </c>
      <c r="ET1246" s="1138">
        <f t="shared" ref="ET1246" si="6160">SUM(ET1237:ET1245)</f>
        <v>0</v>
      </c>
      <c r="EU1246" s="1138">
        <f t="shared" ref="EU1246" si="6161">SUM(EU1237:EU1245)</f>
        <v>0</v>
      </c>
      <c r="EV1246" s="1138">
        <f t="shared" ref="EV1246" si="6162">SUM(EV1237:EV1245)</f>
        <v>0</v>
      </c>
      <c r="EW1246" s="1138">
        <f t="shared" ref="EW1246" si="6163">SUM(EW1237:EW1245)</f>
        <v>0</v>
      </c>
      <c r="EX1246" s="1138">
        <f t="shared" ref="EX1246:FL1246" si="6164">SUM(EX1237:EX1245)</f>
        <v>0</v>
      </c>
      <c r="EY1246" s="1138">
        <f t="shared" si="6164"/>
        <v>0</v>
      </c>
      <c r="EZ1246" s="1138">
        <f t="shared" si="6164"/>
        <v>0</v>
      </c>
      <c r="FA1246" s="1138">
        <f t="shared" si="6164"/>
        <v>0</v>
      </c>
      <c r="FB1246" s="1138">
        <f t="shared" si="6164"/>
        <v>0</v>
      </c>
      <c r="FC1246" s="1138">
        <f t="shared" si="6164"/>
        <v>0</v>
      </c>
      <c r="FD1246" s="1138">
        <f t="shared" si="6164"/>
        <v>0</v>
      </c>
      <c r="FE1246" s="1138">
        <f t="shared" si="6164"/>
        <v>0</v>
      </c>
      <c r="FF1246" s="1138">
        <f t="shared" si="6164"/>
        <v>0</v>
      </c>
      <c r="FG1246" s="1138">
        <f t="shared" si="6164"/>
        <v>0</v>
      </c>
      <c r="FH1246" s="1138">
        <f t="shared" si="6164"/>
        <v>0</v>
      </c>
      <c r="FI1246" s="1138">
        <f t="shared" si="6164"/>
        <v>0</v>
      </c>
      <c r="FJ1246" s="1138">
        <f t="shared" si="6164"/>
        <v>0</v>
      </c>
      <c r="FK1246" s="1138">
        <f t="shared" si="6164"/>
        <v>0</v>
      </c>
      <c r="FL1246" s="1138">
        <f t="shared" si="6164"/>
        <v>0</v>
      </c>
    </row>
    <row r="1247" spans="1:168" x14ac:dyDescent="0.25">
      <c r="A1247" s="1491" t="s">
        <v>112</v>
      </c>
      <c r="B1247" s="624">
        <v>0</v>
      </c>
      <c r="C1247" s="1137">
        <v>0</v>
      </c>
      <c r="D1247" s="1137">
        <v>0</v>
      </c>
      <c r="E1247" s="1158">
        <f t="shared" si="5978"/>
        <v>0</v>
      </c>
      <c r="F1247" s="1158"/>
      <c r="G1247" s="1140"/>
      <c r="H1247" s="1140"/>
      <c r="I1247" s="552"/>
      <c r="J1247" s="552">
        <f t="shared" ref="J1247:AO1247" si="6165">J297*J$338</f>
        <v>0</v>
      </c>
      <c r="K1247" s="552">
        <f t="shared" si="6165"/>
        <v>0</v>
      </c>
      <c r="L1247" s="552">
        <f t="shared" si="6165"/>
        <v>0</v>
      </c>
      <c r="M1247" s="552">
        <f t="shared" si="6165"/>
        <v>0</v>
      </c>
      <c r="N1247" s="552">
        <f t="shared" si="6165"/>
        <v>0</v>
      </c>
      <c r="O1247" s="552">
        <f t="shared" si="6165"/>
        <v>0</v>
      </c>
      <c r="P1247" s="552">
        <f t="shared" si="6165"/>
        <v>0</v>
      </c>
      <c r="Q1247" s="552">
        <f t="shared" si="6165"/>
        <v>0</v>
      </c>
      <c r="R1247" s="552">
        <f t="shared" si="6165"/>
        <v>0</v>
      </c>
      <c r="S1247" s="552">
        <f t="shared" si="6165"/>
        <v>0</v>
      </c>
      <c r="T1247" s="552">
        <f t="shared" si="6165"/>
        <v>0</v>
      </c>
      <c r="U1247" s="552">
        <f t="shared" si="6165"/>
        <v>0</v>
      </c>
      <c r="V1247" s="552">
        <f t="shared" si="6165"/>
        <v>0</v>
      </c>
      <c r="W1247" s="552">
        <f t="shared" si="6165"/>
        <v>0</v>
      </c>
      <c r="X1247" s="552">
        <f t="shared" si="6165"/>
        <v>0</v>
      </c>
      <c r="Y1247" s="552">
        <f t="shared" si="6165"/>
        <v>0</v>
      </c>
      <c r="Z1247" s="552">
        <f t="shared" si="6165"/>
        <v>0</v>
      </c>
      <c r="AA1247" s="552">
        <f t="shared" si="6165"/>
        <v>0</v>
      </c>
      <c r="AB1247" s="552">
        <f t="shared" si="6165"/>
        <v>0</v>
      </c>
      <c r="AC1247" s="552">
        <f t="shared" si="6165"/>
        <v>0</v>
      </c>
      <c r="AD1247" s="552">
        <f t="shared" si="6165"/>
        <v>0</v>
      </c>
      <c r="AE1247" s="552">
        <f t="shared" si="6165"/>
        <v>0</v>
      </c>
      <c r="AF1247" s="552">
        <f t="shared" si="6165"/>
        <v>0</v>
      </c>
      <c r="AG1247" s="552">
        <f t="shared" si="6165"/>
        <v>0</v>
      </c>
      <c r="AH1247" s="552">
        <f t="shared" si="6165"/>
        <v>0</v>
      </c>
      <c r="AI1247" s="552">
        <f t="shared" si="6165"/>
        <v>0</v>
      </c>
      <c r="AJ1247" s="552">
        <f t="shared" si="6165"/>
        <v>0</v>
      </c>
      <c r="AK1247" s="552">
        <f t="shared" si="6165"/>
        <v>0</v>
      </c>
      <c r="AL1247" s="552">
        <f t="shared" si="6165"/>
        <v>0</v>
      </c>
      <c r="AM1247" s="552">
        <f t="shared" si="6165"/>
        <v>0</v>
      </c>
      <c r="AN1247" s="552">
        <f t="shared" si="6165"/>
        <v>0</v>
      </c>
      <c r="AO1247" s="552">
        <f t="shared" si="6165"/>
        <v>0</v>
      </c>
      <c r="AP1247" s="552">
        <f t="shared" ref="AP1247:BU1247" si="6166">AP297*AP$338</f>
        <v>0</v>
      </c>
      <c r="AQ1247" s="552">
        <f t="shared" si="6166"/>
        <v>0</v>
      </c>
      <c r="AR1247" s="552">
        <f t="shared" si="6166"/>
        <v>0</v>
      </c>
      <c r="AS1247" s="552">
        <f t="shared" si="6166"/>
        <v>0</v>
      </c>
      <c r="AT1247" s="552">
        <f t="shared" si="6166"/>
        <v>0</v>
      </c>
      <c r="AU1247" s="552">
        <f t="shared" si="6166"/>
        <v>0</v>
      </c>
      <c r="AV1247" s="552">
        <f t="shared" si="6166"/>
        <v>0</v>
      </c>
      <c r="AW1247" s="552">
        <f t="shared" si="6166"/>
        <v>0</v>
      </c>
      <c r="AX1247" s="552">
        <f t="shared" si="6166"/>
        <v>0</v>
      </c>
      <c r="AY1247" s="552">
        <f t="shared" si="6166"/>
        <v>0</v>
      </c>
      <c r="AZ1247" s="552">
        <f t="shared" si="6166"/>
        <v>0</v>
      </c>
      <c r="BA1247" s="552">
        <f t="shared" si="6166"/>
        <v>0</v>
      </c>
      <c r="BB1247" s="552">
        <f t="shared" si="6166"/>
        <v>0</v>
      </c>
      <c r="BC1247" s="552">
        <f t="shared" si="6166"/>
        <v>0</v>
      </c>
      <c r="BD1247" s="552">
        <f t="shared" si="6166"/>
        <v>0</v>
      </c>
      <c r="BE1247" s="552">
        <f t="shared" si="6166"/>
        <v>0</v>
      </c>
      <c r="BF1247" s="552">
        <f t="shared" si="6166"/>
        <v>0</v>
      </c>
      <c r="BG1247" s="552">
        <f t="shared" si="6166"/>
        <v>0</v>
      </c>
      <c r="BH1247" s="552">
        <f t="shared" si="6166"/>
        <v>0</v>
      </c>
      <c r="BI1247" s="552">
        <f t="shared" si="6166"/>
        <v>0</v>
      </c>
      <c r="BJ1247" s="552">
        <f t="shared" si="6166"/>
        <v>0</v>
      </c>
      <c r="BK1247" s="552">
        <f t="shared" si="6166"/>
        <v>0</v>
      </c>
      <c r="BL1247" s="552">
        <f t="shared" si="6166"/>
        <v>0</v>
      </c>
      <c r="BM1247" s="552">
        <f t="shared" si="6166"/>
        <v>0</v>
      </c>
      <c r="BN1247" s="552">
        <f t="shared" si="6166"/>
        <v>0</v>
      </c>
      <c r="BO1247" s="552">
        <f t="shared" si="6166"/>
        <v>0</v>
      </c>
      <c r="BP1247" s="552">
        <f t="shared" si="6166"/>
        <v>0</v>
      </c>
      <c r="BQ1247" s="552">
        <f t="shared" si="6166"/>
        <v>0</v>
      </c>
      <c r="BR1247" s="552">
        <f t="shared" si="6166"/>
        <v>0</v>
      </c>
      <c r="BS1247" s="552">
        <f t="shared" si="6166"/>
        <v>0</v>
      </c>
      <c r="BT1247" s="552">
        <f t="shared" si="6166"/>
        <v>0</v>
      </c>
      <c r="BU1247" s="552">
        <f t="shared" si="6166"/>
        <v>0</v>
      </c>
      <c r="BV1247" s="552">
        <f t="shared" ref="BV1247:DA1247" si="6167">BV297*BV$338</f>
        <v>0</v>
      </c>
      <c r="BW1247" s="552">
        <f t="shared" si="6167"/>
        <v>0</v>
      </c>
      <c r="BX1247" s="552">
        <f t="shared" si="6167"/>
        <v>0</v>
      </c>
      <c r="BY1247" s="552">
        <f t="shared" si="6167"/>
        <v>0</v>
      </c>
      <c r="BZ1247" s="552">
        <f t="shared" si="6167"/>
        <v>0</v>
      </c>
      <c r="CA1247" s="552">
        <f t="shared" si="6167"/>
        <v>0</v>
      </c>
      <c r="CB1247" s="552">
        <f t="shared" si="6167"/>
        <v>0</v>
      </c>
      <c r="CC1247" s="552">
        <f t="shared" si="6167"/>
        <v>0</v>
      </c>
      <c r="CD1247" s="552">
        <f t="shared" si="6167"/>
        <v>0</v>
      </c>
      <c r="CE1247" s="552">
        <f t="shared" si="6167"/>
        <v>0</v>
      </c>
      <c r="CF1247" s="552">
        <f t="shared" si="6167"/>
        <v>0</v>
      </c>
      <c r="CG1247" s="552">
        <f t="shared" si="6167"/>
        <v>0</v>
      </c>
      <c r="CH1247" s="552">
        <f t="shared" si="6167"/>
        <v>0</v>
      </c>
      <c r="CI1247" s="552">
        <f t="shared" si="6167"/>
        <v>0</v>
      </c>
      <c r="CJ1247" s="552">
        <f t="shared" si="6167"/>
        <v>0</v>
      </c>
      <c r="CK1247" s="552">
        <f t="shared" si="6167"/>
        <v>0</v>
      </c>
      <c r="CL1247" s="552">
        <f t="shared" si="6167"/>
        <v>0</v>
      </c>
      <c r="CM1247" s="552">
        <f t="shared" si="6167"/>
        <v>0</v>
      </c>
      <c r="CN1247" s="552">
        <f t="shared" si="6167"/>
        <v>0</v>
      </c>
      <c r="CO1247" s="552">
        <f t="shared" si="6167"/>
        <v>0</v>
      </c>
      <c r="CP1247" s="552">
        <f t="shared" si="6167"/>
        <v>0</v>
      </c>
      <c r="CQ1247" s="552">
        <f t="shared" si="6167"/>
        <v>0</v>
      </c>
      <c r="CR1247" s="552">
        <f t="shared" si="6167"/>
        <v>0</v>
      </c>
      <c r="CS1247" s="552">
        <f t="shared" si="6167"/>
        <v>0</v>
      </c>
      <c r="CT1247" s="552">
        <f t="shared" si="6167"/>
        <v>0</v>
      </c>
      <c r="CU1247" s="552">
        <f t="shared" si="6167"/>
        <v>0</v>
      </c>
      <c r="CV1247" s="552">
        <f t="shared" si="6167"/>
        <v>0</v>
      </c>
      <c r="CW1247" s="552">
        <f t="shared" si="6167"/>
        <v>0</v>
      </c>
      <c r="CX1247" s="552">
        <f t="shared" si="6167"/>
        <v>0</v>
      </c>
      <c r="CY1247" s="552">
        <f t="shared" si="6167"/>
        <v>0</v>
      </c>
      <c r="CZ1247" s="552">
        <f t="shared" si="6167"/>
        <v>0</v>
      </c>
      <c r="DA1247" s="552">
        <f t="shared" si="6167"/>
        <v>0</v>
      </c>
      <c r="DB1247" s="552">
        <f t="shared" ref="DB1247:EG1247" si="6168">DB297*DB$338</f>
        <v>0</v>
      </c>
      <c r="DC1247" s="552">
        <f t="shared" si="6168"/>
        <v>0</v>
      </c>
      <c r="DD1247" s="552">
        <f t="shared" si="6168"/>
        <v>0</v>
      </c>
      <c r="DE1247" s="552">
        <f t="shared" si="6168"/>
        <v>0</v>
      </c>
      <c r="DF1247" s="552">
        <f t="shared" si="6168"/>
        <v>0</v>
      </c>
      <c r="DG1247" s="552">
        <f t="shared" si="6168"/>
        <v>0</v>
      </c>
      <c r="DH1247" s="552">
        <f t="shared" si="6168"/>
        <v>0</v>
      </c>
      <c r="DI1247" s="552">
        <f t="shared" si="6168"/>
        <v>0</v>
      </c>
      <c r="DJ1247" s="552">
        <f t="shared" si="6168"/>
        <v>0</v>
      </c>
      <c r="DK1247" s="552">
        <f t="shared" si="6168"/>
        <v>0</v>
      </c>
      <c r="DL1247" s="552">
        <f t="shared" si="6168"/>
        <v>0</v>
      </c>
      <c r="DM1247" s="552">
        <f t="shared" si="6168"/>
        <v>0</v>
      </c>
      <c r="DN1247" s="552">
        <f t="shared" si="6168"/>
        <v>0</v>
      </c>
      <c r="DO1247" s="552">
        <f t="shared" si="6168"/>
        <v>0</v>
      </c>
      <c r="DP1247" s="552">
        <f t="shared" si="6168"/>
        <v>0</v>
      </c>
      <c r="DQ1247" s="552">
        <f t="shared" si="6168"/>
        <v>0</v>
      </c>
      <c r="DR1247" s="552">
        <f t="shared" si="6168"/>
        <v>0</v>
      </c>
      <c r="DS1247" s="552">
        <f t="shared" si="6168"/>
        <v>0</v>
      </c>
      <c r="DT1247" s="552">
        <f t="shared" si="6168"/>
        <v>0</v>
      </c>
      <c r="DU1247" s="552">
        <f t="shared" si="6168"/>
        <v>0</v>
      </c>
      <c r="DV1247" s="552">
        <f t="shared" si="6168"/>
        <v>0</v>
      </c>
      <c r="DW1247" s="552">
        <f t="shared" si="6168"/>
        <v>0</v>
      </c>
      <c r="DX1247" s="552">
        <f t="shared" si="6168"/>
        <v>0</v>
      </c>
      <c r="DY1247" s="552">
        <f t="shared" si="6168"/>
        <v>0</v>
      </c>
      <c r="DZ1247" s="552">
        <f t="shared" si="6168"/>
        <v>0</v>
      </c>
      <c r="EA1247" s="552">
        <f t="shared" si="6168"/>
        <v>0</v>
      </c>
      <c r="EB1247" s="552">
        <f t="shared" si="6168"/>
        <v>0</v>
      </c>
      <c r="EC1247" s="552">
        <f t="shared" si="6168"/>
        <v>0</v>
      </c>
      <c r="ED1247" s="552">
        <f t="shared" si="6168"/>
        <v>0</v>
      </c>
      <c r="EE1247" s="552">
        <f t="shared" si="6168"/>
        <v>0</v>
      </c>
      <c r="EF1247" s="552">
        <f t="shared" si="6168"/>
        <v>0</v>
      </c>
      <c r="EG1247" s="552">
        <f t="shared" si="6168"/>
        <v>0</v>
      </c>
      <c r="EH1247" s="552">
        <f t="shared" ref="EH1247:EX1247" si="6169">EH297*EH$338</f>
        <v>0</v>
      </c>
      <c r="EI1247" s="552">
        <f t="shared" si="6169"/>
        <v>0</v>
      </c>
      <c r="EJ1247" s="552">
        <f t="shared" si="6169"/>
        <v>0</v>
      </c>
      <c r="EK1247" s="552">
        <f t="shared" si="6169"/>
        <v>0</v>
      </c>
      <c r="EL1247" s="552">
        <f t="shared" si="6169"/>
        <v>0</v>
      </c>
      <c r="EM1247" s="552">
        <f t="shared" si="6169"/>
        <v>0</v>
      </c>
      <c r="EN1247" s="552">
        <f t="shared" si="6169"/>
        <v>0</v>
      </c>
      <c r="EO1247" s="552">
        <f t="shared" si="6169"/>
        <v>0</v>
      </c>
      <c r="EP1247" s="552">
        <f t="shared" si="6169"/>
        <v>0</v>
      </c>
      <c r="EQ1247" s="552">
        <f t="shared" si="6169"/>
        <v>0</v>
      </c>
      <c r="ER1247" s="552">
        <f t="shared" si="6169"/>
        <v>0</v>
      </c>
      <c r="ES1247" s="552">
        <f t="shared" si="6169"/>
        <v>0</v>
      </c>
      <c r="ET1247" s="552">
        <f t="shared" si="6169"/>
        <v>0</v>
      </c>
      <c r="EU1247" s="552">
        <f t="shared" si="6169"/>
        <v>0</v>
      </c>
      <c r="EV1247" s="552">
        <f t="shared" si="6169"/>
        <v>0</v>
      </c>
      <c r="EW1247" s="552">
        <f t="shared" si="6169"/>
        <v>0</v>
      </c>
      <c r="EX1247" s="552">
        <f t="shared" si="6169"/>
        <v>0</v>
      </c>
      <c r="EY1247" s="799">
        <f t="shared" si="6019"/>
        <v>0</v>
      </c>
      <c r="EZ1247" s="640"/>
      <c r="FA1247" s="640"/>
      <c r="FB1247" s="640"/>
      <c r="FC1247" s="640"/>
      <c r="FD1247" s="640"/>
      <c r="FE1247" s="640"/>
      <c r="FF1247" s="640"/>
      <c r="FG1247" s="640"/>
      <c r="FH1247" s="640"/>
      <c r="FI1247" s="640"/>
      <c r="FJ1247" s="640"/>
      <c r="FK1247" s="640"/>
      <c r="FL1247" s="640"/>
    </row>
    <row r="1248" spans="1:168" x14ac:dyDescent="0.25">
      <c r="A1248" s="1492"/>
      <c r="B1248" s="624">
        <v>0</v>
      </c>
      <c r="C1248" s="1137">
        <v>0</v>
      </c>
      <c r="D1248" s="1137">
        <v>0</v>
      </c>
      <c r="E1248" s="1158">
        <f t="shared" si="5978"/>
        <v>0</v>
      </c>
      <c r="F1248" s="1158"/>
      <c r="G1248" s="1140"/>
      <c r="H1248" s="1140"/>
      <c r="I1248" s="552"/>
      <c r="J1248" s="552">
        <f t="shared" ref="J1248:AO1248" si="6170">J298*J$338</f>
        <v>0</v>
      </c>
      <c r="K1248" s="552">
        <f t="shared" si="6170"/>
        <v>0</v>
      </c>
      <c r="L1248" s="552">
        <f t="shared" si="6170"/>
        <v>0</v>
      </c>
      <c r="M1248" s="552">
        <f t="shared" si="6170"/>
        <v>0</v>
      </c>
      <c r="N1248" s="552">
        <f t="shared" si="6170"/>
        <v>0</v>
      </c>
      <c r="O1248" s="552">
        <f t="shared" si="6170"/>
        <v>0</v>
      </c>
      <c r="P1248" s="552">
        <f t="shared" si="6170"/>
        <v>0</v>
      </c>
      <c r="Q1248" s="552">
        <f t="shared" si="6170"/>
        <v>0</v>
      </c>
      <c r="R1248" s="552">
        <f t="shared" si="6170"/>
        <v>0</v>
      </c>
      <c r="S1248" s="552">
        <f t="shared" si="6170"/>
        <v>0</v>
      </c>
      <c r="T1248" s="552">
        <f t="shared" si="6170"/>
        <v>0</v>
      </c>
      <c r="U1248" s="552">
        <f t="shared" si="6170"/>
        <v>0</v>
      </c>
      <c r="V1248" s="552">
        <f t="shared" si="6170"/>
        <v>0</v>
      </c>
      <c r="W1248" s="552">
        <f t="shared" si="6170"/>
        <v>0</v>
      </c>
      <c r="X1248" s="552">
        <f t="shared" si="6170"/>
        <v>0</v>
      </c>
      <c r="Y1248" s="552">
        <f t="shared" si="6170"/>
        <v>0</v>
      </c>
      <c r="Z1248" s="552">
        <f t="shared" si="6170"/>
        <v>0</v>
      </c>
      <c r="AA1248" s="552">
        <f t="shared" si="6170"/>
        <v>0</v>
      </c>
      <c r="AB1248" s="552">
        <f t="shared" si="6170"/>
        <v>0</v>
      </c>
      <c r="AC1248" s="552">
        <f t="shared" si="6170"/>
        <v>0</v>
      </c>
      <c r="AD1248" s="552">
        <f t="shared" si="6170"/>
        <v>0</v>
      </c>
      <c r="AE1248" s="552">
        <f t="shared" si="6170"/>
        <v>0</v>
      </c>
      <c r="AF1248" s="552">
        <f t="shared" si="6170"/>
        <v>0</v>
      </c>
      <c r="AG1248" s="552">
        <f t="shared" si="6170"/>
        <v>0</v>
      </c>
      <c r="AH1248" s="552">
        <f t="shared" si="6170"/>
        <v>0</v>
      </c>
      <c r="AI1248" s="552">
        <f t="shared" si="6170"/>
        <v>0</v>
      </c>
      <c r="AJ1248" s="552">
        <f t="shared" si="6170"/>
        <v>0</v>
      </c>
      <c r="AK1248" s="552">
        <f t="shared" si="6170"/>
        <v>0</v>
      </c>
      <c r="AL1248" s="552">
        <f t="shared" si="6170"/>
        <v>0</v>
      </c>
      <c r="AM1248" s="552">
        <f t="shared" si="6170"/>
        <v>0</v>
      </c>
      <c r="AN1248" s="552">
        <f t="shared" si="6170"/>
        <v>0</v>
      </c>
      <c r="AO1248" s="552">
        <f t="shared" si="6170"/>
        <v>0</v>
      </c>
      <c r="AP1248" s="552">
        <f t="shared" ref="AP1248:BU1248" si="6171">AP298*AP$338</f>
        <v>0</v>
      </c>
      <c r="AQ1248" s="552">
        <f t="shared" si="6171"/>
        <v>0</v>
      </c>
      <c r="AR1248" s="552">
        <f t="shared" si="6171"/>
        <v>0</v>
      </c>
      <c r="AS1248" s="552">
        <f t="shared" si="6171"/>
        <v>0</v>
      </c>
      <c r="AT1248" s="552">
        <f t="shared" si="6171"/>
        <v>0</v>
      </c>
      <c r="AU1248" s="552">
        <f t="shared" si="6171"/>
        <v>0</v>
      </c>
      <c r="AV1248" s="552">
        <f t="shared" si="6171"/>
        <v>0</v>
      </c>
      <c r="AW1248" s="552">
        <f t="shared" si="6171"/>
        <v>0</v>
      </c>
      <c r="AX1248" s="552">
        <f t="shared" si="6171"/>
        <v>0</v>
      </c>
      <c r="AY1248" s="552">
        <f t="shared" si="6171"/>
        <v>0</v>
      </c>
      <c r="AZ1248" s="552">
        <f t="shared" si="6171"/>
        <v>0</v>
      </c>
      <c r="BA1248" s="552">
        <f t="shared" si="6171"/>
        <v>0</v>
      </c>
      <c r="BB1248" s="552">
        <f t="shared" si="6171"/>
        <v>0</v>
      </c>
      <c r="BC1248" s="552">
        <f t="shared" si="6171"/>
        <v>0</v>
      </c>
      <c r="BD1248" s="552">
        <f t="shared" si="6171"/>
        <v>0</v>
      </c>
      <c r="BE1248" s="552">
        <f t="shared" si="6171"/>
        <v>0</v>
      </c>
      <c r="BF1248" s="552">
        <f t="shared" si="6171"/>
        <v>0</v>
      </c>
      <c r="BG1248" s="552">
        <f t="shared" si="6171"/>
        <v>0</v>
      </c>
      <c r="BH1248" s="552">
        <f t="shared" si="6171"/>
        <v>0</v>
      </c>
      <c r="BI1248" s="552">
        <f t="shared" si="6171"/>
        <v>0</v>
      </c>
      <c r="BJ1248" s="552">
        <f t="shared" si="6171"/>
        <v>0</v>
      </c>
      <c r="BK1248" s="552">
        <f t="shared" si="6171"/>
        <v>0</v>
      </c>
      <c r="BL1248" s="552">
        <f t="shared" si="6171"/>
        <v>0</v>
      </c>
      <c r="BM1248" s="552">
        <f t="shared" si="6171"/>
        <v>0</v>
      </c>
      <c r="BN1248" s="552">
        <f t="shared" si="6171"/>
        <v>0</v>
      </c>
      <c r="BO1248" s="552">
        <f t="shared" si="6171"/>
        <v>0</v>
      </c>
      <c r="BP1248" s="552">
        <f t="shared" si="6171"/>
        <v>0</v>
      </c>
      <c r="BQ1248" s="552">
        <f t="shared" si="6171"/>
        <v>0</v>
      </c>
      <c r="BR1248" s="552">
        <f t="shared" si="6171"/>
        <v>0</v>
      </c>
      <c r="BS1248" s="552">
        <f t="shared" si="6171"/>
        <v>0</v>
      </c>
      <c r="BT1248" s="552">
        <f t="shared" si="6171"/>
        <v>0</v>
      </c>
      <c r="BU1248" s="552">
        <f t="shared" si="6171"/>
        <v>0</v>
      </c>
      <c r="BV1248" s="552">
        <f t="shared" ref="BV1248:DA1248" si="6172">BV298*BV$338</f>
        <v>0</v>
      </c>
      <c r="BW1248" s="552">
        <f t="shared" si="6172"/>
        <v>0</v>
      </c>
      <c r="BX1248" s="552">
        <f t="shared" si="6172"/>
        <v>0</v>
      </c>
      <c r="BY1248" s="552">
        <f t="shared" si="6172"/>
        <v>0</v>
      </c>
      <c r="BZ1248" s="552">
        <f t="shared" si="6172"/>
        <v>0</v>
      </c>
      <c r="CA1248" s="552">
        <f t="shared" si="6172"/>
        <v>0</v>
      </c>
      <c r="CB1248" s="552">
        <f t="shared" si="6172"/>
        <v>0</v>
      </c>
      <c r="CC1248" s="552">
        <f t="shared" si="6172"/>
        <v>0</v>
      </c>
      <c r="CD1248" s="552">
        <f t="shared" si="6172"/>
        <v>0</v>
      </c>
      <c r="CE1248" s="552">
        <f t="shared" si="6172"/>
        <v>0</v>
      </c>
      <c r="CF1248" s="552">
        <f t="shared" si="6172"/>
        <v>0</v>
      </c>
      <c r="CG1248" s="552">
        <f t="shared" si="6172"/>
        <v>0</v>
      </c>
      <c r="CH1248" s="552">
        <f t="shared" si="6172"/>
        <v>0</v>
      </c>
      <c r="CI1248" s="552">
        <f t="shared" si="6172"/>
        <v>0</v>
      </c>
      <c r="CJ1248" s="552">
        <f t="shared" si="6172"/>
        <v>0</v>
      </c>
      <c r="CK1248" s="552">
        <f t="shared" si="6172"/>
        <v>0</v>
      </c>
      <c r="CL1248" s="552">
        <f t="shared" si="6172"/>
        <v>0</v>
      </c>
      <c r="CM1248" s="552">
        <f t="shared" si="6172"/>
        <v>0</v>
      </c>
      <c r="CN1248" s="552">
        <f t="shared" si="6172"/>
        <v>0</v>
      </c>
      <c r="CO1248" s="552">
        <f t="shared" si="6172"/>
        <v>0</v>
      </c>
      <c r="CP1248" s="552">
        <f t="shared" si="6172"/>
        <v>0</v>
      </c>
      <c r="CQ1248" s="552">
        <f t="shared" si="6172"/>
        <v>0</v>
      </c>
      <c r="CR1248" s="552">
        <f t="shared" si="6172"/>
        <v>0</v>
      </c>
      <c r="CS1248" s="552">
        <f t="shared" si="6172"/>
        <v>0</v>
      </c>
      <c r="CT1248" s="552">
        <f t="shared" si="6172"/>
        <v>0</v>
      </c>
      <c r="CU1248" s="552">
        <f t="shared" si="6172"/>
        <v>0</v>
      </c>
      <c r="CV1248" s="552">
        <f t="shared" si="6172"/>
        <v>0</v>
      </c>
      <c r="CW1248" s="552">
        <f t="shared" si="6172"/>
        <v>0</v>
      </c>
      <c r="CX1248" s="552">
        <f t="shared" si="6172"/>
        <v>0</v>
      </c>
      <c r="CY1248" s="552">
        <f t="shared" si="6172"/>
        <v>0</v>
      </c>
      <c r="CZ1248" s="552">
        <f t="shared" si="6172"/>
        <v>0</v>
      </c>
      <c r="DA1248" s="552">
        <f t="shared" si="6172"/>
        <v>0</v>
      </c>
      <c r="DB1248" s="552">
        <f t="shared" ref="DB1248:EG1248" si="6173">DB298*DB$338</f>
        <v>0</v>
      </c>
      <c r="DC1248" s="552">
        <f t="shared" si="6173"/>
        <v>0</v>
      </c>
      <c r="DD1248" s="552">
        <f t="shared" si="6173"/>
        <v>0</v>
      </c>
      <c r="DE1248" s="552">
        <f t="shared" si="6173"/>
        <v>0</v>
      </c>
      <c r="DF1248" s="552">
        <f t="shared" si="6173"/>
        <v>0</v>
      </c>
      <c r="DG1248" s="552">
        <f t="shared" si="6173"/>
        <v>0</v>
      </c>
      <c r="DH1248" s="552">
        <f t="shared" si="6173"/>
        <v>0</v>
      </c>
      <c r="DI1248" s="552">
        <f t="shared" si="6173"/>
        <v>0</v>
      </c>
      <c r="DJ1248" s="552">
        <f t="shared" si="6173"/>
        <v>0</v>
      </c>
      <c r="DK1248" s="552">
        <f t="shared" si="6173"/>
        <v>0</v>
      </c>
      <c r="DL1248" s="552">
        <f t="shared" si="6173"/>
        <v>0</v>
      </c>
      <c r="DM1248" s="552">
        <f t="shared" si="6173"/>
        <v>0</v>
      </c>
      <c r="DN1248" s="552">
        <f t="shared" si="6173"/>
        <v>0</v>
      </c>
      <c r="DO1248" s="552">
        <f t="shared" si="6173"/>
        <v>0</v>
      </c>
      <c r="DP1248" s="552">
        <f t="shared" si="6173"/>
        <v>0</v>
      </c>
      <c r="DQ1248" s="552">
        <f t="shared" si="6173"/>
        <v>0</v>
      </c>
      <c r="DR1248" s="552">
        <f t="shared" si="6173"/>
        <v>0</v>
      </c>
      <c r="DS1248" s="552">
        <f t="shared" si="6173"/>
        <v>0</v>
      </c>
      <c r="DT1248" s="552">
        <f t="shared" si="6173"/>
        <v>0</v>
      </c>
      <c r="DU1248" s="552">
        <f t="shared" si="6173"/>
        <v>0</v>
      </c>
      <c r="DV1248" s="552">
        <f t="shared" si="6173"/>
        <v>0</v>
      </c>
      <c r="DW1248" s="552">
        <f t="shared" si="6173"/>
        <v>0</v>
      </c>
      <c r="DX1248" s="552">
        <f t="shared" si="6173"/>
        <v>0</v>
      </c>
      <c r="DY1248" s="552">
        <f t="shared" si="6173"/>
        <v>0</v>
      </c>
      <c r="DZ1248" s="552">
        <f t="shared" si="6173"/>
        <v>0</v>
      </c>
      <c r="EA1248" s="552">
        <f t="shared" si="6173"/>
        <v>0</v>
      </c>
      <c r="EB1248" s="552">
        <f t="shared" si="6173"/>
        <v>0</v>
      </c>
      <c r="EC1248" s="552">
        <f t="shared" si="6173"/>
        <v>0</v>
      </c>
      <c r="ED1248" s="552">
        <f t="shared" si="6173"/>
        <v>0</v>
      </c>
      <c r="EE1248" s="552">
        <f t="shared" si="6173"/>
        <v>0</v>
      </c>
      <c r="EF1248" s="552">
        <f t="shared" si="6173"/>
        <v>0</v>
      </c>
      <c r="EG1248" s="552">
        <f t="shared" si="6173"/>
        <v>0</v>
      </c>
      <c r="EH1248" s="552">
        <f t="shared" ref="EH1248:EX1248" si="6174">EH298*EH$338</f>
        <v>0</v>
      </c>
      <c r="EI1248" s="552">
        <f t="shared" si="6174"/>
        <v>0</v>
      </c>
      <c r="EJ1248" s="552">
        <f t="shared" si="6174"/>
        <v>0</v>
      </c>
      <c r="EK1248" s="552">
        <f t="shared" si="6174"/>
        <v>0</v>
      </c>
      <c r="EL1248" s="552">
        <f t="shared" si="6174"/>
        <v>0</v>
      </c>
      <c r="EM1248" s="552">
        <f t="shared" si="6174"/>
        <v>0</v>
      </c>
      <c r="EN1248" s="552">
        <f t="shared" si="6174"/>
        <v>0</v>
      </c>
      <c r="EO1248" s="552">
        <f t="shared" si="6174"/>
        <v>0</v>
      </c>
      <c r="EP1248" s="552">
        <f t="shared" si="6174"/>
        <v>0</v>
      </c>
      <c r="EQ1248" s="552">
        <f t="shared" si="6174"/>
        <v>0</v>
      </c>
      <c r="ER1248" s="552">
        <f t="shared" si="6174"/>
        <v>0</v>
      </c>
      <c r="ES1248" s="552">
        <f t="shared" si="6174"/>
        <v>0</v>
      </c>
      <c r="ET1248" s="552">
        <f t="shared" si="6174"/>
        <v>0</v>
      </c>
      <c r="EU1248" s="552">
        <f t="shared" si="6174"/>
        <v>0</v>
      </c>
      <c r="EV1248" s="552">
        <f t="shared" si="6174"/>
        <v>0</v>
      </c>
      <c r="EW1248" s="552">
        <f t="shared" si="6174"/>
        <v>0</v>
      </c>
      <c r="EX1248" s="552">
        <f t="shared" si="6174"/>
        <v>0</v>
      </c>
      <c r="EY1248" s="799">
        <f t="shared" si="6019"/>
        <v>0</v>
      </c>
      <c r="EZ1248" s="640"/>
      <c r="FA1248" s="640"/>
      <c r="FB1248" s="640"/>
      <c r="FC1248" s="640"/>
      <c r="FD1248" s="640"/>
      <c r="FE1248" s="640"/>
      <c r="FF1248" s="640"/>
      <c r="FG1248" s="640"/>
      <c r="FH1248" s="640"/>
      <c r="FI1248" s="640"/>
      <c r="FJ1248" s="640"/>
      <c r="FK1248" s="640"/>
      <c r="FL1248" s="640"/>
    </row>
    <row r="1249" spans="1:168" x14ac:dyDescent="0.25">
      <c r="A1249" s="1492"/>
      <c r="B1249" s="624">
        <v>0</v>
      </c>
      <c r="C1249" s="1137">
        <v>0</v>
      </c>
      <c r="D1249" s="1137">
        <v>0</v>
      </c>
      <c r="E1249" s="1158">
        <f t="shared" si="5978"/>
        <v>0</v>
      </c>
      <c r="F1249" s="1158"/>
      <c r="G1249" s="1140"/>
      <c r="H1249" s="1140"/>
      <c r="I1249" s="552"/>
      <c r="J1249" s="552">
        <f t="shared" ref="J1249:AO1249" si="6175">J299*J$338</f>
        <v>0</v>
      </c>
      <c r="K1249" s="552">
        <f t="shared" si="6175"/>
        <v>0</v>
      </c>
      <c r="L1249" s="552">
        <f t="shared" si="6175"/>
        <v>0</v>
      </c>
      <c r="M1249" s="552">
        <f t="shared" si="6175"/>
        <v>0</v>
      </c>
      <c r="N1249" s="552">
        <f t="shared" si="6175"/>
        <v>0</v>
      </c>
      <c r="O1249" s="552">
        <f t="shared" si="6175"/>
        <v>0</v>
      </c>
      <c r="P1249" s="552">
        <f t="shared" si="6175"/>
        <v>0</v>
      </c>
      <c r="Q1249" s="552">
        <f t="shared" si="6175"/>
        <v>0</v>
      </c>
      <c r="R1249" s="552">
        <f t="shared" si="6175"/>
        <v>0</v>
      </c>
      <c r="S1249" s="552">
        <f t="shared" si="6175"/>
        <v>0</v>
      </c>
      <c r="T1249" s="552">
        <f t="shared" si="6175"/>
        <v>0</v>
      </c>
      <c r="U1249" s="552">
        <f t="shared" si="6175"/>
        <v>0</v>
      </c>
      <c r="V1249" s="552">
        <f t="shared" si="6175"/>
        <v>0</v>
      </c>
      <c r="W1249" s="552">
        <f t="shared" si="6175"/>
        <v>0</v>
      </c>
      <c r="X1249" s="552">
        <f t="shared" si="6175"/>
        <v>0</v>
      </c>
      <c r="Y1249" s="552">
        <f t="shared" si="6175"/>
        <v>0</v>
      </c>
      <c r="Z1249" s="552">
        <f t="shared" si="6175"/>
        <v>0</v>
      </c>
      <c r="AA1249" s="552">
        <f t="shared" si="6175"/>
        <v>0</v>
      </c>
      <c r="AB1249" s="552">
        <f t="shared" si="6175"/>
        <v>0</v>
      </c>
      <c r="AC1249" s="552">
        <f t="shared" si="6175"/>
        <v>0</v>
      </c>
      <c r="AD1249" s="552">
        <f t="shared" si="6175"/>
        <v>0</v>
      </c>
      <c r="AE1249" s="552">
        <f t="shared" si="6175"/>
        <v>0</v>
      </c>
      <c r="AF1249" s="552">
        <f t="shared" si="6175"/>
        <v>0</v>
      </c>
      <c r="AG1249" s="552">
        <f t="shared" si="6175"/>
        <v>0</v>
      </c>
      <c r="AH1249" s="552">
        <f t="shared" si="6175"/>
        <v>0</v>
      </c>
      <c r="AI1249" s="552">
        <f t="shared" si="6175"/>
        <v>0</v>
      </c>
      <c r="AJ1249" s="552">
        <f t="shared" si="6175"/>
        <v>0</v>
      </c>
      <c r="AK1249" s="552">
        <f t="shared" si="6175"/>
        <v>0</v>
      </c>
      <c r="AL1249" s="552">
        <f t="shared" si="6175"/>
        <v>0</v>
      </c>
      <c r="AM1249" s="552">
        <f t="shared" si="6175"/>
        <v>0</v>
      </c>
      <c r="AN1249" s="552">
        <f t="shared" si="6175"/>
        <v>0</v>
      </c>
      <c r="AO1249" s="552">
        <f t="shared" si="6175"/>
        <v>0</v>
      </c>
      <c r="AP1249" s="552">
        <f t="shared" ref="AP1249:BU1249" si="6176">AP299*AP$338</f>
        <v>0</v>
      </c>
      <c r="AQ1249" s="552">
        <f t="shared" si="6176"/>
        <v>0</v>
      </c>
      <c r="AR1249" s="552">
        <f t="shared" si="6176"/>
        <v>0</v>
      </c>
      <c r="AS1249" s="552">
        <f t="shared" si="6176"/>
        <v>0</v>
      </c>
      <c r="AT1249" s="552">
        <f t="shared" si="6176"/>
        <v>0</v>
      </c>
      <c r="AU1249" s="552">
        <f t="shared" si="6176"/>
        <v>0</v>
      </c>
      <c r="AV1249" s="552">
        <f t="shared" si="6176"/>
        <v>0</v>
      </c>
      <c r="AW1249" s="552">
        <f t="shared" si="6176"/>
        <v>0</v>
      </c>
      <c r="AX1249" s="552">
        <f t="shared" si="6176"/>
        <v>0</v>
      </c>
      <c r="AY1249" s="552">
        <f t="shared" si="6176"/>
        <v>0</v>
      </c>
      <c r="AZ1249" s="552">
        <f t="shared" si="6176"/>
        <v>0</v>
      </c>
      <c r="BA1249" s="552">
        <f t="shared" si="6176"/>
        <v>0</v>
      </c>
      <c r="BB1249" s="552">
        <f t="shared" si="6176"/>
        <v>0</v>
      </c>
      <c r="BC1249" s="552">
        <f t="shared" si="6176"/>
        <v>0</v>
      </c>
      <c r="BD1249" s="552">
        <f t="shared" si="6176"/>
        <v>0</v>
      </c>
      <c r="BE1249" s="552">
        <f t="shared" si="6176"/>
        <v>0</v>
      </c>
      <c r="BF1249" s="552">
        <f t="shared" si="6176"/>
        <v>0</v>
      </c>
      <c r="BG1249" s="552">
        <f t="shared" si="6176"/>
        <v>0</v>
      </c>
      <c r="BH1249" s="552">
        <f t="shared" si="6176"/>
        <v>0</v>
      </c>
      <c r="BI1249" s="552">
        <f t="shared" si="6176"/>
        <v>0</v>
      </c>
      <c r="BJ1249" s="552">
        <f t="shared" si="6176"/>
        <v>0</v>
      </c>
      <c r="BK1249" s="552">
        <f t="shared" si="6176"/>
        <v>0</v>
      </c>
      <c r="BL1249" s="552">
        <f t="shared" si="6176"/>
        <v>0</v>
      </c>
      <c r="BM1249" s="552">
        <f t="shared" si="6176"/>
        <v>0</v>
      </c>
      <c r="BN1249" s="552">
        <f t="shared" si="6176"/>
        <v>0</v>
      </c>
      <c r="BO1249" s="552">
        <f t="shared" si="6176"/>
        <v>0</v>
      </c>
      <c r="BP1249" s="552">
        <f t="shared" si="6176"/>
        <v>0</v>
      </c>
      <c r="BQ1249" s="552">
        <f t="shared" si="6176"/>
        <v>0</v>
      </c>
      <c r="BR1249" s="552">
        <f t="shared" si="6176"/>
        <v>0</v>
      </c>
      <c r="BS1249" s="552">
        <f t="shared" si="6176"/>
        <v>0</v>
      </c>
      <c r="BT1249" s="552">
        <f t="shared" si="6176"/>
        <v>0</v>
      </c>
      <c r="BU1249" s="552">
        <f t="shared" si="6176"/>
        <v>0</v>
      </c>
      <c r="BV1249" s="552">
        <f t="shared" ref="BV1249:DA1249" si="6177">BV299*BV$338</f>
        <v>0</v>
      </c>
      <c r="BW1249" s="552">
        <f t="shared" si="6177"/>
        <v>0</v>
      </c>
      <c r="BX1249" s="552">
        <f t="shared" si="6177"/>
        <v>0</v>
      </c>
      <c r="BY1249" s="552">
        <f t="shared" si="6177"/>
        <v>0</v>
      </c>
      <c r="BZ1249" s="552">
        <f t="shared" si="6177"/>
        <v>0</v>
      </c>
      <c r="CA1249" s="552">
        <f t="shared" si="6177"/>
        <v>0</v>
      </c>
      <c r="CB1249" s="552">
        <f t="shared" si="6177"/>
        <v>0</v>
      </c>
      <c r="CC1249" s="552">
        <f t="shared" si="6177"/>
        <v>0</v>
      </c>
      <c r="CD1249" s="552">
        <f t="shared" si="6177"/>
        <v>0</v>
      </c>
      <c r="CE1249" s="552">
        <f t="shared" si="6177"/>
        <v>0</v>
      </c>
      <c r="CF1249" s="552">
        <f t="shared" si="6177"/>
        <v>0</v>
      </c>
      <c r="CG1249" s="552">
        <f t="shared" si="6177"/>
        <v>0</v>
      </c>
      <c r="CH1249" s="552">
        <f t="shared" si="6177"/>
        <v>0</v>
      </c>
      <c r="CI1249" s="552">
        <f t="shared" si="6177"/>
        <v>0</v>
      </c>
      <c r="CJ1249" s="552">
        <f t="shared" si="6177"/>
        <v>0</v>
      </c>
      <c r="CK1249" s="552">
        <f t="shared" si="6177"/>
        <v>0</v>
      </c>
      <c r="CL1249" s="552">
        <f t="shared" si="6177"/>
        <v>0</v>
      </c>
      <c r="CM1249" s="552">
        <f t="shared" si="6177"/>
        <v>0</v>
      </c>
      <c r="CN1249" s="552">
        <f t="shared" si="6177"/>
        <v>0</v>
      </c>
      <c r="CO1249" s="552">
        <f t="shared" si="6177"/>
        <v>0</v>
      </c>
      <c r="CP1249" s="552">
        <f t="shared" si="6177"/>
        <v>0</v>
      </c>
      <c r="CQ1249" s="552">
        <f t="shared" si="6177"/>
        <v>0</v>
      </c>
      <c r="CR1249" s="552">
        <f t="shared" si="6177"/>
        <v>0</v>
      </c>
      <c r="CS1249" s="552">
        <f t="shared" si="6177"/>
        <v>0</v>
      </c>
      <c r="CT1249" s="552">
        <f t="shared" si="6177"/>
        <v>0</v>
      </c>
      <c r="CU1249" s="552">
        <f t="shared" si="6177"/>
        <v>0</v>
      </c>
      <c r="CV1249" s="552">
        <f t="shared" si="6177"/>
        <v>0</v>
      </c>
      <c r="CW1249" s="552">
        <f t="shared" si="6177"/>
        <v>0</v>
      </c>
      <c r="CX1249" s="552">
        <f t="shared" si="6177"/>
        <v>0</v>
      </c>
      <c r="CY1249" s="552">
        <f t="shared" si="6177"/>
        <v>0</v>
      </c>
      <c r="CZ1249" s="552">
        <f t="shared" si="6177"/>
        <v>0</v>
      </c>
      <c r="DA1249" s="552">
        <f t="shared" si="6177"/>
        <v>0</v>
      </c>
      <c r="DB1249" s="552">
        <f t="shared" ref="DB1249:EG1249" si="6178">DB299*DB$338</f>
        <v>0</v>
      </c>
      <c r="DC1249" s="552">
        <f t="shared" si="6178"/>
        <v>0</v>
      </c>
      <c r="DD1249" s="552">
        <f t="shared" si="6178"/>
        <v>0</v>
      </c>
      <c r="DE1249" s="552">
        <f t="shared" si="6178"/>
        <v>0</v>
      </c>
      <c r="DF1249" s="552">
        <f t="shared" si="6178"/>
        <v>0</v>
      </c>
      <c r="DG1249" s="552">
        <f t="shared" si="6178"/>
        <v>0</v>
      </c>
      <c r="DH1249" s="552">
        <f t="shared" si="6178"/>
        <v>0</v>
      </c>
      <c r="DI1249" s="552">
        <f t="shared" si="6178"/>
        <v>0</v>
      </c>
      <c r="DJ1249" s="552">
        <f t="shared" si="6178"/>
        <v>0</v>
      </c>
      <c r="DK1249" s="552">
        <f t="shared" si="6178"/>
        <v>0</v>
      </c>
      <c r="DL1249" s="552">
        <f t="shared" si="6178"/>
        <v>0</v>
      </c>
      <c r="DM1249" s="552">
        <f t="shared" si="6178"/>
        <v>0</v>
      </c>
      <c r="DN1249" s="552">
        <f t="shared" si="6178"/>
        <v>0</v>
      </c>
      <c r="DO1249" s="552">
        <f t="shared" si="6178"/>
        <v>0</v>
      </c>
      <c r="DP1249" s="552">
        <f t="shared" si="6178"/>
        <v>0</v>
      </c>
      <c r="DQ1249" s="552">
        <f t="shared" si="6178"/>
        <v>0</v>
      </c>
      <c r="DR1249" s="552">
        <f t="shared" si="6178"/>
        <v>0</v>
      </c>
      <c r="DS1249" s="552">
        <f t="shared" si="6178"/>
        <v>0</v>
      </c>
      <c r="DT1249" s="552">
        <f t="shared" si="6178"/>
        <v>0</v>
      </c>
      <c r="DU1249" s="552">
        <f t="shared" si="6178"/>
        <v>0</v>
      </c>
      <c r="DV1249" s="552">
        <f t="shared" si="6178"/>
        <v>0</v>
      </c>
      <c r="DW1249" s="552">
        <f t="shared" si="6178"/>
        <v>0</v>
      </c>
      <c r="DX1249" s="552">
        <f t="shared" si="6178"/>
        <v>0</v>
      </c>
      <c r="DY1249" s="552">
        <f t="shared" si="6178"/>
        <v>0</v>
      </c>
      <c r="DZ1249" s="552">
        <f t="shared" si="6178"/>
        <v>0</v>
      </c>
      <c r="EA1249" s="552">
        <f t="shared" si="6178"/>
        <v>0</v>
      </c>
      <c r="EB1249" s="552">
        <f t="shared" si="6178"/>
        <v>0</v>
      </c>
      <c r="EC1249" s="552">
        <f t="shared" si="6178"/>
        <v>0</v>
      </c>
      <c r="ED1249" s="552">
        <f t="shared" si="6178"/>
        <v>0</v>
      </c>
      <c r="EE1249" s="552">
        <f t="shared" si="6178"/>
        <v>0</v>
      </c>
      <c r="EF1249" s="552">
        <f t="shared" si="6178"/>
        <v>0</v>
      </c>
      <c r="EG1249" s="552">
        <f t="shared" si="6178"/>
        <v>0</v>
      </c>
      <c r="EH1249" s="552">
        <f t="shared" ref="EH1249:EX1249" si="6179">EH299*EH$338</f>
        <v>0</v>
      </c>
      <c r="EI1249" s="552">
        <f t="shared" si="6179"/>
        <v>0</v>
      </c>
      <c r="EJ1249" s="552">
        <f t="shared" si="6179"/>
        <v>0</v>
      </c>
      <c r="EK1249" s="552">
        <f t="shared" si="6179"/>
        <v>0</v>
      </c>
      <c r="EL1249" s="552">
        <f t="shared" si="6179"/>
        <v>0</v>
      </c>
      <c r="EM1249" s="552">
        <f t="shared" si="6179"/>
        <v>0</v>
      </c>
      <c r="EN1249" s="552">
        <f t="shared" si="6179"/>
        <v>0</v>
      </c>
      <c r="EO1249" s="552">
        <f t="shared" si="6179"/>
        <v>0</v>
      </c>
      <c r="EP1249" s="552">
        <f t="shared" si="6179"/>
        <v>0</v>
      </c>
      <c r="EQ1249" s="552">
        <f t="shared" si="6179"/>
        <v>0</v>
      </c>
      <c r="ER1249" s="552">
        <f t="shared" si="6179"/>
        <v>0</v>
      </c>
      <c r="ES1249" s="552">
        <f t="shared" si="6179"/>
        <v>0</v>
      </c>
      <c r="ET1249" s="552">
        <f t="shared" si="6179"/>
        <v>0</v>
      </c>
      <c r="EU1249" s="552">
        <f t="shared" si="6179"/>
        <v>0</v>
      </c>
      <c r="EV1249" s="552">
        <f t="shared" si="6179"/>
        <v>0</v>
      </c>
      <c r="EW1249" s="552">
        <f t="shared" si="6179"/>
        <v>0</v>
      </c>
      <c r="EX1249" s="552">
        <f t="shared" si="6179"/>
        <v>0</v>
      </c>
      <c r="EY1249" s="799">
        <f t="shared" si="6019"/>
        <v>0</v>
      </c>
      <c r="EZ1249" s="640"/>
      <c r="FA1249" s="640"/>
      <c r="FB1249" s="640"/>
      <c r="FC1249" s="640"/>
      <c r="FD1249" s="640"/>
      <c r="FE1249" s="640"/>
      <c r="FF1249" s="640"/>
      <c r="FG1249" s="640"/>
      <c r="FH1249" s="640"/>
      <c r="FI1249" s="640"/>
      <c r="FJ1249" s="640"/>
      <c r="FK1249" s="640"/>
      <c r="FL1249" s="640"/>
    </row>
    <row r="1250" spans="1:168" x14ac:dyDescent="0.25">
      <c r="A1250" s="1492"/>
      <c r="B1250" s="624">
        <v>0</v>
      </c>
      <c r="C1250" s="1137">
        <v>0</v>
      </c>
      <c r="D1250" s="1137">
        <v>0</v>
      </c>
      <c r="E1250" s="1158">
        <f t="shared" si="5978"/>
        <v>0</v>
      </c>
      <c r="F1250" s="1158"/>
      <c r="G1250" s="1140"/>
      <c r="H1250" s="1140"/>
      <c r="I1250" s="552"/>
      <c r="J1250" s="552">
        <f t="shared" ref="J1250:AO1250" si="6180">J300*J$338</f>
        <v>0</v>
      </c>
      <c r="K1250" s="552">
        <f t="shared" si="6180"/>
        <v>0</v>
      </c>
      <c r="L1250" s="552">
        <f t="shared" si="6180"/>
        <v>0</v>
      </c>
      <c r="M1250" s="552">
        <f t="shared" si="6180"/>
        <v>0</v>
      </c>
      <c r="N1250" s="552">
        <f t="shared" si="6180"/>
        <v>0</v>
      </c>
      <c r="O1250" s="552">
        <f t="shared" si="6180"/>
        <v>0</v>
      </c>
      <c r="P1250" s="552">
        <f t="shared" si="6180"/>
        <v>0</v>
      </c>
      <c r="Q1250" s="552">
        <f t="shared" si="6180"/>
        <v>0</v>
      </c>
      <c r="R1250" s="552">
        <f t="shared" si="6180"/>
        <v>0</v>
      </c>
      <c r="S1250" s="552">
        <f t="shared" si="6180"/>
        <v>0</v>
      </c>
      <c r="T1250" s="552">
        <f t="shared" si="6180"/>
        <v>0</v>
      </c>
      <c r="U1250" s="552">
        <f t="shared" si="6180"/>
        <v>0</v>
      </c>
      <c r="V1250" s="552">
        <f t="shared" si="6180"/>
        <v>0</v>
      </c>
      <c r="W1250" s="552">
        <f t="shared" si="6180"/>
        <v>0</v>
      </c>
      <c r="X1250" s="552">
        <f t="shared" si="6180"/>
        <v>0</v>
      </c>
      <c r="Y1250" s="552">
        <f t="shared" si="6180"/>
        <v>0</v>
      </c>
      <c r="Z1250" s="552">
        <f t="shared" si="6180"/>
        <v>0</v>
      </c>
      <c r="AA1250" s="552">
        <f t="shared" si="6180"/>
        <v>0</v>
      </c>
      <c r="AB1250" s="552">
        <f t="shared" si="6180"/>
        <v>0</v>
      </c>
      <c r="AC1250" s="552">
        <f t="shared" si="6180"/>
        <v>0</v>
      </c>
      <c r="AD1250" s="552">
        <f t="shared" si="6180"/>
        <v>0</v>
      </c>
      <c r="AE1250" s="552">
        <f t="shared" si="6180"/>
        <v>0</v>
      </c>
      <c r="AF1250" s="552">
        <f t="shared" si="6180"/>
        <v>0</v>
      </c>
      <c r="AG1250" s="552">
        <f t="shared" si="6180"/>
        <v>0</v>
      </c>
      <c r="AH1250" s="552">
        <f t="shared" si="6180"/>
        <v>0</v>
      </c>
      <c r="AI1250" s="552">
        <f t="shared" si="6180"/>
        <v>0</v>
      </c>
      <c r="AJ1250" s="552">
        <f t="shared" si="6180"/>
        <v>0</v>
      </c>
      <c r="AK1250" s="552">
        <f t="shared" si="6180"/>
        <v>0</v>
      </c>
      <c r="AL1250" s="552">
        <f t="shared" si="6180"/>
        <v>0</v>
      </c>
      <c r="AM1250" s="552">
        <f t="shared" si="6180"/>
        <v>0</v>
      </c>
      <c r="AN1250" s="552">
        <f t="shared" si="6180"/>
        <v>0</v>
      </c>
      <c r="AO1250" s="552">
        <f t="shared" si="6180"/>
        <v>0</v>
      </c>
      <c r="AP1250" s="552">
        <f t="shared" ref="AP1250:BU1250" si="6181">AP300*AP$338</f>
        <v>0</v>
      </c>
      <c r="AQ1250" s="552">
        <f t="shared" si="6181"/>
        <v>0</v>
      </c>
      <c r="AR1250" s="552">
        <f t="shared" si="6181"/>
        <v>0</v>
      </c>
      <c r="AS1250" s="552">
        <f t="shared" si="6181"/>
        <v>0</v>
      </c>
      <c r="AT1250" s="552">
        <f t="shared" si="6181"/>
        <v>0</v>
      </c>
      <c r="AU1250" s="552">
        <f t="shared" si="6181"/>
        <v>0</v>
      </c>
      <c r="AV1250" s="552">
        <f t="shared" si="6181"/>
        <v>0</v>
      </c>
      <c r="AW1250" s="552">
        <f t="shared" si="6181"/>
        <v>0</v>
      </c>
      <c r="AX1250" s="552">
        <f t="shared" si="6181"/>
        <v>0</v>
      </c>
      <c r="AY1250" s="552">
        <f t="shared" si="6181"/>
        <v>0</v>
      </c>
      <c r="AZ1250" s="552">
        <f t="shared" si="6181"/>
        <v>0</v>
      </c>
      <c r="BA1250" s="552">
        <f t="shared" si="6181"/>
        <v>0</v>
      </c>
      <c r="BB1250" s="552">
        <f t="shared" si="6181"/>
        <v>0</v>
      </c>
      <c r="BC1250" s="552">
        <f t="shared" si="6181"/>
        <v>0</v>
      </c>
      <c r="BD1250" s="552">
        <f t="shared" si="6181"/>
        <v>0</v>
      </c>
      <c r="BE1250" s="552">
        <f t="shared" si="6181"/>
        <v>0</v>
      </c>
      <c r="BF1250" s="552">
        <f t="shared" si="6181"/>
        <v>0</v>
      </c>
      <c r="BG1250" s="552">
        <f t="shared" si="6181"/>
        <v>0</v>
      </c>
      <c r="BH1250" s="552">
        <f t="shared" si="6181"/>
        <v>0</v>
      </c>
      <c r="BI1250" s="552">
        <f t="shared" si="6181"/>
        <v>0</v>
      </c>
      <c r="BJ1250" s="552">
        <f t="shared" si="6181"/>
        <v>0</v>
      </c>
      <c r="BK1250" s="552">
        <f t="shared" si="6181"/>
        <v>0</v>
      </c>
      <c r="BL1250" s="552">
        <f t="shared" si="6181"/>
        <v>0</v>
      </c>
      <c r="BM1250" s="552">
        <f t="shared" si="6181"/>
        <v>0</v>
      </c>
      <c r="BN1250" s="552">
        <f t="shared" si="6181"/>
        <v>0</v>
      </c>
      <c r="BO1250" s="552">
        <f t="shared" si="6181"/>
        <v>0</v>
      </c>
      <c r="BP1250" s="552">
        <f t="shared" si="6181"/>
        <v>0</v>
      </c>
      <c r="BQ1250" s="552">
        <f t="shared" si="6181"/>
        <v>0</v>
      </c>
      <c r="BR1250" s="552">
        <f t="shared" si="6181"/>
        <v>0</v>
      </c>
      <c r="BS1250" s="552">
        <f t="shared" si="6181"/>
        <v>0</v>
      </c>
      <c r="BT1250" s="552">
        <f t="shared" si="6181"/>
        <v>0</v>
      </c>
      <c r="BU1250" s="552">
        <f t="shared" si="6181"/>
        <v>0</v>
      </c>
      <c r="BV1250" s="552">
        <f t="shared" ref="BV1250:DA1250" si="6182">BV300*BV$338</f>
        <v>0</v>
      </c>
      <c r="BW1250" s="552">
        <f t="shared" si="6182"/>
        <v>0</v>
      </c>
      <c r="BX1250" s="552">
        <f t="shared" si="6182"/>
        <v>0</v>
      </c>
      <c r="BY1250" s="552">
        <f t="shared" si="6182"/>
        <v>0</v>
      </c>
      <c r="BZ1250" s="552">
        <f t="shared" si="6182"/>
        <v>0</v>
      </c>
      <c r="CA1250" s="552">
        <f t="shared" si="6182"/>
        <v>0</v>
      </c>
      <c r="CB1250" s="552">
        <f t="shared" si="6182"/>
        <v>0</v>
      </c>
      <c r="CC1250" s="552">
        <f t="shared" si="6182"/>
        <v>0</v>
      </c>
      <c r="CD1250" s="552">
        <f t="shared" si="6182"/>
        <v>0</v>
      </c>
      <c r="CE1250" s="552">
        <f t="shared" si="6182"/>
        <v>0</v>
      </c>
      <c r="CF1250" s="552">
        <f t="shared" si="6182"/>
        <v>0</v>
      </c>
      <c r="CG1250" s="552">
        <f t="shared" si="6182"/>
        <v>0</v>
      </c>
      <c r="CH1250" s="552">
        <f t="shared" si="6182"/>
        <v>0</v>
      </c>
      <c r="CI1250" s="552">
        <f t="shared" si="6182"/>
        <v>0</v>
      </c>
      <c r="CJ1250" s="552">
        <f t="shared" si="6182"/>
        <v>0</v>
      </c>
      <c r="CK1250" s="552">
        <f t="shared" si="6182"/>
        <v>0</v>
      </c>
      <c r="CL1250" s="552">
        <f t="shared" si="6182"/>
        <v>0</v>
      </c>
      <c r="CM1250" s="552">
        <f t="shared" si="6182"/>
        <v>0</v>
      </c>
      <c r="CN1250" s="552">
        <f t="shared" si="6182"/>
        <v>0</v>
      </c>
      <c r="CO1250" s="552">
        <f t="shared" si="6182"/>
        <v>0</v>
      </c>
      <c r="CP1250" s="552">
        <f t="shared" si="6182"/>
        <v>0</v>
      </c>
      <c r="CQ1250" s="552">
        <f t="shared" si="6182"/>
        <v>0</v>
      </c>
      <c r="CR1250" s="552">
        <f t="shared" si="6182"/>
        <v>0</v>
      </c>
      <c r="CS1250" s="552">
        <f t="shared" si="6182"/>
        <v>0</v>
      </c>
      <c r="CT1250" s="552">
        <f t="shared" si="6182"/>
        <v>0</v>
      </c>
      <c r="CU1250" s="552">
        <f t="shared" si="6182"/>
        <v>0</v>
      </c>
      <c r="CV1250" s="552">
        <f t="shared" si="6182"/>
        <v>0</v>
      </c>
      <c r="CW1250" s="552">
        <f t="shared" si="6182"/>
        <v>0</v>
      </c>
      <c r="CX1250" s="552">
        <f t="shared" si="6182"/>
        <v>0</v>
      </c>
      <c r="CY1250" s="552">
        <f t="shared" si="6182"/>
        <v>0</v>
      </c>
      <c r="CZ1250" s="552">
        <f t="shared" si="6182"/>
        <v>0</v>
      </c>
      <c r="DA1250" s="552">
        <f t="shared" si="6182"/>
        <v>0</v>
      </c>
      <c r="DB1250" s="552">
        <f t="shared" ref="DB1250:EG1250" si="6183">DB300*DB$338</f>
        <v>0</v>
      </c>
      <c r="DC1250" s="552">
        <f t="shared" si="6183"/>
        <v>0</v>
      </c>
      <c r="DD1250" s="552">
        <f t="shared" si="6183"/>
        <v>0</v>
      </c>
      <c r="DE1250" s="552">
        <f t="shared" si="6183"/>
        <v>0</v>
      </c>
      <c r="DF1250" s="552">
        <f t="shared" si="6183"/>
        <v>0</v>
      </c>
      <c r="DG1250" s="552">
        <f t="shared" si="6183"/>
        <v>0</v>
      </c>
      <c r="DH1250" s="552">
        <f t="shared" si="6183"/>
        <v>0</v>
      </c>
      <c r="DI1250" s="552">
        <f t="shared" si="6183"/>
        <v>0</v>
      </c>
      <c r="DJ1250" s="552">
        <f t="shared" si="6183"/>
        <v>0</v>
      </c>
      <c r="DK1250" s="552">
        <f t="shared" si="6183"/>
        <v>0</v>
      </c>
      <c r="DL1250" s="552">
        <f t="shared" si="6183"/>
        <v>0</v>
      </c>
      <c r="DM1250" s="552">
        <f t="shared" si="6183"/>
        <v>0</v>
      </c>
      <c r="DN1250" s="552">
        <f t="shared" si="6183"/>
        <v>0</v>
      </c>
      <c r="DO1250" s="552">
        <f t="shared" si="6183"/>
        <v>0</v>
      </c>
      <c r="DP1250" s="552">
        <f t="shared" si="6183"/>
        <v>0</v>
      </c>
      <c r="DQ1250" s="552">
        <f t="shared" si="6183"/>
        <v>0</v>
      </c>
      <c r="DR1250" s="552">
        <f t="shared" si="6183"/>
        <v>0</v>
      </c>
      <c r="DS1250" s="552">
        <f t="shared" si="6183"/>
        <v>0</v>
      </c>
      <c r="DT1250" s="552">
        <f t="shared" si="6183"/>
        <v>0</v>
      </c>
      <c r="DU1250" s="552">
        <f t="shared" si="6183"/>
        <v>0</v>
      </c>
      <c r="DV1250" s="552">
        <f t="shared" si="6183"/>
        <v>0</v>
      </c>
      <c r="DW1250" s="552">
        <f t="shared" si="6183"/>
        <v>0</v>
      </c>
      <c r="DX1250" s="552">
        <f t="shared" si="6183"/>
        <v>0</v>
      </c>
      <c r="DY1250" s="552">
        <f t="shared" si="6183"/>
        <v>0</v>
      </c>
      <c r="DZ1250" s="552">
        <f t="shared" si="6183"/>
        <v>0</v>
      </c>
      <c r="EA1250" s="552">
        <f t="shared" si="6183"/>
        <v>0</v>
      </c>
      <c r="EB1250" s="552">
        <f t="shared" si="6183"/>
        <v>0</v>
      </c>
      <c r="EC1250" s="552">
        <f t="shared" si="6183"/>
        <v>0</v>
      </c>
      <c r="ED1250" s="552">
        <f t="shared" si="6183"/>
        <v>0</v>
      </c>
      <c r="EE1250" s="552">
        <f t="shared" si="6183"/>
        <v>0</v>
      </c>
      <c r="EF1250" s="552">
        <f t="shared" si="6183"/>
        <v>0</v>
      </c>
      <c r="EG1250" s="552">
        <f t="shared" si="6183"/>
        <v>0</v>
      </c>
      <c r="EH1250" s="552">
        <f t="shared" ref="EH1250:EX1250" si="6184">EH300*EH$338</f>
        <v>0</v>
      </c>
      <c r="EI1250" s="552">
        <f t="shared" si="6184"/>
        <v>0</v>
      </c>
      <c r="EJ1250" s="552">
        <f t="shared" si="6184"/>
        <v>0</v>
      </c>
      <c r="EK1250" s="552">
        <f t="shared" si="6184"/>
        <v>0</v>
      </c>
      <c r="EL1250" s="552">
        <f t="shared" si="6184"/>
        <v>0</v>
      </c>
      <c r="EM1250" s="552">
        <f t="shared" si="6184"/>
        <v>0</v>
      </c>
      <c r="EN1250" s="552">
        <f t="shared" si="6184"/>
        <v>0</v>
      </c>
      <c r="EO1250" s="552">
        <f t="shared" si="6184"/>
        <v>0</v>
      </c>
      <c r="EP1250" s="552">
        <f t="shared" si="6184"/>
        <v>0</v>
      </c>
      <c r="EQ1250" s="552">
        <f t="shared" si="6184"/>
        <v>0</v>
      </c>
      <c r="ER1250" s="552">
        <f t="shared" si="6184"/>
        <v>0</v>
      </c>
      <c r="ES1250" s="552">
        <f t="shared" si="6184"/>
        <v>0</v>
      </c>
      <c r="ET1250" s="552">
        <f t="shared" si="6184"/>
        <v>0</v>
      </c>
      <c r="EU1250" s="552">
        <f t="shared" si="6184"/>
        <v>0</v>
      </c>
      <c r="EV1250" s="552">
        <f t="shared" si="6184"/>
        <v>0</v>
      </c>
      <c r="EW1250" s="552">
        <f t="shared" si="6184"/>
        <v>0</v>
      </c>
      <c r="EX1250" s="552">
        <f t="shared" si="6184"/>
        <v>0</v>
      </c>
      <c r="EY1250" s="799">
        <f t="shared" si="6019"/>
        <v>0</v>
      </c>
      <c r="EZ1250" s="640"/>
      <c r="FA1250" s="640"/>
      <c r="FB1250" s="640"/>
      <c r="FC1250" s="640"/>
      <c r="FD1250" s="640"/>
      <c r="FE1250" s="640"/>
      <c r="FF1250" s="640"/>
      <c r="FG1250" s="640"/>
      <c r="FH1250" s="640"/>
      <c r="FI1250" s="640"/>
      <c r="FJ1250" s="640"/>
      <c r="FK1250" s="640"/>
      <c r="FL1250" s="640"/>
    </row>
    <row r="1251" spans="1:168" x14ac:dyDescent="0.25">
      <c r="A1251" s="1492"/>
      <c r="B1251" s="624">
        <v>0</v>
      </c>
      <c r="C1251" s="1137">
        <v>0</v>
      </c>
      <c r="D1251" s="1137">
        <v>0</v>
      </c>
      <c r="E1251" s="1158">
        <f t="shared" si="5978"/>
        <v>0</v>
      </c>
      <c r="F1251" s="1158"/>
      <c r="G1251" s="1140"/>
      <c r="H1251" s="1140"/>
      <c r="I1251" s="552"/>
      <c r="J1251" s="552">
        <f t="shared" ref="J1251:AO1251" si="6185">J301*J$338</f>
        <v>0</v>
      </c>
      <c r="K1251" s="552">
        <f t="shared" si="6185"/>
        <v>0</v>
      </c>
      <c r="L1251" s="552">
        <f t="shared" si="6185"/>
        <v>0</v>
      </c>
      <c r="M1251" s="552">
        <f t="shared" si="6185"/>
        <v>0</v>
      </c>
      <c r="N1251" s="552">
        <f t="shared" si="6185"/>
        <v>0</v>
      </c>
      <c r="O1251" s="552">
        <f t="shared" si="6185"/>
        <v>0</v>
      </c>
      <c r="P1251" s="552">
        <f t="shared" si="6185"/>
        <v>0</v>
      </c>
      <c r="Q1251" s="552">
        <f t="shared" si="6185"/>
        <v>0</v>
      </c>
      <c r="R1251" s="552">
        <f t="shared" si="6185"/>
        <v>0</v>
      </c>
      <c r="S1251" s="552">
        <f t="shared" si="6185"/>
        <v>0</v>
      </c>
      <c r="T1251" s="552">
        <f t="shared" si="6185"/>
        <v>0</v>
      </c>
      <c r="U1251" s="552">
        <f t="shared" si="6185"/>
        <v>0</v>
      </c>
      <c r="V1251" s="552">
        <f t="shared" si="6185"/>
        <v>0</v>
      </c>
      <c r="W1251" s="552">
        <f t="shared" si="6185"/>
        <v>0</v>
      </c>
      <c r="X1251" s="552">
        <f t="shared" si="6185"/>
        <v>0</v>
      </c>
      <c r="Y1251" s="552">
        <f t="shared" si="6185"/>
        <v>0</v>
      </c>
      <c r="Z1251" s="552">
        <f t="shared" si="6185"/>
        <v>0</v>
      </c>
      <c r="AA1251" s="552">
        <f t="shared" si="6185"/>
        <v>0</v>
      </c>
      <c r="AB1251" s="552">
        <f t="shared" si="6185"/>
        <v>0</v>
      </c>
      <c r="AC1251" s="552">
        <f t="shared" si="6185"/>
        <v>0</v>
      </c>
      <c r="AD1251" s="552">
        <f t="shared" si="6185"/>
        <v>0</v>
      </c>
      <c r="AE1251" s="552">
        <f t="shared" si="6185"/>
        <v>0</v>
      </c>
      <c r="AF1251" s="552">
        <f t="shared" si="6185"/>
        <v>0</v>
      </c>
      <c r="AG1251" s="552">
        <f t="shared" si="6185"/>
        <v>0</v>
      </c>
      <c r="AH1251" s="552">
        <f t="shared" si="6185"/>
        <v>0</v>
      </c>
      <c r="AI1251" s="552">
        <f t="shared" si="6185"/>
        <v>0</v>
      </c>
      <c r="AJ1251" s="552">
        <f t="shared" si="6185"/>
        <v>0</v>
      </c>
      <c r="AK1251" s="552">
        <f t="shared" si="6185"/>
        <v>0</v>
      </c>
      <c r="AL1251" s="552">
        <f t="shared" si="6185"/>
        <v>0</v>
      </c>
      <c r="AM1251" s="552">
        <f t="shared" si="6185"/>
        <v>0</v>
      </c>
      <c r="AN1251" s="552">
        <f t="shared" si="6185"/>
        <v>0</v>
      </c>
      <c r="AO1251" s="552">
        <f t="shared" si="6185"/>
        <v>0</v>
      </c>
      <c r="AP1251" s="552">
        <f t="shared" ref="AP1251:BU1251" si="6186">AP301*AP$338</f>
        <v>0</v>
      </c>
      <c r="AQ1251" s="552">
        <f t="shared" si="6186"/>
        <v>0</v>
      </c>
      <c r="AR1251" s="552">
        <f t="shared" si="6186"/>
        <v>0</v>
      </c>
      <c r="AS1251" s="552">
        <f t="shared" si="6186"/>
        <v>0</v>
      </c>
      <c r="AT1251" s="552">
        <f t="shared" si="6186"/>
        <v>0</v>
      </c>
      <c r="AU1251" s="552">
        <f t="shared" si="6186"/>
        <v>0</v>
      </c>
      <c r="AV1251" s="552">
        <f t="shared" si="6186"/>
        <v>0</v>
      </c>
      <c r="AW1251" s="552">
        <f t="shared" si="6186"/>
        <v>0</v>
      </c>
      <c r="AX1251" s="552">
        <f t="shared" si="6186"/>
        <v>0</v>
      </c>
      <c r="AY1251" s="552">
        <f t="shared" si="6186"/>
        <v>0</v>
      </c>
      <c r="AZ1251" s="552">
        <f t="shared" si="6186"/>
        <v>0</v>
      </c>
      <c r="BA1251" s="552">
        <f t="shared" si="6186"/>
        <v>0</v>
      </c>
      <c r="BB1251" s="552">
        <f t="shared" si="6186"/>
        <v>0</v>
      </c>
      <c r="BC1251" s="552">
        <f t="shared" si="6186"/>
        <v>0</v>
      </c>
      <c r="BD1251" s="552">
        <f t="shared" si="6186"/>
        <v>0</v>
      </c>
      <c r="BE1251" s="552">
        <f t="shared" si="6186"/>
        <v>0</v>
      </c>
      <c r="BF1251" s="552">
        <f t="shared" si="6186"/>
        <v>0</v>
      </c>
      <c r="BG1251" s="552">
        <f t="shared" si="6186"/>
        <v>0</v>
      </c>
      <c r="BH1251" s="552">
        <f t="shared" si="6186"/>
        <v>0</v>
      </c>
      <c r="BI1251" s="552">
        <f t="shared" si="6186"/>
        <v>0</v>
      </c>
      <c r="BJ1251" s="552">
        <f t="shared" si="6186"/>
        <v>0</v>
      </c>
      <c r="BK1251" s="552">
        <f t="shared" si="6186"/>
        <v>0</v>
      </c>
      <c r="BL1251" s="552">
        <f t="shared" si="6186"/>
        <v>0</v>
      </c>
      <c r="BM1251" s="552">
        <f t="shared" si="6186"/>
        <v>0</v>
      </c>
      <c r="BN1251" s="552">
        <f t="shared" si="6186"/>
        <v>0</v>
      </c>
      <c r="BO1251" s="552">
        <f t="shared" si="6186"/>
        <v>0</v>
      </c>
      <c r="BP1251" s="552">
        <f t="shared" si="6186"/>
        <v>0</v>
      </c>
      <c r="BQ1251" s="552">
        <f t="shared" si="6186"/>
        <v>0</v>
      </c>
      <c r="BR1251" s="552">
        <f t="shared" si="6186"/>
        <v>0</v>
      </c>
      <c r="BS1251" s="552">
        <f t="shared" si="6186"/>
        <v>0</v>
      </c>
      <c r="BT1251" s="552">
        <f t="shared" si="6186"/>
        <v>0</v>
      </c>
      <c r="BU1251" s="552">
        <f t="shared" si="6186"/>
        <v>0</v>
      </c>
      <c r="BV1251" s="552">
        <f t="shared" ref="BV1251:DA1251" si="6187">BV301*BV$338</f>
        <v>0</v>
      </c>
      <c r="BW1251" s="552">
        <f t="shared" si="6187"/>
        <v>0</v>
      </c>
      <c r="BX1251" s="552">
        <f t="shared" si="6187"/>
        <v>0</v>
      </c>
      <c r="BY1251" s="552">
        <f t="shared" si="6187"/>
        <v>0</v>
      </c>
      <c r="BZ1251" s="552">
        <f t="shared" si="6187"/>
        <v>0</v>
      </c>
      <c r="CA1251" s="552">
        <f t="shared" si="6187"/>
        <v>0</v>
      </c>
      <c r="CB1251" s="552">
        <f t="shared" si="6187"/>
        <v>0</v>
      </c>
      <c r="CC1251" s="552">
        <f t="shared" si="6187"/>
        <v>0</v>
      </c>
      <c r="CD1251" s="552">
        <f t="shared" si="6187"/>
        <v>0</v>
      </c>
      <c r="CE1251" s="552">
        <f t="shared" si="6187"/>
        <v>0</v>
      </c>
      <c r="CF1251" s="552">
        <f t="shared" si="6187"/>
        <v>0</v>
      </c>
      <c r="CG1251" s="552">
        <f t="shared" si="6187"/>
        <v>0</v>
      </c>
      <c r="CH1251" s="552">
        <f t="shared" si="6187"/>
        <v>0</v>
      </c>
      <c r="CI1251" s="552">
        <f t="shared" si="6187"/>
        <v>0</v>
      </c>
      <c r="CJ1251" s="552">
        <f t="shared" si="6187"/>
        <v>0</v>
      </c>
      <c r="CK1251" s="552">
        <f t="shared" si="6187"/>
        <v>0</v>
      </c>
      <c r="CL1251" s="552">
        <f t="shared" si="6187"/>
        <v>0</v>
      </c>
      <c r="CM1251" s="552">
        <f t="shared" si="6187"/>
        <v>0</v>
      </c>
      <c r="CN1251" s="552">
        <f t="shared" si="6187"/>
        <v>0</v>
      </c>
      <c r="CO1251" s="552">
        <f t="shared" si="6187"/>
        <v>0</v>
      </c>
      <c r="CP1251" s="552">
        <f t="shared" si="6187"/>
        <v>0</v>
      </c>
      <c r="CQ1251" s="552">
        <f t="shared" si="6187"/>
        <v>0</v>
      </c>
      <c r="CR1251" s="552">
        <f t="shared" si="6187"/>
        <v>0</v>
      </c>
      <c r="CS1251" s="552">
        <f t="shared" si="6187"/>
        <v>0</v>
      </c>
      <c r="CT1251" s="552">
        <f t="shared" si="6187"/>
        <v>0</v>
      </c>
      <c r="CU1251" s="552">
        <f t="shared" si="6187"/>
        <v>0</v>
      </c>
      <c r="CV1251" s="552">
        <f t="shared" si="6187"/>
        <v>0</v>
      </c>
      <c r="CW1251" s="552">
        <f t="shared" si="6187"/>
        <v>0</v>
      </c>
      <c r="CX1251" s="552">
        <f t="shared" si="6187"/>
        <v>0</v>
      </c>
      <c r="CY1251" s="552">
        <f t="shared" si="6187"/>
        <v>0</v>
      </c>
      <c r="CZ1251" s="552">
        <f t="shared" si="6187"/>
        <v>0</v>
      </c>
      <c r="DA1251" s="552">
        <f t="shared" si="6187"/>
        <v>0</v>
      </c>
      <c r="DB1251" s="552">
        <f t="shared" ref="DB1251:EG1251" si="6188">DB301*DB$338</f>
        <v>0</v>
      </c>
      <c r="DC1251" s="552">
        <f t="shared" si="6188"/>
        <v>0</v>
      </c>
      <c r="DD1251" s="552">
        <f t="shared" si="6188"/>
        <v>0</v>
      </c>
      <c r="DE1251" s="552">
        <f t="shared" si="6188"/>
        <v>0</v>
      </c>
      <c r="DF1251" s="552">
        <f t="shared" si="6188"/>
        <v>0</v>
      </c>
      <c r="DG1251" s="552">
        <f t="shared" si="6188"/>
        <v>0</v>
      </c>
      <c r="DH1251" s="552">
        <f t="shared" si="6188"/>
        <v>0</v>
      </c>
      <c r="DI1251" s="552">
        <f t="shared" si="6188"/>
        <v>0</v>
      </c>
      <c r="DJ1251" s="552">
        <f t="shared" si="6188"/>
        <v>0</v>
      </c>
      <c r="DK1251" s="552">
        <f t="shared" si="6188"/>
        <v>0</v>
      </c>
      <c r="DL1251" s="552">
        <f t="shared" si="6188"/>
        <v>0</v>
      </c>
      <c r="DM1251" s="552">
        <f t="shared" si="6188"/>
        <v>0</v>
      </c>
      <c r="DN1251" s="552">
        <f t="shared" si="6188"/>
        <v>0</v>
      </c>
      <c r="DO1251" s="552">
        <f t="shared" si="6188"/>
        <v>0</v>
      </c>
      <c r="DP1251" s="552">
        <f t="shared" si="6188"/>
        <v>0</v>
      </c>
      <c r="DQ1251" s="552">
        <f t="shared" si="6188"/>
        <v>0</v>
      </c>
      <c r="DR1251" s="552">
        <f t="shared" si="6188"/>
        <v>0</v>
      </c>
      <c r="DS1251" s="552">
        <f t="shared" si="6188"/>
        <v>0</v>
      </c>
      <c r="DT1251" s="552">
        <f t="shared" si="6188"/>
        <v>0</v>
      </c>
      <c r="DU1251" s="552">
        <f t="shared" si="6188"/>
        <v>0</v>
      </c>
      <c r="DV1251" s="552">
        <f t="shared" si="6188"/>
        <v>0</v>
      </c>
      <c r="DW1251" s="552">
        <f t="shared" si="6188"/>
        <v>0</v>
      </c>
      <c r="DX1251" s="552">
        <f t="shared" si="6188"/>
        <v>0</v>
      </c>
      <c r="DY1251" s="552">
        <f t="shared" si="6188"/>
        <v>0</v>
      </c>
      <c r="DZ1251" s="552">
        <f t="shared" si="6188"/>
        <v>0</v>
      </c>
      <c r="EA1251" s="552">
        <f t="shared" si="6188"/>
        <v>0</v>
      </c>
      <c r="EB1251" s="552">
        <f t="shared" si="6188"/>
        <v>0</v>
      </c>
      <c r="EC1251" s="552">
        <f t="shared" si="6188"/>
        <v>0</v>
      </c>
      <c r="ED1251" s="552">
        <f t="shared" si="6188"/>
        <v>0</v>
      </c>
      <c r="EE1251" s="552">
        <f t="shared" si="6188"/>
        <v>0</v>
      </c>
      <c r="EF1251" s="552">
        <f t="shared" si="6188"/>
        <v>0</v>
      </c>
      <c r="EG1251" s="552">
        <f t="shared" si="6188"/>
        <v>0</v>
      </c>
      <c r="EH1251" s="552">
        <f t="shared" ref="EH1251:EX1251" si="6189">EH301*EH$338</f>
        <v>0</v>
      </c>
      <c r="EI1251" s="552">
        <f t="shared" si="6189"/>
        <v>0</v>
      </c>
      <c r="EJ1251" s="552">
        <f t="shared" si="6189"/>
        <v>0</v>
      </c>
      <c r="EK1251" s="552">
        <f t="shared" si="6189"/>
        <v>0</v>
      </c>
      <c r="EL1251" s="552">
        <f t="shared" si="6189"/>
        <v>0</v>
      </c>
      <c r="EM1251" s="552">
        <f t="shared" si="6189"/>
        <v>0</v>
      </c>
      <c r="EN1251" s="552">
        <f t="shared" si="6189"/>
        <v>0</v>
      </c>
      <c r="EO1251" s="552">
        <f t="shared" si="6189"/>
        <v>0</v>
      </c>
      <c r="EP1251" s="552">
        <f t="shared" si="6189"/>
        <v>0</v>
      </c>
      <c r="EQ1251" s="552">
        <f t="shared" si="6189"/>
        <v>0</v>
      </c>
      <c r="ER1251" s="552">
        <f t="shared" si="6189"/>
        <v>0</v>
      </c>
      <c r="ES1251" s="552">
        <f t="shared" si="6189"/>
        <v>0</v>
      </c>
      <c r="ET1251" s="552">
        <f t="shared" si="6189"/>
        <v>0</v>
      </c>
      <c r="EU1251" s="552">
        <f t="shared" si="6189"/>
        <v>0</v>
      </c>
      <c r="EV1251" s="552">
        <f t="shared" si="6189"/>
        <v>0</v>
      </c>
      <c r="EW1251" s="552">
        <f t="shared" si="6189"/>
        <v>0</v>
      </c>
      <c r="EX1251" s="552">
        <f t="shared" si="6189"/>
        <v>0</v>
      </c>
      <c r="EY1251" s="799">
        <f t="shared" si="6019"/>
        <v>0</v>
      </c>
      <c r="EZ1251" s="640"/>
      <c r="FA1251" s="640"/>
      <c r="FB1251" s="640"/>
      <c r="FC1251" s="640"/>
      <c r="FD1251" s="640"/>
      <c r="FE1251" s="640"/>
      <c r="FF1251" s="640"/>
      <c r="FG1251" s="640"/>
      <c r="FH1251" s="640"/>
      <c r="FI1251" s="640"/>
      <c r="FJ1251" s="640"/>
      <c r="FK1251" s="640"/>
      <c r="FL1251" s="640"/>
    </row>
    <row r="1252" spans="1:168" x14ac:dyDescent="0.25">
      <c r="A1252" s="1492"/>
      <c r="B1252" s="624">
        <v>0</v>
      </c>
      <c r="C1252" s="1137">
        <v>0</v>
      </c>
      <c r="D1252" s="1137">
        <v>0</v>
      </c>
      <c r="E1252" s="1158">
        <f t="shared" si="5978"/>
        <v>0</v>
      </c>
      <c r="F1252" s="1158"/>
      <c r="G1252" s="1140"/>
      <c r="H1252" s="1140"/>
      <c r="I1252" s="552"/>
      <c r="J1252" s="552">
        <f t="shared" ref="J1252:AO1252" si="6190">J302*J$338</f>
        <v>0</v>
      </c>
      <c r="K1252" s="552">
        <f t="shared" si="6190"/>
        <v>0</v>
      </c>
      <c r="L1252" s="552">
        <f t="shared" si="6190"/>
        <v>0</v>
      </c>
      <c r="M1252" s="552">
        <f t="shared" si="6190"/>
        <v>0</v>
      </c>
      <c r="N1252" s="552">
        <f t="shared" si="6190"/>
        <v>0</v>
      </c>
      <c r="O1252" s="552">
        <f t="shared" si="6190"/>
        <v>0</v>
      </c>
      <c r="P1252" s="552">
        <f t="shared" si="6190"/>
        <v>0</v>
      </c>
      <c r="Q1252" s="552">
        <f t="shared" si="6190"/>
        <v>0</v>
      </c>
      <c r="R1252" s="552">
        <f t="shared" si="6190"/>
        <v>0</v>
      </c>
      <c r="S1252" s="552">
        <f t="shared" si="6190"/>
        <v>0</v>
      </c>
      <c r="T1252" s="552">
        <f t="shared" si="6190"/>
        <v>0</v>
      </c>
      <c r="U1252" s="552">
        <f t="shared" si="6190"/>
        <v>0</v>
      </c>
      <c r="V1252" s="552">
        <f t="shared" si="6190"/>
        <v>0</v>
      </c>
      <c r="W1252" s="552">
        <f t="shared" si="6190"/>
        <v>0</v>
      </c>
      <c r="X1252" s="552">
        <f t="shared" si="6190"/>
        <v>0</v>
      </c>
      <c r="Y1252" s="552">
        <f t="shared" si="6190"/>
        <v>0</v>
      </c>
      <c r="Z1252" s="552">
        <f t="shared" si="6190"/>
        <v>0</v>
      </c>
      <c r="AA1252" s="552">
        <f t="shared" si="6190"/>
        <v>0</v>
      </c>
      <c r="AB1252" s="552">
        <f t="shared" si="6190"/>
        <v>0</v>
      </c>
      <c r="AC1252" s="552">
        <f t="shared" si="6190"/>
        <v>0</v>
      </c>
      <c r="AD1252" s="552">
        <f t="shared" si="6190"/>
        <v>0</v>
      </c>
      <c r="AE1252" s="552">
        <f t="shared" si="6190"/>
        <v>0</v>
      </c>
      <c r="AF1252" s="552">
        <f t="shared" si="6190"/>
        <v>0</v>
      </c>
      <c r="AG1252" s="552">
        <f t="shared" si="6190"/>
        <v>0</v>
      </c>
      <c r="AH1252" s="552">
        <f t="shared" si="6190"/>
        <v>0</v>
      </c>
      <c r="AI1252" s="552">
        <f t="shared" si="6190"/>
        <v>0</v>
      </c>
      <c r="AJ1252" s="552">
        <f t="shared" si="6190"/>
        <v>0</v>
      </c>
      <c r="AK1252" s="552">
        <f t="shared" si="6190"/>
        <v>0</v>
      </c>
      <c r="AL1252" s="552">
        <f t="shared" si="6190"/>
        <v>0</v>
      </c>
      <c r="AM1252" s="552">
        <f t="shared" si="6190"/>
        <v>0</v>
      </c>
      <c r="AN1252" s="552">
        <f t="shared" si="6190"/>
        <v>0</v>
      </c>
      <c r="AO1252" s="552">
        <f t="shared" si="6190"/>
        <v>0</v>
      </c>
      <c r="AP1252" s="552">
        <f t="shared" ref="AP1252:BU1252" si="6191">AP302*AP$338</f>
        <v>0</v>
      </c>
      <c r="AQ1252" s="552">
        <f t="shared" si="6191"/>
        <v>0</v>
      </c>
      <c r="AR1252" s="552">
        <f t="shared" si="6191"/>
        <v>0</v>
      </c>
      <c r="AS1252" s="552">
        <f t="shared" si="6191"/>
        <v>0</v>
      </c>
      <c r="AT1252" s="552">
        <f t="shared" si="6191"/>
        <v>0</v>
      </c>
      <c r="AU1252" s="552">
        <f t="shared" si="6191"/>
        <v>0</v>
      </c>
      <c r="AV1252" s="552">
        <f t="shared" si="6191"/>
        <v>0</v>
      </c>
      <c r="AW1252" s="552">
        <f t="shared" si="6191"/>
        <v>0</v>
      </c>
      <c r="AX1252" s="552">
        <f t="shared" si="6191"/>
        <v>0</v>
      </c>
      <c r="AY1252" s="552">
        <f t="shared" si="6191"/>
        <v>0</v>
      </c>
      <c r="AZ1252" s="552">
        <f t="shared" si="6191"/>
        <v>0</v>
      </c>
      <c r="BA1252" s="552">
        <f t="shared" si="6191"/>
        <v>0</v>
      </c>
      <c r="BB1252" s="552">
        <f t="shared" si="6191"/>
        <v>0</v>
      </c>
      <c r="BC1252" s="552">
        <f t="shared" si="6191"/>
        <v>0</v>
      </c>
      <c r="BD1252" s="552">
        <f t="shared" si="6191"/>
        <v>0</v>
      </c>
      <c r="BE1252" s="552">
        <f t="shared" si="6191"/>
        <v>0</v>
      </c>
      <c r="BF1252" s="552">
        <f t="shared" si="6191"/>
        <v>0</v>
      </c>
      <c r="BG1252" s="552">
        <f t="shared" si="6191"/>
        <v>0</v>
      </c>
      <c r="BH1252" s="552">
        <f t="shared" si="6191"/>
        <v>0</v>
      </c>
      <c r="BI1252" s="552">
        <f t="shared" si="6191"/>
        <v>0</v>
      </c>
      <c r="BJ1252" s="552">
        <f t="shared" si="6191"/>
        <v>0</v>
      </c>
      <c r="BK1252" s="552">
        <f t="shared" si="6191"/>
        <v>0</v>
      </c>
      <c r="BL1252" s="552">
        <f t="shared" si="6191"/>
        <v>0</v>
      </c>
      <c r="BM1252" s="552">
        <f t="shared" si="6191"/>
        <v>0</v>
      </c>
      <c r="BN1252" s="552">
        <f t="shared" si="6191"/>
        <v>0</v>
      </c>
      <c r="BO1252" s="552">
        <f t="shared" si="6191"/>
        <v>0</v>
      </c>
      <c r="BP1252" s="552">
        <f t="shared" si="6191"/>
        <v>0</v>
      </c>
      <c r="BQ1252" s="552">
        <f t="shared" si="6191"/>
        <v>0</v>
      </c>
      <c r="BR1252" s="552">
        <f t="shared" si="6191"/>
        <v>0</v>
      </c>
      <c r="BS1252" s="552">
        <f t="shared" si="6191"/>
        <v>0</v>
      </c>
      <c r="BT1252" s="552">
        <f t="shared" si="6191"/>
        <v>0</v>
      </c>
      <c r="BU1252" s="552">
        <f t="shared" si="6191"/>
        <v>0</v>
      </c>
      <c r="BV1252" s="552">
        <f t="shared" ref="BV1252:DA1252" si="6192">BV302*BV$338</f>
        <v>0</v>
      </c>
      <c r="BW1252" s="552">
        <f t="shared" si="6192"/>
        <v>0</v>
      </c>
      <c r="BX1252" s="552">
        <f t="shared" si="6192"/>
        <v>0</v>
      </c>
      <c r="BY1252" s="552">
        <f t="shared" si="6192"/>
        <v>0</v>
      </c>
      <c r="BZ1252" s="552">
        <f t="shared" si="6192"/>
        <v>0</v>
      </c>
      <c r="CA1252" s="552">
        <f t="shared" si="6192"/>
        <v>0</v>
      </c>
      <c r="CB1252" s="552">
        <f t="shared" si="6192"/>
        <v>0</v>
      </c>
      <c r="CC1252" s="552">
        <f t="shared" si="6192"/>
        <v>0</v>
      </c>
      <c r="CD1252" s="552">
        <f t="shared" si="6192"/>
        <v>0</v>
      </c>
      <c r="CE1252" s="552">
        <f t="shared" si="6192"/>
        <v>0</v>
      </c>
      <c r="CF1252" s="552">
        <f t="shared" si="6192"/>
        <v>0</v>
      </c>
      <c r="CG1252" s="552">
        <f t="shared" si="6192"/>
        <v>0</v>
      </c>
      <c r="CH1252" s="552">
        <f t="shared" si="6192"/>
        <v>0</v>
      </c>
      <c r="CI1252" s="552">
        <f t="shared" si="6192"/>
        <v>0</v>
      </c>
      <c r="CJ1252" s="552">
        <f t="shared" si="6192"/>
        <v>0</v>
      </c>
      <c r="CK1252" s="552">
        <f t="shared" si="6192"/>
        <v>0</v>
      </c>
      <c r="CL1252" s="552">
        <f t="shared" si="6192"/>
        <v>0</v>
      </c>
      <c r="CM1252" s="552">
        <f t="shared" si="6192"/>
        <v>0</v>
      </c>
      <c r="CN1252" s="552">
        <f t="shared" si="6192"/>
        <v>0</v>
      </c>
      <c r="CO1252" s="552">
        <f t="shared" si="6192"/>
        <v>0</v>
      </c>
      <c r="CP1252" s="552">
        <f t="shared" si="6192"/>
        <v>0</v>
      </c>
      <c r="CQ1252" s="552">
        <f t="shared" si="6192"/>
        <v>0</v>
      </c>
      <c r="CR1252" s="552">
        <f t="shared" si="6192"/>
        <v>0</v>
      </c>
      <c r="CS1252" s="552">
        <f t="shared" si="6192"/>
        <v>0</v>
      </c>
      <c r="CT1252" s="552">
        <f t="shared" si="6192"/>
        <v>0</v>
      </c>
      <c r="CU1252" s="552">
        <f t="shared" si="6192"/>
        <v>0</v>
      </c>
      <c r="CV1252" s="552">
        <f t="shared" si="6192"/>
        <v>0</v>
      </c>
      <c r="CW1252" s="552">
        <f t="shared" si="6192"/>
        <v>0</v>
      </c>
      <c r="CX1252" s="552">
        <f t="shared" si="6192"/>
        <v>0</v>
      </c>
      <c r="CY1252" s="552">
        <f t="shared" si="6192"/>
        <v>0</v>
      </c>
      <c r="CZ1252" s="552">
        <f t="shared" si="6192"/>
        <v>0</v>
      </c>
      <c r="DA1252" s="552">
        <f t="shared" si="6192"/>
        <v>0</v>
      </c>
      <c r="DB1252" s="552">
        <f t="shared" ref="DB1252:EG1252" si="6193">DB302*DB$338</f>
        <v>0</v>
      </c>
      <c r="DC1252" s="552">
        <f t="shared" si="6193"/>
        <v>0</v>
      </c>
      <c r="DD1252" s="552">
        <f t="shared" si="6193"/>
        <v>0</v>
      </c>
      <c r="DE1252" s="552">
        <f t="shared" si="6193"/>
        <v>0</v>
      </c>
      <c r="DF1252" s="552">
        <f t="shared" si="6193"/>
        <v>0</v>
      </c>
      <c r="DG1252" s="552">
        <f t="shared" si="6193"/>
        <v>0</v>
      </c>
      <c r="DH1252" s="552">
        <f t="shared" si="6193"/>
        <v>0</v>
      </c>
      <c r="DI1252" s="552">
        <f t="shared" si="6193"/>
        <v>0</v>
      </c>
      <c r="DJ1252" s="552">
        <f t="shared" si="6193"/>
        <v>0</v>
      </c>
      <c r="DK1252" s="552">
        <f t="shared" si="6193"/>
        <v>0</v>
      </c>
      <c r="DL1252" s="552">
        <f t="shared" si="6193"/>
        <v>0</v>
      </c>
      <c r="DM1252" s="552">
        <f t="shared" si="6193"/>
        <v>0</v>
      </c>
      <c r="DN1252" s="552">
        <f t="shared" si="6193"/>
        <v>0</v>
      </c>
      <c r="DO1252" s="552">
        <f t="shared" si="6193"/>
        <v>0</v>
      </c>
      <c r="DP1252" s="552">
        <f t="shared" si="6193"/>
        <v>0</v>
      </c>
      <c r="DQ1252" s="552">
        <f t="shared" si="6193"/>
        <v>0</v>
      </c>
      <c r="DR1252" s="552">
        <f t="shared" si="6193"/>
        <v>0</v>
      </c>
      <c r="DS1252" s="552">
        <f t="shared" si="6193"/>
        <v>0</v>
      </c>
      <c r="DT1252" s="552">
        <f t="shared" si="6193"/>
        <v>0</v>
      </c>
      <c r="DU1252" s="552">
        <f t="shared" si="6193"/>
        <v>0</v>
      </c>
      <c r="DV1252" s="552">
        <f t="shared" si="6193"/>
        <v>0</v>
      </c>
      <c r="DW1252" s="552">
        <f t="shared" si="6193"/>
        <v>0</v>
      </c>
      <c r="DX1252" s="552">
        <f t="shared" si="6193"/>
        <v>0</v>
      </c>
      <c r="DY1252" s="552">
        <f t="shared" si="6193"/>
        <v>0</v>
      </c>
      <c r="DZ1252" s="552">
        <f t="shared" si="6193"/>
        <v>0</v>
      </c>
      <c r="EA1252" s="552">
        <f t="shared" si="6193"/>
        <v>0</v>
      </c>
      <c r="EB1252" s="552">
        <f t="shared" si="6193"/>
        <v>0</v>
      </c>
      <c r="EC1252" s="552">
        <f t="shared" si="6193"/>
        <v>0</v>
      </c>
      <c r="ED1252" s="552">
        <f t="shared" si="6193"/>
        <v>0</v>
      </c>
      <c r="EE1252" s="552">
        <f t="shared" si="6193"/>
        <v>0</v>
      </c>
      <c r="EF1252" s="552">
        <f t="shared" si="6193"/>
        <v>0</v>
      </c>
      <c r="EG1252" s="552">
        <f t="shared" si="6193"/>
        <v>0</v>
      </c>
      <c r="EH1252" s="552">
        <f t="shared" ref="EH1252:EX1252" si="6194">EH302*EH$338</f>
        <v>0</v>
      </c>
      <c r="EI1252" s="552">
        <f t="shared" si="6194"/>
        <v>0</v>
      </c>
      <c r="EJ1252" s="552">
        <f t="shared" si="6194"/>
        <v>0</v>
      </c>
      <c r="EK1252" s="552">
        <f t="shared" si="6194"/>
        <v>0</v>
      </c>
      <c r="EL1252" s="552">
        <f t="shared" si="6194"/>
        <v>0</v>
      </c>
      <c r="EM1252" s="552">
        <f t="shared" si="6194"/>
        <v>0</v>
      </c>
      <c r="EN1252" s="552">
        <f t="shared" si="6194"/>
        <v>0</v>
      </c>
      <c r="EO1252" s="552">
        <f t="shared" si="6194"/>
        <v>0</v>
      </c>
      <c r="EP1252" s="552">
        <f t="shared" si="6194"/>
        <v>0</v>
      </c>
      <c r="EQ1252" s="552">
        <f t="shared" si="6194"/>
        <v>0</v>
      </c>
      <c r="ER1252" s="552">
        <f t="shared" si="6194"/>
        <v>0</v>
      </c>
      <c r="ES1252" s="552">
        <f t="shared" si="6194"/>
        <v>0</v>
      </c>
      <c r="ET1252" s="552">
        <f t="shared" si="6194"/>
        <v>0</v>
      </c>
      <c r="EU1252" s="552">
        <f t="shared" si="6194"/>
        <v>0</v>
      </c>
      <c r="EV1252" s="552">
        <f t="shared" si="6194"/>
        <v>0</v>
      </c>
      <c r="EW1252" s="552">
        <f t="shared" si="6194"/>
        <v>0</v>
      </c>
      <c r="EX1252" s="552">
        <f t="shared" si="6194"/>
        <v>0</v>
      </c>
      <c r="EY1252" s="799">
        <f t="shared" si="6019"/>
        <v>0</v>
      </c>
      <c r="EZ1252" s="640"/>
      <c r="FA1252" s="640"/>
      <c r="FB1252" s="640"/>
      <c r="FC1252" s="640"/>
      <c r="FD1252" s="640"/>
      <c r="FE1252" s="640"/>
      <c r="FF1252" s="640"/>
      <c r="FG1252" s="640"/>
      <c r="FH1252" s="640"/>
      <c r="FI1252" s="640"/>
      <c r="FJ1252" s="640"/>
      <c r="FK1252" s="640"/>
      <c r="FL1252" s="640"/>
    </row>
    <row r="1253" spans="1:168" x14ac:dyDescent="0.25">
      <c r="A1253" s="1492"/>
      <c r="B1253" s="624">
        <v>0</v>
      </c>
      <c r="C1253" s="1137">
        <v>0</v>
      </c>
      <c r="D1253" s="1137">
        <v>0</v>
      </c>
      <c r="E1253" s="1158">
        <f t="shared" si="5978"/>
        <v>0</v>
      </c>
      <c r="F1253" s="1158"/>
      <c r="G1253" s="1140"/>
      <c r="H1253" s="1140"/>
      <c r="I1253" s="552"/>
      <c r="J1253" s="552">
        <f t="shared" ref="J1253:AO1253" si="6195">J303*J$338</f>
        <v>0</v>
      </c>
      <c r="K1253" s="552">
        <f t="shared" si="6195"/>
        <v>0</v>
      </c>
      <c r="L1253" s="552">
        <f t="shared" si="6195"/>
        <v>0</v>
      </c>
      <c r="M1253" s="552">
        <f t="shared" si="6195"/>
        <v>0</v>
      </c>
      <c r="N1253" s="552">
        <f t="shared" si="6195"/>
        <v>0</v>
      </c>
      <c r="O1253" s="552">
        <f t="shared" si="6195"/>
        <v>0</v>
      </c>
      <c r="P1253" s="552">
        <f t="shared" si="6195"/>
        <v>0</v>
      </c>
      <c r="Q1253" s="552">
        <f t="shared" si="6195"/>
        <v>0</v>
      </c>
      <c r="R1253" s="552">
        <f t="shared" si="6195"/>
        <v>0</v>
      </c>
      <c r="S1253" s="552">
        <f t="shared" si="6195"/>
        <v>0</v>
      </c>
      <c r="T1253" s="552">
        <f t="shared" si="6195"/>
        <v>0</v>
      </c>
      <c r="U1253" s="552">
        <f t="shared" si="6195"/>
        <v>0</v>
      </c>
      <c r="V1253" s="552">
        <f t="shared" si="6195"/>
        <v>0</v>
      </c>
      <c r="W1253" s="552">
        <f t="shared" si="6195"/>
        <v>0</v>
      </c>
      <c r="X1253" s="552">
        <f t="shared" si="6195"/>
        <v>0</v>
      </c>
      <c r="Y1253" s="552">
        <f t="shared" si="6195"/>
        <v>0</v>
      </c>
      <c r="Z1253" s="552">
        <f t="shared" si="6195"/>
        <v>0</v>
      </c>
      <c r="AA1253" s="552">
        <f t="shared" si="6195"/>
        <v>0</v>
      </c>
      <c r="AB1253" s="552">
        <f t="shared" si="6195"/>
        <v>0</v>
      </c>
      <c r="AC1253" s="552">
        <f t="shared" si="6195"/>
        <v>0</v>
      </c>
      <c r="AD1253" s="552">
        <f t="shared" si="6195"/>
        <v>0</v>
      </c>
      <c r="AE1253" s="552">
        <f t="shared" si="6195"/>
        <v>0</v>
      </c>
      <c r="AF1253" s="552">
        <f t="shared" si="6195"/>
        <v>0</v>
      </c>
      <c r="AG1253" s="552">
        <f t="shared" si="6195"/>
        <v>0</v>
      </c>
      <c r="AH1253" s="552">
        <f t="shared" si="6195"/>
        <v>0</v>
      </c>
      <c r="AI1253" s="552">
        <f t="shared" si="6195"/>
        <v>0</v>
      </c>
      <c r="AJ1253" s="552">
        <f t="shared" si="6195"/>
        <v>0</v>
      </c>
      <c r="AK1253" s="552">
        <f t="shared" si="6195"/>
        <v>0</v>
      </c>
      <c r="AL1253" s="552">
        <f t="shared" si="6195"/>
        <v>0</v>
      </c>
      <c r="AM1253" s="552">
        <f t="shared" si="6195"/>
        <v>0</v>
      </c>
      <c r="AN1253" s="552">
        <f t="shared" si="6195"/>
        <v>0</v>
      </c>
      <c r="AO1253" s="552">
        <f t="shared" si="6195"/>
        <v>0</v>
      </c>
      <c r="AP1253" s="552">
        <f t="shared" ref="AP1253:BU1253" si="6196">AP303*AP$338</f>
        <v>0</v>
      </c>
      <c r="AQ1253" s="552">
        <f t="shared" si="6196"/>
        <v>0</v>
      </c>
      <c r="AR1253" s="552">
        <f t="shared" si="6196"/>
        <v>0</v>
      </c>
      <c r="AS1253" s="552">
        <f t="shared" si="6196"/>
        <v>0</v>
      </c>
      <c r="AT1253" s="552">
        <f t="shared" si="6196"/>
        <v>0</v>
      </c>
      <c r="AU1253" s="552">
        <f t="shared" si="6196"/>
        <v>0</v>
      </c>
      <c r="AV1253" s="552">
        <f t="shared" si="6196"/>
        <v>0</v>
      </c>
      <c r="AW1253" s="552">
        <f t="shared" si="6196"/>
        <v>0</v>
      </c>
      <c r="AX1253" s="552">
        <f t="shared" si="6196"/>
        <v>0</v>
      </c>
      <c r="AY1253" s="552">
        <f t="shared" si="6196"/>
        <v>0</v>
      </c>
      <c r="AZ1253" s="552">
        <f t="shared" si="6196"/>
        <v>0</v>
      </c>
      <c r="BA1253" s="552">
        <f t="shared" si="6196"/>
        <v>0</v>
      </c>
      <c r="BB1253" s="552">
        <f t="shared" si="6196"/>
        <v>0</v>
      </c>
      <c r="BC1253" s="552">
        <f t="shared" si="6196"/>
        <v>0</v>
      </c>
      <c r="BD1253" s="552">
        <f t="shared" si="6196"/>
        <v>0</v>
      </c>
      <c r="BE1253" s="552">
        <f t="shared" si="6196"/>
        <v>0</v>
      </c>
      <c r="BF1253" s="552">
        <f t="shared" si="6196"/>
        <v>0</v>
      </c>
      <c r="BG1253" s="552">
        <f t="shared" si="6196"/>
        <v>0</v>
      </c>
      <c r="BH1253" s="552">
        <f t="shared" si="6196"/>
        <v>0</v>
      </c>
      <c r="BI1253" s="552">
        <f t="shared" si="6196"/>
        <v>0</v>
      </c>
      <c r="BJ1253" s="552">
        <f t="shared" si="6196"/>
        <v>0</v>
      </c>
      <c r="BK1253" s="552">
        <f t="shared" si="6196"/>
        <v>0</v>
      </c>
      <c r="BL1253" s="552">
        <f t="shared" si="6196"/>
        <v>0</v>
      </c>
      <c r="BM1253" s="552">
        <f t="shared" si="6196"/>
        <v>0</v>
      </c>
      <c r="BN1253" s="552">
        <f t="shared" si="6196"/>
        <v>0</v>
      </c>
      <c r="BO1253" s="552">
        <f t="shared" si="6196"/>
        <v>0</v>
      </c>
      <c r="BP1253" s="552">
        <f t="shared" si="6196"/>
        <v>0</v>
      </c>
      <c r="BQ1253" s="552">
        <f t="shared" si="6196"/>
        <v>0</v>
      </c>
      <c r="BR1253" s="552">
        <f t="shared" si="6196"/>
        <v>0</v>
      </c>
      <c r="BS1253" s="552">
        <f t="shared" si="6196"/>
        <v>0</v>
      </c>
      <c r="BT1253" s="552">
        <f t="shared" si="6196"/>
        <v>0</v>
      </c>
      <c r="BU1253" s="552">
        <f t="shared" si="6196"/>
        <v>0</v>
      </c>
      <c r="BV1253" s="552">
        <f t="shared" ref="BV1253:DA1253" si="6197">BV303*BV$338</f>
        <v>0</v>
      </c>
      <c r="BW1253" s="552">
        <f t="shared" si="6197"/>
        <v>0</v>
      </c>
      <c r="BX1253" s="552">
        <f t="shared" si="6197"/>
        <v>0</v>
      </c>
      <c r="BY1253" s="552">
        <f t="shared" si="6197"/>
        <v>0</v>
      </c>
      <c r="BZ1253" s="552">
        <f t="shared" si="6197"/>
        <v>0</v>
      </c>
      <c r="CA1253" s="552">
        <f t="shared" si="6197"/>
        <v>0</v>
      </c>
      <c r="CB1253" s="552">
        <f t="shared" si="6197"/>
        <v>0</v>
      </c>
      <c r="CC1253" s="552">
        <f t="shared" si="6197"/>
        <v>0</v>
      </c>
      <c r="CD1253" s="552">
        <f t="shared" si="6197"/>
        <v>0</v>
      </c>
      <c r="CE1253" s="552">
        <f t="shared" si="6197"/>
        <v>0</v>
      </c>
      <c r="CF1253" s="552">
        <f t="shared" si="6197"/>
        <v>0</v>
      </c>
      <c r="CG1253" s="552">
        <f t="shared" si="6197"/>
        <v>0</v>
      </c>
      <c r="CH1253" s="552">
        <f t="shared" si="6197"/>
        <v>0</v>
      </c>
      <c r="CI1253" s="552">
        <f t="shared" si="6197"/>
        <v>0</v>
      </c>
      <c r="CJ1253" s="552">
        <f t="shared" si="6197"/>
        <v>0</v>
      </c>
      <c r="CK1253" s="552">
        <f t="shared" si="6197"/>
        <v>0</v>
      </c>
      <c r="CL1253" s="552">
        <f t="shared" si="6197"/>
        <v>0</v>
      </c>
      <c r="CM1253" s="552">
        <f t="shared" si="6197"/>
        <v>0</v>
      </c>
      <c r="CN1253" s="552">
        <f t="shared" si="6197"/>
        <v>0</v>
      </c>
      <c r="CO1253" s="552">
        <f t="shared" si="6197"/>
        <v>0</v>
      </c>
      <c r="CP1253" s="552">
        <f t="shared" si="6197"/>
        <v>0</v>
      </c>
      <c r="CQ1253" s="552">
        <f t="shared" si="6197"/>
        <v>0</v>
      </c>
      <c r="CR1253" s="552">
        <f t="shared" si="6197"/>
        <v>0</v>
      </c>
      <c r="CS1253" s="552">
        <f t="shared" si="6197"/>
        <v>0</v>
      </c>
      <c r="CT1253" s="552">
        <f t="shared" si="6197"/>
        <v>0</v>
      </c>
      <c r="CU1253" s="552">
        <f t="shared" si="6197"/>
        <v>0</v>
      </c>
      <c r="CV1253" s="552">
        <f t="shared" si="6197"/>
        <v>0</v>
      </c>
      <c r="CW1253" s="552">
        <f t="shared" si="6197"/>
        <v>0</v>
      </c>
      <c r="CX1253" s="552">
        <f t="shared" si="6197"/>
        <v>0</v>
      </c>
      <c r="CY1253" s="552">
        <f t="shared" si="6197"/>
        <v>0</v>
      </c>
      <c r="CZ1253" s="552">
        <f t="shared" si="6197"/>
        <v>0</v>
      </c>
      <c r="DA1253" s="552">
        <f t="shared" si="6197"/>
        <v>0</v>
      </c>
      <c r="DB1253" s="552">
        <f t="shared" ref="DB1253:EG1253" si="6198">DB303*DB$338</f>
        <v>0</v>
      </c>
      <c r="DC1253" s="552">
        <f t="shared" si="6198"/>
        <v>0</v>
      </c>
      <c r="DD1253" s="552">
        <f t="shared" si="6198"/>
        <v>0</v>
      </c>
      <c r="DE1253" s="552">
        <f t="shared" si="6198"/>
        <v>0</v>
      </c>
      <c r="DF1253" s="552">
        <f t="shared" si="6198"/>
        <v>0</v>
      </c>
      <c r="DG1253" s="552">
        <f t="shared" si="6198"/>
        <v>0</v>
      </c>
      <c r="DH1253" s="552">
        <f t="shared" si="6198"/>
        <v>0</v>
      </c>
      <c r="DI1253" s="552">
        <f t="shared" si="6198"/>
        <v>0</v>
      </c>
      <c r="DJ1253" s="552">
        <f t="shared" si="6198"/>
        <v>0</v>
      </c>
      <c r="DK1253" s="552">
        <f t="shared" si="6198"/>
        <v>0</v>
      </c>
      <c r="DL1253" s="552">
        <f t="shared" si="6198"/>
        <v>0</v>
      </c>
      <c r="DM1253" s="552">
        <f t="shared" si="6198"/>
        <v>0</v>
      </c>
      <c r="DN1253" s="552">
        <f t="shared" si="6198"/>
        <v>0</v>
      </c>
      <c r="DO1253" s="552">
        <f t="shared" si="6198"/>
        <v>0</v>
      </c>
      <c r="DP1253" s="552">
        <f t="shared" si="6198"/>
        <v>0</v>
      </c>
      <c r="DQ1253" s="552">
        <f t="shared" si="6198"/>
        <v>0</v>
      </c>
      <c r="DR1253" s="552">
        <f t="shared" si="6198"/>
        <v>0</v>
      </c>
      <c r="DS1253" s="552">
        <f t="shared" si="6198"/>
        <v>0</v>
      </c>
      <c r="DT1253" s="552">
        <f t="shared" si="6198"/>
        <v>0</v>
      </c>
      <c r="DU1253" s="552">
        <f t="shared" si="6198"/>
        <v>0</v>
      </c>
      <c r="DV1253" s="552">
        <f t="shared" si="6198"/>
        <v>0</v>
      </c>
      <c r="DW1253" s="552">
        <f t="shared" si="6198"/>
        <v>0</v>
      </c>
      <c r="DX1253" s="552">
        <f t="shared" si="6198"/>
        <v>0</v>
      </c>
      <c r="DY1253" s="552">
        <f t="shared" si="6198"/>
        <v>0</v>
      </c>
      <c r="DZ1253" s="552">
        <f t="shared" si="6198"/>
        <v>0</v>
      </c>
      <c r="EA1253" s="552">
        <f t="shared" si="6198"/>
        <v>0</v>
      </c>
      <c r="EB1253" s="552">
        <f t="shared" si="6198"/>
        <v>0</v>
      </c>
      <c r="EC1253" s="552">
        <f t="shared" si="6198"/>
        <v>0</v>
      </c>
      <c r="ED1253" s="552">
        <f t="shared" si="6198"/>
        <v>0</v>
      </c>
      <c r="EE1253" s="552">
        <f t="shared" si="6198"/>
        <v>0</v>
      </c>
      <c r="EF1253" s="552">
        <f t="shared" si="6198"/>
        <v>0</v>
      </c>
      <c r="EG1253" s="552">
        <f t="shared" si="6198"/>
        <v>0</v>
      </c>
      <c r="EH1253" s="552">
        <f t="shared" ref="EH1253:EX1253" si="6199">EH303*EH$338</f>
        <v>0</v>
      </c>
      <c r="EI1253" s="552">
        <f t="shared" si="6199"/>
        <v>0</v>
      </c>
      <c r="EJ1253" s="552">
        <f t="shared" si="6199"/>
        <v>0</v>
      </c>
      <c r="EK1253" s="552">
        <f t="shared" si="6199"/>
        <v>0</v>
      </c>
      <c r="EL1253" s="552">
        <f t="shared" si="6199"/>
        <v>0</v>
      </c>
      <c r="EM1253" s="552">
        <f t="shared" si="6199"/>
        <v>0</v>
      </c>
      <c r="EN1253" s="552">
        <f t="shared" si="6199"/>
        <v>0</v>
      </c>
      <c r="EO1253" s="552">
        <f t="shared" si="6199"/>
        <v>0</v>
      </c>
      <c r="EP1253" s="552">
        <f t="shared" si="6199"/>
        <v>0</v>
      </c>
      <c r="EQ1253" s="552">
        <f t="shared" si="6199"/>
        <v>0</v>
      </c>
      <c r="ER1253" s="552">
        <f t="shared" si="6199"/>
        <v>0</v>
      </c>
      <c r="ES1253" s="552">
        <f t="shared" si="6199"/>
        <v>0</v>
      </c>
      <c r="ET1253" s="552">
        <f t="shared" si="6199"/>
        <v>0</v>
      </c>
      <c r="EU1253" s="552">
        <f t="shared" si="6199"/>
        <v>0</v>
      </c>
      <c r="EV1253" s="552">
        <f t="shared" si="6199"/>
        <v>0</v>
      </c>
      <c r="EW1253" s="552">
        <f t="shared" si="6199"/>
        <v>0</v>
      </c>
      <c r="EX1253" s="552">
        <f t="shared" si="6199"/>
        <v>0</v>
      </c>
      <c r="EY1253" s="799">
        <f t="shared" si="6019"/>
        <v>0</v>
      </c>
      <c r="EZ1253" s="640"/>
      <c r="FA1253" s="640"/>
      <c r="FB1253" s="640"/>
      <c r="FC1253" s="640"/>
      <c r="FD1253" s="640"/>
      <c r="FE1253" s="640"/>
      <c r="FF1253" s="640"/>
      <c r="FG1253" s="640"/>
      <c r="FH1253" s="640"/>
      <c r="FI1253" s="640"/>
      <c r="FJ1253" s="640"/>
      <c r="FK1253" s="640"/>
      <c r="FL1253" s="640"/>
    </row>
    <row r="1254" spans="1:168" x14ac:dyDescent="0.25">
      <c r="A1254" s="1492"/>
      <c r="B1254" s="624">
        <v>0</v>
      </c>
      <c r="C1254" s="1137">
        <v>0</v>
      </c>
      <c r="D1254" s="1137">
        <v>0</v>
      </c>
      <c r="E1254" s="1158">
        <f t="shared" si="5978"/>
        <v>0</v>
      </c>
      <c r="F1254" s="1158"/>
      <c r="G1254" s="1140"/>
      <c r="H1254" s="1140"/>
      <c r="I1254" s="552"/>
      <c r="J1254" s="552">
        <f t="shared" ref="J1254:AO1254" si="6200">J304*J$338</f>
        <v>0</v>
      </c>
      <c r="K1254" s="552">
        <f t="shared" si="6200"/>
        <v>0</v>
      </c>
      <c r="L1254" s="552">
        <f t="shared" si="6200"/>
        <v>0</v>
      </c>
      <c r="M1254" s="552">
        <f t="shared" si="6200"/>
        <v>0</v>
      </c>
      <c r="N1254" s="552">
        <f t="shared" si="6200"/>
        <v>0</v>
      </c>
      <c r="O1254" s="552">
        <f t="shared" si="6200"/>
        <v>0</v>
      </c>
      <c r="P1254" s="552">
        <f t="shared" si="6200"/>
        <v>0</v>
      </c>
      <c r="Q1254" s="552">
        <f t="shared" si="6200"/>
        <v>0</v>
      </c>
      <c r="R1254" s="552">
        <f t="shared" si="6200"/>
        <v>0</v>
      </c>
      <c r="S1254" s="552">
        <f t="shared" si="6200"/>
        <v>0</v>
      </c>
      <c r="T1254" s="552">
        <f t="shared" si="6200"/>
        <v>0</v>
      </c>
      <c r="U1254" s="552">
        <f t="shared" si="6200"/>
        <v>0</v>
      </c>
      <c r="V1254" s="552">
        <f t="shared" si="6200"/>
        <v>0</v>
      </c>
      <c r="W1254" s="552">
        <f t="shared" si="6200"/>
        <v>0</v>
      </c>
      <c r="X1254" s="552">
        <f t="shared" si="6200"/>
        <v>0</v>
      </c>
      <c r="Y1254" s="552">
        <f t="shared" si="6200"/>
        <v>0</v>
      </c>
      <c r="Z1254" s="552">
        <f t="shared" si="6200"/>
        <v>0</v>
      </c>
      <c r="AA1254" s="552">
        <f t="shared" si="6200"/>
        <v>0</v>
      </c>
      <c r="AB1254" s="552">
        <f t="shared" si="6200"/>
        <v>0</v>
      </c>
      <c r="AC1254" s="552">
        <f t="shared" si="6200"/>
        <v>0</v>
      </c>
      <c r="AD1254" s="552">
        <f t="shared" si="6200"/>
        <v>0</v>
      </c>
      <c r="AE1254" s="552">
        <f t="shared" si="6200"/>
        <v>0</v>
      </c>
      <c r="AF1254" s="552">
        <f t="shared" si="6200"/>
        <v>0</v>
      </c>
      <c r="AG1254" s="552">
        <f t="shared" si="6200"/>
        <v>0</v>
      </c>
      <c r="AH1254" s="552">
        <f t="shared" si="6200"/>
        <v>0</v>
      </c>
      <c r="AI1254" s="552">
        <f t="shared" si="6200"/>
        <v>0</v>
      </c>
      <c r="AJ1254" s="552">
        <f t="shared" si="6200"/>
        <v>0</v>
      </c>
      <c r="AK1254" s="552">
        <f t="shared" si="6200"/>
        <v>0</v>
      </c>
      <c r="AL1254" s="552">
        <f t="shared" si="6200"/>
        <v>0</v>
      </c>
      <c r="AM1254" s="552">
        <f t="shared" si="6200"/>
        <v>0</v>
      </c>
      <c r="AN1254" s="552">
        <f t="shared" si="6200"/>
        <v>0</v>
      </c>
      <c r="AO1254" s="552">
        <f t="shared" si="6200"/>
        <v>0</v>
      </c>
      <c r="AP1254" s="552">
        <f t="shared" ref="AP1254:BU1254" si="6201">AP304*AP$338</f>
        <v>0</v>
      </c>
      <c r="AQ1254" s="552">
        <f t="shared" si="6201"/>
        <v>0</v>
      </c>
      <c r="AR1254" s="552">
        <f t="shared" si="6201"/>
        <v>0</v>
      </c>
      <c r="AS1254" s="552">
        <f t="shared" si="6201"/>
        <v>0</v>
      </c>
      <c r="AT1254" s="552">
        <f t="shared" si="6201"/>
        <v>0</v>
      </c>
      <c r="AU1254" s="552">
        <f t="shared" si="6201"/>
        <v>0</v>
      </c>
      <c r="AV1254" s="552">
        <f t="shared" si="6201"/>
        <v>0</v>
      </c>
      <c r="AW1254" s="552">
        <f t="shared" si="6201"/>
        <v>0</v>
      </c>
      <c r="AX1254" s="552">
        <f t="shared" si="6201"/>
        <v>0</v>
      </c>
      <c r="AY1254" s="552">
        <f t="shared" si="6201"/>
        <v>0</v>
      </c>
      <c r="AZ1254" s="552">
        <f t="shared" si="6201"/>
        <v>0</v>
      </c>
      <c r="BA1254" s="552">
        <f t="shared" si="6201"/>
        <v>0</v>
      </c>
      <c r="BB1254" s="552">
        <f t="shared" si="6201"/>
        <v>0</v>
      </c>
      <c r="BC1254" s="552">
        <f t="shared" si="6201"/>
        <v>0</v>
      </c>
      <c r="BD1254" s="552">
        <f t="shared" si="6201"/>
        <v>0</v>
      </c>
      <c r="BE1254" s="552">
        <f t="shared" si="6201"/>
        <v>0</v>
      </c>
      <c r="BF1254" s="552">
        <f t="shared" si="6201"/>
        <v>0</v>
      </c>
      <c r="BG1254" s="552">
        <f t="shared" si="6201"/>
        <v>0</v>
      </c>
      <c r="BH1254" s="552">
        <f t="shared" si="6201"/>
        <v>0</v>
      </c>
      <c r="BI1254" s="552">
        <f t="shared" si="6201"/>
        <v>0</v>
      </c>
      <c r="BJ1254" s="552">
        <f t="shared" si="6201"/>
        <v>0</v>
      </c>
      <c r="BK1254" s="552">
        <f t="shared" si="6201"/>
        <v>0</v>
      </c>
      <c r="BL1254" s="552">
        <f t="shared" si="6201"/>
        <v>0</v>
      </c>
      <c r="BM1254" s="552">
        <f t="shared" si="6201"/>
        <v>0</v>
      </c>
      <c r="BN1254" s="552">
        <f t="shared" si="6201"/>
        <v>0</v>
      </c>
      <c r="BO1254" s="552">
        <f t="shared" si="6201"/>
        <v>0</v>
      </c>
      <c r="BP1254" s="552">
        <f t="shared" si="6201"/>
        <v>0</v>
      </c>
      <c r="BQ1254" s="552">
        <f t="shared" si="6201"/>
        <v>0</v>
      </c>
      <c r="BR1254" s="552">
        <f t="shared" si="6201"/>
        <v>0</v>
      </c>
      <c r="BS1254" s="552">
        <f t="shared" si="6201"/>
        <v>0</v>
      </c>
      <c r="BT1254" s="552">
        <f t="shared" si="6201"/>
        <v>0</v>
      </c>
      <c r="BU1254" s="552">
        <f t="shared" si="6201"/>
        <v>0</v>
      </c>
      <c r="BV1254" s="552">
        <f t="shared" ref="BV1254:DA1254" si="6202">BV304*BV$338</f>
        <v>0</v>
      </c>
      <c r="BW1254" s="552">
        <f t="shared" si="6202"/>
        <v>0</v>
      </c>
      <c r="BX1254" s="552">
        <f t="shared" si="6202"/>
        <v>0</v>
      </c>
      <c r="BY1254" s="552">
        <f t="shared" si="6202"/>
        <v>0</v>
      </c>
      <c r="BZ1254" s="552">
        <f t="shared" si="6202"/>
        <v>0</v>
      </c>
      <c r="CA1254" s="552">
        <f t="shared" si="6202"/>
        <v>0</v>
      </c>
      <c r="CB1254" s="552">
        <f t="shared" si="6202"/>
        <v>0</v>
      </c>
      <c r="CC1254" s="552">
        <f t="shared" si="6202"/>
        <v>0</v>
      </c>
      <c r="CD1254" s="552">
        <f t="shared" si="6202"/>
        <v>0</v>
      </c>
      <c r="CE1254" s="552">
        <f t="shared" si="6202"/>
        <v>0</v>
      </c>
      <c r="CF1254" s="552">
        <f t="shared" si="6202"/>
        <v>0</v>
      </c>
      <c r="CG1254" s="552">
        <f t="shared" si="6202"/>
        <v>0</v>
      </c>
      <c r="CH1254" s="552">
        <f t="shared" si="6202"/>
        <v>0</v>
      </c>
      <c r="CI1254" s="552">
        <f t="shared" si="6202"/>
        <v>0</v>
      </c>
      <c r="CJ1254" s="552">
        <f t="shared" si="6202"/>
        <v>0</v>
      </c>
      <c r="CK1254" s="552">
        <f t="shared" si="6202"/>
        <v>0</v>
      </c>
      <c r="CL1254" s="552">
        <f t="shared" si="6202"/>
        <v>0</v>
      </c>
      <c r="CM1254" s="552">
        <f t="shared" si="6202"/>
        <v>0</v>
      </c>
      <c r="CN1254" s="552">
        <f t="shared" si="6202"/>
        <v>0</v>
      </c>
      <c r="CO1254" s="552">
        <f t="shared" si="6202"/>
        <v>0</v>
      </c>
      <c r="CP1254" s="552">
        <f t="shared" si="6202"/>
        <v>0</v>
      </c>
      <c r="CQ1254" s="552">
        <f t="shared" si="6202"/>
        <v>0</v>
      </c>
      <c r="CR1254" s="552">
        <f t="shared" si="6202"/>
        <v>0</v>
      </c>
      <c r="CS1254" s="552">
        <f t="shared" si="6202"/>
        <v>0</v>
      </c>
      <c r="CT1254" s="552">
        <f t="shared" si="6202"/>
        <v>0</v>
      </c>
      <c r="CU1254" s="552">
        <f t="shared" si="6202"/>
        <v>0</v>
      </c>
      <c r="CV1254" s="552">
        <f t="shared" si="6202"/>
        <v>0</v>
      </c>
      <c r="CW1254" s="552">
        <f t="shared" si="6202"/>
        <v>0</v>
      </c>
      <c r="CX1254" s="552">
        <f t="shared" si="6202"/>
        <v>0</v>
      </c>
      <c r="CY1254" s="552">
        <f t="shared" si="6202"/>
        <v>0</v>
      </c>
      <c r="CZ1254" s="552">
        <f t="shared" si="6202"/>
        <v>0</v>
      </c>
      <c r="DA1254" s="552">
        <f t="shared" si="6202"/>
        <v>0</v>
      </c>
      <c r="DB1254" s="552">
        <f t="shared" ref="DB1254:EG1254" si="6203">DB304*DB$338</f>
        <v>0</v>
      </c>
      <c r="DC1254" s="552">
        <f t="shared" si="6203"/>
        <v>0</v>
      </c>
      <c r="DD1254" s="552">
        <f t="shared" si="6203"/>
        <v>0</v>
      </c>
      <c r="DE1254" s="552">
        <f t="shared" si="6203"/>
        <v>0</v>
      </c>
      <c r="DF1254" s="552">
        <f t="shared" si="6203"/>
        <v>0</v>
      </c>
      <c r="DG1254" s="552">
        <f t="shared" si="6203"/>
        <v>0</v>
      </c>
      <c r="DH1254" s="552">
        <f t="shared" si="6203"/>
        <v>0</v>
      </c>
      <c r="DI1254" s="552">
        <f t="shared" si="6203"/>
        <v>0</v>
      </c>
      <c r="DJ1254" s="552">
        <f t="shared" si="6203"/>
        <v>0</v>
      </c>
      <c r="DK1254" s="552">
        <f t="shared" si="6203"/>
        <v>0</v>
      </c>
      <c r="DL1254" s="552">
        <f t="shared" si="6203"/>
        <v>0</v>
      </c>
      <c r="DM1254" s="552">
        <f t="shared" si="6203"/>
        <v>0</v>
      </c>
      <c r="DN1254" s="552">
        <f t="shared" si="6203"/>
        <v>0</v>
      </c>
      <c r="DO1254" s="552">
        <f t="shared" si="6203"/>
        <v>0</v>
      </c>
      <c r="DP1254" s="552">
        <f t="shared" si="6203"/>
        <v>0</v>
      </c>
      <c r="DQ1254" s="552">
        <f t="shared" si="6203"/>
        <v>0</v>
      </c>
      <c r="DR1254" s="552">
        <f t="shared" si="6203"/>
        <v>0</v>
      </c>
      <c r="DS1254" s="552">
        <f t="shared" si="6203"/>
        <v>0</v>
      </c>
      <c r="DT1254" s="552">
        <f t="shared" si="6203"/>
        <v>0</v>
      </c>
      <c r="DU1254" s="552">
        <f t="shared" si="6203"/>
        <v>0</v>
      </c>
      <c r="DV1254" s="552">
        <f t="shared" si="6203"/>
        <v>0</v>
      </c>
      <c r="DW1254" s="552">
        <f t="shared" si="6203"/>
        <v>0</v>
      </c>
      <c r="DX1254" s="552">
        <f t="shared" si="6203"/>
        <v>0</v>
      </c>
      <c r="DY1254" s="552">
        <f t="shared" si="6203"/>
        <v>0</v>
      </c>
      <c r="DZ1254" s="552">
        <f t="shared" si="6203"/>
        <v>0</v>
      </c>
      <c r="EA1254" s="552">
        <f t="shared" si="6203"/>
        <v>0</v>
      </c>
      <c r="EB1254" s="552">
        <f t="shared" si="6203"/>
        <v>0</v>
      </c>
      <c r="EC1254" s="552">
        <f t="shared" si="6203"/>
        <v>0</v>
      </c>
      <c r="ED1254" s="552">
        <f t="shared" si="6203"/>
        <v>0</v>
      </c>
      <c r="EE1254" s="552">
        <f t="shared" si="6203"/>
        <v>0</v>
      </c>
      <c r="EF1254" s="552">
        <f t="shared" si="6203"/>
        <v>0</v>
      </c>
      <c r="EG1254" s="552">
        <f t="shared" si="6203"/>
        <v>0</v>
      </c>
      <c r="EH1254" s="552">
        <f t="shared" ref="EH1254:EX1254" si="6204">EH304*EH$338</f>
        <v>0</v>
      </c>
      <c r="EI1254" s="552">
        <f t="shared" si="6204"/>
        <v>0</v>
      </c>
      <c r="EJ1254" s="552">
        <f t="shared" si="6204"/>
        <v>0</v>
      </c>
      <c r="EK1254" s="552">
        <f t="shared" si="6204"/>
        <v>0</v>
      </c>
      <c r="EL1254" s="552">
        <f t="shared" si="6204"/>
        <v>0</v>
      </c>
      <c r="EM1254" s="552">
        <f t="shared" si="6204"/>
        <v>0</v>
      </c>
      <c r="EN1254" s="552">
        <f t="shared" si="6204"/>
        <v>0</v>
      </c>
      <c r="EO1254" s="552">
        <f t="shared" si="6204"/>
        <v>0</v>
      </c>
      <c r="EP1254" s="552">
        <f t="shared" si="6204"/>
        <v>0</v>
      </c>
      <c r="EQ1254" s="552">
        <f t="shared" si="6204"/>
        <v>0</v>
      </c>
      <c r="ER1254" s="552">
        <f t="shared" si="6204"/>
        <v>0</v>
      </c>
      <c r="ES1254" s="552">
        <f t="shared" si="6204"/>
        <v>0</v>
      </c>
      <c r="ET1254" s="552">
        <f t="shared" si="6204"/>
        <v>0</v>
      </c>
      <c r="EU1254" s="552">
        <f t="shared" si="6204"/>
        <v>0</v>
      </c>
      <c r="EV1254" s="552">
        <f t="shared" si="6204"/>
        <v>0</v>
      </c>
      <c r="EW1254" s="552">
        <f t="shared" si="6204"/>
        <v>0</v>
      </c>
      <c r="EX1254" s="552">
        <f t="shared" si="6204"/>
        <v>0</v>
      </c>
      <c r="EY1254" s="799">
        <f t="shared" si="6019"/>
        <v>0</v>
      </c>
      <c r="EZ1254" s="640"/>
      <c r="FA1254" s="640"/>
      <c r="FB1254" s="640"/>
      <c r="FC1254" s="640"/>
      <c r="FD1254" s="640"/>
      <c r="FE1254" s="640"/>
      <c r="FF1254" s="640"/>
      <c r="FG1254" s="640"/>
      <c r="FH1254" s="640"/>
      <c r="FI1254" s="640"/>
      <c r="FJ1254" s="640"/>
      <c r="FK1254" s="640"/>
      <c r="FL1254" s="640"/>
    </row>
    <row r="1255" spans="1:168" x14ac:dyDescent="0.25">
      <c r="A1255" s="1493"/>
      <c r="B1255" s="624">
        <v>0</v>
      </c>
      <c r="C1255" s="1137">
        <v>0</v>
      </c>
      <c r="D1255" s="1137">
        <v>0</v>
      </c>
      <c r="E1255" s="1158">
        <f t="shared" si="5978"/>
        <v>0</v>
      </c>
      <c r="F1255" s="1158"/>
      <c r="G1255" s="1140"/>
      <c r="H1255" s="1140"/>
      <c r="I1255" s="552"/>
      <c r="J1255" s="552">
        <f>J305*J$338</f>
        <v>0</v>
      </c>
      <c r="K1255" s="552">
        <f t="shared" ref="K1255:BV1255" si="6205">K305*K$338</f>
        <v>0</v>
      </c>
      <c r="L1255" s="552">
        <f t="shared" si="6205"/>
        <v>0</v>
      </c>
      <c r="M1255" s="552">
        <f t="shared" si="6205"/>
        <v>0</v>
      </c>
      <c r="N1255" s="552">
        <f t="shared" si="6205"/>
        <v>0</v>
      </c>
      <c r="O1255" s="552">
        <f t="shared" si="6205"/>
        <v>0</v>
      </c>
      <c r="P1255" s="552">
        <f t="shared" si="6205"/>
        <v>0</v>
      </c>
      <c r="Q1255" s="552">
        <f t="shared" si="6205"/>
        <v>0</v>
      </c>
      <c r="R1255" s="552">
        <f t="shared" si="6205"/>
        <v>0</v>
      </c>
      <c r="S1255" s="552">
        <f t="shared" si="6205"/>
        <v>0</v>
      </c>
      <c r="T1255" s="552">
        <f t="shared" si="6205"/>
        <v>0</v>
      </c>
      <c r="U1255" s="552">
        <f t="shared" si="6205"/>
        <v>0</v>
      </c>
      <c r="V1255" s="552">
        <f t="shared" si="6205"/>
        <v>0</v>
      </c>
      <c r="W1255" s="552">
        <f t="shared" si="6205"/>
        <v>0</v>
      </c>
      <c r="X1255" s="552">
        <f t="shared" si="6205"/>
        <v>0</v>
      </c>
      <c r="Y1255" s="552">
        <f t="shared" si="6205"/>
        <v>0</v>
      </c>
      <c r="Z1255" s="552">
        <f t="shared" si="6205"/>
        <v>0</v>
      </c>
      <c r="AA1255" s="552">
        <f t="shared" si="6205"/>
        <v>0</v>
      </c>
      <c r="AB1255" s="552">
        <f t="shared" si="6205"/>
        <v>0</v>
      </c>
      <c r="AC1255" s="552">
        <f t="shared" si="6205"/>
        <v>0</v>
      </c>
      <c r="AD1255" s="552">
        <f t="shared" si="6205"/>
        <v>0</v>
      </c>
      <c r="AE1255" s="552">
        <f t="shared" si="6205"/>
        <v>0</v>
      </c>
      <c r="AF1255" s="552">
        <f t="shared" si="6205"/>
        <v>0</v>
      </c>
      <c r="AG1255" s="552">
        <f t="shared" si="6205"/>
        <v>0</v>
      </c>
      <c r="AH1255" s="552">
        <f t="shared" si="6205"/>
        <v>0</v>
      </c>
      <c r="AI1255" s="552">
        <f t="shared" si="6205"/>
        <v>0</v>
      </c>
      <c r="AJ1255" s="552">
        <f t="shared" si="6205"/>
        <v>0</v>
      </c>
      <c r="AK1255" s="552">
        <f t="shared" si="6205"/>
        <v>0</v>
      </c>
      <c r="AL1255" s="552">
        <f t="shared" si="6205"/>
        <v>0</v>
      </c>
      <c r="AM1255" s="552">
        <f t="shared" si="6205"/>
        <v>0</v>
      </c>
      <c r="AN1255" s="552">
        <f t="shared" si="6205"/>
        <v>0</v>
      </c>
      <c r="AO1255" s="552">
        <f t="shared" si="6205"/>
        <v>0</v>
      </c>
      <c r="AP1255" s="552">
        <f t="shared" si="6205"/>
        <v>0</v>
      </c>
      <c r="AQ1255" s="552">
        <f t="shared" si="6205"/>
        <v>0</v>
      </c>
      <c r="AR1255" s="552">
        <f t="shared" si="6205"/>
        <v>0</v>
      </c>
      <c r="AS1255" s="552">
        <f t="shared" si="6205"/>
        <v>0</v>
      </c>
      <c r="AT1255" s="552">
        <f t="shared" si="6205"/>
        <v>0</v>
      </c>
      <c r="AU1255" s="552">
        <f t="shared" si="6205"/>
        <v>0</v>
      </c>
      <c r="AV1255" s="552">
        <f t="shared" si="6205"/>
        <v>0</v>
      </c>
      <c r="AW1255" s="552">
        <f t="shared" si="6205"/>
        <v>0</v>
      </c>
      <c r="AX1255" s="552">
        <f t="shared" si="6205"/>
        <v>0</v>
      </c>
      <c r="AY1255" s="552">
        <f t="shared" si="6205"/>
        <v>0</v>
      </c>
      <c r="AZ1255" s="552">
        <f t="shared" si="6205"/>
        <v>0</v>
      </c>
      <c r="BA1255" s="552">
        <f t="shared" si="6205"/>
        <v>0</v>
      </c>
      <c r="BB1255" s="552">
        <f t="shared" si="6205"/>
        <v>0</v>
      </c>
      <c r="BC1255" s="552">
        <f t="shared" si="6205"/>
        <v>0</v>
      </c>
      <c r="BD1255" s="552">
        <f t="shared" si="6205"/>
        <v>0</v>
      </c>
      <c r="BE1255" s="552">
        <f t="shared" si="6205"/>
        <v>0</v>
      </c>
      <c r="BF1255" s="552">
        <f t="shared" si="6205"/>
        <v>0</v>
      </c>
      <c r="BG1255" s="552">
        <f t="shared" si="6205"/>
        <v>0</v>
      </c>
      <c r="BH1255" s="552">
        <f t="shared" si="6205"/>
        <v>0</v>
      </c>
      <c r="BI1255" s="552">
        <f t="shared" si="6205"/>
        <v>0</v>
      </c>
      <c r="BJ1255" s="552">
        <f t="shared" si="6205"/>
        <v>0</v>
      </c>
      <c r="BK1255" s="552">
        <f t="shared" si="6205"/>
        <v>0</v>
      </c>
      <c r="BL1255" s="552">
        <f t="shared" si="6205"/>
        <v>0</v>
      </c>
      <c r="BM1255" s="552">
        <f t="shared" si="6205"/>
        <v>0</v>
      </c>
      <c r="BN1255" s="552">
        <f t="shared" si="6205"/>
        <v>0</v>
      </c>
      <c r="BO1255" s="552">
        <f t="shared" si="6205"/>
        <v>0</v>
      </c>
      <c r="BP1255" s="552">
        <f t="shared" si="6205"/>
        <v>0</v>
      </c>
      <c r="BQ1255" s="552">
        <f t="shared" si="6205"/>
        <v>0</v>
      </c>
      <c r="BR1255" s="552">
        <f t="shared" si="6205"/>
        <v>0</v>
      </c>
      <c r="BS1255" s="552">
        <f t="shared" si="6205"/>
        <v>0</v>
      </c>
      <c r="BT1255" s="552">
        <f t="shared" si="6205"/>
        <v>0</v>
      </c>
      <c r="BU1255" s="552">
        <f t="shared" si="6205"/>
        <v>0</v>
      </c>
      <c r="BV1255" s="552">
        <f t="shared" si="6205"/>
        <v>0</v>
      </c>
      <c r="BW1255" s="552">
        <f t="shared" ref="BW1255:DB1255" si="6206">BW305*BW$338</f>
        <v>0</v>
      </c>
      <c r="BX1255" s="552">
        <f t="shared" si="6206"/>
        <v>0</v>
      </c>
      <c r="BY1255" s="552">
        <f t="shared" si="6206"/>
        <v>0</v>
      </c>
      <c r="BZ1255" s="552">
        <f t="shared" si="6206"/>
        <v>0</v>
      </c>
      <c r="CA1255" s="552">
        <f t="shared" si="6206"/>
        <v>0</v>
      </c>
      <c r="CB1255" s="552">
        <f t="shared" si="6206"/>
        <v>0</v>
      </c>
      <c r="CC1255" s="552">
        <f t="shared" si="6206"/>
        <v>0</v>
      </c>
      <c r="CD1255" s="552">
        <f t="shared" si="6206"/>
        <v>0</v>
      </c>
      <c r="CE1255" s="552">
        <f t="shared" si="6206"/>
        <v>0</v>
      </c>
      <c r="CF1255" s="552">
        <f t="shared" si="6206"/>
        <v>0</v>
      </c>
      <c r="CG1255" s="552">
        <f t="shared" si="6206"/>
        <v>0</v>
      </c>
      <c r="CH1255" s="552">
        <f t="shared" si="6206"/>
        <v>0</v>
      </c>
      <c r="CI1255" s="552">
        <f t="shared" si="6206"/>
        <v>0</v>
      </c>
      <c r="CJ1255" s="552">
        <f t="shared" si="6206"/>
        <v>0</v>
      </c>
      <c r="CK1255" s="552">
        <f t="shared" si="6206"/>
        <v>0</v>
      </c>
      <c r="CL1255" s="552">
        <f t="shared" si="6206"/>
        <v>0</v>
      </c>
      <c r="CM1255" s="552">
        <f t="shared" si="6206"/>
        <v>0</v>
      </c>
      <c r="CN1255" s="552">
        <f t="shared" si="6206"/>
        <v>0</v>
      </c>
      <c r="CO1255" s="552">
        <f t="shared" si="6206"/>
        <v>0</v>
      </c>
      <c r="CP1255" s="552">
        <f t="shared" si="6206"/>
        <v>0</v>
      </c>
      <c r="CQ1255" s="552">
        <f t="shared" si="6206"/>
        <v>0</v>
      </c>
      <c r="CR1255" s="552">
        <f t="shared" si="6206"/>
        <v>0</v>
      </c>
      <c r="CS1255" s="552">
        <f t="shared" si="6206"/>
        <v>0</v>
      </c>
      <c r="CT1255" s="552">
        <f t="shared" si="6206"/>
        <v>0</v>
      </c>
      <c r="CU1255" s="552">
        <f t="shared" si="6206"/>
        <v>0</v>
      </c>
      <c r="CV1255" s="552">
        <f t="shared" si="6206"/>
        <v>0</v>
      </c>
      <c r="CW1255" s="552">
        <f t="shared" si="6206"/>
        <v>0</v>
      </c>
      <c r="CX1255" s="552">
        <f t="shared" si="6206"/>
        <v>0</v>
      </c>
      <c r="CY1255" s="552">
        <f t="shared" si="6206"/>
        <v>0</v>
      </c>
      <c r="CZ1255" s="552">
        <f t="shared" si="6206"/>
        <v>0</v>
      </c>
      <c r="DA1255" s="552">
        <f t="shared" si="6206"/>
        <v>0</v>
      </c>
      <c r="DB1255" s="552">
        <f t="shared" si="6206"/>
        <v>0</v>
      </c>
      <c r="DC1255" s="552">
        <f t="shared" ref="DC1255:EH1255" si="6207">DC305*DC$338</f>
        <v>0</v>
      </c>
      <c r="DD1255" s="552">
        <f t="shared" si="6207"/>
        <v>0</v>
      </c>
      <c r="DE1255" s="552">
        <f t="shared" si="6207"/>
        <v>0</v>
      </c>
      <c r="DF1255" s="552">
        <f t="shared" si="6207"/>
        <v>0</v>
      </c>
      <c r="DG1255" s="552">
        <f t="shared" si="6207"/>
        <v>0</v>
      </c>
      <c r="DH1255" s="552">
        <f t="shared" si="6207"/>
        <v>0</v>
      </c>
      <c r="DI1255" s="552">
        <f t="shared" si="6207"/>
        <v>0</v>
      </c>
      <c r="DJ1255" s="552">
        <f t="shared" si="6207"/>
        <v>0</v>
      </c>
      <c r="DK1255" s="552">
        <f t="shared" si="6207"/>
        <v>0</v>
      </c>
      <c r="DL1255" s="552">
        <f t="shared" si="6207"/>
        <v>0</v>
      </c>
      <c r="DM1255" s="552">
        <f t="shared" si="6207"/>
        <v>0</v>
      </c>
      <c r="DN1255" s="552">
        <f t="shared" si="6207"/>
        <v>0</v>
      </c>
      <c r="DO1255" s="552">
        <f t="shared" si="6207"/>
        <v>0</v>
      </c>
      <c r="DP1255" s="552">
        <f t="shared" si="6207"/>
        <v>0</v>
      </c>
      <c r="DQ1255" s="552">
        <f t="shared" si="6207"/>
        <v>0</v>
      </c>
      <c r="DR1255" s="552">
        <f t="shared" si="6207"/>
        <v>0</v>
      </c>
      <c r="DS1255" s="552">
        <f t="shared" si="6207"/>
        <v>0</v>
      </c>
      <c r="DT1255" s="552">
        <f t="shared" si="6207"/>
        <v>0</v>
      </c>
      <c r="DU1255" s="552">
        <f t="shared" si="6207"/>
        <v>0</v>
      </c>
      <c r="DV1255" s="552">
        <f t="shared" si="6207"/>
        <v>0</v>
      </c>
      <c r="DW1255" s="552">
        <f t="shared" si="6207"/>
        <v>0</v>
      </c>
      <c r="DX1255" s="552">
        <f t="shared" si="6207"/>
        <v>0</v>
      </c>
      <c r="DY1255" s="552">
        <f t="shared" si="6207"/>
        <v>0</v>
      </c>
      <c r="DZ1255" s="552">
        <f t="shared" si="6207"/>
        <v>0</v>
      </c>
      <c r="EA1255" s="552">
        <f t="shared" si="6207"/>
        <v>0</v>
      </c>
      <c r="EB1255" s="552">
        <f t="shared" si="6207"/>
        <v>0</v>
      </c>
      <c r="EC1255" s="552">
        <f t="shared" si="6207"/>
        <v>0</v>
      </c>
      <c r="ED1255" s="552">
        <f t="shared" si="6207"/>
        <v>0</v>
      </c>
      <c r="EE1255" s="552">
        <f t="shared" si="6207"/>
        <v>0</v>
      </c>
      <c r="EF1255" s="552">
        <f t="shared" si="6207"/>
        <v>0</v>
      </c>
      <c r="EG1255" s="552">
        <f t="shared" si="6207"/>
        <v>0</v>
      </c>
      <c r="EH1255" s="552">
        <f t="shared" si="6207"/>
        <v>0</v>
      </c>
      <c r="EI1255" s="552">
        <f t="shared" ref="EI1255:EX1255" si="6208">EI305*EI$338</f>
        <v>0</v>
      </c>
      <c r="EJ1255" s="552">
        <f t="shared" si="6208"/>
        <v>0</v>
      </c>
      <c r="EK1255" s="552">
        <f t="shared" si="6208"/>
        <v>0</v>
      </c>
      <c r="EL1255" s="552">
        <f t="shared" si="6208"/>
        <v>0</v>
      </c>
      <c r="EM1255" s="552">
        <f t="shared" si="6208"/>
        <v>0</v>
      </c>
      <c r="EN1255" s="552">
        <f t="shared" si="6208"/>
        <v>0</v>
      </c>
      <c r="EO1255" s="552">
        <f t="shared" si="6208"/>
        <v>0</v>
      </c>
      <c r="EP1255" s="552">
        <f t="shared" si="6208"/>
        <v>0</v>
      </c>
      <c r="EQ1255" s="552">
        <f t="shared" si="6208"/>
        <v>0</v>
      </c>
      <c r="ER1255" s="552">
        <f t="shared" si="6208"/>
        <v>0</v>
      </c>
      <c r="ES1255" s="552">
        <f t="shared" si="6208"/>
        <v>0</v>
      </c>
      <c r="ET1255" s="552">
        <f t="shared" si="6208"/>
        <v>0</v>
      </c>
      <c r="EU1255" s="552">
        <f t="shared" si="6208"/>
        <v>0</v>
      </c>
      <c r="EV1255" s="552">
        <f t="shared" si="6208"/>
        <v>0</v>
      </c>
      <c r="EW1255" s="552">
        <f t="shared" si="6208"/>
        <v>0</v>
      </c>
      <c r="EX1255" s="552">
        <f t="shared" si="6208"/>
        <v>0</v>
      </c>
      <c r="EY1255" s="799">
        <f t="shared" si="6019"/>
        <v>0</v>
      </c>
      <c r="EZ1255" s="640"/>
      <c r="FA1255" s="640"/>
      <c r="FB1255" s="640"/>
      <c r="FC1255" s="640"/>
      <c r="FD1255" s="640"/>
      <c r="FE1255" s="640"/>
      <c r="FF1255" s="640"/>
      <c r="FG1255" s="640"/>
      <c r="FH1255" s="640"/>
      <c r="FI1255" s="640"/>
      <c r="FJ1255" s="640"/>
      <c r="FK1255" s="640"/>
      <c r="FL1255" s="640"/>
    </row>
    <row r="1256" spans="1:168" x14ac:dyDescent="0.25">
      <c r="A1256" s="254"/>
      <c r="B1256" s="625" t="s">
        <v>113</v>
      </c>
      <c r="C1256" s="1135"/>
      <c r="D1256" s="1138">
        <f>SUM(D1247:D1255)</f>
        <v>0</v>
      </c>
      <c r="E1256" s="1138">
        <f t="shared" ref="E1256:J1256" si="6209">SUM(E1247:E1255)</f>
        <v>0</v>
      </c>
      <c r="F1256" s="1138"/>
      <c r="G1256" s="1138">
        <f t="shared" si="6209"/>
        <v>0</v>
      </c>
      <c r="H1256" s="1138">
        <f t="shared" si="6209"/>
        <v>0</v>
      </c>
      <c r="I1256" s="554"/>
      <c r="J1256" s="1138">
        <f t="shared" si="6209"/>
        <v>0</v>
      </c>
      <c r="K1256" s="1138">
        <f t="shared" ref="K1256" si="6210">SUM(K1247:K1255)</f>
        <v>0</v>
      </c>
      <c r="L1256" s="1138">
        <f t="shared" ref="L1256" si="6211">SUM(L1247:L1255)</f>
        <v>0</v>
      </c>
      <c r="M1256" s="1138">
        <f t="shared" ref="M1256" si="6212">SUM(M1247:M1255)</f>
        <v>0</v>
      </c>
      <c r="N1256" s="1138">
        <f t="shared" ref="N1256" si="6213">SUM(N1247:N1255)</f>
        <v>0</v>
      </c>
      <c r="O1256" s="1138">
        <f t="shared" ref="O1256" si="6214">SUM(O1247:O1255)</f>
        <v>0</v>
      </c>
      <c r="P1256" s="1138">
        <f t="shared" ref="P1256" si="6215">SUM(P1247:P1255)</f>
        <v>0</v>
      </c>
      <c r="Q1256" s="1138">
        <f t="shared" ref="Q1256" si="6216">SUM(Q1247:Q1255)</f>
        <v>0</v>
      </c>
      <c r="R1256" s="1138">
        <f t="shared" ref="R1256" si="6217">SUM(R1247:R1255)</f>
        <v>0</v>
      </c>
      <c r="S1256" s="1138">
        <f t="shared" ref="S1256" si="6218">SUM(S1247:S1255)</f>
        <v>0</v>
      </c>
      <c r="T1256" s="1138">
        <f t="shared" ref="T1256" si="6219">SUM(T1247:T1255)</f>
        <v>0</v>
      </c>
      <c r="U1256" s="1138">
        <f t="shared" ref="U1256" si="6220">SUM(U1247:U1255)</f>
        <v>0</v>
      </c>
      <c r="V1256" s="1138">
        <f t="shared" ref="V1256" si="6221">SUM(V1247:V1255)</f>
        <v>0</v>
      </c>
      <c r="W1256" s="1138">
        <f t="shared" ref="W1256" si="6222">SUM(W1247:W1255)</f>
        <v>0</v>
      </c>
      <c r="X1256" s="1138">
        <f t="shared" ref="X1256" si="6223">SUM(X1247:X1255)</f>
        <v>0</v>
      </c>
      <c r="Y1256" s="1138">
        <f t="shared" ref="Y1256" si="6224">SUM(Y1247:Y1255)</f>
        <v>0</v>
      </c>
      <c r="Z1256" s="1138">
        <f t="shared" ref="Z1256" si="6225">SUM(Z1247:Z1255)</f>
        <v>0</v>
      </c>
      <c r="AA1256" s="1138">
        <f t="shared" ref="AA1256" si="6226">SUM(AA1247:AA1255)</f>
        <v>0</v>
      </c>
      <c r="AB1256" s="1138">
        <f t="shared" ref="AB1256" si="6227">SUM(AB1247:AB1255)</f>
        <v>0</v>
      </c>
      <c r="AC1256" s="1138">
        <f t="shared" ref="AC1256" si="6228">SUM(AC1247:AC1255)</f>
        <v>0</v>
      </c>
      <c r="AD1256" s="1138">
        <f t="shared" ref="AD1256" si="6229">SUM(AD1247:AD1255)</f>
        <v>0</v>
      </c>
      <c r="AE1256" s="1138">
        <f t="shared" ref="AE1256" si="6230">SUM(AE1247:AE1255)</f>
        <v>0</v>
      </c>
      <c r="AF1256" s="1138">
        <f t="shared" ref="AF1256" si="6231">SUM(AF1247:AF1255)</f>
        <v>0</v>
      </c>
      <c r="AG1256" s="1138">
        <f t="shared" ref="AG1256" si="6232">SUM(AG1247:AG1255)</f>
        <v>0</v>
      </c>
      <c r="AH1256" s="1138">
        <f t="shared" ref="AH1256" si="6233">SUM(AH1247:AH1255)</f>
        <v>0</v>
      </c>
      <c r="AI1256" s="1138">
        <f t="shared" ref="AI1256" si="6234">SUM(AI1247:AI1255)</f>
        <v>0</v>
      </c>
      <c r="AJ1256" s="1138">
        <f t="shared" ref="AJ1256" si="6235">SUM(AJ1247:AJ1255)</f>
        <v>0</v>
      </c>
      <c r="AK1256" s="1138">
        <f t="shared" ref="AK1256" si="6236">SUM(AK1247:AK1255)</f>
        <v>0</v>
      </c>
      <c r="AL1256" s="1138">
        <f t="shared" ref="AL1256" si="6237">SUM(AL1247:AL1255)</f>
        <v>0</v>
      </c>
      <c r="AM1256" s="1138">
        <f t="shared" ref="AM1256" si="6238">SUM(AM1247:AM1255)</f>
        <v>0</v>
      </c>
      <c r="AN1256" s="1138">
        <f t="shared" ref="AN1256" si="6239">SUM(AN1247:AN1255)</f>
        <v>0</v>
      </c>
      <c r="AO1256" s="1138">
        <f t="shared" ref="AO1256" si="6240">SUM(AO1247:AO1255)</f>
        <v>0</v>
      </c>
      <c r="AP1256" s="1138">
        <f t="shared" ref="AP1256" si="6241">SUM(AP1247:AP1255)</f>
        <v>0</v>
      </c>
      <c r="AQ1256" s="1138">
        <f t="shared" ref="AQ1256" si="6242">SUM(AQ1247:AQ1255)</f>
        <v>0</v>
      </c>
      <c r="AR1256" s="1138">
        <f t="shared" ref="AR1256" si="6243">SUM(AR1247:AR1255)</f>
        <v>0</v>
      </c>
      <c r="AS1256" s="1138">
        <f t="shared" ref="AS1256" si="6244">SUM(AS1247:AS1255)</f>
        <v>0</v>
      </c>
      <c r="AT1256" s="1138">
        <f t="shared" ref="AT1256" si="6245">SUM(AT1247:AT1255)</f>
        <v>0</v>
      </c>
      <c r="AU1256" s="1138">
        <f t="shared" ref="AU1256" si="6246">SUM(AU1247:AU1255)</f>
        <v>0</v>
      </c>
      <c r="AV1256" s="1138">
        <f t="shared" ref="AV1256" si="6247">SUM(AV1247:AV1255)</f>
        <v>0</v>
      </c>
      <c r="AW1256" s="1138">
        <f t="shared" ref="AW1256" si="6248">SUM(AW1247:AW1255)</f>
        <v>0</v>
      </c>
      <c r="AX1256" s="1138">
        <f t="shared" ref="AX1256" si="6249">SUM(AX1247:AX1255)</f>
        <v>0</v>
      </c>
      <c r="AY1256" s="1138">
        <f t="shared" ref="AY1256" si="6250">SUM(AY1247:AY1255)</f>
        <v>0</v>
      </c>
      <c r="AZ1256" s="1138">
        <f t="shared" ref="AZ1256" si="6251">SUM(AZ1247:AZ1255)</f>
        <v>0</v>
      </c>
      <c r="BA1256" s="1138">
        <f t="shared" ref="BA1256" si="6252">SUM(BA1247:BA1255)</f>
        <v>0</v>
      </c>
      <c r="BB1256" s="1138">
        <f t="shared" ref="BB1256" si="6253">SUM(BB1247:BB1255)</f>
        <v>0</v>
      </c>
      <c r="BC1256" s="1138">
        <f t="shared" ref="BC1256" si="6254">SUM(BC1247:BC1255)</f>
        <v>0</v>
      </c>
      <c r="BD1256" s="1138">
        <f t="shared" ref="BD1256" si="6255">SUM(BD1247:BD1255)</f>
        <v>0</v>
      </c>
      <c r="BE1256" s="1138">
        <f t="shared" ref="BE1256" si="6256">SUM(BE1247:BE1255)</f>
        <v>0</v>
      </c>
      <c r="BF1256" s="1138">
        <f t="shared" ref="BF1256" si="6257">SUM(BF1247:BF1255)</f>
        <v>0</v>
      </c>
      <c r="BG1256" s="1138">
        <f t="shared" ref="BG1256" si="6258">SUM(BG1247:BG1255)</f>
        <v>0</v>
      </c>
      <c r="BH1256" s="1138">
        <f t="shared" ref="BH1256" si="6259">SUM(BH1247:BH1255)</f>
        <v>0</v>
      </c>
      <c r="BI1256" s="1138">
        <f t="shared" ref="BI1256" si="6260">SUM(BI1247:BI1255)</f>
        <v>0</v>
      </c>
      <c r="BJ1256" s="1138">
        <f t="shared" ref="BJ1256" si="6261">SUM(BJ1247:BJ1255)</f>
        <v>0</v>
      </c>
      <c r="BK1256" s="1138">
        <f t="shared" ref="BK1256" si="6262">SUM(BK1247:BK1255)</f>
        <v>0</v>
      </c>
      <c r="BL1256" s="1138">
        <f t="shared" ref="BL1256" si="6263">SUM(BL1247:BL1255)</f>
        <v>0</v>
      </c>
      <c r="BM1256" s="1138">
        <f t="shared" ref="BM1256" si="6264">SUM(BM1247:BM1255)</f>
        <v>0</v>
      </c>
      <c r="BN1256" s="1138">
        <f t="shared" ref="BN1256" si="6265">SUM(BN1247:BN1255)</f>
        <v>0</v>
      </c>
      <c r="BO1256" s="1138">
        <f t="shared" ref="BO1256" si="6266">SUM(BO1247:BO1255)</f>
        <v>0</v>
      </c>
      <c r="BP1256" s="1138">
        <f t="shared" ref="BP1256" si="6267">SUM(BP1247:BP1255)</f>
        <v>0</v>
      </c>
      <c r="BQ1256" s="1138">
        <f t="shared" ref="BQ1256" si="6268">SUM(BQ1247:BQ1255)</f>
        <v>0</v>
      </c>
      <c r="BR1256" s="1138">
        <f t="shared" ref="BR1256" si="6269">SUM(BR1247:BR1255)</f>
        <v>0</v>
      </c>
      <c r="BS1256" s="1138">
        <f t="shared" ref="BS1256" si="6270">SUM(BS1247:BS1255)</f>
        <v>0</v>
      </c>
      <c r="BT1256" s="1138">
        <f t="shared" ref="BT1256" si="6271">SUM(BT1247:BT1255)</f>
        <v>0</v>
      </c>
      <c r="BU1256" s="1138">
        <f t="shared" ref="BU1256" si="6272">SUM(BU1247:BU1255)</f>
        <v>0</v>
      </c>
      <c r="BV1256" s="1138">
        <f t="shared" ref="BV1256" si="6273">SUM(BV1247:BV1255)</f>
        <v>0</v>
      </c>
      <c r="BW1256" s="1138">
        <f t="shared" ref="BW1256" si="6274">SUM(BW1247:BW1255)</f>
        <v>0</v>
      </c>
      <c r="BX1256" s="1138">
        <f t="shared" ref="BX1256" si="6275">SUM(BX1247:BX1255)</f>
        <v>0</v>
      </c>
      <c r="BY1256" s="1138">
        <f t="shared" ref="BY1256" si="6276">SUM(BY1247:BY1255)</f>
        <v>0</v>
      </c>
      <c r="BZ1256" s="1138">
        <f t="shared" ref="BZ1256" si="6277">SUM(BZ1247:BZ1255)</f>
        <v>0</v>
      </c>
      <c r="CA1256" s="1138">
        <f t="shared" ref="CA1256" si="6278">SUM(CA1247:CA1255)</f>
        <v>0</v>
      </c>
      <c r="CB1256" s="1138">
        <f t="shared" ref="CB1256" si="6279">SUM(CB1247:CB1255)</f>
        <v>0</v>
      </c>
      <c r="CC1256" s="1138">
        <f t="shared" ref="CC1256" si="6280">SUM(CC1247:CC1255)</f>
        <v>0</v>
      </c>
      <c r="CD1256" s="1138">
        <f t="shared" ref="CD1256" si="6281">SUM(CD1247:CD1255)</f>
        <v>0</v>
      </c>
      <c r="CE1256" s="1138">
        <f t="shared" ref="CE1256" si="6282">SUM(CE1247:CE1255)</f>
        <v>0</v>
      </c>
      <c r="CF1256" s="1138">
        <f t="shared" ref="CF1256" si="6283">SUM(CF1247:CF1255)</f>
        <v>0</v>
      </c>
      <c r="CG1256" s="1138">
        <f t="shared" ref="CG1256" si="6284">SUM(CG1247:CG1255)</f>
        <v>0</v>
      </c>
      <c r="CH1256" s="1138">
        <f t="shared" ref="CH1256" si="6285">SUM(CH1247:CH1255)</f>
        <v>0</v>
      </c>
      <c r="CI1256" s="1138">
        <f t="shared" ref="CI1256" si="6286">SUM(CI1247:CI1255)</f>
        <v>0</v>
      </c>
      <c r="CJ1256" s="1138">
        <f t="shared" ref="CJ1256" si="6287">SUM(CJ1247:CJ1255)</f>
        <v>0</v>
      </c>
      <c r="CK1256" s="1138">
        <f t="shared" ref="CK1256" si="6288">SUM(CK1247:CK1255)</f>
        <v>0</v>
      </c>
      <c r="CL1256" s="1138">
        <f t="shared" ref="CL1256" si="6289">SUM(CL1247:CL1255)</f>
        <v>0</v>
      </c>
      <c r="CM1256" s="1138">
        <f t="shared" ref="CM1256" si="6290">SUM(CM1247:CM1255)</f>
        <v>0</v>
      </c>
      <c r="CN1256" s="1138">
        <f t="shared" ref="CN1256" si="6291">SUM(CN1247:CN1255)</f>
        <v>0</v>
      </c>
      <c r="CO1256" s="1138">
        <f t="shared" ref="CO1256" si="6292">SUM(CO1247:CO1255)</f>
        <v>0</v>
      </c>
      <c r="CP1256" s="1138">
        <f t="shared" ref="CP1256" si="6293">SUM(CP1247:CP1255)</f>
        <v>0</v>
      </c>
      <c r="CQ1256" s="1138">
        <f t="shared" ref="CQ1256" si="6294">SUM(CQ1247:CQ1255)</f>
        <v>0</v>
      </c>
      <c r="CR1256" s="1138">
        <f t="shared" ref="CR1256" si="6295">SUM(CR1247:CR1255)</f>
        <v>0</v>
      </c>
      <c r="CS1256" s="1138">
        <f t="shared" ref="CS1256" si="6296">SUM(CS1247:CS1255)</f>
        <v>0</v>
      </c>
      <c r="CT1256" s="1138">
        <f t="shared" ref="CT1256" si="6297">SUM(CT1247:CT1255)</f>
        <v>0</v>
      </c>
      <c r="CU1256" s="1138">
        <f t="shared" ref="CU1256" si="6298">SUM(CU1247:CU1255)</f>
        <v>0</v>
      </c>
      <c r="CV1256" s="1138">
        <f t="shared" ref="CV1256" si="6299">SUM(CV1247:CV1255)</f>
        <v>0</v>
      </c>
      <c r="CW1256" s="1138">
        <f t="shared" ref="CW1256" si="6300">SUM(CW1247:CW1255)</f>
        <v>0</v>
      </c>
      <c r="CX1256" s="1138">
        <f t="shared" ref="CX1256" si="6301">SUM(CX1247:CX1255)</f>
        <v>0</v>
      </c>
      <c r="CY1256" s="1138">
        <f t="shared" ref="CY1256" si="6302">SUM(CY1247:CY1255)</f>
        <v>0</v>
      </c>
      <c r="CZ1256" s="1138">
        <f t="shared" ref="CZ1256" si="6303">SUM(CZ1247:CZ1255)</f>
        <v>0</v>
      </c>
      <c r="DA1256" s="1138">
        <f t="shared" ref="DA1256" si="6304">SUM(DA1247:DA1255)</f>
        <v>0</v>
      </c>
      <c r="DB1256" s="1138">
        <f t="shared" ref="DB1256" si="6305">SUM(DB1247:DB1255)</f>
        <v>0</v>
      </c>
      <c r="DC1256" s="1138">
        <f t="shared" ref="DC1256" si="6306">SUM(DC1247:DC1255)</f>
        <v>0</v>
      </c>
      <c r="DD1256" s="1138">
        <f t="shared" ref="DD1256" si="6307">SUM(DD1247:DD1255)</f>
        <v>0</v>
      </c>
      <c r="DE1256" s="1138">
        <f t="shared" ref="DE1256" si="6308">SUM(DE1247:DE1255)</f>
        <v>0</v>
      </c>
      <c r="DF1256" s="1138">
        <f t="shared" ref="DF1256" si="6309">SUM(DF1247:DF1255)</f>
        <v>0</v>
      </c>
      <c r="DG1256" s="1138">
        <f t="shared" ref="DG1256" si="6310">SUM(DG1247:DG1255)</f>
        <v>0</v>
      </c>
      <c r="DH1256" s="1138">
        <f t="shared" ref="DH1256" si="6311">SUM(DH1247:DH1255)</f>
        <v>0</v>
      </c>
      <c r="DI1256" s="1138">
        <f t="shared" ref="DI1256" si="6312">SUM(DI1247:DI1255)</f>
        <v>0</v>
      </c>
      <c r="DJ1256" s="1138">
        <f t="shared" ref="DJ1256" si="6313">SUM(DJ1247:DJ1255)</f>
        <v>0</v>
      </c>
      <c r="DK1256" s="1138">
        <f t="shared" ref="DK1256" si="6314">SUM(DK1247:DK1255)</f>
        <v>0</v>
      </c>
      <c r="DL1256" s="1138">
        <f t="shared" ref="DL1256" si="6315">SUM(DL1247:DL1255)</f>
        <v>0</v>
      </c>
      <c r="DM1256" s="1138">
        <f t="shared" ref="DM1256" si="6316">SUM(DM1247:DM1255)</f>
        <v>0</v>
      </c>
      <c r="DN1256" s="1138">
        <f t="shared" ref="DN1256" si="6317">SUM(DN1247:DN1255)</f>
        <v>0</v>
      </c>
      <c r="DO1256" s="1138">
        <f t="shared" ref="DO1256" si="6318">SUM(DO1247:DO1255)</f>
        <v>0</v>
      </c>
      <c r="DP1256" s="1138">
        <f t="shared" ref="DP1256" si="6319">SUM(DP1247:DP1255)</f>
        <v>0</v>
      </c>
      <c r="DQ1256" s="1138">
        <f t="shared" ref="DQ1256" si="6320">SUM(DQ1247:DQ1255)</f>
        <v>0</v>
      </c>
      <c r="DR1256" s="1138">
        <f t="shared" ref="DR1256" si="6321">SUM(DR1247:DR1255)</f>
        <v>0</v>
      </c>
      <c r="DS1256" s="1138">
        <f t="shared" ref="DS1256" si="6322">SUM(DS1247:DS1255)</f>
        <v>0</v>
      </c>
      <c r="DT1256" s="1138">
        <f t="shared" ref="DT1256" si="6323">SUM(DT1247:DT1255)</f>
        <v>0</v>
      </c>
      <c r="DU1256" s="1138">
        <f t="shared" ref="DU1256" si="6324">SUM(DU1247:DU1255)</f>
        <v>0</v>
      </c>
      <c r="DV1256" s="1138">
        <f t="shared" ref="DV1256" si="6325">SUM(DV1247:DV1255)</f>
        <v>0</v>
      </c>
      <c r="DW1256" s="1138">
        <f t="shared" ref="DW1256" si="6326">SUM(DW1247:DW1255)</f>
        <v>0</v>
      </c>
      <c r="DX1256" s="1138">
        <f t="shared" ref="DX1256" si="6327">SUM(DX1247:DX1255)</f>
        <v>0</v>
      </c>
      <c r="DY1256" s="1138">
        <f t="shared" ref="DY1256" si="6328">SUM(DY1247:DY1255)</f>
        <v>0</v>
      </c>
      <c r="DZ1256" s="1138">
        <f t="shared" ref="DZ1256" si="6329">SUM(DZ1247:DZ1255)</f>
        <v>0</v>
      </c>
      <c r="EA1256" s="1138">
        <f t="shared" ref="EA1256" si="6330">SUM(EA1247:EA1255)</f>
        <v>0</v>
      </c>
      <c r="EB1256" s="1138">
        <f t="shared" ref="EB1256" si="6331">SUM(EB1247:EB1255)</f>
        <v>0</v>
      </c>
      <c r="EC1256" s="1138">
        <f t="shared" ref="EC1256" si="6332">SUM(EC1247:EC1255)</f>
        <v>0</v>
      </c>
      <c r="ED1256" s="1138">
        <f t="shared" ref="ED1256" si="6333">SUM(ED1247:ED1255)</f>
        <v>0</v>
      </c>
      <c r="EE1256" s="1138">
        <f t="shared" ref="EE1256" si="6334">SUM(EE1247:EE1255)</f>
        <v>0</v>
      </c>
      <c r="EF1256" s="1138">
        <f t="shared" ref="EF1256" si="6335">SUM(EF1247:EF1255)</f>
        <v>0</v>
      </c>
      <c r="EG1256" s="1138">
        <f t="shared" ref="EG1256" si="6336">SUM(EG1247:EG1255)</f>
        <v>0</v>
      </c>
      <c r="EH1256" s="1138">
        <f t="shared" ref="EH1256" si="6337">SUM(EH1247:EH1255)</f>
        <v>0</v>
      </c>
      <c r="EI1256" s="1138">
        <f t="shared" ref="EI1256" si="6338">SUM(EI1247:EI1255)</f>
        <v>0</v>
      </c>
      <c r="EJ1256" s="1138">
        <f t="shared" ref="EJ1256" si="6339">SUM(EJ1247:EJ1255)</f>
        <v>0</v>
      </c>
      <c r="EK1256" s="1138">
        <f t="shared" ref="EK1256" si="6340">SUM(EK1247:EK1255)</f>
        <v>0</v>
      </c>
      <c r="EL1256" s="1138">
        <f t="shared" ref="EL1256" si="6341">SUM(EL1247:EL1255)</f>
        <v>0</v>
      </c>
      <c r="EM1256" s="1138">
        <f t="shared" ref="EM1256" si="6342">SUM(EM1247:EM1255)</f>
        <v>0</v>
      </c>
      <c r="EN1256" s="1138">
        <f t="shared" ref="EN1256" si="6343">SUM(EN1247:EN1255)</f>
        <v>0</v>
      </c>
      <c r="EO1256" s="1138">
        <f t="shared" ref="EO1256" si="6344">SUM(EO1247:EO1255)</f>
        <v>0</v>
      </c>
      <c r="EP1256" s="1138">
        <f t="shared" ref="EP1256" si="6345">SUM(EP1247:EP1255)</f>
        <v>0</v>
      </c>
      <c r="EQ1256" s="1138">
        <f t="shared" ref="EQ1256" si="6346">SUM(EQ1247:EQ1255)</f>
        <v>0</v>
      </c>
      <c r="ER1256" s="1138">
        <f t="shared" ref="ER1256" si="6347">SUM(ER1247:ER1255)</f>
        <v>0</v>
      </c>
      <c r="ES1256" s="1138">
        <f t="shared" ref="ES1256" si="6348">SUM(ES1247:ES1255)</f>
        <v>0</v>
      </c>
      <c r="ET1256" s="1138">
        <f t="shared" ref="ET1256" si="6349">SUM(ET1247:ET1255)</f>
        <v>0</v>
      </c>
      <c r="EU1256" s="1138">
        <f t="shared" ref="EU1256" si="6350">SUM(EU1247:EU1255)</f>
        <v>0</v>
      </c>
      <c r="EV1256" s="1138">
        <f t="shared" ref="EV1256" si="6351">SUM(EV1247:EV1255)</f>
        <v>0</v>
      </c>
      <c r="EW1256" s="1138">
        <f t="shared" ref="EW1256" si="6352">SUM(EW1247:EW1255)</f>
        <v>0</v>
      </c>
      <c r="EX1256" s="1138">
        <f t="shared" ref="EX1256:FL1256" si="6353">SUM(EX1247:EX1255)</f>
        <v>0</v>
      </c>
      <c r="EY1256" s="1138">
        <f t="shared" si="6353"/>
        <v>0</v>
      </c>
      <c r="EZ1256" s="1138">
        <f t="shared" si="6353"/>
        <v>0</v>
      </c>
      <c r="FA1256" s="1138">
        <f t="shared" si="6353"/>
        <v>0</v>
      </c>
      <c r="FB1256" s="1138">
        <f t="shared" si="6353"/>
        <v>0</v>
      </c>
      <c r="FC1256" s="1138">
        <f t="shared" si="6353"/>
        <v>0</v>
      </c>
      <c r="FD1256" s="1138">
        <f t="shared" si="6353"/>
        <v>0</v>
      </c>
      <c r="FE1256" s="1138">
        <f t="shared" si="6353"/>
        <v>0</v>
      </c>
      <c r="FF1256" s="1138">
        <f t="shared" si="6353"/>
        <v>0</v>
      </c>
      <c r="FG1256" s="1138">
        <f t="shared" si="6353"/>
        <v>0</v>
      </c>
      <c r="FH1256" s="1138">
        <f t="shared" si="6353"/>
        <v>0</v>
      </c>
      <c r="FI1256" s="1138">
        <f t="shared" si="6353"/>
        <v>0</v>
      </c>
      <c r="FJ1256" s="1138">
        <f t="shared" si="6353"/>
        <v>0</v>
      </c>
      <c r="FK1256" s="1138">
        <f t="shared" si="6353"/>
        <v>0</v>
      </c>
      <c r="FL1256" s="1138">
        <f t="shared" si="6353"/>
        <v>0</v>
      </c>
    </row>
    <row r="1257" spans="1:168" x14ac:dyDescent="0.25">
      <c r="A1257" s="1491" t="s">
        <v>800</v>
      </c>
      <c r="B1257" s="624">
        <v>0</v>
      </c>
      <c r="C1257" s="1137">
        <v>0</v>
      </c>
      <c r="D1257" s="1137">
        <v>0</v>
      </c>
      <c r="E1257" s="1158">
        <f t="shared" si="5978"/>
        <v>0</v>
      </c>
      <c r="F1257" s="1158"/>
      <c r="G1257" s="1140"/>
      <c r="H1257" s="1140"/>
      <c r="I1257" s="552"/>
      <c r="J1257" s="552">
        <f t="shared" ref="J1257:AO1257" si="6354">J307*J$338</f>
        <v>0</v>
      </c>
      <c r="K1257" s="552">
        <f t="shared" si="6354"/>
        <v>0</v>
      </c>
      <c r="L1257" s="552">
        <f t="shared" si="6354"/>
        <v>0</v>
      </c>
      <c r="M1257" s="552">
        <f t="shared" si="6354"/>
        <v>0</v>
      </c>
      <c r="N1257" s="552">
        <f t="shared" si="6354"/>
        <v>0</v>
      </c>
      <c r="O1257" s="552">
        <f t="shared" si="6354"/>
        <v>0</v>
      </c>
      <c r="P1257" s="552">
        <f t="shared" si="6354"/>
        <v>0</v>
      </c>
      <c r="Q1257" s="552">
        <f t="shared" si="6354"/>
        <v>0</v>
      </c>
      <c r="R1257" s="552">
        <f t="shared" si="6354"/>
        <v>0</v>
      </c>
      <c r="S1257" s="552">
        <f t="shared" si="6354"/>
        <v>0</v>
      </c>
      <c r="T1257" s="552">
        <f t="shared" si="6354"/>
        <v>0</v>
      </c>
      <c r="U1257" s="552">
        <f t="shared" si="6354"/>
        <v>0</v>
      </c>
      <c r="V1257" s="552">
        <f t="shared" si="6354"/>
        <v>0</v>
      </c>
      <c r="W1257" s="552">
        <f t="shared" si="6354"/>
        <v>0</v>
      </c>
      <c r="X1257" s="552">
        <f t="shared" si="6354"/>
        <v>0</v>
      </c>
      <c r="Y1257" s="552">
        <f t="shared" si="6354"/>
        <v>0</v>
      </c>
      <c r="Z1257" s="552">
        <f t="shared" si="6354"/>
        <v>0</v>
      </c>
      <c r="AA1257" s="552">
        <f t="shared" si="6354"/>
        <v>0</v>
      </c>
      <c r="AB1257" s="552">
        <f t="shared" si="6354"/>
        <v>0</v>
      </c>
      <c r="AC1257" s="552">
        <f t="shared" si="6354"/>
        <v>0</v>
      </c>
      <c r="AD1257" s="552">
        <f t="shared" si="6354"/>
        <v>0</v>
      </c>
      <c r="AE1257" s="552">
        <f t="shared" si="6354"/>
        <v>0</v>
      </c>
      <c r="AF1257" s="552">
        <f t="shared" si="6354"/>
        <v>0</v>
      </c>
      <c r="AG1257" s="552">
        <f t="shared" si="6354"/>
        <v>0</v>
      </c>
      <c r="AH1257" s="552">
        <f t="shared" si="6354"/>
        <v>0</v>
      </c>
      <c r="AI1257" s="552">
        <f t="shared" si="6354"/>
        <v>0</v>
      </c>
      <c r="AJ1257" s="552">
        <f t="shared" si="6354"/>
        <v>0</v>
      </c>
      <c r="AK1257" s="552">
        <f t="shared" si="6354"/>
        <v>0</v>
      </c>
      <c r="AL1257" s="552">
        <f t="shared" si="6354"/>
        <v>0</v>
      </c>
      <c r="AM1257" s="552">
        <f t="shared" si="6354"/>
        <v>0</v>
      </c>
      <c r="AN1257" s="552">
        <f t="shared" si="6354"/>
        <v>0</v>
      </c>
      <c r="AO1257" s="552">
        <f t="shared" si="6354"/>
        <v>0</v>
      </c>
      <c r="AP1257" s="552">
        <f t="shared" ref="AP1257:BU1257" si="6355">AP307*AP$338</f>
        <v>0</v>
      </c>
      <c r="AQ1257" s="552">
        <f t="shared" si="6355"/>
        <v>0</v>
      </c>
      <c r="AR1257" s="552">
        <f t="shared" si="6355"/>
        <v>0</v>
      </c>
      <c r="AS1257" s="552">
        <f t="shared" si="6355"/>
        <v>0</v>
      </c>
      <c r="AT1257" s="552">
        <f t="shared" si="6355"/>
        <v>0</v>
      </c>
      <c r="AU1257" s="552">
        <f t="shared" si="6355"/>
        <v>0</v>
      </c>
      <c r="AV1257" s="552">
        <f t="shared" si="6355"/>
        <v>0</v>
      </c>
      <c r="AW1257" s="552">
        <f t="shared" si="6355"/>
        <v>0</v>
      </c>
      <c r="AX1257" s="552">
        <f t="shared" si="6355"/>
        <v>0</v>
      </c>
      <c r="AY1257" s="552">
        <f t="shared" si="6355"/>
        <v>0</v>
      </c>
      <c r="AZ1257" s="552">
        <f t="shared" si="6355"/>
        <v>0</v>
      </c>
      <c r="BA1257" s="552">
        <f t="shared" si="6355"/>
        <v>0</v>
      </c>
      <c r="BB1257" s="552">
        <f t="shared" si="6355"/>
        <v>0</v>
      </c>
      <c r="BC1257" s="552">
        <f t="shared" si="6355"/>
        <v>0</v>
      </c>
      <c r="BD1257" s="552">
        <f t="shared" si="6355"/>
        <v>0</v>
      </c>
      <c r="BE1257" s="552">
        <f t="shared" si="6355"/>
        <v>0</v>
      </c>
      <c r="BF1257" s="552">
        <f t="shared" si="6355"/>
        <v>0</v>
      </c>
      <c r="BG1257" s="552">
        <f t="shared" si="6355"/>
        <v>0</v>
      </c>
      <c r="BH1257" s="552">
        <f t="shared" si="6355"/>
        <v>0</v>
      </c>
      <c r="BI1257" s="552">
        <f t="shared" si="6355"/>
        <v>0</v>
      </c>
      <c r="BJ1257" s="552">
        <f t="shared" si="6355"/>
        <v>0</v>
      </c>
      <c r="BK1257" s="552">
        <f t="shared" si="6355"/>
        <v>0</v>
      </c>
      <c r="BL1257" s="552">
        <f t="shared" si="6355"/>
        <v>0</v>
      </c>
      <c r="BM1257" s="552">
        <f t="shared" si="6355"/>
        <v>0</v>
      </c>
      <c r="BN1257" s="552">
        <f t="shared" si="6355"/>
        <v>0</v>
      </c>
      <c r="BO1257" s="552">
        <f t="shared" si="6355"/>
        <v>0</v>
      </c>
      <c r="BP1257" s="552">
        <f t="shared" si="6355"/>
        <v>0</v>
      </c>
      <c r="BQ1257" s="552">
        <f t="shared" si="6355"/>
        <v>0</v>
      </c>
      <c r="BR1257" s="552">
        <f t="shared" si="6355"/>
        <v>0</v>
      </c>
      <c r="BS1257" s="552">
        <f t="shared" si="6355"/>
        <v>0</v>
      </c>
      <c r="BT1257" s="552">
        <f t="shared" si="6355"/>
        <v>0</v>
      </c>
      <c r="BU1257" s="552">
        <f t="shared" si="6355"/>
        <v>0</v>
      </c>
      <c r="BV1257" s="552">
        <f t="shared" ref="BV1257:DA1257" si="6356">BV307*BV$338</f>
        <v>0</v>
      </c>
      <c r="BW1257" s="552">
        <f t="shared" si="6356"/>
        <v>0</v>
      </c>
      <c r="BX1257" s="552">
        <f t="shared" si="6356"/>
        <v>0</v>
      </c>
      <c r="BY1257" s="552">
        <f t="shared" si="6356"/>
        <v>0</v>
      </c>
      <c r="BZ1257" s="552">
        <f t="shared" si="6356"/>
        <v>0</v>
      </c>
      <c r="CA1257" s="552">
        <f t="shared" si="6356"/>
        <v>0</v>
      </c>
      <c r="CB1257" s="552">
        <f t="shared" si="6356"/>
        <v>0</v>
      </c>
      <c r="CC1257" s="552">
        <f t="shared" si="6356"/>
        <v>0</v>
      </c>
      <c r="CD1257" s="552">
        <f t="shared" si="6356"/>
        <v>0</v>
      </c>
      <c r="CE1257" s="552">
        <f t="shared" si="6356"/>
        <v>0</v>
      </c>
      <c r="CF1257" s="552">
        <f t="shared" si="6356"/>
        <v>0</v>
      </c>
      <c r="CG1257" s="552">
        <f t="shared" si="6356"/>
        <v>0</v>
      </c>
      <c r="CH1257" s="552">
        <f t="shared" si="6356"/>
        <v>0</v>
      </c>
      <c r="CI1257" s="552">
        <f t="shared" si="6356"/>
        <v>0</v>
      </c>
      <c r="CJ1257" s="552">
        <f t="shared" si="6356"/>
        <v>0</v>
      </c>
      <c r="CK1257" s="552">
        <f t="shared" si="6356"/>
        <v>0</v>
      </c>
      <c r="CL1257" s="552">
        <f t="shared" si="6356"/>
        <v>0</v>
      </c>
      <c r="CM1257" s="552">
        <f t="shared" si="6356"/>
        <v>0</v>
      </c>
      <c r="CN1257" s="552">
        <f t="shared" si="6356"/>
        <v>0</v>
      </c>
      <c r="CO1257" s="552">
        <f t="shared" si="6356"/>
        <v>0</v>
      </c>
      <c r="CP1257" s="552">
        <f t="shared" si="6356"/>
        <v>0</v>
      </c>
      <c r="CQ1257" s="552">
        <f t="shared" si="6356"/>
        <v>0</v>
      </c>
      <c r="CR1257" s="552">
        <f t="shared" si="6356"/>
        <v>0</v>
      </c>
      <c r="CS1257" s="552">
        <f t="shared" si="6356"/>
        <v>0</v>
      </c>
      <c r="CT1257" s="552">
        <f t="shared" si="6356"/>
        <v>0</v>
      </c>
      <c r="CU1257" s="552">
        <f t="shared" si="6356"/>
        <v>0</v>
      </c>
      <c r="CV1257" s="552">
        <f t="shared" si="6356"/>
        <v>0</v>
      </c>
      <c r="CW1257" s="552">
        <f t="shared" si="6356"/>
        <v>0</v>
      </c>
      <c r="CX1257" s="552">
        <f t="shared" si="6356"/>
        <v>0</v>
      </c>
      <c r="CY1257" s="552">
        <f t="shared" si="6356"/>
        <v>0</v>
      </c>
      <c r="CZ1257" s="552">
        <f t="shared" si="6356"/>
        <v>0</v>
      </c>
      <c r="DA1257" s="552">
        <f t="shared" si="6356"/>
        <v>0</v>
      </c>
      <c r="DB1257" s="552">
        <f t="shared" ref="DB1257:EG1257" si="6357">DB307*DB$338</f>
        <v>0</v>
      </c>
      <c r="DC1257" s="552">
        <f t="shared" si="6357"/>
        <v>0</v>
      </c>
      <c r="DD1257" s="552">
        <f t="shared" si="6357"/>
        <v>0</v>
      </c>
      <c r="DE1257" s="552">
        <f t="shared" si="6357"/>
        <v>0</v>
      </c>
      <c r="DF1257" s="552">
        <f t="shared" si="6357"/>
        <v>0</v>
      </c>
      <c r="DG1257" s="552">
        <f t="shared" si="6357"/>
        <v>0</v>
      </c>
      <c r="DH1257" s="552">
        <f t="shared" si="6357"/>
        <v>0</v>
      </c>
      <c r="DI1257" s="552">
        <f t="shared" si="6357"/>
        <v>0</v>
      </c>
      <c r="DJ1257" s="552">
        <f t="shared" si="6357"/>
        <v>0</v>
      </c>
      <c r="DK1257" s="552">
        <f t="shared" si="6357"/>
        <v>0</v>
      </c>
      <c r="DL1257" s="552">
        <f t="shared" si="6357"/>
        <v>0</v>
      </c>
      <c r="DM1257" s="552">
        <f t="shared" si="6357"/>
        <v>0</v>
      </c>
      <c r="DN1257" s="552">
        <f t="shared" si="6357"/>
        <v>0</v>
      </c>
      <c r="DO1257" s="552">
        <f t="shared" si="6357"/>
        <v>0</v>
      </c>
      <c r="DP1257" s="552">
        <f t="shared" si="6357"/>
        <v>0</v>
      </c>
      <c r="DQ1257" s="552">
        <f t="shared" si="6357"/>
        <v>0</v>
      </c>
      <c r="DR1257" s="552">
        <f t="shared" si="6357"/>
        <v>0</v>
      </c>
      <c r="DS1257" s="552">
        <f t="shared" si="6357"/>
        <v>0</v>
      </c>
      <c r="DT1257" s="552">
        <f t="shared" si="6357"/>
        <v>0</v>
      </c>
      <c r="DU1257" s="552">
        <f t="shared" si="6357"/>
        <v>0</v>
      </c>
      <c r="DV1257" s="552">
        <f t="shared" si="6357"/>
        <v>0</v>
      </c>
      <c r="DW1257" s="552">
        <f t="shared" si="6357"/>
        <v>0</v>
      </c>
      <c r="DX1257" s="552">
        <f t="shared" si="6357"/>
        <v>0</v>
      </c>
      <c r="DY1257" s="552">
        <f t="shared" si="6357"/>
        <v>0</v>
      </c>
      <c r="DZ1257" s="552">
        <f t="shared" si="6357"/>
        <v>0</v>
      </c>
      <c r="EA1257" s="552">
        <f t="shared" si="6357"/>
        <v>0</v>
      </c>
      <c r="EB1257" s="552">
        <f t="shared" si="6357"/>
        <v>0</v>
      </c>
      <c r="EC1257" s="552">
        <f t="shared" si="6357"/>
        <v>0</v>
      </c>
      <c r="ED1257" s="552">
        <f t="shared" si="6357"/>
        <v>0</v>
      </c>
      <c r="EE1257" s="552">
        <f t="shared" si="6357"/>
        <v>0</v>
      </c>
      <c r="EF1257" s="552">
        <f t="shared" si="6357"/>
        <v>0</v>
      </c>
      <c r="EG1257" s="552">
        <f t="shared" si="6357"/>
        <v>0</v>
      </c>
      <c r="EH1257" s="552">
        <f t="shared" ref="EH1257:EX1257" si="6358">EH307*EH$338</f>
        <v>0</v>
      </c>
      <c r="EI1257" s="552">
        <f t="shared" si="6358"/>
        <v>0</v>
      </c>
      <c r="EJ1257" s="552">
        <f t="shared" si="6358"/>
        <v>0</v>
      </c>
      <c r="EK1257" s="552">
        <f t="shared" si="6358"/>
        <v>0</v>
      </c>
      <c r="EL1257" s="552">
        <f t="shared" si="6358"/>
        <v>0</v>
      </c>
      <c r="EM1257" s="552">
        <f t="shared" si="6358"/>
        <v>0</v>
      </c>
      <c r="EN1257" s="552">
        <f t="shared" si="6358"/>
        <v>0</v>
      </c>
      <c r="EO1257" s="552">
        <f t="shared" si="6358"/>
        <v>0</v>
      </c>
      <c r="EP1257" s="552">
        <f t="shared" si="6358"/>
        <v>0</v>
      </c>
      <c r="EQ1257" s="552">
        <f t="shared" si="6358"/>
        <v>0</v>
      </c>
      <c r="ER1257" s="552">
        <f t="shared" si="6358"/>
        <v>0</v>
      </c>
      <c r="ES1257" s="552">
        <f t="shared" si="6358"/>
        <v>0</v>
      </c>
      <c r="ET1257" s="552">
        <f t="shared" si="6358"/>
        <v>0</v>
      </c>
      <c r="EU1257" s="552">
        <f t="shared" si="6358"/>
        <v>0</v>
      </c>
      <c r="EV1257" s="552">
        <f t="shared" si="6358"/>
        <v>0</v>
      </c>
      <c r="EW1257" s="552">
        <f t="shared" si="6358"/>
        <v>0</v>
      </c>
      <c r="EX1257" s="552">
        <f t="shared" si="6358"/>
        <v>0</v>
      </c>
      <c r="EY1257" s="799">
        <f t="shared" si="6019"/>
        <v>0</v>
      </c>
      <c r="EZ1257" s="640"/>
      <c r="FA1257" s="640"/>
      <c r="FB1257" s="640"/>
      <c r="FC1257" s="640"/>
      <c r="FD1257" s="640"/>
      <c r="FE1257" s="640"/>
      <c r="FF1257" s="640"/>
      <c r="FG1257" s="640"/>
      <c r="FH1257" s="640"/>
      <c r="FI1257" s="640"/>
      <c r="FJ1257" s="640"/>
      <c r="FK1257" s="640"/>
      <c r="FL1257" s="640"/>
    </row>
    <row r="1258" spans="1:168" x14ac:dyDescent="0.25">
      <c r="A1258" s="1492"/>
      <c r="B1258" s="624">
        <v>0</v>
      </c>
      <c r="C1258" s="1137">
        <v>0</v>
      </c>
      <c r="D1258" s="1137">
        <v>0</v>
      </c>
      <c r="E1258" s="1158">
        <f t="shared" si="5978"/>
        <v>0</v>
      </c>
      <c r="F1258" s="1158"/>
      <c r="G1258" s="1140"/>
      <c r="H1258" s="1140"/>
      <c r="I1258" s="552"/>
      <c r="J1258" s="552">
        <f t="shared" ref="J1258:AO1258" si="6359">J308*J$338</f>
        <v>0</v>
      </c>
      <c r="K1258" s="552">
        <f t="shared" si="6359"/>
        <v>0</v>
      </c>
      <c r="L1258" s="552">
        <f t="shared" si="6359"/>
        <v>0</v>
      </c>
      <c r="M1258" s="552">
        <f t="shared" si="6359"/>
        <v>0</v>
      </c>
      <c r="N1258" s="552">
        <f t="shared" si="6359"/>
        <v>0</v>
      </c>
      <c r="O1258" s="552">
        <f t="shared" si="6359"/>
        <v>0</v>
      </c>
      <c r="P1258" s="552">
        <f t="shared" si="6359"/>
        <v>0</v>
      </c>
      <c r="Q1258" s="552">
        <f t="shared" si="6359"/>
        <v>0</v>
      </c>
      <c r="R1258" s="552">
        <f t="shared" si="6359"/>
        <v>0</v>
      </c>
      <c r="S1258" s="552">
        <f t="shared" si="6359"/>
        <v>0</v>
      </c>
      <c r="T1258" s="552">
        <f t="shared" si="6359"/>
        <v>0</v>
      </c>
      <c r="U1258" s="552">
        <f t="shared" si="6359"/>
        <v>0</v>
      </c>
      <c r="V1258" s="552">
        <f t="shared" si="6359"/>
        <v>0</v>
      </c>
      <c r="W1258" s="552">
        <f t="shared" si="6359"/>
        <v>0</v>
      </c>
      <c r="X1258" s="552">
        <f t="shared" si="6359"/>
        <v>0</v>
      </c>
      <c r="Y1258" s="552">
        <f t="shared" si="6359"/>
        <v>0</v>
      </c>
      <c r="Z1258" s="552">
        <f t="shared" si="6359"/>
        <v>0</v>
      </c>
      <c r="AA1258" s="552">
        <f t="shared" si="6359"/>
        <v>0</v>
      </c>
      <c r="AB1258" s="552">
        <f t="shared" si="6359"/>
        <v>0</v>
      </c>
      <c r="AC1258" s="552">
        <f t="shared" si="6359"/>
        <v>0</v>
      </c>
      <c r="AD1258" s="552">
        <f t="shared" si="6359"/>
        <v>0</v>
      </c>
      <c r="AE1258" s="552">
        <f t="shared" si="6359"/>
        <v>0</v>
      </c>
      <c r="AF1258" s="552">
        <f t="shared" si="6359"/>
        <v>0</v>
      </c>
      <c r="AG1258" s="552">
        <f t="shared" si="6359"/>
        <v>0</v>
      </c>
      <c r="AH1258" s="552">
        <f t="shared" si="6359"/>
        <v>0</v>
      </c>
      <c r="AI1258" s="552">
        <f t="shared" si="6359"/>
        <v>0</v>
      </c>
      <c r="AJ1258" s="552">
        <f t="shared" si="6359"/>
        <v>0</v>
      </c>
      <c r="AK1258" s="552">
        <f t="shared" si="6359"/>
        <v>0</v>
      </c>
      <c r="AL1258" s="552">
        <f t="shared" si="6359"/>
        <v>0</v>
      </c>
      <c r="AM1258" s="552">
        <f t="shared" si="6359"/>
        <v>0</v>
      </c>
      <c r="AN1258" s="552">
        <f t="shared" si="6359"/>
        <v>0</v>
      </c>
      <c r="AO1258" s="552">
        <f t="shared" si="6359"/>
        <v>0</v>
      </c>
      <c r="AP1258" s="552">
        <f t="shared" ref="AP1258:BU1258" si="6360">AP308*AP$338</f>
        <v>0</v>
      </c>
      <c r="AQ1258" s="552">
        <f t="shared" si="6360"/>
        <v>0</v>
      </c>
      <c r="AR1258" s="552">
        <f t="shared" si="6360"/>
        <v>0</v>
      </c>
      <c r="AS1258" s="552">
        <f t="shared" si="6360"/>
        <v>0</v>
      </c>
      <c r="AT1258" s="552">
        <f t="shared" si="6360"/>
        <v>0</v>
      </c>
      <c r="AU1258" s="552">
        <f t="shared" si="6360"/>
        <v>0</v>
      </c>
      <c r="AV1258" s="552">
        <f t="shared" si="6360"/>
        <v>0</v>
      </c>
      <c r="AW1258" s="552">
        <f t="shared" si="6360"/>
        <v>0</v>
      </c>
      <c r="AX1258" s="552">
        <f t="shared" si="6360"/>
        <v>0</v>
      </c>
      <c r="AY1258" s="552">
        <f t="shared" si="6360"/>
        <v>0</v>
      </c>
      <c r="AZ1258" s="552">
        <f t="shared" si="6360"/>
        <v>0</v>
      </c>
      <c r="BA1258" s="552">
        <f t="shared" si="6360"/>
        <v>0</v>
      </c>
      <c r="BB1258" s="552">
        <f t="shared" si="6360"/>
        <v>0</v>
      </c>
      <c r="BC1258" s="552">
        <f t="shared" si="6360"/>
        <v>0</v>
      </c>
      <c r="BD1258" s="552">
        <f t="shared" si="6360"/>
        <v>0</v>
      </c>
      <c r="BE1258" s="552">
        <f t="shared" si="6360"/>
        <v>0</v>
      </c>
      <c r="BF1258" s="552">
        <f t="shared" si="6360"/>
        <v>0</v>
      </c>
      <c r="BG1258" s="552">
        <f t="shared" si="6360"/>
        <v>0</v>
      </c>
      <c r="BH1258" s="552">
        <f t="shared" si="6360"/>
        <v>0</v>
      </c>
      <c r="BI1258" s="552">
        <f t="shared" si="6360"/>
        <v>0</v>
      </c>
      <c r="BJ1258" s="552">
        <f t="shared" si="6360"/>
        <v>0</v>
      </c>
      <c r="BK1258" s="552">
        <f t="shared" si="6360"/>
        <v>0</v>
      </c>
      <c r="BL1258" s="552">
        <f t="shared" si="6360"/>
        <v>0</v>
      </c>
      <c r="BM1258" s="552">
        <f t="shared" si="6360"/>
        <v>0</v>
      </c>
      <c r="BN1258" s="552">
        <f t="shared" si="6360"/>
        <v>0</v>
      </c>
      <c r="BO1258" s="552">
        <f t="shared" si="6360"/>
        <v>0</v>
      </c>
      <c r="BP1258" s="552">
        <f t="shared" si="6360"/>
        <v>0</v>
      </c>
      <c r="BQ1258" s="552">
        <f t="shared" si="6360"/>
        <v>0</v>
      </c>
      <c r="BR1258" s="552">
        <f t="shared" si="6360"/>
        <v>0</v>
      </c>
      <c r="BS1258" s="552">
        <f t="shared" si="6360"/>
        <v>0</v>
      </c>
      <c r="BT1258" s="552">
        <f t="shared" si="6360"/>
        <v>0</v>
      </c>
      <c r="BU1258" s="552">
        <f t="shared" si="6360"/>
        <v>0</v>
      </c>
      <c r="BV1258" s="552">
        <f t="shared" ref="BV1258:DA1258" si="6361">BV308*BV$338</f>
        <v>0</v>
      </c>
      <c r="BW1258" s="552">
        <f t="shared" si="6361"/>
        <v>0</v>
      </c>
      <c r="BX1258" s="552">
        <f t="shared" si="6361"/>
        <v>0</v>
      </c>
      <c r="BY1258" s="552">
        <f t="shared" si="6361"/>
        <v>0</v>
      </c>
      <c r="BZ1258" s="552">
        <f t="shared" si="6361"/>
        <v>0</v>
      </c>
      <c r="CA1258" s="552">
        <f t="shared" si="6361"/>
        <v>0</v>
      </c>
      <c r="CB1258" s="552">
        <f t="shared" si="6361"/>
        <v>0</v>
      </c>
      <c r="CC1258" s="552">
        <f t="shared" si="6361"/>
        <v>0</v>
      </c>
      <c r="CD1258" s="552">
        <f t="shared" si="6361"/>
        <v>0</v>
      </c>
      <c r="CE1258" s="552">
        <f t="shared" si="6361"/>
        <v>0</v>
      </c>
      <c r="CF1258" s="552">
        <f t="shared" si="6361"/>
        <v>0</v>
      </c>
      <c r="CG1258" s="552">
        <f t="shared" si="6361"/>
        <v>0</v>
      </c>
      <c r="CH1258" s="552">
        <f t="shared" si="6361"/>
        <v>0</v>
      </c>
      <c r="CI1258" s="552">
        <f t="shared" si="6361"/>
        <v>0</v>
      </c>
      <c r="CJ1258" s="552">
        <f t="shared" si="6361"/>
        <v>0</v>
      </c>
      <c r="CK1258" s="552">
        <f t="shared" si="6361"/>
        <v>0</v>
      </c>
      <c r="CL1258" s="552">
        <f t="shared" si="6361"/>
        <v>0</v>
      </c>
      <c r="CM1258" s="552">
        <f t="shared" si="6361"/>
        <v>0</v>
      </c>
      <c r="CN1258" s="552">
        <f t="shared" si="6361"/>
        <v>0</v>
      </c>
      <c r="CO1258" s="552">
        <f t="shared" si="6361"/>
        <v>0</v>
      </c>
      <c r="CP1258" s="552">
        <f t="shared" si="6361"/>
        <v>0</v>
      </c>
      <c r="CQ1258" s="552">
        <f t="shared" si="6361"/>
        <v>0</v>
      </c>
      <c r="CR1258" s="552">
        <f t="shared" si="6361"/>
        <v>0</v>
      </c>
      <c r="CS1258" s="552">
        <f t="shared" si="6361"/>
        <v>0</v>
      </c>
      <c r="CT1258" s="552">
        <f t="shared" si="6361"/>
        <v>0</v>
      </c>
      <c r="CU1258" s="552">
        <f t="shared" si="6361"/>
        <v>0</v>
      </c>
      <c r="CV1258" s="552">
        <f t="shared" si="6361"/>
        <v>0</v>
      </c>
      <c r="CW1258" s="552">
        <f t="shared" si="6361"/>
        <v>0</v>
      </c>
      <c r="CX1258" s="552">
        <f t="shared" si="6361"/>
        <v>0</v>
      </c>
      <c r="CY1258" s="552">
        <f t="shared" si="6361"/>
        <v>0</v>
      </c>
      <c r="CZ1258" s="552">
        <f t="shared" si="6361"/>
        <v>0</v>
      </c>
      <c r="DA1258" s="552">
        <f t="shared" si="6361"/>
        <v>0</v>
      </c>
      <c r="DB1258" s="552">
        <f t="shared" ref="DB1258:EG1258" si="6362">DB308*DB$338</f>
        <v>0</v>
      </c>
      <c r="DC1258" s="552">
        <f t="shared" si="6362"/>
        <v>0</v>
      </c>
      <c r="DD1258" s="552">
        <f t="shared" si="6362"/>
        <v>0</v>
      </c>
      <c r="DE1258" s="552">
        <f t="shared" si="6362"/>
        <v>0</v>
      </c>
      <c r="DF1258" s="552">
        <f t="shared" si="6362"/>
        <v>0</v>
      </c>
      <c r="DG1258" s="552">
        <f t="shared" si="6362"/>
        <v>0</v>
      </c>
      <c r="DH1258" s="552">
        <f t="shared" si="6362"/>
        <v>0</v>
      </c>
      <c r="DI1258" s="552">
        <f t="shared" si="6362"/>
        <v>0</v>
      </c>
      <c r="DJ1258" s="552">
        <f t="shared" si="6362"/>
        <v>0</v>
      </c>
      <c r="DK1258" s="552">
        <f t="shared" si="6362"/>
        <v>0</v>
      </c>
      <c r="DL1258" s="552">
        <f t="shared" si="6362"/>
        <v>0</v>
      </c>
      <c r="DM1258" s="552">
        <f t="shared" si="6362"/>
        <v>0</v>
      </c>
      <c r="DN1258" s="552">
        <f t="shared" si="6362"/>
        <v>0</v>
      </c>
      <c r="DO1258" s="552">
        <f t="shared" si="6362"/>
        <v>0</v>
      </c>
      <c r="DP1258" s="552">
        <f t="shared" si="6362"/>
        <v>0</v>
      </c>
      <c r="DQ1258" s="552">
        <f t="shared" si="6362"/>
        <v>0</v>
      </c>
      <c r="DR1258" s="552">
        <f t="shared" si="6362"/>
        <v>0</v>
      </c>
      <c r="DS1258" s="552">
        <f t="shared" si="6362"/>
        <v>0</v>
      </c>
      <c r="DT1258" s="552">
        <f t="shared" si="6362"/>
        <v>0</v>
      </c>
      <c r="DU1258" s="552">
        <f t="shared" si="6362"/>
        <v>0</v>
      </c>
      <c r="DV1258" s="552">
        <f t="shared" si="6362"/>
        <v>0</v>
      </c>
      <c r="DW1258" s="552">
        <f t="shared" si="6362"/>
        <v>0</v>
      </c>
      <c r="DX1258" s="552">
        <f t="shared" si="6362"/>
        <v>0</v>
      </c>
      <c r="DY1258" s="552">
        <f t="shared" si="6362"/>
        <v>0</v>
      </c>
      <c r="DZ1258" s="552">
        <f t="shared" si="6362"/>
        <v>0</v>
      </c>
      <c r="EA1258" s="552">
        <f t="shared" si="6362"/>
        <v>0</v>
      </c>
      <c r="EB1258" s="552">
        <f t="shared" si="6362"/>
        <v>0</v>
      </c>
      <c r="EC1258" s="552">
        <f t="shared" si="6362"/>
        <v>0</v>
      </c>
      <c r="ED1258" s="552">
        <f t="shared" si="6362"/>
        <v>0</v>
      </c>
      <c r="EE1258" s="552">
        <f t="shared" si="6362"/>
        <v>0</v>
      </c>
      <c r="EF1258" s="552">
        <f t="shared" si="6362"/>
        <v>0</v>
      </c>
      <c r="EG1258" s="552">
        <f t="shared" si="6362"/>
        <v>0</v>
      </c>
      <c r="EH1258" s="552">
        <f t="shared" ref="EH1258:EX1258" si="6363">EH308*EH$338</f>
        <v>0</v>
      </c>
      <c r="EI1258" s="552">
        <f t="shared" si="6363"/>
        <v>0</v>
      </c>
      <c r="EJ1258" s="552">
        <f t="shared" si="6363"/>
        <v>0</v>
      </c>
      <c r="EK1258" s="552">
        <f t="shared" si="6363"/>
        <v>0</v>
      </c>
      <c r="EL1258" s="552">
        <f t="shared" si="6363"/>
        <v>0</v>
      </c>
      <c r="EM1258" s="552">
        <f t="shared" si="6363"/>
        <v>0</v>
      </c>
      <c r="EN1258" s="552">
        <f t="shared" si="6363"/>
        <v>0</v>
      </c>
      <c r="EO1258" s="552">
        <f t="shared" si="6363"/>
        <v>0</v>
      </c>
      <c r="EP1258" s="552">
        <f t="shared" si="6363"/>
        <v>0</v>
      </c>
      <c r="EQ1258" s="552">
        <f t="shared" si="6363"/>
        <v>0</v>
      </c>
      <c r="ER1258" s="552">
        <f t="shared" si="6363"/>
        <v>0</v>
      </c>
      <c r="ES1258" s="552">
        <f t="shared" si="6363"/>
        <v>0</v>
      </c>
      <c r="ET1258" s="552">
        <f t="shared" si="6363"/>
        <v>0</v>
      </c>
      <c r="EU1258" s="552">
        <f t="shared" si="6363"/>
        <v>0</v>
      </c>
      <c r="EV1258" s="552">
        <f t="shared" si="6363"/>
        <v>0</v>
      </c>
      <c r="EW1258" s="552">
        <f t="shared" si="6363"/>
        <v>0</v>
      </c>
      <c r="EX1258" s="552">
        <f t="shared" si="6363"/>
        <v>0</v>
      </c>
      <c r="EY1258" s="799">
        <f t="shared" si="6019"/>
        <v>0</v>
      </c>
      <c r="EZ1258" s="640"/>
      <c r="FA1258" s="640"/>
      <c r="FB1258" s="640"/>
      <c r="FC1258" s="640"/>
      <c r="FD1258" s="640"/>
      <c r="FE1258" s="640"/>
      <c r="FF1258" s="640"/>
      <c r="FG1258" s="640"/>
      <c r="FH1258" s="640"/>
      <c r="FI1258" s="640"/>
      <c r="FJ1258" s="640"/>
      <c r="FK1258" s="640"/>
      <c r="FL1258" s="640"/>
    </row>
    <row r="1259" spans="1:168" x14ac:dyDescent="0.25">
      <c r="A1259" s="1492"/>
      <c r="B1259" s="624">
        <v>0</v>
      </c>
      <c r="C1259" s="1137">
        <v>0</v>
      </c>
      <c r="D1259" s="1137">
        <v>0</v>
      </c>
      <c r="E1259" s="1158">
        <f t="shared" si="5978"/>
        <v>0</v>
      </c>
      <c r="F1259" s="1158"/>
      <c r="G1259" s="1140"/>
      <c r="H1259" s="1140"/>
      <c r="I1259" s="552"/>
      <c r="J1259" s="552">
        <f t="shared" ref="J1259:AO1259" si="6364">J309*J$338</f>
        <v>0</v>
      </c>
      <c r="K1259" s="552">
        <f t="shared" si="6364"/>
        <v>0</v>
      </c>
      <c r="L1259" s="552">
        <f t="shared" si="6364"/>
        <v>0</v>
      </c>
      <c r="M1259" s="552">
        <f t="shared" si="6364"/>
        <v>0</v>
      </c>
      <c r="N1259" s="552">
        <f t="shared" si="6364"/>
        <v>0</v>
      </c>
      <c r="O1259" s="552">
        <f t="shared" si="6364"/>
        <v>0</v>
      </c>
      <c r="P1259" s="552">
        <f t="shared" si="6364"/>
        <v>0</v>
      </c>
      <c r="Q1259" s="552">
        <f t="shared" si="6364"/>
        <v>0</v>
      </c>
      <c r="R1259" s="552">
        <f t="shared" si="6364"/>
        <v>0</v>
      </c>
      <c r="S1259" s="552">
        <f t="shared" si="6364"/>
        <v>0</v>
      </c>
      <c r="T1259" s="552">
        <f t="shared" si="6364"/>
        <v>0</v>
      </c>
      <c r="U1259" s="552">
        <f t="shared" si="6364"/>
        <v>0</v>
      </c>
      <c r="V1259" s="552">
        <f t="shared" si="6364"/>
        <v>0</v>
      </c>
      <c r="W1259" s="552">
        <f t="shared" si="6364"/>
        <v>0</v>
      </c>
      <c r="X1259" s="552">
        <f t="shared" si="6364"/>
        <v>0</v>
      </c>
      <c r="Y1259" s="552">
        <f t="shared" si="6364"/>
        <v>0</v>
      </c>
      <c r="Z1259" s="552">
        <f t="shared" si="6364"/>
        <v>0</v>
      </c>
      <c r="AA1259" s="552">
        <f t="shared" si="6364"/>
        <v>0</v>
      </c>
      <c r="AB1259" s="552">
        <f t="shared" si="6364"/>
        <v>0</v>
      </c>
      <c r="AC1259" s="552">
        <f t="shared" si="6364"/>
        <v>0</v>
      </c>
      <c r="AD1259" s="552">
        <f t="shared" si="6364"/>
        <v>0</v>
      </c>
      <c r="AE1259" s="552">
        <f t="shared" si="6364"/>
        <v>0</v>
      </c>
      <c r="AF1259" s="552">
        <f t="shared" si="6364"/>
        <v>0</v>
      </c>
      <c r="AG1259" s="552">
        <f t="shared" si="6364"/>
        <v>0</v>
      </c>
      <c r="AH1259" s="552">
        <f t="shared" si="6364"/>
        <v>0</v>
      </c>
      <c r="AI1259" s="552">
        <f t="shared" si="6364"/>
        <v>0</v>
      </c>
      <c r="AJ1259" s="552">
        <f t="shared" si="6364"/>
        <v>0</v>
      </c>
      <c r="AK1259" s="552">
        <f t="shared" si="6364"/>
        <v>0</v>
      </c>
      <c r="AL1259" s="552">
        <f t="shared" si="6364"/>
        <v>0</v>
      </c>
      <c r="AM1259" s="552">
        <f t="shared" si="6364"/>
        <v>0</v>
      </c>
      <c r="AN1259" s="552">
        <f t="shared" si="6364"/>
        <v>0</v>
      </c>
      <c r="AO1259" s="552">
        <f t="shared" si="6364"/>
        <v>0</v>
      </c>
      <c r="AP1259" s="552">
        <f t="shared" ref="AP1259:BU1259" si="6365">AP309*AP$338</f>
        <v>0</v>
      </c>
      <c r="AQ1259" s="552">
        <f t="shared" si="6365"/>
        <v>0</v>
      </c>
      <c r="AR1259" s="552">
        <f t="shared" si="6365"/>
        <v>0</v>
      </c>
      <c r="AS1259" s="552">
        <f t="shared" si="6365"/>
        <v>0</v>
      </c>
      <c r="AT1259" s="552">
        <f t="shared" si="6365"/>
        <v>0</v>
      </c>
      <c r="AU1259" s="552">
        <f t="shared" si="6365"/>
        <v>0</v>
      </c>
      <c r="AV1259" s="552">
        <f t="shared" si="6365"/>
        <v>0</v>
      </c>
      <c r="AW1259" s="552">
        <f t="shared" si="6365"/>
        <v>0</v>
      </c>
      <c r="AX1259" s="552">
        <f t="shared" si="6365"/>
        <v>0</v>
      </c>
      <c r="AY1259" s="552">
        <f t="shared" si="6365"/>
        <v>0</v>
      </c>
      <c r="AZ1259" s="552">
        <f t="shared" si="6365"/>
        <v>0</v>
      </c>
      <c r="BA1259" s="552">
        <f t="shared" si="6365"/>
        <v>0</v>
      </c>
      <c r="BB1259" s="552">
        <f t="shared" si="6365"/>
        <v>0</v>
      </c>
      <c r="BC1259" s="552">
        <f t="shared" si="6365"/>
        <v>0</v>
      </c>
      <c r="BD1259" s="552">
        <f t="shared" si="6365"/>
        <v>0</v>
      </c>
      <c r="BE1259" s="552">
        <f t="shared" si="6365"/>
        <v>0</v>
      </c>
      <c r="BF1259" s="552">
        <f t="shared" si="6365"/>
        <v>0</v>
      </c>
      <c r="BG1259" s="552">
        <f t="shared" si="6365"/>
        <v>0</v>
      </c>
      <c r="BH1259" s="552">
        <f t="shared" si="6365"/>
        <v>0</v>
      </c>
      <c r="BI1259" s="552">
        <f t="shared" si="6365"/>
        <v>0</v>
      </c>
      <c r="BJ1259" s="552">
        <f t="shared" si="6365"/>
        <v>0</v>
      </c>
      <c r="BK1259" s="552">
        <f t="shared" si="6365"/>
        <v>0</v>
      </c>
      <c r="BL1259" s="552">
        <f t="shared" si="6365"/>
        <v>0</v>
      </c>
      <c r="BM1259" s="552">
        <f t="shared" si="6365"/>
        <v>0</v>
      </c>
      <c r="BN1259" s="552">
        <f t="shared" si="6365"/>
        <v>0</v>
      </c>
      <c r="BO1259" s="552">
        <f t="shared" si="6365"/>
        <v>0</v>
      </c>
      <c r="BP1259" s="552">
        <f t="shared" si="6365"/>
        <v>0</v>
      </c>
      <c r="BQ1259" s="552">
        <f t="shared" si="6365"/>
        <v>0</v>
      </c>
      <c r="BR1259" s="552">
        <f t="shared" si="6365"/>
        <v>0</v>
      </c>
      <c r="BS1259" s="552">
        <f t="shared" si="6365"/>
        <v>0</v>
      </c>
      <c r="BT1259" s="552">
        <f t="shared" si="6365"/>
        <v>0</v>
      </c>
      <c r="BU1259" s="552">
        <f t="shared" si="6365"/>
        <v>0</v>
      </c>
      <c r="BV1259" s="552">
        <f t="shared" ref="BV1259:DA1259" si="6366">BV309*BV$338</f>
        <v>0</v>
      </c>
      <c r="BW1259" s="552">
        <f t="shared" si="6366"/>
        <v>0</v>
      </c>
      <c r="BX1259" s="552">
        <f t="shared" si="6366"/>
        <v>0</v>
      </c>
      <c r="BY1259" s="552">
        <f t="shared" si="6366"/>
        <v>0</v>
      </c>
      <c r="BZ1259" s="552">
        <f t="shared" si="6366"/>
        <v>0</v>
      </c>
      <c r="CA1259" s="552">
        <f t="shared" si="6366"/>
        <v>0</v>
      </c>
      <c r="CB1259" s="552">
        <f t="shared" si="6366"/>
        <v>0</v>
      </c>
      <c r="CC1259" s="552">
        <f t="shared" si="6366"/>
        <v>0</v>
      </c>
      <c r="CD1259" s="552">
        <f t="shared" si="6366"/>
        <v>0</v>
      </c>
      <c r="CE1259" s="552">
        <f t="shared" si="6366"/>
        <v>0</v>
      </c>
      <c r="CF1259" s="552">
        <f t="shared" si="6366"/>
        <v>0</v>
      </c>
      <c r="CG1259" s="552">
        <f t="shared" si="6366"/>
        <v>0</v>
      </c>
      <c r="CH1259" s="552">
        <f t="shared" si="6366"/>
        <v>0</v>
      </c>
      <c r="CI1259" s="552">
        <f t="shared" si="6366"/>
        <v>0</v>
      </c>
      <c r="CJ1259" s="552">
        <f t="shared" si="6366"/>
        <v>0</v>
      </c>
      <c r="CK1259" s="552">
        <f t="shared" si="6366"/>
        <v>0</v>
      </c>
      <c r="CL1259" s="552">
        <f t="shared" si="6366"/>
        <v>0</v>
      </c>
      <c r="CM1259" s="552">
        <f t="shared" si="6366"/>
        <v>0</v>
      </c>
      <c r="CN1259" s="552">
        <f t="shared" si="6366"/>
        <v>0</v>
      </c>
      <c r="CO1259" s="552">
        <f t="shared" si="6366"/>
        <v>0</v>
      </c>
      <c r="CP1259" s="552">
        <f t="shared" si="6366"/>
        <v>0</v>
      </c>
      <c r="CQ1259" s="552">
        <f t="shared" si="6366"/>
        <v>0</v>
      </c>
      <c r="CR1259" s="552">
        <f t="shared" si="6366"/>
        <v>0</v>
      </c>
      <c r="CS1259" s="552">
        <f t="shared" si="6366"/>
        <v>0</v>
      </c>
      <c r="CT1259" s="552">
        <f t="shared" si="6366"/>
        <v>0</v>
      </c>
      <c r="CU1259" s="552">
        <f t="shared" si="6366"/>
        <v>0</v>
      </c>
      <c r="CV1259" s="552">
        <f t="shared" si="6366"/>
        <v>0</v>
      </c>
      <c r="CW1259" s="552">
        <f t="shared" si="6366"/>
        <v>0</v>
      </c>
      <c r="CX1259" s="552">
        <f t="shared" si="6366"/>
        <v>0</v>
      </c>
      <c r="CY1259" s="552">
        <f t="shared" si="6366"/>
        <v>0</v>
      </c>
      <c r="CZ1259" s="552">
        <f t="shared" si="6366"/>
        <v>0</v>
      </c>
      <c r="DA1259" s="552">
        <f t="shared" si="6366"/>
        <v>0</v>
      </c>
      <c r="DB1259" s="552">
        <f t="shared" ref="DB1259:EG1259" si="6367">DB309*DB$338</f>
        <v>0</v>
      </c>
      <c r="DC1259" s="552">
        <f t="shared" si="6367"/>
        <v>0</v>
      </c>
      <c r="DD1259" s="552">
        <f t="shared" si="6367"/>
        <v>0</v>
      </c>
      <c r="DE1259" s="552">
        <f t="shared" si="6367"/>
        <v>0</v>
      </c>
      <c r="DF1259" s="552">
        <f t="shared" si="6367"/>
        <v>0</v>
      </c>
      <c r="DG1259" s="552">
        <f t="shared" si="6367"/>
        <v>0</v>
      </c>
      <c r="DH1259" s="552">
        <f t="shared" si="6367"/>
        <v>0</v>
      </c>
      <c r="DI1259" s="552">
        <f t="shared" si="6367"/>
        <v>0</v>
      </c>
      <c r="DJ1259" s="552">
        <f t="shared" si="6367"/>
        <v>0</v>
      </c>
      <c r="DK1259" s="552">
        <f t="shared" si="6367"/>
        <v>0</v>
      </c>
      <c r="DL1259" s="552">
        <f t="shared" si="6367"/>
        <v>0</v>
      </c>
      <c r="DM1259" s="552">
        <f t="shared" si="6367"/>
        <v>0</v>
      </c>
      <c r="DN1259" s="552">
        <f t="shared" si="6367"/>
        <v>0</v>
      </c>
      <c r="DO1259" s="552">
        <f t="shared" si="6367"/>
        <v>0</v>
      </c>
      <c r="DP1259" s="552">
        <f t="shared" si="6367"/>
        <v>0</v>
      </c>
      <c r="DQ1259" s="552">
        <f t="shared" si="6367"/>
        <v>0</v>
      </c>
      <c r="DR1259" s="552">
        <f t="shared" si="6367"/>
        <v>0</v>
      </c>
      <c r="DS1259" s="552">
        <f t="shared" si="6367"/>
        <v>0</v>
      </c>
      <c r="DT1259" s="552">
        <f t="shared" si="6367"/>
        <v>0</v>
      </c>
      <c r="DU1259" s="552">
        <f t="shared" si="6367"/>
        <v>0</v>
      </c>
      <c r="DV1259" s="552">
        <f t="shared" si="6367"/>
        <v>0</v>
      </c>
      <c r="DW1259" s="552">
        <f t="shared" si="6367"/>
        <v>0</v>
      </c>
      <c r="DX1259" s="552">
        <f t="shared" si="6367"/>
        <v>0</v>
      </c>
      <c r="DY1259" s="552">
        <f t="shared" si="6367"/>
        <v>0</v>
      </c>
      <c r="DZ1259" s="552">
        <f t="shared" si="6367"/>
        <v>0</v>
      </c>
      <c r="EA1259" s="552">
        <f t="shared" si="6367"/>
        <v>0</v>
      </c>
      <c r="EB1259" s="552">
        <f t="shared" si="6367"/>
        <v>0</v>
      </c>
      <c r="EC1259" s="552">
        <f t="shared" si="6367"/>
        <v>0</v>
      </c>
      <c r="ED1259" s="552">
        <f t="shared" si="6367"/>
        <v>0</v>
      </c>
      <c r="EE1259" s="552">
        <f t="shared" si="6367"/>
        <v>0</v>
      </c>
      <c r="EF1259" s="552">
        <f t="shared" si="6367"/>
        <v>0</v>
      </c>
      <c r="EG1259" s="552">
        <f t="shared" si="6367"/>
        <v>0</v>
      </c>
      <c r="EH1259" s="552">
        <f t="shared" ref="EH1259:EX1259" si="6368">EH309*EH$338</f>
        <v>0</v>
      </c>
      <c r="EI1259" s="552">
        <f t="shared" si="6368"/>
        <v>0</v>
      </c>
      <c r="EJ1259" s="552">
        <f t="shared" si="6368"/>
        <v>0</v>
      </c>
      <c r="EK1259" s="552">
        <f t="shared" si="6368"/>
        <v>0</v>
      </c>
      <c r="EL1259" s="552">
        <f t="shared" si="6368"/>
        <v>0</v>
      </c>
      <c r="EM1259" s="552">
        <f t="shared" si="6368"/>
        <v>0</v>
      </c>
      <c r="EN1259" s="552">
        <f t="shared" si="6368"/>
        <v>0</v>
      </c>
      <c r="EO1259" s="552">
        <f t="shared" si="6368"/>
        <v>0</v>
      </c>
      <c r="EP1259" s="552">
        <f t="shared" si="6368"/>
        <v>0</v>
      </c>
      <c r="EQ1259" s="552">
        <f t="shared" si="6368"/>
        <v>0</v>
      </c>
      <c r="ER1259" s="552">
        <f t="shared" si="6368"/>
        <v>0</v>
      </c>
      <c r="ES1259" s="552">
        <f t="shared" si="6368"/>
        <v>0</v>
      </c>
      <c r="ET1259" s="552">
        <f t="shared" si="6368"/>
        <v>0</v>
      </c>
      <c r="EU1259" s="552">
        <f t="shared" si="6368"/>
        <v>0</v>
      </c>
      <c r="EV1259" s="552">
        <f t="shared" si="6368"/>
        <v>0</v>
      </c>
      <c r="EW1259" s="552">
        <f t="shared" si="6368"/>
        <v>0</v>
      </c>
      <c r="EX1259" s="552">
        <f t="shared" si="6368"/>
        <v>0</v>
      </c>
      <c r="EY1259" s="799">
        <f t="shared" si="6019"/>
        <v>0</v>
      </c>
      <c r="EZ1259" s="640"/>
      <c r="FA1259" s="640"/>
      <c r="FB1259" s="640"/>
      <c r="FC1259" s="640"/>
      <c r="FD1259" s="640"/>
      <c r="FE1259" s="640"/>
      <c r="FF1259" s="640"/>
      <c r="FG1259" s="640"/>
      <c r="FH1259" s="640"/>
      <c r="FI1259" s="640"/>
      <c r="FJ1259" s="640"/>
      <c r="FK1259" s="640"/>
      <c r="FL1259" s="640"/>
    </row>
    <row r="1260" spans="1:168" x14ac:dyDescent="0.25">
      <c r="A1260" s="1492"/>
      <c r="B1260" s="624">
        <v>0</v>
      </c>
      <c r="C1260" s="1137">
        <v>0</v>
      </c>
      <c r="D1260" s="1137">
        <v>0</v>
      </c>
      <c r="E1260" s="1158">
        <f t="shared" si="5978"/>
        <v>0</v>
      </c>
      <c r="F1260" s="1158"/>
      <c r="G1260" s="1140"/>
      <c r="H1260" s="1140"/>
      <c r="I1260" s="552"/>
      <c r="J1260" s="552">
        <f t="shared" ref="J1260:AO1260" si="6369">J310*J$338</f>
        <v>0</v>
      </c>
      <c r="K1260" s="552">
        <f t="shared" si="6369"/>
        <v>0</v>
      </c>
      <c r="L1260" s="552">
        <f t="shared" si="6369"/>
        <v>0</v>
      </c>
      <c r="M1260" s="552">
        <f t="shared" si="6369"/>
        <v>0</v>
      </c>
      <c r="N1260" s="552">
        <f t="shared" si="6369"/>
        <v>0</v>
      </c>
      <c r="O1260" s="552">
        <f t="shared" si="6369"/>
        <v>0</v>
      </c>
      <c r="P1260" s="552">
        <f t="shared" si="6369"/>
        <v>0</v>
      </c>
      <c r="Q1260" s="552">
        <f t="shared" si="6369"/>
        <v>0</v>
      </c>
      <c r="R1260" s="552">
        <f t="shared" si="6369"/>
        <v>0</v>
      </c>
      <c r="S1260" s="552">
        <f t="shared" si="6369"/>
        <v>0</v>
      </c>
      <c r="T1260" s="552">
        <f t="shared" si="6369"/>
        <v>0</v>
      </c>
      <c r="U1260" s="552">
        <f t="shared" si="6369"/>
        <v>0</v>
      </c>
      <c r="V1260" s="552">
        <f t="shared" si="6369"/>
        <v>0</v>
      </c>
      <c r="W1260" s="552">
        <f t="shared" si="6369"/>
        <v>0</v>
      </c>
      <c r="X1260" s="552">
        <f t="shared" si="6369"/>
        <v>0</v>
      </c>
      <c r="Y1260" s="552">
        <f t="shared" si="6369"/>
        <v>0</v>
      </c>
      <c r="Z1260" s="552">
        <f t="shared" si="6369"/>
        <v>0</v>
      </c>
      <c r="AA1260" s="552">
        <f t="shared" si="6369"/>
        <v>0</v>
      </c>
      <c r="AB1260" s="552">
        <f t="shared" si="6369"/>
        <v>0</v>
      </c>
      <c r="AC1260" s="552">
        <f t="shared" si="6369"/>
        <v>0</v>
      </c>
      <c r="AD1260" s="552">
        <f t="shared" si="6369"/>
        <v>0</v>
      </c>
      <c r="AE1260" s="552">
        <f t="shared" si="6369"/>
        <v>0</v>
      </c>
      <c r="AF1260" s="552">
        <f t="shared" si="6369"/>
        <v>0</v>
      </c>
      <c r="AG1260" s="552">
        <f t="shared" si="6369"/>
        <v>0</v>
      </c>
      <c r="AH1260" s="552">
        <f t="shared" si="6369"/>
        <v>0</v>
      </c>
      <c r="AI1260" s="552">
        <f t="shared" si="6369"/>
        <v>0</v>
      </c>
      <c r="AJ1260" s="552">
        <f t="shared" si="6369"/>
        <v>0</v>
      </c>
      <c r="AK1260" s="552">
        <f t="shared" si="6369"/>
        <v>0</v>
      </c>
      <c r="AL1260" s="552">
        <f t="shared" si="6369"/>
        <v>0</v>
      </c>
      <c r="AM1260" s="552">
        <f t="shared" si="6369"/>
        <v>0</v>
      </c>
      <c r="AN1260" s="552">
        <f t="shared" si="6369"/>
        <v>0</v>
      </c>
      <c r="AO1260" s="552">
        <f t="shared" si="6369"/>
        <v>0</v>
      </c>
      <c r="AP1260" s="552">
        <f t="shared" ref="AP1260:BU1260" si="6370">AP310*AP$338</f>
        <v>0</v>
      </c>
      <c r="AQ1260" s="552">
        <f t="shared" si="6370"/>
        <v>0</v>
      </c>
      <c r="AR1260" s="552">
        <f t="shared" si="6370"/>
        <v>0</v>
      </c>
      <c r="AS1260" s="552">
        <f t="shared" si="6370"/>
        <v>0</v>
      </c>
      <c r="AT1260" s="552">
        <f t="shared" si="6370"/>
        <v>0</v>
      </c>
      <c r="AU1260" s="552">
        <f t="shared" si="6370"/>
        <v>0</v>
      </c>
      <c r="AV1260" s="552">
        <f t="shared" si="6370"/>
        <v>0</v>
      </c>
      <c r="AW1260" s="552">
        <f t="shared" si="6370"/>
        <v>0</v>
      </c>
      <c r="AX1260" s="552">
        <f t="shared" si="6370"/>
        <v>0</v>
      </c>
      <c r="AY1260" s="552">
        <f t="shared" si="6370"/>
        <v>0</v>
      </c>
      <c r="AZ1260" s="552">
        <f t="shared" si="6370"/>
        <v>0</v>
      </c>
      <c r="BA1260" s="552">
        <f t="shared" si="6370"/>
        <v>0</v>
      </c>
      <c r="BB1260" s="552">
        <f t="shared" si="6370"/>
        <v>0</v>
      </c>
      <c r="BC1260" s="552">
        <f t="shared" si="6370"/>
        <v>0</v>
      </c>
      <c r="BD1260" s="552">
        <f t="shared" si="6370"/>
        <v>0</v>
      </c>
      <c r="BE1260" s="552">
        <f t="shared" si="6370"/>
        <v>0</v>
      </c>
      <c r="BF1260" s="552">
        <f t="shared" si="6370"/>
        <v>0</v>
      </c>
      <c r="BG1260" s="552">
        <f t="shared" si="6370"/>
        <v>0</v>
      </c>
      <c r="BH1260" s="552">
        <f t="shared" si="6370"/>
        <v>0</v>
      </c>
      <c r="BI1260" s="552">
        <f t="shared" si="6370"/>
        <v>0</v>
      </c>
      <c r="BJ1260" s="552">
        <f t="shared" si="6370"/>
        <v>0</v>
      </c>
      <c r="BK1260" s="552">
        <f t="shared" si="6370"/>
        <v>0</v>
      </c>
      <c r="BL1260" s="552">
        <f t="shared" si="6370"/>
        <v>0</v>
      </c>
      <c r="BM1260" s="552">
        <f t="shared" si="6370"/>
        <v>0</v>
      </c>
      <c r="BN1260" s="552">
        <f t="shared" si="6370"/>
        <v>0</v>
      </c>
      <c r="BO1260" s="552">
        <f t="shared" si="6370"/>
        <v>0</v>
      </c>
      <c r="BP1260" s="552">
        <f t="shared" si="6370"/>
        <v>0</v>
      </c>
      <c r="BQ1260" s="552">
        <f t="shared" si="6370"/>
        <v>0</v>
      </c>
      <c r="BR1260" s="552">
        <f t="shared" si="6370"/>
        <v>0</v>
      </c>
      <c r="BS1260" s="552">
        <f t="shared" si="6370"/>
        <v>0</v>
      </c>
      <c r="BT1260" s="552">
        <f t="shared" si="6370"/>
        <v>0</v>
      </c>
      <c r="BU1260" s="552">
        <f t="shared" si="6370"/>
        <v>0</v>
      </c>
      <c r="BV1260" s="552">
        <f t="shared" ref="BV1260:DA1260" si="6371">BV310*BV$338</f>
        <v>0</v>
      </c>
      <c r="BW1260" s="552">
        <f t="shared" si="6371"/>
        <v>0</v>
      </c>
      <c r="BX1260" s="552">
        <f t="shared" si="6371"/>
        <v>0</v>
      </c>
      <c r="BY1260" s="552">
        <f t="shared" si="6371"/>
        <v>0</v>
      </c>
      <c r="BZ1260" s="552">
        <f t="shared" si="6371"/>
        <v>0</v>
      </c>
      <c r="CA1260" s="552">
        <f t="shared" si="6371"/>
        <v>0</v>
      </c>
      <c r="CB1260" s="552">
        <f t="shared" si="6371"/>
        <v>0</v>
      </c>
      <c r="CC1260" s="552">
        <f t="shared" si="6371"/>
        <v>0</v>
      </c>
      <c r="CD1260" s="552">
        <f t="shared" si="6371"/>
        <v>0</v>
      </c>
      <c r="CE1260" s="552">
        <f t="shared" si="6371"/>
        <v>0</v>
      </c>
      <c r="CF1260" s="552">
        <f t="shared" si="6371"/>
        <v>0</v>
      </c>
      <c r="CG1260" s="552">
        <f t="shared" si="6371"/>
        <v>0</v>
      </c>
      <c r="CH1260" s="552">
        <f t="shared" si="6371"/>
        <v>0</v>
      </c>
      <c r="CI1260" s="552">
        <f t="shared" si="6371"/>
        <v>0</v>
      </c>
      <c r="CJ1260" s="552">
        <f t="shared" si="6371"/>
        <v>0</v>
      </c>
      <c r="CK1260" s="552">
        <f t="shared" si="6371"/>
        <v>0</v>
      </c>
      <c r="CL1260" s="552">
        <f t="shared" si="6371"/>
        <v>0</v>
      </c>
      <c r="CM1260" s="552">
        <f t="shared" si="6371"/>
        <v>0</v>
      </c>
      <c r="CN1260" s="552">
        <f t="shared" si="6371"/>
        <v>0</v>
      </c>
      <c r="CO1260" s="552">
        <f t="shared" si="6371"/>
        <v>0</v>
      </c>
      <c r="CP1260" s="552">
        <f t="shared" si="6371"/>
        <v>0</v>
      </c>
      <c r="CQ1260" s="552">
        <f t="shared" si="6371"/>
        <v>0</v>
      </c>
      <c r="CR1260" s="552">
        <f t="shared" si="6371"/>
        <v>0</v>
      </c>
      <c r="CS1260" s="552">
        <f t="shared" si="6371"/>
        <v>0</v>
      </c>
      <c r="CT1260" s="552">
        <f t="shared" si="6371"/>
        <v>0</v>
      </c>
      <c r="CU1260" s="552">
        <f t="shared" si="6371"/>
        <v>0</v>
      </c>
      <c r="CV1260" s="552">
        <f t="shared" si="6371"/>
        <v>0</v>
      </c>
      <c r="CW1260" s="552">
        <f t="shared" si="6371"/>
        <v>0</v>
      </c>
      <c r="CX1260" s="552">
        <f t="shared" si="6371"/>
        <v>0</v>
      </c>
      <c r="CY1260" s="552">
        <f t="shared" si="6371"/>
        <v>0</v>
      </c>
      <c r="CZ1260" s="552">
        <f t="shared" si="6371"/>
        <v>0</v>
      </c>
      <c r="DA1260" s="552">
        <f t="shared" si="6371"/>
        <v>0</v>
      </c>
      <c r="DB1260" s="552">
        <f t="shared" ref="DB1260:EG1260" si="6372">DB310*DB$338</f>
        <v>0</v>
      </c>
      <c r="DC1260" s="552">
        <f t="shared" si="6372"/>
        <v>0</v>
      </c>
      <c r="DD1260" s="552">
        <f t="shared" si="6372"/>
        <v>0</v>
      </c>
      <c r="DE1260" s="552">
        <f t="shared" si="6372"/>
        <v>0</v>
      </c>
      <c r="DF1260" s="552">
        <f t="shared" si="6372"/>
        <v>0</v>
      </c>
      <c r="DG1260" s="552">
        <f t="shared" si="6372"/>
        <v>0</v>
      </c>
      <c r="DH1260" s="552">
        <f t="shared" si="6372"/>
        <v>0</v>
      </c>
      <c r="DI1260" s="552">
        <f t="shared" si="6372"/>
        <v>0</v>
      </c>
      <c r="DJ1260" s="552">
        <f t="shared" si="6372"/>
        <v>0</v>
      </c>
      <c r="DK1260" s="552">
        <f t="shared" si="6372"/>
        <v>0</v>
      </c>
      <c r="DL1260" s="552">
        <f t="shared" si="6372"/>
        <v>0</v>
      </c>
      <c r="DM1260" s="552">
        <f t="shared" si="6372"/>
        <v>0</v>
      </c>
      <c r="DN1260" s="552">
        <f t="shared" si="6372"/>
        <v>0</v>
      </c>
      <c r="DO1260" s="552">
        <f t="shared" si="6372"/>
        <v>0</v>
      </c>
      <c r="DP1260" s="552">
        <f t="shared" si="6372"/>
        <v>0</v>
      </c>
      <c r="DQ1260" s="552">
        <f t="shared" si="6372"/>
        <v>0</v>
      </c>
      <c r="DR1260" s="552">
        <f t="shared" si="6372"/>
        <v>0</v>
      </c>
      <c r="DS1260" s="552">
        <f t="shared" si="6372"/>
        <v>0</v>
      </c>
      <c r="DT1260" s="552">
        <f t="shared" si="6372"/>
        <v>0</v>
      </c>
      <c r="DU1260" s="552">
        <f t="shared" si="6372"/>
        <v>0</v>
      </c>
      <c r="DV1260" s="552">
        <f t="shared" si="6372"/>
        <v>0</v>
      </c>
      <c r="DW1260" s="552">
        <f t="shared" si="6372"/>
        <v>0</v>
      </c>
      <c r="DX1260" s="552">
        <f t="shared" si="6372"/>
        <v>0</v>
      </c>
      <c r="DY1260" s="552">
        <f t="shared" si="6372"/>
        <v>0</v>
      </c>
      <c r="DZ1260" s="552">
        <f t="shared" si="6372"/>
        <v>0</v>
      </c>
      <c r="EA1260" s="552">
        <f t="shared" si="6372"/>
        <v>0</v>
      </c>
      <c r="EB1260" s="552">
        <f t="shared" si="6372"/>
        <v>0</v>
      </c>
      <c r="EC1260" s="552">
        <f t="shared" si="6372"/>
        <v>0</v>
      </c>
      <c r="ED1260" s="552">
        <f t="shared" si="6372"/>
        <v>0</v>
      </c>
      <c r="EE1260" s="552">
        <f t="shared" si="6372"/>
        <v>0</v>
      </c>
      <c r="EF1260" s="552">
        <f t="shared" si="6372"/>
        <v>0</v>
      </c>
      <c r="EG1260" s="552">
        <f t="shared" si="6372"/>
        <v>0</v>
      </c>
      <c r="EH1260" s="552">
        <f t="shared" ref="EH1260:EX1260" si="6373">EH310*EH$338</f>
        <v>0</v>
      </c>
      <c r="EI1260" s="552">
        <f t="shared" si="6373"/>
        <v>0</v>
      </c>
      <c r="EJ1260" s="552">
        <f t="shared" si="6373"/>
        <v>0</v>
      </c>
      <c r="EK1260" s="552">
        <f t="shared" si="6373"/>
        <v>0</v>
      </c>
      <c r="EL1260" s="552">
        <f t="shared" si="6373"/>
        <v>0</v>
      </c>
      <c r="EM1260" s="552">
        <f t="shared" si="6373"/>
        <v>0</v>
      </c>
      <c r="EN1260" s="552">
        <f t="shared" si="6373"/>
        <v>0</v>
      </c>
      <c r="EO1260" s="552">
        <f t="shared" si="6373"/>
        <v>0</v>
      </c>
      <c r="EP1260" s="552">
        <f t="shared" si="6373"/>
        <v>0</v>
      </c>
      <c r="EQ1260" s="552">
        <f t="shared" si="6373"/>
        <v>0</v>
      </c>
      <c r="ER1260" s="552">
        <f t="shared" si="6373"/>
        <v>0</v>
      </c>
      <c r="ES1260" s="552">
        <f t="shared" si="6373"/>
        <v>0</v>
      </c>
      <c r="ET1260" s="552">
        <f t="shared" si="6373"/>
        <v>0</v>
      </c>
      <c r="EU1260" s="552">
        <f t="shared" si="6373"/>
        <v>0</v>
      </c>
      <c r="EV1260" s="552">
        <f t="shared" si="6373"/>
        <v>0</v>
      </c>
      <c r="EW1260" s="552">
        <f t="shared" si="6373"/>
        <v>0</v>
      </c>
      <c r="EX1260" s="552">
        <f t="shared" si="6373"/>
        <v>0</v>
      </c>
      <c r="EY1260" s="799">
        <f t="shared" si="6019"/>
        <v>0</v>
      </c>
      <c r="EZ1260" s="640"/>
      <c r="FA1260" s="640"/>
      <c r="FB1260" s="640"/>
      <c r="FC1260" s="640"/>
      <c r="FD1260" s="640"/>
      <c r="FE1260" s="640"/>
      <c r="FF1260" s="640"/>
      <c r="FG1260" s="640"/>
      <c r="FH1260" s="640"/>
      <c r="FI1260" s="640"/>
      <c r="FJ1260" s="640"/>
      <c r="FK1260" s="640"/>
      <c r="FL1260" s="640"/>
    </row>
    <row r="1261" spans="1:168" x14ac:dyDescent="0.25">
      <c r="A1261" s="1493"/>
      <c r="B1261" s="624">
        <v>0</v>
      </c>
      <c r="C1261" s="1137">
        <v>0</v>
      </c>
      <c r="D1261" s="1137">
        <v>0</v>
      </c>
      <c r="E1261" s="1158">
        <f t="shared" ref="E1261" si="6374">EY1261</f>
        <v>0</v>
      </c>
      <c r="F1261" s="1158"/>
      <c r="G1261" s="1140"/>
      <c r="H1261" s="1140"/>
      <c r="I1261" s="552"/>
      <c r="J1261" s="552">
        <f>J311*J$338</f>
        <v>0</v>
      </c>
      <c r="K1261" s="552">
        <f t="shared" ref="K1261:BV1261" si="6375">K311*K$338</f>
        <v>0</v>
      </c>
      <c r="L1261" s="552">
        <f t="shared" si="6375"/>
        <v>0</v>
      </c>
      <c r="M1261" s="552">
        <f t="shared" si="6375"/>
        <v>0</v>
      </c>
      <c r="N1261" s="552">
        <f t="shared" si="6375"/>
        <v>0</v>
      </c>
      <c r="O1261" s="552">
        <f t="shared" si="6375"/>
        <v>0</v>
      </c>
      <c r="P1261" s="552">
        <f t="shared" si="6375"/>
        <v>0</v>
      </c>
      <c r="Q1261" s="552">
        <f t="shared" si="6375"/>
        <v>0</v>
      </c>
      <c r="R1261" s="552">
        <f t="shared" si="6375"/>
        <v>0</v>
      </c>
      <c r="S1261" s="552">
        <f t="shared" si="6375"/>
        <v>0</v>
      </c>
      <c r="T1261" s="552">
        <f t="shared" si="6375"/>
        <v>0</v>
      </c>
      <c r="U1261" s="552">
        <f t="shared" si="6375"/>
        <v>0</v>
      </c>
      <c r="V1261" s="552">
        <f t="shared" si="6375"/>
        <v>0</v>
      </c>
      <c r="W1261" s="552">
        <f t="shared" si="6375"/>
        <v>0</v>
      </c>
      <c r="X1261" s="552">
        <f t="shared" si="6375"/>
        <v>0</v>
      </c>
      <c r="Y1261" s="552">
        <f t="shared" si="6375"/>
        <v>0</v>
      </c>
      <c r="Z1261" s="552">
        <f t="shared" si="6375"/>
        <v>0</v>
      </c>
      <c r="AA1261" s="552">
        <f t="shared" si="6375"/>
        <v>0</v>
      </c>
      <c r="AB1261" s="552">
        <f t="shared" si="6375"/>
        <v>0</v>
      </c>
      <c r="AC1261" s="552">
        <f t="shared" si="6375"/>
        <v>0</v>
      </c>
      <c r="AD1261" s="552">
        <f t="shared" si="6375"/>
        <v>0</v>
      </c>
      <c r="AE1261" s="552">
        <f t="shared" si="6375"/>
        <v>0</v>
      </c>
      <c r="AF1261" s="552">
        <f t="shared" si="6375"/>
        <v>0</v>
      </c>
      <c r="AG1261" s="552">
        <f t="shared" si="6375"/>
        <v>0</v>
      </c>
      <c r="AH1261" s="552">
        <f t="shared" si="6375"/>
        <v>0</v>
      </c>
      <c r="AI1261" s="552">
        <f t="shared" si="6375"/>
        <v>0</v>
      </c>
      <c r="AJ1261" s="552">
        <f t="shared" si="6375"/>
        <v>0</v>
      </c>
      <c r="AK1261" s="552">
        <f t="shared" si="6375"/>
        <v>0</v>
      </c>
      <c r="AL1261" s="552">
        <f t="shared" si="6375"/>
        <v>0</v>
      </c>
      <c r="AM1261" s="552">
        <f t="shared" si="6375"/>
        <v>0</v>
      </c>
      <c r="AN1261" s="552">
        <f t="shared" si="6375"/>
        <v>0</v>
      </c>
      <c r="AO1261" s="552">
        <f t="shared" si="6375"/>
        <v>0</v>
      </c>
      <c r="AP1261" s="552">
        <f t="shared" si="6375"/>
        <v>0</v>
      </c>
      <c r="AQ1261" s="552">
        <f t="shared" si="6375"/>
        <v>0</v>
      </c>
      <c r="AR1261" s="552">
        <f t="shared" si="6375"/>
        <v>0</v>
      </c>
      <c r="AS1261" s="552">
        <f t="shared" si="6375"/>
        <v>0</v>
      </c>
      <c r="AT1261" s="552">
        <f t="shared" si="6375"/>
        <v>0</v>
      </c>
      <c r="AU1261" s="552">
        <f t="shared" si="6375"/>
        <v>0</v>
      </c>
      <c r="AV1261" s="552">
        <f t="shared" si="6375"/>
        <v>0</v>
      </c>
      <c r="AW1261" s="552">
        <f t="shared" si="6375"/>
        <v>0</v>
      </c>
      <c r="AX1261" s="552">
        <f t="shared" si="6375"/>
        <v>0</v>
      </c>
      <c r="AY1261" s="552">
        <f t="shared" si="6375"/>
        <v>0</v>
      </c>
      <c r="AZ1261" s="552">
        <f t="shared" si="6375"/>
        <v>0</v>
      </c>
      <c r="BA1261" s="552">
        <f t="shared" si="6375"/>
        <v>0</v>
      </c>
      <c r="BB1261" s="552">
        <f t="shared" si="6375"/>
        <v>0</v>
      </c>
      <c r="BC1261" s="552">
        <f t="shared" si="6375"/>
        <v>0</v>
      </c>
      <c r="BD1261" s="552">
        <f t="shared" si="6375"/>
        <v>0</v>
      </c>
      <c r="BE1261" s="552">
        <f t="shared" si="6375"/>
        <v>0</v>
      </c>
      <c r="BF1261" s="552">
        <f t="shared" si="6375"/>
        <v>0</v>
      </c>
      <c r="BG1261" s="552">
        <f t="shared" si="6375"/>
        <v>0</v>
      </c>
      <c r="BH1261" s="552">
        <f t="shared" si="6375"/>
        <v>0</v>
      </c>
      <c r="BI1261" s="552">
        <f t="shared" si="6375"/>
        <v>0</v>
      </c>
      <c r="BJ1261" s="552">
        <f t="shared" si="6375"/>
        <v>0</v>
      </c>
      <c r="BK1261" s="552">
        <f t="shared" si="6375"/>
        <v>0</v>
      </c>
      <c r="BL1261" s="552">
        <f t="shared" si="6375"/>
        <v>0</v>
      </c>
      <c r="BM1261" s="552">
        <f t="shared" si="6375"/>
        <v>0</v>
      </c>
      <c r="BN1261" s="552">
        <f t="shared" si="6375"/>
        <v>0</v>
      </c>
      <c r="BO1261" s="552">
        <f t="shared" si="6375"/>
        <v>0</v>
      </c>
      <c r="BP1261" s="552">
        <f t="shared" si="6375"/>
        <v>0</v>
      </c>
      <c r="BQ1261" s="552">
        <f t="shared" si="6375"/>
        <v>0</v>
      </c>
      <c r="BR1261" s="552">
        <f t="shared" si="6375"/>
        <v>0</v>
      </c>
      <c r="BS1261" s="552">
        <f t="shared" si="6375"/>
        <v>0</v>
      </c>
      <c r="BT1261" s="552">
        <f t="shared" si="6375"/>
        <v>0</v>
      </c>
      <c r="BU1261" s="552">
        <f t="shared" si="6375"/>
        <v>0</v>
      </c>
      <c r="BV1261" s="552">
        <f t="shared" si="6375"/>
        <v>0</v>
      </c>
      <c r="BW1261" s="552">
        <f t="shared" ref="BW1261:DB1261" si="6376">BW311*BW$338</f>
        <v>0</v>
      </c>
      <c r="BX1261" s="552">
        <f t="shared" si="6376"/>
        <v>0</v>
      </c>
      <c r="BY1261" s="552">
        <f t="shared" si="6376"/>
        <v>0</v>
      </c>
      <c r="BZ1261" s="552">
        <f t="shared" si="6376"/>
        <v>0</v>
      </c>
      <c r="CA1261" s="552">
        <f t="shared" si="6376"/>
        <v>0</v>
      </c>
      <c r="CB1261" s="552">
        <f t="shared" si="6376"/>
        <v>0</v>
      </c>
      <c r="CC1261" s="552">
        <f t="shared" si="6376"/>
        <v>0</v>
      </c>
      <c r="CD1261" s="552">
        <f t="shared" si="6376"/>
        <v>0</v>
      </c>
      <c r="CE1261" s="552">
        <f t="shared" si="6376"/>
        <v>0</v>
      </c>
      <c r="CF1261" s="552">
        <f t="shared" si="6376"/>
        <v>0</v>
      </c>
      <c r="CG1261" s="552">
        <f t="shared" si="6376"/>
        <v>0</v>
      </c>
      <c r="CH1261" s="552">
        <f t="shared" si="6376"/>
        <v>0</v>
      </c>
      <c r="CI1261" s="552">
        <f t="shared" si="6376"/>
        <v>0</v>
      </c>
      <c r="CJ1261" s="552">
        <f t="shared" si="6376"/>
        <v>0</v>
      </c>
      <c r="CK1261" s="552">
        <f t="shared" si="6376"/>
        <v>0</v>
      </c>
      <c r="CL1261" s="552">
        <f t="shared" si="6376"/>
        <v>0</v>
      </c>
      <c r="CM1261" s="552">
        <f t="shared" si="6376"/>
        <v>0</v>
      </c>
      <c r="CN1261" s="552">
        <f t="shared" si="6376"/>
        <v>0</v>
      </c>
      <c r="CO1261" s="552">
        <f t="shared" si="6376"/>
        <v>0</v>
      </c>
      <c r="CP1261" s="552">
        <f t="shared" si="6376"/>
        <v>0</v>
      </c>
      <c r="CQ1261" s="552">
        <f t="shared" si="6376"/>
        <v>0</v>
      </c>
      <c r="CR1261" s="552">
        <f t="shared" si="6376"/>
        <v>0</v>
      </c>
      <c r="CS1261" s="552">
        <f t="shared" si="6376"/>
        <v>0</v>
      </c>
      <c r="CT1261" s="552">
        <f t="shared" si="6376"/>
        <v>0</v>
      </c>
      <c r="CU1261" s="552">
        <f t="shared" si="6376"/>
        <v>0</v>
      </c>
      <c r="CV1261" s="552">
        <f t="shared" si="6376"/>
        <v>0</v>
      </c>
      <c r="CW1261" s="552">
        <f t="shared" si="6376"/>
        <v>0</v>
      </c>
      <c r="CX1261" s="552">
        <f t="shared" si="6376"/>
        <v>0</v>
      </c>
      <c r="CY1261" s="552">
        <f t="shared" si="6376"/>
        <v>0</v>
      </c>
      <c r="CZ1261" s="552">
        <f t="shared" si="6376"/>
        <v>0</v>
      </c>
      <c r="DA1261" s="552">
        <f t="shared" si="6376"/>
        <v>0</v>
      </c>
      <c r="DB1261" s="552">
        <f t="shared" si="6376"/>
        <v>0</v>
      </c>
      <c r="DC1261" s="552">
        <f t="shared" ref="DC1261:EH1261" si="6377">DC311*DC$338</f>
        <v>0</v>
      </c>
      <c r="DD1261" s="552">
        <f t="shared" si="6377"/>
        <v>0</v>
      </c>
      <c r="DE1261" s="552">
        <f t="shared" si="6377"/>
        <v>0</v>
      </c>
      <c r="DF1261" s="552">
        <f t="shared" si="6377"/>
        <v>0</v>
      </c>
      <c r="DG1261" s="552">
        <f t="shared" si="6377"/>
        <v>0</v>
      </c>
      <c r="DH1261" s="552">
        <f t="shared" si="6377"/>
        <v>0</v>
      </c>
      <c r="DI1261" s="552">
        <f t="shared" si="6377"/>
        <v>0</v>
      </c>
      <c r="DJ1261" s="552">
        <f t="shared" si="6377"/>
        <v>0</v>
      </c>
      <c r="DK1261" s="552">
        <f t="shared" si="6377"/>
        <v>0</v>
      </c>
      <c r="DL1261" s="552">
        <f t="shared" si="6377"/>
        <v>0</v>
      </c>
      <c r="DM1261" s="552">
        <f t="shared" si="6377"/>
        <v>0</v>
      </c>
      <c r="DN1261" s="552">
        <f t="shared" si="6377"/>
        <v>0</v>
      </c>
      <c r="DO1261" s="552">
        <f t="shared" si="6377"/>
        <v>0</v>
      </c>
      <c r="DP1261" s="552">
        <f t="shared" si="6377"/>
        <v>0</v>
      </c>
      <c r="DQ1261" s="552">
        <f t="shared" si="6377"/>
        <v>0</v>
      </c>
      <c r="DR1261" s="552">
        <f t="shared" si="6377"/>
        <v>0</v>
      </c>
      <c r="DS1261" s="552">
        <f t="shared" si="6377"/>
        <v>0</v>
      </c>
      <c r="DT1261" s="552">
        <f t="shared" si="6377"/>
        <v>0</v>
      </c>
      <c r="DU1261" s="552">
        <f t="shared" si="6377"/>
        <v>0</v>
      </c>
      <c r="DV1261" s="552">
        <f t="shared" si="6377"/>
        <v>0</v>
      </c>
      <c r="DW1261" s="552">
        <f t="shared" si="6377"/>
        <v>0</v>
      </c>
      <c r="DX1261" s="552">
        <f t="shared" si="6377"/>
        <v>0</v>
      </c>
      <c r="DY1261" s="552">
        <f t="shared" si="6377"/>
        <v>0</v>
      </c>
      <c r="DZ1261" s="552">
        <f t="shared" si="6377"/>
        <v>0</v>
      </c>
      <c r="EA1261" s="552">
        <f t="shared" si="6377"/>
        <v>0</v>
      </c>
      <c r="EB1261" s="552">
        <f t="shared" si="6377"/>
        <v>0</v>
      </c>
      <c r="EC1261" s="552">
        <f t="shared" si="6377"/>
        <v>0</v>
      </c>
      <c r="ED1261" s="552">
        <f t="shared" si="6377"/>
        <v>0</v>
      </c>
      <c r="EE1261" s="552">
        <f t="shared" si="6377"/>
        <v>0</v>
      </c>
      <c r="EF1261" s="552">
        <f t="shared" si="6377"/>
        <v>0</v>
      </c>
      <c r="EG1261" s="552">
        <f t="shared" si="6377"/>
        <v>0</v>
      </c>
      <c r="EH1261" s="552">
        <f t="shared" si="6377"/>
        <v>0</v>
      </c>
      <c r="EI1261" s="552">
        <f t="shared" ref="EI1261:EX1261" si="6378">EI311*EI$338</f>
        <v>0</v>
      </c>
      <c r="EJ1261" s="552">
        <f t="shared" si="6378"/>
        <v>0</v>
      </c>
      <c r="EK1261" s="552">
        <f t="shared" si="6378"/>
        <v>0</v>
      </c>
      <c r="EL1261" s="552">
        <f t="shared" si="6378"/>
        <v>0</v>
      </c>
      <c r="EM1261" s="552">
        <f t="shared" si="6378"/>
        <v>0</v>
      </c>
      <c r="EN1261" s="552">
        <f t="shared" si="6378"/>
        <v>0</v>
      </c>
      <c r="EO1261" s="552">
        <f t="shared" si="6378"/>
        <v>0</v>
      </c>
      <c r="EP1261" s="552">
        <f t="shared" si="6378"/>
        <v>0</v>
      </c>
      <c r="EQ1261" s="552">
        <f t="shared" si="6378"/>
        <v>0</v>
      </c>
      <c r="ER1261" s="552">
        <f t="shared" si="6378"/>
        <v>0</v>
      </c>
      <c r="ES1261" s="552">
        <f t="shared" si="6378"/>
        <v>0</v>
      </c>
      <c r="ET1261" s="552">
        <f t="shared" si="6378"/>
        <v>0</v>
      </c>
      <c r="EU1261" s="552">
        <f t="shared" si="6378"/>
        <v>0</v>
      </c>
      <c r="EV1261" s="552">
        <f t="shared" si="6378"/>
        <v>0</v>
      </c>
      <c r="EW1261" s="552">
        <f t="shared" si="6378"/>
        <v>0</v>
      </c>
      <c r="EX1261" s="552">
        <f t="shared" si="6378"/>
        <v>0</v>
      </c>
      <c r="EY1261" s="799">
        <f t="shared" si="6019"/>
        <v>0</v>
      </c>
      <c r="EZ1261" s="640"/>
      <c r="FA1261" s="640"/>
      <c r="FB1261" s="640"/>
      <c r="FC1261" s="640"/>
      <c r="FD1261" s="640"/>
      <c r="FE1261" s="640"/>
      <c r="FF1261" s="640"/>
      <c r="FG1261" s="640"/>
      <c r="FH1261" s="640"/>
      <c r="FI1261" s="640"/>
      <c r="FJ1261" s="640"/>
      <c r="FK1261" s="640"/>
      <c r="FL1261" s="640"/>
    </row>
    <row r="1262" spans="1:168" x14ac:dyDescent="0.25">
      <c r="A1262" s="254"/>
      <c r="B1262" s="625" t="s">
        <v>801</v>
      </c>
      <c r="C1262" s="1135"/>
      <c r="D1262" s="1138">
        <f>SUM(D1257:D1261)</f>
        <v>0</v>
      </c>
      <c r="E1262" s="1138">
        <f t="shared" ref="E1262:BC1262" si="6379">SUM(E1257:E1261)</f>
        <v>0</v>
      </c>
      <c r="F1262" s="1138"/>
      <c r="G1262" s="1138">
        <f t="shared" si="6379"/>
        <v>0</v>
      </c>
      <c r="H1262" s="1138">
        <f t="shared" si="6379"/>
        <v>0</v>
      </c>
      <c r="I1262" s="554"/>
      <c r="J1262" s="1138">
        <f t="shared" si="6379"/>
        <v>0</v>
      </c>
      <c r="K1262" s="1138">
        <f t="shared" si="6379"/>
        <v>0</v>
      </c>
      <c r="L1262" s="1138">
        <f t="shared" si="6379"/>
        <v>0</v>
      </c>
      <c r="M1262" s="1138">
        <f t="shared" si="6379"/>
        <v>0</v>
      </c>
      <c r="N1262" s="1138">
        <f t="shared" si="6379"/>
        <v>0</v>
      </c>
      <c r="O1262" s="1138">
        <f t="shared" si="6379"/>
        <v>0</v>
      </c>
      <c r="P1262" s="1138">
        <f t="shared" si="6379"/>
        <v>0</v>
      </c>
      <c r="Q1262" s="1138">
        <f t="shared" si="6379"/>
        <v>0</v>
      </c>
      <c r="R1262" s="1138">
        <f t="shared" si="6379"/>
        <v>0</v>
      </c>
      <c r="S1262" s="1138">
        <f t="shared" si="6379"/>
        <v>0</v>
      </c>
      <c r="T1262" s="1138">
        <f t="shared" si="6379"/>
        <v>0</v>
      </c>
      <c r="U1262" s="1138">
        <f t="shared" si="6379"/>
        <v>0</v>
      </c>
      <c r="V1262" s="1138">
        <f t="shared" si="6379"/>
        <v>0</v>
      </c>
      <c r="W1262" s="1138">
        <f t="shared" si="6379"/>
        <v>0</v>
      </c>
      <c r="X1262" s="1138">
        <f t="shared" si="6379"/>
        <v>0</v>
      </c>
      <c r="Y1262" s="1138">
        <f t="shared" si="6379"/>
        <v>0</v>
      </c>
      <c r="Z1262" s="1138">
        <f t="shared" si="6379"/>
        <v>0</v>
      </c>
      <c r="AA1262" s="1138">
        <f t="shared" si="6379"/>
        <v>0</v>
      </c>
      <c r="AB1262" s="1138">
        <f t="shared" si="6379"/>
        <v>0</v>
      </c>
      <c r="AC1262" s="1138">
        <f t="shared" si="6379"/>
        <v>0</v>
      </c>
      <c r="AD1262" s="1138">
        <f t="shared" si="6379"/>
        <v>0</v>
      </c>
      <c r="AE1262" s="1138">
        <f t="shared" si="6379"/>
        <v>0</v>
      </c>
      <c r="AF1262" s="1138">
        <f t="shared" si="6379"/>
        <v>0</v>
      </c>
      <c r="AG1262" s="1138">
        <f t="shared" si="6379"/>
        <v>0</v>
      </c>
      <c r="AH1262" s="1138">
        <f t="shared" si="6379"/>
        <v>0</v>
      </c>
      <c r="AI1262" s="1138">
        <f t="shared" si="6379"/>
        <v>0</v>
      </c>
      <c r="AJ1262" s="1138">
        <f t="shared" si="6379"/>
        <v>0</v>
      </c>
      <c r="AK1262" s="1138">
        <f t="shared" si="6379"/>
        <v>0</v>
      </c>
      <c r="AL1262" s="1138">
        <f t="shared" si="6379"/>
        <v>0</v>
      </c>
      <c r="AM1262" s="1138">
        <f t="shared" si="6379"/>
        <v>0</v>
      </c>
      <c r="AN1262" s="1138">
        <f t="shared" si="6379"/>
        <v>0</v>
      </c>
      <c r="AO1262" s="1138">
        <f t="shared" si="6379"/>
        <v>0</v>
      </c>
      <c r="AP1262" s="1138">
        <f t="shared" si="6379"/>
        <v>0</v>
      </c>
      <c r="AQ1262" s="1138">
        <f t="shared" si="6379"/>
        <v>0</v>
      </c>
      <c r="AR1262" s="1138">
        <f t="shared" si="6379"/>
        <v>0</v>
      </c>
      <c r="AS1262" s="1138">
        <f t="shared" si="6379"/>
        <v>0</v>
      </c>
      <c r="AT1262" s="1138">
        <f t="shared" si="6379"/>
        <v>0</v>
      </c>
      <c r="AU1262" s="1138">
        <f t="shared" si="6379"/>
        <v>0</v>
      </c>
      <c r="AV1262" s="1138">
        <f t="shared" si="6379"/>
        <v>0</v>
      </c>
      <c r="AW1262" s="1138">
        <f t="shared" si="6379"/>
        <v>0</v>
      </c>
      <c r="AX1262" s="1138">
        <f t="shared" si="6379"/>
        <v>0</v>
      </c>
      <c r="AY1262" s="1138">
        <f t="shared" si="6379"/>
        <v>0</v>
      </c>
      <c r="AZ1262" s="1138">
        <f t="shared" si="6379"/>
        <v>0</v>
      </c>
      <c r="BA1262" s="1138">
        <f t="shared" si="6379"/>
        <v>0</v>
      </c>
      <c r="BB1262" s="1138">
        <f t="shared" si="6379"/>
        <v>0</v>
      </c>
      <c r="BC1262" s="1138">
        <f t="shared" si="6379"/>
        <v>0</v>
      </c>
      <c r="BD1262" s="1138">
        <f t="shared" ref="BD1262:DO1262" si="6380">SUM(BD1257:BD1261)</f>
        <v>0</v>
      </c>
      <c r="BE1262" s="1138">
        <f t="shared" si="6380"/>
        <v>0</v>
      </c>
      <c r="BF1262" s="1138">
        <f t="shared" si="6380"/>
        <v>0</v>
      </c>
      <c r="BG1262" s="1138">
        <f t="shared" si="6380"/>
        <v>0</v>
      </c>
      <c r="BH1262" s="1138">
        <f t="shared" si="6380"/>
        <v>0</v>
      </c>
      <c r="BI1262" s="1138">
        <f t="shared" si="6380"/>
        <v>0</v>
      </c>
      <c r="BJ1262" s="1138">
        <f t="shared" si="6380"/>
        <v>0</v>
      </c>
      <c r="BK1262" s="1138">
        <f t="shared" si="6380"/>
        <v>0</v>
      </c>
      <c r="BL1262" s="1138">
        <f t="shared" si="6380"/>
        <v>0</v>
      </c>
      <c r="BM1262" s="1138">
        <f t="shared" si="6380"/>
        <v>0</v>
      </c>
      <c r="BN1262" s="1138">
        <f t="shared" si="6380"/>
        <v>0</v>
      </c>
      <c r="BO1262" s="1138">
        <f t="shared" si="6380"/>
        <v>0</v>
      </c>
      <c r="BP1262" s="1138">
        <f t="shared" si="6380"/>
        <v>0</v>
      </c>
      <c r="BQ1262" s="1138">
        <f t="shared" si="6380"/>
        <v>0</v>
      </c>
      <c r="BR1262" s="1138">
        <f t="shared" si="6380"/>
        <v>0</v>
      </c>
      <c r="BS1262" s="1138">
        <f t="shared" si="6380"/>
        <v>0</v>
      </c>
      <c r="BT1262" s="1138">
        <f t="shared" si="6380"/>
        <v>0</v>
      </c>
      <c r="BU1262" s="1138">
        <f t="shared" si="6380"/>
        <v>0</v>
      </c>
      <c r="BV1262" s="1138">
        <f t="shared" si="6380"/>
        <v>0</v>
      </c>
      <c r="BW1262" s="1138">
        <f t="shared" si="6380"/>
        <v>0</v>
      </c>
      <c r="BX1262" s="1138">
        <f t="shared" si="6380"/>
        <v>0</v>
      </c>
      <c r="BY1262" s="1138">
        <f t="shared" si="6380"/>
        <v>0</v>
      </c>
      <c r="BZ1262" s="1138">
        <f t="shared" si="6380"/>
        <v>0</v>
      </c>
      <c r="CA1262" s="1138">
        <f t="shared" si="6380"/>
        <v>0</v>
      </c>
      <c r="CB1262" s="1138">
        <f t="shared" si="6380"/>
        <v>0</v>
      </c>
      <c r="CC1262" s="1138">
        <f t="shared" si="6380"/>
        <v>0</v>
      </c>
      <c r="CD1262" s="1138">
        <f t="shared" si="6380"/>
        <v>0</v>
      </c>
      <c r="CE1262" s="1138">
        <f t="shared" si="6380"/>
        <v>0</v>
      </c>
      <c r="CF1262" s="1138">
        <f t="shared" si="6380"/>
        <v>0</v>
      </c>
      <c r="CG1262" s="1138">
        <f t="shared" si="6380"/>
        <v>0</v>
      </c>
      <c r="CH1262" s="1138">
        <f t="shared" si="6380"/>
        <v>0</v>
      </c>
      <c r="CI1262" s="1138">
        <f t="shared" si="6380"/>
        <v>0</v>
      </c>
      <c r="CJ1262" s="1138">
        <f t="shared" si="6380"/>
        <v>0</v>
      </c>
      <c r="CK1262" s="1138">
        <f t="shared" si="6380"/>
        <v>0</v>
      </c>
      <c r="CL1262" s="1138">
        <f t="shared" si="6380"/>
        <v>0</v>
      </c>
      <c r="CM1262" s="1138">
        <f t="shared" si="6380"/>
        <v>0</v>
      </c>
      <c r="CN1262" s="1138">
        <f t="shared" si="6380"/>
        <v>0</v>
      </c>
      <c r="CO1262" s="1138">
        <f t="shared" si="6380"/>
        <v>0</v>
      </c>
      <c r="CP1262" s="1138">
        <f t="shared" si="6380"/>
        <v>0</v>
      </c>
      <c r="CQ1262" s="1138">
        <f t="shared" si="6380"/>
        <v>0</v>
      </c>
      <c r="CR1262" s="1138">
        <f t="shared" si="6380"/>
        <v>0</v>
      </c>
      <c r="CS1262" s="1138">
        <f t="shared" si="6380"/>
        <v>0</v>
      </c>
      <c r="CT1262" s="1138">
        <f t="shared" si="6380"/>
        <v>0</v>
      </c>
      <c r="CU1262" s="1138">
        <f t="shared" si="6380"/>
        <v>0</v>
      </c>
      <c r="CV1262" s="1138">
        <f t="shared" si="6380"/>
        <v>0</v>
      </c>
      <c r="CW1262" s="1138">
        <f t="shared" si="6380"/>
        <v>0</v>
      </c>
      <c r="CX1262" s="1138">
        <f t="shared" si="6380"/>
        <v>0</v>
      </c>
      <c r="CY1262" s="1138">
        <f t="shared" si="6380"/>
        <v>0</v>
      </c>
      <c r="CZ1262" s="1138">
        <f t="shared" si="6380"/>
        <v>0</v>
      </c>
      <c r="DA1262" s="1138">
        <f t="shared" si="6380"/>
        <v>0</v>
      </c>
      <c r="DB1262" s="1138">
        <f t="shared" si="6380"/>
        <v>0</v>
      </c>
      <c r="DC1262" s="1138">
        <f t="shared" si="6380"/>
        <v>0</v>
      </c>
      <c r="DD1262" s="1138">
        <f t="shared" si="6380"/>
        <v>0</v>
      </c>
      <c r="DE1262" s="1138">
        <f t="shared" si="6380"/>
        <v>0</v>
      </c>
      <c r="DF1262" s="1138">
        <f t="shared" si="6380"/>
        <v>0</v>
      </c>
      <c r="DG1262" s="1138">
        <f t="shared" si="6380"/>
        <v>0</v>
      </c>
      <c r="DH1262" s="1138">
        <f t="shared" si="6380"/>
        <v>0</v>
      </c>
      <c r="DI1262" s="1138">
        <f t="shared" si="6380"/>
        <v>0</v>
      </c>
      <c r="DJ1262" s="1138">
        <f t="shared" si="6380"/>
        <v>0</v>
      </c>
      <c r="DK1262" s="1138">
        <f t="shared" si="6380"/>
        <v>0</v>
      </c>
      <c r="DL1262" s="1138">
        <f t="shared" si="6380"/>
        <v>0</v>
      </c>
      <c r="DM1262" s="1138">
        <f t="shared" si="6380"/>
        <v>0</v>
      </c>
      <c r="DN1262" s="1138">
        <f t="shared" si="6380"/>
        <v>0</v>
      </c>
      <c r="DO1262" s="1138">
        <f t="shared" si="6380"/>
        <v>0</v>
      </c>
      <c r="DP1262" s="1138">
        <f t="shared" ref="DP1262:FL1262" si="6381">SUM(DP1257:DP1261)</f>
        <v>0</v>
      </c>
      <c r="DQ1262" s="1138">
        <f t="shared" si="6381"/>
        <v>0</v>
      </c>
      <c r="DR1262" s="1138">
        <f t="shared" si="6381"/>
        <v>0</v>
      </c>
      <c r="DS1262" s="1138">
        <f t="shared" si="6381"/>
        <v>0</v>
      </c>
      <c r="DT1262" s="1138">
        <f t="shared" si="6381"/>
        <v>0</v>
      </c>
      <c r="DU1262" s="1138">
        <f t="shared" si="6381"/>
        <v>0</v>
      </c>
      <c r="DV1262" s="1138">
        <f t="shared" si="6381"/>
        <v>0</v>
      </c>
      <c r="DW1262" s="1138">
        <f t="shared" si="6381"/>
        <v>0</v>
      </c>
      <c r="DX1262" s="1138">
        <f t="shared" si="6381"/>
        <v>0</v>
      </c>
      <c r="DY1262" s="1138">
        <f t="shared" si="6381"/>
        <v>0</v>
      </c>
      <c r="DZ1262" s="1138">
        <f t="shared" si="6381"/>
        <v>0</v>
      </c>
      <c r="EA1262" s="1138">
        <f t="shared" si="6381"/>
        <v>0</v>
      </c>
      <c r="EB1262" s="1138">
        <f t="shared" si="6381"/>
        <v>0</v>
      </c>
      <c r="EC1262" s="1138">
        <f t="shared" si="6381"/>
        <v>0</v>
      </c>
      <c r="ED1262" s="1138">
        <f t="shared" si="6381"/>
        <v>0</v>
      </c>
      <c r="EE1262" s="1138">
        <f t="shared" si="6381"/>
        <v>0</v>
      </c>
      <c r="EF1262" s="1138">
        <f t="shared" si="6381"/>
        <v>0</v>
      </c>
      <c r="EG1262" s="1138">
        <f t="shared" si="6381"/>
        <v>0</v>
      </c>
      <c r="EH1262" s="1138">
        <f t="shared" si="6381"/>
        <v>0</v>
      </c>
      <c r="EI1262" s="1138">
        <f t="shared" si="6381"/>
        <v>0</v>
      </c>
      <c r="EJ1262" s="1138">
        <f t="shared" si="6381"/>
        <v>0</v>
      </c>
      <c r="EK1262" s="1138">
        <f t="shared" si="6381"/>
        <v>0</v>
      </c>
      <c r="EL1262" s="1138">
        <f t="shared" si="6381"/>
        <v>0</v>
      </c>
      <c r="EM1262" s="1138">
        <f t="shared" si="6381"/>
        <v>0</v>
      </c>
      <c r="EN1262" s="1138">
        <f t="shared" si="6381"/>
        <v>0</v>
      </c>
      <c r="EO1262" s="1138">
        <f t="shared" si="6381"/>
        <v>0</v>
      </c>
      <c r="EP1262" s="1138">
        <f t="shared" si="6381"/>
        <v>0</v>
      </c>
      <c r="EQ1262" s="1138">
        <f t="shared" si="6381"/>
        <v>0</v>
      </c>
      <c r="ER1262" s="1138">
        <f t="shared" si="6381"/>
        <v>0</v>
      </c>
      <c r="ES1262" s="1138">
        <f t="shared" si="6381"/>
        <v>0</v>
      </c>
      <c r="ET1262" s="1138">
        <f t="shared" si="6381"/>
        <v>0</v>
      </c>
      <c r="EU1262" s="1138">
        <f t="shared" si="6381"/>
        <v>0</v>
      </c>
      <c r="EV1262" s="1138">
        <f t="shared" si="6381"/>
        <v>0</v>
      </c>
      <c r="EW1262" s="1138">
        <f t="shared" si="6381"/>
        <v>0</v>
      </c>
      <c r="EX1262" s="1138">
        <f t="shared" si="6381"/>
        <v>0</v>
      </c>
      <c r="EY1262" s="1138">
        <f t="shared" si="6381"/>
        <v>0</v>
      </c>
      <c r="EZ1262" s="1138">
        <f t="shared" si="6381"/>
        <v>0</v>
      </c>
      <c r="FA1262" s="1138">
        <f t="shared" si="6381"/>
        <v>0</v>
      </c>
      <c r="FB1262" s="1138">
        <f t="shared" si="6381"/>
        <v>0</v>
      </c>
      <c r="FC1262" s="1138">
        <f t="shared" si="6381"/>
        <v>0</v>
      </c>
      <c r="FD1262" s="1138">
        <f t="shared" si="6381"/>
        <v>0</v>
      </c>
      <c r="FE1262" s="1138">
        <f t="shared" si="6381"/>
        <v>0</v>
      </c>
      <c r="FF1262" s="1138">
        <f t="shared" si="6381"/>
        <v>0</v>
      </c>
      <c r="FG1262" s="1138">
        <f t="shared" si="6381"/>
        <v>0</v>
      </c>
      <c r="FH1262" s="1138">
        <f t="shared" si="6381"/>
        <v>0</v>
      </c>
      <c r="FI1262" s="1138">
        <f t="shared" si="6381"/>
        <v>0</v>
      </c>
      <c r="FJ1262" s="1138">
        <f t="shared" si="6381"/>
        <v>0</v>
      </c>
      <c r="FK1262" s="1138">
        <f t="shared" si="6381"/>
        <v>0</v>
      </c>
      <c r="FL1262" s="1138">
        <f t="shared" si="6381"/>
        <v>0</v>
      </c>
    </row>
    <row r="1263" spans="1:168" x14ac:dyDescent="0.25">
      <c r="A1263" s="254"/>
      <c r="B1263" s="625" t="s">
        <v>217</v>
      </c>
      <c r="C1263" s="1135"/>
      <c r="D1263" s="1138">
        <f>D1246+D1256+D1262</f>
        <v>0</v>
      </c>
      <c r="E1263" s="1138">
        <f t="shared" ref="E1263:BC1263" si="6382">E1246+E1256+E1262</f>
        <v>0</v>
      </c>
      <c r="F1263" s="1138"/>
      <c r="G1263" s="1138">
        <f t="shared" si="6382"/>
        <v>0</v>
      </c>
      <c r="H1263" s="1138">
        <f t="shared" si="6382"/>
        <v>0</v>
      </c>
      <c r="I1263" s="554"/>
      <c r="J1263" s="1138">
        <f t="shared" si="6382"/>
        <v>0</v>
      </c>
      <c r="K1263" s="1138">
        <f t="shared" si="6382"/>
        <v>0</v>
      </c>
      <c r="L1263" s="1138">
        <f t="shared" si="6382"/>
        <v>0</v>
      </c>
      <c r="M1263" s="1138">
        <f t="shared" si="6382"/>
        <v>0</v>
      </c>
      <c r="N1263" s="1138">
        <f t="shared" si="6382"/>
        <v>0</v>
      </c>
      <c r="O1263" s="1138">
        <f t="shared" si="6382"/>
        <v>0</v>
      </c>
      <c r="P1263" s="1138">
        <f t="shared" si="6382"/>
        <v>0</v>
      </c>
      <c r="Q1263" s="1138">
        <f t="shared" si="6382"/>
        <v>0</v>
      </c>
      <c r="R1263" s="1138">
        <f t="shared" si="6382"/>
        <v>0</v>
      </c>
      <c r="S1263" s="1138">
        <f t="shared" si="6382"/>
        <v>0</v>
      </c>
      <c r="T1263" s="1138">
        <f t="shared" si="6382"/>
        <v>0</v>
      </c>
      <c r="U1263" s="1138">
        <f t="shared" si="6382"/>
        <v>0</v>
      </c>
      <c r="V1263" s="1138">
        <f t="shared" si="6382"/>
        <v>0</v>
      </c>
      <c r="W1263" s="1138">
        <f t="shared" si="6382"/>
        <v>0</v>
      </c>
      <c r="X1263" s="1138">
        <f t="shared" si="6382"/>
        <v>0</v>
      </c>
      <c r="Y1263" s="1138">
        <f t="shared" si="6382"/>
        <v>0</v>
      </c>
      <c r="Z1263" s="1138">
        <f t="shared" si="6382"/>
        <v>0</v>
      </c>
      <c r="AA1263" s="1138">
        <f t="shared" si="6382"/>
        <v>0</v>
      </c>
      <c r="AB1263" s="1138">
        <f t="shared" si="6382"/>
        <v>0</v>
      </c>
      <c r="AC1263" s="1138">
        <f t="shared" si="6382"/>
        <v>0</v>
      </c>
      <c r="AD1263" s="1138">
        <f t="shared" si="6382"/>
        <v>0</v>
      </c>
      <c r="AE1263" s="1138">
        <f t="shared" si="6382"/>
        <v>0</v>
      </c>
      <c r="AF1263" s="1138">
        <f t="shared" si="6382"/>
        <v>0</v>
      </c>
      <c r="AG1263" s="1138">
        <f t="shared" si="6382"/>
        <v>0</v>
      </c>
      <c r="AH1263" s="1138">
        <f t="shared" si="6382"/>
        <v>0</v>
      </c>
      <c r="AI1263" s="1138">
        <f t="shared" si="6382"/>
        <v>0</v>
      </c>
      <c r="AJ1263" s="1138">
        <f t="shared" si="6382"/>
        <v>0</v>
      </c>
      <c r="AK1263" s="1138">
        <f t="shared" si="6382"/>
        <v>0</v>
      </c>
      <c r="AL1263" s="1138">
        <f t="shared" si="6382"/>
        <v>0</v>
      </c>
      <c r="AM1263" s="1138">
        <f t="shared" si="6382"/>
        <v>0</v>
      </c>
      <c r="AN1263" s="1138">
        <f t="shared" si="6382"/>
        <v>0</v>
      </c>
      <c r="AO1263" s="1138">
        <f t="shared" si="6382"/>
        <v>0</v>
      </c>
      <c r="AP1263" s="1138">
        <f t="shared" si="6382"/>
        <v>0</v>
      </c>
      <c r="AQ1263" s="1138">
        <f t="shared" si="6382"/>
        <v>0</v>
      </c>
      <c r="AR1263" s="1138">
        <f t="shared" si="6382"/>
        <v>0</v>
      </c>
      <c r="AS1263" s="1138">
        <f t="shared" si="6382"/>
        <v>0</v>
      </c>
      <c r="AT1263" s="1138">
        <f t="shared" si="6382"/>
        <v>0</v>
      </c>
      <c r="AU1263" s="1138">
        <f t="shared" si="6382"/>
        <v>0</v>
      </c>
      <c r="AV1263" s="1138">
        <f t="shared" si="6382"/>
        <v>0</v>
      </c>
      <c r="AW1263" s="1138">
        <f t="shared" si="6382"/>
        <v>0</v>
      </c>
      <c r="AX1263" s="1138">
        <f t="shared" si="6382"/>
        <v>0</v>
      </c>
      <c r="AY1263" s="1138">
        <f t="shared" si="6382"/>
        <v>0</v>
      </c>
      <c r="AZ1263" s="1138">
        <f t="shared" si="6382"/>
        <v>0</v>
      </c>
      <c r="BA1263" s="1138">
        <f t="shared" si="6382"/>
        <v>0</v>
      </c>
      <c r="BB1263" s="1138">
        <f t="shared" si="6382"/>
        <v>0</v>
      </c>
      <c r="BC1263" s="1138">
        <f t="shared" si="6382"/>
        <v>0</v>
      </c>
      <c r="BD1263" s="1138">
        <f t="shared" ref="BD1263:DO1263" si="6383">BD1246+BD1256+BD1262</f>
        <v>0</v>
      </c>
      <c r="BE1263" s="1138">
        <f t="shared" si="6383"/>
        <v>0</v>
      </c>
      <c r="BF1263" s="1138">
        <f t="shared" si="6383"/>
        <v>0</v>
      </c>
      <c r="BG1263" s="1138">
        <f t="shared" si="6383"/>
        <v>0</v>
      </c>
      <c r="BH1263" s="1138">
        <f t="shared" si="6383"/>
        <v>0</v>
      </c>
      <c r="BI1263" s="1138">
        <f t="shared" si="6383"/>
        <v>0</v>
      </c>
      <c r="BJ1263" s="1138">
        <f t="shared" si="6383"/>
        <v>0</v>
      </c>
      <c r="BK1263" s="1138">
        <f t="shared" si="6383"/>
        <v>0</v>
      </c>
      <c r="BL1263" s="1138">
        <f t="shared" si="6383"/>
        <v>0</v>
      </c>
      <c r="BM1263" s="1138">
        <f t="shared" si="6383"/>
        <v>0</v>
      </c>
      <c r="BN1263" s="1138">
        <f t="shared" si="6383"/>
        <v>0</v>
      </c>
      <c r="BO1263" s="1138">
        <f t="shared" si="6383"/>
        <v>0</v>
      </c>
      <c r="BP1263" s="1138">
        <f t="shared" si="6383"/>
        <v>0</v>
      </c>
      <c r="BQ1263" s="1138">
        <f t="shared" si="6383"/>
        <v>0</v>
      </c>
      <c r="BR1263" s="1138">
        <f t="shared" si="6383"/>
        <v>0</v>
      </c>
      <c r="BS1263" s="1138">
        <f t="shared" si="6383"/>
        <v>0</v>
      </c>
      <c r="BT1263" s="1138">
        <f t="shared" si="6383"/>
        <v>0</v>
      </c>
      <c r="BU1263" s="1138">
        <f t="shared" si="6383"/>
        <v>0</v>
      </c>
      <c r="BV1263" s="1138">
        <f t="shared" si="6383"/>
        <v>0</v>
      </c>
      <c r="BW1263" s="1138">
        <f t="shared" si="6383"/>
        <v>0</v>
      </c>
      <c r="BX1263" s="1138">
        <f t="shared" si="6383"/>
        <v>0</v>
      </c>
      <c r="BY1263" s="1138">
        <f t="shared" si="6383"/>
        <v>0</v>
      </c>
      <c r="BZ1263" s="1138">
        <f t="shared" si="6383"/>
        <v>0</v>
      </c>
      <c r="CA1263" s="1138">
        <f t="shared" si="6383"/>
        <v>0</v>
      </c>
      <c r="CB1263" s="1138">
        <f t="shared" si="6383"/>
        <v>0</v>
      </c>
      <c r="CC1263" s="1138">
        <f t="shared" si="6383"/>
        <v>0</v>
      </c>
      <c r="CD1263" s="1138">
        <f t="shared" si="6383"/>
        <v>0</v>
      </c>
      <c r="CE1263" s="1138">
        <f t="shared" si="6383"/>
        <v>0</v>
      </c>
      <c r="CF1263" s="1138">
        <f t="shared" si="6383"/>
        <v>0</v>
      </c>
      <c r="CG1263" s="1138">
        <f t="shared" si="6383"/>
        <v>0</v>
      </c>
      <c r="CH1263" s="1138">
        <f t="shared" si="6383"/>
        <v>0</v>
      </c>
      <c r="CI1263" s="1138">
        <f t="shared" si="6383"/>
        <v>0</v>
      </c>
      <c r="CJ1263" s="1138">
        <f t="shared" si="6383"/>
        <v>0</v>
      </c>
      <c r="CK1263" s="1138">
        <f t="shared" si="6383"/>
        <v>0</v>
      </c>
      <c r="CL1263" s="1138">
        <f t="shared" si="6383"/>
        <v>0</v>
      </c>
      <c r="CM1263" s="1138">
        <f t="shared" si="6383"/>
        <v>0</v>
      </c>
      <c r="CN1263" s="1138">
        <f t="shared" si="6383"/>
        <v>0</v>
      </c>
      <c r="CO1263" s="1138">
        <f t="shared" si="6383"/>
        <v>0</v>
      </c>
      <c r="CP1263" s="1138">
        <f t="shared" si="6383"/>
        <v>0</v>
      </c>
      <c r="CQ1263" s="1138">
        <f t="shared" si="6383"/>
        <v>0</v>
      </c>
      <c r="CR1263" s="1138">
        <f t="shared" si="6383"/>
        <v>0</v>
      </c>
      <c r="CS1263" s="1138">
        <f t="shared" si="6383"/>
        <v>0</v>
      </c>
      <c r="CT1263" s="1138">
        <f t="shared" si="6383"/>
        <v>0</v>
      </c>
      <c r="CU1263" s="1138">
        <f t="shared" si="6383"/>
        <v>0</v>
      </c>
      <c r="CV1263" s="1138">
        <f t="shared" si="6383"/>
        <v>0</v>
      </c>
      <c r="CW1263" s="1138">
        <f t="shared" si="6383"/>
        <v>0</v>
      </c>
      <c r="CX1263" s="1138">
        <f t="shared" si="6383"/>
        <v>0</v>
      </c>
      <c r="CY1263" s="1138">
        <f t="shared" si="6383"/>
        <v>0</v>
      </c>
      <c r="CZ1263" s="1138">
        <f t="shared" si="6383"/>
        <v>0</v>
      </c>
      <c r="DA1263" s="1138">
        <f t="shared" si="6383"/>
        <v>0</v>
      </c>
      <c r="DB1263" s="1138">
        <f t="shared" si="6383"/>
        <v>0</v>
      </c>
      <c r="DC1263" s="1138">
        <f t="shared" si="6383"/>
        <v>0</v>
      </c>
      <c r="DD1263" s="1138">
        <f t="shared" si="6383"/>
        <v>0</v>
      </c>
      <c r="DE1263" s="1138">
        <f t="shared" si="6383"/>
        <v>0</v>
      </c>
      <c r="DF1263" s="1138">
        <f t="shared" si="6383"/>
        <v>0</v>
      </c>
      <c r="DG1263" s="1138">
        <f t="shared" si="6383"/>
        <v>0</v>
      </c>
      <c r="DH1263" s="1138">
        <f t="shared" si="6383"/>
        <v>0</v>
      </c>
      <c r="DI1263" s="1138">
        <f t="shared" si="6383"/>
        <v>0</v>
      </c>
      <c r="DJ1263" s="1138">
        <f t="shared" si="6383"/>
        <v>0</v>
      </c>
      <c r="DK1263" s="1138">
        <f t="shared" si="6383"/>
        <v>0</v>
      </c>
      <c r="DL1263" s="1138">
        <f t="shared" si="6383"/>
        <v>0</v>
      </c>
      <c r="DM1263" s="1138">
        <f t="shared" si="6383"/>
        <v>0</v>
      </c>
      <c r="DN1263" s="1138">
        <f t="shared" si="6383"/>
        <v>0</v>
      </c>
      <c r="DO1263" s="1138">
        <f t="shared" si="6383"/>
        <v>0</v>
      </c>
      <c r="DP1263" s="1138">
        <f t="shared" ref="DP1263:FL1263" si="6384">DP1246+DP1256+DP1262</f>
        <v>0</v>
      </c>
      <c r="DQ1263" s="1138">
        <f t="shared" si="6384"/>
        <v>0</v>
      </c>
      <c r="DR1263" s="1138">
        <f t="shared" si="6384"/>
        <v>0</v>
      </c>
      <c r="DS1263" s="1138">
        <f t="shared" si="6384"/>
        <v>0</v>
      </c>
      <c r="DT1263" s="1138">
        <f t="shared" si="6384"/>
        <v>0</v>
      </c>
      <c r="DU1263" s="1138">
        <f t="shared" si="6384"/>
        <v>0</v>
      </c>
      <c r="DV1263" s="1138">
        <f t="shared" si="6384"/>
        <v>0</v>
      </c>
      <c r="DW1263" s="1138">
        <f t="shared" si="6384"/>
        <v>0</v>
      </c>
      <c r="DX1263" s="1138">
        <f t="shared" si="6384"/>
        <v>0</v>
      </c>
      <c r="DY1263" s="1138">
        <f t="shared" si="6384"/>
        <v>0</v>
      </c>
      <c r="DZ1263" s="1138">
        <f t="shared" si="6384"/>
        <v>0</v>
      </c>
      <c r="EA1263" s="1138">
        <f t="shared" si="6384"/>
        <v>0</v>
      </c>
      <c r="EB1263" s="1138">
        <f t="shared" si="6384"/>
        <v>0</v>
      </c>
      <c r="EC1263" s="1138">
        <f t="shared" si="6384"/>
        <v>0</v>
      </c>
      <c r="ED1263" s="1138">
        <f t="shared" si="6384"/>
        <v>0</v>
      </c>
      <c r="EE1263" s="1138">
        <f t="shared" si="6384"/>
        <v>0</v>
      </c>
      <c r="EF1263" s="1138">
        <f t="shared" si="6384"/>
        <v>0</v>
      </c>
      <c r="EG1263" s="1138">
        <f t="shared" si="6384"/>
        <v>0</v>
      </c>
      <c r="EH1263" s="1138">
        <f t="shared" si="6384"/>
        <v>0</v>
      </c>
      <c r="EI1263" s="1138">
        <f t="shared" si="6384"/>
        <v>0</v>
      </c>
      <c r="EJ1263" s="1138">
        <f t="shared" si="6384"/>
        <v>0</v>
      </c>
      <c r="EK1263" s="1138">
        <f t="shared" si="6384"/>
        <v>0</v>
      </c>
      <c r="EL1263" s="1138">
        <f t="shared" si="6384"/>
        <v>0</v>
      </c>
      <c r="EM1263" s="1138">
        <f t="shared" si="6384"/>
        <v>0</v>
      </c>
      <c r="EN1263" s="1138">
        <f t="shared" si="6384"/>
        <v>0</v>
      </c>
      <c r="EO1263" s="1138">
        <f t="shared" si="6384"/>
        <v>0</v>
      </c>
      <c r="EP1263" s="1138">
        <f t="shared" si="6384"/>
        <v>0</v>
      </c>
      <c r="EQ1263" s="1138">
        <f t="shared" si="6384"/>
        <v>0</v>
      </c>
      <c r="ER1263" s="1138">
        <f t="shared" si="6384"/>
        <v>0</v>
      </c>
      <c r="ES1263" s="1138">
        <f t="shared" si="6384"/>
        <v>0</v>
      </c>
      <c r="ET1263" s="1138">
        <f t="shared" si="6384"/>
        <v>0</v>
      </c>
      <c r="EU1263" s="1138">
        <f t="shared" si="6384"/>
        <v>0</v>
      </c>
      <c r="EV1263" s="1138">
        <f t="shared" si="6384"/>
        <v>0</v>
      </c>
      <c r="EW1263" s="1138">
        <f t="shared" si="6384"/>
        <v>0</v>
      </c>
      <c r="EX1263" s="1138">
        <f t="shared" si="6384"/>
        <v>0</v>
      </c>
      <c r="EY1263" s="1138">
        <f t="shared" si="6384"/>
        <v>0</v>
      </c>
      <c r="EZ1263" s="1138">
        <f t="shared" si="6384"/>
        <v>0</v>
      </c>
      <c r="FA1263" s="1138">
        <f t="shared" si="6384"/>
        <v>0</v>
      </c>
      <c r="FB1263" s="1138">
        <f t="shared" si="6384"/>
        <v>0</v>
      </c>
      <c r="FC1263" s="1138">
        <f t="shared" si="6384"/>
        <v>0</v>
      </c>
      <c r="FD1263" s="1138">
        <f t="shared" si="6384"/>
        <v>0</v>
      </c>
      <c r="FE1263" s="1138">
        <f t="shared" si="6384"/>
        <v>0</v>
      </c>
      <c r="FF1263" s="1138">
        <f t="shared" si="6384"/>
        <v>0</v>
      </c>
      <c r="FG1263" s="1138">
        <f t="shared" si="6384"/>
        <v>0</v>
      </c>
      <c r="FH1263" s="1138">
        <f t="shared" si="6384"/>
        <v>0</v>
      </c>
      <c r="FI1263" s="1138">
        <f t="shared" si="6384"/>
        <v>0</v>
      </c>
      <c r="FJ1263" s="1138">
        <f t="shared" si="6384"/>
        <v>0</v>
      </c>
      <c r="FK1263" s="1138">
        <f t="shared" si="6384"/>
        <v>0</v>
      </c>
      <c r="FL1263" s="1138">
        <f t="shared" si="6384"/>
        <v>0</v>
      </c>
    </row>
    <row r="1264" spans="1:168" x14ac:dyDescent="0.25">
      <c r="A1264" s="549"/>
      <c r="B1264" s="626" t="s">
        <v>843</v>
      </c>
      <c r="C1264" s="1136"/>
      <c r="D1264" s="1139">
        <f>D994+D1022+D1050+D1078+D1106+D1134+D1162+D1190+D1218+D1246</f>
        <v>113.3</v>
      </c>
      <c r="E1264" s="1139">
        <f t="shared" ref="E1264:BD1264" si="6385">E994+E1022+E1050+E1078+E1106+E1134+E1162+E1190+E1218+E1246</f>
        <v>360.65</v>
      </c>
      <c r="F1264" s="1139"/>
      <c r="G1264" s="1139">
        <f t="shared" si="6385"/>
        <v>0</v>
      </c>
      <c r="H1264" s="1139">
        <f t="shared" si="6385"/>
        <v>0</v>
      </c>
      <c r="I1264" s="666"/>
      <c r="J1264" s="1139">
        <f t="shared" si="6385"/>
        <v>0</v>
      </c>
      <c r="K1264" s="1139">
        <f t="shared" si="6385"/>
        <v>0</v>
      </c>
      <c r="L1264" s="1139">
        <f t="shared" si="6385"/>
        <v>0</v>
      </c>
      <c r="M1264" s="1139">
        <f t="shared" si="6385"/>
        <v>0</v>
      </c>
      <c r="N1264" s="1139">
        <f t="shared" si="6385"/>
        <v>0</v>
      </c>
      <c r="O1264" s="1139">
        <f t="shared" si="6385"/>
        <v>0</v>
      </c>
      <c r="P1264" s="1139">
        <f t="shared" si="6385"/>
        <v>0</v>
      </c>
      <c r="Q1264" s="1139">
        <f t="shared" si="6385"/>
        <v>0</v>
      </c>
      <c r="R1264" s="1139">
        <f t="shared" si="6385"/>
        <v>0</v>
      </c>
      <c r="S1264" s="1139">
        <f t="shared" si="6385"/>
        <v>0</v>
      </c>
      <c r="T1264" s="1139">
        <f t="shared" si="6385"/>
        <v>0</v>
      </c>
      <c r="U1264" s="1139">
        <f t="shared" si="6385"/>
        <v>50.17</v>
      </c>
      <c r="V1264" s="1139">
        <f t="shared" si="6385"/>
        <v>87.33</v>
      </c>
      <c r="W1264" s="1139">
        <f t="shared" si="6385"/>
        <v>49.6</v>
      </c>
      <c r="X1264" s="1139">
        <f t="shared" si="6385"/>
        <v>32.340000000000003</v>
      </c>
      <c r="Y1264" s="1139">
        <f t="shared" si="6385"/>
        <v>1.17</v>
      </c>
      <c r="Z1264" s="1139">
        <f t="shared" si="6385"/>
        <v>7.5</v>
      </c>
      <c r="AA1264" s="1139">
        <f t="shared" si="6385"/>
        <v>0</v>
      </c>
      <c r="AB1264" s="1139">
        <f t="shared" si="6385"/>
        <v>0</v>
      </c>
      <c r="AC1264" s="1139">
        <f t="shared" si="6385"/>
        <v>0</v>
      </c>
      <c r="AD1264" s="1139">
        <f t="shared" si="6385"/>
        <v>0</v>
      </c>
      <c r="AE1264" s="1139">
        <f t="shared" si="6385"/>
        <v>16.809999999999999</v>
      </c>
      <c r="AF1264" s="1139">
        <f t="shared" si="6385"/>
        <v>0</v>
      </c>
      <c r="AG1264" s="1139">
        <f t="shared" si="6385"/>
        <v>0</v>
      </c>
      <c r="AH1264" s="1139">
        <f t="shared" si="6385"/>
        <v>0</v>
      </c>
      <c r="AI1264" s="1139">
        <f t="shared" si="6385"/>
        <v>0</v>
      </c>
      <c r="AJ1264" s="1139">
        <f t="shared" si="6385"/>
        <v>0</v>
      </c>
      <c r="AK1264" s="1139">
        <f t="shared" si="6385"/>
        <v>0</v>
      </c>
      <c r="AL1264" s="1139">
        <f t="shared" si="6385"/>
        <v>0.6</v>
      </c>
      <c r="AM1264" s="1139">
        <f t="shared" si="6385"/>
        <v>0</v>
      </c>
      <c r="AN1264" s="1139">
        <f t="shared" si="6385"/>
        <v>0</v>
      </c>
      <c r="AO1264" s="1139">
        <f t="shared" si="6385"/>
        <v>0</v>
      </c>
      <c r="AP1264" s="1139">
        <f t="shared" si="6385"/>
        <v>0</v>
      </c>
      <c r="AQ1264" s="1139">
        <f t="shared" si="6385"/>
        <v>0</v>
      </c>
      <c r="AR1264" s="1139">
        <f t="shared" si="6385"/>
        <v>0</v>
      </c>
      <c r="AS1264" s="1139">
        <f t="shared" si="6385"/>
        <v>0</v>
      </c>
      <c r="AT1264" s="1139">
        <f t="shared" si="6385"/>
        <v>0</v>
      </c>
      <c r="AU1264" s="1139">
        <f t="shared" si="6385"/>
        <v>1.2</v>
      </c>
      <c r="AV1264" s="1139">
        <f t="shared" si="6385"/>
        <v>0</v>
      </c>
      <c r="AW1264" s="1139">
        <f t="shared" si="6385"/>
        <v>0</v>
      </c>
      <c r="AX1264" s="1139">
        <f t="shared" si="6385"/>
        <v>0</v>
      </c>
      <c r="AY1264" s="1139">
        <f t="shared" si="6385"/>
        <v>0</v>
      </c>
      <c r="AZ1264" s="1139">
        <f t="shared" si="6385"/>
        <v>0</v>
      </c>
      <c r="BA1264" s="1139">
        <f t="shared" si="6385"/>
        <v>0</v>
      </c>
      <c r="BB1264" s="1139">
        <f t="shared" si="6385"/>
        <v>0</v>
      </c>
      <c r="BC1264" s="1139">
        <f t="shared" si="6385"/>
        <v>0</v>
      </c>
      <c r="BD1264" s="1139">
        <f t="shared" si="6385"/>
        <v>0</v>
      </c>
      <c r="BE1264" s="1139">
        <f t="shared" ref="BE1264:DP1264" si="6386">BE994+BE1022+BE1050+BE1078+BE1106+BE1134+BE1162+BE1190+BE1218+BE1246</f>
        <v>0</v>
      </c>
      <c r="BF1264" s="1139">
        <f t="shared" si="6386"/>
        <v>0</v>
      </c>
      <c r="BG1264" s="1139">
        <f t="shared" si="6386"/>
        <v>0</v>
      </c>
      <c r="BH1264" s="1139">
        <f t="shared" si="6386"/>
        <v>0</v>
      </c>
      <c r="BI1264" s="1139">
        <f t="shared" si="6386"/>
        <v>0</v>
      </c>
      <c r="BJ1264" s="1139">
        <f t="shared" si="6386"/>
        <v>0</v>
      </c>
      <c r="BK1264" s="1139">
        <f t="shared" si="6386"/>
        <v>0</v>
      </c>
      <c r="BL1264" s="1139">
        <f t="shared" si="6386"/>
        <v>0</v>
      </c>
      <c r="BM1264" s="1139">
        <f t="shared" si="6386"/>
        <v>0</v>
      </c>
      <c r="BN1264" s="1139">
        <f t="shared" si="6386"/>
        <v>0</v>
      </c>
      <c r="BO1264" s="1139">
        <f t="shared" si="6386"/>
        <v>0</v>
      </c>
      <c r="BP1264" s="1139">
        <f t="shared" si="6386"/>
        <v>0</v>
      </c>
      <c r="BQ1264" s="1139">
        <f t="shared" si="6386"/>
        <v>0</v>
      </c>
      <c r="BR1264" s="1139">
        <f t="shared" si="6386"/>
        <v>36.4</v>
      </c>
      <c r="BS1264" s="1139">
        <f t="shared" si="6386"/>
        <v>0</v>
      </c>
      <c r="BT1264" s="1139">
        <f t="shared" si="6386"/>
        <v>4</v>
      </c>
      <c r="BU1264" s="1139">
        <f t="shared" si="6386"/>
        <v>1.64</v>
      </c>
      <c r="BV1264" s="1139">
        <f t="shared" si="6386"/>
        <v>0</v>
      </c>
      <c r="BW1264" s="1139">
        <f t="shared" si="6386"/>
        <v>0</v>
      </c>
      <c r="BX1264" s="1139">
        <f t="shared" si="6386"/>
        <v>0</v>
      </c>
      <c r="BY1264" s="1139">
        <f t="shared" si="6386"/>
        <v>0</v>
      </c>
      <c r="BZ1264" s="1139">
        <f t="shared" si="6386"/>
        <v>0</v>
      </c>
      <c r="CA1264" s="1139">
        <f t="shared" si="6386"/>
        <v>3.24</v>
      </c>
      <c r="CB1264" s="1139">
        <f t="shared" si="6386"/>
        <v>1.86</v>
      </c>
      <c r="CC1264" s="1139">
        <f t="shared" si="6386"/>
        <v>0</v>
      </c>
      <c r="CD1264" s="1139">
        <f t="shared" si="6386"/>
        <v>0</v>
      </c>
      <c r="CE1264" s="1139">
        <f t="shared" si="6386"/>
        <v>0</v>
      </c>
      <c r="CF1264" s="1139">
        <f t="shared" si="6386"/>
        <v>0</v>
      </c>
      <c r="CG1264" s="1139">
        <f t="shared" si="6386"/>
        <v>1</v>
      </c>
      <c r="CH1264" s="1139">
        <f t="shared" si="6386"/>
        <v>0</v>
      </c>
      <c r="CI1264" s="1139">
        <f t="shared" si="6386"/>
        <v>0.1</v>
      </c>
      <c r="CJ1264" s="1139">
        <f t="shared" si="6386"/>
        <v>0</v>
      </c>
      <c r="CK1264" s="1139">
        <f t="shared" si="6386"/>
        <v>0</v>
      </c>
      <c r="CL1264" s="1139">
        <f t="shared" si="6386"/>
        <v>0</v>
      </c>
      <c r="CM1264" s="1139">
        <f t="shared" si="6386"/>
        <v>4.8</v>
      </c>
      <c r="CN1264" s="1139">
        <f t="shared" si="6386"/>
        <v>0</v>
      </c>
      <c r="CO1264" s="1139">
        <f t="shared" si="6386"/>
        <v>0</v>
      </c>
      <c r="CP1264" s="1139">
        <f t="shared" si="6386"/>
        <v>0</v>
      </c>
      <c r="CQ1264" s="1139">
        <f t="shared" si="6386"/>
        <v>0</v>
      </c>
      <c r="CR1264" s="1139">
        <f t="shared" si="6386"/>
        <v>0</v>
      </c>
      <c r="CS1264" s="1139">
        <f t="shared" si="6386"/>
        <v>0</v>
      </c>
      <c r="CT1264" s="1139">
        <f t="shared" si="6386"/>
        <v>0</v>
      </c>
      <c r="CU1264" s="1139">
        <f t="shared" si="6386"/>
        <v>0</v>
      </c>
      <c r="CV1264" s="1139">
        <f t="shared" si="6386"/>
        <v>0</v>
      </c>
      <c r="CW1264" s="1139">
        <f t="shared" si="6386"/>
        <v>0</v>
      </c>
      <c r="CX1264" s="1139">
        <f t="shared" si="6386"/>
        <v>0</v>
      </c>
      <c r="CY1264" s="1139">
        <f t="shared" si="6386"/>
        <v>0</v>
      </c>
      <c r="CZ1264" s="1139">
        <f t="shared" si="6386"/>
        <v>12.81</v>
      </c>
      <c r="DA1264" s="1139">
        <f t="shared" si="6386"/>
        <v>0</v>
      </c>
      <c r="DB1264" s="1139">
        <f t="shared" si="6386"/>
        <v>0</v>
      </c>
      <c r="DC1264" s="1139">
        <f t="shared" si="6386"/>
        <v>0.09</v>
      </c>
      <c r="DD1264" s="1139">
        <f t="shared" si="6386"/>
        <v>0.59</v>
      </c>
      <c r="DE1264" s="1139">
        <f t="shared" si="6386"/>
        <v>0</v>
      </c>
      <c r="DF1264" s="1139">
        <f t="shared" si="6386"/>
        <v>0</v>
      </c>
      <c r="DG1264" s="1139">
        <f t="shared" si="6386"/>
        <v>0</v>
      </c>
      <c r="DH1264" s="1139">
        <f t="shared" si="6386"/>
        <v>0</v>
      </c>
      <c r="DI1264" s="1139">
        <f t="shared" si="6386"/>
        <v>0</v>
      </c>
      <c r="DJ1264" s="1139">
        <f t="shared" si="6386"/>
        <v>0</v>
      </c>
      <c r="DK1264" s="1139">
        <f t="shared" si="6386"/>
        <v>0</v>
      </c>
      <c r="DL1264" s="1139">
        <f t="shared" si="6386"/>
        <v>0</v>
      </c>
      <c r="DM1264" s="1139">
        <f t="shared" si="6386"/>
        <v>0</v>
      </c>
      <c r="DN1264" s="1139">
        <f t="shared" si="6386"/>
        <v>0</v>
      </c>
      <c r="DO1264" s="1139">
        <f t="shared" si="6386"/>
        <v>0</v>
      </c>
      <c r="DP1264" s="1139">
        <f t="shared" si="6386"/>
        <v>0</v>
      </c>
      <c r="DQ1264" s="1139">
        <f t="shared" ref="DQ1264:FL1264" si="6387">DQ994+DQ1022+DQ1050+DQ1078+DQ1106+DQ1134+DQ1162+DQ1190+DQ1218+DQ1246</f>
        <v>0</v>
      </c>
      <c r="DR1264" s="1139">
        <f t="shared" si="6387"/>
        <v>3.15</v>
      </c>
      <c r="DS1264" s="1139">
        <f t="shared" si="6387"/>
        <v>0</v>
      </c>
      <c r="DT1264" s="1139">
        <f t="shared" si="6387"/>
        <v>0</v>
      </c>
      <c r="DU1264" s="1139">
        <f t="shared" si="6387"/>
        <v>3.15</v>
      </c>
      <c r="DV1264" s="1139">
        <f t="shared" si="6387"/>
        <v>0</v>
      </c>
      <c r="DW1264" s="1139">
        <f t="shared" si="6387"/>
        <v>0</v>
      </c>
      <c r="DX1264" s="1139">
        <f t="shared" si="6387"/>
        <v>0</v>
      </c>
      <c r="DY1264" s="1139">
        <f t="shared" si="6387"/>
        <v>0</v>
      </c>
      <c r="DZ1264" s="1139">
        <f t="shared" si="6387"/>
        <v>0</v>
      </c>
      <c r="EA1264" s="1139">
        <f t="shared" si="6387"/>
        <v>0</v>
      </c>
      <c r="EB1264" s="1139">
        <f t="shared" si="6387"/>
        <v>20.3</v>
      </c>
      <c r="EC1264" s="1139">
        <f t="shared" si="6387"/>
        <v>0</v>
      </c>
      <c r="ED1264" s="1139">
        <f t="shared" si="6387"/>
        <v>0</v>
      </c>
      <c r="EE1264" s="1139">
        <f t="shared" si="6387"/>
        <v>0</v>
      </c>
      <c r="EF1264" s="1139">
        <f t="shared" si="6387"/>
        <v>0</v>
      </c>
      <c r="EG1264" s="1139">
        <f t="shared" si="6387"/>
        <v>0</v>
      </c>
      <c r="EH1264" s="1139">
        <f t="shared" si="6387"/>
        <v>0</v>
      </c>
      <c r="EI1264" s="1139">
        <f t="shared" si="6387"/>
        <v>0</v>
      </c>
      <c r="EJ1264" s="1139">
        <f t="shared" si="6387"/>
        <v>0</v>
      </c>
      <c r="EK1264" s="1139">
        <f t="shared" si="6387"/>
        <v>0</v>
      </c>
      <c r="EL1264" s="1139">
        <f t="shared" si="6387"/>
        <v>0</v>
      </c>
      <c r="EM1264" s="1139">
        <f t="shared" si="6387"/>
        <v>0</v>
      </c>
      <c r="EN1264" s="1139">
        <f t="shared" si="6387"/>
        <v>0</v>
      </c>
      <c r="EO1264" s="1139">
        <f t="shared" si="6387"/>
        <v>0</v>
      </c>
      <c r="EP1264" s="1139">
        <f t="shared" si="6387"/>
        <v>0</v>
      </c>
      <c r="EQ1264" s="1139">
        <f t="shared" si="6387"/>
        <v>0</v>
      </c>
      <c r="ER1264" s="1139">
        <f t="shared" si="6387"/>
        <v>0</v>
      </c>
      <c r="ES1264" s="1139">
        <f t="shared" si="6387"/>
        <v>0</v>
      </c>
      <c r="ET1264" s="1139">
        <f t="shared" si="6387"/>
        <v>0</v>
      </c>
      <c r="EU1264" s="1139">
        <f t="shared" si="6387"/>
        <v>0</v>
      </c>
      <c r="EV1264" s="1139">
        <f t="shared" si="6387"/>
        <v>7.8</v>
      </c>
      <c r="EW1264" s="1139">
        <f t="shared" si="6387"/>
        <v>13</v>
      </c>
      <c r="EX1264" s="1139">
        <f t="shared" si="6387"/>
        <v>0</v>
      </c>
      <c r="EY1264" s="1139">
        <f t="shared" si="6387"/>
        <v>360.65</v>
      </c>
      <c r="EZ1264" s="1139">
        <f t="shared" si="6387"/>
        <v>0</v>
      </c>
      <c r="FA1264" s="1139">
        <f t="shared" si="6387"/>
        <v>0</v>
      </c>
      <c r="FB1264" s="1139">
        <f t="shared" si="6387"/>
        <v>0</v>
      </c>
      <c r="FC1264" s="1139">
        <f t="shared" si="6387"/>
        <v>0</v>
      </c>
      <c r="FD1264" s="1139">
        <f t="shared" si="6387"/>
        <v>0</v>
      </c>
      <c r="FE1264" s="1139">
        <f t="shared" si="6387"/>
        <v>0</v>
      </c>
      <c r="FF1264" s="1139">
        <f t="shared" si="6387"/>
        <v>0</v>
      </c>
      <c r="FG1264" s="1139">
        <f t="shared" si="6387"/>
        <v>0</v>
      </c>
      <c r="FH1264" s="1139">
        <f t="shared" si="6387"/>
        <v>0</v>
      </c>
      <c r="FI1264" s="1139">
        <f t="shared" si="6387"/>
        <v>0</v>
      </c>
      <c r="FJ1264" s="1139">
        <f t="shared" si="6387"/>
        <v>0</v>
      </c>
      <c r="FK1264" s="1139">
        <f t="shared" si="6387"/>
        <v>0</v>
      </c>
      <c r="FL1264" s="1139">
        <f t="shared" si="6387"/>
        <v>0</v>
      </c>
    </row>
    <row r="1265" spans="1:168" x14ac:dyDescent="0.25">
      <c r="A1265" s="549"/>
      <c r="B1265" s="626" t="s">
        <v>844</v>
      </c>
      <c r="C1265" s="1136"/>
      <c r="D1265" s="1139">
        <f>D1004+D1032+D1060+D1088+D1116+D1144+D1172+D1200+D1228+D1256</f>
        <v>924.62</v>
      </c>
      <c r="E1265" s="1139">
        <f t="shared" ref="E1265:BD1265" si="6388">E1004+E1032+E1060+E1088+E1116+E1144+E1172+E1200+E1228+E1256</f>
        <v>829.49</v>
      </c>
      <c r="F1265" s="1139"/>
      <c r="G1265" s="1139">
        <f t="shared" si="6388"/>
        <v>0</v>
      </c>
      <c r="H1265" s="1139">
        <f t="shared" si="6388"/>
        <v>0</v>
      </c>
      <c r="I1265" s="666"/>
      <c r="J1265" s="1139">
        <f t="shared" si="6388"/>
        <v>170.24</v>
      </c>
      <c r="K1265" s="1139">
        <f t="shared" si="6388"/>
        <v>14.67</v>
      </c>
      <c r="L1265" s="1139">
        <f t="shared" si="6388"/>
        <v>0</v>
      </c>
      <c r="M1265" s="1139">
        <f t="shared" si="6388"/>
        <v>54.4</v>
      </c>
      <c r="N1265" s="1139">
        <f t="shared" si="6388"/>
        <v>0</v>
      </c>
      <c r="O1265" s="1139">
        <f t="shared" si="6388"/>
        <v>0</v>
      </c>
      <c r="P1265" s="1139">
        <f t="shared" si="6388"/>
        <v>0.6</v>
      </c>
      <c r="Q1265" s="1139">
        <f t="shared" si="6388"/>
        <v>0</v>
      </c>
      <c r="R1265" s="1139">
        <f t="shared" si="6388"/>
        <v>0</v>
      </c>
      <c r="S1265" s="1139">
        <f t="shared" si="6388"/>
        <v>52.52</v>
      </c>
      <c r="T1265" s="1139">
        <f t="shared" si="6388"/>
        <v>0</v>
      </c>
      <c r="U1265" s="1139">
        <f t="shared" si="6388"/>
        <v>7.96</v>
      </c>
      <c r="V1265" s="1139">
        <f t="shared" si="6388"/>
        <v>26.43</v>
      </c>
      <c r="W1265" s="1139">
        <f t="shared" si="6388"/>
        <v>0</v>
      </c>
      <c r="X1265" s="1139">
        <f t="shared" si="6388"/>
        <v>0</v>
      </c>
      <c r="Y1265" s="1139">
        <f t="shared" si="6388"/>
        <v>23.58</v>
      </c>
      <c r="Z1265" s="1139">
        <f t="shared" si="6388"/>
        <v>0</v>
      </c>
      <c r="AA1265" s="1139">
        <f t="shared" si="6388"/>
        <v>0</v>
      </c>
      <c r="AB1265" s="1139">
        <f t="shared" si="6388"/>
        <v>0</v>
      </c>
      <c r="AC1265" s="1139">
        <f t="shared" si="6388"/>
        <v>0</v>
      </c>
      <c r="AD1265" s="1139">
        <f t="shared" si="6388"/>
        <v>0</v>
      </c>
      <c r="AE1265" s="1139">
        <f t="shared" si="6388"/>
        <v>1.37</v>
      </c>
      <c r="AF1265" s="1139">
        <f t="shared" si="6388"/>
        <v>8.4499999999999993</v>
      </c>
      <c r="AG1265" s="1139">
        <f t="shared" si="6388"/>
        <v>0</v>
      </c>
      <c r="AH1265" s="1139">
        <f t="shared" si="6388"/>
        <v>51.44</v>
      </c>
      <c r="AI1265" s="1139">
        <f t="shared" si="6388"/>
        <v>0</v>
      </c>
      <c r="AJ1265" s="1139">
        <f t="shared" si="6388"/>
        <v>0</v>
      </c>
      <c r="AK1265" s="1139">
        <f t="shared" si="6388"/>
        <v>9.51</v>
      </c>
      <c r="AL1265" s="1139">
        <f t="shared" si="6388"/>
        <v>10.34</v>
      </c>
      <c r="AM1265" s="1139">
        <f t="shared" si="6388"/>
        <v>0.2</v>
      </c>
      <c r="AN1265" s="1139">
        <f t="shared" si="6388"/>
        <v>19.27</v>
      </c>
      <c r="AO1265" s="1139">
        <f t="shared" si="6388"/>
        <v>8.08</v>
      </c>
      <c r="AP1265" s="1139">
        <f t="shared" si="6388"/>
        <v>0</v>
      </c>
      <c r="AQ1265" s="1139">
        <f t="shared" si="6388"/>
        <v>10.25</v>
      </c>
      <c r="AR1265" s="1139">
        <f t="shared" si="6388"/>
        <v>0</v>
      </c>
      <c r="AS1265" s="1139">
        <f t="shared" si="6388"/>
        <v>0</v>
      </c>
      <c r="AT1265" s="1139">
        <f t="shared" si="6388"/>
        <v>5.04</v>
      </c>
      <c r="AU1265" s="1139">
        <f t="shared" si="6388"/>
        <v>5.49</v>
      </c>
      <c r="AV1265" s="1139">
        <f t="shared" si="6388"/>
        <v>0</v>
      </c>
      <c r="AW1265" s="1139">
        <f t="shared" si="6388"/>
        <v>0</v>
      </c>
      <c r="AX1265" s="1139">
        <f t="shared" si="6388"/>
        <v>5.39</v>
      </c>
      <c r="AY1265" s="1139">
        <f t="shared" si="6388"/>
        <v>0</v>
      </c>
      <c r="AZ1265" s="1139">
        <f t="shared" si="6388"/>
        <v>0</v>
      </c>
      <c r="BA1265" s="1139">
        <f t="shared" si="6388"/>
        <v>1.89</v>
      </c>
      <c r="BB1265" s="1139">
        <f t="shared" si="6388"/>
        <v>0</v>
      </c>
      <c r="BC1265" s="1139">
        <f t="shared" si="6388"/>
        <v>0</v>
      </c>
      <c r="BD1265" s="1139">
        <f t="shared" si="6388"/>
        <v>0</v>
      </c>
      <c r="BE1265" s="1139">
        <f t="shared" ref="BE1265:DP1265" si="6389">BE1004+BE1032+BE1060+BE1088+BE1116+BE1144+BE1172+BE1200+BE1228+BE1256</f>
        <v>0</v>
      </c>
      <c r="BF1265" s="1139">
        <f t="shared" si="6389"/>
        <v>0</v>
      </c>
      <c r="BG1265" s="1139">
        <f t="shared" si="6389"/>
        <v>0</v>
      </c>
      <c r="BH1265" s="1139">
        <f t="shared" si="6389"/>
        <v>0</v>
      </c>
      <c r="BI1265" s="1139">
        <f t="shared" si="6389"/>
        <v>0</v>
      </c>
      <c r="BJ1265" s="1139">
        <f t="shared" si="6389"/>
        <v>0</v>
      </c>
      <c r="BK1265" s="1139">
        <f t="shared" si="6389"/>
        <v>0</v>
      </c>
      <c r="BL1265" s="1139">
        <f t="shared" si="6389"/>
        <v>0</v>
      </c>
      <c r="BM1265" s="1139">
        <f t="shared" si="6389"/>
        <v>0</v>
      </c>
      <c r="BN1265" s="1139">
        <f t="shared" si="6389"/>
        <v>0</v>
      </c>
      <c r="BO1265" s="1139">
        <f t="shared" si="6389"/>
        <v>0</v>
      </c>
      <c r="BP1265" s="1139">
        <f t="shared" si="6389"/>
        <v>0</v>
      </c>
      <c r="BQ1265" s="1139">
        <f t="shared" si="6389"/>
        <v>0</v>
      </c>
      <c r="BR1265" s="1139">
        <f t="shared" si="6389"/>
        <v>12.39</v>
      </c>
      <c r="BS1265" s="1139">
        <f t="shared" si="6389"/>
        <v>1.05</v>
      </c>
      <c r="BT1265" s="1139">
        <f t="shared" si="6389"/>
        <v>6.89</v>
      </c>
      <c r="BU1265" s="1139">
        <f t="shared" si="6389"/>
        <v>0</v>
      </c>
      <c r="BV1265" s="1139">
        <f t="shared" si="6389"/>
        <v>0</v>
      </c>
      <c r="BW1265" s="1139">
        <f t="shared" si="6389"/>
        <v>0</v>
      </c>
      <c r="BX1265" s="1139">
        <f t="shared" si="6389"/>
        <v>0</v>
      </c>
      <c r="BY1265" s="1139">
        <f t="shared" si="6389"/>
        <v>0</v>
      </c>
      <c r="BZ1265" s="1139">
        <f t="shared" si="6389"/>
        <v>0</v>
      </c>
      <c r="CA1265" s="1139">
        <f t="shared" si="6389"/>
        <v>0</v>
      </c>
      <c r="CB1265" s="1139">
        <f t="shared" si="6389"/>
        <v>6.37</v>
      </c>
      <c r="CC1265" s="1139">
        <f t="shared" si="6389"/>
        <v>0</v>
      </c>
      <c r="CD1265" s="1139">
        <f t="shared" si="6389"/>
        <v>0</v>
      </c>
      <c r="CE1265" s="1139">
        <f t="shared" si="6389"/>
        <v>0</v>
      </c>
      <c r="CF1265" s="1139">
        <f t="shared" si="6389"/>
        <v>12.41</v>
      </c>
      <c r="CG1265" s="1139">
        <f t="shared" si="6389"/>
        <v>2.63</v>
      </c>
      <c r="CH1265" s="1139">
        <f t="shared" si="6389"/>
        <v>0</v>
      </c>
      <c r="CI1265" s="1139">
        <f t="shared" si="6389"/>
        <v>0</v>
      </c>
      <c r="CJ1265" s="1139">
        <f t="shared" si="6389"/>
        <v>0</v>
      </c>
      <c r="CK1265" s="1139">
        <f t="shared" si="6389"/>
        <v>0</v>
      </c>
      <c r="CL1265" s="1139">
        <f t="shared" si="6389"/>
        <v>0</v>
      </c>
      <c r="CM1265" s="1139">
        <f t="shared" si="6389"/>
        <v>0</v>
      </c>
      <c r="CN1265" s="1139">
        <f t="shared" si="6389"/>
        <v>0</v>
      </c>
      <c r="CO1265" s="1139">
        <f t="shared" si="6389"/>
        <v>0</v>
      </c>
      <c r="CP1265" s="1139">
        <f t="shared" si="6389"/>
        <v>0</v>
      </c>
      <c r="CQ1265" s="1139">
        <f t="shared" si="6389"/>
        <v>0.47</v>
      </c>
      <c r="CR1265" s="1139">
        <f t="shared" si="6389"/>
        <v>0</v>
      </c>
      <c r="CS1265" s="1139">
        <f t="shared" si="6389"/>
        <v>0.28000000000000003</v>
      </c>
      <c r="CT1265" s="1139">
        <f t="shared" si="6389"/>
        <v>5.75</v>
      </c>
      <c r="CU1265" s="1139">
        <f t="shared" si="6389"/>
        <v>0</v>
      </c>
      <c r="CV1265" s="1139">
        <f t="shared" si="6389"/>
        <v>0</v>
      </c>
      <c r="CW1265" s="1139">
        <f t="shared" si="6389"/>
        <v>0</v>
      </c>
      <c r="CX1265" s="1139">
        <f t="shared" si="6389"/>
        <v>0</v>
      </c>
      <c r="CY1265" s="1139">
        <f t="shared" si="6389"/>
        <v>0</v>
      </c>
      <c r="CZ1265" s="1139">
        <f t="shared" si="6389"/>
        <v>12.34</v>
      </c>
      <c r="DA1265" s="1139">
        <f t="shared" si="6389"/>
        <v>0</v>
      </c>
      <c r="DB1265" s="1139">
        <f t="shared" si="6389"/>
        <v>0</v>
      </c>
      <c r="DC1265" s="1139">
        <f t="shared" si="6389"/>
        <v>1.27</v>
      </c>
      <c r="DD1265" s="1139">
        <f t="shared" si="6389"/>
        <v>2.4700000000000002</v>
      </c>
      <c r="DE1265" s="1139">
        <f t="shared" si="6389"/>
        <v>10.4</v>
      </c>
      <c r="DF1265" s="1139">
        <f t="shared" si="6389"/>
        <v>13.72</v>
      </c>
      <c r="DG1265" s="1139">
        <f t="shared" si="6389"/>
        <v>0</v>
      </c>
      <c r="DH1265" s="1139">
        <f t="shared" si="6389"/>
        <v>0</v>
      </c>
      <c r="DI1265" s="1139">
        <f t="shared" si="6389"/>
        <v>0</v>
      </c>
      <c r="DJ1265" s="1139">
        <f t="shared" si="6389"/>
        <v>0</v>
      </c>
      <c r="DK1265" s="1139">
        <f t="shared" si="6389"/>
        <v>0</v>
      </c>
      <c r="DL1265" s="1139">
        <f t="shared" si="6389"/>
        <v>1.01</v>
      </c>
      <c r="DM1265" s="1139">
        <f t="shared" si="6389"/>
        <v>1.8</v>
      </c>
      <c r="DN1265" s="1139">
        <f t="shared" si="6389"/>
        <v>0</v>
      </c>
      <c r="DO1265" s="1139">
        <f t="shared" si="6389"/>
        <v>0</v>
      </c>
      <c r="DP1265" s="1139">
        <f t="shared" si="6389"/>
        <v>0</v>
      </c>
      <c r="DQ1265" s="1139">
        <f t="shared" ref="DQ1265:FL1265" si="6390">DQ1004+DQ1032+DQ1060+DQ1088+DQ1116+DQ1144+DQ1172+DQ1200+DQ1228+DQ1256</f>
        <v>0</v>
      </c>
      <c r="DR1265" s="1139">
        <f t="shared" si="6390"/>
        <v>0</v>
      </c>
      <c r="DS1265" s="1139">
        <f t="shared" si="6390"/>
        <v>0</v>
      </c>
      <c r="DT1265" s="1139">
        <f t="shared" si="6390"/>
        <v>0</v>
      </c>
      <c r="DU1265" s="1139">
        <f t="shared" si="6390"/>
        <v>0.96</v>
      </c>
      <c r="DV1265" s="1139">
        <f t="shared" si="6390"/>
        <v>0</v>
      </c>
      <c r="DW1265" s="1139">
        <f t="shared" si="6390"/>
        <v>0</v>
      </c>
      <c r="DX1265" s="1139">
        <f t="shared" si="6390"/>
        <v>0</v>
      </c>
      <c r="DY1265" s="1139">
        <f t="shared" si="6390"/>
        <v>0</v>
      </c>
      <c r="DZ1265" s="1139">
        <f t="shared" si="6390"/>
        <v>0</v>
      </c>
      <c r="EA1265" s="1139">
        <f t="shared" si="6390"/>
        <v>225</v>
      </c>
      <c r="EB1265" s="1139">
        <f t="shared" si="6390"/>
        <v>0</v>
      </c>
      <c r="EC1265" s="1139">
        <f t="shared" si="6390"/>
        <v>0</v>
      </c>
      <c r="ED1265" s="1139">
        <f t="shared" si="6390"/>
        <v>0</v>
      </c>
      <c r="EE1265" s="1139">
        <f t="shared" si="6390"/>
        <v>0</v>
      </c>
      <c r="EF1265" s="1139">
        <f t="shared" si="6390"/>
        <v>0</v>
      </c>
      <c r="EG1265" s="1139">
        <f t="shared" si="6390"/>
        <v>0</v>
      </c>
      <c r="EH1265" s="1139">
        <f t="shared" si="6390"/>
        <v>0</v>
      </c>
      <c r="EI1265" s="1139">
        <f t="shared" si="6390"/>
        <v>0</v>
      </c>
      <c r="EJ1265" s="1139">
        <f t="shared" si="6390"/>
        <v>0</v>
      </c>
      <c r="EK1265" s="1139">
        <f t="shared" si="6390"/>
        <v>0</v>
      </c>
      <c r="EL1265" s="1139">
        <f t="shared" si="6390"/>
        <v>0</v>
      </c>
      <c r="EM1265" s="1139">
        <f t="shared" si="6390"/>
        <v>0</v>
      </c>
      <c r="EN1265" s="1139">
        <f t="shared" si="6390"/>
        <v>0</v>
      </c>
      <c r="EO1265" s="1139">
        <f t="shared" si="6390"/>
        <v>0</v>
      </c>
      <c r="EP1265" s="1139">
        <f t="shared" si="6390"/>
        <v>0</v>
      </c>
      <c r="EQ1265" s="1139">
        <f t="shared" si="6390"/>
        <v>0</v>
      </c>
      <c r="ER1265" s="1139">
        <f t="shared" si="6390"/>
        <v>0</v>
      </c>
      <c r="ES1265" s="1139">
        <f t="shared" si="6390"/>
        <v>0</v>
      </c>
      <c r="ET1265" s="1139">
        <f t="shared" si="6390"/>
        <v>0</v>
      </c>
      <c r="EU1265" s="1139">
        <f t="shared" si="6390"/>
        <v>0</v>
      </c>
      <c r="EV1265" s="1139">
        <f t="shared" si="6390"/>
        <v>11.51</v>
      </c>
      <c r="EW1265" s="1139">
        <f t="shared" si="6390"/>
        <v>13.65</v>
      </c>
      <c r="EX1265" s="1139">
        <f t="shared" si="6390"/>
        <v>0</v>
      </c>
      <c r="EY1265" s="1139">
        <f t="shared" si="6390"/>
        <v>829.49</v>
      </c>
      <c r="EZ1265" s="1139">
        <f t="shared" si="6390"/>
        <v>0</v>
      </c>
      <c r="FA1265" s="1139">
        <f t="shared" si="6390"/>
        <v>0</v>
      </c>
      <c r="FB1265" s="1139">
        <f t="shared" si="6390"/>
        <v>0</v>
      </c>
      <c r="FC1265" s="1139">
        <f t="shared" si="6390"/>
        <v>0</v>
      </c>
      <c r="FD1265" s="1139">
        <f t="shared" si="6390"/>
        <v>0</v>
      </c>
      <c r="FE1265" s="1139">
        <f t="shared" si="6390"/>
        <v>0</v>
      </c>
      <c r="FF1265" s="1139">
        <f t="shared" si="6390"/>
        <v>0</v>
      </c>
      <c r="FG1265" s="1139">
        <f t="shared" si="6390"/>
        <v>0</v>
      </c>
      <c r="FH1265" s="1139">
        <f t="shared" si="6390"/>
        <v>0</v>
      </c>
      <c r="FI1265" s="1139">
        <f t="shared" si="6390"/>
        <v>0</v>
      </c>
      <c r="FJ1265" s="1139">
        <f t="shared" si="6390"/>
        <v>0</v>
      </c>
      <c r="FK1265" s="1139">
        <f t="shared" si="6390"/>
        <v>0</v>
      </c>
      <c r="FL1265" s="1139">
        <f t="shared" si="6390"/>
        <v>0</v>
      </c>
    </row>
    <row r="1266" spans="1:168" x14ac:dyDescent="0.25">
      <c r="A1266" s="549"/>
      <c r="B1266" s="626" t="s">
        <v>845</v>
      </c>
      <c r="C1266" s="1136"/>
      <c r="D1266" s="1139">
        <f>D1010+D1038+D1066+D1094+D1122+D1150+D1178+D1206+D1234+D1262</f>
        <v>230</v>
      </c>
      <c r="E1266" s="1139">
        <f t="shared" ref="E1266:BD1266" si="6391">E1010+E1038+E1066+E1094+E1122+E1150+E1178+E1206+E1234+E1262</f>
        <v>0</v>
      </c>
      <c r="F1266" s="1139"/>
      <c r="G1266" s="1139">
        <f t="shared" si="6391"/>
        <v>0</v>
      </c>
      <c r="H1266" s="1139">
        <f t="shared" si="6391"/>
        <v>0</v>
      </c>
      <c r="I1266" s="666"/>
      <c r="J1266" s="1139">
        <f t="shared" si="6391"/>
        <v>0</v>
      </c>
      <c r="K1266" s="1139">
        <f t="shared" si="6391"/>
        <v>0</v>
      </c>
      <c r="L1266" s="1139">
        <f t="shared" si="6391"/>
        <v>0</v>
      </c>
      <c r="M1266" s="1139">
        <f t="shared" si="6391"/>
        <v>0</v>
      </c>
      <c r="N1266" s="1139">
        <f t="shared" si="6391"/>
        <v>0</v>
      </c>
      <c r="O1266" s="1139">
        <f t="shared" si="6391"/>
        <v>0</v>
      </c>
      <c r="P1266" s="1139">
        <f t="shared" si="6391"/>
        <v>0</v>
      </c>
      <c r="Q1266" s="1139">
        <f t="shared" si="6391"/>
        <v>0</v>
      </c>
      <c r="R1266" s="1139">
        <f t="shared" si="6391"/>
        <v>0</v>
      </c>
      <c r="S1266" s="1139">
        <f t="shared" si="6391"/>
        <v>0</v>
      </c>
      <c r="T1266" s="1139">
        <f t="shared" si="6391"/>
        <v>0</v>
      </c>
      <c r="U1266" s="1139">
        <f t="shared" si="6391"/>
        <v>0</v>
      </c>
      <c r="V1266" s="1139">
        <f t="shared" si="6391"/>
        <v>0</v>
      </c>
      <c r="W1266" s="1139">
        <f t="shared" si="6391"/>
        <v>0</v>
      </c>
      <c r="X1266" s="1139">
        <f t="shared" si="6391"/>
        <v>0</v>
      </c>
      <c r="Y1266" s="1139">
        <f t="shared" si="6391"/>
        <v>0</v>
      </c>
      <c r="Z1266" s="1139">
        <f t="shared" si="6391"/>
        <v>0</v>
      </c>
      <c r="AA1266" s="1139">
        <f t="shared" si="6391"/>
        <v>0</v>
      </c>
      <c r="AB1266" s="1139">
        <f t="shared" si="6391"/>
        <v>0</v>
      </c>
      <c r="AC1266" s="1139">
        <f t="shared" si="6391"/>
        <v>0</v>
      </c>
      <c r="AD1266" s="1139">
        <f t="shared" si="6391"/>
        <v>0</v>
      </c>
      <c r="AE1266" s="1139">
        <f t="shared" si="6391"/>
        <v>0</v>
      </c>
      <c r="AF1266" s="1139">
        <f t="shared" si="6391"/>
        <v>0</v>
      </c>
      <c r="AG1266" s="1139">
        <f t="shared" si="6391"/>
        <v>0</v>
      </c>
      <c r="AH1266" s="1139">
        <f t="shared" si="6391"/>
        <v>0</v>
      </c>
      <c r="AI1266" s="1139">
        <f t="shared" si="6391"/>
        <v>0</v>
      </c>
      <c r="AJ1266" s="1139">
        <f t="shared" si="6391"/>
        <v>0</v>
      </c>
      <c r="AK1266" s="1139">
        <f t="shared" si="6391"/>
        <v>0</v>
      </c>
      <c r="AL1266" s="1139">
        <f t="shared" si="6391"/>
        <v>0</v>
      </c>
      <c r="AM1266" s="1139">
        <f t="shared" si="6391"/>
        <v>0</v>
      </c>
      <c r="AN1266" s="1139">
        <f t="shared" si="6391"/>
        <v>0</v>
      </c>
      <c r="AO1266" s="1139">
        <f t="shared" si="6391"/>
        <v>0</v>
      </c>
      <c r="AP1266" s="1139">
        <f t="shared" si="6391"/>
        <v>0</v>
      </c>
      <c r="AQ1266" s="1139">
        <f t="shared" si="6391"/>
        <v>0</v>
      </c>
      <c r="AR1266" s="1139">
        <f t="shared" si="6391"/>
        <v>0</v>
      </c>
      <c r="AS1266" s="1139">
        <f t="shared" si="6391"/>
        <v>0</v>
      </c>
      <c r="AT1266" s="1139">
        <f t="shared" si="6391"/>
        <v>0</v>
      </c>
      <c r="AU1266" s="1139">
        <f t="shared" si="6391"/>
        <v>0</v>
      </c>
      <c r="AV1266" s="1139">
        <f t="shared" si="6391"/>
        <v>0</v>
      </c>
      <c r="AW1266" s="1139">
        <f t="shared" si="6391"/>
        <v>0</v>
      </c>
      <c r="AX1266" s="1139">
        <f t="shared" si="6391"/>
        <v>0</v>
      </c>
      <c r="AY1266" s="1139">
        <f t="shared" si="6391"/>
        <v>0</v>
      </c>
      <c r="AZ1266" s="1139">
        <f t="shared" si="6391"/>
        <v>0</v>
      </c>
      <c r="BA1266" s="1139">
        <f t="shared" si="6391"/>
        <v>0</v>
      </c>
      <c r="BB1266" s="1139">
        <f t="shared" si="6391"/>
        <v>0</v>
      </c>
      <c r="BC1266" s="1139">
        <f t="shared" si="6391"/>
        <v>0</v>
      </c>
      <c r="BD1266" s="1139">
        <f t="shared" si="6391"/>
        <v>0</v>
      </c>
      <c r="BE1266" s="1139">
        <f t="shared" ref="BE1266:DP1266" si="6392">BE1010+BE1038+BE1066+BE1094+BE1122+BE1150+BE1178+BE1206+BE1234+BE1262</f>
        <v>0</v>
      </c>
      <c r="BF1266" s="1139">
        <f t="shared" si="6392"/>
        <v>0</v>
      </c>
      <c r="BG1266" s="1139">
        <f t="shared" si="6392"/>
        <v>0</v>
      </c>
      <c r="BH1266" s="1139">
        <f t="shared" si="6392"/>
        <v>0</v>
      </c>
      <c r="BI1266" s="1139">
        <f t="shared" si="6392"/>
        <v>0</v>
      </c>
      <c r="BJ1266" s="1139">
        <f t="shared" si="6392"/>
        <v>0</v>
      </c>
      <c r="BK1266" s="1139">
        <f t="shared" si="6392"/>
        <v>0</v>
      </c>
      <c r="BL1266" s="1139">
        <f t="shared" si="6392"/>
        <v>0</v>
      </c>
      <c r="BM1266" s="1139">
        <f t="shared" si="6392"/>
        <v>0</v>
      </c>
      <c r="BN1266" s="1139">
        <f t="shared" si="6392"/>
        <v>0</v>
      </c>
      <c r="BO1266" s="1139">
        <f t="shared" si="6392"/>
        <v>0</v>
      </c>
      <c r="BP1266" s="1139">
        <f t="shared" si="6392"/>
        <v>0</v>
      </c>
      <c r="BQ1266" s="1139">
        <f t="shared" si="6392"/>
        <v>0</v>
      </c>
      <c r="BR1266" s="1139">
        <f t="shared" si="6392"/>
        <v>0</v>
      </c>
      <c r="BS1266" s="1139">
        <f t="shared" si="6392"/>
        <v>0</v>
      </c>
      <c r="BT1266" s="1139">
        <f t="shared" si="6392"/>
        <v>0</v>
      </c>
      <c r="BU1266" s="1139">
        <f t="shared" si="6392"/>
        <v>0</v>
      </c>
      <c r="BV1266" s="1139">
        <f t="shared" si="6392"/>
        <v>0</v>
      </c>
      <c r="BW1266" s="1139">
        <f t="shared" si="6392"/>
        <v>0</v>
      </c>
      <c r="BX1266" s="1139">
        <f t="shared" si="6392"/>
        <v>0</v>
      </c>
      <c r="BY1266" s="1139">
        <f t="shared" si="6392"/>
        <v>0</v>
      </c>
      <c r="BZ1266" s="1139">
        <f t="shared" si="6392"/>
        <v>0</v>
      </c>
      <c r="CA1266" s="1139">
        <f t="shared" si="6392"/>
        <v>0</v>
      </c>
      <c r="CB1266" s="1139">
        <f t="shared" si="6392"/>
        <v>0</v>
      </c>
      <c r="CC1266" s="1139">
        <f t="shared" si="6392"/>
        <v>0</v>
      </c>
      <c r="CD1266" s="1139">
        <f t="shared" si="6392"/>
        <v>0</v>
      </c>
      <c r="CE1266" s="1139">
        <f t="shared" si="6392"/>
        <v>0</v>
      </c>
      <c r="CF1266" s="1139">
        <f t="shared" si="6392"/>
        <v>0</v>
      </c>
      <c r="CG1266" s="1139">
        <f t="shared" si="6392"/>
        <v>0</v>
      </c>
      <c r="CH1266" s="1139">
        <f t="shared" si="6392"/>
        <v>0</v>
      </c>
      <c r="CI1266" s="1139">
        <f t="shared" si="6392"/>
        <v>0</v>
      </c>
      <c r="CJ1266" s="1139">
        <f t="shared" si="6392"/>
        <v>0</v>
      </c>
      <c r="CK1266" s="1139">
        <f t="shared" si="6392"/>
        <v>0</v>
      </c>
      <c r="CL1266" s="1139">
        <f t="shared" si="6392"/>
        <v>0</v>
      </c>
      <c r="CM1266" s="1139">
        <f t="shared" si="6392"/>
        <v>0</v>
      </c>
      <c r="CN1266" s="1139">
        <f t="shared" si="6392"/>
        <v>0</v>
      </c>
      <c r="CO1266" s="1139">
        <f t="shared" si="6392"/>
        <v>0</v>
      </c>
      <c r="CP1266" s="1139">
        <f t="shared" si="6392"/>
        <v>0</v>
      </c>
      <c r="CQ1266" s="1139">
        <f t="shared" si="6392"/>
        <v>0</v>
      </c>
      <c r="CR1266" s="1139">
        <f t="shared" si="6392"/>
        <v>0</v>
      </c>
      <c r="CS1266" s="1139">
        <f t="shared" si="6392"/>
        <v>0</v>
      </c>
      <c r="CT1266" s="1139">
        <f t="shared" si="6392"/>
        <v>0</v>
      </c>
      <c r="CU1266" s="1139">
        <f t="shared" si="6392"/>
        <v>0</v>
      </c>
      <c r="CV1266" s="1139">
        <f t="shared" si="6392"/>
        <v>0</v>
      </c>
      <c r="CW1266" s="1139">
        <f t="shared" si="6392"/>
        <v>0</v>
      </c>
      <c r="CX1266" s="1139">
        <f t="shared" si="6392"/>
        <v>0</v>
      </c>
      <c r="CY1266" s="1139">
        <f t="shared" si="6392"/>
        <v>0</v>
      </c>
      <c r="CZ1266" s="1139">
        <f t="shared" si="6392"/>
        <v>0</v>
      </c>
      <c r="DA1266" s="1139">
        <f t="shared" si="6392"/>
        <v>0</v>
      </c>
      <c r="DB1266" s="1139">
        <f t="shared" si="6392"/>
        <v>0</v>
      </c>
      <c r="DC1266" s="1139">
        <f t="shared" si="6392"/>
        <v>0</v>
      </c>
      <c r="DD1266" s="1139">
        <f t="shared" si="6392"/>
        <v>0</v>
      </c>
      <c r="DE1266" s="1139">
        <f t="shared" si="6392"/>
        <v>0</v>
      </c>
      <c r="DF1266" s="1139">
        <f t="shared" si="6392"/>
        <v>0</v>
      </c>
      <c r="DG1266" s="1139">
        <f t="shared" si="6392"/>
        <v>0</v>
      </c>
      <c r="DH1266" s="1139">
        <f t="shared" si="6392"/>
        <v>0</v>
      </c>
      <c r="DI1266" s="1139">
        <f t="shared" si="6392"/>
        <v>0</v>
      </c>
      <c r="DJ1266" s="1139">
        <f t="shared" si="6392"/>
        <v>0</v>
      </c>
      <c r="DK1266" s="1139">
        <f t="shared" si="6392"/>
        <v>0</v>
      </c>
      <c r="DL1266" s="1139">
        <f t="shared" si="6392"/>
        <v>0</v>
      </c>
      <c r="DM1266" s="1139">
        <f t="shared" si="6392"/>
        <v>0</v>
      </c>
      <c r="DN1266" s="1139">
        <f t="shared" si="6392"/>
        <v>0</v>
      </c>
      <c r="DO1266" s="1139">
        <f t="shared" si="6392"/>
        <v>0</v>
      </c>
      <c r="DP1266" s="1139">
        <f t="shared" si="6392"/>
        <v>0</v>
      </c>
      <c r="DQ1266" s="1139">
        <f t="shared" ref="DQ1266:FL1266" si="6393">DQ1010+DQ1038+DQ1066+DQ1094+DQ1122+DQ1150+DQ1178+DQ1206+DQ1234+DQ1262</f>
        <v>0</v>
      </c>
      <c r="DR1266" s="1139">
        <f t="shared" si="6393"/>
        <v>0</v>
      </c>
      <c r="DS1266" s="1139">
        <f t="shared" si="6393"/>
        <v>0</v>
      </c>
      <c r="DT1266" s="1139">
        <f t="shared" si="6393"/>
        <v>0</v>
      </c>
      <c r="DU1266" s="1139">
        <f t="shared" si="6393"/>
        <v>0</v>
      </c>
      <c r="DV1266" s="1139">
        <f t="shared" si="6393"/>
        <v>0</v>
      </c>
      <c r="DW1266" s="1139">
        <f t="shared" si="6393"/>
        <v>0</v>
      </c>
      <c r="DX1266" s="1139">
        <f t="shared" si="6393"/>
        <v>0</v>
      </c>
      <c r="DY1266" s="1139">
        <f t="shared" si="6393"/>
        <v>0</v>
      </c>
      <c r="DZ1266" s="1139">
        <f t="shared" si="6393"/>
        <v>0</v>
      </c>
      <c r="EA1266" s="1139">
        <f t="shared" si="6393"/>
        <v>0</v>
      </c>
      <c r="EB1266" s="1139">
        <f t="shared" si="6393"/>
        <v>0</v>
      </c>
      <c r="EC1266" s="1139">
        <f t="shared" si="6393"/>
        <v>0</v>
      </c>
      <c r="ED1266" s="1139">
        <f t="shared" si="6393"/>
        <v>0</v>
      </c>
      <c r="EE1266" s="1139">
        <f t="shared" si="6393"/>
        <v>0</v>
      </c>
      <c r="EF1266" s="1139">
        <f t="shared" si="6393"/>
        <v>0</v>
      </c>
      <c r="EG1266" s="1139">
        <f t="shared" si="6393"/>
        <v>0</v>
      </c>
      <c r="EH1266" s="1139">
        <f t="shared" si="6393"/>
        <v>0</v>
      </c>
      <c r="EI1266" s="1139">
        <f t="shared" si="6393"/>
        <v>0</v>
      </c>
      <c r="EJ1266" s="1139">
        <f t="shared" si="6393"/>
        <v>0</v>
      </c>
      <c r="EK1266" s="1139">
        <f t="shared" si="6393"/>
        <v>0</v>
      </c>
      <c r="EL1266" s="1139">
        <f t="shared" si="6393"/>
        <v>0</v>
      </c>
      <c r="EM1266" s="1139">
        <f t="shared" si="6393"/>
        <v>0</v>
      </c>
      <c r="EN1266" s="1139">
        <f t="shared" si="6393"/>
        <v>0</v>
      </c>
      <c r="EO1266" s="1139">
        <f t="shared" si="6393"/>
        <v>0</v>
      </c>
      <c r="EP1266" s="1139">
        <f t="shared" si="6393"/>
        <v>0</v>
      </c>
      <c r="EQ1266" s="1139">
        <f t="shared" si="6393"/>
        <v>0</v>
      </c>
      <c r="ER1266" s="1139">
        <f t="shared" si="6393"/>
        <v>0</v>
      </c>
      <c r="ES1266" s="1139">
        <f t="shared" si="6393"/>
        <v>0</v>
      </c>
      <c r="ET1266" s="1139">
        <f t="shared" si="6393"/>
        <v>0</v>
      </c>
      <c r="EU1266" s="1139">
        <f t="shared" si="6393"/>
        <v>0</v>
      </c>
      <c r="EV1266" s="1139">
        <f t="shared" si="6393"/>
        <v>0</v>
      </c>
      <c r="EW1266" s="1139">
        <f t="shared" si="6393"/>
        <v>0</v>
      </c>
      <c r="EX1266" s="1139">
        <f t="shared" si="6393"/>
        <v>0</v>
      </c>
      <c r="EY1266" s="1139">
        <f t="shared" si="6393"/>
        <v>0</v>
      </c>
      <c r="EZ1266" s="1139">
        <f t="shared" si="6393"/>
        <v>0</v>
      </c>
      <c r="FA1266" s="1139">
        <f t="shared" si="6393"/>
        <v>0</v>
      </c>
      <c r="FB1266" s="1139">
        <f t="shared" si="6393"/>
        <v>0</v>
      </c>
      <c r="FC1266" s="1139">
        <f t="shared" si="6393"/>
        <v>0</v>
      </c>
      <c r="FD1266" s="1139">
        <f t="shared" si="6393"/>
        <v>0</v>
      </c>
      <c r="FE1266" s="1139">
        <f t="shared" si="6393"/>
        <v>0</v>
      </c>
      <c r="FF1266" s="1139">
        <f t="shared" si="6393"/>
        <v>0</v>
      </c>
      <c r="FG1266" s="1139">
        <f t="shared" si="6393"/>
        <v>0</v>
      </c>
      <c r="FH1266" s="1139">
        <f t="shared" si="6393"/>
        <v>0</v>
      </c>
      <c r="FI1266" s="1139">
        <f t="shared" si="6393"/>
        <v>0</v>
      </c>
      <c r="FJ1266" s="1139">
        <f t="shared" si="6393"/>
        <v>0</v>
      </c>
      <c r="FK1266" s="1139">
        <f t="shared" si="6393"/>
        <v>0</v>
      </c>
      <c r="FL1266" s="1139">
        <f t="shared" si="6393"/>
        <v>0</v>
      </c>
    </row>
    <row r="1267" spans="1:168" x14ac:dyDescent="0.25">
      <c r="A1267" s="549"/>
      <c r="B1267" s="626" t="s">
        <v>1222</v>
      </c>
      <c r="C1267" s="1136"/>
      <c r="D1267" s="1139">
        <f>SUM(D1264:D1266)</f>
        <v>1267.92</v>
      </c>
      <c r="E1267" s="1139">
        <f t="shared" ref="E1267:BD1267" si="6394">SUM(E1264:E1266)</f>
        <v>1190.1400000000001</v>
      </c>
      <c r="F1267" s="1139"/>
      <c r="G1267" s="1139">
        <f t="shared" si="6394"/>
        <v>0</v>
      </c>
      <c r="H1267" s="1139">
        <f t="shared" si="6394"/>
        <v>0</v>
      </c>
      <c r="I1267" s="666"/>
      <c r="J1267" s="1139">
        <f t="shared" si="6394"/>
        <v>170.24</v>
      </c>
      <c r="K1267" s="1139">
        <f t="shared" si="6394"/>
        <v>14.67</v>
      </c>
      <c r="L1267" s="1139">
        <f t="shared" si="6394"/>
        <v>0</v>
      </c>
      <c r="M1267" s="1139">
        <f t="shared" si="6394"/>
        <v>54.4</v>
      </c>
      <c r="N1267" s="1139">
        <f t="shared" si="6394"/>
        <v>0</v>
      </c>
      <c r="O1267" s="1139">
        <f t="shared" si="6394"/>
        <v>0</v>
      </c>
      <c r="P1267" s="1139">
        <f t="shared" si="6394"/>
        <v>0.6</v>
      </c>
      <c r="Q1267" s="1139">
        <f t="shared" si="6394"/>
        <v>0</v>
      </c>
      <c r="R1267" s="1139">
        <f t="shared" si="6394"/>
        <v>0</v>
      </c>
      <c r="S1267" s="1139">
        <f t="shared" si="6394"/>
        <v>52.52</v>
      </c>
      <c r="T1267" s="1139">
        <f t="shared" si="6394"/>
        <v>0</v>
      </c>
      <c r="U1267" s="1139">
        <f t="shared" si="6394"/>
        <v>58.13</v>
      </c>
      <c r="V1267" s="1139">
        <f t="shared" si="6394"/>
        <v>113.76</v>
      </c>
      <c r="W1267" s="1139">
        <f t="shared" si="6394"/>
        <v>49.6</v>
      </c>
      <c r="X1267" s="1139">
        <f t="shared" si="6394"/>
        <v>32.340000000000003</v>
      </c>
      <c r="Y1267" s="1139">
        <f t="shared" si="6394"/>
        <v>24.75</v>
      </c>
      <c r="Z1267" s="1139">
        <f t="shared" si="6394"/>
        <v>7.5</v>
      </c>
      <c r="AA1267" s="1139">
        <f t="shared" si="6394"/>
        <v>0</v>
      </c>
      <c r="AB1267" s="1139">
        <f t="shared" si="6394"/>
        <v>0</v>
      </c>
      <c r="AC1267" s="1139">
        <f t="shared" si="6394"/>
        <v>0</v>
      </c>
      <c r="AD1267" s="1139">
        <f t="shared" si="6394"/>
        <v>0</v>
      </c>
      <c r="AE1267" s="1139">
        <f t="shared" si="6394"/>
        <v>18.18</v>
      </c>
      <c r="AF1267" s="1139">
        <f t="shared" si="6394"/>
        <v>8.4499999999999993</v>
      </c>
      <c r="AG1267" s="1139">
        <f t="shared" si="6394"/>
        <v>0</v>
      </c>
      <c r="AH1267" s="1139">
        <f t="shared" si="6394"/>
        <v>51.44</v>
      </c>
      <c r="AI1267" s="1139">
        <f t="shared" si="6394"/>
        <v>0</v>
      </c>
      <c r="AJ1267" s="1139">
        <f t="shared" si="6394"/>
        <v>0</v>
      </c>
      <c r="AK1267" s="1139">
        <f t="shared" si="6394"/>
        <v>9.51</v>
      </c>
      <c r="AL1267" s="1139">
        <f t="shared" si="6394"/>
        <v>10.94</v>
      </c>
      <c r="AM1267" s="1139">
        <f t="shared" si="6394"/>
        <v>0.2</v>
      </c>
      <c r="AN1267" s="1139">
        <f t="shared" si="6394"/>
        <v>19.27</v>
      </c>
      <c r="AO1267" s="1139">
        <f t="shared" si="6394"/>
        <v>8.08</v>
      </c>
      <c r="AP1267" s="1139">
        <f t="shared" si="6394"/>
        <v>0</v>
      </c>
      <c r="AQ1267" s="1139">
        <f t="shared" si="6394"/>
        <v>10.25</v>
      </c>
      <c r="AR1267" s="1139">
        <f t="shared" si="6394"/>
        <v>0</v>
      </c>
      <c r="AS1267" s="1139">
        <f t="shared" si="6394"/>
        <v>0</v>
      </c>
      <c r="AT1267" s="1139">
        <f t="shared" si="6394"/>
        <v>5.04</v>
      </c>
      <c r="AU1267" s="1139">
        <f t="shared" si="6394"/>
        <v>6.69</v>
      </c>
      <c r="AV1267" s="1139">
        <f t="shared" si="6394"/>
        <v>0</v>
      </c>
      <c r="AW1267" s="1139">
        <f t="shared" si="6394"/>
        <v>0</v>
      </c>
      <c r="AX1267" s="1139">
        <f t="shared" si="6394"/>
        <v>5.39</v>
      </c>
      <c r="AY1267" s="1139">
        <f t="shared" si="6394"/>
        <v>0</v>
      </c>
      <c r="AZ1267" s="1139">
        <f t="shared" si="6394"/>
        <v>0</v>
      </c>
      <c r="BA1267" s="1139">
        <f t="shared" si="6394"/>
        <v>1.89</v>
      </c>
      <c r="BB1267" s="1139">
        <f t="shared" si="6394"/>
        <v>0</v>
      </c>
      <c r="BC1267" s="1139">
        <f t="shared" si="6394"/>
        <v>0</v>
      </c>
      <c r="BD1267" s="1139">
        <f t="shared" si="6394"/>
        <v>0</v>
      </c>
      <c r="BE1267" s="1139">
        <f t="shared" ref="BE1267:DP1267" si="6395">SUM(BE1264:BE1266)</f>
        <v>0</v>
      </c>
      <c r="BF1267" s="1139">
        <f t="shared" si="6395"/>
        <v>0</v>
      </c>
      <c r="BG1267" s="1139">
        <f t="shared" si="6395"/>
        <v>0</v>
      </c>
      <c r="BH1267" s="1139">
        <f t="shared" si="6395"/>
        <v>0</v>
      </c>
      <c r="BI1267" s="1139">
        <f t="shared" si="6395"/>
        <v>0</v>
      </c>
      <c r="BJ1267" s="1139">
        <f t="shared" si="6395"/>
        <v>0</v>
      </c>
      <c r="BK1267" s="1139">
        <f t="shared" si="6395"/>
        <v>0</v>
      </c>
      <c r="BL1267" s="1139">
        <f t="shared" si="6395"/>
        <v>0</v>
      </c>
      <c r="BM1267" s="1139">
        <f t="shared" si="6395"/>
        <v>0</v>
      </c>
      <c r="BN1267" s="1139">
        <f t="shared" si="6395"/>
        <v>0</v>
      </c>
      <c r="BO1267" s="1139">
        <f t="shared" si="6395"/>
        <v>0</v>
      </c>
      <c r="BP1267" s="1139">
        <f t="shared" si="6395"/>
        <v>0</v>
      </c>
      <c r="BQ1267" s="1139">
        <f t="shared" si="6395"/>
        <v>0</v>
      </c>
      <c r="BR1267" s="1139">
        <f t="shared" si="6395"/>
        <v>48.79</v>
      </c>
      <c r="BS1267" s="1139">
        <f t="shared" si="6395"/>
        <v>1.05</v>
      </c>
      <c r="BT1267" s="1139">
        <f t="shared" si="6395"/>
        <v>10.89</v>
      </c>
      <c r="BU1267" s="1139">
        <f t="shared" si="6395"/>
        <v>1.64</v>
      </c>
      <c r="BV1267" s="1139">
        <f t="shared" si="6395"/>
        <v>0</v>
      </c>
      <c r="BW1267" s="1139">
        <f t="shared" si="6395"/>
        <v>0</v>
      </c>
      <c r="BX1267" s="1139">
        <f t="shared" si="6395"/>
        <v>0</v>
      </c>
      <c r="BY1267" s="1139">
        <f t="shared" si="6395"/>
        <v>0</v>
      </c>
      <c r="BZ1267" s="1139">
        <f t="shared" si="6395"/>
        <v>0</v>
      </c>
      <c r="CA1267" s="1139">
        <f t="shared" si="6395"/>
        <v>3.24</v>
      </c>
      <c r="CB1267" s="1139">
        <f t="shared" si="6395"/>
        <v>8.23</v>
      </c>
      <c r="CC1267" s="1139">
        <f t="shared" si="6395"/>
        <v>0</v>
      </c>
      <c r="CD1267" s="1139">
        <f t="shared" si="6395"/>
        <v>0</v>
      </c>
      <c r="CE1267" s="1139">
        <f t="shared" si="6395"/>
        <v>0</v>
      </c>
      <c r="CF1267" s="1139">
        <f t="shared" si="6395"/>
        <v>12.41</v>
      </c>
      <c r="CG1267" s="1139">
        <f t="shared" si="6395"/>
        <v>3.63</v>
      </c>
      <c r="CH1267" s="1139">
        <f t="shared" si="6395"/>
        <v>0</v>
      </c>
      <c r="CI1267" s="1139">
        <f t="shared" si="6395"/>
        <v>0.1</v>
      </c>
      <c r="CJ1267" s="1139">
        <f t="shared" si="6395"/>
        <v>0</v>
      </c>
      <c r="CK1267" s="1139">
        <f t="shared" si="6395"/>
        <v>0</v>
      </c>
      <c r="CL1267" s="1139">
        <f t="shared" si="6395"/>
        <v>0</v>
      </c>
      <c r="CM1267" s="1139">
        <f t="shared" si="6395"/>
        <v>4.8</v>
      </c>
      <c r="CN1267" s="1139">
        <f t="shared" si="6395"/>
        <v>0</v>
      </c>
      <c r="CO1267" s="1139">
        <f t="shared" si="6395"/>
        <v>0</v>
      </c>
      <c r="CP1267" s="1139">
        <f t="shared" si="6395"/>
        <v>0</v>
      </c>
      <c r="CQ1267" s="1139">
        <f t="shared" si="6395"/>
        <v>0.47</v>
      </c>
      <c r="CR1267" s="1139">
        <f t="shared" si="6395"/>
        <v>0</v>
      </c>
      <c r="CS1267" s="1139">
        <f t="shared" si="6395"/>
        <v>0.28000000000000003</v>
      </c>
      <c r="CT1267" s="1139">
        <f t="shared" si="6395"/>
        <v>5.75</v>
      </c>
      <c r="CU1267" s="1139">
        <f t="shared" si="6395"/>
        <v>0</v>
      </c>
      <c r="CV1267" s="1139">
        <f t="shared" si="6395"/>
        <v>0</v>
      </c>
      <c r="CW1267" s="1139">
        <f t="shared" si="6395"/>
        <v>0</v>
      </c>
      <c r="CX1267" s="1139">
        <f t="shared" si="6395"/>
        <v>0</v>
      </c>
      <c r="CY1267" s="1139">
        <f t="shared" si="6395"/>
        <v>0</v>
      </c>
      <c r="CZ1267" s="1139">
        <f t="shared" si="6395"/>
        <v>25.15</v>
      </c>
      <c r="DA1267" s="1139">
        <f t="shared" si="6395"/>
        <v>0</v>
      </c>
      <c r="DB1267" s="1139">
        <f t="shared" si="6395"/>
        <v>0</v>
      </c>
      <c r="DC1267" s="1139">
        <f t="shared" si="6395"/>
        <v>1.36</v>
      </c>
      <c r="DD1267" s="1139">
        <f t="shared" si="6395"/>
        <v>3.06</v>
      </c>
      <c r="DE1267" s="1139">
        <f t="shared" si="6395"/>
        <v>10.4</v>
      </c>
      <c r="DF1267" s="1139">
        <f t="shared" si="6395"/>
        <v>13.72</v>
      </c>
      <c r="DG1267" s="1139">
        <f t="shared" si="6395"/>
        <v>0</v>
      </c>
      <c r="DH1267" s="1139">
        <f t="shared" si="6395"/>
        <v>0</v>
      </c>
      <c r="DI1267" s="1139">
        <f t="shared" si="6395"/>
        <v>0</v>
      </c>
      <c r="DJ1267" s="1139">
        <f t="shared" si="6395"/>
        <v>0</v>
      </c>
      <c r="DK1267" s="1139">
        <f t="shared" si="6395"/>
        <v>0</v>
      </c>
      <c r="DL1267" s="1139">
        <f t="shared" si="6395"/>
        <v>1.01</v>
      </c>
      <c r="DM1267" s="1139">
        <f t="shared" si="6395"/>
        <v>1.8</v>
      </c>
      <c r="DN1267" s="1139">
        <f t="shared" si="6395"/>
        <v>0</v>
      </c>
      <c r="DO1267" s="1139">
        <f t="shared" si="6395"/>
        <v>0</v>
      </c>
      <c r="DP1267" s="1139">
        <f t="shared" si="6395"/>
        <v>0</v>
      </c>
      <c r="DQ1267" s="1139">
        <f t="shared" ref="DQ1267:FL1267" si="6396">SUM(DQ1264:DQ1266)</f>
        <v>0</v>
      </c>
      <c r="DR1267" s="1139">
        <f t="shared" si="6396"/>
        <v>3.15</v>
      </c>
      <c r="DS1267" s="1139">
        <f t="shared" si="6396"/>
        <v>0</v>
      </c>
      <c r="DT1267" s="1139">
        <f t="shared" si="6396"/>
        <v>0</v>
      </c>
      <c r="DU1267" s="1139">
        <f t="shared" si="6396"/>
        <v>4.1100000000000003</v>
      </c>
      <c r="DV1267" s="1139">
        <f t="shared" si="6396"/>
        <v>0</v>
      </c>
      <c r="DW1267" s="1139">
        <f t="shared" si="6396"/>
        <v>0</v>
      </c>
      <c r="DX1267" s="1139">
        <f t="shared" si="6396"/>
        <v>0</v>
      </c>
      <c r="DY1267" s="1139">
        <f t="shared" si="6396"/>
        <v>0</v>
      </c>
      <c r="DZ1267" s="1139">
        <f t="shared" si="6396"/>
        <v>0</v>
      </c>
      <c r="EA1267" s="1139">
        <f t="shared" si="6396"/>
        <v>225</v>
      </c>
      <c r="EB1267" s="1139">
        <f t="shared" si="6396"/>
        <v>20.3</v>
      </c>
      <c r="EC1267" s="1139">
        <f t="shared" si="6396"/>
        <v>0</v>
      </c>
      <c r="ED1267" s="1139">
        <f t="shared" si="6396"/>
        <v>0</v>
      </c>
      <c r="EE1267" s="1139">
        <f t="shared" si="6396"/>
        <v>0</v>
      </c>
      <c r="EF1267" s="1139">
        <f t="shared" si="6396"/>
        <v>0</v>
      </c>
      <c r="EG1267" s="1139">
        <f t="shared" si="6396"/>
        <v>0</v>
      </c>
      <c r="EH1267" s="1139">
        <f t="shared" si="6396"/>
        <v>0</v>
      </c>
      <c r="EI1267" s="1139">
        <f t="shared" si="6396"/>
        <v>0</v>
      </c>
      <c r="EJ1267" s="1139">
        <f t="shared" si="6396"/>
        <v>0</v>
      </c>
      <c r="EK1267" s="1139">
        <f t="shared" si="6396"/>
        <v>0</v>
      </c>
      <c r="EL1267" s="1139">
        <f t="shared" si="6396"/>
        <v>0</v>
      </c>
      <c r="EM1267" s="1139">
        <f t="shared" si="6396"/>
        <v>0</v>
      </c>
      <c r="EN1267" s="1139">
        <f t="shared" si="6396"/>
        <v>0</v>
      </c>
      <c r="EO1267" s="1139">
        <f t="shared" si="6396"/>
        <v>0</v>
      </c>
      <c r="EP1267" s="1139">
        <f t="shared" si="6396"/>
        <v>0</v>
      </c>
      <c r="EQ1267" s="1139">
        <f t="shared" si="6396"/>
        <v>0</v>
      </c>
      <c r="ER1267" s="1139">
        <f t="shared" si="6396"/>
        <v>0</v>
      </c>
      <c r="ES1267" s="1139">
        <f t="shared" si="6396"/>
        <v>0</v>
      </c>
      <c r="ET1267" s="1139">
        <f t="shared" si="6396"/>
        <v>0</v>
      </c>
      <c r="EU1267" s="1139">
        <f t="shared" si="6396"/>
        <v>0</v>
      </c>
      <c r="EV1267" s="1139">
        <f t="shared" si="6396"/>
        <v>19.309999999999999</v>
      </c>
      <c r="EW1267" s="1139">
        <f t="shared" si="6396"/>
        <v>26.65</v>
      </c>
      <c r="EX1267" s="1139">
        <f t="shared" si="6396"/>
        <v>0</v>
      </c>
      <c r="EY1267" s="1139">
        <f t="shared" si="6396"/>
        <v>1190.1400000000001</v>
      </c>
      <c r="EZ1267" s="1139">
        <f t="shared" si="6396"/>
        <v>0</v>
      </c>
      <c r="FA1267" s="1139">
        <f t="shared" si="6396"/>
        <v>0</v>
      </c>
      <c r="FB1267" s="1139">
        <f t="shared" si="6396"/>
        <v>0</v>
      </c>
      <c r="FC1267" s="1139">
        <f t="shared" si="6396"/>
        <v>0</v>
      </c>
      <c r="FD1267" s="1139">
        <f t="shared" si="6396"/>
        <v>0</v>
      </c>
      <c r="FE1267" s="1139">
        <f t="shared" si="6396"/>
        <v>0</v>
      </c>
      <c r="FF1267" s="1139">
        <f t="shared" si="6396"/>
        <v>0</v>
      </c>
      <c r="FG1267" s="1139">
        <f t="shared" si="6396"/>
        <v>0</v>
      </c>
      <c r="FH1267" s="1139">
        <f t="shared" si="6396"/>
        <v>0</v>
      </c>
      <c r="FI1267" s="1139">
        <f t="shared" si="6396"/>
        <v>0</v>
      </c>
      <c r="FJ1267" s="1139">
        <f t="shared" si="6396"/>
        <v>0</v>
      </c>
      <c r="FK1267" s="1139">
        <f t="shared" si="6396"/>
        <v>0</v>
      </c>
      <c r="FL1267" s="1139">
        <f t="shared" si="6396"/>
        <v>0</v>
      </c>
    </row>
  </sheetData>
  <mergeCells count="89">
    <mergeCell ref="EZ13:FD13"/>
    <mergeCell ref="FE13:FL13"/>
    <mergeCell ref="A1257:A1261"/>
    <mergeCell ref="A1153:A1158"/>
    <mergeCell ref="A1163:A1171"/>
    <mergeCell ref="A1173:A1177"/>
    <mergeCell ref="A1191:A1199"/>
    <mergeCell ref="A1201:A1205"/>
    <mergeCell ref="A1209:A1214"/>
    <mergeCell ref="A1219:A1227"/>
    <mergeCell ref="A1229:A1233"/>
    <mergeCell ref="A1237:A1242"/>
    <mergeCell ref="A1247:A1255"/>
    <mergeCell ref="A1181:A1189"/>
    <mergeCell ref="A1145:A1149"/>
    <mergeCell ref="A1041:A1046"/>
    <mergeCell ref="A1051:A1059"/>
    <mergeCell ref="A1061:A1065"/>
    <mergeCell ref="A1069:A1074"/>
    <mergeCell ref="A1079:A1087"/>
    <mergeCell ref="A1089:A1093"/>
    <mergeCell ref="A1097:A1102"/>
    <mergeCell ref="A1107:A1115"/>
    <mergeCell ref="A1117:A1121"/>
    <mergeCell ref="A1125:A1130"/>
    <mergeCell ref="A1135:A1143"/>
    <mergeCell ref="A1033:A1037"/>
    <mergeCell ref="A307:A311"/>
    <mergeCell ref="A337:H337"/>
    <mergeCell ref="J981:Q981"/>
    <mergeCell ref="U981:AE981"/>
    <mergeCell ref="A985:A990"/>
    <mergeCell ref="A995:A1003"/>
    <mergeCell ref="A1005:A1009"/>
    <mergeCell ref="A1013:A1018"/>
    <mergeCell ref="A1023:A1031"/>
    <mergeCell ref="G340:H340"/>
    <mergeCell ref="G658:H658"/>
    <mergeCell ref="G817:H817"/>
    <mergeCell ref="BS13:DR13"/>
    <mergeCell ref="A17:A25"/>
    <mergeCell ref="A27:A35"/>
    <mergeCell ref="A37:A41"/>
    <mergeCell ref="A47:A55"/>
    <mergeCell ref="H13:H14"/>
    <mergeCell ref="J13:T13"/>
    <mergeCell ref="U13:AE13"/>
    <mergeCell ref="G13:G14"/>
    <mergeCell ref="AF13:AX13"/>
    <mergeCell ref="A13:A14"/>
    <mergeCell ref="B13:B14"/>
    <mergeCell ref="C13:C14"/>
    <mergeCell ref="I13:I14"/>
    <mergeCell ref="D13:F13"/>
    <mergeCell ref="A57:A65"/>
    <mergeCell ref="A67:A71"/>
    <mergeCell ref="AF981:AX981"/>
    <mergeCell ref="BS981:DR981"/>
    <mergeCell ref="A247:A251"/>
    <mergeCell ref="A257:A265"/>
    <mergeCell ref="A267:A275"/>
    <mergeCell ref="A277:A281"/>
    <mergeCell ref="A287:A295"/>
    <mergeCell ref="A297:A305"/>
    <mergeCell ref="F327:G327"/>
    <mergeCell ref="G499:I499"/>
    <mergeCell ref="A237:A245"/>
    <mergeCell ref="A127:A131"/>
    <mergeCell ref="A187:A191"/>
    <mergeCell ref="A197:A205"/>
    <mergeCell ref="A207:A215"/>
    <mergeCell ref="A217:A221"/>
    <mergeCell ref="A227:A235"/>
    <mergeCell ref="A167:A175"/>
    <mergeCell ref="A177:A185"/>
    <mergeCell ref="A137:A145"/>
    <mergeCell ref="A147:A155"/>
    <mergeCell ref="A157:A161"/>
    <mergeCell ref="A77:A85"/>
    <mergeCell ref="A87:A95"/>
    <mergeCell ref="A97:A101"/>
    <mergeCell ref="A107:A115"/>
    <mergeCell ref="A117:A125"/>
    <mergeCell ref="A11:H11"/>
    <mergeCell ref="E1:H1"/>
    <mergeCell ref="E3:H3"/>
    <mergeCell ref="E2:H2"/>
    <mergeCell ref="A5:H5"/>
    <mergeCell ref="A6:F6"/>
  </mergeCells>
  <conditionalFormatting sqref="J247:EX251">
    <cfRule type="cellIs" dxfId="166" priority="341" operator="greaterThan">
      <formula>0</formula>
    </cfRule>
    <cfRule type="colorScale" priority="342">
      <colorScale>
        <cfvo type="num" val="&quot;0.000000001&quot;"/>
        <cfvo type="max"/>
        <color rgb="FFFFFF00"/>
        <color rgb="FF4BFB75"/>
      </colorScale>
    </cfRule>
  </conditionalFormatting>
  <conditionalFormatting sqref="J277:EX281">
    <cfRule type="cellIs" dxfId="165" priority="339" operator="greaterThan">
      <formula>0</formula>
    </cfRule>
    <cfRule type="colorScale" priority="340">
      <colorScale>
        <cfvo type="num" val="&quot;0.000000001&quot;"/>
        <cfvo type="max"/>
        <color rgb="FFFFFF00"/>
        <color rgb="FF4BFB75"/>
      </colorScale>
    </cfRule>
  </conditionalFormatting>
  <conditionalFormatting sqref="J307:EX311">
    <cfRule type="cellIs" dxfId="164" priority="337" operator="greaterThan">
      <formula>0</formula>
    </cfRule>
    <cfRule type="colorScale" priority="338">
      <colorScale>
        <cfvo type="num" val="&quot;0.000000001&quot;"/>
        <cfvo type="max"/>
        <color rgb="FFFFFF00"/>
        <color rgb="FF4BFB75"/>
      </colorScale>
    </cfRule>
  </conditionalFormatting>
  <conditionalFormatting sqref="J985:EX993">
    <cfRule type="cellIs" dxfId="163" priority="336" operator="greaterThan">
      <formula>0</formula>
    </cfRule>
  </conditionalFormatting>
  <conditionalFormatting sqref="J1096:EX1096 J1124:EX1124 J1208:EX1208 J1236:EX1236">
    <cfRule type="cellIs" dxfId="162" priority="335" operator="greaterThan">
      <formula>0</formula>
    </cfRule>
  </conditionalFormatting>
  <conditionalFormatting sqref="J327:EX336">
    <cfRule type="cellIs" dxfId="161" priority="305" operator="greaterThan">
      <formula>0</formula>
    </cfRule>
  </conditionalFormatting>
  <conditionalFormatting sqref="J1010:EX1010">
    <cfRule type="cellIs" dxfId="160" priority="302" operator="greaterThan">
      <formula>0</formula>
    </cfRule>
  </conditionalFormatting>
  <conditionalFormatting sqref="J189:EX189 J191:EX191 J101:EX101 J247:EX251 J277:EX281 J307:EX311 J40:EX41 J226:EX226 J256:EX256 J286:EX286 J76:EX76 J44:EY45 J106:EX106 J136:EX136 J166:EX166 J196:EX196 J46:EX46">
    <cfRule type="cellIs" dxfId="159" priority="301" operator="greaterThan">
      <formula>0</formula>
    </cfRule>
  </conditionalFormatting>
  <conditionalFormatting sqref="J74:EY75">
    <cfRule type="cellIs" dxfId="158" priority="289" operator="greaterThan">
      <formula>0</formula>
    </cfRule>
  </conditionalFormatting>
  <conditionalFormatting sqref="J104:EY104">
    <cfRule type="cellIs" dxfId="157" priority="288" operator="greaterThan">
      <formula>0</formula>
    </cfRule>
  </conditionalFormatting>
  <conditionalFormatting sqref="H134:EY135">
    <cfRule type="cellIs" dxfId="156" priority="287" operator="greaterThan">
      <formula>0</formula>
    </cfRule>
  </conditionalFormatting>
  <conditionalFormatting sqref="J164:EY165">
    <cfRule type="cellIs" dxfId="155" priority="286" operator="greaterThan">
      <formula>0</formula>
    </cfRule>
  </conditionalFormatting>
  <conditionalFormatting sqref="J194:EY195">
    <cfRule type="cellIs" dxfId="154" priority="285" operator="greaterThan">
      <formula>0</formula>
    </cfRule>
  </conditionalFormatting>
  <conditionalFormatting sqref="J224:EX225">
    <cfRule type="cellIs" dxfId="153" priority="284" operator="greaterThan">
      <formula>0</formula>
    </cfRule>
  </conditionalFormatting>
  <conditionalFormatting sqref="J254:EX255">
    <cfRule type="cellIs" dxfId="152" priority="283" operator="greaterThan">
      <formula>0</formula>
    </cfRule>
  </conditionalFormatting>
  <conditionalFormatting sqref="J284:EX285">
    <cfRule type="cellIs" dxfId="151" priority="282" operator="greaterThan">
      <formula>0</formula>
    </cfRule>
  </conditionalFormatting>
  <conditionalFormatting sqref="J314:EX315">
    <cfRule type="cellIs" dxfId="150" priority="281" operator="greaterThan">
      <formula>0</formula>
    </cfRule>
  </conditionalFormatting>
  <conditionalFormatting sqref="J324:EX325">
    <cfRule type="cellIs" dxfId="149" priority="280" operator="greaterThan">
      <formula>0</formula>
    </cfRule>
  </conditionalFormatting>
  <conditionalFormatting sqref="J40:EX41">
    <cfRule type="cellIs" dxfId="148" priority="278" operator="greaterThan">
      <formula>0</formula>
    </cfRule>
  </conditionalFormatting>
  <conditionalFormatting sqref="E491:F492 G491:I491 G650:I650 G809:I809 G968:I968">
    <cfRule type="cellIs" dxfId="147" priority="269" operator="greaterThan">
      <formula>0</formula>
    </cfRule>
  </conditionalFormatting>
  <conditionalFormatting sqref="C491:C492 C496:I496 C498:I498 C655:I657 C814:I816 C973:I980">
    <cfRule type="cellIs" dxfId="146" priority="270" operator="greaterThan">
      <formula>0</formula>
    </cfRule>
  </conditionalFormatting>
  <conditionalFormatting sqref="E650:F650 E651">
    <cfRule type="cellIs" dxfId="145" priority="263" operator="greaterThan">
      <formula>0</formula>
    </cfRule>
  </conditionalFormatting>
  <conditionalFormatting sqref="C650:C651">
    <cfRule type="cellIs" dxfId="144" priority="264" operator="greaterThan">
      <formula>0</formula>
    </cfRule>
  </conditionalFormatting>
  <conditionalFormatting sqref="E809:F810 G810:I810">
    <cfRule type="cellIs" dxfId="143" priority="257" operator="greaterThan">
      <formula>0</formula>
    </cfRule>
  </conditionalFormatting>
  <conditionalFormatting sqref="C809:C810">
    <cfRule type="cellIs" dxfId="142" priority="258" operator="greaterThan">
      <formula>0</formula>
    </cfRule>
  </conditionalFormatting>
  <conditionalFormatting sqref="E969:I969">
    <cfRule type="cellIs" dxfId="141" priority="252" operator="greaterThan">
      <formula>0</formula>
    </cfRule>
  </conditionalFormatting>
  <conditionalFormatting sqref="C969">
    <cfRule type="cellIs" dxfId="140" priority="253" operator="greaterThan">
      <formula>0</formula>
    </cfRule>
  </conditionalFormatting>
  <conditionalFormatting sqref="C491:C492 E503:E512 E652:E654 E515:E525 E528:E566 E569:E649 E662:E671 E821:E830">
    <cfRule type="cellIs" dxfId="139" priority="231" operator="greaterThan">
      <formula>0</formula>
    </cfRule>
  </conditionalFormatting>
  <conditionalFormatting sqref="C513:C514 C526:C527 C567:C568 C650:C651 C655:C658 C672:C673 C685:C686 C726:C727 C809:C810 C814:C816 C660">
    <cfRule type="cellIs" dxfId="138" priority="229" operator="greaterThan">
      <formula>0</formula>
    </cfRule>
    <cfRule type="cellIs" priority="230" operator="greaterThan">
      <formula>0</formula>
    </cfRule>
  </conditionalFormatting>
  <conditionalFormatting sqref="C515:C525">
    <cfRule type="cellIs" dxfId="137" priority="212" operator="greaterThan">
      <formula>0</formula>
    </cfRule>
  </conditionalFormatting>
  <conditionalFormatting sqref="C528:C566">
    <cfRule type="cellIs" dxfId="136" priority="209" operator="greaterThan">
      <formula>0</formula>
    </cfRule>
  </conditionalFormatting>
  <conditionalFormatting sqref="C569:C649">
    <cfRule type="cellIs" dxfId="135" priority="206" operator="greaterThan">
      <formula>0</formula>
    </cfRule>
  </conditionalFormatting>
  <conditionalFormatting sqref="C652:C654">
    <cfRule type="cellIs" dxfId="134" priority="203" operator="greaterThan">
      <formula>0</formula>
    </cfRule>
  </conditionalFormatting>
  <conditionalFormatting sqref="C661:C671">
    <cfRule type="cellIs" dxfId="133" priority="200" operator="greaterThan">
      <formula>0</formula>
    </cfRule>
  </conditionalFormatting>
  <conditionalFormatting sqref="C674:C684">
    <cfRule type="cellIs" dxfId="132" priority="197" operator="greaterThan">
      <formula>0</formula>
    </cfRule>
  </conditionalFormatting>
  <conditionalFormatting sqref="C687:C725">
    <cfRule type="cellIs" dxfId="131" priority="194" operator="greaterThan">
      <formula>0</formula>
    </cfRule>
  </conditionalFormatting>
  <conditionalFormatting sqref="C728:C808">
    <cfRule type="cellIs" dxfId="130" priority="178" operator="greaterThan">
      <formula>0</formula>
    </cfRule>
  </conditionalFormatting>
  <conditionalFormatting sqref="C811:C813">
    <cfRule type="cellIs" dxfId="129" priority="177" operator="greaterThan">
      <formula>0</formula>
    </cfRule>
  </conditionalFormatting>
  <conditionalFormatting sqref="J995:EX1003">
    <cfRule type="cellIs" dxfId="128" priority="175" operator="greaterThan">
      <formula>0</formula>
    </cfRule>
  </conditionalFormatting>
  <conditionalFormatting sqref="J1005:EX1009">
    <cfRule type="cellIs" dxfId="127" priority="174" operator="greaterThan">
      <formula>0</formula>
    </cfRule>
  </conditionalFormatting>
  <conditionalFormatting sqref="C343:C353">
    <cfRule type="cellIs" dxfId="126" priority="173" operator="greaterThan">
      <formula>0</formula>
    </cfRule>
  </conditionalFormatting>
  <conditionalFormatting sqref="C356:C366">
    <cfRule type="cellIs" dxfId="125" priority="172" operator="greaterThan">
      <formula>0</formula>
    </cfRule>
  </conditionalFormatting>
  <conditionalFormatting sqref="C369:C407">
    <cfRule type="cellIs" dxfId="124" priority="170" operator="greaterThan">
      <formula>0</formula>
    </cfRule>
  </conditionalFormatting>
  <conditionalFormatting sqref="C410:C490">
    <cfRule type="cellIs" dxfId="123" priority="166" operator="greaterThan">
      <formula>0</formula>
    </cfRule>
  </conditionalFormatting>
  <conditionalFormatting sqref="C493:C495">
    <cfRule type="cellIs" dxfId="122" priority="165" operator="greaterThan">
      <formula>0</formula>
    </cfRule>
  </conditionalFormatting>
  <conditionalFormatting sqref="C502:C512">
    <cfRule type="cellIs" dxfId="121" priority="164" operator="greaterThan">
      <formula>0</formula>
    </cfRule>
  </conditionalFormatting>
  <conditionalFormatting sqref="C820:C830">
    <cfRule type="cellIs" dxfId="120" priority="148" operator="greaterThan">
      <formula>0</formula>
    </cfRule>
  </conditionalFormatting>
  <conditionalFormatting sqref="C833:C843">
    <cfRule type="cellIs" dxfId="119" priority="147" operator="greaterThan">
      <formula>0</formula>
    </cfRule>
  </conditionalFormatting>
  <conditionalFormatting sqref="C846:C884">
    <cfRule type="cellIs" dxfId="118" priority="146" operator="greaterThan">
      <formula>0</formula>
    </cfRule>
  </conditionalFormatting>
  <conditionalFormatting sqref="C887:C967">
    <cfRule type="cellIs" dxfId="117" priority="145" operator="greaterThan">
      <formula>0</formula>
    </cfRule>
  </conditionalFormatting>
  <conditionalFormatting sqref="C970:C972">
    <cfRule type="cellIs" dxfId="116" priority="144" operator="greaterThan">
      <formula>0</formula>
    </cfRule>
  </conditionalFormatting>
  <conditionalFormatting sqref="F1005:F1009">
    <cfRule type="cellIs" dxfId="115" priority="130" operator="notEqual">
      <formula>0</formula>
    </cfRule>
    <cfRule type="cellIs" dxfId="114" priority="131" operator="greaterThan">
      <formula>0</formula>
    </cfRule>
    <cfRule type="cellIs" dxfId="113" priority="132" operator="notEqual">
      <formula>0</formula>
    </cfRule>
  </conditionalFormatting>
  <conditionalFormatting sqref="F1013:F1021">
    <cfRule type="cellIs" dxfId="112" priority="127" operator="notEqual">
      <formula>0</formula>
    </cfRule>
    <cfRule type="cellIs" dxfId="111" priority="128" operator="greaterThan">
      <formula>0</formula>
    </cfRule>
    <cfRule type="cellIs" dxfId="110" priority="129" operator="notEqual">
      <formula>0</formula>
    </cfRule>
  </conditionalFormatting>
  <conditionalFormatting sqref="F1023:F1031">
    <cfRule type="cellIs" dxfId="109" priority="124" operator="notEqual">
      <formula>0</formula>
    </cfRule>
    <cfRule type="cellIs" dxfId="108" priority="125" operator="greaterThan">
      <formula>0</formula>
    </cfRule>
    <cfRule type="cellIs" dxfId="107" priority="126" operator="notEqual">
      <formula>0</formula>
    </cfRule>
  </conditionalFormatting>
  <conditionalFormatting sqref="F1033:F1037">
    <cfRule type="cellIs" dxfId="106" priority="121" operator="notEqual">
      <formula>0</formula>
    </cfRule>
    <cfRule type="cellIs" dxfId="105" priority="122" operator="greaterThan">
      <formula>0</formula>
    </cfRule>
    <cfRule type="cellIs" dxfId="104" priority="123" operator="notEqual">
      <formula>0</formula>
    </cfRule>
  </conditionalFormatting>
  <conditionalFormatting sqref="J1023:EX1031 J1033:EX1037 J1013:EX1021">
    <cfRule type="cellIs" dxfId="103" priority="120" operator="greaterThan">
      <formula>0</formula>
    </cfRule>
  </conditionalFormatting>
  <conditionalFormatting sqref="F1041:F1049">
    <cfRule type="cellIs" dxfId="102" priority="117" operator="notEqual">
      <formula>0</formula>
    </cfRule>
    <cfRule type="cellIs" dxfId="101" priority="118" operator="greaterThan">
      <formula>0</formula>
    </cfRule>
    <cfRule type="cellIs" dxfId="100" priority="119" operator="notEqual">
      <formula>0</formula>
    </cfRule>
  </conditionalFormatting>
  <conditionalFormatting sqref="J1041:EX1049">
    <cfRule type="cellIs" dxfId="99" priority="116" operator="greaterThan">
      <formula>0</formula>
    </cfRule>
  </conditionalFormatting>
  <conditionalFormatting sqref="F1051:F1059">
    <cfRule type="cellIs" dxfId="98" priority="113" operator="notEqual">
      <formula>0</formula>
    </cfRule>
    <cfRule type="cellIs" dxfId="97" priority="114" operator="greaterThan">
      <formula>0</formula>
    </cfRule>
    <cfRule type="cellIs" dxfId="96" priority="115" operator="notEqual">
      <formula>0</formula>
    </cfRule>
  </conditionalFormatting>
  <conditionalFormatting sqref="J1051:EX1059 J1061:EX1065">
    <cfRule type="cellIs" dxfId="95" priority="111" operator="greaterThan">
      <formula>0</formula>
    </cfRule>
  </conditionalFormatting>
  <conditionalFormatting sqref="F1061:F1065">
    <cfRule type="cellIs" dxfId="94" priority="108" operator="notEqual">
      <formula>0</formula>
    </cfRule>
    <cfRule type="cellIs" dxfId="93" priority="109" operator="greaterThan">
      <formula>0</formula>
    </cfRule>
    <cfRule type="cellIs" dxfId="92" priority="110" operator="notEqual">
      <formula>0</formula>
    </cfRule>
  </conditionalFormatting>
  <conditionalFormatting sqref="F1069:F1077">
    <cfRule type="cellIs" dxfId="91" priority="96" operator="notEqual">
      <formula>0</formula>
    </cfRule>
    <cfRule type="cellIs" dxfId="90" priority="97" operator="greaterThan">
      <formula>0</formula>
    </cfRule>
    <cfRule type="cellIs" dxfId="89" priority="98" operator="notEqual">
      <formula>0</formula>
    </cfRule>
  </conditionalFormatting>
  <conditionalFormatting sqref="J1069:EX1077 J1079:EX1087 J1089:EX1093">
    <cfRule type="cellIs" dxfId="88" priority="95" operator="greaterThan">
      <formula>0</formula>
    </cfRule>
  </conditionalFormatting>
  <conditionalFormatting sqref="F1079:F1087">
    <cfRule type="cellIs" dxfId="87" priority="92" operator="notEqual">
      <formula>0</formula>
    </cfRule>
    <cfRule type="cellIs" dxfId="86" priority="93" operator="greaterThan">
      <formula>0</formula>
    </cfRule>
    <cfRule type="cellIs" dxfId="85" priority="94" operator="notEqual">
      <formula>0</formula>
    </cfRule>
  </conditionalFormatting>
  <conditionalFormatting sqref="F1089:F1093">
    <cfRule type="cellIs" dxfId="84" priority="89" operator="notEqual">
      <formula>0</formula>
    </cfRule>
    <cfRule type="cellIs" dxfId="83" priority="90" operator="greaterThan">
      <formula>0</formula>
    </cfRule>
    <cfRule type="cellIs" dxfId="82" priority="91" operator="notEqual">
      <formula>0</formula>
    </cfRule>
  </conditionalFormatting>
  <conditionalFormatting sqref="F1097:F1105 F1107:F1115 F1117:F1121">
    <cfRule type="cellIs" dxfId="81" priority="86" operator="notEqual">
      <formula>0</formula>
    </cfRule>
    <cfRule type="cellIs" dxfId="80" priority="87" operator="greaterThan">
      <formula>0</formula>
    </cfRule>
    <cfRule type="cellIs" dxfId="79" priority="88" operator="notEqual">
      <formula>0</formula>
    </cfRule>
  </conditionalFormatting>
  <conditionalFormatting sqref="J1097:EX1105 J1117:EX1121 J1107:EX1115">
    <cfRule type="cellIs" dxfId="78" priority="85" operator="greaterThan">
      <formula>0</formula>
    </cfRule>
  </conditionalFormatting>
  <conditionalFormatting sqref="F1125:F1133 F1135:F1143 F1145:F1149">
    <cfRule type="cellIs" dxfId="77" priority="82" operator="notEqual">
      <formula>0</formula>
    </cfRule>
    <cfRule type="cellIs" dxfId="76" priority="83" operator="greaterThan">
      <formula>0</formula>
    </cfRule>
    <cfRule type="cellIs" dxfId="75" priority="84" operator="notEqual">
      <formula>0</formula>
    </cfRule>
  </conditionalFormatting>
  <conditionalFormatting sqref="J1125:EX1133 J1135:EX1143 J1145:EX1149">
    <cfRule type="cellIs" dxfId="74" priority="81" operator="greaterThan">
      <formula>0</formula>
    </cfRule>
  </conditionalFormatting>
  <conditionalFormatting sqref="F1153:F1161">
    <cfRule type="cellIs" dxfId="73" priority="78" operator="notEqual">
      <formula>0</formula>
    </cfRule>
    <cfRule type="cellIs" dxfId="72" priority="79" operator="greaterThan">
      <formula>0</formula>
    </cfRule>
    <cfRule type="cellIs" dxfId="71" priority="80" operator="notEqual">
      <formula>0</formula>
    </cfRule>
  </conditionalFormatting>
  <conditionalFormatting sqref="F1163:F1171">
    <cfRule type="cellIs" dxfId="70" priority="75" operator="notEqual">
      <formula>0</formula>
    </cfRule>
    <cfRule type="cellIs" dxfId="69" priority="76" operator="greaterThan">
      <formula>0</formula>
    </cfRule>
    <cfRule type="cellIs" dxfId="68" priority="77" operator="notEqual">
      <formula>0</formula>
    </cfRule>
  </conditionalFormatting>
  <conditionalFormatting sqref="F1173:F1177">
    <cfRule type="cellIs" dxfId="67" priority="72" operator="notEqual">
      <formula>0</formula>
    </cfRule>
    <cfRule type="cellIs" dxfId="66" priority="73" operator="greaterThan">
      <formula>0</formula>
    </cfRule>
    <cfRule type="cellIs" dxfId="65" priority="74" operator="notEqual">
      <formula>0</formula>
    </cfRule>
  </conditionalFormatting>
  <conditionalFormatting sqref="J1153:EX1161 J1163:EX1171 J1173:EX1177">
    <cfRule type="cellIs" dxfId="64" priority="71" operator="greaterThan">
      <formula>0</formula>
    </cfRule>
  </conditionalFormatting>
  <conditionalFormatting sqref="F1181:F1189">
    <cfRule type="cellIs" dxfId="63" priority="68" operator="notEqual">
      <formula>0</formula>
    </cfRule>
    <cfRule type="cellIs" dxfId="62" priority="69" operator="greaterThan">
      <formula>0</formula>
    </cfRule>
    <cfRule type="cellIs" dxfId="61" priority="70" operator="notEqual">
      <formula>0</formula>
    </cfRule>
  </conditionalFormatting>
  <conditionalFormatting sqref="J1181:EX1189 J1191:EX1199 J1201:EX1205">
    <cfRule type="cellIs" dxfId="60" priority="67" operator="greaterThan">
      <formula>0</formula>
    </cfRule>
  </conditionalFormatting>
  <conditionalFormatting sqref="F1191:F1199">
    <cfRule type="cellIs" dxfId="59" priority="64" operator="notEqual">
      <formula>0</formula>
    </cfRule>
    <cfRule type="cellIs" dxfId="58" priority="65" operator="greaterThan">
      <formula>0</formula>
    </cfRule>
    <cfRule type="cellIs" dxfId="57" priority="66" operator="notEqual">
      <formula>0</formula>
    </cfRule>
  </conditionalFormatting>
  <conditionalFormatting sqref="F1201:F1205">
    <cfRule type="cellIs" dxfId="56" priority="61" operator="notEqual">
      <formula>0</formula>
    </cfRule>
    <cfRule type="cellIs" dxfId="55" priority="62" operator="greaterThan">
      <formula>0</formula>
    </cfRule>
    <cfRule type="cellIs" dxfId="54" priority="63" operator="notEqual">
      <formula>0</formula>
    </cfRule>
  </conditionalFormatting>
  <conditionalFormatting sqref="F1209:F1217">
    <cfRule type="cellIs" dxfId="53" priority="58" operator="notEqual">
      <formula>0</formula>
    </cfRule>
    <cfRule type="cellIs" dxfId="52" priority="59" operator="greaterThan">
      <formula>0</formula>
    </cfRule>
    <cfRule type="cellIs" dxfId="51" priority="60" operator="notEqual">
      <formula>0</formula>
    </cfRule>
  </conditionalFormatting>
  <conditionalFormatting sqref="F1219:F1227">
    <cfRule type="cellIs" dxfId="50" priority="55" operator="notEqual">
      <formula>0</formula>
    </cfRule>
    <cfRule type="cellIs" dxfId="49" priority="56" operator="greaterThan">
      <formula>0</formula>
    </cfRule>
    <cfRule type="cellIs" dxfId="48" priority="57" operator="notEqual">
      <formula>0</formula>
    </cfRule>
  </conditionalFormatting>
  <conditionalFormatting sqref="F1229:F1233">
    <cfRule type="cellIs" dxfId="47" priority="52" operator="notEqual">
      <formula>0</formula>
    </cfRule>
    <cfRule type="cellIs" dxfId="46" priority="53" operator="greaterThan">
      <formula>0</formula>
    </cfRule>
    <cfRule type="cellIs" dxfId="45" priority="54" operator="notEqual">
      <formula>0</formula>
    </cfRule>
  </conditionalFormatting>
  <conditionalFormatting sqref="J1209:EX1217 J1219:EX1227 J1229:EX1233">
    <cfRule type="cellIs" dxfId="44" priority="51" operator="greaterThan">
      <formula>0</formula>
    </cfRule>
  </conditionalFormatting>
  <conditionalFormatting sqref="F1237:F1245 F1247:F1255 F1257:F1261">
    <cfRule type="cellIs" dxfId="43" priority="48" operator="notEqual">
      <formula>0</formula>
    </cfRule>
    <cfRule type="cellIs" dxfId="42" priority="49" operator="greaterThan">
      <formula>0</formula>
    </cfRule>
    <cfRule type="cellIs" dxfId="41" priority="50" operator="notEqual">
      <formula>0</formula>
    </cfRule>
  </conditionalFormatting>
  <conditionalFormatting sqref="J1237:EX1245 J1247:EX1255 J1257:EX1261">
    <cfRule type="cellIs" dxfId="40" priority="47" operator="greaterThan">
      <formula>0</formula>
    </cfRule>
  </conditionalFormatting>
  <conditionalFormatting sqref="EZ491">
    <cfRule type="cellIs" dxfId="39" priority="45" operator="greaterThan">
      <formula>0</formula>
    </cfRule>
  </conditionalFormatting>
  <conditionalFormatting sqref="EZ496 EZ498">
    <cfRule type="cellIs" dxfId="38" priority="46" operator="greaterThan">
      <formula>0</formula>
    </cfRule>
  </conditionalFormatting>
  <conditionalFormatting sqref="EZ650">
    <cfRule type="cellIs" dxfId="37" priority="43" operator="greaterThan">
      <formula>0</formula>
    </cfRule>
  </conditionalFormatting>
  <conditionalFormatting sqref="EZ655:EZ657">
    <cfRule type="cellIs" dxfId="36" priority="44" operator="greaterThan">
      <formula>0</formula>
    </cfRule>
  </conditionalFormatting>
  <conditionalFormatting sqref="EZ809">
    <cfRule type="cellIs" dxfId="35" priority="41" operator="greaterThan">
      <formula>0</formula>
    </cfRule>
  </conditionalFormatting>
  <conditionalFormatting sqref="EZ814:EZ816">
    <cfRule type="cellIs" dxfId="34" priority="42" operator="greaterThan">
      <formula>0</formula>
    </cfRule>
  </conditionalFormatting>
  <conditionalFormatting sqref="EZ968">
    <cfRule type="cellIs" dxfId="33" priority="39" operator="greaterThan">
      <formula>0</formula>
    </cfRule>
  </conditionalFormatting>
  <conditionalFormatting sqref="EZ973:EZ980">
    <cfRule type="cellIs" dxfId="32" priority="40" operator="greaterThan">
      <formula>0</formula>
    </cfRule>
  </conditionalFormatting>
  <conditionalFormatting sqref="E343">
    <cfRule type="cellIs" dxfId="31" priority="32" operator="greaterThan">
      <formula>0</formula>
    </cfRule>
  </conditionalFormatting>
  <conditionalFormatting sqref="F343:G353">
    <cfRule type="cellIs" dxfId="30" priority="31" operator="greaterThan">
      <formula>0</formula>
    </cfRule>
  </conditionalFormatting>
  <conditionalFormatting sqref="F356:G366">
    <cfRule type="cellIs" dxfId="29" priority="30" operator="greaterThan">
      <formula>0</formula>
    </cfRule>
  </conditionalFormatting>
  <conditionalFormatting sqref="F369:G407">
    <cfRule type="cellIs" dxfId="28" priority="29" operator="greaterThan">
      <formula>0</formula>
    </cfRule>
  </conditionalFormatting>
  <conditionalFormatting sqref="F410:G490">
    <cfRule type="cellIs" dxfId="27" priority="28" operator="greaterThan">
      <formula>0</formula>
    </cfRule>
  </conditionalFormatting>
  <conditionalFormatting sqref="F493:G495">
    <cfRule type="cellIs" dxfId="26" priority="27" operator="greaterThan">
      <formula>0</formula>
    </cfRule>
  </conditionalFormatting>
  <conditionalFormatting sqref="E502">
    <cfRule type="cellIs" dxfId="25" priority="26" operator="greaterThan">
      <formula>0</formula>
    </cfRule>
  </conditionalFormatting>
  <conditionalFormatting sqref="F502:G512">
    <cfRule type="cellIs" dxfId="24" priority="25" operator="greaterThan">
      <formula>0</formula>
    </cfRule>
  </conditionalFormatting>
  <conditionalFormatting sqref="F515:G525">
    <cfRule type="cellIs" dxfId="23" priority="24" operator="greaterThan">
      <formula>0</formula>
    </cfRule>
  </conditionalFormatting>
  <conditionalFormatting sqref="F528:G566">
    <cfRule type="cellIs" dxfId="22" priority="23" operator="greaterThan">
      <formula>0</formula>
    </cfRule>
  </conditionalFormatting>
  <conditionalFormatting sqref="F569:G649">
    <cfRule type="cellIs" dxfId="21" priority="22" operator="greaterThan">
      <formula>0</formula>
    </cfRule>
  </conditionalFormatting>
  <conditionalFormatting sqref="F651:G654">
    <cfRule type="cellIs" dxfId="20" priority="21" operator="greaterThan">
      <formula>0</formula>
    </cfRule>
  </conditionalFormatting>
  <conditionalFormatting sqref="E661">
    <cfRule type="cellIs" dxfId="19" priority="20" operator="greaterThan">
      <formula>0</formula>
    </cfRule>
  </conditionalFormatting>
  <conditionalFormatting sqref="F661:G671">
    <cfRule type="cellIs" dxfId="18" priority="19" operator="greaterThan">
      <formula>0</formula>
    </cfRule>
  </conditionalFormatting>
  <conditionalFormatting sqref="E674:E684">
    <cfRule type="cellIs" dxfId="17" priority="18" operator="greaterThan">
      <formula>0</formula>
    </cfRule>
  </conditionalFormatting>
  <conditionalFormatting sqref="F674:G684">
    <cfRule type="cellIs" dxfId="16" priority="17" operator="greaterThan">
      <formula>0</formula>
    </cfRule>
  </conditionalFormatting>
  <conditionalFormatting sqref="E687:E725">
    <cfRule type="cellIs" dxfId="15" priority="16" operator="greaterThan">
      <formula>0</formula>
    </cfRule>
  </conditionalFormatting>
  <conditionalFormatting sqref="F687:G725">
    <cfRule type="cellIs" dxfId="14" priority="15" operator="greaterThan">
      <formula>0</formula>
    </cfRule>
  </conditionalFormatting>
  <conditionalFormatting sqref="E728:E808">
    <cfRule type="cellIs" dxfId="13" priority="14" operator="greaterThan">
      <formula>0</formula>
    </cfRule>
  </conditionalFormatting>
  <conditionalFormatting sqref="F728:G808">
    <cfRule type="cellIs" dxfId="12" priority="13" operator="greaterThan">
      <formula>0</formula>
    </cfRule>
  </conditionalFormatting>
  <conditionalFormatting sqref="E811:E813">
    <cfRule type="cellIs" dxfId="11" priority="12" operator="greaterThan">
      <formula>0</formula>
    </cfRule>
  </conditionalFormatting>
  <conditionalFormatting sqref="F811:G813">
    <cfRule type="cellIs" dxfId="10" priority="11" operator="greaterThan">
      <formula>0</formula>
    </cfRule>
  </conditionalFormatting>
  <conditionalFormatting sqref="E820">
    <cfRule type="cellIs" dxfId="9" priority="10" operator="greaterThan">
      <formula>0</formula>
    </cfRule>
  </conditionalFormatting>
  <conditionalFormatting sqref="F820:G830">
    <cfRule type="cellIs" dxfId="8" priority="9" operator="greaterThan">
      <formula>0</formula>
    </cfRule>
  </conditionalFormatting>
  <conditionalFormatting sqref="E833:E843">
    <cfRule type="cellIs" dxfId="7" priority="8" operator="greaterThan">
      <formula>0</formula>
    </cfRule>
  </conditionalFormatting>
  <conditionalFormatting sqref="F833:G843">
    <cfRule type="cellIs" dxfId="6" priority="7" operator="greaterThan">
      <formula>0</formula>
    </cfRule>
  </conditionalFormatting>
  <conditionalFormatting sqref="E846:E884">
    <cfRule type="cellIs" dxfId="5" priority="6" operator="greaterThan">
      <formula>0</formula>
    </cfRule>
  </conditionalFormatting>
  <conditionalFormatting sqref="F846:G884">
    <cfRule type="cellIs" dxfId="4" priority="5" operator="greaterThan">
      <formula>0</formula>
    </cfRule>
  </conditionalFormatting>
  <conditionalFormatting sqref="E887:E967">
    <cfRule type="cellIs" dxfId="3" priority="4" operator="greaterThan">
      <formula>0</formula>
    </cfRule>
  </conditionalFormatting>
  <conditionalFormatting sqref="F887:G967">
    <cfRule type="cellIs" dxfId="2" priority="3" operator="greaterThan">
      <formula>0</formula>
    </cfRule>
  </conditionalFormatting>
  <conditionalFormatting sqref="E970:E972">
    <cfRule type="cellIs" dxfId="1" priority="2" operator="greaterThan">
      <formula>0</formula>
    </cfRule>
  </conditionalFormatting>
  <conditionalFormatting sqref="F970:G972">
    <cfRule type="cellIs" dxfId="0" priority="1" operator="greaterThan">
      <formula>0</formula>
    </cfRule>
  </conditionalFormatting>
  <pageMargins left="1.299212598425197" right="0.51181102362204722" top="0.94488188976377963" bottom="0.55118110236220474" header="0.31496062992125984" footer="0"/>
  <pageSetup paperSize="9" orientation="landscape" r:id="rId1"/>
  <rowBreaks count="20" manualBreakCount="20">
    <brk id="12" max="154" man="1"/>
    <brk id="45" max="154" man="1"/>
    <brk id="75" max="145" man="1"/>
    <brk id="105" max="145" man="1"/>
    <brk id="135" max="145" man="1"/>
    <brk id="165" max="145" man="1"/>
    <brk id="195" max="145" man="1"/>
    <brk id="225" max="145" man="1"/>
    <brk id="255" max="145" man="1"/>
    <brk id="285" max="145" man="1"/>
    <brk id="339" max="167" man="1"/>
    <brk id="980" max="167" man="1"/>
    <brk id="1039" max="145" man="1"/>
    <brk id="1067" max="145" man="1"/>
    <brk id="1095" max="145" man="1"/>
    <brk id="1123" max="145" man="1"/>
    <brk id="1151" max="145" man="1"/>
    <brk id="1179" max="145" man="1"/>
    <brk id="1207" max="145" man="1"/>
    <brk id="1235" max="145" man="1"/>
  </rowBreaks>
  <colBreaks count="1" manualBreakCount="1">
    <brk id="9" max="1267" man="1"/>
  </colBreaks>
  <ignoredErrors>
    <ignoredError sqref="EY306 D994:E994 J994:EY994" formula="1"/>
  </ignoredErrors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M37"/>
  <sheetViews>
    <sheetView view="pageBreakPreview" topLeftCell="A19" zoomScaleNormal="100" zoomScaleSheetLayoutView="100" workbookViewId="0">
      <selection activeCell="A29" sqref="A29:J33"/>
    </sheetView>
  </sheetViews>
  <sheetFormatPr defaultColWidth="8.88671875" defaultRowHeight="13.8" x14ac:dyDescent="0.25"/>
  <cols>
    <col min="1" max="1" width="4.109375" style="699" customWidth="1"/>
    <col min="2" max="2" width="24.6640625" style="699" customWidth="1"/>
    <col min="3" max="3" width="7.6640625" style="699" customWidth="1"/>
    <col min="4" max="7" width="7.5546875" style="699" customWidth="1"/>
    <col min="8" max="8" width="7.44140625" style="699" customWidth="1"/>
    <col min="9" max="9" width="6.88671875" style="699" customWidth="1"/>
    <col min="10" max="10" width="7.6640625" style="699" customWidth="1"/>
    <col min="11" max="11" width="3.88671875" style="699" customWidth="1"/>
    <col min="12" max="16384" width="8.88671875" style="69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35)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723"/>
      <c r="I6" s="723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54</v>
      </c>
    </row>
    <row r="8" spans="1:10" s="2" customFormat="1" ht="9.6" customHeight="1" x14ac:dyDescent="0.25">
      <c r="A8" s="724"/>
      <c r="B8" s="724"/>
      <c r="C8" s="724"/>
      <c r="D8" s="724"/>
      <c r="E8" s="724"/>
      <c r="F8" s="724"/>
      <c r="G8" s="724"/>
      <c r="H8" s="724"/>
      <c r="I8" s="724"/>
      <c r="J8" s="109"/>
    </row>
    <row r="9" spans="1:10" s="2" customFormat="1" ht="26.1" customHeight="1" x14ac:dyDescent="0.3">
      <c r="A9" s="1550" t="s">
        <v>919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'53-салат из свеклы с горошком'!H14+1</f>
        <v>35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720" t="s">
        <v>92</v>
      </c>
      <c r="D17" s="720" t="s">
        <v>94</v>
      </c>
      <c r="E17" s="720" t="s">
        <v>93</v>
      </c>
      <c r="F17" s="720" t="s">
        <v>23</v>
      </c>
      <c r="G17" s="720" t="s">
        <v>92</v>
      </c>
      <c r="H17" s="720" t="s">
        <v>94</v>
      </c>
      <c r="I17" s="720" t="s">
        <v>92</v>
      </c>
      <c r="J17" s="720" t="s">
        <v>94</v>
      </c>
    </row>
    <row r="18" spans="1:13" ht="9.6" customHeight="1" x14ac:dyDescent="0.25">
      <c r="A18" s="720">
        <v>1</v>
      </c>
      <c r="B18" s="722">
        <v>2</v>
      </c>
      <c r="C18" s="720">
        <v>3</v>
      </c>
      <c r="D18" s="722">
        <v>4</v>
      </c>
      <c r="E18" s="720">
        <v>5</v>
      </c>
      <c r="F18" s="722">
        <v>6</v>
      </c>
      <c r="G18" s="720">
        <v>7</v>
      </c>
      <c r="H18" s="722">
        <v>8</v>
      </c>
      <c r="I18" s="720">
        <v>9</v>
      </c>
      <c r="J18" s="722">
        <v>10</v>
      </c>
    </row>
    <row r="19" spans="1:13" s="10" customFormat="1" ht="13.95" customHeight="1" x14ac:dyDescent="0.25">
      <c r="A19" s="180">
        <v>1</v>
      </c>
      <c r="B19" s="20" t="s">
        <v>52</v>
      </c>
      <c r="C19" s="21">
        <v>0.85599999999999998</v>
      </c>
      <c r="D19" s="21">
        <v>0.67</v>
      </c>
      <c r="E19" s="408">
        <f>цены!F51</f>
        <v>30</v>
      </c>
      <c r="F19" s="408">
        <f>C19*E19</f>
        <v>25.68</v>
      </c>
      <c r="G19" s="97">
        <f t="shared" ref="G19:H22" si="0">C19*10</f>
        <v>8.56</v>
      </c>
      <c r="H19" s="21">
        <f t="shared" si="0"/>
        <v>6.7</v>
      </c>
      <c r="I19" s="21">
        <f t="shared" ref="I19:J22" si="1">C19*100</f>
        <v>85.6</v>
      </c>
      <c r="J19" s="21">
        <f t="shared" si="1"/>
        <v>67</v>
      </c>
      <c r="L19" s="1015">
        <f>C19/C$27</f>
        <v>5.1349730053989198E-2</v>
      </c>
      <c r="M19" s="1015">
        <f>F19/C$27</f>
        <v>1.5404919016196801</v>
      </c>
    </row>
    <row r="20" spans="1:13" s="10" customFormat="1" ht="13.95" customHeight="1" x14ac:dyDescent="0.25">
      <c r="A20" s="180">
        <v>3</v>
      </c>
      <c r="B20" s="20" t="s">
        <v>60</v>
      </c>
      <c r="C20" s="21">
        <v>0.35699999999999998</v>
      </c>
      <c r="D20" s="21">
        <v>0.25</v>
      </c>
      <c r="E20" s="408">
        <f>цены!F71</f>
        <v>91</v>
      </c>
      <c r="F20" s="408">
        <f>C20*E20</f>
        <v>32.49</v>
      </c>
      <c r="G20" s="97">
        <f t="shared" si="0"/>
        <v>3.57</v>
      </c>
      <c r="H20" s="21">
        <f t="shared" si="0"/>
        <v>2.5</v>
      </c>
      <c r="I20" s="21">
        <f t="shared" si="1"/>
        <v>35.700000000000003</v>
      </c>
      <c r="J20" s="21">
        <f t="shared" si="1"/>
        <v>25</v>
      </c>
      <c r="L20" s="1015">
        <f t="shared" ref="L20:L22" si="2">C20/C$27</f>
        <v>2.14157168566287E-2</v>
      </c>
      <c r="M20" s="1015">
        <f t="shared" ref="M20:M22" si="3">F20/C$27</f>
        <v>1.94901019796041</v>
      </c>
    </row>
    <row r="21" spans="1:13" s="10" customFormat="1" ht="13.95" customHeight="1" x14ac:dyDescent="0.25">
      <c r="A21" s="180">
        <v>4</v>
      </c>
      <c r="B21" s="20" t="s">
        <v>30</v>
      </c>
      <c r="C21" s="21">
        <v>0.03</v>
      </c>
      <c r="D21" s="21">
        <v>0.03</v>
      </c>
      <c r="E21" s="408">
        <f>цены!F107</f>
        <v>76</v>
      </c>
      <c r="F21" s="408">
        <f>C21*E21</f>
        <v>2.2799999999999998</v>
      </c>
      <c r="G21" s="97">
        <f t="shared" si="0"/>
        <v>0.3</v>
      </c>
      <c r="H21" s="21">
        <f t="shared" si="0"/>
        <v>0.3</v>
      </c>
      <c r="I21" s="21">
        <f t="shared" si="1"/>
        <v>3</v>
      </c>
      <c r="J21" s="21">
        <f t="shared" si="1"/>
        <v>3</v>
      </c>
      <c r="L21" s="1015">
        <f t="shared" si="2"/>
        <v>1.7996400719855999E-3</v>
      </c>
      <c r="M21" s="1015">
        <f t="shared" si="3"/>
        <v>0.13677264547090601</v>
      </c>
    </row>
    <row r="22" spans="1:13" s="10" customFormat="1" ht="13.95" customHeight="1" x14ac:dyDescent="0.25">
      <c r="A22" s="180">
        <v>5</v>
      </c>
      <c r="B22" s="20" t="s">
        <v>74</v>
      </c>
      <c r="C22" s="21">
        <v>0.06</v>
      </c>
      <c r="D22" s="21">
        <v>0.06</v>
      </c>
      <c r="E22" s="408">
        <f>цены!F87</f>
        <v>120</v>
      </c>
      <c r="F22" s="408">
        <f>C22*E22</f>
        <v>7.2</v>
      </c>
      <c r="G22" s="97">
        <f t="shared" si="0"/>
        <v>0.6</v>
      </c>
      <c r="H22" s="21">
        <f t="shared" si="0"/>
        <v>0.6</v>
      </c>
      <c r="I22" s="21">
        <f t="shared" si="1"/>
        <v>6</v>
      </c>
      <c r="J22" s="21">
        <f t="shared" si="1"/>
        <v>6</v>
      </c>
      <c r="L22" s="1015">
        <f t="shared" si="2"/>
        <v>3.5992801439712098E-3</v>
      </c>
      <c r="M22" s="1015">
        <f t="shared" si="3"/>
        <v>0.43191361727654498</v>
      </c>
    </row>
    <row r="23" spans="1:13" s="10" customFormat="1" ht="15" customHeight="1" x14ac:dyDescent="0.25">
      <c r="A23" s="98"/>
      <c r="B23" s="93" t="s">
        <v>100</v>
      </c>
      <c r="C23" s="100"/>
      <c r="D23" s="100">
        <v>1</v>
      </c>
      <c r="E23" s="95"/>
      <c r="F23" s="95">
        <f>SUM(F19:F22)</f>
        <v>67.650000000000006</v>
      </c>
      <c r="G23" s="99"/>
      <c r="H23" s="100">
        <f>D23*10</f>
        <v>10</v>
      </c>
      <c r="I23" s="100"/>
      <c r="J23" s="100">
        <f>D23*100</f>
        <v>100</v>
      </c>
      <c r="L23" s="1015">
        <f>SUM(L19:L22)</f>
        <v>7.8164367126574694E-2</v>
      </c>
      <c r="M23" s="1015">
        <f>SUM(M19:M22)</f>
        <v>4.0581883623275399</v>
      </c>
    </row>
    <row r="24" spans="1:13" s="10" customFormat="1" ht="27.6" customHeight="1" x14ac:dyDescent="0.25">
      <c r="A24" s="1536" t="s">
        <v>35</v>
      </c>
      <c r="B24" s="1536"/>
      <c r="C24" s="90"/>
      <c r="D24" s="90"/>
      <c r="E24" s="408"/>
      <c r="F24" s="408">
        <f>F23</f>
        <v>67.650000000000006</v>
      </c>
      <c r="G24" s="721"/>
      <c r="H24" s="721"/>
      <c r="I24" s="21"/>
      <c r="J24" s="408"/>
    </row>
    <row r="25" spans="1:13" s="10" customFormat="1" ht="25.35" customHeight="1" x14ac:dyDescent="0.25">
      <c r="A25" s="1536" t="s">
        <v>36</v>
      </c>
      <c r="B25" s="1536"/>
      <c r="C25" s="90">
        <v>1000</v>
      </c>
      <c r="D25" s="90"/>
      <c r="E25" s="408"/>
      <c r="F25" s="408"/>
      <c r="G25" s="408"/>
      <c r="H25" s="408"/>
      <c r="I25" s="21"/>
      <c r="J25" s="17"/>
    </row>
    <row r="26" spans="1:13" s="10" customFormat="1" ht="25.35" customHeight="1" x14ac:dyDescent="0.25">
      <c r="A26" s="1537" t="s">
        <v>37</v>
      </c>
      <c r="B26" s="1538"/>
      <c r="C26" s="91">
        <v>60</v>
      </c>
      <c r="D26" s="92"/>
      <c r="E26" s="722"/>
      <c r="F26" s="722"/>
      <c r="G26" s="722"/>
      <c r="H26" s="722"/>
      <c r="I26" s="21"/>
      <c r="J26" s="17"/>
    </row>
    <row r="27" spans="1:13" s="10" customFormat="1" ht="15" customHeight="1" x14ac:dyDescent="0.25">
      <c r="A27" s="1539" t="s">
        <v>38</v>
      </c>
      <c r="B27" s="1540"/>
      <c r="C27" s="249">
        <f>C25/C26</f>
        <v>16.670000000000002</v>
      </c>
      <c r="D27" s="92"/>
      <c r="E27" s="722"/>
      <c r="F27" s="722"/>
      <c r="G27" s="722"/>
      <c r="H27" s="722"/>
      <c r="I27" s="21"/>
      <c r="J27" s="17"/>
    </row>
    <row r="28" spans="1:13" ht="16.350000000000001" customHeight="1" x14ac:dyDescent="0.25">
      <c r="A28" s="1541" t="s">
        <v>39</v>
      </c>
      <c r="B28" s="1542"/>
      <c r="C28" s="15" t="s">
        <v>40</v>
      </c>
      <c r="D28" s="102"/>
      <c r="E28" s="102" t="s">
        <v>40</v>
      </c>
      <c r="F28" s="16">
        <f>F24/C27</f>
        <v>4.0599999999999996</v>
      </c>
      <c r="G28" s="16"/>
      <c r="H28" s="16"/>
      <c r="I28" s="102" t="s">
        <v>40</v>
      </c>
      <c r="J28" s="102" t="s">
        <v>40</v>
      </c>
    </row>
    <row r="29" spans="1:13" ht="23.1" customHeight="1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3" ht="13.95" customHeight="1" x14ac:dyDescent="0.25">
      <c r="A30" s="1193"/>
      <c r="B30" s="1194" t="s">
        <v>49</v>
      </c>
      <c r="C30" s="1198"/>
      <c r="D30" s="1198"/>
      <c r="E30" s="1198"/>
      <c r="F30" s="1198"/>
      <c r="G30" s="1193"/>
      <c r="H30" s="1557">
        <f>'1-бутерброд с маслом'!$H$28</f>
        <v>0</v>
      </c>
      <c r="I30" s="1557"/>
      <c r="J30" s="1557"/>
    </row>
    <row r="31" spans="1:13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3" ht="13.95" customHeight="1" x14ac:dyDescent="0.25">
      <c r="A32" s="1545" t="s">
        <v>327</v>
      </c>
      <c r="B32" s="1545"/>
      <c r="C32" s="1546" t="s">
        <v>328</v>
      </c>
      <c r="D32" s="1546"/>
      <c r="E32" s="1546"/>
      <c r="F32" s="1546"/>
      <c r="G32" s="106"/>
      <c r="H32" s="1531"/>
      <c r="I32" s="1531"/>
      <c r="J32" s="1531"/>
    </row>
    <row r="33" spans="1:10" x14ac:dyDescent="0.25">
      <c r="A33" s="1193"/>
      <c r="B33" s="1193"/>
      <c r="C33" s="1546"/>
      <c r="D33" s="1546"/>
      <c r="E33" s="1546"/>
      <c r="F33" s="1546"/>
      <c r="G33" s="1193"/>
      <c r="H33" s="1531" t="s">
        <v>329</v>
      </c>
      <c r="I33" s="1531"/>
      <c r="J33" s="1531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</sheetData>
  <mergeCells count="28">
    <mergeCell ref="H30:J30"/>
    <mergeCell ref="A13:G13"/>
    <mergeCell ref="A25:B25"/>
    <mergeCell ref="A26:B26"/>
    <mergeCell ref="A27:B27"/>
    <mergeCell ref="A28:B28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2:B32"/>
    <mergeCell ref="C32:F33"/>
    <mergeCell ref="H32:J32"/>
    <mergeCell ref="H33:J33"/>
    <mergeCell ref="H5:I5"/>
    <mergeCell ref="A6:G6"/>
    <mergeCell ref="A7:I7"/>
    <mergeCell ref="A24:B24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M38"/>
  <sheetViews>
    <sheetView view="pageBreakPreview" topLeftCell="A19" zoomScaleNormal="100" zoomScaleSheetLayoutView="100" workbookViewId="0">
      <selection activeCell="A30" sqref="A30:J34"/>
    </sheetView>
  </sheetViews>
  <sheetFormatPr defaultColWidth="8.88671875" defaultRowHeight="13.8" x14ac:dyDescent="0.25"/>
  <cols>
    <col min="1" max="1" width="4.109375" style="699" customWidth="1"/>
    <col min="2" max="2" width="24.6640625" style="699" customWidth="1"/>
    <col min="3" max="3" width="7.6640625" style="699" customWidth="1"/>
    <col min="4" max="7" width="7.5546875" style="699" customWidth="1"/>
    <col min="8" max="8" width="7.44140625" style="699" customWidth="1"/>
    <col min="9" max="9" width="6.88671875" style="699" customWidth="1"/>
    <col min="10" max="10" width="7.6640625" style="699" customWidth="1"/>
    <col min="11" max="11" width="3.44140625" style="699" customWidth="1"/>
    <col min="12" max="16384" width="8.88671875" style="69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36)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723"/>
      <c r="I6" s="723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56</v>
      </c>
    </row>
    <row r="8" spans="1:10" s="2" customFormat="1" ht="9.6" customHeight="1" x14ac:dyDescent="0.25">
      <c r="A8" s="724"/>
      <c r="B8" s="724"/>
      <c r="C8" s="724"/>
      <c r="D8" s="724"/>
      <c r="E8" s="724"/>
      <c r="F8" s="724"/>
      <c r="G8" s="724"/>
      <c r="H8" s="724"/>
      <c r="I8" s="724"/>
      <c r="J8" s="109"/>
    </row>
    <row r="9" spans="1:10" s="2" customFormat="1" ht="26.1" customHeight="1" x14ac:dyDescent="0.3">
      <c r="A9" s="1550" t="s">
        <v>920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'54-салат из свеклы с яблоками'!H14+1</f>
        <v>36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720" t="s">
        <v>92</v>
      </c>
      <c r="D17" s="720" t="s">
        <v>94</v>
      </c>
      <c r="E17" s="720" t="s">
        <v>93</v>
      </c>
      <c r="F17" s="720" t="s">
        <v>23</v>
      </c>
      <c r="G17" s="720" t="s">
        <v>92</v>
      </c>
      <c r="H17" s="720" t="s">
        <v>94</v>
      </c>
      <c r="I17" s="720" t="s">
        <v>92</v>
      </c>
      <c r="J17" s="720" t="s">
        <v>94</v>
      </c>
    </row>
    <row r="18" spans="1:13" ht="9.6" customHeight="1" x14ac:dyDescent="0.25">
      <c r="A18" s="720">
        <v>1</v>
      </c>
      <c r="B18" s="722">
        <v>2</v>
      </c>
      <c r="C18" s="720">
        <v>3</v>
      </c>
      <c r="D18" s="722">
        <v>4</v>
      </c>
      <c r="E18" s="720">
        <v>5</v>
      </c>
      <c r="F18" s="722">
        <v>6</v>
      </c>
      <c r="G18" s="720">
        <v>7</v>
      </c>
      <c r="H18" s="722">
        <v>8</v>
      </c>
      <c r="I18" s="720">
        <v>9</v>
      </c>
      <c r="J18" s="722">
        <v>10</v>
      </c>
    </row>
    <row r="19" spans="1:13" s="10" customFormat="1" ht="13.95" customHeight="1" x14ac:dyDescent="0.25">
      <c r="A19" s="180">
        <v>1</v>
      </c>
      <c r="B19" s="20" t="s">
        <v>52</v>
      </c>
      <c r="C19" s="21">
        <v>0.216</v>
      </c>
      <c r="D19" s="21">
        <v>0.17</v>
      </c>
      <c r="E19" s="408">
        <f>цены!F51</f>
        <v>30</v>
      </c>
      <c r="F19" s="408">
        <f>C19*E19</f>
        <v>6.48</v>
      </c>
      <c r="G19" s="97">
        <f t="shared" ref="G19:H23" si="0">C19*10</f>
        <v>2.16</v>
      </c>
      <c r="H19" s="21">
        <f t="shared" si="0"/>
        <v>1.7</v>
      </c>
      <c r="I19" s="21">
        <f t="shared" ref="I19:J23" si="1">C19*100</f>
        <v>21.6</v>
      </c>
      <c r="J19" s="21">
        <f t="shared" si="1"/>
        <v>17</v>
      </c>
      <c r="L19" s="1015">
        <f>C19/C$28</f>
        <v>1.29574085182963E-2</v>
      </c>
      <c r="M19" s="1015">
        <f>F19/C$28</f>
        <v>0.38872225554889001</v>
      </c>
    </row>
    <row r="20" spans="1:13" s="10" customFormat="1" ht="13.95" customHeight="1" x14ac:dyDescent="0.25">
      <c r="A20" s="180">
        <v>2</v>
      </c>
      <c r="B20" s="20" t="s">
        <v>47</v>
      </c>
      <c r="C20" s="21">
        <v>0.16300000000000001</v>
      </c>
      <c r="D20" s="21">
        <v>0.13</v>
      </c>
      <c r="E20" s="408">
        <f>цены!F44</f>
        <v>50</v>
      </c>
      <c r="F20" s="408">
        <f>C20*E20</f>
        <v>8.15</v>
      </c>
      <c r="G20" s="97">
        <f>C20*10</f>
        <v>1.63</v>
      </c>
      <c r="H20" s="21">
        <f>D20*10</f>
        <v>1.3</v>
      </c>
      <c r="I20" s="21">
        <f>C20*100</f>
        <v>16.3</v>
      </c>
      <c r="J20" s="21">
        <f>D20*100</f>
        <v>13</v>
      </c>
      <c r="L20" s="1015">
        <f t="shared" ref="L20:L23" si="2">C20/C$28</f>
        <v>9.7780443911217804E-3</v>
      </c>
      <c r="M20" s="1015">
        <f t="shared" ref="M20:M23" si="3">F20/C$28</f>
        <v>0.48890221955608898</v>
      </c>
    </row>
    <row r="21" spans="1:13" s="10" customFormat="1" ht="13.95" customHeight="1" x14ac:dyDescent="0.25">
      <c r="A21" s="180">
        <v>3</v>
      </c>
      <c r="B21" s="20" t="s">
        <v>483</v>
      </c>
      <c r="C21" s="21">
        <v>0.375</v>
      </c>
      <c r="D21" s="21">
        <v>0.3</v>
      </c>
      <c r="E21" s="408">
        <f>цены!F33</f>
        <v>53</v>
      </c>
      <c r="F21" s="408">
        <f>C21*E21</f>
        <v>19.88</v>
      </c>
      <c r="G21" s="97">
        <f>C21*10</f>
        <v>3.75</v>
      </c>
      <c r="H21" s="21">
        <f>D21*10</f>
        <v>3</v>
      </c>
      <c r="I21" s="21">
        <f>C21*100</f>
        <v>37.5</v>
      </c>
      <c r="J21" s="21">
        <f>D21*100</f>
        <v>30</v>
      </c>
      <c r="L21" s="1015">
        <f t="shared" si="2"/>
        <v>2.2495500899820001E-2</v>
      </c>
      <c r="M21" s="1015">
        <f t="shared" si="3"/>
        <v>1.19256148770246</v>
      </c>
    </row>
    <row r="22" spans="1:13" s="10" customFormat="1" ht="13.95" customHeight="1" x14ac:dyDescent="0.25">
      <c r="A22" s="180">
        <v>4</v>
      </c>
      <c r="B22" s="20" t="s">
        <v>60</v>
      </c>
      <c r="C22" s="21">
        <v>0.35699999999999998</v>
      </c>
      <c r="D22" s="21">
        <v>0.25</v>
      </c>
      <c r="E22" s="408">
        <f>цены!F71</f>
        <v>91</v>
      </c>
      <c r="F22" s="408">
        <f>C22*E22</f>
        <v>32.49</v>
      </c>
      <c r="G22" s="97">
        <f t="shared" si="0"/>
        <v>3.57</v>
      </c>
      <c r="H22" s="21">
        <f t="shared" si="0"/>
        <v>2.5</v>
      </c>
      <c r="I22" s="21">
        <f t="shared" si="1"/>
        <v>35.700000000000003</v>
      </c>
      <c r="J22" s="21">
        <f t="shared" si="1"/>
        <v>25</v>
      </c>
      <c r="L22" s="1015">
        <f t="shared" si="2"/>
        <v>2.14157168566287E-2</v>
      </c>
      <c r="M22" s="1015">
        <f t="shared" si="3"/>
        <v>1.94901019796041</v>
      </c>
    </row>
    <row r="23" spans="1:13" s="10" customFormat="1" ht="13.95" customHeight="1" x14ac:dyDescent="0.25">
      <c r="A23" s="180">
        <v>5</v>
      </c>
      <c r="B23" s="20" t="s">
        <v>921</v>
      </c>
      <c r="C23" s="21">
        <v>0.193</v>
      </c>
      <c r="D23" s="21">
        <v>8.3000000000000004E-2</v>
      </c>
      <c r="E23" s="408">
        <f>цены!F37</f>
        <v>180</v>
      </c>
      <c r="F23" s="408">
        <f>C23*E23</f>
        <v>34.74</v>
      </c>
      <c r="G23" s="97">
        <f t="shared" si="0"/>
        <v>1.93</v>
      </c>
      <c r="H23" s="21">
        <f t="shared" si="0"/>
        <v>0.83</v>
      </c>
      <c r="I23" s="21">
        <f t="shared" si="1"/>
        <v>19.3</v>
      </c>
      <c r="J23" s="21">
        <f t="shared" si="1"/>
        <v>8.3000000000000007</v>
      </c>
      <c r="L23" s="1015">
        <f t="shared" si="2"/>
        <v>1.1577684463107399E-2</v>
      </c>
      <c r="M23" s="1015">
        <f t="shared" si="3"/>
        <v>2.0839832033593302</v>
      </c>
    </row>
    <row r="24" spans="1:13" s="10" customFormat="1" ht="15" customHeight="1" x14ac:dyDescent="0.25">
      <c r="A24" s="98"/>
      <c r="B24" s="93" t="s">
        <v>100</v>
      </c>
      <c r="C24" s="100"/>
      <c r="D24" s="100">
        <v>1</v>
      </c>
      <c r="E24" s="95"/>
      <c r="F24" s="95">
        <f>SUM(F19:F23)</f>
        <v>101.74</v>
      </c>
      <c r="G24" s="99"/>
      <c r="H24" s="100">
        <f>D24*10</f>
        <v>10</v>
      </c>
      <c r="I24" s="100"/>
      <c r="J24" s="100">
        <f>D24*100</f>
        <v>100</v>
      </c>
      <c r="L24" s="1015">
        <f>SUM(L19:L23)</f>
        <v>7.8224355128974202E-2</v>
      </c>
      <c r="M24" s="1015">
        <f>SUM(M19:M23)</f>
        <v>6.1031793641271799</v>
      </c>
    </row>
    <row r="25" spans="1:13" s="10" customFormat="1" ht="27.6" customHeight="1" x14ac:dyDescent="0.25">
      <c r="A25" s="1536" t="s">
        <v>35</v>
      </c>
      <c r="B25" s="1536"/>
      <c r="C25" s="90"/>
      <c r="D25" s="90"/>
      <c r="E25" s="408"/>
      <c r="F25" s="408">
        <f>F24</f>
        <v>101.74</v>
      </c>
      <c r="G25" s="721"/>
      <c r="H25" s="721"/>
      <c r="I25" s="21"/>
      <c r="J25" s="408"/>
    </row>
    <row r="26" spans="1:13" s="10" customFormat="1" ht="25.35" customHeight="1" x14ac:dyDescent="0.25">
      <c r="A26" s="1536" t="s">
        <v>36</v>
      </c>
      <c r="B26" s="1536"/>
      <c r="C26" s="90">
        <v>1000</v>
      </c>
      <c r="D26" s="90"/>
      <c r="E26" s="408"/>
      <c r="F26" s="408"/>
      <c r="G26" s="408"/>
      <c r="H26" s="408"/>
      <c r="I26" s="21"/>
      <c r="J26" s="17"/>
    </row>
    <row r="27" spans="1:13" s="10" customFormat="1" ht="25.35" customHeight="1" x14ac:dyDescent="0.25">
      <c r="A27" s="1537" t="s">
        <v>37</v>
      </c>
      <c r="B27" s="1538"/>
      <c r="C27" s="91">
        <v>60</v>
      </c>
      <c r="D27" s="92"/>
      <c r="E27" s="722"/>
      <c r="F27" s="722"/>
      <c r="G27" s="722"/>
      <c r="H27" s="722"/>
      <c r="I27" s="21"/>
      <c r="J27" s="17"/>
    </row>
    <row r="28" spans="1:13" s="10" customFormat="1" ht="15" customHeight="1" x14ac:dyDescent="0.25">
      <c r="A28" s="1539" t="s">
        <v>38</v>
      </c>
      <c r="B28" s="1540"/>
      <c r="C28" s="249">
        <f>C26/C27</f>
        <v>16.670000000000002</v>
      </c>
      <c r="D28" s="92"/>
      <c r="E28" s="722"/>
      <c r="F28" s="722"/>
      <c r="G28" s="722"/>
      <c r="H28" s="722"/>
      <c r="I28" s="21"/>
      <c r="J28" s="17"/>
    </row>
    <row r="29" spans="1:13" ht="16.350000000000001" customHeight="1" x14ac:dyDescent="0.25">
      <c r="A29" s="1541" t="s">
        <v>39</v>
      </c>
      <c r="B29" s="1542"/>
      <c r="C29" s="15" t="s">
        <v>40</v>
      </c>
      <c r="D29" s="102"/>
      <c r="E29" s="102" t="s">
        <v>40</v>
      </c>
      <c r="F29" s="16">
        <f>F25/C28</f>
        <v>6.1</v>
      </c>
      <c r="G29" s="16"/>
      <c r="H29" s="16"/>
      <c r="I29" s="102" t="s">
        <v>40</v>
      </c>
      <c r="J29" s="102" t="s">
        <v>40</v>
      </c>
    </row>
    <row r="30" spans="1:13" ht="23.1" customHeight="1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3" ht="13.95" customHeight="1" x14ac:dyDescent="0.25">
      <c r="A31" s="1193"/>
      <c r="B31" s="1194" t="s">
        <v>49</v>
      </c>
      <c r="C31" s="1198"/>
      <c r="D31" s="1198"/>
      <c r="E31" s="1198"/>
      <c r="F31" s="1198"/>
      <c r="G31" s="1193"/>
      <c r="H31" s="1557">
        <f>'1-бутерброд с маслом'!$H$28</f>
        <v>0</v>
      </c>
      <c r="I31" s="1557"/>
      <c r="J31" s="1557"/>
    </row>
    <row r="32" spans="1:13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545" t="s">
        <v>327</v>
      </c>
      <c r="B33" s="1545"/>
      <c r="C33" s="1546" t="s">
        <v>328</v>
      </c>
      <c r="D33" s="1546"/>
      <c r="E33" s="1546"/>
      <c r="F33" s="1546"/>
      <c r="G33" s="106"/>
      <c r="H33" s="1531"/>
      <c r="I33" s="1531"/>
      <c r="J33" s="1531"/>
    </row>
    <row r="34" spans="1:10" x14ac:dyDescent="0.25">
      <c r="A34" s="1193"/>
      <c r="B34" s="1193"/>
      <c r="C34" s="1546"/>
      <c r="D34" s="1546"/>
      <c r="E34" s="1546"/>
      <c r="F34" s="1546"/>
      <c r="G34" s="1193"/>
      <c r="H34" s="1531" t="s">
        <v>329</v>
      </c>
      <c r="I34" s="1531"/>
      <c r="J34" s="1531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</sheetData>
  <mergeCells count="28">
    <mergeCell ref="H31:J31"/>
    <mergeCell ref="A13:G13"/>
    <mergeCell ref="A26:B26"/>
    <mergeCell ref="A27:B27"/>
    <mergeCell ref="A28:B28"/>
    <mergeCell ref="A29:B29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3:B33"/>
    <mergeCell ref="C33:F34"/>
    <mergeCell ref="H33:J33"/>
    <mergeCell ref="H34:J34"/>
    <mergeCell ref="H5:I5"/>
    <mergeCell ref="A6:G6"/>
    <mergeCell ref="A7:I7"/>
    <mergeCell ref="A25:B25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M35"/>
  <sheetViews>
    <sheetView view="pageBreakPreview" topLeftCell="A15" zoomScaleNormal="100" zoomScaleSheetLayoutView="100" workbookViewId="0">
      <selection activeCell="A27" sqref="A27:J31"/>
    </sheetView>
  </sheetViews>
  <sheetFormatPr defaultRowHeight="13.8" x14ac:dyDescent="0.25"/>
  <cols>
    <col min="1" max="1" width="4.109375" customWidth="1"/>
    <col min="2" max="2" width="21" customWidth="1"/>
    <col min="3" max="3" width="8.88671875" customWidth="1"/>
    <col min="4" max="7" width="7.5546875" customWidth="1"/>
    <col min="8" max="8" width="7.44140625" customWidth="1"/>
    <col min="9" max="9" width="8.44140625" customWidth="1"/>
    <col min="10" max="10" width="9.109375" customWidth="1"/>
    <col min="11" max="11" width="5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37)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302"/>
      <c r="I6" s="302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62</v>
      </c>
    </row>
    <row r="8" spans="1:10" s="2" customFormat="1" ht="9.6" customHeight="1" x14ac:dyDescent="0.25">
      <c r="A8" s="303"/>
      <c r="B8" s="303"/>
      <c r="C8" s="303"/>
      <c r="D8" s="303"/>
      <c r="E8" s="303"/>
      <c r="F8" s="303"/>
      <c r="G8" s="303"/>
      <c r="H8" s="303"/>
      <c r="I8" s="303"/>
      <c r="J8" s="109"/>
    </row>
    <row r="9" spans="1:10" s="2" customFormat="1" ht="26.1" customHeight="1" x14ac:dyDescent="0.3">
      <c r="A9" s="1550" t="s">
        <v>561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'56-салат овощной с яблоками'!H14+1</f>
        <v>37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304" t="s">
        <v>92</v>
      </c>
      <c r="D17" s="304" t="s">
        <v>94</v>
      </c>
      <c r="E17" s="304" t="s">
        <v>93</v>
      </c>
      <c r="F17" s="304" t="s">
        <v>23</v>
      </c>
      <c r="G17" s="304" t="s">
        <v>92</v>
      </c>
      <c r="H17" s="304" t="s">
        <v>94</v>
      </c>
      <c r="I17" s="304" t="s">
        <v>92</v>
      </c>
      <c r="J17" s="304" t="s">
        <v>94</v>
      </c>
    </row>
    <row r="18" spans="1:13" ht="9.6" customHeight="1" x14ac:dyDescent="0.25">
      <c r="A18" s="304">
        <v>1</v>
      </c>
      <c r="B18" s="305">
        <v>2</v>
      </c>
      <c r="C18" s="304">
        <v>3</v>
      </c>
      <c r="D18" s="305">
        <v>4</v>
      </c>
      <c r="E18" s="304">
        <v>5</v>
      </c>
      <c r="F18" s="305">
        <v>6</v>
      </c>
      <c r="G18" s="304">
        <v>7</v>
      </c>
      <c r="H18" s="305">
        <v>8</v>
      </c>
      <c r="I18" s="304">
        <v>9</v>
      </c>
      <c r="J18" s="305">
        <v>10</v>
      </c>
    </row>
    <row r="19" spans="1:13" s="10" customFormat="1" ht="14.1" customHeight="1" x14ac:dyDescent="0.25">
      <c r="A19" s="180">
        <v>1</v>
      </c>
      <c r="B19" s="20" t="s">
        <v>47</v>
      </c>
      <c r="C19" s="21">
        <v>1.2</v>
      </c>
      <c r="D19" s="21">
        <v>0.96</v>
      </c>
      <c r="E19" s="13">
        <f>цены!F44</f>
        <v>50</v>
      </c>
      <c r="F19" s="13">
        <f>C19*E19</f>
        <v>60</v>
      </c>
      <c r="G19" s="97">
        <f>C19*10</f>
        <v>12</v>
      </c>
      <c r="H19" s="21">
        <f>D19*10</f>
        <v>9.6</v>
      </c>
      <c r="I19" s="21">
        <f>C19*100</f>
        <v>120</v>
      </c>
      <c r="J19" s="21">
        <f>D19*100</f>
        <v>96</v>
      </c>
      <c r="L19" s="1015">
        <f>C19/C$25</f>
        <v>7.1998560028799397E-2</v>
      </c>
      <c r="M19" s="1015">
        <f>F19/C$25</f>
        <v>3.5999280014399702</v>
      </c>
    </row>
    <row r="20" spans="1:13" s="10" customFormat="1" ht="14.1" customHeight="1" x14ac:dyDescent="0.25">
      <c r="A20" s="299">
        <v>2</v>
      </c>
      <c r="B20" s="20" t="s">
        <v>30</v>
      </c>
      <c r="C20" s="21">
        <v>0.05</v>
      </c>
      <c r="D20" s="21">
        <v>0.05</v>
      </c>
      <c r="E20" s="13">
        <f>цены!F107</f>
        <v>76</v>
      </c>
      <c r="F20" s="13">
        <f>C20*E20</f>
        <v>3.8</v>
      </c>
      <c r="G20" s="97">
        <f>C20*10</f>
        <v>0.5</v>
      </c>
      <c r="H20" s="21">
        <f>D20*10</f>
        <v>0.5</v>
      </c>
      <c r="I20" s="21">
        <f>C20*100</f>
        <v>5</v>
      </c>
      <c r="J20" s="21">
        <f>D20*100</f>
        <v>5</v>
      </c>
      <c r="L20" s="1015">
        <f t="shared" ref="L20" si="0">C20/C$25</f>
        <v>2.9999400011999802E-3</v>
      </c>
      <c r="M20" s="1015">
        <f t="shared" ref="M20" si="1">F20/C$25</f>
        <v>0.22799544009119799</v>
      </c>
    </row>
    <row r="21" spans="1:13" s="10" customFormat="1" ht="12" customHeight="1" x14ac:dyDescent="0.25">
      <c r="A21" s="98"/>
      <c r="B21" s="93" t="s">
        <v>100</v>
      </c>
      <c r="C21" s="100"/>
      <c r="D21" s="100">
        <v>1</v>
      </c>
      <c r="E21" s="95"/>
      <c r="F21" s="95">
        <f>SUM(F19:F20)</f>
        <v>63.8</v>
      </c>
      <c r="G21" s="99"/>
      <c r="H21" s="100">
        <f>D21*10</f>
        <v>10</v>
      </c>
      <c r="I21" s="100"/>
      <c r="J21" s="100">
        <f>D21*100</f>
        <v>100</v>
      </c>
      <c r="L21" s="1015">
        <f>SUM(L19:L20)</f>
        <v>7.4998500029999401E-2</v>
      </c>
      <c r="M21" s="1015">
        <f>SUM(M19:M20)</f>
        <v>3.82792344153117</v>
      </c>
    </row>
    <row r="22" spans="1:13" s="10" customFormat="1" ht="27.6" customHeight="1" x14ac:dyDescent="0.25">
      <c r="A22" s="1536" t="s">
        <v>35</v>
      </c>
      <c r="B22" s="1536"/>
      <c r="C22" s="90"/>
      <c r="D22" s="90"/>
      <c r="E22" s="13"/>
      <c r="F22" s="13">
        <f>F21</f>
        <v>63.8</v>
      </c>
      <c r="G22" s="306"/>
      <c r="H22" s="306"/>
      <c r="I22" s="21"/>
      <c r="J22" s="13"/>
    </row>
    <row r="23" spans="1:13" s="10" customFormat="1" ht="25.35" customHeight="1" x14ac:dyDescent="0.25">
      <c r="A23" s="1536" t="s">
        <v>36</v>
      </c>
      <c r="B23" s="1536"/>
      <c r="C23" s="90">
        <v>1000</v>
      </c>
      <c r="D23" s="90"/>
      <c r="E23" s="13"/>
      <c r="F23" s="13"/>
      <c r="G23" s="13"/>
      <c r="H23" s="13"/>
      <c r="I23" s="21"/>
      <c r="J23" s="17"/>
    </row>
    <row r="24" spans="1:13" s="10" customFormat="1" ht="25.35" customHeight="1" x14ac:dyDescent="0.25">
      <c r="A24" s="1537" t="s">
        <v>37</v>
      </c>
      <c r="B24" s="1538"/>
      <c r="C24" s="91">
        <v>60</v>
      </c>
      <c r="D24" s="92"/>
      <c r="E24" s="305"/>
      <c r="F24" s="305"/>
      <c r="G24" s="305"/>
      <c r="H24" s="305"/>
      <c r="I24" s="21"/>
      <c r="J24" s="17"/>
    </row>
    <row r="25" spans="1:13" s="10" customFormat="1" ht="15" customHeight="1" x14ac:dyDescent="0.25">
      <c r="A25" s="1539" t="s">
        <v>38</v>
      </c>
      <c r="B25" s="1540"/>
      <c r="C25" s="92">
        <f>C23/C24</f>
        <v>16.667000000000002</v>
      </c>
      <c r="D25" s="92"/>
      <c r="E25" s="305"/>
      <c r="F25" s="305"/>
      <c r="G25" s="305"/>
      <c r="H25" s="305"/>
      <c r="I25" s="21"/>
      <c r="J25" s="17"/>
    </row>
    <row r="26" spans="1:13" ht="16.350000000000001" customHeight="1" x14ac:dyDescent="0.25">
      <c r="A26" s="1541" t="s">
        <v>39</v>
      </c>
      <c r="B26" s="1542"/>
      <c r="C26" s="15" t="s">
        <v>40</v>
      </c>
      <c r="D26" s="102"/>
      <c r="E26" s="102" t="s">
        <v>40</v>
      </c>
      <c r="F26" s="16">
        <f>F22/C25</f>
        <v>3.83</v>
      </c>
      <c r="G26" s="16"/>
      <c r="H26" s="16"/>
      <c r="I26" s="102" t="s">
        <v>40</v>
      </c>
      <c r="J26" s="102" t="s">
        <v>40</v>
      </c>
    </row>
    <row r="27" spans="1:13" ht="23.1" customHeight="1" x14ac:dyDescent="0.25">
      <c r="A27" s="1193"/>
      <c r="B27" s="1193"/>
      <c r="C27" s="1193"/>
      <c r="D27" s="1193"/>
      <c r="E27" s="1193"/>
      <c r="F27" s="1193"/>
      <c r="G27" s="1193"/>
      <c r="H27" s="1193"/>
      <c r="I27" s="1193"/>
      <c r="J27" s="1193"/>
    </row>
    <row r="28" spans="1:13" ht="13.95" customHeight="1" x14ac:dyDescent="0.25">
      <c r="A28" s="1193"/>
      <c r="B28" s="1194" t="s">
        <v>49</v>
      </c>
      <c r="C28" s="1198"/>
      <c r="D28" s="1198"/>
      <c r="E28" s="1198"/>
      <c r="F28" s="1198"/>
      <c r="G28" s="1193"/>
      <c r="H28" s="1557">
        <f>'1-бутерброд с маслом'!$H$28</f>
        <v>0</v>
      </c>
      <c r="I28" s="1557"/>
      <c r="J28" s="1557"/>
    </row>
    <row r="29" spans="1:13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3" ht="13.95" customHeight="1" x14ac:dyDescent="0.25">
      <c r="A30" s="1545" t="s">
        <v>327</v>
      </c>
      <c r="B30" s="1545"/>
      <c r="C30" s="1546" t="s">
        <v>328</v>
      </c>
      <c r="D30" s="1546"/>
      <c r="E30" s="1546"/>
      <c r="F30" s="1546"/>
      <c r="G30" s="106"/>
      <c r="H30" s="1531"/>
      <c r="I30" s="1531"/>
      <c r="J30" s="1531"/>
    </row>
    <row r="31" spans="1:13" x14ac:dyDescent="0.25">
      <c r="A31" s="1193"/>
      <c r="B31" s="1193"/>
      <c r="C31" s="1546"/>
      <c r="D31" s="1546"/>
      <c r="E31" s="1546"/>
      <c r="F31" s="1546"/>
      <c r="G31" s="1193"/>
      <c r="H31" s="1531" t="s">
        <v>329</v>
      </c>
      <c r="I31" s="1531"/>
      <c r="J31" s="1531"/>
    </row>
    <row r="32" spans="1:13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0:B30"/>
    <mergeCell ref="C30:F31"/>
    <mergeCell ref="H30:J30"/>
    <mergeCell ref="H31:J31"/>
    <mergeCell ref="A23:B23"/>
    <mergeCell ref="A24:B24"/>
    <mergeCell ref="A25:B25"/>
    <mergeCell ref="A26:B26"/>
    <mergeCell ref="H28:J28"/>
    <mergeCell ref="A22:B22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M37"/>
  <sheetViews>
    <sheetView view="pageBreakPreview" topLeftCell="A20" zoomScaleNormal="100" zoomScaleSheetLayoutView="100" workbookViewId="0">
      <selection activeCell="A29" sqref="A29:J33"/>
    </sheetView>
  </sheetViews>
  <sheetFormatPr defaultColWidth="8.88671875" defaultRowHeight="13.8" x14ac:dyDescent="0.25"/>
  <cols>
    <col min="1" max="1" width="4.109375" style="699" customWidth="1"/>
    <col min="2" max="2" width="21" style="699" customWidth="1"/>
    <col min="3" max="3" width="8.88671875" style="699" customWidth="1"/>
    <col min="4" max="7" width="7.5546875" style="699" customWidth="1"/>
    <col min="8" max="8" width="7.44140625" style="699" customWidth="1"/>
    <col min="9" max="9" width="8.44140625" style="699" customWidth="1"/>
    <col min="10" max="10" width="9.109375" style="699" customWidth="1"/>
    <col min="11" max="11" width="4.6640625" style="699" customWidth="1"/>
    <col min="12" max="16384" width="8.88671875" style="69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38)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708"/>
      <c r="I6" s="708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65</v>
      </c>
    </row>
    <row r="8" spans="1:10" s="2" customFormat="1" ht="9.6" customHeight="1" x14ac:dyDescent="0.25">
      <c r="A8" s="709"/>
      <c r="B8" s="709"/>
      <c r="C8" s="709"/>
      <c r="D8" s="709"/>
      <c r="E8" s="709"/>
      <c r="F8" s="709"/>
      <c r="G8" s="709"/>
      <c r="H8" s="709"/>
      <c r="I8" s="709"/>
      <c r="J8" s="109"/>
    </row>
    <row r="9" spans="1:10" s="2" customFormat="1" ht="26.1" customHeight="1" x14ac:dyDescent="0.3">
      <c r="A9" s="1550" t="s">
        <v>912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'62-салат из моркови'!H14+1</f>
        <v>38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705" t="s">
        <v>92</v>
      </c>
      <c r="D17" s="705" t="s">
        <v>94</v>
      </c>
      <c r="E17" s="705" t="s">
        <v>93</v>
      </c>
      <c r="F17" s="705" t="s">
        <v>23</v>
      </c>
      <c r="G17" s="705" t="s">
        <v>92</v>
      </c>
      <c r="H17" s="705" t="s">
        <v>94</v>
      </c>
      <c r="I17" s="705" t="s">
        <v>92</v>
      </c>
      <c r="J17" s="705" t="s">
        <v>94</v>
      </c>
    </row>
    <row r="18" spans="1:13" ht="9.6" customHeight="1" x14ac:dyDescent="0.25">
      <c r="A18" s="705">
        <v>1</v>
      </c>
      <c r="B18" s="707">
        <v>2</v>
      </c>
      <c r="C18" s="705">
        <v>3</v>
      </c>
      <c r="D18" s="707">
        <v>4</v>
      </c>
      <c r="E18" s="705">
        <v>5</v>
      </c>
      <c r="F18" s="707">
        <v>6</v>
      </c>
      <c r="G18" s="705">
        <v>7</v>
      </c>
      <c r="H18" s="707">
        <v>8</v>
      </c>
      <c r="I18" s="705">
        <v>9</v>
      </c>
      <c r="J18" s="707">
        <v>10</v>
      </c>
    </row>
    <row r="19" spans="1:13" s="10" customFormat="1" ht="14.1" customHeight="1" x14ac:dyDescent="0.25">
      <c r="A19" s="180">
        <v>1</v>
      </c>
      <c r="B19" s="20" t="s">
        <v>47</v>
      </c>
      <c r="C19" s="21">
        <v>0.55000000000000004</v>
      </c>
      <c r="D19" s="21">
        <v>0.44</v>
      </c>
      <c r="E19" s="408">
        <f>цены!F44</f>
        <v>50</v>
      </c>
      <c r="F19" s="408">
        <f>C19*E19</f>
        <v>27.5</v>
      </c>
      <c r="G19" s="97">
        <f t="shared" ref="G19:H22" si="0">C19*10</f>
        <v>5.5</v>
      </c>
      <c r="H19" s="21">
        <f t="shared" si="0"/>
        <v>4.4000000000000004</v>
      </c>
      <c r="I19" s="21">
        <f t="shared" ref="I19:J22" si="1">C19*100</f>
        <v>55</v>
      </c>
      <c r="J19" s="21">
        <f t="shared" si="1"/>
        <v>44</v>
      </c>
      <c r="L19" s="1015">
        <f>C19/C$27</f>
        <v>3.29993400131997E-2</v>
      </c>
      <c r="M19" s="1015">
        <f>F19/C$27</f>
        <v>1.64996700065999</v>
      </c>
    </row>
    <row r="20" spans="1:13" s="10" customFormat="1" ht="14.1" customHeight="1" x14ac:dyDescent="0.25">
      <c r="A20" s="180"/>
      <c r="B20" s="20" t="s">
        <v>60</v>
      </c>
      <c r="C20" s="21">
        <v>0.628</v>
      </c>
      <c r="D20" s="21">
        <v>0.44</v>
      </c>
      <c r="E20" s="408">
        <f>цены!F71</f>
        <v>91</v>
      </c>
      <c r="F20" s="408">
        <f>C20*E20</f>
        <v>57.15</v>
      </c>
      <c r="G20" s="97">
        <f t="shared" si="0"/>
        <v>6.28</v>
      </c>
      <c r="H20" s="21">
        <f t="shared" si="0"/>
        <v>4.4000000000000004</v>
      </c>
      <c r="I20" s="21">
        <f t="shared" si="1"/>
        <v>62.8</v>
      </c>
      <c r="J20" s="21">
        <f t="shared" si="1"/>
        <v>44</v>
      </c>
      <c r="L20" s="1015">
        <f t="shared" ref="L20:L22" si="2">C20/C$27</f>
        <v>3.7679246415071699E-2</v>
      </c>
      <c r="M20" s="1015">
        <f t="shared" ref="M20:M22" si="3">F20/C$27</f>
        <v>3.42893142137157</v>
      </c>
    </row>
    <row r="21" spans="1:13" s="10" customFormat="1" ht="14.1" customHeight="1" x14ac:dyDescent="0.25">
      <c r="A21" s="180"/>
      <c r="B21" s="20" t="s">
        <v>913</v>
      </c>
      <c r="C21" s="21">
        <v>9.1999999999999998E-2</v>
      </c>
      <c r="D21" s="21">
        <v>0.08</v>
      </c>
      <c r="E21" s="408">
        <f>цены!F30</f>
        <v>152.16999999999999</v>
      </c>
      <c r="F21" s="408">
        <f>C21*E21</f>
        <v>14</v>
      </c>
      <c r="G21" s="97">
        <f t="shared" si="0"/>
        <v>0.92</v>
      </c>
      <c r="H21" s="21">
        <f t="shared" si="0"/>
        <v>0.8</v>
      </c>
      <c r="I21" s="21">
        <f t="shared" si="1"/>
        <v>9.1999999999999993</v>
      </c>
      <c r="J21" s="21">
        <f t="shared" si="1"/>
        <v>8</v>
      </c>
      <c r="L21" s="1015">
        <f t="shared" si="2"/>
        <v>5.5198896022079598E-3</v>
      </c>
      <c r="M21" s="1015">
        <f t="shared" si="3"/>
        <v>0.83998320033599305</v>
      </c>
    </row>
    <row r="22" spans="1:13" s="10" customFormat="1" ht="14.1" customHeight="1" x14ac:dyDescent="0.25">
      <c r="A22" s="180"/>
      <c r="B22" s="20" t="s">
        <v>74</v>
      </c>
      <c r="C22" s="21">
        <v>0.05</v>
      </c>
      <c r="D22" s="21">
        <v>0.05</v>
      </c>
      <c r="E22" s="408">
        <f>цены!F87</f>
        <v>120</v>
      </c>
      <c r="F22" s="408">
        <f>C22*E22</f>
        <v>6</v>
      </c>
      <c r="G22" s="97">
        <f t="shared" si="0"/>
        <v>0.5</v>
      </c>
      <c r="H22" s="21">
        <f t="shared" si="0"/>
        <v>0.5</v>
      </c>
      <c r="I22" s="21">
        <f t="shared" si="1"/>
        <v>5</v>
      </c>
      <c r="J22" s="21">
        <f t="shared" si="1"/>
        <v>5</v>
      </c>
      <c r="L22" s="1015">
        <f t="shared" si="2"/>
        <v>2.9999400011999802E-3</v>
      </c>
      <c r="M22" s="1015">
        <f t="shared" si="3"/>
        <v>0.35999280014399698</v>
      </c>
    </row>
    <row r="23" spans="1:13" s="10" customFormat="1" ht="12" customHeight="1" x14ac:dyDescent="0.25">
      <c r="A23" s="98"/>
      <c r="B23" s="93" t="s">
        <v>100</v>
      </c>
      <c r="C23" s="100"/>
      <c r="D23" s="100">
        <v>1</v>
      </c>
      <c r="E23" s="95"/>
      <c r="F23" s="95">
        <f>SUM(F19:F22)</f>
        <v>104.65</v>
      </c>
      <c r="G23" s="99"/>
      <c r="H23" s="100">
        <f>D23*10</f>
        <v>10</v>
      </c>
      <c r="I23" s="100"/>
      <c r="J23" s="100">
        <f>D23*100</f>
        <v>100</v>
      </c>
      <c r="L23" s="1015">
        <f>SUM(L19:L22)</f>
        <v>7.9198416031679306E-2</v>
      </c>
      <c r="M23" s="1015">
        <f>SUM(M19:M22)</f>
        <v>6.2788744225115503</v>
      </c>
    </row>
    <row r="24" spans="1:13" s="10" customFormat="1" ht="27.6" customHeight="1" x14ac:dyDescent="0.25">
      <c r="A24" s="1536" t="s">
        <v>35</v>
      </c>
      <c r="B24" s="1536"/>
      <c r="C24" s="90"/>
      <c r="D24" s="90"/>
      <c r="E24" s="408"/>
      <c r="F24" s="408">
        <f>F23</f>
        <v>104.65</v>
      </c>
      <c r="G24" s="706"/>
      <c r="H24" s="706"/>
      <c r="I24" s="21"/>
      <c r="J24" s="408"/>
    </row>
    <row r="25" spans="1:13" s="10" customFormat="1" ht="25.35" customHeight="1" x14ac:dyDescent="0.25">
      <c r="A25" s="1536" t="s">
        <v>36</v>
      </c>
      <c r="B25" s="1536"/>
      <c r="C25" s="90">
        <v>1000</v>
      </c>
      <c r="D25" s="90"/>
      <c r="E25" s="408"/>
      <c r="F25" s="408"/>
      <c r="G25" s="408"/>
      <c r="H25" s="408"/>
      <c r="I25" s="21"/>
      <c r="J25" s="17"/>
    </row>
    <row r="26" spans="1:13" s="10" customFormat="1" ht="25.35" customHeight="1" x14ac:dyDescent="0.25">
      <c r="A26" s="1537" t="s">
        <v>37</v>
      </c>
      <c r="B26" s="1538"/>
      <c r="C26" s="91">
        <v>60</v>
      </c>
      <c r="D26" s="92"/>
      <c r="E26" s="707"/>
      <c r="F26" s="707"/>
      <c r="G26" s="707"/>
      <c r="H26" s="707"/>
      <c r="I26" s="21"/>
      <c r="J26" s="17"/>
    </row>
    <row r="27" spans="1:13" s="10" customFormat="1" ht="15" customHeight="1" x14ac:dyDescent="0.25">
      <c r="A27" s="1539" t="s">
        <v>38</v>
      </c>
      <c r="B27" s="1540"/>
      <c r="C27" s="92">
        <f>C25/C26</f>
        <v>16.667000000000002</v>
      </c>
      <c r="D27" s="92"/>
      <c r="E27" s="707"/>
      <c r="F27" s="707"/>
      <c r="G27" s="707"/>
      <c r="H27" s="707"/>
      <c r="I27" s="21"/>
      <c r="J27" s="17"/>
    </row>
    <row r="28" spans="1:13" ht="16.350000000000001" customHeight="1" x14ac:dyDescent="0.25">
      <c r="A28" s="1541" t="s">
        <v>39</v>
      </c>
      <c r="B28" s="1542"/>
      <c r="C28" s="15" t="s">
        <v>40</v>
      </c>
      <c r="D28" s="102"/>
      <c r="E28" s="102" t="s">
        <v>40</v>
      </c>
      <c r="F28" s="16">
        <f>F24/C27</f>
        <v>6.28</v>
      </c>
      <c r="G28" s="16"/>
      <c r="H28" s="16"/>
      <c r="I28" s="102" t="s">
        <v>40</v>
      </c>
      <c r="J28" s="102" t="s">
        <v>40</v>
      </c>
    </row>
    <row r="29" spans="1:13" ht="23.1" customHeight="1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3" ht="13.95" customHeight="1" x14ac:dyDescent="0.25">
      <c r="A30" s="1193"/>
      <c r="B30" s="1194" t="s">
        <v>49</v>
      </c>
      <c r="C30" s="1198"/>
      <c r="D30" s="1198"/>
      <c r="E30" s="1198"/>
      <c r="F30" s="1198"/>
      <c r="G30" s="1193"/>
      <c r="H30" s="1557">
        <f>'1-бутерброд с маслом'!$H$28</f>
        <v>0</v>
      </c>
      <c r="I30" s="1557"/>
      <c r="J30" s="1557"/>
    </row>
    <row r="31" spans="1:13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3" ht="13.95" customHeight="1" x14ac:dyDescent="0.25">
      <c r="A32" s="1545" t="s">
        <v>327</v>
      </c>
      <c r="B32" s="1545"/>
      <c r="C32" s="1546" t="s">
        <v>328</v>
      </c>
      <c r="D32" s="1546"/>
      <c r="E32" s="1546"/>
      <c r="F32" s="1546"/>
      <c r="G32" s="106"/>
      <c r="H32" s="1531"/>
      <c r="I32" s="1531"/>
      <c r="J32" s="1531"/>
    </row>
    <row r="33" spans="1:10" x14ac:dyDescent="0.25">
      <c r="A33" s="1193"/>
      <c r="B33" s="1193"/>
      <c r="C33" s="1546"/>
      <c r="D33" s="1546"/>
      <c r="E33" s="1546"/>
      <c r="F33" s="1546"/>
      <c r="G33" s="1193"/>
      <c r="H33" s="1531" t="s">
        <v>329</v>
      </c>
      <c r="I33" s="1531"/>
      <c r="J33" s="1531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</sheetData>
  <mergeCells count="28">
    <mergeCell ref="H30:J30"/>
    <mergeCell ref="A13:G13"/>
    <mergeCell ref="A25:B25"/>
    <mergeCell ref="A26:B26"/>
    <mergeCell ref="A27:B27"/>
    <mergeCell ref="A28:B28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2:B32"/>
    <mergeCell ref="C32:F33"/>
    <mergeCell ref="H32:J32"/>
    <mergeCell ref="H33:J33"/>
    <mergeCell ref="H5:I5"/>
    <mergeCell ref="A6:G6"/>
    <mergeCell ref="A7:I7"/>
    <mergeCell ref="A24:B24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M41"/>
  <sheetViews>
    <sheetView view="pageBreakPreview" topLeftCell="A14" zoomScaleNormal="100" zoomScaleSheetLayoutView="100" workbookViewId="0">
      <selection activeCell="C31" sqref="C31"/>
    </sheetView>
  </sheetViews>
  <sheetFormatPr defaultRowHeight="13.8" x14ac:dyDescent="0.25"/>
  <cols>
    <col min="1" max="1" width="4.109375" customWidth="1"/>
    <col min="2" max="2" width="21" customWidth="1"/>
    <col min="3" max="3" width="8.88671875" customWidth="1"/>
    <col min="4" max="7" width="7.5546875" customWidth="1"/>
    <col min="8" max="8" width="7.44140625" customWidth="1"/>
    <col min="9" max="9" width="8.44140625" customWidth="1"/>
    <col min="10" max="10" width="9.109375" customWidth="1"/>
    <col min="11" max="11" width="4.441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39)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290"/>
      <c r="I6" s="290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67</v>
      </c>
    </row>
    <row r="8" spans="1:10" s="2" customFormat="1" ht="9.6" customHeight="1" x14ac:dyDescent="0.25">
      <c r="A8" s="291"/>
      <c r="B8" s="291"/>
      <c r="C8" s="291"/>
      <c r="D8" s="291"/>
      <c r="E8" s="291"/>
      <c r="F8" s="291"/>
      <c r="G8" s="291"/>
      <c r="H8" s="291"/>
      <c r="I8" s="291"/>
      <c r="J8" s="109"/>
    </row>
    <row r="9" spans="1:10" s="2" customFormat="1" ht="26.1" customHeight="1" x14ac:dyDescent="0.3">
      <c r="A9" s="1550" t="s">
        <v>642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 65-салат из моркови и яблок'!H14+1</f>
        <v>39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287" t="s">
        <v>92</v>
      </c>
      <c r="D17" s="287" t="s">
        <v>94</v>
      </c>
      <c r="E17" s="287" t="s">
        <v>93</v>
      </c>
      <c r="F17" s="287" t="s">
        <v>23</v>
      </c>
      <c r="G17" s="287" t="s">
        <v>92</v>
      </c>
      <c r="H17" s="287" t="s">
        <v>94</v>
      </c>
      <c r="I17" s="287" t="s">
        <v>92</v>
      </c>
      <c r="J17" s="287" t="s">
        <v>94</v>
      </c>
    </row>
    <row r="18" spans="1:13" ht="9.6" customHeight="1" x14ac:dyDescent="0.25">
      <c r="A18" s="287">
        <v>1</v>
      </c>
      <c r="B18" s="289">
        <v>2</v>
      </c>
      <c r="C18" s="287">
        <v>3</v>
      </c>
      <c r="D18" s="289">
        <v>4</v>
      </c>
      <c r="E18" s="287">
        <v>5</v>
      </c>
      <c r="F18" s="289">
        <v>6</v>
      </c>
      <c r="G18" s="287">
        <v>7</v>
      </c>
      <c r="H18" s="289">
        <v>8</v>
      </c>
      <c r="I18" s="287">
        <v>9</v>
      </c>
      <c r="J18" s="289">
        <v>10</v>
      </c>
    </row>
    <row r="19" spans="1:13" s="10" customFormat="1" ht="14.1" customHeight="1" x14ac:dyDescent="0.25">
      <c r="A19" s="180">
        <v>1</v>
      </c>
      <c r="B19" s="20" t="s">
        <v>50</v>
      </c>
      <c r="C19" s="21">
        <v>0.28899999999999998</v>
      </c>
      <c r="D19" s="21">
        <v>0.21</v>
      </c>
      <c r="E19" s="13">
        <f>цены!F35</f>
        <v>50</v>
      </c>
      <c r="F19" s="13">
        <f>C19*E19</f>
        <v>14.45</v>
      </c>
      <c r="G19" s="97">
        <f>C19*10</f>
        <v>2.89</v>
      </c>
      <c r="H19" s="21">
        <f>D19*10</f>
        <v>2.1</v>
      </c>
      <c r="I19" s="21">
        <f>C19*100</f>
        <v>28.9</v>
      </c>
      <c r="J19" s="21">
        <f>D19*100</f>
        <v>21</v>
      </c>
      <c r="L19" s="1015">
        <f>C19/C$31</f>
        <v>2.2116782735134299E-2</v>
      </c>
      <c r="M19" s="1015">
        <f>F19/C$31</f>
        <v>1.10583913675672</v>
      </c>
    </row>
    <row r="20" spans="1:13" s="10" customFormat="1" ht="14.1" customHeight="1" x14ac:dyDescent="0.25">
      <c r="A20" s="180">
        <v>2</v>
      </c>
      <c r="B20" s="20" t="s">
        <v>52</v>
      </c>
      <c r="C20" s="21">
        <v>0.191</v>
      </c>
      <c r="D20" s="21">
        <v>0.15</v>
      </c>
      <c r="E20" s="13">
        <f>цены!F51</f>
        <v>30</v>
      </c>
      <c r="F20" s="13">
        <f t="shared" ref="F20:F26" si="0">C20*E20</f>
        <v>5.73</v>
      </c>
      <c r="G20" s="97">
        <f t="shared" ref="G20:G26" si="1">C20*10</f>
        <v>1.91</v>
      </c>
      <c r="H20" s="21">
        <f t="shared" ref="H20:H26" si="2">D20*10</f>
        <v>1.5</v>
      </c>
      <c r="I20" s="21">
        <f t="shared" ref="I20:I26" si="3">C20*100</f>
        <v>19.100000000000001</v>
      </c>
      <c r="J20" s="21">
        <f t="shared" ref="J20:J26" si="4">D20*100</f>
        <v>15</v>
      </c>
      <c r="L20" s="1015">
        <f t="shared" ref="L20:L26" si="5">C20/C$31</f>
        <v>1.4616974056784301E-2</v>
      </c>
      <c r="M20" s="1015">
        <f t="shared" ref="M20:M26" si="6">F20/C$31</f>
        <v>0.43850922170352802</v>
      </c>
    </row>
    <row r="21" spans="1:13" s="10" customFormat="1" ht="14.1" customHeight="1" x14ac:dyDescent="0.25">
      <c r="A21" s="180">
        <v>3</v>
      </c>
      <c r="B21" s="20" t="s">
        <v>47</v>
      </c>
      <c r="C21" s="21">
        <v>0.126</v>
      </c>
      <c r="D21" s="21">
        <v>0.1</v>
      </c>
      <c r="E21" s="13">
        <f>цены!F44</f>
        <v>50</v>
      </c>
      <c r="F21" s="13">
        <f t="shared" si="0"/>
        <v>6.3</v>
      </c>
      <c r="G21" s="97">
        <f t="shared" si="1"/>
        <v>1.26</v>
      </c>
      <c r="H21" s="21">
        <f t="shared" si="2"/>
        <v>1</v>
      </c>
      <c r="I21" s="21">
        <f t="shared" si="3"/>
        <v>12.6</v>
      </c>
      <c r="J21" s="21">
        <f t="shared" si="4"/>
        <v>10</v>
      </c>
      <c r="L21" s="1015">
        <f t="shared" si="5"/>
        <v>9.6426111578786292E-3</v>
      </c>
      <c r="M21" s="1015">
        <f t="shared" si="6"/>
        <v>0.482130557893931</v>
      </c>
    </row>
    <row r="22" spans="1:13" s="10" customFormat="1" ht="14.1" customHeight="1" x14ac:dyDescent="0.25">
      <c r="A22" s="180">
        <v>4</v>
      </c>
      <c r="B22" s="20" t="s">
        <v>526</v>
      </c>
      <c r="C22" s="21">
        <v>0.188</v>
      </c>
      <c r="D22" s="21">
        <v>0.15</v>
      </c>
      <c r="E22" s="13">
        <f>цены!F101</f>
        <v>120</v>
      </c>
      <c r="F22" s="13">
        <f t="shared" si="0"/>
        <v>22.56</v>
      </c>
      <c r="G22" s="97">
        <f t="shared" si="1"/>
        <v>1.88</v>
      </c>
      <c r="H22" s="21">
        <f t="shared" si="2"/>
        <v>1.5</v>
      </c>
      <c r="I22" s="21">
        <f t="shared" si="3"/>
        <v>18.8</v>
      </c>
      <c r="J22" s="21">
        <f t="shared" si="4"/>
        <v>15</v>
      </c>
      <c r="L22" s="1015">
        <f t="shared" si="5"/>
        <v>1.43873880768348E-2</v>
      </c>
      <c r="M22" s="1015">
        <f t="shared" si="6"/>
        <v>1.7264865692201701</v>
      </c>
    </row>
    <row r="23" spans="1:13" s="10" customFormat="1" ht="14.1" customHeight="1" x14ac:dyDescent="0.25">
      <c r="A23" s="180">
        <v>5</v>
      </c>
      <c r="B23" s="20" t="s">
        <v>527</v>
      </c>
      <c r="C23" s="21">
        <v>0.1</v>
      </c>
      <c r="D23" s="21">
        <v>0.1</v>
      </c>
      <c r="E23" s="13">
        <f>цены!F128</f>
        <v>126</v>
      </c>
      <c r="F23" s="13">
        <f t="shared" si="0"/>
        <v>12.6</v>
      </c>
      <c r="G23" s="97">
        <f t="shared" si="1"/>
        <v>1</v>
      </c>
      <c r="H23" s="21">
        <f t="shared" si="2"/>
        <v>1</v>
      </c>
      <c r="I23" s="21">
        <f t="shared" si="3"/>
        <v>10</v>
      </c>
      <c r="J23" s="21">
        <f t="shared" si="4"/>
        <v>10</v>
      </c>
      <c r="L23" s="1015">
        <f t="shared" si="5"/>
        <v>7.6528659983163697E-3</v>
      </c>
      <c r="M23" s="1015">
        <f t="shared" si="6"/>
        <v>0.964261115787863</v>
      </c>
    </row>
    <row r="24" spans="1:13" s="10" customFormat="1" ht="13.35" customHeight="1" x14ac:dyDescent="0.25">
      <c r="A24" s="180">
        <v>6</v>
      </c>
      <c r="B24" s="20" t="s">
        <v>337</v>
      </c>
      <c r="C24" s="21">
        <v>0.188</v>
      </c>
      <c r="D24" s="21">
        <v>0.15</v>
      </c>
      <c r="E24" s="13">
        <f>цены!F39</f>
        <v>300</v>
      </c>
      <c r="F24" s="13">
        <f t="shared" si="0"/>
        <v>56.4</v>
      </c>
      <c r="G24" s="97">
        <f t="shared" si="1"/>
        <v>1.88</v>
      </c>
      <c r="H24" s="21">
        <f t="shared" si="2"/>
        <v>1.5</v>
      </c>
      <c r="I24" s="21">
        <f t="shared" si="3"/>
        <v>18.8</v>
      </c>
      <c r="J24" s="21">
        <f t="shared" si="4"/>
        <v>15</v>
      </c>
      <c r="L24" s="1015">
        <f t="shared" si="5"/>
        <v>1.43873880768348E-2</v>
      </c>
      <c r="M24" s="1015">
        <f t="shared" si="6"/>
        <v>4.3162164230504301</v>
      </c>
    </row>
    <row r="25" spans="1:13" s="10" customFormat="1" ht="14.1" customHeight="1" x14ac:dyDescent="0.25">
      <c r="A25" s="180">
        <v>7</v>
      </c>
      <c r="B25" s="20" t="s">
        <v>74</v>
      </c>
      <c r="C25" s="21">
        <v>0.1</v>
      </c>
      <c r="D25" s="21">
        <v>0.1</v>
      </c>
      <c r="E25" s="13">
        <f>цены!F87</f>
        <v>120</v>
      </c>
      <c r="F25" s="13">
        <f t="shared" si="0"/>
        <v>12</v>
      </c>
      <c r="G25" s="97">
        <f t="shared" si="1"/>
        <v>1</v>
      </c>
      <c r="H25" s="21">
        <f t="shared" si="2"/>
        <v>1</v>
      </c>
      <c r="I25" s="21">
        <f t="shared" si="3"/>
        <v>10</v>
      </c>
      <c r="J25" s="21">
        <f t="shared" si="4"/>
        <v>10</v>
      </c>
      <c r="L25" s="1015">
        <f t="shared" si="5"/>
        <v>7.6528659983163697E-3</v>
      </c>
      <c r="M25" s="1015">
        <f t="shared" si="6"/>
        <v>0.91834391979796404</v>
      </c>
    </row>
    <row r="26" spans="1:13" s="10" customFormat="1" ht="14.1" customHeight="1" x14ac:dyDescent="0.25">
      <c r="A26" s="180">
        <v>8</v>
      </c>
      <c r="B26" s="20" t="s">
        <v>75</v>
      </c>
      <c r="C26" s="21">
        <f>0.002*C31</f>
        <v>2.5999999999999999E-2</v>
      </c>
      <c r="D26" s="21">
        <f>C26</f>
        <v>2.5999999999999999E-2</v>
      </c>
      <c r="E26" s="13">
        <f>цены!F110</f>
        <v>24</v>
      </c>
      <c r="F26" s="13">
        <f t="shared" si="0"/>
        <v>0.62</v>
      </c>
      <c r="G26" s="97">
        <f t="shared" si="1"/>
        <v>0.26</v>
      </c>
      <c r="H26" s="21">
        <f t="shared" si="2"/>
        <v>0.26</v>
      </c>
      <c r="I26" s="21">
        <f t="shared" si="3"/>
        <v>2.6</v>
      </c>
      <c r="J26" s="21">
        <f t="shared" si="4"/>
        <v>2.6</v>
      </c>
      <c r="L26" s="1015">
        <f t="shared" si="5"/>
        <v>1.9897451595622599E-3</v>
      </c>
      <c r="M26" s="1015">
        <f t="shared" si="6"/>
        <v>4.7447769189561499E-2</v>
      </c>
    </row>
    <row r="27" spans="1:13" s="10" customFormat="1" ht="12" customHeight="1" x14ac:dyDescent="0.25">
      <c r="A27" s="98"/>
      <c r="B27" s="93" t="s">
        <v>100</v>
      </c>
      <c r="C27" s="100"/>
      <c r="D27" s="100">
        <v>0.98</v>
      </c>
      <c r="E27" s="95"/>
      <c r="F27" s="95">
        <f>SUM(F19:F26)</f>
        <v>130.66</v>
      </c>
      <c r="G27" s="99"/>
      <c r="H27" s="100">
        <f>D27*10</f>
        <v>9.8000000000000007</v>
      </c>
      <c r="I27" s="100"/>
      <c r="J27" s="100">
        <f>D27*100</f>
        <v>98</v>
      </c>
      <c r="L27" s="1015">
        <f>SUM(L19:L26)</f>
        <v>9.2446621259661799E-2</v>
      </c>
      <c r="M27" s="1015">
        <f>SUM(M19:M26)</f>
        <v>9.9992347134001704</v>
      </c>
    </row>
    <row r="28" spans="1:13" s="10" customFormat="1" ht="27.6" customHeight="1" x14ac:dyDescent="0.25">
      <c r="A28" s="1536" t="s">
        <v>35</v>
      </c>
      <c r="B28" s="1536"/>
      <c r="C28" s="90"/>
      <c r="D28" s="90"/>
      <c r="E28" s="13"/>
      <c r="F28" s="13">
        <f>F27</f>
        <v>130.66</v>
      </c>
      <c r="G28" s="288"/>
      <c r="H28" s="288"/>
      <c r="I28" s="21"/>
      <c r="J28" s="13"/>
    </row>
    <row r="29" spans="1:13" s="10" customFormat="1" ht="25.35" customHeight="1" x14ac:dyDescent="0.25">
      <c r="A29" s="1536" t="s">
        <v>36</v>
      </c>
      <c r="B29" s="1536"/>
      <c r="C29" s="90">
        <v>980</v>
      </c>
      <c r="D29" s="90"/>
      <c r="E29" s="13"/>
      <c r="F29" s="13"/>
      <c r="G29" s="13"/>
      <c r="H29" s="13"/>
      <c r="I29" s="21"/>
      <c r="J29" s="17"/>
    </row>
    <row r="30" spans="1:13" s="10" customFormat="1" ht="25.35" customHeight="1" x14ac:dyDescent="0.25">
      <c r="A30" s="1537" t="s">
        <v>37</v>
      </c>
      <c r="B30" s="1538"/>
      <c r="C30" s="91">
        <v>75</v>
      </c>
      <c r="D30" s="92"/>
      <c r="E30" s="289"/>
      <c r="F30" s="289"/>
      <c r="G30" s="289"/>
      <c r="H30" s="289"/>
      <c r="I30" s="21"/>
      <c r="J30" s="17"/>
    </row>
    <row r="31" spans="1:13" s="10" customFormat="1" ht="15" customHeight="1" x14ac:dyDescent="0.25">
      <c r="A31" s="1539" t="s">
        <v>38</v>
      </c>
      <c r="B31" s="1540"/>
      <c r="C31" s="92">
        <f>C29/C30</f>
        <v>13.067</v>
      </c>
      <c r="D31" s="92"/>
      <c r="E31" s="289"/>
      <c r="F31" s="289"/>
      <c r="G31" s="289"/>
      <c r="H31" s="289"/>
      <c r="I31" s="21"/>
      <c r="J31" s="17"/>
    </row>
    <row r="32" spans="1:13" ht="16.350000000000001" customHeight="1" x14ac:dyDescent="0.25">
      <c r="A32" s="1541" t="s">
        <v>39</v>
      </c>
      <c r="B32" s="1542"/>
      <c r="C32" s="15" t="s">
        <v>40</v>
      </c>
      <c r="D32" s="102"/>
      <c r="E32" s="102" t="s">
        <v>40</v>
      </c>
      <c r="F32" s="16">
        <f>F28/C31</f>
        <v>10</v>
      </c>
      <c r="G32" s="16"/>
      <c r="H32" s="16"/>
      <c r="I32" s="102" t="s">
        <v>40</v>
      </c>
      <c r="J32" s="102" t="s">
        <v>40</v>
      </c>
    </row>
    <row r="33" spans="1:10" ht="23.1" customHeight="1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193"/>
      <c r="B34" s="1194" t="s">
        <v>49</v>
      </c>
      <c r="C34" s="1198"/>
      <c r="D34" s="1198"/>
      <c r="E34" s="1198"/>
      <c r="F34" s="1198"/>
      <c r="G34" s="1193"/>
      <c r="H34" s="1557">
        <f>'1-бутерброд с маслом'!$H$28</f>
        <v>0</v>
      </c>
      <c r="I34" s="1557"/>
      <c r="J34" s="1557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545" t="s">
        <v>327</v>
      </c>
      <c r="B36" s="1545"/>
      <c r="C36" s="1546" t="s">
        <v>328</v>
      </c>
      <c r="D36" s="1546"/>
      <c r="E36" s="1546"/>
      <c r="F36" s="1546"/>
      <c r="G36" s="106"/>
      <c r="H36" s="1531"/>
      <c r="I36" s="1531"/>
      <c r="J36" s="1531"/>
    </row>
    <row r="37" spans="1:10" x14ac:dyDescent="0.25">
      <c r="A37" s="1193"/>
      <c r="B37" s="1193"/>
      <c r="C37" s="1546"/>
      <c r="D37" s="1546"/>
      <c r="E37" s="1546"/>
      <c r="F37" s="1546"/>
      <c r="G37" s="1193"/>
      <c r="H37" s="1531" t="s">
        <v>329</v>
      </c>
      <c r="I37" s="1531"/>
      <c r="J37" s="1531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</sheetData>
  <mergeCells count="28">
    <mergeCell ref="A36:B36"/>
    <mergeCell ref="C36:F37"/>
    <mergeCell ref="H36:J36"/>
    <mergeCell ref="H37:J37"/>
    <mergeCell ref="A29:B29"/>
    <mergeCell ref="A30:B30"/>
    <mergeCell ref="A31:B31"/>
    <mergeCell ref="A32:B32"/>
    <mergeCell ref="H34:J34"/>
    <mergeCell ref="A6:G6"/>
    <mergeCell ref="A7:I7"/>
    <mergeCell ref="A28:B28"/>
    <mergeCell ref="A9:J9"/>
    <mergeCell ref="A11:J11"/>
    <mergeCell ref="I13:J13"/>
    <mergeCell ref="C14:G14"/>
    <mergeCell ref="I14:J14"/>
    <mergeCell ref="A16:A17"/>
    <mergeCell ref="B16:B17"/>
    <mergeCell ref="C16:F16"/>
    <mergeCell ref="G16:H16"/>
    <mergeCell ref="I16:J16"/>
    <mergeCell ref="A13:G13"/>
    <mergeCell ref="G1:J1"/>
    <mergeCell ref="G2:J2"/>
    <mergeCell ref="G3:J3"/>
    <mergeCell ref="A5:G5"/>
    <mergeCell ref="H5:I5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M41"/>
  <sheetViews>
    <sheetView view="pageBreakPreview" topLeftCell="A18" zoomScaleNormal="100" zoomScaleSheetLayoutView="100" workbookViewId="0">
      <selection activeCell="O40" sqref="O40"/>
    </sheetView>
  </sheetViews>
  <sheetFormatPr defaultRowHeight="13.8" x14ac:dyDescent="0.25"/>
  <cols>
    <col min="1" max="1" width="4.109375" customWidth="1"/>
    <col min="2" max="2" width="21" customWidth="1"/>
    <col min="3" max="3" width="8.88671875" customWidth="1"/>
    <col min="4" max="7" width="7.5546875" customWidth="1"/>
    <col min="8" max="8" width="7.44140625" customWidth="1"/>
    <col min="9" max="9" width="8.44140625" customWidth="1"/>
    <col min="10" max="10" width="9.109375" customWidth="1"/>
    <col min="11" max="11" width="4.441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40)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290"/>
      <c r="I6" s="290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67</v>
      </c>
    </row>
    <row r="8" spans="1:10" s="2" customFormat="1" ht="9.6" customHeight="1" x14ac:dyDescent="0.25">
      <c r="A8" s="291"/>
      <c r="B8" s="291"/>
      <c r="C8" s="291"/>
      <c r="D8" s="291"/>
      <c r="E8" s="291"/>
      <c r="F8" s="291"/>
      <c r="G8" s="291"/>
      <c r="H8" s="291"/>
      <c r="I8" s="291"/>
      <c r="J8" s="109"/>
    </row>
    <row r="9" spans="1:10" s="2" customFormat="1" ht="26.1" customHeight="1" x14ac:dyDescent="0.3">
      <c r="A9" s="1550" t="s">
        <v>643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'67-винегрет'!H14+1</f>
        <v>40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287" t="s">
        <v>92</v>
      </c>
      <c r="D17" s="287" t="s">
        <v>94</v>
      </c>
      <c r="E17" s="287" t="s">
        <v>93</v>
      </c>
      <c r="F17" s="287" t="s">
        <v>23</v>
      </c>
      <c r="G17" s="287" t="s">
        <v>92</v>
      </c>
      <c r="H17" s="287" t="s">
        <v>94</v>
      </c>
      <c r="I17" s="287" t="s">
        <v>92</v>
      </c>
      <c r="J17" s="287" t="s">
        <v>94</v>
      </c>
    </row>
    <row r="18" spans="1:13" ht="9.6" customHeight="1" x14ac:dyDescent="0.25">
      <c r="A18" s="287">
        <v>1</v>
      </c>
      <c r="B18" s="289">
        <v>2</v>
      </c>
      <c r="C18" s="287">
        <v>3</v>
      </c>
      <c r="D18" s="289">
        <v>4</v>
      </c>
      <c r="E18" s="287">
        <v>5</v>
      </c>
      <c r="F18" s="289">
        <v>6</v>
      </c>
      <c r="G18" s="287">
        <v>7</v>
      </c>
      <c r="H18" s="289">
        <v>8</v>
      </c>
      <c r="I18" s="287">
        <v>9</v>
      </c>
      <c r="J18" s="289">
        <v>10</v>
      </c>
    </row>
    <row r="19" spans="1:13" s="10" customFormat="1" ht="14.1" customHeight="1" x14ac:dyDescent="0.25">
      <c r="A19" s="180">
        <v>1</v>
      </c>
      <c r="B19" s="20" t="s">
        <v>50</v>
      </c>
      <c r="C19" s="21">
        <v>0.28899999999999998</v>
      </c>
      <c r="D19" s="21">
        <v>0.21</v>
      </c>
      <c r="E19" s="13">
        <f>цены!F35</f>
        <v>50</v>
      </c>
      <c r="F19" s="13">
        <f>C19*E19</f>
        <v>14.45</v>
      </c>
      <c r="G19" s="97">
        <f t="shared" ref="G19:H26" si="0">C19*10</f>
        <v>2.89</v>
      </c>
      <c r="H19" s="21">
        <f t="shared" si="0"/>
        <v>2.1</v>
      </c>
      <c r="I19" s="21">
        <f t="shared" ref="I19:J26" si="1">C19*100</f>
        <v>28.9</v>
      </c>
      <c r="J19" s="21">
        <f t="shared" si="1"/>
        <v>21</v>
      </c>
      <c r="L19" s="1015">
        <f>C19/C$31</f>
        <v>2.1675541888547201E-2</v>
      </c>
      <c r="M19" s="1015">
        <f>F19/C$31</f>
        <v>1.0837770944273599</v>
      </c>
    </row>
    <row r="20" spans="1:13" s="10" customFormat="1" ht="14.1" customHeight="1" x14ac:dyDescent="0.25">
      <c r="A20" s="180">
        <v>2</v>
      </c>
      <c r="B20" s="20" t="s">
        <v>52</v>
      </c>
      <c r="C20" s="21">
        <v>0.191</v>
      </c>
      <c r="D20" s="21">
        <v>0.15</v>
      </c>
      <c r="E20" s="13">
        <f>цены!F51</f>
        <v>30</v>
      </c>
      <c r="F20" s="13">
        <f t="shared" ref="F20:F26" si="2">C20*E20</f>
        <v>5.73</v>
      </c>
      <c r="G20" s="97">
        <f t="shared" si="0"/>
        <v>1.91</v>
      </c>
      <c r="H20" s="21">
        <f t="shared" si="0"/>
        <v>1.5</v>
      </c>
      <c r="I20" s="21">
        <f t="shared" si="1"/>
        <v>19.100000000000001</v>
      </c>
      <c r="J20" s="21">
        <f t="shared" si="1"/>
        <v>15</v>
      </c>
      <c r="L20" s="1015">
        <f t="shared" ref="L20:L26" si="3">C20/C$31</f>
        <v>1.43253581339533E-2</v>
      </c>
      <c r="M20" s="1015">
        <f t="shared" ref="M20:M26" si="4">F20/C$31</f>
        <v>0.42976074401859998</v>
      </c>
    </row>
    <row r="21" spans="1:13" s="10" customFormat="1" ht="14.1" customHeight="1" x14ac:dyDescent="0.25">
      <c r="A21" s="180">
        <v>3</v>
      </c>
      <c r="B21" s="20" t="s">
        <v>47</v>
      </c>
      <c r="C21" s="21">
        <v>0.126</v>
      </c>
      <c r="D21" s="21">
        <v>0.1</v>
      </c>
      <c r="E21" s="13">
        <f>цены!F44</f>
        <v>50</v>
      </c>
      <c r="F21" s="13">
        <f t="shared" si="2"/>
        <v>6.3</v>
      </c>
      <c r="G21" s="97">
        <f t="shared" si="0"/>
        <v>1.26</v>
      </c>
      <c r="H21" s="21">
        <f t="shared" si="0"/>
        <v>1</v>
      </c>
      <c r="I21" s="21">
        <f t="shared" si="1"/>
        <v>12.6</v>
      </c>
      <c r="J21" s="21">
        <f t="shared" si="1"/>
        <v>10</v>
      </c>
      <c r="L21" s="1015">
        <f t="shared" si="3"/>
        <v>9.4502362559063992E-3</v>
      </c>
      <c r="M21" s="1015">
        <f t="shared" si="4"/>
        <v>0.47251181279532001</v>
      </c>
    </row>
    <row r="22" spans="1:13" s="10" customFormat="1" ht="14.1" customHeight="1" x14ac:dyDescent="0.25">
      <c r="A22" s="180">
        <v>4</v>
      </c>
      <c r="B22" s="20" t="s">
        <v>526</v>
      </c>
      <c r="C22" s="21">
        <v>0.188</v>
      </c>
      <c r="D22" s="21">
        <v>0.15</v>
      </c>
      <c r="E22" s="13">
        <f>цены!F101</f>
        <v>120</v>
      </c>
      <c r="F22" s="13">
        <f t="shared" si="2"/>
        <v>22.56</v>
      </c>
      <c r="G22" s="97">
        <f t="shared" si="0"/>
        <v>1.88</v>
      </c>
      <c r="H22" s="21">
        <f t="shared" si="0"/>
        <v>1.5</v>
      </c>
      <c r="I22" s="21">
        <f t="shared" si="1"/>
        <v>18.8</v>
      </c>
      <c r="J22" s="21">
        <f t="shared" si="1"/>
        <v>15</v>
      </c>
      <c r="L22" s="1015">
        <f t="shared" si="3"/>
        <v>1.41003525088127E-2</v>
      </c>
      <c r="M22" s="1015">
        <f t="shared" si="4"/>
        <v>1.6920423010575301</v>
      </c>
    </row>
    <row r="23" spans="1:13" s="10" customFormat="1" ht="14.1" customHeight="1" x14ac:dyDescent="0.25">
      <c r="A23" s="180">
        <v>5</v>
      </c>
      <c r="B23" s="20" t="s">
        <v>528</v>
      </c>
      <c r="C23" s="21">
        <v>0.214</v>
      </c>
      <c r="D23" s="21">
        <v>0.15</v>
      </c>
      <c r="E23" s="13">
        <f>цены!F103</f>
        <v>112</v>
      </c>
      <c r="F23" s="13">
        <f t="shared" si="2"/>
        <v>23.97</v>
      </c>
      <c r="G23" s="97">
        <f t="shared" si="0"/>
        <v>2.14</v>
      </c>
      <c r="H23" s="21">
        <f t="shared" si="0"/>
        <v>1.5</v>
      </c>
      <c r="I23" s="21">
        <f t="shared" si="1"/>
        <v>21.4</v>
      </c>
      <c r="J23" s="21">
        <f t="shared" si="1"/>
        <v>15</v>
      </c>
      <c r="L23" s="1015">
        <f t="shared" si="3"/>
        <v>1.6050401260031499E-2</v>
      </c>
      <c r="M23" s="1015">
        <f t="shared" si="4"/>
        <v>1.7977949448736199</v>
      </c>
    </row>
    <row r="24" spans="1:13" s="10" customFormat="1" ht="13.35" customHeight="1" x14ac:dyDescent="0.25">
      <c r="A24" s="180">
        <v>6</v>
      </c>
      <c r="B24" s="20" t="s">
        <v>337</v>
      </c>
      <c r="C24" s="21">
        <v>0.188</v>
      </c>
      <c r="D24" s="21">
        <v>0.15</v>
      </c>
      <c r="E24" s="13">
        <f>цены!F39</f>
        <v>300</v>
      </c>
      <c r="F24" s="13">
        <f t="shared" si="2"/>
        <v>56.4</v>
      </c>
      <c r="G24" s="97">
        <f t="shared" si="0"/>
        <v>1.88</v>
      </c>
      <c r="H24" s="21">
        <f t="shared" si="0"/>
        <v>1.5</v>
      </c>
      <c r="I24" s="21">
        <f t="shared" si="1"/>
        <v>18.8</v>
      </c>
      <c r="J24" s="21">
        <f t="shared" si="1"/>
        <v>15</v>
      </c>
      <c r="L24" s="1015">
        <f t="shared" si="3"/>
        <v>1.41003525088127E-2</v>
      </c>
      <c r="M24" s="1015">
        <f t="shared" si="4"/>
        <v>4.2301057526438202</v>
      </c>
    </row>
    <row r="25" spans="1:13" s="10" customFormat="1" ht="14.1" customHeight="1" x14ac:dyDescent="0.25">
      <c r="A25" s="180">
        <v>7</v>
      </c>
      <c r="B25" s="20" t="s">
        <v>74</v>
      </c>
      <c r="C25" s="21">
        <v>0.1</v>
      </c>
      <c r="D25" s="21">
        <v>0.1</v>
      </c>
      <c r="E25" s="13">
        <f>цены!F87</f>
        <v>120</v>
      </c>
      <c r="F25" s="13">
        <f t="shared" si="2"/>
        <v>12</v>
      </c>
      <c r="G25" s="97">
        <f t="shared" si="0"/>
        <v>1</v>
      </c>
      <c r="H25" s="21">
        <f t="shared" si="0"/>
        <v>1</v>
      </c>
      <c r="I25" s="21">
        <f t="shared" si="1"/>
        <v>10</v>
      </c>
      <c r="J25" s="21">
        <f t="shared" si="1"/>
        <v>10</v>
      </c>
      <c r="L25" s="1015">
        <f t="shared" si="3"/>
        <v>7.50018750468762E-3</v>
      </c>
      <c r="M25" s="1015">
        <f t="shared" si="4"/>
        <v>0.90002250056251398</v>
      </c>
    </row>
    <row r="26" spans="1:13" s="10" customFormat="1" ht="14.1" customHeight="1" x14ac:dyDescent="0.25">
      <c r="A26" s="180">
        <v>8</v>
      </c>
      <c r="B26" s="20" t="s">
        <v>75</v>
      </c>
      <c r="C26" s="21">
        <f>0.002*C31</f>
        <v>2.7E-2</v>
      </c>
      <c r="D26" s="21">
        <f>C26</f>
        <v>2.7E-2</v>
      </c>
      <c r="E26" s="13">
        <f>цены!F110</f>
        <v>24</v>
      </c>
      <c r="F26" s="13">
        <f t="shared" si="2"/>
        <v>0.65</v>
      </c>
      <c r="G26" s="97">
        <f t="shared" si="0"/>
        <v>0.27</v>
      </c>
      <c r="H26" s="21">
        <f t="shared" si="0"/>
        <v>0.27</v>
      </c>
      <c r="I26" s="21">
        <f t="shared" si="1"/>
        <v>2.7</v>
      </c>
      <c r="J26" s="21">
        <f t="shared" si="1"/>
        <v>2.7</v>
      </c>
      <c r="L26" s="1015">
        <f t="shared" si="3"/>
        <v>2.02505062626566E-3</v>
      </c>
      <c r="M26" s="1015">
        <f t="shared" si="4"/>
        <v>4.87512187804695E-2</v>
      </c>
    </row>
    <row r="27" spans="1:13" s="10" customFormat="1" ht="12" customHeight="1" x14ac:dyDescent="0.25">
      <c r="A27" s="98"/>
      <c r="B27" s="93" t="s">
        <v>100</v>
      </c>
      <c r="C27" s="100"/>
      <c r="D27" s="100">
        <v>1</v>
      </c>
      <c r="E27" s="95"/>
      <c r="F27" s="95">
        <f>SUM(F19:F26)</f>
        <v>142.06</v>
      </c>
      <c r="G27" s="99"/>
      <c r="H27" s="100">
        <f>D27*10</f>
        <v>10</v>
      </c>
      <c r="I27" s="100"/>
      <c r="J27" s="100">
        <f>D27*100</f>
        <v>100</v>
      </c>
      <c r="L27" s="1015">
        <f>SUM(L19:L26)</f>
        <v>9.9227480687017103E-2</v>
      </c>
      <c r="M27" s="1015">
        <f>SUM(M19:M26)</f>
        <v>10.6547663691592</v>
      </c>
    </row>
    <row r="28" spans="1:13" s="10" customFormat="1" ht="27.6" customHeight="1" x14ac:dyDescent="0.25">
      <c r="A28" s="1536" t="s">
        <v>35</v>
      </c>
      <c r="B28" s="1536"/>
      <c r="C28" s="90"/>
      <c r="D28" s="90"/>
      <c r="E28" s="13"/>
      <c r="F28" s="13">
        <f>F27</f>
        <v>142.06</v>
      </c>
      <c r="G28" s="288"/>
      <c r="H28" s="288"/>
      <c r="I28" s="21"/>
      <c r="J28" s="13"/>
    </row>
    <row r="29" spans="1:13" s="10" customFormat="1" ht="25.35" customHeight="1" x14ac:dyDescent="0.25">
      <c r="A29" s="1536" t="s">
        <v>36</v>
      </c>
      <c r="B29" s="1536"/>
      <c r="C29" s="90">
        <v>1000</v>
      </c>
      <c r="D29" s="90"/>
      <c r="E29" s="13"/>
      <c r="F29" s="13"/>
      <c r="G29" s="13"/>
      <c r="H29" s="13"/>
      <c r="I29" s="21"/>
      <c r="J29" s="17"/>
    </row>
    <row r="30" spans="1:13" s="10" customFormat="1" ht="25.35" customHeight="1" x14ac:dyDescent="0.25">
      <c r="A30" s="1537" t="s">
        <v>37</v>
      </c>
      <c r="B30" s="1538"/>
      <c r="C30" s="91">
        <v>75</v>
      </c>
      <c r="D30" s="92"/>
      <c r="E30" s="289"/>
      <c r="F30" s="289"/>
      <c r="G30" s="289"/>
      <c r="H30" s="289"/>
      <c r="I30" s="21"/>
      <c r="J30" s="17"/>
    </row>
    <row r="31" spans="1:13" s="10" customFormat="1" ht="15" customHeight="1" x14ac:dyDescent="0.25">
      <c r="A31" s="1539" t="s">
        <v>38</v>
      </c>
      <c r="B31" s="1540"/>
      <c r="C31" s="92">
        <f>C29/C30</f>
        <v>13.333</v>
      </c>
      <c r="D31" s="92"/>
      <c r="E31" s="289"/>
      <c r="F31" s="289"/>
      <c r="G31" s="289"/>
      <c r="H31" s="289"/>
      <c r="I31" s="21"/>
      <c r="J31" s="17"/>
    </row>
    <row r="32" spans="1:13" ht="16.350000000000001" customHeight="1" x14ac:dyDescent="0.25">
      <c r="A32" s="1541" t="s">
        <v>39</v>
      </c>
      <c r="B32" s="1542"/>
      <c r="C32" s="15" t="s">
        <v>40</v>
      </c>
      <c r="D32" s="102"/>
      <c r="E32" s="102" t="s">
        <v>40</v>
      </c>
      <c r="F32" s="16">
        <f>F28/C31</f>
        <v>10.65</v>
      </c>
      <c r="G32" s="16"/>
      <c r="H32" s="16"/>
      <c r="I32" s="102" t="s">
        <v>40</v>
      </c>
      <c r="J32" s="102" t="s">
        <v>40</v>
      </c>
    </row>
    <row r="33" spans="1:10" ht="23.1" customHeight="1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193"/>
      <c r="B34" s="1194" t="s">
        <v>49</v>
      </c>
      <c r="C34" s="1198"/>
      <c r="D34" s="1198"/>
      <c r="E34" s="1198"/>
      <c r="F34" s="1198"/>
      <c r="G34" s="1193"/>
      <c r="H34" s="1557">
        <f>'1-бутерброд с маслом'!$H$28</f>
        <v>0</v>
      </c>
      <c r="I34" s="1557"/>
      <c r="J34" s="1557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545" t="s">
        <v>327</v>
      </c>
      <c r="B36" s="1545"/>
      <c r="C36" s="1546" t="s">
        <v>328</v>
      </c>
      <c r="D36" s="1546"/>
      <c r="E36" s="1546"/>
      <c r="F36" s="1546"/>
      <c r="G36" s="106"/>
      <c r="H36" s="1531"/>
      <c r="I36" s="1531"/>
      <c r="J36" s="1531"/>
    </row>
    <row r="37" spans="1:10" x14ac:dyDescent="0.25">
      <c r="A37" s="1193"/>
      <c r="B37" s="1193"/>
      <c r="C37" s="1546"/>
      <c r="D37" s="1546"/>
      <c r="E37" s="1546"/>
      <c r="F37" s="1546"/>
      <c r="G37" s="1193"/>
      <c r="H37" s="1531" t="s">
        <v>329</v>
      </c>
      <c r="I37" s="1531"/>
      <c r="J37" s="1531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</sheetData>
  <mergeCells count="28">
    <mergeCell ref="H34:J34"/>
    <mergeCell ref="A13:G13"/>
    <mergeCell ref="A29:B29"/>
    <mergeCell ref="A30:B30"/>
    <mergeCell ref="A31:B31"/>
    <mergeCell ref="A32:B32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6:B36"/>
    <mergeCell ref="C36:F37"/>
    <mergeCell ref="H36:J36"/>
    <mergeCell ref="H37:J37"/>
    <mergeCell ref="H5:I5"/>
    <mergeCell ref="A6:G6"/>
    <mergeCell ref="A7:I7"/>
    <mergeCell ref="A28:B28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J35"/>
  <sheetViews>
    <sheetView view="pageBreakPreview" topLeftCell="A9" zoomScaleNormal="100" zoomScaleSheetLayoutView="100" workbookViewId="0">
      <selection activeCell="G23" sqref="G23"/>
    </sheetView>
  </sheetViews>
  <sheetFormatPr defaultRowHeight="13.8" x14ac:dyDescent="0.25"/>
  <cols>
    <col min="1" max="1" width="4.109375" customWidth="1"/>
    <col min="2" max="2" width="22.44140625" customWidth="1"/>
    <col min="3" max="3" width="8.88671875" customWidth="1"/>
    <col min="4" max="7" width="7.5546875" customWidth="1"/>
    <col min="8" max="8" width="7.44140625" customWidth="1"/>
    <col min="9" max="9" width="7.5546875" customWidth="1"/>
    <col min="10" max="10" width="9.1093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41)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290"/>
      <c r="I6" s="290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68</v>
      </c>
    </row>
    <row r="8" spans="1:10" s="2" customFormat="1" ht="9.6" customHeight="1" x14ac:dyDescent="0.25">
      <c r="A8" s="291"/>
      <c r="B8" s="291"/>
      <c r="C8" s="291"/>
      <c r="D8" s="291"/>
      <c r="E8" s="291"/>
      <c r="F8" s="291"/>
      <c r="G8" s="291"/>
      <c r="H8" s="291"/>
      <c r="I8" s="291"/>
      <c r="J8" s="109"/>
    </row>
    <row r="9" spans="1:10" s="2" customFormat="1" ht="26.1" customHeight="1" x14ac:dyDescent="0.3">
      <c r="A9" s="1550" t="s">
        <v>531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'67-винегрет с капустой'!H14+1</f>
        <v>41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87" t="s">
        <v>92</v>
      </c>
      <c r="D17" s="287" t="s">
        <v>94</v>
      </c>
      <c r="E17" s="287" t="s">
        <v>93</v>
      </c>
      <c r="F17" s="287" t="s">
        <v>23</v>
      </c>
      <c r="G17" s="287" t="s">
        <v>92</v>
      </c>
      <c r="H17" s="287" t="s">
        <v>94</v>
      </c>
      <c r="I17" s="287" t="s">
        <v>92</v>
      </c>
      <c r="J17" s="287" t="s">
        <v>94</v>
      </c>
    </row>
    <row r="18" spans="1:10" ht="9.6" customHeight="1" x14ac:dyDescent="0.25">
      <c r="A18" s="287">
        <v>1</v>
      </c>
      <c r="B18" s="289">
        <v>2</v>
      </c>
      <c r="C18" s="287">
        <v>3</v>
      </c>
      <c r="D18" s="289">
        <v>4</v>
      </c>
      <c r="E18" s="287">
        <v>5</v>
      </c>
      <c r="F18" s="289">
        <v>6</v>
      </c>
      <c r="G18" s="287">
        <v>7</v>
      </c>
      <c r="H18" s="289">
        <v>8</v>
      </c>
      <c r="I18" s="287">
        <v>9</v>
      </c>
      <c r="J18" s="289">
        <v>10</v>
      </c>
    </row>
    <row r="19" spans="1:10" s="10" customFormat="1" ht="14.1" customHeight="1" x14ac:dyDescent="0.25">
      <c r="A19" s="180">
        <v>1</v>
      </c>
      <c r="B19" s="20" t="s">
        <v>529</v>
      </c>
      <c r="C19" s="21">
        <v>0.71</v>
      </c>
      <c r="D19" s="21">
        <v>0.71</v>
      </c>
      <c r="E19" s="13">
        <f>'67-винегрет с капустой'!F27</f>
        <v>142.06</v>
      </c>
      <c r="F19" s="13">
        <f>C19*E19</f>
        <v>100.86</v>
      </c>
      <c r="G19" s="97">
        <f>C19*10</f>
        <v>7.1</v>
      </c>
      <c r="H19" s="21">
        <f>D19*10</f>
        <v>7.1</v>
      </c>
      <c r="I19" s="21">
        <f>C19*100</f>
        <v>71</v>
      </c>
      <c r="J19" s="21">
        <f>D19*100</f>
        <v>71</v>
      </c>
    </row>
    <row r="20" spans="1:10" s="10" customFormat="1" ht="28.35" customHeight="1" x14ac:dyDescent="0.25">
      <c r="A20" s="180">
        <v>2</v>
      </c>
      <c r="B20" s="20" t="s">
        <v>530</v>
      </c>
      <c r="C20" s="21">
        <v>0.5</v>
      </c>
      <c r="D20" s="21">
        <v>0.3</v>
      </c>
      <c r="E20" s="13">
        <f>цены!F129</f>
        <v>147</v>
      </c>
      <c r="F20" s="13">
        <f>C20*E20</f>
        <v>73.5</v>
      </c>
      <c r="G20" s="97">
        <f>C20*10</f>
        <v>5</v>
      </c>
      <c r="H20" s="21">
        <f>D20*10</f>
        <v>3</v>
      </c>
      <c r="I20" s="21">
        <f>C20*100</f>
        <v>50</v>
      </c>
      <c r="J20" s="21">
        <f>D20*100</f>
        <v>30</v>
      </c>
    </row>
    <row r="21" spans="1:10" s="10" customFormat="1" ht="12" customHeight="1" x14ac:dyDescent="0.25">
      <c r="A21" s="98"/>
      <c r="B21" s="93" t="s">
        <v>100</v>
      </c>
      <c r="C21" s="100"/>
      <c r="D21" s="100">
        <v>1</v>
      </c>
      <c r="E21" s="95"/>
      <c r="F21" s="95">
        <f>SUM(F19:F20)</f>
        <v>174.36</v>
      </c>
      <c r="G21" s="99"/>
      <c r="H21" s="100">
        <f>D21*10</f>
        <v>10</v>
      </c>
      <c r="I21" s="100"/>
      <c r="J21" s="100">
        <f>D21*100</f>
        <v>100</v>
      </c>
    </row>
    <row r="22" spans="1:10" s="10" customFormat="1" ht="27.6" customHeight="1" x14ac:dyDescent="0.25">
      <c r="A22" s="1536" t="s">
        <v>35</v>
      </c>
      <c r="B22" s="1536"/>
      <c r="C22" s="90"/>
      <c r="D22" s="90"/>
      <c r="E22" s="13"/>
      <c r="F22" s="13">
        <f>F21</f>
        <v>174.36</v>
      </c>
      <c r="G22" s="288"/>
      <c r="H22" s="288"/>
      <c r="I22" s="21"/>
      <c r="J22" s="13"/>
    </row>
    <row r="23" spans="1:10" s="10" customFormat="1" ht="25.35" customHeight="1" x14ac:dyDescent="0.25">
      <c r="A23" s="1536" t="s">
        <v>36</v>
      </c>
      <c r="B23" s="1536"/>
      <c r="C23" s="90">
        <v>1000</v>
      </c>
      <c r="D23" s="90"/>
      <c r="E23" s="13"/>
      <c r="F23" s="13"/>
      <c r="G23" s="13"/>
      <c r="H23" s="13"/>
      <c r="I23" s="21"/>
      <c r="J23" s="17"/>
    </row>
    <row r="24" spans="1:10" s="10" customFormat="1" ht="25.35" customHeight="1" x14ac:dyDescent="0.25">
      <c r="A24" s="1537" t="s">
        <v>37</v>
      </c>
      <c r="B24" s="1538"/>
      <c r="C24" s="91">
        <v>75</v>
      </c>
      <c r="D24" s="92"/>
      <c r="E24" s="289"/>
      <c r="F24" s="289"/>
      <c r="G24" s="289"/>
      <c r="H24" s="289"/>
      <c r="I24" s="21"/>
      <c r="J24" s="17"/>
    </row>
    <row r="25" spans="1:10" s="10" customFormat="1" ht="15" customHeight="1" x14ac:dyDescent="0.25">
      <c r="A25" s="1539" t="s">
        <v>38</v>
      </c>
      <c r="B25" s="1540"/>
      <c r="C25" s="92">
        <f>C23/C24</f>
        <v>13.333</v>
      </c>
      <c r="D25" s="92"/>
      <c r="E25" s="289"/>
      <c r="F25" s="289"/>
      <c r="G25" s="289"/>
      <c r="H25" s="289"/>
      <c r="I25" s="21"/>
      <c r="J25" s="17"/>
    </row>
    <row r="26" spans="1:10" ht="16.350000000000001" customHeight="1" x14ac:dyDescent="0.25">
      <c r="A26" s="1541" t="s">
        <v>39</v>
      </c>
      <c r="B26" s="1542"/>
      <c r="C26" s="15" t="s">
        <v>40</v>
      </c>
      <c r="D26" s="102"/>
      <c r="E26" s="102" t="s">
        <v>40</v>
      </c>
      <c r="F26" s="16">
        <f>F22/C25</f>
        <v>13.08</v>
      </c>
      <c r="G26" s="16"/>
      <c r="H26" s="16"/>
      <c r="I26" s="102" t="s">
        <v>40</v>
      </c>
      <c r="J26" s="102" t="s">
        <v>40</v>
      </c>
    </row>
    <row r="27" spans="1:10" ht="23.1" customHeight="1" x14ac:dyDescent="0.25">
      <c r="A27" s="1193"/>
      <c r="B27" s="1193"/>
      <c r="C27" s="1193"/>
      <c r="D27" s="1193"/>
      <c r="E27" s="1193"/>
      <c r="F27" s="1193"/>
      <c r="G27" s="1193"/>
      <c r="H27" s="1193"/>
      <c r="I27" s="1193"/>
      <c r="J27" s="1193"/>
    </row>
    <row r="28" spans="1:10" ht="13.95" customHeight="1" x14ac:dyDescent="0.25">
      <c r="A28" s="1193"/>
      <c r="B28" s="1194" t="s">
        <v>49</v>
      </c>
      <c r="C28" s="1198"/>
      <c r="D28" s="1198"/>
      <c r="E28" s="1198"/>
      <c r="F28" s="1198"/>
      <c r="G28" s="1193"/>
      <c r="H28" s="1557">
        <f>'1-бутерброд с маслом'!$H$28</f>
        <v>0</v>
      </c>
      <c r="I28" s="1557"/>
      <c r="J28" s="1557"/>
    </row>
    <row r="29" spans="1:10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0" ht="13.95" customHeight="1" x14ac:dyDescent="0.25">
      <c r="A30" s="1545" t="s">
        <v>327</v>
      </c>
      <c r="B30" s="1545"/>
      <c r="C30" s="1546" t="s">
        <v>328</v>
      </c>
      <c r="D30" s="1546"/>
      <c r="E30" s="1546"/>
      <c r="F30" s="1546"/>
      <c r="G30" s="106"/>
      <c r="H30" s="1531"/>
      <c r="I30" s="1531"/>
      <c r="J30" s="1531"/>
    </row>
    <row r="31" spans="1:10" x14ac:dyDescent="0.25">
      <c r="A31" s="1193"/>
      <c r="B31" s="1193"/>
      <c r="C31" s="1546"/>
      <c r="D31" s="1546"/>
      <c r="E31" s="1546"/>
      <c r="F31" s="1546"/>
      <c r="G31" s="1193"/>
      <c r="H31" s="1531" t="s">
        <v>329</v>
      </c>
      <c r="I31" s="1531"/>
      <c r="J31" s="1531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</sheetData>
  <mergeCells count="28">
    <mergeCell ref="H28:J28"/>
    <mergeCell ref="A13:G13"/>
    <mergeCell ref="A23:B23"/>
    <mergeCell ref="A24:B24"/>
    <mergeCell ref="A25:B25"/>
    <mergeCell ref="A26:B26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0:B30"/>
    <mergeCell ref="C30:F31"/>
    <mergeCell ref="H30:J30"/>
    <mergeCell ref="H31:J31"/>
    <mergeCell ref="H5:I5"/>
    <mergeCell ref="A6:G6"/>
    <mergeCell ref="A7:I7"/>
    <mergeCell ref="A22:B22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J34"/>
  <sheetViews>
    <sheetView view="pageBreakPreview" topLeftCell="A15" zoomScaleNormal="100" zoomScaleSheetLayoutView="100" workbookViewId="0">
      <selection activeCell="A26" sqref="A26:J30"/>
    </sheetView>
  </sheetViews>
  <sheetFormatPr defaultRowHeight="13.8" x14ac:dyDescent="0.25"/>
  <cols>
    <col min="1" max="1" width="4.109375" customWidth="1"/>
    <col min="2" max="2" width="22.44140625" customWidth="1"/>
    <col min="3" max="3" width="8.88671875" customWidth="1"/>
    <col min="4" max="7" width="7.5546875" customWidth="1"/>
    <col min="8" max="8" width="7.44140625" customWidth="1"/>
    <col min="9" max="9" width="7.5546875" customWidth="1"/>
    <col min="10" max="10" width="9.1093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42)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290"/>
      <c r="I6" s="290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70</v>
      </c>
    </row>
    <row r="8" spans="1:10" s="2" customFormat="1" ht="9.6" customHeight="1" x14ac:dyDescent="0.25">
      <c r="A8" s="291"/>
      <c r="B8" s="291"/>
      <c r="C8" s="291"/>
      <c r="D8" s="291"/>
      <c r="E8" s="291"/>
      <c r="F8" s="291"/>
      <c r="G8" s="291"/>
      <c r="H8" s="291"/>
      <c r="I8" s="291"/>
      <c r="J8" s="109"/>
    </row>
    <row r="9" spans="1:10" s="2" customFormat="1" ht="26.1" customHeight="1" x14ac:dyDescent="0.3">
      <c r="A9" s="1550" t="s">
        <v>534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95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'68-винегрет с фасолью'!H14+1</f>
        <v>42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87" t="s">
        <v>92</v>
      </c>
      <c r="D17" s="287" t="s">
        <v>94</v>
      </c>
      <c r="E17" s="287" t="s">
        <v>93</v>
      </c>
      <c r="F17" s="287" t="s">
        <v>23</v>
      </c>
      <c r="G17" s="287" t="s">
        <v>92</v>
      </c>
      <c r="H17" s="287" t="s">
        <v>94</v>
      </c>
      <c r="I17" s="287" t="s">
        <v>92</v>
      </c>
      <c r="J17" s="287" t="s">
        <v>94</v>
      </c>
    </row>
    <row r="18" spans="1:10" ht="9.6" customHeight="1" x14ac:dyDescent="0.25">
      <c r="A18" s="287">
        <v>1</v>
      </c>
      <c r="B18" s="289">
        <v>2</v>
      </c>
      <c r="C18" s="287">
        <v>3</v>
      </c>
      <c r="D18" s="289">
        <v>4</v>
      </c>
      <c r="E18" s="287">
        <v>5</v>
      </c>
      <c r="F18" s="289">
        <v>6</v>
      </c>
      <c r="G18" s="287">
        <v>7</v>
      </c>
      <c r="H18" s="289">
        <v>8</v>
      </c>
      <c r="I18" s="287">
        <v>9</v>
      </c>
      <c r="J18" s="289">
        <v>10</v>
      </c>
    </row>
    <row r="19" spans="1:10" s="10" customFormat="1" ht="14.1" customHeight="1" x14ac:dyDescent="0.25">
      <c r="A19" s="180">
        <v>1</v>
      </c>
      <c r="B19" s="20" t="s">
        <v>532</v>
      </c>
      <c r="C19" s="21">
        <v>5.5E-2</v>
      </c>
      <c r="D19" s="21">
        <v>0.05</v>
      </c>
      <c r="E19" s="13">
        <f>цены!F102</f>
        <v>120</v>
      </c>
      <c r="F19" s="13">
        <f>C19*E19</f>
        <v>6.6</v>
      </c>
      <c r="G19" s="97">
        <f>C19*10</f>
        <v>0.55000000000000004</v>
      </c>
      <c r="H19" s="21">
        <f>D19*10</f>
        <v>0.5</v>
      </c>
      <c r="I19" s="21">
        <f>C19*100</f>
        <v>5.5</v>
      </c>
      <c r="J19" s="21">
        <f>D19*100</f>
        <v>5</v>
      </c>
    </row>
    <row r="20" spans="1:10" s="10" customFormat="1" ht="12" customHeight="1" x14ac:dyDescent="0.25">
      <c r="A20" s="98"/>
      <c r="B20" s="93" t="s">
        <v>100</v>
      </c>
      <c r="C20" s="100"/>
      <c r="D20" s="100">
        <v>0.05</v>
      </c>
      <c r="E20" s="95"/>
      <c r="F20" s="95">
        <f>SUM(F19:F19)</f>
        <v>6.6</v>
      </c>
      <c r="G20" s="99"/>
      <c r="H20" s="100">
        <f>D20*10</f>
        <v>0.5</v>
      </c>
      <c r="I20" s="100"/>
      <c r="J20" s="100">
        <f>D20*100</f>
        <v>5</v>
      </c>
    </row>
    <row r="21" spans="1:10" s="10" customFormat="1" ht="27.6" customHeight="1" x14ac:dyDescent="0.25">
      <c r="A21" s="1536" t="s">
        <v>35</v>
      </c>
      <c r="B21" s="1536"/>
      <c r="C21" s="90"/>
      <c r="D21" s="90"/>
      <c r="E21" s="13"/>
      <c r="F21" s="13">
        <f>F20</f>
        <v>6.6</v>
      </c>
      <c r="G21" s="288"/>
      <c r="H21" s="288"/>
      <c r="I21" s="21"/>
      <c r="J21" s="13"/>
    </row>
    <row r="22" spans="1:10" s="10" customFormat="1" ht="25.35" customHeight="1" x14ac:dyDescent="0.25">
      <c r="A22" s="1536" t="s">
        <v>36</v>
      </c>
      <c r="B22" s="1536"/>
      <c r="C22" s="90">
        <v>50</v>
      </c>
      <c r="D22" s="90"/>
      <c r="E22" s="13"/>
      <c r="F22" s="13"/>
      <c r="G22" s="13"/>
      <c r="H22" s="13"/>
      <c r="I22" s="21"/>
      <c r="J22" s="17"/>
    </row>
    <row r="23" spans="1:10" s="10" customFormat="1" ht="25.35" customHeight="1" x14ac:dyDescent="0.25">
      <c r="A23" s="1537" t="s">
        <v>37</v>
      </c>
      <c r="B23" s="1538"/>
      <c r="C23" s="91">
        <v>50</v>
      </c>
      <c r="D23" s="92"/>
      <c r="E23" s="289"/>
      <c r="F23" s="289"/>
      <c r="G23" s="289"/>
      <c r="H23" s="289"/>
      <c r="I23" s="21"/>
      <c r="J23" s="17"/>
    </row>
    <row r="24" spans="1:10" s="10" customFormat="1" ht="15" customHeight="1" x14ac:dyDescent="0.25">
      <c r="A24" s="1539" t="s">
        <v>38</v>
      </c>
      <c r="B24" s="1540"/>
      <c r="C24" s="92">
        <f>C22/C23</f>
        <v>1</v>
      </c>
      <c r="D24" s="92"/>
      <c r="E24" s="289"/>
      <c r="F24" s="289"/>
      <c r="G24" s="289"/>
      <c r="H24" s="289"/>
      <c r="I24" s="21"/>
      <c r="J24" s="17"/>
    </row>
    <row r="25" spans="1:10" ht="16.350000000000001" customHeight="1" x14ac:dyDescent="0.25">
      <c r="A25" s="1541" t="s">
        <v>39</v>
      </c>
      <c r="B25" s="1542"/>
      <c r="C25" s="15" t="s">
        <v>40</v>
      </c>
      <c r="D25" s="102"/>
      <c r="E25" s="102" t="s">
        <v>40</v>
      </c>
      <c r="F25" s="16">
        <f>F21/C24</f>
        <v>6.6</v>
      </c>
      <c r="G25" s="16"/>
      <c r="H25" s="16"/>
      <c r="I25" s="102" t="s">
        <v>40</v>
      </c>
      <c r="J25" s="102" t="s">
        <v>40</v>
      </c>
    </row>
    <row r="26" spans="1:10" ht="23.1" customHeight="1" x14ac:dyDescent="0.25">
      <c r="A26" s="1193"/>
      <c r="B26" s="1193"/>
      <c r="C26" s="1193"/>
      <c r="D26" s="1193"/>
      <c r="E26" s="1193"/>
      <c r="F26" s="1193"/>
      <c r="G26" s="1193"/>
      <c r="H26" s="1193"/>
      <c r="I26" s="1193"/>
      <c r="J26" s="1193"/>
    </row>
    <row r="27" spans="1:10" ht="13.95" customHeight="1" x14ac:dyDescent="0.25">
      <c r="A27" s="1193"/>
      <c r="B27" s="1194" t="s">
        <v>49</v>
      </c>
      <c r="C27" s="1198"/>
      <c r="D27" s="1198"/>
      <c r="E27" s="1198"/>
      <c r="F27" s="1198"/>
      <c r="G27" s="1193"/>
      <c r="H27" s="1557">
        <f>'1-бутерброд с маслом'!$H$28</f>
        <v>0</v>
      </c>
      <c r="I27" s="1557"/>
      <c r="J27" s="1557"/>
    </row>
    <row r="28" spans="1:10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545" t="s">
        <v>327</v>
      </c>
      <c r="B29" s="1545"/>
      <c r="C29" s="1546" t="s">
        <v>328</v>
      </c>
      <c r="D29" s="1546"/>
      <c r="E29" s="1546"/>
      <c r="F29" s="1546"/>
      <c r="G29" s="106"/>
      <c r="H29" s="1531"/>
      <c r="I29" s="1531"/>
      <c r="J29" s="1531"/>
    </row>
    <row r="30" spans="1:10" x14ac:dyDescent="0.25">
      <c r="A30" s="1193"/>
      <c r="B30" s="1193"/>
      <c r="C30" s="1546"/>
      <c r="D30" s="1546"/>
      <c r="E30" s="1546"/>
      <c r="F30" s="1546"/>
      <c r="G30" s="1193"/>
      <c r="H30" s="1531" t="s">
        <v>329</v>
      </c>
      <c r="I30" s="1531"/>
      <c r="J30" s="1531"/>
    </row>
    <row r="31" spans="1:10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</sheetData>
  <mergeCells count="28">
    <mergeCell ref="H27:J27"/>
    <mergeCell ref="A13:G13"/>
    <mergeCell ref="A22:B22"/>
    <mergeCell ref="A23:B23"/>
    <mergeCell ref="A24:B24"/>
    <mergeCell ref="A25:B25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29:B29"/>
    <mergeCell ref="C29:F30"/>
    <mergeCell ref="H29:J29"/>
    <mergeCell ref="H30:J30"/>
    <mergeCell ref="H5:I5"/>
    <mergeCell ref="A6:G6"/>
    <mergeCell ref="A7:I7"/>
    <mergeCell ref="A21:B21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J34"/>
  <sheetViews>
    <sheetView view="pageBreakPreview" topLeftCell="A19" zoomScaleNormal="100" zoomScaleSheetLayoutView="100" workbookViewId="0">
      <selection activeCell="A26" sqref="A26:J30"/>
    </sheetView>
  </sheetViews>
  <sheetFormatPr defaultRowHeight="13.8" x14ac:dyDescent="0.25"/>
  <cols>
    <col min="1" max="1" width="4.109375" customWidth="1"/>
    <col min="2" max="2" width="22.44140625" customWidth="1"/>
    <col min="3" max="3" width="8.88671875" customWidth="1"/>
    <col min="4" max="7" width="7.5546875" customWidth="1"/>
    <col min="8" max="8" width="7.44140625" customWidth="1"/>
    <col min="9" max="9" width="7.5546875" customWidth="1"/>
    <col min="10" max="10" width="9.1093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43)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290"/>
      <c r="I6" s="290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70</v>
      </c>
    </row>
    <row r="8" spans="1:10" s="2" customFormat="1" ht="9.6" customHeight="1" x14ac:dyDescent="0.25">
      <c r="A8" s="291"/>
      <c r="B8" s="291"/>
      <c r="C8" s="291"/>
      <c r="D8" s="291"/>
      <c r="E8" s="291"/>
      <c r="F8" s="291"/>
      <c r="G8" s="291"/>
      <c r="H8" s="291"/>
      <c r="I8" s="291"/>
      <c r="J8" s="109"/>
    </row>
    <row r="9" spans="1:10" s="2" customFormat="1" ht="26.1" customHeight="1" x14ac:dyDescent="0.3">
      <c r="A9" s="1550" t="s">
        <v>533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95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'70-помидоры сол.'!H14+1</f>
        <v>43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87" t="s">
        <v>92</v>
      </c>
      <c r="D17" s="287" t="s">
        <v>94</v>
      </c>
      <c r="E17" s="287" t="s">
        <v>93</v>
      </c>
      <c r="F17" s="287" t="s">
        <v>23</v>
      </c>
      <c r="G17" s="287" t="s">
        <v>92</v>
      </c>
      <c r="H17" s="287" t="s">
        <v>94</v>
      </c>
      <c r="I17" s="287" t="s">
        <v>92</v>
      </c>
      <c r="J17" s="287" t="s">
        <v>94</v>
      </c>
    </row>
    <row r="18" spans="1:10" ht="9.6" customHeight="1" x14ac:dyDescent="0.25">
      <c r="A18" s="287">
        <v>1</v>
      </c>
      <c r="B18" s="289">
        <v>2</v>
      </c>
      <c r="C18" s="287">
        <v>3</v>
      </c>
      <c r="D18" s="289">
        <v>4</v>
      </c>
      <c r="E18" s="287">
        <v>5</v>
      </c>
      <c r="F18" s="289">
        <v>6</v>
      </c>
      <c r="G18" s="287">
        <v>7</v>
      </c>
      <c r="H18" s="289">
        <v>8</v>
      </c>
      <c r="I18" s="287">
        <v>9</v>
      </c>
      <c r="J18" s="289">
        <v>10</v>
      </c>
    </row>
    <row r="19" spans="1:10" s="10" customFormat="1" ht="14.1" customHeight="1" x14ac:dyDescent="0.25">
      <c r="A19" s="180">
        <v>1</v>
      </c>
      <c r="B19" s="20" t="s">
        <v>526</v>
      </c>
      <c r="C19" s="21">
        <v>5.5E-2</v>
      </c>
      <c r="D19" s="21">
        <v>0.05</v>
      </c>
      <c r="E19" s="13">
        <f>цены!F101</f>
        <v>120</v>
      </c>
      <c r="F19" s="13">
        <f>C19*E19</f>
        <v>6.6</v>
      </c>
      <c r="G19" s="97">
        <f>C19*10</f>
        <v>0.55000000000000004</v>
      </c>
      <c r="H19" s="21">
        <f>D19*10</f>
        <v>0.5</v>
      </c>
      <c r="I19" s="21">
        <f>C19*100</f>
        <v>5.5</v>
      </c>
      <c r="J19" s="21">
        <f>D19*100</f>
        <v>5</v>
      </c>
    </row>
    <row r="20" spans="1:10" s="10" customFormat="1" ht="12" customHeight="1" x14ac:dyDescent="0.25">
      <c r="A20" s="98"/>
      <c r="B20" s="93" t="s">
        <v>100</v>
      </c>
      <c r="C20" s="100"/>
      <c r="D20" s="100">
        <v>0.05</v>
      </c>
      <c r="E20" s="95"/>
      <c r="F20" s="95">
        <f>SUM(F19:F19)</f>
        <v>6.6</v>
      </c>
      <c r="G20" s="99"/>
      <c r="H20" s="100">
        <f>D20*10</f>
        <v>0.5</v>
      </c>
      <c r="I20" s="100"/>
      <c r="J20" s="100">
        <f>D20*100</f>
        <v>5</v>
      </c>
    </row>
    <row r="21" spans="1:10" s="10" customFormat="1" ht="27.6" customHeight="1" x14ac:dyDescent="0.25">
      <c r="A21" s="1536" t="s">
        <v>35</v>
      </c>
      <c r="B21" s="1536"/>
      <c r="C21" s="90"/>
      <c r="D21" s="90"/>
      <c r="E21" s="13"/>
      <c r="F21" s="13">
        <f>F20</f>
        <v>6.6</v>
      </c>
      <c r="G21" s="288"/>
      <c r="H21" s="288"/>
      <c r="I21" s="21"/>
      <c r="J21" s="13"/>
    </row>
    <row r="22" spans="1:10" s="10" customFormat="1" ht="25.35" customHeight="1" x14ac:dyDescent="0.25">
      <c r="A22" s="1536" t="s">
        <v>36</v>
      </c>
      <c r="B22" s="1536"/>
      <c r="C22" s="90">
        <v>50</v>
      </c>
      <c r="D22" s="90"/>
      <c r="E22" s="13"/>
      <c r="F22" s="13"/>
      <c r="G22" s="13"/>
      <c r="H22" s="13"/>
      <c r="I22" s="21"/>
      <c r="J22" s="17"/>
    </row>
    <row r="23" spans="1:10" s="10" customFormat="1" ht="25.35" customHeight="1" x14ac:dyDescent="0.25">
      <c r="A23" s="1537" t="s">
        <v>37</v>
      </c>
      <c r="B23" s="1538"/>
      <c r="C23" s="91">
        <v>50</v>
      </c>
      <c r="D23" s="92"/>
      <c r="E23" s="289"/>
      <c r="F23" s="289"/>
      <c r="G23" s="289"/>
      <c r="H23" s="289"/>
      <c r="I23" s="21"/>
      <c r="J23" s="17"/>
    </row>
    <row r="24" spans="1:10" s="10" customFormat="1" ht="15" customHeight="1" x14ac:dyDescent="0.25">
      <c r="A24" s="1539" t="s">
        <v>38</v>
      </c>
      <c r="B24" s="1540"/>
      <c r="C24" s="92">
        <f>C22/C23</f>
        <v>1</v>
      </c>
      <c r="D24" s="92"/>
      <c r="E24" s="289"/>
      <c r="F24" s="289"/>
      <c r="G24" s="289"/>
      <c r="H24" s="289"/>
      <c r="I24" s="21"/>
      <c r="J24" s="17"/>
    </row>
    <row r="25" spans="1:10" ht="16.350000000000001" customHeight="1" x14ac:dyDescent="0.25">
      <c r="A25" s="1541" t="s">
        <v>39</v>
      </c>
      <c r="B25" s="1542"/>
      <c r="C25" s="15" t="s">
        <v>40</v>
      </c>
      <c r="D25" s="102"/>
      <c r="E25" s="102" t="s">
        <v>40</v>
      </c>
      <c r="F25" s="16">
        <f>F21/C24</f>
        <v>6.6</v>
      </c>
      <c r="G25" s="16"/>
      <c r="H25" s="16"/>
      <c r="I25" s="102" t="s">
        <v>40</v>
      </c>
      <c r="J25" s="102" t="s">
        <v>40</v>
      </c>
    </row>
    <row r="26" spans="1:10" ht="23.1" customHeight="1" x14ac:dyDescent="0.25">
      <c r="A26" s="1193"/>
      <c r="B26" s="1193"/>
      <c r="C26" s="1193"/>
      <c r="D26" s="1193"/>
      <c r="E26" s="1193"/>
      <c r="F26" s="1193"/>
      <c r="G26" s="1193"/>
      <c r="H26" s="1193"/>
      <c r="I26" s="1193"/>
      <c r="J26" s="1193"/>
    </row>
    <row r="27" spans="1:10" ht="13.95" customHeight="1" x14ac:dyDescent="0.25">
      <c r="A27" s="1193"/>
      <c r="B27" s="1194" t="s">
        <v>49</v>
      </c>
      <c r="C27" s="1198"/>
      <c r="D27" s="1198"/>
      <c r="E27" s="1198"/>
      <c r="F27" s="1198"/>
      <c r="G27" s="1193"/>
      <c r="H27" s="1557">
        <f>'1-бутерброд с маслом'!$H$28</f>
        <v>0</v>
      </c>
      <c r="I27" s="1557"/>
      <c r="J27" s="1557"/>
    </row>
    <row r="28" spans="1:10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545" t="s">
        <v>327</v>
      </c>
      <c r="B29" s="1545"/>
      <c r="C29" s="1546" t="s">
        <v>328</v>
      </c>
      <c r="D29" s="1546"/>
      <c r="E29" s="1546"/>
      <c r="F29" s="1546"/>
      <c r="G29" s="106"/>
      <c r="H29" s="1531"/>
      <c r="I29" s="1531"/>
      <c r="J29" s="1531"/>
    </row>
    <row r="30" spans="1:10" x14ac:dyDescent="0.25">
      <c r="A30" s="1193"/>
      <c r="B30" s="1193"/>
      <c r="C30" s="1546"/>
      <c r="D30" s="1546"/>
      <c r="E30" s="1546"/>
      <c r="F30" s="1546"/>
      <c r="G30" s="1193"/>
      <c r="H30" s="1531" t="s">
        <v>329</v>
      </c>
      <c r="I30" s="1531"/>
      <c r="J30" s="1531"/>
    </row>
    <row r="31" spans="1:10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</sheetData>
  <mergeCells count="28">
    <mergeCell ref="H27:J27"/>
    <mergeCell ref="A13:G13"/>
    <mergeCell ref="A22:B22"/>
    <mergeCell ref="A23:B23"/>
    <mergeCell ref="A24:B24"/>
    <mergeCell ref="A25:B25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29:B29"/>
    <mergeCell ref="C29:F30"/>
    <mergeCell ref="H29:J29"/>
    <mergeCell ref="H30:J30"/>
    <mergeCell ref="H5:I5"/>
    <mergeCell ref="A6:G6"/>
    <mergeCell ref="A7:I7"/>
    <mergeCell ref="A21:B21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J34"/>
  <sheetViews>
    <sheetView view="pageBreakPreview" topLeftCell="A11" zoomScale="110" zoomScaleNormal="100" zoomScaleSheetLayoutView="110" workbookViewId="0">
      <selection activeCell="A26" sqref="A26:J30"/>
    </sheetView>
  </sheetViews>
  <sheetFormatPr defaultRowHeight="13.8" x14ac:dyDescent="0.25"/>
  <cols>
    <col min="1" max="1" width="4.109375" customWidth="1"/>
    <col min="2" max="2" width="22.44140625" customWidth="1"/>
    <col min="3" max="3" width="8.88671875" customWidth="1"/>
    <col min="4" max="7" width="7.5546875" customWidth="1"/>
    <col min="8" max="8" width="7.44140625" customWidth="1"/>
    <col min="9" max="9" width="7.5546875" customWidth="1"/>
    <col min="10" max="10" width="9.1093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44)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290"/>
      <c r="I6" s="290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71</v>
      </c>
    </row>
    <row r="8" spans="1:10" s="2" customFormat="1" ht="9.6" customHeight="1" x14ac:dyDescent="0.25">
      <c r="A8" s="291"/>
      <c r="B8" s="291"/>
      <c r="C8" s="291"/>
      <c r="D8" s="291"/>
      <c r="E8" s="291"/>
      <c r="F8" s="291"/>
      <c r="G8" s="291"/>
      <c r="H8" s="291"/>
      <c r="I8" s="291"/>
      <c r="J8" s="109"/>
    </row>
    <row r="9" spans="1:10" s="2" customFormat="1" ht="26.1" customHeight="1" x14ac:dyDescent="0.3">
      <c r="A9" s="1550" t="s">
        <v>535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'70-огурцы сол.'!H14+1</f>
        <v>44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87" t="s">
        <v>92</v>
      </c>
      <c r="D17" s="287" t="s">
        <v>94</v>
      </c>
      <c r="E17" s="287" t="s">
        <v>93</v>
      </c>
      <c r="F17" s="287" t="s">
        <v>23</v>
      </c>
      <c r="G17" s="287" t="s">
        <v>92</v>
      </c>
      <c r="H17" s="287" t="s">
        <v>94</v>
      </c>
      <c r="I17" s="287" t="s">
        <v>92</v>
      </c>
      <c r="J17" s="287" t="s">
        <v>94</v>
      </c>
    </row>
    <row r="18" spans="1:10" ht="9.6" customHeight="1" x14ac:dyDescent="0.25">
      <c r="A18" s="287">
        <v>1</v>
      </c>
      <c r="B18" s="289">
        <v>2</v>
      </c>
      <c r="C18" s="287">
        <v>3</v>
      </c>
      <c r="D18" s="289">
        <v>4</v>
      </c>
      <c r="E18" s="287">
        <v>5</v>
      </c>
      <c r="F18" s="289">
        <v>6</v>
      </c>
      <c r="G18" s="287">
        <v>7</v>
      </c>
      <c r="H18" s="289">
        <v>8</v>
      </c>
      <c r="I18" s="287">
        <v>9</v>
      </c>
      <c r="J18" s="289">
        <v>10</v>
      </c>
    </row>
    <row r="19" spans="1:10" s="10" customFormat="1" ht="14.1" customHeight="1" x14ac:dyDescent="0.25">
      <c r="A19" s="180">
        <v>1</v>
      </c>
      <c r="B19" s="20" t="s">
        <v>516</v>
      </c>
      <c r="C19" s="21">
        <v>7.0999999999999994E-2</v>
      </c>
      <c r="D19" s="21">
        <v>0.06</v>
      </c>
      <c r="E19" s="13">
        <f>цены!F41</f>
        <v>106</v>
      </c>
      <c r="F19" s="13">
        <f>C19*E19</f>
        <v>7.53</v>
      </c>
      <c r="G19" s="97">
        <f>C19*10</f>
        <v>0.71</v>
      </c>
      <c r="H19" s="21">
        <f>D19*10</f>
        <v>0.6</v>
      </c>
      <c r="I19" s="21">
        <f>C19*100</f>
        <v>7.1</v>
      </c>
      <c r="J19" s="21">
        <f>D19*100</f>
        <v>6</v>
      </c>
    </row>
    <row r="20" spans="1:10" s="10" customFormat="1" ht="12" customHeight="1" x14ac:dyDescent="0.25">
      <c r="A20" s="98"/>
      <c r="B20" s="93" t="s">
        <v>100</v>
      </c>
      <c r="C20" s="100"/>
      <c r="D20" s="1028">
        <v>60</v>
      </c>
      <c r="E20" s="95"/>
      <c r="F20" s="95">
        <f>SUM(F19:F19)</f>
        <v>7.53</v>
      </c>
      <c r="G20" s="99"/>
      <c r="H20" s="1028">
        <f>D20*10</f>
        <v>600</v>
      </c>
      <c r="I20" s="100"/>
      <c r="J20" s="1028">
        <f>D20*100</f>
        <v>6000</v>
      </c>
    </row>
    <row r="21" spans="1:10" s="10" customFormat="1" ht="27.6" customHeight="1" x14ac:dyDescent="0.25">
      <c r="A21" s="1536" t="s">
        <v>35</v>
      </c>
      <c r="B21" s="1536"/>
      <c r="C21" s="90"/>
      <c r="D21" s="90"/>
      <c r="E21" s="13"/>
      <c r="F21" s="13">
        <f>F20</f>
        <v>7.53</v>
      </c>
      <c r="G21" s="288"/>
      <c r="H21" s="288"/>
      <c r="I21" s="21"/>
      <c r="J21" s="13"/>
    </row>
    <row r="22" spans="1:10" s="10" customFormat="1" ht="25.35" customHeight="1" x14ac:dyDescent="0.25">
      <c r="A22" s="1536" t="s">
        <v>36</v>
      </c>
      <c r="B22" s="1536"/>
      <c r="C22" s="90">
        <v>60</v>
      </c>
      <c r="D22" s="90"/>
      <c r="E22" s="13"/>
      <c r="F22" s="13"/>
      <c r="G22" s="13"/>
      <c r="H22" s="13"/>
      <c r="I22" s="21"/>
      <c r="J22" s="17"/>
    </row>
    <row r="23" spans="1:10" s="10" customFormat="1" ht="25.35" customHeight="1" x14ac:dyDescent="0.25">
      <c r="A23" s="1537" t="s">
        <v>37</v>
      </c>
      <c r="B23" s="1538"/>
      <c r="C23" s="91">
        <v>60</v>
      </c>
      <c r="D23" s="92"/>
      <c r="E23" s="289"/>
      <c r="F23" s="289"/>
      <c r="G23" s="289"/>
      <c r="H23" s="289"/>
      <c r="I23" s="21"/>
      <c r="J23" s="17"/>
    </row>
    <row r="24" spans="1:10" s="10" customFormat="1" ht="15" customHeight="1" x14ac:dyDescent="0.25">
      <c r="A24" s="1539" t="s">
        <v>38</v>
      </c>
      <c r="B24" s="1540"/>
      <c r="C24" s="92">
        <f>C22/C23</f>
        <v>1</v>
      </c>
      <c r="D24" s="92"/>
      <c r="E24" s="289"/>
      <c r="F24" s="289"/>
      <c r="G24" s="289"/>
      <c r="H24" s="289"/>
      <c r="I24" s="21"/>
      <c r="J24" s="17"/>
    </row>
    <row r="25" spans="1:10" ht="16.350000000000001" customHeight="1" x14ac:dyDescent="0.25">
      <c r="A25" s="1541" t="s">
        <v>39</v>
      </c>
      <c r="B25" s="1542"/>
      <c r="C25" s="15" t="s">
        <v>40</v>
      </c>
      <c r="D25" s="102"/>
      <c r="E25" s="102" t="s">
        <v>40</v>
      </c>
      <c r="F25" s="16">
        <f>F21/C24</f>
        <v>7.53</v>
      </c>
      <c r="G25" s="16"/>
      <c r="H25" s="16"/>
      <c r="I25" s="102" t="s">
        <v>40</v>
      </c>
      <c r="J25" s="102" t="s">
        <v>40</v>
      </c>
    </row>
    <row r="26" spans="1:10" ht="23.1" customHeight="1" x14ac:dyDescent="0.25">
      <c r="A26" s="1193"/>
      <c r="B26" s="1193"/>
      <c r="C26" s="1193"/>
      <c r="D26" s="1193"/>
      <c r="E26" s="1193"/>
      <c r="F26" s="1193"/>
      <c r="G26" s="1193"/>
      <c r="H26" s="1193"/>
      <c r="I26" s="1193"/>
      <c r="J26" s="1193"/>
    </row>
    <row r="27" spans="1:10" ht="13.95" customHeight="1" x14ac:dyDescent="0.25">
      <c r="A27" s="1193"/>
      <c r="B27" s="1194" t="s">
        <v>49</v>
      </c>
      <c r="C27" s="1198"/>
      <c r="D27" s="1198"/>
      <c r="E27" s="1198"/>
      <c r="F27" s="1198"/>
      <c r="G27" s="1193"/>
      <c r="H27" s="1557">
        <f>'1-бутерброд с маслом'!$H$28</f>
        <v>0</v>
      </c>
      <c r="I27" s="1557"/>
      <c r="J27" s="1557"/>
    </row>
    <row r="28" spans="1:10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545" t="s">
        <v>327</v>
      </c>
      <c r="B29" s="1545"/>
      <c r="C29" s="1546" t="s">
        <v>328</v>
      </c>
      <c r="D29" s="1546"/>
      <c r="E29" s="1546"/>
      <c r="F29" s="1546"/>
      <c r="G29" s="106"/>
      <c r="H29" s="1531"/>
      <c r="I29" s="1531"/>
      <c r="J29" s="1531"/>
    </row>
    <row r="30" spans="1:10" x14ac:dyDescent="0.25">
      <c r="A30" s="1193"/>
      <c r="B30" s="1193"/>
      <c r="C30" s="1546"/>
      <c r="D30" s="1546"/>
      <c r="E30" s="1546"/>
      <c r="F30" s="1546"/>
      <c r="G30" s="1193"/>
      <c r="H30" s="1531" t="s">
        <v>329</v>
      </c>
      <c r="I30" s="1531"/>
      <c r="J30" s="1531"/>
    </row>
    <row r="31" spans="1:10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</sheetData>
  <mergeCells count="28">
    <mergeCell ref="H27:J27"/>
    <mergeCell ref="A13:G13"/>
    <mergeCell ref="A22:B22"/>
    <mergeCell ref="A23:B23"/>
    <mergeCell ref="A24:B24"/>
    <mergeCell ref="A25:B25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29:B29"/>
    <mergeCell ref="C29:F30"/>
    <mergeCell ref="H29:J29"/>
    <mergeCell ref="H30:J30"/>
    <mergeCell ref="H5:I5"/>
    <mergeCell ref="A6:G6"/>
    <mergeCell ref="A7:I7"/>
    <mergeCell ref="A21:B21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1"/>
  <sheetViews>
    <sheetView view="pageBreakPreview" topLeftCell="A193" zoomScaleNormal="100" zoomScaleSheetLayoutView="100" workbookViewId="0">
      <selection activeCell="B304" sqref="B304"/>
    </sheetView>
  </sheetViews>
  <sheetFormatPr defaultRowHeight="13.8" x14ac:dyDescent="0.25"/>
  <cols>
    <col min="1" max="1" width="8.44140625" customWidth="1"/>
    <col min="2" max="2" width="32.88671875" style="616" customWidth="1"/>
    <col min="3" max="3" width="6.6640625" style="1306" customWidth="1"/>
    <col min="4" max="4" width="7.44140625" style="1291" customWidth="1"/>
    <col min="5" max="5" width="7.109375" style="1291" customWidth="1"/>
    <col min="6" max="6" width="7.5546875" style="1291" customWidth="1"/>
    <col min="7" max="7" width="8.6640625" style="1291" customWidth="1"/>
    <col min="8" max="8" width="8.109375" style="1291" customWidth="1"/>
    <col min="9" max="9" width="8.33203125" customWidth="1"/>
  </cols>
  <sheetData>
    <row r="1" spans="1:9" s="1230" customFormat="1" ht="18" x14ac:dyDescent="0.25">
      <c r="A1" s="1228"/>
      <c r="B1" s="1228"/>
      <c r="C1" s="1303"/>
      <c r="D1" s="1295"/>
      <c r="E1" s="1509" t="str">
        <f>'меню 7 дней завтрак и обед '!E1:H1</f>
        <v xml:space="preserve">Приложение </v>
      </c>
      <c r="F1" s="1509"/>
      <c r="G1" s="1509"/>
      <c r="H1" s="1509"/>
    </row>
    <row r="2" spans="1:9" s="1230" customFormat="1" ht="18" x14ac:dyDescent="0.25">
      <c r="A2" s="1228"/>
      <c r="B2" s="1228"/>
      <c r="C2" s="1303"/>
      <c r="D2" s="1295"/>
      <c r="E2" s="1509" t="str">
        <f>'меню 7 дней завтрак и обед '!E2:H2</f>
        <v>УТВЕРЖДЕНО</v>
      </c>
      <c r="F2" s="1509"/>
      <c r="G2" s="1509"/>
      <c r="H2" s="1509"/>
    </row>
    <row r="3" spans="1:9" s="1230" customFormat="1" ht="18" x14ac:dyDescent="0.25">
      <c r="A3" s="1228"/>
      <c r="B3" s="1228"/>
      <c r="C3" s="1303"/>
      <c r="D3" s="1509" t="str">
        <f>'меню 7 дней завтрак и обед '!E3</f>
        <v>приказом от ______ 2023 N ____</v>
      </c>
      <c r="E3" s="1509"/>
      <c r="F3" s="1509"/>
      <c r="G3" s="1509"/>
      <c r="H3" s="1509"/>
    </row>
    <row r="4" spans="1:9" s="1230" customFormat="1" ht="18" x14ac:dyDescent="0.25">
      <c r="A4" s="1228"/>
      <c r="B4" s="1228"/>
      <c r="C4" s="1303"/>
      <c r="D4" s="1295"/>
      <c r="E4" s="1294"/>
      <c r="F4" s="1294"/>
      <c r="G4" s="1294"/>
      <c r="H4" s="1296"/>
    </row>
    <row r="5" spans="1:9" ht="82.95" customHeight="1" x14ac:dyDescent="0.35">
      <c r="A5" s="1513" t="str">
        <f>'меню 7 дней завтрак и обед '!A5:H5</f>
        <v>НЕДЕЛЬНОЕ (ОСНОВНОЕ) МЕНЮ ПРИГОТАВЛИВАЕМЫХ БЛЮД ДЛЯ ДЕТЕЙ В ПРИШКОЛЬНОМ ЛЕТНЕМ ЛАГЕРЕ С ДНЕВНЫМ ПРЕБЫВАНИЕМ  ОБЩЕОБРАЗОВАТЕЛЬНЫХ ОРГАНИЗАЦИЙ УСТЬ-ДЖЕГУТИНСКОГО МУНИЦИПАЛЬНОГО РАЙОНА</v>
      </c>
      <c r="B5" s="1513"/>
      <c r="C5" s="1513"/>
      <c r="D5" s="1513"/>
      <c r="E5" s="1513"/>
      <c r="F5" s="1513"/>
      <c r="G5" s="1513"/>
      <c r="H5" s="1513"/>
      <c r="I5" s="1513"/>
    </row>
    <row r="6" spans="1:9" s="1230" customFormat="1" ht="18" x14ac:dyDescent="0.35">
      <c r="A6" s="1513" t="str">
        <f>'меню 7 дней завтрак и обед '!A6:H6</f>
        <v xml:space="preserve">МБОУ </v>
      </c>
      <c r="B6" s="1513"/>
      <c r="C6" s="1513"/>
      <c r="D6" s="1513"/>
      <c r="E6" s="1513"/>
      <c r="F6" s="1513"/>
      <c r="G6" s="1513"/>
      <c r="H6" s="1513"/>
    </row>
    <row r="7" spans="1:9" ht="29.4" customHeight="1" x14ac:dyDescent="0.3">
      <c r="A7" s="1073"/>
      <c r="B7" s="1074" t="str">
        <f>'меню 7 дней завтрак и обед '!B7:D7</f>
        <v>Вводится 5 июня 2023 г.</v>
      </c>
      <c r="C7" s="1304"/>
      <c r="D7" s="1297"/>
      <c r="E7" s="1298"/>
      <c r="F7" s="1298"/>
      <c r="G7" s="1298"/>
      <c r="H7" s="1298"/>
    </row>
    <row r="8" spans="1:9" ht="15.6" x14ac:dyDescent="0.3">
      <c r="A8" s="1073"/>
      <c r="B8" s="1074" t="str">
        <f>'меню 7 дней завтрак и обед '!B8:D8</f>
        <v>Возрастная группа 7-11 лет</v>
      </c>
      <c r="C8" s="1304"/>
      <c r="D8" s="1297"/>
      <c r="E8" s="1297"/>
      <c r="F8" s="1297"/>
      <c r="G8" s="1297"/>
      <c r="H8" s="1298"/>
    </row>
    <row r="9" spans="1:9" ht="18" x14ac:dyDescent="0.35">
      <c r="A9" s="410"/>
      <c r="B9" s="1074" t="str">
        <f>'меню 7 дней завтрак и обед '!B9:D9</f>
        <v>Сезон: летний</v>
      </c>
      <c r="C9" s="1304"/>
      <c r="D9" s="1297"/>
      <c r="E9" s="1297"/>
      <c r="F9" s="1297"/>
      <c r="G9" s="1297"/>
      <c r="H9" s="1299"/>
    </row>
    <row r="10" spans="1:9" s="1076" customFormat="1" ht="18" x14ac:dyDescent="0.35">
      <c r="A10" s="410"/>
      <c r="B10" s="1074"/>
      <c r="C10" s="1304"/>
      <c r="D10" s="1297"/>
      <c r="E10" s="1297"/>
      <c r="F10" s="1297"/>
      <c r="G10" s="1297"/>
      <c r="H10" s="1299"/>
    </row>
    <row r="11" spans="1:9" ht="51.6" customHeight="1" x14ac:dyDescent="0.3">
      <c r="A11" s="1516" t="s">
        <v>632</v>
      </c>
      <c r="B11" s="1516"/>
      <c r="C11" s="1516"/>
      <c r="D11" s="1516"/>
      <c r="E11" s="1516"/>
      <c r="F11" s="1516"/>
      <c r="G11" s="1516"/>
      <c r="H11" s="1516"/>
    </row>
    <row r="12" spans="1:9" s="699" customFormat="1" x14ac:dyDescent="0.25">
      <c r="A12" s="1075"/>
      <c r="B12" s="1075"/>
      <c r="C12" s="1305"/>
      <c r="D12" s="1300"/>
      <c r="E12" s="1300"/>
      <c r="F12" s="1300"/>
      <c r="G12" s="1300"/>
      <c r="H12" s="1300"/>
    </row>
    <row r="13" spans="1:9" ht="22.2" customHeight="1" x14ac:dyDescent="0.25">
      <c r="A13" s="1487" t="s">
        <v>1049</v>
      </c>
      <c r="B13" s="1487" t="s">
        <v>106</v>
      </c>
      <c r="C13" s="1514" t="s">
        <v>1352</v>
      </c>
      <c r="D13" s="1490" t="s">
        <v>1353</v>
      </c>
      <c r="E13" s="1490"/>
      <c r="F13" s="1490"/>
      <c r="G13" s="1483" t="s">
        <v>1355</v>
      </c>
      <c r="H13" s="1477" t="s">
        <v>1356</v>
      </c>
      <c r="I13" s="1515" t="s">
        <v>904</v>
      </c>
    </row>
    <row r="14" spans="1:9" ht="26.4" x14ac:dyDescent="0.25">
      <c r="A14" s="1487"/>
      <c r="B14" s="1487"/>
      <c r="C14" s="1514"/>
      <c r="D14" s="1293" t="s">
        <v>587</v>
      </c>
      <c r="E14" s="1293" t="s">
        <v>588</v>
      </c>
      <c r="F14" s="1293" t="s">
        <v>1357</v>
      </c>
      <c r="G14" s="1483"/>
      <c r="H14" s="1477"/>
      <c r="I14" s="1515"/>
    </row>
    <row r="15" spans="1:9" x14ac:dyDescent="0.25">
      <c r="A15" s="252"/>
      <c r="B15" s="121"/>
      <c r="C15" s="812"/>
      <c r="D15" s="121"/>
      <c r="E15" s="253"/>
      <c r="F15" s="253"/>
      <c r="G15" s="253"/>
      <c r="H15" s="253"/>
      <c r="I15" s="1341"/>
    </row>
    <row r="16" spans="1:9" ht="18" customHeight="1" x14ac:dyDescent="0.3">
      <c r="A16" s="557"/>
      <c r="B16" s="577" t="s">
        <v>1406</v>
      </c>
      <c r="C16" s="814"/>
      <c r="D16" s="1301"/>
      <c r="E16" s="1302"/>
      <c r="F16" s="1302"/>
      <c r="G16" s="1302"/>
      <c r="H16" s="1302"/>
      <c r="I16" s="815"/>
    </row>
    <row r="17" spans="1:9" ht="26.4" x14ac:dyDescent="0.25">
      <c r="A17" s="1506" t="s">
        <v>109</v>
      </c>
      <c r="B17" s="1079" t="str">
        <f>'меню 7 дней завтрак и обед '!B17</f>
        <v>Каша жидкая молочная из гречневой крупы с маслом и сахаром</v>
      </c>
      <c r="C17" s="704">
        <f>'меню 7 дней завтрак и обед '!C17</f>
        <v>220</v>
      </c>
      <c r="D17" s="117">
        <f>'меню 7 дней завтрак и обед '!D17</f>
        <v>9.09</v>
      </c>
      <c r="E17" s="117">
        <f>'меню 7 дней завтрак и обед '!E17</f>
        <v>12.99</v>
      </c>
      <c r="F17" s="117">
        <f>'меню 7 дней завтрак и обед '!F17</f>
        <v>45.16</v>
      </c>
      <c r="G17" s="250">
        <f>'меню 7 дней завтрак и обед '!G17</f>
        <v>335</v>
      </c>
      <c r="H17" s="250">
        <f>'меню 7 дней завтрак и обед '!H17</f>
        <v>183</v>
      </c>
      <c r="I17" s="117">
        <f>'меню 7 дней завтрак и обед '!I17</f>
        <v>23.56</v>
      </c>
    </row>
    <row r="18" spans="1:9" x14ac:dyDescent="0.25">
      <c r="A18" s="1507"/>
      <c r="B18" s="1079" t="str">
        <f>'меню 7 дней завтрак и обед '!B18</f>
        <v>Чай с сахаром</v>
      </c>
      <c r="C18" s="704">
        <f>'меню 7 дней завтрак и обед '!C18</f>
        <v>200</v>
      </c>
      <c r="D18" s="117">
        <f>'меню 7 дней завтрак и обед '!D18</f>
        <v>7.0000000000000007E-2</v>
      </c>
      <c r="E18" s="117">
        <f>'меню 7 дней завтрак и обед '!E18</f>
        <v>0.02</v>
      </c>
      <c r="F18" s="117">
        <f>'меню 7 дней завтрак и обед '!F18</f>
        <v>13.95</v>
      </c>
      <c r="G18" s="250">
        <f>'меню 7 дней завтрак и обед '!G18</f>
        <v>56</v>
      </c>
      <c r="H18" s="250">
        <f>'меню 7 дней завтрак и обед '!H18</f>
        <v>376</v>
      </c>
      <c r="I18" s="117">
        <f>'меню 7 дней завтрак и обед '!I18</f>
        <v>1.59</v>
      </c>
    </row>
    <row r="19" spans="1:9" x14ac:dyDescent="0.25">
      <c r="A19" s="1507"/>
      <c r="B19" s="1079" t="str">
        <f>'меню 7 дней завтрак и обед '!B19</f>
        <v>Масло сливочное (порциями)</v>
      </c>
      <c r="C19" s="704">
        <f>'меню 7 дней завтрак и обед '!C19</f>
        <v>10</v>
      </c>
      <c r="D19" s="117">
        <f>'меню 7 дней завтрак и обед '!D19</f>
        <v>0.08</v>
      </c>
      <c r="E19" s="117">
        <f>'меню 7 дней завтрак и обед '!E19</f>
        <v>7.25</v>
      </c>
      <c r="F19" s="117">
        <f>'меню 7 дней завтрак и обед '!F19</f>
        <v>0.13</v>
      </c>
      <c r="G19" s="250">
        <f>'меню 7 дней завтрак и обед '!G19</f>
        <v>66</v>
      </c>
      <c r="H19" s="250">
        <f>'меню 7 дней завтрак и обед '!H19</f>
        <v>14</v>
      </c>
      <c r="I19" s="117">
        <f>'меню 7 дней завтрак и обед '!I19</f>
        <v>7.1</v>
      </c>
    </row>
    <row r="20" spans="1:9" s="463" customFormat="1" x14ac:dyDescent="0.25">
      <c r="A20" s="1507"/>
      <c r="B20" s="1079" t="str">
        <f>'меню 7 дней завтрак и обед '!B20</f>
        <v>Хлеб пшеничный нарезной</v>
      </c>
      <c r="C20" s="704">
        <f>'меню 7 дней завтрак и обед '!C20</f>
        <v>30</v>
      </c>
      <c r="D20" s="117">
        <f>'меню 7 дней завтрак и обед '!D20</f>
        <v>3.21</v>
      </c>
      <c r="E20" s="117">
        <f>'меню 7 дней завтрак и обед '!E20</f>
        <v>1.35</v>
      </c>
      <c r="F20" s="117">
        <f>'меню 7 дней завтрак и обед '!F20</f>
        <v>13.05</v>
      </c>
      <c r="G20" s="250">
        <f>'меню 7 дней завтрак и обед '!G20</f>
        <v>82</v>
      </c>
      <c r="H20" s="250" t="str">
        <f>'меню 7 дней завтрак и обед '!H20</f>
        <v>ПРОМ</v>
      </c>
      <c r="I20" s="117">
        <f>'меню 7 дней завтрак и обед '!I20</f>
        <v>1.95</v>
      </c>
    </row>
    <row r="21" spans="1:9" s="463" customFormat="1" x14ac:dyDescent="0.25">
      <c r="A21" s="1507"/>
      <c r="B21" s="1079" t="str">
        <f>'меню 7 дней завтрак и обед '!B21</f>
        <v>Хлеб пшенично-ржаной нарезной</v>
      </c>
      <c r="C21" s="704">
        <f>'меню 7 дней завтрак и обед '!C21</f>
        <v>20</v>
      </c>
      <c r="D21" s="117">
        <f>'меню 7 дней завтрак и обед '!D21</f>
        <v>1.5</v>
      </c>
      <c r="E21" s="117">
        <f>'меню 7 дней завтрак и обед '!E21</f>
        <v>0.4</v>
      </c>
      <c r="F21" s="117">
        <f>'меню 7 дней завтрак и обед '!F21</f>
        <v>10.4</v>
      </c>
      <c r="G21" s="250">
        <f>'меню 7 дней завтрак и обед '!G21</f>
        <v>50</v>
      </c>
      <c r="H21" s="250" t="str">
        <f>'меню 7 дней завтрак и обед '!H21</f>
        <v>ПРОМ</v>
      </c>
      <c r="I21" s="117">
        <f>'меню 7 дней завтрак и обед '!I21</f>
        <v>1.3</v>
      </c>
    </row>
    <row r="22" spans="1:9" s="407" customFormat="1" x14ac:dyDescent="0.25">
      <c r="A22" s="1507"/>
      <c r="B22" s="1079" t="str">
        <f>'меню 7 дней завтрак и обед '!B22</f>
        <v>Яблоки свежие</v>
      </c>
      <c r="C22" s="704">
        <f>'меню 7 дней завтрак и обед '!C22</f>
        <v>200</v>
      </c>
      <c r="D22" s="117">
        <f>'меню 7 дней завтрак и обед '!D22</f>
        <v>0.8</v>
      </c>
      <c r="E22" s="117">
        <f>'меню 7 дней завтрак и обед '!E22</f>
        <v>0.8</v>
      </c>
      <c r="F22" s="117">
        <f>'меню 7 дней завтрак и обед '!F22</f>
        <v>19.600000000000001</v>
      </c>
      <c r="G22" s="250">
        <f>'меню 7 дней завтрак и обед '!G22</f>
        <v>94</v>
      </c>
      <c r="H22" s="250">
        <f>'меню 7 дней завтрак и обед '!H22</f>
        <v>338</v>
      </c>
      <c r="I22" s="117">
        <f>'меню 7 дней завтрак и обед '!I22</f>
        <v>18.2</v>
      </c>
    </row>
    <row r="23" spans="1:9" s="926" customFormat="1" x14ac:dyDescent="0.25">
      <c r="A23" s="1507"/>
      <c r="B23" s="1079" t="str">
        <f>'меню 7 дней завтрак и обед '!B23</f>
        <v>Вода питьевая 19 л</v>
      </c>
      <c r="C23" s="704">
        <f>'меню 7 дней завтрак и обед '!C23</f>
        <v>500</v>
      </c>
      <c r="D23" s="117">
        <f>'меню 7 дней завтрак и обед '!D23</f>
        <v>0</v>
      </c>
      <c r="E23" s="117">
        <f>'меню 7 дней завтрак и обед '!E23</f>
        <v>0</v>
      </c>
      <c r="F23" s="117">
        <f>'меню 7 дней завтрак и обед '!F23</f>
        <v>0</v>
      </c>
      <c r="G23" s="250">
        <f>'меню 7 дней завтрак и обед '!G23</f>
        <v>0</v>
      </c>
      <c r="H23" s="250" t="str">
        <f>'меню 7 дней завтрак и обед '!H23</f>
        <v>ПРОМ</v>
      </c>
      <c r="I23" s="117">
        <f>'меню 7 дней завтрак и обед '!I23</f>
        <v>2.9</v>
      </c>
    </row>
    <row r="24" spans="1:9" s="926" customFormat="1" x14ac:dyDescent="0.25">
      <c r="A24" s="1507"/>
      <c r="B24" s="1284">
        <f>'меню 7 дней завтрак и обед '!B24</f>
        <v>0</v>
      </c>
      <c r="C24" s="704">
        <f>'меню 7 дней завтрак и обед '!C24</f>
        <v>0</v>
      </c>
      <c r="D24" s="117">
        <f>'меню 7 дней завтрак и обед '!D24</f>
        <v>0</v>
      </c>
      <c r="E24" s="117">
        <f>'меню 7 дней завтрак и обед '!E24</f>
        <v>0</v>
      </c>
      <c r="F24" s="117">
        <f>'меню 7 дней завтрак и обед '!F24</f>
        <v>0</v>
      </c>
      <c r="G24" s="250">
        <f>'меню 7 дней завтрак и обед '!G24</f>
        <v>0</v>
      </c>
      <c r="H24" s="250">
        <f>'меню 7 дней завтрак и обед '!H24</f>
        <v>0</v>
      </c>
      <c r="I24" s="117">
        <f>'меню 7 дней завтрак и обед '!I24</f>
        <v>0</v>
      </c>
    </row>
    <row r="25" spans="1:9" s="926" customFormat="1" x14ac:dyDescent="0.25">
      <c r="A25" s="1508"/>
      <c r="B25" s="1284">
        <f>'меню 7 дней завтрак и обед '!B25</f>
        <v>0</v>
      </c>
      <c r="C25" s="704">
        <f>'меню 7 дней завтрак и обед '!C25</f>
        <v>0</v>
      </c>
      <c r="D25" s="117">
        <f>'меню 7 дней завтрак и обед '!D25</f>
        <v>0</v>
      </c>
      <c r="E25" s="117">
        <f>'меню 7 дней завтрак и обед '!E25</f>
        <v>0</v>
      </c>
      <c r="F25" s="117">
        <f>'меню 7 дней завтрак и обед '!F25</f>
        <v>0</v>
      </c>
      <c r="G25" s="250">
        <f>'меню 7 дней завтрак и обед '!G25</f>
        <v>0</v>
      </c>
      <c r="H25" s="250">
        <f>'меню 7 дней завтрак и обед '!H25</f>
        <v>0</v>
      </c>
      <c r="I25" s="117">
        <f>'меню 7 дней завтрак и обед '!I25</f>
        <v>0</v>
      </c>
    </row>
    <row r="26" spans="1:9" x14ac:dyDescent="0.25">
      <c r="A26" s="580"/>
      <c r="B26" s="1080" t="s">
        <v>111</v>
      </c>
      <c r="C26" s="812"/>
      <c r="D26" s="119">
        <f>SUM(D17:D25)</f>
        <v>14.75</v>
      </c>
      <c r="E26" s="119">
        <f t="shared" ref="E26:G26" si="0">SUM(E17:E25)</f>
        <v>22.81</v>
      </c>
      <c r="F26" s="119">
        <f t="shared" si="0"/>
        <v>102.29</v>
      </c>
      <c r="G26" s="251">
        <f t="shared" si="0"/>
        <v>683</v>
      </c>
      <c r="H26" s="251"/>
      <c r="I26" s="119">
        <f>SUM(I17:I25)</f>
        <v>56.6</v>
      </c>
    </row>
    <row r="27" spans="1:9" ht="26.4" x14ac:dyDescent="0.25">
      <c r="A27" s="1503" t="s">
        <v>112</v>
      </c>
      <c r="B27" s="1079" t="str">
        <f>'меню 7 дней завтрак и обед '!B27</f>
        <v>Салат из свежих помидоров с луком зеленым</v>
      </c>
      <c r="C27" s="704">
        <f>'меню 7 дней завтрак и обед '!C27</f>
        <v>60</v>
      </c>
      <c r="D27" s="117">
        <f>'меню 7 дней завтрак и обед '!D27</f>
        <v>0.65</v>
      </c>
      <c r="E27" s="117">
        <f>'меню 7 дней завтрак и обед '!E27</f>
        <v>3.65</v>
      </c>
      <c r="F27" s="117">
        <f>'меню 7 дней завтрак и обед '!F27</f>
        <v>2.06</v>
      </c>
      <c r="G27" s="250">
        <f>'меню 7 дней завтрак и обед '!G27</f>
        <v>44</v>
      </c>
      <c r="H27" s="250">
        <f>'меню 7 дней завтрак и обед '!H27</f>
        <v>23</v>
      </c>
      <c r="I27" s="117">
        <f>'меню 7 дней завтрак и обед '!I27</f>
        <v>11.05</v>
      </c>
    </row>
    <row r="28" spans="1:9" s="407" customFormat="1" x14ac:dyDescent="0.25">
      <c r="A28" s="1504"/>
      <c r="B28" s="1079" t="str">
        <f>'меню 7 дней завтрак и обед '!B28</f>
        <v>Суп картофельный с горохом</v>
      </c>
      <c r="C28" s="704">
        <f>'меню 7 дней завтрак и обед '!C28</f>
        <v>250</v>
      </c>
      <c r="D28" s="117">
        <f>'меню 7 дней завтрак и обед '!D28</f>
        <v>5.49</v>
      </c>
      <c r="E28" s="117">
        <f>'меню 7 дней завтрак и обед '!E28</f>
        <v>5.27</v>
      </c>
      <c r="F28" s="117">
        <f>'меню 7 дней завтрак и обед '!F28</f>
        <v>16.54</v>
      </c>
      <c r="G28" s="250">
        <f>'меню 7 дней завтрак и обед '!G28</f>
        <v>148</v>
      </c>
      <c r="H28" s="250">
        <f>'меню 7 дней завтрак и обед '!H28</f>
        <v>102</v>
      </c>
      <c r="I28" s="117">
        <f>'меню 7 дней завтрак и обед '!I28</f>
        <v>8.99</v>
      </c>
    </row>
    <row r="29" spans="1:9" ht="26.4" x14ac:dyDescent="0.25">
      <c r="A29" s="1504"/>
      <c r="B29" s="1079" t="str">
        <f>'меню 7 дней завтрак и обед '!B29</f>
        <v>Котлеты (биточки, шницели) из говядины с томатным соусом</v>
      </c>
      <c r="C29" s="704">
        <f>'меню 7 дней завтрак и обед '!C29</f>
        <v>80</v>
      </c>
      <c r="D29" s="117">
        <f>'меню 7 дней завтрак и обед '!D29</f>
        <v>8.3800000000000008</v>
      </c>
      <c r="E29" s="117">
        <f>'меню 7 дней завтрак и обед '!E29</f>
        <v>10.02</v>
      </c>
      <c r="F29" s="117">
        <f>'меню 7 дней завтрак и обед '!F29</f>
        <v>9.15</v>
      </c>
      <c r="G29" s="250">
        <f>'меню 7 дней завтрак и обед '!G29</f>
        <v>162</v>
      </c>
      <c r="H29" s="250">
        <f>'меню 7 дней завтрак и обед '!H29</f>
        <v>268</v>
      </c>
      <c r="I29" s="117">
        <f>'меню 7 дней завтрак и обед '!I29</f>
        <v>32.619999999999997</v>
      </c>
    </row>
    <row r="30" spans="1:9" x14ac:dyDescent="0.25">
      <c r="A30" s="1504"/>
      <c r="B30" s="1079" t="str">
        <f>'меню 7 дней завтрак и обед '!B30</f>
        <v>Рагу из овощей</v>
      </c>
      <c r="C30" s="704">
        <f>'меню 7 дней завтрак и обед '!C30</f>
        <v>160</v>
      </c>
      <c r="D30" s="117">
        <f>'меню 7 дней завтрак и обед '!D30</f>
        <v>2.7</v>
      </c>
      <c r="E30" s="117">
        <f>'меню 7 дней завтрак и обед '!E30</f>
        <v>16.75</v>
      </c>
      <c r="F30" s="117">
        <f>'меню 7 дней завтрак и обед '!F30</f>
        <v>13.1</v>
      </c>
      <c r="G30" s="250">
        <f>'меню 7 дней завтрак и обед '!G30</f>
        <v>216</v>
      </c>
      <c r="H30" s="250">
        <f>'меню 7 дней завтрак и обед '!H30</f>
        <v>143</v>
      </c>
      <c r="I30" s="117">
        <f>'меню 7 дней завтрак и обед '!I30</f>
        <v>19.18</v>
      </c>
    </row>
    <row r="31" spans="1:9" s="463" customFormat="1" x14ac:dyDescent="0.25">
      <c r="A31" s="1504"/>
      <c r="B31" s="1079" t="str">
        <f>'меню 7 дней завтрак и обед '!B31</f>
        <v>Компот из смеси сухофруктов</v>
      </c>
      <c r="C31" s="704">
        <f>'меню 7 дней завтрак и обед '!C31</f>
        <v>200</v>
      </c>
      <c r="D31" s="117">
        <f>'меню 7 дней завтрак и обед '!D31</f>
        <v>0.66</v>
      </c>
      <c r="E31" s="117">
        <f>'меню 7 дней завтрак и обед '!E31</f>
        <v>0.09</v>
      </c>
      <c r="F31" s="117">
        <f>'меню 7 дней завтрак и обед '!F31</f>
        <v>32.01</v>
      </c>
      <c r="G31" s="250">
        <f>'меню 7 дней завтрак и обед '!G31</f>
        <v>133</v>
      </c>
      <c r="H31" s="250">
        <f>'меню 7 дней завтрак и обед '!H31</f>
        <v>349</v>
      </c>
      <c r="I31" s="117">
        <f>'меню 7 дней завтрак и обед '!I31</f>
        <v>4.18</v>
      </c>
    </row>
    <row r="32" spans="1:9" s="463" customFormat="1" x14ac:dyDescent="0.25">
      <c r="A32" s="1504"/>
      <c r="B32" s="1079" t="str">
        <f>'меню 7 дней завтрак и обед '!B32</f>
        <v>Хлеб пшеничный нарезной</v>
      </c>
      <c r="C32" s="704">
        <f>'меню 7 дней завтрак и обед '!C32</f>
        <v>20</v>
      </c>
      <c r="D32" s="117">
        <f>'меню 7 дней завтрак и обед '!D32</f>
        <v>2.14</v>
      </c>
      <c r="E32" s="117">
        <f>'меню 7 дней завтрак и обед '!E32</f>
        <v>0.9</v>
      </c>
      <c r="F32" s="117">
        <f>'меню 7 дней завтрак и обед '!F32</f>
        <v>8.6999999999999993</v>
      </c>
      <c r="G32" s="250">
        <f>'меню 7 дней завтрак и обед '!G32</f>
        <v>55</v>
      </c>
      <c r="H32" s="250" t="str">
        <f>'меню 7 дней завтрак и обед '!H32</f>
        <v>ПРОМ</v>
      </c>
      <c r="I32" s="117">
        <f>'меню 7 дней завтрак и обед '!I32</f>
        <v>1.3</v>
      </c>
    </row>
    <row r="33" spans="1:9" s="407" customFormat="1" x14ac:dyDescent="0.25">
      <c r="A33" s="1504"/>
      <c r="B33" s="1079" t="str">
        <f>'меню 7 дней завтрак и обед '!B33</f>
        <v>Хлеб пшенично-ржаной нарезной</v>
      </c>
      <c r="C33" s="704">
        <f>'меню 7 дней завтрак и обед '!C33</f>
        <v>30</v>
      </c>
      <c r="D33" s="117">
        <f>'меню 7 дней завтрак и обед '!D33</f>
        <v>2.25</v>
      </c>
      <c r="E33" s="117">
        <f>'меню 7 дней завтрак и обед '!E33</f>
        <v>0.6</v>
      </c>
      <c r="F33" s="117">
        <f>'меню 7 дней завтрак и обед '!F33</f>
        <v>15.6</v>
      </c>
      <c r="G33" s="250">
        <f>'меню 7 дней завтрак и обед '!G33</f>
        <v>75</v>
      </c>
      <c r="H33" s="250" t="str">
        <f>'меню 7 дней завтрак и обед '!H33</f>
        <v>ПРОМ</v>
      </c>
      <c r="I33" s="117">
        <f>'меню 7 дней завтрак и обед '!I33</f>
        <v>1.95</v>
      </c>
    </row>
    <row r="34" spans="1:9" s="699" customFormat="1" x14ac:dyDescent="0.25">
      <c r="A34" s="1504"/>
      <c r="B34" s="1284">
        <f>'меню 7 дней завтрак и обед '!B34</f>
        <v>0</v>
      </c>
      <c r="C34" s="704">
        <f>'меню 7 дней завтрак и обед '!C34</f>
        <v>0</v>
      </c>
      <c r="D34" s="117">
        <f>'меню 7 дней завтрак и обед '!D34</f>
        <v>0</v>
      </c>
      <c r="E34" s="117">
        <f>'меню 7 дней завтрак и обед '!E34</f>
        <v>0</v>
      </c>
      <c r="F34" s="117">
        <f>'меню 7 дней завтрак и обед '!F34</f>
        <v>0</v>
      </c>
      <c r="G34" s="250">
        <f>'меню 7 дней завтрак и обед '!G34</f>
        <v>0</v>
      </c>
      <c r="H34" s="250">
        <f>'меню 7 дней завтрак и обед '!H34</f>
        <v>0</v>
      </c>
      <c r="I34" s="117">
        <f>'меню 7 дней завтрак и обед '!I34</f>
        <v>0</v>
      </c>
    </row>
    <row r="35" spans="1:9" s="699" customFormat="1" x14ac:dyDescent="0.25">
      <c r="A35" s="1505"/>
      <c r="B35" s="1284">
        <f>'меню 7 дней завтрак и обед '!B35</f>
        <v>0</v>
      </c>
      <c r="C35" s="704">
        <f>'меню 7 дней завтрак и обед '!C35</f>
        <v>0</v>
      </c>
      <c r="D35" s="117">
        <f>'меню 7 дней завтрак и обед '!D35</f>
        <v>0</v>
      </c>
      <c r="E35" s="117">
        <f>'меню 7 дней завтрак и обед '!E35</f>
        <v>0</v>
      </c>
      <c r="F35" s="117">
        <f>'меню 7 дней завтрак и обед '!F35</f>
        <v>0</v>
      </c>
      <c r="G35" s="250">
        <f>'меню 7 дней завтрак и обед '!G35</f>
        <v>0</v>
      </c>
      <c r="H35" s="250">
        <f>'меню 7 дней завтрак и обед '!H35</f>
        <v>0</v>
      </c>
      <c r="I35" s="117">
        <f>'меню 7 дней завтрак и обед '!I35</f>
        <v>0</v>
      </c>
    </row>
    <row r="36" spans="1:9" x14ac:dyDescent="0.25">
      <c r="A36" s="580"/>
      <c r="B36" s="1285" t="str">
        <f>'меню 7 дней завтрак и обед '!B36</f>
        <v>итого обед</v>
      </c>
      <c r="C36" s="812"/>
      <c r="D36" s="119">
        <f t="shared" ref="D36:G36" si="1">SUM(D27:D35)</f>
        <v>22.27</v>
      </c>
      <c r="E36" s="119">
        <f t="shared" si="1"/>
        <v>37.28</v>
      </c>
      <c r="F36" s="119">
        <f t="shared" si="1"/>
        <v>97.16</v>
      </c>
      <c r="G36" s="251">
        <f t="shared" si="1"/>
        <v>833</v>
      </c>
      <c r="H36" s="251"/>
      <c r="I36" s="432">
        <f t="shared" ref="I36" si="2">SUM(I27:I35)</f>
        <v>79.27</v>
      </c>
    </row>
    <row r="37" spans="1:9" s="570" customFormat="1" hidden="1" x14ac:dyDescent="0.25">
      <c r="A37" s="1503" t="s">
        <v>800</v>
      </c>
      <c r="B37" s="1284">
        <f>'меню 7 дней завтрак и обед '!B37</f>
        <v>0</v>
      </c>
      <c r="C37" s="704">
        <f>'меню 7 дней завтрак и обед '!C37</f>
        <v>0</v>
      </c>
      <c r="D37" s="117">
        <f>'меню 7 дней завтрак и обед '!D37</f>
        <v>0</v>
      </c>
      <c r="E37" s="117">
        <f>'меню 7 дней завтрак и обед '!E37</f>
        <v>0</v>
      </c>
      <c r="F37" s="117">
        <f>'меню 7 дней завтрак и обед '!F37</f>
        <v>0</v>
      </c>
      <c r="G37" s="250">
        <f>'меню 7 дней завтрак и обед '!G37</f>
        <v>0</v>
      </c>
      <c r="H37" s="250"/>
      <c r="I37" s="431">
        <f>'меню 7 дней завтрак и обед '!I37</f>
        <v>0</v>
      </c>
    </row>
    <row r="38" spans="1:9" s="570" customFormat="1" hidden="1" x14ac:dyDescent="0.25">
      <c r="A38" s="1504"/>
      <c r="B38" s="1284">
        <f>'меню 7 дней завтрак и обед '!B38</f>
        <v>0</v>
      </c>
      <c r="C38" s="704">
        <f>'меню 7 дней завтрак и обед '!C38</f>
        <v>0</v>
      </c>
      <c r="D38" s="117">
        <f>'меню 7 дней завтрак и обед '!D38</f>
        <v>0</v>
      </c>
      <c r="E38" s="117">
        <f>'меню 7 дней завтрак и обед '!E38</f>
        <v>0</v>
      </c>
      <c r="F38" s="117">
        <f>'меню 7 дней завтрак и обед '!F38</f>
        <v>0</v>
      </c>
      <c r="G38" s="250">
        <f>'меню 7 дней завтрак и обед '!G38</f>
        <v>0</v>
      </c>
      <c r="H38" s="250"/>
      <c r="I38" s="431">
        <f>'меню 7 дней завтрак и обед '!I38</f>
        <v>0</v>
      </c>
    </row>
    <row r="39" spans="1:9" s="570" customFormat="1" hidden="1" x14ac:dyDescent="0.25">
      <c r="A39" s="1504"/>
      <c r="B39" s="1284">
        <f>'меню 7 дней завтрак и обед '!B39</f>
        <v>0</v>
      </c>
      <c r="C39" s="704">
        <f>'меню 7 дней завтрак и обед '!C39</f>
        <v>0</v>
      </c>
      <c r="D39" s="117">
        <f>'меню 7 дней завтрак и обед '!D39</f>
        <v>0</v>
      </c>
      <c r="E39" s="117">
        <f>'меню 7 дней завтрак и обед '!E39</f>
        <v>0</v>
      </c>
      <c r="F39" s="117">
        <f>'меню 7 дней завтрак и обед '!F39</f>
        <v>0</v>
      </c>
      <c r="G39" s="250">
        <f>'меню 7 дней завтрак и обед '!G39</f>
        <v>0</v>
      </c>
      <c r="H39" s="250"/>
      <c r="I39" s="431">
        <f>'меню 7 дней завтрак и обед '!I39</f>
        <v>0</v>
      </c>
    </row>
    <row r="40" spans="1:9" s="570" customFormat="1" hidden="1" x14ac:dyDescent="0.25">
      <c r="A40" s="1504"/>
      <c r="B40" s="1284">
        <f>'меню 7 дней завтрак и обед '!B40</f>
        <v>0</v>
      </c>
      <c r="C40" s="704">
        <f>'меню 7 дней завтрак и обед '!C40</f>
        <v>0</v>
      </c>
      <c r="D40" s="117">
        <f>'меню 7 дней завтрак и обед '!D40</f>
        <v>0</v>
      </c>
      <c r="E40" s="117">
        <f>'меню 7 дней завтрак и обед '!E40</f>
        <v>0</v>
      </c>
      <c r="F40" s="117">
        <f>'меню 7 дней завтрак и обед '!F40</f>
        <v>0</v>
      </c>
      <c r="G40" s="250">
        <f>'меню 7 дней завтрак и обед '!G40</f>
        <v>0</v>
      </c>
      <c r="H40" s="250"/>
      <c r="I40" s="431">
        <f>'меню 7 дней завтрак и обед '!I40</f>
        <v>0</v>
      </c>
    </row>
    <row r="41" spans="1:9" s="570" customFormat="1" hidden="1" x14ac:dyDescent="0.25">
      <c r="A41" s="1505"/>
      <c r="B41" s="1284">
        <f>'меню 7 дней завтрак и обед '!B41</f>
        <v>0</v>
      </c>
      <c r="C41" s="704">
        <f>'меню 7 дней завтрак и обед '!C41</f>
        <v>0</v>
      </c>
      <c r="D41" s="117">
        <f>'меню 7 дней завтрак и обед '!D41</f>
        <v>0</v>
      </c>
      <c r="E41" s="117">
        <f>'меню 7 дней завтрак и обед '!E41</f>
        <v>0</v>
      </c>
      <c r="F41" s="117">
        <f>'меню 7 дней завтрак и обед '!F41</f>
        <v>0</v>
      </c>
      <c r="G41" s="250">
        <f>'меню 7 дней завтрак и обед '!G41</f>
        <v>0</v>
      </c>
      <c r="H41" s="250"/>
      <c r="I41" s="431">
        <f>'меню 7 дней завтрак и обед '!I41</f>
        <v>0</v>
      </c>
    </row>
    <row r="42" spans="1:9" s="570" customFormat="1" hidden="1" x14ac:dyDescent="0.25">
      <c r="A42" s="580"/>
      <c r="B42" s="1080" t="str">
        <f>'меню 7 дней завтрак и обед '!B42</f>
        <v>итого полдник</v>
      </c>
      <c r="C42" s="812"/>
      <c r="D42" s="119">
        <f t="shared" ref="D42:G42" si="3">SUM(D37:D41)</f>
        <v>0</v>
      </c>
      <c r="E42" s="119">
        <f t="shared" si="3"/>
        <v>0</v>
      </c>
      <c r="F42" s="119">
        <f t="shared" si="3"/>
        <v>0</v>
      </c>
      <c r="G42" s="251">
        <f t="shared" si="3"/>
        <v>0</v>
      </c>
      <c r="H42" s="251"/>
      <c r="I42" s="432">
        <f t="shared" ref="I42" si="4">SUM(I37:I41)</f>
        <v>0</v>
      </c>
    </row>
    <row r="43" spans="1:9" x14ac:dyDescent="0.25">
      <c r="A43" s="581"/>
      <c r="B43" s="535" t="s">
        <v>1408</v>
      </c>
      <c r="C43" s="813"/>
      <c r="D43" s="810">
        <f t="shared" ref="D43:G43" si="5">D26+D36+D42</f>
        <v>37.020000000000003</v>
      </c>
      <c r="E43" s="810">
        <f t="shared" si="5"/>
        <v>60.09</v>
      </c>
      <c r="F43" s="810">
        <f t="shared" si="5"/>
        <v>199.45</v>
      </c>
      <c r="G43" s="635">
        <f t="shared" si="5"/>
        <v>1516</v>
      </c>
      <c r="H43" s="635"/>
      <c r="I43" s="646">
        <f t="shared" ref="I43" si="6">I26+I36+I42</f>
        <v>135.87</v>
      </c>
    </row>
    <row r="44" spans="1:9" ht="15.6" x14ac:dyDescent="0.3">
      <c r="A44" s="582"/>
      <c r="B44" s="578" t="s">
        <v>1407</v>
      </c>
      <c r="C44" s="814"/>
      <c r="D44" s="811"/>
      <c r="E44" s="815"/>
      <c r="F44" s="815"/>
      <c r="G44" s="672"/>
      <c r="H44" s="672"/>
      <c r="I44" s="815"/>
    </row>
    <row r="45" spans="1:9" x14ac:dyDescent="0.25">
      <c r="A45" s="1503" t="s">
        <v>109</v>
      </c>
      <c r="B45" s="1079" t="str">
        <f>'меню 7 дней завтрак и обед '!B47</f>
        <v>Омлет натуральный с маслом</v>
      </c>
      <c r="C45" s="704">
        <f>'меню 7 дней завтрак и обед '!C47</f>
        <v>140</v>
      </c>
      <c r="D45" s="117">
        <f>'меню 7 дней завтрак и обед '!D47</f>
        <v>13.01</v>
      </c>
      <c r="E45" s="117">
        <f>'меню 7 дней завтрак и обед '!E47</f>
        <v>23.17</v>
      </c>
      <c r="F45" s="117">
        <f>'меню 7 дней завтрак и обед '!F47</f>
        <v>2.46</v>
      </c>
      <c r="G45" s="250">
        <f>'меню 7 дней завтрак и обед '!G47</f>
        <v>270</v>
      </c>
      <c r="H45" s="250">
        <f>'меню 7 дней завтрак и обед '!H47</f>
        <v>210</v>
      </c>
      <c r="I45" s="117">
        <f>'меню 7 дней завтрак и обед '!I47</f>
        <v>27.56</v>
      </c>
    </row>
    <row r="46" spans="1:9" s="407" customFormat="1" x14ac:dyDescent="0.25">
      <c r="A46" s="1504"/>
      <c r="B46" s="1079" t="str">
        <f>'меню 7 дней завтрак и обед '!B48</f>
        <v>Зеленый горошек консервированный</v>
      </c>
      <c r="C46" s="704">
        <f>'меню 7 дней завтрак и обед '!C48</f>
        <v>25</v>
      </c>
      <c r="D46" s="117">
        <f>'меню 7 дней завтрак и обед '!D48</f>
        <v>0.75</v>
      </c>
      <c r="E46" s="117">
        <f>'меню 7 дней завтрак и обед '!E48</f>
        <v>0.13</v>
      </c>
      <c r="F46" s="117">
        <f>'меню 7 дней завтрак и обед '!F48</f>
        <v>1.83</v>
      </c>
      <c r="G46" s="250">
        <f>'меню 7 дней завтрак и обед '!G48</f>
        <v>15</v>
      </c>
      <c r="H46" s="250" t="str">
        <f>'меню 7 дней завтрак и обед '!H48</f>
        <v>ПРОМ</v>
      </c>
      <c r="I46" s="117">
        <f>'меню 7 дней завтрак и обед '!I48</f>
        <v>3.15</v>
      </c>
    </row>
    <row r="47" spans="1:9" s="463" customFormat="1" x14ac:dyDescent="0.25">
      <c r="A47" s="1504"/>
      <c r="B47" s="1079" t="str">
        <f>'меню 7 дней завтрак и обед '!B49</f>
        <v>Чай с сахаром</v>
      </c>
      <c r="C47" s="704">
        <f>'меню 7 дней завтрак и обед '!C49</f>
        <v>200</v>
      </c>
      <c r="D47" s="117">
        <f>'меню 7 дней завтрак и обед '!D49</f>
        <v>7.0000000000000007E-2</v>
      </c>
      <c r="E47" s="117">
        <f>'меню 7 дней завтрак и обед '!E49</f>
        <v>0.02</v>
      </c>
      <c r="F47" s="117">
        <f>'меню 7 дней завтрак и обед '!F49</f>
        <v>13.95</v>
      </c>
      <c r="G47" s="250">
        <f>'меню 7 дней завтрак и обед '!G49</f>
        <v>56</v>
      </c>
      <c r="H47" s="250">
        <f>'меню 7 дней завтрак и обед '!H49</f>
        <v>376</v>
      </c>
      <c r="I47" s="117">
        <f>'меню 7 дней завтрак и обед '!I49</f>
        <v>1.59</v>
      </c>
    </row>
    <row r="48" spans="1:9" s="463" customFormat="1" x14ac:dyDescent="0.25">
      <c r="A48" s="1504"/>
      <c r="B48" s="1079" t="str">
        <f>'меню 7 дней завтрак и обед '!B50</f>
        <v>Хлеб пшеничный нарезной</v>
      </c>
      <c r="C48" s="704">
        <f>'меню 7 дней завтрак и обед '!C50</f>
        <v>30</v>
      </c>
      <c r="D48" s="117">
        <f>'меню 7 дней завтрак и обед '!D50</f>
        <v>3.21</v>
      </c>
      <c r="E48" s="117">
        <f>'меню 7 дней завтрак и обед '!E50</f>
        <v>1.35</v>
      </c>
      <c r="F48" s="117">
        <f>'меню 7 дней завтрак и обед '!F50</f>
        <v>13.05</v>
      </c>
      <c r="G48" s="250">
        <f>'меню 7 дней завтрак и обед '!G50</f>
        <v>82</v>
      </c>
      <c r="H48" s="250" t="str">
        <f>'меню 7 дней завтрак и обед '!H50</f>
        <v>ПРОМ</v>
      </c>
      <c r="I48" s="117">
        <f>'меню 7 дней завтрак и обед '!I50</f>
        <v>1.95</v>
      </c>
    </row>
    <row r="49" spans="1:9" x14ac:dyDescent="0.25">
      <c r="A49" s="1504"/>
      <c r="B49" s="1079" t="str">
        <f>'меню 7 дней завтрак и обед '!B51</f>
        <v>Хлеб пшенично-ржаной нарезной</v>
      </c>
      <c r="C49" s="704">
        <f>'меню 7 дней завтрак и обед '!C51</f>
        <v>20</v>
      </c>
      <c r="D49" s="117">
        <f>'меню 7 дней завтрак и обед '!D51</f>
        <v>1.5</v>
      </c>
      <c r="E49" s="117">
        <f>'меню 7 дней завтрак и обед '!E51</f>
        <v>0.4</v>
      </c>
      <c r="F49" s="117">
        <f>'меню 7 дней завтрак и обед '!F51</f>
        <v>10.4</v>
      </c>
      <c r="G49" s="250">
        <f>'меню 7 дней завтрак и обед '!G51</f>
        <v>50</v>
      </c>
      <c r="H49" s="250" t="str">
        <f>'меню 7 дней завтрак и обед '!H51</f>
        <v>ПРОМ</v>
      </c>
      <c r="I49" s="117">
        <f>'меню 7 дней завтрак и обед '!I51</f>
        <v>1.3</v>
      </c>
    </row>
    <row r="50" spans="1:9" s="407" customFormat="1" x14ac:dyDescent="0.25">
      <c r="A50" s="1504"/>
      <c r="B50" s="1079" t="str">
        <f>'меню 7 дней завтрак и обед '!B52</f>
        <v>Масло сливочное (порциями)</v>
      </c>
      <c r="C50" s="704">
        <f>'меню 7 дней завтрак и обед '!C52</f>
        <v>10</v>
      </c>
      <c r="D50" s="117">
        <f>'меню 7 дней завтрак и обед '!D52</f>
        <v>0.08</v>
      </c>
      <c r="E50" s="117">
        <f>'меню 7 дней завтрак и обед '!E52</f>
        <v>7.25</v>
      </c>
      <c r="F50" s="117">
        <f>'меню 7 дней завтрак и обед '!F52</f>
        <v>0.13</v>
      </c>
      <c r="G50" s="250">
        <f>'меню 7 дней завтрак и обед '!G52</f>
        <v>66</v>
      </c>
      <c r="H50" s="250">
        <f>'меню 7 дней завтрак и обед '!H52</f>
        <v>14</v>
      </c>
      <c r="I50" s="117">
        <f>'меню 7 дней завтрак и обед '!I52</f>
        <v>7.1</v>
      </c>
    </row>
    <row r="51" spans="1:9" s="926" customFormat="1" x14ac:dyDescent="0.25">
      <c r="A51" s="1504"/>
      <c r="B51" s="1284" t="str">
        <f>'меню 7 дней завтрак и обед '!B53</f>
        <v>Вода питьевая 19 л</v>
      </c>
      <c r="C51" s="704">
        <f>'меню 7 дней завтрак и обед '!C53</f>
        <v>500</v>
      </c>
      <c r="D51" s="117">
        <f>'меню 7 дней завтрак и обед '!D53</f>
        <v>0</v>
      </c>
      <c r="E51" s="117">
        <f>'меню 7 дней завтрак и обед '!E53</f>
        <v>0</v>
      </c>
      <c r="F51" s="117">
        <f>'меню 7 дней завтрак и обед '!F53</f>
        <v>0</v>
      </c>
      <c r="G51" s="250">
        <f>'меню 7 дней завтрак и обед '!G53</f>
        <v>0</v>
      </c>
      <c r="H51" s="250" t="str">
        <f>'меню 7 дней завтрак и обед '!H53</f>
        <v>ПРОМ</v>
      </c>
      <c r="I51" s="117">
        <f>'меню 7 дней завтрак и обед '!I53</f>
        <v>2.9</v>
      </c>
    </row>
    <row r="52" spans="1:9" s="926" customFormat="1" x14ac:dyDescent="0.25">
      <c r="A52" s="1504"/>
      <c r="B52" s="1079">
        <f>'меню 7 дней завтрак и обед '!B54</f>
        <v>0</v>
      </c>
      <c r="C52" s="704">
        <f>'меню 7 дней завтрак и обед '!C54</f>
        <v>0</v>
      </c>
      <c r="D52" s="117">
        <f>'меню 7 дней завтрак и обед '!D54</f>
        <v>0</v>
      </c>
      <c r="E52" s="117">
        <f>'меню 7 дней завтрак и обед '!E54</f>
        <v>0</v>
      </c>
      <c r="F52" s="117">
        <f>'меню 7 дней завтрак и обед '!F54</f>
        <v>0</v>
      </c>
      <c r="G52" s="250">
        <f>'меню 7 дней завтрак и обед '!G54</f>
        <v>0</v>
      </c>
      <c r="H52" s="250">
        <f>'меню 7 дней завтрак и обед '!H54</f>
        <v>0</v>
      </c>
      <c r="I52" s="117">
        <f>'меню 7 дней завтрак и обед '!I54</f>
        <v>0</v>
      </c>
    </row>
    <row r="53" spans="1:9" s="926" customFormat="1" x14ac:dyDescent="0.25">
      <c r="A53" s="1505"/>
      <c r="B53" s="1079">
        <f>'меню 7 дней завтрак и обед '!B55</f>
        <v>0</v>
      </c>
      <c r="C53" s="704">
        <f>'меню 7 дней завтрак и обед '!C55</f>
        <v>0</v>
      </c>
      <c r="D53" s="117">
        <f>'меню 7 дней завтрак и обед '!D55</f>
        <v>0</v>
      </c>
      <c r="E53" s="117">
        <f>'меню 7 дней завтрак и обед '!E55</f>
        <v>0</v>
      </c>
      <c r="F53" s="117">
        <f>'меню 7 дней завтрак и обед '!F55</f>
        <v>0</v>
      </c>
      <c r="G53" s="250">
        <f>'меню 7 дней завтрак и обед '!G55</f>
        <v>0</v>
      </c>
      <c r="H53" s="250">
        <f>'меню 7 дней завтрак и обед '!H55</f>
        <v>0</v>
      </c>
      <c r="I53" s="117">
        <f>'меню 7 дней завтрак и обед '!I55</f>
        <v>0</v>
      </c>
    </row>
    <row r="54" spans="1:9" x14ac:dyDescent="0.25">
      <c r="A54" s="580"/>
      <c r="B54" s="1285" t="s">
        <v>111</v>
      </c>
      <c r="C54" s="812"/>
      <c r="D54" s="119">
        <f>SUM(D45:D53)</f>
        <v>18.62</v>
      </c>
      <c r="E54" s="119">
        <f t="shared" ref="E54" si="7">SUM(E45:E53)</f>
        <v>32.32</v>
      </c>
      <c r="F54" s="119">
        <f t="shared" ref="F54" si="8">SUM(F45:F53)</f>
        <v>41.82</v>
      </c>
      <c r="G54" s="251">
        <f t="shared" ref="G54:I54" si="9">SUM(G45:G53)</f>
        <v>539</v>
      </c>
      <c r="H54" s="251"/>
      <c r="I54" s="432">
        <f t="shared" si="9"/>
        <v>45.55</v>
      </c>
    </row>
    <row r="55" spans="1:9" x14ac:dyDescent="0.25">
      <c r="A55" s="1503" t="s">
        <v>112</v>
      </c>
      <c r="B55" s="1079" t="str">
        <f>'меню 7 дней завтрак и обед '!B57</f>
        <v>Помидоры свежие в нарезке</v>
      </c>
      <c r="C55" s="704">
        <f>'меню 7 дней завтрак и обед '!C57</f>
        <v>60</v>
      </c>
      <c r="D55" s="117">
        <f>'меню 7 дней завтрак и обед '!D57</f>
        <v>0.6</v>
      </c>
      <c r="E55" s="117">
        <f>'меню 7 дней завтрак и обед '!E57</f>
        <v>0.12</v>
      </c>
      <c r="F55" s="117">
        <f>'меню 7 дней завтрак и обед '!F57</f>
        <v>3</v>
      </c>
      <c r="G55" s="250">
        <f>'меню 7 дней завтрак и обед '!G57</f>
        <v>13</v>
      </c>
      <c r="H55" s="250" t="str">
        <f>'меню 7 дней завтрак и обед '!H57</f>
        <v>ПРОМ</v>
      </c>
      <c r="I55" s="117">
        <f>'меню 7 дней завтрак и обед '!I57</f>
        <v>6.36</v>
      </c>
    </row>
    <row r="56" spans="1:9" x14ac:dyDescent="0.25">
      <c r="A56" s="1504"/>
      <c r="B56" s="1079" t="str">
        <f>'меню 7 дней завтрак и обед '!B58</f>
        <v>Суп крестьянский с рисом</v>
      </c>
      <c r="C56" s="704">
        <f>'меню 7 дней завтрак и обед '!C58</f>
        <v>250</v>
      </c>
      <c r="D56" s="117">
        <f>'меню 7 дней завтрак и обед '!D58</f>
        <v>1.48</v>
      </c>
      <c r="E56" s="117">
        <f>'меню 7 дней завтрак и обед '!E58</f>
        <v>4.92</v>
      </c>
      <c r="F56" s="117">
        <f>'меню 7 дней завтрак и обед '!F58</f>
        <v>6.09</v>
      </c>
      <c r="G56" s="250">
        <f>'меню 7 дней завтрак и обед '!G58</f>
        <v>76</v>
      </c>
      <c r="H56" s="250">
        <f>'меню 7 дней завтрак и обед '!H58</f>
        <v>98</v>
      </c>
      <c r="I56" s="117">
        <f>'меню 7 дней завтрак и обед '!I58</f>
        <v>8.3000000000000007</v>
      </c>
    </row>
    <row r="57" spans="1:9" ht="31.95" customHeight="1" x14ac:dyDescent="0.25">
      <c r="A57" s="1504"/>
      <c r="B57" s="1079" t="str">
        <f>'меню 7 дней завтрак и обед '!B59</f>
        <v>Котлеты рубленные из филе птицы со сметанным соусом с томатом и луком</v>
      </c>
      <c r="C57" s="704">
        <f>'меню 7 дней завтрак и обед '!C59</f>
        <v>110</v>
      </c>
      <c r="D57" s="117">
        <f>'меню 7 дней завтрак и обед '!D59</f>
        <v>10.33</v>
      </c>
      <c r="E57" s="117">
        <f>'меню 7 дней завтрак и обед '!E59</f>
        <v>12.04</v>
      </c>
      <c r="F57" s="117">
        <f>'меню 7 дней завтрак и обед '!F59</f>
        <v>12.66</v>
      </c>
      <c r="G57" s="250">
        <f>'меню 7 дней завтрак и обед '!G59</f>
        <v>200</v>
      </c>
      <c r="H57" s="250">
        <f>'меню 7 дней завтрак и обед '!H59</f>
        <v>294</v>
      </c>
      <c r="I57" s="117">
        <f>'меню 7 дней завтрак и обед '!I59</f>
        <v>35.04</v>
      </c>
    </row>
    <row r="58" spans="1:9" s="463" customFormat="1" x14ac:dyDescent="0.25">
      <c r="A58" s="1504"/>
      <c r="B58" s="1079" t="str">
        <f>'меню 7 дней завтрак и обед '!B60</f>
        <v>Пюре картофельное</v>
      </c>
      <c r="C58" s="704">
        <f>'меню 7 дней завтрак и обед '!C60</f>
        <v>150</v>
      </c>
      <c r="D58" s="117">
        <f>'меню 7 дней завтрак и обед '!D60</f>
        <v>3.06</v>
      </c>
      <c r="E58" s="117">
        <f>'меню 7 дней завтрак и обед '!E60</f>
        <v>4.32</v>
      </c>
      <c r="F58" s="117">
        <f>'меню 7 дней завтрак и обед '!F60</f>
        <v>23.01</v>
      </c>
      <c r="G58" s="250">
        <f>'меню 7 дней завтрак и обед '!G60</f>
        <v>142</v>
      </c>
      <c r="H58" s="250">
        <f>'меню 7 дней завтрак и обед '!H60</f>
        <v>312</v>
      </c>
      <c r="I58" s="117">
        <f>'меню 7 дней завтрак и обед '!I60</f>
        <v>14.17</v>
      </c>
    </row>
    <row r="59" spans="1:9" s="463" customFormat="1" x14ac:dyDescent="0.25">
      <c r="A59" s="1504"/>
      <c r="B59" s="1079" t="str">
        <f>'меню 7 дней завтрак и обед '!B61</f>
        <v xml:space="preserve">Компот из яблок </v>
      </c>
      <c r="C59" s="704">
        <f>'меню 7 дней завтрак и обед '!C61</f>
        <v>200</v>
      </c>
      <c r="D59" s="117">
        <f>'меню 7 дней завтрак и обед '!D61</f>
        <v>0.16</v>
      </c>
      <c r="E59" s="117">
        <f>'меню 7 дней завтрак и обед '!E61</f>
        <v>0.16</v>
      </c>
      <c r="F59" s="117">
        <f>'меню 7 дней завтрак и обед '!F61</f>
        <v>27.88</v>
      </c>
      <c r="G59" s="250">
        <f>'меню 7 дней завтрак и обед '!G61</f>
        <v>115</v>
      </c>
      <c r="H59" s="250">
        <f>'меню 7 дней завтрак и обед '!H61</f>
        <v>342</v>
      </c>
      <c r="I59" s="117">
        <f>'меню 7 дней завтрак и обед '!I61</f>
        <v>6.01</v>
      </c>
    </row>
    <row r="60" spans="1:9" s="463" customFormat="1" x14ac:dyDescent="0.25">
      <c r="A60" s="1504"/>
      <c r="B60" s="1079" t="str">
        <f>'меню 7 дней завтрак и обед '!B62</f>
        <v>Хлеб пшеничный нарезной</v>
      </c>
      <c r="C60" s="704">
        <f>'меню 7 дней завтрак и обед '!C62</f>
        <v>20</v>
      </c>
      <c r="D60" s="117">
        <f>'меню 7 дней завтрак и обед '!D62</f>
        <v>2.14</v>
      </c>
      <c r="E60" s="117">
        <f>'меню 7 дней завтрак и обед '!E62</f>
        <v>0.9</v>
      </c>
      <c r="F60" s="117">
        <f>'меню 7 дней завтрак и обед '!F62</f>
        <v>8.6999999999999993</v>
      </c>
      <c r="G60" s="250">
        <f>'меню 7 дней завтрак и обед '!G62</f>
        <v>55</v>
      </c>
      <c r="H60" s="250" t="str">
        <f>'меню 7 дней завтрак и обед '!H62</f>
        <v>ПРОМ</v>
      </c>
      <c r="I60" s="117">
        <f>'меню 7 дней завтрак и обед '!I62</f>
        <v>1.3</v>
      </c>
    </row>
    <row r="61" spans="1:9" s="463" customFormat="1" x14ac:dyDescent="0.25">
      <c r="A61" s="1504"/>
      <c r="B61" s="1079" t="str">
        <f>'меню 7 дней завтрак и обед '!B63</f>
        <v>Хлеб пшенично-ржаной нарезной</v>
      </c>
      <c r="C61" s="704">
        <f>'меню 7 дней завтрак и обед '!C63</f>
        <v>30</v>
      </c>
      <c r="D61" s="117">
        <f>'меню 7 дней завтрак и обед '!D63</f>
        <v>2.25</v>
      </c>
      <c r="E61" s="117">
        <f>'меню 7 дней завтрак и обед '!E63</f>
        <v>0.6</v>
      </c>
      <c r="F61" s="117">
        <f>'меню 7 дней завтрак и обед '!F63</f>
        <v>15.6</v>
      </c>
      <c r="G61" s="250">
        <f>'меню 7 дней завтрак и обед '!G63</f>
        <v>75</v>
      </c>
      <c r="H61" s="250" t="str">
        <f>'меню 7 дней завтрак и обед '!H63</f>
        <v>ПРОМ</v>
      </c>
      <c r="I61" s="117">
        <f>'меню 7 дней завтрак и обед '!I63</f>
        <v>1.95</v>
      </c>
    </row>
    <row r="62" spans="1:9" s="699" customFormat="1" x14ac:dyDescent="0.25">
      <c r="A62" s="1504"/>
      <c r="B62" s="1284" t="str">
        <f>'меню 7 дней завтрак и обед '!B64</f>
        <v>Мороженое пломбир Кореновское</v>
      </c>
      <c r="C62" s="704">
        <f>'меню 7 дней завтрак и обед '!C64</f>
        <v>100</v>
      </c>
      <c r="D62" s="117">
        <f>'меню 7 дней завтрак и обед '!D64</f>
        <v>3.7</v>
      </c>
      <c r="E62" s="117">
        <f>'меню 7 дней завтрак и обед '!E64</f>
        <v>15</v>
      </c>
      <c r="F62" s="117">
        <f>'меню 7 дней завтрак и обед '!F64</f>
        <v>20.399999999999999</v>
      </c>
      <c r="G62" s="250">
        <f>'меню 7 дней завтрак и обед '!G64</f>
        <v>232</v>
      </c>
      <c r="H62" s="250" t="str">
        <f>'меню 7 дней завтрак и обед '!H64</f>
        <v>ПРОМ</v>
      </c>
      <c r="I62" s="117">
        <f>'меню 7 дней завтрак и обед '!I64</f>
        <v>75</v>
      </c>
    </row>
    <row r="63" spans="1:9" s="699" customFormat="1" x14ac:dyDescent="0.25">
      <c r="A63" s="1505"/>
      <c r="B63" s="1284">
        <f>'меню 7 дней завтрак и обед '!B65</f>
        <v>0</v>
      </c>
      <c r="C63" s="704">
        <f>'меню 7 дней завтрак и обед '!C65</f>
        <v>0</v>
      </c>
      <c r="D63" s="117">
        <f>'меню 7 дней завтрак и обед '!D65</f>
        <v>0</v>
      </c>
      <c r="E63" s="117">
        <f>'меню 7 дней завтрак и обед '!E65</f>
        <v>0</v>
      </c>
      <c r="F63" s="117">
        <f>'меню 7 дней завтрак и обед '!F65</f>
        <v>0</v>
      </c>
      <c r="G63" s="250">
        <f>'меню 7 дней завтрак и обед '!G65</f>
        <v>0</v>
      </c>
      <c r="H63" s="250">
        <f>'меню 7 дней завтрак и обед '!H65</f>
        <v>0</v>
      </c>
      <c r="I63" s="117">
        <f>'меню 7 дней завтрак и обед '!I65</f>
        <v>0</v>
      </c>
    </row>
    <row r="64" spans="1:9" x14ac:dyDescent="0.25">
      <c r="A64" s="580"/>
      <c r="B64" s="1285" t="s">
        <v>113</v>
      </c>
      <c r="C64" s="812"/>
      <c r="D64" s="119">
        <f>SUM(D55:D63)</f>
        <v>23.72</v>
      </c>
      <c r="E64" s="119">
        <f>SUM(E55:E63)</f>
        <v>38.06</v>
      </c>
      <c r="F64" s="119">
        <f>SUM(F55:F63)</f>
        <v>117.34</v>
      </c>
      <c r="G64" s="251">
        <f>SUM(G55:G63)</f>
        <v>908</v>
      </c>
      <c r="H64" s="251"/>
      <c r="I64" s="432">
        <f t="shared" ref="I64" si="10">SUM(I55:I63)</f>
        <v>148.13</v>
      </c>
    </row>
    <row r="65" spans="1:9" s="570" customFormat="1" hidden="1" x14ac:dyDescent="0.25">
      <c r="A65" s="1503" t="s">
        <v>800</v>
      </c>
      <c r="B65" s="1284">
        <f>'меню 7 дней завтрак и обед '!B67</f>
        <v>0</v>
      </c>
      <c r="C65" s="704">
        <f>'меню 7 дней завтрак и обед '!C67</f>
        <v>0</v>
      </c>
      <c r="D65" s="117">
        <f>'меню 7 дней завтрак и обед '!D67</f>
        <v>0</v>
      </c>
      <c r="E65" s="117">
        <f>'меню 7 дней завтрак и обед '!E67</f>
        <v>0</v>
      </c>
      <c r="F65" s="117">
        <f>'меню 7 дней завтрак и обед '!F67</f>
        <v>0</v>
      </c>
      <c r="G65" s="250">
        <f>'меню 7 дней завтрак и обед '!G67</f>
        <v>0</v>
      </c>
      <c r="H65" s="250"/>
      <c r="I65" s="431">
        <f>'меню 7 дней завтрак и обед '!I67</f>
        <v>0</v>
      </c>
    </row>
    <row r="66" spans="1:9" s="570" customFormat="1" hidden="1" x14ac:dyDescent="0.25">
      <c r="A66" s="1504"/>
      <c r="B66" s="1284">
        <f>'меню 7 дней завтрак и обед '!B68</f>
        <v>0</v>
      </c>
      <c r="C66" s="704">
        <f>'меню 7 дней завтрак и обед '!C68</f>
        <v>0</v>
      </c>
      <c r="D66" s="117">
        <f>'меню 7 дней завтрак и обед '!D68</f>
        <v>0</v>
      </c>
      <c r="E66" s="117">
        <f>'меню 7 дней завтрак и обед '!E68</f>
        <v>0</v>
      </c>
      <c r="F66" s="117">
        <f>'меню 7 дней завтрак и обед '!F68</f>
        <v>0</v>
      </c>
      <c r="G66" s="250">
        <f>'меню 7 дней завтрак и обед '!G68</f>
        <v>0</v>
      </c>
      <c r="H66" s="250"/>
      <c r="I66" s="431">
        <f>'меню 7 дней завтрак и обед '!I68</f>
        <v>0</v>
      </c>
    </row>
    <row r="67" spans="1:9" s="570" customFormat="1" hidden="1" x14ac:dyDescent="0.25">
      <c r="A67" s="1504"/>
      <c r="B67" s="1284">
        <f>'меню 7 дней завтрак и обед '!B69</f>
        <v>0</v>
      </c>
      <c r="C67" s="704">
        <f>'меню 7 дней завтрак и обед '!C69</f>
        <v>0</v>
      </c>
      <c r="D67" s="117">
        <f>'меню 7 дней завтрак и обед '!D69</f>
        <v>0</v>
      </c>
      <c r="E67" s="117">
        <f>'меню 7 дней завтрак и обед '!E69</f>
        <v>0</v>
      </c>
      <c r="F67" s="117">
        <f>'меню 7 дней завтрак и обед '!F69</f>
        <v>0</v>
      </c>
      <c r="G67" s="250">
        <f>'меню 7 дней завтрак и обед '!G69</f>
        <v>0</v>
      </c>
      <c r="H67" s="250"/>
      <c r="I67" s="431">
        <f>'меню 7 дней завтрак и обед '!I69</f>
        <v>0</v>
      </c>
    </row>
    <row r="68" spans="1:9" s="570" customFormat="1" hidden="1" x14ac:dyDescent="0.25">
      <c r="A68" s="1504"/>
      <c r="B68" s="1284">
        <f>'меню 7 дней завтрак и обед '!B70</f>
        <v>0</v>
      </c>
      <c r="C68" s="704">
        <f>'меню 7 дней завтрак и обед '!C70</f>
        <v>0</v>
      </c>
      <c r="D68" s="117">
        <f>'меню 7 дней завтрак и обед '!D70</f>
        <v>0</v>
      </c>
      <c r="E68" s="117">
        <f>'меню 7 дней завтрак и обед '!E70</f>
        <v>0</v>
      </c>
      <c r="F68" s="117">
        <f>'меню 7 дней завтрак и обед '!F70</f>
        <v>0</v>
      </c>
      <c r="G68" s="250">
        <f>'меню 7 дней завтрак и обед '!G70</f>
        <v>0</v>
      </c>
      <c r="H68" s="250"/>
      <c r="I68" s="431">
        <f>'меню 7 дней завтрак и обед '!I70</f>
        <v>0</v>
      </c>
    </row>
    <row r="69" spans="1:9" s="570" customFormat="1" hidden="1" x14ac:dyDescent="0.25">
      <c r="A69" s="1505"/>
      <c r="B69" s="1284">
        <f>'меню 7 дней завтрак и обед '!B71</f>
        <v>0</v>
      </c>
      <c r="C69" s="704">
        <f>'меню 7 дней завтрак и обед '!C71</f>
        <v>0</v>
      </c>
      <c r="D69" s="117">
        <f>'меню 7 дней завтрак и обед '!D71</f>
        <v>0</v>
      </c>
      <c r="E69" s="117">
        <f>'меню 7 дней завтрак и обед '!E71</f>
        <v>0</v>
      </c>
      <c r="F69" s="117">
        <f>'меню 7 дней завтрак и обед '!F71</f>
        <v>0</v>
      </c>
      <c r="G69" s="250">
        <f>'меню 7 дней завтрак и обед '!G71</f>
        <v>0</v>
      </c>
      <c r="H69" s="250"/>
      <c r="I69" s="431">
        <f>'меню 7 дней завтрак и обед '!I71</f>
        <v>0</v>
      </c>
    </row>
    <row r="70" spans="1:9" s="570" customFormat="1" hidden="1" x14ac:dyDescent="0.25">
      <c r="A70" s="580"/>
      <c r="B70" s="1285" t="s">
        <v>801</v>
      </c>
      <c r="C70" s="812"/>
      <c r="D70" s="119">
        <f t="shared" ref="D70:G70" si="11">SUM(D65:D69)</f>
        <v>0</v>
      </c>
      <c r="E70" s="119">
        <f t="shared" si="11"/>
        <v>0</v>
      </c>
      <c r="F70" s="119">
        <f t="shared" si="11"/>
        <v>0</v>
      </c>
      <c r="G70" s="251">
        <f t="shared" si="11"/>
        <v>0</v>
      </c>
      <c r="H70" s="251"/>
      <c r="I70" s="432">
        <f t="shared" ref="I70" si="12">SUM(I65:I69)</f>
        <v>0</v>
      </c>
    </row>
    <row r="71" spans="1:9" x14ac:dyDescent="0.25">
      <c r="A71" s="581"/>
      <c r="B71" s="1286" t="s">
        <v>1409</v>
      </c>
      <c r="C71" s="813"/>
      <c r="D71" s="810">
        <f t="shared" ref="D71:G71" si="13">D54+D64+D70</f>
        <v>42.34</v>
      </c>
      <c r="E71" s="810">
        <f t="shared" si="13"/>
        <v>70.38</v>
      </c>
      <c r="F71" s="810">
        <f t="shared" si="13"/>
        <v>159.16</v>
      </c>
      <c r="G71" s="635">
        <f t="shared" si="13"/>
        <v>1447</v>
      </c>
      <c r="H71" s="635"/>
      <c r="I71" s="646">
        <f t="shared" ref="I71" si="14">I54+I64+I70</f>
        <v>193.68</v>
      </c>
    </row>
    <row r="72" spans="1:9" ht="15.6" x14ac:dyDescent="0.3">
      <c r="A72" s="582"/>
      <c r="B72" s="1287" t="s">
        <v>1410</v>
      </c>
      <c r="C72" s="814"/>
      <c r="D72" s="811"/>
      <c r="E72" s="815"/>
      <c r="F72" s="815"/>
      <c r="G72" s="672"/>
      <c r="H72" s="672"/>
      <c r="I72" s="815"/>
    </row>
    <row r="73" spans="1:9" ht="30.6" customHeight="1" x14ac:dyDescent="0.25">
      <c r="A73" s="1503" t="s">
        <v>109</v>
      </c>
      <c r="B73" s="1284" t="str">
        <f>'меню 7 дней завтрак и обед '!B77</f>
        <v>Суп молочный с макаронными изделиями</v>
      </c>
      <c r="C73" s="704">
        <f>'меню 7 дней завтрак и обед '!C77</f>
        <v>250</v>
      </c>
      <c r="D73" s="117">
        <f>'меню 7 дней завтрак и обед '!D77</f>
        <v>5.47</v>
      </c>
      <c r="E73" s="117">
        <f>'меню 7 дней завтрак и обед '!E77</f>
        <v>4.75</v>
      </c>
      <c r="F73" s="117">
        <f>'меню 7 дней завтрак и обед '!F77</f>
        <v>17.96</v>
      </c>
      <c r="G73" s="250">
        <f>'меню 7 дней завтрак и обед '!G77</f>
        <v>150</v>
      </c>
      <c r="H73" s="250">
        <f>'меню 7 дней завтрак и обед '!H77</f>
        <v>120</v>
      </c>
      <c r="I73" s="117">
        <f>'меню 7 дней завтрак и обед '!I77</f>
        <v>12.54</v>
      </c>
    </row>
    <row r="74" spans="1:9" s="407" customFormat="1" x14ac:dyDescent="0.25">
      <c r="A74" s="1504"/>
      <c r="B74" s="1284" t="str">
        <f>'меню 7 дней завтрак и обед '!B78</f>
        <v xml:space="preserve">Сыр российский (порциями) </v>
      </c>
      <c r="C74" s="704">
        <f>'меню 7 дней завтрак и обед '!C78</f>
        <v>15</v>
      </c>
      <c r="D74" s="117">
        <f>'меню 7 дней завтрак и обед '!D78</f>
        <v>3.48</v>
      </c>
      <c r="E74" s="117">
        <f>'меню 7 дней завтрак и обед '!E78</f>
        <v>4.43</v>
      </c>
      <c r="F74" s="117">
        <f>'меню 7 дней завтрак и обед '!F78</f>
        <v>1</v>
      </c>
      <c r="G74" s="250">
        <f>'меню 7 дней завтрак и обед '!G78</f>
        <v>54</v>
      </c>
      <c r="H74" s="250">
        <f>'меню 7 дней завтрак и обед '!H78</f>
        <v>15</v>
      </c>
      <c r="I74" s="117">
        <f>'меню 7 дней завтрак и обед '!I78</f>
        <v>11.5</v>
      </c>
    </row>
    <row r="75" spans="1:9" s="463" customFormat="1" x14ac:dyDescent="0.25">
      <c r="A75" s="1504"/>
      <c r="B75" s="1284" t="str">
        <f>'меню 7 дней завтрак и обед '!B79</f>
        <v>Масло сливочное (порциями)</v>
      </c>
      <c r="C75" s="704">
        <f>'меню 7 дней завтрак и обед '!C79</f>
        <v>10</v>
      </c>
      <c r="D75" s="117">
        <f>'меню 7 дней завтрак и обед '!D79</f>
        <v>0.08</v>
      </c>
      <c r="E75" s="117">
        <f>'меню 7 дней завтрак и обед '!E79</f>
        <v>7.25</v>
      </c>
      <c r="F75" s="117">
        <f>'меню 7 дней завтрак и обед '!F79</f>
        <v>0.13</v>
      </c>
      <c r="G75" s="250">
        <f>'меню 7 дней завтрак и обед '!G79</f>
        <v>66</v>
      </c>
      <c r="H75" s="250">
        <f>'меню 7 дней завтрак и обед '!H79</f>
        <v>14</v>
      </c>
      <c r="I75" s="117">
        <f>'меню 7 дней завтрак и обед '!I79</f>
        <v>7.1</v>
      </c>
    </row>
    <row r="76" spans="1:9" s="463" customFormat="1" x14ac:dyDescent="0.25">
      <c r="A76" s="1504"/>
      <c r="B76" s="1284" t="str">
        <f>'меню 7 дней завтрак и обед '!B80</f>
        <v>Хлеб пшенично-ржаной нарезной</v>
      </c>
      <c r="C76" s="704">
        <f>'меню 7 дней завтрак и обед '!C80</f>
        <v>40</v>
      </c>
      <c r="D76" s="117">
        <f>'меню 7 дней завтрак и обед '!D80</f>
        <v>3</v>
      </c>
      <c r="E76" s="117">
        <f>'меню 7 дней завтрак и обед '!E80</f>
        <v>0.8</v>
      </c>
      <c r="F76" s="117">
        <f>'меню 7 дней завтрак и обед '!F80</f>
        <v>20.8</v>
      </c>
      <c r="G76" s="250">
        <f>'меню 7 дней завтрак и обед '!G80</f>
        <v>100</v>
      </c>
      <c r="H76" s="250" t="str">
        <f>'меню 7 дней завтрак и обед '!H80</f>
        <v>ПРОМ</v>
      </c>
      <c r="I76" s="117">
        <f>'меню 7 дней завтрак и обед '!I80</f>
        <v>2.6</v>
      </c>
    </row>
    <row r="77" spans="1:9" s="407" customFormat="1" x14ac:dyDescent="0.25">
      <c r="A77" s="1504"/>
      <c r="B77" s="1284" t="str">
        <f>'меню 7 дней завтрак и обед '!B81</f>
        <v>Чай с сахаром</v>
      </c>
      <c r="C77" s="704">
        <f>'меню 7 дней завтрак и обед '!C81</f>
        <v>200</v>
      </c>
      <c r="D77" s="117">
        <f>'меню 7 дней завтрак и обед '!D81</f>
        <v>7.0000000000000007E-2</v>
      </c>
      <c r="E77" s="117">
        <f>'меню 7 дней завтрак и обед '!E81</f>
        <v>0.02</v>
      </c>
      <c r="F77" s="117">
        <f>'меню 7 дней завтрак и обед '!F81</f>
        <v>13.95</v>
      </c>
      <c r="G77" s="250">
        <f>'меню 7 дней завтрак и обед '!G81</f>
        <v>56</v>
      </c>
      <c r="H77" s="250">
        <f>'меню 7 дней завтрак и обед '!H81</f>
        <v>376</v>
      </c>
      <c r="I77" s="117">
        <f>'меню 7 дней завтрак и обед '!I81</f>
        <v>1.59</v>
      </c>
    </row>
    <row r="78" spans="1:9" s="926" customFormat="1" x14ac:dyDescent="0.25">
      <c r="A78" s="1504"/>
      <c r="B78" s="1284" t="str">
        <f>'меню 7 дней завтрак и обед '!B82</f>
        <v>Яблоки свежие</v>
      </c>
      <c r="C78" s="704">
        <f>'меню 7 дней завтрак и обед '!C82</f>
        <v>200</v>
      </c>
      <c r="D78" s="117">
        <f>'меню 7 дней завтрак и обед '!D82</f>
        <v>0.8</v>
      </c>
      <c r="E78" s="117">
        <f>'меню 7 дней завтрак и обед '!E82</f>
        <v>0.8</v>
      </c>
      <c r="F78" s="117">
        <f>'меню 7 дней завтрак и обед '!F82</f>
        <v>19.600000000000001</v>
      </c>
      <c r="G78" s="250">
        <f>'меню 7 дней завтрак и обед '!G82</f>
        <v>94</v>
      </c>
      <c r="H78" s="250">
        <f>'меню 7 дней завтрак и обед '!H82</f>
        <v>338</v>
      </c>
      <c r="I78" s="117">
        <f>'меню 7 дней завтрак и обед '!I82</f>
        <v>18.2</v>
      </c>
    </row>
    <row r="79" spans="1:9" s="926" customFormat="1" x14ac:dyDescent="0.25">
      <c r="A79" s="1504"/>
      <c r="B79" s="1284" t="str">
        <f>'меню 7 дней завтрак и обед '!B83</f>
        <v>Вода питьевая 19 л</v>
      </c>
      <c r="C79" s="704">
        <f>'меню 7 дней завтрак и обед '!C83</f>
        <v>500</v>
      </c>
      <c r="D79" s="117">
        <f>'меню 7 дней завтрак и обед '!D83</f>
        <v>0</v>
      </c>
      <c r="E79" s="117">
        <f>'меню 7 дней завтрак и обед '!E83</f>
        <v>0</v>
      </c>
      <c r="F79" s="117">
        <f>'меню 7 дней завтрак и обед '!F83</f>
        <v>0</v>
      </c>
      <c r="G79" s="250">
        <f>'меню 7 дней завтрак и обед '!G83</f>
        <v>0</v>
      </c>
      <c r="H79" s="250" t="str">
        <f>'меню 7 дней завтрак и обед '!H83</f>
        <v>ПРОМ</v>
      </c>
      <c r="I79" s="117">
        <f>'меню 7 дней завтрак и обед '!I83</f>
        <v>2.9</v>
      </c>
    </row>
    <row r="80" spans="1:9" s="926" customFormat="1" x14ac:dyDescent="0.25">
      <c r="A80" s="1504"/>
      <c r="B80" s="1284">
        <f>'меню 7 дней завтрак и обед '!B84</f>
        <v>0</v>
      </c>
      <c r="C80" s="704">
        <f>'меню 7 дней завтрак и обед '!C84</f>
        <v>0</v>
      </c>
      <c r="D80" s="117">
        <f>'меню 7 дней завтрак и обед '!D84</f>
        <v>0</v>
      </c>
      <c r="E80" s="117">
        <f>'меню 7 дней завтрак и обед '!E84</f>
        <v>0</v>
      </c>
      <c r="F80" s="117">
        <f>'меню 7 дней завтрак и обед '!F84</f>
        <v>0</v>
      </c>
      <c r="G80" s="250">
        <f>'меню 7 дней завтрак и обед '!G84</f>
        <v>0</v>
      </c>
      <c r="H80" s="250">
        <f>'меню 7 дней завтрак и обед '!H84</f>
        <v>0</v>
      </c>
      <c r="I80" s="117">
        <f>'меню 7 дней завтрак и обед '!I84</f>
        <v>0</v>
      </c>
    </row>
    <row r="81" spans="1:9" s="926" customFormat="1" x14ac:dyDescent="0.25">
      <c r="A81" s="1505"/>
      <c r="B81" s="1284">
        <f>'меню 7 дней завтрак и обед '!B85</f>
        <v>0</v>
      </c>
      <c r="C81" s="704">
        <f>'меню 7 дней завтрак и обед '!C85</f>
        <v>0</v>
      </c>
      <c r="D81" s="117">
        <f>'меню 7 дней завтрак и обед '!D85</f>
        <v>0</v>
      </c>
      <c r="E81" s="117">
        <f>'меню 7 дней завтрак и обед '!E85</f>
        <v>0</v>
      </c>
      <c r="F81" s="117">
        <f>'меню 7 дней завтрак и обед '!F85</f>
        <v>0</v>
      </c>
      <c r="G81" s="250">
        <f>'меню 7 дней завтрак и обед '!G85</f>
        <v>0</v>
      </c>
      <c r="H81" s="250">
        <f>'меню 7 дней завтрак и обед '!H85</f>
        <v>0</v>
      </c>
      <c r="I81" s="117">
        <f>'меню 7 дней завтрак и обед '!I85</f>
        <v>0</v>
      </c>
    </row>
    <row r="82" spans="1:9" x14ac:dyDescent="0.25">
      <c r="A82" s="580"/>
      <c r="B82" s="1285" t="s">
        <v>111</v>
      </c>
      <c r="C82" s="812"/>
      <c r="D82" s="119">
        <f>SUM(D73:D81)</f>
        <v>12.9</v>
      </c>
      <c r="E82" s="119">
        <f t="shared" ref="E82" si="15">SUM(E73:E81)</f>
        <v>18.05</v>
      </c>
      <c r="F82" s="119">
        <f t="shared" ref="F82" si="16">SUM(F73:F81)</f>
        <v>73.44</v>
      </c>
      <c r="G82" s="251">
        <f t="shared" ref="G82:I82" si="17">SUM(G73:G81)</f>
        <v>520</v>
      </c>
      <c r="H82" s="251"/>
      <c r="I82" s="432">
        <f t="shared" si="17"/>
        <v>56.43</v>
      </c>
    </row>
    <row r="83" spans="1:9" x14ac:dyDescent="0.25">
      <c r="A83" s="1503" t="s">
        <v>112</v>
      </c>
      <c r="B83" s="1284" t="str">
        <f>'меню 7 дней завтрак и обед '!B87</f>
        <v>Огурцы, помидоры в нарезке</v>
      </c>
      <c r="C83" s="704">
        <f>'меню 7 дней завтрак и обед '!C87</f>
        <v>60</v>
      </c>
      <c r="D83" s="117">
        <f>'меню 7 дней завтрак и обед '!D87</f>
        <v>0.42</v>
      </c>
      <c r="E83" s="117">
        <f>'меню 7 дней завтрак и обед '!E87</f>
        <v>0.06</v>
      </c>
      <c r="F83" s="117">
        <f>'меню 7 дней завтрак и обед '!F87</f>
        <v>1.1399999999999999</v>
      </c>
      <c r="G83" s="250">
        <f>'меню 7 дней завтрак и обед '!G87</f>
        <v>7</v>
      </c>
      <c r="H83" s="250">
        <f>'меню 7 дней завтрак и обед '!H87</f>
        <v>71</v>
      </c>
      <c r="I83" s="117">
        <f>'меню 7 дней завтрак и обед '!I87</f>
        <v>5.66</v>
      </c>
    </row>
    <row r="84" spans="1:9" s="407" customFormat="1" x14ac:dyDescent="0.25">
      <c r="A84" s="1504"/>
      <c r="B84" s="1284" t="str">
        <f>'меню 7 дней завтрак и обед '!B88</f>
        <v>Борщ с фасолью и картофелем</v>
      </c>
      <c r="C84" s="704">
        <f>'меню 7 дней завтрак и обед '!C88</f>
        <v>250</v>
      </c>
      <c r="D84" s="117">
        <f>'меню 7 дней завтрак и обед '!D88</f>
        <v>3.56</v>
      </c>
      <c r="E84" s="117">
        <f>'меню 7 дней завтрак и обед '!E88</f>
        <v>5.12</v>
      </c>
      <c r="F84" s="117">
        <f>'меню 7 дней завтрак и обед '!F88</f>
        <v>14.17</v>
      </c>
      <c r="G84" s="250">
        <f>'меню 7 дней завтрак и обед '!G88</f>
        <v>128</v>
      </c>
      <c r="H84" s="250">
        <f>'меню 7 дней завтрак и обед '!H88</f>
        <v>84</v>
      </c>
      <c r="I84" s="117">
        <f>'меню 7 дней завтрак и обед '!I88</f>
        <v>11.72</v>
      </c>
    </row>
    <row r="85" spans="1:9" s="463" customFormat="1" ht="45" customHeight="1" x14ac:dyDescent="0.25">
      <c r="A85" s="1504"/>
      <c r="B85" s="1284" t="str">
        <f>'меню 7 дней завтрак и обед '!B89</f>
        <v>Тефтели из говядины 2-й вариант (с рисом (2 шт) и соусом сметанным с томатом)</v>
      </c>
      <c r="C85" s="704">
        <f>'меню 7 дней завтрак и обед '!C89</f>
        <v>170</v>
      </c>
      <c r="D85" s="117">
        <f>'меню 7 дней завтрак и обед '!D89</f>
        <v>11.53</v>
      </c>
      <c r="E85" s="117">
        <f>'меню 7 дней завтрак и обед '!E89</f>
        <v>12.81</v>
      </c>
      <c r="F85" s="117">
        <f>'меню 7 дней завтрак и обед '!F89</f>
        <v>14.59</v>
      </c>
      <c r="G85" s="250">
        <f>'меню 7 дней завтрак и обед '!G89</f>
        <v>219</v>
      </c>
      <c r="H85" s="250">
        <f>'меню 7 дней завтрак и обед '!H89</f>
        <v>279</v>
      </c>
      <c r="I85" s="117">
        <f>'меню 7 дней завтрак и обед '!I89</f>
        <v>68.63</v>
      </c>
    </row>
    <row r="86" spans="1:9" x14ac:dyDescent="0.25">
      <c r="A86" s="1504"/>
      <c r="B86" s="1284" t="str">
        <f>'меню 7 дней завтрак и обед '!B90</f>
        <v>Картофель отварной</v>
      </c>
      <c r="C86" s="704">
        <f>'меню 7 дней завтрак и обед '!C90</f>
        <v>150</v>
      </c>
      <c r="D86" s="117">
        <f>'меню 7 дней завтрак и обед '!D90</f>
        <v>2.86</v>
      </c>
      <c r="E86" s="117">
        <f>'меню 7 дней завтрак и обед '!E90</f>
        <v>4.32</v>
      </c>
      <c r="F86" s="117">
        <f>'меню 7 дней завтрак и обед '!F90</f>
        <v>23.01</v>
      </c>
      <c r="G86" s="250">
        <f>'меню 7 дней завтрак и обед '!G90</f>
        <v>142</v>
      </c>
      <c r="H86" s="250">
        <f>'меню 7 дней завтрак и обед '!H90</f>
        <v>310</v>
      </c>
      <c r="I86" s="117">
        <f>'меню 7 дней завтрак и обед '!I90</f>
        <v>13.72</v>
      </c>
    </row>
    <row r="87" spans="1:9" s="463" customFormat="1" x14ac:dyDescent="0.25">
      <c r="A87" s="1504"/>
      <c r="B87" s="1284" t="str">
        <f>'меню 7 дней завтрак и обед '!B91</f>
        <v xml:space="preserve">Компот из яблок </v>
      </c>
      <c r="C87" s="704">
        <f>'меню 7 дней завтрак и обед '!C91</f>
        <v>200</v>
      </c>
      <c r="D87" s="117">
        <f>'меню 7 дней завтрак и обед '!D91</f>
        <v>0.16</v>
      </c>
      <c r="E87" s="117">
        <f>'меню 7 дней завтрак и обед '!E91</f>
        <v>0.16</v>
      </c>
      <c r="F87" s="117">
        <f>'меню 7 дней завтрак и обед '!F91</f>
        <v>27.88</v>
      </c>
      <c r="G87" s="250">
        <f>'меню 7 дней завтрак и обед '!G91</f>
        <v>115</v>
      </c>
      <c r="H87" s="250">
        <f>'меню 7 дней завтрак и обед '!H91</f>
        <v>342</v>
      </c>
      <c r="I87" s="117">
        <f>'меню 7 дней завтрак и обед '!I91</f>
        <v>6.01</v>
      </c>
    </row>
    <row r="88" spans="1:9" s="463" customFormat="1" x14ac:dyDescent="0.25">
      <c r="A88" s="1504"/>
      <c r="B88" s="1284" t="str">
        <f>'меню 7 дней завтрак и обед '!B92</f>
        <v>Хлеб пшеничный нарезной</v>
      </c>
      <c r="C88" s="704">
        <f>'меню 7 дней завтрак и обед '!C92</f>
        <v>20</v>
      </c>
      <c r="D88" s="117">
        <f>'меню 7 дней завтрак и обед '!D92</f>
        <v>2.14</v>
      </c>
      <c r="E88" s="117">
        <f>'меню 7 дней завтрак и обед '!E92</f>
        <v>0.9</v>
      </c>
      <c r="F88" s="117">
        <f>'меню 7 дней завтрак и обед '!F92</f>
        <v>8.6999999999999993</v>
      </c>
      <c r="G88" s="250">
        <f>'меню 7 дней завтрак и обед '!G92</f>
        <v>55</v>
      </c>
      <c r="H88" s="250" t="str">
        <f>'меню 7 дней завтрак и обед '!H92</f>
        <v>ПРОМ</v>
      </c>
      <c r="I88" s="117">
        <f>'меню 7 дней завтрак и обед '!I92</f>
        <v>1.3</v>
      </c>
    </row>
    <row r="89" spans="1:9" x14ac:dyDescent="0.25">
      <c r="A89" s="1504"/>
      <c r="B89" s="1284" t="str">
        <f>'меню 7 дней завтрак и обед '!B93</f>
        <v>Хлеб пшенично-ржаной нарезной</v>
      </c>
      <c r="C89" s="704">
        <f>'меню 7 дней завтрак и обед '!C93</f>
        <v>30</v>
      </c>
      <c r="D89" s="117">
        <f>'меню 7 дней завтрак и обед '!D93</f>
        <v>2.25</v>
      </c>
      <c r="E89" s="117">
        <f>'меню 7 дней завтрак и обед '!E93</f>
        <v>0.6</v>
      </c>
      <c r="F89" s="117">
        <f>'меню 7 дней завтрак и обед '!F93</f>
        <v>15.6</v>
      </c>
      <c r="G89" s="250">
        <f>'меню 7 дней завтрак и обед '!G93</f>
        <v>75</v>
      </c>
      <c r="H89" s="250" t="str">
        <f>'меню 7 дней завтрак и обед '!H93</f>
        <v>ПРОМ</v>
      </c>
      <c r="I89" s="117">
        <f>'меню 7 дней завтрак и обед '!I93</f>
        <v>1.95</v>
      </c>
    </row>
    <row r="90" spans="1:9" s="699" customFormat="1" x14ac:dyDescent="0.25">
      <c r="A90" s="1504"/>
      <c r="B90" s="1284">
        <f>'меню 7 дней завтрак и обед '!B94</f>
        <v>0</v>
      </c>
      <c r="C90" s="704">
        <f>'меню 7 дней завтрак и обед '!C94</f>
        <v>0</v>
      </c>
      <c r="D90" s="117">
        <f>'меню 7 дней завтрак и обед '!D94</f>
        <v>0</v>
      </c>
      <c r="E90" s="117">
        <f>'меню 7 дней завтрак и обед '!E94</f>
        <v>0</v>
      </c>
      <c r="F90" s="117">
        <f>'меню 7 дней завтрак и обед '!F94</f>
        <v>0</v>
      </c>
      <c r="G90" s="250">
        <f>'меню 7 дней завтрак и обед '!G94</f>
        <v>0</v>
      </c>
      <c r="H90" s="250">
        <f>'меню 7 дней завтрак и обед '!H94</f>
        <v>0</v>
      </c>
      <c r="I90" s="117">
        <f>'меню 7 дней завтрак и обед '!I94</f>
        <v>0</v>
      </c>
    </row>
    <row r="91" spans="1:9" s="699" customFormat="1" x14ac:dyDescent="0.25">
      <c r="A91" s="1505"/>
      <c r="B91" s="1284">
        <f>'меню 7 дней завтрак и обед '!B95</f>
        <v>0</v>
      </c>
      <c r="C91" s="704">
        <f>'меню 7 дней завтрак и обед '!C95</f>
        <v>0</v>
      </c>
      <c r="D91" s="117">
        <f>'меню 7 дней завтрак и обед '!D95</f>
        <v>0</v>
      </c>
      <c r="E91" s="117">
        <f>'меню 7 дней завтрак и обед '!E95</f>
        <v>0</v>
      </c>
      <c r="F91" s="117">
        <f>'меню 7 дней завтрак и обед '!F95</f>
        <v>0</v>
      </c>
      <c r="G91" s="250">
        <f>'меню 7 дней завтрак и обед '!G95</f>
        <v>0</v>
      </c>
      <c r="H91" s="250">
        <f>'меню 7 дней завтрак и обед '!H95</f>
        <v>0</v>
      </c>
      <c r="I91" s="117">
        <f>'меню 7 дней завтрак и обед '!I95</f>
        <v>0</v>
      </c>
    </row>
    <row r="92" spans="1:9" x14ac:dyDescent="0.25">
      <c r="A92" s="580"/>
      <c r="B92" s="1285" t="s">
        <v>113</v>
      </c>
      <c r="C92" s="812"/>
      <c r="D92" s="119">
        <f>SUM(D83:D91)</f>
        <v>22.92</v>
      </c>
      <c r="E92" s="119">
        <f>SUM(E83:E91)</f>
        <v>23.97</v>
      </c>
      <c r="F92" s="119">
        <f>SUM(F83:F91)</f>
        <v>105.09</v>
      </c>
      <c r="G92" s="251">
        <f>SUM(G83:G91)</f>
        <v>741</v>
      </c>
      <c r="H92" s="251"/>
      <c r="I92" s="432">
        <f t="shared" ref="I92" si="18">SUM(I83:I91)</f>
        <v>108.99</v>
      </c>
    </row>
    <row r="93" spans="1:9" s="570" customFormat="1" hidden="1" x14ac:dyDescent="0.25">
      <c r="A93" s="1503" t="s">
        <v>800</v>
      </c>
      <c r="B93" s="1284">
        <f>'меню 7 дней завтрак и обед '!B97</f>
        <v>0</v>
      </c>
      <c r="C93" s="704">
        <f>'меню 7 дней завтрак и обед '!C97</f>
        <v>0</v>
      </c>
      <c r="D93" s="117">
        <f>'меню 7 дней завтрак и обед '!D97</f>
        <v>0</v>
      </c>
      <c r="E93" s="117">
        <f>'меню 7 дней завтрак и обед '!E97</f>
        <v>0</v>
      </c>
      <c r="F93" s="117">
        <f>'меню 7 дней завтрак и обед '!F97</f>
        <v>0</v>
      </c>
      <c r="G93" s="250">
        <f>'меню 7 дней завтрак и обед '!G97</f>
        <v>0</v>
      </c>
      <c r="H93" s="250"/>
      <c r="I93" s="431">
        <f>'меню 7 дней завтрак и обед '!I97</f>
        <v>0</v>
      </c>
    </row>
    <row r="94" spans="1:9" s="570" customFormat="1" hidden="1" x14ac:dyDescent="0.25">
      <c r="A94" s="1504"/>
      <c r="B94" s="1284">
        <f>'меню 7 дней завтрак и обед '!B98</f>
        <v>0</v>
      </c>
      <c r="C94" s="704">
        <f>'меню 7 дней завтрак и обед '!C98</f>
        <v>0</v>
      </c>
      <c r="D94" s="117">
        <f>'меню 7 дней завтрак и обед '!D98</f>
        <v>0</v>
      </c>
      <c r="E94" s="117">
        <f>'меню 7 дней завтрак и обед '!E98</f>
        <v>0</v>
      </c>
      <c r="F94" s="117">
        <f>'меню 7 дней завтрак и обед '!F98</f>
        <v>0</v>
      </c>
      <c r="G94" s="250">
        <f>'меню 7 дней завтрак и обед '!G98</f>
        <v>0</v>
      </c>
      <c r="H94" s="250"/>
      <c r="I94" s="431">
        <f>'меню 7 дней завтрак и обед '!I98</f>
        <v>0</v>
      </c>
    </row>
    <row r="95" spans="1:9" s="570" customFormat="1" hidden="1" x14ac:dyDescent="0.25">
      <c r="A95" s="1504"/>
      <c r="B95" s="1284">
        <f>'меню 7 дней завтрак и обед '!B99</f>
        <v>0</v>
      </c>
      <c r="C95" s="704">
        <f>'меню 7 дней завтрак и обед '!C99</f>
        <v>0</v>
      </c>
      <c r="D95" s="117">
        <f>'меню 7 дней завтрак и обед '!D99</f>
        <v>0</v>
      </c>
      <c r="E95" s="117">
        <f>'меню 7 дней завтрак и обед '!E99</f>
        <v>0</v>
      </c>
      <c r="F95" s="117">
        <f>'меню 7 дней завтрак и обед '!F99</f>
        <v>0</v>
      </c>
      <c r="G95" s="250">
        <f>'меню 7 дней завтрак и обед '!G99</f>
        <v>0</v>
      </c>
      <c r="H95" s="250"/>
      <c r="I95" s="431">
        <f>'меню 7 дней завтрак и обед '!I99</f>
        <v>0</v>
      </c>
    </row>
    <row r="96" spans="1:9" s="570" customFormat="1" hidden="1" x14ac:dyDescent="0.25">
      <c r="A96" s="1504"/>
      <c r="B96" s="1284">
        <f>'меню 7 дней завтрак и обед '!B100</f>
        <v>0</v>
      </c>
      <c r="C96" s="704">
        <f>'меню 7 дней завтрак и обед '!C100</f>
        <v>0</v>
      </c>
      <c r="D96" s="117">
        <f>'меню 7 дней завтрак и обед '!D100</f>
        <v>0</v>
      </c>
      <c r="E96" s="117">
        <f>'меню 7 дней завтрак и обед '!E100</f>
        <v>0</v>
      </c>
      <c r="F96" s="117">
        <f>'меню 7 дней завтрак и обед '!F100</f>
        <v>0</v>
      </c>
      <c r="G96" s="250">
        <f>'меню 7 дней завтрак и обед '!G100</f>
        <v>0</v>
      </c>
      <c r="H96" s="250"/>
      <c r="I96" s="431">
        <f>'меню 7 дней завтрак и обед '!I100</f>
        <v>0</v>
      </c>
    </row>
    <row r="97" spans="1:9" s="570" customFormat="1" hidden="1" x14ac:dyDescent="0.25">
      <c r="A97" s="1505"/>
      <c r="B97" s="1284">
        <f>'меню 7 дней завтрак и обед '!B101</f>
        <v>0</v>
      </c>
      <c r="C97" s="704">
        <f>'меню 7 дней завтрак и обед '!C101</f>
        <v>0</v>
      </c>
      <c r="D97" s="117">
        <f>'меню 7 дней завтрак и обед '!D101</f>
        <v>0</v>
      </c>
      <c r="E97" s="117">
        <f>'меню 7 дней завтрак и обед '!E101</f>
        <v>0</v>
      </c>
      <c r="F97" s="117">
        <f>'меню 7 дней завтрак и обед '!F101</f>
        <v>0</v>
      </c>
      <c r="G97" s="250">
        <f>'меню 7 дней завтрак и обед '!G101</f>
        <v>0</v>
      </c>
      <c r="H97" s="250"/>
      <c r="I97" s="431">
        <f>'меню 7 дней завтрак и обед '!I101</f>
        <v>0</v>
      </c>
    </row>
    <row r="98" spans="1:9" s="570" customFormat="1" hidden="1" x14ac:dyDescent="0.25">
      <c r="A98" s="580"/>
      <c r="B98" s="1285" t="s">
        <v>801</v>
      </c>
      <c r="C98" s="812"/>
      <c r="D98" s="119">
        <f t="shared" ref="D98:G98" si="19">SUM(D93:D97)</f>
        <v>0</v>
      </c>
      <c r="E98" s="119">
        <f t="shared" si="19"/>
        <v>0</v>
      </c>
      <c r="F98" s="119">
        <f t="shared" si="19"/>
        <v>0</v>
      </c>
      <c r="G98" s="251">
        <f t="shared" si="19"/>
        <v>0</v>
      </c>
      <c r="H98" s="251"/>
      <c r="I98" s="432">
        <f t="shared" ref="I98" si="20">SUM(I93:I97)</f>
        <v>0</v>
      </c>
    </row>
    <row r="99" spans="1:9" x14ac:dyDescent="0.25">
      <c r="A99" s="581"/>
      <c r="B99" s="1286" t="s">
        <v>1411</v>
      </c>
      <c r="C99" s="813"/>
      <c r="D99" s="810">
        <f t="shared" ref="D99:G99" si="21">D82+D92+D98</f>
        <v>35.82</v>
      </c>
      <c r="E99" s="810">
        <f t="shared" si="21"/>
        <v>42.02</v>
      </c>
      <c r="F99" s="810">
        <f t="shared" si="21"/>
        <v>178.53</v>
      </c>
      <c r="G99" s="635">
        <f t="shared" si="21"/>
        <v>1261</v>
      </c>
      <c r="H99" s="635"/>
      <c r="I99" s="646">
        <f t="shared" ref="I99" si="22">I82+I92+I98</f>
        <v>165.42</v>
      </c>
    </row>
    <row r="100" spans="1:9" x14ac:dyDescent="0.25">
      <c r="A100" s="582"/>
      <c r="B100" s="1288" t="s">
        <v>1412</v>
      </c>
      <c r="C100" s="814"/>
      <c r="D100" s="811"/>
      <c r="E100" s="815"/>
      <c r="F100" s="815"/>
      <c r="G100" s="672"/>
      <c r="H100" s="672"/>
      <c r="I100" s="815"/>
    </row>
    <row r="101" spans="1:9" ht="26.4" x14ac:dyDescent="0.25">
      <c r="A101" s="1503" t="s">
        <v>109</v>
      </c>
      <c r="B101" s="1284" t="str">
        <f>'меню 7 дней завтрак и обед '!B107</f>
        <v>Каша жидкая молочная из крупы пшенной с маслом и сахаром</v>
      </c>
      <c r="C101" s="704">
        <f>'меню 7 дней завтрак и обед '!C107</f>
        <v>220</v>
      </c>
      <c r="D101" s="117">
        <f>'меню 7 дней завтрак и обед '!D107</f>
        <v>7.51</v>
      </c>
      <c r="E101" s="117">
        <f>'меню 7 дней завтрак и обед '!E107</f>
        <v>11.72</v>
      </c>
      <c r="F101" s="117">
        <f>'меню 7 дней завтрак и обед '!F107</f>
        <v>47.03</v>
      </c>
      <c r="G101" s="250">
        <f>'меню 7 дней завтрак и обед '!G107</f>
        <v>325</v>
      </c>
      <c r="H101" s="250">
        <f>'меню 7 дней завтрак и обед '!H107</f>
        <v>182</v>
      </c>
      <c r="I101" s="117">
        <f>'меню 7 дней завтрак и обед '!I107</f>
        <v>18.72</v>
      </c>
    </row>
    <row r="102" spans="1:9" s="407" customFormat="1" x14ac:dyDescent="0.25">
      <c r="A102" s="1504"/>
      <c r="B102" s="1284" t="str">
        <f>'меню 7 дней завтрак и обед '!B108</f>
        <v>Масло сливочное (порциями)</v>
      </c>
      <c r="C102" s="704">
        <f>'меню 7 дней завтрак и обед '!C108</f>
        <v>10</v>
      </c>
      <c r="D102" s="117">
        <f>'меню 7 дней завтрак и обед '!D108</f>
        <v>0.08</v>
      </c>
      <c r="E102" s="117">
        <f>'меню 7 дней завтрак и обед '!E108</f>
        <v>7.25</v>
      </c>
      <c r="F102" s="117">
        <f>'меню 7 дней завтрак и обед '!F108</f>
        <v>0.13</v>
      </c>
      <c r="G102" s="250">
        <f>'меню 7 дней завтрак и обед '!G108</f>
        <v>66</v>
      </c>
      <c r="H102" s="250">
        <f>'меню 7 дней завтрак и обед '!H108</f>
        <v>14</v>
      </c>
      <c r="I102" s="117">
        <f>'меню 7 дней завтрак и обед '!I108</f>
        <v>7.1</v>
      </c>
    </row>
    <row r="103" spans="1:9" s="463" customFormat="1" x14ac:dyDescent="0.25">
      <c r="A103" s="1504"/>
      <c r="B103" s="1284" t="str">
        <f>'меню 7 дней завтрак и обед '!B109</f>
        <v>Хлеб пшенично-ржаной нарезной</v>
      </c>
      <c r="C103" s="704">
        <f>'меню 7 дней завтрак и обед '!C109</f>
        <v>40</v>
      </c>
      <c r="D103" s="117">
        <f>'меню 7 дней завтрак и обед '!D109</f>
        <v>3</v>
      </c>
      <c r="E103" s="117">
        <f>'меню 7 дней завтрак и обед '!E109</f>
        <v>0.8</v>
      </c>
      <c r="F103" s="117">
        <f>'меню 7 дней завтрак и обед '!F109</f>
        <v>20.8</v>
      </c>
      <c r="G103" s="250">
        <f>'меню 7 дней завтрак и обед '!G109</f>
        <v>100</v>
      </c>
      <c r="H103" s="250" t="str">
        <f>'меню 7 дней завтрак и обед '!H109</f>
        <v>ПРОМ</v>
      </c>
      <c r="I103" s="117">
        <f>'меню 7 дней завтрак и обед '!I109</f>
        <v>2.6</v>
      </c>
    </row>
    <row r="104" spans="1:9" s="463" customFormat="1" x14ac:dyDescent="0.25">
      <c r="A104" s="1504"/>
      <c r="B104" s="1284" t="str">
        <f>'меню 7 дней завтрак и обед '!B110</f>
        <v>Чай с сахаром</v>
      </c>
      <c r="C104" s="704">
        <f>'меню 7 дней завтрак и обед '!C110</f>
        <v>200</v>
      </c>
      <c r="D104" s="117">
        <f>'меню 7 дней завтрак и обед '!D110</f>
        <v>7.0000000000000007E-2</v>
      </c>
      <c r="E104" s="117">
        <f>'меню 7 дней завтрак и обед '!E110</f>
        <v>0.02</v>
      </c>
      <c r="F104" s="117">
        <f>'меню 7 дней завтрак и обед '!F110</f>
        <v>13.95</v>
      </c>
      <c r="G104" s="250">
        <f>'меню 7 дней завтрак и обед '!G110</f>
        <v>56</v>
      </c>
      <c r="H104" s="250">
        <f>'меню 7 дней завтрак и обед '!H110</f>
        <v>376</v>
      </c>
      <c r="I104" s="117">
        <f>'меню 7 дней завтрак и обед '!I110</f>
        <v>1.59</v>
      </c>
    </row>
    <row r="105" spans="1:9" s="407" customFormat="1" x14ac:dyDescent="0.25">
      <c r="A105" s="1504"/>
      <c r="B105" s="1284" t="str">
        <f>'меню 7 дней завтрак и обед '!B111</f>
        <v>Вода питьевая 19 л</v>
      </c>
      <c r="C105" s="704">
        <f>'меню 7 дней завтрак и обед '!C111</f>
        <v>500</v>
      </c>
      <c r="D105" s="117">
        <f>'меню 7 дней завтрак и обед '!D111</f>
        <v>0</v>
      </c>
      <c r="E105" s="117">
        <f>'меню 7 дней завтрак и обед '!E111</f>
        <v>0</v>
      </c>
      <c r="F105" s="117">
        <f>'меню 7 дней завтрак и обед '!F111</f>
        <v>0</v>
      </c>
      <c r="G105" s="250">
        <f>'меню 7 дней завтрак и обед '!G111</f>
        <v>0</v>
      </c>
      <c r="H105" s="250" t="str">
        <f>'меню 7 дней завтрак и обед '!H111</f>
        <v>ПРОМ</v>
      </c>
      <c r="I105" s="117">
        <f>'меню 7 дней завтрак и обед '!I111</f>
        <v>2.9</v>
      </c>
    </row>
    <row r="106" spans="1:9" s="407" customFormat="1" x14ac:dyDescent="0.25">
      <c r="A106" s="1504"/>
      <c r="B106" s="1284">
        <f>'меню 7 дней завтрак и обед '!B112</f>
        <v>0</v>
      </c>
      <c r="C106" s="704">
        <f>'меню 7 дней завтрак и обед '!C112</f>
        <v>0</v>
      </c>
      <c r="D106" s="117">
        <f>'меню 7 дней завтрак и обед '!D112</f>
        <v>0</v>
      </c>
      <c r="E106" s="117">
        <f>'меню 7 дней завтрак и обед '!E112</f>
        <v>0</v>
      </c>
      <c r="F106" s="117">
        <f>'меню 7 дней завтрак и обед '!F112</f>
        <v>0</v>
      </c>
      <c r="G106" s="250">
        <f>'меню 7 дней завтрак и обед '!G112</f>
        <v>0</v>
      </c>
      <c r="H106" s="250">
        <f>'меню 7 дней завтрак и обед '!H112</f>
        <v>0</v>
      </c>
      <c r="I106" s="117">
        <f>'меню 7 дней завтрак и обед '!I112</f>
        <v>0</v>
      </c>
    </row>
    <row r="107" spans="1:9" s="926" customFormat="1" hidden="1" x14ac:dyDescent="0.25">
      <c r="A107" s="1504"/>
      <c r="B107" s="1284">
        <f>'меню 7 дней завтрак и обед '!B113</f>
        <v>0</v>
      </c>
      <c r="C107" s="704">
        <f>'меню 7 дней завтрак и обед '!C113</f>
        <v>0</v>
      </c>
      <c r="D107" s="117">
        <f>'меню 7 дней завтрак и обед '!D113</f>
        <v>0</v>
      </c>
      <c r="E107" s="117">
        <f>'меню 7 дней завтрак и обед '!E113</f>
        <v>0</v>
      </c>
      <c r="F107" s="117">
        <f>'меню 7 дней завтрак и обед '!F113</f>
        <v>0</v>
      </c>
      <c r="G107" s="250">
        <f>'меню 7 дней завтрак и обед '!G113</f>
        <v>0</v>
      </c>
      <c r="H107" s="250">
        <f>'меню 7 дней завтрак и обед '!H113</f>
        <v>0</v>
      </c>
      <c r="I107" s="117">
        <f>'меню 7 дней завтрак и обед '!I113</f>
        <v>0</v>
      </c>
    </row>
    <row r="108" spans="1:9" s="926" customFormat="1" hidden="1" x14ac:dyDescent="0.25">
      <c r="A108" s="1504"/>
      <c r="B108" s="1284">
        <f>'меню 7 дней завтрак и обед '!B114</f>
        <v>0</v>
      </c>
      <c r="C108" s="704">
        <f>'меню 7 дней завтрак и обед '!C114</f>
        <v>0</v>
      </c>
      <c r="D108" s="117">
        <f>'меню 7 дней завтрак и обед '!D114</f>
        <v>0</v>
      </c>
      <c r="E108" s="117">
        <f>'меню 7 дней завтрак и обед '!E114</f>
        <v>0</v>
      </c>
      <c r="F108" s="117">
        <f>'меню 7 дней завтрак и обед '!F114</f>
        <v>0</v>
      </c>
      <c r="G108" s="250">
        <f>'меню 7 дней завтрак и обед '!G114</f>
        <v>0</v>
      </c>
      <c r="H108" s="250">
        <f>'меню 7 дней завтрак и обед '!H114</f>
        <v>0</v>
      </c>
      <c r="I108" s="117">
        <f>'меню 7 дней завтрак и обед '!I114</f>
        <v>0</v>
      </c>
    </row>
    <row r="109" spans="1:9" s="926" customFormat="1" hidden="1" x14ac:dyDescent="0.25">
      <c r="A109" s="1505"/>
      <c r="B109" s="1284">
        <f>'меню 7 дней завтрак и обед '!B115</f>
        <v>0</v>
      </c>
      <c r="C109" s="704">
        <f>'меню 7 дней завтрак и обед '!C115</f>
        <v>0</v>
      </c>
      <c r="D109" s="117">
        <f>'меню 7 дней завтрак и обед '!D115</f>
        <v>0</v>
      </c>
      <c r="E109" s="117">
        <f>'меню 7 дней завтрак и обед '!E115</f>
        <v>0</v>
      </c>
      <c r="F109" s="117">
        <f>'меню 7 дней завтрак и обед '!F115</f>
        <v>0</v>
      </c>
      <c r="G109" s="250">
        <f>'меню 7 дней завтрак и обед '!G115</f>
        <v>0</v>
      </c>
      <c r="H109" s="250">
        <f>'меню 7 дней завтрак и обед '!H115</f>
        <v>0</v>
      </c>
      <c r="I109" s="117">
        <f>'меню 7 дней завтрак и обед '!I115</f>
        <v>0</v>
      </c>
    </row>
    <row r="110" spans="1:9" x14ac:dyDescent="0.25">
      <c r="A110" s="580"/>
      <c r="B110" s="1285" t="s">
        <v>111</v>
      </c>
      <c r="C110" s="812"/>
      <c r="D110" s="119">
        <f>SUM(D101:D109)</f>
        <v>10.66</v>
      </c>
      <c r="E110" s="119">
        <f t="shared" ref="E110" si="23">SUM(E101:E109)</f>
        <v>19.79</v>
      </c>
      <c r="F110" s="119">
        <f t="shared" ref="F110" si="24">SUM(F101:F109)</f>
        <v>81.91</v>
      </c>
      <c r="G110" s="251">
        <f t="shared" ref="G110:I110" si="25">SUM(G101:G109)</f>
        <v>547</v>
      </c>
      <c r="H110" s="251"/>
      <c r="I110" s="432">
        <f t="shared" si="25"/>
        <v>32.909999999999997</v>
      </c>
    </row>
    <row r="111" spans="1:9" ht="26.4" x14ac:dyDescent="0.25">
      <c r="A111" s="1503" t="s">
        <v>112</v>
      </c>
      <c r="B111" s="1284" t="str">
        <f>'меню 7 дней завтрак и обед '!B117</f>
        <v>Салат из белокачанной капусты с морковью</v>
      </c>
      <c r="C111" s="704">
        <f>'меню 7 дней завтрак и обед '!C117</f>
        <v>60</v>
      </c>
      <c r="D111" s="117">
        <f>'меню 7 дней завтрак и обед '!D117</f>
        <v>0.79</v>
      </c>
      <c r="E111" s="117">
        <f>'меню 7 дней завтрак и обед '!E117</f>
        <v>1.95</v>
      </c>
      <c r="F111" s="117">
        <f>'меню 7 дней завтрак и обед '!F117</f>
        <v>3.88</v>
      </c>
      <c r="G111" s="250">
        <f>'меню 7 дней завтрак и обед '!G117</f>
        <v>36</v>
      </c>
      <c r="H111" s="250">
        <f>'меню 7 дней завтрак и обед '!H117</f>
        <v>45</v>
      </c>
      <c r="I111" s="117">
        <f>'меню 7 дней завтрак и обед '!I117</f>
        <v>5.04</v>
      </c>
    </row>
    <row r="112" spans="1:9" ht="16.2" customHeight="1" x14ac:dyDescent="0.25">
      <c r="A112" s="1504"/>
      <c r="B112" s="1284" t="str">
        <f>'меню 7 дней завтрак и обед '!B118</f>
        <v>Рассольник ленинградский</v>
      </c>
      <c r="C112" s="704">
        <f>'меню 7 дней завтрак и обед '!C118</f>
        <v>250</v>
      </c>
      <c r="D112" s="117">
        <f>'меню 7 дней завтрак и обед '!D118</f>
        <v>2.02</v>
      </c>
      <c r="E112" s="117">
        <f>'меню 7 дней завтрак и обед '!E118</f>
        <v>5.09</v>
      </c>
      <c r="F112" s="117">
        <f>'меню 7 дней завтрак и обед '!F118</f>
        <v>11.98</v>
      </c>
      <c r="G112" s="250">
        <f>'меню 7 дней завтрак и обед '!G118</f>
        <v>107</v>
      </c>
      <c r="H112" s="250">
        <f>'меню 7 дней завтрак и обед '!H118</f>
        <v>96</v>
      </c>
      <c r="I112" s="117">
        <f>'меню 7 дней завтрак и обед '!I118</f>
        <v>10.199999999999999</v>
      </c>
    </row>
    <row r="113" spans="1:9" ht="26.4" x14ac:dyDescent="0.25">
      <c r="A113" s="1504"/>
      <c r="B113" s="1284" t="str">
        <f>'меню 7 дней завтрак и обед '!B119</f>
        <v>Рыба минтай (филе), тушенная в томате с овощами</v>
      </c>
      <c r="C113" s="704">
        <f>'меню 7 дней завтрак и обед '!C119</f>
        <v>140</v>
      </c>
      <c r="D113" s="117">
        <f>'меню 7 дней завтрак и обед '!D119</f>
        <v>19.399999999999999</v>
      </c>
      <c r="E113" s="117">
        <f>'меню 7 дней завтрак и обед '!E119</f>
        <v>10</v>
      </c>
      <c r="F113" s="117">
        <f>'меню 7 дней завтрак и обед '!F119</f>
        <v>9</v>
      </c>
      <c r="G113" s="250">
        <f>'меню 7 дней завтрак и обед '!G119</f>
        <v>204</v>
      </c>
      <c r="H113" s="250" t="str">
        <f>'меню 7 дней завтрак и обед '!H119</f>
        <v>54-11р-2020</v>
      </c>
      <c r="I113" s="117">
        <f>'меню 7 дней завтрак и обед '!I119</f>
        <v>62.5</v>
      </c>
    </row>
    <row r="114" spans="1:9" x14ac:dyDescent="0.25">
      <c r="A114" s="1504"/>
      <c r="B114" s="1284" t="str">
        <f>'меню 7 дней завтрак и обед '!B120</f>
        <v>Пюре картофельное</v>
      </c>
      <c r="C114" s="704">
        <f>'меню 7 дней завтрак и обед '!C120</f>
        <v>150</v>
      </c>
      <c r="D114" s="117">
        <f>'меню 7 дней завтрак и обед '!D120</f>
        <v>3.06</v>
      </c>
      <c r="E114" s="117">
        <f>'меню 7 дней завтрак и обед '!E120</f>
        <v>4.32</v>
      </c>
      <c r="F114" s="117">
        <f>'меню 7 дней завтрак и обед '!F120</f>
        <v>23.01</v>
      </c>
      <c r="G114" s="250">
        <f>'меню 7 дней завтрак и обед '!G120</f>
        <v>142</v>
      </c>
      <c r="H114" s="250">
        <f>'меню 7 дней завтрак и обед '!H120</f>
        <v>312</v>
      </c>
      <c r="I114" s="117">
        <f>'меню 7 дней завтрак и обед '!I120</f>
        <v>14.17</v>
      </c>
    </row>
    <row r="115" spans="1:9" s="463" customFormat="1" x14ac:dyDescent="0.25">
      <c r="A115" s="1504"/>
      <c r="B115" s="1284" t="str">
        <f>'меню 7 дней завтрак и обед '!B121</f>
        <v>Компот из смеси сухофруктов</v>
      </c>
      <c r="C115" s="704">
        <f>'меню 7 дней завтрак и обед '!C121</f>
        <v>200</v>
      </c>
      <c r="D115" s="117">
        <f>'меню 7 дней завтрак и обед '!D121</f>
        <v>0.66</v>
      </c>
      <c r="E115" s="117">
        <f>'меню 7 дней завтрак и обед '!E121</f>
        <v>0.09</v>
      </c>
      <c r="F115" s="117">
        <f>'меню 7 дней завтрак и обед '!F121</f>
        <v>32.01</v>
      </c>
      <c r="G115" s="250">
        <f>'меню 7 дней завтрак и обед '!G121</f>
        <v>133</v>
      </c>
      <c r="H115" s="250">
        <f>'меню 7 дней завтрак и обед '!H121</f>
        <v>349</v>
      </c>
      <c r="I115" s="117">
        <f>'меню 7 дней завтрак и обед '!I121</f>
        <v>4.18</v>
      </c>
    </row>
    <row r="116" spans="1:9" s="463" customFormat="1" x14ac:dyDescent="0.25">
      <c r="A116" s="1504"/>
      <c r="B116" s="1284" t="str">
        <f>'меню 7 дней завтрак и обед '!B122</f>
        <v>Хлеб пшеничный нарезной</v>
      </c>
      <c r="C116" s="704">
        <f>'меню 7 дней завтрак и обед '!C122</f>
        <v>20</v>
      </c>
      <c r="D116" s="117">
        <f>'меню 7 дней завтрак и обед '!D122</f>
        <v>2.14</v>
      </c>
      <c r="E116" s="117">
        <f>'меню 7 дней завтрак и обед '!E122</f>
        <v>0.9</v>
      </c>
      <c r="F116" s="117">
        <f>'меню 7 дней завтрак и обед '!F122</f>
        <v>8.6999999999999993</v>
      </c>
      <c r="G116" s="250">
        <f>'меню 7 дней завтрак и обед '!G122</f>
        <v>55</v>
      </c>
      <c r="H116" s="250" t="str">
        <f>'меню 7 дней завтрак и обед '!H122</f>
        <v>ПРОМ</v>
      </c>
      <c r="I116" s="117">
        <f>'меню 7 дней завтрак и обед '!I122</f>
        <v>1.3</v>
      </c>
    </row>
    <row r="117" spans="1:9" s="463" customFormat="1" x14ac:dyDescent="0.25">
      <c r="A117" s="1504"/>
      <c r="B117" s="1284" t="str">
        <f>'меню 7 дней завтрак и обед '!B123</f>
        <v>Хлеб пшенично-ржаной нарезной</v>
      </c>
      <c r="C117" s="704">
        <f>'меню 7 дней завтрак и обед '!C123</f>
        <v>30</v>
      </c>
      <c r="D117" s="117">
        <f>'меню 7 дней завтрак и обед '!D123</f>
        <v>2.25</v>
      </c>
      <c r="E117" s="117">
        <f>'меню 7 дней завтрак и обед '!E123</f>
        <v>0.6</v>
      </c>
      <c r="F117" s="117">
        <f>'меню 7 дней завтрак и обед '!F123</f>
        <v>15.6</v>
      </c>
      <c r="G117" s="250">
        <f>'меню 7 дней завтрак и обед '!G123</f>
        <v>75</v>
      </c>
      <c r="H117" s="250" t="str">
        <f>'меню 7 дней завтрак и обед '!H123</f>
        <v>ПРОМ</v>
      </c>
      <c r="I117" s="117">
        <f>'меню 7 дней завтрак и обед '!I123</f>
        <v>1.95</v>
      </c>
    </row>
    <row r="118" spans="1:9" s="699" customFormat="1" x14ac:dyDescent="0.25">
      <c r="A118" s="1504"/>
      <c r="B118" s="1284" t="str">
        <f>'меню 7 дней завтрак и обед '!B124</f>
        <v>Мороженое пломбир Кореновское</v>
      </c>
      <c r="C118" s="704">
        <f>'меню 7 дней завтрак и обед '!C124</f>
        <v>100</v>
      </c>
      <c r="D118" s="117">
        <f>'меню 7 дней завтрак и обед '!D124</f>
        <v>3.7</v>
      </c>
      <c r="E118" s="117">
        <f>'меню 7 дней завтрак и обед '!E124</f>
        <v>15</v>
      </c>
      <c r="F118" s="117">
        <f>'меню 7 дней завтрак и обед '!F124</f>
        <v>20.399999999999999</v>
      </c>
      <c r="G118" s="250">
        <f>'меню 7 дней завтрак и обед '!G124</f>
        <v>232</v>
      </c>
      <c r="H118" s="250" t="str">
        <f>'меню 7 дней завтрак и обед '!H124</f>
        <v>ПРОМ</v>
      </c>
      <c r="I118" s="117">
        <f>'меню 7 дней завтрак и обед '!I124</f>
        <v>75</v>
      </c>
    </row>
    <row r="119" spans="1:9" s="699" customFormat="1" x14ac:dyDescent="0.25">
      <c r="A119" s="1505"/>
      <c r="B119" s="1284">
        <f>'меню 7 дней завтрак и обед '!B125</f>
        <v>0</v>
      </c>
      <c r="C119" s="704">
        <f>'меню 7 дней завтрак и обед '!C125</f>
        <v>0</v>
      </c>
      <c r="D119" s="117">
        <f>'меню 7 дней завтрак и обед '!D125</f>
        <v>0</v>
      </c>
      <c r="E119" s="117">
        <f>'меню 7 дней завтрак и обед '!E125</f>
        <v>0</v>
      </c>
      <c r="F119" s="117">
        <f>'меню 7 дней завтрак и обед '!F125</f>
        <v>0</v>
      </c>
      <c r="G119" s="250">
        <f>'меню 7 дней завтрак и обед '!G125</f>
        <v>0</v>
      </c>
      <c r="H119" s="250">
        <f>'меню 7 дней завтрак и обед '!H125</f>
        <v>0</v>
      </c>
      <c r="I119" s="117">
        <f>'меню 7 дней завтрак и обед '!I125</f>
        <v>0</v>
      </c>
    </row>
    <row r="120" spans="1:9" x14ac:dyDescent="0.25">
      <c r="A120" s="580"/>
      <c r="B120" s="1285" t="s">
        <v>113</v>
      </c>
      <c r="C120" s="812"/>
      <c r="D120" s="119">
        <f>SUM(D111:D119)</f>
        <v>34.020000000000003</v>
      </c>
      <c r="E120" s="119">
        <f>SUM(E111:E119)</f>
        <v>37.950000000000003</v>
      </c>
      <c r="F120" s="119">
        <f>SUM(F111:F119)</f>
        <v>124.58</v>
      </c>
      <c r="G120" s="251">
        <f>SUM(G111:G119)</f>
        <v>984</v>
      </c>
      <c r="H120" s="251"/>
      <c r="I120" s="432">
        <f t="shared" ref="I120" si="26">SUM(I111:I119)</f>
        <v>174.34</v>
      </c>
    </row>
    <row r="121" spans="1:9" s="570" customFormat="1" hidden="1" x14ac:dyDescent="0.25">
      <c r="A121" s="1503" t="s">
        <v>800</v>
      </c>
      <c r="B121" s="1284">
        <f>'меню 7 дней завтрак и обед '!B127</f>
        <v>0</v>
      </c>
      <c r="C121" s="704">
        <f>'меню 7 дней завтрак и обед '!C127</f>
        <v>0</v>
      </c>
      <c r="D121" s="117">
        <f>'меню 7 дней завтрак и обед '!D127</f>
        <v>0</v>
      </c>
      <c r="E121" s="117">
        <f>'меню 7 дней завтрак и обед '!E127</f>
        <v>0</v>
      </c>
      <c r="F121" s="117">
        <f>'меню 7 дней завтрак и обед '!F127</f>
        <v>0</v>
      </c>
      <c r="G121" s="250">
        <f>'меню 7 дней завтрак и обед '!G127</f>
        <v>0</v>
      </c>
      <c r="H121" s="250"/>
      <c r="I121" s="431">
        <f>'меню 7 дней завтрак и обед '!I127</f>
        <v>0</v>
      </c>
    </row>
    <row r="122" spans="1:9" s="570" customFormat="1" hidden="1" x14ac:dyDescent="0.25">
      <c r="A122" s="1504"/>
      <c r="B122" s="1284">
        <f>'меню 7 дней завтрак и обед '!B128</f>
        <v>0</v>
      </c>
      <c r="C122" s="704">
        <f>'меню 7 дней завтрак и обед '!C128</f>
        <v>0</v>
      </c>
      <c r="D122" s="117">
        <f>'меню 7 дней завтрак и обед '!D128</f>
        <v>0</v>
      </c>
      <c r="E122" s="117">
        <f>'меню 7 дней завтрак и обед '!E128</f>
        <v>0</v>
      </c>
      <c r="F122" s="117">
        <f>'меню 7 дней завтрак и обед '!F128</f>
        <v>0</v>
      </c>
      <c r="G122" s="250">
        <f>'меню 7 дней завтрак и обед '!G128</f>
        <v>0</v>
      </c>
      <c r="H122" s="250"/>
      <c r="I122" s="431">
        <f>'меню 7 дней завтрак и обед '!I128</f>
        <v>0</v>
      </c>
    </row>
    <row r="123" spans="1:9" s="570" customFormat="1" hidden="1" x14ac:dyDescent="0.25">
      <c r="A123" s="1504"/>
      <c r="B123" s="1284">
        <f>'меню 7 дней завтрак и обед '!B129</f>
        <v>0</v>
      </c>
      <c r="C123" s="704">
        <f>'меню 7 дней завтрак и обед '!C129</f>
        <v>0</v>
      </c>
      <c r="D123" s="117">
        <f>'меню 7 дней завтрак и обед '!D129</f>
        <v>0</v>
      </c>
      <c r="E123" s="117">
        <f>'меню 7 дней завтрак и обед '!E129</f>
        <v>0</v>
      </c>
      <c r="F123" s="117">
        <f>'меню 7 дней завтрак и обед '!F129</f>
        <v>0</v>
      </c>
      <c r="G123" s="250">
        <f>'меню 7 дней завтрак и обед '!G129</f>
        <v>0</v>
      </c>
      <c r="H123" s="250"/>
      <c r="I123" s="431">
        <f>'меню 7 дней завтрак и обед '!I129</f>
        <v>0</v>
      </c>
    </row>
    <row r="124" spans="1:9" s="570" customFormat="1" hidden="1" x14ac:dyDescent="0.25">
      <c r="A124" s="1504"/>
      <c r="B124" s="1284">
        <f>'меню 7 дней завтрак и обед '!B130</f>
        <v>0</v>
      </c>
      <c r="C124" s="704">
        <f>'меню 7 дней завтрак и обед '!C130</f>
        <v>0</v>
      </c>
      <c r="D124" s="117">
        <f>'меню 7 дней завтрак и обед '!D130</f>
        <v>0</v>
      </c>
      <c r="E124" s="117">
        <f>'меню 7 дней завтрак и обед '!E130</f>
        <v>0</v>
      </c>
      <c r="F124" s="117">
        <f>'меню 7 дней завтрак и обед '!F130</f>
        <v>0</v>
      </c>
      <c r="G124" s="250">
        <f>'меню 7 дней завтрак и обед '!G130</f>
        <v>0</v>
      </c>
      <c r="H124" s="250"/>
      <c r="I124" s="431">
        <f>'меню 7 дней завтрак и обед '!I130</f>
        <v>0</v>
      </c>
    </row>
    <row r="125" spans="1:9" s="570" customFormat="1" hidden="1" x14ac:dyDescent="0.25">
      <c r="A125" s="1505"/>
      <c r="B125" s="1284">
        <f>'меню 7 дней завтрак и обед '!B131</f>
        <v>0</v>
      </c>
      <c r="C125" s="704">
        <f>'меню 7 дней завтрак и обед '!C131</f>
        <v>0</v>
      </c>
      <c r="D125" s="117">
        <f>'меню 7 дней завтрак и обед '!D131</f>
        <v>0</v>
      </c>
      <c r="E125" s="117">
        <f>'меню 7 дней завтрак и обед '!E131</f>
        <v>0</v>
      </c>
      <c r="F125" s="117">
        <f>'меню 7 дней завтрак и обед '!F131</f>
        <v>0</v>
      </c>
      <c r="G125" s="250">
        <f>'меню 7 дней завтрак и обед '!G131</f>
        <v>0</v>
      </c>
      <c r="H125" s="250"/>
      <c r="I125" s="431">
        <f>'меню 7 дней завтрак и обед '!I131</f>
        <v>0</v>
      </c>
    </row>
    <row r="126" spans="1:9" s="570" customFormat="1" hidden="1" x14ac:dyDescent="0.25">
      <c r="A126" s="580"/>
      <c r="B126" s="1285" t="s">
        <v>801</v>
      </c>
      <c r="C126" s="812"/>
      <c r="D126" s="119">
        <f t="shared" ref="D126:G126" si="27">SUM(D121:D125)</f>
        <v>0</v>
      </c>
      <c r="E126" s="119">
        <f t="shared" si="27"/>
        <v>0</v>
      </c>
      <c r="F126" s="119">
        <f t="shared" si="27"/>
        <v>0</v>
      </c>
      <c r="G126" s="251">
        <f t="shared" si="27"/>
        <v>0</v>
      </c>
      <c r="H126" s="251"/>
      <c r="I126" s="432">
        <f t="shared" ref="I126" si="28">SUM(I121:I125)</f>
        <v>0</v>
      </c>
    </row>
    <row r="127" spans="1:9" x14ac:dyDescent="0.25">
      <c r="A127" s="581"/>
      <c r="B127" s="1286" t="s">
        <v>1413</v>
      </c>
      <c r="C127" s="813"/>
      <c r="D127" s="810">
        <f t="shared" ref="D127:G127" si="29">D110+D120+D126</f>
        <v>44.68</v>
      </c>
      <c r="E127" s="810">
        <f t="shared" si="29"/>
        <v>57.74</v>
      </c>
      <c r="F127" s="810">
        <f t="shared" si="29"/>
        <v>206.49</v>
      </c>
      <c r="G127" s="635">
        <f t="shared" si="29"/>
        <v>1531</v>
      </c>
      <c r="H127" s="635"/>
      <c r="I127" s="646">
        <f t="shared" ref="I127" si="30">I110+I120+I126</f>
        <v>207.25</v>
      </c>
    </row>
    <row r="128" spans="1:9" x14ac:dyDescent="0.25">
      <c r="A128" s="582"/>
      <c r="B128" s="1288" t="s">
        <v>1414</v>
      </c>
      <c r="C128" s="814"/>
      <c r="D128" s="811"/>
      <c r="E128" s="811"/>
      <c r="F128" s="811"/>
      <c r="G128" s="634"/>
      <c r="H128" s="634"/>
      <c r="I128" s="811"/>
    </row>
    <row r="129" spans="1:9" ht="14.4" customHeight="1" x14ac:dyDescent="0.25">
      <c r="A129" s="1503" t="s">
        <v>109</v>
      </c>
      <c r="B129" s="1284" t="str">
        <f>'меню 7 дней завтрак и обед '!B137</f>
        <v>Каша молочная "Дружба"</v>
      </c>
      <c r="C129" s="704">
        <f>'меню 7 дней завтрак и обед '!C137</f>
        <v>250</v>
      </c>
      <c r="D129" s="117">
        <f>'меню 7 дней завтрак и обед '!D137</f>
        <v>6.38</v>
      </c>
      <c r="E129" s="117">
        <f>'меню 7 дней завтрак и обед '!E137</f>
        <v>13.63</v>
      </c>
      <c r="F129" s="117">
        <f>'меню 7 дней завтрак и обед '!F137</f>
        <v>31.25</v>
      </c>
      <c r="G129" s="250">
        <f>'меню 7 дней завтрак и обед '!G137</f>
        <v>271</v>
      </c>
      <c r="H129" s="1327" t="str">
        <f>'меню 7 дней завтрак и обед '!H137</f>
        <v>54-16к-2020</v>
      </c>
      <c r="I129" s="1383">
        <f>'меню 7 дней завтрак и обед '!I137</f>
        <v>17.52</v>
      </c>
    </row>
    <row r="130" spans="1:9" s="407" customFormat="1" x14ac:dyDescent="0.25">
      <c r="A130" s="1504"/>
      <c r="B130" s="1284" t="str">
        <f>'меню 7 дней завтрак и обед '!B138</f>
        <v>Масло сливочное (порциями)</v>
      </c>
      <c r="C130" s="704">
        <f>'меню 7 дней завтрак и обед '!C138</f>
        <v>10</v>
      </c>
      <c r="D130" s="117">
        <f>'меню 7 дней завтрак и обед '!D138</f>
        <v>0.08</v>
      </c>
      <c r="E130" s="117">
        <f>'меню 7 дней завтрак и обед '!E138</f>
        <v>7.25</v>
      </c>
      <c r="F130" s="117">
        <f>'меню 7 дней завтрак и обед '!F138</f>
        <v>0.13</v>
      </c>
      <c r="G130" s="250">
        <f>'меню 7 дней завтрак и обед '!G138</f>
        <v>66</v>
      </c>
      <c r="H130" s="250">
        <f>'меню 7 дней завтрак и обед '!H138</f>
        <v>14</v>
      </c>
      <c r="I130" s="117">
        <f>'меню 7 дней завтрак и обед '!I138</f>
        <v>7.1</v>
      </c>
    </row>
    <row r="131" spans="1:9" x14ac:dyDescent="0.25">
      <c r="A131" s="1504"/>
      <c r="B131" s="1284" t="str">
        <f>'меню 7 дней завтрак и обед '!B139</f>
        <v xml:space="preserve">Сыр российский (порциями) </v>
      </c>
      <c r="C131" s="704">
        <f>'меню 7 дней завтрак и обед '!C139</f>
        <v>15</v>
      </c>
      <c r="D131" s="117">
        <f>'меню 7 дней завтрак и обед '!D139</f>
        <v>3.48</v>
      </c>
      <c r="E131" s="117">
        <f>'меню 7 дней завтрак и обед '!E139</f>
        <v>4.43</v>
      </c>
      <c r="F131" s="117">
        <f>'меню 7 дней завтрак и обед '!F139</f>
        <v>1</v>
      </c>
      <c r="G131" s="250">
        <f>'меню 7 дней завтрак и обед '!G139</f>
        <v>54</v>
      </c>
      <c r="H131" s="250">
        <f>'меню 7 дней завтрак и обед '!H139</f>
        <v>15</v>
      </c>
      <c r="I131" s="117">
        <f>'меню 7 дней завтрак и обед '!I139</f>
        <v>11.5</v>
      </c>
    </row>
    <row r="132" spans="1:9" s="463" customFormat="1" x14ac:dyDescent="0.25">
      <c r="A132" s="1504"/>
      <c r="B132" s="1284" t="str">
        <f>'меню 7 дней завтрак и обед '!B140</f>
        <v>Хлеб пшенично-ржаной нарезной</v>
      </c>
      <c r="C132" s="704">
        <f>'меню 7 дней завтрак и обед '!C140</f>
        <v>40</v>
      </c>
      <c r="D132" s="117">
        <f>'меню 7 дней завтрак и обед '!D140</f>
        <v>3</v>
      </c>
      <c r="E132" s="117">
        <f>'меню 7 дней завтрак и обед '!E140</f>
        <v>0.8</v>
      </c>
      <c r="F132" s="117">
        <f>'меню 7 дней завтрак и обед '!F140</f>
        <v>20.8</v>
      </c>
      <c r="G132" s="250">
        <f>'меню 7 дней завтрак и обед '!G140</f>
        <v>100</v>
      </c>
      <c r="H132" s="250" t="str">
        <f>'меню 7 дней завтрак и обед '!H140</f>
        <v>ПРОМ</v>
      </c>
      <c r="I132" s="117">
        <f>'меню 7 дней завтрак и обед '!I140</f>
        <v>2.6</v>
      </c>
    </row>
    <row r="133" spans="1:9" s="463" customFormat="1" x14ac:dyDescent="0.25">
      <c r="A133" s="1504"/>
      <c r="B133" s="1284" t="str">
        <f>'меню 7 дней завтрак и обед '!B141</f>
        <v>Чай с сахаром</v>
      </c>
      <c r="C133" s="704">
        <f>'меню 7 дней завтрак и обед '!C141</f>
        <v>200</v>
      </c>
      <c r="D133" s="117">
        <f>'меню 7 дней завтрак и обед '!D141</f>
        <v>7.0000000000000007E-2</v>
      </c>
      <c r="E133" s="117">
        <f>'меню 7 дней завтрак и обед '!E141</f>
        <v>0.02</v>
      </c>
      <c r="F133" s="117">
        <f>'меню 7 дней завтрак и обед '!F141</f>
        <v>13.95</v>
      </c>
      <c r="G133" s="250">
        <f>'меню 7 дней завтрак и обед '!G141</f>
        <v>56</v>
      </c>
      <c r="H133" s="250">
        <f>'меню 7 дней завтрак и обед '!H141</f>
        <v>376</v>
      </c>
      <c r="I133" s="117">
        <f>'меню 7 дней завтрак и обед '!I141</f>
        <v>1.59</v>
      </c>
    </row>
    <row r="134" spans="1:9" hidden="1" x14ac:dyDescent="0.25">
      <c r="A134" s="1504"/>
      <c r="B134" s="1284" t="str">
        <f>'меню 7 дней завтрак и обед '!B142</f>
        <v>Вода питьевая 19 л</v>
      </c>
      <c r="C134" s="704">
        <f>'меню 7 дней завтрак и обед '!C142</f>
        <v>500</v>
      </c>
      <c r="D134" s="117">
        <f>'меню 7 дней завтрак и обед '!D142</f>
        <v>0</v>
      </c>
      <c r="E134" s="117">
        <f>'меню 7 дней завтрак и обед '!E142</f>
        <v>0</v>
      </c>
      <c r="F134" s="117">
        <f>'меню 7 дней завтрак и обед '!F142</f>
        <v>0</v>
      </c>
      <c r="G134" s="250">
        <f>'меню 7 дней завтрак и обед '!G142</f>
        <v>0</v>
      </c>
      <c r="H134" s="250" t="str">
        <f>'меню 7 дней завтрак и обед '!H142</f>
        <v>ПРОМ</v>
      </c>
      <c r="I134" s="117">
        <f>'меню 7 дней завтрак и обед '!I142</f>
        <v>2.9</v>
      </c>
    </row>
    <row r="135" spans="1:9" s="926" customFormat="1" ht="13.95" hidden="1" customHeight="1" x14ac:dyDescent="0.25">
      <c r="A135" s="1504"/>
      <c r="B135" s="1284">
        <f>'меню 7 дней завтрак и обед '!B143</f>
        <v>0</v>
      </c>
      <c r="C135" s="704">
        <f>'меню 7 дней завтрак и обед '!C143</f>
        <v>0</v>
      </c>
      <c r="D135" s="117">
        <f>'меню 7 дней завтрак и обед '!D143</f>
        <v>0</v>
      </c>
      <c r="E135" s="117">
        <f>'меню 7 дней завтрак и обед '!E143</f>
        <v>0</v>
      </c>
      <c r="F135" s="117">
        <f>'меню 7 дней завтрак и обед '!F143</f>
        <v>0</v>
      </c>
      <c r="G135" s="250">
        <f>'меню 7 дней завтрак и обед '!G143</f>
        <v>0</v>
      </c>
      <c r="H135" s="250">
        <f>'меню 7 дней завтрак и обед '!H143</f>
        <v>0</v>
      </c>
      <c r="I135" s="117">
        <f>'меню 7 дней завтрак и обед '!I143</f>
        <v>0</v>
      </c>
    </row>
    <row r="136" spans="1:9" s="926" customFormat="1" ht="13.95" hidden="1" customHeight="1" x14ac:dyDescent="0.25">
      <c r="A136" s="1504"/>
      <c r="B136" s="1284">
        <f>'меню 7 дней завтрак и обед '!B144</f>
        <v>0</v>
      </c>
      <c r="C136" s="704">
        <f>'меню 7 дней завтрак и обед '!C144</f>
        <v>0</v>
      </c>
      <c r="D136" s="117">
        <f>'меню 7 дней завтрак и обед '!D144</f>
        <v>0</v>
      </c>
      <c r="E136" s="117">
        <f>'меню 7 дней завтрак и обед '!E144</f>
        <v>0</v>
      </c>
      <c r="F136" s="117">
        <f>'меню 7 дней завтрак и обед '!F144</f>
        <v>0</v>
      </c>
      <c r="G136" s="250">
        <f>'меню 7 дней завтрак и обед '!G144</f>
        <v>0</v>
      </c>
      <c r="H136" s="250">
        <f>'меню 7 дней завтрак и обед '!H144</f>
        <v>0</v>
      </c>
      <c r="I136" s="117">
        <f>'меню 7 дней завтрак и обед '!I144</f>
        <v>0</v>
      </c>
    </row>
    <row r="137" spans="1:9" s="926" customFormat="1" hidden="1" x14ac:dyDescent="0.25">
      <c r="A137" s="1505"/>
      <c r="B137" s="1284">
        <f>'меню 7 дней завтрак и обед '!B145</f>
        <v>0</v>
      </c>
      <c r="C137" s="704">
        <f>'меню 7 дней завтрак и обед '!C145</f>
        <v>0</v>
      </c>
      <c r="D137" s="117">
        <f>'меню 7 дней завтрак и обед '!D145</f>
        <v>0</v>
      </c>
      <c r="E137" s="117">
        <f>'меню 7 дней завтрак и обед '!E145</f>
        <v>0</v>
      </c>
      <c r="F137" s="117">
        <f>'меню 7 дней завтрак и обед '!F145</f>
        <v>0</v>
      </c>
      <c r="G137" s="250">
        <f>'меню 7 дней завтрак и обед '!G145</f>
        <v>0</v>
      </c>
      <c r="H137" s="250">
        <f>'меню 7 дней завтрак и обед '!H145</f>
        <v>0</v>
      </c>
      <c r="I137" s="117">
        <f>'меню 7 дней завтрак и обед '!I145</f>
        <v>0</v>
      </c>
    </row>
    <row r="138" spans="1:9" x14ac:dyDescent="0.25">
      <c r="A138" s="580"/>
      <c r="B138" s="1285" t="s">
        <v>111</v>
      </c>
      <c r="C138" s="812"/>
      <c r="D138" s="119">
        <f>SUM(D129:D137)</f>
        <v>13.01</v>
      </c>
      <c r="E138" s="119">
        <f t="shared" ref="E138" si="31">SUM(E129:E137)</f>
        <v>26.13</v>
      </c>
      <c r="F138" s="119">
        <f t="shared" ref="F138" si="32">SUM(F129:F137)</f>
        <v>67.13</v>
      </c>
      <c r="G138" s="251">
        <f t="shared" ref="G138:I138" si="33">SUM(G129:G137)</f>
        <v>547</v>
      </c>
      <c r="H138" s="251"/>
      <c r="I138" s="432">
        <f t="shared" si="33"/>
        <v>43.21</v>
      </c>
    </row>
    <row r="139" spans="1:9" x14ac:dyDescent="0.25">
      <c r="A139" s="1503" t="s">
        <v>112</v>
      </c>
      <c r="B139" s="1284" t="str">
        <f>'меню 7 дней завтрак и обед '!B147</f>
        <v>Салат из свежих огурцов</v>
      </c>
      <c r="C139" s="704">
        <f>'меню 7 дней завтрак и обед '!C147</f>
        <v>60</v>
      </c>
      <c r="D139" s="117">
        <f>'меню 7 дней завтрак и обед '!D147</f>
        <v>0.45</v>
      </c>
      <c r="E139" s="117">
        <f>'меню 7 дней завтрак и обед '!E147</f>
        <v>3.61</v>
      </c>
      <c r="F139" s="117">
        <f>'меню 7 дней завтрак и обед '!F147</f>
        <v>1.41</v>
      </c>
      <c r="G139" s="250">
        <f>'меню 7 дней завтрак и обед '!G147</f>
        <v>40</v>
      </c>
      <c r="H139" s="250">
        <f>'меню 7 дней завтрак и обед '!H147</f>
        <v>20</v>
      </c>
      <c r="I139" s="117">
        <f>'меню 7 дней завтрак и обед '!I147</f>
        <v>4.76</v>
      </c>
    </row>
    <row r="140" spans="1:9" x14ac:dyDescent="0.25">
      <c r="A140" s="1504"/>
      <c r="B140" s="1284" t="str">
        <f>'меню 7 дней завтрак и обед '!B148</f>
        <v>Свекольник со сметаной и яйцом</v>
      </c>
      <c r="C140" s="704">
        <f>'меню 7 дней завтрак и обед '!C148</f>
        <v>250</v>
      </c>
      <c r="D140" s="117">
        <f>'меню 7 дней завтрак и обед '!D148</f>
        <v>2.27</v>
      </c>
      <c r="E140" s="117">
        <f>'меню 7 дней завтрак и обед '!E148</f>
        <v>5.38</v>
      </c>
      <c r="F140" s="117">
        <f>'меню 7 дней завтрак и обед '!F148</f>
        <v>10.98</v>
      </c>
      <c r="G140" s="250">
        <f>'меню 7 дней завтрак и обед '!G148</f>
        <v>99</v>
      </c>
      <c r="H140" s="250">
        <f>'меню 7 дней завтрак и обед '!H148</f>
        <v>0</v>
      </c>
      <c r="I140" s="117">
        <f>'меню 7 дней завтрак и обед '!I148</f>
        <v>10.02</v>
      </c>
    </row>
    <row r="141" spans="1:9" ht="15" customHeight="1" x14ac:dyDescent="0.25">
      <c r="A141" s="1504"/>
      <c r="B141" s="1284" t="str">
        <f>'меню 7 дней завтрак и обед '!B149</f>
        <v>Плов из куриных окорочков</v>
      </c>
      <c r="C141" s="704">
        <f>'меню 7 дней завтрак и обед '!C149</f>
        <v>150</v>
      </c>
      <c r="D141" s="117">
        <f>'меню 7 дней завтрак и обед '!D149</f>
        <v>12.67</v>
      </c>
      <c r="E141" s="117">
        <f>'меню 7 дней завтрак и обед '!E149</f>
        <v>7.4</v>
      </c>
      <c r="F141" s="117">
        <f>'меню 7 дней завтрак и обед '!F149</f>
        <v>27.34</v>
      </c>
      <c r="G141" s="250">
        <f>'меню 7 дней завтрак и обед '!G149</f>
        <v>227</v>
      </c>
      <c r="H141" s="250">
        <f>'меню 7 дней завтрак и обед '!H149</f>
        <v>291</v>
      </c>
      <c r="I141" s="117">
        <f>'меню 7 дней завтрак и обед '!I149</f>
        <v>21.06</v>
      </c>
    </row>
    <row r="142" spans="1:9" x14ac:dyDescent="0.25">
      <c r="A142" s="1504"/>
      <c r="B142" s="1284" t="str">
        <f>'меню 7 дней завтрак и обед '!B150</f>
        <v>Компот из смеси сухофруктов</v>
      </c>
      <c r="C142" s="704">
        <f>'меню 7 дней завтрак и обед '!C150</f>
        <v>200</v>
      </c>
      <c r="D142" s="117">
        <f>'меню 7 дней завтрак и обед '!D150</f>
        <v>0.66</v>
      </c>
      <c r="E142" s="117">
        <f>'меню 7 дней завтрак и обед '!E150</f>
        <v>0.09</v>
      </c>
      <c r="F142" s="117">
        <f>'меню 7 дней завтрак и обед '!F150</f>
        <v>32.01</v>
      </c>
      <c r="G142" s="250">
        <f>'меню 7 дней завтрак и обед '!G150</f>
        <v>133</v>
      </c>
      <c r="H142" s="250">
        <f>'меню 7 дней завтрак и обед '!H150</f>
        <v>349</v>
      </c>
      <c r="I142" s="117">
        <f>'меню 7 дней завтрак и обед '!I150</f>
        <v>4.18</v>
      </c>
    </row>
    <row r="143" spans="1:9" s="463" customFormat="1" x14ac:dyDescent="0.25">
      <c r="A143" s="1504"/>
      <c r="B143" s="1284" t="str">
        <f>'меню 7 дней завтрак и обед '!B151</f>
        <v>Хлеб пшеничный нарезной</v>
      </c>
      <c r="C143" s="704">
        <f>'меню 7 дней завтрак и обед '!C151</f>
        <v>20</v>
      </c>
      <c r="D143" s="117">
        <f>'меню 7 дней завтрак и обед '!D151</f>
        <v>2.14</v>
      </c>
      <c r="E143" s="117">
        <f>'меню 7 дней завтрак и обед '!E151</f>
        <v>0.9</v>
      </c>
      <c r="F143" s="117">
        <f>'меню 7 дней завтрак и обед '!F151</f>
        <v>8.6999999999999993</v>
      </c>
      <c r="G143" s="250">
        <f>'меню 7 дней завтрак и обед '!G151</f>
        <v>55</v>
      </c>
      <c r="H143" s="250" t="str">
        <f>'меню 7 дней завтрак и обед '!H151</f>
        <v>ПРОМ</v>
      </c>
      <c r="I143" s="117">
        <f>'меню 7 дней завтрак и обед '!I151</f>
        <v>1.3</v>
      </c>
    </row>
    <row r="144" spans="1:9" s="463" customFormat="1" x14ac:dyDescent="0.25">
      <c r="A144" s="1504"/>
      <c r="B144" s="1284" t="str">
        <f>'меню 7 дней завтрак и обед '!B152</f>
        <v>Хлеб пшенично-ржаной нарезной</v>
      </c>
      <c r="C144" s="704">
        <f>'меню 7 дней завтрак и обед '!C152</f>
        <v>30</v>
      </c>
      <c r="D144" s="117">
        <f>'меню 7 дней завтрак и обед '!D152</f>
        <v>2.25</v>
      </c>
      <c r="E144" s="117">
        <f>'меню 7 дней завтрак и обед '!E152</f>
        <v>0.6</v>
      </c>
      <c r="F144" s="117">
        <f>'меню 7 дней завтрак и обед '!F152</f>
        <v>15.6</v>
      </c>
      <c r="G144" s="250">
        <f>'меню 7 дней завтрак и обед '!G152</f>
        <v>75</v>
      </c>
      <c r="H144" s="250" t="str">
        <f>'меню 7 дней завтрак и обед '!H152</f>
        <v>ПРОМ</v>
      </c>
      <c r="I144" s="117">
        <f>'меню 7 дней завтрак и обед '!I152</f>
        <v>1.95</v>
      </c>
    </row>
    <row r="145" spans="1:9" s="463" customFormat="1" x14ac:dyDescent="0.25">
      <c r="A145" s="1504"/>
      <c r="B145" s="1284">
        <f>'меню 7 дней завтрак и обед '!B153</f>
        <v>0</v>
      </c>
      <c r="C145" s="704">
        <f>'меню 7 дней завтрак и обед '!C153</f>
        <v>0</v>
      </c>
      <c r="D145" s="117">
        <f>'меню 7 дней завтрак и обед '!D153</f>
        <v>0</v>
      </c>
      <c r="E145" s="117">
        <f>'меню 7 дней завтрак и обед '!E153</f>
        <v>0</v>
      </c>
      <c r="F145" s="117">
        <f>'меню 7 дней завтрак и обед '!F153</f>
        <v>0</v>
      </c>
      <c r="G145" s="250">
        <f>'меню 7 дней завтрак и обед '!G153</f>
        <v>0</v>
      </c>
      <c r="H145" s="250">
        <f>'меню 7 дней завтрак и обед '!H153</f>
        <v>0</v>
      </c>
      <c r="I145" s="117">
        <f>'меню 7 дней завтрак и обед '!I153</f>
        <v>0</v>
      </c>
    </row>
    <row r="146" spans="1:9" s="699" customFormat="1" x14ac:dyDescent="0.25">
      <c r="A146" s="1504"/>
      <c r="B146" s="1284">
        <f>'меню 7 дней завтрак и обед '!B154</f>
        <v>0</v>
      </c>
      <c r="C146" s="704">
        <f>'меню 7 дней завтрак и обед '!C154</f>
        <v>0</v>
      </c>
      <c r="D146" s="117">
        <f>'меню 7 дней завтрак и обед '!D154</f>
        <v>0</v>
      </c>
      <c r="E146" s="117">
        <f>'меню 7 дней завтрак и обед '!E154</f>
        <v>0</v>
      </c>
      <c r="F146" s="117">
        <f>'меню 7 дней завтрак и обед '!F154</f>
        <v>0</v>
      </c>
      <c r="G146" s="250">
        <f>'меню 7 дней завтрак и обед '!G154</f>
        <v>0</v>
      </c>
      <c r="H146" s="250">
        <f>'меню 7 дней завтрак и обед '!H154</f>
        <v>0</v>
      </c>
      <c r="I146" s="117">
        <f>'меню 7 дней завтрак и обед '!I154</f>
        <v>0</v>
      </c>
    </row>
    <row r="147" spans="1:9" s="699" customFormat="1" hidden="1" x14ac:dyDescent="0.25">
      <c r="A147" s="1505"/>
      <c r="B147" s="1284">
        <f>'меню 7 дней завтрак и обед '!B155</f>
        <v>0</v>
      </c>
      <c r="C147" s="704">
        <f>'меню 7 дней завтрак и обед '!C155</f>
        <v>0</v>
      </c>
      <c r="D147" s="117">
        <f>'меню 7 дней завтрак и обед '!D155</f>
        <v>0</v>
      </c>
      <c r="E147" s="117">
        <f>'меню 7 дней завтрак и обед '!E155</f>
        <v>0</v>
      </c>
      <c r="F147" s="117">
        <f>'меню 7 дней завтрак и обед '!F155</f>
        <v>0</v>
      </c>
      <c r="G147" s="250">
        <f>'меню 7 дней завтрак и обед '!G155</f>
        <v>0</v>
      </c>
      <c r="H147" s="250">
        <f>'меню 7 дней завтрак и обед '!H155</f>
        <v>0</v>
      </c>
      <c r="I147" s="117">
        <f>'меню 7 дней завтрак и обед '!I155</f>
        <v>0</v>
      </c>
    </row>
    <row r="148" spans="1:9" x14ac:dyDescent="0.25">
      <c r="A148" s="580"/>
      <c r="B148" s="1285" t="s">
        <v>113</v>
      </c>
      <c r="C148" s="812"/>
      <c r="D148" s="119">
        <f>SUM(D139:D147)</f>
        <v>20.440000000000001</v>
      </c>
      <c r="E148" s="119">
        <f>SUM(E139:E147)</f>
        <v>17.98</v>
      </c>
      <c r="F148" s="119">
        <f>SUM(F139:F147)</f>
        <v>96.04</v>
      </c>
      <c r="G148" s="251">
        <f>SUM(G139:G147)</f>
        <v>629</v>
      </c>
      <c r="H148" s="251"/>
      <c r="I148" s="432">
        <f t="shared" ref="I148" si="34">SUM(I139:I147)</f>
        <v>43.27</v>
      </c>
    </row>
    <row r="149" spans="1:9" s="570" customFormat="1" hidden="1" x14ac:dyDescent="0.25">
      <c r="A149" s="1503" t="s">
        <v>800</v>
      </c>
      <c r="B149" s="1284">
        <f>'меню 7 дней завтрак и обед '!B157</f>
        <v>0</v>
      </c>
      <c r="C149" s="704">
        <f>'меню 7 дней завтрак и обед '!C157</f>
        <v>0</v>
      </c>
      <c r="D149" s="117">
        <f>'меню 7 дней завтрак и обед '!D157</f>
        <v>0</v>
      </c>
      <c r="E149" s="117">
        <f>'меню 7 дней завтрак и обед '!E157</f>
        <v>0</v>
      </c>
      <c r="F149" s="117">
        <f>'меню 7 дней завтрак и обед '!F157</f>
        <v>0</v>
      </c>
      <c r="G149" s="250">
        <f>'меню 7 дней завтрак и обед '!G157</f>
        <v>0</v>
      </c>
      <c r="H149" s="250"/>
      <c r="I149" s="431">
        <f>'меню 7 дней завтрак и обед '!I157</f>
        <v>0</v>
      </c>
    </row>
    <row r="150" spans="1:9" s="570" customFormat="1" hidden="1" x14ac:dyDescent="0.25">
      <c r="A150" s="1504"/>
      <c r="B150" s="1284">
        <f>'меню 7 дней завтрак и обед '!B158</f>
        <v>0</v>
      </c>
      <c r="C150" s="704">
        <f>'меню 7 дней завтрак и обед '!C158</f>
        <v>0</v>
      </c>
      <c r="D150" s="117">
        <f>'меню 7 дней завтрак и обед '!D158</f>
        <v>0</v>
      </c>
      <c r="E150" s="117">
        <f>'меню 7 дней завтрак и обед '!E158</f>
        <v>0</v>
      </c>
      <c r="F150" s="117">
        <f>'меню 7 дней завтрак и обед '!F158</f>
        <v>0</v>
      </c>
      <c r="G150" s="250">
        <f>'меню 7 дней завтрак и обед '!G158</f>
        <v>0</v>
      </c>
      <c r="H150" s="250"/>
      <c r="I150" s="431">
        <f>'меню 7 дней завтрак и обед '!I158</f>
        <v>0</v>
      </c>
    </row>
    <row r="151" spans="1:9" s="570" customFormat="1" hidden="1" x14ac:dyDescent="0.25">
      <c r="A151" s="1504"/>
      <c r="B151" s="1284">
        <f>'меню 7 дней завтрак и обед '!B159</f>
        <v>0</v>
      </c>
      <c r="C151" s="704">
        <f>'меню 7 дней завтрак и обед '!C159</f>
        <v>0</v>
      </c>
      <c r="D151" s="117">
        <f>'меню 7 дней завтрак и обед '!D159</f>
        <v>0</v>
      </c>
      <c r="E151" s="117">
        <f>'меню 7 дней завтрак и обед '!E159</f>
        <v>0</v>
      </c>
      <c r="F151" s="117">
        <f>'меню 7 дней завтрак и обед '!F159</f>
        <v>0</v>
      </c>
      <c r="G151" s="250">
        <f>'меню 7 дней завтрак и обед '!G159</f>
        <v>0</v>
      </c>
      <c r="H151" s="250"/>
      <c r="I151" s="431">
        <f>'меню 7 дней завтрак и обед '!I159</f>
        <v>0</v>
      </c>
    </row>
    <row r="152" spans="1:9" s="570" customFormat="1" hidden="1" x14ac:dyDescent="0.25">
      <c r="A152" s="1504"/>
      <c r="B152" s="1284">
        <f>'меню 7 дней завтрак и обед '!B160</f>
        <v>0</v>
      </c>
      <c r="C152" s="704">
        <f>'меню 7 дней завтрак и обед '!C160</f>
        <v>0</v>
      </c>
      <c r="D152" s="117">
        <f>'меню 7 дней завтрак и обед '!D160</f>
        <v>0</v>
      </c>
      <c r="E152" s="117">
        <f>'меню 7 дней завтрак и обед '!E160</f>
        <v>0</v>
      </c>
      <c r="F152" s="117">
        <f>'меню 7 дней завтрак и обед '!F160</f>
        <v>0</v>
      </c>
      <c r="G152" s="250">
        <f>'меню 7 дней завтрак и обед '!G160</f>
        <v>0</v>
      </c>
      <c r="H152" s="250"/>
      <c r="I152" s="431">
        <f>'меню 7 дней завтрак и обед '!I160</f>
        <v>0</v>
      </c>
    </row>
    <row r="153" spans="1:9" s="570" customFormat="1" hidden="1" x14ac:dyDescent="0.25">
      <c r="A153" s="1505"/>
      <c r="B153" s="1284">
        <f>'меню 7 дней завтрак и обед '!B161</f>
        <v>0</v>
      </c>
      <c r="C153" s="704">
        <f>'меню 7 дней завтрак и обед '!C161</f>
        <v>0</v>
      </c>
      <c r="D153" s="117">
        <f>'меню 7 дней завтрак и обед '!D161</f>
        <v>0</v>
      </c>
      <c r="E153" s="117">
        <f>'меню 7 дней завтрак и обед '!E161</f>
        <v>0</v>
      </c>
      <c r="F153" s="117">
        <f>'меню 7 дней завтрак и обед '!F161</f>
        <v>0</v>
      </c>
      <c r="G153" s="250">
        <f>'меню 7 дней завтрак и обед '!G161</f>
        <v>0</v>
      </c>
      <c r="H153" s="250"/>
      <c r="I153" s="431">
        <f>'меню 7 дней завтрак и обед '!I161</f>
        <v>0</v>
      </c>
    </row>
    <row r="154" spans="1:9" s="570" customFormat="1" hidden="1" x14ac:dyDescent="0.25">
      <c r="A154" s="580"/>
      <c r="B154" s="1285" t="s">
        <v>801</v>
      </c>
      <c r="C154" s="812"/>
      <c r="D154" s="119">
        <f t="shared" ref="D154:G154" si="35">SUM(D149:D153)</f>
        <v>0</v>
      </c>
      <c r="E154" s="119">
        <f t="shared" si="35"/>
        <v>0</v>
      </c>
      <c r="F154" s="119">
        <f t="shared" si="35"/>
        <v>0</v>
      </c>
      <c r="G154" s="251">
        <f t="shared" si="35"/>
        <v>0</v>
      </c>
      <c r="H154" s="251"/>
      <c r="I154" s="432">
        <f t="shared" ref="I154" si="36">SUM(I149:I153)</f>
        <v>0</v>
      </c>
    </row>
    <row r="155" spans="1:9" x14ac:dyDescent="0.25">
      <c r="A155" s="581"/>
      <c r="B155" s="1286" t="s">
        <v>1415</v>
      </c>
      <c r="C155" s="813"/>
      <c r="D155" s="810">
        <f t="shared" ref="D155:G155" si="37">D138+D148+D154</f>
        <v>33.450000000000003</v>
      </c>
      <c r="E155" s="810">
        <f t="shared" si="37"/>
        <v>44.11</v>
      </c>
      <c r="F155" s="810">
        <f t="shared" si="37"/>
        <v>163.16999999999999</v>
      </c>
      <c r="G155" s="635">
        <f t="shared" si="37"/>
        <v>1176</v>
      </c>
      <c r="H155" s="635"/>
      <c r="I155" s="646">
        <f t="shared" ref="I155" si="38">I138+I148+I154</f>
        <v>86.48</v>
      </c>
    </row>
    <row r="156" spans="1:9" x14ac:dyDescent="0.25">
      <c r="A156" s="582"/>
      <c r="B156" s="1288" t="s">
        <v>583</v>
      </c>
      <c r="C156" s="814"/>
      <c r="D156" s="811"/>
      <c r="E156" s="811"/>
      <c r="F156" s="811"/>
      <c r="G156" s="634"/>
      <c r="H156" s="634"/>
      <c r="I156" s="811"/>
    </row>
    <row r="157" spans="1:9" ht="26.4" x14ac:dyDescent="0.25">
      <c r="A157" s="1503" t="s">
        <v>109</v>
      </c>
      <c r="B157" s="1284" t="str">
        <f>'меню 7 дней завтрак и обед '!B167</f>
        <v>Каша жидкая молочная из манной крупы с маслом и сахаром</v>
      </c>
      <c r="C157" s="704">
        <f>'меню 7 дней завтрак и обед '!C167</f>
        <v>220</v>
      </c>
      <c r="D157" s="117">
        <f>'меню 7 дней завтрак и обед '!D167</f>
        <v>6.11</v>
      </c>
      <c r="E157" s="117">
        <f>'меню 7 дней завтрак и обед '!E167</f>
        <v>10.72</v>
      </c>
      <c r="F157" s="117">
        <f>'меню 7 дней завтрак и обед '!F167</f>
        <v>42.36</v>
      </c>
      <c r="G157" s="250">
        <f>'меню 7 дней завтрак и обед '!G167</f>
        <v>291</v>
      </c>
      <c r="H157" s="250">
        <f>'меню 7 дней завтрак и обед '!H167</f>
        <v>181</v>
      </c>
      <c r="I157" s="117">
        <f>'меню 7 дней завтрак и обед '!I167</f>
        <v>17.559999999999999</v>
      </c>
    </row>
    <row r="158" spans="1:9" ht="13.95" customHeight="1" x14ac:dyDescent="0.25">
      <c r="A158" s="1504"/>
      <c r="B158" s="1284" t="str">
        <f>'меню 7 дней завтрак и обед '!B168</f>
        <v>Масло сливочное (порциями)</v>
      </c>
      <c r="C158" s="704">
        <f>'меню 7 дней завтрак и обед '!C168</f>
        <v>10</v>
      </c>
      <c r="D158" s="117">
        <f>'меню 7 дней завтрак и обед '!D168</f>
        <v>0.08</v>
      </c>
      <c r="E158" s="117">
        <f>'меню 7 дней завтрак и обед '!E168</f>
        <v>7.25</v>
      </c>
      <c r="F158" s="117">
        <f>'меню 7 дней завтрак и обед '!F168</f>
        <v>0.13</v>
      </c>
      <c r="G158" s="250">
        <f>'меню 7 дней завтрак и обед '!G168</f>
        <v>66</v>
      </c>
      <c r="H158" s="250">
        <f>'меню 7 дней завтрак и обед '!H168</f>
        <v>14</v>
      </c>
      <c r="I158" s="117">
        <f>'меню 7 дней завтрак и обед '!I168</f>
        <v>7.1</v>
      </c>
    </row>
    <row r="159" spans="1:9" ht="13.2" customHeight="1" x14ac:dyDescent="0.25">
      <c r="A159" s="1504"/>
      <c r="B159" s="1284" t="str">
        <f>'меню 7 дней завтрак и обед '!B169</f>
        <v xml:space="preserve">Сыр российский (порциями) </v>
      </c>
      <c r="C159" s="704">
        <f>'меню 7 дней завтрак и обед '!C169</f>
        <v>15</v>
      </c>
      <c r="D159" s="117">
        <f>'меню 7 дней завтрак и обед '!D169</f>
        <v>3.48</v>
      </c>
      <c r="E159" s="117">
        <f>'меню 7 дней завтрак и обед '!E169</f>
        <v>4.43</v>
      </c>
      <c r="F159" s="117">
        <f>'меню 7 дней завтрак и обед '!F169</f>
        <v>1</v>
      </c>
      <c r="G159" s="250">
        <f>'меню 7 дней завтрак и обед '!G169</f>
        <v>54</v>
      </c>
      <c r="H159" s="250">
        <f>'меню 7 дней завтрак и обед '!H169</f>
        <v>15</v>
      </c>
      <c r="I159" s="117">
        <f>'меню 7 дней завтрак и обед '!I169</f>
        <v>11.5</v>
      </c>
    </row>
    <row r="160" spans="1:9" s="463" customFormat="1" x14ac:dyDescent="0.25">
      <c r="A160" s="1504"/>
      <c r="B160" s="1284" t="str">
        <f>'меню 7 дней завтрак и обед '!B170</f>
        <v>Хлеб пшеничный нарезной</v>
      </c>
      <c r="C160" s="704">
        <f>'меню 7 дней завтрак и обед '!C170</f>
        <v>30</v>
      </c>
      <c r="D160" s="117">
        <f>'меню 7 дней завтрак и обед '!D170</f>
        <v>3.21</v>
      </c>
      <c r="E160" s="117">
        <f>'меню 7 дней завтрак и обед '!E170</f>
        <v>1.35</v>
      </c>
      <c r="F160" s="117">
        <f>'меню 7 дней завтрак и обед '!F170</f>
        <v>13.05</v>
      </c>
      <c r="G160" s="250">
        <f>'меню 7 дней завтрак и обед '!G170</f>
        <v>82</v>
      </c>
      <c r="H160" s="250" t="str">
        <f>'меню 7 дней завтрак и обед '!H170</f>
        <v>ПРОМ</v>
      </c>
      <c r="I160" s="117">
        <f>'меню 7 дней завтрак и обед '!I170</f>
        <v>1.95</v>
      </c>
    </row>
    <row r="161" spans="1:9" s="463" customFormat="1" x14ac:dyDescent="0.25">
      <c r="A161" s="1504"/>
      <c r="B161" s="1284" t="str">
        <f>'меню 7 дней завтрак и обед '!B171</f>
        <v>Хлеб пшенично-ржаной нарезной</v>
      </c>
      <c r="C161" s="704">
        <f>'меню 7 дней завтрак и обед '!C171</f>
        <v>20</v>
      </c>
      <c r="D161" s="117">
        <f>'меню 7 дней завтрак и обед '!D171</f>
        <v>1.5</v>
      </c>
      <c r="E161" s="117">
        <f>'меню 7 дней завтрак и обед '!E171</f>
        <v>0.4</v>
      </c>
      <c r="F161" s="117">
        <f>'меню 7 дней завтрак и обед '!F171</f>
        <v>10.4</v>
      </c>
      <c r="G161" s="250">
        <f>'меню 7 дней завтрак и обед '!G171</f>
        <v>50</v>
      </c>
      <c r="H161" s="250" t="str">
        <f>'меню 7 дней завтрак и обед '!H171</f>
        <v>ПРОМ</v>
      </c>
      <c r="I161" s="117">
        <f>'меню 7 дней завтрак и обед '!I171</f>
        <v>1.3</v>
      </c>
    </row>
    <row r="162" spans="1:9" s="407" customFormat="1" x14ac:dyDescent="0.25">
      <c r="A162" s="1504"/>
      <c r="B162" s="1284" t="str">
        <f>'меню 7 дней завтрак и обед '!B172</f>
        <v>Чай с сахаром</v>
      </c>
      <c r="C162" s="704">
        <f>'меню 7 дней завтрак и обед '!C172</f>
        <v>200</v>
      </c>
      <c r="D162" s="117">
        <f>'меню 7 дней завтрак и обед '!D172</f>
        <v>7.0000000000000007E-2</v>
      </c>
      <c r="E162" s="117">
        <f>'меню 7 дней завтрак и обед '!E172</f>
        <v>0.02</v>
      </c>
      <c r="F162" s="117">
        <f>'меню 7 дней завтрак и обед '!F172</f>
        <v>13.95</v>
      </c>
      <c r="G162" s="250">
        <f>'меню 7 дней завтрак и обед '!G172</f>
        <v>56</v>
      </c>
      <c r="H162" s="250">
        <f>'меню 7 дней завтрак и обед '!H172</f>
        <v>376</v>
      </c>
      <c r="I162" s="117">
        <f>'меню 7 дней завтрак и обед '!I172</f>
        <v>1.59</v>
      </c>
    </row>
    <row r="163" spans="1:9" s="926" customFormat="1" x14ac:dyDescent="0.25">
      <c r="A163" s="1504"/>
      <c r="B163" s="1284" t="str">
        <f>'меню 7 дней завтрак и обед '!B173</f>
        <v>Вода питьевая 19 л</v>
      </c>
      <c r="C163" s="704">
        <f>'меню 7 дней завтрак и обед '!C173</f>
        <v>500</v>
      </c>
      <c r="D163" s="117">
        <f>'меню 7 дней завтрак и обед '!D173</f>
        <v>0</v>
      </c>
      <c r="E163" s="117">
        <f>'меню 7 дней завтрак и обед '!E173</f>
        <v>0</v>
      </c>
      <c r="F163" s="117">
        <f>'меню 7 дней завтрак и обед '!F173</f>
        <v>0</v>
      </c>
      <c r="G163" s="250">
        <f>'меню 7 дней завтрак и обед '!G173</f>
        <v>0</v>
      </c>
      <c r="H163" s="250" t="str">
        <f>'меню 7 дней завтрак и обед '!H173</f>
        <v>ПРОМ</v>
      </c>
      <c r="I163" s="117">
        <f>'меню 7 дней завтрак и обед '!I173</f>
        <v>2.9</v>
      </c>
    </row>
    <row r="164" spans="1:9" s="926" customFormat="1" x14ac:dyDescent="0.25">
      <c r="A164" s="1504"/>
      <c r="B164" s="1284">
        <f>'меню 7 дней завтрак и обед '!B174</f>
        <v>0</v>
      </c>
      <c r="C164" s="704">
        <f>'меню 7 дней завтрак и обед '!C174</f>
        <v>0</v>
      </c>
      <c r="D164" s="117">
        <f>'меню 7 дней завтрак и обед '!D174</f>
        <v>0</v>
      </c>
      <c r="E164" s="117">
        <f>'меню 7 дней завтрак и обед '!E174</f>
        <v>0</v>
      </c>
      <c r="F164" s="117">
        <f>'меню 7 дней завтрак и обед '!F174</f>
        <v>0</v>
      </c>
      <c r="G164" s="250">
        <f>'меню 7 дней завтрак и обед '!G174</f>
        <v>0</v>
      </c>
      <c r="H164" s="250">
        <f>'меню 7 дней завтрак и обед '!H174</f>
        <v>0</v>
      </c>
      <c r="I164" s="117">
        <f>'меню 7 дней завтрак и обед '!I174</f>
        <v>0</v>
      </c>
    </row>
    <row r="165" spans="1:9" s="926" customFormat="1" x14ac:dyDescent="0.25">
      <c r="A165" s="1505"/>
      <c r="B165" s="1284">
        <f>'меню 7 дней завтрак и обед '!B175</f>
        <v>0</v>
      </c>
      <c r="C165" s="704">
        <f>'меню 7 дней завтрак и обед '!C175</f>
        <v>0</v>
      </c>
      <c r="D165" s="117">
        <f>'меню 7 дней завтрак и обед '!D175</f>
        <v>0</v>
      </c>
      <c r="E165" s="117">
        <f>'меню 7 дней завтрак и обед '!E175</f>
        <v>0</v>
      </c>
      <c r="F165" s="117">
        <f>'меню 7 дней завтрак и обед '!F175</f>
        <v>0</v>
      </c>
      <c r="G165" s="250">
        <f>'меню 7 дней завтрак и обед '!G175</f>
        <v>0</v>
      </c>
      <c r="H165" s="250">
        <f>'меню 7 дней завтрак и обед '!H175</f>
        <v>0</v>
      </c>
      <c r="I165" s="117">
        <f>'меню 7 дней завтрак и обед '!I175</f>
        <v>0</v>
      </c>
    </row>
    <row r="166" spans="1:9" x14ac:dyDescent="0.25">
      <c r="A166" s="580"/>
      <c r="B166" s="1285" t="s">
        <v>111</v>
      </c>
      <c r="C166" s="812"/>
      <c r="D166" s="119">
        <f>SUM(D157:D165)</f>
        <v>14.45</v>
      </c>
      <c r="E166" s="119">
        <f t="shared" ref="E166" si="39">SUM(E157:E165)</f>
        <v>24.17</v>
      </c>
      <c r="F166" s="119">
        <f t="shared" ref="F166" si="40">SUM(F157:F165)</f>
        <v>80.89</v>
      </c>
      <c r="G166" s="251">
        <f t="shared" ref="G166:I166" si="41">SUM(G157:G165)</f>
        <v>599</v>
      </c>
      <c r="H166" s="251"/>
      <c r="I166" s="432">
        <f t="shared" si="41"/>
        <v>43.9</v>
      </c>
    </row>
    <row r="167" spans="1:9" ht="26.4" x14ac:dyDescent="0.25">
      <c r="A167" s="1510" t="s">
        <v>112</v>
      </c>
      <c r="B167" s="1284" t="str">
        <f>'меню 7 дней завтрак и обед '!B177</f>
        <v>Винегрет овощной (с горошком) с луком зеленым</v>
      </c>
      <c r="C167" s="704">
        <f>'меню 7 дней завтрак и обед '!C177</f>
        <v>75</v>
      </c>
      <c r="D167" s="117">
        <f>'меню 7 дней завтрак и обед '!D177</f>
        <v>1.04</v>
      </c>
      <c r="E167" s="117">
        <f>'меню 7 дней завтрак и обед '!E177</f>
        <v>7.52</v>
      </c>
      <c r="F167" s="117">
        <f>'меню 7 дней завтрак и обед '!F177</f>
        <v>4.91</v>
      </c>
      <c r="G167" s="250">
        <f>'меню 7 дней завтрак и обед '!G177</f>
        <v>92</v>
      </c>
      <c r="H167" s="250">
        <f>'меню 7 дней завтрак и обед '!H177</f>
        <v>67</v>
      </c>
      <c r="I167" s="117">
        <f>'меню 7 дней завтрак и обед '!I177</f>
        <v>10</v>
      </c>
    </row>
    <row r="168" spans="1:9" s="407" customFormat="1" x14ac:dyDescent="0.25">
      <c r="A168" s="1511"/>
      <c r="B168" s="1284" t="str">
        <f>'меню 7 дней завтрак и обед '!B178</f>
        <v>Рассольник ленинградский</v>
      </c>
      <c r="C168" s="704">
        <f>'меню 7 дней завтрак и обед '!C178</f>
        <v>250</v>
      </c>
      <c r="D168" s="117">
        <f>'меню 7 дней завтрак и обед '!D178</f>
        <v>2.02</v>
      </c>
      <c r="E168" s="117">
        <f>'меню 7 дней завтрак и обед '!E178</f>
        <v>5.09</v>
      </c>
      <c r="F168" s="117">
        <f>'меню 7 дней завтрак и обед '!F178</f>
        <v>11.98</v>
      </c>
      <c r="G168" s="250">
        <f>'меню 7 дней завтрак и обед '!G178</f>
        <v>107</v>
      </c>
      <c r="H168" s="250">
        <f>'меню 7 дней завтрак и обед '!H178</f>
        <v>96</v>
      </c>
      <c r="I168" s="117">
        <f>'меню 7 дней завтрак и обед '!I178</f>
        <v>10.199999999999999</v>
      </c>
    </row>
    <row r="169" spans="1:9" ht="28.95" customHeight="1" x14ac:dyDescent="0.25">
      <c r="A169" s="1511"/>
      <c r="B169" s="1284" t="str">
        <f>'меню 7 дней завтрак и обед '!B179</f>
        <v>Котлеты рубленные из филе птицы со сметанным соусом с томатом и луком</v>
      </c>
      <c r="C169" s="704">
        <f>'меню 7 дней завтрак и обед '!C179</f>
        <v>110</v>
      </c>
      <c r="D169" s="117">
        <f>'меню 7 дней завтрак и обед '!D179</f>
        <v>10.33</v>
      </c>
      <c r="E169" s="117">
        <f>'меню 7 дней завтрак и обед '!E179</f>
        <v>12.04</v>
      </c>
      <c r="F169" s="117">
        <f>'меню 7 дней завтрак и обед '!F179</f>
        <v>12.66</v>
      </c>
      <c r="G169" s="250">
        <f>'меню 7 дней завтрак и обед '!G179</f>
        <v>200</v>
      </c>
      <c r="H169" s="250">
        <f>'меню 7 дней завтрак и обед '!H179</f>
        <v>294</v>
      </c>
      <c r="I169" s="117">
        <f>'меню 7 дней завтрак и обед '!I179</f>
        <v>35.04</v>
      </c>
    </row>
    <row r="170" spans="1:9" ht="15.6" customHeight="1" x14ac:dyDescent="0.25">
      <c r="A170" s="1511"/>
      <c r="B170" s="1284" t="str">
        <f>'меню 7 дней завтрак и обед '!B180</f>
        <v>Макаронные изделия отварные с маслом</v>
      </c>
      <c r="C170" s="704">
        <f>'меню 7 дней завтрак и обед '!C180</f>
        <v>155</v>
      </c>
      <c r="D170" s="117">
        <f>'меню 7 дней завтрак и обед '!D180</f>
        <v>5.64</v>
      </c>
      <c r="E170" s="117">
        <f>'меню 7 дней завтрак и обед '!E180</f>
        <v>5.98</v>
      </c>
      <c r="F170" s="117">
        <f>'меню 7 дней завтрак и обед '!F180</f>
        <v>31.47</v>
      </c>
      <c r="G170" s="250">
        <f>'меню 7 дней завтрак и обед '!G180</f>
        <v>202</v>
      </c>
      <c r="H170" s="250">
        <f>'меню 7 дней завтрак и обед '!H180</f>
        <v>203</v>
      </c>
      <c r="I170" s="117">
        <f>'меню 7 дней завтрак и обед '!I180</f>
        <v>6.24</v>
      </c>
    </row>
    <row r="171" spans="1:9" s="463" customFormat="1" x14ac:dyDescent="0.25">
      <c r="A171" s="1511"/>
      <c r="B171" s="1284" t="str">
        <f>'меню 7 дней завтрак и обед '!B181</f>
        <v xml:space="preserve">Компот из яблок </v>
      </c>
      <c r="C171" s="704">
        <f>'меню 7 дней завтрак и обед '!C181</f>
        <v>200</v>
      </c>
      <c r="D171" s="117">
        <f>'меню 7 дней завтрак и обед '!D181</f>
        <v>0.16</v>
      </c>
      <c r="E171" s="117">
        <f>'меню 7 дней завтрак и обед '!E181</f>
        <v>0.16</v>
      </c>
      <c r="F171" s="117">
        <f>'меню 7 дней завтрак и обед '!F181</f>
        <v>27.88</v>
      </c>
      <c r="G171" s="250">
        <f>'меню 7 дней завтрак и обед '!G181</f>
        <v>115</v>
      </c>
      <c r="H171" s="250">
        <f>'меню 7 дней завтрак и обед '!H181</f>
        <v>342</v>
      </c>
      <c r="I171" s="117">
        <f>'меню 7 дней завтрак и обед '!I181</f>
        <v>6.01</v>
      </c>
    </row>
    <row r="172" spans="1:9" s="463" customFormat="1" x14ac:dyDescent="0.25">
      <c r="A172" s="1511"/>
      <c r="B172" s="1284" t="str">
        <f>'меню 7 дней завтрак и обед '!B182</f>
        <v>Хлеб пшеничный нарезной</v>
      </c>
      <c r="C172" s="704">
        <f>'меню 7 дней завтрак и обед '!C182</f>
        <v>20</v>
      </c>
      <c r="D172" s="117">
        <f>'меню 7 дней завтрак и обед '!D182</f>
        <v>2.14</v>
      </c>
      <c r="E172" s="117">
        <f>'меню 7 дней завтрак и обед '!E182</f>
        <v>0.9</v>
      </c>
      <c r="F172" s="117">
        <f>'меню 7 дней завтрак и обед '!F182</f>
        <v>8.6999999999999993</v>
      </c>
      <c r="G172" s="250">
        <f>'меню 7 дней завтрак и обед '!G182</f>
        <v>55</v>
      </c>
      <c r="H172" s="250" t="str">
        <f>'меню 7 дней завтрак и обед '!H182</f>
        <v>ПРОМ</v>
      </c>
      <c r="I172" s="117">
        <f>'меню 7 дней завтрак и обед '!I182</f>
        <v>1.3</v>
      </c>
    </row>
    <row r="173" spans="1:9" s="463" customFormat="1" x14ac:dyDescent="0.25">
      <c r="A173" s="1511"/>
      <c r="B173" s="1284" t="str">
        <f>'меню 7 дней завтрак и обед '!B183</f>
        <v>Хлеб пшенично-ржаной нарезной</v>
      </c>
      <c r="C173" s="704">
        <f>'меню 7 дней завтрак и обед '!C183</f>
        <v>30</v>
      </c>
      <c r="D173" s="117">
        <f>'меню 7 дней завтрак и обед '!D183</f>
        <v>2.25</v>
      </c>
      <c r="E173" s="117">
        <f>'меню 7 дней завтрак и обед '!E183</f>
        <v>0.6</v>
      </c>
      <c r="F173" s="117">
        <f>'меню 7 дней завтрак и обед '!F183</f>
        <v>15.6</v>
      </c>
      <c r="G173" s="250">
        <f>'меню 7 дней завтрак и обед '!G183</f>
        <v>75</v>
      </c>
      <c r="H173" s="250" t="str">
        <f>'меню 7 дней завтрак и обед '!H183</f>
        <v>ПРОМ</v>
      </c>
      <c r="I173" s="117">
        <f>'меню 7 дней завтрак и обед '!I183</f>
        <v>1.95</v>
      </c>
    </row>
    <row r="174" spans="1:9" s="699" customFormat="1" x14ac:dyDescent="0.25">
      <c r="A174" s="1511"/>
      <c r="B174" s="1284" t="str">
        <f>'меню 7 дней завтрак и обед '!B184</f>
        <v>Мороженое пломбир Кореновское</v>
      </c>
      <c r="C174" s="704">
        <f>'меню 7 дней завтрак и обед '!C184</f>
        <v>100</v>
      </c>
      <c r="D174" s="117">
        <f>'меню 7 дней завтрак и обед '!D184</f>
        <v>3.7</v>
      </c>
      <c r="E174" s="117">
        <f>'меню 7 дней завтрак и обед '!E184</f>
        <v>15</v>
      </c>
      <c r="F174" s="117">
        <f>'меню 7 дней завтрак и обед '!F184</f>
        <v>20.399999999999999</v>
      </c>
      <c r="G174" s="250">
        <f>'меню 7 дней завтрак и обед '!G184</f>
        <v>232</v>
      </c>
      <c r="H174" s="250" t="str">
        <f>'меню 7 дней завтрак и обед '!H184</f>
        <v>ПРОМ</v>
      </c>
      <c r="I174" s="117">
        <f>'меню 7 дней завтрак и обед '!I184</f>
        <v>75</v>
      </c>
    </row>
    <row r="175" spans="1:9" s="699" customFormat="1" x14ac:dyDescent="0.25">
      <c r="A175" s="1512"/>
      <c r="B175" s="1284">
        <f>'меню 7 дней завтрак и обед '!B185</f>
        <v>0</v>
      </c>
      <c r="C175" s="704">
        <f>'меню 7 дней завтрак и обед '!C185</f>
        <v>0</v>
      </c>
      <c r="D175" s="117">
        <f>'меню 7 дней завтрак и обед '!D185</f>
        <v>0</v>
      </c>
      <c r="E175" s="117">
        <f>'меню 7 дней завтрак и обед '!E185</f>
        <v>0</v>
      </c>
      <c r="F175" s="117">
        <f>'меню 7 дней завтрак и обед '!F185</f>
        <v>0</v>
      </c>
      <c r="G175" s="250">
        <f>'меню 7 дней завтрак и обед '!G185</f>
        <v>0</v>
      </c>
      <c r="H175" s="250">
        <f>'меню 7 дней завтрак и обед '!H185</f>
        <v>0</v>
      </c>
      <c r="I175" s="117">
        <f>'меню 7 дней завтрак и обед '!I185</f>
        <v>0</v>
      </c>
    </row>
    <row r="176" spans="1:9" x14ac:dyDescent="0.25">
      <c r="A176" s="580"/>
      <c r="B176" s="1285" t="s">
        <v>113</v>
      </c>
      <c r="C176" s="812"/>
      <c r="D176" s="119">
        <f>SUM(D167:D175)</f>
        <v>27.28</v>
      </c>
      <c r="E176" s="119">
        <f>SUM(E167:E175)</f>
        <v>47.29</v>
      </c>
      <c r="F176" s="119">
        <f>SUM(F167:F175)</f>
        <v>133.6</v>
      </c>
      <c r="G176" s="251">
        <f>SUM(G167:G175)</f>
        <v>1078</v>
      </c>
      <c r="H176" s="251"/>
      <c r="I176" s="432">
        <f t="shared" ref="I176" si="42">SUM(I167:I175)</f>
        <v>145.74</v>
      </c>
    </row>
    <row r="177" spans="1:9" s="570" customFormat="1" hidden="1" x14ac:dyDescent="0.25">
      <c r="A177" s="1503" t="s">
        <v>800</v>
      </c>
      <c r="B177" s="1284">
        <f>'меню 7 дней завтрак и обед '!B187</f>
        <v>0</v>
      </c>
      <c r="C177" s="704">
        <f>'меню 7 дней завтрак и обед '!C187</f>
        <v>0</v>
      </c>
      <c r="D177" s="117">
        <f>'меню 7 дней завтрак и обед '!D187</f>
        <v>0</v>
      </c>
      <c r="E177" s="117">
        <f>'меню 7 дней завтрак и обед '!E187</f>
        <v>0</v>
      </c>
      <c r="F177" s="117">
        <f>'меню 7 дней завтрак и обед '!F187</f>
        <v>0</v>
      </c>
      <c r="G177" s="250">
        <f>'меню 7 дней завтрак и обед '!G187</f>
        <v>0</v>
      </c>
      <c r="H177" s="250"/>
      <c r="I177" s="431">
        <f>'меню 7 дней завтрак и обед '!I187</f>
        <v>0</v>
      </c>
    </row>
    <row r="178" spans="1:9" s="570" customFormat="1" hidden="1" x14ac:dyDescent="0.25">
      <c r="A178" s="1504"/>
      <c r="B178" s="1284">
        <f>'меню 7 дней завтрак и обед '!B188</f>
        <v>0</v>
      </c>
      <c r="C178" s="704">
        <f>'меню 7 дней завтрак и обед '!C188</f>
        <v>0</v>
      </c>
      <c r="D178" s="117">
        <f>'меню 7 дней завтрак и обед '!D188</f>
        <v>0</v>
      </c>
      <c r="E178" s="117">
        <f>'меню 7 дней завтрак и обед '!E188</f>
        <v>0</v>
      </c>
      <c r="F178" s="117">
        <f>'меню 7 дней завтрак и обед '!F188</f>
        <v>0</v>
      </c>
      <c r="G178" s="250">
        <f>'меню 7 дней завтрак и обед '!G188</f>
        <v>0</v>
      </c>
      <c r="H178" s="250"/>
      <c r="I178" s="431">
        <f>'меню 7 дней завтрак и обед '!I188</f>
        <v>0</v>
      </c>
    </row>
    <row r="179" spans="1:9" s="570" customFormat="1" hidden="1" x14ac:dyDescent="0.25">
      <c r="A179" s="1504"/>
      <c r="B179" s="1284">
        <f>'меню 7 дней завтрак и обед '!B189</f>
        <v>0</v>
      </c>
      <c r="C179" s="704">
        <f>'меню 7 дней завтрак и обед '!C189</f>
        <v>0</v>
      </c>
      <c r="D179" s="117">
        <f>'меню 7 дней завтрак и обед '!D189</f>
        <v>0</v>
      </c>
      <c r="E179" s="117">
        <f>'меню 7 дней завтрак и обед '!E189</f>
        <v>0</v>
      </c>
      <c r="F179" s="117">
        <f>'меню 7 дней завтрак и обед '!F189</f>
        <v>0</v>
      </c>
      <c r="G179" s="250">
        <f>'меню 7 дней завтрак и обед '!G189</f>
        <v>0</v>
      </c>
      <c r="H179" s="250"/>
      <c r="I179" s="431">
        <f>'меню 7 дней завтрак и обед '!I189</f>
        <v>0</v>
      </c>
    </row>
    <row r="180" spans="1:9" s="570" customFormat="1" hidden="1" x14ac:dyDescent="0.25">
      <c r="A180" s="1504"/>
      <c r="B180" s="1284">
        <f>'меню 7 дней завтрак и обед '!B190</f>
        <v>0</v>
      </c>
      <c r="C180" s="704">
        <f>'меню 7 дней завтрак и обед '!C190</f>
        <v>0</v>
      </c>
      <c r="D180" s="117">
        <f>'меню 7 дней завтрак и обед '!D190</f>
        <v>0</v>
      </c>
      <c r="E180" s="117">
        <f>'меню 7 дней завтрак и обед '!E190</f>
        <v>0</v>
      </c>
      <c r="F180" s="117">
        <f>'меню 7 дней завтрак и обед '!F190</f>
        <v>0</v>
      </c>
      <c r="G180" s="250">
        <f>'меню 7 дней завтрак и обед '!G190</f>
        <v>0</v>
      </c>
      <c r="H180" s="250"/>
      <c r="I180" s="431">
        <f>'меню 7 дней завтрак и обед '!I190</f>
        <v>0</v>
      </c>
    </row>
    <row r="181" spans="1:9" s="570" customFormat="1" hidden="1" x14ac:dyDescent="0.25">
      <c r="A181" s="1505"/>
      <c r="B181" s="1284">
        <f>'меню 7 дней завтрак и обед '!B191</f>
        <v>0</v>
      </c>
      <c r="C181" s="704">
        <f>'меню 7 дней завтрак и обед '!C191</f>
        <v>0</v>
      </c>
      <c r="D181" s="117">
        <f>'меню 7 дней завтрак и обед '!D191</f>
        <v>0</v>
      </c>
      <c r="E181" s="117">
        <f>'меню 7 дней завтрак и обед '!E191</f>
        <v>0</v>
      </c>
      <c r="F181" s="117">
        <f>'меню 7 дней завтрак и обед '!F191</f>
        <v>0</v>
      </c>
      <c r="G181" s="250">
        <f>'меню 7 дней завтрак и обед '!G191</f>
        <v>0</v>
      </c>
      <c r="H181" s="250"/>
      <c r="I181" s="431">
        <f>'меню 7 дней завтрак и обед '!I191</f>
        <v>0</v>
      </c>
    </row>
    <row r="182" spans="1:9" s="570" customFormat="1" hidden="1" x14ac:dyDescent="0.25">
      <c r="A182" s="580"/>
      <c r="B182" s="1285" t="s">
        <v>801</v>
      </c>
      <c r="C182" s="812"/>
      <c r="D182" s="119">
        <f t="shared" ref="D182:G182" si="43">SUM(D177:D181)</f>
        <v>0</v>
      </c>
      <c r="E182" s="119">
        <f t="shared" si="43"/>
        <v>0</v>
      </c>
      <c r="F182" s="119">
        <f t="shared" si="43"/>
        <v>0</v>
      </c>
      <c r="G182" s="251">
        <f t="shared" si="43"/>
        <v>0</v>
      </c>
      <c r="H182" s="251"/>
      <c r="I182" s="432">
        <f t="shared" ref="I182" si="44">SUM(I177:I181)</f>
        <v>0</v>
      </c>
    </row>
    <row r="183" spans="1:9" x14ac:dyDescent="0.25">
      <c r="A183" s="581"/>
      <c r="B183" s="1286" t="s">
        <v>1416</v>
      </c>
      <c r="C183" s="813"/>
      <c r="D183" s="810">
        <f t="shared" ref="D183:G183" si="45">D166+D176+D182</f>
        <v>41.73</v>
      </c>
      <c r="E183" s="810">
        <f t="shared" si="45"/>
        <v>71.459999999999994</v>
      </c>
      <c r="F183" s="810">
        <f t="shared" si="45"/>
        <v>214.49</v>
      </c>
      <c r="G183" s="635">
        <f t="shared" si="45"/>
        <v>1677</v>
      </c>
      <c r="H183" s="635"/>
      <c r="I183" s="646">
        <f t="shared" ref="I183" si="46">I166+I176+I182</f>
        <v>189.64</v>
      </c>
    </row>
    <row r="184" spans="1:9" x14ac:dyDescent="0.25">
      <c r="A184" s="582"/>
      <c r="B184" s="1288" t="s">
        <v>584</v>
      </c>
      <c r="C184" s="814"/>
      <c r="D184" s="811"/>
      <c r="E184" s="815"/>
      <c r="F184" s="815"/>
      <c r="G184" s="672"/>
      <c r="H184" s="672"/>
      <c r="I184" s="815"/>
    </row>
    <row r="185" spans="1:9" ht="26.4" x14ac:dyDescent="0.25">
      <c r="A185" s="1506" t="s">
        <v>109</v>
      </c>
      <c r="B185" s="1284" t="str">
        <f>'меню 7 дней завтрак и обед '!B197</f>
        <v>Пудинг из творога (запеченный) со сгущенным молоком</v>
      </c>
      <c r="C185" s="704">
        <f>'меню 7 дней завтрак и обед '!C197</f>
        <v>150</v>
      </c>
      <c r="D185" s="117">
        <f>'меню 7 дней завтрак и обед '!D197</f>
        <v>19.41</v>
      </c>
      <c r="E185" s="117">
        <f>'меню 7 дней завтрак и обед '!E197</f>
        <v>15.19</v>
      </c>
      <c r="F185" s="117">
        <f>'меню 7 дней завтрак и обед '!F197</f>
        <v>49.74</v>
      </c>
      <c r="G185" s="250">
        <f>'меню 7 дней завтрак и обед '!G197</f>
        <v>414</v>
      </c>
      <c r="H185" s="250">
        <f>'меню 7 дней завтрак и обед '!H197</f>
        <v>222</v>
      </c>
      <c r="I185" s="117">
        <f>'меню 7 дней завтрак и обед '!I197</f>
        <v>52.12</v>
      </c>
    </row>
    <row r="186" spans="1:9" s="407" customFormat="1" x14ac:dyDescent="0.25">
      <c r="A186" s="1507"/>
      <c r="B186" s="1284" t="str">
        <f>'меню 7 дней завтрак и обед '!B198</f>
        <v>Масло сливочное (порциями)</v>
      </c>
      <c r="C186" s="704">
        <f>'меню 7 дней завтрак и обед '!C198</f>
        <v>10</v>
      </c>
      <c r="D186" s="117">
        <f>'меню 7 дней завтрак и обед '!D198</f>
        <v>0.08</v>
      </c>
      <c r="E186" s="117">
        <f>'меню 7 дней завтрак и обед '!E198</f>
        <v>7.25</v>
      </c>
      <c r="F186" s="117">
        <f>'меню 7 дней завтрак и обед '!F198</f>
        <v>0.13</v>
      </c>
      <c r="G186" s="250">
        <f>'меню 7 дней завтрак и обед '!G198</f>
        <v>66</v>
      </c>
      <c r="H186" s="250">
        <f>'меню 7 дней завтрак и обед '!H198</f>
        <v>14</v>
      </c>
      <c r="I186" s="117">
        <f>'меню 7 дней завтрак и обед '!I198</f>
        <v>7.1</v>
      </c>
    </row>
    <row r="187" spans="1:9" x14ac:dyDescent="0.25">
      <c r="A187" s="1507"/>
      <c r="B187" s="1284" t="str">
        <f>'меню 7 дней завтрак и обед '!B199</f>
        <v xml:space="preserve">Сыр российский (порциями) </v>
      </c>
      <c r="C187" s="704">
        <f>'меню 7 дней завтрак и обед '!C199</f>
        <v>20</v>
      </c>
      <c r="D187" s="117">
        <f>'меню 7 дней завтрак и обед '!D199</f>
        <v>4.6399999999999997</v>
      </c>
      <c r="E187" s="117">
        <f>'меню 7 дней завтрак и обед '!E199</f>
        <v>5.9</v>
      </c>
      <c r="F187" s="117">
        <f>'меню 7 дней завтрак и обед '!F199</f>
        <v>2</v>
      </c>
      <c r="G187" s="250">
        <f>'меню 7 дней завтрак и обед '!G199</f>
        <v>72</v>
      </c>
      <c r="H187" s="250">
        <f>'меню 7 дней завтрак и обед '!H199</f>
        <v>15</v>
      </c>
      <c r="I187" s="117">
        <f>'меню 7 дней завтрак и обед '!I199</f>
        <v>15.1</v>
      </c>
    </row>
    <row r="188" spans="1:9" s="463" customFormat="1" x14ac:dyDescent="0.25">
      <c r="A188" s="1507"/>
      <c r="B188" s="1284" t="str">
        <f>'меню 7 дней завтрак и обед '!B200</f>
        <v>Хлеб пшеничный нарезной</v>
      </c>
      <c r="C188" s="704">
        <f>'меню 7 дней завтрак и обед '!C200</f>
        <v>30</v>
      </c>
      <c r="D188" s="117">
        <f>'меню 7 дней завтрак и обед '!D200</f>
        <v>3.21</v>
      </c>
      <c r="E188" s="117">
        <f>'меню 7 дней завтрак и обед '!E200</f>
        <v>1.35</v>
      </c>
      <c r="F188" s="117">
        <f>'меню 7 дней завтрак и обед '!F200</f>
        <v>13.05</v>
      </c>
      <c r="G188" s="250">
        <f>'меню 7 дней завтрак и обед '!G200</f>
        <v>82</v>
      </c>
      <c r="H188" s="250" t="str">
        <f>'меню 7 дней завтрак и обед '!H200</f>
        <v>ПРОМ</v>
      </c>
      <c r="I188" s="117">
        <f>'меню 7 дней завтрак и обед '!I200</f>
        <v>1.95</v>
      </c>
    </row>
    <row r="189" spans="1:9" s="463" customFormat="1" x14ac:dyDescent="0.25">
      <c r="A189" s="1507"/>
      <c r="B189" s="1284" t="str">
        <f>'меню 7 дней завтрак и обед '!B201</f>
        <v>Хлеб пшенично-ржаной нарезной</v>
      </c>
      <c r="C189" s="704">
        <f>'меню 7 дней завтрак и обед '!C201</f>
        <v>20</v>
      </c>
      <c r="D189" s="117">
        <f>'меню 7 дней завтрак и обед '!D201</f>
        <v>1.5</v>
      </c>
      <c r="E189" s="117">
        <f>'меню 7 дней завтрак и обед '!E201</f>
        <v>0.4</v>
      </c>
      <c r="F189" s="117">
        <f>'меню 7 дней завтрак и обед '!F201</f>
        <v>10.4</v>
      </c>
      <c r="G189" s="250">
        <f>'меню 7 дней завтрак и обед '!G201</f>
        <v>50</v>
      </c>
      <c r="H189" s="250" t="str">
        <f>'меню 7 дней завтрак и обед '!H201</f>
        <v>ПРОМ</v>
      </c>
      <c r="I189" s="117">
        <f>'меню 7 дней завтрак и обед '!I201</f>
        <v>1.3</v>
      </c>
    </row>
    <row r="190" spans="1:9" s="407" customFormat="1" x14ac:dyDescent="0.25">
      <c r="A190" s="1507"/>
      <c r="B190" s="1284" t="str">
        <f>'меню 7 дней завтрак и обед '!B202</f>
        <v>Чай с сахаром</v>
      </c>
      <c r="C190" s="704">
        <f>'меню 7 дней завтрак и обед '!C202</f>
        <v>200</v>
      </c>
      <c r="D190" s="117">
        <f>'меню 7 дней завтрак и обед '!D202</f>
        <v>7.0000000000000007E-2</v>
      </c>
      <c r="E190" s="117">
        <f>'меню 7 дней завтрак и обед '!E202</f>
        <v>0.02</v>
      </c>
      <c r="F190" s="117">
        <f>'меню 7 дней завтрак и обед '!F202</f>
        <v>13.95</v>
      </c>
      <c r="G190" s="250">
        <f>'меню 7 дней завтрак и обед '!G202</f>
        <v>56</v>
      </c>
      <c r="H190" s="250">
        <f>'меню 7 дней завтрак и обед '!H202</f>
        <v>376</v>
      </c>
      <c r="I190" s="117">
        <f>'меню 7 дней завтрак и обед '!I202</f>
        <v>1.59</v>
      </c>
    </row>
    <row r="191" spans="1:9" s="926" customFormat="1" ht="15.6" customHeight="1" x14ac:dyDescent="0.25">
      <c r="A191" s="1507"/>
      <c r="B191" s="1284" t="str">
        <f>'меню 7 дней завтрак и обед '!B203</f>
        <v>Вода питьевая 19 л</v>
      </c>
      <c r="C191" s="704">
        <f>'меню 7 дней завтрак и обед '!C203</f>
        <v>500</v>
      </c>
      <c r="D191" s="117">
        <f>'меню 7 дней завтрак и обед '!D203</f>
        <v>0</v>
      </c>
      <c r="E191" s="117">
        <f>'меню 7 дней завтрак и обед '!E203</f>
        <v>0</v>
      </c>
      <c r="F191" s="117">
        <f>'меню 7 дней завтрак и обед '!F203</f>
        <v>0</v>
      </c>
      <c r="G191" s="250">
        <f>'меню 7 дней завтрак и обед '!G203</f>
        <v>0</v>
      </c>
      <c r="H191" s="250" t="str">
        <f>'меню 7 дней завтрак и обед '!H203</f>
        <v>ПРОМ</v>
      </c>
      <c r="I191" s="117">
        <f>'меню 7 дней завтрак и обед '!I203</f>
        <v>2.9</v>
      </c>
    </row>
    <row r="192" spans="1:9" s="926" customFormat="1" x14ac:dyDescent="0.25">
      <c r="A192" s="1508"/>
      <c r="B192" s="1284">
        <f>'меню 7 дней завтрак и обед '!B204</f>
        <v>0</v>
      </c>
      <c r="C192" s="704">
        <f>'меню 7 дней завтрак и обед '!C204</f>
        <v>0</v>
      </c>
      <c r="D192" s="117">
        <f>'меню 7 дней завтрак и обед '!D204</f>
        <v>0</v>
      </c>
      <c r="E192" s="117">
        <f>'меню 7 дней завтрак и обед '!E204</f>
        <v>0</v>
      </c>
      <c r="F192" s="117">
        <f>'меню 7 дней завтрак и обед '!F204</f>
        <v>0</v>
      </c>
      <c r="G192" s="250">
        <f>'меню 7 дней завтрак и обед '!G204</f>
        <v>0</v>
      </c>
      <c r="H192" s="250">
        <f>'меню 7 дней завтрак и обед '!H204</f>
        <v>0</v>
      </c>
      <c r="I192" s="117">
        <f>'меню 7 дней завтрак и обед '!I204</f>
        <v>0</v>
      </c>
    </row>
    <row r="193" spans="1:9" s="926" customFormat="1" x14ac:dyDescent="0.25">
      <c r="A193" s="925"/>
      <c r="B193" s="1284">
        <f>'меню 7 дней завтрак и обед '!B205</f>
        <v>0</v>
      </c>
      <c r="C193" s="704">
        <f>'меню 7 дней завтрак и обед '!C205</f>
        <v>0</v>
      </c>
      <c r="D193" s="117">
        <f>'меню 7 дней завтрак и обед '!D205</f>
        <v>0</v>
      </c>
      <c r="E193" s="117">
        <f>'меню 7 дней завтрак и обед '!E205</f>
        <v>0</v>
      </c>
      <c r="F193" s="117">
        <f>'меню 7 дней завтрак и обед '!F205</f>
        <v>0</v>
      </c>
      <c r="G193" s="250">
        <f>'меню 7 дней завтрак и обед '!G205</f>
        <v>0</v>
      </c>
      <c r="H193" s="250">
        <f>'меню 7 дней завтрак и обед '!H205</f>
        <v>0</v>
      </c>
      <c r="I193" s="117">
        <f>'меню 7 дней завтрак и обед '!I205</f>
        <v>0</v>
      </c>
    </row>
    <row r="194" spans="1:9" x14ac:dyDescent="0.25">
      <c r="A194" s="580"/>
      <c r="B194" s="1285" t="s">
        <v>111</v>
      </c>
      <c r="C194" s="812"/>
      <c r="D194" s="119">
        <f>SUM(D185:D193)</f>
        <v>28.91</v>
      </c>
      <c r="E194" s="119">
        <f t="shared" ref="E194" si="47">SUM(E185:E193)</f>
        <v>30.11</v>
      </c>
      <c r="F194" s="119">
        <f t="shared" ref="F194" si="48">SUM(F185:F193)</f>
        <v>89.27</v>
      </c>
      <c r="G194" s="251">
        <f t="shared" ref="G194:I194" si="49">SUM(G185:G193)</f>
        <v>740</v>
      </c>
      <c r="H194" s="251"/>
      <c r="I194" s="432">
        <f t="shared" si="49"/>
        <v>82.06</v>
      </c>
    </row>
    <row r="195" spans="1:9" x14ac:dyDescent="0.25">
      <c r="A195" s="1503" t="s">
        <v>112</v>
      </c>
      <c r="B195" s="1284" t="str">
        <f>'меню 7 дней завтрак и обед '!B207</f>
        <v>Огурцы, помидоры в нарезке</v>
      </c>
      <c r="C195" s="704">
        <f>'меню 7 дней завтрак и обед '!C207</f>
        <v>60</v>
      </c>
      <c r="D195" s="117">
        <f>'меню 7 дней завтрак и обед '!D207</f>
        <v>0.42</v>
      </c>
      <c r="E195" s="117">
        <f>'меню 7 дней завтрак и обед '!E207</f>
        <v>0.06</v>
      </c>
      <c r="F195" s="117">
        <f>'меню 7 дней завтрак и обед '!F207</f>
        <v>1.1399999999999999</v>
      </c>
      <c r="G195" s="250">
        <f>'меню 7 дней завтрак и обед '!G207</f>
        <v>7</v>
      </c>
      <c r="H195" s="250">
        <f>'меню 7 дней завтрак и обед '!H207</f>
        <v>71</v>
      </c>
      <c r="I195" s="117">
        <f>'меню 7 дней завтрак и обед '!I207</f>
        <v>5.66</v>
      </c>
    </row>
    <row r="196" spans="1:9" ht="26.4" x14ac:dyDescent="0.25">
      <c r="A196" s="1504"/>
      <c r="B196" s="1284" t="str">
        <f>'меню 7 дней завтрак и обед '!B208</f>
        <v>Борщ с капустой и картофелем, со сметаной</v>
      </c>
      <c r="C196" s="704">
        <f>'меню 7 дней завтрак и обед '!C208</f>
        <v>250</v>
      </c>
      <c r="D196" s="117">
        <f>'меню 7 дней завтрак и обед '!D208</f>
        <v>1.8</v>
      </c>
      <c r="E196" s="117">
        <f>'меню 7 дней завтрак и обед '!E208</f>
        <v>4.92</v>
      </c>
      <c r="F196" s="117">
        <f>'меню 7 дней завтрак и обед '!F208</f>
        <v>10.93</v>
      </c>
      <c r="G196" s="250">
        <f>'меню 7 дней завтрак и обед '!G208</f>
        <v>104</v>
      </c>
      <c r="H196" s="250">
        <f>'меню 7 дней завтрак и обед '!H208</f>
        <v>82</v>
      </c>
      <c r="I196" s="117">
        <f>'меню 7 дней завтрак и обед '!I208</f>
        <v>10.8</v>
      </c>
    </row>
    <row r="197" spans="1:9" x14ac:dyDescent="0.25">
      <c r="A197" s="1504"/>
      <c r="B197" s="1284" t="str">
        <f>'меню 7 дней завтрак и обед '!B209</f>
        <v>Гуляш с соусом томатным (2 вариант)</v>
      </c>
      <c r="C197" s="704">
        <f>'меню 7 дней завтрак и обед '!C209</f>
        <v>140</v>
      </c>
      <c r="D197" s="117">
        <f>'меню 7 дней завтрак и обед '!D209</f>
        <v>20.37</v>
      </c>
      <c r="E197" s="117">
        <f>'меню 7 дней завтрак и обед '!E209</f>
        <v>23.51</v>
      </c>
      <c r="F197" s="117">
        <f>'меню 7 дней завтрак и обед '!F209</f>
        <v>4.05</v>
      </c>
      <c r="G197" s="250">
        <f>'меню 7 дней завтрак и обед '!G209</f>
        <v>309</v>
      </c>
      <c r="H197" s="250">
        <f>'меню 7 дней завтрак и обед '!H209</f>
        <v>260</v>
      </c>
      <c r="I197" s="117">
        <f>'меню 7 дней завтрак и обед '!I209</f>
        <v>95.05</v>
      </c>
    </row>
    <row r="198" spans="1:9" s="407" customFormat="1" x14ac:dyDescent="0.25">
      <c r="A198" s="1504"/>
      <c r="B198" s="1284" t="str">
        <f>'меню 7 дней завтрак и обед '!B210</f>
        <v>Каша рассыпчатая гречневая (гарнир)</v>
      </c>
      <c r="C198" s="704">
        <f>'меню 7 дней завтрак и обед '!C210</f>
        <v>150</v>
      </c>
      <c r="D198" s="117">
        <f>'меню 7 дней завтрак и обед '!D210</f>
        <v>8.6</v>
      </c>
      <c r="E198" s="117">
        <f>'меню 7 дней завтрак и обед '!E210</f>
        <v>6.09</v>
      </c>
      <c r="F198" s="117">
        <f>'меню 7 дней завтрак и обед '!F210</f>
        <v>38.64</v>
      </c>
      <c r="G198" s="250">
        <f>'меню 7 дней завтрак и обед '!G210</f>
        <v>244</v>
      </c>
      <c r="H198" s="250">
        <f>'меню 7 дней завтрак и обед '!H210</f>
        <v>302</v>
      </c>
      <c r="I198" s="117">
        <f>'меню 7 дней завтрак и обед '!I210</f>
        <v>10.69</v>
      </c>
    </row>
    <row r="199" spans="1:9" s="463" customFormat="1" x14ac:dyDescent="0.25">
      <c r="A199" s="1504"/>
      <c r="B199" s="1284" t="str">
        <f>'меню 7 дней завтрак и обед '!B211</f>
        <v>Компот из смеси сухофруктов</v>
      </c>
      <c r="C199" s="704">
        <f>'меню 7 дней завтрак и обед '!C211</f>
        <v>200</v>
      </c>
      <c r="D199" s="117">
        <f>'меню 7 дней завтрак и обед '!D211</f>
        <v>0.66</v>
      </c>
      <c r="E199" s="117">
        <f>'меню 7 дней завтрак и обед '!E211</f>
        <v>0.09</v>
      </c>
      <c r="F199" s="117">
        <f>'меню 7 дней завтрак и обед '!F211</f>
        <v>32.01</v>
      </c>
      <c r="G199" s="250">
        <f>'меню 7 дней завтрак и обед '!G211</f>
        <v>133</v>
      </c>
      <c r="H199" s="250">
        <f>'меню 7 дней завтрак и обед '!H211</f>
        <v>349</v>
      </c>
      <c r="I199" s="117">
        <f>'меню 7 дней завтрак и обед '!I211</f>
        <v>4.18</v>
      </c>
    </row>
    <row r="200" spans="1:9" s="463" customFormat="1" x14ac:dyDescent="0.25">
      <c r="A200" s="1504"/>
      <c r="B200" s="1284" t="str">
        <f>'меню 7 дней завтрак и обед '!B212</f>
        <v>Хлеб пшеничный нарезной</v>
      </c>
      <c r="C200" s="704">
        <f>'меню 7 дней завтрак и обед '!C212</f>
        <v>20</v>
      </c>
      <c r="D200" s="117">
        <f>'меню 7 дней завтрак и обед '!D212</f>
        <v>2.14</v>
      </c>
      <c r="E200" s="117">
        <f>'меню 7 дней завтрак и обед '!E212</f>
        <v>0.9</v>
      </c>
      <c r="F200" s="117">
        <f>'меню 7 дней завтрак и обед '!F212</f>
        <v>8.6999999999999993</v>
      </c>
      <c r="G200" s="250">
        <f>'меню 7 дней завтрак и обед '!G212</f>
        <v>55</v>
      </c>
      <c r="H200" s="250" t="str">
        <f>'меню 7 дней завтрак и обед '!H212</f>
        <v>ПРОМ</v>
      </c>
      <c r="I200" s="117">
        <f>'меню 7 дней завтрак и обед '!I212</f>
        <v>1.3</v>
      </c>
    </row>
    <row r="201" spans="1:9" s="463" customFormat="1" x14ac:dyDescent="0.25">
      <c r="A201" s="1504"/>
      <c r="B201" s="1284" t="str">
        <f>'меню 7 дней завтрак и обед '!B213</f>
        <v>Хлеб пшенично-ржаной нарезной</v>
      </c>
      <c r="C201" s="704">
        <f>'меню 7 дней завтрак и обед '!C213</f>
        <v>30</v>
      </c>
      <c r="D201" s="117">
        <f>'меню 7 дней завтрак и обед '!D213</f>
        <v>2.25</v>
      </c>
      <c r="E201" s="117">
        <f>'меню 7 дней завтрак и обед '!E213</f>
        <v>0.6</v>
      </c>
      <c r="F201" s="117">
        <f>'меню 7 дней завтрак и обед '!F213</f>
        <v>15.6</v>
      </c>
      <c r="G201" s="250">
        <f>'меню 7 дней завтрак и обед '!G213</f>
        <v>75</v>
      </c>
      <c r="H201" s="250" t="str">
        <f>'меню 7 дней завтрак и обед '!H213</f>
        <v>ПРОМ</v>
      </c>
      <c r="I201" s="117">
        <f>'меню 7 дней завтрак и обед '!I213</f>
        <v>1.95</v>
      </c>
    </row>
    <row r="202" spans="1:9" s="699" customFormat="1" x14ac:dyDescent="0.25">
      <c r="A202" s="1504"/>
      <c r="B202" s="1284">
        <f>'меню 7 дней завтрак и обед '!B214</f>
        <v>0</v>
      </c>
      <c r="C202" s="704">
        <f>'меню 7 дней завтрак и обед '!C214</f>
        <v>0</v>
      </c>
      <c r="D202" s="117">
        <f>'меню 7 дней завтрак и обед '!D214</f>
        <v>0</v>
      </c>
      <c r="E202" s="117">
        <f>'меню 7 дней завтрак и обед '!E214</f>
        <v>0</v>
      </c>
      <c r="F202" s="117">
        <f>'меню 7 дней завтрак и обед '!F214</f>
        <v>0</v>
      </c>
      <c r="G202" s="250">
        <f>'меню 7 дней завтрак и обед '!G214</f>
        <v>0</v>
      </c>
      <c r="H202" s="250">
        <f>'меню 7 дней завтрак и обед '!H214</f>
        <v>0</v>
      </c>
      <c r="I202" s="117">
        <f>'меню 7 дней завтрак и обед '!I214</f>
        <v>0</v>
      </c>
    </row>
    <row r="203" spans="1:9" s="699" customFormat="1" x14ac:dyDescent="0.25">
      <c r="A203" s="1505"/>
      <c r="B203" s="1284">
        <f>'меню 7 дней завтрак и обед '!B215</f>
        <v>0</v>
      </c>
      <c r="C203" s="704">
        <f>'меню 7 дней завтрак и обед '!C215</f>
        <v>0</v>
      </c>
      <c r="D203" s="117">
        <f>'меню 7 дней завтрак и обед '!D215</f>
        <v>0</v>
      </c>
      <c r="E203" s="117">
        <f>'меню 7 дней завтрак и обед '!E215</f>
        <v>0</v>
      </c>
      <c r="F203" s="117">
        <f>'меню 7 дней завтрак и обед '!F215</f>
        <v>0</v>
      </c>
      <c r="G203" s="250">
        <f>'меню 7 дней завтрак и обед '!G215</f>
        <v>0</v>
      </c>
      <c r="H203" s="250">
        <f>'меню 7 дней завтрак и обед '!H215</f>
        <v>0</v>
      </c>
      <c r="I203" s="117">
        <f>'меню 7 дней завтрак и обед '!I215</f>
        <v>0</v>
      </c>
    </row>
    <row r="204" spans="1:9" x14ac:dyDescent="0.25">
      <c r="A204" s="580"/>
      <c r="B204" s="1285" t="s">
        <v>113</v>
      </c>
      <c r="C204" s="812"/>
      <c r="D204" s="119">
        <f>SUM(D195:D203)</f>
        <v>36.24</v>
      </c>
      <c r="E204" s="119">
        <f>SUM(E195:E203)</f>
        <v>36.17</v>
      </c>
      <c r="F204" s="119">
        <f>SUM(F195:F203)</f>
        <v>111.07</v>
      </c>
      <c r="G204" s="251">
        <f>SUM(G195:G203)</f>
        <v>927</v>
      </c>
      <c r="H204" s="251"/>
      <c r="I204" s="432">
        <f t="shared" ref="I204" si="50">SUM(I195:I203)</f>
        <v>129.63</v>
      </c>
    </row>
    <row r="205" spans="1:9" s="570" customFormat="1" hidden="1" x14ac:dyDescent="0.25">
      <c r="A205" s="1503" t="s">
        <v>800</v>
      </c>
      <c r="B205" s="1284">
        <f>'меню 7 дней завтрак и обед '!B217</f>
        <v>0</v>
      </c>
      <c r="C205" s="704">
        <f>'меню 7 дней завтрак и обед '!C217</f>
        <v>0</v>
      </c>
      <c r="D205" s="117">
        <f>'меню 7 дней завтрак и обед '!D217</f>
        <v>0</v>
      </c>
      <c r="E205" s="117">
        <f>'меню 7 дней завтрак и обед '!E217</f>
        <v>0</v>
      </c>
      <c r="F205" s="117">
        <f>'меню 7 дней завтрак и обед '!F217</f>
        <v>0</v>
      </c>
      <c r="G205" s="250">
        <f>'меню 7 дней завтрак и обед '!G217</f>
        <v>0</v>
      </c>
      <c r="H205" s="250"/>
      <c r="I205" s="431">
        <f>'меню 7 дней завтрак и обед '!I217</f>
        <v>0</v>
      </c>
    </row>
    <row r="206" spans="1:9" s="570" customFormat="1" hidden="1" x14ac:dyDescent="0.25">
      <c r="A206" s="1504"/>
      <c r="B206" s="1284">
        <f>'меню 7 дней завтрак и обед '!B218</f>
        <v>0</v>
      </c>
      <c r="C206" s="704">
        <f>'меню 7 дней завтрак и обед '!C218</f>
        <v>0</v>
      </c>
      <c r="D206" s="117">
        <f>'меню 7 дней завтрак и обед '!D218</f>
        <v>0</v>
      </c>
      <c r="E206" s="117">
        <f>'меню 7 дней завтрак и обед '!E218</f>
        <v>0</v>
      </c>
      <c r="F206" s="117">
        <f>'меню 7 дней завтрак и обед '!F218</f>
        <v>0</v>
      </c>
      <c r="G206" s="250">
        <f>'меню 7 дней завтрак и обед '!G218</f>
        <v>0</v>
      </c>
      <c r="H206" s="250"/>
      <c r="I206" s="431">
        <f>'меню 7 дней завтрак и обед '!I218</f>
        <v>0</v>
      </c>
    </row>
    <row r="207" spans="1:9" s="570" customFormat="1" hidden="1" x14ac:dyDescent="0.25">
      <c r="A207" s="1504"/>
      <c r="B207" s="1284">
        <f>'меню 7 дней завтрак и обед '!B219</f>
        <v>0</v>
      </c>
      <c r="C207" s="704">
        <f>'меню 7 дней завтрак и обед '!C219</f>
        <v>0</v>
      </c>
      <c r="D207" s="117">
        <f>'меню 7 дней завтрак и обед '!D219</f>
        <v>0</v>
      </c>
      <c r="E207" s="117">
        <f>'меню 7 дней завтрак и обед '!E219</f>
        <v>0</v>
      </c>
      <c r="F207" s="117">
        <f>'меню 7 дней завтрак и обед '!F219</f>
        <v>0</v>
      </c>
      <c r="G207" s="250">
        <f>'меню 7 дней завтрак и обед '!G219</f>
        <v>0</v>
      </c>
      <c r="H207" s="250"/>
      <c r="I207" s="431">
        <f>'меню 7 дней завтрак и обед '!I219</f>
        <v>0</v>
      </c>
    </row>
    <row r="208" spans="1:9" s="570" customFormat="1" hidden="1" x14ac:dyDescent="0.25">
      <c r="A208" s="1504"/>
      <c r="B208" s="1284">
        <f>'меню 7 дней завтрак и обед '!B220</f>
        <v>0</v>
      </c>
      <c r="C208" s="704">
        <f>'меню 7 дней завтрак и обед '!C220</f>
        <v>0</v>
      </c>
      <c r="D208" s="117">
        <f>'меню 7 дней завтрак и обед '!D220</f>
        <v>0</v>
      </c>
      <c r="E208" s="117">
        <f>'меню 7 дней завтрак и обед '!E220</f>
        <v>0</v>
      </c>
      <c r="F208" s="117">
        <f>'меню 7 дней завтрак и обед '!F220</f>
        <v>0</v>
      </c>
      <c r="G208" s="250">
        <f>'меню 7 дней завтрак и обед '!G220</f>
        <v>0</v>
      </c>
      <c r="H208" s="250"/>
      <c r="I208" s="431">
        <f>'меню 7 дней завтрак и обед '!I220</f>
        <v>0</v>
      </c>
    </row>
    <row r="209" spans="1:9" s="570" customFormat="1" hidden="1" x14ac:dyDescent="0.25">
      <c r="A209" s="1505"/>
      <c r="B209" s="1284">
        <f>'меню 7 дней завтрак и обед '!B221</f>
        <v>0</v>
      </c>
      <c r="C209" s="704">
        <f>'меню 7 дней завтрак и обед '!C221</f>
        <v>0</v>
      </c>
      <c r="D209" s="117">
        <f>'меню 7 дней завтрак и обед '!D221</f>
        <v>0</v>
      </c>
      <c r="E209" s="117">
        <f>'меню 7 дней завтрак и обед '!E221</f>
        <v>0</v>
      </c>
      <c r="F209" s="117">
        <f>'меню 7 дней завтрак и обед '!F221</f>
        <v>0</v>
      </c>
      <c r="G209" s="250">
        <f>'меню 7 дней завтрак и обед '!G221</f>
        <v>0</v>
      </c>
      <c r="H209" s="250"/>
      <c r="I209" s="431">
        <f>'меню 7 дней завтрак и обед '!I221</f>
        <v>0</v>
      </c>
    </row>
    <row r="210" spans="1:9" s="570" customFormat="1" hidden="1" x14ac:dyDescent="0.25">
      <c r="A210" s="580"/>
      <c r="B210" s="1285" t="s">
        <v>801</v>
      </c>
      <c r="C210" s="812"/>
      <c r="D210" s="119">
        <f t="shared" ref="D210:G210" si="51">SUM(D205:D209)</f>
        <v>0</v>
      </c>
      <c r="E210" s="119">
        <f t="shared" si="51"/>
        <v>0</v>
      </c>
      <c r="F210" s="119">
        <f t="shared" si="51"/>
        <v>0</v>
      </c>
      <c r="G210" s="251">
        <f t="shared" si="51"/>
        <v>0</v>
      </c>
      <c r="H210" s="251"/>
      <c r="I210" s="432">
        <f t="shared" ref="I210" si="52">SUM(I205:I209)</f>
        <v>0</v>
      </c>
    </row>
    <row r="211" spans="1:9" x14ac:dyDescent="0.25">
      <c r="A211" s="581"/>
      <c r="B211" s="1286" t="s">
        <v>1417</v>
      </c>
      <c r="C211" s="813"/>
      <c r="D211" s="810">
        <f t="shared" ref="D211:G211" si="53">D194+D204+D210</f>
        <v>65.150000000000006</v>
      </c>
      <c r="E211" s="810">
        <f t="shared" si="53"/>
        <v>66.28</v>
      </c>
      <c r="F211" s="810">
        <f t="shared" si="53"/>
        <v>200.34</v>
      </c>
      <c r="G211" s="635">
        <f t="shared" si="53"/>
        <v>1667</v>
      </c>
      <c r="H211" s="635"/>
      <c r="I211" s="646">
        <f t="shared" ref="I211" si="54">I194+I204+I210</f>
        <v>211.69</v>
      </c>
    </row>
    <row r="212" spans="1:9" s="474" customFormat="1" hidden="1" x14ac:dyDescent="0.25">
      <c r="A212" s="582"/>
      <c r="B212" s="1288" t="s">
        <v>1229</v>
      </c>
      <c r="C212" s="814"/>
      <c r="D212" s="811"/>
      <c r="E212" s="811"/>
      <c r="F212" s="811"/>
      <c r="G212" s="634"/>
      <c r="H212" s="634"/>
      <c r="I212" s="811"/>
    </row>
    <row r="213" spans="1:9" s="474" customFormat="1" hidden="1" x14ac:dyDescent="0.25">
      <c r="A213" s="1503" t="s">
        <v>109</v>
      </c>
      <c r="B213" s="1284">
        <f>'меню 7 дней завтрак и обед '!B227</f>
        <v>0</v>
      </c>
      <c r="C213" s="704">
        <f>'меню 7 дней завтрак и обед '!C227</f>
        <v>0</v>
      </c>
      <c r="D213" s="117">
        <f>'меню 7 дней завтрак и обед '!D227</f>
        <v>0</v>
      </c>
      <c r="E213" s="117">
        <f>'меню 7 дней завтрак и обед '!E227</f>
        <v>0</v>
      </c>
      <c r="F213" s="117">
        <f>'меню 7 дней завтрак и обед '!F227</f>
        <v>0</v>
      </c>
      <c r="G213" s="250">
        <f>'меню 7 дней завтрак и обед '!G227</f>
        <v>0</v>
      </c>
      <c r="H213" s="250">
        <f>'меню 7 дней завтрак и обед '!H227</f>
        <v>0</v>
      </c>
      <c r="I213" s="117">
        <f>'меню 7 дней завтрак и обед '!I227</f>
        <v>0</v>
      </c>
    </row>
    <row r="214" spans="1:9" s="474" customFormat="1" hidden="1" x14ac:dyDescent="0.25">
      <c r="A214" s="1504"/>
      <c r="B214" s="1284">
        <f>'меню 7 дней завтрак и обед '!B228</f>
        <v>0</v>
      </c>
      <c r="C214" s="704">
        <f>'меню 7 дней завтрак и обед '!C228</f>
        <v>0</v>
      </c>
      <c r="D214" s="117">
        <f>'меню 7 дней завтрак и обед '!D228</f>
        <v>0</v>
      </c>
      <c r="E214" s="117">
        <f>'меню 7 дней завтрак и обед '!E228</f>
        <v>0</v>
      </c>
      <c r="F214" s="117">
        <f>'меню 7 дней завтрак и обед '!F228</f>
        <v>0</v>
      </c>
      <c r="G214" s="250">
        <f>'меню 7 дней завтрак и обед '!G228</f>
        <v>0</v>
      </c>
      <c r="H214" s="250">
        <f>'меню 7 дней завтрак и обед '!H228</f>
        <v>0</v>
      </c>
      <c r="I214" s="117">
        <f>'меню 7 дней завтрак и обед '!I228</f>
        <v>0</v>
      </c>
    </row>
    <row r="215" spans="1:9" s="474" customFormat="1" hidden="1" x14ac:dyDescent="0.25">
      <c r="A215" s="1504"/>
      <c r="B215" s="1284">
        <f>'меню 7 дней завтрак и обед '!B229</f>
        <v>0</v>
      </c>
      <c r="C215" s="704">
        <f>'меню 7 дней завтрак и обед '!C229</f>
        <v>0</v>
      </c>
      <c r="D215" s="117">
        <f>'меню 7 дней завтрак и обед '!D229</f>
        <v>0</v>
      </c>
      <c r="E215" s="117">
        <f>'меню 7 дней завтрак и обед '!E229</f>
        <v>0</v>
      </c>
      <c r="F215" s="117">
        <f>'меню 7 дней завтрак и обед '!F229</f>
        <v>0</v>
      </c>
      <c r="G215" s="250">
        <f>'меню 7 дней завтрак и обед '!G229</f>
        <v>0</v>
      </c>
      <c r="H215" s="250">
        <f>'меню 7 дней завтрак и обед '!H229</f>
        <v>0</v>
      </c>
      <c r="I215" s="117">
        <f>'меню 7 дней завтрак и обед '!I229</f>
        <v>0</v>
      </c>
    </row>
    <row r="216" spans="1:9" s="474" customFormat="1" hidden="1" x14ac:dyDescent="0.25">
      <c r="A216" s="1504"/>
      <c r="B216" s="1284">
        <f>'меню 7 дней завтрак и обед '!B230</f>
        <v>0</v>
      </c>
      <c r="C216" s="704">
        <f>'меню 7 дней завтрак и обед '!C230</f>
        <v>0</v>
      </c>
      <c r="D216" s="117">
        <f>'меню 7 дней завтрак и обед '!D230</f>
        <v>0</v>
      </c>
      <c r="E216" s="117">
        <f>'меню 7 дней завтрак и обед '!E230</f>
        <v>0</v>
      </c>
      <c r="F216" s="117">
        <f>'меню 7 дней завтрак и обед '!F230</f>
        <v>0</v>
      </c>
      <c r="G216" s="250">
        <f>'меню 7 дней завтрак и обед '!G230</f>
        <v>0</v>
      </c>
      <c r="H216" s="250">
        <f>'меню 7 дней завтрак и обед '!H230</f>
        <v>0</v>
      </c>
      <c r="I216" s="117">
        <f>'меню 7 дней завтрак и обед '!I230</f>
        <v>0</v>
      </c>
    </row>
    <row r="217" spans="1:9" s="474" customFormat="1" hidden="1" x14ac:dyDescent="0.25">
      <c r="A217" s="1504"/>
      <c r="B217" s="1284">
        <f>'меню 7 дней завтрак и обед '!B231</f>
        <v>0</v>
      </c>
      <c r="C217" s="704">
        <f>'меню 7 дней завтрак и обед '!C231</f>
        <v>0</v>
      </c>
      <c r="D217" s="117">
        <f>'меню 7 дней завтрак и обед '!D231</f>
        <v>0</v>
      </c>
      <c r="E217" s="117">
        <f>'меню 7 дней завтрак и обед '!E231</f>
        <v>0</v>
      </c>
      <c r="F217" s="117">
        <f>'меню 7 дней завтрак и обед '!F231</f>
        <v>0</v>
      </c>
      <c r="G217" s="250">
        <f>'меню 7 дней завтрак и обед '!G231</f>
        <v>0</v>
      </c>
      <c r="H217" s="250">
        <f>'меню 7 дней завтрак и обед '!H231</f>
        <v>0</v>
      </c>
      <c r="I217" s="117">
        <f>'меню 7 дней завтрак и обед '!I231</f>
        <v>0</v>
      </c>
    </row>
    <row r="218" spans="1:9" s="474" customFormat="1" ht="13.95" hidden="1" customHeight="1" x14ac:dyDescent="0.25">
      <c r="A218" s="1504"/>
      <c r="B218" s="1284">
        <f>'меню 7 дней завтрак и обед '!B232</f>
        <v>0</v>
      </c>
      <c r="C218" s="704">
        <f>'меню 7 дней завтрак и обед '!C232</f>
        <v>0</v>
      </c>
      <c r="D218" s="117">
        <f>'меню 7 дней завтрак и обед '!D232</f>
        <v>0</v>
      </c>
      <c r="E218" s="117">
        <f>'меню 7 дней завтрак и обед '!E232</f>
        <v>0</v>
      </c>
      <c r="F218" s="117">
        <f>'меню 7 дней завтрак и обед '!F232</f>
        <v>0</v>
      </c>
      <c r="G218" s="250">
        <f>'меню 7 дней завтрак и обед '!G232</f>
        <v>0</v>
      </c>
      <c r="H218" s="250">
        <f>'меню 7 дней завтрак и обед '!H232</f>
        <v>0</v>
      </c>
      <c r="I218" s="117">
        <f>'меню 7 дней завтрак и обед '!I232</f>
        <v>0</v>
      </c>
    </row>
    <row r="219" spans="1:9" s="926" customFormat="1" hidden="1" x14ac:dyDescent="0.25">
      <c r="A219" s="1504"/>
      <c r="B219" s="1284">
        <f>'меню 7 дней завтрак и обед '!B233</f>
        <v>0</v>
      </c>
      <c r="C219" s="704">
        <f>'меню 7 дней завтрак и обед '!C233</f>
        <v>0</v>
      </c>
      <c r="D219" s="117">
        <f>'меню 7 дней завтрак и обед '!D233</f>
        <v>0</v>
      </c>
      <c r="E219" s="117">
        <f>'меню 7 дней завтрак и обед '!E233</f>
        <v>0</v>
      </c>
      <c r="F219" s="117">
        <f>'меню 7 дней завтрак и обед '!F233</f>
        <v>0</v>
      </c>
      <c r="G219" s="250">
        <f>'меню 7 дней завтрак и обед '!G233</f>
        <v>0</v>
      </c>
      <c r="H219" s="250">
        <f>'меню 7 дней завтрак и обед '!H233</f>
        <v>0</v>
      </c>
      <c r="I219" s="117">
        <f>'меню 7 дней завтрак и обед '!I233</f>
        <v>0</v>
      </c>
    </row>
    <row r="220" spans="1:9" s="926" customFormat="1" hidden="1" x14ac:dyDescent="0.25">
      <c r="A220" s="1504"/>
      <c r="B220" s="1284">
        <f>'меню 7 дней завтрак и обед '!B234</f>
        <v>0</v>
      </c>
      <c r="C220" s="704">
        <f>'меню 7 дней завтрак и обед '!C234</f>
        <v>0</v>
      </c>
      <c r="D220" s="117">
        <f>'меню 7 дней завтрак и обед '!D234</f>
        <v>0</v>
      </c>
      <c r="E220" s="117">
        <f>'меню 7 дней завтрак и обед '!E234</f>
        <v>0</v>
      </c>
      <c r="F220" s="117">
        <f>'меню 7 дней завтрак и обед '!F234</f>
        <v>0</v>
      </c>
      <c r="G220" s="250">
        <f>'меню 7 дней завтрак и обед '!G234</f>
        <v>0</v>
      </c>
      <c r="H220" s="250">
        <f>'меню 7 дней завтрак и обед '!H234</f>
        <v>0</v>
      </c>
      <c r="I220" s="117">
        <f>'меню 7 дней завтрак и обед '!I234</f>
        <v>0</v>
      </c>
    </row>
    <row r="221" spans="1:9" s="926" customFormat="1" hidden="1" x14ac:dyDescent="0.25">
      <c r="A221" s="1505"/>
      <c r="B221" s="1284">
        <f>'меню 7 дней завтрак и обед '!B235</f>
        <v>0</v>
      </c>
      <c r="C221" s="704">
        <f>'меню 7 дней завтрак и обед '!C235</f>
        <v>0</v>
      </c>
      <c r="D221" s="117">
        <f>'меню 7 дней завтрак и обед '!D235</f>
        <v>0</v>
      </c>
      <c r="E221" s="117">
        <f>'меню 7 дней завтрак и обед '!E235</f>
        <v>0</v>
      </c>
      <c r="F221" s="117">
        <f>'меню 7 дней завтрак и обед '!F235</f>
        <v>0</v>
      </c>
      <c r="G221" s="250">
        <f>'меню 7 дней завтрак и обед '!G235</f>
        <v>0</v>
      </c>
      <c r="H221" s="250">
        <f>'меню 7 дней завтрак и обед '!H235</f>
        <v>0</v>
      </c>
      <c r="I221" s="117">
        <f>'меню 7 дней завтрак и обед '!I235</f>
        <v>0</v>
      </c>
    </row>
    <row r="222" spans="1:9" s="474" customFormat="1" hidden="1" x14ac:dyDescent="0.25">
      <c r="A222" s="580"/>
      <c r="B222" s="1285" t="s">
        <v>111</v>
      </c>
      <c r="C222" s="812"/>
      <c r="D222" s="119">
        <f>SUM(D213:D221)</f>
        <v>0</v>
      </c>
      <c r="E222" s="119">
        <f t="shared" ref="E222" si="55">SUM(E213:E221)</f>
        <v>0</v>
      </c>
      <c r="F222" s="119">
        <f t="shared" ref="F222" si="56">SUM(F213:F221)</f>
        <v>0</v>
      </c>
      <c r="G222" s="251">
        <f t="shared" ref="G222" si="57">SUM(G213:G221)</f>
        <v>0</v>
      </c>
      <c r="H222" s="251"/>
      <c r="I222" s="119"/>
    </row>
    <row r="223" spans="1:9" s="474" customFormat="1" hidden="1" x14ac:dyDescent="0.25">
      <c r="A223" s="1503" t="s">
        <v>112</v>
      </c>
      <c r="B223" s="1284">
        <f>'меню 7 дней завтрак и обед '!B237</f>
        <v>0</v>
      </c>
      <c r="C223" s="704">
        <f>'меню 7 дней завтрак и обед '!C237</f>
        <v>0</v>
      </c>
      <c r="D223" s="117">
        <f>'меню 7 дней завтрак и обед '!D237</f>
        <v>0</v>
      </c>
      <c r="E223" s="117">
        <f>'меню 7 дней завтрак и обед '!E237</f>
        <v>0</v>
      </c>
      <c r="F223" s="117">
        <f>'меню 7 дней завтрак и обед '!F237</f>
        <v>0</v>
      </c>
      <c r="G223" s="250">
        <f>'меню 7 дней завтрак и обед '!G237</f>
        <v>0</v>
      </c>
      <c r="H223" s="250">
        <f>'меню 7 дней завтрак и обед '!H237</f>
        <v>0</v>
      </c>
      <c r="I223" s="117">
        <f>'меню 7 дней завтрак и обед '!I237</f>
        <v>0</v>
      </c>
    </row>
    <row r="224" spans="1:9" s="474" customFormat="1" hidden="1" x14ac:dyDescent="0.25">
      <c r="A224" s="1504"/>
      <c r="B224" s="1284">
        <f>'меню 7 дней завтрак и обед '!B238</f>
        <v>0</v>
      </c>
      <c r="C224" s="704">
        <f>'меню 7 дней завтрак и обед '!C238</f>
        <v>0</v>
      </c>
      <c r="D224" s="117">
        <f>'меню 7 дней завтрак и обед '!D238</f>
        <v>0</v>
      </c>
      <c r="E224" s="117">
        <f>'меню 7 дней завтрак и обед '!E238</f>
        <v>0</v>
      </c>
      <c r="F224" s="117">
        <f>'меню 7 дней завтрак и обед '!F238</f>
        <v>0</v>
      </c>
      <c r="G224" s="250">
        <f>'меню 7 дней завтрак и обед '!G238</f>
        <v>0</v>
      </c>
      <c r="H224" s="250">
        <f>'меню 7 дней завтрак и обед '!H238</f>
        <v>0</v>
      </c>
      <c r="I224" s="117">
        <f>'меню 7 дней завтрак и обед '!I238</f>
        <v>0</v>
      </c>
    </row>
    <row r="225" spans="1:9" s="474" customFormat="1" ht="13.95" hidden="1" customHeight="1" x14ac:dyDescent="0.25">
      <c r="A225" s="1504"/>
      <c r="B225" s="1284">
        <f>'меню 7 дней завтрак и обед '!B239</f>
        <v>0</v>
      </c>
      <c r="C225" s="704">
        <f>'меню 7 дней завтрак и обед '!C239</f>
        <v>0</v>
      </c>
      <c r="D225" s="117">
        <f>'меню 7 дней завтрак и обед '!D239</f>
        <v>0</v>
      </c>
      <c r="E225" s="117">
        <f>'меню 7 дней завтрак и обед '!E239</f>
        <v>0</v>
      </c>
      <c r="F225" s="117">
        <f>'меню 7 дней завтрак и обед '!F239</f>
        <v>0</v>
      </c>
      <c r="G225" s="250">
        <f>'меню 7 дней завтрак и обед '!G239</f>
        <v>0</v>
      </c>
      <c r="H225" s="250">
        <f>'меню 7 дней завтрак и обед '!H239</f>
        <v>0</v>
      </c>
      <c r="I225" s="117">
        <f>'меню 7 дней завтрак и обед '!I239</f>
        <v>0</v>
      </c>
    </row>
    <row r="226" spans="1:9" s="474" customFormat="1" hidden="1" x14ac:dyDescent="0.25">
      <c r="A226" s="1504"/>
      <c r="B226" s="1284">
        <f>'меню 7 дней завтрак и обед '!B240</f>
        <v>0</v>
      </c>
      <c r="C226" s="704">
        <f>'меню 7 дней завтрак и обед '!C240</f>
        <v>0</v>
      </c>
      <c r="D226" s="117">
        <f>'меню 7 дней завтрак и обед '!D240</f>
        <v>0</v>
      </c>
      <c r="E226" s="117">
        <f>'меню 7 дней завтрак и обед '!E240</f>
        <v>0</v>
      </c>
      <c r="F226" s="117">
        <f>'меню 7 дней завтрак и обед '!F240</f>
        <v>0</v>
      </c>
      <c r="G226" s="250">
        <f>'меню 7 дней завтрак и обед '!G240</f>
        <v>0</v>
      </c>
      <c r="H226" s="250">
        <f>'меню 7 дней завтрак и обед '!H240</f>
        <v>0</v>
      </c>
      <c r="I226" s="117">
        <f>'меню 7 дней завтрак и обед '!I240</f>
        <v>0</v>
      </c>
    </row>
    <row r="227" spans="1:9" s="474" customFormat="1" hidden="1" x14ac:dyDescent="0.25">
      <c r="A227" s="1504"/>
      <c r="B227" s="1284">
        <f>'меню 7 дней завтрак и обед '!B241</f>
        <v>0</v>
      </c>
      <c r="C227" s="704">
        <f>'меню 7 дней завтрак и обед '!C241</f>
        <v>0</v>
      </c>
      <c r="D227" s="117">
        <f>'меню 7 дней завтрак и обед '!D241</f>
        <v>0</v>
      </c>
      <c r="E227" s="117">
        <f>'меню 7 дней завтрак и обед '!E241</f>
        <v>0</v>
      </c>
      <c r="F227" s="117">
        <f>'меню 7 дней завтрак и обед '!F241</f>
        <v>0</v>
      </c>
      <c r="G227" s="250">
        <f>'меню 7 дней завтрак и обед '!G241</f>
        <v>0</v>
      </c>
      <c r="H227" s="250">
        <f>'меню 7 дней завтрак и обед '!H241</f>
        <v>0</v>
      </c>
      <c r="I227" s="117">
        <f>'меню 7 дней завтрак и обед '!I241</f>
        <v>0</v>
      </c>
    </row>
    <row r="228" spans="1:9" s="474" customFormat="1" hidden="1" x14ac:dyDescent="0.25">
      <c r="A228" s="1504"/>
      <c r="B228" s="1284">
        <f>'меню 7 дней завтрак и обед '!B242</f>
        <v>0</v>
      </c>
      <c r="C228" s="704">
        <f>'меню 7 дней завтрак и обед '!C242</f>
        <v>0</v>
      </c>
      <c r="D228" s="117">
        <f>'меню 7 дней завтрак и обед '!D242</f>
        <v>0</v>
      </c>
      <c r="E228" s="117">
        <f>'меню 7 дней завтрак и обед '!E242</f>
        <v>0</v>
      </c>
      <c r="F228" s="117">
        <f>'меню 7 дней завтрак и обед '!F242</f>
        <v>0</v>
      </c>
      <c r="G228" s="250">
        <f>'меню 7 дней завтрак и обед '!G242</f>
        <v>0</v>
      </c>
      <c r="H228" s="250">
        <f>'меню 7 дней завтрак и обед '!H242</f>
        <v>0</v>
      </c>
      <c r="I228" s="117">
        <f>'меню 7 дней завтрак и обед '!I242</f>
        <v>0</v>
      </c>
    </row>
    <row r="229" spans="1:9" s="474" customFormat="1" hidden="1" x14ac:dyDescent="0.25">
      <c r="A229" s="1504"/>
      <c r="B229" s="1284">
        <f>'меню 7 дней завтрак и обед '!B243</f>
        <v>0</v>
      </c>
      <c r="C229" s="704">
        <f>'меню 7 дней завтрак и обед '!C243</f>
        <v>0</v>
      </c>
      <c r="D229" s="117">
        <f>'меню 7 дней завтрак и обед '!D243</f>
        <v>0</v>
      </c>
      <c r="E229" s="117">
        <f>'меню 7 дней завтрак и обед '!E243</f>
        <v>0</v>
      </c>
      <c r="F229" s="117">
        <f>'меню 7 дней завтрак и обед '!F243</f>
        <v>0</v>
      </c>
      <c r="G229" s="250">
        <f>'меню 7 дней завтрак и обед '!G243</f>
        <v>0</v>
      </c>
      <c r="H229" s="250">
        <f>'меню 7 дней завтрак и обед '!H243</f>
        <v>0</v>
      </c>
      <c r="I229" s="117">
        <f>'меню 7 дней завтрак и обед '!I243</f>
        <v>0</v>
      </c>
    </row>
    <row r="230" spans="1:9" s="699" customFormat="1" hidden="1" x14ac:dyDescent="0.25">
      <c r="A230" s="1504"/>
      <c r="B230" s="1284">
        <f>'меню 7 дней завтрак и обед '!B244</f>
        <v>0</v>
      </c>
      <c r="C230" s="704">
        <f>'меню 7 дней завтрак и обед '!C244</f>
        <v>0</v>
      </c>
      <c r="D230" s="117">
        <f>'меню 7 дней завтрак и обед '!D244</f>
        <v>0</v>
      </c>
      <c r="E230" s="117">
        <f>'меню 7 дней завтрак и обед '!E244</f>
        <v>0</v>
      </c>
      <c r="F230" s="117">
        <f>'меню 7 дней завтрак и обед '!F244</f>
        <v>0</v>
      </c>
      <c r="G230" s="250">
        <f>'меню 7 дней завтрак и обед '!G244</f>
        <v>0</v>
      </c>
      <c r="H230" s="250">
        <f>'меню 7 дней завтрак и обед '!H244</f>
        <v>0</v>
      </c>
      <c r="I230" s="117">
        <f>'меню 7 дней завтрак и обед '!I244</f>
        <v>0</v>
      </c>
    </row>
    <row r="231" spans="1:9" s="699" customFormat="1" hidden="1" x14ac:dyDescent="0.25">
      <c r="A231" s="1505"/>
      <c r="B231" s="1284">
        <f>'меню 7 дней завтрак и обед '!B245</f>
        <v>0</v>
      </c>
      <c r="C231" s="704">
        <f>'меню 7 дней завтрак и обед '!C245</f>
        <v>0</v>
      </c>
      <c r="D231" s="117">
        <f>'меню 7 дней завтрак и обед '!D245</f>
        <v>0</v>
      </c>
      <c r="E231" s="117">
        <f>'меню 7 дней завтрак и обед '!E245</f>
        <v>0</v>
      </c>
      <c r="F231" s="117">
        <f>'меню 7 дней завтрак и обед '!F245</f>
        <v>0</v>
      </c>
      <c r="G231" s="250">
        <f>'меню 7 дней завтрак и обед '!G245</f>
        <v>0</v>
      </c>
      <c r="H231" s="250">
        <f>'меню 7 дней завтрак и обед '!H245</f>
        <v>0</v>
      </c>
      <c r="I231" s="117">
        <f>'меню 7 дней завтрак и обед '!I245</f>
        <v>0</v>
      </c>
    </row>
    <row r="232" spans="1:9" s="474" customFormat="1" hidden="1" x14ac:dyDescent="0.25">
      <c r="A232" s="580"/>
      <c r="B232" s="1285" t="s">
        <v>113</v>
      </c>
      <c r="C232" s="812"/>
      <c r="D232" s="119">
        <f>SUM(D223:D231)</f>
        <v>0</v>
      </c>
      <c r="E232" s="119">
        <f>SUM(E223:E231)</f>
        <v>0</v>
      </c>
      <c r="F232" s="119">
        <f>SUM(F223:F231)</f>
        <v>0</v>
      </c>
      <c r="G232" s="251">
        <f>SUM(G223:G231)</f>
        <v>0</v>
      </c>
      <c r="H232" s="251"/>
      <c r="I232" s="119"/>
    </row>
    <row r="233" spans="1:9" s="570" customFormat="1" hidden="1" x14ac:dyDescent="0.25">
      <c r="A233" s="1503" t="s">
        <v>800</v>
      </c>
      <c r="B233" s="1284">
        <f>'меню 7 дней завтрак и обед '!B247</f>
        <v>0</v>
      </c>
      <c r="C233" s="704">
        <f>'меню 7 дней завтрак и обед '!C247</f>
        <v>0</v>
      </c>
      <c r="D233" s="117">
        <f>'меню 7 дней завтрак и обед '!D247</f>
        <v>0</v>
      </c>
      <c r="E233" s="117">
        <f>'меню 7 дней завтрак и обед '!E247</f>
        <v>0</v>
      </c>
      <c r="F233" s="117">
        <f>'меню 7 дней завтрак и обед '!F247</f>
        <v>0</v>
      </c>
      <c r="G233" s="250">
        <f>'меню 7 дней завтрак и обед '!G247</f>
        <v>0</v>
      </c>
      <c r="H233" s="250">
        <f>'меню 7 дней завтрак и обед '!H247</f>
        <v>0</v>
      </c>
      <c r="I233" s="117">
        <f>'меню 7 дней завтрак и обед '!I247</f>
        <v>0</v>
      </c>
    </row>
    <row r="234" spans="1:9" s="570" customFormat="1" hidden="1" x14ac:dyDescent="0.25">
      <c r="A234" s="1504"/>
      <c r="B234" s="1284">
        <f>'меню 7 дней завтрак и обед '!B248</f>
        <v>0</v>
      </c>
      <c r="C234" s="704">
        <f>'меню 7 дней завтрак и обед '!C248</f>
        <v>0</v>
      </c>
      <c r="D234" s="117">
        <f>'меню 7 дней завтрак и обед '!D248</f>
        <v>0</v>
      </c>
      <c r="E234" s="117">
        <f>'меню 7 дней завтрак и обед '!E248</f>
        <v>0</v>
      </c>
      <c r="F234" s="117">
        <f>'меню 7 дней завтрак и обед '!F248</f>
        <v>0</v>
      </c>
      <c r="G234" s="250">
        <f>'меню 7 дней завтрак и обед '!G248</f>
        <v>0</v>
      </c>
      <c r="H234" s="250">
        <f>'меню 7 дней завтрак и обед '!H248</f>
        <v>0</v>
      </c>
      <c r="I234" s="117">
        <f>'меню 7 дней завтрак и обед '!I248</f>
        <v>0</v>
      </c>
    </row>
    <row r="235" spans="1:9" s="570" customFormat="1" hidden="1" x14ac:dyDescent="0.25">
      <c r="A235" s="1504"/>
      <c r="B235" s="1284">
        <f>'меню 7 дней завтрак и обед '!B249</f>
        <v>0</v>
      </c>
      <c r="C235" s="704">
        <f>'меню 7 дней завтрак и обед '!C249</f>
        <v>0</v>
      </c>
      <c r="D235" s="117">
        <f>'меню 7 дней завтрак и обед '!D249</f>
        <v>0</v>
      </c>
      <c r="E235" s="117">
        <f>'меню 7 дней завтрак и обед '!E249</f>
        <v>0</v>
      </c>
      <c r="F235" s="117">
        <f>'меню 7 дней завтрак и обед '!F249</f>
        <v>0</v>
      </c>
      <c r="G235" s="250">
        <f>'меню 7 дней завтрак и обед '!G249</f>
        <v>0</v>
      </c>
      <c r="H235" s="250">
        <f>'меню 7 дней завтрак и обед '!H249</f>
        <v>0</v>
      </c>
      <c r="I235" s="117">
        <f>'меню 7 дней завтрак и обед '!I249</f>
        <v>0</v>
      </c>
    </row>
    <row r="236" spans="1:9" s="570" customFormat="1" hidden="1" x14ac:dyDescent="0.25">
      <c r="A236" s="1504"/>
      <c r="B236" s="1284">
        <f>'меню 7 дней завтрак и обед '!B250</f>
        <v>0</v>
      </c>
      <c r="C236" s="704">
        <f>'меню 7 дней завтрак и обед '!C250</f>
        <v>0</v>
      </c>
      <c r="D236" s="117">
        <f>'меню 7 дней завтрак и обед '!D250</f>
        <v>0</v>
      </c>
      <c r="E236" s="117">
        <f>'меню 7 дней завтрак и обед '!E250</f>
        <v>0</v>
      </c>
      <c r="F236" s="117">
        <f>'меню 7 дней завтрак и обед '!F250</f>
        <v>0</v>
      </c>
      <c r="G236" s="250">
        <f>'меню 7 дней завтрак и обед '!G250</f>
        <v>0</v>
      </c>
      <c r="H236" s="250">
        <f>'меню 7 дней завтрак и обед '!H250</f>
        <v>0</v>
      </c>
      <c r="I236" s="117">
        <f>'меню 7 дней завтрак и обед '!I250</f>
        <v>0</v>
      </c>
    </row>
    <row r="237" spans="1:9" s="570" customFormat="1" hidden="1" x14ac:dyDescent="0.25">
      <c r="A237" s="1505"/>
      <c r="B237" s="1284">
        <f>'меню 7 дней завтрак и обед '!B251</f>
        <v>0</v>
      </c>
      <c r="C237" s="704">
        <f>'меню 7 дней завтрак и обед '!C251</f>
        <v>0</v>
      </c>
      <c r="D237" s="117">
        <f>'меню 7 дней завтрак и обед '!D251</f>
        <v>0</v>
      </c>
      <c r="E237" s="117">
        <f>'меню 7 дней завтрак и обед '!E251</f>
        <v>0</v>
      </c>
      <c r="F237" s="117">
        <f>'меню 7 дней завтрак и обед '!F251</f>
        <v>0</v>
      </c>
      <c r="G237" s="250">
        <f>'меню 7 дней завтрак и обед '!G251</f>
        <v>0</v>
      </c>
      <c r="H237" s="250">
        <f>'меню 7 дней завтрак и обед '!H251</f>
        <v>0</v>
      </c>
      <c r="I237" s="117">
        <f>'меню 7 дней завтрак и обед '!I251</f>
        <v>0</v>
      </c>
    </row>
    <row r="238" spans="1:9" s="570" customFormat="1" hidden="1" x14ac:dyDescent="0.25">
      <c r="A238" s="580"/>
      <c r="B238" s="1285" t="s">
        <v>801</v>
      </c>
      <c r="C238" s="812"/>
      <c r="D238" s="119">
        <f t="shared" ref="D238:G238" si="58">SUM(D233:D237)</f>
        <v>0</v>
      </c>
      <c r="E238" s="119">
        <f t="shared" si="58"/>
        <v>0</v>
      </c>
      <c r="F238" s="119">
        <f t="shared" si="58"/>
        <v>0</v>
      </c>
      <c r="G238" s="251">
        <f t="shared" si="58"/>
        <v>0</v>
      </c>
      <c r="H238" s="251"/>
      <c r="I238" s="119"/>
    </row>
    <row r="239" spans="1:9" s="474" customFormat="1" hidden="1" x14ac:dyDescent="0.25">
      <c r="A239" s="581"/>
      <c r="B239" s="1286" t="s">
        <v>1358</v>
      </c>
      <c r="C239" s="813"/>
      <c r="D239" s="810">
        <f t="shared" ref="D239:G239" si="59">D222+D232+D238</f>
        <v>0</v>
      </c>
      <c r="E239" s="810">
        <f t="shared" si="59"/>
        <v>0</v>
      </c>
      <c r="F239" s="810">
        <f t="shared" si="59"/>
        <v>0</v>
      </c>
      <c r="G239" s="635">
        <f t="shared" si="59"/>
        <v>0</v>
      </c>
      <c r="H239" s="635"/>
      <c r="I239" s="810"/>
    </row>
    <row r="240" spans="1:9" s="474" customFormat="1" hidden="1" x14ac:dyDescent="0.25">
      <c r="A240" s="582"/>
      <c r="B240" s="1288" t="s">
        <v>1255</v>
      </c>
      <c r="C240" s="814"/>
      <c r="D240" s="811"/>
      <c r="E240" s="811"/>
      <c r="F240" s="811"/>
      <c r="G240" s="634"/>
      <c r="H240" s="634"/>
      <c r="I240" s="811"/>
    </row>
    <row r="241" spans="1:9" s="474" customFormat="1" hidden="1" x14ac:dyDescent="0.25">
      <c r="A241" s="1503" t="s">
        <v>109</v>
      </c>
      <c r="B241" s="1284">
        <f>'меню 7 дней завтрак и обед '!B257</f>
        <v>0</v>
      </c>
      <c r="C241" s="704">
        <f>'меню 7 дней завтрак и обед '!C257</f>
        <v>0</v>
      </c>
      <c r="D241" s="117">
        <f>'меню 7 дней завтрак и обед '!D257</f>
        <v>0</v>
      </c>
      <c r="E241" s="117">
        <f>'меню 7 дней завтрак и обед '!E257</f>
        <v>0</v>
      </c>
      <c r="F241" s="117">
        <f>'меню 7 дней завтрак и обед '!F257</f>
        <v>0</v>
      </c>
      <c r="G241" s="250">
        <f>'меню 7 дней завтрак и обед '!G257</f>
        <v>0</v>
      </c>
      <c r="H241" s="250">
        <f>'меню 7 дней завтрак и обед '!H257</f>
        <v>0</v>
      </c>
      <c r="I241" s="117">
        <f>'меню 7 дней завтрак и обед '!I257</f>
        <v>0</v>
      </c>
    </row>
    <row r="242" spans="1:9" s="474" customFormat="1" hidden="1" x14ac:dyDescent="0.25">
      <c r="A242" s="1504"/>
      <c r="B242" s="1284">
        <f>'меню 7 дней завтрак и обед '!B258</f>
        <v>0</v>
      </c>
      <c r="C242" s="704">
        <f>'меню 7 дней завтрак и обед '!C258</f>
        <v>0</v>
      </c>
      <c r="D242" s="117">
        <f>'меню 7 дней завтрак и обед '!D258</f>
        <v>0</v>
      </c>
      <c r="E242" s="117">
        <f>'меню 7 дней завтрак и обед '!E258</f>
        <v>0</v>
      </c>
      <c r="F242" s="117">
        <f>'меню 7 дней завтрак и обед '!F258</f>
        <v>0</v>
      </c>
      <c r="G242" s="250">
        <f>'меню 7 дней завтрак и обед '!G258</f>
        <v>0</v>
      </c>
      <c r="H242" s="250">
        <f>'меню 7 дней завтрак и обед '!H258</f>
        <v>0</v>
      </c>
      <c r="I242" s="117">
        <f>'меню 7 дней завтрак и обед '!I258</f>
        <v>0</v>
      </c>
    </row>
    <row r="243" spans="1:9" s="474" customFormat="1" hidden="1" x14ac:dyDescent="0.25">
      <c r="A243" s="1504"/>
      <c r="B243" s="1284">
        <f>'меню 7 дней завтрак и обед '!B259</f>
        <v>0</v>
      </c>
      <c r="C243" s="704">
        <f>'меню 7 дней завтрак и обед '!C259</f>
        <v>0</v>
      </c>
      <c r="D243" s="117">
        <f>'меню 7 дней завтрак и обед '!D259</f>
        <v>0</v>
      </c>
      <c r="E243" s="117">
        <f>'меню 7 дней завтрак и обед '!E259</f>
        <v>0</v>
      </c>
      <c r="F243" s="117">
        <f>'меню 7 дней завтрак и обед '!F259</f>
        <v>0</v>
      </c>
      <c r="G243" s="250">
        <f>'меню 7 дней завтрак и обед '!G259</f>
        <v>0</v>
      </c>
      <c r="H243" s="250">
        <f>'меню 7 дней завтрак и обед '!H259</f>
        <v>0</v>
      </c>
      <c r="I243" s="117">
        <f>'меню 7 дней завтрак и обед '!I259</f>
        <v>0</v>
      </c>
    </row>
    <row r="244" spans="1:9" s="474" customFormat="1" hidden="1" x14ac:dyDescent="0.25">
      <c r="A244" s="1504"/>
      <c r="B244" s="1284">
        <f>'меню 7 дней завтрак и обед '!B260</f>
        <v>0</v>
      </c>
      <c r="C244" s="704">
        <f>'меню 7 дней завтрак и обед '!C260</f>
        <v>0</v>
      </c>
      <c r="D244" s="117">
        <f>'меню 7 дней завтрак и обед '!D260</f>
        <v>0</v>
      </c>
      <c r="E244" s="117">
        <f>'меню 7 дней завтрак и обед '!E260</f>
        <v>0</v>
      </c>
      <c r="F244" s="117">
        <f>'меню 7 дней завтрак и обед '!F260</f>
        <v>0</v>
      </c>
      <c r="G244" s="250">
        <f>'меню 7 дней завтрак и обед '!G260</f>
        <v>0</v>
      </c>
      <c r="H244" s="250">
        <f>'меню 7 дней завтрак и обед '!H260</f>
        <v>0</v>
      </c>
      <c r="I244" s="117">
        <f>'меню 7 дней завтрак и обед '!I260</f>
        <v>0</v>
      </c>
    </row>
    <row r="245" spans="1:9" s="474" customFormat="1" hidden="1" x14ac:dyDescent="0.25">
      <c r="A245" s="1504"/>
      <c r="B245" s="1284">
        <f>'меню 7 дней завтрак и обед '!B261</f>
        <v>0</v>
      </c>
      <c r="C245" s="704">
        <f>'меню 7 дней завтрак и обед '!C261</f>
        <v>0</v>
      </c>
      <c r="D245" s="117">
        <f>'меню 7 дней завтрак и обед '!D261</f>
        <v>0</v>
      </c>
      <c r="E245" s="117">
        <f>'меню 7 дней завтрак и обед '!E261</f>
        <v>0</v>
      </c>
      <c r="F245" s="117">
        <f>'меню 7 дней завтрак и обед '!F261</f>
        <v>0</v>
      </c>
      <c r="G245" s="250">
        <f>'меню 7 дней завтрак и обед '!G261</f>
        <v>0</v>
      </c>
      <c r="H245" s="250">
        <f>'меню 7 дней завтрак и обед '!H261</f>
        <v>0</v>
      </c>
      <c r="I245" s="117">
        <f>'меню 7 дней завтрак и обед '!I261</f>
        <v>0</v>
      </c>
    </row>
    <row r="246" spans="1:9" s="474" customFormat="1" hidden="1" x14ac:dyDescent="0.25">
      <c r="A246" s="1504"/>
      <c r="B246" s="1284">
        <f>'меню 7 дней завтрак и обед '!B262</f>
        <v>0</v>
      </c>
      <c r="C246" s="704">
        <f>'меню 7 дней завтрак и обед '!C262</f>
        <v>0</v>
      </c>
      <c r="D246" s="117">
        <f>'меню 7 дней завтрак и обед '!D262</f>
        <v>0</v>
      </c>
      <c r="E246" s="117">
        <f>'меню 7 дней завтрак и обед '!E262</f>
        <v>0</v>
      </c>
      <c r="F246" s="117">
        <f>'меню 7 дней завтрак и обед '!F262</f>
        <v>0</v>
      </c>
      <c r="G246" s="250">
        <f>'меню 7 дней завтрак и обед '!G262</f>
        <v>0</v>
      </c>
      <c r="H246" s="250">
        <f>'меню 7 дней завтрак и обед '!H262</f>
        <v>0</v>
      </c>
      <c r="I246" s="117">
        <f>'меню 7 дней завтрак и обед '!I262</f>
        <v>0</v>
      </c>
    </row>
    <row r="247" spans="1:9" s="926" customFormat="1" hidden="1" x14ac:dyDescent="0.25">
      <c r="A247" s="1504"/>
      <c r="B247" s="1284">
        <f>'меню 7 дней завтрак и обед '!B263</f>
        <v>0</v>
      </c>
      <c r="C247" s="704">
        <f>'меню 7 дней завтрак и обед '!C263</f>
        <v>0</v>
      </c>
      <c r="D247" s="117">
        <f>'меню 7 дней завтрак и обед '!D263</f>
        <v>0</v>
      </c>
      <c r="E247" s="117">
        <f>'меню 7 дней завтрак и обед '!E263</f>
        <v>0</v>
      </c>
      <c r="F247" s="117">
        <f>'меню 7 дней завтрак и обед '!F263</f>
        <v>0</v>
      </c>
      <c r="G247" s="250">
        <f>'меню 7 дней завтрак и обед '!G263</f>
        <v>0</v>
      </c>
      <c r="H247" s="250">
        <f>'меню 7 дней завтрак и обед '!H263</f>
        <v>0</v>
      </c>
      <c r="I247" s="117">
        <f>'меню 7 дней завтрак и обед '!I263</f>
        <v>0</v>
      </c>
    </row>
    <row r="248" spans="1:9" s="926" customFormat="1" hidden="1" x14ac:dyDescent="0.25">
      <c r="A248" s="1504"/>
      <c r="B248" s="1284">
        <f>'меню 7 дней завтрак и обед '!B264</f>
        <v>0</v>
      </c>
      <c r="C248" s="704">
        <f>'меню 7 дней завтрак и обед '!C264</f>
        <v>0</v>
      </c>
      <c r="D248" s="117">
        <f>'меню 7 дней завтрак и обед '!D264</f>
        <v>0</v>
      </c>
      <c r="E248" s="117">
        <f>'меню 7 дней завтрак и обед '!E264</f>
        <v>0</v>
      </c>
      <c r="F248" s="117">
        <f>'меню 7 дней завтрак и обед '!F264</f>
        <v>0</v>
      </c>
      <c r="G248" s="250">
        <f>'меню 7 дней завтрак и обед '!G264</f>
        <v>0</v>
      </c>
      <c r="H248" s="250">
        <f>'меню 7 дней завтрак и обед '!H264</f>
        <v>0</v>
      </c>
      <c r="I248" s="117">
        <f>'меню 7 дней завтрак и обед '!I264</f>
        <v>0</v>
      </c>
    </row>
    <row r="249" spans="1:9" s="926" customFormat="1" hidden="1" x14ac:dyDescent="0.25">
      <c r="A249" s="1505"/>
      <c r="B249" s="1284">
        <f>'меню 7 дней завтрак и обед '!B265</f>
        <v>0</v>
      </c>
      <c r="C249" s="704">
        <f>'меню 7 дней завтрак и обед '!C265</f>
        <v>0</v>
      </c>
      <c r="D249" s="117">
        <f>'меню 7 дней завтрак и обед '!D265</f>
        <v>0</v>
      </c>
      <c r="E249" s="117">
        <f>'меню 7 дней завтрак и обед '!E265</f>
        <v>0</v>
      </c>
      <c r="F249" s="117">
        <f>'меню 7 дней завтрак и обед '!F265</f>
        <v>0</v>
      </c>
      <c r="G249" s="250">
        <f>'меню 7 дней завтрак и обед '!G265</f>
        <v>0</v>
      </c>
      <c r="H249" s="250">
        <f>'меню 7 дней завтрак и обед '!H265</f>
        <v>0</v>
      </c>
      <c r="I249" s="117">
        <f>'меню 7 дней завтрак и обед '!I265</f>
        <v>0</v>
      </c>
    </row>
    <row r="250" spans="1:9" s="474" customFormat="1" hidden="1" x14ac:dyDescent="0.25">
      <c r="A250" s="580"/>
      <c r="B250" s="1285" t="s">
        <v>111</v>
      </c>
      <c r="C250" s="812"/>
      <c r="D250" s="119">
        <f>SUM(D241:D249)</f>
        <v>0</v>
      </c>
      <c r="E250" s="119">
        <f t="shared" ref="E250" si="60">SUM(E241:E249)</f>
        <v>0</v>
      </c>
      <c r="F250" s="119">
        <f t="shared" ref="F250" si="61">SUM(F241:F249)</f>
        <v>0</v>
      </c>
      <c r="G250" s="251">
        <f t="shared" ref="G250" si="62">SUM(G241:G249)</f>
        <v>0</v>
      </c>
      <c r="H250" s="251"/>
      <c r="I250" s="119"/>
    </row>
    <row r="251" spans="1:9" s="474" customFormat="1" hidden="1" x14ac:dyDescent="0.25">
      <c r="A251" s="1510" t="s">
        <v>112</v>
      </c>
      <c r="B251" s="1284">
        <f>'меню 7 дней завтрак и обед '!B267</f>
        <v>0</v>
      </c>
      <c r="C251" s="704">
        <f>'меню 7 дней завтрак и обед '!C267</f>
        <v>0</v>
      </c>
      <c r="D251" s="117">
        <f>'меню 7 дней завтрак и обед '!D267</f>
        <v>0</v>
      </c>
      <c r="E251" s="117">
        <f>'меню 7 дней завтрак и обед '!E267</f>
        <v>0</v>
      </c>
      <c r="F251" s="117">
        <f>'меню 7 дней завтрак и обед '!F267</f>
        <v>0</v>
      </c>
      <c r="G251" s="250">
        <f>'меню 7 дней завтрак и обед '!G267</f>
        <v>0</v>
      </c>
      <c r="H251" s="250">
        <f>'меню 7 дней завтрак и обед '!H267</f>
        <v>0</v>
      </c>
      <c r="I251" s="117">
        <f>'меню 7 дней завтрак и обед '!I267</f>
        <v>0</v>
      </c>
    </row>
    <row r="252" spans="1:9" s="474" customFormat="1" hidden="1" x14ac:dyDescent="0.25">
      <c r="A252" s="1511"/>
      <c r="B252" s="1284">
        <f>'меню 7 дней завтрак и обед '!B268</f>
        <v>0</v>
      </c>
      <c r="C252" s="704">
        <f>'меню 7 дней завтрак и обед '!C268</f>
        <v>0</v>
      </c>
      <c r="D252" s="117">
        <f>'меню 7 дней завтрак и обед '!D268</f>
        <v>0</v>
      </c>
      <c r="E252" s="117">
        <f>'меню 7 дней завтрак и обед '!E268</f>
        <v>0</v>
      </c>
      <c r="F252" s="117">
        <f>'меню 7 дней завтрак и обед '!F268</f>
        <v>0</v>
      </c>
      <c r="G252" s="250">
        <f>'меню 7 дней завтрак и обед '!G268</f>
        <v>0</v>
      </c>
      <c r="H252" s="250">
        <f>'меню 7 дней завтрак и обед '!H268</f>
        <v>0</v>
      </c>
      <c r="I252" s="117">
        <f>'меню 7 дней завтрак и обед '!I268</f>
        <v>0</v>
      </c>
    </row>
    <row r="253" spans="1:9" s="474" customFormat="1" hidden="1" x14ac:dyDescent="0.25">
      <c r="A253" s="1511"/>
      <c r="B253" s="1284">
        <f>'меню 7 дней завтрак и обед '!B269</f>
        <v>0</v>
      </c>
      <c r="C253" s="704">
        <f>'меню 7 дней завтрак и обед '!C269</f>
        <v>0</v>
      </c>
      <c r="D253" s="117">
        <f>'меню 7 дней завтрак и обед '!D269</f>
        <v>0</v>
      </c>
      <c r="E253" s="117">
        <f>'меню 7 дней завтрак и обед '!E269</f>
        <v>0</v>
      </c>
      <c r="F253" s="117">
        <f>'меню 7 дней завтрак и обед '!F269</f>
        <v>0</v>
      </c>
      <c r="G253" s="250">
        <f>'меню 7 дней завтрак и обед '!G269</f>
        <v>0</v>
      </c>
      <c r="H253" s="250">
        <f>'меню 7 дней завтрак и обед '!H269</f>
        <v>0</v>
      </c>
      <c r="I253" s="117">
        <f>'меню 7 дней завтрак и обед '!I269</f>
        <v>0</v>
      </c>
    </row>
    <row r="254" spans="1:9" s="474" customFormat="1" hidden="1" x14ac:dyDescent="0.25">
      <c r="A254" s="1511"/>
      <c r="B254" s="1284">
        <f>'меню 7 дней завтрак и обед '!B270</f>
        <v>0</v>
      </c>
      <c r="C254" s="704">
        <f>'меню 7 дней завтрак и обед '!C270</f>
        <v>0</v>
      </c>
      <c r="D254" s="117">
        <f>'меню 7 дней завтрак и обед '!D270</f>
        <v>0</v>
      </c>
      <c r="E254" s="117">
        <f>'меню 7 дней завтрак и обед '!E270</f>
        <v>0</v>
      </c>
      <c r="F254" s="117">
        <f>'меню 7 дней завтрак и обед '!F270</f>
        <v>0</v>
      </c>
      <c r="G254" s="250">
        <f>'меню 7 дней завтрак и обед '!G270</f>
        <v>0</v>
      </c>
      <c r="H254" s="250">
        <f>'меню 7 дней завтрак и обед '!H270</f>
        <v>0</v>
      </c>
      <c r="I254" s="117">
        <f>'меню 7 дней завтрак и обед '!I270</f>
        <v>0</v>
      </c>
    </row>
    <row r="255" spans="1:9" s="474" customFormat="1" hidden="1" x14ac:dyDescent="0.25">
      <c r="A255" s="1511"/>
      <c r="B255" s="1284">
        <f>'меню 7 дней завтрак и обед '!B271</f>
        <v>0</v>
      </c>
      <c r="C255" s="704">
        <f>'меню 7 дней завтрак и обед '!C271</f>
        <v>0</v>
      </c>
      <c r="D255" s="117">
        <f>'меню 7 дней завтрак и обед '!D271</f>
        <v>0</v>
      </c>
      <c r="E255" s="117">
        <f>'меню 7 дней завтрак и обед '!E271</f>
        <v>0</v>
      </c>
      <c r="F255" s="117">
        <f>'меню 7 дней завтрак и обед '!F271</f>
        <v>0</v>
      </c>
      <c r="G255" s="250">
        <f>'меню 7 дней завтрак и обед '!G271</f>
        <v>0</v>
      </c>
      <c r="H255" s="250">
        <f>'меню 7 дней завтрак и обед '!H271</f>
        <v>0</v>
      </c>
      <c r="I255" s="117">
        <f>'меню 7 дней завтрак и обед '!I271</f>
        <v>0</v>
      </c>
    </row>
    <row r="256" spans="1:9" s="474" customFormat="1" hidden="1" x14ac:dyDescent="0.25">
      <c r="A256" s="1511"/>
      <c r="B256" s="1284">
        <f>'меню 7 дней завтрак и обед '!B272</f>
        <v>0</v>
      </c>
      <c r="C256" s="704">
        <f>'меню 7 дней завтрак и обед '!C272</f>
        <v>0</v>
      </c>
      <c r="D256" s="117">
        <f>'меню 7 дней завтрак и обед '!D272</f>
        <v>0</v>
      </c>
      <c r="E256" s="117">
        <f>'меню 7 дней завтрак и обед '!E272</f>
        <v>0</v>
      </c>
      <c r="F256" s="117">
        <f>'меню 7 дней завтрак и обед '!F272</f>
        <v>0</v>
      </c>
      <c r="G256" s="250">
        <f>'меню 7 дней завтрак и обед '!G272</f>
        <v>0</v>
      </c>
      <c r="H256" s="250">
        <f>'меню 7 дней завтрак и обед '!H272</f>
        <v>0</v>
      </c>
      <c r="I256" s="117">
        <f>'меню 7 дней завтрак и обед '!I272</f>
        <v>0</v>
      </c>
    </row>
    <row r="257" spans="1:9" s="474" customFormat="1" hidden="1" x14ac:dyDescent="0.25">
      <c r="A257" s="1511"/>
      <c r="B257" s="1284">
        <f>'меню 7 дней завтрак и обед '!B273</f>
        <v>0</v>
      </c>
      <c r="C257" s="704">
        <f>'меню 7 дней завтрак и обед '!C273</f>
        <v>0</v>
      </c>
      <c r="D257" s="117">
        <f>'меню 7 дней завтрак и обед '!D273</f>
        <v>0</v>
      </c>
      <c r="E257" s="117">
        <f>'меню 7 дней завтрак и обед '!E273</f>
        <v>0</v>
      </c>
      <c r="F257" s="117">
        <f>'меню 7 дней завтрак и обед '!F273</f>
        <v>0</v>
      </c>
      <c r="G257" s="250">
        <f>'меню 7 дней завтрак и обед '!G273</f>
        <v>0</v>
      </c>
      <c r="H257" s="250">
        <f>'меню 7 дней завтрак и обед '!H273</f>
        <v>0</v>
      </c>
      <c r="I257" s="117">
        <f>'меню 7 дней завтрак и обед '!I273</f>
        <v>0</v>
      </c>
    </row>
    <row r="258" spans="1:9" s="699" customFormat="1" hidden="1" x14ac:dyDescent="0.25">
      <c r="A258" s="1511"/>
      <c r="B258" s="1284">
        <f>'меню 7 дней завтрак и обед '!B274</f>
        <v>0</v>
      </c>
      <c r="C258" s="704">
        <f>'меню 7 дней завтрак и обед '!C274</f>
        <v>0</v>
      </c>
      <c r="D258" s="117">
        <f>'меню 7 дней завтрак и обед '!D274</f>
        <v>0</v>
      </c>
      <c r="E258" s="117">
        <f>'меню 7 дней завтрак и обед '!E274</f>
        <v>0</v>
      </c>
      <c r="F258" s="117">
        <f>'меню 7 дней завтрак и обед '!F274</f>
        <v>0</v>
      </c>
      <c r="G258" s="250">
        <f>'меню 7 дней завтрак и обед '!G274</f>
        <v>0</v>
      </c>
      <c r="H258" s="250">
        <f>'меню 7 дней завтрак и обед '!H274</f>
        <v>0</v>
      </c>
      <c r="I258" s="117">
        <f>'меню 7 дней завтрак и обед '!I274</f>
        <v>0</v>
      </c>
    </row>
    <row r="259" spans="1:9" s="699" customFormat="1" hidden="1" x14ac:dyDescent="0.25">
      <c r="A259" s="1512"/>
      <c r="B259" s="1284">
        <f>'меню 7 дней завтрак и обед '!B275</f>
        <v>0</v>
      </c>
      <c r="C259" s="704">
        <f>'меню 7 дней завтрак и обед '!C275</f>
        <v>0</v>
      </c>
      <c r="D259" s="117">
        <f>'меню 7 дней завтрак и обед '!D275</f>
        <v>0</v>
      </c>
      <c r="E259" s="117">
        <f>'меню 7 дней завтрак и обед '!E275</f>
        <v>0</v>
      </c>
      <c r="F259" s="117">
        <f>'меню 7 дней завтрак и обед '!F275</f>
        <v>0</v>
      </c>
      <c r="G259" s="250">
        <f>'меню 7 дней завтрак и обед '!G275</f>
        <v>0</v>
      </c>
      <c r="H259" s="250">
        <f>'меню 7 дней завтрак и обед '!H275</f>
        <v>0</v>
      </c>
      <c r="I259" s="117">
        <f>'меню 7 дней завтрак и обед '!I275</f>
        <v>0</v>
      </c>
    </row>
    <row r="260" spans="1:9" s="474" customFormat="1" hidden="1" x14ac:dyDescent="0.25">
      <c r="A260" s="580"/>
      <c r="B260" s="1285" t="s">
        <v>113</v>
      </c>
      <c r="C260" s="812"/>
      <c r="D260" s="119">
        <f>SUM(D251:D259)</f>
        <v>0</v>
      </c>
      <c r="E260" s="119">
        <f>SUM(E251:E259)</f>
        <v>0</v>
      </c>
      <c r="F260" s="119">
        <f>SUM(F251:F259)</f>
        <v>0</v>
      </c>
      <c r="G260" s="251">
        <f>SUM(G251:G259)</f>
        <v>0</v>
      </c>
      <c r="H260" s="251"/>
      <c r="I260" s="119"/>
    </row>
    <row r="261" spans="1:9" s="570" customFormat="1" hidden="1" x14ac:dyDescent="0.25">
      <c r="A261" s="1503" t="s">
        <v>800</v>
      </c>
      <c r="B261" s="1284">
        <f>'меню 7 дней завтрак и обед '!B277</f>
        <v>0</v>
      </c>
      <c r="C261" s="704">
        <f>'меню 7 дней завтрак и обед '!C277</f>
        <v>0</v>
      </c>
      <c r="D261" s="117">
        <f>'меню 7 дней завтрак и обед '!D277</f>
        <v>0</v>
      </c>
      <c r="E261" s="117">
        <f>'меню 7 дней завтрак и обед '!E277</f>
        <v>0</v>
      </c>
      <c r="F261" s="117">
        <f>'меню 7 дней завтрак и обед '!F277</f>
        <v>0</v>
      </c>
      <c r="G261" s="250">
        <f>'меню 7 дней завтрак и обед '!G277</f>
        <v>0</v>
      </c>
      <c r="H261" s="250">
        <f>'меню 7 дней завтрак и обед '!H277</f>
        <v>0</v>
      </c>
      <c r="I261" s="117">
        <f>'меню 7 дней завтрак и обед '!I277</f>
        <v>0</v>
      </c>
    </row>
    <row r="262" spans="1:9" s="570" customFormat="1" hidden="1" x14ac:dyDescent="0.25">
      <c r="A262" s="1504"/>
      <c r="B262" s="1284">
        <f>'меню 7 дней завтрак и обед '!B278</f>
        <v>0</v>
      </c>
      <c r="C262" s="704">
        <f>'меню 7 дней завтрак и обед '!C278</f>
        <v>0</v>
      </c>
      <c r="D262" s="117">
        <f>'меню 7 дней завтрак и обед '!D278</f>
        <v>0</v>
      </c>
      <c r="E262" s="117">
        <f>'меню 7 дней завтрак и обед '!E278</f>
        <v>0</v>
      </c>
      <c r="F262" s="117">
        <f>'меню 7 дней завтрак и обед '!F278</f>
        <v>0</v>
      </c>
      <c r="G262" s="250">
        <f>'меню 7 дней завтрак и обед '!G278</f>
        <v>0</v>
      </c>
      <c r="H262" s="250">
        <f>'меню 7 дней завтрак и обед '!H278</f>
        <v>0</v>
      </c>
      <c r="I262" s="117">
        <f>'меню 7 дней завтрак и обед '!I278</f>
        <v>0</v>
      </c>
    </row>
    <row r="263" spans="1:9" s="570" customFormat="1" hidden="1" x14ac:dyDescent="0.25">
      <c r="A263" s="1504"/>
      <c r="B263" s="1284">
        <f>'меню 7 дней завтрак и обед '!B279</f>
        <v>0</v>
      </c>
      <c r="C263" s="704">
        <f>'меню 7 дней завтрак и обед '!C279</f>
        <v>0</v>
      </c>
      <c r="D263" s="117">
        <f>'меню 7 дней завтрак и обед '!D279</f>
        <v>0</v>
      </c>
      <c r="E263" s="117">
        <f>'меню 7 дней завтрак и обед '!E279</f>
        <v>0</v>
      </c>
      <c r="F263" s="117">
        <f>'меню 7 дней завтрак и обед '!F279</f>
        <v>0</v>
      </c>
      <c r="G263" s="250">
        <f>'меню 7 дней завтрак и обед '!G279</f>
        <v>0</v>
      </c>
      <c r="H263" s="250">
        <f>'меню 7 дней завтрак и обед '!H279</f>
        <v>0</v>
      </c>
      <c r="I263" s="117">
        <f>'меню 7 дней завтрак и обед '!I279</f>
        <v>0</v>
      </c>
    </row>
    <row r="264" spans="1:9" s="570" customFormat="1" hidden="1" x14ac:dyDescent="0.25">
      <c r="A264" s="1504"/>
      <c r="B264" s="1284">
        <f>'меню 7 дней завтрак и обед '!B280</f>
        <v>0</v>
      </c>
      <c r="C264" s="704">
        <f>'меню 7 дней завтрак и обед '!C280</f>
        <v>0</v>
      </c>
      <c r="D264" s="117">
        <f>'меню 7 дней завтрак и обед '!D280</f>
        <v>0</v>
      </c>
      <c r="E264" s="117">
        <f>'меню 7 дней завтрак и обед '!E280</f>
        <v>0</v>
      </c>
      <c r="F264" s="117">
        <f>'меню 7 дней завтрак и обед '!F280</f>
        <v>0</v>
      </c>
      <c r="G264" s="250">
        <f>'меню 7 дней завтрак и обед '!G280</f>
        <v>0</v>
      </c>
      <c r="H264" s="250">
        <f>'меню 7 дней завтрак и обед '!H280</f>
        <v>0</v>
      </c>
      <c r="I264" s="117">
        <f>'меню 7 дней завтрак и обед '!I280</f>
        <v>0</v>
      </c>
    </row>
    <row r="265" spans="1:9" s="570" customFormat="1" hidden="1" x14ac:dyDescent="0.25">
      <c r="A265" s="1505"/>
      <c r="B265" s="1284">
        <f>'меню 7 дней завтрак и обед '!B281</f>
        <v>0</v>
      </c>
      <c r="C265" s="704">
        <f>'меню 7 дней завтрак и обед '!C281</f>
        <v>0</v>
      </c>
      <c r="D265" s="117">
        <f>'меню 7 дней завтрак и обед '!D281</f>
        <v>0</v>
      </c>
      <c r="E265" s="117">
        <f>'меню 7 дней завтрак и обед '!E281</f>
        <v>0</v>
      </c>
      <c r="F265" s="117">
        <f>'меню 7 дней завтрак и обед '!F281</f>
        <v>0</v>
      </c>
      <c r="G265" s="250">
        <f>'меню 7 дней завтрак и обед '!G281</f>
        <v>0</v>
      </c>
      <c r="H265" s="250">
        <f>'меню 7 дней завтрак и обед '!H281</f>
        <v>0</v>
      </c>
      <c r="I265" s="117">
        <f>'меню 7 дней завтрак и обед '!I281</f>
        <v>0</v>
      </c>
    </row>
    <row r="266" spans="1:9" s="570" customFormat="1" hidden="1" x14ac:dyDescent="0.25">
      <c r="A266" s="580"/>
      <c r="B266" s="1285" t="s">
        <v>801</v>
      </c>
      <c r="C266" s="812"/>
      <c r="D266" s="119">
        <f t="shared" ref="D266:G266" si="63">SUM(D261:D265)</f>
        <v>0</v>
      </c>
      <c r="E266" s="119">
        <f t="shared" si="63"/>
        <v>0</v>
      </c>
      <c r="F266" s="119">
        <f t="shared" si="63"/>
        <v>0</v>
      </c>
      <c r="G266" s="251">
        <f t="shared" si="63"/>
        <v>0</v>
      </c>
      <c r="H266" s="251"/>
      <c r="I266" s="119"/>
    </row>
    <row r="267" spans="1:9" s="474" customFormat="1" hidden="1" x14ac:dyDescent="0.25">
      <c r="A267" s="581"/>
      <c r="B267" s="1286" t="s">
        <v>1361</v>
      </c>
      <c r="C267" s="813"/>
      <c r="D267" s="810">
        <f t="shared" ref="D267:G267" si="64">D250+D260+D266</f>
        <v>0</v>
      </c>
      <c r="E267" s="810">
        <f t="shared" si="64"/>
        <v>0</v>
      </c>
      <c r="F267" s="810">
        <f t="shared" si="64"/>
        <v>0</v>
      </c>
      <c r="G267" s="635">
        <f t="shared" si="64"/>
        <v>0</v>
      </c>
      <c r="H267" s="635"/>
      <c r="I267" s="810"/>
    </row>
    <row r="268" spans="1:9" s="474" customFormat="1" hidden="1" x14ac:dyDescent="0.25">
      <c r="A268" s="582"/>
      <c r="B268" s="1288" t="s">
        <v>1230</v>
      </c>
      <c r="C268" s="814"/>
      <c r="D268" s="811"/>
      <c r="E268" s="815"/>
      <c r="F268" s="815"/>
      <c r="G268" s="672"/>
      <c r="H268" s="672"/>
      <c r="I268" s="815"/>
    </row>
    <row r="269" spans="1:9" s="474" customFormat="1" hidden="1" x14ac:dyDescent="0.25">
      <c r="A269" s="1506" t="s">
        <v>109</v>
      </c>
      <c r="B269" s="1284">
        <f>'меню 7 дней завтрак и обед '!B287</f>
        <v>0</v>
      </c>
      <c r="C269" s="704">
        <f>'меню 7 дней завтрак и обед '!C287</f>
        <v>0</v>
      </c>
      <c r="D269" s="117">
        <f>'меню 7 дней завтрак и обед '!D287</f>
        <v>0</v>
      </c>
      <c r="E269" s="117">
        <f>'меню 7 дней завтрак и обед '!E287</f>
        <v>0</v>
      </c>
      <c r="F269" s="117">
        <f>'меню 7 дней завтрак и обед '!F287</f>
        <v>0</v>
      </c>
      <c r="G269" s="250">
        <f>'меню 7 дней завтрак и обед '!G287</f>
        <v>0</v>
      </c>
      <c r="H269" s="250">
        <f>'меню 7 дней завтрак и обед '!H287</f>
        <v>0</v>
      </c>
      <c r="I269" s="117">
        <f>'меню 7 дней завтрак и обед '!I287</f>
        <v>0</v>
      </c>
    </row>
    <row r="270" spans="1:9" s="474" customFormat="1" hidden="1" x14ac:dyDescent="0.25">
      <c r="A270" s="1507"/>
      <c r="B270" s="1284">
        <f>'меню 7 дней завтрак и обед '!B288</f>
        <v>0</v>
      </c>
      <c r="C270" s="704">
        <f>'меню 7 дней завтрак и обед '!C288</f>
        <v>0</v>
      </c>
      <c r="D270" s="117">
        <f>'меню 7 дней завтрак и обед '!D288</f>
        <v>0</v>
      </c>
      <c r="E270" s="117">
        <f>'меню 7 дней завтрак и обед '!E288</f>
        <v>0</v>
      </c>
      <c r="F270" s="117">
        <f>'меню 7 дней завтрак и обед '!F288</f>
        <v>0</v>
      </c>
      <c r="G270" s="250">
        <f>'меню 7 дней завтрак и обед '!G288</f>
        <v>0</v>
      </c>
      <c r="H270" s="250">
        <f>'меню 7 дней завтрак и обед '!H288</f>
        <v>0</v>
      </c>
      <c r="I270" s="117">
        <f>'меню 7 дней завтрак и обед '!I288</f>
        <v>0</v>
      </c>
    </row>
    <row r="271" spans="1:9" s="474" customFormat="1" hidden="1" x14ac:dyDescent="0.25">
      <c r="A271" s="1507"/>
      <c r="B271" s="1284">
        <f>'меню 7 дней завтрак и обед '!B289</f>
        <v>0</v>
      </c>
      <c r="C271" s="704">
        <f>'меню 7 дней завтрак и обед '!C289</f>
        <v>0</v>
      </c>
      <c r="D271" s="117">
        <f>'меню 7 дней завтрак и обед '!D289</f>
        <v>0</v>
      </c>
      <c r="E271" s="117">
        <f>'меню 7 дней завтрак и обед '!E289</f>
        <v>0</v>
      </c>
      <c r="F271" s="117">
        <f>'меню 7 дней завтрак и обед '!F289</f>
        <v>0</v>
      </c>
      <c r="G271" s="250">
        <f>'меню 7 дней завтрак и обед '!G289</f>
        <v>0</v>
      </c>
      <c r="H271" s="250">
        <f>'меню 7 дней завтрак и обед '!H289</f>
        <v>0</v>
      </c>
      <c r="I271" s="117">
        <f>'меню 7 дней завтрак и обед '!I289</f>
        <v>0</v>
      </c>
    </row>
    <row r="272" spans="1:9" s="474" customFormat="1" hidden="1" x14ac:dyDescent="0.25">
      <c r="A272" s="1507"/>
      <c r="B272" s="1284">
        <f>'меню 7 дней завтрак и обед '!B290</f>
        <v>0</v>
      </c>
      <c r="C272" s="704">
        <f>'меню 7 дней завтрак и обед '!C290</f>
        <v>0</v>
      </c>
      <c r="D272" s="117">
        <f>'меню 7 дней завтрак и обед '!D290</f>
        <v>0</v>
      </c>
      <c r="E272" s="117">
        <f>'меню 7 дней завтрак и обед '!E290</f>
        <v>0</v>
      </c>
      <c r="F272" s="117">
        <f>'меню 7 дней завтрак и обед '!F290</f>
        <v>0</v>
      </c>
      <c r="G272" s="250">
        <f>'меню 7 дней завтрак и обед '!G290</f>
        <v>0</v>
      </c>
      <c r="H272" s="250">
        <f>'меню 7 дней завтрак и обед '!H290</f>
        <v>0</v>
      </c>
      <c r="I272" s="117">
        <f>'меню 7 дней завтрак и обед '!I290</f>
        <v>0</v>
      </c>
    </row>
    <row r="273" spans="1:9" s="474" customFormat="1" hidden="1" x14ac:dyDescent="0.25">
      <c r="A273" s="1507"/>
      <c r="B273" s="1284">
        <f>'меню 7 дней завтрак и обед '!B291</f>
        <v>0</v>
      </c>
      <c r="C273" s="704">
        <f>'меню 7 дней завтрак и обед '!C291</f>
        <v>0</v>
      </c>
      <c r="D273" s="117">
        <f>'меню 7 дней завтрак и обед '!D291</f>
        <v>0</v>
      </c>
      <c r="E273" s="117">
        <f>'меню 7 дней завтрак и обед '!E291</f>
        <v>0</v>
      </c>
      <c r="F273" s="117">
        <f>'меню 7 дней завтрак и обед '!F291</f>
        <v>0</v>
      </c>
      <c r="G273" s="250">
        <f>'меню 7 дней завтрак и обед '!G291</f>
        <v>0</v>
      </c>
      <c r="H273" s="250">
        <f>'меню 7 дней завтрак и обед '!H291</f>
        <v>0</v>
      </c>
      <c r="I273" s="117">
        <f>'меню 7 дней завтрак и обед '!I291</f>
        <v>0</v>
      </c>
    </row>
    <row r="274" spans="1:9" s="474" customFormat="1" hidden="1" x14ac:dyDescent="0.25">
      <c r="A274" s="1507"/>
      <c r="B274" s="1284">
        <f>'меню 7 дней завтрак и обед '!B292</f>
        <v>0</v>
      </c>
      <c r="C274" s="704">
        <f>'меню 7 дней завтрак и обед '!C292</f>
        <v>0</v>
      </c>
      <c r="D274" s="117">
        <f>'меню 7 дней завтрак и обед '!D292</f>
        <v>0</v>
      </c>
      <c r="E274" s="117">
        <f>'меню 7 дней завтрак и обед '!E292</f>
        <v>0</v>
      </c>
      <c r="F274" s="117">
        <f>'меню 7 дней завтрак и обед '!F292</f>
        <v>0</v>
      </c>
      <c r="G274" s="250">
        <f>'меню 7 дней завтрак и обед '!G292</f>
        <v>0</v>
      </c>
      <c r="H274" s="250">
        <f>'меню 7 дней завтрак и обед '!H292</f>
        <v>0</v>
      </c>
      <c r="I274" s="117">
        <f>'меню 7 дней завтрак и обед '!I292</f>
        <v>0</v>
      </c>
    </row>
    <row r="275" spans="1:9" s="926" customFormat="1" hidden="1" x14ac:dyDescent="0.25">
      <c r="A275" s="1507"/>
      <c r="B275" s="1284">
        <f>'меню 7 дней завтрак и обед '!B293</f>
        <v>0</v>
      </c>
      <c r="C275" s="704">
        <f>'меню 7 дней завтрак и обед '!C293</f>
        <v>0</v>
      </c>
      <c r="D275" s="117">
        <f>'меню 7 дней завтрак и обед '!D293</f>
        <v>0</v>
      </c>
      <c r="E275" s="117">
        <f>'меню 7 дней завтрак и обед '!E293</f>
        <v>0</v>
      </c>
      <c r="F275" s="117">
        <f>'меню 7 дней завтрак и обед '!F293</f>
        <v>0</v>
      </c>
      <c r="G275" s="250">
        <f>'меню 7 дней завтрак и обед '!G293</f>
        <v>0</v>
      </c>
      <c r="H275" s="250">
        <f>'меню 7 дней завтрак и обед '!H293</f>
        <v>0</v>
      </c>
      <c r="I275" s="117">
        <f>'меню 7 дней завтрак и обед '!I293</f>
        <v>0</v>
      </c>
    </row>
    <row r="276" spans="1:9" s="926" customFormat="1" hidden="1" x14ac:dyDescent="0.25">
      <c r="A276" s="1507"/>
      <c r="B276" s="1284">
        <f>'меню 7 дней завтрак и обед '!B294</f>
        <v>0</v>
      </c>
      <c r="C276" s="704">
        <f>'меню 7 дней завтрак и обед '!C294</f>
        <v>0</v>
      </c>
      <c r="D276" s="117">
        <f>'меню 7 дней завтрак и обед '!D294</f>
        <v>0</v>
      </c>
      <c r="E276" s="117">
        <f>'меню 7 дней завтрак и обед '!E294</f>
        <v>0</v>
      </c>
      <c r="F276" s="117">
        <f>'меню 7 дней завтрак и обед '!F294</f>
        <v>0</v>
      </c>
      <c r="G276" s="250">
        <f>'меню 7 дней завтрак и обед '!G294</f>
        <v>0</v>
      </c>
      <c r="H276" s="250">
        <f>'меню 7 дней завтрак и обед '!H294</f>
        <v>0</v>
      </c>
      <c r="I276" s="117">
        <f>'меню 7 дней завтрак и обед '!I294</f>
        <v>0</v>
      </c>
    </row>
    <row r="277" spans="1:9" s="926" customFormat="1" hidden="1" x14ac:dyDescent="0.25">
      <c r="A277" s="1508"/>
      <c r="B277" s="1284">
        <f>'меню 7 дней завтрак и обед '!B295</f>
        <v>0</v>
      </c>
      <c r="C277" s="704">
        <f>'меню 7 дней завтрак и обед '!C295</f>
        <v>0</v>
      </c>
      <c r="D277" s="117">
        <f>'меню 7 дней завтрак и обед '!D295</f>
        <v>0</v>
      </c>
      <c r="E277" s="117">
        <f>'меню 7 дней завтрак и обед '!E295</f>
        <v>0</v>
      </c>
      <c r="F277" s="117">
        <f>'меню 7 дней завтрак и обед '!F295</f>
        <v>0</v>
      </c>
      <c r="G277" s="250">
        <f>'меню 7 дней завтрак и обед '!G295</f>
        <v>0</v>
      </c>
      <c r="H277" s="250">
        <f>'меню 7 дней завтрак и обед '!H295</f>
        <v>0</v>
      </c>
      <c r="I277" s="117">
        <f>'меню 7 дней завтрак и обед '!I295</f>
        <v>0</v>
      </c>
    </row>
    <row r="278" spans="1:9" s="474" customFormat="1" hidden="1" x14ac:dyDescent="0.25">
      <c r="A278" s="580"/>
      <c r="B278" s="1285" t="s">
        <v>111</v>
      </c>
      <c r="C278" s="812"/>
      <c r="D278" s="119">
        <f>SUM(D269:D277)</f>
        <v>0</v>
      </c>
      <c r="E278" s="119">
        <f t="shared" ref="E278" si="65">SUM(E269:E277)</f>
        <v>0</v>
      </c>
      <c r="F278" s="119">
        <f t="shared" ref="F278" si="66">SUM(F269:F277)</f>
        <v>0</v>
      </c>
      <c r="G278" s="251">
        <f t="shared" ref="G278" si="67">SUM(G269:G277)</f>
        <v>0</v>
      </c>
      <c r="H278" s="251"/>
      <c r="I278" s="119"/>
    </row>
    <row r="279" spans="1:9" hidden="1" x14ac:dyDescent="0.25">
      <c r="A279" s="1503" t="s">
        <v>112</v>
      </c>
      <c r="B279" s="1284">
        <f>'меню 7 дней завтрак и обед '!B297</f>
        <v>0</v>
      </c>
      <c r="C279" s="704">
        <f>'меню 7 дней завтрак и обед '!C297</f>
        <v>0</v>
      </c>
      <c r="D279" s="117">
        <f>'меню 7 дней завтрак и обед '!D297</f>
        <v>0</v>
      </c>
      <c r="E279" s="117">
        <f>'меню 7 дней завтрак и обед '!E297</f>
        <v>0</v>
      </c>
      <c r="F279" s="117">
        <f>'меню 7 дней завтрак и обед '!F297</f>
        <v>0</v>
      </c>
      <c r="G279" s="250">
        <f>'меню 7 дней завтрак и обед '!G297</f>
        <v>0</v>
      </c>
      <c r="H279" s="250">
        <f>'меню 7 дней завтрак и обед '!H297</f>
        <v>0</v>
      </c>
      <c r="I279" s="117">
        <f>'меню 7 дней завтрак и обед '!I297</f>
        <v>0</v>
      </c>
    </row>
    <row r="280" spans="1:9" hidden="1" x14ac:dyDescent="0.25">
      <c r="A280" s="1504"/>
      <c r="B280" s="1284">
        <f>'меню 7 дней завтрак и обед '!B298</f>
        <v>0</v>
      </c>
      <c r="C280" s="704">
        <f>'меню 7 дней завтрак и обед '!C298</f>
        <v>0</v>
      </c>
      <c r="D280" s="117">
        <f>'меню 7 дней завтрак и обед '!D298</f>
        <v>0</v>
      </c>
      <c r="E280" s="117">
        <f>'меню 7 дней завтрак и обед '!E298</f>
        <v>0</v>
      </c>
      <c r="F280" s="117">
        <f>'меню 7 дней завтрак и обед '!F298</f>
        <v>0</v>
      </c>
      <c r="G280" s="250">
        <f>'меню 7 дней завтрак и обед '!G298</f>
        <v>0</v>
      </c>
      <c r="H280" s="250">
        <f>'меню 7 дней завтрак и обед '!H298</f>
        <v>0</v>
      </c>
      <c r="I280" s="117">
        <f>'меню 7 дней завтрак и обед '!I298</f>
        <v>0</v>
      </c>
    </row>
    <row r="281" spans="1:9" hidden="1" x14ac:dyDescent="0.25">
      <c r="A281" s="1504"/>
      <c r="B281" s="1284">
        <f>'меню 7 дней завтрак и обед '!B299</f>
        <v>0</v>
      </c>
      <c r="C281" s="704">
        <f>'меню 7 дней завтрак и обед '!C299</f>
        <v>0</v>
      </c>
      <c r="D281" s="117">
        <f>'меню 7 дней завтрак и обед '!D299</f>
        <v>0</v>
      </c>
      <c r="E281" s="117">
        <f>'меню 7 дней завтрак и обед '!E299</f>
        <v>0</v>
      </c>
      <c r="F281" s="117">
        <f>'меню 7 дней завтрак и обед '!F299</f>
        <v>0</v>
      </c>
      <c r="G281" s="250">
        <f>'меню 7 дней завтрак и обед '!G299</f>
        <v>0</v>
      </c>
      <c r="H281" s="250">
        <f>'меню 7 дней завтрак и обед '!H299</f>
        <v>0</v>
      </c>
      <c r="I281" s="117">
        <f>'меню 7 дней завтрак и обед '!I299</f>
        <v>0</v>
      </c>
    </row>
    <row r="282" spans="1:9" ht="12" hidden="1" customHeight="1" x14ac:dyDescent="0.25">
      <c r="A282" s="1504"/>
      <c r="B282" s="1284">
        <f>'меню 7 дней завтрак и обед '!B300</f>
        <v>0</v>
      </c>
      <c r="C282" s="704">
        <f>'меню 7 дней завтрак и обед '!C300</f>
        <v>0</v>
      </c>
      <c r="D282" s="117">
        <f>'меню 7 дней завтрак и обед '!D300</f>
        <v>0</v>
      </c>
      <c r="E282" s="117">
        <f>'меню 7 дней завтрак и обед '!E300</f>
        <v>0</v>
      </c>
      <c r="F282" s="117">
        <f>'меню 7 дней завтрак и обед '!F300</f>
        <v>0</v>
      </c>
      <c r="G282" s="250">
        <f>'меню 7 дней завтрак и обед '!G300</f>
        <v>0</v>
      </c>
      <c r="H282" s="250">
        <f>'меню 7 дней завтрак и обед '!H300</f>
        <v>0</v>
      </c>
      <c r="I282" s="117">
        <f>'меню 7 дней завтрак и обед '!I300</f>
        <v>0</v>
      </c>
    </row>
    <row r="283" spans="1:9" hidden="1" x14ac:dyDescent="0.25">
      <c r="A283" s="1504"/>
      <c r="B283" s="1284">
        <f>'меню 7 дней завтрак и обед '!B301</f>
        <v>0</v>
      </c>
      <c r="C283" s="704">
        <f>'меню 7 дней завтрак и обед '!C301</f>
        <v>0</v>
      </c>
      <c r="D283" s="117">
        <f>'меню 7 дней завтрак и обед '!D301</f>
        <v>0</v>
      </c>
      <c r="E283" s="117">
        <f>'меню 7 дней завтрак и обед '!E301</f>
        <v>0</v>
      </c>
      <c r="F283" s="117">
        <f>'меню 7 дней завтрак и обед '!F301</f>
        <v>0</v>
      </c>
      <c r="G283" s="250">
        <f>'меню 7 дней завтрак и обед '!G301</f>
        <v>0</v>
      </c>
      <c r="H283" s="250">
        <f>'меню 7 дней завтрак и обед '!H301</f>
        <v>0</v>
      </c>
      <c r="I283" s="117">
        <f>'меню 7 дней завтрак и обед '!I301</f>
        <v>0</v>
      </c>
    </row>
    <row r="284" spans="1:9" hidden="1" x14ac:dyDescent="0.25">
      <c r="A284" s="1504"/>
      <c r="B284" s="1284">
        <f>'меню 7 дней завтрак и обед '!B302</f>
        <v>0</v>
      </c>
      <c r="C284" s="704">
        <f>'меню 7 дней завтрак и обед '!C302</f>
        <v>0</v>
      </c>
      <c r="D284" s="117">
        <f>'меню 7 дней завтрак и обед '!D302</f>
        <v>0</v>
      </c>
      <c r="E284" s="117">
        <f>'меню 7 дней завтрак и обед '!E302</f>
        <v>0</v>
      </c>
      <c r="F284" s="117">
        <f>'меню 7 дней завтрак и обед '!F302</f>
        <v>0</v>
      </c>
      <c r="G284" s="250">
        <f>'меню 7 дней завтрак и обед '!G302</f>
        <v>0</v>
      </c>
      <c r="H284" s="250">
        <f>'меню 7 дней завтрак и обед '!H302</f>
        <v>0</v>
      </c>
      <c r="I284" s="117">
        <f>'меню 7 дней завтрак и обед '!I302</f>
        <v>0</v>
      </c>
    </row>
    <row r="285" spans="1:9" hidden="1" x14ac:dyDescent="0.25">
      <c r="A285" s="1504"/>
      <c r="B285" s="1284">
        <f>'меню 7 дней завтрак и обед '!B303</f>
        <v>0</v>
      </c>
      <c r="C285" s="704">
        <f>'меню 7 дней завтрак и обед '!C303</f>
        <v>0</v>
      </c>
      <c r="D285" s="117">
        <f>'меню 7 дней завтрак и обед '!D303</f>
        <v>0</v>
      </c>
      <c r="E285" s="117">
        <f>'меню 7 дней завтрак и обед '!E303</f>
        <v>0</v>
      </c>
      <c r="F285" s="117">
        <f>'меню 7 дней завтрак и обед '!F303</f>
        <v>0</v>
      </c>
      <c r="G285" s="250">
        <f>'меню 7 дней завтрак и обед '!G303</f>
        <v>0</v>
      </c>
      <c r="H285" s="250">
        <f>'меню 7 дней завтрак и обед '!H303</f>
        <v>0</v>
      </c>
      <c r="I285" s="117">
        <f>'меню 7 дней завтрак и обед '!I303</f>
        <v>0</v>
      </c>
    </row>
    <row r="286" spans="1:9" s="699" customFormat="1" hidden="1" x14ac:dyDescent="0.25">
      <c r="A286" s="1504"/>
      <c r="B286" s="1284">
        <f>'меню 7 дней завтрак и обед '!B304</f>
        <v>0</v>
      </c>
      <c r="C286" s="704">
        <f>'меню 7 дней завтрак и обед '!C304</f>
        <v>0</v>
      </c>
      <c r="D286" s="117">
        <f>'меню 7 дней завтрак и обед '!D304</f>
        <v>0</v>
      </c>
      <c r="E286" s="117">
        <f>'меню 7 дней завтрак и обед '!E304</f>
        <v>0</v>
      </c>
      <c r="F286" s="117">
        <f>'меню 7 дней завтрак и обед '!F304</f>
        <v>0</v>
      </c>
      <c r="G286" s="250">
        <f>'меню 7 дней завтрак и обед '!G304</f>
        <v>0</v>
      </c>
      <c r="H286" s="250">
        <f>'меню 7 дней завтрак и обед '!H304</f>
        <v>0</v>
      </c>
      <c r="I286" s="117">
        <f>'меню 7 дней завтрак и обед '!I304</f>
        <v>0</v>
      </c>
    </row>
    <row r="287" spans="1:9" s="699" customFormat="1" hidden="1" x14ac:dyDescent="0.25">
      <c r="A287" s="1505"/>
      <c r="B287" s="1284">
        <f>'меню 7 дней завтрак и обед '!B305</f>
        <v>0</v>
      </c>
      <c r="C287" s="704">
        <f>'меню 7 дней завтрак и обед '!C305</f>
        <v>0</v>
      </c>
      <c r="D287" s="117">
        <f>'меню 7 дней завтрак и обед '!D305</f>
        <v>0</v>
      </c>
      <c r="E287" s="117">
        <f>'меню 7 дней завтрак и обед '!E305</f>
        <v>0</v>
      </c>
      <c r="F287" s="117">
        <f>'меню 7 дней завтрак и обед '!F305</f>
        <v>0</v>
      </c>
      <c r="G287" s="250">
        <f>'меню 7 дней завтрак и обед '!G305</f>
        <v>0</v>
      </c>
      <c r="H287" s="250">
        <f>'меню 7 дней завтрак и обед '!H305</f>
        <v>0</v>
      </c>
      <c r="I287" s="117">
        <f>'меню 7 дней завтрак и обед '!I305</f>
        <v>0</v>
      </c>
    </row>
    <row r="288" spans="1:9" hidden="1" x14ac:dyDescent="0.25">
      <c r="A288" s="580"/>
      <c r="B288" s="1285" t="s">
        <v>113</v>
      </c>
      <c r="C288" s="812"/>
      <c r="D288" s="119">
        <f>SUM(D279:D287)</f>
        <v>0</v>
      </c>
      <c r="E288" s="119">
        <f>SUM(E279:E287)</f>
        <v>0</v>
      </c>
      <c r="F288" s="119">
        <f>SUM(F279:F287)</f>
        <v>0</v>
      </c>
      <c r="G288" s="251">
        <f>SUM(G279:G287)</f>
        <v>0</v>
      </c>
      <c r="H288" s="251"/>
      <c r="I288" s="119"/>
    </row>
    <row r="289" spans="1:9" s="570" customFormat="1" hidden="1" x14ac:dyDescent="0.25">
      <c r="A289" s="1503" t="s">
        <v>800</v>
      </c>
      <c r="B289" s="1284">
        <f>'меню 7 дней завтрак и обед '!B307</f>
        <v>0</v>
      </c>
      <c r="C289" s="704">
        <f>'меню 7 дней завтрак и обед '!C307</f>
        <v>0</v>
      </c>
      <c r="D289" s="117">
        <f>'меню 7 дней завтрак и обед '!D307</f>
        <v>0</v>
      </c>
      <c r="E289" s="117">
        <f>'меню 7 дней завтрак и обед '!E307</f>
        <v>0</v>
      </c>
      <c r="F289" s="117">
        <f>'меню 7 дней завтрак и обед '!F307</f>
        <v>0</v>
      </c>
      <c r="G289" s="250">
        <f>'меню 7 дней завтрак и обед '!G307</f>
        <v>0</v>
      </c>
      <c r="H289" s="250">
        <f>'меню 7 дней завтрак и обед '!H307</f>
        <v>0</v>
      </c>
      <c r="I289" s="117">
        <f>'меню 7 дней завтрак и обед '!I307</f>
        <v>0</v>
      </c>
    </row>
    <row r="290" spans="1:9" s="570" customFormat="1" hidden="1" x14ac:dyDescent="0.25">
      <c r="A290" s="1504"/>
      <c r="B290" s="1284">
        <f>'меню 7 дней завтрак и обед '!B308</f>
        <v>0</v>
      </c>
      <c r="C290" s="704">
        <f>'меню 7 дней завтрак и обед '!C308</f>
        <v>0</v>
      </c>
      <c r="D290" s="117">
        <f>'меню 7 дней завтрак и обед '!D308</f>
        <v>0</v>
      </c>
      <c r="E290" s="117">
        <f>'меню 7 дней завтрак и обед '!E308</f>
        <v>0</v>
      </c>
      <c r="F290" s="117">
        <f>'меню 7 дней завтрак и обед '!F308</f>
        <v>0</v>
      </c>
      <c r="G290" s="250">
        <f>'меню 7 дней завтрак и обед '!G308</f>
        <v>0</v>
      </c>
      <c r="H290" s="250">
        <f>'меню 7 дней завтрак и обед '!H308</f>
        <v>0</v>
      </c>
      <c r="I290" s="117">
        <f>'меню 7 дней завтрак и обед '!I308</f>
        <v>0</v>
      </c>
    </row>
    <row r="291" spans="1:9" s="570" customFormat="1" hidden="1" x14ac:dyDescent="0.25">
      <c r="A291" s="1504"/>
      <c r="B291" s="1284">
        <f>'меню 7 дней завтрак и обед '!B309</f>
        <v>0</v>
      </c>
      <c r="C291" s="704">
        <f>'меню 7 дней завтрак и обед '!C309</f>
        <v>0</v>
      </c>
      <c r="D291" s="117">
        <f>'меню 7 дней завтрак и обед '!D309</f>
        <v>0</v>
      </c>
      <c r="E291" s="117">
        <f>'меню 7 дней завтрак и обед '!E309</f>
        <v>0</v>
      </c>
      <c r="F291" s="117">
        <f>'меню 7 дней завтрак и обед '!F309</f>
        <v>0</v>
      </c>
      <c r="G291" s="250">
        <f>'меню 7 дней завтрак и обед '!G309</f>
        <v>0</v>
      </c>
      <c r="H291" s="250">
        <f>'меню 7 дней завтрак и обед '!H309</f>
        <v>0</v>
      </c>
      <c r="I291" s="117">
        <f>'меню 7 дней завтрак и обед '!I309</f>
        <v>0</v>
      </c>
    </row>
    <row r="292" spans="1:9" s="570" customFormat="1" hidden="1" x14ac:dyDescent="0.25">
      <c r="A292" s="1504"/>
      <c r="B292" s="1284">
        <f>'меню 7 дней завтрак и обед '!B310</f>
        <v>0</v>
      </c>
      <c r="C292" s="704">
        <f>'меню 7 дней завтрак и обед '!C310</f>
        <v>0</v>
      </c>
      <c r="D292" s="117">
        <f>'меню 7 дней завтрак и обед '!D310</f>
        <v>0</v>
      </c>
      <c r="E292" s="117">
        <f>'меню 7 дней завтрак и обед '!E310</f>
        <v>0</v>
      </c>
      <c r="F292" s="117">
        <f>'меню 7 дней завтрак и обед '!F310</f>
        <v>0</v>
      </c>
      <c r="G292" s="250">
        <f>'меню 7 дней завтрак и обед '!G310</f>
        <v>0</v>
      </c>
      <c r="H292" s="250">
        <f>'меню 7 дней завтрак и обед '!H310</f>
        <v>0</v>
      </c>
      <c r="I292" s="117">
        <f>'меню 7 дней завтрак и обед '!I310</f>
        <v>0</v>
      </c>
    </row>
    <row r="293" spans="1:9" s="570" customFormat="1" hidden="1" x14ac:dyDescent="0.25">
      <c r="A293" s="1505"/>
      <c r="B293" s="1284">
        <f>'меню 7 дней завтрак и обед '!B311</f>
        <v>0</v>
      </c>
      <c r="C293" s="704">
        <f>'меню 7 дней завтрак и обед '!C311</f>
        <v>0</v>
      </c>
      <c r="D293" s="117">
        <f>'меню 7 дней завтрак и обед '!D311</f>
        <v>0</v>
      </c>
      <c r="E293" s="117">
        <f>'меню 7 дней завтрак и обед '!E311</f>
        <v>0</v>
      </c>
      <c r="F293" s="117">
        <f>'меню 7 дней завтрак и обед '!F311</f>
        <v>0</v>
      </c>
      <c r="G293" s="250">
        <f>'меню 7 дней завтрак и обед '!G311</f>
        <v>0</v>
      </c>
      <c r="H293" s="250">
        <f>'меню 7 дней завтрак и обед '!H311</f>
        <v>0</v>
      </c>
      <c r="I293" s="117">
        <f>'меню 7 дней завтрак и обед '!I311</f>
        <v>0</v>
      </c>
    </row>
    <row r="294" spans="1:9" s="570" customFormat="1" hidden="1" x14ac:dyDescent="0.25">
      <c r="A294" s="580"/>
      <c r="B294" s="1285" t="s">
        <v>801</v>
      </c>
      <c r="C294" s="812"/>
      <c r="D294" s="119">
        <f t="shared" ref="D294:G294" si="68">SUM(D289:D293)</f>
        <v>0</v>
      </c>
      <c r="E294" s="119">
        <f t="shared" si="68"/>
        <v>0</v>
      </c>
      <c r="F294" s="119">
        <f t="shared" si="68"/>
        <v>0</v>
      </c>
      <c r="G294" s="251">
        <f t="shared" si="68"/>
        <v>0</v>
      </c>
      <c r="H294" s="251"/>
      <c r="I294" s="119"/>
    </row>
    <row r="295" spans="1:9" hidden="1" x14ac:dyDescent="0.25">
      <c r="A295" s="581"/>
      <c r="B295" s="1286" t="s">
        <v>1362</v>
      </c>
      <c r="C295" s="813"/>
      <c r="D295" s="810">
        <f t="shared" ref="D295:G295" si="69">D278+D288+D294</f>
        <v>0</v>
      </c>
      <c r="E295" s="810">
        <f t="shared" si="69"/>
        <v>0</v>
      </c>
      <c r="F295" s="810">
        <f t="shared" si="69"/>
        <v>0</v>
      </c>
      <c r="G295" s="635">
        <f t="shared" si="69"/>
        <v>0</v>
      </c>
      <c r="H295" s="635"/>
      <c r="I295" s="810"/>
    </row>
    <row r="296" spans="1:9" x14ac:dyDescent="0.25">
      <c r="A296" s="583"/>
      <c r="B296" s="1289" t="s">
        <v>850</v>
      </c>
      <c r="C296" s="1083"/>
      <c r="D296" s="928">
        <f t="shared" ref="D296:G296" si="70">D26+D54+D82+D110+D138+D166+D194+D222+D250+D278</f>
        <v>113.3</v>
      </c>
      <c r="E296" s="928">
        <f t="shared" si="70"/>
        <v>173.38</v>
      </c>
      <c r="F296" s="928">
        <f t="shared" si="70"/>
        <v>536.75</v>
      </c>
      <c r="G296" s="1307">
        <f t="shared" si="70"/>
        <v>4175</v>
      </c>
      <c r="H296" s="1307"/>
      <c r="I296" s="1385">
        <f t="shared" ref="I296" si="71">I26+I54+I82+I110+I138+I166+I194+I222+I250+I278</f>
        <v>360.66</v>
      </c>
    </row>
    <row r="297" spans="1:9" x14ac:dyDescent="0.25">
      <c r="A297" s="583"/>
      <c r="B297" s="1289" t="s">
        <v>851</v>
      </c>
      <c r="C297" s="1083"/>
      <c r="D297" s="928">
        <f t="shared" ref="D297:G297" si="72">D36+D64+D92+D120+D148+D176+D204+D232+D260+D288</f>
        <v>186.89</v>
      </c>
      <c r="E297" s="928">
        <f t="shared" si="72"/>
        <v>238.7</v>
      </c>
      <c r="F297" s="928">
        <f t="shared" si="72"/>
        <v>784.88</v>
      </c>
      <c r="G297" s="1307">
        <f t="shared" si="72"/>
        <v>6100</v>
      </c>
      <c r="H297" s="1307"/>
      <c r="I297" s="1385">
        <f t="shared" ref="I297" si="73">I36+I64+I92+I120+I148+I176+I204+I232+I260+I288</f>
        <v>829.37</v>
      </c>
    </row>
    <row r="298" spans="1:9" s="570" customFormat="1" hidden="1" x14ac:dyDescent="0.25">
      <c r="A298" s="583"/>
      <c r="B298" s="584" t="s">
        <v>852</v>
      </c>
      <c r="C298" s="1083"/>
      <c r="D298" s="928">
        <f t="shared" ref="D298:G298" si="74">D42+D70+D98+D126+D154+D182+D210+D238+D266+D294</f>
        <v>0</v>
      </c>
      <c r="E298" s="928">
        <f t="shared" si="74"/>
        <v>0</v>
      </c>
      <c r="F298" s="928">
        <f t="shared" si="74"/>
        <v>0</v>
      </c>
      <c r="G298" s="1307">
        <f t="shared" si="74"/>
        <v>0</v>
      </c>
      <c r="H298" s="1307"/>
      <c r="I298" s="1385">
        <f t="shared" ref="I298" si="75">I42+I70+I98+I126+I154+I182+I210+I238+I266+I294</f>
        <v>0</v>
      </c>
    </row>
    <row r="299" spans="1:9" x14ac:dyDescent="0.25">
      <c r="A299" s="583"/>
      <c r="B299" s="883" t="s">
        <v>1405</v>
      </c>
      <c r="C299" s="1084"/>
      <c r="D299" s="929">
        <f>D43+D71+D99+D127+D155+D183+D211+D239+D267+D295</f>
        <v>300.19</v>
      </c>
      <c r="E299" s="929">
        <f t="shared" ref="E299:G299" si="76">E43+E71+E99+E127+E155+E183+E211+E239+E267+E295</f>
        <v>412.08</v>
      </c>
      <c r="F299" s="1384">
        <f t="shared" si="76"/>
        <v>1321.63</v>
      </c>
      <c r="G299" s="1308">
        <f t="shared" si="76"/>
        <v>10275</v>
      </c>
      <c r="H299" s="1308"/>
      <c r="I299" s="1386">
        <f t="shared" ref="I299" si="77">I43+I71+I99+I127+I155+I183+I211+I239+I267+I295</f>
        <v>1190.03</v>
      </c>
    </row>
    <row r="300" spans="1:9" s="699" customFormat="1" x14ac:dyDescent="0.25">
      <c r="A300" s="583"/>
      <c r="B300" s="883" t="s">
        <v>1418</v>
      </c>
      <c r="C300" s="1084"/>
      <c r="D300" s="929">
        <f>D299/7</f>
        <v>42.88</v>
      </c>
      <c r="E300" s="929">
        <f t="shared" ref="E300:G300" si="78">E299/7</f>
        <v>58.87</v>
      </c>
      <c r="F300" s="929">
        <f t="shared" si="78"/>
        <v>188.8</v>
      </c>
      <c r="G300" s="1309">
        <f t="shared" si="78"/>
        <v>1468</v>
      </c>
      <c r="H300" s="1309"/>
      <c r="I300" s="1387">
        <f t="shared" ref="I300" si="79">I299/7</f>
        <v>170</v>
      </c>
    </row>
    <row r="301" spans="1:9" x14ac:dyDescent="0.25">
      <c r="D301" s="1292"/>
    </row>
  </sheetData>
  <sortState ref="B170:C581">
    <sortCondition ref="B170"/>
  </sortState>
  <mergeCells count="43">
    <mergeCell ref="D3:H3"/>
    <mergeCell ref="A5:I5"/>
    <mergeCell ref="I13:I14"/>
    <mergeCell ref="A11:H11"/>
    <mergeCell ref="A13:A14"/>
    <mergeCell ref="A37:A41"/>
    <mergeCell ref="G13:G14"/>
    <mergeCell ref="A6:H6"/>
    <mergeCell ref="A17:A25"/>
    <mergeCell ref="A45:A53"/>
    <mergeCell ref="A27:A35"/>
    <mergeCell ref="H13:H14"/>
    <mergeCell ref="C13:C14"/>
    <mergeCell ref="B13:B14"/>
    <mergeCell ref="E1:H1"/>
    <mergeCell ref="E2:H2"/>
    <mergeCell ref="A251:A259"/>
    <mergeCell ref="A223:A231"/>
    <mergeCell ref="A195:A203"/>
    <mergeCell ref="A167:A175"/>
    <mergeCell ref="A139:A147"/>
    <mergeCell ref="A111:A119"/>
    <mergeCell ref="A83:A91"/>
    <mergeCell ref="A55:A63"/>
    <mergeCell ref="A73:A81"/>
    <mergeCell ref="A101:A109"/>
    <mergeCell ref="A129:A137"/>
    <mergeCell ref="A93:A97"/>
    <mergeCell ref="A65:A69"/>
    <mergeCell ref="D13:F13"/>
    <mergeCell ref="A289:A293"/>
    <mergeCell ref="A121:A125"/>
    <mergeCell ref="A149:A153"/>
    <mergeCell ref="A177:A181"/>
    <mergeCell ref="A205:A209"/>
    <mergeCell ref="A233:A237"/>
    <mergeCell ref="A269:A277"/>
    <mergeCell ref="A241:A249"/>
    <mergeCell ref="A261:A265"/>
    <mergeCell ref="A157:A165"/>
    <mergeCell ref="A213:A221"/>
    <mergeCell ref="A185:A192"/>
    <mergeCell ref="A279:A287"/>
  </mergeCells>
  <pageMargins left="1.1811023622047245" right="0.43307086614173229" top="0.78740157480314965" bottom="0.78740157480314965" header="0" footer="0"/>
  <pageSetup paperSize="9" scale="90" orientation="portrait" r:id="rId1"/>
  <rowBreaks count="5" manualBreakCount="5">
    <brk id="43" max="8" man="1"/>
    <brk id="99" max="8" man="1"/>
    <brk id="155" max="8" man="1"/>
    <brk id="211" max="8" man="1"/>
    <brk id="239" max="8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J34"/>
  <sheetViews>
    <sheetView view="pageBreakPreview" topLeftCell="A7" zoomScaleNormal="100" zoomScaleSheetLayoutView="100" workbookViewId="0">
      <selection activeCell="A26" sqref="A26:J30"/>
    </sheetView>
  </sheetViews>
  <sheetFormatPr defaultRowHeight="13.8" x14ac:dyDescent="0.25"/>
  <cols>
    <col min="1" max="1" width="4.109375" customWidth="1"/>
    <col min="2" max="2" width="22.44140625" customWidth="1"/>
    <col min="3" max="3" width="8.88671875" customWidth="1"/>
    <col min="4" max="7" width="7.5546875" customWidth="1"/>
    <col min="8" max="8" width="7.44140625" customWidth="1"/>
    <col min="9" max="9" width="7.5546875" customWidth="1"/>
    <col min="10" max="10" width="9.1093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45)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290"/>
      <c r="I6" s="290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71</v>
      </c>
    </row>
    <row r="8" spans="1:10" s="2" customFormat="1" ht="9.6" customHeight="1" x14ac:dyDescent="0.25">
      <c r="A8" s="291"/>
      <c r="B8" s="291"/>
      <c r="C8" s="291"/>
      <c r="D8" s="291"/>
      <c r="E8" s="291"/>
      <c r="F8" s="291"/>
      <c r="G8" s="291"/>
      <c r="H8" s="291"/>
      <c r="I8" s="291"/>
      <c r="J8" s="109"/>
    </row>
    <row r="9" spans="1:10" s="2" customFormat="1" ht="26.1" customHeight="1" x14ac:dyDescent="0.3">
      <c r="A9" s="1550" t="s">
        <v>1293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'71-помидоры'!H14+1</f>
        <v>45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87" t="s">
        <v>92</v>
      </c>
      <c r="D17" s="287" t="s">
        <v>94</v>
      </c>
      <c r="E17" s="287" t="s">
        <v>93</v>
      </c>
      <c r="F17" s="287" t="s">
        <v>23</v>
      </c>
      <c r="G17" s="287" t="s">
        <v>92</v>
      </c>
      <c r="H17" s="287" t="s">
        <v>94</v>
      </c>
      <c r="I17" s="287" t="s">
        <v>92</v>
      </c>
      <c r="J17" s="287" t="s">
        <v>94</v>
      </c>
    </row>
    <row r="18" spans="1:10" ht="9.6" customHeight="1" x14ac:dyDescent="0.25">
      <c r="A18" s="287">
        <v>1</v>
      </c>
      <c r="B18" s="289">
        <v>2</v>
      </c>
      <c r="C18" s="287">
        <v>3</v>
      </c>
      <c r="D18" s="289">
        <v>4</v>
      </c>
      <c r="E18" s="287">
        <v>5</v>
      </c>
      <c r="F18" s="289">
        <v>6</v>
      </c>
      <c r="G18" s="287">
        <v>7</v>
      </c>
      <c r="H18" s="289">
        <v>8</v>
      </c>
      <c r="I18" s="287">
        <v>9</v>
      </c>
      <c r="J18" s="289">
        <v>10</v>
      </c>
    </row>
    <row r="19" spans="1:10" s="10" customFormat="1" ht="14.1" customHeight="1" x14ac:dyDescent="0.25">
      <c r="A19" s="180">
        <v>1</v>
      </c>
      <c r="B19" s="20" t="s">
        <v>514</v>
      </c>
      <c r="C19" s="111">
        <v>6.3100000000000003E-2</v>
      </c>
      <c r="D19" s="21">
        <v>0.06</v>
      </c>
      <c r="E19" s="13">
        <f>цены!F42</f>
        <v>60</v>
      </c>
      <c r="F19" s="13">
        <f>C19*E19</f>
        <v>3.79</v>
      </c>
      <c r="G19" s="97">
        <f>C19*10</f>
        <v>0.63100000000000001</v>
      </c>
      <c r="H19" s="21">
        <f>D19*10</f>
        <v>0.6</v>
      </c>
      <c r="I19" s="21">
        <f>C19*100</f>
        <v>6.31</v>
      </c>
      <c r="J19" s="21">
        <f>D19*100</f>
        <v>6</v>
      </c>
    </row>
    <row r="20" spans="1:10" s="10" customFormat="1" ht="12" customHeight="1" x14ac:dyDescent="0.25">
      <c r="A20" s="98"/>
      <c r="B20" s="93" t="s">
        <v>100</v>
      </c>
      <c r="C20" s="100"/>
      <c r="D20" s="1028">
        <v>60</v>
      </c>
      <c r="E20" s="95"/>
      <c r="F20" s="95">
        <f>SUM(F19:F19)</f>
        <v>3.79</v>
      </c>
      <c r="G20" s="99"/>
      <c r="H20" s="1028">
        <f>D20*10</f>
        <v>600</v>
      </c>
      <c r="I20" s="100"/>
      <c r="J20" s="1028">
        <f>D20*100</f>
        <v>6000</v>
      </c>
    </row>
    <row r="21" spans="1:10" s="10" customFormat="1" ht="27.6" customHeight="1" x14ac:dyDescent="0.25">
      <c r="A21" s="1536" t="s">
        <v>35</v>
      </c>
      <c r="B21" s="1536"/>
      <c r="C21" s="90"/>
      <c r="D21" s="90"/>
      <c r="E21" s="13"/>
      <c r="F21" s="13">
        <f>F20</f>
        <v>3.79</v>
      </c>
      <c r="G21" s="288"/>
      <c r="H21" s="288"/>
      <c r="I21" s="21"/>
      <c r="J21" s="13"/>
    </row>
    <row r="22" spans="1:10" s="10" customFormat="1" ht="25.35" customHeight="1" x14ac:dyDescent="0.25">
      <c r="A22" s="1536" t="s">
        <v>36</v>
      </c>
      <c r="B22" s="1536"/>
      <c r="C22" s="90">
        <v>60</v>
      </c>
      <c r="D22" s="90"/>
      <c r="E22" s="13"/>
      <c r="F22" s="13"/>
      <c r="G22" s="13"/>
      <c r="H22" s="13"/>
      <c r="I22" s="21"/>
      <c r="J22" s="17"/>
    </row>
    <row r="23" spans="1:10" s="10" customFormat="1" ht="25.35" customHeight="1" x14ac:dyDescent="0.25">
      <c r="A23" s="1537" t="s">
        <v>37</v>
      </c>
      <c r="B23" s="1538"/>
      <c r="C23" s="91">
        <v>60</v>
      </c>
      <c r="D23" s="92"/>
      <c r="E23" s="289"/>
      <c r="F23" s="289"/>
      <c r="G23" s="289"/>
      <c r="H23" s="289"/>
      <c r="I23" s="21"/>
      <c r="J23" s="17"/>
    </row>
    <row r="24" spans="1:10" s="10" customFormat="1" ht="15" customHeight="1" x14ac:dyDescent="0.25">
      <c r="A24" s="1539" t="s">
        <v>38</v>
      </c>
      <c r="B24" s="1540"/>
      <c r="C24" s="92">
        <f>C22/C23</f>
        <v>1</v>
      </c>
      <c r="D24" s="92"/>
      <c r="E24" s="289"/>
      <c r="F24" s="289"/>
      <c r="G24" s="289"/>
      <c r="H24" s="289"/>
      <c r="I24" s="21"/>
      <c r="J24" s="17"/>
    </row>
    <row r="25" spans="1:10" ht="16.350000000000001" customHeight="1" x14ac:dyDescent="0.25">
      <c r="A25" s="1541" t="s">
        <v>39</v>
      </c>
      <c r="B25" s="1542"/>
      <c r="C25" s="15" t="s">
        <v>40</v>
      </c>
      <c r="D25" s="102"/>
      <c r="E25" s="102" t="s">
        <v>40</v>
      </c>
      <c r="F25" s="16">
        <f>F21/C24</f>
        <v>3.79</v>
      </c>
      <c r="G25" s="16"/>
      <c r="H25" s="16"/>
      <c r="I25" s="102" t="s">
        <v>40</v>
      </c>
      <c r="J25" s="102" t="s">
        <v>40</v>
      </c>
    </row>
    <row r="26" spans="1:10" ht="23.1" customHeight="1" x14ac:dyDescent="0.25">
      <c r="A26" s="1193"/>
      <c r="B26" s="1193"/>
      <c r="C26" s="1193"/>
      <c r="D26" s="1193"/>
      <c r="E26" s="1193"/>
      <c r="F26" s="1193"/>
      <c r="G26" s="1193"/>
      <c r="H26" s="1193"/>
      <c r="I26" s="1193"/>
      <c r="J26" s="1193"/>
    </row>
    <row r="27" spans="1:10" ht="13.95" customHeight="1" x14ac:dyDescent="0.25">
      <c r="A27" s="1193"/>
      <c r="B27" s="1194" t="s">
        <v>49</v>
      </c>
      <c r="C27" s="1198"/>
      <c r="D27" s="1198"/>
      <c r="E27" s="1198"/>
      <c r="F27" s="1198"/>
      <c r="G27" s="1193"/>
      <c r="H27" s="1557">
        <f>'1-бутерброд с маслом'!$H$28</f>
        <v>0</v>
      </c>
      <c r="I27" s="1557"/>
      <c r="J27" s="1557"/>
    </row>
    <row r="28" spans="1:10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545" t="s">
        <v>327</v>
      </c>
      <c r="B29" s="1545"/>
      <c r="C29" s="1546" t="s">
        <v>328</v>
      </c>
      <c r="D29" s="1546"/>
      <c r="E29" s="1546"/>
      <c r="F29" s="1546"/>
      <c r="G29" s="106"/>
      <c r="H29" s="1531"/>
      <c r="I29" s="1531"/>
      <c r="J29" s="1531"/>
    </row>
    <row r="30" spans="1:10" x14ac:dyDescent="0.25">
      <c r="A30" s="1193"/>
      <c r="B30" s="1193"/>
      <c r="C30" s="1546"/>
      <c r="D30" s="1546"/>
      <c r="E30" s="1546"/>
      <c r="F30" s="1546"/>
      <c r="G30" s="1193"/>
      <c r="H30" s="1531" t="s">
        <v>329</v>
      </c>
      <c r="I30" s="1531"/>
      <c r="J30" s="1531"/>
    </row>
    <row r="31" spans="1:10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</sheetData>
  <mergeCells count="28">
    <mergeCell ref="H27:J27"/>
    <mergeCell ref="A13:G13"/>
    <mergeCell ref="A22:B22"/>
    <mergeCell ref="A23:B23"/>
    <mergeCell ref="A24:B24"/>
    <mergeCell ref="A25:B25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29:B29"/>
    <mergeCell ref="C29:F30"/>
    <mergeCell ref="H29:J29"/>
    <mergeCell ref="H30:J30"/>
    <mergeCell ref="H5:I5"/>
    <mergeCell ref="A6:G6"/>
    <mergeCell ref="A7:I7"/>
    <mergeCell ref="A21:B21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J35"/>
  <sheetViews>
    <sheetView view="pageBreakPreview" topLeftCell="A12" zoomScaleNormal="100" zoomScaleSheetLayoutView="100" workbookViewId="0">
      <selection activeCell="E21" sqref="E21"/>
    </sheetView>
  </sheetViews>
  <sheetFormatPr defaultColWidth="8.6640625" defaultRowHeight="13.8" x14ac:dyDescent="0.25"/>
  <cols>
    <col min="1" max="1" width="4.109375" style="605" customWidth="1"/>
    <col min="2" max="2" width="22.44140625" style="605" customWidth="1"/>
    <col min="3" max="3" width="8.88671875" style="605" customWidth="1"/>
    <col min="4" max="7" width="7.5546875" style="605" customWidth="1"/>
    <col min="8" max="8" width="7.44140625" style="605" customWidth="1"/>
    <col min="9" max="9" width="7.5546875" style="605" customWidth="1"/>
    <col min="10" max="10" width="9.109375" style="605" customWidth="1"/>
    <col min="11" max="16384" width="8.6640625" style="605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46)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606"/>
      <c r="I6" s="606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71</v>
      </c>
    </row>
    <row r="8" spans="1:10" s="2" customFormat="1" ht="9.6" customHeight="1" x14ac:dyDescent="0.25">
      <c r="A8" s="607"/>
      <c r="B8" s="607"/>
      <c r="C8" s="607"/>
      <c r="D8" s="607"/>
      <c r="E8" s="607"/>
      <c r="F8" s="607"/>
      <c r="G8" s="607"/>
      <c r="H8" s="607"/>
      <c r="I8" s="607"/>
      <c r="J8" s="109"/>
    </row>
    <row r="9" spans="1:10" s="2" customFormat="1" ht="26.1" customHeight="1" x14ac:dyDescent="0.3">
      <c r="A9" s="1550" t="s">
        <v>1397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'71-огурцы '!H14+1</f>
        <v>46</v>
      </c>
      <c r="I14" s="1534">
        <v>44986</v>
      </c>
      <c r="J14" s="1534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608" t="s">
        <v>92</v>
      </c>
      <c r="D17" s="608" t="s">
        <v>94</v>
      </c>
      <c r="E17" s="608" t="s">
        <v>93</v>
      </c>
      <c r="F17" s="608" t="s">
        <v>23</v>
      </c>
      <c r="G17" s="608" t="s">
        <v>92</v>
      </c>
      <c r="H17" s="608" t="s">
        <v>94</v>
      </c>
      <c r="I17" s="608" t="s">
        <v>92</v>
      </c>
      <c r="J17" s="608" t="s">
        <v>94</v>
      </c>
    </row>
    <row r="18" spans="1:10" ht="9.6" customHeight="1" x14ac:dyDescent="0.25">
      <c r="A18" s="608">
        <v>1</v>
      </c>
      <c r="B18" s="609">
        <v>2</v>
      </c>
      <c r="C18" s="608">
        <v>3</v>
      </c>
      <c r="D18" s="609">
        <v>4</v>
      </c>
      <c r="E18" s="608">
        <v>5</v>
      </c>
      <c r="F18" s="609">
        <v>6</v>
      </c>
      <c r="G18" s="608">
        <v>7</v>
      </c>
      <c r="H18" s="609">
        <v>8</v>
      </c>
      <c r="I18" s="608">
        <v>9</v>
      </c>
      <c r="J18" s="609">
        <v>10</v>
      </c>
    </row>
    <row r="19" spans="1:10" s="10" customFormat="1" ht="14.1" customHeight="1" x14ac:dyDescent="0.25">
      <c r="A19" s="180">
        <v>1</v>
      </c>
      <c r="B19" s="20" t="s">
        <v>514</v>
      </c>
      <c r="C19" s="111">
        <v>3.1600000000000003E-2</v>
      </c>
      <c r="D19" s="21">
        <v>0.03</v>
      </c>
      <c r="E19" s="408">
        <f>цены!F42</f>
        <v>60</v>
      </c>
      <c r="F19" s="408">
        <f>C19*E19</f>
        <v>1.9</v>
      </c>
      <c r="G19" s="97">
        <f>C19*10</f>
        <v>0.316</v>
      </c>
      <c r="H19" s="21">
        <f>D19*10</f>
        <v>0.3</v>
      </c>
      <c r="I19" s="21">
        <f>C19*100</f>
        <v>3.16</v>
      </c>
      <c r="J19" s="21">
        <f>D19*100</f>
        <v>3</v>
      </c>
    </row>
    <row r="20" spans="1:10" s="10" customFormat="1" ht="14.1" customHeight="1" x14ac:dyDescent="0.25">
      <c r="A20" s="180">
        <v>2</v>
      </c>
      <c r="B20" s="20" t="s">
        <v>516</v>
      </c>
      <c r="C20" s="111">
        <v>3.5499999999999997E-2</v>
      </c>
      <c r="D20" s="21">
        <v>0.03</v>
      </c>
      <c r="E20" s="408">
        <f>цены!F41</f>
        <v>106</v>
      </c>
      <c r="F20" s="408">
        <f>C20*E20</f>
        <v>3.76</v>
      </c>
      <c r="G20" s="97">
        <f>C20*10</f>
        <v>0.35499999999999998</v>
      </c>
      <c r="H20" s="21">
        <f>D20*10</f>
        <v>0.3</v>
      </c>
      <c r="I20" s="21">
        <f>C20*100</f>
        <v>3.55</v>
      </c>
      <c r="J20" s="21">
        <f>D20*100</f>
        <v>3</v>
      </c>
    </row>
    <row r="21" spans="1:10" s="10" customFormat="1" ht="12" customHeight="1" x14ac:dyDescent="0.25">
      <c r="A21" s="98"/>
      <c r="B21" s="93" t="s">
        <v>100</v>
      </c>
      <c r="C21" s="100"/>
      <c r="D21" s="100">
        <v>60</v>
      </c>
      <c r="E21" s="95"/>
      <c r="F21" s="95">
        <f>SUM(F19:F20)</f>
        <v>5.66</v>
      </c>
      <c r="G21" s="99"/>
      <c r="H21" s="100">
        <f>D21*10</f>
        <v>600</v>
      </c>
      <c r="I21" s="100"/>
      <c r="J21" s="100">
        <f>D21*100</f>
        <v>6000</v>
      </c>
    </row>
    <row r="22" spans="1:10" s="10" customFormat="1" ht="27.6" customHeight="1" x14ac:dyDescent="0.25">
      <c r="A22" s="1536" t="s">
        <v>35</v>
      </c>
      <c r="B22" s="1536"/>
      <c r="C22" s="90"/>
      <c r="D22" s="90"/>
      <c r="E22" s="408"/>
      <c r="F22" s="408">
        <f>F21</f>
        <v>5.66</v>
      </c>
      <c r="G22" s="610"/>
      <c r="H22" s="610"/>
      <c r="I22" s="21"/>
      <c r="J22" s="408"/>
    </row>
    <row r="23" spans="1:10" s="10" customFormat="1" ht="25.35" customHeight="1" x14ac:dyDescent="0.25">
      <c r="A23" s="1536" t="s">
        <v>36</v>
      </c>
      <c r="B23" s="1536"/>
      <c r="C23" s="90">
        <v>60</v>
      </c>
      <c r="D23" s="90"/>
      <c r="E23" s="408"/>
      <c r="F23" s="408"/>
      <c r="G23" s="408"/>
      <c r="H23" s="408"/>
      <c r="I23" s="21"/>
      <c r="J23" s="17"/>
    </row>
    <row r="24" spans="1:10" s="10" customFormat="1" ht="25.35" customHeight="1" x14ac:dyDescent="0.25">
      <c r="A24" s="1537" t="s">
        <v>37</v>
      </c>
      <c r="B24" s="1538"/>
      <c r="C24" s="91">
        <v>60</v>
      </c>
      <c r="D24" s="92"/>
      <c r="E24" s="609"/>
      <c r="F24" s="609"/>
      <c r="G24" s="609"/>
      <c r="H24" s="609"/>
      <c r="I24" s="21"/>
      <c r="J24" s="17"/>
    </row>
    <row r="25" spans="1:10" s="10" customFormat="1" ht="15" customHeight="1" x14ac:dyDescent="0.25">
      <c r="A25" s="1539" t="s">
        <v>38</v>
      </c>
      <c r="B25" s="1540"/>
      <c r="C25" s="92">
        <f>C23/C24</f>
        <v>1</v>
      </c>
      <c r="D25" s="92"/>
      <c r="E25" s="609"/>
      <c r="F25" s="609"/>
      <c r="G25" s="609"/>
      <c r="H25" s="609"/>
      <c r="I25" s="21"/>
      <c r="J25" s="17"/>
    </row>
    <row r="26" spans="1:10" ht="16.350000000000001" customHeight="1" x14ac:dyDescent="0.25">
      <c r="A26" s="1541" t="s">
        <v>39</v>
      </c>
      <c r="B26" s="1542"/>
      <c r="C26" s="15" t="s">
        <v>40</v>
      </c>
      <c r="D26" s="102"/>
      <c r="E26" s="102" t="s">
        <v>40</v>
      </c>
      <c r="F26" s="16">
        <f>F22/C25</f>
        <v>5.66</v>
      </c>
      <c r="G26" s="16"/>
      <c r="H26" s="16"/>
      <c r="I26" s="102" t="s">
        <v>40</v>
      </c>
      <c r="J26" s="102" t="s">
        <v>40</v>
      </c>
    </row>
    <row r="27" spans="1:10" ht="23.1" customHeight="1" x14ac:dyDescent="0.25">
      <c r="A27" s="1193"/>
      <c r="B27" s="1193"/>
      <c r="C27" s="1193"/>
      <c r="D27" s="1193"/>
      <c r="E27" s="1193"/>
      <c r="F27" s="1193"/>
      <c r="G27" s="1193"/>
      <c r="H27" s="1193"/>
      <c r="I27" s="1193"/>
      <c r="J27" s="1193"/>
    </row>
    <row r="28" spans="1:10" ht="13.95" customHeight="1" x14ac:dyDescent="0.25">
      <c r="A28" s="1193"/>
      <c r="B28" s="1194" t="s">
        <v>49</v>
      </c>
      <c r="C28" s="1198"/>
      <c r="D28" s="1198"/>
      <c r="E28" s="1198"/>
      <c r="F28" s="1198"/>
      <c r="G28" s="1193"/>
      <c r="H28" s="1557">
        <f>'1-бутерброд с маслом'!$H$28</f>
        <v>0</v>
      </c>
      <c r="I28" s="1557"/>
      <c r="J28" s="1557"/>
    </row>
    <row r="29" spans="1:10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0" ht="13.95" customHeight="1" x14ac:dyDescent="0.25">
      <c r="A30" s="1545" t="s">
        <v>327</v>
      </c>
      <c r="B30" s="1545"/>
      <c r="C30" s="1546" t="s">
        <v>328</v>
      </c>
      <c r="D30" s="1546"/>
      <c r="E30" s="1546"/>
      <c r="F30" s="1546"/>
      <c r="G30" s="106"/>
      <c r="H30" s="1531"/>
      <c r="I30" s="1531"/>
      <c r="J30" s="1531"/>
    </row>
    <row r="31" spans="1:10" x14ac:dyDescent="0.25">
      <c r="A31" s="1193"/>
      <c r="B31" s="1193"/>
      <c r="C31" s="1546"/>
      <c r="D31" s="1546"/>
      <c r="E31" s="1546"/>
      <c r="F31" s="1546"/>
      <c r="G31" s="1193"/>
      <c r="H31" s="1531" t="s">
        <v>329</v>
      </c>
      <c r="I31" s="1531"/>
      <c r="J31" s="1531"/>
    </row>
    <row r="32" spans="1:10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0:B30"/>
    <mergeCell ref="C30:F31"/>
    <mergeCell ref="H30:J30"/>
    <mergeCell ref="H31:J31"/>
    <mergeCell ref="A23:B23"/>
    <mergeCell ref="A24:B24"/>
    <mergeCell ref="A25:B25"/>
    <mergeCell ref="A26:B26"/>
    <mergeCell ref="H28:J28"/>
    <mergeCell ref="A22:B22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J36"/>
  <sheetViews>
    <sheetView view="pageBreakPreview" topLeftCell="A10" zoomScaleNormal="100" zoomScaleSheetLayoutView="100" workbookViewId="0">
      <selection activeCell="A28" sqref="A28:J32"/>
    </sheetView>
  </sheetViews>
  <sheetFormatPr defaultRowHeight="13.8" x14ac:dyDescent="0.25"/>
  <cols>
    <col min="1" max="1" width="4.109375" customWidth="1"/>
    <col min="2" max="2" width="21" customWidth="1"/>
    <col min="3" max="3" width="8.88671875" customWidth="1"/>
    <col min="4" max="7" width="7.5546875" customWidth="1"/>
    <col min="8" max="8" width="7.44140625" customWidth="1"/>
    <col min="9" max="9" width="8.44140625" customWidth="1"/>
    <col min="10" max="10" width="9.1093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47)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290"/>
      <c r="I6" s="290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77</v>
      </c>
    </row>
    <row r="8" spans="1:10" s="2" customFormat="1" ht="9.6" customHeight="1" x14ac:dyDescent="0.25">
      <c r="A8" s="291"/>
      <c r="B8" s="291"/>
      <c r="C8" s="291"/>
      <c r="D8" s="291"/>
      <c r="E8" s="291"/>
      <c r="F8" s="291"/>
      <c r="G8" s="291"/>
      <c r="H8" s="291"/>
      <c r="I8" s="291"/>
      <c r="J8" s="109"/>
    </row>
    <row r="9" spans="1:10" s="2" customFormat="1" ht="26.1" customHeight="1" x14ac:dyDescent="0.3">
      <c r="A9" s="1550" t="s">
        <v>536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'71-огурцы и помидоры'!H14+1</f>
        <v>47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287" t="s">
        <v>92</v>
      </c>
      <c r="D17" s="287" t="s">
        <v>94</v>
      </c>
      <c r="E17" s="287" t="s">
        <v>93</v>
      </c>
      <c r="F17" s="287" t="s">
        <v>23</v>
      </c>
      <c r="G17" s="287" t="s">
        <v>92</v>
      </c>
      <c r="H17" s="287" t="s">
        <v>94</v>
      </c>
      <c r="I17" s="287" t="s">
        <v>92</v>
      </c>
      <c r="J17" s="287" t="s">
        <v>94</v>
      </c>
    </row>
    <row r="18" spans="1:10" ht="9.6" customHeight="1" x14ac:dyDescent="0.25">
      <c r="A18" s="287">
        <v>1</v>
      </c>
      <c r="B18" s="289">
        <v>2</v>
      </c>
      <c r="C18" s="287">
        <v>3</v>
      </c>
      <c r="D18" s="289">
        <v>4</v>
      </c>
      <c r="E18" s="287">
        <v>5</v>
      </c>
      <c r="F18" s="289">
        <v>6</v>
      </c>
      <c r="G18" s="287">
        <v>7</v>
      </c>
      <c r="H18" s="289">
        <v>8</v>
      </c>
      <c r="I18" s="287">
        <v>9</v>
      </c>
      <c r="J18" s="289">
        <v>10</v>
      </c>
    </row>
    <row r="19" spans="1:10" s="10" customFormat="1" ht="14.1" customHeight="1" x14ac:dyDescent="0.25">
      <c r="A19" s="180">
        <v>1</v>
      </c>
      <c r="B19" s="20" t="s">
        <v>537</v>
      </c>
      <c r="C19" s="21">
        <v>5.1999999999999998E-2</v>
      </c>
      <c r="D19" s="21">
        <v>2.5000000000000001E-2</v>
      </c>
      <c r="E19" s="13">
        <f>цены!F17</f>
        <v>180</v>
      </c>
      <c r="F19" s="13">
        <f>C19*E19</f>
        <v>9.36</v>
      </c>
      <c r="G19" s="97">
        <f t="shared" ref="G19:H21" si="0">C19*10</f>
        <v>0.52</v>
      </c>
      <c r="H19" s="21">
        <f t="shared" si="0"/>
        <v>0.25</v>
      </c>
      <c r="I19" s="21">
        <f t="shared" ref="I19:J21" si="1">C19*100</f>
        <v>5.2</v>
      </c>
      <c r="J19" s="21">
        <f t="shared" si="1"/>
        <v>2.5</v>
      </c>
    </row>
    <row r="20" spans="1:10" s="10" customFormat="1" ht="14.1" customHeight="1" x14ac:dyDescent="0.25">
      <c r="A20" s="180">
        <v>2</v>
      </c>
      <c r="B20" s="20" t="s">
        <v>50</v>
      </c>
      <c r="C20" s="111">
        <v>9.7199999999999995E-2</v>
      </c>
      <c r="D20" s="21">
        <v>7.0000000000000007E-2</v>
      </c>
      <c r="E20" s="13">
        <f>цены!F35</f>
        <v>50</v>
      </c>
      <c r="F20" s="13">
        <f>C20*E20</f>
        <v>4.8600000000000003</v>
      </c>
      <c r="G20" s="97">
        <f t="shared" si="0"/>
        <v>0.97199999999999998</v>
      </c>
      <c r="H20" s="21">
        <f t="shared" si="0"/>
        <v>0.7</v>
      </c>
      <c r="I20" s="21">
        <f t="shared" si="1"/>
        <v>9.7200000000000006</v>
      </c>
      <c r="J20" s="21">
        <f t="shared" si="1"/>
        <v>7</v>
      </c>
    </row>
    <row r="21" spans="1:10" s="10" customFormat="1" ht="14.1" customHeight="1" x14ac:dyDescent="0.25">
      <c r="A21" s="180">
        <v>3</v>
      </c>
      <c r="B21" s="20" t="s">
        <v>74</v>
      </c>
      <c r="C21" s="21">
        <v>6.0000000000000001E-3</v>
      </c>
      <c r="D21" s="21">
        <v>6.0000000000000001E-3</v>
      </c>
      <c r="E21" s="13">
        <f>цены!F87</f>
        <v>120</v>
      </c>
      <c r="F21" s="13">
        <f>C21*E21</f>
        <v>0.72</v>
      </c>
      <c r="G21" s="97">
        <f t="shared" si="0"/>
        <v>0.06</v>
      </c>
      <c r="H21" s="21">
        <f t="shared" si="0"/>
        <v>0.06</v>
      </c>
      <c r="I21" s="21">
        <f t="shared" si="1"/>
        <v>0.6</v>
      </c>
      <c r="J21" s="21">
        <f t="shared" si="1"/>
        <v>0.6</v>
      </c>
    </row>
    <row r="22" spans="1:10" s="10" customFormat="1" ht="12" customHeight="1" x14ac:dyDescent="0.25">
      <c r="A22" s="98"/>
      <c r="B22" s="93" t="s">
        <v>100</v>
      </c>
      <c r="C22" s="100"/>
      <c r="D22" s="100">
        <v>0.1</v>
      </c>
      <c r="E22" s="95"/>
      <c r="F22" s="95">
        <f>SUM(F19:F21)</f>
        <v>14.94</v>
      </c>
      <c r="G22" s="99"/>
      <c r="H22" s="100">
        <f>D22*10</f>
        <v>1</v>
      </c>
      <c r="I22" s="100"/>
      <c r="J22" s="100">
        <f>D22*100</f>
        <v>10</v>
      </c>
    </row>
    <row r="23" spans="1:10" s="10" customFormat="1" ht="27.6" customHeight="1" x14ac:dyDescent="0.25">
      <c r="A23" s="1536" t="s">
        <v>35</v>
      </c>
      <c r="B23" s="1536"/>
      <c r="C23" s="90"/>
      <c r="D23" s="90"/>
      <c r="E23" s="13"/>
      <c r="F23" s="13">
        <f>F22</f>
        <v>14.94</v>
      </c>
      <c r="G23" s="288"/>
      <c r="H23" s="288"/>
      <c r="I23" s="21"/>
      <c r="J23" s="13"/>
    </row>
    <row r="24" spans="1:10" s="10" customFormat="1" ht="25.35" customHeight="1" x14ac:dyDescent="0.25">
      <c r="A24" s="1536" t="s">
        <v>36</v>
      </c>
      <c r="B24" s="1536"/>
      <c r="C24" s="90">
        <v>100</v>
      </c>
      <c r="D24" s="90"/>
      <c r="E24" s="13"/>
      <c r="F24" s="13"/>
      <c r="G24" s="13"/>
      <c r="H24" s="13"/>
      <c r="I24" s="21"/>
      <c r="J24" s="17"/>
    </row>
    <row r="25" spans="1:10" s="10" customFormat="1" ht="25.35" customHeight="1" x14ac:dyDescent="0.25">
      <c r="A25" s="1537" t="s">
        <v>37</v>
      </c>
      <c r="B25" s="1538"/>
      <c r="C25" s="91">
        <v>100</v>
      </c>
      <c r="D25" s="92"/>
      <c r="E25" s="289"/>
      <c r="F25" s="289"/>
      <c r="G25" s="289"/>
      <c r="H25" s="289"/>
      <c r="I25" s="21"/>
      <c r="J25" s="17"/>
    </row>
    <row r="26" spans="1:10" s="10" customFormat="1" ht="15" customHeight="1" x14ac:dyDescent="0.25">
      <c r="A26" s="1539" t="s">
        <v>38</v>
      </c>
      <c r="B26" s="1540"/>
      <c r="C26" s="92">
        <f>C24/C25</f>
        <v>1</v>
      </c>
      <c r="D26" s="92"/>
      <c r="E26" s="289"/>
      <c r="F26" s="289"/>
      <c r="G26" s="289"/>
      <c r="H26" s="289"/>
      <c r="I26" s="21"/>
      <c r="J26" s="17"/>
    </row>
    <row r="27" spans="1:10" ht="16.350000000000001" customHeight="1" x14ac:dyDescent="0.25">
      <c r="A27" s="1541" t="s">
        <v>39</v>
      </c>
      <c r="B27" s="1542"/>
      <c r="C27" s="15" t="s">
        <v>40</v>
      </c>
      <c r="D27" s="102"/>
      <c r="E27" s="102" t="s">
        <v>40</v>
      </c>
      <c r="F27" s="16">
        <f>F23/C26</f>
        <v>14.94</v>
      </c>
      <c r="G27" s="16"/>
      <c r="H27" s="16"/>
      <c r="I27" s="102" t="s">
        <v>40</v>
      </c>
      <c r="J27" s="102" t="s">
        <v>40</v>
      </c>
    </row>
    <row r="28" spans="1:10" ht="23.1" customHeight="1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193"/>
      <c r="B29" s="1194" t="s">
        <v>49</v>
      </c>
      <c r="C29" s="1198"/>
      <c r="D29" s="1198"/>
      <c r="E29" s="1198"/>
      <c r="F29" s="1198"/>
      <c r="G29" s="1193"/>
      <c r="H29" s="1557">
        <f>'1-бутерброд с маслом'!$H$28</f>
        <v>0</v>
      </c>
      <c r="I29" s="1557"/>
      <c r="J29" s="1557"/>
    </row>
    <row r="30" spans="1:10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0" ht="13.95" customHeight="1" x14ac:dyDescent="0.25">
      <c r="A31" s="1545" t="s">
        <v>327</v>
      </c>
      <c r="B31" s="1545"/>
      <c r="C31" s="1546" t="s">
        <v>328</v>
      </c>
      <c r="D31" s="1546"/>
      <c r="E31" s="1546"/>
      <c r="F31" s="1546"/>
      <c r="G31" s="106"/>
      <c r="H31" s="1531"/>
      <c r="I31" s="1531"/>
      <c r="J31" s="1531"/>
    </row>
    <row r="32" spans="1:10" x14ac:dyDescent="0.25">
      <c r="A32" s="1193"/>
      <c r="B32" s="1193"/>
      <c r="C32" s="1546"/>
      <c r="D32" s="1546"/>
      <c r="E32" s="1546"/>
      <c r="F32" s="1546"/>
      <c r="G32" s="1193"/>
      <c r="H32" s="1531" t="s">
        <v>329</v>
      </c>
      <c r="I32" s="1531"/>
      <c r="J32" s="1531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</sheetData>
  <mergeCells count="28">
    <mergeCell ref="H29:J29"/>
    <mergeCell ref="A13:G13"/>
    <mergeCell ref="A24:B24"/>
    <mergeCell ref="A25:B25"/>
    <mergeCell ref="A26:B26"/>
    <mergeCell ref="A27:B27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1:B31"/>
    <mergeCell ref="C31:F32"/>
    <mergeCell ref="H31:J31"/>
    <mergeCell ref="H32:J32"/>
    <mergeCell ref="H5:I5"/>
    <mergeCell ref="A6:G6"/>
    <mergeCell ref="A7:I7"/>
    <mergeCell ref="A23:B23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FED77"/>
  </sheetPr>
  <dimension ref="A1:M47"/>
  <sheetViews>
    <sheetView view="pageBreakPreview" topLeftCell="A7" zoomScaleNormal="100" zoomScaleSheetLayoutView="100" workbookViewId="0">
      <selection activeCell="R18" sqref="R18"/>
    </sheetView>
  </sheetViews>
  <sheetFormatPr defaultRowHeight="13.8" x14ac:dyDescent="0.25"/>
  <cols>
    <col min="1" max="1" width="4.109375" customWidth="1"/>
    <col min="2" max="2" width="22.4414062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6640625" customWidth="1"/>
    <col min="12" max="12" width="9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48)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03"/>
      <c r="I6" s="103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82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1294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'77-сельдь'!H14+1</f>
        <v>48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3" ht="9.6" customHeight="1" x14ac:dyDescent="0.25">
      <c r="A18" s="96">
        <v>1</v>
      </c>
      <c r="B18" s="5">
        <v>2</v>
      </c>
      <c r="C18" s="172">
        <v>3</v>
      </c>
      <c r="D18" s="173">
        <v>4</v>
      </c>
      <c r="E18" s="172">
        <v>5</v>
      </c>
      <c r="F18" s="173">
        <v>6</v>
      </c>
      <c r="G18" s="172">
        <v>7</v>
      </c>
      <c r="H18" s="173">
        <v>8</v>
      </c>
      <c r="I18" s="172">
        <v>9</v>
      </c>
      <c r="J18" s="173">
        <v>10</v>
      </c>
    </row>
    <row r="19" spans="1:13" s="10" customFormat="1" ht="14.1" customHeight="1" x14ac:dyDescent="0.25">
      <c r="A19" s="180">
        <v>1</v>
      </c>
      <c r="B19" s="20" t="s">
        <v>52</v>
      </c>
      <c r="C19" s="21">
        <v>0.2</v>
      </c>
      <c r="D19" s="21">
        <v>0.16</v>
      </c>
      <c r="E19" s="13">
        <f>цены!F51</f>
        <v>30</v>
      </c>
      <c r="F19" s="13">
        <f>C19*E19</f>
        <v>6</v>
      </c>
      <c r="G19" s="97">
        <f t="shared" ref="G19:H32" si="0">C19*10</f>
        <v>2</v>
      </c>
      <c r="H19" s="21">
        <f t="shared" si="0"/>
        <v>1.6</v>
      </c>
      <c r="I19" s="21">
        <f t="shared" ref="I19:J32" si="1">C19*100</f>
        <v>20</v>
      </c>
      <c r="J19" s="21">
        <f t="shared" si="1"/>
        <v>16</v>
      </c>
      <c r="K19" s="611"/>
      <c r="L19" s="1018">
        <f>C19/C$37</f>
        <v>0.05</v>
      </c>
      <c r="M19" s="1018">
        <f>F19/C$37</f>
        <v>1.5</v>
      </c>
    </row>
    <row r="20" spans="1:13" s="10" customFormat="1" ht="14.1" customHeight="1" x14ac:dyDescent="0.25">
      <c r="A20" s="180">
        <v>2</v>
      </c>
      <c r="B20" s="20" t="s">
        <v>53</v>
      </c>
      <c r="C20" s="21">
        <v>0.1</v>
      </c>
      <c r="D20" s="21">
        <v>0.08</v>
      </c>
      <c r="E20" s="13">
        <f>цены!F33</f>
        <v>53</v>
      </c>
      <c r="F20" s="13">
        <f t="shared" ref="F20:F32" si="2">C20*E20</f>
        <v>5.3</v>
      </c>
      <c r="G20" s="97">
        <f t="shared" si="0"/>
        <v>1</v>
      </c>
      <c r="H20" s="21">
        <f t="shared" si="0"/>
        <v>0.8</v>
      </c>
      <c r="I20" s="21">
        <f t="shared" si="1"/>
        <v>10</v>
      </c>
      <c r="J20" s="21">
        <f t="shared" si="1"/>
        <v>8</v>
      </c>
      <c r="K20" s="611"/>
      <c r="L20" s="1018">
        <f t="shared" ref="L20:L32" si="3">C20/C$37</f>
        <v>2.5000000000000001E-2</v>
      </c>
      <c r="M20" s="1018">
        <f t="shared" ref="M20:M32" si="4">F20/C$37</f>
        <v>1.325</v>
      </c>
    </row>
    <row r="21" spans="1:13" s="10" customFormat="1" ht="14.1" customHeight="1" x14ac:dyDescent="0.25">
      <c r="A21" s="180">
        <v>3</v>
      </c>
      <c r="B21" s="20" t="s">
        <v>50</v>
      </c>
      <c r="C21" s="21">
        <v>0.107</v>
      </c>
      <c r="D21" s="21">
        <v>0.08</v>
      </c>
      <c r="E21" s="13">
        <f>цены!F35</f>
        <v>50</v>
      </c>
      <c r="F21" s="13">
        <f t="shared" si="2"/>
        <v>5.35</v>
      </c>
      <c r="G21" s="97">
        <f t="shared" si="0"/>
        <v>1.07</v>
      </c>
      <c r="H21" s="21">
        <f t="shared" si="0"/>
        <v>0.8</v>
      </c>
      <c r="I21" s="21">
        <f t="shared" si="1"/>
        <v>10.7</v>
      </c>
      <c r="J21" s="21">
        <f t="shared" si="1"/>
        <v>8</v>
      </c>
      <c r="K21" s="611"/>
      <c r="L21" s="1018">
        <f t="shared" si="3"/>
        <v>2.6800000000000001E-2</v>
      </c>
      <c r="M21" s="1018">
        <f t="shared" si="4"/>
        <v>1.3374999999999999</v>
      </c>
    </row>
    <row r="22" spans="1:13" s="10" customFormat="1" ht="12" customHeight="1" x14ac:dyDescent="0.25">
      <c r="A22" s="180">
        <v>4</v>
      </c>
      <c r="B22" s="20" t="s">
        <v>47</v>
      </c>
      <c r="C22" s="21">
        <v>0.05</v>
      </c>
      <c r="D22" s="21">
        <v>0.04</v>
      </c>
      <c r="E22" s="13">
        <f>цены!F44</f>
        <v>50</v>
      </c>
      <c r="F22" s="13">
        <f t="shared" si="2"/>
        <v>2.5</v>
      </c>
      <c r="G22" s="97">
        <f t="shared" si="0"/>
        <v>0.5</v>
      </c>
      <c r="H22" s="21">
        <f t="shared" si="0"/>
        <v>0.4</v>
      </c>
      <c r="I22" s="21">
        <f t="shared" si="1"/>
        <v>5</v>
      </c>
      <c r="J22" s="21">
        <f t="shared" si="1"/>
        <v>4</v>
      </c>
      <c r="K22" s="611"/>
      <c r="L22" s="1018">
        <f t="shared" si="3"/>
        <v>1.2500000000000001E-2</v>
      </c>
      <c r="M22" s="1018">
        <f t="shared" si="4"/>
        <v>0.625</v>
      </c>
    </row>
    <row r="23" spans="1:13" s="10" customFormat="1" ht="12" customHeight="1" x14ac:dyDescent="0.25">
      <c r="A23" s="180">
        <v>5</v>
      </c>
      <c r="B23" s="20" t="s">
        <v>102</v>
      </c>
      <c r="C23" s="21">
        <v>1.2999999999999999E-2</v>
      </c>
      <c r="D23" s="21">
        <v>0.01</v>
      </c>
      <c r="E23" s="13">
        <f>цены!F47</f>
        <v>300</v>
      </c>
      <c r="F23" s="13">
        <f t="shared" si="2"/>
        <v>3.9</v>
      </c>
      <c r="G23" s="97">
        <f t="shared" si="0"/>
        <v>0.13</v>
      </c>
      <c r="H23" s="21">
        <f t="shared" si="0"/>
        <v>0.1</v>
      </c>
      <c r="I23" s="21">
        <f t="shared" si="1"/>
        <v>1.3</v>
      </c>
      <c r="J23" s="21">
        <f t="shared" si="1"/>
        <v>1</v>
      </c>
      <c r="K23" s="611"/>
      <c r="L23" s="1018">
        <f t="shared" si="3"/>
        <v>3.3E-3</v>
      </c>
      <c r="M23" s="1018">
        <f t="shared" si="4"/>
        <v>0.97499999999999998</v>
      </c>
    </row>
    <row r="24" spans="1:13" s="10" customFormat="1" ht="12" customHeight="1" x14ac:dyDescent="0.25">
      <c r="A24" s="180">
        <v>6</v>
      </c>
      <c r="B24" s="20" t="s">
        <v>48</v>
      </c>
      <c r="C24" s="21">
        <v>4.8000000000000001E-2</v>
      </c>
      <c r="D24" s="21">
        <v>0.04</v>
      </c>
      <c r="E24" s="13">
        <f>цены!F38</f>
        <v>50</v>
      </c>
      <c r="F24" s="13">
        <f t="shared" si="2"/>
        <v>2.4</v>
      </c>
      <c r="G24" s="97">
        <f t="shared" si="0"/>
        <v>0.48</v>
      </c>
      <c r="H24" s="21">
        <f t="shared" si="0"/>
        <v>0.4</v>
      </c>
      <c r="I24" s="21">
        <f t="shared" si="1"/>
        <v>4.8</v>
      </c>
      <c r="J24" s="21">
        <f t="shared" si="1"/>
        <v>4</v>
      </c>
      <c r="K24" s="611"/>
      <c r="L24" s="1018">
        <f t="shared" si="3"/>
        <v>1.2E-2</v>
      </c>
      <c r="M24" s="1018">
        <f t="shared" si="4"/>
        <v>0.6</v>
      </c>
    </row>
    <row r="25" spans="1:13" s="10" customFormat="1" ht="12" customHeight="1" x14ac:dyDescent="0.25">
      <c r="A25" s="180">
        <v>7</v>
      </c>
      <c r="B25" s="20" t="s">
        <v>46</v>
      </c>
      <c r="C25" s="21">
        <v>0.03</v>
      </c>
      <c r="D25" s="21">
        <v>0.03</v>
      </c>
      <c r="E25" s="13">
        <f>цены!F113</f>
        <v>230</v>
      </c>
      <c r="F25" s="13">
        <f t="shared" si="2"/>
        <v>6.9</v>
      </c>
      <c r="G25" s="97">
        <f t="shared" si="0"/>
        <v>0.3</v>
      </c>
      <c r="H25" s="21">
        <f t="shared" si="0"/>
        <v>0.3</v>
      </c>
      <c r="I25" s="21">
        <f t="shared" si="1"/>
        <v>3</v>
      </c>
      <c r="J25" s="21">
        <f t="shared" si="1"/>
        <v>3</v>
      </c>
      <c r="K25" s="611"/>
      <c r="L25" s="1018">
        <f t="shared" si="3"/>
        <v>7.4999999999999997E-3</v>
      </c>
      <c r="M25" s="1018">
        <f t="shared" si="4"/>
        <v>1.7250000000000001</v>
      </c>
    </row>
    <row r="26" spans="1:13" s="10" customFormat="1" ht="12" customHeight="1" x14ac:dyDescent="0.25">
      <c r="A26" s="180">
        <v>8</v>
      </c>
      <c r="B26" s="20" t="s">
        <v>74</v>
      </c>
      <c r="C26" s="21">
        <v>0.02</v>
      </c>
      <c r="D26" s="21">
        <v>0.02</v>
      </c>
      <c r="E26" s="13">
        <f>цены!F87</f>
        <v>120</v>
      </c>
      <c r="F26" s="13">
        <f t="shared" si="2"/>
        <v>2.4</v>
      </c>
      <c r="G26" s="97">
        <f t="shared" si="0"/>
        <v>0.2</v>
      </c>
      <c r="H26" s="21">
        <f t="shared" si="0"/>
        <v>0.2</v>
      </c>
      <c r="I26" s="21">
        <f t="shared" si="1"/>
        <v>2</v>
      </c>
      <c r="J26" s="21">
        <f t="shared" si="1"/>
        <v>2</v>
      </c>
      <c r="K26" s="611"/>
      <c r="L26" s="1018">
        <f t="shared" si="3"/>
        <v>5.0000000000000001E-3</v>
      </c>
      <c r="M26" s="1018">
        <f t="shared" si="4"/>
        <v>0.6</v>
      </c>
    </row>
    <row r="27" spans="1:13" s="10" customFormat="1" ht="12" customHeight="1" x14ac:dyDescent="0.25">
      <c r="A27" s="180">
        <v>9</v>
      </c>
      <c r="B27" s="20" t="s">
        <v>30</v>
      </c>
      <c r="C27" s="21">
        <v>0.01</v>
      </c>
      <c r="D27" s="21">
        <v>0.01</v>
      </c>
      <c r="E27" s="13">
        <f>цены!F107</f>
        <v>76</v>
      </c>
      <c r="F27" s="13">
        <f t="shared" si="2"/>
        <v>0.76</v>
      </c>
      <c r="G27" s="97">
        <f t="shared" si="0"/>
        <v>0.1</v>
      </c>
      <c r="H27" s="21">
        <f t="shared" si="0"/>
        <v>0.1</v>
      </c>
      <c r="I27" s="21">
        <f t="shared" si="1"/>
        <v>1</v>
      </c>
      <c r="J27" s="21">
        <f t="shared" si="1"/>
        <v>1</v>
      </c>
      <c r="K27" s="611"/>
      <c r="L27" s="1018">
        <f t="shared" si="3"/>
        <v>2.5000000000000001E-3</v>
      </c>
      <c r="M27" s="1018">
        <f t="shared" si="4"/>
        <v>0.19</v>
      </c>
    </row>
    <row r="28" spans="1:13" s="10" customFormat="1" ht="12" customHeight="1" x14ac:dyDescent="0.25">
      <c r="A28" s="180">
        <v>10</v>
      </c>
      <c r="B28" s="20" t="s">
        <v>141</v>
      </c>
      <c r="C28" s="21">
        <v>0.8</v>
      </c>
      <c r="D28" s="21">
        <v>0.8</v>
      </c>
      <c r="E28" s="13"/>
      <c r="F28" s="13">
        <f t="shared" si="2"/>
        <v>0</v>
      </c>
      <c r="G28" s="97">
        <f t="shared" si="0"/>
        <v>8</v>
      </c>
      <c r="H28" s="21">
        <f t="shared" si="0"/>
        <v>8</v>
      </c>
      <c r="I28" s="21">
        <f t="shared" si="1"/>
        <v>80</v>
      </c>
      <c r="J28" s="21">
        <f t="shared" si="1"/>
        <v>80</v>
      </c>
      <c r="K28" s="611"/>
      <c r="L28" s="1018">
        <f t="shared" si="3"/>
        <v>0.2</v>
      </c>
      <c r="M28" s="1018">
        <f t="shared" si="4"/>
        <v>0</v>
      </c>
    </row>
    <row r="29" spans="1:13" s="10" customFormat="1" ht="12" customHeight="1" x14ac:dyDescent="0.25">
      <c r="A29" s="180">
        <v>11</v>
      </c>
      <c r="B29" s="20" t="s">
        <v>33</v>
      </c>
      <c r="C29" s="21">
        <v>0.01</v>
      </c>
      <c r="D29" s="21">
        <v>0.01</v>
      </c>
      <c r="E29" s="13">
        <f>цены!F110</f>
        <v>24</v>
      </c>
      <c r="F29" s="13">
        <f t="shared" si="2"/>
        <v>0.24</v>
      </c>
      <c r="G29" s="97">
        <f t="shared" si="0"/>
        <v>0.1</v>
      </c>
      <c r="H29" s="21">
        <f t="shared" si="0"/>
        <v>0.1</v>
      </c>
      <c r="I29" s="21">
        <f t="shared" si="1"/>
        <v>1</v>
      </c>
      <c r="J29" s="21">
        <f t="shared" si="1"/>
        <v>1</v>
      </c>
      <c r="K29" s="611"/>
      <c r="L29" s="1018">
        <f t="shared" si="3"/>
        <v>2.5000000000000001E-3</v>
      </c>
      <c r="M29" s="1018">
        <f t="shared" si="4"/>
        <v>0.06</v>
      </c>
    </row>
    <row r="30" spans="1:13" s="10" customFormat="1" ht="12" customHeight="1" x14ac:dyDescent="0.25">
      <c r="A30" s="180">
        <v>12</v>
      </c>
      <c r="B30" s="20" t="s">
        <v>51</v>
      </c>
      <c r="C30" s="21">
        <v>0.02</v>
      </c>
      <c r="D30" s="21">
        <v>0.02</v>
      </c>
      <c r="E30" s="13">
        <f>цены!F24</f>
        <v>234</v>
      </c>
      <c r="F30" s="13">
        <f t="shared" si="2"/>
        <v>4.68</v>
      </c>
      <c r="G30" s="97">
        <f t="shared" si="0"/>
        <v>0.2</v>
      </c>
      <c r="H30" s="21">
        <f t="shared" si="0"/>
        <v>0.2</v>
      </c>
      <c r="I30" s="21">
        <f t="shared" si="1"/>
        <v>2</v>
      </c>
      <c r="J30" s="21">
        <f t="shared" si="1"/>
        <v>2</v>
      </c>
      <c r="K30" s="611"/>
      <c r="L30" s="1018">
        <f t="shared" si="3"/>
        <v>5.0000000000000001E-3</v>
      </c>
      <c r="M30" s="1018">
        <f t="shared" si="4"/>
        <v>1.17</v>
      </c>
    </row>
    <row r="31" spans="1:13" s="10" customFormat="1" ht="12" customHeight="1" x14ac:dyDescent="0.25">
      <c r="A31" s="180">
        <v>13</v>
      </c>
      <c r="B31" s="20" t="s">
        <v>339</v>
      </c>
      <c r="C31" s="21">
        <f>0.002*C37</f>
        <v>8.0000000000000002E-3</v>
      </c>
      <c r="D31" s="21">
        <f>0.002*C37</f>
        <v>8.0000000000000002E-3</v>
      </c>
      <c r="E31" s="13">
        <f>цены!F48</f>
        <v>300</v>
      </c>
      <c r="F31" s="13">
        <f t="shared" si="2"/>
        <v>2.4</v>
      </c>
      <c r="G31" s="97">
        <f t="shared" si="0"/>
        <v>0.08</v>
      </c>
      <c r="H31" s="21">
        <f t="shared" si="0"/>
        <v>0.08</v>
      </c>
      <c r="I31" s="21">
        <f t="shared" si="1"/>
        <v>0.8</v>
      </c>
      <c r="J31" s="21">
        <f t="shared" si="1"/>
        <v>0.8</v>
      </c>
      <c r="K31" s="611"/>
      <c r="L31" s="1018">
        <f t="shared" si="3"/>
        <v>2E-3</v>
      </c>
      <c r="M31" s="1018">
        <f t="shared" si="4"/>
        <v>0.6</v>
      </c>
    </row>
    <row r="32" spans="1:13" s="10" customFormat="1" ht="12" customHeight="1" x14ac:dyDescent="0.25">
      <c r="A32" s="180">
        <v>14</v>
      </c>
      <c r="B32" s="20" t="s">
        <v>341</v>
      </c>
      <c r="C32" s="21">
        <v>0.01</v>
      </c>
      <c r="D32" s="21">
        <v>0.01</v>
      </c>
      <c r="E32" s="13">
        <f>цены!F74</f>
        <v>36</v>
      </c>
      <c r="F32" s="13">
        <f t="shared" si="2"/>
        <v>0.36</v>
      </c>
      <c r="G32" s="97">
        <f t="shared" si="0"/>
        <v>0.1</v>
      </c>
      <c r="H32" s="21">
        <f t="shared" si="0"/>
        <v>0.1</v>
      </c>
      <c r="I32" s="21">
        <f t="shared" si="1"/>
        <v>1</v>
      </c>
      <c r="J32" s="21">
        <f t="shared" si="1"/>
        <v>1</v>
      </c>
      <c r="K32" s="611"/>
      <c r="L32" s="1018">
        <f t="shared" si="3"/>
        <v>2.5000000000000001E-3</v>
      </c>
      <c r="M32" s="1018">
        <f t="shared" si="4"/>
        <v>0.09</v>
      </c>
    </row>
    <row r="33" spans="1:13" s="10" customFormat="1" ht="12" customHeight="1" x14ac:dyDescent="0.25">
      <c r="A33" s="98"/>
      <c r="B33" s="93" t="s">
        <v>100</v>
      </c>
      <c r="C33" s="114"/>
      <c r="D33" s="100">
        <v>1</v>
      </c>
      <c r="E33" s="95"/>
      <c r="F33" s="95">
        <f>SUM(F19:F32)</f>
        <v>43.19</v>
      </c>
      <c r="G33" s="99"/>
      <c r="H33" s="100">
        <f>D33*10</f>
        <v>10</v>
      </c>
      <c r="I33" s="100"/>
      <c r="J33" s="100">
        <f>D33*100</f>
        <v>100</v>
      </c>
      <c r="K33" s="611"/>
      <c r="L33" s="1018">
        <f>SUM(L19:L32)</f>
        <v>0.35659999999999997</v>
      </c>
      <c r="M33" s="1018">
        <f>SUM(M19:M32)</f>
        <v>10.797499999999999</v>
      </c>
    </row>
    <row r="34" spans="1:13" s="10" customFormat="1" ht="27.6" customHeight="1" x14ac:dyDescent="0.25">
      <c r="A34" s="1536" t="s">
        <v>35</v>
      </c>
      <c r="B34" s="1536"/>
      <c r="C34" s="90"/>
      <c r="D34" s="90"/>
      <c r="E34" s="13"/>
      <c r="F34" s="13">
        <f>F33</f>
        <v>43.19</v>
      </c>
      <c r="G34" s="14"/>
      <c r="H34" s="14"/>
      <c r="I34" s="21"/>
      <c r="J34" s="13"/>
      <c r="K34" s="611"/>
      <c r="L34" s="612"/>
    </row>
    <row r="35" spans="1:13" s="10" customFormat="1" ht="25.35" customHeight="1" x14ac:dyDescent="0.25">
      <c r="A35" s="1536" t="s">
        <v>36</v>
      </c>
      <c r="B35" s="1536"/>
      <c r="C35" s="866">
        <v>1000</v>
      </c>
      <c r="D35" s="90"/>
      <c r="E35" s="13"/>
      <c r="F35" s="13"/>
      <c r="G35" s="13"/>
      <c r="H35" s="13"/>
      <c r="I35" s="21"/>
      <c r="J35" s="17"/>
    </row>
    <row r="36" spans="1:13" s="10" customFormat="1" ht="25.35" customHeight="1" x14ac:dyDescent="0.25">
      <c r="A36" s="1537" t="s">
        <v>37</v>
      </c>
      <c r="B36" s="1538"/>
      <c r="C36" s="1071">
        <v>250</v>
      </c>
      <c r="D36" s="92"/>
      <c r="E36" s="5"/>
      <c r="F36" s="5"/>
      <c r="G36" s="5"/>
      <c r="H36" s="5"/>
      <c r="I36" s="21"/>
      <c r="J36" s="17"/>
    </row>
    <row r="37" spans="1:13" s="10" customFormat="1" ht="15" customHeight="1" x14ac:dyDescent="0.25">
      <c r="A37" s="1539" t="s">
        <v>38</v>
      </c>
      <c r="B37" s="1540"/>
      <c r="C37" s="245">
        <f>C35/C36</f>
        <v>4</v>
      </c>
      <c r="D37" s="92"/>
      <c r="E37" s="5"/>
      <c r="F37" s="5"/>
      <c r="G37" s="5"/>
      <c r="H37" s="5"/>
      <c r="I37" s="21"/>
      <c r="J37" s="17"/>
    </row>
    <row r="38" spans="1:13" ht="16.350000000000001" customHeight="1" x14ac:dyDescent="0.25">
      <c r="A38" s="1541" t="s">
        <v>39</v>
      </c>
      <c r="B38" s="1542"/>
      <c r="C38" s="15" t="s">
        <v>40</v>
      </c>
      <c r="D38" s="102"/>
      <c r="E38" s="102" t="s">
        <v>40</v>
      </c>
      <c r="F38" s="16">
        <f>F34/C37</f>
        <v>10.8</v>
      </c>
      <c r="G38" s="16"/>
      <c r="H38" s="16"/>
      <c r="I38" s="102" t="s">
        <v>40</v>
      </c>
      <c r="J38" s="102" t="s">
        <v>40</v>
      </c>
    </row>
    <row r="39" spans="1:13" ht="23.1" customHeight="1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3" ht="13.95" customHeight="1" x14ac:dyDescent="0.25">
      <c r="A40" s="1193"/>
      <c r="B40" s="1194" t="s">
        <v>49</v>
      </c>
      <c r="C40" s="1198"/>
      <c r="D40" s="1198"/>
      <c r="E40" s="1198"/>
      <c r="F40" s="1198"/>
      <c r="G40" s="1193"/>
      <c r="H40" s="1556">
        <f>'1-бутерброд с маслом'!$H$28</f>
        <v>0</v>
      </c>
      <c r="I40" s="1556"/>
      <c r="J40" s="1556"/>
    </row>
    <row r="41" spans="1:13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3" ht="13.95" customHeight="1" x14ac:dyDescent="0.25">
      <c r="A42" s="1545" t="s">
        <v>327</v>
      </c>
      <c r="B42" s="1545"/>
      <c r="C42" s="1546" t="s">
        <v>328</v>
      </c>
      <c r="D42" s="1546"/>
      <c r="E42" s="1546"/>
      <c r="F42" s="1546"/>
      <c r="G42" s="106"/>
      <c r="H42" s="1531"/>
      <c r="I42" s="1531"/>
      <c r="J42" s="1531"/>
    </row>
    <row r="43" spans="1:13" x14ac:dyDescent="0.25">
      <c r="A43" s="1193"/>
      <c r="B43" s="1193"/>
      <c r="C43" s="1546"/>
      <c r="D43" s="1546"/>
      <c r="E43" s="1546"/>
      <c r="F43" s="1546"/>
      <c r="G43" s="1193"/>
      <c r="H43" s="1531" t="s">
        <v>329</v>
      </c>
      <c r="I43" s="1531"/>
      <c r="J43" s="1531"/>
    </row>
    <row r="44" spans="1:13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  <row r="45" spans="1:13" x14ac:dyDescent="0.25">
      <c r="A45" s="1193"/>
      <c r="B45" s="1193"/>
      <c r="C45" s="1193"/>
      <c r="D45" s="1193"/>
      <c r="E45" s="1193"/>
      <c r="F45" s="1193"/>
      <c r="G45" s="1193"/>
      <c r="H45" s="1193"/>
      <c r="I45" s="1193"/>
      <c r="J45" s="1193"/>
    </row>
    <row r="46" spans="1:13" x14ac:dyDescent="0.25">
      <c r="A46" s="1193"/>
      <c r="B46" s="1193"/>
      <c r="C46" s="1193"/>
      <c r="D46" s="1193"/>
      <c r="E46" s="1193"/>
      <c r="F46" s="1193"/>
      <c r="G46" s="1193"/>
      <c r="H46" s="1193"/>
      <c r="I46" s="1193"/>
      <c r="J46" s="1193"/>
    </row>
    <row r="47" spans="1:13" x14ac:dyDescent="0.25">
      <c r="A47" s="1193"/>
      <c r="B47" s="1193"/>
      <c r="C47" s="1193"/>
      <c r="D47" s="1193"/>
      <c r="E47" s="1193"/>
      <c r="F47" s="1193"/>
      <c r="G47" s="1193"/>
      <c r="H47" s="1193"/>
      <c r="I47" s="1193"/>
      <c r="J47" s="1193"/>
    </row>
  </sheetData>
  <mergeCells count="28">
    <mergeCell ref="A35:B35"/>
    <mergeCell ref="A13:G13"/>
    <mergeCell ref="A36:B36"/>
    <mergeCell ref="A37:B37"/>
    <mergeCell ref="A38:B38"/>
    <mergeCell ref="A16:A17"/>
    <mergeCell ref="B16:B17"/>
    <mergeCell ref="A34:B34"/>
    <mergeCell ref="A6:G6"/>
    <mergeCell ref="A7:I7"/>
    <mergeCell ref="C16:F16"/>
    <mergeCell ref="G16:H16"/>
    <mergeCell ref="I16:J16"/>
    <mergeCell ref="A9:J9"/>
    <mergeCell ref="A11:J11"/>
    <mergeCell ref="I13:J13"/>
    <mergeCell ref="C14:G14"/>
    <mergeCell ref="I14:J14"/>
    <mergeCell ref="G1:J1"/>
    <mergeCell ref="G2:J2"/>
    <mergeCell ref="G3:J3"/>
    <mergeCell ref="A5:G5"/>
    <mergeCell ref="H5:I5"/>
    <mergeCell ref="A42:B42"/>
    <mergeCell ref="C42:F43"/>
    <mergeCell ref="H42:J42"/>
    <mergeCell ref="H43:J43"/>
    <mergeCell ref="H40:J40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FED77"/>
  </sheetPr>
  <dimension ref="A1:M47"/>
  <sheetViews>
    <sheetView view="pageBreakPreview" topLeftCell="A6" zoomScale="110" zoomScaleNormal="100" zoomScaleSheetLayoutView="110" workbookViewId="0">
      <selection activeCell="A9" sqref="A9:J9"/>
    </sheetView>
  </sheetViews>
  <sheetFormatPr defaultColWidth="8.88671875" defaultRowHeight="13.8" x14ac:dyDescent="0.25"/>
  <cols>
    <col min="1" max="1" width="4.109375" style="570" customWidth="1"/>
    <col min="2" max="2" width="22.44140625" style="570" customWidth="1"/>
    <col min="3" max="7" width="7.5546875" style="570" customWidth="1"/>
    <col min="8" max="8" width="8.88671875" style="570" customWidth="1"/>
    <col min="9" max="9" width="7.5546875" style="570" customWidth="1"/>
    <col min="10" max="10" width="9" style="570" customWidth="1"/>
    <col min="11" max="11" width="2.6640625" style="1011" customWidth="1"/>
    <col min="12" max="12" width="10.33203125" style="570" customWidth="1"/>
    <col min="13" max="13" width="10.109375" style="570" customWidth="1"/>
    <col min="14" max="14" width="5.33203125" style="570" customWidth="1"/>
    <col min="15" max="16384" width="8.88671875" style="570"/>
  </cols>
  <sheetData>
    <row r="1" spans="1:11" s="1193" customFormat="1" ht="15.6" x14ac:dyDescent="0.3">
      <c r="F1" s="1194"/>
      <c r="G1" s="1521" t="str">
        <f>"Приложение 3 (Лист"&amp;" "&amp;H14&amp;")"</f>
        <v>Приложение 3 (Лист 49)</v>
      </c>
      <c r="H1" s="1521"/>
      <c r="I1" s="1521"/>
      <c r="J1" s="1521"/>
    </row>
    <row r="2" spans="1:11" s="1193" customFormat="1" ht="15.6" x14ac:dyDescent="0.3">
      <c r="G2" s="1521" t="s">
        <v>1346</v>
      </c>
      <c r="H2" s="1521"/>
      <c r="I2" s="1521"/>
      <c r="J2" s="1521"/>
    </row>
    <row r="3" spans="1:11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1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  <c r="K4" s="1016"/>
    </row>
    <row r="5" spans="1:11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  <c r="K5" s="1019"/>
    </row>
    <row r="6" spans="1:11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571"/>
      <c r="I6" s="571"/>
      <c r="J6" s="105"/>
      <c r="K6" s="109"/>
    </row>
    <row r="7" spans="1:11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83</v>
      </c>
      <c r="K7" s="109"/>
    </row>
    <row r="8" spans="1:11" s="2" customFormat="1" ht="9.6" customHeight="1" x14ac:dyDescent="0.25">
      <c r="A8" s="572"/>
      <c r="B8" s="572"/>
      <c r="C8" s="572"/>
      <c r="D8" s="572"/>
      <c r="E8" s="572"/>
      <c r="F8" s="572"/>
      <c r="G8" s="572"/>
      <c r="H8" s="572"/>
      <c r="I8" s="572"/>
      <c r="J8" s="109"/>
      <c r="K8" s="109"/>
    </row>
    <row r="9" spans="1:11" s="2" customFormat="1" ht="26.1" customHeight="1" x14ac:dyDescent="0.3">
      <c r="A9" s="1550" t="s">
        <v>846</v>
      </c>
      <c r="B9" s="1550"/>
      <c r="C9" s="1550"/>
      <c r="D9" s="1550"/>
      <c r="E9" s="1550"/>
      <c r="F9" s="1550"/>
      <c r="G9" s="1550"/>
      <c r="H9" s="1550"/>
      <c r="I9" s="1550"/>
      <c r="J9" s="1550"/>
      <c r="K9" s="1020"/>
    </row>
    <row r="10" spans="1:11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</row>
    <row r="11" spans="1:11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  <c r="K11" s="1014"/>
    </row>
    <row r="12" spans="1:11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1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  <c r="K13" s="1021"/>
    </row>
    <row r="14" spans="1:11" s="1" customFormat="1" ht="15.75" customHeight="1" x14ac:dyDescent="0.25">
      <c r="C14" s="1552"/>
      <c r="D14" s="1552"/>
      <c r="E14" s="1552"/>
      <c r="F14" s="1552"/>
      <c r="G14" s="1553"/>
      <c r="H14" s="179">
        <f>'82-борщ с капустой'!H14+1</f>
        <v>49</v>
      </c>
      <c r="I14" s="1534">
        <v>44986</v>
      </c>
      <c r="J14" s="1535"/>
      <c r="K14" s="1022"/>
    </row>
    <row r="15" spans="1:11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  <c r="K15" s="6"/>
    </row>
    <row r="16" spans="1:11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  <c r="K16" s="1021"/>
    </row>
    <row r="17" spans="1:13" ht="26.4" customHeight="1" x14ac:dyDescent="0.25">
      <c r="A17" s="1543"/>
      <c r="B17" s="1543"/>
      <c r="C17" s="573" t="s">
        <v>92</v>
      </c>
      <c r="D17" s="573" t="s">
        <v>94</v>
      </c>
      <c r="E17" s="573" t="s">
        <v>93</v>
      </c>
      <c r="F17" s="573" t="s">
        <v>23</v>
      </c>
      <c r="G17" s="573" t="s">
        <v>92</v>
      </c>
      <c r="H17" s="573" t="s">
        <v>94</v>
      </c>
      <c r="I17" s="573" t="s">
        <v>92</v>
      </c>
      <c r="J17" s="573" t="s">
        <v>94</v>
      </c>
      <c r="K17" s="1023"/>
    </row>
    <row r="18" spans="1:13" ht="9.6" customHeight="1" x14ac:dyDescent="0.25">
      <c r="A18" s="573">
        <v>1</v>
      </c>
      <c r="B18" s="574">
        <v>2</v>
      </c>
      <c r="C18" s="573">
        <v>3</v>
      </c>
      <c r="D18" s="574">
        <v>4</v>
      </c>
      <c r="E18" s="573">
        <v>5</v>
      </c>
      <c r="F18" s="574">
        <v>6</v>
      </c>
      <c r="G18" s="573">
        <v>7</v>
      </c>
      <c r="H18" s="574">
        <v>8</v>
      </c>
      <c r="I18" s="573">
        <v>9</v>
      </c>
      <c r="J18" s="574">
        <v>10</v>
      </c>
      <c r="K18" s="1021"/>
    </row>
    <row r="19" spans="1:13" s="10" customFormat="1" ht="14.1" customHeight="1" x14ac:dyDescent="0.25">
      <c r="A19" s="180">
        <v>1</v>
      </c>
      <c r="B19" s="20" t="s">
        <v>52</v>
      </c>
      <c r="C19" s="21">
        <v>0.20499999999999999</v>
      </c>
      <c r="D19" s="21">
        <v>0.16</v>
      </c>
      <c r="E19" s="408">
        <f>цены!F51</f>
        <v>30</v>
      </c>
      <c r="F19" s="408">
        <f>C19*E19</f>
        <v>6.15</v>
      </c>
      <c r="G19" s="97">
        <f t="shared" ref="G19:H31" si="0">C19*10</f>
        <v>2.0499999999999998</v>
      </c>
      <c r="H19" s="21">
        <f t="shared" si="0"/>
        <v>1.6</v>
      </c>
      <c r="I19" s="21">
        <f t="shared" ref="I19:J32" si="1">C19*100</f>
        <v>20.5</v>
      </c>
      <c r="J19" s="21">
        <f t="shared" si="1"/>
        <v>16</v>
      </c>
      <c r="K19" s="1024"/>
      <c r="L19" s="1018">
        <f>C19/C$37</f>
        <v>5.1299999999999998E-2</v>
      </c>
      <c r="M19" s="1018">
        <f>F19/C$37</f>
        <v>1.5375000000000001</v>
      </c>
    </row>
    <row r="20" spans="1:13" s="10" customFormat="1" ht="14.1" customHeight="1" x14ac:dyDescent="0.25">
      <c r="A20" s="180">
        <v>2</v>
      </c>
      <c r="B20" s="20" t="s">
        <v>50</v>
      </c>
      <c r="C20" s="21">
        <v>0.26700000000000002</v>
      </c>
      <c r="D20" s="21">
        <v>0.2</v>
      </c>
      <c r="E20" s="408">
        <f>цены!F35</f>
        <v>50</v>
      </c>
      <c r="F20" s="408">
        <f t="shared" ref="F20:F32" si="2">C20*E20</f>
        <v>13.35</v>
      </c>
      <c r="G20" s="97">
        <f t="shared" si="0"/>
        <v>2.67</v>
      </c>
      <c r="H20" s="21">
        <f t="shared" si="0"/>
        <v>2</v>
      </c>
      <c r="I20" s="21">
        <f t="shared" si="1"/>
        <v>26.7</v>
      </c>
      <c r="J20" s="21">
        <f t="shared" si="1"/>
        <v>20</v>
      </c>
      <c r="K20" s="1024"/>
      <c r="L20" s="1018">
        <f t="shared" ref="L20:L32" si="3">C20/C$37</f>
        <v>6.6799999999999998E-2</v>
      </c>
      <c r="M20" s="1018">
        <f t="shared" ref="M20:M32" si="4">F20/C$37</f>
        <v>3.3374999999999999</v>
      </c>
    </row>
    <row r="21" spans="1:13" s="10" customFormat="1" ht="12" customHeight="1" x14ac:dyDescent="0.25">
      <c r="A21" s="180">
        <v>3</v>
      </c>
      <c r="B21" s="20" t="s">
        <v>47</v>
      </c>
      <c r="C21" s="21">
        <v>0.05</v>
      </c>
      <c r="D21" s="21">
        <v>0.04</v>
      </c>
      <c r="E21" s="408">
        <f>цены!F44</f>
        <v>50</v>
      </c>
      <c r="F21" s="408">
        <f t="shared" si="2"/>
        <v>2.5</v>
      </c>
      <c r="G21" s="97">
        <f t="shared" si="0"/>
        <v>0.5</v>
      </c>
      <c r="H21" s="21">
        <f t="shared" si="0"/>
        <v>0.4</v>
      </c>
      <c r="I21" s="21">
        <f t="shared" si="1"/>
        <v>5</v>
      </c>
      <c r="J21" s="21">
        <f t="shared" si="1"/>
        <v>4</v>
      </c>
      <c r="K21" s="1024"/>
      <c r="L21" s="1018">
        <f t="shared" si="3"/>
        <v>1.2500000000000001E-2</v>
      </c>
      <c r="M21" s="1018">
        <f t="shared" si="4"/>
        <v>0.625</v>
      </c>
    </row>
    <row r="22" spans="1:13" s="10" customFormat="1" ht="12" customHeight="1" x14ac:dyDescent="0.25">
      <c r="A22" s="180">
        <v>4</v>
      </c>
      <c r="B22" s="20" t="s">
        <v>102</v>
      </c>
      <c r="C22" s="21">
        <v>1.2999999999999999E-2</v>
      </c>
      <c r="D22" s="21">
        <v>0.01</v>
      </c>
      <c r="E22" s="408">
        <f>цены!F47</f>
        <v>300</v>
      </c>
      <c r="F22" s="408">
        <f t="shared" si="2"/>
        <v>3.9</v>
      </c>
      <c r="G22" s="97">
        <f t="shared" si="0"/>
        <v>0.13</v>
      </c>
      <c r="H22" s="21">
        <f t="shared" si="0"/>
        <v>0.1</v>
      </c>
      <c r="I22" s="21">
        <f t="shared" si="1"/>
        <v>1.3</v>
      </c>
      <c r="J22" s="21">
        <f t="shared" si="1"/>
        <v>1</v>
      </c>
      <c r="K22" s="1024"/>
      <c r="L22" s="1018">
        <f t="shared" si="3"/>
        <v>3.3E-3</v>
      </c>
      <c r="M22" s="1018">
        <f t="shared" si="4"/>
        <v>0.97499999999999998</v>
      </c>
    </row>
    <row r="23" spans="1:13" s="10" customFormat="1" ht="12" customHeight="1" x14ac:dyDescent="0.25">
      <c r="A23" s="180">
        <v>5</v>
      </c>
      <c r="B23" s="20" t="s">
        <v>48</v>
      </c>
      <c r="C23" s="21">
        <v>4.8000000000000001E-2</v>
      </c>
      <c r="D23" s="21">
        <v>0.04</v>
      </c>
      <c r="E23" s="408">
        <f>цены!F38</f>
        <v>50</v>
      </c>
      <c r="F23" s="408">
        <f t="shared" si="2"/>
        <v>2.4</v>
      </c>
      <c r="G23" s="97">
        <f t="shared" si="0"/>
        <v>0.48</v>
      </c>
      <c r="H23" s="21">
        <f t="shared" si="0"/>
        <v>0.4</v>
      </c>
      <c r="I23" s="21">
        <f t="shared" si="1"/>
        <v>4.8</v>
      </c>
      <c r="J23" s="21">
        <f t="shared" si="1"/>
        <v>4</v>
      </c>
      <c r="K23" s="1024"/>
      <c r="L23" s="1018">
        <f t="shared" si="3"/>
        <v>1.2E-2</v>
      </c>
      <c r="M23" s="1018">
        <f t="shared" si="4"/>
        <v>0.6</v>
      </c>
    </row>
    <row r="24" spans="1:13" s="10" customFormat="1" ht="12" customHeight="1" x14ac:dyDescent="0.25">
      <c r="A24" s="180">
        <v>6</v>
      </c>
      <c r="B24" s="20" t="s">
        <v>46</v>
      </c>
      <c r="C24" s="21">
        <v>0.03</v>
      </c>
      <c r="D24" s="21">
        <v>0.03</v>
      </c>
      <c r="E24" s="408">
        <f>цены!F113</f>
        <v>230</v>
      </c>
      <c r="F24" s="408">
        <f t="shared" si="2"/>
        <v>6.9</v>
      </c>
      <c r="G24" s="97">
        <f t="shared" si="0"/>
        <v>0.3</v>
      </c>
      <c r="H24" s="21">
        <f t="shared" si="0"/>
        <v>0.3</v>
      </c>
      <c r="I24" s="21">
        <f t="shared" si="1"/>
        <v>3</v>
      </c>
      <c r="J24" s="21">
        <f t="shared" si="1"/>
        <v>3</v>
      </c>
      <c r="K24" s="1024"/>
      <c r="L24" s="1018">
        <f t="shared" si="3"/>
        <v>7.4999999999999997E-3</v>
      </c>
      <c r="M24" s="1018">
        <f t="shared" si="4"/>
        <v>1.7250000000000001</v>
      </c>
    </row>
    <row r="25" spans="1:13" s="10" customFormat="1" ht="12" customHeight="1" x14ac:dyDescent="0.25">
      <c r="A25" s="180">
        <v>7</v>
      </c>
      <c r="B25" s="20" t="s">
        <v>74</v>
      </c>
      <c r="C25" s="21">
        <v>0.02</v>
      </c>
      <c r="D25" s="21">
        <v>0.02</v>
      </c>
      <c r="E25" s="408">
        <f>цены!F87</f>
        <v>120</v>
      </c>
      <c r="F25" s="408">
        <f t="shared" si="2"/>
        <v>2.4</v>
      </c>
      <c r="G25" s="97">
        <f t="shared" si="0"/>
        <v>0.2</v>
      </c>
      <c r="H25" s="21">
        <f t="shared" si="0"/>
        <v>0.2</v>
      </c>
      <c r="I25" s="21">
        <f t="shared" si="1"/>
        <v>2</v>
      </c>
      <c r="J25" s="21">
        <f t="shared" si="1"/>
        <v>2</v>
      </c>
      <c r="K25" s="1024"/>
      <c r="L25" s="1018">
        <f t="shared" si="3"/>
        <v>5.0000000000000001E-3</v>
      </c>
      <c r="M25" s="1018">
        <f t="shared" si="4"/>
        <v>0.6</v>
      </c>
    </row>
    <row r="26" spans="1:13" s="10" customFormat="1" ht="12" customHeight="1" x14ac:dyDescent="0.25">
      <c r="A26" s="180">
        <v>8</v>
      </c>
      <c r="B26" s="20" t="s">
        <v>30</v>
      </c>
      <c r="C26" s="21">
        <v>6.0000000000000001E-3</v>
      </c>
      <c r="D26" s="21">
        <v>6.0000000000000001E-3</v>
      </c>
      <c r="E26" s="408">
        <f>цены!F107</f>
        <v>76</v>
      </c>
      <c r="F26" s="408">
        <f t="shared" si="2"/>
        <v>0.46</v>
      </c>
      <c r="G26" s="97">
        <f t="shared" si="0"/>
        <v>0.06</v>
      </c>
      <c r="H26" s="21">
        <f t="shared" si="0"/>
        <v>0.06</v>
      </c>
      <c r="I26" s="21">
        <f t="shared" si="1"/>
        <v>0.6</v>
      </c>
      <c r="J26" s="21">
        <f t="shared" si="1"/>
        <v>0.6</v>
      </c>
      <c r="K26" s="1024"/>
      <c r="L26" s="1018">
        <f t="shared" si="3"/>
        <v>1.5E-3</v>
      </c>
      <c r="M26" s="1018">
        <f t="shared" si="4"/>
        <v>0.115</v>
      </c>
    </row>
    <row r="27" spans="1:13" s="10" customFormat="1" ht="12" customHeight="1" x14ac:dyDescent="0.25">
      <c r="A27" s="180">
        <v>9</v>
      </c>
      <c r="B27" s="20" t="s">
        <v>141</v>
      </c>
      <c r="C27" s="21">
        <v>0.7</v>
      </c>
      <c r="D27" s="21">
        <v>0.7</v>
      </c>
      <c r="E27" s="408"/>
      <c r="F27" s="408">
        <f t="shared" si="2"/>
        <v>0</v>
      </c>
      <c r="G27" s="97">
        <f t="shared" si="0"/>
        <v>7</v>
      </c>
      <c r="H27" s="21">
        <f t="shared" si="0"/>
        <v>7</v>
      </c>
      <c r="I27" s="21">
        <f t="shared" si="1"/>
        <v>70</v>
      </c>
      <c r="J27" s="21">
        <f t="shared" si="1"/>
        <v>70</v>
      </c>
      <c r="K27" s="1024"/>
      <c r="L27" s="1018">
        <f t="shared" si="3"/>
        <v>0.17499999999999999</v>
      </c>
      <c r="M27" s="1018">
        <f t="shared" si="4"/>
        <v>0</v>
      </c>
    </row>
    <row r="28" spans="1:13" s="10" customFormat="1" ht="12" customHeight="1" x14ac:dyDescent="0.25">
      <c r="A28" s="180">
        <v>10</v>
      </c>
      <c r="B28" s="20" t="s">
        <v>33</v>
      </c>
      <c r="C28" s="21">
        <v>0.01</v>
      </c>
      <c r="D28" s="21">
        <v>0.01</v>
      </c>
      <c r="E28" s="408">
        <f>цены!F110</f>
        <v>24</v>
      </c>
      <c r="F28" s="408">
        <f t="shared" si="2"/>
        <v>0.24</v>
      </c>
      <c r="G28" s="97">
        <f t="shared" si="0"/>
        <v>0.1</v>
      </c>
      <c r="H28" s="21">
        <f t="shared" si="0"/>
        <v>0.1</v>
      </c>
      <c r="I28" s="21">
        <f t="shared" si="1"/>
        <v>1</v>
      </c>
      <c r="J28" s="21">
        <f t="shared" si="1"/>
        <v>1</v>
      </c>
      <c r="K28" s="1024"/>
      <c r="L28" s="1018">
        <f t="shared" si="3"/>
        <v>2.5000000000000001E-3</v>
      </c>
      <c r="M28" s="1018">
        <f t="shared" si="4"/>
        <v>0.06</v>
      </c>
    </row>
    <row r="29" spans="1:13" s="10" customFormat="1" ht="12" customHeight="1" x14ac:dyDescent="0.25">
      <c r="A29" s="180">
        <v>11</v>
      </c>
      <c r="B29" s="20" t="s">
        <v>51</v>
      </c>
      <c r="C29" s="21">
        <v>0.02</v>
      </c>
      <c r="D29" s="21">
        <v>0.02</v>
      </c>
      <c r="E29" s="408">
        <f>цены!F24</f>
        <v>234</v>
      </c>
      <c r="F29" s="408">
        <f t="shared" si="2"/>
        <v>4.68</v>
      </c>
      <c r="G29" s="97">
        <f t="shared" si="0"/>
        <v>0.2</v>
      </c>
      <c r="H29" s="21">
        <f t="shared" si="0"/>
        <v>0.2</v>
      </c>
      <c r="I29" s="21">
        <f t="shared" si="1"/>
        <v>2</v>
      </c>
      <c r="J29" s="21">
        <f t="shared" si="1"/>
        <v>2</v>
      </c>
      <c r="K29" s="1024"/>
      <c r="L29" s="1018">
        <f t="shared" si="3"/>
        <v>5.0000000000000001E-3</v>
      </c>
      <c r="M29" s="1018">
        <f t="shared" si="4"/>
        <v>1.17</v>
      </c>
    </row>
    <row r="30" spans="1:13" s="10" customFormat="1" ht="12" customHeight="1" x14ac:dyDescent="0.25">
      <c r="A30" s="180">
        <v>12</v>
      </c>
      <c r="B30" s="20" t="s">
        <v>339</v>
      </c>
      <c r="C30" s="21">
        <f>0.002*C37</f>
        <v>8.0000000000000002E-3</v>
      </c>
      <c r="D30" s="21">
        <f>0.002*C37</f>
        <v>8.0000000000000002E-3</v>
      </c>
      <c r="E30" s="408">
        <f>цены!F48</f>
        <v>300</v>
      </c>
      <c r="F30" s="408">
        <f t="shared" si="2"/>
        <v>2.4</v>
      </c>
      <c r="G30" s="97">
        <f t="shared" si="0"/>
        <v>0.08</v>
      </c>
      <c r="H30" s="21">
        <f t="shared" si="0"/>
        <v>0.08</v>
      </c>
      <c r="I30" s="21">
        <f t="shared" si="1"/>
        <v>0.8</v>
      </c>
      <c r="J30" s="21">
        <f t="shared" si="1"/>
        <v>0.8</v>
      </c>
      <c r="K30" s="1024"/>
      <c r="L30" s="1018">
        <f t="shared" si="3"/>
        <v>2E-3</v>
      </c>
      <c r="M30" s="1018">
        <f t="shared" si="4"/>
        <v>0.6</v>
      </c>
    </row>
    <row r="31" spans="1:13" s="10" customFormat="1" ht="12" customHeight="1" x14ac:dyDescent="0.25">
      <c r="A31" s="180">
        <v>13</v>
      </c>
      <c r="B31" s="20" t="s">
        <v>341</v>
      </c>
      <c r="C31" s="21">
        <v>0.01</v>
      </c>
      <c r="D31" s="21">
        <v>0.01</v>
      </c>
      <c r="E31" s="408">
        <f>цены!F74</f>
        <v>36</v>
      </c>
      <c r="F31" s="408">
        <f t="shared" si="2"/>
        <v>0.36</v>
      </c>
      <c r="G31" s="97">
        <f t="shared" si="0"/>
        <v>0.1</v>
      </c>
      <c r="H31" s="21">
        <f t="shared" si="0"/>
        <v>0.1</v>
      </c>
      <c r="I31" s="21">
        <f t="shared" si="1"/>
        <v>1</v>
      </c>
      <c r="J31" s="21">
        <f t="shared" si="1"/>
        <v>1</v>
      </c>
      <c r="K31" s="1024"/>
      <c r="L31" s="1018">
        <f t="shared" si="3"/>
        <v>2.5000000000000001E-3</v>
      </c>
      <c r="M31" s="1018">
        <f t="shared" si="4"/>
        <v>0.09</v>
      </c>
    </row>
    <row r="32" spans="1:13" s="10" customFormat="1" ht="12" customHeight="1" x14ac:dyDescent="0.25">
      <c r="A32" s="180">
        <v>14</v>
      </c>
      <c r="B32" s="20" t="s">
        <v>84</v>
      </c>
      <c r="C32" s="111">
        <v>1E-3</v>
      </c>
      <c r="D32" s="111">
        <f>C32</f>
        <v>1E-3</v>
      </c>
      <c r="E32" s="408">
        <f>цены!F100</f>
        <v>1000</v>
      </c>
      <c r="F32" s="408">
        <f t="shared" si="2"/>
        <v>1</v>
      </c>
      <c r="G32" s="882">
        <v>1E-4</v>
      </c>
      <c r="H32" s="111">
        <f>D32</f>
        <v>1E-3</v>
      </c>
      <c r="I32" s="21">
        <f t="shared" si="1"/>
        <v>0.1</v>
      </c>
      <c r="J32" s="21">
        <f t="shared" si="1"/>
        <v>0.1</v>
      </c>
      <c r="K32" s="1024"/>
      <c r="L32" s="1018">
        <f t="shared" si="3"/>
        <v>2.9999999999999997E-4</v>
      </c>
      <c r="M32" s="1018">
        <f t="shared" si="4"/>
        <v>0.25</v>
      </c>
    </row>
    <row r="33" spans="1:13" s="10" customFormat="1" ht="12" customHeight="1" x14ac:dyDescent="0.25">
      <c r="A33" s="98"/>
      <c r="B33" s="93" t="s">
        <v>100</v>
      </c>
      <c r="C33" s="114"/>
      <c r="D33" s="100">
        <v>1</v>
      </c>
      <c r="E33" s="95"/>
      <c r="F33" s="95">
        <f>SUM(F19:F32)</f>
        <v>46.74</v>
      </c>
      <c r="G33" s="99"/>
      <c r="H33" s="100">
        <f>D33*10</f>
        <v>10</v>
      </c>
      <c r="I33" s="100"/>
      <c r="J33" s="100">
        <f>D33*100</f>
        <v>100</v>
      </c>
      <c r="K33" s="1024"/>
      <c r="L33" s="1018">
        <f>SUM(L19:L32)</f>
        <v>0.34720000000000001</v>
      </c>
      <c r="M33" s="1018">
        <f>SUM(M19:M32)</f>
        <v>11.685</v>
      </c>
    </row>
    <row r="34" spans="1:13" s="10" customFormat="1" ht="27.6" customHeight="1" x14ac:dyDescent="0.25">
      <c r="A34" s="1536" t="s">
        <v>35</v>
      </c>
      <c r="B34" s="1536"/>
      <c r="C34" s="90"/>
      <c r="D34" s="90"/>
      <c r="E34" s="408"/>
      <c r="F34" s="408">
        <f>F33</f>
        <v>46.74</v>
      </c>
      <c r="G34" s="575"/>
      <c r="H34" s="575"/>
      <c r="I34" s="21"/>
      <c r="J34" s="408"/>
      <c r="K34" s="1024"/>
      <c r="L34" s="613"/>
      <c r="M34" s="612"/>
    </row>
    <row r="35" spans="1:13" s="10" customFormat="1" ht="25.35" customHeight="1" x14ac:dyDescent="0.25">
      <c r="A35" s="1536" t="s">
        <v>36</v>
      </c>
      <c r="B35" s="1536"/>
      <c r="C35" s="866">
        <v>1000</v>
      </c>
      <c r="D35" s="90"/>
      <c r="E35" s="408"/>
      <c r="F35" s="408"/>
      <c r="G35" s="408"/>
      <c r="H35" s="408"/>
      <c r="I35" s="21"/>
      <c r="J35" s="17"/>
      <c r="K35" s="1025"/>
    </row>
    <row r="36" spans="1:13" s="10" customFormat="1" ht="25.35" customHeight="1" x14ac:dyDescent="0.25">
      <c r="A36" s="1537" t="s">
        <v>37</v>
      </c>
      <c r="B36" s="1538"/>
      <c r="C36" s="1071">
        <v>250</v>
      </c>
      <c r="D36" s="92"/>
      <c r="E36" s="574"/>
      <c r="F36" s="574"/>
      <c r="G36" s="574"/>
      <c r="H36" s="574"/>
      <c r="I36" s="21"/>
      <c r="J36" s="17"/>
      <c r="K36" s="1025"/>
    </row>
    <row r="37" spans="1:13" s="10" customFormat="1" ht="15" customHeight="1" x14ac:dyDescent="0.25">
      <c r="A37" s="1539" t="s">
        <v>38</v>
      </c>
      <c r="B37" s="1540"/>
      <c r="C37" s="245">
        <f>C35/C36</f>
        <v>4</v>
      </c>
      <c r="D37" s="92"/>
      <c r="E37" s="574"/>
      <c r="F37" s="574"/>
      <c r="G37" s="574"/>
      <c r="H37" s="574"/>
      <c r="I37" s="21"/>
      <c r="J37" s="17"/>
      <c r="K37" s="1025"/>
    </row>
    <row r="38" spans="1:13" ht="16.350000000000001" customHeight="1" x14ac:dyDescent="0.25">
      <c r="A38" s="1541" t="s">
        <v>39</v>
      </c>
      <c r="B38" s="1542"/>
      <c r="C38" s="15" t="s">
        <v>40</v>
      </c>
      <c r="D38" s="102"/>
      <c r="E38" s="102" t="s">
        <v>40</v>
      </c>
      <c r="F38" s="16">
        <f>F34/C37</f>
        <v>11.69</v>
      </c>
      <c r="G38" s="16"/>
      <c r="H38" s="16"/>
      <c r="I38" s="102" t="s">
        <v>40</v>
      </c>
      <c r="J38" s="102" t="s">
        <v>40</v>
      </c>
      <c r="K38" s="1026"/>
    </row>
    <row r="39" spans="1:13" ht="23.1" customHeight="1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3" ht="13.95" customHeight="1" x14ac:dyDescent="0.25">
      <c r="A40" s="1193"/>
      <c r="B40" s="1194" t="s">
        <v>49</v>
      </c>
      <c r="C40" s="1198"/>
      <c r="D40" s="1198"/>
      <c r="E40" s="1198"/>
      <c r="F40" s="1198"/>
      <c r="G40" s="1193"/>
      <c r="H40" s="1556">
        <f>'1-бутерброд с маслом'!$H$28</f>
        <v>0</v>
      </c>
      <c r="I40" s="1556"/>
      <c r="J40" s="1556"/>
      <c r="K40" s="809"/>
    </row>
    <row r="41" spans="1:13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3" ht="13.95" customHeight="1" x14ac:dyDescent="0.25">
      <c r="A42" s="1545" t="s">
        <v>327</v>
      </c>
      <c r="B42" s="1545"/>
      <c r="C42" s="1546" t="s">
        <v>328</v>
      </c>
      <c r="D42" s="1546"/>
      <c r="E42" s="1546"/>
      <c r="F42" s="1546"/>
      <c r="G42" s="106"/>
      <c r="H42" s="1531"/>
      <c r="I42" s="1531"/>
      <c r="J42" s="1531"/>
      <c r="K42" s="1012"/>
    </row>
    <row r="43" spans="1:13" x14ac:dyDescent="0.25">
      <c r="A43" s="1193"/>
      <c r="B43" s="1193"/>
      <c r="C43" s="1546"/>
      <c r="D43" s="1546"/>
      <c r="E43" s="1546"/>
      <c r="F43" s="1546"/>
      <c r="G43" s="1193"/>
      <c r="H43" s="1531" t="s">
        <v>329</v>
      </c>
      <c r="I43" s="1531"/>
      <c r="J43" s="1531"/>
      <c r="K43" s="1013"/>
    </row>
    <row r="44" spans="1:13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  <row r="45" spans="1:13" x14ac:dyDescent="0.25">
      <c r="A45" s="1193"/>
      <c r="B45" s="1193"/>
      <c r="C45" s="1193"/>
      <c r="D45" s="1193"/>
      <c r="E45" s="1193"/>
      <c r="F45" s="1193"/>
      <c r="G45" s="1193"/>
      <c r="H45" s="1193"/>
      <c r="I45" s="1193"/>
      <c r="J45" s="1193"/>
    </row>
    <row r="46" spans="1:13" x14ac:dyDescent="0.25">
      <c r="A46" s="1193"/>
      <c r="B46" s="1193"/>
      <c r="C46" s="1193"/>
      <c r="D46" s="1193"/>
      <c r="E46" s="1193"/>
      <c r="F46" s="1193"/>
      <c r="G46" s="1193"/>
      <c r="H46" s="1193"/>
      <c r="I46" s="1193"/>
      <c r="J46" s="1193"/>
    </row>
    <row r="47" spans="1:13" x14ac:dyDescent="0.25">
      <c r="A47" s="1193"/>
      <c r="B47" s="1193"/>
      <c r="C47" s="1193"/>
      <c r="D47" s="1193"/>
      <c r="E47" s="1193"/>
      <c r="F47" s="1193"/>
      <c r="G47" s="1193"/>
      <c r="H47" s="1193"/>
      <c r="I47" s="1193"/>
      <c r="J47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2:B42"/>
    <mergeCell ref="C42:F43"/>
    <mergeCell ref="H42:J42"/>
    <mergeCell ref="H43:J43"/>
    <mergeCell ref="A35:B35"/>
    <mergeCell ref="A36:B36"/>
    <mergeCell ref="A37:B37"/>
    <mergeCell ref="A38:B38"/>
    <mergeCell ref="H40:J40"/>
    <mergeCell ref="A34:B34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FED77"/>
  </sheetPr>
  <dimension ref="A1:M48"/>
  <sheetViews>
    <sheetView view="pageBreakPreview" topLeftCell="A7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3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6640625" customWidth="1"/>
    <col min="12" max="12" width="11.441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50)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70"/>
      <c r="I6" s="170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84</v>
      </c>
    </row>
    <row r="8" spans="1:10" s="2" customFormat="1" ht="9.6" customHeight="1" x14ac:dyDescent="0.25">
      <c r="A8" s="171"/>
      <c r="B8" s="171"/>
      <c r="C8" s="171"/>
      <c r="D8" s="171"/>
      <c r="E8" s="171"/>
      <c r="F8" s="171"/>
      <c r="G8" s="171"/>
      <c r="H8" s="171"/>
      <c r="I8" s="171"/>
      <c r="J8" s="109"/>
    </row>
    <row r="9" spans="1:10" s="2" customFormat="1" ht="26.1" customHeight="1" x14ac:dyDescent="0.3">
      <c r="A9" s="1550" t="s">
        <v>333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'83-борщ с картофелем'!H14+1</f>
        <v>50</v>
      </c>
      <c r="I14" s="1534">
        <v>44986</v>
      </c>
      <c r="J14" s="1535"/>
    </row>
    <row r="15" spans="1:10" s="2" customFormat="1" ht="13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172" t="s">
        <v>92</v>
      </c>
      <c r="D17" s="172" t="s">
        <v>94</v>
      </c>
      <c r="E17" s="172" t="s">
        <v>93</v>
      </c>
      <c r="F17" s="172" t="s">
        <v>23</v>
      </c>
      <c r="G17" s="172" t="s">
        <v>92</v>
      </c>
      <c r="H17" s="172" t="s">
        <v>94</v>
      </c>
      <c r="I17" s="172" t="s">
        <v>92</v>
      </c>
      <c r="J17" s="172" t="s">
        <v>94</v>
      </c>
    </row>
    <row r="18" spans="1:13" ht="9.6" customHeight="1" x14ac:dyDescent="0.25">
      <c r="A18" s="172">
        <v>1</v>
      </c>
      <c r="B18" s="173">
        <v>2</v>
      </c>
      <c r="C18" s="172">
        <v>3</v>
      </c>
      <c r="D18" s="173">
        <v>4</v>
      </c>
      <c r="E18" s="172">
        <v>5</v>
      </c>
      <c r="F18" s="173">
        <v>6</v>
      </c>
      <c r="G18" s="172">
        <v>7</v>
      </c>
      <c r="H18" s="173">
        <v>8</v>
      </c>
      <c r="I18" s="172">
        <v>9</v>
      </c>
      <c r="J18" s="173">
        <v>10</v>
      </c>
    </row>
    <row r="19" spans="1:13" s="10" customFormat="1" ht="14.1" customHeight="1" x14ac:dyDescent="0.25">
      <c r="A19" s="180">
        <v>1</v>
      </c>
      <c r="B19" s="20" t="s">
        <v>52</v>
      </c>
      <c r="C19" s="21">
        <v>0.2</v>
      </c>
      <c r="D19" s="21">
        <v>0.16</v>
      </c>
      <c r="E19" s="13">
        <f>цены!F51</f>
        <v>30</v>
      </c>
      <c r="F19" s="13">
        <f>C19*E19</f>
        <v>6</v>
      </c>
      <c r="G19" s="97">
        <f t="shared" ref="G19:H33" si="0">C19*10</f>
        <v>2</v>
      </c>
      <c r="H19" s="21">
        <f t="shared" si="0"/>
        <v>1.6</v>
      </c>
      <c r="I19" s="21">
        <f t="shared" ref="I19:J33" si="1">C19*100</f>
        <v>20</v>
      </c>
      <c r="J19" s="21">
        <f t="shared" si="1"/>
        <v>16</v>
      </c>
      <c r="L19" s="1018">
        <f>C19/C$38</f>
        <v>0.05</v>
      </c>
      <c r="M19" s="1018">
        <f>F19/C$38</f>
        <v>1.5</v>
      </c>
    </row>
    <row r="20" spans="1:13" s="10" customFormat="1" ht="14.1" customHeight="1" x14ac:dyDescent="0.25">
      <c r="A20" s="180">
        <v>2</v>
      </c>
      <c r="B20" s="20" t="s">
        <v>50</v>
      </c>
      <c r="C20" s="21">
        <v>0.13300000000000001</v>
      </c>
      <c r="D20" s="21">
        <v>0.1</v>
      </c>
      <c r="E20" s="13">
        <f>цены!F35</f>
        <v>50</v>
      </c>
      <c r="F20" s="13">
        <f>C20*E20</f>
        <v>6.65</v>
      </c>
      <c r="G20" s="97">
        <f t="shared" si="0"/>
        <v>1.33</v>
      </c>
      <c r="H20" s="21">
        <f t="shared" si="0"/>
        <v>1</v>
      </c>
      <c r="I20" s="21">
        <f t="shared" si="1"/>
        <v>13.3</v>
      </c>
      <c r="J20" s="21">
        <f t="shared" si="1"/>
        <v>10</v>
      </c>
      <c r="L20" s="1018">
        <f t="shared" ref="L20:L33" si="2">C20/C$38</f>
        <v>3.3300000000000003E-2</v>
      </c>
      <c r="M20" s="1018">
        <f t="shared" ref="M20:M33" si="3">F20/C$38</f>
        <v>1.6625000000000001</v>
      </c>
    </row>
    <row r="21" spans="1:13" s="10" customFormat="1" ht="14.1" customHeight="1" x14ac:dyDescent="0.25">
      <c r="A21" s="180">
        <v>3</v>
      </c>
      <c r="B21" s="20" t="s">
        <v>334</v>
      </c>
      <c r="C21" s="21">
        <v>0.04</v>
      </c>
      <c r="D21" s="21">
        <v>0.04</v>
      </c>
      <c r="E21" s="13">
        <f>цены!F120</f>
        <v>180</v>
      </c>
      <c r="F21" s="13">
        <f>C21*E21</f>
        <v>7.2</v>
      </c>
      <c r="G21" s="97">
        <f t="shared" si="0"/>
        <v>0.4</v>
      </c>
      <c r="H21" s="21">
        <f t="shared" si="0"/>
        <v>0.4</v>
      </c>
      <c r="I21" s="21">
        <f t="shared" si="1"/>
        <v>4</v>
      </c>
      <c r="J21" s="21">
        <f t="shared" si="1"/>
        <v>4</v>
      </c>
      <c r="L21" s="1018">
        <f t="shared" si="2"/>
        <v>0.01</v>
      </c>
      <c r="M21" s="1018">
        <f t="shared" si="3"/>
        <v>1.8</v>
      </c>
    </row>
    <row r="22" spans="1:13" s="10" customFormat="1" ht="12" customHeight="1" x14ac:dyDescent="0.25">
      <c r="A22" s="180">
        <v>4</v>
      </c>
      <c r="B22" s="20" t="s">
        <v>47</v>
      </c>
      <c r="C22" s="21">
        <v>0.05</v>
      </c>
      <c r="D22" s="21">
        <v>0.04</v>
      </c>
      <c r="E22" s="13">
        <f>цены!F44</f>
        <v>50</v>
      </c>
      <c r="F22" s="13">
        <f>C22*E22</f>
        <v>2.5</v>
      </c>
      <c r="G22" s="97">
        <f t="shared" si="0"/>
        <v>0.5</v>
      </c>
      <c r="H22" s="21">
        <f t="shared" si="0"/>
        <v>0.4</v>
      </c>
      <c r="I22" s="21">
        <f t="shared" si="1"/>
        <v>5</v>
      </c>
      <c r="J22" s="21">
        <f t="shared" si="1"/>
        <v>4</v>
      </c>
      <c r="L22" s="1018">
        <f t="shared" si="2"/>
        <v>1.2500000000000001E-2</v>
      </c>
      <c r="M22" s="1018">
        <f t="shared" si="3"/>
        <v>0.625</v>
      </c>
    </row>
    <row r="23" spans="1:13" s="10" customFormat="1" ht="12" customHeight="1" x14ac:dyDescent="0.25">
      <c r="A23" s="180">
        <v>5</v>
      </c>
      <c r="B23" s="20" t="s">
        <v>102</v>
      </c>
      <c r="C23" s="21">
        <v>1.2999999999999999E-2</v>
      </c>
      <c r="D23" s="21">
        <v>0.01</v>
      </c>
      <c r="E23" s="13">
        <f>цены!F47</f>
        <v>300</v>
      </c>
      <c r="F23" s="13">
        <f t="shared" ref="F23:F31" si="4">C23*E23</f>
        <v>3.9</v>
      </c>
      <c r="G23" s="97">
        <f t="shared" si="0"/>
        <v>0.13</v>
      </c>
      <c r="H23" s="21">
        <f t="shared" si="0"/>
        <v>0.1</v>
      </c>
      <c r="I23" s="21">
        <f t="shared" si="1"/>
        <v>1.3</v>
      </c>
      <c r="J23" s="21">
        <f t="shared" si="1"/>
        <v>1</v>
      </c>
      <c r="L23" s="1018">
        <f t="shared" si="2"/>
        <v>3.3E-3</v>
      </c>
      <c r="M23" s="1018">
        <f t="shared" si="3"/>
        <v>0.97499999999999998</v>
      </c>
    </row>
    <row r="24" spans="1:13" s="10" customFormat="1" ht="12" customHeight="1" x14ac:dyDescent="0.25">
      <c r="A24" s="180">
        <v>6</v>
      </c>
      <c r="B24" s="20" t="s">
        <v>48</v>
      </c>
      <c r="C24" s="21">
        <v>4.8000000000000001E-2</v>
      </c>
      <c r="D24" s="21">
        <v>0.04</v>
      </c>
      <c r="E24" s="13">
        <f>цены!F38</f>
        <v>50</v>
      </c>
      <c r="F24" s="13">
        <f t="shared" si="4"/>
        <v>2.4</v>
      </c>
      <c r="G24" s="97">
        <f t="shared" si="0"/>
        <v>0.48</v>
      </c>
      <c r="H24" s="21">
        <f t="shared" si="0"/>
        <v>0.4</v>
      </c>
      <c r="I24" s="21">
        <f t="shared" si="1"/>
        <v>4.8</v>
      </c>
      <c r="J24" s="21">
        <f t="shared" si="1"/>
        <v>4</v>
      </c>
      <c r="L24" s="1018">
        <f t="shared" si="2"/>
        <v>1.2E-2</v>
      </c>
      <c r="M24" s="1018">
        <f t="shared" si="3"/>
        <v>0.6</v>
      </c>
    </row>
    <row r="25" spans="1:13" s="10" customFormat="1" ht="12" customHeight="1" x14ac:dyDescent="0.25">
      <c r="A25" s="180">
        <v>7</v>
      </c>
      <c r="B25" s="20" t="s">
        <v>46</v>
      </c>
      <c r="C25" s="21">
        <v>0.03</v>
      </c>
      <c r="D25" s="21">
        <v>0.03</v>
      </c>
      <c r="E25" s="13">
        <f>цены!F113</f>
        <v>230</v>
      </c>
      <c r="F25" s="13">
        <f t="shared" si="4"/>
        <v>6.9</v>
      </c>
      <c r="G25" s="97">
        <f t="shared" si="0"/>
        <v>0.3</v>
      </c>
      <c r="H25" s="21">
        <f t="shared" si="0"/>
        <v>0.3</v>
      </c>
      <c r="I25" s="21">
        <f t="shared" si="1"/>
        <v>3</v>
      </c>
      <c r="J25" s="21">
        <f t="shared" si="1"/>
        <v>3</v>
      </c>
      <c r="L25" s="1018">
        <f t="shared" si="2"/>
        <v>7.4999999999999997E-3</v>
      </c>
      <c r="M25" s="1018">
        <f t="shared" si="3"/>
        <v>1.7250000000000001</v>
      </c>
    </row>
    <row r="26" spans="1:13" s="10" customFormat="1" ht="12" customHeight="1" x14ac:dyDescent="0.25">
      <c r="A26" s="180">
        <v>8</v>
      </c>
      <c r="B26" s="20" t="s">
        <v>74</v>
      </c>
      <c r="C26" s="21">
        <v>0.02</v>
      </c>
      <c r="D26" s="21">
        <v>0.02</v>
      </c>
      <c r="E26" s="408">
        <f>цены!F87</f>
        <v>120</v>
      </c>
      <c r="F26" s="408">
        <f t="shared" si="4"/>
        <v>2.4</v>
      </c>
      <c r="G26" s="97">
        <f t="shared" si="0"/>
        <v>0.2</v>
      </c>
      <c r="H26" s="21">
        <f t="shared" si="0"/>
        <v>0.2</v>
      </c>
      <c r="I26" s="21">
        <f t="shared" si="1"/>
        <v>2</v>
      </c>
      <c r="J26" s="21">
        <f t="shared" si="1"/>
        <v>2</v>
      </c>
      <c r="L26" s="1018">
        <f t="shared" si="2"/>
        <v>5.0000000000000001E-3</v>
      </c>
      <c r="M26" s="1018">
        <f t="shared" si="3"/>
        <v>0.6</v>
      </c>
    </row>
    <row r="27" spans="1:13" s="10" customFormat="1" ht="12" customHeight="1" x14ac:dyDescent="0.25">
      <c r="A27" s="180">
        <v>9</v>
      </c>
      <c r="B27" s="20" t="s">
        <v>335</v>
      </c>
      <c r="C27" s="21">
        <v>4.0000000000000001E-3</v>
      </c>
      <c r="D27" s="21">
        <v>4.0000000000000001E-3</v>
      </c>
      <c r="E27" s="13">
        <f>цены!F40</f>
        <v>200</v>
      </c>
      <c r="F27" s="13">
        <f t="shared" si="4"/>
        <v>0.8</v>
      </c>
      <c r="G27" s="97">
        <f t="shared" si="0"/>
        <v>0.04</v>
      </c>
      <c r="H27" s="21">
        <f t="shared" si="0"/>
        <v>0.04</v>
      </c>
      <c r="I27" s="21">
        <f t="shared" si="1"/>
        <v>0.4</v>
      </c>
      <c r="J27" s="21">
        <f t="shared" si="1"/>
        <v>0.4</v>
      </c>
      <c r="L27" s="1018">
        <f t="shared" si="2"/>
        <v>1E-3</v>
      </c>
      <c r="M27" s="1018">
        <f t="shared" si="3"/>
        <v>0.2</v>
      </c>
    </row>
    <row r="28" spans="1:13" s="10" customFormat="1" ht="12" customHeight="1" x14ac:dyDescent="0.25">
      <c r="A28" s="180">
        <v>10</v>
      </c>
      <c r="B28" s="20" t="s">
        <v>30</v>
      </c>
      <c r="C28" s="21">
        <v>6.0000000000000001E-3</v>
      </c>
      <c r="D28" s="21">
        <v>6.0000000000000001E-3</v>
      </c>
      <c r="E28" s="13">
        <f>цены!F107</f>
        <v>76</v>
      </c>
      <c r="F28" s="13">
        <f t="shared" si="4"/>
        <v>0.46</v>
      </c>
      <c r="G28" s="97">
        <f t="shared" si="0"/>
        <v>0.06</v>
      </c>
      <c r="H28" s="21">
        <f t="shared" si="0"/>
        <v>0.06</v>
      </c>
      <c r="I28" s="21">
        <f t="shared" si="1"/>
        <v>0.6</v>
      </c>
      <c r="J28" s="21">
        <f t="shared" si="1"/>
        <v>0.6</v>
      </c>
      <c r="L28" s="1018">
        <f t="shared" si="2"/>
        <v>1.5E-3</v>
      </c>
      <c r="M28" s="1018">
        <f t="shared" si="3"/>
        <v>0.115</v>
      </c>
    </row>
    <row r="29" spans="1:13" s="10" customFormat="1" ht="12" customHeight="1" x14ac:dyDescent="0.25">
      <c r="A29" s="180">
        <v>11</v>
      </c>
      <c r="B29" s="20" t="s">
        <v>141</v>
      </c>
      <c r="C29" s="21">
        <v>0.8</v>
      </c>
      <c r="D29" s="21">
        <v>0.8</v>
      </c>
      <c r="E29" s="13"/>
      <c r="F29" s="13">
        <f t="shared" si="4"/>
        <v>0</v>
      </c>
      <c r="G29" s="97">
        <f t="shared" si="0"/>
        <v>8</v>
      </c>
      <c r="H29" s="21">
        <f t="shared" si="0"/>
        <v>8</v>
      </c>
      <c r="I29" s="21">
        <f t="shared" si="1"/>
        <v>80</v>
      </c>
      <c r="J29" s="21">
        <f t="shared" si="1"/>
        <v>80</v>
      </c>
      <c r="L29" s="1018">
        <f t="shared" si="2"/>
        <v>0.2</v>
      </c>
      <c r="M29" s="1018">
        <f t="shared" si="3"/>
        <v>0</v>
      </c>
    </row>
    <row r="30" spans="1:13" s="10" customFormat="1" ht="12" customHeight="1" x14ac:dyDescent="0.25">
      <c r="A30" s="180">
        <v>12</v>
      </c>
      <c r="B30" s="20" t="s">
        <v>33</v>
      </c>
      <c r="C30" s="21">
        <v>0.01</v>
      </c>
      <c r="D30" s="21">
        <v>0.01</v>
      </c>
      <c r="E30" s="13">
        <f>цены!F110</f>
        <v>24</v>
      </c>
      <c r="F30" s="13">
        <f t="shared" si="4"/>
        <v>0.24</v>
      </c>
      <c r="G30" s="97">
        <f t="shared" si="0"/>
        <v>0.1</v>
      </c>
      <c r="H30" s="21">
        <f t="shared" si="0"/>
        <v>0.1</v>
      </c>
      <c r="I30" s="21">
        <f t="shared" si="1"/>
        <v>1</v>
      </c>
      <c r="J30" s="21">
        <f t="shared" si="1"/>
        <v>1</v>
      </c>
      <c r="L30" s="1018">
        <f t="shared" si="2"/>
        <v>2.5000000000000001E-3</v>
      </c>
      <c r="M30" s="1018">
        <f t="shared" si="3"/>
        <v>0.06</v>
      </c>
    </row>
    <row r="31" spans="1:13" s="10" customFormat="1" ht="12" customHeight="1" x14ac:dyDescent="0.25">
      <c r="A31" s="180">
        <v>13</v>
      </c>
      <c r="B31" s="20" t="s">
        <v>51</v>
      </c>
      <c r="C31" s="21">
        <v>0.02</v>
      </c>
      <c r="D31" s="21">
        <v>0.02</v>
      </c>
      <c r="E31" s="13">
        <f>цены!F24</f>
        <v>234</v>
      </c>
      <c r="F31" s="13">
        <f t="shared" si="4"/>
        <v>4.68</v>
      </c>
      <c r="G31" s="97">
        <f t="shared" si="0"/>
        <v>0.2</v>
      </c>
      <c r="H31" s="21">
        <f t="shared" si="0"/>
        <v>0.2</v>
      </c>
      <c r="I31" s="21">
        <f t="shared" si="1"/>
        <v>2</v>
      </c>
      <c r="J31" s="21">
        <f t="shared" si="1"/>
        <v>2</v>
      </c>
      <c r="L31" s="1018">
        <f t="shared" si="2"/>
        <v>5.0000000000000001E-3</v>
      </c>
      <c r="M31" s="1018">
        <f t="shared" si="3"/>
        <v>1.17</v>
      </c>
    </row>
    <row r="32" spans="1:13" s="10" customFormat="1" ht="12" customHeight="1" x14ac:dyDescent="0.25">
      <c r="A32" s="180">
        <v>14</v>
      </c>
      <c r="B32" s="20" t="s">
        <v>78</v>
      </c>
      <c r="C32" s="21">
        <f>0.002*C38</f>
        <v>8.0000000000000002E-3</v>
      </c>
      <c r="D32" s="21">
        <f>0.002*C38</f>
        <v>8.0000000000000002E-3</v>
      </c>
      <c r="E32" s="13">
        <f>цены!F48</f>
        <v>300</v>
      </c>
      <c r="F32" s="13">
        <f>C32*E32</f>
        <v>2.4</v>
      </c>
      <c r="G32" s="97">
        <f t="shared" si="0"/>
        <v>0.08</v>
      </c>
      <c r="H32" s="21">
        <f t="shared" si="0"/>
        <v>0.08</v>
      </c>
      <c r="I32" s="21">
        <f t="shared" si="1"/>
        <v>0.8</v>
      </c>
      <c r="J32" s="21">
        <f t="shared" si="1"/>
        <v>0.8</v>
      </c>
      <c r="L32" s="1018">
        <f t="shared" si="2"/>
        <v>2E-3</v>
      </c>
      <c r="M32" s="1018">
        <f t="shared" si="3"/>
        <v>0.6</v>
      </c>
    </row>
    <row r="33" spans="1:13" s="10" customFormat="1" ht="12" customHeight="1" x14ac:dyDescent="0.25">
      <c r="A33" s="180">
        <v>15</v>
      </c>
      <c r="B33" s="20" t="s">
        <v>341</v>
      </c>
      <c r="C33" s="21">
        <v>0.01</v>
      </c>
      <c r="D33" s="21">
        <v>0.01</v>
      </c>
      <c r="E33" s="13">
        <f>цены!F74</f>
        <v>36</v>
      </c>
      <c r="F33" s="13">
        <f>C33*E33</f>
        <v>0.36</v>
      </c>
      <c r="G33" s="97">
        <f t="shared" si="0"/>
        <v>0.1</v>
      </c>
      <c r="H33" s="21">
        <f t="shared" si="0"/>
        <v>0.1</v>
      </c>
      <c r="I33" s="21">
        <f t="shared" si="1"/>
        <v>1</v>
      </c>
      <c r="J33" s="21">
        <f t="shared" si="1"/>
        <v>1</v>
      </c>
      <c r="L33" s="1018">
        <f t="shared" si="2"/>
        <v>2.5000000000000001E-3</v>
      </c>
      <c r="M33" s="1018">
        <f t="shared" si="3"/>
        <v>0.09</v>
      </c>
    </row>
    <row r="34" spans="1:13" s="10" customFormat="1" ht="12" customHeight="1" x14ac:dyDescent="0.25">
      <c r="A34" s="98"/>
      <c r="B34" s="93" t="s">
        <v>100</v>
      </c>
      <c r="C34" s="114"/>
      <c r="D34" s="100">
        <v>1</v>
      </c>
      <c r="E34" s="95"/>
      <c r="F34" s="95">
        <f>SUM(F19:F33)</f>
        <v>46.89</v>
      </c>
      <c r="G34" s="99"/>
      <c r="H34" s="100">
        <f>D34*10</f>
        <v>10</v>
      </c>
      <c r="I34" s="100"/>
      <c r="J34" s="100">
        <f>D34*100</f>
        <v>100</v>
      </c>
      <c r="L34" s="1018">
        <f>SUM(L19:L33)</f>
        <v>0.34810000000000002</v>
      </c>
      <c r="M34" s="1018">
        <f>SUM(M19:M33)</f>
        <v>11.7225</v>
      </c>
    </row>
    <row r="35" spans="1:13" s="10" customFormat="1" ht="22.35" customHeight="1" x14ac:dyDescent="0.25">
      <c r="A35" s="1536" t="s">
        <v>35</v>
      </c>
      <c r="B35" s="1536"/>
      <c r="C35" s="90"/>
      <c r="D35" s="90"/>
      <c r="E35" s="13"/>
      <c r="F35" s="13">
        <f>F34</f>
        <v>46.89</v>
      </c>
      <c r="G35" s="174"/>
      <c r="H35" s="174"/>
      <c r="I35" s="21"/>
      <c r="J35" s="13"/>
    </row>
    <row r="36" spans="1:13" s="10" customFormat="1" ht="25.35" customHeight="1" x14ac:dyDescent="0.25">
      <c r="A36" s="1536" t="s">
        <v>36</v>
      </c>
      <c r="B36" s="1536"/>
      <c r="C36" s="866">
        <v>1000</v>
      </c>
      <c r="D36" s="90"/>
      <c r="E36" s="13"/>
      <c r="F36" s="13"/>
      <c r="G36" s="13"/>
      <c r="H36" s="13"/>
      <c r="I36" s="21"/>
      <c r="J36" s="17"/>
    </row>
    <row r="37" spans="1:13" s="10" customFormat="1" ht="25.35" customHeight="1" x14ac:dyDescent="0.25">
      <c r="A37" s="1537" t="s">
        <v>37</v>
      </c>
      <c r="B37" s="1538"/>
      <c r="C37" s="1071">
        <v>250</v>
      </c>
      <c r="D37" s="92"/>
      <c r="E37" s="173"/>
      <c r="F37" s="173"/>
      <c r="G37" s="173"/>
      <c r="H37" s="173"/>
      <c r="I37" s="21"/>
      <c r="J37" s="17"/>
    </row>
    <row r="38" spans="1:13" s="10" customFormat="1" ht="15" customHeight="1" x14ac:dyDescent="0.25">
      <c r="A38" s="1539" t="s">
        <v>38</v>
      </c>
      <c r="B38" s="1540"/>
      <c r="C38" s="245">
        <f>C36/C37</f>
        <v>4</v>
      </c>
      <c r="D38" s="92"/>
      <c r="E38" s="173"/>
      <c r="F38" s="173"/>
      <c r="G38" s="173"/>
      <c r="H38" s="173"/>
      <c r="I38" s="21"/>
      <c r="J38" s="17"/>
    </row>
    <row r="39" spans="1:13" ht="16.350000000000001" customHeight="1" x14ac:dyDescent="0.25">
      <c r="A39" s="1541" t="s">
        <v>39</v>
      </c>
      <c r="B39" s="1542"/>
      <c r="C39" s="15" t="s">
        <v>40</v>
      </c>
      <c r="D39" s="102"/>
      <c r="E39" s="102" t="s">
        <v>40</v>
      </c>
      <c r="F39" s="16">
        <f>F35/C38</f>
        <v>11.72</v>
      </c>
      <c r="G39" s="16"/>
      <c r="H39" s="16"/>
      <c r="I39" s="102" t="s">
        <v>40</v>
      </c>
      <c r="J39" s="102" t="s">
        <v>40</v>
      </c>
    </row>
    <row r="40" spans="1:13" ht="13.35" customHeight="1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3" ht="13.95" customHeight="1" x14ac:dyDescent="0.25">
      <c r="A41" s="1193"/>
      <c r="B41" s="1194" t="s">
        <v>49</v>
      </c>
      <c r="C41" s="1198"/>
      <c r="D41" s="1198"/>
      <c r="E41" s="1198"/>
      <c r="F41" s="1198"/>
      <c r="G41" s="1193"/>
      <c r="H41" s="1556">
        <f>'1-бутерброд с маслом'!$H$28</f>
        <v>0</v>
      </c>
      <c r="I41" s="1556"/>
      <c r="J41" s="1556"/>
    </row>
    <row r="42" spans="1:13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3" ht="13.95" customHeight="1" x14ac:dyDescent="0.25">
      <c r="A43" s="1545" t="s">
        <v>327</v>
      </c>
      <c r="B43" s="1545"/>
      <c r="C43" s="1546" t="s">
        <v>328</v>
      </c>
      <c r="D43" s="1546"/>
      <c r="E43" s="1546"/>
      <c r="F43" s="1546"/>
      <c r="G43" s="106"/>
      <c r="H43" s="1531"/>
      <c r="I43" s="1531"/>
      <c r="J43" s="1531"/>
    </row>
    <row r="44" spans="1:13" x14ac:dyDescent="0.25">
      <c r="A44" s="1193"/>
      <c r="B44" s="1193"/>
      <c r="C44" s="1546"/>
      <c r="D44" s="1546"/>
      <c r="E44" s="1546"/>
      <c r="F44" s="1546"/>
      <c r="G44" s="1193"/>
      <c r="H44" s="1531" t="s">
        <v>329</v>
      </c>
      <c r="I44" s="1531"/>
      <c r="J44" s="1531"/>
    </row>
    <row r="45" spans="1:13" x14ac:dyDescent="0.25">
      <c r="A45" s="1193"/>
      <c r="B45" s="1193"/>
      <c r="C45" s="1193"/>
      <c r="D45" s="1193"/>
      <c r="E45" s="1193"/>
      <c r="F45" s="1193"/>
      <c r="G45" s="1193"/>
      <c r="H45" s="1193"/>
      <c r="I45" s="1193"/>
      <c r="J45" s="1193"/>
    </row>
    <row r="46" spans="1:13" x14ac:dyDescent="0.25">
      <c r="A46" s="1193"/>
      <c r="B46" s="1193"/>
      <c r="C46" s="1193"/>
      <c r="D46" s="1193"/>
      <c r="E46" s="1193"/>
      <c r="F46" s="1193"/>
      <c r="G46" s="1193"/>
      <c r="H46" s="1193"/>
      <c r="I46" s="1193"/>
      <c r="J46" s="1193"/>
    </row>
    <row r="47" spans="1:13" x14ac:dyDescent="0.25">
      <c r="A47" s="1193"/>
      <c r="B47" s="1193"/>
      <c r="C47" s="1193"/>
      <c r="D47" s="1193"/>
      <c r="E47" s="1193"/>
      <c r="F47" s="1193"/>
      <c r="G47" s="1193"/>
      <c r="H47" s="1193"/>
      <c r="I47" s="1193"/>
      <c r="J47" s="1193"/>
    </row>
    <row r="48" spans="1:13" x14ac:dyDescent="0.25">
      <c r="A48" s="1193"/>
      <c r="B48" s="1193"/>
      <c r="C48" s="1193"/>
      <c r="D48" s="1193"/>
      <c r="E48" s="1193"/>
      <c r="F48" s="1193"/>
      <c r="G48" s="1193"/>
      <c r="H48" s="1193"/>
      <c r="I48" s="1193"/>
      <c r="J48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3:B43"/>
    <mergeCell ref="C43:F44"/>
    <mergeCell ref="H43:J43"/>
    <mergeCell ref="H44:J44"/>
    <mergeCell ref="A36:B36"/>
    <mergeCell ref="A37:B37"/>
    <mergeCell ref="A38:B38"/>
    <mergeCell ref="A39:B39"/>
    <mergeCell ref="H41:J41"/>
    <mergeCell ref="A35:B35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FED77"/>
  </sheetPr>
  <dimension ref="A1:M46"/>
  <sheetViews>
    <sheetView view="pageBreakPreview" topLeftCell="A7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3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2.5546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51)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293"/>
      <c r="I6" s="293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85</v>
      </c>
    </row>
    <row r="8" spans="1:10" s="2" customFormat="1" ht="9.6" customHeight="1" x14ac:dyDescent="0.25">
      <c r="A8" s="294"/>
      <c r="B8" s="294"/>
      <c r="C8" s="294"/>
      <c r="D8" s="294"/>
      <c r="E8" s="294"/>
      <c r="F8" s="294"/>
      <c r="G8" s="294"/>
      <c r="H8" s="294"/>
      <c r="I8" s="294"/>
      <c r="J8" s="109"/>
    </row>
    <row r="9" spans="1:10" s="2" customFormat="1" ht="26.1" customHeight="1" x14ac:dyDescent="0.3">
      <c r="A9" s="1550" t="s">
        <v>541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'84-борщ с фасолью'!H14+1</f>
        <v>51</v>
      </c>
      <c r="I14" s="1534">
        <v>44986</v>
      </c>
      <c r="J14" s="1535"/>
    </row>
    <row r="15" spans="1:10" s="2" customFormat="1" ht="13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295" t="s">
        <v>92</v>
      </c>
      <c r="D17" s="295" t="s">
        <v>94</v>
      </c>
      <c r="E17" s="295" t="s">
        <v>93</v>
      </c>
      <c r="F17" s="295" t="s">
        <v>23</v>
      </c>
      <c r="G17" s="295" t="s">
        <v>92</v>
      </c>
      <c r="H17" s="295" t="s">
        <v>94</v>
      </c>
      <c r="I17" s="295" t="s">
        <v>92</v>
      </c>
      <c r="J17" s="295" t="s">
        <v>94</v>
      </c>
    </row>
    <row r="18" spans="1:13" ht="9.6" customHeight="1" x14ac:dyDescent="0.25">
      <c r="A18" s="295">
        <v>1</v>
      </c>
      <c r="B18" s="296">
        <v>2</v>
      </c>
      <c r="C18" s="295">
        <v>3</v>
      </c>
      <c r="D18" s="296">
        <v>4</v>
      </c>
      <c r="E18" s="295">
        <v>5</v>
      </c>
      <c r="F18" s="296">
        <v>6</v>
      </c>
      <c r="G18" s="295">
        <v>7</v>
      </c>
      <c r="H18" s="296">
        <v>8</v>
      </c>
      <c r="I18" s="295">
        <v>9</v>
      </c>
      <c r="J18" s="296">
        <v>10</v>
      </c>
    </row>
    <row r="19" spans="1:13" s="10" customFormat="1" ht="14.1" customHeight="1" x14ac:dyDescent="0.25">
      <c r="A19" s="180">
        <v>1</v>
      </c>
      <c r="B19" s="20" t="s">
        <v>52</v>
      </c>
      <c r="C19" s="21">
        <v>0.151</v>
      </c>
      <c r="D19" s="21">
        <v>0.11799999999999999</v>
      </c>
      <c r="E19" s="13">
        <f>цены!F51</f>
        <v>30</v>
      </c>
      <c r="F19" s="13">
        <f>C19*E19</f>
        <v>4.53</v>
      </c>
      <c r="G19" s="97">
        <f t="shared" ref="G19:H31" si="0">C19*10</f>
        <v>1.51</v>
      </c>
      <c r="H19" s="21">
        <f t="shared" si="0"/>
        <v>1.18</v>
      </c>
      <c r="I19" s="21">
        <f t="shared" ref="I19:J31" si="1">C19*100</f>
        <v>15.1</v>
      </c>
      <c r="J19" s="21">
        <f t="shared" si="1"/>
        <v>11.8</v>
      </c>
      <c r="L19" s="1018">
        <f>C19/C$36</f>
        <v>3.78E-2</v>
      </c>
      <c r="M19" s="1018">
        <f>F19/C$36</f>
        <v>1.1325000000000001</v>
      </c>
    </row>
    <row r="20" spans="1:13" s="10" customFormat="1" ht="14.1" customHeight="1" x14ac:dyDescent="0.25">
      <c r="A20" s="180">
        <v>2</v>
      </c>
      <c r="B20" s="20" t="s">
        <v>50</v>
      </c>
      <c r="C20" s="21">
        <v>0.26700000000000002</v>
      </c>
      <c r="D20" s="21">
        <v>0.2</v>
      </c>
      <c r="E20" s="13">
        <f>цены!F35</f>
        <v>50</v>
      </c>
      <c r="F20" s="13">
        <f>C20*E20</f>
        <v>13.35</v>
      </c>
      <c r="G20" s="97">
        <f t="shared" si="0"/>
        <v>2.67</v>
      </c>
      <c r="H20" s="21">
        <f t="shared" si="0"/>
        <v>2</v>
      </c>
      <c r="I20" s="21">
        <f t="shared" si="1"/>
        <v>26.7</v>
      </c>
      <c r="J20" s="21">
        <f t="shared" si="1"/>
        <v>20</v>
      </c>
      <c r="L20" s="1018">
        <f t="shared" ref="L20:L31" si="2">C20/C$36</f>
        <v>6.6799999999999998E-2</v>
      </c>
      <c r="M20" s="1018">
        <f t="shared" ref="M20:M31" si="3">F20/C$36</f>
        <v>3.3374999999999999</v>
      </c>
    </row>
    <row r="21" spans="1:13" s="10" customFormat="1" ht="14.1" customHeight="1" x14ac:dyDescent="0.25">
      <c r="A21" s="180">
        <v>3</v>
      </c>
      <c r="B21" s="20" t="s">
        <v>337</v>
      </c>
      <c r="C21" s="21">
        <v>3.7999999999999999E-2</v>
      </c>
      <c r="D21" s="21">
        <v>0.03</v>
      </c>
      <c r="E21" s="13">
        <f>цены!F39</f>
        <v>300</v>
      </c>
      <c r="F21" s="13">
        <f>C21*E21</f>
        <v>11.4</v>
      </c>
      <c r="G21" s="97">
        <f t="shared" si="0"/>
        <v>0.38</v>
      </c>
      <c r="H21" s="21">
        <f t="shared" si="0"/>
        <v>0.3</v>
      </c>
      <c r="I21" s="21">
        <f t="shared" si="1"/>
        <v>3.8</v>
      </c>
      <c r="J21" s="21">
        <f t="shared" si="1"/>
        <v>3</v>
      </c>
      <c r="L21" s="1018">
        <f t="shared" si="2"/>
        <v>9.4999999999999998E-3</v>
      </c>
      <c r="M21" s="1018">
        <f t="shared" si="3"/>
        <v>2.85</v>
      </c>
    </row>
    <row r="22" spans="1:13" s="10" customFormat="1" ht="12" customHeight="1" x14ac:dyDescent="0.25">
      <c r="A22" s="180">
        <v>4</v>
      </c>
      <c r="B22" s="20" t="s">
        <v>542</v>
      </c>
      <c r="C22" s="21">
        <v>0.184</v>
      </c>
      <c r="D22" s="21">
        <v>0.14000000000000001</v>
      </c>
      <c r="E22" s="13">
        <f>цены!F49</f>
        <v>260</v>
      </c>
      <c r="F22" s="13">
        <f>C22*E22</f>
        <v>47.84</v>
      </c>
      <c r="G22" s="97">
        <f t="shared" si="0"/>
        <v>1.84</v>
      </c>
      <c r="H22" s="21">
        <f t="shared" si="0"/>
        <v>1.4</v>
      </c>
      <c r="I22" s="21">
        <f t="shared" si="1"/>
        <v>18.399999999999999</v>
      </c>
      <c r="J22" s="21">
        <f t="shared" si="1"/>
        <v>14</v>
      </c>
      <c r="L22" s="1018">
        <f t="shared" si="2"/>
        <v>4.5999999999999999E-2</v>
      </c>
      <c r="M22" s="1018">
        <f t="shared" si="3"/>
        <v>11.96</v>
      </c>
    </row>
    <row r="23" spans="1:13" s="10" customFormat="1" ht="12" customHeight="1" x14ac:dyDescent="0.25">
      <c r="A23" s="180">
        <v>5</v>
      </c>
      <c r="B23" s="20" t="s">
        <v>543</v>
      </c>
      <c r="C23" s="21">
        <v>0.189</v>
      </c>
      <c r="D23" s="21">
        <v>0.14000000000000001</v>
      </c>
      <c r="E23" s="13">
        <f>цены!F50</f>
        <v>260</v>
      </c>
      <c r="F23" s="13">
        <f t="shared" ref="F23:F31" si="4">C23*E23</f>
        <v>49.14</v>
      </c>
      <c r="G23" s="97">
        <f t="shared" si="0"/>
        <v>1.89</v>
      </c>
      <c r="H23" s="21">
        <f t="shared" si="0"/>
        <v>1.4</v>
      </c>
      <c r="I23" s="21">
        <f t="shared" si="1"/>
        <v>18.899999999999999</v>
      </c>
      <c r="J23" s="21">
        <f t="shared" si="1"/>
        <v>14</v>
      </c>
      <c r="L23" s="1018">
        <f t="shared" si="2"/>
        <v>4.7300000000000002E-2</v>
      </c>
      <c r="M23" s="1018">
        <f t="shared" si="3"/>
        <v>12.285</v>
      </c>
    </row>
    <row r="24" spans="1:13" s="10" customFormat="1" ht="12" customHeight="1" x14ac:dyDescent="0.25">
      <c r="A24" s="180">
        <v>6</v>
      </c>
      <c r="B24" s="20" t="s">
        <v>45</v>
      </c>
      <c r="C24" s="21">
        <v>6.0000000000000001E-3</v>
      </c>
      <c r="D24" s="21">
        <v>6.0000000000000001E-3</v>
      </c>
      <c r="E24" s="13">
        <f>цены!F74</f>
        <v>36</v>
      </c>
      <c r="F24" s="13">
        <f t="shared" si="4"/>
        <v>0.22</v>
      </c>
      <c r="G24" s="97">
        <f t="shared" si="0"/>
        <v>0.06</v>
      </c>
      <c r="H24" s="21">
        <f t="shared" si="0"/>
        <v>0.06</v>
      </c>
      <c r="I24" s="21">
        <f t="shared" si="1"/>
        <v>0.6</v>
      </c>
      <c r="J24" s="21">
        <f t="shared" si="1"/>
        <v>0.6</v>
      </c>
      <c r="L24" s="1018">
        <f t="shared" si="2"/>
        <v>1.5E-3</v>
      </c>
      <c r="M24" s="1018">
        <f t="shared" si="3"/>
        <v>5.5E-2</v>
      </c>
    </row>
    <row r="25" spans="1:13" s="10" customFormat="1" ht="12" customHeight="1" x14ac:dyDescent="0.25">
      <c r="A25" s="180">
        <v>7</v>
      </c>
      <c r="B25" s="20" t="s">
        <v>74</v>
      </c>
      <c r="C25" s="21">
        <v>0.02</v>
      </c>
      <c r="D25" s="21">
        <v>0.02</v>
      </c>
      <c r="E25" s="13">
        <f>цены!F87</f>
        <v>120</v>
      </c>
      <c r="F25" s="13">
        <f t="shared" si="4"/>
        <v>2.4</v>
      </c>
      <c r="G25" s="97">
        <f t="shared" si="0"/>
        <v>0.2</v>
      </c>
      <c r="H25" s="21">
        <f t="shared" si="0"/>
        <v>0.2</v>
      </c>
      <c r="I25" s="21">
        <f t="shared" si="1"/>
        <v>2</v>
      </c>
      <c r="J25" s="21">
        <f t="shared" si="1"/>
        <v>2</v>
      </c>
      <c r="L25" s="1018">
        <f t="shared" si="2"/>
        <v>5.0000000000000001E-3</v>
      </c>
      <c r="M25" s="1018">
        <f t="shared" si="3"/>
        <v>0.6</v>
      </c>
    </row>
    <row r="26" spans="1:13" s="10" customFormat="1" ht="12" customHeight="1" x14ac:dyDescent="0.25">
      <c r="A26" s="180">
        <v>8</v>
      </c>
      <c r="B26" s="20" t="s">
        <v>30</v>
      </c>
      <c r="C26" s="21">
        <v>6.0000000000000001E-3</v>
      </c>
      <c r="D26" s="21">
        <v>6.0000000000000001E-3</v>
      </c>
      <c r="E26" s="13">
        <f>цены!F107</f>
        <v>76</v>
      </c>
      <c r="F26" s="13">
        <f t="shared" si="4"/>
        <v>0.46</v>
      </c>
      <c r="G26" s="97">
        <f t="shared" si="0"/>
        <v>0.06</v>
      </c>
      <c r="H26" s="21">
        <f t="shared" si="0"/>
        <v>0.06</v>
      </c>
      <c r="I26" s="21">
        <f t="shared" si="1"/>
        <v>0.6</v>
      </c>
      <c r="J26" s="21">
        <f t="shared" si="1"/>
        <v>0.6</v>
      </c>
      <c r="L26" s="1018">
        <f t="shared" si="2"/>
        <v>1.5E-3</v>
      </c>
      <c r="M26" s="1018">
        <f t="shared" si="3"/>
        <v>0.115</v>
      </c>
    </row>
    <row r="27" spans="1:13" s="10" customFormat="1" ht="12" customHeight="1" x14ac:dyDescent="0.25">
      <c r="A27" s="180">
        <v>9</v>
      </c>
      <c r="B27" s="20" t="s">
        <v>544</v>
      </c>
      <c r="C27" s="21">
        <v>2.3E-2</v>
      </c>
      <c r="D27" s="21">
        <v>0.02</v>
      </c>
      <c r="E27" s="13">
        <f>цены!F30</f>
        <v>152.16999999999999</v>
      </c>
      <c r="F27" s="13">
        <f t="shared" si="4"/>
        <v>3.5</v>
      </c>
      <c r="G27" s="97">
        <f t="shared" si="0"/>
        <v>0.23</v>
      </c>
      <c r="H27" s="21">
        <f t="shared" si="0"/>
        <v>0.2</v>
      </c>
      <c r="I27" s="21">
        <f t="shared" si="1"/>
        <v>2.2999999999999998</v>
      </c>
      <c r="J27" s="21">
        <f t="shared" si="1"/>
        <v>2</v>
      </c>
      <c r="L27" s="1018">
        <f t="shared" si="2"/>
        <v>5.7999999999999996E-3</v>
      </c>
      <c r="M27" s="1018">
        <f t="shared" si="3"/>
        <v>0.875</v>
      </c>
    </row>
    <row r="28" spans="1:13" s="10" customFormat="1" ht="12" customHeight="1" x14ac:dyDescent="0.25">
      <c r="A28" s="180">
        <v>10</v>
      </c>
      <c r="B28" s="20" t="s">
        <v>141</v>
      </c>
      <c r="C28" s="21">
        <v>0.6</v>
      </c>
      <c r="D28" s="21">
        <v>0.6</v>
      </c>
      <c r="E28" s="13"/>
      <c r="F28" s="13">
        <f t="shared" si="4"/>
        <v>0</v>
      </c>
      <c r="G28" s="97">
        <f t="shared" si="0"/>
        <v>6</v>
      </c>
      <c r="H28" s="21">
        <f t="shared" si="0"/>
        <v>6</v>
      </c>
      <c r="I28" s="21">
        <f t="shared" si="1"/>
        <v>60</v>
      </c>
      <c r="J28" s="21">
        <f t="shared" si="1"/>
        <v>60</v>
      </c>
      <c r="L28" s="1018">
        <f t="shared" si="2"/>
        <v>0.15</v>
      </c>
      <c r="M28" s="1018">
        <f t="shared" si="3"/>
        <v>0</v>
      </c>
    </row>
    <row r="29" spans="1:13" s="10" customFormat="1" ht="12" customHeight="1" x14ac:dyDescent="0.25">
      <c r="A29" s="180">
        <v>11</v>
      </c>
      <c r="B29" s="20" t="s">
        <v>33</v>
      </c>
      <c r="C29" s="21">
        <v>0.01</v>
      </c>
      <c r="D29" s="21">
        <v>0.01</v>
      </c>
      <c r="E29" s="13">
        <f>цены!F110</f>
        <v>24</v>
      </c>
      <c r="F29" s="13">
        <f t="shared" si="4"/>
        <v>0.24</v>
      </c>
      <c r="G29" s="97">
        <f t="shared" si="0"/>
        <v>0.1</v>
      </c>
      <c r="H29" s="21">
        <f t="shared" si="0"/>
        <v>0.1</v>
      </c>
      <c r="I29" s="21">
        <f t="shared" si="1"/>
        <v>1</v>
      </c>
      <c r="J29" s="21">
        <f t="shared" si="1"/>
        <v>1</v>
      </c>
      <c r="L29" s="1018">
        <f t="shared" si="2"/>
        <v>2.5000000000000001E-3</v>
      </c>
      <c r="M29" s="1018">
        <f t="shared" si="3"/>
        <v>0.06</v>
      </c>
    </row>
    <row r="30" spans="1:13" s="10" customFormat="1" ht="12" customHeight="1" x14ac:dyDescent="0.25">
      <c r="A30" s="180">
        <v>12</v>
      </c>
      <c r="B30" s="20" t="s">
        <v>51</v>
      </c>
      <c r="C30" s="21">
        <v>0.02</v>
      </c>
      <c r="D30" s="21">
        <v>0.02</v>
      </c>
      <c r="E30" s="13">
        <f>цены!F24</f>
        <v>234</v>
      </c>
      <c r="F30" s="13">
        <f t="shared" si="4"/>
        <v>4.68</v>
      </c>
      <c r="G30" s="97">
        <f t="shared" si="0"/>
        <v>0.2</v>
      </c>
      <c r="H30" s="21">
        <f t="shared" si="0"/>
        <v>0.2</v>
      </c>
      <c r="I30" s="21">
        <f t="shared" si="1"/>
        <v>2</v>
      </c>
      <c r="J30" s="21">
        <f t="shared" si="1"/>
        <v>2</v>
      </c>
      <c r="L30" s="1018">
        <f t="shared" si="2"/>
        <v>5.0000000000000001E-3</v>
      </c>
      <c r="M30" s="1018">
        <f t="shared" si="3"/>
        <v>1.17</v>
      </c>
    </row>
    <row r="31" spans="1:13" s="10" customFormat="1" ht="12" customHeight="1" x14ac:dyDescent="0.25">
      <c r="A31" s="180">
        <v>13</v>
      </c>
      <c r="B31" s="20" t="s">
        <v>78</v>
      </c>
      <c r="C31" s="21">
        <f>0.002*C36</f>
        <v>8.0000000000000002E-3</v>
      </c>
      <c r="D31" s="21">
        <f>0.002*C36</f>
        <v>8.0000000000000002E-3</v>
      </c>
      <c r="E31" s="13">
        <f>цены!F48</f>
        <v>300</v>
      </c>
      <c r="F31" s="13">
        <f t="shared" si="4"/>
        <v>2.4</v>
      </c>
      <c r="G31" s="97">
        <f t="shared" si="0"/>
        <v>0.08</v>
      </c>
      <c r="H31" s="21">
        <f t="shared" si="0"/>
        <v>0.08</v>
      </c>
      <c r="I31" s="21">
        <f t="shared" si="1"/>
        <v>0.8</v>
      </c>
      <c r="J31" s="21">
        <f t="shared" si="1"/>
        <v>0.8</v>
      </c>
      <c r="L31" s="1018">
        <f t="shared" si="2"/>
        <v>2E-3</v>
      </c>
      <c r="M31" s="1018">
        <f t="shared" si="3"/>
        <v>0.6</v>
      </c>
    </row>
    <row r="32" spans="1:13" s="10" customFormat="1" ht="12" customHeight="1" x14ac:dyDescent="0.25">
      <c r="A32" s="98"/>
      <c r="B32" s="93" t="s">
        <v>100</v>
      </c>
      <c r="C32" s="114"/>
      <c r="D32" s="100">
        <v>1</v>
      </c>
      <c r="E32" s="95"/>
      <c r="F32" s="95">
        <f>SUM(F19:F31)</f>
        <v>140.16</v>
      </c>
      <c r="G32" s="99"/>
      <c r="H32" s="100">
        <f>D32*10</f>
        <v>10</v>
      </c>
      <c r="I32" s="100"/>
      <c r="J32" s="100">
        <f>D32*100</f>
        <v>100</v>
      </c>
      <c r="L32" s="1018">
        <f>SUM(L19:L31)</f>
        <v>0.38069999999999998</v>
      </c>
      <c r="M32" s="1018">
        <f>SUM(M19:M31)</f>
        <v>35.04</v>
      </c>
    </row>
    <row r="33" spans="1:10" s="10" customFormat="1" ht="22.35" customHeight="1" x14ac:dyDescent="0.25">
      <c r="A33" s="1536" t="s">
        <v>35</v>
      </c>
      <c r="B33" s="1536"/>
      <c r="C33" s="90"/>
      <c r="D33" s="90"/>
      <c r="E33" s="13"/>
      <c r="F33" s="13">
        <f>F32</f>
        <v>140.16</v>
      </c>
      <c r="G33" s="297"/>
      <c r="H33" s="297"/>
      <c r="I33" s="21"/>
      <c r="J33" s="13"/>
    </row>
    <row r="34" spans="1:10" s="10" customFormat="1" ht="25.35" customHeight="1" x14ac:dyDescent="0.25">
      <c r="A34" s="1536" t="s">
        <v>36</v>
      </c>
      <c r="B34" s="1536"/>
      <c r="C34" s="866">
        <v>1000</v>
      </c>
      <c r="D34" s="90"/>
      <c r="E34" s="13"/>
      <c r="F34" s="13"/>
      <c r="G34" s="13"/>
      <c r="H34" s="13"/>
      <c r="I34" s="21"/>
      <c r="J34" s="17"/>
    </row>
    <row r="35" spans="1:10" s="10" customFormat="1" ht="25.35" customHeight="1" x14ac:dyDescent="0.25">
      <c r="A35" s="1537" t="s">
        <v>37</v>
      </c>
      <c r="B35" s="1538"/>
      <c r="C35" s="1071">
        <v>250</v>
      </c>
      <c r="D35" s="92"/>
      <c r="E35" s="296"/>
      <c r="F35" s="296"/>
      <c r="G35" s="296"/>
      <c r="H35" s="296"/>
      <c r="I35" s="21"/>
      <c r="J35" s="17"/>
    </row>
    <row r="36" spans="1:10" s="10" customFormat="1" ht="15" customHeight="1" x14ac:dyDescent="0.25">
      <c r="A36" s="1539" t="s">
        <v>38</v>
      </c>
      <c r="B36" s="1540"/>
      <c r="C36" s="245">
        <f>C34/C35</f>
        <v>4</v>
      </c>
      <c r="D36" s="92"/>
      <c r="E36" s="296"/>
      <c r="F36" s="296"/>
      <c r="G36" s="296"/>
      <c r="H36" s="296"/>
      <c r="I36" s="21"/>
      <c r="J36" s="17"/>
    </row>
    <row r="37" spans="1:10" ht="16.350000000000001" customHeight="1" x14ac:dyDescent="0.25">
      <c r="A37" s="1541" t="s">
        <v>39</v>
      </c>
      <c r="B37" s="1542"/>
      <c r="C37" s="15" t="s">
        <v>40</v>
      </c>
      <c r="D37" s="102"/>
      <c r="E37" s="102" t="s">
        <v>40</v>
      </c>
      <c r="F37" s="16">
        <f>F33/C36</f>
        <v>35.04</v>
      </c>
      <c r="G37" s="16"/>
      <c r="H37" s="16"/>
      <c r="I37" s="102" t="s">
        <v>40</v>
      </c>
      <c r="J37" s="102" t="s">
        <v>40</v>
      </c>
    </row>
    <row r="38" spans="1:10" ht="13.35" customHeight="1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193"/>
      <c r="B39" s="1194" t="s">
        <v>49</v>
      </c>
      <c r="C39" s="1198"/>
      <c r="D39" s="1198"/>
      <c r="E39" s="1198"/>
      <c r="F39" s="1198"/>
      <c r="G39" s="1193"/>
      <c r="H39" s="1556">
        <f>'1-бутерброд с маслом'!$H$28</f>
        <v>0</v>
      </c>
      <c r="I39" s="1556"/>
      <c r="J39" s="1556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ht="13.95" customHeight="1" x14ac:dyDescent="0.25">
      <c r="A41" s="1545" t="s">
        <v>327</v>
      </c>
      <c r="B41" s="1545"/>
      <c r="C41" s="1546" t="s">
        <v>328</v>
      </c>
      <c r="D41" s="1546"/>
      <c r="E41" s="1546"/>
      <c r="F41" s="1546"/>
      <c r="G41" s="106"/>
      <c r="H41" s="1531"/>
      <c r="I41" s="1531"/>
      <c r="J41" s="1531"/>
    </row>
    <row r="42" spans="1:10" x14ac:dyDescent="0.25">
      <c r="A42" s="1193"/>
      <c r="B42" s="1193"/>
      <c r="C42" s="1546"/>
      <c r="D42" s="1546"/>
      <c r="E42" s="1546"/>
      <c r="F42" s="1546"/>
      <c r="G42" s="1193"/>
      <c r="H42" s="1531" t="s">
        <v>329</v>
      </c>
      <c r="I42" s="1531"/>
      <c r="J42" s="1531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  <row r="45" spans="1:10" x14ac:dyDescent="0.25">
      <c r="A45" s="1193"/>
      <c r="B45" s="1193"/>
      <c r="C45" s="1193"/>
      <c r="D45" s="1193"/>
      <c r="E45" s="1193"/>
      <c r="F45" s="1193"/>
      <c r="G45" s="1193"/>
      <c r="H45" s="1193"/>
      <c r="I45" s="1193"/>
      <c r="J45" s="1193"/>
    </row>
    <row r="46" spans="1:10" x14ac:dyDescent="0.25">
      <c r="A46" s="1193"/>
      <c r="B46" s="1193"/>
      <c r="C46" s="1193"/>
      <c r="D46" s="1193"/>
      <c r="E46" s="1193"/>
      <c r="F46" s="1193"/>
      <c r="G46" s="1193"/>
      <c r="H46" s="1193"/>
      <c r="I46" s="1193"/>
      <c r="J46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1:B41"/>
    <mergeCell ref="C41:F42"/>
    <mergeCell ref="H41:J41"/>
    <mergeCell ref="H42:J42"/>
    <mergeCell ref="A34:B34"/>
    <mergeCell ref="A35:B35"/>
    <mergeCell ref="A36:B36"/>
    <mergeCell ref="A37:B37"/>
    <mergeCell ref="H39:J39"/>
    <mergeCell ref="A33:B33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</sheetPr>
  <dimension ref="A1:M44"/>
  <sheetViews>
    <sheetView view="pageBreakPreview" topLeftCell="A7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699" customWidth="1"/>
    <col min="2" max="2" width="23.109375" style="699" customWidth="1"/>
    <col min="3" max="7" width="7.5546875" style="699" customWidth="1"/>
    <col min="8" max="8" width="8.88671875" style="699" customWidth="1"/>
    <col min="9" max="9" width="7.5546875" style="699" customWidth="1"/>
    <col min="10" max="10" width="9" style="699" customWidth="1"/>
    <col min="11" max="11" width="4" style="699" customWidth="1"/>
    <col min="12" max="16384" width="8.88671875" style="69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52)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742"/>
      <c r="I6" s="742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/>
    </row>
    <row r="8" spans="1:10" s="2" customFormat="1" ht="9.6" customHeight="1" x14ac:dyDescent="0.25">
      <c r="A8" s="743"/>
      <c r="B8" s="743"/>
      <c r="C8" s="743"/>
      <c r="D8" s="743"/>
      <c r="E8" s="743"/>
      <c r="F8" s="743"/>
      <c r="G8" s="743"/>
      <c r="H8" s="743"/>
      <c r="I8" s="743"/>
      <c r="J8" s="109"/>
    </row>
    <row r="9" spans="1:10" s="2" customFormat="1" ht="26.1" customHeight="1" x14ac:dyDescent="0.3">
      <c r="A9" s="1550" t="s">
        <v>926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/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'85-борщ зеленый'!H14+1</f>
        <v>52</v>
      </c>
      <c r="I14" s="1534">
        <v>44986</v>
      </c>
      <c r="J14" s="1535"/>
    </row>
    <row r="15" spans="1:10" s="2" customFormat="1" ht="13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42" customHeight="1" x14ac:dyDescent="0.25">
      <c r="A17" s="1543"/>
      <c r="B17" s="1543"/>
      <c r="C17" s="739" t="s">
        <v>92</v>
      </c>
      <c r="D17" s="739" t="s">
        <v>94</v>
      </c>
      <c r="E17" s="739" t="s">
        <v>93</v>
      </c>
      <c r="F17" s="739" t="s">
        <v>23</v>
      </c>
      <c r="G17" s="739" t="s">
        <v>92</v>
      </c>
      <c r="H17" s="739" t="s">
        <v>94</v>
      </c>
      <c r="I17" s="739" t="s">
        <v>92</v>
      </c>
      <c r="J17" s="739" t="s">
        <v>94</v>
      </c>
    </row>
    <row r="18" spans="1:13" ht="15" customHeight="1" x14ac:dyDescent="0.25">
      <c r="A18" s="739">
        <v>1</v>
      </c>
      <c r="B18" s="741">
        <v>2</v>
      </c>
      <c r="C18" s="739">
        <v>3</v>
      </c>
      <c r="D18" s="741">
        <v>4</v>
      </c>
      <c r="E18" s="739">
        <v>5</v>
      </c>
      <c r="F18" s="741">
        <v>6</v>
      </c>
      <c r="G18" s="739">
        <v>7</v>
      </c>
      <c r="H18" s="741">
        <v>8</v>
      </c>
      <c r="I18" s="739">
        <v>9</v>
      </c>
      <c r="J18" s="741">
        <v>10</v>
      </c>
    </row>
    <row r="19" spans="1:13" s="10" customFormat="1" ht="14.1" customHeight="1" x14ac:dyDescent="0.25">
      <c r="A19" s="180">
        <v>1</v>
      </c>
      <c r="B19" s="20" t="s">
        <v>52</v>
      </c>
      <c r="C19" s="21">
        <v>6.5000000000000002E-2</v>
      </c>
      <c r="D19" s="21">
        <v>0.05</v>
      </c>
      <c r="E19" s="408">
        <f>цены!F51</f>
        <v>30</v>
      </c>
      <c r="F19" s="408">
        <f>C19*E19</f>
        <v>1.95</v>
      </c>
      <c r="G19" s="97">
        <f t="shared" ref="G19:H29" si="0">C19*10</f>
        <v>0.65</v>
      </c>
      <c r="H19" s="21">
        <f t="shared" si="0"/>
        <v>0.5</v>
      </c>
      <c r="I19" s="21">
        <f t="shared" ref="I19:J29" si="1">C19*100</f>
        <v>6.5</v>
      </c>
      <c r="J19" s="21">
        <f t="shared" si="1"/>
        <v>5</v>
      </c>
      <c r="L19" s="1018">
        <f>C19/C$34</f>
        <v>6.5000000000000002E-2</v>
      </c>
      <c r="M19" s="1018">
        <f>F19/C$34</f>
        <v>1.95</v>
      </c>
    </row>
    <row r="20" spans="1:13" s="10" customFormat="1" ht="14.1" customHeight="1" x14ac:dyDescent="0.25">
      <c r="A20" s="180">
        <v>2</v>
      </c>
      <c r="B20" s="20" t="s">
        <v>353</v>
      </c>
      <c r="C20" s="21">
        <v>0.01</v>
      </c>
      <c r="D20" s="21">
        <v>8.0000000000000002E-3</v>
      </c>
      <c r="E20" s="408">
        <f>цены!F38</f>
        <v>50</v>
      </c>
      <c r="F20" s="408">
        <f>C20*E20</f>
        <v>0.5</v>
      </c>
      <c r="G20" s="97">
        <f t="shared" si="0"/>
        <v>0.1</v>
      </c>
      <c r="H20" s="21">
        <f t="shared" si="0"/>
        <v>0.08</v>
      </c>
      <c r="I20" s="21">
        <f t="shared" si="1"/>
        <v>1</v>
      </c>
      <c r="J20" s="21">
        <f t="shared" si="1"/>
        <v>0.8</v>
      </c>
      <c r="L20" s="1018">
        <f t="shared" ref="L20:L29" si="2">C20/C$34</f>
        <v>0.01</v>
      </c>
      <c r="M20" s="1018">
        <f t="shared" ref="M20:M29" si="3">F20/C$34</f>
        <v>0.5</v>
      </c>
    </row>
    <row r="21" spans="1:13" s="10" customFormat="1" ht="14.1" customHeight="1" x14ac:dyDescent="0.25">
      <c r="A21" s="180">
        <v>3</v>
      </c>
      <c r="B21" s="20" t="s">
        <v>47</v>
      </c>
      <c r="C21" s="21">
        <v>0.01</v>
      </c>
      <c r="D21" s="21">
        <v>8.0000000000000002E-3</v>
      </c>
      <c r="E21" s="408">
        <f>цены!F44</f>
        <v>50</v>
      </c>
      <c r="F21" s="408">
        <f>C21*E21</f>
        <v>0.5</v>
      </c>
      <c r="G21" s="97">
        <f t="shared" si="0"/>
        <v>0.1</v>
      </c>
      <c r="H21" s="21">
        <f t="shared" si="0"/>
        <v>0.08</v>
      </c>
      <c r="I21" s="21">
        <f t="shared" si="1"/>
        <v>1</v>
      </c>
      <c r="J21" s="21">
        <f t="shared" si="1"/>
        <v>0.8</v>
      </c>
      <c r="L21" s="1018">
        <f t="shared" si="2"/>
        <v>0.01</v>
      </c>
      <c r="M21" s="1018">
        <f t="shared" si="3"/>
        <v>0.5</v>
      </c>
    </row>
    <row r="22" spans="1:13" s="10" customFormat="1" ht="12" customHeight="1" x14ac:dyDescent="0.25">
      <c r="A22" s="180">
        <v>4</v>
      </c>
      <c r="B22" s="20" t="s">
        <v>46</v>
      </c>
      <c r="C22" s="21">
        <v>2E-3</v>
      </c>
      <c r="D22" s="21">
        <v>2E-3</v>
      </c>
      <c r="E22" s="408">
        <f>цены!F113</f>
        <v>230</v>
      </c>
      <c r="F22" s="408">
        <f>C22*E22</f>
        <v>0.46</v>
      </c>
      <c r="G22" s="97">
        <f t="shared" si="0"/>
        <v>0.02</v>
      </c>
      <c r="H22" s="21">
        <f t="shared" si="0"/>
        <v>0.02</v>
      </c>
      <c r="I22" s="21">
        <f t="shared" si="1"/>
        <v>0.2</v>
      </c>
      <c r="J22" s="21">
        <f t="shared" si="1"/>
        <v>0.2</v>
      </c>
      <c r="L22" s="1018">
        <f t="shared" si="2"/>
        <v>2E-3</v>
      </c>
      <c r="M22" s="1018">
        <f t="shared" si="3"/>
        <v>0.46</v>
      </c>
    </row>
    <row r="23" spans="1:13" s="10" customFormat="1" ht="12" customHeight="1" x14ac:dyDescent="0.25">
      <c r="A23" s="180">
        <v>5</v>
      </c>
      <c r="B23" s="20" t="s">
        <v>31</v>
      </c>
      <c r="C23" s="21">
        <v>2E-3</v>
      </c>
      <c r="D23" s="21">
        <v>2E-3</v>
      </c>
      <c r="E23" s="408">
        <f>цены!F21</f>
        <v>710</v>
      </c>
      <c r="F23" s="408">
        <f t="shared" ref="F23:F29" si="4">C23*E23</f>
        <v>1.42</v>
      </c>
      <c r="G23" s="97">
        <f t="shared" si="0"/>
        <v>0.02</v>
      </c>
      <c r="H23" s="21">
        <f t="shared" si="0"/>
        <v>0.02</v>
      </c>
      <c r="I23" s="21">
        <f t="shared" si="1"/>
        <v>0.2</v>
      </c>
      <c r="J23" s="21">
        <f t="shared" si="1"/>
        <v>0.2</v>
      </c>
      <c r="L23" s="1018">
        <f t="shared" si="2"/>
        <v>2E-3</v>
      </c>
      <c r="M23" s="1018">
        <f t="shared" si="3"/>
        <v>1.42</v>
      </c>
    </row>
    <row r="24" spans="1:13" s="10" customFormat="1" ht="12" customHeight="1" x14ac:dyDescent="0.25">
      <c r="A24" s="180">
        <v>6</v>
      </c>
      <c r="B24" s="20" t="s">
        <v>927</v>
      </c>
      <c r="C24" s="21">
        <v>8.9999999999999993E-3</v>
      </c>
      <c r="D24" s="21">
        <v>8.0000000000000002E-3</v>
      </c>
      <c r="E24" s="408">
        <f>цены!F30</f>
        <v>152.16999999999999</v>
      </c>
      <c r="F24" s="408">
        <f t="shared" si="4"/>
        <v>1.37</v>
      </c>
      <c r="G24" s="97">
        <f t="shared" si="0"/>
        <v>0.09</v>
      </c>
      <c r="H24" s="21">
        <f t="shared" si="0"/>
        <v>0.08</v>
      </c>
      <c r="I24" s="21">
        <f t="shared" si="1"/>
        <v>0.9</v>
      </c>
      <c r="J24" s="21">
        <f t="shared" si="1"/>
        <v>0.8</v>
      </c>
      <c r="L24" s="1018">
        <f t="shared" si="2"/>
        <v>8.9999999999999993E-3</v>
      </c>
      <c r="M24" s="1018">
        <f t="shared" si="3"/>
        <v>1.37</v>
      </c>
    </row>
    <row r="25" spans="1:13" s="10" customFormat="1" ht="12" customHeight="1" x14ac:dyDescent="0.25">
      <c r="A25" s="180">
        <v>7</v>
      </c>
      <c r="B25" s="20" t="s">
        <v>50</v>
      </c>
      <c r="C25" s="21">
        <v>0.04</v>
      </c>
      <c r="D25" s="21">
        <v>2.8000000000000001E-2</v>
      </c>
      <c r="E25" s="408">
        <f>цены!F35</f>
        <v>50</v>
      </c>
      <c r="F25" s="408">
        <f t="shared" si="4"/>
        <v>2</v>
      </c>
      <c r="G25" s="97">
        <f t="shared" si="0"/>
        <v>0.4</v>
      </c>
      <c r="H25" s="21">
        <f t="shared" si="0"/>
        <v>0.28000000000000003</v>
      </c>
      <c r="I25" s="21">
        <f t="shared" si="1"/>
        <v>4</v>
      </c>
      <c r="J25" s="21">
        <f t="shared" si="1"/>
        <v>2.8</v>
      </c>
      <c r="L25" s="1018">
        <f t="shared" si="2"/>
        <v>0.04</v>
      </c>
      <c r="M25" s="1018">
        <f t="shared" si="3"/>
        <v>2</v>
      </c>
    </row>
    <row r="26" spans="1:13" s="10" customFormat="1" ht="12" customHeight="1" x14ac:dyDescent="0.25">
      <c r="A26" s="180">
        <v>8</v>
      </c>
      <c r="B26" s="20" t="s">
        <v>141</v>
      </c>
      <c r="C26" s="21">
        <v>0.6</v>
      </c>
      <c r="D26" s="21">
        <v>0.6</v>
      </c>
      <c r="E26" s="408"/>
      <c r="F26" s="408">
        <f t="shared" si="4"/>
        <v>0</v>
      </c>
      <c r="G26" s="97">
        <f t="shared" si="0"/>
        <v>6</v>
      </c>
      <c r="H26" s="21">
        <f t="shared" si="0"/>
        <v>6</v>
      </c>
      <c r="I26" s="21">
        <f t="shared" si="1"/>
        <v>60</v>
      </c>
      <c r="J26" s="21">
        <f t="shared" si="1"/>
        <v>60</v>
      </c>
      <c r="L26" s="1018">
        <f t="shared" si="2"/>
        <v>0.6</v>
      </c>
      <c r="M26" s="1018">
        <f t="shared" si="3"/>
        <v>0</v>
      </c>
    </row>
    <row r="27" spans="1:13" s="10" customFormat="1" ht="12" customHeight="1" x14ac:dyDescent="0.25">
      <c r="A27" s="180">
        <v>9</v>
      </c>
      <c r="B27" s="20" t="s">
        <v>33</v>
      </c>
      <c r="C27" s="21">
        <v>2E-3</v>
      </c>
      <c r="D27" s="21">
        <v>2E-3</v>
      </c>
      <c r="E27" s="408">
        <f>цены!F110</f>
        <v>24</v>
      </c>
      <c r="F27" s="408">
        <f t="shared" si="4"/>
        <v>0.05</v>
      </c>
      <c r="G27" s="97">
        <f t="shared" si="0"/>
        <v>0.02</v>
      </c>
      <c r="H27" s="21">
        <f t="shared" si="0"/>
        <v>0.02</v>
      </c>
      <c r="I27" s="21">
        <f t="shared" si="1"/>
        <v>0.2</v>
      </c>
      <c r="J27" s="21">
        <f t="shared" si="1"/>
        <v>0.2</v>
      </c>
      <c r="L27" s="1018">
        <f t="shared" si="2"/>
        <v>2E-3</v>
      </c>
      <c r="M27" s="1018">
        <f t="shared" si="3"/>
        <v>0.05</v>
      </c>
    </row>
    <row r="28" spans="1:13" s="10" customFormat="1" ht="12" customHeight="1" x14ac:dyDescent="0.25">
      <c r="A28" s="180">
        <v>10</v>
      </c>
      <c r="B28" s="20" t="s">
        <v>51</v>
      </c>
      <c r="C28" s="21">
        <v>5.0000000000000001E-3</v>
      </c>
      <c r="D28" s="21">
        <v>5.0000000000000001E-3</v>
      </c>
      <c r="E28" s="408">
        <f>цены!F24</f>
        <v>234</v>
      </c>
      <c r="F28" s="408">
        <f t="shared" si="4"/>
        <v>1.17</v>
      </c>
      <c r="G28" s="97">
        <f t="shared" si="0"/>
        <v>0.05</v>
      </c>
      <c r="H28" s="21">
        <f t="shared" si="0"/>
        <v>0.05</v>
      </c>
      <c r="I28" s="21">
        <f t="shared" si="1"/>
        <v>0.5</v>
      </c>
      <c r="J28" s="21">
        <f t="shared" si="1"/>
        <v>0.5</v>
      </c>
      <c r="L28" s="1018">
        <f t="shared" si="2"/>
        <v>5.0000000000000001E-3</v>
      </c>
      <c r="M28" s="1018">
        <f t="shared" si="3"/>
        <v>1.17</v>
      </c>
    </row>
    <row r="29" spans="1:13" s="10" customFormat="1" ht="13.5" customHeight="1" x14ac:dyDescent="0.25">
      <c r="A29" s="180">
        <v>11</v>
      </c>
      <c r="B29" s="20" t="s">
        <v>78</v>
      </c>
      <c r="C29" s="21">
        <f>0.002*C34</f>
        <v>2E-3</v>
      </c>
      <c r="D29" s="21">
        <f>0.002*C34</f>
        <v>2E-3</v>
      </c>
      <c r="E29" s="408">
        <f>цены!F48</f>
        <v>300</v>
      </c>
      <c r="F29" s="408">
        <f t="shared" si="4"/>
        <v>0.6</v>
      </c>
      <c r="G29" s="97">
        <f t="shared" si="0"/>
        <v>0.02</v>
      </c>
      <c r="H29" s="21">
        <f t="shared" si="0"/>
        <v>0.02</v>
      </c>
      <c r="I29" s="21">
        <f t="shared" si="1"/>
        <v>0.2</v>
      </c>
      <c r="J29" s="21">
        <f t="shared" si="1"/>
        <v>0.2</v>
      </c>
      <c r="L29" s="1018">
        <f t="shared" si="2"/>
        <v>2E-3</v>
      </c>
      <c r="M29" s="1018">
        <f t="shared" si="3"/>
        <v>0.6</v>
      </c>
    </row>
    <row r="30" spans="1:13" s="10" customFormat="1" ht="12.75" customHeight="1" x14ac:dyDescent="0.25">
      <c r="A30" s="98"/>
      <c r="B30" s="93" t="s">
        <v>100</v>
      </c>
      <c r="C30" s="114"/>
      <c r="D30" s="100">
        <v>0.25</v>
      </c>
      <c r="E30" s="95"/>
      <c r="F30" s="95">
        <f>SUM(F19:F29)</f>
        <v>10.02</v>
      </c>
      <c r="G30" s="99"/>
      <c r="H30" s="100">
        <f>D30*10</f>
        <v>2.5</v>
      </c>
      <c r="I30" s="100"/>
      <c r="J30" s="100">
        <f>D30*100</f>
        <v>25</v>
      </c>
      <c r="L30" s="1018">
        <f>SUM(L19:L29)</f>
        <v>0.747</v>
      </c>
      <c r="M30" s="1018">
        <f>SUM(M19:M29)</f>
        <v>10.02</v>
      </c>
    </row>
    <row r="31" spans="1:13" s="10" customFormat="1" ht="22.35" customHeight="1" x14ac:dyDescent="0.25">
      <c r="A31" s="1536" t="s">
        <v>35</v>
      </c>
      <c r="B31" s="1536"/>
      <c r="C31" s="90"/>
      <c r="D31" s="90"/>
      <c r="E31" s="408"/>
      <c r="F31" s="408">
        <f>F30</f>
        <v>10.02</v>
      </c>
      <c r="G31" s="740"/>
      <c r="H31" s="740"/>
      <c r="I31" s="21"/>
      <c r="J31" s="408"/>
    </row>
    <row r="32" spans="1:13" s="10" customFormat="1" ht="25.35" customHeight="1" x14ac:dyDescent="0.25">
      <c r="A32" s="1536" t="s">
        <v>36</v>
      </c>
      <c r="B32" s="1536"/>
      <c r="C32" s="866">
        <v>250</v>
      </c>
      <c r="D32" s="90"/>
      <c r="E32" s="408"/>
      <c r="F32" s="408"/>
      <c r="G32" s="408"/>
      <c r="H32" s="408"/>
      <c r="I32" s="21"/>
      <c r="J32" s="17"/>
    </row>
    <row r="33" spans="1:10" s="10" customFormat="1" ht="25.35" customHeight="1" x14ac:dyDescent="0.25">
      <c r="A33" s="1537" t="s">
        <v>37</v>
      </c>
      <c r="B33" s="1538"/>
      <c r="C33" s="1071">
        <v>250</v>
      </c>
      <c r="D33" s="92"/>
      <c r="E33" s="741"/>
      <c r="F33" s="741"/>
      <c r="G33" s="741"/>
      <c r="H33" s="741"/>
      <c r="I33" s="21"/>
      <c r="J33" s="17"/>
    </row>
    <row r="34" spans="1:10" s="10" customFormat="1" ht="15" customHeight="1" x14ac:dyDescent="0.25">
      <c r="A34" s="1539" t="s">
        <v>38</v>
      </c>
      <c r="B34" s="1540"/>
      <c r="C34" s="245">
        <f>C32/C33</f>
        <v>1</v>
      </c>
      <c r="D34" s="92"/>
      <c r="E34" s="741"/>
      <c r="F34" s="741"/>
      <c r="G34" s="741"/>
      <c r="H34" s="741"/>
      <c r="I34" s="21"/>
      <c r="J34" s="17"/>
    </row>
    <row r="35" spans="1:10" ht="16.350000000000001" customHeight="1" x14ac:dyDescent="0.25">
      <c r="A35" s="1541" t="s">
        <v>39</v>
      </c>
      <c r="B35" s="1542"/>
      <c r="C35" s="15" t="s">
        <v>40</v>
      </c>
      <c r="D35" s="102"/>
      <c r="E35" s="102" t="s">
        <v>40</v>
      </c>
      <c r="F35" s="16">
        <f>F31/C34</f>
        <v>10.02</v>
      </c>
      <c r="G35" s="16"/>
      <c r="H35" s="16"/>
      <c r="I35" s="102" t="s">
        <v>40</v>
      </c>
      <c r="J35" s="102" t="s">
        <v>40</v>
      </c>
    </row>
    <row r="36" spans="1:10" ht="13.35" customHeight="1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193"/>
      <c r="B37" s="1194" t="s">
        <v>49</v>
      </c>
      <c r="C37" s="1198"/>
      <c r="D37" s="1198"/>
      <c r="E37" s="1198"/>
      <c r="F37" s="1198"/>
      <c r="G37" s="1193"/>
      <c r="H37" s="1558">
        <f>'1-бутерброд с маслом'!$H$28</f>
        <v>0</v>
      </c>
      <c r="I37" s="1558"/>
      <c r="J37" s="1558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545" t="s">
        <v>327</v>
      </c>
      <c r="B39" s="1545"/>
      <c r="C39" s="1546" t="s">
        <v>328</v>
      </c>
      <c r="D39" s="1546"/>
      <c r="E39" s="1546"/>
      <c r="F39" s="1546"/>
      <c r="G39" s="106"/>
      <c r="H39" s="1531"/>
      <c r="I39" s="1531"/>
      <c r="J39" s="1531"/>
    </row>
    <row r="40" spans="1:10" x14ac:dyDescent="0.25">
      <c r="A40" s="1193"/>
      <c r="B40" s="1193"/>
      <c r="C40" s="1546"/>
      <c r="D40" s="1546"/>
      <c r="E40" s="1546"/>
      <c r="F40" s="1546"/>
      <c r="G40" s="1193"/>
      <c r="H40" s="1531" t="s">
        <v>329</v>
      </c>
      <c r="I40" s="1531"/>
      <c r="J40" s="1531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37:J37"/>
    <mergeCell ref="A13:G13"/>
    <mergeCell ref="A32:B32"/>
    <mergeCell ref="A33:B33"/>
    <mergeCell ref="A34:B34"/>
    <mergeCell ref="A35:B35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9:B39"/>
    <mergeCell ref="C39:F40"/>
    <mergeCell ref="H39:J39"/>
    <mergeCell ref="H40:J40"/>
    <mergeCell ref="H5:I5"/>
    <mergeCell ref="A6:G6"/>
    <mergeCell ref="A7:I7"/>
    <mergeCell ref="A31:B31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FED77"/>
  </sheetPr>
  <dimension ref="A1:M44"/>
  <sheetViews>
    <sheetView view="pageBreakPreview" topLeftCell="A3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570" customWidth="1"/>
    <col min="2" max="2" width="23.109375" style="570" customWidth="1"/>
    <col min="3" max="7" width="7.5546875" style="570" customWidth="1"/>
    <col min="8" max="8" width="8.88671875" style="570" customWidth="1"/>
    <col min="9" max="9" width="7.5546875" style="570" customWidth="1"/>
    <col min="10" max="10" width="9" style="570" customWidth="1"/>
    <col min="11" max="11" width="4.5546875" style="570" customWidth="1"/>
    <col min="12" max="16384" width="8.88671875" style="570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53)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571"/>
      <c r="I6" s="571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87</v>
      </c>
    </row>
    <row r="8" spans="1:10" s="2" customFormat="1" ht="9.6" customHeight="1" x14ac:dyDescent="0.25">
      <c r="A8" s="572"/>
      <c r="B8" s="572"/>
      <c r="C8" s="572"/>
      <c r="D8" s="572"/>
      <c r="E8" s="572"/>
      <c r="F8" s="572"/>
      <c r="G8" s="572"/>
      <c r="H8" s="572"/>
      <c r="I8" s="572"/>
      <c r="J8" s="109"/>
    </row>
    <row r="9" spans="1:10" s="2" customFormat="1" ht="26.1" customHeight="1" x14ac:dyDescent="0.3">
      <c r="A9" s="1550" t="s">
        <v>847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'бн-свекольник'!H14+1</f>
        <v>53</v>
      </c>
      <c r="I14" s="1534">
        <v>44986</v>
      </c>
      <c r="J14" s="1535"/>
    </row>
    <row r="15" spans="1:10" s="2" customFormat="1" ht="13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573" t="s">
        <v>92</v>
      </c>
      <c r="D17" s="573" t="s">
        <v>94</v>
      </c>
      <c r="E17" s="573" t="s">
        <v>93</v>
      </c>
      <c r="F17" s="573" t="s">
        <v>23</v>
      </c>
      <c r="G17" s="573" t="s">
        <v>92</v>
      </c>
      <c r="H17" s="573" t="s">
        <v>94</v>
      </c>
      <c r="I17" s="573" t="s">
        <v>92</v>
      </c>
      <c r="J17" s="573" t="s">
        <v>94</v>
      </c>
    </row>
    <row r="18" spans="1:13" ht="9.6" customHeight="1" x14ac:dyDescent="0.25">
      <c r="A18" s="573">
        <v>1</v>
      </c>
      <c r="B18" s="574">
        <v>2</v>
      </c>
      <c r="C18" s="573">
        <v>3</v>
      </c>
      <c r="D18" s="574">
        <v>4</v>
      </c>
      <c r="E18" s="573">
        <v>5</v>
      </c>
      <c r="F18" s="574">
        <v>6</v>
      </c>
      <c r="G18" s="573">
        <v>7</v>
      </c>
      <c r="H18" s="574">
        <v>8</v>
      </c>
      <c r="I18" s="573">
        <v>9</v>
      </c>
      <c r="J18" s="574">
        <v>10</v>
      </c>
    </row>
    <row r="19" spans="1:13" s="10" customFormat="1" ht="14.1" customHeight="1" x14ac:dyDescent="0.25">
      <c r="A19" s="180">
        <v>1</v>
      </c>
      <c r="B19" s="20" t="s">
        <v>483</v>
      </c>
      <c r="C19" s="21">
        <v>0.35</v>
      </c>
      <c r="D19" s="21">
        <v>0.28000000000000003</v>
      </c>
      <c r="E19" s="408">
        <f>цены!F33</f>
        <v>53</v>
      </c>
      <c r="F19" s="408">
        <f>C19*E19</f>
        <v>18.55</v>
      </c>
      <c r="G19" s="97">
        <f t="shared" ref="G19:H29" si="0">C19*10</f>
        <v>3.5</v>
      </c>
      <c r="H19" s="21">
        <f t="shared" si="0"/>
        <v>2.8</v>
      </c>
      <c r="I19" s="21">
        <f t="shared" ref="I19:J29" si="1">C19*100</f>
        <v>35</v>
      </c>
      <c r="J19" s="21">
        <f t="shared" si="1"/>
        <v>28</v>
      </c>
      <c r="L19" s="1018">
        <f>C19/C$34</f>
        <v>8.7499999999999994E-2</v>
      </c>
      <c r="M19" s="1018">
        <f>F19/C$34</f>
        <v>4.6375000000000002</v>
      </c>
    </row>
    <row r="20" spans="1:13" s="10" customFormat="1" ht="14.1" customHeight="1" x14ac:dyDescent="0.25">
      <c r="A20" s="180">
        <v>2</v>
      </c>
      <c r="B20" s="20" t="s">
        <v>47</v>
      </c>
      <c r="C20" s="21">
        <v>0.05</v>
      </c>
      <c r="D20" s="21">
        <v>0.04</v>
      </c>
      <c r="E20" s="408">
        <f>цены!F44</f>
        <v>50</v>
      </c>
      <c r="F20" s="408">
        <f>C20*E20</f>
        <v>2.5</v>
      </c>
      <c r="G20" s="97">
        <f t="shared" si="0"/>
        <v>0.5</v>
      </c>
      <c r="H20" s="21">
        <f t="shared" si="0"/>
        <v>0.4</v>
      </c>
      <c r="I20" s="21">
        <f t="shared" si="1"/>
        <v>5</v>
      </c>
      <c r="J20" s="21">
        <f t="shared" si="1"/>
        <v>4</v>
      </c>
      <c r="L20" s="1018">
        <f t="shared" ref="L20:L29" si="2">C20/C$34</f>
        <v>1.2500000000000001E-2</v>
      </c>
      <c r="M20" s="1018">
        <f t="shared" ref="M20:M29" si="3">F20/C$34</f>
        <v>0.625</v>
      </c>
    </row>
    <row r="21" spans="1:13" s="10" customFormat="1" ht="14.1" customHeight="1" x14ac:dyDescent="0.25">
      <c r="A21" s="180">
        <v>3</v>
      </c>
      <c r="B21" s="20" t="s">
        <v>102</v>
      </c>
      <c r="C21" s="21">
        <v>1.2999999999999999E-2</v>
      </c>
      <c r="D21" s="21">
        <v>0.01</v>
      </c>
      <c r="E21" s="408">
        <f>цены!F47</f>
        <v>300</v>
      </c>
      <c r="F21" s="408">
        <f>C21*E21</f>
        <v>3.9</v>
      </c>
      <c r="G21" s="97">
        <f t="shared" si="0"/>
        <v>0.13</v>
      </c>
      <c r="H21" s="21">
        <f t="shared" si="0"/>
        <v>0.1</v>
      </c>
      <c r="I21" s="21">
        <f t="shared" si="1"/>
        <v>1.3</v>
      </c>
      <c r="J21" s="21">
        <f t="shared" si="1"/>
        <v>1</v>
      </c>
      <c r="L21" s="1018">
        <f t="shared" si="2"/>
        <v>3.3E-3</v>
      </c>
      <c r="M21" s="1018">
        <f t="shared" si="3"/>
        <v>0.97499999999999998</v>
      </c>
    </row>
    <row r="22" spans="1:13" s="10" customFormat="1" ht="12" customHeight="1" x14ac:dyDescent="0.25">
      <c r="A22" s="180">
        <v>4</v>
      </c>
      <c r="B22" s="20" t="s">
        <v>48</v>
      </c>
      <c r="C22" s="21">
        <v>4.8000000000000001E-2</v>
      </c>
      <c r="D22" s="21">
        <v>0.04</v>
      </c>
      <c r="E22" s="408">
        <f>цены!F38</f>
        <v>50</v>
      </c>
      <c r="F22" s="408">
        <f>C22*E22</f>
        <v>2.4</v>
      </c>
      <c r="G22" s="97">
        <f t="shared" si="0"/>
        <v>0.48</v>
      </c>
      <c r="H22" s="21">
        <f t="shared" si="0"/>
        <v>0.4</v>
      </c>
      <c r="I22" s="21">
        <f t="shared" si="1"/>
        <v>4.8</v>
      </c>
      <c r="J22" s="21">
        <f t="shared" si="1"/>
        <v>4</v>
      </c>
      <c r="L22" s="1018">
        <f t="shared" si="2"/>
        <v>1.2E-2</v>
      </c>
      <c r="M22" s="1018">
        <f t="shared" si="3"/>
        <v>0.6</v>
      </c>
    </row>
    <row r="23" spans="1:13" s="10" customFormat="1" ht="12" customHeight="1" x14ac:dyDescent="0.25">
      <c r="A23" s="180">
        <v>5</v>
      </c>
      <c r="B23" s="20" t="s">
        <v>46</v>
      </c>
      <c r="C23" s="21">
        <v>6.0000000000000001E-3</v>
      </c>
      <c r="D23" s="21">
        <v>6.0000000000000001E-3</v>
      </c>
      <c r="E23" s="408">
        <f>цены!F113</f>
        <v>230</v>
      </c>
      <c r="F23" s="408">
        <f t="shared" ref="F23:F29" si="4">C23*E23</f>
        <v>1.38</v>
      </c>
      <c r="G23" s="97">
        <f t="shared" si="0"/>
        <v>0.06</v>
      </c>
      <c r="H23" s="21">
        <f t="shared" si="0"/>
        <v>0.06</v>
      </c>
      <c r="I23" s="21">
        <f t="shared" si="1"/>
        <v>0.6</v>
      </c>
      <c r="J23" s="21">
        <f t="shared" si="1"/>
        <v>0.6</v>
      </c>
      <c r="L23" s="1018">
        <f t="shared" si="2"/>
        <v>1.5E-3</v>
      </c>
      <c r="M23" s="1018">
        <f t="shared" si="3"/>
        <v>0.34499999999999997</v>
      </c>
    </row>
    <row r="24" spans="1:13" s="10" customFormat="1" ht="12" customHeight="1" x14ac:dyDescent="0.25">
      <c r="A24" s="180">
        <v>6</v>
      </c>
      <c r="B24" s="20" t="s">
        <v>45</v>
      </c>
      <c r="C24" s="21">
        <v>0.01</v>
      </c>
      <c r="D24" s="21">
        <v>0.01</v>
      </c>
      <c r="E24" s="408">
        <f>цены!F74</f>
        <v>36</v>
      </c>
      <c r="F24" s="408">
        <f t="shared" si="4"/>
        <v>0.36</v>
      </c>
      <c r="G24" s="97">
        <f t="shared" si="0"/>
        <v>0.1</v>
      </c>
      <c r="H24" s="21">
        <f t="shared" si="0"/>
        <v>0.1</v>
      </c>
      <c r="I24" s="21">
        <f t="shared" si="1"/>
        <v>1</v>
      </c>
      <c r="J24" s="21">
        <f t="shared" si="1"/>
        <v>1</v>
      </c>
      <c r="L24" s="1018">
        <f t="shared" si="2"/>
        <v>2.5000000000000001E-3</v>
      </c>
      <c r="M24" s="1018">
        <f t="shared" si="3"/>
        <v>0.09</v>
      </c>
    </row>
    <row r="25" spans="1:13" s="10" customFormat="1" ht="12" customHeight="1" x14ac:dyDescent="0.25">
      <c r="A25" s="180">
        <v>7</v>
      </c>
      <c r="B25" s="20" t="s">
        <v>74</v>
      </c>
      <c r="C25" s="21">
        <v>0.02</v>
      </c>
      <c r="D25" s="21">
        <v>0.02</v>
      </c>
      <c r="E25" s="408">
        <f>цены!F87</f>
        <v>120</v>
      </c>
      <c r="F25" s="408">
        <f t="shared" si="4"/>
        <v>2.4</v>
      </c>
      <c r="G25" s="97">
        <f t="shared" si="0"/>
        <v>0.2</v>
      </c>
      <c r="H25" s="21">
        <f t="shared" si="0"/>
        <v>0.2</v>
      </c>
      <c r="I25" s="21">
        <f t="shared" si="1"/>
        <v>2</v>
      </c>
      <c r="J25" s="21">
        <f t="shared" si="1"/>
        <v>2</v>
      </c>
      <c r="L25" s="1018">
        <f t="shared" si="2"/>
        <v>5.0000000000000001E-3</v>
      </c>
      <c r="M25" s="1018">
        <f t="shared" si="3"/>
        <v>0.6</v>
      </c>
    </row>
    <row r="26" spans="1:13" s="10" customFormat="1" ht="12" customHeight="1" x14ac:dyDescent="0.25">
      <c r="A26" s="180">
        <v>8</v>
      </c>
      <c r="B26" s="20" t="s">
        <v>141</v>
      </c>
      <c r="C26" s="21">
        <v>0.8</v>
      </c>
      <c r="D26" s="21">
        <v>0.8</v>
      </c>
      <c r="E26" s="408"/>
      <c r="F26" s="408">
        <f t="shared" si="4"/>
        <v>0</v>
      </c>
      <c r="G26" s="97">
        <f t="shared" si="0"/>
        <v>8</v>
      </c>
      <c r="H26" s="21">
        <f t="shared" si="0"/>
        <v>8</v>
      </c>
      <c r="I26" s="21">
        <f t="shared" si="1"/>
        <v>80</v>
      </c>
      <c r="J26" s="21">
        <f t="shared" si="1"/>
        <v>80</v>
      </c>
      <c r="L26" s="1018">
        <f t="shared" si="2"/>
        <v>0.2</v>
      </c>
      <c r="M26" s="1018">
        <f t="shared" si="3"/>
        <v>0</v>
      </c>
    </row>
    <row r="27" spans="1:13" s="10" customFormat="1" ht="12" customHeight="1" x14ac:dyDescent="0.25">
      <c r="A27" s="180">
        <v>9</v>
      </c>
      <c r="B27" s="20" t="s">
        <v>33</v>
      </c>
      <c r="C27" s="21">
        <v>0.01</v>
      </c>
      <c r="D27" s="21">
        <v>0.01</v>
      </c>
      <c r="E27" s="408">
        <f>цены!F110</f>
        <v>24</v>
      </c>
      <c r="F27" s="408">
        <f t="shared" si="4"/>
        <v>0.24</v>
      </c>
      <c r="G27" s="97">
        <f t="shared" si="0"/>
        <v>0.1</v>
      </c>
      <c r="H27" s="21">
        <f t="shared" si="0"/>
        <v>0.1</v>
      </c>
      <c r="I27" s="21">
        <f t="shared" si="1"/>
        <v>1</v>
      </c>
      <c r="J27" s="21">
        <f t="shared" si="1"/>
        <v>1</v>
      </c>
      <c r="L27" s="1018">
        <f t="shared" si="2"/>
        <v>2.5000000000000001E-3</v>
      </c>
      <c r="M27" s="1018">
        <f t="shared" si="3"/>
        <v>0.06</v>
      </c>
    </row>
    <row r="28" spans="1:13" s="10" customFormat="1" ht="12" customHeight="1" x14ac:dyDescent="0.25">
      <c r="A28" s="180">
        <v>10</v>
      </c>
      <c r="B28" s="20" t="s">
        <v>51</v>
      </c>
      <c r="C28" s="21">
        <v>0.02</v>
      </c>
      <c r="D28" s="21">
        <v>0.02</v>
      </c>
      <c r="E28" s="408">
        <f>цены!F24</f>
        <v>234</v>
      </c>
      <c r="F28" s="408">
        <f t="shared" si="4"/>
        <v>4.68</v>
      </c>
      <c r="G28" s="97">
        <f t="shared" si="0"/>
        <v>0.2</v>
      </c>
      <c r="H28" s="21">
        <f t="shared" si="0"/>
        <v>0.2</v>
      </c>
      <c r="I28" s="21">
        <f t="shared" si="1"/>
        <v>2</v>
      </c>
      <c r="J28" s="21">
        <f t="shared" si="1"/>
        <v>2</v>
      </c>
      <c r="L28" s="1018">
        <f t="shared" si="2"/>
        <v>5.0000000000000001E-3</v>
      </c>
      <c r="M28" s="1018">
        <f t="shared" si="3"/>
        <v>1.17</v>
      </c>
    </row>
    <row r="29" spans="1:13" s="10" customFormat="1" ht="12" customHeight="1" x14ac:dyDescent="0.25">
      <c r="A29" s="180">
        <v>11</v>
      </c>
      <c r="B29" s="20" t="s">
        <v>78</v>
      </c>
      <c r="C29" s="21">
        <f>0.002*C34</f>
        <v>8.0000000000000002E-3</v>
      </c>
      <c r="D29" s="21">
        <f>0.002*C34</f>
        <v>8.0000000000000002E-3</v>
      </c>
      <c r="E29" s="408">
        <f>цены!F48</f>
        <v>300</v>
      </c>
      <c r="F29" s="408">
        <f t="shared" si="4"/>
        <v>2.4</v>
      </c>
      <c r="G29" s="97">
        <f t="shared" si="0"/>
        <v>0.08</v>
      </c>
      <c r="H29" s="21">
        <f t="shared" si="0"/>
        <v>0.08</v>
      </c>
      <c r="I29" s="21">
        <f t="shared" si="1"/>
        <v>0.8</v>
      </c>
      <c r="J29" s="21">
        <f t="shared" si="1"/>
        <v>0.8</v>
      </c>
      <c r="L29" s="1018">
        <f t="shared" si="2"/>
        <v>2E-3</v>
      </c>
      <c r="M29" s="1018">
        <f t="shared" si="3"/>
        <v>0.6</v>
      </c>
    </row>
    <row r="30" spans="1:13" s="10" customFormat="1" ht="12" customHeight="1" x14ac:dyDescent="0.25">
      <c r="A30" s="98"/>
      <c r="B30" s="93" t="s">
        <v>100</v>
      </c>
      <c r="C30" s="114"/>
      <c r="D30" s="100">
        <v>1</v>
      </c>
      <c r="E30" s="95"/>
      <c r="F30" s="95">
        <f>SUM(F19:F29)</f>
        <v>38.81</v>
      </c>
      <c r="G30" s="99"/>
      <c r="H30" s="100">
        <f>D30*10</f>
        <v>10</v>
      </c>
      <c r="I30" s="100"/>
      <c r="J30" s="100">
        <f>D30*100</f>
        <v>100</v>
      </c>
      <c r="L30" s="1018">
        <f>SUM(L19:L29)</f>
        <v>0.33379999999999999</v>
      </c>
      <c r="M30" s="1018">
        <f>SUM(M19:M29)</f>
        <v>9.7025000000000006</v>
      </c>
    </row>
    <row r="31" spans="1:13" s="10" customFormat="1" ht="22.35" customHeight="1" x14ac:dyDescent="0.25">
      <c r="A31" s="1536" t="s">
        <v>35</v>
      </c>
      <c r="B31" s="1536"/>
      <c r="C31" s="90"/>
      <c r="D31" s="90"/>
      <c r="E31" s="408"/>
      <c r="F31" s="408">
        <f>F30</f>
        <v>38.81</v>
      </c>
      <c r="G31" s="575"/>
      <c r="H31" s="575"/>
      <c r="I31" s="21"/>
      <c r="J31" s="408"/>
    </row>
    <row r="32" spans="1:13" s="10" customFormat="1" ht="25.35" customHeight="1" x14ac:dyDescent="0.25">
      <c r="A32" s="1536" t="s">
        <v>36</v>
      </c>
      <c r="B32" s="1536"/>
      <c r="C32" s="866">
        <v>1000</v>
      </c>
      <c r="D32" s="90"/>
      <c r="E32" s="408"/>
      <c r="F32" s="408"/>
      <c r="G32" s="408"/>
      <c r="H32" s="408"/>
      <c r="I32" s="21"/>
      <c r="J32" s="17"/>
    </row>
    <row r="33" spans="1:10" s="10" customFormat="1" ht="25.35" customHeight="1" x14ac:dyDescent="0.25">
      <c r="A33" s="1537" t="s">
        <v>37</v>
      </c>
      <c r="B33" s="1538"/>
      <c r="C33" s="1071">
        <v>250</v>
      </c>
      <c r="D33" s="92"/>
      <c r="E33" s="574"/>
      <c r="F33" s="574"/>
      <c r="G33" s="574"/>
      <c r="H33" s="574"/>
      <c r="I33" s="21"/>
      <c r="J33" s="17"/>
    </row>
    <row r="34" spans="1:10" s="10" customFormat="1" ht="15" customHeight="1" x14ac:dyDescent="0.25">
      <c r="A34" s="1539" t="s">
        <v>38</v>
      </c>
      <c r="B34" s="1540"/>
      <c r="C34" s="245">
        <f>C32/C33</f>
        <v>4</v>
      </c>
      <c r="D34" s="92"/>
      <c r="E34" s="574"/>
      <c r="F34" s="574"/>
      <c r="G34" s="574"/>
      <c r="H34" s="574"/>
      <c r="I34" s="21"/>
      <c r="J34" s="17"/>
    </row>
    <row r="35" spans="1:10" ht="16.350000000000001" customHeight="1" x14ac:dyDescent="0.25">
      <c r="A35" s="1541" t="s">
        <v>39</v>
      </c>
      <c r="B35" s="1542"/>
      <c r="C35" s="15" t="s">
        <v>40</v>
      </c>
      <c r="D35" s="102"/>
      <c r="E35" s="102" t="s">
        <v>40</v>
      </c>
      <c r="F35" s="16">
        <f>F31/C34</f>
        <v>9.6999999999999993</v>
      </c>
      <c r="G35" s="16"/>
      <c r="H35" s="16"/>
      <c r="I35" s="102" t="s">
        <v>40</v>
      </c>
      <c r="J35" s="102" t="s">
        <v>40</v>
      </c>
    </row>
    <row r="36" spans="1:10" ht="13.35" customHeight="1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193"/>
      <c r="B37" s="1194" t="s">
        <v>49</v>
      </c>
      <c r="C37" s="1198"/>
      <c r="D37" s="1198"/>
      <c r="E37" s="1198"/>
      <c r="F37" s="1198"/>
      <c r="G37" s="1193"/>
      <c r="H37" s="1556">
        <f>'1-бутерброд с маслом'!$H$28</f>
        <v>0</v>
      </c>
      <c r="I37" s="1556"/>
      <c r="J37" s="1556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545" t="s">
        <v>327</v>
      </c>
      <c r="B39" s="1545"/>
      <c r="C39" s="1546" t="s">
        <v>328</v>
      </c>
      <c r="D39" s="1546"/>
      <c r="E39" s="1546"/>
      <c r="F39" s="1546"/>
      <c r="G39" s="106"/>
      <c r="H39" s="1531"/>
      <c r="I39" s="1531"/>
      <c r="J39" s="1531"/>
    </row>
    <row r="40" spans="1:10" x14ac:dyDescent="0.25">
      <c r="A40" s="1193"/>
      <c r="B40" s="1193"/>
      <c r="C40" s="1546"/>
      <c r="D40" s="1546"/>
      <c r="E40" s="1546"/>
      <c r="F40" s="1546"/>
      <c r="G40" s="1193"/>
      <c r="H40" s="1531" t="s">
        <v>329</v>
      </c>
      <c r="I40" s="1531"/>
      <c r="J40" s="1531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9:B39"/>
    <mergeCell ref="C39:F40"/>
    <mergeCell ref="H39:J39"/>
    <mergeCell ref="H40:J40"/>
    <mergeCell ref="A32:B32"/>
    <mergeCell ref="A33:B33"/>
    <mergeCell ref="A34:B34"/>
    <mergeCell ref="A35:B35"/>
    <mergeCell ref="H37:J37"/>
    <mergeCell ref="A31:B31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FED77"/>
  </sheetPr>
  <dimension ref="A1:M44"/>
  <sheetViews>
    <sheetView view="pageBreakPreview" topLeftCell="A6" zoomScale="110" zoomScaleNormal="100" zoomScaleSheetLayoutView="110" workbookViewId="0">
      <selection activeCell="A9" sqref="A9:J9"/>
    </sheetView>
  </sheetViews>
  <sheetFormatPr defaultColWidth="8.88671875" defaultRowHeight="13.8" x14ac:dyDescent="0.25"/>
  <cols>
    <col min="1" max="1" width="4.109375" style="570" customWidth="1"/>
    <col min="2" max="2" width="23.109375" style="570" customWidth="1"/>
    <col min="3" max="7" width="7.5546875" style="570" customWidth="1"/>
    <col min="8" max="8" width="8.88671875" style="570" customWidth="1"/>
    <col min="9" max="9" width="7.5546875" style="570" customWidth="1"/>
    <col min="10" max="10" width="9" style="570" customWidth="1"/>
    <col min="11" max="11" width="3.6640625" style="570" customWidth="1"/>
    <col min="12" max="16384" width="8.88671875" style="570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54)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571"/>
      <c r="I6" s="571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88</v>
      </c>
    </row>
    <row r="8" spans="1:10" s="2" customFormat="1" ht="9.6" customHeight="1" x14ac:dyDescent="0.25">
      <c r="A8" s="572"/>
      <c r="B8" s="572"/>
      <c r="C8" s="572"/>
      <c r="D8" s="572"/>
      <c r="E8" s="572"/>
      <c r="F8" s="572"/>
      <c r="G8" s="572"/>
      <c r="H8" s="572"/>
      <c r="I8" s="572"/>
      <c r="J8" s="109"/>
    </row>
    <row r="9" spans="1:10" s="2" customFormat="1" ht="26.1" customHeight="1" x14ac:dyDescent="0.3">
      <c r="A9" s="1550" t="s">
        <v>848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'87-щи из капусты'!H14+1</f>
        <v>54</v>
      </c>
      <c r="I14" s="1534">
        <v>44986</v>
      </c>
      <c r="J14" s="1535"/>
    </row>
    <row r="15" spans="1:10" s="2" customFormat="1" ht="13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573" t="s">
        <v>92</v>
      </c>
      <c r="D17" s="573" t="s">
        <v>94</v>
      </c>
      <c r="E17" s="573" t="s">
        <v>93</v>
      </c>
      <c r="F17" s="573" t="s">
        <v>23</v>
      </c>
      <c r="G17" s="573" t="s">
        <v>92</v>
      </c>
      <c r="H17" s="573" t="s">
        <v>94</v>
      </c>
      <c r="I17" s="573" t="s">
        <v>92</v>
      </c>
      <c r="J17" s="573" t="s">
        <v>94</v>
      </c>
    </row>
    <row r="18" spans="1:13" ht="9.6" customHeight="1" x14ac:dyDescent="0.25">
      <c r="A18" s="573">
        <v>1</v>
      </c>
      <c r="B18" s="574">
        <v>2</v>
      </c>
      <c r="C18" s="573">
        <v>3</v>
      </c>
      <c r="D18" s="574">
        <v>4</v>
      </c>
      <c r="E18" s="573">
        <v>5</v>
      </c>
      <c r="F18" s="574">
        <v>6</v>
      </c>
      <c r="G18" s="573">
        <v>7</v>
      </c>
      <c r="H18" s="574">
        <v>8</v>
      </c>
      <c r="I18" s="573">
        <v>9</v>
      </c>
      <c r="J18" s="574">
        <v>10</v>
      </c>
    </row>
    <row r="19" spans="1:13" s="10" customFormat="1" ht="14.1" customHeight="1" x14ac:dyDescent="0.25">
      <c r="A19" s="180">
        <v>1</v>
      </c>
      <c r="B19" s="20" t="s">
        <v>483</v>
      </c>
      <c r="C19" s="21">
        <v>0.25</v>
      </c>
      <c r="D19" s="21">
        <v>0.2</v>
      </c>
      <c r="E19" s="408">
        <f>цены!F33</f>
        <v>53</v>
      </c>
      <c r="F19" s="408">
        <f>C19*E19</f>
        <v>13.25</v>
      </c>
      <c r="G19" s="97">
        <f t="shared" ref="G19:H29" si="0">C19*10</f>
        <v>2.5</v>
      </c>
      <c r="H19" s="21">
        <f t="shared" si="0"/>
        <v>2</v>
      </c>
      <c r="I19" s="21">
        <f t="shared" ref="I19:J29" si="1">C19*100</f>
        <v>25</v>
      </c>
      <c r="J19" s="21">
        <f t="shared" si="1"/>
        <v>20</v>
      </c>
      <c r="L19" s="1018">
        <f>C19/C$34</f>
        <v>6.25E-2</v>
      </c>
      <c r="M19" s="1018">
        <f>F19/C$34</f>
        <v>3.3125</v>
      </c>
    </row>
    <row r="20" spans="1:13" s="10" customFormat="1" ht="14.1" customHeight="1" x14ac:dyDescent="0.25">
      <c r="A20" s="180">
        <v>2</v>
      </c>
      <c r="B20" s="20" t="s">
        <v>50</v>
      </c>
      <c r="C20" s="21">
        <v>0.16</v>
      </c>
      <c r="D20" s="21">
        <v>0.12</v>
      </c>
      <c r="E20" s="408">
        <f>цены!F35</f>
        <v>50</v>
      </c>
      <c r="F20" s="408">
        <f>C20*E20</f>
        <v>8</v>
      </c>
      <c r="G20" s="97">
        <f t="shared" si="0"/>
        <v>1.6</v>
      </c>
      <c r="H20" s="21">
        <f t="shared" si="0"/>
        <v>1.2</v>
      </c>
      <c r="I20" s="21">
        <f t="shared" si="1"/>
        <v>16</v>
      </c>
      <c r="J20" s="21">
        <f t="shared" si="1"/>
        <v>12</v>
      </c>
      <c r="L20" s="1018">
        <f t="shared" ref="L20:L29" si="2">C20/C$34</f>
        <v>0.04</v>
      </c>
      <c r="M20" s="1018">
        <f t="shared" ref="M20:M29" si="3">F20/C$34</f>
        <v>2</v>
      </c>
    </row>
    <row r="21" spans="1:13" s="10" customFormat="1" ht="14.1" customHeight="1" x14ac:dyDescent="0.25">
      <c r="A21" s="180">
        <v>3</v>
      </c>
      <c r="B21" s="20" t="s">
        <v>47</v>
      </c>
      <c r="C21" s="21">
        <v>0.05</v>
      </c>
      <c r="D21" s="21">
        <v>0.04</v>
      </c>
      <c r="E21" s="408">
        <f>цены!F44</f>
        <v>50</v>
      </c>
      <c r="F21" s="408">
        <f>C21*E21</f>
        <v>2.5</v>
      </c>
      <c r="G21" s="97">
        <f>C21*10</f>
        <v>0.5</v>
      </c>
      <c r="H21" s="21">
        <f>D21*10</f>
        <v>0.4</v>
      </c>
      <c r="I21" s="21">
        <f>C21*100</f>
        <v>5</v>
      </c>
      <c r="J21" s="21">
        <f>D21*100</f>
        <v>4</v>
      </c>
      <c r="L21" s="1018">
        <f t="shared" si="2"/>
        <v>1.2500000000000001E-2</v>
      </c>
      <c r="M21" s="1018">
        <f t="shared" si="3"/>
        <v>0.625</v>
      </c>
    </row>
    <row r="22" spans="1:13" s="10" customFormat="1" ht="14.1" customHeight="1" x14ac:dyDescent="0.25">
      <c r="A22" s="180">
        <v>4</v>
      </c>
      <c r="B22" s="20" t="s">
        <v>102</v>
      </c>
      <c r="C22" s="21">
        <v>1.2999999999999999E-2</v>
      </c>
      <c r="D22" s="21">
        <v>0.01</v>
      </c>
      <c r="E22" s="408">
        <f>цены!F47</f>
        <v>300</v>
      </c>
      <c r="F22" s="408">
        <f>C22*E22</f>
        <v>3.9</v>
      </c>
      <c r="G22" s="97">
        <f t="shared" si="0"/>
        <v>0.13</v>
      </c>
      <c r="H22" s="21">
        <f t="shared" si="0"/>
        <v>0.1</v>
      </c>
      <c r="I22" s="21">
        <f t="shared" si="1"/>
        <v>1.3</v>
      </c>
      <c r="J22" s="21">
        <f t="shared" si="1"/>
        <v>1</v>
      </c>
      <c r="L22" s="1018">
        <f t="shared" si="2"/>
        <v>3.3E-3</v>
      </c>
      <c r="M22" s="1018">
        <f t="shared" si="3"/>
        <v>0.97499999999999998</v>
      </c>
    </row>
    <row r="23" spans="1:13" s="10" customFormat="1" ht="12" customHeight="1" x14ac:dyDescent="0.25">
      <c r="A23" s="180">
        <v>5</v>
      </c>
      <c r="B23" s="20" t="s">
        <v>48</v>
      </c>
      <c r="C23" s="21">
        <v>4.8000000000000001E-2</v>
      </c>
      <c r="D23" s="21">
        <v>0.04</v>
      </c>
      <c r="E23" s="408">
        <f>цены!F38</f>
        <v>50</v>
      </c>
      <c r="F23" s="408">
        <f>C23*E23</f>
        <v>2.4</v>
      </c>
      <c r="G23" s="97">
        <f t="shared" si="0"/>
        <v>0.48</v>
      </c>
      <c r="H23" s="21">
        <f t="shared" si="0"/>
        <v>0.4</v>
      </c>
      <c r="I23" s="21">
        <f t="shared" si="1"/>
        <v>4.8</v>
      </c>
      <c r="J23" s="21">
        <f t="shared" si="1"/>
        <v>4</v>
      </c>
      <c r="L23" s="1018">
        <f t="shared" si="2"/>
        <v>1.2E-2</v>
      </c>
      <c r="M23" s="1018">
        <f t="shared" si="3"/>
        <v>0.6</v>
      </c>
    </row>
    <row r="24" spans="1:13" s="10" customFormat="1" ht="12" customHeight="1" x14ac:dyDescent="0.25">
      <c r="A24" s="180">
        <v>6</v>
      </c>
      <c r="B24" s="20" t="s">
        <v>46</v>
      </c>
      <c r="C24" s="21">
        <v>0.01</v>
      </c>
      <c r="D24" s="21">
        <v>0.01</v>
      </c>
      <c r="E24" s="408">
        <f>цены!F113</f>
        <v>230</v>
      </c>
      <c r="F24" s="408">
        <f t="shared" ref="F24:F29" si="4">C24*E24</f>
        <v>2.2999999999999998</v>
      </c>
      <c r="G24" s="97">
        <f t="shared" si="0"/>
        <v>0.1</v>
      </c>
      <c r="H24" s="21">
        <f t="shared" si="0"/>
        <v>0.1</v>
      </c>
      <c r="I24" s="21">
        <f t="shared" si="1"/>
        <v>1</v>
      </c>
      <c r="J24" s="21">
        <f t="shared" si="1"/>
        <v>1</v>
      </c>
      <c r="L24" s="1018">
        <f t="shared" si="2"/>
        <v>2.5000000000000001E-3</v>
      </c>
      <c r="M24" s="1018">
        <f t="shared" si="3"/>
        <v>0.57499999999999996</v>
      </c>
    </row>
    <row r="25" spans="1:13" s="10" customFormat="1" ht="12" customHeight="1" x14ac:dyDescent="0.25">
      <c r="A25" s="180">
        <v>7</v>
      </c>
      <c r="B25" s="20" t="s">
        <v>74</v>
      </c>
      <c r="C25" s="21">
        <v>0.02</v>
      </c>
      <c r="D25" s="21">
        <v>0.02</v>
      </c>
      <c r="E25" s="408">
        <f>цены!F87</f>
        <v>120</v>
      </c>
      <c r="F25" s="408">
        <f t="shared" si="4"/>
        <v>2.4</v>
      </c>
      <c r="G25" s="97">
        <f t="shared" si="0"/>
        <v>0.2</v>
      </c>
      <c r="H25" s="21">
        <f t="shared" si="0"/>
        <v>0.2</v>
      </c>
      <c r="I25" s="21">
        <f t="shared" si="1"/>
        <v>2</v>
      </c>
      <c r="J25" s="21">
        <f t="shared" si="1"/>
        <v>2</v>
      </c>
      <c r="L25" s="1018">
        <f t="shared" si="2"/>
        <v>5.0000000000000001E-3</v>
      </c>
      <c r="M25" s="1018">
        <f t="shared" si="3"/>
        <v>0.6</v>
      </c>
    </row>
    <row r="26" spans="1:13" s="10" customFormat="1" ht="12" customHeight="1" x14ac:dyDescent="0.25">
      <c r="A26" s="180">
        <v>8</v>
      </c>
      <c r="B26" s="20" t="s">
        <v>141</v>
      </c>
      <c r="C26" s="21">
        <v>0.8</v>
      </c>
      <c r="D26" s="21">
        <v>0.8</v>
      </c>
      <c r="E26" s="408"/>
      <c r="F26" s="408">
        <f t="shared" si="4"/>
        <v>0</v>
      </c>
      <c r="G26" s="97">
        <f t="shared" si="0"/>
        <v>8</v>
      </c>
      <c r="H26" s="21">
        <f t="shared" si="0"/>
        <v>8</v>
      </c>
      <c r="I26" s="21">
        <f t="shared" si="1"/>
        <v>80</v>
      </c>
      <c r="J26" s="21">
        <f t="shared" si="1"/>
        <v>80</v>
      </c>
      <c r="L26" s="1018">
        <f t="shared" si="2"/>
        <v>0.2</v>
      </c>
      <c r="M26" s="1018">
        <f t="shared" si="3"/>
        <v>0</v>
      </c>
    </row>
    <row r="27" spans="1:13" s="10" customFormat="1" ht="12" customHeight="1" x14ac:dyDescent="0.25">
      <c r="A27" s="180">
        <v>9</v>
      </c>
      <c r="B27" s="20" t="s">
        <v>33</v>
      </c>
      <c r="C27" s="21">
        <v>0.01</v>
      </c>
      <c r="D27" s="21">
        <v>0.01</v>
      </c>
      <c r="E27" s="408">
        <f>цены!F110</f>
        <v>24</v>
      </c>
      <c r="F27" s="408">
        <f t="shared" si="4"/>
        <v>0.24</v>
      </c>
      <c r="G27" s="97">
        <f t="shared" si="0"/>
        <v>0.1</v>
      </c>
      <c r="H27" s="21">
        <f t="shared" si="0"/>
        <v>0.1</v>
      </c>
      <c r="I27" s="21">
        <f t="shared" si="1"/>
        <v>1</v>
      </c>
      <c r="J27" s="21">
        <f t="shared" si="1"/>
        <v>1</v>
      </c>
      <c r="L27" s="1018">
        <f t="shared" si="2"/>
        <v>2.5000000000000001E-3</v>
      </c>
      <c r="M27" s="1018">
        <f t="shared" si="3"/>
        <v>0.06</v>
      </c>
    </row>
    <row r="28" spans="1:13" s="10" customFormat="1" ht="12" customHeight="1" x14ac:dyDescent="0.25">
      <c r="A28" s="180">
        <v>10</v>
      </c>
      <c r="B28" s="20" t="s">
        <v>51</v>
      </c>
      <c r="C28" s="21">
        <v>0.02</v>
      </c>
      <c r="D28" s="21">
        <v>0.02</v>
      </c>
      <c r="E28" s="408">
        <f>цены!F24</f>
        <v>234</v>
      </c>
      <c r="F28" s="408">
        <f t="shared" si="4"/>
        <v>4.68</v>
      </c>
      <c r="G28" s="97">
        <f t="shared" si="0"/>
        <v>0.2</v>
      </c>
      <c r="H28" s="21">
        <f t="shared" si="0"/>
        <v>0.2</v>
      </c>
      <c r="I28" s="21">
        <f t="shared" si="1"/>
        <v>2</v>
      </c>
      <c r="J28" s="21">
        <f t="shared" si="1"/>
        <v>2</v>
      </c>
      <c r="L28" s="1018">
        <f t="shared" si="2"/>
        <v>5.0000000000000001E-3</v>
      </c>
      <c r="M28" s="1018">
        <f t="shared" si="3"/>
        <v>1.17</v>
      </c>
    </row>
    <row r="29" spans="1:13" s="10" customFormat="1" ht="12" customHeight="1" x14ac:dyDescent="0.25">
      <c r="A29" s="180">
        <v>11</v>
      </c>
      <c r="B29" s="20" t="s">
        <v>78</v>
      </c>
      <c r="C29" s="21">
        <f>0.002*C34</f>
        <v>8.0000000000000002E-3</v>
      </c>
      <c r="D29" s="21">
        <f>0.002*C34</f>
        <v>8.0000000000000002E-3</v>
      </c>
      <c r="E29" s="408">
        <f>цены!F48</f>
        <v>300</v>
      </c>
      <c r="F29" s="408">
        <f t="shared" si="4"/>
        <v>2.4</v>
      </c>
      <c r="G29" s="97">
        <f t="shared" si="0"/>
        <v>0.08</v>
      </c>
      <c r="H29" s="21">
        <f t="shared" si="0"/>
        <v>0.08</v>
      </c>
      <c r="I29" s="21">
        <f t="shared" si="1"/>
        <v>0.8</v>
      </c>
      <c r="J29" s="21">
        <f t="shared" si="1"/>
        <v>0.8</v>
      </c>
      <c r="L29" s="1018">
        <f t="shared" si="2"/>
        <v>2E-3</v>
      </c>
      <c r="M29" s="1018">
        <f t="shared" si="3"/>
        <v>0.6</v>
      </c>
    </row>
    <row r="30" spans="1:13" s="10" customFormat="1" ht="12" customHeight="1" x14ac:dyDescent="0.25">
      <c r="A30" s="98"/>
      <c r="B30" s="93" t="s">
        <v>100</v>
      </c>
      <c r="C30" s="114"/>
      <c r="D30" s="100">
        <v>1</v>
      </c>
      <c r="E30" s="95"/>
      <c r="F30" s="95">
        <f>SUM(F19:F29)</f>
        <v>42.07</v>
      </c>
      <c r="G30" s="99"/>
      <c r="H30" s="100">
        <f>D30*10</f>
        <v>10</v>
      </c>
      <c r="I30" s="100"/>
      <c r="J30" s="100">
        <f>D30*100</f>
        <v>100</v>
      </c>
      <c r="L30" s="1018">
        <f>SUM(L19:L29)</f>
        <v>0.3473</v>
      </c>
      <c r="M30" s="1018">
        <f>SUM(M19:M29)</f>
        <v>10.5175</v>
      </c>
    </row>
    <row r="31" spans="1:13" s="10" customFormat="1" ht="22.35" customHeight="1" x14ac:dyDescent="0.25">
      <c r="A31" s="1536" t="s">
        <v>35</v>
      </c>
      <c r="B31" s="1536"/>
      <c r="C31" s="90"/>
      <c r="D31" s="90"/>
      <c r="E31" s="408"/>
      <c r="F31" s="408">
        <f>F30</f>
        <v>42.07</v>
      </c>
      <c r="G31" s="575"/>
      <c r="H31" s="575"/>
      <c r="I31" s="21"/>
      <c r="J31" s="408"/>
    </row>
    <row r="32" spans="1:13" s="10" customFormat="1" ht="25.35" customHeight="1" x14ac:dyDescent="0.25">
      <c r="A32" s="1536" t="s">
        <v>36</v>
      </c>
      <c r="B32" s="1536"/>
      <c r="C32" s="866">
        <v>1000</v>
      </c>
      <c r="D32" s="90"/>
      <c r="E32" s="408"/>
      <c r="F32" s="408"/>
      <c r="G32" s="408"/>
      <c r="H32" s="408"/>
      <c r="I32" s="21"/>
      <c r="J32" s="17"/>
    </row>
    <row r="33" spans="1:10" s="10" customFormat="1" ht="25.35" customHeight="1" x14ac:dyDescent="0.25">
      <c r="A33" s="1537" t="s">
        <v>37</v>
      </c>
      <c r="B33" s="1538"/>
      <c r="C33" s="1071">
        <v>250</v>
      </c>
      <c r="D33" s="92"/>
      <c r="E33" s="574"/>
      <c r="F33" s="574"/>
      <c r="G33" s="574"/>
      <c r="H33" s="574"/>
      <c r="I33" s="21"/>
      <c r="J33" s="17"/>
    </row>
    <row r="34" spans="1:10" s="10" customFormat="1" ht="15" customHeight="1" x14ac:dyDescent="0.25">
      <c r="A34" s="1539" t="s">
        <v>38</v>
      </c>
      <c r="B34" s="1540"/>
      <c r="C34" s="245">
        <f>C32/C33</f>
        <v>4</v>
      </c>
      <c r="D34" s="92"/>
      <c r="E34" s="574"/>
      <c r="F34" s="574"/>
      <c r="G34" s="574"/>
      <c r="H34" s="574"/>
      <c r="I34" s="21"/>
      <c r="J34" s="17"/>
    </row>
    <row r="35" spans="1:10" ht="16.350000000000001" customHeight="1" x14ac:dyDescent="0.25">
      <c r="A35" s="1541" t="s">
        <v>39</v>
      </c>
      <c r="B35" s="1542"/>
      <c r="C35" s="15" t="s">
        <v>40</v>
      </c>
      <c r="D35" s="102"/>
      <c r="E35" s="102" t="s">
        <v>40</v>
      </c>
      <c r="F35" s="16">
        <f>F31/C34</f>
        <v>10.52</v>
      </c>
      <c r="G35" s="16"/>
      <c r="H35" s="16"/>
      <c r="I35" s="102" t="s">
        <v>40</v>
      </c>
      <c r="J35" s="102" t="s">
        <v>40</v>
      </c>
    </row>
    <row r="36" spans="1:10" ht="13.35" customHeight="1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193"/>
      <c r="B37" s="1194" t="s">
        <v>49</v>
      </c>
      <c r="C37" s="1198"/>
      <c r="D37" s="1198"/>
      <c r="E37" s="1198"/>
      <c r="F37" s="1198"/>
      <c r="G37" s="1193"/>
      <c r="H37" s="1556">
        <f>'1-бутерброд с маслом'!$H$28</f>
        <v>0</v>
      </c>
      <c r="I37" s="1556"/>
      <c r="J37" s="1556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545" t="s">
        <v>327</v>
      </c>
      <c r="B39" s="1545"/>
      <c r="C39" s="1546" t="s">
        <v>328</v>
      </c>
      <c r="D39" s="1546"/>
      <c r="E39" s="1546"/>
      <c r="F39" s="1546"/>
      <c r="G39" s="106"/>
      <c r="H39" s="1531"/>
      <c r="I39" s="1531"/>
      <c r="J39" s="1531"/>
    </row>
    <row r="40" spans="1:10" x14ac:dyDescent="0.25">
      <c r="A40" s="1193"/>
      <c r="B40" s="1193"/>
      <c r="C40" s="1546"/>
      <c r="D40" s="1546"/>
      <c r="E40" s="1546"/>
      <c r="F40" s="1546"/>
      <c r="G40" s="1193"/>
      <c r="H40" s="1531" t="s">
        <v>329</v>
      </c>
      <c r="I40" s="1531"/>
      <c r="J40" s="1531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9:B39"/>
    <mergeCell ref="C39:F40"/>
    <mergeCell ref="H39:J39"/>
    <mergeCell ref="H40:J40"/>
    <mergeCell ref="A32:B32"/>
    <mergeCell ref="A33:B33"/>
    <mergeCell ref="A34:B34"/>
    <mergeCell ref="A35:B35"/>
    <mergeCell ref="H37:J37"/>
    <mergeCell ref="A31:B31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75E5"/>
  </sheetPr>
  <dimension ref="A1:K54"/>
  <sheetViews>
    <sheetView view="pageBreakPreview" zoomScaleNormal="100" zoomScaleSheetLayoutView="100" workbookViewId="0">
      <selection activeCell="N15" sqref="N15"/>
    </sheetView>
  </sheetViews>
  <sheetFormatPr defaultRowHeight="13.8" x14ac:dyDescent="0.25"/>
  <cols>
    <col min="1" max="1" width="4.109375" customWidth="1"/>
    <col min="2" max="2" width="20.5546875" customWidth="1"/>
    <col min="3" max="7" width="7.5546875" customWidth="1"/>
    <col min="8" max="8" width="8.88671875" customWidth="1"/>
    <col min="9" max="9" width="7.5546875" customWidth="1"/>
    <col min="10" max="10" width="9" customWidth="1"/>
  </cols>
  <sheetData>
    <row r="1" spans="1:11" s="1193" customFormat="1" ht="15.6" x14ac:dyDescent="0.3">
      <c r="F1" s="1194"/>
      <c r="G1" s="1521" t="str">
        <f>"Приложение 3 (Лист"&amp;" "&amp;H14&amp;")"</f>
        <v>Приложение 3 (Лист 1)</v>
      </c>
      <c r="H1" s="1521"/>
      <c r="I1" s="1521"/>
      <c r="J1" s="1521"/>
      <c r="K1" s="839"/>
    </row>
    <row r="2" spans="1:11" s="1193" customFormat="1" ht="15.6" x14ac:dyDescent="0.3">
      <c r="G2" s="1521" t="s">
        <v>1346</v>
      </c>
      <c r="H2" s="1521"/>
      <c r="I2" s="1521"/>
      <c r="J2" s="1521"/>
    </row>
    <row r="3" spans="1:11" s="1193" customFormat="1" ht="15.6" x14ac:dyDescent="0.3">
      <c r="G3" s="1544" t="str">
        <f>'меню 7 дней завтрак и обед '!E3</f>
        <v>приказом от ______ 2023 N ____</v>
      </c>
      <c r="H3" s="1544"/>
      <c r="I3" s="1544"/>
      <c r="J3" s="1544"/>
    </row>
    <row r="4" spans="1:11" x14ac:dyDescent="0.25">
      <c r="J4" s="108" t="s">
        <v>3</v>
      </c>
    </row>
    <row r="5" spans="1:11" s="2" customFormat="1" ht="19.350000000000001" customHeight="1" x14ac:dyDescent="0.25">
      <c r="A5" s="1533" t="str">
        <f>'меню 7 дней завтрак и обед '!A6</f>
        <v xml:space="preserve">МБОУ </v>
      </c>
      <c r="B5" s="1533"/>
      <c r="C5" s="1533"/>
      <c r="D5" s="1533"/>
      <c r="E5" s="1533"/>
      <c r="F5" s="1533"/>
      <c r="G5" s="1533"/>
      <c r="H5" s="1531" t="s">
        <v>5</v>
      </c>
      <c r="I5" s="1531"/>
      <c r="J5" s="1364">
        <f>'меню 7 дней завтрак и обед '!H6</f>
        <v>0</v>
      </c>
    </row>
    <row r="6" spans="1:11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03"/>
      <c r="I6" s="103"/>
      <c r="J6" s="105"/>
    </row>
    <row r="7" spans="1:11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</v>
      </c>
    </row>
    <row r="8" spans="1:11" s="2" customFormat="1" ht="16.350000000000001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197"/>
    </row>
    <row r="9" spans="1:11" s="2" customFormat="1" ht="26.1" customHeight="1" x14ac:dyDescent="0.3">
      <c r="A9" s="1550" t="s">
        <v>951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1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1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1" ht="9.6" customHeight="1" x14ac:dyDescent="0.25">
      <c r="E12" s="101"/>
      <c r="F12" s="101"/>
    </row>
    <row r="13" spans="1:11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5" t="s">
        <v>12</v>
      </c>
      <c r="I13" s="1549" t="s">
        <v>13</v>
      </c>
      <c r="J13" s="1549"/>
    </row>
    <row r="14" spans="1:11" s="1" customFormat="1" ht="15.75" customHeight="1" x14ac:dyDescent="0.25">
      <c r="C14" s="1552"/>
      <c r="D14" s="1552"/>
      <c r="E14" s="1552"/>
      <c r="F14" s="1552"/>
      <c r="G14" s="1553"/>
      <c r="H14" s="179">
        <v>1</v>
      </c>
      <c r="I14" s="1534">
        <v>44986</v>
      </c>
      <c r="J14" s="1535"/>
    </row>
    <row r="15" spans="1:11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1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0" ht="9.6" customHeight="1" x14ac:dyDescent="0.25">
      <c r="A18" s="96">
        <v>1</v>
      </c>
      <c r="B18" s="5">
        <v>2</v>
      </c>
      <c r="C18" s="172">
        <v>3</v>
      </c>
      <c r="D18" s="173">
        <v>4</v>
      </c>
      <c r="E18" s="172">
        <v>5</v>
      </c>
      <c r="F18" s="173">
        <v>6</v>
      </c>
      <c r="G18" s="172">
        <v>7</v>
      </c>
      <c r="H18" s="173">
        <v>8</v>
      </c>
      <c r="I18" s="172">
        <v>9</v>
      </c>
      <c r="J18" s="173">
        <v>10</v>
      </c>
    </row>
    <row r="19" spans="1:10" s="10" customFormat="1" ht="14.1" customHeight="1" x14ac:dyDescent="0.25">
      <c r="A19" s="180">
        <v>1</v>
      </c>
      <c r="B19" s="20" t="s">
        <v>31</v>
      </c>
      <c r="C19" s="111">
        <v>0.01</v>
      </c>
      <c r="D19" s="111">
        <v>0.01</v>
      </c>
      <c r="E19" s="13">
        <f>цены!F21</f>
        <v>710</v>
      </c>
      <c r="F19" s="13">
        <f>C19*E19</f>
        <v>7.1</v>
      </c>
      <c r="G19" s="97">
        <f>C19*10</f>
        <v>0.1</v>
      </c>
      <c r="H19" s="21">
        <f>D19*10</f>
        <v>0.1</v>
      </c>
      <c r="I19" s="21">
        <f>C19*100</f>
        <v>1</v>
      </c>
      <c r="J19" s="21">
        <f>D19*100</f>
        <v>1</v>
      </c>
    </row>
    <row r="20" spans="1:10" s="10" customFormat="1" ht="12" customHeight="1" x14ac:dyDescent="0.25">
      <c r="A20" s="180">
        <v>2</v>
      </c>
      <c r="B20" s="20" t="s">
        <v>205</v>
      </c>
      <c r="C20" s="111">
        <v>0.03</v>
      </c>
      <c r="D20" s="111">
        <v>0.03</v>
      </c>
      <c r="E20" s="13">
        <f>цены!F159</f>
        <v>69</v>
      </c>
      <c r="F20" s="13">
        <f>C20*E20</f>
        <v>2.0699999999999998</v>
      </c>
      <c r="G20" s="97">
        <f>C20*10</f>
        <v>0.3</v>
      </c>
      <c r="H20" s="21">
        <f>D20*10</f>
        <v>0.3</v>
      </c>
      <c r="I20" s="21">
        <f>C20*100</f>
        <v>3</v>
      </c>
      <c r="J20" s="21">
        <f>D20*100</f>
        <v>3</v>
      </c>
    </row>
    <row r="21" spans="1:10" s="10" customFormat="1" ht="12" customHeight="1" x14ac:dyDescent="0.25">
      <c r="A21" s="98"/>
      <c r="B21" s="93" t="s">
        <v>100</v>
      </c>
      <c r="C21" s="100"/>
      <c r="D21" s="100">
        <v>0.04</v>
      </c>
      <c r="E21" s="95"/>
      <c r="F21" s="95">
        <f>SUM(F19:F20)</f>
        <v>9.17</v>
      </c>
      <c r="G21" s="99"/>
      <c r="H21" s="100">
        <f>D21*10</f>
        <v>0.4</v>
      </c>
      <c r="I21" s="100"/>
      <c r="J21" s="100">
        <f>D21*100</f>
        <v>4</v>
      </c>
    </row>
    <row r="22" spans="1:10" s="10" customFormat="1" ht="27.6" customHeight="1" x14ac:dyDescent="0.25">
      <c r="A22" s="1536" t="s">
        <v>35</v>
      </c>
      <c r="B22" s="1536"/>
      <c r="C22" s="90"/>
      <c r="D22" s="90"/>
      <c r="E22" s="13"/>
      <c r="F22" s="13">
        <f>F21</f>
        <v>9.17</v>
      </c>
      <c r="G22" s="14"/>
      <c r="H22" s="14"/>
      <c r="I22" s="21"/>
      <c r="J22" s="13"/>
    </row>
    <row r="23" spans="1:10" s="10" customFormat="1" ht="25.35" customHeight="1" x14ac:dyDescent="0.25">
      <c r="A23" s="1536" t="s">
        <v>36</v>
      </c>
      <c r="B23" s="1536"/>
      <c r="C23" s="90">
        <v>40</v>
      </c>
      <c r="D23" s="90"/>
      <c r="E23" s="13"/>
      <c r="F23" s="13"/>
      <c r="G23" s="13"/>
      <c r="H23" s="13"/>
      <c r="I23" s="21"/>
      <c r="J23" s="17"/>
    </row>
    <row r="24" spans="1:10" s="10" customFormat="1" ht="25.35" customHeight="1" x14ac:dyDescent="0.25">
      <c r="A24" s="1537" t="s">
        <v>37</v>
      </c>
      <c r="B24" s="1538"/>
      <c r="C24" s="91">
        <v>40</v>
      </c>
      <c r="D24" s="92"/>
      <c r="E24" s="5"/>
      <c r="F24" s="5"/>
      <c r="G24" s="5"/>
      <c r="H24" s="5"/>
      <c r="I24" s="21"/>
      <c r="J24" s="17"/>
    </row>
    <row r="25" spans="1:10" s="10" customFormat="1" ht="15" customHeight="1" x14ac:dyDescent="0.25">
      <c r="A25" s="1539" t="s">
        <v>38</v>
      </c>
      <c r="B25" s="1540"/>
      <c r="C25" s="92">
        <f>C23/C24</f>
        <v>1</v>
      </c>
      <c r="D25" s="92"/>
      <c r="E25" s="5"/>
      <c r="F25" s="5"/>
      <c r="G25" s="5"/>
      <c r="H25" s="5"/>
      <c r="I25" s="21"/>
      <c r="J25" s="17"/>
    </row>
    <row r="26" spans="1:10" ht="16.350000000000001" customHeight="1" x14ac:dyDescent="0.25">
      <c r="A26" s="1541" t="s">
        <v>39</v>
      </c>
      <c r="B26" s="1542"/>
      <c r="C26" s="15" t="s">
        <v>40</v>
      </c>
      <c r="D26" s="102"/>
      <c r="E26" s="102" t="s">
        <v>40</v>
      </c>
      <c r="F26" s="16">
        <f>F22/C25</f>
        <v>9.17</v>
      </c>
      <c r="G26" s="16"/>
      <c r="H26" s="16"/>
      <c r="I26" s="102" t="s">
        <v>40</v>
      </c>
      <c r="J26" s="102" t="s">
        <v>40</v>
      </c>
    </row>
    <row r="28" spans="1:10" s="1193" customFormat="1" x14ac:dyDescent="0.25">
      <c r="B28" s="1194" t="s">
        <v>49</v>
      </c>
      <c r="C28" s="1198"/>
      <c r="D28" s="1198"/>
      <c r="E28" s="1198"/>
      <c r="F28" s="1198"/>
      <c r="H28" s="1525"/>
      <c r="I28" s="1525"/>
      <c r="J28" s="1525"/>
    </row>
    <row r="29" spans="1:10" s="1193" customFormat="1" ht="13.2" customHeight="1" x14ac:dyDescent="0.25"/>
    <row r="30" spans="1:10" ht="18.600000000000001" customHeight="1" x14ac:dyDescent="0.25">
      <c r="A30" s="1545" t="s">
        <v>327</v>
      </c>
      <c r="B30" s="1545"/>
      <c r="C30" s="1546" t="s">
        <v>328</v>
      </c>
      <c r="D30" s="1546"/>
      <c r="E30" s="1546"/>
      <c r="F30" s="1546"/>
      <c r="G30" s="106"/>
      <c r="H30" s="1531"/>
      <c r="I30" s="1531"/>
      <c r="J30" s="1531"/>
    </row>
    <row r="31" spans="1:10" x14ac:dyDescent="0.25">
      <c r="C31" s="1546"/>
      <c r="D31" s="1546"/>
      <c r="E31" s="1546"/>
      <c r="F31" s="1546"/>
      <c r="H31" s="1531" t="s">
        <v>329</v>
      </c>
      <c r="I31" s="1531"/>
      <c r="J31" s="1531"/>
    </row>
    <row r="32" spans="1:10" s="1193" customFormat="1" ht="16.2" customHeight="1" x14ac:dyDescent="0.3">
      <c r="C32" s="1195"/>
      <c r="D32" s="1195"/>
      <c r="E32" s="1207"/>
      <c r="F32" s="1522" t="str">
        <f>"Продолжение Листа"&amp;" "&amp;"("&amp;H14&amp;")"&amp;" "&amp;"Приложения 2"</f>
        <v>Продолжение Листа (1) Приложения 2</v>
      </c>
      <c r="G32" s="1522"/>
      <c r="H32" s="1522"/>
      <c r="I32" s="1522"/>
      <c r="J32" s="1522"/>
    </row>
    <row r="33" spans="1:10" s="1193" customFormat="1" ht="15.6" x14ac:dyDescent="0.3">
      <c r="C33" s="1195"/>
      <c r="D33" s="1195"/>
      <c r="E33" s="1206"/>
      <c r="F33" s="1523" t="s">
        <v>1329</v>
      </c>
      <c r="G33" s="1523"/>
      <c r="H33" s="1523"/>
      <c r="I33" s="1523"/>
      <c r="J33" s="1523"/>
    </row>
    <row r="34" spans="1:10" s="1193" customFormat="1" ht="15.6" x14ac:dyDescent="0.3">
      <c r="C34" s="1195"/>
      <c r="D34" s="1195"/>
      <c r="E34" s="1206"/>
      <c r="F34" s="1524" t="str">
        <f>G3</f>
        <v>приказом от ______ 2023 N ____</v>
      </c>
      <c r="G34" s="1524"/>
      <c r="H34" s="1524"/>
      <c r="I34" s="1524"/>
      <c r="J34" s="1524"/>
    </row>
    <row r="35" spans="1:10" s="1193" customFormat="1" x14ac:dyDescent="0.25">
      <c r="C35" s="1195"/>
      <c r="D35" s="1195"/>
      <c r="E35" s="1195"/>
      <c r="F35" s="1195"/>
      <c r="G35" s="1531"/>
      <c r="H35" s="1531"/>
      <c r="I35" s="1531"/>
      <c r="J35" s="1203"/>
    </row>
    <row r="36" spans="1:10" ht="26.4" customHeight="1" x14ac:dyDescent="0.3">
      <c r="B36" s="1532" t="s">
        <v>1330</v>
      </c>
      <c r="C36" s="1532"/>
      <c r="D36" s="1532"/>
      <c r="E36" s="1532"/>
      <c r="F36" s="1532"/>
      <c r="G36" s="1205" t="str">
        <f>("N"&amp;" "&amp;H14)</f>
        <v>N 1</v>
      </c>
    </row>
    <row r="37" spans="1:10" s="1193" customFormat="1" ht="31.95" customHeight="1" x14ac:dyDescent="0.3">
      <c r="A37" s="1528" t="s">
        <v>1344</v>
      </c>
      <c r="B37" s="1528"/>
      <c r="C37" s="1528"/>
      <c r="D37" s="1528"/>
      <c r="E37" s="1528"/>
      <c r="F37" s="1528"/>
      <c r="G37" s="1528"/>
      <c r="H37" s="1528"/>
      <c r="I37" s="1528"/>
      <c r="J37" s="1528"/>
    </row>
    <row r="38" spans="1:10" ht="19.95" customHeight="1" x14ac:dyDescent="0.3">
      <c r="A38" s="1519" t="str">
        <f>A9</f>
        <v>Бутерброды с маслом сливочным</v>
      </c>
      <c r="B38" s="1519"/>
      <c r="C38" s="1519"/>
      <c r="D38" s="1519"/>
      <c r="E38" s="1519"/>
      <c r="F38" s="1519"/>
      <c r="G38" s="1519"/>
      <c r="H38" s="1519"/>
      <c r="I38" s="1519"/>
      <c r="J38" s="1519"/>
    </row>
    <row r="39" spans="1:10" s="1193" customFormat="1" ht="46.2" customHeight="1" x14ac:dyDescent="0.3">
      <c r="A39" s="1529" t="str">
        <f>A11</f>
        <v>Наименование сборника рецептур: "Сборник рецептур на продукцию для обучающихся во всех образовательных учреждениях", под ред. Могильного М.П., 2011 г.</v>
      </c>
      <c r="B39" s="1529"/>
      <c r="C39" s="1529"/>
      <c r="D39" s="1529"/>
      <c r="E39" s="1529"/>
      <c r="F39" s="1529"/>
      <c r="G39" s="1529"/>
      <c r="H39" s="1529"/>
      <c r="I39" s="1529"/>
      <c r="J39" s="1529"/>
    </row>
    <row r="40" spans="1:10" s="1193" customFormat="1" ht="28.95" customHeight="1" x14ac:dyDescent="0.25">
      <c r="A40" s="1530" t="s">
        <v>1332</v>
      </c>
      <c r="B40" s="1530"/>
      <c r="C40" s="1530"/>
      <c r="D40" s="1530"/>
      <c r="E40" s="1530"/>
      <c r="F40" s="1530"/>
      <c r="G40" s="1530"/>
      <c r="H40" s="1530"/>
      <c r="I40" s="1530"/>
      <c r="J40" s="1530"/>
    </row>
    <row r="41" spans="1:10" x14ac:dyDescent="0.25">
      <c r="A41" s="1526" t="s">
        <v>1331</v>
      </c>
      <c r="B41" s="1527"/>
      <c r="C41" s="1527"/>
      <c r="D41" s="1527"/>
      <c r="E41" s="1527"/>
      <c r="F41" s="1527"/>
      <c r="G41" s="1527"/>
      <c r="H41" s="1527"/>
      <c r="I41" s="1527"/>
      <c r="J41" s="1527"/>
    </row>
    <row r="42" spans="1:10" x14ac:dyDescent="0.25">
      <c r="A42" s="1530" t="s">
        <v>1333</v>
      </c>
      <c r="B42" s="1530"/>
      <c r="C42" s="1530"/>
      <c r="D42" s="1530"/>
      <c r="E42" s="1530"/>
      <c r="F42" s="1530"/>
      <c r="G42" s="1530"/>
      <c r="H42" s="1530"/>
      <c r="I42" s="1530"/>
      <c r="J42" s="1530"/>
    </row>
    <row r="43" spans="1:10" x14ac:dyDescent="0.25">
      <c r="B43" s="1204" t="s">
        <v>1334</v>
      </c>
    </row>
    <row r="44" spans="1:10" x14ac:dyDescent="0.25">
      <c r="A44" s="1526" t="s">
        <v>1335</v>
      </c>
      <c r="B44" s="1527"/>
      <c r="C44" s="1527"/>
      <c r="D44" s="1527"/>
      <c r="E44" s="1527"/>
      <c r="F44" s="1527"/>
      <c r="G44" s="1527"/>
      <c r="H44" s="1527"/>
      <c r="I44" s="1527"/>
      <c r="J44" s="1527"/>
    </row>
    <row r="45" spans="1:10" x14ac:dyDescent="0.25">
      <c r="B45" s="1204" t="s">
        <v>1336</v>
      </c>
    </row>
    <row r="46" spans="1:10" x14ac:dyDescent="0.25">
      <c r="A46" s="1526" t="s">
        <v>1337</v>
      </c>
      <c r="B46" s="1527"/>
      <c r="C46" s="1527"/>
      <c r="D46" s="1527"/>
      <c r="E46" s="1527"/>
      <c r="F46" s="1527"/>
      <c r="G46" s="1527"/>
      <c r="H46" s="1527"/>
      <c r="I46" s="1527"/>
      <c r="J46" s="1527"/>
    </row>
    <row r="47" spans="1:10" x14ac:dyDescent="0.25">
      <c r="B47" s="1204" t="s">
        <v>1338</v>
      </c>
    </row>
    <row r="48" spans="1:10" x14ac:dyDescent="0.25">
      <c r="A48" s="1526" t="s">
        <v>1339</v>
      </c>
      <c r="B48" s="1527"/>
      <c r="C48" s="1527"/>
      <c r="D48" s="1527"/>
      <c r="E48" s="1527"/>
      <c r="F48" s="1527"/>
      <c r="G48" s="1527"/>
      <c r="H48" s="1527"/>
      <c r="I48" s="1527"/>
      <c r="J48" s="1527"/>
    </row>
    <row r="49" spans="1:10" x14ac:dyDescent="0.25">
      <c r="B49" s="1204" t="s">
        <v>1340</v>
      </c>
    </row>
    <row r="50" spans="1:10" x14ac:dyDescent="0.25">
      <c r="A50" s="1526" t="s">
        <v>1341</v>
      </c>
      <c r="B50" s="1527"/>
      <c r="C50" s="1527"/>
      <c r="D50" s="1527"/>
      <c r="E50" s="1527"/>
      <c r="F50" s="1527"/>
      <c r="G50" s="1527"/>
      <c r="H50" s="1527"/>
      <c r="I50" s="1527"/>
      <c r="J50" s="1527"/>
    </row>
    <row r="51" spans="1:10" x14ac:dyDescent="0.25">
      <c r="B51" s="1204" t="s">
        <v>1342</v>
      </c>
    </row>
    <row r="52" spans="1:10" x14ac:dyDescent="0.25">
      <c r="A52" s="1526" t="s">
        <v>1343</v>
      </c>
      <c r="B52" s="1527"/>
      <c r="C52" s="1527"/>
      <c r="D52" s="1527"/>
      <c r="E52" s="1527"/>
      <c r="F52" s="1527"/>
      <c r="G52" s="1527"/>
      <c r="H52" s="1527"/>
      <c r="I52" s="1527"/>
      <c r="J52" s="1527"/>
    </row>
    <row r="54" spans="1:10" x14ac:dyDescent="0.25">
      <c r="A54" s="1517" t="s">
        <v>1345</v>
      </c>
      <c r="B54" s="1518"/>
      <c r="C54" s="1518"/>
      <c r="D54" s="1518"/>
      <c r="E54" s="1518"/>
      <c r="F54" s="1518"/>
      <c r="G54" s="1518"/>
      <c r="H54" s="1518"/>
      <c r="I54" s="1518"/>
      <c r="J54" s="1518"/>
    </row>
  </sheetData>
  <mergeCells count="45">
    <mergeCell ref="G2:J2"/>
    <mergeCell ref="G3:J3"/>
    <mergeCell ref="A30:B30"/>
    <mergeCell ref="C30:F31"/>
    <mergeCell ref="H30:J30"/>
    <mergeCell ref="H31:J31"/>
    <mergeCell ref="H5:I5"/>
    <mergeCell ref="A6:G6"/>
    <mergeCell ref="A7:I7"/>
    <mergeCell ref="C16:F16"/>
    <mergeCell ref="G16:H16"/>
    <mergeCell ref="I16:J16"/>
    <mergeCell ref="A9:J9"/>
    <mergeCell ref="A11:J11"/>
    <mergeCell ref="I13:J13"/>
    <mergeCell ref="C14:G14"/>
    <mergeCell ref="G35:I35"/>
    <mergeCell ref="A38:J38"/>
    <mergeCell ref="A41:J41"/>
    <mergeCell ref="B36:F36"/>
    <mergeCell ref="A5:G5"/>
    <mergeCell ref="I14:J14"/>
    <mergeCell ref="A23:B23"/>
    <mergeCell ref="A24:B24"/>
    <mergeCell ref="A25:B25"/>
    <mergeCell ref="A26:B26"/>
    <mergeCell ref="A16:A17"/>
    <mergeCell ref="B16:B17"/>
    <mergeCell ref="A22:B22"/>
    <mergeCell ref="A54:J54"/>
    <mergeCell ref="A13:G13"/>
    <mergeCell ref="G1:J1"/>
    <mergeCell ref="F32:J32"/>
    <mergeCell ref="F33:J33"/>
    <mergeCell ref="F34:J34"/>
    <mergeCell ref="H28:J28"/>
    <mergeCell ref="A50:J50"/>
    <mergeCell ref="A52:J52"/>
    <mergeCell ref="A37:J37"/>
    <mergeCell ref="A39:J39"/>
    <mergeCell ref="A42:J42"/>
    <mergeCell ref="A40:J40"/>
    <mergeCell ref="A44:J44"/>
    <mergeCell ref="A46:J46"/>
    <mergeCell ref="A48:J48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  <rowBreaks count="1" manualBreakCount="1">
    <brk id="31" max="9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FED77"/>
  </sheetPr>
  <dimension ref="A1:M43"/>
  <sheetViews>
    <sheetView view="pageBreakPreview" topLeftCell="A6" zoomScale="110" zoomScaleNormal="100" zoomScaleSheetLayoutView="110" workbookViewId="0">
      <selection activeCell="A9" sqref="A9:J9"/>
    </sheetView>
  </sheetViews>
  <sheetFormatPr defaultColWidth="8.88671875" defaultRowHeight="13.8" x14ac:dyDescent="0.25"/>
  <cols>
    <col min="1" max="1" width="4.109375" style="570" customWidth="1"/>
    <col min="2" max="2" width="23.109375" style="570" customWidth="1"/>
    <col min="3" max="7" width="7.5546875" style="570" customWidth="1"/>
    <col min="8" max="8" width="8.88671875" style="570" customWidth="1"/>
    <col min="9" max="9" width="7.5546875" style="570" customWidth="1"/>
    <col min="10" max="10" width="9" style="570" customWidth="1"/>
    <col min="11" max="11" width="5.6640625" style="570" customWidth="1"/>
    <col min="12" max="16384" width="8.88671875" style="570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55)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571"/>
      <c r="I6" s="571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89</v>
      </c>
    </row>
    <row r="8" spans="1:10" s="2" customFormat="1" ht="9.6" customHeight="1" x14ac:dyDescent="0.25">
      <c r="A8" s="572"/>
      <c r="B8" s="572"/>
      <c r="C8" s="572"/>
      <c r="D8" s="572"/>
      <c r="E8" s="572"/>
      <c r="F8" s="572"/>
      <c r="G8" s="572"/>
      <c r="H8" s="572"/>
      <c r="I8" s="572"/>
      <c r="J8" s="109"/>
    </row>
    <row r="9" spans="1:10" s="2" customFormat="1" ht="26.1" customHeight="1" x14ac:dyDescent="0.3">
      <c r="A9" s="1550" t="s">
        <v>849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'88-щи из картофеля'!H14+1</f>
        <v>55</v>
      </c>
      <c r="I14" s="1534">
        <v>44986</v>
      </c>
      <c r="J14" s="1535"/>
    </row>
    <row r="15" spans="1:10" s="2" customFormat="1" ht="13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573" t="s">
        <v>92</v>
      </c>
      <c r="D17" s="573" t="s">
        <v>94</v>
      </c>
      <c r="E17" s="573" t="s">
        <v>93</v>
      </c>
      <c r="F17" s="573" t="s">
        <v>23</v>
      </c>
      <c r="G17" s="573" t="s">
        <v>92</v>
      </c>
      <c r="H17" s="573" t="s">
        <v>94</v>
      </c>
      <c r="I17" s="573" t="s">
        <v>92</v>
      </c>
      <c r="J17" s="573" t="s">
        <v>94</v>
      </c>
    </row>
    <row r="18" spans="1:13" ht="9.6" customHeight="1" x14ac:dyDescent="0.25">
      <c r="A18" s="573">
        <v>1</v>
      </c>
      <c r="B18" s="574">
        <v>2</v>
      </c>
      <c r="C18" s="573">
        <v>3</v>
      </c>
      <c r="D18" s="574">
        <v>4</v>
      </c>
      <c r="E18" s="573">
        <v>5</v>
      </c>
      <c r="F18" s="574">
        <v>6</v>
      </c>
      <c r="G18" s="573">
        <v>7</v>
      </c>
      <c r="H18" s="574">
        <v>8</v>
      </c>
      <c r="I18" s="573">
        <v>9</v>
      </c>
      <c r="J18" s="574">
        <v>10</v>
      </c>
    </row>
    <row r="19" spans="1:13" s="10" customFormat="1" ht="14.1" customHeight="1" x14ac:dyDescent="0.25">
      <c r="A19" s="180">
        <v>1</v>
      </c>
      <c r="B19" s="20" t="s">
        <v>542</v>
      </c>
      <c r="C19" s="21">
        <v>0.39500000000000002</v>
      </c>
      <c r="D19" s="21">
        <v>0.3</v>
      </c>
      <c r="E19" s="408">
        <f>цены!F49</f>
        <v>260</v>
      </c>
      <c r="F19" s="408">
        <f>C19*E19</f>
        <v>102.7</v>
      </c>
      <c r="G19" s="97">
        <f t="shared" ref="G19:H28" si="0">C19*10</f>
        <v>3.95</v>
      </c>
      <c r="H19" s="21">
        <f t="shared" si="0"/>
        <v>3</v>
      </c>
      <c r="I19" s="21">
        <f t="shared" ref="I19:J28" si="1">C19*100</f>
        <v>39.5</v>
      </c>
      <c r="J19" s="21">
        <f t="shared" si="1"/>
        <v>30</v>
      </c>
      <c r="L19" s="1018">
        <f>C19/C$33</f>
        <v>9.8799999999999999E-2</v>
      </c>
      <c r="M19" s="1018">
        <f>F19/C$33</f>
        <v>25.675000000000001</v>
      </c>
    </row>
    <row r="20" spans="1:13" s="10" customFormat="1" ht="14.1" customHeight="1" x14ac:dyDescent="0.25">
      <c r="A20" s="180">
        <v>2</v>
      </c>
      <c r="B20" s="20" t="s">
        <v>50</v>
      </c>
      <c r="C20" s="21">
        <v>0.13200000000000001</v>
      </c>
      <c r="D20" s="21">
        <v>0.1</v>
      </c>
      <c r="E20" s="408">
        <f>цены!F35</f>
        <v>50</v>
      </c>
      <c r="F20" s="408">
        <f>C20*E20</f>
        <v>6.6</v>
      </c>
      <c r="G20" s="97">
        <f t="shared" si="0"/>
        <v>1.32</v>
      </c>
      <c r="H20" s="21">
        <f t="shared" si="0"/>
        <v>1</v>
      </c>
      <c r="I20" s="21">
        <f t="shared" si="1"/>
        <v>13.2</v>
      </c>
      <c r="J20" s="21">
        <f t="shared" si="1"/>
        <v>10</v>
      </c>
      <c r="L20" s="1018">
        <f t="shared" ref="L20:L28" si="2">C20/C$33</f>
        <v>3.3000000000000002E-2</v>
      </c>
      <c r="M20" s="1018">
        <f t="shared" ref="M20:M28" si="3">F20/C$33</f>
        <v>1.65</v>
      </c>
    </row>
    <row r="21" spans="1:13" s="10" customFormat="1" ht="12" customHeight="1" x14ac:dyDescent="0.25">
      <c r="A21" s="180">
        <v>3</v>
      </c>
      <c r="B21" s="20" t="s">
        <v>48</v>
      </c>
      <c r="C21" s="21">
        <v>4.8000000000000001E-2</v>
      </c>
      <c r="D21" s="21">
        <v>0.04</v>
      </c>
      <c r="E21" s="408">
        <f>цены!F38</f>
        <v>50</v>
      </c>
      <c r="F21" s="408">
        <f>C21*E21</f>
        <v>2.4</v>
      </c>
      <c r="G21" s="97">
        <f t="shared" si="0"/>
        <v>0.48</v>
      </c>
      <c r="H21" s="21">
        <f t="shared" si="0"/>
        <v>0.4</v>
      </c>
      <c r="I21" s="21">
        <f t="shared" si="1"/>
        <v>4.8</v>
      </c>
      <c r="J21" s="21">
        <f t="shared" si="1"/>
        <v>4</v>
      </c>
      <c r="L21" s="1018">
        <f t="shared" si="2"/>
        <v>1.2E-2</v>
      </c>
      <c r="M21" s="1018">
        <f t="shared" si="3"/>
        <v>0.6</v>
      </c>
    </row>
    <row r="22" spans="1:13" s="10" customFormat="1" ht="12" customHeight="1" x14ac:dyDescent="0.25">
      <c r="A22" s="180">
        <v>4</v>
      </c>
      <c r="B22" s="20" t="s">
        <v>45</v>
      </c>
      <c r="C22" s="21">
        <v>0.02</v>
      </c>
      <c r="D22" s="21">
        <v>0.02</v>
      </c>
      <c r="E22" s="408">
        <f>цены!F74</f>
        <v>36</v>
      </c>
      <c r="F22" s="408">
        <f t="shared" ref="F22:F28" si="4">C22*E22</f>
        <v>0.72</v>
      </c>
      <c r="G22" s="97">
        <f t="shared" si="0"/>
        <v>0.2</v>
      </c>
      <c r="H22" s="21">
        <f t="shared" si="0"/>
        <v>0.2</v>
      </c>
      <c r="I22" s="21">
        <f t="shared" si="1"/>
        <v>2</v>
      </c>
      <c r="J22" s="21">
        <f t="shared" si="1"/>
        <v>2</v>
      </c>
      <c r="L22" s="1018">
        <f t="shared" si="2"/>
        <v>5.0000000000000001E-3</v>
      </c>
      <c r="M22" s="1018">
        <f t="shared" si="3"/>
        <v>0.18</v>
      </c>
    </row>
    <row r="23" spans="1:13" s="10" customFormat="1" ht="12" customHeight="1" x14ac:dyDescent="0.25">
      <c r="A23" s="180">
        <v>5</v>
      </c>
      <c r="B23" s="20" t="s">
        <v>74</v>
      </c>
      <c r="C23" s="21">
        <v>2.4E-2</v>
      </c>
      <c r="D23" s="21">
        <v>2.4E-2</v>
      </c>
      <c r="E23" s="408">
        <f>цены!F87</f>
        <v>120</v>
      </c>
      <c r="F23" s="408">
        <f t="shared" si="4"/>
        <v>2.88</v>
      </c>
      <c r="G23" s="97">
        <f t="shared" si="0"/>
        <v>0.24</v>
      </c>
      <c r="H23" s="21">
        <f t="shared" si="0"/>
        <v>0.24</v>
      </c>
      <c r="I23" s="21">
        <f t="shared" si="1"/>
        <v>2.4</v>
      </c>
      <c r="J23" s="21">
        <f t="shared" si="1"/>
        <v>2.4</v>
      </c>
      <c r="L23" s="1018">
        <f t="shared" si="2"/>
        <v>6.0000000000000001E-3</v>
      </c>
      <c r="M23" s="1018">
        <f t="shared" si="3"/>
        <v>0.72</v>
      </c>
    </row>
    <row r="24" spans="1:13" s="10" customFormat="1" ht="12" customHeight="1" x14ac:dyDescent="0.25">
      <c r="A24" s="180">
        <v>6</v>
      </c>
      <c r="B24" s="20" t="s">
        <v>544</v>
      </c>
      <c r="C24" s="21">
        <v>2.3E-2</v>
      </c>
      <c r="D24" s="21">
        <v>0.02</v>
      </c>
      <c r="E24" s="408">
        <f>цены!F30</f>
        <v>152.16999999999999</v>
      </c>
      <c r="F24" s="408">
        <f t="shared" si="4"/>
        <v>3.5</v>
      </c>
      <c r="G24" s="97">
        <f t="shared" si="0"/>
        <v>0.23</v>
      </c>
      <c r="H24" s="21">
        <f t="shared" si="0"/>
        <v>0.2</v>
      </c>
      <c r="I24" s="21">
        <f t="shared" si="1"/>
        <v>2.2999999999999998</v>
      </c>
      <c r="J24" s="21">
        <f t="shared" si="1"/>
        <v>2</v>
      </c>
      <c r="L24" s="1018">
        <f t="shared" si="2"/>
        <v>5.7999999999999996E-3</v>
      </c>
      <c r="M24" s="1018">
        <f t="shared" si="3"/>
        <v>0.875</v>
      </c>
    </row>
    <row r="25" spans="1:13" s="10" customFormat="1" ht="12" customHeight="1" x14ac:dyDescent="0.25">
      <c r="A25" s="180">
        <v>7</v>
      </c>
      <c r="B25" s="20" t="s">
        <v>141</v>
      </c>
      <c r="C25" s="21">
        <v>0.75</v>
      </c>
      <c r="D25" s="21">
        <v>0.75</v>
      </c>
      <c r="E25" s="408"/>
      <c r="F25" s="408">
        <f t="shared" si="4"/>
        <v>0</v>
      </c>
      <c r="G25" s="97">
        <f t="shared" si="0"/>
        <v>7.5</v>
      </c>
      <c r="H25" s="21">
        <f t="shared" si="0"/>
        <v>7.5</v>
      </c>
      <c r="I25" s="21">
        <f t="shared" si="1"/>
        <v>75</v>
      </c>
      <c r="J25" s="21">
        <f t="shared" si="1"/>
        <v>75</v>
      </c>
      <c r="L25" s="1018">
        <f t="shared" si="2"/>
        <v>0.1875</v>
      </c>
      <c r="M25" s="1018">
        <f t="shared" si="3"/>
        <v>0</v>
      </c>
    </row>
    <row r="26" spans="1:13" s="10" customFormat="1" ht="12" customHeight="1" x14ac:dyDescent="0.25">
      <c r="A26" s="180">
        <v>8</v>
      </c>
      <c r="B26" s="20" t="s">
        <v>33</v>
      </c>
      <c r="C26" s="21">
        <v>0.01</v>
      </c>
      <c r="D26" s="21">
        <v>0.01</v>
      </c>
      <c r="E26" s="408">
        <f>цены!F110</f>
        <v>24</v>
      </c>
      <c r="F26" s="408">
        <f t="shared" si="4"/>
        <v>0.24</v>
      </c>
      <c r="G26" s="97">
        <f t="shared" si="0"/>
        <v>0.1</v>
      </c>
      <c r="H26" s="21">
        <f t="shared" si="0"/>
        <v>0.1</v>
      </c>
      <c r="I26" s="21">
        <f t="shared" si="1"/>
        <v>1</v>
      </c>
      <c r="J26" s="21">
        <f t="shared" si="1"/>
        <v>1</v>
      </c>
      <c r="L26" s="1018">
        <f t="shared" si="2"/>
        <v>2.5000000000000001E-3</v>
      </c>
      <c r="M26" s="1018">
        <f t="shared" si="3"/>
        <v>0.06</v>
      </c>
    </row>
    <row r="27" spans="1:13" s="10" customFormat="1" ht="12" customHeight="1" x14ac:dyDescent="0.25">
      <c r="A27" s="180">
        <v>9</v>
      </c>
      <c r="B27" s="20" t="s">
        <v>51</v>
      </c>
      <c r="C27" s="21">
        <v>0.02</v>
      </c>
      <c r="D27" s="21">
        <v>0.02</v>
      </c>
      <c r="E27" s="408">
        <f>цены!F24</f>
        <v>234</v>
      </c>
      <c r="F27" s="408">
        <f t="shared" si="4"/>
        <v>4.68</v>
      </c>
      <c r="G27" s="97">
        <f t="shared" si="0"/>
        <v>0.2</v>
      </c>
      <c r="H27" s="21">
        <f t="shared" si="0"/>
        <v>0.2</v>
      </c>
      <c r="I27" s="21">
        <f t="shared" si="1"/>
        <v>2</v>
      </c>
      <c r="J27" s="21">
        <f t="shared" si="1"/>
        <v>2</v>
      </c>
      <c r="L27" s="1018">
        <f t="shared" si="2"/>
        <v>5.0000000000000001E-3</v>
      </c>
      <c r="M27" s="1018">
        <f t="shared" si="3"/>
        <v>1.17</v>
      </c>
    </row>
    <row r="28" spans="1:13" s="10" customFormat="1" ht="12" customHeight="1" x14ac:dyDescent="0.25">
      <c r="A28" s="180">
        <v>10</v>
      </c>
      <c r="B28" s="20" t="s">
        <v>78</v>
      </c>
      <c r="C28" s="21">
        <f>0.002*C33</f>
        <v>8.0000000000000002E-3</v>
      </c>
      <c r="D28" s="21">
        <f>0.002*C33</f>
        <v>8.0000000000000002E-3</v>
      </c>
      <c r="E28" s="408">
        <f>цены!F48</f>
        <v>300</v>
      </c>
      <c r="F28" s="408">
        <f t="shared" si="4"/>
        <v>2.4</v>
      </c>
      <c r="G28" s="97">
        <f t="shared" si="0"/>
        <v>0.08</v>
      </c>
      <c r="H28" s="21">
        <f t="shared" si="0"/>
        <v>0.08</v>
      </c>
      <c r="I28" s="21">
        <f t="shared" si="1"/>
        <v>0.8</v>
      </c>
      <c r="J28" s="21">
        <f t="shared" si="1"/>
        <v>0.8</v>
      </c>
      <c r="L28" s="1018">
        <f t="shared" si="2"/>
        <v>2E-3</v>
      </c>
      <c r="M28" s="1018">
        <f t="shared" si="3"/>
        <v>0.6</v>
      </c>
    </row>
    <row r="29" spans="1:13" s="10" customFormat="1" ht="12" customHeight="1" x14ac:dyDescent="0.25">
      <c r="A29" s="98"/>
      <c r="B29" s="93" t="s">
        <v>100</v>
      </c>
      <c r="C29" s="114"/>
      <c r="D29" s="100">
        <v>1</v>
      </c>
      <c r="E29" s="95"/>
      <c r="F29" s="95">
        <f>SUM(F19:F28)</f>
        <v>126.12</v>
      </c>
      <c r="G29" s="99"/>
      <c r="H29" s="100">
        <f>D29*10</f>
        <v>10</v>
      </c>
      <c r="I29" s="100"/>
      <c r="J29" s="100">
        <f>D29*100</f>
        <v>100</v>
      </c>
      <c r="L29" s="1018">
        <f>SUM(L19:L28)</f>
        <v>0.35759999999999997</v>
      </c>
      <c r="M29" s="1018">
        <f>SUM(M19:M28)</f>
        <v>31.53</v>
      </c>
    </row>
    <row r="30" spans="1:13" s="10" customFormat="1" ht="22.35" customHeight="1" x14ac:dyDescent="0.25">
      <c r="A30" s="1536" t="s">
        <v>35</v>
      </c>
      <c r="B30" s="1536"/>
      <c r="C30" s="90"/>
      <c r="D30" s="90"/>
      <c r="E30" s="408"/>
      <c r="F30" s="408">
        <f>F29</f>
        <v>126.12</v>
      </c>
      <c r="G30" s="575"/>
      <c r="H30" s="575"/>
      <c r="I30" s="21"/>
      <c r="J30" s="408"/>
    </row>
    <row r="31" spans="1:13" s="10" customFormat="1" ht="25.35" customHeight="1" x14ac:dyDescent="0.25">
      <c r="A31" s="1536" t="s">
        <v>36</v>
      </c>
      <c r="B31" s="1536"/>
      <c r="C31" s="866">
        <v>1000</v>
      </c>
      <c r="D31" s="90"/>
      <c r="E31" s="408"/>
      <c r="F31" s="408"/>
      <c r="G31" s="408"/>
      <c r="H31" s="408"/>
      <c r="I31" s="21"/>
      <c r="J31" s="17"/>
    </row>
    <row r="32" spans="1:13" s="10" customFormat="1" ht="25.35" customHeight="1" x14ac:dyDescent="0.25">
      <c r="A32" s="1537" t="s">
        <v>37</v>
      </c>
      <c r="B32" s="1538"/>
      <c r="C32" s="1071">
        <v>250</v>
      </c>
      <c r="D32" s="92"/>
      <c r="E32" s="574"/>
      <c r="F32" s="574"/>
      <c r="G32" s="574"/>
      <c r="H32" s="574"/>
      <c r="I32" s="21"/>
      <c r="J32" s="17"/>
    </row>
    <row r="33" spans="1:10" s="10" customFormat="1" ht="15" customHeight="1" x14ac:dyDescent="0.25">
      <c r="A33" s="1539" t="s">
        <v>38</v>
      </c>
      <c r="B33" s="1540"/>
      <c r="C33" s="245">
        <f>C31/C32</f>
        <v>4</v>
      </c>
      <c r="D33" s="92"/>
      <c r="E33" s="574"/>
      <c r="F33" s="574"/>
      <c r="G33" s="574"/>
      <c r="H33" s="574"/>
      <c r="I33" s="21"/>
      <c r="J33" s="17"/>
    </row>
    <row r="34" spans="1:10" ht="16.350000000000001" customHeight="1" x14ac:dyDescent="0.25">
      <c r="A34" s="1541" t="s">
        <v>39</v>
      </c>
      <c r="B34" s="1542"/>
      <c r="C34" s="15" t="s">
        <v>40</v>
      </c>
      <c r="D34" s="102"/>
      <c r="E34" s="102" t="s">
        <v>40</v>
      </c>
      <c r="F34" s="16">
        <f>F30/C33</f>
        <v>31.53</v>
      </c>
      <c r="G34" s="16"/>
      <c r="H34" s="16"/>
      <c r="I34" s="102" t="s">
        <v>40</v>
      </c>
      <c r="J34" s="102" t="s">
        <v>40</v>
      </c>
    </row>
    <row r="35" spans="1:10" ht="13.35" customHeight="1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193"/>
      <c r="B36" s="1194" t="s">
        <v>49</v>
      </c>
      <c r="C36" s="1198"/>
      <c r="D36" s="1198"/>
      <c r="E36" s="1198"/>
      <c r="F36" s="1198"/>
      <c r="G36" s="1193"/>
      <c r="H36" s="1556">
        <f>'1-бутерброд с маслом'!$H$28</f>
        <v>0</v>
      </c>
      <c r="I36" s="1556"/>
      <c r="J36" s="1556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545" t="s">
        <v>327</v>
      </c>
      <c r="B38" s="1545"/>
      <c r="C38" s="1546" t="s">
        <v>328</v>
      </c>
      <c r="D38" s="1546"/>
      <c r="E38" s="1546"/>
      <c r="F38" s="1546"/>
      <c r="G38" s="106"/>
      <c r="H38" s="1531"/>
      <c r="I38" s="1531"/>
      <c r="J38" s="1531"/>
    </row>
    <row r="39" spans="1:10" x14ac:dyDescent="0.25">
      <c r="A39" s="1193"/>
      <c r="B39" s="1193"/>
      <c r="C39" s="1546"/>
      <c r="D39" s="1546"/>
      <c r="E39" s="1546"/>
      <c r="F39" s="1546"/>
      <c r="G39" s="1193"/>
      <c r="H39" s="1531" t="s">
        <v>329</v>
      </c>
      <c r="I39" s="1531"/>
      <c r="J39" s="1531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8:B38"/>
    <mergeCell ref="C38:F39"/>
    <mergeCell ref="H38:J38"/>
    <mergeCell ref="H39:J39"/>
    <mergeCell ref="A31:B31"/>
    <mergeCell ref="A32:B32"/>
    <mergeCell ref="A33:B33"/>
    <mergeCell ref="A34:B34"/>
    <mergeCell ref="H36:J36"/>
    <mergeCell ref="A30:B30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43"/>
  <sheetViews>
    <sheetView view="pageBreakPreview" topLeftCell="A3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589" customWidth="1"/>
    <col min="2" max="2" width="23.109375" style="589" customWidth="1"/>
    <col min="3" max="7" width="7.5546875" style="589" customWidth="1"/>
    <col min="8" max="8" width="8.88671875" style="589" customWidth="1"/>
    <col min="9" max="9" width="7.5546875" style="589" customWidth="1"/>
    <col min="10" max="10" width="9" style="589" customWidth="1"/>
    <col min="11" max="11" width="5.6640625" style="589" customWidth="1"/>
    <col min="12" max="16384" width="8.88671875" style="58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56)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593"/>
      <c r="I6" s="593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92</v>
      </c>
    </row>
    <row r="8" spans="1:10" s="2" customFormat="1" ht="9.6" customHeight="1" x14ac:dyDescent="0.25">
      <c r="A8" s="594"/>
      <c r="B8" s="594"/>
      <c r="C8" s="594"/>
      <c r="D8" s="594"/>
      <c r="E8" s="594"/>
      <c r="F8" s="594"/>
      <c r="G8" s="594"/>
      <c r="H8" s="594"/>
      <c r="I8" s="594"/>
      <c r="J8" s="109"/>
    </row>
    <row r="9" spans="1:10" s="2" customFormat="1" ht="26.1" customHeight="1" x14ac:dyDescent="0.3">
      <c r="A9" s="1550" t="s">
        <v>858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'89-щи зеленые'!H14+1</f>
        <v>56</v>
      </c>
      <c r="I14" s="1534">
        <v>44986</v>
      </c>
      <c r="J14" s="1535"/>
    </row>
    <row r="15" spans="1:10" s="2" customFormat="1" ht="13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590" t="s">
        <v>92</v>
      </c>
      <c r="D17" s="590" t="s">
        <v>94</v>
      </c>
      <c r="E17" s="590" t="s">
        <v>93</v>
      </c>
      <c r="F17" s="590" t="s">
        <v>23</v>
      </c>
      <c r="G17" s="590" t="s">
        <v>92</v>
      </c>
      <c r="H17" s="590" t="s">
        <v>94</v>
      </c>
      <c r="I17" s="590" t="s">
        <v>92</v>
      </c>
      <c r="J17" s="590" t="s">
        <v>94</v>
      </c>
    </row>
    <row r="18" spans="1:13" ht="9.6" customHeight="1" x14ac:dyDescent="0.25">
      <c r="A18" s="590">
        <v>1</v>
      </c>
      <c r="B18" s="592">
        <v>2</v>
      </c>
      <c r="C18" s="590">
        <v>3</v>
      </c>
      <c r="D18" s="592">
        <v>4</v>
      </c>
      <c r="E18" s="590">
        <v>5</v>
      </c>
      <c r="F18" s="592">
        <v>6</v>
      </c>
      <c r="G18" s="590">
        <v>7</v>
      </c>
      <c r="H18" s="592">
        <v>8</v>
      </c>
      <c r="I18" s="590">
        <v>9</v>
      </c>
      <c r="J18" s="592">
        <v>10</v>
      </c>
    </row>
    <row r="19" spans="1:13" s="10" customFormat="1" ht="14.1" customHeight="1" x14ac:dyDescent="0.25">
      <c r="A19" s="180">
        <v>1</v>
      </c>
      <c r="B19" s="20" t="s">
        <v>859</v>
      </c>
      <c r="C19" s="21">
        <v>0.28599999999999998</v>
      </c>
      <c r="D19" s="21">
        <v>0.3</v>
      </c>
      <c r="E19" s="408">
        <f>цены!F103</f>
        <v>112</v>
      </c>
      <c r="F19" s="408">
        <f>C19*E19</f>
        <v>32.03</v>
      </c>
      <c r="G19" s="97">
        <f t="shared" ref="G19:H28" si="0">C19*10</f>
        <v>2.86</v>
      </c>
      <c r="H19" s="21">
        <f t="shared" si="0"/>
        <v>3</v>
      </c>
      <c r="I19" s="21">
        <f t="shared" ref="I19:J28" si="1">C19*100</f>
        <v>28.6</v>
      </c>
      <c r="J19" s="21">
        <f t="shared" si="1"/>
        <v>30</v>
      </c>
      <c r="L19" s="1018">
        <f>C19/C$33</f>
        <v>7.1499999999999994E-2</v>
      </c>
      <c r="M19" s="1018">
        <f>F19/C$33</f>
        <v>8.0075000000000003</v>
      </c>
    </row>
    <row r="20" spans="1:13" s="10" customFormat="1" ht="14.1" customHeight="1" x14ac:dyDescent="0.25">
      <c r="A20" s="180">
        <v>2</v>
      </c>
      <c r="B20" s="20" t="s">
        <v>50</v>
      </c>
      <c r="C20" s="21">
        <v>0.13300000000000001</v>
      </c>
      <c r="D20" s="21">
        <v>0.1</v>
      </c>
      <c r="E20" s="408">
        <f>цены!F35</f>
        <v>50</v>
      </c>
      <c r="F20" s="408">
        <f>C20*E20</f>
        <v>6.65</v>
      </c>
      <c r="G20" s="97">
        <f t="shared" si="0"/>
        <v>1.33</v>
      </c>
      <c r="H20" s="21">
        <f t="shared" si="0"/>
        <v>1</v>
      </c>
      <c r="I20" s="21">
        <f t="shared" si="1"/>
        <v>13.3</v>
      </c>
      <c r="J20" s="21">
        <f t="shared" si="1"/>
        <v>10</v>
      </c>
      <c r="L20" s="1018">
        <f t="shared" ref="L20:L28" si="2">C20/C$33</f>
        <v>3.3300000000000003E-2</v>
      </c>
      <c r="M20" s="1018">
        <f t="shared" ref="M20:M28" si="3">F20/C$33</f>
        <v>1.6625000000000001</v>
      </c>
    </row>
    <row r="21" spans="1:13" s="10" customFormat="1" ht="12" customHeight="1" x14ac:dyDescent="0.25">
      <c r="A21" s="180">
        <v>3</v>
      </c>
      <c r="B21" s="20" t="s">
        <v>47</v>
      </c>
      <c r="C21" s="21">
        <v>0.05</v>
      </c>
      <c r="D21" s="21">
        <v>0.04</v>
      </c>
      <c r="E21" s="408">
        <f>цены!F44</f>
        <v>50</v>
      </c>
      <c r="F21" s="408">
        <f>C21*E21</f>
        <v>2.5</v>
      </c>
      <c r="G21" s="97">
        <f t="shared" si="0"/>
        <v>0.5</v>
      </c>
      <c r="H21" s="21">
        <f t="shared" si="0"/>
        <v>0.4</v>
      </c>
      <c r="I21" s="21">
        <f t="shared" si="1"/>
        <v>5</v>
      </c>
      <c r="J21" s="21">
        <f t="shared" si="1"/>
        <v>4</v>
      </c>
      <c r="L21" s="1018">
        <f t="shared" si="2"/>
        <v>1.2500000000000001E-2</v>
      </c>
      <c r="M21" s="1018">
        <f t="shared" si="3"/>
        <v>0.625</v>
      </c>
    </row>
    <row r="22" spans="1:13" s="10" customFormat="1" ht="12" customHeight="1" x14ac:dyDescent="0.25">
      <c r="A22" s="180">
        <v>4</v>
      </c>
      <c r="B22" s="20" t="s">
        <v>48</v>
      </c>
      <c r="C22" s="21">
        <v>4.8000000000000001E-2</v>
      </c>
      <c r="D22" s="21">
        <v>0.04</v>
      </c>
      <c r="E22" s="408">
        <f>цены!F38</f>
        <v>50</v>
      </c>
      <c r="F22" s="408">
        <f t="shared" ref="F22:F28" si="4">C22*E22</f>
        <v>2.4</v>
      </c>
      <c r="G22" s="97">
        <f t="shared" si="0"/>
        <v>0.48</v>
      </c>
      <c r="H22" s="21">
        <f t="shared" si="0"/>
        <v>0.4</v>
      </c>
      <c r="I22" s="21">
        <f t="shared" si="1"/>
        <v>4.8</v>
      </c>
      <c r="J22" s="21">
        <f t="shared" si="1"/>
        <v>4</v>
      </c>
      <c r="L22" s="1018">
        <f t="shared" si="2"/>
        <v>1.2E-2</v>
      </c>
      <c r="M22" s="1018">
        <f t="shared" si="3"/>
        <v>0.6</v>
      </c>
    </row>
    <row r="23" spans="1:13" s="10" customFormat="1" ht="12" customHeight="1" x14ac:dyDescent="0.25">
      <c r="A23" s="180">
        <v>5</v>
      </c>
      <c r="B23" s="20" t="s">
        <v>46</v>
      </c>
      <c r="C23" s="21">
        <v>0.01</v>
      </c>
      <c r="D23" s="21">
        <v>0.01</v>
      </c>
      <c r="E23" s="408">
        <f>цены!F113</f>
        <v>230</v>
      </c>
      <c r="F23" s="408">
        <f t="shared" si="4"/>
        <v>2.2999999999999998</v>
      </c>
      <c r="G23" s="97">
        <f t="shared" si="0"/>
        <v>0.1</v>
      </c>
      <c r="H23" s="21">
        <f t="shared" si="0"/>
        <v>0.1</v>
      </c>
      <c r="I23" s="21">
        <f t="shared" si="1"/>
        <v>1</v>
      </c>
      <c r="J23" s="21">
        <f t="shared" si="1"/>
        <v>1</v>
      </c>
      <c r="L23" s="1018">
        <f t="shared" si="2"/>
        <v>2.5000000000000001E-3</v>
      </c>
      <c r="M23" s="1018">
        <f t="shared" si="3"/>
        <v>0.57499999999999996</v>
      </c>
    </row>
    <row r="24" spans="1:13" s="10" customFormat="1" ht="12" customHeight="1" x14ac:dyDescent="0.25">
      <c r="A24" s="180">
        <v>6</v>
      </c>
      <c r="B24" s="20" t="s">
        <v>74</v>
      </c>
      <c r="C24" s="21">
        <v>0.02</v>
      </c>
      <c r="D24" s="21">
        <v>0.02</v>
      </c>
      <c r="E24" s="408">
        <f>цены!F87</f>
        <v>120</v>
      </c>
      <c r="F24" s="408">
        <f t="shared" si="4"/>
        <v>2.4</v>
      </c>
      <c r="G24" s="97">
        <f t="shared" si="0"/>
        <v>0.2</v>
      </c>
      <c r="H24" s="21">
        <f t="shared" si="0"/>
        <v>0.2</v>
      </c>
      <c r="I24" s="21">
        <f t="shared" si="1"/>
        <v>2</v>
      </c>
      <c r="J24" s="21">
        <f t="shared" si="1"/>
        <v>2</v>
      </c>
      <c r="L24" s="1018">
        <f t="shared" si="2"/>
        <v>5.0000000000000001E-3</v>
      </c>
      <c r="M24" s="1018">
        <f t="shared" si="3"/>
        <v>0.6</v>
      </c>
    </row>
    <row r="25" spans="1:13" s="10" customFormat="1" ht="12" customHeight="1" x14ac:dyDescent="0.25">
      <c r="A25" s="180">
        <v>7</v>
      </c>
      <c r="B25" s="20" t="s">
        <v>141</v>
      </c>
      <c r="C25" s="21">
        <v>0.8</v>
      </c>
      <c r="D25" s="21">
        <v>0.8</v>
      </c>
      <c r="E25" s="408"/>
      <c r="F25" s="408">
        <f t="shared" si="4"/>
        <v>0</v>
      </c>
      <c r="G25" s="97">
        <f t="shared" si="0"/>
        <v>8</v>
      </c>
      <c r="H25" s="21">
        <f t="shared" si="0"/>
        <v>8</v>
      </c>
      <c r="I25" s="21">
        <f t="shared" si="1"/>
        <v>80</v>
      </c>
      <c r="J25" s="21">
        <f t="shared" si="1"/>
        <v>80</v>
      </c>
      <c r="L25" s="1018">
        <f t="shared" si="2"/>
        <v>0.2</v>
      </c>
      <c r="M25" s="1018">
        <f t="shared" si="3"/>
        <v>0</v>
      </c>
    </row>
    <row r="26" spans="1:13" s="10" customFormat="1" ht="12" customHeight="1" x14ac:dyDescent="0.25">
      <c r="A26" s="180">
        <v>8</v>
      </c>
      <c r="B26" s="20" t="s">
        <v>33</v>
      </c>
      <c r="C26" s="21">
        <v>0.01</v>
      </c>
      <c r="D26" s="21">
        <v>0.01</v>
      </c>
      <c r="E26" s="408">
        <f>цены!F110</f>
        <v>24</v>
      </c>
      <c r="F26" s="408">
        <f t="shared" si="4"/>
        <v>0.24</v>
      </c>
      <c r="G26" s="97">
        <f t="shared" si="0"/>
        <v>0.1</v>
      </c>
      <c r="H26" s="21">
        <f t="shared" si="0"/>
        <v>0.1</v>
      </c>
      <c r="I26" s="21">
        <f t="shared" si="1"/>
        <v>1</v>
      </c>
      <c r="J26" s="21">
        <f t="shared" si="1"/>
        <v>1</v>
      </c>
      <c r="L26" s="1018">
        <f t="shared" si="2"/>
        <v>2.5000000000000001E-3</v>
      </c>
      <c r="M26" s="1018">
        <f t="shared" si="3"/>
        <v>0.06</v>
      </c>
    </row>
    <row r="27" spans="1:13" s="10" customFormat="1" ht="12" customHeight="1" x14ac:dyDescent="0.25">
      <c r="A27" s="180">
        <v>9</v>
      </c>
      <c r="B27" s="20" t="s">
        <v>51</v>
      </c>
      <c r="C27" s="21">
        <v>0.02</v>
      </c>
      <c r="D27" s="21">
        <v>0.02</v>
      </c>
      <c r="E27" s="408">
        <f>цены!F24</f>
        <v>234</v>
      </c>
      <c r="F27" s="408">
        <f t="shared" si="4"/>
        <v>4.68</v>
      </c>
      <c r="G27" s="97">
        <f t="shared" si="0"/>
        <v>0.2</v>
      </c>
      <c r="H27" s="21">
        <f t="shared" si="0"/>
        <v>0.2</v>
      </c>
      <c r="I27" s="21">
        <f t="shared" si="1"/>
        <v>2</v>
      </c>
      <c r="J27" s="21">
        <f t="shared" si="1"/>
        <v>2</v>
      </c>
      <c r="L27" s="1018">
        <f t="shared" si="2"/>
        <v>5.0000000000000001E-3</v>
      </c>
      <c r="M27" s="1018">
        <f t="shared" si="3"/>
        <v>1.17</v>
      </c>
    </row>
    <row r="28" spans="1:13" s="10" customFormat="1" ht="12" customHeight="1" x14ac:dyDescent="0.25">
      <c r="A28" s="180">
        <v>10</v>
      </c>
      <c r="B28" s="20" t="s">
        <v>78</v>
      </c>
      <c r="C28" s="125">
        <f>0.002*C33</f>
        <v>8.0000000000000002E-3</v>
      </c>
      <c r="D28" s="125">
        <f>0.002*C33</f>
        <v>8.0000000000000002E-3</v>
      </c>
      <c r="E28" s="408">
        <f>цены!F48</f>
        <v>300</v>
      </c>
      <c r="F28" s="408">
        <f t="shared" si="4"/>
        <v>2.4</v>
      </c>
      <c r="G28" s="97">
        <f t="shared" si="0"/>
        <v>0.08</v>
      </c>
      <c r="H28" s="21">
        <f t="shared" si="0"/>
        <v>0.08</v>
      </c>
      <c r="I28" s="21">
        <f t="shared" si="1"/>
        <v>0.8</v>
      </c>
      <c r="J28" s="21">
        <f t="shared" si="1"/>
        <v>0.8</v>
      </c>
      <c r="L28" s="1018">
        <f t="shared" si="2"/>
        <v>2E-3</v>
      </c>
      <c r="M28" s="1018">
        <f t="shared" si="3"/>
        <v>0.6</v>
      </c>
    </row>
    <row r="29" spans="1:13" s="10" customFormat="1" ht="12" customHeight="1" x14ac:dyDescent="0.25">
      <c r="A29" s="98"/>
      <c r="B29" s="93" t="s">
        <v>100</v>
      </c>
      <c r="C29" s="114"/>
      <c r="D29" s="100">
        <v>1</v>
      </c>
      <c r="E29" s="95"/>
      <c r="F29" s="95">
        <f>SUM(F19:F28)</f>
        <v>55.6</v>
      </c>
      <c r="G29" s="99"/>
      <c r="H29" s="100">
        <f>D29*10</f>
        <v>10</v>
      </c>
      <c r="I29" s="100"/>
      <c r="J29" s="100">
        <f>D29*100</f>
        <v>100</v>
      </c>
      <c r="L29" s="1018">
        <f>SUM(L19:L28)</f>
        <v>0.3463</v>
      </c>
      <c r="M29" s="1018">
        <f>SUM(M19:M28)</f>
        <v>13.9</v>
      </c>
    </row>
    <row r="30" spans="1:13" s="10" customFormat="1" ht="22.35" customHeight="1" x14ac:dyDescent="0.25">
      <c r="A30" s="1536" t="s">
        <v>35</v>
      </c>
      <c r="B30" s="1536"/>
      <c r="C30" s="90"/>
      <c r="D30" s="90"/>
      <c r="E30" s="408"/>
      <c r="F30" s="408">
        <f>F29</f>
        <v>55.6</v>
      </c>
      <c r="G30" s="591"/>
      <c r="H30" s="591"/>
      <c r="I30" s="21"/>
      <c r="J30" s="408"/>
    </row>
    <row r="31" spans="1:13" s="10" customFormat="1" ht="25.35" customHeight="1" x14ac:dyDescent="0.25">
      <c r="A31" s="1536" t="s">
        <v>36</v>
      </c>
      <c r="B31" s="1536"/>
      <c r="C31" s="866">
        <v>1000</v>
      </c>
      <c r="D31" s="90"/>
      <c r="E31" s="408"/>
      <c r="F31" s="408"/>
      <c r="G31" s="408"/>
      <c r="H31" s="408"/>
      <c r="I31" s="21"/>
      <c r="J31" s="17"/>
    </row>
    <row r="32" spans="1:13" s="10" customFormat="1" ht="25.35" customHeight="1" x14ac:dyDescent="0.25">
      <c r="A32" s="1537" t="s">
        <v>37</v>
      </c>
      <c r="B32" s="1538"/>
      <c r="C32" s="1071">
        <v>250</v>
      </c>
      <c r="D32" s="92"/>
      <c r="E32" s="592"/>
      <c r="F32" s="592"/>
      <c r="G32" s="592"/>
      <c r="H32" s="592"/>
      <c r="I32" s="21"/>
      <c r="J32" s="17"/>
    </row>
    <row r="33" spans="1:10" s="10" customFormat="1" ht="15" customHeight="1" x14ac:dyDescent="0.25">
      <c r="A33" s="1539" t="s">
        <v>38</v>
      </c>
      <c r="B33" s="1540"/>
      <c r="C33" s="245">
        <f>C31/C32</f>
        <v>4</v>
      </c>
      <c r="D33" s="92"/>
      <c r="E33" s="592"/>
      <c r="F33" s="592"/>
      <c r="G33" s="592"/>
      <c r="H33" s="592"/>
      <c r="I33" s="21"/>
      <c r="J33" s="17"/>
    </row>
    <row r="34" spans="1:10" ht="16.350000000000001" customHeight="1" x14ac:dyDescent="0.25">
      <c r="A34" s="1541" t="s">
        <v>39</v>
      </c>
      <c r="B34" s="1542"/>
      <c r="C34" s="15" t="s">
        <v>40</v>
      </c>
      <c r="D34" s="102"/>
      <c r="E34" s="102" t="s">
        <v>40</v>
      </c>
      <c r="F34" s="16">
        <f>F30/C33</f>
        <v>13.9</v>
      </c>
      <c r="G34" s="16"/>
      <c r="H34" s="16"/>
      <c r="I34" s="102" t="s">
        <v>40</v>
      </c>
      <c r="J34" s="102" t="s">
        <v>40</v>
      </c>
    </row>
    <row r="35" spans="1:10" ht="13.35" customHeight="1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193"/>
      <c r="B36" s="1194" t="s">
        <v>49</v>
      </c>
      <c r="C36" s="1198"/>
      <c r="D36" s="1198"/>
      <c r="E36" s="1198"/>
      <c r="F36" s="1198"/>
      <c r="G36" s="1193"/>
      <c r="H36" s="1556">
        <f>'1-бутерброд с маслом'!$H$28</f>
        <v>0</v>
      </c>
      <c r="I36" s="1556"/>
      <c r="J36" s="1556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545" t="s">
        <v>327</v>
      </c>
      <c r="B38" s="1545"/>
      <c r="C38" s="1546" t="s">
        <v>328</v>
      </c>
      <c r="D38" s="1546"/>
      <c r="E38" s="1546"/>
      <c r="F38" s="1546"/>
      <c r="G38" s="106"/>
      <c r="H38" s="1531"/>
      <c r="I38" s="1531"/>
      <c r="J38" s="1531"/>
    </row>
    <row r="39" spans="1:10" x14ac:dyDescent="0.25">
      <c r="A39" s="1193"/>
      <c r="B39" s="1193"/>
      <c r="C39" s="1546"/>
      <c r="D39" s="1546"/>
      <c r="E39" s="1546"/>
      <c r="F39" s="1546"/>
      <c r="G39" s="1193"/>
      <c r="H39" s="1531" t="s">
        <v>329</v>
      </c>
      <c r="I39" s="1531"/>
      <c r="J39" s="1531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</sheetData>
  <mergeCells count="28">
    <mergeCell ref="H36:J36"/>
    <mergeCell ref="A13:G13"/>
    <mergeCell ref="A31:B31"/>
    <mergeCell ref="A32:B32"/>
    <mergeCell ref="A33:B33"/>
    <mergeCell ref="A34:B34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8:B38"/>
    <mergeCell ref="C38:F39"/>
    <mergeCell ref="H38:J38"/>
    <mergeCell ref="H39:J39"/>
    <mergeCell ref="H5:I5"/>
    <mergeCell ref="A6:G6"/>
    <mergeCell ref="A7:I7"/>
    <mergeCell ref="A30:B30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9"/>
  <sheetViews>
    <sheetView view="pageBreakPreview" topLeftCell="A19" zoomScale="110" zoomScaleNormal="100" zoomScaleSheetLayoutView="110" workbookViewId="0">
      <selection activeCell="H32" sqref="H32:J32"/>
    </sheetView>
  </sheetViews>
  <sheetFormatPr defaultColWidth="8.88671875" defaultRowHeight="13.8" x14ac:dyDescent="0.25"/>
  <cols>
    <col min="1" max="1" width="4.109375" style="699" customWidth="1"/>
    <col min="2" max="2" width="22.44140625" style="699" customWidth="1"/>
    <col min="3" max="7" width="7.5546875" style="699" customWidth="1"/>
    <col min="8" max="8" width="8.88671875" style="699" customWidth="1"/>
    <col min="9" max="9" width="7.5546875" style="699" customWidth="1"/>
    <col min="10" max="10" width="9" style="699" customWidth="1"/>
    <col min="11" max="11" width="4.33203125" style="699" customWidth="1"/>
    <col min="12" max="16384" width="8.88671875" style="69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57)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708"/>
      <c r="I6" s="708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94</v>
      </c>
    </row>
    <row r="8" spans="1:10" s="2" customFormat="1" ht="9.6" customHeight="1" x14ac:dyDescent="0.25">
      <c r="A8" s="709"/>
      <c r="B8" s="709"/>
      <c r="C8" s="709"/>
      <c r="D8" s="709"/>
      <c r="E8" s="709"/>
      <c r="F8" s="709"/>
      <c r="G8" s="709"/>
      <c r="H8" s="709"/>
      <c r="I8" s="709"/>
      <c r="J8" s="109"/>
    </row>
    <row r="9" spans="1:10" s="2" customFormat="1" ht="26.1" customHeight="1" x14ac:dyDescent="0.3">
      <c r="A9" s="1550" t="s">
        <v>908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'92-щи кваш. капуста 50'!H14+1</f>
        <v>57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705" t="s">
        <v>92</v>
      </c>
      <c r="D17" s="705" t="s">
        <v>94</v>
      </c>
      <c r="E17" s="705" t="s">
        <v>93</v>
      </c>
      <c r="F17" s="705" t="s">
        <v>23</v>
      </c>
      <c r="G17" s="705" t="s">
        <v>92</v>
      </c>
      <c r="H17" s="705" t="s">
        <v>94</v>
      </c>
      <c r="I17" s="705" t="s">
        <v>92</v>
      </c>
      <c r="J17" s="705" t="s">
        <v>94</v>
      </c>
    </row>
    <row r="18" spans="1:13" ht="9.6" customHeight="1" x14ac:dyDescent="0.25">
      <c r="A18" s="705">
        <v>1</v>
      </c>
      <c r="B18" s="707">
        <v>2</v>
      </c>
      <c r="C18" s="705">
        <v>3</v>
      </c>
      <c r="D18" s="707">
        <v>4</v>
      </c>
      <c r="E18" s="705">
        <v>5</v>
      </c>
      <c r="F18" s="707">
        <v>6</v>
      </c>
      <c r="G18" s="705">
        <v>7</v>
      </c>
      <c r="H18" s="707">
        <v>8</v>
      </c>
      <c r="I18" s="705">
        <v>9</v>
      </c>
      <c r="J18" s="707">
        <v>10</v>
      </c>
    </row>
    <row r="19" spans="1:13" s="10" customFormat="1" ht="14.1" customHeight="1" x14ac:dyDescent="0.25">
      <c r="A19" s="180">
        <v>1</v>
      </c>
      <c r="B19" s="20" t="s">
        <v>50</v>
      </c>
      <c r="C19" s="21">
        <v>0.4</v>
      </c>
      <c r="D19" s="21">
        <v>0.3</v>
      </c>
      <c r="E19" s="408">
        <f>цены!F35</f>
        <v>50</v>
      </c>
      <c r="F19" s="408">
        <f t="shared" ref="F19:F24" si="0">C19*E19</f>
        <v>20</v>
      </c>
      <c r="G19" s="97">
        <f t="shared" ref="G19:H24" si="1">C19*10</f>
        <v>4</v>
      </c>
      <c r="H19" s="21">
        <f t="shared" si="1"/>
        <v>3</v>
      </c>
      <c r="I19" s="21">
        <f t="shared" ref="I19:J24" si="2">C19*100</f>
        <v>40</v>
      </c>
      <c r="J19" s="21">
        <f t="shared" si="2"/>
        <v>30</v>
      </c>
      <c r="L19" s="1018">
        <f>C19/C$29</f>
        <v>0.1</v>
      </c>
      <c r="M19" s="1018">
        <f>F19/C$29</f>
        <v>5</v>
      </c>
    </row>
    <row r="20" spans="1:13" s="10" customFormat="1" ht="12" customHeight="1" x14ac:dyDescent="0.25">
      <c r="A20" s="180">
        <v>2</v>
      </c>
      <c r="B20" s="20" t="s">
        <v>48</v>
      </c>
      <c r="C20" s="21">
        <v>4.8000000000000001E-2</v>
      </c>
      <c r="D20" s="21">
        <v>0.04</v>
      </c>
      <c r="E20" s="408">
        <f>цены!F38</f>
        <v>50</v>
      </c>
      <c r="F20" s="408">
        <f t="shared" si="0"/>
        <v>2.4</v>
      </c>
      <c r="G20" s="97">
        <f t="shared" si="1"/>
        <v>0.48</v>
      </c>
      <c r="H20" s="21">
        <f t="shared" si="1"/>
        <v>0.4</v>
      </c>
      <c r="I20" s="21">
        <f t="shared" si="2"/>
        <v>4.8</v>
      </c>
      <c r="J20" s="21">
        <f t="shared" si="2"/>
        <v>4</v>
      </c>
      <c r="L20" s="1018">
        <f t="shared" ref="L20:L24" si="3">C20/C$29</f>
        <v>1.2E-2</v>
      </c>
      <c r="M20" s="1018">
        <f t="shared" ref="M20:M24" si="4">F20/C$29</f>
        <v>0.6</v>
      </c>
    </row>
    <row r="21" spans="1:13" s="10" customFormat="1" ht="12" customHeight="1" x14ac:dyDescent="0.25">
      <c r="A21" s="180">
        <v>3</v>
      </c>
      <c r="B21" s="20" t="s">
        <v>526</v>
      </c>
      <c r="C21" s="21">
        <v>6.7000000000000004E-2</v>
      </c>
      <c r="D21" s="21">
        <v>0.06</v>
      </c>
      <c r="E21" s="408">
        <f>цены!F101</f>
        <v>120</v>
      </c>
      <c r="F21" s="408">
        <f t="shared" si="0"/>
        <v>8.0399999999999991</v>
      </c>
      <c r="G21" s="97">
        <f>C21*10</f>
        <v>0.67</v>
      </c>
      <c r="H21" s="21">
        <f>D21*10</f>
        <v>0.6</v>
      </c>
      <c r="I21" s="21">
        <f>C21*100</f>
        <v>6.7</v>
      </c>
      <c r="J21" s="21">
        <f>D21*100</f>
        <v>6</v>
      </c>
      <c r="L21" s="1018">
        <f t="shared" si="3"/>
        <v>1.6799999999999999E-2</v>
      </c>
      <c r="M21" s="1018">
        <f t="shared" si="4"/>
        <v>2.0099999999999998</v>
      </c>
    </row>
    <row r="22" spans="1:13" s="10" customFormat="1" ht="12" customHeight="1" x14ac:dyDescent="0.25">
      <c r="A22" s="180">
        <v>4</v>
      </c>
      <c r="B22" s="20" t="s">
        <v>74</v>
      </c>
      <c r="C22" s="21">
        <v>0.02</v>
      </c>
      <c r="D22" s="21">
        <v>0.02</v>
      </c>
      <c r="E22" s="408">
        <f>цены!F87</f>
        <v>120</v>
      </c>
      <c r="F22" s="408">
        <f t="shared" si="0"/>
        <v>2.4</v>
      </c>
      <c r="G22" s="97">
        <f>C22*10</f>
        <v>0.2</v>
      </c>
      <c r="H22" s="21">
        <f>D22*10</f>
        <v>0.2</v>
      </c>
      <c r="I22" s="21">
        <f>C22*100</f>
        <v>2</v>
      </c>
      <c r="J22" s="21">
        <f>D22*100</f>
        <v>2</v>
      </c>
      <c r="L22" s="1018">
        <f t="shared" si="3"/>
        <v>5.0000000000000001E-3</v>
      </c>
      <c r="M22" s="1018">
        <f t="shared" si="4"/>
        <v>0.6</v>
      </c>
    </row>
    <row r="23" spans="1:13" s="10" customFormat="1" ht="12" customHeight="1" x14ac:dyDescent="0.25">
      <c r="A23" s="180">
        <v>5</v>
      </c>
      <c r="B23" s="20" t="s">
        <v>141</v>
      </c>
      <c r="C23" s="21">
        <v>0.75</v>
      </c>
      <c r="D23" s="21">
        <v>0.75</v>
      </c>
      <c r="E23" s="408"/>
      <c r="F23" s="408">
        <f t="shared" si="0"/>
        <v>0</v>
      </c>
      <c r="G23" s="97">
        <f t="shared" si="1"/>
        <v>7.5</v>
      </c>
      <c r="H23" s="21">
        <f t="shared" si="1"/>
        <v>7.5</v>
      </c>
      <c r="I23" s="21">
        <f t="shared" si="2"/>
        <v>75</v>
      </c>
      <c r="J23" s="21">
        <f t="shared" si="2"/>
        <v>75</v>
      </c>
      <c r="L23" s="1018">
        <f t="shared" si="3"/>
        <v>0.1875</v>
      </c>
      <c r="M23" s="1018">
        <f t="shared" si="4"/>
        <v>0</v>
      </c>
    </row>
    <row r="24" spans="1:13" s="10" customFormat="1" ht="12" customHeight="1" x14ac:dyDescent="0.25">
      <c r="A24" s="180">
        <v>8</v>
      </c>
      <c r="B24" s="20" t="s">
        <v>51</v>
      </c>
      <c r="C24" s="21">
        <v>0.02</v>
      </c>
      <c r="D24" s="21">
        <v>0.02</v>
      </c>
      <c r="E24" s="408">
        <f>цены!F24</f>
        <v>234</v>
      </c>
      <c r="F24" s="408">
        <f t="shared" si="0"/>
        <v>4.68</v>
      </c>
      <c r="G24" s="97">
        <f t="shared" si="1"/>
        <v>0.2</v>
      </c>
      <c r="H24" s="21">
        <f t="shared" si="1"/>
        <v>0.2</v>
      </c>
      <c r="I24" s="21">
        <f t="shared" si="2"/>
        <v>2</v>
      </c>
      <c r="J24" s="21">
        <f t="shared" si="2"/>
        <v>2</v>
      </c>
      <c r="L24" s="1018">
        <f t="shared" si="3"/>
        <v>5.0000000000000001E-3</v>
      </c>
      <c r="M24" s="1018">
        <f t="shared" si="4"/>
        <v>1.17</v>
      </c>
    </row>
    <row r="25" spans="1:13" s="10" customFormat="1" ht="12" customHeight="1" x14ac:dyDescent="0.25">
      <c r="A25" s="98"/>
      <c r="B25" s="93" t="s">
        <v>100</v>
      </c>
      <c r="C25" s="114"/>
      <c r="D25" s="100">
        <v>1</v>
      </c>
      <c r="E25" s="95"/>
      <c r="F25" s="95">
        <f>SUM(F19:F24)</f>
        <v>37.520000000000003</v>
      </c>
      <c r="G25" s="99"/>
      <c r="H25" s="100">
        <f>D25*10</f>
        <v>10</v>
      </c>
      <c r="I25" s="100"/>
      <c r="J25" s="100">
        <f>D25*100</f>
        <v>100</v>
      </c>
      <c r="L25" s="1018">
        <f>SUM(L19:L24)</f>
        <v>0.32629999999999998</v>
      </c>
      <c r="M25" s="1018">
        <f>SUM(M19:M24)</f>
        <v>9.3800000000000008</v>
      </c>
    </row>
    <row r="26" spans="1:13" s="10" customFormat="1" ht="27.6" customHeight="1" x14ac:dyDescent="0.25">
      <c r="A26" s="1536" t="s">
        <v>35</v>
      </c>
      <c r="B26" s="1536"/>
      <c r="C26" s="90"/>
      <c r="D26" s="90"/>
      <c r="E26" s="408"/>
      <c r="F26" s="408">
        <f>F25</f>
        <v>37.520000000000003</v>
      </c>
      <c r="G26" s="706"/>
      <c r="H26" s="706"/>
      <c r="I26" s="21"/>
      <c r="J26" s="408"/>
    </row>
    <row r="27" spans="1:13" s="10" customFormat="1" ht="25.35" customHeight="1" x14ac:dyDescent="0.25">
      <c r="A27" s="1536" t="s">
        <v>36</v>
      </c>
      <c r="B27" s="1536"/>
      <c r="C27" s="866">
        <v>1000</v>
      </c>
      <c r="D27" s="90"/>
      <c r="E27" s="408"/>
      <c r="F27" s="408"/>
      <c r="G27" s="408"/>
      <c r="H27" s="408"/>
      <c r="I27" s="21"/>
      <c r="J27" s="17"/>
    </row>
    <row r="28" spans="1:13" s="10" customFormat="1" ht="25.35" customHeight="1" x14ac:dyDescent="0.25">
      <c r="A28" s="1537" t="s">
        <v>37</v>
      </c>
      <c r="B28" s="1538"/>
      <c r="C28" s="1071">
        <v>250</v>
      </c>
      <c r="D28" s="92"/>
      <c r="E28" s="707"/>
      <c r="F28" s="707"/>
      <c r="G28" s="707"/>
      <c r="H28" s="707"/>
      <c r="I28" s="21"/>
      <c r="J28" s="17"/>
    </row>
    <row r="29" spans="1:13" s="10" customFormat="1" ht="15" customHeight="1" x14ac:dyDescent="0.25">
      <c r="A29" s="1539" t="s">
        <v>38</v>
      </c>
      <c r="B29" s="1540"/>
      <c r="C29" s="245">
        <f>C27/C28</f>
        <v>4</v>
      </c>
      <c r="D29" s="92"/>
      <c r="E29" s="707"/>
      <c r="F29" s="707"/>
      <c r="G29" s="707"/>
      <c r="H29" s="707"/>
      <c r="I29" s="21"/>
      <c r="J29" s="17"/>
    </row>
    <row r="30" spans="1:13" ht="16.350000000000001" customHeight="1" x14ac:dyDescent="0.25">
      <c r="A30" s="1541" t="s">
        <v>39</v>
      </c>
      <c r="B30" s="1542"/>
      <c r="C30" s="15" t="s">
        <v>40</v>
      </c>
      <c r="D30" s="102"/>
      <c r="E30" s="102" t="s">
        <v>40</v>
      </c>
      <c r="F30" s="16">
        <f>F26/C29</f>
        <v>9.3800000000000008</v>
      </c>
      <c r="G30" s="16"/>
      <c r="H30" s="16"/>
      <c r="I30" s="102" t="s">
        <v>40</v>
      </c>
      <c r="J30" s="102" t="s">
        <v>40</v>
      </c>
    </row>
    <row r="31" spans="1:13" ht="23.1" customHeight="1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3" ht="13.95" customHeight="1" x14ac:dyDescent="0.25">
      <c r="A32" s="1193"/>
      <c r="B32" s="1194" t="s">
        <v>49</v>
      </c>
      <c r="C32" s="1198"/>
      <c r="D32" s="1198"/>
      <c r="E32" s="1198"/>
      <c r="F32" s="1198"/>
      <c r="G32" s="1193"/>
      <c r="H32" s="1556">
        <f>'1-бутерброд с маслом'!$H$28</f>
        <v>0</v>
      </c>
      <c r="I32" s="1556"/>
      <c r="J32" s="1556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545" t="s">
        <v>327</v>
      </c>
      <c r="B34" s="1545"/>
      <c r="C34" s="1546" t="s">
        <v>328</v>
      </c>
      <c r="D34" s="1546"/>
      <c r="E34" s="1546"/>
      <c r="F34" s="1546"/>
      <c r="G34" s="106"/>
      <c r="H34" s="1531"/>
      <c r="I34" s="1531"/>
      <c r="J34" s="1531"/>
    </row>
    <row r="35" spans="1:10" x14ac:dyDescent="0.25">
      <c r="A35" s="1193"/>
      <c r="B35" s="1193"/>
      <c r="C35" s="1546"/>
      <c r="D35" s="1546"/>
      <c r="E35" s="1546"/>
      <c r="F35" s="1546"/>
      <c r="G35" s="1193"/>
      <c r="H35" s="1531" t="s">
        <v>329</v>
      </c>
      <c r="I35" s="1531"/>
      <c r="J35" s="1531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</sheetData>
  <mergeCells count="28">
    <mergeCell ref="H32:J32"/>
    <mergeCell ref="A13:G13"/>
    <mergeCell ref="A27:B27"/>
    <mergeCell ref="A28:B28"/>
    <mergeCell ref="A29:B29"/>
    <mergeCell ref="A30:B30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4:B34"/>
    <mergeCell ref="C34:F35"/>
    <mergeCell ref="H34:J34"/>
    <mergeCell ref="H35:J35"/>
    <mergeCell ref="H5:I5"/>
    <mergeCell ref="A6:G6"/>
    <mergeCell ref="A7:I7"/>
    <mergeCell ref="A26:B26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41"/>
  <sheetViews>
    <sheetView view="pageBreakPreview" topLeftCell="A6" zoomScale="110" zoomScaleNormal="100" zoomScaleSheetLayoutView="110" workbookViewId="0">
      <selection activeCell="A9" sqref="A9:J9"/>
    </sheetView>
  </sheetViews>
  <sheetFormatPr defaultColWidth="8.88671875" defaultRowHeight="13.8" x14ac:dyDescent="0.25"/>
  <cols>
    <col min="1" max="1" width="4.109375" style="699" customWidth="1"/>
    <col min="2" max="2" width="22.44140625" style="699" customWidth="1"/>
    <col min="3" max="7" width="7.5546875" style="699" customWidth="1"/>
    <col min="8" max="8" width="8.88671875" style="699" customWidth="1"/>
    <col min="9" max="9" width="7.5546875" style="699" customWidth="1"/>
    <col min="10" max="10" width="9" style="699" customWidth="1"/>
    <col min="11" max="11" width="2.6640625" style="699" customWidth="1"/>
    <col min="12" max="16384" width="8.88671875" style="69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58)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708"/>
      <c r="I6" s="708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711">
        <v>96</v>
      </c>
    </row>
    <row r="8" spans="1:10" s="2" customFormat="1" ht="9.6" customHeight="1" x14ac:dyDescent="0.25">
      <c r="A8" s="709"/>
      <c r="B8" s="709"/>
      <c r="C8" s="709"/>
      <c r="D8" s="709"/>
      <c r="E8" s="709"/>
      <c r="F8" s="709"/>
      <c r="G8" s="709"/>
      <c r="H8" s="709"/>
      <c r="I8" s="709"/>
      <c r="J8" s="109"/>
    </row>
    <row r="9" spans="1:10" s="2" customFormat="1" ht="26.1" customHeight="1" x14ac:dyDescent="0.3">
      <c r="A9" s="1550" t="s">
        <v>909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'94-рассольник'!H14+1</f>
        <v>58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705" t="s">
        <v>92</v>
      </c>
      <c r="D17" s="705" t="s">
        <v>94</v>
      </c>
      <c r="E17" s="705" t="s">
        <v>93</v>
      </c>
      <c r="F17" s="705" t="s">
        <v>23</v>
      </c>
      <c r="G17" s="705" t="s">
        <v>92</v>
      </c>
      <c r="H17" s="705" t="s">
        <v>94</v>
      </c>
      <c r="I17" s="705" t="s">
        <v>92</v>
      </c>
      <c r="J17" s="705" t="s">
        <v>94</v>
      </c>
    </row>
    <row r="18" spans="1:13" ht="9.6" customHeight="1" x14ac:dyDescent="0.25">
      <c r="A18" s="705">
        <v>1</v>
      </c>
      <c r="B18" s="707">
        <v>2</v>
      </c>
      <c r="C18" s="705">
        <v>3</v>
      </c>
      <c r="D18" s="707">
        <v>4</v>
      </c>
      <c r="E18" s="705">
        <v>5</v>
      </c>
      <c r="F18" s="707">
        <v>6</v>
      </c>
      <c r="G18" s="705">
        <v>7</v>
      </c>
      <c r="H18" s="707">
        <v>8</v>
      </c>
      <c r="I18" s="705">
        <v>9</v>
      </c>
      <c r="J18" s="707">
        <v>10</v>
      </c>
    </row>
    <row r="19" spans="1:13" s="10" customFormat="1" ht="14.1" customHeight="1" x14ac:dyDescent="0.25">
      <c r="A19" s="180">
        <v>1</v>
      </c>
      <c r="B19" s="20" t="s">
        <v>50</v>
      </c>
      <c r="C19" s="21">
        <v>0.4</v>
      </c>
      <c r="D19" s="21">
        <v>0.3</v>
      </c>
      <c r="E19" s="408">
        <f>цены!F35</f>
        <v>50</v>
      </c>
      <c r="F19" s="408">
        <f t="shared" ref="F19:F26" si="0">C19*E19</f>
        <v>20</v>
      </c>
      <c r="G19" s="97">
        <f t="shared" ref="G19:H26" si="1">C19*10</f>
        <v>4</v>
      </c>
      <c r="H19" s="21">
        <f t="shared" si="1"/>
        <v>3</v>
      </c>
      <c r="I19" s="21">
        <f t="shared" ref="I19:J26" si="2">C19*100</f>
        <v>40</v>
      </c>
      <c r="J19" s="21">
        <f t="shared" si="2"/>
        <v>30</v>
      </c>
      <c r="L19" s="1018">
        <f>C19/C$31</f>
        <v>0.1</v>
      </c>
      <c r="M19" s="1018">
        <f>F19/C$31</f>
        <v>5</v>
      </c>
    </row>
    <row r="20" spans="1:13" s="10" customFormat="1" ht="14.1" customHeight="1" x14ac:dyDescent="0.25">
      <c r="A20" s="180">
        <v>2</v>
      </c>
      <c r="B20" s="20" t="s">
        <v>307</v>
      </c>
      <c r="C20" s="21">
        <v>0.02</v>
      </c>
      <c r="D20" s="21">
        <v>0.02</v>
      </c>
      <c r="E20" s="408">
        <f>цены!F83</f>
        <v>98</v>
      </c>
      <c r="F20" s="408">
        <f t="shared" si="0"/>
        <v>1.96</v>
      </c>
      <c r="G20" s="97">
        <f>C20*10</f>
        <v>0.2</v>
      </c>
      <c r="H20" s="21">
        <f>D20*10</f>
        <v>0.2</v>
      </c>
      <c r="I20" s="21">
        <f>C20*100</f>
        <v>2</v>
      </c>
      <c r="J20" s="21">
        <f>D20*100</f>
        <v>2</v>
      </c>
      <c r="L20" s="1018">
        <f t="shared" ref="L20:L26" si="3">C20/C$31</f>
        <v>5.0000000000000001E-3</v>
      </c>
      <c r="M20" s="1018">
        <f t="shared" ref="M20:M26" si="4">F20/C$31</f>
        <v>0.49</v>
      </c>
    </row>
    <row r="21" spans="1:13" s="10" customFormat="1" ht="12" customHeight="1" x14ac:dyDescent="0.25">
      <c r="A21" s="180">
        <v>3</v>
      </c>
      <c r="B21" s="20" t="s">
        <v>47</v>
      </c>
      <c r="C21" s="21">
        <v>0.05</v>
      </c>
      <c r="D21" s="21">
        <v>0.04</v>
      </c>
      <c r="E21" s="408">
        <f>цены!F44</f>
        <v>50</v>
      </c>
      <c r="F21" s="408">
        <f t="shared" si="0"/>
        <v>2.5</v>
      </c>
      <c r="G21" s="97">
        <f t="shared" si="1"/>
        <v>0.5</v>
      </c>
      <c r="H21" s="21">
        <f t="shared" si="1"/>
        <v>0.4</v>
      </c>
      <c r="I21" s="21">
        <f t="shared" si="2"/>
        <v>5</v>
      </c>
      <c r="J21" s="21">
        <f t="shared" si="2"/>
        <v>4</v>
      </c>
      <c r="L21" s="1018">
        <f t="shared" si="3"/>
        <v>1.2500000000000001E-2</v>
      </c>
      <c r="M21" s="1018">
        <f t="shared" si="4"/>
        <v>0.625</v>
      </c>
    </row>
    <row r="22" spans="1:13" s="10" customFormat="1" ht="12" customHeight="1" x14ac:dyDescent="0.25">
      <c r="A22" s="180">
        <v>4</v>
      </c>
      <c r="B22" s="20" t="s">
        <v>48</v>
      </c>
      <c r="C22" s="21">
        <v>2.4E-2</v>
      </c>
      <c r="D22" s="21">
        <v>0.02</v>
      </c>
      <c r="E22" s="408">
        <f>цены!F38</f>
        <v>50</v>
      </c>
      <c r="F22" s="408">
        <f t="shared" si="0"/>
        <v>1.2</v>
      </c>
      <c r="G22" s="97">
        <f t="shared" si="1"/>
        <v>0.24</v>
      </c>
      <c r="H22" s="21">
        <f t="shared" si="1"/>
        <v>0.2</v>
      </c>
      <c r="I22" s="21">
        <f t="shared" si="2"/>
        <v>2.4</v>
      </c>
      <c r="J22" s="21">
        <f t="shared" si="2"/>
        <v>2</v>
      </c>
      <c r="L22" s="1018">
        <f t="shared" si="3"/>
        <v>6.0000000000000001E-3</v>
      </c>
      <c r="M22" s="1018">
        <f t="shared" si="4"/>
        <v>0.3</v>
      </c>
    </row>
    <row r="23" spans="1:13" s="10" customFormat="1" ht="12" customHeight="1" x14ac:dyDescent="0.25">
      <c r="A23" s="180">
        <v>5</v>
      </c>
      <c r="B23" s="20" t="s">
        <v>526</v>
      </c>
      <c r="C23" s="21">
        <v>6.7000000000000004E-2</v>
      </c>
      <c r="D23" s="21">
        <v>0.06</v>
      </c>
      <c r="E23" s="408">
        <f>цены!F101</f>
        <v>120</v>
      </c>
      <c r="F23" s="408">
        <f t="shared" si="0"/>
        <v>8.0399999999999991</v>
      </c>
      <c r="G23" s="97">
        <f t="shared" si="1"/>
        <v>0.67</v>
      </c>
      <c r="H23" s="21">
        <f t="shared" si="1"/>
        <v>0.6</v>
      </c>
      <c r="I23" s="21">
        <f t="shared" si="2"/>
        <v>6.7</v>
      </c>
      <c r="J23" s="21">
        <f t="shared" si="2"/>
        <v>6</v>
      </c>
      <c r="L23" s="1018">
        <f t="shared" si="3"/>
        <v>1.6799999999999999E-2</v>
      </c>
      <c r="M23" s="1018">
        <f t="shared" si="4"/>
        <v>2.0099999999999998</v>
      </c>
    </row>
    <row r="24" spans="1:13" s="10" customFormat="1" ht="12" customHeight="1" x14ac:dyDescent="0.25">
      <c r="A24" s="180">
        <v>6</v>
      </c>
      <c r="B24" s="20" t="s">
        <v>74</v>
      </c>
      <c r="C24" s="21">
        <v>0.02</v>
      </c>
      <c r="D24" s="21">
        <v>0.02</v>
      </c>
      <c r="E24" s="408">
        <f>цены!F87</f>
        <v>120</v>
      </c>
      <c r="F24" s="408">
        <f t="shared" si="0"/>
        <v>2.4</v>
      </c>
      <c r="G24" s="97">
        <f>C24*10</f>
        <v>0.2</v>
      </c>
      <c r="H24" s="21">
        <f>D24*10</f>
        <v>0.2</v>
      </c>
      <c r="I24" s="21">
        <f>C24*100</f>
        <v>2</v>
      </c>
      <c r="J24" s="21">
        <f>D24*100</f>
        <v>2</v>
      </c>
      <c r="L24" s="1018">
        <f t="shared" si="3"/>
        <v>5.0000000000000001E-3</v>
      </c>
      <c r="M24" s="1018">
        <f t="shared" si="4"/>
        <v>0.6</v>
      </c>
    </row>
    <row r="25" spans="1:13" s="10" customFormat="1" ht="12" customHeight="1" x14ac:dyDescent="0.25">
      <c r="A25" s="180">
        <v>7</v>
      </c>
      <c r="B25" s="20" t="s">
        <v>141</v>
      </c>
      <c r="C25" s="21">
        <v>0.75</v>
      </c>
      <c r="D25" s="21">
        <v>0.75</v>
      </c>
      <c r="E25" s="408"/>
      <c r="F25" s="408">
        <f t="shared" si="0"/>
        <v>0</v>
      </c>
      <c r="G25" s="97">
        <f t="shared" si="1"/>
        <v>7.5</v>
      </c>
      <c r="H25" s="21">
        <f t="shared" si="1"/>
        <v>7.5</v>
      </c>
      <c r="I25" s="21">
        <f t="shared" si="2"/>
        <v>75</v>
      </c>
      <c r="J25" s="21">
        <f t="shared" si="2"/>
        <v>75</v>
      </c>
      <c r="L25" s="1018">
        <f t="shared" si="3"/>
        <v>0.1875</v>
      </c>
      <c r="M25" s="1018">
        <f t="shared" si="4"/>
        <v>0</v>
      </c>
    </row>
    <row r="26" spans="1:13" s="10" customFormat="1" ht="12" customHeight="1" x14ac:dyDescent="0.25">
      <c r="A26" s="180">
        <v>8</v>
      </c>
      <c r="B26" s="20" t="s">
        <v>51</v>
      </c>
      <c r="C26" s="21">
        <v>0.02</v>
      </c>
      <c r="D26" s="21">
        <v>0.02</v>
      </c>
      <c r="E26" s="408">
        <f>цены!F24</f>
        <v>234</v>
      </c>
      <c r="F26" s="408">
        <f t="shared" si="0"/>
        <v>4.68</v>
      </c>
      <c r="G26" s="97">
        <f t="shared" si="1"/>
        <v>0.2</v>
      </c>
      <c r="H26" s="21">
        <f t="shared" si="1"/>
        <v>0.2</v>
      </c>
      <c r="I26" s="21">
        <f t="shared" si="2"/>
        <v>2</v>
      </c>
      <c r="J26" s="21">
        <f t="shared" si="2"/>
        <v>2</v>
      </c>
      <c r="L26" s="1018">
        <f t="shared" si="3"/>
        <v>5.0000000000000001E-3</v>
      </c>
      <c r="M26" s="1018">
        <f t="shared" si="4"/>
        <v>1.17</v>
      </c>
    </row>
    <row r="27" spans="1:13" s="10" customFormat="1" ht="12" customHeight="1" x14ac:dyDescent="0.25">
      <c r="A27" s="98"/>
      <c r="B27" s="93" t="s">
        <v>100</v>
      </c>
      <c r="C27" s="114"/>
      <c r="D27" s="100">
        <v>1</v>
      </c>
      <c r="E27" s="95"/>
      <c r="F27" s="95">
        <f>SUM(F19:F26)</f>
        <v>40.78</v>
      </c>
      <c r="G27" s="99"/>
      <c r="H27" s="100">
        <f>D27*10</f>
        <v>10</v>
      </c>
      <c r="I27" s="100"/>
      <c r="J27" s="100">
        <f>D27*100</f>
        <v>100</v>
      </c>
      <c r="L27" s="1018">
        <f>SUM(L19:L26)</f>
        <v>0.33779999999999999</v>
      </c>
      <c r="M27" s="1018">
        <f>SUM(M19:M26)</f>
        <v>10.195</v>
      </c>
    </row>
    <row r="28" spans="1:13" s="10" customFormat="1" ht="27.6" customHeight="1" x14ac:dyDescent="0.25">
      <c r="A28" s="1536" t="s">
        <v>35</v>
      </c>
      <c r="B28" s="1536"/>
      <c r="C28" s="90"/>
      <c r="D28" s="90"/>
      <c r="E28" s="408"/>
      <c r="F28" s="408">
        <f>F27</f>
        <v>40.78</v>
      </c>
      <c r="G28" s="706"/>
      <c r="H28" s="706"/>
      <c r="I28" s="21"/>
      <c r="J28" s="408"/>
    </row>
    <row r="29" spans="1:13" s="10" customFormat="1" ht="25.35" customHeight="1" x14ac:dyDescent="0.25">
      <c r="A29" s="1536" t="s">
        <v>36</v>
      </c>
      <c r="B29" s="1536"/>
      <c r="C29" s="866">
        <v>1000</v>
      </c>
      <c r="D29" s="90"/>
      <c r="E29" s="408"/>
      <c r="F29" s="408"/>
      <c r="G29" s="408"/>
      <c r="H29" s="408"/>
      <c r="I29" s="21"/>
      <c r="J29" s="17"/>
    </row>
    <row r="30" spans="1:13" s="10" customFormat="1" ht="25.35" customHeight="1" x14ac:dyDescent="0.25">
      <c r="A30" s="1537" t="s">
        <v>37</v>
      </c>
      <c r="B30" s="1538"/>
      <c r="C30" s="1071">
        <v>250</v>
      </c>
      <c r="D30" s="92"/>
      <c r="E30" s="707"/>
      <c r="F30" s="707"/>
      <c r="G30" s="707"/>
      <c r="H30" s="707"/>
      <c r="I30" s="21"/>
      <c r="J30" s="17"/>
    </row>
    <row r="31" spans="1:13" s="10" customFormat="1" ht="15" customHeight="1" x14ac:dyDescent="0.25">
      <c r="A31" s="1539" t="s">
        <v>38</v>
      </c>
      <c r="B31" s="1540"/>
      <c r="C31" s="245">
        <f>C29/C30</f>
        <v>4</v>
      </c>
      <c r="D31" s="92"/>
      <c r="E31" s="707"/>
      <c r="F31" s="707"/>
      <c r="G31" s="707"/>
      <c r="H31" s="707"/>
      <c r="I31" s="21"/>
      <c r="J31" s="17"/>
    </row>
    <row r="32" spans="1:13" ht="16.350000000000001" customHeight="1" x14ac:dyDescent="0.25">
      <c r="A32" s="1541" t="s">
        <v>39</v>
      </c>
      <c r="B32" s="1542"/>
      <c r="C32" s="15" t="s">
        <v>40</v>
      </c>
      <c r="D32" s="102"/>
      <c r="E32" s="102" t="s">
        <v>40</v>
      </c>
      <c r="F32" s="16">
        <f>F28/C31</f>
        <v>10.199999999999999</v>
      </c>
      <c r="G32" s="16"/>
      <c r="H32" s="16"/>
      <c r="I32" s="102" t="s">
        <v>40</v>
      </c>
      <c r="J32" s="102" t="s">
        <v>40</v>
      </c>
    </row>
    <row r="33" spans="1:10" ht="23.1" customHeight="1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193"/>
      <c r="B34" s="1194" t="s">
        <v>49</v>
      </c>
      <c r="C34" s="1198"/>
      <c r="D34" s="1198"/>
      <c r="E34" s="1198"/>
      <c r="F34" s="1198"/>
      <c r="G34" s="1193"/>
      <c r="H34" s="1556">
        <f>'1-бутерброд с маслом'!$H$28</f>
        <v>0</v>
      </c>
      <c r="I34" s="1556"/>
      <c r="J34" s="1556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545" t="s">
        <v>327</v>
      </c>
      <c r="B36" s="1545"/>
      <c r="C36" s="1546" t="s">
        <v>328</v>
      </c>
      <c r="D36" s="1546"/>
      <c r="E36" s="1546"/>
      <c r="F36" s="1546"/>
      <c r="G36" s="106"/>
      <c r="H36" s="1531"/>
      <c r="I36" s="1531"/>
      <c r="J36" s="1531"/>
    </row>
    <row r="37" spans="1:10" x14ac:dyDescent="0.25">
      <c r="A37" s="1193"/>
      <c r="B37" s="1193"/>
      <c r="C37" s="1546"/>
      <c r="D37" s="1546"/>
      <c r="E37" s="1546"/>
      <c r="F37" s="1546"/>
      <c r="G37" s="1193"/>
      <c r="H37" s="1531" t="s">
        <v>329</v>
      </c>
      <c r="I37" s="1531"/>
      <c r="J37" s="1531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</sheetData>
  <mergeCells count="28">
    <mergeCell ref="H34:J34"/>
    <mergeCell ref="A13:G13"/>
    <mergeCell ref="A29:B29"/>
    <mergeCell ref="A30:B30"/>
    <mergeCell ref="A31:B31"/>
    <mergeCell ref="A32:B32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6:B36"/>
    <mergeCell ref="C36:F37"/>
    <mergeCell ref="H36:J36"/>
    <mergeCell ref="H37:J37"/>
    <mergeCell ref="H5:I5"/>
    <mergeCell ref="A6:G6"/>
    <mergeCell ref="A7:I7"/>
    <mergeCell ref="A28:B28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42"/>
  <sheetViews>
    <sheetView view="pageBreakPreview" topLeftCell="A7" zoomScale="110" zoomScaleNormal="100" zoomScaleSheetLayoutView="110" workbookViewId="0">
      <selection activeCell="A9" sqref="A9:J9"/>
    </sheetView>
  </sheetViews>
  <sheetFormatPr defaultRowHeight="13.8" x14ac:dyDescent="0.25"/>
  <cols>
    <col min="1" max="1" width="4.109375" customWidth="1"/>
    <col min="2" max="2" width="22.4414062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1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59)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70"/>
      <c r="I6" s="170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711">
        <v>97</v>
      </c>
    </row>
    <row r="8" spans="1:10" s="2" customFormat="1" ht="9.6" customHeight="1" x14ac:dyDescent="0.25">
      <c r="A8" s="171"/>
      <c r="B8" s="171"/>
      <c r="C8" s="171"/>
      <c r="D8" s="171"/>
      <c r="E8" s="171"/>
      <c r="F8" s="171"/>
      <c r="G8" s="171"/>
      <c r="H8" s="171"/>
      <c r="I8" s="171"/>
      <c r="J8" s="109"/>
    </row>
    <row r="9" spans="1:10" s="2" customFormat="1" ht="26.1" customHeight="1" x14ac:dyDescent="0.3">
      <c r="A9" s="1550" t="s">
        <v>338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'96-рассольник ленинград'!H14+1</f>
        <v>59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172" t="s">
        <v>92</v>
      </c>
      <c r="D17" s="172" t="s">
        <v>94</v>
      </c>
      <c r="E17" s="172" t="s">
        <v>93</v>
      </c>
      <c r="F17" s="172" t="s">
        <v>23</v>
      </c>
      <c r="G17" s="172" t="s">
        <v>92</v>
      </c>
      <c r="H17" s="172" t="s">
        <v>94</v>
      </c>
      <c r="I17" s="172" t="s">
        <v>92</v>
      </c>
      <c r="J17" s="172" t="s">
        <v>94</v>
      </c>
    </row>
    <row r="18" spans="1:13" ht="9.6" customHeight="1" x14ac:dyDescent="0.25">
      <c r="A18" s="172">
        <v>1</v>
      </c>
      <c r="B18" s="173">
        <v>2</v>
      </c>
      <c r="C18" s="172">
        <v>3</v>
      </c>
      <c r="D18" s="173">
        <v>4</v>
      </c>
      <c r="E18" s="172">
        <v>5</v>
      </c>
      <c r="F18" s="173">
        <v>6</v>
      </c>
      <c r="G18" s="172">
        <v>7</v>
      </c>
      <c r="H18" s="173">
        <v>8</v>
      </c>
      <c r="I18" s="172">
        <v>9</v>
      </c>
      <c r="J18" s="173">
        <v>10</v>
      </c>
    </row>
    <row r="19" spans="1:13" s="10" customFormat="1" ht="14.1" customHeight="1" x14ac:dyDescent="0.25">
      <c r="A19" s="180">
        <v>1</v>
      </c>
      <c r="B19" s="20" t="s">
        <v>50</v>
      </c>
      <c r="C19" s="21">
        <v>0.6</v>
      </c>
      <c r="D19" s="21">
        <v>0.45</v>
      </c>
      <c r="E19" s="13">
        <f>цены!F35</f>
        <v>50</v>
      </c>
      <c r="F19" s="13">
        <f>C19*E19</f>
        <v>30</v>
      </c>
      <c r="G19" s="97">
        <f t="shared" ref="G19:H27" si="0">C19*10</f>
        <v>6</v>
      </c>
      <c r="H19" s="21">
        <f t="shared" si="0"/>
        <v>4.5</v>
      </c>
      <c r="I19" s="21">
        <f t="shared" ref="I19:J27" si="1">C19*100</f>
        <v>60</v>
      </c>
      <c r="J19" s="21">
        <f t="shared" si="1"/>
        <v>45</v>
      </c>
      <c r="L19" s="1018">
        <f>C19/C$32</f>
        <v>0.15</v>
      </c>
      <c r="M19" s="1018">
        <f>F19/C$32</f>
        <v>7.5</v>
      </c>
    </row>
    <row r="20" spans="1:13" s="10" customFormat="1" ht="12" customHeight="1" x14ac:dyDescent="0.25">
      <c r="A20" s="180">
        <v>2</v>
      </c>
      <c r="B20" s="20" t="s">
        <v>47</v>
      </c>
      <c r="C20" s="21">
        <v>0.05</v>
      </c>
      <c r="D20" s="21">
        <v>0.04</v>
      </c>
      <c r="E20" s="13">
        <f>цены!F44</f>
        <v>50</v>
      </c>
      <c r="F20" s="13">
        <f>C20*E20</f>
        <v>2.5</v>
      </c>
      <c r="G20" s="97">
        <f t="shared" si="0"/>
        <v>0.5</v>
      </c>
      <c r="H20" s="21">
        <f t="shared" si="0"/>
        <v>0.4</v>
      </c>
      <c r="I20" s="21">
        <f t="shared" si="1"/>
        <v>5</v>
      </c>
      <c r="J20" s="21">
        <f t="shared" si="1"/>
        <v>4</v>
      </c>
      <c r="L20" s="1018">
        <f t="shared" ref="L20:L27" si="2">C20/C$32</f>
        <v>1.2500000000000001E-2</v>
      </c>
      <c r="M20" s="1018">
        <f t="shared" ref="M20:M27" si="3">F20/C$32</f>
        <v>0.625</v>
      </c>
    </row>
    <row r="21" spans="1:13" s="10" customFormat="1" ht="12" customHeight="1" x14ac:dyDescent="0.25">
      <c r="A21" s="180">
        <v>3</v>
      </c>
      <c r="B21" s="20" t="s">
        <v>48</v>
      </c>
      <c r="C21" s="21">
        <v>4.8000000000000001E-2</v>
      </c>
      <c r="D21" s="21">
        <v>0.04</v>
      </c>
      <c r="E21" s="13">
        <f>цены!F38</f>
        <v>50</v>
      </c>
      <c r="F21" s="13">
        <f t="shared" ref="F21:F26" si="4">C21*E21</f>
        <v>2.4</v>
      </c>
      <c r="G21" s="97">
        <f t="shared" si="0"/>
        <v>0.48</v>
      </c>
      <c r="H21" s="21">
        <f t="shared" si="0"/>
        <v>0.4</v>
      </c>
      <c r="I21" s="21">
        <f t="shared" si="1"/>
        <v>4.8</v>
      </c>
      <c r="J21" s="21">
        <f t="shared" si="1"/>
        <v>4</v>
      </c>
      <c r="L21" s="1018">
        <f t="shared" si="2"/>
        <v>1.2E-2</v>
      </c>
      <c r="M21" s="1018">
        <f t="shared" si="3"/>
        <v>0.6</v>
      </c>
    </row>
    <row r="22" spans="1:13" s="10" customFormat="1" ht="12" customHeight="1" x14ac:dyDescent="0.25">
      <c r="A22" s="180">
        <v>4</v>
      </c>
      <c r="B22" s="20" t="s">
        <v>74</v>
      </c>
      <c r="C22" s="21">
        <v>0.01</v>
      </c>
      <c r="D22" s="21">
        <v>0.01</v>
      </c>
      <c r="E22" s="408">
        <f>цены!F87</f>
        <v>120</v>
      </c>
      <c r="F22" s="408">
        <f>C22*E22</f>
        <v>1.2</v>
      </c>
      <c r="G22" s="97">
        <f>C22*10</f>
        <v>0.1</v>
      </c>
      <c r="H22" s="21">
        <f>D22*10</f>
        <v>0.1</v>
      </c>
      <c r="I22" s="21">
        <f>C22*100</f>
        <v>1</v>
      </c>
      <c r="J22" s="21">
        <f>D22*100</f>
        <v>1</v>
      </c>
      <c r="L22" s="1018">
        <f t="shared" si="2"/>
        <v>2.5000000000000001E-3</v>
      </c>
      <c r="M22" s="1018">
        <f t="shared" si="3"/>
        <v>0.3</v>
      </c>
    </row>
    <row r="23" spans="1:13" s="10" customFormat="1" ht="12" customHeight="1" x14ac:dyDescent="0.25">
      <c r="A23" s="180">
        <v>5</v>
      </c>
      <c r="B23" s="20" t="s">
        <v>141</v>
      </c>
      <c r="C23" s="21">
        <v>0.7</v>
      </c>
      <c r="D23" s="21">
        <v>0.7</v>
      </c>
      <c r="E23" s="13"/>
      <c r="F23" s="13">
        <f t="shared" si="4"/>
        <v>0</v>
      </c>
      <c r="G23" s="97">
        <f t="shared" si="0"/>
        <v>7</v>
      </c>
      <c r="H23" s="21">
        <f t="shared" si="0"/>
        <v>7</v>
      </c>
      <c r="I23" s="21">
        <f t="shared" si="1"/>
        <v>70</v>
      </c>
      <c r="J23" s="21">
        <f t="shared" si="1"/>
        <v>70</v>
      </c>
      <c r="L23" s="1018">
        <f t="shared" si="2"/>
        <v>0.17499999999999999</v>
      </c>
      <c r="M23" s="1018">
        <f t="shared" si="3"/>
        <v>0</v>
      </c>
    </row>
    <row r="24" spans="1:13" s="10" customFormat="1" ht="12" customHeight="1" x14ac:dyDescent="0.25">
      <c r="A24" s="180">
        <v>6</v>
      </c>
      <c r="B24" s="20" t="s">
        <v>84</v>
      </c>
      <c r="C24" s="113">
        <v>4.0000000000000003E-5</v>
      </c>
      <c r="D24" s="113">
        <v>4.0000000000000003E-5</v>
      </c>
      <c r="E24" s="13">
        <f>цены!F100</f>
        <v>1000</v>
      </c>
      <c r="F24" s="13">
        <f t="shared" si="4"/>
        <v>0.04</v>
      </c>
      <c r="G24" s="97">
        <f t="shared" si="0"/>
        <v>0</v>
      </c>
      <c r="H24" s="21">
        <f t="shared" si="0"/>
        <v>0</v>
      </c>
      <c r="I24" s="21">
        <f t="shared" si="1"/>
        <v>4.0000000000000001E-3</v>
      </c>
      <c r="J24" s="21">
        <f t="shared" si="1"/>
        <v>4.0000000000000001E-3</v>
      </c>
      <c r="L24" s="1018">
        <f t="shared" si="2"/>
        <v>0</v>
      </c>
      <c r="M24" s="1018">
        <f t="shared" si="3"/>
        <v>0.01</v>
      </c>
    </row>
    <row r="25" spans="1:13" s="10" customFormat="1" ht="12" customHeight="1" x14ac:dyDescent="0.25">
      <c r="A25" s="180">
        <v>7</v>
      </c>
      <c r="B25" s="20" t="s">
        <v>33</v>
      </c>
      <c r="C25" s="21">
        <v>0.01</v>
      </c>
      <c r="D25" s="21">
        <v>0.01</v>
      </c>
      <c r="E25" s="13">
        <f>цены!F110</f>
        <v>24</v>
      </c>
      <c r="F25" s="13">
        <f t="shared" si="4"/>
        <v>0.24</v>
      </c>
      <c r="G25" s="97">
        <f t="shared" si="0"/>
        <v>0.1</v>
      </c>
      <c r="H25" s="21">
        <f t="shared" si="0"/>
        <v>0.1</v>
      </c>
      <c r="I25" s="21">
        <f t="shared" si="1"/>
        <v>1</v>
      </c>
      <c r="J25" s="21">
        <f t="shared" si="1"/>
        <v>1</v>
      </c>
      <c r="L25" s="1018">
        <f t="shared" si="2"/>
        <v>2.5000000000000001E-3</v>
      </c>
      <c r="M25" s="1018">
        <f t="shared" si="3"/>
        <v>0.06</v>
      </c>
    </row>
    <row r="26" spans="1:13" s="10" customFormat="1" ht="12" customHeight="1" x14ac:dyDescent="0.25">
      <c r="A26" s="180">
        <v>8</v>
      </c>
      <c r="B26" s="20" t="s">
        <v>51</v>
      </c>
      <c r="C26" s="21">
        <v>0.02</v>
      </c>
      <c r="D26" s="21">
        <v>0.02</v>
      </c>
      <c r="E26" s="13">
        <f>цены!F24</f>
        <v>234</v>
      </c>
      <c r="F26" s="13">
        <f t="shared" si="4"/>
        <v>4.68</v>
      </c>
      <c r="G26" s="97">
        <f t="shared" si="0"/>
        <v>0.2</v>
      </c>
      <c r="H26" s="21">
        <f t="shared" si="0"/>
        <v>0.2</v>
      </c>
      <c r="I26" s="21">
        <f t="shared" si="1"/>
        <v>2</v>
      </c>
      <c r="J26" s="21">
        <f t="shared" si="1"/>
        <v>2</v>
      </c>
      <c r="L26" s="1018">
        <f t="shared" si="2"/>
        <v>5.0000000000000001E-3</v>
      </c>
      <c r="M26" s="1018">
        <f t="shared" si="3"/>
        <v>1.17</v>
      </c>
    </row>
    <row r="27" spans="1:13" s="10" customFormat="1" ht="12" customHeight="1" x14ac:dyDescent="0.25">
      <c r="A27" s="180">
        <v>9</v>
      </c>
      <c r="B27" s="20" t="s">
        <v>78</v>
      </c>
      <c r="C27" s="21">
        <f>0.002*C32</f>
        <v>8.0000000000000002E-3</v>
      </c>
      <c r="D27" s="21">
        <f>0.002*C32</f>
        <v>8.0000000000000002E-3</v>
      </c>
      <c r="E27" s="13">
        <f>цены!F48</f>
        <v>300</v>
      </c>
      <c r="F27" s="13">
        <f>C27*E27</f>
        <v>2.4</v>
      </c>
      <c r="G27" s="97">
        <f t="shared" si="0"/>
        <v>0.08</v>
      </c>
      <c r="H27" s="21">
        <f t="shared" si="0"/>
        <v>0.08</v>
      </c>
      <c r="I27" s="21">
        <f t="shared" si="1"/>
        <v>0.8</v>
      </c>
      <c r="J27" s="21">
        <f t="shared" si="1"/>
        <v>0.8</v>
      </c>
      <c r="L27" s="1018">
        <f t="shared" si="2"/>
        <v>2E-3</v>
      </c>
      <c r="M27" s="1018">
        <f t="shared" si="3"/>
        <v>0.6</v>
      </c>
    </row>
    <row r="28" spans="1:13" s="10" customFormat="1" ht="12" customHeight="1" x14ac:dyDescent="0.25">
      <c r="A28" s="98"/>
      <c r="B28" s="93" t="s">
        <v>100</v>
      </c>
      <c r="C28" s="114"/>
      <c r="D28" s="100">
        <v>1</v>
      </c>
      <c r="E28" s="95"/>
      <c r="F28" s="95">
        <f>SUM(F19:F27)</f>
        <v>43.46</v>
      </c>
      <c r="G28" s="99"/>
      <c r="H28" s="100">
        <f>D28*10</f>
        <v>10</v>
      </c>
      <c r="I28" s="100"/>
      <c r="J28" s="100">
        <f>D28*100</f>
        <v>100</v>
      </c>
      <c r="L28" s="1018">
        <f>SUM(L19:L27)</f>
        <v>0.36149999999999999</v>
      </c>
      <c r="M28" s="1018">
        <f>SUM(M19:M27)</f>
        <v>10.865</v>
      </c>
    </row>
    <row r="29" spans="1:13" s="10" customFormat="1" ht="27.6" customHeight="1" x14ac:dyDescent="0.25">
      <c r="A29" s="1536" t="s">
        <v>35</v>
      </c>
      <c r="B29" s="1536"/>
      <c r="C29" s="90"/>
      <c r="D29" s="90"/>
      <c r="E29" s="13"/>
      <c r="F29" s="13">
        <f>F28</f>
        <v>43.46</v>
      </c>
      <c r="G29" s="174"/>
      <c r="H29" s="174"/>
      <c r="I29" s="21"/>
      <c r="J29" s="13"/>
    </row>
    <row r="30" spans="1:13" s="10" customFormat="1" ht="25.35" customHeight="1" x14ac:dyDescent="0.25">
      <c r="A30" s="1536" t="s">
        <v>36</v>
      </c>
      <c r="B30" s="1536"/>
      <c r="C30" s="866">
        <v>1000</v>
      </c>
      <c r="D30" s="90"/>
      <c r="E30" s="13"/>
      <c r="F30" s="13"/>
      <c r="G30" s="13"/>
      <c r="H30" s="13"/>
      <c r="I30" s="21"/>
      <c r="J30" s="17"/>
    </row>
    <row r="31" spans="1:13" s="10" customFormat="1" ht="25.35" customHeight="1" x14ac:dyDescent="0.25">
      <c r="A31" s="1537" t="s">
        <v>37</v>
      </c>
      <c r="B31" s="1538"/>
      <c r="C31" s="1071">
        <v>250</v>
      </c>
      <c r="D31" s="92"/>
      <c r="E31" s="173"/>
      <c r="F31" s="173"/>
      <c r="G31" s="173"/>
      <c r="H31" s="173"/>
      <c r="I31" s="21"/>
      <c r="J31" s="17"/>
    </row>
    <row r="32" spans="1:13" s="10" customFormat="1" ht="15" customHeight="1" x14ac:dyDescent="0.25">
      <c r="A32" s="1539" t="s">
        <v>38</v>
      </c>
      <c r="B32" s="1540"/>
      <c r="C32" s="245">
        <f>C30/C31</f>
        <v>4</v>
      </c>
      <c r="D32" s="92"/>
      <c r="E32" s="173"/>
      <c r="F32" s="173"/>
      <c r="G32" s="173"/>
      <c r="H32" s="173"/>
      <c r="I32" s="21"/>
      <c r="J32" s="17"/>
    </row>
    <row r="33" spans="1:10" ht="16.350000000000001" customHeight="1" x14ac:dyDescent="0.25">
      <c r="A33" s="1541" t="s">
        <v>39</v>
      </c>
      <c r="B33" s="1542"/>
      <c r="C33" s="15" t="s">
        <v>40</v>
      </c>
      <c r="D33" s="102"/>
      <c r="E33" s="102" t="s">
        <v>40</v>
      </c>
      <c r="F33" s="16">
        <f>F29/C32</f>
        <v>10.87</v>
      </c>
      <c r="G33" s="16"/>
      <c r="H33" s="16"/>
      <c r="I33" s="102" t="s">
        <v>40</v>
      </c>
      <c r="J33" s="102" t="s">
        <v>40</v>
      </c>
    </row>
    <row r="34" spans="1:10" ht="23.1" customHeight="1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193"/>
      <c r="B35" s="1194" t="s">
        <v>49</v>
      </c>
      <c r="C35" s="1198"/>
      <c r="D35" s="1198"/>
      <c r="E35" s="1198"/>
      <c r="F35" s="1198"/>
      <c r="G35" s="1193"/>
      <c r="H35" s="1556">
        <f>'1-бутерброд с маслом'!$H$28</f>
        <v>0</v>
      </c>
      <c r="I35" s="1556"/>
      <c r="J35" s="1556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545" t="s">
        <v>327</v>
      </c>
      <c r="B37" s="1545"/>
      <c r="C37" s="1546" t="s">
        <v>328</v>
      </c>
      <c r="D37" s="1546"/>
      <c r="E37" s="1546"/>
      <c r="F37" s="1546"/>
      <c r="G37" s="106"/>
      <c r="H37" s="1531"/>
      <c r="I37" s="1531"/>
      <c r="J37" s="1531"/>
    </row>
    <row r="38" spans="1:10" x14ac:dyDescent="0.25">
      <c r="A38" s="1193"/>
      <c r="B38" s="1193"/>
      <c r="C38" s="1546"/>
      <c r="D38" s="1546"/>
      <c r="E38" s="1546"/>
      <c r="F38" s="1546"/>
      <c r="G38" s="1193"/>
      <c r="H38" s="1531" t="s">
        <v>329</v>
      </c>
      <c r="I38" s="1531"/>
      <c r="J38" s="1531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7:B37"/>
    <mergeCell ref="C37:F38"/>
    <mergeCell ref="H37:J37"/>
    <mergeCell ref="H38:J38"/>
    <mergeCell ref="A30:B30"/>
    <mergeCell ref="A31:B31"/>
    <mergeCell ref="A32:B32"/>
    <mergeCell ref="A33:B33"/>
    <mergeCell ref="H35:J35"/>
    <mergeCell ref="A29:B29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44"/>
  <sheetViews>
    <sheetView view="pageBreakPreview" topLeftCell="A7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589" customWidth="1"/>
    <col min="2" max="2" width="22.44140625" style="589" customWidth="1"/>
    <col min="3" max="7" width="7.5546875" style="589" customWidth="1"/>
    <col min="8" max="8" width="8.88671875" style="589" customWidth="1"/>
    <col min="9" max="9" width="7.5546875" style="589" customWidth="1"/>
    <col min="10" max="10" width="9" style="589" customWidth="1"/>
    <col min="11" max="11" width="5.33203125" style="589" customWidth="1"/>
    <col min="12" max="16384" width="8.88671875" style="58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60)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593"/>
      <c r="I6" s="593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98</v>
      </c>
    </row>
    <row r="8" spans="1:10" s="2" customFormat="1" ht="9.6" customHeight="1" x14ac:dyDescent="0.25">
      <c r="A8" s="594"/>
      <c r="B8" s="594"/>
      <c r="C8" s="594"/>
      <c r="D8" s="594"/>
      <c r="E8" s="594"/>
      <c r="F8" s="594"/>
      <c r="G8" s="594"/>
      <c r="H8" s="594"/>
      <c r="I8" s="594"/>
      <c r="J8" s="109"/>
    </row>
    <row r="9" spans="1:10" s="2" customFormat="1" ht="26.1" customHeight="1" x14ac:dyDescent="0.3">
      <c r="A9" s="1550" t="s">
        <v>894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'97-суп картофельный '!H14+1</f>
        <v>60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590" t="s">
        <v>92</v>
      </c>
      <c r="D17" s="590" t="s">
        <v>94</v>
      </c>
      <c r="E17" s="590" t="s">
        <v>93</v>
      </c>
      <c r="F17" s="590" t="s">
        <v>23</v>
      </c>
      <c r="G17" s="590" t="s">
        <v>92</v>
      </c>
      <c r="H17" s="590" t="s">
        <v>94</v>
      </c>
      <c r="I17" s="590" t="s">
        <v>92</v>
      </c>
      <c r="J17" s="590" t="s">
        <v>94</v>
      </c>
    </row>
    <row r="18" spans="1:13" ht="9.6" customHeight="1" x14ac:dyDescent="0.25">
      <c r="A18" s="590">
        <v>1</v>
      </c>
      <c r="B18" s="592">
        <v>2</v>
      </c>
      <c r="C18" s="590">
        <v>3</v>
      </c>
      <c r="D18" s="592">
        <v>4</v>
      </c>
      <c r="E18" s="590">
        <v>5</v>
      </c>
      <c r="F18" s="592">
        <v>6</v>
      </c>
      <c r="G18" s="590">
        <v>7</v>
      </c>
      <c r="H18" s="592">
        <v>8</v>
      </c>
      <c r="I18" s="590">
        <v>9</v>
      </c>
      <c r="J18" s="592">
        <v>10</v>
      </c>
      <c r="K18" s="1017"/>
    </row>
    <row r="19" spans="1:13" s="10" customFormat="1" ht="14.1" customHeight="1" x14ac:dyDescent="0.25">
      <c r="A19" s="180">
        <v>1</v>
      </c>
      <c r="B19" s="20" t="s">
        <v>53</v>
      </c>
      <c r="C19" s="21">
        <v>0.15</v>
      </c>
      <c r="D19" s="21">
        <v>0.12</v>
      </c>
      <c r="E19" s="408">
        <f>цены!F33</f>
        <v>53</v>
      </c>
      <c r="F19" s="408">
        <f>C19*E19</f>
        <v>7.95</v>
      </c>
      <c r="G19" s="97">
        <f t="shared" ref="G19:H26" si="0">C19*10</f>
        <v>1.5</v>
      </c>
      <c r="H19" s="21">
        <f t="shared" si="0"/>
        <v>1.2</v>
      </c>
      <c r="I19" s="21">
        <f t="shared" ref="I19:J26" si="1">C19*100</f>
        <v>15</v>
      </c>
      <c r="J19" s="21">
        <f t="shared" si="1"/>
        <v>12</v>
      </c>
      <c r="K19" s="1017"/>
      <c r="L19" s="1018">
        <f>C19/C$34</f>
        <v>3.7499999999999999E-2</v>
      </c>
      <c r="M19" s="1018">
        <f>F19/C$34</f>
        <v>1.9875</v>
      </c>
    </row>
    <row r="20" spans="1:13" s="10" customFormat="1" ht="12" customHeight="1" x14ac:dyDescent="0.25">
      <c r="A20" s="180">
        <v>2</v>
      </c>
      <c r="B20" s="20" t="s">
        <v>50</v>
      </c>
      <c r="C20" s="21">
        <v>0.13300000000000001</v>
      </c>
      <c r="D20" s="21">
        <v>0.1</v>
      </c>
      <c r="E20" s="408">
        <f>цены!F35</f>
        <v>50</v>
      </c>
      <c r="F20" s="408">
        <f>C20*E20</f>
        <v>6.65</v>
      </c>
      <c r="G20" s="97">
        <f t="shared" si="0"/>
        <v>1.33</v>
      </c>
      <c r="H20" s="21">
        <f t="shared" si="0"/>
        <v>1</v>
      </c>
      <c r="I20" s="21">
        <f t="shared" si="1"/>
        <v>13.3</v>
      </c>
      <c r="J20" s="21">
        <f t="shared" si="1"/>
        <v>10</v>
      </c>
      <c r="K20" s="1017"/>
      <c r="L20" s="1018">
        <f t="shared" ref="L20:L29" si="2">C20/C$34</f>
        <v>3.3300000000000003E-2</v>
      </c>
      <c r="M20" s="1018">
        <f t="shared" ref="M20:M29" si="3">F20/C$34</f>
        <v>1.6625000000000001</v>
      </c>
    </row>
    <row r="21" spans="1:13" s="10" customFormat="1" ht="12" customHeight="1" x14ac:dyDescent="0.25">
      <c r="A21" s="180">
        <v>3</v>
      </c>
      <c r="B21" s="20" t="s">
        <v>307</v>
      </c>
      <c r="C21" s="21">
        <v>0.04</v>
      </c>
      <c r="D21" s="21">
        <v>0.04</v>
      </c>
      <c r="E21" s="408">
        <f>цены!F83</f>
        <v>98</v>
      </c>
      <c r="F21" s="408">
        <f t="shared" ref="F21:F26" si="4">C21*E21</f>
        <v>3.92</v>
      </c>
      <c r="G21" s="97">
        <f t="shared" si="0"/>
        <v>0.4</v>
      </c>
      <c r="H21" s="21">
        <f t="shared" si="0"/>
        <v>0.4</v>
      </c>
      <c r="I21" s="21">
        <f t="shared" si="1"/>
        <v>4</v>
      </c>
      <c r="J21" s="21">
        <f t="shared" si="1"/>
        <v>4</v>
      </c>
      <c r="K21" s="1017"/>
      <c r="L21" s="1018">
        <f t="shared" si="2"/>
        <v>0.01</v>
      </c>
      <c r="M21" s="1018">
        <f t="shared" si="3"/>
        <v>0.98</v>
      </c>
    </row>
    <row r="22" spans="1:13" s="10" customFormat="1" ht="12" customHeight="1" x14ac:dyDescent="0.25">
      <c r="A22" s="180">
        <v>4</v>
      </c>
      <c r="B22" s="20" t="s">
        <v>47</v>
      </c>
      <c r="C22" s="21">
        <v>0.05</v>
      </c>
      <c r="D22" s="21">
        <v>0.04</v>
      </c>
      <c r="E22" s="408">
        <f>цены!F44</f>
        <v>50</v>
      </c>
      <c r="F22" s="408">
        <f t="shared" si="4"/>
        <v>2.5</v>
      </c>
      <c r="G22" s="97">
        <f t="shared" si="0"/>
        <v>0.5</v>
      </c>
      <c r="H22" s="21">
        <f t="shared" si="0"/>
        <v>0.4</v>
      </c>
      <c r="I22" s="21">
        <f t="shared" si="1"/>
        <v>5</v>
      </c>
      <c r="J22" s="21">
        <f t="shared" si="1"/>
        <v>4</v>
      </c>
      <c r="K22" s="1017"/>
      <c r="L22" s="1018">
        <f t="shared" si="2"/>
        <v>1.2500000000000001E-2</v>
      </c>
      <c r="M22" s="1018">
        <f t="shared" si="3"/>
        <v>0.625</v>
      </c>
    </row>
    <row r="23" spans="1:13" s="10" customFormat="1" ht="12" customHeight="1" x14ac:dyDescent="0.25">
      <c r="A23" s="180">
        <v>5</v>
      </c>
      <c r="B23" s="20" t="s">
        <v>48</v>
      </c>
      <c r="C23" s="21">
        <v>4.8000000000000001E-2</v>
      </c>
      <c r="D23" s="21">
        <v>0.04</v>
      </c>
      <c r="E23" s="408">
        <f>цены!F38</f>
        <v>50</v>
      </c>
      <c r="F23" s="408">
        <f t="shared" si="4"/>
        <v>2.4</v>
      </c>
      <c r="G23" s="97">
        <f t="shared" si="0"/>
        <v>0.48</v>
      </c>
      <c r="H23" s="21">
        <f t="shared" si="0"/>
        <v>0.4</v>
      </c>
      <c r="I23" s="21">
        <f t="shared" si="1"/>
        <v>4.8</v>
      </c>
      <c r="J23" s="21">
        <f t="shared" si="1"/>
        <v>4</v>
      </c>
      <c r="K23" s="1017"/>
      <c r="L23" s="1018">
        <f t="shared" si="2"/>
        <v>1.2E-2</v>
      </c>
      <c r="M23" s="1018">
        <f t="shared" si="3"/>
        <v>0.6</v>
      </c>
    </row>
    <row r="24" spans="1:13" s="10" customFormat="1" ht="12" customHeight="1" x14ac:dyDescent="0.25">
      <c r="A24" s="180">
        <v>6</v>
      </c>
      <c r="B24" s="20" t="s">
        <v>74</v>
      </c>
      <c r="C24" s="21">
        <v>0.02</v>
      </c>
      <c r="D24" s="21">
        <v>0.02</v>
      </c>
      <c r="E24" s="408">
        <f>цены!F87</f>
        <v>120</v>
      </c>
      <c r="F24" s="408">
        <f t="shared" si="4"/>
        <v>2.4</v>
      </c>
      <c r="G24" s="97">
        <f t="shared" si="0"/>
        <v>0.2</v>
      </c>
      <c r="H24" s="21">
        <f t="shared" si="0"/>
        <v>0.2</v>
      </c>
      <c r="I24" s="21">
        <f t="shared" si="1"/>
        <v>2</v>
      </c>
      <c r="J24" s="21">
        <f t="shared" si="1"/>
        <v>2</v>
      </c>
      <c r="K24" s="1017"/>
      <c r="L24" s="1018">
        <f t="shared" si="2"/>
        <v>5.0000000000000001E-3</v>
      </c>
      <c r="M24" s="1018">
        <f t="shared" si="3"/>
        <v>0.6</v>
      </c>
    </row>
    <row r="25" spans="1:13" s="10" customFormat="1" ht="12" customHeight="1" x14ac:dyDescent="0.25">
      <c r="A25" s="180">
        <v>7</v>
      </c>
      <c r="B25" s="20" t="s">
        <v>141</v>
      </c>
      <c r="C25" s="21">
        <v>0.85</v>
      </c>
      <c r="D25" s="21">
        <v>0.85</v>
      </c>
      <c r="E25" s="408"/>
      <c r="F25" s="408">
        <f t="shared" si="4"/>
        <v>0</v>
      </c>
      <c r="G25" s="97">
        <f t="shared" si="0"/>
        <v>8.5</v>
      </c>
      <c r="H25" s="21">
        <f t="shared" si="0"/>
        <v>8.5</v>
      </c>
      <c r="I25" s="21">
        <f t="shared" si="1"/>
        <v>85</v>
      </c>
      <c r="J25" s="21">
        <f t="shared" si="1"/>
        <v>85</v>
      </c>
      <c r="K25" s="1017"/>
      <c r="L25" s="1018">
        <f t="shared" si="2"/>
        <v>0.21249999999999999</v>
      </c>
      <c r="M25" s="1018">
        <f t="shared" si="3"/>
        <v>0</v>
      </c>
    </row>
    <row r="26" spans="1:13" s="10" customFormat="1" ht="12" customHeight="1" x14ac:dyDescent="0.25">
      <c r="A26" s="180">
        <v>8</v>
      </c>
      <c r="B26" s="20" t="s">
        <v>33</v>
      </c>
      <c r="C26" s="21">
        <v>0.01</v>
      </c>
      <c r="D26" s="21">
        <v>0.01</v>
      </c>
      <c r="E26" s="408">
        <f>цены!F110</f>
        <v>24</v>
      </c>
      <c r="F26" s="408">
        <f t="shared" si="4"/>
        <v>0.24</v>
      </c>
      <c r="G26" s="97">
        <f t="shared" si="0"/>
        <v>0.1</v>
      </c>
      <c r="H26" s="21">
        <f t="shared" si="0"/>
        <v>0.1</v>
      </c>
      <c r="I26" s="21">
        <f t="shared" si="1"/>
        <v>1</v>
      </c>
      <c r="J26" s="21">
        <f t="shared" si="1"/>
        <v>1</v>
      </c>
      <c r="K26" s="1017"/>
      <c r="L26" s="1018">
        <f t="shared" si="2"/>
        <v>2.5000000000000001E-3</v>
      </c>
      <c r="M26" s="1018">
        <f t="shared" si="3"/>
        <v>0.06</v>
      </c>
    </row>
    <row r="27" spans="1:13" s="10" customFormat="1" ht="12" customHeight="1" x14ac:dyDescent="0.25">
      <c r="A27" s="180">
        <v>9</v>
      </c>
      <c r="B27" s="20" t="s">
        <v>51</v>
      </c>
      <c r="C27" s="21">
        <v>0.02</v>
      </c>
      <c r="D27" s="21">
        <v>0.02</v>
      </c>
      <c r="E27" s="408">
        <f>цены!F24</f>
        <v>234</v>
      </c>
      <c r="F27" s="408">
        <f>C27*E27</f>
        <v>4.68</v>
      </c>
      <c r="G27" s="97">
        <f t="shared" ref="G27:H29" si="5">C27*10</f>
        <v>0.2</v>
      </c>
      <c r="H27" s="21">
        <f>D27*10</f>
        <v>0.2</v>
      </c>
      <c r="I27" s="21">
        <f t="shared" ref="I27:J29" si="6">C27*100</f>
        <v>2</v>
      </c>
      <c r="J27" s="21">
        <f>D27*100</f>
        <v>2</v>
      </c>
      <c r="K27" s="1017"/>
      <c r="L27" s="1018">
        <f t="shared" si="2"/>
        <v>5.0000000000000001E-3</v>
      </c>
      <c r="M27" s="1018">
        <f t="shared" si="3"/>
        <v>1.17</v>
      </c>
    </row>
    <row r="28" spans="1:13" s="10" customFormat="1" ht="12" customHeight="1" x14ac:dyDescent="0.25">
      <c r="A28" s="180">
        <v>10</v>
      </c>
      <c r="B28" s="20" t="s">
        <v>84</v>
      </c>
      <c r="C28" s="113">
        <v>4.0000000000000003E-5</v>
      </c>
      <c r="D28" s="113">
        <v>4.0000000000000003E-5</v>
      </c>
      <c r="E28" s="408">
        <f>цены!F100</f>
        <v>1000</v>
      </c>
      <c r="F28" s="408">
        <f>C28*E28</f>
        <v>0.04</v>
      </c>
      <c r="G28" s="97">
        <f t="shared" si="5"/>
        <v>0</v>
      </c>
      <c r="H28" s="21">
        <f t="shared" si="5"/>
        <v>0</v>
      </c>
      <c r="I28" s="21">
        <f t="shared" si="6"/>
        <v>4.0000000000000001E-3</v>
      </c>
      <c r="J28" s="21">
        <f t="shared" si="6"/>
        <v>4.0000000000000001E-3</v>
      </c>
      <c r="K28" s="1017"/>
      <c r="L28" s="1018">
        <f t="shared" si="2"/>
        <v>0</v>
      </c>
      <c r="M28" s="1018">
        <f t="shared" si="3"/>
        <v>0.01</v>
      </c>
    </row>
    <row r="29" spans="1:13" s="10" customFormat="1" ht="12" customHeight="1" x14ac:dyDescent="0.25">
      <c r="A29" s="180">
        <v>11</v>
      </c>
      <c r="B29" s="20" t="s">
        <v>78</v>
      </c>
      <c r="C29" s="21">
        <f>0.002*C34</f>
        <v>8.0000000000000002E-3</v>
      </c>
      <c r="D29" s="21">
        <f>C29</f>
        <v>8.0000000000000002E-3</v>
      </c>
      <c r="E29" s="408">
        <f>цены!F48</f>
        <v>300</v>
      </c>
      <c r="F29" s="408">
        <f>C29*E29</f>
        <v>2.4</v>
      </c>
      <c r="G29" s="97">
        <f t="shared" si="5"/>
        <v>0.08</v>
      </c>
      <c r="H29" s="21">
        <f>D29*10</f>
        <v>0.08</v>
      </c>
      <c r="I29" s="21">
        <f t="shared" si="6"/>
        <v>0.8</v>
      </c>
      <c r="J29" s="21">
        <f>D29*100</f>
        <v>0.8</v>
      </c>
      <c r="K29" s="1017"/>
      <c r="L29" s="1018">
        <f t="shared" si="2"/>
        <v>2E-3</v>
      </c>
      <c r="M29" s="1018">
        <f t="shared" si="3"/>
        <v>0.6</v>
      </c>
    </row>
    <row r="30" spans="1:13" s="10" customFormat="1" ht="12" customHeight="1" x14ac:dyDescent="0.25">
      <c r="A30" s="98"/>
      <c r="B30" s="93" t="s">
        <v>100</v>
      </c>
      <c r="C30" s="114"/>
      <c r="D30" s="100">
        <v>1</v>
      </c>
      <c r="E30" s="95"/>
      <c r="F30" s="95">
        <f>SUM(F19:F29)</f>
        <v>33.18</v>
      </c>
      <c r="G30" s="99"/>
      <c r="H30" s="100">
        <f>D30*10</f>
        <v>10</v>
      </c>
      <c r="I30" s="100"/>
      <c r="J30" s="100">
        <f>D30*100</f>
        <v>100</v>
      </c>
      <c r="K30" s="1017"/>
      <c r="L30" s="1018">
        <f>SUM(L19:L29)</f>
        <v>0.33229999999999998</v>
      </c>
      <c r="M30" s="1018">
        <f>SUM(M19:M29)</f>
        <v>8.2949999999999999</v>
      </c>
    </row>
    <row r="31" spans="1:13" s="10" customFormat="1" ht="27.6" customHeight="1" x14ac:dyDescent="0.25">
      <c r="A31" s="1536" t="s">
        <v>35</v>
      </c>
      <c r="B31" s="1536"/>
      <c r="C31" s="90"/>
      <c r="D31" s="90"/>
      <c r="E31" s="408"/>
      <c r="F31" s="408">
        <f>F30</f>
        <v>33.18</v>
      </c>
      <c r="G31" s="591"/>
      <c r="H31" s="591"/>
      <c r="I31" s="21"/>
      <c r="J31" s="408"/>
    </row>
    <row r="32" spans="1:13" s="10" customFormat="1" ht="25.35" customHeight="1" x14ac:dyDescent="0.25">
      <c r="A32" s="1536" t="s">
        <v>36</v>
      </c>
      <c r="B32" s="1536"/>
      <c r="C32" s="866">
        <v>1000</v>
      </c>
      <c r="D32" s="90"/>
      <c r="E32" s="408"/>
      <c r="F32" s="408"/>
      <c r="G32" s="408"/>
      <c r="H32" s="408"/>
      <c r="I32" s="21"/>
      <c r="J32" s="17"/>
    </row>
    <row r="33" spans="1:10" s="10" customFormat="1" ht="25.35" customHeight="1" x14ac:dyDescent="0.25">
      <c r="A33" s="1537" t="s">
        <v>37</v>
      </c>
      <c r="B33" s="1538"/>
      <c r="C33" s="1071">
        <v>250</v>
      </c>
      <c r="D33" s="92"/>
      <c r="E33" s="592"/>
      <c r="F33" s="592"/>
      <c r="G33" s="592"/>
      <c r="H33" s="592"/>
      <c r="I33" s="21"/>
      <c r="J33" s="17"/>
    </row>
    <row r="34" spans="1:10" s="10" customFormat="1" ht="15" customHeight="1" x14ac:dyDescent="0.25">
      <c r="A34" s="1539" t="s">
        <v>38</v>
      </c>
      <c r="B34" s="1540"/>
      <c r="C34" s="245">
        <f>C32/C33</f>
        <v>4</v>
      </c>
      <c r="D34" s="92"/>
      <c r="E34" s="592"/>
      <c r="F34" s="592"/>
      <c r="G34" s="592"/>
      <c r="H34" s="592"/>
      <c r="I34" s="21"/>
      <c r="J34" s="17"/>
    </row>
    <row r="35" spans="1:10" ht="16.350000000000001" customHeight="1" x14ac:dyDescent="0.25">
      <c r="A35" s="1541" t="s">
        <v>39</v>
      </c>
      <c r="B35" s="1542"/>
      <c r="C35" s="15" t="s">
        <v>40</v>
      </c>
      <c r="D35" s="102"/>
      <c r="E35" s="102" t="s">
        <v>40</v>
      </c>
      <c r="F35" s="16">
        <f>F31/C34</f>
        <v>8.3000000000000007</v>
      </c>
      <c r="G35" s="16"/>
      <c r="H35" s="16"/>
      <c r="I35" s="102" t="s">
        <v>40</v>
      </c>
      <c r="J35" s="102" t="s">
        <v>40</v>
      </c>
    </row>
    <row r="36" spans="1:10" ht="23.1" customHeight="1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193"/>
      <c r="B37" s="1194" t="s">
        <v>49</v>
      </c>
      <c r="C37" s="1198"/>
      <c r="D37" s="1198"/>
      <c r="E37" s="1198"/>
      <c r="F37" s="1198"/>
      <c r="G37" s="1193"/>
      <c r="H37" s="1556">
        <f>'1-бутерброд с маслом'!$H$28</f>
        <v>0</v>
      </c>
      <c r="I37" s="1556"/>
      <c r="J37" s="1556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545" t="s">
        <v>327</v>
      </c>
      <c r="B39" s="1545"/>
      <c r="C39" s="1546" t="s">
        <v>328</v>
      </c>
      <c r="D39" s="1546"/>
      <c r="E39" s="1546"/>
      <c r="F39" s="1546"/>
      <c r="G39" s="106"/>
      <c r="H39" s="1531"/>
      <c r="I39" s="1531"/>
      <c r="J39" s="1531"/>
    </row>
    <row r="40" spans="1:10" x14ac:dyDescent="0.25">
      <c r="A40" s="1193"/>
      <c r="B40" s="1193"/>
      <c r="C40" s="1546"/>
      <c r="D40" s="1546"/>
      <c r="E40" s="1546"/>
      <c r="F40" s="1546"/>
      <c r="G40" s="1193"/>
      <c r="H40" s="1531" t="s">
        <v>329</v>
      </c>
      <c r="I40" s="1531"/>
      <c r="J40" s="1531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37:J37"/>
    <mergeCell ref="A13:G13"/>
    <mergeCell ref="A32:B32"/>
    <mergeCell ref="A33:B33"/>
    <mergeCell ref="A34:B34"/>
    <mergeCell ref="A35:B35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9:B39"/>
    <mergeCell ref="C39:F40"/>
    <mergeCell ref="H39:J39"/>
    <mergeCell ref="H40:J40"/>
    <mergeCell ref="H5:I5"/>
    <mergeCell ref="A6:G6"/>
    <mergeCell ref="A7:I7"/>
    <mergeCell ref="A31:B31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44"/>
  <sheetViews>
    <sheetView view="pageBreakPreview" topLeftCell="A7" zoomScale="110" zoomScaleNormal="100" zoomScaleSheetLayoutView="110" workbookViewId="0">
      <selection activeCell="A9" sqref="A9:J9"/>
    </sheetView>
  </sheetViews>
  <sheetFormatPr defaultColWidth="8.88671875" defaultRowHeight="13.8" x14ac:dyDescent="0.25"/>
  <cols>
    <col min="1" max="1" width="4.109375" style="589" customWidth="1"/>
    <col min="2" max="2" width="22.44140625" style="589" customWidth="1"/>
    <col min="3" max="7" width="7.5546875" style="589" customWidth="1"/>
    <col min="8" max="8" width="8.88671875" style="589" customWidth="1"/>
    <col min="9" max="9" width="7.5546875" style="589" customWidth="1"/>
    <col min="10" max="10" width="9" style="589" customWidth="1"/>
    <col min="11" max="11" width="5.88671875" style="589" customWidth="1"/>
    <col min="12" max="16384" width="8.88671875" style="58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61)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593"/>
      <c r="I6" s="593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98</v>
      </c>
    </row>
    <row r="8" spans="1:10" s="2" customFormat="1" ht="9.6" customHeight="1" x14ac:dyDescent="0.25">
      <c r="A8" s="594"/>
      <c r="B8" s="594"/>
      <c r="C8" s="594"/>
      <c r="D8" s="594"/>
      <c r="E8" s="594"/>
      <c r="F8" s="594"/>
      <c r="G8" s="594"/>
      <c r="H8" s="594"/>
      <c r="I8" s="594"/>
      <c r="J8" s="109"/>
    </row>
    <row r="9" spans="1:10" s="2" customFormat="1" ht="26.1" customHeight="1" x14ac:dyDescent="0.3">
      <c r="A9" s="1550" t="s">
        <v>860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'98-суп крестьян. рис'!H14+1</f>
        <v>61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590" t="s">
        <v>92</v>
      </c>
      <c r="D17" s="590" t="s">
        <v>94</v>
      </c>
      <c r="E17" s="590" t="s">
        <v>93</v>
      </c>
      <c r="F17" s="590" t="s">
        <v>23</v>
      </c>
      <c r="G17" s="590" t="s">
        <v>92</v>
      </c>
      <c r="H17" s="590" t="s">
        <v>94</v>
      </c>
      <c r="I17" s="590" t="s">
        <v>92</v>
      </c>
      <c r="J17" s="590" t="s">
        <v>94</v>
      </c>
    </row>
    <row r="18" spans="1:13" ht="9.6" customHeight="1" x14ac:dyDescent="0.25">
      <c r="A18" s="590">
        <v>1</v>
      </c>
      <c r="B18" s="592">
        <v>2</v>
      </c>
      <c r="C18" s="590">
        <v>3</v>
      </c>
      <c r="D18" s="592">
        <v>4</v>
      </c>
      <c r="E18" s="590">
        <v>5</v>
      </c>
      <c r="F18" s="592">
        <v>6</v>
      </c>
      <c r="G18" s="590">
        <v>7</v>
      </c>
      <c r="H18" s="592">
        <v>8</v>
      </c>
      <c r="I18" s="590">
        <v>9</v>
      </c>
      <c r="J18" s="592">
        <v>10</v>
      </c>
    </row>
    <row r="19" spans="1:13" s="10" customFormat="1" ht="14.1" customHeight="1" x14ac:dyDescent="0.25">
      <c r="A19" s="180">
        <v>1</v>
      </c>
      <c r="B19" s="20" t="s">
        <v>53</v>
      </c>
      <c r="C19" s="21">
        <v>0.15</v>
      </c>
      <c r="D19" s="21">
        <v>0.12</v>
      </c>
      <c r="E19" s="408">
        <f>цены!F33</f>
        <v>53</v>
      </c>
      <c r="F19" s="408">
        <f>C19*E19</f>
        <v>7.95</v>
      </c>
      <c r="G19" s="97">
        <f t="shared" ref="G19:H29" si="0">C19*10</f>
        <v>1.5</v>
      </c>
      <c r="H19" s="21">
        <f t="shared" si="0"/>
        <v>1.2</v>
      </c>
      <c r="I19" s="21">
        <f t="shared" ref="I19:J29" si="1">C19*100</f>
        <v>15</v>
      </c>
      <c r="J19" s="21">
        <f t="shared" si="1"/>
        <v>12</v>
      </c>
      <c r="K19" s="1017"/>
      <c r="L19" s="1018">
        <f>C19/C$34</f>
        <v>3.7499999999999999E-2</v>
      </c>
      <c r="M19" s="1018">
        <f>F19/C$34</f>
        <v>1.9875</v>
      </c>
    </row>
    <row r="20" spans="1:13" s="10" customFormat="1" ht="12" customHeight="1" x14ac:dyDescent="0.25">
      <c r="A20" s="180">
        <v>2</v>
      </c>
      <c r="B20" s="20" t="s">
        <v>50</v>
      </c>
      <c r="C20" s="21">
        <v>0.13300000000000001</v>
      </c>
      <c r="D20" s="21">
        <v>0.1</v>
      </c>
      <c r="E20" s="408">
        <f>цены!F35</f>
        <v>50</v>
      </c>
      <c r="F20" s="408">
        <f>C20*E20</f>
        <v>6.65</v>
      </c>
      <c r="G20" s="97">
        <f t="shared" si="0"/>
        <v>1.33</v>
      </c>
      <c r="H20" s="21">
        <f t="shared" si="0"/>
        <v>1</v>
      </c>
      <c r="I20" s="21">
        <f t="shared" si="1"/>
        <v>13.3</v>
      </c>
      <c r="J20" s="21">
        <f t="shared" si="1"/>
        <v>10</v>
      </c>
      <c r="K20" s="1017"/>
      <c r="L20" s="1018">
        <f t="shared" ref="L20:L29" si="2">C20/C$34</f>
        <v>3.3300000000000003E-2</v>
      </c>
      <c r="M20" s="1018">
        <f t="shared" ref="M20:M29" si="3">F20/C$34</f>
        <v>1.6625000000000001</v>
      </c>
    </row>
    <row r="21" spans="1:13" s="10" customFormat="1" ht="12" customHeight="1" x14ac:dyDescent="0.25">
      <c r="A21" s="180">
        <v>3</v>
      </c>
      <c r="B21" s="20" t="s">
        <v>700</v>
      </c>
      <c r="C21" s="21">
        <v>0.04</v>
      </c>
      <c r="D21" s="21">
        <v>0.04</v>
      </c>
      <c r="E21" s="408">
        <f>цены!F78</f>
        <v>35</v>
      </c>
      <c r="F21" s="408">
        <f t="shared" ref="F21:F29" si="4">C21*E21</f>
        <v>1.4</v>
      </c>
      <c r="G21" s="97">
        <f t="shared" si="0"/>
        <v>0.4</v>
      </c>
      <c r="H21" s="21">
        <f t="shared" si="0"/>
        <v>0.4</v>
      </c>
      <c r="I21" s="21">
        <f t="shared" si="1"/>
        <v>4</v>
      </c>
      <c r="J21" s="21">
        <f t="shared" si="1"/>
        <v>4</v>
      </c>
      <c r="K21" s="1017"/>
      <c r="L21" s="1018">
        <f t="shared" si="2"/>
        <v>0.01</v>
      </c>
      <c r="M21" s="1018">
        <f t="shared" si="3"/>
        <v>0.35</v>
      </c>
    </row>
    <row r="22" spans="1:13" s="10" customFormat="1" ht="12" customHeight="1" x14ac:dyDescent="0.25">
      <c r="A22" s="180">
        <v>4</v>
      </c>
      <c r="B22" s="20" t="s">
        <v>47</v>
      </c>
      <c r="C22" s="21">
        <v>0.05</v>
      </c>
      <c r="D22" s="21">
        <v>0.04</v>
      </c>
      <c r="E22" s="408">
        <f>цены!F44</f>
        <v>50</v>
      </c>
      <c r="F22" s="408">
        <f t="shared" si="4"/>
        <v>2.5</v>
      </c>
      <c r="G22" s="97">
        <f t="shared" si="0"/>
        <v>0.5</v>
      </c>
      <c r="H22" s="21">
        <f t="shared" si="0"/>
        <v>0.4</v>
      </c>
      <c r="I22" s="21">
        <f t="shared" si="1"/>
        <v>5</v>
      </c>
      <c r="J22" s="21">
        <f t="shared" si="1"/>
        <v>4</v>
      </c>
      <c r="K22" s="1017"/>
      <c r="L22" s="1018">
        <f t="shared" si="2"/>
        <v>1.2500000000000001E-2</v>
      </c>
      <c r="M22" s="1018">
        <f t="shared" si="3"/>
        <v>0.625</v>
      </c>
    </row>
    <row r="23" spans="1:13" s="10" customFormat="1" ht="12" customHeight="1" x14ac:dyDescent="0.25">
      <c r="A23" s="180">
        <v>5</v>
      </c>
      <c r="B23" s="20" t="s">
        <v>48</v>
      </c>
      <c r="C23" s="21">
        <v>4.8000000000000001E-2</v>
      </c>
      <c r="D23" s="21">
        <v>0.04</v>
      </c>
      <c r="E23" s="408">
        <f>цены!F38</f>
        <v>50</v>
      </c>
      <c r="F23" s="408">
        <f t="shared" si="4"/>
        <v>2.4</v>
      </c>
      <c r="G23" s="97">
        <f t="shared" si="0"/>
        <v>0.48</v>
      </c>
      <c r="H23" s="21">
        <f t="shared" si="0"/>
        <v>0.4</v>
      </c>
      <c r="I23" s="21">
        <f t="shared" si="1"/>
        <v>4.8</v>
      </c>
      <c r="J23" s="21">
        <f t="shared" si="1"/>
        <v>4</v>
      </c>
      <c r="K23" s="1017"/>
      <c r="L23" s="1018">
        <f t="shared" si="2"/>
        <v>1.2E-2</v>
      </c>
      <c r="M23" s="1018">
        <f t="shared" si="3"/>
        <v>0.6</v>
      </c>
    </row>
    <row r="24" spans="1:13" s="10" customFormat="1" ht="12" customHeight="1" x14ac:dyDescent="0.25">
      <c r="A24" s="180">
        <v>6</v>
      </c>
      <c r="B24" s="20" t="s">
        <v>74</v>
      </c>
      <c r="C24" s="21">
        <v>0.02</v>
      </c>
      <c r="D24" s="21">
        <v>0.02</v>
      </c>
      <c r="E24" s="408">
        <f>цены!F87</f>
        <v>120</v>
      </c>
      <c r="F24" s="408">
        <f t="shared" si="4"/>
        <v>2.4</v>
      </c>
      <c r="G24" s="97">
        <f t="shared" si="0"/>
        <v>0.2</v>
      </c>
      <c r="H24" s="21">
        <f t="shared" si="0"/>
        <v>0.2</v>
      </c>
      <c r="I24" s="21">
        <f t="shared" si="1"/>
        <v>2</v>
      </c>
      <c r="J24" s="21">
        <f t="shared" si="1"/>
        <v>2</v>
      </c>
      <c r="K24" s="1017"/>
      <c r="L24" s="1018">
        <f t="shared" si="2"/>
        <v>5.0000000000000001E-3</v>
      </c>
      <c r="M24" s="1018">
        <f t="shared" si="3"/>
        <v>0.6</v>
      </c>
    </row>
    <row r="25" spans="1:13" s="10" customFormat="1" ht="12" customHeight="1" x14ac:dyDescent="0.25">
      <c r="A25" s="180">
        <v>7</v>
      </c>
      <c r="B25" s="20" t="s">
        <v>141</v>
      </c>
      <c r="C25" s="21">
        <v>0.85</v>
      </c>
      <c r="D25" s="21">
        <v>0.85</v>
      </c>
      <c r="E25" s="408"/>
      <c r="F25" s="408">
        <f t="shared" si="4"/>
        <v>0</v>
      </c>
      <c r="G25" s="97">
        <f t="shared" si="0"/>
        <v>8.5</v>
      </c>
      <c r="H25" s="21">
        <f t="shared" si="0"/>
        <v>8.5</v>
      </c>
      <c r="I25" s="21">
        <f t="shared" si="1"/>
        <v>85</v>
      </c>
      <c r="J25" s="21">
        <f t="shared" si="1"/>
        <v>85</v>
      </c>
      <c r="K25" s="1017"/>
      <c r="L25" s="1018">
        <f t="shared" si="2"/>
        <v>0.21249999999999999</v>
      </c>
      <c r="M25" s="1018">
        <f t="shared" si="3"/>
        <v>0</v>
      </c>
    </row>
    <row r="26" spans="1:13" s="10" customFormat="1" ht="12" customHeight="1" x14ac:dyDescent="0.25">
      <c r="A26" s="180">
        <v>8</v>
      </c>
      <c r="B26" s="20" t="s">
        <v>33</v>
      </c>
      <c r="C26" s="21">
        <v>0.01</v>
      </c>
      <c r="D26" s="21">
        <v>0.01</v>
      </c>
      <c r="E26" s="408">
        <f>цены!F110</f>
        <v>24</v>
      </c>
      <c r="F26" s="408">
        <f t="shared" si="4"/>
        <v>0.24</v>
      </c>
      <c r="G26" s="97">
        <f t="shared" si="0"/>
        <v>0.1</v>
      </c>
      <c r="H26" s="21">
        <f t="shared" si="0"/>
        <v>0.1</v>
      </c>
      <c r="I26" s="21">
        <f t="shared" si="1"/>
        <v>1</v>
      </c>
      <c r="J26" s="21">
        <f t="shared" si="1"/>
        <v>1</v>
      </c>
      <c r="K26" s="1017"/>
      <c r="L26" s="1018">
        <f t="shared" si="2"/>
        <v>2.5000000000000001E-3</v>
      </c>
      <c r="M26" s="1018">
        <f t="shared" si="3"/>
        <v>0.06</v>
      </c>
    </row>
    <row r="27" spans="1:13" s="10" customFormat="1" ht="12" customHeight="1" x14ac:dyDescent="0.25">
      <c r="A27" s="180">
        <v>9</v>
      </c>
      <c r="B27" s="20" t="s">
        <v>51</v>
      </c>
      <c r="C27" s="21">
        <v>0.02</v>
      </c>
      <c r="D27" s="21">
        <v>0.02</v>
      </c>
      <c r="E27" s="408">
        <f>цены!F24</f>
        <v>234</v>
      </c>
      <c r="F27" s="408">
        <f t="shared" si="4"/>
        <v>4.68</v>
      </c>
      <c r="G27" s="97">
        <f t="shared" si="0"/>
        <v>0.2</v>
      </c>
      <c r="H27" s="21">
        <f t="shared" si="0"/>
        <v>0.2</v>
      </c>
      <c r="I27" s="21">
        <f t="shared" si="1"/>
        <v>2</v>
      </c>
      <c r="J27" s="21">
        <f t="shared" si="1"/>
        <v>2</v>
      </c>
      <c r="K27" s="1017"/>
      <c r="L27" s="1018">
        <f t="shared" si="2"/>
        <v>5.0000000000000001E-3</v>
      </c>
      <c r="M27" s="1018">
        <f t="shared" si="3"/>
        <v>1.17</v>
      </c>
    </row>
    <row r="28" spans="1:13" s="10" customFormat="1" ht="12" customHeight="1" x14ac:dyDescent="0.25">
      <c r="A28" s="180">
        <v>10</v>
      </c>
      <c r="B28" s="20" t="s">
        <v>78</v>
      </c>
      <c r="C28" s="21">
        <f>0.002*C34</f>
        <v>8.0000000000000002E-3</v>
      </c>
      <c r="D28" s="21">
        <f>C28</f>
        <v>8.0000000000000002E-3</v>
      </c>
      <c r="E28" s="408">
        <f>цены!F48</f>
        <v>300</v>
      </c>
      <c r="F28" s="408">
        <f t="shared" si="4"/>
        <v>2.4</v>
      </c>
      <c r="G28" s="97">
        <f t="shared" si="0"/>
        <v>0.08</v>
      </c>
      <c r="H28" s="21">
        <f t="shared" si="0"/>
        <v>0.08</v>
      </c>
      <c r="I28" s="21">
        <f t="shared" si="1"/>
        <v>0.8</v>
      </c>
      <c r="J28" s="21">
        <f t="shared" si="1"/>
        <v>0.8</v>
      </c>
      <c r="K28" s="1017"/>
      <c r="L28" s="1018">
        <f t="shared" si="2"/>
        <v>2E-3</v>
      </c>
      <c r="M28" s="1018">
        <f t="shared" si="3"/>
        <v>0.6</v>
      </c>
    </row>
    <row r="29" spans="1:13" s="10" customFormat="1" ht="12" customHeight="1" x14ac:dyDescent="0.25">
      <c r="A29" s="180">
        <v>11</v>
      </c>
      <c r="B29" s="20" t="s">
        <v>84</v>
      </c>
      <c r="C29" s="113">
        <v>4.0000000000000003E-5</v>
      </c>
      <c r="D29" s="113">
        <v>4.0000000000000003E-5</v>
      </c>
      <c r="E29" s="408">
        <f>цены!F100</f>
        <v>1000</v>
      </c>
      <c r="F29" s="408">
        <f t="shared" si="4"/>
        <v>0.04</v>
      </c>
      <c r="G29" s="97">
        <f t="shared" si="0"/>
        <v>0</v>
      </c>
      <c r="H29" s="21">
        <f t="shared" si="0"/>
        <v>0</v>
      </c>
      <c r="I29" s="21">
        <f t="shared" si="1"/>
        <v>4.0000000000000001E-3</v>
      </c>
      <c r="J29" s="21">
        <f t="shared" si="1"/>
        <v>4.0000000000000001E-3</v>
      </c>
      <c r="K29" s="1017"/>
      <c r="L29" s="1018">
        <f t="shared" si="2"/>
        <v>0</v>
      </c>
      <c r="M29" s="1018">
        <f t="shared" si="3"/>
        <v>0.01</v>
      </c>
    </row>
    <row r="30" spans="1:13" s="10" customFormat="1" ht="12" customHeight="1" x14ac:dyDescent="0.25">
      <c r="A30" s="98"/>
      <c r="B30" s="93" t="s">
        <v>100</v>
      </c>
      <c r="C30" s="114"/>
      <c r="D30" s="100">
        <v>1</v>
      </c>
      <c r="E30" s="95"/>
      <c r="F30" s="95">
        <f>SUM(F19:F29)</f>
        <v>30.66</v>
      </c>
      <c r="G30" s="99"/>
      <c r="H30" s="100">
        <f>D30*10</f>
        <v>10</v>
      </c>
      <c r="I30" s="100"/>
      <c r="J30" s="100">
        <f>D30*100</f>
        <v>100</v>
      </c>
      <c r="K30" s="1017"/>
      <c r="L30" s="1018">
        <f>SUM(L19:L29)</f>
        <v>0.33229999999999998</v>
      </c>
      <c r="M30" s="1018">
        <f>SUM(M19:M29)</f>
        <v>7.665</v>
      </c>
    </row>
    <row r="31" spans="1:13" s="10" customFormat="1" ht="27.6" customHeight="1" x14ac:dyDescent="0.25">
      <c r="A31" s="1536" t="s">
        <v>35</v>
      </c>
      <c r="B31" s="1536"/>
      <c r="C31" s="90"/>
      <c r="D31" s="90"/>
      <c r="E31" s="408"/>
      <c r="F31" s="408">
        <f>F30</f>
        <v>30.66</v>
      </c>
      <c r="G31" s="591"/>
      <c r="H31" s="591"/>
      <c r="I31" s="21"/>
      <c r="J31" s="408"/>
    </row>
    <row r="32" spans="1:13" s="10" customFormat="1" ht="25.35" customHeight="1" x14ac:dyDescent="0.25">
      <c r="A32" s="1536" t="s">
        <v>36</v>
      </c>
      <c r="B32" s="1536"/>
      <c r="C32" s="866">
        <v>1000</v>
      </c>
      <c r="D32" s="90"/>
      <c r="E32" s="408"/>
      <c r="F32" s="408"/>
      <c r="G32" s="408"/>
      <c r="H32" s="408"/>
      <c r="I32" s="21"/>
      <c r="J32" s="17"/>
    </row>
    <row r="33" spans="1:10" s="10" customFormat="1" ht="25.35" customHeight="1" x14ac:dyDescent="0.25">
      <c r="A33" s="1537" t="s">
        <v>37</v>
      </c>
      <c r="B33" s="1538"/>
      <c r="C33" s="1071">
        <v>250</v>
      </c>
      <c r="D33" s="92"/>
      <c r="E33" s="592"/>
      <c r="F33" s="592"/>
      <c r="G33" s="592"/>
      <c r="H33" s="592"/>
      <c r="I33" s="21"/>
      <c r="J33" s="17"/>
    </row>
    <row r="34" spans="1:10" s="10" customFormat="1" ht="15" customHeight="1" x14ac:dyDescent="0.25">
      <c r="A34" s="1539" t="s">
        <v>38</v>
      </c>
      <c r="B34" s="1540"/>
      <c r="C34" s="245">
        <f>C32/C33</f>
        <v>4</v>
      </c>
      <c r="D34" s="92"/>
      <c r="E34" s="592"/>
      <c r="F34" s="592"/>
      <c r="G34" s="592"/>
      <c r="H34" s="592"/>
      <c r="I34" s="21"/>
      <c r="J34" s="17"/>
    </row>
    <row r="35" spans="1:10" ht="16.350000000000001" customHeight="1" x14ac:dyDescent="0.25">
      <c r="A35" s="1541" t="s">
        <v>39</v>
      </c>
      <c r="B35" s="1542"/>
      <c r="C35" s="15" t="s">
        <v>40</v>
      </c>
      <c r="D35" s="102"/>
      <c r="E35" s="102" t="s">
        <v>40</v>
      </c>
      <c r="F35" s="16">
        <f>F31/C34</f>
        <v>7.67</v>
      </c>
      <c r="G35" s="16"/>
      <c r="H35" s="16"/>
      <c r="I35" s="102" t="s">
        <v>40</v>
      </c>
      <c r="J35" s="102" t="s">
        <v>40</v>
      </c>
    </row>
    <row r="36" spans="1:10" ht="23.1" customHeight="1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193"/>
      <c r="B37" s="1194" t="s">
        <v>49</v>
      </c>
      <c r="C37" s="1198"/>
      <c r="D37" s="1198"/>
      <c r="E37" s="1198"/>
      <c r="F37" s="1198"/>
      <c r="G37" s="1193"/>
      <c r="H37" s="1556">
        <f>'1-бутерброд с маслом'!$H$28</f>
        <v>0</v>
      </c>
      <c r="I37" s="1556"/>
      <c r="J37" s="1556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545" t="s">
        <v>327</v>
      </c>
      <c r="B39" s="1545"/>
      <c r="C39" s="1546" t="s">
        <v>328</v>
      </c>
      <c r="D39" s="1546"/>
      <c r="E39" s="1546"/>
      <c r="F39" s="1546"/>
      <c r="G39" s="106"/>
      <c r="H39" s="1531"/>
      <c r="I39" s="1531"/>
      <c r="J39" s="1531"/>
    </row>
    <row r="40" spans="1:10" x14ac:dyDescent="0.25">
      <c r="A40" s="1193"/>
      <c r="B40" s="1193"/>
      <c r="C40" s="1546"/>
      <c r="D40" s="1546"/>
      <c r="E40" s="1546"/>
      <c r="F40" s="1546"/>
      <c r="G40" s="1193"/>
      <c r="H40" s="1531" t="s">
        <v>329</v>
      </c>
      <c r="I40" s="1531"/>
      <c r="J40" s="1531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37:J37"/>
    <mergeCell ref="A13:G13"/>
    <mergeCell ref="A32:B32"/>
    <mergeCell ref="A33:B33"/>
    <mergeCell ref="A34:B34"/>
    <mergeCell ref="A35:B35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9:B39"/>
    <mergeCell ref="C39:F40"/>
    <mergeCell ref="H39:J39"/>
    <mergeCell ref="H40:J40"/>
    <mergeCell ref="H5:I5"/>
    <mergeCell ref="A6:G6"/>
    <mergeCell ref="A7:I7"/>
    <mergeCell ref="A31:B31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44"/>
  <sheetViews>
    <sheetView view="pageBreakPreview" topLeftCell="A4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589" customWidth="1"/>
    <col min="2" max="2" width="22.44140625" style="589" customWidth="1"/>
    <col min="3" max="7" width="7.5546875" style="589" customWidth="1"/>
    <col min="8" max="8" width="8.88671875" style="589" customWidth="1"/>
    <col min="9" max="9" width="7.5546875" style="589" customWidth="1"/>
    <col min="10" max="10" width="9" style="589" customWidth="1"/>
    <col min="11" max="11" width="3.33203125" style="589" customWidth="1"/>
    <col min="12" max="16384" width="8.88671875" style="58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62)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593"/>
      <c r="I6" s="593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98</v>
      </c>
    </row>
    <row r="8" spans="1:10" s="2" customFormat="1" ht="9.6" customHeight="1" x14ac:dyDescent="0.25">
      <c r="A8" s="594"/>
      <c r="B8" s="594"/>
      <c r="C8" s="594"/>
      <c r="D8" s="594"/>
      <c r="E8" s="594"/>
      <c r="F8" s="594"/>
      <c r="G8" s="594"/>
      <c r="H8" s="594"/>
      <c r="I8" s="594"/>
      <c r="J8" s="109"/>
    </row>
    <row r="9" spans="1:10" s="2" customFormat="1" ht="26.1" customHeight="1" x14ac:dyDescent="0.3">
      <c r="A9" s="1550" t="s">
        <v>861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'98-суп крестьян. овсянка'!H14+1</f>
        <v>62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590" t="s">
        <v>92</v>
      </c>
      <c r="D17" s="590" t="s">
        <v>94</v>
      </c>
      <c r="E17" s="590" t="s">
        <v>93</v>
      </c>
      <c r="F17" s="590" t="s">
        <v>23</v>
      </c>
      <c r="G17" s="590" t="s">
        <v>92</v>
      </c>
      <c r="H17" s="590" t="s">
        <v>94</v>
      </c>
      <c r="I17" s="590" t="s">
        <v>92</v>
      </c>
      <c r="J17" s="590" t="s">
        <v>94</v>
      </c>
    </row>
    <row r="18" spans="1:13" ht="9.6" customHeight="1" x14ac:dyDescent="0.25">
      <c r="A18" s="590">
        <v>1</v>
      </c>
      <c r="B18" s="592">
        <v>2</v>
      </c>
      <c r="C18" s="590">
        <v>3</v>
      </c>
      <c r="D18" s="592">
        <v>4</v>
      </c>
      <c r="E18" s="590">
        <v>5</v>
      </c>
      <c r="F18" s="592">
        <v>6</v>
      </c>
      <c r="G18" s="590">
        <v>7</v>
      </c>
      <c r="H18" s="592">
        <v>8</v>
      </c>
      <c r="I18" s="590">
        <v>9</v>
      </c>
      <c r="J18" s="592">
        <v>10</v>
      </c>
    </row>
    <row r="19" spans="1:13" s="10" customFormat="1" ht="14.1" customHeight="1" x14ac:dyDescent="0.25">
      <c r="A19" s="180">
        <v>1</v>
      </c>
      <c r="B19" s="20" t="s">
        <v>53</v>
      </c>
      <c r="C19" s="21">
        <v>0.15</v>
      </c>
      <c r="D19" s="21">
        <v>0.12</v>
      </c>
      <c r="E19" s="408">
        <f>цены!F33</f>
        <v>53</v>
      </c>
      <c r="F19" s="408">
        <f>C19*E19</f>
        <v>7.95</v>
      </c>
      <c r="G19" s="97">
        <f t="shared" ref="G19:H29" si="0">C19*10</f>
        <v>1.5</v>
      </c>
      <c r="H19" s="21">
        <f t="shared" si="0"/>
        <v>1.2</v>
      </c>
      <c r="I19" s="21">
        <f t="shared" ref="I19:J29" si="1">C19*100</f>
        <v>15</v>
      </c>
      <c r="J19" s="21">
        <f t="shared" si="1"/>
        <v>12</v>
      </c>
      <c r="L19" s="1018">
        <f>C19/C$34</f>
        <v>3.7499999999999999E-2</v>
      </c>
      <c r="M19" s="1018">
        <f>F19/C$34</f>
        <v>1.9875</v>
      </c>
    </row>
    <row r="20" spans="1:13" s="10" customFormat="1" ht="12" customHeight="1" x14ac:dyDescent="0.25">
      <c r="A20" s="180">
        <v>2</v>
      </c>
      <c r="B20" s="20" t="s">
        <v>50</v>
      </c>
      <c r="C20" s="21">
        <v>0.13300000000000001</v>
      </c>
      <c r="D20" s="21">
        <v>0.1</v>
      </c>
      <c r="E20" s="408">
        <f>цены!F35</f>
        <v>50</v>
      </c>
      <c r="F20" s="408">
        <f>C20*E20</f>
        <v>6.65</v>
      </c>
      <c r="G20" s="97">
        <f t="shared" si="0"/>
        <v>1.33</v>
      </c>
      <c r="H20" s="21">
        <f t="shared" si="0"/>
        <v>1</v>
      </c>
      <c r="I20" s="21">
        <f t="shared" si="1"/>
        <v>13.3</v>
      </c>
      <c r="J20" s="21">
        <f t="shared" si="1"/>
        <v>10</v>
      </c>
      <c r="L20" s="1018">
        <f t="shared" ref="L20:L29" si="2">C20/C$34</f>
        <v>3.3300000000000003E-2</v>
      </c>
      <c r="M20" s="1018">
        <f t="shared" ref="M20:M29" si="3">F20/C$34</f>
        <v>1.6625000000000001</v>
      </c>
    </row>
    <row r="21" spans="1:13" s="10" customFormat="1" ht="12" customHeight="1" x14ac:dyDescent="0.25">
      <c r="A21" s="180">
        <v>3</v>
      </c>
      <c r="B21" s="20" t="s">
        <v>340</v>
      </c>
      <c r="C21" s="21">
        <v>0.04</v>
      </c>
      <c r="D21" s="21">
        <v>0.04</v>
      </c>
      <c r="E21" s="408">
        <f>цены!F77</f>
        <v>40</v>
      </c>
      <c r="F21" s="408">
        <f t="shared" ref="F21:F29" si="4">C21*E21</f>
        <v>1.6</v>
      </c>
      <c r="G21" s="97">
        <f t="shared" si="0"/>
        <v>0.4</v>
      </c>
      <c r="H21" s="21">
        <f t="shared" si="0"/>
        <v>0.4</v>
      </c>
      <c r="I21" s="21">
        <f t="shared" si="1"/>
        <v>4</v>
      </c>
      <c r="J21" s="21">
        <f t="shared" si="1"/>
        <v>4</v>
      </c>
      <c r="L21" s="1018">
        <f t="shared" si="2"/>
        <v>0.01</v>
      </c>
      <c r="M21" s="1018">
        <f t="shared" si="3"/>
        <v>0.4</v>
      </c>
    </row>
    <row r="22" spans="1:13" s="10" customFormat="1" ht="12" customHeight="1" x14ac:dyDescent="0.25">
      <c r="A22" s="180">
        <v>4</v>
      </c>
      <c r="B22" s="20" t="s">
        <v>47</v>
      </c>
      <c r="C22" s="21">
        <v>0.05</v>
      </c>
      <c r="D22" s="21">
        <v>0.04</v>
      </c>
      <c r="E22" s="408">
        <f>цены!F44</f>
        <v>50</v>
      </c>
      <c r="F22" s="408">
        <f t="shared" si="4"/>
        <v>2.5</v>
      </c>
      <c r="G22" s="97">
        <f t="shared" si="0"/>
        <v>0.5</v>
      </c>
      <c r="H22" s="21">
        <f t="shared" si="0"/>
        <v>0.4</v>
      </c>
      <c r="I22" s="21">
        <f t="shared" si="1"/>
        <v>5</v>
      </c>
      <c r="J22" s="21">
        <f t="shared" si="1"/>
        <v>4</v>
      </c>
      <c r="L22" s="1018">
        <f t="shared" si="2"/>
        <v>1.2500000000000001E-2</v>
      </c>
      <c r="M22" s="1018">
        <f t="shared" si="3"/>
        <v>0.625</v>
      </c>
    </row>
    <row r="23" spans="1:13" s="10" customFormat="1" ht="12" customHeight="1" x14ac:dyDescent="0.25">
      <c r="A23" s="180">
        <v>5</v>
      </c>
      <c r="B23" s="20" t="s">
        <v>48</v>
      </c>
      <c r="C23" s="21">
        <v>4.8000000000000001E-2</v>
      </c>
      <c r="D23" s="21">
        <v>0.04</v>
      </c>
      <c r="E23" s="408">
        <f>цены!F38</f>
        <v>50</v>
      </c>
      <c r="F23" s="408">
        <f t="shared" si="4"/>
        <v>2.4</v>
      </c>
      <c r="G23" s="97">
        <f t="shared" si="0"/>
        <v>0.48</v>
      </c>
      <c r="H23" s="21">
        <f t="shared" si="0"/>
        <v>0.4</v>
      </c>
      <c r="I23" s="21">
        <f t="shared" si="1"/>
        <v>4.8</v>
      </c>
      <c r="J23" s="21">
        <f t="shared" si="1"/>
        <v>4</v>
      </c>
      <c r="L23" s="1018">
        <f t="shared" si="2"/>
        <v>1.2E-2</v>
      </c>
      <c r="M23" s="1018">
        <f t="shared" si="3"/>
        <v>0.6</v>
      </c>
    </row>
    <row r="24" spans="1:13" s="10" customFormat="1" ht="12" customHeight="1" x14ac:dyDescent="0.25">
      <c r="A24" s="180">
        <v>6</v>
      </c>
      <c r="B24" s="20" t="s">
        <v>74</v>
      </c>
      <c r="C24" s="21">
        <v>0.02</v>
      </c>
      <c r="D24" s="21">
        <v>0.02</v>
      </c>
      <c r="E24" s="408">
        <f>цены!F87</f>
        <v>120</v>
      </c>
      <c r="F24" s="408">
        <f t="shared" si="4"/>
        <v>2.4</v>
      </c>
      <c r="G24" s="97">
        <f t="shared" si="0"/>
        <v>0.2</v>
      </c>
      <c r="H24" s="21">
        <f t="shared" si="0"/>
        <v>0.2</v>
      </c>
      <c r="I24" s="21">
        <f t="shared" si="1"/>
        <v>2</v>
      </c>
      <c r="J24" s="21">
        <f t="shared" si="1"/>
        <v>2</v>
      </c>
      <c r="L24" s="1018">
        <f t="shared" si="2"/>
        <v>5.0000000000000001E-3</v>
      </c>
      <c r="M24" s="1018">
        <f t="shared" si="3"/>
        <v>0.6</v>
      </c>
    </row>
    <row r="25" spans="1:13" s="10" customFormat="1" ht="12" customHeight="1" x14ac:dyDescent="0.25">
      <c r="A25" s="180">
        <v>7</v>
      </c>
      <c r="B25" s="20" t="s">
        <v>141</v>
      </c>
      <c r="C25" s="21">
        <v>0.85</v>
      </c>
      <c r="D25" s="21">
        <v>0.85</v>
      </c>
      <c r="E25" s="408"/>
      <c r="F25" s="408">
        <f t="shared" si="4"/>
        <v>0</v>
      </c>
      <c r="G25" s="97">
        <f t="shared" si="0"/>
        <v>8.5</v>
      </c>
      <c r="H25" s="21">
        <f t="shared" si="0"/>
        <v>8.5</v>
      </c>
      <c r="I25" s="21">
        <f t="shared" si="1"/>
        <v>85</v>
      </c>
      <c r="J25" s="21">
        <f t="shared" si="1"/>
        <v>85</v>
      </c>
      <c r="L25" s="1018">
        <f t="shared" si="2"/>
        <v>0.21249999999999999</v>
      </c>
      <c r="M25" s="1018">
        <f t="shared" si="3"/>
        <v>0</v>
      </c>
    </row>
    <row r="26" spans="1:13" s="10" customFormat="1" ht="12" customHeight="1" x14ac:dyDescent="0.25">
      <c r="A26" s="180">
        <v>8</v>
      </c>
      <c r="B26" s="20" t="s">
        <v>33</v>
      </c>
      <c r="C26" s="21">
        <v>0.01</v>
      </c>
      <c r="D26" s="21">
        <v>0.01</v>
      </c>
      <c r="E26" s="408">
        <f>цены!F110</f>
        <v>24</v>
      </c>
      <c r="F26" s="408">
        <f t="shared" si="4"/>
        <v>0.24</v>
      </c>
      <c r="G26" s="97">
        <f t="shared" si="0"/>
        <v>0.1</v>
      </c>
      <c r="H26" s="21">
        <f t="shared" si="0"/>
        <v>0.1</v>
      </c>
      <c r="I26" s="21">
        <f t="shared" si="1"/>
        <v>1</v>
      </c>
      <c r="J26" s="21">
        <f t="shared" si="1"/>
        <v>1</v>
      </c>
      <c r="L26" s="1018">
        <f t="shared" si="2"/>
        <v>2.5000000000000001E-3</v>
      </c>
      <c r="M26" s="1018">
        <f t="shared" si="3"/>
        <v>0.06</v>
      </c>
    </row>
    <row r="27" spans="1:13" s="10" customFormat="1" ht="12" customHeight="1" x14ac:dyDescent="0.25">
      <c r="A27" s="180">
        <v>9</v>
      </c>
      <c r="B27" s="20" t="s">
        <v>51</v>
      </c>
      <c r="C27" s="21">
        <v>0.02</v>
      </c>
      <c r="D27" s="21">
        <v>0.02</v>
      </c>
      <c r="E27" s="408">
        <f>цены!F24</f>
        <v>234</v>
      </c>
      <c r="F27" s="408">
        <f t="shared" si="4"/>
        <v>4.68</v>
      </c>
      <c r="G27" s="97">
        <f t="shared" si="0"/>
        <v>0.2</v>
      </c>
      <c r="H27" s="21">
        <f t="shared" si="0"/>
        <v>0.2</v>
      </c>
      <c r="I27" s="21">
        <f t="shared" si="1"/>
        <v>2</v>
      </c>
      <c r="J27" s="21">
        <f t="shared" si="1"/>
        <v>2</v>
      </c>
      <c r="L27" s="1018">
        <f t="shared" si="2"/>
        <v>5.0000000000000001E-3</v>
      </c>
      <c r="M27" s="1018">
        <f t="shared" si="3"/>
        <v>1.17</v>
      </c>
    </row>
    <row r="28" spans="1:13" s="10" customFormat="1" ht="12" customHeight="1" x14ac:dyDescent="0.25">
      <c r="A28" s="180">
        <v>10</v>
      </c>
      <c r="B28" s="20" t="s">
        <v>78</v>
      </c>
      <c r="C28" s="21">
        <f>0.002*C34</f>
        <v>8.0000000000000002E-3</v>
      </c>
      <c r="D28" s="21">
        <f>C28</f>
        <v>8.0000000000000002E-3</v>
      </c>
      <c r="E28" s="408">
        <f>цены!F48</f>
        <v>300</v>
      </c>
      <c r="F28" s="408">
        <f t="shared" si="4"/>
        <v>2.4</v>
      </c>
      <c r="G28" s="97">
        <f t="shared" si="0"/>
        <v>0.08</v>
      </c>
      <c r="H28" s="21">
        <f t="shared" si="0"/>
        <v>0.08</v>
      </c>
      <c r="I28" s="21">
        <f t="shared" si="1"/>
        <v>0.8</v>
      </c>
      <c r="J28" s="21">
        <f t="shared" si="1"/>
        <v>0.8</v>
      </c>
      <c r="L28" s="1018">
        <f t="shared" si="2"/>
        <v>2E-3</v>
      </c>
      <c r="M28" s="1018">
        <f t="shared" si="3"/>
        <v>0.6</v>
      </c>
    </row>
    <row r="29" spans="1:13" s="10" customFormat="1" ht="12" customHeight="1" x14ac:dyDescent="0.25">
      <c r="A29" s="180">
        <v>11</v>
      </c>
      <c r="B29" s="20" t="s">
        <v>84</v>
      </c>
      <c r="C29" s="113">
        <v>4.0000000000000003E-5</v>
      </c>
      <c r="D29" s="113">
        <v>4.0000000000000003E-5</v>
      </c>
      <c r="E29" s="408">
        <f>цены!F100</f>
        <v>1000</v>
      </c>
      <c r="F29" s="408">
        <f t="shared" si="4"/>
        <v>0.04</v>
      </c>
      <c r="G29" s="97">
        <f t="shared" si="0"/>
        <v>0</v>
      </c>
      <c r="H29" s="21">
        <f t="shared" si="0"/>
        <v>0</v>
      </c>
      <c r="I29" s="21">
        <f t="shared" si="1"/>
        <v>4.0000000000000001E-3</v>
      </c>
      <c r="J29" s="21">
        <f t="shared" si="1"/>
        <v>4.0000000000000001E-3</v>
      </c>
      <c r="L29" s="1018">
        <f t="shared" si="2"/>
        <v>0</v>
      </c>
      <c r="M29" s="1018">
        <f t="shared" si="3"/>
        <v>0.01</v>
      </c>
    </row>
    <row r="30" spans="1:13" s="10" customFormat="1" ht="12" customHeight="1" x14ac:dyDescent="0.25">
      <c r="A30" s="98"/>
      <c r="B30" s="93" t="s">
        <v>100</v>
      </c>
      <c r="C30" s="114"/>
      <c r="D30" s="100">
        <v>1</v>
      </c>
      <c r="E30" s="95"/>
      <c r="F30" s="95">
        <f>SUM(F19:F29)</f>
        <v>30.86</v>
      </c>
      <c r="G30" s="99"/>
      <c r="H30" s="100">
        <f>D30*10</f>
        <v>10</v>
      </c>
      <c r="I30" s="100"/>
      <c r="J30" s="100">
        <f>D30*100</f>
        <v>100</v>
      </c>
      <c r="L30" s="1018">
        <f>SUM(L19:L29)</f>
        <v>0.33229999999999998</v>
      </c>
      <c r="M30" s="1018">
        <f>SUM(M19:M29)</f>
        <v>7.7149999999999999</v>
      </c>
    </row>
    <row r="31" spans="1:13" s="10" customFormat="1" ht="27.6" customHeight="1" x14ac:dyDescent="0.25">
      <c r="A31" s="1536" t="s">
        <v>35</v>
      </c>
      <c r="B31" s="1536"/>
      <c r="C31" s="90"/>
      <c r="D31" s="90"/>
      <c r="E31" s="408"/>
      <c r="F31" s="408">
        <f>F30</f>
        <v>30.86</v>
      </c>
      <c r="G31" s="591"/>
      <c r="H31" s="591"/>
      <c r="I31" s="21"/>
      <c r="J31" s="408"/>
    </row>
    <row r="32" spans="1:13" s="10" customFormat="1" ht="25.35" customHeight="1" x14ac:dyDescent="0.25">
      <c r="A32" s="1536" t="s">
        <v>36</v>
      </c>
      <c r="B32" s="1536"/>
      <c r="C32" s="866">
        <v>1000</v>
      </c>
      <c r="D32" s="90"/>
      <c r="E32" s="408"/>
      <c r="F32" s="408"/>
      <c r="G32" s="408"/>
      <c r="H32" s="408"/>
      <c r="I32" s="21"/>
      <c r="J32" s="17"/>
    </row>
    <row r="33" spans="1:10" s="10" customFormat="1" ht="25.35" customHeight="1" x14ac:dyDescent="0.25">
      <c r="A33" s="1537" t="s">
        <v>37</v>
      </c>
      <c r="B33" s="1538"/>
      <c r="C33" s="1071">
        <v>250</v>
      </c>
      <c r="D33" s="92"/>
      <c r="E33" s="592"/>
      <c r="F33" s="592"/>
      <c r="G33" s="592"/>
      <c r="H33" s="592"/>
      <c r="I33" s="21"/>
      <c r="J33" s="17"/>
    </row>
    <row r="34" spans="1:10" s="10" customFormat="1" ht="15" customHeight="1" x14ac:dyDescent="0.25">
      <c r="A34" s="1539" t="s">
        <v>38</v>
      </c>
      <c r="B34" s="1540"/>
      <c r="C34" s="245">
        <f>C32/C33</f>
        <v>4</v>
      </c>
      <c r="D34" s="92"/>
      <c r="E34" s="592"/>
      <c r="F34" s="592"/>
      <c r="G34" s="592"/>
      <c r="H34" s="592"/>
      <c r="I34" s="21"/>
      <c r="J34" s="17"/>
    </row>
    <row r="35" spans="1:10" ht="16.350000000000001" customHeight="1" x14ac:dyDescent="0.25">
      <c r="A35" s="1541" t="s">
        <v>39</v>
      </c>
      <c r="B35" s="1542"/>
      <c r="C35" s="15" t="s">
        <v>40</v>
      </c>
      <c r="D35" s="102"/>
      <c r="E35" s="102" t="s">
        <v>40</v>
      </c>
      <c r="F35" s="16">
        <f>F31/C34</f>
        <v>7.72</v>
      </c>
      <c r="G35" s="16"/>
      <c r="H35" s="16"/>
      <c r="I35" s="102" t="s">
        <v>40</v>
      </c>
      <c r="J35" s="102" t="s">
        <v>40</v>
      </c>
    </row>
    <row r="36" spans="1:10" ht="23.1" customHeight="1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193"/>
      <c r="B37" s="1194" t="s">
        <v>49</v>
      </c>
      <c r="C37" s="1198"/>
      <c r="D37" s="1198"/>
      <c r="E37" s="1198"/>
      <c r="F37" s="1198"/>
      <c r="G37" s="1193"/>
      <c r="H37" s="1556">
        <f>'1-бутерброд с маслом'!$H$28</f>
        <v>0</v>
      </c>
      <c r="I37" s="1556"/>
      <c r="J37" s="1556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545" t="s">
        <v>327</v>
      </c>
      <c r="B39" s="1545"/>
      <c r="C39" s="1546" t="s">
        <v>328</v>
      </c>
      <c r="D39" s="1546"/>
      <c r="E39" s="1546"/>
      <c r="F39" s="1546"/>
      <c r="G39" s="106"/>
      <c r="H39" s="1531"/>
      <c r="I39" s="1531"/>
      <c r="J39" s="1531"/>
    </row>
    <row r="40" spans="1:10" x14ac:dyDescent="0.25">
      <c r="A40" s="1193"/>
      <c r="B40" s="1193"/>
      <c r="C40" s="1546"/>
      <c r="D40" s="1546"/>
      <c r="E40" s="1546"/>
      <c r="F40" s="1546"/>
      <c r="G40" s="1193"/>
      <c r="H40" s="1531" t="s">
        <v>329</v>
      </c>
      <c r="I40" s="1531"/>
      <c r="J40" s="1531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37:J37"/>
    <mergeCell ref="A13:G13"/>
    <mergeCell ref="A32:B32"/>
    <mergeCell ref="A33:B33"/>
    <mergeCell ref="A34:B34"/>
    <mergeCell ref="A35:B35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9:B39"/>
    <mergeCell ref="C39:F40"/>
    <mergeCell ref="H39:J39"/>
    <mergeCell ref="H40:J40"/>
    <mergeCell ref="H5:I5"/>
    <mergeCell ref="A6:G6"/>
    <mergeCell ref="A7:I7"/>
    <mergeCell ref="A31:B31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44"/>
  <sheetViews>
    <sheetView view="pageBreakPreview" topLeftCell="A7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589" customWidth="1"/>
    <col min="2" max="2" width="22.44140625" style="589" customWidth="1"/>
    <col min="3" max="7" width="7.5546875" style="589" customWidth="1"/>
    <col min="8" max="8" width="8.88671875" style="589" customWidth="1"/>
    <col min="9" max="9" width="7.5546875" style="589" customWidth="1"/>
    <col min="10" max="10" width="9" style="589" customWidth="1"/>
    <col min="11" max="11" width="2.88671875" style="589" customWidth="1"/>
    <col min="12" max="16384" width="8.88671875" style="58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63)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593"/>
      <c r="I6" s="593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98</v>
      </c>
    </row>
    <row r="8" spans="1:10" s="2" customFormat="1" ht="9.6" customHeight="1" x14ac:dyDescent="0.25">
      <c r="A8" s="594"/>
      <c r="B8" s="594"/>
      <c r="C8" s="594"/>
      <c r="D8" s="594"/>
      <c r="E8" s="594"/>
      <c r="F8" s="594"/>
      <c r="G8" s="594"/>
      <c r="H8" s="594"/>
      <c r="I8" s="594"/>
      <c r="J8" s="109"/>
    </row>
    <row r="9" spans="1:10" s="2" customFormat="1" ht="26.1" customHeight="1" x14ac:dyDescent="0.3">
      <c r="A9" s="1550" t="s">
        <v>862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'98-суп крестьян. перловка'!H14+1</f>
        <v>63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590" t="s">
        <v>92</v>
      </c>
      <c r="D17" s="590" t="s">
        <v>94</v>
      </c>
      <c r="E17" s="590" t="s">
        <v>93</v>
      </c>
      <c r="F17" s="590" t="s">
        <v>23</v>
      </c>
      <c r="G17" s="590" t="s">
        <v>92</v>
      </c>
      <c r="H17" s="590" t="s">
        <v>94</v>
      </c>
      <c r="I17" s="590" t="s">
        <v>92</v>
      </c>
      <c r="J17" s="590" t="s">
        <v>94</v>
      </c>
    </row>
    <row r="18" spans="1:13" ht="9.6" customHeight="1" x14ac:dyDescent="0.25">
      <c r="A18" s="590">
        <v>1</v>
      </c>
      <c r="B18" s="592">
        <v>2</v>
      </c>
      <c r="C18" s="590">
        <v>3</v>
      </c>
      <c r="D18" s="592">
        <v>4</v>
      </c>
      <c r="E18" s="590">
        <v>5</v>
      </c>
      <c r="F18" s="592">
        <v>6</v>
      </c>
      <c r="G18" s="590">
        <v>7</v>
      </c>
      <c r="H18" s="592">
        <v>8</v>
      </c>
      <c r="I18" s="590">
        <v>9</v>
      </c>
      <c r="J18" s="592">
        <v>10</v>
      </c>
    </row>
    <row r="19" spans="1:13" s="10" customFormat="1" ht="14.1" customHeight="1" x14ac:dyDescent="0.25">
      <c r="A19" s="180">
        <v>1</v>
      </c>
      <c r="B19" s="20" t="s">
        <v>53</v>
      </c>
      <c r="C19" s="21">
        <v>0.15</v>
      </c>
      <c r="D19" s="21">
        <v>0.12</v>
      </c>
      <c r="E19" s="408">
        <f>цены!F33</f>
        <v>53</v>
      </c>
      <c r="F19" s="408">
        <f>C19*E19</f>
        <v>7.95</v>
      </c>
      <c r="G19" s="97">
        <f t="shared" ref="G19:H29" si="0">C19*10</f>
        <v>1.5</v>
      </c>
      <c r="H19" s="21">
        <f t="shared" si="0"/>
        <v>1.2</v>
      </c>
      <c r="I19" s="21">
        <f t="shared" ref="I19:J29" si="1">C19*100</f>
        <v>15</v>
      </c>
      <c r="J19" s="21">
        <f t="shared" si="1"/>
        <v>12</v>
      </c>
      <c r="L19" s="1018">
        <f>C19/C$34</f>
        <v>3.7499999999999999E-2</v>
      </c>
      <c r="M19" s="1018">
        <f>F19/C$34</f>
        <v>1.9875</v>
      </c>
    </row>
    <row r="20" spans="1:13" s="10" customFormat="1" ht="12" customHeight="1" x14ac:dyDescent="0.25">
      <c r="A20" s="180">
        <v>2</v>
      </c>
      <c r="B20" s="20" t="s">
        <v>50</v>
      </c>
      <c r="C20" s="21">
        <v>0.13300000000000001</v>
      </c>
      <c r="D20" s="21">
        <v>0.1</v>
      </c>
      <c r="E20" s="408">
        <f>цены!F35</f>
        <v>50</v>
      </c>
      <c r="F20" s="408">
        <f>C20*E20</f>
        <v>6.65</v>
      </c>
      <c r="G20" s="97">
        <f t="shared" si="0"/>
        <v>1.33</v>
      </c>
      <c r="H20" s="21">
        <f t="shared" si="0"/>
        <v>1</v>
      </c>
      <c r="I20" s="21">
        <f t="shared" si="1"/>
        <v>13.3</v>
      </c>
      <c r="J20" s="21">
        <f t="shared" si="1"/>
        <v>10</v>
      </c>
      <c r="L20" s="1018">
        <f t="shared" ref="L20:L29" si="2">C20/C$34</f>
        <v>3.3300000000000003E-2</v>
      </c>
      <c r="M20" s="1018">
        <f t="shared" ref="M20:M29" si="3">F20/C$34</f>
        <v>1.6625000000000001</v>
      </c>
    </row>
    <row r="21" spans="1:13" s="10" customFormat="1" ht="12" customHeight="1" x14ac:dyDescent="0.25">
      <c r="A21" s="180">
        <v>3</v>
      </c>
      <c r="B21" s="20" t="s">
        <v>857</v>
      </c>
      <c r="C21" s="21">
        <v>0.04</v>
      </c>
      <c r="D21" s="21">
        <v>0.04</v>
      </c>
      <c r="E21" s="408">
        <f>цены!F80</f>
        <v>35</v>
      </c>
      <c r="F21" s="408">
        <f t="shared" ref="F21:F29" si="4">C21*E21</f>
        <v>1.4</v>
      </c>
      <c r="G21" s="97">
        <f t="shared" si="0"/>
        <v>0.4</v>
      </c>
      <c r="H21" s="21">
        <f t="shared" si="0"/>
        <v>0.4</v>
      </c>
      <c r="I21" s="21">
        <f t="shared" si="1"/>
        <v>4</v>
      </c>
      <c r="J21" s="21">
        <f t="shared" si="1"/>
        <v>4</v>
      </c>
      <c r="L21" s="1018">
        <f t="shared" si="2"/>
        <v>0.01</v>
      </c>
      <c r="M21" s="1018">
        <f t="shared" si="3"/>
        <v>0.35</v>
      </c>
    </row>
    <row r="22" spans="1:13" s="10" customFormat="1" ht="12" customHeight="1" x14ac:dyDescent="0.25">
      <c r="A22" s="180">
        <v>4</v>
      </c>
      <c r="B22" s="20" t="s">
        <v>47</v>
      </c>
      <c r="C22" s="21">
        <v>0.05</v>
      </c>
      <c r="D22" s="21">
        <v>0.04</v>
      </c>
      <c r="E22" s="408">
        <f>цены!F44</f>
        <v>50</v>
      </c>
      <c r="F22" s="408">
        <f t="shared" si="4"/>
        <v>2.5</v>
      </c>
      <c r="G22" s="97">
        <f t="shared" si="0"/>
        <v>0.5</v>
      </c>
      <c r="H22" s="21">
        <f t="shared" si="0"/>
        <v>0.4</v>
      </c>
      <c r="I22" s="21">
        <f t="shared" si="1"/>
        <v>5</v>
      </c>
      <c r="J22" s="21">
        <f t="shared" si="1"/>
        <v>4</v>
      </c>
      <c r="L22" s="1018">
        <f t="shared" si="2"/>
        <v>1.2500000000000001E-2</v>
      </c>
      <c r="M22" s="1018">
        <f t="shared" si="3"/>
        <v>0.625</v>
      </c>
    </row>
    <row r="23" spans="1:13" s="10" customFormat="1" ht="12" customHeight="1" x14ac:dyDescent="0.25">
      <c r="A23" s="180">
        <v>5</v>
      </c>
      <c r="B23" s="20" t="s">
        <v>48</v>
      </c>
      <c r="C23" s="21">
        <v>4.8000000000000001E-2</v>
      </c>
      <c r="D23" s="21">
        <v>0.04</v>
      </c>
      <c r="E23" s="408">
        <f>цены!F38</f>
        <v>50</v>
      </c>
      <c r="F23" s="408">
        <f t="shared" si="4"/>
        <v>2.4</v>
      </c>
      <c r="G23" s="97">
        <f t="shared" si="0"/>
        <v>0.48</v>
      </c>
      <c r="H23" s="21">
        <f t="shared" si="0"/>
        <v>0.4</v>
      </c>
      <c r="I23" s="21">
        <f t="shared" si="1"/>
        <v>4.8</v>
      </c>
      <c r="J23" s="21">
        <f t="shared" si="1"/>
        <v>4</v>
      </c>
      <c r="L23" s="1018">
        <f t="shared" si="2"/>
        <v>1.2E-2</v>
      </c>
      <c r="M23" s="1018">
        <f t="shared" si="3"/>
        <v>0.6</v>
      </c>
    </row>
    <row r="24" spans="1:13" s="10" customFormat="1" ht="12" customHeight="1" x14ac:dyDescent="0.25">
      <c r="A24" s="180">
        <v>6</v>
      </c>
      <c r="B24" s="20" t="s">
        <v>74</v>
      </c>
      <c r="C24" s="21">
        <v>0.02</v>
      </c>
      <c r="D24" s="21">
        <v>0.02</v>
      </c>
      <c r="E24" s="408">
        <f>цены!F87</f>
        <v>120</v>
      </c>
      <c r="F24" s="408">
        <f t="shared" si="4"/>
        <v>2.4</v>
      </c>
      <c r="G24" s="97">
        <f t="shared" si="0"/>
        <v>0.2</v>
      </c>
      <c r="H24" s="21">
        <f t="shared" si="0"/>
        <v>0.2</v>
      </c>
      <c r="I24" s="21">
        <f t="shared" si="1"/>
        <v>2</v>
      </c>
      <c r="J24" s="21">
        <f t="shared" si="1"/>
        <v>2</v>
      </c>
      <c r="L24" s="1018">
        <f t="shared" si="2"/>
        <v>5.0000000000000001E-3</v>
      </c>
      <c r="M24" s="1018">
        <f t="shared" si="3"/>
        <v>0.6</v>
      </c>
    </row>
    <row r="25" spans="1:13" s="10" customFormat="1" ht="12" customHeight="1" x14ac:dyDescent="0.25">
      <c r="A25" s="180">
        <v>7</v>
      </c>
      <c r="B25" s="20" t="s">
        <v>141</v>
      </c>
      <c r="C25" s="21">
        <v>0.85</v>
      </c>
      <c r="D25" s="21">
        <v>0.85</v>
      </c>
      <c r="E25" s="408"/>
      <c r="F25" s="408">
        <f t="shared" si="4"/>
        <v>0</v>
      </c>
      <c r="G25" s="97">
        <f t="shared" si="0"/>
        <v>8.5</v>
      </c>
      <c r="H25" s="21">
        <f t="shared" si="0"/>
        <v>8.5</v>
      </c>
      <c r="I25" s="21">
        <f t="shared" si="1"/>
        <v>85</v>
      </c>
      <c r="J25" s="21">
        <f t="shared" si="1"/>
        <v>85</v>
      </c>
      <c r="L25" s="1018">
        <f t="shared" si="2"/>
        <v>0.21249999999999999</v>
      </c>
      <c r="M25" s="1018">
        <f t="shared" si="3"/>
        <v>0</v>
      </c>
    </row>
    <row r="26" spans="1:13" s="10" customFormat="1" ht="12" customHeight="1" x14ac:dyDescent="0.25">
      <c r="A26" s="180">
        <v>8</v>
      </c>
      <c r="B26" s="20" t="s">
        <v>33</v>
      </c>
      <c r="C26" s="21">
        <v>0.01</v>
      </c>
      <c r="D26" s="21">
        <v>0.01</v>
      </c>
      <c r="E26" s="408">
        <f>цены!F110</f>
        <v>24</v>
      </c>
      <c r="F26" s="408">
        <f t="shared" si="4"/>
        <v>0.24</v>
      </c>
      <c r="G26" s="97">
        <f t="shared" si="0"/>
        <v>0.1</v>
      </c>
      <c r="H26" s="21">
        <f t="shared" si="0"/>
        <v>0.1</v>
      </c>
      <c r="I26" s="21">
        <f t="shared" si="1"/>
        <v>1</v>
      </c>
      <c r="J26" s="21">
        <f t="shared" si="1"/>
        <v>1</v>
      </c>
      <c r="L26" s="1018">
        <f t="shared" si="2"/>
        <v>2.5000000000000001E-3</v>
      </c>
      <c r="M26" s="1018">
        <f t="shared" si="3"/>
        <v>0.06</v>
      </c>
    </row>
    <row r="27" spans="1:13" s="10" customFormat="1" ht="12" customHeight="1" x14ac:dyDescent="0.25">
      <c r="A27" s="180">
        <v>9</v>
      </c>
      <c r="B27" s="20" t="s">
        <v>51</v>
      </c>
      <c r="C27" s="21">
        <v>0.02</v>
      </c>
      <c r="D27" s="21">
        <v>0.02</v>
      </c>
      <c r="E27" s="408">
        <f>цены!F24</f>
        <v>234</v>
      </c>
      <c r="F27" s="408">
        <f t="shared" si="4"/>
        <v>4.68</v>
      </c>
      <c r="G27" s="97">
        <f t="shared" si="0"/>
        <v>0.2</v>
      </c>
      <c r="H27" s="21">
        <f t="shared" si="0"/>
        <v>0.2</v>
      </c>
      <c r="I27" s="21">
        <f t="shared" si="1"/>
        <v>2</v>
      </c>
      <c r="J27" s="21">
        <f t="shared" si="1"/>
        <v>2</v>
      </c>
      <c r="L27" s="1018">
        <f t="shared" si="2"/>
        <v>5.0000000000000001E-3</v>
      </c>
      <c r="M27" s="1018">
        <f t="shared" si="3"/>
        <v>1.17</v>
      </c>
    </row>
    <row r="28" spans="1:13" s="10" customFormat="1" ht="12" customHeight="1" x14ac:dyDescent="0.25">
      <c r="A28" s="180">
        <v>10</v>
      </c>
      <c r="B28" s="20" t="s">
        <v>78</v>
      </c>
      <c r="C28" s="21">
        <f>0.002*C34</f>
        <v>8.0000000000000002E-3</v>
      </c>
      <c r="D28" s="21">
        <f>C28</f>
        <v>8.0000000000000002E-3</v>
      </c>
      <c r="E28" s="408">
        <f>цены!F48</f>
        <v>300</v>
      </c>
      <c r="F28" s="408">
        <f t="shared" si="4"/>
        <v>2.4</v>
      </c>
      <c r="G28" s="97">
        <f t="shared" si="0"/>
        <v>0.08</v>
      </c>
      <c r="H28" s="21">
        <f t="shared" si="0"/>
        <v>0.08</v>
      </c>
      <c r="I28" s="21">
        <f t="shared" si="1"/>
        <v>0.8</v>
      </c>
      <c r="J28" s="21">
        <f t="shared" si="1"/>
        <v>0.8</v>
      </c>
      <c r="L28" s="1018">
        <f t="shared" si="2"/>
        <v>2E-3</v>
      </c>
      <c r="M28" s="1018">
        <f t="shared" si="3"/>
        <v>0.6</v>
      </c>
    </row>
    <row r="29" spans="1:13" s="10" customFormat="1" ht="12" customHeight="1" x14ac:dyDescent="0.25">
      <c r="A29" s="180">
        <v>11</v>
      </c>
      <c r="B29" s="20" t="s">
        <v>84</v>
      </c>
      <c r="C29" s="113">
        <v>4.0000000000000003E-5</v>
      </c>
      <c r="D29" s="113">
        <v>4.0000000000000003E-5</v>
      </c>
      <c r="E29" s="408">
        <f>цены!F100</f>
        <v>1000</v>
      </c>
      <c r="F29" s="408">
        <f t="shared" si="4"/>
        <v>0.04</v>
      </c>
      <c r="G29" s="97">
        <f t="shared" si="0"/>
        <v>0</v>
      </c>
      <c r="H29" s="21">
        <f t="shared" si="0"/>
        <v>0</v>
      </c>
      <c r="I29" s="21">
        <f t="shared" si="1"/>
        <v>4.0000000000000001E-3</v>
      </c>
      <c r="J29" s="21">
        <f t="shared" si="1"/>
        <v>4.0000000000000001E-3</v>
      </c>
      <c r="L29" s="1018">
        <f t="shared" si="2"/>
        <v>0</v>
      </c>
      <c r="M29" s="1018">
        <f t="shared" si="3"/>
        <v>0.01</v>
      </c>
    </row>
    <row r="30" spans="1:13" s="10" customFormat="1" ht="12" customHeight="1" x14ac:dyDescent="0.25">
      <c r="A30" s="98"/>
      <c r="B30" s="93" t="s">
        <v>100</v>
      </c>
      <c r="C30" s="114"/>
      <c r="D30" s="100">
        <v>1</v>
      </c>
      <c r="E30" s="95"/>
      <c r="F30" s="95">
        <f>SUM(F19:F29)</f>
        <v>30.66</v>
      </c>
      <c r="G30" s="99"/>
      <c r="H30" s="100">
        <f>D30*10</f>
        <v>10</v>
      </c>
      <c r="I30" s="100"/>
      <c r="J30" s="100">
        <f>D30*100</f>
        <v>100</v>
      </c>
      <c r="L30" s="1018">
        <f>SUM(L19:L29)</f>
        <v>0.33229999999999998</v>
      </c>
      <c r="M30" s="1018">
        <f>SUM(M19:M29)</f>
        <v>7.665</v>
      </c>
    </row>
    <row r="31" spans="1:13" s="10" customFormat="1" ht="27.6" customHeight="1" x14ac:dyDescent="0.25">
      <c r="A31" s="1536" t="s">
        <v>35</v>
      </c>
      <c r="B31" s="1536"/>
      <c r="C31" s="90"/>
      <c r="D31" s="90"/>
      <c r="E31" s="408"/>
      <c r="F31" s="408">
        <f>F30</f>
        <v>30.66</v>
      </c>
      <c r="G31" s="591"/>
      <c r="H31" s="591"/>
      <c r="I31" s="21"/>
      <c r="J31" s="408"/>
    </row>
    <row r="32" spans="1:13" s="10" customFormat="1" ht="25.35" customHeight="1" x14ac:dyDescent="0.25">
      <c r="A32" s="1536" t="s">
        <v>36</v>
      </c>
      <c r="B32" s="1536"/>
      <c r="C32" s="866">
        <v>1000</v>
      </c>
      <c r="D32" s="90"/>
      <c r="E32" s="408"/>
      <c r="F32" s="408"/>
      <c r="G32" s="408"/>
      <c r="H32" s="408"/>
      <c r="I32" s="21"/>
      <c r="J32" s="17"/>
    </row>
    <row r="33" spans="1:10" s="10" customFormat="1" ht="25.35" customHeight="1" x14ac:dyDescent="0.25">
      <c r="A33" s="1537" t="s">
        <v>37</v>
      </c>
      <c r="B33" s="1538"/>
      <c r="C33" s="1071">
        <v>250</v>
      </c>
      <c r="D33" s="92"/>
      <c r="E33" s="592"/>
      <c r="F33" s="592"/>
      <c r="G33" s="592"/>
      <c r="H33" s="592"/>
      <c r="I33" s="21"/>
      <c r="J33" s="17"/>
    </row>
    <row r="34" spans="1:10" s="10" customFormat="1" ht="15" customHeight="1" x14ac:dyDescent="0.25">
      <c r="A34" s="1539" t="s">
        <v>38</v>
      </c>
      <c r="B34" s="1540"/>
      <c r="C34" s="245">
        <f>C32/C33</f>
        <v>4</v>
      </c>
      <c r="D34" s="92"/>
      <c r="E34" s="592"/>
      <c r="F34" s="592"/>
      <c r="G34" s="592"/>
      <c r="H34" s="592"/>
      <c r="I34" s="21"/>
      <c r="J34" s="17"/>
    </row>
    <row r="35" spans="1:10" ht="16.350000000000001" customHeight="1" x14ac:dyDescent="0.25">
      <c r="A35" s="1541" t="s">
        <v>39</v>
      </c>
      <c r="B35" s="1542"/>
      <c r="C35" s="15" t="s">
        <v>40</v>
      </c>
      <c r="D35" s="102"/>
      <c r="E35" s="102" t="s">
        <v>40</v>
      </c>
      <c r="F35" s="16">
        <f>F31/C34</f>
        <v>7.67</v>
      </c>
      <c r="G35" s="16"/>
      <c r="H35" s="16"/>
      <c r="I35" s="102" t="s">
        <v>40</v>
      </c>
      <c r="J35" s="102" t="s">
        <v>40</v>
      </c>
    </row>
    <row r="36" spans="1:10" ht="23.1" customHeight="1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193"/>
      <c r="B37" s="1194" t="s">
        <v>49</v>
      </c>
      <c r="C37" s="1198"/>
      <c r="D37" s="1198"/>
      <c r="E37" s="1198"/>
      <c r="F37" s="1198"/>
      <c r="G37" s="1193"/>
      <c r="H37" s="1556">
        <f>'1-бутерброд с маслом'!$H$28</f>
        <v>0</v>
      </c>
      <c r="I37" s="1556"/>
      <c r="J37" s="1556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545" t="s">
        <v>327</v>
      </c>
      <c r="B39" s="1545"/>
      <c r="C39" s="1546" t="s">
        <v>328</v>
      </c>
      <c r="D39" s="1546"/>
      <c r="E39" s="1546"/>
      <c r="F39" s="1546"/>
      <c r="G39" s="106"/>
      <c r="H39" s="1531"/>
      <c r="I39" s="1531"/>
      <c r="J39" s="1531"/>
    </row>
    <row r="40" spans="1:10" x14ac:dyDescent="0.25">
      <c r="A40" s="1193"/>
      <c r="B40" s="1193"/>
      <c r="C40" s="1546"/>
      <c r="D40" s="1546"/>
      <c r="E40" s="1546"/>
      <c r="F40" s="1546"/>
      <c r="G40" s="1193"/>
      <c r="H40" s="1531" t="s">
        <v>329</v>
      </c>
      <c r="I40" s="1531"/>
      <c r="J40" s="1531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37:J37"/>
    <mergeCell ref="A13:G13"/>
    <mergeCell ref="A32:B32"/>
    <mergeCell ref="A33:B33"/>
    <mergeCell ref="A34:B34"/>
    <mergeCell ref="A35:B35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9:B39"/>
    <mergeCell ref="C39:F40"/>
    <mergeCell ref="H39:J39"/>
    <mergeCell ref="H40:J40"/>
    <mergeCell ref="H5:I5"/>
    <mergeCell ref="A6:G6"/>
    <mergeCell ref="A7:I7"/>
    <mergeCell ref="A31:B31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44"/>
  <sheetViews>
    <sheetView view="pageBreakPreview" topLeftCell="A3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589" customWidth="1"/>
    <col min="2" max="2" width="22.44140625" style="589" customWidth="1"/>
    <col min="3" max="7" width="7.5546875" style="589" customWidth="1"/>
    <col min="8" max="8" width="8.88671875" style="589" customWidth="1"/>
    <col min="9" max="9" width="7.5546875" style="589" customWidth="1"/>
    <col min="10" max="10" width="9" style="589" customWidth="1"/>
    <col min="11" max="11" width="3.109375" style="589" customWidth="1"/>
    <col min="12" max="16384" width="8.88671875" style="58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64)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593"/>
      <c r="I6" s="593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98</v>
      </c>
    </row>
    <row r="8" spans="1:10" s="2" customFormat="1" ht="9.6" customHeight="1" x14ac:dyDescent="0.25">
      <c r="A8" s="594"/>
      <c r="B8" s="594"/>
      <c r="C8" s="594"/>
      <c r="D8" s="594"/>
      <c r="E8" s="594"/>
      <c r="F8" s="594"/>
      <c r="G8" s="594"/>
      <c r="H8" s="594"/>
      <c r="I8" s="594"/>
      <c r="J8" s="109"/>
    </row>
    <row r="9" spans="1:10" s="2" customFormat="1" ht="26.1" customHeight="1" x14ac:dyDescent="0.3">
      <c r="A9" s="1550" t="s">
        <v>863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'98-суп крестьян. пшеничная'!H14+1</f>
        <v>64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590" t="s">
        <v>92</v>
      </c>
      <c r="D17" s="590" t="s">
        <v>94</v>
      </c>
      <c r="E17" s="590" t="s">
        <v>93</v>
      </c>
      <c r="F17" s="590" t="s">
        <v>23</v>
      </c>
      <c r="G17" s="590" t="s">
        <v>92</v>
      </c>
      <c r="H17" s="590" t="s">
        <v>94</v>
      </c>
      <c r="I17" s="590" t="s">
        <v>92</v>
      </c>
      <c r="J17" s="590" t="s">
        <v>94</v>
      </c>
    </row>
    <row r="18" spans="1:13" ht="9.6" customHeight="1" x14ac:dyDescent="0.25">
      <c r="A18" s="590">
        <v>1</v>
      </c>
      <c r="B18" s="592">
        <v>2</v>
      </c>
      <c r="C18" s="590">
        <v>3</v>
      </c>
      <c r="D18" s="592">
        <v>4</v>
      </c>
      <c r="E18" s="590">
        <v>5</v>
      </c>
      <c r="F18" s="592">
        <v>6</v>
      </c>
      <c r="G18" s="590">
        <v>7</v>
      </c>
      <c r="H18" s="592">
        <v>8</v>
      </c>
      <c r="I18" s="590">
        <v>9</v>
      </c>
      <c r="J18" s="592">
        <v>10</v>
      </c>
    </row>
    <row r="19" spans="1:13" s="10" customFormat="1" ht="14.1" customHeight="1" x14ac:dyDescent="0.25">
      <c r="A19" s="180">
        <v>1</v>
      </c>
      <c r="B19" s="20" t="s">
        <v>53</v>
      </c>
      <c r="C19" s="21">
        <v>0.15</v>
      </c>
      <c r="D19" s="21">
        <v>0.12</v>
      </c>
      <c r="E19" s="408">
        <f>цены!F33</f>
        <v>53</v>
      </c>
      <c r="F19" s="408">
        <f>C19*E19</f>
        <v>7.95</v>
      </c>
      <c r="G19" s="97">
        <f t="shared" ref="G19:H29" si="0">C19*10</f>
        <v>1.5</v>
      </c>
      <c r="H19" s="21">
        <f t="shared" si="0"/>
        <v>1.2</v>
      </c>
      <c r="I19" s="21">
        <f t="shared" ref="I19:J29" si="1">C19*100</f>
        <v>15</v>
      </c>
      <c r="J19" s="21">
        <f t="shared" si="1"/>
        <v>12</v>
      </c>
      <c r="L19" s="1018">
        <f>C19/C$34</f>
        <v>3.7499999999999999E-2</v>
      </c>
      <c r="M19" s="1018">
        <f>F19/C$34</f>
        <v>1.9875</v>
      </c>
    </row>
    <row r="20" spans="1:13" s="10" customFormat="1" ht="12" customHeight="1" x14ac:dyDescent="0.25">
      <c r="A20" s="180">
        <v>2</v>
      </c>
      <c r="B20" s="20" t="s">
        <v>50</v>
      </c>
      <c r="C20" s="21">
        <v>0.13300000000000001</v>
      </c>
      <c r="D20" s="21">
        <v>0.1</v>
      </c>
      <c r="E20" s="408">
        <f>цены!F35</f>
        <v>50</v>
      </c>
      <c r="F20" s="408">
        <f>C20*E20</f>
        <v>6.65</v>
      </c>
      <c r="G20" s="97">
        <f t="shared" si="0"/>
        <v>1.33</v>
      </c>
      <c r="H20" s="21">
        <f t="shared" si="0"/>
        <v>1</v>
      </c>
      <c r="I20" s="21">
        <f t="shared" si="1"/>
        <v>13.3</v>
      </c>
      <c r="J20" s="21">
        <f t="shared" si="1"/>
        <v>10</v>
      </c>
      <c r="L20" s="1018">
        <f t="shared" ref="L20:L29" si="2">C20/C$34</f>
        <v>3.3300000000000003E-2</v>
      </c>
      <c r="M20" s="1018">
        <f t="shared" ref="M20:M29" si="3">F20/C$34</f>
        <v>1.6625000000000001</v>
      </c>
    </row>
    <row r="21" spans="1:13" s="10" customFormat="1" ht="12" customHeight="1" x14ac:dyDescent="0.25">
      <c r="A21" s="180">
        <v>3</v>
      </c>
      <c r="B21" s="20" t="s">
        <v>379</v>
      </c>
      <c r="C21" s="21">
        <v>0.02</v>
      </c>
      <c r="D21" s="21">
        <v>0.02</v>
      </c>
      <c r="E21" s="408">
        <f>цены!F82</f>
        <v>60</v>
      </c>
      <c r="F21" s="408">
        <f t="shared" ref="F21:F29" si="4">C21*E21</f>
        <v>1.2</v>
      </c>
      <c r="G21" s="97">
        <f t="shared" si="0"/>
        <v>0.2</v>
      </c>
      <c r="H21" s="21">
        <f t="shared" si="0"/>
        <v>0.2</v>
      </c>
      <c r="I21" s="21">
        <f t="shared" si="1"/>
        <v>2</v>
      </c>
      <c r="J21" s="21">
        <f t="shared" si="1"/>
        <v>2</v>
      </c>
      <c r="L21" s="1018">
        <f t="shared" si="2"/>
        <v>5.0000000000000001E-3</v>
      </c>
      <c r="M21" s="1018">
        <f t="shared" si="3"/>
        <v>0.3</v>
      </c>
    </row>
    <row r="22" spans="1:13" s="10" customFormat="1" ht="12" customHeight="1" x14ac:dyDescent="0.25">
      <c r="A22" s="180">
        <v>4</v>
      </c>
      <c r="B22" s="20" t="s">
        <v>47</v>
      </c>
      <c r="C22" s="21">
        <v>0.05</v>
      </c>
      <c r="D22" s="21">
        <v>0.04</v>
      </c>
      <c r="E22" s="408">
        <f>цены!F44</f>
        <v>50</v>
      </c>
      <c r="F22" s="408">
        <f t="shared" si="4"/>
        <v>2.5</v>
      </c>
      <c r="G22" s="97">
        <f t="shared" si="0"/>
        <v>0.5</v>
      </c>
      <c r="H22" s="21">
        <f t="shared" si="0"/>
        <v>0.4</v>
      </c>
      <c r="I22" s="21">
        <f t="shared" si="1"/>
        <v>5</v>
      </c>
      <c r="J22" s="21">
        <f t="shared" si="1"/>
        <v>4</v>
      </c>
      <c r="L22" s="1018">
        <f t="shared" si="2"/>
        <v>1.2500000000000001E-2</v>
      </c>
      <c r="M22" s="1018">
        <f t="shared" si="3"/>
        <v>0.625</v>
      </c>
    </row>
    <row r="23" spans="1:13" s="10" customFormat="1" ht="12" customHeight="1" x14ac:dyDescent="0.25">
      <c r="A23" s="180">
        <v>5</v>
      </c>
      <c r="B23" s="20" t="s">
        <v>48</v>
      </c>
      <c r="C23" s="21">
        <v>4.8000000000000001E-2</v>
      </c>
      <c r="D23" s="21">
        <v>0.04</v>
      </c>
      <c r="E23" s="408">
        <f>цены!F38</f>
        <v>50</v>
      </c>
      <c r="F23" s="408">
        <f t="shared" si="4"/>
        <v>2.4</v>
      </c>
      <c r="G23" s="97">
        <f t="shared" si="0"/>
        <v>0.48</v>
      </c>
      <c r="H23" s="21">
        <f t="shared" si="0"/>
        <v>0.4</v>
      </c>
      <c r="I23" s="21">
        <f t="shared" si="1"/>
        <v>4.8</v>
      </c>
      <c r="J23" s="21">
        <f t="shared" si="1"/>
        <v>4</v>
      </c>
      <c r="L23" s="1018">
        <f t="shared" si="2"/>
        <v>1.2E-2</v>
      </c>
      <c r="M23" s="1018">
        <f t="shared" si="3"/>
        <v>0.6</v>
      </c>
    </row>
    <row r="24" spans="1:13" s="10" customFormat="1" ht="12" customHeight="1" x14ac:dyDescent="0.25">
      <c r="A24" s="180">
        <v>6</v>
      </c>
      <c r="B24" s="20" t="s">
        <v>74</v>
      </c>
      <c r="C24" s="21">
        <v>0.02</v>
      </c>
      <c r="D24" s="21">
        <v>0.02</v>
      </c>
      <c r="E24" s="408">
        <f>цены!F87</f>
        <v>120</v>
      </c>
      <c r="F24" s="408">
        <f t="shared" si="4"/>
        <v>2.4</v>
      </c>
      <c r="G24" s="97">
        <f t="shared" si="0"/>
        <v>0.2</v>
      </c>
      <c r="H24" s="21">
        <f t="shared" si="0"/>
        <v>0.2</v>
      </c>
      <c r="I24" s="21">
        <f t="shared" si="1"/>
        <v>2</v>
      </c>
      <c r="J24" s="21">
        <f t="shared" si="1"/>
        <v>2</v>
      </c>
      <c r="L24" s="1018">
        <f t="shared" si="2"/>
        <v>5.0000000000000001E-3</v>
      </c>
      <c r="M24" s="1018">
        <f t="shared" si="3"/>
        <v>0.6</v>
      </c>
    </row>
    <row r="25" spans="1:13" s="10" customFormat="1" ht="12" customHeight="1" x14ac:dyDescent="0.25">
      <c r="A25" s="180">
        <v>7</v>
      </c>
      <c r="B25" s="20" t="s">
        <v>141</v>
      </c>
      <c r="C25" s="21">
        <v>0.85</v>
      </c>
      <c r="D25" s="21">
        <v>0.85</v>
      </c>
      <c r="E25" s="408"/>
      <c r="F25" s="408">
        <f t="shared" si="4"/>
        <v>0</v>
      </c>
      <c r="G25" s="97">
        <f t="shared" si="0"/>
        <v>8.5</v>
      </c>
      <c r="H25" s="21">
        <f t="shared" si="0"/>
        <v>8.5</v>
      </c>
      <c r="I25" s="21">
        <f t="shared" si="1"/>
        <v>85</v>
      </c>
      <c r="J25" s="21">
        <f t="shared" si="1"/>
        <v>85</v>
      </c>
      <c r="L25" s="1018">
        <f t="shared" si="2"/>
        <v>0.21249999999999999</v>
      </c>
      <c r="M25" s="1018">
        <f t="shared" si="3"/>
        <v>0</v>
      </c>
    </row>
    <row r="26" spans="1:13" s="10" customFormat="1" ht="12" customHeight="1" x14ac:dyDescent="0.25">
      <c r="A26" s="180">
        <v>8</v>
      </c>
      <c r="B26" s="20" t="s">
        <v>33</v>
      </c>
      <c r="C26" s="21">
        <v>0.01</v>
      </c>
      <c r="D26" s="21">
        <v>0.01</v>
      </c>
      <c r="E26" s="408">
        <f>цены!F110</f>
        <v>24</v>
      </c>
      <c r="F26" s="408">
        <f t="shared" si="4"/>
        <v>0.24</v>
      </c>
      <c r="G26" s="97">
        <f t="shared" si="0"/>
        <v>0.1</v>
      </c>
      <c r="H26" s="21">
        <f t="shared" si="0"/>
        <v>0.1</v>
      </c>
      <c r="I26" s="21">
        <f t="shared" si="1"/>
        <v>1</v>
      </c>
      <c r="J26" s="21">
        <f t="shared" si="1"/>
        <v>1</v>
      </c>
      <c r="L26" s="1018">
        <f t="shared" si="2"/>
        <v>2.5000000000000001E-3</v>
      </c>
      <c r="M26" s="1018">
        <f t="shared" si="3"/>
        <v>0.06</v>
      </c>
    </row>
    <row r="27" spans="1:13" s="10" customFormat="1" ht="12" customHeight="1" x14ac:dyDescent="0.25">
      <c r="A27" s="180">
        <v>9</v>
      </c>
      <c r="B27" s="20" t="s">
        <v>51</v>
      </c>
      <c r="C27" s="21">
        <v>0.02</v>
      </c>
      <c r="D27" s="21">
        <v>0.02</v>
      </c>
      <c r="E27" s="408">
        <f>цены!F24</f>
        <v>234</v>
      </c>
      <c r="F27" s="408">
        <f t="shared" si="4"/>
        <v>4.68</v>
      </c>
      <c r="G27" s="97">
        <f t="shared" si="0"/>
        <v>0.2</v>
      </c>
      <c r="H27" s="21">
        <f t="shared" si="0"/>
        <v>0.2</v>
      </c>
      <c r="I27" s="21">
        <f t="shared" si="1"/>
        <v>2</v>
      </c>
      <c r="J27" s="21">
        <f t="shared" si="1"/>
        <v>2</v>
      </c>
      <c r="L27" s="1018">
        <f t="shared" si="2"/>
        <v>5.0000000000000001E-3</v>
      </c>
      <c r="M27" s="1018">
        <f t="shared" si="3"/>
        <v>1.17</v>
      </c>
    </row>
    <row r="28" spans="1:13" s="10" customFormat="1" ht="12" customHeight="1" x14ac:dyDescent="0.25">
      <c r="A28" s="180">
        <v>10</v>
      </c>
      <c r="B28" s="20" t="s">
        <v>78</v>
      </c>
      <c r="C28" s="21">
        <f>0.002*C34</f>
        <v>8.0000000000000002E-3</v>
      </c>
      <c r="D28" s="21">
        <f>C28</f>
        <v>8.0000000000000002E-3</v>
      </c>
      <c r="E28" s="408">
        <f>цены!F48</f>
        <v>300</v>
      </c>
      <c r="F28" s="408">
        <f t="shared" si="4"/>
        <v>2.4</v>
      </c>
      <c r="G28" s="97">
        <f t="shared" si="0"/>
        <v>0.08</v>
      </c>
      <c r="H28" s="21">
        <f t="shared" si="0"/>
        <v>0.08</v>
      </c>
      <c r="I28" s="21">
        <f t="shared" si="1"/>
        <v>0.8</v>
      </c>
      <c r="J28" s="21">
        <f t="shared" si="1"/>
        <v>0.8</v>
      </c>
      <c r="L28" s="1018">
        <f t="shared" si="2"/>
        <v>2E-3</v>
      </c>
      <c r="M28" s="1018">
        <f t="shared" si="3"/>
        <v>0.6</v>
      </c>
    </row>
    <row r="29" spans="1:13" s="10" customFormat="1" ht="12" customHeight="1" x14ac:dyDescent="0.25">
      <c r="A29" s="180">
        <v>11</v>
      </c>
      <c r="B29" s="20" t="s">
        <v>84</v>
      </c>
      <c r="C29" s="113">
        <v>4.0000000000000003E-5</v>
      </c>
      <c r="D29" s="113">
        <v>4.0000000000000003E-5</v>
      </c>
      <c r="E29" s="408">
        <f>цены!F100</f>
        <v>1000</v>
      </c>
      <c r="F29" s="408">
        <f t="shared" si="4"/>
        <v>0.04</v>
      </c>
      <c r="G29" s="97">
        <f t="shared" si="0"/>
        <v>0</v>
      </c>
      <c r="H29" s="21">
        <f t="shared" si="0"/>
        <v>0</v>
      </c>
      <c r="I29" s="21">
        <f t="shared" si="1"/>
        <v>4.0000000000000001E-3</v>
      </c>
      <c r="J29" s="21">
        <f t="shared" si="1"/>
        <v>4.0000000000000001E-3</v>
      </c>
      <c r="L29" s="1018">
        <f t="shared" si="2"/>
        <v>0</v>
      </c>
      <c r="M29" s="1018">
        <f t="shared" si="3"/>
        <v>0.01</v>
      </c>
    </row>
    <row r="30" spans="1:13" s="10" customFormat="1" ht="12" customHeight="1" x14ac:dyDescent="0.25">
      <c r="A30" s="98"/>
      <c r="B30" s="93" t="s">
        <v>100</v>
      </c>
      <c r="C30" s="114"/>
      <c r="D30" s="100">
        <v>1</v>
      </c>
      <c r="E30" s="95"/>
      <c r="F30" s="95">
        <f>SUM(F19:F29)</f>
        <v>30.46</v>
      </c>
      <c r="G30" s="99"/>
      <c r="H30" s="100">
        <f>D30*10</f>
        <v>10</v>
      </c>
      <c r="I30" s="100"/>
      <c r="J30" s="100">
        <f>D30*100</f>
        <v>100</v>
      </c>
      <c r="L30" s="1018">
        <f>SUM(L19:L29)</f>
        <v>0.32729999999999998</v>
      </c>
      <c r="M30" s="1018">
        <f>SUM(M19:M29)</f>
        <v>7.6150000000000002</v>
      </c>
    </row>
    <row r="31" spans="1:13" s="10" customFormat="1" ht="27.6" customHeight="1" x14ac:dyDescent="0.25">
      <c r="A31" s="1536" t="s">
        <v>35</v>
      </c>
      <c r="B31" s="1536"/>
      <c r="C31" s="90"/>
      <c r="D31" s="90"/>
      <c r="E31" s="408"/>
      <c r="F31" s="408">
        <f>F30</f>
        <v>30.46</v>
      </c>
      <c r="G31" s="591"/>
      <c r="H31" s="591"/>
      <c r="I31" s="21"/>
      <c r="J31" s="408"/>
    </row>
    <row r="32" spans="1:13" s="10" customFormat="1" ht="25.35" customHeight="1" x14ac:dyDescent="0.25">
      <c r="A32" s="1536" t="s">
        <v>36</v>
      </c>
      <c r="B32" s="1536"/>
      <c r="C32" s="866">
        <v>1000</v>
      </c>
      <c r="D32" s="90"/>
      <c r="E32" s="408"/>
      <c r="F32" s="408"/>
      <c r="G32" s="408"/>
      <c r="H32" s="408"/>
      <c r="I32" s="21"/>
      <c r="J32" s="17"/>
    </row>
    <row r="33" spans="1:10" s="10" customFormat="1" ht="25.35" customHeight="1" x14ac:dyDescent="0.25">
      <c r="A33" s="1537" t="s">
        <v>37</v>
      </c>
      <c r="B33" s="1538"/>
      <c r="C33" s="1071">
        <v>250</v>
      </c>
      <c r="D33" s="92"/>
      <c r="E33" s="592"/>
      <c r="F33" s="592"/>
      <c r="G33" s="592"/>
      <c r="H33" s="592"/>
      <c r="I33" s="21"/>
      <c r="J33" s="17"/>
    </row>
    <row r="34" spans="1:10" s="10" customFormat="1" ht="15" customHeight="1" x14ac:dyDescent="0.25">
      <c r="A34" s="1539" t="s">
        <v>38</v>
      </c>
      <c r="B34" s="1540"/>
      <c r="C34" s="245">
        <f>C32/C33</f>
        <v>4</v>
      </c>
      <c r="D34" s="92"/>
      <c r="E34" s="592"/>
      <c r="F34" s="592"/>
      <c r="G34" s="592"/>
      <c r="H34" s="592"/>
      <c r="I34" s="21"/>
      <c r="J34" s="17"/>
    </row>
    <row r="35" spans="1:10" ht="16.350000000000001" customHeight="1" x14ac:dyDescent="0.25">
      <c r="A35" s="1541" t="s">
        <v>39</v>
      </c>
      <c r="B35" s="1542"/>
      <c r="C35" s="15" t="s">
        <v>40</v>
      </c>
      <c r="D35" s="102"/>
      <c r="E35" s="102" t="s">
        <v>40</v>
      </c>
      <c r="F35" s="16">
        <f>F31/C34</f>
        <v>7.62</v>
      </c>
      <c r="G35" s="16"/>
      <c r="H35" s="16"/>
      <c r="I35" s="102" t="s">
        <v>40</v>
      </c>
      <c r="J35" s="102" t="s">
        <v>40</v>
      </c>
    </row>
    <row r="36" spans="1:10" ht="23.1" customHeight="1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193"/>
      <c r="B37" s="1194" t="s">
        <v>49</v>
      </c>
      <c r="C37" s="1198"/>
      <c r="D37" s="1198"/>
      <c r="E37" s="1198"/>
      <c r="F37" s="1198"/>
      <c r="G37" s="1193"/>
      <c r="H37" s="1556">
        <f>'1-бутерброд с маслом'!$H$28</f>
        <v>0</v>
      </c>
      <c r="I37" s="1556"/>
      <c r="J37" s="1556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545" t="s">
        <v>327</v>
      </c>
      <c r="B39" s="1545"/>
      <c r="C39" s="1546" t="s">
        <v>328</v>
      </c>
      <c r="D39" s="1546"/>
      <c r="E39" s="1546"/>
      <c r="F39" s="1546"/>
      <c r="G39" s="106"/>
      <c r="H39" s="1531"/>
      <c r="I39" s="1531"/>
      <c r="J39" s="1531"/>
    </row>
    <row r="40" spans="1:10" x14ac:dyDescent="0.25">
      <c r="A40" s="1193"/>
      <c r="B40" s="1193"/>
      <c r="C40" s="1546"/>
      <c r="D40" s="1546"/>
      <c r="E40" s="1546"/>
      <c r="F40" s="1546"/>
      <c r="G40" s="1193"/>
      <c r="H40" s="1531" t="s">
        <v>329</v>
      </c>
      <c r="I40" s="1531"/>
      <c r="J40" s="1531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37:J37"/>
    <mergeCell ref="A13:G13"/>
    <mergeCell ref="A32:B32"/>
    <mergeCell ref="A33:B33"/>
    <mergeCell ref="A34:B34"/>
    <mergeCell ref="A35:B35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9:B39"/>
    <mergeCell ref="C39:F40"/>
    <mergeCell ref="H39:J39"/>
    <mergeCell ref="H40:J40"/>
    <mergeCell ref="H5:I5"/>
    <mergeCell ref="A6:G6"/>
    <mergeCell ref="A7:I7"/>
    <mergeCell ref="A31:B31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75E5"/>
  </sheetPr>
  <dimension ref="A1:J32"/>
  <sheetViews>
    <sheetView view="pageBreakPreview" topLeftCell="A14" zoomScaleNormal="100" zoomScaleSheetLayoutView="100" workbookViewId="0">
      <selection activeCell="L33" sqref="L33"/>
    </sheetView>
  </sheetViews>
  <sheetFormatPr defaultRowHeight="13.8" x14ac:dyDescent="0.25"/>
  <cols>
    <col min="1" max="1" width="4.109375" customWidth="1"/>
    <col min="2" max="2" width="20.5546875" customWidth="1"/>
    <col min="3" max="7" width="7.5546875" customWidth="1"/>
    <col min="8" max="8" width="8.88671875" customWidth="1"/>
    <col min="9" max="9" width="7.5546875" customWidth="1"/>
    <col min="10" max="10" width="9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2)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J4" s="108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70"/>
      <c r="I6" s="170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2</v>
      </c>
    </row>
    <row r="8" spans="1:10" s="2" customFormat="1" ht="16.350000000000001" customHeight="1" x14ac:dyDescent="0.25">
      <c r="A8" s="1197"/>
      <c r="B8" s="1197"/>
      <c r="C8" s="1197"/>
      <c r="D8" s="1197"/>
      <c r="E8" s="1197"/>
      <c r="F8" s="1197"/>
      <c r="G8" s="1197"/>
      <c r="H8" s="1197"/>
      <c r="I8" s="1197"/>
      <c r="J8" s="1197"/>
    </row>
    <row r="9" spans="1:10" s="2" customFormat="1" ht="26.1" customHeight="1" x14ac:dyDescent="0.3">
      <c r="A9" s="1550" t="s">
        <v>777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'1-бутерброд с маслом'!H14+1</f>
        <v>2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172" t="s">
        <v>92</v>
      </c>
      <c r="D17" s="172" t="s">
        <v>94</v>
      </c>
      <c r="E17" s="172" t="s">
        <v>93</v>
      </c>
      <c r="F17" s="172" t="s">
        <v>23</v>
      </c>
      <c r="G17" s="172" t="s">
        <v>92</v>
      </c>
      <c r="H17" s="172" t="s">
        <v>94</v>
      </c>
      <c r="I17" s="172" t="s">
        <v>92</v>
      </c>
      <c r="J17" s="172" t="s">
        <v>94</v>
      </c>
    </row>
    <row r="18" spans="1:10" ht="9.6" customHeight="1" x14ac:dyDescent="0.25">
      <c r="A18" s="172">
        <v>1</v>
      </c>
      <c r="B18" s="173">
        <v>2</v>
      </c>
      <c r="C18" s="172">
        <v>3</v>
      </c>
      <c r="D18" s="173">
        <v>4</v>
      </c>
      <c r="E18" s="172">
        <v>5</v>
      </c>
      <c r="F18" s="173">
        <v>6</v>
      </c>
      <c r="G18" s="172">
        <v>7</v>
      </c>
      <c r="H18" s="173">
        <v>8</v>
      </c>
      <c r="I18" s="172">
        <v>9</v>
      </c>
      <c r="J18" s="173">
        <v>10</v>
      </c>
    </row>
    <row r="19" spans="1:10" ht="13.35" customHeight="1" x14ac:dyDescent="0.25">
      <c r="A19" s="172">
        <v>1</v>
      </c>
      <c r="B19" s="181" t="s">
        <v>597</v>
      </c>
      <c r="C19" s="172">
        <v>2.0199999999999999E-2</v>
      </c>
      <c r="D19" s="173">
        <v>2E-3</v>
      </c>
      <c r="E19" s="182">
        <f>цены!F105</f>
        <v>160</v>
      </c>
      <c r="F19" s="13">
        <f>C19*E19</f>
        <v>3.23</v>
      </c>
      <c r="G19" s="97">
        <f t="shared" ref="G19:H21" si="0">C19*10</f>
        <v>0.20200000000000001</v>
      </c>
      <c r="H19" s="21">
        <f t="shared" si="0"/>
        <v>0.02</v>
      </c>
      <c r="I19" s="21">
        <f t="shared" ref="I19:J21" si="1">C19*100</f>
        <v>2.02</v>
      </c>
      <c r="J19" s="21">
        <f t="shared" si="1"/>
        <v>0.2</v>
      </c>
    </row>
    <row r="20" spans="1:10" s="10" customFormat="1" ht="14.1" customHeight="1" x14ac:dyDescent="0.25">
      <c r="A20" s="180">
        <v>2</v>
      </c>
      <c r="B20" s="20" t="s">
        <v>31</v>
      </c>
      <c r="C20" s="111">
        <v>0.01</v>
      </c>
      <c r="D20" s="111">
        <v>0.01</v>
      </c>
      <c r="E20" s="13">
        <f>цены!F21</f>
        <v>710</v>
      </c>
      <c r="F20" s="13">
        <f>C20*E20</f>
        <v>7.1</v>
      </c>
      <c r="G20" s="97">
        <f t="shared" si="0"/>
        <v>0.1</v>
      </c>
      <c r="H20" s="21">
        <f t="shared" si="0"/>
        <v>0.1</v>
      </c>
      <c r="I20" s="21">
        <f t="shared" si="1"/>
        <v>1</v>
      </c>
      <c r="J20" s="21">
        <f t="shared" si="1"/>
        <v>1</v>
      </c>
    </row>
    <row r="21" spans="1:10" s="10" customFormat="1" ht="12" customHeight="1" x14ac:dyDescent="0.25">
      <c r="A21" s="180">
        <v>3</v>
      </c>
      <c r="B21" s="20" t="s">
        <v>205</v>
      </c>
      <c r="C21" s="111">
        <v>0.03</v>
      </c>
      <c r="D21" s="111">
        <v>0.03</v>
      </c>
      <c r="E21" s="13">
        <f>цены!F159</f>
        <v>69</v>
      </c>
      <c r="F21" s="13">
        <f>C21*E21</f>
        <v>2.0699999999999998</v>
      </c>
      <c r="G21" s="97">
        <f t="shared" si="0"/>
        <v>0.3</v>
      </c>
      <c r="H21" s="21">
        <f t="shared" si="0"/>
        <v>0.3</v>
      </c>
      <c r="I21" s="21">
        <f t="shared" si="1"/>
        <v>3</v>
      </c>
      <c r="J21" s="21">
        <f t="shared" si="1"/>
        <v>3</v>
      </c>
    </row>
    <row r="22" spans="1:10" s="10" customFormat="1" ht="12" customHeight="1" x14ac:dyDescent="0.25">
      <c r="A22" s="98"/>
      <c r="B22" s="93" t="s">
        <v>100</v>
      </c>
      <c r="C22" s="100"/>
      <c r="D22" s="100">
        <v>5.5E-2</v>
      </c>
      <c r="E22" s="95"/>
      <c r="F22" s="95">
        <f>SUM(F19:F21)</f>
        <v>12.4</v>
      </c>
      <c r="G22" s="99"/>
      <c r="H22" s="100">
        <f>D22*10</f>
        <v>0.55000000000000004</v>
      </c>
      <c r="I22" s="100"/>
      <c r="J22" s="100">
        <f>D22*100</f>
        <v>5.5</v>
      </c>
    </row>
    <row r="23" spans="1:10" s="10" customFormat="1" ht="27.6" customHeight="1" x14ac:dyDescent="0.25">
      <c r="A23" s="1536" t="s">
        <v>35</v>
      </c>
      <c r="B23" s="1536"/>
      <c r="C23" s="90"/>
      <c r="D23" s="90"/>
      <c r="E23" s="13"/>
      <c r="F23" s="13">
        <f>F22</f>
        <v>12.4</v>
      </c>
      <c r="G23" s="174"/>
      <c r="H23" s="174"/>
      <c r="I23" s="21"/>
      <c r="J23" s="13"/>
    </row>
    <row r="24" spans="1:10" s="10" customFormat="1" ht="25.35" customHeight="1" x14ac:dyDescent="0.25">
      <c r="A24" s="1536" t="s">
        <v>36</v>
      </c>
      <c r="B24" s="1536"/>
      <c r="C24" s="90">
        <v>55</v>
      </c>
      <c r="D24" s="90"/>
      <c r="E24" s="13"/>
      <c r="F24" s="13"/>
      <c r="G24" s="13"/>
      <c r="H24" s="13"/>
      <c r="I24" s="21"/>
      <c r="J24" s="17"/>
    </row>
    <row r="25" spans="1:10" s="10" customFormat="1" ht="25.35" customHeight="1" x14ac:dyDescent="0.25">
      <c r="A25" s="1537" t="s">
        <v>37</v>
      </c>
      <c r="B25" s="1538"/>
      <c r="C25" s="91">
        <v>55</v>
      </c>
      <c r="D25" s="92"/>
      <c r="E25" s="173"/>
      <c r="F25" s="173"/>
      <c r="G25" s="173"/>
      <c r="H25" s="173"/>
      <c r="I25" s="21"/>
      <c r="J25" s="17"/>
    </row>
    <row r="26" spans="1:10" s="10" customFormat="1" ht="15" customHeight="1" x14ac:dyDescent="0.25">
      <c r="A26" s="1539" t="s">
        <v>38</v>
      </c>
      <c r="B26" s="1540"/>
      <c r="C26" s="92">
        <f>C24/C25</f>
        <v>1</v>
      </c>
      <c r="D26" s="92"/>
      <c r="E26" s="173"/>
      <c r="F26" s="173"/>
      <c r="G26" s="173"/>
      <c r="H26" s="173"/>
      <c r="I26" s="21"/>
      <c r="J26" s="17"/>
    </row>
    <row r="27" spans="1:10" ht="16.350000000000001" customHeight="1" x14ac:dyDescent="0.25">
      <c r="A27" s="1541" t="s">
        <v>39</v>
      </c>
      <c r="B27" s="1542"/>
      <c r="C27" s="15" t="s">
        <v>40</v>
      </c>
      <c r="D27" s="102"/>
      <c r="E27" s="102" t="s">
        <v>40</v>
      </c>
      <c r="F27" s="16">
        <f>F23/C26</f>
        <v>12.4</v>
      </c>
      <c r="G27" s="16"/>
      <c r="H27" s="16"/>
      <c r="I27" s="102" t="s">
        <v>40</v>
      </c>
      <c r="J27" s="102" t="s">
        <v>40</v>
      </c>
    </row>
    <row r="28" spans="1:10" ht="14.4" customHeight="1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193"/>
      <c r="B29" s="1194" t="s">
        <v>49</v>
      </c>
      <c r="C29" s="1198"/>
      <c r="D29" s="1198"/>
      <c r="E29" s="1198"/>
      <c r="F29" s="1198"/>
      <c r="G29" s="1193"/>
      <c r="H29" s="1556">
        <f>'1-бутерброд с маслом'!$H$28</f>
        <v>0</v>
      </c>
      <c r="I29" s="1556"/>
      <c r="J29" s="1556"/>
    </row>
    <row r="30" spans="1:10" ht="18" customHeight="1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0" x14ac:dyDescent="0.25">
      <c r="A31" s="1545" t="s">
        <v>327</v>
      </c>
      <c r="B31" s="1545"/>
      <c r="C31" s="1546" t="s">
        <v>328</v>
      </c>
      <c r="D31" s="1546"/>
      <c r="E31" s="1546"/>
      <c r="F31" s="1546"/>
      <c r="G31" s="106"/>
      <c r="H31" s="1531"/>
      <c r="I31" s="1531"/>
      <c r="J31" s="1531"/>
    </row>
    <row r="32" spans="1:10" x14ac:dyDescent="0.25">
      <c r="A32" s="1193"/>
      <c r="B32" s="1193"/>
      <c r="C32" s="1546"/>
      <c r="D32" s="1546"/>
      <c r="E32" s="1546"/>
      <c r="F32" s="1546"/>
      <c r="G32" s="1193"/>
      <c r="H32" s="1531" t="s">
        <v>329</v>
      </c>
      <c r="I32" s="1531"/>
      <c r="J32" s="1531"/>
    </row>
  </sheetData>
  <mergeCells count="28">
    <mergeCell ref="H5:I5"/>
    <mergeCell ref="A6:G6"/>
    <mergeCell ref="A7:I7"/>
    <mergeCell ref="A11:J11"/>
    <mergeCell ref="I13:J13"/>
    <mergeCell ref="C14:G14"/>
    <mergeCell ref="I14:J14"/>
    <mergeCell ref="A16:A17"/>
    <mergeCell ref="B16:B17"/>
    <mergeCell ref="C16:F16"/>
    <mergeCell ref="G16:H16"/>
    <mergeCell ref="I16:J16"/>
    <mergeCell ref="A31:B31"/>
    <mergeCell ref="C31:F32"/>
    <mergeCell ref="H31:J31"/>
    <mergeCell ref="H32:J32"/>
    <mergeCell ref="G1:J1"/>
    <mergeCell ref="G2:J2"/>
    <mergeCell ref="G3:J3"/>
    <mergeCell ref="A13:G13"/>
    <mergeCell ref="A5:G5"/>
    <mergeCell ref="H29:J29"/>
    <mergeCell ref="A24:B24"/>
    <mergeCell ref="A25:B25"/>
    <mergeCell ref="A26:B26"/>
    <mergeCell ref="A27:B27"/>
    <mergeCell ref="A23:B23"/>
    <mergeCell ref="A9:J9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44"/>
  <sheetViews>
    <sheetView view="pageBreakPreview" topLeftCell="A5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595" customWidth="1"/>
    <col min="2" max="2" width="22.44140625" style="595" customWidth="1"/>
    <col min="3" max="7" width="7.5546875" style="595" customWidth="1"/>
    <col min="8" max="8" width="8.88671875" style="595" customWidth="1"/>
    <col min="9" max="9" width="7.5546875" style="595" customWidth="1"/>
    <col min="10" max="10" width="9" style="595" customWidth="1"/>
    <col min="11" max="16384" width="8.88671875" style="595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65)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596"/>
      <c r="I6" s="596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98</v>
      </c>
    </row>
    <row r="8" spans="1:10" s="2" customFormat="1" ht="9.6" customHeight="1" x14ac:dyDescent="0.25">
      <c r="A8" s="597"/>
      <c r="B8" s="597"/>
      <c r="C8" s="597"/>
      <c r="D8" s="597"/>
      <c r="E8" s="597"/>
      <c r="F8" s="597"/>
      <c r="G8" s="597"/>
      <c r="H8" s="597"/>
      <c r="I8" s="597"/>
      <c r="J8" s="109"/>
    </row>
    <row r="9" spans="1:10" s="2" customFormat="1" ht="26.1" customHeight="1" x14ac:dyDescent="0.3">
      <c r="A9" s="1550" t="s">
        <v>890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'98-суп крестьян. пшено'!H14+1</f>
        <v>65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598" t="s">
        <v>92</v>
      </c>
      <c r="D17" s="598" t="s">
        <v>94</v>
      </c>
      <c r="E17" s="598" t="s">
        <v>93</v>
      </c>
      <c r="F17" s="598" t="s">
        <v>23</v>
      </c>
      <c r="G17" s="598" t="s">
        <v>92</v>
      </c>
      <c r="H17" s="598" t="s">
        <v>94</v>
      </c>
      <c r="I17" s="598" t="s">
        <v>92</v>
      </c>
      <c r="J17" s="598" t="s">
        <v>94</v>
      </c>
    </row>
    <row r="18" spans="1:13" ht="9.6" customHeight="1" x14ac:dyDescent="0.25">
      <c r="A18" s="598">
        <v>1</v>
      </c>
      <c r="B18" s="599">
        <v>2</v>
      </c>
      <c r="C18" s="598">
        <v>3</v>
      </c>
      <c r="D18" s="599">
        <v>4</v>
      </c>
      <c r="E18" s="598">
        <v>5</v>
      </c>
      <c r="F18" s="599">
        <v>6</v>
      </c>
      <c r="G18" s="598">
        <v>7</v>
      </c>
      <c r="H18" s="599">
        <v>8</v>
      </c>
      <c r="I18" s="598">
        <v>9</v>
      </c>
      <c r="J18" s="599">
        <v>10</v>
      </c>
    </row>
    <row r="19" spans="1:13" s="10" customFormat="1" ht="14.1" customHeight="1" x14ac:dyDescent="0.25">
      <c r="A19" s="180">
        <v>1</v>
      </c>
      <c r="B19" s="20" t="s">
        <v>53</v>
      </c>
      <c r="C19" s="21">
        <v>0.15</v>
      </c>
      <c r="D19" s="21">
        <v>0.12</v>
      </c>
      <c r="E19" s="408">
        <f>цены!F33</f>
        <v>53</v>
      </c>
      <c r="F19" s="408">
        <f>C19*E19</f>
        <v>7.95</v>
      </c>
      <c r="G19" s="97">
        <f t="shared" ref="G19:H29" si="0">C19*10</f>
        <v>1.5</v>
      </c>
      <c r="H19" s="21">
        <f t="shared" si="0"/>
        <v>1.2</v>
      </c>
      <c r="I19" s="21">
        <f t="shared" ref="I19:J29" si="1">C19*100</f>
        <v>15</v>
      </c>
      <c r="J19" s="21">
        <f t="shared" si="1"/>
        <v>12</v>
      </c>
      <c r="L19" s="1018">
        <f>C19/C$34</f>
        <v>3.7499999999999999E-2</v>
      </c>
      <c r="M19" s="1018">
        <f>F19/C$34</f>
        <v>1.9875</v>
      </c>
    </row>
    <row r="20" spans="1:13" s="10" customFormat="1" ht="12" customHeight="1" x14ac:dyDescent="0.25">
      <c r="A20" s="180">
        <v>2</v>
      </c>
      <c r="B20" s="20" t="s">
        <v>50</v>
      </c>
      <c r="C20" s="21">
        <v>0.13300000000000001</v>
      </c>
      <c r="D20" s="21">
        <v>0.1</v>
      </c>
      <c r="E20" s="408">
        <f>цены!F35</f>
        <v>50</v>
      </c>
      <c r="F20" s="408">
        <f>C20*E20</f>
        <v>6.65</v>
      </c>
      <c r="G20" s="97">
        <f t="shared" si="0"/>
        <v>1.33</v>
      </c>
      <c r="H20" s="21">
        <f t="shared" si="0"/>
        <v>1</v>
      </c>
      <c r="I20" s="21">
        <f t="shared" si="1"/>
        <v>13.3</v>
      </c>
      <c r="J20" s="21">
        <f t="shared" si="1"/>
        <v>10</v>
      </c>
      <c r="L20" s="1018">
        <f t="shared" ref="L20:L29" si="2">C20/C$34</f>
        <v>3.3300000000000003E-2</v>
      </c>
      <c r="M20" s="1018">
        <f t="shared" ref="M20:M29" si="3">F20/C$34</f>
        <v>1.6625000000000001</v>
      </c>
    </row>
    <row r="21" spans="1:13" s="10" customFormat="1" ht="12" customHeight="1" x14ac:dyDescent="0.25">
      <c r="A21" s="180">
        <v>3</v>
      </c>
      <c r="B21" s="20" t="s">
        <v>813</v>
      </c>
      <c r="C21" s="21">
        <v>0.02</v>
      </c>
      <c r="D21" s="21">
        <v>0.02</v>
      </c>
      <c r="E21" s="408">
        <f>цены!F84</f>
        <v>65</v>
      </c>
      <c r="F21" s="408">
        <f t="shared" ref="F21:F29" si="4">C21*E21</f>
        <v>1.3</v>
      </c>
      <c r="G21" s="97">
        <f t="shared" si="0"/>
        <v>0.2</v>
      </c>
      <c r="H21" s="21">
        <f t="shared" si="0"/>
        <v>0.2</v>
      </c>
      <c r="I21" s="21">
        <f t="shared" si="1"/>
        <v>2</v>
      </c>
      <c r="J21" s="21">
        <f t="shared" si="1"/>
        <v>2</v>
      </c>
      <c r="L21" s="1018">
        <f t="shared" si="2"/>
        <v>5.0000000000000001E-3</v>
      </c>
      <c r="M21" s="1018">
        <f t="shared" si="3"/>
        <v>0.32500000000000001</v>
      </c>
    </row>
    <row r="22" spans="1:13" s="10" customFormat="1" ht="12" customHeight="1" x14ac:dyDescent="0.25">
      <c r="A22" s="180">
        <v>4</v>
      </c>
      <c r="B22" s="20" t="s">
        <v>47</v>
      </c>
      <c r="C22" s="21">
        <v>0.05</v>
      </c>
      <c r="D22" s="21">
        <v>0.04</v>
      </c>
      <c r="E22" s="408">
        <f>цены!F44</f>
        <v>50</v>
      </c>
      <c r="F22" s="408">
        <f t="shared" si="4"/>
        <v>2.5</v>
      </c>
      <c r="G22" s="97">
        <f t="shared" si="0"/>
        <v>0.5</v>
      </c>
      <c r="H22" s="21">
        <f t="shared" si="0"/>
        <v>0.4</v>
      </c>
      <c r="I22" s="21">
        <f t="shared" si="1"/>
        <v>5</v>
      </c>
      <c r="J22" s="21">
        <f t="shared" si="1"/>
        <v>4</v>
      </c>
      <c r="L22" s="1018">
        <f t="shared" si="2"/>
        <v>1.2500000000000001E-2</v>
      </c>
      <c r="M22" s="1018">
        <f t="shared" si="3"/>
        <v>0.625</v>
      </c>
    </row>
    <row r="23" spans="1:13" s="10" customFormat="1" ht="12" customHeight="1" x14ac:dyDescent="0.25">
      <c r="A23" s="180">
        <v>5</v>
      </c>
      <c r="B23" s="20" t="s">
        <v>48</v>
      </c>
      <c r="C23" s="21">
        <v>4.8000000000000001E-2</v>
      </c>
      <c r="D23" s="21">
        <v>0.04</v>
      </c>
      <c r="E23" s="408">
        <f>цены!F38</f>
        <v>50</v>
      </c>
      <c r="F23" s="408">
        <f t="shared" si="4"/>
        <v>2.4</v>
      </c>
      <c r="G23" s="97">
        <f t="shared" si="0"/>
        <v>0.48</v>
      </c>
      <c r="H23" s="21">
        <f t="shared" si="0"/>
        <v>0.4</v>
      </c>
      <c r="I23" s="21">
        <f t="shared" si="1"/>
        <v>4.8</v>
      </c>
      <c r="J23" s="21">
        <f t="shared" si="1"/>
        <v>4</v>
      </c>
      <c r="L23" s="1018">
        <f t="shared" si="2"/>
        <v>1.2E-2</v>
      </c>
      <c r="M23" s="1018">
        <f t="shared" si="3"/>
        <v>0.6</v>
      </c>
    </row>
    <row r="24" spans="1:13" s="10" customFormat="1" ht="12" customHeight="1" x14ac:dyDescent="0.25">
      <c r="A24" s="180">
        <v>6</v>
      </c>
      <c r="B24" s="20" t="s">
        <v>74</v>
      </c>
      <c r="C24" s="21">
        <v>0.02</v>
      </c>
      <c r="D24" s="21">
        <v>0.02</v>
      </c>
      <c r="E24" s="408">
        <f>цены!F87</f>
        <v>120</v>
      </c>
      <c r="F24" s="408">
        <f t="shared" si="4"/>
        <v>2.4</v>
      </c>
      <c r="G24" s="97">
        <f t="shared" si="0"/>
        <v>0.2</v>
      </c>
      <c r="H24" s="21">
        <f t="shared" si="0"/>
        <v>0.2</v>
      </c>
      <c r="I24" s="21">
        <f t="shared" si="1"/>
        <v>2</v>
      </c>
      <c r="J24" s="21">
        <f t="shared" si="1"/>
        <v>2</v>
      </c>
      <c r="L24" s="1018">
        <f t="shared" si="2"/>
        <v>5.0000000000000001E-3</v>
      </c>
      <c r="M24" s="1018">
        <f t="shared" si="3"/>
        <v>0.6</v>
      </c>
    </row>
    <row r="25" spans="1:13" s="10" customFormat="1" ht="12" customHeight="1" x14ac:dyDescent="0.25">
      <c r="A25" s="180">
        <v>7</v>
      </c>
      <c r="B25" s="20" t="s">
        <v>141</v>
      </c>
      <c r="C25" s="21">
        <v>0.85</v>
      </c>
      <c r="D25" s="21">
        <v>0.85</v>
      </c>
      <c r="E25" s="408"/>
      <c r="F25" s="408">
        <f t="shared" si="4"/>
        <v>0</v>
      </c>
      <c r="G25" s="97">
        <f t="shared" si="0"/>
        <v>8.5</v>
      </c>
      <c r="H25" s="21">
        <f t="shared" si="0"/>
        <v>8.5</v>
      </c>
      <c r="I25" s="21">
        <f t="shared" si="1"/>
        <v>85</v>
      </c>
      <c r="J25" s="21">
        <f t="shared" si="1"/>
        <v>85</v>
      </c>
      <c r="L25" s="1018">
        <f t="shared" si="2"/>
        <v>0.21249999999999999</v>
      </c>
      <c r="M25" s="1018">
        <f t="shared" si="3"/>
        <v>0</v>
      </c>
    </row>
    <row r="26" spans="1:13" s="10" customFormat="1" ht="12" customHeight="1" x14ac:dyDescent="0.25">
      <c r="A26" s="180">
        <v>8</v>
      </c>
      <c r="B26" s="20" t="s">
        <v>33</v>
      </c>
      <c r="C26" s="21">
        <v>0.01</v>
      </c>
      <c r="D26" s="21">
        <v>0.01</v>
      </c>
      <c r="E26" s="408">
        <f>цены!F110</f>
        <v>24</v>
      </c>
      <c r="F26" s="408">
        <f t="shared" si="4"/>
        <v>0.24</v>
      </c>
      <c r="G26" s="97">
        <f t="shared" si="0"/>
        <v>0.1</v>
      </c>
      <c r="H26" s="21">
        <f t="shared" si="0"/>
        <v>0.1</v>
      </c>
      <c r="I26" s="21">
        <f t="shared" si="1"/>
        <v>1</v>
      </c>
      <c r="J26" s="21">
        <f t="shared" si="1"/>
        <v>1</v>
      </c>
      <c r="L26" s="1018">
        <f t="shared" si="2"/>
        <v>2.5000000000000001E-3</v>
      </c>
      <c r="M26" s="1018">
        <f t="shared" si="3"/>
        <v>0.06</v>
      </c>
    </row>
    <row r="27" spans="1:13" s="10" customFormat="1" ht="12" customHeight="1" x14ac:dyDescent="0.25">
      <c r="A27" s="180">
        <v>9</v>
      </c>
      <c r="B27" s="20" t="s">
        <v>51</v>
      </c>
      <c r="C27" s="21">
        <v>0.02</v>
      </c>
      <c r="D27" s="21">
        <v>0.02</v>
      </c>
      <c r="E27" s="408">
        <f>цены!F24</f>
        <v>234</v>
      </c>
      <c r="F27" s="408">
        <f t="shared" si="4"/>
        <v>4.68</v>
      </c>
      <c r="G27" s="97">
        <f t="shared" si="0"/>
        <v>0.2</v>
      </c>
      <c r="H27" s="21">
        <f t="shared" si="0"/>
        <v>0.2</v>
      </c>
      <c r="I27" s="21">
        <f t="shared" si="1"/>
        <v>2</v>
      </c>
      <c r="J27" s="21">
        <f t="shared" si="1"/>
        <v>2</v>
      </c>
      <c r="L27" s="1018">
        <f t="shared" si="2"/>
        <v>5.0000000000000001E-3</v>
      </c>
      <c r="M27" s="1018">
        <f t="shared" si="3"/>
        <v>1.17</v>
      </c>
    </row>
    <row r="28" spans="1:13" s="10" customFormat="1" ht="12" customHeight="1" x14ac:dyDescent="0.25">
      <c r="A28" s="180">
        <v>10</v>
      </c>
      <c r="B28" s="20" t="s">
        <v>78</v>
      </c>
      <c r="C28" s="21">
        <f>0.002*C34</f>
        <v>8.0000000000000002E-3</v>
      </c>
      <c r="D28" s="21">
        <f>C28</f>
        <v>8.0000000000000002E-3</v>
      </c>
      <c r="E28" s="408">
        <f>цены!F48</f>
        <v>300</v>
      </c>
      <c r="F28" s="408">
        <f t="shared" si="4"/>
        <v>2.4</v>
      </c>
      <c r="G28" s="97">
        <f t="shared" si="0"/>
        <v>0.08</v>
      </c>
      <c r="H28" s="21">
        <f t="shared" si="0"/>
        <v>0.08</v>
      </c>
      <c r="I28" s="21">
        <f t="shared" si="1"/>
        <v>0.8</v>
      </c>
      <c r="J28" s="21">
        <f t="shared" si="1"/>
        <v>0.8</v>
      </c>
      <c r="L28" s="1018">
        <f t="shared" si="2"/>
        <v>2E-3</v>
      </c>
      <c r="M28" s="1018">
        <f t="shared" si="3"/>
        <v>0.6</v>
      </c>
    </row>
    <row r="29" spans="1:13" s="10" customFormat="1" ht="12" customHeight="1" x14ac:dyDescent="0.25">
      <c r="A29" s="180">
        <v>11</v>
      </c>
      <c r="B29" s="20" t="s">
        <v>84</v>
      </c>
      <c r="C29" s="113">
        <v>4.0000000000000003E-5</v>
      </c>
      <c r="D29" s="113">
        <v>4.0000000000000003E-5</v>
      </c>
      <c r="E29" s="408">
        <f>цены!F100</f>
        <v>1000</v>
      </c>
      <c r="F29" s="408">
        <f t="shared" si="4"/>
        <v>0.04</v>
      </c>
      <c r="G29" s="97">
        <f t="shared" si="0"/>
        <v>0</v>
      </c>
      <c r="H29" s="21">
        <f t="shared" si="0"/>
        <v>0</v>
      </c>
      <c r="I29" s="21">
        <f t="shared" si="1"/>
        <v>4.0000000000000001E-3</v>
      </c>
      <c r="J29" s="21">
        <f t="shared" si="1"/>
        <v>4.0000000000000001E-3</v>
      </c>
      <c r="L29" s="1018">
        <f t="shared" si="2"/>
        <v>0</v>
      </c>
      <c r="M29" s="1018">
        <f t="shared" si="3"/>
        <v>0.01</v>
      </c>
    </row>
    <row r="30" spans="1:13" s="10" customFormat="1" ht="12" customHeight="1" x14ac:dyDescent="0.25">
      <c r="A30" s="98"/>
      <c r="B30" s="93" t="s">
        <v>100</v>
      </c>
      <c r="C30" s="114"/>
      <c r="D30" s="100">
        <v>1</v>
      </c>
      <c r="E30" s="95"/>
      <c r="F30" s="95">
        <f>SUM(F19:F29)</f>
        <v>30.56</v>
      </c>
      <c r="G30" s="99"/>
      <c r="H30" s="100">
        <f>D30*10</f>
        <v>10</v>
      </c>
      <c r="I30" s="100"/>
      <c r="J30" s="100">
        <f>D30*100</f>
        <v>100</v>
      </c>
      <c r="L30" s="1018">
        <f>SUM(L19:L29)</f>
        <v>0.32729999999999998</v>
      </c>
      <c r="M30" s="1018">
        <f>SUM(M19:M29)</f>
        <v>7.64</v>
      </c>
    </row>
    <row r="31" spans="1:13" s="10" customFormat="1" ht="27.6" customHeight="1" x14ac:dyDescent="0.25">
      <c r="A31" s="1536" t="s">
        <v>35</v>
      </c>
      <c r="B31" s="1536"/>
      <c r="C31" s="90"/>
      <c r="D31" s="90"/>
      <c r="E31" s="408"/>
      <c r="F31" s="408">
        <f>F30</f>
        <v>30.56</v>
      </c>
      <c r="G31" s="600"/>
      <c r="H31" s="600"/>
      <c r="I31" s="21"/>
      <c r="J31" s="408"/>
    </row>
    <row r="32" spans="1:13" s="10" customFormat="1" ht="25.35" customHeight="1" x14ac:dyDescent="0.25">
      <c r="A32" s="1536" t="s">
        <v>36</v>
      </c>
      <c r="B32" s="1536"/>
      <c r="C32" s="866">
        <v>1000</v>
      </c>
      <c r="D32" s="90"/>
      <c r="E32" s="408"/>
      <c r="F32" s="408"/>
      <c r="G32" s="408"/>
      <c r="H32" s="408"/>
      <c r="I32" s="21"/>
      <c r="J32" s="17"/>
    </row>
    <row r="33" spans="1:10" s="10" customFormat="1" ht="25.35" customHeight="1" x14ac:dyDescent="0.25">
      <c r="A33" s="1537" t="s">
        <v>37</v>
      </c>
      <c r="B33" s="1538"/>
      <c r="C33" s="1071">
        <v>250</v>
      </c>
      <c r="D33" s="92"/>
      <c r="E33" s="599"/>
      <c r="F33" s="599"/>
      <c r="G33" s="599"/>
      <c r="H33" s="599"/>
      <c r="I33" s="21"/>
      <c r="J33" s="17"/>
    </row>
    <row r="34" spans="1:10" s="10" customFormat="1" ht="15" customHeight="1" x14ac:dyDescent="0.25">
      <c r="A34" s="1539" t="s">
        <v>38</v>
      </c>
      <c r="B34" s="1540"/>
      <c r="C34" s="245">
        <f>C32/C33</f>
        <v>4</v>
      </c>
      <c r="D34" s="92"/>
      <c r="E34" s="599"/>
      <c r="F34" s="599"/>
      <c r="G34" s="599"/>
      <c r="H34" s="599"/>
      <c r="I34" s="21"/>
      <c r="J34" s="17"/>
    </row>
    <row r="35" spans="1:10" ht="16.350000000000001" customHeight="1" x14ac:dyDescent="0.25">
      <c r="A35" s="1541" t="s">
        <v>39</v>
      </c>
      <c r="B35" s="1542"/>
      <c r="C35" s="15" t="s">
        <v>40</v>
      </c>
      <c r="D35" s="102"/>
      <c r="E35" s="102" t="s">
        <v>40</v>
      </c>
      <c r="F35" s="16">
        <f>F31/C34</f>
        <v>7.64</v>
      </c>
      <c r="G35" s="16"/>
      <c r="H35" s="16"/>
      <c r="I35" s="102" t="s">
        <v>40</v>
      </c>
      <c r="J35" s="102" t="s">
        <v>40</v>
      </c>
    </row>
    <row r="36" spans="1:10" ht="23.1" customHeight="1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193"/>
      <c r="B37" s="1194" t="s">
        <v>49</v>
      </c>
      <c r="C37" s="1198"/>
      <c r="D37" s="1198"/>
      <c r="E37" s="1198"/>
      <c r="F37" s="1198"/>
      <c r="G37" s="1193"/>
      <c r="H37" s="1556">
        <f>'1-бутерброд с маслом'!$H$28</f>
        <v>0</v>
      </c>
      <c r="I37" s="1556"/>
      <c r="J37" s="1556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545" t="s">
        <v>327</v>
      </c>
      <c r="B39" s="1545"/>
      <c r="C39" s="1546" t="s">
        <v>328</v>
      </c>
      <c r="D39" s="1546"/>
      <c r="E39" s="1546"/>
      <c r="F39" s="1546"/>
      <c r="G39" s="106"/>
      <c r="H39" s="1531"/>
      <c r="I39" s="1531"/>
      <c r="J39" s="1531"/>
    </row>
    <row r="40" spans="1:10" x14ac:dyDescent="0.25">
      <c r="A40" s="1193"/>
      <c r="B40" s="1193"/>
      <c r="C40" s="1546"/>
      <c r="D40" s="1546"/>
      <c r="E40" s="1546"/>
      <c r="F40" s="1546"/>
      <c r="G40" s="1193"/>
      <c r="H40" s="1531" t="s">
        <v>329</v>
      </c>
      <c r="I40" s="1531"/>
      <c r="J40" s="1531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9:B39"/>
    <mergeCell ref="C39:F40"/>
    <mergeCell ref="H39:J39"/>
    <mergeCell ref="H40:J40"/>
    <mergeCell ref="A32:B32"/>
    <mergeCell ref="A33:B33"/>
    <mergeCell ref="A34:B34"/>
    <mergeCell ref="A35:B35"/>
    <mergeCell ref="H37:J37"/>
    <mergeCell ref="A31:B31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44"/>
  <sheetViews>
    <sheetView view="pageBreakPreview" topLeftCell="A6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589" customWidth="1"/>
    <col min="2" max="2" width="22.44140625" style="589" customWidth="1"/>
    <col min="3" max="7" width="7.5546875" style="589" customWidth="1"/>
    <col min="8" max="8" width="8.88671875" style="589" customWidth="1"/>
    <col min="9" max="9" width="7.5546875" style="589" customWidth="1"/>
    <col min="10" max="10" width="9" style="589" customWidth="1"/>
    <col min="11" max="11" width="3.6640625" style="589" customWidth="1"/>
    <col min="12" max="16384" width="8.88671875" style="58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66)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593"/>
      <c r="I6" s="593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99</v>
      </c>
    </row>
    <row r="8" spans="1:10" s="2" customFormat="1" ht="9.6" customHeight="1" x14ac:dyDescent="0.25">
      <c r="A8" s="594"/>
      <c r="B8" s="594"/>
      <c r="C8" s="594"/>
      <c r="D8" s="594"/>
      <c r="E8" s="594"/>
      <c r="F8" s="594"/>
      <c r="G8" s="594"/>
      <c r="H8" s="594"/>
      <c r="I8" s="594"/>
      <c r="J8" s="109"/>
    </row>
    <row r="9" spans="1:10" s="2" customFormat="1" ht="26.1" customHeight="1" x14ac:dyDescent="0.3">
      <c r="A9" s="1550" t="s">
        <v>864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'98-суп крестьян. хлопья'!H14+1</f>
        <v>66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590" t="s">
        <v>92</v>
      </c>
      <c r="D17" s="590" t="s">
        <v>94</v>
      </c>
      <c r="E17" s="590" t="s">
        <v>93</v>
      </c>
      <c r="F17" s="590" t="s">
        <v>23</v>
      </c>
      <c r="G17" s="590" t="s">
        <v>92</v>
      </c>
      <c r="H17" s="590" t="s">
        <v>94</v>
      </c>
      <c r="I17" s="590" t="s">
        <v>92</v>
      </c>
      <c r="J17" s="590" t="s">
        <v>94</v>
      </c>
    </row>
    <row r="18" spans="1:13" ht="9.6" customHeight="1" x14ac:dyDescent="0.25">
      <c r="A18" s="590">
        <v>1</v>
      </c>
      <c r="B18" s="592">
        <v>2</v>
      </c>
      <c r="C18" s="590">
        <v>3</v>
      </c>
      <c r="D18" s="592">
        <v>4</v>
      </c>
      <c r="E18" s="590">
        <v>5</v>
      </c>
      <c r="F18" s="592">
        <v>6</v>
      </c>
      <c r="G18" s="590">
        <v>7</v>
      </c>
      <c r="H18" s="592">
        <v>8</v>
      </c>
      <c r="I18" s="590">
        <v>9</v>
      </c>
      <c r="J18" s="592">
        <v>10</v>
      </c>
    </row>
    <row r="19" spans="1:13" s="10" customFormat="1" ht="14.1" customHeight="1" x14ac:dyDescent="0.25">
      <c r="A19" s="180">
        <v>1</v>
      </c>
      <c r="B19" s="20" t="s">
        <v>483</v>
      </c>
      <c r="C19" s="21">
        <v>0.1</v>
      </c>
      <c r="D19" s="21">
        <v>0.08</v>
      </c>
      <c r="E19" s="408">
        <f>цены!F33</f>
        <v>53</v>
      </c>
      <c r="F19" s="408">
        <f>C19*E19</f>
        <v>5.3</v>
      </c>
      <c r="G19" s="97">
        <f t="shared" ref="G19:H29" si="0">C19*10</f>
        <v>1</v>
      </c>
      <c r="H19" s="21">
        <f t="shared" si="0"/>
        <v>0.8</v>
      </c>
      <c r="I19" s="21">
        <f t="shared" ref="I19:J29" si="1">C19*100</f>
        <v>10</v>
      </c>
      <c r="J19" s="21">
        <f t="shared" si="1"/>
        <v>8</v>
      </c>
      <c r="L19" s="1018">
        <f>C19/C$34</f>
        <v>2.5000000000000001E-2</v>
      </c>
      <c r="M19" s="1018">
        <f>F19/C$34</f>
        <v>1.325</v>
      </c>
    </row>
    <row r="20" spans="1:13" s="10" customFormat="1" ht="12" customHeight="1" x14ac:dyDescent="0.25">
      <c r="A20" s="180">
        <v>2</v>
      </c>
      <c r="B20" s="20" t="s">
        <v>50</v>
      </c>
      <c r="C20" s="21">
        <v>0.26700000000000002</v>
      </c>
      <c r="D20" s="21">
        <v>0.2</v>
      </c>
      <c r="E20" s="408">
        <f>цены!F35</f>
        <v>50</v>
      </c>
      <c r="F20" s="408">
        <f>C20*E20</f>
        <v>13.35</v>
      </c>
      <c r="G20" s="97">
        <f t="shared" si="0"/>
        <v>2.67</v>
      </c>
      <c r="H20" s="21">
        <f t="shared" si="0"/>
        <v>2</v>
      </c>
      <c r="I20" s="21">
        <f t="shared" si="1"/>
        <v>26.7</v>
      </c>
      <c r="J20" s="21">
        <f t="shared" si="1"/>
        <v>20</v>
      </c>
      <c r="L20" s="1018">
        <f t="shared" ref="L20:L29" si="2">C20/C$34</f>
        <v>6.6799999999999998E-2</v>
      </c>
      <c r="M20" s="1018">
        <f t="shared" ref="M20:M29" si="3">F20/C$34</f>
        <v>3.3374999999999999</v>
      </c>
    </row>
    <row r="21" spans="1:13" s="10" customFormat="1" ht="12" customHeight="1" x14ac:dyDescent="0.25">
      <c r="A21" s="180">
        <v>3</v>
      </c>
      <c r="B21" s="20" t="s">
        <v>47</v>
      </c>
      <c r="C21" s="21">
        <v>0.05</v>
      </c>
      <c r="D21" s="21">
        <v>0.04</v>
      </c>
      <c r="E21" s="408">
        <f>цены!F44</f>
        <v>50</v>
      </c>
      <c r="F21" s="408">
        <f t="shared" ref="F21:F29" si="4">C21*E21</f>
        <v>2.5</v>
      </c>
      <c r="G21" s="97">
        <f t="shared" si="0"/>
        <v>0.5</v>
      </c>
      <c r="H21" s="21">
        <f t="shared" si="0"/>
        <v>0.4</v>
      </c>
      <c r="I21" s="21">
        <f t="shared" si="1"/>
        <v>5</v>
      </c>
      <c r="J21" s="21">
        <f t="shared" si="1"/>
        <v>4</v>
      </c>
      <c r="L21" s="1018">
        <f t="shared" si="2"/>
        <v>1.2500000000000001E-2</v>
      </c>
      <c r="M21" s="1018">
        <f t="shared" si="3"/>
        <v>0.625</v>
      </c>
    </row>
    <row r="22" spans="1:13" s="10" customFormat="1" ht="12" customHeight="1" x14ac:dyDescent="0.25">
      <c r="A22" s="180">
        <v>4</v>
      </c>
      <c r="B22" s="20" t="s">
        <v>48</v>
      </c>
      <c r="C22" s="21">
        <v>4.8000000000000001E-2</v>
      </c>
      <c r="D22" s="21">
        <v>0.04</v>
      </c>
      <c r="E22" s="408">
        <f>цены!F38</f>
        <v>50</v>
      </c>
      <c r="F22" s="408">
        <f t="shared" si="4"/>
        <v>2.4</v>
      </c>
      <c r="G22" s="97">
        <f t="shared" si="0"/>
        <v>0.48</v>
      </c>
      <c r="H22" s="21">
        <f t="shared" si="0"/>
        <v>0.4</v>
      </c>
      <c r="I22" s="21">
        <f t="shared" si="1"/>
        <v>4.8</v>
      </c>
      <c r="J22" s="21">
        <f t="shared" si="1"/>
        <v>4</v>
      </c>
      <c r="L22" s="1018">
        <f t="shared" si="2"/>
        <v>1.2E-2</v>
      </c>
      <c r="M22" s="1018">
        <f t="shared" si="3"/>
        <v>0.6</v>
      </c>
    </row>
    <row r="23" spans="1:13" s="10" customFormat="1" ht="12" customHeight="1" x14ac:dyDescent="0.25">
      <c r="A23" s="180">
        <v>5</v>
      </c>
      <c r="B23" s="20" t="s">
        <v>865</v>
      </c>
      <c r="C23" s="21">
        <v>3.3000000000000002E-2</v>
      </c>
      <c r="D23" s="21">
        <v>0.03</v>
      </c>
      <c r="E23" s="408">
        <f>цены!F120</f>
        <v>180</v>
      </c>
      <c r="F23" s="408">
        <f t="shared" si="4"/>
        <v>5.94</v>
      </c>
      <c r="G23" s="97">
        <f t="shared" si="0"/>
        <v>0.33</v>
      </c>
      <c r="H23" s="21">
        <f t="shared" si="0"/>
        <v>0.3</v>
      </c>
      <c r="I23" s="21">
        <f t="shared" si="1"/>
        <v>3.3</v>
      </c>
      <c r="J23" s="21">
        <f t="shared" si="1"/>
        <v>3</v>
      </c>
      <c r="L23" s="1018">
        <f t="shared" si="2"/>
        <v>8.3000000000000001E-3</v>
      </c>
      <c r="M23" s="1018">
        <f t="shared" si="3"/>
        <v>1.4850000000000001</v>
      </c>
    </row>
    <row r="24" spans="1:13" s="10" customFormat="1" ht="12" customHeight="1" x14ac:dyDescent="0.25">
      <c r="A24" s="180">
        <v>6</v>
      </c>
      <c r="B24" s="20" t="s">
        <v>74</v>
      </c>
      <c r="C24" s="21">
        <v>0.02</v>
      </c>
      <c r="D24" s="21">
        <v>0.02</v>
      </c>
      <c r="E24" s="408">
        <f>цены!F87</f>
        <v>120</v>
      </c>
      <c r="F24" s="408">
        <f t="shared" si="4"/>
        <v>2.4</v>
      </c>
      <c r="G24" s="97">
        <f t="shared" si="0"/>
        <v>0.2</v>
      </c>
      <c r="H24" s="21">
        <f t="shared" si="0"/>
        <v>0.2</v>
      </c>
      <c r="I24" s="21">
        <f t="shared" si="1"/>
        <v>2</v>
      </c>
      <c r="J24" s="21">
        <f t="shared" si="1"/>
        <v>2</v>
      </c>
      <c r="L24" s="1018">
        <f t="shared" si="2"/>
        <v>5.0000000000000001E-3</v>
      </c>
      <c r="M24" s="1018">
        <f t="shared" si="3"/>
        <v>0.6</v>
      </c>
    </row>
    <row r="25" spans="1:13" s="10" customFormat="1" ht="12" customHeight="1" x14ac:dyDescent="0.25">
      <c r="A25" s="180">
        <v>7</v>
      </c>
      <c r="B25" s="20" t="s">
        <v>141</v>
      </c>
      <c r="C25" s="21">
        <v>0.75</v>
      </c>
      <c r="D25" s="21">
        <v>0.75</v>
      </c>
      <c r="E25" s="408"/>
      <c r="F25" s="408">
        <f t="shared" si="4"/>
        <v>0</v>
      </c>
      <c r="G25" s="97">
        <f t="shared" si="0"/>
        <v>7.5</v>
      </c>
      <c r="H25" s="21">
        <f t="shared" si="0"/>
        <v>7.5</v>
      </c>
      <c r="I25" s="21">
        <f t="shared" si="1"/>
        <v>75</v>
      </c>
      <c r="J25" s="21">
        <f t="shared" si="1"/>
        <v>75</v>
      </c>
      <c r="L25" s="1018">
        <f t="shared" si="2"/>
        <v>0.1875</v>
      </c>
      <c r="M25" s="1018">
        <f t="shared" si="3"/>
        <v>0</v>
      </c>
    </row>
    <row r="26" spans="1:13" s="10" customFormat="1" ht="12" customHeight="1" x14ac:dyDescent="0.25">
      <c r="A26" s="180">
        <v>8</v>
      </c>
      <c r="B26" s="20" t="s">
        <v>33</v>
      </c>
      <c r="C26" s="21">
        <v>0.01</v>
      </c>
      <c r="D26" s="21">
        <v>0.01</v>
      </c>
      <c r="E26" s="408">
        <f>цены!F110</f>
        <v>24</v>
      </c>
      <c r="F26" s="408">
        <f t="shared" si="4"/>
        <v>0.24</v>
      </c>
      <c r="G26" s="97">
        <f t="shared" si="0"/>
        <v>0.1</v>
      </c>
      <c r="H26" s="21">
        <f t="shared" si="0"/>
        <v>0.1</v>
      </c>
      <c r="I26" s="21">
        <f t="shared" si="1"/>
        <v>1</v>
      </c>
      <c r="J26" s="21">
        <f t="shared" si="1"/>
        <v>1</v>
      </c>
      <c r="L26" s="1018">
        <f t="shared" si="2"/>
        <v>2.5000000000000001E-3</v>
      </c>
      <c r="M26" s="1018">
        <f t="shared" si="3"/>
        <v>0.06</v>
      </c>
    </row>
    <row r="27" spans="1:13" s="10" customFormat="1" ht="12" customHeight="1" x14ac:dyDescent="0.25">
      <c r="A27" s="180">
        <v>9</v>
      </c>
      <c r="B27" s="20" t="s">
        <v>51</v>
      </c>
      <c r="C27" s="21">
        <v>0.02</v>
      </c>
      <c r="D27" s="21">
        <v>0.02</v>
      </c>
      <c r="E27" s="408">
        <f>цены!F24</f>
        <v>234</v>
      </c>
      <c r="F27" s="408">
        <f t="shared" si="4"/>
        <v>4.68</v>
      </c>
      <c r="G27" s="97">
        <f t="shared" si="0"/>
        <v>0.2</v>
      </c>
      <c r="H27" s="21">
        <f t="shared" si="0"/>
        <v>0.2</v>
      </c>
      <c r="I27" s="21">
        <f t="shared" si="1"/>
        <v>2</v>
      </c>
      <c r="J27" s="21">
        <f t="shared" si="1"/>
        <v>2</v>
      </c>
      <c r="L27" s="1018">
        <f t="shared" si="2"/>
        <v>5.0000000000000001E-3</v>
      </c>
      <c r="M27" s="1018">
        <f t="shared" si="3"/>
        <v>1.17</v>
      </c>
    </row>
    <row r="28" spans="1:13" s="10" customFormat="1" ht="12" customHeight="1" x14ac:dyDescent="0.25">
      <c r="A28" s="180">
        <v>10</v>
      </c>
      <c r="B28" s="20" t="s">
        <v>78</v>
      </c>
      <c r="C28" s="21">
        <f>0.002*C34</f>
        <v>8.0000000000000002E-3</v>
      </c>
      <c r="D28" s="21">
        <f>C28</f>
        <v>8.0000000000000002E-3</v>
      </c>
      <c r="E28" s="408">
        <f>цены!F48</f>
        <v>300</v>
      </c>
      <c r="F28" s="408">
        <f t="shared" si="4"/>
        <v>2.4</v>
      </c>
      <c r="G28" s="97">
        <f t="shared" si="0"/>
        <v>0.08</v>
      </c>
      <c r="H28" s="21">
        <f t="shared" si="0"/>
        <v>0.08</v>
      </c>
      <c r="I28" s="21">
        <f t="shared" si="1"/>
        <v>0.8</v>
      </c>
      <c r="J28" s="21">
        <f t="shared" si="1"/>
        <v>0.8</v>
      </c>
      <c r="L28" s="1018">
        <f t="shared" si="2"/>
        <v>2E-3</v>
      </c>
      <c r="M28" s="1018">
        <f t="shared" si="3"/>
        <v>0.6</v>
      </c>
    </row>
    <row r="29" spans="1:13" s="10" customFormat="1" ht="12" customHeight="1" x14ac:dyDescent="0.25">
      <c r="A29" s="180">
        <v>11</v>
      </c>
      <c r="B29" s="20" t="s">
        <v>84</v>
      </c>
      <c r="C29" s="113">
        <v>4.0000000000000003E-5</v>
      </c>
      <c r="D29" s="113">
        <v>4.0000000000000003E-5</v>
      </c>
      <c r="E29" s="408">
        <f>цены!F100</f>
        <v>1000</v>
      </c>
      <c r="F29" s="408">
        <f t="shared" si="4"/>
        <v>0.04</v>
      </c>
      <c r="G29" s="97">
        <f t="shared" si="0"/>
        <v>0</v>
      </c>
      <c r="H29" s="21">
        <f t="shared" si="0"/>
        <v>0</v>
      </c>
      <c r="I29" s="21">
        <f t="shared" si="1"/>
        <v>4.0000000000000001E-3</v>
      </c>
      <c r="J29" s="21">
        <f t="shared" si="1"/>
        <v>4.0000000000000001E-3</v>
      </c>
      <c r="L29" s="1018">
        <f t="shared" si="2"/>
        <v>0</v>
      </c>
      <c r="M29" s="1018">
        <f t="shared" si="3"/>
        <v>0.01</v>
      </c>
    </row>
    <row r="30" spans="1:13" s="10" customFormat="1" ht="12" customHeight="1" x14ac:dyDescent="0.25">
      <c r="A30" s="98"/>
      <c r="B30" s="93" t="s">
        <v>100</v>
      </c>
      <c r="C30" s="114"/>
      <c r="D30" s="100">
        <v>1</v>
      </c>
      <c r="E30" s="95"/>
      <c r="F30" s="95">
        <f>SUM(F19:F29)</f>
        <v>39.25</v>
      </c>
      <c r="G30" s="99"/>
      <c r="H30" s="100">
        <f>D30*10</f>
        <v>10</v>
      </c>
      <c r="I30" s="100"/>
      <c r="J30" s="100">
        <f>D30*100</f>
        <v>100</v>
      </c>
      <c r="L30" s="1018">
        <f>SUM(L19:L29)</f>
        <v>0.3266</v>
      </c>
      <c r="M30" s="1018">
        <f>SUM(M19:M29)</f>
        <v>9.8125</v>
      </c>
    </row>
    <row r="31" spans="1:13" s="10" customFormat="1" ht="27.6" customHeight="1" x14ac:dyDescent="0.25">
      <c r="A31" s="1536" t="s">
        <v>35</v>
      </c>
      <c r="B31" s="1536"/>
      <c r="C31" s="90"/>
      <c r="D31" s="90"/>
      <c r="E31" s="408"/>
      <c r="F31" s="408">
        <f>F30</f>
        <v>39.25</v>
      </c>
      <c r="G31" s="591"/>
      <c r="H31" s="591"/>
      <c r="I31" s="21"/>
      <c r="J31" s="408"/>
    </row>
    <row r="32" spans="1:13" s="10" customFormat="1" ht="25.35" customHeight="1" x14ac:dyDescent="0.25">
      <c r="A32" s="1536" t="s">
        <v>36</v>
      </c>
      <c r="B32" s="1536"/>
      <c r="C32" s="246">
        <v>1000</v>
      </c>
      <c r="D32" s="90"/>
      <c r="E32" s="408"/>
      <c r="F32" s="408"/>
      <c r="G32" s="408"/>
      <c r="H32" s="408"/>
      <c r="I32" s="21"/>
      <c r="J32" s="17"/>
    </row>
    <row r="33" spans="1:10" s="10" customFormat="1" ht="25.35" customHeight="1" x14ac:dyDescent="0.25">
      <c r="A33" s="1537" t="s">
        <v>37</v>
      </c>
      <c r="B33" s="1538"/>
      <c r="C33" s="1027">
        <v>250</v>
      </c>
      <c r="D33" s="92"/>
      <c r="E33" s="592"/>
      <c r="F33" s="592"/>
      <c r="G33" s="592"/>
      <c r="H33" s="592"/>
      <c r="I33" s="21"/>
      <c r="J33" s="17"/>
    </row>
    <row r="34" spans="1:10" s="10" customFormat="1" ht="15" customHeight="1" x14ac:dyDescent="0.25">
      <c r="A34" s="1539" t="s">
        <v>38</v>
      </c>
      <c r="B34" s="1540"/>
      <c r="C34" s="249">
        <f>C32/C33</f>
        <v>4</v>
      </c>
      <c r="D34" s="92"/>
      <c r="E34" s="592"/>
      <c r="F34" s="592"/>
      <c r="G34" s="592"/>
      <c r="H34" s="592"/>
      <c r="I34" s="21"/>
      <c r="J34" s="17"/>
    </row>
    <row r="35" spans="1:10" ht="16.350000000000001" customHeight="1" x14ac:dyDescent="0.25">
      <c r="A35" s="1541" t="s">
        <v>39</v>
      </c>
      <c r="B35" s="1542"/>
      <c r="C35" s="15" t="s">
        <v>40</v>
      </c>
      <c r="D35" s="102"/>
      <c r="E35" s="102" t="s">
        <v>40</v>
      </c>
      <c r="F35" s="16">
        <f>F31/C34</f>
        <v>9.81</v>
      </c>
      <c r="G35" s="16"/>
      <c r="H35" s="16"/>
      <c r="I35" s="102" t="s">
        <v>40</v>
      </c>
      <c r="J35" s="102" t="s">
        <v>40</v>
      </c>
    </row>
    <row r="36" spans="1:10" ht="23.1" customHeight="1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193"/>
      <c r="B37" s="1194" t="s">
        <v>49</v>
      </c>
      <c r="C37" s="1198"/>
      <c r="D37" s="1198"/>
      <c r="E37" s="1198"/>
      <c r="F37" s="1198"/>
      <c r="G37" s="1193"/>
      <c r="H37" s="1556">
        <f>'1-бутерброд с маслом'!$H$28</f>
        <v>0</v>
      </c>
      <c r="I37" s="1556"/>
      <c r="J37" s="1556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545" t="s">
        <v>327</v>
      </c>
      <c r="B39" s="1545"/>
      <c r="C39" s="1546" t="s">
        <v>328</v>
      </c>
      <c r="D39" s="1546"/>
      <c r="E39" s="1546"/>
      <c r="F39" s="1546"/>
      <c r="G39" s="106"/>
      <c r="H39" s="1531"/>
      <c r="I39" s="1531"/>
      <c r="J39" s="1531"/>
    </row>
    <row r="40" spans="1:10" x14ac:dyDescent="0.25">
      <c r="A40" s="1193"/>
      <c r="B40" s="1193"/>
      <c r="C40" s="1546"/>
      <c r="D40" s="1546"/>
      <c r="E40" s="1546"/>
      <c r="F40" s="1546"/>
      <c r="G40" s="1193"/>
      <c r="H40" s="1531" t="s">
        <v>329</v>
      </c>
      <c r="I40" s="1531"/>
      <c r="J40" s="1531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37:J37"/>
    <mergeCell ref="A13:G13"/>
    <mergeCell ref="A32:B32"/>
    <mergeCell ref="A33:B33"/>
    <mergeCell ref="A34:B34"/>
    <mergeCell ref="A35:B35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9:B39"/>
    <mergeCell ref="C39:F40"/>
    <mergeCell ref="H39:J39"/>
    <mergeCell ref="H40:J40"/>
    <mergeCell ref="H5:I5"/>
    <mergeCell ref="A6:G6"/>
    <mergeCell ref="A7:I7"/>
    <mergeCell ref="A31:B31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43"/>
  <sheetViews>
    <sheetView view="pageBreakPreview" topLeftCell="A5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2.4414062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3.88671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67)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70"/>
      <c r="I6" s="170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101</v>
      </c>
    </row>
    <row r="8" spans="1:10" s="2" customFormat="1" ht="9.6" customHeight="1" x14ac:dyDescent="0.25">
      <c r="A8" s="171"/>
      <c r="B8" s="171"/>
      <c r="C8" s="171"/>
      <c r="D8" s="171"/>
      <c r="E8" s="171"/>
      <c r="F8" s="171"/>
      <c r="G8" s="171"/>
      <c r="H8" s="171"/>
      <c r="I8" s="171"/>
      <c r="J8" s="109"/>
    </row>
    <row r="9" spans="1:10" s="2" customFormat="1" ht="26.1" customHeight="1" x14ac:dyDescent="0.3">
      <c r="A9" s="1550" t="s">
        <v>345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'99-суп из овощей'!H14+1</f>
        <v>67</v>
      </c>
      <c r="I14" s="1534">
        <v>44986</v>
      </c>
      <c r="J14" s="1535"/>
    </row>
    <row r="15" spans="1:10" s="2" customFormat="1" ht="11.4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172" t="s">
        <v>92</v>
      </c>
      <c r="D17" s="172" t="s">
        <v>94</v>
      </c>
      <c r="E17" s="172" t="s">
        <v>93</v>
      </c>
      <c r="F17" s="172" t="s">
        <v>23</v>
      </c>
      <c r="G17" s="172" t="s">
        <v>92</v>
      </c>
      <c r="H17" s="172" t="s">
        <v>94</v>
      </c>
      <c r="I17" s="172" t="s">
        <v>92</v>
      </c>
      <c r="J17" s="172" t="s">
        <v>94</v>
      </c>
    </row>
    <row r="18" spans="1:13" ht="9.6" customHeight="1" x14ac:dyDescent="0.25">
      <c r="A18" s="172">
        <v>1</v>
      </c>
      <c r="B18" s="173">
        <v>2</v>
      </c>
      <c r="C18" s="172">
        <v>3</v>
      </c>
      <c r="D18" s="173">
        <v>4</v>
      </c>
      <c r="E18" s="172">
        <v>5</v>
      </c>
      <c r="F18" s="173">
        <v>6</v>
      </c>
      <c r="G18" s="172">
        <v>7</v>
      </c>
      <c r="H18" s="173">
        <v>8</v>
      </c>
      <c r="I18" s="172">
        <v>9</v>
      </c>
      <c r="J18" s="173">
        <v>10</v>
      </c>
    </row>
    <row r="19" spans="1:13" s="10" customFormat="1" ht="14.1" customHeight="1" x14ac:dyDescent="0.25">
      <c r="A19" s="180">
        <v>1</v>
      </c>
      <c r="B19" s="20" t="s">
        <v>50</v>
      </c>
      <c r="C19" s="21">
        <v>0.4</v>
      </c>
      <c r="D19" s="21">
        <v>0.3</v>
      </c>
      <c r="E19" s="13">
        <f>цены!F35</f>
        <v>50</v>
      </c>
      <c r="F19" s="13">
        <f>C19*E19</f>
        <v>20</v>
      </c>
      <c r="G19" s="97">
        <f t="shared" ref="G19:H28" si="0">C19*10</f>
        <v>4</v>
      </c>
      <c r="H19" s="21">
        <f t="shared" si="0"/>
        <v>3</v>
      </c>
      <c r="I19" s="21">
        <f t="shared" ref="I19:J28" si="1">C19*100</f>
        <v>40</v>
      </c>
      <c r="J19" s="21">
        <f t="shared" si="1"/>
        <v>30</v>
      </c>
      <c r="L19" s="1018">
        <f>C19/C$33</f>
        <v>0.1</v>
      </c>
      <c r="M19" s="1018">
        <f>F19/C$33</f>
        <v>5</v>
      </c>
    </row>
    <row r="20" spans="1:13" s="10" customFormat="1" ht="12" customHeight="1" x14ac:dyDescent="0.25">
      <c r="A20" s="180">
        <v>2</v>
      </c>
      <c r="B20" s="20" t="s">
        <v>340</v>
      </c>
      <c r="C20" s="21">
        <v>0.04</v>
      </c>
      <c r="D20" s="21">
        <v>0.04</v>
      </c>
      <c r="E20" s="13">
        <f>цены!F77</f>
        <v>40</v>
      </c>
      <c r="F20" s="13">
        <f>C20*E20</f>
        <v>1.6</v>
      </c>
      <c r="G20" s="97">
        <f t="shared" si="0"/>
        <v>0.4</v>
      </c>
      <c r="H20" s="21">
        <f t="shared" si="0"/>
        <v>0.4</v>
      </c>
      <c r="I20" s="21">
        <f t="shared" si="1"/>
        <v>4</v>
      </c>
      <c r="J20" s="21">
        <f t="shared" si="1"/>
        <v>4</v>
      </c>
      <c r="L20" s="1018">
        <f t="shared" ref="L20:L28" si="2">C20/C$33</f>
        <v>0.01</v>
      </c>
      <c r="M20" s="1018">
        <f t="shared" ref="M20:M28" si="3">F20/C$33</f>
        <v>0.4</v>
      </c>
    </row>
    <row r="21" spans="1:13" s="10" customFormat="1" ht="12" customHeight="1" x14ac:dyDescent="0.25">
      <c r="A21" s="180">
        <v>3</v>
      </c>
      <c r="B21" s="20" t="s">
        <v>47</v>
      </c>
      <c r="C21" s="21">
        <v>0.05</v>
      </c>
      <c r="D21" s="21">
        <v>0.04</v>
      </c>
      <c r="E21" s="13">
        <f>цены!F44</f>
        <v>50</v>
      </c>
      <c r="F21" s="13">
        <f t="shared" ref="F21:F28" si="4">C21*E21</f>
        <v>2.5</v>
      </c>
      <c r="G21" s="97">
        <f t="shared" si="0"/>
        <v>0.5</v>
      </c>
      <c r="H21" s="21">
        <f t="shared" si="0"/>
        <v>0.4</v>
      </c>
      <c r="I21" s="21">
        <f t="shared" si="1"/>
        <v>5</v>
      </c>
      <c r="J21" s="21">
        <f t="shared" si="1"/>
        <v>4</v>
      </c>
      <c r="L21" s="1018">
        <f t="shared" si="2"/>
        <v>1.2500000000000001E-2</v>
      </c>
      <c r="M21" s="1018">
        <f t="shared" si="3"/>
        <v>0.625</v>
      </c>
    </row>
    <row r="22" spans="1:13" s="10" customFormat="1" ht="12" customHeight="1" x14ac:dyDescent="0.25">
      <c r="A22" s="180">
        <v>4</v>
      </c>
      <c r="B22" s="20" t="s">
        <v>48</v>
      </c>
      <c r="C22" s="21">
        <v>4.8000000000000001E-2</v>
      </c>
      <c r="D22" s="21">
        <v>0.04</v>
      </c>
      <c r="E22" s="13">
        <f>цены!F38</f>
        <v>50</v>
      </c>
      <c r="F22" s="13">
        <f t="shared" si="4"/>
        <v>2.4</v>
      </c>
      <c r="G22" s="97">
        <f t="shared" si="0"/>
        <v>0.48</v>
      </c>
      <c r="H22" s="21">
        <f t="shared" si="0"/>
        <v>0.4</v>
      </c>
      <c r="I22" s="21">
        <f t="shared" si="1"/>
        <v>4.8</v>
      </c>
      <c r="J22" s="21">
        <f t="shared" si="1"/>
        <v>4</v>
      </c>
      <c r="L22" s="1018">
        <f t="shared" si="2"/>
        <v>1.2E-2</v>
      </c>
      <c r="M22" s="1018">
        <f t="shared" si="3"/>
        <v>0.6</v>
      </c>
    </row>
    <row r="23" spans="1:13" s="10" customFormat="1" ht="12" customHeight="1" x14ac:dyDescent="0.25">
      <c r="A23" s="180">
        <v>5</v>
      </c>
      <c r="B23" s="20" t="s">
        <v>74</v>
      </c>
      <c r="C23" s="21">
        <v>0.01</v>
      </c>
      <c r="D23" s="21">
        <v>0.01</v>
      </c>
      <c r="E23" s="13">
        <f>цены!F87</f>
        <v>120</v>
      </c>
      <c r="F23" s="13">
        <f t="shared" si="4"/>
        <v>1.2</v>
      </c>
      <c r="G23" s="97">
        <f t="shared" si="0"/>
        <v>0.1</v>
      </c>
      <c r="H23" s="21">
        <f t="shared" si="0"/>
        <v>0.1</v>
      </c>
      <c r="I23" s="21">
        <f t="shared" si="1"/>
        <v>1</v>
      </c>
      <c r="J23" s="21">
        <f t="shared" si="1"/>
        <v>1</v>
      </c>
      <c r="L23" s="1018">
        <f t="shared" si="2"/>
        <v>2.5000000000000001E-3</v>
      </c>
      <c r="M23" s="1018">
        <f t="shared" si="3"/>
        <v>0.3</v>
      </c>
    </row>
    <row r="24" spans="1:13" s="10" customFormat="1" ht="12" customHeight="1" x14ac:dyDescent="0.25">
      <c r="A24" s="180">
        <v>6</v>
      </c>
      <c r="B24" s="20" t="s">
        <v>141</v>
      </c>
      <c r="C24" s="21">
        <v>0.7</v>
      </c>
      <c r="D24" s="21">
        <v>0.7</v>
      </c>
      <c r="E24" s="13"/>
      <c r="F24" s="13">
        <f t="shared" si="4"/>
        <v>0</v>
      </c>
      <c r="G24" s="97">
        <f t="shared" si="0"/>
        <v>7</v>
      </c>
      <c r="H24" s="21">
        <f t="shared" si="0"/>
        <v>7</v>
      </c>
      <c r="I24" s="21">
        <f t="shared" si="1"/>
        <v>70</v>
      </c>
      <c r="J24" s="21">
        <f t="shared" si="1"/>
        <v>70</v>
      </c>
      <c r="L24" s="1018">
        <f t="shared" si="2"/>
        <v>0.17499999999999999</v>
      </c>
      <c r="M24" s="1018">
        <f t="shared" si="3"/>
        <v>0</v>
      </c>
    </row>
    <row r="25" spans="1:13" s="10" customFormat="1" ht="12" customHeight="1" x14ac:dyDescent="0.25">
      <c r="A25" s="180">
        <v>7</v>
      </c>
      <c r="B25" s="20" t="s">
        <v>84</v>
      </c>
      <c r="C25" s="113">
        <v>4.0000000000000003E-5</v>
      </c>
      <c r="D25" s="113">
        <v>4.0000000000000003E-5</v>
      </c>
      <c r="E25" s="13">
        <f>цены!F100</f>
        <v>1000</v>
      </c>
      <c r="F25" s="13">
        <f t="shared" si="4"/>
        <v>0.04</v>
      </c>
      <c r="G25" s="97">
        <f t="shared" si="0"/>
        <v>0</v>
      </c>
      <c r="H25" s="21">
        <f t="shared" si="0"/>
        <v>0</v>
      </c>
      <c r="I25" s="21">
        <f t="shared" si="1"/>
        <v>4.0000000000000001E-3</v>
      </c>
      <c r="J25" s="21">
        <f t="shared" si="1"/>
        <v>4.0000000000000001E-3</v>
      </c>
      <c r="L25" s="1018">
        <f t="shared" si="2"/>
        <v>0</v>
      </c>
      <c r="M25" s="1018">
        <f t="shared" si="3"/>
        <v>0.01</v>
      </c>
    </row>
    <row r="26" spans="1:13" s="10" customFormat="1" ht="12" customHeight="1" x14ac:dyDescent="0.25">
      <c r="A26" s="180">
        <v>8</v>
      </c>
      <c r="B26" s="20" t="s">
        <v>33</v>
      </c>
      <c r="C26" s="21">
        <v>0.01</v>
      </c>
      <c r="D26" s="21">
        <v>0.01</v>
      </c>
      <c r="E26" s="13">
        <f>цены!F110</f>
        <v>24</v>
      </c>
      <c r="F26" s="13">
        <f t="shared" si="4"/>
        <v>0.24</v>
      </c>
      <c r="G26" s="97">
        <f t="shared" si="0"/>
        <v>0.1</v>
      </c>
      <c r="H26" s="21">
        <f t="shared" si="0"/>
        <v>0.1</v>
      </c>
      <c r="I26" s="21">
        <f t="shared" si="1"/>
        <v>1</v>
      </c>
      <c r="J26" s="21">
        <f t="shared" si="1"/>
        <v>1</v>
      </c>
      <c r="L26" s="1018">
        <f t="shared" si="2"/>
        <v>2.5000000000000001E-3</v>
      </c>
      <c r="M26" s="1018">
        <f t="shared" si="3"/>
        <v>0.06</v>
      </c>
    </row>
    <row r="27" spans="1:13" s="10" customFormat="1" ht="12" customHeight="1" x14ac:dyDescent="0.25">
      <c r="A27" s="180">
        <v>9</v>
      </c>
      <c r="B27" s="20" t="s">
        <v>51</v>
      </c>
      <c r="C27" s="21">
        <v>0.02</v>
      </c>
      <c r="D27" s="21">
        <v>0.02</v>
      </c>
      <c r="E27" s="13">
        <f>цены!F24</f>
        <v>234</v>
      </c>
      <c r="F27" s="13">
        <f t="shared" si="4"/>
        <v>4.68</v>
      </c>
      <c r="G27" s="97">
        <f t="shared" si="0"/>
        <v>0.2</v>
      </c>
      <c r="H27" s="21">
        <f t="shared" si="0"/>
        <v>0.2</v>
      </c>
      <c r="I27" s="21">
        <f t="shared" si="1"/>
        <v>2</v>
      </c>
      <c r="J27" s="21">
        <f t="shared" si="1"/>
        <v>2</v>
      </c>
      <c r="L27" s="1018">
        <f t="shared" si="2"/>
        <v>5.0000000000000001E-3</v>
      </c>
      <c r="M27" s="1018">
        <f t="shared" si="3"/>
        <v>1.17</v>
      </c>
    </row>
    <row r="28" spans="1:13" s="10" customFormat="1" ht="12" customHeight="1" x14ac:dyDescent="0.25">
      <c r="A28" s="180">
        <v>10</v>
      </c>
      <c r="B28" s="20" t="s">
        <v>78</v>
      </c>
      <c r="C28" s="21">
        <f>0.002*C33</f>
        <v>8.0000000000000002E-3</v>
      </c>
      <c r="D28" s="21">
        <f>0.002*C33</f>
        <v>8.0000000000000002E-3</v>
      </c>
      <c r="E28" s="13">
        <f>цены!F48</f>
        <v>300</v>
      </c>
      <c r="F28" s="13">
        <f t="shared" si="4"/>
        <v>2.4</v>
      </c>
      <c r="G28" s="97">
        <f t="shared" si="0"/>
        <v>0.08</v>
      </c>
      <c r="H28" s="21">
        <f t="shared" si="0"/>
        <v>0.08</v>
      </c>
      <c r="I28" s="21">
        <f t="shared" si="1"/>
        <v>0.8</v>
      </c>
      <c r="J28" s="21">
        <f t="shared" si="1"/>
        <v>0.8</v>
      </c>
      <c r="L28" s="1018">
        <f t="shared" si="2"/>
        <v>2E-3</v>
      </c>
      <c r="M28" s="1018">
        <f t="shared" si="3"/>
        <v>0.6</v>
      </c>
    </row>
    <row r="29" spans="1:13" s="10" customFormat="1" ht="12" customHeight="1" x14ac:dyDescent="0.25">
      <c r="A29" s="98"/>
      <c r="B29" s="93" t="s">
        <v>100</v>
      </c>
      <c r="C29" s="114"/>
      <c r="D29" s="100">
        <v>1</v>
      </c>
      <c r="E29" s="95"/>
      <c r="F29" s="95">
        <f>SUM(F19:F28)</f>
        <v>35.06</v>
      </c>
      <c r="G29" s="99"/>
      <c r="H29" s="100">
        <f>D29*10</f>
        <v>10</v>
      </c>
      <c r="I29" s="100"/>
      <c r="J29" s="100">
        <f>D29*100</f>
        <v>100</v>
      </c>
      <c r="L29" s="1018">
        <f>SUM(L19:L28)</f>
        <v>0.32150000000000001</v>
      </c>
      <c r="M29" s="1018">
        <f>SUM(M19:M28)</f>
        <v>8.7650000000000006</v>
      </c>
    </row>
    <row r="30" spans="1:13" s="10" customFormat="1" ht="27.6" customHeight="1" x14ac:dyDescent="0.25">
      <c r="A30" s="1536" t="s">
        <v>35</v>
      </c>
      <c r="B30" s="1536"/>
      <c r="C30" s="90"/>
      <c r="D30" s="90"/>
      <c r="E30" s="13"/>
      <c r="F30" s="13">
        <f>F29</f>
        <v>35.06</v>
      </c>
      <c r="G30" s="174"/>
      <c r="H30" s="174"/>
      <c r="I30" s="21"/>
      <c r="J30" s="13"/>
    </row>
    <row r="31" spans="1:13" s="10" customFormat="1" ht="25.35" customHeight="1" x14ac:dyDescent="0.25">
      <c r="A31" s="1536" t="s">
        <v>36</v>
      </c>
      <c r="B31" s="1536"/>
      <c r="C31" s="90">
        <v>1000</v>
      </c>
      <c r="D31" s="90"/>
      <c r="E31" s="13"/>
      <c r="F31" s="13"/>
      <c r="G31" s="13"/>
      <c r="H31" s="13"/>
      <c r="I31" s="21"/>
      <c r="J31" s="17"/>
    </row>
    <row r="32" spans="1:13" s="10" customFormat="1" ht="25.35" customHeight="1" x14ac:dyDescent="0.25">
      <c r="A32" s="1537" t="s">
        <v>37</v>
      </c>
      <c r="B32" s="1538"/>
      <c r="C32" s="91">
        <v>250</v>
      </c>
      <c r="D32" s="92"/>
      <c r="E32" s="173"/>
      <c r="F32" s="173"/>
      <c r="G32" s="173"/>
      <c r="H32" s="173"/>
      <c r="I32" s="21"/>
      <c r="J32" s="17"/>
    </row>
    <row r="33" spans="1:10" s="10" customFormat="1" ht="15" customHeight="1" x14ac:dyDescent="0.25">
      <c r="A33" s="1539" t="s">
        <v>38</v>
      </c>
      <c r="B33" s="1540"/>
      <c r="C33" s="92">
        <f>C31/C32</f>
        <v>4</v>
      </c>
      <c r="D33" s="92"/>
      <c r="E33" s="173"/>
      <c r="F33" s="173"/>
      <c r="G33" s="173"/>
      <c r="H33" s="173"/>
      <c r="I33" s="21"/>
      <c r="J33" s="17"/>
    </row>
    <row r="34" spans="1:10" ht="16.350000000000001" customHeight="1" x14ac:dyDescent="0.25">
      <c r="A34" s="1541" t="s">
        <v>39</v>
      </c>
      <c r="B34" s="1542"/>
      <c r="C34" s="15" t="s">
        <v>40</v>
      </c>
      <c r="D34" s="102"/>
      <c r="E34" s="102" t="s">
        <v>40</v>
      </c>
      <c r="F34" s="16">
        <f>F30/C33</f>
        <v>8.77</v>
      </c>
      <c r="G34" s="16"/>
      <c r="H34" s="16"/>
      <c r="I34" s="102" t="s">
        <v>40</v>
      </c>
      <c r="J34" s="102" t="s">
        <v>40</v>
      </c>
    </row>
    <row r="35" spans="1:10" ht="23.1" customHeight="1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193"/>
      <c r="B36" s="1194" t="s">
        <v>49</v>
      </c>
      <c r="C36" s="1198"/>
      <c r="D36" s="1198"/>
      <c r="E36" s="1198"/>
      <c r="F36" s="1198"/>
      <c r="G36" s="1193"/>
      <c r="H36" s="1556">
        <f>'1-бутерброд с маслом'!$H$28</f>
        <v>0</v>
      </c>
      <c r="I36" s="1556"/>
      <c r="J36" s="1556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545" t="s">
        <v>327</v>
      </c>
      <c r="B38" s="1545"/>
      <c r="C38" s="1546" t="s">
        <v>328</v>
      </c>
      <c r="D38" s="1546"/>
      <c r="E38" s="1546"/>
      <c r="F38" s="1546"/>
      <c r="G38" s="106"/>
      <c r="H38" s="1531"/>
      <c r="I38" s="1531"/>
      <c r="J38" s="1531"/>
    </row>
    <row r="39" spans="1:10" x14ac:dyDescent="0.25">
      <c r="A39" s="1193"/>
      <c r="B39" s="1193"/>
      <c r="C39" s="1546"/>
      <c r="D39" s="1546"/>
      <c r="E39" s="1546"/>
      <c r="F39" s="1546"/>
      <c r="G39" s="1193"/>
      <c r="H39" s="1531" t="s">
        <v>329</v>
      </c>
      <c r="I39" s="1531"/>
      <c r="J39" s="1531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8:B38"/>
    <mergeCell ref="C38:F39"/>
    <mergeCell ref="H38:J38"/>
    <mergeCell ref="H39:J39"/>
    <mergeCell ref="A31:B31"/>
    <mergeCell ref="A32:B32"/>
    <mergeCell ref="A33:B33"/>
    <mergeCell ref="A34:B34"/>
    <mergeCell ref="H36:J36"/>
    <mergeCell ref="A30:B30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43"/>
  <sheetViews>
    <sheetView view="pageBreakPreview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589" customWidth="1"/>
    <col min="2" max="2" width="22.44140625" style="589" customWidth="1"/>
    <col min="3" max="7" width="7.5546875" style="589" customWidth="1"/>
    <col min="8" max="8" width="8.88671875" style="589" customWidth="1"/>
    <col min="9" max="9" width="7.5546875" style="589" customWidth="1"/>
    <col min="10" max="10" width="9" style="589" customWidth="1"/>
    <col min="11" max="11" width="4" style="589" customWidth="1"/>
    <col min="12" max="16384" width="8.88671875" style="58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68)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s="2" customFormat="1" ht="19.350000000000001" customHeight="1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20.399999999999999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101</v>
      </c>
    </row>
    <row r="8" spans="1:10" s="2" customFormat="1" ht="9.6" customHeight="1" x14ac:dyDescent="0.25">
      <c r="A8" s="594"/>
      <c r="B8" s="594"/>
      <c r="C8" s="594"/>
      <c r="D8" s="594"/>
      <c r="E8" s="594"/>
      <c r="F8" s="594"/>
      <c r="G8" s="594"/>
      <c r="H8" s="594"/>
      <c r="I8" s="594"/>
      <c r="J8" s="109"/>
    </row>
    <row r="9" spans="1:10" s="2" customFormat="1" ht="26.1" customHeight="1" x14ac:dyDescent="0.3">
      <c r="A9" s="1550" t="s">
        <v>866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'101-суп картофельный с перлов.'!H14+1</f>
        <v>68</v>
      </c>
      <c r="I14" s="1534">
        <v>44986</v>
      </c>
      <c r="J14" s="1535"/>
    </row>
    <row r="15" spans="1:10" s="2" customFormat="1" ht="11.4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590" t="s">
        <v>92</v>
      </c>
      <c r="D17" s="590" t="s">
        <v>94</v>
      </c>
      <c r="E17" s="590" t="s">
        <v>93</v>
      </c>
      <c r="F17" s="590" t="s">
        <v>23</v>
      </c>
      <c r="G17" s="590" t="s">
        <v>92</v>
      </c>
      <c r="H17" s="590" t="s">
        <v>94</v>
      </c>
      <c r="I17" s="590" t="s">
        <v>92</v>
      </c>
      <c r="J17" s="590" t="s">
        <v>94</v>
      </c>
    </row>
    <row r="18" spans="1:13" ht="9.6" customHeight="1" x14ac:dyDescent="0.25">
      <c r="A18" s="590">
        <v>1</v>
      </c>
      <c r="B18" s="592">
        <v>2</v>
      </c>
      <c r="C18" s="590">
        <v>3</v>
      </c>
      <c r="D18" s="592">
        <v>4</v>
      </c>
      <c r="E18" s="590">
        <v>5</v>
      </c>
      <c r="F18" s="592">
        <v>6</v>
      </c>
      <c r="G18" s="590">
        <v>7</v>
      </c>
      <c r="H18" s="592">
        <v>8</v>
      </c>
      <c r="I18" s="590">
        <v>9</v>
      </c>
      <c r="J18" s="592">
        <v>10</v>
      </c>
    </row>
    <row r="19" spans="1:13" s="10" customFormat="1" ht="14.1" customHeight="1" x14ac:dyDescent="0.25">
      <c r="A19" s="180">
        <v>1</v>
      </c>
      <c r="B19" s="20" t="s">
        <v>50</v>
      </c>
      <c r="C19" s="21">
        <v>0.4</v>
      </c>
      <c r="D19" s="21">
        <v>0.3</v>
      </c>
      <c r="E19" s="408">
        <f>цены!F35</f>
        <v>50</v>
      </c>
      <c r="F19" s="408">
        <f>C19*E19</f>
        <v>20</v>
      </c>
      <c r="G19" s="97">
        <f t="shared" ref="G19:H28" si="0">C19*10</f>
        <v>4</v>
      </c>
      <c r="H19" s="21">
        <f t="shared" si="0"/>
        <v>3</v>
      </c>
      <c r="I19" s="21">
        <f t="shared" ref="I19:J28" si="1">C19*100</f>
        <v>40</v>
      </c>
      <c r="J19" s="21">
        <f t="shared" si="1"/>
        <v>30</v>
      </c>
      <c r="L19" s="1018">
        <f>C19/C$33</f>
        <v>0.1</v>
      </c>
      <c r="M19" s="1018">
        <f>F19/C$33</f>
        <v>5</v>
      </c>
    </row>
    <row r="20" spans="1:13" s="10" customFormat="1" ht="12" customHeight="1" x14ac:dyDescent="0.25">
      <c r="A20" s="180">
        <v>2</v>
      </c>
      <c r="B20" s="20" t="s">
        <v>379</v>
      </c>
      <c r="C20" s="21">
        <v>0.02</v>
      </c>
      <c r="D20" s="21">
        <v>0.02</v>
      </c>
      <c r="E20" s="408">
        <f>цены!F82</f>
        <v>60</v>
      </c>
      <c r="F20" s="408">
        <f>C20*E20</f>
        <v>1.2</v>
      </c>
      <c r="G20" s="97">
        <f t="shared" si="0"/>
        <v>0.2</v>
      </c>
      <c r="H20" s="21">
        <f t="shared" si="0"/>
        <v>0.2</v>
      </c>
      <c r="I20" s="21">
        <f t="shared" si="1"/>
        <v>2</v>
      </c>
      <c r="J20" s="21">
        <f t="shared" si="1"/>
        <v>2</v>
      </c>
      <c r="L20" s="1018">
        <f t="shared" ref="L20:L28" si="2">C20/C$33</f>
        <v>5.0000000000000001E-3</v>
      </c>
      <c r="M20" s="1018">
        <f t="shared" ref="M20:M28" si="3">F20/C$33</f>
        <v>0.3</v>
      </c>
    </row>
    <row r="21" spans="1:13" s="10" customFormat="1" ht="12" customHeight="1" x14ac:dyDescent="0.25">
      <c r="A21" s="180">
        <v>3</v>
      </c>
      <c r="B21" s="20" t="s">
        <v>47</v>
      </c>
      <c r="C21" s="21">
        <v>0.05</v>
      </c>
      <c r="D21" s="21">
        <v>0.04</v>
      </c>
      <c r="E21" s="408">
        <f>цены!F44</f>
        <v>50</v>
      </c>
      <c r="F21" s="408">
        <f t="shared" ref="F21:F28" si="4">C21*E21</f>
        <v>2.5</v>
      </c>
      <c r="G21" s="97">
        <f t="shared" si="0"/>
        <v>0.5</v>
      </c>
      <c r="H21" s="21">
        <f t="shared" si="0"/>
        <v>0.4</v>
      </c>
      <c r="I21" s="21">
        <f t="shared" si="1"/>
        <v>5</v>
      </c>
      <c r="J21" s="21">
        <f t="shared" si="1"/>
        <v>4</v>
      </c>
      <c r="L21" s="1018">
        <f t="shared" si="2"/>
        <v>1.2500000000000001E-2</v>
      </c>
      <c r="M21" s="1018">
        <f t="shared" si="3"/>
        <v>0.625</v>
      </c>
    </row>
    <row r="22" spans="1:13" s="10" customFormat="1" ht="12" customHeight="1" x14ac:dyDescent="0.25">
      <c r="A22" s="180">
        <v>4</v>
      </c>
      <c r="B22" s="20" t="s">
        <v>48</v>
      </c>
      <c r="C22" s="21">
        <v>4.8000000000000001E-2</v>
      </c>
      <c r="D22" s="21">
        <v>0.04</v>
      </c>
      <c r="E22" s="408">
        <f>цены!F38</f>
        <v>50</v>
      </c>
      <c r="F22" s="408">
        <f t="shared" si="4"/>
        <v>2.4</v>
      </c>
      <c r="G22" s="97">
        <f t="shared" si="0"/>
        <v>0.48</v>
      </c>
      <c r="H22" s="21">
        <f t="shared" si="0"/>
        <v>0.4</v>
      </c>
      <c r="I22" s="21">
        <f t="shared" si="1"/>
        <v>4.8</v>
      </c>
      <c r="J22" s="21">
        <f t="shared" si="1"/>
        <v>4</v>
      </c>
      <c r="L22" s="1018">
        <f t="shared" si="2"/>
        <v>1.2E-2</v>
      </c>
      <c r="M22" s="1018">
        <f t="shared" si="3"/>
        <v>0.6</v>
      </c>
    </row>
    <row r="23" spans="1:13" s="10" customFormat="1" ht="12" customHeight="1" x14ac:dyDescent="0.25">
      <c r="A23" s="180">
        <v>5</v>
      </c>
      <c r="B23" s="20" t="s">
        <v>74</v>
      </c>
      <c r="C23" s="21">
        <v>0.01</v>
      </c>
      <c r="D23" s="21">
        <v>0.01</v>
      </c>
      <c r="E23" s="408">
        <f>цены!F87</f>
        <v>120</v>
      </c>
      <c r="F23" s="408">
        <f t="shared" si="4"/>
        <v>1.2</v>
      </c>
      <c r="G23" s="97">
        <f t="shared" si="0"/>
        <v>0.1</v>
      </c>
      <c r="H23" s="21">
        <f t="shared" si="0"/>
        <v>0.1</v>
      </c>
      <c r="I23" s="21">
        <f t="shared" si="1"/>
        <v>1</v>
      </c>
      <c r="J23" s="21">
        <f t="shared" si="1"/>
        <v>1</v>
      </c>
      <c r="L23" s="1018">
        <f t="shared" si="2"/>
        <v>2.5000000000000001E-3</v>
      </c>
      <c r="M23" s="1018">
        <f t="shared" si="3"/>
        <v>0.3</v>
      </c>
    </row>
    <row r="24" spans="1:13" s="10" customFormat="1" ht="12" customHeight="1" x14ac:dyDescent="0.25">
      <c r="A24" s="180">
        <v>6</v>
      </c>
      <c r="B24" s="20" t="s">
        <v>141</v>
      </c>
      <c r="C24" s="21">
        <v>0.7</v>
      </c>
      <c r="D24" s="21">
        <v>0.7</v>
      </c>
      <c r="E24" s="408"/>
      <c r="F24" s="408">
        <f t="shared" si="4"/>
        <v>0</v>
      </c>
      <c r="G24" s="97">
        <f t="shared" si="0"/>
        <v>7</v>
      </c>
      <c r="H24" s="21">
        <f t="shared" si="0"/>
        <v>7</v>
      </c>
      <c r="I24" s="21">
        <f t="shared" si="1"/>
        <v>70</v>
      </c>
      <c r="J24" s="21">
        <f t="shared" si="1"/>
        <v>70</v>
      </c>
      <c r="L24" s="1018">
        <f t="shared" si="2"/>
        <v>0.17499999999999999</v>
      </c>
      <c r="M24" s="1018">
        <f t="shared" si="3"/>
        <v>0</v>
      </c>
    </row>
    <row r="25" spans="1:13" s="10" customFormat="1" ht="12" customHeight="1" x14ac:dyDescent="0.25">
      <c r="A25" s="180">
        <v>7</v>
      </c>
      <c r="B25" s="20" t="s">
        <v>84</v>
      </c>
      <c r="C25" s="113">
        <v>4.0000000000000003E-5</v>
      </c>
      <c r="D25" s="113">
        <v>4.0000000000000003E-5</v>
      </c>
      <c r="E25" s="408">
        <f>цены!F100</f>
        <v>1000</v>
      </c>
      <c r="F25" s="408">
        <f t="shared" si="4"/>
        <v>0.04</v>
      </c>
      <c r="G25" s="97">
        <f t="shared" si="0"/>
        <v>0</v>
      </c>
      <c r="H25" s="21">
        <f t="shared" si="0"/>
        <v>0</v>
      </c>
      <c r="I25" s="21">
        <f t="shared" si="1"/>
        <v>4.0000000000000001E-3</v>
      </c>
      <c r="J25" s="21">
        <f t="shared" si="1"/>
        <v>4.0000000000000001E-3</v>
      </c>
      <c r="L25" s="1018">
        <f t="shared" si="2"/>
        <v>0</v>
      </c>
      <c r="M25" s="1018">
        <f t="shared" si="3"/>
        <v>0.01</v>
      </c>
    </row>
    <row r="26" spans="1:13" s="10" customFormat="1" ht="12" customHeight="1" x14ac:dyDescent="0.25">
      <c r="A26" s="180">
        <v>8</v>
      </c>
      <c r="B26" s="20" t="s">
        <v>33</v>
      </c>
      <c r="C26" s="21">
        <v>0.01</v>
      </c>
      <c r="D26" s="21">
        <v>0.01</v>
      </c>
      <c r="E26" s="408">
        <f>цены!F110</f>
        <v>24</v>
      </c>
      <c r="F26" s="408">
        <f t="shared" si="4"/>
        <v>0.24</v>
      </c>
      <c r="G26" s="97">
        <f t="shared" si="0"/>
        <v>0.1</v>
      </c>
      <c r="H26" s="21">
        <f t="shared" si="0"/>
        <v>0.1</v>
      </c>
      <c r="I26" s="21">
        <f t="shared" si="1"/>
        <v>1</v>
      </c>
      <c r="J26" s="21">
        <f t="shared" si="1"/>
        <v>1</v>
      </c>
      <c r="L26" s="1018">
        <f t="shared" si="2"/>
        <v>2.5000000000000001E-3</v>
      </c>
      <c r="M26" s="1018">
        <f t="shared" si="3"/>
        <v>0.06</v>
      </c>
    </row>
    <row r="27" spans="1:13" s="10" customFormat="1" ht="12" customHeight="1" x14ac:dyDescent="0.25">
      <c r="A27" s="180">
        <v>9</v>
      </c>
      <c r="B27" s="20" t="s">
        <v>51</v>
      </c>
      <c r="C27" s="21">
        <v>0.02</v>
      </c>
      <c r="D27" s="21">
        <v>0.02</v>
      </c>
      <c r="E27" s="408">
        <f>цены!F24</f>
        <v>234</v>
      </c>
      <c r="F27" s="408">
        <f t="shared" si="4"/>
        <v>4.68</v>
      </c>
      <c r="G27" s="97">
        <f t="shared" si="0"/>
        <v>0.2</v>
      </c>
      <c r="H27" s="21">
        <f t="shared" si="0"/>
        <v>0.2</v>
      </c>
      <c r="I27" s="21">
        <f t="shared" si="1"/>
        <v>2</v>
      </c>
      <c r="J27" s="21">
        <f t="shared" si="1"/>
        <v>2</v>
      </c>
      <c r="L27" s="1018">
        <f t="shared" si="2"/>
        <v>5.0000000000000001E-3</v>
      </c>
      <c r="M27" s="1018">
        <f t="shared" si="3"/>
        <v>1.17</v>
      </c>
    </row>
    <row r="28" spans="1:13" s="10" customFormat="1" ht="12" customHeight="1" x14ac:dyDescent="0.25">
      <c r="A28" s="180">
        <v>10</v>
      </c>
      <c r="B28" s="20" t="s">
        <v>78</v>
      </c>
      <c r="C28" s="21">
        <f>0.002*C33</f>
        <v>8.0000000000000002E-3</v>
      </c>
      <c r="D28" s="21">
        <f>0.002*C33</f>
        <v>8.0000000000000002E-3</v>
      </c>
      <c r="E28" s="408">
        <f>цены!F48</f>
        <v>300</v>
      </c>
      <c r="F28" s="408">
        <f t="shared" si="4"/>
        <v>2.4</v>
      </c>
      <c r="G28" s="97">
        <f t="shared" si="0"/>
        <v>0.08</v>
      </c>
      <c r="H28" s="21">
        <f t="shared" si="0"/>
        <v>0.08</v>
      </c>
      <c r="I28" s="21">
        <f t="shared" si="1"/>
        <v>0.8</v>
      </c>
      <c r="J28" s="21">
        <f t="shared" si="1"/>
        <v>0.8</v>
      </c>
      <c r="L28" s="1018">
        <f t="shared" si="2"/>
        <v>2E-3</v>
      </c>
      <c r="M28" s="1018">
        <f t="shared" si="3"/>
        <v>0.6</v>
      </c>
    </row>
    <row r="29" spans="1:13" s="10" customFormat="1" ht="12" customHeight="1" x14ac:dyDescent="0.25">
      <c r="A29" s="98"/>
      <c r="B29" s="93" t="s">
        <v>100</v>
      </c>
      <c r="C29" s="114"/>
      <c r="D29" s="100">
        <v>1</v>
      </c>
      <c r="E29" s="95"/>
      <c r="F29" s="95">
        <f>SUM(F19:F28)</f>
        <v>34.659999999999997</v>
      </c>
      <c r="G29" s="99"/>
      <c r="H29" s="100">
        <f>D29*10</f>
        <v>10</v>
      </c>
      <c r="I29" s="100"/>
      <c r="J29" s="100">
        <f>D29*100</f>
        <v>100</v>
      </c>
      <c r="L29" s="1018">
        <f>SUM(L19:L28)</f>
        <v>0.3165</v>
      </c>
      <c r="M29" s="1018">
        <f>SUM(M19:M28)</f>
        <v>8.6649999999999991</v>
      </c>
    </row>
    <row r="30" spans="1:13" s="10" customFormat="1" ht="27.6" customHeight="1" x14ac:dyDescent="0.25">
      <c r="A30" s="1536" t="s">
        <v>35</v>
      </c>
      <c r="B30" s="1536"/>
      <c r="C30" s="90"/>
      <c r="D30" s="90"/>
      <c r="E30" s="408"/>
      <c r="F30" s="408">
        <f>F29</f>
        <v>34.659999999999997</v>
      </c>
      <c r="G30" s="591"/>
      <c r="H30" s="591"/>
      <c r="I30" s="21"/>
      <c r="J30" s="408"/>
    </row>
    <row r="31" spans="1:13" s="10" customFormat="1" ht="25.35" customHeight="1" x14ac:dyDescent="0.25">
      <c r="A31" s="1536" t="s">
        <v>36</v>
      </c>
      <c r="B31" s="1536"/>
      <c r="C31" s="90">
        <v>1000</v>
      </c>
      <c r="D31" s="90"/>
      <c r="E31" s="408"/>
      <c r="F31" s="408"/>
      <c r="G31" s="408"/>
      <c r="H31" s="408"/>
      <c r="I31" s="21"/>
      <c r="J31" s="17"/>
    </row>
    <row r="32" spans="1:13" s="10" customFormat="1" ht="25.35" customHeight="1" x14ac:dyDescent="0.25">
      <c r="A32" s="1537" t="s">
        <v>37</v>
      </c>
      <c r="B32" s="1538"/>
      <c r="C32" s="91">
        <v>250</v>
      </c>
      <c r="D32" s="92"/>
      <c r="E32" s="592"/>
      <c r="F32" s="592"/>
      <c r="G32" s="592"/>
      <c r="H32" s="592"/>
      <c r="I32" s="21"/>
      <c r="J32" s="17"/>
    </row>
    <row r="33" spans="1:10" s="10" customFormat="1" ht="15" customHeight="1" x14ac:dyDescent="0.25">
      <c r="A33" s="1539" t="s">
        <v>38</v>
      </c>
      <c r="B33" s="1540"/>
      <c r="C33" s="92">
        <f>C31/C32</f>
        <v>4</v>
      </c>
      <c r="D33" s="92"/>
      <c r="E33" s="592"/>
      <c r="F33" s="592"/>
      <c r="G33" s="592"/>
      <c r="H33" s="592"/>
      <c r="I33" s="21"/>
      <c r="J33" s="17"/>
    </row>
    <row r="34" spans="1:10" ht="16.350000000000001" customHeight="1" x14ac:dyDescent="0.25">
      <c r="A34" s="1541" t="s">
        <v>39</v>
      </c>
      <c r="B34" s="1542"/>
      <c r="C34" s="15" t="s">
        <v>40</v>
      </c>
      <c r="D34" s="102"/>
      <c r="E34" s="102" t="s">
        <v>40</v>
      </c>
      <c r="F34" s="16">
        <f>F30/C33</f>
        <v>8.67</v>
      </c>
      <c r="G34" s="16"/>
      <c r="H34" s="16"/>
      <c r="I34" s="102" t="s">
        <v>40</v>
      </c>
      <c r="J34" s="102" t="s">
        <v>40</v>
      </c>
    </row>
    <row r="35" spans="1:10" ht="23.1" customHeight="1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193"/>
      <c r="B36" s="1194" t="s">
        <v>49</v>
      </c>
      <c r="C36" s="1198"/>
      <c r="D36" s="1198"/>
      <c r="E36" s="1198"/>
      <c r="F36" s="1198"/>
      <c r="G36" s="1193"/>
      <c r="H36" s="1556">
        <f>'1-бутерброд с маслом'!$H$28</f>
        <v>0</v>
      </c>
      <c r="I36" s="1556"/>
      <c r="J36" s="1556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545" t="s">
        <v>327</v>
      </c>
      <c r="B38" s="1545"/>
      <c r="C38" s="1546" t="s">
        <v>328</v>
      </c>
      <c r="D38" s="1546"/>
      <c r="E38" s="1546"/>
      <c r="F38" s="1546"/>
      <c r="G38" s="106"/>
      <c r="H38" s="1531"/>
      <c r="I38" s="1531"/>
      <c r="J38" s="1531"/>
    </row>
    <row r="39" spans="1:10" x14ac:dyDescent="0.25">
      <c r="A39" s="1193"/>
      <c r="B39" s="1193"/>
      <c r="C39" s="1546"/>
      <c r="D39" s="1546"/>
      <c r="E39" s="1546"/>
      <c r="F39" s="1546"/>
      <c r="G39" s="1193"/>
      <c r="H39" s="1531" t="s">
        <v>329</v>
      </c>
      <c r="I39" s="1531"/>
      <c r="J39" s="1531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</sheetData>
  <mergeCells count="28">
    <mergeCell ref="H39:J39"/>
    <mergeCell ref="A31:B31"/>
    <mergeCell ref="A32:B32"/>
    <mergeCell ref="A33:B33"/>
    <mergeCell ref="A34:B34"/>
    <mergeCell ref="H36:J36"/>
    <mergeCell ref="A38:B38"/>
    <mergeCell ref="C38:F39"/>
    <mergeCell ref="H38:J38"/>
    <mergeCell ref="A7:I7"/>
    <mergeCell ref="A30:B30"/>
    <mergeCell ref="A9:J9"/>
    <mergeCell ref="A11:J11"/>
    <mergeCell ref="I13:J13"/>
    <mergeCell ref="C14:G14"/>
    <mergeCell ref="I14:J14"/>
    <mergeCell ref="A16:A17"/>
    <mergeCell ref="B16:B17"/>
    <mergeCell ref="C16:F16"/>
    <mergeCell ref="G16:H16"/>
    <mergeCell ref="I16:J16"/>
    <mergeCell ref="A13:G13"/>
    <mergeCell ref="G1:J1"/>
    <mergeCell ref="G2:J2"/>
    <mergeCell ref="G3:J3"/>
    <mergeCell ref="H5:I5"/>
    <mergeCell ref="A6:G6"/>
    <mergeCell ref="A5:G5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43"/>
  <sheetViews>
    <sheetView view="pageBreakPreview" topLeftCell="A8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589" customWidth="1"/>
    <col min="2" max="2" width="22.44140625" style="589" customWidth="1"/>
    <col min="3" max="7" width="7.5546875" style="589" customWidth="1"/>
    <col min="8" max="8" width="8.88671875" style="589" customWidth="1"/>
    <col min="9" max="9" width="7.5546875" style="589" customWidth="1"/>
    <col min="10" max="10" width="9" style="589" customWidth="1"/>
    <col min="11" max="11" width="3.44140625" style="589" customWidth="1"/>
    <col min="12" max="16384" width="8.88671875" style="58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69)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593"/>
      <c r="I6" s="593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101</v>
      </c>
    </row>
    <row r="8" spans="1:10" s="2" customFormat="1" ht="9.6" customHeight="1" x14ac:dyDescent="0.25">
      <c r="A8" s="594"/>
      <c r="B8" s="594"/>
      <c r="C8" s="594"/>
      <c r="D8" s="594"/>
      <c r="E8" s="594"/>
      <c r="F8" s="594"/>
      <c r="G8" s="594"/>
      <c r="H8" s="594"/>
      <c r="I8" s="594"/>
      <c r="J8" s="109"/>
    </row>
    <row r="9" spans="1:10" s="2" customFormat="1" ht="26.1" customHeight="1" x14ac:dyDescent="0.3">
      <c r="A9" s="1550" t="s">
        <v>867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'101-суп картофельный с пшено'!H14+1</f>
        <v>69</v>
      </c>
      <c r="I14" s="1534">
        <v>44986</v>
      </c>
      <c r="J14" s="1535"/>
    </row>
    <row r="15" spans="1:10" s="2" customFormat="1" ht="11.4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590" t="s">
        <v>92</v>
      </c>
      <c r="D17" s="590" t="s">
        <v>94</v>
      </c>
      <c r="E17" s="590" t="s">
        <v>93</v>
      </c>
      <c r="F17" s="590" t="s">
        <v>23</v>
      </c>
      <c r="G17" s="590" t="s">
        <v>92</v>
      </c>
      <c r="H17" s="590" t="s">
        <v>94</v>
      </c>
      <c r="I17" s="590" t="s">
        <v>92</v>
      </c>
      <c r="J17" s="590" t="s">
        <v>94</v>
      </c>
    </row>
    <row r="18" spans="1:13" ht="9.6" customHeight="1" x14ac:dyDescent="0.25">
      <c r="A18" s="590">
        <v>1</v>
      </c>
      <c r="B18" s="592">
        <v>2</v>
      </c>
      <c r="C18" s="590">
        <v>3</v>
      </c>
      <c r="D18" s="592">
        <v>4</v>
      </c>
      <c r="E18" s="590">
        <v>5</v>
      </c>
      <c r="F18" s="592">
        <v>6</v>
      </c>
      <c r="G18" s="590">
        <v>7</v>
      </c>
      <c r="H18" s="592">
        <v>8</v>
      </c>
      <c r="I18" s="590">
        <v>9</v>
      </c>
      <c r="J18" s="592">
        <v>10</v>
      </c>
    </row>
    <row r="19" spans="1:13" s="10" customFormat="1" ht="14.1" customHeight="1" x14ac:dyDescent="0.25">
      <c r="A19" s="180">
        <v>1</v>
      </c>
      <c r="B19" s="20" t="s">
        <v>50</v>
      </c>
      <c r="C19" s="21">
        <v>0.4</v>
      </c>
      <c r="D19" s="21">
        <v>0.3</v>
      </c>
      <c r="E19" s="408">
        <f>цены!F35</f>
        <v>50</v>
      </c>
      <c r="F19" s="408">
        <f>C19*E19</f>
        <v>20</v>
      </c>
      <c r="G19" s="97">
        <f t="shared" ref="G19:H28" si="0">C19*10</f>
        <v>4</v>
      </c>
      <c r="H19" s="21">
        <f t="shared" si="0"/>
        <v>3</v>
      </c>
      <c r="I19" s="21">
        <f t="shared" ref="I19:J28" si="1">C19*100</f>
        <v>40</v>
      </c>
      <c r="J19" s="21">
        <f t="shared" si="1"/>
        <v>30</v>
      </c>
      <c r="L19" s="1018">
        <f>C19/C$33</f>
        <v>0.1</v>
      </c>
      <c r="M19" s="1018">
        <f>F19/C$33</f>
        <v>5</v>
      </c>
    </row>
    <row r="20" spans="1:13" s="10" customFormat="1" ht="12" customHeight="1" x14ac:dyDescent="0.25">
      <c r="A20" s="180">
        <v>2</v>
      </c>
      <c r="B20" s="20" t="s">
        <v>307</v>
      </c>
      <c r="C20" s="21">
        <v>0.02</v>
      </c>
      <c r="D20" s="21">
        <v>0.02</v>
      </c>
      <c r="E20" s="408">
        <f>цены!F83</f>
        <v>98</v>
      </c>
      <c r="F20" s="408">
        <f>C20*E20</f>
        <v>1.96</v>
      </c>
      <c r="G20" s="97">
        <f t="shared" si="0"/>
        <v>0.2</v>
      </c>
      <c r="H20" s="21">
        <f t="shared" si="0"/>
        <v>0.2</v>
      </c>
      <c r="I20" s="21">
        <f t="shared" si="1"/>
        <v>2</v>
      </c>
      <c r="J20" s="21">
        <f t="shared" si="1"/>
        <v>2</v>
      </c>
      <c r="L20" s="1018">
        <f t="shared" ref="L20:L28" si="2">C20/C$33</f>
        <v>5.0000000000000001E-3</v>
      </c>
      <c r="M20" s="1018">
        <f t="shared" ref="M20:M28" si="3">F20/C$33</f>
        <v>0.49</v>
      </c>
    </row>
    <row r="21" spans="1:13" s="10" customFormat="1" ht="12" customHeight="1" x14ac:dyDescent="0.25">
      <c r="A21" s="180">
        <v>3</v>
      </c>
      <c r="B21" s="20" t="s">
        <v>47</v>
      </c>
      <c r="C21" s="21">
        <v>0.05</v>
      </c>
      <c r="D21" s="21">
        <v>0.04</v>
      </c>
      <c r="E21" s="408">
        <f>цены!F44</f>
        <v>50</v>
      </c>
      <c r="F21" s="408">
        <f t="shared" ref="F21:F28" si="4">C21*E21</f>
        <v>2.5</v>
      </c>
      <c r="G21" s="97">
        <f t="shared" si="0"/>
        <v>0.5</v>
      </c>
      <c r="H21" s="21">
        <f t="shared" si="0"/>
        <v>0.4</v>
      </c>
      <c r="I21" s="21">
        <f t="shared" si="1"/>
        <v>5</v>
      </c>
      <c r="J21" s="21">
        <f t="shared" si="1"/>
        <v>4</v>
      </c>
      <c r="L21" s="1018">
        <f t="shared" si="2"/>
        <v>1.2500000000000001E-2</v>
      </c>
      <c r="M21" s="1018">
        <f t="shared" si="3"/>
        <v>0.625</v>
      </c>
    </row>
    <row r="22" spans="1:13" s="10" customFormat="1" ht="12" customHeight="1" x14ac:dyDescent="0.25">
      <c r="A22" s="180">
        <v>4</v>
      </c>
      <c r="B22" s="20" t="s">
        <v>48</v>
      </c>
      <c r="C22" s="21">
        <v>4.8000000000000001E-2</v>
      </c>
      <c r="D22" s="21">
        <v>0.04</v>
      </c>
      <c r="E22" s="408">
        <f>цены!F38</f>
        <v>50</v>
      </c>
      <c r="F22" s="408">
        <f t="shared" si="4"/>
        <v>2.4</v>
      </c>
      <c r="G22" s="97">
        <f t="shared" si="0"/>
        <v>0.48</v>
      </c>
      <c r="H22" s="21">
        <f t="shared" si="0"/>
        <v>0.4</v>
      </c>
      <c r="I22" s="21">
        <f t="shared" si="1"/>
        <v>4.8</v>
      </c>
      <c r="J22" s="21">
        <f t="shared" si="1"/>
        <v>4</v>
      </c>
      <c r="L22" s="1018">
        <f t="shared" si="2"/>
        <v>1.2E-2</v>
      </c>
      <c r="M22" s="1018">
        <f t="shared" si="3"/>
        <v>0.6</v>
      </c>
    </row>
    <row r="23" spans="1:13" s="10" customFormat="1" ht="12" customHeight="1" x14ac:dyDescent="0.25">
      <c r="A23" s="180">
        <v>5</v>
      </c>
      <c r="B23" s="20" t="s">
        <v>74</v>
      </c>
      <c r="C23" s="21">
        <v>0.01</v>
      </c>
      <c r="D23" s="21">
        <v>0.01</v>
      </c>
      <c r="E23" s="408">
        <f>цены!F87</f>
        <v>120</v>
      </c>
      <c r="F23" s="408">
        <f t="shared" si="4"/>
        <v>1.2</v>
      </c>
      <c r="G23" s="97">
        <f t="shared" si="0"/>
        <v>0.1</v>
      </c>
      <c r="H23" s="21">
        <f t="shared" si="0"/>
        <v>0.1</v>
      </c>
      <c r="I23" s="21">
        <f t="shared" si="1"/>
        <v>1</v>
      </c>
      <c r="J23" s="21">
        <f t="shared" si="1"/>
        <v>1</v>
      </c>
      <c r="L23" s="1018">
        <f t="shared" si="2"/>
        <v>2.5000000000000001E-3</v>
      </c>
      <c r="M23" s="1018">
        <f t="shared" si="3"/>
        <v>0.3</v>
      </c>
    </row>
    <row r="24" spans="1:13" s="10" customFormat="1" ht="12" customHeight="1" x14ac:dyDescent="0.25">
      <c r="A24" s="180">
        <v>6</v>
      </c>
      <c r="B24" s="20" t="s">
        <v>141</v>
      </c>
      <c r="C24" s="21">
        <v>0.7</v>
      </c>
      <c r="D24" s="21">
        <v>0.7</v>
      </c>
      <c r="E24" s="408"/>
      <c r="F24" s="408">
        <f t="shared" si="4"/>
        <v>0</v>
      </c>
      <c r="G24" s="97">
        <f t="shared" si="0"/>
        <v>7</v>
      </c>
      <c r="H24" s="21">
        <f t="shared" si="0"/>
        <v>7</v>
      </c>
      <c r="I24" s="21">
        <f t="shared" si="1"/>
        <v>70</v>
      </c>
      <c r="J24" s="21">
        <f t="shared" si="1"/>
        <v>70</v>
      </c>
      <c r="L24" s="1018">
        <f t="shared" si="2"/>
        <v>0.17499999999999999</v>
      </c>
      <c r="M24" s="1018">
        <f t="shared" si="3"/>
        <v>0</v>
      </c>
    </row>
    <row r="25" spans="1:13" s="10" customFormat="1" ht="12" customHeight="1" x14ac:dyDescent="0.25">
      <c r="A25" s="180">
        <v>7</v>
      </c>
      <c r="B25" s="20" t="s">
        <v>84</v>
      </c>
      <c r="C25" s="113">
        <v>4.0000000000000003E-5</v>
      </c>
      <c r="D25" s="113">
        <v>4.0000000000000003E-5</v>
      </c>
      <c r="E25" s="408">
        <f>цены!F100</f>
        <v>1000</v>
      </c>
      <c r="F25" s="408">
        <f t="shared" si="4"/>
        <v>0.04</v>
      </c>
      <c r="G25" s="97">
        <f t="shared" si="0"/>
        <v>0</v>
      </c>
      <c r="H25" s="21">
        <f t="shared" si="0"/>
        <v>0</v>
      </c>
      <c r="I25" s="21">
        <f t="shared" si="1"/>
        <v>4.0000000000000001E-3</v>
      </c>
      <c r="J25" s="21">
        <f t="shared" si="1"/>
        <v>4.0000000000000001E-3</v>
      </c>
      <c r="L25" s="1018">
        <f t="shared" si="2"/>
        <v>0</v>
      </c>
      <c r="M25" s="1018">
        <f t="shared" si="3"/>
        <v>0.01</v>
      </c>
    </row>
    <row r="26" spans="1:13" s="10" customFormat="1" ht="12" customHeight="1" x14ac:dyDescent="0.25">
      <c r="A26" s="180">
        <v>8</v>
      </c>
      <c r="B26" s="20" t="s">
        <v>33</v>
      </c>
      <c r="C26" s="21">
        <v>0.01</v>
      </c>
      <c r="D26" s="21">
        <v>0.01</v>
      </c>
      <c r="E26" s="408">
        <f>цены!F110</f>
        <v>24</v>
      </c>
      <c r="F26" s="408">
        <f t="shared" si="4"/>
        <v>0.24</v>
      </c>
      <c r="G26" s="97">
        <f t="shared" si="0"/>
        <v>0.1</v>
      </c>
      <c r="H26" s="21">
        <f t="shared" si="0"/>
        <v>0.1</v>
      </c>
      <c r="I26" s="21">
        <f t="shared" si="1"/>
        <v>1</v>
      </c>
      <c r="J26" s="21">
        <f t="shared" si="1"/>
        <v>1</v>
      </c>
      <c r="L26" s="1018">
        <f t="shared" si="2"/>
        <v>2.5000000000000001E-3</v>
      </c>
      <c r="M26" s="1018">
        <f t="shared" si="3"/>
        <v>0.06</v>
      </c>
    </row>
    <row r="27" spans="1:13" s="10" customFormat="1" ht="12" customHeight="1" x14ac:dyDescent="0.25">
      <c r="A27" s="180">
        <v>9</v>
      </c>
      <c r="B27" s="20" t="s">
        <v>51</v>
      </c>
      <c r="C27" s="21">
        <v>0.02</v>
      </c>
      <c r="D27" s="21">
        <v>0.02</v>
      </c>
      <c r="E27" s="408">
        <f>цены!F24</f>
        <v>234</v>
      </c>
      <c r="F27" s="408">
        <f t="shared" si="4"/>
        <v>4.68</v>
      </c>
      <c r="G27" s="97">
        <f t="shared" si="0"/>
        <v>0.2</v>
      </c>
      <c r="H27" s="21">
        <f t="shared" si="0"/>
        <v>0.2</v>
      </c>
      <c r="I27" s="21">
        <f t="shared" si="1"/>
        <v>2</v>
      </c>
      <c r="J27" s="21">
        <f t="shared" si="1"/>
        <v>2</v>
      </c>
      <c r="L27" s="1018">
        <f t="shared" si="2"/>
        <v>5.0000000000000001E-3</v>
      </c>
      <c r="M27" s="1018">
        <f t="shared" si="3"/>
        <v>1.17</v>
      </c>
    </row>
    <row r="28" spans="1:13" s="10" customFormat="1" ht="12" customHeight="1" x14ac:dyDescent="0.25">
      <c r="A28" s="180">
        <v>10</v>
      </c>
      <c r="B28" s="20" t="s">
        <v>78</v>
      </c>
      <c r="C28" s="21">
        <f>0.002*C33</f>
        <v>8.0000000000000002E-3</v>
      </c>
      <c r="D28" s="21">
        <f>0.002*C33</f>
        <v>8.0000000000000002E-3</v>
      </c>
      <c r="E28" s="408">
        <f>цены!F48</f>
        <v>300</v>
      </c>
      <c r="F28" s="408">
        <f t="shared" si="4"/>
        <v>2.4</v>
      </c>
      <c r="G28" s="97">
        <f t="shared" si="0"/>
        <v>0.08</v>
      </c>
      <c r="H28" s="21">
        <f t="shared" si="0"/>
        <v>0.08</v>
      </c>
      <c r="I28" s="21">
        <f t="shared" si="1"/>
        <v>0.8</v>
      </c>
      <c r="J28" s="21">
        <f t="shared" si="1"/>
        <v>0.8</v>
      </c>
      <c r="L28" s="1018">
        <f t="shared" si="2"/>
        <v>2E-3</v>
      </c>
      <c r="M28" s="1018">
        <f t="shared" si="3"/>
        <v>0.6</v>
      </c>
    </row>
    <row r="29" spans="1:13" s="10" customFormat="1" ht="12" customHeight="1" x14ac:dyDescent="0.25">
      <c r="A29" s="98"/>
      <c r="B29" s="93" t="s">
        <v>100</v>
      </c>
      <c r="C29" s="114"/>
      <c r="D29" s="100">
        <v>1</v>
      </c>
      <c r="E29" s="95"/>
      <c r="F29" s="95">
        <f>SUM(F19:F28)</f>
        <v>35.42</v>
      </c>
      <c r="G29" s="99"/>
      <c r="H29" s="100">
        <f>D29*10</f>
        <v>10</v>
      </c>
      <c r="I29" s="100"/>
      <c r="J29" s="100">
        <f>D29*100</f>
        <v>100</v>
      </c>
      <c r="L29" s="1018">
        <f>SUM(L19:L28)</f>
        <v>0.3165</v>
      </c>
      <c r="M29" s="1018">
        <f>SUM(M19:M28)</f>
        <v>8.8550000000000004</v>
      </c>
    </row>
    <row r="30" spans="1:13" s="10" customFormat="1" ht="27.6" customHeight="1" x14ac:dyDescent="0.25">
      <c r="A30" s="1536" t="s">
        <v>35</v>
      </c>
      <c r="B30" s="1536"/>
      <c r="C30" s="90"/>
      <c r="D30" s="90"/>
      <c r="E30" s="408"/>
      <c r="F30" s="408">
        <f>F29</f>
        <v>35.42</v>
      </c>
      <c r="G30" s="591"/>
      <c r="H30" s="591"/>
      <c r="I30" s="21"/>
      <c r="J30" s="408"/>
    </row>
    <row r="31" spans="1:13" s="10" customFormat="1" ht="25.35" customHeight="1" x14ac:dyDescent="0.25">
      <c r="A31" s="1536" t="s">
        <v>36</v>
      </c>
      <c r="B31" s="1536"/>
      <c r="C31" s="90">
        <v>1000</v>
      </c>
      <c r="D31" s="90"/>
      <c r="E31" s="408"/>
      <c r="F31" s="408"/>
      <c r="G31" s="408"/>
      <c r="H31" s="408"/>
      <c r="I31" s="21"/>
      <c r="J31" s="17"/>
    </row>
    <row r="32" spans="1:13" s="10" customFormat="1" ht="25.35" customHeight="1" x14ac:dyDescent="0.25">
      <c r="A32" s="1537" t="s">
        <v>37</v>
      </c>
      <c r="B32" s="1538"/>
      <c r="C32" s="91">
        <v>250</v>
      </c>
      <c r="D32" s="92"/>
      <c r="E32" s="592"/>
      <c r="F32" s="592"/>
      <c r="G32" s="592"/>
      <c r="H32" s="592"/>
      <c r="I32" s="21"/>
      <c r="J32" s="17"/>
    </row>
    <row r="33" spans="1:10" s="10" customFormat="1" ht="15" customHeight="1" x14ac:dyDescent="0.25">
      <c r="A33" s="1539" t="s">
        <v>38</v>
      </c>
      <c r="B33" s="1540"/>
      <c r="C33" s="92">
        <f>C31/C32</f>
        <v>4</v>
      </c>
      <c r="D33" s="92"/>
      <c r="E33" s="592"/>
      <c r="F33" s="592"/>
      <c r="G33" s="592"/>
      <c r="H33" s="592"/>
      <c r="I33" s="21"/>
      <c r="J33" s="17"/>
    </row>
    <row r="34" spans="1:10" ht="16.350000000000001" customHeight="1" x14ac:dyDescent="0.25">
      <c r="A34" s="1541" t="s">
        <v>39</v>
      </c>
      <c r="B34" s="1542"/>
      <c r="C34" s="15" t="s">
        <v>40</v>
      </c>
      <c r="D34" s="102"/>
      <c r="E34" s="102" t="s">
        <v>40</v>
      </c>
      <c r="F34" s="16">
        <f>F30/C33</f>
        <v>8.86</v>
      </c>
      <c r="G34" s="16"/>
      <c r="H34" s="16"/>
      <c r="I34" s="102" t="s">
        <v>40</v>
      </c>
      <c r="J34" s="102" t="s">
        <v>40</v>
      </c>
    </row>
    <row r="35" spans="1:10" ht="23.1" customHeight="1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193"/>
      <c r="B36" s="1194" t="s">
        <v>49</v>
      </c>
      <c r="C36" s="1198"/>
      <c r="D36" s="1198"/>
      <c r="E36" s="1198"/>
      <c r="F36" s="1198"/>
      <c r="G36" s="1193"/>
      <c r="H36" s="1556">
        <f>'1-бутерброд с маслом'!$H$28</f>
        <v>0</v>
      </c>
      <c r="I36" s="1556"/>
      <c r="J36" s="1556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545" t="s">
        <v>327</v>
      </c>
      <c r="B38" s="1545"/>
      <c r="C38" s="1546" t="s">
        <v>328</v>
      </c>
      <c r="D38" s="1546"/>
      <c r="E38" s="1546"/>
      <c r="F38" s="1546"/>
      <c r="G38" s="106"/>
      <c r="H38" s="1531"/>
      <c r="I38" s="1531"/>
      <c r="J38" s="1531"/>
    </row>
    <row r="39" spans="1:10" x14ac:dyDescent="0.25">
      <c r="A39" s="1193"/>
      <c r="B39" s="1193"/>
      <c r="C39" s="1546"/>
      <c r="D39" s="1546"/>
      <c r="E39" s="1546"/>
      <c r="F39" s="1546"/>
      <c r="G39" s="1193"/>
      <c r="H39" s="1531" t="s">
        <v>329</v>
      </c>
      <c r="I39" s="1531"/>
      <c r="J39" s="1531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</sheetData>
  <mergeCells count="28">
    <mergeCell ref="H36:J36"/>
    <mergeCell ref="A13:G13"/>
    <mergeCell ref="A31:B31"/>
    <mergeCell ref="A32:B32"/>
    <mergeCell ref="A33:B33"/>
    <mergeCell ref="A34:B34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8:B38"/>
    <mergeCell ref="C38:F39"/>
    <mergeCell ref="H38:J38"/>
    <mergeCell ref="H39:J39"/>
    <mergeCell ref="H5:I5"/>
    <mergeCell ref="A6:G6"/>
    <mergeCell ref="A7:I7"/>
    <mergeCell ref="A30:B30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43"/>
  <sheetViews>
    <sheetView view="pageBreakPreview" topLeftCell="A8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589" customWidth="1"/>
    <col min="2" max="2" width="22.44140625" style="589" customWidth="1"/>
    <col min="3" max="7" width="7.5546875" style="589" customWidth="1"/>
    <col min="8" max="8" width="8.88671875" style="589" customWidth="1"/>
    <col min="9" max="9" width="7.5546875" style="589" customWidth="1"/>
    <col min="10" max="10" width="9" style="589" customWidth="1"/>
    <col min="11" max="11" width="4.33203125" style="589" customWidth="1"/>
    <col min="12" max="16384" width="8.88671875" style="58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70)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s="2" customFormat="1" ht="19.350000000000001" customHeight="1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22.2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101</v>
      </c>
    </row>
    <row r="8" spans="1:10" s="2" customFormat="1" ht="9.6" customHeight="1" x14ac:dyDescent="0.25">
      <c r="A8" s="594"/>
      <c r="B8" s="594"/>
      <c r="C8" s="594"/>
      <c r="D8" s="594"/>
      <c r="E8" s="594"/>
      <c r="F8" s="594"/>
      <c r="G8" s="594"/>
      <c r="H8" s="594"/>
      <c r="I8" s="594"/>
      <c r="J8" s="109"/>
    </row>
    <row r="9" spans="1:10" s="2" customFormat="1" ht="26.1" customHeight="1" x14ac:dyDescent="0.3">
      <c r="A9" s="1550" t="s">
        <v>868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'101-суп картофель рис '!H14+1</f>
        <v>70</v>
      </c>
      <c r="I14" s="1534">
        <v>44986</v>
      </c>
      <c r="J14" s="1535"/>
    </row>
    <row r="15" spans="1:10" s="2" customFormat="1" ht="11.4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590" t="s">
        <v>92</v>
      </c>
      <c r="D17" s="590" t="s">
        <v>94</v>
      </c>
      <c r="E17" s="590" t="s">
        <v>93</v>
      </c>
      <c r="F17" s="590" t="s">
        <v>23</v>
      </c>
      <c r="G17" s="590" t="s">
        <v>92</v>
      </c>
      <c r="H17" s="590" t="s">
        <v>94</v>
      </c>
      <c r="I17" s="590" t="s">
        <v>92</v>
      </c>
      <c r="J17" s="590" t="s">
        <v>94</v>
      </c>
    </row>
    <row r="18" spans="1:13" ht="9.6" customHeight="1" x14ac:dyDescent="0.25">
      <c r="A18" s="590">
        <v>1</v>
      </c>
      <c r="B18" s="592">
        <v>2</v>
      </c>
      <c r="C18" s="590">
        <v>3</v>
      </c>
      <c r="D18" s="592">
        <v>4</v>
      </c>
      <c r="E18" s="590">
        <v>5</v>
      </c>
      <c r="F18" s="592">
        <v>6</v>
      </c>
      <c r="G18" s="590">
        <v>7</v>
      </c>
      <c r="H18" s="592">
        <v>8</v>
      </c>
      <c r="I18" s="590">
        <v>9</v>
      </c>
      <c r="J18" s="592">
        <v>10</v>
      </c>
    </row>
    <row r="19" spans="1:13" s="10" customFormat="1" ht="14.1" customHeight="1" x14ac:dyDescent="0.25">
      <c r="A19" s="180">
        <v>1</v>
      </c>
      <c r="B19" s="20" t="s">
        <v>50</v>
      </c>
      <c r="C19" s="21">
        <v>0.4</v>
      </c>
      <c r="D19" s="21">
        <v>0.3</v>
      </c>
      <c r="E19" s="408">
        <f>цены!F35</f>
        <v>50</v>
      </c>
      <c r="F19" s="408">
        <f>C19*E19</f>
        <v>20</v>
      </c>
      <c r="G19" s="97">
        <f t="shared" ref="G19:H28" si="0">C19*10</f>
        <v>4</v>
      </c>
      <c r="H19" s="21">
        <f t="shared" si="0"/>
        <v>3</v>
      </c>
      <c r="I19" s="21">
        <f t="shared" ref="I19:J28" si="1">C19*100</f>
        <v>40</v>
      </c>
      <c r="J19" s="21">
        <f t="shared" si="1"/>
        <v>30</v>
      </c>
      <c r="L19" s="1018">
        <f>C19/C$33</f>
        <v>0.1</v>
      </c>
      <c r="M19" s="1018">
        <f>F19/C$33</f>
        <v>5</v>
      </c>
    </row>
    <row r="20" spans="1:13" s="10" customFormat="1" ht="12" customHeight="1" x14ac:dyDescent="0.25">
      <c r="A20" s="180">
        <v>2</v>
      </c>
      <c r="B20" s="20" t="s">
        <v>700</v>
      </c>
      <c r="C20" s="21">
        <v>0.04</v>
      </c>
      <c r="D20" s="21">
        <v>0.04</v>
      </c>
      <c r="E20" s="408">
        <f>цены!F78</f>
        <v>35</v>
      </c>
      <c r="F20" s="408">
        <f>C20*E20</f>
        <v>1.4</v>
      </c>
      <c r="G20" s="97">
        <f t="shared" si="0"/>
        <v>0.4</v>
      </c>
      <c r="H20" s="21">
        <f t="shared" si="0"/>
        <v>0.4</v>
      </c>
      <c r="I20" s="21">
        <f t="shared" si="1"/>
        <v>4</v>
      </c>
      <c r="J20" s="21">
        <f t="shared" si="1"/>
        <v>4</v>
      </c>
      <c r="L20" s="1018">
        <f t="shared" ref="L20:L28" si="2">C20/C$33</f>
        <v>0.01</v>
      </c>
      <c r="M20" s="1018">
        <f t="shared" ref="M20:M28" si="3">F20/C$33</f>
        <v>0.35</v>
      </c>
    </row>
    <row r="21" spans="1:13" s="10" customFormat="1" ht="12" customHeight="1" x14ac:dyDescent="0.25">
      <c r="A21" s="180">
        <v>3</v>
      </c>
      <c r="B21" s="20" t="s">
        <v>47</v>
      </c>
      <c r="C21" s="21">
        <v>0.05</v>
      </c>
      <c r="D21" s="21">
        <v>0.04</v>
      </c>
      <c r="E21" s="408">
        <f>цены!F44</f>
        <v>50</v>
      </c>
      <c r="F21" s="408">
        <f t="shared" ref="F21:F28" si="4">C21*E21</f>
        <v>2.5</v>
      </c>
      <c r="G21" s="97">
        <f t="shared" si="0"/>
        <v>0.5</v>
      </c>
      <c r="H21" s="21">
        <f t="shared" si="0"/>
        <v>0.4</v>
      </c>
      <c r="I21" s="21">
        <f t="shared" si="1"/>
        <v>5</v>
      </c>
      <c r="J21" s="21">
        <f t="shared" si="1"/>
        <v>4</v>
      </c>
      <c r="L21" s="1018">
        <f t="shared" si="2"/>
        <v>1.2500000000000001E-2</v>
      </c>
      <c r="M21" s="1018">
        <f t="shared" si="3"/>
        <v>0.625</v>
      </c>
    </row>
    <row r="22" spans="1:13" s="10" customFormat="1" ht="12" customHeight="1" x14ac:dyDescent="0.25">
      <c r="A22" s="180">
        <v>4</v>
      </c>
      <c r="B22" s="20" t="s">
        <v>48</v>
      </c>
      <c r="C22" s="21">
        <v>4.8000000000000001E-2</v>
      </c>
      <c r="D22" s="21">
        <v>0.04</v>
      </c>
      <c r="E22" s="408">
        <f>цены!F38</f>
        <v>50</v>
      </c>
      <c r="F22" s="408">
        <f t="shared" si="4"/>
        <v>2.4</v>
      </c>
      <c r="G22" s="97">
        <f t="shared" si="0"/>
        <v>0.48</v>
      </c>
      <c r="H22" s="21">
        <f t="shared" si="0"/>
        <v>0.4</v>
      </c>
      <c r="I22" s="21">
        <f t="shared" si="1"/>
        <v>4.8</v>
      </c>
      <c r="J22" s="21">
        <f t="shared" si="1"/>
        <v>4</v>
      </c>
      <c r="L22" s="1018">
        <f t="shared" si="2"/>
        <v>1.2E-2</v>
      </c>
      <c r="M22" s="1018">
        <f t="shared" si="3"/>
        <v>0.6</v>
      </c>
    </row>
    <row r="23" spans="1:13" s="10" customFormat="1" ht="12" customHeight="1" x14ac:dyDescent="0.25">
      <c r="A23" s="180">
        <v>5</v>
      </c>
      <c r="B23" s="20" t="s">
        <v>74</v>
      </c>
      <c r="C23" s="21">
        <v>0.01</v>
      </c>
      <c r="D23" s="21">
        <v>0.01</v>
      </c>
      <c r="E23" s="408">
        <f>цены!F87</f>
        <v>120</v>
      </c>
      <c r="F23" s="408">
        <f t="shared" si="4"/>
        <v>1.2</v>
      </c>
      <c r="G23" s="97">
        <f t="shared" si="0"/>
        <v>0.1</v>
      </c>
      <c r="H23" s="21">
        <f t="shared" si="0"/>
        <v>0.1</v>
      </c>
      <c r="I23" s="21">
        <f t="shared" si="1"/>
        <v>1</v>
      </c>
      <c r="J23" s="21">
        <f t="shared" si="1"/>
        <v>1</v>
      </c>
      <c r="L23" s="1018">
        <f t="shared" si="2"/>
        <v>2.5000000000000001E-3</v>
      </c>
      <c r="M23" s="1018">
        <f t="shared" si="3"/>
        <v>0.3</v>
      </c>
    </row>
    <row r="24" spans="1:13" s="10" customFormat="1" ht="12" customHeight="1" x14ac:dyDescent="0.25">
      <c r="A24" s="180">
        <v>6</v>
      </c>
      <c r="B24" s="20" t="s">
        <v>141</v>
      </c>
      <c r="C24" s="21">
        <v>0.7</v>
      </c>
      <c r="D24" s="21">
        <v>0.7</v>
      </c>
      <c r="E24" s="408"/>
      <c r="F24" s="408">
        <f t="shared" si="4"/>
        <v>0</v>
      </c>
      <c r="G24" s="97">
        <f t="shared" si="0"/>
        <v>7</v>
      </c>
      <c r="H24" s="21">
        <f t="shared" si="0"/>
        <v>7</v>
      </c>
      <c r="I24" s="21">
        <f t="shared" si="1"/>
        <v>70</v>
      </c>
      <c r="J24" s="21">
        <f t="shared" si="1"/>
        <v>70</v>
      </c>
      <c r="L24" s="1018">
        <f t="shared" si="2"/>
        <v>0.17499999999999999</v>
      </c>
      <c r="M24" s="1018">
        <f t="shared" si="3"/>
        <v>0</v>
      </c>
    </row>
    <row r="25" spans="1:13" s="10" customFormat="1" ht="12" customHeight="1" x14ac:dyDescent="0.25">
      <c r="A25" s="180">
        <v>7</v>
      </c>
      <c r="B25" s="20" t="s">
        <v>84</v>
      </c>
      <c r="C25" s="113">
        <v>4.0000000000000003E-5</v>
      </c>
      <c r="D25" s="113">
        <v>4.0000000000000003E-5</v>
      </c>
      <c r="E25" s="408">
        <f>цены!F100</f>
        <v>1000</v>
      </c>
      <c r="F25" s="408">
        <f t="shared" si="4"/>
        <v>0.04</v>
      </c>
      <c r="G25" s="97">
        <f t="shared" si="0"/>
        <v>0</v>
      </c>
      <c r="H25" s="21">
        <f t="shared" si="0"/>
        <v>0</v>
      </c>
      <c r="I25" s="21">
        <f t="shared" si="1"/>
        <v>4.0000000000000001E-3</v>
      </c>
      <c r="J25" s="21">
        <f t="shared" si="1"/>
        <v>4.0000000000000001E-3</v>
      </c>
      <c r="L25" s="1018">
        <f t="shared" si="2"/>
        <v>0</v>
      </c>
      <c r="M25" s="1018">
        <f t="shared" si="3"/>
        <v>0.01</v>
      </c>
    </row>
    <row r="26" spans="1:13" s="10" customFormat="1" ht="12" customHeight="1" x14ac:dyDescent="0.25">
      <c r="A26" s="180">
        <v>8</v>
      </c>
      <c r="B26" s="20" t="s">
        <v>33</v>
      </c>
      <c r="C26" s="21">
        <v>0.01</v>
      </c>
      <c r="D26" s="21">
        <v>0.01</v>
      </c>
      <c r="E26" s="408">
        <f>цены!F110</f>
        <v>24</v>
      </c>
      <c r="F26" s="408">
        <f t="shared" si="4"/>
        <v>0.24</v>
      </c>
      <c r="G26" s="97">
        <f t="shared" si="0"/>
        <v>0.1</v>
      </c>
      <c r="H26" s="21">
        <f t="shared" si="0"/>
        <v>0.1</v>
      </c>
      <c r="I26" s="21">
        <f t="shared" si="1"/>
        <v>1</v>
      </c>
      <c r="J26" s="21">
        <f t="shared" si="1"/>
        <v>1</v>
      </c>
      <c r="L26" s="1018">
        <f t="shared" si="2"/>
        <v>2.5000000000000001E-3</v>
      </c>
      <c r="M26" s="1018">
        <f t="shared" si="3"/>
        <v>0.06</v>
      </c>
    </row>
    <row r="27" spans="1:13" s="10" customFormat="1" ht="12" customHeight="1" x14ac:dyDescent="0.25">
      <c r="A27" s="180">
        <v>9</v>
      </c>
      <c r="B27" s="20" t="s">
        <v>51</v>
      </c>
      <c r="C27" s="21">
        <v>0.02</v>
      </c>
      <c r="D27" s="21">
        <v>0.02</v>
      </c>
      <c r="E27" s="408">
        <f>цены!F24</f>
        <v>234</v>
      </c>
      <c r="F27" s="408">
        <f t="shared" si="4"/>
        <v>4.68</v>
      </c>
      <c r="G27" s="97">
        <f t="shared" si="0"/>
        <v>0.2</v>
      </c>
      <c r="H27" s="21">
        <f t="shared" si="0"/>
        <v>0.2</v>
      </c>
      <c r="I27" s="21">
        <f t="shared" si="1"/>
        <v>2</v>
      </c>
      <c r="J27" s="21">
        <f t="shared" si="1"/>
        <v>2</v>
      </c>
      <c r="L27" s="1018">
        <f t="shared" si="2"/>
        <v>5.0000000000000001E-3</v>
      </c>
      <c r="M27" s="1018">
        <f t="shared" si="3"/>
        <v>1.17</v>
      </c>
    </row>
    <row r="28" spans="1:13" s="10" customFormat="1" ht="12" customHeight="1" x14ac:dyDescent="0.25">
      <c r="A28" s="180">
        <v>10</v>
      </c>
      <c r="B28" s="20" t="s">
        <v>78</v>
      </c>
      <c r="C28" s="21">
        <f>0.002*C33</f>
        <v>8.0000000000000002E-3</v>
      </c>
      <c r="D28" s="21">
        <f>0.002*C33</f>
        <v>8.0000000000000002E-3</v>
      </c>
      <c r="E28" s="408">
        <f>цены!F48</f>
        <v>300</v>
      </c>
      <c r="F28" s="408">
        <f t="shared" si="4"/>
        <v>2.4</v>
      </c>
      <c r="G28" s="97">
        <f t="shared" si="0"/>
        <v>0.08</v>
      </c>
      <c r="H28" s="21">
        <f t="shared" si="0"/>
        <v>0.08</v>
      </c>
      <c r="I28" s="21">
        <f t="shared" si="1"/>
        <v>0.8</v>
      </c>
      <c r="J28" s="21">
        <f t="shared" si="1"/>
        <v>0.8</v>
      </c>
      <c r="L28" s="1018">
        <f t="shared" si="2"/>
        <v>2E-3</v>
      </c>
      <c r="M28" s="1018">
        <f t="shared" si="3"/>
        <v>0.6</v>
      </c>
    </row>
    <row r="29" spans="1:13" s="10" customFormat="1" ht="12" customHeight="1" x14ac:dyDescent="0.25">
      <c r="A29" s="98"/>
      <c r="B29" s="93" t="s">
        <v>100</v>
      </c>
      <c r="C29" s="114"/>
      <c r="D29" s="100">
        <v>1</v>
      </c>
      <c r="E29" s="95"/>
      <c r="F29" s="95">
        <f>SUM(F19:F28)</f>
        <v>34.86</v>
      </c>
      <c r="G29" s="99"/>
      <c r="H29" s="100">
        <f>D29*10</f>
        <v>10</v>
      </c>
      <c r="I29" s="100"/>
      <c r="J29" s="100">
        <f>D29*100</f>
        <v>100</v>
      </c>
      <c r="L29" s="1018">
        <f>SUM(L19:L28)</f>
        <v>0.32150000000000001</v>
      </c>
      <c r="M29" s="1018">
        <f>SUM(M19:M28)</f>
        <v>8.7149999999999999</v>
      </c>
    </row>
    <row r="30" spans="1:13" s="10" customFormat="1" ht="27.6" customHeight="1" x14ac:dyDescent="0.25">
      <c r="A30" s="1536" t="s">
        <v>35</v>
      </c>
      <c r="B30" s="1536"/>
      <c r="C30" s="90"/>
      <c r="D30" s="90"/>
      <c r="E30" s="408"/>
      <c r="F30" s="408">
        <f>F29</f>
        <v>34.86</v>
      </c>
      <c r="G30" s="591"/>
      <c r="H30" s="591"/>
      <c r="I30" s="21"/>
      <c r="J30" s="408"/>
    </row>
    <row r="31" spans="1:13" s="10" customFormat="1" ht="25.35" customHeight="1" x14ac:dyDescent="0.25">
      <c r="A31" s="1536" t="s">
        <v>36</v>
      </c>
      <c r="B31" s="1536"/>
      <c r="C31" s="90">
        <v>1000</v>
      </c>
      <c r="D31" s="90"/>
      <c r="E31" s="408"/>
      <c r="F31" s="408"/>
      <c r="G31" s="408"/>
      <c r="H31" s="408"/>
      <c r="I31" s="21"/>
      <c r="J31" s="17"/>
    </row>
    <row r="32" spans="1:13" s="10" customFormat="1" ht="25.35" customHeight="1" x14ac:dyDescent="0.25">
      <c r="A32" s="1537" t="s">
        <v>37</v>
      </c>
      <c r="B32" s="1538"/>
      <c r="C32" s="91">
        <v>250</v>
      </c>
      <c r="D32" s="92"/>
      <c r="E32" s="592"/>
      <c r="F32" s="592"/>
      <c r="G32" s="592"/>
      <c r="H32" s="592"/>
      <c r="I32" s="21"/>
      <c r="J32" s="17"/>
    </row>
    <row r="33" spans="1:10" s="10" customFormat="1" ht="15" customHeight="1" x14ac:dyDescent="0.25">
      <c r="A33" s="1539" t="s">
        <v>38</v>
      </c>
      <c r="B33" s="1540"/>
      <c r="C33" s="92">
        <f>C31/C32</f>
        <v>4</v>
      </c>
      <c r="D33" s="92"/>
      <c r="E33" s="592"/>
      <c r="F33" s="592"/>
      <c r="G33" s="592"/>
      <c r="H33" s="592"/>
      <c r="I33" s="21"/>
      <c r="J33" s="17"/>
    </row>
    <row r="34" spans="1:10" ht="16.350000000000001" customHeight="1" x14ac:dyDescent="0.25">
      <c r="A34" s="1541" t="s">
        <v>39</v>
      </c>
      <c r="B34" s="1542"/>
      <c r="C34" s="15" t="s">
        <v>40</v>
      </c>
      <c r="D34" s="102"/>
      <c r="E34" s="102" t="s">
        <v>40</v>
      </c>
      <c r="F34" s="16">
        <f>F30/C33</f>
        <v>8.7200000000000006</v>
      </c>
      <c r="G34" s="16"/>
      <c r="H34" s="16"/>
      <c r="I34" s="102" t="s">
        <v>40</v>
      </c>
      <c r="J34" s="102" t="s">
        <v>40</v>
      </c>
    </row>
    <row r="35" spans="1:10" ht="23.1" customHeight="1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193"/>
      <c r="B36" s="1194" t="s">
        <v>49</v>
      </c>
      <c r="C36" s="1198"/>
      <c r="D36" s="1198"/>
      <c r="E36" s="1198"/>
      <c r="F36" s="1198"/>
      <c r="G36" s="1193"/>
      <c r="H36" s="1556">
        <f>'1-бутерброд с маслом'!$H$28</f>
        <v>0</v>
      </c>
      <c r="I36" s="1556"/>
      <c r="J36" s="1556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545" t="s">
        <v>327</v>
      </c>
      <c r="B38" s="1545"/>
      <c r="C38" s="1546" t="s">
        <v>328</v>
      </c>
      <c r="D38" s="1546"/>
      <c r="E38" s="1546"/>
      <c r="F38" s="1546"/>
      <c r="G38" s="106"/>
      <c r="H38" s="1531"/>
      <c r="I38" s="1531"/>
      <c r="J38" s="1531"/>
    </row>
    <row r="39" spans="1:10" x14ac:dyDescent="0.25">
      <c r="A39" s="1193"/>
      <c r="B39" s="1193"/>
      <c r="C39" s="1546"/>
      <c r="D39" s="1546"/>
      <c r="E39" s="1546"/>
      <c r="F39" s="1546"/>
      <c r="G39" s="1193"/>
      <c r="H39" s="1531" t="s">
        <v>329</v>
      </c>
      <c r="I39" s="1531"/>
      <c r="J39" s="1531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</sheetData>
  <mergeCells count="28">
    <mergeCell ref="H39:J39"/>
    <mergeCell ref="A31:B31"/>
    <mergeCell ref="A32:B32"/>
    <mergeCell ref="A33:B33"/>
    <mergeCell ref="A34:B34"/>
    <mergeCell ref="H36:J36"/>
    <mergeCell ref="A38:B38"/>
    <mergeCell ref="C38:F39"/>
    <mergeCell ref="H38:J38"/>
    <mergeCell ref="A7:I7"/>
    <mergeCell ref="A30:B30"/>
    <mergeCell ref="A9:J9"/>
    <mergeCell ref="A11:J11"/>
    <mergeCell ref="I13:J13"/>
    <mergeCell ref="C14:G14"/>
    <mergeCell ref="I14:J14"/>
    <mergeCell ref="A16:A17"/>
    <mergeCell ref="B16:B17"/>
    <mergeCell ref="C16:F16"/>
    <mergeCell ref="G16:H16"/>
    <mergeCell ref="I16:J16"/>
    <mergeCell ref="A13:G13"/>
    <mergeCell ref="G1:J1"/>
    <mergeCell ref="G2:J2"/>
    <mergeCell ref="G3:J3"/>
    <mergeCell ref="H5:I5"/>
    <mergeCell ref="A6:G6"/>
    <mergeCell ref="A5:G5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43"/>
  <sheetViews>
    <sheetView view="pageBreakPreview" topLeftCell="A8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589" customWidth="1"/>
    <col min="2" max="2" width="22.44140625" style="589" customWidth="1"/>
    <col min="3" max="7" width="7.5546875" style="589" customWidth="1"/>
    <col min="8" max="8" width="8.88671875" style="589" customWidth="1"/>
    <col min="9" max="9" width="7.5546875" style="589" customWidth="1"/>
    <col min="10" max="10" width="9" style="589" customWidth="1"/>
    <col min="11" max="11" width="4.5546875" style="589" customWidth="1"/>
    <col min="12" max="16384" width="8.88671875" style="58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71)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s="2" customFormat="1" ht="19.350000000000001" customHeight="1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21.6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201">
        <v>101</v>
      </c>
    </row>
    <row r="8" spans="1:10" s="2" customFormat="1" ht="9.6" customHeight="1" x14ac:dyDescent="0.25">
      <c r="A8" s="1197"/>
      <c r="B8" s="1197"/>
      <c r="C8" s="1197"/>
      <c r="D8" s="1197"/>
      <c r="E8" s="1197"/>
      <c r="F8" s="1197"/>
      <c r="G8" s="1197"/>
      <c r="H8" s="1197"/>
      <c r="I8" s="1197"/>
      <c r="J8" s="109"/>
    </row>
    <row r="9" spans="1:10" s="2" customFormat="1" ht="26.1" customHeight="1" x14ac:dyDescent="0.3">
      <c r="A9" s="1550" t="s">
        <v>869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'101-суп картофельный овсянка'!H14+1</f>
        <v>71</v>
      </c>
      <c r="I14" s="1534">
        <v>44986</v>
      </c>
      <c r="J14" s="1535"/>
    </row>
    <row r="15" spans="1:10" s="2" customFormat="1" ht="11.4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590" t="s">
        <v>92</v>
      </c>
      <c r="D17" s="590" t="s">
        <v>94</v>
      </c>
      <c r="E17" s="590" t="s">
        <v>93</v>
      </c>
      <c r="F17" s="590" t="s">
        <v>23</v>
      </c>
      <c r="G17" s="590" t="s">
        <v>92</v>
      </c>
      <c r="H17" s="590" t="s">
        <v>94</v>
      </c>
      <c r="I17" s="590" t="s">
        <v>92</v>
      </c>
      <c r="J17" s="590" t="s">
        <v>94</v>
      </c>
    </row>
    <row r="18" spans="1:13" ht="9.6" customHeight="1" x14ac:dyDescent="0.25">
      <c r="A18" s="590">
        <v>1</v>
      </c>
      <c r="B18" s="592">
        <v>2</v>
      </c>
      <c r="C18" s="590">
        <v>3</v>
      </c>
      <c r="D18" s="592">
        <v>4</v>
      </c>
      <c r="E18" s="590">
        <v>5</v>
      </c>
      <c r="F18" s="592">
        <v>6</v>
      </c>
      <c r="G18" s="590">
        <v>7</v>
      </c>
      <c r="H18" s="592">
        <v>8</v>
      </c>
      <c r="I18" s="590">
        <v>9</v>
      </c>
      <c r="J18" s="592">
        <v>10</v>
      </c>
    </row>
    <row r="19" spans="1:13" s="10" customFormat="1" ht="14.1" customHeight="1" x14ac:dyDescent="0.25">
      <c r="A19" s="180">
        <v>1</v>
      </c>
      <c r="B19" s="20" t="s">
        <v>50</v>
      </c>
      <c r="C19" s="21">
        <v>0.4</v>
      </c>
      <c r="D19" s="21">
        <v>0.3</v>
      </c>
      <c r="E19" s="408">
        <f>цены!F35</f>
        <v>50</v>
      </c>
      <c r="F19" s="408">
        <f>C19*E19</f>
        <v>20</v>
      </c>
      <c r="G19" s="97">
        <f t="shared" ref="G19:H28" si="0">C19*10</f>
        <v>4</v>
      </c>
      <c r="H19" s="21">
        <f t="shared" si="0"/>
        <v>3</v>
      </c>
      <c r="I19" s="21">
        <f t="shared" ref="I19:J28" si="1">C19*100</f>
        <v>40</v>
      </c>
      <c r="J19" s="21">
        <f t="shared" si="1"/>
        <v>30</v>
      </c>
      <c r="L19" s="1018">
        <f>C19/C$33</f>
        <v>0.1</v>
      </c>
      <c r="M19" s="1018">
        <f>F19/C$33</f>
        <v>5</v>
      </c>
    </row>
    <row r="20" spans="1:13" s="10" customFormat="1" ht="12" customHeight="1" x14ac:dyDescent="0.25">
      <c r="A20" s="180">
        <v>2</v>
      </c>
      <c r="B20" s="20" t="s">
        <v>857</v>
      </c>
      <c r="C20" s="21">
        <v>0.04</v>
      </c>
      <c r="D20" s="21">
        <v>0.04</v>
      </c>
      <c r="E20" s="408">
        <f>цены!F80</f>
        <v>35</v>
      </c>
      <c r="F20" s="408">
        <f>C20*E20</f>
        <v>1.4</v>
      </c>
      <c r="G20" s="97">
        <f t="shared" si="0"/>
        <v>0.4</v>
      </c>
      <c r="H20" s="21">
        <f t="shared" si="0"/>
        <v>0.4</v>
      </c>
      <c r="I20" s="21">
        <f t="shared" si="1"/>
        <v>4</v>
      </c>
      <c r="J20" s="21">
        <f t="shared" si="1"/>
        <v>4</v>
      </c>
      <c r="L20" s="1018">
        <f t="shared" ref="L20" si="2">C20/C$33</f>
        <v>0.01</v>
      </c>
      <c r="M20" s="1018">
        <f t="shared" ref="M20" si="3">F20/C$33</f>
        <v>0.35</v>
      </c>
    </row>
    <row r="21" spans="1:13" s="10" customFormat="1" ht="12" customHeight="1" x14ac:dyDescent="0.25">
      <c r="A21" s="180">
        <v>3</v>
      </c>
      <c r="B21" s="20" t="s">
        <v>47</v>
      </c>
      <c r="C21" s="21">
        <v>0.05</v>
      </c>
      <c r="D21" s="21">
        <v>0.04</v>
      </c>
      <c r="E21" s="408">
        <f>цены!F44</f>
        <v>50</v>
      </c>
      <c r="F21" s="408">
        <f t="shared" ref="F21:F28" si="4">C21*E21</f>
        <v>2.5</v>
      </c>
      <c r="G21" s="97">
        <f t="shared" si="0"/>
        <v>0.5</v>
      </c>
      <c r="H21" s="21">
        <f t="shared" si="0"/>
        <v>0.4</v>
      </c>
      <c r="I21" s="21">
        <f t="shared" si="1"/>
        <v>5</v>
      </c>
      <c r="J21" s="21">
        <f t="shared" si="1"/>
        <v>4</v>
      </c>
      <c r="L21" s="1018">
        <f t="shared" ref="L21:L28" si="5">C21/C$33</f>
        <v>1.2500000000000001E-2</v>
      </c>
      <c r="M21" s="1018">
        <f t="shared" ref="M21:M28" si="6">F21/C$33</f>
        <v>0.625</v>
      </c>
    </row>
    <row r="22" spans="1:13" s="10" customFormat="1" ht="12" customHeight="1" x14ac:dyDescent="0.25">
      <c r="A22" s="180">
        <v>4</v>
      </c>
      <c r="B22" s="20" t="s">
        <v>48</v>
      </c>
      <c r="C22" s="21">
        <v>4.8000000000000001E-2</v>
      </c>
      <c r="D22" s="21">
        <v>0.04</v>
      </c>
      <c r="E22" s="408">
        <f>цены!F38</f>
        <v>50</v>
      </c>
      <c r="F22" s="408">
        <f t="shared" si="4"/>
        <v>2.4</v>
      </c>
      <c r="G22" s="97">
        <f t="shared" si="0"/>
        <v>0.48</v>
      </c>
      <c r="H22" s="21">
        <f t="shared" si="0"/>
        <v>0.4</v>
      </c>
      <c r="I22" s="21">
        <f t="shared" si="1"/>
        <v>4.8</v>
      </c>
      <c r="J22" s="21">
        <f t="shared" si="1"/>
        <v>4</v>
      </c>
      <c r="L22" s="1018">
        <f t="shared" si="5"/>
        <v>1.2E-2</v>
      </c>
      <c r="M22" s="1018">
        <f t="shared" si="6"/>
        <v>0.6</v>
      </c>
    </row>
    <row r="23" spans="1:13" s="10" customFormat="1" ht="12" customHeight="1" x14ac:dyDescent="0.25">
      <c r="A23" s="180">
        <v>5</v>
      </c>
      <c r="B23" s="20" t="s">
        <v>74</v>
      </c>
      <c r="C23" s="21">
        <v>0.01</v>
      </c>
      <c r="D23" s="21">
        <v>0.01</v>
      </c>
      <c r="E23" s="408">
        <f>цены!F87</f>
        <v>120</v>
      </c>
      <c r="F23" s="408">
        <f t="shared" si="4"/>
        <v>1.2</v>
      </c>
      <c r="G23" s="97">
        <f t="shared" si="0"/>
        <v>0.1</v>
      </c>
      <c r="H23" s="21">
        <f t="shared" si="0"/>
        <v>0.1</v>
      </c>
      <c r="I23" s="21">
        <f t="shared" si="1"/>
        <v>1</v>
      </c>
      <c r="J23" s="21">
        <f t="shared" si="1"/>
        <v>1</v>
      </c>
      <c r="L23" s="1018">
        <f t="shared" si="5"/>
        <v>2.5000000000000001E-3</v>
      </c>
      <c r="M23" s="1018">
        <f t="shared" si="6"/>
        <v>0.3</v>
      </c>
    </row>
    <row r="24" spans="1:13" s="10" customFormat="1" ht="12" customHeight="1" x14ac:dyDescent="0.25">
      <c r="A24" s="180">
        <v>6</v>
      </c>
      <c r="B24" s="20" t="s">
        <v>141</v>
      </c>
      <c r="C24" s="21">
        <v>0.7</v>
      </c>
      <c r="D24" s="21">
        <v>0.7</v>
      </c>
      <c r="E24" s="408"/>
      <c r="F24" s="408">
        <f t="shared" si="4"/>
        <v>0</v>
      </c>
      <c r="G24" s="97">
        <f t="shared" si="0"/>
        <v>7</v>
      </c>
      <c r="H24" s="21">
        <f t="shared" si="0"/>
        <v>7</v>
      </c>
      <c r="I24" s="21">
        <f t="shared" si="1"/>
        <v>70</v>
      </c>
      <c r="J24" s="21">
        <f t="shared" si="1"/>
        <v>70</v>
      </c>
      <c r="L24" s="1018">
        <f t="shared" si="5"/>
        <v>0.17499999999999999</v>
      </c>
      <c r="M24" s="1018">
        <f t="shared" si="6"/>
        <v>0</v>
      </c>
    </row>
    <row r="25" spans="1:13" s="10" customFormat="1" ht="12" customHeight="1" x14ac:dyDescent="0.25">
      <c r="A25" s="180">
        <v>7</v>
      </c>
      <c r="B25" s="20" t="s">
        <v>84</v>
      </c>
      <c r="C25" s="113">
        <v>4.0000000000000003E-5</v>
      </c>
      <c r="D25" s="113">
        <v>4.0000000000000003E-5</v>
      </c>
      <c r="E25" s="408">
        <f>цены!F100</f>
        <v>1000</v>
      </c>
      <c r="F25" s="408">
        <f t="shared" si="4"/>
        <v>0.04</v>
      </c>
      <c r="G25" s="97">
        <f t="shared" si="0"/>
        <v>0</v>
      </c>
      <c r="H25" s="21">
        <f t="shared" si="0"/>
        <v>0</v>
      </c>
      <c r="I25" s="21">
        <f t="shared" si="1"/>
        <v>4.0000000000000001E-3</v>
      </c>
      <c r="J25" s="21">
        <f t="shared" si="1"/>
        <v>4.0000000000000001E-3</v>
      </c>
      <c r="L25" s="1018">
        <f t="shared" si="5"/>
        <v>0</v>
      </c>
      <c r="M25" s="1018">
        <f t="shared" si="6"/>
        <v>0.01</v>
      </c>
    </row>
    <row r="26" spans="1:13" s="10" customFormat="1" ht="12" customHeight="1" x14ac:dyDescent="0.25">
      <c r="A26" s="180">
        <v>8</v>
      </c>
      <c r="B26" s="20" t="s">
        <v>33</v>
      </c>
      <c r="C26" s="21">
        <v>0.01</v>
      </c>
      <c r="D26" s="21">
        <v>0.01</v>
      </c>
      <c r="E26" s="408">
        <f>цены!F110</f>
        <v>24</v>
      </c>
      <c r="F26" s="408">
        <f t="shared" si="4"/>
        <v>0.24</v>
      </c>
      <c r="G26" s="97">
        <f t="shared" si="0"/>
        <v>0.1</v>
      </c>
      <c r="H26" s="21">
        <f t="shared" si="0"/>
        <v>0.1</v>
      </c>
      <c r="I26" s="21">
        <f t="shared" si="1"/>
        <v>1</v>
      </c>
      <c r="J26" s="21">
        <f t="shared" si="1"/>
        <v>1</v>
      </c>
      <c r="L26" s="1018">
        <f t="shared" si="5"/>
        <v>2.5000000000000001E-3</v>
      </c>
      <c r="M26" s="1018">
        <f t="shared" si="6"/>
        <v>0.06</v>
      </c>
    </row>
    <row r="27" spans="1:13" s="10" customFormat="1" ht="12" customHeight="1" x14ac:dyDescent="0.25">
      <c r="A27" s="180">
        <v>9</v>
      </c>
      <c r="B27" s="20" t="s">
        <v>51</v>
      </c>
      <c r="C27" s="21">
        <v>0.02</v>
      </c>
      <c r="D27" s="21">
        <v>0.02</v>
      </c>
      <c r="E27" s="408">
        <f>цены!F24</f>
        <v>234</v>
      </c>
      <c r="F27" s="408">
        <f t="shared" si="4"/>
        <v>4.68</v>
      </c>
      <c r="G27" s="97">
        <f t="shared" si="0"/>
        <v>0.2</v>
      </c>
      <c r="H27" s="21">
        <f t="shared" si="0"/>
        <v>0.2</v>
      </c>
      <c r="I27" s="21">
        <f t="shared" si="1"/>
        <v>2</v>
      </c>
      <c r="J27" s="21">
        <f t="shared" si="1"/>
        <v>2</v>
      </c>
      <c r="L27" s="1018">
        <f t="shared" si="5"/>
        <v>5.0000000000000001E-3</v>
      </c>
      <c r="M27" s="1018">
        <f t="shared" si="6"/>
        <v>1.17</v>
      </c>
    </row>
    <row r="28" spans="1:13" s="10" customFormat="1" ht="12" customHeight="1" x14ac:dyDescent="0.25">
      <c r="A28" s="180">
        <v>10</v>
      </c>
      <c r="B28" s="20" t="s">
        <v>78</v>
      </c>
      <c r="C28" s="21">
        <f>0.002*C33</f>
        <v>8.0000000000000002E-3</v>
      </c>
      <c r="D28" s="21">
        <f>0.002*C33</f>
        <v>8.0000000000000002E-3</v>
      </c>
      <c r="E28" s="408">
        <f>цены!F48</f>
        <v>300</v>
      </c>
      <c r="F28" s="408">
        <f t="shared" si="4"/>
        <v>2.4</v>
      </c>
      <c r="G28" s="97">
        <f t="shared" si="0"/>
        <v>0.08</v>
      </c>
      <c r="H28" s="21">
        <f t="shared" si="0"/>
        <v>0.08</v>
      </c>
      <c r="I28" s="21">
        <f t="shared" si="1"/>
        <v>0.8</v>
      </c>
      <c r="J28" s="21">
        <f t="shared" si="1"/>
        <v>0.8</v>
      </c>
      <c r="L28" s="1018">
        <f t="shared" si="5"/>
        <v>2E-3</v>
      </c>
      <c r="M28" s="1018">
        <f t="shared" si="6"/>
        <v>0.6</v>
      </c>
    </row>
    <row r="29" spans="1:13" s="10" customFormat="1" ht="12" customHeight="1" x14ac:dyDescent="0.25">
      <c r="A29" s="98"/>
      <c r="B29" s="93" t="s">
        <v>100</v>
      </c>
      <c r="C29" s="114"/>
      <c r="D29" s="100">
        <v>1</v>
      </c>
      <c r="E29" s="95"/>
      <c r="F29" s="95">
        <f>SUM(F19:F28)</f>
        <v>34.86</v>
      </c>
      <c r="G29" s="99"/>
      <c r="H29" s="100">
        <f>D29*10</f>
        <v>10</v>
      </c>
      <c r="I29" s="100"/>
      <c r="J29" s="100">
        <f>D29*100</f>
        <v>100</v>
      </c>
      <c r="L29" s="1018">
        <f>SUM(L19:L28)</f>
        <v>0.32150000000000001</v>
      </c>
      <c r="M29" s="1018">
        <f>SUM(M19:M28)</f>
        <v>8.7149999999999999</v>
      </c>
    </row>
    <row r="30" spans="1:13" s="10" customFormat="1" ht="27.6" customHeight="1" x14ac:dyDescent="0.25">
      <c r="A30" s="1536" t="s">
        <v>35</v>
      </c>
      <c r="B30" s="1536"/>
      <c r="C30" s="90"/>
      <c r="D30" s="90"/>
      <c r="E30" s="408"/>
      <c r="F30" s="408">
        <f>F29</f>
        <v>34.86</v>
      </c>
      <c r="G30" s="591"/>
      <c r="H30" s="591"/>
      <c r="I30" s="21"/>
      <c r="J30" s="408"/>
    </row>
    <row r="31" spans="1:13" s="10" customFormat="1" ht="25.35" customHeight="1" x14ac:dyDescent="0.25">
      <c r="A31" s="1536" t="s">
        <v>36</v>
      </c>
      <c r="B31" s="1536"/>
      <c r="C31" s="90">
        <v>1000</v>
      </c>
      <c r="D31" s="90"/>
      <c r="E31" s="408"/>
      <c r="F31" s="408"/>
      <c r="G31" s="408"/>
      <c r="H31" s="408"/>
      <c r="I31" s="21"/>
      <c r="J31" s="17"/>
    </row>
    <row r="32" spans="1:13" s="10" customFormat="1" ht="25.35" customHeight="1" x14ac:dyDescent="0.25">
      <c r="A32" s="1537" t="s">
        <v>37</v>
      </c>
      <c r="B32" s="1538"/>
      <c r="C32" s="91">
        <v>250</v>
      </c>
      <c r="D32" s="92"/>
      <c r="E32" s="592"/>
      <c r="F32" s="592"/>
      <c r="G32" s="592"/>
      <c r="H32" s="592"/>
      <c r="I32" s="21"/>
      <c r="J32" s="17"/>
    </row>
    <row r="33" spans="1:10" s="10" customFormat="1" ht="15" customHeight="1" x14ac:dyDescent="0.25">
      <c r="A33" s="1539" t="s">
        <v>38</v>
      </c>
      <c r="B33" s="1540"/>
      <c r="C33" s="92">
        <f>C31/C32</f>
        <v>4</v>
      </c>
      <c r="D33" s="92"/>
      <c r="E33" s="592"/>
      <c r="F33" s="592"/>
      <c r="G33" s="592"/>
      <c r="H33" s="592"/>
      <c r="I33" s="21"/>
      <c r="J33" s="17"/>
    </row>
    <row r="34" spans="1:10" ht="16.350000000000001" customHeight="1" x14ac:dyDescent="0.25">
      <c r="A34" s="1541" t="s">
        <v>39</v>
      </c>
      <c r="B34" s="1542"/>
      <c r="C34" s="15" t="s">
        <v>40</v>
      </c>
      <c r="D34" s="102"/>
      <c r="E34" s="102" t="s">
        <v>40</v>
      </c>
      <c r="F34" s="16">
        <f>F30/C33</f>
        <v>8.7200000000000006</v>
      </c>
      <c r="G34" s="16"/>
      <c r="H34" s="16"/>
      <c r="I34" s="102" t="s">
        <v>40</v>
      </c>
      <c r="J34" s="102" t="s">
        <v>40</v>
      </c>
    </row>
    <row r="35" spans="1:10" ht="23.1" customHeight="1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193"/>
      <c r="B36" s="1194" t="s">
        <v>49</v>
      </c>
      <c r="C36" s="1198"/>
      <c r="D36" s="1198"/>
      <c r="E36" s="1198"/>
      <c r="F36" s="1198"/>
      <c r="G36" s="1193"/>
      <c r="H36" s="1556">
        <f>'1-бутерброд с маслом'!$H$28</f>
        <v>0</v>
      </c>
      <c r="I36" s="1556"/>
      <c r="J36" s="1556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545" t="s">
        <v>327</v>
      </c>
      <c r="B38" s="1545"/>
      <c r="C38" s="1546" t="s">
        <v>328</v>
      </c>
      <c r="D38" s="1546"/>
      <c r="E38" s="1546"/>
      <c r="F38" s="1546"/>
      <c r="G38" s="106"/>
      <c r="H38" s="1531"/>
      <c r="I38" s="1531"/>
      <c r="J38" s="1531"/>
    </row>
    <row r="39" spans="1:10" x14ac:dyDescent="0.25">
      <c r="A39" s="1193"/>
      <c r="B39" s="1193"/>
      <c r="C39" s="1546"/>
      <c r="D39" s="1546"/>
      <c r="E39" s="1546"/>
      <c r="F39" s="1546"/>
      <c r="G39" s="1193"/>
      <c r="H39" s="1531" t="s">
        <v>329</v>
      </c>
      <c r="I39" s="1531"/>
      <c r="J39" s="1531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</sheetData>
  <mergeCells count="28">
    <mergeCell ref="H39:J39"/>
    <mergeCell ref="A31:B31"/>
    <mergeCell ref="A32:B32"/>
    <mergeCell ref="A33:B33"/>
    <mergeCell ref="A34:B34"/>
    <mergeCell ref="H36:J36"/>
    <mergeCell ref="A38:B38"/>
    <mergeCell ref="C38:F39"/>
    <mergeCell ref="H38:J38"/>
    <mergeCell ref="A7:I7"/>
    <mergeCell ref="A5:G5"/>
    <mergeCell ref="A30:B30"/>
    <mergeCell ref="A9:J9"/>
    <mergeCell ref="A11:J11"/>
    <mergeCell ref="I13:J13"/>
    <mergeCell ref="C14:G14"/>
    <mergeCell ref="I14:J14"/>
    <mergeCell ref="A16:A17"/>
    <mergeCell ref="B16:B17"/>
    <mergeCell ref="C16:F16"/>
    <mergeCell ref="G16:H16"/>
    <mergeCell ref="I16:J16"/>
    <mergeCell ref="A13:G13"/>
    <mergeCell ref="G1:J1"/>
    <mergeCell ref="G2:J2"/>
    <mergeCell ref="G3:J3"/>
    <mergeCell ref="H5:I5"/>
    <mergeCell ref="A6:G6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43"/>
  <sheetViews>
    <sheetView view="pageBreakPreview" topLeftCell="A5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595" customWidth="1"/>
    <col min="2" max="2" width="22.44140625" style="595" customWidth="1"/>
    <col min="3" max="7" width="7.5546875" style="595" customWidth="1"/>
    <col min="8" max="8" width="8.88671875" style="595" customWidth="1"/>
    <col min="9" max="9" width="7.5546875" style="595" customWidth="1"/>
    <col min="10" max="10" width="9" style="595" customWidth="1"/>
    <col min="11" max="16384" width="8.88671875" style="595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72)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s="1193" customFormat="1" x14ac:dyDescent="0.25"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101</v>
      </c>
    </row>
    <row r="8" spans="1:10" s="2" customFormat="1" ht="9.6" customHeight="1" x14ac:dyDescent="0.25">
      <c r="A8" s="597"/>
      <c r="B8" s="597"/>
      <c r="C8" s="597"/>
      <c r="D8" s="597"/>
      <c r="E8" s="597"/>
      <c r="F8" s="597"/>
      <c r="G8" s="597"/>
      <c r="H8" s="597"/>
      <c r="I8" s="597"/>
      <c r="J8" s="109"/>
    </row>
    <row r="9" spans="1:10" s="2" customFormat="1" ht="26.1" customHeight="1" x14ac:dyDescent="0.3">
      <c r="A9" s="1550" t="s">
        <v>891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'101-суп картофельный пшенич'!H14+1</f>
        <v>72</v>
      </c>
      <c r="I14" s="1534">
        <v>44986</v>
      </c>
      <c r="J14" s="1535"/>
    </row>
    <row r="15" spans="1:10" s="2" customFormat="1" ht="11.4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598" t="s">
        <v>92</v>
      </c>
      <c r="D17" s="598" t="s">
        <v>94</v>
      </c>
      <c r="E17" s="598" t="s">
        <v>93</v>
      </c>
      <c r="F17" s="598" t="s">
        <v>23</v>
      </c>
      <c r="G17" s="598" t="s">
        <v>92</v>
      </c>
      <c r="H17" s="598" t="s">
        <v>94</v>
      </c>
      <c r="I17" s="598" t="s">
        <v>92</v>
      </c>
      <c r="J17" s="598" t="s">
        <v>94</v>
      </c>
    </row>
    <row r="18" spans="1:13" ht="9.6" customHeight="1" x14ac:dyDescent="0.25">
      <c r="A18" s="598">
        <v>1</v>
      </c>
      <c r="B18" s="599">
        <v>2</v>
      </c>
      <c r="C18" s="598">
        <v>3</v>
      </c>
      <c r="D18" s="599">
        <v>4</v>
      </c>
      <c r="E18" s="598">
        <v>5</v>
      </c>
      <c r="F18" s="599">
        <v>6</v>
      </c>
      <c r="G18" s="598">
        <v>7</v>
      </c>
      <c r="H18" s="599">
        <v>8</v>
      </c>
      <c r="I18" s="598">
        <v>9</v>
      </c>
      <c r="J18" s="599">
        <v>10</v>
      </c>
    </row>
    <row r="19" spans="1:13" s="10" customFormat="1" ht="14.1" customHeight="1" x14ac:dyDescent="0.25">
      <c r="A19" s="180">
        <v>1</v>
      </c>
      <c r="B19" s="20" t="s">
        <v>50</v>
      </c>
      <c r="C19" s="21">
        <v>0.4</v>
      </c>
      <c r="D19" s="21">
        <v>0.3</v>
      </c>
      <c r="E19" s="408">
        <f>цены!F35</f>
        <v>50</v>
      </c>
      <c r="F19" s="408">
        <f>C19*E19</f>
        <v>20</v>
      </c>
      <c r="G19" s="97">
        <f t="shared" ref="G19:H28" si="0">C19*10</f>
        <v>4</v>
      </c>
      <c r="H19" s="21">
        <f t="shared" si="0"/>
        <v>3</v>
      </c>
      <c r="I19" s="21">
        <f t="shared" ref="I19:J28" si="1">C19*100</f>
        <v>40</v>
      </c>
      <c r="J19" s="21">
        <f t="shared" si="1"/>
        <v>30</v>
      </c>
      <c r="L19" s="1018">
        <f>C19/C$33</f>
        <v>0.1</v>
      </c>
      <c r="M19" s="1018">
        <f>F19/C$33</f>
        <v>5</v>
      </c>
    </row>
    <row r="20" spans="1:13" s="10" customFormat="1" ht="12" customHeight="1" x14ac:dyDescent="0.25">
      <c r="A20" s="180">
        <v>2</v>
      </c>
      <c r="B20" s="20" t="s">
        <v>813</v>
      </c>
      <c r="C20" s="21">
        <v>0.02</v>
      </c>
      <c r="D20" s="21">
        <v>0.02</v>
      </c>
      <c r="E20" s="408">
        <f>цены!F84</f>
        <v>65</v>
      </c>
      <c r="F20" s="408">
        <f>C20*E20</f>
        <v>1.3</v>
      </c>
      <c r="G20" s="97">
        <f t="shared" si="0"/>
        <v>0.2</v>
      </c>
      <c r="H20" s="21">
        <f t="shared" si="0"/>
        <v>0.2</v>
      </c>
      <c r="I20" s="21">
        <f t="shared" si="1"/>
        <v>2</v>
      </c>
      <c r="J20" s="21">
        <f t="shared" si="1"/>
        <v>2</v>
      </c>
      <c r="L20" s="1018">
        <f t="shared" ref="L20:L28" si="2">C20/C$33</f>
        <v>5.0000000000000001E-3</v>
      </c>
      <c r="M20" s="1018">
        <f t="shared" ref="M20:M28" si="3">F20/C$33</f>
        <v>0.32500000000000001</v>
      </c>
    </row>
    <row r="21" spans="1:13" s="10" customFormat="1" ht="12" customHeight="1" x14ac:dyDescent="0.25">
      <c r="A21" s="180">
        <v>3</v>
      </c>
      <c r="B21" s="20" t="s">
        <v>47</v>
      </c>
      <c r="C21" s="21">
        <v>0.05</v>
      </c>
      <c r="D21" s="21">
        <v>0.04</v>
      </c>
      <c r="E21" s="408">
        <f>цены!F44</f>
        <v>50</v>
      </c>
      <c r="F21" s="408">
        <f t="shared" ref="F21:F28" si="4">C21*E21</f>
        <v>2.5</v>
      </c>
      <c r="G21" s="97">
        <f t="shared" si="0"/>
        <v>0.5</v>
      </c>
      <c r="H21" s="21">
        <f t="shared" si="0"/>
        <v>0.4</v>
      </c>
      <c r="I21" s="21">
        <f t="shared" si="1"/>
        <v>5</v>
      </c>
      <c r="J21" s="21">
        <f t="shared" si="1"/>
        <v>4</v>
      </c>
      <c r="L21" s="1018">
        <f t="shared" si="2"/>
        <v>1.2500000000000001E-2</v>
      </c>
      <c r="M21" s="1018">
        <f t="shared" si="3"/>
        <v>0.625</v>
      </c>
    </row>
    <row r="22" spans="1:13" s="10" customFormat="1" ht="12" customHeight="1" x14ac:dyDescent="0.25">
      <c r="A22" s="180">
        <v>4</v>
      </c>
      <c r="B22" s="20" t="s">
        <v>48</v>
      </c>
      <c r="C22" s="21">
        <v>4.8000000000000001E-2</v>
      </c>
      <c r="D22" s="21">
        <v>0.04</v>
      </c>
      <c r="E22" s="408">
        <f>цены!F38</f>
        <v>50</v>
      </c>
      <c r="F22" s="408">
        <f t="shared" si="4"/>
        <v>2.4</v>
      </c>
      <c r="G22" s="97">
        <f t="shared" si="0"/>
        <v>0.48</v>
      </c>
      <c r="H22" s="21">
        <f t="shared" si="0"/>
        <v>0.4</v>
      </c>
      <c r="I22" s="21">
        <f t="shared" si="1"/>
        <v>4.8</v>
      </c>
      <c r="J22" s="21">
        <f t="shared" si="1"/>
        <v>4</v>
      </c>
      <c r="L22" s="1018">
        <f t="shared" si="2"/>
        <v>1.2E-2</v>
      </c>
      <c r="M22" s="1018">
        <f t="shared" si="3"/>
        <v>0.6</v>
      </c>
    </row>
    <row r="23" spans="1:13" s="10" customFormat="1" ht="12" customHeight="1" x14ac:dyDescent="0.25">
      <c r="A23" s="180">
        <v>5</v>
      </c>
      <c r="B23" s="20" t="s">
        <v>74</v>
      </c>
      <c r="C23" s="21">
        <v>0.01</v>
      </c>
      <c r="D23" s="21">
        <v>0.01</v>
      </c>
      <c r="E23" s="408">
        <f>цены!F87</f>
        <v>120</v>
      </c>
      <c r="F23" s="408">
        <f t="shared" si="4"/>
        <v>1.2</v>
      </c>
      <c r="G23" s="97">
        <f t="shared" si="0"/>
        <v>0.1</v>
      </c>
      <c r="H23" s="21">
        <f t="shared" si="0"/>
        <v>0.1</v>
      </c>
      <c r="I23" s="21">
        <f t="shared" si="1"/>
        <v>1</v>
      </c>
      <c r="J23" s="21">
        <f t="shared" si="1"/>
        <v>1</v>
      </c>
      <c r="L23" s="1018">
        <f t="shared" si="2"/>
        <v>2.5000000000000001E-3</v>
      </c>
      <c r="M23" s="1018">
        <f t="shared" si="3"/>
        <v>0.3</v>
      </c>
    </row>
    <row r="24" spans="1:13" s="10" customFormat="1" ht="12" customHeight="1" x14ac:dyDescent="0.25">
      <c r="A24" s="180">
        <v>6</v>
      </c>
      <c r="B24" s="20" t="s">
        <v>141</v>
      </c>
      <c r="C24" s="21">
        <v>0.7</v>
      </c>
      <c r="D24" s="21">
        <v>0.7</v>
      </c>
      <c r="E24" s="408"/>
      <c r="F24" s="408">
        <f t="shared" si="4"/>
        <v>0</v>
      </c>
      <c r="G24" s="97">
        <f t="shared" si="0"/>
        <v>7</v>
      </c>
      <c r="H24" s="21">
        <f t="shared" si="0"/>
        <v>7</v>
      </c>
      <c r="I24" s="21">
        <f t="shared" si="1"/>
        <v>70</v>
      </c>
      <c r="J24" s="21">
        <f t="shared" si="1"/>
        <v>70</v>
      </c>
      <c r="L24" s="1018">
        <f t="shared" si="2"/>
        <v>0.17499999999999999</v>
      </c>
      <c r="M24" s="1018">
        <f t="shared" si="3"/>
        <v>0</v>
      </c>
    </row>
    <row r="25" spans="1:13" s="10" customFormat="1" ht="12" customHeight="1" x14ac:dyDescent="0.25">
      <c r="A25" s="180">
        <v>7</v>
      </c>
      <c r="B25" s="20" t="s">
        <v>84</v>
      </c>
      <c r="C25" s="113">
        <v>4.0000000000000003E-5</v>
      </c>
      <c r="D25" s="113">
        <v>4.0000000000000003E-5</v>
      </c>
      <c r="E25" s="408">
        <f>цены!F100</f>
        <v>1000</v>
      </c>
      <c r="F25" s="408">
        <f t="shared" si="4"/>
        <v>0.04</v>
      </c>
      <c r="G25" s="97">
        <f t="shared" si="0"/>
        <v>0</v>
      </c>
      <c r="H25" s="21">
        <f t="shared" si="0"/>
        <v>0</v>
      </c>
      <c r="I25" s="21">
        <f t="shared" si="1"/>
        <v>4.0000000000000001E-3</v>
      </c>
      <c r="J25" s="21">
        <f t="shared" si="1"/>
        <v>4.0000000000000001E-3</v>
      </c>
      <c r="L25" s="1018">
        <f t="shared" si="2"/>
        <v>0</v>
      </c>
      <c r="M25" s="1018">
        <f t="shared" si="3"/>
        <v>0.01</v>
      </c>
    </row>
    <row r="26" spans="1:13" s="10" customFormat="1" ht="12" customHeight="1" x14ac:dyDescent="0.25">
      <c r="A26" s="180">
        <v>8</v>
      </c>
      <c r="B26" s="20" t="s">
        <v>33</v>
      </c>
      <c r="C26" s="21">
        <v>0.01</v>
      </c>
      <c r="D26" s="21">
        <v>0.01</v>
      </c>
      <c r="E26" s="408">
        <f>цены!F110</f>
        <v>24</v>
      </c>
      <c r="F26" s="408">
        <f t="shared" si="4"/>
        <v>0.24</v>
      </c>
      <c r="G26" s="97">
        <f t="shared" si="0"/>
        <v>0.1</v>
      </c>
      <c r="H26" s="21">
        <f t="shared" si="0"/>
        <v>0.1</v>
      </c>
      <c r="I26" s="21">
        <f t="shared" si="1"/>
        <v>1</v>
      </c>
      <c r="J26" s="21">
        <f t="shared" si="1"/>
        <v>1</v>
      </c>
      <c r="L26" s="1018">
        <f t="shared" si="2"/>
        <v>2.5000000000000001E-3</v>
      </c>
      <c r="M26" s="1018">
        <f t="shared" si="3"/>
        <v>0.06</v>
      </c>
    </row>
    <row r="27" spans="1:13" s="10" customFormat="1" ht="12" customHeight="1" x14ac:dyDescent="0.25">
      <c r="A27" s="180">
        <v>9</v>
      </c>
      <c r="B27" s="20" t="s">
        <v>51</v>
      </c>
      <c r="C27" s="21">
        <v>0.02</v>
      </c>
      <c r="D27" s="21">
        <v>0.02</v>
      </c>
      <c r="E27" s="408">
        <f>цены!F24</f>
        <v>234</v>
      </c>
      <c r="F27" s="408">
        <f t="shared" si="4"/>
        <v>4.68</v>
      </c>
      <c r="G27" s="97">
        <f t="shared" si="0"/>
        <v>0.2</v>
      </c>
      <c r="H27" s="21">
        <f t="shared" si="0"/>
        <v>0.2</v>
      </c>
      <c r="I27" s="21">
        <f t="shared" si="1"/>
        <v>2</v>
      </c>
      <c r="J27" s="21">
        <f t="shared" si="1"/>
        <v>2</v>
      </c>
      <c r="L27" s="1018">
        <f t="shared" si="2"/>
        <v>5.0000000000000001E-3</v>
      </c>
      <c r="M27" s="1018">
        <f t="shared" si="3"/>
        <v>1.17</v>
      </c>
    </row>
    <row r="28" spans="1:13" s="10" customFormat="1" ht="12" customHeight="1" x14ac:dyDescent="0.25">
      <c r="A28" s="180">
        <v>10</v>
      </c>
      <c r="B28" s="20" t="s">
        <v>78</v>
      </c>
      <c r="C28" s="21">
        <f>0.002*C33</f>
        <v>8.0000000000000002E-3</v>
      </c>
      <c r="D28" s="21">
        <f>0.002*C33</f>
        <v>8.0000000000000002E-3</v>
      </c>
      <c r="E28" s="408">
        <f>цены!F48</f>
        <v>300</v>
      </c>
      <c r="F28" s="408">
        <f t="shared" si="4"/>
        <v>2.4</v>
      </c>
      <c r="G28" s="97">
        <f t="shared" si="0"/>
        <v>0.08</v>
      </c>
      <c r="H28" s="21">
        <f t="shared" si="0"/>
        <v>0.08</v>
      </c>
      <c r="I28" s="21">
        <f t="shared" si="1"/>
        <v>0.8</v>
      </c>
      <c r="J28" s="21">
        <f t="shared" si="1"/>
        <v>0.8</v>
      </c>
      <c r="L28" s="1018">
        <f t="shared" si="2"/>
        <v>2E-3</v>
      </c>
      <c r="M28" s="1018">
        <f t="shared" si="3"/>
        <v>0.6</v>
      </c>
    </row>
    <row r="29" spans="1:13" s="10" customFormat="1" ht="12" customHeight="1" x14ac:dyDescent="0.25">
      <c r="A29" s="98"/>
      <c r="B29" s="93" t="s">
        <v>100</v>
      </c>
      <c r="C29" s="114"/>
      <c r="D29" s="100">
        <v>1</v>
      </c>
      <c r="E29" s="95"/>
      <c r="F29" s="95">
        <f>SUM(F19:F28)</f>
        <v>34.76</v>
      </c>
      <c r="G29" s="99"/>
      <c r="H29" s="100">
        <f>D29*10</f>
        <v>10</v>
      </c>
      <c r="I29" s="100"/>
      <c r="J29" s="100">
        <f>D29*100</f>
        <v>100</v>
      </c>
      <c r="L29" s="1018">
        <f>SUM(L19:L28)</f>
        <v>0.3165</v>
      </c>
      <c r="M29" s="1018">
        <f>SUM(M19:M28)</f>
        <v>8.69</v>
      </c>
    </row>
    <row r="30" spans="1:13" s="10" customFormat="1" ht="27.6" customHeight="1" x14ac:dyDescent="0.25">
      <c r="A30" s="1536" t="s">
        <v>35</v>
      </c>
      <c r="B30" s="1536"/>
      <c r="C30" s="90"/>
      <c r="D30" s="90"/>
      <c r="E30" s="408"/>
      <c r="F30" s="408">
        <f>F29</f>
        <v>34.76</v>
      </c>
      <c r="G30" s="600"/>
      <c r="H30" s="600"/>
      <c r="I30" s="21"/>
      <c r="J30" s="408"/>
    </row>
    <row r="31" spans="1:13" s="10" customFormat="1" ht="25.35" customHeight="1" x14ac:dyDescent="0.25">
      <c r="A31" s="1536" t="s">
        <v>36</v>
      </c>
      <c r="B31" s="1536"/>
      <c r="C31" s="90">
        <v>1000</v>
      </c>
      <c r="D31" s="90"/>
      <c r="E31" s="408"/>
      <c r="F31" s="408"/>
      <c r="G31" s="408"/>
      <c r="H31" s="408"/>
      <c r="I31" s="21"/>
      <c r="J31" s="17"/>
    </row>
    <row r="32" spans="1:13" s="10" customFormat="1" ht="25.35" customHeight="1" x14ac:dyDescent="0.25">
      <c r="A32" s="1537" t="s">
        <v>37</v>
      </c>
      <c r="B32" s="1538"/>
      <c r="C32" s="91">
        <v>250</v>
      </c>
      <c r="D32" s="92"/>
      <c r="E32" s="599"/>
      <c r="F32" s="599"/>
      <c r="G32" s="599"/>
      <c r="H32" s="599"/>
      <c r="I32" s="21"/>
      <c r="J32" s="17"/>
    </row>
    <row r="33" spans="1:10" s="10" customFormat="1" ht="15" customHeight="1" x14ac:dyDescent="0.25">
      <c r="A33" s="1539" t="s">
        <v>38</v>
      </c>
      <c r="B33" s="1540"/>
      <c r="C33" s="92">
        <f>C31/C32</f>
        <v>4</v>
      </c>
      <c r="D33" s="92"/>
      <c r="E33" s="599"/>
      <c r="F33" s="599"/>
      <c r="G33" s="599"/>
      <c r="H33" s="599"/>
      <c r="I33" s="21"/>
      <c r="J33" s="17"/>
    </row>
    <row r="34" spans="1:10" ht="16.350000000000001" customHeight="1" x14ac:dyDescent="0.25">
      <c r="A34" s="1541" t="s">
        <v>39</v>
      </c>
      <c r="B34" s="1542"/>
      <c r="C34" s="15" t="s">
        <v>40</v>
      </c>
      <c r="D34" s="102"/>
      <c r="E34" s="102" t="s">
        <v>40</v>
      </c>
      <c r="F34" s="16">
        <f>F30/C33</f>
        <v>8.69</v>
      </c>
      <c r="G34" s="16"/>
      <c r="H34" s="16"/>
      <c r="I34" s="102" t="s">
        <v>40</v>
      </c>
      <c r="J34" s="102" t="s">
        <v>40</v>
      </c>
    </row>
    <row r="35" spans="1:10" ht="23.1" customHeight="1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193"/>
      <c r="B36" s="1194" t="s">
        <v>49</v>
      </c>
      <c r="C36" s="1198"/>
      <c r="D36" s="1198"/>
      <c r="E36" s="1198"/>
      <c r="F36" s="1198"/>
      <c r="G36" s="1193"/>
      <c r="H36" s="1556">
        <f>'1-бутерброд с маслом'!$H$28</f>
        <v>0</v>
      </c>
      <c r="I36" s="1556"/>
      <c r="J36" s="1556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545" t="s">
        <v>327</v>
      </c>
      <c r="B38" s="1545"/>
      <c r="C38" s="1546" t="s">
        <v>328</v>
      </c>
      <c r="D38" s="1546"/>
      <c r="E38" s="1546"/>
      <c r="F38" s="1546"/>
      <c r="G38" s="106"/>
      <c r="H38" s="1531"/>
      <c r="I38" s="1531"/>
      <c r="J38" s="1531"/>
    </row>
    <row r="39" spans="1:10" x14ac:dyDescent="0.25">
      <c r="A39" s="1193"/>
      <c r="B39" s="1193"/>
      <c r="C39" s="1546"/>
      <c r="D39" s="1546"/>
      <c r="E39" s="1546"/>
      <c r="F39" s="1546"/>
      <c r="G39" s="1193"/>
      <c r="H39" s="1531" t="s">
        <v>329</v>
      </c>
      <c r="I39" s="1531"/>
      <c r="J39" s="1531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8:B38"/>
    <mergeCell ref="C38:F39"/>
    <mergeCell ref="H38:J38"/>
    <mergeCell ref="H39:J39"/>
    <mergeCell ref="A31:B31"/>
    <mergeCell ref="A32:B32"/>
    <mergeCell ref="A33:B33"/>
    <mergeCell ref="A34:B34"/>
    <mergeCell ref="H36:J36"/>
    <mergeCell ref="A30:B30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44"/>
  <sheetViews>
    <sheetView view="pageBreakPreview" topLeftCell="A7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2.44140625" customWidth="1"/>
    <col min="3" max="7" width="7.5546875" customWidth="1"/>
    <col min="8" max="8" width="8.88671875" customWidth="1"/>
    <col min="9" max="9" width="7.5546875" customWidth="1"/>
    <col min="10" max="10" width="9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73)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102</v>
      </c>
    </row>
    <row r="8" spans="1:10" s="2" customFormat="1" ht="9.6" customHeight="1" x14ac:dyDescent="0.25">
      <c r="A8" s="171"/>
      <c r="B8" s="171"/>
      <c r="C8" s="171"/>
      <c r="D8" s="171"/>
      <c r="E8" s="171"/>
      <c r="F8" s="171"/>
      <c r="G8" s="171"/>
      <c r="H8" s="171"/>
      <c r="I8" s="171"/>
      <c r="J8" s="109"/>
    </row>
    <row r="9" spans="1:10" s="2" customFormat="1" ht="26.1" customHeight="1" x14ac:dyDescent="0.3">
      <c r="A9" s="1550" t="s">
        <v>342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'101-суп картофельный хлопья'!H14+1</f>
        <v>73</v>
      </c>
      <c r="I14" s="1534">
        <v>44986</v>
      </c>
      <c r="J14" s="1535"/>
    </row>
    <row r="15" spans="1:10" s="2" customFormat="1" ht="11.4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172" t="s">
        <v>92</v>
      </c>
      <c r="D17" s="172" t="s">
        <v>94</v>
      </c>
      <c r="E17" s="172" t="s">
        <v>93</v>
      </c>
      <c r="F17" s="172" t="s">
        <v>23</v>
      </c>
      <c r="G17" s="172" t="s">
        <v>92</v>
      </c>
      <c r="H17" s="172" t="s">
        <v>94</v>
      </c>
      <c r="I17" s="172" t="s">
        <v>92</v>
      </c>
      <c r="J17" s="172" t="s">
        <v>94</v>
      </c>
    </row>
    <row r="18" spans="1:13" ht="9.6" customHeight="1" x14ac:dyDescent="0.25">
      <c r="A18" s="172">
        <v>1</v>
      </c>
      <c r="B18" s="173">
        <v>2</v>
      </c>
      <c r="C18" s="172">
        <v>3</v>
      </c>
      <c r="D18" s="173">
        <v>4</v>
      </c>
      <c r="E18" s="172">
        <v>5</v>
      </c>
      <c r="F18" s="173">
        <v>6</v>
      </c>
      <c r="G18" s="172">
        <v>7</v>
      </c>
      <c r="H18" s="173">
        <v>8</v>
      </c>
      <c r="I18" s="172">
        <v>9</v>
      </c>
      <c r="J18" s="173">
        <v>10</v>
      </c>
    </row>
    <row r="19" spans="1:13" s="10" customFormat="1" ht="14.1" customHeight="1" x14ac:dyDescent="0.25">
      <c r="A19" s="180">
        <v>1</v>
      </c>
      <c r="B19" s="20" t="s">
        <v>50</v>
      </c>
      <c r="C19" s="21">
        <v>0.26700000000000002</v>
      </c>
      <c r="D19" s="21">
        <v>0.2</v>
      </c>
      <c r="E19" s="13">
        <f>цены!F35</f>
        <v>50</v>
      </c>
      <c r="F19" s="13">
        <f>C19*E19</f>
        <v>13.35</v>
      </c>
      <c r="G19" s="97">
        <f t="shared" ref="G19:H29" si="0">C19*10</f>
        <v>2.67</v>
      </c>
      <c r="H19" s="21">
        <f t="shared" si="0"/>
        <v>2</v>
      </c>
      <c r="I19" s="21">
        <f t="shared" ref="I19:J29" si="1">C19*100</f>
        <v>26.7</v>
      </c>
      <c r="J19" s="21">
        <f t="shared" si="1"/>
        <v>20</v>
      </c>
      <c r="L19" s="1018">
        <f>C19/C$34</f>
        <v>6.6799999999999998E-2</v>
      </c>
      <c r="M19" s="1018">
        <f>F19/C$34</f>
        <v>3.3374999999999999</v>
      </c>
    </row>
    <row r="20" spans="1:13" s="10" customFormat="1" ht="12" customHeight="1" x14ac:dyDescent="0.25">
      <c r="A20" s="180">
        <v>2</v>
      </c>
      <c r="B20" s="20" t="s">
        <v>343</v>
      </c>
      <c r="C20" s="21">
        <v>8.1000000000000003E-2</v>
      </c>
      <c r="D20" s="21">
        <v>0.08</v>
      </c>
      <c r="E20" s="13">
        <f>цены!F119</f>
        <v>50</v>
      </c>
      <c r="F20" s="13">
        <f>C20*E20</f>
        <v>4.05</v>
      </c>
      <c r="G20" s="97">
        <f t="shared" si="0"/>
        <v>0.81</v>
      </c>
      <c r="H20" s="21">
        <f t="shared" si="0"/>
        <v>0.8</v>
      </c>
      <c r="I20" s="21">
        <f t="shared" si="1"/>
        <v>8.1</v>
      </c>
      <c r="J20" s="21">
        <f t="shared" si="1"/>
        <v>8</v>
      </c>
      <c r="L20" s="1018">
        <f t="shared" ref="L20:L29" si="2">C20/C$34</f>
        <v>2.0299999999999999E-2</v>
      </c>
      <c r="M20" s="1018">
        <f t="shared" ref="M20:M29" si="3">F20/C$34</f>
        <v>1.0125</v>
      </c>
    </row>
    <row r="21" spans="1:13" s="10" customFormat="1" ht="12" customHeight="1" x14ac:dyDescent="0.25">
      <c r="A21" s="180">
        <v>3</v>
      </c>
      <c r="B21" s="20" t="s">
        <v>48</v>
      </c>
      <c r="C21" s="21">
        <v>4.8000000000000001E-2</v>
      </c>
      <c r="D21" s="21">
        <v>0.04</v>
      </c>
      <c r="E21" s="13">
        <f>цены!F38</f>
        <v>50</v>
      </c>
      <c r="F21" s="13">
        <f t="shared" ref="F21:F29" si="4">C21*E21</f>
        <v>2.4</v>
      </c>
      <c r="G21" s="97">
        <f t="shared" si="0"/>
        <v>0.48</v>
      </c>
      <c r="H21" s="21">
        <f t="shared" si="0"/>
        <v>0.4</v>
      </c>
      <c r="I21" s="21">
        <f t="shared" si="1"/>
        <v>4.8</v>
      </c>
      <c r="J21" s="21">
        <f t="shared" si="1"/>
        <v>4</v>
      </c>
      <c r="L21" s="1018">
        <f t="shared" si="2"/>
        <v>1.2E-2</v>
      </c>
      <c r="M21" s="1018">
        <f t="shared" si="3"/>
        <v>0.6</v>
      </c>
    </row>
    <row r="22" spans="1:13" s="10" customFormat="1" ht="12" customHeight="1" x14ac:dyDescent="0.25">
      <c r="A22" s="180">
        <v>4</v>
      </c>
      <c r="B22" s="20" t="s">
        <v>47</v>
      </c>
      <c r="C22" s="21">
        <v>0.05</v>
      </c>
      <c r="D22" s="21">
        <v>0.04</v>
      </c>
      <c r="E22" s="13">
        <f>цены!F44</f>
        <v>50</v>
      </c>
      <c r="F22" s="13">
        <f t="shared" si="4"/>
        <v>2.5</v>
      </c>
      <c r="G22" s="97">
        <f t="shared" si="0"/>
        <v>0.5</v>
      </c>
      <c r="H22" s="21">
        <f t="shared" si="0"/>
        <v>0.4</v>
      </c>
      <c r="I22" s="21">
        <f t="shared" si="1"/>
        <v>5</v>
      </c>
      <c r="J22" s="21">
        <f t="shared" si="1"/>
        <v>4</v>
      </c>
      <c r="L22" s="1018">
        <f t="shared" si="2"/>
        <v>1.2500000000000001E-2</v>
      </c>
      <c r="M22" s="1018">
        <f t="shared" si="3"/>
        <v>0.625</v>
      </c>
    </row>
    <row r="23" spans="1:13" s="10" customFormat="1" ht="12" customHeight="1" x14ac:dyDescent="0.25">
      <c r="A23" s="180">
        <v>5</v>
      </c>
      <c r="B23" s="20" t="s">
        <v>344</v>
      </c>
      <c r="C23" s="21">
        <v>1.2999999999999999E-2</v>
      </c>
      <c r="D23" s="21">
        <v>0.01</v>
      </c>
      <c r="E23" s="13">
        <f>цены!F47</f>
        <v>300</v>
      </c>
      <c r="F23" s="13">
        <f t="shared" si="4"/>
        <v>3.9</v>
      </c>
      <c r="G23" s="97">
        <f t="shared" si="0"/>
        <v>0.13</v>
      </c>
      <c r="H23" s="21">
        <f t="shared" si="0"/>
        <v>0.1</v>
      </c>
      <c r="I23" s="21">
        <f t="shared" si="1"/>
        <v>1.3</v>
      </c>
      <c r="J23" s="21">
        <f t="shared" si="1"/>
        <v>1</v>
      </c>
      <c r="L23" s="1018">
        <f t="shared" si="2"/>
        <v>3.3E-3</v>
      </c>
      <c r="M23" s="1018">
        <f t="shared" si="3"/>
        <v>0.97499999999999998</v>
      </c>
    </row>
    <row r="24" spans="1:13" s="10" customFormat="1" ht="12" customHeight="1" x14ac:dyDescent="0.25">
      <c r="A24" s="180">
        <v>6</v>
      </c>
      <c r="B24" s="20" t="s">
        <v>74</v>
      </c>
      <c r="C24" s="21">
        <v>0.02</v>
      </c>
      <c r="D24" s="21">
        <v>0.02</v>
      </c>
      <c r="E24" s="13">
        <f>цены!F87</f>
        <v>120</v>
      </c>
      <c r="F24" s="13">
        <f t="shared" si="4"/>
        <v>2.4</v>
      </c>
      <c r="G24" s="97">
        <f t="shared" si="0"/>
        <v>0.2</v>
      </c>
      <c r="H24" s="21">
        <f t="shared" si="0"/>
        <v>0.2</v>
      </c>
      <c r="I24" s="21">
        <f t="shared" si="1"/>
        <v>2</v>
      </c>
      <c r="J24" s="21">
        <f t="shared" si="1"/>
        <v>2</v>
      </c>
      <c r="L24" s="1018">
        <f t="shared" si="2"/>
        <v>5.0000000000000001E-3</v>
      </c>
      <c r="M24" s="1018">
        <f t="shared" si="3"/>
        <v>0.6</v>
      </c>
    </row>
    <row r="25" spans="1:13" s="10" customFormat="1" ht="12" customHeight="1" x14ac:dyDescent="0.25">
      <c r="A25" s="180">
        <v>7</v>
      </c>
      <c r="B25" s="20" t="s">
        <v>141</v>
      </c>
      <c r="C25" s="21">
        <v>0.7</v>
      </c>
      <c r="D25" s="21">
        <v>0.7</v>
      </c>
      <c r="E25" s="13"/>
      <c r="F25" s="13">
        <f t="shared" si="4"/>
        <v>0</v>
      </c>
      <c r="G25" s="97">
        <f t="shared" si="0"/>
        <v>7</v>
      </c>
      <c r="H25" s="21">
        <f t="shared" si="0"/>
        <v>7</v>
      </c>
      <c r="I25" s="21">
        <f t="shared" si="1"/>
        <v>70</v>
      </c>
      <c r="J25" s="21">
        <f t="shared" si="1"/>
        <v>70</v>
      </c>
      <c r="L25" s="1018">
        <f t="shared" si="2"/>
        <v>0.17499999999999999</v>
      </c>
      <c r="M25" s="1018">
        <f t="shared" si="3"/>
        <v>0</v>
      </c>
    </row>
    <row r="26" spans="1:13" s="10" customFormat="1" ht="12" customHeight="1" x14ac:dyDescent="0.25">
      <c r="A26" s="180">
        <v>8</v>
      </c>
      <c r="B26" s="20" t="s">
        <v>84</v>
      </c>
      <c r="C26" s="111">
        <v>6.9999999999999999E-4</v>
      </c>
      <c r="D26" s="111">
        <f>C26</f>
        <v>6.9999999999999999E-4</v>
      </c>
      <c r="E26" s="13">
        <f>цены!F100</f>
        <v>1000</v>
      </c>
      <c r="F26" s="13">
        <f t="shared" si="4"/>
        <v>0.7</v>
      </c>
      <c r="G26" s="97">
        <f t="shared" si="0"/>
        <v>7.0000000000000001E-3</v>
      </c>
      <c r="H26" s="21">
        <f t="shared" si="0"/>
        <v>7.0000000000000001E-3</v>
      </c>
      <c r="I26" s="21">
        <f t="shared" si="1"/>
        <v>7.0000000000000007E-2</v>
      </c>
      <c r="J26" s="21">
        <f t="shared" si="1"/>
        <v>7.0000000000000007E-2</v>
      </c>
      <c r="L26" s="1018">
        <f t="shared" si="2"/>
        <v>2.0000000000000001E-4</v>
      </c>
      <c r="M26" s="1018">
        <f t="shared" si="3"/>
        <v>0.17499999999999999</v>
      </c>
    </row>
    <row r="27" spans="1:13" s="10" customFormat="1" ht="12" customHeight="1" x14ac:dyDescent="0.25">
      <c r="A27" s="180">
        <v>9</v>
      </c>
      <c r="B27" s="20" t="s">
        <v>33</v>
      </c>
      <c r="C27" s="21">
        <v>8.0000000000000002E-3</v>
      </c>
      <c r="D27" s="21">
        <v>8.0000000000000002E-3</v>
      </c>
      <c r="E27" s="13">
        <f>цены!F110</f>
        <v>24</v>
      </c>
      <c r="F27" s="13">
        <f t="shared" si="4"/>
        <v>0.19</v>
      </c>
      <c r="G27" s="97">
        <f t="shared" si="0"/>
        <v>0.08</v>
      </c>
      <c r="H27" s="21">
        <f t="shared" si="0"/>
        <v>0.08</v>
      </c>
      <c r="I27" s="21">
        <f t="shared" si="1"/>
        <v>0.8</v>
      </c>
      <c r="J27" s="21">
        <f t="shared" si="1"/>
        <v>0.8</v>
      </c>
      <c r="L27" s="1018">
        <f t="shared" si="2"/>
        <v>2E-3</v>
      </c>
      <c r="M27" s="1018">
        <f t="shared" si="3"/>
        <v>4.7500000000000001E-2</v>
      </c>
    </row>
    <row r="28" spans="1:13" s="10" customFormat="1" ht="12" customHeight="1" x14ac:dyDescent="0.25">
      <c r="A28" s="180">
        <v>10</v>
      </c>
      <c r="B28" s="20" t="s">
        <v>51</v>
      </c>
      <c r="C28" s="21">
        <v>0.02</v>
      </c>
      <c r="D28" s="21">
        <v>0.02</v>
      </c>
      <c r="E28" s="13">
        <f>цены!F24</f>
        <v>234</v>
      </c>
      <c r="F28" s="13">
        <f t="shared" si="4"/>
        <v>4.68</v>
      </c>
      <c r="G28" s="97">
        <f t="shared" si="0"/>
        <v>0.2</v>
      </c>
      <c r="H28" s="21">
        <f t="shared" si="0"/>
        <v>0.2</v>
      </c>
      <c r="I28" s="21">
        <f t="shared" si="1"/>
        <v>2</v>
      </c>
      <c r="J28" s="21">
        <f t="shared" si="1"/>
        <v>2</v>
      </c>
      <c r="L28" s="1018">
        <f t="shared" si="2"/>
        <v>5.0000000000000001E-3</v>
      </c>
      <c r="M28" s="1018">
        <f t="shared" si="3"/>
        <v>1.17</v>
      </c>
    </row>
    <row r="29" spans="1:13" s="10" customFormat="1" ht="12" customHeight="1" x14ac:dyDescent="0.25">
      <c r="A29" s="180">
        <v>11</v>
      </c>
      <c r="B29" s="20" t="s">
        <v>78</v>
      </c>
      <c r="C29" s="21">
        <v>6.0000000000000001E-3</v>
      </c>
      <c r="D29" s="21">
        <v>6.0000000000000001E-3</v>
      </c>
      <c r="E29" s="13">
        <f>цены!F48</f>
        <v>300</v>
      </c>
      <c r="F29" s="13">
        <f t="shared" si="4"/>
        <v>1.8</v>
      </c>
      <c r="G29" s="97">
        <f t="shared" si="0"/>
        <v>0.06</v>
      </c>
      <c r="H29" s="21">
        <f t="shared" si="0"/>
        <v>0.06</v>
      </c>
      <c r="I29" s="21">
        <f t="shared" si="1"/>
        <v>0.6</v>
      </c>
      <c r="J29" s="21">
        <f t="shared" si="1"/>
        <v>0.6</v>
      </c>
      <c r="L29" s="1018">
        <f t="shared" si="2"/>
        <v>1.5E-3</v>
      </c>
      <c r="M29" s="1018">
        <f t="shared" si="3"/>
        <v>0.45</v>
      </c>
    </row>
    <row r="30" spans="1:13" s="10" customFormat="1" ht="12" customHeight="1" x14ac:dyDescent="0.25">
      <c r="A30" s="98"/>
      <c r="B30" s="93" t="s">
        <v>100</v>
      </c>
      <c r="C30" s="114"/>
      <c r="D30" s="100">
        <v>1</v>
      </c>
      <c r="E30" s="95"/>
      <c r="F30" s="95">
        <f>SUM(F19:F29)</f>
        <v>35.97</v>
      </c>
      <c r="G30" s="99"/>
      <c r="H30" s="100">
        <f>D30*10</f>
        <v>10</v>
      </c>
      <c r="I30" s="100"/>
      <c r="J30" s="100">
        <f>D30*100</f>
        <v>100</v>
      </c>
      <c r="L30" s="1018">
        <f>SUM(L19:L29)</f>
        <v>0.30359999999999998</v>
      </c>
      <c r="M30" s="1018">
        <f>SUM(M19:M29)</f>
        <v>8.9924999999999997</v>
      </c>
    </row>
    <row r="31" spans="1:13" s="10" customFormat="1" ht="27.6" customHeight="1" x14ac:dyDescent="0.25">
      <c r="A31" s="1536" t="s">
        <v>35</v>
      </c>
      <c r="B31" s="1536"/>
      <c r="C31" s="90"/>
      <c r="D31" s="90"/>
      <c r="E31" s="13"/>
      <c r="F31" s="13">
        <f>F30</f>
        <v>35.97</v>
      </c>
      <c r="G31" s="174"/>
      <c r="H31" s="174"/>
      <c r="I31" s="21"/>
      <c r="J31" s="13"/>
    </row>
    <row r="32" spans="1:13" s="10" customFormat="1" ht="25.35" customHeight="1" x14ac:dyDescent="0.25">
      <c r="A32" s="1536" t="s">
        <v>36</v>
      </c>
      <c r="B32" s="1536"/>
      <c r="C32" s="90">
        <v>1000</v>
      </c>
      <c r="D32" s="90"/>
      <c r="E32" s="13"/>
      <c r="F32" s="13"/>
      <c r="G32" s="13"/>
      <c r="H32" s="13"/>
      <c r="I32" s="21"/>
      <c r="J32" s="17"/>
    </row>
    <row r="33" spans="1:10" s="10" customFormat="1" ht="25.35" customHeight="1" x14ac:dyDescent="0.25">
      <c r="A33" s="1537" t="s">
        <v>37</v>
      </c>
      <c r="B33" s="1538"/>
      <c r="C33" s="91">
        <v>250</v>
      </c>
      <c r="D33" s="92"/>
      <c r="E33" s="173"/>
      <c r="F33" s="173"/>
      <c r="G33" s="173"/>
      <c r="H33" s="173"/>
      <c r="I33" s="21"/>
      <c r="J33" s="17"/>
    </row>
    <row r="34" spans="1:10" s="10" customFormat="1" ht="15" customHeight="1" x14ac:dyDescent="0.25">
      <c r="A34" s="1539" t="s">
        <v>38</v>
      </c>
      <c r="B34" s="1540"/>
      <c r="C34" s="92">
        <f>C32/C33</f>
        <v>4</v>
      </c>
      <c r="D34" s="92"/>
      <c r="E34" s="173"/>
      <c r="F34" s="173"/>
      <c r="G34" s="173"/>
      <c r="H34" s="173"/>
      <c r="I34" s="21"/>
      <c r="J34" s="17"/>
    </row>
    <row r="35" spans="1:10" ht="16.350000000000001" customHeight="1" x14ac:dyDescent="0.25">
      <c r="A35" s="1541" t="s">
        <v>39</v>
      </c>
      <c r="B35" s="1542"/>
      <c r="C35" s="15" t="s">
        <v>40</v>
      </c>
      <c r="D35" s="102"/>
      <c r="E35" s="102" t="s">
        <v>40</v>
      </c>
      <c r="F35" s="16">
        <f>F31/C34</f>
        <v>8.99</v>
      </c>
      <c r="G35" s="16"/>
      <c r="H35" s="16"/>
      <c r="I35" s="102" t="s">
        <v>40</v>
      </c>
      <c r="J35" s="102" t="s">
        <v>40</v>
      </c>
    </row>
    <row r="36" spans="1:10" ht="23.1" customHeight="1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193"/>
      <c r="B37" s="1194" t="s">
        <v>49</v>
      </c>
      <c r="C37" s="1198"/>
      <c r="D37" s="1198"/>
      <c r="E37" s="1198"/>
      <c r="F37" s="1198"/>
      <c r="G37" s="1193"/>
      <c r="H37" s="1556">
        <f>'1-бутерброд с маслом'!$H$28</f>
        <v>0</v>
      </c>
      <c r="I37" s="1556"/>
      <c r="J37" s="1556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545" t="s">
        <v>327</v>
      </c>
      <c r="B39" s="1545"/>
      <c r="C39" s="1546" t="s">
        <v>328</v>
      </c>
      <c r="D39" s="1546"/>
      <c r="E39" s="1546"/>
      <c r="F39" s="1546"/>
      <c r="G39" s="106"/>
      <c r="H39" s="1531"/>
      <c r="I39" s="1531"/>
      <c r="J39" s="1531"/>
    </row>
    <row r="40" spans="1:10" x14ac:dyDescent="0.25">
      <c r="A40" s="1193"/>
      <c r="B40" s="1193"/>
      <c r="C40" s="1546"/>
      <c r="D40" s="1546"/>
      <c r="E40" s="1546"/>
      <c r="F40" s="1546"/>
      <c r="G40" s="1193"/>
      <c r="H40" s="1531" t="s">
        <v>329</v>
      </c>
      <c r="I40" s="1531"/>
      <c r="J40" s="1531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9:B39"/>
    <mergeCell ref="C39:F40"/>
    <mergeCell ref="H39:J39"/>
    <mergeCell ref="H40:J40"/>
    <mergeCell ref="A32:B32"/>
    <mergeCell ref="A33:B33"/>
    <mergeCell ref="A34:B34"/>
    <mergeCell ref="A35:B35"/>
    <mergeCell ref="H37:J37"/>
    <mergeCell ref="A31:B31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44"/>
  <sheetViews>
    <sheetView view="pageBreakPreview" topLeftCell="A5" zoomScale="110" zoomScaleNormal="100" zoomScaleSheetLayoutView="110" workbookViewId="0">
      <selection activeCell="A9" sqref="A9:J9"/>
    </sheetView>
  </sheetViews>
  <sheetFormatPr defaultColWidth="8.88671875" defaultRowHeight="13.8" x14ac:dyDescent="0.25"/>
  <cols>
    <col min="1" max="1" width="4.109375" style="589" customWidth="1"/>
    <col min="2" max="2" width="22.44140625" style="589" customWidth="1"/>
    <col min="3" max="7" width="7.5546875" style="589" customWidth="1"/>
    <col min="8" max="8" width="8.88671875" style="589" customWidth="1"/>
    <col min="9" max="9" width="7.5546875" style="589" customWidth="1"/>
    <col min="10" max="10" width="9" style="589" customWidth="1"/>
    <col min="11" max="11" width="3.109375" style="589" customWidth="1"/>
    <col min="12" max="16384" width="8.88671875" style="58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74)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102</v>
      </c>
    </row>
    <row r="8" spans="1:10" s="2" customFormat="1" ht="9.6" customHeight="1" x14ac:dyDescent="0.25">
      <c r="A8" s="594"/>
      <c r="B8" s="594"/>
      <c r="C8" s="594"/>
      <c r="D8" s="594"/>
      <c r="E8" s="594"/>
      <c r="F8" s="594"/>
      <c r="G8" s="594"/>
      <c r="H8" s="594"/>
      <c r="I8" s="594"/>
      <c r="J8" s="109"/>
    </row>
    <row r="9" spans="1:10" s="2" customFormat="1" ht="26.1" customHeight="1" x14ac:dyDescent="0.3">
      <c r="A9" s="1550" t="s">
        <v>870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'102-суп картофельный с горохом'!H14+1</f>
        <v>74</v>
      </c>
      <c r="I14" s="1534">
        <v>44986</v>
      </c>
      <c r="J14" s="1535"/>
    </row>
    <row r="15" spans="1:10" s="2" customFormat="1" ht="11.4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590" t="s">
        <v>92</v>
      </c>
      <c r="D17" s="590" t="s">
        <v>94</v>
      </c>
      <c r="E17" s="590" t="s">
        <v>93</v>
      </c>
      <c r="F17" s="590" t="s">
        <v>23</v>
      </c>
      <c r="G17" s="590" t="s">
        <v>92</v>
      </c>
      <c r="H17" s="590" t="s">
        <v>94</v>
      </c>
      <c r="I17" s="590" t="s">
        <v>92</v>
      </c>
      <c r="J17" s="590" t="s">
        <v>94</v>
      </c>
    </row>
    <row r="18" spans="1:13" ht="9.6" customHeight="1" x14ac:dyDescent="0.25">
      <c r="A18" s="590">
        <v>1</v>
      </c>
      <c r="B18" s="592">
        <v>2</v>
      </c>
      <c r="C18" s="590">
        <v>3</v>
      </c>
      <c r="D18" s="592">
        <v>4</v>
      </c>
      <c r="E18" s="590">
        <v>5</v>
      </c>
      <c r="F18" s="592">
        <v>6</v>
      </c>
      <c r="G18" s="590">
        <v>7</v>
      </c>
      <c r="H18" s="592">
        <v>8</v>
      </c>
      <c r="I18" s="590">
        <v>9</v>
      </c>
      <c r="J18" s="592">
        <v>10</v>
      </c>
      <c r="L18" s="1017"/>
    </row>
    <row r="19" spans="1:13" s="10" customFormat="1" ht="14.1" customHeight="1" x14ac:dyDescent="0.25">
      <c r="A19" s="180">
        <v>1</v>
      </c>
      <c r="B19" s="20" t="s">
        <v>50</v>
      </c>
      <c r="C19" s="21">
        <v>0.26700000000000002</v>
      </c>
      <c r="D19" s="21">
        <v>0.2</v>
      </c>
      <c r="E19" s="408">
        <f>цены!F35</f>
        <v>50</v>
      </c>
      <c r="F19" s="408">
        <f>C19*E19</f>
        <v>13.35</v>
      </c>
      <c r="G19" s="97">
        <f t="shared" ref="G19:H29" si="0">C19*10</f>
        <v>2.67</v>
      </c>
      <c r="H19" s="21">
        <f t="shared" si="0"/>
        <v>2</v>
      </c>
      <c r="I19" s="21">
        <f t="shared" ref="I19:J29" si="1">C19*100</f>
        <v>26.7</v>
      </c>
      <c r="J19" s="21">
        <f t="shared" si="1"/>
        <v>20</v>
      </c>
      <c r="L19" s="1018">
        <f>C19/C$34</f>
        <v>6.6799999999999998E-2</v>
      </c>
      <c r="M19" s="1018">
        <f>F19/C$34</f>
        <v>3.3374999999999999</v>
      </c>
    </row>
    <row r="20" spans="1:13" s="10" customFormat="1" ht="12" customHeight="1" x14ac:dyDescent="0.25">
      <c r="A20" s="180">
        <v>2</v>
      </c>
      <c r="B20" s="20" t="s">
        <v>334</v>
      </c>
      <c r="C20" s="21">
        <v>8.1000000000000003E-2</v>
      </c>
      <c r="D20" s="21">
        <v>0.08</v>
      </c>
      <c r="E20" s="408">
        <f>цены!F120</f>
        <v>180</v>
      </c>
      <c r="F20" s="408">
        <f>C20*E20</f>
        <v>14.58</v>
      </c>
      <c r="G20" s="97">
        <f t="shared" si="0"/>
        <v>0.81</v>
      </c>
      <c r="H20" s="21">
        <f t="shared" si="0"/>
        <v>0.8</v>
      </c>
      <c r="I20" s="21">
        <f t="shared" si="1"/>
        <v>8.1</v>
      </c>
      <c r="J20" s="21">
        <f t="shared" si="1"/>
        <v>8</v>
      </c>
      <c r="L20" s="1018">
        <f t="shared" ref="L20:L29" si="2">C20/C$34</f>
        <v>2.0299999999999999E-2</v>
      </c>
      <c r="M20" s="1018">
        <f t="shared" ref="M20:M29" si="3">F20/C$34</f>
        <v>3.645</v>
      </c>
    </row>
    <row r="21" spans="1:13" s="10" customFormat="1" ht="12" customHeight="1" x14ac:dyDescent="0.25">
      <c r="A21" s="180">
        <v>3</v>
      </c>
      <c r="B21" s="20" t="s">
        <v>48</v>
      </c>
      <c r="C21" s="21">
        <v>4.8000000000000001E-2</v>
      </c>
      <c r="D21" s="21">
        <v>0.04</v>
      </c>
      <c r="E21" s="408">
        <f>цены!F38</f>
        <v>50</v>
      </c>
      <c r="F21" s="408">
        <f t="shared" ref="F21:F29" si="4">C21*E21</f>
        <v>2.4</v>
      </c>
      <c r="G21" s="97">
        <f t="shared" si="0"/>
        <v>0.48</v>
      </c>
      <c r="H21" s="21">
        <f t="shared" si="0"/>
        <v>0.4</v>
      </c>
      <c r="I21" s="21">
        <f t="shared" si="1"/>
        <v>4.8</v>
      </c>
      <c r="J21" s="21">
        <f t="shared" si="1"/>
        <v>4</v>
      </c>
      <c r="L21" s="1018">
        <f t="shared" si="2"/>
        <v>1.2E-2</v>
      </c>
      <c r="M21" s="1018">
        <f t="shared" si="3"/>
        <v>0.6</v>
      </c>
    </row>
    <row r="22" spans="1:13" s="10" customFormat="1" ht="12" customHeight="1" x14ac:dyDescent="0.25">
      <c r="A22" s="180">
        <v>4</v>
      </c>
      <c r="B22" s="20" t="s">
        <v>47</v>
      </c>
      <c r="C22" s="21">
        <v>0.05</v>
      </c>
      <c r="D22" s="21">
        <v>0.04</v>
      </c>
      <c r="E22" s="408">
        <f>цены!F44</f>
        <v>50</v>
      </c>
      <c r="F22" s="408">
        <f t="shared" si="4"/>
        <v>2.5</v>
      </c>
      <c r="G22" s="97">
        <f t="shared" si="0"/>
        <v>0.5</v>
      </c>
      <c r="H22" s="21">
        <f t="shared" si="0"/>
        <v>0.4</v>
      </c>
      <c r="I22" s="21">
        <f t="shared" si="1"/>
        <v>5</v>
      </c>
      <c r="J22" s="21">
        <f t="shared" si="1"/>
        <v>4</v>
      </c>
      <c r="L22" s="1018">
        <f t="shared" si="2"/>
        <v>1.2500000000000001E-2</v>
      </c>
      <c r="M22" s="1018">
        <f t="shared" si="3"/>
        <v>0.625</v>
      </c>
    </row>
    <row r="23" spans="1:13" s="10" customFormat="1" ht="12" customHeight="1" x14ac:dyDescent="0.25">
      <c r="A23" s="180">
        <v>5</v>
      </c>
      <c r="B23" s="20" t="s">
        <v>102</v>
      </c>
      <c r="C23" s="21">
        <v>1.2999999999999999E-2</v>
      </c>
      <c r="D23" s="21">
        <v>0.01</v>
      </c>
      <c r="E23" s="408">
        <f>цены!F47</f>
        <v>300</v>
      </c>
      <c r="F23" s="408">
        <f t="shared" si="4"/>
        <v>3.9</v>
      </c>
      <c r="G23" s="97">
        <f t="shared" si="0"/>
        <v>0.13</v>
      </c>
      <c r="H23" s="21">
        <f t="shared" si="0"/>
        <v>0.1</v>
      </c>
      <c r="I23" s="21">
        <f t="shared" si="1"/>
        <v>1.3</v>
      </c>
      <c r="J23" s="21">
        <f t="shared" si="1"/>
        <v>1</v>
      </c>
      <c r="L23" s="1018">
        <f t="shared" si="2"/>
        <v>3.3E-3</v>
      </c>
      <c r="M23" s="1018">
        <f t="shared" si="3"/>
        <v>0.97499999999999998</v>
      </c>
    </row>
    <row r="24" spans="1:13" s="10" customFormat="1" ht="12" customHeight="1" x14ac:dyDescent="0.25">
      <c r="A24" s="180">
        <v>6</v>
      </c>
      <c r="B24" s="20" t="s">
        <v>74</v>
      </c>
      <c r="C24" s="21">
        <v>0.02</v>
      </c>
      <c r="D24" s="21">
        <v>0.02</v>
      </c>
      <c r="E24" s="408">
        <f>цены!F87</f>
        <v>120</v>
      </c>
      <c r="F24" s="408">
        <f t="shared" si="4"/>
        <v>2.4</v>
      </c>
      <c r="G24" s="97">
        <f t="shared" si="0"/>
        <v>0.2</v>
      </c>
      <c r="H24" s="21">
        <f t="shared" si="0"/>
        <v>0.2</v>
      </c>
      <c r="I24" s="21">
        <f t="shared" si="1"/>
        <v>2</v>
      </c>
      <c r="J24" s="21">
        <f t="shared" si="1"/>
        <v>2</v>
      </c>
      <c r="L24" s="1018">
        <f t="shared" si="2"/>
        <v>5.0000000000000001E-3</v>
      </c>
      <c r="M24" s="1018">
        <f t="shared" si="3"/>
        <v>0.6</v>
      </c>
    </row>
    <row r="25" spans="1:13" s="10" customFormat="1" ht="12" customHeight="1" x14ac:dyDescent="0.25">
      <c r="A25" s="180">
        <v>7</v>
      </c>
      <c r="B25" s="20" t="s">
        <v>141</v>
      </c>
      <c r="C25" s="21">
        <v>0.7</v>
      </c>
      <c r="D25" s="21">
        <v>0.7</v>
      </c>
      <c r="E25" s="408"/>
      <c r="F25" s="408">
        <f t="shared" si="4"/>
        <v>0</v>
      </c>
      <c r="G25" s="97">
        <f t="shared" si="0"/>
        <v>7</v>
      </c>
      <c r="H25" s="21">
        <f t="shared" si="0"/>
        <v>7</v>
      </c>
      <c r="I25" s="21">
        <f t="shared" si="1"/>
        <v>70</v>
      </c>
      <c r="J25" s="21">
        <f t="shared" si="1"/>
        <v>70</v>
      </c>
      <c r="L25" s="1018">
        <f t="shared" si="2"/>
        <v>0.17499999999999999</v>
      </c>
      <c r="M25" s="1018">
        <f t="shared" si="3"/>
        <v>0</v>
      </c>
    </row>
    <row r="26" spans="1:13" s="10" customFormat="1" ht="12" customHeight="1" x14ac:dyDescent="0.25">
      <c r="A26" s="180">
        <v>8</v>
      </c>
      <c r="B26" s="20" t="s">
        <v>33</v>
      </c>
      <c r="C26" s="21">
        <v>8.0000000000000002E-3</v>
      </c>
      <c r="D26" s="21">
        <v>8.0000000000000002E-3</v>
      </c>
      <c r="E26" s="408">
        <f>цены!F110</f>
        <v>24</v>
      </c>
      <c r="F26" s="408">
        <f t="shared" si="4"/>
        <v>0.19</v>
      </c>
      <c r="G26" s="97">
        <f t="shared" si="0"/>
        <v>0.08</v>
      </c>
      <c r="H26" s="21">
        <f t="shared" si="0"/>
        <v>0.08</v>
      </c>
      <c r="I26" s="21">
        <f t="shared" si="1"/>
        <v>0.8</v>
      </c>
      <c r="J26" s="21">
        <f t="shared" si="1"/>
        <v>0.8</v>
      </c>
      <c r="L26" s="1018">
        <f t="shared" si="2"/>
        <v>2E-3</v>
      </c>
      <c r="M26" s="1018">
        <f t="shared" si="3"/>
        <v>4.7500000000000001E-2</v>
      </c>
    </row>
    <row r="27" spans="1:13" s="10" customFormat="1" ht="12" customHeight="1" x14ac:dyDescent="0.25">
      <c r="A27" s="180">
        <v>9</v>
      </c>
      <c r="B27" s="20" t="s">
        <v>51</v>
      </c>
      <c r="C27" s="21">
        <v>0.02</v>
      </c>
      <c r="D27" s="21">
        <v>0.02</v>
      </c>
      <c r="E27" s="408">
        <f>цены!F24</f>
        <v>234</v>
      </c>
      <c r="F27" s="408">
        <f t="shared" si="4"/>
        <v>4.68</v>
      </c>
      <c r="G27" s="97">
        <f t="shared" si="0"/>
        <v>0.2</v>
      </c>
      <c r="H27" s="21">
        <f t="shared" si="0"/>
        <v>0.2</v>
      </c>
      <c r="I27" s="21">
        <f t="shared" si="1"/>
        <v>2</v>
      </c>
      <c r="J27" s="21">
        <f t="shared" si="1"/>
        <v>2</v>
      </c>
      <c r="L27" s="1018">
        <f t="shared" si="2"/>
        <v>5.0000000000000001E-3</v>
      </c>
      <c r="M27" s="1018">
        <f t="shared" si="3"/>
        <v>1.17</v>
      </c>
    </row>
    <row r="28" spans="1:13" s="10" customFormat="1" ht="12" customHeight="1" x14ac:dyDescent="0.25">
      <c r="A28" s="180">
        <v>10</v>
      </c>
      <c r="B28" s="20" t="s">
        <v>84</v>
      </c>
      <c r="C28" s="111">
        <v>6.9999999999999999E-4</v>
      </c>
      <c r="D28" s="111">
        <f>C28</f>
        <v>6.9999999999999999E-4</v>
      </c>
      <c r="E28" s="408">
        <f>цены!F100</f>
        <v>1000</v>
      </c>
      <c r="F28" s="408">
        <f t="shared" si="4"/>
        <v>0.7</v>
      </c>
      <c r="G28" s="97">
        <f t="shared" si="0"/>
        <v>7.0000000000000001E-3</v>
      </c>
      <c r="H28" s="21">
        <f t="shared" si="0"/>
        <v>7.0000000000000001E-3</v>
      </c>
      <c r="I28" s="21">
        <f t="shared" si="1"/>
        <v>7.0000000000000007E-2</v>
      </c>
      <c r="J28" s="21">
        <f t="shared" si="1"/>
        <v>7.0000000000000007E-2</v>
      </c>
      <c r="L28" s="1018">
        <f t="shared" si="2"/>
        <v>2.0000000000000001E-4</v>
      </c>
      <c r="M28" s="1018">
        <f t="shared" si="3"/>
        <v>0.17499999999999999</v>
      </c>
    </row>
    <row r="29" spans="1:13" s="10" customFormat="1" ht="12" customHeight="1" x14ac:dyDescent="0.25">
      <c r="A29" s="180">
        <v>11</v>
      </c>
      <c r="B29" s="20" t="s">
        <v>78</v>
      </c>
      <c r="C29" s="21">
        <f>0.002</f>
        <v>2E-3</v>
      </c>
      <c r="D29" s="21">
        <f>0.001</f>
        <v>1E-3</v>
      </c>
      <c r="E29" s="408">
        <f>цены!F48</f>
        <v>300</v>
      </c>
      <c r="F29" s="408">
        <f t="shared" si="4"/>
        <v>0.6</v>
      </c>
      <c r="G29" s="97">
        <f t="shared" si="0"/>
        <v>0.02</v>
      </c>
      <c r="H29" s="21">
        <f t="shared" si="0"/>
        <v>0.01</v>
      </c>
      <c r="I29" s="21">
        <f t="shared" si="1"/>
        <v>0.2</v>
      </c>
      <c r="J29" s="21">
        <f t="shared" si="1"/>
        <v>0.1</v>
      </c>
      <c r="L29" s="1018">
        <f t="shared" si="2"/>
        <v>5.0000000000000001E-4</v>
      </c>
      <c r="M29" s="1018">
        <f t="shared" si="3"/>
        <v>0.15</v>
      </c>
    </row>
    <row r="30" spans="1:13" s="10" customFormat="1" ht="12" customHeight="1" x14ac:dyDescent="0.25">
      <c r="A30" s="98"/>
      <c r="B30" s="93" t="s">
        <v>100</v>
      </c>
      <c r="C30" s="114"/>
      <c r="D30" s="100">
        <v>1</v>
      </c>
      <c r="E30" s="95"/>
      <c r="F30" s="95">
        <f>SUM(F19:F29)</f>
        <v>45.3</v>
      </c>
      <c r="G30" s="99"/>
      <c r="H30" s="100">
        <f>D30*10</f>
        <v>10</v>
      </c>
      <c r="I30" s="100"/>
      <c r="J30" s="100">
        <f>D30*100</f>
        <v>100</v>
      </c>
      <c r="L30" s="1018">
        <f>SUM(L19:L29)</f>
        <v>0.30259999999999998</v>
      </c>
      <c r="M30" s="1018">
        <f>SUM(M19:M29)</f>
        <v>11.324999999999999</v>
      </c>
    </row>
    <row r="31" spans="1:13" s="10" customFormat="1" ht="27.6" customHeight="1" x14ac:dyDescent="0.25">
      <c r="A31" s="1536" t="s">
        <v>35</v>
      </c>
      <c r="B31" s="1536"/>
      <c r="C31" s="90"/>
      <c r="D31" s="90"/>
      <c r="E31" s="408"/>
      <c r="F31" s="408">
        <f>F30</f>
        <v>45.3</v>
      </c>
      <c r="G31" s="591"/>
      <c r="H31" s="591"/>
      <c r="I31" s="21"/>
      <c r="J31" s="408"/>
    </row>
    <row r="32" spans="1:13" s="10" customFormat="1" ht="25.35" customHeight="1" x14ac:dyDescent="0.25">
      <c r="A32" s="1536" t="s">
        <v>36</v>
      </c>
      <c r="B32" s="1536"/>
      <c r="C32" s="215">
        <v>1000</v>
      </c>
      <c r="D32" s="90"/>
      <c r="E32" s="408"/>
      <c r="F32" s="408"/>
      <c r="G32" s="408"/>
      <c r="H32" s="408"/>
      <c r="I32" s="21"/>
      <c r="J32" s="17"/>
    </row>
    <row r="33" spans="1:10" s="10" customFormat="1" ht="25.35" customHeight="1" x14ac:dyDescent="0.25">
      <c r="A33" s="1537" t="s">
        <v>37</v>
      </c>
      <c r="B33" s="1538"/>
      <c r="C33" s="91">
        <v>250</v>
      </c>
      <c r="D33" s="92"/>
      <c r="E33" s="592"/>
      <c r="F33" s="592"/>
      <c r="G33" s="592"/>
      <c r="H33" s="592"/>
      <c r="I33" s="21"/>
      <c r="J33" s="17"/>
    </row>
    <row r="34" spans="1:10" s="10" customFormat="1" ht="15" customHeight="1" x14ac:dyDescent="0.25">
      <c r="A34" s="1539" t="s">
        <v>38</v>
      </c>
      <c r="B34" s="1540"/>
      <c r="C34" s="92">
        <f>C32/C33</f>
        <v>4</v>
      </c>
      <c r="D34" s="92"/>
      <c r="E34" s="592"/>
      <c r="F34" s="592"/>
      <c r="G34" s="592"/>
      <c r="H34" s="592"/>
      <c r="I34" s="21"/>
      <c r="J34" s="17"/>
    </row>
    <row r="35" spans="1:10" ht="16.350000000000001" customHeight="1" x14ac:dyDescent="0.25">
      <c r="A35" s="1541" t="s">
        <v>39</v>
      </c>
      <c r="B35" s="1542"/>
      <c r="C35" s="15" t="s">
        <v>40</v>
      </c>
      <c r="D35" s="102"/>
      <c r="E35" s="102" t="s">
        <v>40</v>
      </c>
      <c r="F35" s="16">
        <f>F31/C34</f>
        <v>11.33</v>
      </c>
      <c r="G35" s="16"/>
      <c r="H35" s="16"/>
      <c r="I35" s="102" t="s">
        <v>40</v>
      </c>
      <c r="J35" s="102" t="s">
        <v>40</v>
      </c>
    </row>
    <row r="36" spans="1:10" ht="23.1" customHeight="1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193"/>
      <c r="B37" s="1194" t="s">
        <v>49</v>
      </c>
      <c r="C37" s="1198"/>
      <c r="D37" s="1198"/>
      <c r="E37" s="1198"/>
      <c r="F37" s="1198"/>
      <c r="G37" s="1193"/>
      <c r="H37" s="1556">
        <f>'1-бутерброд с маслом'!$H$28</f>
        <v>0</v>
      </c>
      <c r="I37" s="1556"/>
      <c r="J37" s="1556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545" t="s">
        <v>327</v>
      </c>
      <c r="B39" s="1545"/>
      <c r="C39" s="1546" t="s">
        <v>328</v>
      </c>
      <c r="D39" s="1546"/>
      <c r="E39" s="1546"/>
      <c r="F39" s="1546"/>
      <c r="G39" s="106"/>
      <c r="H39" s="1531"/>
      <c r="I39" s="1531"/>
      <c r="J39" s="1531"/>
    </row>
    <row r="40" spans="1:10" x14ac:dyDescent="0.25">
      <c r="A40" s="1193"/>
      <c r="B40" s="1193"/>
      <c r="C40" s="1546"/>
      <c r="D40" s="1546"/>
      <c r="E40" s="1546"/>
      <c r="F40" s="1546"/>
      <c r="G40" s="1193"/>
      <c r="H40" s="1531" t="s">
        <v>329</v>
      </c>
      <c r="I40" s="1531"/>
      <c r="J40" s="1531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37:J37"/>
    <mergeCell ref="A13:G13"/>
    <mergeCell ref="A32:B32"/>
    <mergeCell ref="A33:B33"/>
    <mergeCell ref="A34:B34"/>
    <mergeCell ref="A35:B35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9:B39"/>
    <mergeCell ref="C39:F40"/>
    <mergeCell ref="H39:J39"/>
    <mergeCell ref="H40:J40"/>
    <mergeCell ref="H5:I5"/>
    <mergeCell ref="A6:G6"/>
    <mergeCell ref="A7:I7"/>
    <mergeCell ref="A31:B31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75E5"/>
  </sheetPr>
  <dimension ref="A1:J34"/>
  <sheetViews>
    <sheetView view="pageBreakPreview" topLeftCell="A14" zoomScaleNormal="100" zoomScaleSheetLayoutView="100" workbookViewId="0">
      <selection activeCell="L23" sqref="L23"/>
    </sheetView>
  </sheetViews>
  <sheetFormatPr defaultRowHeight="13.8" x14ac:dyDescent="0.25"/>
  <cols>
    <col min="1" max="1" width="4.109375" customWidth="1"/>
    <col min="2" max="2" width="20.5546875" customWidth="1"/>
    <col min="3" max="7" width="7.5546875" customWidth="1"/>
    <col min="8" max="8" width="8.88671875" customWidth="1"/>
    <col min="9" max="9" width="7.5546875" customWidth="1"/>
    <col min="10" max="10" width="9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3)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70"/>
      <c r="I6" s="170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3</v>
      </c>
    </row>
    <row r="8" spans="1:10" s="2" customFormat="1" ht="9.6" customHeight="1" x14ac:dyDescent="0.25">
      <c r="A8" s="171"/>
      <c r="B8" s="171"/>
      <c r="C8" s="171"/>
      <c r="D8" s="171"/>
      <c r="E8" s="171"/>
      <c r="F8" s="171"/>
      <c r="G8" s="171"/>
      <c r="H8" s="171"/>
      <c r="I8" s="171"/>
      <c r="J8" s="109"/>
    </row>
    <row r="9" spans="1:10" s="2" customFormat="1" ht="26.1" customHeight="1" x14ac:dyDescent="0.3">
      <c r="A9" s="1550" t="s">
        <v>778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'2-бутерброд с джемом'!H14+1</f>
        <v>3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172" t="s">
        <v>92</v>
      </c>
      <c r="D17" s="172" t="s">
        <v>94</v>
      </c>
      <c r="E17" s="172" t="s">
        <v>93</v>
      </c>
      <c r="F17" s="172" t="s">
        <v>23</v>
      </c>
      <c r="G17" s="172" t="s">
        <v>92</v>
      </c>
      <c r="H17" s="172" t="s">
        <v>94</v>
      </c>
      <c r="I17" s="172" t="s">
        <v>92</v>
      </c>
      <c r="J17" s="172" t="s">
        <v>94</v>
      </c>
    </row>
    <row r="18" spans="1:10" ht="9.6" customHeight="1" x14ac:dyDescent="0.25">
      <c r="A18" s="172">
        <v>1</v>
      </c>
      <c r="B18" s="173">
        <v>2</v>
      </c>
      <c r="C18" s="172">
        <v>3</v>
      </c>
      <c r="D18" s="173">
        <v>4</v>
      </c>
      <c r="E18" s="172">
        <v>5</v>
      </c>
      <c r="F18" s="173">
        <v>6</v>
      </c>
      <c r="G18" s="172">
        <v>7</v>
      </c>
      <c r="H18" s="173">
        <v>8</v>
      </c>
      <c r="I18" s="172">
        <v>9</v>
      </c>
      <c r="J18" s="173">
        <v>10</v>
      </c>
    </row>
    <row r="19" spans="1:10" s="10" customFormat="1" ht="14.1" customHeight="1" x14ac:dyDescent="0.25">
      <c r="A19" s="180">
        <v>1</v>
      </c>
      <c r="B19" s="20" t="s">
        <v>323</v>
      </c>
      <c r="C19" s="111">
        <v>1.6E-2</v>
      </c>
      <c r="D19" s="111">
        <v>1.4999999999999999E-2</v>
      </c>
      <c r="E19" s="13">
        <f>цены!F22</f>
        <v>719</v>
      </c>
      <c r="F19" s="13">
        <f>C19*E19</f>
        <v>11.5</v>
      </c>
      <c r="G19" s="97">
        <f t="shared" ref="G19:H21" si="0">C19*10</f>
        <v>0.16</v>
      </c>
      <c r="H19" s="21">
        <f t="shared" si="0"/>
        <v>0.15</v>
      </c>
      <c r="I19" s="21">
        <f t="shared" ref="I19:J21" si="1">C19*100</f>
        <v>1.6</v>
      </c>
      <c r="J19" s="21">
        <f t="shared" si="1"/>
        <v>1.5</v>
      </c>
    </row>
    <row r="20" spans="1:10" s="10" customFormat="1" ht="12" customHeight="1" x14ac:dyDescent="0.25">
      <c r="A20" s="180">
        <v>2</v>
      </c>
      <c r="B20" s="20" t="s">
        <v>31</v>
      </c>
      <c r="C20" s="111">
        <v>5.0000000000000001E-3</v>
      </c>
      <c r="D20" s="111">
        <v>5.0000000000000001E-3</v>
      </c>
      <c r="E20" s="13">
        <f>цены!F21</f>
        <v>710</v>
      </c>
      <c r="F20" s="13">
        <f>C20*E20</f>
        <v>3.55</v>
      </c>
      <c r="G20" s="97">
        <f t="shared" si="0"/>
        <v>0.05</v>
      </c>
      <c r="H20" s="21">
        <f t="shared" si="0"/>
        <v>0.05</v>
      </c>
      <c r="I20" s="21">
        <f t="shared" si="1"/>
        <v>0.5</v>
      </c>
      <c r="J20" s="21">
        <f t="shared" si="1"/>
        <v>0.5</v>
      </c>
    </row>
    <row r="21" spans="1:10" s="10" customFormat="1" ht="12" customHeight="1" x14ac:dyDescent="0.25">
      <c r="A21" s="180">
        <v>3</v>
      </c>
      <c r="B21" s="20" t="s">
        <v>205</v>
      </c>
      <c r="C21" s="111">
        <v>0.03</v>
      </c>
      <c r="D21" s="111">
        <v>0.03</v>
      </c>
      <c r="E21" s="13">
        <f>цены!F159</f>
        <v>69</v>
      </c>
      <c r="F21" s="13">
        <f>C21*E21</f>
        <v>2.0699999999999998</v>
      </c>
      <c r="G21" s="97">
        <f t="shared" si="0"/>
        <v>0.3</v>
      </c>
      <c r="H21" s="21">
        <f t="shared" si="0"/>
        <v>0.3</v>
      </c>
      <c r="I21" s="21">
        <f t="shared" si="1"/>
        <v>3</v>
      </c>
      <c r="J21" s="21">
        <f t="shared" si="1"/>
        <v>3</v>
      </c>
    </row>
    <row r="22" spans="1:10" s="10" customFormat="1" ht="12" customHeight="1" x14ac:dyDescent="0.25">
      <c r="A22" s="98"/>
      <c r="B22" s="93" t="s">
        <v>100</v>
      </c>
      <c r="C22" s="100"/>
      <c r="D22" s="100">
        <v>0.05</v>
      </c>
      <c r="E22" s="95"/>
      <c r="F22" s="95">
        <f>SUM(F19:F21)</f>
        <v>17.12</v>
      </c>
      <c r="G22" s="99"/>
      <c r="H22" s="100">
        <f>D22*10</f>
        <v>0.5</v>
      </c>
      <c r="I22" s="100"/>
      <c r="J22" s="100">
        <f>D22*100</f>
        <v>5</v>
      </c>
    </row>
    <row r="23" spans="1:10" s="10" customFormat="1" ht="27.6" customHeight="1" x14ac:dyDescent="0.25">
      <c r="A23" s="1536" t="s">
        <v>35</v>
      </c>
      <c r="B23" s="1536"/>
      <c r="C23" s="90"/>
      <c r="D23" s="90"/>
      <c r="E23" s="13"/>
      <c r="F23" s="13">
        <f>F22</f>
        <v>17.12</v>
      </c>
      <c r="G23" s="174"/>
      <c r="H23" s="174"/>
      <c r="I23" s="21"/>
      <c r="J23" s="13"/>
    </row>
    <row r="24" spans="1:10" s="10" customFormat="1" ht="25.35" customHeight="1" x14ac:dyDescent="0.25">
      <c r="A24" s="1536" t="s">
        <v>36</v>
      </c>
      <c r="B24" s="1536"/>
      <c r="C24" s="90">
        <v>50</v>
      </c>
      <c r="D24" s="90"/>
      <c r="E24" s="13"/>
      <c r="F24" s="13"/>
      <c r="G24" s="13"/>
      <c r="H24" s="13"/>
      <c r="I24" s="21"/>
      <c r="J24" s="17"/>
    </row>
    <row r="25" spans="1:10" s="10" customFormat="1" ht="25.35" customHeight="1" x14ac:dyDescent="0.25">
      <c r="A25" s="1537" t="s">
        <v>37</v>
      </c>
      <c r="B25" s="1538"/>
      <c r="C25" s="91">
        <v>50</v>
      </c>
      <c r="D25" s="92"/>
      <c r="E25" s="173"/>
      <c r="F25" s="173"/>
      <c r="G25" s="173"/>
      <c r="H25" s="173"/>
      <c r="I25" s="21"/>
      <c r="J25" s="17"/>
    </row>
    <row r="26" spans="1:10" s="10" customFormat="1" ht="15" customHeight="1" x14ac:dyDescent="0.25">
      <c r="A26" s="1539" t="s">
        <v>38</v>
      </c>
      <c r="B26" s="1540"/>
      <c r="C26" s="92">
        <f>C24/C25</f>
        <v>1</v>
      </c>
      <c r="D26" s="92"/>
      <c r="E26" s="173"/>
      <c r="F26" s="173"/>
      <c r="G26" s="173"/>
      <c r="H26" s="173"/>
      <c r="I26" s="21"/>
      <c r="J26" s="17"/>
    </row>
    <row r="27" spans="1:10" ht="16.350000000000001" customHeight="1" x14ac:dyDescent="0.25">
      <c r="A27" s="1541" t="s">
        <v>39</v>
      </c>
      <c r="B27" s="1542"/>
      <c r="C27" s="15" t="s">
        <v>40</v>
      </c>
      <c r="D27" s="102"/>
      <c r="E27" s="102" t="s">
        <v>40</v>
      </c>
      <c r="F27" s="16">
        <f>F23/C26</f>
        <v>17.12</v>
      </c>
      <c r="G27" s="16"/>
      <c r="H27" s="16"/>
      <c r="I27" s="102" t="s">
        <v>40</v>
      </c>
      <c r="J27" s="102" t="s">
        <v>40</v>
      </c>
    </row>
    <row r="28" spans="1:10" x14ac:dyDescent="0.25">
      <c r="A28" s="1193"/>
      <c r="B28" s="1193"/>
      <c r="C28" s="1193"/>
      <c r="D28" s="1193"/>
      <c r="E28" s="1193"/>
      <c r="F28" s="1193"/>
      <c r="G28" s="1193"/>
      <c r="H28" s="1193"/>
      <c r="I28" s="1193"/>
      <c r="J28" s="1193"/>
    </row>
    <row r="29" spans="1:10" ht="13.95" customHeight="1" x14ac:dyDescent="0.25">
      <c r="A29" s="1193"/>
      <c r="B29" s="1194" t="s">
        <v>49</v>
      </c>
      <c r="C29" s="1198"/>
      <c r="D29" s="1198"/>
      <c r="E29" s="1198"/>
      <c r="F29" s="1198"/>
      <c r="G29" s="1193"/>
      <c r="H29" s="1556">
        <f>'1-бутерброд с маслом'!$H$28</f>
        <v>0</v>
      </c>
      <c r="I29" s="1556"/>
      <c r="J29" s="1556"/>
    </row>
    <row r="30" spans="1:10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0" ht="13.95" customHeight="1" x14ac:dyDescent="0.25">
      <c r="A31" s="1545" t="s">
        <v>327</v>
      </c>
      <c r="B31" s="1545"/>
      <c r="C31" s="1546" t="s">
        <v>328</v>
      </c>
      <c r="D31" s="1546"/>
      <c r="E31" s="1546"/>
      <c r="F31" s="1546"/>
      <c r="G31" s="106"/>
      <c r="H31" s="1531"/>
      <c r="I31" s="1531"/>
      <c r="J31" s="1531"/>
    </row>
    <row r="32" spans="1:10" x14ac:dyDescent="0.25">
      <c r="A32" s="1193"/>
      <c r="B32" s="1193"/>
      <c r="C32" s="1546"/>
      <c r="D32" s="1546"/>
      <c r="E32" s="1546"/>
      <c r="F32" s="1546"/>
      <c r="G32" s="1193"/>
      <c r="H32" s="1531" t="s">
        <v>329</v>
      </c>
      <c r="I32" s="1531"/>
      <c r="J32" s="1531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</sheetData>
  <mergeCells count="28">
    <mergeCell ref="H5:I5"/>
    <mergeCell ref="A6:G6"/>
    <mergeCell ref="A7:I7"/>
    <mergeCell ref="A11:J11"/>
    <mergeCell ref="I13:J13"/>
    <mergeCell ref="C14:G14"/>
    <mergeCell ref="I14:J14"/>
    <mergeCell ref="A16:A17"/>
    <mergeCell ref="B16:B17"/>
    <mergeCell ref="C16:F16"/>
    <mergeCell ref="G16:H16"/>
    <mergeCell ref="I16:J16"/>
    <mergeCell ref="A31:B31"/>
    <mergeCell ref="C31:F32"/>
    <mergeCell ref="H31:J31"/>
    <mergeCell ref="H32:J32"/>
    <mergeCell ref="G1:J1"/>
    <mergeCell ref="G2:J2"/>
    <mergeCell ref="G3:J3"/>
    <mergeCell ref="A13:G13"/>
    <mergeCell ref="A5:G5"/>
    <mergeCell ref="H29:J29"/>
    <mergeCell ref="A24:B24"/>
    <mergeCell ref="A25:B25"/>
    <mergeCell ref="A26:B26"/>
    <mergeCell ref="A27:B27"/>
    <mergeCell ref="A23:B23"/>
    <mergeCell ref="A9:J9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44"/>
  <sheetViews>
    <sheetView view="pageBreakPreview" topLeftCell="A3" zoomScale="110" zoomScaleNormal="100" zoomScaleSheetLayoutView="110" workbookViewId="0">
      <selection activeCell="A9" sqref="A9:J9"/>
    </sheetView>
  </sheetViews>
  <sheetFormatPr defaultColWidth="8.88671875" defaultRowHeight="13.8" x14ac:dyDescent="0.25"/>
  <cols>
    <col min="1" max="1" width="4.109375" style="589" customWidth="1"/>
    <col min="2" max="2" width="22.44140625" style="589" customWidth="1"/>
    <col min="3" max="7" width="7.5546875" style="589" customWidth="1"/>
    <col min="8" max="8" width="8.88671875" style="589" customWidth="1"/>
    <col min="9" max="9" width="7.5546875" style="589" customWidth="1"/>
    <col min="10" max="10" width="9" style="589" customWidth="1"/>
    <col min="11" max="11" width="4.109375" style="589" customWidth="1"/>
    <col min="12" max="16384" width="8.88671875" style="58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75)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102</v>
      </c>
    </row>
    <row r="8" spans="1:10" s="2" customFormat="1" ht="9.6" customHeight="1" x14ac:dyDescent="0.25">
      <c r="A8" s="594"/>
      <c r="B8" s="594"/>
      <c r="C8" s="594"/>
      <c r="D8" s="594"/>
      <c r="E8" s="594"/>
      <c r="F8" s="594"/>
      <c r="G8" s="594"/>
      <c r="H8" s="594"/>
      <c r="I8" s="594"/>
      <c r="J8" s="109"/>
    </row>
    <row r="9" spans="1:10" s="2" customFormat="1" ht="26.1" customHeight="1" x14ac:dyDescent="0.3">
      <c r="A9" s="1550" t="s">
        <v>871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'102-суп картофельный с фасоль'!H14+1</f>
        <v>75</v>
      </c>
      <c r="I14" s="1534">
        <v>44986</v>
      </c>
      <c r="J14" s="1535"/>
    </row>
    <row r="15" spans="1:10" s="2" customFormat="1" ht="11.4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590" t="s">
        <v>92</v>
      </c>
      <c r="D17" s="590" t="s">
        <v>94</v>
      </c>
      <c r="E17" s="590" t="s">
        <v>93</v>
      </c>
      <c r="F17" s="590" t="s">
        <v>23</v>
      </c>
      <c r="G17" s="590" t="s">
        <v>92</v>
      </c>
      <c r="H17" s="590" t="s">
        <v>94</v>
      </c>
      <c r="I17" s="590" t="s">
        <v>92</v>
      </c>
      <c r="J17" s="590" t="s">
        <v>94</v>
      </c>
    </row>
    <row r="18" spans="1:13" ht="9.6" customHeight="1" x14ac:dyDescent="0.25">
      <c r="A18" s="590">
        <v>1</v>
      </c>
      <c r="B18" s="592">
        <v>2</v>
      </c>
      <c r="C18" s="590">
        <v>3</v>
      </c>
      <c r="D18" s="592">
        <v>4</v>
      </c>
      <c r="E18" s="590">
        <v>5</v>
      </c>
      <c r="F18" s="592">
        <v>6</v>
      </c>
      <c r="G18" s="590">
        <v>7</v>
      </c>
      <c r="H18" s="592">
        <v>8</v>
      </c>
      <c r="I18" s="590">
        <v>9</v>
      </c>
      <c r="J18" s="592">
        <v>10</v>
      </c>
    </row>
    <row r="19" spans="1:13" s="10" customFormat="1" ht="14.1" customHeight="1" x14ac:dyDescent="0.25">
      <c r="A19" s="180">
        <v>1</v>
      </c>
      <c r="B19" s="20" t="s">
        <v>50</v>
      </c>
      <c r="C19" s="21">
        <v>0.26700000000000002</v>
      </c>
      <c r="D19" s="21">
        <v>0.2</v>
      </c>
      <c r="E19" s="408">
        <f>цены!F35</f>
        <v>50</v>
      </c>
      <c r="F19" s="408">
        <f>C19*E19</f>
        <v>13.35</v>
      </c>
      <c r="G19" s="97">
        <f t="shared" ref="G19:H29" si="0">C19*10</f>
        <v>2.67</v>
      </c>
      <c r="H19" s="21">
        <f t="shared" si="0"/>
        <v>2</v>
      </c>
      <c r="I19" s="21">
        <f t="shared" ref="I19:J29" si="1">C19*100</f>
        <v>26.7</v>
      </c>
      <c r="J19" s="21">
        <f t="shared" si="1"/>
        <v>20</v>
      </c>
      <c r="L19" s="1018">
        <f>C19/C$34</f>
        <v>6.6799999999999998E-2</v>
      </c>
      <c r="M19" s="1018">
        <f>F19/C$34</f>
        <v>3.3374999999999999</v>
      </c>
    </row>
    <row r="20" spans="1:13" s="10" customFormat="1" ht="12" customHeight="1" x14ac:dyDescent="0.25">
      <c r="A20" s="180">
        <v>2</v>
      </c>
      <c r="B20" s="20" t="s">
        <v>856</v>
      </c>
      <c r="C20" s="21">
        <v>8.1000000000000003E-2</v>
      </c>
      <c r="D20" s="21">
        <v>0.08</v>
      </c>
      <c r="E20" s="408">
        <f>цены!F121</f>
        <v>125</v>
      </c>
      <c r="F20" s="408">
        <f>C20*E20</f>
        <v>10.130000000000001</v>
      </c>
      <c r="G20" s="97">
        <f t="shared" si="0"/>
        <v>0.81</v>
      </c>
      <c r="H20" s="21">
        <f t="shared" si="0"/>
        <v>0.8</v>
      </c>
      <c r="I20" s="21">
        <f t="shared" si="1"/>
        <v>8.1</v>
      </c>
      <c r="J20" s="21">
        <f t="shared" si="1"/>
        <v>8</v>
      </c>
      <c r="L20" s="1018">
        <f t="shared" ref="L20:L29" si="2">C20/C$34</f>
        <v>2.0299999999999999E-2</v>
      </c>
      <c r="M20" s="1018">
        <f t="shared" ref="M20:M29" si="3">F20/C$34</f>
        <v>2.5325000000000002</v>
      </c>
    </row>
    <row r="21" spans="1:13" s="10" customFormat="1" ht="12" customHeight="1" x14ac:dyDescent="0.25">
      <c r="A21" s="180">
        <v>3</v>
      </c>
      <c r="B21" s="20" t="s">
        <v>48</v>
      </c>
      <c r="C21" s="21">
        <v>4.8000000000000001E-2</v>
      </c>
      <c r="D21" s="21">
        <v>0.04</v>
      </c>
      <c r="E21" s="408">
        <f>цены!F38</f>
        <v>50</v>
      </c>
      <c r="F21" s="408">
        <f t="shared" ref="F21:F29" si="4">C21*E21</f>
        <v>2.4</v>
      </c>
      <c r="G21" s="97">
        <f t="shared" si="0"/>
        <v>0.48</v>
      </c>
      <c r="H21" s="21">
        <f t="shared" si="0"/>
        <v>0.4</v>
      </c>
      <c r="I21" s="21">
        <f t="shared" si="1"/>
        <v>4.8</v>
      </c>
      <c r="J21" s="21">
        <f t="shared" si="1"/>
        <v>4</v>
      </c>
      <c r="L21" s="1018">
        <f t="shared" si="2"/>
        <v>1.2E-2</v>
      </c>
      <c r="M21" s="1018">
        <f t="shared" si="3"/>
        <v>0.6</v>
      </c>
    </row>
    <row r="22" spans="1:13" s="10" customFormat="1" ht="12" customHeight="1" x14ac:dyDescent="0.25">
      <c r="A22" s="180">
        <v>4</v>
      </c>
      <c r="B22" s="20" t="s">
        <v>47</v>
      </c>
      <c r="C22" s="21">
        <v>0.05</v>
      </c>
      <c r="D22" s="21">
        <v>0.04</v>
      </c>
      <c r="E22" s="408">
        <f>цены!F44</f>
        <v>50</v>
      </c>
      <c r="F22" s="408">
        <f t="shared" si="4"/>
        <v>2.5</v>
      </c>
      <c r="G22" s="97">
        <f t="shared" si="0"/>
        <v>0.5</v>
      </c>
      <c r="H22" s="21">
        <f t="shared" si="0"/>
        <v>0.4</v>
      </c>
      <c r="I22" s="21">
        <f t="shared" si="1"/>
        <v>5</v>
      </c>
      <c r="J22" s="21">
        <f t="shared" si="1"/>
        <v>4</v>
      </c>
      <c r="L22" s="1018">
        <f t="shared" si="2"/>
        <v>1.2500000000000001E-2</v>
      </c>
      <c r="M22" s="1018">
        <f t="shared" si="3"/>
        <v>0.625</v>
      </c>
    </row>
    <row r="23" spans="1:13" s="10" customFormat="1" ht="12" customHeight="1" x14ac:dyDescent="0.25">
      <c r="A23" s="180">
        <v>5</v>
      </c>
      <c r="B23" s="20" t="s">
        <v>344</v>
      </c>
      <c r="C23" s="21">
        <v>1.2999999999999999E-2</v>
      </c>
      <c r="D23" s="21">
        <v>0.01</v>
      </c>
      <c r="E23" s="408">
        <f>цены!F47</f>
        <v>300</v>
      </c>
      <c r="F23" s="408">
        <f t="shared" si="4"/>
        <v>3.9</v>
      </c>
      <c r="G23" s="97">
        <f t="shared" si="0"/>
        <v>0.13</v>
      </c>
      <c r="H23" s="21">
        <f t="shared" si="0"/>
        <v>0.1</v>
      </c>
      <c r="I23" s="21">
        <f t="shared" si="1"/>
        <v>1.3</v>
      </c>
      <c r="J23" s="21">
        <f t="shared" si="1"/>
        <v>1</v>
      </c>
      <c r="L23" s="1018">
        <f t="shared" si="2"/>
        <v>3.3E-3</v>
      </c>
      <c r="M23" s="1018">
        <f t="shared" si="3"/>
        <v>0.97499999999999998</v>
      </c>
    </row>
    <row r="24" spans="1:13" s="10" customFormat="1" ht="12" customHeight="1" x14ac:dyDescent="0.25">
      <c r="A24" s="180">
        <v>6</v>
      </c>
      <c r="B24" s="20" t="s">
        <v>74</v>
      </c>
      <c r="C24" s="21">
        <v>0.02</v>
      </c>
      <c r="D24" s="21">
        <v>0.02</v>
      </c>
      <c r="E24" s="408">
        <f>цены!F87</f>
        <v>120</v>
      </c>
      <c r="F24" s="408">
        <f t="shared" si="4"/>
        <v>2.4</v>
      </c>
      <c r="G24" s="97">
        <f t="shared" si="0"/>
        <v>0.2</v>
      </c>
      <c r="H24" s="21">
        <f t="shared" si="0"/>
        <v>0.2</v>
      </c>
      <c r="I24" s="21">
        <f t="shared" si="1"/>
        <v>2</v>
      </c>
      <c r="J24" s="21">
        <f t="shared" si="1"/>
        <v>2</v>
      </c>
      <c r="L24" s="1018">
        <f t="shared" si="2"/>
        <v>5.0000000000000001E-3</v>
      </c>
      <c r="M24" s="1018">
        <f t="shared" si="3"/>
        <v>0.6</v>
      </c>
    </row>
    <row r="25" spans="1:13" s="10" customFormat="1" ht="12" customHeight="1" x14ac:dyDescent="0.25">
      <c r="A25" s="180">
        <v>7</v>
      </c>
      <c r="B25" s="20" t="s">
        <v>141</v>
      </c>
      <c r="C25" s="21">
        <v>0.7</v>
      </c>
      <c r="D25" s="21">
        <v>0.7</v>
      </c>
      <c r="E25" s="408"/>
      <c r="F25" s="408">
        <f t="shared" si="4"/>
        <v>0</v>
      </c>
      <c r="G25" s="97">
        <f t="shared" si="0"/>
        <v>7</v>
      </c>
      <c r="H25" s="21">
        <f t="shared" si="0"/>
        <v>7</v>
      </c>
      <c r="I25" s="21">
        <f t="shared" si="1"/>
        <v>70</v>
      </c>
      <c r="J25" s="21">
        <f t="shared" si="1"/>
        <v>70</v>
      </c>
      <c r="L25" s="1018">
        <f t="shared" si="2"/>
        <v>0.17499999999999999</v>
      </c>
      <c r="M25" s="1018">
        <f t="shared" si="3"/>
        <v>0</v>
      </c>
    </row>
    <row r="26" spans="1:13" s="10" customFormat="1" ht="12" customHeight="1" x14ac:dyDescent="0.25">
      <c r="A26" s="180">
        <v>8</v>
      </c>
      <c r="B26" s="20" t="s">
        <v>84</v>
      </c>
      <c r="C26" s="125">
        <v>4.0000000000000003E-5</v>
      </c>
      <c r="D26" s="125">
        <v>4.0000000000000003E-5</v>
      </c>
      <c r="E26" s="408">
        <f>цены!F100</f>
        <v>1000</v>
      </c>
      <c r="F26" s="408">
        <f t="shared" si="4"/>
        <v>0.04</v>
      </c>
      <c r="G26" s="97">
        <f t="shared" si="0"/>
        <v>0</v>
      </c>
      <c r="H26" s="21">
        <f t="shared" si="0"/>
        <v>0</v>
      </c>
      <c r="I26" s="21">
        <f t="shared" si="1"/>
        <v>4.0000000000000001E-3</v>
      </c>
      <c r="J26" s="21">
        <f t="shared" si="1"/>
        <v>4.0000000000000001E-3</v>
      </c>
      <c r="L26" s="1018">
        <f t="shared" si="2"/>
        <v>0</v>
      </c>
      <c r="M26" s="1018">
        <f t="shared" si="3"/>
        <v>0.01</v>
      </c>
    </row>
    <row r="27" spans="1:13" s="10" customFormat="1" ht="12" customHeight="1" x14ac:dyDescent="0.25">
      <c r="A27" s="180">
        <v>9</v>
      </c>
      <c r="B27" s="20" t="s">
        <v>33</v>
      </c>
      <c r="C27" s="21">
        <v>0.01</v>
      </c>
      <c r="D27" s="21">
        <v>0.01</v>
      </c>
      <c r="E27" s="408">
        <f>цены!F110</f>
        <v>24</v>
      </c>
      <c r="F27" s="408">
        <f t="shared" si="4"/>
        <v>0.24</v>
      </c>
      <c r="G27" s="97">
        <f t="shared" si="0"/>
        <v>0.1</v>
      </c>
      <c r="H27" s="21">
        <f t="shared" si="0"/>
        <v>0.1</v>
      </c>
      <c r="I27" s="21">
        <f t="shared" si="1"/>
        <v>1</v>
      </c>
      <c r="J27" s="21">
        <f t="shared" si="1"/>
        <v>1</v>
      </c>
      <c r="L27" s="1018">
        <f t="shared" si="2"/>
        <v>2.5000000000000001E-3</v>
      </c>
      <c r="M27" s="1018">
        <f t="shared" si="3"/>
        <v>0.06</v>
      </c>
    </row>
    <row r="28" spans="1:13" s="10" customFormat="1" ht="12" customHeight="1" x14ac:dyDescent="0.25">
      <c r="A28" s="180">
        <v>10</v>
      </c>
      <c r="B28" s="20" t="s">
        <v>51</v>
      </c>
      <c r="C28" s="21">
        <v>0.02</v>
      </c>
      <c r="D28" s="21">
        <v>0.02</v>
      </c>
      <c r="E28" s="408">
        <f>цены!F24</f>
        <v>234</v>
      </c>
      <c r="F28" s="408">
        <f t="shared" si="4"/>
        <v>4.68</v>
      </c>
      <c r="G28" s="97">
        <f t="shared" si="0"/>
        <v>0.2</v>
      </c>
      <c r="H28" s="21">
        <f t="shared" si="0"/>
        <v>0.2</v>
      </c>
      <c r="I28" s="21">
        <f t="shared" si="1"/>
        <v>2</v>
      </c>
      <c r="J28" s="21">
        <f t="shared" si="1"/>
        <v>2</v>
      </c>
      <c r="L28" s="1018">
        <f t="shared" si="2"/>
        <v>5.0000000000000001E-3</v>
      </c>
      <c r="M28" s="1018">
        <f t="shared" si="3"/>
        <v>1.17</v>
      </c>
    </row>
    <row r="29" spans="1:13" s="10" customFormat="1" ht="12" customHeight="1" x14ac:dyDescent="0.25">
      <c r="A29" s="180">
        <v>11</v>
      </c>
      <c r="B29" s="20" t="s">
        <v>78</v>
      </c>
      <c r="C29" s="21">
        <f>0.002*C34</f>
        <v>8.0000000000000002E-3</v>
      </c>
      <c r="D29" s="21">
        <f>0.002*C34</f>
        <v>8.0000000000000002E-3</v>
      </c>
      <c r="E29" s="408">
        <f>цены!F48</f>
        <v>300</v>
      </c>
      <c r="F29" s="408">
        <f t="shared" si="4"/>
        <v>2.4</v>
      </c>
      <c r="G29" s="97">
        <f t="shared" si="0"/>
        <v>0.08</v>
      </c>
      <c r="H29" s="21">
        <f t="shared" si="0"/>
        <v>0.08</v>
      </c>
      <c r="I29" s="21">
        <f t="shared" si="1"/>
        <v>0.8</v>
      </c>
      <c r="J29" s="21">
        <f t="shared" si="1"/>
        <v>0.8</v>
      </c>
      <c r="L29" s="1018">
        <f t="shared" si="2"/>
        <v>2E-3</v>
      </c>
      <c r="M29" s="1018">
        <f t="shared" si="3"/>
        <v>0.6</v>
      </c>
    </row>
    <row r="30" spans="1:13" s="10" customFormat="1" ht="12" customHeight="1" x14ac:dyDescent="0.25">
      <c r="A30" s="98"/>
      <c r="B30" s="93" t="s">
        <v>100</v>
      </c>
      <c r="C30" s="114"/>
      <c r="D30" s="100">
        <v>1</v>
      </c>
      <c r="E30" s="95"/>
      <c r="F30" s="95">
        <f>SUM(F19:F29)</f>
        <v>42.04</v>
      </c>
      <c r="G30" s="99"/>
      <c r="H30" s="100">
        <f>D30*10</f>
        <v>10</v>
      </c>
      <c r="I30" s="100"/>
      <c r="J30" s="100">
        <f>D30*100</f>
        <v>100</v>
      </c>
      <c r="L30" s="1018">
        <f>SUM(L19:L29)</f>
        <v>0.3044</v>
      </c>
      <c r="M30" s="1018">
        <f>SUM(M19:M29)</f>
        <v>10.51</v>
      </c>
    </row>
    <row r="31" spans="1:13" s="10" customFormat="1" ht="27.6" customHeight="1" x14ac:dyDescent="0.25">
      <c r="A31" s="1536" t="s">
        <v>35</v>
      </c>
      <c r="B31" s="1536"/>
      <c r="C31" s="90"/>
      <c r="D31" s="90"/>
      <c r="E31" s="408"/>
      <c r="F31" s="408">
        <f>F30</f>
        <v>42.04</v>
      </c>
      <c r="G31" s="591"/>
      <c r="H31" s="591"/>
      <c r="I31" s="21"/>
      <c r="J31" s="408"/>
    </row>
    <row r="32" spans="1:13" s="10" customFormat="1" ht="25.35" customHeight="1" x14ac:dyDescent="0.25">
      <c r="A32" s="1536" t="s">
        <v>36</v>
      </c>
      <c r="B32" s="1536"/>
      <c r="C32" s="866">
        <v>1000</v>
      </c>
      <c r="D32" s="90"/>
      <c r="E32" s="408"/>
      <c r="F32" s="408"/>
      <c r="G32" s="408"/>
      <c r="H32" s="408"/>
      <c r="I32" s="21"/>
      <c r="J32" s="17"/>
    </row>
    <row r="33" spans="1:10" s="10" customFormat="1" ht="25.35" customHeight="1" x14ac:dyDescent="0.25">
      <c r="A33" s="1537" t="s">
        <v>37</v>
      </c>
      <c r="B33" s="1538"/>
      <c r="C33" s="91">
        <v>250</v>
      </c>
      <c r="D33" s="92"/>
      <c r="E33" s="592"/>
      <c r="F33" s="592"/>
      <c r="G33" s="592"/>
      <c r="H33" s="592"/>
      <c r="I33" s="21"/>
      <c r="J33" s="17"/>
    </row>
    <row r="34" spans="1:10" s="10" customFormat="1" ht="15" customHeight="1" x14ac:dyDescent="0.25">
      <c r="A34" s="1539" t="s">
        <v>38</v>
      </c>
      <c r="B34" s="1540"/>
      <c r="C34" s="92">
        <f>C32/C33</f>
        <v>4</v>
      </c>
      <c r="D34" s="92"/>
      <c r="E34" s="592"/>
      <c r="F34" s="592"/>
      <c r="G34" s="592"/>
      <c r="H34" s="592"/>
      <c r="I34" s="21"/>
      <c r="J34" s="17"/>
    </row>
    <row r="35" spans="1:10" ht="16.350000000000001" customHeight="1" x14ac:dyDescent="0.25">
      <c r="A35" s="1541" t="s">
        <v>39</v>
      </c>
      <c r="B35" s="1542"/>
      <c r="C35" s="15" t="s">
        <v>40</v>
      </c>
      <c r="D35" s="102"/>
      <c r="E35" s="102" t="s">
        <v>40</v>
      </c>
      <c r="F35" s="16">
        <f>F31/C34</f>
        <v>10.51</v>
      </c>
      <c r="G35" s="16"/>
      <c r="H35" s="16"/>
      <c r="I35" s="102" t="s">
        <v>40</v>
      </c>
      <c r="J35" s="102" t="s">
        <v>40</v>
      </c>
    </row>
    <row r="36" spans="1:10" ht="23.1" customHeight="1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193"/>
      <c r="B37" s="1194" t="s">
        <v>49</v>
      </c>
      <c r="C37" s="1198"/>
      <c r="D37" s="1198"/>
      <c r="E37" s="1198"/>
      <c r="F37" s="1198"/>
      <c r="G37" s="1193"/>
      <c r="H37" s="1556">
        <f>'1-бутерброд с маслом'!$H$28</f>
        <v>0</v>
      </c>
      <c r="I37" s="1556"/>
      <c r="J37" s="1556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ht="13.95" customHeight="1" x14ac:dyDescent="0.25">
      <c r="A39" s="1545" t="s">
        <v>327</v>
      </c>
      <c r="B39" s="1545"/>
      <c r="C39" s="1546" t="s">
        <v>328</v>
      </c>
      <c r="D39" s="1546"/>
      <c r="E39" s="1546"/>
      <c r="F39" s="1546"/>
      <c r="G39" s="106"/>
      <c r="H39" s="1531"/>
      <c r="I39" s="1531"/>
      <c r="J39" s="1531"/>
    </row>
    <row r="40" spans="1:10" x14ac:dyDescent="0.25">
      <c r="A40" s="1193"/>
      <c r="B40" s="1193"/>
      <c r="C40" s="1546"/>
      <c r="D40" s="1546"/>
      <c r="E40" s="1546"/>
      <c r="F40" s="1546"/>
      <c r="G40" s="1193"/>
      <c r="H40" s="1531" t="s">
        <v>329</v>
      </c>
      <c r="I40" s="1531"/>
      <c r="J40" s="1531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</sheetData>
  <mergeCells count="28">
    <mergeCell ref="H37:J37"/>
    <mergeCell ref="A13:G13"/>
    <mergeCell ref="A32:B32"/>
    <mergeCell ref="A33:B33"/>
    <mergeCell ref="A34:B34"/>
    <mergeCell ref="A35:B35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9:B39"/>
    <mergeCell ref="C39:F40"/>
    <mergeCell ref="H39:J39"/>
    <mergeCell ref="H40:J40"/>
    <mergeCell ref="H5:I5"/>
    <mergeCell ref="A6:G6"/>
    <mergeCell ref="A7:I7"/>
    <mergeCell ref="A31:B31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42"/>
  <sheetViews>
    <sheetView view="pageBreakPreview" topLeftCell="A9" zoomScaleNormal="100" zoomScaleSheetLayoutView="100" workbookViewId="0">
      <selection activeCell="L13" sqref="L12:L13"/>
    </sheetView>
  </sheetViews>
  <sheetFormatPr defaultRowHeight="13.8" x14ac:dyDescent="0.25"/>
  <cols>
    <col min="1" max="1" width="4.109375" customWidth="1"/>
    <col min="2" max="2" width="22.44140625" customWidth="1"/>
    <col min="3" max="7" width="7.5546875" customWidth="1"/>
    <col min="8" max="8" width="8.88671875" customWidth="1"/>
    <col min="9" max="9" width="7.5546875" customWidth="1"/>
    <col min="10" max="10" width="9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76)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103</v>
      </c>
    </row>
    <row r="8" spans="1:10" s="2" customFormat="1" ht="9.6" customHeight="1" x14ac:dyDescent="0.25">
      <c r="A8" s="171"/>
      <c r="B8" s="171"/>
      <c r="C8" s="171"/>
      <c r="D8" s="171"/>
      <c r="E8" s="171"/>
      <c r="F8" s="171"/>
      <c r="G8" s="171"/>
      <c r="H8" s="171"/>
      <c r="I8" s="171"/>
      <c r="J8" s="109"/>
    </row>
    <row r="9" spans="1:10" s="2" customFormat="1" ht="26.1" customHeight="1" x14ac:dyDescent="0.3">
      <c r="A9" s="1550" t="s">
        <v>637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'102-суп картофельный чечевица'!H14+1</f>
        <v>76</v>
      </c>
      <c r="I14" s="1534">
        <v>44986</v>
      </c>
      <c r="J14" s="1535"/>
    </row>
    <row r="15" spans="1:10" s="2" customFormat="1" ht="11.4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172" t="s">
        <v>92</v>
      </c>
      <c r="D17" s="172" t="s">
        <v>94</v>
      </c>
      <c r="E17" s="172" t="s">
        <v>93</v>
      </c>
      <c r="F17" s="172" t="s">
        <v>23</v>
      </c>
      <c r="G17" s="172" t="s">
        <v>92</v>
      </c>
      <c r="H17" s="172" t="s">
        <v>94</v>
      </c>
      <c r="I17" s="172" t="s">
        <v>92</v>
      </c>
      <c r="J17" s="172" t="s">
        <v>94</v>
      </c>
    </row>
    <row r="18" spans="1:13" ht="9.6" customHeight="1" x14ac:dyDescent="0.25">
      <c r="A18" s="172">
        <v>1</v>
      </c>
      <c r="B18" s="173">
        <v>2</v>
      </c>
      <c r="C18" s="172">
        <v>3</v>
      </c>
      <c r="D18" s="173">
        <v>4</v>
      </c>
      <c r="E18" s="172">
        <v>5</v>
      </c>
      <c r="F18" s="173">
        <v>6</v>
      </c>
      <c r="G18" s="172">
        <v>7</v>
      </c>
      <c r="H18" s="173">
        <v>8</v>
      </c>
      <c r="I18" s="172">
        <v>9</v>
      </c>
      <c r="J18" s="173">
        <v>10</v>
      </c>
    </row>
    <row r="19" spans="1:13" s="10" customFormat="1" ht="14.1" customHeight="1" x14ac:dyDescent="0.25">
      <c r="A19" s="180">
        <v>1</v>
      </c>
      <c r="B19" s="20" t="s">
        <v>50</v>
      </c>
      <c r="C19" s="21">
        <v>0.4</v>
      </c>
      <c r="D19" s="21">
        <v>0.3</v>
      </c>
      <c r="E19" s="13">
        <f>цены!F35</f>
        <v>50</v>
      </c>
      <c r="F19" s="13">
        <f>C19*E19</f>
        <v>20</v>
      </c>
      <c r="G19" s="97">
        <f t="shared" ref="G19:H27" si="0">C19*10</f>
        <v>4</v>
      </c>
      <c r="H19" s="21">
        <f t="shared" si="0"/>
        <v>3</v>
      </c>
      <c r="I19" s="21">
        <f t="shared" ref="I19:J27" si="1">C19*100</f>
        <v>40</v>
      </c>
      <c r="J19" s="21">
        <f t="shared" si="1"/>
        <v>30</v>
      </c>
      <c r="L19" s="1018">
        <f>C19/C$32</f>
        <v>0.1</v>
      </c>
      <c r="M19" s="1018">
        <f>F19/C$32</f>
        <v>5</v>
      </c>
    </row>
    <row r="20" spans="1:13" s="10" customFormat="1" ht="12" customHeight="1" x14ac:dyDescent="0.25">
      <c r="A20" s="180">
        <v>2</v>
      </c>
      <c r="B20" s="20" t="s">
        <v>638</v>
      </c>
      <c r="C20" s="21">
        <v>0.04</v>
      </c>
      <c r="D20" s="21">
        <v>0.04</v>
      </c>
      <c r="E20" s="13">
        <f>цены!F89</f>
        <v>50</v>
      </c>
      <c r="F20" s="13">
        <f t="shared" ref="F20:F27" si="2">C20*E20</f>
        <v>2</v>
      </c>
      <c r="G20" s="97">
        <f t="shared" si="0"/>
        <v>0.4</v>
      </c>
      <c r="H20" s="21">
        <f t="shared" si="0"/>
        <v>0.4</v>
      </c>
      <c r="I20" s="21">
        <f t="shared" si="1"/>
        <v>4</v>
      </c>
      <c r="J20" s="21">
        <f t="shared" si="1"/>
        <v>4</v>
      </c>
      <c r="L20" s="1018">
        <f t="shared" ref="L20:L27" si="3">C20/C$32</f>
        <v>0.01</v>
      </c>
      <c r="M20" s="1018">
        <f t="shared" ref="M20:M27" si="4">F20/C$32</f>
        <v>0.5</v>
      </c>
    </row>
    <row r="21" spans="1:13" s="10" customFormat="1" ht="12" customHeight="1" x14ac:dyDescent="0.25">
      <c r="A21" s="180">
        <v>3</v>
      </c>
      <c r="B21" s="20" t="s">
        <v>47</v>
      </c>
      <c r="C21" s="21">
        <v>0.05</v>
      </c>
      <c r="D21" s="21">
        <v>0.04</v>
      </c>
      <c r="E21" s="13">
        <f>цены!F44</f>
        <v>50</v>
      </c>
      <c r="F21" s="13">
        <f t="shared" si="2"/>
        <v>2.5</v>
      </c>
      <c r="G21" s="97">
        <f t="shared" si="0"/>
        <v>0.5</v>
      </c>
      <c r="H21" s="21">
        <f t="shared" si="0"/>
        <v>0.4</v>
      </c>
      <c r="I21" s="21">
        <f t="shared" si="1"/>
        <v>5</v>
      </c>
      <c r="J21" s="21">
        <f t="shared" si="1"/>
        <v>4</v>
      </c>
      <c r="L21" s="1018">
        <f t="shared" si="3"/>
        <v>1.2500000000000001E-2</v>
      </c>
      <c r="M21" s="1018">
        <f t="shared" si="4"/>
        <v>0.625</v>
      </c>
    </row>
    <row r="22" spans="1:13" s="10" customFormat="1" ht="12" customHeight="1" x14ac:dyDescent="0.25">
      <c r="A22" s="180">
        <v>4</v>
      </c>
      <c r="B22" s="20" t="s">
        <v>48</v>
      </c>
      <c r="C22" s="21">
        <v>4.8000000000000001E-2</v>
      </c>
      <c r="D22" s="21">
        <v>0.04</v>
      </c>
      <c r="E22" s="13">
        <f>цены!F38</f>
        <v>50</v>
      </c>
      <c r="F22" s="13">
        <f t="shared" si="2"/>
        <v>2.4</v>
      </c>
      <c r="G22" s="97">
        <f t="shared" si="0"/>
        <v>0.48</v>
      </c>
      <c r="H22" s="21">
        <f t="shared" si="0"/>
        <v>0.4</v>
      </c>
      <c r="I22" s="21">
        <f t="shared" si="1"/>
        <v>4.8</v>
      </c>
      <c r="J22" s="21">
        <f t="shared" si="1"/>
        <v>4</v>
      </c>
      <c r="L22" s="1018">
        <f t="shared" si="3"/>
        <v>1.2E-2</v>
      </c>
      <c r="M22" s="1018">
        <f t="shared" si="4"/>
        <v>0.6</v>
      </c>
    </row>
    <row r="23" spans="1:13" s="10" customFormat="1" ht="12" customHeight="1" x14ac:dyDescent="0.25">
      <c r="A23" s="180">
        <v>5</v>
      </c>
      <c r="B23" s="20" t="s">
        <v>74</v>
      </c>
      <c r="C23" s="21">
        <v>0.01</v>
      </c>
      <c r="D23" s="21">
        <v>0.01</v>
      </c>
      <c r="E23" s="13">
        <f>цены!F87</f>
        <v>120</v>
      </c>
      <c r="F23" s="13">
        <f t="shared" si="2"/>
        <v>1.2</v>
      </c>
      <c r="G23" s="97">
        <f t="shared" si="0"/>
        <v>0.1</v>
      </c>
      <c r="H23" s="21">
        <f t="shared" si="0"/>
        <v>0.1</v>
      </c>
      <c r="I23" s="21">
        <f t="shared" si="1"/>
        <v>1</v>
      </c>
      <c r="J23" s="21">
        <f t="shared" si="1"/>
        <v>1</v>
      </c>
      <c r="L23" s="1018">
        <f t="shared" si="3"/>
        <v>2.5000000000000001E-3</v>
      </c>
      <c r="M23" s="1018">
        <f t="shared" si="4"/>
        <v>0.3</v>
      </c>
    </row>
    <row r="24" spans="1:13" s="10" customFormat="1" ht="12" customHeight="1" x14ac:dyDescent="0.25">
      <c r="A24" s="180">
        <v>6</v>
      </c>
      <c r="B24" s="20" t="s">
        <v>141</v>
      </c>
      <c r="C24" s="21">
        <v>0.7</v>
      </c>
      <c r="D24" s="21">
        <v>0.7</v>
      </c>
      <c r="E24" s="13"/>
      <c r="F24" s="13">
        <f t="shared" si="2"/>
        <v>0</v>
      </c>
      <c r="G24" s="97">
        <f t="shared" si="0"/>
        <v>7</v>
      </c>
      <c r="H24" s="21">
        <f t="shared" si="0"/>
        <v>7</v>
      </c>
      <c r="I24" s="21">
        <f t="shared" si="1"/>
        <v>70</v>
      </c>
      <c r="J24" s="21">
        <f t="shared" si="1"/>
        <v>70</v>
      </c>
      <c r="L24" s="1018">
        <f t="shared" si="3"/>
        <v>0.17499999999999999</v>
      </c>
      <c r="M24" s="1018">
        <f t="shared" si="4"/>
        <v>0</v>
      </c>
    </row>
    <row r="25" spans="1:13" s="10" customFormat="1" ht="12" customHeight="1" x14ac:dyDescent="0.25">
      <c r="A25" s="180">
        <v>7</v>
      </c>
      <c r="B25" s="20" t="s">
        <v>84</v>
      </c>
      <c r="C25" s="113">
        <v>4.0000000000000003E-5</v>
      </c>
      <c r="D25" s="113">
        <v>4.0000000000000003E-5</v>
      </c>
      <c r="E25" s="13">
        <f>цены!F100</f>
        <v>1000</v>
      </c>
      <c r="F25" s="13">
        <f t="shared" si="2"/>
        <v>0.04</v>
      </c>
      <c r="G25" s="97">
        <f t="shared" si="0"/>
        <v>0</v>
      </c>
      <c r="H25" s="21">
        <f t="shared" si="0"/>
        <v>0</v>
      </c>
      <c r="I25" s="21">
        <f t="shared" si="1"/>
        <v>4.0000000000000001E-3</v>
      </c>
      <c r="J25" s="21">
        <f t="shared" si="1"/>
        <v>4.0000000000000001E-3</v>
      </c>
      <c r="L25" s="1018">
        <f t="shared" si="3"/>
        <v>0</v>
      </c>
      <c r="M25" s="1018">
        <f t="shared" si="4"/>
        <v>0.01</v>
      </c>
    </row>
    <row r="26" spans="1:13" s="10" customFormat="1" ht="12" customHeight="1" x14ac:dyDescent="0.25">
      <c r="A26" s="180">
        <v>8</v>
      </c>
      <c r="B26" s="20" t="s">
        <v>33</v>
      </c>
      <c r="C26" s="21">
        <v>0.01</v>
      </c>
      <c r="D26" s="21">
        <v>0.01</v>
      </c>
      <c r="E26" s="13">
        <f>цены!F110</f>
        <v>24</v>
      </c>
      <c r="F26" s="13">
        <f t="shared" si="2"/>
        <v>0.24</v>
      </c>
      <c r="G26" s="97">
        <f t="shared" si="0"/>
        <v>0.1</v>
      </c>
      <c r="H26" s="21">
        <f t="shared" si="0"/>
        <v>0.1</v>
      </c>
      <c r="I26" s="21">
        <f t="shared" si="1"/>
        <v>1</v>
      </c>
      <c r="J26" s="21">
        <f t="shared" si="1"/>
        <v>1</v>
      </c>
      <c r="L26" s="1018">
        <f t="shared" si="3"/>
        <v>2.5000000000000001E-3</v>
      </c>
      <c r="M26" s="1018">
        <f t="shared" si="4"/>
        <v>0.06</v>
      </c>
    </row>
    <row r="27" spans="1:13" s="10" customFormat="1" ht="12" customHeight="1" x14ac:dyDescent="0.25">
      <c r="A27" s="180">
        <v>9</v>
      </c>
      <c r="B27" s="20" t="s">
        <v>78</v>
      </c>
      <c r="C27" s="21">
        <f>0.002*C32</f>
        <v>8.0000000000000002E-3</v>
      </c>
      <c r="D27" s="21">
        <f>0.002*C32</f>
        <v>8.0000000000000002E-3</v>
      </c>
      <c r="E27" s="13">
        <f>цены!F48</f>
        <v>300</v>
      </c>
      <c r="F27" s="13">
        <f t="shared" si="2"/>
        <v>2.4</v>
      </c>
      <c r="G27" s="97">
        <f t="shared" si="0"/>
        <v>0.08</v>
      </c>
      <c r="H27" s="21">
        <f t="shared" si="0"/>
        <v>0.08</v>
      </c>
      <c r="I27" s="21">
        <f t="shared" si="1"/>
        <v>0.8</v>
      </c>
      <c r="J27" s="21">
        <f t="shared" si="1"/>
        <v>0.8</v>
      </c>
      <c r="L27" s="1018">
        <f t="shared" si="3"/>
        <v>2E-3</v>
      </c>
      <c r="M27" s="1018">
        <f t="shared" si="4"/>
        <v>0.6</v>
      </c>
    </row>
    <row r="28" spans="1:13" s="10" customFormat="1" ht="12" customHeight="1" x14ac:dyDescent="0.25">
      <c r="A28" s="98"/>
      <c r="B28" s="93" t="s">
        <v>100</v>
      </c>
      <c r="C28" s="114"/>
      <c r="D28" s="100">
        <v>1</v>
      </c>
      <c r="E28" s="95"/>
      <c r="F28" s="95">
        <f>SUM(F19:F27)</f>
        <v>30.78</v>
      </c>
      <c r="G28" s="99"/>
      <c r="H28" s="100">
        <f>D28*10</f>
        <v>10</v>
      </c>
      <c r="I28" s="100"/>
      <c r="J28" s="100">
        <f>D28*100</f>
        <v>100</v>
      </c>
      <c r="L28" s="1018">
        <f>SUM(L19:L27)</f>
        <v>0.3165</v>
      </c>
      <c r="M28" s="1018">
        <f>SUM(M19:M27)</f>
        <v>7.6950000000000003</v>
      </c>
    </row>
    <row r="29" spans="1:13" s="10" customFormat="1" ht="27.6" customHeight="1" x14ac:dyDescent="0.25">
      <c r="A29" s="1536" t="s">
        <v>35</v>
      </c>
      <c r="B29" s="1536"/>
      <c r="C29" s="90"/>
      <c r="D29" s="90"/>
      <c r="E29" s="13"/>
      <c r="F29" s="13">
        <f>F28</f>
        <v>30.78</v>
      </c>
      <c r="G29" s="174"/>
      <c r="H29" s="174"/>
      <c r="I29" s="21"/>
      <c r="J29" s="13"/>
    </row>
    <row r="30" spans="1:13" s="10" customFormat="1" ht="25.35" customHeight="1" x14ac:dyDescent="0.25">
      <c r="A30" s="1536" t="s">
        <v>36</v>
      </c>
      <c r="B30" s="1536"/>
      <c r="C30" s="90">
        <v>1000</v>
      </c>
      <c r="D30" s="90"/>
      <c r="E30" s="13"/>
      <c r="F30" s="13"/>
      <c r="G30" s="13"/>
      <c r="H30" s="13"/>
      <c r="I30" s="21"/>
      <c r="J30" s="17"/>
    </row>
    <row r="31" spans="1:13" s="10" customFormat="1" ht="25.35" customHeight="1" x14ac:dyDescent="0.25">
      <c r="A31" s="1537" t="s">
        <v>37</v>
      </c>
      <c r="B31" s="1538"/>
      <c r="C31" s="91">
        <v>250</v>
      </c>
      <c r="D31" s="92"/>
      <c r="E31" s="173"/>
      <c r="F31" s="173"/>
      <c r="G31" s="173"/>
      <c r="H31" s="173"/>
      <c r="I31" s="21"/>
      <c r="J31" s="17"/>
    </row>
    <row r="32" spans="1:13" s="10" customFormat="1" ht="15" customHeight="1" x14ac:dyDescent="0.25">
      <c r="A32" s="1539" t="s">
        <v>38</v>
      </c>
      <c r="B32" s="1540"/>
      <c r="C32" s="92">
        <f>C30/C31</f>
        <v>4</v>
      </c>
      <c r="D32" s="92"/>
      <c r="E32" s="173"/>
      <c r="F32" s="173"/>
      <c r="G32" s="173"/>
      <c r="H32" s="173"/>
      <c r="I32" s="21"/>
      <c r="J32" s="17"/>
    </row>
    <row r="33" spans="1:10" ht="16.350000000000001" customHeight="1" x14ac:dyDescent="0.25">
      <c r="A33" s="1541" t="s">
        <v>39</v>
      </c>
      <c r="B33" s="1542"/>
      <c r="C33" s="15" t="s">
        <v>40</v>
      </c>
      <c r="D33" s="102"/>
      <c r="E33" s="102" t="s">
        <v>40</v>
      </c>
      <c r="F33" s="16">
        <f>F29/C32</f>
        <v>7.7</v>
      </c>
      <c r="G33" s="16"/>
      <c r="H33" s="16"/>
      <c r="I33" s="102" t="s">
        <v>40</v>
      </c>
      <c r="J33" s="102" t="s">
        <v>40</v>
      </c>
    </row>
    <row r="34" spans="1:10" ht="23.1" customHeight="1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193"/>
      <c r="B35" s="1194" t="s">
        <v>49</v>
      </c>
      <c r="C35" s="1198"/>
      <c r="D35" s="1198"/>
      <c r="E35" s="1198"/>
      <c r="F35" s="1198"/>
      <c r="G35" s="1193"/>
      <c r="H35" s="1556">
        <f>'1-бутерброд с маслом'!$H$28</f>
        <v>0</v>
      </c>
      <c r="I35" s="1556"/>
      <c r="J35" s="1556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545" t="s">
        <v>327</v>
      </c>
      <c r="B37" s="1545"/>
      <c r="C37" s="1546" t="s">
        <v>328</v>
      </c>
      <c r="D37" s="1546"/>
      <c r="E37" s="1546"/>
      <c r="F37" s="1546"/>
      <c r="G37" s="106"/>
      <c r="H37" s="1531"/>
      <c r="I37" s="1531"/>
      <c r="J37" s="1531"/>
    </row>
    <row r="38" spans="1:10" x14ac:dyDescent="0.25">
      <c r="A38" s="1193"/>
      <c r="B38" s="1193"/>
      <c r="C38" s="1546"/>
      <c r="D38" s="1546"/>
      <c r="E38" s="1546"/>
      <c r="F38" s="1546"/>
      <c r="G38" s="1193"/>
      <c r="H38" s="1531" t="s">
        <v>329</v>
      </c>
      <c r="I38" s="1531"/>
      <c r="J38" s="1531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7:B37"/>
    <mergeCell ref="C37:F38"/>
    <mergeCell ref="H37:J37"/>
    <mergeCell ref="H38:J38"/>
    <mergeCell ref="A30:B30"/>
    <mergeCell ref="A31:B31"/>
    <mergeCell ref="A32:B32"/>
    <mergeCell ref="A33:B33"/>
    <mergeCell ref="H35:J35"/>
    <mergeCell ref="A29:B29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45"/>
  <sheetViews>
    <sheetView view="pageBreakPreview" topLeftCell="A5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4" width="7.5546875" customWidth="1"/>
    <col min="5" max="5" width="8.109375" customWidth="1"/>
    <col min="6" max="6" width="8" customWidth="1"/>
    <col min="7" max="7" width="7.5546875" customWidth="1"/>
    <col min="8" max="8" width="7.6640625" customWidth="1"/>
    <col min="9" max="9" width="7.5546875" customWidth="1"/>
    <col min="10" max="10" width="8.33203125" customWidth="1"/>
    <col min="11" max="11" width="4.66406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77)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104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116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'103-суп картофельный с вермиш.'!H14+1</f>
        <v>77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3" ht="9.6" customHeight="1" x14ac:dyDescent="0.25">
      <c r="A18" s="96">
        <v>1</v>
      </c>
      <c r="B18" s="5">
        <v>2</v>
      </c>
      <c r="C18" s="172">
        <v>3</v>
      </c>
      <c r="D18" s="173">
        <v>4</v>
      </c>
      <c r="E18" s="172">
        <v>5</v>
      </c>
      <c r="F18" s="173">
        <v>6</v>
      </c>
      <c r="G18" s="172">
        <v>7</v>
      </c>
      <c r="H18" s="173">
        <v>8</v>
      </c>
      <c r="I18" s="172">
        <v>9</v>
      </c>
      <c r="J18" s="173">
        <v>10</v>
      </c>
    </row>
    <row r="19" spans="1:13" s="10" customFormat="1" ht="14.1" customHeight="1" x14ac:dyDescent="0.25">
      <c r="A19" s="180">
        <v>1</v>
      </c>
      <c r="B19" s="20" t="s">
        <v>50</v>
      </c>
      <c r="C19" s="21">
        <v>0.53300000000000003</v>
      </c>
      <c r="D19" s="21">
        <v>0.4</v>
      </c>
      <c r="E19" s="13">
        <f>цены!F35</f>
        <v>50</v>
      </c>
      <c r="F19" s="13">
        <f>C19*E19</f>
        <v>26.65</v>
      </c>
      <c r="G19" s="97">
        <f t="shared" ref="G19:H28" si="0">C19*10</f>
        <v>5.33</v>
      </c>
      <c r="H19" s="21">
        <f t="shared" si="0"/>
        <v>4</v>
      </c>
      <c r="I19" s="21">
        <f t="shared" ref="I19:J28" si="1">C19*100</f>
        <v>53.3</v>
      </c>
      <c r="J19" s="21">
        <f t="shared" si="1"/>
        <v>40</v>
      </c>
      <c r="L19" s="1018">
        <f>C19/C$35</f>
        <v>0.1333</v>
      </c>
      <c r="M19" s="1018">
        <f>F19/C$35</f>
        <v>6.6624999999999996</v>
      </c>
    </row>
    <row r="20" spans="1:13" s="10" customFormat="1" ht="14.1" customHeight="1" x14ac:dyDescent="0.25">
      <c r="A20" s="180">
        <v>2</v>
      </c>
      <c r="B20" s="20" t="s">
        <v>47</v>
      </c>
      <c r="C20" s="21">
        <v>0.05</v>
      </c>
      <c r="D20" s="21">
        <v>0.04</v>
      </c>
      <c r="E20" s="13">
        <f>цены!F44</f>
        <v>50</v>
      </c>
      <c r="F20" s="13">
        <f t="shared" ref="F20:F30" si="2">C20*E20</f>
        <v>2.5</v>
      </c>
      <c r="G20" s="97">
        <f t="shared" si="0"/>
        <v>0.5</v>
      </c>
      <c r="H20" s="21">
        <f t="shared" si="0"/>
        <v>0.4</v>
      </c>
      <c r="I20" s="21">
        <f t="shared" si="1"/>
        <v>5</v>
      </c>
      <c r="J20" s="21">
        <f t="shared" si="1"/>
        <v>4</v>
      </c>
      <c r="L20" s="1018">
        <f t="shared" ref="L20:L30" si="3">C20/C$35</f>
        <v>1.2500000000000001E-2</v>
      </c>
      <c r="M20" s="1018">
        <f t="shared" ref="M20:M30" si="4">F20/C$35</f>
        <v>0.625</v>
      </c>
    </row>
    <row r="21" spans="1:13" s="10" customFormat="1" ht="12" customHeight="1" x14ac:dyDescent="0.25">
      <c r="A21" s="180">
        <v>3</v>
      </c>
      <c r="B21" s="20" t="s">
        <v>48</v>
      </c>
      <c r="C21" s="21">
        <v>4.8000000000000001E-2</v>
      </c>
      <c r="D21" s="21">
        <v>0.04</v>
      </c>
      <c r="E21" s="13">
        <f>цены!F38</f>
        <v>50</v>
      </c>
      <c r="F21" s="13">
        <f t="shared" si="2"/>
        <v>2.4</v>
      </c>
      <c r="G21" s="97">
        <f t="shared" si="0"/>
        <v>0.48</v>
      </c>
      <c r="H21" s="21">
        <f t="shared" si="0"/>
        <v>0.4</v>
      </c>
      <c r="I21" s="21">
        <f t="shared" si="1"/>
        <v>4.8</v>
      </c>
      <c r="J21" s="21">
        <f t="shared" si="1"/>
        <v>4</v>
      </c>
      <c r="L21" s="1018">
        <f t="shared" si="3"/>
        <v>1.2E-2</v>
      </c>
      <c r="M21" s="1018">
        <f t="shared" si="4"/>
        <v>0.6</v>
      </c>
    </row>
    <row r="22" spans="1:13" s="10" customFormat="1" ht="12" customHeight="1" x14ac:dyDescent="0.25">
      <c r="A22" s="180">
        <v>4</v>
      </c>
      <c r="B22" s="20" t="s">
        <v>46</v>
      </c>
      <c r="C22" s="21">
        <v>0.01</v>
      </c>
      <c r="D22" s="21">
        <v>0.01</v>
      </c>
      <c r="E22" s="13">
        <f>цены!F113</f>
        <v>230</v>
      </c>
      <c r="F22" s="13">
        <f t="shared" si="2"/>
        <v>2.2999999999999998</v>
      </c>
      <c r="G22" s="97">
        <f t="shared" si="0"/>
        <v>0.1</v>
      </c>
      <c r="H22" s="21">
        <f t="shared" si="0"/>
        <v>0.1</v>
      </c>
      <c r="I22" s="21">
        <f t="shared" si="1"/>
        <v>1</v>
      </c>
      <c r="J22" s="21">
        <f t="shared" si="1"/>
        <v>1</v>
      </c>
      <c r="L22" s="1018">
        <f t="shared" si="3"/>
        <v>2.5000000000000001E-3</v>
      </c>
      <c r="M22" s="1018">
        <f t="shared" si="4"/>
        <v>0.57499999999999996</v>
      </c>
    </row>
    <row r="23" spans="1:13" s="10" customFormat="1" ht="12" customHeight="1" x14ac:dyDescent="0.25">
      <c r="A23" s="180">
        <v>5</v>
      </c>
      <c r="B23" s="20" t="s">
        <v>74</v>
      </c>
      <c r="C23" s="21">
        <v>0.01</v>
      </c>
      <c r="D23" s="21">
        <v>0.01</v>
      </c>
      <c r="E23" s="13">
        <f>цены!F87</f>
        <v>120</v>
      </c>
      <c r="F23" s="13">
        <f t="shared" si="2"/>
        <v>1.2</v>
      </c>
      <c r="G23" s="97">
        <f t="shared" si="0"/>
        <v>0.1</v>
      </c>
      <c r="H23" s="21">
        <f t="shared" si="0"/>
        <v>0.1</v>
      </c>
      <c r="I23" s="21">
        <f t="shared" si="1"/>
        <v>1</v>
      </c>
      <c r="J23" s="21">
        <f t="shared" si="1"/>
        <v>1</v>
      </c>
      <c r="L23" s="1018">
        <f t="shared" si="3"/>
        <v>2.5000000000000001E-3</v>
      </c>
      <c r="M23" s="1018">
        <f t="shared" si="4"/>
        <v>0.3</v>
      </c>
    </row>
    <row r="24" spans="1:13" s="10" customFormat="1" ht="12" customHeight="1" x14ac:dyDescent="0.25">
      <c r="A24" s="180">
        <v>6</v>
      </c>
      <c r="B24" s="20" t="s">
        <v>141</v>
      </c>
      <c r="C24" s="21">
        <v>0.7</v>
      </c>
      <c r="D24" s="21">
        <v>0.7</v>
      </c>
      <c r="E24" s="13"/>
      <c r="F24" s="13">
        <f t="shared" si="2"/>
        <v>0</v>
      </c>
      <c r="G24" s="97">
        <f t="shared" si="0"/>
        <v>7</v>
      </c>
      <c r="H24" s="21">
        <f t="shared" si="0"/>
        <v>7</v>
      </c>
      <c r="I24" s="21">
        <f t="shared" si="1"/>
        <v>70</v>
      </c>
      <c r="J24" s="21">
        <f t="shared" si="1"/>
        <v>70</v>
      </c>
      <c r="L24" s="1018">
        <f t="shared" si="3"/>
        <v>0.17499999999999999</v>
      </c>
      <c r="M24" s="1018">
        <f t="shared" si="4"/>
        <v>0</v>
      </c>
    </row>
    <row r="25" spans="1:13" s="10" customFormat="1" ht="12" customHeight="1" x14ac:dyDescent="0.25">
      <c r="A25" s="180">
        <v>7</v>
      </c>
      <c r="B25" s="20" t="s">
        <v>84</v>
      </c>
      <c r="C25" s="125">
        <v>4.0000000000000003E-5</v>
      </c>
      <c r="D25" s="125">
        <v>4.0000000000000003E-5</v>
      </c>
      <c r="E25" s="13">
        <f>цены!F100</f>
        <v>1000</v>
      </c>
      <c r="F25" s="13">
        <f t="shared" si="2"/>
        <v>0.04</v>
      </c>
      <c r="G25" s="97">
        <f t="shared" si="0"/>
        <v>0</v>
      </c>
      <c r="H25" s="21">
        <f t="shared" si="0"/>
        <v>0</v>
      </c>
      <c r="I25" s="21">
        <f t="shared" si="1"/>
        <v>4.0000000000000001E-3</v>
      </c>
      <c r="J25" s="21">
        <f t="shared" si="1"/>
        <v>4.0000000000000001E-3</v>
      </c>
      <c r="L25" s="1018">
        <f t="shared" si="3"/>
        <v>0</v>
      </c>
      <c r="M25" s="1018">
        <f t="shared" si="4"/>
        <v>0.01</v>
      </c>
    </row>
    <row r="26" spans="1:13" s="10" customFormat="1" ht="12" customHeight="1" x14ac:dyDescent="0.25">
      <c r="A26" s="180">
        <v>8</v>
      </c>
      <c r="B26" s="20" t="s">
        <v>33</v>
      </c>
      <c r="C26" s="21">
        <v>7.0000000000000001E-3</v>
      </c>
      <c r="D26" s="21">
        <v>7.0000000000000001E-3</v>
      </c>
      <c r="E26" s="13">
        <f>цены!F110</f>
        <v>24</v>
      </c>
      <c r="F26" s="13">
        <f t="shared" si="2"/>
        <v>0.17</v>
      </c>
      <c r="G26" s="97">
        <f t="shared" si="0"/>
        <v>7.0000000000000007E-2</v>
      </c>
      <c r="H26" s="21">
        <f t="shared" si="0"/>
        <v>7.0000000000000007E-2</v>
      </c>
      <c r="I26" s="21">
        <f t="shared" si="1"/>
        <v>0.7</v>
      </c>
      <c r="J26" s="21">
        <f t="shared" si="1"/>
        <v>0.7</v>
      </c>
      <c r="L26" s="1018">
        <f t="shared" si="3"/>
        <v>1.8E-3</v>
      </c>
      <c r="M26" s="1018">
        <f t="shared" si="4"/>
        <v>4.2500000000000003E-2</v>
      </c>
    </row>
    <row r="27" spans="1:13" s="10" customFormat="1" ht="12" customHeight="1" x14ac:dyDescent="0.25">
      <c r="A27" s="180">
        <v>9</v>
      </c>
      <c r="B27" s="20" t="s">
        <v>78</v>
      </c>
      <c r="C27" s="21">
        <f>0.002*C35</f>
        <v>8.0000000000000002E-3</v>
      </c>
      <c r="D27" s="21">
        <f>0.002*C35</f>
        <v>8.0000000000000002E-3</v>
      </c>
      <c r="E27" s="13">
        <f>цены!F48</f>
        <v>300</v>
      </c>
      <c r="F27" s="13">
        <f>C27*E27</f>
        <v>2.4</v>
      </c>
      <c r="G27" s="97">
        <f t="shared" si="0"/>
        <v>0.08</v>
      </c>
      <c r="H27" s="21">
        <f t="shared" si="0"/>
        <v>0.08</v>
      </c>
      <c r="I27" s="21">
        <f t="shared" si="1"/>
        <v>0.8</v>
      </c>
      <c r="J27" s="21">
        <f t="shared" si="1"/>
        <v>0.8</v>
      </c>
      <c r="L27" s="1018">
        <f t="shared" si="3"/>
        <v>2E-3</v>
      </c>
      <c r="M27" s="1018">
        <f t="shared" si="4"/>
        <v>0.6</v>
      </c>
    </row>
    <row r="28" spans="1:13" s="10" customFormat="1" ht="12" customHeight="1" x14ac:dyDescent="0.25">
      <c r="A28" s="180">
        <v>10</v>
      </c>
      <c r="B28" s="20" t="s">
        <v>51</v>
      </c>
      <c r="C28" s="21">
        <v>0.02</v>
      </c>
      <c r="D28" s="21">
        <v>0.02</v>
      </c>
      <c r="E28" s="13">
        <f>цены!F24</f>
        <v>234</v>
      </c>
      <c r="F28" s="13">
        <f>C28*E28</f>
        <v>4.68</v>
      </c>
      <c r="G28" s="97">
        <f t="shared" si="0"/>
        <v>0.2</v>
      </c>
      <c r="H28" s="21">
        <f t="shared" si="0"/>
        <v>0.2</v>
      </c>
      <c r="I28" s="21">
        <f t="shared" si="1"/>
        <v>2</v>
      </c>
      <c r="J28" s="21">
        <f t="shared" si="1"/>
        <v>2</v>
      </c>
      <c r="L28" s="1018">
        <f t="shared" si="3"/>
        <v>5.0000000000000001E-3</v>
      </c>
      <c r="M28" s="1018">
        <f t="shared" si="4"/>
        <v>1.17</v>
      </c>
    </row>
    <row r="29" spans="1:13" s="10" customFormat="1" ht="12" customHeight="1" x14ac:dyDescent="0.25">
      <c r="A29" s="184"/>
      <c r="B29" s="93" t="s">
        <v>100</v>
      </c>
      <c r="C29" s="114"/>
      <c r="D29" s="100">
        <v>1</v>
      </c>
      <c r="E29" s="95"/>
      <c r="F29" s="95">
        <f>SUM(F19:F28)</f>
        <v>42.34</v>
      </c>
      <c r="G29" s="99"/>
      <c r="H29" s="100">
        <f>D29*10</f>
        <v>10</v>
      </c>
      <c r="I29" s="100"/>
      <c r="J29" s="100">
        <f>D29*100</f>
        <v>100</v>
      </c>
      <c r="L29" s="1018"/>
      <c r="M29" s="1018"/>
    </row>
    <row r="30" spans="1:13" s="10" customFormat="1" ht="12" customHeight="1" x14ac:dyDescent="0.25">
      <c r="A30" s="180">
        <v>11</v>
      </c>
      <c r="B30" s="20" t="s">
        <v>142</v>
      </c>
      <c r="C30" s="111">
        <v>0.25</v>
      </c>
      <c r="D30" s="111">
        <v>0.25</v>
      </c>
      <c r="E30" s="13">
        <f>'105-фрикадельки 70'!F25</f>
        <v>887.39</v>
      </c>
      <c r="F30" s="13">
        <f t="shared" si="2"/>
        <v>221.85</v>
      </c>
      <c r="G30" s="97">
        <f>C30*10</f>
        <v>2.5</v>
      </c>
      <c r="H30" s="21">
        <f>D30*10</f>
        <v>2.5</v>
      </c>
      <c r="I30" s="21">
        <f>C30*100</f>
        <v>25</v>
      </c>
      <c r="J30" s="21">
        <f>D30*100</f>
        <v>25</v>
      </c>
      <c r="L30" s="1018">
        <f t="shared" si="3"/>
        <v>6.25E-2</v>
      </c>
      <c r="M30" s="1018">
        <f t="shared" si="4"/>
        <v>55.462499999999999</v>
      </c>
    </row>
    <row r="31" spans="1:13" s="10" customFormat="1" ht="12" customHeight="1" x14ac:dyDescent="0.25">
      <c r="A31" s="98"/>
      <c r="B31" s="93" t="s">
        <v>100</v>
      </c>
      <c r="C31" s="112"/>
      <c r="D31" s="112">
        <v>1</v>
      </c>
      <c r="E31" s="95"/>
      <c r="F31" s="95">
        <f>F29+F30</f>
        <v>264.19</v>
      </c>
      <c r="G31" s="99"/>
      <c r="H31" s="100">
        <f>D31*10</f>
        <v>10</v>
      </c>
      <c r="I31" s="100"/>
      <c r="J31" s="100">
        <f>D31*100</f>
        <v>100</v>
      </c>
      <c r="L31" s="1018">
        <f>SUM(L19:L30)</f>
        <v>0.40910000000000002</v>
      </c>
      <c r="M31" s="1018">
        <f>SUM(M19:M30)</f>
        <v>66.047499999999999</v>
      </c>
    </row>
    <row r="32" spans="1:13" s="10" customFormat="1" ht="27.6" customHeight="1" x14ac:dyDescent="0.25">
      <c r="A32" s="1536" t="s">
        <v>35</v>
      </c>
      <c r="B32" s="1536"/>
      <c r="C32" s="90"/>
      <c r="D32" s="90"/>
      <c r="E32" s="13"/>
      <c r="F32" s="13">
        <f>F31</f>
        <v>264.19</v>
      </c>
      <c r="G32" s="14"/>
      <c r="H32" s="14"/>
      <c r="I32" s="21"/>
      <c r="J32" s="13"/>
    </row>
    <row r="33" spans="1:10" s="10" customFormat="1" ht="25.35" customHeight="1" x14ac:dyDescent="0.25">
      <c r="A33" s="1536" t="s">
        <v>36</v>
      </c>
      <c r="B33" s="1536"/>
      <c r="C33" s="246">
        <v>1000</v>
      </c>
      <c r="D33" s="90"/>
      <c r="E33" s="13"/>
      <c r="F33" s="13"/>
      <c r="G33" s="13"/>
      <c r="H33" s="13"/>
      <c r="I33" s="21"/>
      <c r="J33" s="17"/>
    </row>
    <row r="34" spans="1:10" s="10" customFormat="1" ht="25.35" customHeight="1" x14ac:dyDescent="0.25">
      <c r="A34" s="1537" t="s">
        <v>37</v>
      </c>
      <c r="B34" s="1538"/>
      <c r="C34" s="91">
        <v>250</v>
      </c>
      <c r="D34" s="92"/>
      <c r="E34" s="5"/>
      <c r="F34" s="5"/>
      <c r="G34" s="5"/>
      <c r="H34" s="5"/>
      <c r="I34" s="21"/>
      <c r="J34" s="17"/>
    </row>
    <row r="35" spans="1:10" s="10" customFormat="1" ht="15" customHeight="1" x14ac:dyDescent="0.25">
      <c r="A35" s="1539" t="s">
        <v>38</v>
      </c>
      <c r="B35" s="1540"/>
      <c r="C35" s="92">
        <f>C33/C34</f>
        <v>4</v>
      </c>
      <c r="D35" s="92"/>
      <c r="E35" s="5"/>
      <c r="F35" s="5"/>
      <c r="G35" s="5"/>
      <c r="H35" s="5"/>
      <c r="I35" s="21"/>
      <c r="J35" s="17"/>
    </row>
    <row r="36" spans="1:10" ht="16.350000000000001" customHeight="1" x14ac:dyDescent="0.25">
      <c r="A36" s="1541" t="s">
        <v>39</v>
      </c>
      <c r="B36" s="1542"/>
      <c r="C36" s="15" t="s">
        <v>40</v>
      </c>
      <c r="D36" s="102"/>
      <c r="E36" s="102" t="s">
        <v>40</v>
      </c>
      <c r="F36" s="16">
        <f>F32/C35</f>
        <v>66.05</v>
      </c>
      <c r="G36" s="16"/>
      <c r="H36" s="16"/>
      <c r="I36" s="102" t="s">
        <v>40</v>
      </c>
      <c r="J36" s="102" t="s">
        <v>40</v>
      </c>
    </row>
    <row r="37" spans="1:10" ht="23.1" customHeight="1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193"/>
      <c r="B38" s="1194" t="s">
        <v>49</v>
      </c>
      <c r="C38" s="1198"/>
      <c r="D38" s="1198"/>
      <c r="E38" s="1198"/>
      <c r="F38" s="1198"/>
      <c r="G38" s="1193"/>
      <c r="H38" s="1556">
        <f>'1-бутерброд с маслом'!$H$28</f>
        <v>0</v>
      </c>
      <c r="I38" s="1556"/>
      <c r="J38" s="1556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ht="13.95" customHeight="1" x14ac:dyDescent="0.25">
      <c r="A40" s="1545" t="s">
        <v>327</v>
      </c>
      <c r="B40" s="1545"/>
      <c r="C40" s="1546" t="s">
        <v>328</v>
      </c>
      <c r="D40" s="1546"/>
      <c r="E40" s="1546"/>
      <c r="F40" s="1546"/>
      <c r="G40" s="106"/>
      <c r="H40" s="1531"/>
      <c r="I40" s="1531"/>
      <c r="J40" s="1531"/>
    </row>
    <row r="41" spans="1:10" x14ac:dyDescent="0.25">
      <c r="A41" s="1193"/>
      <c r="B41" s="1193"/>
      <c r="C41" s="1546"/>
      <c r="D41" s="1546"/>
      <c r="E41" s="1546"/>
      <c r="F41" s="1546"/>
      <c r="G41" s="1193"/>
      <c r="H41" s="1531" t="s">
        <v>329</v>
      </c>
      <c r="I41" s="1531"/>
      <c r="J41" s="1531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  <row r="45" spans="1:10" x14ac:dyDescent="0.25">
      <c r="A45" s="1193"/>
      <c r="B45" s="1193"/>
      <c r="C45" s="1193"/>
      <c r="D45" s="1193"/>
      <c r="E45" s="1193"/>
      <c r="F45" s="1193"/>
      <c r="G45" s="1193"/>
      <c r="H45" s="1193"/>
      <c r="I45" s="1193"/>
      <c r="J45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0:B40"/>
    <mergeCell ref="C40:F41"/>
    <mergeCell ref="H40:J40"/>
    <mergeCell ref="H41:J41"/>
    <mergeCell ref="A33:B33"/>
    <mergeCell ref="A34:B34"/>
    <mergeCell ref="A35:B35"/>
    <mergeCell ref="A36:B36"/>
    <mergeCell ref="H38:J38"/>
    <mergeCell ref="A32:B32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8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4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78)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105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139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'104-суп с фрикадель'!H14+1</f>
        <v>78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3" ht="9.6" customHeight="1" x14ac:dyDescent="0.25">
      <c r="A18" s="96">
        <v>1</v>
      </c>
      <c r="B18" s="5">
        <v>2</v>
      </c>
      <c r="C18" s="96">
        <v>3</v>
      </c>
      <c r="D18" s="5">
        <v>4</v>
      </c>
      <c r="E18" s="96">
        <v>5</v>
      </c>
      <c r="F18" s="5">
        <v>6</v>
      </c>
      <c r="G18" s="5">
        <v>8</v>
      </c>
      <c r="H18" s="96">
        <v>9</v>
      </c>
      <c r="I18" s="5">
        <v>10</v>
      </c>
      <c r="J18" s="96">
        <v>11</v>
      </c>
    </row>
    <row r="19" spans="1:13" s="10" customFormat="1" ht="14.1" customHeight="1" x14ac:dyDescent="0.25">
      <c r="A19" s="180">
        <v>1</v>
      </c>
      <c r="B19" s="20" t="s">
        <v>54</v>
      </c>
      <c r="C19" s="111">
        <v>1.5489999999999999</v>
      </c>
      <c r="D19" s="111">
        <v>1.1399999999999999</v>
      </c>
      <c r="E19" s="13">
        <f>цены!F7</f>
        <v>560</v>
      </c>
      <c r="F19" s="13">
        <f>C19*E19</f>
        <v>867.44</v>
      </c>
      <c r="G19" s="97">
        <f t="shared" ref="G19:H22" si="0">C19*10</f>
        <v>15.49</v>
      </c>
      <c r="H19" s="21">
        <f t="shared" si="0"/>
        <v>11.4</v>
      </c>
      <c r="I19" s="21">
        <f t="shared" ref="I19:J22" si="1">C19*100</f>
        <v>154.9</v>
      </c>
      <c r="J19" s="21">
        <f t="shared" si="1"/>
        <v>114</v>
      </c>
      <c r="L19" s="1018">
        <f>C19/C$28</f>
        <v>3.1E-2</v>
      </c>
      <c r="M19" s="1018">
        <f>F19/C$28</f>
        <v>17.348800000000001</v>
      </c>
    </row>
    <row r="20" spans="1:13" s="10" customFormat="1" ht="12" customHeight="1" x14ac:dyDescent="0.25">
      <c r="A20" s="180">
        <v>2</v>
      </c>
      <c r="B20" s="20" t="s">
        <v>48</v>
      </c>
      <c r="C20" s="111">
        <v>0.11899999999999999</v>
      </c>
      <c r="D20" s="111">
        <v>0.1</v>
      </c>
      <c r="E20" s="13">
        <f>цены!F38</f>
        <v>50</v>
      </c>
      <c r="F20" s="13">
        <f>C20*E20</f>
        <v>5.95</v>
      </c>
      <c r="G20" s="97">
        <f t="shared" si="0"/>
        <v>1.19</v>
      </c>
      <c r="H20" s="21">
        <f t="shared" si="0"/>
        <v>1</v>
      </c>
      <c r="I20" s="21">
        <f t="shared" si="1"/>
        <v>11.9</v>
      </c>
      <c r="J20" s="21">
        <f t="shared" si="1"/>
        <v>10</v>
      </c>
      <c r="L20" s="1018">
        <f t="shared" ref="L20:L22" si="2">C20/C$28</f>
        <v>2.3999999999999998E-3</v>
      </c>
      <c r="M20" s="1018">
        <f t="shared" ref="M20:M24" si="3">F20/C$28</f>
        <v>0.11899999999999999</v>
      </c>
    </row>
    <row r="21" spans="1:13" s="10" customFormat="1" ht="12" customHeight="1" x14ac:dyDescent="0.25">
      <c r="A21" s="180">
        <v>3</v>
      </c>
      <c r="B21" s="20" t="s">
        <v>28</v>
      </c>
      <c r="C21" s="111">
        <v>0.1</v>
      </c>
      <c r="D21" s="111">
        <v>0.1</v>
      </c>
      <c r="E21" s="13"/>
      <c r="F21" s="13">
        <f>C21*E21</f>
        <v>0</v>
      </c>
      <c r="G21" s="97">
        <f t="shared" si="0"/>
        <v>1</v>
      </c>
      <c r="H21" s="21">
        <f t="shared" si="0"/>
        <v>1</v>
      </c>
      <c r="I21" s="21">
        <f t="shared" si="1"/>
        <v>10</v>
      </c>
      <c r="J21" s="21">
        <f t="shared" si="1"/>
        <v>10</v>
      </c>
      <c r="L21" s="1018">
        <f t="shared" si="2"/>
        <v>2E-3</v>
      </c>
      <c r="M21" s="1018">
        <f t="shared" si="3"/>
        <v>0</v>
      </c>
    </row>
    <row r="22" spans="1:13" s="10" customFormat="1" ht="12" customHeight="1" x14ac:dyDescent="0.25">
      <c r="A22" s="180">
        <v>4</v>
      </c>
      <c r="B22" s="20" t="s">
        <v>140</v>
      </c>
      <c r="C22" s="111">
        <v>9.1999999999999998E-2</v>
      </c>
      <c r="D22" s="111">
        <v>0.08</v>
      </c>
      <c r="E22" s="13">
        <f>цены!F30</f>
        <v>152.16999999999999</v>
      </c>
      <c r="F22" s="13">
        <f>C22*E22</f>
        <v>14</v>
      </c>
      <c r="G22" s="97">
        <f t="shared" si="0"/>
        <v>0.92</v>
      </c>
      <c r="H22" s="21">
        <f t="shared" si="0"/>
        <v>0.8</v>
      </c>
      <c r="I22" s="21">
        <f t="shared" si="1"/>
        <v>9.1999999999999993</v>
      </c>
      <c r="J22" s="21">
        <f t="shared" si="1"/>
        <v>8</v>
      </c>
      <c r="L22" s="1018">
        <f t="shared" si="2"/>
        <v>1.8E-3</v>
      </c>
      <c r="M22" s="1018">
        <f t="shared" si="3"/>
        <v>0.28000000000000003</v>
      </c>
    </row>
    <row r="23" spans="1:13" s="10" customFormat="1" ht="12" customHeight="1" x14ac:dyDescent="0.25">
      <c r="A23" s="98"/>
      <c r="B23" s="93" t="s">
        <v>97</v>
      </c>
      <c r="C23" s="114"/>
      <c r="D23" s="112">
        <v>1.34</v>
      </c>
      <c r="E23" s="95"/>
      <c r="F23" s="95">
        <f>SUM(F19:F22)</f>
        <v>887.39</v>
      </c>
      <c r="G23" s="99"/>
      <c r="H23" s="100">
        <f>D23*10</f>
        <v>13.4</v>
      </c>
      <c r="I23" s="100"/>
      <c r="J23" s="100">
        <f>D23*100</f>
        <v>134</v>
      </c>
      <c r="L23" s="1018"/>
      <c r="M23" s="1018"/>
    </row>
    <row r="24" spans="1:13" s="10" customFormat="1" ht="12" customHeight="1" x14ac:dyDescent="0.25">
      <c r="A24" s="98"/>
      <c r="B24" s="93" t="s">
        <v>100</v>
      </c>
      <c r="C24" s="112"/>
      <c r="D24" s="112">
        <v>1</v>
      </c>
      <c r="E24" s="95"/>
      <c r="F24" s="95">
        <f>F23</f>
        <v>887.39</v>
      </c>
      <c r="G24" s="99"/>
      <c r="H24" s="100">
        <f>D24*10</f>
        <v>10</v>
      </c>
      <c r="I24" s="100"/>
      <c r="J24" s="100">
        <f>D24*100</f>
        <v>100</v>
      </c>
      <c r="L24" s="1018">
        <f>SUM(L19:L23)</f>
        <v>3.7199999999999997E-2</v>
      </c>
      <c r="M24" s="1018">
        <f t="shared" si="3"/>
        <v>17.747800000000002</v>
      </c>
    </row>
    <row r="25" spans="1:13" s="10" customFormat="1" ht="27.6" customHeight="1" x14ac:dyDescent="0.25">
      <c r="A25" s="1536" t="s">
        <v>35</v>
      </c>
      <c r="B25" s="1536"/>
      <c r="C25" s="90"/>
      <c r="D25" s="90"/>
      <c r="E25" s="13"/>
      <c r="F25" s="13">
        <f>F24</f>
        <v>887.39</v>
      </c>
      <c r="G25" s="14"/>
      <c r="H25" s="14"/>
      <c r="I25" s="21"/>
      <c r="J25" s="13"/>
    </row>
    <row r="26" spans="1:13" s="10" customFormat="1" ht="25.35" customHeight="1" x14ac:dyDescent="0.25">
      <c r="A26" s="1536" t="s">
        <v>36</v>
      </c>
      <c r="B26" s="1536"/>
      <c r="C26" s="90">
        <v>1000</v>
      </c>
      <c r="D26" s="90"/>
      <c r="E26" s="13"/>
      <c r="F26" s="13"/>
      <c r="G26" s="13"/>
      <c r="H26" s="13"/>
      <c r="I26" s="21"/>
      <c r="J26" s="17"/>
    </row>
    <row r="27" spans="1:13" s="10" customFormat="1" ht="25.35" customHeight="1" x14ac:dyDescent="0.25">
      <c r="A27" s="1537" t="s">
        <v>37</v>
      </c>
      <c r="B27" s="1538"/>
      <c r="C27" s="91">
        <v>20</v>
      </c>
      <c r="D27" s="92"/>
      <c r="E27" s="5"/>
      <c r="F27" s="5"/>
      <c r="G27" s="5"/>
      <c r="H27" s="5"/>
      <c r="I27" s="21"/>
      <c r="J27" s="17"/>
    </row>
    <row r="28" spans="1:13" s="10" customFormat="1" ht="15" customHeight="1" x14ac:dyDescent="0.25">
      <c r="A28" s="1539" t="s">
        <v>38</v>
      </c>
      <c r="B28" s="1540"/>
      <c r="C28" s="92">
        <f>C26/C27</f>
        <v>50</v>
      </c>
      <c r="D28" s="92"/>
      <c r="E28" s="5"/>
      <c r="F28" s="5"/>
      <c r="G28" s="5"/>
      <c r="H28" s="5"/>
      <c r="I28" s="21"/>
      <c r="J28" s="17"/>
    </row>
    <row r="29" spans="1:13" ht="16.350000000000001" customHeight="1" x14ac:dyDescent="0.25">
      <c r="A29" s="1541" t="s">
        <v>39</v>
      </c>
      <c r="B29" s="1542"/>
      <c r="C29" s="15" t="s">
        <v>40</v>
      </c>
      <c r="D29" s="102"/>
      <c r="E29" s="102" t="s">
        <v>40</v>
      </c>
      <c r="F29" s="16">
        <f>F25/C28</f>
        <v>17.75</v>
      </c>
      <c r="G29" s="16"/>
      <c r="H29" s="16"/>
      <c r="I29" s="102" t="s">
        <v>40</v>
      </c>
      <c r="J29" s="102" t="s">
        <v>40</v>
      </c>
    </row>
    <row r="30" spans="1:13" ht="23.1" customHeight="1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3" ht="13.95" customHeight="1" x14ac:dyDescent="0.25">
      <c r="A31" s="1193"/>
      <c r="B31" s="1194" t="s">
        <v>49</v>
      </c>
      <c r="C31" s="1198"/>
      <c r="D31" s="1198"/>
      <c r="E31" s="1198"/>
      <c r="F31" s="1198"/>
      <c r="G31" s="1193"/>
      <c r="H31" s="1556">
        <f>'1-бутерброд с маслом'!$H$28</f>
        <v>0</v>
      </c>
      <c r="I31" s="1556"/>
      <c r="J31" s="1556"/>
    </row>
    <row r="32" spans="1:13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545" t="s">
        <v>327</v>
      </c>
      <c r="B33" s="1545"/>
      <c r="C33" s="1546" t="s">
        <v>328</v>
      </c>
      <c r="D33" s="1546"/>
      <c r="E33" s="1546"/>
      <c r="F33" s="1546"/>
      <c r="G33" s="106"/>
      <c r="H33" s="1531"/>
      <c r="I33" s="1531"/>
      <c r="J33" s="1531"/>
    </row>
    <row r="34" spans="1:10" x14ac:dyDescent="0.25">
      <c r="A34" s="1193"/>
      <c r="B34" s="1193"/>
      <c r="C34" s="1546"/>
      <c r="D34" s="1546"/>
      <c r="E34" s="1546"/>
      <c r="F34" s="1546"/>
      <c r="G34" s="1193"/>
      <c r="H34" s="1531" t="s">
        <v>329</v>
      </c>
      <c r="I34" s="1531"/>
      <c r="J34" s="1531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3:B33"/>
    <mergeCell ref="C33:F34"/>
    <mergeCell ref="H33:J33"/>
    <mergeCell ref="H34:J34"/>
    <mergeCell ref="A26:B26"/>
    <mergeCell ref="A27:B27"/>
    <mergeCell ref="A28:B28"/>
    <mergeCell ref="A29:B29"/>
    <mergeCell ref="H31:J31"/>
    <mergeCell ref="A25:B25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45"/>
  <sheetViews>
    <sheetView view="pageBreakPreview" topLeftCell="A22" zoomScaleNormal="100" zoomScaleSheetLayoutView="100" workbookViewId="0">
      <selection activeCell="A37" sqref="A37:J41"/>
    </sheetView>
  </sheetViews>
  <sheetFormatPr defaultColWidth="8.88671875" defaultRowHeight="13.8" x14ac:dyDescent="0.25"/>
  <cols>
    <col min="1" max="1" width="4.109375" style="589" customWidth="1"/>
    <col min="2" max="2" width="21.109375" style="589" customWidth="1"/>
    <col min="3" max="4" width="7.5546875" style="589" customWidth="1"/>
    <col min="5" max="5" width="8.109375" style="589" customWidth="1"/>
    <col min="6" max="6" width="8" style="589" customWidth="1"/>
    <col min="7" max="7" width="7.5546875" style="589" customWidth="1"/>
    <col min="8" max="8" width="7.6640625" style="589" customWidth="1"/>
    <col min="9" max="9" width="7.5546875" style="589" customWidth="1"/>
    <col min="10" max="10" width="8.33203125" style="589" customWidth="1"/>
    <col min="11" max="11" width="3.6640625" style="589" customWidth="1"/>
    <col min="12" max="16384" width="8.88671875" style="58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79)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106</v>
      </c>
    </row>
    <row r="8" spans="1:10" s="2" customFormat="1" ht="9.6" customHeight="1" x14ac:dyDescent="0.25">
      <c r="A8" s="594"/>
      <c r="B8" s="594"/>
      <c r="C8" s="594"/>
      <c r="D8" s="594"/>
      <c r="E8" s="594"/>
      <c r="F8" s="594"/>
      <c r="G8" s="594"/>
      <c r="H8" s="594"/>
      <c r="I8" s="594"/>
      <c r="J8" s="109"/>
    </row>
    <row r="9" spans="1:10" s="2" customFormat="1" ht="26.1" customHeight="1" x14ac:dyDescent="0.3">
      <c r="A9" s="1559" t="s">
        <v>872</v>
      </c>
      <c r="B9" s="1559"/>
      <c r="C9" s="1559"/>
      <c r="D9" s="1559"/>
      <c r="E9" s="1559"/>
      <c r="F9" s="1559"/>
      <c r="G9" s="1559"/>
      <c r="H9" s="1559"/>
      <c r="I9" s="1559"/>
      <c r="J9" s="1559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'105-фрикадельки 70'!H14+1</f>
        <v>79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590" t="s">
        <v>92</v>
      </c>
      <c r="D17" s="590" t="s">
        <v>94</v>
      </c>
      <c r="E17" s="590" t="s">
        <v>93</v>
      </c>
      <c r="F17" s="590" t="s">
        <v>23</v>
      </c>
      <c r="G17" s="590" t="s">
        <v>92</v>
      </c>
      <c r="H17" s="590" t="s">
        <v>94</v>
      </c>
      <c r="I17" s="590" t="s">
        <v>92</v>
      </c>
      <c r="J17" s="590" t="s">
        <v>94</v>
      </c>
    </row>
    <row r="18" spans="1:13" ht="9.6" customHeight="1" x14ac:dyDescent="0.25">
      <c r="A18" s="590">
        <v>1</v>
      </c>
      <c r="B18" s="592">
        <v>2</v>
      </c>
      <c r="C18" s="590">
        <v>3</v>
      </c>
      <c r="D18" s="592">
        <v>4</v>
      </c>
      <c r="E18" s="590">
        <v>5</v>
      </c>
      <c r="F18" s="592">
        <v>6</v>
      </c>
      <c r="G18" s="590">
        <v>7</v>
      </c>
      <c r="H18" s="592">
        <v>8</v>
      </c>
      <c r="I18" s="590">
        <v>9</v>
      </c>
      <c r="J18" s="592">
        <v>10</v>
      </c>
    </row>
    <row r="19" spans="1:13" s="10" customFormat="1" ht="14.1" customHeight="1" x14ac:dyDescent="0.25">
      <c r="A19" s="180">
        <v>1</v>
      </c>
      <c r="B19" s="20" t="s">
        <v>50</v>
      </c>
      <c r="C19" s="111">
        <v>0.53300000000000003</v>
      </c>
      <c r="D19" s="111">
        <v>0.4</v>
      </c>
      <c r="E19" s="408">
        <f>цены!F35</f>
        <v>50</v>
      </c>
      <c r="F19" s="408">
        <f>C19*E19</f>
        <v>26.65</v>
      </c>
      <c r="G19" s="97">
        <f t="shared" ref="G19:H28" si="0">C19*10</f>
        <v>5.33</v>
      </c>
      <c r="H19" s="21">
        <f t="shared" si="0"/>
        <v>4</v>
      </c>
      <c r="I19" s="21">
        <f t="shared" ref="I19:J28" si="1">C19*100</f>
        <v>53.3</v>
      </c>
      <c r="J19" s="21">
        <f t="shared" si="1"/>
        <v>40</v>
      </c>
      <c r="L19" s="1018">
        <f>C19/C$35</f>
        <v>0.1333</v>
      </c>
      <c r="M19" s="1018">
        <f>F19/C$35</f>
        <v>6.6624999999999996</v>
      </c>
    </row>
    <row r="20" spans="1:13" s="10" customFormat="1" ht="14.1" customHeight="1" x14ac:dyDescent="0.25">
      <c r="A20" s="180">
        <v>2</v>
      </c>
      <c r="B20" s="20" t="s">
        <v>47</v>
      </c>
      <c r="C20" s="111">
        <v>0.05</v>
      </c>
      <c r="D20" s="111">
        <v>0.04</v>
      </c>
      <c r="E20" s="408">
        <f>цены!F44</f>
        <v>50</v>
      </c>
      <c r="F20" s="408">
        <f t="shared" ref="F20:F30" si="2">C20*E20</f>
        <v>2.5</v>
      </c>
      <c r="G20" s="97">
        <f t="shared" si="0"/>
        <v>0.5</v>
      </c>
      <c r="H20" s="21">
        <f t="shared" si="0"/>
        <v>0.4</v>
      </c>
      <c r="I20" s="21">
        <f t="shared" si="1"/>
        <v>5</v>
      </c>
      <c r="J20" s="21">
        <f t="shared" si="1"/>
        <v>4</v>
      </c>
      <c r="L20" s="1018">
        <f t="shared" ref="L20:L30" si="3">C20/C$35</f>
        <v>1.2500000000000001E-2</v>
      </c>
      <c r="M20" s="1018">
        <f t="shared" ref="M20:M30" si="4">F20/C$35</f>
        <v>0.625</v>
      </c>
    </row>
    <row r="21" spans="1:13" s="10" customFormat="1" ht="12" customHeight="1" x14ac:dyDescent="0.25">
      <c r="A21" s="180">
        <v>3</v>
      </c>
      <c r="B21" s="20" t="s">
        <v>48</v>
      </c>
      <c r="C21" s="111">
        <v>4.8000000000000001E-2</v>
      </c>
      <c r="D21" s="111">
        <v>0.04</v>
      </c>
      <c r="E21" s="408">
        <f>цены!F38</f>
        <v>50</v>
      </c>
      <c r="F21" s="408">
        <f t="shared" si="2"/>
        <v>2.4</v>
      </c>
      <c r="G21" s="97">
        <f t="shared" si="0"/>
        <v>0.48</v>
      </c>
      <c r="H21" s="21">
        <f t="shared" si="0"/>
        <v>0.4</v>
      </c>
      <c r="I21" s="21">
        <f t="shared" si="1"/>
        <v>4.8</v>
      </c>
      <c r="J21" s="21">
        <f t="shared" si="1"/>
        <v>4</v>
      </c>
      <c r="L21" s="1018">
        <f t="shared" si="3"/>
        <v>1.2E-2</v>
      </c>
      <c r="M21" s="1018">
        <f t="shared" si="4"/>
        <v>0.6</v>
      </c>
    </row>
    <row r="22" spans="1:13" s="10" customFormat="1" ht="12" customHeight="1" x14ac:dyDescent="0.25">
      <c r="A22" s="180">
        <v>4</v>
      </c>
      <c r="B22" s="20" t="s">
        <v>46</v>
      </c>
      <c r="C22" s="111">
        <v>0.01</v>
      </c>
      <c r="D22" s="111">
        <v>0.01</v>
      </c>
      <c r="E22" s="408">
        <f>цены!F113</f>
        <v>230</v>
      </c>
      <c r="F22" s="408">
        <f t="shared" si="2"/>
        <v>2.2999999999999998</v>
      </c>
      <c r="G22" s="97">
        <f t="shared" si="0"/>
        <v>0.1</v>
      </c>
      <c r="H22" s="21">
        <f t="shared" si="0"/>
        <v>0.1</v>
      </c>
      <c r="I22" s="21">
        <f t="shared" si="1"/>
        <v>1</v>
      </c>
      <c r="J22" s="21">
        <f t="shared" si="1"/>
        <v>1</v>
      </c>
      <c r="L22" s="1018">
        <f t="shared" si="3"/>
        <v>2.5000000000000001E-3</v>
      </c>
      <c r="M22" s="1018">
        <f t="shared" si="4"/>
        <v>0.57499999999999996</v>
      </c>
    </row>
    <row r="23" spans="1:13" s="10" customFormat="1" ht="12" customHeight="1" x14ac:dyDescent="0.25">
      <c r="A23" s="180">
        <v>5</v>
      </c>
      <c r="B23" s="20" t="s">
        <v>74</v>
      </c>
      <c r="C23" s="111">
        <v>0.01</v>
      </c>
      <c r="D23" s="111">
        <v>0.01</v>
      </c>
      <c r="E23" s="408">
        <f>цены!F87</f>
        <v>120</v>
      </c>
      <c r="F23" s="408">
        <f t="shared" si="2"/>
        <v>1.2</v>
      </c>
      <c r="G23" s="97">
        <f t="shared" si="0"/>
        <v>0.1</v>
      </c>
      <c r="H23" s="21">
        <f t="shared" si="0"/>
        <v>0.1</v>
      </c>
      <c r="I23" s="21">
        <f t="shared" si="1"/>
        <v>1</v>
      </c>
      <c r="J23" s="21">
        <f t="shared" si="1"/>
        <v>1</v>
      </c>
      <c r="L23" s="1018">
        <f t="shared" si="3"/>
        <v>2.5000000000000001E-3</v>
      </c>
      <c r="M23" s="1018">
        <f t="shared" si="4"/>
        <v>0.3</v>
      </c>
    </row>
    <row r="24" spans="1:13" s="10" customFormat="1" ht="12" customHeight="1" x14ac:dyDescent="0.25">
      <c r="A24" s="180">
        <v>6</v>
      </c>
      <c r="B24" s="20" t="s">
        <v>141</v>
      </c>
      <c r="C24" s="111">
        <v>0.7</v>
      </c>
      <c r="D24" s="111">
        <v>0.7</v>
      </c>
      <c r="E24" s="408"/>
      <c r="F24" s="408">
        <f t="shared" si="2"/>
        <v>0</v>
      </c>
      <c r="G24" s="97">
        <f t="shared" si="0"/>
        <v>7</v>
      </c>
      <c r="H24" s="21">
        <f t="shared" si="0"/>
        <v>7</v>
      </c>
      <c r="I24" s="21">
        <f t="shared" si="1"/>
        <v>70</v>
      </c>
      <c r="J24" s="21">
        <f t="shared" si="1"/>
        <v>70</v>
      </c>
      <c r="L24" s="1018">
        <f t="shared" si="3"/>
        <v>0.17499999999999999</v>
      </c>
      <c r="M24" s="1018">
        <f t="shared" si="4"/>
        <v>0</v>
      </c>
    </row>
    <row r="25" spans="1:13" s="10" customFormat="1" ht="12" customHeight="1" x14ac:dyDescent="0.25">
      <c r="A25" s="180">
        <v>7</v>
      </c>
      <c r="B25" s="20" t="s">
        <v>84</v>
      </c>
      <c r="C25" s="113">
        <v>4.0000000000000003E-5</v>
      </c>
      <c r="D25" s="113">
        <v>4.0000000000000003E-5</v>
      </c>
      <c r="E25" s="408">
        <f>цены!F100</f>
        <v>1000</v>
      </c>
      <c r="F25" s="408">
        <f t="shared" si="2"/>
        <v>0.04</v>
      </c>
      <c r="G25" s="97">
        <f t="shared" si="0"/>
        <v>0</v>
      </c>
      <c r="H25" s="21">
        <f t="shared" si="0"/>
        <v>0</v>
      </c>
      <c r="I25" s="21">
        <f t="shared" si="1"/>
        <v>4.0000000000000001E-3</v>
      </c>
      <c r="J25" s="21">
        <f t="shared" si="1"/>
        <v>4.0000000000000001E-3</v>
      </c>
      <c r="L25" s="1018">
        <f t="shared" si="3"/>
        <v>0</v>
      </c>
      <c r="M25" s="1018">
        <f t="shared" si="4"/>
        <v>0.01</v>
      </c>
    </row>
    <row r="26" spans="1:13" s="10" customFormat="1" ht="12" customHeight="1" x14ac:dyDescent="0.25">
      <c r="A26" s="180">
        <v>8</v>
      </c>
      <c r="B26" s="20" t="s">
        <v>33</v>
      </c>
      <c r="C26" s="21">
        <v>7.0000000000000001E-3</v>
      </c>
      <c r="D26" s="21">
        <v>7.0000000000000001E-3</v>
      </c>
      <c r="E26" s="408">
        <f>цены!F110</f>
        <v>24</v>
      </c>
      <c r="F26" s="408">
        <f t="shared" si="2"/>
        <v>0.17</v>
      </c>
      <c r="G26" s="97">
        <f t="shared" si="0"/>
        <v>7.0000000000000007E-2</v>
      </c>
      <c r="H26" s="21">
        <f t="shared" si="0"/>
        <v>7.0000000000000007E-2</v>
      </c>
      <c r="I26" s="21">
        <f t="shared" si="1"/>
        <v>0.7</v>
      </c>
      <c r="J26" s="21">
        <f t="shared" si="1"/>
        <v>0.7</v>
      </c>
      <c r="L26" s="1018">
        <f t="shared" si="3"/>
        <v>1.8E-3</v>
      </c>
      <c r="M26" s="1018">
        <f t="shared" si="4"/>
        <v>4.2500000000000003E-2</v>
      </c>
    </row>
    <row r="27" spans="1:13" s="10" customFormat="1" ht="12" customHeight="1" x14ac:dyDescent="0.25">
      <c r="A27" s="180">
        <v>9</v>
      </c>
      <c r="B27" s="20" t="s">
        <v>78</v>
      </c>
      <c r="C27" s="21">
        <f>0.002*C35</f>
        <v>8.0000000000000002E-3</v>
      </c>
      <c r="D27" s="21">
        <f>0.002*C35</f>
        <v>8.0000000000000002E-3</v>
      </c>
      <c r="E27" s="408">
        <f>цены!F48</f>
        <v>300</v>
      </c>
      <c r="F27" s="408">
        <f t="shared" si="2"/>
        <v>2.4</v>
      </c>
      <c r="G27" s="97">
        <f t="shared" si="0"/>
        <v>0.08</v>
      </c>
      <c r="H27" s="21">
        <f t="shared" si="0"/>
        <v>0.08</v>
      </c>
      <c r="I27" s="21">
        <f t="shared" si="1"/>
        <v>0.8</v>
      </c>
      <c r="J27" s="21">
        <f t="shared" si="1"/>
        <v>0.8</v>
      </c>
      <c r="L27" s="1018">
        <f t="shared" si="3"/>
        <v>2E-3</v>
      </c>
      <c r="M27" s="1018">
        <f t="shared" si="4"/>
        <v>0.6</v>
      </c>
    </row>
    <row r="28" spans="1:13" s="10" customFormat="1" ht="12" customHeight="1" x14ac:dyDescent="0.25">
      <c r="A28" s="180">
        <v>10</v>
      </c>
      <c r="B28" s="20" t="s">
        <v>51</v>
      </c>
      <c r="C28" s="21">
        <v>0.02</v>
      </c>
      <c r="D28" s="21">
        <v>0.02</v>
      </c>
      <c r="E28" s="408">
        <f>цены!F24</f>
        <v>234</v>
      </c>
      <c r="F28" s="408">
        <f t="shared" si="2"/>
        <v>4.68</v>
      </c>
      <c r="G28" s="97">
        <f t="shared" si="0"/>
        <v>0.2</v>
      </c>
      <c r="H28" s="21">
        <f t="shared" si="0"/>
        <v>0.2</v>
      </c>
      <c r="I28" s="21">
        <f t="shared" si="1"/>
        <v>2</v>
      </c>
      <c r="J28" s="21">
        <f t="shared" si="1"/>
        <v>2</v>
      </c>
      <c r="L28" s="1018">
        <f t="shared" si="3"/>
        <v>5.0000000000000001E-3</v>
      </c>
      <c r="M28" s="1018">
        <f t="shared" si="4"/>
        <v>1.17</v>
      </c>
    </row>
    <row r="29" spans="1:13" s="10" customFormat="1" ht="12" customHeight="1" x14ac:dyDescent="0.25">
      <c r="A29" s="184"/>
      <c r="B29" s="93" t="s">
        <v>100</v>
      </c>
      <c r="C29" s="114"/>
      <c r="D29" s="100">
        <v>1</v>
      </c>
      <c r="E29" s="95"/>
      <c r="F29" s="95">
        <f>SUM(F19:F28)</f>
        <v>42.34</v>
      </c>
      <c r="G29" s="99"/>
      <c r="H29" s="100">
        <f>D29*10</f>
        <v>10</v>
      </c>
      <c r="I29" s="100"/>
      <c r="J29" s="100">
        <f>D29*100</f>
        <v>100</v>
      </c>
      <c r="L29" s="1018"/>
      <c r="M29" s="1018"/>
    </row>
    <row r="30" spans="1:13" s="10" customFormat="1" ht="25.2" customHeight="1" x14ac:dyDescent="0.25">
      <c r="A30" s="180">
        <v>11</v>
      </c>
      <c r="B30" s="20" t="s">
        <v>873</v>
      </c>
      <c r="C30" s="111">
        <v>0.25</v>
      </c>
      <c r="D30" s="111">
        <v>0.05</v>
      </c>
      <c r="E30" s="408">
        <f>'107-фрикадельки рыб.'!F29</f>
        <v>355.29</v>
      </c>
      <c r="F30" s="408">
        <f t="shared" si="2"/>
        <v>88.82</v>
      </c>
      <c r="G30" s="97">
        <f>C30*10</f>
        <v>2.5</v>
      </c>
      <c r="H30" s="21">
        <f>D30*10</f>
        <v>0.5</v>
      </c>
      <c r="I30" s="21">
        <f>C30*100</f>
        <v>25</v>
      </c>
      <c r="J30" s="21">
        <f>D30*100</f>
        <v>5</v>
      </c>
      <c r="L30" s="1018">
        <f t="shared" si="3"/>
        <v>6.25E-2</v>
      </c>
      <c r="M30" s="1018">
        <f t="shared" si="4"/>
        <v>22.204999999999998</v>
      </c>
    </row>
    <row r="31" spans="1:13" s="10" customFormat="1" ht="12" customHeight="1" x14ac:dyDescent="0.25">
      <c r="A31" s="98"/>
      <c r="B31" s="93" t="s">
        <v>100</v>
      </c>
      <c r="C31" s="112"/>
      <c r="D31" s="112">
        <v>1</v>
      </c>
      <c r="E31" s="95"/>
      <c r="F31" s="95">
        <f>F29+F30</f>
        <v>131.16</v>
      </c>
      <c r="G31" s="99"/>
      <c r="H31" s="100">
        <f>D31*10</f>
        <v>10</v>
      </c>
      <c r="I31" s="100"/>
      <c r="J31" s="100">
        <f>D31*100</f>
        <v>100</v>
      </c>
      <c r="L31" s="1018">
        <f>SUM(L19:L30)</f>
        <v>0.40910000000000002</v>
      </c>
      <c r="M31" s="1018">
        <f>SUM(M19:M30)</f>
        <v>32.79</v>
      </c>
    </row>
    <row r="32" spans="1:13" s="10" customFormat="1" ht="27.6" customHeight="1" x14ac:dyDescent="0.25">
      <c r="A32" s="1536" t="s">
        <v>35</v>
      </c>
      <c r="B32" s="1536"/>
      <c r="C32" s="90"/>
      <c r="D32" s="90"/>
      <c r="E32" s="408"/>
      <c r="F32" s="408">
        <f>F31</f>
        <v>131.16</v>
      </c>
      <c r="G32" s="591"/>
      <c r="H32" s="591"/>
      <c r="I32" s="21"/>
      <c r="J32" s="408"/>
    </row>
    <row r="33" spans="1:10" s="10" customFormat="1" ht="25.35" customHeight="1" x14ac:dyDescent="0.25">
      <c r="A33" s="1536" t="s">
        <v>36</v>
      </c>
      <c r="B33" s="1536"/>
      <c r="C33" s="90">
        <v>1000</v>
      </c>
      <c r="D33" s="90"/>
      <c r="E33" s="408"/>
      <c r="F33" s="408"/>
      <c r="G33" s="408"/>
      <c r="H33" s="408"/>
      <c r="I33" s="21"/>
      <c r="J33" s="17"/>
    </row>
    <row r="34" spans="1:10" s="10" customFormat="1" ht="25.35" customHeight="1" x14ac:dyDescent="0.25">
      <c r="A34" s="1537" t="s">
        <v>37</v>
      </c>
      <c r="B34" s="1538"/>
      <c r="C34" s="91">
        <v>250</v>
      </c>
      <c r="D34" s="92"/>
      <c r="E34" s="592"/>
      <c r="F34" s="592"/>
      <c r="G34" s="592"/>
      <c r="H34" s="592"/>
      <c r="I34" s="21"/>
      <c r="J34" s="17"/>
    </row>
    <row r="35" spans="1:10" s="10" customFormat="1" ht="15" customHeight="1" x14ac:dyDescent="0.25">
      <c r="A35" s="1539" t="s">
        <v>38</v>
      </c>
      <c r="B35" s="1540"/>
      <c r="C35" s="92">
        <f>C33/C34</f>
        <v>4</v>
      </c>
      <c r="D35" s="92"/>
      <c r="E35" s="592"/>
      <c r="F35" s="592"/>
      <c r="G35" s="592"/>
      <c r="H35" s="592"/>
      <c r="I35" s="21"/>
      <c r="J35" s="17"/>
    </row>
    <row r="36" spans="1:10" ht="16.350000000000001" customHeight="1" x14ac:dyDescent="0.25">
      <c r="A36" s="1541" t="s">
        <v>39</v>
      </c>
      <c r="B36" s="1542"/>
      <c r="C36" s="15" t="s">
        <v>40</v>
      </c>
      <c r="D36" s="102"/>
      <c r="E36" s="102" t="s">
        <v>40</v>
      </c>
      <c r="F36" s="16">
        <f>F32/C35</f>
        <v>32.79</v>
      </c>
      <c r="G36" s="16"/>
      <c r="H36" s="16"/>
      <c r="I36" s="102" t="s">
        <v>40</v>
      </c>
      <c r="J36" s="102" t="s">
        <v>40</v>
      </c>
    </row>
    <row r="37" spans="1:10" ht="23.1" customHeight="1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193"/>
      <c r="B38" s="1194" t="s">
        <v>49</v>
      </c>
      <c r="C38" s="1198"/>
      <c r="D38" s="1198"/>
      <c r="E38" s="1198"/>
      <c r="F38" s="1198"/>
      <c r="G38" s="1193"/>
      <c r="H38" s="1557">
        <f>'1-бутерброд с маслом'!$H$28</f>
        <v>0</v>
      </c>
      <c r="I38" s="1557"/>
      <c r="J38" s="1557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ht="13.95" customHeight="1" x14ac:dyDescent="0.25">
      <c r="A40" s="1545" t="s">
        <v>327</v>
      </c>
      <c r="B40" s="1545"/>
      <c r="C40" s="1546" t="s">
        <v>328</v>
      </c>
      <c r="D40" s="1546"/>
      <c r="E40" s="1546"/>
      <c r="F40" s="1546"/>
      <c r="G40" s="106"/>
      <c r="H40" s="1531"/>
      <c r="I40" s="1531"/>
      <c r="J40" s="1531"/>
    </row>
    <row r="41" spans="1:10" x14ac:dyDescent="0.25">
      <c r="A41" s="1193"/>
      <c r="B41" s="1193"/>
      <c r="C41" s="1546"/>
      <c r="D41" s="1546"/>
      <c r="E41" s="1546"/>
      <c r="F41" s="1546"/>
      <c r="G41" s="1193"/>
      <c r="H41" s="1531" t="s">
        <v>329</v>
      </c>
      <c r="I41" s="1531"/>
      <c r="J41" s="1531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  <row r="44" spans="1:10" x14ac:dyDescent="0.25">
      <c r="A44" s="1193"/>
      <c r="B44" s="1193"/>
      <c r="C44" s="1193"/>
      <c r="D44" s="1193"/>
      <c r="E44" s="1193"/>
      <c r="F44" s="1193"/>
      <c r="G44" s="1193"/>
      <c r="H44" s="1193"/>
      <c r="I44" s="1193"/>
      <c r="J44" s="1193"/>
    </row>
    <row r="45" spans="1:10" x14ac:dyDescent="0.25">
      <c r="A45" s="1193"/>
      <c r="B45" s="1193"/>
      <c r="C45" s="1193"/>
      <c r="D45" s="1193"/>
      <c r="E45" s="1193"/>
      <c r="F45" s="1193"/>
      <c r="G45" s="1193"/>
      <c r="H45" s="1193"/>
      <c r="I45" s="1193"/>
      <c r="J45" s="1193"/>
    </row>
  </sheetData>
  <mergeCells count="28">
    <mergeCell ref="H38:J38"/>
    <mergeCell ref="A13:G13"/>
    <mergeCell ref="A33:B33"/>
    <mergeCell ref="A34:B34"/>
    <mergeCell ref="A35:B35"/>
    <mergeCell ref="A36:B36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40:B40"/>
    <mergeCell ref="C40:F41"/>
    <mergeCell ref="H40:J40"/>
    <mergeCell ref="H41:J41"/>
    <mergeCell ref="H5:I5"/>
    <mergeCell ref="A6:G6"/>
    <mergeCell ref="A7:I7"/>
    <mergeCell ref="A32:B32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38"/>
  <sheetViews>
    <sheetView view="pageBreakPreview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589" customWidth="1"/>
    <col min="2" max="2" width="21.109375" style="589" customWidth="1"/>
    <col min="3" max="7" width="7.5546875" style="589" customWidth="1"/>
    <col min="8" max="8" width="8.88671875" style="589" customWidth="1"/>
    <col min="9" max="9" width="7.5546875" style="589" customWidth="1"/>
    <col min="10" max="10" width="9" style="589" customWidth="1"/>
    <col min="11" max="11" width="3.5546875" style="589" customWidth="1"/>
    <col min="12" max="16384" width="8.88671875" style="58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80)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107</v>
      </c>
    </row>
    <row r="8" spans="1:10" s="2" customFormat="1" ht="9.6" customHeight="1" x14ac:dyDescent="0.25">
      <c r="A8" s="594"/>
      <c r="B8" s="594"/>
      <c r="C8" s="594"/>
      <c r="D8" s="594"/>
      <c r="E8" s="594"/>
      <c r="F8" s="594"/>
      <c r="G8" s="594"/>
      <c r="H8" s="594"/>
      <c r="I8" s="594"/>
      <c r="J8" s="109"/>
    </row>
    <row r="9" spans="1:10" s="2" customFormat="1" ht="26.1" customHeight="1" x14ac:dyDescent="0.3">
      <c r="A9" s="1550" t="s">
        <v>139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'106-суп фрикад. рыб.'!H14+1</f>
        <v>80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590" t="s">
        <v>92</v>
      </c>
      <c r="D17" s="590" t="s">
        <v>94</v>
      </c>
      <c r="E17" s="590" t="s">
        <v>93</v>
      </c>
      <c r="F17" s="590" t="s">
        <v>23</v>
      </c>
      <c r="G17" s="590" t="s">
        <v>92</v>
      </c>
      <c r="H17" s="590" t="s">
        <v>94</v>
      </c>
      <c r="I17" s="590" t="s">
        <v>92</v>
      </c>
      <c r="J17" s="590" t="s">
        <v>94</v>
      </c>
    </row>
    <row r="18" spans="1:13" ht="9.6" customHeight="1" x14ac:dyDescent="0.25">
      <c r="A18" s="590">
        <v>1</v>
      </c>
      <c r="B18" s="592">
        <v>2</v>
      </c>
      <c r="C18" s="590">
        <v>3</v>
      </c>
      <c r="D18" s="592">
        <v>4</v>
      </c>
      <c r="E18" s="590">
        <v>5</v>
      </c>
      <c r="F18" s="592">
        <v>6</v>
      </c>
      <c r="G18" s="592">
        <v>8</v>
      </c>
      <c r="H18" s="590">
        <v>9</v>
      </c>
      <c r="I18" s="592">
        <v>10</v>
      </c>
      <c r="J18" s="590">
        <v>11</v>
      </c>
    </row>
    <row r="19" spans="1:13" s="10" customFormat="1" ht="14.1" customHeight="1" x14ac:dyDescent="0.25">
      <c r="A19" s="180">
        <v>1</v>
      </c>
      <c r="B19" s="20" t="s">
        <v>874</v>
      </c>
      <c r="C19" s="111">
        <v>1.88</v>
      </c>
      <c r="D19" s="111">
        <v>0.94</v>
      </c>
      <c r="E19" s="408">
        <f>цены!F14</f>
        <v>178</v>
      </c>
      <c r="F19" s="408">
        <f>C19*E19</f>
        <v>334.64</v>
      </c>
      <c r="G19" s="97">
        <f t="shared" ref="G19:H22" si="0">C19*10</f>
        <v>18.8</v>
      </c>
      <c r="H19" s="21">
        <f t="shared" si="0"/>
        <v>9.4</v>
      </c>
      <c r="I19" s="21">
        <f t="shared" ref="I19:J22" si="1">C19*100</f>
        <v>188</v>
      </c>
      <c r="J19" s="21">
        <f t="shared" si="1"/>
        <v>94</v>
      </c>
      <c r="L19" s="1018">
        <f>C19/C$28</f>
        <v>1.88</v>
      </c>
      <c r="M19" s="1018">
        <f>F19/C$28</f>
        <v>334.64</v>
      </c>
    </row>
    <row r="20" spans="1:13" s="10" customFormat="1" ht="12" customHeight="1" x14ac:dyDescent="0.25">
      <c r="A20" s="180">
        <v>2</v>
      </c>
      <c r="B20" s="20" t="s">
        <v>875</v>
      </c>
      <c r="C20" s="111">
        <f>0.046*1.25</f>
        <v>5.7500000000000002E-2</v>
      </c>
      <c r="D20" s="111">
        <f>0.2*1.25</f>
        <v>0.25</v>
      </c>
      <c r="E20" s="408">
        <f>цены!F30</f>
        <v>152.16999999999999</v>
      </c>
      <c r="F20" s="408">
        <f>C20*E20</f>
        <v>8.75</v>
      </c>
      <c r="G20" s="97">
        <f t="shared" si="0"/>
        <v>0.57499999999999996</v>
      </c>
      <c r="H20" s="21">
        <f t="shared" si="0"/>
        <v>2.5</v>
      </c>
      <c r="I20" s="21">
        <f t="shared" si="1"/>
        <v>5.75</v>
      </c>
      <c r="J20" s="21">
        <f t="shared" si="1"/>
        <v>25</v>
      </c>
      <c r="L20" s="1018">
        <f t="shared" ref="L20:L22" si="2">C20/C$28</f>
        <v>5.7500000000000002E-2</v>
      </c>
      <c r="M20" s="1018">
        <f t="shared" ref="M20:M22" si="3">F20/C$28</f>
        <v>8.75</v>
      </c>
    </row>
    <row r="21" spans="1:13" s="10" customFormat="1" ht="12" customHeight="1" x14ac:dyDescent="0.25">
      <c r="A21" s="180">
        <v>3</v>
      </c>
      <c r="B21" s="20" t="s">
        <v>48</v>
      </c>
      <c r="C21" s="111">
        <v>0.23799999999999999</v>
      </c>
      <c r="D21" s="111">
        <v>0.2</v>
      </c>
      <c r="E21" s="408">
        <f>цены!F38</f>
        <v>50</v>
      </c>
      <c r="F21" s="408">
        <f>C21*E21</f>
        <v>11.9</v>
      </c>
      <c r="G21" s="97">
        <f t="shared" si="0"/>
        <v>2.38</v>
      </c>
      <c r="H21" s="21">
        <f t="shared" si="0"/>
        <v>2</v>
      </c>
      <c r="I21" s="21">
        <f t="shared" si="1"/>
        <v>23.8</v>
      </c>
      <c r="J21" s="21">
        <f t="shared" si="1"/>
        <v>20</v>
      </c>
      <c r="L21" s="1018">
        <f t="shared" si="2"/>
        <v>0.23799999999999999</v>
      </c>
      <c r="M21" s="1018">
        <f t="shared" si="3"/>
        <v>11.9</v>
      </c>
    </row>
    <row r="22" spans="1:13" s="10" customFormat="1" ht="12" customHeight="1" x14ac:dyDescent="0.25">
      <c r="A22" s="180">
        <v>4</v>
      </c>
      <c r="B22" s="20" t="s">
        <v>398</v>
      </c>
      <c r="C22" s="111">
        <v>0.09</v>
      </c>
      <c r="D22" s="111">
        <v>0.09</v>
      </c>
      <c r="E22" s="408"/>
      <c r="F22" s="408">
        <f>C22*E22</f>
        <v>0</v>
      </c>
      <c r="G22" s="97">
        <f t="shared" si="0"/>
        <v>0.9</v>
      </c>
      <c r="H22" s="21">
        <f t="shared" si="0"/>
        <v>0.9</v>
      </c>
      <c r="I22" s="21">
        <f t="shared" si="1"/>
        <v>9</v>
      </c>
      <c r="J22" s="21">
        <f t="shared" si="1"/>
        <v>9</v>
      </c>
      <c r="L22" s="1018">
        <f t="shared" si="2"/>
        <v>0.09</v>
      </c>
      <c r="M22" s="1018">
        <f t="shared" si="3"/>
        <v>0</v>
      </c>
    </row>
    <row r="23" spans="1:13" s="10" customFormat="1" ht="12" customHeight="1" x14ac:dyDescent="0.25">
      <c r="A23" s="98"/>
      <c r="B23" s="93" t="s">
        <v>97</v>
      </c>
      <c r="C23" s="114"/>
      <c r="D23" s="112">
        <v>1.34</v>
      </c>
      <c r="E23" s="95"/>
      <c r="F23" s="95">
        <f>SUM(F19:F22)</f>
        <v>355.29</v>
      </c>
      <c r="G23" s="99"/>
      <c r="H23" s="100">
        <f>D23*10</f>
        <v>13.4</v>
      </c>
      <c r="I23" s="100"/>
      <c r="J23" s="100">
        <f>D23*100</f>
        <v>134</v>
      </c>
      <c r="L23" s="1018"/>
      <c r="M23" s="1018"/>
    </row>
    <row r="24" spans="1:13" s="10" customFormat="1" ht="12" customHeight="1" x14ac:dyDescent="0.25">
      <c r="A24" s="98"/>
      <c r="B24" s="93" t="s">
        <v>100</v>
      </c>
      <c r="C24" s="112"/>
      <c r="D24" s="112">
        <v>1</v>
      </c>
      <c r="E24" s="95"/>
      <c r="F24" s="95">
        <f>F23</f>
        <v>355.29</v>
      </c>
      <c r="G24" s="99"/>
      <c r="H24" s="100">
        <f>D24*10</f>
        <v>10</v>
      </c>
      <c r="I24" s="100"/>
      <c r="J24" s="100">
        <f>D24*100</f>
        <v>100</v>
      </c>
      <c r="L24" s="1018">
        <f>SUM(L19:L23)</f>
        <v>2.2654999999999998</v>
      </c>
      <c r="M24" s="1018">
        <f>SUM(M19:M23)</f>
        <v>355.29</v>
      </c>
    </row>
    <row r="25" spans="1:13" s="10" customFormat="1" ht="27.6" customHeight="1" x14ac:dyDescent="0.25">
      <c r="A25" s="1536" t="s">
        <v>35</v>
      </c>
      <c r="B25" s="1536"/>
      <c r="C25" s="90"/>
      <c r="D25" s="90"/>
      <c r="E25" s="408"/>
      <c r="F25" s="408">
        <f>F24</f>
        <v>355.29</v>
      </c>
      <c r="G25" s="591"/>
      <c r="H25" s="591"/>
      <c r="I25" s="21"/>
      <c r="J25" s="408"/>
    </row>
    <row r="26" spans="1:13" s="10" customFormat="1" ht="25.35" customHeight="1" x14ac:dyDescent="0.25">
      <c r="A26" s="1536" t="s">
        <v>36</v>
      </c>
      <c r="B26" s="1536"/>
      <c r="C26" s="90">
        <v>1000</v>
      </c>
      <c r="D26" s="90"/>
      <c r="E26" s="408"/>
      <c r="F26" s="408"/>
      <c r="G26" s="408"/>
      <c r="H26" s="408"/>
      <c r="I26" s="21"/>
      <c r="J26" s="17"/>
    </row>
    <row r="27" spans="1:13" s="10" customFormat="1" ht="25.35" customHeight="1" x14ac:dyDescent="0.25">
      <c r="A27" s="1537" t="s">
        <v>37</v>
      </c>
      <c r="B27" s="1538"/>
      <c r="C27" s="91">
        <v>1000</v>
      </c>
      <c r="D27" s="92"/>
      <c r="E27" s="592"/>
      <c r="F27" s="592"/>
      <c r="G27" s="592"/>
      <c r="H27" s="592"/>
      <c r="I27" s="21"/>
      <c r="J27" s="17"/>
    </row>
    <row r="28" spans="1:13" s="10" customFormat="1" ht="15" customHeight="1" x14ac:dyDescent="0.25">
      <c r="A28" s="1539" t="s">
        <v>38</v>
      </c>
      <c r="B28" s="1540"/>
      <c r="C28" s="92">
        <f>C26/C27</f>
        <v>1</v>
      </c>
      <c r="D28" s="92"/>
      <c r="E28" s="592"/>
      <c r="F28" s="592"/>
      <c r="G28" s="592"/>
      <c r="H28" s="592"/>
      <c r="I28" s="21"/>
      <c r="J28" s="17"/>
    </row>
    <row r="29" spans="1:13" ht="16.350000000000001" customHeight="1" x14ac:dyDescent="0.25">
      <c r="A29" s="1541" t="s">
        <v>39</v>
      </c>
      <c r="B29" s="1542"/>
      <c r="C29" s="15" t="s">
        <v>40</v>
      </c>
      <c r="D29" s="102"/>
      <c r="E29" s="102" t="s">
        <v>40</v>
      </c>
      <c r="F29" s="16">
        <f>F25/C28</f>
        <v>355.29</v>
      </c>
      <c r="G29" s="16"/>
      <c r="H29" s="16"/>
      <c r="I29" s="102" t="s">
        <v>40</v>
      </c>
      <c r="J29" s="102" t="s">
        <v>40</v>
      </c>
    </row>
    <row r="30" spans="1:13" ht="23.1" customHeight="1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3" ht="13.95" customHeight="1" x14ac:dyDescent="0.25">
      <c r="A31" s="1193"/>
      <c r="B31" s="1194" t="s">
        <v>49</v>
      </c>
      <c r="C31" s="1198"/>
      <c r="D31" s="1198"/>
      <c r="E31" s="1198"/>
      <c r="F31" s="1198"/>
      <c r="G31" s="1193"/>
      <c r="H31" s="1556">
        <f>'1-бутерброд с маслом'!$H$28</f>
        <v>0</v>
      </c>
      <c r="I31" s="1556"/>
      <c r="J31" s="1556"/>
    </row>
    <row r="32" spans="1:13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545" t="s">
        <v>327</v>
      </c>
      <c r="B33" s="1545"/>
      <c r="C33" s="1546" t="s">
        <v>328</v>
      </c>
      <c r="D33" s="1546"/>
      <c r="E33" s="1546"/>
      <c r="F33" s="1546"/>
      <c r="G33" s="106"/>
      <c r="H33" s="1531"/>
      <c r="I33" s="1531"/>
      <c r="J33" s="1531"/>
    </row>
    <row r="34" spans="1:10" x14ac:dyDescent="0.25">
      <c r="A34" s="1193"/>
      <c r="B34" s="1193"/>
      <c r="C34" s="1546"/>
      <c r="D34" s="1546"/>
      <c r="E34" s="1546"/>
      <c r="F34" s="1546"/>
      <c r="G34" s="1193"/>
      <c r="H34" s="1531" t="s">
        <v>329</v>
      </c>
      <c r="I34" s="1531"/>
      <c r="J34" s="1531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</sheetData>
  <mergeCells count="28">
    <mergeCell ref="H31:J31"/>
    <mergeCell ref="A13:G13"/>
    <mergeCell ref="A26:B26"/>
    <mergeCell ref="A27:B27"/>
    <mergeCell ref="A28:B28"/>
    <mergeCell ref="A29:B29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3:B33"/>
    <mergeCell ref="C33:F34"/>
    <mergeCell ref="H33:J33"/>
    <mergeCell ref="H34:J34"/>
    <mergeCell ref="H5:I5"/>
    <mergeCell ref="A6:G6"/>
    <mergeCell ref="A7:I7"/>
    <mergeCell ref="A25:B25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43"/>
  <sheetViews>
    <sheetView view="pageBreakPreview" topLeftCell="A6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589" customWidth="1"/>
    <col min="2" max="2" width="21.109375" style="589" customWidth="1"/>
    <col min="3" max="4" width="7.5546875" style="589" customWidth="1"/>
    <col min="5" max="5" width="8.109375" style="589" customWidth="1"/>
    <col min="6" max="6" width="8" style="589" customWidth="1"/>
    <col min="7" max="7" width="7.5546875" style="589" customWidth="1"/>
    <col min="8" max="8" width="7.6640625" style="589" customWidth="1"/>
    <col min="9" max="9" width="7.5546875" style="589" customWidth="1"/>
    <col min="10" max="10" width="8.33203125" style="589" customWidth="1"/>
    <col min="11" max="11" width="4.109375" style="589" customWidth="1"/>
    <col min="12" max="16384" width="8.88671875" style="58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81)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108</v>
      </c>
    </row>
    <row r="8" spans="1:10" s="2" customFormat="1" ht="9.6" customHeight="1" x14ac:dyDescent="0.25">
      <c r="A8" s="594"/>
      <c r="B8" s="594"/>
      <c r="C8" s="594"/>
      <c r="D8" s="594"/>
      <c r="E8" s="594"/>
      <c r="F8" s="594"/>
      <c r="G8" s="594"/>
      <c r="H8" s="594"/>
      <c r="I8" s="594"/>
      <c r="J8" s="109"/>
    </row>
    <row r="9" spans="1:10" s="2" customFormat="1" ht="26.1" customHeight="1" x14ac:dyDescent="0.3">
      <c r="A9" s="1550" t="s">
        <v>879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'107-фрикадельки рыб.'!H14+1</f>
        <v>81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590" t="s">
        <v>92</v>
      </c>
      <c r="D17" s="590" t="s">
        <v>94</v>
      </c>
      <c r="E17" s="590" t="s">
        <v>93</v>
      </c>
      <c r="F17" s="590" t="s">
        <v>23</v>
      </c>
      <c r="G17" s="590" t="s">
        <v>92</v>
      </c>
      <c r="H17" s="590" t="s">
        <v>94</v>
      </c>
      <c r="I17" s="590" t="s">
        <v>92</v>
      </c>
      <c r="J17" s="590" t="s">
        <v>94</v>
      </c>
    </row>
    <row r="18" spans="1:13" ht="9.6" customHeight="1" x14ac:dyDescent="0.25">
      <c r="A18" s="590">
        <v>1</v>
      </c>
      <c r="B18" s="592">
        <v>2</v>
      </c>
      <c r="C18" s="590">
        <v>3</v>
      </c>
      <c r="D18" s="592">
        <v>4</v>
      </c>
      <c r="E18" s="590">
        <v>5</v>
      </c>
      <c r="F18" s="592">
        <v>6</v>
      </c>
      <c r="G18" s="590">
        <v>7</v>
      </c>
      <c r="H18" s="592">
        <v>8</v>
      </c>
      <c r="I18" s="590">
        <v>9</v>
      </c>
      <c r="J18" s="592">
        <v>10</v>
      </c>
    </row>
    <row r="19" spans="1:13" s="10" customFormat="1" ht="14.1" customHeight="1" x14ac:dyDescent="0.25">
      <c r="A19" s="180">
        <v>1</v>
      </c>
      <c r="B19" s="20" t="s">
        <v>50</v>
      </c>
      <c r="C19" s="111">
        <v>0.26700000000000002</v>
      </c>
      <c r="D19" s="111">
        <v>0.2</v>
      </c>
      <c r="E19" s="408">
        <f>цены!F35</f>
        <v>50</v>
      </c>
      <c r="F19" s="408">
        <f>C19*E19</f>
        <v>13.35</v>
      </c>
      <c r="G19" s="97">
        <f t="shared" ref="G19:H28" si="0">C19*10</f>
        <v>2.67</v>
      </c>
      <c r="H19" s="21">
        <f t="shared" si="0"/>
        <v>2</v>
      </c>
      <c r="I19" s="21">
        <f t="shared" ref="I19:J28" si="1">C19*100</f>
        <v>26.7</v>
      </c>
      <c r="J19" s="21">
        <f t="shared" si="1"/>
        <v>20</v>
      </c>
      <c r="K19" s="1017"/>
      <c r="L19" s="1018">
        <f>C19/C$33</f>
        <v>6.6799999999999998E-2</v>
      </c>
      <c r="M19" s="1018">
        <f>F19/C$33</f>
        <v>3.3374999999999999</v>
      </c>
    </row>
    <row r="20" spans="1:13" s="10" customFormat="1" ht="14.1" customHeight="1" x14ac:dyDescent="0.25">
      <c r="A20" s="180">
        <v>2</v>
      </c>
      <c r="B20" s="20" t="s">
        <v>47</v>
      </c>
      <c r="C20" s="111">
        <v>0.05</v>
      </c>
      <c r="D20" s="111">
        <v>0.04</v>
      </c>
      <c r="E20" s="408">
        <f>цены!F44</f>
        <v>50</v>
      </c>
      <c r="F20" s="408">
        <f t="shared" ref="F20:F28" si="2">C20*E20</f>
        <v>2.5</v>
      </c>
      <c r="G20" s="97">
        <f t="shared" si="0"/>
        <v>0.5</v>
      </c>
      <c r="H20" s="21">
        <f t="shared" si="0"/>
        <v>0.4</v>
      </c>
      <c r="I20" s="21">
        <f t="shared" si="1"/>
        <v>5</v>
      </c>
      <c r="J20" s="21">
        <f t="shared" si="1"/>
        <v>4</v>
      </c>
      <c r="K20" s="1017"/>
      <c r="L20" s="1018">
        <f t="shared" ref="L20:L28" si="3">C20/C$33</f>
        <v>1.2500000000000001E-2</v>
      </c>
      <c r="M20" s="1018">
        <f t="shared" ref="M20:M28" si="4">F20/C$33</f>
        <v>0.625</v>
      </c>
    </row>
    <row r="21" spans="1:13" s="10" customFormat="1" ht="12" customHeight="1" x14ac:dyDescent="0.25">
      <c r="A21" s="180">
        <v>3</v>
      </c>
      <c r="B21" s="20" t="s">
        <v>48</v>
      </c>
      <c r="C21" s="111">
        <v>4.8000000000000001E-2</v>
      </c>
      <c r="D21" s="111">
        <v>0.04</v>
      </c>
      <c r="E21" s="408">
        <f>цены!F38</f>
        <v>50</v>
      </c>
      <c r="F21" s="408">
        <f t="shared" si="2"/>
        <v>2.4</v>
      </c>
      <c r="G21" s="97">
        <f t="shared" si="0"/>
        <v>0.48</v>
      </c>
      <c r="H21" s="21">
        <f t="shared" si="0"/>
        <v>0.4</v>
      </c>
      <c r="I21" s="21">
        <f t="shared" si="1"/>
        <v>4.8</v>
      </c>
      <c r="J21" s="21">
        <f t="shared" si="1"/>
        <v>4</v>
      </c>
      <c r="K21" s="1017"/>
      <c r="L21" s="1018">
        <f t="shared" si="3"/>
        <v>1.2E-2</v>
      </c>
      <c r="M21" s="1018">
        <f t="shared" si="4"/>
        <v>0.6</v>
      </c>
    </row>
    <row r="22" spans="1:13" s="10" customFormat="1" ht="12" customHeight="1" x14ac:dyDescent="0.25">
      <c r="A22" s="180">
        <v>4</v>
      </c>
      <c r="B22" s="20" t="s">
        <v>74</v>
      </c>
      <c r="C22" s="111">
        <v>0.01</v>
      </c>
      <c r="D22" s="111">
        <v>0.01</v>
      </c>
      <c r="E22" s="408">
        <f>цены!F87</f>
        <v>120</v>
      </c>
      <c r="F22" s="408">
        <f t="shared" si="2"/>
        <v>1.2</v>
      </c>
      <c r="G22" s="97">
        <f t="shared" si="0"/>
        <v>0.1</v>
      </c>
      <c r="H22" s="21">
        <f t="shared" si="0"/>
        <v>0.1</v>
      </c>
      <c r="I22" s="21">
        <f t="shared" si="1"/>
        <v>1</v>
      </c>
      <c r="J22" s="21">
        <f t="shared" si="1"/>
        <v>1</v>
      </c>
      <c r="K22" s="1017"/>
      <c r="L22" s="1018">
        <f t="shared" si="3"/>
        <v>2.5000000000000001E-3</v>
      </c>
      <c r="M22" s="1018">
        <f t="shared" si="4"/>
        <v>0.3</v>
      </c>
    </row>
    <row r="23" spans="1:13" s="10" customFormat="1" ht="12" customHeight="1" x14ac:dyDescent="0.25">
      <c r="A23" s="180">
        <v>5</v>
      </c>
      <c r="B23" s="20" t="s">
        <v>141</v>
      </c>
      <c r="C23" s="111">
        <v>0.75</v>
      </c>
      <c r="D23" s="111">
        <v>0.75</v>
      </c>
      <c r="E23" s="408"/>
      <c r="F23" s="408">
        <f t="shared" si="2"/>
        <v>0</v>
      </c>
      <c r="G23" s="97">
        <f t="shared" si="0"/>
        <v>7.5</v>
      </c>
      <c r="H23" s="21">
        <f t="shared" si="0"/>
        <v>7.5</v>
      </c>
      <c r="I23" s="21">
        <f t="shared" si="1"/>
        <v>75</v>
      </c>
      <c r="J23" s="21">
        <f t="shared" si="1"/>
        <v>75</v>
      </c>
      <c r="K23" s="1017"/>
      <c r="L23" s="1018">
        <f t="shared" si="3"/>
        <v>0.1875</v>
      </c>
      <c r="M23" s="1018">
        <f t="shared" si="4"/>
        <v>0</v>
      </c>
    </row>
    <row r="24" spans="1:13" s="10" customFormat="1" ht="12" customHeight="1" x14ac:dyDescent="0.25">
      <c r="A24" s="180">
        <v>6</v>
      </c>
      <c r="B24" s="20" t="s">
        <v>880</v>
      </c>
      <c r="C24" s="111">
        <v>0.26</v>
      </c>
      <c r="D24" s="111">
        <v>0.26</v>
      </c>
      <c r="E24" s="408">
        <f>'109-клёцки'!F30</f>
        <v>90.2</v>
      </c>
      <c r="F24" s="408">
        <f t="shared" si="2"/>
        <v>23.45</v>
      </c>
      <c r="G24" s="97">
        <f t="shared" si="0"/>
        <v>2.6</v>
      </c>
      <c r="H24" s="21">
        <f t="shared" si="0"/>
        <v>2.6</v>
      </c>
      <c r="I24" s="21">
        <f t="shared" si="1"/>
        <v>26</v>
      </c>
      <c r="J24" s="21">
        <f t="shared" si="1"/>
        <v>26</v>
      </c>
      <c r="K24" s="1017"/>
      <c r="L24" s="1018">
        <f t="shared" si="3"/>
        <v>6.5000000000000002E-2</v>
      </c>
      <c r="M24" s="1018">
        <f t="shared" si="4"/>
        <v>5.8624999999999998</v>
      </c>
    </row>
    <row r="25" spans="1:13" s="10" customFormat="1" ht="12" customHeight="1" x14ac:dyDescent="0.25">
      <c r="A25" s="180">
        <v>7</v>
      </c>
      <c r="B25" s="20" t="s">
        <v>84</v>
      </c>
      <c r="C25" s="113">
        <v>4.0000000000000003E-5</v>
      </c>
      <c r="D25" s="113">
        <v>4.0000000000000003E-5</v>
      </c>
      <c r="E25" s="408">
        <f>цены!F100</f>
        <v>1000</v>
      </c>
      <c r="F25" s="408">
        <f t="shared" si="2"/>
        <v>0.04</v>
      </c>
      <c r="G25" s="97">
        <f t="shared" si="0"/>
        <v>0</v>
      </c>
      <c r="H25" s="21">
        <f t="shared" si="0"/>
        <v>0</v>
      </c>
      <c r="I25" s="21">
        <f t="shared" si="1"/>
        <v>4.0000000000000001E-3</v>
      </c>
      <c r="J25" s="21">
        <f t="shared" si="1"/>
        <v>4.0000000000000001E-3</v>
      </c>
      <c r="K25" s="1017"/>
      <c r="L25" s="1018">
        <f t="shared" si="3"/>
        <v>0</v>
      </c>
      <c r="M25" s="1018">
        <f t="shared" si="4"/>
        <v>0.01</v>
      </c>
    </row>
    <row r="26" spans="1:13" s="10" customFormat="1" ht="12" customHeight="1" x14ac:dyDescent="0.25">
      <c r="A26" s="180">
        <v>8</v>
      </c>
      <c r="B26" s="20" t="s">
        <v>33</v>
      </c>
      <c r="C26" s="21">
        <v>7.0000000000000001E-3</v>
      </c>
      <c r="D26" s="21">
        <v>7.0000000000000001E-3</v>
      </c>
      <c r="E26" s="408">
        <f>цены!F110</f>
        <v>24</v>
      </c>
      <c r="F26" s="408">
        <f t="shared" si="2"/>
        <v>0.17</v>
      </c>
      <c r="G26" s="97">
        <f t="shared" si="0"/>
        <v>7.0000000000000007E-2</v>
      </c>
      <c r="H26" s="21">
        <f t="shared" si="0"/>
        <v>7.0000000000000007E-2</v>
      </c>
      <c r="I26" s="21">
        <f t="shared" si="1"/>
        <v>0.7</v>
      </c>
      <c r="J26" s="21">
        <f t="shared" si="1"/>
        <v>0.7</v>
      </c>
      <c r="K26" s="1017"/>
      <c r="L26" s="1018">
        <f t="shared" si="3"/>
        <v>1.8E-3</v>
      </c>
      <c r="M26" s="1018">
        <f t="shared" si="4"/>
        <v>4.2500000000000003E-2</v>
      </c>
    </row>
    <row r="27" spans="1:13" s="10" customFormat="1" ht="12" customHeight="1" x14ac:dyDescent="0.25">
      <c r="A27" s="180">
        <v>9</v>
      </c>
      <c r="B27" s="20" t="s">
        <v>78</v>
      </c>
      <c r="C27" s="21">
        <f>0.002*C33</f>
        <v>8.0000000000000002E-3</v>
      </c>
      <c r="D27" s="21">
        <f>0.002*C33</f>
        <v>8.0000000000000002E-3</v>
      </c>
      <c r="E27" s="408">
        <f>цены!F48</f>
        <v>300</v>
      </c>
      <c r="F27" s="408">
        <f t="shared" si="2"/>
        <v>2.4</v>
      </c>
      <c r="G27" s="97">
        <f t="shared" si="0"/>
        <v>0.08</v>
      </c>
      <c r="H27" s="21">
        <f t="shared" si="0"/>
        <v>0.08</v>
      </c>
      <c r="I27" s="21">
        <f t="shared" si="1"/>
        <v>0.8</v>
      </c>
      <c r="J27" s="21">
        <f t="shared" si="1"/>
        <v>0.8</v>
      </c>
      <c r="K27" s="1017"/>
      <c r="L27" s="1018">
        <f t="shared" si="3"/>
        <v>2E-3</v>
      </c>
      <c r="M27" s="1018">
        <f t="shared" si="4"/>
        <v>0.6</v>
      </c>
    </row>
    <row r="28" spans="1:13" s="10" customFormat="1" ht="12" customHeight="1" x14ac:dyDescent="0.25">
      <c r="A28" s="180">
        <v>10</v>
      </c>
      <c r="B28" s="20" t="s">
        <v>51</v>
      </c>
      <c r="C28" s="21">
        <v>0.02</v>
      </c>
      <c r="D28" s="21">
        <v>0.02</v>
      </c>
      <c r="E28" s="408">
        <f>цены!F24</f>
        <v>234</v>
      </c>
      <c r="F28" s="408">
        <f t="shared" si="2"/>
        <v>4.68</v>
      </c>
      <c r="G28" s="97">
        <f t="shared" si="0"/>
        <v>0.2</v>
      </c>
      <c r="H28" s="21">
        <f t="shared" si="0"/>
        <v>0.2</v>
      </c>
      <c r="I28" s="21">
        <f t="shared" si="1"/>
        <v>2</v>
      </c>
      <c r="J28" s="21">
        <f t="shared" si="1"/>
        <v>2</v>
      </c>
      <c r="K28" s="1017"/>
      <c r="L28" s="1018">
        <f t="shared" si="3"/>
        <v>5.0000000000000001E-3</v>
      </c>
      <c r="M28" s="1018">
        <f t="shared" si="4"/>
        <v>1.17</v>
      </c>
    </row>
    <row r="29" spans="1:13" s="10" customFormat="1" ht="12" customHeight="1" x14ac:dyDescent="0.25">
      <c r="A29" s="98"/>
      <c r="B29" s="93" t="s">
        <v>100</v>
      </c>
      <c r="C29" s="112"/>
      <c r="D29" s="112">
        <v>1</v>
      </c>
      <c r="E29" s="95"/>
      <c r="F29" s="95">
        <f>SUM(F19:F28)</f>
        <v>50.19</v>
      </c>
      <c r="G29" s="99"/>
      <c r="H29" s="100">
        <f>D29*10</f>
        <v>10</v>
      </c>
      <c r="I29" s="100"/>
      <c r="J29" s="100">
        <f>D29*100</f>
        <v>100</v>
      </c>
      <c r="K29" s="1017"/>
      <c r="L29" s="1018">
        <f>SUM(L19:L28)</f>
        <v>0.35510000000000003</v>
      </c>
      <c r="M29" s="1018">
        <f>SUM(M19:M28)</f>
        <v>12.547499999999999</v>
      </c>
    </row>
    <row r="30" spans="1:13" s="10" customFormat="1" ht="27.6" customHeight="1" x14ac:dyDescent="0.25">
      <c r="A30" s="1536" t="s">
        <v>35</v>
      </c>
      <c r="B30" s="1536"/>
      <c r="C30" s="90"/>
      <c r="D30" s="90"/>
      <c r="E30" s="408"/>
      <c r="F30" s="408">
        <f>F29</f>
        <v>50.19</v>
      </c>
      <c r="G30" s="591"/>
      <c r="H30" s="591"/>
      <c r="I30" s="21"/>
      <c r="J30" s="408"/>
      <c r="K30" s="1017"/>
    </row>
    <row r="31" spans="1:13" s="10" customFormat="1" ht="25.35" customHeight="1" x14ac:dyDescent="0.25">
      <c r="A31" s="1536" t="s">
        <v>36</v>
      </c>
      <c r="B31" s="1536"/>
      <c r="C31" s="90">
        <v>1000</v>
      </c>
      <c r="D31" s="90"/>
      <c r="E31" s="408"/>
      <c r="F31" s="408"/>
      <c r="G31" s="408"/>
      <c r="H31" s="408"/>
      <c r="I31" s="21"/>
      <c r="J31" s="17"/>
    </row>
    <row r="32" spans="1:13" s="10" customFormat="1" ht="25.35" customHeight="1" x14ac:dyDescent="0.25">
      <c r="A32" s="1537" t="s">
        <v>37</v>
      </c>
      <c r="B32" s="1538"/>
      <c r="C32" s="91">
        <v>250</v>
      </c>
      <c r="D32" s="92"/>
      <c r="E32" s="592"/>
      <c r="F32" s="592"/>
      <c r="G32" s="592"/>
      <c r="H32" s="592"/>
      <c r="I32" s="21"/>
      <c r="J32" s="17"/>
    </row>
    <row r="33" spans="1:10" s="10" customFormat="1" ht="15" customHeight="1" x14ac:dyDescent="0.25">
      <c r="A33" s="1539" t="s">
        <v>38</v>
      </c>
      <c r="B33" s="1540"/>
      <c r="C33" s="92">
        <f>C31/C32</f>
        <v>4</v>
      </c>
      <c r="D33" s="92"/>
      <c r="E33" s="592"/>
      <c r="F33" s="592"/>
      <c r="G33" s="592"/>
      <c r="H33" s="592"/>
      <c r="I33" s="21"/>
      <c r="J33" s="17"/>
    </row>
    <row r="34" spans="1:10" ht="16.350000000000001" customHeight="1" x14ac:dyDescent="0.25">
      <c r="A34" s="1541" t="s">
        <v>39</v>
      </c>
      <c r="B34" s="1542"/>
      <c r="C34" s="15" t="s">
        <v>40</v>
      </c>
      <c r="D34" s="102"/>
      <c r="E34" s="102" t="s">
        <v>40</v>
      </c>
      <c r="F34" s="16">
        <f>F30/C33</f>
        <v>12.55</v>
      </c>
      <c r="G34" s="16"/>
      <c r="H34" s="16"/>
      <c r="I34" s="102" t="s">
        <v>40</v>
      </c>
      <c r="J34" s="102" t="s">
        <v>40</v>
      </c>
    </row>
    <row r="35" spans="1:10" ht="23.1" customHeight="1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193"/>
      <c r="B36" s="1194" t="s">
        <v>49</v>
      </c>
      <c r="C36" s="1198"/>
      <c r="D36" s="1198"/>
      <c r="E36" s="1198"/>
      <c r="F36" s="1198"/>
      <c r="G36" s="1193"/>
      <c r="H36" s="1556">
        <f>'1-бутерброд с маслом'!$H$28</f>
        <v>0</v>
      </c>
      <c r="I36" s="1556"/>
      <c r="J36" s="1556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545" t="s">
        <v>327</v>
      </c>
      <c r="B38" s="1545"/>
      <c r="C38" s="1546" t="s">
        <v>328</v>
      </c>
      <c r="D38" s="1546"/>
      <c r="E38" s="1546"/>
      <c r="F38" s="1546"/>
      <c r="G38" s="106"/>
      <c r="H38" s="1531"/>
      <c r="I38" s="1531"/>
      <c r="J38" s="1531"/>
    </row>
    <row r="39" spans="1:10" x14ac:dyDescent="0.25">
      <c r="A39" s="1193"/>
      <c r="B39" s="1193"/>
      <c r="C39" s="1546"/>
      <c r="D39" s="1546"/>
      <c r="E39" s="1546"/>
      <c r="F39" s="1546"/>
      <c r="G39" s="1193"/>
      <c r="H39" s="1531" t="s">
        <v>329</v>
      </c>
      <c r="I39" s="1531"/>
      <c r="J39" s="1531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</sheetData>
  <mergeCells count="28">
    <mergeCell ref="H36:J36"/>
    <mergeCell ref="A13:G13"/>
    <mergeCell ref="A31:B31"/>
    <mergeCell ref="A32:B32"/>
    <mergeCell ref="A33:B33"/>
    <mergeCell ref="A34:B34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8:B38"/>
    <mergeCell ref="C38:F39"/>
    <mergeCell ref="H38:J38"/>
    <mergeCell ref="H39:J39"/>
    <mergeCell ref="H5:I5"/>
    <mergeCell ref="A6:G6"/>
    <mergeCell ref="A7:I7"/>
    <mergeCell ref="A30:B30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39"/>
  <sheetViews>
    <sheetView view="pageBreakPreview" zoomScale="110" zoomScaleNormal="100" zoomScaleSheetLayoutView="110" workbookViewId="0">
      <selection activeCell="A9" sqref="A9:J9"/>
    </sheetView>
  </sheetViews>
  <sheetFormatPr defaultColWidth="8.88671875" defaultRowHeight="13.8" x14ac:dyDescent="0.25"/>
  <cols>
    <col min="1" max="1" width="4.109375" style="589" customWidth="1"/>
    <col min="2" max="2" width="21.109375" style="589" customWidth="1"/>
    <col min="3" max="3" width="8.33203125" style="589" customWidth="1"/>
    <col min="4" max="7" width="7.5546875" style="589" customWidth="1"/>
    <col min="8" max="8" width="8.88671875" style="589" customWidth="1"/>
    <col min="9" max="9" width="7.5546875" style="589" customWidth="1"/>
    <col min="10" max="10" width="9" style="589" customWidth="1"/>
    <col min="11" max="11" width="2.88671875" style="589" customWidth="1"/>
    <col min="12" max="16384" width="8.88671875" style="58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82)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109</v>
      </c>
    </row>
    <row r="8" spans="1:10" s="2" customFormat="1" ht="9.6" customHeight="1" x14ac:dyDescent="0.25">
      <c r="A8" s="594"/>
      <c r="B8" s="594"/>
      <c r="C8" s="594"/>
      <c r="D8" s="594"/>
      <c r="E8" s="594"/>
      <c r="F8" s="594"/>
      <c r="G8" s="594"/>
      <c r="H8" s="594"/>
      <c r="I8" s="594"/>
      <c r="J8" s="109"/>
    </row>
    <row r="9" spans="1:10" s="2" customFormat="1" ht="26.1" customHeight="1" x14ac:dyDescent="0.3">
      <c r="A9" s="1550" t="s">
        <v>876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'108-суп с клёцками'!H14+1</f>
        <v>82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590" t="s">
        <v>92</v>
      </c>
      <c r="D17" s="590" t="s">
        <v>94</v>
      </c>
      <c r="E17" s="590" t="s">
        <v>93</v>
      </c>
      <c r="F17" s="590" t="s">
        <v>23</v>
      </c>
      <c r="G17" s="590" t="s">
        <v>92</v>
      </c>
      <c r="H17" s="590" t="s">
        <v>94</v>
      </c>
      <c r="I17" s="590" t="s">
        <v>92</v>
      </c>
      <c r="J17" s="590" t="s">
        <v>94</v>
      </c>
    </row>
    <row r="18" spans="1:13" ht="9.6" customHeight="1" x14ac:dyDescent="0.25">
      <c r="A18" s="590">
        <v>1</v>
      </c>
      <c r="B18" s="592">
        <v>2</v>
      </c>
      <c r="C18" s="590">
        <v>3</v>
      </c>
      <c r="D18" s="592">
        <v>4</v>
      </c>
      <c r="E18" s="590">
        <v>5</v>
      </c>
      <c r="F18" s="592">
        <v>6</v>
      </c>
      <c r="G18" s="592">
        <v>8</v>
      </c>
      <c r="H18" s="590">
        <v>9</v>
      </c>
      <c r="I18" s="592">
        <v>10</v>
      </c>
      <c r="J18" s="590">
        <v>11</v>
      </c>
    </row>
    <row r="19" spans="1:13" s="10" customFormat="1" ht="14.1" customHeight="1" x14ac:dyDescent="0.25">
      <c r="A19" s="180">
        <v>1</v>
      </c>
      <c r="B19" s="20" t="s">
        <v>45</v>
      </c>
      <c r="C19" s="111">
        <v>0.308</v>
      </c>
      <c r="D19" s="111">
        <v>0.308</v>
      </c>
      <c r="E19" s="408">
        <f>цены!F74</f>
        <v>36</v>
      </c>
      <c r="F19" s="408">
        <f>C19*E19</f>
        <v>11.09</v>
      </c>
      <c r="G19" s="97">
        <f t="shared" ref="G19:H22" si="0">C19*10</f>
        <v>3.08</v>
      </c>
      <c r="H19" s="21">
        <f t="shared" si="0"/>
        <v>3.08</v>
      </c>
      <c r="I19" s="21">
        <f t="shared" ref="I19:J22" si="1">C19*100</f>
        <v>30.8</v>
      </c>
      <c r="J19" s="21">
        <f t="shared" si="1"/>
        <v>30.8</v>
      </c>
      <c r="K19" s="614"/>
      <c r="L19" s="1018">
        <f>C19/C$29</f>
        <v>0.308</v>
      </c>
      <c r="M19" s="1018">
        <f>F19/C$29</f>
        <v>11.09</v>
      </c>
    </row>
    <row r="20" spans="1:13" s="10" customFormat="1" ht="12" customHeight="1" x14ac:dyDescent="0.25">
      <c r="A20" s="180">
        <v>2</v>
      </c>
      <c r="B20" s="20" t="s">
        <v>31</v>
      </c>
      <c r="C20" s="111">
        <v>3.5000000000000003E-2</v>
      </c>
      <c r="D20" s="111">
        <v>3.5000000000000003E-2</v>
      </c>
      <c r="E20" s="408">
        <f>цены!F21</f>
        <v>710</v>
      </c>
      <c r="F20" s="408">
        <f>C20*E20</f>
        <v>24.85</v>
      </c>
      <c r="G20" s="97">
        <f t="shared" si="0"/>
        <v>0.35</v>
      </c>
      <c r="H20" s="21">
        <f t="shared" si="0"/>
        <v>0.35</v>
      </c>
      <c r="I20" s="21">
        <f t="shared" si="1"/>
        <v>3.5</v>
      </c>
      <c r="J20" s="21">
        <f t="shared" si="1"/>
        <v>3.5</v>
      </c>
      <c r="L20" s="1018">
        <f t="shared" ref="L20:L23" si="2">C20/C$29</f>
        <v>3.5000000000000003E-2</v>
      </c>
      <c r="M20" s="1018">
        <f t="shared" ref="M20:M23" si="3">F20/C$29</f>
        <v>24.85</v>
      </c>
    </row>
    <row r="21" spans="1:13" s="10" customFormat="1" ht="12" customHeight="1" x14ac:dyDescent="0.25">
      <c r="A21" s="180">
        <v>3</v>
      </c>
      <c r="B21" s="20" t="s">
        <v>877</v>
      </c>
      <c r="C21" s="111">
        <f>0.046*2.2</f>
        <v>0.1012</v>
      </c>
      <c r="D21" s="111">
        <f>0.04*2.2</f>
        <v>8.7999999999999995E-2</v>
      </c>
      <c r="E21" s="408">
        <f>цены!F30</f>
        <v>152.16999999999999</v>
      </c>
      <c r="F21" s="408">
        <f>C21*E21</f>
        <v>15.4</v>
      </c>
      <c r="G21" s="97">
        <f t="shared" si="0"/>
        <v>1.012</v>
      </c>
      <c r="H21" s="21">
        <f t="shared" si="0"/>
        <v>0.88</v>
      </c>
      <c r="I21" s="21">
        <f t="shared" si="1"/>
        <v>10.119999999999999</v>
      </c>
      <c r="J21" s="21">
        <f t="shared" si="1"/>
        <v>8.8000000000000007</v>
      </c>
      <c r="L21" s="1018">
        <f t="shared" si="2"/>
        <v>0.1012</v>
      </c>
      <c r="M21" s="1018">
        <f t="shared" si="3"/>
        <v>15.4</v>
      </c>
    </row>
    <row r="22" spans="1:13" s="10" customFormat="1" ht="12" customHeight="1" x14ac:dyDescent="0.25">
      <c r="A22" s="180">
        <v>4</v>
      </c>
      <c r="B22" s="20" t="s">
        <v>34</v>
      </c>
      <c r="C22" s="111">
        <v>0.48299999999999998</v>
      </c>
      <c r="D22" s="111">
        <v>0.48299999999999998</v>
      </c>
      <c r="E22" s="408">
        <f>цены!F20</f>
        <v>80</v>
      </c>
      <c r="F22" s="408">
        <f>C22*E22</f>
        <v>38.64</v>
      </c>
      <c r="G22" s="97">
        <f t="shared" si="0"/>
        <v>4.83</v>
      </c>
      <c r="H22" s="21">
        <f t="shared" si="0"/>
        <v>4.83</v>
      </c>
      <c r="I22" s="21">
        <f t="shared" si="1"/>
        <v>48.3</v>
      </c>
      <c r="J22" s="21">
        <f t="shared" si="1"/>
        <v>48.3</v>
      </c>
      <c r="L22" s="1018">
        <f t="shared" si="2"/>
        <v>0.48299999999999998</v>
      </c>
      <c r="M22" s="1018">
        <f t="shared" si="3"/>
        <v>38.64</v>
      </c>
    </row>
    <row r="23" spans="1:13" s="10" customFormat="1" ht="12" customHeight="1" x14ac:dyDescent="0.25">
      <c r="A23" s="180">
        <v>5</v>
      </c>
      <c r="B23" s="20" t="s">
        <v>33</v>
      </c>
      <c r="C23" s="111">
        <v>8.9999999999999993E-3</v>
      </c>
      <c r="D23" s="111">
        <v>0.09</v>
      </c>
      <c r="E23" s="408">
        <f>цены!F110</f>
        <v>24</v>
      </c>
      <c r="F23" s="408">
        <f>C23*E23</f>
        <v>0.22</v>
      </c>
      <c r="G23" s="97">
        <f>C23*10</f>
        <v>0.09</v>
      </c>
      <c r="H23" s="21">
        <f>D23*10</f>
        <v>0.9</v>
      </c>
      <c r="I23" s="21">
        <f>C23*100</f>
        <v>0.9</v>
      </c>
      <c r="J23" s="21">
        <f>D23*100</f>
        <v>9</v>
      </c>
      <c r="L23" s="1018">
        <f t="shared" si="2"/>
        <v>8.9999999999999993E-3</v>
      </c>
      <c r="M23" s="1018">
        <f t="shared" si="3"/>
        <v>0.22</v>
      </c>
    </row>
    <row r="24" spans="1:13" s="10" customFormat="1" ht="12" customHeight="1" x14ac:dyDescent="0.25">
      <c r="A24" s="98"/>
      <c r="B24" s="93" t="s">
        <v>878</v>
      </c>
      <c r="C24" s="114"/>
      <c r="D24" s="112">
        <v>0.9</v>
      </c>
      <c r="E24" s="95"/>
      <c r="F24" s="95">
        <f>SUM(F19:F23)</f>
        <v>90.2</v>
      </c>
      <c r="G24" s="99"/>
      <c r="H24" s="100">
        <f>D24*10</f>
        <v>9</v>
      </c>
      <c r="I24" s="100"/>
      <c r="J24" s="100">
        <f>D24*100</f>
        <v>90</v>
      </c>
      <c r="L24" s="1018"/>
      <c r="M24" s="1018"/>
    </row>
    <row r="25" spans="1:13" s="10" customFormat="1" ht="12" customHeight="1" x14ac:dyDescent="0.25">
      <c r="A25" s="98"/>
      <c r="B25" s="93" t="s">
        <v>100</v>
      </c>
      <c r="C25" s="112"/>
      <c r="D25" s="112">
        <v>1</v>
      </c>
      <c r="E25" s="95"/>
      <c r="F25" s="95">
        <f>F24</f>
        <v>90.2</v>
      </c>
      <c r="G25" s="99"/>
      <c r="H25" s="100">
        <f>D25*10</f>
        <v>10</v>
      </c>
      <c r="I25" s="100"/>
      <c r="J25" s="100">
        <f>D25*100</f>
        <v>100</v>
      </c>
      <c r="L25" s="1018">
        <f>SUM(L19:L24)</f>
        <v>0.93620000000000003</v>
      </c>
      <c r="M25" s="1018">
        <f>SUM(M19:M24)</f>
        <v>90.2</v>
      </c>
    </row>
    <row r="26" spans="1:13" s="10" customFormat="1" ht="27.6" customHeight="1" x14ac:dyDescent="0.25">
      <c r="A26" s="1536" t="s">
        <v>35</v>
      </c>
      <c r="B26" s="1536"/>
      <c r="C26" s="90"/>
      <c r="D26" s="90"/>
      <c r="E26" s="408"/>
      <c r="F26" s="408">
        <f>F25</f>
        <v>90.2</v>
      </c>
      <c r="G26" s="591"/>
      <c r="H26" s="591"/>
      <c r="I26" s="21"/>
      <c r="J26" s="408"/>
    </row>
    <row r="27" spans="1:13" s="10" customFormat="1" ht="25.35" customHeight="1" x14ac:dyDescent="0.25">
      <c r="A27" s="1536" t="s">
        <v>36</v>
      </c>
      <c r="B27" s="1536"/>
      <c r="C27" s="246">
        <v>1000</v>
      </c>
      <c r="D27" s="90"/>
      <c r="E27" s="408"/>
      <c r="F27" s="408"/>
      <c r="G27" s="408"/>
      <c r="H27" s="408"/>
      <c r="I27" s="21"/>
      <c r="J27" s="17"/>
    </row>
    <row r="28" spans="1:13" s="10" customFormat="1" ht="25.35" customHeight="1" x14ac:dyDescent="0.25">
      <c r="A28" s="1537" t="s">
        <v>37</v>
      </c>
      <c r="B28" s="1538"/>
      <c r="C28" s="1027">
        <v>1000</v>
      </c>
      <c r="D28" s="92"/>
      <c r="E28" s="592"/>
      <c r="F28" s="592"/>
      <c r="G28" s="592"/>
      <c r="H28" s="592"/>
      <c r="I28" s="21"/>
      <c r="J28" s="17"/>
    </row>
    <row r="29" spans="1:13" s="10" customFormat="1" ht="15" customHeight="1" x14ac:dyDescent="0.25">
      <c r="A29" s="1539" t="s">
        <v>38</v>
      </c>
      <c r="B29" s="1540"/>
      <c r="C29" s="92">
        <f>C27/C28</f>
        <v>1</v>
      </c>
      <c r="D29" s="92"/>
      <c r="E29" s="592"/>
      <c r="F29" s="592"/>
      <c r="G29" s="592"/>
      <c r="H29" s="592"/>
      <c r="I29" s="21"/>
      <c r="J29" s="17"/>
    </row>
    <row r="30" spans="1:13" ht="16.350000000000001" customHeight="1" x14ac:dyDescent="0.25">
      <c r="A30" s="1541" t="s">
        <v>39</v>
      </c>
      <c r="B30" s="1542"/>
      <c r="C30" s="15" t="s">
        <v>40</v>
      </c>
      <c r="D30" s="102"/>
      <c r="E30" s="102" t="s">
        <v>40</v>
      </c>
      <c r="F30" s="16">
        <f>F26/C29</f>
        <v>90.2</v>
      </c>
      <c r="G30" s="16"/>
      <c r="H30" s="16"/>
      <c r="I30" s="102" t="s">
        <v>40</v>
      </c>
      <c r="J30" s="102" t="s">
        <v>40</v>
      </c>
    </row>
    <row r="31" spans="1:13" ht="23.1" customHeight="1" x14ac:dyDescent="0.25">
      <c r="A31" s="1193"/>
      <c r="B31" s="1193"/>
      <c r="C31" s="1193"/>
      <c r="D31" s="1193"/>
      <c r="E31" s="1193"/>
      <c r="F31" s="1193"/>
      <c r="G31" s="1193"/>
      <c r="H31" s="1193"/>
      <c r="I31" s="1193"/>
      <c r="J31" s="1193"/>
    </row>
    <row r="32" spans="1:13" ht="13.95" customHeight="1" x14ac:dyDescent="0.25">
      <c r="A32" s="1193"/>
      <c r="B32" s="1194" t="s">
        <v>49</v>
      </c>
      <c r="C32" s="1198"/>
      <c r="D32" s="1198"/>
      <c r="E32" s="1198"/>
      <c r="F32" s="1198"/>
      <c r="G32" s="1193"/>
      <c r="H32" s="1556">
        <f>'1-бутерброд с маслом'!$H$28</f>
        <v>0</v>
      </c>
      <c r="I32" s="1556"/>
      <c r="J32" s="1556"/>
    </row>
    <row r="33" spans="1:10" x14ac:dyDescent="0.25">
      <c r="A33" s="1193"/>
      <c r="B33" s="1193"/>
      <c r="C33" s="1193"/>
      <c r="D33" s="1193"/>
      <c r="E33" s="1193"/>
      <c r="F33" s="1193"/>
      <c r="G33" s="1193"/>
      <c r="H33" s="1193"/>
      <c r="I33" s="1193"/>
      <c r="J33" s="1193"/>
    </row>
    <row r="34" spans="1:10" ht="13.95" customHeight="1" x14ac:dyDescent="0.25">
      <c r="A34" s="1545" t="s">
        <v>327</v>
      </c>
      <c r="B34" s="1545"/>
      <c r="C34" s="1546" t="s">
        <v>328</v>
      </c>
      <c r="D34" s="1546"/>
      <c r="E34" s="1546"/>
      <c r="F34" s="1546"/>
      <c r="G34" s="106"/>
      <c r="H34" s="1531"/>
      <c r="I34" s="1531"/>
      <c r="J34" s="1531"/>
    </row>
    <row r="35" spans="1:10" x14ac:dyDescent="0.25">
      <c r="A35" s="1193"/>
      <c r="B35" s="1193"/>
      <c r="C35" s="1546"/>
      <c r="D35" s="1546"/>
      <c r="E35" s="1546"/>
      <c r="F35" s="1546"/>
      <c r="G35" s="1193"/>
      <c r="H35" s="1531" t="s">
        <v>329</v>
      </c>
      <c r="I35" s="1531"/>
      <c r="J35" s="1531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</sheetData>
  <mergeCells count="28">
    <mergeCell ref="H32:J32"/>
    <mergeCell ref="A13:G13"/>
    <mergeCell ref="A27:B27"/>
    <mergeCell ref="A28:B28"/>
    <mergeCell ref="A29:B29"/>
    <mergeCell ref="A30:B30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4:B34"/>
    <mergeCell ref="C34:F35"/>
    <mergeCell ref="H34:J34"/>
    <mergeCell ref="H35:J35"/>
    <mergeCell ref="H5:I5"/>
    <mergeCell ref="A6:G6"/>
    <mergeCell ref="A7:I7"/>
    <mergeCell ref="A26:B26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43"/>
  <sheetViews>
    <sheetView view="pageBreakPreview" topLeftCell="A5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2.554687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83)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111</v>
      </c>
    </row>
    <row r="8" spans="1:10" s="2" customFormat="1" ht="9.6" customHeight="1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9"/>
    </row>
    <row r="9" spans="1:10" s="2" customFormat="1" ht="26.1" customHeight="1" x14ac:dyDescent="0.3">
      <c r="A9" s="1550" t="s">
        <v>104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'109-клёцки'!H14+1</f>
        <v>83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96" t="s">
        <v>92</v>
      </c>
      <c r="D17" s="96" t="s">
        <v>94</v>
      </c>
      <c r="E17" s="96" t="s">
        <v>93</v>
      </c>
      <c r="F17" s="96" t="s">
        <v>23</v>
      </c>
      <c r="G17" s="96" t="s">
        <v>92</v>
      </c>
      <c r="H17" s="96" t="s">
        <v>94</v>
      </c>
      <c r="I17" s="96" t="s">
        <v>92</v>
      </c>
      <c r="J17" s="96" t="s">
        <v>94</v>
      </c>
    </row>
    <row r="18" spans="1:13" ht="9.6" customHeight="1" x14ac:dyDescent="0.25">
      <c r="A18" s="96">
        <v>1</v>
      </c>
      <c r="B18" s="5">
        <v>2</v>
      </c>
      <c r="C18" s="96">
        <v>3</v>
      </c>
      <c r="D18" s="5">
        <v>4</v>
      </c>
      <c r="E18" s="96">
        <v>5</v>
      </c>
      <c r="F18" s="5">
        <v>6</v>
      </c>
      <c r="G18" s="5">
        <v>8</v>
      </c>
      <c r="H18" s="96">
        <v>9</v>
      </c>
      <c r="I18" s="5">
        <v>10</v>
      </c>
      <c r="J18" s="96">
        <v>11</v>
      </c>
    </row>
    <row r="19" spans="1:13" s="10" customFormat="1" ht="14.1" customHeight="1" x14ac:dyDescent="0.25">
      <c r="A19" s="180">
        <v>1</v>
      </c>
      <c r="B19" s="20" t="s">
        <v>69</v>
      </c>
      <c r="C19" s="111">
        <v>0.08</v>
      </c>
      <c r="D19" s="111">
        <v>0.08</v>
      </c>
      <c r="E19" s="13">
        <f>цены!F88</f>
        <v>50</v>
      </c>
      <c r="F19" s="13">
        <f>C19*E19</f>
        <v>4</v>
      </c>
      <c r="G19" s="97">
        <f t="shared" ref="G19:H28" si="0">C19*10</f>
        <v>0.8</v>
      </c>
      <c r="H19" s="21">
        <f t="shared" si="0"/>
        <v>0.8</v>
      </c>
      <c r="I19" s="21">
        <f t="shared" ref="I19:J28" si="1">C19*100</f>
        <v>8</v>
      </c>
      <c r="J19" s="21">
        <f t="shared" si="1"/>
        <v>8</v>
      </c>
      <c r="L19" s="1018">
        <f>C19/C$33</f>
        <v>0.02</v>
      </c>
      <c r="M19" s="1018">
        <f>F19/C$33</f>
        <v>1</v>
      </c>
    </row>
    <row r="20" spans="1:13" s="10" customFormat="1" ht="14.1" customHeight="1" x14ac:dyDescent="0.25">
      <c r="A20" s="180">
        <v>2</v>
      </c>
      <c r="B20" s="20" t="s">
        <v>47</v>
      </c>
      <c r="C20" s="111">
        <v>0.05</v>
      </c>
      <c r="D20" s="111">
        <v>0.04</v>
      </c>
      <c r="E20" s="13">
        <f>цены!F44</f>
        <v>50</v>
      </c>
      <c r="F20" s="13">
        <f t="shared" ref="F20:F26" si="2">C20*E20</f>
        <v>2.5</v>
      </c>
      <c r="G20" s="97">
        <f t="shared" si="0"/>
        <v>0.5</v>
      </c>
      <c r="H20" s="21">
        <f t="shared" si="0"/>
        <v>0.4</v>
      </c>
      <c r="I20" s="21">
        <f t="shared" si="1"/>
        <v>5</v>
      </c>
      <c r="J20" s="21">
        <f t="shared" si="1"/>
        <v>4</v>
      </c>
      <c r="L20" s="1018">
        <f t="shared" ref="L20:L28" si="3">C20/C$33</f>
        <v>1.2500000000000001E-2</v>
      </c>
      <c r="M20" s="1018">
        <f t="shared" ref="M20:M28" si="4">F20/C$33</f>
        <v>0.625</v>
      </c>
    </row>
    <row r="21" spans="1:13" s="10" customFormat="1" ht="12" customHeight="1" x14ac:dyDescent="0.25">
      <c r="A21" s="180">
        <v>3</v>
      </c>
      <c r="B21" s="20" t="s">
        <v>48</v>
      </c>
      <c r="C21" s="111">
        <v>4.8000000000000001E-2</v>
      </c>
      <c r="D21" s="111">
        <v>0.04</v>
      </c>
      <c r="E21" s="13">
        <f>цены!F38</f>
        <v>50</v>
      </c>
      <c r="F21" s="13">
        <f t="shared" si="2"/>
        <v>2.4</v>
      </c>
      <c r="G21" s="97">
        <f t="shared" si="0"/>
        <v>0.48</v>
      </c>
      <c r="H21" s="21">
        <f t="shared" si="0"/>
        <v>0.4</v>
      </c>
      <c r="I21" s="21">
        <f t="shared" si="1"/>
        <v>4.8</v>
      </c>
      <c r="J21" s="21">
        <f t="shared" si="1"/>
        <v>4</v>
      </c>
      <c r="L21" s="1018">
        <f t="shared" si="3"/>
        <v>1.2E-2</v>
      </c>
      <c r="M21" s="1018">
        <f t="shared" si="4"/>
        <v>0.6</v>
      </c>
    </row>
    <row r="22" spans="1:13" s="10" customFormat="1" ht="12" customHeight="1" x14ac:dyDescent="0.25">
      <c r="A22" s="180">
        <v>4</v>
      </c>
      <c r="B22" s="20" t="s">
        <v>74</v>
      </c>
      <c r="C22" s="111">
        <v>0.02</v>
      </c>
      <c r="D22" s="111">
        <v>0.02</v>
      </c>
      <c r="E22" s="13">
        <f>цены!F87</f>
        <v>120</v>
      </c>
      <c r="F22" s="13">
        <f t="shared" si="2"/>
        <v>2.4</v>
      </c>
      <c r="G22" s="97">
        <f t="shared" si="0"/>
        <v>0.2</v>
      </c>
      <c r="H22" s="21">
        <f t="shared" si="0"/>
        <v>0.2</v>
      </c>
      <c r="I22" s="21">
        <f t="shared" si="1"/>
        <v>2</v>
      </c>
      <c r="J22" s="21">
        <f t="shared" si="1"/>
        <v>2</v>
      </c>
      <c r="L22" s="1018">
        <f t="shared" si="3"/>
        <v>5.0000000000000001E-3</v>
      </c>
      <c r="M22" s="1018">
        <f t="shared" si="4"/>
        <v>0.6</v>
      </c>
    </row>
    <row r="23" spans="1:13" s="10" customFormat="1" ht="12" customHeight="1" x14ac:dyDescent="0.25">
      <c r="A23" s="180">
        <v>5</v>
      </c>
      <c r="B23" s="20" t="s">
        <v>46</v>
      </c>
      <c r="C23" s="111">
        <v>6.0000000000000001E-3</v>
      </c>
      <c r="D23" s="111">
        <v>6.0000000000000001E-3</v>
      </c>
      <c r="E23" s="13">
        <f>цены!F113</f>
        <v>230</v>
      </c>
      <c r="F23" s="13">
        <f t="shared" si="2"/>
        <v>1.38</v>
      </c>
      <c r="G23" s="97">
        <f t="shared" si="0"/>
        <v>0.06</v>
      </c>
      <c r="H23" s="21">
        <f t="shared" si="0"/>
        <v>0.06</v>
      </c>
      <c r="I23" s="21">
        <f t="shared" si="1"/>
        <v>0.6</v>
      </c>
      <c r="J23" s="21">
        <f t="shared" si="1"/>
        <v>0.6</v>
      </c>
      <c r="L23" s="1018">
        <f t="shared" si="3"/>
        <v>1.5E-3</v>
      </c>
      <c r="M23" s="1018">
        <f t="shared" si="4"/>
        <v>0.34499999999999997</v>
      </c>
    </row>
    <row r="24" spans="1:13" s="10" customFormat="1" ht="12" customHeight="1" x14ac:dyDescent="0.25">
      <c r="A24" s="180">
        <v>6</v>
      </c>
      <c r="B24" s="20" t="s">
        <v>73</v>
      </c>
      <c r="C24" s="111">
        <v>0.95</v>
      </c>
      <c r="D24" s="111">
        <v>0.95</v>
      </c>
      <c r="E24" s="13"/>
      <c r="F24" s="13">
        <f t="shared" si="2"/>
        <v>0</v>
      </c>
      <c r="G24" s="97">
        <f t="shared" si="0"/>
        <v>9.5</v>
      </c>
      <c r="H24" s="21">
        <f t="shared" si="0"/>
        <v>9.5</v>
      </c>
      <c r="I24" s="21">
        <f t="shared" si="1"/>
        <v>95</v>
      </c>
      <c r="J24" s="21">
        <f t="shared" si="1"/>
        <v>95</v>
      </c>
      <c r="L24" s="1018">
        <f t="shared" si="3"/>
        <v>0.23749999999999999</v>
      </c>
      <c r="M24" s="1018">
        <f t="shared" si="4"/>
        <v>0</v>
      </c>
    </row>
    <row r="25" spans="1:13" s="10" customFormat="1" ht="12" customHeight="1" x14ac:dyDescent="0.25">
      <c r="A25" s="180">
        <v>7</v>
      </c>
      <c r="B25" s="20" t="s">
        <v>84</v>
      </c>
      <c r="C25" s="113">
        <v>4.0000000000000003E-5</v>
      </c>
      <c r="D25" s="113">
        <v>4.0000000000000003E-5</v>
      </c>
      <c r="E25" s="13">
        <f>цены!F100</f>
        <v>1000</v>
      </c>
      <c r="F25" s="13">
        <f t="shared" si="2"/>
        <v>0.04</v>
      </c>
      <c r="G25" s="97">
        <f t="shared" si="0"/>
        <v>0</v>
      </c>
      <c r="H25" s="21">
        <f t="shared" si="0"/>
        <v>0</v>
      </c>
      <c r="I25" s="21">
        <f t="shared" si="1"/>
        <v>4.0000000000000001E-3</v>
      </c>
      <c r="J25" s="21">
        <f t="shared" si="1"/>
        <v>4.0000000000000001E-3</v>
      </c>
      <c r="L25" s="1018">
        <f t="shared" si="3"/>
        <v>0</v>
      </c>
      <c r="M25" s="1018">
        <f t="shared" si="4"/>
        <v>0.01</v>
      </c>
    </row>
    <row r="26" spans="1:13" s="10" customFormat="1" ht="12" customHeight="1" x14ac:dyDescent="0.25">
      <c r="A26" s="180">
        <v>8</v>
      </c>
      <c r="B26" s="20" t="s">
        <v>33</v>
      </c>
      <c r="C26" s="111">
        <v>0.01</v>
      </c>
      <c r="D26" s="111">
        <v>0.01</v>
      </c>
      <c r="E26" s="13">
        <f>цены!F110</f>
        <v>24</v>
      </c>
      <c r="F26" s="13">
        <f t="shared" si="2"/>
        <v>0.24</v>
      </c>
      <c r="G26" s="97">
        <f t="shared" si="0"/>
        <v>0.1</v>
      </c>
      <c r="H26" s="21">
        <f t="shared" si="0"/>
        <v>0.1</v>
      </c>
      <c r="I26" s="21">
        <f t="shared" si="1"/>
        <v>1</v>
      </c>
      <c r="J26" s="21">
        <f t="shared" si="1"/>
        <v>1</v>
      </c>
      <c r="L26" s="1018">
        <f t="shared" si="3"/>
        <v>2.5000000000000001E-3</v>
      </c>
      <c r="M26" s="1018">
        <f t="shared" si="4"/>
        <v>0.06</v>
      </c>
    </row>
    <row r="27" spans="1:13" s="10" customFormat="1" ht="12" customHeight="1" x14ac:dyDescent="0.25">
      <c r="A27" s="180">
        <v>9</v>
      </c>
      <c r="B27" s="20" t="s">
        <v>51</v>
      </c>
      <c r="C27" s="111">
        <v>0.02</v>
      </c>
      <c r="D27" s="111">
        <v>0.02</v>
      </c>
      <c r="E27" s="13">
        <f>цены!F24</f>
        <v>234</v>
      </c>
      <c r="F27" s="13">
        <f>C27*E27</f>
        <v>4.68</v>
      </c>
      <c r="G27" s="97">
        <f t="shared" si="0"/>
        <v>0.2</v>
      </c>
      <c r="H27" s="21">
        <f t="shared" si="0"/>
        <v>0.2</v>
      </c>
      <c r="I27" s="21">
        <f t="shared" si="1"/>
        <v>2</v>
      </c>
      <c r="J27" s="21">
        <f t="shared" si="1"/>
        <v>2</v>
      </c>
      <c r="L27" s="1018">
        <f t="shared" si="3"/>
        <v>5.0000000000000001E-3</v>
      </c>
      <c r="M27" s="1018">
        <f t="shared" si="4"/>
        <v>1.17</v>
      </c>
    </row>
    <row r="28" spans="1:13" s="10" customFormat="1" ht="12" customHeight="1" x14ac:dyDescent="0.25">
      <c r="A28" s="180">
        <v>10</v>
      </c>
      <c r="B28" s="20" t="s">
        <v>78</v>
      </c>
      <c r="C28" s="111">
        <f>0.002*C33</f>
        <v>8.0000000000000002E-3</v>
      </c>
      <c r="D28" s="111">
        <f>0.002*C33</f>
        <v>8.0000000000000002E-3</v>
      </c>
      <c r="E28" s="13">
        <f>цены!F48</f>
        <v>300</v>
      </c>
      <c r="F28" s="13">
        <f>C28*E28</f>
        <v>2.4</v>
      </c>
      <c r="G28" s="97">
        <f t="shared" si="0"/>
        <v>0.08</v>
      </c>
      <c r="H28" s="21">
        <f t="shared" si="0"/>
        <v>0.08</v>
      </c>
      <c r="I28" s="21">
        <f t="shared" si="1"/>
        <v>0.8</v>
      </c>
      <c r="J28" s="21">
        <f t="shared" si="1"/>
        <v>0.8</v>
      </c>
      <c r="L28" s="1018">
        <f t="shared" si="3"/>
        <v>2E-3</v>
      </c>
      <c r="M28" s="1018">
        <f t="shared" si="4"/>
        <v>0.6</v>
      </c>
    </row>
    <row r="29" spans="1:13" s="10" customFormat="1" ht="12" customHeight="1" x14ac:dyDescent="0.25">
      <c r="A29" s="98"/>
      <c r="B29" s="93" t="s">
        <v>100</v>
      </c>
      <c r="C29" s="112"/>
      <c r="D29" s="112">
        <v>1</v>
      </c>
      <c r="E29" s="95"/>
      <c r="F29" s="95">
        <f>SUM(F19:F28)</f>
        <v>20.04</v>
      </c>
      <c r="G29" s="99"/>
      <c r="H29" s="100">
        <f>D29*10</f>
        <v>10</v>
      </c>
      <c r="I29" s="100"/>
      <c r="J29" s="100">
        <f>D29*100</f>
        <v>100</v>
      </c>
      <c r="L29" s="1018">
        <f>SUM(L19:L28)</f>
        <v>0.29799999999999999</v>
      </c>
      <c r="M29" s="1018">
        <f>SUM(M19:M28)</f>
        <v>5.01</v>
      </c>
    </row>
    <row r="30" spans="1:13" s="10" customFormat="1" ht="27.6" customHeight="1" x14ac:dyDescent="0.25">
      <c r="A30" s="1536" t="s">
        <v>35</v>
      </c>
      <c r="B30" s="1536"/>
      <c r="C30" s="90"/>
      <c r="D30" s="90"/>
      <c r="E30" s="13"/>
      <c r="F30" s="13">
        <f>F29</f>
        <v>20.04</v>
      </c>
      <c r="G30" s="14"/>
      <c r="H30" s="14"/>
      <c r="I30" s="21"/>
      <c r="J30" s="13"/>
    </row>
    <row r="31" spans="1:13" s="10" customFormat="1" ht="25.35" customHeight="1" x14ac:dyDescent="0.25">
      <c r="A31" s="1536" t="s">
        <v>36</v>
      </c>
      <c r="B31" s="1536"/>
      <c r="C31" s="90">
        <v>1000</v>
      </c>
      <c r="D31" s="90"/>
      <c r="E31" s="13"/>
      <c r="F31" s="13"/>
      <c r="G31" s="13"/>
      <c r="H31" s="13"/>
      <c r="I31" s="21"/>
      <c r="J31" s="17"/>
    </row>
    <row r="32" spans="1:13" s="10" customFormat="1" ht="25.35" customHeight="1" x14ac:dyDescent="0.25">
      <c r="A32" s="1537" t="s">
        <v>37</v>
      </c>
      <c r="B32" s="1538"/>
      <c r="C32" s="91">
        <v>250</v>
      </c>
      <c r="D32" s="92"/>
      <c r="E32" s="5"/>
      <c r="F32" s="5"/>
      <c r="G32" s="5"/>
      <c r="H32" s="5"/>
      <c r="I32" s="21"/>
      <c r="J32" s="17"/>
    </row>
    <row r="33" spans="1:10" s="10" customFormat="1" ht="15" customHeight="1" x14ac:dyDescent="0.25">
      <c r="A33" s="1539" t="s">
        <v>38</v>
      </c>
      <c r="B33" s="1540"/>
      <c r="C33" s="92">
        <f>C31/C32</f>
        <v>4</v>
      </c>
      <c r="D33" s="92"/>
      <c r="E33" s="5"/>
      <c r="F33" s="5"/>
      <c r="G33" s="5"/>
      <c r="H33" s="5"/>
      <c r="I33" s="21"/>
      <c r="J33" s="17"/>
    </row>
    <row r="34" spans="1:10" ht="16.350000000000001" customHeight="1" x14ac:dyDescent="0.25">
      <c r="A34" s="1541" t="s">
        <v>39</v>
      </c>
      <c r="B34" s="1542"/>
      <c r="C34" s="15" t="s">
        <v>40</v>
      </c>
      <c r="D34" s="102"/>
      <c r="E34" s="102" t="s">
        <v>40</v>
      </c>
      <c r="F34" s="16">
        <f>F30/C33</f>
        <v>5.01</v>
      </c>
      <c r="G34" s="16"/>
      <c r="H34" s="16"/>
      <c r="I34" s="102" t="s">
        <v>40</v>
      </c>
      <c r="J34" s="102" t="s">
        <v>40</v>
      </c>
    </row>
    <row r="35" spans="1:10" ht="23.1" customHeight="1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ht="13.95" customHeight="1" x14ac:dyDescent="0.25">
      <c r="A36" s="1193"/>
      <c r="B36" s="1194" t="s">
        <v>49</v>
      </c>
      <c r="C36" s="1198"/>
      <c r="D36" s="1198"/>
      <c r="E36" s="1198"/>
      <c r="F36" s="1198"/>
      <c r="G36" s="1193"/>
      <c r="H36" s="1556">
        <f>'1-бутерброд с маслом'!$H$28</f>
        <v>0</v>
      </c>
      <c r="I36" s="1556"/>
      <c r="J36" s="1556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ht="13.95" customHeight="1" x14ac:dyDescent="0.25">
      <c r="A38" s="1545" t="s">
        <v>327</v>
      </c>
      <c r="B38" s="1545"/>
      <c r="C38" s="1546" t="s">
        <v>328</v>
      </c>
      <c r="D38" s="1546"/>
      <c r="E38" s="1546"/>
      <c r="F38" s="1546"/>
      <c r="G38" s="106"/>
      <c r="H38" s="1531"/>
      <c r="I38" s="1531"/>
      <c r="J38" s="1531"/>
    </row>
    <row r="39" spans="1:10" x14ac:dyDescent="0.25">
      <c r="A39" s="1193"/>
      <c r="B39" s="1193"/>
      <c r="C39" s="1546"/>
      <c r="D39" s="1546"/>
      <c r="E39" s="1546"/>
      <c r="F39" s="1546"/>
      <c r="G39" s="1193"/>
      <c r="H39" s="1531" t="s">
        <v>329</v>
      </c>
      <c r="I39" s="1531"/>
      <c r="J39" s="1531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  <row r="43" spans="1:10" x14ac:dyDescent="0.25">
      <c r="A43" s="1193"/>
      <c r="B43" s="1193"/>
      <c r="C43" s="1193"/>
      <c r="D43" s="1193"/>
      <c r="E43" s="1193"/>
      <c r="F43" s="1193"/>
      <c r="G43" s="1193"/>
      <c r="H43" s="1193"/>
      <c r="I43" s="1193"/>
      <c r="J43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8:B38"/>
    <mergeCell ref="C38:F39"/>
    <mergeCell ref="H38:J38"/>
    <mergeCell ref="H39:J39"/>
    <mergeCell ref="A31:B31"/>
    <mergeCell ref="A32:B32"/>
    <mergeCell ref="A33:B33"/>
    <mergeCell ref="A34:B34"/>
    <mergeCell ref="H36:J36"/>
    <mergeCell ref="A30:B30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40"/>
  <sheetViews>
    <sheetView view="pageBreakPreview" topLeftCell="A4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1.109375" customWidth="1"/>
    <col min="3" max="7" width="7.5546875" customWidth="1"/>
    <col min="8" max="8" width="8.88671875" customWidth="1"/>
    <col min="9" max="9" width="7.5546875" customWidth="1"/>
    <col min="10" max="10" width="9" customWidth="1"/>
    <col min="11" max="11" width="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84)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113</v>
      </c>
    </row>
    <row r="8" spans="1:10" s="2" customFormat="1" ht="9.6" customHeight="1" x14ac:dyDescent="0.25">
      <c r="A8" s="294"/>
      <c r="B8" s="294"/>
      <c r="C8" s="294"/>
      <c r="D8" s="294"/>
      <c r="E8" s="294"/>
      <c r="F8" s="294"/>
      <c r="G8" s="294"/>
      <c r="H8" s="294"/>
      <c r="I8" s="294"/>
      <c r="J8" s="109"/>
    </row>
    <row r="9" spans="1:10" s="2" customFormat="1" ht="26.1" customHeight="1" x14ac:dyDescent="0.3">
      <c r="A9" s="1550" t="s">
        <v>548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'111-суп макарон'!H14+1</f>
        <v>84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295" t="s">
        <v>92</v>
      </c>
      <c r="D17" s="295" t="s">
        <v>94</v>
      </c>
      <c r="E17" s="295" t="s">
        <v>93</v>
      </c>
      <c r="F17" s="295" t="s">
        <v>23</v>
      </c>
      <c r="G17" s="295" t="s">
        <v>92</v>
      </c>
      <c r="H17" s="295" t="s">
        <v>94</v>
      </c>
      <c r="I17" s="295" t="s">
        <v>92</v>
      </c>
      <c r="J17" s="295" t="s">
        <v>94</v>
      </c>
    </row>
    <row r="18" spans="1:13" ht="9.6" customHeight="1" x14ac:dyDescent="0.25">
      <c r="A18" s="295">
        <v>1</v>
      </c>
      <c r="B18" s="296">
        <v>2</v>
      </c>
      <c r="C18" s="295">
        <v>3</v>
      </c>
      <c r="D18" s="296">
        <v>4</v>
      </c>
      <c r="E18" s="295">
        <v>5</v>
      </c>
      <c r="F18" s="296">
        <v>6</v>
      </c>
      <c r="G18" s="296">
        <v>8</v>
      </c>
      <c r="H18" s="295">
        <v>9</v>
      </c>
      <c r="I18" s="296">
        <v>10</v>
      </c>
      <c r="J18" s="295">
        <v>11</v>
      </c>
    </row>
    <row r="19" spans="1:13" s="10" customFormat="1" ht="14.1" customHeight="1" x14ac:dyDescent="0.25">
      <c r="A19" s="180">
        <v>1</v>
      </c>
      <c r="B19" s="20" t="s">
        <v>553</v>
      </c>
      <c r="C19" s="111">
        <v>0.08</v>
      </c>
      <c r="D19" s="111">
        <v>0.08</v>
      </c>
      <c r="E19" s="13">
        <f>'114-лапша'!F29</f>
        <v>77.55</v>
      </c>
      <c r="F19" s="13">
        <f>C19*E19</f>
        <v>6.2</v>
      </c>
      <c r="G19" s="97">
        <f t="shared" ref="G19:H25" si="0">C19*10</f>
        <v>0.8</v>
      </c>
      <c r="H19" s="21">
        <f t="shared" si="0"/>
        <v>0.8</v>
      </c>
      <c r="I19" s="21">
        <f t="shared" ref="I19:J25" si="1">C19*100</f>
        <v>8</v>
      </c>
      <c r="J19" s="21">
        <f t="shared" si="1"/>
        <v>8</v>
      </c>
      <c r="L19" s="1018">
        <f>C19/C$30</f>
        <v>0.02</v>
      </c>
      <c r="M19" s="1018">
        <f>F19/C$30</f>
        <v>1.55</v>
      </c>
    </row>
    <row r="20" spans="1:13" s="10" customFormat="1" ht="14.1" customHeight="1" x14ac:dyDescent="0.25">
      <c r="A20" s="184"/>
      <c r="B20" s="93" t="s">
        <v>554</v>
      </c>
      <c r="C20" s="112"/>
      <c r="D20" s="112">
        <v>0.2</v>
      </c>
      <c r="E20" s="95"/>
      <c r="F20" s="95"/>
      <c r="G20" s="99">
        <f t="shared" si="0"/>
        <v>0</v>
      </c>
      <c r="H20" s="100">
        <f t="shared" si="0"/>
        <v>2</v>
      </c>
      <c r="I20" s="100">
        <f t="shared" si="1"/>
        <v>0</v>
      </c>
      <c r="J20" s="100">
        <f t="shared" si="1"/>
        <v>20</v>
      </c>
      <c r="L20" s="1018"/>
      <c r="M20" s="1018"/>
    </row>
    <row r="21" spans="1:13" s="10" customFormat="1" ht="12" customHeight="1" x14ac:dyDescent="0.25">
      <c r="A21" s="180">
        <v>2</v>
      </c>
      <c r="B21" s="20" t="s">
        <v>48</v>
      </c>
      <c r="C21" s="111">
        <v>4.8000000000000001E-2</v>
      </c>
      <c r="D21" s="111">
        <v>0.04</v>
      </c>
      <c r="E21" s="13">
        <f>цены!F38</f>
        <v>50</v>
      </c>
      <c r="F21" s="13">
        <f>C21*E21</f>
        <v>2.4</v>
      </c>
      <c r="G21" s="97">
        <f t="shared" si="0"/>
        <v>0.48</v>
      </c>
      <c r="H21" s="21">
        <f t="shared" si="0"/>
        <v>0.4</v>
      </c>
      <c r="I21" s="21">
        <f t="shared" si="1"/>
        <v>4.8</v>
      </c>
      <c r="J21" s="21">
        <f t="shared" si="1"/>
        <v>4</v>
      </c>
      <c r="L21" s="1018">
        <f t="shared" ref="L21:L25" si="2">C21/C$30</f>
        <v>1.2E-2</v>
      </c>
      <c r="M21" s="1018">
        <f t="shared" ref="M21:M25" si="3">F21/C$30</f>
        <v>0.6</v>
      </c>
    </row>
    <row r="22" spans="1:13" s="10" customFormat="1" ht="12" customHeight="1" x14ac:dyDescent="0.25">
      <c r="A22" s="180">
        <v>3</v>
      </c>
      <c r="B22" s="20" t="s">
        <v>74</v>
      </c>
      <c r="C22" s="111">
        <v>0.02</v>
      </c>
      <c r="D22" s="111">
        <v>0.02</v>
      </c>
      <c r="E22" s="13">
        <f>цены!F87</f>
        <v>120</v>
      </c>
      <c r="F22" s="13">
        <f>C22*E22</f>
        <v>2.4</v>
      </c>
      <c r="G22" s="97">
        <f t="shared" si="0"/>
        <v>0.2</v>
      </c>
      <c r="H22" s="21">
        <f t="shared" si="0"/>
        <v>0.2</v>
      </c>
      <c r="I22" s="21">
        <f t="shared" si="1"/>
        <v>2</v>
      </c>
      <c r="J22" s="21">
        <f t="shared" si="1"/>
        <v>2</v>
      </c>
      <c r="L22" s="1018">
        <f t="shared" si="2"/>
        <v>5.0000000000000001E-3</v>
      </c>
      <c r="M22" s="1018">
        <f t="shared" si="3"/>
        <v>0.6</v>
      </c>
    </row>
    <row r="23" spans="1:13" s="10" customFormat="1" ht="12" customHeight="1" x14ac:dyDescent="0.25">
      <c r="A23" s="180">
        <v>4</v>
      </c>
      <c r="B23" s="20" t="s">
        <v>141</v>
      </c>
      <c r="C23" s="111"/>
      <c r="D23" s="111"/>
      <c r="E23" s="13"/>
      <c r="F23" s="13">
        <f>C23*E23</f>
        <v>0</v>
      </c>
      <c r="G23" s="97">
        <f t="shared" si="0"/>
        <v>0</v>
      </c>
      <c r="H23" s="21">
        <f t="shared" si="0"/>
        <v>0</v>
      </c>
      <c r="I23" s="21">
        <f t="shared" si="1"/>
        <v>0</v>
      </c>
      <c r="J23" s="21">
        <f t="shared" si="1"/>
        <v>0</v>
      </c>
      <c r="L23" s="1018">
        <f t="shared" si="2"/>
        <v>0</v>
      </c>
      <c r="M23" s="1018">
        <f t="shared" si="3"/>
        <v>0</v>
      </c>
    </row>
    <row r="24" spans="1:13" s="10" customFormat="1" ht="12" customHeight="1" x14ac:dyDescent="0.25">
      <c r="A24" s="180">
        <v>6</v>
      </c>
      <c r="B24" s="20" t="s">
        <v>51</v>
      </c>
      <c r="C24" s="111">
        <v>0.02</v>
      </c>
      <c r="D24" s="111">
        <v>0.02</v>
      </c>
      <c r="E24" s="13">
        <f>цены!F24</f>
        <v>234</v>
      </c>
      <c r="F24" s="13">
        <f>C24*E24</f>
        <v>4.68</v>
      </c>
      <c r="G24" s="97">
        <f t="shared" si="0"/>
        <v>0.2</v>
      </c>
      <c r="H24" s="21">
        <f t="shared" si="0"/>
        <v>0.2</v>
      </c>
      <c r="I24" s="21">
        <f t="shared" si="1"/>
        <v>2</v>
      </c>
      <c r="J24" s="21">
        <f t="shared" si="1"/>
        <v>2</v>
      </c>
      <c r="L24" s="1018">
        <f t="shared" si="2"/>
        <v>5.0000000000000001E-3</v>
      </c>
      <c r="M24" s="1018">
        <f t="shared" si="3"/>
        <v>1.17</v>
      </c>
    </row>
    <row r="25" spans="1:13" s="10" customFormat="1" ht="12" customHeight="1" x14ac:dyDescent="0.25">
      <c r="A25" s="180">
        <v>7</v>
      </c>
      <c r="B25" s="20" t="s">
        <v>78</v>
      </c>
      <c r="C25" s="111">
        <f>0.002*C30</f>
        <v>8.0000000000000002E-3</v>
      </c>
      <c r="D25" s="111">
        <f>0.002*C30</f>
        <v>8.0000000000000002E-3</v>
      </c>
      <c r="E25" s="13">
        <f>цены!F48</f>
        <v>300</v>
      </c>
      <c r="F25" s="13">
        <f>C25*E25</f>
        <v>2.4</v>
      </c>
      <c r="G25" s="97">
        <f t="shared" si="0"/>
        <v>0.08</v>
      </c>
      <c r="H25" s="21">
        <f t="shared" si="0"/>
        <v>0.08</v>
      </c>
      <c r="I25" s="21">
        <f t="shared" si="1"/>
        <v>0.8</v>
      </c>
      <c r="J25" s="21">
        <f t="shared" si="1"/>
        <v>0.8</v>
      </c>
      <c r="L25" s="1018">
        <f t="shared" si="2"/>
        <v>2E-3</v>
      </c>
      <c r="M25" s="1018">
        <f t="shared" si="3"/>
        <v>0.6</v>
      </c>
    </row>
    <row r="26" spans="1:13" s="10" customFormat="1" ht="12" customHeight="1" x14ac:dyDescent="0.25">
      <c r="A26" s="98"/>
      <c r="B26" s="93" t="s">
        <v>100</v>
      </c>
      <c r="C26" s="112"/>
      <c r="D26" s="112">
        <v>1</v>
      </c>
      <c r="E26" s="95"/>
      <c r="F26" s="95">
        <f>SUM(F19:F25)</f>
        <v>18.079999999999998</v>
      </c>
      <c r="G26" s="99"/>
      <c r="H26" s="100">
        <f>D26*10</f>
        <v>10</v>
      </c>
      <c r="I26" s="100"/>
      <c r="J26" s="100">
        <f>D26*100</f>
        <v>100</v>
      </c>
      <c r="L26" s="1018">
        <f>SUM(L19:L25)</f>
        <v>4.3999999999999997E-2</v>
      </c>
      <c r="M26" s="1018">
        <f>SUM(M19:M25)</f>
        <v>4.5199999999999996</v>
      </c>
    </row>
    <row r="27" spans="1:13" s="10" customFormat="1" ht="27.6" customHeight="1" x14ac:dyDescent="0.25">
      <c r="A27" s="1536" t="s">
        <v>35</v>
      </c>
      <c r="B27" s="1536"/>
      <c r="C27" s="90"/>
      <c r="D27" s="90"/>
      <c r="E27" s="13"/>
      <c r="F27" s="13">
        <f>F26</f>
        <v>18.079999999999998</v>
      </c>
      <c r="G27" s="297"/>
      <c r="H27" s="297"/>
      <c r="I27" s="21"/>
      <c r="J27" s="13"/>
    </row>
    <row r="28" spans="1:13" s="10" customFormat="1" ht="25.35" customHeight="1" x14ac:dyDescent="0.25">
      <c r="A28" s="1536" t="s">
        <v>36</v>
      </c>
      <c r="B28" s="1536"/>
      <c r="C28" s="90">
        <v>1000</v>
      </c>
      <c r="D28" s="90"/>
      <c r="E28" s="13"/>
      <c r="F28" s="13"/>
      <c r="G28" s="13"/>
      <c r="H28" s="13"/>
      <c r="I28" s="21"/>
      <c r="J28" s="17"/>
    </row>
    <row r="29" spans="1:13" s="10" customFormat="1" ht="25.35" customHeight="1" x14ac:dyDescent="0.25">
      <c r="A29" s="1537" t="s">
        <v>37</v>
      </c>
      <c r="B29" s="1538"/>
      <c r="C29" s="91">
        <v>250</v>
      </c>
      <c r="D29" s="92"/>
      <c r="E29" s="296"/>
      <c r="F29" s="296"/>
      <c r="G29" s="296"/>
      <c r="H29" s="296"/>
      <c r="I29" s="21"/>
      <c r="J29" s="17"/>
    </row>
    <row r="30" spans="1:13" s="10" customFormat="1" ht="15" customHeight="1" x14ac:dyDescent="0.25">
      <c r="A30" s="1539" t="s">
        <v>38</v>
      </c>
      <c r="B30" s="1540"/>
      <c r="C30" s="92">
        <f>C28/C29</f>
        <v>4</v>
      </c>
      <c r="D30" s="92"/>
      <c r="E30" s="296"/>
      <c r="F30" s="296"/>
      <c r="G30" s="296"/>
      <c r="H30" s="296"/>
      <c r="I30" s="21"/>
      <c r="J30" s="17"/>
    </row>
    <row r="31" spans="1:13" ht="16.350000000000001" customHeight="1" x14ac:dyDescent="0.25">
      <c r="A31" s="1541" t="s">
        <v>39</v>
      </c>
      <c r="B31" s="1542"/>
      <c r="C31" s="15" t="s">
        <v>40</v>
      </c>
      <c r="D31" s="102"/>
      <c r="E31" s="102" t="s">
        <v>40</v>
      </c>
      <c r="F31" s="16">
        <f>F27/C30</f>
        <v>4.5199999999999996</v>
      </c>
      <c r="G31" s="16"/>
      <c r="H31" s="16"/>
      <c r="I31" s="102" t="s">
        <v>40</v>
      </c>
      <c r="J31" s="102" t="s">
        <v>40</v>
      </c>
    </row>
    <row r="32" spans="1:13" ht="23.1" customHeight="1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193"/>
      <c r="B33" s="1194" t="s">
        <v>49</v>
      </c>
      <c r="C33" s="1198"/>
      <c r="D33" s="1198"/>
      <c r="E33" s="1198"/>
      <c r="F33" s="1198"/>
      <c r="G33" s="1193"/>
      <c r="H33" s="1556">
        <f>'1-бутерброд с маслом'!$H$28</f>
        <v>0</v>
      </c>
      <c r="I33" s="1556"/>
      <c r="J33" s="1556"/>
    </row>
    <row r="34" spans="1:10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545" t="s">
        <v>327</v>
      </c>
      <c r="B35" s="1545"/>
      <c r="C35" s="1546" t="s">
        <v>328</v>
      </c>
      <c r="D35" s="1546"/>
      <c r="E35" s="1546"/>
      <c r="F35" s="1546"/>
      <c r="G35" s="106"/>
      <c r="H35" s="1531"/>
      <c r="I35" s="1531"/>
      <c r="J35" s="1531"/>
    </row>
    <row r="36" spans="1:10" x14ac:dyDescent="0.25">
      <c r="A36" s="1193"/>
      <c r="B36" s="1193"/>
      <c r="C36" s="1546"/>
      <c r="D36" s="1546"/>
      <c r="E36" s="1546"/>
      <c r="F36" s="1546"/>
      <c r="G36" s="1193"/>
      <c r="H36" s="1531" t="s">
        <v>329</v>
      </c>
      <c r="I36" s="1531"/>
      <c r="J36" s="1531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5:B35"/>
    <mergeCell ref="C35:F36"/>
    <mergeCell ref="H35:J35"/>
    <mergeCell ref="H36:J36"/>
    <mergeCell ref="A28:B28"/>
    <mergeCell ref="A29:B29"/>
    <mergeCell ref="A30:B30"/>
    <mergeCell ref="A31:B31"/>
    <mergeCell ref="H33:J33"/>
    <mergeCell ref="A27:B27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75E5"/>
  </sheetPr>
  <dimension ref="A1:J31"/>
  <sheetViews>
    <sheetView view="pageBreakPreview" topLeftCell="A17" zoomScaleNormal="100" zoomScaleSheetLayoutView="100" workbookViewId="0">
      <selection activeCell="H28" sqref="H28:J28"/>
    </sheetView>
  </sheetViews>
  <sheetFormatPr defaultRowHeight="13.8" x14ac:dyDescent="0.25"/>
  <cols>
    <col min="1" max="1" width="4.109375" customWidth="1"/>
    <col min="2" max="2" width="20.5546875" customWidth="1"/>
    <col min="3" max="7" width="7.5546875" customWidth="1"/>
    <col min="8" max="8" width="8.88671875" customWidth="1"/>
    <col min="9" max="9" width="7.5546875" customWidth="1"/>
    <col min="10" max="10" width="9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4)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70"/>
      <c r="I6" s="170"/>
      <c r="J6" s="105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6</v>
      </c>
    </row>
    <row r="8" spans="1:10" s="2" customFormat="1" ht="16.350000000000001" customHeight="1" x14ac:dyDescent="0.25">
      <c r="A8" s="171"/>
      <c r="B8" s="171"/>
      <c r="C8" s="171"/>
      <c r="D8" s="171"/>
      <c r="E8" s="171"/>
      <c r="F8" s="171"/>
      <c r="G8" s="171"/>
      <c r="H8" s="171"/>
      <c r="I8" s="171"/>
      <c r="J8" s="107"/>
    </row>
    <row r="9" spans="1:10" s="2" customFormat="1" ht="26.1" customHeight="1" x14ac:dyDescent="0.3">
      <c r="A9" s="1550" t="s">
        <v>331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5.6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'3-бутерброд с сыром'!H14+1</f>
        <v>4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0" ht="26.4" customHeight="1" x14ac:dyDescent="0.25">
      <c r="A17" s="1543"/>
      <c r="B17" s="1543"/>
      <c r="C17" s="172" t="s">
        <v>92</v>
      </c>
      <c r="D17" s="172" t="s">
        <v>94</v>
      </c>
      <c r="E17" s="172" t="s">
        <v>93</v>
      </c>
      <c r="F17" s="172" t="s">
        <v>23</v>
      </c>
      <c r="G17" s="172" t="s">
        <v>92</v>
      </c>
      <c r="H17" s="172" t="s">
        <v>94</v>
      </c>
      <c r="I17" s="172" t="s">
        <v>92</v>
      </c>
      <c r="J17" s="172" t="s">
        <v>94</v>
      </c>
    </row>
    <row r="18" spans="1:10" ht="9.6" customHeight="1" x14ac:dyDescent="0.25">
      <c r="A18" s="172">
        <v>1</v>
      </c>
      <c r="B18" s="173">
        <v>2</v>
      </c>
      <c r="C18" s="172">
        <v>3</v>
      </c>
      <c r="D18" s="173">
        <v>4</v>
      </c>
      <c r="E18" s="172">
        <v>5</v>
      </c>
      <c r="F18" s="173">
        <v>6</v>
      </c>
      <c r="G18" s="172">
        <v>7</v>
      </c>
      <c r="H18" s="173">
        <v>8</v>
      </c>
      <c r="I18" s="172">
        <v>9</v>
      </c>
      <c r="J18" s="173">
        <v>10</v>
      </c>
    </row>
    <row r="19" spans="1:10" s="10" customFormat="1" ht="14.1" customHeight="1" x14ac:dyDescent="0.25">
      <c r="A19" s="180">
        <v>1</v>
      </c>
      <c r="B19" s="20" t="s">
        <v>326</v>
      </c>
      <c r="C19" s="111">
        <v>2.1000000000000001E-2</v>
      </c>
      <c r="D19" s="111">
        <v>0.02</v>
      </c>
      <c r="E19" s="13">
        <f>цены!F12</f>
        <v>400</v>
      </c>
      <c r="F19" s="13">
        <f>C19*E19</f>
        <v>8.4</v>
      </c>
      <c r="G19" s="97">
        <f>C19*10</f>
        <v>0.21</v>
      </c>
      <c r="H19" s="21">
        <f>D19*10</f>
        <v>0.2</v>
      </c>
      <c r="I19" s="21">
        <f>C19*100</f>
        <v>2.1</v>
      </c>
      <c r="J19" s="21">
        <f>D19*100</f>
        <v>2</v>
      </c>
    </row>
    <row r="20" spans="1:10" s="10" customFormat="1" ht="12" customHeight="1" x14ac:dyDescent="0.25">
      <c r="A20" s="180">
        <v>2</v>
      </c>
      <c r="B20" s="20" t="s">
        <v>205</v>
      </c>
      <c r="C20" s="111">
        <v>0.03</v>
      </c>
      <c r="D20" s="111">
        <v>0.03</v>
      </c>
      <c r="E20" s="13">
        <f>цены!F159</f>
        <v>69</v>
      </c>
      <c r="F20" s="13">
        <f>C20*E20</f>
        <v>2.0699999999999998</v>
      </c>
      <c r="G20" s="97">
        <f>C20*10</f>
        <v>0.3</v>
      </c>
      <c r="H20" s="21">
        <f>D20*10</f>
        <v>0.3</v>
      </c>
      <c r="I20" s="21">
        <f>C20*100</f>
        <v>3</v>
      </c>
      <c r="J20" s="21">
        <f>D20*100</f>
        <v>3</v>
      </c>
    </row>
    <row r="21" spans="1:10" s="10" customFormat="1" ht="12" customHeight="1" x14ac:dyDescent="0.25">
      <c r="A21" s="98"/>
      <c r="B21" s="93" t="s">
        <v>100</v>
      </c>
      <c r="C21" s="100"/>
      <c r="D21" s="100">
        <v>0.05</v>
      </c>
      <c r="E21" s="95"/>
      <c r="F21" s="95">
        <f>SUM(F19:F20)</f>
        <v>10.47</v>
      </c>
      <c r="G21" s="99"/>
      <c r="H21" s="100">
        <f>D21*10</f>
        <v>0.5</v>
      </c>
      <c r="I21" s="100"/>
      <c r="J21" s="100">
        <f>D21*100</f>
        <v>5</v>
      </c>
    </row>
    <row r="22" spans="1:10" s="10" customFormat="1" ht="27.6" customHeight="1" x14ac:dyDescent="0.25">
      <c r="A22" s="1536" t="s">
        <v>35</v>
      </c>
      <c r="B22" s="1536"/>
      <c r="C22" s="90"/>
      <c r="D22" s="90"/>
      <c r="E22" s="13"/>
      <c r="F22" s="13">
        <f>F21</f>
        <v>10.47</v>
      </c>
      <c r="G22" s="174"/>
      <c r="H22" s="174"/>
      <c r="I22" s="21"/>
      <c r="J22" s="13"/>
    </row>
    <row r="23" spans="1:10" s="10" customFormat="1" ht="25.35" customHeight="1" x14ac:dyDescent="0.25">
      <c r="A23" s="1536" t="s">
        <v>36</v>
      </c>
      <c r="B23" s="1536"/>
      <c r="C23" s="90">
        <v>50</v>
      </c>
      <c r="D23" s="90"/>
      <c r="E23" s="13"/>
      <c r="F23" s="13"/>
      <c r="G23" s="13"/>
      <c r="H23" s="13"/>
      <c r="I23" s="21"/>
      <c r="J23" s="17"/>
    </row>
    <row r="24" spans="1:10" s="10" customFormat="1" ht="25.35" customHeight="1" x14ac:dyDescent="0.25">
      <c r="A24" s="1537" t="s">
        <v>37</v>
      </c>
      <c r="B24" s="1538"/>
      <c r="C24" s="91">
        <v>50</v>
      </c>
      <c r="D24" s="92"/>
      <c r="E24" s="173"/>
      <c r="F24" s="173"/>
      <c r="G24" s="173"/>
      <c r="H24" s="173"/>
      <c r="I24" s="21"/>
      <c r="J24" s="17"/>
    </row>
    <row r="25" spans="1:10" s="10" customFormat="1" ht="15" customHeight="1" x14ac:dyDescent="0.25">
      <c r="A25" s="1539" t="s">
        <v>38</v>
      </c>
      <c r="B25" s="1540"/>
      <c r="C25" s="92">
        <f>C23/C24</f>
        <v>1</v>
      </c>
      <c r="D25" s="92"/>
      <c r="E25" s="173"/>
      <c r="F25" s="173"/>
      <c r="G25" s="173"/>
      <c r="H25" s="173"/>
      <c r="I25" s="21"/>
      <c r="J25" s="17"/>
    </row>
    <row r="26" spans="1:10" ht="16.350000000000001" customHeight="1" x14ac:dyDescent="0.25">
      <c r="A26" s="1541" t="s">
        <v>39</v>
      </c>
      <c r="B26" s="1542"/>
      <c r="C26" s="15" t="s">
        <v>40</v>
      </c>
      <c r="D26" s="102"/>
      <c r="E26" s="102" t="s">
        <v>40</v>
      </c>
      <c r="F26" s="16">
        <f>F22/C25</f>
        <v>10.47</v>
      </c>
      <c r="G26" s="16"/>
      <c r="H26" s="16"/>
      <c r="I26" s="102" t="s">
        <v>40</v>
      </c>
      <c r="J26" s="102" t="s">
        <v>40</v>
      </c>
    </row>
    <row r="27" spans="1:10" x14ac:dyDescent="0.25">
      <c r="A27" s="1193"/>
      <c r="B27" s="1193"/>
      <c r="C27" s="1193"/>
      <c r="D27" s="1193"/>
      <c r="E27" s="1193"/>
      <c r="F27" s="1193"/>
      <c r="G27" s="1193"/>
      <c r="H27" s="1193"/>
      <c r="I27" s="1193"/>
      <c r="J27" s="1193"/>
    </row>
    <row r="28" spans="1:10" ht="13.95" customHeight="1" x14ac:dyDescent="0.25">
      <c r="A28" s="1193"/>
      <c r="B28" s="1194" t="s">
        <v>49</v>
      </c>
      <c r="C28" s="1198"/>
      <c r="D28" s="1198"/>
      <c r="E28" s="1198"/>
      <c r="F28" s="1198"/>
      <c r="G28" s="1193"/>
      <c r="H28" s="1557">
        <f>'1-бутерброд с маслом'!$H$28</f>
        <v>0</v>
      </c>
      <c r="I28" s="1557"/>
      <c r="J28" s="1557"/>
    </row>
    <row r="29" spans="1:10" x14ac:dyDescent="0.25">
      <c r="A29" s="1193"/>
      <c r="B29" s="1193"/>
      <c r="C29" s="1193"/>
      <c r="D29" s="1193"/>
      <c r="E29" s="1193"/>
      <c r="F29" s="1193"/>
      <c r="G29" s="1193"/>
      <c r="H29" s="1193"/>
      <c r="I29" s="1193"/>
      <c r="J29" s="1193"/>
    </row>
    <row r="30" spans="1:10" ht="13.95" customHeight="1" x14ac:dyDescent="0.25">
      <c r="A30" s="1545" t="s">
        <v>327</v>
      </c>
      <c r="B30" s="1545"/>
      <c r="C30" s="1546" t="s">
        <v>328</v>
      </c>
      <c r="D30" s="1546"/>
      <c r="E30" s="1546"/>
      <c r="F30" s="1546"/>
      <c r="G30" s="106"/>
      <c r="H30" s="1531"/>
      <c r="I30" s="1531"/>
      <c r="J30" s="1531"/>
    </row>
    <row r="31" spans="1:10" x14ac:dyDescent="0.25">
      <c r="A31" s="1193"/>
      <c r="B31" s="1193"/>
      <c r="C31" s="1546"/>
      <c r="D31" s="1546"/>
      <c r="E31" s="1546"/>
      <c r="F31" s="1546"/>
      <c r="G31" s="1193"/>
      <c r="H31" s="1531" t="s">
        <v>329</v>
      </c>
      <c r="I31" s="1531"/>
      <c r="J31" s="1531"/>
    </row>
  </sheetData>
  <mergeCells count="28">
    <mergeCell ref="H5:I5"/>
    <mergeCell ref="A6:G6"/>
    <mergeCell ref="A7:I7"/>
    <mergeCell ref="A11:J11"/>
    <mergeCell ref="I13:J13"/>
    <mergeCell ref="C14:G14"/>
    <mergeCell ref="I14:J14"/>
    <mergeCell ref="A16:A17"/>
    <mergeCell ref="B16:B17"/>
    <mergeCell ref="C16:F16"/>
    <mergeCell ref="G16:H16"/>
    <mergeCell ref="I16:J16"/>
    <mergeCell ref="A30:B30"/>
    <mergeCell ref="C30:F31"/>
    <mergeCell ref="H30:J30"/>
    <mergeCell ref="H31:J31"/>
    <mergeCell ref="G1:J1"/>
    <mergeCell ref="G2:J2"/>
    <mergeCell ref="G3:J3"/>
    <mergeCell ref="A13:G13"/>
    <mergeCell ref="A5:G5"/>
    <mergeCell ref="H28:J28"/>
    <mergeCell ref="A23:B23"/>
    <mergeCell ref="A24:B24"/>
    <mergeCell ref="A25:B25"/>
    <mergeCell ref="A26:B26"/>
    <mergeCell ref="A22:B22"/>
    <mergeCell ref="A9:J9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8"/>
  <sheetViews>
    <sheetView view="pageBreakPreview" topLeftCell="A5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4" customWidth="1"/>
    <col min="3" max="9" width="7.5546875" customWidth="1"/>
    <col min="10" max="10" width="9" customWidth="1"/>
    <col min="11" max="11" width="3.3320312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85)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114</v>
      </c>
    </row>
    <row r="8" spans="1:10" s="2" customFormat="1" ht="9.6" customHeight="1" x14ac:dyDescent="0.25">
      <c r="A8" s="294"/>
      <c r="B8" s="294"/>
      <c r="C8" s="294"/>
      <c r="D8" s="294"/>
      <c r="E8" s="294"/>
      <c r="F8" s="294"/>
      <c r="G8" s="294"/>
      <c r="H8" s="294"/>
      <c r="I8" s="294"/>
      <c r="J8" s="109"/>
    </row>
    <row r="9" spans="1:10" s="2" customFormat="1" ht="26.1" customHeight="1" x14ac:dyDescent="0.3">
      <c r="A9" s="1550" t="s">
        <v>549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'113-суп-лапша'!H14+1</f>
        <v>85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295" t="s">
        <v>92</v>
      </c>
      <c r="D17" s="295" t="s">
        <v>94</v>
      </c>
      <c r="E17" s="295" t="s">
        <v>93</v>
      </c>
      <c r="F17" s="295" t="s">
        <v>23</v>
      </c>
      <c r="G17" s="295" t="s">
        <v>92</v>
      </c>
      <c r="H17" s="295" t="s">
        <v>94</v>
      </c>
      <c r="I17" s="295" t="s">
        <v>92</v>
      </c>
      <c r="J17" s="295" t="s">
        <v>94</v>
      </c>
    </row>
    <row r="18" spans="1:13" ht="9.6" customHeight="1" x14ac:dyDescent="0.25">
      <c r="A18" s="295">
        <v>1</v>
      </c>
      <c r="B18" s="296">
        <v>2</v>
      </c>
      <c r="C18" s="295">
        <v>3</v>
      </c>
      <c r="D18" s="296">
        <v>4</v>
      </c>
      <c r="E18" s="295">
        <v>5</v>
      </c>
      <c r="F18" s="296">
        <v>6</v>
      </c>
      <c r="G18" s="296">
        <v>8</v>
      </c>
      <c r="H18" s="295">
        <v>9</v>
      </c>
      <c r="I18" s="296">
        <v>10</v>
      </c>
      <c r="J18" s="295">
        <v>11</v>
      </c>
    </row>
    <row r="19" spans="1:13" s="10" customFormat="1" ht="14.1" customHeight="1" x14ac:dyDescent="0.25">
      <c r="A19" s="180">
        <v>1</v>
      </c>
      <c r="B19" s="20" t="s">
        <v>45</v>
      </c>
      <c r="C19" s="111">
        <v>0.875</v>
      </c>
      <c r="D19" s="111">
        <v>0.875</v>
      </c>
      <c r="E19" s="13">
        <f>цены!F74</f>
        <v>36</v>
      </c>
      <c r="F19" s="13">
        <f>C19*E19</f>
        <v>31.5</v>
      </c>
      <c r="G19" s="97">
        <f t="shared" ref="G19:H23" si="0">C19*10</f>
        <v>8.75</v>
      </c>
      <c r="H19" s="21">
        <f t="shared" si="0"/>
        <v>8.75</v>
      </c>
      <c r="I19" s="21">
        <f t="shared" ref="I19:J23" si="1">C19*100</f>
        <v>87.5</v>
      </c>
      <c r="J19" s="21">
        <f t="shared" si="1"/>
        <v>87.5</v>
      </c>
      <c r="L19" s="1018">
        <f>C19/C$28</f>
        <v>0.875</v>
      </c>
      <c r="M19" s="1018">
        <f>F19/C$28</f>
        <v>31.5</v>
      </c>
    </row>
    <row r="20" spans="1:13" s="10" customFormat="1" ht="14.1" customHeight="1" x14ac:dyDescent="0.25">
      <c r="A20" s="180">
        <v>2</v>
      </c>
      <c r="B20" s="20" t="s">
        <v>550</v>
      </c>
      <c r="C20" s="111">
        <v>0.06</v>
      </c>
      <c r="D20" s="111">
        <v>0.06</v>
      </c>
      <c r="E20" s="13">
        <f>цены!F74</f>
        <v>36</v>
      </c>
      <c r="F20" s="13">
        <f>C20*E20</f>
        <v>2.16</v>
      </c>
      <c r="G20" s="97">
        <f t="shared" si="0"/>
        <v>0.6</v>
      </c>
      <c r="H20" s="21">
        <f t="shared" si="0"/>
        <v>0.6</v>
      </c>
      <c r="I20" s="21">
        <f t="shared" si="1"/>
        <v>6</v>
      </c>
      <c r="J20" s="21">
        <f t="shared" si="1"/>
        <v>6</v>
      </c>
      <c r="L20" s="1018">
        <f t="shared" ref="L20:L23" si="2">C20/C$28</f>
        <v>0.06</v>
      </c>
      <c r="M20" s="1018">
        <f t="shared" ref="M20:M23" si="3">F20/C$28</f>
        <v>2.16</v>
      </c>
    </row>
    <row r="21" spans="1:13" s="10" customFormat="1" ht="12" customHeight="1" x14ac:dyDescent="0.25">
      <c r="A21" s="180">
        <v>3</v>
      </c>
      <c r="B21" s="20" t="s">
        <v>551</v>
      </c>
      <c r="C21" s="111">
        <v>0.28749999999999998</v>
      </c>
      <c r="D21" s="111">
        <v>0.25</v>
      </c>
      <c r="E21" s="13">
        <f>цены!F30</f>
        <v>152.16999999999999</v>
      </c>
      <c r="F21" s="13">
        <f>C21*E21</f>
        <v>43.75</v>
      </c>
      <c r="G21" s="97">
        <f t="shared" si="0"/>
        <v>2.875</v>
      </c>
      <c r="H21" s="21">
        <f t="shared" si="0"/>
        <v>2.5</v>
      </c>
      <c r="I21" s="21">
        <f t="shared" si="1"/>
        <v>28.75</v>
      </c>
      <c r="J21" s="21">
        <f t="shared" si="1"/>
        <v>25</v>
      </c>
      <c r="L21" s="1018">
        <f t="shared" si="2"/>
        <v>0.28749999999999998</v>
      </c>
      <c r="M21" s="1018">
        <f t="shared" si="3"/>
        <v>43.75</v>
      </c>
    </row>
    <row r="22" spans="1:13" s="10" customFormat="1" ht="12" customHeight="1" x14ac:dyDescent="0.25">
      <c r="A22" s="180">
        <v>4</v>
      </c>
      <c r="B22" s="20" t="s">
        <v>28</v>
      </c>
      <c r="C22" s="111">
        <v>0.17499999999999999</v>
      </c>
      <c r="D22" s="111">
        <v>0.17499999999999999</v>
      </c>
      <c r="E22" s="13"/>
      <c r="F22" s="13">
        <f>C22*E22</f>
        <v>0</v>
      </c>
      <c r="G22" s="97">
        <f t="shared" si="0"/>
        <v>1.75</v>
      </c>
      <c r="H22" s="21">
        <f t="shared" si="0"/>
        <v>1.75</v>
      </c>
      <c r="I22" s="21">
        <f t="shared" si="1"/>
        <v>17.5</v>
      </c>
      <c r="J22" s="21">
        <f t="shared" si="1"/>
        <v>17.5</v>
      </c>
      <c r="L22" s="1018">
        <f t="shared" si="2"/>
        <v>0.17499999999999999</v>
      </c>
      <c r="M22" s="1018">
        <f t="shared" si="3"/>
        <v>0</v>
      </c>
    </row>
    <row r="23" spans="1:13" s="10" customFormat="1" ht="12" customHeight="1" x14ac:dyDescent="0.25">
      <c r="A23" s="180">
        <v>5</v>
      </c>
      <c r="B23" s="20" t="s">
        <v>33</v>
      </c>
      <c r="C23" s="111">
        <v>6.0000000000000001E-3</v>
      </c>
      <c r="D23" s="111">
        <v>6.0000000000000001E-3</v>
      </c>
      <c r="E23" s="13">
        <f>цены!F110</f>
        <v>24</v>
      </c>
      <c r="F23" s="13">
        <f>C23*E23</f>
        <v>0.14000000000000001</v>
      </c>
      <c r="G23" s="97">
        <f t="shared" si="0"/>
        <v>0.06</v>
      </c>
      <c r="H23" s="21">
        <f t="shared" si="0"/>
        <v>0.06</v>
      </c>
      <c r="I23" s="21">
        <f t="shared" si="1"/>
        <v>0.6</v>
      </c>
      <c r="J23" s="21">
        <f t="shared" si="1"/>
        <v>0.6</v>
      </c>
      <c r="L23" s="1018">
        <f t="shared" si="2"/>
        <v>6.0000000000000001E-3</v>
      </c>
      <c r="M23" s="1018">
        <f t="shared" si="3"/>
        <v>0.14000000000000001</v>
      </c>
    </row>
    <row r="24" spans="1:13" s="10" customFormat="1" ht="12" customHeight="1" x14ac:dyDescent="0.25">
      <c r="A24" s="98"/>
      <c r="B24" s="93" t="s">
        <v>552</v>
      </c>
      <c r="C24" s="112"/>
      <c r="D24" s="112">
        <v>1</v>
      </c>
      <c r="E24" s="95"/>
      <c r="F24" s="95">
        <f>SUM(F19:F23)</f>
        <v>77.55</v>
      </c>
      <c r="G24" s="99"/>
      <c r="H24" s="100">
        <f>D24*10</f>
        <v>10</v>
      </c>
      <c r="I24" s="100"/>
      <c r="J24" s="100">
        <f>D24*100</f>
        <v>100</v>
      </c>
      <c r="L24" s="1018">
        <f>SUM(L19:L23)</f>
        <v>1.4035</v>
      </c>
      <c r="M24" s="1018">
        <f>SUM(M19:M23)</f>
        <v>77.55</v>
      </c>
    </row>
    <row r="25" spans="1:13" s="10" customFormat="1" ht="27.6" customHeight="1" x14ac:dyDescent="0.25">
      <c r="A25" s="1536" t="s">
        <v>35</v>
      </c>
      <c r="B25" s="1536"/>
      <c r="C25" s="90"/>
      <c r="D25" s="90"/>
      <c r="E25" s="13"/>
      <c r="F25" s="13">
        <f>F24</f>
        <v>77.55</v>
      </c>
      <c r="G25" s="297"/>
      <c r="H25" s="297"/>
      <c r="I25" s="21"/>
      <c r="J25" s="13"/>
    </row>
    <row r="26" spans="1:13" s="10" customFormat="1" ht="25.35" customHeight="1" x14ac:dyDescent="0.25">
      <c r="A26" s="1536" t="s">
        <v>36</v>
      </c>
      <c r="B26" s="1536"/>
      <c r="C26" s="90">
        <v>1000</v>
      </c>
      <c r="D26" s="90"/>
      <c r="E26" s="13"/>
      <c r="F26" s="13"/>
      <c r="G26" s="13"/>
      <c r="H26" s="13"/>
      <c r="I26" s="21"/>
      <c r="J26" s="17"/>
    </row>
    <row r="27" spans="1:13" s="10" customFormat="1" ht="25.35" customHeight="1" x14ac:dyDescent="0.25">
      <c r="A27" s="1537" t="s">
        <v>37</v>
      </c>
      <c r="B27" s="1538"/>
      <c r="C27" s="91">
        <v>1000</v>
      </c>
      <c r="D27" s="92"/>
      <c r="E27" s="296"/>
      <c r="F27" s="296"/>
      <c r="G27" s="296"/>
      <c r="H27" s="296"/>
      <c r="I27" s="21"/>
      <c r="J27" s="17"/>
    </row>
    <row r="28" spans="1:13" s="10" customFormat="1" ht="15" customHeight="1" x14ac:dyDescent="0.25">
      <c r="A28" s="1539" t="s">
        <v>38</v>
      </c>
      <c r="B28" s="1540"/>
      <c r="C28" s="92">
        <f>C26/C27</f>
        <v>1</v>
      </c>
      <c r="D28" s="92"/>
      <c r="E28" s="296"/>
      <c r="F28" s="296"/>
      <c r="G28" s="296"/>
      <c r="H28" s="296"/>
      <c r="I28" s="21"/>
      <c r="J28" s="17"/>
    </row>
    <row r="29" spans="1:13" ht="16.350000000000001" customHeight="1" x14ac:dyDescent="0.25">
      <c r="A29" s="1541" t="s">
        <v>39</v>
      </c>
      <c r="B29" s="1542"/>
      <c r="C29" s="15" t="s">
        <v>40</v>
      </c>
      <c r="D29" s="102"/>
      <c r="E29" s="102" t="s">
        <v>40</v>
      </c>
      <c r="F29" s="16">
        <f>F25/C28</f>
        <v>77.55</v>
      </c>
      <c r="G29" s="16"/>
      <c r="H29" s="16"/>
      <c r="I29" s="102" t="s">
        <v>40</v>
      </c>
      <c r="J29" s="102" t="s">
        <v>40</v>
      </c>
    </row>
    <row r="30" spans="1:13" ht="23.1" customHeight="1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3" ht="13.95" customHeight="1" x14ac:dyDescent="0.25">
      <c r="A31" s="1193"/>
      <c r="B31" s="1194" t="s">
        <v>49</v>
      </c>
      <c r="C31" s="1198"/>
      <c r="D31" s="1198"/>
      <c r="E31" s="1198"/>
      <c r="F31" s="1198"/>
      <c r="G31" s="1193"/>
      <c r="H31" s="1556">
        <f>'1-бутерброд с маслом'!$H$28</f>
        <v>0</v>
      </c>
      <c r="I31" s="1556"/>
      <c r="J31" s="1556"/>
    </row>
    <row r="32" spans="1:13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545" t="s">
        <v>327</v>
      </c>
      <c r="B33" s="1545"/>
      <c r="C33" s="1546" t="s">
        <v>328</v>
      </c>
      <c r="D33" s="1546"/>
      <c r="E33" s="1546"/>
      <c r="F33" s="1546"/>
      <c r="G33" s="106"/>
      <c r="H33" s="1531"/>
      <c r="I33" s="1531"/>
      <c r="J33" s="1531"/>
    </row>
    <row r="34" spans="1:10" x14ac:dyDescent="0.25">
      <c r="A34" s="1193"/>
      <c r="B34" s="1193"/>
      <c r="C34" s="1546"/>
      <c r="D34" s="1546"/>
      <c r="E34" s="1546"/>
      <c r="F34" s="1546"/>
      <c r="G34" s="1193"/>
      <c r="H34" s="1531" t="s">
        <v>329</v>
      </c>
      <c r="I34" s="1531"/>
      <c r="J34" s="1531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</sheetData>
  <mergeCells count="28">
    <mergeCell ref="H5:I5"/>
    <mergeCell ref="A6:G6"/>
    <mergeCell ref="A7:I7"/>
    <mergeCell ref="I13:J13"/>
    <mergeCell ref="C14:G14"/>
    <mergeCell ref="I14:J14"/>
    <mergeCell ref="A13:G13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3:B33"/>
    <mergeCell ref="C33:F34"/>
    <mergeCell ref="H33:J33"/>
    <mergeCell ref="H34:J34"/>
    <mergeCell ref="A26:B26"/>
    <mergeCell ref="A27:B27"/>
    <mergeCell ref="A28:B28"/>
    <mergeCell ref="A29:B29"/>
    <mergeCell ref="H31:J31"/>
    <mergeCell ref="A25:B25"/>
    <mergeCell ref="A9:J9"/>
    <mergeCell ref="A11:J11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42"/>
  <sheetViews>
    <sheetView view="pageBreakPreview" topLeftCell="A5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589" customWidth="1"/>
    <col min="2" max="2" width="24" style="589" customWidth="1"/>
    <col min="3" max="9" width="7.5546875" style="589" customWidth="1"/>
    <col min="10" max="10" width="9" style="589" customWidth="1"/>
    <col min="11" max="11" width="5.109375" style="589" customWidth="1"/>
    <col min="12" max="16384" width="8.88671875" style="58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86)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115</v>
      </c>
    </row>
    <row r="8" spans="1:10" s="2" customFormat="1" ht="9.6" customHeight="1" x14ac:dyDescent="0.25">
      <c r="A8" s="594"/>
      <c r="B8" s="594"/>
      <c r="C8" s="594"/>
      <c r="D8" s="594"/>
      <c r="E8" s="594"/>
      <c r="F8" s="594"/>
      <c r="G8" s="594"/>
      <c r="H8" s="594"/>
      <c r="I8" s="594"/>
      <c r="J8" s="109"/>
    </row>
    <row r="9" spans="1:10" s="2" customFormat="1" ht="26.1" customHeight="1" x14ac:dyDescent="0.3">
      <c r="A9" s="1550" t="s">
        <v>881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'114-лапша'!H14+1</f>
        <v>86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590" t="s">
        <v>92</v>
      </c>
      <c r="D17" s="590" t="s">
        <v>94</v>
      </c>
      <c r="E17" s="590" t="s">
        <v>93</v>
      </c>
      <c r="F17" s="590" t="s">
        <v>23</v>
      </c>
      <c r="G17" s="590" t="s">
        <v>92</v>
      </c>
      <c r="H17" s="590" t="s">
        <v>94</v>
      </c>
      <c r="I17" s="590" t="s">
        <v>92</v>
      </c>
      <c r="J17" s="590" t="s">
        <v>94</v>
      </c>
    </row>
    <row r="18" spans="1:13" ht="9.6" customHeight="1" x14ac:dyDescent="0.25">
      <c r="A18" s="590">
        <v>1</v>
      </c>
      <c r="B18" s="592">
        <v>2</v>
      </c>
      <c r="C18" s="590">
        <v>3</v>
      </c>
      <c r="D18" s="592">
        <v>4</v>
      </c>
      <c r="E18" s="590">
        <v>5</v>
      </c>
      <c r="F18" s="592">
        <v>6</v>
      </c>
      <c r="G18" s="592">
        <v>8</v>
      </c>
      <c r="H18" s="590">
        <v>9</v>
      </c>
      <c r="I18" s="592">
        <v>10</v>
      </c>
      <c r="J18" s="590">
        <v>11</v>
      </c>
    </row>
    <row r="19" spans="1:13" s="10" customFormat="1" ht="14.1" customHeight="1" x14ac:dyDescent="0.25">
      <c r="A19" s="180">
        <v>1</v>
      </c>
      <c r="B19" s="20" t="s">
        <v>307</v>
      </c>
      <c r="C19" s="111">
        <v>0.08</v>
      </c>
      <c r="D19" s="111">
        <v>0.08</v>
      </c>
      <c r="E19" s="408">
        <f>цены!F83</f>
        <v>98</v>
      </c>
      <c r="F19" s="408">
        <f>C19*E19</f>
        <v>7.84</v>
      </c>
      <c r="G19" s="97">
        <f t="shared" ref="G19:H21" si="0">C19*10</f>
        <v>0.8</v>
      </c>
      <c r="H19" s="21">
        <f t="shared" si="0"/>
        <v>0.8</v>
      </c>
      <c r="I19" s="21">
        <f t="shared" ref="I19:J21" si="1">C19*100</f>
        <v>8</v>
      </c>
      <c r="J19" s="21">
        <f t="shared" si="1"/>
        <v>8</v>
      </c>
      <c r="L19" s="1018">
        <f>C19/C$32</f>
        <v>0.02</v>
      </c>
      <c r="M19" s="1018">
        <f>F19/C$32</f>
        <v>1.96</v>
      </c>
    </row>
    <row r="20" spans="1:13" s="10" customFormat="1" ht="14.1" customHeight="1" x14ac:dyDescent="0.25">
      <c r="A20" s="180">
        <v>2</v>
      </c>
      <c r="B20" s="20" t="s">
        <v>47</v>
      </c>
      <c r="C20" s="111">
        <v>0.05</v>
      </c>
      <c r="D20" s="111">
        <v>0.04</v>
      </c>
      <c r="E20" s="408">
        <f>цены!F44</f>
        <v>50</v>
      </c>
      <c r="F20" s="408">
        <f>C20*E20</f>
        <v>2.5</v>
      </c>
      <c r="G20" s="97">
        <f t="shared" si="0"/>
        <v>0.5</v>
      </c>
      <c r="H20" s="21">
        <f t="shared" si="0"/>
        <v>0.4</v>
      </c>
      <c r="I20" s="21">
        <f t="shared" si="1"/>
        <v>5</v>
      </c>
      <c r="J20" s="21">
        <f t="shared" si="1"/>
        <v>4</v>
      </c>
      <c r="L20" s="1018">
        <f t="shared" ref="L20:L27" si="2">C20/C$32</f>
        <v>1.2500000000000001E-2</v>
      </c>
      <c r="M20" s="1018">
        <f t="shared" ref="M20:M27" si="3">F20/C$32</f>
        <v>0.625</v>
      </c>
    </row>
    <row r="21" spans="1:13" s="10" customFormat="1" ht="12" customHeight="1" x14ac:dyDescent="0.25">
      <c r="A21" s="180">
        <v>3</v>
      </c>
      <c r="B21" s="20" t="s">
        <v>48</v>
      </c>
      <c r="C21" s="111">
        <v>4.8000000000000001E-2</v>
      </c>
      <c r="D21" s="111">
        <v>0.04</v>
      </c>
      <c r="E21" s="408">
        <f>цены!F38</f>
        <v>50</v>
      </c>
      <c r="F21" s="408">
        <f>C21*E21</f>
        <v>2.4</v>
      </c>
      <c r="G21" s="97">
        <f t="shared" si="0"/>
        <v>0.48</v>
      </c>
      <c r="H21" s="21">
        <f t="shared" si="0"/>
        <v>0.4</v>
      </c>
      <c r="I21" s="21">
        <f t="shared" si="1"/>
        <v>4.8</v>
      </c>
      <c r="J21" s="21">
        <f t="shared" si="1"/>
        <v>4</v>
      </c>
      <c r="L21" s="1018">
        <f t="shared" si="2"/>
        <v>1.2E-2</v>
      </c>
      <c r="M21" s="1018">
        <f t="shared" si="3"/>
        <v>0.6</v>
      </c>
    </row>
    <row r="22" spans="1:13" s="10" customFormat="1" ht="12" customHeight="1" x14ac:dyDescent="0.25">
      <c r="A22" s="180">
        <v>4</v>
      </c>
      <c r="B22" s="20" t="s">
        <v>74</v>
      </c>
      <c r="C22" s="111">
        <v>0.02</v>
      </c>
      <c r="D22" s="111">
        <v>0.02</v>
      </c>
      <c r="E22" s="408">
        <f>цены!F87</f>
        <v>120</v>
      </c>
      <c r="F22" s="408">
        <f t="shared" ref="F22:F27" si="4">C22*E22</f>
        <v>2.4</v>
      </c>
      <c r="G22" s="97">
        <f t="shared" ref="G22:G27" si="5">C22*10</f>
        <v>0.2</v>
      </c>
      <c r="H22" s="21">
        <f t="shared" ref="H22:H27" si="6">D22*10</f>
        <v>0.2</v>
      </c>
      <c r="I22" s="21">
        <f t="shared" ref="I22:I27" si="7">C22*100</f>
        <v>2</v>
      </c>
      <c r="J22" s="21">
        <f t="shared" ref="J22:J27" si="8">D22*100</f>
        <v>2</v>
      </c>
      <c r="L22" s="1018">
        <f t="shared" si="2"/>
        <v>5.0000000000000001E-3</v>
      </c>
      <c r="M22" s="1018">
        <f t="shared" si="3"/>
        <v>0.6</v>
      </c>
    </row>
    <row r="23" spans="1:13" s="10" customFormat="1" ht="12" customHeight="1" x14ac:dyDescent="0.25">
      <c r="A23" s="180">
        <v>5</v>
      </c>
      <c r="B23" s="20" t="s">
        <v>141</v>
      </c>
      <c r="C23" s="111">
        <v>1</v>
      </c>
      <c r="D23" s="111">
        <v>1</v>
      </c>
      <c r="E23" s="408"/>
      <c r="F23" s="408">
        <f t="shared" si="4"/>
        <v>0</v>
      </c>
      <c r="G23" s="97">
        <f t="shared" si="5"/>
        <v>10</v>
      </c>
      <c r="H23" s="21">
        <f t="shared" si="6"/>
        <v>10</v>
      </c>
      <c r="I23" s="21">
        <f t="shared" si="7"/>
        <v>100</v>
      </c>
      <c r="J23" s="21">
        <f t="shared" si="8"/>
        <v>100</v>
      </c>
      <c r="L23" s="1018">
        <f t="shared" si="2"/>
        <v>0.25</v>
      </c>
      <c r="M23" s="1018">
        <f t="shared" si="3"/>
        <v>0</v>
      </c>
    </row>
    <row r="24" spans="1:13" s="10" customFormat="1" ht="12" customHeight="1" x14ac:dyDescent="0.25">
      <c r="A24" s="180">
        <v>6</v>
      </c>
      <c r="B24" s="20" t="s">
        <v>84</v>
      </c>
      <c r="C24" s="113">
        <v>4.0000000000000003E-5</v>
      </c>
      <c r="D24" s="113">
        <v>4.0000000000000003E-5</v>
      </c>
      <c r="E24" s="408">
        <f>цены!F100</f>
        <v>1000</v>
      </c>
      <c r="F24" s="408">
        <f t="shared" si="4"/>
        <v>0.04</v>
      </c>
      <c r="G24" s="97">
        <f t="shared" si="5"/>
        <v>0</v>
      </c>
      <c r="H24" s="21">
        <f t="shared" si="6"/>
        <v>0</v>
      </c>
      <c r="I24" s="21">
        <f t="shared" si="7"/>
        <v>4.0000000000000001E-3</v>
      </c>
      <c r="J24" s="21">
        <f t="shared" si="8"/>
        <v>4.0000000000000001E-3</v>
      </c>
      <c r="L24" s="1018">
        <f t="shared" si="2"/>
        <v>0</v>
      </c>
      <c r="M24" s="1018">
        <f t="shared" si="3"/>
        <v>0.01</v>
      </c>
    </row>
    <row r="25" spans="1:13" s="10" customFormat="1" ht="12" customHeight="1" x14ac:dyDescent="0.25">
      <c r="A25" s="180">
        <v>7</v>
      </c>
      <c r="B25" s="20" t="s">
        <v>33</v>
      </c>
      <c r="C25" s="111">
        <v>0.01</v>
      </c>
      <c r="D25" s="111">
        <v>0.01</v>
      </c>
      <c r="E25" s="408">
        <f>цены!F110</f>
        <v>24</v>
      </c>
      <c r="F25" s="408">
        <f t="shared" si="4"/>
        <v>0.24</v>
      </c>
      <c r="G25" s="97">
        <f t="shared" si="5"/>
        <v>0.1</v>
      </c>
      <c r="H25" s="21">
        <f t="shared" si="6"/>
        <v>0.1</v>
      </c>
      <c r="I25" s="21">
        <f t="shared" si="7"/>
        <v>1</v>
      </c>
      <c r="J25" s="21">
        <f t="shared" si="8"/>
        <v>1</v>
      </c>
      <c r="L25" s="1018">
        <f t="shared" si="2"/>
        <v>2.5000000000000001E-3</v>
      </c>
      <c r="M25" s="1018">
        <f t="shared" si="3"/>
        <v>0.06</v>
      </c>
    </row>
    <row r="26" spans="1:13" s="10" customFormat="1" ht="12" customHeight="1" x14ac:dyDescent="0.25">
      <c r="A26" s="180">
        <v>8</v>
      </c>
      <c r="B26" s="20" t="s">
        <v>51</v>
      </c>
      <c r="C26" s="111">
        <v>0.02</v>
      </c>
      <c r="D26" s="111">
        <v>0.02</v>
      </c>
      <c r="E26" s="408">
        <f>цены!F24</f>
        <v>234</v>
      </c>
      <c r="F26" s="408">
        <f t="shared" si="4"/>
        <v>4.68</v>
      </c>
      <c r="G26" s="97">
        <f t="shared" si="5"/>
        <v>0.2</v>
      </c>
      <c r="H26" s="21">
        <f t="shared" si="6"/>
        <v>0.2</v>
      </c>
      <c r="I26" s="21">
        <f t="shared" si="7"/>
        <v>2</v>
      </c>
      <c r="J26" s="21">
        <f t="shared" si="8"/>
        <v>2</v>
      </c>
      <c r="L26" s="1018">
        <f t="shared" si="2"/>
        <v>5.0000000000000001E-3</v>
      </c>
      <c r="M26" s="1018">
        <f t="shared" si="3"/>
        <v>1.17</v>
      </c>
    </row>
    <row r="27" spans="1:13" s="10" customFormat="1" ht="12" customHeight="1" x14ac:dyDescent="0.25">
      <c r="A27" s="180">
        <v>9</v>
      </c>
      <c r="B27" s="20" t="s">
        <v>78</v>
      </c>
      <c r="C27" s="111">
        <f>0.002*C32</f>
        <v>8.0000000000000002E-3</v>
      </c>
      <c r="D27" s="111">
        <f>0.002*C32</f>
        <v>8.0000000000000002E-3</v>
      </c>
      <c r="E27" s="408">
        <f>цены!F48</f>
        <v>300</v>
      </c>
      <c r="F27" s="408">
        <f t="shared" si="4"/>
        <v>2.4</v>
      </c>
      <c r="G27" s="97">
        <f t="shared" si="5"/>
        <v>0.08</v>
      </c>
      <c r="H27" s="21">
        <f t="shared" si="6"/>
        <v>0.08</v>
      </c>
      <c r="I27" s="21">
        <f t="shared" si="7"/>
        <v>0.8</v>
      </c>
      <c r="J27" s="21">
        <f t="shared" si="8"/>
        <v>0.8</v>
      </c>
      <c r="L27" s="1018">
        <f t="shared" si="2"/>
        <v>2E-3</v>
      </c>
      <c r="M27" s="1018">
        <f t="shared" si="3"/>
        <v>0.6</v>
      </c>
    </row>
    <row r="28" spans="1:13" s="10" customFormat="1" ht="12" customHeight="1" x14ac:dyDescent="0.25">
      <c r="A28" s="98"/>
      <c r="B28" s="93" t="s">
        <v>634</v>
      </c>
      <c r="C28" s="112"/>
      <c r="D28" s="112">
        <v>1</v>
      </c>
      <c r="E28" s="95"/>
      <c r="F28" s="95">
        <f>SUM(F19:F27)</f>
        <v>22.5</v>
      </c>
      <c r="G28" s="99"/>
      <c r="H28" s="100">
        <f>D28*10</f>
        <v>10</v>
      </c>
      <c r="I28" s="100"/>
      <c r="J28" s="100">
        <f>D28*100</f>
        <v>100</v>
      </c>
      <c r="L28" s="1018">
        <f>SUM(L19:L27)</f>
        <v>0.309</v>
      </c>
      <c r="M28" s="1018">
        <f>SUM(M19:M27)</f>
        <v>5.625</v>
      </c>
    </row>
    <row r="29" spans="1:13" s="10" customFormat="1" ht="27.6" customHeight="1" x14ac:dyDescent="0.25">
      <c r="A29" s="1536" t="s">
        <v>35</v>
      </c>
      <c r="B29" s="1536"/>
      <c r="C29" s="90"/>
      <c r="D29" s="90"/>
      <c r="E29" s="408"/>
      <c r="F29" s="408">
        <f>F28</f>
        <v>22.5</v>
      </c>
      <c r="G29" s="591"/>
      <c r="H29" s="591"/>
      <c r="I29" s="21"/>
      <c r="J29" s="408"/>
    </row>
    <row r="30" spans="1:13" s="10" customFormat="1" ht="25.35" customHeight="1" x14ac:dyDescent="0.25">
      <c r="A30" s="1536" t="s">
        <v>36</v>
      </c>
      <c r="B30" s="1536"/>
      <c r="C30" s="90">
        <v>1000</v>
      </c>
      <c r="D30" s="90"/>
      <c r="E30" s="408"/>
      <c r="F30" s="408"/>
      <c r="G30" s="408"/>
      <c r="H30" s="408"/>
      <c r="I30" s="21"/>
      <c r="J30" s="17"/>
    </row>
    <row r="31" spans="1:13" s="10" customFormat="1" ht="25.35" customHeight="1" x14ac:dyDescent="0.25">
      <c r="A31" s="1537" t="s">
        <v>37</v>
      </c>
      <c r="B31" s="1538"/>
      <c r="C31" s="91">
        <v>250</v>
      </c>
      <c r="D31" s="92"/>
      <c r="E31" s="592"/>
      <c r="F31" s="592"/>
      <c r="G31" s="592"/>
      <c r="H31" s="592"/>
      <c r="I31" s="21"/>
      <c r="J31" s="17"/>
    </row>
    <row r="32" spans="1:13" s="10" customFormat="1" ht="15" customHeight="1" x14ac:dyDescent="0.25">
      <c r="A32" s="1539" t="s">
        <v>38</v>
      </c>
      <c r="B32" s="1540"/>
      <c r="C32" s="92">
        <f>C30/C31</f>
        <v>4</v>
      </c>
      <c r="D32" s="92"/>
      <c r="E32" s="592"/>
      <c r="F32" s="592"/>
      <c r="G32" s="592"/>
      <c r="H32" s="592"/>
      <c r="I32" s="21"/>
      <c r="J32" s="17"/>
    </row>
    <row r="33" spans="1:10" ht="16.350000000000001" customHeight="1" x14ac:dyDescent="0.25">
      <c r="A33" s="1541" t="s">
        <v>39</v>
      </c>
      <c r="B33" s="1542"/>
      <c r="C33" s="15" t="s">
        <v>40</v>
      </c>
      <c r="D33" s="102"/>
      <c r="E33" s="102" t="s">
        <v>40</v>
      </c>
      <c r="F33" s="16">
        <f>F29/C32</f>
        <v>5.63</v>
      </c>
      <c r="G33" s="16"/>
      <c r="H33" s="16"/>
      <c r="I33" s="102" t="s">
        <v>40</v>
      </c>
      <c r="J33" s="102" t="s">
        <v>40</v>
      </c>
    </row>
    <row r="34" spans="1:10" ht="23.1" customHeight="1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193"/>
      <c r="B35" s="1194" t="s">
        <v>49</v>
      </c>
      <c r="C35" s="1198"/>
      <c r="D35" s="1198"/>
      <c r="E35" s="1198"/>
      <c r="F35" s="1198"/>
      <c r="G35" s="1193"/>
      <c r="H35" s="1556">
        <f>'1-бутерброд с маслом'!$H$28</f>
        <v>0</v>
      </c>
      <c r="I35" s="1556"/>
      <c r="J35" s="1556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545" t="s">
        <v>327</v>
      </c>
      <c r="B37" s="1545"/>
      <c r="C37" s="1546" t="s">
        <v>328</v>
      </c>
      <c r="D37" s="1546"/>
      <c r="E37" s="1546"/>
      <c r="F37" s="1546"/>
      <c r="G37" s="106"/>
      <c r="H37" s="1531"/>
      <c r="I37" s="1531"/>
      <c r="J37" s="1531"/>
    </row>
    <row r="38" spans="1:10" x14ac:dyDescent="0.25">
      <c r="A38" s="1193"/>
      <c r="B38" s="1193"/>
      <c r="C38" s="1546"/>
      <c r="D38" s="1546"/>
      <c r="E38" s="1546"/>
      <c r="F38" s="1546"/>
      <c r="G38" s="1193"/>
      <c r="H38" s="1531" t="s">
        <v>329</v>
      </c>
      <c r="I38" s="1531"/>
      <c r="J38" s="1531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</sheetData>
  <mergeCells count="28">
    <mergeCell ref="H35:J35"/>
    <mergeCell ref="A13:G13"/>
    <mergeCell ref="A30:B30"/>
    <mergeCell ref="A31:B31"/>
    <mergeCell ref="A32:B32"/>
    <mergeCell ref="A33:B33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7:B37"/>
    <mergeCell ref="C37:F38"/>
    <mergeCell ref="H37:J37"/>
    <mergeCell ref="H38:J38"/>
    <mergeCell ref="H5:I5"/>
    <mergeCell ref="A6:G6"/>
    <mergeCell ref="A7:I7"/>
    <mergeCell ref="A29:B29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42"/>
  <sheetViews>
    <sheetView view="pageBreakPreview" topLeftCell="A5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589" customWidth="1"/>
    <col min="2" max="2" width="24" style="589" customWidth="1"/>
    <col min="3" max="9" width="7.5546875" style="589" customWidth="1"/>
    <col min="10" max="10" width="9" style="589" customWidth="1"/>
    <col min="11" max="11" width="3.6640625" style="589" customWidth="1"/>
    <col min="12" max="16384" width="8.88671875" style="58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87)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115</v>
      </c>
    </row>
    <row r="8" spans="1:10" s="2" customFormat="1" ht="9.6" customHeight="1" x14ac:dyDescent="0.25">
      <c r="A8" s="594"/>
      <c r="B8" s="594"/>
      <c r="C8" s="594"/>
      <c r="D8" s="594"/>
      <c r="E8" s="594"/>
      <c r="F8" s="594"/>
      <c r="G8" s="594"/>
      <c r="H8" s="594"/>
      <c r="I8" s="594"/>
      <c r="J8" s="109"/>
    </row>
    <row r="9" spans="1:10" s="2" customFormat="1" ht="26.1" customHeight="1" x14ac:dyDescent="0.3">
      <c r="A9" s="1550" t="s">
        <v>882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'115-суп с рисом'!H14+1</f>
        <v>87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590" t="s">
        <v>92</v>
      </c>
      <c r="D17" s="590" t="s">
        <v>94</v>
      </c>
      <c r="E17" s="590" t="s">
        <v>93</v>
      </c>
      <c r="F17" s="590" t="s">
        <v>23</v>
      </c>
      <c r="G17" s="590" t="s">
        <v>92</v>
      </c>
      <c r="H17" s="590" t="s">
        <v>94</v>
      </c>
      <c r="I17" s="590" t="s">
        <v>92</v>
      </c>
      <c r="J17" s="590" t="s">
        <v>94</v>
      </c>
    </row>
    <row r="18" spans="1:13" ht="9.6" customHeight="1" x14ac:dyDescent="0.25">
      <c r="A18" s="590">
        <v>1</v>
      </c>
      <c r="B18" s="592">
        <v>2</v>
      </c>
      <c r="C18" s="590">
        <v>3</v>
      </c>
      <c r="D18" s="592">
        <v>4</v>
      </c>
      <c r="E18" s="590">
        <v>5</v>
      </c>
      <c r="F18" s="592">
        <v>6</v>
      </c>
      <c r="G18" s="592">
        <v>8</v>
      </c>
      <c r="H18" s="590">
        <v>9</v>
      </c>
      <c r="I18" s="592">
        <v>10</v>
      </c>
      <c r="J18" s="590">
        <v>11</v>
      </c>
    </row>
    <row r="19" spans="1:13" s="10" customFormat="1" ht="14.1" customHeight="1" x14ac:dyDescent="0.25">
      <c r="A19" s="180">
        <v>1</v>
      </c>
      <c r="B19" s="20" t="s">
        <v>340</v>
      </c>
      <c r="C19" s="111">
        <v>0.08</v>
      </c>
      <c r="D19" s="111">
        <v>0.08</v>
      </c>
      <c r="E19" s="408">
        <f>цены!F77</f>
        <v>40</v>
      </c>
      <c r="F19" s="408">
        <f>C19*E19</f>
        <v>3.2</v>
      </c>
      <c r="G19" s="97">
        <f t="shared" ref="G19:H27" si="0">C19*10</f>
        <v>0.8</v>
      </c>
      <c r="H19" s="21">
        <f t="shared" si="0"/>
        <v>0.8</v>
      </c>
      <c r="I19" s="21">
        <f t="shared" ref="I19:J27" si="1">C19*100</f>
        <v>8</v>
      </c>
      <c r="J19" s="21">
        <f t="shared" si="1"/>
        <v>8</v>
      </c>
      <c r="K19" s="1017"/>
      <c r="L19" s="1018">
        <f>C19/C$32</f>
        <v>0.02</v>
      </c>
      <c r="M19" s="1018">
        <f>F19/C$32</f>
        <v>0.8</v>
      </c>
    </row>
    <row r="20" spans="1:13" s="10" customFormat="1" ht="14.1" customHeight="1" x14ac:dyDescent="0.25">
      <c r="A20" s="180">
        <v>2</v>
      </c>
      <c r="B20" s="20" t="s">
        <v>47</v>
      </c>
      <c r="C20" s="111">
        <v>0.05</v>
      </c>
      <c r="D20" s="111">
        <v>0.04</v>
      </c>
      <c r="E20" s="408">
        <f>цены!F44</f>
        <v>50</v>
      </c>
      <c r="F20" s="408">
        <f t="shared" ref="F20:F27" si="2">C20*E20</f>
        <v>2.5</v>
      </c>
      <c r="G20" s="97">
        <f t="shared" si="0"/>
        <v>0.5</v>
      </c>
      <c r="H20" s="21">
        <f t="shared" si="0"/>
        <v>0.4</v>
      </c>
      <c r="I20" s="21">
        <f t="shared" si="1"/>
        <v>5</v>
      </c>
      <c r="J20" s="21">
        <f t="shared" si="1"/>
        <v>4</v>
      </c>
      <c r="K20" s="1017"/>
      <c r="L20" s="1018">
        <f t="shared" ref="L20:L27" si="3">C20/C$32</f>
        <v>1.2500000000000001E-2</v>
      </c>
      <c r="M20" s="1018">
        <f t="shared" ref="M20:M27" si="4">F20/C$32</f>
        <v>0.625</v>
      </c>
    </row>
    <row r="21" spans="1:13" s="10" customFormat="1" ht="12" customHeight="1" x14ac:dyDescent="0.25">
      <c r="A21" s="180">
        <v>3</v>
      </c>
      <c r="B21" s="20" t="s">
        <v>48</v>
      </c>
      <c r="C21" s="111">
        <v>4.8000000000000001E-2</v>
      </c>
      <c r="D21" s="111">
        <v>0.04</v>
      </c>
      <c r="E21" s="408">
        <f>цены!F38</f>
        <v>50</v>
      </c>
      <c r="F21" s="408">
        <f t="shared" si="2"/>
        <v>2.4</v>
      </c>
      <c r="G21" s="97">
        <f t="shared" si="0"/>
        <v>0.48</v>
      </c>
      <c r="H21" s="21">
        <f t="shared" si="0"/>
        <v>0.4</v>
      </c>
      <c r="I21" s="21">
        <f t="shared" si="1"/>
        <v>4.8</v>
      </c>
      <c r="J21" s="21">
        <f t="shared" si="1"/>
        <v>4</v>
      </c>
      <c r="K21" s="1017"/>
      <c r="L21" s="1018">
        <f t="shared" si="3"/>
        <v>1.2E-2</v>
      </c>
      <c r="M21" s="1018">
        <f t="shared" si="4"/>
        <v>0.6</v>
      </c>
    </row>
    <row r="22" spans="1:13" s="10" customFormat="1" ht="12" customHeight="1" x14ac:dyDescent="0.25">
      <c r="A22" s="180">
        <v>4</v>
      </c>
      <c r="B22" s="20" t="s">
        <v>74</v>
      </c>
      <c r="C22" s="111">
        <v>0.02</v>
      </c>
      <c r="D22" s="111">
        <v>0.02</v>
      </c>
      <c r="E22" s="408">
        <f>цены!F87</f>
        <v>120</v>
      </c>
      <c r="F22" s="408">
        <f t="shared" si="2"/>
        <v>2.4</v>
      </c>
      <c r="G22" s="97">
        <f t="shared" si="0"/>
        <v>0.2</v>
      </c>
      <c r="H22" s="21">
        <f t="shared" si="0"/>
        <v>0.2</v>
      </c>
      <c r="I22" s="21">
        <f t="shared" si="1"/>
        <v>2</v>
      </c>
      <c r="J22" s="21">
        <f t="shared" si="1"/>
        <v>2</v>
      </c>
      <c r="K22" s="1017"/>
      <c r="L22" s="1018">
        <f t="shared" si="3"/>
        <v>5.0000000000000001E-3</v>
      </c>
      <c r="M22" s="1018">
        <f t="shared" si="4"/>
        <v>0.6</v>
      </c>
    </row>
    <row r="23" spans="1:13" s="10" customFormat="1" ht="12" customHeight="1" x14ac:dyDescent="0.25">
      <c r="A23" s="180">
        <v>5</v>
      </c>
      <c r="B23" s="20" t="s">
        <v>141</v>
      </c>
      <c r="C23" s="111">
        <v>1</v>
      </c>
      <c r="D23" s="111">
        <v>1</v>
      </c>
      <c r="E23" s="408"/>
      <c r="F23" s="408">
        <f t="shared" si="2"/>
        <v>0</v>
      </c>
      <c r="G23" s="97">
        <f t="shared" si="0"/>
        <v>10</v>
      </c>
      <c r="H23" s="21">
        <f t="shared" si="0"/>
        <v>10</v>
      </c>
      <c r="I23" s="21">
        <f t="shared" si="1"/>
        <v>100</v>
      </c>
      <c r="J23" s="21">
        <f t="shared" si="1"/>
        <v>100</v>
      </c>
      <c r="K23" s="1017"/>
      <c r="L23" s="1018">
        <f t="shared" si="3"/>
        <v>0.25</v>
      </c>
      <c r="M23" s="1018">
        <f t="shared" si="4"/>
        <v>0</v>
      </c>
    </row>
    <row r="24" spans="1:13" s="10" customFormat="1" ht="12" customHeight="1" x14ac:dyDescent="0.25">
      <c r="A24" s="180">
        <v>6</v>
      </c>
      <c r="B24" s="20" t="s">
        <v>84</v>
      </c>
      <c r="C24" s="113">
        <v>4.0000000000000003E-5</v>
      </c>
      <c r="D24" s="113">
        <v>4.0000000000000003E-5</v>
      </c>
      <c r="E24" s="408">
        <f>цены!F100</f>
        <v>1000</v>
      </c>
      <c r="F24" s="408">
        <f t="shared" si="2"/>
        <v>0.04</v>
      </c>
      <c r="G24" s="97">
        <f t="shared" si="0"/>
        <v>0</v>
      </c>
      <c r="H24" s="21">
        <f t="shared" si="0"/>
        <v>0</v>
      </c>
      <c r="I24" s="21">
        <f t="shared" si="1"/>
        <v>4.0000000000000001E-3</v>
      </c>
      <c r="J24" s="21">
        <f t="shared" si="1"/>
        <v>4.0000000000000001E-3</v>
      </c>
      <c r="K24" s="1017"/>
      <c r="L24" s="1018">
        <f t="shared" si="3"/>
        <v>0</v>
      </c>
      <c r="M24" s="1018">
        <f t="shared" si="4"/>
        <v>0.01</v>
      </c>
    </row>
    <row r="25" spans="1:13" s="10" customFormat="1" ht="12" customHeight="1" x14ac:dyDescent="0.25">
      <c r="A25" s="180">
        <v>7</v>
      </c>
      <c r="B25" s="20" t="s">
        <v>33</v>
      </c>
      <c r="C25" s="111">
        <v>0.01</v>
      </c>
      <c r="D25" s="111">
        <v>0.01</v>
      </c>
      <c r="E25" s="408">
        <f>цены!F110</f>
        <v>24</v>
      </c>
      <c r="F25" s="408">
        <f t="shared" si="2"/>
        <v>0.24</v>
      </c>
      <c r="G25" s="97">
        <f t="shared" si="0"/>
        <v>0.1</v>
      </c>
      <c r="H25" s="21">
        <f t="shared" si="0"/>
        <v>0.1</v>
      </c>
      <c r="I25" s="21">
        <f t="shared" si="1"/>
        <v>1</v>
      </c>
      <c r="J25" s="21">
        <f t="shared" si="1"/>
        <v>1</v>
      </c>
      <c r="K25" s="1017"/>
      <c r="L25" s="1018">
        <f t="shared" si="3"/>
        <v>2.5000000000000001E-3</v>
      </c>
      <c r="M25" s="1018">
        <f t="shared" si="4"/>
        <v>0.06</v>
      </c>
    </row>
    <row r="26" spans="1:13" s="10" customFormat="1" ht="12" customHeight="1" x14ac:dyDescent="0.25">
      <c r="A26" s="180">
        <v>8</v>
      </c>
      <c r="B26" s="20" t="s">
        <v>51</v>
      </c>
      <c r="C26" s="111">
        <v>0.02</v>
      </c>
      <c r="D26" s="111">
        <v>0.02</v>
      </c>
      <c r="E26" s="408">
        <f>цены!F24</f>
        <v>234</v>
      </c>
      <c r="F26" s="408">
        <f t="shared" si="2"/>
        <v>4.68</v>
      </c>
      <c r="G26" s="97">
        <f t="shared" si="0"/>
        <v>0.2</v>
      </c>
      <c r="H26" s="21">
        <f t="shared" si="0"/>
        <v>0.2</v>
      </c>
      <c r="I26" s="21">
        <f t="shared" si="1"/>
        <v>2</v>
      </c>
      <c r="J26" s="21">
        <f t="shared" si="1"/>
        <v>2</v>
      </c>
      <c r="K26" s="1017"/>
      <c r="L26" s="1018">
        <f t="shared" si="3"/>
        <v>5.0000000000000001E-3</v>
      </c>
      <c r="M26" s="1018">
        <f t="shared" si="4"/>
        <v>1.17</v>
      </c>
    </row>
    <row r="27" spans="1:13" s="10" customFormat="1" ht="12" customHeight="1" x14ac:dyDescent="0.25">
      <c r="A27" s="180">
        <v>9</v>
      </c>
      <c r="B27" s="20" t="s">
        <v>78</v>
      </c>
      <c r="C27" s="111">
        <f>0.002*C32</f>
        <v>8.0000000000000002E-3</v>
      </c>
      <c r="D27" s="111">
        <f>0.002*C32</f>
        <v>8.0000000000000002E-3</v>
      </c>
      <c r="E27" s="408">
        <f>цены!F48</f>
        <v>300</v>
      </c>
      <c r="F27" s="408">
        <f t="shared" si="2"/>
        <v>2.4</v>
      </c>
      <c r="G27" s="97">
        <f t="shared" si="0"/>
        <v>0.08</v>
      </c>
      <c r="H27" s="21">
        <f t="shared" si="0"/>
        <v>0.08</v>
      </c>
      <c r="I27" s="21">
        <f t="shared" si="1"/>
        <v>0.8</v>
      </c>
      <c r="J27" s="21">
        <f t="shared" si="1"/>
        <v>0.8</v>
      </c>
      <c r="K27" s="1017"/>
      <c r="L27" s="1018">
        <f t="shared" si="3"/>
        <v>2E-3</v>
      </c>
      <c r="M27" s="1018">
        <f t="shared" si="4"/>
        <v>0.6</v>
      </c>
    </row>
    <row r="28" spans="1:13" s="10" customFormat="1" ht="12" customHeight="1" x14ac:dyDescent="0.25">
      <c r="A28" s="98"/>
      <c r="B28" s="93" t="s">
        <v>634</v>
      </c>
      <c r="C28" s="112"/>
      <c r="D28" s="112">
        <v>1</v>
      </c>
      <c r="E28" s="95"/>
      <c r="F28" s="95">
        <f>SUM(F19:F27)</f>
        <v>17.86</v>
      </c>
      <c r="G28" s="99"/>
      <c r="H28" s="100">
        <f>D28*10</f>
        <v>10</v>
      </c>
      <c r="I28" s="100"/>
      <c r="J28" s="100">
        <f>D28*100</f>
        <v>100</v>
      </c>
      <c r="K28" s="1017"/>
      <c r="L28" s="1018">
        <f>SUM(L19:L27)</f>
        <v>0.309</v>
      </c>
      <c r="M28" s="1018">
        <f>SUM(M19:M27)</f>
        <v>4.4649999999999999</v>
      </c>
    </row>
    <row r="29" spans="1:13" s="10" customFormat="1" ht="27.6" customHeight="1" x14ac:dyDescent="0.25">
      <c r="A29" s="1536" t="s">
        <v>35</v>
      </c>
      <c r="B29" s="1536"/>
      <c r="C29" s="90"/>
      <c r="D29" s="90"/>
      <c r="E29" s="408"/>
      <c r="F29" s="408">
        <f>F28</f>
        <v>17.86</v>
      </c>
      <c r="G29" s="591"/>
      <c r="H29" s="591"/>
      <c r="I29" s="21"/>
      <c r="J29" s="408"/>
    </row>
    <row r="30" spans="1:13" s="10" customFormat="1" ht="25.35" customHeight="1" x14ac:dyDescent="0.25">
      <c r="A30" s="1536" t="s">
        <v>36</v>
      </c>
      <c r="B30" s="1536"/>
      <c r="C30" s="90">
        <v>1000</v>
      </c>
      <c r="D30" s="90"/>
      <c r="E30" s="408"/>
      <c r="F30" s="408"/>
      <c r="G30" s="408"/>
      <c r="H30" s="408"/>
      <c r="I30" s="21"/>
      <c r="J30" s="17"/>
    </row>
    <row r="31" spans="1:13" s="10" customFormat="1" ht="25.35" customHeight="1" x14ac:dyDescent="0.25">
      <c r="A31" s="1537" t="s">
        <v>37</v>
      </c>
      <c r="B31" s="1538"/>
      <c r="C31" s="91">
        <v>250</v>
      </c>
      <c r="D31" s="92"/>
      <c r="E31" s="592"/>
      <c r="F31" s="592"/>
      <c r="G31" s="592"/>
      <c r="H31" s="592"/>
      <c r="I31" s="21"/>
      <c r="J31" s="17"/>
    </row>
    <row r="32" spans="1:13" s="10" customFormat="1" ht="15" customHeight="1" x14ac:dyDescent="0.25">
      <c r="A32" s="1539" t="s">
        <v>38</v>
      </c>
      <c r="B32" s="1540"/>
      <c r="C32" s="92">
        <f>C30/C31</f>
        <v>4</v>
      </c>
      <c r="D32" s="92"/>
      <c r="E32" s="592"/>
      <c r="F32" s="592"/>
      <c r="G32" s="592"/>
      <c r="H32" s="592"/>
      <c r="I32" s="21"/>
      <c r="J32" s="17"/>
    </row>
    <row r="33" spans="1:10" ht="16.350000000000001" customHeight="1" x14ac:dyDescent="0.25">
      <c r="A33" s="1541" t="s">
        <v>39</v>
      </c>
      <c r="B33" s="1542"/>
      <c r="C33" s="15" t="s">
        <v>40</v>
      </c>
      <c r="D33" s="102"/>
      <c r="E33" s="102" t="s">
        <v>40</v>
      </c>
      <c r="F33" s="16">
        <f>F29/C32</f>
        <v>4.47</v>
      </c>
      <c r="G33" s="16"/>
      <c r="H33" s="16"/>
      <c r="I33" s="102" t="s">
        <v>40</v>
      </c>
      <c r="J33" s="102" t="s">
        <v>40</v>
      </c>
    </row>
    <row r="34" spans="1:10" ht="23.1" customHeight="1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193"/>
      <c r="B35" s="1194" t="s">
        <v>49</v>
      </c>
      <c r="C35" s="1198"/>
      <c r="D35" s="1198"/>
      <c r="E35" s="1198"/>
      <c r="F35" s="1198"/>
      <c r="G35" s="1193"/>
      <c r="H35" s="1560">
        <f>'1-бутерброд с маслом'!$H$28</f>
        <v>0</v>
      </c>
      <c r="I35" s="1560"/>
      <c r="J35" s="1560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545" t="s">
        <v>327</v>
      </c>
      <c r="B37" s="1545"/>
      <c r="C37" s="1546" t="s">
        <v>328</v>
      </c>
      <c r="D37" s="1546"/>
      <c r="E37" s="1546"/>
      <c r="F37" s="1546"/>
      <c r="G37" s="106"/>
      <c r="H37" s="1531"/>
      <c r="I37" s="1531"/>
      <c r="J37" s="1531"/>
    </row>
    <row r="38" spans="1:10" x14ac:dyDescent="0.25">
      <c r="A38" s="1193"/>
      <c r="B38" s="1193"/>
      <c r="C38" s="1546"/>
      <c r="D38" s="1546"/>
      <c r="E38" s="1546"/>
      <c r="F38" s="1546"/>
      <c r="G38" s="1193"/>
      <c r="H38" s="1531" t="s">
        <v>329</v>
      </c>
      <c r="I38" s="1531"/>
      <c r="J38" s="1531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</sheetData>
  <mergeCells count="28">
    <mergeCell ref="H35:J35"/>
    <mergeCell ref="A13:G13"/>
    <mergeCell ref="A30:B30"/>
    <mergeCell ref="A31:B31"/>
    <mergeCell ref="A32:B32"/>
    <mergeCell ref="A33:B33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7:B37"/>
    <mergeCell ref="C37:F38"/>
    <mergeCell ref="H37:J37"/>
    <mergeCell ref="H38:J38"/>
    <mergeCell ref="H5:I5"/>
    <mergeCell ref="A6:G6"/>
    <mergeCell ref="A7:I7"/>
    <mergeCell ref="A29:B29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42"/>
  <sheetViews>
    <sheetView view="pageBreakPreview" topLeftCell="A4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589" customWidth="1"/>
    <col min="2" max="2" width="24" style="589" customWidth="1"/>
    <col min="3" max="9" width="7.5546875" style="589" customWidth="1"/>
    <col min="10" max="10" width="9" style="589" customWidth="1"/>
    <col min="11" max="11" width="3.6640625" style="589" customWidth="1"/>
    <col min="12" max="16384" width="8.88671875" style="58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88)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115</v>
      </c>
    </row>
    <row r="8" spans="1:10" s="2" customFormat="1" ht="9.6" customHeight="1" x14ac:dyDescent="0.25">
      <c r="A8" s="594"/>
      <c r="B8" s="594"/>
      <c r="C8" s="594"/>
      <c r="D8" s="594"/>
      <c r="E8" s="594"/>
      <c r="F8" s="594"/>
      <c r="G8" s="594"/>
      <c r="H8" s="594"/>
      <c r="I8" s="594"/>
      <c r="J8" s="109"/>
    </row>
    <row r="9" spans="1:10" s="2" customFormat="1" ht="26.1" customHeight="1" x14ac:dyDescent="0.3">
      <c r="A9" s="1550" t="s">
        <v>883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'115-суп с перловкой'!H14+1</f>
        <v>88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590" t="s">
        <v>92</v>
      </c>
      <c r="D17" s="590" t="s">
        <v>94</v>
      </c>
      <c r="E17" s="590" t="s">
        <v>93</v>
      </c>
      <c r="F17" s="590" t="s">
        <v>23</v>
      </c>
      <c r="G17" s="590" t="s">
        <v>92</v>
      </c>
      <c r="H17" s="590" t="s">
        <v>94</v>
      </c>
      <c r="I17" s="590" t="s">
        <v>92</v>
      </c>
      <c r="J17" s="590" t="s">
        <v>94</v>
      </c>
    </row>
    <row r="18" spans="1:13" ht="9.6" customHeight="1" x14ac:dyDescent="0.25">
      <c r="A18" s="590">
        <v>1</v>
      </c>
      <c r="B18" s="592">
        <v>2</v>
      </c>
      <c r="C18" s="590">
        <v>3</v>
      </c>
      <c r="D18" s="592">
        <v>4</v>
      </c>
      <c r="E18" s="590">
        <v>5</v>
      </c>
      <c r="F18" s="592">
        <v>6</v>
      </c>
      <c r="G18" s="592">
        <v>8</v>
      </c>
      <c r="H18" s="590">
        <v>9</v>
      </c>
      <c r="I18" s="592">
        <v>10</v>
      </c>
      <c r="J18" s="590">
        <v>11</v>
      </c>
    </row>
    <row r="19" spans="1:13" s="10" customFormat="1" ht="14.1" customHeight="1" x14ac:dyDescent="0.25">
      <c r="A19" s="180">
        <v>1</v>
      </c>
      <c r="B19" s="20" t="s">
        <v>700</v>
      </c>
      <c r="C19" s="111">
        <v>0.1</v>
      </c>
      <c r="D19" s="111">
        <v>0.1</v>
      </c>
      <c r="E19" s="408">
        <f>цены!F78</f>
        <v>35</v>
      </c>
      <c r="F19" s="408">
        <f>C19*E19</f>
        <v>3.5</v>
      </c>
      <c r="G19" s="97">
        <f t="shared" ref="G19:H27" si="0">C19*10</f>
        <v>1</v>
      </c>
      <c r="H19" s="21">
        <f t="shared" si="0"/>
        <v>1</v>
      </c>
      <c r="I19" s="21">
        <f t="shared" ref="I19:J27" si="1">C19*100</f>
        <v>10</v>
      </c>
      <c r="J19" s="21">
        <f t="shared" si="1"/>
        <v>10</v>
      </c>
      <c r="L19" s="1018">
        <f>C19/C$32</f>
        <v>2.5000000000000001E-2</v>
      </c>
      <c r="M19" s="1018">
        <f>F19/C$32</f>
        <v>0.875</v>
      </c>
    </row>
    <row r="20" spans="1:13" s="10" customFormat="1" ht="14.1" customHeight="1" x14ac:dyDescent="0.25">
      <c r="A20" s="180">
        <v>2</v>
      </c>
      <c r="B20" s="20" t="s">
        <v>47</v>
      </c>
      <c r="C20" s="111">
        <v>0.05</v>
      </c>
      <c r="D20" s="111">
        <v>0.04</v>
      </c>
      <c r="E20" s="408">
        <f>цены!F44</f>
        <v>50</v>
      </c>
      <c r="F20" s="408">
        <f t="shared" ref="F20:F27" si="2">C20*E20</f>
        <v>2.5</v>
      </c>
      <c r="G20" s="97">
        <f t="shared" si="0"/>
        <v>0.5</v>
      </c>
      <c r="H20" s="21">
        <f t="shared" si="0"/>
        <v>0.4</v>
      </c>
      <c r="I20" s="21">
        <f t="shared" si="1"/>
        <v>5</v>
      </c>
      <c r="J20" s="21">
        <f t="shared" si="1"/>
        <v>4</v>
      </c>
      <c r="L20" s="1018">
        <f t="shared" ref="L20:L27" si="3">C20/C$32</f>
        <v>1.2500000000000001E-2</v>
      </c>
      <c r="M20" s="1018">
        <f t="shared" ref="M20:M27" si="4">F20/C$32</f>
        <v>0.625</v>
      </c>
    </row>
    <row r="21" spans="1:13" s="10" customFormat="1" ht="12" customHeight="1" x14ac:dyDescent="0.25">
      <c r="A21" s="180">
        <v>3</v>
      </c>
      <c r="B21" s="20" t="s">
        <v>48</v>
      </c>
      <c r="C21" s="111">
        <v>4.8000000000000001E-2</v>
      </c>
      <c r="D21" s="111">
        <v>0.04</v>
      </c>
      <c r="E21" s="408">
        <f>цены!F38</f>
        <v>50</v>
      </c>
      <c r="F21" s="408">
        <f t="shared" si="2"/>
        <v>2.4</v>
      </c>
      <c r="G21" s="97">
        <f t="shared" si="0"/>
        <v>0.48</v>
      </c>
      <c r="H21" s="21">
        <f t="shared" si="0"/>
        <v>0.4</v>
      </c>
      <c r="I21" s="21">
        <f t="shared" si="1"/>
        <v>4.8</v>
      </c>
      <c r="J21" s="21">
        <f t="shared" si="1"/>
        <v>4</v>
      </c>
      <c r="L21" s="1018">
        <f t="shared" si="3"/>
        <v>1.2E-2</v>
      </c>
      <c r="M21" s="1018">
        <f t="shared" si="4"/>
        <v>0.6</v>
      </c>
    </row>
    <row r="22" spans="1:13" s="10" customFormat="1" ht="12" customHeight="1" x14ac:dyDescent="0.25">
      <c r="A22" s="180">
        <v>4</v>
      </c>
      <c r="B22" s="20" t="s">
        <v>74</v>
      </c>
      <c r="C22" s="111">
        <v>0.02</v>
      </c>
      <c r="D22" s="111">
        <v>0.02</v>
      </c>
      <c r="E22" s="408">
        <f>цены!F87</f>
        <v>120</v>
      </c>
      <c r="F22" s="408">
        <f t="shared" si="2"/>
        <v>2.4</v>
      </c>
      <c r="G22" s="97">
        <f t="shared" si="0"/>
        <v>0.2</v>
      </c>
      <c r="H22" s="21">
        <f t="shared" si="0"/>
        <v>0.2</v>
      </c>
      <c r="I22" s="21">
        <f t="shared" si="1"/>
        <v>2</v>
      </c>
      <c r="J22" s="21">
        <f t="shared" si="1"/>
        <v>2</v>
      </c>
      <c r="L22" s="1018">
        <f t="shared" si="3"/>
        <v>5.0000000000000001E-3</v>
      </c>
      <c r="M22" s="1018">
        <f t="shared" si="4"/>
        <v>0.6</v>
      </c>
    </row>
    <row r="23" spans="1:13" s="10" customFormat="1" ht="12" customHeight="1" x14ac:dyDescent="0.25">
      <c r="A23" s="180">
        <v>5</v>
      </c>
      <c r="B23" s="20" t="s">
        <v>141</v>
      </c>
      <c r="C23" s="111">
        <v>1</v>
      </c>
      <c r="D23" s="111">
        <v>1</v>
      </c>
      <c r="E23" s="408"/>
      <c r="F23" s="408">
        <f t="shared" si="2"/>
        <v>0</v>
      </c>
      <c r="G23" s="97">
        <f t="shared" si="0"/>
        <v>10</v>
      </c>
      <c r="H23" s="21">
        <f t="shared" si="0"/>
        <v>10</v>
      </c>
      <c r="I23" s="21">
        <f t="shared" si="1"/>
        <v>100</v>
      </c>
      <c r="J23" s="21">
        <f t="shared" si="1"/>
        <v>100</v>
      </c>
      <c r="L23" s="1018">
        <f t="shared" si="3"/>
        <v>0.25</v>
      </c>
      <c r="M23" s="1018">
        <f t="shared" si="4"/>
        <v>0</v>
      </c>
    </row>
    <row r="24" spans="1:13" s="10" customFormat="1" ht="12" customHeight="1" x14ac:dyDescent="0.25">
      <c r="A24" s="180">
        <v>6</v>
      </c>
      <c r="B24" s="20" t="s">
        <v>84</v>
      </c>
      <c r="C24" s="113">
        <v>4.0000000000000003E-5</v>
      </c>
      <c r="D24" s="113">
        <v>4.0000000000000003E-5</v>
      </c>
      <c r="E24" s="408">
        <f>цены!F100</f>
        <v>1000</v>
      </c>
      <c r="F24" s="408">
        <f t="shared" si="2"/>
        <v>0.04</v>
      </c>
      <c r="G24" s="97">
        <f t="shared" si="0"/>
        <v>0</v>
      </c>
      <c r="H24" s="21">
        <f t="shared" si="0"/>
        <v>0</v>
      </c>
      <c r="I24" s="21">
        <f t="shared" si="1"/>
        <v>4.0000000000000001E-3</v>
      </c>
      <c r="J24" s="21">
        <f t="shared" si="1"/>
        <v>4.0000000000000001E-3</v>
      </c>
      <c r="L24" s="1018">
        <f t="shared" si="3"/>
        <v>0</v>
      </c>
      <c r="M24" s="1018">
        <f t="shared" si="4"/>
        <v>0.01</v>
      </c>
    </row>
    <row r="25" spans="1:13" s="10" customFormat="1" ht="12" customHeight="1" x14ac:dyDescent="0.25">
      <c r="A25" s="180">
        <v>7</v>
      </c>
      <c r="B25" s="20" t="s">
        <v>33</v>
      </c>
      <c r="C25" s="111">
        <v>0.01</v>
      </c>
      <c r="D25" s="111">
        <v>0.01</v>
      </c>
      <c r="E25" s="408">
        <f>цены!F110</f>
        <v>24</v>
      </c>
      <c r="F25" s="408">
        <f t="shared" si="2"/>
        <v>0.24</v>
      </c>
      <c r="G25" s="97">
        <f t="shared" si="0"/>
        <v>0.1</v>
      </c>
      <c r="H25" s="21">
        <f t="shared" si="0"/>
        <v>0.1</v>
      </c>
      <c r="I25" s="21">
        <f t="shared" si="1"/>
        <v>1</v>
      </c>
      <c r="J25" s="21">
        <f t="shared" si="1"/>
        <v>1</v>
      </c>
      <c r="L25" s="1018">
        <f t="shared" si="3"/>
        <v>2.5000000000000001E-3</v>
      </c>
      <c r="M25" s="1018">
        <f t="shared" si="4"/>
        <v>0.06</v>
      </c>
    </row>
    <row r="26" spans="1:13" s="10" customFormat="1" ht="12" customHeight="1" x14ac:dyDescent="0.25">
      <c r="A26" s="180">
        <v>8</v>
      </c>
      <c r="B26" s="20" t="s">
        <v>51</v>
      </c>
      <c r="C26" s="111">
        <v>0.02</v>
      </c>
      <c r="D26" s="111">
        <v>0.02</v>
      </c>
      <c r="E26" s="408">
        <f>цены!F24</f>
        <v>234</v>
      </c>
      <c r="F26" s="408">
        <f t="shared" si="2"/>
        <v>4.68</v>
      </c>
      <c r="G26" s="97">
        <f t="shared" si="0"/>
        <v>0.2</v>
      </c>
      <c r="H26" s="21">
        <f t="shared" si="0"/>
        <v>0.2</v>
      </c>
      <c r="I26" s="21">
        <f t="shared" si="1"/>
        <v>2</v>
      </c>
      <c r="J26" s="21">
        <f t="shared" si="1"/>
        <v>2</v>
      </c>
      <c r="L26" s="1018">
        <f t="shared" si="3"/>
        <v>5.0000000000000001E-3</v>
      </c>
      <c r="M26" s="1018">
        <f t="shared" si="4"/>
        <v>1.17</v>
      </c>
    </row>
    <row r="27" spans="1:13" s="10" customFormat="1" ht="12" customHeight="1" x14ac:dyDescent="0.25">
      <c r="A27" s="180">
        <v>9</v>
      </c>
      <c r="B27" s="20" t="s">
        <v>78</v>
      </c>
      <c r="C27" s="111">
        <f>0.002*C32</f>
        <v>8.0000000000000002E-3</v>
      </c>
      <c r="D27" s="111">
        <f>0.002*C32</f>
        <v>8.0000000000000002E-3</v>
      </c>
      <c r="E27" s="408">
        <f>цены!F48</f>
        <v>300</v>
      </c>
      <c r="F27" s="408">
        <f t="shared" si="2"/>
        <v>2.4</v>
      </c>
      <c r="G27" s="97">
        <f t="shared" si="0"/>
        <v>0.08</v>
      </c>
      <c r="H27" s="21">
        <f t="shared" si="0"/>
        <v>0.08</v>
      </c>
      <c r="I27" s="21">
        <f t="shared" si="1"/>
        <v>0.8</v>
      </c>
      <c r="J27" s="21">
        <f t="shared" si="1"/>
        <v>0.8</v>
      </c>
      <c r="L27" s="1018">
        <f t="shared" si="3"/>
        <v>2E-3</v>
      </c>
      <c r="M27" s="1018">
        <f t="shared" si="4"/>
        <v>0.6</v>
      </c>
    </row>
    <row r="28" spans="1:13" s="10" customFormat="1" ht="12" customHeight="1" x14ac:dyDescent="0.25">
      <c r="A28" s="98"/>
      <c r="B28" s="93" t="s">
        <v>634</v>
      </c>
      <c r="C28" s="112"/>
      <c r="D28" s="112">
        <v>1</v>
      </c>
      <c r="E28" s="95"/>
      <c r="F28" s="95">
        <f>SUM(F19:F27)</f>
        <v>18.16</v>
      </c>
      <c r="G28" s="99"/>
      <c r="H28" s="100">
        <f>D28*10</f>
        <v>10</v>
      </c>
      <c r="I28" s="100"/>
      <c r="J28" s="100">
        <f>D28*100</f>
        <v>100</v>
      </c>
      <c r="L28" s="1018">
        <f>SUM(L19:L27)</f>
        <v>0.314</v>
      </c>
      <c r="M28" s="1018">
        <f>SUM(M19:M27)</f>
        <v>4.54</v>
      </c>
    </row>
    <row r="29" spans="1:13" s="10" customFormat="1" ht="27.6" customHeight="1" x14ac:dyDescent="0.25">
      <c r="A29" s="1536" t="s">
        <v>35</v>
      </c>
      <c r="B29" s="1536"/>
      <c r="C29" s="90"/>
      <c r="D29" s="90"/>
      <c r="E29" s="408"/>
      <c r="F29" s="408">
        <f>F28</f>
        <v>18.16</v>
      </c>
      <c r="G29" s="591"/>
      <c r="H29" s="591"/>
      <c r="I29" s="21"/>
      <c r="J29" s="408"/>
    </row>
    <row r="30" spans="1:13" s="10" customFormat="1" ht="25.35" customHeight="1" x14ac:dyDescent="0.25">
      <c r="A30" s="1536" t="s">
        <v>36</v>
      </c>
      <c r="B30" s="1536"/>
      <c r="C30" s="90">
        <v>1000</v>
      </c>
      <c r="D30" s="90"/>
      <c r="E30" s="408"/>
      <c r="F30" s="408"/>
      <c r="G30" s="408"/>
      <c r="H30" s="408"/>
      <c r="I30" s="21"/>
      <c r="J30" s="17"/>
    </row>
    <row r="31" spans="1:13" s="10" customFormat="1" ht="25.35" customHeight="1" x14ac:dyDescent="0.25">
      <c r="A31" s="1537" t="s">
        <v>37</v>
      </c>
      <c r="B31" s="1538"/>
      <c r="C31" s="91">
        <v>250</v>
      </c>
      <c r="D31" s="92"/>
      <c r="E31" s="592"/>
      <c r="F31" s="592"/>
      <c r="G31" s="592"/>
      <c r="H31" s="592"/>
      <c r="I31" s="21"/>
      <c r="J31" s="17"/>
    </row>
    <row r="32" spans="1:13" s="10" customFormat="1" ht="15" customHeight="1" x14ac:dyDescent="0.25">
      <c r="A32" s="1539" t="s">
        <v>38</v>
      </c>
      <c r="B32" s="1540"/>
      <c r="C32" s="92">
        <f>C30/C31</f>
        <v>4</v>
      </c>
      <c r="D32" s="92"/>
      <c r="E32" s="592"/>
      <c r="F32" s="592"/>
      <c r="G32" s="592"/>
      <c r="H32" s="592"/>
      <c r="I32" s="21"/>
      <c r="J32" s="17"/>
    </row>
    <row r="33" spans="1:10" ht="16.350000000000001" customHeight="1" x14ac:dyDescent="0.25">
      <c r="A33" s="1541" t="s">
        <v>39</v>
      </c>
      <c r="B33" s="1542"/>
      <c r="C33" s="15" t="s">
        <v>40</v>
      </c>
      <c r="D33" s="102"/>
      <c r="E33" s="102" t="s">
        <v>40</v>
      </c>
      <c r="F33" s="16">
        <f>F29/C32</f>
        <v>4.54</v>
      </c>
      <c r="G33" s="16"/>
      <c r="H33" s="16"/>
      <c r="I33" s="102" t="s">
        <v>40</v>
      </c>
      <c r="J33" s="102" t="s">
        <v>40</v>
      </c>
    </row>
    <row r="34" spans="1:10" ht="23.1" customHeight="1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193"/>
      <c r="B35" s="1194" t="s">
        <v>49</v>
      </c>
      <c r="C35" s="1198"/>
      <c r="D35" s="1198"/>
      <c r="E35" s="1198"/>
      <c r="F35" s="1198"/>
      <c r="G35" s="1193"/>
      <c r="H35" s="1560">
        <f>'1-бутерброд с маслом'!$H$28</f>
        <v>0</v>
      </c>
      <c r="I35" s="1560"/>
      <c r="J35" s="1560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545" t="s">
        <v>327</v>
      </c>
      <c r="B37" s="1545"/>
      <c r="C37" s="1546" t="s">
        <v>328</v>
      </c>
      <c r="D37" s="1546"/>
      <c r="E37" s="1546"/>
      <c r="F37" s="1546"/>
      <c r="G37" s="106"/>
      <c r="H37" s="1531"/>
      <c r="I37" s="1531"/>
      <c r="J37" s="1531"/>
    </row>
    <row r="38" spans="1:10" x14ac:dyDescent="0.25">
      <c r="A38" s="1193"/>
      <c r="B38" s="1193"/>
      <c r="C38" s="1546"/>
      <c r="D38" s="1546"/>
      <c r="E38" s="1546"/>
      <c r="F38" s="1546"/>
      <c r="G38" s="1193"/>
      <c r="H38" s="1531" t="s">
        <v>329</v>
      </c>
      <c r="I38" s="1531"/>
      <c r="J38" s="1531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</sheetData>
  <mergeCells count="28">
    <mergeCell ref="H35:J35"/>
    <mergeCell ref="A13:G13"/>
    <mergeCell ref="A30:B30"/>
    <mergeCell ref="A31:B31"/>
    <mergeCell ref="A32:B32"/>
    <mergeCell ref="A33:B33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7:B37"/>
    <mergeCell ref="C37:F38"/>
    <mergeCell ref="H37:J37"/>
    <mergeCell ref="H38:J38"/>
    <mergeCell ref="H5:I5"/>
    <mergeCell ref="A6:G6"/>
    <mergeCell ref="A7:I7"/>
    <mergeCell ref="A29:B29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42"/>
  <sheetViews>
    <sheetView view="pageBreakPreview" topLeftCell="A6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589" customWidth="1"/>
    <col min="2" max="2" width="24" style="589" customWidth="1"/>
    <col min="3" max="9" width="7.5546875" style="589" customWidth="1"/>
    <col min="10" max="10" width="9" style="589" customWidth="1"/>
    <col min="11" max="11" width="3.44140625" style="589" customWidth="1"/>
    <col min="12" max="16384" width="8.88671875" style="58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89)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115</v>
      </c>
    </row>
    <row r="8" spans="1:10" s="2" customFormat="1" ht="9.6" customHeight="1" x14ac:dyDescent="0.25">
      <c r="A8" s="594"/>
      <c r="B8" s="594"/>
      <c r="C8" s="594"/>
      <c r="D8" s="594"/>
      <c r="E8" s="594"/>
      <c r="F8" s="594"/>
      <c r="G8" s="594"/>
      <c r="H8" s="594"/>
      <c r="I8" s="594"/>
      <c r="J8" s="109"/>
    </row>
    <row r="9" spans="1:10" s="2" customFormat="1" ht="26.1" customHeight="1" x14ac:dyDescent="0.3">
      <c r="A9" s="1550" t="s">
        <v>884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'115-суп с овсянкой 80'!H14+1</f>
        <v>89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590" t="s">
        <v>92</v>
      </c>
      <c r="D17" s="590" t="s">
        <v>94</v>
      </c>
      <c r="E17" s="590" t="s">
        <v>93</v>
      </c>
      <c r="F17" s="590" t="s">
        <v>23</v>
      </c>
      <c r="G17" s="590" t="s">
        <v>92</v>
      </c>
      <c r="H17" s="590" t="s">
        <v>94</v>
      </c>
      <c r="I17" s="590" t="s">
        <v>92</v>
      </c>
      <c r="J17" s="590" t="s">
        <v>94</v>
      </c>
    </row>
    <row r="18" spans="1:13" ht="9.6" customHeight="1" x14ac:dyDescent="0.25">
      <c r="A18" s="590">
        <v>1</v>
      </c>
      <c r="B18" s="592">
        <v>2</v>
      </c>
      <c r="C18" s="590">
        <v>3</v>
      </c>
      <c r="D18" s="592">
        <v>4</v>
      </c>
      <c r="E18" s="590">
        <v>5</v>
      </c>
      <c r="F18" s="592">
        <v>6</v>
      </c>
      <c r="G18" s="592">
        <v>8</v>
      </c>
      <c r="H18" s="590">
        <v>9</v>
      </c>
      <c r="I18" s="592">
        <v>10</v>
      </c>
      <c r="J18" s="590">
        <v>11</v>
      </c>
    </row>
    <row r="19" spans="1:13" s="10" customFormat="1" ht="14.1" customHeight="1" x14ac:dyDescent="0.25">
      <c r="A19" s="180">
        <v>1</v>
      </c>
      <c r="B19" s="20" t="s">
        <v>700</v>
      </c>
      <c r="C19" s="111">
        <v>0.1</v>
      </c>
      <c r="D19" s="111">
        <v>0.1</v>
      </c>
      <c r="E19" s="408">
        <f>цены!F79</f>
        <v>35</v>
      </c>
      <c r="F19" s="408">
        <f>C19*E19</f>
        <v>3.5</v>
      </c>
      <c r="G19" s="97">
        <f t="shared" ref="G19:H27" si="0">C19*10</f>
        <v>1</v>
      </c>
      <c r="H19" s="21">
        <f t="shared" si="0"/>
        <v>1</v>
      </c>
      <c r="I19" s="21">
        <f t="shared" ref="I19:J27" si="1">C19*100</f>
        <v>10</v>
      </c>
      <c r="J19" s="21">
        <f t="shared" si="1"/>
        <v>10</v>
      </c>
      <c r="L19" s="1018">
        <f>C19/C$32</f>
        <v>2.5000000000000001E-2</v>
      </c>
      <c r="M19" s="1018">
        <f>F19/C$32</f>
        <v>0.875</v>
      </c>
    </row>
    <row r="20" spans="1:13" s="10" customFormat="1" ht="14.1" customHeight="1" x14ac:dyDescent="0.25">
      <c r="A20" s="180">
        <v>2</v>
      </c>
      <c r="B20" s="20" t="s">
        <v>47</v>
      </c>
      <c r="C20" s="111">
        <v>0.05</v>
      </c>
      <c r="D20" s="111">
        <v>0.04</v>
      </c>
      <c r="E20" s="408">
        <f>цены!F44</f>
        <v>50</v>
      </c>
      <c r="F20" s="408">
        <f t="shared" ref="F20:F27" si="2">C20*E20</f>
        <v>2.5</v>
      </c>
      <c r="G20" s="97">
        <f t="shared" si="0"/>
        <v>0.5</v>
      </c>
      <c r="H20" s="21">
        <f t="shared" si="0"/>
        <v>0.4</v>
      </c>
      <c r="I20" s="21">
        <f t="shared" si="1"/>
        <v>5</v>
      </c>
      <c r="J20" s="21">
        <f t="shared" si="1"/>
        <v>4</v>
      </c>
      <c r="L20" s="1018">
        <f t="shared" ref="L20:L27" si="3">C20/C$32</f>
        <v>1.2500000000000001E-2</v>
      </c>
      <c r="M20" s="1018">
        <f t="shared" ref="M20:M27" si="4">F20/C$32</f>
        <v>0.625</v>
      </c>
    </row>
    <row r="21" spans="1:13" s="10" customFormat="1" ht="12" customHeight="1" x14ac:dyDescent="0.25">
      <c r="A21" s="180">
        <v>3</v>
      </c>
      <c r="B21" s="20" t="s">
        <v>48</v>
      </c>
      <c r="C21" s="111">
        <v>4.8000000000000001E-2</v>
      </c>
      <c r="D21" s="111">
        <v>0.04</v>
      </c>
      <c r="E21" s="408">
        <f>цены!F38</f>
        <v>50</v>
      </c>
      <c r="F21" s="408">
        <f t="shared" si="2"/>
        <v>2.4</v>
      </c>
      <c r="G21" s="97">
        <f t="shared" si="0"/>
        <v>0.48</v>
      </c>
      <c r="H21" s="21">
        <f t="shared" si="0"/>
        <v>0.4</v>
      </c>
      <c r="I21" s="21">
        <f t="shared" si="1"/>
        <v>4.8</v>
      </c>
      <c r="J21" s="21">
        <f t="shared" si="1"/>
        <v>4</v>
      </c>
      <c r="L21" s="1018">
        <f t="shared" si="3"/>
        <v>1.2E-2</v>
      </c>
      <c r="M21" s="1018">
        <f t="shared" si="4"/>
        <v>0.6</v>
      </c>
    </row>
    <row r="22" spans="1:13" s="10" customFormat="1" ht="12" customHeight="1" x14ac:dyDescent="0.25">
      <c r="A22" s="180">
        <v>4</v>
      </c>
      <c r="B22" s="20" t="s">
        <v>74</v>
      </c>
      <c r="C22" s="111">
        <v>0.02</v>
      </c>
      <c r="D22" s="111">
        <v>0.02</v>
      </c>
      <c r="E22" s="408">
        <f>цены!F87</f>
        <v>120</v>
      </c>
      <c r="F22" s="408">
        <f t="shared" si="2"/>
        <v>2.4</v>
      </c>
      <c r="G22" s="97">
        <f t="shared" si="0"/>
        <v>0.2</v>
      </c>
      <c r="H22" s="21">
        <f t="shared" si="0"/>
        <v>0.2</v>
      </c>
      <c r="I22" s="21">
        <f t="shared" si="1"/>
        <v>2</v>
      </c>
      <c r="J22" s="21">
        <f t="shared" si="1"/>
        <v>2</v>
      </c>
      <c r="L22" s="1018">
        <f t="shared" si="3"/>
        <v>5.0000000000000001E-3</v>
      </c>
      <c r="M22" s="1018">
        <f t="shared" si="4"/>
        <v>0.6</v>
      </c>
    </row>
    <row r="23" spans="1:13" s="10" customFormat="1" ht="12" customHeight="1" x14ac:dyDescent="0.25">
      <c r="A23" s="180">
        <v>5</v>
      </c>
      <c r="B23" s="20" t="s">
        <v>141</v>
      </c>
      <c r="C23" s="111">
        <v>1</v>
      </c>
      <c r="D23" s="111">
        <v>1</v>
      </c>
      <c r="E23" s="408"/>
      <c r="F23" s="408">
        <f t="shared" si="2"/>
        <v>0</v>
      </c>
      <c r="G23" s="97">
        <f t="shared" si="0"/>
        <v>10</v>
      </c>
      <c r="H23" s="21">
        <f t="shared" si="0"/>
        <v>10</v>
      </c>
      <c r="I23" s="21">
        <f t="shared" si="1"/>
        <v>100</v>
      </c>
      <c r="J23" s="21">
        <f t="shared" si="1"/>
        <v>100</v>
      </c>
      <c r="L23" s="1018">
        <f t="shared" si="3"/>
        <v>0.25</v>
      </c>
      <c r="M23" s="1018">
        <f t="shared" si="4"/>
        <v>0</v>
      </c>
    </row>
    <row r="24" spans="1:13" s="10" customFormat="1" ht="12" customHeight="1" x14ac:dyDescent="0.25">
      <c r="A24" s="180">
        <v>6</v>
      </c>
      <c r="B24" s="20" t="s">
        <v>84</v>
      </c>
      <c r="C24" s="113">
        <v>4.0000000000000003E-5</v>
      </c>
      <c r="D24" s="113">
        <v>4.0000000000000003E-5</v>
      </c>
      <c r="E24" s="408">
        <f>цены!F100</f>
        <v>1000</v>
      </c>
      <c r="F24" s="408">
        <f t="shared" si="2"/>
        <v>0.04</v>
      </c>
      <c r="G24" s="97">
        <f t="shared" si="0"/>
        <v>0</v>
      </c>
      <c r="H24" s="21">
        <f t="shared" si="0"/>
        <v>0</v>
      </c>
      <c r="I24" s="21">
        <f t="shared" si="1"/>
        <v>4.0000000000000001E-3</v>
      </c>
      <c r="J24" s="21">
        <f t="shared" si="1"/>
        <v>4.0000000000000001E-3</v>
      </c>
      <c r="L24" s="1018">
        <f t="shared" si="3"/>
        <v>0</v>
      </c>
      <c r="M24" s="1018">
        <f t="shared" si="4"/>
        <v>0.01</v>
      </c>
    </row>
    <row r="25" spans="1:13" s="10" customFormat="1" ht="12" customHeight="1" x14ac:dyDescent="0.25">
      <c r="A25" s="180">
        <v>7</v>
      </c>
      <c r="B25" s="20" t="s">
        <v>33</v>
      </c>
      <c r="C25" s="111">
        <v>0.01</v>
      </c>
      <c r="D25" s="111">
        <v>0.01</v>
      </c>
      <c r="E25" s="408">
        <f>цены!F110</f>
        <v>24</v>
      </c>
      <c r="F25" s="408">
        <f t="shared" si="2"/>
        <v>0.24</v>
      </c>
      <c r="G25" s="97">
        <f t="shared" si="0"/>
        <v>0.1</v>
      </c>
      <c r="H25" s="21">
        <f t="shared" si="0"/>
        <v>0.1</v>
      </c>
      <c r="I25" s="21">
        <f t="shared" si="1"/>
        <v>1</v>
      </c>
      <c r="J25" s="21">
        <f t="shared" si="1"/>
        <v>1</v>
      </c>
      <c r="L25" s="1018">
        <f t="shared" si="3"/>
        <v>2.5000000000000001E-3</v>
      </c>
      <c r="M25" s="1018">
        <f t="shared" si="4"/>
        <v>0.06</v>
      </c>
    </row>
    <row r="26" spans="1:13" s="10" customFormat="1" ht="12" customHeight="1" x14ac:dyDescent="0.25">
      <c r="A26" s="180">
        <v>8</v>
      </c>
      <c r="B26" s="20" t="s">
        <v>51</v>
      </c>
      <c r="C26" s="111">
        <v>0.02</v>
      </c>
      <c r="D26" s="111">
        <v>0.02</v>
      </c>
      <c r="E26" s="408">
        <f>цены!F24</f>
        <v>234</v>
      </c>
      <c r="F26" s="408">
        <f t="shared" si="2"/>
        <v>4.68</v>
      </c>
      <c r="G26" s="97">
        <f t="shared" si="0"/>
        <v>0.2</v>
      </c>
      <c r="H26" s="21">
        <f t="shared" si="0"/>
        <v>0.2</v>
      </c>
      <c r="I26" s="21">
        <f t="shared" si="1"/>
        <v>2</v>
      </c>
      <c r="J26" s="21">
        <f t="shared" si="1"/>
        <v>2</v>
      </c>
      <c r="L26" s="1018">
        <f t="shared" si="3"/>
        <v>5.0000000000000001E-3</v>
      </c>
      <c r="M26" s="1018">
        <f t="shared" si="4"/>
        <v>1.17</v>
      </c>
    </row>
    <row r="27" spans="1:13" s="10" customFormat="1" ht="12" customHeight="1" x14ac:dyDescent="0.25">
      <c r="A27" s="180">
        <v>9</v>
      </c>
      <c r="B27" s="20" t="s">
        <v>78</v>
      </c>
      <c r="C27" s="111">
        <f>0.002*C32</f>
        <v>8.0000000000000002E-3</v>
      </c>
      <c r="D27" s="111">
        <f>0.002*C32</f>
        <v>8.0000000000000002E-3</v>
      </c>
      <c r="E27" s="408">
        <f>цены!F48</f>
        <v>300</v>
      </c>
      <c r="F27" s="408">
        <f t="shared" si="2"/>
        <v>2.4</v>
      </c>
      <c r="G27" s="97">
        <f t="shared" si="0"/>
        <v>0.08</v>
      </c>
      <c r="H27" s="21">
        <f t="shared" si="0"/>
        <v>0.08</v>
      </c>
      <c r="I27" s="21">
        <f t="shared" si="1"/>
        <v>0.8</v>
      </c>
      <c r="J27" s="21">
        <f t="shared" si="1"/>
        <v>0.8</v>
      </c>
      <c r="L27" s="1018">
        <f t="shared" si="3"/>
        <v>2E-3</v>
      </c>
      <c r="M27" s="1018">
        <f t="shared" si="4"/>
        <v>0.6</v>
      </c>
    </row>
    <row r="28" spans="1:13" s="10" customFormat="1" ht="12" customHeight="1" x14ac:dyDescent="0.25">
      <c r="A28" s="98"/>
      <c r="B28" s="93" t="s">
        <v>634</v>
      </c>
      <c r="C28" s="112"/>
      <c r="D28" s="112">
        <v>1</v>
      </c>
      <c r="E28" s="95"/>
      <c r="F28" s="95">
        <f>SUM(F19:F27)</f>
        <v>18.16</v>
      </c>
      <c r="G28" s="99"/>
      <c r="H28" s="100">
        <f>D28*10</f>
        <v>10</v>
      </c>
      <c r="I28" s="100"/>
      <c r="J28" s="100">
        <f>D28*100</f>
        <v>100</v>
      </c>
      <c r="L28" s="1018">
        <f>SUM(L19:L27)</f>
        <v>0.314</v>
      </c>
      <c r="M28" s="1018">
        <f>SUM(M19:M27)</f>
        <v>4.54</v>
      </c>
    </row>
    <row r="29" spans="1:13" s="10" customFormat="1" ht="27.6" customHeight="1" x14ac:dyDescent="0.25">
      <c r="A29" s="1536" t="s">
        <v>35</v>
      </c>
      <c r="B29" s="1536"/>
      <c r="C29" s="90"/>
      <c r="D29" s="90"/>
      <c r="E29" s="408"/>
      <c r="F29" s="408">
        <f>F28</f>
        <v>18.16</v>
      </c>
      <c r="G29" s="591"/>
      <c r="H29" s="591"/>
      <c r="I29" s="21"/>
      <c r="J29" s="408"/>
    </row>
    <row r="30" spans="1:13" s="10" customFormat="1" ht="25.35" customHeight="1" x14ac:dyDescent="0.25">
      <c r="A30" s="1536" t="s">
        <v>36</v>
      </c>
      <c r="B30" s="1536"/>
      <c r="C30" s="90">
        <v>1000</v>
      </c>
      <c r="D30" s="90"/>
      <c r="E30" s="408"/>
      <c r="F30" s="408"/>
      <c r="G30" s="408"/>
      <c r="H30" s="408"/>
      <c r="I30" s="21"/>
      <c r="J30" s="17"/>
    </row>
    <row r="31" spans="1:13" s="10" customFormat="1" ht="25.35" customHeight="1" x14ac:dyDescent="0.25">
      <c r="A31" s="1537" t="s">
        <v>37</v>
      </c>
      <c r="B31" s="1538"/>
      <c r="C31" s="91">
        <v>250</v>
      </c>
      <c r="D31" s="92"/>
      <c r="E31" s="592"/>
      <c r="F31" s="592"/>
      <c r="G31" s="592"/>
      <c r="H31" s="592"/>
      <c r="I31" s="21"/>
      <c r="J31" s="17"/>
    </row>
    <row r="32" spans="1:13" s="10" customFormat="1" ht="15" customHeight="1" x14ac:dyDescent="0.25">
      <c r="A32" s="1539" t="s">
        <v>38</v>
      </c>
      <c r="B32" s="1540"/>
      <c r="C32" s="92">
        <f>C30/C31</f>
        <v>4</v>
      </c>
      <c r="D32" s="92"/>
      <c r="E32" s="592"/>
      <c r="F32" s="592"/>
      <c r="G32" s="592"/>
      <c r="H32" s="592"/>
      <c r="I32" s="21"/>
      <c r="J32" s="17"/>
    </row>
    <row r="33" spans="1:10" ht="16.350000000000001" customHeight="1" x14ac:dyDescent="0.25">
      <c r="A33" s="1541" t="s">
        <v>39</v>
      </c>
      <c r="B33" s="1542"/>
      <c r="C33" s="15" t="s">
        <v>40</v>
      </c>
      <c r="D33" s="102"/>
      <c r="E33" s="102" t="s">
        <v>40</v>
      </c>
      <c r="F33" s="16">
        <f>F29/C32</f>
        <v>4.54</v>
      </c>
      <c r="G33" s="16"/>
      <c r="H33" s="16"/>
      <c r="I33" s="102" t="s">
        <v>40</v>
      </c>
      <c r="J33" s="102" t="s">
        <v>40</v>
      </c>
    </row>
    <row r="34" spans="1:10" ht="23.1" customHeight="1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193"/>
      <c r="B35" s="1194" t="s">
        <v>49</v>
      </c>
      <c r="C35" s="1198"/>
      <c r="D35" s="1198"/>
      <c r="E35" s="1198"/>
      <c r="F35" s="1198"/>
      <c r="G35" s="1193"/>
      <c r="H35" s="1560">
        <f>'1-бутерброд с маслом'!$H$28</f>
        <v>0</v>
      </c>
      <c r="I35" s="1560"/>
      <c r="J35" s="1560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545" t="s">
        <v>327</v>
      </c>
      <c r="B37" s="1545"/>
      <c r="C37" s="1546" t="s">
        <v>328</v>
      </c>
      <c r="D37" s="1546"/>
      <c r="E37" s="1546"/>
      <c r="F37" s="1546"/>
      <c r="G37" s="106"/>
      <c r="H37" s="1531"/>
      <c r="I37" s="1531"/>
      <c r="J37" s="1531"/>
    </row>
    <row r="38" spans="1:10" x14ac:dyDescent="0.25">
      <c r="A38" s="1193"/>
      <c r="B38" s="1193"/>
      <c r="C38" s="1546"/>
      <c r="D38" s="1546"/>
      <c r="E38" s="1546"/>
      <c r="F38" s="1546"/>
      <c r="G38" s="1193"/>
      <c r="H38" s="1531" t="s">
        <v>329</v>
      </c>
      <c r="I38" s="1531"/>
      <c r="J38" s="1531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</sheetData>
  <mergeCells count="28">
    <mergeCell ref="H35:J35"/>
    <mergeCell ref="A13:G13"/>
    <mergeCell ref="A30:B30"/>
    <mergeCell ref="A31:B31"/>
    <mergeCell ref="A32:B32"/>
    <mergeCell ref="A33:B33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7:B37"/>
    <mergeCell ref="C37:F38"/>
    <mergeCell ref="H37:J37"/>
    <mergeCell ref="H38:J38"/>
    <mergeCell ref="H5:I5"/>
    <mergeCell ref="A6:G6"/>
    <mergeCell ref="A7:I7"/>
    <mergeCell ref="A29:B29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42"/>
  <sheetViews>
    <sheetView view="pageBreakPreview" topLeftCell="A5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589" customWidth="1"/>
    <col min="2" max="2" width="24" style="589" customWidth="1"/>
    <col min="3" max="9" width="7.5546875" style="589" customWidth="1"/>
    <col min="10" max="10" width="9" style="589" customWidth="1"/>
    <col min="11" max="11" width="3.6640625" style="589" customWidth="1"/>
    <col min="12" max="16384" width="8.88671875" style="58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90)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115</v>
      </c>
    </row>
    <row r="8" spans="1:10" s="2" customFormat="1" ht="9.6" customHeight="1" x14ac:dyDescent="0.25">
      <c r="A8" s="594"/>
      <c r="B8" s="594"/>
      <c r="C8" s="594"/>
      <c r="D8" s="594"/>
      <c r="E8" s="594"/>
      <c r="F8" s="594"/>
      <c r="G8" s="594"/>
      <c r="H8" s="594"/>
      <c r="I8" s="594"/>
      <c r="J8" s="109"/>
    </row>
    <row r="9" spans="1:10" s="2" customFormat="1" ht="26.1" customHeight="1" x14ac:dyDescent="0.3">
      <c r="A9" s="1550" t="s">
        <v>885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'115-суп с ячневой'!H14+1</f>
        <v>90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590" t="s">
        <v>92</v>
      </c>
      <c r="D17" s="590" t="s">
        <v>94</v>
      </c>
      <c r="E17" s="590" t="s">
        <v>93</v>
      </c>
      <c r="F17" s="590" t="s">
        <v>23</v>
      </c>
      <c r="G17" s="590" t="s">
        <v>92</v>
      </c>
      <c r="H17" s="590" t="s">
        <v>94</v>
      </c>
      <c r="I17" s="590" t="s">
        <v>92</v>
      </c>
      <c r="J17" s="590" t="s">
        <v>94</v>
      </c>
    </row>
    <row r="18" spans="1:13" ht="9.6" customHeight="1" x14ac:dyDescent="0.25">
      <c r="A18" s="590">
        <v>1</v>
      </c>
      <c r="B18" s="592">
        <v>2</v>
      </c>
      <c r="C18" s="590">
        <v>3</v>
      </c>
      <c r="D18" s="592">
        <v>4</v>
      </c>
      <c r="E18" s="590">
        <v>5</v>
      </c>
      <c r="F18" s="592">
        <v>6</v>
      </c>
      <c r="G18" s="592">
        <v>8</v>
      </c>
      <c r="H18" s="590">
        <v>9</v>
      </c>
      <c r="I18" s="592">
        <v>10</v>
      </c>
      <c r="J18" s="590">
        <v>11</v>
      </c>
    </row>
    <row r="19" spans="1:13" s="10" customFormat="1" ht="14.1" customHeight="1" x14ac:dyDescent="0.25">
      <c r="A19" s="180">
        <v>1</v>
      </c>
      <c r="B19" s="20" t="s">
        <v>857</v>
      </c>
      <c r="C19" s="111">
        <v>0.1</v>
      </c>
      <c r="D19" s="111">
        <v>0.1</v>
      </c>
      <c r="E19" s="408">
        <f>цены!F80</f>
        <v>35</v>
      </c>
      <c r="F19" s="408">
        <f>C19*E19</f>
        <v>3.5</v>
      </c>
      <c r="G19" s="97">
        <f t="shared" ref="G19:H27" si="0">C19*10</f>
        <v>1</v>
      </c>
      <c r="H19" s="21">
        <f t="shared" si="0"/>
        <v>1</v>
      </c>
      <c r="I19" s="21">
        <f t="shared" ref="I19:J27" si="1">C19*100</f>
        <v>10</v>
      </c>
      <c r="J19" s="21">
        <f t="shared" si="1"/>
        <v>10</v>
      </c>
      <c r="L19" s="1018">
        <f>C19/C$32</f>
        <v>2.5000000000000001E-2</v>
      </c>
      <c r="M19" s="1018">
        <f>F19/C$32</f>
        <v>0.875</v>
      </c>
    </row>
    <row r="20" spans="1:13" s="10" customFormat="1" ht="14.1" customHeight="1" x14ac:dyDescent="0.25">
      <c r="A20" s="180">
        <v>2</v>
      </c>
      <c r="B20" s="20" t="s">
        <v>47</v>
      </c>
      <c r="C20" s="111">
        <v>0.05</v>
      </c>
      <c r="D20" s="111">
        <v>0.04</v>
      </c>
      <c r="E20" s="408">
        <f>цены!F44</f>
        <v>50</v>
      </c>
      <c r="F20" s="408">
        <f t="shared" ref="F20:F27" si="2">C20*E20</f>
        <v>2.5</v>
      </c>
      <c r="G20" s="97">
        <f t="shared" si="0"/>
        <v>0.5</v>
      </c>
      <c r="H20" s="21">
        <f t="shared" si="0"/>
        <v>0.4</v>
      </c>
      <c r="I20" s="21">
        <f t="shared" si="1"/>
        <v>5</v>
      </c>
      <c r="J20" s="21">
        <f t="shared" si="1"/>
        <v>4</v>
      </c>
      <c r="L20" s="1018">
        <f t="shared" ref="L20:L27" si="3">C20/C$32</f>
        <v>1.2500000000000001E-2</v>
      </c>
      <c r="M20" s="1018">
        <f t="shared" ref="M20:M27" si="4">F20/C$32</f>
        <v>0.625</v>
      </c>
    </row>
    <row r="21" spans="1:13" s="10" customFormat="1" ht="12" customHeight="1" x14ac:dyDescent="0.25">
      <c r="A21" s="180">
        <v>3</v>
      </c>
      <c r="B21" s="20" t="s">
        <v>48</v>
      </c>
      <c r="C21" s="111">
        <v>4.8000000000000001E-2</v>
      </c>
      <c r="D21" s="111">
        <v>0.04</v>
      </c>
      <c r="E21" s="408">
        <f>цены!F38</f>
        <v>50</v>
      </c>
      <c r="F21" s="408">
        <f t="shared" si="2"/>
        <v>2.4</v>
      </c>
      <c r="G21" s="97">
        <f t="shared" si="0"/>
        <v>0.48</v>
      </c>
      <c r="H21" s="21">
        <f t="shared" si="0"/>
        <v>0.4</v>
      </c>
      <c r="I21" s="21">
        <f t="shared" si="1"/>
        <v>4.8</v>
      </c>
      <c r="J21" s="21">
        <f t="shared" si="1"/>
        <v>4</v>
      </c>
      <c r="L21" s="1018">
        <f t="shared" si="3"/>
        <v>1.2E-2</v>
      </c>
      <c r="M21" s="1018">
        <f t="shared" si="4"/>
        <v>0.6</v>
      </c>
    </row>
    <row r="22" spans="1:13" s="10" customFormat="1" ht="12" customHeight="1" x14ac:dyDescent="0.25">
      <c r="A22" s="180">
        <v>4</v>
      </c>
      <c r="B22" s="20" t="s">
        <v>74</v>
      </c>
      <c r="C22" s="111">
        <v>0.02</v>
      </c>
      <c r="D22" s="111">
        <v>0.02</v>
      </c>
      <c r="E22" s="408">
        <f>цены!F87</f>
        <v>120</v>
      </c>
      <c r="F22" s="408">
        <f t="shared" si="2"/>
        <v>2.4</v>
      </c>
      <c r="G22" s="97">
        <f t="shared" si="0"/>
        <v>0.2</v>
      </c>
      <c r="H22" s="21">
        <f t="shared" si="0"/>
        <v>0.2</v>
      </c>
      <c r="I22" s="21">
        <f t="shared" si="1"/>
        <v>2</v>
      </c>
      <c r="J22" s="21">
        <f t="shared" si="1"/>
        <v>2</v>
      </c>
      <c r="L22" s="1018">
        <f t="shared" si="3"/>
        <v>5.0000000000000001E-3</v>
      </c>
      <c r="M22" s="1018">
        <f t="shared" si="4"/>
        <v>0.6</v>
      </c>
    </row>
    <row r="23" spans="1:13" s="10" customFormat="1" ht="12" customHeight="1" x14ac:dyDescent="0.25">
      <c r="A23" s="180">
        <v>5</v>
      </c>
      <c r="B23" s="20" t="s">
        <v>141</v>
      </c>
      <c r="C23" s="111">
        <v>1</v>
      </c>
      <c r="D23" s="111">
        <v>1</v>
      </c>
      <c r="E23" s="408"/>
      <c r="F23" s="408">
        <f t="shared" si="2"/>
        <v>0</v>
      </c>
      <c r="G23" s="97">
        <f t="shared" si="0"/>
        <v>10</v>
      </c>
      <c r="H23" s="21">
        <f t="shared" si="0"/>
        <v>10</v>
      </c>
      <c r="I23" s="21">
        <f t="shared" si="1"/>
        <v>100</v>
      </c>
      <c r="J23" s="21">
        <f t="shared" si="1"/>
        <v>100</v>
      </c>
      <c r="L23" s="1018">
        <f t="shared" si="3"/>
        <v>0.25</v>
      </c>
      <c r="M23" s="1018">
        <f t="shared" si="4"/>
        <v>0</v>
      </c>
    </row>
    <row r="24" spans="1:13" s="10" customFormat="1" ht="12" customHeight="1" x14ac:dyDescent="0.25">
      <c r="A24" s="180">
        <v>6</v>
      </c>
      <c r="B24" s="20" t="s">
        <v>84</v>
      </c>
      <c r="C24" s="113">
        <v>4.0000000000000003E-5</v>
      </c>
      <c r="D24" s="113">
        <v>4.0000000000000003E-5</v>
      </c>
      <c r="E24" s="408">
        <f>цены!F100</f>
        <v>1000</v>
      </c>
      <c r="F24" s="408">
        <f t="shared" si="2"/>
        <v>0.04</v>
      </c>
      <c r="G24" s="97">
        <f t="shared" si="0"/>
        <v>0</v>
      </c>
      <c r="H24" s="21">
        <f t="shared" si="0"/>
        <v>0</v>
      </c>
      <c r="I24" s="21">
        <f t="shared" si="1"/>
        <v>4.0000000000000001E-3</v>
      </c>
      <c r="J24" s="21">
        <f t="shared" si="1"/>
        <v>4.0000000000000001E-3</v>
      </c>
      <c r="L24" s="1018">
        <f t="shared" si="3"/>
        <v>0</v>
      </c>
      <c r="M24" s="1018">
        <f t="shared" si="4"/>
        <v>0.01</v>
      </c>
    </row>
    <row r="25" spans="1:13" s="10" customFormat="1" ht="12" customHeight="1" x14ac:dyDescent="0.25">
      <c r="A25" s="180">
        <v>7</v>
      </c>
      <c r="B25" s="20" t="s">
        <v>33</v>
      </c>
      <c r="C25" s="111">
        <v>0.01</v>
      </c>
      <c r="D25" s="111">
        <v>0.01</v>
      </c>
      <c r="E25" s="408">
        <f>цены!F110</f>
        <v>24</v>
      </c>
      <c r="F25" s="408">
        <f t="shared" si="2"/>
        <v>0.24</v>
      </c>
      <c r="G25" s="97">
        <f t="shared" si="0"/>
        <v>0.1</v>
      </c>
      <c r="H25" s="21">
        <f t="shared" si="0"/>
        <v>0.1</v>
      </c>
      <c r="I25" s="21">
        <f t="shared" si="1"/>
        <v>1</v>
      </c>
      <c r="J25" s="21">
        <f t="shared" si="1"/>
        <v>1</v>
      </c>
      <c r="L25" s="1018">
        <f t="shared" si="3"/>
        <v>2.5000000000000001E-3</v>
      </c>
      <c r="M25" s="1018">
        <f t="shared" si="4"/>
        <v>0.06</v>
      </c>
    </row>
    <row r="26" spans="1:13" s="10" customFormat="1" ht="12" customHeight="1" x14ac:dyDescent="0.25">
      <c r="A26" s="180">
        <v>8</v>
      </c>
      <c r="B26" s="20" t="s">
        <v>51</v>
      </c>
      <c r="C26" s="111">
        <v>0.02</v>
      </c>
      <c r="D26" s="111">
        <v>0.02</v>
      </c>
      <c r="E26" s="408">
        <f>цены!F24</f>
        <v>234</v>
      </c>
      <c r="F26" s="408">
        <f t="shared" si="2"/>
        <v>4.68</v>
      </c>
      <c r="G26" s="97">
        <f t="shared" si="0"/>
        <v>0.2</v>
      </c>
      <c r="H26" s="21">
        <f t="shared" si="0"/>
        <v>0.2</v>
      </c>
      <c r="I26" s="21">
        <f t="shared" si="1"/>
        <v>2</v>
      </c>
      <c r="J26" s="21">
        <f t="shared" si="1"/>
        <v>2</v>
      </c>
      <c r="L26" s="1018">
        <f t="shared" si="3"/>
        <v>5.0000000000000001E-3</v>
      </c>
      <c r="M26" s="1018">
        <f t="shared" si="4"/>
        <v>1.17</v>
      </c>
    </row>
    <row r="27" spans="1:13" s="10" customFormat="1" ht="12" customHeight="1" x14ac:dyDescent="0.25">
      <c r="A27" s="180">
        <v>9</v>
      </c>
      <c r="B27" s="20" t="s">
        <v>78</v>
      </c>
      <c r="C27" s="111">
        <f>0.002*C32</f>
        <v>8.0000000000000002E-3</v>
      </c>
      <c r="D27" s="111">
        <f>0.002*C32</f>
        <v>8.0000000000000002E-3</v>
      </c>
      <c r="E27" s="408">
        <f>цены!F48</f>
        <v>300</v>
      </c>
      <c r="F27" s="408">
        <f t="shared" si="2"/>
        <v>2.4</v>
      </c>
      <c r="G27" s="97">
        <f t="shared" si="0"/>
        <v>0.08</v>
      </c>
      <c r="H27" s="21">
        <f t="shared" si="0"/>
        <v>0.08</v>
      </c>
      <c r="I27" s="21">
        <f t="shared" si="1"/>
        <v>0.8</v>
      </c>
      <c r="J27" s="21">
        <f t="shared" si="1"/>
        <v>0.8</v>
      </c>
      <c r="L27" s="1018">
        <f t="shared" si="3"/>
        <v>2E-3</v>
      </c>
      <c r="M27" s="1018">
        <f t="shared" si="4"/>
        <v>0.6</v>
      </c>
    </row>
    <row r="28" spans="1:13" s="10" customFormat="1" ht="12" customHeight="1" x14ac:dyDescent="0.25">
      <c r="A28" s="98"/>
      <c r="B28" s="93" t="s">
        <v>634</v>
      </c>
      <c r="C28" s="112"/>
      <c r="D28" s="112">
        <v>1</v>
      </c>
      <c r="E28" s="95"/>
      <c r="F28" s="95">
        <f>SUM(F19:F27)</f>
        <v>18.16</v>
      </c>
      <c r="G28" s="99"/>
      <c r="H28" s="100">
        <f>D28*10</f>
        <v>10</v>
      </c>
      <c r="I28" s="100"/>
      <c r="J28" s="100">
        <f>D28*100</f>
        <v>100</v>
      </c>
      <c r="L28" s="1018">
        <f>SUM(L19:L27)</f>
        <v>0.314</v>
      </c>
      <c r="M28" s="1018">
        <f>SUM(M19:M27)</f>
        <v>4.54</v>
      </c>
    </row>
    <row r="29" spans="1:13" s="10" customFormat="1" ht="27.6" customHeight="1" x14ac:dyDescent="0.25">
      <c r="A29" s="1536" t="s">
        <v>35</v>
      </c>
      <c r="B29" s="1536"/>
      <c r="C29" s="90"/>
      <c r="D29" s="90"/>
      <c r="E29" s="408"/>
      <c r="F29" s="408">
        <f>F28</f>
        <v>18.16</v>
      </c>
      <c r="G29" s="591"/>
      <c r="H29" s="591"/>
      <c r="I29" s="21"/>
      <c r="J29" s="408"/>
    </row>
    <row r="30" spans="1:13" s="10" customFormat="1" ht="25.35" customHeight="1" x14ac:dyDescent="0.25">
      <c r="A30" s="1536" t="s">
        <v>36</v>
      </c>
      <c r="B30" s="1536"/>
      <c r="C30" s="90">
        <v>1000</v>
      </c>
      <c r="D30" s="90"/>
      <c r="E30" s="408"/>
      <c r="F30" s="408"/>
      <c r="G30" s="408"/>
      <c r="H30" s="408"/>
      <c r="I30" s="21"/>
      <c r="J30" s="17"/>
    </row>
    <row r="31" spans="1:13" s="10" customFormat="1" ht="25.35" customHeight="1" x14ac:dyDescent="0.25">
      <c r="A31" s="1537" t="s">
        <v>37</v>
      </c>
      <c r="B31" s="1538"/>
      <c r="C31" s="91">
        <v>250</v>
      </c>
      <c r="D31" s="92"/>
      <c r="E31" s="592"/>
      <c r="F31" s="592"/>
      <c r="G31" s="592"/>
      <c r="H31" s="592"/>
      <c r="I31" s="21"/>
      <c r="J31" s="17"/>
    </row>
    <row r="32" spans="1:13" s="10" customFormat="1" ht="15" customHeight="1" x14ac:dyDescent="0.25">
      <c r="A32" s="1539" t="s">
        <v>38</v>
      </c>
      <c r="B32" s="1540"/>
      <c r="C32" s="92">
        <f>C30/C31</f>
        <v>4</v>
      </c>
      <c r="D32" s="92"/>
      <c r="E32" s="592"/>
      <c r="F32" s="592"/>
      <c r="G32" s="592"/>
      <c r="H32" s="592"/>
      <c r="I32" s="21"/>
      <c r="J32" s="17"/>
    </row>
    <row r="33" spans="1:10" ht="16.350000000000001" customHeight="1" x14ac:dyDescent="0.25">
      <c r="A33" s="1541" t="s">
        <v>39</v>
      </c>
      <c r="B33" s="1542"/>
      <c r="C33" s="15" t="s">
        <v>40</v>
      </c>
      <c r="D33" s="102"/>
      <c r="E33" s="102" t="s">
        <v>40</v>
      </c>
      <c r="F33" s="16">
        <f>F29/C32</f>
        <v>4.54</v>
      </c>
      <c r="G33" s="16"/>
      <c r="H33" s="16"/>
      <c r="I33" s="102" t="s">
        <v>40</v>
      </c>
      <c r="J33" s="102" t="s">
        <v>40</v>
      </c>
    </row>
    <row r="34" spans="1:10" ht="23.1" customHeight="1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193"/>
      <c r="B35" s="1194" t="s">
        <v>49</v>
      </c>
      <c r="C35" s="1198"/>
      <c r="D35" s="1198"/>
      <c r="E35" s="1198"/>
      <c r="F35" s="1198"/>
      <c r="G35" s="1193"/>
      <c r="H35" s="1560">
        <f>'1-бутерброд с маслом'!$H$28</f>
        <v>0</v>
      </c>
      <c r="I35" s="1560"/>
      <c r="J35" s="1560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545" t="s">
        <v>327</v>
      </c>
      <c r="B37" s="1545"/>
      <c r="C37" s="1546" t="s">
        <v>328</v>
      </c>
      <c r="D37" s="1546"/>
      <c r="E37" s="1546"/>
      <c r="F37" s="1546"/>
      <c r="G37" s="106"/>
      <c r="H37" s="1531"/>
      <c r="I37" s="1531"/>
      <c r="J37" s="1531"/>
    </row>
    <row r="38" spans="1:10" x14ac:dyDescent="0.25">
      <c r="A38" s="1193"/>
      <c r="B38" s="1193"/>
      <c r="C38" s="1546"/>
      <c r="D38" s="1546"/>
      <c r="E38" s="1546"/>
      <c r="F38" s="1546"/>
      <c r="G38" s="1193"/>
      <c r="H38" s="1531" t="s">
        <v>329</v>
      </c>
      <c r="I38" s="1531"/>
      <c r="J38" s="1531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</sheetData>
  <mergeCells count="28">
    <mergeCell ref="H35:J35"/>
    <mergeCell ref="A13:G13"/>
    <mergeCell ref="A30:B30"/>
    <mergeCell ref="A31:B31"/>
    <mergeCell ref="A32:B32"/>
    <mergeCell ref="A33:B33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7:B37"/>
    <mergeCell ref="C37:F38"/>
    <mergeCell ref="H37:J37"/>
    <mergeCell ref="H38:J38"/>
    <mergeCell ref="H5:I5"/>
    <mergeCell ref="A6:G6"/>
    <mergeCell ref="A7:I7"/>
    <mergeCell ref="A29:B29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42"/>
  <sheetViews>
    <sheetView view="pageBreakPreview" topLeftCell="A4" zoomScaleNormal="100" zoomScaleSheetLayoutView="100" workbookViewId="0">
      <selection activeCell="A9" sqref="A9:J9"/>
    </sheetView>
  </sheetViews>
  <sheetFormatPr defaultColWidth="8.88671875" defaultRowHeight="13.8" x14ac:dyDescent="0.25"/>
  <cols>
    <col min="1" max="1" width="4.109375" style="589" customWidth="1"/>
    <col min="2" max="2" width="24" style="589" customWidth="1"/>
    <col min="3" max="9" width="7.5546875" style="589" customWidth="1"/>
    <col min="10" max="10" width="9" style="589" customWidth="1"/>
    <col min="11" max="11" width="4.44140625" style="589" customWidth="1"/>
    <col min="12" max="16384" width="8.88671875" style="589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91)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115</v>
      </c>
    </row>
    <row r="8" spans="1:10" s="2" customFormat="1" ht="9.6" customHeight="1" x14ac:dyDescent="0.25">
      <c r="A8" s="594"/>
      <c r="B8" s="594"/>
      <c r="C8" s="594"/>
      <c r="D8" s="594"/>
      <c r="E8" s="594"/>
      <c r="F8" s="594"/>
      <c r="G8" s="594"/>
      <c r="H8" s="594"/>
      <c r="I8" s="594"/>
      <c r="J8" s="109"/>
    </row>
    <row r="9" spans="1:10" s="2" customFormat="1" ht="26.1" customHeight="1" x14ac:dyDescent="0.3">
      <c r="A9" s="1550" t="s">
        <v>895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'115-суп с пшеничной'!H14+1</f>
        <v>91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590" t="s">
        <v>92</v>
      </c>
      <c r="D17" s="590" t="s">
        <v>94</v>
      </c>
      <c r="E17" s="590" t="s">
        <v>93</v>
      </c>
      <c r="F17" s="590" t="s">
        <v>23</v>
      </c>
      <c r="G17" s="590" t="s">
        <v>92</v>
      </c>
      <c r="H17" s="590" t="s">
        <v>94</v>
      </c>
      <c r="I17" s="590" t="s">
        <v>92</v>
      </c>
      <c r="J17" s="590" t="s">
        <v>94</v>
      </c>
    </row>
    <row r="18" spans="1:13" ht="9.6" customHeight="1" x14ac:dyDescent="0.25">
      <c r="A18" s="590">
        <v>1</v>
      </c>
      <c r="B18" s="592">
        <v>2</v>
      </c>
      <c r="C18" s="590">
        <v>3</v>
      </c>
      <c r="D18" s="592">
        <v>4</v>
      </c>
      <c r="E18" s="590">
        <v>5</v>
      </c>
      <c r="F18" s="592">
        <v>6</v>
      </c>
      <c r="G18" s="592">
        <v>8</v>
      </c>
      <c r="H18" s="590">
        <v>9</v>
      </c>
      <c r="I18" s="592">
        <v>10</v>
      </c>
      <c r="J18" s="590">
        <v>11</v>
      </c>
    </row>
    <row r="19" spans="1:13" s="10" customFormat="1" ht="14.1" customHeight="1" x14ac:dyDescent="0.25">
      <c r="A19" s="180">
        <v>1</v>
      </c>
      <c r="B19" s="20" t="s">
        <v>379</v>
      </c>
      <c r="C19" s="111">
        <v>0.1</v>
      </c>
      <c r="D19" s="111">
        <v>0.1</v>
      </c>
      <c r="E19" s="408">
        <f>цены!F82</f>
        <v>60</v>
      </c>
      <c r="F19" s="408">
        <f>C19*E19</f>
        <v>6</v>
      </c>
      <c r="G19" s="97">
        <f t="shared" ref="G19:H27" si="0">C19*10</f>
        <v>1</v>
      </c>
      <c r="H19" s="21">
        <f t="shared" si="0"/>
        <v>1</v>
      </c>
      <c r="I19" s="21">
        <f t="shared" ref="I19:J27" si="1">C19*100</f>
        <v>10</v>
      </c>
      <c r="J19" s="21">
        <f t="shared" si="1"/>
        <v>10</v>
      </c>
      <c r="L19" s="1018">
        <f>C19/C$32</f>
        <v>2.5000000000000001E-2</v>
      </c>
      <c r="M19" s="1018">
        <f>F19/C$32</f>
        <v>1.5</v>
      </c>
    </row>
    <row r="20" spans="1:13" s="10" customFormat="1" ht="14.1" customHeight="1" x14ac:dyDescent="0.25">
      <c r="A20" s="180">
        <v>2</v>
      </c>
      <c r="B20" s="20" t="s">
        <v>47</v>
      </c>
      <c r="C20" s="111">
        <v>0.05</v>
      </c>
      <c r="D20" s="111">
        <v>0.04</v>
      </c>
      <c r="E20" s="408">
        <f>цены!F44</f>
        <v>50</v>
      </c>
      <c r="F20" s="408">
        <f t="shared" ref="F20:F27" si="2">C20*E20</f>
        <v>2.5</v>
      </c>
      <c r="G20" s="97">
        <f t="shared" si="0"/>
        <v>0.5</v>
      </c>
      <c r="H20" s="21">
        <f t="shared" si="0"/>
        <v>0.4</v>
      </c>
      <c r="I20" s="21">
        <f t="shared" si="1"/>
        <v>5</v>
      </c>
      <c r="J20" s="21">
        <f t="shared" si="1"/>
        <v>4</v>
      </c>
      <c r="L20" s="1018">
        <f t="shared" ref="L20:L27" si="3">C20/C$32</f>
        <v>1.2500000000000001E-2</v>
      </c>
      <c r="M20" s="1018">
        <f t="shared" ref="M20:M27" si="4">F20/C$32</f>
        <v>0.625</v>
      </c>
    </row>
    <row r="21" spans="1:13" s="10" customFormat="1" ht="12" customHeight="1" x14ac:dyDescent="0.25">
      <c r="A21" s="180">
        <v>3</v>
      </c>
      <c r="B21" s="20" t="s">
        <v>48</v>
      </c>
      <c r="C21" s="111">
        <v>4.8000000000000001E-2</v>
      </c>
      <c r="D21" s="111">
        <v>0.04</v>
      </c>
      <c r="E21" s="408">
        <f>цены!F38</f>
        <v>50</v>
      </c>
      <c r="F21" s="408">
        <f t="shared" si="2"/>
        <v>2.4</v>
      </c>
      <c r="G21" s="97">
        <f t="shared" si="0"/>
        <v>0.48</v>
      </c>
      <c r="H21" s="21">
        <f t="shared" si="0"/>
        <v>0.4</v>
      </c>
      <c r="I21" s="21">
        <f t="shared" si="1"/>
        <v>4.8</v>
      </c>
      <c r="J21" s="21">
        <f t="shared" si="1"/>
        <v>4</v>
      </c>
      <c r="L21" s="1018">
        <f t="shared" si="3"/>
        <v>1.2E-2</v>
      </c>
      <c r="M21" s="1018">
        <f t="shared" si="4"/>
        <v>0.6</v>
      </c>
    </row>
    <row r="22" spans="1:13" s="10" customFormat="1" ht="12" customHeight="1" x14ac:dyDescent="0.25">
      <c r="A22" s="180">
        <v>4</v>
      </c>
      <c r="B22" s="20" t="s">
        <v>74</v>
      </c>
      <c r="C22" s="111">
        <v>0.02</v>
      </c>
      <c r="D22" s="111">
        <v>0.02</v>
      </c>
      <c r="E22" s="408">
        <f>цены!F87</f>
        <v>120</v>
      </c>
      <c r="F22" s="408">
        <f t="shared" si="2"/>
        <v>2.4</v>
      </c>
      <c r="G22" s="97">
        <f t="shared" si="0"/>
        <v>0.2</v>
      </c>
      <c r="H22" s="21">
        <f t="shared" si="0"/>
        <v>0.2</v>
      </c>
      <c r="I22" s="21">
        <f t="shared" si="1"/>
        <v>2</v>
      </c>
      <c r="J22" s="21">
        <f t="shared" si="1"/>
        <v>2</v>
      </c>
      <c r="L22" s="1018">
        <f t="shared" si="3"/>
        <v>5.0000000000000001E-3</v>
      </c>
      <c r="M22" s="1018">
        <f t="shared" si="4"/>
        <v>0.6</v>
      </c>
    </row>
    <row r="23" spans="1:13" s="10" customFormat="1" ht="12" customHeight="1" x14ac:dyDescent="0.25">
      <c r="A23" s="180">
        <v>5</v>
      </c>
      <c r="B23" s="20" t="s">
        <v>141</v>
      </c>
      <c r="C23" s="111">
        <v>1</v>
      </c>
      <c r="D23" s="111">
        <v>1</v>
      </c>
      <c r="E23" s="408"/>
      <c r="F23" s="408">
        <f t="shared" si="2"/>
        <v>0</v>
      </c>
      <c r="G23" s="97">
        <f t="shared" si="0"/>
        <v>10</v>
      </c>
      <c r="H23" s="21">
        <f t="shared" si="0"/>
        <v>10</v>
      </c>
      <c r="I23" s="21">
        <f t="shared" si="1"/>
        <v>100</v>
      </c>
      <c r="J23" s="21">
        <f t="shared" si="1"/>
        <v>100</v>
      </c>
      <c r="L23" s="1018">
        <f t="shared" si="3"/>
        <v>0.25</v>
      </c>
      <c r="M23" s="1018">
        <f t="shared" si="4"/>
        <v>0</v>
      </c>
    </row>
    <row r="24" spans="1:13" s="10" customFormat="1" ht="12" customHeight="1" x14ac:dyDescent="0.25">
      <c r="A24" s="180">
        <v>6</v>
      </c>
      <c r="B24" s="20" t="s">
        <v>84</v>
      </c>
      <c r="C24" s="113">
        <v>4.0000000000000003E-5</v>
      </c>
      <c r="D24" s="113">
        <v>4.0000000000000003E-5</v>
      </c>
      <c r="E24" s="408">
        <f>цены!F100</f>
        <v>1000</v>
      </c>
      <c r="F24" s="408">
        <f t="shared" si="2"/>
        <v>0.04</v>
      </c>
      <c r="G24" s="97">
        <f t="shared" si="0"/>
        <v>0</v>
      </c>
      <c r="H24" s="21">
        <f t="shared" si="0"/>
        <v>0</v>
      </c>
      <c r="I24" s="21">
        <f t="shared" si="1"/>
        <v>4.0000000000000001E-3</v>
      </c>
      <c r="J24" s="21">
        <f t="shared" si="1"/>
        <v>4.0000000000000001E-3</v>
      </c>
      <c r="L24" s="1018">
        <f t="shared" si="3"/>
        <v>0</v>
      </c>
      <c r="M24" s="1018">
        <f t="shared" si="4"/>
        <v>0.01</v>
      </c>
    </row>
    <row r="25" spans="1:13" s="10" customFormat="1" ht="12" customHeight="1" x14ac:dyDescent="0.25">
      <c r="A25" s="180">
        <v>7</v>
      </c>
      <c r="B25" s="20" t="s">
        <v>33</v>
      </c>
      <c r="C25" s="111">
        <v>0.01</v>
      </c>
      <c r="D25" s="111">
        <v>0.01</v>
      </c>
      <c r="E25" s="408">
        <f>цены!F110</f>
        <v>24</v>
      </c>
      <c r="F25" s="408">
        <f t="shared" si="2"/>
        <v>0.24</v>
      </c>
      <c r="G25" s="97">
        <f t="shared" si="0"/>
        <v>0.1</v>
      </c>
      <c r="H25" s="21">
        <f t="shared" si="0"/>
        <v>0.1</v>
      </c>
      <c r="I25" s="21">
        <f t="shared" si="1"/>
        <v>1</v>
      </c>
      <c r="J25" s="21">
        <f t="shared" si="1"/>
        <v>1</v>
      </c>
      <c r="L25" s="1018">
        <f t="shared" si="3"/>
        <v>2.5000000000000001E-3</v>
      </c>
      <c r="M25" s="1018">
        <f t="shared" si="4"/>
        <v>0.06</v>
      </c>
    </row>
    <row r="26" spans="1:13" s="10" customFormat="1" ht="12" customHeight="1" x14ac:dyDescent="0.25">
      <c r="A26" s="180">
        <v>8</v>
      </c>
      <c r="B26" s="20" t="s">
        <v>51</v>
      </c>
      <c r="C26" s="111">
        <v>0.02</v>
      </c>
      <c r="D26" s="111">
        <v>0.02</v>
      </c>
      <c r="E26" s="408">
        <f>цены!F24</f>
        <v>234</v>
      </c>
      <c r="F26" s="408">
        <f t="shared" si="2"/>
        <v>4.68</v>
      </c>
      <c r="G26" s="97">
        <f t="shared" si="0"/>
        <v>0.2</v>
      </c>
      <c r="H26" s="21">
        <f t="shared" si="0"/>
        <v>0.2</v>
      </c>
      <c r="I26" s="21">
        <f t="shared" si="1"/>
        <v>2</v>
      </c>
      <c r="J26" s="21">
        <f t="shared" si="1"/>
        <v>2</v>
      </c>
      <c r="L26" s="1018">
        <f t="shared" si="3"/>
        <v>5.0000000000000001E-3</v>
      </c>
      <c r="M26" s="1018">
        <f t="shared" si="4"/>
        <v>1.17</v>
      </c>
    </row>
    <row r="27" spans="1:13" s="10" customFormat="1" ht="12" customHeight="1" x14ac:dyDescent="0.25">
      <c r="A27" s="180">
        <v>9</v>
      </c>
      <c r="B27" s="20" t="s">
        <v>78</v>
      </c>
      <c r="C27" s="111">
        <f>0.002*C32</f>
        <v>8.0000000000000002E-3</v>
      </c>
      <c r="D27" s="111">
        <f>0.002*C32</f>
        <v>8.0000000000000002E-3</v>
      </c>
      <c r="E27" s="408">
        <f>цены!F48</f>
        <v>300</v>
      </c>
      <c r="F27" s="408">
        <f t="shared" si="2"/>
        <v>2.4</v>
      </c>
      <c r="G27" s="97">
        <f t="shared" si="0"/>
        <v>0.08</v>
      </c>
      <c r="H27" s="21">
        <f t="shared" si="0"/>
        <v>0.08</v>
      </c>
      <c r="I27" s="21">
        <f t="shared" si="1"/>
        <v>0.8</v>
      </c>
      <c r="J27" s="21">
        <f t="shared" si="1"/>
        <v>0.8</v>
      </c>
      <c r="L27" s="1018">
        <f t="shared" si="3"/>
        <v>2E-3</v>
      </c>
      <c r="M27" s="1018">
        <f t="shared" si="4"/>
        <v>0.6</v>
      </c>
    </row>
    <row r="28" spans="1:13" s="10" customFormat="1" ht="12" customHeight="1" x14ac:dyDescent="0.25">
      <c r="A28" s="98"/>
      <c r="B28" s="93" t="s">
        <v>634</v>
      </c>
      <c r="C28" s="112"/>
      <c r="D28" s="112">
        <v>1</v>
      </c>
      <c r="E28" s="95"/>
      <c r="F28" s="95">
        <f>SUM(F19:F27)</f>
        <v>20.66</v>
      </c>
      <c r="G28" s="99"/>
      <c r="H28" s="100">
        <f>D28*10</f>
        <v>10</v>
      </c>
      <c r="I28" s="100"/>
      <c r="J28" s="100">
        <f>D28*100</f>
        <v>100</v>
      </c>
      <c r="L28" s="1018">
        <f>SUM(L19:L27)</f>
        <v>0.314</v>
      </c>
      <c r="M28" s="1018">
        <f>SUM(M19:M27)</f>
        <v>5.165</v>
      </c>
    </row>
    <row r="29" spans="1:13" s="10" customFormat="1" ht="27.6" customHeight="1" x14ac:dyDescent="0.25">
      <c r="A29" s="1536" t="s">
        <v>35</v>
      </c>
      <c r="B29" s="1536"/>
      <c r="C29" s="90"/>
      <c r="D29" s="90"/>
      <c r="E29" s="408"/>
      <c r="F29" s="408">
        <f>F28</f>
        <v>20.66</v>
      </c>
      <c r="G29" s="591"/>
      <c r="H29" s="591"/>
      <c r="I29" s="21"/>
      <c r="J29" s="408"/>
    </row>
    <row r="30" spans="1:13" s="10" customFormat="1" ht="25.35" customHeight="1" x14ac:dyDescent="0.25">
      <c r="A30" s="1536" t="s">
        <v>36</v>
      </c>
      <c r="B30" s="1536"/>
      <c r="C30" s="90">
        <v>1000</v>
      </c>
      <c r="D30" s="90"/>
      <c r="E30" s="408"/>
      <c r="F30" s="408"/>
      <c r="G30" s="408"/>
      <c r="H30" s="408"/>
      <c r="I30" s="21"/>
      <c r="J30" s="17"/>
    </row>
    <row r="31" spans="1:13" s="10" customFormat="1" ht="25.35" customHeight="1" x14ac:dyDescent="0.25">
      <c r="A31" s="1537" t="s">
        <v>37</v>
      </c>
      <c r="B31" s="1538"/>
      <c r="C31" s="91">
        <v>250</v>
      </c>
      <c r="D31" s="92"/>
      <c r="E31" s="592"/>
      <c r="F31" s="592"/>
      <c r="G31" s="592"/>
      <c r="H31" s="592"/>
      <c r="I31" s="21"/>
      <c r="J31" s="17"/>
    </row>
    <row r="32" spans="1:13" s="10" customFormat="1" ht="15" customHeight="1" x14ac:dyDescent="0.25">
      <c r="A32" s="1539" t="s">
        <v>38</v>
      </c>
      <c r="B32" s="1540"/>
      <c r="C32" s="92">
        <f>C30/C31</f>
        <v>4</v>
      </c>
      <c r="D32" s="92"/>
      <c r="E32" s="592"/>
      <c r="F32" s="592"/>
      <c r="G32" s="592"/>
      <c r="H32" s="592"/>
      <c r="I32" s="21"/>
      <c r="J32" s="17"/>
    </row>
    <row r="33" spans="1:10" ht="16.350000000000001" customHeight="1" x14ac:dyDescent="0.25">
      <c r="A33" s="1541" t="s">
        <v>39</v>
      </c>
      <c r="B33" s="1542"/>
      <c r="C33" s="15" t="s">
        <v>40</v>
      </c>
      <c r="D33" s="102"/>
      <c r="E33" s="102" t="s">
        <v>40</v>
      </c>
      <c r="F33" s="16">
        <f>F29/C32</f>
        <v>5.17</v>
      </c>
      <c r="G33" s="16"/>
      <c r="H33" s="16"/>
      <c r="I33" s="102" t="s">
        <v>40</v>
      </c>
      <c r="J33" s="102" t="s">
        <v>40</v>
      </c>
    </row>
    <row r="34" spans="1:10" ht="23.1" customHeight="1" x14ac:dyDescent="0.25">
      <c r="A34" s="1193"/>
      <c r="B34" s="1193"/>
      <c r="C34" s="1193"/>
      <c r="D34" s="1193"/>
      <c r="E34" s="1193"/>
      <c r="F34" s="1193"/>
      <c r="G34" s="1193"/>
      <c r="H34" s="1193"/>
      <c r="I34" s="1193"/>
      <c r="J34" s="1193"/>
    </row>
    <row r="35" spans="1:10" ht="13.95" customHeight="1" x14ac:dyDescent="0.25">
      <c r="A35" s="1193"/>
      <c r="B35" s="1194" t="s">
        <v>49</v>
      </c>
      <c r="C35" s="1198"/>
      <c r="D35" s="1198"/>
      <c r="E35" s="1198"/>
      <c r="F35" s="1198"/>
      <c r="G35" s="1193"/>
      <c r="H35" s="1560">
        <f>'1-бутерброд с маслом'!$H$28</f>
        <v>0</v>
      </c>
      <c r="I35" s="1560"/>
      <c r="J35" s="1560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ht="13.95" customHeight="1" x14ac:dyDescent="0.25">
      <c r="A37" s="1545" t="s">
        <v>327</v>
      </c>
      <c r="B37" s="1545"/>
      <c r="C37" s="1546" t="s">
        <v>328</v>
      </c>
      <c r="D37" s="1546"/>
      <c r="E37" s="1546"/>
      <c r="F37" s="1546"/>
      <c r="G37" s="106"/>
      <c r="H37" s="1531"/>
      <c r="I37" s="1531"/>
      <c r="J37" s="1531"/>
    </row>
    <row r="38" spans="1:10" x14ac:dyDescent="0.25">
      <c r="A38" s="1193"/>
      <c r="B38" s="1193"/>
      <c r="C38" s="1546"/>
      <c r="D38" s="1546"/>
      <c r="E38" s="1546"/>
      <c r="F38" s="1546"/>
      <c r="G38" s="1193"/>
      <c r="H38" s="1531" t="s">
        <v>329</v>
      </c>
      <c r="I38" s="1531"/>
      <c r="J38" s="1531"/>
    </row>
    <row r="39" spans="1:10" x14ac:dyDescent="0.25">
      <c r="A39" s="1193"/>
      <c r="B39" s="1193"/>
      <c r="C39" s="1193"/>
      <c r="D39" s="1193"/>
      <c r="E39" s="1193"/>
      <c r="F39" s="1193"/>
      <c r="G39" s="1193"/>
      <c r="H39" s="1193"/>
      <c r="I39" s="1193"/>
      <c r="J39" s="1193"/>
    </row>
    <row r="40" spans="1:10" x14ac:dyDescent="0.25">
      <c r="A40" s="1193"/>
      <c r="B40" s="1193"/>
      <c r="C40" s="1193"/>
      <c r="D40" s="1193"/>
      <c r="E40" s="1193"/>
      <c r="F40" s="1193"/>
      <c r="G40" s="1193"/>
      <c r="H40" s="1193"/>
      <c r="I40" s="1193"/>
      <c r="J40" s="1193"/>
    </row>
    <row r="41" spans="1:10" x14ac:dyDescent="0.25">
      <c r="A41" s="1193"/>
      <c r="B41" s="1193"/>
      <c r="C41" s="1193"/>
      <c r="D41" s="1193"/>
      <c r="E41" s="1193"/>
      <c r="F41" s="1193"/>
      <c r="G41" s="1193"/>
      <c r="H41" s="1193"/>
      <c r="I41" s="1193"/>
      <c r="J41" s="1193"/>
    </row>
    <row r="42" spans="1:10" x14ac:dyDescent="0.25">
      <c r="A42" s="1193"/>
      <c r="B42" s="1193"/>
      <c r="C42" s="1193"/>
      <c r="D42" s="1193"/>
      <c r="E42" s="1193"/>
      <c r="F42" s="1193"/>
      <c r="G42" s="1193"/>
      <c r="H42" s="1193"/>
      <c r="I42" s="1193"/>
      <c r="J42" s="1193"/>
    </row>
  </sheetData>
  <mergeCells count="28">
    <mergeCell ref="H35:J35"/>
    <mergeCell ref="A13:G13"/>
    <mergeCell ref="A30:B30"/>
    <mergeCell ref="A31:B31"/>
    <mergeCell ref="A32:B32"/>
    <mergeCell ref="A33:B33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7:B37"/>
    <mergeCell ref="C37:F38"/>
    <mergeCell ref="H37:J37"/>
    <mergeCell ref="H38:J38"/>
    <mergeCell ref="H5:I5"/>
    <mergeCell ref="A6:G6"/>
    <mergeCell ref="A7:I7"/>
    <mergeCell ref="A29:B29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8"/>
  <sheetViews>
    <sheetView view="pageBreakPreview" topLeftCell="A3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4" customWidth="1"/>
    <col min="3" max="9" width="7.5546875" customWidth="1"/>
    <col min="10" max="10" width="9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92)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120</v>
      </c>
    </row>
    <row r="8" spans="1:10" s="2" customFormat="1" ht="9.6" customHeight="1" x14ac:dyDescent="0.25">
      <c r="A8" s="375"/>
      <c r="B8" s="375"/>
      <c r="C8" s="375"/>
      <c r="D8" s="375"/>
      <c r="E8" s="375"/>
      <c r="F8" s="375"/>
      <c r="G8" s="375"/>
      <c r="H8" s="375"/>
      <c r="I8" s="375"/>
      <c r="J8" s="109"/>
    </row>
    <row r="9" spans="1:10" s="2" customFormat="1" ht="26.1" customHeight="1" x14ac:dyDescent="0.3">
      <c r="A9" s="1550" t="s">
        <v>633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'115-суп с пшено'!H14+1</f>
        <v>92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372" t="s">
        <v>92</v>
      </c>
      <c r="D17" s="372" t="s">
        <v>94</v>
      </c>
      <c r="E17" s="372" t="s">
        <v>93</v>
      </c>
      <c r="F17" s="372" t="s">
        <v>23</v>
      </c>
      <c r="G17" s="372" t="s">
        <v>92</v>
      </c>
      <c r="H17" s="372" t="s">
        <v>94</v>
      </c>
      <c r="I17" s="372" t="s">
        <v>92</v>
      </c>
      <c r="J17" s="372" t="s">
        <v>94</v>
      </c>
    </row>
    <row r="18" spans="1:13" ht="9.6" customHeight="1" x14ac:dyDescent="0.25">
      <c r="A18" s="372">
        <v>1</v>
      </c>
      <c r="B18" s="374">
        <v>2</v>
      </c>
      <c r="C18" s="372">
        <v>3</v>
      </c>
      <c r="D18" s="374">
        <v>4</v>
      </c>
      <c r="E18" s="372">
        <v>5</v>
      </c>
      <c r="F18" s="374">
        <v>6</v>
      </c>
      <c r="G18" s="374">
        <v>8</v>
      </c>
      <c r="H18" s="372">
        <v>9</v>
      </c>
      <c r="I18" s="374">
        <v>10</v>
      </c>
      <c r="J18" s="372">
        <v>11</v>
      </c>
    </row>
    <row r="19" spans="1:13" s="10" customFormat="1" ht="14.1" customHeight="1" x14ac:dyDescent="0.25">
      <c r="A19" s="180">
        <v>1</v>
      </c>
      <c r="B19" s="20" t="s">
        <v>34</v>
      </c>
      <c r="C19" s="111">
        <v>0.5</v>
      </c>
      <c r="D19" s="111">
        <v>0.5</v>
      </c>
      <c r="E19" s="13">
        <f>цены!F20</f>
        <v>80</v>
      </c>
      <c r="F19" s="13">
        <f>C19*E19</f>
        <v>40</v>
      </c>
      <c r="G19" s="97">
        <f t="shared" ref="G19:H23" si="0">C19*10</f>
        <v>5</v>
      </c>
      <c r="H19" s="21">
        <f t="shared" si="0"/>
        <v>5</v>
      </c>
      <c r="I19" s="21">
        <f t="shared" ref="I19:J23" si="1">C19*100</f>
        <v>50</v>
      </c>
      <c r="J19" s="21">
        <f t="shared" si="1"/>
        <v>50</v>
      </c>
      <c r="L19" s="1018">
        <f>C19/C$28</f>
        <v>0.125</v>
      </c>
      <c r="M19" s="1018">
        <f>F19/C$28</f>
        <v>10</v>
      </c>
    </row>
    <row r="20" spans="1:13" s="10" customFormat="1" ht="14.1" customHeight="1" x14ac:dyDescent="0.25">
      <c r="A20" s="180">
        <v>2</v>
      </c>
      <c r="B20" s="20" t="s">
        <v>28</v>
      </c>
      <c r="C20" s="111">
        <v>0.42</v>
      </c>
      <c r="D20" s="111">
        <v>0.42</v>
      </c>
      <c r="E20" s="13"/>
      <c r="F20" s="13">
        <f>C20*E20</f>
        <v>0</v>
      </c>
      <c r="G20" s="97">
        <f t="shared" si="0"/>
        <v>4.2</v>
      </c>
      <c r="H20" s="21">
        <f t="shared" si="0"/>
        <v>4.2</v>
      </c>
      <c r="I20" s="21">
        <f t="shared" si="1"/>
        <v>42</v>
      </c>
      <c r="J20" s="21">
        <f t="shared" si="1"/>
        <v>42</v>
      </c>
      <c r="L20" s="1018">
        <f t="shared" ref="L20:L23" si="2">C20/C$28</f>
        <v>0.105</v>
      </c>
      <c r="M20" s="1018">
        <f t="shared" ref="M20:M23" si="3">F20/C$28</f>
        <v>0</v>
      </c>
    </row>
    <row r="21" spans="1:13" s="10" customFormat="1" ht="12" customHeight="1" x14ac:dyDescent="0.25">
      <c r="A21" s="180">
        <v>3</v>
      </c>
      <c r="B21" s="20" t="s">
        <v>69</v>
      </c>
      <c r="C21" s="111">
        <v>0.08</v>
      </c>
      <c r="D21" s="111">
        <v>0.08</v>
      </c>
      <c r="E21" s="13">
        <f>цены!F88</f>
        <v>50</v>
      </c>
      <c r="F21" s="13">
        <f>C21*E21</f>
        <v>4</v>
      </c>
      <c r="G21" s="97">
        <f t="shared" si="0"/>
        <v>0.8</v>
      </c>
      <c r="H21" s="21">
        <f t="shared" si="0"/>
        <v>0.8</v>
      </c>
      <c r="I21" s="21">
        <f t="shared" si="1"/>
        <v>8</v>
      </c>
      <c r="J21" s="21">
        <f t="shared" si="1"/>
        <v>8</v>
      </c>
      <c r="L21" s="1018">
        <f t="shared" si="2"/>
        <v>0.02</v>
      </c>
      <c r="M21" s="1018">
        <f t="shared" si="3"/>
        <v>1</v>
      </c>
    </row>
    <row r="22" spans="1:13" s="10" customFormat="1" ht="12" customHeight="1" x14ac:dyDescent="0.25">
      <c r="A22" s="180">
        <v>4</v>
      </c>
      <c r="B22" s="20" t="s">
        <v>31</v>
      </c>
      <c r="C22" s="111">
        <v>8.0000000000000002E-3</v>
      </c>
      <c r="D22" s="111">
        <v>8.0000000000000002E-3</v>
      </c>
      <c r="E22" s="13">
        <f>цены!F21</f>
        <v>710</v>
      </c>
      <c r="F22" s="13">
        <f>C22*E22</f>
        <v>5.68</v>
      </c>
      <c r="G22" s="97">
        <f t="shared" si="0"/>
        <v>0.08</v>
      </c>
      <c r="H22" s="21">
        <f t="shared" si="0"/>
        <v>0.08</v>
      </c>
      <c r="I22" s="21">
        <f t="shared" si="1"/>
        <v>0.8</v>
      </c>
      <c r="J22" s="21">
        <f t="shared" si="1"/>
        <v>0.8</v>
      </c>
      <c r="L22" s="1018">
        <f t="shared" si="2"/>
        <v>2E-3</v>
      </c>
      <c r="M22" s="1018">
        <f t="shared" si="3"/>
        <v>1.42</v>
      </c>
    </row>
    <row r="23" spans="1:13" s="10" customFormat="1" ht="12" customHeight="1" x14ac:dyDescent="0.25">
      <c r="A23" s="180">
        <v>5</v>
      </c>
      <c r="B23" s="20" t="s">
        <v>30</v>
      </c>
      <c r="C23" s="111">
        <v>6.0000000000000001E-3</v>
      </c>
      <c r="D23" s="111">
        <v>6.0000000000000001E-3</v>
      </c>
      <c r="E23" s="13">
        <f>цены!F107</f>
        <v>76</v>
      </c>
      <c r="F23" s="13">
        <f>C23*E23</f>
        <v>0.46</v>
      </c>
      <c r="G23" s="97">
        <f t="shared" si="0"/>
        <v>0.06</v>
      </c>
      <c r="H23" s="21">
        <f t="shared" si="0"/>
        <v>0.06</v>
      </c>
      <c r="I23" s="21">
        <f t="shared" si="1"/>
        <v>0.6</v>
      </c>
      <c r="J23" s="21">
        <f t="shared" si="1"/>
        <v>0.6</v>
      </c>
      <c r="L23" s="1018">
        <f t="shared" si="2"/>
        <v>1.5E-3</v>
      </c>
      <c r="M23" s="1018">
        <f t="shared" si="3"/>
        <v>0.115</v>
      </c>
    </row>
    <row r="24" spans="1:13" s="10" customFormat="1" ht="12" customHeight="1" x14ac:dyDescent="0.25">
      <c r="A24" s="98"/>
      <c r="B24" s="93" t="s">
        <v>634</v>
      </c>
      <c r="C24" s="112"/>
      <c r="D24" s="112">
        <v>1</v>
      </c>
      <c r="E24" s="95"/>
      <c r="F24" s="95">
        <f>SUM(F19:F23)</f>
        <v>50.14</v>
      </c>
      <c r="G24" s="99"/>
      <c r="H24" s="100">
        <f>D24*10</f>
        <v>10</v>
      </c>
      <c r="I24" s="100"/>
      <c r="J24" s="100">
        <f>D24*100</f>
        <v>100</v>
      </c>
      <c r="L24" s="1018">
        <f>SUM(L19:L23)</f>
        <v>0.2535</v>
      </c>
      <c r="M24" s="1018">
        <f>SUM(M19:M23)</f>
        <v>12.535</v>
      </c>
    </row>
    <row r="25" spans="1:13" s="10" customFormat="1" ht="27.6" customHeight="1" x14ac:dyDescent="0.25">
      <c r="A25" s="1536" t="s">
        <v>35</v>
      </c>
      <c r="B25" s="1536"/>
      <c r="C25" s="90"/>
      <c r="D25" s="90"/>
      <c r="E25" s="13"/>
      <c r="F25" s="13">
        <f>F24</f>
        <v>50.14</v>
      </c>
      <c r="G25" s="373"/>
      <c r="H25" s="373"/>
      <c r="I25" s="21"/>
      <c r="J25" s="13"/>
    </row>
    <row r="26" spans="1:13" s="10" customFormat="1" ht="25.35" customHeight="1" x14ac:dyDescent="0.25">
      <c r="A26" s="1536" t="s">
        <v>36</v>
      </c>
      <c r="B26" s="1536"/>
      <c r="C26" s="90">
        <v>1000</v>
      </c>
      <c r="D26" s="90"/>
      <c r="E26" s="13"/>
      <c r="F26" s="13"/>
      <c r="G26" s="13"/>
      <c r="H26" s="13"/>
      <c r="I26" s="21"/>
      <c r="J26" s="17"/>
    </row>
    <row r="27" spans="1:13" s="10" customFormat="1" ht="25.35" customHeight="1" x14ac:dyDescent="0.25">
      <c r="A27" s="1537" t="s">
        <v>37</v>
      </c>
      <c r="B27" s="1538"/>
      <c r="C27" s="91">
        <v>250</v>
      </c>
      <c r="D27" s="92"/>
      <c r="E27" s="374"/>
      <c r="F27" s="374"/>
      <c r="G27" s="374"/>
      <c r="H27" s="374"/>
      <c r="I27" s="21"/>
      <c r="J27" s="17"/>
    </row>
    <row r="28" spans="1:13" s="10" customFormat="1" ht="15" customHeight="1" x14ac:dyDescent="0.25">
      <c r="A28" s="1539" t="s">
        <v>38</v>
      </c>
      <c r="B28" s="1540"/>
      <c r="C28" s="92">
        <f>C26/C27</f>
        <v>4</v>
      </c>
      <c r="D28" s="92"/>
      <c r="E28" s="374"/>
      <c r="F28" s="374"/>
      <c r="G28" s="374"/>
      <c r="H28" s="374"/>
      <c r="I28" s="21"/>
      <c r="J28" s="17"/>
    </row>
    <row r="29" spans="1:13" ht="16.350000000000001" customHeight="1" x14ac:dyDescent="0.25">
      <c r="A29" s="1541" t="s">
        <v>39</v>
      </c>
      <c r="B29" s="1542"/>
      <c r="C29" s="15" t="s">
        <v>40</v>
      </c>
      <c r="D29" s="102"/>
      <c r="E29" s="102" t="s">
        <v>40</v>
      </c>
      <c r="F29" s="16">
        <f>F25/C28</f>
        <v>12.54</v>
      </c>
      <c r="G29" s="16"/>
      <c r="H29" s="16"/>
      <c r="I29" s="102" t="s">
        <v>40</v>
      </c>
      <c r="J29" s="102" t="s">
        <v>40</v>
      </c>
    </row>
    <row r="30" spans="1:13" ht="23.1" customHeight="1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3" ht="13.95" customHeight="1" x14ac:dyDescent="0.25">
      <c r="A31" s="1193"/>
      <c r="B31" s="1194" t="s">
        <v>49</v>
      </c>
      <c r="C31" s="1198"/>
      <c r="D31" s="1198"/>
      <c r="E31" s="1198"/>
      <c r="F31" s="1198"/>
      <c r="G31" s="1193"/>
      <c r="H31" s="1560">
        <f>'1-бутерброд с маслом'!$H$28</f>
        <v>0</v>
      </c>
      <c r="I31" s="1560"/>
      <c r="J31" s="1560"/>
    </row>
    <row r="32" spans="1:13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545" t="s">
        <v>327</v>
      </c>
      <c r="B33" s="1545"/>
      <c r="C33" s="1546" t="s">
        <v>328</v>
      </c>
      <c r="D33" s="1546"/>
      <c r="E33" s="1546"/>
      <c r="F33" s="1546"/>
      <c r="G33" s="106"/>
      <c r="H33" s="1531"/>
      <c r="I33" s="1531"/>
      <c r="J33" s="1531"/>
    </row>
    <row r="34" spans="1:10" x14ac:dyDescent="0.25">
      <c r="A34" s="1193"/>
      <c r="B34" s="1193"/>
      <c r="C34" s="1546"/>
      <c r="D34" s="1546"/>
      <c r="E34" s="1546"/>
      <c r="F34" s="1546"/>
      <c r="G34" s="1193"/>
      <c r="H34" s="1531" t="s">
        <v>329</v>
      </c>
      <c r="I34" s="1531"/>
      <c r="J34" s="1531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</sheetData>
  <mergeCells count="28">
    <mergeCell ref="H31:J31"/>
    <mergeCell ref="A13:G13"/>
    <mergeCell ref="A26:B26"/>
    <mergeCell ref="A27:B27"/>
    <mergeCell ref="A28:B28"/>
    <mergeCell ref="A29:B29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3:B33"/>
    <mergeCell ref="C33:F34"/>
    <mergeCell ref="H33:J33"/>
    <mergeCell ref="H34:J34"/>
    <mergeCell ref="H5:I5"/>
    <mergeCell ref="A6:G6"/>
    <mergeCell ref="A7:I7"/>
    <mergeCell ref="A25:B25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8"/>
  <sheetViews>
    <sheetView view="pageBreakPreview" zoomScaleNormal="100" zoomScaleSheetLayoutView="100" workbookViewId="0">
      <selection activeCell="A9" sqref="A9:J9"/>
    </sheetView>
  </sheetViews>
  <sheetFormatPr defaultRowHeight="13.8" x14ac:dyDescent="0.25"/>
  <cols>
    <col min="1" max="1" width="4.109375" customWidth="1"/>
    <col min="2" max="2" width="24" customWidth="1"/>
    <col min="3" max="9" width="7.5546875" customWidth="1"/>
    <col min="10" max="10" width="9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93)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121</v>
      </c>
    </row>
    <row r="8" spans="1:10" s="2" customFormat="1" ht="9.6" customHeight="1" x14ac:dyDescent="0.25">
      <c r="A8" s="375"/>
      <c r="B8" s="375"/>
      <c r="C8" s="375"/>
      <c r="D8" s="375"/>
      <c r="E8" s="375"/>
      <c r="F8" s="375"/>
      <c r="G8" s="375"/>
      <c r="H8" s="375"/>
      <c r="I8" s="375"/>
      <c r="J8" s="109"/>
    </row>
    <row r="9" spans="1:10" s="2" customFormat="1" ht="26.1" customHeight="1" x14ac:dyDescent="0.3">
      <c r="A9" s="1550" t="s">
        <v>892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'120-суп молочный'!H14+1</f>
        <v>93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372" t="s">
        <v>92</v>
      </c>
      <c r="D17" s="372" t="s">
        <v>94</v>
      </c>
      <c r="E17" s="372" t="s">
        <v>93</v>
      </c>
      <c r="F17" s="372" t="s">
        <v>23</v>
      </c>
      <c r="G17" s="372" t="s">
        <v>92</v>
      </c>
      <c r="H17" s="372" t="s">
        <v>94</v>
      </c>
      <c r="I17" s="372" t="s">
        <v>92</v>
      </c>
      <c r="J17" s="372" t="s">
        <v>94</v>
      </c>
    </row>
    <row r="18" spans="1:13" ht="9.6" customHeight="1" x14ac:dyDescent="0.25">
      <c r="A18" s="372">
        <v>1</v>
      </c>
      <c r="B18" s="374">
        <v>2</v>
      </c>
      <c r="C18" s="372">
        <v>3</v>
      </c>
      <c r="D18" s="374">
        <v>4</v>
      </c>
      <c r="E18" s="372">
        <v>5</v>
      </c>
      <c r="F18" s="374">
        <v>6</v>
      </c>
      <c r="G18" s="374">
        <v>8</v>
      </c>
      <c r="H18" s="372">
        <v>9</v>
      </c>
      <c r="I18" s="374">
        <v>10</v>
      </c>
      <c r="J18" s="372">
        <v>11</v>
      </c>
    </row>
    <row r="19" spans="1:13" s="10" customFormat="1" ht="14.1" customHeight="1" x14ac:dyDescent="0.25">
      <c r="A19" s="180">
        <v>1</v>
      </c>
      <c r="B19" s="20" t="s">
        <v>34</v>
      </c>
      <c r="C19" s="111">
        <v>0.5</v>
      </c>
      <c r="D19" s="111">
        <v>0.5</v>
      </c>
      <c r="E19" s="13">
        <f>цены!F20</f>
        <v>80</v>
      </c>
      <c r="F19" s="13">
        <f>C19*E19</f>
        <v>40</v>
      </c>
      <c r="G19" s="97">
        <f t="shared" ref="G19:H23" si="0">C19*10</f>
        <v>5</v>
      </c>
      <c r="H19" s="21">
        <f t="shared" si="0"/>
        <v>5</v>
      </c>
      <c r="I19" s="21">
        <f t="shared" ref="I19:J23" si="1">C19*100</f>
        <v>50</v>
      </c>
      <c r="J19" s="21">
        <f t="shared" si="1"/>
        <v>50</v>
      </c>
      <c r="L19" s="1018">
        <f>C19/C$28</f>
        <v>0.125</v>
      </c>
      <c r="M19" s="1018">
        <f>F19/C$28</f>
        <v>10</v>
      </c>
    </row>
    <row r="20" spans="1:13" s="10" customFormat="1" ht="14.1" customHeight="1" x14ac:dyDescent="0.25">
      <c r="A20" s="180">
        <v>2</v>
      </c>
      <c r="B20" s="20" t="s">
        <v>28</v>
      </c>
      <c r="C20" s="111">
        <v>0.55000000000000004</v>
      </c>
      <c r="D20" s="111">
        <v>0.55000000000000004</v>
      </c>
      <c r="E20" s="13"/>
      <c r="F20" s="13">
        <f>C20*E20</f>
        <v>0</v>
      </c>
      <c r="G20" s="97">
        <f t="shared" si="0"/>
        <v>5.5</v>
      </c>
      <c r="H20" s="21">
        <f t="shared" si="0"/>
        <v>5.5</v>
      </c>
      <c r="I20" s="21">
        <f t="shared" si="1"/>
        <v>55</v>
      </c>
      <c r="J20" s="21">
        <f t="shared" si="1"/>
        <v>55</v>
      </c>
      <c r="L20" s="1018">
        <f t="shared" ref="L20:L23" si="2">C20/C$28</f>
        <v>0.13750000000000001</v>
      </c>
      <c r="M20" s="1018">
        <f t="shared" ref="M20:M23" si="3">F20/C$28</f>
        <v>0</v>
      </c>
    </row>
    <row r="21" spans="1:13" s="10" customFormat="1" ht="12" customHeight="1" x14ac:dyDescent="0.25">
      <c r="A21" s="180">
        <v>3</v>
      </c>
      <c r="B21" s="20" t="s">
        <v>68</v>
      </c>
      <c r="C21" s="111">
        <v>0.06</v>
      </c>
      <c r="D21" s="111">
        <v>0.06</v>
      </c>
      <c r="E21" s="13">
        <f>цены!F83</f>
        <v>98</v>
      </c>
      <c r="F21" s="13">
        <f>C21*E21</f>
        <v>5.88</v>
      </c>
      <c r="G21" s="97">
        <f t="shared" si="0"/>
        <v>0.6</v>
      </c>
      <c r="H21" s="21">
        <f t="shared" si="0"/>
        <v>0.6</v>
      </c>
      <c r="I21" s="21">
        <f t="shared" si="1"/>
        <v>6</v>
      </c>
      <c r="J21" s="21">
        <f t="shared" si="1"/>
        <v>6</v>
      </c>
      <c r="L21" s="1018">
        <f t="shared" si="2"/>
        <v>1.4999999999999999E-2</v>
      </c>
      <c r="M21" s="1018">
        <f t="shared" si="3"/>
        <v>1.47</v>
      </c>
    </row>
    <row r="22" spans="1:13" s="10" customFormat="1" ht="12" customHeight="1" x14ac:dyDescent="0.25">
      <c r="A22" s="180">
        <v>4</v>
      </c>
      <c r="B22" s="20" t="s">
        <v>31</v>
      </c>
      <c r="C22" s="111">
        <v>8.0000000000000002E-3</v>
      </c>
      <c r="D22" s="111">
        <v>8.0000000000000002E-3</v>
      </c>
      <c r="E22" s="13">
        <f>цены!F21</f>
        <v>710</v>
      </c>
      <c r="F22" s="13">
        <f>C22*E22</f>
        <v>5.68</v>
      </c>
      <c r="G22" s="97">
        <f t="shared" si="0"/>
        <v>0.08</v>
      </c>
      <c r="H22" s="21">
        <f t="shared" si="0"/>
        <v>0.08</v>
      </c>
      <c r="I22" s="21">
        <f t="shared" si="1"/>
        <v>0.8</v>
      </c>
      <c r="J22" s="21">
        <f t="shared" si="1"/>
        <v>0.8</v>
      </c>
      <c r="L22" s="1018">
        <f t="shared" si="2"/>
        <v>2E-3</v>
      </c>
      <c r="M22" s="1018">
        <f t="shared" si="3"/>
        <v>1.42</v>
      </c>
    </row>
    <row r="23" spans="1:13" s="10" customFormat="1" ht="12" customHeight="1" x14ac:dyDescent="0.25">
      <c r="A23" s="180">
        <v>5</v>
      </c>
      <c r="B23" s="20" t="s">
        <v>30</v>
      </c>
      <c r="C23" s="111">
        <v>0.01</v>
      </c>
      <c r="D23" s="111">
        <v>0.01</v>
      </c>
      <c r="E23" s="13">
        <f>цены!F107</f>
        <v>76</v>
      </c>
      <c r="F23" s="13">
        <f>C23*E23</f>
        <v>0.76</v>
      </c>
      <c r="G23" s="97">
        <f t="shared" si="0"/>
        <v>0.1</v>
      </c>
      <c r="H23" s="21">
        <f t="shared" si="0"/>
        <v>0.1</v>
      </c>
      <c r="I23" s="21">
        <f t="shared" si="1"/>
        <v>1</v>
      </c>
      <c r="J23" s="21">
        <f t="shared" si="1"/>
        <v>1</v>
      </c>
      <c r="L23" s="1018">
        <f t="shared" si="2"/>
        <v>2.5000000000000001E-3</v>
      </c>
      <c r="M23" s="1018">
        <f t="shared" si="3"/>
        <v>0.19</v>
      </c>
    </row>
    <row r="24" spans="1:13" s="10" customFormat="1" ht="12" customHeight="1" x14ac:dyDescent="0.25">
      <c r="A24" s="98"/>
      <c r="B24" s="93" t="s">
        <v>641</v>
      </c>
      <c r="C24" s="112"/>
      <c r="D24" s="112">
        <v>1</v>
      </c>
      <c r="E24" s="95"/>
      <c r="F24" s="95">
        <f>SUM(F19:F23)</f>
        <v>52.32</v>
      </c>
      <c r="G24" s="99"/>
      <c r="H24" s="100">
        <f>D24*10</f>
        <v>10</v>
      </c>
      <c r="I24" s="100"/>
      <c r="J24" s="100">
        <f>D24*100</f>
        <v>100</v>
      </c>
      <c r="L24" s="1018">
        <f>SUM(L19:L23)</f>
        <v>0.28199999999999997</v>
      </c>
      <c r="M24" s="1018">
        <f>SUM(M19:M23)</f>
        <v>13.08</v>
      </c>
    </row>
    <row r="25" spans="1:13" s="10" customFormat="1" ht="27.6" customHeight="1" x14ac:dyDescent="0.25">
      <c r="A25" s="1536" t="s">
        <v>35</v>
      </c>
      <c r="B25" s="1536"/>
      <c r="C25" s="90"/>
      <c r="D25" s="90"/>
      <c r="E25" s="13"/>
      <c r="F25" s="13">
        <f>F24</f>
        <v>52.32</v>
      </c>
      <c r="G25" s="373"/>
      <c r="H25" s="373"/>
      <c r="I25" s="21"/>
      <c r="J25" s="13"/>
    </row>
    <row r="26" spans="1:13" s="10" customFormat="1" ht="25.35" customHeight="1" x14ac:dyDescent="0.25">
      <c r="A26" s="1536" t="s">
        <v>36</v>
      </c>
      <c r="B26" s="1536"/>
      <c r="C26" s="90">
        <v>1000</v>
      </c>
      <c r="D26" s="90"/>
      <c r="E26" s="13"/>
      <c r="F26" s="13"/>
      <c r="G26" s="13"/>
      <c r="H26" s="13"/>
      <c r="I26" s="21"/>
      <c r="J26" s="17"/>
    </row>
    <row r="27" spans="1:13" s="10" customFormat="1" ht="25.35" customHeight="1" x14ac:dyDescent="0.25">
      <c r="A27" s="1537" t="s">
        <v>37</v>
      </c>
      <c r="B27" s="1538"/>
      <c r="C27" s="91">
        <v>250</v>
      </c>
      <c r="D27" s="92"/>
      <c r="E27" s="374"/>
      <c r="F27" s="374"/>
      <c r="G27" s="374"/>
      <c r="H27" s="374"/>
      <c r="I27" s="21"/>
      <c r="J27" s="17"/>
    </row>
    <row r="28" spans="1:13" s="10" customFormat="1" ht="15" customHeight="1" x14ac:dyDescent="0.25">
      <c r="A28" s="1539" t="s">
        <v>38</v>
      </c>
      <c r="B28" s="1540"/>
      <c r="C28" s="92">
        <f>C26/C27</f>
        <v>4</v>
      </c>
      <c r="D28" s="92"/>
      <c r="E28" s="374"/>
      <c r="F28" s="374"/>
      <c r="G28" s="374"/>
      <c r="H28" s="374"/>
      <c r="I28" s="21"/>
      <c r="J28" s="17"/>
    </row>
    <row r="29" spans="1:13" ht="16.350000000000001" customHeight="1" x14ac:dyDescent="0.25">
      <c r="A29" s="1541" t="s">
        <v>39</v>
      </c>
      <c r="B29" s="1542"/>
      <c r="C29" s="15" t="s">
        <v>40</v>
      </c>
      <c r="D29" s="102"/>
      <c r="E29" s="102" t="s">
        <v>40</v>
      </c>
      <c r="F29" s="16">
        <f>F25/C28</f>
        <v>13.08</v>
      </c>
      <c r="G29" s="16"/>
      <c r="H29" s="16"/>
      <c r="I29" s="102" t="s">
        <v>40</v>
      </c>
      <c r="J29" s="102" t="s">
        <v>40</v>
      </c>
    </row>
    <row r="30" spans="1:13" ht="23.1" customHeight="1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3" ht="13.95" customHeight="1" x14ac:dyDescent="0.25">
      <c r="A31" s="1193"/>
      <c r="B31" s="1194" t="s">
        <v>49</v>
      </c>
      <c r="C31" s="1198"/>
      <c r="D31" s="1198"/>
      <c r="E31" s="1198"/>
      <c r="F31" s="1198"/>
      <c r="G31" s="1193"/>
      <c r="H31" s="1560">
        <f>'1-бутерброд с маслом'!$H$28</f>
        <v>0</v>
      </c>
      <c r="I31" s="1560"/>
      <c r="J31" s="1560"/>
    </row>
    <row r="32" spans="1:13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545" t="s">
        <v>327</v>
      </c>
      <c r="B33" s="1545"/>
      <c r="C33" s="1546" t="s">
        <v>328</v>
      </c>
      <c r="D33" s="1546"/>
      <c r="E33" s="1546"/>
      <c r="F33" s="1546"/>
      <c r="G33" s="106"/>
      <c r="H33" s="1531"/>
      <c r="I33" s="1531"/>
      <c r="J33" s="1531"/>
    </row>
    <row r="34" spans="1:10" x14ac:dyDescent="0.25">
      <c r="A34" s="1193"/>
      <c r="B34" s="1193"/>
      <c r="C34" s="1546"/>
      <c r="D34" s="1546"/>
      <c r="E34" s="1546"/>
      <c r="F34" s="1546"/>
      <c r="G34" s="1193"/>
      <c r="H34" s="1531" t="s">
        <v>329</v>
      </c>
      <c r="I34" s="1531"/>
      <c r="J34" s="1531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</sheetData>
  <mergeCells count="28">
    <mergeCell ref="H31:J31"/>
    <mergeCell ref="A13:G13"/>
    <mergeCell ref="A26:B26"/>
    <mergeCell ref="A27:B27"/>
    <mergeCell ref="A28:B28"/>
    <mergeCell ref="A29:B29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3:B33"/>
    <mergeCell ref="C33:F34"/>
    <mergeCell ref="H33:J33"/>
    <mergeCell ref="H34:J34"/>
    <mergeCell ref="H5:I5"/>
    <mergeCell ref="A6:G6"/>
    <mergeCell ref="A7:I7"/>
    <mergeCell ref="A25:B25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8"/>
  <sheetViews>
    <sheetView view="pageBreakPreview" topLeftCell="A2" zoomScaleNormal="120" zoomScaleSheetLayoutView="100" workbookViewId="0">
      <selection activeCell="B8" sqref="B8"/>
    </sheetView>
  </sheetViews>
  <sheetFormatPr defaultRowHeight="13.8" x14ac:dyDescent="0.25"/>
  <cols>
    <col min="1" max="1" width="4.109375" customWidth="1"/>
    <col min="2" max="2" width="24" customWidth="1"/>
    <col min="3" max="9" width="7.5546875" customWidth="1"/>
    <col min="10" max="10" width="9" customWidth="1"/>
    <col min="11" max="11" width="5" customWidth="1"/>
  </cols>
  <sheetData>
    <row r="1" spans="1:10" s="1193" customFormat="1" ht="15.6" x14ac:dyDescent="0.3">
      <c r="F1" s="1194"/>
      <c r="G1" s="1521" t="str">
        <f>"Приложение 3 (Лист"&amp;" "&amp;H14&amp;")"</f>
        <v>Приложение 3 (Лист 94)</v>
      </c>
      <c r="H1" s="1521"/>
      <c r="I1" s="1521"/>
      <c r="J1" s="1521"/>
    </row>
    <row r="2" spans="1:10" s="1193" customFormat="1" ht="15.6" x14ac:dyDescent="0.3">
      <c r="G2" s="1521" t="s">
        <v>1346</v>
      </c>
      <c r="H2" s="1521"/>
      <c r="I2" s="1521"/>
      <c r="J2" s="1521"/>
    </row>
    <row r="3" spans="1:10" s="1193" customFormat="1" ht="15.6" x14ac:dyDescent="0.3">
      <c r="G3" s="1554" t="str">
        <f>'1-бутерброд с маслом'!G3:J3</f>
        <v>приказом от ______ 2023 N ____</v>
      </c>
      <c r="H3" s="1554"/>
      <c r="I3" s="1554"/>
      <c r="J3" s="1554"/>
    </row>
    <row r="4" spans="1:10" x14ac:dyDescent="0.25">
      <c r="A4" s="1193"/>
      <c r="B4" s="1193"/>
      <c r="C4" s="1193"/>
      <c r="D4" s="1193"/>
      <c r="E4" s="1193"/>
      <c r="F4" s="1193"/>
      <c r="G4" s="1193"/>
      <c r="H4" s="1193"/>
      <c r="I4" s="1193"/>
      <c r="J4" s="1200" t="s">
        <v>3</v>
      </c>
    </row>
    <row r="5" spans="1:10" s="2" customFormat="1" ht="19.350000000000001" customHeight="1" x14ac:dyDescent="0.25">
      <c r="A5" s="1555" t="str">
        <f>'1-бутерброд с маслом'!A5:G5</f>
        <v xml:space="preserve">МБОУ </v>
      </c>
      <c r="B5" s="1555"/>
      <c r="C5" s="1555"/>
      <c r="D5" s="1555"/>
      <c r="E5" s="1555"/>
      <c r="F5" s="1555"/>
      <c r="G5" s="1555"/>
      <c r="H5" s="1531" t="s">
        <v>5</v>
      </c>
      <c r="I5" s="1531"/>
      <c r="J5" s="1208">
        <f>'1-бутерброд с маслом'!J5</f>
        <v>0</v>
      </c>
    </row>
    <row r="6" spans="1:10" s="2" customFormat="1" ht="12.6" customHeight="1" x14ac:dyDescent="0.25">
      <c r="A6" s="1547" t="s">
        <v>6</v>
      </c>
      <c r="B6" s="1547"/>
      <c r="C6" s="1547"/>
      <c r="D6" s="1547"/>
      <c r="E6" s="1547"/>
      <c r="F6" s="1547"/>
      <c r="G6" s="1547"/>
      <c r="H6" s="1196"/>
      <c r="I6" s="1196"/>
      <c r="J6" s="1201"/>
    </row>
    <row r="7" spans="1:10" s="2" customFormat="1" ht="16.350000000000001" customHeight="1" x14ac:dyDescent="0.25">
      <c r="A7" s="1548" t="s">
        <v>10</v>
      </c>
      <c r="B7" s="1548"/>
      <c r="C7" s="1548"/>
      <c r="D7" s="1548"/>
      <c r="E7" s="1548"/>
      <c r="F7" s="1548"/>
      <c r="G7" s="1548"/>
      <c r="H7" s="1548"/>
      <c r="I7" s="1548"/>
      <c r="J7" s="105">
        <v>121</v>
      </c>
    </row>
    <row r="8" spans="1:10" s="2" customFormat="1" ht="9.6" customHeight="1" x14ac:dyDescent="0.25">
      <c r="A8" s="375"/>
      <c r="B8" s="375"/>
      <c r="C8" s="375"/>
      <c r="D8" s="375"/>
      <c r="E8" s="375"/>
      <c r="F8" s="375"/>
      <c r="G8" s="375"/>
      <c r="H8" s="375"/>
      <c r="I8" s="375"/>
      <c r="J8" s="109"/>
    </row>
    <row r="9" spans="1:10" s="2" customFormat="1" ht="26.1" customHeight="1" x14ac:dyDescent="0.3">
      <c r="A9" s="1550" t="s">
        <v>635</v>
      </c>
      <c r="B9" s="1550"/>
      <c r="C9" s="1550"/>
      <c r="D9" s="1550"/>
      <c r="E9" s="1550"/>
      <c r="F9" s="1550"/>
      <c r="G9" s="1550"/>
      <c r="H9" s="1550"/>
      <c r="I9" s="1550"/>
      <c r="J9" s="1550"/>
    </row>
    <row r="10" spans="1:10" s="2" customFormat="1" ht="14.4" customHeigh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38.1" customHeight="1" x14ac:dyDescent="0.25">
      <c r="A11" s="1551" t="s">
        <v>86</v>
      </c>
      <c r="B11" s="1551"/>
      <c r="C11" s="1551"/>
      <c r="D11" s="1551"/>
      <c r="E11" s="1551"/>
      <c r="F11" s="1551"/>
      <c r="G11" s="1551"/>
      <c r="H11" s="1551"/>
      <c r="I11" s="1551"/>
      <c r="J11" s="1551"/>
    </row>
    <row r="12" spans="1:10" ht="9.6" customHeight="1" x14ac:dyDescent="0.25">
      <c r="A12" s="1193"/>
      <c r="B12" s="1193"/>
      <c r="C12" s="1193"/>
      <c r="D12" s="1193"/>
      <c r="E12" s="101"/>
      <c r="F12" s="101"/>
      <c r="G12" s="1193"/>
      <c r="H12" s="1193"/>
      <c r="I12" s="1193"/>
      <c r="J12" s="1193"/>
    </row>
    <row r="13" spans="1:10" s="1" customFormat="1" ht="19.350000000000001" customHeight="1" x14ac:dyDescent="0.3">
      <c r="A13" s="1519" t="s">
        <v>58</v>
      </c>
      <c r="B13" s="1519"/>
      <c r="C13" s="1519"/>
      <c r="D13" s="1519"/>
      <c r="E13" s="1519"/>
      <c r="F13" s="1519"/>
      <c r="G13" s="1520"/>
      <c r="H13" s="1199" t="s">
        <v>12</v>
      </c>
      <c r="I13" s="1549" t="s">
        <v>13</v>
      </c>
      <c r="J13" s="1549"/>
    </row>
    <row r="14" spans="1:10" s="1" customFormat="1" ht="15.75" customHeight="1" x14ac:dyDescent="0.25">
      <c r="C14" s="1552"/>
      <c r="D14" s="1552"/>
      <c r="E14" s="1552"/>
      <c r="F14" s="1552"/>
      <c r="G14" s="1553"/>
      <c r="H14" s="179">
        <f>'121-суп с рисом'!H14+1</f>
        <v>94</v>
      </c>
      <c r="I14" s="1534">
        <v>44986</v>
      </c>
      <c r="J14" s="1535"/>
    </row>
    <row r="15" spans="1:10" s="2" customFormat="1" ht="22.35" customHeight="1" x14ac:dyDescent="0.25">
      <c r="C15" s="6"/>
      <c r="D15" s="6"/>
      <c r="E15" s="6"/>
      <c r="F15" s="6"/>
      <c r="G15" s="6"/>
      <c r="H15" s="6"/>
      <c r="I15" s="6"/>
      <c r="J15" s="6"/>
    </row>
    <row r="16" spans="1:10" s="2" customFormat="1" ht="27" customHeight="1" x14ac:dyDescent="0.25">
      <c r="A16" s="1543" t="s">
        <v>19</v>
      </c>
      <c r="B16" s="1543" t="s">
        <v>90</v>
      </c>
      <c r="C16" s="1543" t="s">
        <v>88</v>
      </c>
      <c r="D16" s="1543"/>
      <c r="E16" s="1543"/>
      <c r="F16" s="1543"/>
      <c r="G16" s="1543" t="s">
        <v>89</v>
      </c>
      <c r="H16" s="1543"/>
      <c r="I16" s="1549" t="s">
        <v>91</v>
      </c>
      <c r="J16" s="1549"/>
    </row>
    <row r="17" spans="1:13" ht="26.4" customHeight="1" x14ac:dyDescent="0.25">
      <c r="A17" s="1543"/>
      <c r="B17" s="1543"/>
      <c r="C17" s="372" t="s">
        <v>92</v>
      </c>
      <c r="D17" s="372" t="s">
        <v>94</v>
      </c>
      <c r="E17" s="372" t="s">
        <v>93</v>
      </c>
      <c r="F17" s="372" t="s">
        <v>23</v>
      </c>
      <c r="G17" s="372" t="s">
        <v>92</v>
      </c>
      <c r="H17" s="372" t="s">
        <v>94</v>
      </c>
      <c r="I17" s="372" t="s">
        <v>92</v>
      </c>
      <c r="J17" s="372" t="s">
        <v>94</v>
      </c>
    </row>
    <row r="18" spans="1:13" ht="9.6" customHeight="1" x14ac:dyDescent="0.25">
      <c r="A18" s="372">
        <v>1</v>
      </c>
      <c r="B18" s="374">
        <v>2</v>
      </c>
      <c r="C18" s="372">
        <v>3</v>
      </c>
      <c r="D18" s="374">
        <v>4</v>
      </c>
      <c r="E18" s="372">
        <v>5</v>
      </c>
      <c r="F18" s="374">
        <v>6</v>
      </c>
      <c r="G18" s="374">
        <v>8</v>
      </c>
      <c r="H18" s="372">
        <v>9</v>
      </c>
      <c r="I18" s="374">
        <v>10</v>
      </c>
      <c r="J18" s="372">
        <v>11</v>
      </c>
    </row>
    <row r="19" spans="1:13" s="10" customFormat="1" ht="14.1" customHeight="1" x14ac:dyDescent="0.25">
      <c r="A19" s="180">
        <v>1</v>
      </c>
      <c r="B19" s="20" t="s">
        <v>34</v>
      </c>
      <c r="C19" s="111">
        <v>0.5</v>
      </c>
      <c r="D19" s="111">
        <v>0.5</v>
      </c>
      <c r="E19" s="13">
        <f>цены!F20</f>
        <v>80</v>
      </c>
      <c r="F19" s="13">
        <f>C19*E19</f>
        <v>40</v>
      </c>
      <c r="G19" s="97">
        <f t="shared" ref="G19:H23" si="0">C19*10</f>
        <v>5</v>
      </c>
      <c r="H19" s="21">
        <f t="shared" si="0"/>
        <v>5</v>
      </c>
      <c r="I19" s="21">
        <f t="shared" ref="I19:J23" si="1">C19*100</f>
        <v>50</v>
      </c>
      <c r="J19" s="21">
        <f t="shared" si="1"/>
        <v>50</v>
      </c>
      <c r="L19" s="1018">
        <f>C19/C$28</f>
        <v>0.125</v>
      </c>
      <c r="M19" s="1018">
        <f>F19/C$28</f>
        <v>10</v>
      </c>
    </row>
    <row r="20" spans="1:13" s="10" customFormat="1" ht="14.1" customHeight="1" x14ac:dyDescent="0.25">
      <c r="A20" s="180">
        <v>2</v>
      </c>
      <c r="B20" s="20" t="s">
        <v>28</v>
      </c>
      <c r="C20" s="111">
        <v>0.55000000000000004</v>
      </c>
      <c r="D20" s="111">
        <v>0.55000000000000004</v>
      </c>
      <c r="E20" s="13"/>
      <c r="F20" s="13">
        <f>C20*E20</f>
        <v>0</v>
      </c>
      <c r="G20" s="97">
        <f t="shared" si="0"/>
        <v>5.5</v>
      </c>
      <c r="H20" s="21">
        <f t="shared" si="0"/>
        <v>5.5</v>
      </c>
      <c r="I20" s="21">
        <f t="shared" si="1"/>
        <v>55</v>
      </c>
      <c r="J20" s="21">
        <f t="shared" si="1"/>
        <v>55</v>
      </c>
      <c r="L20" s="1018">
        <f t="shared" ref="L20:L23" si="2">C20/C$28</f>
        <v>0.13750000000000001</v>
      </c>
      <c r="M20" s="1018">
        <f t="shared" ref="M20:M23" si="3">F20/C$28</f>
        <v>0</v>
      </c>
    </row>
    <row r="21" spans="1:13" s="10" customFormat="1" ht="12" customHeight="1" x14ac:dyDescent="0.25">
      <c r="A21" s="180">
        <v>3</v>
      </c>
      <c r="B21" s="20" t="s">
        <v>26</v>
      </c>
      <c r="C21" s="111">
        <v>0.08</v>
      </c>
      <c r="D21" s="111">
        <v>0.08</v>
      </c>
      <c r="E21" s="13">
        <f>цены!F75</f>
        <v>100</v>
      </c>
      <c r="F21" s="13">
        <f>C21*E21</f>
        <v>8</v>
      </c>
      <c r="G21" s="97">
        <f t="shared" si="0"/>
        <v>0.8</v>
      </c>
      <c r="H21" s="21">
        <f t="shared" si="0"/>
        <v>0.8</v>
      </c>
      <c r="I21" s="21">
        <f t="shared" si="1"/>
        <v>8</v>
      </c>
      <c r="J21" s="21">
        <f t="shared" si="1"/>
        <v>8</v>
      </c>
      <c r="L21" s="1018">
        <f t="shared" si="2"/>
        <v>0.02</v>
      </c>
      <c r="M21" s="1018">
        <f t="shared" si="3"/>
        <v>2</v>
      </c>
    </row>
    <row r="22" spans="1:13" s="10" customFormat="1" ht="12" customHeight="1" x14ac:dyDescent="0.25">
      <c r="A22" s="180">
        <v>4</v>
      </c>
      <c r="B22" s="20" t="s">
        <v>31</v>
      </c>
      <c r="C22" s="111">
        <v>8.0000000000000002E-3</v>
      </c>
      <c r="D22" s="111">
        <v>8.0000000000000002E-3</v>
      </c>
      <c r="E22" s="13">
        <f>цены!F21</f>
        <v>710</v>
      </c>
      <c r="F22" s="13">
        <f>C22*E22</f>
        <v>5.68</v>
      </c>
      <c r="G22" s="97">
        <f t="shared" si="0"/>
        <v>0.08</v>
      </c>
      <c r="H22" s="21">
        <f t="shared" si="0"/>
        <v>0.08</v>
      </c>
      <c r="I22" s="21">
        <f t="shared" si="1"/>
        <v>0.8</v>
      </c>
      <c r="J22" s="21">
        <f t="shared" si="1"/>
        <v>0.8</v>
      </c>
      <c r="L22" s="1018">
        <f t="shared" si="2"/>
        <v>2E-3</v>
      </c>
      <c r="M22" s="1018">
        <f t="shared" si="3"/>
        <v>1.42</v>
      </c>
    </row>
    <row r="23" spans="1:13" s="10" customFormat="1" ht="12" customHeight="1" x14ac:dyDescent="0.25">
      <c r="A23" s="180">
        <v>5</v>
      </c>
      <c r="B23" s="20" t="s">
        <v>30</v>
      </c>
      <c r="C23" s="111">
        <v>0.01</v>
      </c>
      <c r="D23" s="111">
        <v>0.01</v>
      </c>
      <c r="E23" s="13">
        <f>цены!F107</f>
        <v>76</v>
      </c>
      <c r="F23" s="13">
        <f>C23*E23</f>
        <v>0.76</v>
      </c>
      <c r="G23" s="97">
        <f t="shared" si="0"/>
        <v>0.1</v>
      </c>
      <c r="H23" s="21">
        <f t="shared" si="0"/>
        <v>0.1</v>
      </c>
      <c r="I23" s="21">
        <f t="shared" si="1"/>
        <v>1</v>
      </c>
      <c r="J23" s="21">
        <f t="shared" si="1"/>
        <v>1</v>
      </c>
      <c r="L23" s="1018">
        <f t="shared" si="2"/>
        <v>2.5000000000000001E-3</v>
      </c>
      <c r="M23" s="1018">
        <f t="shared" si="3"/>
        <v>0.19</v>
      </c>
    </row>
    <row r="24" spans="1:13" s="10" customFormat="1" ht="12" customHeight="1" x14ac:dyDescent="0.25">
      <c r="A24" s="98"/>
      <c r="B24" s="93" t="s">
        <v>641</v>
      </c>
      <c r="C24" s="112"/>
      <c r="D24" s="112">
        <v>1</v>
      </c>
      <c r="E24" s="95"/>
      <c r="F24" s="95">
        <f>SUM(F19:F23)</f>
        <v>54.44</v>
      </c>
      <c r="G24" s="99"/>
      <c r="H24" s="100">
        <f>D24*10</f>
        <v>10</v>
      </c>
      <c r="I24" s="100"/>
      <c r="J24" s="100">
        <f>D24*100</f>
        <v>100</v>
      </c>
      <c r="L24" s="1018">
        <f>SUM(L19:L23)</f>
        <v>0.28699999999999998</v>
      </c>
      <c r="M24" s="1018">
        <f>SUM(M19:M23)</f>
        <v>13.61</v>
      </c>
    </row>
    <row r="25" spans="1:13" s="10" customFormat="1" ht="27.6" customHeight="1" x14ac:dyDescent="0.25">
      <c r="A25" s="1536" t="s">
        <v>35</v>
      </c>
      <c r="B25" s="1536"/>
      <c r="C25" s="90"/>
      <c r="D25" s="90"/>
      <c r="E25" s="13"/>
      <c r="F25" s="13">
        <f>F24</f>
        <v>54.44</v>
      </c>
      <c r="G25" s="373"/>
      <c r="H25" s="373"/>
      <c r="I25" s="21"/>
      <c r="J25" s="13"/>
    </row>
    <row r="26" spans="1:13" s="10" customFormat="1" ht="25.35" customHeight="1" x14ac:dyDescent="0.25">
      <c r="A26" s="1536" t="s">
        <v>36</v>
      </c>
      <c r="B26" s="1536"/>
      <c r="C26" s="90">
        <v>1000</v>
      </c>
      <c r="D26" s="90"/>
      <c r="E26" s="13"/>
      <c r="F26" s="13"/>
      <c r="G26" s="13"/>
      <c r="H26" s="13"/>
      <c r="I26" s="21"/>
      <c r="J26" s="17"/>
    </row>
    <row r="27" spans="1:13" s="10" customFormat="1" ht="25.35" customHeight="1" x14ac:dyDescent="0.25">
      <c r="A27" s="1537" t="s">
        <v>37</v>
      </c>
      <c r="B27" s="1538"/>
      <c r="C27" s="91">
        <v>250</v>
      </c>
      <c r="D27" s="92"/>
      <c r="E27" s="374"/>
      <c r="F27" s="374"/>
      <c r="G27" s="374"/>
      <c r="H27" s="374"/>
      <c r="I27" s="21"/>
      <c r="J27" s="17"/>
    </row>
    <row r="28" spans="1:13" s="10" customFormat="1" ht="15" customHeight="1" x14ac:dyDescent="0.25">
      <c r="A28" s="1539" t="s">
        <v>38</v>
      </c>
      <c r="B28" s="1540"/>
      <c r="C28" s="92">
        <f>C26/C27</f>
        <v>4</v>
      </c>
      <c r="D28" s="92"/>
      <c r="E28" s="374"/>
      <c r="F28" s="374"/>
      <c r="G28" s="374"/>
      <c r="H28" s="374"/>
      <c r="I28" s="21"/>
      <c r="J28" s="17"/>
    </row>
    <row r="29" spans="1:13" ht="16.350000000000001" customHeight="1" x14ac:dyDescent="0.25">
      <c r="A29" s="1541" t="s">
        <v>39</v>
      </c>
      <c r="B29" s="1542"/>
      <c r="C29" s="15" t="s">
        <v>40</v>
      </c>
      <c r="D29" s="102"/>
      <c r="E29" s="102" t="s">
        <v>40</v>
      </c>
      <c r="F29" s="16">
        <f>F25/C28</f>
        <v>13.61</v>
      </c>
      <c r="G29" s="16"/>
      <c r="H29" s="16"/>
      <c r="I29" s="102" t="s">
        <v>40</v>
      </c>
      <c r="J29" s="102" t="s">
        <v>40</v>
      </c>
    </row>
    <row r="30" spans="1:13" ht="23.1" customHeight="1" x14ac:dyDescent="0.25">
      <c r="A30" s="1193"/>
      <c r="B30" s="1193"/>
      <c r="C30" s="1193"/>
      <c r="D30" s="1193"/>
      <c r="E30" s="1193"/>
      <c r="F30" s="1193"/>
      <c r="G30" s="1193"/>
      <c r="H30" s="1193"/>
      <c r="I30" s="1193"/>
      <c r="J30" s="1193"/>
    </row>
    <row r="31" spans="1:13" ht="13.95" customHeight="1" x14ac:dyDescent="0.25">
      <c r="A31" s="1193"/>
      <c r="B31" s="1194" t="s">
        <v>49</v>
      </c>
      <c r="C31" s="1198"/>
      <c r="D31" s="1198"/>
      <c r="E31" s="1198"/>
      <c r="F31" s="1198"/>
      <c r="G31" s="1193"/>
      <c r="H31" s="1560">
        <f>'1-бутерброд с маслом'!$H$28</f>
        <v>0</v>
      </c>
      <c r="I31" s="1560"/>
      <c r="J31" s="1560"/>
    </row>
    <row r="32" spans="1:13" x14ac:dyDescent="0.25">
      <c r="A32" s="1193"/>
      <c r="B32" s="1193"/>
      <c r="C32" s="1193"/>
      <c r="D32" s="1193"/>
      <c r="E32" s="1193"/>
      <c r="F32" s="1193"/>
      <c r="G32" s="1193"/>
      <c r="H32" s="1193"/>
      <c r="I32" s="1193"/>
      <c r="J32" s="1193"/>
    </row>
    <row r="33" spans="1:10" ht="13.95" customHeight="1" x14ac:dyDescent="0.25">
      <c r="A33" s="1545" t="s">
        <v>327</v>
      </c>
      <c r="B33" s="1545"/>
      <c r="C33" s="1546" t="s">
        <v>328</v>
      </c>
      <c r="D33" s="1546"/>
      <c r="E33" s="1546"/>
      <c r="F33" s="1546"/>
      <c r="G33" s="106"/>
      <c r="H33" s="1531"/>
      <c r="I33" s="1531"/>
      <c r="J33" s="1531"/>
    </row>
    <row r="34" spans="1:10" x14ac:dyDescent="0.25">
      <c r="A34" s="1193"/>
      <c r="B34" s="1193"/>
      <c r="C34" s="1546"/>
      <c r="D34" s="1546"/>
      <c r="E34" s="1546"/>
      <c r="F34" s="1546"/>
      <c r="G34" s="1193"/>
      <c r="H34" s="1531" t="s">
        <v>329</v>
      </c>
      <c r="I34" s="1531"/>
      <c r="J34" s="1531"/>
    </row>
    <row r="35" spans="1:10" x14ac:dyDescent="0.25">
      <c r="A35" s="1193"/>
      <c r="B35" s="1193"/>
      <c r="C35" s="1193"/>
      <c r="D35" s="1193"/>
      <c r="E35" s="1193"/>
      <c r="F35" s="1193"/>
      <c r="G35" s="1193"/>
      <c r="H35" s="1193"/>
      <c r="I35" s="1193"/>
      <c r="J35" s="1193"/>
    </row>
    <row r="36" spans="1:10" x14ac:dyDescent="0.25">
      <c r="A36" s="1193"/>
      <c r="B36" s="1193"/>
      <c r="C36" s="1193"/>
      <c r="D36" s="1193"/>
      <c r="E36" s="1193"/>
      <c r="F36" s="1193"/>
      <c r="G36" s="1193"/>
      <c r="H36" s="1193"/>
      <c r="I36" s="1193"/>
      <c r="J36" s="1193"/>
    </row>
    <row r="37" spans="1:10" x14ac:dyDescent="0.25">
      <c r="A37" s="1193"/>
      <c r="B37" s="1193"/>
      <c r="C37" s="1193"/>
      <c r="D37" s="1193"/>
      <c r="E37" s="1193"/>
      <c r="F37" s="1193"/>
      <c r="G37" s="1193"/>
      <c r="H37" s="1193"/>
      <c r="I37" s="1193"/>
      <c r="J37" s="1193"/>
    </row>
    <row r="38" spans="1:10" x14ac:dyDescent="0.25">
      <c r="A38" s="1193"/>
      <c r="B38" s="1193"/>
      <c r="C38" s="1193"/>
      <c r="D38" s="1193"/>
      <c r="E38" s="1193"/>
      <c r="F38" s="1193"/>
      <c r="G38" s="1193"/>
      <c r="H38" s="1193"/>
      <c r="I38" s="1193"/>
      <c r="J38" s="1193"/>
    </row>
  </sheetData>
  <mergeCells count="28">
    <mergeCell ref="H31:J31"/>
    <mergeCell ref="A13:G13"/>
    <mergeCell ref="A26:B26"/>
    <mergeCell ref="A27:B27"/>
    <mergeCell ref="A28:B28"/>
    <mergeCell ref="A29:B29"/>
    <mergeCell ref="I14:J14"/>
    <mergeCell ref="A16:A17"/>
    <mergeCell ref="B16:B17"/>
    <mergeCell ref="C16:F16"/>
    <mergeCell ref="G16:H16"/>
    <mergeCell ref="I16:J16"/>
    <mergeCell ref="G1:J1"/>
    <mergeCell ref="G2:J2"/>
    <mergeCell ref="G3:J3"/>
    <mergeCell ref="A5:G5"/>
    <mergeCell ref="A33:B33"/>
    <mergeCell ref="C33:F34"/>
    <mergeCell ref="H33:J33"/>
    <mergeCell ref="H34:J34"/>
    <mergeCell ref="H5:I5"/>
    <mergeCell ref="A6:G6"/>
    <mergeCell ref="A7:I7"/>
    <mergeCell ref="A25:B25"/>
    <mergeCell ref="A9:J9"/>
    <mergeCell ref="A11:J11"/>
    <mergeCell ref="I13:J13"/>
    <mergeCell ref="C14:G14"/>
  </mergeCells>
  <pageMargins left="0.98425196850393704" right="0.19685039370078741" top="0.59055118110236227" bottom="0.39370078740157483" header="0.19685039370078741" footer="0.19685039370078741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340</vt:i4>
      </vt:variant>
      <vt:variant>
        <vt:lpstr>Именованные диапазоны</vt:lpstr>
      </vt:variant>
      <vt:variant>
        <vt:i4>331</vt:i4>
      </vt:variant>
    </vt:vector>
  </HeadingPairs>
  <TitlesOfParts>
    <vt:vector size="671" baseType="lpstr">
      <vt:lpstr>цены</vt:lpstr>
      <vt:lpstr>детодни</vt:lpstr>
      <vt:lpstr>блюда</vt:lpstr>
      <vt:lpstr>меню 7 дней завтрак и обед </vt:lpstr>
      <vt:lpstr>меню сжатый </vt:lpstr>
      <vt:lpstr>1-бутерброд с маслом</vt:lpstr>
      <vt:lpstr>2-бутерброд с джемом</vt:lpstr>
      <vt:lpstr>3-бутерброд с сыром</vt:lpstr>
      <vt:lpstr>6-бутерброд с колбасой</vt:lpstr>
      <vt:lpstr>7-бутерброд горяч. с сыром</vt:lpstr>
      <vt:lpstr>8-бутерброд горяч. с колбас.</vt:lpstr>
      <vt:lpstr>11-гамбургер с сосиской</vt:lpstr>
      <vt:lpstr>13-чизбургер</vt:lpstr>
      <vt:lpstr>14-масло</vt:lpstr>
      <vt:lpstr>15-сыр (30)</vt:lpstr>
      <vt:lpstr>15-сыр (15)</vt:lpstr>
      <vt:lpstr>15-сыр (20)</vt:lpstr>
      <vt:lpstr>16-колбаса</vt:lpstr>
      <vt:lpstr>17-салат зеленый</vt:lpstr>
      <vt:lpstr>18-салат с огурцами</vt:lpstr>
      <vt:lpstr>19-салат с огурцами и помидор</vt:lpstr>
      <vt:lpstr>20-салат из огурцов</vt:lpstr>
      <vt:lpstr>23-салат из помидоров</vt:lpstr>
      <vt:lpstr>23-салат из помидоров (2)</vt:lpstr>
      <vt:lpstr>24-салат из помидор и огурцов</vt:lpstr>
      <vt:lpstr>24-салат помидор и огурц 20</vt:lpstr>
      <vt:lpstr>28-салат весна</vt:lpstr>
      <vt:lpstr>29-салат из сырых овощей</vt:lpstr>
      <vt:lpstr>31-салат из редиса</vt:lpstr>
      <vt:lpstr>34-салат летний</vt:lpstr>
      <vt:lpstr>39-салат с кукурузой</vt:lpstr>
      <vt:lpstr>40-салат картоф. с морк. и гор.</vt:lpstr>
      <vt:lpstr>41-салат картоф. с капустой</vt:lpstr>
      <vt:lpstr>43-салат из овощей</vt:lpstr>
      <vt:lpstr>45-салат из капусты</vt:lpstr>
      <vt:lpstr>45-салат из капусты новой 30</vt:lpstr>
      <vt:lpstr>48-салат витаминный</vt:lpstr>
      <vt:lpstr>52-салат из свеклы отварной</vt:lpstr>
      <vt:lpstr>53-салат из свеклы с горошком</vt:lpstr>
      <vt:lpstr>54-салат из свеклы с яблоками</vt:lpstr>
      <vt:lpstr>56-салат овощной с яблоками</vt:lpstr>
      <vt:lpstr>62-салат из моркови</vt:lpstr>
      <vt:lpstr> 65-салат из моркови и яблок</vt:lpstr>
      <vt:lpstr>67-винегрет</vt:lpstr>
      <vt:lpstr>67-винегрет с капустой</vt:lpstr>
      <vt:lpstr>68-винегрет с фасолью</vt:lpstr>
      <vt:lpstr>70-помидоры сол.</vt:lpstr>
      <vt:lpstr>70-огурцы сол.</vt:lpstr>
      <vt:lpstr>71-помидоры</vt:lpstr>
      <vt:lpstr>71-огурцы </vt:lpstr>
      <vt:lpstr>71-огурцы и помидоры</vt:lpstr>
      <vt:lpstr>77-сельдь</vt:lpstr>
      <vt:lpstr>82-борщ с капустой</vt:lpstr>
      <vt:lpstr>83-борщ с картофелем</vt:lpstr>
      <vt:lpstr>84-борщ с фасолью</vt:lpstr>
      <vt:lpstr>85-борщ зеленый</vt:lpstr>
      <vt:lpstr>бн-свекольник</vt:lpstr>
      <vt:lpstr>87-щи из капусты</vt:lpstr>
      <vt:lpstr>88-щи из картофеля</vt:lpstr>
      <vt:lpstr>89-щи зеленые</vt:lpstr>
      <vt:lpstr>92-щи кваш. капуста 50</vt:lpstr>
      <vt:lpstr>94-рассольник</vt:lpstr>
      <vt:lpstr>96-рассольник ленинград</vt:lpstr>
      <vt:lpstr>97-суп картофельный </vt:lpstr>
      <vt:lpstr>98-суп крестьян. рис</vt:lpstr>
      <vt:lpstr>98-суп крестьян. овсянка</vt:lpstr>
      <vt:lpstr>98-суп крестьян. перловка</vt:lpstr>
      <vt:lpstr>98-суп крестьян. пшеничная</vt:lpstr>
      <vt:lpstr>98-суп крестьян. пшено</vt:lpstr>
      <vt:lpstr>98-суп крестьян. хлопья</vt:lpstr>
      <vt:lpstr>99-суп из овощей</vt:lpstr>
      <vt:lpstr>101-суп картофельный с перлов.</vt:lpstr>
      <vt:lpstr>101-суп картофельный с пшено</vt:lpstr>
      <vt:lpstr>101-суп картофель рис </vt:lpstr>
      <vt:lpstr>101-суп картофельный овсянка</vt:lpstr>
      <vt:lpstr>101-суп картофельный пшенич</vt:lpstr>
      <vt:lpstr>101-суп картофельный хлопья</vt:lpstr>
      <vt:lpstr>102-суп картофельный с горохом</vt:lpstr>
      <vt:lpstr>102-суп картофельный с фасоль</vt:lpstr>
      <vt:lpstr>102-суп картофельный чечевица</vt:lpstr>
      <vt:lpstr>103-суп картофельный с вермиш.</vt:lpstr>
      <vt:lpstr>104-суп с фрикадель</vt:lpstr>
      <vt:lpstr>105-фрикадельки 70</vt:lpstr>
      <vt:lpstr>106-суп фрикад. рыб.</vt:lpstr>
      <vt:lpstr>107-фрикадельки рыб.</vt:lpstr>
      <vt:lpstr>108-суп с клёцками</vt:lpstr>
      <vt:lpstr>109-клёцки</vt:lpstr>
      <vt:lpstr>111-суп макарон</vt:lpstr>
      <vt:lpstr>113-суп-лапша</vt:lpstr>
      <vt:lpstr>114-лапша</vt:lpstr>
      <vt:lpstr>115-суп с рисом</vt:lpstr>
      <vt:lpstr>115-суп с перловкой</vt:lpstr>
      <vt:lpstr>115-суп с овсянкой 80</vt:lpstr>
      <vt:lpstr>115-суп с ячневой</vt:lpstr>
      <vt:lpstr>115-суп с пшеничной</vt:lpstr>
      <vt:lpstr>115-суп с пшено</vt:lpstr>
      <vt:lpstr>120-суп молочный</vt:lpstr>
      <vt:lpstr>121-суп с рисом</vt:lpstr>
      <vt:lpstr>121-суп с гречкой</vt:lpstr>
      <vt:lpstr>121-суп с перловкой</vt:lpstr>
      <vt:lpstr>121-суп с кукурузной</vt:lpstr>
      <vt:lpstr>121-суп хлопья</vt:lpstr>
      <vt:lpstr>121-суп с манкой 90</vt:lpstr>
      <vt:lpstr> 121-суп с пшеном </vt:lpstr>
      <vt:lpstr>125-картофель</vt:lpstr>
      <vt:lpstr>126-картофель с луком</vt:lpstr>
      <vt:lpstr>127-картофель в молоке</vt:lpstr>
      <vt:lpstr>128-пюре</vt:lpstr>
      <vt:lpstr>139-капуста туш.</vt:lpstr>
      <vt:lpstr>140-свекла тушен.</vt:lpstr>
      <vt:lpstr>142-картофель и овощи</vt:lpstr>
      <vt:lpstr>143-рагу</vt:lpstr>
      <vt:lpstr>145-картофель тушен.</vt:lpstr>
      <vt:lpstr>147-картофель жарен.100</vt:lpstr>
      <vt:lpstr>167-голубцы овощ.</vt:lpstr>
      <vt:lpstr>168-перец овощ.</vt:lpstr>
      <vt:lpstr>171-каша греч рассып. </vt:lpstr>
      <vt:lpstr>171-каша греч рассып. сах</vt:lpstr>
      <vt:lpstr>171-каша рис рассып.</vt:lpstr>
      <vt:lpstr>171-каша рис рассып.сах</vt:lpstr>
      <vt:lpstr>171-каша перловка рассып.</vt:lpstr>
      <vt:lpstr>171-каша перловка рассып.сах</vt:lpstr>
      <vt:lpstr>171-каша пшенная рассып.</vt:lpstr>
      <vt:lpstr>171-каша пшенная рассып.сах110</vt:lpstr>
      <vt:lpstr>173-каша гречневая вязк.</vt:lpstr>
      <vt:lpstr>173-каша пшенная вязк.</vt:lpstr>
      <vt:lpstr>173-каша ясно солнышко</vt:lpstr>
      <vt:lpstr>174-каша рисовая вяз.</vt:lpstr>
      <vt:lpstr>174-каша перловая вяз.</vt:lpstr>
      <vt:lpstr>177-каша пшенная с изюм</vt:lpstr>
      <vt:lpstr>181- каша манная жид. </vt:lpstr>
      <vt:lpstr>182- каша пшенная жид.</vt:lpstr>
      <vt:lpstr>182- каша рисовая жид.</vt:lpstr>
      <vt:lpstr>182- каша перловая жид. </vt:lpstr>
      <vt:lpstr>182- каша овсяная жид.120</vt:lpstr>
      <vt:lpstr>182- каша ячневая жид.</vt:lpstr>
      <vt:lpstr>183-каша гречневая жид.</vt:lpstr>
      <vt:lpstr>184-крупеник гречка</vt:lpstr>
      <vt:lpstr>184-крупеник гречка йогурт</vt:lpstr>
      <vt:lpstr>184-крупеник пшенич.</vt:lpstr>
      <vt:lpstr>184-крупеник пшенич.йог.</vt:lpstr>
      <vt:lpstr>185-запеканка манка с маслом</vt:lpstr>
      <vt:lpstr>185-запеканка манка со сгущ.</vt:lpstr>
      <vt:lpstr>185-запеканка рис с маслом</vt:lpstr>
      <vt:lpstr>185-запеканка рис со сгущ.</vt:lpstr>
      <vt:lpstr>186-запеканка манка с изюмом</vt:lpstr>
      <vt:lpstr>202-макароны отвар</vt:lpstr>
      <vt:lpstr>202-макароны отвар (150)</vt:lpstr>
      <vt:lpstr>203-макароны</vt:lpstr>
      <vt:lpstr>204-макароны с сыр</vt:lpstr>
      <vt:lpstr>205-макароны с овощ 130</vt:lpstr>
      <vt:lpstr>209-яйца</vt:lpstr>
      <vt:lpstr>210-омлет</vt:lpstr>
      <vt:lpstr>211-омлет с сыром</vt:lpstr>
      <vt:lpstr>213-омлет с картофелем</vt:lpstr>
      <vt:lpstr>219-сырники</vt:lpstr>
      <vt:lpstr>222-пудинг</vt:lpstr>
      <vt:lpstr>222-пудинг (120)</vt:lpstr>
      <vt:lpstr>223-запеканка творог</vt:lpstr>
      <vt:lpstr>224-запеканка творог морковь</vt:lpstr>
      <vt:lpstr>225-оладьи из творога</vt:lpstr>
      <vt:lpstr>227-рыба припущ.</vt:lpstr>
      <vt:lpstr>229-рыба тушен.</vt:lpstr>
      <vt:lpstr>229-рыба тушен. хек 140</vt:lpstr>
      <vt:lpstr>229-рыба тушен. минтай филе</vt:lpstr>
      <vt:lpstr>230-рыба жареная</vt:lpstr>
      <vt:lpstr>230-рыба жареная (2)</vt:lpstr>
      <vt:lpstr>241-мясо отвар</vt:lpstr>
      <vt:lpstr>243-сосиски</vt:lpstr>
      <vt:lpstr>244-плов из говядины</vt:lpstr>
      <vt:lpstr>244-плов из говядины (2)</vt:lpstr>
      <vt:lpstr>245-бефстроганов</vt:lpstr>
      <vt:lpstr>245-бефстроганов (2)</vt:lpstr>
      <vt:lpstr>246-гуляш 150</vt:lpstr>
      <vt:lpstr>247-мясо крупное</vt:lpstr>
      <vt:lpstr>247-мясо крупное (2)</vt:lpstr>
      <vt:lpstr>249-антрекот</vt:lpstr>
      <vt:lpstr>250-бефстроганов жар.</vt:lpstr>
      <vt:lpstr>251-поджарка</vt:lpstr>
      <vt:lpstr>251-поджарка (2)</vt:lpstr>
      <vt:lpstr>252-сосиски жареные</vt:lpstr>
      <vt:lpstr>256-мясо туш.</vt:lpstr>
      <vt:lpstr>256-мясо туш. (2)</vt:lpstr>
      <vt:lpstr>258-мясо духовое</vt:lpstr>
      <vt:lpstr>259-жаркое</vt:lpstr>
      <vt:lpstr>259-жаркое (2)</vt:lpstr>
      <vt:lpstr>260-гуляш</vt:lpstr>
      <vt:lpstr>260-гуляш (2)</vt:lpstr>
      <vt:lpstr>264-говядина тушеная</vt:lpstr>
      <vt:lpstr>265-плов</vt:lpstr>
      <vt:lpstr>267-шницель</vt:lpstr>
      <vt:lpstr>268-котлеты</vt:lpstr>
      <vt:lpstr>268-котлеты с соусом</vt:lpstr>
      <vt:lpstr>268-котлеты (80)</vt:lpstr>
      <vt:lpstr>271-котлеты дом </vt:lpstr>
      <vt:lpstr>273-котлеты с соусом</vt:lpstr>
      <vt:lpstr>278-тефтели (1)</vt:lpstr>
      <vt:lpstr>279-тефтели (60х2)</vt:lpstr>
      <vt:lpstr>279-тефтели 80)</vt:lpstr>
      <vt:lpstr>279-тефтели (120)</vt:lpstr>
      <vt:lpstr>280 фрикадельки в соусе</vt:lpstr>
      <vt:lpstr>285-макаронник с мясом</vt:lpstr>
      <vt:lpstr>287-Голубцы с мясом и рисом</vt:lpstr>
      <vt:lpstr>288-птица отвар</vt:lpstr>
      <vt:lpstr>288-птица отвар окор.</vt:lpstr>
      <vt:lpstr>288-птица отвар филе</vt:lpstr>
      <vt:lpstr>289 Рагу из окорочка</vt:lpstr>
      <vt:lpstr>289 Рагу из птицы </vt:lpstr>
      <vt:lpstr>290 птица туш.окор.</vt:lpstr>
      <vt:lpstr>290 птица туш.</vt:lpstr>
      <vt:lpstr>290 птица туш. 120г</vt:lpstr>
      <vt:lpstr>291-плов из окорочков</vt:lpstr>
      <vt:lpstr>291-плов из курицы</vt:lpstr>
      <vt:lpstr>292 окорочка тушенная в соусе</vt:lpstr>
      <vt:lpstr>292 птица тушенная в соусе</vt:lpstr>
      <vt:lpstr>293 птица жареная</vt:lpstr>
      <vt:lpstr>294 котлеты из птицы</vt:lpstr>
      <vt:lpstr>294 котлеты куриные окорочка</vt:lpstr>
      <vt:lpstr>294 котлеты из филе птицы </vt:lpstr>
      <vt:lpstr>294 котлеты из птицы </vt:lpstr>
      <vt:lpstr>296 котлеты рубленные из кур</vt:lpstr>
      <vt:lpstr>296 котлеты рубленные из окор</vt:lpstr>
      <vt:lpstr>297 фрикадельки из кур</vt:lpstr>
      <vt:lpstr>297 фрикадельки из кур окор</vt:lpstr>
      <vt:lpstr>298 Зразы из кур</vt:lpstr>
      <vt:lpstr>302-каша греч гарнир</vt:lpstr>
      <vt:lpstr>302-каша рис гарнир</vt:lpstr>
      <vt:lpstr>302-каша пшено гарнир</vt:lpstr>
      <vt:lpstr>304-рис отварной</vt:lpstr>
      <vt:lpstr>305-рис припущенный</vt:lpstr>
      <vt:lpstr>309-макаронные</vt:lpstr>
      <vt:lpstr>310-картофель</vt:lpstr>
      <vt:lpstr>310-картофель молодой</vt:lpstr>
      <vt:lpstr>312-пюре 200</vt:lpstr>
      <vt:lpstr>314-картофель жар.</vt:lpstr>
      <vt:lpstr>321-капуста тушеная</vt:lpstr>
      <vt:lpstr>326-соус молочный</vt:lpstr>
      <vt:lpstr>326-соус молочный 30</vt:lpstr>
      <vt:lpstr>льезон</vt:lpstr>
      <vt:lpstr>329 соус молочный густой</vt:lpstr>
      <vt:lpstr>330-соус сметанный</vt:lpstr>
      <vt:lpstr>330-соус сметанный (2)</vt:lpstr>
      <vt:lpstr>330-соус сметанный (3)</vt:lpstr>
      <vt:lpstr>330-соус сметанный (4)</vt:lpstr>
      <vt:lpstr>331-соус с томатом</vt:lpstr>
      <vt:lpstr>331-соус с томатом (30)</vt:lpstr>
      <vt:lpstr>331-соус с томатом (50)</vt:lpstr>
      <vt:lpstr>332-соус с луком</vt:lpstr>
      <vt:lpstr>332-соус с луком (30)</vt:lpstr>
      <vt:lpstr>332-соус с луком (50)</vt:lpstr>
      <vt:lpstr>333-соус с томатом и лук</vt:lpstr>
      <vt:lpstr>333-соус с томатом и лук (30)</vt:lpstr>
      <vt:lpstr>334-соус малиновый</vt:lpstr>
      <vt:lpstr>335-соус абрикосовый</vt:lpstr>
      <vt:lpstr>335-соус абрикос курага</vt:lpstr>
      <vt:lpstr>336-соус черносмородин</vt:lpstr>
      <vt:lpstr>337-соус яблочный</vt:lpstr>
      <vt:lpstr>338-яблоки</vt:lpstr>
      <vt:lpstr>338-яблоки (150)</vt:lpstr>
      <vt:lpstr>338-груши</vt:lpstr>
      <vt:lpstr>338-груши (150)</vt:lpstr>
      <vt:lpstr>338-абрикосы</vt:lpstr>
      <vt:lpstr>338-персики</vt:lpstr>
      <vt:lpstr>338-бананы</vt:lpstr>
      <vt:lpstr>338-бананы (2)</vt:lpstr>
      <vt:lpstr>338-виноград</vt:lpstr>
      <vt:lpstr>339-черешня</vt:lpstr>
      <vt:lpstr>339-земляника</vt:lpstr>
      <vt:lpstr>340-арбуз</vt:lpstr>
      <vt:lpstr>340-дыня</vt:lpstr>
      <vt:lpstr>341-апельсин</vt:lpstr>
      <vt:lpstr>341-мандарины</vt:lpstr>
      <vt:lpstr>342-компот яблок</vt:lpstr>
      <vt:lpstr>342-компот вишня</vt:lpstr>
      <vt:lpstr>342-компот абрикос</vt:lpstr>
      <vt:lpstr>344-компот яблок и слив</vt:lpstr>
      <vt:lpstr>346-компот апельсины</vt:lpstr>
      <vt:lpstr>346-компот мандарины</vt:lpstr>
      <vt:lpstr>347-компот из плодов консер виш</vt:lpstr>
      <vt:lpstr>347-компот консерв персик</vt:lpstr>
      <vt:lpstr>348-компот сушеной кураги</vt:lpstr>
      <vt:lpstr>349-компот сухофрукт</vt:lpstr>
      <vt:lpstr>352-кисель ябл</vt:lpstr>
      <vt:lpstr>354-кисель ябл суш</vt:lpstr>
      <vt:lpstr>357-кисель шиповн</vt:lpstr>
      <vt:lpstr>375-чай заварка</vt:lpstr>
      <vt:lpstr>376-чай сахар</vt:lpstr>
      <vt:lpstr>376-чай с вареньем</vt:lpstr>
      <vt:lpstr>377-чай с лимон</vt:lpstr>
      <vt:lpstr>378-чай с молоком</vt:lpstr>
      <vt:lpstr>379-кофейный напиток с молоком</vt:lpstr>
      <vt:lpstr>380-кофейный напиток со сгущ</vt:lpstr>
      <vt:lpstr>382-какао с молоком</vt:lpstr>
      <vt:lpstr>383-какао с сгущ</vt:lpstr>
      <vt:lpstr>385-молоко</vt:lpstr>
      <vt:lpstr>388-напиток из шипов</vt:lpstr>
      <vt:lpstr>393 тесто для вареников</vt:lpstr>
      <vt:lpstr>394 Вареники с творожным фаршем</vt:lpstr>
      <vt:lpstr>396-Блины с маслом </vt:lpstr>
      <vt:lpstr>396-Блины  с повидлом</vt:lpstr>
      <vt:lpstr>396-Блины  с медом</vt:lpstr>
      <vt:lpstr>396-Блины  со сгущ.</vt:lpstr>
      <vt:lpstr>400-тесто для оладий</vt:lpstr>
      <vt:lpstr>401-оладьи варенье</vt:lpstr>
      <vt:lpstr>404-оладьи с маслом</vt:lpstr>
      <vt:lpstr>405-тесто дрожжевое</vt:lpstr>
      <vt:lpstr>405-тесто сдобное</vt:lpstr>
      <vt:lpstr>405-тесто ватрушки</vt:lpstr>
      <vt:lpstr>406-пирожки картоф</vt:lpstr>
      <vt:lpstr>406-пирожки капуст</vt:lpstr>
      <vt:lpstr>406-пирожки мясные</vt:lpstr>
      <vt:lpstr>410-ватрушка</vt:lpstr>
      <vt:lpstr>426-булочка с повидл</vt:lpstr>
      <vt:lpstr>426-булочка с повидл (2)</vt:lpstr>
      <vt:lpstr>428-булочка школьная 30г</vt:lpstr>
      <vt:lpstr>428-булочка школьная 50г</vt:lpstr>
      <vt:lpstr>428-булочка школьная 100г</vt:lpstr>
      <vt:lpstr>429-булочка веснушка 50г</vt:lpstr>
      <vt:lpstr>429-булочка веснушка 100г</vt:lpstr>
      <vt:lpstr>440-булочка творожная</vt:lpstr>
      <vt:lpstr>446-кекс</vt:lpstr>
      <vt:lpstr>456-корж</vt:lpstr>
      <vt:lpstr>457-фарш мясной</vt:lpstr>
      <vt:lpstr>461-фарш из капусты</vt:lpstr>
      <vt:lpstr>467-фарш картоф</vt:lpstr>
      <vt:lpstr>468-фарш творож</vt:lpstr>
      <vt:lpstr>каша дружба 54-16к-2020</vt:lpstr>
      <vt:lpstr>54-11р-рыба тушен. минтай филе</vt:lpstr>
      <vt:lpstr>соус томатный 462</vt:lpstr>
      <vt:lpstr>соус томатный</vt:lpstr>
      <vt:lpstr>рыба с овощами</vt:lpstr>
      <vt:lpstr>кисель</vt:lpstr>
      <vt:lpstr>мониторинг</vt:lpstr>
      <vt:lpstr>вес блюда</vt:lpstr>
      <vt:lpstr>объем блюд</vt:lpstr>
      <vt:lpstr>режим питания</vt:lpstr>
      <vt:lpstr>обед</vt:lpstr>
      <vt:lpstr>завтрак</vt:lpstr>
      <vt:lpstr>масса порций</vt:lpstr>
      <vt:lpstr>санпин с 7</vt:lpstr>
      <vt:lpstr>'меню 7 дней завтрак и обед '!Заголовки_для_печати</vt:lpstr>
      <vt:lpstr>'меню сжатый '!Заголовки_для_печати</vt:lpstr>
      <vt:lpstr>' 121-суп с пшеном '!Область_печати</vt:lpstr>
      <vt:lpstr>' 65-салат из моркови и яблок'!Область_печати</vt:lpstr>
      <vt:lpstr>'101-суп картофель рис '!Область_печати</vt:lpstr>
      <vt:lpstr>'101-суп картофельный овсянка'!Область_печати</vt:lpstr>
      <vt:lpstr>'101-суп картофельный пшенич'!Область_печати</vt:lpstr>
      <vt:lpstr>'101-суп картофельный с перлов.'!Область_печати</vt:lpstr>
      <vt:lpstr>'101-суп картофельный с пшено'!Область_печати</vt:lpstr>
      <vt:lpstr>'101-суп картофельный хлопья'!Область_печати</vt:lpstr>
      <vt:lpstr>'102-суп картофельный с горохом'!Область_печати</vt:lpstr>
      <vt:lpstr>'102-суп картофельный с фасоль'!Область_печати</vt:lpstr>
      <vt:lpstr>'102-суп картофельный чечевица'!Область_печати</vt:lpstr>
      <vt:lpstr>'103-суп картофельный с вермиш.'!Область_печати</vt:lpstr>
      <vt:lpstr>'104-суп с фрикадель'!Область_печати</vt:lpstr>
      <vt:lpstr>'105-фрикадельки 70'!Область_печати</vt:lpstr>
      <vt:lpstr>'106-суп фрикад. рыб.'!Область_печати</vt:lpstr>
      <vt:lpstr>'107-фрикадельки рыб.'!Область_печати</vt:lpstr>
      <vt:lpstr>'108-суп с клёцками'!Область_печати</vt:lpstr>
      <vt:lpstr>'109-клёцки'!Область_печати</vt:lpstr>
      <vt:lpstr>'111-суп макарон'!Область_печати</vt:lpstr>
      <vt:lpstr>'113-суп-лапша'!Область_печати</vt:lpstr>
      <vt:lpstr>'114-лапша'!Область_печати</vt:lpstr>
      <vt:lpstr>'115-суп с овсянкой 80'!Область_печати</vt:lpstr>
      <vt:lpstr>'115-суп с перловкой'!Область_печати</vt:lpstr>
      <vt:lpstr>'115-суп с пшеничной'!Область_печати</vt:lpstr>
      <vt:lpstr>'115-суп с пшено'!Область_печати</vt:lpstr>
      <vt:lpstr>'115-суп с рисом'!Область_печати</vt:lpstr>
      <vt:lpstr>'115-суп с ячневой'!Область_печати</vt:lpstr>
      <vt:lpstr>'11-гамбургер с сосиской'!Область_печати</vt:lpstr>
      <vt:lpstr>'120-суп молочный'!Область_печати</vt:lpstr>
      <vt:lpstr>'121-суп с гречкой'!Область_печати</vt:lpstr>
      <vt:lpstr>'121-суп с кукурузной'!Область_печати</vt:lpstr>
      <vt:lpstr>'121-суп с манкой 90'!Область_печати</vt:lpstr>
      <vt:lpstr>'121-суп с перловкой'!Область_печати</vt:lpstr>
      <vt:lpstr>'121-суп с рисом'!Область_печати</vt:lpstr>
      <vt:lpstr>'121-суп хлопья'!Область_печати</vt:lpstr>
      <vt:lpstr>'125-картофель'!Область_печати</vt:lpstr>
      <vt:lpstr>'126-картофель с луком'!Область_печати</vt:lpstr>
      <vt:lpstr>'127-картофель в молоке'!Область_печати</vt:lpstr>
      <vt:lpstr>'128-пюре'!Область_печати</vt:lpstr>
      <vt:lpstr>'139-капуста туш.'!Область_печати</vt:lpstr>
      <vt:lpstr>'13-чизбургер'!Область_печати</vt:lpstr>
      <vt:lpstr>'140-свекла тушен.'!Область_печати</vt:lpstr>
      <vt:lpstr>'142-картофель и овощи'!Область_печати</vt:lpstr>
      <vt:lpstr>'143-рагу'!Область_печати</vt:lpstr>
      <vt:lpstr>'145-картофель тушен.'!Область_печати</vt:lpstr>
      <vt:lpstr>'147-картофель жарен.100'!Область_печати</vt:lpstr>
      <vt:lpstr>'14-масло'!Область_печати</vt:lpstr>
      <vt:lpstr>'15-сыр (15)'!Область_печати</vt:lpstr>
      <vt:lpstr>'15-сыр (20)'!Область_печати</vt:lpstr>
      <vt:lpstr>'15-сыр (30)'!Область_печати</vt:lpstr>
      <vt:lpstr>'167-голубцы овощ.'!Область_печати</vt:lpstr>
      <vt:lpstr>'168-перец овощ.'!Область_печати</vt:lpstr>
      <vt:lpstr>'16-колбаса'!Область_печати</vt:lpstr>
      <vt:lpstr>'171-каша греч рассып. '!Область_печати</vt:lpstr>
      <vt:lpstr>'171-каша греч рассып. сах'!Область_печати</vt:lpstr>
      <vt:lpstr>'171-каша перловка рассып.'!Область_печати</vt:lpstr>
      <vt:lpstr>'171-каша перловка рассып.сах'!Область_печати</vt:lpstr>
      <vt:lpstr>'171-каша пшенная рассып.'!Область_печати</vt:lpstr>
      <vt:lpstr>'171-каша пшенная рассып.сах110'!Область_печати</vt:lpstr>
      <vt:lpstr>'171-каша рис рассып.'!Область_печати</vt:lpstr>
      <vt:lpstr>'171-каша рис рассып.сах'!Область_печати</vt:lpstr>
      <vt:lpstr>'173-каша гречневая вязк.'!Область_печати</vt:lpstr>
      <vt:lpstr>'173-каша пшенная вязк.'!Область_печати</vt:lpstr>
      <vt:lpstr>'173-каша ясно солнышко'!Область_печати</vt:lpstr>
      <vt:lpstr>'174-каша перловая вяз.'!Область_печати</vt:lpstr>
      <vt:lpstr>'174-каша рисовая вяз.'!Область_печати</vt:lpstr>
      <vt:lpstr>'177-каша пшенная с изюм'!Область_печати</vt:lpstr>
      <vt:lpstr>'17-салат зеленый'!Область_печати</vt:lpstr>
      <vt:lpstr>'181- каша манная жид. '!Область_печати</vt:lpstr>
      <vt:lpstr>'182- каша овсяная жид.120'!Область_печати</vt:lpstr>
      <vt:lpstr>'182- каша перловая жид. '!Область_печати</vt:lpstr>
      <vt:lpstr>'182- каша пшенная жид.'!Область_печати</vt:lpstr>
      <vt:lpstr>'182- каша рисовая жид.'!Область_печати</vt:lpstr>
      <vt:lpstr>'182- каша ячневая жид.'!Область_печати</vt:lpstr>
      <vt:lpstr>'183-каша гречневая жид.'!Область_печати</vt:lpstr>
      <vt:lpstr>'184-крупеник гречка'!Область_печати</vt:lpstr>
      <vt:lpstr>'184-крупеник гречка йогурт'!Область_печати</vt:lpstr>
      <vt:lpstr>'184-крупеник пшенич.'!Область_печати</vt:lpstr>
      <vt:lpstr>'184-крупеник пшенич.йог.'!Область_печати</vt:lpstr>
      <vt:lpstr>'185-запеканка манка с маслом'!Область_печати</vt:lpstr>
      <vt:lpstr>'185-запеканка манка со сгущ.'!Область_печати</vt:lpstr>
      <vt:lpstr>'185-запеканка рис с маслом'!Область_печати</vt:lpstr>
      <vt:lpstr>'185-запеканка рис со сгущ.'!Область_печати</vt:lpstr>
      <vt:lpstr>'186-запеканка манка с изюмом'!Область_печати</vt:lpstr>
      <vt:lpstr>'18-салат с огурцами'!Область_печати</vt:lpstr>
      <vt:lpstr>'19-салат с огурцами и помидор'!Область_печати</vt:lpstr>
      <vt:lpstr>'1-бутерброд с маслом'!Область_печати</vt:lpstr>
      <vt:lpstr>'202-макароны отвар'!Область_печати</vt:lpstr>
      <vt:lpstr>'202-макароны отвар (150)'!Область_печати</vt:lpstr>
      <vt:lpstr>'203-макароны'!Область_печати</vt:lpstr>
      <vt:lpstr>'204-макароны с сыр'!Область_печати</vt:lpstr>
      <vt:lpstr>'205-макароны с овощ 130'!Область_печати</vt:lpstr>
      <vt:lpstr>'209-яйца'!Область_печати</vt:lpstr>
      <vt:lpstr>'20-салат из огурцов'!Область_печати</vt:lpstr>
      <vt:lpstr>'210-омлет'!Область_печати</vt:lpstr>
      <vt:lpstr>'211-омлет с сыром'!Область_печати</vt:lpstr>
      <vt:lpstr>'213-омлет с картофелем'!Область_печати</vt:lpstr>
      <vt:lpstr>'219-сырники'!Область_печати</vt:lpstr>
      <vt:lpstr>'222-пудинг'!Область_печати</vt:lpstr>
      <vt:lpstr>'222-пудинг (120)'!Область_печати</vt:lpstr>
      <vt:lpstr>'223-запеканка творог'!Область_печати</vt:lpstr>
      <vt:lpstr>'224-запеканка творог морковь'!Область_печати</vt:lpstr>
      <vt:lpstr>'225-оладьи из творога'!Область_печати</vt:lpstr>
      <vt:lpstr>'227-рыба припущ.'!Область_печати</vt:lpstr>
      <vt:lpstr>'229-рыба тушен.'!Область_печати</vt:lpstr>
      <vt:lpstr>'229-рыба тушен. минтай филе'!Область_печати</vt:lpstr>
      <vt:lpstr>'229-рыба тушен. хек 140'!Область_печати</vt:lpstr>
      <vt:lpstr>'230-рыба жареная'!Область_печати</vt:lpstr>
      <vt:lpstr>'230-рыба жареная (2)'!Область_печати</vt:lpstr>
      <vt:lpstr>'23-салат из помидоров'!Область_печати</vt:lpstr>
      <vt:lpstr>'23-салат из помидоров (2)'!Область_печати</vt:lpstr>
      <vt:lpstr>'241-мясо отвар'!Область_печати</vt:lpstr>
      <vt:lpstr>'243-сосиски'!Область_печати</vt:lpstr>
      <vt:lpstr>'244-плов из говядины'!Область_печати</vt:lpstr>
      <vt:lpstr>'244-плов из говядины (2)'!Область_печати</vt:lpstr>
      <vt:lpstr>'245-бефстроганов'!Область_печати</vt:lpstr>
      <vt:lpstr>'245-бефстроганов (2)'!Область_печати</vt:lpstr>
      <vt:lpstr>'246-гуляш 150'!Область_печати</vt:lpstr>
      <vt:lpstr>'247-мясо крупное'!Область_печати</vt:lpstr>
      <vt:lpstr>'247-мясо крупное (2)'!Область_печати</vt:lpstr>
      <vt:lpstr>'249-антрекот'!Область_печати</vt:lpstr>
      <vt:lpstr>'24-салат из помидор и огурцов'!Область_печати</vt:lpstr>
      <vt:lpstr>'24-салат помидор и огурц 20'!Область_печати</vt:lpstr>
      <vt:lpstr>'250-бефстроганов жар.'!Область_печати</vt:lpstr>
      <vt:lpstr>'251-поджарка'!Область_печати</vt:lpstr>
      <vt:lpstr>'251-поджарка (2)'!Область_печати</vt:lpstr>
      <vt:lpstr>'252-сосиски жареные'!Область_печати</vt:lpstr>
      <vt:lpstr>'256-мясо туш.'!Область_печати</vt:lpstr>
      <vt:lpstr>'256-мясо туш. (2)'!Область_печати</vt:lpstr>
      <vt:lpstr>'258-мясо духовое'!Область_печати</vt:lpstr>
      <vt:lpstr>'259-жаркое'!Область_печати</vt:lpstr>
      <vt:lpstr>'259-жаркое (2)'!Область_печати</vt:lpstr>
      <vt:lpstr>'260-гуляш'!Область_печати</vt:lpstr>
      <vt:lpstr>'260-гуляш (2)'!Область_печати</vt:lpstr>
      <vt:lpstr>'264-говядина тушеная'!Область_печати</vt:lpstr>
      <vt:lpstr>'265-плов'!Область_печати</vt:lpstr>
      <vt:lpstr>'267-шницель'!Область_печати</vt:lpstr>
      <vt:lpstr>'268-котлеты'!Область_печати</vt:lpstr>
      <vt:lpstr>'268-котлеты (80)'!Область_печати</vt:lpstr>
      <vt:lpstr>'268-котлеты с соусом'!Область_печати</vt:lpstr>
      <vt:lpstr>'271-котлеты дом '!Область_печати</vt:lpstr>
      <vt:lpstr>'273-котлеты с соусом'!Область_печати</vt:lpstr>
      <vt:lpstr>'278-тефтели (1)'!Область_печати</vt:lpstr>
      <vt:lpstr>'279-тефтели (120)'!Область_печати</vt:lpstr>
      <vt:lpstr>'279-тефтели (60х2)'!Область_печати</vt:lpstr>
      <vt:lpstr>'279-тефтели 80)'!Область_печати</vt:lpstr>
      <vt:lpstr>'280 фрикадельки в соусе'!Область_печати</vt:lpstr>
      <vt:lpstr>'285-макаронник с мясом'!Область_печати</vt:lpstr>
      <vt:lpstr>'287-Голубцы с мясом и рисом'!Область_печати</vt:lpstr>
      <vt:lpstr>'288-птица отвар'!Область_печати</vt:lpstr>
      <vt:lpstr>'288-птица отвар окор.'!Область_печати</vt:lpstr>
      <vt:lpstr>'288-птица отвар филе'!Область_печати</vt:lpstr>
      <vt:lpstr>'289 Рагу из окорочка'!Область_печати</vt:lpstr>
      <vt:lpstr>'289 Рагу из птицы '!Область_печати</vt:lpstr>
      <vt:lpstr>'28-салат весна'!Область_печати</vt:lpstr>
      <vt:lpstr>'290 птица туш.'!Область_печати</vt:lpstr>
      <vt:lpstr>'290 птица туш. 120г'!Область_печати</vt:lpstr>
      <vt:lpstr>'290 птица туш.окор.'!Область_печати</vt:lpstr>
      <vt:lpstr>'291-плов из курицы'!Область_печати</vt:lpstr>
      <vt:lpstr>'291-плов из окорочков'!Область_печати</vt:lpstr>
      <vt:lpstr>'292 окорочка тушенная в соусе'!Область_печати</vt:lpstr>
      <vt:lpstr>'292 птица тушенная в соусе'!Область_печати</vt:lpstr>
      <vt:lpstr>'293 птица жареная'!Область_печати</vt:lpstr>
      <vt:lpstr>'294 котлеты из птицы'!Область_печати</vt:lpstr>
      <vt:lpstr>'294 котлеты из птицы '!Область_печати</vt:lpstr>
      <vt:lpstr>'294 котлеты из филе птицы '!Область_печати</vt:lpstr>
      <vt:lpstr>'294 котлеты куриные окорочка'!Область_печати</vt:lpstr>
      <vt:lpstr>'296 котлеты рубленные из кур'!Область_печати</vt:lpstr>
      <vt:lpstr>'296 котлеты рубленные из окор'!Область_печати</vt:lpstr>
      <vt:lpstr>'297 фрикадельки из кур'!Область_печати</vt:lpstr>
      <vt:lpstr>'297 фрикадельки из кур окор'!Область_печати</vt:lpstr>
      <vt:lpstr>'298 Зразы из кур'!Область_печати</vt:lpstr>
      <vt:lpstr>'29-салат из сырых овощей'!Область_печати</vt:lpstr>
      <vt:lpstr>'2-бутерброд с джемом'!Область_печати</vt:lpstr>
      <vt:lpstr>'302-каша греч гарнир'!Область_печати</vt:lpstr>
      <vt:lpstr>'302-каша пшено гарнир'!Область_печати</vt:lpstr>
      <vt:lpstr>'302-каша рис гарнир'!Область_печати</vt:lpstr>
      <vt:lpstr>'304-рис отварной'!Область_печати</vt:lpstr>
      <vt:lpstr>'305-рис припущенный'!Область_печати</vt:lpstr>
      <vt:lpstr>'309-макаронные'!Область_печати</vt:lpstr>
      <vt:lpstr>'310-картофель'!Область_печати</vt:lpstr>
      <vt:lpstr>'310-картофель молодой'!Область_печати</vt:lpstr>
      <vt:lpstr>'312-пюре 200'!Область_печати</vt:lpstr>
      <vt:lpstr>'314-картофель жар.'!Область_печати</vt:lpstr>
      <vt:lpstr>'31-салат из редиса'!Область_печати</vt:lpstr>
      <vt:lpstr>'321-капуста тушеная'!Область_печати</vt:lpstr>
      <vt:lpstr>'326-соус молочный'!Область_печати</vt:lpstr>
      <vt:lpstr>'326-соус молочный 30'!Область_печати</vt:lpstr>
      <vt:lpstr>'329 соус молочный густой'!Область_печати</vt:lpstr>
      <vt:lpstr>'330-соус сметанный'!Область_печати</vt:lpstr>
      <vt:lpstr>'330-соус сметанный (2)'!Область_печати</vt:lpstr>
      <vt:lpstr>'330-соус сметанный (3)'!Область_печати</vt:lpstr>
      <vt:lpstr>'330-соус сметанный (4)'!Область_печати</vt:lpstr>
      <vt:lpstr>'331-соус с томатом'!Область_печати</vt:lpstr>
      <vt:lpstr>'331-соус с томатом (30)'!Область_печати</vt:lpstr>
      <vt:lpstr>'331-соус с томатом (50)'!Область_печати</vt:lpstr>
      <vt:lpstr>'332-соус с луком'!Область_печати</vt:lpstr>
      <vt:lpstr>'332-соус с луком (30)'!Область_печати</vt:lpstr>
      <vt:lpstr>'332-соус с луком (50)'!Область_печати</vt:lpstr>
      <vt:lpstr>'333-соус с томатом и лук'!Область_печати</vt:lpstr>
      <vt:lpstr>'333-соус с томатом и лук (30)'!Область_печати</vt:lpstr>
      <vt:lpstr>'334-соус малиновый'!Область_печати</vt:lpstr>
      <vt:lpstr>'335-соус абрикос курага'!Область_печати</vt:lpstr>
      <vt:lpstr>'335-соус абрикосовый'!Область_печати</vt:lpstr>
      <vt:lpstr>'336-соус черносмородин'!Область_печати</vt:lpstr>
      <vt:lpstr>'337-соус яблочный'!Область_печати</vt:lpstr>
      <vt:lpstr>'338-абрикосы'!Область_печати</vt:lpstr>
      <vt:lpstr>'338-бананы'!Область_печати</vt:lpstr>
      <vt:lpstr>'338-бананы (2)'!Область_печати</vt:lpstr>
      <vt:lpstr>'338-виноград'!Область_печати</vt:lpstr>
      <vt:lpstr>'338-груши'!Область_печати</vt:lpstr>
      <vt:lpstr>'338-груши (150)'!Область_печати</vt:lpstr>
      <vt:lpstr>'338-персики'!Область_печати</vt:lpstr>
      <vt:lpstr>'338-яблоки'!Область_печати</vt:lpstr>
      <vt:lpstr>'338-яблоки (150)'!Область_печати</vt:lpstr>
      <vt:lpstr>'339-земляника'!Область_печати</vt:lpstr>
      <vt:lpstr>'339-черешня'!Область_печати</vt:lpstr>
      <vt:lpstr>'340-арбуз'!Область_печати</vt:lpstr>
      <vt:lpstr>'340-дыня'!Область_печати</vt:lpstr>
      <vt:lpstr>'341-апельсин'!Область_печати</vt:lpstr>
      <vt:lpstr>'341-мандарины'!Область_печати</vt:lpstr>
      <vt:lpstr>'342-компот абрикос'!Область_печати</vt:lpstr>
      <vt:lpstr>'342-компот вишня'!Область_печати</vt:lpstr>
      <vt:lpstr>'342-компот яблок'!Область_печати</vt:lpstr>
      <vt:lpstr>'344-компот яблок и слив'!Область_печати</vt:lpstr>
      <vt:lpstr>'346-компот апельсины'!Область_печати</vt:lpstr>
      <vt:lpstr>'346-компот мандарины'!Область_печати</vt:lpstr>
      <vt:lpstr>'347-компот из плодов консер виш'!Область_печати</vt:lpstr>
      <vt:lpstr>'347-компот консерв персик'!Область_печати</vt:lpstr>
      <vt:lpstr>'348-компот сушеной кураги'!Область_печати</vt:lpstr>
      <vt:lpstr>'349-компот сухофрукт'!Область_печати</vt:lpstr>
      <vt:lpstr>'34-салат летний'!Область_печати</vt:lpstr>
      <vt:lpstr>'352-кисель ябл'!Область_печати</vt:lpstr>
      <vt:lpstr>'354-кисель ябл суш'!Область_печати</vt:lpstr>
      <vt:lpstr>'357-кисель шиповн'!Область_печати</vt:lpstr>
      <vt:lpstr>'375-чай заварка'!Область_печати</vt:lpstr>
      <vt:lpstr>'376-чай с вареньем'!Область_печати</vt:lpstr>
      <vt:lpstr>'376-чай сахар'!Область_печати</vt:lpstr>
      <vt:lpstr>'377-чай с лимон'!Область_печати</vt:lpstr>
      <vt:lpstr>'378-чай с молоком'!Область_печати</vt:lpstr>
      <vt:lpstr>'379-кофейный напиток с молоком'!Область_печати</vt:lpstr>
      <vt:lpstr>'380-кофейный напиток со сгущ'!Область_печати</vt:lpstr>
      <vt:lpstr>'382-какао с молоком'!Область_печати</vt:lpstr>
      <vt:lpstr>'383-какао с сгущ'!Область_печати</vt:lpstr>
      <vt:lpstr>'385-молоко'!Область_печати</vt:lpstr>
      <vt:lpstr>'388-напиток из шипов'!Область_печати</vt:lpstr>
      <vt:lpstr>'393 тесто для вареников'!Область_печати</vt:lpstr>
      <vt:lpstr>'394 Вареники с творожным фаршем'!Область_печати</vt:lpstr>
      <vt:lpstr>'396-Блины  с медом'!Область_печати</vt:lpstr>
      <vt:lpstr>'396-Блины  с повидлом'!Область_печати</vt:lpstr>
      <vt:lpstr>'396-Блины  со сгущ.'!Область_печати</vt:lpstr>
      <vt:lpstr>'396-Блины с маслом '!Область_печати</vt:lpstr>
      <vt:lpstr>'39-салат с кукурузой'!Область_печати</vt:lpstr>
      <vt:lpstr>'3-бутерброд с сыром'!Область_печати</vt:lpstr>
      <vt:lpstr>'400-тесто для оладий'!Область_печати</vt:lpstr>
      <vt:lpstr>'401-оладьи варенье'!Область_печати</vt:lpstr>
      <vt:lpstr>'404-оладьи с маслом'!Область_печати</vt:lpstr>
      <vt:lpstr>'405-тесто ватрушки'!Область_печати</vt:lpstr>
      <vt:lpstr>'405-тесто дрожжевое'!Область_печати</vt:lpstr>
      <vt:lpstr>'405-тесто сдобное'!Область_печати</vt:lpstr>
      <vt:lpstr>'406-пирожки капуст'!Область_печати</vt:lpstr>
      <vt:lpstr>'406-пирожки картоф'!Область_печати</vt:lpstr>
      <vt:lpstr>'406-пирожки мясные'!Область_печати</vt:lpstr>
      <vt:lpstr>'40-салат картоф. с морк. и гор.'!Область_печати</vt:lpstr>
      <vt:lpstr>'410-ватрушка'!Область_печати</vt:lpstr>
      <vt:lpstr>'41-салат картоф. с капустой'!Область_печати</vt:lpstr>
      <vt:lpstr>'426-булочка с повидл'!Область_печати</vt:lpstr>
      <vt:lpstr>'426-булочка с повидл (2)'!Область_печати</vt:lpstr>
      <vt:lpstr>'428-булочка школьная 100г'!Область_печати</vt:lpstr>
      <vt:lpstr>'428-булочка школьная 30г'!Область_печати</vt:lpstr>
      <vt:lpstr>'428-булочка школьная 50г'!Область_печати</vt:lpstr>
      <vt:lpstr>'429-булочка веснушка 100г'!Область_печати</vt:lpstr>
      <vt:lpstr>'429-булочка веснушка 50г'!Область_печати</vt:lpstr>
      <vt:lpstr>'43-салат из овощей'!Область_печати</vt:lpstr>
      <vt:lpstr>'440-булочка творожная'!Область_печати</vt:lpstr>
      <vt:lpstr>'446-кекс'!Область_печати</vt:lpstr>
      <vt:lpstr>'456-корж'!Область_печати</vt:lpstr>
      <vt:lpstr>'457-фарш мясной'!Область_печати</vt:lpstr>
      <vt:lpstr>'45-салат из капусты'!Область_печати</vt:lpstr>
      <vt:lpstr>'45-салат из капусты новой 30'!Область_печати</vt:lpstr>
      <vt:lpstr>'461-фарш из капусты'!Область_печати</vt:lpstr>
      <vt:lpstr>'467-фарш картоф'!Область_печати</vt:lpstr>
      <vt:lpstr>'468-фарш творож'!Область_печати</vt:lpstr>
      <vt:lpstr>'48-салат витаминный'!Область_печати</vt:lpstr>
      <vt:lpstr>'52-салат из свеклы отварной'!Область_печати</vt:lpstr>
      <vt:lpstr>'53-салат из свеклы с горошком'!Область_печати</vt:lpstr>
      <vt:lpstr>'54-11р-рыба тушен. минтай филе'!Область_печати</vt:lpstr>
      <vt:lpstr>'54-салат из свеклы с яблоками'!Область_печати</vt:lpstr>
      <vt:lpstr>'56-салат овощной с яблоками'!Область_печати</vt:lpstr>
      <vt:lpstr>'62-салат из моркови'!Область_печати</vt:lpstr>
      <vt:lpstr>'67-винегрет'!Область_печати</vt:lpstr>
      <vt:lpstr>'67-винегрет с капустой'!Область_печати</vt:lpstr>
      <vt:lpstr>'68-винегрет с фасолью'!Область_печати</vt:lpstr>
      <vt:lpstr>'6-бутерброд с колбасой'!Область_печати</vt:lpstr>
      <vt:lpstr>'70-огурцы сол.'!Область_печати</vt:lpstr>
      <vt:lpstr>'70-помидоры сол.'!Область_печати</vt:lpstr>
      <vt:lpstr>'71-огурцы '!Область_печати</vt:lpstr>
      <vt:lpstr>'71-огурцы и помидоры'!Область_печати</vt:lpstr>
      <vt:lpstr>'71-помидоры'!Область_печати</vt:lpstr>
      <vt:lpstr>'77-сельдь'!Область_печати</vt:lpstr>
      <vt:lpstr>'7-бутерброд горяч. с сыром'!Область_печати</vt:lpstr>
      <vt:lpstr>'82-борщ с капустой'!Область_печати</vt:lpstr>
      <vt:lpstr>'83-борщ с картофелем'!Область_печати</vt:lpstr>
      <vt:lpstr>'84-борщ с фасолью'!Область_печати</vt:lpstr>
      <vt:lpstr>'85-борщ зеленый'!Область_печати</vt:lpstr>
      <vt:lpstr>'87-щи из капусты'!Область_печати</vt:lpstr>
      <vt:lpstr>'88-щи из картофеля'!Область_печати</vt:lpstr>
      <vt:lpstr>'89-щи зеленые'!Область_печати</vt:lpstr>
      <vt:lpstr>'8-бутерброд горяч. с колбас.'!Область_печати</vt:lpstr>
      <vt:lpstr>'92-щи кваш. капуста 50'!Область_печати</vt:lpstr>
      <vt:lpstr>'94-рассольник'!Область_печати</vt:lpstr>
      <vt:lpstr>'96-рассольник ленинград'!Область_печати</vt:lpstr>
      <vt:lpstr>'97-суп картофельный '!Область_печати</vt:lpstr>
      <vt:lpstr>'98-суп крестьян. овсянка'!Область_печати</vt:lpstr>
      <vt:lpstr>'98-суп крестьян. перловка'!Область_печати</vt:lpstr>
      <vt:lpstr>'98-суп крестьян. пшеничная'!Область_печати</vt:lpstr>
      <vt:lpstr>'98-суп крестьян. пшено'!Область_печати</vt:lpstr>
      <vt:lpstr>'98-суп крестьян. рис'!Область_печати</vt:lpstr>
      <vt:lpstr>'98-суп крестьян. хлопья'!Область_печати</vt:lpstr>
      <vt:lpstr>'99-суп из овощей'!Область_печати</vt:lpstr>
      <vt:lpstr>блюда!Область_печати</vt:lpstr>
      <vt:lpstr>'бн-свекольник'!Область_печати</vt:lpstr>
      <vt:lpstr>'каша дружба 54-16к-2020'!Область_печати</vt:lpstr>
      <vt:lpstr>кисель!Область_печати</vt:lpstr>
      <vt:lpstr>льезон!Область_печати</vt:lpstr>
      <vt:lpstr>'меню 7 дней завтрак и обед '!Область_печати</vt:lpstr>
      <vt:lpstr>'меню сжатый '!Область_печати</vt:lpstr>
      <vt:lpstr>'соус томатный 462'!Область_печати</vt:lpstr>
      <vt:lpstr>цены!Область_печати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LMamaeva</dc:creator>
  <cp:lastModifiedBy>User</cp:lastModifiedBy>
  <cp:lastPrinted>2023-06-01T06:52:28Z</cp:lastPrinted>
  <dcterms:created xsi:type="dcterms:W3CDTF">2012-10-02T14:37:33Z</dcterms:created>
  <dcterms:modified xsi:type="dcterms:W3CDTF">2023-06-01T09:27:14Z</dcterms:modified>
</cp:coreProperties>
</file>